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" sheetId="1" state="visible" r:id="rId1"/>
    <sheet name="Dashboard" sheetId="2" state="visible" r:id="rId2"/>
    <sheet name="Subject-wise GPA" sheetId="3" state="visible" r:id="rId3"/>
    <sheet name="Subject-wise Grade" sheetId="4" state="visible" r:id="rId4"/>
    <sheet name="Fail Students" sheetId="5" state="visible" r:id="rId5"/>
    <sheet name="A+ Students" sheetId="6" state="visible" r:id="rId6"/>
    <sheet name="Rank &amp; Position" sheetId="7" state="visible" r:id="rId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8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'Dashboard'!$A$4:$A$10</f>
            </numRef>
          </cat>
          <val>
            <numRef>
              <f>'Dashboard'!$B$4:$B$10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30" customHeight="1">
      <c r="A1" s="1" t="inlineStr">
        <is>
          <t>CLASS 8 - ACADEMIC RESULTS DATA SOURCE</t>
        </is>
      </c>
    </row>
    <row r="2">
      <c r="A2" s="2" t="inlineStr">
        <is>
          <t>SL</t>
        </is>
      </c>
      <c r="B2" s="2" t="inlineStr">
        <is>
          <t>Name</t>
        </is>
      </c>
      <c r="C2" s="2" t="inlineStr">
        <is>
          <t>Quran</t>
        </is>
      </c>
      <c r="D2" s="2" t="inlineStr">
        <is>
          <t>English I</t>
        </is>
      </c>
      <c r="E2" s="2" t="inlineStr">
        <is>
          <t>English II</t>
        </is>
      </c>
      <c r="F2" s="2" t="inlineStr">
        <is>
          <t>Bangla I</t>
        </is>
      </c>
      <c r="G2" s="2" t="inlineStr">
        <is>
          <t>Bangla II</t>
        </is>
      </c>
      <c r="H2" s="2" t="inlineStr">
        <is>
          <t>Science</t>
        </is>
      </c>
      <c r="I2" s="2" t="inlineStr">
        <is>
          <t>Mathematics</t>
        </is>
      </c>
      <c r="J2" s="2" t="inlineStr">
        <is>
          <t>General Knowledge</t>
        </is>
      </c>
      <c r="K2" s="2" t="inlineStr">
        <is>
          <t>Arabic I</t>
        </is>
      </c>
      <c r="L2" s="2" t="inlineStr">
        <is>
          <t>Arabic II</t>
        </is>
      </c>
      <c r="M2" s="2" t="inlineStr">
        <is>
          <t>Aqaid</t>
        </is>
      </c>
      <c r="N2" s="2" t="inlineStr">
        <is>
          <t>ICT</t>
        </is>
      </c>
      <c r="O2" s="2" t="inlineStr">
        <is>
          <t>Bangladesh and Global Studies</t>
        </is>
      </c>
      <c r="P2" s="2" t="inlineStr">
        <is>
          <t>Total</t>
        </is>
      </c>
      <c r="Q2" s="2" t="inlineStr">
        <is>
          <t>Average</t>
        </is>
      </c>
      <c r="R2" s="2" t="inlineStr">
        <is>
          <t>GPA</t>
        </is>
      </c>
      <c r="S2" s="2" t="inlineStr">
        <is>
          <t>Grade</t>
        </is>
      </c>
      <c r="T2" s="2" t="inlineStr">
        <is>
          <t>Position</t>
        </is>
      </c>
    </row>
    <row r="3">
      <c r="A3" s="3" t="n">
        <v>1</v>
      </c>
      <c r="B3" t="inlineStr">
        <is>
          <t>Maryam Farooq</t>
        </is>
      </c>
      <c r="C3" s="3" t="n">
        <v>42</v>
      </c>
      <c r="D3" s="3" t="n">
        <v>72</v>
      </c>
      <c r="E3" s="3" t="n">
        <v>36</v>
      </c>
      <c r="F3" s="3" t="n">
        <v>38</v>
      </c>
      <c r="G3" s="3" t="n">
        <v>50</v>
      </c>
      <c r="H3" s="3" t="n">
        <v>84</v>
      </c>
      <c r="I3" s="3" t="n">
        <v>44</v>
      </c>
      <c r="J3" s="3" t="n">
        <v>79</v>
      </c>
      <c r="K3" s="3" t="n">
        <v>25</v>
      </c>
      <c r="L3" s="3" t="n">
        <v>77</v>
      </c>
      <c r="M3" s="3" t="n">
        <v>67</v>
      </c>
      <c r="N3" s="3" t="n">
        <v>42</v>
      </c>
      <c r="O3" s="3" t="n">
        <v>75</v>
      </c>
      <c r="P3" s="4">
        <f>IF(B3="","",SUM(C3:O3))</f>
        <v/>
      </c>
      <c r="Q3" s="5">
        <f>IF(B3="","",ROUND(P3/13,2))</f>
        <v/>
      </c>
      <c r="R3" s="5">
        <f>IF(B3="","",IF(AH3=1,0,MIN(5,ROUND((U3+V3+W3+X3+Y3+Z3+AA3+AB3+AC3+AD3+AE3+AF3+AG3)/13,2))))</f>
        <v/>
      </c>
      <c r="S3" s="3">
        <f>IF(B3="","",IF(R3&gt;=5,"A+",IF(R3&gt;=4,"A",IF(R3&gt;=3.5,"A-",IF(R3&gt;=3,"B",IF(R3&gt;=2,"C",IF(R3&gt;=1,"D","F")))))))</f>
        <v/>
      </c>
      <c r="T3" s="3">
        <f>IF(OR(B3="",S3="F"),"",COUNTIFS(P:P,"&gt;"&amp;P3,S:S,"&lt;&gt;F")+1)</f>
        <v/>
      </c>
      <c r="U3">
        <f>IF(B3="","",IF(C3&lt;33.0,0,IF(C3&gt;=100*0.8,5,IF(C3&gt;=100*0.7,4,IF(C3&gt;=100*0.6,3.5,IF(C3&gt;=100*0.5,3,IF(C3&gt;=100*0.4,2,IF(C3&gt;=100*0.33,1,0))))))))</f>
        <v/>
      </c>
      <c r="V3">
        <f>IF(B3="","",IF(D3&lt;33.0,0,IF(D3&gt;=100*0.8,5,IF(D3&gt;=100*0.7,4,IF(D3&gt;=100*0.6,3.5,IF(D3&gt;=100*0.5,3,IF(D3&gt;=100*0.4,2,IF(D3&gt;=100*0.33,1,0))))))))</f>
        <v/>
      </c>
      <c r="W3">
        <f>IF(B3="","",IF(E3&lt;16.5,0,IF(E3&gt;=50*0.8,5,IF(E3&gt;=50*0.7,4,IF(E3&gt;=50*0.6,3.5,IF(E3&gt;=50*0.5,3,IF(E3&gt;=50*0.4,2,IF(E3&gt;=50*0.33,1,0))))))))</f>
        <v/>
      </c>
      <c r="X3">
        <f>IF(B3="","",IF(F3&lt;33.0,0,IF(F3&gt;=100*0.8,5,IF(F3&gt;=100*0.7,4,IF(F3&gt;=100*0.6,3.5,IF(F3&gt;=100*0.5,3,IF(F3&gt;=100*0.4,2,IF(F3&gt;=100*0.33,1,0))))))))</f>
        <v/>
      </c>
      <c r="Y3">
        <f>IF(B3="","",IF(G3&lt;16.5,0,IF(G3&gt;=50*0.8,5,IF(G3&gt;=50*0.7,4,IF(G3&gt;=50*0.6,3.5,IF(G3&gt;=50*0.5,3,IF(G3&gt;=50*0.4,2,IF(G3&gt;=50*0.33,1,0))))))))</f>
        <v/>
      </c>
      <c r="Z3">
        <f>IF(B3="","",IF(H3&lt;33.0,0,IF(H3&gt;=100*0.8,5,IF(H3&gt;=100*0.7,4,IF(H3&gt;=100*0.6,3.5,IF(H3&gt;=100*0.5,3,IF(H3&gt;=100*0.4,2,IF(H3&gt;=100*0.33,1,0))))))))</f>
        <v/>
      </c>
      <c r="AA3">
        <f>IF(B3="","",IF(I3&lt;33.0,0,IF(I3&gt;=100*0.8,5,IF(I3&gt;=100*0.7,4,IF(I3&gt;=100*0.6,3.5,IF(I3&gt;=100*0.5,3,IF(I3&gt;=100*0.4,2,IF(I3&gt;=100*0.33,1,0))))))))</f>
        <v/>
      </c>
      <c r="AB3">
        <f>IF(B3="","",IF(J3&lt;33.0,0,IF(J3&gt;=100*0.8,5,IF(J3&gt;=100*0.7,4,IF(J3&gt;=100*0.6,3.5,IF(J3&gt;=100*0.5,3,IF(J3&gt;=100*0.4,2,IF(J3&gt;=100*0.33,1,0))))))))</f>
        <v/>
      </c>
      <c r="AC3">
        <f>IF(B3="","",IF(K3&lt;33.0,0,IF(K3&gt;=100*0.8,5,IF(K3&gt;=100*0.7,4,IF(K3&gt;=100*0.6,3.5,IF(K3&gt;=100*0.5,3,IF(K3&gt;=100*0.4,2,IF(K3&gt;=100*0.33,1,0))))))))</f>
        <v/>
      </c>
      <c r="AD3">
        <f>IF(B3="","",IF(L3&lt;33.0,0,IF(L3&gt;=100*0.8,5,IF(L3&gt;=100*0.7,4,IF(L3&gt;=100*0.6,3.5,IF(L3&gt;=100*0.5,3,IF(L3&gt;=100*0.4,2,IF(L3&gt;=100*0.33,1,0))))))))</f>
        <v/>
      </c>
      <c r="AE3">
        <f>IF(B3="","",IF(M3&lt;33.0,0,IF(M3&gt;=100*0.8,5,IF(M3&gt;=100*0.7,4,IF(M3&gt;=100*0.6,3.5,IF(M3&gt;=100*0.5,3,IF(M3&gt;=100*0.4,2,IF(M3&gt;=100*0.33,1,0))))))))</f>
        <v/>
      </c>
      <c r="AF3">
        <f>IF(B3="","",IF(N3&lt;16.5,0,IF(N3&gt;=50*0.8,5,IF(N3&gt;=50*0.7,4,IF(N3&gt;=50*0.6,3.5,IF(N3&gt;=50*0.5,3,IF(N3&gt;=50*0.4,2,IF(N3&gt;=50*0.33,1,0))))))))</f>
        <v/>
      </c>
      <c r="AG3">
        <f>IF(B3="","",IF(O3&lt;33.0,0,IF(O3&gt;=100*0.8,5,IF(O3&gt;=100*0.7,4,IF(O3&gt;=100*0.6,3.5,IF(O3&gt;=100*0.5,3,IF(O3&gt;=100*0.4,2,IF(O3&gt;=100*0.33,1,0))))))))</f>
        <v/>
      </c>
      <c r="AH3">
        <f>IF(B3="","",IF(OR(U3=0,V3=0,W3=0,X3=0,Y3=0,Z3=0,AA3=0,AB3=0,AC3=0,AD3=0,AE3=0,AF3=0,AG3=0),1,0))</f>
        <v/>
      </c>
    </row>
    <row r="4">
      <c r="A4" s="3" t="n">
        <v>2</v>
      </c>
      <c r="B4" t="inlineStr">
        <is>
          <t>Bilal Nasir</t>
        </is>
      </c>
      <c r="C4" s="3" t="n">
        <v>80</v>
      </c>
      <c r="D4" s="3" t="n">
        <v>84</v>
      </c>
      <c r="E4" s="3" t="n">
        <v>22</v>
      </c>
      <c r="F4" s="3" t="n">
        <v>51</v>
      </c>
      <c r="G4" s="3" t="n">
        <v>41</v>
      </c>
      <c r="H4" s="3" t="n">
        <v>63</v>
      </c>
      <c r="I4" s="3" t="n">
        <v>97</v>
      </c>
      <c r="J4" s="3" t="n">
        <v>73</v>
      </c>
      <c r="K4" s="3" t="n">
        <v>19</v>
      </c>
      <c r="L4" s="3" t="n">
        <v>92</v>
      </c>
      <c r="M4" s="3" t="n">
        <v>80</v>
      </c>
      <c r="N4" s="3" t="n">
        <v>31</v>
      </c>
      <c r="O4" s="3" t="n">
        <v>74</v>
      </c>
      <c r="P4" s="4">
        <f>IF(B4="","",SUM(C4:O4))</f>
        <v/>
      </c>
      <c r="Q4" s="5">
        <f>IF(B4="","",ROUND(P4/13,2))</f>
        <v/>
      </c>
      <c r="R4" s="5">
        <f>IF(B4="","",IF(AH4=1,0,MIN(5,ROUND((U4+V4+W4+X4+Y4+Z4+AA4+AB4+AC4+AD4+AE4+AF4+AG4)/13,2))))</f>
        <v/>
      </c>
      <c r="S4" s="3">
        <f>IF(B4="","",IF(R4&gt;=5,"A+",IF(R4&gt;=4,"A",IF(R4&gt;=3.5,"A-",IF(R4&gt;=3,"B",IF(R4&gt;=2,"C",IF(R4&gt;=1,"D","F")))))))</f>
        <v/>
      </c>
      <c r="T4" s="3">
        <f>IF(OR(B4="",S4="F"),"",COUNTIFS(P:P,"&gt;"&amp;P4,S:S,"&lt;&gt;F")+1)</f>
        <v/>
      </c>
      <c r="U4">
        <f>IF(B4="","",IF(C4&lt;33.0,0,IF(C4&gt;=100*0.8,5,IF(C4&gt;=100*0.7,4,IF(C4&gt;=100*0.6,3.5,IF(C4&gt;=100*0.5,3,IF(C4&gt;=100*0.4,2,IF(C4&gt;=100*0.33,1,0))))))))</f>
        <v/>
      </c>
      <c r="V4">
        <f>IF(B4="","",IF(D4&lt;33.0,0,IF(D4&gt;=100*0.8,5,IF(D4&gt;=100*0.7,4,IF(D4&gt;=100*0.6,3.5,IF(D4&gt;=100*0.5,3,IF(D4&gt;=100*0.4,2,IF(D4&gt;=100*0.33,1,0))))))))</f>
        <v/>
      </c>
      <c r="W4">
        <f>IF(B4="","",IF(E4&lt;16.5,0,IF(E4&gt;=50*0.8,5,IF(E4&gt;=50*0.7,4,IF(E4&gt;=50*0.6,3.5,IF(E4&gt;=50*0.5,3,IF(E4&gt;=50*0.4,2,IF(E4&gt;=50*0.33,1,0))))))))</f>
        <v/>
      </c>
      <c r="X4">
        <f>IF(B4="","",IF(F4&lt;33.0,0,IF(F4&gt;=100*0.8,5,IF(F4&gt;=100*0.7,4,IF(F4&gt;=100*0.6,3.5,IF(F4&gt;=100*0.5,3,IF(F4&gt;=100*0.4,2,IF(F4&gt;=100*0.33,1,0))))))))</f>
        <v/>
      </c>
      <c r="Y4">
        <f>IF(B4="","",IF(G4&lt;16.5,0,IF(G4&gt;=50*0.8,5,IF(G4&gt;=50*0.7,4,IF(G4&gt;=50*0.6,3.5,IF(G4&gt;=50*0.5,3,IF(G4&gt;=50*0.4,2,IF(G4&gt;=50*0.33,1,0))))))))</f>
        <v/>
      </c>
      <c r="Z4">
        <f>IF(B4="","",IF(H4&lt;33.0,0,IF(H4&gt;=100*0.8,5,IF(H4&gt;=100*0.7,4,IF(H4&gt;=100*0.6,3.5,IF(H4&gt;=100*0.5,3,IF(H4&gt;=100*0.4,2,IF(H4&gt;=100*0.33,1,0))))))))</f>
        <v/>
      </c>
      <c r="AA4">
        <f>IF(B4="","",IF(I4&lt;33.0,0,IF(I4&gt;=100*0.8,5,IF(I4&gt;=100*0.7,4,IF(I4&gt;=100*0.6,3.5,IF(I4&gt;=100*0.5,3,IF(I4&gt;=100*0.4,2,IF(I4&gt;=100*0.33,1,0))))))))</f>
        <v/>
      </c>
      <c r="AB4">
        <f>IF(B4="","",IF(J4&lt;33.0,0,IF(J4&gt;=100*0.8,5,IF(J4&gt;=100*0.7,4,IF(J4&gt;=100*0.6,3.5,IF(J4&gt;=100*0.5,3,IF(J4&gt;=100*0.4,2,IF(J4&gt;=100*0.33,1,0))))))))</f>
        <v/>
      </c>
      <c r="AC4">
        <f>IF(B4="","",IF(K4&lt;33.0,0,IF(K4&gt;=100*0.8,5,IF(K4&gt;=100*0.7,4,IF(K4&gt;=100*0.6,3.5,IF(K4&gt;=100*0.5,3,IF(K4&gt;=100*0.4,2,IF(K4&gt;=100*0.33,1,0))))))))</f>
        <v/>
      </c>
      <c r="AD4">
        <f>IF(B4="","",IF(L4&lt;33.0,0,IF(L4&gt;=100*0.8,5,IF(L4&gt;=100*0.7,4,IF(L4&gt;=100*0.6,3.5,IF(L4&gt;=100*0.5,3,IF(L4&gt;=100*0.4,2,IF(L4&gt;=100*0.33,1,0))))))))</f>
        <v/>
      </c>
      <c r="AE4">
        <f>IF(B4="","",IF(M4&lt;33.0,0,IF(M4&gt;=100*0.8,5,IF(M4&gt;=100*0.7,4,IF(M4&gt;=100*0.6,3.5,IF(M4&gt;=100*0.5,3,IF(M4&gt;=100*0.4,2,IF(M4&gt;=100*0.33,1,0))))))))</f>
        <v/>
      </c>
      <c r="AF4">
        <f>IF(B4="","",IF(N4&lt;16.5,0,IF(N4&gt;=50*0.8,5,IF(N4&gt;=50*0.7,4,IF(N4&gt;=50*0.6,3.5,IF(N4&gt;=50*0.5,3,IF(N4&gt;=50*0.4,2,IF(N4&gt;=50*0.33,1,0))))))))</f>
        <v/>
      </c>
      <c r="AG4">
        <f>IF(B4="","",IF(O4&lt;33.0,0,IF(O4&gt;=100*0.8,5,IF(O4&gt;=100*0.7,4,IF(O4&gt;=100*0.6,3.5,IF(O4&gt;=100*0.5,3,IF(O4&gt;=100*0.4,2,IF(O4&gt;=100*0.33,1,0))))))))</f>
        <v/>
      </c>
      <c r="AH4">
        <f>IF(B4="","",IF(OR(U4=0,V4=0,W4=0,X4=0,Y4=0,Z4=0,AA4=0,AB4=0,AC4=0,AD4=0,AE4=0,AF4=0,AG4=0),1,0))</f>
        <v/>
      </c>
    </row>
    <row r="5">
      <c r="A5" s="3" t="n">
        <v>3</v>
      </c>
      <c r="B5" t="inlineStr">
        <is>
          <t>Ahmed Hussain</t>
        </is>
      </c>
      <c r="C5" s="3" t="n">
        <v>98</v>
      </c>
      <c r="D5" s="3" t="n">
        <v>68</v>
      </c>
      <c r="E5" s="3" t="n">
        <v>31</v>
      </c>
      <c r="F5" s="3" t="n">
        <v>73</v>
      </c>
      <c r="G5" s="3" t="n">
        <v>27</v>
      </c>
      <c r="H5" s="3" t="n">
        <v>76</v>
      </c>
      <c r="I5" s="3" t="n">
        <v>84</v>
      </c>
      <c r="J5" s="3" t="n">
        <v>43</v>
      </c>
      <c r="K5" s="3" t="n">
        <v>38</v>
      </c>
      <c r="L5" s="3" t="n">
        <v>92</v>
      </c>
      <c r="M5" s="3" t="n">
        <v>20</v>
      </c>
      <c r="N5" s="3" t="n">
        <v>21</v>
      </c>
      <c r="O5" s="3" t="n">
        <v>91</v>
      </c>
      <c r="P5" s="4">
        <f>IF(B5="","",SUM(C5:O5))</f>
        <v/>
      </c>
      <c r="Q5" s="5">
        <f>IF(B5="","",ROUND(P5/13,2))</f>
        <v/>
      </c>
      <c r="R5" s="5">
        <f>IF(B5="","",IF(AH5=1,0,MIN(5,ROUND((U5+V5+W5+X5+Y5+Z5+AA5+AB5+AC5+AD5+AE5+AF5+AG5)/13,2))))</f>
        <v/>
      </c>
      <c r="S5" s="3">
        <f>IF(B5="","",IF(R5&gt;=5,"A+",IF(R5&gt;=4,"A",IF(R5&gt;=3.5,"A-",IF(R5&gt;=3,"B",IF(R5&gt;=2,"C",IF(R5&gt;=1,"D","F")))))))</f>
        <v/>
      </c>
      <c r="T5" s="3">
        <f>IF(OR(B5="",S5="F"),"",COUNTIFS(P:P,"&gt;"&amp;P5,S:S,"&lt;&gt;F")+1)</f>
        <v/>
      </c>
      <c r="U5">
        <f>IF(B5="","",IF(C5&lt;33.0,0,IF(C5&gt;=100*0.8,5,IF(C5&gt;=100*0.7,4,IF(C5&gt;=100*0.6,3.5,IF(C5&gt;=100*0.5,3,IF(C5&gt;=100*0.4,2,IF(C5&gt;=100*0.33,1,0))))))))</f>
        <v/>
      </c>
      <c r="V5">
        <f>IF(B5="","",IF(D5&lt;33.0,0,IF(D5&gt;=100*0.8,5,IF(D5&gt;=100*0.7,4,IF(D5&gt;=100*0.6,3.5,IF(D5&gt;=100*0.5,3,IF(D5&gt;=100*0.4,2,IF(D5&gt;=100*0.33,1,0))))))))</f>
        <v/>
      </c>
      <c r="W5">
        <f>IF(B5="","",IF(E5&lt;16.5,0,IF(E5&gt;=50*0.8,5,IF(E5&gt;=50*0.7,4,IF(E5&gt;=50*0.6,3.5,IF(E5&gt;=50*0.5,3,IF(E5&gt;=50*0.4,2,IF(E5&gt;=50*0.33,1,0))))))))</f>
        <v/>
      </c>
      <c r="X5">
        <f>IF(B5="","",IF(F5&lt;33.0,0,IF(F5&gt;=100*0.8,5,IF(F5&gt;=100*0.7,4,IF(F5&gt;=100*0.6,3.5,IF(F5&gt;=100*0.5,3,IF(F5&gt;=100*0.4,2,IF(F5&gt;=100*0.33,1,0))))))))</f>
        <v/>
      </c>
      <c r="Y5">
        <f>IF(B5="","",IF(G5&lt;16.5,0,IF(G5&gt;=50*0.8,5,IF(G5&gt;=50*0.7,4,IF(G5&gt;=50*0.6,3.5,IF(G5&gt;=50*0.5,3,IF(G5&gt;=50*0.4,2,IF(G5&gt;=50*0.33,1,0))))))))</f>
        <v/>
      </c>
      <c r="Z5">
        <f>IF(B5="","",IF(H5&lt;33.0,0,IF(H5&gt;=100*0.8,5,IF(H5&gt;=100*0.7,4,IF(H5&gt;=100*0.6,3.5,IF(H5&gt;=100*0.5,3,IF(H5&gt;=100*0.4,2,IF(H5&gt;=100*0.33,1,0))))))))</f>
        <v/>
      </c>
      <c r="AA5">
        <f>IF(B5="","",IF(I5&lt;33.0,0,IF(I5&gt;=100*0.8,5,IF(I5&gt;=100*0.7,4,IF(I5&gt;=100*0.6,3.5,IF(I5&gt;=100*0.5,3,IF(I5&gt;=100*0.4,2,IF(I5&gt;=100*0.33,1,0))))))))</f>
        <v/>
      </c>
      <c r="AB5">
        <f>IF(B5="","",IF(J5&lt;33.0,0,IF(J5&gt;=100*0.8,5,IF(J5&gt;=100*0.7,4,IF(J5&gt;=100*0.6,3.5,IF(J5&gt;=100*0.5,3,IF(J5&gt;=100*0.4,2,IF(J5&gt;=100*0.33,1,0))))))))</f>
        <v/>
      </c>
      <c r="AC5">
        <f>IF(B5="","",IF(K5&lt;33.0,0,IF(K5&gt;=100*0.8,5,IF(K5&gt;=100*0.7,4,IF(K5&gt;=100*0.6,3.5,IF(K5&gt;=100*0.5,3,IF(K5&gt;=100*0.4,2,IF(K5&gt;=100*0.33,1,0))))))))</f>
        <v/>
      </c>
      <c r="AD5">
        <f>IF(B5="","",IF(L5&lt;33.0,0,IF(L5&gt;=100*0.8,5,IF(L5&gt;=100*0.7,4,IF(L5&gt;=100*0.6,3.5,IF(L5&gt;=100*0.5,3,IF(L5&gt;=100*0.4,2,IF(L5&gt;=100*0.33,1,0))))))))</f>
        <v/>
      </c>
      <c r="AE5">
        <f>IF(B5="","",IF(M5&lt;33.0,0,IF(M5&gt;=100*0.8,5,IF(M5&gt;=100*0.7,4,IF(M5&gt;=100*0.6,3.5,IF(M5&gt;=100*0.5,3,IF(M5&gt;=100*0.4,2,IF(M5&gt;=100*0.33,1,0))))))))</f>
        <v/>
      </c>
      <c r="AF5">
        <f>IF(B5="","",IF(N5&lt;16.5,0,IF(N5&gt;=50*0.8,5,IF(N5&gt;=50*0.7,4,IF(N5&gt;=50*0.6,3.5,IF(N5&gt;=50*0.5,3,IF(N5&gt;=50*0.4,2,IF(N5&gt;=50*0.33,1,0))))))))</f>
        <v/>
      </c>
      <c r="AG5">
        <f>IF(B5="","",IF(O5&lt;33.0,0,IF(O5&gt;=100*0.8,5,IF(O5&gt;=100*0.7,4,IF(O5&gt;=100*0.6,3.5,IF(O5&gt;=100*0.5,3,IF(O5&gt;=100*0.4,2,IF(O5&gt;=100*0.33,1,0))))))))</f>
        <v/>
      </c>
      <c r="AH5">
        <f>IF(B5="","",IF(OR(U5=0,V5=0,W5=0,X5=0,Y5=0,Z5=0,AA5=0,AB5=0,AC5=0,AD5=0,AE5=0,AF5=0,AG5=0),1,0))</f>
        <v/>
      </c>
    </row>
    <row r="6">
      <c r="A6" s="3" t="n">
        <v>4</v>
      </c>
      <c r="B6" t="inlineStr">
        <is>
          <t>Aisha Ahmed</t>
        </is>
      </c>
      <c r="C6" s="3" t="n">
        <v>93</v>
      </c>
      <c r="D6" s="3" t="n">
        <v>61</v>
      </c>
      <c r="E6" s="3" t="n">
        <v>29</v>
      </c>
      <c r="F6" s="3" t="n">
        <v>12</v>
      </c>
      <c r="G6" s="3" t="n">
        <v>21</v>
      </c>
      <c r="H6" s="3" t="n">
        <v>69</v>
      </c>
      <c r="I6" s="3" t="n">
        <v>44</v>
      </c>
      <c r="J6" s="3" t="n">
        <v>80</v>
      </c>
      <c r="K6" s="3" t="n">
        <v>51</v>
      </c>
      <c r="L6" s="3" t="n">
        <v>39</v>
      </c>
      <c r="M6" s="3" t="n">
        <v>75</v>
      </c>
      <c r="N6" s="3" t="n">
        <v>19</v>
      </c>
      <c r="O6" s="3" t="n">
        <v>41</v>
      </c>
      <c r="P6" s="4">
        <f>IF(B6="","",SUM(C6:O6))</f>
        <v/>
      </c>
      <c r="Q6" s="5">
        <f>IF(B6="","",ROUND(P6/13,2))</f>
        <v/>
      </c>
      <c r="R6" s="5">
        <f>IF(B6="","",IF(AH6=1,0,MIN(5,ROUND((U6+V6+W6+X6+Y6+Z6+AA6+AB6+AC6+AD6+AE6+AF6+AG6)/13,2))))</f>
        <v/>
      </c>
      <c r="S6" s="3">
        <f>IF(B6="","",IF(R6&gt;=5,"A+",IF(R6&gt;=4,"A",IF(R6&gt;=3.5,"A-",IF(R6&gt;=3,"B",IF(R6&gt;=2,"C",IF(R6&gt;=1,"D","F")))))))</f>
        <v/>
      </c>
      <c r="T6" s="3">
        <f>IF(OR(B6="",S6="F"),"",COUNTIFS(P:P,"&gt;"&amp;P6,S:S,"&lt;&gt;F")+1)</f>
        <v/>
      </c>
      <c r="U6">
        <f>IF(B6="","",IF(C6&lt;33.0,0,IF(C6&gt;=100*0.8,5,IF(C6&gt;=100*0.7,4,IF(C6&gt;=100*0.6,3.5,IF(C6&gt;=100*0.5,3,IF(C6&gt;=100*0.4,2,IF(C6&gt;=100*0.33,1,0))))))))</f>
        <v/>
      </c>
      <c r="V6">
        <f>IF(B6="","",IF(D6&lt;33.0,0,IF(D6&gt;=100*0.8,5,IF(D6&gt;=100*0.7,4,IF(D6&gt;=100*0.6,3.5,IF(D6&gt;=100*0.5,3,IF(D6&gt;=100*0.4,2,IF(D6&gt;=100*0.33,1,0))))))))</f>
        <v/>
      </c>
      <c r="W6">
        <f>IF(B6="","",IF(E6&lt;16.5,0,IF(E6&gt;=50*0.8,5,IF(E6&gt;=50*0.7,4,IF(E6&gt;=50*0.6,3.5,IF(E6&gt;=50*0.5,3,IF(E6&gt;=50*0.4,2,IF(E6&gt;=50*0.33,1,0))))))))</f>
        <v/>
      </c>
      <c r="X6">
        <f>IF(B6="","",IF(F6&lt;33.0,0,IF(F6&gt;=100*0.8,5,IF(F6&gt;=100*0.7,4,IF(F6&gt;=100*0.6,3.5,IF(F6&gt;=100*0.5,3,IF(F6&gt;=100*0.4,2,IF(F6&gt;=100*0.33,1,0))))))))</f>
        <v/>
      </c>
      <c r="Y6">
        <f>IF(B6="","",IF(G6&lt;16.5,0,IF(G6&gt;=50*0.8,5,IF(G6&gt;=50*0.7,4,IF(G6&gt;=50*0.6,3.5,IF(G6&gt;=50*0.5,3,IF(G6&gt;=50*0.4,2,IF(G6&gt;=50*0.33,1,0))))))))</f>
        <v/>
      </c>
      <c r="Z6">
        <f>IF(B6="","",IF(H6&lt;33.0,0,IF(H6&gt;=100*0.8,5,IF(H6&gt;=100*0.7,4,IF(H6&gt;=100*0.6,3.5,IF(H6&gt;=100*0.5,3,IF(H6&gt;=100*0.4,2,IF(H6&gt;=100*0.33,1,0))))))))</f>
        <v/>
      </c>
      <c r="AA6">
        <f>IF(B6="","",IF(I6&lt;33.0,0,IF(I6&gt;=100*0.8,5,IF(I6&gt;=100*0.7,4,IF(I6&gt;=100*0.6,3.5,IF(I6&gt;=100*0.5,3,IF(I6&gt;=100*0.4,2,IF(I6&gt;=100*0.33,1,0))))))))</f>
        <v/>
      </c>
      <c r="AB6">
        <f>IF(B6="","",IF(J6&lt;33.0,0,IF(J6&gt;=100*0.8,5,IF(J6&gt;=100*0.7,4,IF(J6&gt;=100*0.6,3.5,IF(J6&gt;=100*0.5,3,IF(J6&gt;=100*0.4,2,IF(J6&gt;=100*0.33,1,0))))))))</f>
        <v/>
      </c>
      <c r="AC6">
        <f>IF(B6="","",IF(K6&lt;33.0,0,IF(K6&gt;=100*0.8,5,IF(K6&gt;=100*0.7,4,IF(K6&gt;=100*0.6,3.5,IF(K6&gt;=100*0.5,3,IF(K6&gt;=100*0.4,2,IF(K6&gt;=100*0.33,1,0))))))))</f>
        <v/>
      </c>
      <c r="AD6">
        <f>IF(B6="","",IF(L6&lt;33.0,0,IF(L6&gt;=100*0.8,5,IF(L6&gt;=100*0.7,4,IF(L6&gt;=100*0.6,3.5,IF(L6&gt;=100*0.5,3,IF(L6&gt;=100*0.4,2,IF(L6&gt;=100*0.33,1,0))))))))</f>
        <v/>
      </c>
      <c r="AE6">
        <f>IF(B6="","",IF(M6&lt;33.0,0,IF(M6&gt;=100*0.8,5,IF(M6&gt;=100*0.7,4,IF(M6&gt;=100*0.6,3.5,IF(M6&gt;=100*0.5,3,IF(M6&gt;=100*0.4,2,IF(M6&gt;=100*0.33,1,0))))))))</f>
        <v/>
      </c>
      <c r="AF6">
        <f>IF(B6="","",IF(N6&lt;16.5,0,IF(N6&gt;=50*0.8,5,IF(N6&gt;=50*0.7,4,IF(N6&gt;=50*0.6,3.5,IF(N6&gt;=50*0.5,3,IF(N6&gt;=50*0.4,2,IF(N6&gt;=50*0.33,1,0))))))))</f>
        <v/>
      </c>
      <c r="AG6">
        <f>IF(B6="","",IF(O6&lt;33.0,0,IF(O6&gt;=100*0.8,5,IF(O6&gt;=100*0.7,4,IF(O6&gt;=100*0.6,3.5,IF(O6&gt;=100*0.5,3,IF(O6&gt;=100*0.4,2,IF(O6&gt;=100*0.33,1,0))))))))</f>
        <v/>
      </c>
      <c r="AH6">
        <f>IF(B6="","",IF(OR(U6=0,V6=0,W6=0,X6=0,Y6=0,Z6=0,AA6=0,AB6=0,AC6=0,AD6=0,AE6=0,AF6=0,AG6=0),1,0))</f>
        <v/>
      </c>
    </row>
    <row r="7">
      <c r="A7" s="3" t="n">
        <v>5</v>
      </c>
      <c r="B7" t="inlineStr">
        <is>
          <t>Khalid Aziz</t>
        </is>
      </c>
      <c r="C7" s="3" t="n">
        <v>95</v>
      </c>
      <c r="D7" s="3" t="n">
        <v>57</v>
      </c>
      <c r="E7" s="3" t="n">
        <v>17</v>
      </c>
      <c r="F7" s="3" t="n">
        <v>34</v>
      </c>
      <c r="G7" s="3" t="n">
        <v>24</v>
      </c>
      <c r="H7" s="3" t="n">
        <v>92</v>
      </c>
      <c r="I7" s="3" t="n">
        <v>42</v>
      </c>
      <c r="J7" s="3" t="n">
        <v>31</v>
      </c>
      <c r="K7" s="3" t="n">
        <v>47</v>
      </c>
      <c r="L7" s="3" t="n">
        <v>45</v>
      </c>
      <c r="M7" s="3" t="n">
        <v>63</v>
      </c>
      <c r="N7" s="3" t="n">
        <v>37</v>
      </c>
      <c r="O7" s="3" t="n">
        <v>66</v>
      </c>
      <c r="P7" s="4">
        <f>IF(B7="","",SUM(C7:O7))</f>
        <v/>
      </c>
      <c r="Q7" s="5">
        <f>IF(B7="","",ROUND(P7/13,2))</f>
        <v/>
      </c>
      <c r="R7" s="5">
        <f>IF(B7="","",IF(AH7=1,0,MIN(5,ROUND((U7+V7+W7+X7+Y7+Z7+AA7+AB7+AC7+AD7+AE7+AF7+AG7)/13,2))))</f>
        <v/>
      </c>
      <c r="S7" s="3">
        <f>IF(B7="","",IF(R7&gt;=5,"A+",IF(R7&gt;=4,"A",IF(R7&gt;=3.5,"A-",IF(R7&gt;=3,"B",IF(R7&gt;=2,"C",IF(R7&gt;=1,"D","F")))))))</f>
        <v/>
      </c>
      <c r="T7" s="3">
        <f>IF(OR(B7="",S7="F"),"",COUNTIFS(P:P,"&gt;"&amp;P7,S:S,"&lt;&gt;F")+1)</f>
        <v/>
      </c>
      <c r="U7">
        <f>IF(B7="","",IF(C7&lt;33.0,0,IF(C7&gt;=100*0.8,5,IF(C7&gt;=100*0.7,4,IF(C7&gt;=100*0.6,3.5,IF(C7&gt;=100*0.5,3,IF(C7&gt;=100*0.4,2,IF(C7&gt;=100*0.33,1,0))))))))</f>
        <v/>
      </c>
      <c r="V7">
        <f>IF(B7="","",IF(D7&lt;33.0,0,IF(D7&gt;=100*0.8,5,IF(D7&gt;=100*0.7,4,IF(D7&gt;=100*0.6,3.5,IF(D7&gt;=100*0.5,3,IF(D7&gt;=100*0.4,2,IF(D7&gt;=100*0.33,1,0))))))))</f>
        <v/>
      </c>
      <c r="W7">
        <f>IF(B7="","",IF(E7&lt;16.5,0,IF(E7&gt;=50*0.8,5,IF(E7&gt;=50*0.7,4,IF(E7&gt;=50*0.6,3.5,IF(E7&gt;=50*0.5,3,IF(E7&gt;=50*0.4,2,IF(E7&gt;=50*0.33,1,0))))))))</f>
        <v/>
      </c>
      <c r="X7">
        <f>IF(B7="","",IF(F7&lt;33.0,0,IF(F7&gt;=100*0.8,5,IF(F7&gt;=100*0.7,4,IF(F7&gt;=100*0.6,3.5,IF(F7&gt;=100*0.5,3,IF(F7&gt;=100*0.4,2,IF(F7&gt;=100*0.33,1,0))))))))</f>
        <v/>
      </c>
      <c r="Y7">
        <f>IF(B7="","",IF(G7&lt;16.5,0,IF(G7&gt;=50*0.8,5,IF(G7&gt;=50*0.7,4,IF(G7&gt;=50*0.6,3.5,IF(G7&gt;=50*0.5,3,IF(G7&gt;=50*0.4,2,IF(G7&gt;=50*0.33,1,0))))))))</f>
        <v/>
      </c>
      <c r="Z7">
        <f>IF(B7="","",IF(H7&lt;33.0,0,IF(H7&gt;=100*0.8,5,IF(H7&gt;=100*0.7,4,IF(H7&gt;=100*0.6,3.5,IF(H7&gt;=100*0.5,3,IF(H7&gt;=100*0.4,2,IF(H7&gt;=100*0.33,1,0))))))))</f>
        <v/>
      </c>
      <c r="AA7">
        <f>IF(B7="","",IF(I7&lt;33.0,0,IF(I7&gt;=100*0.8,5,IF(I7&gt;=100*0.7,4,IF(I7&gt;=100*0.6,3.5,IF(I7&gt;=100*0.5,3,IF(I7&gt;=100*0.4,2,IF(I7&gt;=100*0.33,1,0))))))))</f>
        <v/>
      </c>
      <c r="AB7">
        <f>IF(B7="","",IF(J7&lt;33.0,0,IF(J7&gt;=100*0.8,5,IF(J7&gt;=100*0.7,4,IF(J7&gt;=100*0.6,3.5,IF(J7&gt;=100*0.5,3,IF(J7&gt;=100*0.4,2,IF(J7&gt;=100*0.33,1,0))))))))</f>
        <v/>
      </c>
      <c r="AC7">
        <f>IF(B7="","",IF(K7&lt;33.0,0,IF(K7&gt;=100*0.8,5,IF(K7&gt;=100*0.7,4,IF(K7&gt;=100*0.6,3.5,IF(K7&gt;=100*0.5,3,IF(K7&gt;=100*0.4,2,IF(K7&gt;=100*0.33,1,0))))))))</f>
        <v/>
      </c>
      <c r="AD7">
        <f>IF(B7="","",IF(L7&lt;33.0,0,IF(L7&gt;=100*0.8,5,IF(L7&gt;=100*0.7,4,IF(L7&gt;=100*0.6,3.5,IF(L7&gt;=100*0.5,3,IF(L7&gt;=100*0.4,2,IF(L7&gt;=100*0.33,1,0))))))))</f>
        <v/>
      </c>
      <c r="AE7">
        <f>IF(B7="","",IF(M7&lt;33.0,0,IF(M7&gt;=100*0.8,5,IF(M7&gt;=100*0.7,4,IF(M7&gt;=100*0.6,3.5,IF(M7&gt;=100*0.5,3,IF(M7&gt;=100*0.4,2,IF(M7&gt;=100*0.33,1,0))))))))</f>
        <v/>
      </c>
      <c r="AF7">
        <f>IF(B7="","",IF(N7&lt;16.5,0,IF(N7&gt;=50*0.8,5,IF(N7&gt;=50*0.7,4,IF(N7&gt;=50*0.6,3.5,IF(N7&gt;=50*0.5,3,IF(N7&gt;=50*0.4,2,IF(N7&gt;=50*0.33,1,0))))))))</f>
        <v/>
      </c>
      <c r="AG7">
        <f>IF(B7="","",IF(O7&lt;33.0,0,IF(O7&gt;=100*0.8,5,IF(O7&gt;=100*0.7,4,IF(O7&gt;=100*0.6,3.5,IF(O7&gt;=100*0.5,3,IF(O7&gt;=100*0.4,2,IF(O7&gt;=100*0.33,1,0))))))))</f>
        <v/>
      </c>
      <c r="AH7">
        <f>IF(B7="","",IF(OR(U7=0,V7=0,W7=0,X7=0,Y7=0,Z7=0,AA7=0,AB7=0,AC7=0,AD7=0,AE7=0,AF7=0,AG7=0),1,0))</f>
        <v/>
      </c>
    </row>
    <row r="8">
      <c r="A8" s="3" t="n">
        <v>6</v>
      </c>
      <c r="B8" t="inlineStr">
        <is>
          <t>Khadija Khan</t>
        </is>
      </c>
      <c r="C8" s="3" t="n">
        <v>77</v>
      </c>
      <c r="D8" s="3" t="n">
        <v>36</v>
      </c>
      <c r="E8" s="3" t="n">
        <v>50</v>
      </c>
      <c r="F8" s="3" t="n">
        <v>36</v>
      </c>
      <c r="G8" s="3" t="n">
        <v>31</v>
      </c>
      <c r="H8" s="3" t="n">
        <v>73</v>
      </c>
      <c r="I8" s="3" t="n">
        <v>41</v>
      </c>
      <c r="J8" s="3" t="n">
        <v>52</v>
      </c>
      <c r="K8" s="3" t="n">
        <v>90</v>
      </c>
      <c r="L8" s="3" t="n">
        <v>90</v>
      </c>
      <c r="M8" s="3" t="n">
        <v>82</v>
      </c>
      <c r="N8" s="3" t="n">
        <v>23</v>
      </c>
      <c r="O8" s="3" t="n">
        <v>37</v>
      </c>
      <c r="P8" s="4">
        <f>IF(B8="","",SUM(C8:O8))</f>
        <v/>
      </c>
      <c r="Q8" s="5">
        <f>IF(B8="","",ROUND(P8/13,2))</f>
        <v/>
      </c>
      <c r="R8" s="5">
        <f>IF(B8="","",IF(AH8=1,0,MIN(5,ROUND((U8+V8+W8+X8+Y8+Z8+AA8+AB8+AC8+AD8+AE8+AF8+AG8)/13,2))))</f>
        <v/>
      </c>
      <c r="S8" s="3">
        <f>IF(B8="","",IF(R8&gt;=5,"A+",IF(R8&gt;=4,"A",IF(R8&gt;=3.5,"A-",IF(R8&gt;=3,"B",IF(R8&gt;=2,"C",IF(R8&gt;=1,"D","F")))))))</f>
        <v/>
      </c>
      <c r="T8" s="3">
        <f>IF(OR(B8="",S8="F"),"",COUNTIFS(P:P,"&gt;"&amp;P8,S:S,"&lt;&gt;F")+1)</f>
        <v/>
      </c>
      <c r="U8">
        <f>IF(B8="","",IF(C8&lt;33.0,0,IF(C8&gt;=100*0.8,5,IF(C8&gt;=100*0.7,4,IF(C8&gt;=100*0.6,3.5,IF(C8&gt;=100*0.5,3,IF(C8&gt;=100*0.4,2,IF(C8&gt;=100*0.33,1,0))))))))</f>
        <v/>
      </c>
      <c r="V8">
        <f>IF(B8="","",IF(D8&lt;33.0,0,IF(D8&gt;=100*0.8,5,IF(D8&gt;=100*0.7,4,IF(D8&gt;=100*0.6,3.5,IF(D8&gt;=100*0.5,3,IF(D8&gt;=100*0.4,2,IF(D8&gt;=100*0.33,1,0))))))))</f>
        <v/>
      </c>
      <c r="W8">
        <f>IF(B8="","",IF(E8&lt;16.5,0,IF(E8&gt;=50*0.8,5,IF(E8&gt;=50*0.7,4,IF(E8&gt;=50*0.6,3.5,IF(E8&gt;=50*0.5,3,IF(E8&gt;=50*0.4,2,IF(E8&gt;=50*0.33,1,0))))))))</f>
        <v/>
      </c>
      <c r="X8">
        <f>IF(B8="","",IF(F8&lt;33.0,0,IF(F8&gt;=100*0.8,5,IF(F8&gt;=100*0.7,4,IF(F8&gt;=100*0.6,3.5,IF(F8&gt;=100*0.5,3,IF(F8&gt;=100*0.4,2,IF(F8&gt;=100*0.33,1,0))))))))</f>
        <v/>
      </c>
      <c r="Y8">
        <f>IF(B8="","",IF(G8&lt;16.5,0,IF(G8&gt;=50*0.8,5,IF(G8&gt;=50*0.7,4,IF(G8&gt;=50*0.6,3.5,IF(G8&gt;=50*0.5,3,IF(G8&gt;=50*0.4,2,IF(G8&gt;=50*0.33,1,0))))))))</f>
        <v/>
      </c>
      <c r="Z8">
        <f>IF(B8="","",IF(H8&lt;33.0,0,IF(H8&gt;=100*0.8,5,IF(H8&gt;=100*0.7,4,IF(H8&gt;=100*0.6,3.5,IF(H8&gt;=100*0.5,3,IF(H8&gt;=100*0.4,2,IF(H8&gt;=100*0.33,1,0))))))))</f>
        <v/>
      </c>
      <c r="AA8">
        <f>IF(B8="","",IF(I8&lt;33.0,0,IF(I8&gt;=100*0.8,5,IF(I8&gt;=100*0.7,4,IF(I8&gt;=100*0.6,3.5,IF(I8&gt;=100*0.5,3,IF(I8&gt;=100*0.4,2,IF(I8&gt;=100*0.33,1,0))))))))</f>
        <v/>
      </c>
      <c r="AB8">
        <f>IF(B8="","",IF(J8&lt;33.0,0,IF(J8&gt;=100*0.8,5,IF(J8&gt;=100*0.7,4,IF(J8&gt;=100*0.6,3.5,IF(J8&gt;=100*0.5,3,IF(J8&gt;=100*0.4,2,IF(J8&gt;=100*0.33,1,0))))))))</f>
        <v/>
      </c>
      <c r="AC8">
        <f>IF(B8="","",IF(K8&lt;33.0,0,IF(K8&gt;=100*0.8,5,IF(K8&gt;=100*0.7,4,IF(K8&gt;=100*0.6,3.5,IF(K8&gt;=100*0.5,3,IF(K8&gt;=100*0.4,2,IF(K8&gt;=100*0.33,1,0))))))))</f>
        <v/>
      </c>
      <c r="AD8">
        <f>IF(B8="","",IF(L8&lt;33.0,0,IF(L8&gt;=100*0.8,5,IF(L8&gt;=100*0.7,4,IF(L8&gt;=100*0.6,3.5,IF(L8&gt;=100*0.5,3,IF(L8&gt;=100*0.4,2,IF(L8&gt;=100*0.33,1,0))))))))</f>
        <v/>
      </c>
      <c r="AE8">
        <f>IF(B8="","",IF(M8&lt;33.0,0,IF(M8&gt;=100*0.8,5,IF(M8&gt;=100*0.7,4,IF(M8&gt;=100*0.6,3.5,IF(M8&gt;=100*0.5,3,IF(M8&gt;=100*0.4,2,IF(M8&gt;=100*0.33,1,0))))))))</f>
        <v/>
      </c>
      <c r="AF8">
        <f>IF(B8="","",IF(N8&lt;16.5,0,IF(N8&gt;=50*0.8,5,IF(N8&gt;=50*0.7,4,IF(N8&gt;=50*0.6,3.5,IF(N8&gt;=50*0.5,3,IF(N8&gt;=50*0.4,2,IF(N8&gt;=50*0.33,1,0))))))))</f>
        <v/>
      </c>
      <c r="AG8">
        <f>IF(B8="","",IF(O8&lt;33.0,0,IF(O8&gt;=100*0.8,5,IF(O8&gt;=100*0.7,4,IF(O8&gt;=100*0.6,3.5,IF(O8&gt;=100*0.5,3,IF(O8&gt;=100*0.4,2,IF(O8&gt;=100*0.33,1,0))))))))</f>
        <v/>
      </c>
      <c r="AH8">
        <f>IF(B8="","",IF(OR(U8=0,V8=0,W8=0,X8=0,Y8=0,Z8=0,AA8=0,AB8=0,AC8=0,AD8=0,AE8=0,AF8=0,AG8=0),1,0))</f>
        <v/>
      </c>
    </row>
    <row r="9">
      <c r="A9" s="3" t="n">
        <v>7</v>
      </c>
      <c r="B9" t="inlineStr">
        <is>
          <t>Zainab Rahman</t>
        </is>
      </c>
      <c r="C9" s="3" t="n">
        <v>72</v>
      </c>
      <c r="D9" s="3" t="n">
        <v>81</v>
      </c>
      <c r="E9" s="3" t="n">
        <v>19</v>
      </c>
      <c r="F9" s="3" t="n">
        <v>72</v>
      </c>
      <c r="G9" s="3" t="n">
        <v>46</v>
      </c>
      <c r="H9" s="3" t="n">
        <v>3</v>
      </c>
      <c r="I9" s="3" t="n">
        <v>35</v>
      </c>
      <c r="J9" s="3" t="n">
        <v>82</v>
      </c>
      <c r="K9" s="3" t="n">
        <v>56</v>
      </c>
      <c r="L9" s="3" t="n">
        <v>92</v>
      </c>
      <c r="M9" s="3" t="n">
        <v>69</v>
      </c>
      <c r="N9" s="3" t="n">
        <v>25</v>
      </c>
      <c r="O9" s="3" t="n">
        <v>82</v>
      </c>
      <c r="P9" s="4">
        <f>IF(B9="","",SUM(C9:O9))</f>
        <v/>
      </c>
      <c r="Q9" s="5">
        <f>IF(B9="","",ROUND(P9/13,2))</f>
        <v/>
      </c>
      <c r="R9" s="5">
        <f>IF(B9="","",IF(AH9=1,0,MIN(5,ROUND((U9+V9+W9+X9+Y9+Z9+AA9+AB9+AC9+AD9+AE9+AF9+AG9)/13,2))))</f>
        <v/>
      </c>
      <c r="S9" s="3">
        <f>IF(B9="","",IF(R9&gt;=5,"A+",IF(R9&gt;=4,"A",IF(R9&gt;=3.5,"A-",IF(R9&gt;=3,"B",IF(R9&gt;=2,"C",IF(R9&gt;=1,"D","F")))))))</f>
        <v/>
      </c>
      <c r="T9" s="3">
        <f>IF(OR(B9="",S9="F"),"",COUNTIFS(P:P,"&gt;"&amp;P9,S:S,"&lt;&gt;F")+1)</f>
        <v/>
      </c>
      <c r="U9">
        <f>IF(B9="","",IF(C9&lt;33.0,0,IF(C9&gt;=100*0.8,5,IF(C9&gt;=100*0.7,4,IF(C9&gt;=100*0.6,3.5,IF(C9&gt;=100*0.5,3,IF(C9&gt;=100*0.4,2,IF(C9&gt;=100*0.33,1,0))))))))</f>
        <v/>
      </c>
      <c r="V9">
        <f>IF(B9="","",IF(D9&lt;33.0,0,IF(D9&gt;=100*0.8,5,IF(D9&gt;=100*0.7,4,IF(D9&gt;=100*0.6,3.5,IF(D9&gt;=100*0.5,3,IF(D9&gt;=100*0.4,2,IF(D9&gt;=100*0.33,1,0))))))))</f>
        <v/>
      </c>
      <c r="W9">
        <f>IF(B9="","",IF(E9&lt;16.5,0,IF(E9&gt;=50*0.8,5,IF(E9&gt;=50*0.7,4,IF(E9&gt;=50*0.6,3.5,IF(E9&gt;=50*0.5,3,IF(E9&gt;=50*0.4,2,IF(E9&gt;=50*0.33,1,0))))))))</f>
        <v/>
      </c>
      <c r="X9">
        <f>IF(B9="","",IF(F9&lt;33.0,0,IF(F9&gt;=100*0.8,5,IF(F9&gt;=100*0.7,4,IF(F9&gt;=100*0.6,3.5,IF(F9&gt;=100*0.5,3,IF(F9&gt;=100*0.4,2,IF(F9&gt;=100*0.33,1,0))))))))</f>
        <v/>
      </c>
      <c r="Y9">
        <f>IF(B9="","",IF(G9&lt;16.5,0,IF(G9&gt;=50*0.8,5,IF(G9&gt;=50*0.7,4,IF(G9&gt;=50*0.6,3.5,IF(G9&gt;=50*0.5,3,IF(G9&gt;=50*0.4,2,IF(G9&gt;=50*0.33,1,0))))))))</f>
        <v/>
      </c>
      <c r="Z9">
        <f>IF(B9="","",IF(H9&lt;33.0,0,IF(H9&gt;=100*0.8,5,IF(H9&gt;=100*0.7,4,IF(H9&gt;=100*0.6,3.5,IF(H9&gt;=100*0.5,3,IF(H9&gt;=100*0.4,2,IF(H9&gt;=100*0.33,1,0))))))))</f>
        <v/>
      </c>
      <c r="AA9">
        <f>IF(B9="","",IF(I9&lt;33.0,0,IF(I9&gt;=100*0.8,5,IF(I9&gt;=100*0.7,4,IF(I9&gt;=100*0.6,3.5,IF(I9&gt;=100*0.5,3,IF(I9&gt;=100*0.4,2,IF(I9&gt;=100*0.33,1,0))))))))</f>
        <v/>
      </c>
      <c r="AB9">
        <f>IF(B9="","",IF(J9&lt;33.0,0,IF(J9&gt;=100*0.8,5,IF(J9&gt;=100*0.7,4,IF(J9&gt;=100*0.6,3.5,IF(J9&gt;=100*0.5,3,IF(J9&gt;=100*0.4,2,IF(J9&gt;=100*0.33,1,0))))))))</f>
        <v/>
      </c>
      <c r="AC9">
        <f>IF(B9="","",IF(K9&lt;33.0,0,IF(K9&gt;=100*0.8,5,IF(K9&gt;=100*0.7,4,IF(K9&gt;=100*0.6,3.5,IF(K9&gt;=100*0.5,3,IF(K9&gt;=100*0.4,2,IF(K9&gt;=100*0.33,1,0))))))))</f>
        <v/>
      </c>
      <c r="AD9">
        <f>IF(B9="","",IF(L9&lt;33.0,0,IF(L9&gt;=100*0.8,5,IF(L9&gt;=100*0.7,4,IF(L9&gt;=100*0.6,3.5,IF(L9&gt;=100*0.5,3,IF(L9&gt;=100*0.4,2,IF(L9&gt;=100*0.33,1,0))))))))</f>
        <v/>
      </c>
      <c r="AE9">
        <f>IF(B9="","",IF(M9&lt;33.0,0,IF(M9&gt;=100*0.8,5,IF(M9&gt;=100*0.7,4,IF(M9&gt;=100*0.6,3.5,IF(M9&gt;=100*0.5,3,IF(M9&gt;=100*0.4,2,IF(M9&gt;=100*0.33,1,0))))))))</f>
        <v/>
      </c>
      <c r="AF9">
        <f>IF(B9="","",IF(N9&lt;16.5,0,IF(N9&gt;=50*0.8,5,IF(N9&gt;=50*0.7,4,IF(N9&gt;=50*0.6,3.5,IF(N9&gt;=50*0.5,3,IF(N9&gt;=50*0.4,2,IF(N9&gt;=50*0.33,1,0))))))))</f>
        <v/>
      </c>
      <c r="AG9">
        <f>IF(B9="","",IF(O9&lt;33.0,0,IF(O9&gt;=100*0.8,5,IF(O9&gt;=100*0.7,4,IF(O9&gt;=100*0.6,3.5,IF(O9&gt;=100*0.5,3,IF(O9&gt;=100*0.4,2,IF(O9&gt;=100*0.33,1,0))))))))</f>
        <v/>
      </c>
      <c r="AH9">
        <f>IF(B9="","",IF(OR(U9=0,V9=0,W9=0,X9=0,Y9=0,Z9=0,AA9=0,AB9=0,AC9=0,AD9=0,AE9=0,AF9=0,AG9=0),1,0))</f>
        <v/>
      </c>
    </row>
    <row r="10">
      <c r="A10" s="3" t="n">
        <v>8</v>
      </c>
      <c r="B10" t="inlineStr">
        <is>
          <t>Fatima Hassan</t>
        </is>
      </c>
      <c r="C10" s="3" t="n">
        <v>66</v>
      </c>
      <c r="D10" s="3" t="n">
        <v>38</v>
      </c>
      <c r="E10" s="3" t="n">
        <v>38</v>
      </c>
      <c r="F10" s="3" t="n">
        <v>63</v>
      </c>
      <c r="G10" s="3" t="n">
        <v>3</v>
      </c>
      <c r="H10" s="3" t="n">
        <v>55</v>
      </c>
      <c r="I10" s="3" t="n">
        <v>42</v>
      </c>
      <c r="J10" s="3" t="n">
        <v>48</v>
      </c>
      <c r="K10" s="3" t="n">
        <v>90</v>
      </c>
      <c r="L10" s="3" t="n">
        <v>63</v>
      </c>
      <c r="M10" s="3" t="n">
        <v>92</v>
      </c>
      <c r="N10" s="3" t="n">
        <v>45</v>
      </c>
      <c r="O10" s="3" t="n">
        <v>61</v>
      </c>
      <c r="P10" s="4">
        <f>IF(B10="","",SUM(C10:O10))</f>
        <v/>
      </c>
      <c r="Q10" s="5">
        <f>IF(B10="","",ROUND(P10/13,2))</f>
        <v/>
      </c>
      <c r="R10" s="5">
        <f>IF(B10="","",IF(AH10=1,0,MIN(5,ROUND((U10+V10+W10+X10+Y10+Z10+AA10+AB10+AC10+AD10+AE10+AF10+AG10)/13,2))))</f>
        <v/>
      </c>
      <c r="S10" s="3">
        <f>IF(B10="","",IF(R10&gt;=5,"A+",IF(R10&gt;=4,"A",IF(R10&gt;=3.5,"A-",IF(R10&gt;=3,"B",IF(R10&gt;=2,"C",IF(R10&gt;=1,"D","F")))))))</f>
        <v/>
      </c>
      <c r="T10" s="3">
        <f>IF(OR(B10="",S10="F"),"",COUNTIFS(P:P,"&gt;"&amp;P10,S:S,"&lt;&gt;F")+1)</f>
        <v/>
      </c>
      <c r="U10">
        <f>IF(B10="","",IF(C10&lt;33.0,0,IF(C10&gt;=100*0.8,5,IF(C10&gt;=100*0.7,4,IF(C10&gt;=100*0.6,3.5,IF(C10&gt;=100*0.5,3,IF(C10&gt;=100*0.4,2,IF(C10&gt;=100*0.33,1,0))))))))</f>
        <v/>
      </c>
      <c r="V10">
        <f>IF(B10="","",IF(D10&lt;33.0,0,IF(D10&gt;=100*0.8,5,IF(D10&gt;=100*0.7,4,IF(D10&gt;=100*0.6,3.5,IF(D10&gt;=100*0.5,3,IF(D10&gt;=100*0.4,2,IF(D10&gt;=100*0.33,1,0))))))))</f>
        <v/>
      </c>
      <c r="W10">
        <f>IF(B10="","",IF(E10&lt;16.5,0,IF(E10&gt;=50*0.8,5,IF(E10&gt;=50*0.7,4,IF(E10&gt;=50*0.6,3.5,IF(E10&gt;=50*0.5,3,IF(E10&gt;=50*0.4,2,IF(E10&gt;=50*0.33,1,0))))))))</f>
        <v/>
      </c>
      <c r="X10">
        <f>IF(B10="","",IF(F10&lt;33.0,0,IF(F10&gt;=100*0.8,5,IF(F10&gt;=100*0.7,4,IF(F10&gt;=100*0.6,3.5,IF(F10&gt;=100*0.5,3,IF(F10&gt;=100*0.4,2,IF(F10&gt;=100*0.33,1,0))))))))</f>
        <v/>
      </c>
      <c r="Y10">
        <f>IF(B10="","",IF(G10&lt;16.5,0,IF(G10&gt;=50*0.8,5,IF(G10&gt;=50*0.7,4,IF(G10&gt;=50*0.6,3.5,IF(G10&gt;=50*0.5,3,IF(G10&gt;=50*0.4,2,IF(G10&gt;=50*0.33,1,0))))))))</f>
        <v/>
      </c>
      <c r="Z10">
        <f>IF(B10="","",IF(H10&lt;33.0,0,IF(H10&gt;=100*0.8,5,IF(H10&gt;=100*0.7,4,IF(H10&gt;=100*0.6,3.5,IF(H10&gt;=100*0.5,3,IF(H10&gt;=100*0.4,2,IF(H10&gt;=100*0.33,1,0))))))))</f>
        <v/>
      </c>
      <c r="AA10">
        <f>IF(B10="","",IF(I10&lt;33.0,0,IF(I10&gt;=100*0.8,5,IF(I10&gt;=100*0.7,4,IF(I10&gt;=100*0.6,3.5,IF(I10&gt;=100*0.5,3,IF(I10&gt;=100*0.4,2,IF(I10&gt;=100*0.33,1,0))))))))</f>
        <v/>
      </c>
      <c r="AB10">
        <f>IF(B10="","",IF(J10&lt;33.0,0,IF(J10&gt;=100*0.8,5,IF(J10&gt;=100*0.7,4,IF(J10&gt;=100*0.6,3.5,IF(J10&gt;=100*0.5,3,IF(J10&gt;=100*0.4,2,IF(J10&gt;=100*0.33,1,0))))))))</f>
        <v/>
      </c>
      <c r="AC10">
        <f>IF(B10="","",IF(K10&lt;33.0,0,IF(K10&gt;=100*0.8,5,IF(K10&gt;=100*0.7,4,IF(K10&gt;=100*0.6,3.5,IF(K10&gt;=100*0.5,3,IF(K10&gt;=100*0.4,2,IF(K10&gt;=100*0.33,1,0))))))))</f>
        <v/>
      </c>
      <c r="AD10">
        <f>IF(B10="","",IF(L10&lt;33.0,0,IF(L10&gt;=100*0.8,5,IF(L10&gt;=100*0.7,4,IF(L10&gt;=100*0.6,3.5,IF(L10&gt;=100*0.5,3,IF(L10&gt;=100*0.4,2,IF(L10&gt;=100*0.33,1,0))))))))</f>
        <v/>
      </c>
      <c r="AE10">
        <f>IF(B10="","",IF(M10&lt;33.0,0,IF(M10&gt;=100*0.8,5,IF(M10&gt;=100*0.7,4,IF(M10&gt;=100*0.6,3.5,IF(M10&gt;=100*0.5,3,IF(M10&gt;=100*0.4,2,IF(M10&gt;=100*0.33,1,0))))))))</f>
        <v/>
      </c>
      <c r="AF10">
        <f>IF(B10="","",IF(N10&lt;16.5,0,IF(N10&gt;=50*0.8,5,IF(N10&gt;=50*0.7,4,IF(N10&gt;=50*0.6,3.5,IF(N10&gt;=50*0.5,3,IF(N10&gt;=50*0.4,2,IF(N10&gt;=50*0.33,1,0))))))))</f>
        <v/>
      </c>
      <c r="AG10">
        <f>IF(B10="","",IF(O10&lt;33.0,0,IF(O10&gt;=100*0.8,5,IF(O10&gt;=100*0.7,4,IF(O10&gt;=100*0.6,3.5,IF(O10&gt;=100*0.5,3,IF(O10&gt;=100*0.4,2,IF(O10&gt;=100*0.33,1,0))))))))</f>
        <v/>
      </c>
      <c r="AH10">
        <f>IF(B10="","",IF(OR(U10=0,V10=0,W10=0,X10=0,Y10=0,Z10=0,AA10=0,AB10=0,AC10=0,AD10=0,AE10=0,AF10=0,AG10=0),1,0))</f>
        <v/>
      </c>
    </row>
    <row r="11">
      <c r="A11" s="3" t="n">
        <v>9</v>
      </c>
      <c r="B11" t="inlineStr">
        <is>
          <t>Aisha Ali</t>
        </is>
      </c>
      <c r="C11" s="3" t="n">
        <v>77</v>
      </c>
      <c r="D11" s="3" t="n">
        <v>67</v>
      </c>
      <c r="E11" s="3" t="n">
        <v>32</v>
      </c>
      <c r="F11" s="3" t="n">
        <v>41</v>
      </c>
      <c r="G11" s="3" t="n">
        <v>24</v>
      </c>
      <c r="H11" s="3" t="n">
        <v>51</v>
      </c>
      <c r="I11" s="3" t="n">
        <v>71</v>
      </c>
      <c r="J11" s="3" t="n">
        <v>100</v>
      </c>
      <c r="K11" s="3" t="n">
        <v>6</v>
      </c>
      <c r="L11" s="3" t="n">
        <v>58</v>
      </c>
      <c r="M11" s="3" t="n">
        <v>55</v>
      </c>
      <c r="N11" s="3" t="n">
        <v>28</v>
      </c>
      <c r="O11" s="3" t="n">
        <v>73</v>
      </c>
      <c r="P11" s="4">
        <f>IF(B11="","",SUM(C11:O11))</f>
        <v/>
      </c>
      <c r="Q11" s="5">
        <f>IF(B11="","",ROUND(P11/13,2))</f>
        <v/>
      </c>
      <c r="R11" s="5">
        <f>IF(B11="","",IF(AH11=1,0,MIN(5,ROUND((U11+V11+W11+X11+Y11+Z11+AA11+AB11+AC11+AD11+AE11+AF11+AG11)/13,2))))</f>
        <v/>
      </c>
      <c r="S11" s="3">
        <f>IF(B11="","",IF(R11&gt;=5,"A+",IF(R11&gt;=4,"A",IF(R11&gt;=3.5,"A-",IF(R11&gt;=3,"B",IF(R11&gt;=2,"C",IF(R11&gt;=1,"D","F")))))))</f>
        <v/>
      </c>
      <c r="T11" s="3">
        <f>IF(OR(B11="",S11="F"),"",COUNTIFS(P:P,"&gt;"&amp;P11,S:S,"&lt;&gt;F")+1)</f>
        <v/>
      </c>
      <c r="U11">
        <f>IF(B11="","",IF(C11&lt;33.0,0,IF(C11&gt;=100*0.8,5,IF(C11&gt;=100*0.7,4,IF(C11&gt;=100*0.6,3.5,IF(C11&gt;=100*0.5,3,IF(C11&gt;=100*0.4,2,IF(C11&gt;=100*0.33,1,0))))))))</f>
        <v/>
      </c>
      <c r="V11">
        <f>IF(B11="","",IF(D11&lt;33.0,0,IF(D11&gt;=100*0.8,5,IF(D11&gt;=100*0.7,4,IF(D11&gt;=100*0.6,3.5,IF(D11&gt;=100*0.5,3,IF(D11&gt;=100*0.4,2,IF(D11&gt;=100*0.33,1,0))))))))</f>
        <v/>
      </c>
      <c r="W11">
        <f>IF(B11="","",IF(E11&lt;16.5,0,IF(E11&gt;=50*0.8,5,IF(E11&gt;=50*0.7,4,IF(E11&gt;=50*0.6,3.5,IF(E11&gt;=50*0.5,3,IF(E11&gt;=50*0.4,2,IF(E11&gt;=50*0.33,1,0))))))))</f>
        <v/>
      </c>
      <c r="X11">
        <f>IF(B11="","",IF(F11&lt;33.0,0,IF(F11&gt;=100*0.8,5,IF(F11&gt;=100*0.7,4,IF(F11&gt;=100*0.6,3.5,IF(F11&gt;=100*0.5,3,IF(F11&gt;=100*0.4,2,IF(F11&gt;=100*0.33,1,0))))))))</f>
        <v/>
      </c>
      <c r="Y11">
        <f>IF(B11="","",IF(G11&lt;16.5,0,IF(G11&gt;=50*0.8,5,IF(G11&gt;=50*0.7,4,IF(G11&gt;=50*0.6,3.5,IF(G11&gt;=50*0.5,3,IF(G11&gt;=50*0.4,2,IF(G11&gt;=50*0.33,1,0))))))))</f>
        <v/>
      </c>
      <c r="Z11">
        <f>IF(B11="","",IF(H11&lt;33.0,0,IF(H11&gt;=100*0.8,5,IF(H11&gt;=100*0.7,4,IF(H11&gt;=100*0.6,3.5,IF(H11&gt;=100*0.5,3,IF(H11&gt;=100*0.4,2,IF(H11&gt;=100*0.33,1,0))))))))</f>
        <v/>
      </c>
      <c r="AA11">
        <f>IF(B11="","",IF(I11&lt;33.0,0,IF(I11&gt;=100*0.8,5,IF(I11&gt;=100*0.7,4,IF(I11&gt;=100*0.6,3.5,IF(I11&gt;=100*0.5,3,IF(I11&gt;=100*0.4,2,IF(I11&gt;=100*0.33,1,0))))))))</f>
        <v/>
      </c>
      <c r="AB11">
        <f>IF(B11="","",IF(J11&lt;33.0,0,IF(J11&gt;=100*0.8,5,IF(J11&gt;=100*0.7,4,IF(J11&gt;=100*0.6,3.5,IF(J11&gt;=100*0.5,3,IF(J11&gt;=100*0.4,2,IF(J11&gt;=100*0.33,1,0))))))))</f>
        <v/>
      </c>
      <c r="AC11">
        <f>IF(B11="","",IF(K11&lt;33.0,0,IF(K11&gt;=100*0.8,5,IF(K11&gt;=100*0.7,4,IF(K11&gt;=100*0.6,3.5,IF(K11&gt;=100*0.5,3,IF(K11&gt;=100*0.4,2,IF(K11&gt;=100*0.33,1,0))))))))</f>
        <v/>
      </c>
      <c r="AD11">
        <f>IF(B11="","",IF(L11&lt;33.0,0,IF(L11&gt;=100*0.8,5,IF(L11&gt;=100*0.7,4,IF(L11&gt;=100*0.6,3.5,IF(L11&gt;=100*0.5,3,IF(L11&gt;=100*0.4,2,IF(L11&gt;=100*0.33,1,0))))))))</f>
        <v/>
      </c>
      <c r="AE11">
        <f>IF(B11="","",IF(M11&lt;33.0,0,IF(M11&gt;=100*0.8,5,IF(M11&gt;=100*0.7,4,IF(M11&gt;=100*0.6,3.5,IF(M11&gt;=100*0.5,3,IF(M11&gt;=100*0.4,2,IF(M11&gt;=100*0.33,1,0))))))))</f>
        <v/>
      </c>
      <c r="AF11">
        <f>IF(B11="","",IF(N11&lt;16.5,0,IF(N11&gt;=50*0.8,5,IF(N11&gt;=50*0.7,4,IF(N11&gt;=50*0.6,3.5,IF(N11&gt;=50*0.5,3,IF(N11&gt;=50*0.4,2,IF(N11&gt;=50*0.33,1,0))))))))</f>
        <v/>
      </c>
      <c r="AG11">
        <f>IF(B11="","",IF(O11&lt;33.0,0,IF(O11&gt;=100*0.8,5,IF(O11&gt;=100*0.7,4,IF(O11&gt;=100*0.6,3.5,IF(O11&gt;=100*0.5,3,IF(O11&gt;=100*0.4,2,IF(O11&gt;=100*0.33,1,0))))))))</f>
        <v/>
      </c>
      <c r="AH11">
        <f>IF(B11="","",IF(OR(U11=0,V11=0,W11=0,X11=0,Y11=0,Z11=0,AA11=0,AB11=0,AC11=0,AD11=0,AE11=0,AF11=0,AG11=0),1,0))</f>
        <v/>
      </c>
    </row>
    <row r="12">
      <c r="A12" s="3" t="n">
        <v>10</v>
      </c>
      <c r="B12" t="inlineStr">
        <is>
          <t>Omar Rahman</t>
        </is>
      </c>
      <c r="C12" s="3" t="n">
        <v>36</v>
      </c>
      <c r="D12" s="3" t="n">
        <v>73</v>
      </c>
      <c r="E12" s="3" t="n">
        <v>25</v>
      </c>
      <c r="F12" s="3" t="n">
        <v>57</v>
      </c>
      <c r="G12" s="3" t="n">
        <v>45</v>
      </c>
      <c r="H12" s="3" t="n">
        <v>63</v>
      </c>
      <c r="I12" s="3" t="n">
        <v>53</v>
      </c>
      <c r="J12" s="3" t="n">
        <v>43</v>
      </c>
      <c r="K12" s="3" t="n">
        <v>29</v>
      </c>
      <c r="L12" s="3" t="n">
        <v>98</v>
      </c>
      <c r="M12" s="3" t="n">
        <v>91</v>
      </c>
      <c r="N12" s="3" t="n">
        <v>44</v>
      </c>
      <c r="O12" s="3" t="n">
        <v>43</v>
      </c>
      <c r="P12" s="4">
        <f>IF(B12="","",SUM(C12:O12))</f>
        <v/>
      </c>
      <c r="Q12" s="5">
        <f>IF(B12="","",ROUND(P12/13,2))</f>
        <v/>
      </c>
      <c r="R12" s="5">
        <f>IF(B12="","",IF(AH12=1,0,MIN(5,ROUND((U12+V12+W12+X12+Y12+Z12+AA12+AB12+AC12+AD12+AE12+AF12+AG12)/13,2))))</f>
        <v/>
      </c>
      <c r="S12" s="3">
        <f>IF(B12="","",IF(R12&gt;=5,"A+",IF(R12&gt;=4,"A",IF(R12&gt;=3.5,"A-",IF(R12&gt;=3,"B",IF(R12&gt;=2,"C",IF(R12&gt;=1,"D","F")))))))</f>
        <v/>
      </c>
      <c r="T12" s="3">
        <f>IF(OR(B12="",S12="F"),"",COUNTIFS(P:P,"&gt;"&amp;P12,S:S,"&lt;&gt;F")+1)</f>
        <v/>
      </c>
      <c r="U12">
        <f>IF(B12="","",IF(C12&lt;33.0,0,IF(C12&gt;=100*0.8,5,IF(C12&gt;=100*0.7,4,IF(C12&gt;=100*0.6,3.5,IF(C12&gt;=100*0.5,3,IF(C12&gt;=100*0.4,2,IF(C12&gt;=100*0.33,1,0))))))))</f>
        <v/>
      </c>
      <c r="V12">
        <f>IF(B12="","",IF(D12&lt;33.0,0,IF(D12&gt;=100*0.8,5,IF(D12&gt;=100*0.7,4,IF(D12&gt;=100*0.6,3.5,IF(D12&gt;=100*0.5,3,IF(D12&gt;=100*0.4,2,IF(D12&gt;=100*0.33,1,0))))))))</f>
        <v/>
      </c>
      <c r="W12">
        <f>IF(B12="","",IF(E12&lt;16.5,0,IF(E12&gt;=50*0.8,5,IF(E12&gt;=50*0.7,4,IF(E12&gt;=50*0.6,3.5,IF(E12&gt;=50*0.5,3,IF(E12&gt;=50*0.4,2,IF(E12&gt;=50*0.33,1,0))))))))</f>
        <v/>
      </c>
      <c r="X12">
        <f>IF(B12="","",IF(F12&lt;33.0,0,IF(F12&gt;=100*0.8,5,IF(F12&gt;=100*0.7,4,IF(F12&gt;=100*0.6,3.5,IF(F12&gt;=100*0.5,3,IF(F12&gt;=100*0.4,2,IF(F12&gt;=100*0.33,1,0))))))))</f>
        <v/>
      </c>
      <c r="Y12">
        <f>IF(B12="","",IF(G12&lt;16.5,0,IF(G12&gt;=50*0.8,5,IF(G12&gt;=50*0.7,4,IF(G12&gt;=50*0.6,3.5,IF(G12&gt;=50*0.5,3,IF(G12&gt;=50*0.4,2,IF(G12&gt;=50*0.33,1,0))))))))</f>
        <v/>
      </c>
      <c r="Z12">
        <f>IF(B12="","",IF(H12&lt;33.0,0,IF(H12&gt;=100*0.8,5,IF(H12&gt;=100*0.7,4,IF(H12&gt;=100*0.6,3.5,IF(H12&gt;=100*0.5,3,IF(H12&gt;=100*0.4,2,IF(H12&gt;=100*0.33,1,0))))))))</f>
        <v/>
      </c>
      <c r="AA12">
        <f>IF(B12="","",IF(I12&lt;33.0,0,IF(I12&gt;=100*0.8,5,IF(I12&gt;=100*0.7,4,IF(I12&gt;=100*0.6,3.5,IF(I12&gt;=100*0.5,3,IF(I12&gt;=100*0.4,2,IF(I12&gt;=100*0.33,1,0))))))))</f>
        <v/>
      </c>
      <c r="AB12">
        <f>IF(B12="","",IF(J12&lt;33.0,0,IF(J12&gt;=100*0.8,5,IF(J12&gt;=100*0.7,4,IF(J12&gt;=100*0.6,3.5,IF(J12&gt;=100*0.5,3,IF(J12&gt;=100*0.4,2,IF(J12&gt;=100*0.33,1,0))))))))</f>
        <v/>
      </c>
      <c r="AC12">
        <f>IF(B12="","",IF(K12&lt;33.0,0,IF(K12&gt;=100*0.8,5,IF(K12&gt;=100*0.7,4,IF(K12&gt;=100*0.6,3.5,IF(K12&gt;=100*0.5,3,IF(K12&gt;=100*0.4,2,IF(K12&gt;=100*0.33,1,0))))))))</f>
        <v/>
      </c>
      <c r="AD12">
        <f>IF(B12="","",IF(L12&lt;33.0,0,IF(L12&gt;=100*0.8,5,IF(L12&gt;=100*0.7,4,IF(L12&gt;=100*0.6,3.5,IF(L12&gt;=100*0.5,3,IF(L12&gt;=100*0.4,2,IF(L12&gt;=100*0.33,1,0))))))))</f>
        <v/>
      </c>
      <c r="AE12">
        <f>IF(B12="","",IF(M12&lt;33.0,0,IF(M12&gt;=100*0.8,5,IF(M12&gt;=100*0.7,4,IF(M12&gt;=100*0.6,3.5,IF(M12&gt;=100*0.5,3,IF(M12&gt;=100*0.4,2,IF(M12&gt;=100*0.33,1,0))))))))</f>
        <v/>
      </c>
      <c r="AF12">
        <f>IF(B12="","",IF(N12&lt;16.5,0,IF(N12&gt;=50*0.8,5,IF(N12&gt;=50*0.7,4,IF(N12&gt;=50*0.6,3.5,IF(N12&gt;=50*0.5,3,IF(N12&gt;=50*0.4,2,IF(N12&gt;=50*0.33,1,0))))))))</f>
        <v/>
      </c>
      <c r="AG12">
        <f>IF(B12="","",IF(O12&lt;33.0,0,IF(O12&gt;=100*0.8,5,IF(O12&gt;=100*0.7,4,IF(O12&gt;=100*0.6,3.5,IF(O12&gt;=100*0.5,3,IF(O12&gt;=100*0.4,2,IF(O12&gt;=100*0.33,1,0))))))))</f>
        <v/>
      </c>
      <c r="AH12">
        <f>IF(B12="","",IF(OR(U12=0,V12=0,W12=0,X12=0,Y12=0,Z12=0,AA12=0,AB12=0,AC12=0,AD12=0,AE12=0,AF12=0,AG12=0),1,0))</f>
        <v/>
      </c>
    </row>
    <row r="13">
      <c r="A13" s="3" t="n">
        <v>11</v>
      </c>
      <c r="B13" t="inlineStr">
        <is>
          <t>Sumaya Shah</t>
        </is>
      </c>
      <c r="C13" s="3" t="n">
        <v>59</v>
      </c>
      <c r="D13" s="3" t="n">
        <v>89</v>
      </c>
      <c r="E13" s="3" t="n">
        <v>30</v>
      </c>
      <c r="F13" s="3" t="n">
        <v>84</v>
      </c>
      <c r="G13" s="3" t="n">
        <v>27</v>
      </c>
      <c r="H13" s="3" t="n">
        <v>78</v>
      </c>
      <c r="I13" s="3" t="n">
        <v>88</v>
      </c>
      <c r="J13" s="3" t="n">
        <v>65</v>
      </c>
      <c r="K13" s="3" t="n">
        <v>58</v>
      </c>
      <c r="L13" s="3" t="n">
        <v>100</v>
      </c>
      <c r="M13" s="3" t="n">
        <v>16</v>
      </c>
      <c r="N13" s="3" t="n">
        <v>32</v>
      </c>
      <c r="O13" s="3" t="n">
        <v>79</v>
      </c>
      <c r="P13" s="4">
        <f>IF(B13="","",SUM(C13:O13))</f>
        <v/>
      </c>
      <c r="Q13" s="5">
        <f>IF(B13="","",ROUND(P13/13,2))</f>
        <v/>
      </c>
      <c r="R13" s="5">
        <f>IF(B13="","",IF(AH13=1,0,MIN(5,ROUND((U13+V13+W13+X13+Y13+Z13+AA13+AB13+AC13+AD13+AE13+AF13+AG13)/13,2))))</f>
        <v/>
      </c>
      <c r="S13" s="3">
        <f>IF(B13="","",IF(R13&gt;=5,"A+",IF(R13&gt;=4,"A",IF(R13&gt;=3.5,"A-",IF(R13&gt;=3,"B",IF(R13&gt;=2,"C",IF(R13&gt;=1,"D","F")))))))</f>
        <v/>
      </c>
      <c r="T13" s="3">
        <f>IF(OR(B13="",S13="F"),"",COUNTIFS(P:P,"&gt;"&amp;P13,S:S,"&lt;&gt;F")+1)</f>
        <v/>
      </c>
      <c r="U13">
        <f>IF(B13="","",IF(C13&lt;33.0,0,IF(C13&gt;=100*0.8,5,IF(C13&gt;=100*0.7,4,IF(C13&gt;=100*0.6,3.5,IF(C13&gt;=100*0.5,3,IF(C13&gt;=100*0.4,2,IF(C13&gt;=100*0.33,1,0))))))))</f>
        <v/>
      </c>
      <c r="V13">
        <f>IF(B13="","",IF(D13&lt;33.0,0,IF(D13&gt;=100*0.8,5,IF(D13&gt;=100*0.7,4,IF(D13&gt;=100*0.6,3.5,IF(D13&gt;=100*0.5,3,IF(D13&gt;=100*0.4,2,IF(D13&gt;=100*0.33,1,0))))))))</f>
        <v/>
      </c>
      <c r="W13">
        <f>IF(B13="","",IF(E13&lt;16.5,0,IF(E13&gt;=50*0.8,5,IF(E13&gt;=50*0.7,4,IF(E13&gt;=50*0.6,3.5,IF(E13&gt;=50*0.5,3,IF(E13&gt;=50*0.4,2,IF(E13&gt;=50*0.33,1,0))))))))</f>
        <v/>
      </c>
      <c r="X13">
        <f>IF(B13="","",IF(F13&lt;33.0,0,IF(F13&gt;=100*0.8,5,IF(F13&gt;=100*0.7,4,IF(F13&gt;=100*0.6,3.5,IF(F13&gt;=100*0.5,3,IF(F13&gt;=100*0.4,2,IF(F13&gt;=100*0.33,1,0))))))))</f>
        <v/>
      </c>
      <c r="Y13">
        <f>IF(B13="","",IF(G13&lt;16.5,0,IF(G13&gt;=50*0.8,5,IF(G13&gt;=50*0.7,4,IF(G13&gt;=50*0.6,3.5,IF(G13&gt;=50*0.5,3,IF(G13&gt;=50*0.4,2,IF(G13&gt;=50*0.33,1,0))))))))</f>
        <v/>
      </c>
      <c r="Z13">
        <f>IF(B13="","",IF(H13&lt;33.0,0,IF(H13&gt;=100*0.8,5,IF(H13&gt;=100*0.7,4,IF(H13&gt;=100*0.6,3.5,IF(H13&gt;=100*0.5,3,IF(H13&gt;=100*0.4,2,IF(H13&gt;=100*0.33,1,0))))))))</f>
        <v/>
      </c>
      <c r="AA13">
        <f>IF(B13="","",IF(I13&lt;33.0,0,IF(I13&gt;=100*0.8,5,IF(I13&gt;=100*0.7,4,IF(I13&gt;=100*0.6,3.5,IF(I13&gt;=100*0.5,3,IF(I13&gt;=100*0.4,2,IF(I13&gt;=100*0.33,1,0))))))))</f>
        <v/>
      </c>
      <c r="AB13">
        <f>IF(B13="","",IF(J13&lt;33.0,0,IF(J13&gt;=100*0.8,5,IF(J13&gt;=100*0.7,4,IF(J13&gt;=100*0.6,3.5,IF(J13&gt;=100*0.5,3,IF(J13&gt;=100*0.4,2,IF(J13&gt;=100*0.33,1,0))))))))</f>
        <v/>
      </c>
      <c r="AC13">
        <f>IF(B13="","",IF(K13&lt;33.0,0,IF(K13&gt;=100*0.8,5,IF(K13&gt;=100*0.7,4,IF(K13&gt;=100*0.6,3.5,IF(K13&gt;=100*0.5,3,IF(K13&gt;=100*0.4,2,IF(K13&gt;=100*0.33,1,0))))))))</f>
        <v/>
      </c>
      <c r="AD13">
        <f>IF(B13="","",IF(L13&lt;33.0,0,IF(L13&gt;=100*0.8,5,IF(L13&gt;=100*0.7,4,IF(L13&gt;=100*0.6,3.5,IF(L13&gt;=100*0.5,3,IF(L13&gt;=100*0.4,2,IF(L13&gt;=100*0.33,1,0))))))))</f>
        <v/>
      </c>
      <c r="AE13">
        <f>IF(B13="","",IF(M13&lt;33.0,0,IF(M13&gt;=100*0.8,5,IF(M13&gt;=100*0.7,4,IF(M13&gt;=100*0.6,3.5,IF(M13&gt;=100*0.5,3,IF(M13&gt;=100*0.4,2,IF(M13&gt;=100*0.33,1,0))))))))</f>
        <v/>
      </c>
      <c r="AF13">
        <f>IF(B13="","",IF(N13&lt;16.5,0,IF(N13&gt;=50*0.8,5,IF(N13&gt;=50*0.7,4,IF(N13&gt;=50*0.6,3.5,IF(N13&gt;=50*0.5,3,IF(N13&gt;=50*0.4,2,IF(N13&gt;=50*0.33,1,0))))))))</f>
        <v/>
      </c>
      <c r="AG13">
        <f>IF(B13="","",IF(O13&lt;33.0,0,IF(O13&gt;=100*0.8,5,IF(O13&gt;=100*0.7,4,IF(O13&gt;=100*0.6,3.5,IF(O13&gt;=100*0.5,3,IF(O13&gt;=100*0.4,2,IF(O13&gt;=100*0.33,1,0))))))))</f>
        <v/>
      </c>
      <c r="AH13">
        <f>IF(B13="","",IF(OR(U13=0,V13=0,W13=0,X13=0,Y13=0,Z13=0,AA13=0,AB13=0,AC13=0,AD13=0,AE13=0,AF13=0,AG13=0),1,0))</f>
        <v/>
      </c>
    </row>
    <row r="14">
      <c r="A14" s="3" t="n">
        <v>12</v>
      </c>
      <c r="B14" t="inlineStr">
        <is>
          <t>Khadija Nasir</t>
        </is>
      </c>
      <c r="C14" s="3" t="n">
        <v>81</v>
      </c>
      <c r="D14" s="3" t="n">
        <v>67</v>
      </c>
      <c r="E14" s="3" t="n">
        <v>47</v>
      </c>
      <c r="F14" s="3" t="n">
        <v>47</v>
      </c>
      <c r="G14" s="3" t="n">
        <v>32</v>
      </c>
      <c r="H14" s="3" t="n">
        <v>41</v>
      </c>
      <c r="I14" s="3" t="n">
        <v>98</v>
      </c>
      <c r="J14" s="3" t="n">
        <v>33</v>
      </c>
      <c r="K14" s="3" t="n">
        <v>73</v>
      </c>
      <c r="L14" s="3" t="n">
        <v>4</v>
      </c>
      <c r="M14" s="3" t="n">
        <v>50</v>
      </c>
      <c r="N14" s="3" t="n">
        <v>40</v>
      </c>
      <c r="O14" s="3" t="n">
        <v>81</v>
      </c>
      <c r="P14" s="4">
        <f>IF(B14="","",SUM(C14:O14))</f>
        <v/>
      </c>
      <c r="Q14" s="5">
        <f>IF(B14="","",ROUND(P14/13,2))</f>
        <v/>
      </c>
      <c r="R14" s="5">
        <f>IF(B14="","",IF(AH14=1,0,MIN(5,ROUND((U14+V14+W14+X14+Y14+Z14+AA14+AB14+AC14+AD14+AE14+AF14+AG14)/13,2))))</f>
        <v/>
      </c>
      <c r="S14" s="3">
        <f>IF(B14="","",IF(R14&gt;=5,"A+",IF(R14&gt;=4,"A",IF(R14&gt;=3.5,"A-",IF(R14&gt;=3,"B",IF(R14&gt;=2,"C",IF(R14&gt;=1,"D","F")))))))</f>
        <v/>
      </c>
      <c r="T14" s="3">
        <f>IF(OR(B14="",S14="F"),"",COUNTIFS(P:P,"&gt;"&amp;P14,S:S,"&lt;&gt;F")+1)</f>
        <v/>
      </c>
      <c r="U14">
        <f>IF(B14="","",IF(C14&lt;33.0,0,IF(C14&gt;=100*0.8,5,IF(C14&gt;=100*0.7,4,IF(C14&gt;=100*0.6,3.5,IF(C14&gt;=100*0.5,3,IF(C14&gt;=100*0.4,2,IF(C14&gt;=100*0.33,1,0))))))))</f>
        <v/>
      </c>
      <c r="V14">
        <f>IF(B14="","",IF(D14&lt;33.0,0,IF(D14&gt;=100*0.8,5,IF(D14&gt;=100*0.7,4,IF(D14&gt;=100*0.6,3.5,IF(D14&gt;=100*0.5,3,IF(D14&gt;=100*0.4,2,IF(D14&gt;=100*0.33,1,0))))))))</f>
        <v/>
      </c>
      <c r="W14">
        <f>IF(B14="","",IF(E14&lt;16.5,0,IF(E14&gt;=50*0.8,5,IF(E14&gt;=50*0.7,4,IF(E14&gt;=50*0.6,3.5,IF(E14&gt;=50*0.5,3,IF(E14&gt;=50*0.4,2,IF(E14&gt;=50*0.33,1,0))))))))</f>
        <v/>
      </c>
      <c r="X14">
        <f>IF(B14="","",IF(F14&lt;33.0,0,IF(F14&gt;=100*0.8,5,IF(F14&gt;=100*0.7,4,IF(F14&gt;=100*0.6,3.5,IF(F14&gt;=100*0.5,3,IF(F14&gt;=100*0.4,2,IF(F14&gt;=100*0.33,1,0))))))))</f>
        <v/>
      </c>
      <c r="Y14">
        <f>IF(B14="","",IF(G14&lt;16.5,0,IF(G14&gt;=50*0.8,5,IF(G14&gt;=50*0.7,4,IF(G14&gt;=50*0.6,3.5,IF(G14&gt;=50*0.5,3,IF(G14&gt;=50*0.4,2,IF(G14&gt;=50*0.33,1,0))))))))</f>
        <v/>
      </c>
      <c r="Z14">
        <f>IF(B14="","",IF(H14&lt;33.0,0,IF(H14&gt;=100*0.8,5,IF(H14&gt;=100*0.7,4,IF(H14&gt;=100*0.6,3.5,IF(H14&gt;=100*0.5,3,IF(H14&gt;=100*0.4,2,IF(H14&gt;=100*0.33,1,0))))))))</f>
        <v/>
      </c>
      <c r="AA14">
        <f>IF(B14="","",IF(I14&lt;33.0,0,IF(I14&gt;=100*0.8,5,IF(I14&gt;=100*0.7,4,IF(I14&gt;=100*0.6,3.5,IF(I14&gt;=100*0.5,3,IF(I14&gt;=100*0.4,2,IF(I14&gt;=100*0.33,1,0))))))))</f>
        <v/>
      </c>
      <c r="AB14">
        <f>IF(B14="","",IF(J14&lt;33.0,0,IF(J14&gt;=100*0.8,5,IF(J14&gt;=100*0.7,4,IF(J14&gt;=100*0.6,3.5,IF(J14&gt;=100*0.5,3,IF(J14&gt;=100*0.4,2,IF(J14&gt;=100*0.33,1,0))))))))</f>
        <v/>
      </c>
      <c r="AC14">
        <f>IF(B14="","",IF(K14&lt;33.0,0,IF(K14&gt;=100*0.8,5,IF(K14&gt;=100*0.7,4,IF(K14&gt;=100*0.6,3.5,IF(K14&gt;=100*0.5,3,IF(K14&gt;=100*0.4,2,IF(K14&gt;=100*0.33,1,0))))))))</f>
        <v/>
      </c>
      <c r="AD14">
        <f>IF(B14="","",IF(L14&lt;33.0,0,IF(L14&gt;=100*0.8,5,IF(L14&gt;=100*0.7,4,IF(L14&gt;=100*0.6,3.5,IF(L14&gt;=100*0.5,3,IF(L14&gt;=100*0.4,2,IF(L14&gt;=100*0.33,1,0))))))))</f>
        <v/>
      </c>
      <c r="AE14">
        <f>IF(B14="","",IF(M14&lt;33.0,0,IF(M14&gt;=100*0.8,5,IF(M14&gt;=100*0.7,4,IF(M14&gt;=100*0.6,3.5,IF(M14&gt;=100*0.5,3,IF(M14&gt;=100*0.4,2,IF(M14&gt;=100*0.33,1,0))))))))</f>
        <v/>
      </c>
      <c r="AF14">
        <f>IF(B14="","",IF(N14&lt;16.5,0,IF(N14&gt;=50*0.8,5,IF(N14&gt;=50*0.7,4,IF(N14&gt;=50*0.6,3.5,IF(N14&gt;=50*0.5,3,IF(N14&gt;=50*0.4,2,IF(N14&gt;=50*0.33,1,0))))))))</f>
        <v/>
      </c>
      <c r="AG14">
        <f>IF(B14="","",IF(O14&lt;33.0,0,IF(O14&gt;=100*0.8,5,IF(O14&gt;=100*0.7,4,IF(O14&gt;=100*0.6,3.5,IF(O14&gt;=100*0.5,3,IF(O14&gt;=100*0.4,2,IF(O14&gt;=100*0.33,1,0))))))))</f>
        <v/>
      </c>
      <c r="AH14">
        <f>IF(B14="","",IF(OR(U14=0,V14=0,W14=0,X14=0,Y14=0,Z14=0,AA14=0,AB14=0,AC14=0,AD14=0,AE14=0,AF14=0,AG14=0),1,0))</f>
        <v/>
      </c>
    </row>
    <row r="15">
      <c r="A15" s="3" t="n">
        <v>13</v>
      </c>
      <c r="B15" t="inlineStr">
        <is>
          <t>Aisha Ahmed</t>
        </is>
      </c>
      <c r="C15" s="3" t="n">
        <v>47</v>
      </c>
      <c r="D15" s="3" t="n">
        <v>70</v>
      </c>
      <c r="E15" s="3" t="n">
        <v>30</v>
      </c>
      <c r="F15" s="3" t="n">
        <v>68</v>
      </c>
      <c r="G15" s="3" t="n">
        <v>39</v>
      </c>
      <c r="H15" s="3" t="n">
        <v>53</v>
      </c>
      <c r="I15" s="3" t="n">
        <v>34</v>
      </c>
      <c r="J15" s="3" t="n">
        <v>69</v>
      </c>
      <c r="K15" s="3" t="n">
        <v>54</v>
      </c>
      <c r="L15" s="3" t="n">
        <v>55</v>
      </c>
      <c r="M15" s="3" t="n">
        <v>94</v>
      </c>
      <c r="N15" s="3" t="n">
        <v>26</v>
      </c>
      <c r="O15" s="3" t="n">
        <v>98</v>
      </c>
      <c r="P15" s="4">
        <f>IF(B15="","",SUM(C15:O15))</f>
        <v/>
      </c>
      <c r="Q15" s="5">
        <f>IF(B15="","",ROUND(P15/13,2))</f>
        <v/>
      </c>
      <c r="R15" s="5">
        <f>IF(B15="","",IF(AH15=1,0,MIN(5,ROUND((U15+V15+W15+X15+Y15+Z15+AA15+AB15+AC15+AD15+AE15+AF15+AG15)/13,2))))</f>
        <v/>
      </c>
      <c r="S15" s="3">
        <f>IF(B15="","",IF(R15&gt;=5,"A+",IF(R15&gt;=4,"A",IF(R15&gt;=3.5,"A-",IF(R15&gt;=3,"B",IF(R15&gt;=2,"C",IF(R15&gt;=1,"D","F")))))))</f>
        <v/>
      </c>
      <c r="T15" s="3">
        <f>IF(OR(B15="",S15="F"),"",COUNTIFS(P:P,"&gt;"&amp;P15,S:S,"&lt;&gt;F")+1)</f>
        <v/>
      </c>
      <c r="U15">
        <f>IF(B15="","",IF(C15&lt;33.0,0,IF(C15&gt;=100*0.8,5,IF(C15&gt;=100*0.7,4,IF(C15&gt;=100*0.6,3.5,IF(C15&gt;=100*0.5,3,IF(C15&gt;=100*0.4,2,IF(C15&gt;=100*0.33,1,0))))))))</f>
        <v/>
      </c>
      <c r="V15">
        <f>IF(B15="","",IF(D15&lt;33.0,0,IF(D15&gt;=100*0.8,5,IF(D15&gt;=100*0.7,4,IF(D15&gt;=100*0.6,3.5,IF(D15&gt;=100*0.5,3,IF(D15&gt;=100*0.4,2,IF(D15&gt;=100*0.33,1,0))))))))</f>
        <v/>
      </c>
      <c r="W15">
        <f>IF(B15="","",IF(E15&lt;16.5,0,IF(E15&gt;=50*0.8,5,IF(E15&gt;=50*0.7,4,IF(E15&gt;=50*0.6,3.5,IF(E15&gt;=50*0.5,3,IF(E15&gt;=50*0.4,2,IF(E15&gt;=50*0.33,1,0))))))))</f>
        <v/>
      </c>
      <c r="X15">
        <f>IF(B15="","",IF(F15&lt;33.0,0,IF(F15&gt;=100*0.8,5,IF(F15&gt;=100*0.7,4,IF(F15&gt;=100*0.6,3.5,IF(F15&gt;=100*0.5,3,IF(F15&gt;=100*0.4,2,IF(F15&gt;=100*0.33,1,0))))))))</f>
        <v/>
      </c>
      <c r="Y15">
        <f>IF(B15="","",IF(G15&lt;16.5,0,IF(G15&gt;=50*0.8,5,IF(G15&gt;=50*0.7,4,IF(G15&gt;=50*0.6,3.5,IF(G15&gt;=50*0.5,3,IF(G15&gt;=50*0.4,2,IF(G15&gt;=50*0.33,1,0))))))))</f>
        <v/>
      </c>
      <c r="Z15">
        <f>IF(B15="","",IF(H15&lt;33.0,0,IF(H15&gt;=100*0.8,5,IF(H15&gt;=100*0.7,4,IF(H15&gt;=100*0.6,3.5,IF(H15&gt;=100*0.5,3,IF(H15&gt;=100*0.4,2,IF(H15&gt;=100*0.33,1,0))))))))</f>
        <v/>
      </c>
      <c r="AA15">
        <f>IF(B15="","",IF(I15&lt;33.0,0,IF(I15&gt;=100*0.8,5,IF(I15&gt;=100*0.7,4,IF(I15&gt;=100*0.6,3.5,IF(I15&gt;=100*0.5,3,IF(I15&gt;=100*0.4,2,IF(I15&gt;=100*0.33,1,0))))))))</f>
        <v/>
      </c>
      <c r="AB15">
        <f>IF(B15="","",IF(J15&lt;33.0,0,IF(J15&gt;=100*0.8,5,IF(J15&gt;=100*0.7,4,IF(J15&gt;=100*0.6,3.5,IF(J15&gt;=100*0.5,3,IF(J15&gt;=100*0.4,2,IF(J15&gt;=100*0.33,1,0))))))))</f>
        <v/>
      </c>
      <c r="AC15">
        <f>IF(B15="","",IF(K15&lt;33.0,0,IF(K15&gt;=100*0.8,5,IF(K15&gt;=100*0.7,4,IF(K15&gt;=100*0.6,3.5,IF(K15&gt;=100*0.5,3,IF(K15&gt;=100*0.4,2,IF(K15&gt;=100*0.33,1,0))))))))</f>
        <v/>
      </c>
      <c r="AD15">
        <f>IF(B15="","",IF(L15&lt;33.0,0,IF(L15&gt;=100*0.8,5,IF(L15&gt;=100*0.7,4,IF(L15&gt;=100*0.6,3.5,IF(L15&gt;=100*0.5,3,IF(L15&gt;=100*0.4,2,IF(L15&gt;=100*0.33,1,0))))))))</f>
        <v/>
      </c>
      <c r="AE15">
        <f>IF(B15="","",IF(M15&lt;33.0,0,IF(M15&gt;=100*0.8,5,IF(M15&gt;=100*0.7,4,IF(M15&gt;=100*0.6,3.5,IF(M15&gt;=100*0.5,3,IF(M15&gt;=100*0.4,2,IF(M15&gt;=100*0.33,1,0))))))))</f>
        <v/>
      </c>
      <c r="AF15">
        <f>IF(B15="","",IF(N15&lt;16.5,0,IF(N15&gt;=50*0.8,5,IF(N15&gt;=50*0.7,4,IF(N15&gt;=50*0.6,3.5,IF(N15&gt;=50*0.5,3,IF(N15&gt;=50*0.4,2,IF(N15&gt;=50*0.33,1,0))))))))</f>
        <v/>
      </c>
      <c r="AG15">
        <f>IF(B15="","",IF(O15&lt;33.0,0,IF(O15&gt;=100*0.8,5,IF(O15&gt;=100*0.7,4,IF(O15&gt;=100*0.6,3.5,IF(O15&gt;=100*0.5,3,IF(O15&gt;=100*0.4,2,IF(O15&gt;=100*0.33,1,0))))))))</f>
        <v/>
      </c>
      <c r="AH15">
        <f>IF(B15="","",IF(OR(U15=0,V15=0,W15=0,X15=0,Y15=0,Z15=0,AA15=0,AB15=0,AC15=0,AD15=0,AE15=0,AF15=0,AG15=0),1,0))</f>
        <v/>
      </c>
    </row>
    <row r="16">
      <c r="A16" s="3" t="n">
        <v>14</v>
      </c>
      <c r="B16" t="inlineStr">
        <is>
          <t>Ahmed Siddiqui</t>
        </is>
      </c>
      <c r="C16" s="3" t="n">
        <v>53</v>
      </c>
      <c r="D16" s="3" t="n">
        <v>85</v>
      </c>
      <c r="E16" s="3" t="n">
        <v>41</v>
      </c>
      <c r="F16" s="3" t="n">
        <v>25</v>
      </c>
      <c r="G16" s="3" t="n">
        <v>47</v>
      </c>
      <c r="H16" s="3" t="n">
        <v>65</v>
      </c>
      <c r="I16" s="3" t="n">
        <v>56</v>
      </c>
      <c r="J16" s="3" t="n">
        <v>57</v>
      </c>
      <c r="K16" s="3" t="n">
        <v>99</v>
      </c>
      <c r="L16" s="3" t="n">
        <v>92</v>
      </c>
      <c r="M16" s="3" t="n">
        <v>71</v>
      </c>
      <c r="N16" s="3" t="n">
        <v>28</v>
      </c>
      <c r="O16" s="3" t="n">
        <v>53</v>
      </c>
      <c r="P16" s="4">
        <f>IF(B16="","",SUM(C16:O16))</f>
        <v/>
      </c>
      <c r="Q16" s="5">
        <f>IF(B16="","",ROUND(P16/13,2))</f>
        <v/>
      </c>
      <c r="R16" s="5">
        <f>IF(B16="","",IF(AH16=1,0,MIN(5,ROUND((U16+V16+W16+X16+Y16+Z16+AA16+AB16+AC16+AD16+AE16+AF16+AG16)/13,2))))</f>
        <v/>
      </c>
      <c r="S16" s="3">
        <f>IF(B16="","",IF(R16&gt;=5,"A+",IF(R16&gt;=4,"A",IF(R16&gt;=3.5,"A-",IF(R16&gt;=3,"B",IF(R16&gt;=2,"C",IF(R16&gt;=1,"D","F")))))))</f>
        <v/>
      </c>
      <c r="T16" s="3">
        <f>IF(OR(B16="",S16="F"),"",COUNTIFS(P:P,"&gt;"&amp;P16,S:S,"&lt;&gt;F")+1)</f>
        <v/>
      </c>
      <c r="U16">
        <f>IF(B16="","",IF(C16&lt;33.0,0,IF(C16&gt;=100*0.8,5,IF(C16&gt;=100*0.7,4,IF(C16&gt;=100*0.6,3.5,IF(C16&gt;=100*0.5,3,IF(C16&gt;=100*0.4,2,IF(C16&gt;=100*0.33,1,0))))))))</f>
        <v/>
      </c>
      <c r="V16">
        <f>IF(B16="","",IF(D16&lt;33.0,0,IF(D16&gt;=100*0.8,5,IF(D16&gt;=100*0.7,4,IF(D16&gt;=100*0.6,3.5,IF(D16&gt;=100*0.5,3,IF(D16&gt;=100*0.4,2,IF(D16&gt;=100*0.33,1,0))))))))</f>
        <v/>
      </c>
      <c r="W16">
        <f>IF(B16="","",IF(E16&lt;16.5,0,IF(E16&gt;=50*0.8,5,IF(E16&gt;=50*0.7,4,IF(E16&gt;=50*0.6,3.5,IF(E16&gt;=50*0.5,3,IF(E16&gt;=50*0.4,2,IF(E16&gt;=50*0.33,1,0))))))))</f>
        <v/>
      </c>
      <c r="X16">
        <f>IF(B16="","",IF(F16&lt;33.0,0,IF(F16&gt;=100*0.8,5,IF(F16&gt;=100*0.7,4,IF(F16&gt;=100*0.6,3.5,IF(F16&gt;=100*0.5,3,IF(F16&gt;=100*0.4,2,IF(F16&gt;=100*0.33,1,0))))))))</f>
        <v/>
      </c>
      <c r="Y16">
        <f>IF(B16="","",IF(G16&lt;16.5,0,IF(G16&gt;=50*0.8,5,IF(G16&gt;=50*0.7,4,IF(G16&gt;=50*0.6,3.5,IF(G16&gt;=50*0.5,3,IF(G16&gt;=50*0.4,2,IF(G16&gt;=50*0.33,1,0))))))))</f>
        <v/>
      </c>
      <c r="Z16">
        <f>IF(B16="","",IF(H16&lt;33.0,0,IF(H16&gt;=100*0.8,5,IF(H16&gt;=100*0.7,4,IF(H16&gt;=100*0.6,3.5,IF(H16&gt;=100*0.5,3,IF(H16&gt;=100*0.4,2,IF(H16&gt;=100*0.33,1,0))))))))</f>
        <v/>
      </c>
      <c r="AA16">
        <f>IF(B16="","",IF(I16&lt;33.0,0,IF(I16&gt;=100*0.8,5,IF(I16&gt;=100*0.7,4,IF(I16&gt;=100*0.6,3.5,IF(I16&gt;=100*0.5,3,IF(I16&gt;=100*0.4,2,IF(I16&gt;=100*0.33,1,0))))))))</f>
        <v/>
      </c>
      <c r="AB16">
        <f>IF(B16="","",IF(J16&lt;33.0,0,IF(J16&gt;=100*0.8,5,IF(J16&gt;=100*0.7,4,IF(J16&gt;=100*0.6,3.5,IF(J16&gt;=100*0.5,3,IF(J16&gt;=100*0.4,2,IF(J16&gt;=100*0.33,1,0))))))))</f>
        <v/>
      </c>
      <c r="AC16">
        <f>IF(B16="","",IF(K16&lt;33.0,0,IF(K16&gt;=100*0.8,5,IF(K16&gt;=100*0.7,4,IF(K16&gt;=100*0.6,3.5,IF(K16&gt;=100*0.5,3,IF(K16&gt;=100*0.4,2,IF(K16&gt;=100*0.33,1,0))))))))</f>
        <v/>
      </c>
      <c r="AD16">
        <f>IF(B16="","",IF(L16&lt;33.0,0,IF(L16&gt;=100*0.8,5,IF(L16&gt;=100*0.7,4,IF(L16&gt;=100*0.6,3.5,IF(L16&gt;=100*0.5,3,IF(L16&gt;=100*0.4,2,IF(L16&gt;=100*0.33,1,0))))))))</f>
        <v/>
      </c>
      <c r="AE16">
        <f>IF(B16="","",IF(M16&lt;33.0,0,IF(M16&gt;=100*0.8,5,IF(M16&gt;=100*0.7,4,IF(M16&gt;=100*0.6,3.5,IF(M16&gt;=100*0.5,3,IF(M16&gt;=100*0.4,2,IF(M16&gt;=100*0.33,1,0))))))))</f>
        <v/>
      </c>
      <c r="AF16">
        <f>IF(B16="","",IF(N16&lt;16.5,0,IF(N16&gt;=50*0.8,5,IF(N16&gt;=50*0.7,4,IF(N16&gt;=50*0.6,3.5,IF(N16&gt;=50*0.5,3,IF(N16&gt;=50*0.4,2,IF(N16&gt;=50*0.33,1,0))))))))</f>
        <v/>
      </c>
      <c r="AG16">
        <f>IF(B16="","",IF(O16&lt;33.0,0,IF(O16&gt;=100*0.8,5,IF(O16&gt;=100*0.7,4,IF(O16&gt;=100*0.6,3.5,IF(O16&gt;=100*0.5,3,IF(O16&gt;=100*0.4,2,IF(O16&gt;=100*0.33,1,0))))))))</f>
        <v/>
      </c>
      <c r="AH16">
        <f>IF(B16="","",IF(OR(U16=0,V16=0,W16=0,X16=0,Y16=0,Z16=0,AA16=0,AB16=0,AC16=0,AD16=0,AE16=0,AF16=0,AG16=0),1,0))</f>
        <v/>
      </c>
    </row>
    <row r="17">
      <c r="A17" s="3" t="n">
        <v>15</v>
      </c>
      <c r="B17" t="inlineStr">
        <is>
          <t>Zainab Aziz</t>
        </is>
      </c>
      <c r="C17" s="3" t="n">
        <v>77</v>
      </c>
      <c r="D17" s="3" t="n">
        <v>61</v>
      </c>
      <c r="E17" s="3" t="n">
        <v>36</v>
      </c>
      <c r="F17" s="3" t="n">
        <v>83</v>
      </c>
      <c r="G17" s="3" t="n">
        <v>41</v>
      </c>
      <c r="H17" s="3" t="n">
        <v>67</v>
      </c>
      <c r="I17" s="3" t="n">
        <v>85</v>
      </c>
      <c r="J17" s="3" t="n">
        <v>55</v>
      </c>
      <c r="K17" s="3" t="n">
        <v>40</v>
      </c>
      <c r="L17" s="3" t="n">
        <v>35</v>
      </c>
      <c r="M17" s="3" t="n">
        <v>62</v>
      </c>
      <c r="N17" s="3" t="n">
        <v>27</v>
      </c>
      <c r="O17" s="3" t="n">
        <v>84</v>
      </c>
      <c r="P17" s="4">
        <f>IF(B17="","",SUM(C17:O17))</f>
        <v/>
      </c>
      <c r="Q17" s="5">
        <f>IF(B17="","",ROUND(P17/13,2))</f>
        <v/>
      </c>
      <c r="R17" s="5">
        <f>IF(B17="","",IF(AH17=1,0,MIN(5,ROUND((U17+V17+W17+X17+Y17+Z17+AA17+AB17+AC17+AD17+AE17+AF17+AG17)/13,2))))</f>
        <v/>
      </c>
      <c r="S17" s="3">
        <f>IF(B17="","",IF(R17&gt;=5,"A+",IF(R17&gt;=4,"A",IF(R17&gt;=3.5,"A-",IF(R17&gt;=3,"B",IF(R17&gt;=2,"C",IF(R17&gt;=1,"D","F")))))))</f>
        <v/>
      </c>
      <c r="T17" s="3">
        <f>IF(OR(B17="",S17="F"),"",COUNTIFS(P:P,"&gt;"&amp;P17,S:S,"&lt;&gt;F")+1)</f>
        <v/>
      </c>
      <c r="U17">
        <f>IF(B17="","",IF(C17&lt;33.0,0,IF(C17&gt;=100*0.8,5,IF(C17&gt;=100*0.7,4,IF(C17&gt;=100*0.6,3.5,IF(C17&gt;=100*0.5,3,IF(C17&gt;=100*0.4,2,IF(C17&gt;=100*0.33,1,0))))))))</f>
        <v/>
      </c>
      <c r="V17">
        <f>IF(B17="","",IF(D17&lt;33.0,0,IF(D17&gt;=100*0.8,5,IF(D17&gt;=100*0.7,4,IF(D17&gt;=100*0.6,3.5,IF(D17&gt;=100*0.5,3,IF(D17&gt;=100*0.4,2,IF(D17&gt;=100*0.33,1,0))))))))</f>
        <v/>
      </c>
      <c r="W17">
        <f>IF(B17="","",IF(E17&lt;16.5,0,IF(E17&gt;=50*0.8,5,IF(E17&gt;=50*0.7,4,IF(E17&gt;=50*0.6,3.5,IF(E17&gt;=50*0.5,3,IF(E17&gt;=50*0.4,2,IF(E17&gt;=50*0.33,1,0))))))))</f>
        <v/>
      </c>
      <c r="X17">
        <f>IF(B17="","",IF(F17&lt;33.0,0,IF(F17&gt;=100*0.8,5,IF(F17&gt;=100*0.7,4,IF(F17&gt;=100*0.6,3.5,IF(F17&gt;=100*0.5,3,IF(F17&gt;=100*0.4,2,IF(F17&gt;=100*0.33,1,0))))))))</f>
        <v/>
      </c>
      <c r="Y17">
        <f>IF(B17="","",IF(G17&lt;16.5,0,IF(G17&gt;=50*0.8,5,IF(G17&gt;=50*0.7,4,IF(G17&gt;=50*0.6,3.5,IF(G17&gt;=50*0.5,3,IF(G17&gt;=50*0.4,2,IF(G17&gt;=50*0.33,1,0))))))))</f>
        <v/>
      </c>
      <c r="Z17">
        <f>IF(B17="","",IF(H17&lt;33.0,0,IF(H17&gt;=100*0.8,5,IF(H17&gt;=100*0.7,4,IF(H17&gt;=100*0.6,3.5,IF(H17&gt;=100*0.5,3,IF(H17&gt;=100*0.4,2,IF(H17&gt;=100*0.33,1,0))))))))</f>
        <v/>
      </c>
      <c r="AA17">
        <f>IF(B17="","",IF(I17&lt;33.0,0,IF(I17&gt;=100*0.8,5,IF(I17&gt;=100*0.7,4,IF(I17&gt;=100*0.6,3.5,IF(I17&gt;=100*0.5,3,IF(I17&gt;=100*0.4,2,IF(I17&gt;=100*0.33,1,0))))))))</f>
        <v/>
      </c>
      <c r="AB17">
        <f>IF(B17="","",IF(J17&lt;33.0,0,IF(J17&gt;=100*0.8,5,IF(J17&gt;=100*0.7,4,IF(J17&gt;=100*0.6,3.5,IF(J17&gt;=100*0.5,3,IF(J17&gt;=100*0.4,2,IF(J17&gt;=100*0.33,1,0))))))))</f>
        <v/>
      </c>
      <c r="AC17">
        <f>IF(B17="","",IF(K17&lt;33.0,0,IF(K17&gt;=100*0.8,5,IF(K17&gt;=100*0.7,4,IF(K17&gt;=100*0.6,3.5,IF(K17&gt;=100*0.5,3,IF(K17&gt;=100*0.4,2,IF(K17&gt;=100*0.33,1,0))))))))</f>
        <v/>
      </c>
      <c r="AD17">
        <f>IF(B17="","",IF(L17&lt;33.0,0,IF(L17&gt;=100*0.8,5,IF(L17&gt;=100*0.7,4,IF(L17&gt;=100*0.6,3.5,IF(L17&gt;=100*0.5,3,IF(L17&gt;=100*0.4,2,IF(L17&gt;=100*0.33,1,0))))))))</f>
        <v/>
      </c>
      <c r="AE17">
        <f>IF(B17="","",IF(M17&lt;33.0,0,IF(M17&gt;=100*0.8,5,IF(M17&gt;=100*0.7,4,IF(M17&gt;=100*0.6,3.5,IF(M17&gt;=100*0.5,3,IF(M17&gt;=100*0.4,2,IF(M17&gt;=100*0.33,1,0))))))))</f>
        <v/>
      </c>
      <c r="AF17">
        <f>IF(B17="","",IF(N17&lt;16.5,0,IF(N17&gt;=50*0.8,5,IF(N17&gt;=50*0.7,4,IF(N17&gt;=50*0.6,3.5,IF(N17&gt;=50*0.5,3,IF(N17&gt;=50*0.4,2,IF(N17&gt;=50*0.33,1,0))))))))</f>
        <v/>
      </c>
      <c r="AG17">
        <f>IF(B17="","",IF(O17&lt;33.0,0,IF(O17&gt;=100*0.8,5,IF(O17&gt;=100*0.7,4,IF(O17&gt;=100*0.6,3.5,IF(O17&gt;=100*0.5,3,IF(O17&gt;=100*0.4,2,IF(O17&gt;=100*0.33,1,0))))))))</f>
        <v/>
      </c>
      <c r="AH17">
        <f>IF(B17="","",IF(OR(U17=0,V17=0,W17=0,X17=0,Y17=0,Z17=0,AA17=0,AB17=0,AC17=0,AD17=0,AE17=0,AF17=0,AG17=0),1,0))</f>
        <v/>
      </c>
    </row>
    <row r="18">
      <c r="A18" s="3" t="n">
        <v>16</v>
      </c>
      <c r="B18" t="inlineStr">
        <is>
          <t>Khalid Aziz</t>
        </is>
      </c>
      <c r="C18" s="3" t="n">
        <v>70</v>
      </c>
      <c r="D18" s="3" t="n">
        <v>97</v>
      </c>
      <c r="E18" s="3" t="n">
        <v>44</v>
      </c>
      <c r="F18" s="3" t="n">
        <v>27</v>
      </c>
      <c r="G18" s="3" t="n">
        <v>25</v>
      </c>
      <c r="H18" s="3" t="n">
        <v>38</v>
      </c>
      <c r="I18" s="3" t="n">
        <v>52</v>
      </c>
      <c r="J18" s="3" t="n">
        <v>93</v>
      </c>
      <c r="K18" s="3" t="n">
        <v>96</v>
      </c>
      <c r="L18" s="3" t="n">
        <v>82</v>
      </c>
      <c r="M18" s="3" t="n">
        <v>14</v>
      </c>
      <c r="N18" s="3" t="n">
        <v>48</v>
      </c>
      <c r="O18" s="3" t="n">
        <v>91</v>
      </c>
      <c r="P18" s="4">
        <f>IF(B18="","",SUM(C18:O18))</f>
        <v/>
      </c>
      <c r="Q18" s="5">
        <f>IF(B18="","",ROUND(P18/13,2))</f>
        <v/>
      </c>
      <c r="R18" s="5">
        <f>IF(B18="","",IF(AH18=1,0,MIN(5,ROUND((U18+V18+W18+X18+Y18+Z18+AA18+AB18+AC18+AD18+AE18+AF18+AG18)/13,2))))</f>
        <v/>
      </c>
      <c r="S18" s="3">
        <f>IF(B18="","",IF(R18&gt;=5,"A+",IF(R18&gt;=4,"A",IF(R18&gt;=3.5,"A-",IF(R18&gt;=3,"B",IF(R18&gt;=2,"C",IF(R18&gt;=1,"D","F")))))))</f>
        <v/>
      </c>
      <c r="T18" s="3">
        <f>IF(OR(B18="",S18="F"),"",COUNTIFS(P:P,"&gt;"&amp;P18,S:S,"&lt;&gt;F")+1)</f>
        <v/>
      </c>
      <c r="U18">
        <f>IF(B18="","",IF(C18&lt;33.0,0,IF(C18&gt;=100*0.8,5,IF(C18&gt;=100*0.7,4,IF(C18&gt;=100*0.6,3.5,IF(C18&gt;=100*0.5,3,IF(C18&gt;=100*0.4,2,IF(C18&gt;=100*0.33,1,0))))))))</f>
        <v/>
      </c>
      <c r="V18">
        <f>IF(B18="","",IF(D18&lt;33.0,0,IF(D18&gt;=100*0.8,5,IF(D18&gt;=100*0.7,4,IF(D18&gt;=100*0.6,3.5,IF(D18&gt;=100*0.5,3,IF(D18&gt;=100*0.4,2,IF(D18&gt;=100*0.33,1,0))))))))</f>
        <v/>
      </c>
      <c r="W18">
        <f>IF(B18="","",IF(E18&lt;16.5,0,IF(E18&gt;=50*0.8,5,IF(E18&gt;=50*0.7,4,IF(E18&gt;=50*0.6,3.5,IF(E18&gt;=50*0.5,3,IF(E18&gt;=50*0.4,2,IF(E18&gt;=50*0.33,1,0))))))))</f>
        <v/>
      </c>
      <c r="X18">
        <f>IF(B18="","",IF(F18&lt;33.0,0,IF(F18&gt;=100*0.8,5,IF(F18&gt;=100*0.7,4,IF(F18&gt;=100*0.6,3.5,IF(F18&gt;=100*0.5,3,IF(F18&gt;=100*0.4,2,IF(F18&gt;=100*0.33,1,0))))))))</f>
        <v/>
      </c>
      <c r="Y18">
        <f>IF(B18="","",IF(G18&lt;16.5,0,IF(G18&gt;=50*0.8,5,IF(G18&gt;=50*0.7,4,IF(G18&gt;=50*0.6,3.5,IF(G18&gt;=50*0.5,3,IF(G18&gt;=50*0.4,2,IF(G18&gt;=50*0.33,1,0))))))))</f>
        <v/>
      </c>
      <c r="Z18">
        <f>IF(B18="","",IF(H18&lt;33.0,0,IF(H18&gt;=100*0.8,5,IF(H18&gt;=100*0.7,4,IF(H18&gt;=100*0.6,3.5,IF(H18&gt;=100*0.5,3,IF(H18&gt;=100*0.4,2,IF(H18&gt;=100*0.33,1,0))))))))</f>
        <v/>
      </c>
      <c r="AA18">
        <f>IF(B18="","",IF(I18&lt;33.0,0,IF(I18&gt;=100*0.8,5,IF(I18&gt;=100*0.7,4,IF(I18&gt;=100*0.6,3.5,IF(I18&gt;=100*0.5,3,IF(I18&gt;=100*0.4,2,IF(I18&gt;=100*0.33,1,0))))))))</f>
        <v/>
      </c>
      <c r="AB18">
        <f>IF(B18="","",IF(J18&lt;33.0,0,IF(J18&gt;=100*0.8,5,IF(J18&gt;=100*0.7,4,IF(J18&gt;=100*0.6,3.5,IF(J18&gt;=100*0.5,3,IF(J18&gt;=100*0.4,2,IF(J18&gt;=100*0.33,1,0))))))))</f>
        <v/>
      </c>
      <c r="AC18">
        <f>IF(B18="","",IF(K18&lt;33.0,0,IF(K18&gt;=100*0.8,5,IF(K18&gt;=100*0.7,4,IF(K18&gt;=100*0.6,3.5,IF(K18&gt;=100*0.5,3,IF(K18&gt;=100*0.4,2,IF(K18&gt;=100*0.33,1,0))))))))</f>
        <v/>
      </c>
      <c r="AD18">
        <f>IF(B18="","",IF(L18&lt;33.0,0,IF(L18&gt;=100*0.8,5,IF(L18&gt;=100*0.7,4,IF(L18&gt;=100*0.6,3.5,IF(L18&gt;=100*0.5,3,IF(L18&gt;=100*0.4,2,IF(L18&gt;=100*0.33,1,0))))))))</f>
        <v/>
      </c>
      <c r="AE18">
        <f>IF(B18="","",IF(M18&lt;33.0,0,IF(M18&gt;=100*0.8,5,IF(M18&gt;=100*0.7,4,IF(M18&gt;=100*0.6,3.5,IF(M18&gt;=100*0.5,3,IF(M18&gt;=100*0.4,2,IF(M18&gt;=100*0.33,1,0))))))))</f>
        <v/>
      </c>
      <c r="AF18">
        <f>IF(B18="","",IF(N18&lt;16.5,0,IF(N18&gt;=50*0.8,5,IF(N18&gt;=50*0.7,4,IF(N18&gt;=50*0.6,3.5,IF(N18&gt;=50*0.5,3,IF(N18&gt;=50*0.4,2,IF(N18&gt;=50*0.33,1,0))))))))</f>
        <v/>
      </c>
      <c r="AG18">
        <f>IF(B18="","",IF(O18&lt;33.0,0,IF(O18&gt;=100*0.8,5,IF(O18&gt;=100*0.7,4,IF(O18&gt;=100*0.6,3.5,IF(O18&gt;=100*0.5,3,IF(O18&gt;=100*0.4,2,IF(O18&gt;=100*0.33,1,0))))))))</f>
        <v/>
      </c>
      <c r="AH18">
        <f>IF(B18="","",IF(OR(U18=0,V18=0,W18=0,X18=0,Y18=0,Z18=0,AA18=0,AB18=0,AC18=0,AD18=0,AE18=0,AF18=0,AG18=0),1,0))</f>
        <v/>
      </c>
    </row>
    <row r="19">
      <c r="A19" s="3" t="n">
        <v>17</v>
      </c>
      <c r="B19" t="inlineStr">
        <is>
          <t>Ahmed Ahmed</t>
        </is>
      </c>
      <c r="C19" s="3" t="n">
        <v>65</v>
      </c>
      <c r="D19" s="3" t="n">
        <v>99</v>
      </c>
      <c r="E19" s="3" t="n">
        <v>43</v>
      </c>
      <c r="F19" s="3" t="n">
        <v>79</v>
      </c>
      <c r="G19" s="3" t="n">
        <v>36</v>
      </c>
      <c r="H19" s="3" t="n">
        <v>90</v>
      </c>
      <c r="I19" s="3" t="n">
        <v>82</v>
      </c>
      <c r="J19" s="3" t="n">
        <v>77</v>
      </c>
      <c r="K19" s="3" t="n">
        <v>68</v>
      </c>
      <c r="L19" s="3" t="n">
        <v>62</v>
      </c>
      <c r="M19" s="3" t="n">
        <v>92</v>
      </c>
      <c r="N19" s="3" t="n">
        <v>42</v>
      </c>
      <c r="O19" s="3" t="n">
        <v>90</v>
      </c>
      <c r="P19" s="4">
        <f>IF(B19="","",SUM(C19:O19))</f>
        <v/>
      </c>
      <c r="Q19" s="5">
        <f>IF(B19="","",ROUND(P19/13,2))</f>
        <v/>
      </c>
      <c r="R19" s="5">
        <f>IF(B19="","",IF(AH19=1,0,MIN(5,ROUND((U19+V19+W19+X19+Y19+Z19+AA19+AB19+AC19+AD19+AE19+AF19+AG19)/13,2))))</f>
        <v/>
      </c>
      <c r="S19" s="3">
        <f>IF(B19="","",IF(R19&gt;=5,"A+",IF(R19&gt;=4,"A",IF(R19&gt;=3.5,"A-",IF(R19&gt;=3,"B",IF(R19&gt;=2,"C",IF(R19&gt;=1,"D","F")))))))</f>
        <v/>
      </c>
      <c r="T19" s="3">
        <f>IF(OR(B19="",S19="F"),"",COUNTIFS(P:P,"&gt;"&amp;P19,S:S,"&lt;&gt;F")+1)</f>
        <v/>
      </c>
      <c r="U19">
        <f>IF(B19="","",IF(C19&lt;33.0,0,IF(C19&gt;=100*0.8,5,IF(C19&gt;=100*0.7,4,IF(C19&gt;=100*0.6,3.5,IF(C19&gt;=100*0.5,3,IF(C19&gt;=100*0.4,2,IF(C19&gt;=100*0.33,1,0))))))))</f>
        <v/>
      </c>
      <c r="V19">
        <f>IF(B19="","",IF(D19&lt;33.0,0,IF(D19&gt;=100*0.8,5,IF(D19&gt;=100*0.7,4,IF(D19&gt;=100*0.6,3.5,IF(D19&gt;=100*0.5,3,IF(D19&gt;=100*0.4,2,IF(D19&gt;=100*0.33,1,0))))))))</f>
        <v/>
      </c>
      <c r="W19">
        <f>IF(B19="","",IF(E19&lt;16.5,0,IF(E19&gt;=50*0.8,5,IF(E19&gt;=50*0.7,4,IF(E19&gt;=50*0.6,3.5,IF(E19&gt;=50*0.5,3,IF(E19&gt;=50*0.4,2,IF(E19&gt;=50*0.33,1,0))))))))</f>
        <v/>
      </c>
      <c r="X19">
        <f>IF(B19="","",IF(F19&lt;33.0,0,IF(F19&gt;=100*0.8,5,IF(F19&gt;=100*0.7,4,IF(F19&gt;=100*0.6,3.5,IF(F19&gt;=100*0.5,3,IF(F19&gt;=100*0.4,2,IF(F19&gt;=100*0.33,1,0))))))))</f>
        <v/>
      </c>
      <c r="Y19">
        <f>IF(B19="","",IF(G19&lt;16.5,0,IF(G19&gt;=50*0.8,5,IF(G19&gt;=50*0.7,4,IF(G19&gt;=50*0.6,3.5,IF(G19&gt;=50*0.5,3,IF(G19&gt;=50*0.4,2,IF(G19&gt;=50*0.33,1,0))))))))</f>
        <v/>
      </c>
      <c r="Z19">
        <f>IF(B19="","",IF(H19&lt;33.0,0,IF(H19&gt;=100*0.8,5,IF(H19&gt;=100*0.7,4,IF(H19&gt;=100*0.6,3.5,IF(H19&gt;=100*0.5,3,IF(H19&gt;=100*0.4,2,IF(H19&gt;=100*0.33,1,0))))))))</f>
        <v/>
      </c>
      <c r="AA19">
        <f>IF(B19="","",IF(I19&lt;33.0,0,IF(I19&gt;=100*0.8,5,IF(I19&gt;=100*0.7,4,IF(I19&gt;=100*0.6,3.5,IF(I19&gt;=100*0.5,3,IF(I19&gt;=100*0.4,2,IF(I19&gt;=100*0.33,1,0))))))))</f>
        <v/>
      </c>
      <c r="AB19">
        <f>IF(B19="","",IF(J19&lt;33.0,0,IF(J19&gt;=100*0.8,5,IF(J19&gt;=100*0.7,4,IF(J19&gt;=100*0.6,3.5,IF(J19&gt;=100*0.5,3,IF(J19&gt;=100*0.4,2,IF(J19&gt;=100*0.33,1,0))))))))</f>
        <v/>
      </c>
      <c r="AC19">
        <f>IF(B19="","",IF(K19&lt;33.0,0,IF(K19&gt;=100*0.8,5,IF(K19&gt;=100*0.7,4,IF(K19&gt;=100*0.6,3.5,IF(K19&gt;=100*0.5,3,IF(K19&gt;=100*0.4,2,IF(K19&gt;=100*0.33,1,0))))))))</f>
        <v/>
      </c>
      <c r="AD19">
        <f>IF(B19="","",IF(L19&lt;33.0,0,IF(L19&gt;=100*0.8,5,IF(L19&gt;=100*0.7,4,IF(L19&gt;=100*0.6,3.5,IF(L19&gt;=100*0.5,3,IF(L19&gt;=100*0.4,2,IF(L19&gt;=100*0.33,1,0))))))))</f>
        <v/>
      </c>
      <c r="AE19">
        <f>IF(B19="","",IF(M19&lt;33.0,0,IF(M19&gt;=100*0.8,5,IF(M19&gt;=100*0.7,4,IF(M19&gt;=100*0.6,3.5,IF(M19&gt;=100*0.5,3,IF(M19&gt;=100*0.4,2,IF(M19&gt;=100*0.33,1,0))))))))</f>
        <v/>
      </c>
      <c r="AF19">
        <f>IF(B19="","",IF(N19&lt;16.5,0,IF(N19&gt;=50*0.8,5,IF(N19&gt;=50*0.7,4,IF(N19&gt;=50*0.6,3.5,IF(N19&gt;=50*0.5,3,IF(N19&gt;=50*0.4,2,IF(N19&gt;=50*0.33,1,0))))))))</f>
        <v/>
      </c>
      <c r="AG19">
        <f>IF(B19="","",IF(O19&lt;33.0,0,IF(O19&gt;=100*0.8,5,IF(O19&gt;=100*0.7,4,IF(O19&gt;=100*0.6,3.5,IF(O19&gt;=100*0.5,3,IF(O19&gt;=100*0.4,2,IF(O19&gt;=100*0.33,1,0))))))))</f>
        <v/>
      </c>
      <c r="AH19">
        <f>IF(B19="","",IF(OR(U19=0,V19=0,W19=0,X19=0,Y19=0,Z19=0,AA19=0,AB19=0,AC19=0,AD19=0,AE19=0,AF19=0,AG19=0),1,0))</f>
        <v/>
      </c>
    </row>
    <row r="20">
      <c r="A20" s="3" t="n">
        <v>18</v>
      </c>
      <c r="B20" t="inlineStr">
        <is>
          <t>Bilal Rahman</t>
        </is>
      </c>
      <c r="C20" s="3" t="n">
        <v>57</v>
      </c>
      <c r="D20" s="3" t="n">
        <v>45</v>
      </c>
      <c r="E20" s="3" t="n">
        <v>20</v>
      </c>
      <c r="F20" s="3" t="n">
        <v>54</v>
      </c>
      <c r="G20" s="3" t="n">
        <v>40</v>
      </c>
      <c r="H20" s="3" t="n">
        <v>49</v>
      </c>
      <c r="I20" s="3" t="n">
        <v>54</v>
      </c>
      <c r="J20" s="3" t="n">
        <v>49</v>
      </c>
      <c r="K20" s="3" t="n">
        <v>42</v>
      </c>
      <c r="L20" s="3" t="n">
        <v>40</v>
      </c>
      <c r="M20" s="3" t="n">
        <v>61</v>
      </c>
      <c r="N20" s="3" t="n">
        <v>43</v>
      </c>
      <c r="O20" s="3" t="n">
        <v>57</v>
      </c>
      <c r="P20" s="4">
        <f>IF(B20="","",SUM(C20:O20))</f>
        <v/>
      </c>
      <c r="Q20" s="5">
        <f>IF(B20="","",ROUND(P20/13,2))</f>
        <v/>
      </c>
      <c r="R20" s="5">
        <f>IF(B20="","",IF(AH20=1,0,MIN(5,ROUND((U20+V20+W20+X20+Y20+Z20+AA20+AB20+AC20+AD20+AE20+AF20+AG20)/13,2))))</f>
        <v/>
      </c>
      <c r="S20" s="3">
        <f>IF(B20="","",IF(R20&gt;=5,"A+",IF(R20&gt;=4,"A",IF(R20&gt;=3.5,"A-",IF(R20&gt;=3,"B",IF(R20&gt;=2,"C",IF(R20&gt;=1,"D","F")))))))</f>
        <v/>
      </c>
      <c r="T20" s="3">
        <f>IF(OR(B20="",S20="F"),"",COUNTIFS(P:P,"&gt;"&amp;P20,S:S,"&lt;&gt;F")+1)</f>
        <v/>
      </c>
      <c r="U20">
        <f>IF(B20="","",IF(C20&lt;33.0,0,IF(C20&gt;=100*0.8,5,IF(C20&gt;=100*0.7,4,IF(C20&gt;=100*0.6,3.5,IF(C20&gt;=100*0.5,3,IF(C20&gt;=100*0.4,2,IF(C20&gt;=100*0.33,1,0))))))))</f>
        <v/>
      </c>
      <c r="V20">
        <f>IF(B20="","",IF(D20&lt;33.0,0,IF(D20&gt;=100*0.8,5,IF(D20&gt;=100*0.7,4,IF(D20&gt;=100*0.6,3.5,IF(D20&gt;=100*0.5,3,IF(D20&gt;=100*0.4,2,IF(D20&gt;=100*0.33,1,0))))))))</f>
        <v/>
      </c>
      <c r="W20">
        <f>IF(B20="","",IF(E20&lt;16.5,0,IF(E20&gt;=50*0.8,5,IF(E20&gt;=50*0.7,4,IF(E20&gt;=50*0.6,3.5,IF(E20&gt;=50*0.5,3,IF(E20&gt;=50*0.4,2,IF(E20&gt;=50*0.33,1,0))))))))</f>
        <v/>
      </c>
      <c r="X20">
        <f>IF(B20="","",IF(F20&lt;33.0,0,IF(F20&gt;=100*0.8,5,IF(F20&gt;=100*0.7,4,IF(F20&gt;=100*0.6,3.5,IF(F20&gt;=100*0.5,3,IF(F20&gt;=100*0.4,2,IF(F20&gt;=100*0.33,1,0))))))))</f>
        <v/>
      </c>
      <c r="Y20">
        <f>IF(B20="","",IF(G20&lt;16.5,0,IF(G20&gt;=50*0.8,5,IF(G20&gt;=50*0.7,4,IF(G20&gt;=50*0.6,3.5,IF(G20&gt;=50*0.5,3,IF(G20&gt;=50*0.4,2,IF(G20&gt;=50*0.33,1,0))))))))</f>
        <v/>
      </c>
      <c r="Z20">
        <f>IF(B20="","",IF(H20&lt;33.0,0,IF(H20&gt;=100*0.8,5,IF(H20&gt;=100*0.7,4,IF(H20&gt;=100*0.6,3.5,IF(H20&gt;=100*0.5,3,IF(H20&gt;=100*0.4,2,IF(H20&gt;=100*0.33,1,0))))))))</f>
        <v/>
      </c>
      <c r="AA20">
        <f>IF(B20="","",IF(I20&lt;33.0,0,IF(I20&gt;=100*0.8,5,IF(I20&gt;=100*0.7,4,IF(I20&gt;=100*0.6,3.5,IF(I20&gt;=100*0.5,3,IF(I20&gt;=100*0.4,2,IF(I20&gt;=100*0.33,1,0))))))))</f>
        <v/>
      </c>
      <c r="AB20">
        <f>IF(B20="","",IF(J20&lt;33.0,0,IF(J20&gt;=100*0.8,5,IF(J20&gt;=100*0.7,4,IF(J20&gt;=100*0.6,3.5,IF(J20&gt;=100*0.5,3,IF(J20&gt;=100*0.4,2,IF(J20&gt;=100*0.33,1,0))))))))</f>
        <v/>
      </c>
      <c r="AC20">
        <f>IF(B20="","",IF(K20&lt;33.0,0,IF(K20&gt;=100*0.8,5,IF(K20&gt;=100*0.7,4,IF(K20&gt;=100*0.6,3.5,IF(K20&gt;=100*0.5,3,IF(K20&gt;=100*0.4,2,IF(K20&gt;=100*0.33,1,0))))))))</f>
        <v/>
      </c>
      <c r="AD20">
        <f>IF(B20="","",IF(L20&lt;33.0,0,IF(L20&gt;=100*0.8,5,IF(L20&gt;=100*0.7,4,IF(L20&gt;=100*0.6,3.5,IF(L20&gt;=100*0.5,3,IF(L20&gt;=100*0.4,2,IF(L20&gt;=100*0.33,1,0))))))))</f>
        <v/>
      </c>
      <c r="AE20">
        <f>IF(B20="","",IF(M20&lt;33.0,0,IF(M20&gt;=100*0.8,5,IF(M20&gt;=100*0.7,4,IF(M20&gt;=100*0.6,3.5,IF(M20&gt;=100*0.5,3,IF(M20&gt;=100*0.4,2,IF(M20&gt;=100*0.33,1,0))))))))</f>
        <v/>
      </c>
      <c r="AF20">
        <f>IF(B20="","",IF(N20&lt;16.5,0,IF(N20&gt;=50*0.8,5,IF(N20&gt;=50*0.7,4,IF(N20&gt;=50*0.6,3.5,IF(N20&gt;=50*0.5,3,IF(N20&gt;=50*0.4,2,IF(N20&gt;=50*0.33,1,0))))))))</f>
        <v/>
      </c>
      <c r="AG20">
        <f>IF(B20="","",IF(O20&lt;33.0,0,IF(O20&gt;=100*0.8,5,IF(O20&gt;=100*0.7,4,IF(O20&gt;=100*0.6,3.5,IF(O20&gt;=100*0.5,3,IF(O20&gt;=100*0.4,2,IF(O20&gt;=100*0.33,1,0))))))))</f>
        <v/>
      </c>
      <c r="AH20">
        <f>IF(B20="","",IF(OR(U20=0,V20=0,W20=0,X20=0,Y20=0,Z20=0,AA20=0,AB20=0,AC20=0,AD20=0,AE20=0,AF20=0,AG20=0),1,0))</f>
        <v/>
      </c>
    </row>
    <row r="21">
      <c r="A21" s="3" t="n">
        <v>19</v>
      </c>
      <c r="B21" t="inlineStr">
        <is>
          <t>Hassan Aziz</t>
        </is>
      </c>
      <c r="C21" s="3" t="n">
        <v>65</v>
      </c>
      <c r="D21" s="3" t="n">
        <v>77</v>
      </c>
      <c r="E21" s="3" t="n">
        <v>37</v>
      </c>
      <c r="F21" s="3" t="n">
        <v>89</v>
      </c>
      <c r="G21" s="3" t="n">
        <v>45</v>
      </c>
      <c r="H21" s="3" t="n">
        <v>52</v>
      </c>
      <c r="I21" s="3" t="n">
        <v>74</v>
      </c>
      <c r="J21" s="3" t="n">
        <v>43</v>
      </c>
      <c r="K21" s="3" t="n">
        <v>50</v>
      </c>
      <c r="L21" s="3" t="n">
        <v>82</v>
      </c>
      <c r="M21" s="3" t="n">
        <v>40</v>
      </c>
      <c r="N21" s="3" t="n">
        <v>26</v>
      </c>
      <c r="O21" s="3" t="n">
        <v>52</v>
      </c>
      <c r="P21" s="4">
        <f>IF(B21="","",SUM(C21:O21))</f>
        <v/>
      </c>
      <c r="Q21" s="5">
        <f>IF(B21="","",ROUND(P21/13,2))</f>
        <v/>
      </c>
      <c r="R21" s="5">
        <f>IF(B21="","",IF(AH21=1,0,MIN(5,ROUND((U21+V21+W21+X21+Y21+Z21+AA21+AB21+AC21+AD21+AE21+AF21+AG21)/13,2))))</f>
        <v/>
      </c>
      <c r="S21" s="3">
        <f>IF(B21="","",IF(R21&gt;=5,"A+",IF(R21&gt;=4,"A",IF(R21&gt;=3.5,"A-",IF(R21&gt;=3,"B",IF(R21&gt;=2,"C",IF(R21&gt;=1,"D","F")))))))</f>
        <v/>
      </c>
      <c r="T21" s="3">
        <f>IF(OR(B21="",S21="F"),"",COUNTIFS(P:P,"&gt;"&amp;P21,S:S,"&lt;&gt;F")+1)</f>
        <v/>
      </c>
      <c r="U21">
        <f>IF(B21="","",IF(C21&lt;33.0,0,IF(C21&gt;=100*0.8,5,IF(C21&gt;=100*0.7,4,IF(C21&gt;=100*0.6,3.5,IF(C21&gt;=100*0.5,3,IF(C21&gt;=100*0.4,2,IF(C21&gt;=100*0.33,1,0))))))))</f>
        <v/>
      </c>
      <c r="V21">
        <f>IF(B21="","",IF(D21&lt;33.0,0,IF(D21&gt;=100*0.8,5,IF(D21&gt;=100*0.7,4,IF(D21&gt;=100*0.6,3.5,IF(D21&gt;=100*0.5,3,IF(D21&gt;=100*0.4,2,IF(D21&gt;=100*0.33,1,0))))))))</f>
        <v/>
      </c>
      <c r="W21">
        <f>IF(B21="","",IF(E21&lt;16.5,0,IF(E21&gt;=50*0.8,5,IF(E21&gt;=50*0.7,4,IF(E21&gt;=50*0.6,3.5,IF(E21&gt;=50*0.5,3,IF(E21&gt;=50*0.4,2,IF(E21&gt;=50*0.33,1,0))))))))</f>
        <v/>
      </c>
      <c r="X21">
        <f>IF(B21="","",IF(F21&lt;33.0,0,IF(F21&gt;=100*0.8,5,IF(F21&gt;=100*0.7,4,IF(F21&gt;=100*0.6,3.5,IF(F21&gt;=100*0.5,3,IF(F21&gt;=100*0.4,2,IF(F21&gt;=100*0.33,1,0))))))))</f>
        <v/>
      </c>
      <c r="Y21">
        <f>IF(B21="","",IF(G21&lt;16.5,0,IF(G21&gt;=50*0.8,5,IF(G21&gt;=50*0.7,4,IF(G21&gt;=50*0.6,3.5,IF(G21&gt;=50*0.5,3,IF(G21&gt;=50*0.4,2,IF(G21&gt;=50*0.33,1,0))))))))</f>
        <v/>
      </c>
      <c r="Z21">
        <f>IF(B21="","",IF(H21&lt;33.0,0,IF(H21&gt;=100*0.8,5,IF(H21&gt;=100*0.7,4,IF(H21&gt;=100*0.6,3.5,IF(H21&gt;=100*0.5,3,IF(H21&gt;=100*0.4,2,IF(H21&gt;=100*0.33,1,0))))))))</f>
        <v/>
      </c>
      <c r="AA21">
        <f>IF(B21="","",IF(I21&lt;33.0,0,IF(I21&gt;=100*0.8,5,IF(I21&gt;=100*0.7,4,IF(I21&gt;=100*0.6,3.5,IF(I21&gt;=100*0.5,3,IF(I21&gt;=100*0.4,2,IF(I21&gt;=100*0.33,1,0))))))))</f>
        <v/>
      </c>
      <c r="AB21">
        <f>IF(B21="","",IF(J21&lt;33.0,0,IF(J21&gt;=100*0.8,5,IF(J21&gt;=100*0.7,4,IF(J21&gt;=100*0.6,3.5,IF(J21&gt;=100*0.5,3,IF(J21&gt;=100*0.4,2,IF(J21&gt;=100*0.33,1,0))))))))</f>
        <v/>
      </c>
      <c r="AC21">
        <f>IF(B21="","",IF(K21&lt;33.0,0,IF(K21&gt;=100*0.8,5,IF(K21&gt;=100*0.7,4,IF(K21&gt;=100*0.6,3.5,IF(K21&gt;=100*0.5,3,IF(K21&gt;=100*0.4,2,IF(K21&gt;=100*0.33,1,0))))))))</f>
        <v/>
      </c>
      <c r="AD21">
        <f>IF(B21="","",IF(L21&lt;33.0,0,IF(L21&gt;=100*0.8,5,IF(L21&gt;=100*0.7,4,IF(L21&gt;=100*0.6,3.5,IF(L21&gt;=100*0.5,3,IF(L21&gt;=100*0.4,2,IF(L21&gt;=100*0.33,1,0))))))))</f>
        <v/>
      </c>
      <c r="AE21">
        <f>IF(B21="","",IF(M21&lt;33.0,0,IF(M21&gt;=100*0.8,5,IF(M21&gt;=100*0.7,4,IF(M21&gt;=100*0.6,3.5,IF(M21&gt;=100*0.5,3,IF(M21&gt;=100*0.4,2,IF(M21&gt;=100*0.33,1,0))))))))</f>
        <v/>
      </c>
      <c r="AF21">
        <f>IF(B21="","",IF(N21&lt;16.5,0,IF(N21&gt;=50*0.8,5,IF(N21&gt;=50*0.7,4,IF(N21&gt;=50*0.6,3.5,IF(N21&gt;=50*0.5,3,IF(N21&gt;=50*0.4,2,IF(N21&gt;=50*0.33,1,0))))))))</f>
        <v/>
      </c>
      <c r="AG21">
        <f>IF(B21="","",IF(O21&lt;33.0,0,IF(O21&gt;=100*0.8,5,IF(O21&gt;=100*0.7,4,IF(O21&gt;=100*0.6,3.5,IF(O21&gt;=100*0.5,3,IF(O21&gt;=100*0.4,2,IF(O21&gt;=100*0.33,1,0))))))))</f>
        <v/>
      </c>
      <c r="AH21">
        <f>IF(B21="","",IF(OR(U21=0,V21=0,W21=0,X21=0,Y21=0,Z21=0,AA21=0,AB21=0,AC21=0,AD21=0,AE21=0,AF21=0,AG21=0),1,0))</f>
        <v/>
      </c>
    </row>
    <row r="22">
      <c r="A22" s="3" t="n">
        <v>20</v>
      </c>
      <c r="B22" t="inlineStr">
        <is>
          <t>Safiya Iqbal</t>
        </is>
      </c>
      <c r="C22" s="3" t="n">
        <v>32</v>
      </c>
      <c r="D22" s="3" t="n">
        <v>48</v>
      </c>
      <c r="E22" s="3" t="n">
        <v>33</v>
      </c>
      <c r="F22" s="3" t="n">
        <v>75</v>
      </c>
      <c r="G22" s="3" t="n">
        <v>30</v>
      </c>
      <c r="H22" s="3" t="n">
        <v>54</v>
      </c>
      <c r="I22" s="3" t="n">
        <v>53</v>
      </c>
      <c r="J22" s="3" t="n">
        <v>86</v>
      </c>
      <c r="K22" s="3" t="n">
        <v>62</v>
      </c>
      <c r="L22" s="3" t="n">
        <v>89</v>
      </c>
      <c r="M22" s="3" t="n">
        <v>13</v>
      </c>
      <c r="N22" s="3" t="n">
        <v>48</v>
      </c>
      <c r="O22" s="3" t="n">
        <v>37</v>
      </c>
      <c r="P22" s="4">
        <f>IF(B22="","",SUM(C22:O22))</f>
        <v/>
      </c>
      <c r="Q22" s="5">
        <f>IF(B22="","",ROUND(P22/13,2))</f>
        <v/>
      </c>
      <c r="R22" s="5">
        <f>IF(B22="","",IF(AH22=1,0,MIN(5,ROUND((U22+V22+W22+X22+Y22+Z22+AA22+AB22+AC22+AD22+AE22+AF22+AG22)/13,2))))</f>
        <v/>
      </c>
      <c r="S22" s="3">
        <f>IF(B22="","",IF(R22&gt;=5,"A+",IF(R22&gt;=4,"A",IF(R22&gt;=3.5,"A-",IF(R22&gt;=3,"B",IF(R22&gt;=2,"C",IF(R22&gt;=1,"D","F")))))))</f>
        <v/>
      </c>
      <c r="T22" s="3">
        <f>IF(OR(B22="",S22="F"),"",COUNTIFS(P:P,"&gt;"&amp;P22,S:S,"&lt;&gt;F")+1)</f>
        <v/>
      </c>
      <c r="U22">
        <f>IF(B22="","",IF(C22&lt;33.0,0,IF(C22&gt;=100*0.8,5,IF(C22&gt;=100*0.7,4,IF(C22&gt;=100*0.6,3.5,IF(C22&gt;=100*0.5,3,IF(C22&gt;=100*0.4,2,IF(C22&gt;=100*0.33,1,0))))))))</f>
        <v/>
      </c>
      <c r="V22">
        <f>IF(B22="","",IF(D22&lt;33.0,0,IF(D22&gt;=100*0.8,5,IF(D22&gt;=100*0.7,4,IF(D22&gt;=100*0.6,3.5,IF(D22&gt;=100*0.5,3,IF(D22&gt;=100*0.4,2,IF(D22&gt;=100*0.33,1,0))))))))</f>
        <v/>
      </c>
      <c r="W22">
        <f>IF(B22="","",IF(E22&lt;16.5,0,IF(E22&gt;=50*0.8,5,IF(E22&gt;=50*0.7,4,IF(E22&gt;=50*0.6,3.5,IF(E22&gt;=50*0.5,3,IF(E22&gt;=50*0.4,2,IF(E22&gt;=50*0.33,1,0))))))))</f>
        <v/>
      </c>
      <c r="X22">
        <f>IF(B22="","",IF(F22&lt;33.0,0,IF(F22&gt;=100*0.8,5,IF(F22&gt;=100*0.7,4,IF(F22&gt;=100*0.6,3.5,IF(F22&gt;=100*0.5,3,IF(F22&gt;=100*0.4,2,IF(F22&gt;=100*0.33,1,0))))))))</f>
        <v/>
      </c>
      <c r="Y22">
        <f>IF(B22="","",IF(G22&lt;16.5,0,IF(G22&gt;=50*0.8,5,IF(G22&gt;=50*0.7,4,IF(G22&gt;=50*0.6,3.5,IF(G22&gt;=50*0.5,3,IF(G22&gt;=50*0.4,2,IF(G22&gt;=50*0.33,1,0))))))))</f>
        <v/>
      </c>
      <c r="Z22">
        <f>IF(B22="","",IF(H22&lt;33.0,0,IF(H22&gt;=100*0.8,5,IF(H22&gt;=100*0.7,4,IF(H22&gt;=100*0.6,3.5,IF(H22&gt;=100*0.5,3,IF(H22&gt;=100*0.4,2,IF(H22&gt;=100*0.33,1,0))))))))</f>
        <v/>
      </c>
      <c r="AA22">
        <f>IF(B22="","",IF(I22&lt;33.0,0,IF(I22&gt;=100*0.8,5,IF(I22&gt;=100*0.7,4,IF(I22&gt;=100*0.6,3.5,IF(I22&gt;=100*0.5,3,IF(I22&gt;=100*0.4,2,IF(I22&gt;=100*0.33,1,0))))))))</f>
        <v/>
      </c>
      <c r="AB22">
        <f>IF(B22="","",IF(J22&lt;33.0,0,IF(J22&gt;=100*0.8,5,IF(J22&gt;=100*0.7,4,IF(J22&gt;=100*0.6,3.5,IF(J22&gt;=100*0.5,3,IF(J22&gt;=100*0.4,2,IF(J22&gt;=100*0.33,1,0))))))))</f>
        <v/>
      </c>
      <c r="AC22">
        <f>IF(B22="","",IF(K22&lt;33.0,0,IF(K22&gt;=100*0.8,5,IF(K22&gt;=100*0.7,4,IF(K22&gt;=100*0.6,3.5,IF(K22&gt;=100*0.5,3,IF(K22&gt;=100*0.4,2,IF(K22&gt;=100*0.33,1,0))))))))</f>
        <v/>
      </c>
      <c r="AD22">
        <f>IF(B22="","",IF(L22&lt;33.0,0,IF(L22&gt;=100*0.8,5,IF(L22&gt;=100*0.7,4,IF(L22&gt;=100*0.6,3.5,IF(L22&gt;=100*0.5,3,IF(L22&gt;=100*0.4,2,IF(L22&gt;=100*0.33,1,0))))))))</f>
        <v/>
      </c>
      <c r="AE22">
        <f>IF(B22="","",IF(M22&lt;33.0,0,IF(M22&gt;=100*0.8,5,IF(M22&gt;=100*0.7,4,IF(M22&gt;=100*0.6,3.5,IF(M22&gt;=100*0.5,3,IF(M22&gt;=100*0.4,2,IF(M22&gt;=100*0.33,1,0))))))))</f>
        <v/>
      </c>
      <c r="AF22">
        <f>IF(B22="","",IF(N22&lt;16.5,0,IF(N22&gt;=50*0.8,5,IF(N22&gt;=50*0.7,4,IF(N22&gt;=50*0.6,3.5,IF(N22&gt;=50*0.5,3,IF(N22&gt;=50*0.4,2,IF(N22&gt;=50*0.33,1,0))))))))</f>
        <v/>
      </c>
      <c r="AG22">
        <f>IF(B22="","",IF(O22&lt;33.0,0,IF(O22&gt;=100*0.8,5,IF(O22&gt;=100*0.7,4,IF(O22&gt;=100*0.6,3.5,IF(O22&gt;=100*0.5,3,IF(O22&gt;=100*0.4,2,IF(O22&gt;=100*0.33,1,0))))))))</f>
        <v/>
      </c>
      <c r="AH22">
        <f>IF(B22="","",IF(OR(U22=0,V22=0,W22=0,X22=0,Y22=0,Z22=0,AA22=0,AB22=0,AC22=0,AD22=0,AE22=0,AF22=0,AG22=0),1,0))</f>
        <v/>
      </c>
    </row>
    <row r="23">
      <c r="A23" s="3">
        <f>IF(B23="","",ROW()-2)</f>
        <v/>
      </c>
      <c r="P23" s="4">
        <f>IF(B23="","",SUM(C23:O23))</f>
        <v/>
      </c>
      <c r="Q23" s="5">
        <f>IF(B23="","",ROUND(P23/13,2))</f>
        <v/>
      </c>
      <c r="R23" s="5">
        <f>IF(B23="","",IF(AH23=1,0,MIN(5,ROUND((U23+V23+W23+X23+Y23+Z23+AA23+AB23+AC23+AD23+AE23+AF23+AG23)/13,2))))</f>
        <v/>
      </c>
      <c r="S23" s="3">
        <f>IF(B23="","",IF(R23&gt;=5,"A+",IF(R23&gt;=4,"A",IF(R23&gt;=3.5,"A-",IF(R23&gt;=3,"B",IF(R23&gt;=2,"C",IF(R23&gt;=1,"D","F")))))))</f>
        <v/>
      </c>
      <c r="T23" s="3">
        <f>IF(OR(B23="",S23="F"),"",COUNTIFS(P:P,"&gt;"&amp;P23,S:S,"&lt;&gt;F")+1)</f>
        <v/>
      </c>
      <c r="U23">
        <f>IF(B23="","",IF(C23&lt;33.0,0,IF(C23&gt;=100*0.8,5,IF(C23&gt;=100*0.7,4,IF(C23&gt;=100*0.6,3.5,IF(C23&gt;=100*0.5,3,IF(C23&gt;=100*0.4,2,IF(C23&gt;=100*0.33,1,0))))))))</f>
        <v/>
      </c>
      <c r="V23">
        <f>IF(B23="","",IF(D23&lt;33.0,0,IF(D23&gt;=100*0.8,5,IF(D23&gt;=100*0.7,4,IF(D23&gt;=100*0.6,3.5,IF(D23&gt;=100*0.5,3,IF(D23&gt;=100*0.4,2,IF(D23&gt;=100*0.33,1,0))))))))</f>
        <v/>
      </c>
      <c r="W23">
        <f>IF(B23="","",IF(E23&lt;16.5,0,IF(E23&gt;=50*0.8,5,IF(E23&gt;=50*0.7,4,IF(E23&gt;=50*0.6,3.5,IF(E23&gt;=50*0.5,3,IF(E23&gt;=50*0.4,2,IF(E23&gt;=50*0.33,1,0))))))))</f>
        <v/>
      </c>
      <c r="X23">
        <f>IF(B23="","",IF(F23&lt;33.0,0,IF(F23&gt;=100*0.8,5,IF(F23&gt;=100*0.7,4,IF(F23&gt;=100*0.6,3.5,IF(F23&gt;=100*0.5,3,IF(F23&gt;=100*0.4,2,IF(F23&gt;=100*0.33,1,0))))))))</f>
        <v/>
      </c>
      <c r="Y23">
        <f>IF(B23="","",IF(G23&lt;16.5,0,IF(G23&gt;=50*0.8,5,IF(G23&gt;=50*0.7,4,IF(G23&gt;=50*0.6,3.5,IF(G23&gt;=50*0.5,3,IF(G23&gt;=50*0.4,2,IF(G23&gt;=50*0.33,1,0))))))))</f>
        <v/>
      </c>
      <c r="Z23">
        <f>IF(B23="","",IF(H23&lt;33.0,0,IF(H23&gt;=100*0.8,5,IF(H23&gt;=100*0.7,4,IF(H23&gt;=100*0.6,3.5,IF(H23&gt;=100*0.5,3,IF(H23&gt;=100*0.4,2,IF(H23&gt;=100*0.33,1,0))))))))</f>
        <v/>
      </c>
      <c r="AA23">
        <f>IF(B23="","",IF(I23&lt;33.0,0,IF(I23&gt;=100*0.8,5,IF(I23&gt;=100*0.7,4,IF(I23&gt;=100*0.6,3.5,IF(I23&gt;=100*0.5,3,IF(I23&gt;=100*0.4,2,IF(I23&gt;=100*0.33,1,0))))))))</f>
        <v/>
      </c>
      <c r="AB23">
        <f>IF(B23="","",IF(J23&lt;33.0,0,IF(J23&gt;=100*0.8,5,IF(J23&gt;=100*0.7,4,IF(J23&gt;=100*0.6,3.5,IF(J23&gt;=100*0.5,3,IF(J23&gt;=100*0.4,2,IF(J23&gt;=100*0.33,1,0))))))))</f>
        <v/>
      </c>
      <c r="AC23">
        <f>IF(B23="","",IF(K23&lt;33.0,0,IF(K23&gt;=100*0.8,5,IF(K23&gt;=100*0.7,4,IF(K23&gt;=100*0.6,3.5,IF(K23&gt;=100*0.5,3,IF(K23&gt;=100*0.4,2,IF(K23&gt;=100*0.33,1,0))))))))</f>
        <v/>
      </c>
      <c r="AD23">
        <f>IF(B23="","",IF(L23&lt;33.0,0,IF(L23&gt;=100*0.8,5,IF(L23&gt;=100*0.7,4,IF(L23&gt;=100*0.6,3.5,IF(L23&gt;=100*0.5,3,IF(L23&gt;=100*0.4,2,IF(L23&gt;=100*0.33,1,0))))))))</f>
        <v/>
      </c>
      <c r="AE23">
        <f>IF(B23="","",IF(M23&lt;33.0,0,IF(M23&gt;=100*0.8,5,IF(M23&gt;=100*0.7,4,IF(M23&gt;=100*0.6,3.5,IF(M23&gt;=100*0.5,3,IF(M23&gt;=100*0.4,2,IF(M23&gt;=100*0.33,1,0))))))))</f>
        <v/>
      </c>
      <c r="AF23">
        <f>IF(B23="","",IF(N23&lt;16.5,0,IF(N23&gt;=50*0.8,5,IF(N23&gt;=50*0.7,4,IF(N23&gt;=50*0.6,3.5,IF(N23&gt;=50*0.5,3,IF(N23&gt;=50*0.4,2,IF(N23&gt;=50*0.33,1,0))))))))</f>
        <v/>
      </c>
      <c r="AG23">
        <f>IF(B23="","",IF(O23&lt;33.0,0,IF(O23&gt;=100*0.8,5,IF(O23&gt;=100*0.7,4,IF(O23&gt;=100*0.6,3.5,IF(O23&gt;=100*0.5,3,IF(O23&gt;=100*0.4,2,IF(O23&gt;=100*0.33,1,0))))))))</f>
        <v/>
      </c>
      <c r="AH23">
        <f>IF(B23="","",IF(OR(U23=0,V23=0,W23=0,X23=0,Y23=0,Z23=0,AA23=0,AB23=0,AC23=0,AD23=0,AE23=0,AF23=0,AG23=0),1,0))</f>
        <v/>
      </c>
    </row>
    <row r="24">
      <c r="A24" s="3">
        <f>IF(B24="","",ROW()-2)</f>
        <v/>
      </c>
      <c r="P24" s="4">
        <f>IF(B24="","",SUM(C24:O24))</f>
        <v/>
      </c>
      <c r="Q24" s="5">
        <f>IF(B24="","",ROUND(P24/13,2))</f>
        <v/>
      </c>
      <c r="R24" s="5">
        <f>IF(B24="","",IF(AH24=1,0,MIN(5,ROUND((U24+V24+W24+X24+Y24+Z24+AA24+AB24+AC24+AD24+AE24+AF24+AG24)/13,2))))</f>
        <v/>
      </c>
      <c r="S24" s="3">
        <f>IF(B24="","",IF(R24&gt;=5,"A+",IF(R24&gt;=4,"A",IF(R24&gt;=3.5,"A-",IF(R24&gt;=3,"B",IF(R24&gt;=2,"C",IF(R24&gt;=1,"D","F")))))))</f>
        <v/>
      </c>
      <c r="T24" s="3">
        <f>IF(OR(B24="",S24="F"),"",COUNTIFS(P:P,"&gt;"&amp;P24,S:S,"&lt;&gt;F")+1)</f>
        <v/>
      </c>
      <c r="U24">
        <f>IF(B24="","",IF(C24&lt;33.0,0,IF(C24&gt;=100*0.8,5,IF(C24&gt;=100*0.7,4,IF(C24&gt;=100*0.6,3.5,IF(C24&gt;=100*0.5,3,IF(C24&gt;=100*0.4,2,IF(C24&gt;=100*0.33,1,0))))))))</f>
        <v/>
      </c>
      <c r="V24">
        <f>IF(B24="","",IF(D24&lt;33.0,0,IF(D24&gt;=100*0.8,5,IF(D24&gt;=100*0.7,4,IF(D24&gt;=100*0.6,3.5,IF(D24&gt;=100*0.5,3,IF(D24&gt;=100*0.4,2,IF(D24&gt;=100*0.33,1,0))))))))</f>
        <v/>
      </c>
      <c r="W24">
        <f>IF(B24="","",IF(E24&lt;16.5,0,IF(E24&gt;=50*0.8,5,IF(E24&gt;=50*0.7,4,IF(E24&gt;=50*0.6,3.5,IF(E24&gt;=50*0.5,3,IF(E24&gt;=50*0.4,2,IF(E24&gt;=50*0.33,1,0))))))))</f>
        <v/>
      </c>
      <c r="X24">
        <f>IF(B24="","",IF(F24&lt;33.0,0,IF(F24&gt;=100*0.8,5,IF(F24&gt;=100*0.7,4,IF(F24&gt;=100*0.6,3.5,IF(F24&gt;=100*0.5,3,IF(F24&gt;=100*0.4,2,IF(F24&gt;=100*0.33,1,0))))))))</f>
        <v/>
      </c>
      <c r="Y24">
        <f>IF(B24="","",IF(G24&lt;16.5,0,IF(G24&gt;=50*0.8,5,IF(G24&gt;=50*0.7,4,IF(G24&gt;=50*0.6,3.5,IF(G24&gt;=50*0.5,3,IF(G24&gt;=50*0.4,2,IF(G24&gt;=50*0.33,1,0))))))))</f>
        <v/>
      </c>
      <c r="Z24">
        <f>IF(B24="","",IF(H24&lt;33.0,0,IF(H24&gt;=100*0.8,5,IF(H24&gt;=100*0.7,4,IF(H24&gt;=100*0.6,3.5,IF(H24&gt;=100*0.5,3,IF(H24&gt;=100*0.4,2,IF(H24&gt;=100*0.33,1,0))))))))</f>
        <v/>
      </c>
      <c r="AA24">
        <f>IF(B24="","",IF(I24&lt;33.0,0,IF(I24&gt;=100*0.8,5,IF(I24&gt;=100*0.7,4,IF(I24&gt;=100*0.6,3.5,IF(I24&gt;=100*0.5,3,IF(I24&gt;=100*0.4,2,IF(I24&gt;=100*0.33,1,0))))))))</f>
        <v/>
      </c>
      <c r="AB24">
        <f>IF(B24="","",IF(J24&lt;33.0,0,IF(J24&gt;=100*0.8,5,IF(J24&gt;=100*0.7,4,IF(J24&gt;=100*0.6,3.5,IF(J24&gt;=100*0.5,3,IF(J24&gt;=100*0.4,2,IF(J24&gt;=100*0.33,1,0))))))))</f>
        <v/>
      </c>
      <c r="AC24">
        <f>IF(B24="","",IF(K24&lt;33.0,0,IF(K24&gt;=100*0.8,5,IF(K24&gt;=100*0.7,4,IF(K24&gt;=100*0.6,3.5,IF(K24&gt;=100*0.5,3,IF(K24&gt;=100*0.4,2,IF(K24&gt;=100*0.33,1,0))))))))</f>
        <v/>
      </c>
      <c r="AD24">
        <f>IF(B24="","",IF(L24&lt;33.0,0,IF(L24&gt;=100*0.8,5,IF(L24&gt;=100*0.7,4,IF(L24&gt;=100*0.6,3.5,IF(L24&gt;=100*0.5,3,IF(L24&gt;=100*0.4,2,IF(L24&gt;=100*0.33,1,0))))))))</f>
        <v/>
      </c>
      <c r="AE24">
        <f>IF(B24="","",IF(M24&lt;33.0,0,IF(M24&gt;=100*0.8,5,IF(M24&gt;=100*0.7,4,IF(M24&gt;=100*0.6,3.5,IF(M24&gt;=100*0.5,3,IF(M24&gt;=100*0.4,2,IF(M24&gt;=100*0.33,1,0))))))))</f>
        <v/>
      </c>
      <c r="AF24">
        <f>IF(B24="","",IF(N24&lt;16.5,0,IF(N24&gt;=50*0.8,5,IF(N24&gt;=50*0.7,4,IF(N24&gt;=50*0.6,3.5,IF(N24&gt;=50*0.5,3,IF(N24&gt;=50*0.4,2,IF(N24&gt;=50*0.33,1,0))))))))</f>
        <v/>
      </c>
      <c r="AG24">
        <f>IF(B24="","",IF(O24&lt;33.0,0,IF(O24&gt;=100*0.8,5,IF(O24&gt;=100*0.7,4,IF(O24&gt;=100*0.6,3.5,IF(O24&gt;=100*0.5,3,IF(O24&gt;=100*0.4,2,IF(O24&gt;=100*0.33,1,0))))))))</f>
        <v/>
      </c>
      <c r="AH24">
        <f>IF(B24="","",IF(OR(U24=0,V24=0,W24=0,X24=0,Y24=0,Z24=0,AA24=0,AB24=0,AC24=0,AD24=0,AE24=0,AF24=0,AG24=0),1,0))</f>
        <v/>
      </c>
    </row>
    <row r="25">
      <c r="A25" s="3">
        <f>IF(B25="","",ROW()-2)</f>
        <v/>
      </c>
      <c r="P25" s="4">
        <f>IF(B25="","",SUM(C25:O25))</f>
        <v/>
      </c>
      <c r="Q25" s="5">
        <f>IF(B25="","",ROUND(P25/13,2))</f>
        <v/>
      </c>
      <c r="R25" s="5">
        <f>IF(B25="","",IF(AH25=1,0,MIN(5,ROUND((U25+V25+W25+X25+Y25+Z25+AA25+AB25+AC25+AD25+AE25+AF25+AG25)/13,2))))</f>
        <v/>
      </c>
      <c r="S25" s="3">
        <f>IF(B25="","",IF(R25&gt;=5,"A+",IF(R25&gt;=4,"A",IF(R25&gt;=3.5,"A-",IF(R25&gt;=3,"B",IF(R25&gt;=2,"C",IF(R25&gt;=1,"D","F")))))))</f>
        <v/>
      </c>
      <c r="T25" s="3">
        <f>IF(OR(B25="",S25="F"),"",COUNTIFS(P:P,"&gt;"&amp;P25,S:S,"&lt;&gt;F")+1)</f>
        <v/>
      </c>
      <c r="U25">
        <f>IF(B25="","",IF(C25&lt;33.0,0,IF(C25&gt;=100*0.8,5,IF(C25&gt;=100*0.7,4,IF(C25&gt;=100*0.6,3.5,IF(C25&gt;=100*0.5,3,IF(C25&gt;=100*0.4,2,IF(C25&gt;=100*0.33,1,0))))))))</f>
        <v/>
      </c>
      <c r="V25">
        <f>IF(B25="","",IF(D25&lt;33.0,0,IF(D25&gt;=100*0.8,5,IF(D25&gt;=100*0.7,4,IF(D25&gt;=100*0.6,3.5,IF(D25&gt;=100*0.5,3,IF(D25&gt;=100*0.4,2,IF(D25&gt;=100*0.33,1,0))))))))</f>
        <v/>
      </c>
      <c r="W25">
        <f>IF(B25="","",IF(E25&lt;16.5,0,IF(E25&gt;=50*0.8,5,IF(E25&gt;=50*0.7,4,IF(E25&gt;=50*0.6,3.5,IF(E25&gt;=50*0.5,3,IF(E25&gt;=50*0.4,2,IF(E25&gt;=50*0.33,1,0))))))))</f>
        <v/>
      </c>
      <c r="X25">
        <f>IF(B25="","",IF(F25&lt;33.0,0,IF(F25&gt;=100*0.8,5,IF(F25&gt;=100*0.7,4,IF(F25&gt;=100*0.6,3.5,IF(F25&gt;=100*0.5,3,IF(F25&gt;=100*0.4,2,IF(F25&gt;=100*0.33,1,0))))))))</f>
        <v/>
      </c>
      <c r="Y25">
        <f>IF(B25="","",IF(G25&lt;16.5,0,IF(G25&gt;=50*0.8,5,IF(G25&gt;=50*0.7,4,IF(G25&gt;=50*0.6,3.5,IF(G25&gt;=50*0.5,3,IF(G25&gt;=50*0.4,2,IF(G25&gt;=50*0.33,1,0))))))))</f>
        <v/>
      </c>
      <c r="Z25">
        <f>IF(B25="","",IF(H25&lt;33.0,0,IF(H25&gt;=100*0.8,5,IF(H25&gt;=100*0.7,4,IF(H25&gt;=100*0.6,3.5,IF(H25&gt;=100*0.5,3,IF(H25&gt;=100*0.4,2,IF(H25&gt;=100*0.33,1,0))))))))</f>
        <v/>
      </c>
      <c r="AA25">
        <f>IF(B25="","",IF(I25&lt;33.0,0,IF(I25&gt;=100*0.8,5,IF(I25&gt;=100*0.7,4,IF(I25&gt;=100*0.6,3.5,IF(I25&gt;=100*0.5,3,IF(I25&gt;=100*0.4,2,IF(I25&gt;=100*0.33,1,0))))))))</f>
        <v/>
      </c>
      <c r="AB25">
        <f>IF(B25="","",IF(J25&lt;33.0,0,IF(J25&gt;=100*0.8,5,IF(J25&gt;=100*0.7,4,IF(J25&gt;=100*0.6,3.5,IF(J25&gt;=100*0.5,3,IF(J25&gt;=100*0.4,2,IF(J25&gt;=100*0.33,1,0))))))))</f>
        <v/>
      </c>
      <c r="AC25">
        <f>IF(B25="","",IF(K25&lt;33.0,0,IF(K25&gt;=100*0.8,5,IF(K25&gt;=100*0.7,4,IF(K25&gt;=100*0.6,3.5,IF(K25&gt;=100*0.5,3,IF(K25&gt;=100*0.4,2,IF(K25&gt;=100*0.33,1,0))))))))</f>
        <v/>
      </c>
      <c r="AD25">
        <f>IF(B25="","",IF(L25&lt;33.0,0,IF(L25&gt;=100*0.8,5,IF(L25&gt;=100*0.7,4,IF(L25&gt;=100*0.6,3.5,IF(L25&gt;=100*0.5,3,IF(L25&gt;=100*0.4,2,IF(L25&gt;=100*0.33,1,0))))))))</f>
        <v/>
      </c>
      <c r="AE25">
        <f>IF(B25="","",IF(M25&lt;33.0,0,IF(M25&gt;=100*0.8,5,IF(M25&gt;=100*0.7,4,IF(M25&gt;=100*0.6,3.5,IF(M25&gt;=100*0.5,3,IF(M25&gt;=100*0.4,2,IF(M25&gt;=100*0.33,1,0))))))))</f>
        <v/>
      </c>
      <c r="AF25">
        <f>IF(B25="","",IF(N25&lt;16.5,0,IF(N25&gt;=50*0.8,5,IF(N25&gt;=50*0.7,4,IF(N25&gt;=50*0.6,3.5,IF(N25&gt;=50*0.5,3,IF(N25&gt;=50*0.4,2,IF(N25&gt;=50*0.33,1,0))))))))</f>
        <v/>
      </c>
      <c r="AG25">
        <f>IF(B25="","",IF(O25&lt;33.0,0,IF(O25&gt;=100*0.8,5,IF(O25&gt;=100*0.7,4,IF(O25&gt;=100*0.6,3.5,IF(O25&gt;=100*0.5,3,IF(O25&gt;=100*0.4,2,IF(O25&gt;=100*0.33,1,0))))))))</f>
        <v/>
      </c>
      <c r="AH25">
        <f>IF(B25="","",IF(OR(U25=0,V25=0,W25=0,X25=0,Y25=0,Z25=0,AA25=0,AB25=0,AC25=0,AD25=0,AE25=0,AF25=0,AG25=0),1,0))</f>
        <v/>
      </c>
    </row>
    <row r="26">
      <c r="A26" s="3">
        <f>IF(B26="","",ROW()-2)</f>
        <v/>
      </c>
      <c r="P26" s="4">
        <f>IF(B26="","",SUM(C26:O26))</f>
        <v/>
      </c>
      <c r="Q26" s="5">
        <f>IF(B26="","",ROUND(P26/13,2))</f>
        <v/>
      </c>
      <c r="R26" s="5">
        <f>IF(B26="","",IF(AH26=1,0,MIN(5,ROUND((U26+V26+W26+X26+Y26+Z26+AA26+AB26+AC26+AD26+AE26+AF26+AG26)/13,2))))</f>
        <v/>
      </c>
      <c r="S26" s="3">
        <f>IF(B26="","",IF(R26&gt;=5,"A+",IF(R26&gt;=4,"A",IF(R26&gt;=3.5,"A-",IF(R26&gt;=3,"B",IF(R26&gt;=2,"C",IF(R26&gt;=1,"D","F")))))))</f>
        <v/>
      </c>
      <c r="T26" s="3">
        <f>IF(OR(B26="",S26="F"),"",COUNTIFS(P:P,"&gt;"&amp;P26,S:S,"&lt;&gt;F")+1)</f>
        <v/>
      </c>
      <c r="U26">
        <f>IF(B26="","",IF(C26&lt;33.0,0,IF(C26&gt;=100*0.8,5,IF(C26&gt;=100*0.7,4,IF(C26&gt;=100*0.6,3.5,IF(C26&gt;=100*0.5,3,IF(C26&gt;=100*0.4,2,IF(C26&gt;=100*0.33,1,0))))))))</f>
        <v/>
      </c>
      <c r="V26">
        <f>IF(B26="","",IF(D26&lt;33.0,0,IF(D26&gt;=100*0.8,5,IF(D26&gt;=100*0.7,4,IF(D26&gt;=100*0.6,3.5,IF(D26&gt;=100*0.5,3,IF(D26&gt;=100*0.4,2,IF(D26&gt;=100*0.33,1,0))))))))</f>
        <v/>
      </c>
      <c r="W26">
        <f>IF(B26="","",IF(E26&lt;16.5,0,IF(E26&gt;=50*0.8,5,IF(E26&gt;=50*0.7,4,IF(E26&gt;=50*0.6,3.5,IF(E26&gt;=50*0.5,3,IF(E26&gt;=50*0.4,2,IF(E26&gt;=50*0.33,1,0))))))))</f>
        <v/>
      </c>
      <c r="X26">
        <f>IF(B26="","",IF(F26&lt;33.0,0,IF(F26&gt;=100*0.8,5,IF(F26&gt;=100*0.7,4,IF(F26&gt;=100*0.6,3.5,IF(F26&gt;=100*0.5,3,IF(F26&gt;=100*0.4,2,IF(F26&gt;=100*0.33,1,0))))))))</f>
        <v/>
      </c>
      <c r="Y26">
        <f>IF(B26="","",IF(G26&lt;16.5,0,IF(G26&gt;=50*0.8,5,IF(G26&gt;=50*0.7,4,IF(G26&gt;=50*0.6,3.5,IF(G26&gt;=50*0.5,3,IF(G26&gt;=50*0.4,2,IF(G26&gt;=50*0.33,1,0))))))))</f>
        <v/>
      </c>
      <c r="Z26">
        <f>IF(B26="","",IF(H26&lt;33.0,0,IF(H26&gt;=100*0.8,5,IF(H26&gt;=100*0.7,4,IF(H26&gt;=100*0.6,3.5,IF(H26&gt;=100*0.5,3,IF(H26&gt;=100*0.4,2,IF(H26&gt;=100*0.33,1,0))))))))</f>
        <v/>
      </c>
      <c r="AA26">
        <f>IF(B26="","",IF(I26&lt;33.0,0,IF(I26&gt;=100*0.8,5,IF(I26&gt;=100*0.7,4,IF(I26&gt;=100*0.6,3.5,IF(I26&gt;=100*0.5,3,IF(I26&gt;=100*0.4,2,IF(I26&gt;=100*0.33,1,0))))))))</f>
        <v/>
      </c>
      <c r="AB26">
        <f>IF(B26="","",IF(J26&lt;33.0,0,IF(J26&gt;=100*0.8,5,IF(J26&gt;=100*0.7,4,IF(J26&gt;=100*0.6,3.5,IF(J26&gt;=100*0.5,3,IF(J26&gt;=100*0.4,2,IF(J26&gt;=100*0.33,1,0))))))))</f>
        <v/>
      </c>
      <c r="AC26">
        <f>IF(B26="","",IF(K26&lt;33.0,0,IF(K26&gt;=100*0.8,5,IF(K26&gt;=100*0.7,4,IF(K26&gt;=100*0.6,3.5,IF(K26&gt;=100*0.5,3,IF(K26&gt;=100*0.4,2,IF(K26&gt;=100*0.33,1,0))))))))</f>
        <v/>
      </c>
      <c r="AD26">
        <f>IF(B26="","",IF(L26&lt;33.0,0,IF(L26&gt;=100*0.8,5,IF(L26&gt;=100*0.7,4,IF(L26&gt;=100*0.6,3.5,IF(L26&gt;=100*0.5,3,IF(L26&gt;=100*0.4,2,IF(L26&gt;=100*0.33,1,0))))))))</f>
        <v/>
      </c>
      <c r="AE26">
        <f>IF(B26="","",IF(M26&lt;33.0,0,IF(M26&gt;=100*0.8,5,IF(M26&gt;=100*0.7,4,IF(M26&gt;=100*0.6,3.5,IF(M26&gt;=100*0.5,3,IF(M26&gt;=100*0.4,2,IF(M26&gt;=100*0.33,1,0))))))))</f>
        <v/>
      </c>
      <c r="AF26">
        <f>IF(B26="","",IF(N26&lt;16.5,0,IF(N26&gt;=50*0.8,5,IF(N26&gt;=50*0.7,4,IF(N26&gt;=50*0.6,3.5,IF(N26&gt;=50*0.5,3,IF(N26&gt;=50*0.4,2,IF(N26&gt;=50*0.33,1,0))))))))</f>
        <v/>
      </c>
      <c r="AG26">
        <f>IF(B26="","",IF(O26&lt;33.0,0,IF(O26&gt;=100*0.8,5,IF(O26&gt;=100*0.7,4,IF(O26&gt;=100*0.6,3.5,IF(O26&gt;=100*0.5,3,IF(O26&gt;=100*0.4,2,IF(O26&gt;=100*0.33,1,0))))))))</f>
        <v/>
      </c>
      <c r="AH26">
        <f>IF(B26="","",IF(OR(U26=0,V26=0,W26=0,X26=0,Y26=0,Z26=0,AA26=0,AB26=0,AC26=0,AD26=0,AE26=0,AF26=0,AG26=0),1,0))</f>
        <v/>
      </c>
    </row>
    <row r="27">
      <c r="A27" s="3">
        <f>IF(B27="","",ROW()-2)</f>
        <v/>
      </c>
      <c r="P27" s="4">
        <f>IF(B27="","",SUM(C27:O27))</f>
        <v/>
      </c>
      <c r="Q27" s="5">
        <f>IF(B27="","",ROUND(P27/13,2))</f>
        <v/>
      </c>
      <c r="R27" s="5">
        <f>IF(B27="","",IF(AH27=1,0,MIN(5,ROUND((U27+V27+W27+X27+Y27+Z27+AA27+AB27+AC27+AD27+AE27+AF27+AG27)/13,2))))</f>
        <v/>
      </c>
      <c r="S27" s="3">
        <f>IF(B27="","",IF(R27&gt;=5,"A+",IF(R27&gt;=4,"A",IF(R27&gt;=3.5,"A-",IF(R27&gt;=3,"B",IF(R27&gt;=2,"C",IF(R27&gt;=1,"D","F")))))))</f>
        <v/>
      </c>
      <c r="T27" s="3">
        <f>IF(OR(B27="",S27="F"),"",COUNTIFS(P:P,"&gt;"&amp;P27,S:S,"&lt;&gt;F")+1)</f>
        <v/>
      </c>
      <c r="U27">
        <f>IF(B27="","",IF(C27&lt;33.0,0,IF(C27&gt;=100*0.8,5,IF(C27&gt;=100*0.7,4,IF(C27&gt;=100*0.6,3.5,IF(C27&gt;=100*0.5,3,IF(C27&gt;=100*0.4,2,IF(C27&gt;=100*0.33,1,0))))))))</f>
        <v/>
      </c>
      <c r="V27">
        <f>IF(B27="","",IF(D27&lt;33.0,0,IF(D27&gt;=100*0.8,5,IF(D27&gt;=100*0.7,4,IF(D27&gt;=100*0.6,3.5,IF(D27&gt;=100*0.5,3,IF(D27&gt;=100*0.4,2,IF(D27&gt;=100*0.33,1,0))))))))</f>
        <v/>
      </c>
      <c r="W27">
        <f>IF(B27="","",IF(E27&lt;16.5,0,IF(E27&gt;=50*0.8,5,IF(E27&gt;=50*0.7,4,IF(E27&gt;=50*0.6,3.5,IF(E27&gt;=50*0.5,3,IF(E27&gt;=50*0.4,2,IF(E27&gt;=50*0.33,1,0))))))))</f>
        <v/>
      </c>
      <c r="X27">
        <f>IF(B27="","",IF(F27&lt;33.0,0,IF(F27&gt;=100*0.8,5,IF(F27&gt;=100*0.7,4,IF(F27&gt;=100*0.6,3.5,IF(F27&gt;=100*0.5,3,IF(F27&gt;=100*0.4,2,IF(F27&gt;=100*0.33,1,0))))))))</f>
        <v/>
      </c>
      <c r="Y27">
        <f>IF(B27="","",IF(G27&lt;16.5,0,IF(G27&gt;=50*0.8,5,IF(G27&gt;=50*0.7,4,IF(G27&gt;=50*0.6,3.5,IF(G27&gt;=50*0.5,3,IF(G27&gt;=50*0.4,2,IF(G27&gt;=50*0.33,1,0))))))))</f>
        <v/>
      </c>
      <c r="Z27">
        <f>IF(B27="","",IF(H27&lt;33.0,0,IF(H27&gt;=100*0.8,5,IF(H27&gt;=100*0.7,4,IF(H27&gt;=100*0.6,3.5,IF(H27&gt;=100*0.5,3,IF(H27&gt;=100*0.4,2,IF(H27&gt;=100*0.33,1,0))))))))</f>
        <v/>
      </c>
      <c r="AA27">
        <f>IF(B27="","",IF(I27&lt;33.0,0,IF(I27&gt;=100*0.8,5,IF(I27&gt;=100*0.7,4,IF(I27&gt;=100*0.6,3.5,IF(I27&gt;=100*0.5,3,IF(I27&gt;=100*0.4,2,IF(I27&gt;=100*0.33,1,0))))))))</f>
        <v/>
      </c>
      <c r="AB27">
        <f>IF(B27="","",IF(J27&lt;33.0,0,IF(J27&gt;=100*0.8,5,IF(J27&gt;=100*0.7,4,IF(J27&gt;=100*0.6,3.5,IF(J27&gt;=100*0.5,3,IF(J27&gt;=100*0.4,2,IF(J27&gt;=100*0.33,1,0))))))))</f>
        <v/>
      </c>
      <c r="AC27">
        <f>IF(B27="","",IF(K27&lt;33.0,0,IF(K27&gt;=100*0.8,5,IF(K27&gt;=100*0.7,4,IF(K27&gt;=100*0.6,3.5,IF(K27&gt;=100*0.5,3,IF(K27&gt;=100*0.4,2,IF(K27&gt;=100*0.33,1,0))))))))</f>
        <v/>
      </c>
      <c r="AD27">
        <f>IF(B27="","",IF(L27&lt;33.0,0,IF(L27&gt;=100*0.8,5,IF(L27&gt;=100*0.7,4,IF(L27&gt;=100*0.6,3.5,IF(L27&gt;=100*0.5,3,IF(L27&gt;=100*0.4,2,IF(L27&gt;=100*0.33,1,0))))))))</f>
        <v/>
      </c>
      <c r="AE27">
        <f>IF(B27="","",IF(M27&lt;33.0,0,IF(M27&gt;=100*0.8,5,IF(M27&gt;=100*0.7,4,IF(M27&gt;=100*0.6,3.5,IF(M27&gt;=100*0.5,3,IF(M27&gt;=100*0.4,2,IF(M27&gt;=100*0.33,1,0))))))))</f>
        <v/>
      </c>
      <c r="AF27">
        <f>IF(B27="","",IF(N27&lt;16.5,0,IF(N27&gt;=50*0.8,5,IF(N27&gt;=50*0.7,4,IF(N27&gt;=50*0.6,3.5,IF(N27&gt;=50*0.5,3,IF(N27&gt;=50*0.4,2,IF(N27&gt;=50*0.33,1,0))))))))</f>
        <v/>
      </c>
      <c r="AG27">
        <f>IF(B27="","",IF(O27&lt;33.0,0,IF(O27&gt;=100*0.8,5,IF(O27&gt;=100*0.7,4,IF(O27&gt;=100*0.6,3.5,IF(O27&gt;=100*0.5,3,IF(O27&gt;=100*0.4,2,IF(O27&gt;=100*0.33,1,0))))))))</f>
        <v/>
      </c>
      <c r="AH27">
        <f>IF(B27="","",IF(OR(U27=0,V27=0,W27=0,X27=0,Y27=0,Z27=0,AA27=0,AB27=0,AC27=0,AD27=0,AE27=0,AF27=0,AG27=0),1,0))</f>
        <v/>
      </c>
    </row>
    <row r="28">
      <c r="A28" s="3">
        <f>IF(B28="","",ROW()-2)</f>
        <v/>
      </c>
      <c r="P28" s="4">
        <f>IF(B28="","",SUM(C28:O28))</f>
        <v/>
      </c>
      <c r="Q28" s="5">
        <f>IF(B28="","",ROUND(P28/13,2))</f>
        <v/>
      </c>
      <c r="R28" s="5">
        <f>IF(B28="","",IF(AH28=1,0,MIN(5,ROUND((U28+V28+W28+X28+Y28+Z28+AA28+AB28+AC28+AD28+AE28+AF28+AG28)/13,2))))</f>
        <v/>
      </c>
      <c r="S28" s="3">
        <f>IF(B28="","",IF(R28&gt;=5,"A+",IF(R28&gt;=4,"A",IF(R28&gt;=3.5,"A-",IF(R28&gt;=3,"B",IF(R28&gt;=2,"C",IF(R28&gt;=1,"D","F")))))))</f>
        <v/>
      </c>
      <c r="T28" s="3">
        <f>IF(OR(B28="",S28="F"),"",COUNTIFS(P:P,"&gt;"&amp;P28,S:S,"&lt;&gt;F")+1)</f>
        <v/>
      </c>
      <c r="U28">
        <f>IF(B28="","",IF(C28&lt;33.0,0,IF(C28&gt;=100*0.8,5,IF(C28&gt;=100*0.7,4,IF(C28&gt;=100*0.6,3.5,IF(C28&gt;=100*0.5,3,IF(C28&gt;=100*0.4,2,IF(C28&gt;=100*0.33,1,0))))))))</f>
        <v/>
      </c>
      <c r="V28">
        <f>IF(B28="","",IF(D28&lt;33.0,0,IF(D28&gt;=100*0.8,5,IF(D28&gt;=100*0.7,4,IF(D28&gt;=100*0.6,3.5,IF(D28&gt;=100*0.5,3,IF(D28&gt;=100*0.4,2,IF(D28&gt;=100*0.33,1,0))))))))</f>
        <v/>
      </c>
      <c r="W28">
        <f>IF(B28="","",IF(E28&lt;16.5,0,IF(E28&gt;=50*0.8,5,IF(E28&gt;=50*0.7,4,IF(E28&gt;=50*0.6,3.5,IF(E28&gt;=50*0.5,3,IF(E28&gt;=50*0.4,2,IF(E28&gt;=50*0.33,1,0))))))))</f>
        <v/>
      </c>
      <c r="X28">
        <f>IF(B28="","",IF(F28&lt;33.0,0,IF(F28&gt;=100*0.8,5,IF(F28&gt;=100*0.7,4,IF(F28&gt;=100*0.6,3.5,IF(F28&gt;=100*0.5,3,IF(F28&gt;=100*0.4,2,IF(F28&gt;=100*0.33,1,0))))))))</f>
        <v/>
      </c>
      <c r="Y28">
        <f>IF(B28="","",IF(G28&lt;16.5,0,IF(G28&gt;=50*0.8,5,IF(G28&gt;=50*0.7,4,IF(G28&gt;=50*0.6,3.5,IF(G28&gt;=50*0.5,3,IF(G28&gt;=50*0.4,2,IF(G28&gt;=50*0.33,1,0))))))))</f>
        <v/>
      </c>
      <c r="Z28">
        <f>IF(B28="","",IF(H28&lt;33.0,0,IF(H28&gt;=100*0.8,5,IF(H28&gt;=100*0.7,4,IF(H28&gt;=100*0.6,3.5,IF(H28&gt;=100*0.5,3,IF(H28&gt;=100*0.4,2,IF(H28&gt;=100*0.33,1,0))))))))</f>
        <v/>
      </c>
      <c r="AA28">
        <f>IF(B28="","",IF(I28&lt;33.0,0,IF(I28&gt;=100*0.8,5,IF(I28&gt;=100*0.7,4,IF(I28&gt;=100*0.6,3.5,IF(I28&gt;=100*0.5,3,IF(I28&gt;=100*0.4,2,IF(I28&gt;=100*0.33,1,0))))))))</f>
        <v/>
      </c>
      <c r="AB28">
        <f>IF(B28="","",IF(J28&lt;33.0,0,IF(J28&gt;=100*0.8,5,IF(J28&gt;=100*0.7,4,IF(J28&gt;=100*0.6,3.5,IF(J28&gt;=100*0.5,3,IF(J28&gt;=100*0.4,2,IF(J28&gt;=100*0.33,1,0))))))))</f>
        <v/>
      </c>
      <c r="AC28">
        <f>IF(B28="","",IF(K28&lt;33.0,0,IF(K28&gt;=100*0.8,5,IF(K28&gt;=100*0.7,4,IF(K28&gt;=100*0.6,3.5,IF(K28&gt;=100*0.5,3,IF(K28&gt;=100*0.4,2,IF(K28&gt;=100*0.33,1,0))))))))</f>
        <v/>
      </c>
      <c r="AD28">
        <f>IF(B28="","",IF(L28&lt;33.0,0,IF(L28&gt;=100*0.8,5,IF(L28&gt;=100*0.7,4,IF(L28&gt;=100*0.6,3.5,IF(L28&gt;=100*0.5,3,IF(L28&gt;=100*0.4,2,IF(L28&gt;=100*0.33,1,0))))))))</f>
        <v/>
      </c>
      <c r="AE28">
        <f>IF(B28="","",IF(M28&lt;33.0,0,IF(M28&gt;=100*0.8,5,IF(M28&gt;=100*0.7,4,IF(M28&gt;=100*0.6,3.5,IF(M28&gt;=100*0.5,3,IF(M28&gt;=100*0.4,2,IF(M28&gt;=100*0.33,1,0))))))))</f>
        <v/>
      </c>
      <c r="AF28">
        <f>IF(B28="","",IF(N28&lt;16.5,0,IF(N28&gt;=50*0.8,5,IF(N28&gt;=50*0.7,4,IF(N28&gt;=50*0.6,3.5,IF(N28&gt;=50*0.5,3,IF(N28&gt;=50*0.4,2,IF(N28&gt;=50*0.33,1,0))))))))</f>
        <v/>
      </c>
      <c r="AG28">
        <f>IF(B28="","",IF(O28&lt;33.0,0,IF(O28&gt;=100*0.8,5,IF(O28&gt;=100*0.7,4,IF(O28&gt;=100*0.6,3.5,IF(O28&gt;=100*0.5,3,IF(O28&gt;=100*0.4,2,IF(O28&gt;=100*0.33,1,0))))))))</f>
        <v/>
      </c>
      <c r="AH28">
        <f>IF(B28="","",IF(OR(U28=0,V28=0,W28=0,X28=0,Y28=0,Z28=0,AA28=0,AB28=0,AC28=0,AD28=0,AE28=0,AF28=0,AG28=0),1,0))</f>
        <v/>
      </c>
    </row>
    <row r="29">
      <c r="A29" s="3">
        <f>IF(B29="","",ROW()-2)</f>
        <v/>
      </c>
      <c r="P29" s="4">
        <f>IF(B29="","",SUM(C29:O29))</f>
        <v/>
      </c>
      <c r="Q29" s="5">
        <f>IF(B29="","",ROUND(P29/13,2))</f>
        <v/>
      </c>
      <c r="R29" s="5">
        <f>IF(B29="","",IF(AH29=1,0,MIN(5,ROUND((U29+V29+W29+X29+Y29+Z29+AA29+AB29+AC29+AD29+AE29+AF29+AG29)/13,2))))</f>
        <v/>
      </c>
      <c r="S29" s="3">
        <f>IF(B29="","",IF(R29&gt;=5,"A+",IF(R29&gt;=4,"A",IF(R29&gt;=3.5,"A-",IF(R29&gt;=3,"B",IF(R29&gt;=2,"C",IF(R29&gt;=1,"D","F")))))))</f>
        <v/>
      </c>
      <c r="T29" s="3">
        <f>IF(OR(B29="",S29="F"),"",COUNTIFS(P:P,"&gt;"&amp;P29,S:S,"&lt;&gt;F")+1)</f>
        <v/>
      </c>
      <c r="U29">
        <f>IF(B29="","",IF(C29&lt;33.0,0,IF(C29&gt;=100*0.8,5,IF(C29&gt;=100*0.7,4,IF(C29&gt;=100*0.6,3.5,IF(C29&gt;=100*0.5,3,IF(C29&gt;=100*0.4,2,IF(C29&gt;=100*0.33,1,0))))))))</f>
        <v/>
      </c>
      <c r="V29">
        <f>IF(B29="","",IF(D29&lt;33.0,0,IF(D29&gt;=100*0.8,5,IF(D29&gt;=100*0.7,4,IF(D29&gt;=100*0.6,3.5,IF(D29&gt;=100*0.5,3,IF(D29&gt;=100*0.4,2,IF(D29&gt;=100*0.33,1,0))))))))</f>
        <v/>
      </c>
      <c r="W29">
        <f>IF(B29="","",IF(E29&lt;16.5,0,IF(E29&gt;=50*0.8,5,IF(E29&gt;=50*0.7,4,IF(E29&gt;=50*0.6,3.5,IF(E29&gt;=50*0.5,3,IF(E29&gt;=50*0.4,2,IF(E29&gt;=50*0.33,1,0))))))))</f>
        <v/>
      </c>
      <c r="X29">
        <f>IF(B29="","",IF(F29&lt;33.0,0,IF(F29&gt;=100*0.8,5,IF(F29&gt;=100*0.7,4,IF(F29&gt;=100*0.6,3.5,IF(F29&gt;=100*0.5,3,IF(F29&gt;=100*0.4,2,IF(F29&gt;=100*0.33,1,0))))))))</f>
        <v/>
      </c>
      <c r="Y29">
        <f>IF(B29="","",IF(G29&lt;16.5,0,IF(G29&gt;=50*0.8,5,IF(G29&gt;=50*0.7,4,IF(G29&gt;=50*0.6,3.5,IF(G29&gt;=50*0.5,3,IF(G29&gt;=50*0.4,2,IF(G29&gt;=50*0.33,1,0))))))))</f>
        <v/>
      </c>
      <c r="Z29">
        <f>IF(B29="","",IF(H29&lt;33.0,0,IF(H29&gt;=100*0.8,5,IF(H29&gt;=100*0.7,4,IF(H29&gt;=100*0.6,3.5,IF(H29&gt;=100*0.5,3,IF(H29&gt;=100*0.4,2,IF(H29&gt;=100*0.33,1,0))))))))</f>
        <v/>
      </c>
      <c r="AA29">
        <f>IF(B29="","",IF(I29&lt;33.0,0,IF(I29&gt;=100*0.8,5,IF(I29&gt;=100*0.7,4,IF(I29&gt;=100*0.6,3.5,IF(I29&gt;=100*0.5,3,IF(I29&gt;=100*0.4,2,IF(I29&gt;=100*0.33,1,0))))))))</f>
        <v/>
      </c>
      <c r="AB29">
        <f>IF(B29="","",IF(J29&lt;33.0,0,IF(J29&gt;=100*0.8,5,IF(J29&gt;=100*0.7,4,IF(J29&gt;=100*0.6,3.5,IF(J29&gt;=100*0.5,3,IF(J29&gt;=100*0.4,2,IF(J29&gt;=100*0.33,1,0))))))))</f>
        <v/>
      </c>
      <c r="AC29">
        <f>IF(B29="","",IF(K29&lt;33.0,0,IF(K29&gt;=100*0.8,5,IF(K29&gt;=100*0.7,4,IF(K29&gt;=100*0.6,3.5,IF(K29&gt;=100*0.5,3,IF(K29&gt;=100*0.4,2,IF(K29&gt;=100*0.33,1,0))))))))</f>
        <v/>
      </c>
      <c r="AD29">
        <f>IF(B29="","",IF(L29&lt;33.0,0,IF(L29&gt;=100*0.8,5,IF(L29&gt;=100*0.7,4,IF(L29&gt;=100*0.6,3.5,IF(L29&gt;=100*0.5,3,IF(L29&gt;=100*0.4,2,IF(L29&gt;=100*0.33,1,0))))))))</f>
        <v/>
      </c>
      <c r="AE29">
        <f>IF(B29="","",IF(M29&lt;33.0,0,IF(M29&gt;=100*0.8,5,IF(M29&gt;=100*0.7,4,IF(M29&gt;=100*0.6,3.5,IF(M29&gt;=100*0.5,3,IF(M29&gt;=100*0.4,2,IF(M29&gt;=100*0.33,1,0))))))))</f>
        <v/>
      </c>
      <c r="AF29">
        <f>IF(B29="","",IF(N29&lt;16.5,0,IF(N29&gt;=50*0.8,5,IF(N29&gt;=50*0.7,4,IF(N29&gt;=50*0.6,3.5,IF(N29&gt;=50*0.5,3,IF(N29&gt;=50*0.4,2,IF(N29&gt;=50*0.33,1,0))))))))</f>
        <v/>
      </c>
      <c r="AG29">
        <f>IF(B29="","",IF(O29&lt;33.0,0,IF(O29&gt;=100*0.8,5,IF(O29&gt;=100*0.7,4,IF(O29&gt;=100*0.6,3.5,IF(O29&gt;=100*0.5,3,IF(O29&gt;=100*0.4,2,IF(O29&gt;=100*0.33,1,0))))))))</f>
        <v/>
      </c>
      <c r="AH29">
        <f>IF(B29="","",IF(OR(U29=0,V29=0,W29=0,X29=0,Y29=0,Z29=0,AA29=0,AB29=0,AC29=0,AD29=0,AE29=0,AF29=0,AG29=0),1,0))</f>
        <v/>
      </c>
    </row>
    <row r="30">
      <c r="A30" s="3">
        <f>IF(B30="","",ROW()-2)</f>
        <v/>
      </c>
      <c r="P30" s="4">
        <f>IF(B30="","",SUM(C30:O30))</f>
        <v/>
      </c>
      <c r="Q30" s="5">
        <f>IF(B30="","",ROUND(P30/13,2))</f>
        <v/>
      </c>
      <c r="R30" s="5">
        <f>IF(B30="","",IF(AH30=1,0,MIN(5,ROUND((U30+V30+W30+X30+Y30+Z30+AA30+AB30+AC30+AD30+AE30+AF30+AG30)/13,2))))</f>
        <v/>
      </c>
      <c r="S30" s="3">
        <f>IF(B30="","",IF(R30&gt;=5,"A+",IF(R30&gt;=4,"A",IF(R30&gt;=3.5,"A-",IF(R30&gt;=3,"B",IF(R30&gt;=2,"C",IF(R30&gt;=1,"D","F")))))))</f>
        <v/>
      </c>
      <c r="T30" s="3">
        <f>IF(OR(B30="",S30="F"),"",COUNTIFS(P:P,"&gt;"&amp;P30,S:S,"&lt;&gt;F")+1)</f>
        <v/>
      </c>
      <c r="U30">
        <f>IF(B30="","",IF(C30&lt;33.0,0,IF(C30&gt;=100*0.8,5,IF(C30&gt;=100*0.7,4,IF(C30&gt;=100*0.6,3.5,IF(C30&gt;=100*0.5,3,IF(C30&gt;=100*0.4,2,IF(C30&gt;=100*0.33,1,0))))))))</f>
        <v/>
      </c>
      <c r="V30">
        <f>IF(B30="","",IF(D30&lt;33.0,0,IF(D30&gt;=100*0.8,5,IF(D30&gt;=100*0.7,4,IF(D30&gt;=100*0.6,3.5,IF(D30&gt;=100*0.5,3,IF(D30&gt;=100*0.4,2,IF(D30&gt;=100*0.33,1,0))))))))</f>
        <v/>
      </c>
      <c r="W30">
        <f>IF(B30="","",IF(E30&lt;16.5,0,IF(E30&gt;=50*0.8,5,IF(E30&gt;=50*0.7,4,IF(E30&gt;=50*0.6,3.5,IF(E30&gt;=50*0.5,3,IF(E30&gt;=50*0.4,2,IF(E30&gt;=50*0.33,1,0))))))))</f>
        <v/>
      </c>
      <c r="X30">
        <f>IF(B30="","",IF(F30&lt;33.0,0,IF(F30&gt;=100*0.8,5,IF(F30&gt;=100*0.7,4,IF(F30&gt;=100*0.6,3.5,IF(F30&gt;=100*0.5,3,IF(F30&gt;=100*0.4,2,IF(F30&gt;=100*0.33,1,0))))))))</f>
        <v/>
      </c>
      <c r="Y30">
        <f>IF(B30="","",IF(G30&lt;16.5,0,IF(G30&gt;=50*0.8,5,IF(G30&gt;=50*0.7,4,IF(G30&gt;=50*0.6,3.5,IF(G30&gt;=50*0.5,3,IF(G30&gt;=50*0.4,2,IF(G30&gt;=50*0.33,1,0))))))))</f>
        <v/>
      </c>
      <c r="Z30">
        <f>IF(B30="","",IF(H30&lt;33.0,0,IF(H30&gt;=100*0.8,5,IF(H30&gt;=100*0.7,4,IF(H30&gt;=100*0.6,3.5,IF(H30&gt;=100*0.5,3,IF(H30&gt;=100*0.4,2,IF(H30&gt;=100*0.33,1,0))))))))</f>
        <v/>
      </c>
      <c r="AA30">
        <f>IF(B30="","",IF(I30&lt;33.0,0,IF(I30&gt;=100*0.8,5,IF(I30&gt;=100*0.7,4,IF(I30&gt;=100*0.6,3.5,IF(I30&gt;=100*0.5,3,IF(I30&gt;=100*0.4,2,IF(I30&gt;=100*0.33,1,0))))))))</f>
        <v/>
      </c>
      <c r="AB30">
        <f>IF(B30="","",IF(J30&lt;33.0,0,IF(J30&gt;=100*0.8,5,IF(J30&gt;=100*0.7,4,IF(J30&gt;=100*0.6,3.5,IF(J30&gt;=100*0.5,3,IF(J30&gt;=100*0.4,2,IF(J30&gt;=100*0.33,1,0))))))))</f>
        <v/>
      </c>
      <c r="AC30">
        <f>IF(B30="","",IF(K30&lt;33.0,0,IF(K30&gt;=100*0.8,5,IF(K30&gt;=100*0.7,4,IF(K30&gt;=100*0.6,3.5,IF(K30&gt;=100*0.5,3,IF(K30&gt;=100*0.4,2,IF(K30&gt;=100*0.33,1,0))))))))</f>
        <v/>
      </c>
      <c r="AD30">
        <f>IF(B30="","",IF(L30&lt;33.0,0,IF(L30&gt;=100*0.8,5,IF(L30&gt;=100*0.7,4,IF(L30&gt;=100*0.6,3.5,IF(L30&gt;=100*0.5,3,IF(L30&gt;=100*0.4,2,IF(L30&gt;=100*0.33,1,0))))))))</f>
        <v/>
      </c>
      <c r="AE30">
        <f>IF(B30="","",IF(M30&lt;33.0,0,IF(M30&gt;=100*0.8,5,IF(M30&gt;=100*0.7,4,IF(M30&gt;=100*0.6,3.5,IF(M30&gt;=100*0.5,3,IF(M30&gt;=100*0.4,2,IF(M30&gt;=100*0.33,1,0))))))))</f>
        <v/>
      </c>
      <c r="AF30">
        <f>IF(B30="","",IF(N30&lt;16.5,0,IF(N30&gt;=50*0.8,5,IF(N30&gt;=50*0.7,4,IF(N30&gt;=50*0.6,3.5,IF(N30&gt;=50*0.5,3,IF(N30&gt;=50*0.4,2,IF(N30&gt;=50*0.33,1,0))))))))</f>
        <v/>
      </c>
      <c r="AG30">
        <f>IF(B30="","",IF(O30&lt;33.0,0,IF(O30&gt;=100*0.8,5,IF(O30&gt;=100*0.7,4,IF(O30&gt;=100*0.6,3.5,IF(O30&gt;=100*0.5,3,IF(O30&gt;=100*0.4,2,IF(O30&gt;=100*0.33,1,0))))))))</f>
        <v/>
      </c>
      <c r="AH30">
        <f>IF(B30="","",IF(OR(U30=0,V30=0,W30=0,X30=0,Y30=0,Z30=0,AA30=0,AB30=0,AC30=0,AD30=0,AE30=0,AF30=0,AG30=0),1,0))</f>
        <v/>
      </c>
    </row>
    <row r="31">
      <c r="A31" s="3">
        <f>IF(B31="","",ROW()-2)</f>
        <v/>
      </c>
      <c r="P31" s="4">
        <f>IF(B31="","",SUM(C31:O31))</f>
        <v/>
      </c>
      <c r="Q31" s="5">
        <f>IF(B31="","",ROUND(P31/13,2))</f>
        <v/>
      </c>
      <c r="R31" s="5">
        <f>IF(B31="","",IF(AH31=1,0,MIN(5,ROUND((U31+V31+W31+X31+Y31+Z31+AA31+AB31+AC31+AD31+AE31+AF31+AG31)/13,2))))</f>
        <v/>
      </c>
      <c r="S31" s="3">
        <f>IF(B31="","",IF(R31&gt;=5,"A+",IF(R31&gt;=4,"A",IF(R31&gt;=3.5,"A-",IF(R31&gt;=3,"B",IF(R31&gt;=2,"C",IF(R31&gt;=1,"D","F")))))))</f>
        <v/>
      </c>
      <c r="T31" s="3">
        <f>IF(OR(B31="",S31="F"),"",COUNTIFS(P:P,"&gt;"&amp;P31,S:S,"&lt;&gt;F")+1)</f>
        <v/>
      </c>
      <c r="U31">
        <f>IF(B31="","",IF(C31&lt;33.0,0,IF(C31&gt;=100*0.8,5,IF(C31&gt;=100*0.7,4,IF(C31&gt;=100*0.6,3.5,IF(C31&gt;=100*0.5,3,IF(C31&gt;=100*0.4,2,IF(C31&gt;=100*0.33,1,0))))))))</f>
        <v/>
      </c>
      <c r="V31">
        <f>IF(B31="","",IF(D31&lt;33.0,0,IF(D31&gt;=100*0.8,5,IF(D31&gt;=100*0.7,4,IF(D31&gt;=100*0.6,3.5,IF(D31&gt;=100*0.5,3,IF(D31&gt;=100*0.4,2,IF(D31&gt;=100*0.33,1,0))))))))</f>
        <v/>
      </c>
      <c r="W31">
        <f>IF(B31="","",IF(E31&lt;16.5,0,IF(E31&gt;=50*0.8,5,IF(E31&gt;=50*0.7,4,IF(E31&gt;=50*0.6,3.5,IF(E31&gt;=50*0.5,3,IF(E31&gt;=50*0.4,2,IF(E31&gt;=50*0.33,1,0))))))))</f>
        <v/>
      </c>
      <c r="X31">
        <f>IF(B31="","",IF(F31&lt;33.0,0,IF(F31&gt;=100*0.8,5,IF(F31&gt;=100*0.7,4,IF(F31&gt;=100*0.6,3.5,IF(F31&gt;=100*0.5,3,IF(F31&gt;=100*0.4,2,IF(F31&gt;=100*0.33,1,0))))))))</f>
        <v/>
      </c>
      <c r="Y31">
        <f>IF(B31="","",IF(G31&lt;16.5,0,IF(G31&gt;=50*0.8,5,IF(G31&gt;=50*0.7,4,IF(G31&gt;=50*0.6,3.5,IF(G31&gt;=50*0.5,3,IF(G31&gt;=50*0.4,2,IF(G31&gt;=50*0.33,1,0))))))))</f>
        <v/>
      </c>
      <c r="Z31">
        <f>IF(B31="","",IF(H31&lt;33.0,0,IF(H31&gt;=100*0.8,5,IF(H31&gt;=100*0.7,4,IF(H31&gt;=100*0.6,3.5,IF(H31&gt;=100*0.5,3,IF(H31&gt;=100*0.4,2,IF(H31&gt;=100*0.33,1,0))))))))</f>
        <v/>
      </c>
      <c r="AA31">
        <f>IF(B31="","",IF(I31&lt;33.0,0,IF(I31&gt;=100*0.8,5,IF(I31&gt;=100*0.7,4,IF(I31&gt;=100*0.6,3.5,IF(I31&gt;=100*0.5,3,IF(I31&gt;=100*0.4,2,IF(I31&gt;=100*0.33,1,0))))))))</f>
        <v/>
      </c>
      <c r="AB31">
        <f>IF(B31="","",IF(J31&lt;33.0,0,IF(J31&gt;=100*0.8,5,IF(J31&gt;=100*0.7,4,IF(J31&gt;=100*0.6,3.5,IF(J31&gt;=100*0.5,3,IF(J31&gt;=100*0.4,2,IF(J31&gt;=100*0.33,1,0))))))))</f>
        <v/>
      </c>
      <c r="AC31">
        <f>IF(B31="","",IF(K31&lt;33.0,0,IF(K31&gt;=100*0.8,5,IF(K31&gt;=100*0.7,4,IF(K31&gt;=100*0.6,3.5,IF(K31&gt;=100*0.5,3,IF(K31&gt;=100*0.4,2,IF(K31&gt;=100*0.33,1,0))))))))</f>
        <v/>
      </c>
      <c r="AD31">
        <f>IF(B31="","",IF(L31&lt;33.0,0,IF(L31&gt;=100*0.8,5,IF(L31&gt;=100*0.7,4,IF(L31&gt;=100*0.6,3.5,IF(L31&gt;=100*0.5,3,IF(L31&gt;=100*0.4,2,IF(L31&gt;=100*0.33,1,0))))))))</f>
        <v/>
      </c>
      <c r="AE31">
        <f>IF(B31="","",IF(M31&lt;33.0,0,IF(M31&gt;=100*0.8,5,IF(M31&gt;=100*0.7,4,IF(M31&gt;=100*0.6,3.5,IF(M31&gt;=100*0.5,3,IF(M31&gt;=100*0.4,2,IF(M31&gt;=100*0.33,1,0))))))))</f>
        <v/>
      </c>
      <c r="AF31">
        <f>IF(B31="","",IF(N31&lt;16.5,0,IF(N31&gt;=50*0.8,5,IF(N31&gt;=50*0.7,4,IF(N31&gt;=50*0.6,3.5,IF(N31&gt;=50*0.5,3,IF(N31&gt;=50*0.4,2,IF(N31&gt;=50*0.33,1,0))))))))</f>
        <v/>
      </c>
      <c r="AG31">
        <f>IF(B31="","",IF(O31&lt;33.0,0,IF(O31&gt;=100*0.8,5,IF(O31&gt;=100*0.7,4,IF(O31&gt;=100*0.6,3.5,IF(O31&gt;=100*0.5,3,IF(O31&gt;=100*0.4,2,IF(O31&gt;=100*0.33,1,0))))))))</f>
        <v/>
      </c>
      <c r="AH31">
        <f>IF(B31="","",IF(OR(U31=0,V31=0,W31=0,X31=0,Y31=0,Z31=0,AA31=0,AB31=0,AC31=0,AD31=0,AE31=0,AF31=0,AG31=0),1,0))</f>
        <v/>
      </c>
    </row>
    <row r="32">
      <c r="A32" s="3">
        <f>IF(B32="","",ROW()-2)</f>
        <v/>
      </c>
      <c r="P32" s="4">
        <f>IF(B32="","",SUM(C32:O32))</f>
        <v/>
      </c>
      <c r="Q32" s="5">
        <f>IF(B32="","",ROUND(P32/13,2))</f>
        <v/>
      </c>
      <c r="R32" s="5">
        <f>IF(B32="","",IF(AH32=1,0,MIN(5,ROUND((U32+V32+W32+X32+Y32+Z32+AA32+AB32+AC32+AD32+AE32+AF32+AG32)/13,2))))</f>
        <v/>
      </c>
      <c r="S32" s="3">
        <f>IF(B32="","",IF(R32&gt;=5,"A+",IF(R32&gt;=4,"A",IF(R32&gt;=3.5,"A-",IF(R32&gt;=3,"B",IF(R32&gt;=2,"C",IF(R32&gt;=1,"D","F")))))))</f>
        <v/>
      </c>
      <c r="T32" s="3">
        <f>IF(OR(B32="",S32="F"),"",COUNTIFS(P:P,"&gt;"&amp;P32,S:S,"&lt;&gt;F")+1)</f>
        <v/>
      </c>
      <c r="U32">
        <f>IF(B32="","",IF(C32&lt;33.0,0,IF(C32&gt;=100*0.8,5,IF(C32&gt;=100*0.7,4,IF(C32&gt;=100*0.6,3.5,IF(C32&gt;=100*0.5,3,IF(C32&gt;=100*0.4,2,IF(C32&gt;=100*0.33,1,0))))))))</f>
        <v/>
      </c>
      <c r="V32">
        <f>IF(B32="","",IF(D32&lt;33.0,0,IF(D32&gt;=100*0.8,5,IF(D32&gt;=100*0.7,4,IF(D32&gt;=100*0.6,3.5,IF(D32&gt;=100*0.5,3,IF(D32&gt;=100*0.4,2,IF(D32&gt;=100*0.33,1,0))))))))</f>
        <v/>
      </c>
      <c r="W32">
        <f>IF(B32="","",IF(E32&lt;16.5,0,IF(E32&gt;=50*0.8,5,IF(E32&gt;=50*0.7,4,IF(E32&gt;=50*0.6,3.5,IF(E32&gt;=50*0.5,3,IF(E32&gt;=50*0.4,2,IF(E32&gt;=50*0.33,1,0))))))))</f>
        <v/>
      </c>
      <c r="X32">
        <f>IF(B32="","",IF(F32&lt;33.0,0,IF(F32&gt;=100*0.8,5,IF(F32&gt;=100*0.7,4,IF(F32&gt;=100*0.6,3.5,IF(F32&gt;=100*0.5,3,IF(F32&gt;=100*0.4,2,IF(F32&gt;=100*0.33,1,0))))))))</f>
        <v/>
      </c>
      <c r="Y32">
        <f>IF(B32="","",IF(G32&lt;16.5,0,IF(G32&gt;=50*0.8,5,IF(G32&gt;=50*0.7,4,IF(G32&gt;=50*0.6,3.5,IF(G32&gt;=50*0.5,3,IF(G32&gt;=50*0.4,2,IF(G32&gt;=50*0.33,1,0))))))))</f>
        <v/>
      </c>
      <c r="Z32">
        <f>IF(B32="","",IF(H32&lt;33.0,0,IF(H32&gt;=100*0.8,5,IF(H32&gt;=100*0.7,4,IF(H32&gt;=100*0.6,3.5,IF(H32&gt;=100*0.5,3,IF(H32&gt;=100*0.4,2,IF(H32&gt;=100*0.33,1,0))))))))</f>
        <v/>
      </c>
      <c r="AA32">
        <f>IF(B32="","",IF(I32&lt;33.0,0,IF(I32&gt;=100*0.8,5,IF(I32&gt;=100*0.7,4,IF(I32&gt;=100*0.6,3.5,IF(I32&gt;=100*0.5,3,IF(I32&gt;=100*0.4,2,IF(I32&gt;=100*0.33,1,0))))))))</f>
        <v/>
      </c>
      <c r="AB32">
        <f>IF(B32="","",IF(J32&lt;33.0,0,IF(J32&gt;=100*0.8,5,IF(J32&gt;=100*0.7,4,IF(J32&gt;=100*0.6,3.5,IF(J32&gt;=100*0.5,3,IF(J32&gt;=100*0.4,2,IF(J32&gt;=100*0.33,1,0))))))))</f>
        <v/>
      </c>
      <c r="AC32">
        <f>IF(B32="","",IF(K32&lt;33.0,0,IF(K32&gt;=100*0.8,5,IF(K32&gt;=100*0.7,4,IF(K32&gt;=100*0.6,3.5,IF(K32&gt;=100*0.5,3,IF(K32&gt;=100*0.4,2,IF(K32&gt;=100*0.33,1,0))))))))</f>
        <v/>
      </c>
      <c r="AD32">
        <f>IF(B32="","",IF(L32&lt;33.0,0,IF(L32&gt;=100*0.8,5,IF(L32&gt;=100*0.7,4,IF(L32&gt;=100*0.6,3.5,IF(L32&gt;=100*0.5,3,IF(L32&gt;=100*0.4,2,IF(L32&gt;=100*0.33,1,0))))))))</f>
        <v/>
      </c>
      <c r="AE32">
        <f>IF(B32="","",IF(M32&lt;33.0,0,IF(M32&gt;=100*0.8,5,IF(M32&gt;=100*0.7,4,IF(M32&gt;=100*0.6,3.5,IF(M32&gt;=100*0.5,3,IF(M32&gt;=100*0.4,2,IF(M32&gt;=100*0.33,1,0))))))))</f>
        <v/>
      </c>
      <c r="AF32">
        <f>IF(B32="","",IF(N32&lt;16.5,0,IF(N32&gt;=50*0.8,5,IF(N32&gt;=50*0.7,4,IF(N32&gt;=50*0.6,3.5,IF(N32&gt;=50*0.5,3,IF(N32&gt;=50*0.4,2,IF(N32&gt;=50*0.33,1,0))))))))</f>
        <v/>
      </c>
      <c r="AG32">
        <f>IF(B32="","",IF(O32&lt;33.0,0,IF(O32&gt;=100*0.8,5,IF(O32&gt;=100*0.7,4,IF(O32&gt;=100*0.6,3.5,IF(O32&gt;=100*0.5,3,IF(O32&gt;=100*0.4,2,IF(O32&gt;=100*0.33,1,0))))))))</f>
        <v/>
      </c>
      <c r="AH32">
        <f>IF(B32="","",IF(OR(U32=0,V32=0,W32=0,X32=0,Y32=0,Z32=0,AA32=0,AB32=0,AC32=0,AD32=0,AE32=0,AF32=0,AG32=0),1,0))</f>
        <v/>
      </c>
    </row>
    <row r="33">
      <c r="A33" s="3">
        <f>IF(B33="","",ROW()-2)</f>
        <v/>
      </c>
      <c r="P33" s="4">
        <f>IF(B33="","",SUM(C33:O33))</f>
        <v/>
      </c>
      <c r="Q33" s="5">
        <f>IF(B33="","",ROUND(P33/13,2))</f>
        <v/>
      </c>
      <c r="R33" s="5">
        <f>IF(B33="","",IF(AH33=1,0,MIN(5,ROUND((U33+V33+W33+X33+Y33+Z33+AA33+AB33+AC33+AD33+AE33+AF33+AG33)/13,2))))</f>
        <v/>
      </c>
      <c r="S33" s="3">
        <f>IF(B33="","",IF(R33&gt;=5,"A+",IF(R33&gt;=4,"A",IF(R33&gt;=3.5,"A-",IF(R33&gt;=3,"B",IF(R33&gt;=2,"C",IF(R33&gt;=1,"D","F")))))))</f>
        <v/>
      </c>
      <c r="T33" s="3">
        <f>IF(OR(B33="",S33="F"),"",COUNTIFS(P:P,"&gt;"&amp;P33,S:S,"&lt;&gt;F")+1)</f>
        <v/>
      </c>
      <c r="U33">
        <f>IF(B33="","",IF(C33&lt;33.0,0,IF(C33&gt;=100*0.8,5,IF(C33&gt;=100*0.7,4,IF(C33&gt;=100*0.6,3.5,IF(C33&gt;=100*0.5,3,IF(C33&gt;=100*0.4,2,IF(C33&gt;=100*0.33,1,0))))))))</f>
        <v/>
      </c>
      <c r="V33">
        <f>IF(B33="","",IF(D33&lt;33.0,0,IF(D33&gt;=100*0.8,5,IF(D33&gt;=100*0.7,4,IF(D33&gt;=100*0.6,3.5,IF(D33&gt;=100*0.5,3,IF(D33&gt;=100*0.4,2,IF(D33&gt;=100*0.33,1,0))))))))</f>
        <v/>
      </c>
      <c r="W33">
        <f>IF(B33="","",IF(E33&lt;16.5,0,IF(E33&gt;=50*0.8,5,IF(E33&gt;=50*0.7,4,IF(E33&gt;=50*0.6,3.5,IF(E33&gt;=50*0.5,3,IF(E33&gt;=50*0.4,2,IF(E33&gt;=50*0.33,1,0))))))))</f>
        <v/>
      </c>
      <c r="X33">
        <f>IF(B33="","",IF(F33&lt;33.0,0,IF(F33&gt;=100*0.8,5,IF(F33&gt;=100*0.7,4,IF(F33&gt;=100*0.6,3.5,IF(F33&gt;=100*0.5,3,IF(F33&gt;=100*0.4,2,IF(F33&gt;=100*0.33,1,0))))))))</f>
        <v/>
      </c>
      <c r="Y33">
        <f>IF(B33="","",IF(G33&lt;16.5,0,IF(G33&gt;=50*0.8,5,IF(G33&gt;=50*0.7,4,IF(G33&gt;=50*0.6,3.5,IF(G33&gt;=50*0.5,3,IF(G33&gt;=50*0.4,2,IF(G33&gt;=50*0.33,1,0))))))))</f>
        <v/>
      </c>
      <c r="Z33">
        <f>IF(B33="","",IF(H33&lt;33.0,0,IF(H33&gt;=100*0.8,5,IF(H33&gt;=100*0.7,4,IF(H33&gt;=100*0.6,3.5,IF(H33&gt;=100*0.5,3,IF(H33&gt;=100*0.4,2,IF(H33&gt;=100*0.33,1,0))))))))</f>
        <v/>
      </c>
      <c r="AA33">
        <f>IF(B33="","",IF(I33&lt;33.0,0,IF(I33&gt;=100*0.8,5,IF(I33&gt;=100*0.7,4,IF(I33&gt;=100*0.6,3.5,IF(I33&gt;=100*0.5,3,IF(I33&gt;=100*0.4,2,IF(I33&gt;=100*0.33,1,0))))))))</f>
        <v/>
      </c>
      <c r="AB33">
        <f>IF(B33="","",IF(J33&lt;33.0,0,IF(J33&gt;=100*0.8,5,IF(J33&gt;=100*0.7,4,IF(J33&gt;=100*0.6,3.5,IF(J33&gt;=100*0.5,3,IF(J33&gt;=100*0.4,2,IF(J33&gt;=100*0.33,1,0))))))))</f>
        <v/>
      </c>
      <c r="AC33">
        <f>IF(B33="","",IF(K33&lt;33.0,0,IF(K33&gt;=100*0.8,5,IF(K33&gt;=100*0.7,4,IF(K33&gt;=100*0.6,3.5,IF(K33&gt;=100*0.5,3,IF(K33&gt;=100*0.4,2,IF(K33&gt;=100*0.33,1,0))))))))</f>
        <v/>
      </c>
      <c r="AD33">
        <f>IF(B33="","",IF(L33&lt;33.0,0,IF(L33&gt;=100*0.8,5,IF(L33&gt;=100*0.7,4,IF(L33&gt;=100*0.6,3.5,IF(L33&gt;=100*0.5,3,IF(L33&gt;=100*0.4,2,IF(L33&gt;=100*0.33,1,0))))))))</f>
        <v/>
      </c>
      <c r="AE33">
        <f>IF(B33="","",IF(M33&lt;33.0,0,IF(M33&gt;=100*0.8,5,IF(M33&gt;=100*0.7,4,IF(M33&gt;=100*0.6,3.5,IF(M33&gt;=100*0.5,3,IF(M33&gt;=100*0.4,2,IF(M33&gt;=100*0.33,1,0))))))))</f>
        <v/>
      </c>
      <c r="AF33">
        <f>IF(B33="","",IF(N33&lt;16.5,0,IF(N33&gt;=50*0.8,5,IF(N33&gt;=50*0.7,4,IF(N33&gt;=50*0.6,3.5,IF(N33&gt;=50*0.5,3,IF(N33&gt;=50*0.4,2,IF(N33&gt;=50*0.33,1,0))))))))</f>
        <v/>
      </c>
      <c r="AG33">
        <f>IF(B33="","",IF(O33&lt;33.0,0,IF(O33&gt;=100*0.8,5,IF(O33&gt;=100*0.7,4,IF(O33&gt;=100*0.6,3.5,IF(O33&gt;=100*0.5,3,IF(O33&gt;=100*0.4,2,IF(O33&gt;=100*0.33,1,0))))))))</f>
        <v/>
      </c>
      <c r="AH33">
        <f>IF(B33="","",IF(OR(U33=0,V33=0,W33=0,X33=0,Y33=0,Z33=0,AA33=0,AB33=0,AC33=0,AD33=0,AE33=0,AF33=0,AG33=0),1,0))</f>
        <v/>
      </c>
    </row>
    <row r="34">
      <c r="A34" s="3">
        <f>IF(B34="","",ROW()-2)</f>
        <v/>
      </c>
      <c r="P34" s="4">
        <f>IF(B34="","",SUM(C34:O34))</f>
        <v/>
      </c>
      <c r="Q34" s="5">
        <f>IF(B34="","",ROUND(P34/13,2))</f>
        <v/>
      </c>
      <c r="R34" s="5">
        <f>IF(B34="","",IF(AH34=1,0,MIN(5,ROUND((U34+V34+W34+X34+Y34+Z34+AA34+AB34+AC34+AD34+AE34+AF34+AG34)/13,2))))</f>
        <v/>
      </c>
      <c r="S34" s="3">
        <f>IF(B34="","",IF(R34&gt;=5,"A+",IF(R34&gt;=4,"A",IF(R34&gt;=3.5,"A-",IF(R34&gt;=3,"B",IF(R34&gt;=2,"C",IF(R34&gt;=1,"D","F")))))))</f>
        <v/>
      </c>
      <c r="T34" s="3">
        <f>IF(OR(B34="",S34="F"),"",COUNTIFS(P:P,"&gt;"&amp;P34,S:S,"&lt;&gt;F")+1)</f>
        <v/>
      </c>
      <c r="U34">
        <f>IF(B34="","",IF(C34&lt;33.0,0,IF(C34&gt;=100*0.8,5,IF(C34&gt;=100*0.7,4,IF(C34&gt;=100*0.6,3.5,IF(C34&gt;=100*0.5,3,IF(C34&gt;=100*0.4,2,IF(C34&gt;=100*0.33,1,0))))))))</f>
        <v/>
      </c>
      <c r="V34">
        <f>IF(B34="","",IF(D34&lt;33.0,0,IF(D34&gt;=100*0.8,5,IF(D34&gt;=100*0.7,4,IF(D34&gt;=100*0.6,3.5,IF(D34&gt;=100*0.5,3,IF(D34&gt;=100*0.4,2,IF(D34&gt;=100*0.33,1,0))))))))</f>
        <v/>
      </c>
      <c r="W34">
        <f>IF(B34="","",IF(E34&lt;16.5,0,IF(E34&gt;=50*0.8,5,IF(E34&gt;=50*0.7,4,IF(E34&gt;=50*0.6,3.5,IF(E34&gt;=50*0.5,3,IF(E34&gt;=50*0.4,2,IF(E34&gt;=50*0.33,1,0))))))))</f>
        <v/>
      </c>
      <c r="X34">
        <f>IF(B34="","",IF(F34&lt;33.0,0,IF(F34&gt;=100*0.8,5,IF(F34&gt;=100*0.7,4,IF(F34&gt;=100*0.6,3.5,IF(F34&gt;=100*0.5,3,IF(F34&gt;=100*0.4,2,IF(F34&gt;=100*0.33,1,0))))))))</f>
        <v/>
      </c>
      <c r="Y34">
        <f>IF(B34="","",IF(G34&lt;16.5,0,IF(G34&gt;=50*0.8,5,IF(G34&gt;=50*0.7,4,IF(G34&gt;=50*0.6,3.5,IF(G34&gt;=50*0.5,3,IF(G34&gt;=50*0.4,2,IF(G34&gt;=50*0.33,1,0))))))))</f>
        <v/>
      </c>
      <c r="Z34">
        <f>IF(B34="","",IF(H34&lt;33.0,0,IF(H34&gt;=100*0.8,5,IF(H34&gt;=100*0.7,4,IF(H34&gt;=100*0.6,3.5,IF(H34&gt;=100*0.5,3,IF(H34&gt;=100*0.4,2,IF(H34&gt;=100*0.33,1,0))))))))</f>
        <v/>
      </c>
      <c r="AA34">
        <f>IF(B34="","",IF(I34&lt;33.0,0,IF(I34&gt;=100*0.8,5,IF(I34&gt;=100*0.7,4,IF(I34&gt;=100*0.6,3.5,IF(I34&gt;=100*0.5,3,IF(I34&gt;=100*0.4,2,IF(I34&gt;=100*0.33,1,0))))))))</f>
        <v/>
      </c>
      <c r="AB34">
        <f>IF(B34="","",IF(J34&lt;33.0,0,IF(J34&gt;=100*0.8,5,IF(J34&gt;=100*0.7,4,IF(J34&gt;=100*0.6,3.5,IF(J34&gt;=100*0.5,3,IF(J34&gt;=100*0.4,2,IF(J34&gt;=100*0.33,1,0))))))))</f>
        <v/>
      </c>
      <c r="AC34">
        <f>IF(B34="","",IF(K34&lt;33.0,0,IF(K34&gt;=100*0.8,5,IF(K34&gt;=100*0.7,4,IF(K34&gt;=100*0.6,3.5,IF(K34&gt;=100*0.5,3,IF(K34&gt;=100*0.4,2,IF(K34&gt;=100*0.33,1,0))))))))</f>
        <v/>
      </c>
      <c r="AD34">
        <f>IF(B34="","",IF(L34&lt;33.0,0,IF(L34&gt;=100*0.8,5,IF(L34&gt;=100*0.7,4,IF(L34&gt;=100*0.6,3.5,IF(L34&gt;=100*0.5,3,IF(L34&gt;=100*0.4,2,IF(L34&gt;=100*0.33,1,0))))))))</f>
        <v/>
      </c>
      <c r="AE34">
        <f>IF(B34="","",IF(M34&lt;33.0,0,IF(M34&gt;=100*0.8,5,IF(M34&gt;=100*0.7,4,IF(M34&gt;=100*0.6,3.5,IF(M34&gt;=100*0.5,3,IF(M34&gt;=100*0.4,2,IF(M34&gt;=100*0.33,1,0))))))))</f>
        <v/>
      </c>
      <c r="AF34">
        <f>IF(B34="","",IF(N34&lt;16.5,0,IF(N34&gt;=50*0.8,5,IF(N34&gt;=50*0.7,4,IF(N34&gt;=50*0.6,3.5,IF(N34&gt;=50*0.5,3,IF(N34&gt;=50*0.4,2,IF(N34&gt;=50*0.33,1,0))))))))</f>
        <v/>
      </c>
      <c r="AG34">
        <f>IF(B34="","",IF(O34&lt;33.0,0,IF(O34&gt;=100*0.8,5,IF(O34&gt;=100*0.7,4,IF(O34&gt;=100*0.6,3.5,IF(O34&gt;=100*0.5,3,IF(O34&gt;=100*0.4,2,IF(O34&gt;=100*0.33,1,0))))))))</f>
        <v/>
      </c>
      <c r="AH34">
        <f>IF(B34="","",IF(OR(U34=0,V34=0,W34=0,X34=0,Y34=0,Z34=0,AA34=0,AB34=0,AC34=0,AD34=0,AE34=0,AF34=0,AG34=0),1,0))</f>
        <v/>
      </c>
    </row>
    <row r="35">
      <c r="A35" s="3">
        <f>IF(B35="","",ROW()-2)</f>
        <v/>
      </c>
      <c r="P35" s="4">
        <f>IF(B35="","",SUM(C35:O35))</f>
        <v/>
      </c>
      <c r="Q35" s="5">
        <f>IF(B35="","",ROUND(P35/13,2))</f>
        <v/>
      </c>
      <c r="R35" s="5">
        <f>IF(B35="","",IF(AH35=1,0,MIN(5,ROUND((U35+V35+W35+X35+Y35+Z35+AA35+AB35+AC35+AD35+AE35+AF35+AG35)/13,2))))</f>
        <v/>
      </c>
      <c r="S35" s="3">
        <f>IF(B35="","",IF(R35&gt;=5,"A+",IF(R35&gt;=4,"A",IF(R35&gt;=3.5,"A-",IF(R35&gt;=3,"B",IF(R35&gt;=2,"C",IF(R35&gt;=1,"D","F")))))))</f>
        <v/>
      </c>
      <c r="T35" s="3">
        <f>IF(OR(B35="",S35="F"),"",COUNTIFS(P:P,"&gt;"&amp;P35,S:S,"&lt;&gt;F")+1)</f>
        <v/>
      </c>
      <c r="U35">
        <f>IF(B35="","",IF(C35&lt;33.0,0,IF(C35&gt;=100*0.8,5,IF(C35&gt;=100*0.7,4,IF(C35&gt;=100*0.6,3.5,IF(C35&gt;=100*0.5,3,IF(C35&gt;=100*0.4,2,IF(C35&gt;=100*0.33,1,0))))))))</f>
        <v/>
      </c>
      <c r="V35">
        <f>IF(B35="","",IF(D35&lt;33.0,0,IF(D35&gt;=100*0.8,5,IF(D35&gt;=100*0.7,4,IF(D35&gt;=100*0.6,3.5,IF(D35&gt;=100*0.5,3,IF(D35&gt;=100*0.4,2,IF(D35&gt;=100*0.33,1,0))))))))</f>
        <v/>
      </c>
      <c r="W35">
        <f>IF(B35="","",IF(E35&lt;16.5,0,IF(E35&gt;=50*0.8,5,IF(E35&gt;=50*0.7,4,IF(E35&gt;=50*0.6,3.5,IF(E35&gt;=50*0.5,3,IF(E35&gt;=50*0.4,2,IF(E35&gt;=50*0.33,1,0))))))))</f>
        <v/>
      </c>
      <c r="X35">
        <f>IF(B35="","",IF(F35&lt;33.0,0,IF(F35&gt;=100*0.8,5,IF(F35&gt;=100*0.7,4,IF(F35&gt;=100*0.6,3.5,IF(F35&gt;=100*0.5,3,IF(F35&gt;=100*0.4,2,IF(F35&gt;=100*0.33,1,0))))))))</f>
        <v/>
      </c>
      <c r="Y35">
        <f>IF(B35="","",IF(G35&lt;16.5,0,IF(G35&gt;=50*0.8,5,IF(G35&gt;=50*0.7,4,IF(G35&gt;=50*0.6,3.5,IF(G35&gt;=50*0.5,3,IF(G35&gt;=50*0.4,2,IF(G35&gt;=50*0.33,1,0))))))))</f>
        <v/>
      </c>
      <c r="Z35">
        <f>IF(B35="","",IF(H35&lt;33.0,0,IF(H35&gt;=100*0.8,5,IF(H35&gt;=100*0.7,4,IF(H35&gt;=100*0.6,3.5,IF(H35&gt;=100*0.5,3,IF(H35&gt;=100*0.4,2,IF(H35&gt;=100*0.33,1,0))))))))</f>
        <v/>
      </c>
      <c r="AA35">
        <f>IF(B35="","",IF(I35&lt;33.0,0,IF(I35&gt;=100*0.8,5,IF(I35&gt;=100*0.7,4,IF(I35&gt;=100*0.6,3.5,IF(I35&gt;=100*0.5,3,IF(I35&gt;=100*0.4,2,IF(I35&gt;=100*0.33,1,0))))))))</f>
        <v/>
      </c>
      <c r="AB35">
        <f>IF(B35="","",IF(J35&lt;33.0,0,IF(J35&gt;=100*0.8,5,IF(J35&gt;=100*0.7,4,IF(J35&gt;=100*0.6,3.5,IF(J35&gt;=100*0.5,3,IF(J35&gt;=100*0.4,2,IF(J35&gt;=100*0.33,1,0))))))))</f>
        <v/>
      </c>
      <c r="AC35">
        <f>IF(B35="","",IF(K35&lt;33.0,0,IF(K35&gt;=100*0.8,5,IF(K35&gt;=100*0.7,4,IF(K35&gt;=100*0.6,3.5,IF(K35&gt;=100*0.5,3,IF(K35&gt;=100*0.4,2,IF(K35&gt;=100*0.33,1,0))))))))</f>
        <v/>
      </c>
      <c r="AD35">
        <f>IF(B35="","",IF(L35&lt;33.0,0,IF(L35&gt;=100*0.8,5,IF(L35&gt;=100*0.7,4,IF(L35&gt;=100*0.6,3.5,IF(L35&gt;=100*0.5,3,IF(L35&gt;=100*0.4,2,IF(L35&gt;=100*0.33,1,0))))))))</f>
        <v/>
      </c>
      <c r="AE35">
        <f>IF(B35="","",IF(M35&lt;33.0,0,IF(M35&gt;=100*0.8,5,IF(M35&gt;=100*0.7,4,IF(M35&gt;=100*0.6,3.5,IF(M35&gt;=100*0.5,3,IF(M35&gt;=100*0.4,2,IF(M35&gt;=100*0.33,1,0))))))))</f>
        <v/>
      </c>
      <c r="AF35">
        <f>IF(B35="","",IF(N35&lt;16.5,0,IF(N35&gt;=50*0.8,5,IF(N35&gt;=50*0.7,4,IF(N35&gt;=50*0.6,3.5,IF(N35&gt;=50*0.5,3,IF(N35&gt;=50*0.4,2,IF(N35&gt;=50*0.33,1,0))))))))</f>
        <v/>
      </c>
      <c r="AG35">
        <f>IF(B35="","",IF(O35&lt;33.0,0,IF(O35&gt;=100*0.8,5,IF(O35&gt;=100*0.7,4,IF(O35&gt;=100*0.6,3.5,IF(O35&gt;=100*0.5,3,IF(O35&gt;=100*0.4,2,IF(O35&gt;=100*0.33,1,0))))))))</f>
        <v/>
      </c>
      <c r="AH35">
        <f>IF(B35="","",IF(OR(U35=0,V35=0,W35=0,X35=0,Y35=0,Z35=0,AA35=0,AB35=0,AC35=0,AD35=0,AE35=0,AF35=0,AG35=0),1,0))</f>
        <v/>
      </c>
    </row>
    <row r="36">
      <c r="A36" s="3">
        <f>IF(B36="","",ROW()-2)</f>
        <v/>
      </c>
      <c r="P36" s="4">
        <f>IF(B36="","",SUM(C36:O36))</f>
        <v/>
      </c>
      <c r="Q36" s="5">
        <f>IF(B36="","",ROUND(P36/13,2))</f>
        <v/>
      </c>
      <c r="R36" s="5">
        <f>IF(B36="","",IF(AH36=1,0,MIN(5,ROUND((U36+V36+W36+X36+Y36+Z36+AA36+AB36+AC36+AD36+AE36+AF36+AG36)/13,2))))</f>
        <v/>
      </c>
      <c r="S36" s="3">
        <f>IF(B36="","",IF(R36&gt;=5,"A+",IF(R36&gt;=4,"A",IF(R36&gt;=3.5,"A-",IF(R36&gt;=3,"B",IF(R36&gt;=2,"C",IF(R36&gt;=1,"D","F")))))))</f>
        <v/>
      </c>
      <c r="T36" s="3">
        <f>IF(OR(B36="",S36="F"),"",COUNTIFS(P:P,"&gt;"&amp;P36,S:S,"&lt;&gt;F")+1)</f>
        <v/>
      </c>
      <c r="U36">
        <f>IF(B36="","",IF(C36&lt;33.0,0,IF(C36&gt;=100*0.8,5,IF(C36&gt;=100*0.7,4,IF(C36&gt;=100*0.6,3.5,IF(C36&gt;=100*0.5,3,IF(C36&gt;=100*0.4,2,IF(C36&gt;=100*0.33,1,0))))))))</f>
        <v/>
      </c>
      <c r="V36">
        <f>IF(B36="","",IF(D36&lt;33.0,0,IF(D36&gt;=100*0.8,5,IF(D36&gt;=100*0.7,4,IF(D36&gt;=100*0.6,3.5,IF(D36&gt;=100*0.5,3,IF(D36&gt;=100*0.4,2,IF(D36&gt;=100*0.33,1,0))))))))</f>
        <v/>
      </c>
      <c r="W36">
        <f>IF(B36="","",IF(E36&lt;16.5,0,IF(E36&gt;=50*0.8,5,IF(E36&gt;=50*0.7,4,IF(E36&gt;=50*0.6,3.5,IF(E36&gt;=50*0.5,3,IF(E36&gt;=50*0.4,2,IF(E36&gt;=50*0.33,1,0))))))))</f>
        <v/>
      </c>
      <c r="X36">
        <f>IF(B36="","",IF(F36&lt;33.0,0,IF(F36&gt;=100*0.8,5,IF(F36&gt;=100*0.7,4,IF(F36&gt;=100*0.6,3.5,IF(F36&gt;=100*0.5,3,IF(F36&gt;=100*0.4,2,IF(F36&gt;=100*0.33,1,0))))))))</f>
        <v/>
      </c>
      <c r="Y36">
        <f>IF(B36="","",IF(G36&lt;16.5,0,IF(G36&gt;=50*0.8,5,IF(G36&gt;=50*0.7,4,IF(G36&gt;=50*0.6,3.5,IF(G36&gt;=50*0.5,3,IF(G36&gt;=50*0.4,2,IF(G36&gt;=50*0.33,1,0))))))))</f>
        <v/>
      </c>
      <c r="Z36">
        <f>IF(B36="","",IF(H36&lt;33.0,0,IF(H36&gt;=100*0.8,5,IF(H36&gt;=100*0.7,4,IF(H36&gt;=100*0.6,3.5,IF(H36&gt;=100*0.5,3,IF(H36&gt;=100*0.4,2,IF(H36&gt;=100*0.33,1,0))))))))</f>
        <v/>
      </c>
      <c r="AA36">
        <f>IF(B36="","",IF(I36&lt;33.0,0,IF(I36&gt;=100*0.8,5,IF(I36&gt;=100*0.7,4,IF(I36&gt;=100*0.6,3.5,IF(I36&gt;=100*0.5,3,IF(I36&gt;=100*0.4,2,IF(I36&gt;=100*0.33,1,0))))))))</f>
        <v/>
      </c>
      <c r="AB36">
        <f>IF(B36="","",IF(J36&lt;33.0,0,IF(J36&gt;=100*0.8,5,IF(J36&gt;=100*0.7,4,IF(J36&gt;=100*0.6,3.5,IF(J36&gt;=100*0.5,3,IF(J36&gt;=100*0.4,2,IF(J36&gt;=100*0.33,1,0))))))))</f>
        <v/>
      </c>
      <c r="AC36">
        <f>IF(B36="","",IF(K36&lt;33.0,0,IF(K36&gt;=100*0.8,5,IF(K36&gt;=100*0.7,4,IF(K36&gt;=100*0.6,3.5,IF(K36&gt;=100*0.5,3,IF(K36&gt;=100*0.4,2,IF(K36&gt;=100*0.33,1,0))))))))</f>
        <v/>
      </c>
      <c r="AD36">
        <f>IF(B36="","",IF(L36&lt;33.0,0,IF(L36&gt;=100*0.8,5,IF(L36&gt;=100*0.7,4,IF(L36&gt;=100*0.6,3.5,IF(L36&gt;=100*0.5,3,IF(L36&gt;=100*0.4,2,IF(L36&gt;=100*0.33,1,0))))))))</f>
        <v/>
      </c>
      <c r="AE36">
        <f>IF(B36="","",IF(M36&lt;33.0,0,IF(M36&gt;=100*0.8,5,IF(M36&gt;=100*0.7,4,IF(M36&gt;=100*0.6,3.5,IF(M36&gt;=100*0.5,3,IF(M36&gt;=100*0.4,2,IF(M36&gt;=100*0.33,1,0))))))))</f>
        <v/>
      </c>
      <c r="AF36">
        <f>IF(B36="","",IF(N36&lt;16.5,0,IF(N36&gt;=50*0.8,5,IF(N36&gt;=50*0.7,4,IF(N36&gt;=50*0.6,3.5,IF(N36&gt;=50*0.5,3,IF(N36&gt;=50*0.4,2,IF(N36&gt;=50*0.33,1,0))))))))</f>
        <v/>
      </c>
      <c r="AG36">
        <f>IF(B36="","",IF(O36&lt;33.0,0,IF(O36&gt;=100*0.8,5,IF(O36&gt;=100*0.7,4,IF(O36&gt;=100*0.6,3.5,IF(O36&gt;=100*0.5,3,IF(O36&gt;=100*0.4,2,IF(O36&gt;=100*0.33,1,0))))))))</f>
        <v/>
      </c>
      <c r="AH36">
        <f>IF(B36="","",IF(OR(U36=0,V36=0,W36=0,X36=0,Y36=0,Z36=0,AA36=0,AB36=0,AC36=0,AD36=0,AE36=0,AF36=0,AG36=0),1,0))</f>
        <v/>
      </c>
    </row>
    <row r="37">
      <c r="A37" s="3">
        <f>IF(B37="","",ROW()-2)</f>
        <v/>
      </c>
      <c r="P37" s="4">
        <f>IF(B37="","",SUM(C37:O37))</f>
        <v/>
      </c>
      <c r="Q37" s="5">
        <f>IF(B37="","",ROUND(P37/13,2))</f>
        <v/>
      </c>
      <c r="R37" s="5">
        <f>IF(B37="","",IF(AH37=1,0,MIN(5,ROUND((U37+V37+W37+X37+Y37+Z37+AA37+AB37+AC37+AD37+AE37+AF37+AG37)/13,2))))</f>
        <v/>
      </c>
      <c r="S37" s="3">
        <f>IF(B37="","",IF(R37&gt;=5,"A+",IF(R37&gt;=4,"A",IF(R37&gt;=3.5,"A-",IF(R37&gt;=3,"B",IF(R37&gt;=2,"C",IF(R37&gt;=1,"D","F")))))))</f>
        <v/>
      </c>
      <c r="T37" s="3">
        <f>IF(OR(B37="",S37="F"),"",COUNTIFS(P:P,"&gt;"&amp;P37,S:S,"&lt;&gt;F")+1)</f>
        <v/>
      </c>
      <c r="U37">
        <f>IF(B37="","",IF(C37&lt;33.0,0,IF(C37&gt;=100*0.8,5,IF(C37&gt;=100*0.7,4,IF(C37&gt;=100*0.6,3.5,IF(C37&gt;=100*0.5,3,IF(C37&gt;=100*0.4,2,IF(C37&gt;=100*0.33,1,0))))))))</f>
        <v/>
      </c>
      <c r="V37">
        <f>IF(B37="","",IF(D37&lt;33.0,0,IF(D37&gt;=100*0.8,5,IF(D37&gt;=100*0.7,4,IF(D37&gt;=100*0.6,3.5,IF(D37&gt;=100*0.5,3,IF(D37&gt;=100*0.4,2,IF(D37&gt;=100*0.33,1,0))))))))</f>
        <v/>
      </c>
      <c r="W37">
        <f>IF(B37="","",IF(E37&lt;16.5,0,IF(E37&gt;=50*0.8,5,IF(E37&gt;=50*0.7,4,IF(E37&gt;=50*0.6,3.5,IF(E37&gt;=50*0.5,3,IF(E37&gt;=50*0.4,2,IF(E37&gt;=50*0.33,1,0))))))))</f>
        <v/>
      </c>
      <c r="X37">
        <f>IF(B37="","",IF(F37&lt;33.0,0,IF(F37&gt;=100*0.8,5,IF(F37&gt;=100*0.7,4,IF(F37&gt;=100*0.6,3.5,IF(F37&gt;=100*0.5,3,IF(F37&gt;=100*0.4,2,IF(F37&gt;=100*0.33,1,0))))))))</f>
        <v/>
      </c>
      <c r="Y37">
        <f>IF(B37="","",IF(G37&lt;16.5,0,IF(G37&gt;=50*0.8,5,IF(G37&gt;=50*0.7,4,IF(G37&gt;=50*0.6,3.5,IF(G37&gt;=50*0.5,3,IF(G37&gt;=50*0.4,2,IF(G37&gt;=50*0.33,1,0))))))))</f>
        <v/>
      </c>
      <c r="Z37">
        <f>IF(B37="","",IF(H37&lt;33.0,0,IF(H37&gt;=100*0.8,5,IF(H37&gt;=100*0.7,4,IF(H37&gt;=100*0.6,3.5,IF(H37&gt;=100*0.5,3,IF(H37&gt;=100*0.4,2,IF(H37&gt;=100*0.33,1,0))))))))</f>
        <v/>
      </c>
      <c r="AA37">
        <f>IF(B37="","",IF(I37&lt;33.0,0,IF(I37&gt;=100*0.8,5,IF(I37&gt;=100*0.7,4,IF(I37&gt;=100*0.6,3.5,IF(I37&gt;=100*0.5,3,IF(I37&gt;=100*0.4,2,IF(I37&gt;=100*0.33,1,0))))))))</f>
        <v/>
      </c>
      <c r="AB37">
        <f>IF(B37="","",IF(J37&lt;33.0,0,IF(J37&gt;=100*0.8,5,IF(J37&gt;=100*0.7,4,IF(J37&gt;=100*0.6,3.5,IF(J37&gt;=100*0.5,3,IF(J37&gt;=100*0.4,2,IF(J37&gt;=100*0.33,1,0))))))))</f>
        <v/>
      </c>
      <c r="AC37">
        <f>IF(B37="","",IF(K37&lt;33.0,0,IF(K37&gt;=100*0.8,5,IF(K37&gt;=100*0.7,4,IF(K37&gt;=100*0.6,3.5,IF(K37&gt;=100*0.5,3,IF(K37&gt;=100*0.4,2,IF(K37&gt;=100*0.33,1,0))))))))</f>
        <v/>
      </c>
      <c r="AD37">
        <f>IF(B37="","",IF(L37&lt;33.0,0,IF(L37&gt;=100*0.8,5,IF(L37&gt;=100*0.7,4,IF(L37&gt;=100*0.6,3.5,IF(L37&gt;=100*0.5,3,IF(L37&gt;=100*0.4,2,IF(L37&gt;=100*0.33,1,0))))))))</f>
        <v/>
      </c>
      <c r="AE37">
        <f>IF(B37="","",IF(M37&lt;33.0,0,IF(M37&gt;=100*0.8,5,IF(M37&gt;=100*0.7,4,IF(M37&gt;=100*0.6,3.5,IF(M37&gt;=100*0.5,3,IF(M37&gt;=100*0.4,2,IF(M37&gt;=100*0.33,1,0))))))))</f>
        <v/>
      </c>
      <c r="AF37">
        <f>IF(B37="","",IF(N37&lt;16.5,0,IF(N37&gt;=50*0.8,5,IF(N37&gt;=50*0.7,4,IF(N37&gt;=50*0.6,3.5,IF(N37&gt;=50*0.5,3,IF(N37&gt;=50*0.4,2,IF(N37&gt;=50*0.33,1,0))))))))</f>
        <v/>
      </c>
      <c r="AG37">
        <f>IF(B37="","",IF(O37&lt;33.0,0,IF(O37&gt;=100*0.8,5,IF(O37&gt;=100*0.7,4,IF(O37&gt;=100*0.6,3.5,IF(O37&gt;=100*0.5,3,IF(O37&gt;=100*0.4,2,IF(O37&gt;=100*0.33,1,0))))))))</f>
        <v/>
      </c>
      <c r="AH37">
        <f>IF(B37="","",IF(OR(U37=0,V37=0,W37=0,X37=0,Y37=0,Z37=0,AA37=0,AB37=0,AC37=0,AD37=0,AE37=0,AF37=0,AG37=0),1,0))</f>
        <v/>
      </c>
    </row>
    <row r="38">
      <c r="A38" s="3">
        <f>IF(B38="","",ROW()-2)</f>
        <v/>
      </c>
      <c r="P38" s="4">
        <f>IF(B38="","",SUM(C38:O38))</f>
        <v/>
      </c>
      <c r="Q38" s="5">
        <f>IF(B38="","",ROUND(P38/13,2))</f>
        <v/>
      </c>
      <c r="R38" s="5">
        <f>IF(B38="","",IF(AH38=1,0,MIN(5,ROUND((U38+V38+W38+X38+Y38+Z38+AA38+AB38+AC38+AD38+AE38+AF38+AG38)/13,2))))</f>
        <v/>
      </c>
      <c r="S38" s="3">
        <f>IF(B38="","",IF(R38&gt;=5,"A+",IF(R38&gt;=4,"A",IF(R38&gt;=3.5,"A-",IF(R38&gt;=3,"B",IF(R38&gt;=2,"C",IF(R38&gt;=1,"D","F")))))))</f>
        <v/>
      </c>
      <c r="T38" s="3">
        <f>IF(OR(B38="",S38="F"),"",COUNTIFS(P:P,"&gt;"&amp;P38,S:S,"&lt;&gt;F")+1)</f>
        <v/>
      </c>
      <c r="U38">
        <f>IF(B38="","",IF(C38&lt;33.0,0,IF(C38&gt;=100*0.8,5,IF(C38&gt;=100*0.7,4,IF(C38&gt;=100*0.6,3.5,IF(C38&gt;=100*0.5,3,IF(C38&gt;=100*0.4,2,IF(C38&gt;=100*0.33,1,0))))))))</f>
        <v/>
      </c>
      <c r="V38">
        <f>IF(B38="","",IF(D38&lt;33.0,0,IF(D38&gt;=100*0.8,5,IF(D38&gt;=100*0.7,4,IF(D38&gt;=100*0.6,3.5,IF(D38&gt;=100*0.5,3,IF(D38&gt;=100*0.4,2,IF(D38&gt;=100*0.33,1,0))))))))</f>
        <v/>
      </c>
      <c r="W38">
        <f>IF(B38="","",IF(E38&lt;16.5,0,IF(E38&gt;=50*0.8,5,IF(E38&gt;=50*0.7,4,IF(E38&gt;=50*0.6,3.5,IF(E38&gt;=50*0.5,3,IF(E38&gt;=50*0.4,2,IF(E38&gt;=50*0.33,1,0))))))))</f>
        <v/>
      </c>
      <c r="X38">
        <f>IF(B38="","",IF(F38&lt;33.0,0,IF(F38&gt;=100*0.8,5,IF(F38&gt;=100*0.7,4,IF(F38&gt;=100*0.6,3.5,IF(F38&gt;=100*0.5,3,IF(F38&gt;=100*0.4,2,IF(F38&gt;=100*0.33,1,0))))))))</f>
        <v/>
      </c>
      <c r="Y38">
        <f>IF(B38="","",IF(G38&lt;16.5,0,IF(G38&gt;=50*0.8,5,IF(G38&gt;=50*0.7,4,IF(G38&gt;=50*0.6,3.5,IF(G38&gt;=50*0.5,3,IF(G38&gt;=50*0.4,2,IF(G38&gt;=50*0.33,1,0))))))))</f>
        <v/>
      </c>
      <c r="Z38">
        <f>IF(B38="","",IF(H38&lt;33.0,0,IF(H38&gt;=100*0.8,5,IF(H38&gt;=100*0.7,4,IF(H38&gt;=100*0.6,3.5,IF(H38&gt;=100*0.5,3,IF(H38&gt;=100*0.4,2,IF(H38&gt;=100*0.33,1,0))))))))</f>
        <v/>
      </c>
      <c r="AA38">
        <f>IF(B38="","",IF(I38&lt;33.0,0,IF(I38&gt;=100*0.8,5,IF(I38&gt;=100*0.7,4,IF(I38&gt;=100*0.6,3.5,IF(I38&gt;=100*0.5,3,IF(I38&gt;=100*0.4,2,IF(I38&gt;=100*0.33,1,0))))))))</f>
        <v/>
      </c>
      <c r="AB38">
        <f>IF(B38="","",IF(J38&lt;33.0,0,IF(J38&gt;=100*0.8,5,IF(J38&gt;=100*0.7,4,IF(J38&gt;=100*0.6,3.5,IF(J38&gt;=100*0.5,3,IF(J38&gt;=100*0.4,2,IF(J38&gt;=100*0.33,1,0))))))))</f>
        <v/>
      </c>
      <c r="AC38">
        <f>IF(B38="","",IF(K38&lt;33.0,0,IF(K38&gt;=100*0.8,5,IF(K38&gt;=100*0.7,4,IF(K38&gt;=100*0.6,3.5,IF(K38&gt;=100*0.5,3,IF(K38&gt;=100*0.4,2,IF(K38&gt;=100*0.33,1,0))))))))</f>
        <v/>
      </c>
      <c r="AD38">
        <f>IF(B38="","",IF(L38&lt;33.0,0,IF(L38&gt;=100*0.8,5,IF(L38&gt;=100*0.7,4,IF(L38&gt;=100*0.6,3.5,IF(L38&gt;=100*0.5,3,IF(L38&gt;=100*0.4,2,IF(L38&gt;=100*0.33,1,0))))))))</f>
        <v/>
      </c>
      <c r="AE38">
        <f>IF(B38="","",IF(M38&lt;33.0,0,IF(M38&gt;=100*0.8,5,IF(M38&gt;=100*0.7,4,IF(M38&gt;=100*0.6,3.5,IF(M38&gt;=100*0.5,3,IF(M38&gt;=100*0.4,2,IF(M38&gt;=100*0.33,1,0))))))))</f>
        <v/>
      </c>
      <c r="AF38">
        <f>IF(B38="","",IF(N38&lt;16.5,0,IF(N38&gt;=50*0.8,5,IF(N38&gt;=50*0.7,4,IF(N38&gt;=50*0.6,3.5,IF(N38&gt;=50*0.5,3,IF(N38&gt;=50*0.4,2,IF(N38&gt;=50*0.33,1,0))))))))</f>
        <v/>
      </c>
      <c r="AG38">
        <f>IF(B38="","",IF(O38&lt;33.0,0,IF(O38&gt;=100*0.8,5,IF(O38&gt;=100*0.7,4,IF(O38&gt;=100*0.6,3.5,IF(O38&gt;=100*0.5,3,IF(O38&gt;=100*0.4,2,IF(O38&gt;=100*0.33,1,0))))))))</f>
        <v/>
      </c>
      <c r="AH38">
        <f>IF(B38="","",IF(OR(U38=0,V38=0,W38=0,X38=0,Y38=0,Z38=0,AA38=0,AB38=0,AC38=0,AD38=0,AE38=0,AF38=0,AG38=0),1,0))</f>
        <v/>
      </c>
    </row>
    <row r="39">
      <c r="A39" s="3">
        <f>IF(B39="","",ROW()-2)</f>
        <v/>
      </c>
      <c r="P39" s="4">
        <f>IF(B39="","",SUM(C39:O39))</f>
        <v/>
      </c>
      <c r="Q39" s="5">
        <f>IF(B39="","",ROUND(P39/13,2))</f>
        <v/>
      </c>
      <c r="R39" s="5">
        <f>IF(B39="","",IF(AH39=1,0,MIN(5,ROUND((U39+V39+W39+X39+Y39+Z39+AA39+AB39+AC39+AD39+AE39+AF39+AG39)/13,2))))</f>
        <v/>
      </c>
      <c r="S39" s="3">
        <f>IF(B39="","",IF(R39&gt;=5,"A+",IF(R39&gt;=4,"A",IF(R39&gt;=3.5,"A-",IF(R39&gt;=3,"B",IF(R39&gt;=2,"C",IF(R39&gt;=1,"D","F")))))))</f>
        <v/>
      </c>
      <c r="T39" s="3">
        <f>IF(OR(B39="",S39="F"),"",COUNTIFS(P:P,"&gt;"&amp;P39,S:S,"&lt;&gt;F")+1)</f>
        <v/>
      </c>
      <c r="U39">
        <f>IF(B39="","",IF(C39&lt;33.0,0,IF(C39&gt;=100*0.8,5,IF(C39&gt;=100*0.7,4,IF(C39&gt;=100*0.6,3.5,IF(C39&gt;=100*0.5,3,IF(C39&gt;=100*0.4,2,IF(C39&gt;=100*0.33,1,0))))))))</f>
        <v/>
      </c>
      <c r="V39">
        <f>IF(B39="","",IF(D39&lt;33.0,0,IF(D39&gt;=100*0.8,5,IF(D39&gt;=100*0.7,4,IF(D39&gt;=100*0.6,3.5,IF(D39&gt;=100*0.5,3,IF(D39&gt;=100*0.4,2,IF(D39&gt;=100*0.33,1,0))))))))</f>
        <v/>
      </c>
      <c r="W39">
        <f>IF(B39="","",IF(E39&lt;16.5,0,IF(E39&gt;=50*0.8,5,IF(E39&gt;=50*0.7,4,IF(E39&gt;=50*0.6,3.5,IF(E39&gt;=50*0.5,3,IF(E39&gt;=50*0.4,2,IF(E39&gt;=50*0.33,1,0))))))))</f>
        <v/>
      </c>
      <c r="X39">
        <f>IF(B39="","",IF(F39&lt;33.0,0,IF(F39&gt;=100*0.8,5,IF(F39&gt;=100*0.7,4,IF(F39&gt;=100*0.6,3.5,IF(F39&gt;=100*0.5,3,IF(F39&gt;=100*0.4,2,IF(F39&gt;=100*0.33,1,0))))))))</f>
        <v/>
      </c>
      <c r="Y39">
        <f>IF(B39="","",IF(G39&lt;16.5,0,IF(G39&gt;=50*0.8,5,IF(G39&gt;=50*0.7,4,IF(G39&gt;=50*0.6,3.5,IF(G39&gt;=50*0.5,3,IF(G39&gt;=50*0.4,2,IF(G39&gt;=50*0.33,1,0))))))))</f>
        <v/>
      </c>
      <c r="Z39">
        <f>IF(B39="","",IF(H39&lt;33.0,0,IF(H39&gt;=100*0.8,5,IF(H39&gt;=100*0.7,4,IF(H39&gt;=100*0.6,3.5,IF(H39&gt;=100*0.5,3,IF(H39&gt;=100*0.4,2,IF(H39&gt;=100*0.33,1,0))))))))</f>
        <v/>
      </c>
      <c r="AA39">
        <f>IF(B39="","",IF(I39&lt;33.0,0,IF(I39&gt;=100*0.8,5,IF(I39&gt;=100*0.7,4,IF(I39&gt;=100*0.6,3.5,IF(I39&gt;=100*0.5,3,IF(I39&gt;=100*0.4,2,IF(I39&gt;=100*0.33,1,0))))))))</f>
        <v/>
      </c>
      <c r="AB39">
        <f>IF(B39="","",IF(J39&lt;33.0,0,IF(J39&gt;=100*0.8,5,IF(J39&gt;=100*0.7,4,IF(J39&gt;=100*0.6,3.5,IF(J39&gt;=100*0.5,3,IF(J39&gt;=100*0.4,2,IF(J39&gt;=100*0.33,1,0))))))))</f>
        <v/>
      </c>
      <c r="AC39">
        <f>IF(B39="","",IF(K39&lt;33.0,0,IF(K39&gt;=100*0.8,5,IF(K39&gt;=100*0.7,4,IF(K39&gt;=100*0.6,3.5,IF(K39&gt;=100*0.5,3,IF(K39&gt;=100*0.4,2,IF(K39&gt;=100*0.33,1,0))))))))</f>
        <v/>
      </c>
      <c r="AD39">
        <f>IF(B39="","",IF(L39&lt;33.0,0,IF(L39&gt;=100*0.8,5,IF(L39&gt;=100*0.7,4,IF(L39&gt;=100*0.6,3.5,IF(L39&gt;=100*0.5,3,IF(L39&gt;=100*0.4,2,IF(L39&gt;=100*0.33,1,0))))))))</f>
        <v/>
      </c>
      <c r="AE39">
        <f>IF(B39="","",IF(M39&lt;33.0,0,IF(M39&gt;=100*0.8,5,IF(M39&gt;=100*0.7,4,IF(M39&gt;=100*0.6,3.5,IF(M39&gt;=100*0.5,3,IF(M39&gt;=100*0.4,2,IF(M39&gt;=100*0.33,1,0))))))))</f>
        <v/>
      </c>
      <c r="AF39">
        <f>IF(B39="","",IF(N39&lt;16.5,0,IF(N39&gt;=50*0.8,5,IF(N39&gt;=50*0.7,4,IF(N39&gt;=50*0.6,3.5,IF(N39&gt;=50*0.5,3,IF(N39&gt;=50*0.4,2,IF(N39&gt;=50*0.33,1,0))))))))</f>
        <v/>
      </c>
      <c r="AG39">
        <f>IF(B39="","",IF(O39&lt;33.0,0,IF(O39&gt;=100*0.8,5,IF(O39&gt;=100*0.7,4,IF(O39&gt;=100*0.6,3.5,IF(O39&gt;=100*0.5,3,IF(O39&gt;=100*0.4,2,IF(O39&gt;=100*0.33,1,0))))))))</f>
        <v/>
      </c>
      <c r="AH39">
        <f>IF(B39="","",IF(OR(U39=0,V39=0,W39=0,X39=0,Y39=0,Z39=0,AA39=0,AB39=0,AC39=0,AD39=0,AE39=0,AF39=0,AG39=0),1,0))</f>
        <v/>
      </c>
    </row>
    <row r="40">
      <c r="A40" s="3">
        <f>IF(B40="","",ROW()-2)</f>
        <v/>
      </c>
      <c r="P40" s="4">
        <f>IF(B40="","",SUM(C40:O40))</f>
        <v/>
      </c>
      <c r="Q40" s="5">
        <f>IF(B40="","",ROUND(P40/13,2))</f>
        <v/>
      </c>
      <c r="R40" s="5">
        <f>IF(B40="","",IF(AH40=1,0,MIN(5,ROUND((U40+V40+W40+X40+Y40+Z40+AA40+AB40+AC40+AD40+AE40+AF40+AG40)/13,2))))</f>
        <v/>
      </c>
      <c r="S40" s="3">
        <f>IF(B40="","",IF(R40&gt;=5,"A+",IF(R40&gt;=4,"A",IF(R40&gt;=3.5,"A-",IF(R40&gt;=3,"B",IF(R40&gt;=2,"C",IF(R40&gt;=1,"D","F")))))))</f>
        <v/>
      </c>
      <c r="T40" s="3">
        <f>IF(OR(B40="",S40="F"),"",COUNTIFS(P:P,"&gt;"&amp;P40,S:S,"&lt;&gt;F")+1)</f>
        <v/>
      </c>
      <c r="U40">
        <f>IF(B40="","",IF(C40&lt;33.0,0,IF(C40&gt;=100*0.8,5,IF(C40&gt;=100*0.7,4,IF(C40&gt;=100*0.6,3.5,IF(C40&gt;=100*0.5,3,IF(C40&gt;=100*0.4,2,IF(C40&gt;=100*0.33,1,0))))))))</f>
        <v/>
      </c>
      <c r="V40">
        <f>IF(B40="","",IF(D40&lt;33.0,0,IF(D40&gt;=100*0.8,5,IF(D40&gt;=100*0.7,4,IF(D40&gt;=100*0.6,3.5,IF(D40&gt;=100*0.5,3,IF(D40&gt;=100*0.4,2,IF(D40&gt;=100*0.33,1,0))))))))</f>
        <v/>
      </c>
      <c r="W40">
        <f>IF(B40="","",IF(E40&lt;16.5,0,IF(E40&gt;=50*0.8,5,IF(E40&gt;=50*0.7,4,IF(E40&gt;=50*0.6,3.5,IF(E40&gt;=50*0.5,3,IF(E40&gt;=50*0.4,2,IF(E40&gt;=50*0.33,1,0))))))))</f>
        <v/>
      </c>
      <c r="X40">
        <f>IF(B40="","",IF(F40&lt;33.0,0,IF(F40&gt;=100*0.8,5,IF(F40&gt;=100*0.7,4,IF(F40&gt;=100*0.6,3.5,IF(F40&gt;=100*0.5,3,IF(F40&gt;=100*0.4,2,IF(F40&gt;=100*0.33,1,0))))))))</f>
        <v/>
      </c>
      <c r="Y40">
        <f>IF(B40="","",IF(G40&lt;16.5,0,IF(G40&gt;=50*0.8,5,IF(G40&gt;=50*0.7,4,IF(G40&gt;=50*0.6,3.5,IF(G40&gt;=50*0.5,3,IF(G40&gt;=50*0.4,2,IF(G40&gt;=50*0.33,1,0))))))))</f>
        <v/>
      </c>
      <c r="Z40">
        <f>IF(B40="","",IF(H40&lt;33.0,0,IF(H40&gt;=100*0.8,5,IF(H40&gt;=100*0.7,4,IF(H40&gt;=100*0.6,3.5,IF(H40&gt;=100*0.5,3,IF(H40&gt;=100*0.4,2,IF(H40&gt;=100*0.33,1,0))))))))</f>
        <v/>
      </c>
      <c r="AA40">
        <f>IF(B40="","",IF(I40&lt;33.0,0,IF(I40&gt;=100*0.8,5,IF(I40&gt;=100*0.7,4,IF(I40&gt;=100*0.6,3.5,IF(I40&gt;=100*0.5,3,IF(I40&gt;=100*0.4,2,IF(I40&gt;=100*0.33,1,0))))))))</f>
        <v/>
      </c>
      <c r="AB40">
        <f>IF(B40="","",IF(J40&lt;33.0,0,IF(J40&gt;=100*0.8,5,IF(J40&gt;=100*0.7,4,IF(J40&gt;=100*0.6,3.5,IF(J40&gt;=100*0.5,3,IF(J40&gt;=100*0.4,2,IF(J40&gt;=100*0.33,1,0))))))))</f>
        <v/>
      </c>
      <c r="AC40">
        <f>IF(B40="","",IF(K40&lt;33.0,0,IF(K40&gt;=100*0.8,5,IF(K40&gt;=100*0.7,4,IF(K40&gt;=100*0.6,3.5,IF(K40&gt;=100*0.5,3,IF(K40&gt;=100*0.4,2,IF(K40&gt;=100*0.33,1,0))))))))</f>
        <v/>
      </c>
      <c r="AD40">
        <f>IF(B40="","",IF(L40&lt;33.0,0,IF(L40&gt;=100*0.8,5,IF(L40&gt;=100*0.7,4,IF(L40&gt;=100*0.6,3.5,IF(L40&gt;=100*0.5,3,IF(L40&gt;=100*0.4,2,IF(L40&gt;=100*0.33,1,0))))))))</f>
        <v/>
      </c>
      <c r="AE40">
        <f>IF(B40="","",IF(M40&lt;33.0,0,IF(M40&gt;=100*0.8,5,IF(M40&gt;=100*0.7,4,IF(M40&gt;=100*0.6,3.5,IF(M40&gt;=100*0.5,3,IF(M40&gt;=100*0.4,2,IF(M40&gt;=100*0.33,1,0))))))))</f>
        <v/>
      </c>
      <c r="AF40">
        <f>IF(B40="","",IF(N40&lt;16.5,0,IF(N40&gt;=50*0.8,5,IF(N40&gt;=50*0.7,4,IF(N40&gt;=50*0.6,3.5,IF(N40&gt;=50*0.5,3,IF(N40&gt;=50*0.4,2,IF(N40&gt;=50*0.33,1,0))))))))</f>
        <v/>
      </c>
      <c r="AG40">
        <f>IF(B40="","",IF(O40&lt;33.0,0,IF(O40&gt;=100*0.8,5,IF(O40&gt;=100*0.7,4,IF(O40&gt;=100*0.6,3.5,IF(O40&gt;=100*0.5,3,IF(O40&gt;=100*0.4,2,IF(O40&gt;=100*0.33,1,0))))))))</f>
        <v/>
      </c>
      <c r="AH40">
        <f>IF(B40="","",IF(OR(U40=0,V40=0,W40=0,X40=0,Y40=0,Z40=0,AA40=0,AB40=0,AC40=0,AD40=0,AE40=0,AF40=0,AG40=0),1,0))</f>
        <v/>
      </c>
    </row>
    <row r="41">
      <c r="A41" s="3">
        <f>IF(B41="","",ROW()-2)</f>
        <v/>
      </c>
      <c r="P41" s="4">
        <f>IF(B41="","",SUM(C41:O41))</f>
        <v/>
      </c>
      <c r="Q41" s="5">
        <f>IF(B41="","",ROUND(P41/13,2))</f>
        <v/>
      </c>
      <c r="R41" s="5">
        <f>IF(B41="","",IF(AH41=1,0,MIN(5,ROUND((U41+V41+W41+X41+Y41+Z41+AA41+AB41+AC41+AD41+AE41+AF41+AG41)/13,2))))</f>
        <v/>
      </c>
      <c r="S41" s="3">
        <f>IF(B41="","",IF(R41&gt;=5,"A+",IF(R41&gt;=4,"A",IF(R41&gt;=3.5,"A-",IF(R41&gt;=3,"B",IF(R41&gt;=2,"C",IF(R41&gt;=1,"D","F")))))))</f>
        <v/>
      </c>
      <c r="T41" s="3">
        <f>IF(OR(B41="",S41="F"),"",COUNTIFS(P:P,"&gt;"&amp;P41,S:S,"&lt;&gt;F")+1)</f>
        <v/>
      </c>
      <c r="U41">
        <f>IF(B41="","",IF(C41&lt;33.0,0,IF(C41&gt;=100*0.8,5,IF(C41&gt;=100*0.7,4,IF(C41&gt;=100*0.6,3.5,IF(C41&gt;=100*0.5,3,IF(C41&gt;=100*0.4,2,IF(C41&gt;=100*0.33,1,0))))))))</f>
        <v/>
      </c>
      <c r="V41">
        <f>IF(B41="","",IF(D41&lt;33.0,0,IF(D41&gt;=100*0.8,5,IF(D41&gt;=100*0.7,4,IF(D41&gt;=100*0.6,3.5,IF(D41&gt;=100*0.5,3,IF(D41&gt;=100*0.4,2,IF(D41&gt;=100*0.33,1,0))))))))</f>
        <v/>
      </c>
      <c r="W41">
        <f>IF(B41="","",IF(E41&lt;16.5,0,IF(E41&gt;=50*0.8,5,IF(E41&gt;=50*0.7,4,IF(E41&gt;=50*0.6,3.5,IF(E41&gt;=50*0.5,3,IF(E41&gt;=50*0.4,2,IF(E41&gt;=50*0.33,1,0))))))))</f>
        <v/>
      </c>
      <c r="X41">
        <f>IF(B41="","",IF(F41&lt;33.0,0,IF(F41&gt;=100*0.8,5,IF(F41&gt;=100*0.7,4,IF(F41&gt;=100*0.6,3.5,IF(F41&gt;=100*0.5,3,IF(F41&gt;=100*0.4,2,IF(F41&gt;=100*0.33,1,0))))))))</f>
        <v/>
      </c>
      <c r="Y41">
        <f>IF(B41="","",IF(G41&lt;16.5,0,IF(G41&gt;=50*0.8,5,IF(G41&gt;=50*0.7,4,IF(G41&gt;=50*0.6,3.5,IF(G41&gt;=50*0.5,3,IF(G41&gt;=50*0.4,2,IF(G41&gt;=50*0.33,1,0))))))))</f>
        <v/>
      </c>
      <c r="Z41">
        <f>IF(B41="","",IF(H41&lt;33.0,0,IF(H41&gt;=100*0.8,5,IF(H41&gt;=100*0.7,4,IF(H41&gt;=100*0.6,3.5,IF(H41&gt;=100*0.5,3,IF(H41&gt;=100*0.4,2,IF(H41&gt;=100*0.33,1,0))))))))</f>
        <v/>
      </c>
      <c r="AA41">
        <f>IF(B41="","",IF(I41&lt;33.0,0,IF(I41&gt;=100*0.8,5,IF(I41&gt;=100*0.7,4,IF(I41&gt;=100*0.6,3.5,IF(I41&gt;=100*0.5,3,IF(I41&gt;=100*0.4,2,IF(I41&gt;=100*0.33,1,0))))))))</f>
        <v/>
      </c>
      <c r="AB41">
        <f>IF(B41="","",IF(J41&lt;33.0,0,IF(J41&gt;=100*0.8,5,IF(J41&gt;=100*0.7,4,IF(J41&gt;=100*0.6,3.5,IF(J41&gt;=100*0.5,3,IF(J41&gt;=100*0.4,2,IF(J41&gt;=100*0.33,1,0))))))))</f>
        <v/>
      </c>
      <c r="AC41">
        <f>IF(B41="","",IF(K41&lt;33.0,0,IF(K41&gt;=100*0.8,5,IF(K41&gt;=100*0.7,4,IF(K41&gt;=100*0.6,3.5,IF(K41&gt;=100*0.5,3,IF(K41&gt;=100*0.4,2,IF(K41&gt;=100*0.33,1,0))))))))</f>
        <v/>
      </c>
      <c r="AD41">
        <f>IF(B41="","",IF(L41&lt;33.0,0,IF(L41&gt;=100*0.8,5,IF(L41&gt;=100*0.7,4,IF(L41&gt;=100*0.6,3.5,IF(L41&gt;=100*0.5,3,IF(L41&gt;=100*0.4,2,IF(L41&gt;=100*0.33,1,0))))))))</f>
        <v/>
      </c>
      <c r="AE41">
        <f>IF(B41="","",IF(M41&lt;33.0,0,IF(M41&gt;=100*0.8,5,IF(M41&gt;=100*0.7,4,IF(M41&gt;=100*0.6,3.5,IF(M41&gt;=100*0.5,3,IF(M41&gt;=100*0.4,2,IF(M41&gt;=100*0.33,1,0))))))))</f>
        <v/>
      </c>
      <c r="AF41">
        <f>IF(B41="","",IF(N41&lt;16.5,0,IF(N41&gt;=50*0.8,5,IF(N41&gt;=50*0.7,4,IF(N41&gt;=50*0.6,3.5,IF(N41&gt;=50*0.5,3,IF(N41&gt;=50*0.4,2,IF(N41&gt;=50*0.33,1,0))))))))</f>
        <v/>
      </c>
      <c r="AG41">
        <f>IF(B41="","",IF(O41&lt;33.0,0,IF(O41&gt;=100*0.8,5,IF(O41&gt;=100*0.7,4,IF(O41&gt;=100*0.6,3.5,IF(O41&gt;=100*0.5,3,IF(O41&gt;=100*0.4,2,IF(O41&gt;=100*0.33,1,0))))))))</f>
        <v/>
      </c>
      <c r="AH41">
        <f>IF(B41="","",IF(OR(U41=0,V41=0,W41=0,X41=0,Y41=0,Z41=0,AA41=0,AB41=0,AC41=0,AD41=0,AE41=0,AF41=0,AG41=0),1,0))</f>
        <v/>
      </c>
    </row>
    <row r="42">
      <c r="A42" s="3">
        <f>IF(B42="","",ROW()-2)</f>
        <v/>
      </c>
      <c r="P42" s="4">
        <f>IF(B42="","",SUM(C42:O42))</f>
        <v/>
      </c>
      <c r="Q42" s="5">
        <f>IF(B42="","",ROUND(P42/13,2))</f>
        <v/>
      </c>
      <c r="R42" s="5">
        <f>IF(B42="","",IF(AH42=1,0,MIN(5,ROUND((U42+V42+W42+X42+Y42+Z42+AA42+AB42+AC42+AD42+AE42+AF42+AG42)/13,2))))</f>
        <v/>
      </c>
      <c r="S42" s="3">
        <f>IF(B42="","",IF(R42&gt;=5,"A+",IF(R42&gt;=4,"A",IF(R42&gt;=3.5,"A-",IF(R42&gt;=3,"B",IF(R42&gt;=2,"C",IF(R42&gt;=1,"D","F")))))))</f>
        <v/>
      </c>
      <c r="T42" s="3">
        <f>IF(OR(B42="",S42="F"),"",COUNTIFS(P:P,"&gt;"&amp;P42,S:S,"&lt;&gt;F")+1)</f>
        <v/>
      </c>
      <c r="U42">
        <f>IF(B42="","",IF(C42&lt;33.0,0,IF(C42&gt;=100*0.8,5,IF(C42&gt;=100*0.7,4,IF(C42&gt;=100*0.6,3.5,IF(C42&gt;=100*0.5,3,IF(C42&gt;=100*0.4,2,IF(C42&gt;=100*0.33,1,0))))))))</f>
        <v/>
      </c>
      <c r="V42">
        <f>IF(B42="","",IF(D42&lt;33.0,0,IF(D42&gt;=100*0.8,5,IF(D42&gt;=100*0.7,4,IF(D42&gt;=100*0.6,3.5,IF(D42&gt;=100*0.5,3,IF(D42&gt;=100*0.4,2,IF(D42&gt;=100*0.33,1,0))))))))</f>
        <v/>
      </c>
      <c r="W42">
        <f>IF(B42="","",IF(E42&lt;16.5,0,IF(E42&gt;=50*0.8,5,IF(E42&gt;=50*0.7,4,IF(E42&gt;=50*0.6,3.5,IF(E42&gt;=50*0.5,3,IF(E42&gt;=50*0.4,2,IF(E42&gt;=50*0.33,1,0))))))))</f>
        <v/>
      </c>
      <c r="X42">
        <f>IF(B42="","",IF(F42&lt;33.0,0,IF(F42&gt;=100*0.8,5,IF(F42&gt;=100*0.7,4,IF(F42&gt;=100*0.6,3.5,IF(F42&gt;=100*0.5,3,IF(F42&gt;=100*0.4,2,IF(F42&gt;=100*0.33,1,0))))))))</f>
        <v/>
      </c>
      <c r="Y42">
        <f>IF(B42="","",IF(G42&lt;16.5,0,IF(G42&gt;=50*0.8,5,IF(G42&gt;=50*0.7,4,IF(G42&gt;=50*0.6,3.5,IF(G42&gt;=50*0.5,3,IF(G42&gt;=50*0.4,2,IF(G42&gt;=50*0.33,1,0))))))))</f>
        <v/>
      </c>
      <c r="Z42">
        <f>IF(B42="","",IF(H42&lt;33.0,0,IF(H42&gt;=100*0.8,5,IF(H42&gt;=100*0.7,4,IF(H42&gt;=100*0.6,3.5,IF(H42&gt;=100*0.5,3,IF(H42&gt;=100*0.4,2,IF(H42&gt;=100*0.33,1,0))))))))</f>
        <v/>
      </c>
      <c r="AA42">
        <f>IF(B42="","",IF(I42&lt;33.0,0,IF(I42&gt;=100*0.8,5,IF(I42&gt;=100*0.7,4,IF(I42&gt;=100*0.6,3.5,IF(I42&gt;=100*0.5,3,IF(I42&gt;=100*0.4,2,IF(I42&gt;=100*0.33,1,0))))))))</f>
        <v/>
      </c>
      <c r="AB42">
        <f>IF(B42="","",IF(J42&lt;33.0,0,IF(J42&gt;=100*0.8,5,IF(J42&gt;=100*0.7,4,IF(J42&gt;=100*0.6,3.5,IF(J42&gt;=100*0.5,3,IF(J42&gt;=100*0.4,2,IF(J42&gt;=100*0.33,1,0))))))))</f>
        <v/>
      </c>
      <c r="AC42">
        <f>IF(B42="","",IF(K42&lt;33.0,0,IF(K42&gt;=100*0.8,5,IF(K42&gt;=100*0.7,4,IF(K42&gt;=100*0.6,3.5,IF(K42&gt;=100*0.5,3,IF(K42&gt;=100*0.4,2,IF(K42&gt;=100*0.33,1,0))))))))</f>
        <v/>
      </c>
      <c r="AD42">
        <f>IF(B42="","",IF(L42&lt;33.0,0,IF(L42&gt;=100*0.8,5,IF(L42&gt;=100*0.7,4,IF(L42&gt;=100*0.6,3.5,IF(L42&gt;=100*0.5,3,IF(L42&gt;=100*0.4,2,IF(L42&gt;=100*0.33,1,0))))))))</f>
        <v/>
      </c>
      <c r="AE42">
        <f>IF(B42="","",IF(M42&lt;33.0,0,IF(M42&gt;=100*0.8,5,IF(M42&gt;=100*0.7,4,IF(M42&gt;=100*0.6,3.5,IF(M42&gt;=100*0.5,3,IF(M42&gt;=100*0.4,2,IF(M42&gt;=100*0.33,1,0))))))))</f>
        <v/>
      </c>
      <c r="AF42">
        <f>IF(B42="","",IF(N42&lt;16.5,0,IF(N42&gt;=50*0.8,5,IF(N42&gt;=50*0.7,4,IF(N42&gt;=50*0.6,3.5,IF(N42&gt;=50*0.5,3,IF(N42&gt;=50*0.4,2,IF(N42&gt;=50*0.33,1,0))))))))</f>
        <v/>
      </c>
      <c r="AG42">
        <f>IF(B42="","",IF(O42&lt;33.0,0,IF(O42&gt;=100*0.8,5,IF(O42&gt;=100*0.7,4,IF(O42&gt;=100*0.6,3.5,IF(O42&gt;=100*0.5,3,IF(O42&gt;=100*0.4,2,IF(O42&gt;=100*0.33,1,0))))))))</f>
        <v/>
      </c>
      <c r="AH42">
        <f>IF(B42="","",IF(OR(U42=0,V42=0,W42=0,X42=0,Y42=0,Z42=0,AA42=0,AB42=0,AC42=0,AD42=0,AE42=0,AF42=0,AG42=0),1,0))</f>
        <v/>
      </c>
    </row>
    <row r="43">
      <c r="A43" s="3">
        <f>IF(B43="","",ROW()-2)</f>
        <v/>
      </c>
      <c r="P43" s="4">
        <f>IF(B43="","",SUM(C43:O43))</f>
        <v/>
      </c>
      <c r="Q43" s="5">
        <f>IF(B43="","",ROUND(P43/13,2))</f>
        <v/>
      </c>
      <c r="R43" s="5">
        <f>IF(B43="","",IF(AH43=1,0,MIN(5,ROUND((U43+V43+W43+X43+Y43+Z43+AA43+AB43+AC43+AD43+AE43+AF43+AG43)/13,2))))</f>
        <v/>
      </c>
      <c r="S43" s="3">
        <f>IF(B43="","",IF(R43&gt;=5,"A+",IF(R43&gt;=4,"A",IF(R43&gt;=3.5,"A-",IF(R43&gt;=3,"B",IF(R43&gt;=2,"C",IF(R43&gt;=1,"D","F")))))))</f>
        <v/>
      </c>
      <c r="T43" s="3">
        <f>IF(OR(B43="",S43="F"),"",COUNTIFS(P:P,"&gt;"&amp;P43,S:S,"&lt;&gt;F")+1)</f>
        <v/>
      </c>
      <c r="U43">
        <f>IF(B43="","",IF(C43&lt;33.0,0,IF(C43&gt;=100*0.8,5,IF(C43&gt;=100*0.7,4,IF(C43&gt;=100*0.6,3.5,IF(C43&gt;=100*0.5,3,IF(C43&gt;=100*0.4,2,IF(C43&gt;=100*0.33,1,0))))))))</f>
        <v/>
      </c>
      <c r="V43">
        <f>IF(B43="","",IF(D43&lt;33.0,0,IF(D43&gt;=100*0.8,5,IF(D43&gt;=100*0.7,4,IF(D43&gt;=100*0.6,3.5,IF(D43&gt;=100*0.5,3,IF(D43&gt;=100*0.4,2,IF(D43&gt;=100*0.33,1,0))))))))</f>
        <v/>
      </c>
      <c r="W43">
        <f>IF(B43="","",IF(E43&lt;16.5,0,IF(E43&gt;=50*0.8,5,IF(E43&gt;=50*0.7,4,IF(E43&gt;=50*0.6,3.5,IF(E43&gt;=50*0.5,3,IF(E43&gt;=50*0.4,2,IF(E43&gt;=50*0.33,1,0))))))))</f>
        <v/>
      </c>
      <c r="X43">
        <f>IF(B43="","",IF(F43&lt;33.0,0,IF(F43&gt;=100*0.8,5,IF(F43&gt;=100*0.7,4,IF(F43&gt;=100*0.6,3.5,IF(F43&gt;=100*0.5,3,IF(F43&gt;=100*0.4,2,IF(F43&gt;=100*0.33,1,0))))))))</f>
        <v/>
      </c>
      <c r="Y43">
        <f>IF(B43="","",IF(G43&lt;16.5,0,IF(G43&gt;=50*0.8,5,IF(G43&gt;=50*0.7,4,IF(G43&gt;=50*0.6,3.5,IF(G43&gt;=50*0.5,3,IF(G43&gt;=50*0.4,2,IF(G43&gt;=50*0.33,1,0))))))))</f>
        <v/>
      </c>
      <c r="Z43">
        <f>IF(B43="","",IF(H43&lt;33.0,0,IF(H43&gt;=100*0.8,5,IF(H43&gt;=100*0.7,4,IF(H43&gt;=100*0.6,3.5,IF(H43&gt;=100*0.5,3,IF(H43&gt;=100*0.4,2,IF(H43&gt;=100*0.33,1,0))))))))</f>
        <v/>
      </c>
      <c r="AA43">
        <f>IF(B43="","",IF(I43&lt;33.0,0,IF(I43&gt;=100*0.8,5,IF(I43&gt;=100*0.7,4,IF(I43&gt;=100*0.6,3.5,IF(I43&gt;=100*0.5,3,IF(I43&gt;=100*0.4,2,IF(I43&gt;=100*0.33,1,0))))))))</f>
        <v/>
      </c>
      <c r="AB43">
        <f>IF(B43="","",IF(J43&lt;33.0,0,IF(J43&gt;=100*0.8,5,IF(J43&gt;=100*0.7,4,IF(J43&gt;=100*0.6,3.5,IF(J43&gt;=100*0.5,3,IF(J43&gt;=100*0.4,2,IF(J43&gt;=100*0.33,1,0))))))))</f>
        <v/>
      </c>
      <c r="AC43">
        <f>IF(B43="","",IF(K43&lt;33.0,0,IF(K43&gt;=100*0.8,5,IF(K43&gt;=100*0.7,4,IF(K43&gt;=100*0.6,3.5,IF(K43&gt;=100*0.5,3,IF(K43&gt;=100*0.4,2,IF(K43&gt;=100*0.33,1,0))))))))</f>
        <v/>
      </c>
      <c r="AD43">
        <f>IF(B43="","",IF(L43&lt;33.0,0,IF(L43&gt;=100*0.8,5,IF(L43&gt;=100*0.7,4,IF(L43&gt;=100*0.6,3.5,IF(L43&gt;=100*0.5,3,IF(L43&gt;=100*0.4,2,IF(L43&gt;=100*0.33,1,0))))))))</f>
        <v/>
      </c>
      <c r="AE43">
        <f>IF(B43="","",IF(M43&lt;33.0,0,IF(M43&gt;=100*0.8,5,IF(M43&gt;=100*0.7,4,IF(M43&gt;=100*0.6,3.5,IF(M43&gt;=100*0.5,3,IF(M43&gt;=100*0.4,2,IF(M43&gt;=100*0.33,1,0))))))))</f>
        <v/>
      </c>
      <c r="AF43">
        <f>IF(B43="","",IF(N43&lt;16.5,0,IF(N43&gt;=50*0.8,5,IF(N43&gt;=50*0.7,4,IF(N43&gt;=50*0.6,3.5,IF(N43&gt;=50*0.5,3,IF(N43&gt;=50*0.4,2,IF(N43&gt;=50*0.33,1,0))))))))</f>
        <v/>
      </c>
      <c r="AG43">
        <f>IF(B43="","",IF(O43&lt;33.0,0,IF(O43&gt;=100*0.8,5,IF(O43&gt;=100*0.7,4,IF(O43&gt;=100*0.6,3.5,IF(O43&gt;=100*0.5,3,IF(O43&gt;=100*0.4,2,IF(O43&gt;=100*0.33,1,0))))))))</f>
        <v/>
      </c>
      <c r="AH43">
        <f>IF(B43="","",IF(OR(U43=0,V43=0,W43=0,X43=0,Y43=0,Z43=0,AA43=0,AB43=0,AC43=0,AD43=0,AE43=0,AF43=0,AG43=0),1,0))</f>
        <v/>
      </c>
    </row>
    <row r="44">
      <c r="A44" s="3">
        <f>IF(B44="","",ROW()-2)</f>
        <v/>
      </c>
      <c r="P44" s="4">
        <f>IF(B44="","",SUM(C44:O44))</f>
        <v/>
      </c>
      <c r="Q44" s="5">
        <f>IF(B44="","",ROUND(P44/13,2))</f>
        <v/>
      </c>
      <c r="R44" s="5">
        <f>IF(B44="","",IF(AH44=1,0,MIN(5,ROUND((U44+V44+W44+X44+Y44+Z44+AA44+AB44+AC44+AD44+AE44+AF44+AG44)/13,2))))</f>
        <v/>
      </c>
      <c r="S44" s="3">
        <f>IF(B44="","",IF(R44&gt;=5,"A+",IF(R44&gt;=4,"A",IF(R44&gt;=3.5,"A-",IF(R44&gt;=3,"B",IF(R44&gt;=2,"C",IF(R44&gt;=1,"D","F")))))))</f>
        <v/>
      </c>
      <c r="T44" s="3">
        <f>IF(OR(B44="",S44="F"),"",COUNTIFS(P:P,"&gt;"&amp;P44,S:S,"&lt;&gt;F")+1)</f>
        <v/>
      </c>
      <c r="U44">
        <f>IF(B44="","",IF(C44&lt;33.0,0,IF(C44&gt;=100*0.8,5,IF(C44&gt;=100*0.7,4,IF(C44&gt;=100*0.6,3.5,IF(C44&gt;=100*0.5,3,IF(C44&gt;=100*0.4,2,IF(C44&gt;=100*0.33,1,0))))))))</f>
        <v/>
      </c>
      <c r="V44">
        <f>IF(B44="","",IF(D44&lt;33.0,0,IF(D44&gt;=100*0.8,5,IF(D44&gt;=100*0.7,4,IF(D44&gt;=100*0.6,3.5,IF(D44&gt;=100*0.5,3,IF(D44&gt;=100*0.4,2,IF(D44&gt;=100*0.33,1,0))))))))</f>
        <v/>
      </c>
      <c r="W44">
        <f>IF(B44="","",IF(E44&lt;16.5,0,IF(E44&gt;=50*0.8,5,IF(E44&gt;=50*0.7,4,IF(E44&gt;=50*0.6,3.5,IF(E44&gt;=50*0.5,3,IF(E44&gt;=50*0.4,2,IF(E44&gt;=50*0.33,1,0))))))))</f>
        <v/>
      </c>
      <c r="X44">
        <f>IF(B44="","",IF(F44&lt;33.0,0,IF(F44&gt;=100*0.8,5,IF(F44&gt;=100*0.7,4,IF(F44&gt;=100*0.6,3.5,IF(F44&gt;=100*0.5,3,IF(F44&gt;=100*0.4,2,IF(F44&gt;=100*0.33,1,0))))))))</f>
        <v/>
      </c>
      <c r="Y44">
        <f>IF(B44="","",IF(G44&lt;16.5,0,IF(G44&gt;=50*0.8,5,IF(G44&gt;=50*0.7,4,IF(G44&gt;=50*0.6,3.5,IF(G44&gt;=50*0.5,3,IF(G44&gt;=50*0.4,2,IF(G44&gt;=50*0.33,1,0))))))))</f>
        <v/>
      </c>
      <c r="Z44">
        <f>IF(B44="","",IF(H44&lt;33.0,0,IF(H44&gt;=100*0.8,5,IF(H44&gt;=100*0.7,4,IF(H44&gt;=100*0.6,3.5,IF(H44&gt;=100*0.5,3,IF(H44&gt;=100*0.4,2,IF(H44&gt;=100*0.33,1,0))))))))</f>
        <v/>
      </c>
      <c r="AA44">
        <f>IF(B44="","",IF(I44&lt;33.0,0,IF(I44&gt;=100*0.8,5,IF(I44&gt;=100*0.7,4,IF(I44&gt;=100*0.6,3.5,IF(I44&gt;=100*0.5,3,IF(I44&gt;=100*0.4,2,IF(I44&gt;=100*0.33,1,0))))))))</f>
        <v/>
      </c>
      <c r="AB44">
        <f>IF(B44="","",IF(J44&lt;33.0,0,IF(J44&gt;=100*0.8,5,IF(J44&gt;=100*0.7,4,IF(J44&gt;=100*0.6,3.5,IF(J44&gt;=100*0.5,3,IF(J44&gt;=100*0.4,2,IF(J44&gt;=100*0.33,1,0))))))))</f>
        <v/>
      </c>
      <c r="AC44">
        <f>IF(B44="","",IF(K44&lt;33.0,0,IF(K44&gt;=100*0.8,5,IF(K44&gt;=100*0.7,4,IF(K44&gt;=100*0.6,3.5,IF(K44&gt;=100*0.5,3,IF(K44&gt;=100*0.4,2,IF(K44&gt;=100*0.33,1,0))))))))</f>
        <v/>
      </c>
      <c r="AD44">
        <f>IF(B44="","",IF(L44&lt;33.0,0,IF(L44&gt;=100*0.8,5,IF(L44&gt;=100*0.7,4,IF(L44&gt;=100*0.6,3.5,IF(L44&gt;=100*0.5,3,IF(L44&gt;=100*0.4,2,IF(L44&gt;=100*0.33,1,0))))))))</f>
        <v/>
      </c>
      <c r="AE44">
        <f>IF(B44="","",IF(M44&lt;33.0,0,IF(M44&gt;=100*0.8,5,IF(M44&gt;=100*0.7,4,IF(M44&gt;=100*0.6,3.5,IF(M44&gt;=100*0.5,3,IF(M44&gt;=100*0.4,2,IF(M44&gt;=100*0.33,1,0))))))))</f>
        <v/>
      </c>
      <c r="AF44">
        <f>IF(B44="","",IF(N44&lt;16.5,0,IF(N44&gt;=50*0.8,5,IF(N44&gt;=50*0.7,4,IF(N44&gt;=50*0.6,3.5,IF(N44&gt;=50*0.5,3,IF(N44&gt;=50*0.4,2,IF(N44&gt;=50*0.33,1,0))))))))</f>
        <v/>
      </c>
      <c r="AG44">
        <f>IF(B44="","",IF(O44&lt;33.0,0,IF(O44&gt;=100*0.8,5,IF(O44&gt;=100*0.7,4,IF(O44&gt;=100*0.6,3.5,IF(O44&gt;=100*0.5,3,IF(O44&gt;=100*0.4,2,IF(O44&gt;=100*0.33,1,0))))))))</f>
        <v/>
      </c>
      <c r="AH44">
        <f>IF(B44="","",IF(OR(U44=0,V44=0,W44=0,X44=0,Y44=0,Z44=0,AA44=0,AB44=0,AC44=0,AD44=0,AE44=0,AF44=0,AG44=0),1,0))</f>
        <v/>
      </c>
    </row>
    <row r="45">
      <c r="A45" s="3">
        <f>IF(B45="","",ROW()-2)</f>
        <v/>
      </c>
      <c r="P45" s="4">
        <f>IF(B45="","",SUM(C45:O45))</f>
        <v/>
      </c>
      <c r="Q45" s="5">
        <f>IF(B45="","",ROUND(P45/13,2))</f>
        <v/>
      </c>
      <c r="R45" s="5">
        <f>IF(B45="","",IF(AH45=1,0,MIN(5,ROUND((U45+V45+W45+X45+Y45+Z45+AA45+AB45+AC45+AD45+AE45+AF45+AG45)/13,2))))</f>
        <v/>
      </c>
      <c r="S45" s="3">
        <f>IF(B45="","",IF(R45&gt;=5,"A+",IF(R45&gt;=4,"A",IF(R45&gt;=3.5,"A-",IF(R45&gt;=3,"B",IF(R45&gt;=2,"C",IF(R45&gt;=1,"D","F")))))))</f>
        <v/>
      </c>
      <c r="T45" s="3">
        <f>IF(OR(B45="",S45="F"),"",COUNTIFS(P:P,"&gt;"&amp;P45,S:S,"&lt;&gt;F")+1)</f>
        <v/>
      </c>
      <c r="U45">
        <f>IF(B45="","",IF(C45&lt;33.0,0,IF(C45&gt;=100*0.8,5,IF(C45&gt;=100*0.7,4,IF(C45&gt;=100*0.6,3.5,IF(C45&gt;=100*0.5,3,IF(C45&gt;=100*0.4,2,IF(C45&gt;=100*0.33,1,0))))))))</f>
        <v/>
      </c>
      <c r="V45">
        <f>IF(B45="","",IF(D45&lt;33.0,0,IF(D45&gt;=100*0.8,5,IF(D45&gt;=100*0.7,4,IF(D45&gt;=100*0.6,3.5,IF(D45&gt;=100*0.5,3,IF(D45&gt;=100*0.4,2,IF(D45&gt;=100*0.33,1,0))))))))</f>
        <v/>
      </c>
      <c r="W45">
        <f>IF(B45="","",IF(E45&lt;16.5,0,IF(E45&gt;=50*0.8,5,IF(E45&gt;=50*0.7,4,IF(E45&gt;=50*0.6,3.5,IF(E45&gt;=50*0.5,3,IF(E45&gt;=50*0.4,2,IF(E45&gt;=50*0.33,1,0))))))))</f>
        <v/>
      </c>
      <c r="X45">
        <f>IF(B45="","",IF(F45&lt;33.0,0,IF(F45&gt;=100*0.8,5,IF(F45&gt;=100*0.7,4,IF(F45&gt;=100*0.6,3.5,IF(F45&gt;=100*0.5,3,IF(F45&gt;=100*0.4,2,IF(F45&gt;=100*0.33,1,0))))))))</f>
        <v/>
      </c>
      <c r="Y45">
        <f>IF(B45="","",IF(G45&lt;16.5,0,IF(G45&gt;=50*0.8,5,IF(G45&gt;=50*0.7,4,IF(G45&gt;=50*0.6,3.5,IF(G45&gt;=50*0.5,3,IF(G45&gt;=50*0.4,2,IF(G45&gt;=50*0.33,1,0))))))))</f>
        <v/>
      </c>
      <c r="Z45">
        <f>IF(B45="","",IF(H45&lt;33.0,0,IF(H45&gt;=100*0.8,5,IF(H45&gt;=100*0.7,4,IF(H45&gt;=100*0.6,3.5,IF(H45&gt;=100*0.5,3,IF(H45&gt;=100*0.4,2,IF(H45&gt;=100*0.33,1,0))))))))</f>
        <v/>
      </c>
      <c r="AA45">
        <f>IF(B45="","",IF(I45&lt;33.0,0,IF(I45&gt;=100*0.8,5,IF(I45&gt;=100*0.7,4,IF(I45&gt;=100*0.6,3.5,IF(I45&gt;=100*0.5,3,IF(I45&gt;=100*0.4,2,IF(I45&gt;=100*0.33,1,0))))))))</f>
        <v/>
      </c>
      <c r="AB45">
        <f>IF(B45="","",IF(J45&lt;33.0,0,IF(J45&gt;=100*0.8,5,IF(J45&gt;=100*0.7,4,IF(J45&gt;=100*0.6,3.5,IF(J45&gt;=100*0.5,3,IF(J45&gt;=100*0.4,2,IF(J45&gt;=100*0.33,1,0))))))))</f>
        <v/>
      </c>
      <c r="AC45">
        <f>IF(B45="","",IF(K45&lt;33.0,0,IF(K45&gt;=100*0.8,5,IF(K45&gt;=100*0.7,4,IF(K45&gt;=100*0.6,3.5,IF(K45&gt;=100*0.5,3,IF(K45&gt;=100*0.4,2,IF(K45&gt;=100*0.33,1,0))))))))</f>
        <v/>
      </c>
      <c r="AD45">
        <f>IF(B45="","",IF(L45&lt;33.0,0,IF(L45&gt;=100*0.8,5,IF(L45&gt;=100*0.7,4,IF(L45&gt;=100*0.6,3.5,IF(L45&gt;=100*0.5,3,IF(L45&gt;=100*0.4,2,IF(L45&gt;=100*0.33,1,0))))))))</f>
        <v/>
      </c>
      <c r="AE45">
        <f>IF(B45="","",IF(M45&lt;33.0,0,IF(M45&gt;=100*0.8,5,IF(M45&gt;=100*0.7,4,IF(M45&gt;=100*0.6,3.5,IF(M45&gt;=100*0.5,3,IF(M45&gt;=100*0.4,2,IF(M45&gt;=100*0.33,1,0))))))))</f>
        <v/>
      </c>
      <c r="AF45">
        <f>IF(B45="","",IF(N45&lt;16.5,0,IF(N45&gt;=50*0.8,5,IF(N45&gt;=50*0.7,4,IF(N45&gt;=50*0.6,3.5,IF(N45&gt;=50*0.5,3,IF(N45&gt;=50*0.4,2,IF(N45&gt;=50*0.33,1,0))))))))</f>
        <v/>
      </c>
      <c r="AG45">
        <f>IF(B45="","",IF(O45&lt;33.0,0,IF(O45&gt;=100*0.8,5,IF(O45&gt;=100*0.7,4,IF(O45&gt;=100*0.6,3.5,IF(O45&gt;=100*0.5,3,IF(O45&gt;=100*0.4,2,IF(O45&gt;=100*0.33,1,0))))))))</f>
        <v/>
      </c>
      <c r="AH45">
        <f>IF(B45="","",IF(OR(U45=0,V45=0,W45=0,X45=0,Y45=0,Z45=0,AA45=0,AB45=0,AC45=0,AD45=0,AE45=0,AF45=0,AG45=0),1,0))</f>
        <v/>
      </c>
    </row>
    <row r="46">
      <c r="A46" s="3">
        <f>IF(B46="","",ROW()-2)</f>
        <v/>
      </c>
      <c r="P46" s="4">
        <f>IF(B46="","",SUM(C46:O46))</f>
        <v/>
      </c>
      <c r="Q46" s="5">
        <f>IF(B46="","",ROUND(P46/13,2))</f>
        <v/>
      </c>
      <c r="R46" s="5">
        <f>IF(B46="","",IF(AH46=1,0,MIN(5,ROUND((U46+V46+W46+X46+Y46+Z46+AA46+AB46+AC46+AD46+AE46+AF46+AG46)/13,2))))</f>
        <v/>
      </c>
      <c r="S46" s="3">
        <f>IF(B46="","",IF(R46&gt;=5,"A+",IF(R46&gt;=4,"A",IF(R46&gt;=3.5,"A-",IF(R46&gt;=3,"B",IF(R46&gt;=2,"C",IF(R46&gt;=1,"D","F")))))))</f>
        <v/>
      </c>
      <c r="T46" s="3">
        <f>IF(OR(B46="",S46="F"),"",COUNTIFS(P:P,"&gt;"&amp;P46,S:S,"&lt;&gt;F")+1)</f>
        <v/>
      </c>
      <c r="U46">
        <f>IF(B46="","",IF(C46&lt;33.0,0,IF(C46&gt;=100*0.8,5,IF(C46&gt;=100*0.7,4,IF(C46&gt;=100*0.6,3.5,IF(C46&gt;=100*0.5,3,IF(C46&gt;=100*0.4,2,IF(C46&gt;=100*0.33,1,0))))))))</f>
        <v/>
      </c>
      <c r="V46">
        <f>IF(B46="","",IF(D46&lt;33.0,0,IF(D46&gt;=100*0.8,5,IF(D46&gt;=100*0.7,4,IF(D46&gt;=100*0.6,3.5,IF(D46&gt;=100*0.5,3,IF(D46&gt;=100*0.4,2,IF(D46&gt;=100*0.33,1,0))))))))</f>
        <v/>
      </c>
      <c r="W46">
        <f>IF(B46="","",IF(E46&lt;16.5,0,IF(E46&gt;=50*0.8,5,IF(E46&gt;=50*0.7,4,IF(E46&gt;=50*0.6,3.5,IF(E46&gt;=50*0.5,3,IF(E46&gt;=50*0.4,2,IF(E46&gt;=50*0.33,1,0))))))))</f>
        <v/>
      </c>
      <c r="X46">
        <f>IF(B46="","",IF(F46&lt;33.0,0,IF(F46&gt;=100*0.8,5,IF(F46&gt;=100*0.7,4,IF(F46&gt;=100*0.6,3.5,IF(F46&gt;=100*0.5,3,IF(F46&gt;=100*0.4,2,IF(F46&gt;=100*0.33,1,0))))))))</f>
        <v/>
      </c>
      <c r="Y46">
        <f>IF(B46="","",IF(G46&lt;16.5,0,IF(G46&gt;=50*0.8,5,IF(G46&gt;=50*0.7,4,IF(G46&gt;=50*0.6,3.5,IF(G46&gt;=50*0.5,3,IF(G46&gt;=50*0.4,2,IF(G46&gt;=50*0.33,1,0))))))))</f>
        <v/>
      </c>
      <c r="Z46">
        <f>IF(B46="","",IF(H46&lt;33.0,0,IF(H46&gt;=100*0.8,5,IF(H46&gt;=100*0.7,4,IF(H46&gt;=100*0.6,3.5,IF(H46&gt;=100*0.5,3,IF(H46&gt;=100*0.4,2,IF(H46&gt;=100*0.33,1,0))))))))</f>
        <v/>
      </c>
      <c r="AA46">
        <f>IF(B46="","",IF(I46&lt;33.0,0,IF(I46&gt;=100*0.8,5,IF(I46&gt;=100*0.7,4,IF(I46&gt;=100*0.6,3.5,IF(I46&gt;=100*0.5,3,IF(I46&gt;=100*0.4,2,IF(I46&gt;=100*0.33,1,0))))))))</f>
        <v/>
      </c>
      <c r="AB46">
        <f>IF(B46="","",IF(J46&lt;33.0,0,IF(J46&gt;=100*0.8,5,IF(J46&gt;=100*0.7,4,IF(J46&gt;=100*0.6,3.5,IF(J46&gt;=100*0.5,3,IF(J46&gt;=100*0.4,2,IF(J46&gt;=100*0.33,1,0))))))))</f>
        <v/>
      </c>
      <c r="AC46">
        <f>IF(B46="","",IF(K46&lt;33.0,0,IF(K46&gt;=100*0.8,5,IF(K46&gt;=100*0.7,4,IF(K46&gt;=100*0.6,3.5,IF(K46&gt;=100*0.5,3,IF(K46&gt;=100*0.4,2,IF(K46&gt;=100*0.33,1,0))))))))</f>
        <v/>
      </c>
      <c r="AD46">
        <f>IF(B46="","",IF(L46&lt;33.0,0,IF(L46&gt;=100*0.8,5,IF(L46&gt;=100*0.7,4,IF(L46&gt;=100*0.6,3.5,IF(L46&gt;=100*0.5,3,IF(L46&gt;=100*0.4,2,IF(L46&gt;=100*0.33,1,0))))))))</f>
        <v/>
      </c>
      <c r="AE46">
        <f>IF(B46="","",IF(M46&lt;33.0,0,IF(M46&gt;=100*0.8,5,IF(M46&gt;=100*0.7,4,IF(M46&gt;=100*0.6,3.5,IF(M46&gt;=100*0.5,3,IF(M46&gt;=100*0.4,2,IF(M46&gt;=100*0.33,1,0))))))))</f>
        <v/>
      </c>
      <c r="AF46">
        <f>IF(B46="","",IF(N46&lt;16.5,0,IF(N46&gt;=50*0.8,5,IF(N46&gt;=50*0.7,4,IF(N46&gt;=50*0.6,3.5,IF(N46&gt;=50*0.5,3,IF(N46&gt;=50*0.4,2,IF(N46&gt;=50*0.33,1,0))))))))</f>
        <v/>
      </c>
      <c r="AG46">
        <f>IF(B46="","",IF(O46&lt;33.0,0,IF(O46&gt;=100*0.8,5,IF(O46&gt;=100*0.7,4,IF(O46&gt;=100*0.6,3.5,IF(O46&gt;=100*0.5,3,IF(O46&gt;=100*0.4,2,IF(O46&gt;=100*0.33,1,0))))))))</f>
        <v/>
      </c>
      <c r="AH46">
        <f>IF(B46="","",IF(OR(U46=0,V46=0,W46=0,X46=0,Y46=0,Z46=0,AA46=0,AB46=0,AC46=0,AD46=0,AE46=0,AF46=0,AG46=0),1,0))</f>
        <v/>
      </c>
    </row>
    <row r="47">
      <c r="A47" s="3">
        <f>IF(B47="","",ROW()-2)</f>
        <v/>
      </c>
      <c r="P47" s="4">
        <f>IF(B47="","",SUM(C47:O47))</f>
        <v/>
      </c>
      <c r="Q47" s="5">
        <f>IF(B47="","",ROUND(P47/13,2))</f>
        <v/>
      </c>
      <c r="R47" s="5">
        <f>IF(B47="","",IF(AH47=1,0,MIN(5,ROUND((U47+V47+W47+X47+Y47+Z47+AA47+AB47+AC47+AD47+AE47+AF47+AG47)/13,2))))</f>
        <v/>
      </c>
      <c r="S47" s="3">
        <f>IF(B47="","",IF(R47&gt;=5,"A+",IF(R47&gt;=4,"A",IF(R47&gt;=3.5,"A-",IF(R47&gt;=3,"B",IF(R47&gt;=2,"C",IF(R47&gt;=1,"D","F")))))))</f>
        <v/>
      </c>
      <c r="T47" s="3">
        <f>IF(OR(B47="",S47="F"),"",COUNTIFS(P:P,"&gt;"&amp;P47,S:S,"&lt;&gt;F")+1)</f>
        <v/>
      </c>
      <c r="U47">
        <f>IF(B47="","",IF(C47&lt;33.0,0,IF(C47&gt;=100*0.8,5,IF(C47&gt;=100*0.7,4,IF(C47&gt;=100*0.6,3.5,IF(C47&gt;=100*0.5,3,IF(C47&gt;=100*0.4,2,IF(C47&gt;=100*0.33,1,0))))))))</f>
        <v/>
      </c>
      <c r="V47">
        <f>IF(B47="","",IF(D47&lt;33.0,0,IF(D47&gt;=100*0.8,5,IF(D47&gt;=100*0.7,4,IF(D47&gt;=100*0.6,3.5,IF(D47&gt;=100*0.5,3,IF(D47&gt;=100*0.4,2,IF(D47&gt;=100*0.33,1,0))))))))</f>
        <v/>
      </c>
      <c r="W47">
        <f>IF(B47="","",IF(E47&lt;16.5,0,IF(E47&gt;=50*0.8,5,IF(E47&gt;=50*0.7,4,IF(E47&gt;=50*0.6,3.5,IF(E47&gt;=50*0.5,3,IF(E47&gt;=50*0.4,2,IF(E47&gt;=50*0.33,1,0))))))))</f>
        <v/>
      </c>
      <c r="X47">
        <f>IF(B47="","",IF(F47&lt;33.0,0,IF(F47&gt;=100*0.8,5,IF(F47&gt;=100*0.7,4,IF(F47&gt;=100*0.6,3.5,IF(F47&gt;=100*0.5,3,IF(F47&gt;=100*0.4,2,IF(F47&gt;=100*0.33,1,0))))))))</f>
        <v/>
      </c>
      <c r="Y47">
        <f>IF(B47="","",IF(G47&lt;16.5,0,IF(G47&gt;=50*0.8,5,IF(G47&gt;=50*0.7,4,IF(G47&gt;=50*0.6,3.5,IF(G47&gt;=50*0.5,3,IF(G47&gt;=50*0.4,2,IF(G47&gt;=50*0.33,1,0))))))))</f>
        <v/>
      </c>
      <c r="Z47">
        <f>IF(B47="","",IF(H47&lt;33.0,0,IF(H47&gt;=100*0.8,5,IF(H47&gt;=100*0.7,4,IF(H47&gt;=100*0.6,3.5,IF(H47&gt;=100*0.5,3,IF(H47&gt;=100*0.4,2,IF(H47&gt;=100*0.33,1,0))))))))</f>
        <v/>
      </c>
      <c r="AA47">
        <f>IF(B47="","",IF(I47&lt;33.0,0,IF(I47&gt;=100*0.8,5,IF(I47&gt;=100*0.7,4,IF(I47&gt;=100*0.6,3.5,IF(I47&gt;=100*0.5,3,IF(I47&gt;=100*0.4,2,IF(I47&gt;=100*0.33,1,0))))))))</f>
        <v/>
      </c>
      <c r="AB47">
        <f>IF(B47="","",IF(J47&lt;33.0,0,IF(J47&gt;=100*0.8,5,IF(J47&gt;=100*0.7,4,IF(J47&gt;=100*0.6,3.5,IF(J47&gt;=100*0.5,3,IF(J47&gt;=100*0.4,2,IF(J47&gt;=100*0.33,1,0))))))))</f>
        <v/>
      </c>
      <c r="AC47">
        <f>IF(B47="","",IF(K47&lt;33.0,0,IF(K47&gt;=100*0.8,5,IF(K47&gt;=100*0.7,4,IF(K47&gt;=100*0.6,3.5,IF(K47&gt;=100*0.5,3,IF(K47&gt;=100*0.4,2,IF(K47&gt;=100*0.33,1,0))))))))</f>
        <v/>
      </c>
      <c r="AD47">
        <f>IF(B47="","",IF(L47&lt;33.0,0,IF(L47&gt;=100*0.8,5,IF(L47&gt;=100*0.7,4,IF(L47&gt;=100*0.6,3.5,IF(L47&gt;=100*0.5,3,IF(L47&gt;=100*0.4,2,IF(L47&gt;=100*0.33,1,0))))))))</f>
        <v/>
      </c>
      <c r="AE47">
        <f>IF(B47="","",IF(M47&lt;33.0,0,IF(M47&gt;=100*0.8,5,IF(M47&gt;=100*0.7,4,IF(M47&gt;=100*0.6,3.5,IF(M47&gt;=100*0.5,3,IF(M47&gt;=100*0.4,2,IF(M47&gt;=100*0.33,1,0))))))))</f>
        <v/>
      </c>
      <c r="AF47">
        <f>IF(B47="","",IF(N47&lt;16.5,0,IF(N47&gt;=50*0.8,5,IF(N47&gt;=50*0.7,4,IF(N47&gt;=50*0.6,3.5,IF(N47&gt;=50*0.5,3,IF(N47&gt;=50*0.4,2,IF(N47&gt;=50*0.33,1,0))))))))</f>
        <v/>
      </c>
      <c r="AG47">
        <f>IF(B47="","",IF(O47&lt;33.0,0,IF(O47&gt;=100*0.8,5,IF(O47&gt;=100*0.7,4,IF(O47&gt;=100*0.6,3.5,IF(O47&gt;=100*0.5,3,IF(O47&gt;=100*0.4,2,IF(O47&gt;=100*0.33,1,0))))))))</f>
        <v/>
      </c>
      <c r="AH47">
        <f>IF(B47="","",IF(OR(U47=0,V47=0,W47=0,X47=0,Y47=0,Z47=0,AA47=0,AB47=0,AC47=0,AD47=0,AE47=0,AF47=0,AG47=0),1,0))</f>
        <v/>
      </c>
    </row>
    <row r="48">
      <c r="A48" s="3">
        <f>IF(B48="","",ROW()-2)</f>
        <v/>
      </c>
      <c r="P48" s="4">
        <f>IF(B48="","",SUM(C48:O48))</f>
        <v/>
      </c>
      <c r="Q48" s="5">
        <f>IF(B48="","",ROUND(P48/13,2))</f>
        <v/>
      </c>
      <c r="R48" s="5">
        <f>IF(B48="","",IF(AH48=1,0,MIN(5,ROUND((U48+V48+W48+X48+Y48+Z48+AA48+AB48+AC48+AD48+AE48+AF48+AG48)/13,2))))</f>
        <v/>
      </c>
      <c r="S48" s="3">
        <f>IF(B48="","",IF(R48&gt;=5,"A+",IF(R48&gt;=4,"A",IF(R48&gt;=3.5,"A-",IF(R48&gt;=3,"B",IF(R48&gt;=2,"C",IF(R48&gt;=1,"D","F")))))))</f>
        <v/>
      </c>
      <c r="T48" s="3">
        <f>IF(OR(B48="",S48="F"),"",COUNTIFS(P:P,"&gt;"&amp;P48,S:S,"&lt;&gt;F")+1)</f>
        <v/>
      </c>
      <c r="U48">
        <f>IF(B48="","",IF(C48&lt;33.0,0,IF(C48&gt;=100*0.8,5,IF(C48&gt;=100*0.7,4,IF(C48&gt;=100*0.6,3.5,IF(C48&gt;=100*0.5,3,IF(C48&gt;=100*0.4,2,IF(C48&gt;=100*0.33,1,0))))))))</f>
        <v/>
      </c>
      <c r="V48">
        <f>IF(B48="","",IF(D48&lt;33.0,0,IF(D48&gt;=100*0.8,5,IF(D48&gt;=100*0.7,4,IF(D48&gt;=100*0.6,3.5,IF(D48&gt;=100*0.5,3,IF(D48&gt;=100*0.4,2,IF(D48&gt;=100*0.33,1,0))))))))</f>
        <v/>
      </c>
      <c r="W48">
        <f>IF(B48="","",IF(E48&lt;16.5,0,IF(E48&gt;=50*0.8,5,IF(E48&gt;=50*0.7,4,IF(E48&gt;=50*0.6,3.5,IF(E48&gt;=50*0.5,3,IF(E48&gt;=50*0.4,2,IF(E48&gt;=50*0.33,1,0))))))))</f>
        <v/>
      </c>
      <c r="X48">
        <f>IF(B48="","",IF(F48&lt;33.0,0,IF(F48&gt;=100*0.8,5,IF(F48&gt;=100*0.7,4,IF(F48&gt;=100*0.6,3.5,IF(F48&gt;=100*0.5,3,IF(F48&gt;=100*0.4,2,IF(F48&gt;=100*0.33,1,0))))))))</f>
        <v/>
      </c>
      <c r="Y48">
        <f>IF(B48="","",IF(G48&lt;16.5,0,IF(G48&gt;=50*0.8,5,IF(G48&gt;=50*0.7,4,IF(G48&gt;=50*0.6,3.5,IF(G48&gt;=50*0.5,3,IF(G48&gt;=50*0.4,2,IF(G48&gt;=50*0.33,1,0))))))))</f>
        <v/>
      </c>
      <c r="Z48">
        <f>IF(B48="","",IF(H48&lt;33.0,0,IF(H48&gt;=100*0.8,5,IF(H48&gt;=100*0.7,4,IF(H48&gt;=100*0.6,3.5,IF(H48&gt;=100*0.5,3,IF(H48&gt;=100*0.4,2,IF(H48&gt;=100*0.33,1,0))))))))</f>
        <v/>
      </c>
      <c r="AA48">
        <f>IF(B48="","",IF(I48&lt;33.0,0,IF(I48&gt;=100*0.8,5,IF(I48&gt;=100*0.7,4,IF(I48&gt;=100*0.6,3.5,IF(I48&gt;=100*0.5,3,IF(I48&gt;=100*0.4,2,IF(I48&gt;=100*0.33,1,0))))))))</f>
        <v/>
      </c>
      <c r="AB48">
        <f>IF(B48="","",IF(J48&lt;33.0,0,IF(J48&gt;=100*0.8,5,IF(J48&gt;=100*0.7,4,IF(J48&gt;=100*0.6,3.5,IF(J48&gt;=100*0.5,3,IF(J48&gt;=100*0.4,2,IF(J48&gt;=100*0.33,1,0))))))))</f>
        <v/>
      </c>
      <c r="AC48">
        <f>IF(B48="","",IF(K48&lt;33.0,0,IF(K48&gt;=100*0.8,5,IF(K48&gt;=100*0.7,4,IF(K48&gt;=100*0.6,3.5,IF(K48&gt;=100*0.5,3,IF(K48&gt;=100*0.4,2,IF(K48&gt;=100*0.33,1,0))))))))</f>
        <v/>
      </c>
      <c r="AD48">
        <f>IF(B48="","",IF(L48&lt;33.0,0,IF(L48&gt;=100*0.8,5,IF(L48&gt;=100*0.7,4,IF(L48&gt;=100*0.6,3.5,IF(L48&gt;=100*0.5,3,IF(L48&gt;=100*0.4,2,IF(L48&gt;=100*0.33,1,0))))))))</f>
        <v/>
      </c>
      <c r="AE48">
        <f>IF(B48="","",IF(M48&lt;33.0,0,IF(M48&gt;=100*0.8,5,IF(M48&gt;=100*0.7,4,IF(M48&gt;=100*0.6,3.5,IF(M48&gt;=100*0.5,3,IF(M48&gt;=100*0.4,2,IF(M48&gt;=100*0.33,1,0))))))))</f>
        <v/>
      </c>
      <c r="AF48">
        <f>IF(B48="","",IF(N48&lt;16.5,0,IF(N48&gt;=50*0.8,5,IF(N48&gt;=50*0.7,4,IF(N48&gt;=50*0.6,3.5,IF(N48&gt;=50*0.5,3,IF(N48&gt;=50*0.4,2,IF(N48&gt;=50*0.33,1,0))))))))</f>
        <v/>
      </c>
      <c r="AG48">
        <f>IF(B48="","",IF(O48&lt;33.0,0,IF(O48&gt;=100*0.8,5,IF(O48&gt;=100*0.7,4,IF(O48&gt;=100*0.6,3.5,IF(O48&gt;=100*0.5,3,IF(O48&gt;=100*0.4,2,IF(O48&gt;=100*0.33,1,0))))))))</f>
        <v/>
      </c>
      <c r="AH48">
        <f>IF(B48="","",IF(OR(U48=0,V48=0,W48=0,X48=0,Y48=0,Z48=0,AA48=0,AB48=0,AC48=0,AD48=0,AE48=0,AF48=0,AG48=0),1,0))</f>
        <v/>
      </c>
    </row>
    <row r="49">
      <c r="A49" s="3">
        <f>IF(B49="","",ROW()-2)</f>
        <v/>
      </c>
      <c r="P49" s="4">
        <f>IF(B49="","",SUM(C49:O49))</f>
        <v/>
      </c>
      <c r="Q49" s="5">
        <f>IF(B49="","",ROUND(P49/13,2))</f>
        <v/>
      </c>
      <c r="R49" s="5">
        <f>IF(B49="","",IF(AH49=1,0,MIN(5,ROUND((U49+V49+W49+X49+Y49+Z49+AA49+AB49+AC49+AD49+AE49+AF49+AG49)/13,2))))</f>
        <v/>
      </c>
      <c r="S49" s="3">
        <f>IF(B49="","",IF(R49&gt;=5,"A+",IF(R49&gt;=4,"A",IF(R49&gt;=3.5,"A-",IF(R49&gt;=3,"B",IF(R49&gt;=2,"C",IF(R49&gt;=1,"D","F")))))))</f>
        <v/>
      </c>
      <c r="T49" s="3">
        <f>IF(OR(B49="",S49="F"),"",COUNTIFS(P:P,"&gt;"&amp;P49,S:S,"&lt;&gt;F")+1)</f>
        <v/>
      </c>
      <c r="U49">
        <f>IF(B49="","",IF(C49&lt;33.0,0,IF(C49&gt;=100*0.8,5,IF(C49&gt;=100*0.7,4,IF(C49&gt;=100*0.6,3.5,IF(C49&gt;=100*0.5,3,IF(C49&gt;=100*0.4,2,IF(C49&gt;=100*0.33,1,0))))))))</f>
        <v/>
      </c>
      <c r="V49">
        <f>IF(B49="","",IF(D49&lt;33.0,0,IF(D49&gt;=100*0.8,5,IF(D49&gt;=100*0.7,4,IF(D49&gt;=100*0.6,3.5,IF(D49&gt;=100*0.5,3,IF(D49&gt;=100*0.4,2,IF(D49&gt;=100*0.33,1,0))))))))</f>
        <v/>
      </c>
      <c r="W49">
        <f>IF(B49="","",IF(E49&lt;16.5,0,IF(E49&gt;=50*0.8,5,IF(E49&gt;=50*0.7,4,IF(E49&gt;=50*0.6,3.5,IF(E49&gt;=50*0.5,3,IF(E49&gt;=50*0.4,2,IF(E49&gt;=50*0.33,1,0))))))))</f>
        <v/>
      </c>
      <c r="X49">
        <f>IF(B49="","",IF(F49&lt;33.0,0,IF(F49&gt;=100*0.8,5,IF(F49&gt;=100*0.7,4,IF(F49&gt;=100*0.6,3.5,IF(F49&gt;=100*0.5,3,IF(F49&gt;=100*0.4,2,IF(F49&gt;=100*0.33,1,0))))))))</f>
        <v/>
      </c>
      <c r="Y49">
        <f>IF(B49="","",IF(G49&lt;16.5,0,IF(G49&gt;=50*0.8,5,IF(G49&gt;=50*0.7,4,IF(G49&gt;=50*0.6,3.5,IF(G49&gt;=50*0.5,3,IF(G49&gt;=50*0.4,2,IF(G49&gt;=50*0.33,1,0))))))))</f>
        <v/>
      </c>
      <c r="Z49">
        <f>IF(B49="","",IF(H49&lt;33.0,0,IF(H49&gt;=100*0.8,5,IF(H49&gt;=100*0.7,4,IF(H49&gt;=100*0.6,3.5,IF(H49&gt;=100*0.5,3,IF(H49&gt;=100*0.4,2,IF(H49&gt;=100*0.33,1,0))))))))</f>
        <v/>
      </c>
      <c r="AA49">
        <f>IF(B49="","",IF(I49&lt;33.0,0,IF(I49&gt;=100*0.8,5,IF(I49&gt;=100*0.7,4,IF(I49&gt;=100*0.6,3.5,IF(I49&gt;=100*0.5,3,IF(I49&gt;=100*0.4,2,IF(I49&gt;=100*0.33,1,0))))))))</f>
        <v/>
      </c>
      <c r="AB49">
        <f>IF(B49="","",IF(J49&lt;33.0,0,IF(J49&gt;=100*0.8,5,IF(J49&gt;=100*0.7,4,IF(J49&gt;=100*0.6,3.5,IF(J49&gt;=100*0.5,3,IF(J49&gt;=100*0.4,2,IF(J49&gt;=100*0.33,1,0))))))))</f>
        <v/>
      </c>
      <c r="AC49">
        <f>IF(B49="","",IF(K49&lt;33.0,0,IF(K49&gt;=100*0.8,5,IF(K49&gt;=100*0.7,4,IF(K49&gt;=100*0.6,3.5,IF(K49&gt;=100*0.5,3,IF(K49&gt;=100*0.4,2,IF(K49&gt;=100*0.33,1,0))))))))</f>
        <v/>
      </c>
      <c r="AD49">
        <f>IF(B49="","",IF(L49&lt;33.0,0,IF(L49&gt;=100*0.8,5,IF(L49&gt;=100*0.7,4,IF(L49&gt;=100*0.6,3.5,IF(L49&gt;=100*0.5,3,IF(L49&gt;=100*0.4,2,IF(L49&gt;=100*0.33,1,0))))))))</f>
        <v/>
      </c>
      <c r="AE49">
        <f>IF(B49="","",IF(M49&lt;33.0,0,IF(M49&gt;=100*0.8,5,IF(M49&gt;=100*0.7,4,IF(M49&gt;=100*0.6,3.5,IF(M49&gt;=100*0.5,3,IF(M49&gt;=100*0.4,2,IF(M49&gt;=100*0.33,1,0))))))))</f>
        <v/>
      </c>
      <c r="AF49">
        <f>IF(B49="","",IF(N49&lt;16.5,0,IF(N49&gt;=50*0.8,5,IF(N49&gt;=50*0.7,4,IF(N49&gt;=50*0.6,3.5,IF(N49&gt;=50*0.5,3,IF(N49&gt;=50*0.4,2,IF(N49&gt;=50*0.33,1,0))))))))</f>
        <v/>
      </c>
      <c r="AG49">
        <f>IF(B49="","",IF(O49&lt;33.0,0,IF(O49&gt;=100*0.8,5,IF(O49&gt;=100*0.7,4,IF(O49&gt;=100*0.6,3.5,IF(O49&gt;=100*0.5,3,IF(O49&gt;=100*0.4,2,IF(O49&gt;=100*0.33,1,0))))))))</f>
        <v/>
      </c>
      <c r="AH49">
        <f>IF(B49="","",IF(OR(U49=0,V49=0,W49=0,X49=0,Y49=0,Z49=0,AA49=0,AB49=0,AC49=0,AD49=0,AE49=0,AF49=0,AG49=0),1,0))</f>
        <v/>
      </c>
    </row>
    <row r="50">
      <c r="A50" s="3">
        <f>IF(B50="","",ROW()-2)</f>
        <v/>
      </c>
      <c r="P50" s="4">
        <f>IF(B50="","",SUM(C50:O50))</f>
        <v/>
      </c>
      <c r="Q50" s="5">
        <f>IF(B50="","",ROUND(P50/13,2))</f>
        <v/>
      </c>
      <c r="R50" s="5">
        <f>IF(B50="","",IF(AH50=1,0,MIN(5,ROUND((U50+V50+W50+X50+Y50+Z50+AA50+AB50+AC50+AD50+AE50+AF50+AG50)/13,2))))</f>
        <v/>
      </c>
      <c r="S50" s="3">
        <f>IF(B50="","",IF(R50&gt;=5,"A+",IF(R50&gt;=4,"A",IF(R50&gt;=3.5,"A-",IF(R50&gt;=3,"B",IF(R50&gt;=2,"C",IF(R50&gt;=1,"D","F")))))))</f>
        <v/>
      </c>
      <c r="T50" s="3">
        <f>IF(OR(B50="",S50="F"),"",COUNTIFS(P:P,"&gt;"&amp;P50,S:S,"&lt;&gt;F")+1)</f>
        <v/>
      </c>
      <c r="U50">
        <f>IF(B50="","",IF(C50&lt;33.0,0,IF(C50&gt;=100*0.8,5,IF(C50&gt;=100*0.7,4,IF(C50&gt;=100*0.6,3.5,IF(C50&gt;=100*0.5,3,IF(C50&gt;=100*0.4,2,IF(C50&gt;=100*0.33,1,0))))))))</f>
        <v/>
      </c>
      <c r="V50">
        <f>IF(B50="","",IF(D50&lt;33.0,0,IF(D50&gt;=100*0.8,5,IF(D50&gt;=100*0.7,4,IF(D50&gt;=100*0.6,3.5,IF(D50&gt;=100*0.5,3,IF(D50&gt;=100*0.4,2,IF(D50&gt;=100*0.33,1,0))))))))</f>
        <v/>
      </c>
      <c r="W50">
        <f>IF(B50="","",IF(E50&lt;16.5,0,IF(E50&gt;=50*0.8,5,IF(E50&gt;=50*0.7,4,IF(E50&gt;=50*0.6,3.5,IF(E50&gt;=50*0.5,3,IF(E50&gt;=50*0.4,2,IF(E50&gt;=50*0.33,1,0))))))))</f>
        <v/>
      </c>
      <c r="X50">
        <f>IF(B50="","",IF(F50&lt;33.0,0,IF(F50&gt;=100*0.8,5,IF(F50&gt;=100*0.7,4,IF(F50&gt;=100*0.6,3.5,IF(F50&gt;=100*0.5,3,IF(F50&gt;=100*0.4,2,IF(F50&gt;=100*0.33,1,0))))))))</f>
        <v/>
      </c>
      <c r="Y50">
        <f>IF(B50="","",IF(G50&lt;16.5,0,IF(G50&gt;=50*0.8,5,IF(G50&gt;=50*0.7,4,IF(G50&gt;=50*0.6,3.5,IF(G50&gt;=50*0.5,3,IF(G50&gt;=50*0.4,2,IF(G50&gt;=50*0.33,1,0))))))))</f>
        <v/>
      </c>
      <c r="Z50">
        <f>IF(B50="","",IF(H50&lt;33.0,0,IF(H50&gt;=100*0.8,5,IF(H50&gt;=100*0.7,4,IF(H50&gt;=100*0.6,3.5,IF(H50&gt;=100*0.5,3,IF(H50&gt;=100*0.4,2,IF(H50&gt;=100*0.33,1,0))))))))</f>
        <v/>
      </c>
      <c r="AA50">
        <f>IF(B50="","",IF(I50&lt;33.0,0,IF(I50&gt;=100*0.8,5,IF(I50&gt;=100*0.7,4,IF(I50&gt;=100*0.6,3.5,IF(I50&gt;=100*0.5,3,IF(I50&gt;=100*0.4,2,IF(I50&gt;=100*0.33,1,0))))))))</f>
        <v/>
      </c>
      <c r="AB50">
        <f>IF(B50="","",IF(J50&lt;33.0,0,IF(J50&gt;=100*0.8,5,IF(J50&gt;=100*0.7,4,IF(J50&gt;=100*0.6,3.5,IF(J50&gt;=100*0.5,3,IF(J50&gt;=100*0.4,2,IF(J50&gt;=100*0.33,1,0))))))))</f>
        <v/>
      </c>
      <c r="AC50">
        <f>IF(B50="","",IF(K50&lt;33.0,0,IF(K50&gt;=100*0.8,5,IF(K50&gt;=100*0.7,4,IF(K50&gt;=100*0.6,3.5,IF(K50&gt;=100*0.5,3,IF(K50&gt;=100*0.4,2,IF(K50&gt;=100*0.33,1,0))))))))</f>
        <v/>
      </c>
      <c r="AD50">
        <f>IF(B50="","",IF(L50&lt;33.0,0,IF(L50&gt;=100*0.8,5,IF(L50&gt;=100*0.7,4,IF(L50&gt;=100*0.6,3.5,IF(L50&gt;=100*0.5,3,IF(L50&gt;=100*0.4,2,IF(L50&gt;=100*0.33,1,0))))))))</f>
        <v/>
      </c>
      <c r="AE50">
        <f>IF(B50="","",IF(M50&lt;33.0,0,IF(M50&gt;=100*0.8,5,IF(M50&gt;=100*0.7,4,IF(M50&gt;=100*0.6,3.5,IF(M50&gt;=100*0.5,3,IF(M50&gt;=100*0.4,2,IF(M50&gt;=100*0.33,1,0))))))))</f>
        <v/>
      </c>
      <c r="AF50">
        <f>IF(B50="","",IF(N50&lt;16.5,0,IF(N50&gt;=50*0.8,5,IF(N50&gt;=50*0.7,4,IF(N50&gt;=50*0.6,3.5,IF(N50&gt;=50*0.5,3,IF(N50&gt;=50*0.4,2,IF(N50&gt;=50*0.33,1,0))))))))</f>
        <v/>
      </c>
      <c r="AG50">
        <f>IF(B50="","",IF(O50&lt;33.0,0,IF(O50&gt;=100*0.8,5,IF(O50&gt;=100*0.7,4,IF(O50&gt;=100*0.6,3.5,IF(O50&gt;=100*0.5,3,IF(O50&gt;=100*0.4,2,IF(O50&gt;=100*0.33,1,0))))))))</f>
        <v/>
      </c>
      <c r="AH50">
        <f>IF(B50="","",IF(OR(U50=0,V50=0,W50=0,X50=0,Y50=0,Z50=0,AA50=0,AB50=0,AC50=0,AD50=0,AE50=0,AF50=0,AG50=0),1,0))</f>
        <v/>
      </c>
    </row>
    <row r="51">
      <c r="A51" s="3">
        <f>IF(B51="","",ROW()-2)</f>
        <v/>
      </c>
      <c r="P51" s="4">
        <f>IF(B51="","",SUM(C51:O51))</f>
        <v/>
      </c>
      <c r="Q51" s="5">
        <f>IF(B51="","",ROUND(P51/13,2))</f>
        <v/>
      </c>
      <c r="R51" s="5">
        <f>IF(B51="","",IF(AH51=1,0,MIN(5,ROUND((U51+V51+W51+X51+Y51+Z51+AA51+AB51+AC51+AD51+AE51+AF51+AG51)/13,2))))</f>
        <v/>
      </c>
      <c r="S51" s="3">
        <f>IF(B51="","",IF(R51&gt;=5,"A+",IF(R51&gt;=4,"A",IF(R51&gt;=3.5,"A-",IF(R51&gt;=3,"B",IF(R51&gt;=2,"C",IF(R51&gt;=1,"D","F")))))))</f>
        <v/>
      </c>
      <c r="T51" s="3">
        <f>IF(OR(B51="",S51="F"),"",COUNTIFS(P:P,"&gt;"&amp;P51,S:S,"&lt;&gt;F")+1)</f>
        <v/>
      </c>
      <c r="U51">
        <f>IF(B51="","",IF(C51&lt;33.0,0,IF(C51&gt;=100*0.8,5,IF(C51&gt;=100*0.7,4,IF(C51&gt;=100*0.6,3.5,IF(C51&gt;=100*0.5,3,IF(C51&gt;=100*0.4,2,IF(C51&gt;=100*0.33,1,0))))))))</f>
        <v/>
      </c>
      <c r="V51">
        <f>IF(B51="","",IF(D51&lt;33.0,0,IF(D51&gt;=100*0.8,5,IF(D51&gt;=100*0.7,4,IF(D51&gt;=100*0.6,3.5,IF(D51&gt;=100*0.5,3,IF(D51&gt;=100*0.4,2,IF(D51&gt;=100*0.33,1,0))))))))</f>
        <v/>
      </c>
      <c r="W51">
        <f>IF(B51="","",IF(E51&lt;16.5,0,IF(E51&gt;=50*0.8,5,IF(E51&gt;=50*0.7,4,IF(E51&gt;=50*0.6,3.5,IF(E51&gt;=50*0.5,3,IF(E51&gt;=50*0.4,2,IF(E51&gt;=50*0.33,1,0))))))))</f>
        <v/>
      </c>
      <c r="X51">
        <f>IF(B51="","",IF(F51&lt;33.0,0,IF(F51&gt;=100*0.8,5,IF(F51&gt;=100*0.7,4,IF(F51&gt;=100*0.6,3.5,IF(F51&gt;=100*0.5,3,IF(F51&gt;=100*0.4,2,IF(F51&gt;=100*0.33,1,0))))))))</f>
        <v/>
      </c>
      <c r="Y51">
        <f>IF(B51="","",IF(G51&lt;16.5,0,IF(G51&gt;=50*0.8,5,IF(G51&gt;=50*0.7,4,IF(G51&gt;=50*0.6,3.5,IF(G51&gt;=50*0.5,3,IF(G51&gt;=50*0.4,2,IF(G51&gt;=50*0.33,1,0))))))))</f>
        <v/>
      </c>
      <c r="Z51">
        <f>IF(B51="","",IF(H51&lt;33.0,0,IF(H51&gt;=100*0.8,5,IF(H51&gt;=100*0.7,4,IF(H51&gt;=100*0.6,3.5,IF(H51&gt;=100*0.5,3,IF(H51&gt;=100*0.4,2,IF(H51&gt;=100*0.33,1,0))))))))</f>
        <v/>
      </c>
      <c r="AA51">
        <f>IF(B51="","",IF(I51&lt;33.0,0,IF(I51&gt;=100*0.8,5,IF(I51&gt;=100*0.7,4,IF(I51&gt;=100*0.6,3.5,IF(I51&gt;=100*0.5,3,IF(I51&gt;=100*0.4,2,IF(I51&gt;=100*0.33,1,0))))))))</f>
        <v/>
      </c>
      <c r="AB51">
        <f>IF(B51="","",IF(J51&lt;33.0,0,IF(J51&gt;=100*0.8,5,IF(J51&gt;=100*0.7,4,IF(J51&gt;=100*0.6,3.5,IF(J51&gt;=100*0.5,3,IF(J51&gt;=100*0.4,2,IF(J51&gt;=100*0.33,1,0))))))))</f>
        <v/>
      </c>
      <c r="AC51">
        <f>IF(B51="","",IF(K51&lt;33.0,0,IF(K51&gt;=100*0.8,5,IF(K51&gt;=100*0.7,4,IF(K51&gt;=100*0.6,3.5,IF(K51&gt;=100*0.5,3,IF(K51&gt;=100*0.4,2,IF(K51&gt;=100*0.33,1,0))))))))</f>
        <v/>
      </c>
      <c r="AD51">
        <f>IF(B51="","",IF(L51&lt;33.0,0,IF(L51&gt;=100*0.8,5,IF(L51&gt;=100*0.7,4,IF(L51&gt;=100*0.6,3.5,IF(L51&gt;=100*0.5,3,IF(L51&gt;=100*0.4,2,IF(L51&gt;=100*0.33,1,0))))))))</f>
        <v/>
      </c>
      <c r="AE51">
        <f>IF(B51="","",IF(M51&lt;33.0,0,IF(M51&gt;=100*0.8,5,IF(M51&gt;=100*0.7,4,IF(M51&gt;=100*0.6,3.5,IF(M51&gt;=100*0.5,3,IF(M51&gt;=100*0.4,2,IF(M51&gt;=100*0.33,1,0))))))))</f>
        <v/>
      </c>
      <c r="AF51">
        <f>IF(B51="","",IF(N51&lt;16.5,0,IF(N51&gt;=50*0.8,5,IF(N51&gt;=50*0.7,4,IF(N51&gt;=50*0.6,3.5,IF(N51&gt;=50*0.5,3,IF(N51&gt;=50*0.4,2,IF(N51&gt;=50*0.33,1,0))))))))</f>
        <v/>
      </c>
      <c r="AG51">
        <f>IF(B51="","",IF(O51&lt;33.0,0,IF(O51&gt;=100*0.8,5,IF(O51&gt;=100*0.7,4,IF(O51&gt;=100*0.6,3.5,IF(O51&gt;=100*0.5,3,IF(O51&gt;=100*0.4,2,IF(O51&gt;=100*0.33,1,0))))))))</f>
        <v/>
      </c>
      <c r="AH51">
        <f>IF(B51="","",IF(OR(U51=0,V51=0,W51=0,X51=0,Y51=0,Z51=0,AA51=0,AB51=0,AC51=0,AD51=0,AE51=0,AF51=0,AG51=0),1,0))</f>
        <v/>
      </c>
    </row>
    <row r="52">
      <c r="A52" s="3">
        <f>IF(B52="","",ROW()-2)</f>
        <v/>
      </c>
      <c r="P52" s="4">
        <f>IF(B52="","",SUM(C52:O52))</f>
        <v/>
      </c>
      <c r="Q52" s="5">
        <f>IF(B52="","",ROUND(P52/13,2))</f>
        <v/>
      </c>
      <c r="R52" s="5">
        <f>IF(B52="","",IF(AH52=1,0,MIN(5,ROUND((U52+V52+W52+X52+Y52+Z52+AA52+AB52+AC52+AD52+AE52+AF52+AG52)/13,2))))</f>
        <v/>
      </c>
      <c r="S52" s="3">
        <f>IF(B52="","",IF(R52&gt;=5,"A+",IF(R52&gt;=4,"A",IF(R52&gt;=3.5,"A-",IF(R52&gt;=3,"B",IF(R52&gt;=2,"C",IF(R52&gt;=1,"D","F")))))))</f>
        <v/>
      </c>
      <c r="T52" s="3">
        <f>IF(OR(B52="",S52="F"),"",COUNTIFS(P:P,"&gt;"&amp;P52,S:S,"&lt;&gt;F")+1)</f>
        <v/>
      </c>
      <c r="U52">
        <f>IF(B52="","",IF(C52&lt;33.0,0,IF(C52&gt;=100*0.8,5,IF(C52&gt;=100*0.7,4,IF(C52&gt;=100*0.6,3.5,IF(C52&gt;=100*0.5,3,IF(C52&gt;=100*0.4,2,IF(C52&gt;=100*0.33,1,0))))))))</f>
        <v/>
      </c>
      <c r="V52">
        <f>IF(B52="","",IF(D52&lt;33.0,0,IF(D52&gt;=100*0.8,5,IF(D52&gt;=100*0.7,4,IF(D52&gt;=100*0.6,3.5,IF(D52&gt;=100*0.5,3,IF(D52&gt;=100*0.4,2,IF(D52&gt;=100*0.33,1,0))))))))</f>
        <v/>
      </c>
      <c r="W52">
        <f>IF(B52="","",IF(E52&lt;16.5,0,IF(E52&gt;=50*0.8,5,IF(E52&gt;=50*0.7,4,IF(E52&gt;=50*0.6,3.5,IF(E52&gt;=50*0.5,3,IF(E52&gt;=50*0.4,2,IF(E52&gt;=50*0.33,1,0))))))))</f>
        <v/>
      </c>
      <c r="X52">
        <f>IF(B52="","",IF(F52&lt;33.0,0,IF(F52&gt;=100*0.8,5,IF(F52&gt;=100*0.7,4,IF(F52&gt;=100*0.6,3.5,IF(F52&gt;=100*0.5,3,IF(F52&gt;=100*0.4,2,IF(F52&gt;=100*0.33,1,0))))))))</f>
        <v/>
      </c>
      <c r="Y52">
        <f>IF(B52="","",IF(G52&lt;16.5,0,IF(G52&gt;=50*0.8,5,IF(G52&gt;=50*0.7,4,IF(G52&gt;=50*0.6,3.5,IF(G52&gt;=50*0.5,3,IF(G52&gt;=50*0.4,2,IF(G52&gt;=50*0.33,1,0))))))))</f>
        <v/>
      </c>
      <c r="Z52">
        <f>IF(B52="","",IF(H52&lt;33.0,0,IF(H52&gt;=100*0.8,5,IF(H52&gt;=100*0.7,4,IF(H52&gt;=100*0.6,3.5,IF(H52&gt;=100*0.5,3,IF(H52&gt;=100*0.4,2,IF(H52&gt;=100*0.33,1,0))))))))</f>
        <v/>
      </c>
      <c r="AA52">
        <f>IF(B52="","",IF(I52&lt;33.0,0,IF(I52&gt;=100*0.8,5,IF(I52&gt;=100*0.7,4,IF(I52&gt;=100*0.6,3.5,IF(I52&gt;=100*0.5,3,IF(I52&gt;=100*0.4,2,IF(I52&gt;=100*0.33,1,0))))))))</f>
        <v/>
      </c>
      <c r="AB52">
        <f>IF(B52="","",IF(J52&lt;33.0,0,IF(J52&gt;=100*0.8,5,IF(J52&gt;=100*0.7,4,IF(J52&gt;=100*0.6,3.5,IF(J52&gt;=100*0.5,3,IF(J52&gt;=100*0.4,2,IF(J52&gt;=100*0.33,1,0))))))))</f>
        <v/>
      </c>
      <c r="AC52">
        <f>IF(B52="","",IF(K52&lt;33.0,0,IF(K52&gt;=100*0.8,5,IF(K52&gt;=100*0.7,4,IF(K52&gt;=100*0.6,3.5,IF(K52&gt;=100*0.5,3,IF(K52&gt;=100*0.4,2,IF(K52&gt;=100*0.33,1,0))))))))</f>
        <v/>
      </c>
      <c r="AD52">
        <f>IF(B52="","",IF(L52&lt;33.0,0,IF(L52&gt;=100*0.8,5,IF(L52&gt;=100*0.7,4,IF(L52&gt;=100*0.6,3.5,IF(L52&gt;=100*0.5,3,IF(L52&gt;=100*0.4,2,IF(L52&gt;=100*0.33,1,0))))))))</f>
        <v/>
      </c>
      <c r="AE52">
        <f>IF(B52="","",IF(M52&lt;33.0,0,IF(M52&gt;=100*0.8,5,IF(M52&gt;=100*0.7,4,IF(M52&gt;=100*0.6,3.5,IF(M52&gt;=100*0.5,3,IF(M52&gt;=100*0.4,2,IF(M52&gt;=100*0.33,1,0))))))))</f>
        <v/>
      </c>
      <c r="AF52">
        <f>IF(B52="","",IF(N52&lt;16.5,0,IF(N52&gt;=50*0.8,5,IF(N52&gt;=50*0.7,4,IF(N52&gt;=50*0.6,3.5,IF(N52&gt;=50*0.5,3,IF(N52&gt;=50*0.4,2,IF(N52&gt;=50*0.33,1,0))))))))</f>
        <v/>
      </c>
      <c r="AG52">
        <f>IF(B52="","",IF(O52&lt;33.0,0,IF(O52&gt;=100*0.8,5,IF(O52&gt;=100*0.7,4,IF(O52&gt;=100*0.6,3.5,IF(O52&gt;=100*0.5,3,IF(O52&gt;=100*0.4,2,IF(O52&gt;=100*0.33,1,0))))))))</f>
        <v/>
      </c>
      <c r="AH52">
        <f>IF(B52="","",IF(OR(U52=0,V52=0,W52=0,X52=0,Y52=0,Z52=0,AA52=0,AB52=0,AC52=0,AD52=0,AE52=0,AF52=0,AG52=0),1,0))</f>
        <v/>
      </c>
    </row>
    <row r="53">
      <c r="A53" s="3">
        <f>IF(B53="","",ROW()-2)</f>
        <v/>
      </c>
      <c r="P53" s="4">
        <f>IF(B53="","",SUM(C53:O53))</f>
        <v/>
      </c>
      <c r="Q53" s="5">
        <f>IF(B53="","",ROUND(P53/13,2))</f>
        <v/>
      </c>
      <c r="R53" s="5">
        <f>IF(B53="","",IF(AH53=1,0,MIN(5,ROUND((U53+V53+W53+X53+Y53+Z53+AA53+AB53+AC53+AD53+AE53+AF53+AG53)/13,2))))</f>
        <v/>
      </c>
      <c r="S53" s="3">
        <f>IF(B53="","",IF(R53&gt;=5,"A+",IF(R53&gt;=4,"A",IF(R53&gt;=3.5,"A-",IF(R53&gt;=3,"B",IF(R53&gt;=2,"C",IF(R53&gt;=1,"D","F")))))))</f>
        <v/>
      </c>
      <c r="T53" s="3">
        <f>IF(OR(B53="",S53="F"),"",COUNTIFS(P:P,"&gt;"&amp;P53,S:S,"&lt;&gt;F")+1)</f>
        <v/>
      </c>
      <c r="U53">
        <f>IF(B53="","",IF(C53&lt;33.0,0,IF(C53&gt;=100*0.8,5,IF(C53&gt;=100*0.7,4,IF(C53&gt;=100*0.6,3.5,IF(C53&gt;=100*0.5,3,IF(C53&gt;=100*0.4,2,IF(C53&gt;=100*0.33,1,0))))))))</f>
        <v/>
      </c>
      <c r="V53">
        <f>IF(B53="","",IF(D53&lt;33.0,0,IF(D53&gt;=100*0.8,5,IF(D53&gt;=100*0.7,4,IF(D53&gt;=100*0.6,3.5,IF(D53&gt;=100*0.5,3,IF(D53&gt;=100*0.4,2,IF(D53&gt;=100*0.33,1,0))))))))</f>
        <v/>
      </c>
      <c r="W53">
        <f>IF(B53="","",IF(E53&lt;16.5,0,IF(E53&gt;=50*0.8,5,IF(E53&gt;=50*0.7,4,IF(E53&gt;=50*0.6,3.5,IF(E53&gt;=50*0.5,3,IF(E53&gt;=50*0.4,2,IF(E53&gt;=50*0.33,1,0))))))))</f>
        <v/>
      </c>
      <c r="X53">
        <f>IF(B53="","",IF(F53&lt;33.0,0,IF(F53&gt;=100*0.8,5,IF(F53&gt;=100*0.7,4,IF(F53&gt;=100*0.6,3.5,IF(F53&gt;=100*0.5,3,IF(F53&gt;=100*0.4,2,IF(F53&gt;=100*0.33,1,0))))))))</f>
        <v/>
      </c>
      <c r="Y53">
        <f>IF(B53="","",IF(G53&lt;16.5,0,IF(G53&gt;=50*0.8,5,IF(G53&gt;=50*0.7,4,IF(G53&gt;=50*0.6,3.5,IF(G53&gt;=50*0.5,3,IF(G53&gt;=50*0.4,2,IF(G53&gt;=50*0.33,1,0))))))))</f>
        <v/>
      </c>
      <c r="Z53">
        <f>IF(B53="","",IF(H53&lt;33.0,0,IF(H53&gt;=100*0.8,5,IF(H53&gt;=100*0.7,4,IF(H53&gt;=100*0.6,3.5,IF(H53&gt;=100*0.5,3,IF(H53&gt;=100*0.4,2,IF(H53&gt;=100*0.33,1,0))))))))</f>
        <v/>
      </c>
      <c r="AA53">
        <f>IF(B53="","",IF(I53&lt;33.0,0,IF(I53&gt;=100*0.8,5,IF(I53&gt;=100*0.7,4,IF(I53&gt;=100*0.6,3.5,IF(I53&gt;=100*0.5,3,IF(I53&gt;=100*0.4,2,IF(I53&gt;=100*0.33,1,0))))))))</f>
        <v/>
      </c>
      <c r="AB53">
        <f>IF(B53="","",IF(J53&lt;33.0,0,IF(J53&gt;=100*0.8,5,IF(J53&gt;=100*0.7,4,IF(J53&gt;=100*0.6,3.5,IF(J53&gt;=100*0.5,3,IF(J53&gt;=100*0.4,2,IF(J53&gt;=100*0.33,1,0))))))))</f>
        <v/>
      </c>
      <c r="AC53">
        <f>IF(B53="","",IF(K53&lt;33.0,0,IF(K53&gt;=100*0.8,5,IF(K53&gt;=100*0.7,4,IF(K53&gt;=100*0.6,3.5,IF(K53&gt;=100*0.5,3,IF(K53&gt;=100*0.4,2,IF(K53&gt;=100*0.33,1,0))))))))</f>
        <v/>
      </c>
      <c r="AD53">
        <f>IF(B53="","",IF(L53&lt;33.0,0,IF(L53&gt;=100*0.8,5,IF(L53&gt;=100*0.7,4,IF(L53&gt;=100*0.6,3.5,IF(L53&gt;=100*0.5,3,IF(L53&gt;=100*0.4,2,IF(L53&gt;=100*0.33,1,0))))))))</f>
        <v/>
      </c>
      <c r="AE53">
        <f>IF(B53="","",IF(M53&lt;33.0,0,IF(M53&gt;=100*0.8,5,IF(M53&gt;=100*0.7,4,IF(M53&gt;=100*0.6,3.5,IF(M53&gt;=100*0.5,3,IF(M53&gt;=100*0.4,2,IF(M53&gt;=100*0.33,1,0))))))))</f>
        <v/>
      </c>
      <c r="AF53">
        <f>IF(B53="","",IF(N53&lt;16.5,0,IF(N53&gt;=50*0.8,5,IF(N53&gt;=50*0.7,4,IF(N53&gt;=50*0.6,3.5,IF(N53&gt;=50*0.5,3,IF(N53&gt;=50*0.4,2,IF(N53&gt;=50*0.33,1,0))))))))</f>
        <v/>
      </c>
      <c r="AG53">
        <f>IF(B53="","",IF(O53&lt;33.0,0,IF(O53&gt;=100*0.8,5,IF(O53&gt;=100*0.7,4,IF(O53&gt;=100*0.6,3.5,IF(O53&gt;=100*0.5,3,IF(O53&gt;=100*0.4,2,IF(O53&gt;=100*0.33,1,0))))))))</f>
        <v/>
      </c>
      <c r="AH53">
        <f>IF(B53="","",IF(OR(U53=0,V53=0,W53=0,X53=0,Y53=0,Z53=0,AA53=0,AB53=0,AC53=0,AD53=0,AE53=0,AF53=0,AG53=0),1,0))</f>
        <v/>
      </c>
    </row>
    <row r="54">
      <c r="A54" s="3">
        <f>IF(B54="","",ROW()-2)</f>
        <v/>
      </c>
      <c r="P54" s="4">
        <f>IF(B54="","",SUM(C54:O54))</f>
        <v/>
      </c>
      <c r="Q54" s="5">
        <f>IF(B54="","",ROUND(P54/13,2))</f>
        <v/>
      </c>
      <c r="R54" s="5">
        <f>IF(B54="","",IF(AH54=1,0,MIN(5,ROUND((U54+V54+W54+X54+Y54+Z54+AA54+AB54+AC54+AD54+AE54+AF54+AG54)/13,2))))</f>
        <v/>
      </c>
      <c r="S54" s="3">
        <f>IF(B54="","",IF(R54&gt;=5,"A+",IF(R54&gt;=4,"A",IF(R54&gt;=3.5,"A-",IF(R54&gt;=3,"B",IF(R54&gt;=2,"C",IF(R54&gt;=1,"D","F")))))))</f>
        <v/>
      </c>
      <c r="T54" s="3">
        <f>IF(OR(B54="",S54="F"),"",COUNTIFS(P:P,"&gt;"&amp;P54,S:S,"&lt;&gt;F")+1)</f>
        <v/>
      </c>
      <c r="U54">
        <f>IF(B54="","",IF(C54&lt;33.0,0,IF(C54&gt;=100*0.8,5,IF(C54&gt;=100*0.7,4,IF(C54&gt;=100*0.6,3.5,IF(C54&gt;=100*0.5,3,IF(C54&gt;=100*0.4,2,IF(C54&gt;=100*0.33,1,0))))))))</f>
        <v/>
      </c>
      <c r="V54">
        <f>IF(B54="","",IF(D54&lt;33.0,0,IF(D54&gt;=100*0.8,5,IF(D54&gt;=100*0.7,4,IF(D54&gt;=100*0.6,3.5,IF(D54&gt;=100*0.5,3,IF(D54&gt;=100*0.4,2,IF(D54&gt;=100*0.33,1,0))))))))</f>
        <v/>
      </c>
      <c r="W54">
        <f>IF(B54="","",IF(E54&lt;16.5,0,IF(E54&gt;=50*0.8,5,IF(E54&gt;=50*0.7,4,IF(E54&gt;=50*0.6,3.5,IF(E54&gt;=50*0.5,3,IF(E54&gt;=50*0.4,2,IF(E54&gt;=50*0.33,1,0))))))))</f>
        <v/>
      </c>
      <c r="X54">
        <f>IF(B54="","",IF(F54&lt;33.0,0,IF(F54&gt;=100*0.8,5,IF(F54&gt;=100*0.7,4,IF(F54&gt;=100*0.6,3.5,IF(F54&gt;=100*0.5,3,IF(F54&gt;=100*0.4,2,IF(F54&gt;=100*0.33,1,0))))))))</f>
        <v/>
      </c>
      <c r="Y54">
        <f>IF(B54="","",IF(G54&lt;16.5,0,IF(G54&gt;=50*0.8,5,IF(G54&gt;=50*0.7,4,IF(G54&gt;=50*0.6,3.5,IF(G54&gt;=50*0.5,3,IF(G54&gt;=50*0.4,2,IF(G54&gt;=50*0.33,1,0))))))))</f>
        <v/>
      </c>
      <c r="Z54">
        <f>IF(B54="","",IF(H54&lt;33.0,0,IF(H54&gt;=100*0.8,5,IF(H54&gt;=100*0.7,4,IF(H54&gt;=100*0.6,3.5,IF(H54&gt;=100*0.5,3,IF(H54&gt;=100*0.4,2,IF(H54&gt;=100*0.33,1,0))))))))</f>
        <v/>
      </c>
      <c r="AA54">
        <f>IF(B54="","",IF(I54&lt;33.0,0,IF(I54&gt;=100*0.8,5,IF(I54&gt;=100*0.7,4,IF(I54&gt;=100*0.6,3.5,IF(I54&gt;=100*0.5,3,IF(I54&gt;=100*0.4,2,IF(I54&gt;=100*0.33,1,0))))))))</f>
        <v/>
      </c>
      <c r="AB54">
        <f>IF(B54="","",IF(J54&lt;33.0,0,IF(J54&gt;=100*0.8,5,IF(J54&gt;=100*0.7,4,IF(J54&gt;=100*0.6,3.5,IF(J54&gt;=100*0.5,3,IF(J54&gt;=100*0.4,2,IF(J54&gt;=100*0.33,1,0))))))))</f>
        <v/>
      </c>
      <c r="AC54">
        <f>IF(B54="","",IF(K54&lt;33.0,0,IF(K54&gt;=100*0.8,5,IF(K54&gt;=100*0.7,4,IF(K54&gt;=100*0.6,3.5,IF(K54&gt;=100*0.5,3,IF(K54&gt;=100*0.4,2,IF(K54&gt;=100*0.33,1,0))))))))</f>
        <v/>
      </c>
      <c r="AD54">
        <f>IF(B54="","",IF(L54&lt;33.0,0,IF(L54&gt;=100*0.8,5,IF(L54&gt;=100*0.7,4,IF(L54&gt;=100*0.6,3.5,IF(L54&gt;=100*0.5,3,IF(L54&gt;=100*0.4,2,IF(L54&gt;=100*0.33,1,0))))))))</f>
        <v/>
      </c>
      <c r="AE54">
        <f>IF(B54="","",IF(M54&lt;33.0,0,IF(M54&gt;=100*0.8,5,IF(M54&gt;=100*0.7,4,IF(M54&gt;=100*0.6,3.5,IF(M54&gt;=100*0.5,3,IF(M54&gt;=100*0.4,2,IF(M54&gt;=100*0.33,1,0))))))))</f>
        <v/>
      </c>
      <c r="AF54">
        <f>IF(B54="","",IF(N54&lt;16.5,0,IF(N54&gt;=50*0.8,5,IF(N54&gt;=50*0.7,4,IF(N54&gt;=50*0.6,3.5,IF(N54&gt;=50*0.5,3,IF(N54&gt;=50*0.4,2,IF(N54&gt;=50*0.33,1,0))))))))</f>
        <v/>
      </c>
      <c r="AG54">
        <f>IF(B54="","",IF(O54&lt;33.0,0,IF(O54&gt;=100*0.8,5,IF(O54&gt;=100*0.7,4,IF(O54&gt;=100*0.6,3.5,IF(O54&gt;=100*0.5,3,IF(O54&gt;=100*0.4,2,IF(O54&gt;=100*0.33,1,0))))))))</f>
        <v/>
      </c>
      <c r="AH54">
        <f>IF(B54="","",IF(OR(U54=0,V54=0,W54=0,X54=0,Y54=0,Z54=0,AA54=0,AB54=0,AC54=0,AD54=0,AE54=0,AF54=0,AG54=0),1,0))</f>
        <v/>
      </c>
    </row>
    <row r="55">
      <c r="A55" s="3">
        <f>IF(B55="","",ROW()-2)</f>
        <v/>
      </c>
      <c r="P55" s="4">
        <f>IF(B55="","",SUM(C55:O55))</f>
        <v/>
      </c>
      <c r="Q55" s="5">
        <f>IF(B55="","",ROUND(P55/13,2))</f>
        <v/>
      </c>
      <c r="R55" s="5">
        <f>IF(B55="","",IF(AH55=1,0,MIN(5,ROUND((U55+V55+W55+X55+Y55+Z55+AA55+AB55+AC55+AD55+AE55+AF55+AG55)/13,2))))</f>
        <v/>
      </c>
      <c r="S55" s="3">
        <f>IF(B55="","",IF(R55&gt;=5,"A+",IF(R55&gt;=4,"A",IF(R55&gt;=3.5,"A-",IF(R55&gt;=3,"B",IF(R55&gt;=2,"C",IF(R55&gt;=1,"D","F")))))))</f>
        <v/>
      </c>
      <c r="T55" s="3">
        <f>IF(OR(B55="",S55="F"),"",COUNTIFS(P:P,"&gt;"&amp;P55,S:S,"&lt;&gt;F")+1)</f>
        <v/>
      </c>
      <c r="U55">
        <f>IF(B55="","",IF(C55&lt;33.0,0,IF(C55&gt;=100*0.8,5,IF(C55&gt;=100*0.7,4,IF(C55&gt;=100*0.6,3.5,IF(C55&gt;=100*0.5,3,IF(C55&gt;=100*0.4,2,IF(C55&gt;=100*0.33,1,0))))))))</f>
        <v/>
      </c>
      <c r="V55">
        <f>IF(B55="","",IF(D55&lt;33.0,0,IF(D55&gt;=100*0.8,5,IF(D55&gt;=100*0.7,4,IF(D55&gt;=100*0.6,3.5,IF(D55&gt;=100*0.5,3,IF(D55&gt;=100*0.4,2,IF(D55&gt;=100*0.33,1,0))))))))</f>
        <v/>
      </c>
      <c r="W55">
        <f>IF(B55="","",IF(E55&lt;16.5,0,IF(E55&gt;=50*0.8,5,IF(E55&gt;=50*0.7,4,IF(E55&gt;=50*0.6,3.5,IF(E55&gt;=50*0.5,3,IF(E55&gt;=50*0.4,2,IF(E55&gt;=50*0.33,1,0))))))))</f>
        <v/>
      </c>
      <c r="X55">
        <f>IF(B55="","",IF(F55&lt;33.0,0,IF(F55&gt;=100*0.8,5,IF(F55&gt;=100*0.7,4,IF(F55&gt;=100*0.6,3.5,IF(F55&gt;=100*0.5,3,IF(F55&gt;=100*0.4,2,IF(F55&gt;=100*0.33,1,0))))))))</f>
        <v/>
      </c>
      <c r="Y55">
        <f>IF(B55="","",IF(G55&lt;16.5,0,IF(G55&gt;=50*0.8,5,IF(G55&gt;=50*0.7,4,IF(G55&gt;=50*0.6,3.5,IF(G55&gt;=50*0.5,3,IF(G55&gt;=50*0.4,2,IF(G55&gt;=50*0.33,1,0))))))))</f>
        <v/>
      </c>
      <c r="Z55">
        <f>IF(B55="","",IF(H55&lt;33.0,0,IF(H55&gt;=100*0.8,5,IF(H55&gt;=100*0.7,4,IF(H55&gt;=100*0.6,3.5,IF(H55&gt;=100*0.5,3,IF(H55&gt;=100*0.4,2,IF(H55&gt;=100*0.33,1,0))))))))</f>
        <v/>
      </c>
      <c r="AA55">
        <f>IF(B55="","",IF(I55&lt;33.0,0,IF(I55&gt;=100*0.8,5,IF(I55&gt;=100*0.7,4,IF(I55&gt;=100*0.6,3.5,IF(I55&gt;=100*0.5,3,IF(I55&gt;=100*0.4,2,IF(I55&gt;=100*0.33,1,0))))))))</f>
        <v/>
      </c>
      <c r="AB55">
        <f>IF(B55="","",IF(J55&lt;33.0,0,IF(J55&gt;=100*0.8,5,IF(J55&gt;=100*0.7,4,IF(J55&gt;=100*0.6,3.5,IF(J55&gt;=100*0.5,3,IF(J55&gt;=100*0.4,2,IF(J55&gt;=100*0.33,1,0))))))))</f>
        <v/>
      </c>
      <c r="AC55">
        <f>IF(B55="","",IF(K55&lt;33.0,0,IF(K55&gt;=100*0.8,5,IF(K55&gt;=100*0.7,4,IF(K55&gt;=100*0.6,3.5,IF(K55&gt;=100*0.5,3,IF(K55&gt;=100*0.4,2,IF(K55&gt;=100*0.33,1,0))))))))</f>
        <v/>
      </c>
      <c r="AD55">
        <f>IF(B55="","",IF(L55&lt;33.0,0,IF(L55&gt;=100*0.8,5,IF(L55&gt;=100*0.7,4,IF(L55&gt;=100*0.6,3.5,IF(L55&gt;=100*0.5,3,IF(L55&gt;=100*0.4,2,IF(L55&gt;=100*0.33,1,0))))))))</f>
        <v/>
      </c>
      <c r="AE55">
        <f>IF(B55="","",IF(M55&lt;33.0,0,IF(M55&gt;=100*0.8,5,IF(M55&gt;=100*0.7,4,IF(M55&gt;=100*0.6,3.5,IF(M55&gt;=100*0.5,3,IF(M55&gt;=100*0.4,2,IF(M55&gt;=100*0.33,1,0))))))))</f>
        <v/>
      </c>
      <c r="AF55">
        <f>IF(B55="","",IF(N55&lt;16.5,0,IF(N55&gt;=50*0.8,5,IF(N55&gt;=50*0.7,4,IF(N55&gt;=50*0.6,3.5,IF(N55&gt;=50*0.5,3,IF(N55&gt;=50*0.4,2,IF(N55&gt;=50*0.33,1,0))))))))</f>
        <v/>
      </c>
      <c r="AG55">
        <f>IF(B55="","",IF(O55&lt;33.0,0,IF(O55&gt;=100*0.8,5,IF(O55&gt;=100*0.7,4,IF(O55&gt;=100*0.6,3.5,IF(O55&gt;=100*0.5,3,IF(O55&gt;=100*0.4,2,IF(O55&gt;=100*0.33,1,0))))))))</f>
        <v/>
      </c>
      <c r="AH55">
        <f>IF(B55="","",IF(OR(U55=0,V55=0,W55=0,X55=0,Y55=0,Z55=0,AA55=0,AB55=0,AC55=0,AD55=0,AE55=0,AF55=0,AG55=0),1,0))</f>
        <v/>
      </c>
    </row>
    <row r="56">
      <c r="A56" s="3">
        <f>IF(B56="","",ROW()-2)</f>
        <v/>
      </c>
      <c r="P56" s="4">
        <f>IF(B56="","",SUM(C56:O56))</f>
        <v/>
      </c>
      <c r="Q56" s="5">
        <f>IF(B56="","",ROUND(P56/13,2))</f>
        <v/>
      </c>
      <c r="R56" s="5">
        <f>IF(B56="","",IF(AH56=1,0,MIN(5,ROUND((U56+V56+W56+X56+Y56+Z56+AA56+AB56+AC56+AD56+AE56+AF56+AG56)/13,2))))</f>
        <v/>
      </c>
      <c r="S56" s="3">
        <f>IF(B56="","",IF(R56&gt;=5,"A+",IF(R56&gt;=4,"A",IF(R56&gt;=3.5,"A-",IF(R56&gt;=3,"B",IF(R56&gt;=2,"C",IF(R56&gt;=1,"D","F")))))))</f>
        <v/>
      </c>
      <c r="T56" s="3">
        <f>IF(OR(B56="",S56="F"),"",COUNTIFS(P:P,"&gt;"&amp;P56,S:S,"&lt;&gt;F")+1)</f>
        <v/>
      </c>
      <c r="U56">
        <f>IF(B56="","",IF(C56&lt;33.0,0,IF(C56&gt;=100*0.8,5,IF(C56&gt;=100*0.7,4,IF(C56&gt;=100*0.6,3.5,IF(C56&gt;=100*0.5,3,IF(C56&gt;=100*0.4,2,IF(C56&gt;=100*0.33,1,0))))))))</f>
        <v/>
      </c>
      <c r="V56">
        <f>IF(B56="","",IF(D56&lt;33.0,0,IF(D56&gt;=100*0.8,5,IF(D56&gt;=100*0.7,4,IF(D56&gt;=100*0.6,3.5,IF(D56&gt;=100*0.5,3,IF(D56&gt;=100*0.4,2,IF(D56&gt;=100*0.33,1,0))))))))</f>
        <v/>
      </c>
      <c r="W56">
        <f>IF(B56="","",IF(E56&lt;16.5,0,IF(E56&gt;=50*0.8,5,IF(E56&gt;=50*0.7,4,IF(E56&gt;=50*0.6,3.5,IF(E56&gt;=50*0.5,3,IF(E56&gt;=50*0.4,2,IF(E56&gt;=50*0.33,1,0))))))))</f>
        <v/>
      </c>
      <c r="X56">
        <f>IF(B56="","",IF(F56&lt;33.0,0,IF(F56&gt;=100*0.8,5,IF(F56&gt;=100*0.7,4,IF(F56&gt;=100*0.6,3.5,IF(F56&gt;=100*0.5,3,IF(F56&gt;=100*0.4,2,IF(F56&gt;=100*0.33,1,0))))))))</f>
        <v/>
      </c>
      <c r="Y56">
        <f>IF(B56="","",IF(G56&lt;16.5,0,IF(G56&gt;=50*0.8,5,IF(G56&gt;=50*0.7,4,IF(G56&gt;=50*0.6,3.5,IF(G56&gt;=50*0.5,3,IF(G56&gt;=50*0.4,2,IF(G56&gt;=50*0.33,1,0))))))))</f>
        <v/>
      </c>
      <c r="Z56">
        <f>IF(B56="","",IF(H56&lt;33.0,0,IF(H56&gt;=100*0.8,5,IF(H56&gt;=100*0.7,4,IF(H56&gt;=100*0.6,3.5,IF(H56&gt;=100*0.5,3,IF(H56&gt;=100*0.4,2,IF(H56&gt;=100*0.33,1,0))))))))</f>
        <v/>
      </c>
      <c r="AA56">
        <f>IF(B56="","",IF(I56&lt;33.0,0,IF(I56&gt;=100*0.8,5,IF(I56&gt;=100*0.7,4,IF(I56&gt;=100*0.6,3.5,IF(I56&gt;=100*0.5,3,IF(I56&gt;=100*0.4,2,IF(I56&gt;=100*0.33,1,0))))))))</f>
        <v/>
      </c>
      <c r="AB56">
        <f>IF(B56="","",IF(J56&lt;33.0,0,IF(J56&gt;=100*0.8,5,IF(J56&gt;=100*0.7,4,IF(J56&gt;=100*0.6,3.5,IF(J56&gt;=100*0.5,3,IF(J56&gt;=100*0.4,2,IF(J56&gt;=100*0.33,1,0))))))))</f>
        <v/>
      </c>
      <c r="AC56">
        <f>IF(B56="","",IF(K56&lt;33.0,0,IF(K56&gt;=100*0.8,5,IF(K56&gt;=100*0.7,4,IF(K56&gt;=100*0.6,3.5,IF(K56&gt;=100*0.5,3,IF(K56&gt;=100*0.4,2,IF(K56&gt;=100*0.33,1,0))))))))</f>
        <v/>
      </c>
      <c r="AD56">
        <f>IF(B56="","",IF(L56&lt;33.0,0,IF(L56&gt;=100*0.8,5,IF(L56&gt;=100*0.7,4,IF(L56&gt;=100*0.6,3.5,IF(L56&gt;=100*0.5,3,IF(L56&gt;=100*0.4,2,IF(L56&gt;=100*0.33,1,0))))))))</f>
        <v/>
      </c>
      <c r="AE56">
        <f>IF(B56="","",IF(M56&lt;33.0,0,IF(M56&gt;=100*0.8,5,IF(M56&gt;=100*0.7,4,IF(M56&gt;=100*0.6,3.5,IF(M56&gt;=100*0.5,3,IF(M56&gt;=100*0.4,2,IF(M56&gt;=100*0.33,1,0))))))))</f>
        <v/>
      </c>
      <c r="AF56">
        <f>IF(B56="","",IF(N56&lt;16.5,0,IF(N56&gt;=50*0.8,5,IF(N56&gt;=50*0.7,4,IF(N56&gt;=50*0.6,3.5,IF(N56&gt;=50*0.5,3,IF(N56&gt;=50*0.4,2,IF(N56&gt;=50*0.33,1,0))))))))</f>
        <v/>
      </c>
      <c r="AG56">
        <f>IF(B56="","",IF(O56&lt;33.0,0,IF(O56&gt;=100*0.8,5,IF(O56&gt;=100*0.7,4,IF(O56&gt;=100*0.6,3.5,IF(O56&gt;=100*0.5,3,IF(O56&gt;=100*0.4,2,IF(O56&gt;=100*0.33,1,0))))))))</f>
        <v/>
      </c>
      <c r="AH56">
        <f>IF(B56="","",IF(OR(U56=0,V56=0,W56=0,X56=0,Y56=0,Z56=0,AA56=0,AB56=0,AC56=0,AD56=0,AE56=0,AF56=0,AG56=0),1,0))</f>
        <v/>
      </c>
    </row>
    <row r="57">
      <c r="A57" s="3">
        <f>IF(B57="","",ROW()-2)</f>
        <v/>
      </c>
      <c r="P57" s="4">
        <f>IF(B57="","",SUM(C57:O57))</f>
        <v/>
      </c>
      <c r="Q57" s="5">
        <f>IF(B57="","",ROUND(P57/13,2))</f>
        <v/>
      </c>
      <c r="R57" s="5">
        <f>IF(B57="","",IF(AH57=1,0,MIN(5,ROUND((U57+V57+W57+X57+Y57+Z57+AA57+AB57+AC57+AD57+AE57+AF57+AG57)/13,2))))</f>
        <v/>
      </c>
      <c r="S57" s="3">
        <f>IF(B57="","",IF(R57&gt;=5,"A+",IF(R57&gt;=4,"A",IF(R57&gt;=3.5,"A-",IF(R57&gt;=3,"B",IF(R57&gt;=2,"C",IF(R57&gt;=1,"D","F")))))))</f>
        <v/>
      </c>
      <c r="T57" s="3">
        <f>IF(OR(B57="",S57="F"),"",COUNTIFS(P:P,"&gt;"&amp;P57,S:S,"&lt;&gt;F")+1)</f>
        <v/>
      </c>
      <c r="U57">
        <f>IF(B57="","",IF(C57&lt;33.0,0,IF(C57&gt;=100*0.8,5,IF(C57&gt;=100*0.7,4,IF(C57&gt;=100*0.6,3.5,IF(C57&gt;=100*0.5,3,IF(C57&gt;=100*0.4,2,IF(C57&gt;=100*0.33,1,0))))))))</f>
        <v/>
      </c>
      <c r="V57">
        <f>IF(B57="","",IF(D57&lt;33.0,0,IF(D57&gt;=100*0.8,5,IF(D57&gt;=100*0.7,4,IF(D57&gt;=100*0.6,3.5,IF(D57&gt;=100*0.5,3,IF(D57&gt;=100*0.4,2,IF(D57&gt;=100*0.33,1,0))))))))</f>
        <v/>
      </c>
      <c r="W57">
        <f>IF(B57="","",IF(E57&lt;16.5,0,IF(E57&gt;=50*0.8,5,IF(E57&gt;=50*0.7,4,IF(E57&gt;=50*0.6,3.5,IF(E57&gt;=50*0.5,3,IF(E57&gt;=50*0.4,2,IF(E57&gt;=50*0.33,1,0))))))))</f>
        <v/>
      </c>
      <c r="X57">
        <f>IF(B57="","",IF(F57&lt;33.0,0,IF(F57&gt;=100*0.8,5,IF(F57&gt;=100*0.7,4,IF(F57&gt;=100*0.6,3.5,IF(F57&gt;=100*0.5,3,IF(F57&gt;=100*0.4,2,IF(F57&gt;=100*0.33,1,0))))))))</f>
        <v/>
      </c>
      <c r="Y57">
        <f>IF(B57="","",IF(G57&lt;16.5,0,IF(G57&gt;=50*0.8,5,IF(G57&gt;=50*0.7,4,IF(G57&gt;=50*0.6,3.5,IF(G57&gt;=50*0.5,3,IF(G57&gt;=50*0.4,2,IF(G57&gt;=50*0.33,1,0))))))))</f>
        <v/>
      </c>
      <c r="Z57">
        <f>IF(B57="","",IF(H57&lt;33.0,0,IF(H57&gt;=100*0.8,5,IF(H57&gt;=100*0.7,4,IF(H57&gt;=100*0.6,3.5,IF(H57&gt;=100*0.5,3,IF(H57&gt;=100*0.4,2,IF(H57&gt;=100*0.33,1,0))))))))</f>
        <v/>
      </c>
      <c r="AA57">
        <f>IF(B57="","",IF(I57&lt;33.0,0,IF(I57&gt;=100*0.8,5,IF(I57&gt;=100*0.7,4,IF(I57&gt;=100*0.6,3.5,IF(I57&gt;=100*0.5,3,IF(I57&gt;=100*0.4,2,IF(I57&gt;=100*0.33,1,0))))))))</f>
        <v/>
      </c>
      <c r="AB57">
        <f>IF(B57="","",IF(J57&lt;33.0,0,IF(J57&gt;=100*0.8,5,IF(J57&gt;=100*0.7,4,IF(J57&gt;=100*0.6,3.5,IF(J57&gt;=100*0.5,3,IF(J57&gt;=100*0.4,2,IF(J57&gt;=100*0.33,1,0))))))))</f>
        <v/>
      </c>
      <c r="AC57">
        <f>IF(B57="","",IF(K57&lt;33.0,0,IF(K57&gt;=100*0.8,5,IF(K57&gt;=100*0.7,4,IF(K57&gt;=100*0.6,3.5,IF(K57&gt;=100*0.5,3,IF(K57&gt;=100*0.4,2,IF(K57&gt;=100*0.33,1,0))))))))</f>
        <v/>
      </c>
      <c r="AD57">
        <f>IF(B57="","",IF(L57&lt;33.0,0,IF(L57&gt;=100*0.8,5,IF(L57&gt;=100*0.7,4,IF(L57&gt;=100*0.6,3.5,IF(L57&gt;=100*0.5,3,IF(L57&gt;=100*0.4,2,IF(L57&gt;=100*0.33,1,0))))))))</f>
        <v/>
      </c>
      <c r="AE57">
        <f>IF(B57="","",IF(M57&lt;33.0,0,IF(M57&gt;=100*0.8,5,IF(M57&gt;=100*0.7,4,IF(M57&gt;=100*0.6,3.5,IF(M57&gt;=100*0.5,3,IF(M57&gt;=100*0.4,2,IF(M57&gt;=100*0.33,1,0))))))))</f>
        <v/>
      </c>
      <c r="AF57">
        <f>IF(B57="","",IF(N57&lt;16.5,0,IF(N57&gt;=50*0.8,5,IF(N57&gt;=50*0.7,4,IF(N57&gt;=50*0.6,3.5,IF(N57&gt;=50*0.5,3,IF(N57&gt;=50*0.4,2,IF(N57&gt;=50*0.33,1,0))))))))</f>
        <v/>
      </c>
      <c r="AG57">
        <f>IF(B57="","",IF(O57&lt;33.0,0,IF(O57&gt;=100*0.8,5,IF(O57&gt;=100*0.7,4,IF(O57&gt;=100*0.6,3.5,IF(O57&gt;=100*0.5,3,IF(O57&gt;=100*0.4,2,IF(O57&gt;=100*0.33,1,0))))))))</f>
        <v/>
      </c>
      <c r="AH57">
        <f>IF(B57="","",IF(OR(U57=0,V57=0,W57=0,X57=0,Y57=0,Z57=0,AA57=0,AB57=0,AC57=0,AD57=0,AE57=0,AF57=0,AG57=0),1,0))</f>
        <v/>
      </c>
    </row>
    <row r="58">
      <c r="A58" s="3">
        <f>IF(B58="","",ROW()-2)</f>
        <v/>
      </c>
      <c r="P58" s="4">
        <f>IF(B58="","",SUM(C58:O58))</f>
        <v/>
      </c>
      <c r="Q58" s="5">
        <f>IF(B58="","",ROUND(P58/13,2))</f>
        <v/>
      </c>
      <c r="R58" s="5">
        <f>IF(B58="","",IF(AH58=1,0,MIN(5,ROUND((U58+V58+W58+X58+Y58+Z58+AA58+AB58+AC58+AD58+AE58+AF58+AG58)/13,2))))</f>
        <v/>
      </c>
      <c r="S58" s="3">
        <f>IF(B58="","",IF(R58&gt;=5,"A+",IF(R58&gt;=4,"A",IF(R58&gt;=3.5,"A-",IF(R58&gt;=3,"B",IF(R58&gt;=2,"C",IF(R58&gt;=1,"D","F")))))))</f>
        <v/>
      </c>
      <c r="T58" s="3">
        <f>IF(OR(B58="",S58="F"),"",COUNTIFS(P:P,"&gt;"&amp;P58,S:S,"&lt;&gt;F")+1)</f>
        <v/>
      </c>
      <c r="U58">
        <f>IF(B58="","",IF(C58&lt;33.0,0,IF(C58&gt;=100*0.8,5,IF(C58&gt;=100*0.7,4,IF(C58&gt;=100*0.6,3.5,IF(C58&gt;=100*0.5,3,IF(C58&gt;=100*0.4,2,IF(C58&gt;=100*0.33,1,0))))))))</f>
        <v/>
      </c>
      <c r="V58">
        <f>IF(B58="","",IF(D58&lt;33.0,0,IF(D58&gt;=100*0.8,5,IF(D58&gt;=100*0.7,4,IF(D58&gt;=100*0.6,3.5,IF(D58&gt;=100*0.5,3,IF(D58&gt;=100*0.4,2,IF(D58&gt;=100*0.33,1,0))))))))</f>
        <v/>
      </c>
      <c r="W58">
        <f>IF(B58="","",IF(E58&lt;16.5,0,IF(E58&gt;=50*0.8,5,IF(E58&gt;=50*0.7,4,IF(E58&gt;=50*0.6,3.5,IF(E58&gt;=50*0.5,3,IF(E58&gt;=50*0.4,2,IF(E58&gt;=50*0.33,1,0))))))))</f>
        <v/>
      </c>
      <c r="X58">
        <f>IF(B58="","",IF(F58&lt;33.0,0,IF(F58&gt;=100*0.8,5,IF(F58&gt;=100*0.7,4,IF(F58&gt;=100*0.6,3.5,IF(F58&gt;=100*0.5,3,IF(F58&gt;=100*0.4,2,IF(F58&gt;=100*0.33,1,0))))))))</f>
        <v/>
      </c>
      <c r="Y58">
        <f>IF(B58="","",IF(G58&lt;16.5,0,IF(G58&gt;=50*0.8,5,IF(G58&gt;=50*0.7,4,IF(G58&gt;=50*0.6,3.5,IF(G58&gt;=50*0.5,3,IF(G58&gt;=50*0.4,2,IF(G58&gt;=50*0.33,1,0))))))))</f>
        <v/>
      </c>
      <c r="Z58">
        <f>IF(B58="","",IF(H58&lt;33.0,0,IF(H58&gt;=100*0.8,5,IF(H58&gt;=100*0.7,4,IF(H58&gt;=100*0.6,3.5,IF(H58&gt;=100*0.5,3,IF(H58&gt;=100*0.4,2,IF(H58&gt;=100*0.33,1,0))))))))</f>
        <v/>
      </c>
      <c r="AA58">
        <f>IF(B58="","",IF(I58&lt;33.0,0,IF(I58&gt;=100*0.8,5,IF(I58&gt;=100*0.7,4,IF(I58&gt;=100*0.6,3.5,IF(I58&gt;=100*0.5,3,IF(I58&gt;=100*0.4,2,IF(I58&gt;=100*0.33,1,0))))))))</f>
        <v/>
      </c>
      <c r="AB58">
        <f>IF(B58="","",IF(J58&lt;33.0,0,IF(J58&gt;=100*0.8,5,IF(J58&gt;=100*0.7,4,IF(J58&gt;=100*0.6,3.5,IF(J58&gt;=100*0.5,3,IF(J58&gt;=100*0.4,2,IF(J58&gt;=100*0.33,1,0))))))))</f>
        <v/>
      </c>
      <c r="AC58">
        <f>IF(B58="","",IF(K58&lt;33.0,0,IF(K58&gt;=100*0.8,5,IF(K58&gt;=100*0.7,4,IF(K58&gt;=100*0.6,3.5,IF(K58&gt;=100*0.5,3,IF(K58&gt;=100*0.4,2,IF(K58&gt;=100*0.33,1,0))))))))</f>
        <v/>
      </c>
      <c r="AD58">
        <f>IF(B58="","",IF(L58&lt;33.0,0,IF(L58&gt;=100*0.8,5,IF(L58&gt;=100*0.7,4,IF(L58&gt;=100*0.6,3.5,IF(L58&gt;=100*0.5,3,IF(L58&gt;=100*0.4,2,IF(L58&gt;=100*0.33,1,0))))))))</f>
        <v/>
      </c>
      <c r="AE58">
        <f>IF(B58="","",IF(M58&lt;33.0,0,IF(M58&gt;=100*0.8,5,IF(M58&gt;=100*0.7,4,IF(M58&gt;=100*0.6,3.5,IF(M58&gt;=100*0.5,3,IF(M58&gt;=100*0.4,2,IF(M58&gt;=100*0.33,1,0))))))))</f>
        <v/>
      </c>
      <c r="AF58">
        <f>IF(B58="","",IF(N58&lt;16.5,0,IF(N58&gt;=50*0.8,5,IF(N58&gt;=50*0.7,4,IF(N58&gt;=50*0.6,3.5,IF(N58&gt;=50*0.5,3,IF(N58&gt;=50*0.4,2,IF(N58&gt;=50*0.33,1,0))))))))</f>
        <v/>
      </c>
      <c r="AG58">
        <f>IF(B58="","",IF(O58&lt;33.0,0,IF(O58&gt;=100*0.8,5,IF(O58&gt;=100*0.7,4,IF(O58&gt;=100*0.6,3.5,IF(O58&gt;=100*0.5,3,IF(O58&gt;=100*0.4,2,IF(O58&gt;=100*0.33,1,0))))))))</f>
        <v/>
      </c>
      <c r="AH58">
        <f>IF(B58="","",IF(OR(U58=0,V58=0,W58=0,X58=0,Y58=0,Z58=0,AA58=0,AB58=0,AC58=0,AD58=0,AE58=0,AF58=0,AG58=0),1,0))</f>
        <v/>
      </c>
    </row>
    <row r="59">
      <c r="A59" s="3">
        <f>IF(B59="","",ROW()-2)</f>
        <v/>
      </c>
      <c r="P59" s="4">
        <f>IF(B59="","",SUM(C59:O59))</f>
        <v/>
      </c>
      <c r="Q59" s="5">
        <f>IF(B59="","",ROUND(P59/13,2))</f>
        <v/>
      </c>
      <c r="R59" s="5">
        <f>IF(B59="","",IF(AH59=1,0,MIN(5,ROUND((U59+V59+W59+X59+Y59+Z59+AA59+AB59+AC59+AD59+AE59+AF59+AG59)/13,2))))</f>
        <v/>
      </c>
      <c r="S59" s="3">
        <f>IF(B59="","",IF(R59&gt;=5,"A+",IF(R59&gt;=4,"A",IF(R59&gt;=3.5,"A-",IF(R59&gt;=3,"B",IF(R59&gt;=2,"C",IF(R59&gt;=1,"D","F")))))))</f>
        <v/>
      </c>
      <c r="T59" s="3">
        <f>IF(OR(B59="",S59="F"),"",COUNTIFS(P:P,"&gt;"&amp;P59,S:S,"&lt;&gt;F")+1)</f>
        <v/>
      </c>
      <c r="U59">
        <f>IF(B59="","",IF(C59&lt;33.0,0,IF(C59&gt;=100*0.8,5,IF(C59&gt;=100*0.7,4,IF(C59&gt;=100*0.6,3.5,IF(C59&gt;=100*0.5,3,IF(C59&gt;=100*0.4,2,IF(C59&gt;=100*0.33,1,0))))))))</f>
        <v/>
      </c>
      <c r="V59">
        <f>IF(B59="","",IF(D59&lt;33.0,0,IF(D59&gt;=100*0.8,5,IF(D59&gt;=100*0.7,4,IF(D59&gt;=100*0.6,3.5,IF(D59&gt;=100*0.5,3,IF(D59&gt;=100*0.4,2,IF(D59&gt;=100*0.33,1,0))))))))</f>
        <v/>
      </c>
      <c r="W59">
        <f>IF(B59="","",IF(E59&lt;16.5,0,IF(E59&gt;=50*0.8,5,IF(E59&gt;=50*0.7,4,IF(E59&gt;=50*0.6,3.5,IF(E59&gt;=50*0.5,3,IF(E59&gt;=50*0.4,2,IF(E59&gt;=50*0.33,1,0))))))))</f>
        <v/>
      </c>
      <c r="X59">
        <f>IF(B59="","",IF(F59&lt;33.0,0,IF(F59&gt;=100*0.8,5,IF(F59&gt;=100*0.7,4,IF(F59&gt;=100*0.6,3.5,IF(F59&gt;=100*0.5,3,IF(F59&gt;=100*0.4,2,IF(F59&gt;=100*0.33,1,0))))))))</f>
        <v/>
      </c>
      <c r="Y59">
        <f>IF(B59="","",IF(G59&lt;16.5,0,IF(G59&gt;=50*0.8,5,IF(G59&gt;=50*0.7,4,IF(G59&gt;=50*0.6,3.5,IF(G59&gt;=50*0.5,3,IF(G59&gt;=50*0.4,2,IF(G59&gt;=50*0.33,1,0))))))))</f>
        <v/>
      </c>
      <c r="Z59">
        <f>IF(B59="","",IF(H59&lt;33.0,0,IF(H59&gt;=100*0.8,5,IF(H59&gt;=100*0.7,4,IF(H59&gt;=100*0.6,3.5,IF(H59&gt;=100*0.5,3,IF(H59&gt;=100*0.4,2,IF(H59&gt;=100*0.33,1,0))))))))</f>
        <v/>
      </c>
      <c r="AA59">
        <f>IF(B59="","",IF(I59&lt;33.0,0,IF(I59&gt;=100*0.8,5,IF(I59&gt;=100*0.7,4,IF(I59&gt;=100*0.6,3.5,IF(I59&gt;=100*0.5,3,IF(I59&gt;=100*0.4,2,IF(I59&gt;=100*0.33,1,0))))))))</f>
        <v/>
      </c>
      <c r="AB59">
        <f>IF(B59="","",IF(J59&lt;33.0,0,IF(J59&gt;=100*0.8,5,IF(J59&gt;=100*0.7,4,IF(J59&gt;=100*0.6,3.5,IF(J59&gt;=100*0.5,3,IF(J59&gt;=100*0.4,2,IF(J59&gt;=100*0.33,1,0))))))))</f>
        <v/>
      </c>
      <c r="AC59">
        <f>IF(B59="","",IF(K59&lt;33.0,0,IF(K59&gt;=100*0.8,5,IF(K59&gt;=100*0.7,4,IF(K59&gt;=100*0.6,3.5,IF(K59&gt;=100*0.5,3,IF(K59&gt;=100*0.4,2,IF(K59&gt;=100*0.33,1,0))))))))</f>
        <v/>
      </c>
      <c r="AD59">
        <f>IF(B59="","",IF(L59&lt;33.0,0,IF(L59&gt;=100*0.8,5,IF(L59&gt;=100*0.7,4,IF(L59&gt;=100*0.6,3.5,IF(L59&gt;=100*0.5,3,IF(L59&gt;=100*0.4,2,IF(L59&gt;=100*0.33,1,0))))))))</f>
        <v/>
      </c>
      <c r="AE59">
        <f>IF(B59="","",IF(M59&lt;33.0,0,IF(M59&gt;=100*0.8,5,IF(M59&gt;=100*0.7,4,IF(M59&gt;=100*0.6,3.5,IF(M59&gt;=100*0.5,3,IF(M59&gt;=100*0.4,2,IF(M59&gt;=100*0.33,1,0))))))))</f>
        <v/>
      </c>
      <c r="AF59">
        <f>IF(B59="","",IF(N59&lt;16.5,0,IF(N59&gt;=50*0.8,5,IF(N59&gt;=50*0.7,4,IF(N59&gt;=50*0.6,3.5,IF(N59&gt;=50*0.5,3,IF(N59&gt;=50*0.4,2,IF(N59&gt;=50*0.33,1,0))))))))</f>
        <v/>
      </c>
      <c r="AG59">
        <f>IF(B59="","",IF(O59&lt;33.0,0,IF(O59&gt;=100*0.8,5,IF(O59&gt;=100*0.7,4,IF(O59&gt;=100*0.6,3.5,IF(O59&gt;=100*0.5,3,IF(O59&gt;=100*0.4,2,IF(O59&gt;=100*0.33,1,0))))))))</f>
        <v/>
      </c>
      <c r="AH59">
        <f>IF(B59="","",IF(OR(U59=0,V59=0,W59=0,X59=0,Y59=0,Z59=0,AA59=0,AB59=0,AC59=0,AD59=0,AE59=0,AF59=0,AG59=0),1,0))</f>
        <v/>
      </c>
    </row>
    <row r="60">
      <c r="A60" s="3">
        <f>IF(B60="","",ROW()-2)</f>
        <v/>
      </c>
      <c r="P60" s="4">
        <f>IF(B60="","",SUM(C60:O60))</f>
        <v/>
      </c>
      <c r="Q60" s="5">
        <f>IF(B60="","",ROUND(P60/13,2))</f>
        <v/>
      </c>
      <c r="R60" s="5">
        <f>IF(B60="","",IF(AH60=1,0,MIN(5,ROUND((U60+V60+W60+X60+Y60+Z60+AA60+AB60+AC60+AD60+AE60+AF60+AG60)/13,2))))</f>
        <v/>
      </c>
      <c r="S60" s="3">
        <f>IF(B60="","",IF(R60&gt;=5,"A+",IF(R60&gt;=4,"A",IF(R60&gt;=3.5,"A-",IF(R60&gt;=3,"B",IF(R60&gt;=2,"C",IF(R60&gt;=1,"D","F")))))))</f>
        <v/>
      </c>
      <c r="T60" s="3">
        <f>IF(OR(B60="",S60="F"),"",COUNTIFS(P:P,"&gt;"&amp;P60,S:S,"&lt;&gt;F")+1)</f>
        <v/>
      </c>
      <c r="U60">
        <f>IF(B60="","",IF(C60&lt;33.0,0,IF(C60&gt;=100*0.8,5,IF(C60&gt;=100*0.7,4,IF(C60&gt;=100*0.6,3.5,IF(C60&gt;=100*0.5,3,IF(C60&gt;=100*0.4,2,IF(C60&gt;=100*0.33,1,0))))))))</f>
        <v/>
      </c>
      <c r="V60">
        <f>IF(B60="","",IF(D60&lt;33.0,0,IF(D60&gt;=100*0.8,5,IF(D60&gt;=100*0.7,4,IF(D60&gt;=100*0.6,3.5,IF(D60&gt;=100*0.5,3,IF(D60&gt;=100*0.4,2,IF(D60&gt;=100*0.33,1,0))))))))</f>
        <v/>
      </c>
      <c r="W60">
        <f>IF(B60="","",IF(E60&lt;16.5,0,IF(E60&gt;=50*0.8,5,IF(E60&gt;=50*0.7,4,IF(E60&gt;=50*0.6,3.5,IF(E60&gt;=50*0.5,3,IF(E60&gt;=50*0.4,2,IF(E60&gt;=50*0.33,1,0))))))))</f>
        <v/>
      </c>
      <c r="X60">
        <f>IF(B60="","",IF(F60&lt;33.0,0,IF(F60&gt;=100*0.8,5,IF(F60&gt;=100*0.7,4,IF(F60&gt;=100*0.6,3.5,IF(F60&gt;=100*0.5,3,IF(F60&gt;=100*0.4,2,IF(F60&gt;=100*0.33,1,0))))))))</f>
        <v/>
      </c>
      <c r="Y60">
        <f>IF(B60="","",IF(G60&lt;16.5,0,IF(G60&gt;=50*0.8,5,IF(G60&gt;=50*0.7,4,IF(G60&gt;=50*0.6,3.5,IF(G60&gt;=50*0.5,3,IF(G60&gt;=50*0.4,2,IF(G60&gt;=50*0.33,1,0))))))))</f>
        <v/>
      </c>
      <c r="Z60">
        <f>IF(B60="","",IF(H60&lt;33.0,0,IF(H60&gt;=100*0.8,5,IF(H60&gt;=100*0.7,4,IF(H60&gt;=100*0.6,3.5,IF(H60&gt;=100*0.5,3,IF(H60&gt;=100*0.4,2,IF(H60&gt;=100*0.33,1,0))))))))</f>
        <v/>
      </c>
      <c r="AA60">
        <f>IF(B60="","",IF(I60&lt;33.0,0,IF(I60&gt;=100*0.8,5,IF(I60&gt;=100*0.7,4,IF(I60&gt;=100*0.6,3.5,IF(I60&gt;=100*0.5,3,IF(I60&gt;=100*0.4,2,IF(I60&gt;=100*0.33,1,0))))))))</f>
        <v/>
      </c>
      <c r="AB60">
        <f>IF(B60="","",IF(J60&lt;33.0,0,IF(J60&gt;=100*0.8,5,IF(J60&gt;=100*0.7,4,IF(J60&gt;=100*0.6,3.5,IF(J60&gt;=100*0.5,3,IF(J60&gt;=100*0.4,2,IF(J60&gt;=100*0.33,1,0))))))))</f>
        <v/>
      </c>
      <c r="AC60">
        <f>IF(B60="","",IF(K60&lt;33.0,0,IF(K60&gt;=100*0.8,5,IF(K60&gt;=100*0.7,4,IF(K60&gt;=100*0.6,3.5,IF(K60&gt;=100*0.5,3,IF(K60&gt;=100*0.4,2,IF(K60&gt;=100*0.33,1,0))))))))</f>
        <v/>
      </c>
      <c r="AD60">
        <f>IF(B60="","",IF(L60&lt;33.0,0,IF(L60&gt;=100*0.8,5,IF(L60&gt;=100*0.7,4,IF(L60&gt;=100*0.6,3.5,IF(L60&gt;=100*0.5,3,IF(L60&gt;=100*0.4,2,IF(L60&gt;=100*0.33,1,0))))))))</f>
        <v/>
      </c>
      <c r="AE60">
        <f>IF(B60="","",IF(M60&lt;33.0,0,IF(M60&gt;=100*0.8,5,IF(M60&gt;=100*0.7,4,IF(M60&gt;=100*0.6,3.5,IF(M60&gt;=100*0.5,3,IF(M60&gt;=100*0.4,2,IF(M60&gt;=100*0.33,1,0))))))))</f>
        <v/>
      </c>
      <c r="AF60">
        <f>IF(B60="","",IF(N60&lt;16.5,0,IF(N60&gt;=50*0.8,5,IF(N60&gt;=50*0.7,4,IF(N60&gt;=50*0.6,3.5,IF(N60&gt;=50*0.5,3,IF(N60&gt;=50*0.4,2,IF(N60&gt;=50*0.33,1,0))))))))</f>
        <v/>
      </c>
      <c r="AG60">
        <f>IF(B60="","",IF(O60&lt;33.0,0,IF(O60&gt;=100*0.8,5,IF(O60&gt;=100*0.7,4,IF(O60&gt;=100*0.6,3.5,IF(O60&gt;=100*0.5,3,IF(O60&gt;=100*0.4,2,IF(O60&gt;=100*0.33,1,0))))))))</f>
        <v/>
      </c>
      <c r="AH60">
        <f>IF(B60="","",IF(OR(U60=0,V60=0,W60=0,X60=0,Y60=0,Z60=0,AA60=0,AB60=0,AC60=0,AD60=0,AE60=0,AF60=0,AG60=0),1,0))</f>
        <v/>
      </c>
    </row>
    <row r="61">
      <c r="A61" s="3">
        <f>IF(B61="","",ROW()-2)</f>
        <v/>
      </c>
      <c r="P61" s="4">
        <f>IF(B61="","",SUM(C61:O61))</f>
        <v/>
      </c>
      <c r="Q61" s="5">
        <f>IF(B61="","",ROUND(P61/13,2))</f>
        <v/>
      </c>
      <c r="R61" s="5">
        <f>IF(B61="","",IF(AH61=1,0,MIN(5,ROUND((U61+V61+W61+X61+Y61+Z61+AA61+AB61+AC61+AD61+AE61+AF61+AG61)/13,2))))</f>
        <v/>
      </c>
      <c r="S61" s="3">
        <f>IF(B61="","",IF(R61&gt;=5,"A+",IF(R61&gt;=4,"A",IF(R61&gt;=3.5,"A-",IF(R61&gt;=3,"B",IF(R61&gt;=2,"C",IF(R61&gt;=1,"D","F")))))))</f>
        <v/>
      </c>
      <c r="T61" s="3">
        <f>IF(OR(B61="",S61="F"),"",COUNTIFS(P:P,"&gt;"&amp;P61,S:S,"&lt;&gt;F")+1)</f>
        <v/>
      </c>
      <c r="U61">
        <f>IF(B61="","",IF(C61&lt;33.0,0,IF(C61&gt;=100*0.8,5,IF(C61&gt;=100*0.7,4,IF(C61&gt;=100*0.6,3.5,IF(C61&gt;=100*0.5,3,IF(C61&gt;=100*0.4,2,IF(C61&gt;=100*0.33,1,0))))))))</f>
        <v/>
      </c>
      <c r="V61">
        <f>IF(B61="","",IF(D61&lt;33.0,0,IF(D61&gt;=100*0.8,5,IF(D61&gt;=100*0.7,4,IF(D61&gt;=100*0.6,3.5,IF(D61&gt;=100*0.5,3,IF(D61&gt;=100*0.4,2,IF(D61&gt;=100*0.33,1,0))))))))</f>
        <v/>
      </c>
      <c r="W61">
        <f>IF(B61="","",IF(E61&lt;16.5,0,IF(E61&gt;=50*0.8,5,IF(E61&gt;=50*0.7,4,IF(E61&gt;=50*0.6,3.5,IF(E61&gt;=50*0.5,3,IF(E61&gt;=50*0.4,2,IF(E61&gt;=50*0.33,1,0))))))))</f>
        <v/>
      </c>
      <c r="X61">
        <f>IF(B61="","",IF(F61&lt;33.0,0,IF(F61&gt;=100*0.8,5,IF(F61&gt;=100*0.7,4,IF(F61&gt;=100*0.6,3.5,IF(F61&gt;=100*0.5,3,IF(F61&gt;=100*0.4,2,IF(F61&gt;=100*0.33,1,0))))))))</f>
        <v/>
      </c>
      <c r="Y61">
        <f>IF(B61="","",IF(G61&lt;16.5,0,IF(G61&gt;=50*0.8,5,IF(G61&gt;=50*0.7,4,IF(G61&gt;=50*0.6,3.5,IF(G61&gt;=50*0.5,3,IF(G61&gt;=50*0.4,2,IF(G61&gt;=50*0.33,1,0))))))))</f>
        <v/>
      </c>
      <c r="Z61">
        <f>IF(B61="","",IF(H61&lt;33.0,0,IF(H61&gt;=100*0.8,5,IF(H61&gt;=100*0.7,4,IF(H61&gt;=100*0.6,3.5,IF(H61&gt;=100*0.5,3,IF(H61&gt;=100*0.4,2,IF(H61&gt;=100*0.33,1,0))))))))</f>
        <v/>
      </c>
      <c r="AA61">
        <f>IF(B61="","",IF(I61&lt;33.0,0,IF(I61&gt;=100*0.8,5,IF(I61&gt;=100*0.7,4,IF(I61&gt;=100*0.6,3.5,IF(I61&gt;=100*0.5,3,IF(I61&gt;=100*0.4,2,IF(I61&gt;=100*0.33,1,0))))))))</f>
        <v/>
      </c>
      <c r="AB61">
        <f>IF(B61="","",IF(J61&lt;33.0,0,IF(J61&gt;=100*0.8,5,IF(J61&gt;=100*0.7,4,IF(J61&gt;=100*0.6,3.5,IF(J61&gt;=100*0.5,3,IF(J61&gt;=100*0.4,2,IF(J61&gt;=100*0.33,1,0))))))))</f>
        <v/>
      </c>
      <c r="AC61">
        <f>IF(B61="","",IF(K61&lt;33.0,0,IF(K61&gt;=100*0.8,5,IF(K61&gt;=100*0.7,4,IF(K61&gt;=100*0.6,3.5,IF(K61&gt;=100*0.5,3,IF(K61&gt;=100*0.4,2,IF(K61&gt;=100*0.33,1,0))))))))</f>
        <v/>
      </c>
      <c r="AD61">
        <f>IF(B61="","",IF(L61&lt;33.0,0,IF(L61&gt;=100*0.8,5,IF(L61&gt;=100*0.7,4,IF(L61&gt;=100*0.6,3.5,IF(L61&gt;=100*0.5,3,IF(L61&gt;=100*0.4,2,IF(L61&gt;=100*0.33,1,0))))))))</f>
        <v/>
      </c>
      <c r="AE61">
        <f>IF(B61="","",IF(M61&lt;33.0,0,IF(M61&gt;=100*0.8,5,IF(M61&gt;=100*0.7,4,IF(M61&gt;=100*0.6,3.5,IF(M61&gt;=100*0.5,3,IF(M61&gt;=100*0.4,2,IF(M61&gt;=100*0.33,1,0))))))))</f>
        <v/>
      </c>
      <c r="AF61">
        <f>IF(B61="","",IF(N61&lt;16.5,0,IF(N61&gt;=50*0.8,5,IF(N61&gt;=50*0.7,4,IF(N61&gt;=50*0.6,3.5,IF(N61&gt;=50*0.5,3,IF(N61&gt;=50*0.4,2,IF(N61&gt;=50*0.33,1,0))))))))</f>
        <v/>
      </c>
      <c r="AG61">
        <f>IF(B61="","",IF(O61&lt;33.0,0,IF(O61&gt;=100*0.8,5,IF(O61&gt;=100*0.7,4,IF(O61&gt;=100*0.6,3.5,IF(O61&gt;=100*0.5,3,IF(O61&gt;=100*0.4,2,IF(O61&gt;=100*0.33,1,0))))))))</f>
        <v/>
      </c>
      <c r="AH61">
        <f>IF(B61="","",IF(OR(U61=0,V61=0,W61=0,X61=0,Y61=0,Z61=0,AA61=0,AB61=0,AC61=0,AD61=0,AE61=0,AF61=0,AG61=0),1,0))</f>
        <v/>
      </c>
    </row>
    <row r="62">
      <c r="A62" s="3">
        <f>IF(B62="","",ROW()-2)</f>
        <v/>
      </c>
      <c r="P62" s="4">
        <f>IF(B62="","",SUM(C62:O62))</f>
        <v/>
      </c>
      <c r="Q62" s="5">
        <f>IF(B62="","",ROUND(P62/13,2))</f>
        <v/>
      </c>
      <c r="R62" s="5">
        <f>IF(B62="","",IF(AH62=1,0,MIN(5,ROUND((U62+V62+W62+X62+Y62+Z62+AA62+AB62+AC62+AD62+AE62+AF62+AG62)/13,2))))</f>
        <v/>
      </c>
      <c r="S62" s="3">
        <f>IF(B62="","",IF(R62&gt;=5,"A+",IF(R62&gt;=4,"A",IF(R62&gt;=3.5,"A-",IF(R62&gt;=3,"B",IF(R62&gt;=2,"C",IF(R62&gt;=1,"D","F")))))))</f>
        <v/>
      </c>
      <c r="T62" s="3">
        <f>IF(OR(B62="",S62="F"),"",COUNTIFS(P:P,"&gt;"&amp;P62,S:S,"&lt;&gt;F")+1)</f>
        <v/>
      </c>
      <c r="U62">
        <f>IF(B62="","",IF(C62&lt;33.0,0,IF(C62&gt;=100*0.8,5,IF(C62&gt;=100*0.7,4,IF(C62&gt;=100*0.6,3.5,IF(C62&gt;=100*0.5,3,IF(C62&gt;=100*0.4,2,IF(C62&gt;=100*0.33,1,0))))))))</f>
        <v/>
      </c>
      <c r="V62">
        <f>IF(B62="","",IF(D62&lt;33.0,0,IF(D62&gt;=100*0.8,5,IF(D62&gt;=100*0.7,4,IF(D62&gt;=100*0.6,3.5,IF(D62&gt;=100*0.5,3,IF(D62&gt;=100*0.4,2,IF(D62&gt;=100*0.33,1,0))))))))</f>
        <v/>
      </c>
      <c r="W62">
        <f>IF(B62="","",IF(E62&lt;16.5,0,IF(E62&gt;=50*0.8,5,IF(E62&gt;=50*0.7,4,IF(E62&gt;=50*0.6,3.5,IF(E62&gt;=50*0.5,3,IF(E62&gt;=50*0.4,2,IF(E62&gt;=50*0.33,1,0))))))))</f>
        <v/>
      </c>
      <c r="X62">
        <f>IF(B62="","",IF(F62&lt;33.0,0,IF(F62&gt;=100*0.8,5,IF(F62&gt;=100*0.7,4,IF(F62&gt;=100*0.6,3.5,IF(F62&gt;=100*0.5,3,IF(F62&gt;=100*0.4,2,IF(F62&gt;=100*0.33,1,0))))))))</f>
        <v/>
      </c>
      <c r="Y62">
        <f>IF(B62="","",IF(G62&lt;16.5,0,IF(G62&gt;=50*0.8,5,IF(G62&gt;=50*0.7,4,IF(G62&gt;=50*0.6,3.5,IF(G62&gt;=50*0.5,3,IF(G62&gt;=50*0.4,2,IF(G62&gt;=50*0.33,1,0))))))))</f>
        <v/>
      </c>
      <c r="Z62">
        <f>IF(B62="","",IF(H62&lt;33.0,0,IF(H62&gt;=100*0.8,5,IF(H62&gt;=100*0.7,4,IF(H62&gt;=100*0.6,3.5,IF(H62&gt;=100*0.5,3,IF(H62&gt;=100*0.4,2,IF(H62&gt;=100*0.33,1,0))))))))</f>
        <v/>
      </c>
      <c r="AA62">
        <f>IF(B62="","",IF(I62&lt;33.0,0,IF(I62&gt;=100*0.8,5,IF(I62&gt;=100*0.7,4,IF(I62&gt;=100*0.6,3.5,IF(I62&gt;=100*0.5,3,IF(I62&gt;=100*0.4,2,IF(I62&gt;=100*0.33,1,0))))))))</f>
        <v/>
      </c>
      <c r="AB62">
        <f>IF(B62="","",IF(J62&lt;33.0,0,IF(J62&gt;=100*0.8,5,IF(J62&gt;=100*0.7,4,IF(J62&gt;=100*0.6,3.5,IF(J62&gt;=100*0.5,3,IF(J62&gt;=100*0.4,2,IF(J62&gt;=100*0.33,1,0))))))))</f>
        <v/>
      </c>
      <c r="AC62">
        <f>IF(B62="","",IF(K62&lt;33.0,0,IF(K62&gt;=100*0.8,5,IF(K62&gt;=100*0.7,4,IF(K62&gt;=100*0.6,3.5,IF(K62&gt;=100*0.5,3,IF(K62&gt;=100*0.4,2,IF(K62&gt;=100*0.33,1,0))))))))</f>
        <v/>
      </c>
      <c r="AD62">
        <f>IF(B62="","",IF(L62&lt;33.0,0,IF(L62&gt;=100*0.8,5,IF(L62&gt;=100*0.7,4,IF(L62&gt;=100*0.6,3.5,IF(L62&gt;=100*0.5,3,IF(L62&gt;=100*0.4,2,IF(L62&gt;=100*0.33,1,0))))))))</f>
        <v/>
      </c>
      <c r="AE62">
        <f>IF(B62="","",IF(M62&lt;33.0,0,IF(M62&gt;=100*0.8,5,IF(M62&gt;=100*0.7,4,IF(M62&gt;=100*0.6,3.5,IF(M62&gt;=100*0.5,3,IF(M62&gt;=100*0.4,2,IF(M62&gt;=100*0.33,1,0))))))))</f>
        <v/>
      </c>
      <c r="AF62">
        <f>IF(B62="","",IF(N62&lt;16.5,0,IF(N62&gt;=50*0.8,5,IF(N62&gt;=50*0.7,4,IF(N62&gt;=50*0.6,3.5,IF(N62&gt;=50*0.5,3,IF(N62&gt;=50*0.4,2,IF(N62&gt;=50*0.33,1,0))))))))</f>
        <v/>
      </c>
      <c r="AG62">
        <f>IF(B62="","",IF(O62&lt;33.0,0,IF(O62&gt;=100*0.8,5,IF(O62&gt;=100*0.7,4,IF(O62&gt;=100*0.6,3.5,IF(O62&gt;=100*0.5,3,IF(O62&gt;=100*0.4,2,IF(O62&gt;=100*0.33,1,0))))))))</f>
        <v/>
      </c>
      <c r="AH62">
        <f>IF(B62="","",IF(OR(U62=0,V62=0,W62=0,X62=0,Y62=0,Z62=0,AA62=0,AB62=0,AC62=0,AD62=0,AE62=0,AF62=0,AG62=0),1,0))</f>
        <v/>
      </c>
    </row>
    <row r="63">
      <c r="A63" s="3">
        <f>IF(B63="","",ROW()-2)</f>
        <v/>
      </c>
      <c r="P63" s="4">
        <f>IF(B63="","",SUM(C63:O63))</f>
        <v/>
      </c>
      <c r="Q63" s="5">
        <f>IF(B63="","",ROUND(P63/13,2))</f>
        <v/>
      </c>
      <c r="R63" s="5">
        <f>IF(B63="","",IF(AH63=1,0,MIN(5,ROUND((U63+V63+W63+X63+Y63+Z63+AA63+AB63+AC63+AD63+AE63+AF63+AG63)/13,2))))</f>
        <v/>
      </c>
      <c r="S63" s="3">
        <f>IF(B63="","",IF(R63&gt;=5,"A+",IF(R63&gt;=4,"A",IF(R63&gt;=3.5,"A-",IF(R63&gt;=3,"B",IF(R63&gt;=2,"C",IF(R63&gt;=1,"D","F")))))))</f>
        <v/>
      </c>
      <c r="T63" s="3">
        <f>IF(OR(B63="",S63="F"),"",COUNTIFS(P:P,"&gt;"&amp;P63,S:S,"&lt;&gt;F")+1)</f>
        <v/>
      </c>
      <c r="U63">
        <f>IF(B63="","",IF(C63&lt;33.0,0,IF(C63&gt;=100*0.8,5,IF(C63&gt;=100*0.7,4,IF(C63&gt;=100*0.6,3.5,IF(C63&gt;=100*0.5,3,IF(C63&gt;=100*0.4,2,IF(C63&gt;=100*0.33,1,0))))))))</f>
        <v/>
      </c>
      <c r="V63">
        <f>IF(B63="","",IF(D63&lt;33.0,0,IF(D63&gt;=100*0.8,5,IF(D63&gt;=100*0.7,4,IF(D63&gt;=100*0.6,3.5,IF(D63&gt;=100*0.5,3,IF(D63&gt;=100*0.4,2,IF(D63&gt;=100*0.33,1,0))))))))</f>
        <v/>
      </c>
      <c r="W63">
        <f>IF(B63="","",IF(E63&lt;16.5,0,IF(E63&gt;=50*0.8,5,IF(E63&gt;=50*0.7,4,IF(E63&gt;=50*0.6,3.5,IF(E63&gt;=50*0.5,3,IF(E63&gt;=50*0.4,2,IF(E63&gt;=50*0.33,1,0))))))))</f>
        <v/>
      </c>
      <c r="X63">
        <f>IF(B63="","",IF(F63&lt;33.0,0,IF(F63&gt;=100*0.8,5,IF(F63&gt;=100*0.7,4,IF(F63&gt;=100*0.6,3.5,IF(F63&gt;=100*0.5,3,IF(F63&gt;=100*0.4,2,IF(F63&gt;=100*0.33,1,0))))))))</f>
        <v/>
      </c>
      <c r="Y63">
        <f>IF(B63="","",IF(G63&lt;16.5,0,IF(G63&gt;=50*0.8,5,IF(G63&gt;=50*0.7,4,IF(G63&gt;=50*0.6,3.5,IF(G63&gt;=50*0.5,3,IF(G63&gt;=50*0.4,2,IF(G63&gt;=50*0.33,1,0))))))))</f>
        <v/>
      </c>
      <c r="Z63">
        <f>IF(B63="","",IF(H63&lt;33.0,0,IF(H63&gt;=100*0.8,5,IF(H63&gt;=100*0.7,4,IF(H63&gt;=100*0.6,3.5,IF(H63&gt;=100*0.5,3,IF(H63&gt;=100*0.4,2,IF(H63&gt;=100*0.33,1,0))))))))</f>
        <v/>
      </c>
      <c r="AA63">
        <f>IF(B63="","",IF(I63&lt;33.0,0,IF(I63&gt;=100*0.8,5,IF(I63&gt;=100*0.7,4,IF(I63&gt;=100*0.6,3.5,IF(I63&gt;=100*0.5,3,IF(I63&gt;=100*0.4,2,IF(I63&gt;=100*0.33,1,0))))))))</f>
        <v/>
      </c>
      <c r="AB63">
        <f>IF(B63="","",IF(J63&lt;33.0,0,IF(J63&gt;=100*0.8,5,IF(J63&gt;=100*0.7,4,IF(J63&gt;=100*0.6,3.5,IF(J63&gt;=100*0.5,3,IF(J63&gt;=100*0.4,2,IF(J63&gt;=100*0.33,1,0))))))))</f>
        <v/>
      </c>
      <c r="AC63">
        <f>IF(B63="","",IF(K63&lt;33.0,0,IF(K63&gt;=100*0.8,5,IF(K63&gt;=100*0.7,4,IF(K63&gt;=100*0.6,3.5,IF(K63&gt;=100*0.5,3,IF(K63&gt;=100*0.4,2,IF(K63&gt;=100*0.33,1,0))))))))</f>
        <v/>
      </c>
      <c r="AD63">
        <f>IF(B63="","",IF(L63&lt;33.0,0,IF(L63&gt;=100*0.8,5,IF(L63&gt;=100*0.7,4,IF(L63&gt;=100*0.6,3.5,IF(L63&gt;=100*0.5,3,IF(L63&gt;=100*0.4,2,IF(L63&gt;=100*0.33,1,0))))))))</f>
        <v/>
      </c>
      <c r="AE63">
        <f>IF(B63="","",IF(M63&lt;33.0,0,IF(M63&gt;=100*0.8,5,IF(M63&gt;=100*0.7,4,IF(M63&gt;=100*0.6,3.5,IF(M63&gt;=100*0.5,3,IF(M63&gt;=100*0.4,2,IF(M63&gt;=100*0.33,1,0))))))))</f>
        <v/>
      </c>
      <c r="AF63">
        <f>IF(B63="","",IF(N63&lt;16.5,0,IF(N63&gt;=50*0.8,5,IF(N63&gt;=50*0.7,4,IF(N63&gt;=50*0.6,3.5,IF(N63&gt;=50*0.5,3,IF(N63&gt;=50*0.4,2,IF(N63&gt;=50*0.33,1,0))))))))</f>
        <v/>
      </c>
      <c r="AG63">
        <f>IF(B63="","",IF(O63&lt;33.0,0,IF(O63&gt;=100*0.8,5,IF(O63&gt;=100*0.7,4,IF(O63&gt;=100*0.6,3.5,IF(O63&gt;=100*0.5,3,IF(O63&gt;=100*0.4,2,IF(O63&gt;=100*0.33,1,0))))))))</f>
        <v/>
      </c>
      <c r="AH63">
        <f>IF(B63="","",IF(OR(U63=0,V63=0,W63=0,X63=0,Y63=0,Z63=0,AA63=0,AB63=0,AC63=0,AD63=0,AE63=0,AF63=0,AG63=0),1,0))</f>
        <v/>
      </c>
    </row>
    <row r="64">
      <c r="A64" s="3">
        <f>IF(B64="","",ROW()-2)</f>
        <v/>
      </c>
      <c r="P64" s="4">
        <f>IF(B64="","",SUM(C64:O64))</f>
        <v/>
      </c>
      <c r="Q64" s="5">
        <f>IF(B64="","",ROUND(P64/13,2))</f>
        <v/>
      </c>
      <c r="R64" s="5">
        <f>IF(B64="","",IF(AH64=1,0,MIN(5,ROUND((U64+V64+W64+X64+Y64+Z64+AA64+AB64+AC64+AD64+AE64+AF64+AG64)/13,2))))</f>
        <v/>
      </c>
      <c r="S64" s="3">
        <f>IF(B64="","",IF(R64&gt;=5,"A+",IF(R64&gt;=4,"A",IF(R64&gt;=3.5,"A-",IF(R64&gt;=3,"B",IF(R64&gt;=2,"C",IF(R64&gt;=1,"D","F")))))))</f>
        <v/>
      </c>
      <c r="T64" s="3">
        <f>IF(OR(B64="",S64="F"),"",COUNTIFS(P:P,"&gt;"&amp;P64,S:S,"&lt;&gt;F")+1)</f>
        <v/>
      </c>
      <c r="U64">
        <f>IF(B64="","",IF(C64&lt;33.0,0,IF(C64&gt;=100*0.8,5,IF(C64&gt;=100*0.7,4,IF(C64&gt;=100*0.6,3.5,IF(C64&gt;=100*0.5,3,IF(C64&gt;=100*0.4,2,IF(C64&gt;=100*0.33,1,0))))))))</f>
        <v/>
      </c>
      <c r="V64">
        <f>IF(B64="","",IF(D64&lt;33.0,0,IF(D64&gt;=100*0.8,5,IF(D64&gt;=100*0.7,4,IF(D64&gt;=100*0.6,3.5,IF(D64&gt;=100*0.5,3,IF(D64&gt;=100*0.4,2,IF(D64&gt;=100*0.33,1,0))))))))</f>
        <v/>
      </c>
      <c r="W64">
        <f>IF(B64="","",IF(E64&lt;16.5,0,IF(E64&gt;=50*0.8,5,IF(E64&gt;=50*0.7,4,IF(E64&gt;=50*0.6,3.5,IF(E64&gt;=50*0.5,3,IF(E64&gt;=50*0.4,2,IF(E64&gt;=50*0.33,1,0))))))))</f>
        <v/>
      </c>
      <c r="X64">
        <f>IF(B64="","",IF(F64&lt;33.0,0,IF(F64&gt;=100*0.8,5,IF(F64&gt;=100*0.7,4,IF(F64&gt;=100*0.6,3.5,IF(F64&gt;=100*0.5,3,IF(F64&gt;=100*0.4,2,IF(F64&gt;=100*0.33,1,0))))))))</f>
        <v/>
      </c>
      <c r="Y64">
        <f>IF(B64="","",IF(G64&lt;16.5,0,IF(G64&gt;=50*0.8,5,IF(G64&gt;=50*0.7,4,IF(G64&gt;=50*0.6,3.5,IF(G64&gt;=50*0.5,3,IF(G64&gt;=50*0.4,2,IF(G64&gt;=50*0.33,1,0))))))))</f>
        <v/>
      </c>
      <c r="Z64">
        <f>IF(B64="","",IF(H64&lt;33.0,0,IF(H64&gt;=100*0.8,5,IF(H64&gt;=100*0.7,4,IF(H64&gt;=100*0.6,3.5,IF(H64&gt;=100*0.5,3,IF(H64&gt;=100*0.4,2,IF(H64&gt;=100*0.33,1,0))))))))</f>
        <v/>
      </c>
      <c r="AA64">
        <f>IF(B64="","",IF(I64&lt;33.0,0,IF(I64&gt;=100*0.8,5,IF(I64&gt;=100*0.7,4,IF(I64&gt;=100*0.6,3.5,IF(I64&gt;=100*0.5,3,IF(I64&gt;=100*0.4,2,IF(I64&gt;=100*0.33,1,0))))))))</f>
        <v/>
      </c>
      <c r="AB64">
        <f>IF(B64="","",IF(J64&lt;33.0,0,IF(J64&gt;=100*0.8,5,IF(J64&gt;=100*0.7,4,IF(J64&gt;=100*0.6,3.5,IF(J64&gt;=100*0.5,3,IF(J64&gt;=100*0.4,2,IF(J64&gt;=100*0.33,1,0))))))))</f>
        <v/>
      </c>
      <c r="AC64">
        <f>IF(B64="","",IF(K64&lt;33.0,0,IF(K64&gt;=100*0.8,5,IF(K64&gt;=100*0.7,4,IF(K64&gt;=100*0.6,3.5,IF(K64&gt;=100*0.5,3,IF(K64&gt;=100*0.4,2,IF(K64&gt;=100*0.33,1,0))))))))</f>
        <v/>
      </c>
      <c r="AD64">
        <f>IF(B64="","",IF(L64&lt;33.0,0,IF(L64&gt;=100*0.8,5,IF(L64&gt;=100*0.7,4,IF(L64&gt;=100*0.6,3.5,IF(L64&gt;=100*0.5,3,IF(L64&gt;=100*0.4,2,IF(L64&gt;=100*0.33,1,0))))))))</f>
        <v/>
      </c>
      <c r="AE64">
        <f>IF(B64="","",IF(M64&lt;33.0,0,IF(M64&gt;=100*0.8,5,IF(M64&gt;=100*0.7,4,IF(M64&gt;=100*0.6,3.5,IF(M64&gt;=100*0.5,3,IF(M64&gt;=100*0.4,2,IF(M64&gt;=100*0.33,1,0))))))))</f>
        <v/>
      </c>
      <c r="AF64">
        <f>IF(B64="","",IF(N64&lt;16.5,0,IF(N64&gt;=50*0.8,5,IF(N64&gt;=50*0.7,4,IF(N64&gt;=50*0.6,3.5,IF(N64&gt;=50*0.5,3,IF(N64&gt;=50*0.4,2,IF(N64&gt;=50*0.33,1,0))))))))</f>
        <v/>
      </c>
      <c r="AG64">
        <f>IF(B64="","",IF(O64&lt;33.0,0,IF(O64&gt;=100*0.8,5,IF(O64&gt;=100*0.7,4,IF(O64&gt;=100*0.6,3.5,IF(O64&gt;=100*0.5,3,IF(O64&gt;=100*0.4,2,IF(O64&gt;=100*0.33,1,0))))))))</f>
        <v/>
      </c>
      <c r="AH64">
        <f>IF(B64="","",IF(OR(U64=0,V64=0,W64=0,X64=0,Y64=0,Z64=0,AA64=0,AB64=0,AC64=0,AD64=0,AE64=0,AF64=0,AG64=0),1,0))</f>
        <v/>
      </c>
    </row>
    <row r="65">
      <c r="A65" s="3">
        <f>IF(B65="","",ROW()-2)</f>
        <v/>
      </c>
      <c r="P65" s="4">
        <f>IF(B65="","",SUM(C65:O65))</f>
        <v/>
      </c>
      <c r="Q65" s="5">
        <f>IF(B65="","",ROUND(P65/13,2))</f>
        <v/>
      </c>
      <c r="R65" s="5">
        <f>IF(B65="","",IF(AH65=1,0,MIN(5,ROUND((U65+V65+W65+X65+Y65+Z65+AA65+AB65+AC65+AD65+AE65+AF65+AG65)/13,2))))</f>
        <v/>
      </c>
      <c r="S65" s="3">
        <f>IF(B65="","",IF(R65&gt;=5,"A+",IF(R65&gt;=4,"A",IF(R65&gt;=3.5,"A-",IF(R65&gt;=3,"B",IF(R65&gt;=2,"C",IF(R65&gt;=1,"D","F")))))))</f>
        <v/>
      </c>
      <c r="T65" s="3">
        <f>IF(OR(B65="",S65="F"),"",COUNTIFS(P:P,"&gt;"&amp;P65,S:S,"&lt;&gt;F")+1)</f>
        <v/>
      </c>
      <c r="U65">
        <f>IF(B65="","",IF(C65&lt;33.0,0,IF(C65&gt;=100*0.8,5,IF(C65&gt;=100*0.7,4,IF(C65&gt;=100*0.6,3.5,IF(C65&gt;=100*0.5,3,IF(C65&gt;=100*0.4,2,IF(C65&gt;=100*0.33,1,0))))))))</f>
        <v/>
      </c>
      <c r="V65">
        <f>IF(B65="","",IF(D65&lt;33.0,0,IF(D65&gt;=100*0.8,5,IF(D65&gt;=100*0.7,4,IF(D65&gt;=100*0.6,3.5,IF(D65&gt;=100*0.5,3,IF(D65&gt;=100*0.4,2,IF(D65&gt;=100*0.33,1,0))))))))</f>
        <v/>
      </c>
      <c r="W65">
        <f>IF(B65="","",IF(E65&lt;16.5,0,IF(E65&gt;=50*0.8,5,IF(E65&gt;=50*0.7,4,IF(E65&gt;=50*0.6,3.5,IF(E65&gt;=50*0.5,3,IF(E65&gt;=50*0.4,2,IF(E65&gt;=50*0.33,1,0))))))))</f>
        <v/>
      </c>
      <c r="X65">
        <f>IF(B65="","",IF(F65&lt;33.0,0,IF(F65&gt;=100*0.8,5,IF(F65&gt;=100*0.7,4,IF(F65&gt;=100*0.6,3.5,IF(F65&gt;=100*0.5,3,IF(F65&gt;=100*0.4,2,IF(F65&gt;=100*0.33,1,0))))))))</f>
        <v/>
      </c>
      <c r="Y65">
        <f>IF(B65="","",IF(G65&lt;16.5,0,IF(G65&gt;=50*0.8,5,IF(G65&gt;=50*0.7,4,IF(G65&gt;=50*0.6,3.5,IF(G65&gt;=50*0.5,3,IF(G65&gt;=50*0.4,2,IF(G65&gt;=50*0.33,1,0))))))))</f>
        <v/>
      </c>
      <c r="Z65">
        <f>IF(B65="","",IF(H65&lt;33.0,0,IF(H65&gt;=100*0.8,5,IF(H65&gt;=100*0.7,4,IF(H65&gt;=100*0.6,3.5,IF(H65&gt;=100*0.5,3,IF(H65&gt;=100*0.4,2,IF(H65&gt;=100*0.33,1,0))))))))</f>
        <v/>
      </c>
      <c r="AA65">
        <f>IF(B65="","",IF(I65&lt;33.0,0,IF(I65&gt;=100*0.8,5,IF(I65&gt;=100*0.7,4,IF(I65&gt;=100*0.6,3.5,IF(I65&gt;=100*0.5,3,IF(I65&gt;=100*0.4,2,IF(I65&gt;=100*0.33,1,0))))))))</f>
        <v/>
      </c>
      <c r="AB65">
        <f>IF(B65="","",IF(J65&lt;33.0,0,IF(J65&gt;=100*0.8,5,IF(J65&gt;=100*0.7,4,IF(J65&gt;=100*0.6,3.5,IF(J65&gt;=100*0.5,3,IF(J65&gt;=100*0.4,2,IF(J65&gt;=100*0.33,1,0))))))))</f>
        <v/>
      </c>
      <c r="AC65">
        <f>IF(B65="","",IF(K65&lt;33.0,0,IF(K65&gt;=100*0.8,5,IF(K65&gt;=100*0.7,4,IF(K65&gt;=100*0.6,3.5,IF(K65&gt;=100*0.5,3,IF(K65&gt;=100*0.4,2,IF(K65&gt;=100*0.33,1,0))))))))</f>
        <v/>
      </c>
      <c r="AD65">
        <f>IF(B65="","",IF(L65&lt;33.0,0,IF(L65&gt;=100*0.8,5,IF(L65&gt;=100*0.7,4,IF(L65&gt;=100*0.6,3.5,IF(L65&gt;=100*0.5,3,IF(L65&gt;=100*0.4,2,IF(L65&gt;=100*0.33,1,0))))))))</f>
        <v/>
      </c>
      <c r="AE65">
        <f>IF(B65="","",IF(M65&lt;33.0,0,IF(M65&gt;=100*0.8,5,IF(M65&gt;=100*0.7,4,IF(M65&gt;=100*0.6,3.5,IF(M65&gt;=100*0.5,3,IF(M65&gt;=100*0.4,2,IF(M65&gt;=100*0.33,1,0))))))))</f>
        <v/>
      </c>
      <c r="AF65">
        <f>IF(B65="","",IF(N65&lt;16.5,0,IF(N65&gt;=50*0.8,5,IF(N65&gt;=50*0.7,4,IF(N65&gt;=50*0.6,3.5,IF(N65&gt;=50*0.5,3,IF(N65&gt;=50*0.4,2,IF(N65&gt;=50*0.33,1,0))))))))</f>
        <v/>
      </c>
      <c r="AG65">
        <f>IF(B65="","",IF(O65&lt;33.0,0,IF(O65&gt;=100*0.8,5,IF(O65&gt;=100*0.7,4,IF(O65&gt;=100*0.6,3.5,IF(O65&gt;=100*0.5,3,IF(O65&gt;=100*0.4,2,IF(O65&gt;=100*0.33,1,0))))))))</f>
        <v/>
      </c>
      <c r="AH65">
        <f>IF(B65="","",IF(OR(U65=0,V65=0,W65=0,X65=0,Y65=0,Z65=0,AA65=0,AB65=0,AC65=0,AD65=0,AE65=0,AF65=0,AG65=0),1,0))</f>
        <v/>
      </c>
    </row>
    <row r="66">
      <c r="A66" s="3">
        <f>IF(B66="","",ROW()-2)</f>
        <v/>
      </c>
      <c r="P66" s="4">
        <f>IF(B66="","",SUM(C66:O66))</f>
        <v/>
      </c>
      <c r="Q66" s="5">
        <f>IF(B66="","",ROUND(P66/13,2))</f>
        <v/>
      </c>
      <c r="R66" s="5">
        <f>IF(B66="","",IF(AH66=1,0,MIN(5,ROUND((U66+V66+W66+X66+Y66+Z66+AA66+AB66+AC66+AD66+AE66+AF66+AG66)/13,2))))</f>
        <v/>
      </c>
      <c r="S66" s="3">
        <f>IF(B66="","",IF(R66&gt;=5,"A+",IF(R66&gt;=4,"A",IF(R66&gt;=3.5,"A-",IF(R66&gt;=3,"B",IF(R66&gt;=2,"C",IF(R66&gt;=1,"D","F")))))))</f>
        <v/>
      </c>
      <c r="T66" s="3">
        <f>IF(OR(B66="",S66="F"),"",COUNTIFS(P:P,"&gt;"&amp;P66,S:S,"&lt;&gt;F")+1)</f>
        <v/>
      </c>
      <c r="U66">
        <f>IF(B66="","",IF(C66&lt;33.0,0,IF(C66&gt;=100*0.8,5,IF(C66&gt;=100*0.7,4,IF(C66&gt;=100*0.6,3.5,IF(C66&gt;=100*0.5,3,IF(C66&gt;=100*0.4,2,IF(C66&gt;=100*0.33,1,0))))))))</f>
        <v/>
      </c>
      <c r="V66">
        <f>IF(B66="","",IF(D66&lt;33.0,0,IF(D66&gt;=100*0.8,5,IF(D66&gt;=100*0.7,4,IF(D66&gt;=100*0.6,3.5,IF(D66&gt;=100*0.5,3,IF(D66&gt;=100*0.4,2,IF(D66&gt;=100*0.33,1,0))))))))</f>
        <v/>
      </c>
      <c r="W66">
        <f>IF(B66="","",IF(E66&lt;16.5,0,IF(E66&gt;=50*0.8,5,IF(E66&gt;=50*0.7,4,IF(E66&gt;=50*0.6,3.5,IF(E66&gt;=50*0.5,3,IF(E66&gt;=50*0.4,2,IF(E66&gt;=50*0.33,1,0))))))))</f>
        <v/>
      </c>
      <c r="X66">
        <f>IF(B66="","",IF(F66&lt;33.0,0,IF(F66&gt;=100*0.8,5,IF(F66&gt;=100*0.7,4,IF(F66&gt;=100*0.6,3.5,IF(F66&gt;=100*0.5,3,IF(F66&gt;=100*0.4,2,IF(F66&gt;=100*0.33,1,0))))))))</f>
        <v/>
      </c>
      <c r="Y66">
        <f>IF(B66="","",IF(G66&lt;16.5,0,IF(G66&gt;=50*0.8,5,IF(G66&gt;=50*0.7,4,IF(G66&gt;=50*0.6,3.5,IF(G66&gt;=50*0.5,3,IF(G66&gt;=50*0.4,2,IF(G66&gt;=50*0.33,1,0))))))))</f>
        <v/>
      </c>
      <c r="Z66">
        <f>IF(B66="","",IF(H66&lt;33.0,0,IF(H66&gt;=100*0.8,5,IF(H66&gt;=100*0.7,4,IF(H66&gt;=100*0.6,3.5,IF(H66&gt;=100*0.5,3,IF(H66&gt;=100*0.4,2,IF(H66&gt;=100*0.33,1,0))))))))</f>
        <v/>
      </c>
      <c r="AA66">
        <f>IF(B66="","",IF(I66&lt;33.0,0,IF(I66&gt;=100*0.8,5,IF(I66&gt;=100*0.7,4,IF(I66&gt;=100*0.6,3.5,IF(I66&gt;=100*0.5,3,IF(I66&gt;=100*0.4,2,IF(I66&gt;=100*0.33,1,0))))))))</f>
        <v/>
      </c>
      <c r="AB66">
        <f>IF(B66="","",IF(J66&lt;33.0,0,IF(J66&gt;=100*0.8,5,IF(J66&gt;=100*0.7,4,IF(J66&gt;=100*0.6,3.5,IF(J66&gt;=100*0.5,3,IF(J66&gt;=100*0.4,2,IF(J66&gt;=100*0.33,1,0))))))))</f>
        <v/>
      </c>
      <c r="AC66">
        <f>IF(B66="","",IF(K66&lt;33.0,0,IF(K66&gt;=100*0.8,5,IF(K66&gt;=100*0.7,4,IF(K66&gt;=100*0.6,3.5,IF(K66&gt;=100*0.5,3,IF(K66&gt;=100*0.4,2,IF(K66&gt;=100*0.33,1,0))))))))</f>
        <v/>
      </c>
      <c r="AD66">
        <f>IF(B66="","",IF(L66&lt;33.0,0,IF(L66&gt;=100*0.8,5,IF(L66&gt;=100*0.7,4,IF(L66&gt;=100*0.6,3.5,IF(L66&gt;=100*0.5,3,IF(L66&gt;=100*0.4,2,IF(L66&gt;=100*0.33,1,0))))))))</f>
        <v/>
      </c>
      <c r="AE66">
        <f>IF(B66="","",IF(M66&lt;33.0,0,IF(M66&gt;=100*0.8,5,IF(M66&gt;=100*0.7,4,IF(M66&gt;=100*0.6,3.5,IF(M66&gt;=100*0.5,3,IF(M66&gt;=100*0.4,2,IF(M66&gt;=100*0.33,1,0))))))))</f>
        <v/>
      </c>
      <c r="AF66">
        <f>IF(B66="","",IF(N66&lt;16.5,0,IF(N66&gt;=50*0.8,5,IF(N66&gt;=50*0.7,4,IF(N66&gt;=50*0.6,3.5,IF(N66&gt;=50*0.5,3,IF(N66&gt;=50*0.4,2,IF(N66&gt;=50*0.33,1,0))))))))</f>
        <v/>
      </c>
      <c r="AG66">
        <f>IF(B66="","",IF(O66&lt;33.0,0,IF(O66&gt;=100*0.8,5,IF(O66&gt;=100*0.7,4,IF(O66&gt;=100*0.6,3.5,IF(O66&gt;=100*0.5,3,IF(O66&gt;=100*0.4,2,IF(O66&gt;=100*0.33,1,0))))))))</f>
        <v/>
      </c>
      <c r="AH66">
        <f>IF(B66="","",IF(OR(U66=0,V66=0,W66=0,X66=0,Y66=0,Z66=0,AA66=0,AB66=0,AC66=0,AD66=0,AE66=0,AF66=0,AG66=0),1,0))</f>
        <v/>
      </c>
    </row>
    <row r="67">
      <c r="A67" s="3">
        <f>IF(B67="","",ROW()-2)</f>
        <v/>
      </c>
      <c r="P67" s="4">
        <f>IF(B67="","",SUM(C67:O67))</f>
        <v/>
      </c>
      <c r="Q67" s="5">
        <f>IF(B67="","",ROUND(P67/13,2))</f>
        <v/>
      </c>
      <c r="R67" s="5">
        <f>IF(B67="","",IF(AH67=1,0,MIN(5,ROUND((U67+V67+W67+X67+Y67+Z67+AA67+AB67+AC67+AD67+AE67+AF67+AG67)/13,2))))</f>
        <v/>
      </c>
      <c r="S67" s="3">
        <f>IF(B67="","",IF(R67&gt;=5,"A+",IF(R67&gt;=4,"A",IF(R67&gt;=3.5,"A-",IF(R67&gt;=3,"B",IF(R67&gt;=2,"C",IF(R67&gt;=1,"D","F")))))))</f>
        <v/>
      </c>
      <c r="T67" s="3">
        <f>IF(OR(B67="",S67="F"),"",COUNTIFS(P:P,"&gt;"&amp;P67,S:S,"&lt;&gt;F")+1)</f>
        <v/>
      </c>
      <c r="U67">
        <f>IF(B67="","",IF(C67&lt;33.0,0,IF(C67&gt;=100*0.8,5,IF(C67&gt;=100*0.7,4,IF(C67&gt;=100*0.6,3.5,IF(C67&gt;=100*0.5,3,IF(C67&gt;=100*0.4,2,IF(C67&gt;=100*0.33,1,0))))))))</f>
        <v/>
      </c>
      <c r="V67">
        <f>IF(B67="","",IF(D67&lt;33.0,0,IF(D67&gt;=100*0.8,5,IF(D67&gt;=100*0.7,4,IF(D67&gt;=100*0.6,3.5,IF(D67&gt;=100*0.5,3,IF(D67&gt;=100*0.4,2,IF(D67&gt;=100*0.33,1,0))))))))</f>
        <v/>
      </c>
      <c r="W67">
        <f>IF(B67="","",IF(E67&lt;16.5,0,IF(E67&gt;=50*0.8,5,IF(E67&gt;=50*0.7,4,IF(E67&gt;=50*0.6,3.5,IF(E67&gt;=50*0.5,3,IF(E67&gt;=50*0.4,2,IF(E67&gt;=50*0.33,1,0))))))))</f>
        <v/>
      </c>
      <c r="X67">
        <f>IF(B67="","",IF(F67&lt;33.0,0,IF(F67&gt;=100*0.8,5,IF(F67&gt;=100*0.7,4,IF(F67&gt;=100*0.6,3.5,IF(F67&gt;=100*0.5,3,IF(F67&gt;=100*0.4,2,IF(F67&gt;=100*0.33,1,0))))))))</f>
        <v/>
      </c>
      <c r="Y67">
        <f>IF(B67="","",IF(G67&lt;16.5,0,IF(G67&gt;=50*0.8,5,IF(G67&gt;=50*0.7,4,IF(G67&gt;=50*0.6,3.5,IF(G67&gt;=50*0.5,3,IF(G67&gt;=50*0.4,2,IF(G67&gt;=50*0.33,1,0))))))))</f>
        <v/>
      </c>
      <c r="Z67">
        <f>IF(B67="","",IF(H67&lt;33.0,0,IF(H67&gt;=100*0.8,5,IF(H67&gt;=100*0.7,4,IF(H67&gt;=100*0.6,3.5,IF(H67&gt;=100*0.5,3,IF(H67&gt;=100*0.4,2,IF(H67&gt;=100*0.33,1,0))))))))</f>
        <v/>
      </c>
      <c r="AA67">
        <f>IF(B67="","",IF(I67&lt;33.0,0,IF(I67&gt;=100*0.8,5,IF(I67&gt;=100*0.7,4,IF(I67&gt;=100*0.6,3.5,IF(I67&gt;=100*0.5,3,IF(I67&gt;=100*0.4,2,IF(I67&gt;=100*0.33,1,0))))))))</f>
        <v/>
      </c>
      <c r="AB67">
        <f>IF(B67="","",IF(J67&lt;33.0,0,IF(J67&gt;=100*0.8,5,IF(J67&gt;=100*0.7,4,IF(J67&gt;=100*0.6,3.5,IF(J67&gt;=100*0.5,3,IF(J67&gt;=100*0.4,2,IF(J67&gt;=100*0.33,1,0))))))))</f>
        <v/>
      </c>
      <c r="AC67">
        <f>IF(B67="","",IF(K67&lt;33.0,0,IF(K67&gt;=100*0.8,5,IF(K67&gt;=100*0.7,4,IF(K67&gt;=100*0.6,3.5,IF(K67&gt;=100*0.5,3,IF(K67&gt;=100*0.4,2,IF(K67&gt;=100*0.33,1,0))))))))</f>
        <v/>
      </c>
      <c r="AD67">
        <f>IF(B67="","",IF(L67&lt;33.0,0,IF(L67&gt;=100*0.8,5,IF(L67&gt;=100*0.7,4,IF(L67&gt;=100*0.6,3.5,IF(L67&gt;=100*0.5,3,IF(L67&gt;=100*0.4,2,IF(L67&gt;=100*0.33,1,0))))))))</f>
        <v/>
      </c>
      <c r="AE67">
        <f>IF(B67="","",IF(M67&lt;33.0,0,IF(M67&gt;=100*0.8,5,IF(M67&gt;=100*0.7,4,IF(M67&gt;=100*0.6,3.5,IF(M67&gt;=100*0.5,3,IF(M67&gt;=100*0.4,2,IF(M67&gt;=100*0.33,1,0))))))))</f>
        <v/>
      </c>
      <c r="AF67">
        <f>IF(B67="","",IF(N67&lt;16.5,0,IF(N67&gt;=50*0.8,5,IF(N67&gt;=50*0.7,4,IF(N67&gt;=50*0.6,3.5,IF(N67&gt;=50*0.5,3,IF(N67&gt;=50*0.4,2,IF(N67&gt;=50*0.33,1,0))))))))</f>
        <v/>
      </c>
      <c r="AG67">
        <f>IF(B67="","",IF(O67&lt;33.0,0,IF(O67&gt;=100*0.8,5,IF(O67&gt;=100*0.7,4,IF(O67&gt;=100*0.6,3.5,IF(O67&gt;=100*0.5,3,IF(O67&gt;=100*0.4,2,IF(O67&gt;=100*0.33,1,0))))))))</f>
        <v/>
      </c>
      <c r="AH67">
        <f>IF(B67="","",IF(OR(U67=0,V67=0,W67=0,X67=0,Y67=0,Z67=0,AA67=0,AB67=0,AC67=0,AD67=0,AE67=0,AF67=0,AG67=0),1,0))</f>
        <v/>
      </c>
    </row>
    <row r="68">
      <c r="A68" s="3">
        <f>IF(B68="","",ROW()-2)</f>
        <v/>
      </c>
      <c r="P68" s="4">
        <f>IF(B68="","",SUM(C68:O68))</f>
        <v/>
      </c>
      <c r="Q68" s="5">
        <f>IF(B68="","",ROUND(P68/13,2))</f>
        <v/>
      </c>
      <c r="R68" s="5">
        <f>IF(B68="","",IF(AH68=1,0,MIN(5,ROUND((U68+V68+W68+X68+Y68+Z68+AA68+AB68+AC68+AD68+AE68+AF68+AG68)/13,2))))</f>
        <v/>
      </c>
      <c r="S68" s="3">
        <f>IF(B68="","",IF(R68&gt;=5,"A+",IF(R68&gt;=4,"A",IF(R68&gt;=3.5,"A-",IF(R68&gt;=3,"B",IF(R68&gt;=2,"C",IF(R68&gt;=1,"D","F")))))))</f>
        <v/>
      </c>
      <c r="T68" s="3">
        <f>IF(OR(B68="",S68="F"),"",COUNTIFS(P:P,"&gt;"&amp;P68,S:S,"&lt;&gt;F")+1)</f>
        <v/>
      </c>
      <c r="U68">
        <f>IF(B68="","",IF(C68&lt;33.0,0,IF(C68&gt;=100*0.8,5,IF(C68&gt;=100*0.7,4,IF(C68&gt;=100*0.6,3.5,IF(C68&gt;=100*0.5,3,IF(C68&gt;=100*0.4,2,IF(C68&gt;=100*0.33,1,0))))))))</f>
        <v/>
      </c>
      <c r="V68">
        <f>IF(B68="","",IF(D68&lt;33.0,0,IF(D68&gt;=100*0.8,5,IF(D68&gt;=100*0.7,4,IF(D68&gt;=100*0.6,3.5,IF(D68&gt;=100*0.5,3,IF(D68&gt;=100*0.4,2,IF(D68&gt;=100*0.33,1,0))))))))</f>
        <v/>
      </c>
      <c r="W68">
        <f>IF(B68="","",IF(E68&lt;16.5,0,IF(E68&gt;=50*0.8,5,IF(E68&gt;=50*0.7,4,IF(E68&gt;=50*0.6,3.5,IF(E68&gt;=50*0.5,3,IF(E68&gt;=50*0.4,2,IF(E68&gt;=50*0.33,1,0))))))))</f>
        <v/>
      </c>
      <c r="X68">
        <f>IF(B68="","",IF(F68&lt;33.0,0,IF(F68&gt;=100*0.8,5,IF(F68&gt;=100*0.7,4,IF(F68&gt;=100*0.6,3.5,IF(F68&gt;=100*0.5,3,IF(F68&gt;=100*0.4,2,IF(F68&gt;=100*0.33,1,0))))))))</f>
        <v/>
      </c>
      <c r="Y68">
        <f>IF(B68="","",IF(G68&lt;16.5,0,IF(G68&gt;=50*0.8,5,IF(G68&gt;=50*0.7,4,IF(G68&gt;=50*0.6,3.5,IF(G68&gt;=50*0.5,3,IF(G68&gt;=50*0.4,2,IF(G68&gt;=50*0.33,1,0))))))))</f>
        <v/>
      </c>
      <c r="Z68">
        <f>IF(B68="","",IF(H68&lt;33.0,0,IF(H68&gt;=100*0.8,5,IF(H68&gt;=100*0.7,4,IF(H68&gt;=100*0.6,3.5,IF(H68&gt;=100*0.5,3,IF(H68&gt;=100*0.4,2,IF(H68&gt;=100*0.33,1,0))))))))</f>
        <v/>
      </c>
      <c r="AA68">
        <f>IF(B68="","",IF(I68&lt;33.0,0,IF(I68&gt;=100*0.8,5,IF(I68&gt;=100*0.7,4,IF(I68&gt;=100*0.6,3.5,IF(I68&gt;=100*0.5,3,IF(I68&gt;=100*0.4,2,IF(I68&gt;=100*0.33,1,0))))))))</f>
        <v/>
      </c>
      <c r="AB68">
        <f>IF(B68="","",IF(J68&lt;33.0,0,IF(J68&gt;=100*0.8,5,IF(J68&gt;=100*0.7,4,IF(J68&gt;=100*0.6,3.5,IF(J68&gt;=100*0.5,3,IF(J68&gt;=100*0.4,2,IF(J68&gt;=100*0.33,1,0))))))))</f>
        <v/>
      </c>
      <c r="AC68">
        <f>IF(B68="","",IF(K68&lt;33.0,0,IF(K68&gt;=100*0.8,5,IF(K68&gt;=100*0.7,4,IF(K68&gt;=100*0.6,3.5,IF(K68&gt;=100*0.5,3,IF(K68&gt;=100*0.4,2,IF(K68&gt;=100*0.33,1,0))))))))</f>
        <v/>
      </c>
      <c r="AD68">
        <f>IF(B68="","",IF(L68&lt;33.0,0,IF(L68&gt;=100*0.8,5,IF(L68&gt;=100*0.7,4,IF(L68&gt;=100*0.6,3.5,IF(L68&gt;=100*0.5,3,IF(L68&gt;=100*0.4,2,IF(L68&gt;=100*0.33,1,0))))))))</f>
        <v/>
      </c>
      <c r="AE68">
        <f>IF(B68="","",IF(M68&lt;33.0,0,IF(M68&gt;=100*0.8,5,IF(M68&gt;=100*0.7,4,IF(M68&gt;=100*0.6,3.5,IF(M68&gt;=100*0.5,3,IF(M68&gt;=100*0.4,2,IF(M68&gt;=100*0.33,1,0))))))))</f>
        <v/>
      </c>
      <c r="AF68">
        <f>IF(B68="","",IF(N68&lt;16.5,0,IF(N68&gt;=50*0.8,5,IF(N68&gt;=50*0.7,4,IF(N68&gt;=50*0.6,3.5,IF(N68&gt;=50*0.5,3,IF(N68&gt;=50*0.4,2,IF(N68&gt;=50*0.33,1,0))))))))</f>
        <v/>
      </c>
      <c r="AG68">
        <f>IF(B68="","",IF(O68&lt;33.0,0,IF(O68&gt;=100*0.8,5,IF(O68&gt;=100*0.7,4,IF(O68&gt;=100*0.6,3.5,IF(O68&gt;=100*0.5,3,IF(O68&gt;=100*0.4,2,IF(O68&gt;=100*0.33,1,0))))))))</f>
        <v/>
      </c>
      <c r="AH68">
        <f>IF(B68="","",IF(OR(U68=0,V68=0,W68=0,X68=0,Y68=0,Z68=0,AA68=0,AB68=0,AC68=0,AD68=0,AE68=0,AF68=0,AG68=0),1,0))</f>
        <v/>
      </c>
    </row>
    <row r="69">
      <c r="A69" s="3">
        <f>IF(B69="","",ROW()-2)</f>
        <v/>
      </c>
      <c r="P69" s="4">
        <f>IF(B69="","",SUM(C69:O69))</f>
        <v/>
      </c>
      <c r="Q69" s="5">
        <f>IF(B69="","",ROUND(P69/13,2))</f>
        <v/>
      </c>
      <c r="R69" s="5">
        <f>IF(B69="","",IF(AH69=1,0,MIN(5,ROUND((U69+V69+W69+X69+Y69+Z69+AA69+AB69+AC69+AD69+AE69+AF69+AG69)/13,2))))</f>
        <v/>
      </c>
      <c r="S69" s="3">
        <f>IF(B69="","",IF(R69&gt;=5,"A+",IF(R69&gt;=4,"A",IF(R69&gt;=3.5,"A-",IF(R69&gt;=3,"B",IF(R69&gt;=2,"C",IF(R69&gt;=1,"D","F")))))))</f>
        <v/>
      </c>
      <c r="T69" s="3">
        <f>IF(OR(B69="",S69="F"),"",COUNTIFS(P:P,"&gt;"&amp;P69,S:S,"&lt;&gt;F")+1)</f>
        <v/>
      </c>
      <c r="U69">
        <f>IF(B69="","",IF(C69&lt;33.0,0,IF(C69&gt;=100*0.8,5,IF(C69&gt;=100*0.7,4,IF(C69&gt;=100*0.6,3.5,IF(C69&gt;=100*0.5,3,IF(C69&gt;=100*0.4,2,IF(C69&gt;=100*0.33,1,0))))))))</f>
        <v/>
      </c>
      <c r="V69">
        <f>IF(B69="","",IF(D69&lt;33.0,0,IF(D69&gt;=100*0.8,5,IF(D69&gt;=100*0.7,4,IF(D69&gt;=100*0.6,3.5,IF(D69&gt;=100*0.5,3,IF(D69&gt;=100*0.4,2,IF(D69&gt;=100*0.33,1,0))))))))</f>
        <v/>
      </c>
      <c r="W69">
        <f>IF(B69="","",IF(E69&lt;16.5,0,IF(E69&gt;=50*0.8,5,IF(E69&gt;=50*0.7,4,IF(E69&gt;=50*0.6,3.5,IF(E69&gt;=50*0.5,3,IF(E69&gt;=50*0.4,2,IF(E69&gt;=50*0.33,1,0))))))))</f>
        <v/>
      </c>
      <c r="X69">
        <f>IF(B69="","",IF(F69&lt;33.0,0,IF(F69&gt;=100*0.8,5,IF(F69&gt;=100*0.7,4,IF(F69&gt;=100*0.6,3.5,IF(F69&gt;=100*0.5,3,IF(F69&gt;=100*0.4,2,IF(F69&gt;=100*0.33,1,0))))))))</f>
        <v/>
      </c>
      <c r="Y69">
        <f>IF(B69="","",IF(G69&lt;16.5,0,IF(G69&gt;=50*0.8,5,IF(G69&gt;=50*0.7,4,IF(G69&gt;=50*0.6,3.5,IF(G69&gt;=50*0.5,3,IF(G69&gt;=50*0.4,2,IF(G69&gt;=50*0.33,1,0))))))))</f>
        <v/>
      </c>
      <c r="Z69">
        <f>IF(B69="","",IF(H69&lt;33.0,0,IF(H69&gt;=100*0.8,5,IF(H69&gt;=100*0.7,4,IF(H69&gt;=100*0.6,3.5,IF(H69&gt;=100*0.5,3,IF(H69&gt;=100*0.4,2,IF(H69&gt;=100*0.33,1,0))))))))</f>
        <v/>
      </c>
      <c r="AA69">
        <f>IF(B69="","",IF(I69&lt;33.0,0,IF(I69&gt;=100*0.8,5,IF(I69&gt;=100*0.7,4,IF(I69&gt;=100*0.6,3.5,IF(I69&gt;=100*0.5,3,IF(I69&gt;=100*0.4,2,IF(I69&gt;=100*0.33,1,0))))))))</f>
        <v/>
      </c>
      <c r="AB69">
        <f>IF(B69="","",IF(J69&lt;33.0,0,IF(J69&gt;=100*0.8,5,IF(J69&gt;=100*0.7,4,IF(J69&gt;=100*0.6,3.5,IF(J69&gt;=100*0.5,3,IF(J69&gt;=100*0.4,2,IF(J69&gt;=100*0.33,1,0))))))))</f>
        <v/>
      </c>
      <c r="AC69">
        <f>IF(B69="","",IF(K69&lt;33.0,0,IF(K69&gt;=100*0.8,5,IF(K69&gt;=100*0.7,4,IF(K69&gt;=100*0.6,3.5,IF(K69&gt;=100*0.5,3,IF(K69&gt;=100*0.4,2,IF(K69&gt;=100*0.33,1,0))))))))</f>
        <v/>
      </c>
      <c r="AD69">
        <f>IF(B69="","",IF(L69&lt;33.0,0,IF(L69&gt;=100*0.8,5,IF(L69&gt;=100*0.7,4,IF(L69&gt;=100*0.6,3.5,IF(L69&gt;=100*0.5,3,IF(L69&gt;=100*0.4,2,IF(L69&gt;=100*0.33,1,0))))))))</f>
        <v/>
      </c>
      <c r="AE69">
        <f>IF(B69="","",IF(M69&lt;33.0,0,IF(M69&gt;=100*0.8,5,IF(M69&gt;=100*0.7,4,IF(M69&gt;=100*0.6,3.5,IF(M69&gt;=100*0.5,3,IF(M69&gt;=100*0.4,2,IF(M69&gt;=100*0.33,1,0))))))))</f>
        <v/>
      </c>
      <c r="AF69">
        <f>IF(B69="","",IF(N69&lt;16.5,0,IF(N69&gt;=50*0.8,5,IF(N69&gt;=50*0.7,4,IF(N69&gt;=50*0.6,3.5,IF(N69&gt;=50*0.5,3,IF(N69&gt;=50*0.4,2,IF(N69&gt;=50*0.33,1,0))))))))</f>
        <v/>
      </c>
      <c r="AG69">
        <f>IF(B69="","",IF(O69&lt;33.0,0,IF(O69&gt;=100*0.8,5,IF(O69&gt;=100*0.7,4,IF(O69&gt;=100*0.6,3.5,IF(O69&gt;=100*0.5,3,IF(O69&gt;=100*0.4,2,IF(O69&gt;=100*0.33,1,0))))))))</f>
        <v/>
      </c>
      <c r="AH69">
        <f>IF(B69="","",IF(OR(U69=0,V69=0,W69=0,X69=0,Y69=0,Z69=0,AA69=0,AB69=0,AC69=0,AD69=0,AE69=0,AF69=0,AG69=0),1,0))</f>
        <v/>
      </c>
    </row>
    <row r="70">
      <c r="A70" s="3">
        <f>IF(B70="","",ROW()-2)</f>
        <v/>
      </c>
      <c r="P70" s="4">
        <f>IF(B70="","",SUM(C70:O70))</f>
        <v/>
      </c>
      <c r="Q70" s="5">
        <f>IF(B70="","",ROUND(P70/13,2))</f>
        <v/>
      </c>
      <c r="R70" s="5">
        <f>IF(B70="","",IF(AH70=1,0,MIN(5,ROUND((U70+V70+W70+X70+Y70+Z70+AA70+AB70+AC70+AD70+AE70+AF70+AG70)/13,2))))</f>
        <v/>
      </c>
      <c r="S70" s="3">
        <f>IF(B70="","",IF(R70&gt;=5,"A+",IF(R70&gt;=4,"A",IF(R70&gt;=3.5,"A-",IF(R70&gt;=3,"B",IF(R70&gt;=2,"C",IF(R70&gt;=1,"D","F")))))))</f>
        <v/>
      </c>
      <c r="T70" s="3">
        <f>IF(OR(B70="",S70="F"),"",COUNTIFS(P:P,"&gt;"&amp;P70,S:S,"&lt;&gt;F")+1)</f>
        <v/>
      </c>
      <c r="U70">
        <f>IF(B70="","",IF(C70&lt;33.0,0,IF(C70&gt;=100*0.8,5,IF(C70&gt;=100*0.7,4,IF(C70&gt;=100*0.6,3.5,IF(C70&gt;=100*0.5,3,IF(C70&gt;=100*0.4,2,IF(C70&gt;=100*0.33,1,0))))))))</f>
        <v/>
      </c>
      <c r="V70">
        <f>IF(B70="","",IF(D70&lt;33.0,0,IF(D70&gt;=100*0.8,5,IF(D70&gt;=100*0.7,4,IF(D70&gt;=100*0.6,3.5,IF(D70&gt;=100*0.5,3,IF(D70&gt;=100*0.4,2,IF(D70&gt;=100*0.33,1,0))))))))</f>
        <v/>
      </c>
      <c r="W70">
        <f>IF(B70="","",IF(E70&lt;16.5,0,IF(E70&gt;=50*0.8,5,IF(E70&gt;=50*0.7,4,IF(E70&gt;=50*0.6,3.5,IF(E70&gt;=50*0.5,3,IF(E70&gt;=50*0.4,2,IF(E70&gt;=50*0.33,1,0))))))))</f>
        <v/>
      </c>
      <c r="X70">
        <f>IF(B70="","",IF(F70&lt;33.0,0,IF(F70&gt;=100*0.8,5,IF(F70&gt;=100*0.7,4,IF(F70&gt;=100*0.6,3.5,IF(F70&gt;=100*0.5,3,IF(F70&gt;=100*0.4,2,IF(F70&gt;=100*0.33,1,0))))))))</f>
        <v/>
      </c>
      <c r="Y70">
        <f>IF(B70="","",IF(G70&lt;16.5,0,IF(G70&gt;=50*0.8,5,IF(G70&gt;=50*0.7,4,IF(G70&gt;=50*0.6,3.5,IF(G70&gt;=50*0.5,3,IF(G70&gt;=50*0.4,2,IF(G70&gt;=50*0.33,1,0))))))))</f>
        <v/>
      </c>
      <c r="Z70">
        <f>IF(B70="","",IF(H70&lt;33.0,0,IF(H70&gt;=100*0.8,5,IF(H70&gt;=100*0.7,4,IF(H70&gt;=100*0.6,3.5,IF(H70&gt;=100*0.5,3,IF(H70&gt;=100*0.4,2,IF(H70&gt;=100*0.33,1,0))))))))</f>
        <v/>
      </c>
      <c r="AA70">
        <f>IF(B70="","",IF(I70&lt;33.0,0,IF(I70&gt;=100*0.8,5,IF(I70&gt;=100*0.7,4,IF(I70&gt;=100*0.6,3.5,IF(I70&gt;=100*0.5,3,IF(I70&gt;=100*0.4,2,IF(I70&gt;=100*0.33,1,0))))))))</f>
        <v/>
      </c>
      <c r="AB70">
        <f>IF(B70="","",IF(J70&lt;33.0,0,IF(J70&gt;=100*0.8,5,IF(J70&gt;=100*0.7,4,IF(J70&gt;=100*0.6,3.5,IF(J70&gt;=100*0.5,3,IF(J70&gt;=100*0.4,2,IF(J70&gt;=100*0.33,1,0))))))))</f>
        <v/>
      </c>
      <c r="AC70">
        <f>IF(B70="","",IF(K70&lt;33.0,0,IF(K70&gt;=100*0.8,5,IF(K70&gt;=100*0.7,4,IF(K70&gt;=100*0.6,3.5,IF(K70&gt;=100*0.5,3,IF(K70&gt;=100*0.4,2,IF(K70&gt;=100*0.33,1,0))))))))</f>
        <v/>
      </c>
      <c r="AD70">
        <f>IF(B70="","",IF(L70&lt;33.0,0,IF(L70&gt;=100*0.8,5,IF(L70&gt;=100*0.7,4,IF(L70&gt;=100*0.6,3.5,IF(L70&gt;=100*0.5,3,IF(L70&gt;=100*0.4,2,IF(L70&gt;=100*0.33,1,0))))))))</f>
        <v/>
      </c>
      <c r="AE70">
        <f>IF(B70="","",IF(M70&lt;33.0,0,IF(M70&gt;=100*0.8,5,IF(M70&gt;=100*0.7,4,IF(M70&gt;=100*0.6,3.5,IF(M70&gt;=100*0.5,3,IF(M70&gt;=100*0.4,2,IF(M70&gt;=100*0.33,1,0))))))))</f>
        <v/>
      </c>
      <c r="AF70">
        <f>IF(B70="","",IF(N70&lt;16.5,0,IF(N70&gt;=50*0.8,5,IF(N70&gt;=50*0.7,4,IF(N70&gt;=50*0.6,3.5,IF(N70&gt;=50*0.5,3,IF(N70&gt;=50*0.4,2,IF(N70&gt;=50*0.33,1,0))))))))</f>
        <v/>
      </c>
      <c r="AG70">
        <f>IF(B70="","",IF(O70&lt;33.0,0,IF(O70&gt;=100*0.8,5,IF(O70&gt;=100*0.7,4,IF(O70&gt;=100*0.6,3.5,IF(O70&gt;=100*0.5,3,IF(O70&gt;=100*0.4,2,IF(O70&gt;=100*0.33,1,0))))))))</f>
        <v/>
      </c>
      <c r="AH70">
        <f>IF(B70="","",IF(OR(U70=0,V70=0,W70=0,X70=0,Y70=0,Z70=0,AA70=0,AB70=0,AC70=0,AD70=0,AE70=0,AF70=0,AG70=0),1,0))</f>
        <v/>
      </c>
    </row>
    <row r="71">
      <c r="A71" s="3">
        <f>IF(B71="","",ROW()-2)</f>
        <v/>
      </c>
      <c r="P71" s="4">
        <f>IF(B71="","",SUM(C71:O71))</f>
        <v/>
      </c>
      <c r="Q71" s="5">
        <f>IF(B71="","",ROUND(P71/13,2))</f>
        <v/>
      </c>
      <c r="R71" s="5">
        <f>IF(B71="","",IF(AH71=1,0,MIN(5,ROUND((U71+V71+W71+X71+Y71+Z71+AA71+AB71+AC71+AD71+AE71+AF71+AG71)/13,2))))</f>
        <v/>
      </c>
      <c r="S71" s="3">
        <f>IF(B71="","",IF(R71&gt;=5,"A+",IF(R71&gt;=4,"A",IF(R71&gt;=3.5,"A-",IF(R71&gt;=3,"B",IF(R71&gt;=2,"C",IF(R71&gt;=1,"D","F")))))))</f>
        <v/>
      </c>
      <c r="T71" s="3">
        <f>IF(OR(B71="",S71="F"),"",COUNTIFS(P:P,"&gt;"&amp;P71,S:S,"&lt;&gt;F")+1)</f>
        <v/>
      </c>
      <c r="U71">
        <f>IF(B71="","",IF(C71&lt;33.0,0,IF(C71&gt;=100*0.8,5,IF(C71&gt;=100*0.7,4,IF(C71&gt;=100*0.6,3.5,IF(C71&gt;=100*0.5,3,IF(C71&gt;=100*0.4,2,IF(C71&gt;=100*0.33,1,0))))))))</f>
        <v/>
      </c>
      <c r="V71">
        <f>IF(B71="","",IF(D71&lt;33.0,0,IF(D71&gt;=100*0.8,5,IF(D71&gt;=100*0.7,4,IF(D71&gt;=100*0.6,3.5,IF(D71&gt;=100*0.5,3,IF(D71&gt;=100*0.4,2,IF(D71&gt;=100*0.33,1,0))))))))</f>
        <v/>
      </c>
      <c r="W71">
        <f>IF(B71="","",IF(E71&lt;16.5,0,IF(E71&gt;=50*0.8,5,IF(E71&gt;=50*0.7,4,IF(E71&gt;=50*0.6,3.5,IF(E71&gt;=50*0.5,3,IF(E71&gt;=50*0.4,2,IF(E71&gt;=50*0.33,1,0))))))))</f>
        <v/>
      </c>
      <c r="X71">
        <f>IF(B71="","",IF(F71&lt;33.0,0,IF(F71&gt;=100*0.8,5,IF(F71&gt;=100*0.7,4,IF(F71&gt;=100*0.6,3.5,IF(F71&gt;=100*0.5,3,IF(F71&gt;=100*0.4,2,IF(F71&gt;=100*0.33,1,0))))))))</f>
        <v/>
      </c>
      <c r="Y71">
        <f>IF(B71="","",IF(G71&lt;16.5,0,IF(G71&gt;=50*0.8,5,IF(G71&gt;=50*0.7,4,IF(G71&gt;=50*0.6,3.5,IF(G71&gt;=50*0.5,3,IF(G71&gt;=50*0.4,2,IF(G71&gt;=50*0.33,1,0))))))))</f>
        <v/>
      </c>
      <c r="Z71">
        <f>IF(B71="","",IF(H71&lt;33.0,0,IF(H71&gt;=100*0.8,5,IF(H71&gt;=100*0.7,4,IF(H71&gt;=100*0.6,3.5,IF(H71&gt;=100*0.5,3,IF(H71&gt;=100*0.4,2,IF(H71&gt;=100*0.33,1,0))))))))</f>
        <v/>
      </c>
      <c r="AA71">
        <f>IF(B71="","",IF(I71&lt;33.0,0,IF(I71&gt;=100*0.8,5,IF(I71&gt;=100*0.7,4,IF(I71&gt;=100*0.6,3.5,IF(I71&gt;=100*0.5,3,IF(I71&gt;=100*0.4,2,IF(I71&gt;=100*0.33,1,0))))))))</f>
        <v/>
      </c>
      <c r="AB71">
        <f>IF(B71="","",IF(J71&lt;33.0,0,IF(J71&gt;=100*0.8,5,IF(J71&gt;=100*0.7,4,IF(J71&gt;=100*0.6,3.5,IF(J71&gt;=100*0.5,3,IF(J71&gt;=100*0.4,2,IF(J71&gt;=100*0.33,1,0))))))))</f>
        <v/>
      </c>
      <c r="AC71">
        <f>IF(B71="","",IF(K71&lt;33.0,0,IF(K71&gt;=100*0.8,5,IF(K71&gt;=100*0.7,4,IF(K71&gt;=100*0.6,3.5,IF(K71&gt;=100*0.5,3,IF(K71&gt;=100*0.4,2,IF(K71&gt;=100*0.33,1,0))))))))</f>
        <v/>
      </c>
      <c r="AD71">
        <f>IF(B71="","",IF(L71&lt;33.0,0,IF(L71&gt;=100*0.8,5,IF(L71&gt;=100*0.7,4,IF(L71&gt;=100*0.6,3.5,IF(L71&gt;=100*0.5,3,IF(L71&gt;=100*0.4,2,IF(L71&gt;=100*0.33,1,0))))))))</f>
        <v/>
      </c>
      <c r="AE71">
        <f>IF(B71="","",IF(M71&lt;33.0,0,IF(M71&gt;=100*0.8,5,IF(M71&gt;=100*0.7,4,IF(M71&gt;=100*0.6,3.5,IF(M71&gt;=100*0.5,3,IF(M71&gt;=100*0.4,2,IF(M71&gt;=100*0.33,1,0))))))))</f>
        <v/>
      </c>
      <c r="AF71">
        <f>IF(B71="","",IF(N71&lt;16.5,0,IF(N71&gt;=50*0.8,5,IF(N71&gt;=50*0.7,4,IF(N71&gt;=50*0.6,3.5,IF(N71&gt;=50*0.5,3,IF(N71&gt;=50*0.4,2,IF(N71&gt;=50*0.33,1,0))))))))</f>
        <v/>
      </c>
      <c r="AG71">
        <f>IF(B71="","",IF(O71&lt;33.0,0,IF(O71&gt;=100*0.8,5,IF(O71&gt;=100*0.7,4,IF(O71&gt;=100*0.6,3.5,IF(O71&gt;=100*0.5,3,IF(O71&gt;=100*0.4,2,IF(O71&gt;=100*0.33,1,0))))))))</f>
        <v/>
      </c>
      <c r="AH71">
        <f>IF(B71="","",IF(OR(U71=0,V71=0,W71=0,X71=0,Y71=0,Z71=0,AA71=0,AB71=0,AC71=0,AD71=0,AE71=0,AF71=0,AG71=0),1,0))</f>
        <v/>
      </c>
    </row>
    <row r="72">
      <c r="A72" s="3">
        <f>IF(B72="","",ROW()-2)</f>
        <v/>
      </c>
      <c r="P72" s="4">
        <f>IF(B72="","",SUM(C72:O72))</f>
        <v/>
      </c>
      <c r="Q72" s="5">
        <f>IF(B72="","",ROUND(P72/13,2))</f>
        <v/>
      </c>
      <c r="R72" s="5">
        <f>IF(B72="","",IF(AH72=1,0,MIN(5,ROUND((U72+V72+W72+X72+Y72+Z72+AA72+AB72+AC72+AD72+AE72+AF72+AG72)/13,2))))</f>
        <v/>
      </c>
      <c r="S72" s="3">
        <f>IF(B72="","",IF(R72&gt;=5,"A+",IF(R72&gt;=4,"A",IF(R72&gt;=3.5,"A-",IF(R72&gt;=3,"B",IF(R72&gt;=2,"C",IF(R72&gt;=1,"D","F")))))))</f>
        <v/>
      </c>
      <c r="T72" s="3">
        <f>IF(OR(B72="",S72="F"),"",COUNTIFS(P:P,"&gt;"&amp;P72,S:S,"&lt;&gt;F")+1)</f>
        <v/>
      </c>
      <c r="U72">
        <f>IF(B72="","",IF(C72&lt;33.0,0,IF(C72&gt;=100*0.8,5,IF(C72&gt;=100*0.7,4,IF(C72&gt;=100*0.6,3.5,IF(C72&gt;=100*0.5,3,IF(C72&gt;=100*0.4,2,IF(C72&gt;=100*0.33,1,0))))))))</f>
        <v/>
      </c>
      <c r="V72">
        <f>IF(B72="","",IF(D72&lt;33.0,0,IF(D72&gt;=100*0.8,5,IF(D72&gt;=100*0.7,4,IF(D72&gt;=100*0.6,3.5,IF(D72&gt;=100*0.5,3,IF(D72&gt;=100*0.4,2,IF(D72&gt;=100*0.33,1,0))))))))</f>
        <v/>
      </c>
      <c r="W72">
        <f>IF(B72="","",IF(E72&lt;16.5,0,IF(E72&gt;=50*0.8,5,IF(E72&gt;=50*0.7,4,IF(E72&gt;=50*0.6,3.5,IF(E72&gt;=50*0.5,3,IF(E72&gt;=50*0.4,2,IF(E72&gt;=50*0.33,1,0))))))))</f>
        <v/>
      </c>
      <c r="X72">
        <f>IF(B72="","",IF(F72&lt;33.0,0,IF(F72&gt;=100*0.8,5,IF(F72&gt;=100*0.7,4,IF(F72&gt;=100*0.6,3.5,IF(F72&gt;=100*0.5,3,IF(F72&gt;=100*0.4,2,IF(F72&gt;=100*0.33,1,0))))))))</f>
        <v/>
      </c>
      <c r="Y72">
        <f>IF(B72="","",IF(G72&lt;16.5,0,IF(G72&gt;=50*0.8,5,IF(G72&gt;=50*0.7,4,IF(G72&gt;=50*0.6,3.5,IF(G72&gt;=50*0.5,3,IF(G72&gt;=50*0.4,2,IF(G72&gt;=50*0.33,1,0))))))))</f>
        <v/>
      </c>
      <c r="Z72">
        <f>IF(B72="","",IF(H72&lt;33.0,0,IF(H72&gt;=100*0.8,5,IF(H72&gt;=100*0.7,4,IF(H72&gt;=100*0.6,3.5,IF(H72&gt;=100*0.5,3,IF(H72&gt;=100*0.4,2,IF(H72&gt;=100*0.33,1,0))))))))</f>
        <v/>
      </c>
      <c r="AA72">
        <f>IF(B72="","",IF(I72&lt;33.0,0,IF(I72&gt;=100*0.8,5,IF(I72&gt;=100*0.7,4,IF(I72&gt;=100*0.6,3.5,IF(I72&gt;=100*0.5,3,IF(I72&gt;=100*0.4,2,IF(I72&gt;=100*0.33,1,0))))))))</f>
        <v/>
      </c>
      <c r="AB72">
        <f>IF(B72="","",IF(J72&lt;33.0,0,IF(J72&gt;=100*0.8,5,IF(J72&gt;=100*0.7,4,IF(J72&gt;=100*0.6,3.5,IF(J72&gt;=100*0.5,3,IF(J72&gt;=100*0.4,2,IF(J72&gt;=100*0.33,1,0))))))))</f>
        <v/>
      </c>
      <c r="AC72">
        <f>IF(B72="","",IF(K72&lt;33.0,0,IF(K72&gt;=100*0.8,5,IF(K72&gt;=100*0.7,4,IF(K72&gt;=100*0.6,3.5,IF(K72&gt;=100*0.5,3,IF(K72&gt;=100*0.4,2,IF(K72&gt;=100*0.33,1,0))))))))</f>
        <v/>
      </c>
      <c r="AD72">
        <f>IF(B72="","",IF(L72&lt;33.0,0,IF(L72&gt;=100*0.8,5,IF(L72&gt;=100*0.7,4,IF(L72&gt;=100*0.6,3.5,IF(L72&gt;=100*0.5,3,IF(L72&gt;=100*0.4,2,IF(L72&gt;=100*0.33,1,0))))))))</f>
        <v/>
      </c>
      <c r="AE72">
        <f>IF(B72="","",IF(M72&lt;33.0,0,IF(M72&gt;=100*0.8,5,IF(M72&gt;=100*0.7,4,IF(M72&gt;=100*0.6,3.5,IF(M72&gt;=100*0.5,3,IF(M72&gt;=100*0.4,2,IF(M72&gt;=100*0.33,1,0))))))))</f>
        <v/>
      </c>
      <c r="AF72">
        <f>IF(B72="","",IF(N72&lt;16.5,0,IF(N72&gt;=50*0.8,5,IF(N72&gt;=50*0.7,4,IF(N72&gt;=50*0.6,3.5,IF(N72&gt;=50*0.5,3,IF(N72&gt;=50*0.4,2,IF(N72&gt;=50*0.33,1,0))))))))</f>
        <v/>
      </c>
      <c r="AG72">
        <f>IF(B72="","",IF(O72&lt;33.0,0,IF(O72&gt;=100*0.8,5,IF(O72&gt;=100*0.7,4,IF(O72&gt;=100*0.6,3.5,IF(O72&gt;=100*0.5,3,IF(O72&gt;=100*0.4,2,IF(O72&gt;=100*0.33,1,0))))))))</f>
        <v/>
      </c>
      <c r="AH72">
        <f>IF(B72="","",IF(OR(U72=0,V72=0,W72=0,X72=0,Y72=0,Z72=0,AA72=0,AB72=0,AC72=0,AD72=0,AE72=0,AF72=0,AG72=0),1,0))</f>
        <v/>
      </c>
    </row>
    <row r="73">
      <c r="A73" s="3">
        <f>IF(B73="","",ROW()-2)</f>
        <v/>
      </c>
      <c r="P73" s="4">
        <f>IF(B73="","",SUM(C73:O73))</f>
        <v/>
      </c>
      <c r="Q73" s="5">
        <f>IF(B73="","",ROUND(P73/13,2))</f>
        <v/>
      </c>
      <c r="R73" s="5">
        <f>IF(B73="","",IF(AH73=1,0,MIN(5,ROUND((U73+V73+W73+X73+Y73+Z73+AA73+AB73+AC73+AD73+AE73+AF73+AG73)/13,2))))</f>
        <v/>
      </c>
      <c r="S73" s="3">
        <f>IF(B73="","",IF(R73&gt;=5,"A+",IF(R73&gt;=4,"A",IF(R73&gt;=3.5,"A-",IF(R73&gt;=3,"B",IF(R73&gt;=2,"C",IF(R73&gt;=1,"D","F")))))))</f>
        <v/>
      </c>
      <c r="T73" s="3">
        <f>IF(OR(B73="",S73="F"),"",COUNTIFS(P:P,"&gt;"&amp;P73,S:S,"&lt;&gt;F")+1)</f>
        <v/>
      </c>
      <c r="U73">
        <f>IF(B73="","",IF(C73&lt;33.0,0,IF(C73&gt;=100*0.8,5,IF(C73&gt;=100*0.7,4,IF(C73&gt;=100*0.6,3.5,IF(C73&gt;=100*0.5,3,IF(C73&gt;=100*0.4,2,IF(C73&gt;=100*0.33,1,0))))))))</f>
        <v/>
      </c>
      <c r="V73">
        <f>IF(B73="","",IF(D73&lt;33.0,0,IF(D73&gt;=100*0.8,5,IF(D73&gt;=100*0.7,4,IF(D73&gt;=100*0.6,3.5,IF(D73&gt;=100*0.5,3,IF(D73&gt;=100*0.4,2,IF(D73&gt;=100*0.33,1,0))))))))</f>
        <v/>
      </c>
      <c r="W73">
        <f>IF(B73="","",IF(E73&lt;16.5,0,IF(E73&gt;=50*0.8,5,IF(E73&gt;=50*0.7,4,IF(E73&gt;=50*0.6,3.5,IF(E73&gt;=50*0.5,3,IF(E73&gt;=50*0.4,2,IF(E73&gt;=50*0.33,1,0))))))))</f>
        <v/>
      </c>
      <c r="X73">
        <f>IF(B73="","",IF(F73&lt;33.0,0,IF(F73&gt;=100*0.8,5,IF(F73&gt;=100*0.7,4,IF(F73&gt;=100*0.6,3.5,IF(F73&gt;=100*0.5,3,IF(F73&gt;=100*0.4,2,IF(F73&gt;=100*0.33,1,0))))))))</f>
        <v/>
      </c>
      <c r="Y73">
        <f>IF(B73="","",IF(G73&lt;16.5,0,IF(G73&gt;=50*0.8,5,IF(G73&gt;=50*0.7,4,IF(G73&gt;=50*0.6,3.5,IF(G73&gt;=50*0.5,3,IF(G73&gt;=50*0.4,2,IF(G73&gt;=50*0.33,1,0))))))))</f>
        <v/>
      </c>
      <c r="Z73">
        <f>IF(B73="","",IF(H73&lt;33.0,0,IF(H73&gt;=100*0.8,5,IF(H73&gt;=100*0.7,4,IF(H73&gt;=100*0.6,3.5,IF(H73&gt;=100*0.5,3,IF(H73&gt;=100*0.4,2,IF(H73&gt;=100*0.33,1,0))))))))</f>
        <v/>
      </c>
      <c r="AA73">
        <f>IF(B73="","",IF(I73&lt;33.0,0,IF(I73&gt;=100*0.8,5,IF(I73&gt;=100*0.7,4,IF(I73&gt;=100*0.6,3.5,IF(I73&gt;=100*0.5,3,IF(I73&gt;=100*0.4,2,IF(I73&gt;=100*0.33,1,0))))))))</f>
        <v/>
      </c>
      <c r="AB73">
        <f>IF(B73="","",IF(J73&lt;33.0,0,IF(J73&gt;=100*0.8,5,IF(J73&gt;=100*0.7,4,IF(J73&gt;=100*0.6,3.5,IF(J73&gt;=100*0.5,3,IF(J73&gt;=100*0.4,2,IF(J73&gt;=100*0.33,1,0))))))))</f>
        <v/>
      </c>
      <c r="AC73">
        <f>IF(B73="","",IF(K73&lt;33.0,0,IF(K73&gt;=100*0.8,5,IF(K73&gt;=100*0.7,4,IF(K73&gt;=100*0.6,3.5,IF(K73&gt;=100*0.5,3,IF(K73&gt;=100*0.4,2,IF(K73&gt;=100*0.33,1,0))))))))</f>
        <v/>
      </c>
      <c r="AD73">
        <f>IF(B73="","",IF(L73&lt;33.0,0,IF(L73&gt;=100*0.8,5,IF(L73&gt;=100*0.7,4,IF(L73&gt;=100*0.6,3.5,IF(L73&gt;=100*0.5,3,IF(L73&gt;=100*0.4,2,IF(L73&gt;=100*0.33,1,0))))))))</f>
        <v/>
      </c>
      <c r="AE73">
        <f>IF(B73="","",IF(M73&lt;33.0,0,IF(M73&gt;=100*0.8,5,IF(M73&gt;=100*0.7,4,IF(M73&gt;=100*0.6,3.5,IF(M73&gt;=100*0.5,3,IF(M73&gt;=100*0.4,2,IF(M73&gt;=100*0.33,1,0))))))))</f>
        <v/>
      </c>
      <c r="AF73">
        <f>IF(B73="","",IF(N73&lt;16.5,0,IF(N73&gt;=50*0.8,5,IF(N73&gt;=50*0.7,4,IF(N73&gt;=50*0.6,3.5,IF(N73&gt;=50*0.5,3,IF(N73&gt;=50*0.4,2,IF(N73&gt;=50*0.33,1,0))))))))</f>
        <v/>
      </c>
      <c r="AG73">
        <f>IF(B73="","",IF(O73&lt;33.0,0,IF(O73&gt;=100*0.8,5,IF(O73&gt;=100*0.7,4,IF(O73&gt;=100*0.6,3.5,IF(O73&gt;=100*0.5,3,IF(O73&gt;=100*0.4,2,IF(O73&gt;=100*0.33,1,0))))))))</f>
        <v/>
      </c>
      <c r="AH73">
        <f>IF(B73="","",IF(OR(U73=0,V73=0,W73=0,X73=0,Y73=0,Z73=0,AA73=0,AB73=0,AC73=0,AD73=0,AE73=0,AF73=0,AG73=0),1,0))</f>
        <v/>
      </c>
    </row>
    <row r="74">
      <c r="A74" s="3">
        <f>IF(B74="","",ROW()-2)</f>
        <v/>
      </c>
      <c r="P74" s="4">
        <f>IF(B74="","",SUM(C74:O74))</f>
        <v/>
      </c>
      <c r="Q74" s="5">
        <f>IF(B74="","",ROUND(P74/13,2))</f>
        <v/>
      </c>
      <c r="R74" s="5">
        <f>IF(B74="","",IF(AH74=1,0,MIN(5,ROUND((U74+V74+W74+X74+Y74+Z74+AA74+AB74+AC74+AD74+AE74+AF74+AG74)/13,2))))</f>
        <v/>
      </c>
      <c r="S74" s="3">
        <f>IF(B74="","",IF(R74&gt;=5,"A+",IF(R74&gt;=4,"A",IF(R74&gt;=3.5,"A-",IF(R74&gt;=3,"B",IF(R74&gt;=2,"C",IF(R74&gt;=1,"D","F")))))))</f>
        <v/>
      </c>
      <c r="T74" s="3">
        <f>IF(OR(B74="",S74="F"),"",COUNTIFS(P:P,"&gt;"&amp;P74,S:S,"&lt;&gt;F")+1)</f>
        <v/>
      </c>
      <c r="U74">
        <f>IF(B74="","",IF(C74&lt;33.0,0,IF(C74&gt;=100*0.8,5,IF(C74&gt;=100*0.7,4,IF(C74&gt;=100*0.6,3.5,IF(C74&gt;=100*0.5,3,IF(C74&gt;=100*0.4,2,IF(C74&gt;=100*0.33,1,0))))))))</f>
        <v/>
      </c>
      <c r="V74">
        <f>IF(B74="","",IF(D74&lt;33.0,0,IF(D74&gt;=100*0.8,5,IF(D74&gt;=100*0.7,4,IF(D74&gt;=100*0.6,3.5,IF(D74&gt;=100*0.5,3,IF(D74&gt;=100*0.4,2,IF(D74&gt;=100*0.33,1,0))))))))</f>
        <v/>
      </c>
      <c r="W74">
        <f>IF(B74="","",IF(E74&lt;16.5,0,IF(E74&gt;=50*0.8,5,IF(E74&gt;=50*0.7,4,IF(E74&gt;=50*0.6,3.5,IF(E74&gt;=50*0.5,3,IF(E74&gt;=50*0.4,2,IF(E74&gt;=50*0.33,1,0))))))))</f>
        <v/>
      </c>
      <c r="X74">
        <f>IF(B74="","",IF(F74&lt;33.0,0,IF(F74&gt;=100*0.8,5,IF(F74&gt;=100*0.7,4,IF(F74&gt;=100*0.6,3.5,IF(F74&gt;=100*0.5,3,IF(F74&gt;=100*0.4,2,IF(F74&gt;=100*0.33,1,0))))))))</f>
        <v/>
      </c>
      <c r="Y74">
        <f>IF(B74="","",IF(G74&lt;16.5,0,IF(G74&gt;=50*0.8,5,IF(G74&gt;=50*0.7,4,IF(G74&gt;=50*0.6,3.5,IF(G74&gt;=50*0.5,3,IF(G74&gt;=50*0.4,2,IF(G74&gt;=50*0.33,1,0))))))))</f>
        <v/>
      </c>
      <c r="Z74">
        <f>IF(B74="","",IF(H74&lt;33.0,0,IF(H74&gt;=100*0.8,5,IF(H74&gt;=100*0.7,4,IF(H74&gt;=100*0.6,3.5,IF(H74&gt;=100*0.5,3,IF(H74&gt;=100*0.4,2,IF(H74&gt;=100*0.33,1,0))))))))</f>
        <v/>
      </c>
      <c r="AA74">
        <f>IF(B74="","",IF(I74&lt;33.0,0,IF(I74&gt;=100*0.8,5,IF(I74&gt;=100*0.7,4,IF(I74&gt;=100*0.6,3.5,IF(I74&gt;=100*0.5,3,IF(I74&gt;=100*0.4,2,IF(I74&gt;=100*0.33,1,0))))))))</f>
        <v/>
      </c>
      <c r="AB74">
        <f>IF(B74="","",IF(J74&lt;33.0,0,IF(J74&gt;=100*0.8,5,IF(J74&gt;=100*0.7,4,IF(J74&gt;=100*0.6,3.5,IF(J74&gt;=100*0.5,3,IF(J74&gt;=100*0.4,2,IF(J74&gt;=100*0.33,1,0))))))))</f>
        <v/>
      </c>
      <c r="AC74">
        <f>IF(B74="","",IF(K74&lt;33.0,0,IF(K74&gt;=100*0.8,5,IF(K74&gt;=100*0.7,4,IF(K74&gt;=100*0.6,3.5,IF(K74&gt;=100*0.5,3,IF(K74&gt;=100*0.4,2,IF(K74&gt;=100*0.33,1,0))))))))</f>
        <v/>
      </c>
      <c r="AD74">
        <f>IF(B74="","",IF(L74&lt;33.0,0,IF(L74&gt;=100*0.8,5,IF(L74&gt;=100*0.7,4,IF(L74&gt;=100*0.6,3.5,IF(L74&gt;=100*0.5,3,IF(L74&gt;=100*0.4,2,IF(L74&gt;=100*0.33,1,0))))))))</f>
        <v/>
      </c>
      <c r="AE74">
        <f>IF(B74="","",IF(M74&lt;33.0,0,IF(M74&gt;=100*0.8,5,IF(M74&gt;=100*0.7,4,IF(M74&gt;=100*0.6,3.5,IF(M74&gt;=100*0.5,3,IF(M74&gt;=100*0.4,2,IF(M74&gt;=100*0.33,1,0))))))))</f>
        <v/>
      </c>
      <c r="AF74">
        <f>IF(B74="","",IF(N74&lt;16.5,0,IF(N74&gt;=50*0.8,5,IF(N74&gt;=50*0.7,4,IF(N74&gt;=50*0.6,3.5,IF(N74&gt;=50*0.5,3,IF(N74&gt;=50*0.4,2,IF(N74&gt;=50*0.33,1,0))))))))</f>
        <v/>
      </c>
      <c r="AG74">
        <f>IF(B74="","",IF(O74&lt;33.0,0,IF(O74&gt;=100*0.8,5,IF(O74&gt;=100*0.7,4,IF(O74&gt;=100*0.6,3.5,IF(O74&gt;=100*0.5,3,IF(O74&gt;=100*0.4,2,IF(O74&gt;=100*0.33,1,0))))))))</f>
        <v/>
      </c>
      <c r="AH74">
        <f>IF(B74="","",IF(OR(U74=0,V74=0,W74=0,X74=0,Y74=0,Z74=0,AA74=0,AB74=0,AC74=0,AD74=0,AE74=0,AF74=0,AG74=0),1,0))</f>
        <v/>
      </c>
    </row>
    <row r="75">
      <c r="A75" s="3">
        <f>IF(B75="","",ROW()-2)</f>
        <v/>
      </c>
      <c r="P75" s="4">
        <f>IF(B75="","",SUM(C75:O75))</f>
        <v/>
      </c>
      <c r="Q75" s="5">
        <f>IF(B75="","",ROUND(P75/13,2))</f>
        <v/>
      </c>
      <c r="R75" s="5">
        <f>IF(B75="","",IF(AH75=1,0,MIN(5,ROUND((U75+V75+W75+X75+Y75+Z75+AA75+AB75+AC75+AD75+AE75+AF75+AG75)/13,2))))</f>
        <v/>
      </c>
      <c r="S75" s="3">
        <f>IF(B75="","",IF(R75&gt;=5,"A+",IF(R75&gt;=4,"A",IF(R75&gt;=3.5,"A-",IF(R75&gt;=3,"B",IF(R75&gt;=2,"C",IF(R75&gt;=1,"D","F")))))))</f>
        <v/>
      </c>
      <c r="T75" s="3">
        <f>IF(OR(B75="",S75="F"),"",COUNTIFS(P:P,"&gt;"&amp;P75,S:S,"&lt;&gt;F")+1)</f>
        <v/>
      </c>
      <c r="U75">
        <f>IF(B75="","",IF(C75&lt;33.0,0,IF(C75&gt;=100*0.8,5,IF(C75&gt;=100*0.7,4,IF(C75&gt;=100*0.6,3.5,IF(C75&gt;=100*0.5,3,IF(C75&gt;=100*0.4,2,IF(C75&gt;=100*0.33,1,0))))))))</f>
        <v/>
      </c>
      <c r="V75">
        <f>IF(B75="","",IF(D75&lt;33.0,0,IF(D75&gt;=100*0.8,5,IF(D75&gt;=100*0.7,4,IF(D75&gt;=100*0.6,3.5,IF(D75&gt;=100*0.5,3,IF(D75&gt;=100*0.4,2,IF(D75&gt;=100*0.33,1,0))))))))</f>
        <v/>
      </c>
      <c r="W75">
        <f>IF(B75="","",IF(E75&lt;16.5,0,IF(E75&gt;=50*0.8,5,IF(E75&gt;=50*0.7,4,IF(E75&gt;=50*0.6,3.5,IF(E75&gt;=50*0.5,3,IF(E75&gt;=50*0.4,2,IF(E75&gt;=50*0.33,1,0))))))))</f>
        <v/>
      </c>
      <c r="X75">
        <f>IF(B75="","",IF(F75&lt;33.0,0,IF(F75&gt;=100*0.8,5,IF(F75&gt;=100*0.7,4,IF(F75&gt;=100*0.6,3.5,IF(F75&gt;=100*0.5,3,IF(F75&gt;=100*0.4,2,IF(F75&gt;=100*0.33,1,0))))))))</f>
        <v/>
      </c>
      <c r="Y75">
        <f>IF(B75="","",IF(G75&lt;16.5,0,IF(G75&gt;=50*0.8,5,IF(G75&gt;=50*0.7,4,IF(G75&gt;=50*0.6,3.5,IF(G75&gt;=50*0.5,3,IF(G75&gt;=50*0.4,2,IF(G75&gt;=50*0.33,1,0))))))))</f>
        <v/>
      </c>
      <c r="Z75">
        <f>IF(B75="","",IF(H75&lt;33.0,0,IF(H75&gt;=100*0.8,5,IF(H75&gt;=100*0.7,4,IF(H75&gt;=100*0.6,3.5,IF(H75&gt;=100*0.5,3,IF(H75&gt;=100*0.4,2,IF(H75&gt;=100*0.33,1,0))))))))</f>
        <v/>
      </c>
      <c r="AA75">
        <f>IF(B75="","",IF(I75&lt;33.0,0,IF(I75&gt;=100*0.8,5,IF(I75&gt;=100*0.7,4,IF(I75&gt;=100*0.6,3.5,IF(I75&gt;=100*0.5,3,IF(I75&gt;=100*0.4,2,IF(I75&gt;=100*0.33,1,0))))))))</f>
        <v/>
      </c>
      <c r="AB75">
        <f>IF(B75="","",IF(J75&lt;33.0,0,IF(J75&gt;=100*0.8,5,IF(J75&gt;=100*0.7,4,IF(J75&gt;=100*0.6,3.5,IF(J75&gt;=100*0.5,3,IF(J75&gt;=100*0.4,2,IF(J75&gt;=100*0.33,1,0))))))))</f>
        <v/>
      </c>
      <c r="AC75">
        <f>IF(B75="","",IF(K75&lt;33.0,0,IF(K75&gt;=100*0.8,5,IF(K75&gt;=100*0.7,4,IF(K75&gt;=100*0.6,3.5,IF(K75&gt;=100*0.5,3,IF(K75&gt;=100*0.4,2,IF(K75&gt;=100*0.33,1,0))))))))</f>
        <v/>
      </c>
      <c r="AD75">
        <f>IF(B75="","",IF(L75&lt;33.0,0,IF(L75&gt;=100*0.8,5,IF(L75&gt;=100*0.7,4,IF(L75&gt;=100*0.6,3.5,IF(L75&gt;=100*0.5,3,IF(L75&gt;=100*0.4,2,IF(L75&gt;=100*0.33,1,0))))))))</f>
        <v/>
      </c>
      <c r="AE75">
        <f>IF(B75="","",IF(M75&lt;33.0,0,IF(M75&gt;=100*0.8,5,IF(M75&gt;=100*0.7,4,IF(M75&gt;=100*0.6,3.5,IF(M75&gt;=100*0.5,3,IF(M75&gt;=100*0.4,2,IF(M75&gt;=100*0.33,1,0))))))))</f>
        <v/>
      </c>
      <c r="AF75">
        <f>IF(B75="","",IF(N75&lt;16.5,0,IF(N75&gt;=50*0.8,5,IF(N75&gt;=50*0.7,4,IF(N75&gt;=50*0.6,3.5,IF(N75&gt;=50*0.5,3,IF(N75&gt;=50*0.4,2,IF(N75&gt;=50*0.33,1,0))))))))</f>
        <v/>
      </c>
      <c r="AG75">
        <f>IF(B75="","",IF(O75&lt;33.0,0,IF(O75&gt;=100*0.8,5,IF(O75&gt;=100*0.7,4,IF(O75&gt;=100*0.6,3.5,IF(O75&gt;=100*0.5,3,IF(O75&gt;=100*0.4,2,IF(O75&gt;=100*0.33,1,0))))))))</f>
        <v/>
      </c>
      <c r="AH75">
        <f>IF(B75="","",IF(OR(U75=0,V75=0,W75=0,X75=0,Y75=0,Z75=0,AA75=0,AB75=0,AC75=0,AD75=0,AE75=0,AF75=0,AG75=0),1,0))</f>
        <v/>
      </c>
    </row>
    <row r="76">
      <c r="A76" s="3">
        <f>IF(B76="","",ROW()-2)</f>
        <v/>
      </c>
      <c r="P76" s="4">
        <f>IF(B76="","",SUM(C76:O76))</f>
        <v/>
      </c>
      <c r="Q76" s="5">
        <f>IF(B76="","",ROUND(P76/13,2))</f>
        <v/>
      </c>
      <c r="R76" s="5">
        <f>IF(B76="","",IF(AH76=1,0,MIN(5,ROUND((U76+V76+W76+X76+Y76+Z76+AA76+AB76+AC76+AD76+AE76+AF76+AG76)/13,2))))</f>
        <v/>
      </c>
      <c r="S76" s="3">
        <f>IF(B76="","",IF(R76&gt;=5,"A+",IF(R76&gt;=4,"A",IF(R76&gt;=3.5,"A-",IF(R76&gt;=3,"B",IF(R76&gt;=2,"C",IF(R76&gt;=1,"D","F")))))))</f>
        <v/>
      </c>
      <c r="T76" s="3">
        <f>IF(OR(B76="",S76="F"),"",COUNTIFS(P:P,"&gt;"&amp;P76,S:S,"&lt;&gt;F")+1)</f>
        <v/>
      </c>
      <c r="U76">
        <f>IF(B76="","",IF(C76&lt;33.0,0,IF(C76&gt;=100*0.8,5,IF(C76&gt;=100*0.7,4,IF(C76&gt;=100*0.6,3.5,IF(C76&gt;=100*0.5,3,IF(C76&gt;=100*0.4,2,IF(C76&gt;=100*0.33,1,0))))))))</f>
        <v/>
      </c>
      <c r="V76">
        <f>IF(B76="","",IF(D76&lt;33.0,0,IF(D76&gt;=100*0.8,5,IF(D76&gt;=100*0.7,4,IF(D76&gt;=100*0.6,3.5,IF(D76&gt;=100*0.5,3,IF(D76&gt;=100*0.4,2,IF(D76&gt;=100*0.33,1,0))))))))</f>
        <v/>
      </c>
      <c r="W76">
        <f>IF(B76="","",IF(E76&lt;16.5,0,IF(E76&gt;=50*0.8,5,IF(E76&gt;=50*0.7,4,IF(E76&gt;=50*0.6,3.5,IF(E76&gt;=50*0.5,3,IF(E76&gt;=50*0.4,2,IF(E76&gt;=50*0.33,1,0))))))))</f>
        <v/>
      </c>
      <c r="X76">
        <f>IF(B76="","",IF(F76&lt;33.0,0,IF(F76&gt;=100*0.8,5,IF(F76&gt;=100*0.7,4,IF(F76&gt;=100*0.6,3.5,IF(F76&gt;=100*0.5,3,IF(F76&gt;=100*0.4,2,IF(F76&gt;=100*0.33,1,0))))))))</f>
        <v/>
      </c>
      <c r="Y76">
        <f>IF(B76="","",IF(G76&lt;16.5,0,IF(G76&gt;=50*0.8,5,IF(G76&gt;=50*0.7,4,IF(G76&gt;=50*0.6,3.5,IF(G76&gt;=50*0.5,3,IF(G76&gt;=50*0.4,2,IF(G76&gt;=50*0.33,1,0))))))))</f>
        <v/>
      </c>
      <c r="Z76">
        <f>IF(B76="","",IF(H76&lt;33.0,0,IF(H76&gt;=100*0.8,5,IF(H76&gt;=100*0.7,4,IF(H76&gt;=100*0.6,3.5,IF(H76&gt;=100*0.5,3,IF(H76&gt;=100*0.4,2,IF(H76&gt;=100*0.33,1,0))))))))</f>
        <v/>
      </c>
      <c r="AA76">
        <f>IF(B76="","",IF(I76&lt;33.0,0,IF(I76&gt;=100*0.8,5,IF(I76&gt;=100*0.7,4,IF(I76&gt;=100*0.6,3.5,IF(I76&gt;=100*0.5,3,IF(I76&gt;=100*0.4,2,IF(I76&gt;=100*0.33,1,0))))))))</f>
        <v/>
      </c>
      <c r="AB76">
        <f>IF(B76="","",IF(J76&lt;33.0,0,IF(J76&gt;=100*0.8,5,IF(J76&gt;=100*0.7,4,IF(J76&gt;=100*0.6,3.5,IF(J76&gt;=100*0.5,3,IF(J76&gt;=100*0.4,2,IF(J76&gt;=100*0.33,1,0))))))))</f>
        <v/>
      </c>
      <c r="AC76">
        <f>IF(B76="","",IF(K76&lt;33.0,0,IF(K76&gt;=100*0.8,5,IF(K76&gt;=100*0.7,4,IF(K76&gt;=100*0.6,3.5,IF(K76&gt;=100*0.5,3,IF(K76&gt;=100*0.4,2,IF(K76&gt;=100*0.33,1,0))))))))</f>
        <v/>
      </c>
      <c r="AD76">
        <f>IF(B76="","",IF(L76&lt;33.0,0,IF(L76&gt;=100*0.8,5,IF(L76&gt;=100*0.7,4,IF(L76&gt;=100*0.6,3.5,IF(L76&gt;=100*0.5,3,IF(L76&gt;=100*0.4,2,IF(L76&gt;=100*0.33,1,0))))))))</f>
        <v/>
      </c>
      <c r="AE76">
        <f>IF(B76="","",IF(M76&lt;33.0,0,IF(M76&gt;=100*0.8,5,IF(M76&gt;=100*0.7,4,IF(M76&gt;=100*0.6,3.5,IF(M76&gt;=100*0.5,3,IF(M76&gt;=100*0.4,2,IF(M76&gt;=100*0.33,1,0))))))))</f>
        <v/>
      </c>
      <c r="AF76">
        <f>IF(B76="","",IF(N76&lt;16.5,0,IF(N76&gt;=50*0.8,5,IF(N76&gt;=50*0.7,4,IF(N76&gt;=50*0.6,3.5,IF(N76&gt;=50*0.5,3,IF(N76&gt;=50*0.4,2,IF(N76&gt;=50*0.33,1,0))))))))</f>
        <v/>
      </c>
      <c r="AG76">
        <f>IF(B76="","",IF(O76&lt;33.0,0,IF(O76&gt;=100*0.8,5,IF(O76&gt;=100*0.7,4,IF(O76&gt;=100*0.6,3.5,IF(O76&gt;=100*0.5,3,IF(O76&gt;=100*0.4,2,IF(O76&gt;=100*0.33,1,0))))))))</f>
        <v/>
      </c>
      <c r="AH76">
        <f>IF(B76="","",IF(OR(U76=0,V76=0,W76=0,X76=0,Y76=0,Z76=0,AA76=0,AB76=0,AC76=0,AD76=0,AE76=0,AF76=0,AG76=0),1,0))</f>
        <v/>
      </c>
    </row>
    <row r="77">
      <c r="A77" s="3">
        <f>IF(B77="","",ROW()-2)</f>
        <v/>
      </c>
      <c r="P77" s="4">
        <f>IF(B77="","",SUM(C77:O77))</f>
        <v/>
      </c>
      <c r="Q77" s="5">
        <f>IF(B77="","",ROUND(P77/13,2))</f>
        <v/>
      </c>
      <c r="R77" s="5">
        <f>IF(B77="","",IF(AH77=1,0,MIN(5,ROUND((U77+V77+W77+X77+Y77+Z77+AA77+AB77+AC77+AD77+AE77+AF77+AG77)/13,2))))</f>
        <v/>
      </c>
      <c r="S77" s="3">
        <f>IF(B77="","",IF(R77&gt;=5,"A+",IF(R77&gt;=4,"A",IF(R77&gt;=3.5,"A-",IF(R77&gt;=3,"B",IF(R77&gt;=2,"C",IF(R77&gt;=1,"D","F")))))))</f>
        <v/>
      </c>
      <c r="T77" s="3">
        <f>IF(OR(B77="",S77="F"),"",COUNTIFS(P:P,"&gt;"&amp;P77,S:S,"&lt;&gt;F")+1)</f>
        <v/>
      </c>
      <c r="U77">
        <f>IF(B77="","",IF(C77&lt;33.0,0,IF(C77&gt;=100*0.8,5,IF(C77&gt;=100*0.7,4,IF(C77&gt;=100*0.6,3.5,IF(C77&gt;=100*0.5,3,IF(C77&gt;=100*0.4,2,IF(C77&gt;=100*0.33,1,0))))))))</f>
        <v/>
      </c>
      <c r="V77">
        <f>IF(B77="","",IF(D77&lt;33.0,0,IF(D77&gt;=100*0.8,5,IF(D77&gt;=100*0.7,4,IF(D77&gt;=100*0.6,3.5,IF(D77&gt;=100*0.5,3,IF(D77&gt;=100*0.4,2,IF(D77&gt;=100*0.33,1,0))))))))</f>
        <v/>
      </c>
      <c r="W77">
        <f>IF(B77="","",IF(E77&lt;16.5,0,IF(E77&gt;=50*0.8,5,IF(E77&gt;=50*0.7,4,IF(E77&gt;=50*0.6,3.5,IF(E77&gt;=50*0.5,3,IF(E77&gt;=50*0.4,2,IF(E77&gt;=50*0.33,1,0))))))))</f>
        <v/>
      </c>
      <c r="X77">
        <f>IF(B77="","",IF(F77&lt;33.0,0,IF(F77&gt;=100*0.8,5,IF(F77&gt;=100*0.7,4,IF(F77&gt;=100*0.6,3.5,IF(F77&gt;=100*0.5,3,IF(F77&gt;=100*0.4,2,IF(F77&gt;=100*0.33,1,0))))))))</f>
        <v/>
      </c>
      <c r="Y77">
        <f>IF(B77="","",IF(G77&lt;16.5,0,IF(G77&gt;=50*0.8,5,IF(G77&gt;=50*0.7,4,IF(G77&gt;=50*0.6,3.5,IF(G77&gt;=50*0.5,3,IF(G77&gt;=50*0.4,2,IF(G77&gt;=50*0.33,1,0))))))))</f>
        <v/>
      </c>
      <c r="Z77">
        <f>IF(B77="","",IF(H77&lt;33.0,0,IF(H77&gt;=100*0.8,5,IF(H77&gt;=100*0.7,4,IF(H77&gt;=100*0.6,3.5,IF(H77&gt;=100*0.5,3,IF(H77&gt;=100*0.4,2,IF(H77&gt;=100*0.33,1,0))))))))</f>
        <v/>
      </c>
      <c r="AA77">
        <f>IF(B77="","",IF(I77&lt;33.0,0,IF(I77&gt;=100*0.8,5,IF(I77&gt;=100*0.7,4,IF(I77&gt;=100*0.6,3.5,IF(I77&gt;=100*0.5,3,IF(I77&gt;=100*0.4,2,IF(I77&gt;=100*0.33,1,0))))))))</f>
        <v/>
      </c>
      <c r="AB77">
        <f>IF(B77="","",IF(J77&lt;33.0,0,IF(J77&gt;=100*0.8,5,IF(J77&gt;=100*0.7,4,IF(J77&gt;=100*0.6,3.5,IF(J77&gt;=100*0.5,3,IF(J77&gt;=100*0.4,2,IF(J77&gt;=100*0.33,1,0))))))))</f>
        <v/>
      </c>
      <c r="AC77">
        <f>IF(B77="","",IF(K77&lt;33.0,0,IF(K77&gt;=100*0.8,5,IF(K77&gt;=100*0.7,4,IF(K77&gt;=100*0.6,3.5,IF(K77&gt;=100*0.5,3,IF(K77&gt;=100*0.4,2,IF(K77&gt;=100*0.33,1,0))))))))</f>
        <v/>
      </c>
      <c r="AD77">
        <f>IF(B77="","",IF(L77&lt;33.0,0,IF(L77&gt;=100*0.8,5,IF(L77&gt;=100*0.7,4,IF(L77&gt;=100*0.6,3.5,IF(L77&gt;=100*0.5,3,IF(L77&gt;=100*0.4,2,IF(L77&gt;=100*0.33,1,0))))))))</f>
        <v/>
      </c>
      <c r="AE77">
        <f>IF(B77="","",IF(M77&lt;33.0,0,IF(M77&gt;=100*0.8,5,IF(M77&gt;=100*0.7,4,IF(M77&gt;=100*0.6,3.5,IF(M77&gt;=100*0.5,3,IF(M77&gt;=100*0.4,2,IF(M77&gt;=100*0.33,1,0))))))))</f>
        <v/>
      </c>
      <c r="AF77">
        <f>IF(B77="","",IF(N77&lt;16.5,0,IF(N77&gt;=50*0.8,5,IF(N77&gt;=50*0.7,4,IF(N77&gt;=50*0.6,3.5,IF(N77&gt;=50*0.5,3,IF(N77&gt;=50*0.4,2,IF(N77&gt;=50*0.33,1,0))))))))</f>
        <v/>
      </c>
      <c r="AG77">
        <f>IF(B77="","",IF(O77&lt;33.0,0,IF(O77&gt;=100*0.8,5,IF(O77&gt;=100*0.7,4,IF(O77&gt;=100*0.6,3.5,IF(O77&gt;=100*0.5,3,IF(O77&gt;=100*0.4,2,IF(O77&gt;=100*0.33,1,0))))))))</f>
        <v/>
      </c>
      <c r="AH77">
        <f>IF(B77="","",IF(OR(U77=0,V77=0,W77=0,X77=0,Y77=0,Z77=0,AA77=0,AB77=0,AC77=0,AD77=0,AE77=0,AF77=0,AG77=0),1,0))</f>
        <v/>
      </c>
    </row>
    <row r="78">
      <c r="A78" s="3">
        <f>IF(B78="","",ROW()-2)</f>
        <v/>
      </c>
      <c r="P78" s="4">
        <f>IF(B78="","",SUM(C78:O78))</f>
        <v/>
      </c>
      <c r="Q78" s="5">
        <f>IF(B78="","",ROUND(P78/13,2))</f>
        <v/>
      </c>
      <c r="R78" s="5">
        <f>IF(B78="","",IF(AH78=1,0,MIN(5,ROUND((U78+V78+W78+X78+Y78+Z78+AA78+AB78+AC78+AD78+AE78+AF78+AG78)/13,2))))</f>
        <v/>
      </c>
      <c r="S78" s="3">
        <f>IF(B78="","",IF(R78&gt;=5,"A+",IF(R78&gt;=4,"A",IF(R78&gt;=3.5,"A-",IF(R78&gt;=3,"B",IF(R78&gt;=2,"C",IF(R78&gt;=1,"D","F")))))))</f>
        <v/>
      </c>
      <c r="T78" s="3">
        <f>IF(OR(B78="",S78="F"),"",COUNTIFS(P:P,"&gt;"&amp;P78,S:S,"&lt;&gt;F")+1)</f>
        <v/>
      </c>
      <c r="U78">
        <f>IF(B78="","",IF(C78&lt;33.0,0,IF(C78&gt;=100*0.8,5,IF(C78&gt;=100*0.7,4,IF(C78&gt;=100*0.6,3.5,IF(C78&gt;=100*0.5,3,IF(C78&gt;=100*0.4,2,IF(C78&gt;=100*0.33,1,0))))))))</f>
        <v/>
      </c>
      <c r="V78">
        <f>IF(B78="","",IF(D78&lt;33.0,0,IF(D78&gt;=100*0.8,5,IF(D78&gt;=100*0.7,4,IF(D78&gt;=100*0.6,3.5,IF(D78&gt;=100*0.5,3,IF(D78&gt;=100*0.4,2,IF(D78&gt;=100*0.33,1,0))))))))</f>
        <v/>
      </c>
      <c r="W78">
        <f>IF(B78="","",IF(E78&lt;16.5,0,IF(E78&gt;=50*0.8,5,IF(E78&gt;=50*0.7,4,IF(E78&gt;=50*0.6,3.5,IF(E78&gt;=50*0.5,3,IF(E78&gt;=50*0.4,2,IF(E78&gt;=50*0.33,1,0))))))))</f>
        <v/>
      </c>
      <c r="X78">
        <f>IF(B78="","",IF(F78&lt;33.0,0,IF(F78&gt;=100*0.8,5,IF(F78&gt;=100*0.7,4,IF(F78&gt;=100*0.6,3.5,IF(F78&gt;=100*0.5,3,IF(F78&gt;=100*0.4,2,IF(F78&gt;=100*0.33,1,0))))))))</f>
        <v/>
      </c>
      <c r="Y78">
        <f>IF(B78="","",IF(G78&lt;16.5,0,IF(G78&gt;=50*0.8,5,IF(G78&gt;=50*0.7,4,IF(G78&gt;=50*0.6,3.5,IF(G78&gt;=50*0.5,3,IF(G78&gt;=50*0.4,2,IF(G78&gt;=50*0.33,1,0))))))))</f>
        <v/>
      </c>
      <c r="Z78">
        <f>IF(B78="","",IF(H78&lt;33.0,0,IF(H78&gt;=100*0.8,5,IF(H78&gt;=100*0.7,4,IF(H78&gt;=100*0.6,3.5,IF(H78&gt;=100*0.5,3,IF(H78&gt;=100*0.4,2,IF(H78&gt;=100*0.33,1,0))))))))</f>
        <v/>
      </c>
      <c r="AA78">
        <f>IF(B78="","",IF(I78&lt;33.0,0,IF(I78&gt;=100*0.8,5,IF(I78&gt;=100*0.7,4,IF(I78&gt;=100*0.6,3.5,IF(I78&gt;=100*0.5,3,IF(I78&gt;=100*0.4,2,IF(I78&gt;=100*0.33,1,0))))))))</f>
        <v/>
      </c>
      <c r="AB78">
        <f>IF(B78="","",IF(J78&lt;33.0,0,IF(J78&gt;=100*0.8,5,IF(J78&gt;=100*0.7,4,IF(J78&gt;=100*0.6,3.5,IF(J78&gt;=100*0.5,3,IF(J78&gt;=100*0.4,2,IF(J78&gt;=100*0.33,1,0))))))))</f>
        <v/>
      </c>
      <c r="AC78">
        <f>IF(B78="","",IF(K78&lt;33.0,0,IF(K78&gt;=100*0.8,5,IF(K78&gt;=100*0.7,4,IF(K78&gt;=100*0.6,3.5,IF(K78&gt;=100*0.5,3,IF(K78&gt;=100*0.4,2,IF(K78&gt;=100*0.33,1,0))))))))</f>
        <v/>
      </c>
      <c r="AD78">
        <f>IF(B78="","",IF(L78&lt;33.0,0,IF(L78&gt;=100*0.8,5,IF(L78&gt;=100*0.7,4,IF(L78&gt;=100*0.6,3.5,IF(L78&gt;=100*0.5,3,IF(L78&gt;=100*0.4,2,IF(L78&gt;=100*0.33,1,0))))))))</f>
        <v/>
      </c>
      <c r="AE78">
        <f>IF(B78="","",IF(M78&lt;33.0,0,IF(M78&gt;=100*0.8,5,IF(M78&gt;=100*0.7,4,IF(M78&gt;=100*0.6,3.5,IF(M78&gt;=100*0.5,3,IF(M78&gt;=100*0.4,2,IF(M78&gt;=100*0.33,1,0))))))))</f>
        <v/>
      </c>
      <c r="AF78">
        <f>IF(B78="","",IF(N78&lt;16.5,0,IF(N78&gt;=50*0.8,5,IF(N78&gt;=50*0.7,4,IF(N78&gt;=50*0.6,3.5,IF(N78&gt;=50*0.5,3,IF(N78&gt;=50*0.4,2,IF(N78&gt;=50*0.33,1,0))))))))</f>
        <v/>
      </c>
      <c r="AG78">
        <f>IF(B78="","",IF(O78&lt;33.0,0,IF(O78&gt;=100*0.8,5,IF(O78&gt;=100*0.7,4,IF(O78&gt;=100*0.6,3.5,IF(O78&gt;=100*0.5,3,IF(O78&gt;=100*0.4,2,IF(O78&gt;=100*0.33,1,0))))))))</f>
        <v/>
      </c>
      <c r="AH78">
        <f>IF(B78="","",IF(OR(U78=0,V78=0,W78=0,X78=0,Y78=0,Z78=0,AA78=0,AB78=0,AC78=0,AD78=0,AE78=0,AF78=0,AG78=0),1,0))</f>
        <v/>
      </c>
    </row>
    <row r="79">
      <c r="A79" s="3">
        <f>IF(B79="","",ROW()-2)</f>
        <v/>
      </c>
      <c r="P79" s="4">
        <f>IF(B79="","",SUM(C79:O79))</f>
        <v/>
      </c>
      <c r="Q79" s="5">
        <f>IF(B79="","",ROUND(P79/13,2))</f>
        <v/>
      </c>
      <c r="R79" s="5">
        <f>IF(B79="","",IF(AH79=1,0,MIN(5,ROUND((U79+V79+W79+X79+Y79+Z79+AA79+AB79+AC79+AD79+AE79+AF79+AG79)/13,2))))</f>
        <v/>
      </c>
      <c r="S79" s="3">
        <f>IF(B79="","",IF(R79&gt;=5,"A+",IF(R79&gt;=4,"A",IF(R79&gt;=3.5,"A-",IF(R79&gt;=3,"B",IF(R79&gt;=2,"C",IF(R79&gt;=1,"D","F")))))))</f>
        <v/>
      </c>
      <c r="T79" s="3">
        <f>IF(OR(B79="",S79="F"),"",COUNTIFS(P:P,"&gt;"&amp;P79,S:S,"&lt;&gt;F")+1)</f>
        <v/>
      </c>
      <c r="U79">
        <f>IF(B79="","",IF(C79&lt;33.0,0,IF(C79&gt;=100*0.8,5,IF(C79&gt;=100*0.7,4,IF(C79&gt;=100*0.6,3.5,IF(C79&gt;=100*0.5,3,IF(C79&gt;=100*0.4,2,IF(C79&gt;=100*0.33,1,0))))))))</f>
        <v/>
      </c>
      <c r="V79">
        <f>IF(B79="","",IF(D79&lt;33.0,0,IF(D79&gt;=100*0.8,5,IF(D79&gt;=100*0.7,4,IF(D79&gt;=100*0.6,3.5,IF(D79&gt;=100*0.5,3,IF(D79&gt;=100*0.4,2,IF(D79&gt;=100*0.33,1,0))))))))</f>
        <v/>
      </c>
      <c r="W79">
        <f>IF(B79="","",IF(E79&lt;16.5,0,IF(E79&gt;=50*0.8,5,IF(E79&gt;=50*0.7,4,IF(E79&gt;=50*0.6,3.5,IF(E79&gt;=50*0.5,3,IF(E79&gt;=50*0.4,2,IF(E79&gt;=50*0.33,1,0))))))))</f>
        <v/>
      </c>
      <c r="X79">
        <f>IF(B79="","",IF(F79&lt;33.0,0,IF(F79&gt;=100*0.8,5,IF(F79&gt;=100*0.7,4,IF(F79&gt;=100*0.6,3.5,IF(F79&gt;=100*0.5,3,IF(F79&gt;=100*0.4,2,IF(F79&gt;=100*0.33,1,0))))))))</f>
        <v/>
      </c>
      <c r="Y79">
        <f>IF(B79="","",IF(G79&lt;16.5,0,IF(G79&gt;=50*0.8,5,IF(G79&gt;=50*0.7,4,IF(G79&gt;=50*0.6,3.5,IF(G79&gt;=50*0.5,3,IF(G79&gt;=50*0.4,2,IF(G79&gt;=50*0.33,1,0))))))))</f>
        <v/>
      </c>
      <c r="Z79">
        <f>IF(B79="","",IF(H79&lt;33.0,0,IF(H79&gt;=100*0.8,5,IF(H79&gt;=100*0.7,4,IF(H79&gt;=100*0.6,3.5,IF(H79&gt;=100*0.5,3,IF(H79&gt;=100*0.4,2,IF(H79&gt;=100*0.33,1,0))))))))</f>
        <v/>
      </c>
      <c r="AA79">
        <f>IF(B79="","",IF(I79&lt;33.0,0,IF(I79&gt;=100*0.8,5,IF(I79&gt;=100*0.7,4,IF(I79&gt;=100*0.6,3.5,IF(I79&gt;=100*0.5,3,IF(I79&gt;=100*0.4,2,IF(I79&gt;=100*0.33,1,0))))))))</f>
        <v/>
      </c>
      <c r="AB79">
        <f>IF(B79="","",IF(J79&lt;33.0,0,IF(J79&gt;=100*0.8,5,IF(J79&gt;=100*0.7,4,IF(J79&gt;=100*0.6,3.5,IF(J79&gt;=100*0.5,3,IF(J79&gt;=100*0.4,2,IF(J79&gt;=100*0.33,1,0))))))))</f>
        <v/>
      </c>
      <c r="AC79">
        <f>IF(B79="","",IF(K79&lt;33.0,0,IF(K79&gt;=100*0.8,5,IF(K79&gt;=100*0.7,4,IF(K79&gt;=100*0.6,3.5,IF(K79&gt;=100*0.5,3,IF(K79&gt;=100*0.4,2,IF(K79&gt;=100*0.33,1,0))))))))</f>
        <v/>
      </c>
      <c r="AD79">
        <f>IF(B79="","",IF(L79&lt;33.0,0,IF(L79&gt;=100*0.8,5,IF(L79&gt;=100*0.7,4,IF(L79&gt;=100*0.6,3.5,IF(L79&gt;=100*0.5,3,IF(L79&gt;=100*0.4,2,IF(L79&gt;=100*0.33,1,0))))))))</f>
        <v/>
      </c>
      <c r="AE79">
        <f>IF(B79="","",IF(M79&lt;33.0,0,IF(M79&gt;=100*0.8,5,IF(M79&gt;=100*0.7,4,IF(M79&gt;=100*0.6,3.5,IF(M79&gt;=100*0.5,3,IF(M79&gt;=100*0.4,2,IF(M79&gt;=100*0.33,1,0))))))))</f>
        <v/>
      </c>
      <c r="AF79">
        <f>IF(B79="","",IF(N79&lt;16.5,0,IF(N79&gt;=50*0.8,5,IF(N79&gt;=50*0.7,4,IF(N79&gt;=50*0.6,3.5,IF(N79&gt;=50*0.5,3,IF(N79&gt;=50*0.4,2,IF(N79&gt;=50*0.33,1,0))))))))</f>
        <v/>
      </c>
      <c r="AG79">
        <f>IF(B79="","",IF(O79&lt;33.0,0,IF(O79&gt;=100*0.8,5,IF(O79&gt;=100*0.7,4,IF(O79&gt;=100*0.6,3.5,IF(O79&gt;=100*0.5,3,IF(O79&gt;=100*0.4,2,IF(O79&gt;=100*0.33,1,0))))))))</f>
        <v/>
      </c>
      <c r="AH79">
        <f>IF(B79="","",IF(OR(U79=0,V79=0,W79=0,X79=0,Y79=0,Z79=0,AA79=0,AB79=0,AC79=0,AD79=0,AE79=0,AF79=0,AG79=0),1,0))</f>
        <v/>
      </c>
    </row>
    <row r="80">
      <c r="A80" s="3">
        <f>IF(B80="","",ROW()-2)</f>
        <v/>
      </c>
      <c r="P80" s="4">
        <f>IF(B80="","",SUM(C80:O80))</f>
        <v/>
      </c>
      <c r="Q80" s="5">
        <f>IF(B80="","",ROUND(P80/13,2))</f>
        <v/>
      </c>
      <c r="R80" s="5">
        <f>IF(B80="","",IF(AH80=1,0,MIN(5,ROUND((U80+V80+W80+X80+Y80+Z80+AA80+AB80+AC80+AD80+AE80+AF80+AG80)/13,2))))</f>
        <v/>
      </c>
      <c r="S80" s="3">
        <f>IF(B80="","",IF(R80&gt;=5,"A+",IF(R80&gt;=4,"A",IF(R80&gt;=3.5,"A-",IF(R80&gt;=3,"B",IF(R80&gt;=2,"C",IF(R80&gt;=1,"D","F")))))))</f>
        <v/>
      </c>
      <c r="T80" s="3">
        <f>IF(OR(B80="",S80="F"),"",COUNTIFS(P:P,"&gt;"&amp;P80,S:S,"&lt;&gt;F")+1)</f>
        <v/>
      </c>
      <c r="U80">
        <f>IF(B80="","",IF(C80&lt;33.0,0,IF(C80&gt;=100*0.8,5,IF(C80&gt;=100*0.7,4,IF(C80&gt;=100*0.6,3.5,IF(C80&gt;=100*0.5,3,IF(C80&gt;=100*0.4,2,IF(C80&gt;=100*0.33,1,0))))))))</f>
        <v/>
      </c>
      <c r="V80">
        <f>IF(B80="","",IF(D80&lt;33.0,0,IF(D80&gt;=100*0.8,5,IF(D80&gt;=100*0.7,4,IF(D80&gt;=100*0.6,3.5,IF(D80&gt;=100*0.5,3,IF(D80&gt;=100*0.4,2,IF(D80&gt;=100*0.33,1,0))))))))</f>
        <v/>
      </c>
      <c r="W80">
        <f>IF(B80="","",IF(E80&lt;16.5,0,IF(E80&gt;=50*0.8,5,IF(E80&gt;=50*0.7,4,IF(E80&gt;=50*0.6,3.5,IF(E80&gt;=50*0.5,3,IF(E80&gt;=50*0.4,2,IF(E80&gt;=50*0.33,1,0))))))))</f>
        <v/>
      </c>
      <c r="X80">
        <f>IF(B80="","",IF(F80&lt;33.0,0,IF(F80&gt;=100*0.8,5,IF(F80&gt;=100*0.7,4,IF(F80&gt;=100*0.6,3.5,IF(F80&gt;=100*0.5,3,IF(F80&gt;=100*0.4,2,IF(F80&gt;=100*0.33,1,0))))))))</f>
        <v/>
      </c>
      <c r="Y80">
        <f>IF(B80="","",IF(G80&lt;16.5,0,IF(G80&gt;=50*0.8,5,IF(G80&gt;=50*0.7,4,IF(G80&gt;=50*0.6,3.5,IF(G80&gt;=50*0.5,3,IF(G80&gt;=50*0.4,2,IF(G80&gt;=50*0.33,1,0))))))))</f>
        <v/>
      </c>
      <c r="Z80">
        <f>IF(B80="","",IF(H80&lt;33.0,0,IF(H80&gt;=100*0.8,5,IF(H80&gt;=100*0.7,4,IF(H80&gt;=100*0.6,3.5,IF(H80&gt;=100*0.5,3,IF(H80&gt;=100*0.4,2,IF(H80&gt;=100*0.33,1,0))))))))</f>
        <v/>
      </c>
      <c r="AA80">
        <f>IF(B80="","",IF(I80&lt;33.0,0,IF(I80&gt;=100*0.8,5,IF(I80&gt;=100*0.7,4,IF(I80&gt;=100*0.6,3.5,IF(I80&gt;=100*0.5,3,IF(I80&gt;=100*0.4,2,IF(I80&gt;=100*0.33,1,0))))))))</f>
        <v/>
      </c>
      <c r="AB80">
        <f>IF(B80="","",IF(J80&lt;33.0,0,IF(J80&gt;=100*0.8,5,IF(J80&gt;=100*0.7,4,IF(J80&gt;=100*0.6,3.5,IF(J80&gt;=100*0.5,3,IF(J80&gt;=100*0.4,2,IF(J80&gt;=100*0.33,1,0))))))))</f>
        <v/>
      </c>
      <c r="AC80">
        <f>IF(B80="","",IF(K80&lt;33.0,0,IF(K80&gt;=100*0.8,5,IF(K80&gt;=100*0.7,4,IF(K80&gt;=100*0.6,3.5,IF(K80&gt;=100*0.5,3,IF(K80&gt;=100*0.4,2,IF(K80&gt;=100*0.33,1,0))))))))</f>
        <v/>
      </c>
      <c r="AD80">
        <f>IF(B80="","",IF(L80&lt;33.0,0,IF(L80&gt;=100*0.8,5,IF(L80&gt;=100*0.7,4,IF(L80&gt;=100*0.6,3.5,IF(L80&gt;=100*0.5,3,IF(L80&gt;=100*0.4,2,IF(L80&gt;=100*0.33,1,0))))))))</f>
        <v/>
      </c>
      <c r="AE80">
        <f>IF(B80="","",IF(M80&lt;33.0,0,IF(M80&gt;=100*0.8,5,IF(M80&gt;=100*0.7,4,IF(M80&gt;=100*0.6,3.5,IF(M80&gt;=100*0.5,3,IF(M80&gt;=100*0.4,2,IF(M80&gt;=100*0.33,1,0))))))))</f>
        <v/>
      </c>
      <c r="AF80">
        <f>IF(B80="","",IF(N80&lt;16.5,0,IF(N80&gt;=50*0.8,5,IF(N80&gt;=50*0.7,4,IF(N80&gt;=50*0.6,3.5,IF(N80&gt;=50*0.5,3,IF(N80&gt;=50*0.4,2,IF(N80&gt;=50*0.33,1,0))))))))</f>
        <v/>
      </c>
      <c r="AG80">
        <f>IF(B80="","",IF(O80&lt;33.0,0,IF(O80&gt;=100*0.8,5,IF(O80&gt;=100*0.7,4,IF(O80&gt;=100*0.6,3.5,IF(O80&gt;=100*0.5,3,IF(O80&gt;=100*0.4,2,IF(O80&gt;=100*0.33,1,0))))))))</f>
        <v/>
      </c>
      <c r="AH80">
        <f>IF(B80="","",IF(OR(U80=0,V80=0,W80=0,X80=0,Y80=0,Z80=0,AA80=0,AB80=0,AC80=0,AD80=0,AE80=0,AF80=0,AG80=0),1,0))</f>
        <v/>
      </c>
    </row>
    <row r="81">
      <c r="A81" s="3">
        <f>IF(B81="","",ROW()-2)</f>
        <v/>
      </c>
      <c r="P81" s="4">
        <f>IF(B81="","",SUM(C81:O81))</f>
        <v/>
      </c>
      <c r="Q81" s="5">
        <f>IF(B81="","",ROUND(P81/13,2))</f>
        <v/>
      </c>
      <c r="R81" s="5">
        <f>IF(B81="","",IF(AH81=1,0,MIN(5,ROUND((U81+V81+W81+X81+Y81+Z81+AA81+AB81+AC81+AD81+AE81+AF81+AG81)/13,2))))</f>
        <v/>
      </c>
      <c r="S81" s="3">
        <f>IF(B81="","",IF(R81&gt;=5,"A+",IF(R81&gt;=4,"A",IF(R81&gt;=3.5,"A-",IF(R81&gt;=3,"B",IF(R81&gt;=2,"C",IF(R81&gt;=1,"D","F")))))))</f>
        <v/>
      </c>
      <c r="T81" s="3">
        <f>IF(OR(B81="",S81="F"),"",COUNTIFS(P:P,"&gt;"&amp;P81,S:S,"&lt;&gt;F")+1)</f>
        <v/>
      </c>
      <c r="U81">
        <f>IF(B81="","",IF(C81&lt;33.0,0,IF(C81&gt;=100*0.8,5,IF(C81&gt;=100*0.7,4,IF(C81&gt;=100*0.6,3.5,IF(C81&gt;=100*0.5,3,IF(C81&gt;=100*0.4,2,IF(C81&gt;=100*0.33,1,0))))))))</f>
        <v/>
      </c>
      <c r="V81">
        <f>IF(B81="","",IF(D81&lt;33.0,0,IF(D81&gt;=100*0.8,5,IF(D81&gt;=100*0.7,4,IF(D81&gt;=100*0.6,3.5,IF(D81&gt;=100*0.5,3,IF(D81&gt;=100*0.4,2,IF(D81&gt;=100*0.33,1,0))))))))</f>
        <v/>
      </c>
      <c r="W81">
        <f>IF(B81="","",IF(E81&lt;16.5,0,IF(E81&gt;=50*0.8,5,IF(E81&gt;=50*0.7,4,IF(E81&gt;=50*0.6,3.5,IF(E81&gt;=50*0.5,3,IF(E81&gt;=50*0.4,2,IF(E81&gt;=50*0.33,1,0))))))))</f>
        <v/>
      </c>
      <c r="X81">
        <f>IF(B81="","",IF(F81&lt;33.0,0,IF(F81&gt;=100*0.8,5,IF(F81&gt;=100*0.7,4,IF(F81&gt;=100*0.6,3.5,IF(F81&gt;=100*0.5,3,IF(F81&gt;=100*0.4,2,IF(F81&gt;=100*0.33,1,0))))))))</f>
        <v/>
      </c>
      <c r="Y81">
        <f>IF(B81="","",IF(G81&lt;16.5,0,IF(G81&gt;=50*0.8,5,IF(G81&gt;=50*0.7,4,IF(G81&gt;=50*0.6,3.5,IF(G81&gt;=50*0.5,3,IF(G81&gt;=50*0.4,2,IF(G81&gt;=50*0.33,1,0))))))))</f>
        <v/>
      </c>
      <c r="Z81">
        <f>IF(B81="","",IF(H81&lt;33.0,0,IF(H81&gt;=100*0.8,5,IF(H81&gt;=100*0.7,4,IF(H81&gt;=100*0.6,3.5,IF(H81&gt;=100*0.5,3,IF(H81&gt;=100*0.4,2,IF(H81&gt;=100*0.33,1,0))))))))</f>
        <v/>
      </c>
      <c r="AA81">
        <f>IF(B81="","",IF(I81&lt;33.0,0,IF(I81&gt;=100*0.8,5,IF(I81&gt;=100*0.7,4,IF(I81&gt;=100*0.6,3.5,IF(I81&gt;=100*0.5,3,IF(I81&gt;=100*0.4,2,IF(I81&gt;=100*0.33,1,0))))))))</f>
        <v/>
      </c>
      <c r="AB81">
        <f>IF(B81="","",IF(J81&lt;33.0,0,IF(J81&gt;=100*0.8,5,IF(J81&gt;=100*0.7,4,IF(J81&gt;=100*0.6,3.5,IF(J81&gt;=100*0.5,3,IF(J81&gt;=100*0.4,2,IF(J81&gt;=100*0.33,1,0))))))))</f>
        <v/>
      </c>
      <c r="AC81">
        <f>IF(B81="","",IF(K81&lt;33.0,0,IF(K81&gt;=100*0.8,5,IF(K81&gt;=100*0.7,4,IF(K81&gt;=100*0.6,3.5,IF(K81&gt;=100*0.5,3,IF(K81&gt;=100*0.4,2,IF(K81&gt;=100*0.33,1,0))))))))</f>
        <v/>
      </c>
      <c r="AD81">
        <f>IF(B81="","",IF(L81&lt;33.0,0,IF(L81&gt;=100*0.8,5,IF(L81&gt;=100*0.7,4,IF(L81&gt;=100*0.6,3.5,IF(L81&gt;=100*0.5,3,IF(L81&gt;=100*0.4,2,IF(L81&gt;=100*0.33,1,0))))))))</f>
        <v/>
      </c>
      <c r="AE81">
        <f>IF(B81="","",IF(M81&lt;33.0,0,IF(M81&gt;=100*0.8,5,IF(M81&gt;=100*0.7,4,IF(M81&gt;=100*0.6,3.5,IF(M81&gt;=100*0.5,3,IF(M81&gt;=100*0.4,2,IF(M81&gt;=100*0.33,1,0))))))))</f>
        <v/>
      </c>
      <c r="AF81">
        <f>IF(B81="","",IF(N81&lt;16.5,0,IF(N81&gt;=50*0.8,5,IF(N81&gt;=50*0.7,4,IF(N81&gt;=50*0.6,3.5,IF(N81&gt;=50*0.5,3,IF(N81&gt;=50*0.4,2,IF(N81&gt;=50*0.33,1,0))))))))</f>
        <v/>
      </c>
      <c r="AG81">
        <f>IF(B81="","",IF(O81&lt;33.0,0,IF(O81&gt;=100*0.8,5,IF(O81&gt;=100*0.7,4,IF(O81&gt;=100*0.6,3.5,IF(O81&gt;=100*0.5,3,IF(O81&gt;=100*0.4,2,IF(O81&gt;=100*0.33,1,0))))))))</f>
        <v/>
      </c>
      <c r="AH81">
        <f>IF(B81="","",IF(OR(U81=0,V81=0,W81=0,X81=0,Y81=0,Z81=0,AA81=0,AB81=0,AC81=0,AD81=0,AE81=0,AF81=0,AG81=0),1,0))</f>
        <v/>
      </c>
    </row>
    <row r="82">
      <c r="A82" s="3">
        <f>IF(B82="","",ROW()-2)</f>
        <v/>
      </c>
      <c r="P82" s="4">
        <f>IF(B82="","",SUM(C82:O82))</f>
        <v/>
      </c>
      <c r="Q82" s="5">
        <f>IF(B82="","",ROUND(P82/13,2))</f>
        <v/>
      </c>
      <c r="R82" s="5">
        <f>IF(B82="","",IF(AH82=1,0,MIN(5,ROUND((U82+V82+W82+X82+Y82+Z82+AA82+AB82+AC82+AD82+AE82+AF82+AG82)/13,2))))</f>
        <v/>
      </c>
      <c r="S82" s="3">
        <f>IF(B82="","",IF(R82&gt;=5,"A+",IF(R82&gt;=4,"A",IF(R82&gt;=3.5,"A-",IF(R82&gt;=3,"B",IF(R82&gt;=2,"C",IF(R82&gt;=1,"D","F")))))))</f>
        <v/>
      </c>
      <c r="T82" s="3">
        <f>IF(OR(B82="",S82="F"),"",COUNTIFS(P:P,"&gt;"&amp;P82,S:S,"&lt;&gt;F")+1)</f>
        <v/>
      </c>
      <c r="U82">
        <f>IF(B82="","",IF(C82&lt;33.0,0,IF(C82&gt;=100*0.8,5,IF(C82&gt;=100*0.7,4,IF(C82&gt;=100*0.6,3.5,IF(C82&gt;=100*0.5,3,IF(C82&gt;=100*0.4,2,IF(C82&gt;=100*0.33,1,0))))))))</f>
        <v/>
      </c>
      <c r="V82">
        <f>IF(B82="","",IF(D82&lt;33.0,0,IF(D82&gt;=100*0.8,5,IF(D82&gt;=100*0.7,4,IF(D82&gt;=100*0.6,3.5,IF(D82&gt;=100*0.5,3,IF(D82&gt;=100*0.4,2,IF(D82&gt;=100*0.33,1,0))))))))</f>
        <v/>
      </c>
      <c r="W82">
        <f>IF(B82="","",IF(E82&lt;16.5,0,IF(E82&gt;=50*0.8,5,IF(E82&gt;=50*0.7,4,IF(E82&gt;=50*0.6,3.5,IF(E82&gt;=50*0.5,3,IF(E82&gt;=50*0.4,2,IF(E82&gt;=50*0.33,1,0))))))))</f>
        <v/>
      </c>
      <c r="X82">
        <f>IF(B82="","",IF(F82&lt;33.0,0,IF(F82&gt;=100*0.8,5,IF(F82&gt;=100*0.7,4,IF(F82&gt;=100*0.6,3.5,IF(F82&gt;=100*0.5,3,IF(F82&gt;=100*0.4,2,IF(F82&gt;=100*0.33,1,0))))))))</f>
        <v/>
      </c>
      <c r="Y82">
        <f>IF(B82="","",IF(G82&lt;16.5,0,IF(G82&gt;=50*0.8,5,IF(G82&gt;=50*0.7,4,IF(G82&gt;=50*0.6,3.5,IF(G82&gt;=50*0.5,3,IF(G82&gt;=50*0.4,2,IF(G82&gt;=50*0.33,1,0))))))))</f>
        <v/>
      </c>
      <c r="Z82">
        <f>IF(B82="","",IF(H82&lt;33.0,0,IF(H82&gt;=100*0.8,5,IF(H82&gt;=100*0.7,4,IF(H82&gt;=100*0.6,3.5,IF(H82&gt;=100*0.5,3,IF(H82&gt;=100*0.4,2,IF(H82&gt;=100*0.33,1,0))))))))</f>
        <v/>
      </c>
      <c r="AA82">
        <f>IF(B82="","",IF(I82&lt;33.0,0,IF(I82&gt;=100*0.8,5,IF(I82&gt;=100*0.7,4,IF(I82&gt;=100*0.6,3.5,IF(I82&gt;=100*0.5,3,IF(I82&gt;=100*0.4,2,IF(I82&gt;=100*0.33,1,0))))))))</f>
        <v/>
      </c>
      <c r="AB82">
        <f>IF(B82="","",IF(J82&lt;33.0,0,IF(J82&gt;=100*0.8,5,IF(J82&gt;=100*0.7,4,IF(J82&gt;=100*0.6,3.5,IF(J82&gt;=100*0.5,3,IF(J82&gt;=100*0.4,2,IF(J82&gt;=100*0.33,1,0))))))))</f>
        <v/>
      </c>
      <c r="AC82">
        <f>IF(B82="","",IF(K82&lt;33.0,0,IF(K82&gt;=100*0.8,5,IF(K82&gt;=100*0.7,4,IF(K82&gt;=100*0.6,3.5,IF(K82&gt;=100*0.5,3,IF(K82&gt;=100*0.4,2,IF(K82&gt;=100*0.33,1,0))))))))</f>
        <v/>
      </c>
      <c r="AD82">
        <f>IF(B82="","",IF(L82&lt;33.0,0,IF(L82&gt;=100*0.8,5,IF(L82&gt;=100*0.7,4,IF(L82&gt;=100*0.6,3.5,IF(L82&gt;=100*0.5,3,IF(L82&gt;=100*0.4,2,IF(L82&gt;=100*0.33,1,0))))))))</f>
        <v/>
      </c>
      <c r="AE82">
        <f>IF(B82="","",IF(M82&lt;33.0,0,IF(M82&gt;=100*0.8,5,IF(M82&gt;=100*0.7,4,IF(M82&gt;=100*0.6,3.5,IF(M82&gt;=100*0.5,3,IF(M82&gt;=100*0.4,2,IF(M82&gt;=100*0.33,1,0))))))))</f>
        <v/>
      </c>
      <c r="AF82">
        <f>IF(B82="","",IF(N82&lt;16.5,0,IF(N82&gt;=50*0.8,5,IF(N82&gt;=50*0.7,4,IF(N82&gt;=50*0.6,3.5,IF(N82&gt;=50*0.5,3,IF(N82&gt;=50*0.4,2,IF(N82&gt;=50*0.33,1,0))))))))</f>
        <v/>
      </c>
      <c r="AG82">
        <f>IF(B82="","",IF(O82&lt;33.0,0,IF(O82&gt;=100*0.8,5,IF(O82&gt;=100*0.7,4,IF(O82&gt;=100*0.6,3.5,IF(O82&gt;=100*0.5,3,IF(O82&gt;=100*0.4,2,IF(O82&gt;=100*0.33,1,0))))))))</f>
        <v/>
      </c>
      <c r="AH82">
        <f>IF(B82="","",IF(OR(U82=0,V82=0,W82=0,X82=0,Y82=0,Z82=0,AA82=0,AB82=0,AC82=0,AD82=0,AE82=0,AF82=0,AG82=0),1,0))</f>
        <v/>
      </c>
    </row>
    <row r="83">
      <c r="A83" s="3">
        <f>IF(B83="","",ROW()-2)</f>
        <v/>
      </c>
      <c r="P83" s="4">
        <f>IF(B83="","",SUM(C83:O83))</f>
        <v/>
      </c>
      <c r="Q83" s="5">
        <f>IF(B83="","",ROUND(P83/13,2))</f>
        <v/>
      </c>
      <c r="R83" s="5">
        <f>IF(B83="","",IF(AH83=1,0,MIN(5,ROUND((U83+V83+W83+X83+Y83+Z83+AA83+AB83+AC83+AD83+AE83+AF83+AG83)/13,2))))</f>
        <v/>
      </c>
      <c r="S83" s="3">
        <f>IF(B83="","",IF(R83&gt;=5,"A+",IF(R83&gt;=4,"A",IF(R83&gt;=3.5,"A-",IF(R83&gt;=3,"B",IF(R83&gt;=2,"C",IF(R83&gt;=1,"D","F")))))))</f>
        <v/>
      </c>
      <c r="T83" s="3">
        <f>IF(OR(B83="",S83="F"),"",COUNTIFS(P:P,"&gt;"&amp;P83,S:S,"&lt;&gt;F")+1)</f>
        <v/>
      </c>
      <c r="U83">
        <f>IF(B83="","",IF(C83&lt;33.0,0,IF(C83&gt;=100*0.8,5,IF(C83&gt;=100*0.7,4,IF(C83&gt;=100*0.6,3.5,IF(C83&gt;=100*0.5,3,IF(C83&gt;=100*0.4,2,IF(C83&gt;=100*0.33,1,0))))))))</f>
        <v/>
      </c>
      <c r="V83">
        <f>IF(B83="","",IF(D83&lt;33.0,0,IF(D83&gt;=100*0.8,5,IF(D83&gt;=100*0.7,4,IF(D83&gt;=100*0.6,3.5,IF(D83&gt;=100*0.5,3,IF(D83&gt;=100*0.4,2,IF(D83&gt;=100*0.33,1,0))))))))</f>
        <v/>
      </c>
      <c r="W83">
        <f>IF(B83="","",IF(E83&lt;16.5,0,IF(E83&gt;=50*0.8,5,IF(E83&gt;=50*0.7,4,IF(E83&gt;=50*0.6,3.5,IF(E83&gt;=50*0.5,3,IF(E83&gt;=50*0.4,2,IF(E83&gt;=50*0.33,1,0))))))))</f>
        <v/>
      </c>
      <c r="X83">
        <f>IF(B83="","",IF(F83&lt;33.0,0,IF(F83&gt;=100*0.8,5,IF(F83&gt;=100*0.7,4,IF(F83&gt;=100*0.6,3.5,IF(F83&gt;=100*0.5,3,IF(F83&gt;=100*0.4,2,IF(F83&gt;=100*0.33,1,0))))))))</f>
        <v/>
      </c>
      <c r="Y83">
        <f>IF(B83="","",IF(G83&lt;16.5,0,IF(G83&gt;=50*0.8,5,IF(G83&gt;=50*0.7,4,IF(G83&gt;=50*0.6,3.5,IF(G83&gt;=50*0.5,3,IF(G83&gt;=50*0.4,2,IF(G83&gt;=50*0.33,1,0))))))))</f>
        <v/>
      </c>
      <c r="Z83">
        <f>IF(B83="","",IF(H83&lt;33.0,0,IF(H83&gt;=100*0.8,5,IF(H83&gt;=100*0.7,4,IF(H83&gt;=100*0.6,3.5,IF(H83&gt;=100*0.5,3,IF(H83&gt;=100*0.4,2,IF(H83&gt;=100*0.33,1,0))))))))</f>
        <v/>
      </c>
      <c r="AA83">
        <f>IF(B83="","",IF(I83&lt;33.0,0,IF(I83&gt;=100*0.8,5,IF(I83&gt;=100*0.7,4,IF(I83&gt;=100*0.6,3.5,IF(I83&gt;=100*0.5,3,IF(I83&gt;=100*0.4,2,IF(I83&gt;=100*0.33,1,0))))))))</f>
        <v/>
      </c>
      <c r="AB83">
        <f>IF(B83="","",IF(J83&lt;33.0,0,IF(J83&gt;=100*0.8,5,IF(J83&gt;=100*0.7,4,IF(J83&gt;=100*0.6,3.5,IF(J83&gt;=100*0.5,3,IF(J83&gt;=100*0.4,2,IF(J83&gt;=100*0.33,1,0))))))))</f>
        <v/>
      </c>
      <c r="AC83">
        <f>IF(B83="","",IF(K83&lt;33.0,0,IF(K83&gt;=100*0.8,5,IF(K83&gt;=100*0.7,4,IF(K83&gt;=100*0.6,3.5,IF(K83&gt;=100*0.5,3,IF(K83&gt;=100*0.4,2,IF(K83&gt;=100*0.33,1,0))))))))</f>
        <v/>
      </c>
      <c r="AD83">
        <f>IF(B83="","",IF(L83&lt;33.0,0,IF(L83&gt;=100*0.8,5,IF(L83&gt;=100*0.7,4,IF(L83&gt;=100*0.6,3.5,IF(L83&gt;=100*0.5,3,IF(L83&gt;=100*0.4,2,IF(L83&gt;=100*0.33,1,0))))))))</f>
        <v/>
      </c>
      <c r="AE83">
        <f>IF(B83="","",IF(M83&lt;33.0,0,IF(M83&gt;=100*0.8,5,IF(M83&gt;=100*0.7,4,IF(M83&gt;=100*0.6,3.5,IF(M83&gt;=100*0.5,3,IF(M83&gt;=100*0.4,2,IF(M83&gt;=100*0.33,1,0))))))))</f>
        <v/>
      </c>
      <c r="AF83">
        <f>IF(B83="","",IF(N83&lt;16.5,0,IF(N83&gt;=50*0.8,5,IF(N83&gt;=50*0.7,4,IF(N83&gt;=50*0.6,3.5,IF(N83&gt;=50*0.5,3,IF(N83&gt;=50*0.4,2,IF(N83&gt;=50*0.33,1,0))))))))</f>
        <v/>
      </c>
      <c r="AG83">
        <f>IF(B83="","",IF(O83&lt;33.0,0,IF(O83&gt;=100*0.8,5,IF(O83&gt;=100*0.7,4,IF(O83&gt;=100*0.6,3.5,IF(O83&gt;=100*0.5,3,IF(O83&gt;=100*0.4,2,IF(O83&gt;=100*0.33,1,0))))))))</f>
        <v/>
      </c>
      <c r="AH83">
        <f>IF(B83="","",IF(OR(U83=0,V83=0,W83=0,X83=0,Y83=0,Z83=0,AA83=0,AB83=0,AC83=0,AD83=0,AE83=0,AF83=0,AG83=0),1,0))</f>
        <v/>
      </c>
    </row>
    <row r="84">
      <c r="A84" s="3">
        <f>IF(B84="","",ROW()-2)</f>
        <v/>
      </c>
      <c r="P84" s="4">
        <f>IF(B84="","",SUM(C84:O84))</f>
        <v/>
      </c>
      <c r="Q84" s="5">
        <f>IF(B84="","",ROUND(P84/13,2))</f>
        <v/>
      </c>
      <c r="R84" s="5">
        <f>IF(B84="","",IF(AH84=1,0,MIN(5,ROUND((U84+V84+W84+X84+Y84+Z84+AA84+AB84+AC84+AD84+AE84+AF84+AG84)/13,2))))</f>
        <v/>
      </c>
      <c r="S84" s="3">
        <f>IF(B84="","",IF(R84&gt;=5,"A+",IF(R84&gt;=4,"A",IF(R84&gt;=3.5,"A-",IF(R84&gt;=3,"B",IF(R84&gt;=2,"C",IF(R84&gt;=1,"D","F")))))))</f>
        <v/>
      </c>
      <c r="T84" s="3">
        <f>IF(OR(B84="",S84="F"),"",COUNTIFS(P:P,"&gt;"&amp;P84,S:S,"&lt;&gt;F")+1)</f>
        <v/>
      </c>
      <c r="U84">
        <f>IF(B84="","",IF(C84&lt;33.0,0,IF(C84&gt;=100*0.8,5,IF(C84&gt;=100*0.7,4,IF(C84&gt;=100*0.6,3.5,IF(C84&gt;=100*0.5,3,IF(C84&gt;=100*0.4,2,IF(C84&gt;=100*0.33,1,0))))))))</f>
        <v/>
      </c>
      <c r="V84">
        <f>IF(B84="","",IF(D84&lt;33.0,0,IF(D84&gt;=100*0.8,5,IF(D84&gt;=100*0.7,4,IF(D84&gt;=100*0.6,3.5,IF(D84&gt;=100*0.5,3,IF(D84&gt;=100*0.4,2,IF(D84&gt;=100*0.33,1,0))))))))</f>
        <v/>
      </c>
      <c r="W84">
        <f>IF(B84="","",IF(E84&lt;16.5,0,IF(E84&gt;=50*0.8,5,IF(E84&gt;=50*0.7,4,IF(E84&gt;=50*0.6,3.5,IF(E84&gt;=50*0.5,3,IF(E84&gt;=50*0.4,2,IF(E84&gt;=50*0.33,1,0))))))))</f>
        <v/>
      </c>
      <c r="X84">
        <f>IF(B84="","",IF(F84&lt;33.0,0,IF(F84&gt;=100*0.8,5,IF(F84&gt;=100*0.7,4,IF(F84&gt;=100*0.6,3.5,IF(F84&gt;=100*0.5,3,IF(F84&gt;=100*0.4,2,IF(F84&gt;=100*0.33,1,0))))))))</f>
        <v/>
      </c>
      <c r="Y84">
        <f>IF(B84="","",IF(G84&lt;16.5,0,IF(G84&gt;=50*0.8,5,IF(G84&gt;=50*0.7,4,IF(G84&gt;=50*0.6,3.5,IF(G84&gt;=50*0.5,3,IF(G84&gt;=50*0.4,2,IF(G84&gt;=50*0.33,1,0))))))))</f>
        <v/>
      </c>
      <c r="Z84">
        <f>IF(B84="","",IF(H84&lt;33.0,0,IF(H84&gt;=100*0.8,5,IF(H84&gt;=100*0.7,4,IF(H84&gt;=100*0.6,3.5,IF(H84&gt;=100*0.5,3,IF(H84&gt;=100*0.4,2,IF(H84&gt;=100*0.33,1,0))))))))</f>
        <v/>
      </c>
      <c r="AA84">
        <f>IF(B84="","",IF(I84&lt;33.0,0,IF(I84&gt;=100*0.8,5,IF(I84&gt;=100*0.7,4,IF(I84&gt;=100*0.6,3.5,IF(I84&gt;=100*0.5,3,IF(I84&gt;=100*0.4,2,IF(I84&gt;=100*0.33,1,0))))))))</f>
        <v/>
      </c>
      <c r="AB84">
        <f>IF(B84="","",IF(J84&lt;33.0,0,IF(J84&gt;=100*0.8,5,IF(J84&gt;=100*0.7,4,IF(J84&gt;=100*0.6,3.5,IF(J84&gt;=100*0.5,3,IF(J84&gt;=100*0.4,2,IF(J84&gt;=100*0.33,1,0))))))))</f>
        <v/>
      </c>
      <c r="AC84">
        <f>IF(B84="","",IF(K84&lt;33.0,0,IF(K84&gt;=100*0.8,5,IF(K84&gt;=100*0.7,4,IF(K84&gt;=100*0.6,3.5,IF(K84&gt;=100*0.5,3,IF(K84&gt;=100*0.4,2,IF(K84&gt;=100*0.33,1,0))))))))</f>
        <v/>
      </c>
      <c r="AD84">
        <f>IF(B84="","",IF(L84&lt;33.0,0,IF(L84&gt;=100*0.8,5,IF(L84&gt;=100*0.7,4,IF(L84&gt;=100*0.6,3.5,IF(L84&gt;=100*0.5,3,IF(L84&gt;=100*0.4,2,IF(L84&gt;=100*0.33,1,0))))))))</f>
        <v/>
      </c>
      <c r="AE84">
        <f>IF(B84="","",IF(M84&lt;33.0,0,IF(M84&gt;=100*0.8,5,IF(M84&gt;=100*0.7,4,IF(M84&gt;=100*0.6,3.5,IF(M84&gt;=100*0.5,3,IF(M84&gt;=100*0.4,2,IF(M84&gt;=100*0.33,1,0))))))))</f>
        <v/>
      </c>
      <c r="AF84">
        <f>IF(B84="","",IF(N84&lt;16.5,0,IF(N84&gt;=50*0.8,5,IF(N84&gt;=50*0.7,4,IF(N84&gt;=50*0.6,3.5,IF(N84&gt;=50*0.5,3,IF(N84&gt;=50*0.4,2,IF(N84&gt;=50*0.33,1,0))))))))</f>
        <v/>
      </c>
      <c r="AG84">
        <f>IF(B84="","",IF(O84&lt;33.0,0,IF(O84&gt;=100*0.8,5,IF(O84&gt;=100*0.7,4,IF(O84&gt;=100*0.6,3.5,IF(O84&gt;=100*0.5,3,IF(O84&gt;=100*0.4,2,IF(O84&gt;=100*0.33,1,0))))))))</f>
        <v/>
      </c>
      <c r="AH84">
        <f>IF(B84="","",IF(OR(U84=0,V84=0,W84=0,X84=0,Y84=0,Z84=0,AA84=0,AB84=0,AC84=0,AD84=0,AE84=0,AF84=0,AG84=0),1,0))</f>
        <v/>
      </c>
    </row>
    <row r="85">
      <c r="A85" s="3">
        <f>IF(B85="","",ROW()-2)</f>
        <v/>
      </c>
      <c r="P85" s="4">
        <f>IF(B85="","",SUM(C85:O85))</f>
        <v/>
      </c>
      <c r="Q85" s="5">
        <f>IF(B85="","",ROUND(P85/13,2))</f>
        <v/>
      </c>
      <c r="R85" s="5">
        <f>IF(B85="","",IF(AH85=1,0,MIN(5,ROUND((U85+V85+W85+X85+Y85+Z85+AA85+AB85+AC85+AD85+AE85+AF85+AG85)/13,2))))</f>
        <v/>
      </c>
      <c r="S85" s="3">
        <f>IF(B85="","",IF(R85&gt;=5,"A+",IF(R85&gt;=4,"A",IF(R85&gt;=3.5,"A-",IF(R85&gt;=3,"B",IF(R85&gt;=2,"C",IF(R85&gt;=1,"D","F")))))))</f>
        <v/>
      </c>
      <c r="T85" s="3">
        <f>IF(OR(B85="",S85="F"),"",COUNTIFS(P:P,"&gt;"&amp;P85,S:S,"&lt;&gt;F")+1)</f>
        <v/>
      </c>
      <c r="U85">
        <f>IF(B85="","",IF(C85&lt;33.0,0,IF(C85&gt;=100*0.8,5,IF(C85&gt;=100*0.7,4,IF(C85&gt;=100*0.6,3.5,IF(C85&gt;=100*0.5,3,IF(C85&gt;=100*0.4,2,IF(C85&gt;=100*0.33,1,0))))))))</f>
        <v/>
      </c>
      <c r="V85">
        <f>IF(B85="","",IF(D85&lt;33.0,0,IF(D85&gt;=100*0.8,5,IF(D85&gt;=100*0.7,4,IF(D85&gt;=100*0.6,3.5,IF(D85&gt;=100*0.5,3,IF(D85&gt;=100*0.4,2,IF(D85&gt;=100*0.33,1,0))))))))</f>
        <v/>
      </c>
      <c r="W85">
        <f>IF(B85="","",IF(E85&lt;16.5,0,IF(E85&gt;=50*0.8,5,IF(E85&gt;=50*0.7,4,IF(E85&gt;=50*0.6,3.5,IF(E85&gt;=50*0.5,3,IF(E85&gt;=50*0.4,2,IF(E85&gt;=50*0.33,1,0))))))))</f>
        <v/>
      </c>
      <c r="X85">
        <f>IF(B85="","",IF(F85&lt;33.0,0,IF(F85&gt;=100*0.8,5,IF(F85&gt;=100*0.7,4,IF(F85&gt;=100*0.6,3.5,IF(F85&gt;=100*0.5,3,IF(F85&gt;=100*0.4,2,IF(F85&gt;=100*0.33,1,0))))))))</f>
        <v/>
      </c>
      <c r="Y85">
        <f>IF(B85="","",IF(G85&lt;16.5,0,IF(G85&gt;=50*0.8,5,IF(G85&gt;=50*0.7,4,IF(G85&gt;=50*0.6,3.5,IF(G85&gt;=50*0.5,3,IF(G85&gt;=50*0.4,2,IF(G85&gt;=50*0.33,1,0))))))))</f>
        <v/>
      </c>
      <c r="Z85">
        <f>IF(B85="","",IF(H85&lt;33.0,0,IF(H85&gt;=100*0.8,5,IF(H85&gt;=100*0.7,4,IF(H85&gt;=100*0.6,3.5,IF(H85&gt;=100*0.5,3,IF(H85&gt;=100*0.4,2,IF(H85&gt;=100*0.33,1,0))))))))</f>
        <v/>
      </c>
      <c r="AA85">
        <f>IF(B85="","",IF(I85&lt;33.0,0,IF(I85&gt;=100*0.8,5,IF(I85&gt;=100*0.7,4,IF(I85&gt;=100*0.6,3.5,IF(I85&gt;=100*0.5,3,IF(I85&gt;=100*0.4,2,IF(I85&gt;=100*0.33,1,0))))))))</f>
        <v/>
      </c>
      <c r="AB85">
        <f>IF(B85="","",IF(J85&lt;33.0,0,IF(J85&gt;=100*0.8,5,IF(J85&gt;=100*0.7,4,IF(J85&gt;=100*0.6,3.5,IF(J85&gt;=100*0.5,3,IF(J85&gt;=100*0.4,2,IF(J85&gt;=100*0.33,1,0))))))))</f>
        <v/>
      </c>
      <c r="AC85">
        <f>IF(B85="","",IF(K85&lt;33.0,0,IF(K85&gt;=100*0.8,5,IF(K85&gt;=100*0.7,4,IF(K85&gt;=100*0.6,3.5,IF(K85&gt;=100*0.5,3,IF(K85&gt;=100*0.4,2,IF(K85&gt;=100*0.33,1,0))))))))</f>
        <v/>
      </c>
      <c r="AD85">
        <f>IF(B85="","",IF(L85&lt;33.0,0,IF(L85&gt;=100*0.8,5,IF(L85&gt;=100*0.7,4,IF(L85&gt;=100*0.6,3.5,IF(L85&gt;=100*0.5,3,IF(L85&gt;=100*0.4,2,IF(L85&gt;=100*0.33,1,0))))))))</f>
        <v/>
      </c>
      <c r="AE85">
        <f>IF(B85="","",IF(M85&lt;33.0,0,IF(M85&gt;=100*0.8,5,IF(M85&gt;=100*0.7,4,IF(M85&gt;=100*0.6,3.5,IF(M85&gt;=100*0.5,3,IF(M85&gt;=100*0.4,2,IF(M85&gt;=100*0.33,1,0))))))))</f>
        <v/>
      </c>
      <c r="AF85">
        <f>IF(B85="","",IF(N85&lt;16.5,0,IF(N85&gt;=50*0.8,5,IF(N85&gt;=50*0.7,4,IF(N85&gt;=50*0.6,3.5,IF(N85&gt;=50*0.5,3,IF(N85&gt;=50*0.4,2,IF(N85&gt;=50*0.33,1,0))))))))</f>
        <v/>
      </c>
      <c r="AG85">
        <f>IF(B85="","",IF(O85&lt;33.0,0,IF(O85&gt;=100*0.8,5,IF(O85&gt;=100*0.7,4,IF(O85&gt;=100*0.6,3.5,IF(O85&gt;=100*0.5,3,IF(O85&gt;=100*0.4,2,IF(O85&gt;=100*0.33,1,0))))))))</f>
        <v/>
      </c>
      <c r="AH85">
        <f>IF(B85="","",IF(OR(U85=0,V85=0,W85=0,X85=0,Y85=0,Z85=0,AA85=0,AB85=0,AC85=0,AD85=0,AE85=0,AF85=0,AG85=0),1,0))</f>
        <v/>
      </c>
    </row>
    <row r="86">
      <c r="A86" s="3">
        <f>IF(B86="","",ROW()-2)</f>
        <v/>
      </c>
      <c r="P86" s="4">
        <f>IF(B86="","",SUM(C86:O86))</f>
        <v/>
      </c>
      <c r="Q86" s="5">
        <f>IF(B86="","",ROUND(P86/13,2))</f>
        <v/>
      </c>
      <c r="R86" s="5">
        <f>IF(B86="","",IF(AH86=1,0,MIN(5,ROUND((U86+V86+W86+X86+Y86+Z86+AA86+AB86+AC86+AD86+AE86+AF86+AG86)/13,2))))</f>
        <v/>
      </c>
      <c r="S86" s="3">
        <f>IF(B86="","",IF(R86&gt;=5,"A+",IF(R86&gt;=4,"A",IF(R86&gt;=3.5,"A-",IF(R86&gt;=3,"B",IF(R86&gt;=2,"C",IF(R86&gt;=1,"D","F")))))))</f>
        <v/>
      </c>
      <c r="T86" s="3">
        <f>IF(OR(B86="",S86="F"),"",COUNTIFS(P:P,"&gt;"&amp;P86,S:S,"&lt;&gt;F")+1)</f>
        <v/>
      </c>
      <c r="U86">
        <f>IF(B86="","",IF(C86&lt;33.0,0,IF(C86&gt;=100*0.8,5,IF(C86&gt;=100*0.7,4,IF(C86&gt;=100*0.6,3.5,IF(C86&gt;=100*0.5,3,IF(C86&gt;=100*0.4,2,IF(C86&gt;=100*0.33,1,0))))))))</f>
        <v/>
      </c>
      <c r="V86">
        <f>IF(B86="","",IF(D86&lt;33.0,0,IF(D86&gt;=100*0.8,5,IF(D86&gt;=100*0.7,4,IF(D86&gt;=100*0.6,3.5,IF(D86&gt;=100*0.5,3,IF(D86&gt;=100*0.4,2,IF(D86&gt;=100*0.33,1,0))))))))</f>
        <v/>
      </c>
      <c r="W86">
        <f>IF(B86="","",IF(E86&lt;16.5,0,IF(E86&gt;=50*0.8,5,IF(E86&gt;=50*0.7,4,IF(E86&gt;=50*0.6,3.5,IF(E86&gt;=50*0.5,3,IF(E86&gt;=50*0.4,2,IF(E86&gt;=50*0.33,1,0))))))))</f>
        <v/>
      </c>
      <c r="X86">
        <f>IF(B86="","",IF(F86&lt;33.0,0,IF(F86&gt;=100*0.8,5,IF(F86&gt;=100*0.7,4,IF(F86&gt;=100*0.6,3.5,IF(F86&gt;=100*0.5,3,IF(F86&gt;=100*0.4,2,IF(F86&gt;=100*0.33,1,0))))))))</f>
        <v/>
      </c>
      <c r="Y86">
        <f>IF(B86="","",IF(G86&lt;16.5,0,IF(G86&gt;=50*0.8,5,IF(G86&gt;=50*0.7,4,IF(G86&gt;=50*0.6,3.5,IF(G86&gt;=50*0.5,3,IF(G86&gt;=50*0.4,2,IF(G86&gt;=50*0.33,1,0))))))))</f>
        <v/>
      </c>
      <c r="Z86">
        <f>IF(B86="","",IF(H86&lt;33.0,0,IF(H86&gt;=100*0.8,5,IF(H86&gt;=100*0.7,4,IF(H86&gt;=100*0.6,3.5,IF(H86&gt;=100*0.5,3,IF(H86&gt;=100*0.4,2,IF(H86&gt;=100*0.33,1,0))))))))</f>
        <v/>
      </c>
      <c r="AA86">
        <f>IF(B86="","",IF(I86&lt;33.0,0,IF(I86&gt;=100*0.8,5,IF(I86&gt;=100*0.7,4,IF(I86&gt;=100*0.6,3.5,IF(I86&gt;=100*0.5,3,IF(I86&gt;=100*0.4,2,IF(I86&gt;=100*0.33,1,0))))))))</f>
        <v/>
      </c>
      <c r="AB86">
        <f>IF(B86="","",IF(J86&lt;33.0,0,IF(J86&gt;=100*0.8,5,IF(J86&gt;=100*0.7,4,IF(J86&gt;=100*0.6,3.5,IF(J86&gt;=100*0.5,3,IF(J86&gt;=100*0.4,2,IF(J86&gt;=100*0.33,1,0))))))))</f>
        <v/>
      </c>
      <c r="AC86">
        <f>IF(B86="","",IF(K86&lt;33.0,0,IF(K86&gt;=100*0.8,5,IF(K86&gt;=100*0.7,4,IF(K86&gt;=100*0.6,3.5,IF(K86&gt;=100*0.5,3,IF(K86&gt;=100*0.4,2,IF(K86&gt;=100*0.33,1,0))))))))</f>
        <v/>
      </c>
      <c r="AD86">
        <f>IF(B86="","",IF(L86&lt;33.0,0,IF(L86&gt;=100*0.8,5,IF(L86&gt;=100*0.7,4,IF(L86&gt;=100*0.6,3.5,IF(L86&gt;=100*0.5,3,IF(L86&gt;=100*0.4,2,IF(L86&gt;=100*0.33,1,0))))))))</f>
        <v/>
      </c>
      <c r="AE86">
        <f>IF(B86="","",IF(M86&lt;33.0,0,IF(M86&gt;=100*0.8,5,IF(M86&gt;=100*0.7,4,IF(M86&gt;=100*0.6,3.5,IF(M86&gt;=100*0.5,3,IF(M86&gt;=100*0.4,2,IF(M86&gt;=100*0.33,1,0))))))))</f>
        <v/>
      </c>
      <c r="AF86">
        <f>IF(B86="","",IF(N86&lt;16.5,0,IF(N86&gt;=50*0.8,5,IF(N86&gt;=50*0.7,4,IF(N86&gt;=50*0.6,3.5,IF(N86&gt;=50*0.5,3,IF(N86&gt;=50*0.4,2,IF(N86&gt;=50*0.33,1,0))))))))</f>
        <v/>
      </c>
      <c r="AG86">
        <f>IF(B86="","",IF(O86&lt;33.0,0,IF(O86&gt;=100*0.8,5,IF(O86&gt;=100*0.7,4,IF(O86&gt;=100*0.6,3.5,IF(O86&gt;=100*0.5,3,IF(O86&gt;=100*0.4,2,IF(O86&gt;=100*0.33,1,0))))))))</f>
        <v/>
      </c>
      <c r="AH86">
        <f>IF(B86="","",IF(OR(U86=0,V86=0,W86=0,X86=0,Y86=0,Z86=0,AA86=0,AB86=0,AC86=0,AD86=0,AE86=0,AF86=0,AG86=0),1,0))</f>
        <v/>
      </c>
    </row>
    <row r="87">
      <c r="A87" s="3">
        <f>IF(B87="","",ROW()-2)</f>
        <v/>
      </c>
      <c r="P87" s="4">
        <f>IF(B87="","",SUM(C87:O87))</f>
        <v/>
      </c>
      <c r="Q87" s="5">
        <f>IF(B87="","",ROUND(P87/13,2))</f>
        <v/>
      </c>
      <c r="R87" s="5">
        <f>IF(B87="","",IF(AH87=1,0,MIN(5,ROUND((U87+V87+W87+X87+Y87+Z87+AA87+AB87+AC87+AD87+AE87+AF87+AG87)/13,2))))</f>
        <v/>
      </c>
      <c r="S87" s="3">
        <f>IF(B87="","",IF(R87&gt;=5,"A+",IF(R87&gt;=4,"A",IF(R87&gt;=3.5,"A-",IF(R87&gt;=3,"B",IF(R87&gt;=2,"C",IF(R87&gt;=1,"D","F")))))))</f>
        <v/>
      </c>
      <c r="T87" s="3">
        <f>IF(OR(B87="",S87="F"),"",COUNTIFS(P:P,"&gt;"&amp;P87,S:S,"&lt;&gt;F")+1)</f>
        <v/>
      </c>
      <c r="U87">
        <f>IF(B87="","",IF(C87&lt;33.0,0,IF(C87&gt;=100*0.8,5,IF(C87&gt;=100*0.7,4,IF(C87&gt;=100*0.6,3.5,IF(C87&gt;=100*0.5,3,IF(C87&gt;=100*0.4,2,IF(C87&gt;=100*0.33,1,0))))))))</f>
        <v/>
      </c>
      <c r="V87">
        <f>IF(B87="","",IF(D87&lt;33.0,0,IF(D87&gt;=100*0.8,5,IF(D87&gt;=100*0.7,4,IF(D87&gt;=100*0.6,3.5,IF(D87&gt;=100*0.5,3,IF(D87&gt;=100*0.4,2,IF(D87&gt;=100*0.33,1,0))))))))</f>
        <v/>
      </c>
      <c r="W87">
        <f>IF(B87="","",IF(E87&lt;16.5,0,IF(E87&gt;=50*0.8,5,IF(E87&gt;=50*0.7,4,IF(E87&gt;=50*0.6,3.5,IF(E87&gt;=50*0.5,3,IF(E87&gt;=50*0.4,2,IF(E87&gt;=50*0.33,1,0))))))))</f>
        <v/>
      </c>
      <c r="X87">
        <f>IF(B87="","",IF(F87&lt;33.0,0,IF(F87&gt;=100*0.8,5,IF(F87&gt;=100*0.7,4,IF(F87&gt;=100*0.6,3.5,IF(F87&gt;=100*0.5,3,IF(F87&gt;=100*0.4,2,IF(F87&gt;=100*0.33,1,0))))))))</f>
        <v/>
      </c>
      <c r="Y87">
        <f>IF(B87="","",IF(G87&lt;16.5,0,IF(G87&gt;=50*0.8,5,IF(G87&gt;=50*0.7,4,IF(G87&gt;=50*0.6,3.5,IF(G87&gt;=50*0.5,3,IF(G87&gt;=50*0.4,2,IF(G87&gt;=50*0.33,1,0))))))))</f>
        <v/>
      </c>
      <c r="Z87">
        <f>IF(B87="","",IF(H87&lt;33.0,0,IF(H87&gt;=100*0.8,5,IF(H87&gt;=100*0.7,4,IF(H87&gt;=100*0.6,3.5,IF(H87&gt;=100*0.5,3,IF(H87&gt;=100*0.4,2,IF(H87&gt;=100*0.33,1,0))))))))</f>
        <v/>
      </c>
      <c r="AA87">
        <f>IF(B87="","",IF(I87&lt;33.0,0,IF(I87&gt;=100*0.8,5,IF(I87&gt;=100*0.7,4,IF(I87&gt;=100*0.6,3.5,IF(I87&gt;=100*0.5,3,IF(I87&gt;=100*0.4,2,IF(I87&gt;=100*0.33,1,0))))))))</f>
        <v/>
      </c>
      <c r="AB87">
        <f>IF(B87="","",IF(J87&lt;33.0,0,IF(J87&gt;=100*0.8,5,IF(J87&gt;=100*0.7,4,IF(J87&gt;=100*0.6,3.5,IF(J87&gt;=100*0.5,3,IF(J87&gt;=100*0.4,2,IF(J87&gt;=100*0.33,1,0))))))))</f>
        <v/>
      </c>
      <c r="AC87">
        <f>IF(B87="","",IF(K87&lt;33.0,0,IF(K87&gt;=100*0.8,5,IF(K87&gt;=100*0.7,4,IF(K87&gt;=100*0.6,3.5,IF(K87&gt;=100*0.5,3,IF(K87&gt;=100*0.4,2,IF(K87&gt;=100*0.33,1,0))))))))</f>
        <v/>
      </c>
      <c r="AD87">
        <f>IF(B87="","",IF(L87&lt;33.0,0,IF(L87&gt;=100*0.8,5,IF(L87&gt;=100*0.7,4,IF(L87&gt;=100*0.6,3.5,IF(L87&gt;=100*0.5,3,IF(L87&gt;=100*0.4,2,IF(L87&gt;=100*0.33,1,0))))))))</f>
        <v/>
      </c>
      <c r="AE87">
        <f>IF(B87="","",IF(M87&lt;33.0,0,IF(M87&gt;=100*0.8,5,IF(M87&gt;=100*0.7,4,IF(M87&gt;=100*0.6,3.5,IF(M87&gt;=100*0.5,3,IF(M87&gt;=100*0.4,2,IF(M87&gt;=100*0.33,1,0))))))))</f>
        <v/>
      </c>
      <c r="AF87">
        <f>IF(B87="","",IF(N87&lt;16.5,0,IF(N87&gt;=50*0.8,5,IF(N87&gt;=50*0.7,4,IF(N87&gt;=50*0.6,3.5,IF(N87&gt;=50*0.5,3,IF(N87&gt;=50*0.4,2,IF(N87&gt;=50*0.33,1,0))))))))</f>
        <v/>
      </c>
      <c r="AG87">
        <f>IF(B87="","",IF(O87&lt;33.0,0,IF(O87&gt;=100*0.8,5,IF(O87&gt;=100*0.7,4,IF(O87&gt;=100*0.6,3.5,IF(O87&gt;=100*0.5,3,IF(O87&gt;=100*0.4,2,IF(O87&gt;=100*0.33,1,0))))))))</f>
        <v/>
      </c>
      <c r="AH87">
        <f>IF(B87="","",IF(OR(U87=0,V87=0,W87=0,X87=0,Y87=0,Z87=0,AA87=0,AB87=0,AC87=0,AD87=0,AE87=0,AF87=0,AG87=0),1,0))</f>
        <v/>
      </c>
    </row>
    <row r="88">
      <c r="A88" s="3">
        <f>IF(B88="","",ROW()-2)</f>
        <v/>
      </c>
      <c r="P88" s="4">
        <f>IF(B88="","",SUM(C88:O88))</f>
        <v/>
      </c>
      <c r="Q88" s="5">
        <f>IF(B88="","",ROUND(P88/13,2))</f>
        <v/>
      </c>
      <c r="R88" s="5">
        <f>IF(B88="","",IF(AH88=1,0,MIN(5,ROUND((U88+V88+W88+X88+Y88+Z88+AA88+AB88+AC88+AD88+AE88+AF88+AG88)/13,2))))</f>
        <v/>
      </c>
      <c r="S88" s="3">
        <f>IF(B88="","",IF(R88&gt;=5,"A+",IF(R88&gt;=4,"A",IF(R88&gt;=3.5,"A-",IF(R88&gt;=3,"B",IF(R88&gt;=2,"C",IF(R88&gt;=1,"D","F")))))))</f>
        <v/>
      </c>
      <c r="T88" s="3">
        <f>IF(OR(B88="",S88="F"),"",COUNTIFS(P:P,"&gt;"&amp;P88,S:S,"&lt;&gt;F")+1)</f>
        <v/>
      </c>
      <c r="U88">
        <f>IF(B88="","",IF(C88&lt;33.0,0,IF(C88&gt;=100*0.8,5,IF(C88&gt;=100*0.7,4,IF(C88&gt;=100*0.6,3.5,IF(C88&gt;=100*0.5,3,IF(C88&gt;=100*0.4,2,IF(C88&gt;=100*0.33,1,0))))))))</f>
        <v/>
      </c>
      <c r="V88">
        <f>IF(B88="","",IF(D88&lt;33.0,0,IF(D88&gt;=100*0.8,5,IF(D88&gt;=100*0.7,4,IF(D88&gt;=100*0.6,3.5,IF(D88&gt;=100*0.5,3,IF(D88&gt;=100*0.4,2,IF(D88&gt;=100*0.33,1,0))))))))</f>
        <v/>
      </c>
      <c r="W88">
        <f>IF(B88="","",IF(E88&lt;16.5,0,IF(E88&gt;=50*0.8,5,IF(E88&gt;=50*0.7,4,IF(E88&gt;=50*0.6,3.5,IF(E88&gt;=50*0.5,3,IF(E88&gt;=50*0.4,2,IF(E88&gt;=50*0.33,1,0))))))))</f>
        <v/>
      </c>
      <c r="X88">
        <f>IF(B88="","",IF(F88&lt;33.0,0,IF(F88&gt;=100*0.8,5,IF(F88&gt;=100*0.7,4,IF(F88&gt;=100*0.6,3.5,IF(F88&gt;=100*0.5,3,IF(F88&gt;=100*0.4,2,IF(F88&gt;=100*0.33,1,0))))))))</f>
        <v/>
      </c>
      <c r="Y88">
        <f>IF(B88="","",IF(G88&lt;16.5,0,IF(G88&gt;=50*0.8,5,IF(G88&gt;=50*0.7,4,IF(G88&gt;=50*0.6,3.5,IF(G88&gt;=50*0.5,3,IF(G88&gt;=50*0.4,2,IF(G88&gt;=50*0.33,1,0))))))))</f>
        <v/>
      </c>
      <c r="Z88">
        <f>IF(B88="","",IF(H88&lt;33.0,0,IF(H88&gt;=100*0.8,5,IF(H88&gt;=100*0.7,4,IF(H88&gt;=100*0.6,3.5,IF(H88&gt;=100*0.5,3,IF(H88&gt;=100*0.4,2,IF(H88&gt;=100*0.33,1,0))))))))</f>
        <v/>
      </c>
      <c r="AA88">
        <f>IF(B88="","",IF(I88&lt;33.0,0,IF(I88&gt;=100*0.8,5,IF(I88&gt;=100*0.7,4,IF(I88&gt;=100*0.6,3.5,IF(I88&gt;=100*0.5,3,IF(I88&gt;=100*0.4,2,IF(I88&gt;=100*0.33,1,0))))))))</f>
        <v/>
      </c>
      <c r="AB88">
        <f>IF(B88="","",IF(J88&lt;33.0,0,IF(J88&gt;=100*0.8,5,IF(J88&gt;=100*0.7,4,IF(J88&gt;=100*0.6,3.5,IF(J88&gt;=100*0.5,3,IF(J88&gt;=100*0.4,2,IF(J88&gt;=100*0.33,1,0))))))))</f>
        <v/>
      </c>
      <c r="AC88">
        <f>IF(B88="","",IF(K88&lt;33.0,0,IF(K88&gt;=100*0.8,5,IF(K88&gt;=100*0.7,4,IF(K88&gt;=100*0.6,3.5,IF(K88&gt;=100*0.5,3,IF(K88&gt;=100*0.4,2,IF(K88&gt;=100*0.33,1,0))))))))</f>
        <v/>
      </c>
      <c r="AD88">
        <f>IF(B88="","",IF(L88&lt;33.0,0,IF(L88&gt;=100*0.8,5,IF(L88&gt;=100*0.7,4,IF(L88&gt;=100*0.6,3.5,IF(L88&gt;=100*0.5,3,IF(L88&gt;=100*0.4,2,IF(L88&gt;=100*0.33,1,0))))))))</f>
        <v/>
      </c>
      <c r="AE88">
        <f>IF(B88="","",IF(M88&lt;33.0,0,IF(M88&gt;=100*0.8,5,IF(M88&gt;=100*0.7,4,IF(M88&gt;=100*0.6,3.5,IF(M88&gt;=100*0.5,3,IF(M88&gt;=100*0.4,2,IF(M88&gt;=100*0.33,1,0))))))))</f>
        <v/>
      </c>
      <c r="AF88">
        <f>IF(B88="","",IF(N88&lt;16.5,0,IF(N88&gt;=50*0.8,5,IF(N88&gt;=50*0.7,4,IF(N88&gt;=50*0.6,3.5,IF(N88&gt;=50*0.5,3,IF(N88&gt;=50*0.4,2,IF(N88&gt;=50*0.33,1,0))))))))</f>
        <v/>
      </c>
      <c r="AG88">
        <f>IF(B88="","",IF(O88&lt;33.0,0,IF(O88&gt;=100*0.8,5,IF(O88&gt;=100*0.7,4,IF(O88&gt;=100*0.6,3.5,IF(O88&gt;=100*0.5,3,IF(O88&gt;=100*0.4,2,IF(O88&gt;=100*0.33,1,0))))))))</f>
        <v/>
      </c>
      <c r="AH88">
        <f>IF(B88="","",IF(OR(U88=0,V88=0,W88=0,X88=0,Y88=0,Z88=0,AA88=0,AB88=0,AC88=0,AD88=0,AE88=0,AF88=0,AG88=0),1,0))</f>
        <v/>
      </c>
    </row>
    <row r="89">
      <c r="A89" s="3">
        <f>IF(B89="","",ROW()-2)</f>
        <v/>
      </c>
      <c r="P89" s="4">
        <f>IF(B89="","",SUM(C89:O89))</f>
        <v/>
      </c>
      <c r="Q89" s="5">
        <f>IF(B89="","",ROUND(P89/13,2))</f>
        <v/>
      </c>
      <c r="R89" s="5">
        <f>IF(B89="","",IF(AH89=1,0,MIN(5,ROUND((U89+V89+W89+X89+Y89+Z89+AA89+AB89+AC89+AD89+AE89+AF89+AG89)/13,2))))</f>
        <v/>
      </c>
      <c r="S89" s="3">
        <f>IF(B89="","",IF(R89&gt;=5,"A+",IF(R89&gt;=4,"A",IF(R89&gt;=3.5,"A-",IF(R89&gt;=3,"B",IF(R89&gt;=2,"C",IF(R89&gt;=1,"D","F")))))))</f>
        <v/>
      </c>
      <c r="T89" s="3">
        <f>IF(OR(B89="",S89="F"),"",COUNTIFS(P:P,"&gt;"&amp;P89,S:S,"&lt;&gt;F")+1)</f>
        <v/>
      </c>
      <c r="U89">
        <f>IF(B89="","",IF(C89&lt;33.0,0,IF(C89&gt;=100*0.8,5,IF(C89&gt;=100*0.7,4,IF(C89&gt;=100*0.6,3.5,IF(C89&gt;=100*0.5,3,IF(C89&gt;=100*0.4,2,IF(C89&gt;=100*0.33,1,0))))))))</f>
        <v/>
      </c>
      <c r="V89">
        <f>IF(B89="","",IF(D89&lt;33.0,0,IF(D89&gt;=100*0.8,5,IF(D89&gt;=100*0.7,4,IF(D89&gt;=100*0.6,3.5,IF(D89&gt;=100*0.5,3,IF(D89&gt;=100*0.4,2,IF(D89&gt;=100*0.33,1,0))))))))</f>
        <v/>
      </c>
      <c r="W89">
        <f>IF(B89="","",IF(E89&lt;16.5,0,IF(E89&gt;=50*0.8,5,IF(E89&gt;=50*0.7,4,IF(E89&gt;=50*0.6,3.5,IF(E89&gt;=50*0.5,3,IF(E89&gt;=50*0.4,2,IF(E89&gt;=50*0.33,1,0))))))))</f>
        <v/>
      </c>
      <c r="X89">
        <f>IF(B89="","",IF(F89&lt;33.0,0,IF(F89&gt;=100*0.8,5,IF(F89&gt;=100*0.7,4,IF(F89&gt;=100*0.6,3.5,IF(F89&gt;=100*0.5,3,IF(F89&gt;=100*0.4,2,IF(F89&gt;=100*0.33,1,0))))))))</f>
        <v/>
      </c>
      <c r="Y89">
        <f>IF(B89="","",IF(G89&lt;16.5,0,IF(G89&gt;=50*0.8,5,IF(G89&gt;=50*0.7,4,IF(G89&gt;=50*0.6,3.5,IF(G89&gt;=50*0.5,3,IF(G89&gt;=50*0.4,2,IF(G89&gt;=50*0.33,1,0))))))))</f>
        <v/>
      </c>
      <c r="Z89">
        <f>IF(B89="","",IF(H89&lt;33.0,0,IF(H89&gt;=100*0.8,5,IF(H89&gt;=100*0.7,4,IF(H89&gt;=100*0.6,3.5,IF(H89&gt;=100*0.5,3,IF(H89&gt;=100*0.4,2,IF(H89&gt;=100*0.33,1,0))))))))</f>
        <v/>
      </c>
      <c r="AA89">
        <f>IF(B89="","",IF(I89&lt;33.0,0,IF(I89&gt;=100*0.8,5,IF(I89&gt;=100*0.7,4,IF(I89&gt;=100*0.6,3.5,IF(I89&gt;=100*0.5,3,IF(I89&gt;=100*0.4,2,IF(I89&gt;=100*0.33,1,0))))))))</f>
        <v/>
      </c>
      <c r="AB89">
        <f>IF(B89="","",IF(J89&lt;33.0,0,IF(J89&gt;=100*0.8,5,IF(J89&gt;=100*0.7,4,IF(J89&gt;=100*0.6,3.5,IF(J89&gt;=100*0.5,3,IF(J89&gt;=100*0.4,2,IF(J89&gt;=100*0.33,1,0))))))))</f>
        <v/>
      </c>
      <c r="AC89">
        <f>IF(B89="","",IF(K89&lt;33.0,0,IF(K89&gt;=100*0.8,5,IF(K89&gt;=100*0.7,4,IF(K89&gt;=100*0.6,3.5,IF(K89&gt;=100*0.5,3,IF(K89&gt;=100*0.4,2,IF(K89&gt;=100*0.33,1,0))))))))</f>
        <v/>
      </c>
      <c r="AD89">
        <f>IF(B89="","",IF(L89&lt;33.0,0,IF(L89&gt;=100*0.8,5,IF(L89&gt;=100*0.7,4,IF(L89&gt;=100*0.6,3.5,IF(L89&gt;=100*0.5,3,IF(L89&gt;=100*0.4,2,IF(L89&gt;=100*0.33,1,0))))))))</f>
        <v/>
      </c>
      <c r="AE89">
        <f>IF(B89="","",IF(M89&lt;33.0,0,IF(M89&gt;=100*0.8,5,IF(M89&gt;=100*0.7,4,IF(M89&gt;=100*0.6,3.5,IF(M89&gt;=100*0.5,3,IF(M89&gt;=100*0.4,2,IF(M89&gt;=100*0.33,1,0))))))))</f>
        <v/>
      </c>
      <c r="AF89">
        <f>IF(B89="","",IF(N89&lt;16.5,0,IF(N89&gt;=50*0.8,5,IF(N89&gt;=50*0.7,4,IF(N89&gt;=50*0.6,3.5,IF(N89&gt;=50*0.5,3,IF(N89&gt;=50*0.4,2,IF(N89&gt;=50*0.33,1,0))))))))</f>
        <v/>
      </c>
      <c r="AG89">
        <f>IF(B89="","",IF(O89&lt;33.0,0,IF(O89&gt;=100*0.8,5,IF(O89&gt;=100*0.7,4,IF(O89&gt;=100*0.6,3.5,IF(O89&gt;=100*0.5,3,IF(O89&gt;=100*0.4,2,IF(O89&gt;=100*0.33,1,0))))))))</f>
        <v/>
      </c>
      <c r="AH89">
        <f>IF(B89="","",IF(OR(U89=0,V89=0,W89=0,X89=0,Y89=0,Z89=0,AA89=0,AB89=0,AC89=0,AD89=0,AE89=0,AF89=0,AG89=0),1,0))</f>
        <v/>
      </c>
    </row>
    <row r="90">
      <c r="A90" s="3">
        <f>IF(B90="","",ROW()-2)</f>
        <v/>
      </c>
      <c r="P90" s="4">
        <f>IF(B90="","",SUM(C90:O90))</f>
        <v/>
      </c>
      <c r="Q90" s="5">
        <f>IF(B90="","",ROUND(P90/13,2))</f>
        <v/>
      </c>
      <c r="R90" s="5">
        <f>IF(B90="","",IF(AH90=1,0,MIN(5,ROUND((U90+V90+W90+X90+Y90+Z90+AA90+AB90+AC90+AD90+AE90+AF90+AG90)/13,2))))</f>
        <v/>
      </c>
      <c r="S90" s="3">
        <f>IF(B90="","",IF(R90&gt;=5,"A+",IF(R90&gt;=4,"A",IF(R90&gt;=3.5,"A-",IF(R90&gt;=3,"B",IF(R90&gt;=2,"C",IF(R90&gt;=1,"D","F")))))))</f>
        <v/>
      </c>
      <c r="T90" s="3">
        <f>IF(OR(B90="",S90="F"),"",COUNTIFS(P:P,"&gt;"&amp;P90,S:S,"&lt;&gt;F")+1)</f>
        <v/>
      </c>
      <c r="U90">
        <f>IF(B90="","",IF(C90&lt;33.0,0,IF(C90&gt;=100*0.8,5,IF(C90&gt;=100*0.7,4,IF(C90&gt;=100*0.6,3.5,IF(C90&gt;=100*0.5,3,IF(C90&gt;=100*0.4,2,IF(C90&gt;=100*0.33,1,0))))))))</f>
        <v/>
      </c>
      <c r="V90">
        <f>IF(B90="","",IF(D90&lt;33.0,0,IF(D90&gt;=100*0.8,5,IF(D90&gt;=100*0.7,4,IF(D90&gt;=100*0.6,3.5,IF(D90&gt;=100*0.5,3,IF(D90&gt;=100*0.4,2,IF(D90&gt;=100*0.33,1,0))))))))</f>
        <v/>
      </c>
      <c r="W90">
        <f>IF(B90="","",IF(E90&lt;16.5,0,IF(E90&gt;=50*0.8,5,IF(E90&gt;=50*0.7,4,IF(E90&gt;=50*0.6,3.5,IF(E90&gt;=50*0.5,3,IF(E90&gt;=50*0.4,2,IF(E90&gt;=50*0.33,1,0))))))))</f>
        <v/>
      </c>
      <c r="X90">
        <f>IF(B90="","",IF(F90&lt;33.0,0,IF(F90&gt;=100*0.8,5,IF(F90&gt;=100*0.7,4,IF(F90&gt;=100*0.6,3.5,IF(F90&gt;=100*0.5,3,IF(F90&gt;=100*0.4,2,IF(F90&gt;=100*0.33,1,0))))))))</f>
        <v/>
      </c>
      <c r="Y90">
        <f>IF(B90="","",IF(G90&lt;16.5,0,IF(G90&gt;=50*0.8,5,IF(G90&gt;=50*0.7,4,IF(G90&gt;=50*0.6,3.5,IF(G90&gt;=50*0.5,3,IF(G90&gt;=50*0.4,2,IF(G90&gt;=50*0.33,1,0))))))))</f>
        <v/>
      </c>
      <c r="Z90">
        <f>IF(B90="","",IF(H90&lt;33.0,0,IF(H90&gt;=100*0.8,5,IF(H90&gt;=100*0.7,4,IF(H90&gt;=100*0.6,3.5,IF(H90&gt;=100*0.5,3,IF(H90&gt;=100*0.4,2,IF(H90&gt;=100*0.33,1,0))))))))</f>
        <v/>
      </c>
      <c r="AA90">
        <f>IF(B90="","",IF(I90&lt;33.0,0,IF(I90&gt;=100*0.8,5,IF(I90&gt;=100*0.7,4,IF(I90&gt;=100*0.6,3.5,IF(I90&gt;=100*0.5,3,IF(I90&gt;=100*0.4,2,IF(I90&gt;=100*0.33,1,0))))))))</f>
        <v/>
      </c>
      <c r="AB90">
        <f>IF(B90="","",IF(J90&lt;33.0,0,IF(J90&gt;=100*0.8,5,IF(J90&gt;=100*0.7,4,IF(J90&gt;=100*0.6,3.5,IF(J90&gt;=100*0.5,3,IF(J90&gt;=100*0.4,2,IF(J90&gt;=100*0.33,1,0))))))))</f>
        <v/>
      </c>
      <c r="AC90">
        <f>IF(B90="","",IF(K90&lt;33.0,0,IF(K90&gt;=100*0.8,5,IF(K90&gt;=100*0.7,4,IF(K90&gt;=100*0.6,3.5,IF(K90&gt;=100*0.5,3,IF(K90&gt;=100*0.4,2,IF(K90&gt;=100*0.33,1,0))))))))</f>
        <v/>
      </c>
      <c r="AD90">
        <f>IF(B90="","",IF(L90&lt;33.0,0,IF(L90&gt;=100*0.8,5,IF(L90&gt;=100*0.7,4,IF(L90&gt;=100*0.6,3.5,IF(L90&gt;=100*0.5,3,IF(L90&gt;=100*0.4,2,IF(L90&gt;=100*0.33,1,0))))))))</f>
        <v/>
      </c>
      <c r="AE90">
        <f>IF(B90="","",IF(M90&lt;33.0,0,IF(M90&gt;=100*0.8,5,IF(M90&gt;=100*0.7,4,IF(M90&gt;=100*0.6,3.5,IF(M90&gt;=100*0.5,3,IF(M90&gt;=100*0.4,2,IF(M90&gt;=100*0.33,1,0))))))))</f>
        <v/>
      </c>
      <c r="AF90">
        <f>IF(B90="","",IF(N90&lt;16.5,0,IF(N90&gt;=50*0.8,5,IF(N90&gt;=50*0.7,4,IF(N90&gt;=50*0.6,3.5,IF(N90&gt;=50*0.5,3,IF(N90&gt;=50*0.4,2,IF(N90&gt;=50*0.33,1,0))))))))</f>
        <v/>
      </c>
      <c r="AG90">
        <f>IF(B90="","",IF(O90&lt;33.0,0,IF(O90&gt;=100*0.8,5,IF(O90&gt;=100*0.7,4,IF(O90&gt;=100*0.6,3.5,IF(O90&gt;=100*0.5,3,IF(O90&gt;=100*0.4,2,IF(O90&gt;=100*0.33,1,0))))))))</f>
        <v/>
      </c>
      <c r="AH90">
        <f>IF(B90="","",IF(OR(U90=0,V90=0,W90=0,X90=0,Y90=0,Z90=0,AA90=0,AB90=0,AC90=0,AD90=0,AE90=0,AF90=0,AG90=0),1,0))</f>
        <v/>
      </c>
    </row>
    <row r="91">
      <c r="A91" s="3">
        <f>IF(B91="","",ROW()-2)</f>
        <v/>
      </c>
      <c r="P91" s="4">
        <f>IF(B91="","",SUM(C91:O91))</f>
        <v/>
      </c>
      <c r="Q91" s="5">
        <f>IF(B91="","",ROUND(P91/13,2))</f>
        <v/>
      </c>
      <c r="R91" s="5">
        <f>IF(B91="","",IF(AH91=1,0,MIN(5,ROUND((U91+V91+W91+X91+Y91+Z91+AA91+AB91+AC91+AD91+AE91+AF91+AG91)/13,2))))</f>
        <v/>
      </c>
      <c r="S91" s="3">
        <f>IF(B91="","",IF(R91&gt;=5,"A+",IF(R91&gt;=4,"A",IF(R91&gt;=3.5,"A-",IF(R91&gt;=3,"B",IF(R91&gt;=2,"C",IF(R91&gt;=1,"D","F")))))))</f>
        <v/>
      </c>
      <c r="T91" s="3">
        <f>IF(OR(B91="",S91="F"),"",COUNTIFS(P:P,"&gt;"&amp;P91,S:S,"&lt;&gt;F")+1)</f>
        <v/>
      </c>
      <c r="U91">
        <f>IF(B91="","",IF(C91&lt;33.0,0,IF(C91&gt;=100*0.8,5,IF(C91&gt;=100*0.7,4,IF(C91&gt;=100*0.6,3.5,IF(C91&gt;=100*0.5,3,IF(C91&gt;=100*0.4,2,IF(C91&gt;=100*0.33,1,0))))))))</f>
        <v/>
      </c>
      <c r="V91">
        <f>IF(B91="","",IF(D91&lt;33.0,0,IF(D91&gt;=100*0.8,5,IF(D91&gt;=100*0.7,4,IF(D91&gt;=100*0.6,3.5,IF(D91&gt;=100*0.5,3,IF(D91&gt;=100*0.4,2,IF(D91&gt;=100*0.33,1,0))))))))</f>
        <v/>
      </c>
      <c r="W91">
        <f>IF(B91="","",IF(E91&lt;16.5,0,IF(E91&gt;=50*0.8,5,IF(E91&gt;=50*0.7,4,IF(E91&gt;=50*0.6,3.5,IF(E91&gt;=50*0.5,3,IF(E91&gt;=50*0.4,2,IF(E91&gt;=50*0.33,1,0))))))))</f>
        <v/>
      </c>
      <c r="X91">
        <f>IF(B91="","",IF(F91&lt;33.0,0,IF(F91&gt;=100*0.8,5,IF(F91&gt;=100*0.7,4,IF(F91&gt;=100*0.6,3.5,IF(F91&gt;=100*0.5,3,IF(F91&gt;=100*0.4,2,IF(F91&gt;=100*0.33,1,0))))))))</f>
        <v/>
      </c>
      <c r="Y91">
        <f>IF(B91="","",IF(G91&lt;16.5,0,IF(G91&gt;=50*0.8,5,IF(G91&gt;=50*0.7,4,IF(G91&gt;=50*0.6,3.5,IF(G91&gt;=50*0.5,3,IF(G91&gt;=50*0.4,2,IF(G91&gt;=50*0.33,1,0))))))))</f>
        <v/>
      </c>
      <c r="Z91">
        <f>IF(B91="","",IF(H91&lt;33.0,0,IF(H91&gt;=100*0.8,5,IF(H91&gt;=100*0.7,4,IF(H91&gt;=100*0.6,3.5,IF(H91&gt;=100*0.5,3,IF(H91&gt;=100*0.4,2,IF(H91&gt;=100*0.33,1,0))))))))</f>
        <v/>
      </c>
      <c r="AA91">
        <f>IF(B91="","",IF(I91&lt;33.0,0,IF(I91&gt;=100*0.8,5,IF(I91&gt;=100*0.7,4,IF(I91&gt;=100*0.6,3.5,IF(I91&gt;=100*0.5,3,IF(I91&gt;=100*0.4,2,IF(I91&gt;=100*0.33,1,0))))))))</f>
        <v/>
      </c>
      <c r="AB91">
        <f>IF(B91="","",IF(J91&lt;33.0,0,IF(J91&gt;=100*0.8,5,IF(J91&gt;=100*0.7,4,IF(J91&gt;=100*0.6,3.5,IF(J91&gt;=100*0.5,3,IF(J91&gt;=100*0.4,2,IF(J91&gt;=100*0.33,1,0))))))))</f>
        <v/>
      </c>
      <c r="AC91">
        <f>IF(B91="","",IF(K91&lt;33.0,0,IF(K91&gt;=100*0.8,5,IF(K91&gt;=100*0.7,4,IF(K91&gt;=100*0.6,3.5,IF(K91&gt;=100*0.5,3,IF(K91&gt;=100*0.4,2,IF(K91&gt;=100*0.33,1,0))))))))</f>
        <v/>
      </c>
      <c r="AD91">
        <f>IF(B91="","",IF(L91&lt;33.0,0,IF(L91&gt;=100*0.8,5,IF(L91&gt;=100*0.7,4,IF(L91&gt;=100*0.6,3.5,IF(L91&gt;=100*0.5,3,IF(L91&gt;=100*0.4,2,IF(L91&gt;=100*0.33,1,0))))))))</f>
        <v/>
      </c>
      <c r="AE91">
        <f>IF(B91="","",IF(M91&lt;33.0,0,IF(M91&gt;=100*0.8,5,IF(M91&gt;=100*0.7,4,IF(M91&gt;=100*0.6,3.5,IF(M91&gt;=100*0.5,3,IF(M91&gt;=100*0.4,2,IF(M91&gt;=100*0.33,1,0))))))))</f>
        <v/>
      </c>
      <c r="AF91">
        <f>IF(B91="","",IF(N91&lt;16.5,0,IF(N91&gt;=50*0.8,5,IF(N91&gt;=50*0.7,4,IF(N91&gt;=50*0.6,3.5,IF(N91&gt;=50*0.5,3,IF(N91&gt;=50*0.4,2,IF(N91&gt;=50*0.33,1,0))))))))</f>
        <v/>
      </c>
      <c r="AG91">
        <f>IF(B91="","",IF(O91&lt;33.0,0,IF(O91&gt;=100*0.8,5,IF(O91&gt;=100*0.7,4,IF(O91&gt;=100*0.6,3.5,IF(O91&gt;=100*0.5,3,IF(O91&gt;=100*0.4,2,IF(O91&gt;=100*0.33,1,0))))))))</f>
        <v/>
      </c>
      <c r="AH91">
        <f>IF(B91="","",IF(OR(U91=0,V91=0,W91=0,X91=0,Y91=0,Z91=0,AA91=0,AB91=0,AC91=0,AD91=0,AE91=0,AF91=0,AG91=0),1,0))</f>
        <v/>
      </c>
    </row>
    <row r="92">
      <c r="A92" s="3">
        <f>IF(B92="","",ROW()-2)</f>
        <v/>
      </c>
      <c r="P92" s="4">
        <f>IF(B92="","",SUM(C92:O92))</f>
        <v/>
      </c>
      <c r="Q92" s="5">
        <f>IF(B92="","",ROUND(P92/13,2))</f>
        <v/>
      </c>
      <c r="R92" s="5">
        <f>IF(B92="","",IF(AH92=1,0,MIN(5,ROUND((U92+V92+W92+X92+Y92+Z92+AA92+AB92+AC92+AD92+AE92+AF92+AG92)/13,2))))</f>
        <v/>
      </c>
      <c r="S92" s="3">
        <f>IF(B92="","",IF(R92&gt;=5,"A+",IF(R92&gt;=4,"A",IF(R92&gt;=3.5,"A-",IF(R92&gt;=3,"B",IF(R92&gt;=2,"C",IF(R92&gt;=1,"D","F")))))))</f>
        <v/>
      </c>
      <c r="T92" s="3">
        <f>IF(OR(B92="",S92="F"),"",COUNTIFS(P:P,"&gt;"&amp;P92,S:S,"&lt;&gt;F")+1)</f>
        <v/>
      </c>
      <c r="U92">
        <f>IF(B92="","",IF(C92&lt;33.0,0,IF(C92&gt;=100*0.8,5,IF(C92&gt;=100*0.7,4,IF(C92&gt;=100*0.6,3.5,IF(C92&gt;=100*0.5,3,IF(C92&gt;=100*0.4,2,IF(C92&gt;=100*0.33,1,0))))))))</f>
        <v/>
      </c>
      <c r="V92">
        <f>IF(B92="","",IF(D92&lt;33.0,0,IF(D92&gt;=100*0.8,5,IF(D92&gt;=100*0.7,4,IF(D92&gt;=100*0.6,3.5,IF(D92&gt;=100*0.5,3,IF(D92&gt;=100*0.4,2,IF(D92&gt;=100*0.33,1,0))))))))</f>
        <v/>
      </c>
      <c r="W92">
        <f>IF(B92="","",IF(E92&lt;16.5,0,IF(E92&gt;=50*0.8,5,IF(E92&gt;=50*0.7,4,IF(E92&gt;=50*0.6,3.5,IF(E92&gt;=50*0.5,3,IF(E92&gt;=50*0.4,2,IF(E92&gt;=50*0.33,1,0))))))))</f>
        <v/>
      </c>
      <c r="X92">
        <f>IF(B92="","",IF(F92&lt;33.0,0,IF(F92&gt;=100*0.8,5,IF(F92&gt;=100*0.7,4,IF(F92&gt;=100*0.6,3.5,IF(F92&gt;=100*0.5,3,IF(F92&gt;=100*0.4,2,IF(F92&gt;=100*0.33,1,0))))))))</f>
        <v/>
      </c>
      <c r="Y92">
        <f>IF(B92="","",IF(G92&lt;16.5,0,IF(G92&gt;=50*0.8,5,IF(G92&gt;=50*0.7,4,IF(G92&gt;=50*0.6,3.5,IF(G92&gt;=50*0.5,3,IF(G92&gt;=50*0.4,2,IF(G92&gt;=50*0.33,1,0))))))))</f>
        <v/>
      </c>
      <c r="Z92">
        <f>IF(B92="","",IF(H92&lt;33.0,0,IF(H92&gt;=100*0.8,5,IF(H92&gt;=100*0.7,4,IF(H92&gt;=100*0.6,3.5,IF(H92&gt;=100*0.5,3,IF(H92&gt;=100*0.4,2,IF(H92&gt;=100*0.33,1,0))))))))</f>
        <v/>
      </c>
      <c r="AA92">
        <f>IF(B92="","",IF(I92&lt;33.0,0,IF(I92&gt;=100*0.8,5,IF(I92&gt;=100*0.7,4,IF(I92&gt;=100*0.6,3.5,IF(I92&gt;=100*0.5,3,IF(I92&gt;=100*0.4,2,IF(I92&gt;=100*0.33,1,0))))))))</f>
        <v/>
      </c>
      <c r="AB92">
        <f>IF(B92="","",IF(J92&lt;33.0,0,IF(J92&gt;=100*0.8,5,IF(J92&gt;=100*0.7,4,IF(J92&gt;=100*0.6,3.5,IF(J92&gt;=100*0.5,3,IF(J92&gt;=100*0.4,2,IF(J92&gt;=100*0.33,1,0))))))))</f>
        <v/>
      </c>
      <c r="AC92">
        <f>IF(B92="","",IF(K92&lt;33.0,0,IF(K92&gt;=100*0.8,5,IF(K92&gt;=100*0.7,4,IF(K92&gt;=100*0.6,3.5,IF(K92&gt;=100*0.5,3,IF(K92&gt;=100*0.4,2,IF(K92&gt;=100*0.33,1,0))))))))</f>
        <v/>
      </c>
      <c r="AD92">
        <f>IF(B92="","",IF(L92&lt;33.0,0,IF(L92&gt;=100*0.8,5,IF(L92&gt;=100*0.7,4,IF(L92&gt;=100*0.6,3.5,IF(L92&gt;=100*0.5,3,IF(L92&gt;=100*0.4,2,IF(L92&gt;=100*0.33,1,0))))))))</f>
        <v/>
      </c>
      <c r="AE92">
        <f>IF(B92="","",IF(M92&lt;33.0,0,IF(M92&gt;=100*0.8,5,IF(M92&gt;=100*0.7,4,IF(M92&gt;=100*0.6,3.5,IF(M92&gt;=100*0.5,3,IF(M92&gt;=100*0.4,2,IF(M92&gt;=100*0.33,1,0))))))))</f>
        <v/>
      </c>
      <c r="AF92">
        <f>IF(B92="","",IF(N92&lt;16.5,0,IF(N92&gt;=50*0.8,5,IF(N92&gt;=50*0.7,4,IF(N92&gt;=50*0.6,3.5,IF(N92&gt;=50*0.5,3,IF(N92&gt;=50*0.4,2,IF(N92&gt;=50*0.33,1,0))))))))</f>
        <v/>
      </c>
      <c r="AG92">
        <f>IF(B92="","",IF(O92&lt;33.0,0,IF(O92&gt;=100*0.8,5,IF(O92&gt;=100*0.7,4,IF(O92&gt;=100*0.6,3.5,IF(O92&gt;=100*0.5,3,IF(O92&gt;=100*0.4,2,IF(O92&gt;=100*0.33,1,0))))))))</f>
        <v/>
      </c>
      <c r="AH92">
        <f>IF(B92="","",IF(OR(U92=0,V92=0,W92=0,X92=0,Y92=0,Z92=0,AA92=0,AB92=0,AC92=0,AD92=0,AE92=0,AF92=0,AG92=0),1,0))</f>
        <v/>
      </c>
    </row>
    <row r="93">
      <c r="A93" s="3">
        <f>IF(B93="","",ROW()-2)</f>
        <v/>
      </c>
      <c r="P93" s="4">
        <f>IF(B93="","",SUM(C93:O93))</f>
        <v/>
      </c>
      <c r="Q93" s="5">
        <f>IF(B93="","",ROUND(P93/13,2))</f>
        <v/>
      </c>
      <c r="R93" s="5">
        <f>IF(B93="","",IF(AH93=1,0,MIN(5,ROUND((U93+V93+W93+X93+Y93+Z93+AA93+AB93+AC93+AD93+AE93+AF93+AG93)/13,2))))</f>
        <v/>
      </c>
      <c r="S93" s="3">
        <f>IF(B93="","",IF(R93&gt;=5,"A+",IF(R93&gt;=4,"A",IF(R93&gt;=3.5,"A-",IF(R93&gt;=3,"B",IF(R93&gt;=2,"C",IF(R93&gt;=1,"D","F")))))))</f>
        <v/>
      </c>
      <c r="T93" s="3">
        <f>IF(OR(B93="",S93="F"),"",COUNTIFS(P:P,"&gt;"&amp;P93,S:S,"&lt;&gt;F")+1)</f>
        <v/>
      </c>
      <c r="U93">
        <f>IF(B93="","",IF(C93&lt;33.0,0,IF(C93&gt;=100*0.8,5,IF(C93&gt;=100*0.7,4,IF(C93&gt;=100*0.6,3.5,IF(C93&gt;=100*0.5,3,IF(C93&gt;=100*0.4,2,IF(C93&gt;=100*0.33,1,0))))))))</f>
        <v/>
      </c>
      <c r="V93">
        <f>IF(B93="","",IF(D93&lt;33.0,0,IF(D93&gt;=100*0.8,5,IF(D93&gt;=100*0.7,4,IF(D93&gt;=100*0.6,3.5,IF(D93&gt;=100*0.5,3,IF(D93&gt;=100*0.4,2,IF(D93&gt;=100*0.33,1,0))))))))</f>
        <v/>
      </c>
      <c r="W93">
        <f>IF(B93="","",IF(E93&lt;16.5,0,IF(E93&gt;=50*0.8,5,IF(E93&gt;=50*0.7,4,IF(E93&gt;=50*0.6,3.5,IF(E93&gt;=50*0.5,3,IF(E93&gt;=50*0.4,2,IF(E93&gt;=50*0.33,1,0))))))))</f>
        <v/>
      </c>
      <c r="X93">
        <f>IF(B93="","",IF(F93&lt;33.0,0,IF(F93&gt;=100*0.8,5,IF(F93&gt;=100*0.7,4,IF(F93&gt;=100*0.6,3.5,IF(F93&gt;=100*0.5,3,IF(F93&gt;=100*0.4,2,IF(F93&gt;=100*0.33,1,0))))))))</f>
        <v/>
      </c>
      <c r="Y93">
        <f>IF(B93="","",IF(G93&lt;16.5,0,IF(G93&gt;=50*0.8,5,IF(G93&gt;=50*0.7,4,IF(G93&gt;=50*0.6,3.5,IF(G93&gt;=50*0.5,3,IF(G93&gt;=50*0.4,2,IF(G93&gt;=50*0.33,1,0))))))))</f>
        <v/>
      </c>
      <c r="Z93">
        <f>IF(B93="","",IF(H93&lt;33.0,0,IF(H93&gt;=100*0.8,5,IF(H93&gt;=100*0.7,4,IF(H93&gt;=100*0.6,3.5,IF(H93&gt;=100*0.5,3,IF(H93&gt;=100*0.4,2,IF(H93&gt;=100*0.33,1,0))))))))</f>
        <v/>
      </c>
      <c r="AA93">
        <f>IF(B93="","",IF(I93&lt;33.0,0,IF(I93&gt;=100*0.8,5,IF(I93&gt;=100*0.7,4,IF(I93&gt;=100*0.6,3.5,IF(I93&gt;=100*0.5,3,IF(I93&gt;=100*0.4,2,IF(I93&gt;=100*0.33,1,0))))))))</f>
        <v/>
      </c>
      <c r="AB93">
        <f>IF(B93="","",IF(J93&lt;33.0,0,IF(J93&gt;=100*0.8,5,IF(J93&gt;=100*0.7,4,IF(J93&gt;=100*0.6,3.5,IF(J93&gt;=100*0.5,3,IF(J93&gt;=100*0.4,2,IF(J93&gt;=100*0.33,1,0))))))))</f>
        <v/>
      </c>
      <c r="AC93">
        <f>IF(B93="","",IF(K93&lt;33.0,0,IF(K93&gt;=100*0.8,5,IF(K93&gt;=100*0.7,4,IF(K93&gt;=100*0.6,3.5,IF(K93&gt;=100*0.5,3,IF(K93&gt;=100*0.4,2,IF(K93&gt;=100*0.33,1,0))))))))</f>
        <v/>
      </c>
      <c r="AD93">
        <f>IF(B93="","",IF(L93&lt;33.0,0,IF(L93&gt;=100*0.8,5,IF(L93&gt;=100*0.7,4,IF(L93&gt;=100*0.6,3.5,IF(L93&gt;=100*0.5,3,IF(L93&gt;=100*0.4,2,IF(L93&gt;=100*0.33,1,0))))))))</f>
        <v/>
      </c>
      <c r="AE93">
        <f>IF(B93="","",IF(M93&lt;33.0,0,IF(M93&gt;=100*0.8,5,IF(M93&gt;=100*0.7,4,IF(M93&gt;=100*0.6,3.5,IF(M93&gt;=100*0.5,3,IF(M93&gt;=100*0.4,2,IF(M93&gt;=100*0.33,1,0))))))))</f>
        <v/>
      </c>
      <c r="AF93">
        <f>IF(B93="","",IF(N93&lt;16.5,0,IF(N93&gt;=50*0.8,5,IF(N93&gt;=50*0.7,4,IF(N93&gt;=50*0.6,3.5,IF(N93&gt;=50*0.5,3,IF(N93&gt;=50*0.4,2,IF(N93&gt;=50*0.33,1,0))))))))</f>
        <v/>
      </c>
      <c r="AG93">
        <f>IF(B93="","",IF(O93&lt;33.0,0,IF(O93&gt;=100*0.8,5,IF(O93&gt;=100*0.7,4,IF(O93&gt;=100*0.6,3.5,IF(O93&gt;=100*0.5,3,IF(O93&gt;=100*0.4,2,IF(O93&gt;=100*0.33,1,0))))))))</f>
        <v/>
      </c>
      <c r="AH93">
        <f>IF(B93="","",IF(OR(U93=0,V93=0,W93=0,X93=0,Y93=0,Z93=0,AA93=0,AB93=0,AC93=0,AD93=0,AE93=0,AF93=0,AG93=0),1,0))</f>
        <v/>
      </c>
    </row>
    <row r="94">
      <c r="A94" s="3">
        <f>IF(B94="","",ROW()-2)</f>
        <v/>
      </c>
      <c r="P94" s="4">
        <f>IF(B94="","",SUM(C94:O94))</f>
        <v/>
      </c>
      <c r="Q94" s="5">
        <f>IF(B94="","",ROUND(P94/13,2))</f>
        <v/>
      </c>
      <c r="R94" s="5">
        <f>IF(B94="","",IF(AH94=1,0,MIN(5,ROUND((U94+V94+W94+X94+Y94+Z94+AA94+AB94+AC94+AD94+AE94+AF94+AG94)/13,2))))</f>
        <v/>
      </c>
      <c r="S94" s="3">
        <f>IF(B94="","",IF(R94&gt;=5,"A+",IF(R94&gt;=4,"A",IF(R94&gt;=3.5,"A-",IF(R94&gt;=3,"B",IF(R94&gt;=2,"C",IF(R94&gt;=1,"D","F")))))))</f>
        <v/>
      </c>
      <c r="T94" s="3">
        <f>IF(OR(B94="",S94="F"),"",COUNTIFS(P:P,"&gt;"&amp;P94,S:S,"&lt;&gt;F")+1)</f>
        <v/>
      </c>
      <c r="U94">
        <f>IF(B94="","",IF(C94&lt;33.0,0,IF(C94&gt;=100*0.8,5,IF(C94&gt;=100*0.7,4,IF(C94&gt;=100*0.6,3.5,IF(C94&gt;=100*0.5,3,IF(C94&gt;=100*0.4,2,IF(C94&gt;=100*0.33,1,0))))))))</f>
        <v/>
      </c>
      <c r="V94">
        <f>IF(B94="","",IF(D94&lt;33.0,0,IF(D94&gt;=100*0.8,5,IF(D94&gt;=100*0.7,4,IF(D94&gt;=100*0.6,3.5,IF(D94&gt;=100*0.5,3,IF(D94&gt;=100*0.4,2,IF(D94&gt;=100*0.33,1,0))))))))</f>
        <v/>
      </c>
      <c r="W94">
        <f>IF(B94="","",IF(E94&lt;16.5,0,IF(E94&gt;=50*0.8,5,IF(E94&gt;=50*0.7,4,IF(E94&gt;=50*0.6,3.5,IF(E94&gt;=50*0.5,3,IF(E94&gt;=50*0.4,2,IF(E94&gt;=50*0.33,1,0))))))))</f>
        <v/>
      </c>
      <c r="X94">
        <f>IF(B94="","",IF(F94&lt;33.0,0,IF(F94&gt;=100*0.8,5,IF(F94&gt;=100*0.7,4,IF(F94&gt;=100*0.6,3.5,IF(F94&gt;=100*0.5,3,IF(F94&gt;=100*0.4,2,IF(F94&gt;=100*0.33,1,0))))))))</f>
        <v/>
      </c>
      <c r="Y94">
        <f>IF(B94="","",IF(G94&lt;16.5,0,IF(G94&gt;=50*0.8,5,IF(G94&gt;=50*0.7,4,IF(G94&gt;=50*0.6,3.5,IF(G94&gt;=50*0.5,3,IF(G94&gt;=50*0.4,2,IF(G94&gt;=50*0.33,1,0))))))))</f>
        <v/>
      </c>
      <c r="Z94">
        <f>IF(B94="","",IF(H94&lt;33.0,0,IF(H94&gt;=100*0.8,5,IF(H94&gt;=100*0.7,4,IF(H94&gt;=100*0.6,3.5,IF(H94&gt;=100*0.5,3,IF(H94&gt;=100*0.4,2,IF(H94&gt;=100*0.33,1,0))))))))</f>
        <v/>
      </c>
      <c r="AA94">
        <f>IF(B94="","",IF(I94&lt;33.0,0,IF(I94&gt;=100*0.8,5,IF(I94&gt;=100*0.7,4,IF(I94&gt;=100*0.6,3.5,IF(I94&gt;=100*0.5,3,IF(I94&gt;=100*0.4,2,IF(I94&gt;=100*0.33,1,0))))))))</f>
        <v/>
      </c>
      <c r="AB94">
        <f>IF(B94="","",IF(J94&lt;33.0,0,IF(J94&gt;=100*0.8,5,IF(J94&gt;=100*0.7,4,IF(J94&gt;=100*0.6,3.5,IF(J94&gt;=100*0.5,3,IF(J94&gt;=100*0.4,2,IF(J94&gt;=100*0.33,1,0))))))))</f>
        <v/>
      </c>
      <c r="AC94">
        <f>IF(B94="","",IF(K94&lt;33.0,0,IF(K94&gt;=100*0.8,5,IF(K94&gt;=100*0.7,4,IF(K94&gt;=100*0.6,3.5,IF(K94&gt;=100*0.5,3,IF(K94&gt;=100*0.4,2,IF(K94&gt;=100*0.33,1,0))))))))</f>
        <v/>
      </c>
      <c r="AD94">
        <f>IF(B94="","",IF(L94&lt;33.0,0,IF(L94&gt;=100*0.8,5,IF(L94&gt;=100*0.7,4,IF(L94&gt;=100*0.6,3.5,IF(L94&gt;=100*0.5,3,IF(L94&gt;=100*0.4,2,IF(L94&gt;=100*0.33,1,0))))))))</f>
        <v/>
      </c>
      <c r="AE94">
        <f>IF(B94="","",IF(M94&lt;33.0,0,IF(M94&gt;=100*0.8,5,IF(M94&gt;=100*0.7,4,IF(M94&gt;=100*0.6,3.5,IF(M94&gt;=100*0.5,3,IF(M94&gt;=100*0.4,2,IF(M94&gt;=100*0.33,1,0))))))))</f>
        <v/>
      </c>
      <c r="AF94">
        <f>IF(B94="","",IF(N94&lt;16.5,0,IF(N94&gt;=50*0.8,5,IF(N94&gt;=50*0.7,4,IF(N94&gt;=50*0.6,3.5,IF(N94&gt;=50*0.5,3,IF(N94&gt;=50*0.4,2,IF(N94&gt;=50*0.33,1,0))))))))</f>
        <v/>
      </c>
      <c r="AG94">
        <f>IF(B94="","",IF(O94&lt;33.0,0,IF(O94&gt;=100*0.8,5,IF(O94&gt;=100*0.7,4,IF(O94&gt;=100*0.6,3.5,IF(O94&gt;=100*0.5,3,IF(O94&gt;=100*0.4,2,IF(O94&gt;=100*0.33,1,0))))))))</f>
        <v/>
      </c>
      <c r="AH94">
        <f>IF(B94="","",IF(OR(U94=0,V94=0,W94=0,X94=0,Y94=0,Z94=0,AA94=0,AB94=0,AC94=0,AD94=0,AE94=0,AF94=0,AG94=0),1,0))</f>
        <v/>
      </c>
    </row>
    <row r="95">
      <c r="A95" s="3">
        <f>IF(B95="","",ROW()-2)</f>
        <v/>
      </c>
      <c r="P95" s="4">
        <f>IF(B95="","",SUM(C95:O95))</f>
        <v/>
      </c>
      <c r="Q95" s="5">
        <f>IF(B95="","",ROUND(P95/13,2))</f>
        <v/>
      </c>
      <c r="R95" s="5">
        <f>IF(B95="","",IF(AH95=1,0,MIN(5,ROUND((U95+V95+W95+X95+Y95+Z95+AA95+AB95+AC95+AD95+AE95+AF95+AG95)/13,2))))</f>
        <v/>
      </c>
      <c r="S95" s="3">
        <f>IF(B95="","",IF(R95&gt;=5,"A+",IF(R95&gt;=4,"A",IF(R95&gt;=3.5,"A-",IF(R95&gt;=3,"B",IF(R95&gt;=2,"C",IF(R95&gt;=1,"D","F")))))))</f>
        <v/>
      </c>
      <c r="T95" s="3">
        <f>IF(OR(B95="",S95="F"),"",COUNTIFS(P:P,"&gt;"&amp;P95,S:S,"&lt;&gt;F")+1)</f>
        <v/>
      </c>
      <c r="U95">
        <f>IF(B95="","",IF(C95&lt;33.0,0,IF(C95&gt;=100*0.8,5,IF(C95&gt;=100*0.7,4,IF(C95&gt;=100*0.6,3.5,IF(C95&gt;=100*0.5,3,IF(C95&gt;=100*0.4,2,IF(C95&gt;=100*0.33,1,0))))))))</f>
        <v/>
      </c>
      <c r="V95">
        <f>IF(B95="","",IF(D95&lt;33.0,0,IF(D95&gt;=100*0.8,5,IF(D95&gt;=100*0.7,4,IF(D95&gt;=100*0.6,3.5,IF(D95&gt;=100*0.5,3,IF(D95&gt;=100*0.4,2,IF(D95&gt;=100*0.33,1,0))))))))</f>
        <v/>
      </c>
      <c r="W95">
        <f>IF(B95="","",IF(E95&lt;16.5,0,IF(E95&gt;=50*0.8,5,IF(E95&gt;=50*0.7,4,IF(E95&gt;=50*0.6,3.5,IF(E95&gt;=50*0.5,3,IF(E95&gt;=50*0.4,2,IF(E95&gt;=50*0.33,1,0))))))))</f>
        <v/>
      </c>
      <c r="X95">
        <f>IF(B95="","",IF(F95&lt;33.0,0,IF(F95&gt;=100*0.8,5,IF(F95&gt;=100*0.7,4,IF(F95&gt;=100*0.6,3.5,IF(F95&gt;=100*0.5,3,IF(F95&gt;=100*0.4,2,IF(F95&gt;=100*0.33,1,0))))))))</f>
        <v/>
      </c>
      <c r="Y95">
        <f>IF(B95="","",IF(G95&lt;16.5,0,IF(G95&gt;=50*0.8,5,IF(G95&gt;=50*0.7,4,IF(G95&gt;=50*0.6,3.5,IF(G95&gt;=50*0.5,3,IF(G95&gt;=50*0.4,2,IF(G95&gt;=50*0.33,1,0))))))))</f>
        <v/>
      </c>
      <c r="Z95">
        <f>IF(B95="","",IF(H95&lt;33.0,0,IF(H95&gt;=100*0.8,5,IF(H95&gt;=100*0.7,4,IF(H95&gt;=100*0.6,3.5,IF(H95&gt;=100*0.5,3,IF(H95&gt;=100*0.4,2,IF(H95&gt;=100*0.33,1,0))))))))</f>
        <v/>
      </c>
      <c r="AA95">
        <f>IF(B95="","",IF(I95&lt;33.0,0,IF(I95&gt;=100*0.8,5,IF(I95&gt;=100*0.7,4,IF(I95&gt;=100*0.6,3.5,IF(I95&gt;=100*0.5,3,IF(I95&gt;=100*0.4,2,IF(I95&gt;=100*0.33,1,0))))))))</f>
        <v/>
      </c>
      <c r="AB95">
        <f>IF(B95="","",IF(J95&lt;33.0,0,IF(J95&gt;=100*0.8,5,IF(J95&gt;=100*0.7,4,IF(J95&gt;=100*0.6,3.5,IF(J95&gt;=100*0.5,3,IF(J95&gt;=100*0.4,2,IF(J95&gt;=100*0.33,1,0))))))))</f>
        <v/>
      </c>
      <c r="AC95">
        <f>IF(B95="","",IF(K95&lt;33.0,0,IF(K95&gt;=100*0.8,5,IF(K95&gt;=100*0.7,4,IF(K95&gt;=100*0.6,3.5,IF(K95&gt;=100*0.5,3,IF(K95&gt;=100*0.4,2,IF(K95&gt;=100*0.33,1,0))))))))</f>
        <v/>
      </c>
      <c r="AD95">
        <f>IF(B95="","",IF(L95&lt;33.0,0,IF(L95&gt;=100*0.8,5,IF(L95&gt;=100*0.7,4,IF(L95&gt;=100*0.6,3.5,IF(L95&gt;=100*0.5,3,IF(L95&gt;=100*0.4,2,IF(L95&gt;=100*0.33,1,0))))))))</f>
        <v/>
      </c>
      <c r="AE95">
        <f>IF(B95="","",IF(M95&lt;33.0,0,IF(M95&gt;=100*0.8,5,IF(M95&gt;=100*0.7,4,IF(M95&gt;=100*0.6,3.5,IF(M95&gt;=100*0.5,3,IF(M95&gt;=100*0.4,2,IF(M95&gt;=100*0.33,1,0))))))))</f>
        <v/>
      </c>
      <c r="AF95">
        <f>IF(B95="","",IF(N95&lt;16.5,0,IF(N95&gt;=50*0.8,5,IF(N95&gt;=50*0.7,4,IF(N95&gt;=50*0.6,3.5,IF(N95&gt;=50*0.5,3,IF(N95&gt;=50*0.4,2,IF(N95&gt;=50*0.33,1,0))))))))</f>
        <v/>
      </c>
      <c r="AG95">
        <f>IF(B95="","",IF(O95&lt;33.0,0,IF(O95&gt;=100*0.8,5,IF(O95&gt;=100*0.7,4,IF(O95&gt;=100*0.6,3.5,IF(O95&gt;=100*0.5,3,IF(O95&gt;=100*0.4,2,IF(O95&gt;=100*0.33,1,0))))))))</f>
        <v/>
      </c>
      <c r="AH95">
        <f>IF(B95="","",IF(OR(U95=0,V95=0,W95=0,X95=0,Y95=0,Z95=0,AA95=0,AB95=0,AC95=0,AD95=0,AE95=0,AF95=0,AG95=0),1,0))</f>
        <v/>
      </c>
    </row>
    <row r="96">
      <c r="A96" s="3">
        <f>IF(B96="","",ROW()-2)</f>
        <v/>
      </c>
      <c r="P96" s="4">
        <f>IF(B96="","",SUM(C96:O96))</f>
        <v/>
      </c>
      <c r="Q96" s="5">
        <f>IF(B96="","",ROUND(P96/13,2))</f>
        <v/>
      </c>
      <c r="R96" s="5">
        <f>IF(B96="","",IF(AH96=1,0,MIN(5,ROUND((U96+V96+W96+X96+Y96+Z96+AA96+AB96+AC96+AD96+AE96+AF96+AG96)/13,2))))</f>
        <v/>
      </c>
      <c r="S96" s="3">
        <f>IF(B96="","",IF(R96&gt;=5,"A+",IF(R96&gt;=4,"A",IF(R96&gt;=3.5,"A-",IF(R96&gt;=3,"B",IF(R96&gt;=2,"C",IF(R96&gt;=1,"D","F")))))))</f>
        <v/>
      </c>
      <c r="T96" s="3">
        <f>IF(OR(B96="",S96="F"),"",COUNTIFS(P:P,"&gt;"&amp;P96,S:S,"&lt;&gt;F")+1)</f>
        <v/>
      </c>
      <c r="U96">
        <f>IF(B96="","",IF(C96&lt;33.0,0,IF(C96&gt;=100*0.8,5,IF(C96&gt;=100*0.7,4,IF(C96&gt;=100*0.6,3.5,IF(C96&gt;=100*0.5,3,IF(C96&gt;=100*0.4,2,IF(C96&gt;=100*0.33,1,0))))))))</f>
        <v/>
      </c>
      <c r="V96">
        <f>IF(B96="","",IF(D96&lt;33.0,0,IF(D96&gt;=100*0.8,5,IF(D96&gt;=100*0.7,4,IF(D96&gt;=100*0.6,3.5,IF(D96&gt;=100*0.5,3,IF(D96&gt;=100*0.4,2,IF(D96&gt;=100*0.33,1,0))))))))</f>
        <v/>
      </c>
      <c r="W96">
        <f>IF(B96="","",IF(E96&lt;16.5,0,IF(E96&gt;=50*0.8,5,IF(E96&gt;=50*0.7,4,IF(E96&gt;=50*0.6,3.5,IF(E96&gt;=50*0.5,3,IF(E96&gt;=50*0.4,2,IF(E96&gt;=50*0.33,1,0))))))))</f>
        <v/>
      </c>
      <c r="X96">
        <f>IF(B96="","",IF(F96&lt;33.0,0,IF(F96&gt;=100*0.8,5,IF(F96&gt;=100*0.7,4,IF(F96&gt;=100*0.6,3.5,IF(F96&gt;=100*0.5,3,IF(F96&gt;=100*0.4,2,IF(F96&gt;=100*0.33,1,0))))))))</f>
        <v/>
      </c>
      <c r="Y96">
        <f>IF(B96="","",IF(G96&lt;16.5,0,IF(G96&gt;=50*0.8,5,IF(G96&gt;=50*0.7,4,IF(G96&gt;=50*0.6,3.5,IF(G96&gt;=50*0.5,3,IF(G96&gt;=50*0.4,2,IF(G96&gt;=50*0.33,1,0))))))))</f>
        <v/>
      </c>
      <c r="Z96">
        <f>IF(B96="","",IF(H96&lt;33.0,0,IF(H96&gt;=100*0.8,5,IF(H96&gt;=100*0.7,4,IF(H96&gt;=100*0.6,3.5,IF(H96&gt;=100*0.5,3,IF(H96&gt;=100*0.4,2,IF(H96&gt;=100*0.33,1,0))))))))</f>
        <v/>
      </c>
      <c r="AA96">
        <f>IF(B96="","",IF(I96&lt;33.0,0,IF(I96&gt;=100*0.8,5,IF(I96&gt;=100*0.7,4,IF(I96&gt;=100*0.6,3.5,IF(I96&gt;=100*0.5,3,IF(I96&gt;=100*0.4,2,IF(I96&gt;=100*0.33,1,0))))))))</f>
        <v/>
      </c>
      <c r="AB96">
        <f>IF(B96="","",IF(J96&lt;33.0,0,IF(J96&gt;=100*0.8,5,IF(J96&gt;=100*0.7,4,IF(J96&gt;=100*0.6,3.5,IF(J96&gt;=100*0.5,3,IF(J96&gt;=100*0.4,2,IF(J96&gt;=100*0.33,1,0))))))))</f>
        <v/>
      </c>
      <c r="AC96">
        <f>IF(B96="","",IF(K96&lt;33.0,0,IF(K96&gt;=100*0.8,5,IF(K96&gt;=100*0.7,4,IF(K96&gt;=100*0.6,3.5,IF(K96&gt;=100*0.5,3,IF(K96&gt;=100*0.4,2,IF(K96&gt;=100*0.33,1,0))))))))</f>
        <v/>
      </c>
      <c r="AD96">
        <f>IF(B96="","",IF(L96&lt;33.0,0,IF(L96&gt;=100*0.8,5,IF(L96&gt;=100*0.7,4,IF(L96&gt;=100*0.6,3.5,IF(L96&gt;=100*0.5,3,IF(L96&gt;=100*0.4,2,IF(L96&gt;=100*0.33,1,0))))))))</f>
        <v/>
      </c>
      <c r="AE96">
        <f>IF(B96="","",IF(M96&lt;33.0,0,IF(M96&gt;=100*0.8,5,IF(M96&gt;=100*0.7,4,IF(M96&gt;=100*0.6,3.5,IF(M96&gt;=100*0.5,3,IF(M96&gt;=100*0.4,2,IF(M96&gt;=100*0.33,1,0))))))))</f>
        <v/>
      </c>
      <c r="AF96">
        <f>IF(B96="","",IF(N96&lt;16.5,0,IF(N96&gt;=50*0.8,5,IF(N96&gt;=50*0.7,4,IF(N96&gt;=50*0.6,3.5,IF(N96&gt;=50*0.5,3,IF(N96&gt;=50*0.4,2,IF(N96&gt;=50*0.33,1,0))))))))</f>
        <v/>
      </c>
      <c r="AG96">
        <f>IF(B96="","",IF(O96&lt;33.0,0,IF(O96&gt;=100*0.8,5,IF(O96&gt;=100*0.7,4,IF(O96&gt;=100*0.6,3.5,IF(O96&gt;=100*0.5,3,IF(O96&gt;=100*0.4,2,IF(O96&gt;=100*0.33,1,0))))))))</f>
        <v/>
      </c>
      <c r="AH96">
        <f>IF(B96="","",IF(OR(U96=0,V96=0,W96=0,X96=0,Y96=0,Z96=0,AA96=0,AB96=0,AC96=0,AD96=0,AE96=0,AF96=0,AG96=0),1,0))</f>
        <v/>
      </c>
    </row>
    <row r="97">
      <c r="A97" s="3">
        <f>IF(B97="","",ROW()-2)</f>
        <v/>
      </c>
      <c r="P97" s="4">
        <f>IF(B97="","",SUM(C97:O97))</f>
        <v/>
      </c>
      <c r="Q97" s="5">
        <f>IF(B97="","",ROUND(P97/13,2))</f>
        <v/>
      </c>
      <c r="R97" s="5">
        <f>IF(B97="","",IF(AH97=1,0,MIN(5,ROUND((U97+V97+W97+X97+Y97+Z97+AA97+AB97+AC97+AD97+AE97+AF97+AG97)/13,2))))</f>
        <v/>
      </c>
      <c r="S97" s="3">
        <f>IF(B97="","",IF(R97&gt;=5,"A+",IF(R97&gt;=4,"A",IF(R97&gt;=3.5,"A-",IF(R97&gt;=3,"B",IF(R97&gt;=2,"C",IF(R97&gt;=1,"D","F")))))))</f>
        <v/>
      </c>
      <c r="T97" s="3">
        <f>IF(OR(B97="",S97="F"),"",COUNTIFS(P:P,"&gt;"&amp;P97,S:S,"&lt;&gt;F")+1)</f>
        <v/>
      </c>
      <c r="U97">
        <f>IF(B97="","",IF(C97&lt;33.0,0,IF(C97&gt;=100*0.8,5,IF(C97&gt;=100*0.7,4,IF(C97&gt;=100*0.6,3.5,IF(C97&gt;=100*0.5,3,IF(C97&gt;=100*0.4,2,IF(C97&gt;=100*0.33,1,0))))))))</f>
        <v/>
      </c>
      <c r="V97">
        <f>IF(B97="","",IF(D97&lt;33.0,0,IF(D97&gt;=100*0.8,5,IF(D97&gt;=100*0.7,4,IF(D97&gt;=100*0.6,3.5,IF(D97&gt;=100*0.5,3,IF(D97&gt;=100*0.4,2,IF(D97&gt;=100*0.33,1,0))))))))</f>
        <v/>
      </c>
      <c r="W97">
        <f>IF(B97="","",IF(E97&lt;16.5,0,IF(E97&gt;=50*0.8,5,IF(E97&gt;=50*0.7,4,IF(E97&gt;=50*0.6,3.5,IF(E97&gt;=50*0.5,3,IF(E97&gt;=50*0.4,2,IF(E97&gt;=50*0.33,1,0))))))))</f>
        <v/>
      </c>
      <c r="X97">
        <f>IF(B97="","",IF(F97&lt;33.0,0,IF(F97&gt;=100*0.8,5,IF(F97&gt;=100*0.7,4,IF(F97&gt;=100*0.6,3.5,IF(F97&gt;=100*0.5,3,IF(F97&gt;=100*0.4,2,IF(F97&gt;=100*0.33,1,0))))))))</f>
        <v/>
      </c>
      <c r="Y97">
        <f>IF(B97="","",IF(G97&lt;16.5,0,IF(G97&gt;=50*0.8,5,IF(G97&gt;=50*0.7,4,IF(G97&gt;=50*0.6,3.5,IF(G97&gt;=50*0.5,3,IF(G97&gt;=50*0.4,2,IF(G97&gt;=50*0.33,1,0))))))))</f>
        <v/>
      </c>
      <c r="Z97">
        <f>IF(B97="","",IF(H97&lt;33.0,0,IF(H97&gt;=100*0.8,5,IF(H97&gt;=100*0.7,4,IF(H97&gt;=100*0.6,3.5,IF(H97&gt;=100*0.5,3,IF(H97&gt;=100*0.4,2,IF(H97&gt;=100*0.33,1,0))))))))</f>
        <v/>
      </c>
      <c r="AA97">
        <f>IF(B97="","",IF(I97&lt;33.0,0,IF(I97&gt;=100*0.8,5,IF(I97&gt;=100*0.7,4,IF(I97&gt;=100*0.6,3.5,IF(I97&gt;=100*0.5,3,IF(I97&gt;=100*0.4,2,IF(I97&gt;=100*0.33,1,0))))))))</f>
        <v/>
      </c>
      <c r="AB97">
        <f>IF(B97="","",IF(J97&lt;33.0,0,IF(J97&gt;=100*0.8,5,IF(J97&gt;=100*0.7,4,IF(J97&gt;=100*0.6,3.5,IF(J97&gt;=100*0.5,3,IF(J97&gt;=100*0.4,2,IF(J97&gt;=100*0.33,1,0))))))))</f>
        <v/>
      </c>
      <c r="AC97">
        <f>IF(B97="","",IF(K97&lt;33.0,0,IF(K97&gt;=100*0.8,5,IF(K97&gt;=100*0.7,4,IF(K97&gt;=100*0.6,3.5,IF(K97&gt;=100*0.5,3,IF(K97&gt;=100*0.4,2,IF(K97&gt;=100*0.33,1,0))))))))</f>
        <v/>
      </c>
      <c r="AD97">
        <f>IF(B97="","",IF(L97&lt;33.0,0,IF(L97&gt;=100*0.8,5,IF(L97&gt;=100*0.7,4,IF(L97&gt;=100*0.6,3.5,IF(L97&gt;=100*0.5,3,IF(L97&gt;=100*0.4,2,IF(L97&gt;=100*0.33,1,0))))))))</f>
        <v/>
      </c>
      <c r="AE97">
        <f>IF(B97="","",IF(M97&lt;33.0,0,IF(M97&gt;=100*0.8,5,IF(M97&gt;=100*0.7,4,IF(M97&gt;=100*0.6,3.5,IF(M97&gt;=100*0.5,3,IF(M97&gt;=100*0.4,2,IF(M97&gt;=100*0.33,1,0))))))))</f>
        <v/>
      </c>
      <c r="AF97">
        <f>IF(B97="","",IF(N97&lt;16.5,0,IF(N97&gt;=50*0.8,5,IF(N97&gt;=50*0.7,4,IF(N97&gt;=50*0.6,3.5,IF(N97&gt;=50*0.5,3,IF(N97&gt;=50*0.4,2,IF(N97&gt;=50*0.33,1,0))))))))</f>
        <v/>
      </c>
      <c r="AG97">
        <f>IF(B97="","",IF(O97&lt;33.0,0,IF(O97&gt;=100*0.8,5,IF(O97&gt;=100*0.7,4,IF(O97&gt;=100*0.6,3.5,IF(O97&gt;=100*0.5,3,IF(O97&gt;=100*0.4,2,IF(O97&gt;=100*0.33,1,0))))))))</f>
        <v/>
      </c>
      <c r="AH97">
        <f>IF(B97="","",IF(OR(U97=0,V97=0,W97=0,X97=0,Y97=0,Z97=0,AA97=0,AB97=0,AC97=0,AD97=0,AE97=0,AF97=0,AG97=0),1,0))</f>
        <v/>
      </c>
    </row>
    <row r="98">
      <c r="A98" s="3">
        <f>IF(B98="","",ROW()-2)</f>
        <v/>
      </c>
      <c r="P98" s="4">
        <f>IF(B98="","",SUM(C98:O98))</f>
        <v/>
      </c>
      <c r="Q98" s="5">
        <f>IF(B98="","",ROUND(P98/13,2))</f>
        <v/>
      </c>
      <c r="R98" s="5">
        <f>IF(B98="","",IF(AH98=1,0,MIN(5,ROUND((U98+V98+W98+X98+Y98+Z98+AA98+AB98+AC98+AD98+AE98+AF98+AG98)/13,2))))</f>
        <v/>
      </c>
      <c r="S98" s="3">
        <f>IF(B98="","",IF(R98&gt;=5,"A+",IF(R98&gt;=4,"A",IF(R98&gt;=3.5,"A-",IF(R98&gt;=3,"B",IF(R98&gt;=2,"C",IF(R98&gt;=1,"D","F")))))))</f>
        <v/>
      </c>
      <c r="T98" s="3">
        <f>IF(OR(B98="",S98="F"),"",COUNTIFS(P:P,"&gt;"&amp;P98,S:S,"&lt;&gt;F")+1)</f>
        <v/>
      </c>
      <c r="U98">
        <f>IF(B98="","",IF(C98&lt;33.0,0,IF(C98&gt;=100*0.8,5,IF(C98&gt;=100*0.7,4,IF(C98&gt;=100*0.6,3.5,IF(C98&gt;=100*0.5,3,IF(C98&gt;=100*0.4,2,IF(C98&gt;=100*0.33,1,0))))))))</f>
        <v/>
      </c>
      <c r="V98">
        <f>IF(B98="","",IF(D98&lt;33.0,0,IF(D98&gt;=100*0.8,5,IF(D98&gt;=100*0.7,4,IF(D98&gt;=100*0.6,3.5,IF(D98&gt;=100*0.5,3,IF(D98&gt;=100*0.4,2,IF(D98&gt;=100*0.33,1,0))))))))</f>
        <v/>
      </c>
      <c r="W98">
        <f>IF(B98="","",IF(E98&lt;16.5,0,IF(E98&gt;=50*0.8,5,IF(E98&gt;=50*0.7,4,IF(E98&gt;=50*0.6,3.5,IF(E98&gt;=50*0.5,3,IF(E98&gt;=50*0.4,2,IF(E98&gt;=50*0.33,1,0))))))))</f>
        <v/>
      </c>
      <c r="X98">
        <f>IF(B98="","",IF(F98&lt;33.0,0,IF(F98&gt;=100*0.8,5,IF(F98&gt;=100*0.7,4,IF(F98&gt;=100*0.6,3.5,IF(F98&gt;=100*0.5,3,IF(F98&gt;=100*0.4,2,IF(F98&gt;=100*0.33,1,0))))))))</f>
        <v/>
      </c>
      <c r="Y98">
        <f>IF(B98="","",IF(G98&lt;16.5,0,IF(G98&gt;=50*0.8,5,IF(G98&gt;=50*0.7,4,IF(G98&gt;=50*0.6,3.5,IF(G98&gt;=50*0.5,3,IF(G98&gt;=50*0.4,2,IF(G98&gt;=50*0.33,1,0))))))))</f>
        <v/>
      </c>
      <c r="Z98">
        <f>IF(B98="","",IF(H98&lt;33.0,0,IF(H98&gt;=100*0.8,5,IF(H98&gt;=100*0.7,4,IF(H98&gt;=100*0.6,3.5,IF(H98&gt;=100*0.5,3,IF(H98&gt;=100*0.4,2,IF(H98&gt;=100*0.33,1,0))))))))</f>
        <v/>
      </c>
      <c r="AA98">
        <f>IF(B98="","",IF(I98&lt;33.0,0,IF(I98&gt;=100*0.8,5,IF(I98&gt;=100*0.7,4,IF(I98&gt;=100*0.6,3.5,IF(I98&gt;=100*0.5,3,IF(I98&gt;=100*0.4,2,IF(I98&gt;=100*0.33,1,0))))))))</f>
        <v/>
      </c>
      <c r="AB98">
        <f>IF(B98="","",IF(J98&lt;33.0,0,IF(J98&gt;=100*0.8,5,IF(J98&gt;=100*0.7,4,IF(J98&gt;=100*0.6,3.5,IF(J98&gt;=100*0.5,3,IF(J98&gt;=100*0.4,2,IF(J98&gt;=100*0.33,1,0))))))))</f>
        <v/>
      </c>
      <c r="AC98">
        <f>IF(B98="","",IF(K98&lt;33.0,0,IF(K98&gt;=100*0.8,5,IF(K98&gt;=100*0.7,4,IF(K98&gt;=100*0.6,3.5,IF(K98&gt;=100*0.5,3,IF(K98&gt;=100*0.4,2,IF(K98&gt;=100*0.33,1,0))))))))</f>
        <v/>
      </c>
      <c r="AD98">
        <f>IF(B98="","",IF(L98&lt;33.0,0,IF(L98&gt;=100*0.8,5,IF(L98&gt;=100*0.7,4,IF(L98&gt;=100*0.6,3.5,IF(L98&gt;=100*0.5,3,IF(L98&gt;=100*0.4,2,IF(L98&gt;=100*0.33,1,0))))))))</f>
        <v/>
      </c>
      <c r="AE98">
        <f>IF(B98="","",IF(M98&lt;33.0,0,IF(M98&gt;=100*0.8,5,IF(M98&gt;=100*0.7,4,IF(M98&gt;=100*0.6,3.5,IF(M98&gt;=100*0.5,3,IF(M98&gt;=100*0.4,2,IF(M98&gt;=100*0.33,1,0))))))))</f>
        <v/>
      </c>
      <c r="AF98">
        <f>IF(B98="","",IF(N98&lt;16.5,0,IF(N98&gt;=50*0.8,5,IF(N98&gt;=50*0.7,4,IF(N98&gt;=50*0.6,3.5,IF(N98&gt;=50*0.5,3,IF(N98&gt;=50*0.4,2,IF(N98&gt;=50*0.33,1,0))))))))</f>
        <v/>
      </c>
      <c r="AG98">
        <f>IF(B98="","",IF(O98&lt;33.0,0,IF(O98&gt;=100*0.8,5,IF(O98&gt;=100*0.7,4,IF(O98&gt;=100*0.6,3.5,IF(O98&gt;=100*0.5,3,IF(O98&gt;=100*0.4,2,IF(O98&gt;=100*0.33,1,0))))))))</f>
        <v/>
      </c>
      <c r="AH98">
        <f>IF(B98="","",IF(OR(U98=0,V98=0,W98=0,X98=0,Y98=0,Z98=0,AA98=0,AB98=0,AC98=0,AD98=0,AE98=0,AF98=0,AG98=0),1,0))</f>
        <v/>
      </c>
    </row>
    <row r="99">
      <c r="A99" s="3">
        <f>IF(B99="","",ROW()-2)</f>
        <v/>
      </c>
      <c r="P99" s="4">
        <f>IF(B99="","",SUM(C99:O99))</f>
        <v/>
      </c>
      <c r="Q99" s="5">
        <f>IF(B99="","",ROUND(P99/13,2))</f>
        <v/>
      </c>
      <c r="R99" s="5">
        <f>IF(B99="","",IF(AH99=1,0,MIN(5,ROUND((U99+V99+W99+X99+Y99+Z99+AA99+AB99+AC99+AD99+AE99+AF99+AG99)/13,2))))</f>
        <v/>
      </c>
      <c r="S99" s="3">
        <f>IF(B99="","",IF(R99&gt;=5,"A+",IF(R99&gt;=4,"A",IF(R99&gt;=3.5,"A-",IF(R99&gt;=3,"B",IF(R99&gt;=2,"C",IF(R99&gt;=1,"D","F")))))))</f>
        <v/>
      </c>
      <c r="T99" s="3">
        <f>IF(OR(B99="",S99="F"),"",COUNTIFS(P:P,"&gt;"&amp;P99,S:S,"&lt;&gt;F")+1)</f>
        <v/>
      </c>
      <c r="U99">
        <f>IF(B99="","",IF(C99&lt;33.0,0,IF(C99&gt;=100*0.8,5,IF(C99&gt;=100*0.7,4,IF(C99&gt;=100*0.6,3.5,IF(C99&gt;=100*0.5,3,IF(C99&gt;=100*0.4,2,IF(C99&gt;=100*0.33,1,0))))))))</f>
        <v/>
      </c>
      <c r="V99">
        <f>IF(B99="","",IF(D99&lt;33.0,0,IF(D99&gt;=100*0.8,5,IF(D99&gt;=100*0.7,4,IF(D99&gt;=100*0.6,3.5,IF(D99&gt;=100*0.5,3,IF(D99&gt;=100*0.4,2,IF(D99&gt;=100*0.33,1,0))))))))</f>
        <v/>
      </c>
      <c r="W99">
        <f>IF(B99="","",IF(E99&lt;16.5,0,IF(E99&gt;=50*0.8,5,IF(E99&gt;=50*0.7,4,IF(E99&gt;=50*0.6,3.5,IF(E99&gt;=50*0.5,3,IF(E99&gt;=50*0.4,2,IF(E99&gt;=50*0.33,1,0))))))))</f>
        <v/>
      </c>
      <c r="X99">
        <f>IF(B99="","",IF(F99&lt;33.0,0,IF(F99&gt;=100*0.8,5,IF(F99&gt;=100*0.7,4,IF(F99&gt;=100*0.6,3.5,IF(F99&gt;=100*0.5,3,IF(F99&gt;=100*0.4,2,IF(F99&gt;=100*0.33,1,0))))))))</f>
        <v/>
      </c>
      <c r="Y99">
        <f>IF(B99="","",IF(G99&lt;16.5,0,IF(G99&gt;=50*0.8,5,IF(G99&gt;=50*0.7,4,IF(G99&gt;=50*0.6,3.5,IF(G99&gt;=50*0.5,3,IF(G99&gt;=50*0.4,2,IF(G99&gt;=50*0.33,1,0))))))))</f>
        <v/>
      </c>
      <c r="Z99">
        <f>IF(B99="","",IF(H99&lt;33.0,0,IF(H99&gt;=100*0.8,5,IF(H99&gt;=100*0.7,4,IF(H99&gt;=100*0.6,3.5,IF(H99&gt;=100*0.5,3,IF(H99&gt;=100*0.4,2,IF(H99&gt;=100*0.33,1,0))))))))</f>
        <v/>
      </c>
      <c r="AA99">
        <f>IF(B99="","",IF(I99&lt;33.0,0,IF(I99&gt;=100*0.8,5,IF(I99&gt;=100*0.7,4,IF(I99&gt;=100*0.6,3.5,IF(I99&gt;=100*0.5,3,IF(I99&gt;=100*0.4,2,IF(I99&gt;=100*0.33,1,0))))))))</f>
        <v/>
      </c>
      <c r="AB99">
        <f>IF(B99="","",IF(J99&lt;33.0,0,IF(J99&gt;=100*0.8,5,IF(J99&gt;=100*0.7,4,IF(J99&gt;=100*0.6,3.5,IF(J99&gt;=100*0.5,3,IF(J99&gt;=100*0.4,2,IF(J99&gt;=100*0.33,1,0))))))))</f>
        <v/>
      </c>
      <c r="AC99">
        <f>IF(B99="","",IF(K99&lt;33.0,0,IF(K99&gt;=100*0.8,5,IF(K99&gt;=100*0.7,4,IF(K99&gt;=100*0.6,3.5,IF(K99&gt;=100*0.5,3,IF(K99&gt;=100*0.4,2,IF(K99&gt;=100*0.33,1,0))))))))</f>
        <v/>
      </c>
      <c r="AD99">
        <f>IF(B99="","",IF(L99&lt;33.0,0,IF(L99&gt;=100*0.8,5,IF(L99&gt;=100*0.7,4,IF(L99&gt;=100*0.6,3.5,IF(L99&gt;=100*0.5,3,IF(L99&gt;=100*0.4,2,IF(L99&gt;=100*0.33,1,0))))))))</f>
        <v/>
      </c>
      <c r="AE99">
        <f>IF(B99="","",IF(M99&lt;33.0,0,IF(M99&gt;=100*0.8,5,IF(M99&gt;=100*0.7,4,IF(M99&gt;=100*0.6,3.5,IF(M99&gt;=100*0.5,3,IF(M99&gt;=100*0.4,2,IF(M99&gt;=100*0.33,1,0))))))))</f>
        <v/>
      </c>
      <c r="AF99">
        <f>IF(B99="","",IF(N99&lt;16.5,0,IF(N99&gt;=50*0.8,5,IF(N99&gt;=50*0.7,4,IF(N99&gt;=50*0.6,3.5,IF(N99&gt;=50*0.5,3,IF(N99&gt;=50*0.4,2,IF(N99&gt;=50*0.33,1,0))))))))</f>
        <v/>
      </c>
      <c r="AG99">
        <f>IF(B99="","",IF(O99&lt;33.0,0,IF(O99&gt;=100*0.8,5,IF(O99&gt;=100*0.7,4,IF(O99&gt;=100*0.6,3.5,IF(O99&gt;=100*0.5,3,IF(O99&gt;=100*0.4,2,IF(O99&gt;=100*0.33,1,0))))))))</f>
        <v/>
      </c>
      <c r="AH99">
        <f>IF(B99="","",IF(OR(U99=0,V99=0,W99=0,X99=0,Y99=0,Z99=0,AA99=0,AB99=0,AC99=0,AD99=0,AE99=0,AF99=0,AG99=0),1,0))</f>
        <v/>
      </c>
    </row>
    <row r="100">
      <c r="A100" s="3">
        <f>IF(B100="","",ROW()-2)</f>
        <v/>
      </c>
      <c r="P100" s="4">
        <f>IF(B100="","",SUM(C100:O100))</f>
        <v/>
      </c>
      <c r="Q100" s="5">
        <f>IF(B100="","",ROUND(P100/13,2))</f>
        <v/>
      </c>
      <c r="R100" s="5">
        <f>IF(B100="","",IF(AH100=1,0,MIN(5,ROUND((U100+V100+W100+X100+Y100+Z100+AA100+AB100+AC100+AD100+AE100+AF100+AG100)/13,2))))</f>
        <v/>
      </c>
      <c r="S100" s="3">
        <f>IF(B100="","",IF(R100&gt;=5,"A+",IF(R100&gt;=4,"A",IF(R100&gt;=3.5,"A-",IF(R100&gt;=3,"B",IF(R100&gt;=2,"C",IF(R100&gt;=1,"D","F")))))))</f>
        <v/>
      </c>
      <c r="T100" s="3">
        <f>IF(OR(B100="",S100="F"),"",COUNTIFS(P:P,"&gt;"&amp;P100,S:S,"&lt;&gt;F")+1)</f>
        <v/>
      </c>
      <c r="U100">
        <f>IF(B100="","",IF(C100&lt;33.0,0,IF(C100&gt;=100*0.8,5,IF(C100&gt;=100*0.7,4,IF(C100&gt;=100*0.6,3.5,IF(C100&gt;=100*0.5,3,IF(C100&gt;=100*0.4,2,IF(C100&gt;=100*0.33,1,0))))))))</f>
        <v/>
      </c>
      <c r="V100">
        <f>IF(B100="","",IF(D100&lt;33.0,0,IF(D100&gt;=100*0.8,5,IF(D100&gt;=100*0.7,4,IF(D100&gt;=100*0.6,3.5,IF(D100&gt;=100*0.5,3,IF(D100&gt;=100*0.4,2,IF(D100&gt;=100*0.33,1,0))))))))</f>
        <v/>
      </c>
      <c r="W100">
        <f>IF(B100="","",IF(E100&lt;16.5,0,IF(E100&gt;=50*0.8,5,IF(E100&gt;=50*0.7,4,IF(E100&gt;=50*0.6,3.5,IF(E100&gt;=50*0.5,3,IF(E100&gt;=50*0.4,2,IF(E100&gt;=50*0.33,1,0))))))))</f>
        <v/>
      </c>
      <c r="X100">
        <f>IF(B100="","",IF(F100&lt;33.0,0,IF(F100&gt;=100*0.8,5,IF(F100&gt;=100*0.7,4,IF(F100&gt;=100*0.6,3.5,IF(F100&gt;=100*0.5,3,IF(F100&gt;=100*0.4,2,IF(F100&gt;=100*0.33,1,0))))))))</f>
        <v/>
      </c>
      <c r="Y100">
        <f>IF(B100="","",IF(G100&lt;16.5,0,IF(G100&gt;=50*0.8,5,IF(G100&gt;=50*0.7,4,IF(G100&gt;=50*0.6,3.5,IF(G100&gt;=50*0.5,3,IF(G100&gt;=50*0.4,2,IF(G100&gt;=50*0.33,1,0))))))))</f>
        <v/>
      </c>
      <c r="Z100">
        <f>IF(B100="","",IF(H100&lt;33.0,0,IF(H100&gt;=100*0.8,5,IF(H100&gt;=100*0.7,4,IF(H100&gt;=100*0.6,3.5,IF(H100&gt;=100*0.5,3,IF(H100&gt;=100*0.4,2,IF(H100&gt;=100*0.33,1,0))))))))</f>
        <v/>
      </c>
      <c r="AA100">
        <f>IF(B100="","",IF(I100&lt;33.0,0,IF(I100&gt;=100*0.8,5,IF(I100&gt;=100*0.7,4,IF(I100&gt;=100*0.6,3.5,IF(I100&gt;=100*0.5,3,IF(I100&gt;=100*0.4,2,IF(I100&gt;=100*0.33,1,0))))))))</f>
        <v/>
      </c>
      <c r="AB100">
        <f>IF(B100="","",IF(J100&lt;33.0,0,IF(J100&gt;=100*0.8,5,IF(J100&gt;=100*0.7,4,IF(J100&gt;=100*0.6,3.5,IF(J100&gt;=100*0.5,3,IF(J100&gt;=100*0.4,2,IF(J100&gt;=100*0.33,1,0))))))))</f>
        <v/>
      </c>
      <c r="AC100">
        <f>IF(B100="","",IF(K100&lt;33.0,0,IF(K100&gt;=100*0.8,5,IF(K100&gt;=100*0.7,4,IF(K100&gt;=100*0.6,3.5,IF(K100&gt;=100*0.5,3,IF(K100&gt;=100*0.4,2,IF(K100&gt;=100*0.33,1,0))))))))</f>
        <v/>
      </c>
      <c r="AD100">
        <f>IF(B100="","",IF(L100&lt;33.0,0,IF(L100&gt;=100*0.8,5,IF(L100&gt;=100*0.7,4,IF(L100&gt;=100*0.6,3.5,IF(L100&gt;=100*0.5,3,IF(L100&gt;=100*0.4,2,IF(L100&gt;=100*0.33,1,0))))))))</f>
        <v/>
      </c>
      <c r="AE100">
        <f>IF(B100="","",IF(M100&lt;33.0,0,IF(M100&gt;=100*0.8,5,IF(M100&gt;=100*0.7,4,IF(M100&gt;=100*0.6,3.5,IF(M100&gt;=100*0.5,3,IF(M100&gt;=100*0.4,2,IF(M100&gt;=100*0.33,1,0))))))))</f>
        <v/>
      </c>
      <c r="AF100">
        <f>IF(B100="","",IF(N100&lt;16.5,0,IF(N100&gt;=50*0.8,5,IF(N100&gt;=50*0.7,4,IF(N100&gt;=50*0.6,3.5,IF(N100&gt;=50*0.5,3,IF(N100&gt;=50*0.4,2,IF(N100&gt;=50*0.33,1,0))))))))</f>
        <v/>
      </c>
      <c r="AG100">
        <f>IF(B100="","",IF(O100&lt;33.0,0,IF(O100&gt;=100*0.8,5,IF(O100&gt;=100*0.7,4,IF(O100&gt;=100*0.6,3.5,IF(O100&gt;=100*0.5,3,IF(O100&gt;=100*0.4,2,IF(O100&gt;=100*0.33,1,0))))))))</f>
        <v/>
      </c>
      <c r="AH100">
        <f>IF(B100="","",IF(OR(U100=0,V100=0,W100=0,X100=0,Y100=0,Z100=0,AA100=0,AB100=0,AC100=0,AD100=0,AE100=0,AF100=0,AG100=0),1,0))</f>
        <v/>
      </c>
    </row>
    <row r="101">
      <c r="A101" s="3">
        <f>IF(B101="","",ROW()-2)</f>
        <v/>
      </c>
      <c r="P101" s="4">
        <f>IF(B101="","",SUM(C101:O101))</f>
        <v/>
      </c>
      <c r="Q101" s="5">
        <f>IF(B101="","",ROUND(P101/13,2))</f>
        <v/>
      </c>
      <c r="R101" s="5">
        <f>IF(B101="","",IF(AH101=1,0,MIN(5,ROUND((U101+V101+W101+X101+Y101+Z101+AA101+AB101+AC101+AD101+AE101+AF101+AG101)/13,2))))</f>
        <v/>
      </c>
      <c r="S101" s="3">
        <f>IF(B101="","",IF(R101&gt;=5,"A+",IF(R101&gt;=4,"A",IF(R101&gt;=3.5,"A-",IF(R101&gt;=3,"B",IF(R101&gt;=2,"C",IF(R101&gt;=1,"D","F")))))))</f>
        <v/>
      </c>
      <c r="T101" s="3">
        <f>IF(OR(B101="",S101="F"),"",COUNTIFS(P:P,"&gt;"&amp;P101,S:S,"&lt;&gt;F")+1)</f>
        <v/>
      </c>
      <c r="U101">
        <f>IF(B101="","",IF(C101&lt;33.0,0,IF(C101&gt;=100*0.8,5,IF(C101&gt;=100*0.7,4,IF(C101&gt;=100*0.6,3.5,IF(C101&gt;=100*0.5,3,IF(C101&gt;=100*0.4,2,IF(C101&gt;=100*0.33,1,0))))))))</f>
        <v/>
      </c>
      <c r="V101">
        <f>IF(B101="","",IF(D101&lt;33.0,0,IF(D101&gt;=100*0.8,5,IF(D101&gt;=100*0.7,4,IF(D101&gt;=100*0.6,3.5,IF(D101&gt;=100*0.5,3,IF(D101&gt;=100*0.4,2,IF(D101&gt;=100*0.33,1,0))))))))</f>
        <v/>
      </c>
      <c r="W101">
        <f>IF(B101="","",IF(E101&lt;16.5,0,IF(E101&gt;=50*0.8,5,IF(E101&gt;=50*0.7,4,IF(E101&gt;=50*0.6,3.5,IF(E101&gt;=50*0.5,3,IF(E101&gt;=50*0.4,2,IF(E101&gt;=50*0.33,1,0))))))))</f>
        <v/>
      </c>
      <c r="X101">
        <f>IF(B101="","",IF(F101&lt;33.0,0,IF(F101&gt;=100*0.8,5,IF(F101&gt;=100*0.7,4,IF(F101&gt;=100*0.6,3.5,IF(F101&gt;=100*0.5,3,IF(F101&gt;=100*0.4,2,IF(F101&gt;=100*0.33,1,0))))))))</f>
        <v/>
      </c>
      <c r="Y101">
        <f>IF(B101="","",IF(G101&lt;16.5,0,IF(G101&gt;=50*0.8,5,IF(G101&gt;=50*0.7,4,IF(G101&gt;=50*0.6,3.5,IF(G101&gt;=50*0.5,3,IF(G101&gt;=50*0.4,2,IF(G101&gt;=50*0.33,1,0))))))))</f>
        <v/>
      </c>
      <c r="Z101">
        <f>IF(B101="","",IF(H101&lt;33.0,0,IF(H101&gt;=100*0.8,5,IF(H101&gt;=100*0.7,4,IF(H101&gt;=100*0.6,3.5,IF(H101&gt;=100*0.5,3,IF(H101&gt;=100*0.4,2,IF(H101&gt;=100*0.33,1,0))))))))</f>
        <v/>
      </c>
      <c r="AA101">
        <f>IF(B101="","",IF(I101&lt;33.0,0,IF(I101&gt;=100*0.8,5,IF(I101&gt;=100*0.7,4,IF(I101&gt;=100*0.6,3.5,IF(I101&gt;=100*0.5,3,IF(I101&gt;=100*0.4,2,IF(I101&gt;=100*0.33,1,0))))))))</f>
        <v/>
      </c>
      <c r="AB101">
        <f>IF(B101="","",IF(J101&lt;33.0,0,IF(J101&gt;=100*0.8,5,IF(J101&gt;=100*0.7,4,IF(J101&gt;=100*0.6,3.5,IF(J101&gt;=100*0.5,3,IF(J101&gt;=100*0.4,2,IF(J101&gt;=100*0.33,1,0))))))))</f>
        <v/>
      </c>
      <c r="AC101">
        <f>IF(B101="","",IF(K101&lt;33.0,0,IF(K101&gt;=100*0.8,5,IF(K101&gt;=100*0.7,4,IF(K101&gt;=100*0.6,3.5,IF(K101&gt;=100*0.5,3,IF(K101&gt;=100*0.4,2,IF(K101&gt;=100*0.33,1,0))))))))</f>
        <v/>
      </c>
      <c r="AD101">
        <f>IF(B101="","",IF(L101&lt;33.0,0,IF(L101&gt;=100*0.8,5,IF(L101&gt;=100*0.7,4,IF(L101&gt;=100*0.6,3.5,IF(L101&gt;=100*0.5,3,IF(L101&gt;=100*0.4,2,IF(L101&gt;=100*0.33,1,0))))))))</f>
        <v/>
      </c>
      <c r="AE101">
        <f>IF(B101="","",IF(M101&lt;33.0,0,IF(M101&gt;=100*0.8,5,IF(M101&gt;=100*0.7,4,IF(M101&gt;=100*0.6,3.5,IF(M101&gt;=100*0.5,3,IF(M101&gt;=100*0.4,2,IF(M101&gt;=100*0.33,1,0))))))))</f>
        <v/>
      </c>
      <c r="AF101">
        <f>IF(B101="","",IF(N101&lt;16.5,0,IF(N101&gt;=50*0.8,5,IF(N101&gt;=50*0.7,4,IF(N101&gt;=50*0.6,3.5,IF(N101&gt;=50*0.5,3,IF(N101&gt;=50*0.4,2,IF(N101&gt;=50*0.33,1,0))))))))</f>
        <v/>
      </c>
      <c r="AG101">
        <f>IF(B101="","",IF(O101&lt;33.0,0,IF(O101&gt;=100*0.8,5,IF(O101&gt;=100*0.7,4,IF(O101&gt;=100*0.6,3.5,IF(O101&gt;=100*0.5,3,IF(O101&gt;=100*0.4,2,IF(O101&gt;=100*0.33,1,0))))))))</f>
        <v/>
      </c>
      <c r="AH101">
        <f>IF(B101="","",IF(OR(U101=0,V101=0,W101=0,X101=0,Y101=0,Z101=0,AA101=0,AB101=0,AC101=0,AD101=0,AE101=0,AF101=0,AG101=0),1,0))</f>
        <v/>
      </c>
    </row>
    <row r="102">
      <c r="A102" s="3">
        <f>IF(B102="","",ROW()-2)</f>
        <v/>
      </c>
      <c r="P102" s="4">
        <f>IF(B102="","",SUM(C102:O102))</f>
        <v/>
      </c>
      <c r="Q102" s="5">
        <f>IF(B102="","",ROUND(P102/13,2))</f>
        <v/>
      </c>
      <c r="R102" s="5">
        <f>IF(B102="","",IF(AH102=1,0,MIN(5,ROUND((U102+V102+W102+X102+Y102+Z102+AA102+AB102+AC102+AD102+AE102+AF102+AG102)/13,2))))</f>
        <v/>
      </c>
      <c r="S102" s="3">
        <f>IF(B102="","",IF(R102&gt;=5,"A+",IF(R102&gt;=4,"A",IF(R102&gt;=3.5,"A-",IF(R102&gt;=3,"B",IF(R102&gt;=2,"C",IF(R102&gt;=1,"D","F")))))))</f>
        <v/>
      </c>
      <c r="T102" s="3">
        <f>IF(OR(B102="",S102="F"),"",COUNTIFS(P:P,"&gt;"&amp;P102,S:S,"&lt;&gt;F")+1)</f>
        <v/>
      </c>
      <c r="U102">
        <f>IF(B102="","",IF(C102&lt;33.0,0,IF(C102&gt;=100*0.8,5,IF(C102&gt;=100*0.7,4,IF(C102&gt;=100*0.6,3.5,IF(C102&gt;=100*0.5,3,IF(C102&gt;=100*0.4,2,IF(C102&gt;=100*0.33,1,0))))))))</f>
        <v/>
      </c>
      <c r="V102">
        <f>IF(B102="","",IF(D102&lt;33.0,0,IF(D102&gt;=100*0.8,5,IF(D102&gt;=100*0.7,4,IF(D102&gt;=100*0.6,3.5,IF(D102&gt;=100*0.5,3,IF(D102&gt;=100*0.4,2,IF(D102&gt;=100*0.33,1,0))))))))</f>
        <v/>
      </c>
      <c r="W102">
        <f>IF(B102="","",IF(E102&lt;16.5,0,IF(E102&gt;=50*0.8,5,IF(E102&gt;=50*0.7,4,IF(E102&gt;=50*0.6,3.5,IF(E102&gt;=50*0.5,3,IF(E102&gt;=50*0.4,2,IF(E102&gt;=50*0.33,1,0))))))))</f>
        <v/>
      </c>
      <c r="X102">
        <f>IF(B102="","",IF(F102&lt;33.0,0,IF(F102&gt;=100*0.8,5,IF(F102&gt;=100*0.7,4,IF(F102&gt;=100*0.6,3.5,IF(F102&gt;=100*0.5,3,IF(F102&gt;=100*0.4,2,IF(F102&gt;=100*0.33,1,0))))))))</f>
        <v/>
      </c>
      <c r="Y102">
        <f>IF(B102="","",IF(G102&lt;16.5,0,IF(G102&gt;=50*0.8,5,IF(G102&gt;=50*0.7,4,IF(G102&gt;=50*0.6,3.5,IF(G102&gt;=50*0.5,3,IF(G102&gt;=50*0.4,2,IF(G102&gt;=50*0.33,1,0))))))))</f>
        <v/>
      </c>
      <c r="Z102">
        <f>IF(B102="","",IF(H102&lt;33.0,0,IF(H102&gt;=100*0.8,5,IF(H102&gt;=100*0.7,4,IF(H102&gt;=100*0.6,3.5,IF(H102&gt;=100*0.5,3,IF(H102&gt;=100*0.4,2,IF(H102&gt;=100*0.33,1,0))))))))</f>
        <v/>
      </c>
      <c r="AA102">
        <f>IF(B102="","",IF(I102&lt;33.0,0,IF(I102&gt;=100*0.8,5,IF(I102&gt;=100*0.7,4,IF(I102&gt;=100*0.6,3.5,IF(I102&gt;=100*0.5,3,IF(I102&gt;=100*0.4,2,IF(I102&gt;=100*0.33,1,0))))))))</f>
        <v/>
      </c>
      <c r="AB102">
        <f>IF(B102="","",IF(J102&lt;33.0,0,IF(J102&gt;=100*0.8,5,IF(J102&gt;=100*0.7,4,IF(J102&gt;=100*0.6,3.5,IF(J102&gt;=100*0.5,3,IF(J102&gt;=100*0.4,2,IF(J102&gt;=100*0.33,1,0))))))))</f>
        <v/>
      </c>
      <c r="AC102">
        <f>IF(B102="","",IF(K102&lt;33.0,0,IF(K102&gt;=100*0.8,5,IF(K102&gt;=100*0.7,4,IF(K102&gt;=100*0.6,3.5,IF(K102&gt;=100*0.5,3,IF(K102&gt;=100*0.4,2,IF(K102&gt;=100*0.33,1,0))))))))</f>
        <v/>
      </c>
      <c r="AD102">
        <f>IF(B102="","",IF(L102&lt;33.0,0,IF(L102&gt;=100*0.8,5,IF(L102&gt;=100*0.7,4,IF(L102&gt;=100*0.6,3.5,IF(L102&gt;=100*0.5,3,IF(L102&gt;=100*0.4,2,IF(L102&gt;=100*0.33,1,0))))))))</f>
        <v/>
      </c>
      <c r="AE102">
        <f>IF(B102="","",IF(M102&lt;33.0,0,IF(M102&gt;=100*0.8,5,IF(M102&gt;=100*0.7,4,IF(M102&gt;=100*0.6,3.5,IF(M102&gt;=100*0.5,3,IF(M102&gt;=100*0.4,2,IF(M102&gt;=100*0.33,1,0))))))))</f>
        <v/>
      </c>
      <c r="AF102">
        <f>IF(B102="","",IF(N102&lt;16.5,0,IF(N102&gt;=50*0.8,5,IF(N102&gt;=50*0.7,4,IF(N102&gt;=50*0.6,3.5,IF(N102&gt;=50*0.5,3,IF(N102&gt;=50*0.4,2,IF(N102&gt;=50*0.33,1,0))))))))</f>
        <v/>
      </c>
      <c r="AG102">
        <f>IF(B102="","",IF(O102&lt;33.0,0,IF(O102&gt;=100*0.8,5,IF(O102&gt;=100*0.7,4,IF(O102&gt;=100*0.6,3.5,IF(O102&gt;=100*0.5,3,IF(O102&gt;=100*0.4,2,IF(O102&gt;=100*0.33,1,0))))))))</f>
        <v/>
      </c>
      <c r="AH102">
        <f>IF(B102="","",IF(OR(U102=0,V102=0,W102=0,X102=0,Y102=0,Z102=0,AA102=0,AB102=0,AC102=0,AD102=0,AE102=0,AF102=0,AG102=0),1,0))</f>
        <v/>
      </c>
    </row>
    <row r="103">
      <c r="A103" s="3">
        <f>IF(B103="","",ROW()-2)</f>
        <v/>
      </c>
      <c r="P103" s="4">
        <f>IF(B103="","",SUM(C103:O103))</f>
        <v/>
      </c>
      <c r="Q103" s="5">
        <f>IF(B103="","",ROUND(P103/13,2))</f>
        <v/>
      </c>
      <c r="R103" s="5">
        <f>IF(B103="","",IF(AH103=1,0,MIN(5,ROUND((U103+V103+W103+X103+Y103+Z103+AA103+AB103+AC103+AD103+AE103+AF103+AG103)/13,2))))</f>
        <v/>
      </c>
      <c r="S103" s="3">
        <f>IF(B103="","",IF(R103&gt;=5,"A+",IF(R103&gt;=4,"A",IF(R103&gt;=3.5,"A-",IF(R103&gt;=3,"B",IF(R103&gt;=2,"C",IF(R103&gt;=1,"D","F")))))))</f>
        <v/>
      </c>
      <c r="T103" s="3">
        <f>IF(OR(B103="",S103="F"),"",COUNTIFS(P:P,"&gt;"&amp;P103,S:S,"&lt;&gt;F")+1)</f>
        <v/>
      </c>
      <c r="U103">
        <f>IF(B103="","",IF(C103&lt;33.0,0,IF(C103&gt;=100*0.8,5,IF(C103&gt;=100*0.7,4,IF(C103&gt;=100*0.6,3.5,IF(C103&gt;=100*0.5,3,IF(C103&gt;=100*0.4,2,IF(C103&gt;=100*0.33,1,0))))))))</f>
        <v/>
      </c>
      <c r="V103">
        <f>IF(B103="","",IF(D103&lt;33.0,0,IF(D103&gt;=100*0.8,5,IF(D103&gt;=100*0.7,4,IF(D103&gt;=100*0.6,3.5,IF(D103&gt;=100*0.5,3,IF(D103&gt;=100*0.4,2,IF(D103&gt;=100*0.33,1,0))))))))</f>
        <v/>
      </c>
      <c r="W103">
        <f>IF(B103="","",IF(E103&lt;16.5,0,IF(E103&gt;=50*0.8,5,IF(E103&gt;=50*0.7,4,IF(E103&gt;=50*0.6,3.5,IF(E103&gt;=50*0.5,3,IF(E103&gt;=50*0.4,2,IF(E103&gt;=50*0.33,1,0))))))))</f>
        <v/>
      </c>
      <c r="X103">
        <f>IF(B103="","",IF(F103&lt;33.0,0,IF(F103&gt;=100*0.8,5,IF(F103&gt;=100*0.7,4,IF(F103&gt;=100*0.6,3.5,IF(F103&gt;=100*0.5,3,IF(F103&gt;=100*0.4,2,IF(F103&gt;=100*0.33,1,0))))))))</f>
        <v/>
      </c>
      <c r="Y103">
        <f>IF(B103="","",IF(G103&lt;16.5,0,IF(G103&gt;=50*0.8,5,IF(G103&gt;=50*0.7,4,IF(G103&gt;=50*0.6,3.5,IF(G103&gt;=50*0.5,3,IF(G103&gt;=50*0.4,2,IF(G103&gt;=50*0.33,1,0))))))))</f>
        <v/>
      </c>
      <c r="Z103">
        <f>IF(B103="","",IF(H103&lt;33.0,0,IF(H103&gt;=100*0.8,5,IF(H103&gt;=100*0.7,4,IF(H103&gt;=100*0.6,3.5,IF(H103&gt;=100*0.5,3,IF(H103&gt;=100*0.4,2,IF(H103&gt;=100*0.33,1,0))))))))</f>
        <v/>
      </c>
      <c r="AA103">
        <f>IF(B103="","",IF(I103&lt;33.0,0,IF(I103&gt;=100*0.8,5,IF(I103&gt;=100*0.7,4,IF(I103&gt;=100*0.6,3.5,IF(I103&gt;=100*0.5,3,IF(I103&gt;=100*0.4,2,IF(I103&gt;=100*0.33,1,0))))))))</f>
        <v/>
      </c>
      <c r="AB103">
        <f>IF(B103="","",IF(J103&lt;33.0,0,IF(J103&gt;=100*0.8,5,IF(J103&gt;=100*0.7,4,IF(J103&gt;=100*0.6,3.5,IF(J103&gt;=100*0.5,3,IF(J103&gt;=100*0.4,2,IF(J103&gt;=100*0.33,1,0))))))))</f>
        <v/>
      </c>
      <c r="AC103">
        <f>IF(B103="","",IF(K103&lt;33.0,0,IF(K103&gt;=100*0.8,5,IF(K103&gt;=100*0.7,4,IF(K103&gt;=100*0.6,3.5,IF(K103&gt;=100*0.5,3,IF(K103&gt;=100*0.4,2,IF(K103&gt;=100*0.33,1,0))))))))</f>
        <v/>
      </c>
      <c r="AD103">
        <f>IF(B103="","",IF(L103&lt;33.0,0,IF(L103&gt;=100*0.8,5,IF(L103&gt;=100*0.7,4,IF(L103&gt;=100*0.6,3.5,IF(L103&gt;=100*0.5,3,IF(L103&gt;=100*0.4,2,IF(L103&gt;=100*0.33,1,0))))))))</f>
        <v/>
      </c>
      <c r="AE103">
        <f>IF(B103="","",IF(M103&lt;33.0,0,IF(M103&gt;=100*0.8,5,IF(M103&gt;=100*0.7,4,IF(M103&gt;=100*0.6,3.5,IF(M103&gt;=100*0.5,3,IF(M103&gt;=100*0.4,2,IF(M103&gt;=100*0.33,1,0))))))))</f>
        <v/>
      </c>
      <c r="AF103">
        <f>IF(B103="","",IF(N103&lt;16.5,0,IF(N103&gt;=50*0.8,5,IF(N103&gt;=50*0.7,4,IF(N103&gt;=50*0.6,3.5,IF(N103&gt;=50*0.5,3,IF(N103&gt;=50*0.4,2,IF(N103&gt;=50*0.33,1,0))))))))</f>
        <v/>
      </c>
      <c r="AG103">
        <f>IF(B103="","",IF(O103&lt;33.0,0,IF(O103&gt;=100*0.8,5,IF(O103&gt;=100*0.7,4,IF(O103&gt;=100*0.6,3.5,IF(O103&gt;=100*0.5,3,IF(O103&gt;=100*0.4,2,IF(O103&gt;=100*0.33,1,0))))))))</f>
        <v/>
      </c>
      <c r="AH103">
        <f>IF(B103="","",IF(OR(U103=0,V103=0,W103=0,X103=0,Y103=0,Z103=0,AA103=0,AB103=0,AC103=0,AD103=0,AE103=0,AF103=0,AG103=0),1,0))</f>
        <v/>
      </c>
    </row>
    <row r="104">
      <c r="A104" s="3">
        <f>IF(B104="","",ROW()-2)</f>
        <v/>
      </c>
      <c r="P104" s="4">
        <f>IF(B104="","",SUM(C104:O104))</f>
        <v/>
      </c>
      <c r="Q104" s="5">
        <f>IF(B104="","",ROUND(P104/13,2))</f>
        <v/>
      </c>
      <c r="R104" s="5">
        <f>IF(B104="","",IF(AH104=1,0,MIN(5,ROUND((U104+V104+W104+X104+Y104+Z104+AA104+AB104+AC104+AD104+AE104+AF104+AG104)/13,2))))</f>
        <v/>
      </c>
      <c r="S104" s="3">
        <f>IF(B104="","",IF(R104&gt;=5,"A+",IF(R104&gt;=4,"A",IF(R104&gt;=3.5,"A-",IF(R104&gt;=3,"B",IF(R104&gt;=2,"C",IF(R104&gt;=1,"D","F")))))))</f>
        <v/>
      </c>
      <c r="T104" s="3">
        <f>IF(OR(B104="",S104="F"),"",COUNTIFS(P:P,"&gt;"&amp;P104,S:S,"&lt;&gt;F")+1)</f>
        <v/>
      </c>
      <c r="U104">
        <f>IF(B104="","",IF(C104&lt;33.0,0,IF(C104&gt;=100*0.8,5,IF(C104&gt;=100*0.7,4,IF(C104&gt;=100*0.6,3.5,IF(C104&gt;=100*0.5,3,IF(C104&gt;=100*0.4,2,IF(C104&gt;=100*0.33,1,0))))))))</f>
        <v/>
      </c>
      <c r="V104">
        <f>IF(B104="","",IF(D104&lt;33.0,0,IF(D104&gt;=100*0.8,5,IF(D104&gt;=100*0.7,4,IF(D104&gt;=100*0.6,3.5,IF(D104&gt;=100*0.5,3,IF(D104&gt;=100*0.4,2,IF(D104&gt;=100*0.33,1,0))))))))</f>
        <v/>
      </c>
      <c r="W104">
        <f>IF(B104="","",IF(E104&lt;16.5,0,IF(E104&gt;=50*0.8,5,IF(E104&gt;=50*0.7,4,IF(E104&gt;=50*0.6,3.5,IF(E104&gt;=50*0.5,3,IF(E104&gt;=50*0.4,2,IF(E104&gt;=50*0.33,1,0))))))))</f>
        <v/>
      </c>
      <c r="X104">
        <f>IF(B104="","",IF(F104&lt;33.0,0,IF(F104&gt;=100*0.8,5,IF(F104&gt;=100*0.7,4,IF(F104&gt;=100*0.6,3.5,IF(F104&gt;=100*0.5,3,IF(F104&gt;=100*0.4,2,IF(F104&gt;=100*0.33,1,0))))))))</f>
        <v/>
      </c>
      <c r="Y104">
        <f>IF(B104="","",IF(G104&lt;16.5,0,IF(G104&gt;=50*0.8,5,IF(G104&gt;=50*0.7,4,IF(G104&gt;=50*0.6,3.5,IF(G104&gt;=50*0.5,3,IF(G104&gt;=50*0.4,2,IF(G104&gt;=50*0.33,1,0))))))))</f>
        <v/>
      </c>
      <c r="Z104">
        <f>IF(B104="","",IF(H104&lt;33.0,0,IF(H104&gt;=100*0.8,5,IF(H104&gt;=100*0.7,4,IF(H104&gt;=100*0.6,3.5,IF(H104&gt;=100*0.5,3,IF(H104&gt;=100*0.4,2,IF(H104&gt;=100*0.33,1,0))))))))</f>
        <v/>
      </c>
      <c r="AA104">
        <f>IF(B104="","",IF(I104&lt;33.0,0,IF(I104&gt;=100*0.8,5,IF(I104&gt;=100*0.7,4,IF(I104&gt;=100*0.6,3.5,IF(I104&gt;=100*0.5,3,IF(I104&gt;=100*0.4,2,IF(I104&gt;=100*0.33,1,0))))))))</f>
        <v/>
      </c>
      <c r="AB104">
        <f>IF(B104="","",IF(J104&lt;33.0,0,IF(J104&gt;=100*0.8,5,IF(J104&gt;=100*0.7,4,IF(J104&gt;=100*0.6,3.5,IF(J104&gt;=100*0.5,3,IF(J104&gt;=100*0.4,2,IF(J104&gt;=100*0.33,1,0))))))))</f>
        <v/>
      </c>
      <c r="AC104">
        <f>IF(B104="","",IF(K104&lt;33.0,0,IF(K104&gt;=100*0.8,5,IF(K104&gt;=100*0.7,4,IF(K104&gt;=100*0.6,3.5,IF(K104&gt;=100*0.5,3,IF(K104&gt;=100*0.4,2,IF(K104&gt;=100*0.33,1,0))))))))</f>
        <v/>
      </c>
      <c r="AD104">
        <f>IF(B104="","",IF(L104&lt;33.0,0,IF(L104&gt;=100*0.8,5,IF(L104&gt;=100*0.7,4,IF(L104&gt;=100*0.6,3.5,IF(L104&gt;=100*0.5,3,IF(L104&gt;=100*0.4,2,IF(L104&gt;=100*0.33,1,0))))))))</f>
        <v/>
      </c>
      <c r="AE104">
        <f>IF(B104="","",IF(M104&lt;33.0,0,IF(M104&gt;=100*0.8,5,IF(M104&gt;=100*0.7,4,IF(M104&gt;=100*0.6,3.5,IF(M104&gt;=100*0.5,3,IF(M104&gt;=100*0.4,2,IF(M104&gt;=100*0.33,1,0))))))))</f>
        <v/>
      </c>
      <c r="AF104">
        <f>IF(B104="","",IF(N104&lt;16.5,0,IF(N104&gt;=50*0.8,5,IF(N104&gt;=50*0.7,4,IF(N104&gt;=50*0.6,3.5,IF(N104&gt;=50*0.5,3,IF(N104&gt;=50*0.4,2,IF(N104&gt;=50*0.33,1,0))))))))</f>
        <v/>
      </c>
      <c r="AG104">
        <f>IF(B104="","",IF(O104&lt;33.0,0,IF(O104&gt;=100*0.8,5,IF(O104&gt;=100*0.7,4,IF(O104&gt;=100*0.6,3.5,IF(O104&gt;=100*0.5,3,IF(O104&gt;=100*0.4,2,IF(O104&gt;=100*0.33,1,0))))))))</f>
        <v/>
      </c>
      <c r="AH104">
        <f>IF(B104="","",IF(OR(U104=0,V104=0,W104=0,X104=0,Y104=0,Z104=0,AA104=0,AB104=0,AC104=0,AD104=0,AE104=0,AF104=0,AG104=0),1,0))</f>
        <v/>
      </c>
    </row>
    <row r="105">
      <c r="A105" s="3">
        <f>IF(B105="","",ROW()-2)</f>
        <v/>
      </c>
      <c r="P105" s="4">
        <f>IF(B105="","",SUM(C105:O105))</f>
        <v/>
      </c>
      <c r="Q105" s="5">
        <f>IF(B105="","",ROUND(P105/13,2))</f>
        <v/>
      </c>
      <c r="R105" s="5">
        <f>IF(B105="","",IF(AH105=1,0,MIN(5,ROUND((U105+V105+W105+X105+Y105+Z105+AA105+AB105+AC105+AD105+AE105+AF105+AG105)/13,2))))</f>
        <v/>
      </c>
      <c r="S105" s="3">
        <f>IF(B105="","",IF(R105&gt;=5,"A+",IF(R105&gt;=4,"A",IF(R105&gt;=3.5,"A-",IF(R105&gt;=3,"B",IF(R105&gt;=2,"C",IF(R105&gt;=1,"D","F")))))))</f>
        <v/>
      </c>
      <c r="T105" s="3">
        <f>IF(OR(B105="",S105="F"),"",COUNTIFS(P:P,"&gt;"&amp;P105,S:S,"&lt;&gt;F")+1)</f>
        <v/>
      </c>
      <c r="U105">
        <f>IF(B105="","",IF(C105&lt;33.0,0,IF(C105&gt;=100*0.8,5,IF(C105&gt;=100*0.7,4,IF(C105&gt;=100*0.6,3.5,IF(C105&gt;=100*0.5,3,IF(C105&gt;=100*0.4,2,IF(C105&gt;=100*0.33,1,0))))))))</f>
        <v/>
      </c>
      <c r="V105">
        <f>IF(B105="","",IF(D105&lt;33.0,0,IF(D105&gt;=100*0.8,5,IF(D105&gt;=100*0.7,4,IF(D105&gt;=100*0.6,3.5,IF(D105&gt;=100*0.5,3,IF(D105&gt;=100*0.4,2,IF(D105&gt;=100*0.33,1,0))))))))</f>
        <v/>
      </c>
      <c r="W105">
        <f>IF(B105="","",IF(E105&lt;16.5,0,IF(E105&gt;=50*0.8,5,IF(E105&gt;=50*0.7,4,IF(E105&gt;=50*0.6,3.5,IF(E105&gt;=50*0.5,3,IF(E105&gt;=50*0.4,2,IF(E105&gt;=50*0.33,1,0))))))))</f>
        <v/>
      </c>
      <c r="X105">
        <f>IF(B105="","",IF(F105&lt;33.0,0,IF(F105&gt;=100*0.8,5,IF(F105&gt;=100*0.7,4,IF(F105&gt;=100*0.6,3.5,IF(F105&gt;=100*0.5,3,IF(F105&gt;=100*0.4,2,IF(F105&gt;=100*0.33,1,0))))))))</f>
        <v/>
      </c>
      <c r="Y105">
        <f>IF(B105="","",IF(G105&lt;16.5,0,IF(G105&gt;=50*0.8,5,IF(G105&gt;=50*0.7,4,IF(G105&gt;=50*0.6,3.5,IF(G105&gt;=50*0.5,3,IF(G105&gt;=50*0.4,2,IF(G105&gt;=50*0.33,1,0))))))))</f>
        <v/>
      </c>
      <c r="Z105">
        <f>IF(B105="","",IF(H105&lt;33.0,0,IF(H105&gt;=100*0.8,5,IF(H105&gt;=100*0.7,4,IF(H105&gt;=100*0.6,3.5,IF(H105&gt;=100*0.5,3,IF(H105&gt;=100*0.4,2,IF(H105&gt;=100*0.33,1,0))))))))</f>
        <v/>
      </c>
      <c r="AA105">
        <f>IF(B105="","",IF(I105&lt;33.0,0,IF(I105&gt;=100*0.8,5,IF(I105&gt;=100*0.7,4,IF(I105&gt;=100*0.6,3.5,IF(I105&gt;=100*0.5,3,IF(I105&gt;=100*0.4,2,IF(I105&gt;=100*0.33,1,0))))))))</f>
        <v/>
      </c>
      <c r="AB105">
        <f>IF(B105="","",IF(J105&lt;33.0,0,IF(J105&gt;=100*0.8,5,IF(J105&gt;=100*0.7,4,IF(J105&gt;=100*0.6,3.5,IF(J105&gt;=100*0.5,3,IF(J105&gt;=100*0.4,2,IF(J105&gt;=100*0.33,1,0))))))))</f>
        <v/>
      </c>
      <c r="AC105">
        <f>IF(B105="","",IF(K105&lt;33.0,0,IF(K105&gt;=100*0.8,5,IF(K105&gt;=100*0.7,4,IF(K105&gt;=100*0.6,3.5,IF(K105&gt;=100*0.5,3,IF(K105&gt;=100*0.4,2,IF(K105&gt;=100*0.33,1,0))))))))</f>
        <v/>
      </c>
      <c r="AD105">
        <f>IF(B105="","",IF(L105&lt;33.0,0,IF(L105&gt;=100*0.8,5,IF(L105&gt;=100*0.7,4,IF(L105&gt;=100*0.6,3.5,IF(L105&gt;=100*0.5,3,IF(L105&gt;=100*0.4,2,IF(L105&gt;=100*0.33,1,0))))))))</f>
        <v/>
      </c>
      <c r="AE105">
        <f>IF(B105="","",IF(M105&lt;33.0,0,IF(M105&gt;=100*0.8,5,IF(M105&gt;=100*0.7,4,IF(M105&gt;=100*0.6,3.5,IF(M105&gt;=100*0.5,3,IF(M105&gt;=100*0.4,2,IF(M105&gt;=100*0.33,1,0))))))))</f>
        <v/>
      </c>
      <c r="AF105">
        <f>IF(B105="","",IF(N105&lt;16.5,0,IF(N105&gt;=50*0.8,5,IF(N105&gt;=50*0.7,4,IF(N105&gt;=50*0.6,3.5,IF(N105&gt;=50*0.5,3,IF(N105&gt;=50*0.4,2,IF(N105&gt;=50*0.33,1,0))))))))</f>
        <v/>
      </c>
      <c r="AG105">
        <f>IF(B105="","",IF(O105&lt;33.0,0,IF(O105&gt;=100*0.8,5,IF(O105&gt;=100*0.7,4,IF(O105&gt;=100*0.6,3.5,IF(O105&gt;=100*0.5,3,IF(O105&gt;=100*0.4,2,IF(O105&gt;=100*0.33,1,0))))))))</f>
        <v/>
      </c>
      <c r="AH105">
        <f>IF(B105="","",IF(OR(U105=0,V105=0,W105=0,X105=0,Y105=0,Z105=0,AA105=0,AB105=0,AC105=0,AD105=0,AE105=0,AF105=0,AG105=0),1,0))</f>
        <v/>
      </c>
    </row>
    <row r="106">
      <c r="A106" s="3">
        <f>IF(B106="","",ROW()-2)</f>
        <v/>
      </c>
      <c r="P106" s="4">
        <f>IF(B106="","",SUM(C106:O106))</f>
        <v/>
      </c>
      <c r="Q106" s="5">
        <f>IF(B106="","",ROUND(P106/13,2))</f>
        <v/>
      </c>
      <c r="R106" s="5">
        <f>IF(B106="","",IF(AH106=1,0,MIN(5,ROUND((U106+V106+W106+X106+Y106+Z106+AA106+AB106+AC106+AD106+AE106+AF106+AG106)/13,2))))</f>
        <v/>
      </c>
      <c r="S106" s="3">
        <f>IF(B106="","",IF(R106&gt;=5,"A+",IF(R106&gt;=4,"A",IF(R106&gt;=3.5,"A-",IF(R106&gt;=3,"B",IF(R106&gt;=2,"C",IF(R106&gt;=1,"D","F")))))))</f>
        <v/>
      </c>
      <c r="T106" s="3">
        <f>IF(OR(B106="",S106="F"),"",COUNTIFS(P:P,"&gt;"&amp;P106,S:S,"&lt;&gt;F")+1)</f>
        <v/>
      </c>
      <c r="U106">
        <f>IF(B106="","",IF(C106&lt;33.0,0,IF(C106&gt;=100*0.8,5,IF(C106&gt;=100*0.7,4,IF(C106&gt;=100*0.6,3.5,IF(C106&gt;=100*0.5,3,IF(C106&gt;=100*0.4,2,IF(C106&gt;=100*0.33,1,0))))))))</f>
        <v/>
      </c>
      <c r="V106">
        <f>IF(B106="","",IF(D106&lt;33.0,0,IF(D106&gt;=100*0.8,5,IF(D106&gt;=100*0.7,4,IF(D106&gt;=100*0.6,3.5,IF(D106&gt;=100*0.5,3,IF(D106&gt;=100*0.4,2,IF(D106&gt;=100*0.33,1,0))))))))</f>
        <v/>
      </c>
      <c r="W106">
        <f>IF(B106="","",IF(E106&lt;16.5,0,IF(E106&gt;=50*0.8,5,IF(E106&gt;=50*0.7,4,IF(E106&gt;=50*0.6,3.5,IF(E106&gt;=50*0.5,3,IF(E106&gt;=50*0.4,2,IF(E106&gt;=50*0.33,1,0))))))))</f>
        <v/>
      </c>
      <c r="X106">
        <f>IF(B106="","",IF(F106&lt;33.0,0,IF(F106&gt;=100*0.8,5,IF(F106&gt;=100*0.7,4,IF(F106&gt;=100*0.6,3.5,IF(F106&gt;=100*0.5,3,IF(F106&gt;=100*0.4,2,IF(F106&gt;=100*0.33,1,0))))))))</f>
        <v/>
      </c>
      <c r="Y106">
        <f>IF(B106="","",IF(G106&lt;16.5,0,IF(G106&gt;=50*0.8,5,IF(G106&gt;=50*0.7,4,IF(G106&gt;=50*0.6,3.5,IF(G106&gt;=50*0.5,3,IF(G106&gt;=50*0.4,2,IF(G106&gt;=50*0.33,1,0))))))))</f>
        <v/>
      </c>
      <c r="Z106">
        <f>IF(B106="","",IF(H106&lt;33.0,0,IF(H106&gt;=100*0.8,5,IF(H106&gt;=100*0.7,4,IF(H106&gt;=100*0.6,3.5,IF(H106&gt;=100*0.5,3,IF(H106&gt;=100*0.4,2,IF(H106&gt;=100*0.33,1,0))))))))</f>
        <v/>
      </c>
      <c r="AA106">
        <f>IF(B106="","",IF(I106&lt;33.0,0,IF(I106&gt;=100*0.8,5,IF(I106&gt;=100*0.7,4,IF(I106&gt;=100*0.6,3.5,IF(I106&gt;=100*0.5,3,IF(I106&gt;=100*0.4,2,IF(I106&gt;=100*0.33,1,0))))))))</f>
        <v/>
      </c>
      <c r="AB106">
        <f>IF(B106="","",IF(J106&lt;33.0,0,IF(J106&gt;=100*0.8,5,IF(J106&gt;=100*0.7,4,IF(J106&gt;=100*0.6,3.5,IF(J106&gt;=100*0.5,3,IF(J106&gt;=100*0.4,2,IF(J106&gt;=100*0.33,1,0))))))))</f>
        <v/>
      </c>
      <c r="AC106">
        <f>IF(B106="","",IF(K106&lt;33.0,0,IF(K106&gt;=100*0.8,5,IF(K106&gt;=100*0.7,4,IF(K106&gt;=100*0.6,3.5,IF(K106&gt;=100*0.5,3,IF(K106&gt;=100*0.4,2,IF(K106&gt;=100*0.33,1,0))))))))</f>
        <v/>
      </c>
      <c r="AD106">
        <f>IF(B106="","",IF(L106&lt;33.0,0,IF(L106&gt;=100*0.8,5,IF(L106&gt;=100*0.7,4,IF(L106&gt;=100*0.6,3.5,IF(L106&gt;=100*0.5,3,IF(L106&gt;=100*0.4,2,IF(L106&gt;=100*0.33,1,0))))))))</f>
        <v/>
      </c>
      <c r="AE106">
        <f>IF(B106="","",IF(M106&lt;33.0,0,IF(M106&gt;=100*0.8,5,IF(M106&gt;=100*0.7,4,IF(M106&gt;=100*0.6,3.5,IF(M106&gt;=100*0.5,3,IF(M106&gt;=100*0.4,2,IF(M106&gt;=100*0.33,1,0))))))))</f>
        <v/>
      </c>
      <c r="AF106">
        <f>IF(B106="","",IF(N106&lt;16.5,0,IF(N106&gt;=50*0.8,5,IF(N106&gt;=50*0.7,4,IF(N106&gt;=50*0.6,3.5,IF(N106&gt;=50*0.5,3,IF(N106&gt;=50*0.4,2,IF(N106&gt;=50*0.33,1,0))))))))</f>
        <v/>
      </c>
      <c r="AG106">
        <f>IF(B106="","",IF(O106&lt;33.0,0,IF(O106&gt;=100*0.8,5,IF(O106&gt;=100*0.7,4,IF(O106&gt;=100*0.6,3.5,IF(O106&gt;=100*0.5,3,IF(O106&gt;=100*0.4,2,IF(O106&gt;=100*0.33,1,0))))))))</f>
        <v/>
      </c>
      <c r="AH106">
        <f>IF(B106="","",IF(OR(U106=0,V106=0,W106=0,X106=0,Y106=0,Z106=0,AA106=0,AB106=0,AC106=0,AD106=0,AE106=0,AF106=0,AG106=0),1,0))</f>
        <v/>
      </c>
    </row>
    <row r="107">
      <c r="A107" s="3">
        <f>IF(B107="","",ROW()-2)</f>
        <v/>
      </c>
      <c r="P107" s="4">
        <f>IF(B107="","",SUM(C107:O107))</f>
        <v/>
      </c>
      <c r="Q107" s="5">
        <f>IF(B107="","",ROUND(P107/13,2))</f>
        <v/>
      </c>
      <c r="R107" s="5">
        <f>IF(B107="","",IF(AH107=1,0,MIN(5,ROUND((U107+V107+W107+X107+Y107+Z107+AA107+AB107+AC107+AD107+AE107+AF107+AG107)/13,2))))</f>
        <v/>
      </c>
      <c r="S107" s="3">
        <f>IF(B107="","",IF(R107&gt;=5,"A+",IF(R107&gt;=4,"A",IF(R107&gt;=3.5,"A-",IF(R107&gt;=3,"B",IF(R107&gt;=2,"C",IF(R107&gt;=1,"D","F")))))))</f>
        <v/>
      </c>
      <c r="T107" s="3">
        <f>IF(OR(B107="",S107="F"),"",COUNTIFS(P:P,"&gt;"&amp;P107,S:S,"&lt;&gt;F")+1)</f>
        <v/>
      </c>
      <c r="U107">
        <f>IF(B107="","",IF(C107&lt;33.0,0,IF(C107&gt;=100*0.8,5,IF(C107&gt;=100*0.7,4,IF(C107&gt;=100*0.6,3.5,IF(C107&gt;=100*0.5,3,IF(C107&gt;=100*0.4,2,IF(C107&gt;=100*0.33,1,0))))))))</f>
        <v/>
      </c>
      <c r="V107">
        <f>IF(B107="","",IF(D107&lt;33.0,0,IF(D107&gt;=100*0.8,5,IF(D107&gt;=100*0.7,4,IF(D107&gt;=100*0.6,3.5,IF(D107&gt;=100*0.5,3,IF(D107&gt;=100*0.4,2,IF(D107&gt;=100*0.33,1,0))))))))</f>
        <v/>
      </c>
      <c r="W107">
        <f>IF(B107="","",IF(E107&lt;16.5,0,IF(E107&gt;=50*0.8,5,IF(E107&gt;=50*0.7,4,IF(E107&gt;=50*0.6,3.5,IF(E107&gt;=50*0.5,3,IF(E107&gt;=50*0.4,2,IF(E107&gt;=50*0.33,1,0))))))))</f>
        <v/>
      </c>
      <c r="X107">
        <f>IF(B107="","",IF(F107&lt;33.0,0,IF(F107&gt;=100*0.8,5,IF(F107&gt;=100*0.7,4,IF(F107&gt;=100*0.6,3.5,IF(F107&gt;=100*0.5,3,IF(F107&gt;=100*0.4,2,IF(F107&gt;=100*0.33,1,0))))))))</f>
        <v/>
      </c>
      <c r="Y107">
        <f>IF(B107="","",IF(G107&lt;16.5,0,IF(G107&gt;=50*0.8,5,IF(G107&gt;=50*0.7,4,IF(G107&gt;=50*0.6,3.5,IF(G107&gt;=50*0.5,3,IF(G107&gt;=50*0.4,2,IF(G107&gt;=50*0.33,1,0))))))))</f>
        <v/>
      </c>
      <c r="Z107">
        <f>IF(B107="","",IF(H107&lt;33.0,0,IF(H107&gt;=100*0.8,5,IF(H107&gt;=100*0.7,4,IF(H107&gt;=100*0.6,3.5,IF(H107&gt;=100*0.5,3,IF(H107&gt;=100*0.4,2,IF(H107&gt;=100*0.33,1,0))))))))</f>
        <v/>
      </c>
      <c r="AA107">
        <f>IF(B107="","",IF(I107&lt;33.0,0,IF(I107&gt;=100*0.8,5,IF(I107&gt;=100*0.7,4,IF(I107&gt;=100*0.6,3.5,IF(I107&gt;=100*0.5,3,IF(I107&gt;=100*0.4,2,IF(I107&gt;=100*0.33,1,0))))))))</f>
        <v/>
      </c>
      <c r="AB107">
        <f>IF(B107="","",IF(J107&lt;33.0,0,IF(J107&gt;=100*0.8,5,IF(J107&gt;=100*0.7,4,IF(J107&gt;=100*0.6,3.5,IF(J107&gt;=100*0.5,3,IF(J107&gt;=100*0.4,2,IF(J107&gt;=100*0.33,1,0))))))))</f>
        <v/>
      </c>
      <c r="AC107">
        <f>IF(B107="","",IF(K107&lt;33.0,0,IF(K107&gt;=100*0.8,5,IF(K107&gt;=100*0.7,4,IF(K107&gt;=100*0.6,3.5,IF(K107&gt;=100*0.5,3,IF(K107&gt;=100*0.4,2,IF(K107&gt;=100*0.33,1,0))))))))</f>
        <v/>
      </c>
      <c r="AD107">
        <f>IF(B107="","",IF(L107&lt;33.0,0,IF(L107&gt;=100*0.8,5,IF(L107&gt;=100*0.7,4,IF(L107&gt;=100*0.6,3.5,IF(L107&gt;=100*0.5,3,IF(L107&gt;=100*0.4,2,IF(L107&gt;=100*0.33,1,0))))))))</f>
        <v/>
      </c>
      <c r="AE107">
        <f>IF(B107="","",IF(M107&lt;33.0,0,IF(M107&gt;=100*0.8,5,IF(M107&gt;=100*0.7,4,IF(M107&gt;=100*0.6,3.5,IF(M107&gt;=100*0.5,3,IF(M107&gt;=100*0.4,2,IF(M107&gt;=100*0.33,1,0))))))))</f>
        <v/>
      </c>
      <c r="AF107">
        <f>IF(B107="","",IF(N107&lt;16.5,0,IF(N107&gt;=50*0.8,5,IF(N107&gt;=50*0.7,4,IF(N107&gt;=50*0.6,3.5,IF(N107&gt;=50*0.5,3,IF(N107&gt;=50*0.4,2,IF(N107&gt;=50*0.33,1,0))))))))</f>
        <v/>
      </c>
      <c r="AG107">
        <f>IF(B107="","",IF(O107&lt;33.0,0,IF(O107&gt;=100*0.8,5,IF(O107&gt;=100*0.7,4,IF(O107&gt;=100*0.6,3.5,IF(O107&gt;=100*0.5,3,IF(O107&gt;=100*0.4,2,IF(O107&gt;=100*0.33,1,0))))))))</f>
        <v/>
      </c>
      <c r="AH107">
        <f>IF(B107="","",IF(OR(U107=0,V107=0,W107=0,X107=0,Y107=0,Z107=0,AA107=0,AB107=0,AC107=0,AD107=0,AE107=0,AF107=0,AG107=0),1,0))</f>
        <v/>
      </c>
    </row>
    <row r="108">
      <c r="A108" s="3">
        <f>IF(B108="","",ROW()-2)</f>
        <v/>
      </c>
      <c r="P108" s="4">
        <f>IF(B108="","",SUM(C108:O108))</f>
        <v/>
      </c>
      <c r="Q108" s="5">
        <f>IF(B108="","",ROUND(P108/13,2))</f>
        <v/>
      </c>
      <c r="R108" s="5">
        <f>IF(B108="","",IF(AH108=1,0,MIN(5,ROUND((U108+V108+W108+X108+Y108+Z108+AA108+AB108+AC108+AD108+AE108+AF108+AG108)/13,2))))</f>
        <v/>
      </c>
      <c r="S108" s="3">
        <f>IF(B108="","",IF(R108&gt;=5,"A+",IF(R108&gt;=4,"A",IF(R108&gt;=3.5,"A-",IF(R108&gt;=3,"B",IF(R108&gt;=2,"C",IF(R108&gt;=1,"D","F")))))))</f>
        <v/>
      </c>
      <c r="T108" s="3">
        <f>IF(OR(B108="",S108="F"),"",COUNTIFS(P:P,"&gt;"&amp;P108,S:S,"&lt;&gt;F")+1)</f>
        <v/>
      </c>
      <c r="U108">
        <f>IF(B108="","",IF(C108&lt;33.0,0,IF(C108&gt;=100*0.8,5,IF(C108&gt;=100*0.7,4,IF(C108&gt;=100*0.6,3.5,IF(C108&gt;=100*0.5,3,IF(C108&gt;=100*0.4,2,IF(C108&gt;=100*0.33,1,0))))))))</f>
        <v/>
      </c>
      <c r="V108">
        <f>IF(B108="","",IF(D108&lt;33.0,0,IF(D108&gt;=100*0.8,5,IF(D108&gt;=100*0.7,4,IF(D108&gt;=100*0.6,3.5,IF(D108&gt;=100*0.5,3,IF(D108&gt;=100*0.4,2,IF(D108&gt;=100*0.33,1,0))))))))</f>
        <v/>
      </c>
      <c r="W108">
        <f>IF(B108="","",IF(E108&lt;16.5,0,IF(E108&gt;=50*0.8,5,IF(E108&gt;=50*0.7,4,IF(E108&gt;=50*0.6,3.5,IF(E108&gt;=50*0.5,3,IF(E108&gt;=50*0.4,2,IF(E108&gt;=50*0.33,1,0))))))))</f>
        <v/>
      </c>
      <c r="X108">
        <f>IF(B108="","",IF(F108&lt;33.0,0,IF(F108&gt;=100*0.8,5,IF(F108&gt;=100*0.7,4,IF(F108&gt;=100*0.6,3.5,IF(F108&gt;=100*0.5,3,IF(F108&gt;=100*0.4,2,IF(F108&gt;=100*0.33,1,0))))))))</f>
        <v/>
      </c>
      <c r="Y108">
        <f>IF(B108="","",IF(G108&lt;16.5,0,IF(G108&gt;=50*0.8,5,IF(G108&gt;=50*0.7,4,IF(G108&gt;=50*0.6,3.5,IF(G108&gt;=50*0.5,3,IF(G108&gt;=50*0.4,2,IF(G108&gt;=50*0.33,1,0))))))))</f>
        <v/>
      </c>
      <c r="Z108">
        <f>IF(B108="","",IF(H108&lt;33.0,0,IF(H108&gt;=100*0.8,5,IF(H108&gt;=100*0.7,4,IF(H108&gt;=100*0.6,3.5,IF(H108&gt;=100*0.5,3,IF(H108&gt;=100*0.4,2,IF(H108&gt;=100*0.33,1,0))))))))</f>
        <v/>
      </c>
      <c r="AA108">
        <f>IF(B108="","",IF(I108&lt;33.0,0,IF(I108&gt;=100*0.8,5,IF(I108&gt;=100*0.7,4,IF(I108&gt;=100*0.6,3.5,IF(I108&gt;=100*0.5,3,IF(I108&gt;=100*0.4,2,IF(I108&gt;=100*0.33,1,0))))))))</f>
        <v/>
      </c>
      <c r="AB108">
        <f>IF(B108="","",IF(J108&lt;33.0,0,IF(J108&gt;=100*0.8,5,IF(J108&gt;=100*0.7,4,IF(J108&gt;=100*0.6,3.5,IF(J108&gt;=100*0.5,3,IF(J108&gt;=100*0.4,2,IF(J108&gt;=100*0.33,1,0))))))))</f>
        <v/>
      </c>
      <c r="AC108">
        <f>IF(B108="","",IF(K108&lt;33.0,0,IF(K108&gt;=100*0.8,5,IF(K108&gt;=100*0.7,4,IF(K108&gt;=100*0.6,3.5,IF(K108&gt;=100*0.5,3,IF(K108&gt;=100*0.4,2,IF(K108&gt;=100*0.33,1,0))))))))</f>
        <v/>
      </c>
      <c r="AD108">
        <f>IF(B108="","",IF(L108&lt;33.0,0,IF(L108&gt;=100*0.8,5,IF(L108&gt;=100*0.7,4,IF(L108&gt;=100*0.6,3.5,IF(L108&gt;=100*0.5,3,IF(L108&gt;=100*0.4,2,IF(L108&gt;=100*0.33,1,0))))))))</f>
        <v/>
      </c>
      <c r="AE108">
        <f>IF(B108="","",IF(M108&lt;33.0,0,IF(M108&gt;=100*0.8,5,IF(M108&gt;=100*0.7,4,IF(M108&gt;=100*0.6,3.5,IF(M108&gt;=100*0.5,3,IF(M108&gt;=100*0.4,2,IF(M108&gt;=100*0.33,1,0))))))))</f>
        <v/>
      </c>
      <c r="AF108">
        <f>IF(B108="","",IF(N108&lt;16.5,0,IF(N108&gt;=50*0.8,5,IF(N108&gt;=50*0.7,4,IF(N108&gt;=50*0.6,3.5,IF(N108&gt;=50*0.5,3,IF(N108&gt;=50*0.4,2,IF(N108&gt;=50*0.33,1,0))))))))</f>
        <v/>
      </c>
      <c r="AG108">
        <f>IF(B108="","",IF(O108&lt;33.0,0,IF(O108&gt;=100*0.8,5,IF(O108&gt;=100*0.7,4,IF(O108&gt;=100*0.6,3.5,IF(O108&gt;=100*0.5,3,IF(O108&gt;=100*0.4,2,IF(O108&gt;=100*0.33,1,0))))))))</f>
        <v/>
      </c>
      <c r="AH108">
        <f>IF(B108="","",IF(OR(U108=0,V108=0,W108=0,X108=0,Y108=0,Z108=0,AA108=0,AB108=0,AC108=0,AD108=0,AE108=0,AF108=0,AG108=0),1,0))</f>
        <v/>
      </c>
    </row>
    <row r="109">
      <c r="A109" s="3">
        <f>IF(B109="","",ROW()-2)</f>
        <v/>
      </c>
      <c r="P109" s="4">
        <f>IF(B109="","",SUM(C109:O109))</f>
        <v/>
      </c>
      <c r="Q109" s="5">
        <f>IF(B109="","",ROUND(P109/13,2))</f>
        <v/>
      </c>
      <c r="R109" s="5">
        <f>IF(B109="","",IF(AH109=1,0,MIN(5,ROUND((U109+V109+W109+X109+Y109+Z109+AA109+AB109+AC109+AD109+AE109+AF109+AG109)/13,2))))</f>
        <v/>
      </c>
      <c r="S109" s="3">
        <f>IF(B109="","",IF(R109&gt;=5,"A+",IF(R109&gt;=4,"A",IF(R109&gt;=3.5,"A-",IF(R109&gt;=3,"B",IF(R109&gt;=2,"C",IF(R109&gt;=1,"D","F")))))))</f>
        <v/>
      </c>
      <c r="T109" s="3">
        <f>IF(OR(B109="",S109="F"),"",COUNTIFS(P:P,"&gt;"&amp;P109,S:S,"&lt;&gt;F")+1)</f>
        <v/>
      </c>
      <c r="U109">
        <f>IF(B109="","",IF(C109&lt;33.0,0,IF(C109&gt;=100*0.8,5,IF(C109&gt;=100*0.7,4,IF(C109&gt;=100*0.6,3.5,IF(C109&gt;=100*0.5,3,IF(C109&gt;=100*0.4,2,IF(C109&gt;=100*0.33,1,0))))))))</f>
        <v/>
      </c>
      <c r="V109">
        <f>IF(B109="","",IF(D109&lt;33.0,0,IF(D109&gt;=100*0.8,5,IF(D109&gt;=100*0.7,4,IF(D109&gt;=100*0.6,3.5,IF(D109&gt;=100*0.5,3,IF(D109&gt;=100*0.4,2,IF(D109&gt;=100*0.33,1,0))))))))</f>
        <v/>
      </c>
      <c r="W109">
        <f>IF(B109="","",IF(E109&lt;16.5,0,IF(E109&gt;=50*0.8,5,IF(E109&gt;=50*0.7,4,IF(E109&gt;=50*0.6,3.5,IF(E109&gt;=50*0.5,3,IF(E109&gt;=50*0.4,2,IF(E109&gt;=50*0.33,1,0))))))))</f>
        <v/>
      </c>
      <c r="X109">
        <f>IF(B109="","",IF(F109&lt;33.0,0,IF(F109&gt;=100*0.8,5,IF(F109&gt;=100*0.7,4,IF(F109&gt;=100*0.6,3.5,IF(F109&gt;=100*0.5,3,IF(F109&gt;=100*0.4,2,IF(F109&gt;=100*0.33,1,0))))))))</f>
        <v/>
      </c>
      <c r="Y109">
        <f>IF(B109="","",IF(G109&lt;16.5,0,IF(G109&gt;=50*0.8,5,IF(G109&gt;=50*0.7,4,IF(G109&gt;=50*0.6,3.5,IF(G109&gt;=50*0.5,3,IF(G109&gt;=50*0.4,2,IF(G109&gt;=50*0.33,1,0))))))))</f>
        <v/>
      </c>
      <c r="Z109">
        <f>IF(B109="","",IF(H109&lt;33.0,0,IF(H109&gt;=100*0.8,5,IF(H109&gt;=100*0.7,4,IF(H109&gt;=100*0.6,3.5,IF(H109&gt;=100*0.5,3,IF(H109&gt;=100*0.4,2,IF(H109&gt;=100*0.33,1,0))))))))</f>
        <v/>
      </c>
      <c r="AA109">
        <f>IF(B109="","",IF(I109&lt;33.0,0,IF(I109&gt;=100*0.8,5,IF(I109&gt;=100*0.7,4,IF(I109&gt;=100*0.6,3.5,IF(I109&gt;=100*0.5,3,IF(I109&gt;=100*0.4,2,IF(I109&gt;=100*0.33,1,0))))))))</f>
        <v/>
      </c>
      <c r="AB109">
        <f>IF(B109="","",IF(J109&lt;33.0,0,IF(J109&gt;=100*0.8,5,IF(J109&gt;=100*0.7,4,IF(J109&gt;=100*0.6,3.5,IF(J109&gt;=100*0.5,3,IF(J109&gt;=100*0.4,2,IF(J109&gt;=100*0.33,1,0))))))))</f>
        <v/>
      </c>
      <c r="AC109">
        <f>IF(B109="","",IF(K109&lt;33.0,0,IF(K109&gt;=100*0.8,5,IF(K109&gt;=100*0.7,4,IF(K109&gt;=100*0.6,3.5,IF(K109&gt;=100*0.5,3,IF(K109&gt;=100*0.4,2,IF(K109&gt;=100*0.33,1,0))))))))</f>
        <v/>
      </c>
      <c r="AD109">
        <f>IF(B109="","",IF(L109&lt;33.0,0,IF(L109&gt;=100*0.8,5,IF(L109&gt;=100*0.7,4,IF(L109&gt;=100*0.6,3.5,IF(L109&gt;=100*0.5,3,IF(L109&gt;=100*0.4,2,IF(L109&gt;=100*0.33,1,0))))))))</f>
        <v/>
      </c>
      <c r="AE109">
        <f>IF(B109="","",IF(M109&lt;33.0,0,IF(M109&gt;=100*0.8,5,IF(M109&gt;=100*0.7,4,IF(M109&gt;=100*0.6,3.5,IF(M109&gt;=100*0.5,3,IF(M109&gt;=100*0.4,2,IF(M109&gt;=100*0.33,1,0))))))))</f>
        <v/>
      </c>
      <c r="AF109">
        <f>IF(B109="","",IF(N109&lt;16.5,0,IF(N109&gt;=50*0.8,5,IF(N109&gt;=50*0.7,4,IF(N109&gt;=50*0.6,3.5,IF(N109&gt;=50*0.5,3,IF(N109&gt;=50*0.4,2,IF(N109&gt;=50*0.33,1,0))))))))</f>
        <v/>
      </c>
      <c r="AG109">
        <f>IF(B109="","",IF(O109&lt;33.0,0,IF(O109&gt;=100*0.8,5,IF(O109&gt;=100*0.7,4,IF(O109&gt;=100*0.6,3.5,IF(O109&gt;=100*0.5,3,IF(O109&gt;=100*0.4,2,IF(O109&gt;=100*0.33,1,0))))))))</f>
        <v/>
      </c>
      <c r="AH109">
        <f>IF(B109="","",IF(OR(U109=0,V109=0,W109=0,X109=0,Y109=0,Z109=0,AA109=0,AB109=0,AC109=0,AD109=0,AE109=0,AF109=0,AG109=0),1,0))</f>
        <v/>
      </c>
    </row>
    <row r="110">
      <c r="A110" s="3">
        <f>IF(B110="","",ROW()-2)</f>
        <v/>
      </c>
      <c r="P110" s="4">
        <f>IF(B110="","",SUM(C110:O110))</f>
        <v/>
      </c>
      <c r="Q110" s="5">
        <f>IF(B110="","",ROUND(P110/13,2))</f>
        <v/>
      </c>
      <c r="R110" s="5">
        <f>IF(B110="","",IF(AH110=1,0,MIN(5,ROUND((U110+V110+W110+X110+Y110+Z110+AA110+AB110+AC110+AD110+AE110+AF110+AG110)/13,2))))</f>
        <v/>
      </c>
      <c r="S110" s="3">
        <f>IF(B110="","",IF(R110&gt;=5,"A+",IF(R110&gt;=4,"A",IF(R110&gt;=3.5,"A-",IF(R110&gt;=3,"B",IF(R110&gt;=2,"C",IF(R110&gt;=1,"D","F")))))))</f>
        <v/>
      </c>
      <c r="T110" s="3">
        <f>IF(OR(B110="",S110="F"),"",COUNTIFS(P:P,"&gt;"&amp;P110,S:S,"&lt;&gt;F")+1)</f>
        <v/>
      </c>
      <c r="U110">
        <f>IF(B110="","",IF(C110&lt;33.0,0,IF(C110&gt;=100*0.8,5,IF(C110&gt;=100*0.7,4,IF(C110&gt;=100*0.6,3.5,IF(C110&gt;=100*0.5,3,IF(C110&gt;=100*0.4,2,IF(C110&gt;=100*0.33,1,0))))))))</f>
        <v/>
      </c>
      <c r="V110">
        <f>IF(B110="","",IF(D110&lt;33.0,0,IF(D110&gt;=100*0.8,5,IF(D110&gt;=100*0.7,4,IF(D110&gt;=100*0.6,3.5,IF(D110&gt;=100*0.5,3,IF(D110&gt;=100*0.4,2,IF(D110&gt;=100*0.33,1,0))))))))</f>
        <v/>
      </c>
      <c r="W110">
        <f>IF(B110="","",IF(E110&lt;16.5,0,IF(E110&gt;=50*0.8,5,IF(E110&gt;=50*0.7,4,IF(E110&gt;=50*0.6,3.5,IF(E110&gt;=50*0.5,3,IF(E110&gt;=50*0.4,2,IF(E110&gt;=50*0.33,1,0))))))))</f>
        <v/>
      </c>
      <c r="X110">
        <f>IF(B110="","",IF(F110&lt;33.0,0,IF(F110&gt;=100*0.8,5,IF(F110&gt;=100*0.7,4,IF(F110&gt;=100*0.6,3.5,IF(F110&gt;=100*0.5,3,IF(F110&gt;=100*0.4,2,IF(F110&gt;=100*0.33,1,0))))))))</f>
        <v/>
      </c>
      <c r="Y110">
        <f>IF(B110="","",IF(G110&lt;16.5,0,IF(G110&gt;=50*0.8,5,IF(G110&gt;=50*0.7,4,IF(G110&gt;=50*0.6,3.5,IF(G110&gt;=50*0.5,3,IF(G110&gt;=50*0.4,2,IF(G110&gt;=50*0.33,1,0))))))))</f>
        <v/>
      </c>
      <c r="Z110">
        <f>IF(B110="","",IF(H110&lt;33.0,0,IF(H110&gt;=100*0.8,5,IF(H110&gt;=100*0.7,4,IF(H110&gt;=100*0.6,3.5,IF(H110&gt;=100*0.5,3,IF(H110&gt;=100*0.4,2,IF(H110&gt;=100*0.33,1,0))))))))</f>
        <v/>
      </c>
      <c r="AA110">
        <f>IF(B110="","",IF(I110&lt;33.0,0,IF(I110&gt;=100*0.8,5,IF(I110&gt;=100*0.7,4,IF(I110&gt;=100*0.6,3.5,IF(I110&gt;=100*0.5,3,IF(I110&gt;=100*0.4,2,IF(I110&gt;=100*0.33,1,0))))))))</f>
        <v/>
      </c>
      <c r="AB110">
        <f>IF(B110="","",IF(J110&lt;33.0,0,IF(J110&gt;=100*0.8,5,IF(J110&gt;=100*0.7,4,IF(J110&gt;=100*0.6,3.5,IF(J110&gt;=100*0.5,3,IF(J110&gt;=100*0.4,2,IF(J110&gt;=100*0.33,1,0))))))))</f>
        <v/>
      </c>
      <c r="AC110">
        <f>IF(B110="","",IF(K110&lt;33.0,0,IF(K110&gt;=100*0.8,5,IF(K110&gt;=100*0.7,4,IF(K110&gt;=100*0.6,3.5,IF(K110&gt;=100*0.5,3,IF(K110&gt;=100*0.4,2,IF(K110&gt;=100*0.33,1,0))))))))</f>
        <v/>
      </c>
      <c r="AD110">
        <f>IF(B110="","",IF(L110&lt;33.0,0,IF(L110&gt;=100*0.8,5,IF(L110&gt;=100*0.7,4,IF(L110&gt;=100*0.6,3.5,IF(L110&gt;=100*0.5,3,IF(L110&gt;=100*0.4,2,IF(L110&gt;=100*0.33,1,0))))))))</f>
        <v/>
      </c>
      <c r="AE110">
        <f>IF(B110="","",IF(M110&lt;33.0,0,IF(M110&gt;=100*0.8,5,IF(M110&gt;=100*0.7,4,IF(M110&gt;=100*0.6,3.5,IF(M110&gt;=100*0.5,3,IF(M110&gt;=100*0.4,2,IF(M110&gt;=100*0.33,1,0))))))))</f>
        <v/>
      </c>
      <c r="AF110">
        <f>IF(B110="","",IF(N110&lt;16.5,0,IF(N110&gt;=50*0.8,5,IF(N110&gt;=50*0.7,4,IF(N110&gt;=50*0.6,3.5,IF(N110&gt;=50*0.5,3,IF(N110&gt;=50*0.4,2,IF(N110&gt;=50*0.33,1,0))))))))</f>
        <v/>
      </c>
      <c r="AG110">
        <f>IF(B110="","",IF(O110&lt;33.0,0,IF(O110&gt;=100*0.8,5,IF(O110&gt;=100*0.7,4,IF(O110&gt;=100*0.6,3.5,IF(O110&gt;=100*0.5,3,IF(O110&gt;=100*0.4,2,IF(O110&gt;=100*0.33,1,0))))))))</f>
        <v/>
      </c>
      <c r="AH110">
        <f>IF(B110="","",IF(OR(U110=0,V110=0,W110=0,X110=0,Y110=0,Z110=0,AA110=0,AB110=0,AC110=0,AD110=0,AE110=0,AF110=0,AG110=0),1,0))</f>
        <v/>
      </c>
    </row>
    <row r="111">
      <c r="A111" s="3">
        <f>IF(B111="","",ROW()-2)</f>
        <v/>
      </c>
      <c r="P111" s="4">
        <f>IF(B111="","",SUM(C111:O111))</f>
        <v/>
      </c>
      <c r="Q111" s="5">
        <f>IF(B111="","",ROUND(P111/13,2))</f>
        <v/>
      </c>
      <c r="R111" s="5">
        <f>IF(B111="","",IF(AH111=1,0,MIN(5,ROUND((U111+V111+W111+X111+Y111+Z111+AA111+AB111+AC111+AD111+AE111+AF111+AG111)/13,2))))</f>
        <v/>
      </c>
      <c r="S111" s="3">
        <f>IF(B111="","",IF(R111&gt;=5,"A+",IF(R111&gt;=4,"A",IF(R111&gt;=3.5,"A-",IF(R111&gt;=3,"B",IF(R111&gt;=2,"C",IF(R111&gt;=1,"D","F")))))))</f>
        <v/>
      </c>
      <c r="T111" s="3">
        <f>IF(OR(B111="",S111="F"),"",COUNTIFS(P:P,"&gt;"&amp;P111,S:S,"&lt;&gt;F")+1)</f>
        <v/>
      </c>
      <c r="U111">
        <f>IF(B111="","",IF(C111&lt;33.0,0,IF(C111&gt;=100*0.8,5,IF(C111&gt;=100*0.7,4,IF(C111&gt;=100*0.6,3.5,IF(C111&gt;=100*0.5,3,IF(C111&gt;=100*0.4,2,IF(C111&gt;=100*0.33,1,0))))))))</f>
        <v/>
      </c>
      <c r="V111">
        <f>IF(B111="","",IF(D111&lt;33.0,0,IF(D111&gt;=100*0.8,5,IF(D111&gt;=100*0.7,4,IF(D111&gt;=100*0.6,3.5,IF(D111&gt;=100*0.5,3,IF(D111&gt;=100*0.4,2,IF(D111&gt;=100*0.33,1,0))))))))</f>
        <v/>
      </c>
      <c r="W111">
        <f>IF(B111="","",IF(E111&lt;16.5,0,IF(E111&gt;=50*0.8,5,IF(E111&gt;=50*0.7,4,IF(E111&gt;=50*0.6,3.5,IF(E111&gt;=50*0.5,3,IF(E111&gt;=50*0.4,2,IF(E111&gt;=50*0.33,1,0))))))))</f>
        <v/>
      </c>
      <c r="X111">
        <f>IF(B111="","",IF(F111&lt;33.0,0,IF(F111&gt;=100*0.8,5,IF(F111&gt;=100*0.7,4,IF(F111&gt;=100*0.6,3.5,IF(F111&gt;=100*0.5,3,IF(F111&gt;=100*0.4,2,IF(F111&gt;=100*0.33,1,0))))))))</f>
        <v/>
      </c>
      <c r="Y111">
        <f>IF(B111="","",IF(G111&lt;16.5,0,IF(G111&gt;=50*0.8,5,IF(G111&gt;=50*0.7,4,IF(G111&gt;=50*0.6,3.5,IF(G111&gt;=50*0.5,3,IF(G111&gt;=50*0.4,2,IF(G111&gt;=50*0.33,1,0))))))))</f>
        <v/>
      </c>
      <c r="Z111">
        <f>IF(B111="","",IF(H111&lt;33.0,0,IF(H111&gt;=100*0.8,5,IF(H111&gt;=100*0.7,4,IF(H111&gt;=100*0.6,3.5,IF(H111&gt;=100*0.5,3,IF(H111&gt;=100*0.4,2,IF(H111&gt;=100*0.33,1,0))))))))</f>
        <v/>
      </c>
      <c r="AA111">
        <f>IF(B111="","",IF(I111&lt;33.0,0,IF(I111&gt;=100*0.8,5,IF(I111&gt;=100*0.7,4,IF(I111&gt;=100*0.6,3.5,IF(I111&gt;=100*0.5,3,IF(I111&gt;=100*0.4,2,IF(I111&gt;=100*0.33,1,0))))))))</f>
        <v/>
      </c>
      <c r="AB111">
        <f>IF(B111="","",IF(J111&lt;33.0,0,IF(J111&gt;=100*0.8,5,IF(J111&gt;=100*0.7,4,IF(J111&gt;=100*0.6,3.5,IF(J111&gt;=100*0.5,3,IF(J111&gt;=100*0.4,2,IF(J111&gt;=100*0.33,1,0))))))))</f>
        <v/>
      </c>
      <c r="AC111">
        <f>IF(B111="","",IF(K111&lt;33.0,0,IF(K111&gt;=100*0.8,5,IF(K111&gt;=100*0.7,4,IF(K111&gt;=100*0.6,3.5,IF(K111&gt;=100*0.5,3,IF(K111&gt;=100*0.4,2,IF(K111&gt;=100*0.33,1,0))))))))</f>
        <v/>
      </c>
      <c r="AD111">
        <f>IF(B111="","",IF(L111&lt;33.0,0,IF(L111&gt;=100*0.8,5,IF(L111&gt;=100*0.7,4,IF(L111&gt;=100*0.6,3.5,IF(L111&gt;=100*0.5,3,IF(L111&gt;=100*0.4,2,IF(L111&gt;=100*0.33,1,0))))))))</f>
        <v/>
      </c>
      <c r="AE111">
        <f>IF(B111="","",IF(M111&lt;33.0,0,IF(M111&gt;=100*0.8,5,IF(M111&gt;=100*0.7,4,IF(M111&gt;=100*0.6,3.5,IF(M111&gt;=100*0.5,3,IF(M111&gt;=100*0.4,2,IF(M111&gt;=100*0.33,1,0))))))))</f>
        <v/>
      </c>
      <c r="AF111">
        <f>IF(B111="","",IF(N111&lt;16.5,0,IF(N111&gt;=50*0.8,5,IF(N111&gt;=50*0.7,4,IF(N111&gt;=50*0.6,3.5,IF(N111&gt;=50*0.5,3,IF(N111&gt;=50*0.4,2,IF(N111&gt;=50*0.33,1,0))))))))</f>
        <v/>
      </c>
      <c r="AG111">
        <f>IF(B111="","",IF(O111&lt;33.0,0,IF(O111&gt;=100*0.8,5,IF(O111&gt;=100*0.7,4,IF(O111&gt;=100*0.6,3.5,IF(O111&gt;=100*0.5,3,IF(O111&gt;=100*0.4,2,IF(O111&gt;=100*0.33,1,0))))))))</f>
        <v/>
      </c>
      <c r="AH111">
        <f>IF(B111="","",IF(OR(U111=0,V111=0,W111=0,X111=0,Y111=0,Z111=0,AA111=0,AB111=0,AC111=0,AD111=0,AE111=0,AF111=0,AG111=0),1,0))</f>
        <v/>
      </c>
    </row>
    <row r="112">
      <c r="A112" s="3">
        <f>IF(B112="","",ROW()-2)</f>
        <v/>
      </c>
      <c r="P112" s="4">
        <f>IF(B112="","",SUM(C112:O112))</f>
        <v/>
      </c>
      <c r="Q112" s="5">
        <f>IF(B112="","",ROUND(P112/13,2))</f>
        <v/>
      </c>
      <c r="R112" s="5">
        <f>IF(B112="","",IF(AH112=1,0,MIN(5,ROUND((U112+V112+W112+X112+Y112+Z112+AA112+AB112+AC112+AD112+AE112+AF112+AG112)/13,2))))</f>
        <v/>
      </c>
      <c r="S112" s="3">
        <f>IF(B112="","",IF(R112&gt;=5,"A+",IF(R112&gt;=4,"A",IF(R112&gt;=3.5,"A-",IF(R112&gt;=3,"B",IF(R112&gt;=2,"C",IF(R112&gt;=1,"D","F")))))))</f>
        <v/>
      </c>
      <c r="T112" s="3">
        <f>IF(OR(B112="",S112="F"),"",COUNTIFS(P:P,"&gt;"&amp;P112,S:S,"&lt;&gt;F")+1)</f>
        <v/>
      </c>
      <c r="U112">
        <f>IF(B112="","",IF(C112&lt;33.0,0,IF(C112&gt;=100*0.8,5,IF(C112&gt;=100*0.7,4,IF(C112&gt;=100*0.6,3.5,IF(C112&gt;=100*0.5,3,IF(C112&gt;=100*0.4,2,IF(C112&gt;=100*0.33,1,0))))))))</f>
        <v/>
      </c>
      <c r="V112">
        <f>IF(B112="","",IF(D112&lt;33.0,0,IF(D112&gt;=100*0.8,5,IF(D112&gt;=100*0.7,4,IF(D112&gt;=100*0.6,3.5,IF(D112&gt;=100*0.5,3,IF(D112&gt;=100*0.4,2,IF(D112&gt;=100*0.33,1,0))))))))</f>
        <v/>
      </c>
      <c r="W112">
        <f>IF(B112="","",IF(E112&lt;16.5,0,IF(E112&gt;=50*0.8,5,IF(E112&gt;=50*0.7,4,IF(E112&gt;=50*0.6,3.5,IF(E112&gt;=50*0.5,3,IF(E112&gt;=50*0.4,2,IF(E112&gt;=50*0.33,1,0))))))))</f>
        <v/>
      </c>
      <c r="X112">
        <f>IF(B112="","",IF(F112&lt;33.0,0,IF(F112&gt;=100*0.8,5,IF(F112&gt;=100*0.7,4,IF(F112&gt;=100*0.6,3.5,IF(F112&gt;=100*0.5,3,IF(F112&gt;=100*0.4,2,IF(F112&gt;=100*0.33,1,0))))))))</f>
        <v/>
      </c>
      <c r="Y112">
        <f>IF(B112="","",IF(G112&lt;16.5,0,IF(G112&gt;=50*0.8,5,IF(G112&gt;=50*0.7,4,IF(G112&gt;=50*0.6,3.5,IF(G112&gt;=50*0.5,3,IF(G112&gt;=50*0.4,2,IF(G112&gt;=50*0.33,1,0))))))))</f>
        <v/>
      </c>
      <c r="Z112">
        <f>IF(B112="","",IF(H112&lt;33.0,0,IF(H112&gt;=100*0.8,5,IF(H112&gt;=100*0.7,4,IF(H112&gt;=100*0.6,3.5,IF(H112&gt;=100*0.5,3,IF(H112&gt;=100*0.4,2,IF(H112&gt;=100*0.33,1,0))))))))</f>
        <v/>
      </c>
      <c r="AA112">
        <f>IF(B112="","",IF(I112&lt;33.0,0,IF(I112&gt;=100*0.8,5,IF(I112&gt;=100*0.7,4,IF(I112&gt;=100*0.6,3.5,IF(I112&gt;=100*0.5,3,IF(I112&gt;=100*0.4,2,IF(I112&gt;=100*0.33,1,0))))))))</f>
        <v/>
      </c>
      <c r="AB112">
        <f>IF(B112="","",IF(J112&lt;33.0,0,IF(J112&gt;=100*0.8,5,IF(J112&gt;=100*0.7,4,IF(J112&gt;=100*0.6,3.5,IF(J112&gt;=100*0.5,3,IF(J112&gt;=100*0.4,2,IF(J112&gt;=100*0.33,1,0))))))))</f>
        <v/>
      </c>
      <c r="AC112">
        <f>IF(B112="","",IF(K112&lt;33.0,0,IF(K112&gt;=100*0.8,5,IF(K112&gt;=100*0.7,4,IF(K112&gt;=100*0.6,3.5,IF(K112&gt;=100*0.5,3,IF(K112&gt;=100*0.4,2,IF(K112&gt;=100*0.33,1,0))))))))</f>
        <v/>
      </c>
      <c r="AD112">
        <f>IF(B112="","",IF(L112&lt;33.0,0,IF(L112&gt;=100*0.8,5,IF(L112&gt;=100*0.7,4,IF(L112&gt;=100*0.6,3.5,IF(L112&gt;=100*0.5,3,IF(L112&gt;=100*0.4,2,IF(L112&gt;=100*0.33,1,0))))))))</f>
        <v/>
      </c>
      <c r="AE112">
        <f>IF(B112="","",IF(M112&lt;33.0,0,IF(M112&gt;=100*0.8,5,IF(M112&gt;=100*0.7,4,IF(M112&gt;=100*0.6,3.5,IF(M112&gt;=100*0.5,3,IF(M112&gt;=100*0.4,2,IF(M112&gt;=100*0.33,1,0))))))))</f>
        <v/>
      </c>
      <c r="AF112">
        <f>IF(B112="","",IF(N112&lt;16.5,0,IF(N112&gt;=50*0.8,5,IF(N112&gt;=50*0.7,4,IF(N112&gt;=50*0.6,3.5,IF(N112&gt;=50*0.5,3,IF(N112&gt;=50*0.4,2,IF(N112&gt;=50*0.33,1,0))))))))</f>
        <v/>
      </c>
      <c r="AG112">
        <f>IF(B112="","",IF(O112&lt;33.0,0,IF(O112&gt;=100*0.8,5,IF(O112&gt;=100*0.7,4,IF(O112&gt;=100*0.6,3.5,IF(O112&gt;=100*0.5,3,IF(O112&gt;=100*0.4,2,IF(O112&gt;=100*0.33,1,0))))))))</f>
        <v/>
      </c>
      <c r="AH112">
        <f>IF(B112="","",IF(OR(U112=0,V112=0,W112=0,X112=0,Y112=0,Z112=0,AA112=0,AB112=0,AC112=0,AD112=0,AE112=0,AF112=0,AG112=0),1,0))</f>
        <v/>
      </c>
    </row>
    <row r="113">
      <c r="A113" s="3">
        <f>IF(B113="","",ROW()-2)</f>
        <v/>
      </c>
      <c r="P113" s="4">
        <f>IF(B113="","",SUM(C113:O113))</f>
        <v/>
      </c>
      <c r="Q113" s="5">
        <f>IF(B113="","",ROUND(P113/13,2))</f>
        <v/>
      </c>
      <c r="R113" s="5">
        <f>IF(B113="","",IF(AH113=1,0,MIN(5,ROUND((U113+V113+W113+X113+Y113+Z113+AA113+AB113+AC113+AD113+AE113+AF113+AG113)/13,2))))</f>
        <v/>
      </c>
      <c r="S113" s="3">
        <f>IF(B113="","",IF(R113&gt;=5,"A+",IF(R113&gt;=4,"A",IF(R113&gt;=3.5,"A-",IF(R113&gt;=3,"B",IF(R113&gt;=2,"C",IF(R113&gt;=1,"D","F")))))))</f>
        <v/>
      </c>
      <c r="T113" s="3">
        <f>IF(OR(B113="",S113="F"),"",COUNTIFS(P:P,"&gt;"&amp;P113,S:S,"&lt;&gt;F")+1)</f>
        <v/>
      </c>
      <c r="U113">
        <f>IF(B113="","",IF(C113&lt;33.0,0,IF(C113&gt;=100*0.8,5,IF(C113&gt;=100*0.7,4,IF(C113&gt;=100*0.6,3.5,IF(C113&gt;=100*0.5,3,IF(C113&gt;=100*0.4,2,IF(C113&gt;=100*0.33,1,0))))))))</f>
        <v/>
      </c>
      <c r="V113">
        <f>IF(B113="","",IF(D113&lt;33.0,0,IF(D113&gt;=100*0.8,5,IF(D113&gt;=100*0.7,4,IF(D113&gt;=100*0.6,3.5,IF(D113&gt;=100*0.5,3,IF(D113&gt;=100*0.4,2,IF(D113&gt;=100*0.33,1,0))))))))</f>
        <v/>
      </c>
      <c r="W113">
        <f>IF(B113="","",IF(E113&lt;16.5,0,IF(E113&gt;=50*0.8,5,IF(E113&gt;=50*0.7,4,IF(E113&gt;=50*0.6,3.5,IF(E113&gt;=50*0.5,3,IF(E113&gt;=50*0.4,2,IF(E113&gt;=50*0.33,1,0))))))))</f>
        <v/>
      </c>
      <c r="X113">
        <f>IF(B113="","",IF(F113&lt;33.0,0,IF(F113&gt;=100*0.8,5,IF(F113&gt;=100*0.7,4,IF(F113&gt;=100*0.6,3.5,IF(F113&gt;=100*0.5,3,IF(F113&gt;=100*0.4,2,IF(F113&gt;=100*0.33,1,0))))))))</f>
        <v/>
      </c>
      <c r="Y113">
        <f>IF(B113="","",IF(G113&lt;16.5,0,IF(G113&gt;=50*0.8,5,IF(G113&gt;=50*0.7,4,IF(G113&gt;=50*0.6,3.5,IF(G113&gt;=50*0.5,3,IF(G113&gt;=50*0.4,2,IF(G113&gt;=50*0.33,1,0))))))))</f>
        <v/>
      </c>
      <c r="Z113">
        <f>IF(B113="","",IF(H113&lt;33.0,0,IF(H113&gt;=100*0.8,5,IF(H113&gt;=100*0.7,4,IF(H113&gt;=100*0.6,3.5,IF(H113&gt;=100*0.5,3,IF(H113&gt;=100*0.4,2,IF(H113&gt;=100*0.33,1,0))))))))</f>
        <v/>
      </c>
      <c r="AA113">
        <f>IF(B113="","",IF(I113&lt;33.0,0,IF(I113&gt;=100*0.8,5,IF(I113&gt;=100*0.7,4,IF(I113&gt;=100*0.6,3.5,IF(I113&gt;=100*0.5,3,IF(I113&gt;=100*0.4,2,IF(I113&gt;=100*0.33,1,0))))))))</f>
        <v/>
      </c>
      <c r="AB113">
        <f>IF(B113="","",IF(J113&lt;33.0,0,IF(J113&gt;=100*0.8,5,IF(J113&gt;=100*0.7,4,IF(J113&gt;=100*0.6,3.5,IF(J113&gt;=100*0.5,3,IF(J113&gt;=100*0.4,2,IF(J113&gt;=100*0.33,1,0))))))))</f>
        <v/>
      </c>
      <c r="AC113">
        <f>IF(B113="","",IF(K113&lt;33.0,0,IF(K113&gt;=100*0.8,5,IF(K113&gt;=100*0.7,4,IF(K113&gt;=100*0.6,3.5,IF(K113&gt;=100*0.5,3,IF(K113&gt;=100*0.4,2,IF(K113&gt;=100*0.33,1,0))))))))</f>
        <v/>
      </c>
      <c r="AD113">
        <f>IF(B113="","",IF(L113&lt;33.0,0,IF(L113&gt;=100*0.8,5,IF(L113&gt;=100*0.7,4,IF(L113&gt;=100*0.6,3.5,IF(L113&gt;=100*0.5,3,IF(L113&gt;=100*0.4,2,IF(L113&gt;=100*0.33,1,0))))))))</f>
        <v/>
      </c>
      <c r="AE113">
        <f>IF(B113="","",IF(M113&lt;33.0,0,IF(M113&gt;=100*0.8,5,IF(M113&gt;=100*0.7,4,IF(M113&gt;=100*0.6,3.5,IF(M113&gt;=100*0.5,3,IF(M113&gt;=100*0.4,2,IF(M113&gt;=100*0.33,1,0))))))))</f>
        <v/>
      </c>
      <c r="AF113">
        <f>IF(B113="","",IF(N113&lt;16.5,0,IF(N113&gt;=50*0.8,5,IF(N113&gt;=50*0.7,4,IF(N113&gt;=50*0.6,3.5,IF(N113&gt;=50*0.5,3,IF(N113&gt;=50*0.4,2,IF(N113&gt;=50*0.33,1,0))))))))</f>
        <v/>
      </c>
      <c r="AG113">
        <f>IF(B113="","",IF(O113&lt;33.0,0,IF(O113&gt;=100*0.8,5,IF(O113&gt;=100*0.7,4,IF(O113&gt;=100*0.6,3.5,IF(O113&gt;=100*0.5,3,IF(O113&gt;=100*0.4,2,IF(O113&gt;=100*0.33,1,0))))))))</f>
        <v/>
      </c>
      <c r="AH113">
        <f>IF(B113="","",IF(OR(U113=0,V113=0,W113=0,X113=0,Y113=0,Z113=0,AA113=0,AB113=0,AC113=0,AD113=0,AE113=0,AF113=0,AG113=0),1,0))</f>
        <v/>
      </c>
    </row>
    <row r="114">
      <c r="A114" s="3">
        <f>IF(B114="","",ROW()-2)</f>
        <v/>
      </c>
      <c r="P114" s="4">
        <f>IF(B114="","",SUM(C114:O114))</f>
        <v/>
      </c>
      <c r="Q114" s="5">
        <f>IF(B114="","",ROUND(P114/13,2))</f>
        <v/>
      </c>
      <c r="R114" s="5">
        <f>IF(B114="","",IF(AH114=1,0,MIN(5,ROUND((U114+V114+W114+X114+Y114+Z114+AA114+AB114+AC114+AD114+AE114+AF114+AG114)/13,2))))</f>
        <v/>
      </c>
      <c r="S114" s="3">
        <f>IF(B114="","",IF(R114&gt;=5,"A+",IF(R114&gt;=4,"A",IF(R114&gt;=3.5,"A-",IF(R114&gt;=3,"B",IF(R114&gt;=2,"C",IF(R114&gt;=1,"D","F")))))))</f>
        <v/>
      </c>
      <c r="T114" s="3">
        <f>IF(OR(B114="",S114="F"),"",COUNTIFS(P:P,"&gt;"&amp;P114,S:S,"&lt;&gt;F")+1)</f>
        <v/>
      </c>
      <c r="U114">
        <f>IF(B114="","",IF(C114&lt;33.0,0,IF(C114&gt;=100*0.8,5,IF(C114&gt;=100*0.7,4,IF(C114&gt;=100*0.6,3.5,IF(C114&gt;=100*0.5,3,IF(C114&gt;=100*0.4,2,IF(C114&gt;=100*0.33,1,0))))))))</f>
        <v/>
      </c>
      <c r="V114">
        <f>IF(B114="","",IF(D114&lt;33.0,0,IF(D114&gt;=100*0.8,5,IF(D114&gt;=100*0.7,4,IF(D114&gt;=100*0.6,3.5,IF(D114&gt;=100*0.5,3,IF(D114&gt;=100*0.4,2,IF(D114&gt;=100*0.33,1,0))))))))</f>
        <v/>
      </c>
      <c r="W114">
        <f>IF(B114="","",IF(E114&lt;16.5,0,IF(E114&gt;=50*0.8,5,IF(E114&gt;=50*0.7,4,IF(E114&gt;=50*0.6,3.5,IF(E114&gt;=50*0.5,3,IF(E114&gt;=50*0.4,2,IF(E114&gt;=50*0.33,1,0))))))))</f>
        <v/>
      </c>
      <c r="X114">
        <f>IF(B114="","",IF(F114&lt;33.0,0,IF(F114&gt;=100*0.8,5,IF(F114&gt;=100*0.7,4,IF(F114&gt;=100*0.6,3.5,IF(F114&gt;=100*0.5,3,IF(F114&gt;=100*0.4,2,IF(F114&gt;=100*0.33,1,0))))))))</f>
        <v/>
      </c>
      <c r="Y114">
        <f>IF(B114="","",IF(G114&lt;16.5,0,IF(G114&gt;=50*0.8,5,IF(G114&gt;=50*0.7,4,IF(G114&gt;=50*0.6,3.5,IF(G114&gt;=50*0.5,3,IF(G114&gt;=50*0.4,2,IF(G114&gt;=50*0.33,1,0))))))))</f>
        <v/>
      </c>
      <c r="Z114">
        <f>IF(B114="","",IF(H114&lt;33.0,0,IF(H114&gt;=100*0.8,5,IF(H114&gt;=100*0.7,4,IF(H114&gt;=100*0.6,3.5,IF(H114&gt;=100*0.5,3,IF(H114&gt;=100*0.4,2,IF(H114&gt;=100*0.33,1,0))))))))</f>
        <v/>
      </c>
      <c r="AA114">
        <f>IF(B114="","",IF(I114&lt;33.0,0,IF(I114&gt;=100*0.8,5,IF(I114&gt;=100*0.7,4,IF(I114&gt;=100*0.6,3.5,IF(I114&gt;=100*0.5,3,IF(I114&gt;=100*0.4,2,IF(I114&gt;=100*0.33,1,0))))))))</f>
        <v/>
      </c>
      <c r="AB114">
        <f>IF(B114="","",IF(J114&lt;33.0,0,IF(J114&gt;=100*0.8,5,IF(J114&gt;=100*0.7,4,IF(J114&gt;=100*0.6,3.5,IF(J114&gt;=100*0.5,3,IF(J114&gt;=100*0.4,2,IF(J114&gt;=100*0.33,1,0))))))))</f>
        <v/>
      </c>
      <c r="AC114">
        <f>IF(B114="","",IF(K114&lt;33.0,0,IF(K114&gt;=100*0.8,5,IF(K114&gt;=100*0.7,4,IF(K114&gt;=100*0.6,3.5,IF(K114&gt;=100*0.5,3,IF(K114&gt;=100*0.4,2,IF(K114&gt;=100*0.33,1,0))))))))</f>
        <v/>
      </c>
      <c r="AD114">
        <f>IF(B114="","",IF(L114&lt;33.0,0,IF(L114&gt;=100*0.8,5,IF(L114&gt;=100*0.7,4,IF(L114&gt;=100*0.6,3.5,IF(L114&gt;=100*0.5,3,IF(L114&gt;=100*0.4,2,IF(L114&gt;=100*0.33,1,0))))))))</f>
        <v/>
      </c>
      <c r="AE114">
        <f>IF(B114="","",IF(M114&lt;33.0,0,IF(M114&gt;=100*0.8,5,IF(M114&gt;=100*0.7,4,IF(M114&gt;=100*0.6,3.5,IF(M114&gt;=100*0.5,3,IF(M114&gt;=100*0.4,2,IF(M114&gt;=100*0.33,1,0))))))))</f>
        <v/>
      </c>
      <c r="AF114">
        <f>IF(B114="","",IF(N114&lt;16.5,0,IF(N114&gt;=50*0.8,5,IF(N114&gt;=50*0.7,4,IF(N114&gt;=50*0.6,3.5,IF(N114&gt;=50*0.5,3,IF(N114&gt;=50*0.4,2,IF(N114&gt;=50*0.33,1,0))))))))</f>
        <v/>
      </c>
      <c r="AG114">
        <f>IF(B114="","",IF(O114&lt;33.0,0,IF(O114&gt;=100*0.8,5,IF(O114&gt;=100*0.7,4,IF(O114&gt;=100*0.6,3.5,IF(O114&gt;=100*0.5,3,IF(O114&gt;=100*0.4,2,IF(O114&gt;=100*0.33,1,0))))))))</f>
        <v/>
      </c>
      <c r="AH114">
        <f>IF(B114="","",IF(OR(U114=0,V114=0,W114=0,X114=0,Y114=0,Z114=0,AA114=0,AB114=0,AC114=0,AD114=0,AE114=0,AF114=0,AG114=0),1,0))</f>
        <v/>
      </c>
    </row>
    <row r="115">
      <c r="A115" s="3">
        <f>IF(B115="","",ROW()-2)</f>
        <v/>
      </c>
      <c r="P115" s="4">
        <f>IF(B115="","",SUM(C115:O115))</f>
        <v/>
      </c>
      <c r="Q115" s="5">
        <f>IF(B115="","",ROUND(P115/13,2))</f>
        <v/>
      </c>
      <c r="R115" s="5">
        <f>IF(B115="","",IF(AH115=1,0,MIN(5,ROUND((U115+V115+W115+X115+Y115+Z115+AA115+AB115+AC115+AD115+AE115+AF115+AG115)/13,2))))</f>
        <v/>
      </c>
      <c r="S115" s="3">
        <f>IF(B115="","",IF(R115&gt;=5,"A+",IF(R115&gt;=4,"A",IF(R115&gt;=3.5,"A-",IF(R115&gt;=3,"B",IF(R115&gt;=2,"C",IF(R115&gt;=1,"D","F")))))))</f>
        <v/>
      </c>
      <c r="T115" s="3">
        <f>IF(OR(B115="",S115="F"),"",COUNTIFS(P:P,"&gt;"&amp;P115,S:S,"&lt;&gt;F")+1)</f>
        <v/>
      </c>
      <c r="U115">
        <f>IF(B115="","",IF(C115&lt;33.0,0,IF(C115&gt;=100*0.8,5,IF(C115&gt;=100*0.7,4,IF(C115&gt;=100*0.6,3.5,IF(C115&gt;=100*0.5,3,IF(C115&gt;=100*0.4,2,IF(C115&gt;=100*0.33,1,0))))))))</f>
        <v/>
      </c>
      <c r="V115">
        <f>IF(B115="","",IF(D115&lt;33.0,0,IF(D115&gt;=100*0.8,5,IF(D115&gt;=100*0.7,4,IF(D115&gt;=100*0.6,3.5,IF(D115&gt;=100*0.5,3,IF(D115&gt;=100*0.4,2,IF(D115&gt;=100*0.33,1,0))))))))</f>
        <v/>
      </c>
      <c r="W115">
        <f>IF(B115="","",IF(E115&lt;16.5,0,IF(E115&gt;=50*0.8,5,IF(E115&gt;=50*0.7,4,IF(E115&gt;=50*0.6,3.5,IF(E115&gt;=50*0.5,3,IF(E115&gt;=50*0.4,2,IF(E115&gt;=50*0.33,1,0))))))))</f>
        <v/>
      </c>
      <c r="X115">
        <f>IF(B115="","",IF(F115&lt;33.0,0,IF(F115&gt;=100*0.8,5,IF(F115&gt;=100*0.7,4,IF(F115&gt;=100*0.6,3.5,IF(F115&gt;=100*0.5,3,IF(F115&gt;=100*0.4,2,IF(F115&gt;=100*0.33,1,0))))))))</f>
        <v/>
      </c>
      <c r="Y115">
        <f>IF(B115="","",IF(G115&lt;16.5,0,IF(G115&gt;=50*0.8,5,IF(G115&gt;=50*0.7,4,IF(G115&gt;=50*0.6,3.5,IF(G115&gt;=50*0.5,3,IF(G115&gt;=50*0.4,2,IF(G115&gt;=50*0.33,1,0))))))))</f>
        <v/>
      </c>
      <c r="Z115">
        <f>IF(B115="","",IF(H115&lt;33.0,0,IF(H115&gt;=100*0.8,5,IF(H115&gt;=100*0.7,4,IF(H115&gt;=100*0.6,3.5,IF(H115&gt;=100*0.5,3,IF(H115&gt;=100*0.4,2,IF(H115&gt;=100*0.33,1,0))))))))</f>
        <v/>
      </c>
      <c r="AA115">
        <f>IF(B115="","",IF(I115&lt;33.0,0,IF(I115&gt;=100*0.8,5,IF(I115&gt;=100*0.7,4,IF(I115&gt;=100*0.6,3.5,IF(I115&gt;=100*0.5,3,IF(I115&gt;=100*0.4,2,IF(I115&gt;=100*0.33,1,0))))))))</f>
        <v/>
      </c>
      <c r="AB115">
        <f>IF(B115="","",IF(J115&lt;33.0,0,IF(J115&gt;=100*0.8,5,IF(J115&gt;=100*0.7,4,IF(J115&gt;=100*0.6,3.5,IF(J115&gt;=100*0.5,3,IF(J115&gt;=100*0.4,2,IF(J115&gt;=100*0.33,1,0))))))))</f>
        <v/>
      </c>
      <c r="AC115">
        <f>IF(B115="","",IF(K115&lt;33.0,0,IF(K115&gt;=100*0.8,5,IF(K115&gt;=100*0.7,4,IF(K115&gt;=100*0.6,3.5,IF(K115&gt;=100*0.5,3,IF(K115&gt;=100*0.4,2,IF(K115&gt;=100*0.33,1,0))))))))</f>
        <v/>
      </c>
      <c r="AD115">
        <f>IF(B115="","",IF(L115&lt;33.0,0,IF(L115&gt;=100*0.8,5,IF(L115&gt;=100*0.7,4,IF(L115&gt;=100*0.6,3.5,IF(L115&gt;=100*0.5,3,IF(L115&gt;=100*0.4,2,IF(L115&gt;=100*0.33,1,0))))))))</f>
        <v/>
      </c>
      <c r="AE115">
        <f>IF(B115="","",IF(M115&lt;33.0,0,IF(M115&gt;=100*0.8,5,IF(M115&gt;=100*0.7,4,IF(M115&gt;=100*0.6,3.5,IF(M115&gt;=100*0.5,3,IF(M115&gt;=100*0.4,2,IF(M115&gt;=100*0.33,1,0))))))))</f>
        <v/>
      </c>
      <c r="AF115">
        <f>IF(B115="","",IF(N115&lt;16.5,0,IF(N115&gt;=50*0.8,5,IF(N115&gt;=50*0.7,4,IF(N115&gt;=50*0.6,3.5,IF(N115&gt;=50*0.5,3,IF(N115&gt;=50*0.4,2,IF(N115&gt;=50*0.33,1,0))))))))</f>
        <v/>
      </c>
      <c r="AG115">
        <f>IF(B115="","",IF(O115&lt;33.0,0,IF(O115&gt;=100*0.8,5,IF(O115&gt;=100*0.7,4,IF(O115&gt;=100*0.6,3.5,IF(O115&gt;=100*0.5,3,IF(O115&gt;=100*0.4,2,IF(O115&gt;=100*0.33,1,0))))))))</f>
        <v/>
      </c>
      <c r="AH115">
        <f>IF(B115="","",IF(OR(U115=0,V115=0,W115=0,X115=0,Y115=0,Z115=0,AA115=0,AB115=0,AC115=0,AD115=0,AE115=0,AF115=0,AG115=0),1,0))</f>
        <v/>
      </c>
    </row>
    <row r="116">
      <c r="A116" s="3">
        <f>IF(B116="","",ROW()-2)</f>
        <v/>
      </c>
      <c r="P116" s="4">
        <f>IF(B116="","",SUM(C116:O116))</f>
        <v/>
      </c>
      <c r="Q116" s="5">
        <f>IF(B116="","",ROUND(P116/13,2))</f>
        <v/>
      </c>
      <c r="R116" s="5">
        <f>IF(B116="","",IF(AH116=1,0,MIN(5,ROUND((U116+V116+W116+X116+Y116+Z116+AA116+AB116+AC116+AD116+AE116+AF116+AG116)/13,2))))</f>
        <v/>
      </c>
      <c r="S116" s="3">
        <f>IF(B116="","",IF(R116&gt;=5,"A+",IF(R116&gt;=4,"A",IF(R116&gt;=3.5,"A-",IF(R116&gt;=3,"B",IF(R116&gt;=2,"C",IF(R116&gt;=1,"D","F")))))))</f>
        <v/>
      </c>
      <c r="T116" s="3">
        <f>IF(OR(B116="",S116="F"),"",COUNTIFS(P:P,"&gt;"&amp;P116,S:S,"&lt;&gt;F")+1)</f>
        <v/>
      </c>
      <c r="U116">
        <f>IF(B116="","",IF(C116&lt;33.0,0,IF(C116&gt;=100*0.8,5,IF(C116&gt;=100*0.7,4,IF(C116&gt;=100*0.6,3.5,IF(C116&gt;=100*0.5,3,IF(C116&gt;=100*0.4,2,IF(C116&gt;=100*0.33,1,0))))))))</f>
        <v/>
      </c>
      <c r="V116">
        <f>IF(B116="","",IF(D116&lt;33.0,0,IF(D116&gt;=100*0.8,5,IF(D116&gt;=100*0.7,4,IF(D116&gt;=100*0.6,3.5,IF(D116&gt;=100*0.5,3,IF(D116&gt;=100*0.4,2,IF(D116&gt;=100*0.33,1,0))))))))</f>
        <v/>
      </c>
      <c r="W116">
        <f>IF(B116="","",IF(E116&lt;16.5,0,IF(E116&gt;=50*0.8,5,IF(E116&gt;=50*0.7,4,IF(E116&gt;=50*0.6,3.5,IF(E116&gt;=50*0.5,3,IF(E116&gt;=50*0.4,2,IF(E116&gt;=50*0.33,1,0))))))))</f>
        <v/>
      </c>
      <c r="X116">
        <f>IF(B116="","",IF(F116&lt;33.0,0,IF(F116&gt;=100*0.8,5,IF(F116&gt;=100*0.7,4,IF(F116&gt;=100*0.6,3.5,IF(F116&gt;=100*0.5,3,IF(F116&gt;=100*0.4,2,IF(F116&gt;=100*0.33,1,0))))))))</f>
        <v/>
      </c>
      <c r="Y116">
        <f>IF(B116="","",IF(G116&lt;16.5,0,IF(G116&gt;=50*0.8,5,IF(G116&gt;=50*0.7,4,IF(G116&gt;=50*0.6,3.5,IF(G116&gt;=50*0.5,3,IF(G116&gt;=50*0.4,2,IF(G116&gt;=50*0.33,1,0))))))))</f>
        <v/>
      </c>
      <c r="Z116">
        <f>IF(B116="","",IF(H116&lt;33.0,0,IF(H116&gt;=100*0.8,5,IF(H116&gt;=100*0.7,4,IF(H116&gt;=100*0.6,3.5,IF(H116&gt;=100*0.5,3,IF(H116&gt;=100*0.4,2,IF(H116&gt;=100*0.33,1,0))))))))</f>
        <v/>
      </c>
      <c r="AA116">
        <f>IF(B116="","",IF(I116&lt;33.0,0,IF(I116&gt;=100*0.8,5,IF(I116&gt;=100*0.7,4,IF(I116&gt;=100*0.6,3.5,IF(I116&gt;=100*0.5,3,IF(I116&gt;=100*0.4,2,IF(I116&gt;=100*0.33,1,0))))))))</f>
        <v/>
      </c>
      <c r="AB116">
        <f>IF(B116="","",IF(J116&lt;33.0,0,IF(J116&gt;=100*0.8,5,IF(J116&gt;=100*0.7,4,IF(J116&gt;=100*0.6,3.5,IF(J116&gt;=100*0.5,3,IF(J116&gt;=100*0.4,2,IF(J116&gt;=100*0.33,1,0))))))))</f>
        <v/>
      </c>
      <c r="AC116">
        <f>IF(B116="","",IF(K116&lt;33.0,0,IF(K116&gt;=100*0.8,5,IF(K116&gt;=100*0.7,4,IF(K116&gt;=100*0.6,3.5,IF(K116&gt;=100*0.5,3,IF(K116&gt;=100*0.4,2,IF(K116&gt;=100*0.33,1,0))))))))</f>
        <v/>
      </c>
      <c r="AD116">
        <f>IF(B116="","",IF(L116&lt;33.0,0,IF(L116&gt;=100*0.8,5,IF(L116&gt;=100*0.7,4,IF(L116&gt;=100*0.6,3.5,IF(L116&gt;=100*0.5,3,IF(L116&gt;=100*0.4,2,IF(L116&gt;=100*0.33,1,0))))))))</f>
        <v/>
      </c>
      <c r="AE116">
        <f>IF(B116="","",IF(M116&lt;33.0,0,IF(M116&gt;=100*0.8,5,IF(M116&gt;=100*0.7,4,IF(M116&gt;=100*0.6,3.5,IF(M116&gt;=100*0.5,3,IF(M116&gt;=100*0.4,2,IF(M116&gt;=100*0.33,1,0))))))))</f>
        <v/>
      </c>
      <c r="AF116">
        <f>IF(B116="","",IF(N116&lt;16.5,0,IF(N116&gt;=50*0.8,5,IF(N116&gt;=50*0.7,4,IF(N116&gt;=50*0.6,3.5,IF(N116&gt;=50*0.5,3,IF(N116&gt;=50*0.4,2,IF(N116&gt;=50*0.33,1,0))))))))</f>
        <v/>
      </c>
      <c r="AG116">
        <f>IF(B116="","",IF(O116&lt;33.0,0,IF(O116&gt;=100*0.8,5,IF(O116&gt;=100*0.7,4,IF(O116&gt;=100*0.6,3.5,IF(O116&gt;=100*0.5,3,IF(O116&gt;=100*0.4,2,IF(O116&gt;=100*0.33,1,0))))))))</f>
        <v/>
      </c>
      <c r="AH116">
        <f>IF(B116="","",IF(OR(U116=0,V116=0,W116=0,X116=0,Y116=0,Z116=0,AA116=0,AB116=0,AC116=0,AD116=0,AE116=0,AF116=0,AG116=0),1,0))</f>
        <v/>
      </c>
    </row>
    <row r="117">
      <c r="A117" s="3">
        <f>IF(B117="","",ROW()-2)</f>
        <v/>
      </c>
      <c r="P117" s="4">
        <f>IF(B117="","",SUM(C117:O117))</f>
        <v/>
      </c>
      <c r="Q117" s="5">
        <f>IF(B117="","",ROUND(P117/13,2))</f>
        <v/>
      </c>
      <c r="R117" s="5">
        <f>IF(B117="","",IF(AH117=1,0,MIN(5,ROUND((U117+V117+W117+X117+Y117+Z117+AA117+AB117+AC117+AD117+AE117+AF117+AG117)/13,2))))</f>
        <v/>
      </c>
      <c r="S117" s="3">
        <f>IF(B117="","",IF(R117&gt;=5,"A+",IF(R117&gt;=4,"A",IF(R117&gt;=3.5,"A-",IF(R117&gt;=3,"B",IF(R117&gt;=2,"C",IF(R117&gt;=1,"D","F")))))))</f>
        <v/>
      </c>
      <c r="T117" s="3">
        <f>IF(OR(B117="",S117="F"),"",COUNTIFS(P:P,"&gt;"&amp;P117,S:S,"&lt;&gt;F")+1)</f>
        <v/>
      </c>
      <c r="U117">
        <f>IF(B117="","",IF(C117&lt;33.0,0,IF(C117&gt;=100*0.8,5,IF(C117&gt;=100*0.7,4,IF(C117&gt;=100*0.6,3.5,IF(C117&gt;=100*0.5,3,IF(C117&gt;=100*0.4,2,IF(C117&gt;=100*0.33,1,0))))))))</f>
        <v/>
      </c>
      <c r="V117">
        <f>IF(B117="","",IF(D117&lt;33.0,0,IF(D117&gt;=100*0.8,5,IF(D117&gt;=100*0.7,4,IF(D117&gt;=100*0.6,3.5,IF(D117&gt;=100*0.5,3,IF(D117&gt;=100*0.4,2,IF(D117&gt;=100*0.33,1,0))))))))</f>
        <v/>
      </c>
      <c r="W117">
        <f>IF(B117="","",IF(E117&lt;16.5,0,IF(E117&gt;=50*0.8,5,IF(E117&gt;=50*0.7,4,IF(E117&gt;=50*0.6,3.5,IF(E117&gt;=50*0.5,3,IF(E117&gt;=50*0.4,2,IF(E117&gt;=50*0.33,1,0))))))))</f>
        <v/>
      </c>
      <c r="X117">
        <f>IF(B117="","",IF(F117&lt;33.0,0,IF(F117&gt;=100*0.8,5,IF(F117&gt;=100*0.7,4,IF(F117&gt;=100*0.6,3.5,IF(F117&gt;=100*0.5,3,IF(F117&gt;=100*0.4,2,IF(F117&gt;=100*0.33,1,0))))))))</f>
        <v/>
      </c>
      <c r="Y117">
        <f>IF(B117="","",IF(G117&lt;16.5,0,IF(G117&gt;=50*0.8,5,IF(G117&gt;=50*0.7,4,IF(G117&gt;=50*0.6,3.5,IF(G117&gt;=50*0.5,3,IF(G117&gt;=50*0.4,2,IF(G117&gt;=50*0.33,1,0))))))))</f>
        <v/>
      </c>
      <c r="Z117">
        <f>IF(B117="","",IF(H117&lt;33.0,0,IF(H117&gt;=100*0.8,5,IF(H117&gt;=100*0.7,4,IF(H117&gt;=100*0.6,3.5,IF(H117&gt;=100*0.5,3,IF(H117&gt;=100*0.4,2,IF(H117&gt;=100*0.33,1,0))))))))</f>
        <v/>
      </c>
      <c r="AA117">
        <f>IF(B117="","",IF(I117&lt;33.0,0,IF(I117&gt;=100*0.8,5,IF(I117&gt;=100*0.7,4,IF(I117&gt;=100*0.6,3.5,IF(I117&gt;=100*0.5,3,IF(I117&gt;=100*0.4,2,IF(I117&gt;=100*0.33,1,0))))))))</f>
        <v/>
      </c>
      <c r="AB117">
        <f>IF(B117="","",IF(J117&lt;33.0,0,IF(J117&gt;=100*0.8,5,IF(J117&gt;=100*0.7,4,IF(J117&gt;=100*0.6,3.5,IF(J117&gt;=100*0.5,3,IF(J117&gt;=100*0.4,2,IF(J117&gt;=100*0.33,1,0))))))))</f>
        <v/>
      </c>
      <c r="AC117">
        <f>IF(B117="","",IF(K117&lt;33.0,0,IF(K117&gt;=100*0.8,5,IF(K117&gt;=100*0.7,4,IF(K117&gt;=100*0.6,3.5,IF(K117&gt;=100*0.5,3,IF(K117&gt;=100*0.4,2,IF(K117&gt;=100*0.33,1,0))))))))</f>
        <v/>
      </c>
      <c r="AD117">
        <f>IF(B117="","",IF(L117&lt;33.0,0,IF(L117&gt;=100*0.8,5,IF(L117&gt;=100*0.7,4,IF(L117&gt;=100*0.6,3.5,IF(L117&gt;=100*0.5,3,IF(L117&gt;=100*0.4,2,IF(L117&gt;=100*0.33,1,0))))))))</f>
        <v/>
      </c>
      <c r="AE117">
        <f>IF(B117="","",IF(M117&lt;33.0,0,IF(M117&gt;=100*0.8,5,IF(M117&gt;=100*0.7,4,IF(M117&gt;=100*0.6,3.5,IF(M117&gt;=100*0.5,3,IF(M117&gt;=100*0.4,2,IF(M117&gt;=100*0.33,1,0))))))))</f>
        <v/>
      </c>
      <c r="AF117">
        <f>IF(B117="","",IF(N117&lt;16.5,0,IF(N117&gt;=50*0.8,5,IF(N117&gt;=50*0.7,4,IF(N117&gt;=50*0.6,3.5,IF(N117&gt;=50*0.5,3,IF(N117&gt;=50*0.4,2,IF(N117&gt;=50*0.33,1,0))))))))</f>
        <v/>
      </c>
      <c r="AG117">
        <f>IF(B117="","",IF(O117&lt;33.0,0,IF(O117&gt;=100*0.8,5,IF(O117&gt;=100*0.7,4,IF(O117&gt;=100*0.6,3.5,IF(O117&gt;=100*0.5,3,IF(O117&gt;=100*0.4,2,IF(O117&gt;=100*0.33,1,0))))))))</f>
        <v/>
      </c>
      <c r="AH117">
        <f>IF(B117="","",IF(OR(U117=0,V117=0,W117=0,X117=0,Y117=0,Z117=0,AA117=0,AB117=0,AC117=0,AD117=0,AE117=0,AF117=0,AG117=0),1,0))</f>
        <v/>
      </c>
    </row>
    <row r="118">
      <c r="A118" s="3">
        <f>IF(B118="","",ROW()-2)</f>
        <v/>
      </c>
      <c r="P118" s="4">
        <f>IF(B118="","",SUM(C118:O118))</f>
        <v/>
      </c>
      <c r="Q118" s="5">
        <f>IF(B118="","",ROUND(P118/13,2))</f>
        <v/>
      </c>
      <c r="R118" s="5">
        <f>IF(B118="","",IF(AH118=1,0,MIN(5,ROUND((U118+V118+W118+X118+Y118+Z118+AA118+AB118+AC118+AD118+AE118+AF118+AG118)/13,2))))</f>
        <v/>
      </c>
      <c r="S118" s="3">
        <f>IF(B118="","",IF(R118&gt;=5,"A+",IF(R118&gt;=4,"A",IF(R118&gt;=3.5,"A-",IF(R118&gt;=3,"B",IF(R118&gt;=2,"C",IF(R118&gt;=1,"D","F")))))))</f>
        <v/>
      </c>
      <c r="T118" s="3">
        <f>IF(OR(B118="",S118="F"),"",COUNTIFS(P:P,"&gt;"&amp;P118,S:S,"&lt;&gt;F")+1)</f>
        <v/>
      </c>
      <c r="U118">
        <f>IF(B118="","",IF(C118&lt;33.0,0,IF(C118&gt;=100*0.8,5,IF(C118&gt;=100*0.7,4,IF(C118&gt;=100*0.6,3.5,IF(C118&gt;=100*0.5,3,IF(C118&gt;=100*0.4,2,IF(C118&gt;=100*0.33,1,0))))))))</f>
        <v/>
      </c>
      <c r="V118">
        <f>IF(B118="","",IF(D118&lt;33.0,0,IF(D118&gt;=100*0.8,5,IF(D118&gt;=100*0.7,4,IF(D118&gt;=100*0.6,3.5,IF(D118&gt;=100*0.5,3,IF(D118&gt;=100*0.4,2,IF(D118&gt;=100*0.33,1,0))))))))</f>
        <v/>
      </c>
      <c r="W118">
        <f>IF(B118="","",IF(E118&lt;16.5,0,IF(E118&gt;=50*0.8,5,IF(E118&gt;=50*0.7,4,IF(E118&gt;=50*0.6,3.5,IF(E118&gt;=50*0.5,3,IF(E118&gt;=50*0.4,2,IF(E118&gt;=50*0.33,1,0))))))))</f>
        <v/>
      </c>
      <c r="X118">
        <f>IF(B118="","",IF(F118&lt;33.0,0,IF(F118&gt;=100*0.8,5,IF(F118&gt;=100*0.7,4,IF(F118&gt;=100*0.6,3.5,IF(F118&gt;=100*0.5,3,IF(F118&gt;=100*0.4,2,IF(F118&gt;=100*0.33,1,0))))))))</f>
        <v/>
      </c>
      <c r="Y118">
        <f>IF(B118="","",IF(G118&lt;16.5,0,IF(G118&gt;=50*0.8,5,IF(G118&gt;=50*0.7,4,IF(G118&gt;=50*0.6,3.5,IF(G118&gt;=50*0.5,3,IF(G118&gt;=50*0.4,2,IF(G118&gt;=50*0.33,1,0))))))))</f>
        <v/>
      </c>
      <c r="Z118">
        <f>IF(B118="","",IF(H118&lt;33.0,0,IF(H118&gt;=100*0.8,5,IF(H118&gt;=100*0.7,4,IF(H118&gt;=100*0.6,3.5,IF(H118&gt;=100*0.5,3,IF(H118&gt;=100*0.4,2,IF(H118&gt;=100*0.33,1,0))))))))</f>
        <v/>
      </c>
      <c r="AA118">
        <f>IF(B118="","",IF(I118&lt;33.0,0,IF(I118&gt;=100*0.8,5,IF(I118&gt;=100*0.7,4,IF(I118&gt;=100*0.6,3.5,IF(I118&gt;=100*0.5,3,IF(I118&gt;=100*0.4,2,IF(I118&gt;=100*0.33,1,0))))))))</f>
        <v/>
      </c>
      <c r="AB118">
        <f>IF(B118="","",IF(J118&lt;33.0,0,IF(J118&gt;=100*0.8,5,IF(J118&gt;=100*0.7,4,IF(J118&gt;=100*0.6,3.5,IF(J118&gt;=100*0.5,3,IF(J118&gt;=100*0.4,2,IF(J118&gt;=100*0.33,1,0))))))))</f>
        <v/>
      </c>
      <c r="AC118">
        <f>IF(B118="","",IF(K118&lt;33.0,0,IF(K118&gt;=100*0.8,5,IF(K118&gt;=100*0.7,4,IF(K118&gt;=100*0.6,3.5,IF(K118&gt;=100*0.5,3,IF(K118&gt;=100*0.4,2,IF(K118&gt;=100*0.33,1,0))))))))</f>
        <v/>
      </c>
      <c r="AD118">
        <f>IF(B118="","",IF(L118&lt;33.0,0,IF(L118&gt;=100*0.8,5,IF(L118&gt;=100*0.7,4,IF(L118&gt;=100*0.6,3.5,IF(L118&gt;=100*0.5,3,IF(L118&gt;=100*0.4,2,IF(L118&gt;=100*0.33,1,0))))))))</f>
        <v/>
      </c>
      <c r="AE118">
        <f>IF(B118="","",IF(M118&lt;33.0,0,IF(M118&gt;=100*0.8,5,IF(M118&gt;=100*0.7,4,IF(M118&gt;=100*0.6,3.5,IF(M118&gt;=100*0.5,3,IF(M118&gt;=100*0.4,2,IF(M118&gt;=100*0.33,1,0))))))))</f>
        <v/>
      </c>
      <c r="AF118">
        <f>IF(B118="","",IF(N118&lt;16.5,0,IF(N118&gt;=50*0.8,5,IF(N118&gt;=50*0.7,4,IF(N118&gt;=50*0.6,3.5,IF(N118&gt;=50*0.5,3,IF(N118&gt;=50*0.4,2,IF(N118&gt;=50*0.33,1,0))))))))</f>
        <v/>
      </c>
      <c r="AG118">
        <f>IF(B118="","",IF(O118&lt;33.0,0,IF(O118&gt;=100*0.8,5,IF(O118&gt;=100*0.7,4,IF(O118&gt;=100*0.6,3.5,IF(O118&gt;=100*0.5,3,IF(O118&gt;=100*0.4,2,IF(O118&gt;=100*0.33,1,0))))))))</f>
        <v/>
      </c>
      <c r="AH118">
        <f>IF(B118="","",IF(OR(U118=0,V118=0,W118=0,X118=0,Y118=0,Z118=0,AA118=0,AB118=0,AC118=0,AD118=0,AE118=0,AF118=0,AG118=0),1,0))</f>
        <v/>
      </c>
    </row>
    <row r="119">
      <c r="A119" s="3">
        <f>IF(B119="","",ROW()-2)</f>
        <v/>
      </c>
      <c r="P119" s="4">
        <f>IF(B119="","",SUM(C119:O119))</f>
        <v/>
      </c>
      <c r="Q119" s="5">
        <f>IF(B119="","",ROUND(P119/13,2))</f>
        <v/>
      </c>
      <c r="R119" s="5">
        <f>IF(B119="","",IF(AH119=1,0,MIN(5,ROUND((U119+V119+W119+X119+Y119+Z119+AA119+AB119+AC119+AD119+AE119+AF119+AG119)/13,2))))</f>
        <v/>
      </c>
      <c r="S119" s="3">
        <f>IF(B119="","",IF(R119&gt;=5,"A+",IF(R119&gt;=4,"A",IF(R119&gt;=3.5,"A-",IF(R119&gt;=3,"B",IF(R119&gt;=2,"C",IF(R119&gt;=1,"D","F")))))))</f>
        <v/>
      </c>
      <c r="T119" s="3">
        <f>IF(OR(B119="",S119="F"),"",COUNTIFS(P:P,"&gt;"&amp;P119,S:S,"&lt;&gt;F")+1)</f>
        <v/>
      </c>
      <c r="U119">
        <f>IF(B119="","",IF(C119&lt;33.0,0,IF(C119&gt;=100*0.8,5,IF(C119&gt;=100*0.7,4,IF(C119&gt;=100*0.6,3.5,IF(C119&gt;=100*0.5,3,IF(C119&gt;=100*0.4,2,IF(C119&gt;=100*0.33,1,0))))))))</f>
        <v/>
      </c>
      <c r="V119">
        <f>IF(B119="","",IF(D119&lt;33.0,0,IF(D119&gt;=100*0.8,5,IF(D119&gt;=100*0.7,4,IF(D119&gt;=100*0.6,3.5,IF(D119&gt;=100*0.5,3,IF(D119&gt;=100*0.4,2,IF(D119&gt;=100*0.33,1,0))))))))</f>
        <v/>
      </c>
      <c r="W119">
        <f>IF(B119="","",IF(E119&lt;16.5,0,IF(E119&gt;=50*0.8,5,IF(E119&gt;=50*0.7,4,IF(E119&gt;=50*0.6,3.5,IF(E119&gt;=50*0.5,3,IF(E119&gt;=50*0.4,2,IF(E119&gt;=50*0.33,1,0))))))))</f>
        <v/>
      </c>
      <c r="X119">
        <f>IF(B119="","",IF(F119&lt;33.0,0,IF(F119&gt;=100*0.8,5,IF(F119&gt;=100*0.7,4,IF(F119&gt;=100*0.6,3.5,IF(F119&gt;=100*0.5,3,IF(F119&gt;=100*0.4,2,IF(F119&gt;=100*0.33,1,0))))))))</f>
        <v/>
      </c>
      <c r="Y119">
        <f>IF(B119="","",IF(G119&lt;16.5,0,IF(G119&gt;=50*0.8,5,IF(G119&gt;=50*0.7,4,IF(G119&gt;=50*0.6,3.5,IF(G119&gt;=50*0.5,3,IF(G119&gt;=50*0.4,2,IF(G119&gt;=50*0.33,1,0))))))))</f>
        <v/>
      </c>
      <c r="Z119">
        <f>IF(B119="","",IF(H119&lt;33.0,0,IF(H119&gt;=100*0.8,5,IF(H119&gt;=100*0.7,4,IF(H119&gt;=100*0.6,3.5,IF(H119&gt;=100*0.5,3,IF(H119&gt;=100*0.4,2,IF(H119&gt;=100*0.33,1,0))))))))</f>
        <v/>
      </c>
      <c r="AA119">
        <f>IF(B119="","",IF(I119&lt;33.0,0,IF(I119&gt;=100*0.8,5,IF(I119&gt;=100*0.7,4,IF(I119&gt;=100*0.6,3.5,IF(I119&gt;=100*0.5,3,IF(I119&gt;=100*0.4,2,IF(I119&gt;=100*0.33,1,0))))))))</f>
        <v/>
      </c>
      <c r="AB119">
        <f>IF(B119="","",IF(J119&lt;33.0,0,IF(J119&gt;=100*0.8,5,IF(J119&gt;=100*0.7,4,IF(J119&gt;=100*0.6,3.5,IF(J119&gt;=100*0.5,3,IF(J119&gt;=100*0.4,2,IF(J119&gt;=100*0.33,1,0))))))))</f>
        <v/>
      </c>
      <c r="AC119">
        <f>IF(B119="","",IF(K119&lt;33.0,0,IF(K119&gt;=100*0.8,5,IF(K119&gt;=100*0.7,4,IF(K119&gt;=100*0.6,3.5,IF(K119&gt;=100*0.5,3,IF(K119&gt;=100*0.4,2,IF(K119&gt;=100*0.33,1,0))))))))</f>
        <v/>
      </c>
      <c r="AD119">
        <f>IF(B119="","",IF(L119&lt;33.0,0,IF(L119&gt;=100*0.8,5,IF(L119&gt;=100*0.7,4,IF(L119&gt;=100*0.6,3.5,IF(L119&gt;=100*0.5,3,IF(L119&gt;=100*0.4,2,IF(L119&gt;=100*0.33,1,0))))))))</f>
        <v/>
      </c>
      <c r="AE119">
        <f>IF(B119="","",IF(M119&lt;33.0,0,IF(M119&gt;=100*0.8,5,IF(M119&gt;=100*0.7,4,IF(M119&gt;=100*0.6,3.5,IF(M119&gt;=100*0.5,3,IF(M119&gt;=100*0.4,2,IF(M119&gt;=100*0.33,1,0))))))))</f>
        <v/>
      </c>
      <c r="AF119">
        <f>IF(B119="","",IF(N119&lt;16.5,0,IF(N119&gt;=50*0.8,5,IF(N119&gt;=50*0.7,4,IF(N119&gt;=50*0.6,3.5,IF(N119&gt;=50*0.5,3,IF(N119&gt;=50*0.4,2,IF(N119&gt;=50*0.33,1,0))))))))</f>
        <v/>
      </c>
      <c r="AG119">
        <f>IF(B119="","",IF(O119&lt;33.0,0,IF(O119&gt;=100*0.8,5,IF(O119&gt;=100*0.7,4,IF(O119&gt;=100*0.6,3.5,IF(O119&gt;=100*0.5,3,IF(O119&gt;=100*0.4,2,IF(O119&gt;=100*0.33,1,0))))))))</f>
        <v/>
      </c>
      <c r="AH119">
        <f>IF(B119="","",IF(OR(U119=0,V119=0,W119=0,X119=0,Y119=0,Z119=0,AA119=0,AB119=0,AC119=0,AD119=0,AE119=0,AF119=0,AG119=0),1,0))</f>
        <v/>
      </c>
    </row>
    <row r="120">
      <c r="A120" s="3">
        <f>IF(B120="","",ROW()-2)</f>
        <v/>
      </c>
      <c r="P120" s="4">
        <f>IF(B120="","",SUM(C120:O120))</f>
        <v/>
      </c>
      <c r="Q120" s="5">
        <f>IF(B120="","",ROUND(P120/13,2))</f>
        <v/>
      </c>
      <c r="R120" s="5">
        <f>IF(B120="","",IF(AH120=1,0,MIN(5,ROUND((U120+V120+W120+X120+Y120+Z120+AA120+AB120+AC120+AD120+AE120+AF120+AG120)/13,2))))</f>
        <v/>
      </c>
      <c r="S120" s="3">
        <f>IF(B120="","",IF(R120&gt;=5,"A+",IF(R120&gt;=4,"A",IF(R120&gt;=3.5,"A-",IF(R120&gt;=3,"B",IF(R120&gt;=2,"C",IF(R120&gt;=1,"D","F")))))))</f>
        <v/>
      </c>
      <c r="T120" s="3">
        <f>IF(OR(B120="",S120="F"),"",COUNTIFS(P:P,"&gt;"&amp;P120,S:S,"&lt;&gt;F")+1)</f>
        <v/>
      </c>
      <c r="U120">
        <f>IF(B120="","",IF(C120&lt;33.0,0,IF(C120&gt;=100*0.8,5,IF(C120&gt;=100*0.7,4,IF(C120&gt;=100*0.6,3.5,IF(C120&gt;=100*0.5,3,IF(C120&gt;=100*0.4,2,IF(C120&gt;=100*0.33,1,0))))))))</f>
        <v/>
      </c>
      <c r="V120">
        <f>IF(B120="","",IF(D120&lt;33.0,0,IF(D120&gt;=100*0.8,5,IF(D120&gt;=100*0.7,4,IF(D120&gt;=100*0.6,3.5,IF(D120&gt;=100*0.5,3,IF(D120&gt;=100*0.4,2,IF(D120&gt;=100*0.33,1,0))))))))</f>
        <v/>
      </c>
      <c r="W120">
        <f>IF(B120="","",IF(E120&lt;16.5,0,IF(E120&gt;=50*0.8,5,IF(E120&gt;=50*0.7,4,IF(E120&gt;=50*0.6,3.5,IF(E120&gt;=50*0.5,3,IF(E120&gt;=50*0.4,2,IF(E120&gt;=50*0.33,1,0))))))))</f>
        <v/>
      </c>
      <c r="X120">
        <f>IF(B120="","",IF(F120&lt;33.0,0,IF(F120&gt;=100*0.8,5,IF(F120&gt;=100*0.7,4,IF(F120&gt;=100*0.6,3.5,IF(F120&gt;=100*0.5,3,IF(F120&gt;=100*0.4,2,IF(F120&gt;=100*0.33,1,0))))))))</f>
        <v/>
      </c>
      <c r="Y120">
        <f>IF(B120="","",IF(G120&lt;16.5,0,IF(G120&gt;=50*0.8,5,IF(G120&gt;=50*0.7,4,IF(G120&gt;=50*0.6,3.5,IF(G120&gt;=50*0.5,3,IF(G120&gt;=50*0.4,2,IF(G120&gt;=50*0.33,1,0))))))))</f>
        <v/>
      </c>
      <c r="Z120">
        <f>IF(B120="","",IF(H120&lt;33.0,0,IF(H120&gt;=100*0.8,5,IF(H120&gt;=100*0.7,4,IF(H120&gt;=100*0.6,3.5,IF(H120&gt;=100*0.5,3,IF(H120&gt;=100*0.4,2,IF(H120&gt;=100*0.33,1,0))))))))</f>
        <v/>
      </c>
      <c r="AA120">
        <f>IF(B120="","",IF(I120&lt;33.0,0,IF(I120&gt;=100*0.8,5,IF(I120&gt;=100*0.7,4,IF(I120&gt;=100*0.6,3.5,IF(I120&gt;=100*0.5,3,IF(I120&gt;=100*0.4,2,IF(I120&gt;=100*0.33,1,0))))))))</f>
        <v/>
      </c>
      <c r="AB120">
        <f>IF(B120="","",IF(J120&lt;33.0,0,IF(J120&gt;=100*0.8,5,IF(J120&gt;=100*0.7,4,IF(J120&gt;=100*0.6,3.5,IF(J120&gt;=100*0.5,3,IF(J120&gt;=100*0.4,2,IF(J120&gt;=100*0.33,1,0))))))))</f>
        <v/>
      </c>
      <c r="AC120">
        <f>IF(B120="","",IF(K120&lt;33.0,0,IF(K120&gt;=100*0.8,5,IF(K120&gt;=100*0.7,4,IF(K120&gt;=100*0.6,3.5,IF(K120&gt;=100*0.5,3,IF(K120&gt;=100*0.4,2,IF(K120&gt;=100*0.33,1,0))))))))</f>
        <v/>
      </c>
      <c r="AD120">
        <f>IF(B120="","",IF(L120&lt;33.0,0,IF(L120&gt;=100*0.8,5,IF(L120&gt;=100*0.7,4,IF(L120&gt;=100*0.6,3.5,IF(L120&gt;=100*0.5,3,IF(L120&gt;=100*0.4,2,IF(L120&gt;=100*0.33,1,0))))))))</f>
        <v/>
      </c>
      <c r="AE120">
        <f>IF(B120="","",IF(M120&lt;33.0,0,IF(M120&gt;=100*0.8,5,IF(M120&gt;=100*0.7,4,IF(M120&gt;=100*0.6,3.5,IF(M120&gt;=100*0.5,3,IF(M120&gt;=100*0.4,2,IF(M120&gt;=100*0.33,1,0))))))))</f>
        <v/>
      </c>
      <c r="AF120">
        <f>IF(B120="","",IF(N120&lt;16.5,0,IF(N120&gt;=50*0.8,5,IF(N120&gt;=50*0.7,4,IF(N120&gt;=50*0.6,3.5,IF(N120&gt;=50*0.5,3,IF(N120&gt;=50*0.4,2,IF(N120&gt;=50*0.33,1,0))))))))</f>
        <v/>
      </c>
      <c r="AG120">
        <f>IF(B120="","",IF(O120&lt;33.0,0,IF(O120&gt;=100*0.8,5,IF(O120&gt;=100*0.7,4,IF(O120&gt;=100*0.6,3.5,IF(O120&gt;=100*0.5,3,IF(O120&gt;=100*0.4,2,IF(O120&gt;=100*0.33,1,0))))))))</f>
        <v/>
      </c>
      <c r="AH120">
        <f>IF(B120="","",IF(OR(U120=0,V120=0,W120=0,X120=0,Y120=0,Z120=0,AA120=0,AB120=0,AC120=0,AD120=0,AE120=0,AF120=0,AG120=0),1,0))</f>
        <v/>
      </c>
    </row>
    <row r="121">
      <c r="A121" s="3">
        <f>IF(B121="","",ROW()-2)</f>
        <v/>
      </c>
      <c r="P121" s="4">
        <f>IF(B121="","",SUM(C121:O121))</f>
        <v/>
      </c>
      <c r="Q121" s="5">
        <f>IF(B121="","",ROUND(P121/13,2))</f>
        <v/>
      </c>
      <c r="R121" s="5">
        <f>IF(B121="","",IF(AH121=1,0,MIN(5,ROUND((U121+V121+W121+X121+Y121+Z121+AA121+AB121+AC121+AD121+AE121+AF121+AG121)/13,2))))</f>
        <v/>
      </c>
      <c r="S121" s="3">
        <f>IF(B121="","",IF(R121&gt;=5,"A+",IF(R121&gt;=4,"A",IF(R121&gt;=3.5,"A-",IF(R121&gt;=3,"B",IF(R121&gt;=2,"C",IF(R121&gt;=1,"D","F")))))))</f>
        <v/>
      </c>
      <c r="T121" s="3">
        <f>IF(OR(B121="",S121="F"),"",COUNTIFS(P:P,"&gt;"&amp;P121,S:S,"&lt;&gt;F")+1)</f>
        <v/>
      </c>
      <c r="U121">
        <f>IF(B121="","",IF(C121&lt;33.0,0,IF(C121&gt;=100*0.8,5,IF(C121&gt;=100*0.7,4,IF(C121&gt;=100*0.6,3.5,IF(C121&gt;=100*0.5,3,IF(C121&gt;=100*0.4,2,IF(C121&gt;=100*0.33,1,0))))))))</f>
        <v/>
      </c>
      <c r="V121">
        <f>IF(B121="","",IF(D121&lt;33.0,0,IF(D121&gt;=100*0.8,5,IF(D121&gt;=100*0.7,4,IF(D121&gt;=100*0.6,3.5,IF(D121&gt;=100*0.5,3,IF(D121&gt;=100*0.4,2,IF(D121&gt;=100*0.33,1,0))))))))</f>
        <v/>
      </c>
      <c r="W121">
        <f>IF(B121="","",IF(E121&lt;16.5,0,IF(E121&gt;=50*0.8,5,IF(E121&gt;=50*0.7,4,IF(E121&gt;=50*0.6,3.5,IF(E121&gt;=50*0.5,3,IF(E121&gt;=50*0.4,2,IF(E121&gt;=50*0.33,1,0))))))))</f>
        <v/>
      </c>
      <c r="X121">
        <f>IF(B121="","",IF(F121&lt;33.0,0,IF(F121&gt;=100*0.8,5,IF(F121&gt;=100*0.7,4,IF(F121&gt;=100*0.6,3.5,IF(F121&gt;=100*0.5,3,IF(F121&gt;=100*0.4,2,IF(F121&gt;=100*0.33,1,0))))))))</f>
        <v/>
      </c>
      <c r="Y121">
        <f>IF(B121="","",IF(G121&lt;16.5,0,IF(G121&gt;=50*0.8,5,IF(G121&gt;=50*0.7,4,IF(G121&gt;=50*0.6,3.5,IF(G121&gt;=50*0.5,3,IF(G121&gt;=50*0.4,2,IF(G121&gt;=50*0.33,1,0))))))))</f>
        <v/>
      </c>
      <c r="Z121">
        <f>IF(B121="","",IF(H121&lt;33.0,0,IF(H121&gt;=100*0.8,5,IF(H121&gt;=100*0.7,4,IF(H121&gt;=100*0.6,3.5,IF(H121&gt;=100*0.5,3,IF(H121&gt;=100*0.4,2,IF(H121&gt;=100*0.33,1,0))))))))</f>
        <v/>
      </c>
      <c r="AA121">
        <f>IF(B121="","",IF(I121&lt;33.0,0,IF(I121&gt;=100*0.8,5,IF(I121&gt;=100*0.7,4,IF(I121&gt;=100*0.6,3.5,IF(I121&gt;=100*0.5,3,IF(I121&gt;=100*0.4,2,IF(I121&gt;=100*0.33,1,0))))))))</f>
        <v/>
      </c>
      <c r="AB121">
        <f>IF(B121="","",IF(J121&lt;33.0,0,IF(J121&gt;=100*0.8,5,IF(J121&gt;=100*0.7,4,IF(J121&gt;=100*0.6,3.5,IF(J121&gt;=100*0.5,3,IF(J121&gt;=100*0.4,2,IF(J121&gt;=100*0.33,1,0))))))))</f>
        <v/>
      </c>
      <c r="AC121">
        <f>IF(B121="","",IF(K121&lt;33.0,0,IF(K121&gt;=100*0.8,5,IF(K121&gt;=100*0.7,4,IF(K121&gt;=100*0.6,3.5,IF(K121&gt;=100*0.5,3,IF(K121&gt;=100*0.4,2,IF(K121&gt;=100*0.33,1,0))))))))</f>
        <v/>
      </c>
      <c r="AD121">
        <f>IF(B121="","",IF(L121&lt;33.0,0,IF(L121&gt;=100*0.8,5,IF(L121&gt;=100*0.7,4,IF(L121&gt;=100*0.6,3.5,IF(L121&gt;=100*0.5,3,IF(L121&gt;=100*0.4,2,IF(L121&gt;=100*0.33,1,0))))))))</f>
        <v/>
      </c>
      <c r="AE121">
        <f>IF(B121="","",IF(M121&lt;33.0,0,IF(M121&gt;=100*0.8,5,IF(M121&gt;=100*0.7,4,IF(M121&gt;=100*0.6,3.5,IF(M121&gt;=100*0.5,3,IF(M121&gt;=100*0.4,2,IF(M121&gt;=100*0.33,1,0))))))))</f>
        <v/>
      </c>
      <c r="AF121">
        <f>IF(B121="","",IF(N121&lt;16.5,0,IF(N121&gt;=50*0.8,5,IF(N121&gt;=50*0.7,4,IF(N121&gt;=50*0.6,3.5,IF(N121&gt;=50*0.5,3,IF(N121&gt;=50*0.4,2,IF(N121&gt;=50*0.33,1,0))))))))</f>
        <v/>
      </c>
      <c r="AG121">
        <f>IF(B121="","",IF(O121&lt;33.0,0,IF(O121&gt;=100*0.8,5,IF(O121&gt;=100*0.7,4,IF(O121&gt;=100*0.6,3.5,IF(O121&gt;=100*0.5,3,IF(O121&gt;=100*0.4,2,IF(O121&gt;=100*0.33,1,0))))))))</f>
        <v/>
      </c>
      <c r="AH121">
        <f>IF(B121="","",IF(OR(U121=0,V121=0,W121=0,X121=0,Y121=0,Z121=0,AA121=0,AB121=0,AC121=0,AD121=0,AE121=0,AF121=0,AG121=0),1,0))</f>
        <v/>
      </c>
    </row>
    <row r="122">
      <c r="A122" s="3">
        <f>IF(B122="","",ROW()-2)</f>
        <v/>
      </c>
      <c r="P122" s="4">
        <f>IF(B122="","",SUM(C122:O122))</f>
        <v/>
      </c>
      <c r="Q122" s="5">
        <f>IF(B122="","",ROUND(P122/13,2))</f>
        <v/>
      </c>
      <c r="R122" s="5">
        <f>IF(B122="","",IF(AH122=1,0,MIN(5,ROUND((U122+V122+W122+X122+Y122+Z122+AA122+AB122+AC122+AD122+AE122+AF122+AG122)/13,2))))</f>
        <v/>
      </c>
      <c r="S122" s="3">
        <f>IF(B122="","",IF(R122&gt;=5,"A+",IF(R122&gt;=4,"A",IF(R122&gt;=3.5,"A-",IF(R122&gt;=3,"B",IF(R122&gt;=2,"C",IF(R122&gt;=1,"D","F")))))))</f>
        <v/>
      </c>
      <c r="T122" s="3">
        <f>IF(OR(B122="",S122="F"),"",COUNTIFS(P:P,"&gt;"&amp;P122,S:S,"&lt;&gt;F")+1)</f>
        <v/>
      </c>
      <c r="U122">
        <f>IF(B122="","",IF(C122&lt;33.0,0,IF(C122&gt;=100*0.8,5,IF(C122&gt;=100*0.7,4,IF(C122&gt;=100*0.6,3.5,IF(C122&gt;=100*0.5,3,IF(C122&gt;=100*0.4,2,IF(C122&gt;=100*0.33,1,0))))))))</f>
        <v/>
      </c>
      <c r="V122">
        <f>IF(B122="","",IF(D122&lt;33.0,0,IF(D122&gt;=100*0.8,5,IF(D122&gt;=100*0.7,4,IF(D122&gt;=100*0.6,3.5,IF(D122&gt;=100*0.5,3,IF(D122&gt;=100*0.4,2,IF(D122&gt;=100*0.33,1,0))))))))</f>
        <v/>
      </c>
      <c r="W122">
        <f>IF(B122="","",IF(E122&lt;16.5,0,IF(E122&gt;=50*0.8,5,IF(E122&gt;=50*0.7,4,IF(E122&gt;=50*0.6,3.5,IF(E122&gt;=50*0.5,3,IF(E122&gt;=50*0.4,2,IF(E122&gt;=50*0.33,1,0))))))))</f>
        <v/>
      </c>
      <c r="X122">
        <f>IF(B122="","",IF(F122&lt;33.0,0,IF(F122&gt;=100*0.8,5,IF(F122&gt;=100*0.7,4,IF(F122&gt;=100*0.6,3.5,IF(F122&gt;=100*0.5,3,IF(F122&gt;=100*0.4,2,IF(F122&gt;=100*0.33,1,0))))))))</f>
        <v/>
      </c>
      <c r="Y122">
        <f>IF(B122="","",IF(G122&lt;16.5,0,IF(G122&gt;=50*0.8,5,IF(G122&gt;=50*0.7,4,IF(G122&gt;=50*0.6,3.5,IF(G122&gt;=50*0.5,3,IF(G122&gt;=50*0.4,2,IF(G122&gt;=50*0.33,1,0))))))))</f>
        <v/>
      </c>
      <c r="Z122">
        <f>IF(B122="","",IF(H122&lt;33.0,0,IF(H122&gt;=100*0.8,5,IF(H122&gt;=100*0.7,4,IF(H122&gt;=100*0.6,3.5,IF(H122&gt;=100*0.5,3,IF(H122&gt;=100*0.4,2,IF(H122&gt;=100*0.33,1,0))))))))</f>
        <v/>
      </c>
      <c r="AA122">
        <f>IF(B122="","",IF(I122&lt;33.0,0,IF(I122&gt;=100*0.8,5,IF(I122&gt;=100*0.7,4,IF(I122&gt;=100*0.6,3.5,IF(I122&gt;=100*0.5,3,IF(I122&gt;=100*0.4,2,IF(I122&gt;=100*0.33,1,0))))))))</f>
        <v/>
      </c>
      <c r="AB122">
        <f>IF(B122="","",IF(J122&lt;33.0,0,IF(J122&gt;=100*0.8,5,IF(J122&gt;=100*0.7,4,IF(J122&gt;=100*0.6,3.5,IF(J122&gt;=100*0.5,3,IF(J122&gt;=100*0.4,2,IF(J122&gt;=100*0.33,1,0))))))))</f>
        <v/>
      </c>
      <c r="AC122">
        <f>IF(B122="","",IF(K122&lt;33.0,0,IF(K122&gt;=100*0.8,5,IF(K122&gt;=100*0.7,4,IF(K122&gt;=100*0.6,3.5,IF(K122&gt;=100*0.5,3,IF(K122&gt;=100*0.4,2,IF(K122&gt;=100*0.33,1,0))))))))</f>
        <v/>
      </c>
      <c r="AD122">
        <f>IF(B122="","",IF(L122&lt;33.0,0,IF(L122&gt;=100*0.8,5,IF(L122&gt;=100*0.7,4,IF(L122&gt;=100*0.6,3.5,IF(L122&gt;=100*0.5,3,IF(L122&gt;=100*0.4,2,IF(L122&gt;=100*0.33,1,0))))))))</f>
        <v/>
      </c>
      <c r="AE122">
        <f>IF(B122="","",IF(M122&lt;33.0,0,IF(M122&gt;=100*0.8,5,IF(M122&gt;=100*0.7,4,IF(M122&gt;=100*0.6,3.5,IF(M122&gt;=100*0.5,3,IF(M122&gt;=100*0.4,2,IF(M122&gt;=100*0.33,1,0))))))))</f>
        <v/>
      </c>
      <c r="AF122">
        <f>IF(B122="","",IF(N122&lt;16.5,0,IF(N122&gt;=50*0.8,5,IF(N122&gt;=50*0.7,4,IF(N122&gt;=50*0.6,3.5,IF(N122&gt;=50*0.5,3,IF(N122&gt;=50*0.4,2,IF(N122&gt;=50*0.33,1,0))))))))</f>
        <v/>
      </c>
      <c r="AG122">
        <f>IF(B122="","",IF(O122&lt;33.0,0,IF(O122&gt;=100*0.8,5,IF(O122&gt;=100*0.7,4,IF(O122&gt;=100*0.6,3.5,IF(O122&gt;=100*0.5,3,IF(O122&gt;=100*0.4,2,IF(O122&gt;=100*0.33,1,0))))))))</f>
        <v/>
      </c>
      <c r="AH122">
        <f>IF(B122="","",IF(OR(U122=0,V122=0,W122=0,X122=0,Y122=0,Z122=0,AA122=0,AB122=0,AC122=0,AD122=0,AE122=0,AF122=0,AG122=0),1,0))</f>
        <v/>
      </c>
    </row>
    <row r="123">
      <c r="A123" s="3">
        <f>IF(B123="","",ROW()-2)</f>
        <v/>
      </c>
      <c r="P123" s="4">
        <f>IF(B123="","",SUM(C123:O123))</f>
        <v/>
      </c>
      <c r="Q123" s="5">
        <f>IF(B123="","",ROUND(P123/13,2))</f>
        <v/>
      </c>
      <c r="R123" s="5">
        <f>IF(B123="","",IF(AH123=1,0,MIN(5,ROUND((U123+V123+W123+X123+Y123+Z123+AA123+AB123+AC123+AD123+AE123+AF123+AG123)/13,2))))</f>
        <v/>
      </c>
      <c r="S123" s="3">
        <f>IF(B123="","",IF(R123&gt;=5,"A+",IF(R123&gt;=4,"A",IF(R123&gt;=3.5,"A-",IF(R123&gt;=3,"B",IF(R123&gt;=2,"C",IF(R123&gt;=1,"D","F")))))))</f>
        <v/>
      </c>
      <c r="T123" s="3">
        <f>IF(OR(B123="",S123="F"),"",COUNTIFS(P:P,"&gt;"&amp;P123,S:S,"&lt;&gt;F")+1)</f>
        <v/>
      </c>
      <c r="U123">
        <f>IF(B123="","",IF(C123&lt;33.0,0,IF(C123&gt;=100*0.8,5,IF(C123&gt;=100*0.7,4,IF(C123&gt;=100*0.6,3.5,IF(C123&gt;=100*0.5,3,IF(C123&gt;=100*0.4,2,IF(C123&gt;=100*0.33,1,0))))))))</f>
        <v/>
      </c>
      <c r="V123">
        <f>IF(B123="","",IF(D123&lt;33.0,0,IF(D123&gt;=100*0.8,5,IF(D123&gt;=100*0.7,4,IF(D123&gt;=100*0.6,3.5,IF(D123&gt;=100*0.5,3,IF(D123&gt;=100*0.4,2,IF(D123&gt;=100*0.33,1,0))))))))</f>
        <v/>
      </c>
      <c r="W123">
        <f>IF(B123="","",IF(E123&lt;16.5,0,IF(E123&gt;=50*0.8,5,IF(E123&gt;=50*0.7,4,IF(E123&gt;=50*0.6,3.5,IF(E123&gt;=50*0.5,3,IF(E123&gt;=50*0.4,2,IF(E123&gt;=50*0.33,1,0))))))))</f>
        <v/>
      </c>
      <c r="X123">
        <f>IF(B123="","",IF(F123&lt;33.0,0,IF(F123&gt;=100*0.8,5,IF(F123&gt;=100*0.7,4,IF(F123&gt;=100*0.6,3.5,IF(F123&gt;=100*0.5,3,IF(F123&gt;=100*0.4,2,IF(F123&gt;=100*0.33,1,0))))))))</f>
        <v/>
      </c>
      <c r="Y123">
        <f>IF(B123="","",IF(G123&lt;16.5,0,IF(G123&gt;=50*0.8,5,IF(G123&gt;=50*0.7,4,IF(G123&gt;=50*0.6,3.5,IF(G123&gt;=50*0.5,3,IF(G123&gt;=50*0.4,2,IF(G123&gt;=50*0.33,1,0))))))))</f>
        <v/>
      </c>
      <c r="Z123">
        <f>IF(B123="","",IF(H123&lt;33.0,0,IF(H123&gt;=100*0.8,5,IF(H123&gt;=100*0.7,4,IF(H123&gt;=100*0.6,3.5,IF(H123&gt;=100*0.5,3,IF(H123&gt;=100*0.4,2,IF(H123&gt;=100*0.33,1,0))))))))</f>
        <v/>
      </c>
      <c r="AA123">
        <f>IF(B123="","",IF(I123&lt;33.0,0,IF(I123&gt;=100*0.8,5,IF(I123&gt;=100*0.7,4,IF(I123&gt;=100*0.6,3.5,IF(I123&gt;=100*0.5,3,IF(I123&gt;=100*0.4,2,IF(I123&gt;=100*0.33,1,0))))))))</f>
        <v/>
      </c>
      <c r="AB123">
        <f>IF(B123="","",IF(J123&lt;33.0,0,IF(J123&gt;=100*0.8,5,IF(J123&gt;=100*0.7,4,IF(J123&gt;=100*0.6,3.5,IF(J123&gt;=100*0.5,3,IF(J123&gt;=100*0.4,2,IF(J123&gt;=100*0.33,1,0))))))))</f>
        <v/>
      </c>
      <c r="AC123">
        <f>IF(B123="","",IF(K123&lt;33.0,0,IF(K123&gt;=100*0.8,5,IF(K123&gt;=100*0.7,4,IF(K123&gt;=100*0.6,3.5,IF(K123&gt;=100*0.5,3,IF(K123&gt;=100*0.4,2,IF(K123&gt;=100*0.33,1,0))))))))</f>
        <v/>
      </c>
      <c r="AD123">
        <f>IF(B123="","",IF(L123&lt;33.0,0,IF(L123&gt;=100*0.8,5,IF(L123&gt;=100*0.7,4,IF(L123&gt;=100*0.6,3.5,IF(L123&gt;=100*0.5,3,IF(L123&gt;=100*0.4,2,IF(L123&gt;=100*0.33,1,0))))))))</f>
        <v/>
      </c>
      <c r="AE123">
        <f>IF(B123="","",IF(M123&lt;33.0,0,IF(M123&gt;=100*0.8,5,IF(M123&gt;=100*0.7,4,IF(M123&gt;=100*0.6,3.5,IF(M123&gt;=100*0.5,3,IF(M123&gt;=100*0.4,2,IF(M123&gt;=100*0.33,1,0))))))))</f>
        <v/>
      </c>
      <c r="AF123">
        <f>IF(B123="","",IF(N123&lt;16.5,0,IF(N123&gt;=50*0.8,5,IF(N123&gt;=50*0.7,4,IF(N123&gt;=50*0.6,3.5,IF(N123&gt;=50*0.5,3,IF(N123&gt;=50*0.4,2,IF(N123&gt;=50*0.33,1,0))))))))</f>
        <v/>
      </c>
      <c r="AG123">
        <f>IF(B123="","",IF(O123&lt;33.0,0,IF(O123&gt;=100*0.8,5,IF(O123&gt;=100*0.7,4,IF(O123&gt;=100*0.6,3.5,IF(O123&gt;=100*0.5,3,IF(O123&gt;=100*0.4,2,IF(O123&gt;=100*0.33,1,0))))))))</f>
        <v/>
      </c>
      <c r="AH123">
        <f>IF(B123="","",IF(OR(U123=0,V123=0,W123=0,X123=0,Y123=0,Z123=0,AA123=0,AB123=0,AC123=0,AD123=0,AE123=0,AF123=0,AG123=0),1,0))</f>
        <v/>
      </c>
    </row>
    <row r="124">
      <c r="A124" s="3">
        <f>IF(B124="","",ROW()-2)</f>
        <v/>
      </c>
      <c r="P124" s="4">
        <f>IF(B124="","",SUM(C124:O124))</f>
        <v/>
      </c>
      <c r="Q124" s="5">
        <f>IF(B124="","",ROUND(P124/13,2))</f>
        <v/>
      </c>
      <c r="R124" s="5">
        <f>IF(B124="","",IF(AH124=1,0,MIN(5,ROUND((U124+V124+W124+X124+Y124+Z124+AA124+AB124+AC124+AD124+AE124+AF124+AG124)/13,2))))</f>
        <v/>
      </c>
      <c r="S124" s="3">
        <f>IF(B124="","",IF(R124&gt;=5,"A+",IF(R124&gt;=4,"A",IF(R124&gt;=3.5,"A-",IF(R124&gt;=3,"B",IF(R124&gt;=2,"C",IF(R124&gt;=1,"D","F")))))))</f>
        <v/>
      </c>
      <c r="T124" s="3">
        <f>IF(OR(B124="",S124="F"),"",COUNTIFS(P:P,"&gt;"&amp;P124,S:S,"&lt;&gt;F")+1)</f>
        <v/>
      </c>
      <c r="U124">
        <f>IF(B124="","",IF(C124&lt;33.0,0,IF(C124&gt;=100*0.8,5,IF(C124&gt;=100*0.7,4,IF(C124&gt;=100*0.6,3.5,IF(C124&gt;=100*0.5,3,IF(C124&gt;=100*0.4,2,IF(C124&gt;=100*0.33,1,0))))))))</f>
        <v/>
      </c>
      <c r="V124">
        <f>IF(B124="","",IF(D124&lt;33.0,0,IF(D124&gt;=100*0.8,5,IF(D124&gt;=100*0.7,4,IF(D124&gt;=100*0.6,3.5,IF(D124&gt;=100*0.5,3,IF(D124&gt;=100*0.4,2,IF(D124&gt;=100*0.33,1,0))))))))</f>
        <v/>
      </c>
      <c r="W124">
        <f>IF(B124="","",IF(E124&lt;16.5,0,IF(E124&gt;=50*0.8,5,IF(E124&gt;=50*0.7,4,IF(E124&gt;=50*0.6,3.5,IF(E124&gt;=50*0.5,3,IF(E124&gt;=50*0.4,2,IF(E124&gt;=50*0.33,1,0))))))))</f>
        <v/>
      </c>
      <c r="X124">
        <f>IF(B124="","",IF(F124&lt;33.0,0,IF(F124&gt;=100*0.8,5,IF(F124&gt;=100*0.7,4,IF(F124&gt;=100*0.6,3.5,IF(F124&gt;=100*0.5,3,IF(F124&gt;=100*0.4,2,IF(F124&gt;=100*0.33,1,0))))))))</f>
        <v/>
      </c>
      <c r="Y124">
        <f>IF(B124="","",IF(G124&lt;16.5,0,IF(G124&gt;=50*0.8,5,IF(G124&gt;=50*0.7,4,IF(G124&gt;=50*0.6,3.5,IF(G124&gt;=50*0.5,3,IF(G124&gt;=50*0.4,2,IF(G124&gt;=50*0.33,1,0))))))))</f>
        <v/>
      </c>
      <c r="Z124">
        <f>IF(B124="","",IF(H124&lt;33.0,0,IF(H124&gt;=100*0.8,5,IF(H124&gt;=100*0.7,4,IF(H124&gt;=100*0.6,3.5,IF(H124&gt;=100*0.5,3,IF(H124&gt;=100*0.4,2,IF(H124&gt;=100*0.33,1,0))))))))</f>
        <v/>
      </c>
      <c r="AA124">
        <f>IF(B124="","",IF(I124&lt;33.0,0,IF(I124&gt;=100*0.8,5,IF(I124&gt;=100*0.7,4,IF(I124&gt;=100*0.6,3.5,IF(I124&gt;=100*0.5,3,IF(I124&gt;=100*0.4,2,IF(I124&gt;=100*0.33,1,0))))))))</f>
        <v/>
      </c>
      <c r="AB124">
        <f>IF(B124="","",IF(J124&lt;33.0,0,IF(J124&gt;=100*0.8,5,IF(J124&gt;=100*0.7,4,IF(J124&gt;=100*0.6,3.5,IF(J124&gt;=100*0.5,3,IF(J124&gt;=100*0.4,2,IF(J124&gt;=100*0.33,1,0))))))))</f>
        <v/>
      </c>
      <c r="AC124">
        <f>IF(B124="","",IF(K124&lt;33.0,0,IF(K124&gt;=100*0.8,5,IF(K124&gt;=100*0.7,4,IF(K124&gt;=100*0.6,3.5,IF(K124&gt;=100*0.5,3,IF(K124&gt;=100*0.4,2,IF(K124&gt;=100*0.33,1,0))))))))</f>
        <v/>
      </c>
      <c r="AD124">
        <f>IF(B124="","",IF(L124&lt;33.0,0,IF(L124&gt;=100*0.8,5,IF(L124&gt;=100*0.7,4,IF(L124&gt;=100*0.6,3.5,IF(L124&gt;=100*0.5,3,IF(L124&gt;=100*0.4,2,IF(L124&gt;=100*0.33,1,0))))))))</f>
        <v/>
      </c>
      <c r="AE124">
        <f>IF(B124="","",IF(M124&lt;33.0,0,IF(M124&gt;=100*0.8,5,IF(M124&gt;=100*0.7,4,IF(M124&gt;=100*0.6,3.5,IF(M124&gt;=100*0.5,3,IF(M124&gt;=100*0.4,2,IF(M124&gt;=100*0.33,1,0))))))))</f>
        <v/>
      </c>
      <c r="AF124">
        <f>IF(B124="","",IF(N124&lt;16.5,0,IF(N124&gt;=50*0.8,5,IF(N124&gt;=50*0.7,4,IF(N124&gt;=50*0.6,3.5,IF(N124&gt;=50*0.5,3,IF(N124&gt;=50*0.4,2,IF(N124&gt;=50*0.33,1,0))))))))</f>
        <v/>
      </c>
      <c r="AG124">
        <f>IF(B124="","",IF(O124&lt;33.0,0,IF(O124&gt;=100*0.8,5,IF(O124&gt;=100*0.7,4,IF(O124&gt;=100*0.6,3.5,IF(O124&gt;=100*0.5,3,IF(O124&gt;=100*0.4,2,IF(O124&gt;=100*0.33,1,0))))))))</f>
        <v/>
      </c>
      <c r="AH124">
        <f>IF(B124="","",IF(OR(U124=0,V124=0,W124=0,X124=0,Y124=0,Z124=0,AA124=0,AB124=0,AC124=0,AD124=0,AE124=0,AF124=0,AG124=0),1,0))</f>
        <v/>
      </c>
    </row>
    <row r="125">
      <c r="A125" s="3">
        <f>IF(B125="","",ROW()-2)</f>
        <v/>
      </c>
      <c r="P125" s="4">
        <f>IF(B125="","",SUM(C125:O125))</f>
        <v/>
      </c>
      <c r="Q125" s="5">
        <f>IF(B125="","",ROUND(P125/13,2))</f>
        <v/>
      </c>
      <c r="R125" s="5">
        <f>IF(B125="","",IF(AH125=1,0,MIN(5,ROUND((U125+V125+W125+X125+Y125+Z125+AA125+AB125+AC125+AD125+AE125+AF125+AG125)/13,2))))</f>
        <v/>
      </c>
      <c r="S125" s="3">
        <f>IF(B125="","",IF(R125&gt;=5,"A+",IF(R125&gt;=4,"A",IF(R125&gt;=3.5,"A-",IF(R125&gt;=3,"B",IF(R125&gt;=2,"C",IF(R125&gt;=1,"D","F")))))))</f>
        <v/>
      </c>
      <c r="T125" s="3">
        <f>IF(OR(B125="",S125="F"),"",COUNTIFS(P:P,"&gt;"&amp;P125,S:S,"&lt;&gt;F")+1)</f>
        <v/>
      </c>
      <c r="U125">
        <f>IF(B125="","",IF(C125&lt;33.0,0,IF(C125&gt;=100*0.8,5,IF(C125&gt;=100*0.7,4,IF(C125&gt;=100*0.6,3.5,IF(C125&gt;=100*0.5,3,IF(C125&gt;=100*0.4,2,IF(C125&gt;=100*0.33,1,0))))))))</f>
        <v/>
      </c>
      <c r="V125">
        <f>IF(B125="","",IF(D125&lt;33.0,0,IF(D125&gt;=100*0.8,5,IF(D125&gt;=100*0.7,4,IF(D125&gt;=100*0.6,3.5,IF(D125&gt;=100*0.5,3,IF(D125&gt;=100*0.4,2,IF(D125&gt;=100*0.33,1,0))))))))</f>
        <v/>
      </c>
      <c r="W125">
        <f>IF(B125="","",IF(E125&lt;16.5,0,IF(E125&gt;=50*0.8,5,IF(E125&gt;=50*0.7,4,IF(E125&gt;=50*0.6,3.5,IF(E125&gt;=50*0.5,3,IF(E125&gt;=50*0.4,2,IF(E125&gt;=50*0.33,1,0))))))))</f>
        <v/>
      </c>
      <c r="X125">
        <f>IF(B125="","",IF(F125&lt;33.0,0,IF(F125&gt;=100*0.8,5,IF(F125&gt;=100*0.7,4,IF(F125&gt;=100*0.6,3.5,IF(F125&gt;=100*0.5,3,IF(F125&gt;=100*0.4,2,IF(F125&gt;=100*0.33,1,0))))))))</f>
        <v/>
      </c>
      <c r="Y125">
        <f>IF(B125="","",IF(G125&lt;16.5,0,IF(G125&gt;=50*0.8,5,IF(G125&gt;=50*0.7,4,IF(G125&gt;=50*0.6,3.5,IF(G125&gt;=50*0.5,3,IF(G125&gt;=50*0.4,2,IF(G125&gt;=50*0.33,1,0))))))))</f>
        <v/>
      </c>
      <c r="Z125">
        <f>IF(B125="","",IF(H125&lt;33.0,0,IF(H125&gt;=100*0.8,5,IF(H125&gt;=100*0.7,4,IF(H125&gt;=100*0.6,3.5,IF(H125&gt;=100*0.5,3,IF(H125&gt;=100*0.4,2,IF(H125&gt;=100*0.33,1,0))))))))</f>
        <v/>
      </c>
      <c r="AA125">
        <f>IF(B125="","",IF(I125&lt;33.0,0,IF(I125&gt;=100*0.8,5,IF(I125&gt;=100*0.7,4,IF(I125&gt;=100*0.6,3.5,IF(I125&gt;=100*0.5,3,IF(I125&gt;=100*0.4,2,IF(I125&gt;=100*0.33,1,0))))))))</f>
        <v/>
      </c>
      <c r="AB125">
        <f>IF(B125="","",IF(J125&lt;33.0,0,IF(J125&gt;=100*0.8,5,IF(J125&gt;=100*0.7,4,IF(J125&gt;=100*0.6,3.5,IF(J125&gt;=100*0.5,3,IF(J125&gt;=100*0.4,2,IF(J125&gt;=100*0.33,1,0))))))))</f>
        <v/>
      </c>
      <c r="AC125">
        <f>IF(B125="","",IF(K125&lt;33.0,0,IF(K125&gt;=100*0.8,5,IF(K125&gt;=100*0.7,4,IF(K125&gt;=100*0.6,3.5,IF(K125&gt;=100*0.5,3,IF(K125&gt;=100*0.4,2,IF(K125&gt;=100*0.33,1,0))))))))</f>
        <v/>
      </c>
      <c r="AD125">
        <f>IF(B125="","",IF(L125&lt;33.0,0,IF(L125&gt;=100*0.8,5,IF(L125&gt;=100*0.7,4,IF(L125&gt;=100*0.6,3.5,IF(L125&gt;=100*0.5,3,IF(L125&gt;=100*0.4,2,IF(L125&gt;=100*0.33,1,0))))))))</f>
        <v/>
      </c>
      <c r="AE125">
        <f>IF(B125="","",IF(M125&lt;33.0,0,IF(M125&gt;=100*0.8,5,IF(M125&gt;=100*0.7,4,IF(M125&gt;=100*0.6,3.5,IF(M125&gt;=100*0.5,3,IF(M125&gt;=100*0.4,2,IF(M125&gt;=100*0.33,1,0))))))))</f>
        <v/>
      </c>
      <c r="AF125">
        <f>IF(B125="","",IF(N125&lt;16.5,0,IF(N125&gt;=50*0.8,5,IF(N125&gt;=50*0.7,4,IF(N125&gt;=50*0.6,3.5,IF(N125&gt;=50*0.5,3,IF(N125&gt;=50*0.4,2,IF(N125&gt;=50*0.33,1,0))))))))</f>
        <v/>
      </c>
      <c r="AG125">
        <f>IF(B125="","",IF(O125&lt;33.0,0,IF(O125&gt;=100*0.8,5,IF(O125&gt;=100*0.7,4,IF(O125&gt;=100*0.6,3.5,IF(O125&gt;=100*0.5,3,IF(O125&gt;=100*0.4,2,IF(O125&gt;=100*0.33,1,0))))))))</f>
        <v/>
      </c>
      <c r="AH125">
        <f>IF(B125="","",IF(OR(U125=0,V125=0,W125=0,X125=0,Y125=0,Z125=0,AA125=0,AB125=0,AC125=0,AD125=0,AE125=0,AF125=0,AG125=0),1,0))</f>
        <v/>
      </c>
    </row>
    <row r="126">
      <c r="A126" s="3">
        <f>IF(B126="","",ROW()-2)</f>
        <v/>
      </c>
      <c r="P126" s="4">
        <f>IF(B126="","",SUM(C126:O126))</f>
        <v/>
      </c>
      <c r="Q126" s="5">
        <f>IF(B126="","",ROUND(P126/13,2))</f>
        <v/>
      </c>
      <c r="R126" s="5">
        <f>IF(B126="","",IF(AH126=1,0,MIN(5,ROUND((U126+V126+W126+X126+Y126+Z126+AA126+AB126+AC126+AD126+AE126+AF126+AG126)/13,2))))</f>
        <v/>
      </c>
      <c r="S126" s="3">
        <f>IF(B126="","",IF(R126&gt;=5,"A+",IF(R126&gt;=4,"A",IF(R126&gt;=3.5,"A-",IF(R126&gt;=3,"B",IF(R126&gt;=2,"C",IF(R126&gt;=1,"D","F")))))))</f>
        <v/>
      </c>
      <c r="T126" s="3">
        <f>IF(OR(B126="",S126="F"),"",COUNTIFS(P:P,"&gt;"&amp;P126,S:S,"&lt;&gt;F")+1)</f>
        <v/>
      </c>
      <c r="U126">
        <f>IF(B126="","",IF(C126&lt;33.0,0,IF(C126&gt;=100*0.8,5,IF(C126&gt;=100*0.7,4,IF(C126&gt;=100*0.6,3.5,IF(C126&gt;=100*0.5,3,IF(C126&gt;=100*0.4,2,IF(C126&gt;=100*0.33,1,0))))))))</f>
        <v/>
      </c>
      <c r="V126">
        <f>IF(B126="","",IF(D126&lt;33.0,0,IF(D126&gt;=100*0.8,5,IF(D126&gt;=100*0.7,4,IF(D126&gt;=100*0.6,3.5,IF(D126&gt;=100*0.5,3,IF(D126&gt;=100*0.4,2,IF(D126&gt;=100*0.33,1,0))))))))</f>
        <v/>
      </c>
      <c r="W126">
        <f>IF(B126="","",IF(E126&lt;16.5,0,IF(E126&gt;=50*0.8,5,IF(E126&gt;=50*0.7,4,IF(E126&gt;=50*0.6,3.5,IF(E126&gt;=50*0.5,3,IF(E126&gt;=50*0.4,2,IF(E126&gt;=50*0.33,1,0))))))))</f>
        <v/>
      </c>
      <c r="X126">
        <f>IF(B126="","",IF(F126&lt;33.0,0,IF(F126&gt;=100*0.8,5,IF(F126&gt;=100*0.7,4,IF(F126&gt;=100*0.6,3.5,IF(F126&gt;=100*0.5,3,IF(F126&gt;=100*0.4,2,IF(F126&gt;=100*0.33,1,0))))))))</f>
        <v/>
      </c>
      <c r="Y126">
        <f>IF(B126="","",IF(G126&lt;16.5,0,IF(G126&gt;=50*0.8,5,IF(G126&gt;=50*0.7,4,IF(G126&gt;=50*0.6,3.5,IF(G126&gt;=50*0.5,3,IF(G126&gt;=50*0.4,2,IF(G126&gt;=50*0.33,1,0))))))))</f>
        <v/>
      </c>
      <c r="Z126">
        <f>IF(B126="","",IF(H126&lt;33.0,0,IF(H126&gt;=100*0.8,5,IF(H126&gt;=100*0.7,4,IF(H126&gt;=100*0.6,3.5,IF(H126&gt;=100*0.5,3,IF(H126&gt;=100*0.4,2,IF(H126&gt;=100*0.33,1,0))))))))</f>
        <v/>
      </c>
      <c r="AA126">
        <f>IF(B126="","",IF(I126&lt;33.0,0,IF(I126&gt;=100*0.8,5,IF(I126&gt;=100*0.7,4,IF(I126&gt;=100*0.6,3.5,IF(I126&gt;=100*0.5,3,IF(I126&gt;=100*0.4,2,IF(I126&gt;=100*0.33,1,0))))))))</f>
        <v/>
      </c>
      <c r="AB126">
        <f>IF(B126="","",IF(J126&lt;33.0,0,IF(J126&gt;=100*0.8,5,IF(J126&gt;=100*0.7,4,IF(J126&gt;=100*0.6,3.5,IF(J126&gt;=100*0.5,3,IF(J126&gt;=100*0.4,2,IF(J126&gt;=100*0.33,1,0))))))))</f>
        <v/>
      </c>
      <c r="AC126">
        <f>IF(B126="","",IF(K126&lt;33.0,0,IF(K126&gt;=100*0.8,5,IF(K126&gt;=100*0.7,4,IF(K126&gt;=100*0.6,3.5,IF(K126&gt;=100*0.5,3,IF(K126&gt;=100*0.4,2,IF(K126&gt;=100*0.33,1,0))))))))</f>
        <v/>
      </c>
      <c r="AD126">
        <f>IF(B126="","",IF(L126&lt;33.0,0,IF(L126&gt;=100*0.8,5,IF(L126&gt;=100*0.7,4,IF(L126&gt;=100*0.6,3.5,IF(L126&gt;=100*0.5,3,IF(L126&gt;=100*0.4,2,IF(L126&gt;=100*0.33,1,0))))))))</f>
        <v/>
      </c>
      <c r="AE126">
        <f>IF(B126="","",IF(M126&lt;33.0,0,IF(M126&gt;=100*0.8,5,IF(M126&gt;=100*0.7,4,IF(M126&gt;=100*0.6,3.5,IF(M126&gt;=100*0.5,3,IF(M126&gt;=100*0.4,2,IF(M126&gt;=100*0.33,1,0))))))))</f>
        <v/>
      </c>
      <c r="AF126">
        <f>IF(B126="","",IF(N126&lt;16.5,0,IF(N126&gt;=50*0.8,5,IF(N126&gt;=50*0.7,4,IF(N126&gt;=50*0.6,3.5,IF(N126&gt;=50*0.5,3,IF(N126&gt;=50*0.4,2,IF(N126&gt;=50*0.33,1,0))))))))</f>
        <v/>
      </c>
      <c r="AG126">
        <f>IF(B126="","",IF(O126&lt;33.0,0,IF(O126&gt;=100*0.8,5,IF(O126&gt;=100*0.7,4,IF(O126&gt;=100*0.6,3.5,IF(O126&gt;=100*0.5,3,IF(O126&gt;=100*0.4,2,IF(O126&gt;=100*0.33,1,0))))))))</f>
        <v/>
      </c>
      <c r="AH126">
        <f>IF(B126="","",IF(OR(U126=0,V126=0,W126=0,X126=0,Y126=0,Z126=0,AA126=0,AB126=0,AC126=0,AD126=0,AE126=0,AF126=0,AG126=0),1,0))</f>
        <v/>
      </c>
    </row>
    <row r="127">
      <c r="A127" s="3">
        <f>IF(B127="","",ROW()-2)</f>
        <v/>
      </c>
      <c r="P127" s="4">
        <f>IF(B127="","",SUM(C127:O127))</f>
        <v/>
      </c>
      <c r="Q127" s="5">
        <f>IF(B127="","",ROUND(P127/13,2))</f>
        <v/>
      </c>
      <c r="R127" s="5">
        <f>IF(B127="","",IF(AH127=1,0,MIN(5,ROUND((U127+V127+W127+X127+Y127+Z127+AA127+AB127+AC127+AD127+AE127+AF127+AG127)/13,2))))</f>
        <v/>
      </c>
      <c r="S127" s="3">
        <f>IF(B127="","",IF(R127&gt;=5,"A+",IF(R127&gt;=4,"A",IF(R127&gt;=3.5,"A-",IF(R127&gt;=3,"B",IF(R127&gt;=2,"C",IF(R127&gt;=1,"D","F")))))))</f>
        <v/>
      </c>
      <c r="T127" s="3">
        <f>IF(OR(B127="",S127="F"),"",COUNTIFS(P:P,"&gt;"&amp;P127,S:S,"&lt;&gt;F")+1)</f>
        <v/>
      </c>
      <c r="U127">
        <f>IF(B127="","",IF(C127&lt;33.0,0,IF(C127&gt;=100*0.8,5,IF(C127&gt;=100*0.7,4,IF(C127&gt;=100*0.6,3.5,IF(C127&gt;=100*0.5,3,IF(C127&gt;=100*0.4,2,IF(C127&gt;=100*0.33,1,0))))))))</f>
        <v/>
      </c>
      <c r="V127">
        <f>IF(B127="","",IF(D127&lt;33.0,0,IF(D127&gt;=100*0.8,5,IF(D127&gt;=100*0.7,4,IF(D127&gt;=100*0.6,3.5,IF(D127&gt;=100*0.5,3,IF(D127&gt;=100*0.4,2,IF(D127&gt;=100*0.33,1,0))))))))</f>
        <v/>
      </c>
      <c r="W127">
        <f>IF(B127="","",IF(E127&lt;16.5,0,IF(E127&gt;=50*0.8,5,IF(E127&gt;=50*0.7,4,IF(E127&gt;=50*0.6,3.5,IF(E127&gt;=50*0.5,3,IF(E127&gt;=50*0.4,2,IF(E127&gt;=50*0.33,1,0))))))))</f>
        <v/>
      </c>
      <c r="X127">
        <f>IF(B127="","",IF(F127&lt;33.0,0,IF(F127&gt;=100*0.8,5,IF(F127&gt;=100*0.7,4,IF(F127&gt;=100*0.6,3.5,IF(F127&gt;=100*0.5,3,IF(F127&gt;=100*0.4,2,IF(F127&gt;=100*0.33,1,0))))))))</f>
        <v/>
      </c>
      <c r="Y127">
        <f>IF(B127="","",IF(G127&lt;16.5,0,IF(G127&gt;=50*0.8,5,IF(G127&gt;=50*0.7,4,IF(G127&gt;=50*0.6,3.5,IF(G127&gt;=50*0.5,3,IF(G127&gt;=50*0.4,2,IF(G127&gt;=50*0.33,1,0))))))))</f>
        <v/>
      </c>
      <c r="Z127">
        <f>IF(B127="","",IF(H127&lt;33.0,0,IF(H127&gt;=100*0.8,5,IF(H127&gt;=100*0.7,4,IF(H127&gt;=100*0.6,3.5,IF(H127&gt;=100*0.5,3,IF(H127&gt;=100*0.4,2,IF(H127&gt;=100*0.33,1,0))))))))</f>
        <v/>
      </c>
      <c r="AA127">
        <f>IF(B127="","",IF(I127&lt;33.0,0,IF(I127&gt;=100*0.8,5,IF(I127&gt;=100*0.7,4,IF(I127&gt;=100*0.6,3.5,IF(I127&gt;=100*0.5,3,IF(I127&gt;=100*0.4,2,IF(I127&gt;=100*0.33,1,0))))))))</f>
        <v/>
      </c>
      <c r="AB127">
        <f>IF(B127="","",IF(J127&lt;33.0,0,IF(J127&gt;=100*0.8,5,IF(J127&gt;=100*0.7,4,IF(J127&gt;=100*0.6,3.5,IF(J127&gt;=100*0.5,3,IF(J127&gt;=100*0.4,2,IF(J127&gt;=100*0.33,1,0))))))))</f>
        <v/>
      </c>
      <c r="AC127">
        <f>IF(B127="","",IF(K127&lt;33.0,0,IF(K127&gt;=100*0.8,5,IF(K127&gt;=100*0.7,4,IF(K127&gt;=100*0.6,3.5,IF(K127&gt;=100*0.5,3,IF(K127&gt;=100*0.4,2,IF(K127&gt;=100*0.33,1,0))))))))</f>
        <v/>
      </c>
      <c r="AD127">
        <f>IF(B127="","",IF(L127&lt;33.0,0,IF(L127&gt;=100*0.8,5,IF(L127&gt;=100*0.7,4,IF(L127&gt;=100*0.6,3.5,IF(L127&gt;=100*0.5,3,IF(L127&gt;=100*0.4,2,IF(L127&gt;=100*0.33,1,0))))))))</f>
        <v/>
      </c>
      <c r="AE127">
        <f>IF(B127="","",IF(M127&lt;33.0,0,IF(M127&gt;=100*0.8,5,IF(M127&gt;=100*0.7,4,IF(M127&gt;=100*0.6,3.5,IF(M127&gt;=100*0.5,3,IF(M127&gt;=100*0.4,2,IF(M127&gt;=100*0.33,1,0))))))))</f>
        <v/>
      </c>
      <c r="AF127">
        <f>IF(B127="","",IF(N127&lt;16.5,0,IF(N127&gt;=50*0.8,5,IF(N127&gt;=50*0.7,4,IF(N127&gt;=50*0.6,3.5,IF(N127&gt;=50*0.5,3,IF(N127&gt;=50*0.4,2,IF(N127&gt;=50*0.33,1,0))))))))</f>
        <v/>
      </c>
      <c r="AG127">
        <f>IF(B127="","",IF(O127&lt;33.0,0,IF(O127&gt;=100*0.8,5,IF(O127&gt;=100*0.7,4,IF(O127&gt;=100*0.6,3.5,IF(O127&gt;=100*0.5,3,IF(O127&gt;=100*0.4,2,IF(O127&gt;=100*0.33,1,0))))))))</f>
        <v/>
      </c>
      <c r="AH127">
        <f>IF(B127="","",IF(OR(U127=0,V127=0,W127=0,X127=0,Y127=0,Z127=0,AA127=0,AB127=0,AC127=0,AD127=0,AE127=0,AF127=0,AG127=0),1,0))</f>
        <v/>
      </c>
    </row>
    <row r="128">
      <c r="A128" s="3">
        <f>IF(B128="","",ROW()-2)</f>
        <v/>
      </c>
      <c r="P128" s="4">
        <f>IF(B128="","",SUM(C128:O128))</f>
        <v/>
      </c>
      <c r="Q128" s="5">
        <f>IF(B128="","",ROUND(P128/13,2))</f>
        <v/>
      </c>
      <c r="R128" s="5">
        <f>IF(B128="","",IF(AH128=1,0,MIN(5,ROUND((U128+V128+W128+X128+Y128+Z128+AA128+AB128+AC128+AD128+AE128+AF128+AG128)/13,2))))</f>
        <v/>
      </c>
      <c r="S128" s="3">
        <f>IF(B128="","",IF(R128&gt;=5,"A+",IF(R128&gt;=4,"A",IF(R128&gt;=3.5,"A-",IF(R128&gt;=3,"B",IF(R128&gt;=2,"C",IF(R128&gt;=1,"D","F")))))))</f>
        <v/>
      </c>
      <c r="T128" s="3">
        <f>IF(OR(B128="",S128="F"),"",COUNTIFS(P:P,"&gt;"&amp;P128,S:S,"&lt;&gt;F")+1)</f>
        <v/>
      </c>
      <c r="U128">
        <f>IF(B128="","",IF(C128&lt;33.0,0,IF(C128&gt;=100*0.8,5,IF(C128&gt;=100*0.7,4,IF(C128&gt;=100*0.6,3.5,IF(C128&gt;=100*0.5,3,IF(C128&gt;=100*0.4,2,IF(C128&gt;=100*0.33,1,0))))))))</f>
        <v/>
      </c>
      <c r="V128">
        <f>IF(B128="","",IF(D128&lt;33.0,0,IF(D128&gt;=100*0.8,5,IF(D128&gt;=100*0.7,4,IF(D128&gt;=100*0.6,3.5,IF(D128&gt;=100*0.5,3,IF(D128&gt;=100*0.4,2,IF(D128&gt;=100*0.33,1,0))))))))</f>
        <v/>
      </c>
      <c r="W128">
        <f>IF(B128="","",IF(E128&lt;16.5,0,IF(E128&gt;=50*0.8,5,IF(E128&gt;=50*0.7,4,IF(E128&gt;=50*0.6,3.5,IF(E128&gt;=50*0.5,3,IF(E128&gt;=50*0.4,2,IF(E128&gt;=50*0.33,1,0))))))))</f>
        <v/>
      </c>
      <c r="X128">
        <f>IF(B128="","",IF(F128&lt;33.0,0,IF(F128&gt;=100*0.8,5,IF(F128&gt;=100*0.7,4,IF(F128&gt;=100*0.6,3.5,IF(F128&gt;=100*0.5,3,IF(F128&gt;=100*0.4,2,IF(F128&gt;=100*0.33,1,0))))))))</f>
        <v/>
      </c>
      <c r="Y128">
        <f>IF(B128="","",IF(G128&lt;16.5,0,IF(G128&gt;=50*0.8,5,IF(G128&gt;=50*0.7,4,IF(G128&gt;=50*0.6,3.5,IF(G128&gt;=50*0.5,3,IF(G128&gt;=50*0.4,2,IF(G128&gt;=50*0.33,1,0))))))))</f>
        <v/>
      </c>
      <c r="Z128">
        <f>IF(B128="","",IF(H128&lt;33.0,0,IF(H128&gt;=100*0.8,5,IF(H128&gt;=100*0.7,4,IF(H128&gt;=100*0.6,3.5,IF(H128&gt;=100*0.5,3,IF(H128&gt;=100*0.4,2,IF(H128&gt;=100*0.33,1,0))))))))</f>
        <v/>
      </c>
      <c r="AA128">
        <f>IF(B128="","",IF(I128&lt;33.0,0,IF(I128&gt;=100*0.8,5,IF(I128&gt;=100*0.7,4,IF(I128&gt;=100*0.6,3.5,IF(I128&gt;=100*0.5,3,IF(I128&gt;=100*0.4,2,IF(I128&gt;=100*0.33,1,0))))))))</f>
        <v/>
      </c>
      <c r="AB128">
        <f>IF(B128="","",IF(J128&lt;33.0,0,IF(J128&gt;=100*0.8,5,IF(J128&gt;=100*0.7,4,IF(J128&gt;=100*0.6,3.5,IF(J128&gt;=100*0.5,3,IF(J128&gt;=100*0.4,2,IF(J128&gt;=100*0.33,1,0))))))))</f>
        <v/>
      </c>
      <c r="AC128">
        <f>IF(B128="","",IF(K128&lt;33.0,0,IF(K128&gt;=100*0.8,5,IF(K128&gt;=100*0.7,4,IF(K128&gt;=100*0.6,3.5,IF(K128&gt;=100*0.5,3,IF(K128&gt;=100*0.4,2,IF(K128&gt;=100*0.33,1,0))))))))</f>
        <v/>
      </c>
      <c r="AD128">
        <f>IF(B128="","",IF(L128&lt;33.0,0,IF(L128&gt;=100*0.8,5,IF(L128&gt;=100*0.7,4,IF(L128&gt;=100*0.6,3.5,IF(L128&gt;=100*0.5,3,IF(L128&gt;=100*0.4,2,IF(L128&gt;=100*0.33,1,0))))))))</f>
        <v/>
      </c>
      <c r="AE128">
        <f>IF(B128="","",IF(M128&lt;33.0,0,IF(M128&gt;=100*0.8,5,IF(M128&gt;=100*0.7,4,IF(M128&gt;=100*0.6,3.5,IF(M128&gt;=100*0.5,3,IF(M128&gt;=100*0.4,2,IF(M128&gt;=100*0.33,1,0))))))))</f>
        <v/>
      </c>
      <c r="AF128">
        <f>IF(B128="","",IF(N128&lt;16.5,0,IF(N128&gt;=50*0.8,5,IF(N128&gt;=50*0.7,4,IF(N128&gt;=50*0.6,3.5,IF(N128&gt;=50*0.5,3,IF(N128&gt;=50*0.4,2,IF(N128&gt;=50*0.33,1,0))))))))</f>
        <v/>
      </c>
      <c r="AG128">
        <f>IF(B128="","",IF(O128&lt;33.0,0,IF(O128&gt;=100*0.8,5,IF(O128&gt;=100*0.7,4,IF(O128&gt;=100*0.6,3.5,IF(O128&gt;=100*0.5,3,IF(O128&gt;=100*0.4,2,IF(O128&gt;=100*0.33,1,0))))))))</f>
        <v/>
      </c>
      <c r="AH128">
        <f>IF(B128="","",IF(OR(U128=0,V128=0,W128=0,X128=0,Y128=0,Z128=0,AA128=0,AB128=0,AC128=0,AD128=0,AE128=0,AF128=0,AG128=0),1,0))</f>
        <v/>
      </c>
    </row>
    <row r="129">
      <c r="A129" s="3">
        <f>IF(B129="","",ROW()-2)</f>
        <v/>
      </c>
      <c r="P129" s="4">
        <f>IF(B129="","",SUM(C129:O129))</f>
        <v/>
      </c>
      <c r="Q129" s="5">
        <f>IF(B129="","",ROUND(P129/13,2))</f>
        <v/>
      </c>
      <c r="R129" s="5">
        <f>IF(B129="","",IF(AH129=1,0,MIN(5,ROUND((U129+V129+W129+X129+Y129+Z129+AA129+AB129+AC129+AD129+AE129+AF129+AG129)/13,2))))</f>
        <v/>
      </c>
      <c r="S129" s="3">
        <f>IF(B129="","",IF(R129&gt;=5,"A+",IF(R129&gt;=4,"A",IF(R129&gt;=3.5,"A-",IF(R129&gt;=3,"B",IF(R129&gt;=2,"C",IF(R129&gt;=1,"D","F")))))))</f>
        <v/>
      </c>
      <c r="T129" s="3">
        <f>IF(OR(B129="",S129="F"),"",COUNTIFS(P:P,"&gt;"&amp;P129,S:S,"&lt;&gt;F")+1)</f>
        <v/>
      </c>
      <c r="U129">
        <f>IF(B129="","",IF(C129&lt;33.0,0,IF(C129&gt;=100*0.8,5,IF(C129&gt;=100*0.7,4,IF(C129&gt;=100*0.6,3.5,IF(C129&gt;=100*0.5,3,IF(C129&gt;=100*0.4,2,IF(C129&gt;=100*0.33,1,0))))))))</f>
        <v/>
      </c>
      <c r="V129">
        <f>IF(B129="","",IF(D129&lt;33.0,0,IF(D129&gt;=100*0.8,5,IF(D129&gt;=100*0.7,4,IF(D129&gt;=100*0.6,3.5,IF(D129&gt;=100*0.5,3,IF(D129&gt;=100*0.4,2,IF(D129&gt;=100*0.33,1,0))))))))</f>
        <v/>
      </c>
      <c r="W129">
        <f>IF(B129="","",IF(E129&lt;16.5,0,IF(E129&gt;=50*0.8,5,IF(E129&gt;=50*0.7,4,IF(E129&gt;=50*0.6,3.5,IF(E129&gt;=50*0.5,3,IF(E129&gt;=50*0.4,2,IF(E129&gt;=50*0.33,1,0))))))))</f>
        <v/>
      </c>
      <c r="X129">
        <f>IF(B129="","",IF(F129&lt;33.0,0,IF(F129&gt;=100*0.8,5,IF(F129&gt;=100*0.7,4,IF(F129&gt;=100*0.6,3.5,IF(F129&gt;=100*0.5,3,IF(F129&gt;=100*0.4,2,IF(F129&gt;=100*0.33,1,0))))))))</f>
        <v/>
      </c>
      <c r="Y129">
        <f>IF(B129="","",IF(G129&lt;16.5,0,IF(G129&gt;=50*0.8,5,IF(G129&gt;=50*0.7,4,IF(G129&gt;=50*0.6,3.5,IF(G129&gt;=50*0.5,3,IF(G129&gt;=50*0.4,2,IF(G129&gt;=50*0.33,1,0))))))))</f>
        <v/>
      </c>
      <c r="Z129">
        <f>IF(B129="","",IF(H129&lt;33.0,0,IF(H129&gt;=100*0.8,5,IF(H129&gt;=100*0.7,4,IF(H129&gt;=100*0.6,3.5,IF(H129&gt;=100*0.5,3,IF(H129&gt;=100*0.4,2,IF(H129&gt;=100*0.33,1,0))))))))</f>
        <v/>
      </c>
      <c r="AA129">
        <f>IF(B129="","",IF(I129&lt;33.0,0,IF(I129&gt;=100*0.8,5,IF(I129&gt;=100*0.7,4,IF(I129&gt;=100*0.6,3.5,IF(I129&gt;=100*0.5,3,IF(I129&gt;=100*0.4,2,IF(I129&gt;=100*0.33,1,0))))))))</f>
        <v/>
      </c>
      <c r="AB129">
        <f>IF(B129="","",IF(J129&lt;33.0,0,IF(J129&gt;=100*0.8,5,IF(J129&gt;=100*0.7,4,IF(J129&gt;=100*0.6,3.5,IF(J129&gt;=100*0.5,3,IF(J129&gt;=100*0.4,2,IF(J129&gt;=100*0.33,1,0))))))))</f>
        <v/>
      </c>
      <c r="AC129">
        <f>IF(B129="","",IF(K129&lt;33.0,0,IF(K129&gt;=100*0.8,5,IF(K129&gt;=100*0.7,4,IF(K129&gt;=100*0.6,3.5,IF(K129&gt;=100*0.5,3,IF(K129&gt;=100*0.4,2,IF(K129&gt;=100*0.33,1,0))))))))</f>
        <v/>
      </c>
      <c r="AD129">
        <f>IF(B129="","",IF(L129&lt;33.0,0,IF(L129&gt;=100*0.8,5,IF(L129&gt;=100*0.7,4,IF(L129&gt;=100*0.6,3.5,IF(L129&gt;=100*0.5,3,IF(L129&gt;=100*0.4,2,IF(L129&gt;=100*0.33,1,0))))))))</f>
        <v/>
      </c>
      <c r="AE129">
        <f>IF(B129="","",IF(M129&lt;33.0,0,IF(M129&gt;=100*0.8,5,IF(M129&gt;=100*0.7,4,IF(M129&gt;=100*0.6,3.5,IF(M129&gt;=100*0.5,3,IF(M129&gt;=100*0.4,2,IF(M129&gt;=100*0.33,1,0))))))))</f>
        <v/>
      </c>
      <c r="AF129">
        <f>IF(B129="","",IF(N129&lt;16.5,0,IF(N129&gt;=50*0.8,5,IF(N129&gt;=50*0.7,4,IF(N129&gt;=50*0.6,3.5,IF(N129&gt;=50*0.5,3,IF(N129&gt;=50*0.4,2,IF(N129&gt;=50*0.33,1,0))))))))</f>
        <v/>
      </c>
      <c r="AG129">
        <f>IF(B129="","",IF(O129&lt;33.0,0,IF(O129&gt;=100*0.8,5,IF(O129&gt;=100*0.7,4,IF(O129&gt;=100*0.6,3.5,IF(O129&gt;=100*0.5,3,IF(O129&gt;=100*0.4,2,IF(O129&gt;=100*0.33,1,0))))))))</f>
        <v/>
      </c>
      <c r="AH129">
        <f>IF(B129="","",IF(OR(U129=0,V129=0,W129=0,X129=0,Y129=0,Z129=0,AA129=0,AB129=0,AC129=0,AD129=0,AE129=0,AF129=0,AG129=0),1,0))</f>
        <v/>
      </c>
    </row>
    <row r="130">
      <c r="A130" s="3">
        <f>IF(B130="","",ROW()-2)</f>
        <v/>
      </c>
      <c r="P130" s="4">
        <f>IF(B130="","",SUM(C130:O130))</f>
        <v/>
      </c>
      <c r="Q130" s="5">
        <f>IF(B130="","",ROUND(P130/13,2))</f>
        <v/>
      </c>
      <c r="R130" s="5">
        <f>IF(B130="","",IF(AH130=1,0,MIN(5,ROUND((U130+V130+W130+X130+Y130+Z130+AA130+AB130+AC130+AD130+AE130+AF130+AG130)/13,2))))</f>
        <v/>
      </c>
      <c r="S130" s="3">
        <f>IF(B130="","",IF(R130&gt;=5,"A+",IF(R130&gt;=4,"A",IF(R130&gt;=3.5,"A-",IF(R130&gt;=3,"B",IF(R130&gt;=2,"C",IF(R130&gt;=1,"D","F")))))))</f>
        <v/>
      </c>
      <c r="T130" s="3">
        <f>IF(OR(B130="",S130="F"),"",COUNTIFS(P:P,"&gt;"&amp;P130,S:S,"&lt;&gt;F")+1)</f>
        <v/>
      </c>
      <c r="U130">
        <f>IF(B130="","",IF(C130&lt;33.0,0,IF(C130&gt;=100*0.8,5,IF(C130&gt;=100*0.7,4,IF(C130&gt;=100*0.6,3.5,IF(C130&gt;=100*0.5,3,IF(C130&gt;=100*0.4,2,IF(C130&gt;=100*0.33,1,0))))))))</f>
        <v/>
      </c>
      <c r="V130">
        <f>IF(B130="","",IF(D130&lt;33.0,0,IF(D130&gt;=100*0.8,5,IF(D130&gt;=100*0.7,4,IF(D130&gt;=100*0.6,3.5,IF(D130&gt;=100*0.5,3,IF(D130&gt;=100*0.4,2,IF(D130&gt;=100*0.33,1,0))))))))</f>
        <v/>
      </c>
      <c r="W130">
        <f>IF(B130="","",IF(E130&lt;16.5,0,IF(E130&gt;=50*0.8,5,IF(E130&gt;=50*0.7,4,IF(E130&gt;=50*0.6,3.5,IF(E130&gt;=50*0.5,3,IF(E130&gt;=50*0.4,2,IF(E130&gt;=50*0.33,1,0))))))))</f>
        <v/>
      </c>
      <c r="X130">
        <f>IF(B130="","",IF(F130&lt;33.0,0,IF(F130&gt;=100*0.8,5,IF(F130&gt;=100*0.7,4,IF(F130&gt;=100*0.6,3.5,IF(F130&gt;=100*0.5,3,IF(F130&gt;=100*0.4,2,IF(F130&gt;=100*0.33,1,0))))))))</f>
        <v/>
      </c>
      <c r="Y130">
        <f>IF(B130="","",IF(G130&lt;16.5,0,IF(G130&gt;=50*0.8,5,IF(G130&gt;=50*0.7,4,IF(G130&gt;=50*0.6,3.5,IF(G130&gt;=50*0.5,3,IF(G130&gt;=50*0.4,2,IF(G130&gt;=50*0.33,1,0))))))))</f>
        <v/>
      </c>
      <c r="Z130">
        <f>IF(B130="","",IF(H130&lt;33.0,0,IF(H130&gt;=100*0.8,5,IF(H130&gt;=100*0.7,4,IF(H130&gt;=100*0.6,3.5,IF(H130&gt;=100*0.5,3,IF(H130&gt;=100*0.4,2,IF(H130&gt;=100*0.33,1,0))))))))</f>
        <v/>
      </c>
      <c r="AA130">
        <f>IF(B130="","",IF(I130&lt;33.0,0,IF(I130&gt;=100*0.8,5,IF(I130&gt;=100*0.7,4,IF(I130&gt;=100*0.6,3.5,IF(I130&gt;=100*0.5,3,IF(I130&gt;=100*0.4,2,IF(I130&gt;=100*0.33,1,0))))))))</f>
        <v/>
      </c>
      <c r="AB130">
        <f>IF(B130="","",IF(J130&lt;33.0,0,IF(J130&gt;=100*0.8,5,IF(J130&gt;=100*0.7,4,IF(J130&gt;=100*0.6,3.5,IF(J130&gt;=100*0.5,3,IF(J130&gt;=100*0.4,2,IF(J130&gt;=100*0.33,1,0))))))))</f>
        <v/>
      </c>
      <c r="AC130">
        <f>IF(B130="","",IF(K130&lt;33.0,0,IF(K130&gt;=100*0.8,5,IF(K130&gt;=100*0.7,4,IF(K130&gt;=100*0.6,3.5,IF(K130&gt;=100*0.5,3,IF(K130&gt;=100*0.4,2,IF(K130&gt;=100*0.33,1,0))))))))</f>
        <v/>
      </c>
      <c r="AD130">
        <f>IF(B130="","",IF(L130&lt;33.0,0,IF(L130&gt;=100*0.8,5,IF(L130&gt;=100*0.7,4,IF(L130&gt;=100*0.6,3.5,IF(L130&gt;=100*0.5,3,IF(L130&gt;=100*0.4,2,IF(L130&gt;=100*0.33,1,0))))))))</f>
        <v/>
      </c>
      <c r="AE130">
        <f>IF(B130="","",IF(M130&lt;33.0,0,IF(M130&gt;=100*0.8,5,IF(M130&gt;=100*0.7,4,IF(M130&gt;=100*0.6,3.5,IF(M130&gt;=100*0.5,3,IF(M130&gt;=100*0.4,2,IF(M130&gt;=100*0.33,1,0))))))))</f>
        <v/>
      </c>
      <c r="AF130">
        <f>IF(B130="","",IF(N130&lt;16.5,0,IF(N130&gt;=50*0.8,5,IF(N130&gt;=50*0.7,4,IF(N130&gt;=50*0.6,3.5,IF(N130&gt;=50*0.5,3,IF(N130&gt;=50*0.4,2,IF(N130&gt;=50*0.33,1,0))))))))</f>
        <v/>
      </c>
      <c r="AG130">
        <f>IF(B130="","",IF(O130&lt;33.0,0,IF(O130&gt;=100*0.8,5,IF(O130&gt;=100*0.7,4,IF(O130&gt;=100*0.6,3.5,IF(O130&gt;=100*0.5,3,IF(O130&gt;=100*0.4,2,IF(O130&gt;=100*0.33,1,0))))))))</f>
        <v/>
      </c>
      <c r="AH130">
        <f>IF(B130="","",IF(OR(U130=0,V130=0,W130=0,X130=0,Y130=0,Z130=0,AA130=0,AB130=0,AC130=0,AD130=0,AE130=0,AF130=0,AG130=0),1,0))</f>
        <v/>
      </c>
    </row>
    <row r="131">
      <c r="A131" s="3">
        <f>IF(B131="","",ROW()-2)</f>
        <v/>
      </c>
      <c r="P131" s="4">
        <f>IF(B131="","",SUM(C131:O131))</f>
        <v/>
      </c>
      <c r="Q131" s="5">
        <f>IF(B131="","",ROUND(P131/13,2))</f>
        <v/>
      </c>
      <c r="R131" s="5">
        <f>IF(B131="","",IF(AH131=1,0,MIN(5,ROUND((U131+V131+W131+X131+Y131+Z131+AA131+AB131+AC131+AD131+AE131+AF131+AG131)/13,2))))</f>
        <v/>
      </c>
      <c r="S131" s="3">
        <f>IF(B131="","",IF(R131&gt;=5,"A+",IF(R131&gt;=4,"A",IF(R131&gt;=3.5,"A-",IF(R131&gt;=3,"B",IF(R131&gt;=2,"C",IF(R131&gt;=1,"D","F")))))))</f>
        <v/>
      </c>
      <c r="T131" s="3">
        <f>IF(OR(B131="",S131="F"),"",COUNTIFS(P:P,"&gt;"&amp;P131,S:S,"&lt;&gt;F")+1)</f>
        <v/>
      </c>
      <c r="U131">
        <f>IF(B131="","",IF(C131&lt;33.0,0,IF(C131&gt;=100*0.8,5,IF(C131&gt;=100*0.7,4,IF(C131&gt;=100*0.6,3.5,IF(C131&gt;=100*0.5,3,IF(C131&gt;=100*0.4,2,IF(C131&gt;=100*0.33,1,0))))))))</f>
        <v/>
      </c>
      <c r="V131">
        <f>IF(B131="","",IF(D131&lt;33.0,0,IF(D131&gt;=100*0.8,5,IF(D131&gt;=100*0.7,4,IF(D131&gt;=100*0.6,3.5,IF(D131&gt;=100*0.5,3,IF(D131&gt;=100*0.4,2,IF(D131&gt;=100*0.33,1,0))))))))</f>
        <v/>
      </c>
      <c r="W131">
        <f>IF(B131="","",IF(E131&lt;16.5,0,IF(E131&gt;=50*0.8,5,IF(E131&gt;=50*0.7,4,IF(E131&gt;=50*0.6,3.5,IF(E131&gt;=50*0.5,3,IF(E131&gt;=50*0.4,2,IF(E131&gt;=50*0.33,1,0))))))))</f>
        <v/>
      </c>
      <c r="X131">
        <f>IF(B131="","",IF(F131&lt;33.0,0,IF(F131&gt;=100*0.8,5,IF(F131&gt;=100*0.7,4,IF(F131&gt;=100*0.6,3.5,IF(F131&gt;=100*0.5,3,IF(F131&gt;=100*0.4,2,IF(F131&gt;=100*0.33,1,0))))))))</f>
        <v/>
      </c>
      <c r="Y131">
        <f>IF(B131="","",IF(G131&lt;16.5,0,IF(G131&gt;=50*0.8,5,IF(G131&gt;=50*0.7,4,IF(G131&gt;=50*0.6,3.5,IF(G131&gt;=50*0.5,3,IF(G131&gt;=50*0.4,2,IF(G131&gt;=50*0.33,1,0))))))))</f>
        <v/>
      </c>
      <c r="Z131">
        <f>IF(B131="","",IF(H131&lt;33.0,0,IF(H131&gt;=100*0.8,5,IF(H131&gt;=100*0.7,4,IF(H131&gt;=100*0.6,3.5,IF(H131&gt;=100*0.5,3,IF(H131&gt;=100*0.4,2,IF(H131&gt;=100*0.33,1,0))))))))</f>
        <v/>
      </c>
      <c r="AA131">
        <f>IF(B131="","",IF(I131&lt;33.0,0,IF(I131&gt;=100*0.8,5,IF(I131&gt;=100*0.7,4,IF(I131&gt;=100*0.6,3.5,IF(I131&gt;=100*0.5,3,IF(I131&gt;=100*0.4,2,IF(I131&gt;=100*0.33,1,0))))))))</f>
        <v/>
      </c>
      <c r="AB131">
        <f>IF(B131="","",IF(J131&lt;33.0,0,IF(J131&gt;=100*0.8,5,IF(J131&gt;=100*0.7,4,IF(J131&gt;=100*0.6,3.5,IF(J131&gt;=100*0.5,3,IF(J131&gt;=100*0.4,2,IF(J131&gt;=100*0.33,1,0))))))))</f>
        <v/>
      </c>
      <c r="AC131">
        <f>IF(B131="","",IF(K131&lt;33.0,0,IF(K131&gt;=100*0.8,5,IF(K131&gt;=100*0.7,4,IF(K131&gt;=100*0.6,3.5,IF(K131&gt;=100*0.5,3,IF(K131&gt;=100*0.4,2,IF(K131&gt;=100*0.33,1,0))))))))</f>
        <v/>
      </c>
      <c r="AD131">
        <f>IF(B131="","",IF(L131&lt;33.0,0,IF(L131&gt;=100*0.8,5,IF(L131&gt;=100*0.7,4,IF(L131&gt;=100*0.6,3.5,IF(L131&gt;=100*0.5,3,IF(L131&gt;=100*0.4,2,IF(L131&gt;=100*0.33,1,0))))))))</f>
        <v/>
      </c>
      <c r="AE131">
        <f>IF(B131="","",IF(M131&lt;33.0,0,IF(M131&gt;=100*0.8,5,IF(M131&gt;=100*0.7,4,IF(M131&gt;=100*0.6,3.5,IF(M131&gt;=100*0.5,3,IF(M131&gt;=100*0.4,2,IF(M131&gt;=100*0.33,1,0))))))))</f>
        <v/>
      </c>
      <c r="AF131">
        <f>IF(B131="","",IF(N131&lt;16.5,0,IF(N131&gt;=50*0.8,5,IF(N131&gt;=50*0.7,4,IF(N131&gt;=50*0.6,3.5,IF(N131&gt;=50*0.5,3,IF(N131&gt;=50*0.4,2,IF(N131&gt;=50*0.33,1,0))))))))</f>
        <v/>
      </c>
      <c r="AG131">
        <f>IF(B131="","",IF(O131&lt;33.0,0,IF(O131&gt;=100*0.8,5,IF(O131&gt;=100*0.7,4,IF(O131&gt;=100*0.6,3.5,IF(O131&gt;=100*0.5,3,IF(O131&gt;=100*0.4,2,IF(O131&gt;=100*0.33,1,0))))))))</f>
        <v/>
      </c>
      <c r="AH131">
        <f>IF(B131="","",IF(OR(U131=0,V131=0,W131=0,X131=0,Y131=0,Z131=0,AA131=0,AB131=0,AC131=0,AD131=0,AE131=0,AF131=0,AG131=0),1,0))</f>
        <v/>
      </c>
    </row>
    <row r="132">
      <c r="A132" s="3">
        <f>IF(B132="","",ROW()-2)</f>
        <v/>
      </c>
      <c r="P132" s="4">
        <f>IF(B132="","",SUM(C132:O132))</f>
        <v/>
      </c>
      <c r="Q132" s="5">
        <f>IF(B132="","",ROUND(P132/13,2))</f>
        <v/>
      </c>
      <c r="R132" s="5">
        <f>IF(B132="","",IF(AH132=1,0,MIN(5,ROUND((U132+V132+W132+X132+Y132+Z132+AA132+AB132+AC132+AD132+AE132+AF132+AG132)/13,2))))</f>
        <v/>
      </c>
      <c r="S132" s="3">
        <f>IF(B132="","",IF(R132&gt;=5,"A+",IF(R132&gt;=4,"A",IF(R132&gt;=3.5,"A-",IF(R132&gt;=3,"B",IF(R132&gt;=2,"C",IF(R132&gt;=1,"D","F")))))))</f>
        <v/>
      </c>
      <c r="T132" s="3">
        <f>IF(OR(B132="",S132="F"),"",COUNTIFS(P:P,"&gt;"&amp;P132,S:S,"&lt;&gt;F")+1)</f>
        <v/>
      </c>
      <c r="U132">
        <f>IF(B132="","",IF(C132&lt;33.0,0,IF(C132&gt;=100*0.8,5,IF(C132&gt;=100*0.7,4,IF(C132&gt;=100*0.6,3.5,IF(C132&gt;=100*0.5,3,IF(C132&gt;=100*0.4,2,IF(C132&gt;=100*0.33,1,0))))))))</f>
        <v/>
      </c>
      <c r="V132">
        <f>IF(B132="","",IF(D132&lt;33.0,0,IF(D132&gt;=100*0.8,5,IF(D132&gt;=100*0.7,4,IF(D132&gt;=100*0.6,3.5,IF(D132&gt;=100*0.5,3,IF(D132&gt;=100*0.4,2,IF(D132&gt;=100*0.33,1,0))))))))</f>
        <v/>
      </c>
      <c r="W132">
        <f>IF(B132="","",IF(E132&lt;16.5,0,IF(E132&gt;=50*0.8,5,IF(E132&gt;=50*0.7,4,IF(E132&gt;=50*0.6,3.5,IF(E132&gt;=50*0.5,3,IF(E132&gt;=50*0.4,2,IF(E132&gt;=50*0.33,1,0))))))))</f>
        <v/>
      </c>
      <c r="X132">
        <f>IF(B132="","",IF(F132&lt;33.0,0,IF(F132&gt;=100*0.8,5,IF(F132&gt;=100*0.7,4,IF(F132&gt;=100*0.6,3.5,IF(F132&gt;=100*0.5,3,IF(F132&gt;=100*0.4,2,IF(F132&gt;=100*0.33,1,0))))))))</f>
        <v/>
      </c>
      <c r="Y132">
        <f>IF(B132="","",IF(G132&lt;16.5,0,IF(G132&gt;=50*0.8,5,IF(G132&gt;=50*0.7,4,IF(G132&gt;=50*0.6,3.5,IF(G132&gt;=50*0.5,3,IF(G132&gt;=50*0.4,2,IF(G132&gt;=50*0.33,1,0))))))))</f>
        <v/>
      </c>
      <c r="Z132">
        <f>IF(B132="","",IF(H132&lt;33.0,0,IF(H132&gt;=100*0.8,5,IF(H132&gt;=100*0.7,4,IF(H132&gt;=100*0.6,3.5,IF(H132&gt;=100*0.5,3,IF(H132&gt;=100*0.4,2,IF(H132&gt;=100*0.33,1,0))))))))</f>
        <v/>
      </c>
      <c r="AA132">
        <f>IF(B132="","",IF(I132&lt;33.0,0,IF(I132&gt;=100*0.8,5,IF(I132&gt;=100*0.7,4,IF(I132&gt;=100*0.6,3.5,IF(I132&gt;=100*0.5,3,IF(I132&gt;=100*0.4,2,IF(I132&gt;=100*0.33,1,0))))))))</f>
        <v/>
      </c>
      <c r="AB132">
        <f>IF(B132="","",IF(J132&lt;33.0,0,IF(J132&gt;=100*0.8,5,IF(J132&gt;=100*0.7,4,IF(J132&gt;=100*0.6,3.5,IF(J132&gt;=100*0.5,3,IF(J132&gt;=100*0.4,2,IF(J132&gt;=100*0.33,1,0))))))))</f>
        <v/>
      </c>
      <c r="AC132">
        <f>IF(B132="","",IF(K132&lt;33.0,0,IF(K132&gt;=100*0.8,5,IF(K132&gt;=100*0.7,4,IF(K132&gt;=100*0.6,3.5,IF(K132&gt;=100*0.5,3,IF(K132&gt;=100*0.4,2,IF(K132&gt;=100*0.33,1,0))))))))</f>
        <v/>
      </c>
      <c r="AD132">
        <f>IF(B132="","",IF(L132&lt;33.0,0,IF(L132&gt;=100*0.8,5,IF(L132&gt;=100*0.7,4,IF(L132&gt;=100*0.6,3.5,IF(L132&gt;=100*0.5,3,IF(L132&gt;=100*0.4,2,IF(L132&gt;=100*0.33,1,0))))))))</f>
        <v/>
      </c>
      <c r="AE132">
        <f>IF(B132="","",IF(M132&lt;33.0,0,IF(M132&gt;=100*0.8,5,IF(M132&gt;=100*0.7,4,IF(M132&gt;=100*0.6,3.5,IF(M132&gt;=100*0.5,3,IF(M132&gt;=100*0.4,2,IF(M132&gt;=100*0.33,1,0))))))))</f>
        <v/>
      </c>
      <c r="AF132">
        <f>IF(B132="","",IF(N132&lt;16.5,0,IF(N132&gt;=50*0.8,5,IF(N132&gt;=50*0.7,4,IF(N132&gt;=50*0.6,3.5,IF(N132&gt;=50*0.5,3,IF(N132&gt;=50*0.4,2,IF(N132&gt;=50*0.33,1,0))))))))</f>
        <v/>
      </c>
      <c r="AG132">
        <f>IF(B132="","",IF(O132&lt;33.0,0,IF(O132&gt;=100*0.8,5,IF(O132&gt;=100*0.7,4,IF(O132&gt;=100*0.6,3.5,IF(O132&gt;=100*0.5,3,IF(O132&gt;=100*0.4,2,IF(O132&gt;=100*0.33,1,0))))))))</f>
        <v/>
      </c>
      <c r="AH132">
        <f>IF(B132="","",IF(OR(U132=0,V132=0,W132=0,X132=0,Y132=0,Z132=0,AA132=0,AB132=0,AC132=0,AD132=0,AE132=0,AF132=0,AG132=0),1,0))</f>
        <v/>
      </c>
    </row>
    <row r="133">
      <c r="A133" s="3">
        <f>IF(B133="","",ROW()-2)</f>
        <v/>
      </c>
      <c r="P133" s="4">
        <f>IF(B133="","",SUM(C133:O133))</f>
        <v/>
      </c>
      <c r="Q133" s="5">
        <f>IF(B133="","",ROUND(P133/13,2))</f>
        <v/>
      </c>
      <c r="R133" s="5">
        <f>IF(B133="","",IF(AH133=1,0,MIN(5,ROUND((U133+V133+W133+X133+Y133+Z133+AA133+AB133+AC133+AD133+AE133+AF133+AG133)/13,2))))</f>
        <v/>
      </c>
      <c r="S133" s="3">
        <f>IF(B133="","",IF(R133&gt;=5,"A+",IF(R133&gt;=4,"A",IF(R133&gt;=3.5,"A-",IF(R133&gt;=3,"B",IF(R133&gt;=2,"C",IF(R133&gt;=1,"D","F")))))))</f>
        <v/>
      </c>
      <c r="T133" s="3">
        <f>IF(OR(B133="",S133="F"),"",COUNTIFS(P:P,"&gt;"&amp;P133,S:S,"&lt;&gt;F")+1)</f>
        <v/>
      </c>
      <c r="U133">
        <f>IF(B133="","",IF(C133&lt;33.0,0,IF(C133&gt;=100*0.8,5,IF(C133&gt;=100*0.7,4,IF(C133&gt;=100*0.6,3.5,IF(C133&gt;=100*0.5,3,IF(C133&gt;=100*0.4,2,IF(C133&gt;=100*0.33,1,0))))))))</f>
        <v/>
      </c>
      <c r="V133">
        <f>IF(B133="","",IF(D133&lt;33.0,0,IF(D133&gt;=100*0.8,5,IF(D133&gt;=100*0.7,4,IF(D133&gt;=100*0.6,3.5,IF(D133&gt;=100*0.5,3,IF(D133&gt;=100*0.4,2,IF(D133&gt;=100*0.33,1,0))))))))</f>
        <v/>
      </c>
      <c r="W133">
        <f>IF(B133="","",IF(E133&lt;16.5,0,IF(E133&gt;=50*0.8,5,IF(E133&gt;=50*0.7,4,IF(E133&gt;=50*0.6,3.5,IF(E133&gt;=50*0.5,3,IF(E133&gt;=50*0.4,2,IF(E133&gt;=50*0.33,1,0))))))))</f>
        <v/>
      </c>
      <c r="X133">
        <f>IF(B133="","",IF(F133&lt;33.0,0,IF(F133&gt;=100*0.8,5,IF(F133&gt;=100*0.7,4,IF(F133&gt;=100*0.6,3.5,IF(F133&gt;=100*0.5,3,IF(F133&gt;=100*0.4,2,IF(F133&gt;=100*0.33,1,0))))))))</f>
        <v/>
      </c>
      <c r="Y133">
        <f>IF(B133="","",IF(G133&lt;16.5,0,IF(G133&gt;=50*0.8,5,IF(G133&gt;=50*0.7,4,IF(G133&gt;=50*0.6,3.5,IF(G133&gt;=50*0.5,3,IF(G133&gt;=50*0.4,2,IF(G133&gt;=50*0.33,1,0))))))))</f>
        <v/>
      </c>
      <c r="Z133">
        <f>IF(B133="","",IF(H133&lt;33.0,0,IF(H133&gt;=100*0.8,5,IF(H133&gt;=100*0.7,4,IF(H133&gt;=100*0.6,3.5,IF(H133&gt;=100*0.5,3,IF(H133&gt;=100*0.4,2,IF(H133&gt;=100*0.33,1,0))))))))</f>
        <v/>
      </c>
      <c r="AA133">
        <f>IF(B133="","",IF(I133&lt;33.0,0,IF(I133&gt;=100*0.8,5,IF(I133&gt;=100*0.7,4,IF(I133&gt;=100*0.6,3.5,IF(I133&gt;=100*0.5,3,IF(I133&gt;=100*0.4,2,IF(I133&gt;=100*0.33,1,0))))))))</f>
        <v/>
      </c>
      <c r="AB133">
        <f>IF(B133="","",IF(J133&lt;33.0,0,IF(J133&gt;=100*0.8,5,IF(J133&gt;=100*0.7,4,IF(J133&gt;=100*0.6,3.5,IF(J133&gt;=100*0.5,3,IF(J133&gt;=100*0.4,2,IF(J133&gt;=100*0.33,1,0))))))))</f>
        <v/>
      </c>
      <c r="AC133">
        <f>IF(B133="","",IF(K133&lt;33.0,0,IF(K133&gt;=100*0.8,5,IF(K133&gt;=100*0.7,4,IF(K133&gt;=100*0.6,3.5,IF(K133&gt;=100*0.5,3,IF(K133&gt;=100*0.4,2,IF(K133&gt;=100*0.33,1,0))))))))</f>
        <v/>
      </c>
      <c r="AD133">
        <f>IF(B133="","",IF(L133&lt;33.0,0,IF(L133&gt;=100*0.8,5,IF(L133&gt;=100*0.7,4,IF(L133&gt;=100*0.6,3.5,IF(L133&gt;=100*0.5,3,IF(L133&gt;=100*0.4,2,IF(L133&gt;=100*0.33,1,0))))))))</f>
        <v/>
      </c>
      <c r="AE133">
        <f>IF(B133="","",IF(M133&lt;33.0,0,IF(M133&gt;=100*0.8,5,IF(M133&gt;=100*0.7,4,IF(M133&gt;=100*0.6,3.5,IF(M133&gt;=100*0.5,3,IF(M133&gt;=100*0.4,2,IF(M133&gt;=100*0.33,1,0))))))))</f>
        <v/>
      </c>
      <c r="AF133">
        <f>IF(B133="","",IF(N133&lt;16.5,0,IF(N133&gt;=50*0.8,5,IF(N133&gt;=50*0.7,4,IF(N133&gt;=50*0.6,3.5,IF(N133&gt;=50*0.5,3,IF(N133&gt;=50*0.4,2,IF(N133&gt;=50*0.33,1,0))))))))</f>
        <v/>
      </c>
      <c r="AG133">
        <f>IF(B133="","",IF(O133&lt;33.0,0,IF(O133&gt;=100*0.8,5,IF(O133&gt;=100*0.7,4,IF(O133&gt;=100*0.6,3.5,IF(O133&gt;=100*0.5,3,IF(O133&gt;=100*0.4,2,IF(O133&gt;=100*0.33,1,0))))))))</f>
        <v/>
      </c>
      <c r="AH133">
        <f>IF(B133="","",IF(OR(U133=0,V133=0,W133=0,X133=0,Y133=0,Z133=0,AA133=0,AB133=0,AC133=0,AD133=0,AE133=0,AF133=0,AG133=0),1,0))</f>
        <v/>
      </c>
    </row>
    <row r="134">
      <c r="A134" s="3">
        <f>IF(B134="","",ROW()-2)</f>
        <v/>
      </c>
      <c r="P134" s="4">
        <f>IF(B134="","",SUM(C134:O134))</f>
        <v/>
      </c>
      <c r="Q134" s="5">
        <f>IF(B134="","",ROUND(P134/13,2))</f>
        <v/>
      </c>
      <c r="R134" s="5">
        <f>IF(B134="","",IF(AH134=1,0,MIN(5,ROUND((U134+V134+W134+X134+Y134+Z134+AA134+AB134+AC134+AD134+AE134+AF134+AG134)/13,2))))</f>
        <v/>
      </c>
      <c r="S134" s="3">
        <f>IF(B134="","",IF(R134&gt;=5,"A+",IF(R134&gt;=4,"A",IF(R134&gt;=3.5,"A-",IF(R134&gt;=3,"B",IF(R134&gt;=2,"C",IF(R134&gt;=1,"D","F")))))))</f>
        <v/>
      </c>
      <c r="T134" s="3">
        <f>IF(OR(B134="",S134="F"),"",COUNTIFS(P:P,"&gt;"&amp;P134,S:S,"&lt;&gt;F")+1)</f>
        <v/>
      </c>
      <c r="U134">
        <f>IF(B134="","",IF(C134&lt;33.0,0,IF(C134&gt;=100*0.8,5,IF(C134&gt;=100*0.7,4,IF(C134&gt;=100*0.6,3.5,IF(C134&gt;=100*0.5,3,IF(C134&gt;=100*0.4,2,IF(C134&gt;=100*0.33,1,0))))))))</f>
        <v/>
      </c>
      <c r="V134">
        <f>IF(B134="","",IF(D134&lt;33.0,0,IF(D134&gt;=100*0.8,5,IF(D134&gt;=100*0.7,4,IF(D134&gt;=100*0.6,3.5,IF(D134&gt;=100*0.5,3,IF(D134&gt;=100*0.4,2,IF(D134&gt;=100*0.33,1,0))))))))</f>
        <v/>
      </c>
      <c r="W134">
        <f>IF(B134="","",IF(E134&lt;16.5,0,IF(E134&gt;=50*0.8,5,IF(E134&gt;=50*0.7,4,IF(E134&gt;=50*0.6,3.5,IF(E134&gt;=50*0.5,3,IF(E134&gt;=50*0.4,2,IF(E134&gt;=50*0.33,1,0))))))))</f>
        <v/>
      </c>
      <c r="X134">
        <f>IF(B134="","",IF(F134&lt;33.0,0,IF(F134&gt;=100*0.8,5,IF(F134&gt;=100*0.7,4,IF(F134&gt;=100*0.6,3.5,IF(F134&gt;=100*0.5,3,IF(F134&gt;=100*0.4,2,IF(F134&gt;=100*0.33,1,0))))))))</f>
        <v/>
      </c>
      <c r="Y134">
        <f>IF(B134="","",IF(G134&lt;16.5,0,IF(G134&gt;=50*0.8,5,IF(G134&gt;=50*0.7,4,IF(G134&gt;=50*0.6,3.5,IF(G134&gt;=50*0.5,3,IF(G134&gt;=50*0.4,2,IF(G134&gt;=50*0.33,1,0))))))))</f>
        <v/>
      </c>
      <c r="Z134">
        <f>IF(B134="","",IF(H134&lt;33.0,0,IF(H134&gt;=100*0.8,5,IF(H134&gt;=100*0.7,4,IF(H134&gt;=100*0.6,3.5,IF(H134&gt;=100*0.5,3,IF(H134&gt;=100*0.4,2,IF(H134&gt;=100*0.33,1,0))))))))</f>
        <v/>
      </c>
      <c r="AA134">
        <f>IF(B134="","",IF(I134&lt;33.0,0,IF(I134&gt;=100*0.8,5,IF(I134&gt;=100*0.7,4,IF(I134&gt;=100*0.6,3.5,IF(I134&gt;=100*0.5,3,IF(I134&gt;=100*0.4,2,IF(I134&gt;=100*0.33,1,0))))))))</f>
        <v/>
      </c>
      <c r="AB134">
        <f>IF(B134="","",IF(J134&lt;33.0,0,IF(J134&gt;=100*0.8,5,IF(J134&gt;=100*0.7,4,IF(J134&gt;=100*0.6,3.5,IF(J134&gt;=100*0.5,3,IF(J134&gt;=100*0.4,2,IF(J134&gt;=100*0.33,1,0))))))))</f>
        <v/>
      </c>
      <c r="AC134">
        <f>IF(B134="","",IF(K134&lt;33.0,0,IF(K134&gt;=100*0.8,5,IF(K134&gt;=100*0.7,4,IF(K134&gt;=100*0.6,3.5,IF(K134&gt;=100*0.5,3,IF(K134&gt;=100*0.4,2,IF(K134&gt;=100*0.33,1,0))))))))</f>
        <v/>
      </c>
      <c r="AD134">
        <f>IF(B134="","",IF(L134&lt;33.0,0,IF(L134&gt;=100*0.8,5,IF(L134&gt;=100*0.7,4,IF(L134&gt;=100*0.6,3.5,IF(L134&gt;=100*0.5,3,IF(L134&gt;=100*0.4,2,IF(L134&gt;=100*0.33,1,0))))))))</f>
        <v/>
      </c>
      <c r="AE134">
        <f>IF(B134="","",IF(M134&lt;33.0,0,IF(M134&gt;=100*0.8,5,IF(M134&gt;=100*0.7,4,IF(M134&gt;=100*0.6,3.5,IF(M134&gt;=100*0.5,3,IF(M134&gt;=100*0.4,2,IF(M134&gt;=100*0.33,1,0))))))))</f>
        <v/>
      </c>
      <c r="AF134">
        <f>IF(B134="","",IF(N134&lt;16.5,0,IF(N134&gt;=50*0.8,5,IF(N134&gt;=50*0.7,4,IF(N134&gt;=50*0.6,3.5,IF(N134&gt;=50*0.5,3,IF(N134&gt;=50*0.4,2,IF(N134&gt;=50*0.33,1,0))))))))</f>
        <v/>
      </c>
      <c r="AG134">
        <f>IF(B134="","",IF(O134&lt;33.0,0,IF(O134&gt;=100*0.8,5,IF(O134&gt;=100*0.7,4,IF(O134&gt;=100*0.6,3.5,IF(O134&gt;=100*0.5,3,IF(O134&gt;=100*0.4,2,IF(O134&gt;=100*0.33,1,0))))))))</f>
        <v/>
      </c>
      <c r="AH134">
        <f>IF(B134="","",IF(OR(U134=0,V134=0,W134=0,X134=0,Y134=0,Z134=0,AA134=0,AB134=0,AC134=0,AD134=0,AE134=0,AF134=0,AG134=0),1,0))</f>
        <v/>
      </c>
    </row>
    <row r="135">
      <c r="A135" s="3">
        <f>IF(B135="","",ROW()-2)</f>
        <v/>
      </c>
      <c r="P135" s="4">
        <f>IF(B135="","",SUM(C135:O135))</f>
        <v/>
      </c>
      <c r="Q135" s="5">
        <f>IF(B135="","",ROUND(P135/13,2))</f>
        <v/>
      </c>
      <c r="R135" s="5">
        <f>IF(B135="","",IF(AH135=1,0,MIN(5,ROUND((U135+V135+W135+X135+Y135+Z135+AA135+AB135+AC135+AD135+AE135+AF135+AG135)/13,2))))</f>
        <v/>
      </c>
      <c r="S135" s="3">
        <f>IF(B135="","",IF(R135&gt;=5,"A+",IF(R135&gt;=4,"A",IF(R135&gt;=3.5,"A-",IF(R135&gt;=3,"B",IF(R135&gt;=2,"C",IF(R135&gt;=1,"D","F")))))))</f>
        <v/>
      </c>
      <c r="T135" s="3">
        <f>IF(OR(B135="",S135="F"),"",COUNTIFS(P:P,"&gt;"&amp;P135,S:S,"&lt;&gt;F")+1)</f>
        <v/>
      </c>
      <c r="U135">
        <f>IF(B135="","",IF(C135&lt;33.0,0,IF(C135&gt;=100*0.8,5,IF(C135&gt;=100*0.7,4,IF(C135&gt;=100*0.6,3.5,IF(C135&gt;=100*0.5,3,IF(C135&gt;=100*0.4,2,IF(C135&gt;=100*0.33,1,0))))))))</f>
        <v/>
      </c>
      <c r="V135">
        <f>IF(B135="","",IF(D135&lt;33.0,0,IF(D135&gt;=100*0.8,5,IF(D135&gt;=100*0.7,4,IF(D135&gt;=100*0.6,3.5,IF(D135&gt;=100*0.5,3,IF(D135&gt;=100*0.4,2,IF(D135&gt;=100*0.33,1,0))))))))</f>
        <v/>
      </c>
      <c r="W135">
        <f>IF(B135="","",IF(E135&lt;16.5,0,IF(E135&gt;=50*0.8,5,IF(E135&gt;=50*0.7,4,IF(E135&gt;=50*0.6,3.5,IF(E135&gt;=50*0.5,3,IF(E135&gt;=50*0.4,2,IF(E135&gt;=50*0.33,1,0))))))))</f>
        <v/>
      </c>
      <c r="X135">
        <f>IF(B135="","",IF(F135&lt;33.0,0,IF(F135&gt;=100*0.8,5,IF(F135&gt;=100*0.7,4,IF(F135&gt;=100*0.6,3.5,IF(F135&gt;=100*0.5,3,IF(F135&gt;=100*0.4,2,IF(F135&gt;=100*0.33,1,0))))))))</f>
        <v/>
      </c>
      <c r="Y135">
        <f>IF(B135="","",IF(G135&lt;16.5,0,IF(G135&gt;=50*0.8,5,IF(G135&gt;=50*0.7,4,IF(G135&gt;=50*0.6,3.5,IF(G135&gt;=50*0.5,3,IF(G135&gt;=50*0.4,2,IF(G135&gt;=50*0.33,1,0))))))))</f>
        <v/>
      </c>
      <c r="Z135">
        <f>IF(B135="","",IF(H135&lt;33.0,0,IF(H135&gt;=100*0.8,5,IF(H135&gt;=100*0.7,4,IF(H135&gt;=100*0.6,3.5,IF(H135&gt;=100*0.5,3,IF(H135&gt;=100*0.4,2,IF(H135&gt;=100*0.33,1,0))))))))</f>
        <v/>
      </c>
      <c r="AA135">
        <f>IF(B135="","",IF(I135&lt;33.0,0,IF(I135&gt;=100*0.8,5,IF(I135&gt;=100*0.7,4,IF(I135&gt;=100*0.6,3.5,IF(I135&gt;=100*0.5,3,IF(I135&gt;=100*0.4,2,IF(I135&gt;=100*0.33,1,0))))))))</f>
        <v/>
      </c>
      <c r="AB135">
        <f>IF(B135="","",IF(J135&lt;33.0,0,IF(J135&gt;=100*0.8,5,IF(J135&gt;=100*0.7,4,IF(J135&gt;=100*0.6,3.5,IF(J135&gt;=100*0.5,3,IF(J135&gt;=100*0.4,2,IF(J135&gt;=100*0.33,1,0))))))))</f>
        <v/>
      </c>
      <c r="AC135">
        <f>IF(B135="","",IF(K135&lt;33.0,0,IF(K135&gt;=100*0.8,5,IF(K135&gt;=100*0.7,4,IF(K135&gt;=100*0.6,3.5,IF(K135&gt;=100*0.5,3,IF(K135&gt;=100*0.4,2,IF(K135&gt;=100*0.33,1,0))))))))</f>
        <v/>
      </c>
      <c r="AD135">
        <f>IF(B135="","",IF(L135&lt;33.0,0,IF(L135&gt;=100*0.8,5,IF(L135&gt;=100*0.7,4,IF(L135&gt;=100*0.6,3.5,IF(L135&gt;=100*0.5,3,IF(L135&gt;=100*0.4,2,IF(L135&gt;=100*0.33,1,0))))))))</f>
        <v/>
      </c>
      <c r="AE135">
        <f>IF(B135="","",IF(M135&lt;33.0,0,IF(M135&gt;=100*0.8,5,IF(M135&gt;=100*0.7,4,IF(M135&gt;=100*0.6,3.5,IF(M135&gt;=100*0.5,3,IF(M135&gt;=100*0.4,2,IF(M135&gt;=100*0.33,1,0))))))))</f>
        <v/>
      </c>
      <c r="AF135">
        <f>IF(B135="","",IF(N135&lt;16.5,0,IF(N135&gt;=50*0.8,5,IF(N135&gt;=50*0.7,4,IF(N135&gt;=50*0.6,3.5,IF(N135&gt;=50*0.5,3,IF(N135&gt;=50*0.4,2,IF(N135&gt;=50*0.33,1,0))))))))</f>
        <v/>
      </c>
      <c r="AG135">
        <f>IF(B135="","",IF(O135&lt;33.0,0,IF(O135&gt;=100*0.8,5,IF(O135&gt;=100*0.7,4,IF(O135&gt;=100*0.6,3.5,IF(O135&gt;=100*0.5,3,IF(O135&gt;=100*0.4,2,IF(O135&gt;=100*0.33,1,0))))))))</f>
        <v/>
      </c>
      <c r="AH135">
        <f>IF(B135="","",IF(OR(U135=0,V135=0,W135=0,X135=0,Y135=0,Z135=0,AA135=0,AB135=0,AC135=0,AD135=0,AE135=0,AF135=0,AG135=0),1,0))</f>
        <v/>
      </c>
    </row>
    <row r="136">
      <c r="A136" s="3">
        <f>IF(B136="","",ROW()-2)</f>
        <v/>
      </c>
      <c r="P136" s="4">
        <f>IF(B136="","",SUM(C136:O136))</f>
        <v/>
      </c>
      <c r="Q136" s="5">
        <f>IF(B136="","",ROUND(P136/13,2))</f>
        <v/>
      </c>
      <c r="R136" s="5">
        <f>IF(B136="","",IF(AH136=1,0,MIN(5,ROUND((U136+V136+W136+X136+Y136+Z136+AA136+AB136+AC136+AD136+AE136+AF136+AG136)/13,2))))</f>
        <v/>
      </c>
      <c r="S136" s="3">
        <f>IF(B136="","",IF(R136&gt;=5,"A+",IF(R136&gt;=4,"A",IF(R136&gt;=3.5,"A-",IF(R136&gt;=3,"B",IF(R136&gt;=2,"C",IF(R136&gt;=1,"D","F")))))))</f>
        <v/>
      </c>
      <c r="T136" s="3">
        <f>IF(OR(B136="",S136="F"),"",COUNTIFS(P:P,"&gt;"&amp;P136,S:S,"&lt;&gt;F")+1)</f>
        <v/>
      </c>
      <c r="U136">
        <f>IF(B136="","",IF(C136&lt;33.0,0,IF(C136&gt;=100*0.8,5,IF(C136&gt;=100*0.7,4,IF(C136&gt;=100*0.6,3.5,IF(C136&gt;=100*0.5,3,IF(C136&gt;=100*0.4,2,IF(C136&gt;=100*0.33,1,0))))))))</f>
        <v/>
      </c>
      <c r="V136">
        <f>IF(B136="","",IF(D136&lt;33.0,0,IF(D136&gt;=100*0.8,5,IF(D136&gt;=100*0.7,4,IF(D136&gt;=100*0.6,3.5,IF(D136&gt;=100*0.5,3,IF(D136&gt;=100*0.4,2,IF(D136&gt;=100*0.33,1,0))))))))</f>
        <v/>
      </c>
      <c r="W136">
        <f>IF(B136="","",IF(E136&lt;16.5,0,IF(E136&gt;=50*0.8,5,IF(E136&gt;=50*0.7,4,IF(E136&gt;=50*0.6,3.5,IF(E136&gt;=50*0.5,3,IF(E136&gt;=50*0.4,2,IF(E136&gt;=50*0.33,1,0))))))))</f>
        <v/>
      </c>
      <c r="X136">
        <f>IF(B136="","",IF(F136&lt;33.0,0,IF(F136&gt;=100*0.8,5,IF(F136&gt;=100*0.7,4,IF(F136&gt;=100*0.6,3.5,IF(F136&gt;=100*0.5,3,IF(F136&gt;=100*0.4,2,IF(F136&gt;=100*0.33,1,0))))))))</f>
        <v/>
      </c>
      <c r="Y136">
        <f>IF(B136="","",IF(G136&lt;16.5,0,IF(G136&gt;=50*0.8,5,IF(G136&gt;=50*0.7,4,IF(G136&gt;=50*0.6,3.5,IF(G136&gt;=50*0.5,3,IF(G136&gt;=50*0.4,2,IF(G136&gt;=50*0.33,1,0))))))))</f>
        <v/>
      </c>
      <c r="Z136">
        <f>IF(B136="","",IF(H136&lt;33.0,0,IF(H136&gt;=100*0.8,5,IF(H136&gt;=100*0.7,4,IF(H136&gt;=100*0.6,3.5,IF(H136&gt;=100*0.5,3,IF(H136&gt;=100*0.4,2,IF(H136&gt;=100*0.33,1,0))))))))</f>
        <v/>
      </c>
      <c r="AA136">
        <f>IF(B136="","",IF(I136&lt;33.0,0,IF(I136&gt;=100*0.8,5,IF(I136&gt;=100*0.7,4,IF(I136&gt;=100*0.6,3.5,IF(I136&gt;=100*0.5,3,IF(I136&gt;=100*0.4,2,IF(I136&gt;=100*0.33,1,0))))))))</f>
        <v/>
      </c>
      <c r="AB136">
        <f>IF(B136="","",IF(J136&lt;33.0,0,IF(J136&gt;=100*0.8,5,IF(J136&gt;=100*0.7,4,IF(J136&gt;=100*0.6,3.5,IF(J136&gt;=100*0.5,3,IF(J136&gt;=100*0.4,2,IF(J136&gt;=100*0.33,1,0))))))))</f>
        <v/>
      </c>
      <c r="AC136">
        <f>IF(B136="","",IF(K136&lt;33.0,0,IF(K136&gt;=100*0.8,5,IF(K136&gt;=100*0.7,4,IF(K136&gt;=100*0.6,3.5,IF(K136&gt;=100*0.5,3,IF(K136&gt;=100*0.4,2,IF(K136&gt;=100*0.33,1,0))))))))</f>
        <v/>
      </c>
      <c r="AD136">
        <f>IF(B136="","",IF(L136&lt;33.0,0,IF(L136&gt;=100*0.8,5,IF(L136&gt;=100*0.7,4,IF(L136&gt;=100*0.6,3.5,IF(L136&gt;=100*0.5,3,IF(L136&gt;=100*0.4,2,IF(L136&gt;=100*0.33,1,0))))))))</f>
        <v/>
      </c>
      <c r="AE136">
        <f>IF(B136="","",IF(M136&lt;33.0,0,IF(M136&gt;=100*0.8,5,IF(M136&gt;=100*0.7,4,IF(M136&gt;=100*0.6,3.5,IF(M136&gt;=100*0.5,3,IF(M136&gt;=100*0.4,2,IF(M136&gt;=100*0.33,1,0))))))))</f>
        <v/>
      </c>
      <c r="AF136">
        <f>IF(B136="","",IF(N136&lt;16.5,0,IF(N136&gt;=50*0.8,5,IF(N136&gt;=50*0.7,4,IF(N136&gt;=50*0.6,3.5,IF(N136&gt;=50*0.5,3,IF(N136&gt;=50*0.4,2,IF(N136&gt;=50*0.33,1,0))))))))</f>
        <v/>
      </c>
      <c r="AG136">
        <f>IF(B136="","",IF(O136&lt;33.0,0,IF(O136&gt;=100*0.8,5,IF(O136&gt;=100*0.7,4,IF(O136&gt;=100*0.6,3.5,IF(O136&gt;=100*0.5,3,IF(O136&gt;=100*0.4,2,IF(O136&gt;=100*0.33,1,0))))))))</f>
        <v/>
      </c>
      <c r="AH136">
        <f>IF(B136="","",IF(OR(U136=0,V136=0,W136=0,X136=0,Y136=0,Z136=0,AA136=0,AB136=0,AC136=0,AD136=0,AE136=0,AF136=0,AG136=0),1,0))</f>
        <v/>
      </c>
    </row>
    <row r="137">
      <c r="A137" s="3">
        <f>IF(B137="","",ROW()-2)</f>
        <v/>
      </c>
      <c r="P137" s="4">
        <f>IF(B137="","",SUM(C137:O137))</f>
        <v/>
      </c>
      <c r="Q137" s="5">
        <f>IF(B137="","",ROUND(P137/13,2))</f>
        <v/>
      </c>
      <c r="R137" s="5">
        <f>IF(B137="","",IF(AH137=1,0,MIN(5,ROUND((U137+V137+W137+X137+Y137+Z137+AA137+AB137+AC137+AD137+AE137+AF137+AG137)/13,2))))</f>
        <v/>
      </c>
      <c r="S137" s="3">
        <f>IF(B137="","",IF(R137&gt;=5,"A+",IF(R137&gt;=4,"A",IF(R137&gt;=3.5,"A-",IF(R137&gt;=3,"B",IF(R137&gt;=2,"C",IF(R137&gt;=1,"D","F")))))))</f>
        <v/>
      </c>
      <c r="T137" s="3">
        <f>IF(OR(B137="",S137="F"),"",COUNTIFS(P:P,"&gt;"&amp;P137,S:S,"&lt;&gt;F")+1)</f>
        <v/>
      </c>
      <c r="U137">
        <f>IF(B137="","",IF(C137&lt;33.0,0,IF(C137&gt;=100*0.8,5,IF(C137&gt;=100*0.7,4,IF(C137&gt;=100*0.6,3.5,IF(C137&gt;=100*0.5,3,IF(C137&gt;=100*0.4,2,IF(C137&gt;=100*0.33,1,0))))))))</f>
        <v/>
      </c>
      <c r="V137">
        <f>IF(B137="","",IF(D137&lt;33.0,0,IF(D137&gt;=100*0.8,5,IF(D137&gt;=100*0.7,4,IF(D137&gt;=100*0.6,3.5,IF(D137&gt;=100*0.5,3,IF(D137&gt;=100*0.4,2,IF(D137&gt;=100*0.33,1,0))))))))</f>
        <v/>
      </c>
      <c r="W137">
        <f>IF(B137="","",IF(E137&lt;16.5,0,IF(E137&gt;=50*0.8,5,IF(E137&gt;=50*0.7,4,IF(E137&gt;=50*0.6,3.5,IF(E137&gt;=50*0.5,3,IF(E137&gt;=50*0.4,2,IF(E137&gt;=50*0.33,1,0))))))))</f>
        <v/>
      </c>
      <c r="X137">
        <f>IF(B137="","",IF(F137&lt;33.0,0,IF(F137&gt;=100*0.8,5,IF(F137&gt;=100*0.7,4,IF(F137&gt;=100*0.6,3.5,IF(F137&gt;=100*0.5,3,IF(F137&gt;=100*0.4,2,IF(F137&gt;=100*0.33,1,0))))))))</f>
        <v/>
      </c>
      <c r="Y137">
        <f>IF(B137="","",IF(G137&lt;16.5,0,IF(G137&gt;=50*0.8,5,IF(G137&gt;=50*0.7,4,IF(G137&gt;=50*0.6,3.5,IF(G137&gt;=50*0.5,3,IF(G137&gt;=50*0.4,2,IF(G137&gt;=50*0.33,1,0))))))))</f>
        <v/>
      </c>
      <c r="Z137">
        <f>IF(B137="","",IF(H137&lt;33.0,0,IF(H137&gt;=100*0.8,5,IF(H137&gt;=100*0.7,4,IF(H137&gt;=100*0.6,3.5,IF(H137&gt;=100*0.5,3,IF(H137&gt;=100*0.4,2,IF(H137&gt;=100*0.33,1,0))))))))</f>
        <v/>
      </c>
      <c r="AA137">
        <f>IF(B137="","",IF(I137&lt;33.0,0,IF(I137&gt;=100*0.8,5,IF(I137&gt;=100*0.7,4,IF(I137&gt;=100*0.6,3.5,IF(I137&gt;=100*0.5,3,IF(I137&gt;=100*0.4,2,IF(I137&gt;=100*0.33,1,0))))))))</f>
        <v/>
      </c>
      <c r="AB137">
        <f>IF(B137="","",IF(J137&lt;33.0,0,IF(J137&gt;=100*0.8,5,IF(J137&gt;=100*0.7,4,IF(J137&gt;=100*0.6,3.5,IF(J137&gt;=100*0.5,3,IF(J137&gt;=100*0.4,2,IF(J137&gt;=100*0.33,1,0))))))))</f>
        <v/>
      </c>
      <c r="AC137">
        <f>IF(B137="","",IF(K137&lt;33.0,0,IF(K137&gt;=100*0.8,5,IF(K137&gt;=100*0.7,4,IF(K137&gt;=100*0.6,3.5,IF(K137&gt;=100*0.5,3,IF(K137&gt;=100*0.4,2,IF(K137&gt;=100*0.33,1,0))))))))</f>
        <v/>
      </c>
      <c r="AD137">
        <f>IF(B137="","",IF(L137&lt;33.0,0,IF(L137&gt;=100*0.8,5,IF(L137&gt;=100*0.7,4,IF(L137&gt;=100*0.6,3.5,IF(L137&gt;=100*0.5,3,IF(L137&gt;=100*0.4,2,IF(L137&gt;=100*0.33,1,0))))))))</f>
        <v/>
      </c>
      <c r="AE137">
        <f>IF(B137="","",IF(M137&lt;33.0,0,IF(M137&gt;=100*0.8,5,IF(M137&gt;=100*0.7,4,IF(M137&gt;=100*0.6,3.5,IF(M137&gt;=100*0.5,3,IF(M137&gt;=100*0.4,2,IF(M137&gt;=100*0.33,1,0))))))))</f>
        <v/>
      </c>
      <c r="AF137">
        <f>IF(B137="","",IF(N137&lt;16.5,0,IF(N137&gt;=50*0.8,5,IF(N137&gt;=50*0.7,4,IF(N137&gt;=50*0.6,3.5,IF(N137&gt;=50*0.5,3,IF(N137&gt;=50*0.4,2,IF(N137&gt;=50*0.33,1,0))))))))</f>
        <v/>
      </c>
      <c r="AG137">
        <f>IF(B137="","",IF(O137&lt;33.0,0,IF(O137&gt;=100*0.8,5,IF(O137&gt;=100*0.7,4,IF(O137&gt;=100*0.6,3.5,IF(O137&gt;=100*0.5,3,IF(O137&gt;=100*0.4,2,IF(O137&gt;=100*0.33,1,0))))))))</f>
        <v/>
      </c>
      <c r="AH137">
        <f>IF(B137="","",IF(OR(U137=0,V137=0,W137=0,X137=0,Y137=0,Z137=0,AA137=0,AB137=0,AC137=0,AD137=0,AE137=0,AF137=0,AG137=0),1,0))</f>
        <v/>
      </c>
    </row>
    <row r="138">
      <c r="A138" s="3">
        <f>IF(B138="","",ROW()-2)</f>
        <v/>
      </c>
      <c r="P138" s="4">
        <f>IF(B138="","",SUM(C138:O138))</f>
        <v/>
      </c>
      <c r="Q138" s="5">
        <f>IF(B138="","",ROUND(P138/13,2))</f>
        <v/>
      </c>
      <c r="R138" s="5">
        <f>IF(B138="","",IF(AH138=1,0,MIN(5,ROUND((U138+V138+W138+X138+Y138+Z138+AA138+AB138+AC138+AD138+AE138+AF138+AG138)/13,2))))</f>
        <v/>
      </c>
      <c r="S138" s="3">
        <f>IF(B138="","",IF(R138&gt;=5,"A+",IF(R138&gt;=4,"A",IF(R138&gt;=3.5,"A-",IF(R138&gt;=3,"B",IF(R138&gt;=2,"C",IF(R138&gt;=1,"D","F")))))))</f>
        <v/>
      </c>
      <c r="T138" s="3">
        <f>IF(OR(B138="",S138="F"),"",COUNTIFS(P:P,"&gt;"&amp;P138,S:S,"&lt;&gt;F")+1)</f>
        <v/>
      </c>
      <c r="U138">
        <f>IF(B138="","",IF(C138&lt;33.0,0,IF(C138&gt;=100*0.8,5,IF(C138&gt;=100*0.7,4,IF(C138&gt;=100*0.6,3.5,IF(C138&gt;=100*0.5,3,IF(C138&gt;=100*0.4,2,IF(C138&gt;=100*0.33,1,0))))))))</f>
        <v/>
      </c>
      <c r="V138">
        <f>IF(B138="","",IF(D138&lt;33.0,0,IF(D138&gt;=100*0.8,5,IF(D138&gt;=100*0.7,4,IF(D138&gt;=100*0.6,3.5,IF(D138&gt;=100*0.5,3,IF(D138&gt;=100*0.4,2,IF(D138&gt;=100*0.33,1,0))))))))</f>
        <v/>
      </c>
      <c r="W138">
        <f>IF(B138="","",IF(E138&lt;16.5,0,IF(E138&gt;=50*0.8,5,IF(E138&gt;=50*0.7,4,IF(E138&gt;=50*0.6,3.5,IF(E138&gt;=50*0.5,3,IF(E138&gt;=50*0.4,2,IF(E138&gt;=50*0.33,1,0))))))))</f>
        <v/>
      </c>
      <c r="X138">
        <f>IF(B138="","",IF(F138&lt;33.0,0,IF(F138&gt;=100*0.8,5,IF(F138&gt;=100*0.7,4,IF(F138&gt;=100*0.6,3.5,IF(F138&gt;=100*0.5,3,IF(F138&gt;=100*0.4,2,IF(F138&gt;=100*0.33,1,0))))))))</f>
        <v/>
      </c>
      <c r="Y138">
        <f>IF(B138="","",IF(G138&lt;16.5,0,IF(G138&gt;=50*0.8,5,IF(G138&gt;=50*0.7,4,IF(G138&gt;=50*0.6,3.5,IF(G138&gt;=50*0.5,3,IF(G138&gt;=50*0.4,2,IF(G138&gt;=50*0.33,1,0))))))))</f>
        <v/>
      </c>
      <c r="Z138">
        <f>IF(B138="","",IF(H138&lt;33.0,0,IF(H138&gt;=100*0.8,5,IF(H138&gt;=100*0.7,4,IF(H138&gt;=100*0.6,3.5,IF(H138&gt;=100*0.5,3,IF(H138&gt;=100*0.4,2,IF(H138&gt;=100*0.33,1,0))))))))</f>
        <v/>
      </c>
      <c r="AA138">
        <f>IF(B138="","",IF(I138&lt;33.0,0,IF(I138&gt;=100*0.8,5,IF(I138&gt;=100*0.7,4,IF(I138&gt;=100*0.6,3.5,IF(I138&gt;=100*0.5,3,IF(I138&gt;=100*0.4,2,IF(I138&gt;=100*0.33,1,0))))))))</f>
        <v/>
      </c>
      <c r="AB138">
        <f>IF(B138="","",IF(J138&lt;33.0,0,IF(J138&gt;=100*0.8,5,IF(J138&gt;=100*0.7,4,IF(J138&gt;=100*0.6,3.5,IF(J138&gt;=100*0.5,3,IF(J138&gt;=100*0.4,2,IF(J138&gt;=100*0.33,1,0))))))))</f>
        <v/>
      </c>
      <c r="AC138">
        <f>IF(B138="","",IF(K138&lt;33.0,0,IF(K138&gt;=100*0.8,5,IF(K138&gt;=100*0.7,4,IF(K138&gt;=100*0.6,3.5,IF(K138&gt;=100*0.5,3,IF(K138&gt;=100*0.4,2,IF(K138&gt;=100*0.33,1,0))))))))</f>
        <v/>
      </c>
      <c r="AD138">
        <f>IF(B138="","",IF(L138&lt;33.0,0,IF(L138&gt;=100*0.8,5,IF(L138&gt;=100*0.7,4,IF(L138&gt;=100*0.6,3.5,IF(L138&gt;=100*0.5,3,IF(L138&gt;=100*0.4,2,IF(L138&gt;=100*0.33,1,0))))))))</f>
        <v/>
      </c>
      <c r="AE138">
        <f>IF(B138="","",IF(M138&lt;33.0,0,IF(M138&gt;=100*0.8,5,IF(M138&gt;=100*0.7,4,IF(M138&gt;=100*0.6,3.5,IF(M138&gt;=100*0.5,3,IF(M138&gt;=100*0.4,2,IF(M138&gt;=100*0.33,1,0))))))))</f>
        <v/>
      </c>
      <c r="AF138">
        <f>IF(B138="","",IF(N138&lt;16.5,0,IF(N138&gt;=50*0.8,5,IF(N138&gt;=50*0.7,4,IF(N138&gt;=50*0.6,3.5,IF(N138&gt;=50*0.5,3,IF(N138&gt;=50*0.4,2,IF(N138&gt;=50*0.33,1,0))))))))</f>
        <v/>
      </c>
      <c r="AG138">
        <f>IF(B138="","",IF(O138&lt;33.0,0,IF(O138&gt;=100*0.8,5,IF(O138&gt;=100*0.7,4,IF(O138&gt;=100*0.6,3.5,IF(O138&gt;=100*0.5,3,IF(O138&gt;=100*0.4,2,IF(O138&gt;=100*0.33,1,0))))))))</f>
        <v/>
      </c>
      <c r="AH138">
        <f>IF(B138="","",IF(OR(U138=0,V138=0,W138=0,X138=0,Y138=0,Z138=0,AA138=0,AB138=0,AC138=0,AD138=0,AE138=0,AF138=0,AG138=0),1,0))</f>
        <v/>
      </c>
    </row>
    <row r="139">
      <c r="A139" s="3">
        <f>IF(B139="","",ROW()-2)</f>
        <v/>
      </c>
      <c r="P139" s="4">
        <f>IF(B139="","",SUM(C139:O139))</f>
        <v/>
      </c>
      <c r="Q139" s="5">
        <f>IF(B139="","",ROUND(P139/13,2))</f>
        <v/>
      </c>
      <c r="R139" s="5">
        <f>IF(B139="","",IF(AH139=1,0,MIN(5,ROUND((U139+V139+W139+X139+Y139+Z139+AA139+AB139+AC139+AD139+AE139+AF139+AG139)/13,2))))</f>
        <v/>
      </c>
      <c r="S139" s="3">
        <f>IF(B139="","",IF(R139&gt;=5,"A+",IF(R139&gt;=4,"A",IF(R139&gt;=3.5,"A-",IF(R139&gt;=3,"B",IF(R139&gt;=2,"C",IF(R139&gt;=1,"D","F")))))))</f>
        <v/>
      </c>
      <c r="T139" s="3">
        <f>IF(OR(B139="",S139="F"),"",COUNTIFS(P:P,"&gt;"&amp;P139,S:S,"&lt;&gt;F")+1)</f>
        <v/>
      </c>
      <c r="U139">
        <f>IF(B139="","",IF(C139&lt;33.0,0,IF(C139&gt;=100*0.8,5,IF(C139&gt;=100*0.7,4,IF(C139&gt;=100*0.6,3.5,IF(C139&gt;=100*0.5,3,IF(C139&gt;=100*0.4,2,IF(C139&gt;=100*0.33,1,0))))))))</f>
        <v/>
      </c>
      <c r="V139">
        <f>IF(B139="","",IF(D139&lt;33.0,0,IF(D139&gt;=100*0.8,5,IF(D139&gt;=100*0.7,4,IF(D139&gt;=100*0.6,3.5,IF(D139&gt;=100*0.5,3,IF(D139&gt;=100*0.4,2,IF(D139&gt;=100*0.33,1,0))))))))</f>
        <v/>
      </c>
      <c r="W139">
        <f>IF(B139="","",IF(E139&lt;16.5,0,IF(E139&gt;=50*0.8,5,IF(E139&gt;=50*0.7,4,IF(E139&gt;=50*0.6,3.5,IF(E139&gt;=50*0.5,3,IF(E139&gt;=50*0.4,2,IF(E139&gt;=50*0.33,1,0))))))))</f>
        <v/>
      </c>
      <c r="X139">
        <f>IF(B139="","",IF(F139&lt;33.0,0,IF(F139&gt;=100*0.8,5,IF(F139&gt;=100*0.7,4,IF(F139&gt;=100*0.6,3.5,IF(F139&gt;=100*0.5,3,IF(F139&gt;=100*0.4,2,IF(F139&gt;=100*0.33,1,0))))))))</f>
        <v/>
      </c>
      <c r="Y139">
        <f>IF(B139="","",IF(G139&lt;16.5,0,IF(G139&gt;=50*0.8,5,IF(G139&gt;=50*0.7,4,IF(G139&gt;=50*0.6,3.5,IF(G139&gt;=50*0.5,3,IF(G139&gt;=50*0.4,2,IF(G139&gt;=50*0.33,1,0))))))))</f>
        <v/>
      </c>
      <c r="Z139">
        <f>IF(B139="","",IF(H139&lt;33.0,0,IF(H139&gt;=100*0.8,5,IF(H139&gt;=100*0.7,4,IF(H139&gt;=100*0.6,3.5,IF(H139&gt;=100*0.5,3,IF(H139&gt;=100*0.4,2,IF(H139&gt;=100*0.33,1,0))))))))</f>
        <v/>
      </c>
      <c r="AA139">
        <f>IF(B139="","",IF(I139&lt;33.0,0,IF(I139&gt;=100*0.8,5,IF(I139&gt;=100*0.7,4,IF(I139&gt;=100*0.6,3.5,IF(I139&gt;=100*0.5,3,IF(I139&gt;=100*0.4,2,IF(I139&gt;=100*0.33,1,0))))))))</f>
        <v/>
      </c>
      <c r="AB139">
        <f>IF(B139="","",IF(J139&lt;33.0,0,IF(J139&gt;=100*0.8,5,IF(J139&gt;=100*0.7,4,IF(J139&gt;=100*0.6,3.5,IF(J139&gt;=100*0.5,3,IF(J139&gt;=100*0.4,2,IF(J139&gt;=100*0.33,1,0))))))))</f>
        <v/>
      </c>
      <c r="AC139">
        <f>IF(B139="","",IF(K139&lt;33.0,0,IF(K139&gt;=100*0.8,5,IF(K139&gt;=100*0.7,4,IF(K139&gt;=100*0.6,3.5,IF(K139&gt;=100*0.5,3,IF(K139&gt;=100*0.4,2,IF(K139&gt;=100*0.33,1,0))))))))</f>
        <v/>
      </c>
      <c r="AD139">
        <f>IF(B139="","",IF(L139&lt;33.0,0,IF(L139&gt;=100*0.8,5,IF(L139&gt;=100*0.7,4,IF(L139&gt;=100*0.6,3.5,IF(L139&gt;=100*0.5,3,IF(L139&gt;=100*0.4,2,IF(L139&gt;=100*0.33,1,0))))))))</f>
        <v/>
      </c>
      <c r="AE139">
        <f>IF(B139="","",IF(M139&lt;33.0,0,IF(M139&gt;=100*0.8,5,IF(M139&gt;=100*0.7,4,IF(M139&gt;=100*0.6,3.5,IF(M139&gt;=100*0.5,3,IF(M139&gt;=100*0.4,2,IF(M139&gt;=100*0.33,1,0))))))))</f>
        <v/>
      </c>
      <c r="AF139">
        <f>IF(B139="","",IF(N139&lt;16.5,0,IF(N139&gt;=50*0.8,5,IF(N139&gt;=50*0.7,4,IF(N139&gt;=50*0.6,3.5,IF(N139&gt;=50*0.5,3,IF(N139&gt;=50*0.4,2,IF(N139&gt;=50*0.33,1,0))))))))</f>
        <v/>
      </c>
      <c r="AG139">
        <f>IF(B139="","",IF(O139&lt;33.0,0,IF(O139&gt;=100*0.8,5,IF(O139&gt;=100*0.7,4,IF(O139&gt;=100*0.6,3.5,IF(O139&gt;=100*0.5,3,IF(O139&gt;=100*0.4,2,IF(O139&gt;=100*0.33,1,0))))))))</f>
        <v/>
      </c>
      <c r="AH139">
        <f>IF(B139="","",IF(OR(U139=0,V139=0,W139=0,X139=0,Y139=0,Z139=0,AA139=0,AB139=0,AC139=0,AD139=0,AE139=0,AF139=0,AG139=0),1,0))</f>
        <v/>
      </c>
    </row>
    <row r="140">
      <c r="A140" s="3">
        <f>IF(B140="","",ROW()-2)</f>
        <v/>
      </c>
      <c r="P140" s="4">
        <f>IF(B140="","",SUM(C140:O140))</f>
        <v/>
      </c>
      <c r="Q140" s="5">
        <f>IF(B140="","",ROUND(P140/13,2))</f>
        <v/>
      </c>
      <c r="R140" s="5">
        <f>IF(B140="","",IF(AH140=1,0,MIN(5,ROUND((U140+V140+W140+X140+Y140+Z140+AA140+AB140+AC140+AD140+AE140+AF140+AG140)/13,2))))</f>
        <v/>
      </c>
      <c r="S140" s="3">
        <f>IF(B140="","",IF(R140&gt;=5,"A+",IF(R140&gt;=4,"A",IF(R140&gt;=3.5,"A-",IF(R140&gt;=3,"B",IF(R140&gt;=2,"C",IF(R140&gt;=1,"D","F")))))))</f>
        <v/>
      </c>
      <c r="T140" s="3">
        <f>IF(OR(B140="",S140="F"),"",COUNTIFS(P:P,"&gt;"&amp;P140,S:S,"&lt;&gt;F")+1)</f>
        <v/>
      </c>
      <c r="U140">
        <f>IF(B140="","",IF(C140&lt;33.0,0,IF(C140&gt;=100*0.8,5,IF(C140&gt;=100*0.7,4,IF(C140&gt;=100*0.6,3.5,IF(C140&gt;=100*0.5,3,IF(C140&gt;=100*0.4,2,IF(C140&gt;=100*0.33,1,0))))))))</f>
        <v/>
      </c>
      <c r="V140">
        <f>IF(B140="","",IF(D140&lt;33.0,0,IF(D140&gt;=100*0.8,5,IF(D140&gt;=100*0.7,4,IF(D140&gt;=100*0.6,3.5,IF(D140&gt;=100*0.5,3,IF(D140&gt;=100*0.4,2,IF(D140&gt;=100*0.33,1,0))))))))</f>
        <v/>
      </c>
      <c r="W140">
        <f>IF(B140="","",IF(E140&lt;16.5,0,IF(E140&gt;=50*0.8,5,IF(E140&gt;=50*0.7,4,IF(E140&gt;=50*0.6,3.5,IF(E140&gt;=50*0.5,3,IF(E140&gt;=50*0.4,2,IF(E140&gt;=50*0.33,1,0))))))))</f>
        <v/>
      </c>
      <c r="X140">
        <f>IF(B140="","",IF(F140&lt;33.0,0,IF(F140&gt;=100*0.8,5,IF(F140&gt;=100*0.7,4,IF(F140&gt;=100*0.6,3.5,IF(F140&gt;=100*0.5,3,IF(F140&gt;=100*0.4,2,IF(F140&gt;=100*0.33,1,0))))))))</f>
        <v/>
      </c>
      <c r="Y140">
        <f>IF(B140="","",IF(G140&lt;16.5,0,IF(G140&gt;=50*0.8,5,IF(G140&gt;=50*0.7,4,IF(G140&gt;=50*0.6,3.5,IF(G140&gt;=50*0.5,3,IF(G140&gt;=50*0.4,2,IF(G140&gt;=50*0.33,1,0))))))))</f>
        <v/>
      </c>
      <c r="Z140">
        <f>IF(B140="","",IF(H140&lt;33.0,0,IF(H140&gt;=100*0.8,5,IF(H140&gt;=100*0.7,4,IF(H140&gt;=100*0.6,3.5,IF(H140&gt;=100*0.5,3,IF(H140&gt;=100*0.4,2,IF(H140&gt;=100*0.33,1,0))))))))</f>
        <v/>
      </c>
      <c r="AA140">
        <f>IF(B140="","",IF(I140&lt;33.0,0,IF(I140&gt;=100*0.8,5,IF(I140&gt;=100*0.7,4,IF(I140&gt;=100*0.6,3.5,IF(I140&gt;=100*0.5,3,IF(I140&gt;=100*0.4,2,IF(I140&gt;=100*0.33,1,0))))))))</f>
        <v/>
      </c>
      <c r="AB140">
        <f>IF(B140="","",IF(J140&lt;33.0,0,IF(J140&gt;=100*0.8,5,IF(J140&gt;=100*0.7,4,IF(J140&gt;=100*0.6,3.5,IF(J140&gt;=100*0.5,3,IF(J140&gt;=100*0.4,2,IF(J140&gt;=100*0.33,1,0))))))))</f>
        <v/>
      </c>
      <c r="AC140">
        <f>IF(B140="","",IF(K140&lt;33.0,0,IF(K140&gt;=100*0.8,5,IF(K140&gt;=100*0.7,4,IF(K140&gt;=100*0.6,3.5,IF(K140&gt;=100*0.5,3,IF(K140&gt;=100*0.4,2,IF(K140&gt;=100*0.33,1,0))))))))</f>
        <v/>
      </c>
      <c r="AD140">
        <f>IF(B140="","",IF(L140&lt;33.0,0,IF(L140&gt;=100*0.8,5,IF(L140&gt;=100*0.7,4,IF(L140&gt;=100*0.6,3.5,IF(L140&gt;=100*0.5,3,IF(L140&gt;=100*0.4,2,IF(L140&gt;=100*0.33,1,0))))))))</f>
        <v/>
      </c>
      <c r="AE140">
        <f>IF(B140="","",IF(M140&lt;33.0,0,IF(M140&gt;=100*0.8,5,IF(M140&gt;=100*0.7,4,IF(M140&gt;=100*0.6,3.5,IF(M140&gt;=100*0.5,3,IF(M140&gt;=100*0.4,2,IF(M140&gt;=100*0.33,1,0))))))))</f>
        <v/>
      </c>
      <c r="AF140">
        <f>IF(B140="","",IF(N140&lt;16.5,0,IF(N140&gt;=50*0.8,5,IF(N140&gt;=50*0.7,4,IF(N140&gt;=50*0.6,3.5,IF(N140&gt;=50*0.5,3,IF(N140&gt;=50*0.4,2,IF(N140&gt;=50*0.33,1,0))))))))</f>
        <v/>
      </c>
      <c r="AG140">
        <f>IF(B140="","",IF(O140&lt;33.0,0,IF(O140&gt;=100*0.8,5,IF(O140&gt;=100*0.7,4,IF(O140&gt;=100*0.6,3.5,IF(O140&gt;=100*0.5,3,IF(O140&gt;=100*0.4,2,IF(O140&gt;=100*0.33,1,0))))))))</f>
        <v/>
      </c>
      <c r="AH140">
        <f>IF(B140="","",IF(OR(U140=0,V140=0,W140=0,X140=0,Y140=0,Z140=0,AA140=0,AB140=0,AC140=0,AD140=0,AE140=0,AF140=0,AG140=0),1,0))</f>
        <v/>
      </c>
    </row>
    <row r="141">
      <c r="A141" s="3">
        <f>IF(B141="","",ROW()-2)</f>
        <v/>
      </c>
      <c r="P141" s="4">
        <f>IF(B141="","",SUM(C141:O141))</f>
        <v/>
      </c>
      <c r="Q141" s="5">
        <f>IF(B141="","",ROUND(P141/13,2))</f>
        <v/>
      </c>
      <c r="R141" s="5">
        <f>IF(B141="","",IF(AH141=1,0,MIN(5,ROUND((U141+V141+W141+X141+Y141+Z141+AA141+AB141+AC141+AD141+AE141+AF141+AG141)/13,2))))</f>
        <v/>
      </c>
      <c r="S141" s="3">
        <f>IF(B141="","",IF(R141&gt;=5,"A+",IF(R141&gt;=4,"A",IF(R141&gt;=3.5,"A-",IF(R141&gt;=3,"B",IF(R141&gt;=2,"C",IF(R141&gt;=1,"D","F")))))))</f>
        <v/>
      </c>
      <c r="T141" s="3">
        <f>IF(OR(B141="",S141="F"),"",COUNTIFS(P:P,"&gt;"&amp;P141,S:S,"&lt;&gt;F")+1)</f>
        <v/>
      </c>
      <c r="U141">
        <f>IF(B141="","",IF(C141&lt;33.0,0,IF(C141&gt;=100*0.8,5,IF(C141&gt;=100*0.7,4,IF(C141&gt;=100*0.6,3.5,IF(C141&gt;=100*0.5,3,IF(C141&gt;=100*0.4,2,IF(C141&gt;=100*0.33,1,0))))))))</f>
        <v/>
      </c>
      <c r="V141">
        <f>IF(B141="","",IF(D141&lt;33.0,0,IF(D141&gt;=100*0.8,5,IF(D141&gt;=100*0.7,4,IF(D141&gt;=100*0.6,3.5,IF(D141&gt;=100*0.5,3,IF(D141&gt;=100*0.4,2,IF(D141&gt;=100*0.33,1,0))))))))</f>
        <v/>
      </c>
      <c r="W141">
        <f>IF(B141="","",IF(E141&lt;16.5,0,IF(E141&gt;=50*0.8,5,IF(E141&gt;=50*0.7,4,IF(E141&gt;=50*0.6,3.5,IF(E141&gt;=50*0.5,3,IF(E141&gt;=50*0.4,2,IF(E141&gt;=50*0.33,1,0))))))))</f>
        <v/>
      </c>
      <c r="X141">
        <f>IF(B141="","",IF(F141&lt;33.0,0,IF(F141&gt;=100*0.8,5,IF(F141&gt;=100*0.7,4,IF(F141&gt;=100*0.6,3.5,IF(F141&gt;=100*0.5,3,IF(F141&gt;=100*0.4,2,IF(F141&gt;=100*0.33,1,0))))))))</f>
        <v/>
      </c>
      <c r="Y141">
        <f>IF(B141="","",IF(G141&lt;16.5,0,IF(G141&gt;=50*0.8,5,IF(G141&gt;=50*0.7,4,IF(G141&gt;=50*0.6,3.5,IF(G141&gt;=50*0.5,3,IF(G141&gt;=50*0.4,2,IF(G141&gt;=50*0.33,1,0))))))))</f>
        <v/>
      </c>
      <c r="Z141">
        <f>IF(B141="","",IF(H141&lt;33.0,0,IF(H141&gt;=100*0.8,5,IF(H141&gt;=100*0.7,4,IF(H141&gt;=100*0.6,3.5,IF(H141&gt;=100*0.5,3,IF(H141&gt;=100*0.4,2,IF(H141&gt;=100*0.33,1,0))))))))</f>
        <v/>
      </c>
      <c r="AA141">
        <f>IF(B141="","",IF(I141&lt;33.0,0,IF(I141&gt;=100*0.8,5,IF(I141&gt;=100*0.7,4,IF(I141&gt;=100*0.6,3.5,IF(I141&gt;=100*0.5,3,IF(I141&gt;=100*0.4,2,IF(I141&gt;=100*0.33,1,0))))))))</f>
        <v/>
      </c>
      <c r="AB141">
        <f>IF(B141="","",IF(J141&lt;33.0,0,IF(J141&gt;=100*0.8,5,IF(J141&gt;=100*0.7,4,IF(J141&gt;=100*0.6,3.5,IF(J141&gt;=100*0.5,3,IF(J141&gt;=100*0.4,2,IF(J141&gt;=100*0.33,1,0))))))))</f>
        <v/>
      </c>
      <c r="AC141">
        <f>IF(B141="","",IF(K141&lt;33.0,0,IF(K141&gt;=100*0.8,5,IF(K141&gt;=100*0.7,4,IF(K141&gt;=100*0.6,3.5,IF(K141&gt;=100*0.5,3,IF(K141&gt;=100*0.4,2,IF(K141&gt;=100*0.33,1,0))))))))</f>
        <v/>
      </c>
      <c r="AD141">
        <f>IF(B141="","",IF(L141&lt;33.0,0,IF(L141&gt;=100*0.8,5,IF(L141&gt;=100*0.7,4,IF(L141&gt;=100*0.6,3.5,IF(L141&gt;=100*0.5,3,IF(L141&gt;=100*0.4,2,IF(L141&gt;=100*0.33,1,0))))))))</f>
        <v/>
      </c>
      <c r="AE141">
        <f>IF(B141="","",IF(M141&lt;33.0,0,IF(M141&gt;=100*0.8,5,IF(M141&gt;=100*0.7,4,IF(M141&gt;=100*0.6,3.5,IF(M141&gt;=100*0.5,3,IF(M141&gt;=100*0.4,2,IF(M141&gt;=100*0.33,1,0))))))))</f>
        <v/>
      </c>
      <c r="AF141">
        <f>IF(B141="","",IF(N141&lt;16.5,0,IF(N141&gt;=50*0.8,5,IF(N141&gt;=50*0.7,4,IF(N141&gt;=50*0.6,3.5,IF(N141&gt;=50*0.5,3,IF(N141&gt;=50*0.4,2,IF(N141&gt;=50*0.33,1,0))))))))</f>
        <v/>
      </c>
      <c r="AG141">
        <f>IF(B141="","",IF(O141&lt;33.0,0,IF(O141&gt;=100*0.8,5,IF(O141&gt;=100*0.7,4,IF(O141&gt;=100*0.6,3.5,IF(O141&gt;=100*0.5,3,IF(O141&gt;=100*0.4,2,IF(O141&gt;=100*0.33,1,0))))))))</f>
        <v/>
      </c>
      <c r="AH141">
        <f>IF(B141="","",IF(OR(U141=0,V141=0,W141=0,X141=0,Y141=0,Z141=0,AA141=0,AB141=0,AC141=0,AD141=0,AE141=0,AF141=0,AG141=0),1,0))</f>
        <v/>
      </c>
    </row>
    <row r="142">
      <c r="A142" s="3">
        <f>IF(B142="","",ROW()-2)</f>
        <v/>
      </c>
      <c r="P142" s="4">
        <f>IF(B142="","",SUM(C142:O142))</f>
        <v/>
      </c>
      <c r="Q142" s="5">
        <f>IF(B142="","",ROUND(P142/13,2))</f>
        <v/>
      </c>
      <c r="R142" s="5">
        <f>IF(B142="","",IF(AH142=1,0,MIN(5,ROUND((U142+V142+W142+X142+Y142+Z142+AA142+AB142+AC142+AD142+AE142+AF142+AG142)/13,2))))</f>
        <v/>
      </c>
      <c r="S142" s="3">
        <f>IF(B142="","",IF(R142&gt;=5,"A+",IF(R142&gt;=4,"A",IF(R142&gt;=3.5,"A-",IF(R142&gt;=3,"B",IF(R142&gt;=2,"C",IF(R142&gt;=1,"D","F")))))))</f>
        <v/>
      </c>
      <c r="T142" s="3">
        <f>IF(OR(B142="",S142="F"),"",COUNTIFS(P:P,"&gt;"&amp;P142,S:S,"&lt;&gt;F")+1)</f>
        <v/>
      </c>
      <c r="U142">
        <f>IF(B142="","",IF(C142&lt;33.0,0,IF(C142&gt;=100*0.8,5,IF(C142&gt;=100*0.7,4,IF(C142&gt;=100*0.6,3.5,IF(C142&gt;=100*0.5,3,IF(C142&gt;=100*0.4,2,IF(C142&gt;=100*0.33,1,0))))))))</f>
        <v/>
      </c>
      <c r="V142">
        <f>IF(B142="","",IF(D142&lt;33.0,0,IF(D142&gt;=100*0.8,5,IF(D142&gt;=100*0.7,4,IF(D142&gt;=100*0.6,3.5,IF(D142&gt;=100*0.5,3,IF(D142&gt;=100*0.4,2,IF(D142&gt;=100*0.33,1,0))))))))</f>
        <v/>
      </c>
      <c r="W142">
        <f>IF(B142="","",IF(E142&lt;16.5,0,IF(E142&gt;=50*0.8,5,IF(E142&gt;=50*0.7,4,IF(E142&gt;=50*0.6,3.5,IF(E142&gt;=50*0.5,3,IF(E142&gt;=50*0.4,2,IF(E142&gt;=50*0.33,1,0))))))))</f>
        <v/>
      </c>
      <c r="X142">
        <f>IF(B142="","",IF(F142&lt;33.0,0,IF(F142&gt;=100*0.8,5,IF(F142&gt;=100*0.7,4,IF(F142&gt;=100*0.6,3.5,IF(F142&gt;=100*0.5,3,IF(F142&gt;=100*0.4,2,IF(F142&gt;=100*0.33,1,0))))))))</f>
        <v/>
      </c>
      <c r="Y142">
        <f>IF(B142="","",IF(G142&lt;16.5,0,IF(G142&gt;=50*0.8,5,IF(G142&gt;=50*0.7,4,IF(G142&gt;=50*0.6,3.5,IF(G142&gt;=50*0.5,3,IF(G142&gt;=50*0.4,2,IF(G142&gt;=50*0.33,1,0))))))))</f>
        <v/>
      </c>
      <c r="Z142">
        <f>IF(B142="","",IF(H142&lt;33.0,0,IF(H142&gt;=100*0.8,5,IF(H142&gt;=100*0.7,4,IF(H142&gt;=100*0.6,3.5,IF(H142&gt;=100*0.5,3,IF(H142&gt;=100*0.4,2,IF(H142&gt;=100*0.33,1,0))))))))</f>
        <v/>
      </c>
      <c r="AA142">
        <f>IF(B142="","",IF(I142&lt;33.0,0,IF(I142&gt;=100*0.8,5,IF(I142&gt;=100*0.7,4,IF(I142&gt;=100*0.6,3.5,IF(I142&gt;=100*0.5,3,IF(I142&gt;=100*0.4,2,IF(I142&gt;=100*0.33,1,0))))))))</f>
        <v/>
      </c>
      <c r="AB142">
        <f>IF(B142="","",IF(J142&lt;33.0,0,IF(J142&gt;=100*0.8,5,IF(J142&gt;=100*0.7,4,IF(J142&gt;=100*0.6,3.5,IF(J142&gt;=100*0.5,3,IF(J142&gt;=100*0.4,2,IF(J142&gt;=100*0.33,1,0))))))))</f>
        <v/>
      </c>
      <c r="AC142">
        <f>IF(B142="","",IF(K142&lt;33.0,0,IF(K142&gt;=100*0.8,5,IF(K142&gt;=100*0.7,4,IF(K142&gt;=100*0.6,3.5,IF(K142&gt;=100*0.5,3,IF(K142&gt;=100*0.4,2,IF(K142&gt;=100*0.33,1,0))))))))</f>
        <v/>
      </c>
      <c r="AD142">
        <f>IF(B142="","",IF(L142&lt;33.0,0,IF(L142&gt;=100*0.8,5,IF(L142&gt;=100*0.7,4,IF(L142&gt;=100*0.6,3.5,IF(L142&gt;=100*0.5,3,IF(L142&gt;=100*0.4,2,IF(L142&gt;=100*0.33,1,0))))))))</f>
        <v/>
      </c>
      <c r="AE142">
        <f>IF(B142="","",IF(M142&lt;33.0,0,IF(M142&gt;=100*0.8,5,IF(M142&gt;=100*0.7,4,IF(M142&gt;=100*0.6,3.5,IF(M142&gt;=100*0.5,3,IF(M142&gt;=100*0.4,2,IF(M142&gt;=100*0.33,1,0))))))))</f>
        <v/>
      </c>
      <c r="AF142">
        <f>IF(B142="","",IF(N142&lt;16.5,0,IF(N142&gt;=50*0.8,5,IF(N142&gt;=50*0.7,4,IF(N142&gt;=50*0.6,3.5,IF(N142&gt;=50*0.5,3,IF(N142&gt;=50*0.4,2,IF(N142&gt;=50*0.33,1,0))))))))</f>
        <v/>
      </c>
      <c r="AG142">
        <f>IF(B142="","",IF(O142&lt;33.0,0,IF(O142&gt;=100*0.8,5,IF(O142&gt;=100*0.7,4,IF(O142&gt;=100*0.6,3.5,IF(O142&gt;=100*0.5,3,IF(O142&gt;=100*0.4,2,IF(O142&gt;=100*0.33,1,0))))))))</f>
        <v/>
      </c>
      <c r="AH142">
        <f>IF(B142="","",IF(OR(U142=0,V142=0,W142=0,X142=0,Y142=0,Z142=0,AA142=0,AB142=0,AC142=0,AD142=0,AE142=0,AF142=0,AG142=0),1,0))</f>
        <v/>
      </c>
    </row>
    <row r="143">
      <c r="A143" s="3">
        <f>IF(B143="","",ROW()-2)</f>
        <v/>
      </c>
      <c r="P143" s="4">
        <f>IF(B143="","",SUM(C143:O143))</f>
        <v/>
      </c>
      <c r="Q143" s="5">
        <f>IF(B143="","",ROUND(P143/13,2))</f>
        <v/>
      </c>
      <c r="R143" s="5">
        <f>IF(B143="","",IF(AH143=1,0,MIN(5,ROUND((U143+V143+W143+X143+Y143+Z143+AA143+AB143+AC143+AD143+AE143+AF143+AG143)/13,2))))</f>
        <v/>
      </c>
      <c r="S143" s="3">
        <f>IF(B143="","",IF(R143&gt;=5,"A+",IF(R143&gt;=4,"A",IF(R143&gt;=3.5,"A-",IF(R143&gt;=3,"B",IF(R143&gt;=2,"C",IF(R143&gt;=1,"D","F")))))))</f>
        <v/>
      </c>
      <c r="T143" s="3">
        <f>IF(OR(B143="",S143="F"),"",COUNTIFS(P:P,"&gt;"&amp;P143,S:S,"&lt;&gt;F")+1)</f>
        <v/>
      </c>
      <c r="U143">
        <f>IF(B143="","",IF(C143&lt;33.0,0,IF(C143&gt;=100*0.8,5,IF(C143&gt;=100*0.7,4,IF(C143&gt;=100*0.6,3.5,IF(C143&gt;=100*0.5,3,IF(C143&gt;=100*0.4,2,IF(C143&gt;=100*0.33,1,0))))))))</f>
        <v/>
      </c>
      <c r="V143">
        <f>IF(B143="","",IF(D143&lt;33.0,0,IF(D143&gt;=100*0.8,5,IF(D143&gt;=100*0.7,4,IF(D143&gt;=100*0.6,3.5,IF(D143&gt;=100*0.5,3,IF(D143&gt;=100*0.4,2,IF(D143&gt;=100*0.33,1,0))))))))</f>
        <v/>
      </c>
      <c r="W143">
        <f>IF(B143="","",IF(E143&lt;16.5,0,IF(E143&gt;=50*0.8,5,IF(E143&gt;=50*0.7,4,IF(E143&gt;=50*0.6,3.5,IF(E143&gt;=50*0.5,3,IF(E143&gt;=50*0.4,2,IF(E143&gt;=50*0.33,1,0))))))))</f>
        <v/>
      </c>
      <c r="X143">
        <f>IF(B143="","",IF(F143&lt;33.0,0,IF(F143&gt;=100*0.8,5,IF(F143&gt;=100*0.7,4,IF(F143&gt;=100*0.6,3.5,IF(F143&gt;=100*0.5,3,IF(F143&gt;=100*0.4,2,IF(F143&gt;=100*0.33,1,0))))))))</f>
        <v/>
      </c>
      <c r="Y143">
        <f>IF(B143="","",IF(G143&lt;16.5,0,IF(G143&gt;=50*0.8,5,IF(G143&gt;=50*0.7,4,IF(G143&gt;=50*0.6,3.5,IF(G143&gt;=50*0.5,3,IF(G143&gt;=50*0.4,2,IF(G143&gt;=50*0.33,1,0))))))))</f>
        <v/>
      </c>
      <c r="Z143">
        <f>IF(B143="","",IF(H143&lt;33.0,0,IF(H143&gt;=100*0.8,5,IF(H143&gt;=100*0.7,4,IF(H143&gt;=100*0.6,3.5,IF(H143&gt;=100*0.5,3,IF(H143&gt;=100*0.4,2,IF(H143&gt;=100*0.33,1,0))))))))</f>
        <v/>
      </c>
      <c r="AA143">
        <f>IF(B143="","",IF(I143&lt;33.0,0,IF(I143&gt;=100*0.8,5,IF(I143&gt;=100*0.7,4,IF(I143&gt;=100*0.6,3.5,IF(I143&gt;=100*0.5,3,IF(I143&gt;=100*0.4,2,IF(I143&gt;=100*0.33,1,0))))))))</f>
        <v/>
      </c>
      <c r="AB143">
        <f>IF(B143="","",IF(J143&lt;33.0,0,IF(J143&gt;=100*0.8,5,IF(J143&gt;=100*0.7,4,IF(J143&gt;=100*0.6,3.5,IF(J143&gt;=100*0.5,3,IF(J143&gt;=100*0.4,2,IF(J143&gt;=100*0.33,1,0))))))))</f>
        <v/>
      </c>
      <c r="AC143">
        <f>IF(B143="","",IF(K143&lt;33.0,0,IF(K143&gt;=100*0.8,5,IF(K143&gt;=100*0.7,4,IF(K143&gt;=100*0.6,3.5,IF(K143&gt;=100*0.5,3,IF(K143&gt;=100*0.4,2,IF(K143&gt;=100*0.33,1,0))))))))</f>
        <v/>
      </c>
      <c r="AD143">
        <f>IF(B143="","",IF(L143&lt;33.0,0,IF(L143&gt;=100*0.8,5,IF(L143&gt;=100*0.7,4,IF(L143&gt;=100*0.6,3.5,IF(L143&gt;=100*0.5,3,IF(L143&gt;=100*0.4,2,IF(L143&gt;=100*0.33,1,0))))))))</f>
        <v/>
      </c>
      <c r="AE143">
        <f>IF(B143="","",IF(M143&lt;33.0,0,IF(M143&gt;=100*0.8,5,IF(M143&gt;=100*0.7,4,IF(M143&gt;=100*0.6,3.5,IF(M143&gt;=100*0.5,3,IF(M143&gt;=100*0.4,2,IF(M143&gt;=100*0.33,1,0))))))))</f>
        <v/>
      </c>
      <c r="AF143">
        <f>IF(B143="","",IF(N143&lt;16.5,0,IF(N143&gt;=50*0.8,5,IF(N143&gt;=50*0.7,4,IF(N143&gt;=50*0.6,3.5,IF(N143&gt;=50*0.5,3,IF(N143&gt;=50*0.4,2,IF(N143&gt;=50*0.33,1,0))))))))</f>
        <v/>
      </c>
      <c r="AG143">
        <f>IF(B143="","",IF(O143&lt;33.0,0,IF(O143&gt;=100*0.8,5,IF(O143&gt;=100*0.7,4,IF(O143&gt;=100*0.6,3.5,IF(O143&gt;=100*0.5,3,IF(O143&gt;=100*0.4,2,IF(O143&gt;=100*0.33,1,0))))))))</f>
        <v/>
      </c>
      <c r="AH143">
        <f>IF(B143="","",IF(OR(U143=0,V143=0,W143=0,X143=0,Y143=0,Z143=0,AA143=0,AB143=0,AC143=0,AD143=0,AE143=0,AF143=0,AG143=0),1,0))</f>
        <v/>
      </c>
    </row>
    <row r="144">
      <c r="A144" s="3">
        <f>IF(B144="","",ROW()-2)</f>
        <v/>
      </c>
      <c r="P144" s="4">
        <f>IF(B144="","",SUM(C144:O144))</f>
        <v/>
      </c>
      <c r="Q144" s="5">
        <f>IF(B144="","",ROUND(P144/13,2))</f>
        <v/>
      </c>
      <c r="R144" s="5">
        <f>IF(B144="","",IF(AH144=1,0,MIN(5,ROUND((U144+V144+W144+X144+Y144+Z144+AA144+AB144+AC144+AD144+AE144+AF144+AG144)/13,2))))</f>
        <v/>
      </c>
      <c r="S144" s="3">
        <f>IF(B144="","",IF(R144&gt;=5,"A+",IF(R144&gt;=4,"A",IF(R144&gt;=3.5,"A-",IF(R144&gt;=3,"B",IF(R144&gt;=2,"C",IF(R144&gt;=1,"D","F")))))))</f>
        <v/>
      </c>
      <c r="T144" s="3">
        <f>IF(OR(B144="",S144="F"),"",COUNTIFS(P:P,"&gt;"&amp;P144,S:S,"&lt;&gt;F")+1)</f>
        <v/>
      </c>
      <c r="U144">
        <f>IF(B144="","",IF(C144&lt;33.0,0,IF(C144&gt;=100*0.8,5,IF(C144&gt;=100*0.7,4,IF(C144&gt;=100*0.6,3.5,IF(C144&gt;=100*0.5,3,IF(C144&gt;=100*0.4,2,IF(C144&gt;=100*0.33,1,0))))))))</f>
        <v/>
      </c>
      <c r="V144">
        <f>IF(B144="","",IF(D144&lt;33.0,0,IF(D144&gt;=100*0.8,5,IF(D144&gt;=100*0.7,4,IF(D144&gt;=100*0.6,3.5,IF(D144&gt;=100*0.5,3,IF(D144&gt;=100*0.4,2,IF(D144&gt;=100*0.33,1,0))))))))</f>
        <v/>
      </c>
      <c r="W144">
        <f>IF(B144="","",IF(E144&lt;16.5,0,IF(E144&gt;=50*0.8,5,IF(E144&gt;=50*0.7,4,IF(E144&gt;=50*0.6,3.5,IF(E144&gt;=50*0.5,3,IF(E144&gt;=50*0.4,2,IF(E144&gt;=50*0.33,1,0))))))))</f>
        <v/>
      </c>
      <c r="X144">
        <f>IF(B144="","",IF(F144&lt;33.0,0,IF(F144&gt;=100*0.8,5,IF(F144&gt;=100*0.7,4,IF(F144&gt;=100*0.6,3.5,IF(F144&gt;=100*0.5,3,IF(F144&gt;=100*0.4,2,IF(F144&gt;=100*0.33,1,0))))))))</f>
        <v/>
      </c>
      <c r="Y144">
        <f>IF(B144="","",IF(G144&lt;16.5,0,IF(G144&gt;=50*0.8,5,IF(G144&gt;=50*0.7,4,IF(G144&gt;=50*0.6,3.5,IF(G144&gt;=50*0.5,3,IF(G144&gt;=50*0.4,2,IF(G144&gt;=50*0.33,1,0))))))))</f>
        <v/>
      </c>
      <c r="Z144">
        <f>IF(B144="","",IF(H144&lt;33.0,0,IF(H144&gt;=100*0.8,5,IF(H144&gt;=100*0.7,4,IF(H144&gt;=100*0.6,3.5,IF(H144&gt;=100*0.5,3,IF(H144&gt;=100*0.4,2,IF(H144&gt;=100*0.33,1,0))))))))</f>
        <v/>
      </c>
      <c r="AA144">
        <f>IF(B144="","",IF(I144&lt;33.0,0,IF(I144&gt;=100*0.8,5,IF(I144&gt;=100*0.7,4,IF(I144&gt;=100*0.6,3.5,IF(I144&gt;=100*0.5,3,IF(I144&gt;=100*0.4,2,IF(I144&gt;=100*0.33,1,0))))))))</f>
        <v/>
      </c>
      <c r="AB144">
        <f>IF(B144="","",IF(J144&lt;33.0,0,IF(J144&gt;=100*0.8,5,IF(J144&gt;=100*0.7,4,IF(J144&gt;=100*0.6,3.5,IF(J144&gt;=100*0.5,3,IF(J144&gt;=100*0.4,2,IF(J144&gt;=100*0.33,1,0))))))))</f>
        <v/>
      </c>
      <c r="AC144">
        <f>IF(B144="","",IF(K144&lt;33.0,0,IF(K144&gt;=100*0.8,5,IF(K144&gt;=100*0.7,4,IF(K144&gt;=100*0.6,3.5,IF(K144&gt;=100*0.5,3,IF(K144&gt;=100*0.4,2,IF(K144&gt;=100*0.33,1,0))))))))</f>
        <v/>
      </c>
      <c r="AD144">
        <f>IF(B144="","",IF(L144&lt;33.0,0,IF(L144&gt;=100*0.8,5,IF(L144&gt;=100*0.7,4,IF(L144&gt;=100*0.6,3.5,IF(L144&gt;=100*0.5,3,IF(L144&gt;=100*0.4,2,IF(L144&gt;=100*0.33,1,0))))))))</f>
        <v/>
      </c>
      <c r="AE144">
        <f>IF(B144="","",IF(M144&lt;33.0,0,IF(M144&gt;=100*0.8,5,IF(M144&gt;=100*0.7,4,IF(M144&gt;=100*0.6,3.5,IF(M144&gt;=100*0.5,3,IF(M144&gt;=100*0.4,2,IF(M144&gt;=100*0.33,1,0))))))))</f>
        <v/>
      </c>
      <c r="AF144">
        <f>IF(B144="","",IF(N144&lt;16.5,0,IF(N144&gt;=50*0.8,5,IF(N144&gt;=50*0.7,4,IF(N144&gt;=50*0.6,3.5,IF(N144&gt;=50*0.5,3,IF(N144&gt;=50*0.4,2,IF(N144&gt;=50*0.33,1,0))))))))</f>
        <v/>
      </c>
      <c r="AG144">
        <f>IF(B144="","",IF(O144&lt;33.0,0,IF(O144&gt;=100*0.8,5,IF(O144&gt;=100*0.7,4,IF(O144&gt;=100*0.6,3.5,IF(O144&gt;=100*0.5,3,IF(O144&gt;=100*0.4,2,IF(O144&gt;=100*0.33,1,0))))))))</f>
        <v/>
      </c>
      <c r="AH144">
        <f>IF(B144="","",IF(OR(U144=0,V144=0,W144=0,X144=0,Y144=0,Z144=0,AA144=0,AB144=0,AC144=0,AD144=0,AE144=0,AF144=0,AG144=0),1,0))</f>
        <v/>
      </c>
    </row>
    <row r="145">
      <c r="A145" s="3">
        <f>IF(B145="","",ROW()-2)</f>
        <v/>
      </c>
      <c r="P145" s="4">
        <f>IF(B145="","",SUM(C145:O145))</f>
        <v/>
      </c>
      <c r="Q145" s="5">
        <f>IF(B145="","",ROUND(P145/13,2))</f>
        <v/>
      </c>
      <c r="R145" s="5">
        <f>IF(B145="","",IF(AH145=1,0,MIN(5,ROUND((U145+V145+W145+X145+Y145+Z145+AA145+AB145+AC145+AD145+AE145+AF145+AG145)/13,2))))</f>
        <v/>
      </c>
      <c r="S145" s="3">
        <f>IF(B145="","",IF(R145&gt;=5,"A+",IF(R145&gt;=4,"A",IF(R145&gt;=3.5,"A-",IF(R145&gt;=3,"B",IF(R145&gt;=2,"C",IF(R145&gt;=1,"D","F")))))))</f>
        <v/>
      </c>
      <c r="T145" s="3">
        <f>IF(OR(B145="",S145="F"),"",COUNTIFS(P:P,"&gt;"&amp;P145,S:S,"&lt;&gt;F")+1)</f>
        <v/>
      </c>
      <c r="U145">
        <f>IF(B145="","",IF(C145&lt;33.0,0,IF(C145&gt;=100*0.8,5,IF(C145&gt;=100*0.7,4,IF(C145&gt;=100*0.6,3.5,IF(C145&gt;=100*0.5,3,IF(C145&gt;=100*0.4,2,IF(C145&gt;=100*0.33,1,0))))))))</f>
        <v/>
      </c>
      <c r="V145">
        <f>IF(B145="","",IF(D145&lt;33.0,0,IF(D145&gt;=100*0.8,5,IF(D145&gt;=100*0.7,4,IF(D145&gt;=100*0.6,3.5,IF(D145&gt;=100*0.5,3,IF(D145&gt;=100*0.4,2,IF(D145&gt;=100*0.33,1,0))))))))</f>
        <v/>
      </c>
      <c r="W145">
        <f>IF(B145="","",IF(E145&lt;16.5,0,IF(E145&gt;=50*0.8,5,IF(E145&gt;=50*0.7,4,IF(E145&gt;=50*0.6,3.5,IF(E145&gt;=50*0.5,3,IF(E145&gt;=50*0.4,2,IF(E145&gt;=50*0.33,1,0))))))))</f>
        <v/>
      </c>
      <c r="X145">
        <f>IF(B145="","",IF(F145&lt;33.0,0,IF(F145&gt;=100*0.8,5,IF(F145&gt;=100*0.7,4,IF(F145&gt;=100*0.6,3.5,IF(F145&gt;=100*0.5,3,IF(F145&gt;=100*0.4,2,IF(F145&gt;=100*0.33,1,0))))))))</f>
        <v/>
      </c>
      <c r="Y145">
        <f>IF(B145="","",IF(G145&lt;16.5,0,IF(G145&gt;=50*0.8,5,IF(G145&gt;=50*0.7,4,IF(G145&gt;=50*0.6,3.5,IF(G145&gt;=50*0.5,3,IF(G145&gt;=50*0.4,2,IF(G145&gt;=50*0.33,1,0))))))))</f>
        <v/>
      </c>
      <c r="Z145">
        <f>IF(B145="","",IF(H145&lt;33.0,0,IF(H145&gt;=100*0.8,5,IF(H145&gt;=100*0.7,4,IF(H145&gt;=100*0.6,3.5,IF(H145&gt;=100*0.5,3,IF(H145&gt;=100*0.4,2,IF(H145&gt;=100*0.33,1,0))))))))</f>
        <v/>
      </c>
      <c r="AA145">
        <f>IF(B145="","",IF(I145&lt;33.0,0,IF(I145&gt;=100*0.8,5,IF(I145&gt;=100*0.7,4,IF(I145&gt;=100*0.6,3.5,IF(I145&gt;=100*0.5,3,IF(I145&gt;=100*0.4,2,IF(I145&gt;=100*0.33,1,0))))))))</f>
        <v/>
      </c>
      <c r="AB145">
        <f>IF(B145="","",IF(J145&lt;33.0,0,IF(J145&gt;=100*0.8,5,IF(J145&gt;=100*0.7,4,IF(J145&gt;=100*0.6,3.5,IF(J145&gt;=100*0.5,3,IF(J145&gt;=100*0.4,2,IF(J145&gt;=100*0.33,1,0))))))))</f>
        <v/>
      </c>
      <c r="AC145">
        <f>IF(B145="","",IF(K145&lt;33.0,0,IF(K145&gt;=100*0.8,5,IF(K145&gt;=100*0.7,4,IF(K145&gt;=100*0.6,3.5,IF(K145&gt;=100*0.5,3,IF(K145&gt;=100*0.4,2,IF(K145&gt;=100*0.33,1,0))))))))</f>
        <v/>
      </c>
      <c r="AD145">
        <f>IF(B145="","",IF(L145&lt;33.0,0,IF(L145&gt;=100*0.8,5,IF(L145&gt;=100*0.7,4,IF(L145&gt;=100*0.6,3.5,IF(L145&gt;=100*0.5,3,IF(L145&gt;=100*0.4,2,IF(L145&gt;=100*0.33,1,0))))))))</f>
        <v/>
      </c>
      <c r="AE145">
        <f>IF(B145="","",IF(M145&lt;33.0,0,IF(M145&gt;=100*0.8,5,IF(M145&gt;=100*0.7,4,IF(M145&gt;=100*0.6,3.5,IF(M145&gt;=100*0.5,3,IF(M145&gt;=100*0.4,2,IF(M145&gt;=100*0.33,1,0))))))))</f>
        <v/>
      </c>
      <c r="AF145">
        <f>IF(B145="","",IF(N145&lt;16.5,0,IF(N145&gt;=50*0.8,5,IF(N145&gt;=50*0.7,4,IF(N145&gt;=50*0.6,3.5,IF(N145&gt;=50*0.5,3,IF(N145&gt;=50*0.4,2,IF(N145&gt;=50*0.33,1,0))))))))</f>
        <v/>
      </c>
      <c r="AG145">
        <f>IF(B145="","",IF(O145&lt;33.0,0,IF(O145&gt;=100*0.8,5,IF(O145&gt;=100*0.7,4,IF(O145&gt;=100*0.6,3.5,IF(O145&gt;=100*0.5,3,IF(O145&gt;=100*0.4,2,IF(O145&gt;=100*0.33,1,0))))))))</f>
        <v/>
      </c>
      <c r="AH145">
        <f>IF(B145="","",IF(OR(U145=0,V145=0,W145=0,X145=0,Y145=0,Z145=0,AA145=0,AB145=0,AC145=0,AD145=0,AE145=0,AF145=0,AG145=0),1,0))</f>
        <v/>
      </c>
    </row>
    <row r="146">
      <c r="A146" s="3">
        <f>IF(B146="","",ROW()-2)</f>
        <v/>
      </c>
      <c r="P146" s="4">
        <f>IF(B146="","",SUM(C146:O146))</f>
        <v/>
      </c>
      <c r="Q146" s="5">
        <f>IF(B146="","",ROUND(P146/13,2))</f>
        <v/>
      </c>
      <c r="R146" s="5">
        <f>IF(B146="","",IF(AH146=1,0,MIN(5,ROUND((U146+V146+W146+X146+Y146+Z146+AA146+AB146+AC146+AD146+AE146+AF146+AG146)/13,2))))</f>
        <v/>
      </c>
      <c r="S146" s="3">
        <f>IF(B146="","",IF(R146&gt;=5,"A+",IF(R146&gt;=4,"A",IF(R146&gt;=3.5,"A-",IF(R146&gt;=3,"B",IF(R146&gt;=2,"C",IF(R146&gt;=1,"D","F")))))))</f>
        <v/>
      </c>
      <c r="T146" s="3">
        <f>IF(OR(B146="",S146="F"),"",COUNTIFS(P:P,"&gt;"&amp;P146,S:S,"&lt;&gt;F")+1)</f>
        <v/>
      </c>
      <c r="U146">
        <f>IF(B146="","",IF(C146&lt;33.0,0,IF(C146&gt;=100*0.8,5,IF(C146&gt;=100*0.7,4,IF(C146&gt;=100*0.6,3.5,IF(C146&gt;=100*0.5,3,IF(C146&gt;=100*0.4,2,IF(C146&gt;=100*0.33,1,0))))))))</f>
        <v/>
      </c>
      <c r="V146">
        <f>IF(B146="","",IF(D146&lt;33.0,0,IF(D146&gt;=100*0.8,5,IF(D146&gt;=100*0.7,4,IF(D146&gt;=100*0.6,3.5,IF(D146&gt;=100*0.5,3,IF(D146&gt;=100*0.4,2,IF(D146&gt;=100*0.33,1,0))))))))</f>
        <v/>
      </c>
      <c r="W146">
        <f>IF(B146="","",IF(E146&lt;16.5,0,IF(E146&gt;=50*0.8,5,IF(E146&gt;=50*0.7,4,IF(E146&gt;=50*0.6,3.5,IF(E146&gt;=50*0.5,3,IF(E146&gt;=50*0.4,2,IF(E146&gt;=50*0.33,1,0))))))))</f>
        <v/>
      </c>
      <c r="X146">
        <f>IF(B146="","",IF(F146&lt;33.0,0,IF(F146&gt;=100*0.8,5,IF(F146&gt;=100*0.7,4,IF(F146&gt;=100*0.6,3.5,IF(F146&gt;=100*0.5,3,IF(F146&gt;=100*0.4,2,IF(F146&gt;=100*0.33,1,0))))))))</f>
        <v/>
      </c>
      <c r="Y146">
        <f>IF(B146="","",IF(G146&lt;16.5,0,IF(G146&gt;=50*0.8,5,IF(G146&gt;=50*0.7,4,IF(G146&gt;=50*0.6,3.5,IF(G146&gt;=50*0.5,3,IF(G146&gt;=50*0.4,2,IF(G146&gt;=50*0.33,1,0))))))))</f>
        <v/>
      </c>
      <c r="Z146">
        <f>IF(B146="","",IF(H146&lt;33.0,0,IF(H146&gt;=100*0.8,5,IF(H146&gt;=100*0.7,4,IF(H146&gt;=100*0.6,3.5,IF(H146&gt;=100*0.5,3,IF(H146&gt;=100*0.4,2,IF(H146&gt;=100*0.33,1,0))))))))</f>
        <v/>
      </c>
      <c r="AA146">
        <f>IF(B146="","",IF(I146&lt;33.0,0,IF(I146&gt;=100*0.8,5,IF(I146&gt;=100*0.7,4,IF(I146&gt;=100*0.6,3.5,IF(I146&gt;=100*0.5,3,IF(I146&gt;=100*0.4,2,IF(I146&gt;=100*0.33,1,0))))))))</f>
        <v/>
      </c>
      <c r="AB146">
        <f>IF(B146="","",IF(J146&lt;33.0,0,IF(J146&gt;=100*0.8,5,IF(J146&gt;=100*0.7,4,IF(J146&gt;=100*0.6,3.5,IF(J146&gt;=100*0.5,3,IF(J146&gt;=100*0.4,2,IF(J146&gt;=100*0.33,1,0))))))))</f>
        <v/>
      </c>
      <c r="AC146">
        <f>IF(B146="","",IF(K146&lt;33.0,0,IF(K146&gt;=100*0.8,5,IF(K146&gt;=100*0.7,4,IF(K146&gt;=100*0.6,3.5,IF(K146&gt;=100*0.5,3,IF(K146&gt;=100*0.4,2,IF(K146&gt;=100*0.33,1,0))))))))</f>
        <v/>
      </c>
      <c r="AD146">
        <f>IF(B146="","",IF(L146&lt;33.0,0,IF(L146&gt;=100*0.8,5,IF(L146&gt;=100*0.7,4,IF(L146&gt;=100*0.6,3.5,IF(L146&gt;=100*0.5,3,IF(L146&gt;=100*0.4,2,IF(L146&gt;=100*0.33,1,0))))))))</f>
        <v/>
      </c>
      <c r="AE146">
        <f>IF(B146="","",IF(M146&lt;33.0,0,IF(M146&gt;=100*0.8,5,IF(M146&gt;=100*0.7,4,IF(M146&gt;=100*0.6,3.5,IF(M146&gt;=100*0.5,3,IF(M146&gt;=100*0.4,2,IF(M146&gt;=100*0.33,1,0))))))))</f>
        <v/>
      </c>
      <c r="AF146">
        <f>IF(B146="","",IF(N146&lt;16.5,0,IF(N146&gt;=50*0.8,5,IF(N146&gt;=50*0.7,4,IF(N146&gt;=50*0.6,3.5,IF(N146&gt;=50*0.5,3,IF(N146&gt;=50*0.4,2,IF(N146&gt;=50*0.33,1,0))))))))</f>
        <v/>
      </c>
      <c r="AG146">
        <f>IF(B146="","",IF(O146&lt;33.0,0,IF(O146&gt;=100*0.8,5,IF(O146&gt;=100*0.7,4,IF(O146&gt;=100*0.6,3.5,IF(O146&gt;=100*0.5,3,IF(O146&gt;=100*0.4,2,IF(O146&gt;=100*0.33,1,0))))))))</f>
        <v/>
      </c>
      <c r="AH146">
        <f>IF(B146="","",IF(OR(U146=0,V146=0,W146=0,X146=0,Y146=0,Z146=0,AA146=0,AB146=0,AC146=0,AD146=0,AE146=0,AF146=0,AG146=0),1,0))</f>
        <v/>
      </c>
    </row>
    <row r="147">
      <c r="A147" s="3">
        <f>IF(B147="","",ROW()-2)</f>
        <v/>
      </c>
      <c r="P147" s="4">
        <f>IF(B147="","",SUM(C147:O147))</f>
        <v/>
      </c>
      <c r="Q147" s="5">
        <f>IF(B147="","",ROUND(P147/13,2))</f>
        <v/>
      </c>
      <c r="R147" s="5">
        <f>IF(B147="","",IF(AH147=1,0,MIN(5,ROUND((U147+V147+W147+X147+Y147+Z147+AA147+AB147+AC147+AD147+AE147+AF147+AG147)/13,2))))</f>
        <v/>
      </c>
      <c r="S147" s="3">
        <f>IF(B147="","",IF(R147&gt;=5,"A+",IF(R147&gt;=4,"A",IF(R147&gt;=3.5,"A-",IF(R147&gt;=3,"B",IF(R147&gt;=2,"C",IF(R147&gt;=1,"D","F")))))))</f>
        <v/>
      </c>
      <c r="T147" s="3">
        <f>IF(OR(B147="",S147="F"),"",COUNTIFS(P:P,"&gt;"&amp;P147,S:S,"&lt;&gt;F")+1)</f>
        <v/>
      </c>
      <c r="U147">
        <f>IF(B147="","",IF(C147&lt;33.0,0,IF(C147&gt;=100*0.8,5,IF(C147&gt;=100*0.7,4,IF(C147&gt;=100*0.6,3.5,IF(C147&gt;=100*0.5,3,IF(C147&gt;=100*0.4,2,IF(C147&gt;=100*0.33,1,0))))))))</f>
        <v/>
      </c>
      <c r="V147">
        <f>IF(B147="","",IF(D147&lt;33.0,0,IF(D147&gt;=100*0.8,5,IF(D147&gt;=100*0.7,4,IF(D147&gt;=100*0.6,3.5,IF(D147&gt;=100*0.5,3,IF(D147&gt;=100*0.4,2,IF(D147&gt;=100*0.33,1,0))))))))</f>
        <v/>
      </c>
      <c r="W147">
        <f>IF(B147="","",IF(E147&lt;16.5,0,IF(E147&gt;=50*0.8,5,IF(E147&gt;=50*0.7,4,IF(E147&gt;=50*0.6,3.5,IF(E147&gt;=50*0.5,3,IF(E147&gt;=50*0.4,2,IF(E147&gt;=50*0.33,1,0))))))))</f>
        <v/>
      </c>
      <c r="X147">
        <f>IF(B147="","",IF(F147&lt;33.0,0,IF(F147&gt;=100*0.8,5,IF(F147&gt;=100*0.7,4,IF(F147&gt;=100*0.6,3.5,IF(F147&gt;=100*0.5,3,IF(F147&gt;=100*0.4,2,IF(F147&gt;=100*0.33,1,0))))))))</f>
        <v/>
      </c>
      <c r="Y147">
        <f>IF(B147="","",IF(G147&lt;16.5,0,IF(G147&gt;=50*0.8,5,IF(G147&gt;=50*0.7,4,IF(G147&gt;=50*0.6,3.5,IF(G147&gt;=50*0.5,3,IF(G147&gt;=50*0.4,2,IF(G147&gt;=50*0.33,1,0))))))))</f>
        <v/>
      </c>
      <c r="Z147">
        <f>IF(B147="","",IF(H147&lt;33.0,0,IF(H147&gt;=100*0.8,5,IF(H147&gt;=100*0.7,4,IF(H147&gt;=100*0.6,3.5,IF(H147&gt;=100*0.5,3,IF(H147&gt;=100*0.4,2,IF(H147&gt;=100*0.33,1,0))))))))</f>
        <v/>
      </c>
      <c r="AA147">
        <f>IF(B147="","",IF(I147&lt;33.0,0,IF(I147&gt;=100*0.8,5,IF(I147&gt;=100*0.7,4,IF(I147&gt;=100*0.6,3.5,IF(I147&gt;=100*0.5,3,IF(I147&gt;=100*0.4,2,IF(I147&gt;=100*0.33,1,0))))))))</f>
        <v/>
      </c>
      <c r="AB147">
        <f>IF(B147="","",IF(J147&lt;33.0,0,IF(J147&gt;=100*0.8,5,IF(J147&gt;=100*0.7,4,IF(J147&gt;=100*0.6,3.5,IF(J147&gt;=100*0.5,3,IF(J147&gt;=100*0.4,2,IF(J147&gt;=100*0.33,1,0))))))))</f>
        <v/>
      </c>
      <c r="AC147">
        <f>IF(B147="","",IF(K147&lt;33.0,0,IF(K147&gt;=100*0.8,5,IF(K147&gt;=100*0.7,4,IF(K147&gt;=100*0.6,3.5,IF(K147&gt;=100*0.5,3,IF(K147&gt;=100*0.4,2,IF(K147&gt;=100*0.33,1,0))))))))</f>
        <v/>
      </c>
      <c r="AD147">
        <f>IF(B147="","",IF(L147&lt;33.0,0,IF(L147&gt;=100*0.8,5,IF(L147&gt;=100*0.7,4,IF(L147&gt;=100*0.6,3.5,IF(L147&gt;=100*0.5,3,IF(L147&gt;=100*0.4,2,IF(L147&gt;=100*0.33,1,0))))))))</f>
        <v/>
      </c>
      <c r="AE147">
        <f>IF(B147="","",IF(M147&lt;33.0,0,IF(M147&gt;=100*0.8,5,IF(M147&gt;=100*0.7,4,IF(M147&gt;=100*0.6,3.5,IF(M147&gt;=100*0.5,3,IF(M147&gt;=100*0.4,2,IF(M147&gt;=100*0.33,1,0))))))))</f>
        <v/>
      </c>
      <c r="AF147">
        <f>IF(B147="","",IF(N147&lt;16.5,0,IF(N147&gt;=50*0.8,5,IF(N147&gt;=50*0.7,4,IF(N147&gt;=50*0.6,3.5,IF(N147&gt;=50*0.5,3,IF(N147&gt;=50*0.4,2,IF(N147&gt;=50*0.33,1,0))))))))</f>
        <v/>
      </c>
      <c r="AG147">
        <f>IF(B147="","",IF(O147&lt;33.0,0,IF(O147&gt;=100*0.8,5,IF(O147&gt;=100*0.7,4,IF(O147&gt;=100*0.6,3.5,IF(O147&gt;=100*0.5,3,IF(O147&gt;=100*0.4,2,IF(O147&gt;=100*0.33,1,0))))))))</f>
        <v/>
      </c>
      <c r="AH147">
        <f>IF(B147="","",IF(OR(U147=0,V147=0,W147=0,X147=0,Y147=0,Z147=0,AA147=0,AB147=0,AC147=0,AD147=0,AE147=0,AF147=0,AG147=0),1,0))</f>
        <v/>
      </c>
    </row>
    <row r="148">
      <c r="A148" s="3">
        <f>IF(B148="","",ROW()-2)</f>
        <v/>
      </c>
      <c r="P148" s="4">
        <f>IF(B148="","",SUM(C148:O148))</f>
        <v/>
      </c>
      <c r="Q148" s="5">
        <f>IF(B148="","",ROUND(P148/13,2))</f>
        <v/>
      </c>
      <c r="R148" s="5">
        <f>IF(B148="","",IF(AH148=1,0,MIN(5,ROUND((U148+V148+W148+X148+Y148+Z148+AA148+AB148+AC148+AD148+AE148+AF148+AG148)/13,2))))</f>
        <v/>
      </c>
      <c r="S148" s="3">
        <f>IF(B148="","",IF(R148&gt;=5,"A+",IF(R148&gt;=4,"A",IF(R148&gt;=3.5,"A-",IF(R148&gt;=3,"B",IF(R148&gt;=2,"C",IF(R148&gt;=1,"D","F")))))))</f>
        <v/>
      </c>
      <c r="T148" s="3">
        <f>IF(OR(B148="",S148="F"),"",COUNTIFS(P:P,"&gt;"&amp;P148,S:S,"&lt;&gt;F")+1)</f>
        <v/>
      </c>
      <c r="U148">
        <f>IF(B148="","",IF(C148&lt;33.0,0,IF(C148&gt;=100*0.8,5,IF(C148&gt;=100*0.7,4,IF(C148&gt;=100*0.6,3.5,IF(C148&gt;=100*0.5,3,IF(C148&gt;=100*0.4,2,IF(C148&gt;=100*0.33,1,0))))))))</f>
        <v/>
      </c>
      <c r="V148">
        <f>IF(B148="","",IF(D148&lt;33.0,0,IF(D148&gt;=100*0.8,5,IF(D148&gt;=100*0.7,4,IF(D148&gt;=100*0.6,3.5,IF(D148&gt;=100*0.5,3,IF(D148&gt;=100*0.4,2,IF(D148&gt;=100*0.33,1,0))))))))</f>
        <v/>
      </c>
      <c r="W148">
        <f>IF(B148="","",IF(E148&lt;16.5,0,IF(E148&gt;=50*0.8,5,IF(E148&gt;=50*0.7,4,IF(E148&gt;=50*0.6,3.5,IF(E148&gt;=50*0.5,3,IF(E148&gt;=50*0.4,2,IF(E148&gt;=50*0.33,1,0))))))))</f>
        <v/>
      </c>
      <c r="X148">
        <f>IF(B148="","",IF(F148&lt;33.0,0,IF(F148&gt;=100*0.8,5,IF(F148&gt;=100*0.7,4,IF(F148&gt;=100*0.6,3.5,IF(F148&gt;=100*0.5,3,IF(F148&gt;=100*0.4,2,IF(F148&gt;=100*0.33,1,0))))))))</f>
        <v/>
      </c>
      <c r="Y148">
        <f>IF(B148="","",IF(G148&lt;16.5,0,IF(G148&gt;=50*0.8,5,IF(G148&gt;=50*0.7,4,IF(G148&gt;=50*0.6,3.5,IF(G148&gt;=50*0.5,3,IF(G148&gt;=50*0.4,2,IF(G148&gt;=50*0.33,1,0))))))))</f>
        <v/>
      </c>
      <c r="Z148">
        <f>IF(B148="","",IF(H148&lt;33.0,0,IF(H148&gt;=100*0.8,5,IF(H148&gt;=100*0.7,4,IF(H148&gt;=100*0.6,3.5,IF(H148&gt;=100*0.5,3,IF(H148&gt;=100*0.4,2,IF(H148&gt;=100*0.33,1,0))))))))</f>
        <v/>
      </c>
      <c r="AA148">
        <f>IF(B148="","",IF(I148&lt;33.0,0,IF(I148&gt;=100*0.8,5,IF(I148&gt;=100*0.7,4,IF(I148&gt;=100*0.6,3.5,IF(I148&gt;=100*0.5,3,IF(I148&gt;=100*0.4,2,IF(I148&gt;=100*0.33,1,0))))))))</f>
        <v/>
      </c>
      <c r="AB148">
        <f>IF(B148="","",IF(J148&lt;33.0,0,IF(J148&gt;=100*0.8,5,IF(J148&gt;=100*0.7,4,IF(J148&gt;=100*0.6,3.5,IF(J148&gt;=100*0.5,3,IF(J148&gt;=100*0.4,2,IF(J148&gt;=100*0.33,1,0))))))))</f>
        <v/>
      </c>
      <c r="AC148">
        <f>IF(B148="","",IF(K148&lt;33.0,0,IF(K148&gt;=100*0.8,5,IF(K148&gt;=100*0.7,4,IF(K148&gt;=100*0.6,3.5,IF(K148&gt;=100*0.5,3,IF(K148&gt;=100*0.4,2,IF(K148&gt;=100*0.33,1,0))))))))</f>
        <v/>
      </c>
      <c r="AD148">
        <f>IF(B148="","",IF(L148&lt;33.0,0,IF(L148&gt;=100*0.8,5,IF(L148&gt;=100*0.7,4,IF(L148&gt;=100*0.6,3.5,IF(L148&gt;=100*0.5,3,IF(L148&gt;=100*0.4,2,IF(L148&gt;=100*0.33,1,0))))))))</f>
        <v/>
      </c>
      <c r="AE148">
        <f>IF(B148="","",IF(M148&lt;33.0,0,IF(M148&gt;=100*0.8,5,IF(M148&gt;=100*0.7,4,IF(M148&gt;=100*0.6,3.5,IF(M148&gt;=100*0.5,3,IF(M148&gt;=100*0.4,2,IF(M148&gt;=100*0.33,1,0))))))))</f>
        <v/>
      </c>
      <c r="AF148">
        <f>IF(B148="","",IF(N148&lt;16.5,0,IF(N148&gt;=50*0.8,5,IF(N148&gt;=50*0.7,4,IF(N148&gt;=50*0.6,3.5,IF(N148&gt;=50*0.5,3,IF(N148&gt;=50*0.4,2,IF(N148&gt;=50*0.33,1,0))))))))</f>
        <v/>
      </c>
      <c r="AG148">
        <f>IF(B148="","",IF(O148&lt;33.0,0,IF(O148&gt;=100*0.8,5,IF(O148&gt;=100*0.7,4,IF(O148&gt;=100*0.6,3.5,IF(O148&gt;=100*0.5,3,IF(O148&gt;=100*0.4,2,IF(O148&gt;=100*0.33,1,0))))))))</f>
        <v/>
      </c>
      <c r="AH148">
        <f>IF(B148="","",IF(OR(U148=0,V148=0,W148=0,X148=0,Y148=0,Z148=0,AA148=0,AB148=0,AC148=0,AD148=0,AE148=0,AF148=0,AG148=0),1,0))</f>
        <v/>
      </c>
    </row>
    <row r="149">
      <c r="A149" s="3">
        <f>IF(B149="","",ROW()-2)</f>
        <v/>
      </c>
      <c r="P149" s="4">
        <f>IF(B149="","",SUM(C149:O149))</f>
        <v/>
      </c>
      <c r="Q149" s="5">
        <f>IF(B149="","",ROUND(P149/13,2))</f>
        <v/>
      </c>
      <c r="R149" s="5">
        <f>IF(B149="","",IF(AH149=1,0,MIN(5,ROUND((U149+V149+W149+X149+Y149+Z149+AA149+AB149+AC149+AD149+AE149+AF149+AG149)/13,2))))</f>
        <v/>
      </c>
      <c r="S149" s="3">
        <f>IF(B149="","",IF(R149&gt;=5,"A+",IF(R149&gt;=4,"A",IF(R149&gt;=3.5,"A-",IF(R149&gt;=3,"B",IF(R149&gt;=2,"C",IF(R149&gt;=1,"D","F")))))))</f>
        <v/>
      </c>
      <c r="T149" s="3">
        <f>IF(OR(B149="",S149="F"),"",COUNTIFS(P:P,"&gt;"&amp;P149,S:S,"&lt;&gt;F")+1)</f>
        <v/>
      </c>
      <c r="U149">
        <f>IF(B149="","",IF(C149&lt;33.0,0,IF(C149&gt;=100*0.8,5,IF(C149&gt;=100*0.7,4,IF(C149&gt;=100*0.6,3.5,IF(C149&gt;=100*0.5,3,IF(C149&gt;=100*0.4,2,IF(C149&gt;=100*0.33,1,0))))))))</f>
        <v/>
      </c>
      <c r="V149">
        <f>IF(B149="","",IF(D149&lt;33.0,0,IF(D149&gt;=100*0.8,5,IF(D149&gt;=100*0.7,4,IF(D149&gt;=100*0.6,3.5,IF(D149&gt;=100*0.5,3,IF(D149&gt;=100*0.4,2,IF(D149&gt;=100*0.33,1,0))))))))</f>
        <v/>
      </c>
      <c r="W149">
        <f>IF(B149="","",IF(E149&lt;16.5,0,IF(E149&gt;=50*0.8,5,IF(E149&gt;=50*0.7,4,IF(E149&gt;=50*0.6,3.5,IF(E149&gt;=50*0.5,3,IF(E149&gt;=50*0.4,2,IF(E149&gt;=50*0.33,1,0))))))))</f>
        <v/>
      </c>
      <c r="X149">
        <f>IF(B149="","",IF(F149&lt;33.0,0,IF(F149&gt;=100*0.8,5,IF(F149&gt;=100*0.7,4,IF(F149&gt;=100*0.6,3.5,IF(F149&gt;=100*0.5,3,IF(F149&gt;=100*0.4,2,IF(F149&gt;=100*0.33,1,0))))))))</f>
        <v/>
      </c>
      <c r="Y149">
        <f>IF(B149="","",IF(G149&lt;16.5,0,IF(G149&gt;=50*0.8,5,IF(G149&gt;=50*0.7,4,IF(G149&gt;=50*0.6,3.5,IF(G149&gt;=50*0.5,3,IF(G149&gt;=50*0.4,2,IF(G149&gt;=50*0.33,1,0))))))))</f>
        <v/>
      </c>
      <c r="Z149">
        <f>IF(B149="","",IF(H149&lt;33.0,0,IF(H149&gt;=100*0.8,5,IF(H149&gt;=100*0.7,4,IF(H149&gt;=100*0.6,3.5,IF(H149&gt;=100*0.5,3,IF(H149&gt;=100*0.4,2,IF(H149&gt;=100*0.33,1,0))))))))</f>
        <v/>
      </c>
      <c r="AA149">
        <f>IF(B149="","",IF(I149&lt;33.0,0,IF(I149&gt;=100*0.8,5,IF(I149&gt;=100*0.7,4,IF(I149&gt;=100*0.6,3.5,IF(I149&gt;=100*0.5,3,IF(I149&gt;=100*0.4,2,IF(I149&gt;=100*0.33,1,0))))))))</f>
        <v/>
      </c>
      <c r="AB149">
        <f>IF(B149="","",IF(J149&lt;33.0,0,IF(J149&gt;=100*0.8,5,IF(J149&gt;=100*0.7,4,IF(J149&gt;=100*0.6,3.5,IF(J149&gt;=100*0.5,3,IF(J149&gt;=100*0.4,2,IF(J149&gt;=100*0.33,1,0))))))))</f>
        <v/>
      </c>
      <c r="AC149">
        <f>IF(B149="","",IF(K149&lt;33.0,0,IF(K149&gt;=100*0.8,5,IF(K149&gt;=100*0.7,4,IF(K149&gt;=100*0.6,3.5,IF(K149&gt;=100*0.5,3,IF(K149&gt;=100*0.4,2,IF(K149&gt;=100*0.33,1,0))))))))</f>
        <v/>
      </c>
      <c r="AD149">
        <f>IF(B149="","",IF(L149&lt;33.0,0,IF(L149&gt;=100*0.8,5,IF(L149&gt;=100*0.7,4,IF(L149&gt;=100*0.6,3.5,IF(L149&gt;=100*0.5,3,IF(L149&gt;=100*0.4,2,IF(L149&gt;=100*0.33,1,0))))))))</f>
        <v/>
      </c>
      <c r="AE149">
        <f>IF(B149="","",IF(M149&lt;33.0,0,IF(M149&gt;=100*0.8,5,IF(M149&gt;=100*0.7,4,IF(M149&gt;=100*0.6,3.5,IF(M149&gt;=100*0.5,3,IF(M149&gt;=100*0.4,2,IF(M149&gt;=100*0.33,1,0))))))))</f>
        <v/>
      </c>
      <c r="AF149">
        <f>IF(B149="","",IF(N149&lt;16.5,0,IF(N149&gt;=50*0.8,5,IF(N149&gt;=50*0.7,4,IF(N149&gt;=50*0.6,3.5,IF(N149&gt;=50*0.5,3,IF(N149&gt;=50*0.4,2,IF(N149&gt;=50*0.33,1,0))))))))</f>
        <v/>
      </c>
      <c r="AG149">
        <f>IF(B149="","",IF(O149&lt;33.0,0,IF(O149&gt;=100*0.8,5,IF(O149&gt;=100*0.7,4,IF(O149&gt;=100*0.6,3.5,IF(O149&gt;=100*0.5,3,IF(O149&gt;=100*0.4,2,IF(O149&gt;=100*0.33,1,0))))))))</f>
        <v/>
      </c>
      <c r="AH149">
        <f>IF(B149="","",IF(OR(U149=0,V149=0,W149=0,X149=0,Y149=0,Z149=0,AA149=0,AB149=0,AC149=0,AD149=0,AE149=0,AF149=0,AG149=0),1,0))</f>
        <v/>
      </c>
    </row>
    <row r="150">
      <c r="A150" s="3">
        <f>IF(B150="","",ROW()-2)</f>
        <v/>
      </c>
      <c r="P150" s="4">
        <f>IF(B150="","",SUM(C150:O150))</f>
        <v/>
      </c>
      <c r="Q150" s="5">
        <f>IF(B150="","",ROUND(P150/13,2))</f>
        <v/>
      </c>
      <c r="R150" s="5">
        <f>IF(B150="","",IF(AH150=1,0,MIN(5,ROUND((U150+V150+W150+X150+Y150+Z150+AA150+AB150+AC150+AD150+AE150+AF150+AG150)/13,2))))</f>
        <v/>
      </c>
      <c r="S150" s="3">
        <f>IF(B150="","",IF(R150&gt;=5,"A+",IF(R150&gt;=4,"A",IF(R150&gt;=3.5,"A-",IF(R150&gt;=3,"B",IF(R150&gt;=2,"C",IF(R150&gt;=1,"D","F")))))))</f>
        <v/>
      </c>
      <c r="T150" s="3">
        <f>IF(OR(B150="",S150="F"),"",COUNTIFS(P:P,"&gt;"&amp;P150,S:S,"&lt;&gt;F")+1)</f>
        <v/>
      </c>
      <c r="U150">
        <f>IF(B150="","",IF(C150&lt;33.0,0,IF(C150&gt;=100*0.8,5,IF(C150&gt;=100*0.7,4,IF(C150&gt;=100*0.6,3.5,IF(C150&gt;=100*0.5,3,IF(C150&gt;=100*0.4,2,IF(C150&gt;=100*0.33,1,0))))))))</f>
        <v/>
      </c>
      <c r="V150">
        <f>IF(B150="","",IF(D150&lt;33.0,0,IF(D150&gt;=100*0.8,5,IF(D150&gt;=100*0.7,4,IF(D150&gt;=100*0.6,3.5,IF(D150&gt;=100*0.5,3,IF(D150&gt;=100*0.4,2,IF(D150&gt;=100*0.33,1,0))))))))</f>
        <v/>
      </c>
      <c r="W150">
        <f>IF(B150="","",IF(E150&lt;16.5,0,IF(E150&gt;=50*0.8,5,IF(E150&gt;=50*0.7,4,IF(E150&gt;=50*0.6,3.5,IF(E150&gt;=50*0.5,3,IF(E150&gt;=50*0.4,2,IF(E150&gt;=50*0.33,1,0))))))))</f>
        <v/>
      </c>
      <c r="X150">
        <f>IF(B150="","",IF(F150&lt;33.0,0,IF(F150&gt;=100*0.8,5,IF(F150&gt;=100*0.7,4,IF(F150&gt;=100*0.6,3.5,IF(F150&gt;=100*0.5,3,IF(F150&gt;=100*0.4,2,IF(F150&gt;=100*0.33,1,0))))))))</f>
        <v/>
      </c>
      <c r="Y150">
        <f>IF(B150="","",IF(G150&lt;16.5,0,IF(G150&gt;=50*0.8,5,IF(G150&gt;=50*0.7,4,IF(G150&gt;=50*0.6,3.5,IF(G150&gt;=50*0.5,3,IF(G150&gt;=50*0.4,2,IF(G150&gt;=50*0.33,1,0))))))))</f>
        <v/>
      </c>
      <c r="Z150">
        <f>IF(B150="","",IF(H150&lt;33.0,0,IF(H150&gt;=100*0.8,5,IF(H150&gt;=100*0.7,4,IF(H150&gt;=100*0.6,3.5,IF(H150&gt;=100*0.5,3,IF(H150&gt;=100*0.4,2,IF(H150&gt;=100*0.33,1,0))))))))</f>
        <v/>
      </c>
      <c r="AA150">
        <f>IF(B150="","",IF(I150&lt;33.0,0,IF(I150&gt;=100*0.8,5,IF(I150&gt;=100*0.7,4,IF(I150&gt;=100*0.6,3.5,IF(I150&gt;=100*0.5,3,IF(I150&gt;=100*0.4,2,IF(I150&gt;=100*0.33,1,0))))))))</f>
        <v/>
      </c>
      <c r="AB150">
        <f>IF(B150="","",IF(J150&lt;33.0,0,IF(J150&gt;=100*0.8,5,IF(J150&gt;=100*0.7,4,IF(J150&gt;=100*0.6,3.5,IF(J150&gt;=100*0.5,3,IF(J150&gt;=100*0.4,2,IF(J150&gt;=100*0.33,1,0))))))))</f>
        <v/>
      </c>
      <c r="AC150">
        <f>IF(B150="","",IF(K150&lt;33.0,0,IF(K150&gt;=100*0.8,5,IF(K150&gt;=100*0.7,4,IF(K150&gt;=100*0.6,3.5,IF(K150&gt;=100*0.5,3,IF(K150&gt;=100*0.4,2,IF(K150&gt;=100*0.33,1,0))))))))</f>
        <v/>
      </c>
      <c r="AD150">
        <f>IF(B150="","",IF(L150&lt;33.0,0,IF(L150&gt;=100*0.8,5,IF(L150&gt;=100*0.7,4,IF(L150&gt;=100*0.6,3.5,IF(L150&gt;=100*0.5,3,IF(L150&gt;=100*0.4,2,IF(L150&gt;=100*0.33,1,0))))))))</f>
        <v/>
      </c>
      <c r="AE150">
        <f>IF(B150="","",IF(M150&lt;33.0,0,IF(M150&gt;=100*0.8,5,IF(M150&gt;=100*0.7,4,IF(M150&gt;=100*0.6,3.5,IF(M150&gt;=100*0.5,3,IF(M150&gt;=100*0.4,2,IF(M150&gt;=100*0.33,1,0))))))))</f>
        <v/>
      </c>
      <c r="AF150">
        <f>IF(B150="","",IF(N150&lt;16.5,0,IF(N150&gt;=50*0.8,5,IF(N150&gt;=50*0.7,4,IF(N150&gt;=50*0.6,3.5,IF(N150&gt;=50*0.5,3,IF(N150&gt;=50*0.4,2,IF(N150&gt;=50*0.33,1,0))))))))</f>
        <v/>
      </c>
      <c r="AG150">
        <f>IF(B150="","",IF(O150&lt;33.0,0,IF(O150&gt;=100*0.8,5,IF(O150&gt;=100*0.7,4,IF(O150&gt;=100*0.6,3.5,IF(O150&gt;=100*0.5,3,IF(O150&gt;=100*0.4,2,IF(O150&gt;=100*0.33,1,0))))))))</f>
        <v/>
      </c>
      <c r="AH150">
        <f>IF(B150="","",IF(OR(U150=0,V150=0,W150=0,X150=0,Y150=0,Z150=0,AA150=0,AB150=0,AC150=0,AD150=0,AE150=0,AF150=0,AG150=0),1,0))</f>
        <v/>
      </c>
    </row>
    <row r="151">
      <c r="A151" s="3">
        <f>IF(B151="","",ROW()-2)</f>
        <v/>
      </c>
      <c r="P151" s="4">
        <f>IF(B151="","",SUM(C151:O151))</f>
        <v/>
      </c>
      <c r="Q151" s="5">
        <f>IF(B151="","",ROUND(P151/13,2))</f>
        <v/>
      </c>
      <c r="R151" s="5">
        <f>IF(B151="","",IF(AH151=1,0,MIN(5,ROUND((U151+V151+W151+X151+Y151+Z151+AA151+AB151+AC151+AD151+AE151+AF151+AG151)/13,2))))</f>
        <v/>
      </c>
      <c r="S151" s="3">
        <f>IF(B151="","",IF(R151&gt;=5,"A+",IF(R151&gt;=4,"A",IF(R151&gt;=3.5,"A-",IF(R151&gt;=3,"B",IF(R151&gt;=2,"C",IF(R151&gt;=1,"D","F")))))))</f>
        <v/>
      </c>
      <c r="T151" s="3">
        <f>IF(OR(B151="",S151="F"),"",COUNTIFS(P:P,"&gt;"&amp;P151,S:S,"&lt;&gt;F")+1)</f>
        <v/>
      </c>
      <c r="U151">
        <f>IF(B151="","",IF(C151&lt;33.0,0,IF(C151&gt;=100*0.8,5,IF(C151&gt;=100*0.7,4,IF(C151&gt;=100*0.6,3.5,IF(C151&gt;=100*0.5,3,IF(C151&gt;=100*0.4,2,IF(C151&gt;=100*0.33,1,0))))))))</f>
        <v/>
      </c>
      <c r="V151">
        <f>IF(B151="","",IF(D151&lt;33.0,0,IF(D151&gt;=100*0.8,5,IF(D151&gt;=100*0.7,4,IF(D151&gt;=100*0.6,3.5,IF(D151&gt;=100*0.5,3,IF(D151&gt;=100*0.4,2,IF(D151&gt;=100*0.33,1,0))))))))</f>
        <v/>
      </c>
      <c r="W151">
        <f>IF(B151="","",IF(E151&lt;16.5,0,IF(E151&gt;=50*0.8,5,IF(E151&gt;=50*0.7,4,IF(E151&gt;=50*0.6,3.5,IF(E151&gt;=50*0.5,3,IF(E151&gt;=50*0.4,2,IF(E151&gt;=50*0.33,1,0))))))))</f>
        <v/>
      </c>
      <c r="X151">
        <f>IF(B151="","",IF(F151&lt;33.0,0,IF(F151&gt;=100*0.8,5,IF(F151&gt;=100*0.7,4,IF(F151&gt;=100*0.6,3.5,IF(F151&gt;=100*0.5,3,IF(F151&gt;=100*0.4,2,IF(F151&gt;=100*0.33,1,0))))))))</f>
        <v/>
      </c>
      <c r="Y151">
        <f>IF(B151="","",IF(G151&lt;16.5,0,IF(G151&gt;=50*0.8,5,IF(G151&gt;=50*0.7,4,IF(G151&gt;=50*0.6,3.5,IF(G151&gt;=50*0.5,3,IF(G151&gt;=50*0.4,2,IF(G151&gt;=50*0.33,1,0))))))))</f>
        <v/>
      </c>
      <c r="Z151">
        <f>IF(B151="","",IF(H151&lt;33.0,0,IF(H151&gt;=100*0.8,5,IF(H151&gt;=100*0.7,4,IF(H151&gt;=100*0.6,3.5,IF(H151&gt;=100*0.5,3,IF(H151&gt;=100*0.4,2,IF(H151&gt;=100*0.33,1,0))))))))</f>
        <v/>
      </c>
      <c r="AA151">
        <f>IF(B151="","",IF(I151&lt;33.0,0,IF(I151&gt;=100*0.8,5,IF(I151&gt;=100*0.7,4,IF(I151&gt;=100*0.6,3.5,IF(I151&gt;=100*0.5,3,IF(I151&gt;=100*0.4,2,IF(I151&gt;=100*0.33,1,0))))))))</f>
        <v/>
      </c>
      <c r="AB151">
        <f>IF(B151="","",IF(J151&lt;33.0,0,IF(J151&gt;=100*0.8,5,IF(J151&gt;=100*0.7,4,IF(J151&gt;=100*0.6,3.5,IF(J151&gt;=100*0.5,3,IF(J151&gt;=100*0.4,2,IF(J151&gt;=100*0.33,1,0))))))))</f>
        <v/>
      </c>
      <c r="AC151">
        <f>IF(B151="","",IF(K151&lt;33.0,0,IF(K151&gt;=100*0.8,5,IF(K151&gt;=100*0.7,4,IF(K151&gt;=100*0.6,3.5,IF(K151&gt;=100*0.5,3,IF(K151&gt;=100*0.4,2,IF(K151&gt;=100*0.33,1,0))))))))</f>
        <v/>
      </c>
      <c r="AD151">
        <f>IF(B151="","",IF(L151&lt;33.0,0,IF(L151&gt;=100*0.8,5,IF(L151&gt;=100*0.7,4,IF(L151&gt;=100*0.6,3.5,IF(L151&gt;=100*0.5,3,IF(L151&gt;=100*0.4,2,IF(L151&gt;=100*0.33,1,0))))))))</f>
        <v/>
      </c>
      <c r="AE151">
        <f>IF(B151="","",IF(M151&lt;33.0,0,IF(M151&gt;=100*0.8,5,IF(M151&gt;=100*0.7,4,IF(M151&gt;=100*0.6,3.5,IF(M151&gt;=100*0.5,3,IF(M151&gt;=100*0.4,2,IF(M151&gt;=100*0.33,1,0))))))))</f>
        <v/>
      </c>
      <c r="AF151">
        <f>IF(B151="","",IF(N151&lt;16.5,0,IF(N151&gt;=50*0.8,5,IF(N151&gt;=50*0.7,4,IF(N151&gt;=50*0.6,3.5,IF(N151&gt;=50*0.5,3,IF(N151&gt;=50*0.4,2,IF(N151&gt;=50*0.33,1,0))))))))</f>
        <v/>
      </c>
      <c r="AG151">
        <f>IF(B151="","",IF(O151&lt;33.0,0,IF(O151&gt;=100*0.8,5,IF(O151&gt;=100*0.7,4,IF(O151&gt;=100*0.6,3.5,IF(O151&gt;=100*0.5,3,IF(O151&gt;=100*0.4,2,IF(O151&gt;=100*0.33,1,0))))))))</f>
        <v/>
      </c>
      <c r="AH151">
        <f>IF(B151="","",IF(OR(U151=0,V151=0,W151=0,X151=0,Y151=0,Z151=0,AA151=0,AB151=0,AC151=0,AD151=0,AE151=0,AF151=0,AG151=0),1,0))</f>
        <v/>
      </c>
    </row>
    <row r="152">
      <c r="A152" s="3">
        <f>IF(B152="","",ROW()-2)</f>
        <v/>
      </c>
      <c r="P152" s="4">
        <f>IF(B152="","",SUM(C152:O152))</f>
        <v/>
      </c>
      <c r="Q152" s="5">
        <f>IF(B152="","",ROUND(P152/13,2))</f>
        <v/>
      </c>
      <c r="R152" s="5">
        <f>IF(B152="","",IF(AH152=1,0,MIN(5,ROUND((U152+V152+W152+X152+Y152+Z152+AA152+AB152+AC152+AD152+AE152+AF152+AG152)/13,2))))</f>
        <v/>
      </c>
      <c r="S152" s="3">
        <f>IF(B152="","",IF(R152&gt;=5,"A+",IF(R152&gt;=4,"A",IF(R152&gt;=3.5,"A-",IF(R152&gt;=3,"B",IF(R152&gt;=2,"C",IF(R152&gt;=1,"D","F")))))))</f>
        <v/>
      </c>
      <c r="T152" s="3">
        <f>IF(OR(B152="",S152="F"),"",COUNTIFS(P:P,"&gt;"&amp;P152,S:S,"&lt;&gt;F")+1)</f>
        <v/>
      </c>
      <c r="U152">
        <f>IF(B152="","",IF(C152&lt;33.0,0,IF(C152&gt;=100*0.8,5,IF(C152&gt;=100*0.7,4,IF(C152&gt;=100*0.6,3.5,IF(C152&gt;=100*0.5,3,IF(C152&gt;=100*0.4,2,IF(C152&gt;=100*0.33,1,0))))))))</f>
        <v/>
      </c>
      <c r="V152">
        <f>IF(B152="","",IF(D152&lt;33.0,0,IF(D152&gt;=100*0.8,5,IF(D152&gt;=100*0.7,4,IF(D152&gt;=100*0.6,3.5,IF(D152&gt;=100*0.5,3,IF(D152&gt;=100*0.4,2,IF(D152&gt;=100*0.33,1,0))))))))</f>
        <v/>
      </c>
      <c r="W152">
        <f>IF(B152="","",IF(E152&lt;16.5,0,IF(E152&gt;=50*0.8,5,IF(E152&gt;=50*0.7,4,IF(E152&gt;=50*0.6,3.5,IF(E152&gt;=50*0.5,3,IF(E152&gt;=50*0.4,2,IF(E152&gt;=50*0.33,1,0))))))))</f>
        <v/>
      </c>
      <c r="X152">
        <f>IF(B152="","",IF(F152&lt;33.0,0,IF(F152&gt;=100*0.8,5,IF(F152&gt;=100*0.7,4,IF(F152&gt;=100*0.6,3.5,IF(F152&gt;=100*0.5,3,IF(F152&gt;=100*0.4,2,IF(F152&gt;=100*0.33,1,0))))))))</f>
        <v/>
      </c>
      <c r="Y152">
        <f>IF(B152="","",IF(G152&lt;16.5,0,IF(G152&gt;=50*0.8,5,IF(G152&gt;=50*0.7,4,IF(G152&gt;=50*0.6,3.5,IF(G152&gt;=50*0.5,3,IF(G152&gt;=50*0.4,2,IF(G152&gt;=50*0.33,1,0))))))))</f>
        <v/>
      </c>
      <c r="Z152">
        <f>IF(B152="","",IF(H152&lt;33.0,0,IF(H152&gt;=100*0.8,5,IF(H152&gt;=100*0.7,4,IF(H152&gt;=100*0.6,3.5,IF(H152&gt;=100*0.5,3,IF(H152&gt;=100*0.4,2,IF(H152&gt;=100*0.33,1,0))))))))</f>
        <v/>
      </c>
      <c r="AA152">
        <f>IF(B152="","",IF(I152&lt;33.0,0,IF(I152&gt;=100*0.8,5,IF(I152&gt;=100*0.7,4,IF(I152&gt;=100*0.6,3.5,IF(I152&gt;=100*0.5,3,IF(I152&gt;=100*0.4,2,IF(I152&gt;=100*0.33,1,0))))))))</f>
        <v/>
      </c>
      <c r="AB152">
        <f>IF(B152="","",IF(J152&lt;33.0,0,IF(J152&gt;=100*0.8,5,IF(J152&gt;=100*0.7,4,IF(J152&gt;=100*0.6,3.5,IF(J152&gt;=100*0.5,3,IF(J152&gt;=100*0.4,2,IF(J152&gt;=100*0.33,1,0))))))))</f>
        <v/>
      </c>
      <c r="AC152">
        <f>IF(B152="","",IF(K152&lt;33.0,0,IF(K152&gt;=100*0.8,5,IF(K152&gt;=100*0.7,4,IF(K152&gt;=100*0.6,3.5,IF(K152&gt;=100*0.5,3,IF(K152&gt;=100*0.4,2,IF(K152&gt;=100*0.33,1,0))))))))</f>
        <v/>
      </c>
      <c r="AD152">
        <f>IF(B152="","",IF(L152&lt;33.0,0,IF(L152&gt;=100*0.8,5,IF(L152&gt;=100*0.7,4,IF(L152&gt;=100*0.6,3.5,IF(L152&gt;=100*0.5,3,IF(L152&gt;=100*0.4,2,IF(L152&gt;=100*0.33,1,0))))))))</f>
        <v/>
      </c>
      <c r="AE152">
        <f>IF(B152="","",IF(M152&lt;33.0,0,IF(M152&gt;=100*0.8,5,IF(M152&gt;=100*0.7,4,IF(M152&gt;=100*0.6,3.5,IF(M152&gt;=100*0.5,3,IF(M152&gt;=100*0.4,2,IF(M152&gt;=100*0.33,1,0))))))))</f>
        <v/>
      </c>
      <c r="AF152">
        <f>IF(B152="","",IF(N152&lt;16.5,0,IF(N152&gt;=50*0.8,5,IF(N152&gt;=50*0.7,4,IF(N152&gt;=50*0.6,3.5,IF(N152&gt;=50*0.5,3,IF(N152&gt;=50*0.4,2,IF(N152&gt;=50*0.33,1,0))))))))</f>
        <v/>
      </c>
      <c r="AG152">
        <f>IF(B152="","",IF(O152&lt;33.0,0,IF(O152&gt;=100*0.8,5,IF(O152&gt;=100*0.7,4,IF(O152&gt;=100*0.6,3.5,IF(O152&gt;=100*0.5,3,IF(O152&gt;=100*0.4,2,IF(O152&gt;=100*0.33,1,0))))))))</f>
        <v/>
      </c>
      <c r="AH152">
        <f>IF(B152="","",IF(OR(U152=0,V152=0,W152=0,X152=0,Y152=0,Z152=0,AA152=0,AB152=0,AC152=0,AD152=0,AE152=0,AF152=0,AG152=0),1,0))</f>
        <v/>
      </c>
    </row>
    <row r="153">
      <c r="A153" s="3">
        <f>IF(B153="","",ROW()-2)</f>
        <v/>
      </c>
      <c r="P153" s="4">
        <f>IF(B153="","",SUM(C153:O153))</f>
        <v/>
      </c>
      <c r="Q153" s="5">
        <f>IF(B153="","",ROUND(P153/13,2))</f>
        <v/>
      </c>
      <c r="R153" s="5">
        <f>IF(B153="","",IF(AH153=1,0,MIN(5,ROUND((U153+V153+W153+X153+Y153+Z153+AA153+AB153+AC153+AD153+AE153+AF153+AG153)/13,2))))</f>
        <v/>
      </c>
      <c r="S153" s="3">
        <f>IF(B153="","",IF(R153&gt;=5,"A+",IF(R153&gt;=4,"A",IF(R153&gt;=3.5,"A-",IF(R153&gt;=3,"B",IF(R153&gt;=2,"C",IF(R153&gt;=1,"D","F")))))))</f>
        <v/>
      </c>
      <c r="T153" s="3">
        <f>IF(OR(B153="",S153="F"),"",COUNTIFS(P:P,"&gt;"&amp;P153,S:S,"&lt;&gt;F")+1)</f>
        <v/>
      </c>
      <c r="U153">
        <f>IF(B153="","",IF(C153&lt;33.0,0,IF(C153&gt;=100*0.8,5,IF(C153&gt;=100*0.7,4,IF(C153&gt;=100*0.6,3.5,IF(C153&gt;=100*0.5,3,IF(C153&gt;=100*0.4,2,IF(C153&gt;=100*0.33,1,0))))))))</f>
        <v/>
      </c>
      <c r="V153">
        <f>IF(B153="","",IF(D153&lt;33.0,0,IF(D153&gt;=100*0.8,5,IF(D153&gt;=100*0.7,4,IF(D153&gt;=100*0.6,3.5,IF(D153&gt;=100*0.5,3,IF(D153&gt;=100*0.4,2,IF(D153&gt;=100*0.33,1,0))))))))</f>
        <v/>
      </c>
      <c r="W153">
        <f>IF(B153="","",IF(E153&lt;16.5,0,IF(E153&gt;=50*0.8,5,IF(E153&gt;=50*0.7,4,IF(E153&gt;=50*0.6,3.5,IF(E153&gt;=50*0.5,3,IF(E153&gt;=50*0.4,2,IF(E153&gt;=50*0.33,1,0))))))))</f>
        <v/>
      </c>
      <c r="X153">
        <f>IF(B153="","",IF(F153&lt;33.0,0,IF(F153&gt;=100*0.8,5,IF(F153&gt;=100*0.7,4,IF(F153&gt;=100*0.6,3.5,IF(F153&gt;=100*0.5,3,IF(F153&gt;=100*0.4,2,IF(F153&gt;=100*0.33,1,0))))))))</f>
        <v/>
      </c>
      <c r="Y153">
        <f>IF(B153="","",IF(G153&lt;16.5,0,IF(G153&gt;=50*0.8,5,IF(G153&gt;=50*0.7,4,IF(G153&gt;=50*0.6,3.5,IF(G153&gt;=50*0.5,3,IF(G153&gt;=50*0.4,2,IF(G153&gt;=50*0.33,1,0))))))))</f>
        <v/>
      </c>
      <c r="Z153">
        <f>IF(B153="","",IF(H153&lt;33.0,0,IF(H153&gt;=100*0.8,5,IF(H153&gt;=100*0.7,4,IF(H153&gt;=100*0.6,3.5,IF(H153&gt;=100*0.5,3,IF(H153&gt;=100*0.4,2,IF(H153&gt;=100*0.33,1,0))))))))</f>
        <v/>
      </c>
      <c r="AA153">
        <f>IF(B153="","",IF(I153&lt;33.0,0,IF(I153&gt;=100*0.8,5,IF(I153&gt;=100*0.7,4,IF(I153&gt;=100*0.6,3.5,IF(I153&gt;=100*0.5,3,IF(I153&gt;=100*0.4,2,IF(I153&gt;=100*0.33,1,0))))))))</f>
        <v/>
      </c>
      <c r="AB153">
        <f>IF(B153="","",IF(J153&lt;33.0,0,IF(J153&gt;=100*0.8,5,IF(J153&gt;=100*0.7,4,IF(J153&gt;=100*0.6,3.5,IF(J153&gt;=100*0.5,3,IF(J153&gt;=100*0.4,2,IF(J153&gt;=100*0.33,1,0))))))))</f>
        <v/>
      </c>
      <c r="AC153">
        <f>IF(B153="","",IF(K153&lt;33.0,0,IF(K153&gt;=100*0.8,5,IF(K153&gt;=100*0.7,4,IF(K153&gt;=100*0.6,3.5,IF(K153&gt;=100*0.5,3,IF(K153&gt;=100*0.4,2,IF(K153&gt;=100*0.33,1,0))))))))</f>
        <v/>
      </c>
      <c r="AD153">
        <f>IF(B153="","",IF(L153&lt;33.0,0,IF(L153&gt;=100*0.8,5,IF(L153&gt;=100*0.7,4,IF(L153&gt;=100*0.6,3.5,IF(L153&gt;=100*0.5,3,IF(L153&gt;=100*0.4,2,IF(L153&gt;=100*0.33,1,0))))))))</f>
        <v/>
      </c>
      <c r="AE153">
        <f>IF(B153="","",IF(M153&lt;33.0,0,IF(M153&gt;=100*0.8,5,IF(M153&gt;=100*0.7,4,IF(M153&gt;=100*0.6,3.5,IF(M153&gt;=100*0.5,3,IF(M153&gt;=100*0.4,2,IF(M153&gt;=100*0.33,1,0))))))))</f>
        <v/>
      </c>
      <c r="AF153">
        <f>IF(B153="","",IF(N153&lt;16.5,0,IF(N153&gt;=50*0.8,5,IF(N153&gt;=50*0.7,4,IF(N153&gt;=50*0.6,3.5,IF(N153&gt;=50*0.5,3,IF(N153&gt;=50*0.4,2,IF(N153&gt;=50*0.33,1,0))))))))</f>
        <v/>
      </c>
      <c r="AG153">
        <f>IF(B153="","",IF(O153&lt;33.0,0,IF(O153&gt;=100*0.8,5,IF(O153&gt;=100*0.7,4,IF(O153&gt;=100*0.6,3.5,IF(O153&gt;=100*0.5,3,IF(O153&gt;=100*0.4,2,IF(O153&gt;=100*0.33,1,0))))))))</f>
        <v/>
      </c>
      <c r="AH153">
        <f>IF(B153="","",IF(OR(U153=0,V153=0,W153=0,X153=0,Y153=0,Z153=0,AA153=0,AB153=0,AC153=0,AD153=0,AE153=0,AF153=0,AG153=0),1,0))</f>
        <v/>
      </c>
    </row>
    <row r="154">
      <c r="A154" s="3">
        <f>IF(B154="","",ROW()-2)</f>
        <v/>
      </c>
      <c r="P154" s="4">
        <f>IF(B154="","",SUM(C154:O154))</f>
        <v/>
      </c>
      <c r="Q154" s="5">
        <f>IF(B154="","",ROUND(P154/13,2))</f>
        <v/>
      </c>
      <c r="R154" s="5">
        <f>IF(B154="","",IF(AH154=1,0,MIN(5,ROUND((U154+V154+W154+X154+Y154+Z154+AA154+AB154+AC154+AD154+AE154+AF154+AG154)/13,2))))</f>
        <v/>
      </c>
      <c r="S154" s="3">
        <f>IF(B154="","",IF(R154&gt;=5,"A+",IF(R154&gt;=4,"A",IF(R154&gt;=3.5,"A-",IF(R154&gt;=3,"B",IF(R154&gt;=2,"C",IF(R154&gt;=1,"D","F")))))))</f>
        <v/>
      </c>
      <c r="T154" s="3">
        <f>IF(OR(B154="",S154="F"),"",COUNTIFS(P:P,"&gt;"&amp;P154,S:S,"&lt;&gt;F")+1)</f>
        <v/>
      </c>
      <c r="U154">
        <f>IF(B154="","",IF(C154&lt;33.0,0,IF(C154&gt;=100*0.8,5,IF(C154&gt;=100*0.7,4,IF(C154&gt;=100*0.6,3.5,IF(C154&gt;=100*0.5,3,IF(C154&gt;=100*0.4,2,IF(C154&gt;=100*0.33,1,0))))))))</f>
        <v/>
      </c>
      <c r="V154">
        <f>IF(B154="","",IF(D154&lt;33.0,0,IF(D154&gt;=100*0.8,5,IF(D154&gt;=100*0.7,4,IF(D154&gt;=100*0.6,3.5,IF(D154&gt;=100*0.5,3,IF(D154&gt;=100*0.4,2,IF(D154&gt;=100*0.33,1,0))))))))</f>
        <v/>
      </c>
      <c r="W154">
        <f>IF(B154="","",IF(E154&lt;16.5,0,IF(E154&gt;=50*0.8,5,IF(E154&gt;=50*0.7,4,IF(E154&gt;=50*0.6,3.5,IF(E154&gt;=50*0.5,3,IF(E154&gt;=50*0.4,2,IF(E154&gt;=50*0.33,1,0))))))))</f>
        <v/>
      </c>
      <c r="X154">
        <f>IF(B154="","",IF(F154&lt;33.0,0,IF(F154&gt;=100*0.8,5,IF(F154&gt;=100*0.7,4,IF(F154&gt;=100*0.6,3.5,IF(F154&gt;=100*0.5,3,IF(F154&gt;=100*0.4,2,IF(F154&gt;=100*0.33,1,0))))))))</f>
        <v/>
      </c>
      <c r="Y154">
        <f>IF(B154="","",IF(G154&lt;16.5,0,IF(G154&gt;=50*0.8,5,IF(G154&gt;=50*0.7,4,IF(G154&gt;=50*0.6,3.5,IF(G154&gt;=50*0.5,3,IF(G154&gt;=50*0.4,2,IF(G154&gt;=50*0.33,1,0))))))))</f>
        <v/>
      </c>
      <c r="Z154">
        <f>IF(B154="","",IF(H154&lt;33.0,0,IF(H154&gt;=100*0.8,5,IF(H154&gt;=100*0.7,4,IF(H154&gt;=100*0.6,3.5,IF(H154&gt;=100*0.5,3,IF(H154&gt;=100*0.4,2,IF(H154&gt;=100*0.33,1,0))))))))</f>
        <v/>
      </c>
      <c r="AA154">
        <f>IF(B154="","",IF(I154&lt;33.0,0,IF(I154&gt;=100*0.8,5,IF(I154&gt;=100*0.7,4,IF(I154&gt;=100*0.6,3.5,IF(I154&gt;=100*0.5,3,IF(I154&gt;=100*0.4,2,IF(I154&gt;=100*0.33,1,0))))))))</f>
        <v/>
      </c>
      <c r="AB154">
        <f>IF(B154="","",IF(J154&lt;33.0,0,IF(J154&gt;=100*0.8,5,IF(J154&gt;=100*0.7,4,IF(J154&gt;=100*0.6,3.5,IF(J154&gt;=100*0.5,3,IF(J154&gt;=100*0.4,2,IF(J154&gt;=100*0.33,1,0))))))))</f>
        <v/>
      </c>
      <c r="AC154">
        <f>IF(B154="","",IF(K154&lt;33.0,0,IF(K154&gt;=100*0.8,5,IF(K154&gt;=100*0.7,4,IF(K154&gt;=100*0.6,3.5,IF(K154&gt;=100*0.5,3,IF(K154&gt;=100*0.4,2,IF(K154&gt;=100*0.33,1,0))))))))</f>
        <v/>
      </c>
      <c r="AD154">
        <f>IF(B154="","",IF(L154&lt;33.0,0,IF(L154&gt;=100*0.8,5,IF(L154&gt;=100*0.7,4,IF(L154&gt;=100*0.6,3.5,IF(L154&gt;=100*0.5,3,IF(L154&gt;=100*0.4,2,IF(L154&gt;=100*0.33,1,0))))))))</f>
        <v/>
      </c>
      <c r="AE154">
        <f>IF(B154="","",IF(M154&lt;33.0,0,IF(M154&gt;=100*0.8,5,IF(M154&gt;=100*0.7,4,IF(M154&gt;=100*0.6,3.5,IF(M154&gt;=100*0.5,3,IF(M154&gt;=100*0.4,2,IF(M154&gt;=100*0.33,1,0))))))))</f>
        <v/>
      </c>
      <c r="AF154">
        <f>IF(B154="","",IF(N154&lt;16.5,0,IF(N154&gt;=50*0.8,5,IF(N154&gt;=50*0.7,4,IF(N154&gt;=50*0.6,3.5,IF(N154&gt;=50*0.5,3,IF(N154&gt;=50*0.4,2,IF(N154&gt;=50*0.33,1,0))))))))</f>
        <v/>
      </c>
      <c r="AG154">
        <f>IF(B154="","",IF(O154&lt;33.0,0,IF(O154&gt;=100*0.8,5,IF(O154&gt;=100*0.7,4,IF(O154&gt;=100*0.6,3.5,IF(O154&gt;=100*0.5,3,IF(O154&gt;=100*0.4,2,IF(O154&gt;=100*0.33,1,0))))))))</f>
        <v/>
      </c>
      <c r="AH154">
        <f>IF(B154="","",IF(OR(U154=0,V154=0,W154=0,X154=0,Y154=0,Z154=0,AA154=0,AB154=0,AC154=0,AD154=0,AE154=0,AF154=0,AG154=0),1,0))</f>
        <v/>
      </c>
    </row>
    <row r="155">
      <c r="A155" s="3">
        <f>IF(B155="","",ROW()-2)</f>
        <v/>
      </c>
      <c r="P155" s="4">
        <f>IF(B155="","",SUM(C155:O155))</f>
        <v/>
      </c>
      <c r="Q155" s="5">
        <f>IF(B155="","",ROUND(P155/13,2))</f>
        <v/>
      </c>
      <c r="R155" s="5">
        <f>IF(B155="","",IF(AH155=1,0,MIN(5,ROUND((U155+V155+W155+X155+Y155+Z155+AA155+AB155+AC155+AD155+AE155+AF155+AG155)/13,2))))</f>
        <v/>
      </c>
      <c r="S155" s="3">
        <f>IF(B155="","",IF(R155&gt;=5,"A+",IF(R155&gt;=4,"A",IF(R155&gt;=3.5,"A-",IF(R155&gt;=3,"B",IF(R155&gt;=2,"C",IF(R155&gt;=1,"D","F")))))))</f>
        <v/>
      </c>
      <c r="T155" s="3">
        <f>IF(OR(B155="",S155="F"),"",COUNTIFS(P:P,"&gt;"&amp;P155,S:S,"&lt;&gt;F")+1)</f>
        <v/>
      </c>
      <c r="U155">
        <f>IF(B155="","",IF(C155&lt;33.0,0,IF(C155&gt;=100*0.8,5,IF(C155&gt;=100*0.7,4,IF(C155&gt;=100*0.6,3.5,IF(C155&gt;=100*0.5,3,IF(C155&gt;=100*0.4,2,IF(C155&gt;=100*0.33,1,0))))))))</f>
        <v/>
      </c>
      <c r="V155">
        <f>IF(B155="","",IF(D155&lt;33.0,0,IF(D155&gt;=100*0.8,5,IF(D155&gt;=100*0.7,4,IF(D155&gt;=100*0.6,3.5,IF(D155&gt;=100*0.5,3,IF(D155&gt;=100*0.4,2,IF(D155&gt;=100*0.33,1,0))))))))</f>
        <v/>
      </c>
      <c r="W155">
        <f>IF(B155="","",IF(E155&lt;16.5,0,IF(E155&gt;=50*0.8,5,IF(E155&gt;=50*0.7,4,IF(E155&gt;=50*0.6,3.5,IF(E155&gt;=50*0.5,3,IF(E155&gt;=50*0.4,2,IF(E155&gt;=50*0.33,1,0))))))))</f>
        <v/>
      </c>
      <c r="X155">
        <f>IF(B155="","",IF(F155&lt;33.0,0,IF(F155&gt;=100*0.8,5,IF(F155&gt;=100*0.7,4,IF(F155&gt;=100*0.6,3.5,IF(F155&gt;=100*0.5,3,IF(F155&gt;=100*0.4,2,IF(F155&gt;=100*0.33,1,0))))))))</f>
        <v/>
      </c>
      <c r="Y155">
        <f>IF(B155="","",IF(G155&lt;16.5,0,IF(G155&gt;=50*0.8,5,IF(G155&gt;=50*0.7,4,IF(G155&gt;=50*0.6,3.5,IF(G155&gt;=50*0.5,3,IF(G155&gt;=50*0.4,2,IF(G155&gt;=50*0.33,1,0))))))))</f>
        <v/>
      </c>
      <c r="Z155">
        <f>IF(B155="","",IF(H155&lt;33.0,0,IF(H155&gt;=100*0.8,5,IF(H155&gt;=100*0.7,4,IF(H155&gt;=100*0.6,3.5,IF(H155&gt;=100*0.5,3,IF(H155&gt;=100*0.4,2,IF(H155&gt;=100*0.33,1,0))))))))</f>
        <v/>
      </c>
      <c r="AA155">
        <f>IF(B155="","",IF(I155&lt;33.0,0,IF(I155&gt;=100*0.8,5,IF(I155&gt;=100*0.7,4,IF(I155&gt;=100*0.6,3.5,IF(I155&gt;=100*0.5,3,IF(I155&gt;=100*0.4,2,IF(I155&gt;=100*0.33,1,0))))))))</f>
        <v/>
      </c>
      <c r="AB155">
        <f>IF(B155="","",IF(J155&lt;33.0,0,IF(J155&gt;=100*0.8,5,IF(J155&gt;=100*0.7,4,IF(J155&gt;=100*0.6,3.5,IF(J155&gt;=100*0.5,3,IF(J155&gt;=100*0.4,2,IF(J155&gt;=100*0.33,1,0))))))))</f>
        <v/>
      </c>
      <c r="AC155">
        <f>IF(B155="","",IF(K155&lt;33.0,0,IF(K155&gt;=100*0.8,5,IF(K155&gt;=100*0.7,4,IF(K155&gt;=100*0.6,3.5,IF(K155&gt;=100*0.5,3,IF(K155&gt;=100*0.4,2,IF(K155&gt;=100*0.33,1,0))))))))</f>
        <v/>
      </c>
      <c r="AD155">
        <f>IF(B155="","",IF(L155&lt;33.0,0,IF(L155&gt;=100*0.8,5,IF(L155&gt;=100*0.7,4,IF(L155&gt;=100*0.6,3.5,IF(L155&gt;=100*0.5,3,IF(L155&gt;=100*0.4,2,IF(L155&gt;=100*0.33,1,0))))))))</f>
        <v/>
      </c>
      <c r="AE155">
        <f>IF(B155="","",IF(M155&lt;33.0,0,IF(M155&gt;=100*0.8,5,IF(M155&gt;=100*0.7,4,IF(M155&gt;=100*0.6,3.5,IF(M155&gt;=100*0.5,3,IF(M155&gt;=100*0.4,2,IF(M155&gt;=100*0.33,1,0))))))))</f>
        <v/>
      </c>
      <c r="AF155">
        <f>IF(B155="","",IF(N155&lt;16.5,0,IF(N155&gt;=50*0.8,5,IF(N155&gt;=50*0.7,4,IF(N155&gt;=50*0.6,3.5,IF(N155&gt;=50*0.5,3,IF(N155&gt;=50*0.4,2,IF(N155&gt;=50*0.33,1,0))))))))</f>
        <v/>
      </c>
      <c r="AG155">
        <f>IF(B155="","",IF(O155&lt;33.0,0,IF(O155&gt;=100*0.8,5,IF(O155&gt;=100*0.7,4,IF(O155&gt;=100*0.6,3.5,IF(O155&gt;=100*0.5,3,IF(O155&gt;=100*0.4,2,IF(O155&gt;=100*0.33,1,0))))))))</f>
        <v/>
      </c>
      <c r="AH155">
        <f>IF(B155="","",IF(OR(U155=0,V155=0,W155=0,X155=0,Y155=0,Z155=0,AA155=0,AB155=0,AC155=0,AD155=0,AE155=0,AF155=0,AG155=0),1,0))</f>
        <v/>
      </c>
    </row>
    <row r="156">
      <c r="A156" s="3">
        <f>IF(B156="","",ROW()-2)</f>
        <v/>
      </c>
      <c r="P156" s="4">
        <f>IF(B156="","",SUM(C156:O156))</f>
        <v/>
      </c>
      <c r="Q156" s="5">
        <f>IF(B156="","",ROUND(P156/13,2))</f>
        <v/>
      </c>
      <c r="R156" s="5">
        <f>IF(B156="","",IF(AH156=1,0,MIN(5,ROUND((U156+V156+W156+X156+Y156+Z156+AA156+AB156+AC156+AD156+AE156+AF156+AG156)/13,2))))</f>
        <v/>
      </c>
      <c r="S156" s="3">
        <f>IF(B156="","",IF(R156&gt;=5,"A+",IF(R156&gt;=4,"A",IF(R156&gt;=3.5,"A-",IF(R156&gt;=3,"B",IF(R156&gt;=2,"C",IF(R156&gt;=1,"D","F")))))))</f>
        <v/>
      </c>
      <c r="T156" s="3">
        <f>IF(OR(B156="",S156="F"),"",COUNTIFS(P:P,"&gt;"&amp;P156,S:S,"&lt;&gt;F")+1)</f>
        <v/>
      </c>
      <c r="U156">
        <f>IF(B156="","",IF(C156&lt;33.0,0,IF(C156&gt;=100*0.8,5,IF(C156&gt;=100*0.7,4,IF(C156&gt;=100*0.6,3.5,IF(C156&gt;=100*0.5,3,IF(C156&gt;=100*0.4,2,IF(C156&gt;=100*0.33,1,0))))))))</f>
        <v/>
      </c>
      <c r="V156">
        <f>IF(B156="","",IF(D156&lt;33.0,0,IF(D156&gt;=100*0.8,5,IF(D156&gt;=100*0.7,4,IF(D156&gt;=100*0.6,3.5,IF(D156&gt;=100*0.5,3,IF(D156&gt;=100*0.4,2,IF(D156&gt;=100*0.33,1,0))))))))</f>
        <v/>
      </c>
      <c r="W156">
        <f>IF(B156="","",IF(E156&lt;16.5,0,IF(E156&gt;=50*0.8,5,IF(E156&gt;=50*0.7,4,IF(E156&gt;=50*0.6,3.5,IF(E156&gt;=50*0.5,3,IF(E156&gt;=50*0.4,2,IF(E156&gt;=50*0.33,1,0))))))))</f>
        <v/>
      </c>
      <c r="X156">
        <f>IF(B156="","",IF(F156&lt;33.0,0,IF(F156&gt;=100*0.8,5,IF(F156&gt;=100*0.7,4,IF(F156&gt;=100*0.6,3.5,IF(F156&gt;=100*0.5,3,IF(F156&gt;=100*0.4,2,IF(F156&gt;=100*0.33,1,0))))))))</f>
        <v/>
      </c>
      <c r="Y156">
        <f>IF(B156="","",IF(G156&lt;16.5,0,IF(G156&gt;=50*0.8,5,IF(G156&gt;=50*0.7,4,IF(G156&gt;=50*0.6,3.5,IF(G156&gt;=50*0.5,3,IF(G156&gt;=50*0.4,2,IF(G156&gt;=50*0.33,1,0))))))))</f>
        <v/>
      </c>
      <c r="Z156">
        <f>IF(B156="","",IF(H156&lt;33.0,0,IF(H156&gt;=100*0.8,5,IF(H156&gt;=100*0.7,4,IF(H156&gt;=100*0.6,3.5,IF(H156&gt;=100*0.5,3,IF(H156&gt;=100*0.4,2,IF(H156&gt;=100*0.33,1,0))))))))</f>
        <v/>
      </c>
      <c r="AA156">
        <f>IF(B156="","",IF(I156&lt;33.0,0,IF(I156&gt;=100*0.8,5,IF(I156&gt;=100*0.7,4,IF(I156&gt;=100*0.6,3.5,IF(I156&gt;=100*0.5,3,IF(I156&gt;=100*0.4,2,IF(I156&gt;=100*0.33,1,0))))))))</f>
        <v/>
      </c>
      <c r="AB156">
        <f>IF(B156="","",IF(J156&lt;33.0,0,IF(J156&gt;=100*0.8,5,IF(J156&gt;=100*0.7,4,IF(J156&gt;=100*0.6,3.5,IF(J156&gt;=100*0.5,3,IF(J156&gt;=100*0.4,2,IF(J156&gt;=100*0.33,1,0))))))))</f>
        <v/>
      </c>
      <c r="AC156">
        <f>IF(B156="","",IF(K156&lt;33.0,0,IF(K156&gt;=100*0.8,5,IF(K156&gt;=100*0.7,4,IF(K156&gt;=100*0.6,3.5,IF(K156&gt;=100*0.5,3,IF(K156&gt;=100*0.4,2,IF(K156&gt;=100*0.33,1,0))))))))</f>
        <v/>
      </c>
      <c r="AD156">
        <f>IF(B156="","",IF(L156&lt;33.0,0,IF(L156&gt;=100*0.8,5,IF(L156&gt;=100*0.7,4,IF(L156&gt;=100*0.6,3.5,IF(L156&gt;=100*0.5,3,IF(L156&gt;=100*0.4,2,IF(L156&gt;=100*0.33,1,0))))))))</f>
        <v/>
      </c>
      <c r="AE156">
        <f>IF(B156="","",IF(M156&lt;33.0,0,IF(M156&gt;=100*0.8,5,IF(M156&gt;=100*0.7,4,IF(M156&gt;=100*0.6,3.5,IF(M156&gt;=100*0.5,3,IF(M156&gt;=100*0.4,2,IF(M156&gt;=100*0.33,1,0))))))))</f>
        <v/>
      </c>
      <c r="AF156">
        <f>IF(B156="","",IF(N156&lt;16.5,0,IF(N156&gt;=50*0.8,5,IF(N156&gt;=50*0.7,4,IF(N156&gt;=50*0.6,3.5,IF(N156&gt;=50*0.5,3,IF(N156&gt;=50*0.4,2,IF(N156&gt;=50*0.33,1,0))))))))</f>
        <v/>
      </c>
      <c r="AG156">
        <f>IF(B156="","",IF(O156&lt;33.0,0,IF(O156&gt;=100*0.8,5,IF(O156&gt;=100*0.7,4,IF(O156&gt;=100*0.6,3.5,IF(O156&gt;=100*0.5,3,IF(O156&gt;=100*0.4,2,IF(O156&gt;=100*0.33,1,0))))))))</f>
        <v/>
      </c>
      <c r="AH156">
        <f>IF(B156="","",IF(OR(U156=0,V156=0,W156=0,X156=0,Y156=0,Z156=0,AA156=0,AB156=0,AC156=0,AD156=0,AE156=0,AF156=0,AG156=0),1,0))</f>
        <v/>
      </c>
    </row>
    <row r="157">
      <c r="A157" s="3">
        <f>IF(B157="","",ROW()-2)</f>
        <v/>
      </c>
      <c r="P157" s="4">
        <f>IF(B157="","",SUM(C157:O157))</f>
        <v/>
      </c>
      <c r="Q157" s="5">
        <f>IF(B157="","",ROUND(P157/13,2))</f>
        <v/>
      </c>
      <c r="R157" s="5">
        <f>IF(B157="","",IF(AH157=1,0,MIN(5,ROUND((U157+V157+W157+X157+Y157+Z157+AA157+AB157+AC157+AD157+AE157+AF157+AG157)/13,2))))</f>
        <v/>
      </c>
      <c r="S157" s="3">
        <f>IF(B157="","",IF(R157&gt;=5,"A+",IF(R157&gt;=4,"A",IF(R157&gt;=3.5,"A-",IF(R157&gt;=3,"B",IF(R157&gt;=2,"C",IF(R157&gt;=1,"D","F")))))))</f>
        <v/>
      </c>
      <c r="T157" s="3">
        <f>IF(OR(B157="",S157="F"),"",COUNTIFS(P:P,"&gt;"&amp;P157,S:S,"&lt;&gt;F")+1)</f>
        <v/>
      </c>
      <c r="U157">
        <f>IF(B157="","",IF(C157&lt;33.0,0,IF(C157&gt;=100*0.8,5,IF(C157&gt;=100*0.7,4,IF(C157&gt;=100*0.6,3.5,IF(C157&gt;=100*0.5,3,IF(C157&gt;=100*0.4,2,IF(C157&gt;=100*0.33,1,0))))))))</f>
        <v/>
      </c>
      <c r="V157">
        <f>IF(B157="","",IF(D157&lt;33.0,0,IF(D157&gt;=100*0.8,5,IF(D157&gt;=100*0.7,4,IF(D157&gt;=100*0.6,3.5,IF(D157&gt;=100*0.5,3,IF(D157&gt;=100*0.4,2,IF(D157&gt;=100*0.33,1,0))))))))</f>
        <v/>
      </c>
      <c r="W157">
        <f>IF(B157="","",IF(E157&lt;16.5,0,IF(E157&gt;=50*0.8,5,IF(E157&gt;=50*0.7,4,IF(E157&gt;=50*0.6,3.5,IF(E157&gt;=50*0.5,3,IF(E157&gt;=50*0.4,2,IF(E157&gt;=50*0.33,1,0))))))))</f>
        <v/>
      </c>
      <c r="X157">
        <f>IF(B157="","",IF(F157&lt;33.0,0,IF(F157&gt;=100*0.8,5,IF(F157&gt;=100*0.7,4,IF(F157&gt;=100*0.6,3.5,IF(F157&gt;=100*0.5,3,IF(F157&gt;=100*0.4,2,IF(F157&gt;=100*0.33,1,0))))))))</f>
        <v/>
      </c>
      <c r="Y157">
        <f>IF(B157="","",IF(G157&lt;16.5,0,IF(G157&gt;=50*0.8,5,IF(G157&gt;=50*0.7,4,IF(G157&gt;=50*0.6,3.5,IF(G157&gt;=50*0.5,3,IF(G157&gt;=50*0.4,2,IF(G157&gt;=50*0.33,1,0))))))))</f>
        <v/>
      </c>
      <c r="Z157">
        <f>IF(B157="","",IF(H157&lt;33.0,0,IF(H157&gt;=100*0.8,5,IF(H157&gt;=100*0.7,4,IF(H157&gt;=100*0.6,3.5,IF(H157&gt;=100*0.5,3,IF(H157&gt;=100*0.4,2,IF(H157&gt;=100*0.33,1,0))))))))</f>
        <v/>
      </c>
      <c r="AA157">
        <f>IF(B157="","",IF(I157&lt;33.0,0,IF(I157&gt;=100*0.8,5,IF(I157&gt;=100*0.7,4,IF(I157&gt;=100*0.6,3.5,IF(I157&gt;=100*0.5,3,IF(I157&gt;=100*0.4,2,IF(I157&gt;=100*0.33,1,0))))))))</f>
        <v/>
      </c>
      <c r="AB157">
        <f>IF(B157="","",IF(J157&lt;33.0,0,IF(J157&gt;=100*0.8,5,IF(J157&gt;=100*0.7,4,IF(J157&gt;=100*0.6,3.5,IF(J157&gt;=100*0.5,3,IF(J157&gt;=100*0.4,2,IF(J157&gt;=100*0.33,1,0))))))))</f>
        <v/>
      </c>
      <c r="AC157">
        <f>IF(B157="","",IF(K157&lt;33.0,0,IF(K157&gt;=100*0.8,5,IF(K157&gt;=100*0.7,4,IF(K157&gt;=100*0.6,3.5,IF(K157&gt;=100*0.5,3,IF(K157&gt;=100*0.4,2,IF(K157&gt;=100*0.33,1,0))))))))</f>
        <v/>
      </c>
      <c r="AD157">
        <f>IF(B157="","",IF(L157&lt;33.0,0,IF(L157&gt;=100*0.8,5,IF(L157&gt;=100*0.7,4,IF(L157&gt;=100*0.6,3.5,IF(L157&gt;=100*0.5,3,IF(L157&gt;=100*0.4,2,IF(L157&gt;=100*0.33,1,0))))))))</f>
        <v/>
      </c>
      <c r="AE157">
        <f>IF(B157="","",IF(M157&lt;33.0,0,IF(M157&gt;=100*0.8,5,IF(M157&gt;=100*0.7,4,IF(M157&gt;=100*0.6,3.5,IF(M157&gt;=100*0.5,3,IF(M157&gt;=100*0.4,2,IF(M157&gt;=100*0.33,1,0))))))))</f>
        <v/>
      </c>
      <c r="AF157">
        <f>IF(B157="","",IF(N157&lt;16.5,0,IF(N157&gt;=50*0.8,5,IF(N157&gt;=50*0.7,4,IF(N157&gt;=50*0.6,3.5,IF(N157&gt;=50*0.5,3,IF(N157&gt;=50*0.4,2,IF(N157&gt;=50*0.33,1,0))))))))</f>
        <v/>
      </c>
      <c r="AG157">
        <f>IF(B157="","",IF(O157&lt;33.0,0,IF(O157&gt;=100*0.8,5,IF(O157&gt;=100*0.7,4,IF(O157&gt;=100*0.6,3.5,IF(O157&gt;=100*0.5,3,IF(O157&gt;=100*0.4,2,IF(O157&gt;=100*0.33,1,0))))))))</f>
        <v/>
      </c>
      <c r="AH157">
        <f>IF(B157="","",IF(OR(U157=0,V157=0,W157=0,X157=0,Y157=0,Z157=0,AA157=0,AB157=0,AC157=0,AD157=0,AE157=0,AF157=0,AG157=0),1,0))</f>
        <v/>
      </c>
    </row>
    <row r="158">
      <c r="A158" s="3">
        <f>IF(B158="","",ROW()-2)</f>
        <v/>
      </c>
      <c r="P158" s="4">
        <f>IF(B158="","",SUM(C158:O158))</f>
        <v/>
      </c>
      <c r="Q158" s="5">
        <f>IF(B158="","",ROUND(P158/13,2))</f>
        <v/>
      </c>
      <c r="R158" s="5">
        <f>IF(B158="","",IF(AH158=1,0,MIN(5,ROUND((U158+V158+W158+X158+Y158+Z158+AA158+AB158+AC158+AD158+AE158+AF158+AG158)/13,2))))</f>
        <v/>
      </c>
      <c r="S158" s="3">
        <f>IF(B158="","",IF(R158&gt;=5,"A+",IF(R158&gt;=4,"A",IF(R158&gt;=3.5,"A-",IF(R158&gt;=3,"B",IF(R158&gt;=2,"C",IF(R158&gt;=1,"D","F")))))))</f>
        <v/>
      </c>
      <c r="T158" s="3">
        <f>IF(OR(B158="",S158="F"),"",COUNTIFS(P:P,"&gt;"&amp;P158,S:S,"&lt;&gt;F")+1)</f>
        <v/>
      </c>
      <c r="U158">
        <f>IF(B158="","",IF(C158&lt;33.0,0,IF(C158&gt;=100*0.8,5,IF(C158&gt;=100*0.7,4,IF(C158&gt;=100*0.6,3.5,IF(C158&gt;=100*0.5,3,IF(C158&gt;=100*0.4,2,IF(C158&gt;=100*0.33,1,0))))))))</f>
        <v/>
      </c>
      <c r="V158">
        <f>IF(B158="","",IF(D158&lt;33.0,0,IF(D158&gt;=100*0.8,5,IF(D158&gt;=100*0.7,4,IF(D158&gt;=100*0.6,3.5,IF(D158&gt;=100*0.5,3,IF(D158&gt;=100*0.4,2,IF(D158&gt;=100*0.33,1,0))))))))</f>
        <v/>
      </c>
      <c r="W158">
        <f>IF(B158="","",IF(E158&lt;16.5,0,IF(E158&gt;=50*0.8,5,IF(E158&gt;=50*0.7,4,IF(E158&gt;=50*0.6,3.5,IF(E158&gt;=50*0.5,3,IF(E158&gt;=50*0.4,2,IF(E158&gt;=50*0.33,1,0))))))))</f>
        <v/>
      </c>
      <c r="X158">
        <f>IF(B158="","",IF(F158&lt;33.0,0,IF(F158&gt;=100*0.8,5,IF(F158&gt;=100*0.7,4,IF(F158&gt;=100*0.6,3.5,IF(F158&gt;=100*0.5,3,IF(F158&gt;=100*0.4,2,IF(F158&gt;=100*0.33,1,0))))))))</f>
        <v/>
      </c>
      <c r="Y158">
        <f>IF(B158="","",IF(G158&lt;16.5,0,IF(G158&gt;=50*0.8,5,IF(G158&gt;=50*0.7,4,IF(G158&gt;=50*0.6,3.5,IF(G158&gt;=50*0.5,3,IF(G158&gt;=50*0.4,2,IF(G158&gt;=50*0.33,1,0))))))))</f>
        <v/>
      </c>
      <c r="Z158">
        <f>IF(B158="","",IF(H158&lt;33.0,0,IF(H158&gt;=100*0.8,5,IF(H158&gt;=100*0.7,4,IF(H158&gt;=100*0.6,3.5,IF(H158&gt;=100*0.5,3,IF(H158&gt;=100*0.4,2,IF(H158&gt;=100*0.33,1,0))))))))</f>
        <v/>
      </c>
      <c r="AA158">
        <f>IF(B158="","",IF(I158&lt;33.0,0,IF(I158&gt;=100*0.8,5,IF(I158&gt;=100*0.7,4,IF(I158&gt;=100*0.6,3.5,IF(I158&gt;=100*0.5,3,IF(I158&gt;=100*0.4,2,IF(I158&gt;=100*0.33,1,0))))))))</f>
        <v/>
      </c>
      <c r="AB158">
        <f>IF(B158="","",IF(J158&lt;33.0,0,IF(J158&gt;=100*0.8,5,IF(J158&gt;=100*0.7,4,IF(J158&gt;=100*0.6,3.5,IF(J158&gt;=100*0.5,3,IF(J158&gt;=100*0.4,2,IF(J158&gt;=100*0.33,1,0))))))))</f>
        <v/>
      </c>
      <c r="AC158">
        <f>IF(B158="","",IF(K158&lt;33.0,0,IF(K158&gt;=100*0.8,5,IF(K158&gt;=100*0.7,4,IF(K158&gt;=100*0.6,3.5,IF(K158&gt;=100*0.5,3,IF(K158&gt;=100*0.4,2,IF(K158&gt;=100*0.33,1,0))))))))</f>
        <v/>
      </c>
      <c r="AD158">
        <f>IF(B158="","",IF(L158&lt;33.0,0,IF(L158&gt;=100*0.8,5,IF(L158&gt;=100*0.7,4,IF(L158&gt;=100*0.6,3.5,IF(L158&gt;=100*0.5,3,IF(L158&gt;=100*0.4,2,IF(L158&gt;=100*0.33,1,0))))))))</f>
        <v/>
      </c>
      <c r="AE158">
        <f>IF(B158="","",IF(M158&lt;33.0,0,IF(M158&gt;=100*0.8,5,IF(M158&gt;=100*0.7,4,IF(M158&gt;=100*0.6,3.5,IF(M158&gt;=100*0.5,3,IF(M158&gt;=100*0.4,2,IF(M158&gt;=100*0.33,1,0))))))))</f>
        <v/>
      </c>
      <c r="AF158">
        <f>IF(B158="","",IF(N158&lt;16.5,0,IF(N158&gt;=50*0.8,5,IF(N158&gt;=50*0.7,4,IF(N158&gt;=50*0.6,3.5,IF(N158&gt;=50*0.5,3,IF(N158&gt;=50*0.4,2,IF(N158&gt;=50*0.33,1,0))))))))</f>
        <v/>
      </c>
      <c r="AG158">
        <f>IF(B158="","",IF(O158&lt;33.0,0,IF(O158&gt;=100*0.8,5,IF(O158&gt;=100*0.7,4,IF(O158&gt;=100*0.6,3.5,IF(O158&gt;=100*0.5,3,IF(O158&gt;=100*0.4,2,IF(O158&gt;=100*0.33,1,0))))))))</f>
        <v/>
      </c>
      <c r="AH158">
        <f>IF(B158="","",IF(OR(U158=0,V158=0,W158=0,X158=0,Y158=0,Z158=0,AA158=0,AB158=0,AC158=0,AD158=0,AE158=0,AF158=0,AG158=0),1,0))</f>
        <v/>
      </c>
    </row>
    <row r="159">
      <c r="A159" s="3">
        <f>IF(B159="","",ROW()-2)</f>
        <v/>
      </c>
      <c r="P159" s="4">
        <f>IF(B159="","",SUM(C159:O159))</f>
        <v/>
      </c>
      <c r="Q159" s="5">
        <f>IF(B159="","",ROUND(P159/13,2))</f>
        <v/>
      </c>
      <c r="R159" s="5">
        <f>IF(B159="","",IF(AH159=1,0,MIN(5,ROUND((U159+V159+W159+X159+Y159+Z159+AA159+AB159+AC159+AD159+AE159+AF159+AG159)/13,2))))</f>
        <v/>
      </c>
      <c r="S159" s="3">
        <f>IF(B159="","",IF(R159&gt;=5,"A+",IF(R159&gt;=4,"A",IF(R159&gt;=3.5,"A-",IF(R159&gt;=3,"B",IF(R159&gt;=2,"C",IF(R159&gt;=1,"D","F")))))))</f>
        <v/>
      </c>
      <c r="T159" s="3">
        <f>IF(OR(B159="",S159="F"),"",COUNTIFS(P:P,"&gt;"&amp;P159,S:S,"&lt;&gt;F")+1)</f>
        <v/>
      </c>
      <c r="U159">
        <f>IF(B159="","",IF(C159&lt;33.0,0,IF(C159&gt;=100*0.8,5,IF(C159&gt;=100*0.7,4,IF(C159&gt;=100*0.6,3.5,IF(C159&gt;=100*0.5,3,IF(C159&gt;=100*0.4,2,IF(C159&gt;=100*0.33,1,0))))))))</f>
        <v/>
      </c>
      <c r="V159">
        <f>IF(B159="","",IF(D159&lt;33.0,0,IF(D159&gt;=100*0.8,5,IF(D159&gt;=100*0.7,4,IF(D159&gt;=100*0.6,3.5,IF(D159&gt;=100*0.5,3,IF(D159&gt;=100*0.4,2,IF(D159&gt;=100*0.33,1,0))))))))</f>
        <v/>
      </c>
      <c r="W159">
        <f>IF(B159="","",IF(E159&lt;16.5,0,IF(E159&gt;=50*0.8,5,IF(E159&gt;=50*0.7,4,IF(E159&gt;=50*0.6,3.5,IF(E159&gt;=50*0.5,3,IF(E159&gt;=50*0.4,2,IF(E159&gt;=50*0.33,1,0))))))))</f>
        <v/>
      </c>
      <c r="X159">
        <f>IF(B159="","",IF(F159&lt;33.0,0,IF(F159&gt;=100*0.8,5,IF(F159&gt;=100*0.7,4,IF(F159&gt;=100*0.6,3.5,IF(F159&gt;=100*0.5,3,IF(F159&gt;=100*0.4,2,IF(F159&gt;=100*0.33,1,0))))))))</f>
        <v/>
      </c>
      <c r="Y159">
        <f>IF(B159="","",IF(G159&lt;16.5,0,IF(G159&gt;=50*0.8,5,IF(G159&gt;=50*0.7,4,IF(G159&gt;=50*0.6,3.5,IF(G159&gt;=50*0.5,3,IF(G159&gt;=50*0.4,2,IF(G159&gt;=50*0.33,1,0))))))))</f>
        <v/>
      </c>
      <c r="Z159">
        <f>IF(B159="","",IF(H159&lt;33.0,0,IF(H159&gt;=100*0.8,5,IF(H159&gt;=100*0.7,4,IF(H159&gt;=100*0.6,3.5,IF(H159&gt;=100*0.5,3,IF(H159&gt;=100*0.4,2,IF(H159&gt;=100*0.33,1,0))))))))</f>
        <v/>
      </c>
      <c r="AA159">
        <f>IF(B159="","",IF(I159&lt;33.0,0,IF(I159&gt;=100*0.8,5,IF(I159&gt;=100*0.7,4,IF(I159&gt;=100*0.6,3.5,IF(I159&gt;=100*0.5,3,IF(I159&gt;=100*0.4,2,IF(I159&gt;=100*0.33,1,0))))))))</f>
        <v/>
      </c>
      <c r="AB159">
        <f>IF(B159="","",IF(J159&lt;33.0,0,IF(J159&gt;=100*0.8,5,IF(J159&gt;=100*0.7,4,IF(J159&gt;=100*0.6,3.5,IF(J159&gt;=100*0.5,3,IF(J159&gt;=100*0.4,2,IF(J159&gt;=100*0.33,1,0))))))))</f>
        <v/>
      </c>
      <c r="AC159">
        <f>IF(B159="","",IF(K159&lt;33.0,0,IF(K159&gt;=100*0.8,5,IF(K159&gt;=100*0.7,4,IF(K159&gt;=100*0.6,3.5,IF(K159&gt;=100*0.5,3,IF(K159&gt;=100*0.4,2,IF(K159&gt;=100*0.33,1,0))))))))</f>
        <v/>
      </c>
      <c r="AD159">
        <f>IF(B159="","",IF(L159&lt;33.0,0,IF(L159&gt;=100*0.8,5,IF(L159&gt;=100*0.7,4,IF(L159&gt;=100*0.6,3.5,IF(L159&gt;=100*0.5,3,IF(L159&gt;=100*0.4,2,IF(L159&gt;=100*0.33,1,0))))))))</f>
        <v/>
      </c>
      <c r="AE159">
        <f>IF(B159="","",IF(M159&lt;33.0,0,IF(M159&gt;=100*0.8,5,IF(M159&gt;=100*0.7,4,IF(M159&gt;=100*0.6,3.5,IF(M159&gt;=100*0.5,3,IF(M159&gt;=100*0.4,2,IF(M159&gt;=100*0.33,1,0))))))))</f>
        <v/>
      </c>
      <c r="AF159">
        <f>IF(B159="","",IF(N159&lt;16.5,0,IF(N159&gt;=50*0.8,5,IF(N159&gt;=50*0.7,4,IF(N159&gt;=50*0.6,3.5,IF(N159&gt;=50*0.5,3,IF(N159&gt;=50*0.4,2,IF(N159&gt;=50*0.33,1,0))))))))</f>
        <v/>
      </c>
      <c r="AG159">
        <f>IF(B159="","",IF(O159&lt;33.0,0,IF(O159&gt;=100*0.8,5,IF(O159&gt;=100*0.7,4,IF(O159&gt;=100*0.6,3.5,IF(O159&gt;=100*0.5,3,IF(O159&gt;=100*0.4,2,IF(O159&gt;=100*0.33,1,0))))))))</f>
        <v/>
      </c>
      <c r="AH159">
        <f>IF(B159="","",IF(OR(U159=0,V159=0,W159=0,X159=0,Y159=0,Z159=0,AA159=0,AB159=0,AC159=0,AD159=0,AE159=0,AF159=0,AG159=0),1,0))</f>
        <v/>
      </c>
    </row>
    <row r="160">
      <c r="A160" s="3">
        <f>IF(B160="","",ROW()-2)</f>
        <v/>
      </c>
      <c r="P160" s="4">
        <f>IF(B160="","",SUM(C160:O160))</f>
        <v/>
      </c>
      <c r="Q160" s="5">
        <f>IF(B160="","",ROUND(P160/13,2))</f>
        <v/>
      </c>
      <c r="R160" s="5">
        <f>IF(B160="","",IF(AH160=1,0,MIN(5,ROUND((U160+V160+W160+X160+Y160+Z160+AA160+AB160+AC160+AD160+AE160+AF160+AG160)/13,2))))</f>
        <v/>
      </c>
      <c r="S160" s="3">
        <f>IF(B160="","",IF(R160&gt;=5,"A+",IF(R160&gt;=4,"A",IF(R160&gt;=3.5,"A-",IF(R160&gt;=3,"B",IF(R160&gt;=2,"C",IF(R160&gt;=1,"D","F")))))))</f>
        <v/>
      </c>
      <c r="T160" s="3">
        <f>IF(OR(B160="",S160="F"),"",COUNTIFS(P:P,"&gt;"&amp;P160,S:S,"&lt;&gt;F")+1)</f>
        <v/>
      </c>
      <c r="U160">
        <f>IF(B160="","",IF(C160&lt;33.0,0,IF(C160&gt;=100*0.8,5,IF(C160&gt;=100*0.7,4,IF(C160&gt;=100*0.6,3.5,IF(C160&gt;=100*0.5,3,IF(C160&gt;=100*0.4,2,IF(C160&gt;=100*0.33,1,0))))))))</f>
        <v/>
      </c>
      <c r="V160">
        <f>IF(B160="","",IF(D160&lt;33.0,0,IF(D160&gt;=100*0.8,5,IF(D160&gt;=100*0.7,4,IF(D160&gt;=100*0.6,3.5,IF(D160&gt;=100*0.5,3,IF(D160&gt;=100*0.4,2,IF(D160&gt;=100*0.33,1,0))))))))</f>
        <v/>
      </c>
      <c r="W160">
        <f>IF(B160="","",IF(E160&lt;16.5,0,IF(E160&gt;=50*0.8,5,IF(E160&gt;=50*0.7,4,IF(E160&gt;=50*0.6,3.5,IF(E160&gt;=50*0.5,3,IF(E160&gt;=50*0.4,2,IF(E160&gt;=50*0.33,1,0))))))))</f>
        <v/>
      </c>
      <c r="X160">
        <f>IF(B160="","",IF(F160&lt;33.0,0,IF(F160&gt;=100*0.8,5,IF(F160&gt;=100*0.7,4,IF(F160&gt;=100*0.6,3.5,IF(F160&gt;=100*0.5,3,IF(F160&gt;=100*0.4,2,IF(F160&gt;=100*0.33,1,0))))))))</f>
        <v/>
      </c>
      <c r="Y160">
        <f>IF(B160="","",IF(G160&lt;16.5,0,IF(G160&gt;=50*0.8,5,IF(G160&gt;=50*0.7,4,IF(G160&gt;=50*0.6,3.5,IF(G160&gt;=50*0.5,3,IF(G160&gt;=50*0.4,2,IF(G160&gt;=50*0.33,1,0))))))))</f>
        <v/>
      </c>
      <c r="Z160">
        <f>IF(B160="","",IF(H160&lt;33.0,0,IF(H160&gt;=100*0.8,5,IF(H160&gt;=100*0.7,4,IF(H160&gt;=100*0.6,3.5,IF(H160&gt;=100*0.5,3,IF(H160&gt;=100*0.4,2,IF(H160&gt;=100*0.33,1,0))))))))</f>
        <v/>
      </c>
      <c r="AA160">
        <f>IF(B160="","",IF(I160&lt;33.0,0,IF(I160&gt;=100*0.8,5,IF(I160&gt;=100*0.7,4,IF(I160&gt;=100*0.6,3.5,IF(I160&gt;=100*0.5,3,IF(I160&gt;=100*0.4,2,IF(I160&gt;=100*0.33,1,0))))))))</f>
        <v/>
      </c>
      <c r="AB160">
        <f>IF(B160="","",IF(J160&lt;33.0,0,IF(J160&gt;=100*0.8,5,IF(J160&gt;=100*0.7,4,IF(J160&gt;=100*0.6,3.5,IF(J160&gt;=100*0.5,3,IF(J160&gt;=100*0.4,2,IF(J160&gt;=100*0.33,1,0))))))))</f>
        <v/>
      </c>
      <c r="AC160">
        <f>IF(B160="","",IF(K160&lt;33.0,0,IF(K160&gt;=100*0.8,5,IF(K160&gt;=100*0.7,4,IF(K160&gt;=100*0.6,3.5,IF(K160&gt;=100*0.5,3,IF(K160&gt;=100*0.4,2,IF(K160&gt;=100*0.33,1,0))))))))</f>
        <v/>
      </c>
      <c r="AD160">
        <f>IF(B160="","",IF(L160&lt;33.0,0,IF(L160&gt;=100*0.8,5,IF(L160&gt;=100*0.7,4,IF(L160&gt;=100*0.6,3.5,IF(L160&gt;=100*0.5,3,IF(L160&gt;=100*0.4,2,IF(L160&gt;=100*0.33,1,0))))))))</f>
        <v/>
      </c>
      <c r="AE160">
        <f>IF(B160="","",IF(M160&lt;33.0,0,IF(M160&gt;=100*0.8,5,IF(M160&gt;=100*0.7,4,IF(M160&gt;=100*0.6,3.5,IF(M160&gt;=100*0.5,3,IF(M160&gt;=100*0.4,2,IF(M160&gt;=100*0.33,1,0))))))))</f>
        <v/>
      </c>
      <c r="AF160">
        <f>IF(B160="","",IF(N160&lt;16.5,0,IF(N160&gt;=50*0.8,5,IF(N160&gt;=50*0.7,4,IF(N160&gt;=50*0.6,3.5,IF(N160&gt;=50*0.5,3,IF(N160&gt;=50*0.4,2,IF(N160&gt;=50*0.33,1,0))))))))</f>
        <v/>
      </c>
      <c r="AG160">
        <f>IF(B160="","",IF(O160&lt;33.0,0,IF(O160&gt;=100*0.8,5,IF(O160&gt;=100*0.7,4,IF(O160&gt;=100*0.6,3.5,IF(O160&gt;=100*0.5,3,IF(O160&gt;=100*0.4,2,IF(O160&gt;=100*0.33,1,0))))))))</f>
        <v/>
      </c>
      <c r="AH160">
        <f>IF(B160="","",IF(OR(U160=0,V160=0,W160=0,X160=0,Y160=0,Z160=0,AA160=0,AB160=0,AC160=0,AD160=0,AE160=0,AF160=0,AG160=0),1,0))</f>
        <v/>
      </c>
    </row>
    <row r="161">
      <c r="A161" s="3">
        <f>IF(B161="","",ROW()-2)</f>
        <v/>
      </c>
      <c r="P161" s="4">
        <f>IF(B161="","",SUM(C161:O161))</f>
        <v/>
      </c>
      <c r="Q161" s="5">
        <f>IF(B161="","",ROUND(P161/13,2))</f>
        <v/>
      </c>
      <c r="R161" s="5">
        <f>IF(B161="","",IF(AH161=1,0,MIN(5,ROUND((U161+V161+W161+X161+Y161+Z161+AA161+AB161+AC161+AD161+AE161+AF161+AG161)/13,2))))</f>
        <v/>
      </c>
      <c r="S161" s="3">
        <f>IF(B161="","",IF(R161&gt;=5,"A+",IF(R161&gt;=4,"A",IF(R161&gt;=3.5,"A-",IF(R161&gt;=3,"B",IF(R161&gt;=2,"C",IF(R161&gt;=1,"D","F")))))))</f>
        <v/>
      </c>
      <c r="T161" s="3">
        <f>IF(OR(B161="",S161="F"),"",COUNTIFS(P:P,"&gt;"&amp;P161,S:S,"&lt;&gt;F")+1)</f>
        <v/>
      </c>
      <c r="U161">
        <f>IF(B161="","",IF(C161&lt;33.0,0,IF(C161&gt;=100*0.8,5,IF(C161&gt;=100*0.7,4,IF(C161&gt;=100*0.6,3.5,IF(C161&gt;=100*0.5,3,IF(C161&gt;=100*0.4,2,IF(C161&gt;=100*0.33,1,0))))))))</f>
        <v/>
      </c>
      <c r="V161">
        <f>IF(B161="","",IF(D161&lt;33.0,0,IF(D161&gt;=100*0.8,5,IF(D161&gt;=100*0.7,4,IF(D161&gt;=100*0.6,3.5,IF(D161&gt;=100*0.5,3,IF(D161&gt;=100*0.4,2,IF(D161&gt;=100*0.33,1,0))))))))</f>
        <v/>
      </c>
      <c r="W161">
        <f>IF(B161="","",IF(E161&lt;16.5,0,IF(E161&gt;=50*0.8,5,IF(E161&gt;=50*0.7,4,IF(E161&gt;=50*0.6,3.5,IF(E161&gt;=50*0.5,3,IF(E161&gt;=50*0.4,2,IF(E161&gt;=50*0.33,1,0))))))))</f>
        <v/>
      </c>
      <c r="X161">
        <f>IF(B161="","",IF(F161&lt;33.0,0,IF(F161&gt;=100*0.8,5,IF(F161&gt;=100*0.7,4,IF(F161&gt;=100*0.6,3.5,IF(F161&gt;=100*0.5,3,IF(F161&gt;=100*0.4,2,IF(F161&gt;=100*0.33,1,0))))))))</f>
        <v/>
      </c>
      <c r="Y161">
        <f>IF(B161="","",IF(G161&lt;16.5,0,IF(G161&gt;=50*0.8,5,IF(G161&gt;=50*0.7,4,IF(G161&gt;=50*0.6,3.5,IF(G161&gt;=50*0.5,3,IF(G161&gt;=50*0.4,2,IF(G161&gt;=50*0.33,1,0))))))))</f>
        <v/>
      </c>
      <c r="Z161">
        <f>IF(B161="","",IF(H161&lt;33.0,0,IF(H161&gt;=100*0.8,5,IF(H161&gt;=100*0.7,4,IF(H161&gt;=100*0.6,3.5,IF(H161&gt;=100*0.5,3,IF(H161&gt;=100*0.4,2,IF(H161&gt;=100*0.33,1,0))))))))</f>
        <v/>
      </c>
      <c r="AA161">
        <f>IF(B161="","",IF(I161&lt;33.0,0,IF(I161&gt;=100*0.8,5,IF(I161&gt;=100*0.7,4,IF(I161&gt;=100*0.6,3.5,IF(I161&gt;=100*0.5,3,IF(I161&gt;=100*0.4,2,IF(I161&gt;=100*0.33,1,0))))))))</f>
        <v/>
      </c>
      <c r="AB161">
        <f>IF(B161="","",IF(J161&lt;33.0,0,IF(J161&gt;=100*0.8,5,IF(J161&gt;=100*0.7,4,IF(J161&gt;=100*0.6,3.5,IF(J161&gt;=100*0.5,3,IF(J161&gt;=100*0.4,2,IF(J161&gt;=100*0.33,1,0))))))))</f>
        <v/>
      </c>
      <c r="AC161">
        <f>IF(B161="","",IF(K161&lt;33.0,0,IF(K161&gt;=100*0.8,5,IF(K161&gt;=100*0.7,4,IF(K161&gt;=100*0.6,3.5,IF(K161&gt;=100*0.5,3,IF(K161&gt;=100*0.4,2,IF(K161&gt;=100*0.33,1,0))))))))</f>
        <v/>
      </c>
      <c r="AD161">
        <f>IF(B161="","",IF(L161&lt;33.0,0,IF(L161&gt;=100*0.8,5,IF(L161&gt;=100*0.7,4,IF(L161&gt;=100*0.6,3.5,IF(L161&gt;=100*0.5,3,IF(L161&gt;=100*0.4,2,IF(L161&gt;=100*0.33,1,0))))))))</f>
        <v/>
      </c>
      <c r="AE161">
        <f>IF(B161="","",IF(M161&lt;33.0,0,IF(M161&gt;=100*0.8,5,IF(M161&gt;=100*0.7,4,IF(M161&gt;=100*0.6,3.5,IF(M161&gt;=100*0.5,3,IF(M161&gt;=100*0.4,2,IF(M161&gt;=100*0.33,1,0))))))))</f>
        <v/>
      </c>
      <c r="AF161">
        <f>IF(B161="","",IF(N161&lt;16.5,0,IF(N161&gt;=50*0.8,5,IF(N161&gt;=50*0.7,4,IF(N161&gt;=50*0.6,3.5,IF(N161&gt;=50*0.5,3,IF(N161&gt;=50*0.4,2,IF(N161&gt;=50*0.33,1,0))))))))</f>
        <v/>
      </c>
      <c r="AG161">
        <f>IF(B161="","",IF(O161&lt;33.0,0,IF(O161&gt;=100*0.8,5,IF(O161&gt;=100*0.7,4,IF(O161&gt;=100*0.6,3.5,IF(O161&gt;=100*0.5,3,IF(O161&gt;=100*0.4,2,IF(O161&gt;=100*0.33,1,0))))))))</f>
        <v/>
      </c>
      <c r="AH161">
        <f>IF(B161="","",IF(OR(U161=0,V161=0,W161=0,X161=0,Y161=0,Z161=0,AA161=0,AB161=0,AC161=0,AD161=0,AE161=0,AF161=0,AG161=0),1,0))</f>
        <v/>
      </c>
    </row>
    <row r="162">
      <c r="A162" s="3">
        <f>IF(B162="","",ROW()-2)</f>
        <v/>
      </c>
      <c r="P162" s="4">
        <f>IF(B162="","",SUM(C162:O162))</f>
        <v/>
      </c>
      <c r="Q162" s="5">
        <f>IF(B162="","",ROUND(P162/13,2))</f>
        <v/>
      </c>
      <c r="R162" s="5">
        <f>IF(B162="","",IF(AH162=1,0,MIN(5,ROUND((U162+V162+W162+X162+Y162+Z162+AA162+AB162+AC162+AD162+AE162+AF162+AG162)/13,2))))</f>
        <v/>
      </c>
      <c r="S162" s="3">
        <f>IF(B162="","",IF(R162&gt;=5,"A+",IF(R162&gt;=4,"A",IF(R162&gt;=3.5,"A-",IF(R162&gt;=3,"B",IF(R162&gt;=2,"C",IF(R162&gt;=1,"D","F")))))))</f>
        <v/>
      </c>
      <c r="T162" s="3">
        <f>IF(OR(B162="",S162="F"),"",COUNTIFS(P:P,"&gt;"&amp;P162,S:S,"&lt;&gt;F")+1)</f>
        <v/>
      </c>
      <c r="U162">
        <f>IF(B162="","",IF(C162&lt;33.0,0,IF(C162&gt;=100*0.8,5,IF(C162&gt;=100*0.7,4,IF(C162&gt;=100*0.6,3.5,IF(C162&gt;=100*0.5,3,IF(C162&gt;=100*0.4,2,IF(C162&gt;=100*0.33,1,0))))))))</f>
        <v/>
      </c>
      <c r="V162">
        <f>IF(B162="","",IF(D162&lt;33.0,0,IF(D162&gt;=100*0.8,5,IF(D162&gt;=100*0.7,4,IF(D162&gt;=100*0.6,3.5,IF(D162&gt;=100*0.5,3,IF(D162&gt;=100*0.4,2,IF(D162&gt;=100*0.33,1,0))))))))</f>
        <v/>
      </c>
      <c r="W162">
        <f>IF(B162="","",IF(E162&lt;16.5,0,IF(E162&gt;=50*0.8,5,IF(E162&gt;=50*0.7,4,IF(E162&gt;=50*0.6,3.5,IF(E162&gt;=50*0.5,3,IF(E162&gt;=50*0.4,2,IF(E162&gt;=50*0.33,1,0))))))))</f>
        <v/>
      </c>
      <c r="X162">
        <f>IF(B162="","",IF(F162&lt;33.0,0,IF(F162&gt;=100*0.8,5,IF(F162&gt;=100*0.7,4,IF(F162&gt;=100*0.6,3.5,IF(F162&gt;=100*0.5,3,IF(F162&gt;=100*0.4,2,IF(F162&gt;=100*0.33,1,0))))))))</f>
        <v/>
      </c>
      <c r="Y162">
        <f>IF(B162="","",IF(G162&lt;16.5,0,IF(G162&gt;=50*0.8,5,IF(G162&gt;=50*0.7,4,IF(G162&gt;=50*0.6,3.5,IF(G162&gt;=50*0.5,3,IF(G162&gt;=50*0.4,2,IF(G162&gt;=50*0.33,1,0))))))))</f>
        <v/>
      </c>
      <c r="Z162">
        <f>IF(B162="","",IF(H162&lt;33.0,0,IF(H162&gt;=100*0.8,5,IF(H162&gt;=100*0.7,4,IF(H162&gt;=100*0.6,3.5,IF(H162&gt;=100*0.5,3,IF(H162&gt;=100*0.4,2,IF(H162&gt;=100*0.33,1,0))))))))</f>
        <v/>
      </c>
      <c r="AA162">
        <f>IF(B162="","",IF(I162&lt;33.0,0,IF(I162&gt;=100*0.8,5,IF(I162&gt;=100*0.7,4,IF(I162&gt;=100*0.6,3.5,IF(I162&gt;=100*0.5,3,IF(I162&gt;=100*0.4,2,IF(I162&gt;=100*0.33,1,0))))))))</f>
        <v/>
      </c>
      <c r="AB162">
        <f>IF(B162="","",IF(J162&lt;33.0,0,IF(J162&gt;=100*0.8,5,IF(J162&gt;=100*0.7,4,IF(J162&gt;=100*0.6,3.5,IF(J162&gt;=100*0.5,3,IF(J162&gt;=100*0.4,2,IF(J162&gt;=100*0.33,1,0))))))))</f>
        <v/>
      </c>
      <c r="AC162">
        <f>IF(B162="","",IF(K162&lt;33.0,0,IF(K162&gt;=100*0.8,5,IF(K162&gt;=100*0.7,4,IF(K162&gt;=100*0.6,3.5,IF(K162&gt;=100*0.5,3,IF(K162&gt;=100*0.4,2,IF(K162&gt;=100*0.33,1,0))))))))</f>
        <v/>
      </c>
      <c r="AD162">
        <f>IF(B162="","",IF(L162&lt;33.0,0,IF(L162&gt;=100*0.8,5,IF(L162&gt;=100*0.7,4,IF(L162&gt;=100*0.6,3.5,IF(L162&gt;=100*0.5,3,IF(L162&gt;=100*0.4,2,IF(L162&gt;=100*0.33,1,0))))))))</f>
        <v/>
      </c>
      <c r="AE162">
        <f>IF(B162="","",IF(M162&lt;33.0,0,IF(M162&gt;=100*0.8,5,IF(M162&gt;=100*0.7,4,IF(M162&gt;=100*0.6,3.5,IF(M162&gt;=100*0.5,3,IF(M162&gt;=100*0.4,2,IF(M162&gt;=100*0.33,1,0))))))))</f>
        <v/>
      </c>
      <c r="AF162">
        <f>IF(B162="","",IF(N162&lt;16.5,0,IF(N162&gt;=50*0.8,5,IF(N162&gt;=50*0.7,4,IF(N162&gt;=50*0.6,3.5,IF(N162&gt;=50*0.5,3,IF(N162&gt;=50*0.4,2,IF(N162&gt;=50*0.33,1,0))))))))</f>
        <v/>
      </c>
      <c r="AG162">
        <f>IF(B162="","",IF(O162&lt;33.0,0,IF(O162&gt;=100*0.8,5,IF(O162&gt;=100*0.7,4,IF(O162&gt;=100*0.6,3.5,IF(O162&gt;=100*0.5,3,IF(O162&gt;=100*0.4,2,IF(O162&gt;=100*0.33,1,0))))))))</f>
        <v/>
      </c>
      <c r="AH162">
        <f>IF(B162="","",IF(OR(U162=0,V162=0,W162=0,X162=0,Y162=0,Z162=0,AA162=0,AB162=0,AC162=0,AD162=0,AE162=0,AF162=0,AG162=0),1,0))</f>
        <v/>
      </c>
    </row>
    <row r="163">
      <c r="A163" s="3">
        <f>IF(B163="","",ROW()-2)</f>
        <v/>
      </c>
      <c r="P163" s="4">
        <f>IF(B163="","",SUM(C163:O163))</f>
        <v/>
      </c>
      <c r="Q163" s="5">
        <f>IF(B163="","",ROUND(P163/13,2))</f>
        <v/>
      </c>
      <c r="R163" s="5">
        <f>IF(B163="","",IF(AH163=1,0,MIN(5,ROUND((U163+V163+W163+X163+Y163+Z163+AA163+AB163+AC163+AD163+AE163+AF163+AG163)/13,2))))</f>
        <v/>
      </c>
      <c r="S163" s="3">
        <f>IF(B163="","",IF(R163&gt;=5,"A+",IF(R163&gt;=4,"A",IF(R163&gt;=3.5,"A-",IF(R163&gt;=3,"B",IF(R163&gt;=2,"C",IF(R163&gt;=1,"D","F")))))))</f>
        <v/>
      </c>
      <c r="T163" s="3">
        <f>IF(OR(B163="",S163="F"),"",COUNTIFS(P:P,"&gt;"&amp;P163,S:S,"&lt;&gt;F")+1)</f>
        <v/>
      </c>
      <c r="U163">
        <f>IF(B163="","",IF(C163&lt;33.0,0,IF(C163&gt;=100*0.8,5,IF(C163&gt;=100*0.7,4,IF(C163&gt;=100*0.6,3.5,IF(C163&gt;=100*0.5,3,IF(C163&gt;=100*0.4,2,IF(C163&gt;=100*0.33,1,0))))))))</f>
        <v/>
      </c>
      <c r="V163">
        <f>IF(B163="","",IF(D163&lt;33.0,0,IF(D163&gt;=100*0.8,5,IF(D163&gt;=100*0.7,4,IF(D163&gt;=100*0.6,3.5,IF(D163&gt;=100*0.5,3,IF(D163&gt;=100*0.4,2,IF(D163&gt;=100*0.33,1,0))))))))</f>
        <v/>
      </c>
      <c r="W163">
        <f>IF(B163="","",IF(E163&lt;16.5,0,IF(E163&gt;=50*0.8,5,IF(E163&gt;=50*0.7,4,IF(E163&gt;=50*0.6,3.5,IF(E163&gt;=50*0.5,3,IF(E163&gt;=50*0.4,2,IF(E163&gt;=50*0.33,1,0))))))))</f>
        <v/>
      </c>
      <c r="X163">
        <f>IF(B163="","",IF(F163&lt;33.0,0,IF(F163&gt;=100*0.8,5,IF(F163&gt;=100*0.7,4,IF(F163&gt;=100*0.6,3.5,IF(F163&gt;=100*0.5,3,IF(F163&gt;=100*0.4,2,IF(F163&gt;=100*0.33,1,0))))))))</f>
        <v/>
      </c>
      <c r="Y163">
        <f>IF(B163="","",IF(G163&lt;16.5,0,IF(G163&gt;=50*0.8,5,IF(G163&gt;=50*0.7,4,IF(G163&gt;=50*0.6,3.5,IF(G163&gt;=50*0.5,3,IF(G163&gt;=50*0.4,2,IF(G163&gt;=50*0.33,1,0))))))))</f>
        <v/>
      </c>
      <c r="Z163">
        <f>IF(B163="","",IF(H163&lt;33.0,0,IF(H163&gt;=100*0.8,5,IF(H163&gt;=100*0.7,4,IF(H163&gt;=100*0.6,3.5,IF(H163&gt;=100*0.5,3,IF(H163&gt;=100*0.4,2,IF(H163&gt;=100*0.33,1,0))))))))</f>
        <v/>
      </c>
      <c r="AA163">
        <f>IF(B163="","",IF(I163&lt;33.0,0,IF(I163&gt;=100*0.8,5,IF(I163&gt;=100*0.7,4,IF(I163&gt;=100*0.6,3.5,IF(I163&gt;=100*0.5,3,IF(I163&gt;=100*0.4,2,IF(I163&gt;=100*0.33,1,0))))))))</f>
        <v/>
      </c>
      <c r="AB163">
        <f>IF(B163="","",IF(J163&lt;33.0,0,IF(J163&gt;=100*0.8,5,IF(J163&gt;=100*0.7,4,IF(J163&gt;=100*0.6,3.5,IF(J163&gt;=100*0.5,3,IF(J163&gt;=100*0.4,2,IF(J163&gt;=100*0.33,1,0))))))))</f>
        <v/>
      </c>
      <c r="AC163">
        <f>IF(B163="","",IF(K163&lt;33.0,0,IF(K163&gt;=100*0.8,5,IF(K163&gt;=100*0.7,4,IF(K163&gt;=100*0.6,3.5,IF(K163&gt;=100*0.5,3,IF(K163&gt;=100*0.4,2,IF(K163&gt;=100*0.33,1,0))))))))</f>
        <v/>
      </c>
      <c r="AD163">
        <f>IF(B163="","",IF(L163&lt;33.0,0,IF(L163&gt;=100*0.8,5,IF(L163&gt;=100*0.7,4,IF(L163&gt;=100*0.6,3.5,IF(L163&gt;=100*0.5,3,IF(L163&gt;=100*0.4,2,IF(L163&gt;=100*0.33,1,0))))))))</f>
        <v/>
      </c>
      <c r="AE163">
        <f>IF(B163="","",IF(M163&lt;33.0,0,IF(M163&gt;=100*0.8,5,IF(M163&gt;=100*0.7,4,IF(M163&gt;=100*0.6,3.5,IF(M163&gt;=100*0.5,3,IF(M163&gt;=100*0.4,2,IF(M163&gt;=100*0.33,1,0))))))))</f>
        <v/>
      </c>
      <c r="AF163">
        <f>IF(B163="","",IF(N163&lt;16.5,0,IF(N163&gt;=50*0.8,5,IF(N163&gt;=50*0.7,4,IF(N163&gt;=50*0.6,3.5,IF(N163&gt;=50*0.5,3,IF(N163&gt;=50*0.4,2,IF(N163&gt;=50*0.33,1,0))))))))</f>
        <v/>
      </c>
      <c r="AG163">
        <f>IF(B163="","",IF(O163&lt;33.0,0,IF(O163&gt;=100*0.8,5,IF(O163&gt;=100*0.7,4,IF(O163&gt;=100*0.6,3.5,IF(O163&gt;=100*0.5,3,IF(O163&gt;=100*0.4,2,IF(O163&gt;=100*0.33,1,0))))))))</f>
        <v/>
      </c>
      <c r="AH163">
        <f>IF(B163="","",IF(OR(U163=0,V163=0,W163=0,X163=0,Y163=0,Z163=0,AA163=0,AB163=0,AC163=0,AD163=0,AE163=0,AF163=0,AG163=0),1,0))</f>
        <v/>
      </c>
    </row>
    <row r="164">
      <c r="A164" s="3">
        <f>IF(B164="","",ROW()-2)</f>
        <v/>
      </c>
      <c r="P164" s="4">
        <f>IF(B164="","",SUM(C164:O164))</f>
        <v/>
      </c>
      <c r="Q164" s="5">
        <f>IF(B164="","",ROUND(P164/13,2))</f>
        <v/>
      </c>
      <c r="R164" s="5">
        <f>IF(B164="","",IF(AH164=1,0,MIN(5,ROUND((U164+V164+W164+X164+Y164+Z164+AA164+AB164+AC164+AD164+AE164+AF164+AG164)/13,2))))</f>
        <v/>
      </c>
      <c r="S164" s="3">
        <f>IF(B164="","",IF(R164&gt;=5,"A+",IF(R164&gt;=4,"A",IF(R164&gt;=3.5,"A-",IF(R164&gt;=3,"B",IF(R164&gt;=2,"C",IF(R164&gt;=1,"D","F")))))))</f>
        <v/>
      </c>
      <c r="T164" s="3">
        <f>IF(OR(B164="",S164="F"),"",COUNTIFS(P:P,"&gt;"&amp;P164,S:S,"&lt;&gt;F")+1)</f>
        <v/>
      </c>
      <c r="U164">
        <f>IF(B164="","",IF(C164&lt;33.0,0,IF(C164&gt;=100*0.8,5,IF(C164&gt;=100*0.7,4,IF(C164&gt;=100*0.6,3.5,IF(C164&gt;=100*0.5,3,IF(C164&gt;=100*0.4,2,IF(C164&gt;=100*0.33,1,0))))))))</f>
        <v/>
      </c>
      <c r="V164">
        <f>IF(B164="","",IF(D164&lt;33.0,0,IF(D164&gt;=100*0.8,5,IF(D164&gt;=100*0.7,4,IF(D164&gt;=100*0.6,3.5,IF(D164&gt;=100*0.5,3,IF(D164&gt;=100*0.4,2,IF(D164&gt;=100*0.33,1,0))))))))</f>
        <v/>
      </c>
      <c r="W164">
        <f>IF(B164="","",IF(E164&lt;16.5,0,IF(E164&gt;=50*0.8,5,IF(E164&gt;=50*0.7,4,IF(E164&gt;=50*0.6,3.5,IF(E164&gt;=50*0.5,3,IF(E164&gt;=50*0.4,2,IF(E164&gt;=50*0.33,1,0))))))))</f>
        <v/>
      </c>
      <c r="X164">
        <f>IF(B164="","",IF(F164&lt;33.0,0,IF(F164&gt;=100*0.8,5,IF(F164&gt;=100*0.7,4,IF(F164&gt;=100*0.6,3.5,IF(F164&gt;=100*0.5,3,IF(F164&gt;=100*0.4,2,IF(F164&gt;=100*0.33,1,0))))))))</f>
        <v/>
      </c>
      <c r="Y164">
        <f>IF(B164="","",IF(G164&lt;16.5,0,IF(G164&gt;=50*0.8,5,IF(G164&gt;=50*0.7,4,IF(G164&gt;=50*0.6,3.5,IF(G164&gt;=50*0.5,3,IF(G164&gt;=50*0.4,2,IF(G164&gt;=50*0.33,1,0))))))))</f>
        <v/>
      </c>
      <c r="Z164">
        <f>IF(B164="","",IF(H164&lt;33.0,0,IF(H164&gt;=100*0.8,5,IF(H164&gt;=100*0.7,4,IF(H164&gt;=100*0.6,3.5,IF(H164&gt;=100*0.5,3,IF(H164&gt;=100*0.4,2,IF(H164&gt;=100*0.33,1,0))))))))</f>
        <v/>
      </c>
      <c r="AA164">
        <f>IF(B164="","",IF(I164&lt;33.0,0,IF(I164&gt;=100*0.8,5,IF(I164&gt;=100*0.7,4,IF(I164&gt;=100*0.6,3.5,IF(I164&gt;=100*0.5,3,IF(I164&gt;=100*0.4,2,IF(I164&gt;=100*0.33,1,0))))))))</f>
        <v/>
      </c>
      <c r="AB164">
        <f>IF(B164="","",IF(J164&lt;33.0,0,IF(J164&gt;=100*0.8,5,IF(J164&gt;=100*0.7,4,IF(J164&gt;=100*0.6,3.5,IF(J164&gt;=100*0.5,3,IF(J164&gt;=100*0.4,2,IF(J164&gt;=100*0.33,1,0))))))))</f>
        <v/>
      </c>
      <c r="AC164">
        <f>IF(B164="","",IF(K164&lt;33.0,0,IF(K164&gt;=100*0.8,5,IF(K164&gt;=100*0.7,4,IF(K164&gt;=100*0.6,3.5,IF(K164&gt;=100*0.5,3,IF(K164&gt;=100*0.4,2,IF(K164&gt;=100*0.33,1,0))))))))</f>
        <v/>
      </c>
      <c r="AD164">
        <f>IF(B164="","",IF(L164&lt;33.0,0,IF(L164&gt;=100*0.8,5,IF(L164&gt;=100*0.7,4,IF(L164&gt;=100*0.6,3.5,IF(L164&gt;=100*0.5,3,IF(L164&gt;=100*0.4,2,IF(L164&gt;=100*0.33,1,0))))))))</f>
        <v/>
      </c>
      <c r="AE164">
        <f>IF(B164="","",IF(M164&lt;33.0,0,IF(M164&gt;=100*0.8,5,IF(M164&gt;=100*0.7,4,IF(M164&gt;=100*0.6,3.5,IF(M164&gt;=100*0.5,3,IF(M164&gt;=100*0.4,2,IF(M164&gt;=100*0.33,1,0))))))))</f>
        <v/>
      </c>
      <c r="AF164">
        <f>IF(B164="","",IF(N164&lt;16.5,0,IF(N164&gt;=50*0.8,5,IF(N164&gt;=50*0.7,4,IF(N164&gt;=50*0.6,3.5,IF(N164&gt;=50*0.5,3,IF(N164&gt;=50*0.4,2,IF(N164&gt;=50*0.33,1,0))))))))</f>
        <v/>
      </c>
      <c r="AG164">
        <f>IF(B164="","",IF(O164&lt;33.0,0,IF(O164&gt;=100*0.8,5,IF(O164&gt;=100*0.7,4,IF(O164&gt;=100*0.6,3.5,IF(O164&gt;=100*0.5,3,IF(O164&gt;=100*0.4,2,IF(O164&gt;=100*0.33,1,0))))))))</f>
        <v/>
      </c>
      <c r="AH164">
        <f>IF(B164="","",IF(OR(U164=0,V164=0,W164=0,X164=0,Y164=0,Z164=0,AA164=0,AB164=0,AC164=0,AD164=0,AE164=0,AF164=0,AG164=0),1,0))</f>
        <v/>
      </c>
    </row>
    <row r="165">
      <c r="A165" s="3">
        <f>IF(B165="","",ROW()-2)</f>
        <v/>
      </c>
      <c r="P165" s="4">
        <f>IF(B165="","",SUM(C165:O165))</f>
        <v/>
      </c>
      <c r="Q165" s="5">
        <f>IF(B165="","",ROUND(P165/13,2))</f>
        <v/>
      </c>
      <c r="R165" s="5">
        <f>IF(B165="","",IF(AH165=1,0,MIN(5,ROUND((U165+V165+W165+X165+Y165+Z165+AA165+AB165+AC165+AD165+AE165+AF165+AG165)/13,2))))</f>
        <v/>
      </c>
      <c r="S165" s="3">
        <f>IF(B165="","",IF(R165&gt;=5,"A+",IF(R165&gt;=4,"A",IF(R165&gt;=3.5,"A-",IF(R165&gt;=3,"B",IF(R165&gt;=2,"C",IF(R165&gt;=1,"D","F")))))))</f>
        <v/>
      </c>
      <c r="T165" s="3">
        <f>IF(OR(B165="",S165="F"),"",COUNTIFS(P:P,"&gt;"&amp;P165,S:S,"&lt;&gt;F")+1)</f>
        <v/>
      </c>
      <c r="U165">
        <f>IF(B165="","",IF(C165&lt;33.0,0,IF(C165&gt;=100*0.8,5,IF(C165&gt;=100*0.7,4,IF(C165&gt;=100*0.6,3.5,IF(C165&gt;=100*0.5,3,IF(C165&gt;=100*0.4,2,IF(C165&gt;=100*0.33,1,0))))))))</f>
        <v/>
      </c>
      <c r="V165">
        <f>IF(B165="","",IF(D165&lt;33.0,0,IF(D165&gt;=100*0.8,5,IF(D165&gt;=100*0.7,4,IF(D165&gt;=100*0.6,3.5,IF(D165&gt;=100*0.5,3,IF(D165&gt;=100*0.4,2,IF(D165&gt;=100*0.33,1,0))))))))</f>
        <v/>
      </c>
      <c r="W165">
        <f>IF(B165="","",IF(E165&lt;16.5,0,IF(E165&gt;=50*0.8,5,IF(E165&gt;=50*0.7,4,IF(E165&gt;=50*0.6,3.5,IF(E165&gt;=50*0.5,3,IF(E165&gt;=50*0.4,2,IF(E165&gt;=50*0.33,1,0))))))))</f>
        <v/>
      </c>
      <c r="X165">
        <f>IF(B165="","",IF(F165&lt;33.0,0,IF(F165&gt;=100*0.8,5,IF(F165&gt;=100*0.7,4,IF(F165&gt;=100*0.6,3.5,IF(F165&gt;=100*0.5,3,IF(F165&gt;=100*0.4,2,IF(F165&gt;=100*0.33,1,0))))))))</f>
        <v/>
      </c>
      <c r="Y165">
        <f>IF(B165="","",IF(G165&lt;16.5,0,IF(G165&gt;=50*0.8,5,IF(G165&gt;=50*0.7,4,IF(G165&gt;=50*0.6,3.5,IF(G165&gt;=50*0.5,3,IF(G165&gt;=50*0.4,2,IF(G165&gt;=50*0.33,1,0))))))))</f>
        <v/>
      </c>
      <c r="Z165">
        <f>IF(B165="","",IF(H165&lt;33.0,0,IF(H165&gt;=100*0.8,5,IF(H165&gt;=100*0.7,4,IF(H165&gt;=100*0.6,3.5,IF(H165&gt;=100*0.5,3,IF(H165&gt;=100*0.4,2,IF(H165&gt;=100*0.33,1,0))))))))</f>
        <v/>
      </c>
      <c r="AA165">
        <f>IF(B165="","",IF(I165&lt;33.0,0,IF(I165&gt;=100*0.8,5,IF(I165&gt;=100*0.7,4,IF(I165&gt;=100*0.6,3.5,IF(I165&gt;=100*0.5,3,IF(I165&gt;=100*0.4,2,IF(I165&gt;=100*0.33,1,0))))))))</f>
        <v/>
      </c>
      <c r="AB165">
        <f>IF(B165="","",IF(J165&lt;33.0,0,IF(J165&gt;=100*0.8,5,IF(J165&gt;=100*0.7,4,IF(J165&gt;=100*0.6,3.5,IF(J165&gt;=100*0.5,3,IF(J165&gt;=100*0.4,2,IF(J165&gt;=100*0.33,1,0))))))))</f>
        <v/>
      </c>
      <c r="AC165">
        <f>IF(B165="","",IF(K165&lt;33.0,0,IF(K165&gt;=100*0.8,5,IF(K165&gt;=100*0.7,4,IF(K165&gt;=100*0.6,3.5,IF(K165&gt;=100*0.5,3,IF(K165&gt;=100*0.4,2,IF(K165&gt;=100*0.33,1,0))))))))</f>
        <v/>
      </c>
      <c r="AD165">
        <f>IF(B165="","",IF(L165&lt;33.0,0,IF(L165&gt;=100*0.8,5,IF(L165&gt;=100*0.7,4,IF(L165&gt;=100*0.6,3.5,IF(L165&gt;=100*0.5,3,IF(L165&gt;=100*0.4,2,IF(L165&gt;=100*0.33,1,0))))))))</f>
        <v/>
      </c>
      <c r="AE165">
        <f>IF(B165="","",IF(M165&lt;33.0,0,IF(M165&gt;=100*0.8,5,IF(M165&gt;=100*0.7,4,IF(M165&gt;=100*0.6,3.5,IF(M165&gt;=100*0.5,3,IF(M165&gt;=100*0.4,2,IF(M165&gt;=100*0.33,1,0))))))))</f>
        <v/>
      </c>
      <c r="AF165">
        <f>IF(B165="","",IF(N165&lt;16.5,0,IF(N165&gt;=50*0.8,5,IF(N165&gt;=50*0.7,4,IF(N165&gt;=50*0.6,3.5,IF(N165&gt;=50*0.5,3,IF(N165&gt;=50*0.4,2,IF(N165&gt;=50*0.33,1,0))))))))</f>
        <v/>
      </c>
      <c r="AG165">
        <f>IF(B165="","",IF(O165&lt;33.0,0,IF(O165&gt;=100*0.8,5,IF(O165&gt;=100*0.7,4,IF(O165&gt;=100*0.6,3.5,IF(O165&gt;=100*0.5,3,IF(O165&gt;=100*0.4,2,IF(O165&gt;=100*0.33,1,0))))))))</f>
        <v/>
      </c>
      <c r="AH165">
        <f>IF(B165="","",IF(OR(U165=0,V165=0,W165=0,X165=0,Y165=0,Z165=0,AA165=0,AB165=0,AC165=0,AD165=0,AE165=0,AF165=0,AG165=0),1,0))</f>
        <v/>
      </c>
    </row>
    <row r="166">
      <c r="A166" s="3">
        <f>IF(B166="","",ROW()-2)</f>
        <v/>
      </c>
      <c r="P166" s="4">
        <f>IF(B166="","",SUM(C166:O166))</f>
        <v/>
      </c>
      <c r="Q166" s="5">
        <f>IF(B166="","",ROUND(P166/13,2))</f>
        <v/>
      </c>
      <c r="R166" s="5">
        <f>IF(B166="","",IF(AH166=1,0,MIN(5,ROUND((U166+V166+W166+X166+Y166+Z166+AA166+AB166+AC166+AD166+AE166+AF166+AG166)/13,2))))</f>
        <v/>
      </c>
      <c r="S166" s="3">
        <f>IF(B166="","",IF(R166&gt;=5,"A+",IF(R166&gt;=4,"A",IF(R166&gt;=3.5,"A-",IF(R166&gt;=3,"B",IF(R166&gt;=2,"C",IF(R166&gt;=1,"D","F")))))))</f>
        <v/>
      </c>
      <c r="T166" s="3">
        <f>IF(OR(B166="",S166="F"),"",COUNTIFS(P:P,"&gt;"&amp;P166,S:S,"&lt;&gt;F")+1)</f>
        <v/>
      </c>
      <c r="U166">
        <f>IF(B166="","",IF(C166&lt;33.0,0,IF(C166&gt;=100*0.8,5,IF(C166&gt;=100*0.7,4,IF(C166&gt;=100*0.6,3.5,IF(C166&gt;=100*0.5,3,IF(C166&gt;=100*0.4,2,IF(C166&gt;=100*0.33,1,0))))))))</f>
        <v/>
      </c>
      <c r="V166">
        <f>IF(B166="","",IF(D166&lt;33.0,0,IF(D166&gt;=100*0.8,5,IF(D166&gt;=100*0.7,4,IF(D166&gt;=100*0.6,3.5,IF(D166&gt;=100*0.5,3,IF(D166&gt;=100*0.4,2,IF(D166&gt;=100*0.33,1,0))))))))</f>
        <v/>
      </c>
      <c r="W166">
        <f>IF(B166="","",IF(E166&lt;16.5,0,IF(E166&gt;=50*0.8,5,IF(E166&gt;=50*0.7,4,IF(E166&gt;=50*0.6,3.5,IF(E166&gt;=50*0.5,3,IF(E166&gt;=50*0.4,2,IF(E166&gt;=50*0.33,1,0))))))))</f>
        <v/>
      </c>
      <c r="X166">
        <f>IF(B166="","",IF(F166&lt;33.0,0,IF(F166&gt;=100*0.8,5,IF(F166&gt;=100*0.7,4,IF(F166&gt;=100*0.6,3.5,IF(F166&gt;=100*0.5,3,IF(F166&gt;=100*0.4,2,IF(F166&gt;=100*0.33,1,0))))))))</f>
        <v/>
      </c>
      <c r="Y166">
        <f>IF(B166="","",IF(G166&lt;16.5,0,IF(G166&gt;=50*0.8,5,IF(G166&gt;=50*0.7,4,IF(G166&gt;=50*0.6,3.5,IF(G166&gt;=50*0.5,3,IF(G166&gt;=50*0.4,2,IF(G166&gt;=50*0.33,1,0))))))))</f>
        <v/>
      </c>
      <c r="Z166">
        <f>IF(B166="","",IF(H166&lt;33.0,0,IF(H166&gt;=100*0.8,5,IF(H166&gt;=100*0.7,4,IF(H166&gt;=100*0.6,3.5,IF(H166&gt;=100*0.5,3,IF(H166&gt;=100*0.4,2,IF(H166&gt;=100*0.33,1,0))))))))</f>
        <v/>
      </c>
      <c r="AA166">
        <f>IF(B166="","",IF(I166&lt;33.0,0,IF(I166&gt;=100*0.8,5,IF(I166&gt;=100*0.7,4,IF(I166&gt;=100*0.6,3.5,IF(I166&gt;=100*0.5,3,IF(I166&gt;=100*0.4,2,IF(I166&gt;=100*0.33,1,0))))))))</f>
        <v/>
      </c>
      <c r="AB166">
        <f>IF(B166="","",IF(J166&lt;33.0,0,IF(J166&gt;=100*0.8,5,IF(J166&gt;=100*0.7,4,IF(J166&gt;=100*0.6,3.5,IF(J166&gt;=100*0.5,3,IF(J166&gt;=100*0.4,2,IF(J166&gt;=100*0.33,1,0))))))))</f>
        <v/>
      </c>
      <c r="AC166">
        <f>IF(B166="","",IF(K166&lt;33.0,0,IF(K166&gt;=100*0.8,5,IF(K166&gt;=100*0.7,4,IF(K166&gt;=100*0.6,3.5,IF(K166&gt;=100*0.5,3,IF(K166&gt;=100*0.4,2,IF(K166&gt;=100*0.33,1,0))))))))</f>
        <v/>
      </c>
      <c r="AD166">
        <f>IF(B166="","",IF(L166&lt;33.0,0,IF(L166&gt;=100*0.8,5,IF(L166&gt;=100*0.7,4,IF(L166&gt;=100*0.6,3.5,IF(L166&gt;=100*0.5,3,IF(L166&gt;=100*0.4,2,IF(L166&gt;=100*0.33,1,0))))))))</f>
        <v/>
      </c>
      <c r="AE166">
        <f>IF(B166="","",IF(M166&lt;33.0,0,IF(M166&gt;=100*0.8,5,IF(M166&gt;=100*0.7,4,IF(M166&gt;=100*0.6,3.5,IF(M166&gt;=100*0.5,3,IF(M166&gt;=100*0.4,2,IF(M166&gt;=100*0.33,1,0))))))))</f>
        <v/>
      </c>
      <c r="AF166">
        <f>IF(B166="","",IF(N166&lt;16.5,0,IF(N166&gt;=50*0.8,5,IF(N166&gt;=50*0.7,4,IF(N166&gt;=50*0.6,3.5,IF(N166&gt;=50*0.5,3,IF(N166&gt;=50*0.4,2,IF(N166&gt;=50*0.33,1,0))))))))</f>
        <v/>
      </c>
      <c r="AG166">
        <f>IF(B166="","",IF(O166&lt;33.0,0,IF(O166&gt;=100*0.8,5,IF(O166&gt;=100*0.7,4,IF(O166&gt;=100*0.6,3.5,IF(O166&gt;=100*0.5,3,IF(O166&gt;=100*0.4,2,IF(O166&gt;=100*0.33,1,0))))))))</f>
        <v/>
      </c>
      <c r="AH166">
        <f>IF(B166="","",IF(OR(U166=0,V166=0,W166=0,X166=0,Y166=0,Z166=0,AA166=0,AB166=0,AC166=0,AD166=0,AE166=0,AF166=0,AG166=0),1,0))</f>
        <v/>
      </c>
    </row>
    <row r="167">
      <c r="A167" s="3">
        <f>IF(B167="","",ROW()-2)</f>
        <v/>
      </c>
      <c r="P167" s="4">
        <f>IF(B167="","",SUM(C167:O167))</f>
        <v/>
      </c>
      <c r="Q167" s="5">
        <f>IF(B167="","",ROUND(P167/13,2))</f>
        <v/>
      </c>
      <c r="R167" s="5">
        <f>IF(B167="","",IF(AH167=1,0,MIN(5,ROUND((U167+V167+W167+X167+Y167+Z167+AA167+AB167+AC167+AD167+AE167+AF167+AG167)/13,2))))</f>
        <v/>
      </c>
      <c r="S167" s="3">
        <f>IF(B167="","",IF(R167&gt;=5,"A+",IF(R167&gt;=4,"A",IF(R167&gt;=3.5,"A-",IF(R167&gt;=3,"B",IF(R167&gt;=2,"C",IF(R167&gt;=1,"D","F")))))))</f>
        <v/>
      </c>
      <c r="T167" s="3">
        <f>IF(OR(B167="",S167="F"),"",COUNTIFS(P:P,"&gt;"&amp;P167,S:S,"&lt;&gt;F")+1)</f>
        <v/>
      </c>
      <c r="U167">
        <f>IF(B167="","",IF(C167&lt;33.0,0,IF(C167&gt;=100*0.8,5,IF(C167&gt;=100*0.7,4,IF(C167&gt;=100*0.6,3.5,IF(C167&gt;=100*0.5,3,IF(C167&gt;=100*0.4,2,IF(C167&gt;=100*0.33,1,0))))))))</f>
        <v/>
      </c>
      <c r="V167">
        <f>IF(B167="","",IF(D167&lt;33.0,0,IF(D167&gt;=100*0.8,5,IF(D167&gt;=100*0.7,4,IF(D167&gt;=100*0.6,3.5,IF(D167&gt;=100*0.5,3,IF(D167&gt;=100*0.4,2,IF(D167&gt;=100*0.33,1,0))))))))</f>
        <v/>
      </c>
      <c r="W167">
        <f>IF(B167="","",IF(E167&lt;16.5,0,IF(E167&gt;=50*0.8,5,IF(E167&gt;=50*0.7,4,IF(E167&gt;=50*0.6,3.5,IF(E167&gt;=50*0.5,3,IF(E167&gt;=50*0.4,2,IF(E167&gt;=50*0.33,1,0))))))))</f>
        <v/>
      </c>
      <c r="X167">
        <f>IF(B167="","",IF(F167&lt;33.0,0,IF(F167&gt;=100*0.8,5,IF(F167&gt;=100*0.7,4,IF(F167&gt;=100*0.6,3.5,IF(F167&gt;=100*0.5,3,IF(F167&gt;=100*0.4,2,IF(F167&gt;=100*0.33,1,0))))))))</f>
        <v/>
      </c>
      <c r="Y167">
        <f>IF(B167="","",IF(G167&lt;16.5,0,IF(G167&gt;=50*0.8,5,IF(G167&gt;=50*0.7,4,IF(G167&gt;=50*0.6,3.5,IF(G167&gt;=50*0.5,3,IF(G167&gt;=50*0.4,2,IF(G167&gt;=50*0.33,1,0))))))))</f>
        <v/>
      </c>
      <c r="Z167">
        <f>IF(B167="","",IF(H167&lt;33.0,0,IF(H167&gt;=100*0.8,5,IF(H167&gt;=100*0.7,4,IF(H167&gt;=100*0.6,3.5,IF(H167&gt;=100*0.5,3,IF(H167&gt;=100*0.4,2,IF(H167&gt;=100*0.33,1,0))))))))</f>
        <v/>
      </c>
      <c r="AA167">
        <f>IF(B167="","",IF(I167&lt;33.0,0,IF(I167&gt;=100*0.8,5,IF(I167&gt;=100*0.7,4,IF(I167&gt;=100*0.6,3.5,IF(I167&gt;=100*0.5,3,IF(I167&gt;=100*0.4,2,IF(I167&gt;=100*0.33,1,0))))))))</f>
        <v/>
      </c>
      <c r="AB167">
        <f>IF(B167="","",IF(J167&lt;33.0,0,IF(J167&gt;=100*0.8,5,IF(J167&gt;=100*0.7,4,IF(J167&gt;=100*0.6,3.5,IF(J167&gt;=100*0.5,3,IF(J167&gt;=100*0.4,2,IF(J167&gt;=100*0.33,1,0))))))))</f>
        <v/>
      </c>
      <c r="AC167">
        <f>IF(B167="","",IF(K167&lt;33.0,0,IF(K167&gt;=100*0.8,5,IF(K167&gt;=100*0.7,4,IF(K167&gt;=100*0.6,3.5,IF(K167&gt;=100*0.5,3,IF(K167&gt;=100*0.4,2,IF(K167&gt;=100*0.33,1,0))))))))</f>
        <v/>
      </c>
      <c r="AD167">
        <f>IF(B167="","",IF(L167&lt;33.0,0,IF(L167&gt;=100*0.8,5,IF(L167&gt;=100*0.7,4,IF(L167&gt;=100*0.6,3.5,IF(L167&gt;=100*0.5,3,IF(L167&gt;=100*0.4,2,IF(L167&gt;=100*0.33,1,0))))))))</f>
        <v/>
      </c>
      <c r="AE167">
        <f>IF(B167="","",IF(M167&lt;33.0,0,IF(M167&gt;=100*0.8,5,IF(M167&gt;=100*0.7,4,IF(M167&gt;=100*0.6,3.5,IF(M167&gt;=100*0.5,3,IF(M167&gt;=100*0.4,2,IF(M167&gt;=100*0.33,1,0))))))))</f>
        <v/>
      </c>
      <c r="AF167">
        <f>IF(B167="","",IF(N167&lt;16.5,0,IF(N167&gt;=50*0.8,5,IF(N167&gt;=50*0.7,4,IF(N167&gt;=50*0.6,3.5,IF(N167&gt;=50*0.5,3,IF(N167&gt;=50*0.4,2,IF(N167&gt;=50*0.33,1,0))))))))</f>
        <v/>
      </c>
      <c r="AG167">
        <f>IF(B167="","",IF(O167&lt;33.0,0,IF(O167&gt;=100*0.8,5,IF(O167&gt;=100*0.7,4,IF(O167&gt;=100*0.6,3.5,IF(O167&gt;=100*0.5,3,IF(O167&gt;=100*0.4,2,IF(O167&gt;=100*0.33,1,0))))))))</f>
        <v/>
      </c>
      <c r="AH167">
        <f>IF(B167="","",IF(OR(U167=0,V167=0,W167=0,X167=0,Y167=0,Z167=0,AA167=0,AB167=0,AC167=0,AD167=0,AE167=0,AF167=0,AG167=0),1,0))</f>
        <v/>
      </c>
    </row>
    <row r="168">
      <c r="A168" s="3">
        <f>IF(B168="","",ROW()-2)</f>
        <v/>
      </c>
      <c r="P168" s="4">
        <f>IF(B168="","",SUM(C168:O168))</f>
        <v/>
      </c>
      <c r="Q168" s="5">
        <f>IF(B168="","",ROUND(P168/13,2))</f>
        <v/>
      </c>
      <c r="R168" s="5">
        <f>IF(B168="","",IF(AH168=1,0,MIN(5,ROUND((U168+V168+W168+X168+Y168+Z168+AA168+AB168+AC168+AD168+AE168+AF168+AG168)/13,2))))</f>
        <v/>
      </c>
      <c r="S168" s="3">
        <f>IF(B168="","",IF(R168&gt;=5,"A+",IF(R168&gt;=4,"A",IF(R168&gt;=3.5,"A-",IF(R168&gt;=3,"B",IF(R168&gt;=2,"C",IF(R168&gt;=1,"D","F")))))))</f>
        <v/>
      </c>
      <c r="T168" s="3">
        <f>IF(OR(B168="",S168="F"),"",COUNTIFS(P:P,"&gt;"&amp;P168,S:S,"&lt;&gt;F")+1)</f>
        <v/>
      </c>
      <c r="U168">
        <f>IF(B168="","",IF(C168&lt;33.0,0,IF(C168&gt;=100*0.8,5,IF(C168&gt;=100*0.7,4,IF(C168&gt;=100*0.6,3.5,IF(C168&gt;=100*0.5,3,IF(C168&gt;=100*0.4,2,IF(C168&gt;=100*0.33,1,0))))))))</f>
        <v/>
      </c>
      <c r="V168">
        <f>IF(B168="","",IF(D168&lt;33.0,0,IF(D168&gt;=100*0.8,5,IF(D168&gt;=100*0.7,4,IF(D168&gt;=100*0.6,3.5,IF(D168&gt;=100*0.5,3,IF(D168&gt;=100*0.4,2,IF(D168&gt;=100*0.33,1,0))))))))</f>
        <v/>
      </c>
      <c r="W168">
        <f>IF(B168="","",IF(E168&lt;16.5,0,IF(E168&gt;=50*0.8,5,IF(E168&gt;=50*0.7,4,IF(E168&gt;=50*0.6,3.5,IF(E168&gt;=50*0.5,3,IF(E168&gt;=50*0.4,2,IF(E168&gt;=50*0.33,1,0))))))))</f>
        <v/>
      </c>
      <c r="X168">
        <f>IF(B168="","",IF(F168&lt;33.0,0,IF(F168&gt;=100*0.8,5,IF(F168&gt;=100*0.7,4,IF(F168&gt;=100*0.6,3.5,IF(F168&gt;=100*0.5,3,IF(F168&gt;=100*0.4,2,IF(F168&gt;=100*0.33,1,0))))))))</f>
        <v/>
      </c>
      <c r="Y168">
        <f>IF(B168="","",IF(G168&lt;16.5,0,IF(G168&gt;=50*0.8,5,IF(G168&gt;=50*0.7,4,IF(G168&gt;=50*0.6,3.5,IF(G168&gt;=50*0.5,3,IF(G168&gt;=50*0.4,2,IF(G168&gt;=50*0.33,1,0))))))))</f>
        <v/>
      </c>
      <c r="Z168">
        <f>IF(B168="","",IF(H168&lt;33.0,0,IF(H168&gt;=100*0.8,5,IF(H168&gt;=100*0.7,4,IF(H168&gt;=100*0.6,3.5,IF(H168&gt;=100*0.5,3,IF(H168&gt;=100*0.4,2,IF(H168&gt;=100*0.33,1,0))))))))</f>
        <v/>
      </c>
      <c r="AA168">
        <f>IF(B168="","",IF(I168&lt;33.0,0,IF(I168&gt;=100*0.8,5,IF(I168&gt;=100*0.7,4,IF(I168&gt;=100*0.6,3.5,IF(I168&gt;=100*0.5,3,IF(I168&gt;=100*0.4,2,IF(I168&gt;=100*0.33,1,0))))))))</f>
        <v/>
      </c>
      <c r="AB168">
        <f>IF(B168="","",IF(J168&lt;33.0,0,IF(J168&gt;=100*0.8,5,IF(J168&gt;=100*0.7,4,IF(J168&gt;=100*0.6,3.5,IF(J168&gt;=100*0.5,3,IF(J168&gt;=100*0.4,2,IF(J168&gt;=100*0.33,1,0))))))))</f>
        <v/>
      </c>
      <c r="AC168">
        <f>IF(B168="","",IF(K168&lt;33.0,0,IF(K168&gt;=100*0.8,5,IF(K168&gt;=100*0.7,4,IF(K168&gt;=100*0.6,3.5,IF(K168&gt;=100*0.5,3,IF(K168&gt;=100*0.4,2,IF(K168&gt;=100*0.33,1,0))))))))</f>
        <v/>
      </c>
      <c r="AD168">
        <f>IF(B168="","",IF(L168&lt;33.0,0,IF(L168&gt;=100*0.8,5,IF(L168&gt;=100*0.7,4,IF(L168&gt;=100*0.6,3.5,IF(L168&gt;=100*0.5,3,IF(L168&gt;=100*0.4,2,IF(L168&gt;=100*0.33,1,0))))))))</f>
        <v/>
      </c>
      <c r="AE168">
        <f>IF(B168="","",IF(M168&lt;33.0,0,IF(M168&gt;=100*0.8,5,IF(M168&gt;=100*0.7,4,IF(M168&gt;=100*0.6,3.5,IF(M168&gt;=100*0.5,3,IF(M168&gt;=100*0.4,2,IF(M168&gt;=100*0.33,1,0))))))))</f>
        <v/>
      </c>
      <c r="AF168">
        <f>IF(B168="","",IF(N168&lt;16.5,0,IF(N168&gt;=50*0.8,5,IF(N168&gt;=50*0.7,4,IF(N168&gt;=50*0.6,3.5,IF(N168&gt;=50*0.5,3,IF(N168&gt;=50*0.4,2,IF(N168&gt;=50*0.33,1,0))))))))</f>
        <v/>
      </c>
      <c r="AG168">
        <f>IF(B168="","",IF(O168&lt;33.0,0,IF(O168&gt;=100*0.8,5,IF(O168&gt;=100*0.7,4,IF(O168&gt;=100*0.6,3.5,IF(O168&gt;=100*0.5,3,IF(O168&gt;=100*0.4,2,IF(O168&gt;=100*0.33,1,0))))))))</f>
        <v/>
      </c>
      <c r="AH168">
        <f>IF(B168="","",IF(OR(U168=0,V168=0,W168=0,X168=0,Y168=0,Z168=0,AA168=0,AB168=0,AC168=0,AD168=0,AE168=0,AF168=0,AG168=0),1,0))</f>
        <v/>
      </c>
    </row>
    <row r="169">
      <c r="A169" s="3">
        <f>IF(B169="","",ROW()-2)</f>
        <v/>
      </c>
      <c r="P169" s="4">
        <f>IF(B169="","",SUM(C169:O169))</f>
        <v/>
      </c>
      <c r="Q169" s="5">
        <f>IF(B169="","",ROUND(P169/13,2))</f>
        <v/>
      </c>
      <c r="R169" s="5">
        <f>IF(B169="","",IF(AH169=1,0,MIN(5,ROUND((U169+V169+W169+X169+Y169+Z169+AA169+AB169+AC169+AD169+AE169+AF169+AG169)/13,2))))</f>
        <v/>
      </c>
      <c r="S169" s="3">
        <f>IF(B169="","",IF(R169&gt;=5,"A+",IF(R169&gt;=4,"A",IF(R169&gt;=3.5,"A-",IF(R169&gt;=3,"B",IF(R169&gt;=2,"C",IF(R169&gt;=1,"D","F")))))))</f>
        <v/>
      </c>
      <c r="T169" s="3">
        <f>IF(OR(B169="",S169="F"),"",COUNTIFS(P:P,"&gt;"&amp;P169,S:S,"&lt;&gt;F")+1)</f>
        <v/>
      </c>
      <c r="U169">
        <f>IF(B169="","",IF(C169&lt;33.0,0,IF(C169&gt;=100*0.8,5,IF(C169&gt;=100*0.7,4,IF(C169&gt;=100*0.6,3.5,IF(C169&gt;=100*0.5,3,IF(C169&gt;=100*0.4,2,IF(C169&gt;=100*0.33,1,0))))))))</f>
        <v/>
      </c>
      <c r="V169">
        <f>IF(B169="","",IF(D169&lt;33.0,0,IF(D169&gt;=100*0.8,5,IF(D169&gt;=100*0.7,4,IF(D169&gt;=100*0.6,3.5,IF(D169&gt;=100*0.5,3,IF(D169&gt;=100*0.4,2,IF(D169&gt;=100*0.33,1,0))))))))</f>
        <v/>
      </c>
      <c r="W169">
        <f>IF(B169="","",IF(E169&lt;16.5,0,IF(E169&gt;=50*0.8,5,IF(E169&gt;=50*0.7,4,IF(E169&gt;=50*0.6,3.5,IF(E169&gt;=50*0.5,3,IF(E169&gt;=50*0.4,2,IF(E169&gt;=50*0.33,1,0))))))))</f>
        <v/>
      </c>
      <c r="X169">
        <f>IF(B169="","",IF(F169&lt;33.0,0,IF(F169&gt;=100*0.8,5,IF(F169&gt;=100*0.7,4,IF(F169&gt;=100*0.6,3.5,IF(F169&gt;=100*0.5,3,IF(F169&gt;=100*0.4,2,IF(F169&gt;=100*0.33,1,0))))))))</f>
        <v/>
      </c>
      <c r="Y169">
        <f>IF(B169="","",IF(G169&lt;16.5,0,IF(G169&gt;=50*0.8,5,IF(G169&gt;=50*0.7,4,IF(G169&gt;=50*0.6,3.5,IF(G169&gt;=50*0.5,3,IF(G169&gt;=50*0.4,2,IF(G169&gt;=50*0.33,1,0))))))))</f>
        <v/>
      </c>
      <c r="Z169">
        <f>IF(B169="","",IF(H169&lt;33.0,0,IF(H169&gt;=100*0.8,5,IF(H169&gt;=100*0.7,4,IF(H169&gt;=100*0.6,3.5,IF(H169&gt;=100*0.5,3,IF(H169&gt;=100*0.4,2,IF(H169&gt;=100*0.33,1,0))))))))</f>
        <v/>
      </c>
      <c r="AA169">
        <f>IF(B169="","",IF(I169&lt;33.0,0,IF(I169&gt;=100*0.8,5,IF(I169&gt;=100*0.7,4,IF(I169&gt;=100*0.6,3.5,IF(I169&gt;=100*0.5,3,IF(I169&gt;=100*0.4,2,IF(I169&gt;=100*0.33,1,0))))))))</f>
        <v/>
      </c>
      <c r="AB169">
        <f>IF(B169="","",IF(J169&lt;33.0,0,IF(J169&gt;=100*0.8,5,IF(J169&gt;=100*0.7,4,IF(J169&gt;=100*0.6,3.5,IF(J169&gt;=100*0.5,3,IF(J169&gt;=100*0.4,2,IF(J169&gt;=100*0.33,1,0))))))))</f>
        <v/>
      </c>
      <c r="AC169">
        <f>IF(B169="","",IF(K169&lt;33.0,0,IF(K169&gt;=100*0.8,5,IF(K169&gt;=100*0.7,4,IF(K169&gt;=100*0.6,3.5,IF(K169&gt;=100*0.5,3,IF(K169&gt;=100*0.4,2,IF(K169&gt;=100*0.33,1,0))))))))</f>
        <v/>
      </c>
      <c r="AD169">
        <f>IF(B169="","",IF(L169&lt;33.0,0,IF(L169&gt;=100*0.8,5,IF(L169&gt;=100*0.7,4,IF(L169&gt;=100*0.6,3.5,IF(L169&gt;=100*0.5,3,IF(L169&gt;=100*0.4,2,IF(L169&gt;=100*0.33,1,0))))))))</f>
        <v/>
      </c>
      <c r="AE169">
        <f>IF(B169="","",IF(M169&lt;33.0,0,IF(M169&gt;=100*0.8,5,IF(M169&gt;=100*0.7,4,IF(M169&gt;=100*0.6,3.5,IF(M169&gt;=100*0.5,3,IF(M169&gt;=100*0.4,2,IF(M169&gt;=100*0.33,1,0))))))))</f>
        <v/>
      </c>
      <c r="AF169">
        <f>IF(B169="","",IF(N169&lt;16.5,0,IF(N169&gt;=50*0.8,5,IF(N169&gt;=50*0.7,4,IF(N169&gt;=50*0.6,3.5,IF(N169&gt;=50*0.5,3,IF(N169&gt;=50*0.4,2,IF(N169&gt;=50*0.33,1,0))))))))</f>
        <v/>
      </c>
      <c r="AG169">
        <f>IF(B169="","",IF(O169&lt;33.0,0,IF(O169&gt;=100*0.8,5,IF(O169&gt;=100*0.7,4,IF(O169&gt;=100*0.6,3.5,IF(O169&gt;=100*0.5,3,IF(O169&gt;=100*0.4,2,IF(O169&gt;=100*0.33,1,0))))))))</f>
        <v/>
      </c>
      <c r="AH169">
        <f>IF(B169="","",IF(OR(U169=0,V169=0,W169=0,X169=0,Y169=0,Z169=0,AA169=0,AB169=0,AC169=0,AD169=0,AE169=0,AF169=0,AG169=0),1,0))</f>
        <v/>
      </c>
    </row>
    <row r="170">
      <c r="A170" s="3">
        <f>IF(B170="","",ROW()-2)</f>
        <v/>
      </c>
      <c r="P170" s="4">
        <f>IF(B170="","",SUM(C170:O170))</f>
        <v/>
      </c>
      <c r="Q170" s="5">
        <f>IF(B170="","",ROUND(P170/13,2))</f>
        <v/>
      </c>
      <c r="R170" s="5">
        <f>IF(B170="","",IF(AH170=1,0,MIN(5,ROUND((U170+V170+W170+X170+Y170+Z170+AA170+AB170+AC170+AD170+AE170+AF170+AG170)/13,2))))</f>
        <v/>
      </c>
      <c r="S170" s="3">
        <f>IF(B170="","",IF(R170&gt;=5,"A+",IF(R170&gt;=4,"A",IF(R170&gt;=3.5,"A-",IF(R170&gt;=3,"B",IF(R170&gt;=2,"C",IF(R170&gt;=1,"D","F")))))))</f>
        <v/>
      </c>
      <c r="T170" s="3">
        <f>IF(OR(B170="",S170="F"),"",COUNTIFS(P:P,"&gt;"&amp;P170,S:S,"&lt;&gt;F")+1)</f>
        <v/>
      </c>
      <c r="U170">
        <f>IF(B170="","",IF(C170&lt;33.0,0,IF(C170&gt;=100*0.8,5,IF(C170&gt;=100*0.7,4,IF(C170&gt;=100*0.6,3.5,IF(C170&gt;=100*0.5,3,IF(C170&gt;=100*0.4,2,IF(C170&gt;=100*0.33,1,0))))))))</f>
        <v/>
      </c>
      <c r="V170">
        <f>IF(B170="","",IF(D170&lt;33.0,0,IF(D170&gt;=100*0.8,5,IF(D170&gt;=100*0.7,4,IF(D170&gt;=100*0.6,3.5,IF(D170&gt;=100*0.5,3,IF(D170&gt;=100*0.4,2,IF(D170&gt;=100*0.33,1,0))))))))</f>
        <v/>
      </c>
      <c r="W170">
        <f>IF(B170="","",IF(E170&lt;16.5,0,IF(E170&gt;=50*0.8,5,IF(E170&gt;=50*0.7,4,IF(E170&gt;=50*0.6,3.5,IF(E170&gt;=50*0.5,3,IF(E170&gt;=50*0.4,2,IF(E170&gt;=50*0.33,1,0))))))))</f>
        <v/>
      </c>
      <c r="X170">
        <f>IF(B170="","",IF(F170&lt;33.0,0,IF(F170&gt;=100*0.8,5,IF(F170&gt;=100*0.7,4,IF(F170&gt;=100*0.6,3.5,IF(F170&gt;=100*0.5,3,IF(F170&gt;=100*0.4,2,IF(F170&gt;=100*0.33,1,0))))))))</f>
        <v/>
      </c>
      <c r="Y170">
        <f>IF(B170="","",IF(G170&lt;16.5,0,IF(G170&gt;=50*0.8,5,IF(G170&gt;=50*0.7,4,IF(G170&gt;=50*0.6,3.5,IF(G170&gt;=50*0.5,3,IF(G170&gt;=50*0.4,2,IF(G170&gt;=50*0.33,1,0))))))))</f>
        <v/>
      </c>
      <c r="Z170">
        <f>IF(B170="","",IF(H170&lt;33.0,0,IF(H170&gt;=100*0.8,5,IF(H170&gt;=100*0.7,4,IF(H170&gt;=100*0.6,3.5,IF(H170&gt;=100*0.5,3,IF(H170&gt;=100*0.4,2,IF(H170&gt;=100*0.33,1,0))))))))</f>
        <v/>
      </c>
      <c r="AA170">
        <f>IF(B170="","",IF(I170&lt;33.0,0,IF(I170&gt;=100*0.8,5,IF(I170&gt;=100*0.7,4,IF(I170&gt;=100*0.6,3.5,IF(I170&gt;=100*0.5,3,IF(I170&gt;=100*0.4,2,IF(I170&gt;=100*0.33,1,0))))))))</f>
        <v/>
      </c>
      <c r="AB170">
        <f>IF(B170="","",IF(J170&lt;33.0,0,IF(J170&gt;=100*0.8,5,IF(J170&gt;=100*0.7,4,IF(J170&gt;=100*0.6,3.5,IF(J170&gt;=100*0.5,3,IF(J170&gt;=100*0.4,2,IF(J170&gt;=100*0.33,1,0))))))))</f>
        <v/>
      </c>
      <c r="AC170">
        <f>IF(B170="","",IF(K170&lt;33.0,0,IF(K170&gt;=100*0.8,5,IF(K170&gt;=100*0.7,4,IF(K170&gt;=100*0.6,3.5,IF(K170&gt;=100*0.5,3,IF(K170&gt;=100*0.4,2,IF(K170&gt;=100*0.33,1,0))))))))</f>
        <v/>
      </c>
      <c r="AD170">
        <f>IF(B170="","",IF(L170&lt;33.0,0,IF(L170&gt;=100*0.8,5,IF(L170&gt;=100*0.7,4,IF(L170&gt;=100*0.6,3.5,IF(L170&gt;=100*0.5,3,IF(L170&gt;=100*0.4,2,IF(L170&gt;=100*0.33,1,0))))))))</f>
        <v/>
      </c>
      <c r="AE170">
        <f>IF(B170="","",IF(M170&lt;33.0,0,IF(M170&gt;=100*0.8,5,IF(M170&gt;=100*0.7,4,IF(M170&gt;=100*0.6,3.5,IF(M170&gt;=100*0.5,3,IF(M170&gt;=100*0.4,2,IF(M170&gt;=100*0.33,1,0))))))))</f>
        <v/>
      </c>
      <c r="AF170">
        <f>IF(B170="","",IF(N170&lt;16.5,0,IF(N170&gt;=50*0.8,5,IF(N170&gt;=50*0.7,4,IF(N170&gt;=50*0.6,3.5,IF(N170&gt;=50*0.5,3,IF(N170&gt;=50*0.4,2,IF(N170&gt;=50*0.33,1,0))))))))</f>
        <v/>
      </c>
      <c r="AG170">
        <f>IF(B170="","",IF(O170&lt;33.0,0,IF(O170&gt;=100*0.8,5,IF(O170&gt;=100*0.7,4,IF(O170&gt;=100*0.6,3.5,IF(O170&gt;=100*0.5,3,IF(O170&gt;=100*0.4,2,IF(O170&gt;=100*0.33,1,0))))))))</f>
        <v/>
      </c>
      <c r="AH170">
        <f>IF(B170="","",IF(OR(U170=0,V170=0,W170=0,X170=0,Y170=0,Z170=0,AA170=0,AB170=0,AC170=0,AD170=0,AE170=0,AF170=0,AG170=0),1,0))</f>
        <v/>
      </c>
    </row>
    <row r="171">
      <c r="A171" s="3">
        <f>IF(B171="","",ROW()-2)</f>
        <v/>
      </c>
      <c r="P171" s="4">
        <f>IF(B171="","",SUM(C171:O171))</f>
        <v/>
      </c>
      <c r="Q171" s="5">
        <f>IF(B171="","",ROUND(P171/13,2))</f>
        <v/>
      </c>
      <c r="R171" s="5">
        <f>IF(B171="","",IF(AH171=1,0,MIN(5,ROUND((U171+V171+W171+X171+Y171+Z171+AA171+AB171+AC171+AD171+AE171+AF171+AG171)/13,2))))</f>
        <v/>
      </c>
      <c r="S171" s="3">
        <f>IF(B171="","",IF(R171&gt;=5,"A+",IF(R171&gt;=4,"A",IF(R171&gt;=3.5,"A-",IF(R171&gt;=3,"B",IF(R171&gt;=2,"C",IF(R171&gt;=1,"D","F")))))))</f>
        <v/>
      </c>
      <c r="T171" s="3">
        <f>IF(OR(B171="",S171="F"),"",COUNTIFS(P:P,"&gt;"&amp;P171,S:S,"&lt;&gt;F")+1)</f>
        <v/>
      </c>
      <c r="U171">
        <f>IF(B171="","",IF(C171&lt;33.0,0,IF(C171&gt;=100*0.8,5,IF(C171&gt;=100*0.7,4,IF(C171&gt;=100*0.6,3.5,IF(C171&gt;=100*0.5,3,IF(C171&gt;=100*0.4,2,IF(C171&gt;=100*0.33,1,0))))))))</f>
        <v/>
      </c>
      <c r="V171">
        <f>IF(B171="","",IF(D171&lt;33.0,0,IF(D171&gt;=100*0.8,5,IF(D171&gt;=100*0.7,4,IF(D171&gt;=100*0.6,3.5,IF(D171&gt;=100*0.5,3,IF(D171&gt;=100*0.4,2,IF(D171&gt;=100*0.33,1,0))))))))</f>
        <v/>
      </c>
      <c r="W171">
        <f>IF(B171="","",IF(E171&lt;16.5,0,IF(E171&gt;=50*0.8,5,IF(E171&gt;=50*0.7,4,IF(E171&gt;=50*0.6,3.5,IF(E171&gt;=50*0.5,3,IF(E171&gt;=50*0.4,2,IF(E171&gt;=50*0.33,1,0))))))))</f>
        <v/>
      </c>
      <c r="X171">
        <f>IF(B171="","",IF(F171&lt;33.0,0,IF(F171&gt;=100*0.8,5,IF(F171&gt;=100*0.7,4,IF(F171&gt;=100*0.6,3.5,IF(F171&gt;=100*0.5,3,IF(F171&gt;=100*0.4,2,IF(F171&gt;=100*0.33,1,0))))))))</f>
        <v/>
      </c>
      <c r="Y171">
        <f>IF(B171="","",IF(G171&lt;16.5,0,IF(G171&gt;=50*0.8,5,IF(G171&gt;=50*0.7,4,IF(G171&gt;=50*0.6,3.5,IF(G171&gt;=50*0.5,3,IF(G171&gt;=50*0.4,2,IF(G171&gt;=50*0.33,1,0))))))))</f>
        <v/>
      </c>
      <c r="Z171">
        <f>IF(B171="","",IF(H171&lt;33.0,0,IF(H171&gt;=100*0.8,5,IF(H171&gt;=100*0.7,4,IF(H171&gt;=100*0.6,3.5,IF(H171&gt;=100*0.5,3,IF(H171&gt;=100*0.4,2,IF(H171&gt;=100*0.33,1,0))))))))</f>
        <v/>
      </c>
      <c r="AA171">
        <f>IF(B171="","",IF(I171&lt;33.0,0,IF(I171&gt;=100*0.8,5,IF(I171&gt;=100*0.7,4,IF(I171&gt;=100*0.6,3.5,IF(I171&gt;=100*0.5,3,IF(I171&gt;=100*0.4,2,IF(I171&gt;=100*0.33,1,0))))))))</f>
        <v/>
      </c>
      <c r="AB171">
        <f>IF(B171="","",IF(J171&lt;33.0,0,IF(J171&gt;=100*0.8,5,IF(J171&gt;=100*0.7,4,IF(J171&gt;=100*0.6,3.5,IF(J171&gt;=100*0.5,3,IF(J171&gt;=100*0.4,2,IF(J171&gt;=100*0.33,1,0))))))))</f>
        <v/>
      </c>
      <c r="AC171">
        <f>IF(B171="","",IF(K171&lt;33.0,0,IF(K171&gt;=100*0.8,5,IF(K171&gt;=100*0.7,4,IF(K171&gt;=100*0.6,3.5,IF(K171&gt;=100*0.5,3,IF(K171&gt;=100*0.4,2,IF(K171&gt;=100*0.33,1,0))))))))</f>
        <v/>
      </c>
      <c r="AD171">
        <f>IF(B171="","",IF(L171&lt;33.0,0,IF(L171&gt;=100*0.8,5,IF(L171&gt;=100*0.7,4,IF(L171&gt;=100*0.6,3.5,IF(L171&gt;=100*0.5,3,IF(L171&gt;=100*0.4,2,IF(L171&gt;=100*0.33,1,0))))))))</f>
        <v/>
      </c>
      <c r="AE171">
        <f>IF(B171="","",IF(M171&lt;33.0,0,IF(M171&gt;=100*0.8,5,IF(M171&gt;=100*0.7,4,IF(M171&gt;=100*0.6,3.5,IF(M171&gt;=100*0.5,3,IF(M171&gt;=100*0.4,2,IF(M171&gt;=100*0.33,1,0))))))))</f>
        <v/>
      </c>
      <c r="AF171">
        <f>IF(B171="","",IF(N171&lt;16.5,0,IF(N171&gt;=50*0.8,5,IF(N171&gt;=50*0.7,4,IF(N171&gt;=50*0.6,3.5,IF(N171&gt;=50*0.5,3,IF(N171&gt;=50*0.4,2,IF(N171&gt;=50*0.33,1,0))))))))</f>
        <v/>
      </c>
      <c r="AG171">
        <f>IF(B171="","",IF(O171&lt;33.0,0,IF(O171&gt;=100*0.8,5,IF(O171&gt;=100*0.7,4,IF(O171&gt;=100*0.6,3.5,IF(O171&gt;=100*0.5,3,IF(O171&gt;=100*0.4,2,IF(O171&gt;=100*0.33,1,0))))))))</f>
        <v/>
      </c>
      <c r="AH171">
        <f>IF(B171="","",IF(OR(U171=0,V171=0,W171=0,X171=0,Y171=0,Z171=0,AA171=0,AB171=0,AC171=0,AD171=0,AE171=0,AF171=0,AG171=0),1,0))</f>
        <v/>
      </c>
    </row>
    <row r="172">
      <c r="A172" s="3">
        <f>IF(B172="","",ROW()-2)</f>
        <v/>
      </c>
      <c r="P172" s="4">
        <f>IF(B172="","",SUM(C172:O172))</f>
        <v/>
      </c>
      <c r="Q172" s="5">
        <f>IF(B172="","",ROUND(P172/13,2))</f>
        <v/>
      </c>
      <c r="R172" s="5">
        <f>IF(B172="","",IF(AH172=1,0,MIN(5,ROUND((U172+V172+W172+X172+Y172+Z172+AA172+AB172+AC172+AD172+AE172+AF172+AG172)/13,2))))</f>
        <v/>
      </c>
      <c r="S172" s="3">
        <f>IF(B172="","",IF(R172&gt;=5,"A+",IF(R172&gt;=4,"A",IF(R172&gt;=3.5,"A-",IF(R172&gt;=3,"B",IF(R172&gt;=2,"C",IF(R172&gt;=1,"D","F")))))))</f>
        <v/>
      </c>
      <c r="T172" s="3">
        <f>IF(OR(B172="",S172="F"),"",COUNTIFS(P:P,"&gt;"&amp;P172,S:S,"&lt;&gt;F")+1)</f>
        <v/>
      </c>
      <c r="U172">
        <f>IF(B172="","",IF(C172&lt;33.0,0,IF(C172&gt;=100*0.8,5,IF(C172&gt;=100*0.7,4,IF(C172&gt;=100*0.6,3.5,IF(C172&gt;=100*0.5,3,IF(C172&gt;=100*0.4,2,IF(C172&gt;=100*0.33,1,0))))))))</f>
        <v/>
      </c>
      <c r="V172">
        <f>IF(B172="","",IF(D172&lt;33.0,0,IF(D172&gt;=100*0.8,5,IF(D172&gt;=100*0.7,4,IF(D172&gt;=100*0.6,3.5,IF(D172&gt;=100*0.5,3,IF(D172&gt;=100*0.4,2,IF(D172&gt;=100*0.33,1,0))))))))</f>
        <v/>
      </c>
      <c r="W172">
        <f>IF(B172="","",IF(E172&lt;16.5,0,IF(E172&gt;=50*0.8,5,IF(E172&gt;=50*0.7,4,IF(E172&gt;=50*0.6,3.5,IF(E172&gt;=50*0.5,3,IF(E172&gt;=50*0.4,2,IF(E172&gt;=50*0.33,1,0))))))))</f>
        <v/>
      </c>
      <c r="X172">
        <f>IF(B172="","",IF(F172&lt;33.0,0,IF(F172&gt;=100*0.8,5,IF(F172&gt;=100*0.7,4,IF(F172&gt;=100*0.6,3.5,IF(F172&gt;=100*0.5,3,IF(F172&gt;=100*0.4,2,IF(F172&gt;=100*0.33,1,0))))))))</f>
        <v/>
      </c>
      <c r="Y172">
        <f>IF(B172="","",IF(G172&lt;16.5,0,IF(G172&gt;=50*0.8,5,IF(G172&gt;=50*0.7,4,IF(G172&gt;=50*0.6,3.5,IF(G172&gt;=50*0.5,3,IF(G172&gt;=50*0.4,2,IF(G172&gt;=50*0.33,1,0))))))))</f>
        <v/>
      </c>
      <c r="Z172">
        <f>IF(B172="","",IF(H172&lt;33.0,0,IF(H172&gt;=100*0.8,5,IF(H172&gt;=100*0.7,4,IF(H172&gt;=100*0.6,3.5,IF(H172&gt;=100*0.5,3,IF(H172&gt;=100*0.4,2,IF(H172&gt;=100*0.33,1,0))))))))</f>
        <v/>
      </c>
      <c r="AA172">
        <f>IF(B172="","",IF(I172&lt;33.0,0,IF(I172&gt;=100*0.8,5,IF(I172&gt;=100*0.7,4,IF(I172&gt;=100*0.6,3.5,IF(I172&gt;=100*0.5,3,IF(I172&gt;=100*0.4,2,IF(I172&gt;=100*0.33,1,0))))))))</f>
        <v/>
      </c>
      <c r="AB172">
        <f>IF(B172="","",IF(J172&lt;33.0,0,IF(J172&gt;=100*0.8,5,IF(J172&gt;=100*0.7,4,IF(J172&gt;=100*0.6,3.5,IF(J172&gt;=100*0.5,3,IF(J172&gt;=100*0.4,2,IF(J172&gt;=100*0.33,1,0))))))))</f>
        <v/>
      </c>
      <c r="AC172">
        <f>IF(B172="","",IF(K172&lt;33.0,0,IF(K172&gt;=100*0.8,5,IF(K172&gt;=100*0.7,4,IF(K172&gt;=100*0.6,3.5,IF(K172&gt;=100*0.5,3,IF(K172&gt;=100*0.4,2,IF(K172&gt;=100*0.33,1,0))))))))</f>
        <v/>
      </c>
      <c r="AD172">
        <f>IF(B172="","",IF(L172&lt;33.0,0,IF(L172&gt;=100*0.8,5,IF(L172&gt;=100*0.7,4,IF(L172&gt;=100*0.6,3.5,IF(L172&gt;=100*0.5,3,IF(L172&gt;=100*0.4,2,IF(L172&gt;=100*0.33,1,0))))))))</f>
        <v/>
      </c>
      <c r="AE172">
        <f>IF(B172="","",IF(M172&lt;33.0,0,IF(M172&gt;=100*0.8,5,IF(M172&gt;=100*0.7,4,IF(M172&gt;=100*0.6,3.5,IF(M172&gt;=100*0.5,3,IF(M172&gt;=100*0.4,2,IF(M172&gt;=100*0.33,1,0))))))))</f>
        <v/>
      </c>
      <c r="AF172">
        <f>IF(B172="","",IF(N172&lt;16.5,0,IF(N172&gt;=50*0.8,5,IF(N172&gt;=50*0.7,4,IF(N172&gt;=50*0.6,3.5,IF(N172&gt;=50*0.5,3,IF(N172&gt;=50*0.4,2,IF(N172&gt;=50*0.33,1,0))))))))</f>
        <v/>
      </c>
      <c r="AG172">
        <f>IF(B172="","",IF(O172&lt;33.0,0,IF(O172&gt;=100*0.8,5,IF(O172&gt;=100*0.7,4,IF(O172&gt;=100*0.6,3.5,IF(O172&gt;=100*0.5,3,IF(O172&gt;=100*0.4,2,IF(O172&gt;=100*0.33,1,0))))))))</f>
        <v/>
      </c>
      <c r="AH172">
        <f>IF(B172="","",IF(OR(U172=0,V172=0,W172=0,X172=0,Y172=0,Z172=0,AA172=0,AB172=0,AC172=0,AD172=0,AE172=0,AF172=0,AG172=0),1,0))</f>
        <v/>
      </c>
    </row>
    <row r="173">
      <c r="A173" s="3">
        <f>IF(B173="","",ROW()-2)</f>
        <v/>
      </c>
      <c r="P173" s="4">
        <f>IF(B173="","",SUM(C173:O173))</f>
        <v/>
      </c>
      <c r="Q173" s="5">
        <f>IF(B173="","",ROUND(P173/13,2))</f>
        <v/>
      </c>
      <c r="R173" s="5">
        <f>IF(B173="","",IF(AH173=1,0,MIN(5,ROUND((U173+V173+W173+X173+Y173+Z173+AA173+AB173+AC173+AD173+AE173+AF173+AG173)/13,2))))</f>
        <v/>
      </c>
      <c r="S173" s="3">
        <f>IF(B173="","",IF(R173&gt;=5,"A+",IF(R173&gt;=4,"A",IF(R173&gt;=3.5,"A-",IF(R173&gt;=3,"B",IF(R173&gt;=2,"C",IF(R173&gt;=1,"D","F")))))))</f>
        <v/>
      </c>
      <c r="T173" s="3">
        <f>IF(OR(B173="",S173="F"),"",COUNTIFS(P:P,"&gt;"&amp;P173,S:S,"&lt;&gt;F")+1)</f>
        <v/>
      </c>
      <c r="U173">
        <f>IF(B173="","",IF(C173&lt;33.0,0,IF(C173&gt;=100*0.8,5,IF(C173&gt;=100*0.7,4,IF(C173&gt;=100*0.6,3.5,IF(C173&gt;=100*0.5,3,IF(C173&gt;=100*0.4,2,IF(C173&gt;=100*0.33,1,0))))))))</f>
        <v/>
      </c>
      <c r="V173">
        <f>IF(B173="","",IF(D173&lt;33.0,0,IF(D173&gt;=100*0.8,5,IF(D173&gt;=100*0.7,4,IF(D173&gt;=100*0.6,3.5,IF(D173&gt;=100*0.5,3,IF(D173&gt;=100*0.4,2,IF(D173&gt;=100*0.33,1,0))))))))</f>
        <v/>
      </c>
      <c r="W173">
        <f>IF(B173="","",IF(E173&lt;16.5,0,IF(E173&gt;=50*0.8,5,IF(E173&gt;=50*0.7,4,IF(E173&gt;=50*0.6,3.5,IF(E173&gt;=50*0.5,3,IF(E173&gt;=50*0.4,2,IF(E173&gt;=50*0.33,1,0))))))))</f>
        <v/>
      </c>
      <c r="X173">
        <f>IF(B173="","",IF(F173&lt;33.0,0,IF(F173&gt;=100*0.8,5,IF(F173&gt;=100*0.7,4,IF(F173&gt;=100*0.6,3.5,IF(F173&gt;=100*0.5,3,IF(F173&gt;=100*0.4,2,IF(F173&gt;=100*0.33,1,0))))))))</f>
        <v/>
      </c>
      <c r="Y173">
        <f>IF(B173="","",IF(G173&lt;16.5,0,IF(G173&gt;=50*0.8,5,IF(G173&gt;=50*0.7,4,IF(G173&gt;=50*0.6,3.5,IF(G173&gt;=50*0.5,3,IF(G173&gt;=50*0.4,2,IF(G173&gt;=50*0.33,1,0))))))))</f>
        <v/>
      </c>
      <c r="Z173">
        <f>IF(B173="","",IF(H173&lt;33.0,0,IF(H173&gt;=100*0.8,5,IF(H173&gt;=100*0.7,4,IF(H173&gt;=100*0.6,3.5,IF(H173&gt;=100*0.5,3,IF(H173&gt;=100*0.4,2,IF(H173&gt;=100*0.33,1,0))))))))</f>
        <v/>
      </c>
      <c r="AA173">
        <f>IF(B173="","",IF(I173&lt;33.0,0,IF(I173&gt;=100*0.8,5,IF(I173&gt;=100*0.7,4,IF(I173&gt;=100*0.6,3.5,IF(I173&gt;=100*0.5,3,IF(I173&gt;=100*0.4,2,IF(I173&gt;=100*0.33,1,0))))))))</f>
        <v/>
      </c>
      <c r="AB173">
        <f>IF(B173="","",IF(J173&lt;33.0,0,IF(J173&gt;=100*0.8,5,IF(J173&gt;=100*0.7,4,IF(J173&gt;=100*0.6,3.5,IF(J173&gt;=100*0.5,3,IF(J173&gt;=100*0.4,2,IF(J173&gt;=100*0.33,1,0))))))))</f>
        <v/>
      </c>
      <c r="AC173">
        <f>IF(B173="","",IF(K173&lt;33.0,0,IF(K173&gt;=100*0.8,5,IF(K173&gt;=100*0.7,4,IF(K173&gt;=100*0.6,3.5,IF(K173&gt;=100*0.5,3,IF(K173&gt;=100*0.4,2,IF(K173&gt;=100*0.33,1,0))))))))</f>
        <v/>
      </c>
      <c r="AD173">
        <f>IF(B173="","",IF(L173&lt;33.0,0,IF(L173&gt;=100*0.8,5,IF(L173&gt;=100*0.7,4,IF(L173&gt;=100*0.6,3.5,IF(L173&gt;=100*0.5,3,IF(L173&gt;=100*0.4,2,IF(L173&gt;=100*0.33,1,0))))))))</f>
        <v/>
      </c>
      <c r="AE173">
        <f>IF(B173="","",IF(M173&lt;33.0,0,IF(M173&gt;=100*0.8,5,IF(M173&gt;=100*0.7,4,IF(M173&gt;=100*0.6,3.5,IF(M173&gt;=100*0.5,3,IF(M173&gt;=100*0.4,2,IF(M173&gt;=100*0.33,1,0))))))))</f>
        <v/>
      </c>
      <c r="AF173">
        <f>IF(B173="","",IF(N173&lt;16.5,0,IF(N173&gt;=50*0.8,5,IF(N173&gt;=50*0.7,4,IF(N173&gt;=50*0.6,3.5,IF(N173&gt;=50*0.5,3,IF(N173&gt;=50*0.4,2,IF(N173&gt;=50*0.33,1,0))))))))</f>
        <v/>
      </c>
      <c r="AG173">
        <f>IF(B173="","",IF(O173&lt;33.0,0,IF(O173&gt;=100*0.8,5,IF(O173&gt;=100*0.7,4,IF(O173&gt;=100*0.6,3.5,IF(O173&gt;=100*0.5,3,IF(O173&gt;=100*0.4,2,IF(O173&gt;=100*0.33,1,0))))))))</f>
        <v/>
      </c>
      <c r="AH173">
        <f>IF(B173="","",IF(OR(U173=0,V173=0,W173=0,X173=0,Y173=0,Z173=0,AA173=0,AB173=0,AC173=0,AD173=0,AE173=0,AF173=0,AG173=0),1,0))</f>
        <v/>
      </c>
    </row>
    <row r="174">
      <c r="A174" s="3">
        <f>IF(B174="","",ROW()-2)</f>
        <v/>
      </c>
      <c r="P174" s="4">
        <f>IF(B174="","",SUM(C174:O174))</f>
        <v/>
      </c>
      <c r="Q174" s="5">
        <f>IF(B174="","",ROUND(P174/13,2))</f>
        <v/>
      </c>
      <c r="R174" s="5">
        <f>IF(B174="","",IF(AH174=1,0,MIN(5,ROUND((U174+V174+W174+X174+Y174+Z174+AA174+AB174+AC174+AD174+AE174+AF174+AG174)/13,2))))</f>
        <v/>
      </c>
      <c r="S174" s="3">
        <f>IF(B174="","",IF(R174&gt;=5,"A+",IF(R174&gt;=4,"A",IF(R174&gt;=3.5,"A-",IF(R174&gt;=3,"B",IF(R174&gt;=2,"C",IF(R174&gt;=1,"D","F")))))))</f>
        <v/>
      </c>
      <c r="T174" s="3">
        <f>IF(OR(B174="",S174="F"),"",COUNTIFS(P:P,"&gt;"&amp;P174,S:S,"&lt;&gt;F")+1)</f>
        <v/>
      </c>
      <c r="U174">
        <f>IF(B174="","",IF(C174&lt;33.0,0,IF(C174&gt;=100*0.8,5,IF(C174&gt;=100*0.7,4,IF(C174&gt;=100*0.6,3.5,IF(C174&gt;=100*0.5,3,IF(C174&gt;=100*0.4,2,IF(C174&gt;=100*0.33,1,0))))))))</f>
        <v/>
      </c>
      <c r="V174">
        <f>IF(B174="","",IF(D174&lt;33.0,0,IF(D174&gt;=100*0.8,5,IF(D174&gt;=100*0.7,4,IF(D174&gt;=100*0.6,3.5,IF(D174&gt;=100*0.5,3,IF(D174&gt;=100*0.4,2,IF(D174&gt;=100*0.33,1,0))))))))</f>
        <v/>
      </c>
      <c r="W174">
        <f>IF(B174="","",IF(E174&lt;16.5,0,IF(E174&gt;=50*0.8,5,IF(E174&gt;=50*0.7,4,IF(E174&gt;=50*0.6,3.5,IF(E174&gt;=50*0.5,3,IF(E174&gt;=50*0.4,2,IF(E174&gt;=50*0.33,1,0))))))))</f>
        <v/>
      </c>
      <c r="X174">
        <f>IF(B174="","",IF(F174&lt;33.0,0,IF(F174&gt;=100*0.8,5,IF(F174&gt;=100*0.7,4,IF(F174&gt;=100*0.6,3.5,IF(F174&gt;=100*0.5,3,IF(F174&gt;=100*0.4,2,IF(F174&gt;=100*0.33,1,0))))))))</f>
        <v/>
      </c>
      <c r="Y174">
        <f>IF(B174="","",IF(G174&lt;16.5,0,IF(G174&gt;=50*0.8,5,IF(G174&gt;=50*0.7,4,IF(G174&gt;=50*0.6,3.5,IF(G174&gt;=50*0.5,3,IF(G174&gt;=50*0.4,2,IF(G174&gt;=50*0.33,1,0))))))))</f>
        <v/>
      </c>
      <c r="Z174">
        <f>IF(B174="","",IF(H174&lt;33.0,0,IF(H174&gt;=100*0.8,5,IF(H174&gt;=100*0.7,4,IF(H174&gt;=100*0.6,3.5,IF(H174&gt;=100*0.5,3,IF(H174&gt;=100*0.4,2,IF(H174&gt;=100*0.33,1,0))))))))</f>
        <v/>
      </c>
      <c r="AA174">
        <f>IF(B174="","",IF(I174&lt;33.0,0,IF(I174&gt;=100*0.8,5,IF(I174&gt;=100*0.7,4,IF(I174&gt;=100*0.6,3.5,IF(I174&gt;=100*0.5,3,IF(I174&gt;=100*0.4,2,IF(I174&gt;=100*0.33,1,0))))))))</f>
        <v/>
      </c>
      <c r="AB174">
        <f>IF(B174="","",IF(J174&lt;33.0,0,IF(J174&gt;=100*0.8,5,IF(J174&gt;=100*0.7,4,IF(J174&gt;=100*0.6,3.5,IF(J174&gt;=100*0.5,3,IF(J174&gt;=100*0.4,2,IF(J174&gt;=100*0.33,1,0))))))))</f>
        <v/>
      </c>
      <c r="AC174">
        <f>IF(B174="","",IF(K174&lt;33.0,0,IF(K174&gt;=100*0.8,5,IF(K174&gt;=100*0.7,4,IF(K174&gt;=100*0.6,3.5,IF(K174&gt;=100*0.5,3,IF(K174&gt;=100*0.4,2,IF(K174&gt;=100*0.33,1,0))))))))</f>
        <v/>
      </c>
      <c r="AD174">
        <f>IF(B174="","",IF(L174&lt;33.0,0,IF(L174&gt;=100*0.8,5,IF(L174&gt;=100*0.7,4,IF(L174&gt;=100*0.6,3.5,IF(L174&gt;=100*0.5,3,IF(L174&gt;=100*0.4,2,IF(L174&gt;=100*0.33,1,0))))))))</f>
        <v/>
      </c>
      <c r="AE174">
        <f>IF(B174="","",IF(M174&lt;33.0,0,IF(M174&gt;=100*0.8,5,IF(M174&gt;=100*0.7,4,IF(M174&gt;=100*0.6,3.5,IF(M174&gt;=100*0.5,3,IF(M174&gt;=100*0.4,2,IF(M174&gt;=100*0.33,1,0))))))))</f>
        <v/>
      </c>
      <c r="AF174">
        <f>IF(B174="","",IF(N174&lt;16.5,0,IF(N174&gt;=50*0.8,5,IF(N174&gt;=50*0.7,4,IF(N174&gt;=50*0.6,3.5,IF(N174&gt;=50*0.5,3,IF(N174&gt;=50*0.4,2,IF(N174&gt;=50*0.33,1,0))))))))</f>
        <v/>
      </c>
      <c r="AG174">
        <f>IF(B174="","",IF(O174&lt;33.0,0,IF(O174&gt;=100*0.8,5,IF(O174&gt;=100*0.7,4,IF(O174&gt;=100*0.6,3.5,IF(O174&gt;=100*0.5,3,IF(O174&gt;=100*0.4,2,IF(O174&gt;=100*0.33,1,0))))))))</f>
        <v/>
      </c>
      <c r="AH174">
        <f>IF(B174="","",IF(OR(U174=0,V174=0,W174=0,X174=0,Y174=0,Z174=0,AA174=0,AB174=0,AC174=0,AD174=0,AE174=0,AF174=0,AG174=0),1,0))</f>
        <v/>
      </c>
    </row>
    <row r="175">
      <c r="A175" s="3">
        <f>IF(B175="","",ROW()-2)</f>
        <v/>
      </c>
      <c r="P175" s="4">
        <f>IF(B175="","",SUM(C175:O175))</f>
        <v/>
      </c>
      <c r="Q175" s="5">
        <f>IF(B175="","",ROUND(P175/13,2))</f>
        <v/>
      </c>
      <c r="R175" s="5">
        <f>IF(B175="","",IF(AH175=1,0,MIN(5,ROUND((U175+V175+W175+X175+Y175+Z175+AA175+AB175+AC175+AD175+AE175+AF175+AG175)/13,2))))</f>
        <v/>
      </c>
      <c r="S175" s="3">
        <f>IF(B175="","",IF(R175&gt;=5,"A+",IF(R175&gt;=4,"A",IF(R175&gt;=3.5,"A-",IF(R175&gt;=3,"B",IF(R175&gt;=2,"C",IF(R175&gt;=1,"D","F")))))))</f>
        <v/>
      </c>
      <c r="T175" s="3">
        <f>IF(OR(B175="",S175="F"),"",COUNTIFS(P:P,"&gt;"&amp;P175,S:S,"&lt;&gt;F")+1)</f>
        <v/>
      </c>
      <c r="U175">
        <f>IF(B175="","",IF(C175&lt;33.0,0,IF(C175&gt;=100*0.8,5,IF(C175&gt;=100*0.7,4,IF(C175&gt;=100*0.6,3.5,IF(C175&gt;=100*0.5,3,IF(C175&gt;=100*0.4,2,IF(C175&gt;=100*0.33,1,0))))))))</f>
        <v/>
      </c>
      <c r="V175">
        <f>IF(B175="","",IF(D175&lt;33.0,0,IF(D175&gt;=100*0.8,5,IF(D175&gt;=100*0.7,4,IF(D175&gt;=100*0.6,3.5,IF(D175&gt;=100*0.5,3,IF(D175&gt;=100*0.4,2,IF(D175&gt;=100*0.33,1,0))))))))</f>
        <v/>
      </c>
      <c r="W175">
        <f>IF(B175="","",IF(E175&lt;16.5,0,IF(E175&gt;=50*0.8,5,IF(E175&gt;=50*0.7,4,IF(E175&gt;=50*0.6,3.5,IF(E175&gt;=50*0.5,3,IF(E175&gt;=50*0.4,2,IF(E175&gt;=50*0.33,1,0))))))))</f>
        <v/>
      </c>
      <c r="X175">
        <f>IF(B175="","",IF(F175&lt;33.0,0,IF(F175&gt;=100*0.8,5,IF(F175&gt;=100*0.7,4,IF(F175&gt;=100*0.6,3.5,IF(F175&gt;=100*0.5,3,IF(F175&gt;=100*0.4,2,IF(F175&gt;=100*0.33,1,0))))))))</f>
        <v/>
      </c>
      <c r="Y175">
        <f>IF(B175="","",IF(G175&lt;16.5,0,IF(G175&gt;=50*0.8,5,IF(G175&gt;=50*0.7,4,IF(G175&gt;=50*0.6,3.5,IF(G175&gt;=50*0.5,3,IF(G175&gt;=50*0.4,2,IF(G175&gt;=50*0.33,1,0))))))))</f>
        <v/>
      </c>
      <c r="Z175">
        <f>IF(B175="","",IF(H175&lt;33.0,0,IF(H175&gt;=100*0.8,5,IF(H175&gt;=100*0.7,4,IF(H175&gt;=100*0.6,3.5,IF(H175&gt;=100*0.5,3,IF(H175&gt;=100*0.4,2,IF(H175&gt;=100*0.33,1,0))))))))</f>
        <v/>
      </c>
      <c r="AA175">
        <f>IF(B175="","",IF(I175&lt;33.0,0,IF(I175&gt;=100*0.8,5,IF(I175&gt;=100*0.7,4,IF(I175&gt;=100*0.6,3.5,IF(I175&gt;=100*0.5,3,IF(I175&gt;=100*0.4,2,IF(I175&gt;=100*0.33,1,0))))))))</f>
        <v/>
      </c>
      <c r="AB175">
        <f>IF(B175="","",IF(J175&lt;33.0,0,IF(J175&gt;=100*0.8,5,IF(J175&gt;=100*0.7,4,IF(J175&gt;=100*0.6,3.5,IF(J175&gt;=100*0.5,3,IF(J175&gt;=100*0.4,2,IF(J175&gt;=100*0.33,1,0))))))))</f>
        <v/>
      </c>
      <c r="AC175">
        <f>IF(B175="","",IF(K175&lt;33.0,0,IF(K175&gt;=100*0.8,5,IF(K175&gt;=100*0.7,4,IF(K175&gt;=100*0.6,3.5,IF(K175&gt;=100*0.5,3,IF(K175&gt;=100*0.4,2,IF(K175&gt;=100*0.33,1,0))))))))</f>
        <v/>
      </c>
      <c r="AD175">
        <f>IF(B175="","",IF(L175&lt;33.0,0,IF(L175&gt;=100*0.8,5,IF(L175&gt;=100*0.7,4,IF(L175&gt;=100*0.6,3.5,IF(L175&gt;=100*0.5,3,IF(L175&gt;=100*0.4,2,IF(L175&gt;=100*0.33,1,0))))))))</f>
        <v/>
      </c>
      <c r="AE175">
        <f>IF(B175="","",IF(M175&lt;33.0,0,IF(M175&gt;=100*0.8,5,IF(M175&gt;=100*0.7,4,IF(M175&gt;=100*0.6,3.5,IF(M175&gt;=100*0.5,3,IF(M175&gt;=100*0.4,2,IF(M175&gt;=100*0.33,1,0))))))))</f>
        <v/>
      </c>
      <c r="AF175">
        <f>IF(B175="","",IF(N175&lt;16.5,0,IF(N175&gt;=50*0.8,5,IF(N175&gt;=50*0.7,4,IF(N175&gt;=50*0.6,3.5,IF(N175&gt;=50*0.5,3,IF(N175&gt;=50*0.4,2,IF(N175&gt;=50*0.33,1,0))))))))</f>
        <v/>
      </c>
      <c r="AG175">
        <f>IF(B175="","",IF(O175&lt;33.0,0,IF(O175&gt;=100*0.8,5,IF(O175&gt;=100*0.7,4,IF(O175&gt;=100*0.6,3.5,IF(O175&gt;=100*0.5,3,IF(O175&gt;=100*0.4,2,IF(O175&gt;=100*0.33,1,0))))))))</f>
        <v/>
      </c>
      <c r="AH175">
        <f>IF(B175="","",IF(OR(U175=0,V175=0,W175=0,X175=0,Y175=0,Z175=0,AA175=0,AB175=0,AC175=0,AD175=0,AE175=0,AF175=0,AG175=0),1,0))</f>
        <v/>
      </c>
    </row>
    <row r="176">
      <c r="A176" s="3">
        <f>IF(B176="","",ROW()-2)</f>
        <v/>
      </c>
      <c r="P176" s="4">
        <f>IF(B176="","",SUM(C176:O176))</f>
        <v/>
      </c>
      <c r="Q176" s="5">
        <f>IF(B176="","",ROUND(P176/13,2))</f>
        <v/>
      </c>
      <c r="R176" s="5">
        <f>IF(B176="","",IF(AH176=1,0,MIN(5,ROUND((U176+V176+W176+X176+Y176+Z176+AA176+AB176+AC176+AD176+AE176+AF176+AG176)/13,2))))</f>
        <v/>
      </c>
      <c r="S176" s="3">
        <f>IF(B176="","",IF(R176&gt;=5,"A+",IF(R176&gt;=4,"A",IF(R176&gt;=3.5,"A-",IF(R176&gt;=3,"B",IF(R176&gt;=2,"C",IF(R176&gt;=1,"D","F")))))))</f>
        <v/>
      </c>
      <c r="T176" s="3">
        <f>IF(OR(B176="",S176="F"),"",COUNTIFS(P:P,"&gt;"&amp;P176,S:S,"&lt;&gt;F")+1)</f>
        <v/>
      </c>
      <c r="U176">
        <f>IF(B176="","",IF(C176&lt;33.0,0,IF(C176&gt;=100*0.8,5,IF(C176&gt;=100*0.7,4,IF(C176&gt;=100*0.6,3.5,IF(C176&gt;=100*0.5,3,IF(C176&gt;=100*0.4,2,IF(C176&gt;=100*0.33,1,0))))))))</f>
        <v/>
      </c>
      <c r="V176">
        <f>IF(B176="","",IF(D176&lt;33.0,0,IF(D176&gt;=100*0.8,5,IF(D176&gt;=100*0.7,4,IF(D176&gt;=100*0.6,3.5,IF(D176&gt;=100*0.5,3,IF(D176&gt;=100*0.4,2,IF(D176&gt;=100*0.33,1,0))))))))</f>
        <v/>
      </c>
      <c r="W176">
        <f>IF(B176="","",IF(E176&lt;16.5,0,IF(E176&gt;=50*0.8,5,IF(E176&gt;=50*0.7,4,IF(E176&gt;=50*0.6,3.5,IF(E176&gt;=50*0.5,3,IF(E176&gt;=50*0.4,2,IF(E176&gt;=50*0.33,1,0))))))))</f>
        <v/>
      </c>
      <c r="X176">
        <f>IF(B176="","",IF(F176&lt;33.0,0,IF(F176&gt;=100*0.8,5,IF(F176&gt;=100*0.7,4,IF(F176&gt;=100*0.6,3.5,IF(F176&gt;=100*0.5,3,IF(F176&gt;=100*0.4,2,IF(F176&gt;=100*0.33,1,0))))))))</f>
        <v/>
      </c>
      <c r="Y176">
        <f>IF(B176="","",IF(G176&lt;16.5,0,IF(G176&gt;=50*0.8,5,IF(G176&gt;=50*0.7,4,IF(G176&gt;=50*0.6,3.5,IF(G176&gt;=50*0.5,3,IF(G176&gt;=50*0.4,2,IF(G176&gt;=50*0.33,1,0))))))))</f>
        <v/>
      </c>
      <c r="Z176">
        <f>IF(B176="","",IF(H176&lt;33.0,0,IF(H176&gt;=100*0.8,5,IF(H176&gt;=100*0.7,4,IF(H176&gt;=100*0.6,3.5,IF(H176&gt;=100*0.5,3,IF(H176&gt;=100*0.4,2,IF(H176&gt;=100*0.33,1,0))))))))</f>
        <v/>
      </c>
      <c r="AA176">
        <f>IF(B176="","",IF(I176&lt;33.0,0,IF(I176&gt;=100*0.8,5,IF(I176&gt;=100*0.7,4,IF(I176&gt;=100*0.6,3.5,IF(I176&gt;=100*0.5,3,IF(I176&gt;=100*0.4,2,IF(I176&gt;=100*0.33,1,0))))))))</f>
        <v/>
      </c>
      <c r="AB176">
        <f>IF(B176="","",IF(J176&lt;33.0,0,IF(J176&gt;=100*0.8,5,IF(J176&gt;=100*0.7,4,IF(J176&gt;=100*0.6,3.5,IF(J176&gt;=100*0.5,3,IF(J176&gt;=100*0.4,2,IF(J176&gt;=100*0.33,1,0))))))))</f>
        <v/>
      </c>
      <c r="AC176">
        <f>IF(B176="","",IF(K176&lt;33.0,0,IF(K176&gt;=100*0.8,5,IF(K176&gt;=100*0.7,4,IF(K176&gt;=100*0.6,3.5,IF(K176&gt;=100*0.5,3,IF(K176&gt;=100*0.4,2,IF(K176&gt;=100*0.33,1,0))))))))</f>
        <v/>
      </c>
      <c r="AD176">
        <f>IF(B176="","",IF(L176&lt;33.0,0,IF(L176&gt;=100*0.8,5,IF(L176&gt;=100*0.7,4,IF(L176&gt;=100*0.6,3.5,IF(L176&gt;=100*0.5,3,IF(L176&gt;=100*0.4,2,IF(L176&gt;=100*0.33,1,0))))))))</f>
        <v/>
      </c>
      <c r="AE176">
        <f>IF(B176="","",IF(M176&lt;33.0,0,IF(M176&gt;=100*0.8,5,IF(M176&gt;=100*0.7,4,IF(M176&gt;=100*0.6,3.5,IF(M176&gt;=100*0.5,3,IF(M176&gt;=100*0.4,2,IF(M176&gt;=100*0.33,1,0))))))))</f>
        <v/>
      </c>
      <c r="AF176">
        <f>IF(B176="","",IF(N176&lt;16.5,0,IF(N176&gt;=50*0.8,5,IF(N176&gt;=50*0.7,4,IF(N176&gt;=50*0.6,3.5,IF(N176&gt;=50*0.5,3,IF(N176&gt;=50*0.4,2,IF(N176&gt;=50*0.33,1,0))))))))</f>
        <v/>
      </c>
      <c r="AG176">
        <f>IF(B176="","",IF(O176&lt;33.0,0,IF(O176&gt;=100*0.8,5,IF(O176&gt;=100*0.7,4,IF(O176&gt;=100*0.6,3.5,IF(O176&gt;=100*0.5,3,IF(O176&gt;=100*0.4,2,IF(O176&gt;=100*0.33,1,0))))))))</f>
        <v/>
      </c>
      <c r="AH176">
        <f>IF(B176="","",IF(OR(U176=0,V176=0,W176=0,X176=0,Y176=0,Z176=0,AA176=0,AB176=0,AC176=0,AD176=0,AE176=0,AF176=0,AG176=0),1,0))</f>
        <v/>
      </c>
    </row>
    <row r="177">
      <c r="A177" s="3">
        <f>IF(B177="","",ROW()-2)</f>
        <v/>
      </c>
      <c r="P177" s="4">
        <f>IF(B177="","",SUM(C177:O177))</f>
        <v/>
      </c>
      <c r="Q177" s="5">
        <f>IF(B177="","",ROUND(P177/13,2))</f>
        <v/>
      </c>
      <c r="R177" s="5">
        <f>IF(B177="","",IF(AH177=1,0,MIN(5,ROUND((U177+V177+W177+X177+Y177+Z177+AA177+AB177+AC177+AD177+AE177+AF177+AG177)/13,2))))</f>
        <v/>
      </c>
      <c r="S177" s="3">
        <f>IF(B177="","",IF(R177&gt;=5,"A+",IF(R177&gt;=4,"A",IF(R177&gt;=3.5,"A-",IF(R177&gt;=3,"B",IF(R177&gt;=2,"C",IF(R177&gt;=1,"D","F")))))))</f>
        <v/>
      </c>
      <c r="T177" s="3">
        <f>IF(OR(B177="",S177="F"),"",COUNTIFS(P:P,"&gt;"&amp;P177,S:S,"&lt;&gt;F")+1)</f>
        <v/>
      </c>
      <c r="U177">
        <f>IF(B177="","",IF(C177&lt;33.0,0,IF(C177&gt;=100*0.8,5,IF(C177&gt;=100*0.7,4,IF(C177&gt;=100*0.6,3.5,IF(C177&gt;=100*0.5,3,IF(C177&gt;=100*0.4,2,IF(C177&gt;=100*0.33,1,0))))))))</f>
        <v/>
      </c>
      <c r="V177">
        <f>IF(B177="","",IF(D177&lt;33.0,0,IF(D177&gt;=100*0.8,5,IF(D177&gt;=100*0.7,4,IF(D177&gt;=100*0.6,3.5,IF(D177&gt;=100*0.5,3,IF(D177&gt;=100*0.4,2,IF(D177&gt;=100*0.33,1,0))))))))</f>
        <v/>
      </c>
      <c r="W177">
        <f>IF(B177="","",IF(E177&lt;16.5,0,IF(E177&gt;=50*0.8,5,IF(E177&gt;=50*0.7,4,IF(E177&gt;=50*0.6,3.5,IF(E177&gt;=50*0.5,3,IF(E177&gt;=50*0.4,2,IF(E177&gt;=50*0.33,1,0))))))))</f>
        <v/>
      </c>
      <c r="X177">
        <f>IF(B177="","",IF(F177&lt;33.0,0,IF(F177&gt;=100*0.8,5,IF(F177&gt;=100*0.7,4,IF(F177&gt;=100*0.6,3.5,IF(F177&gt;=100*0.5,3,IF(F177&gt;=100*0.4,2,IF(F177&gt;=100*0.33,1,0))))))))</f>
        <v/>
      </c>
      <c r="Y177">
        <f>IF(B177="","",IF(G177&lt;16.5,0,IF(G177&gt;=50*0.8,5,IF(G177&gt;=50*0.7,4,IF(G177&gt;=50*0.6,3.5,IF(G177&gt;=50*0.5,3,IF(G177&gt;=50*0.4,2,IF(G177&gt;=50*0.33,1,0))))))))</f>
        <v/>
      </c>
      <c r="Z177">
        <f>IF(B177="","",IF(H177&lt;33.0,0,IF(H177&gt;=100*0.8,5,IF(H177&gt;=100*0.7,4,IF(H177&gt;=100*0.6,3.5,IF(H177&gt;=100*0.5,3,IF(H177&gt;=100*0.4,2,IF(H177&gt;=100*0.33,1,0))))))))</f>
        <v/>
      </c>
      <c r="AA177">
        <f>IF(B177="","",IF(I177&lt;33.0,0,IF(I177&gt;=100*0.8,5,IF(I177&gt;=100*0.7,4,IF(I177&gt;=100*0.6,3.5,IF(I177&gt;=100*0.5,3,IF(I177&gt;=100*0.4,2,IF(I177&gt;=100*0.33,1,0))))))))</f>
        <v/>
      </c>
      <c r="AB177">
        <f>IF(B177="","",IF(J177&lt;33.0,0,IF(J177&gt;=100*0.8,5,IF(J177&gt;=100*0.7,4,IF(J177&gt;=100*0.6,3.5,IF(J177&gt;=100*0.5,3,IF(J177&gt;=100*0.4,2,IF(J177&gt;=100*0.33,1,0))))))))</f>
        <v/>
      </c>
      <c r="AC177">
        <f>IF(B177="","",IF(K177&lt;33.0,0,IF(K177&gt;=100*0.8,5,IF(K177&gt;=100*0.7,4,IF(K177&gt;=100*0.6,3.5,IF(K177&gt;=100*0.5,3,IF(K177&gt;=100*0.4,2,IF(K177&gt;=100*0.33,1,0))))))))</f>
        <v/>
      </c>
      <c r="AD177">
        <f>IF(B177="","",IF(L177&lt;33.0,0,IF(L177&gt;=100*0.8,5,IF(L177&gt;=100*0.7,4,IF(L177&gt;=100*0.6,3.5,IF(L177&gt;=100*0.5,3,IF(L177&gt;=100*0.4,2,IF(L177&gt;=100*0.33,1,0))))))))</f>
        <v/>
      </c>
      <c r="AE177">
        <f>IF(B177="","",IF(M177&lt;33.0,0,IF(M177&gt;=100*0.8,5,IF(M177&gt;=100*0.7,4,IF(M177&gt;=100*0.6,3.5,IF(M177&gt;=100*0.5,3,IF(M177&gt;=100*0.4,2,IF(M177&gt;=100*0.33,1,0))))))))</f>
        <v/>
      </c>
      <c r="AF177">
        <f>IF(B177="","",IF(N177&lt;16.5,0,IF(N177&gt;=50*0.8,5,IF(N177&gt;=50*0.7,4,IF(N177&gt;=50*0.6,3.5,IF(N177&gt;=50*0.5,3,IF(N177&gt;=50*0.4,2,IF(N177&gt;=50*0.33,1,0))))))))</f>
        <v/>
      </c>
      <c r="AG177">
        <f>IF(B177="","",IF(O177&lt;33.0,0,IF(O177&gt;=100*0.8,5,IF(O177&gt;=100*0.7,4,IF(O177&gt;=100*0.6,3.5,IF(O177&gt;=100*0.5,3,IF(O177&gt;=100*0.4,2,IF(O177&gt;=100*0.33,1,0))))))))</f>
        <v/>
      </c>
      <c r="AH177">
        <f>IF(B177="","",IF(OR(U177=0,V177=0,W177=0,X177=0,Y177=0,Z177=0,AA177=0,AB177=0,AC177=0,AD177=0,AE177=0,AF177=0,AG177=0),1,0))</f>
        <v/>
      </c>
    </row>
    <row r="178">
      <c r="A178" s="3">
        <f>IF(B178="","",ROW()-2)</f>
        <v/>
      </c>
      <c r="P178" s="4">
        <f>IF(B178="","",SUM(C178:O178))</f>
        <v/>
      </c>
      <c r="Q178" s="5">
        <f>IF(B178="","",ROUND(P178/13,2))</f>
        <v/>
      </c>
      <c r="R178" s="5">
        <f>IF(B178="","",IF(AH178=1,0,MIN(5,ROUND((U178+V178+W178+X178+Y178+Z178+AA178+AB178+AC178+AD178+AE178+AF178+AG178)/13,2))))</f>
        <v/>
      </c>
      <c r="S178" s="3">
        <f>IF(B178="","",IF(R178&gt;=5,"A+",IF(R178&gt;=4,"A",IF(R178&gt;=3.5,"A-",IF(R178&gt;=3,"B",IF(R178&gt;=2,"C",IF(R178&gt;=1,"D","F")))))))</f>
        <v/>
      </c>
      <c r="T178" s="3">
        <f>IF(OR(B178="",S178="F"),"",COUNTIFS(P:P,"&gt;"&amp;P178,S:S,"&lt;&gt;F")+1)</f>
        <v/>
      </c>
      <c r="U178">
        <f>IF(B178="","",IF(C178&lt;33.0,0,IF(C178&gt;=100*0.8,5,IF(C178&gt;=100*0.7,4,IF(C178&gt;=100*0.6,3.5,IF(C178&gt;=100*0.5,3,IF(C178&gt;=100*0.4,2,IF(C178&gt;=100*0.33,1,0))))))))</f>
        <v/>
      </c>
      <c r="V178">
        <f>IF(B178="","",IF(D178&lt;33.0,0,IF(D178&gt;=100*0.8,5,IF(D178&gt;=100*0.7,4,IF(D178&gt;=100*0.6,3.5,IF(D178&gt;=100*0.5,3,IF(D178&gt;=100*0.4,2,IF(D178&gt;=100*0.33,1,0))))))))</f>
        <v/>
      </c>
      <c r="W178">
        <f>IF(B178="","",IF(E178&lt;16.5,0,IF(E178&gt;=50*0.8,5,IF(E178&gt;=50*0.7,4,IF(E178&gt;=50*0.6,3.5,IF(E178&gt;=50*0.5,3,IF(E178&gt;=50*0.4,2,IF(E178&gt;=50*0.33,1,0))))))))</f>
        <v/>
      </c>
      <c r="X178">
        <f>IF(B178="","",IF(F178&lt;33.0,0,IF(F178&gt;=100*0.8,5,IF(F178&gt;=100*0.7,4,IF(F178&gt;=100*0.6,3.5,IF(F178&gt;=100*0.5,3,IF(F178&gt;=100*0.4,2,IF(F178&gt;=100*0.33,1,0))))))))</f>
        <v/>
      </c>
      <c r="Y178">
        <f>IF(B178="","",IF(G178&lt;16.5,0,IF(G178&gt;=50*0.8,5,IF(G178&gt;=50*0.7,4,IF(G178&gt;=50*0.6,3.5,IF(G178&gt;=50*0.5,3,IF(G178&gt;=50*0.4,2,IF(G178&gt;=50*0.33,1,0))))))))</f>
        <v/>
      </c>
      <c r="Z178">
        <f>IF(B178="","",IF(H178&lt;33.0,0,IF(H178&gt;=100*0.8,5,IF(H178&gt;=100*0.7,4,IF(H178&gt;=100*0.6,3.5,IF(H178&gt;=100*0.5,3,IF(H178&gt;=100*0.4,2,IF(H178&gt;=100*0.33,1,0))))))))</f>
        <v/>
      </c>
      <c r="AA178">
        <f>IF(B178="","",IF(I178&lt;33.0,0,IF(I178&gt;=100*0.8,5,IF(I178&gt;=100*0.7,4,IF(I178&gt;=100*0.6,3.5,IF(I178&gt;=100*0.5,3,IF(I178&gt;=100*0.4,2,IF(I178&gt;=100*0.33,1,0))))))))</f>
        <v/>
      </c>
      <c r="AB178">
        <f>IF(B178="","",IF(J178&lt;33.0,0,IF(J178&gt;=100*0.8,5,IF(J178&gt;=100*0.7,4,IF(J178&gt;=100*0.6,3.5,IF(J178&gt;=100*0.5,3,IF(J178&gt;=100*0.4,2,IF(J178&gt;=100*0.33,1,0))))))))</f>
        <v/>
      </c>
      <c r="AC178">
        <f>IF(B178="","",IF(K178&lt;33.0,0,IF(K178&gt;=100*0.8,5,IF(K178&gt;=100*0.7,4,IF(K178&gt;=100*0.6,3.5,IF(K178&gt;=100*0.5,3,IF(K178&gt;=100*0.4,2,IF(K178&gt;=100*0.33,1,0))))))))</f>
        <v/>
      </c>
      <c r="AD178">
        <f>IF(B178="","",IF(L178&lt;33.0,0,IF(L178&gt;=100*0.8,5,IF(L178&gt;=100*0.7,4,IF(L178&gt;=100*0.6,3.5,IF(L178&gt;=100*0.5,3,IF(L178&gt;=100*0.4,2,IF(L178&gt;=100*0.33,1,0))))))))</f>
        <v/>
      </c>
      <c r="AE178">
        <f>IF(B178="","",IF(M178&lt;33.0,0,IF(M178&gt;=100*0.8,5,IF(M178&gt;=100*0.7,4,IF(M178&gt;=100*0.6,3.5,IF(M178&gt;=100*0.5,3,IF(M178&gt;=100*0.4,2,IF(M178&gt;=100*0.33,1,0))))))))</f>
        <v/>
      </c>
      <c r="AF178">
        <f>IF(B178="","",IF(N178&lt;16.5,0,IF(N178&gt;=50*0.8,5,IF(N178&gt;=50*0.7,4,IF(N178&gt;=50*0.6,3.5,IF(N178&gt;=50*0.5,3,IF(N178&gt;=50*0.4,2,IF(N178&gt;=50*0.33,1,0))))))))</f>
        <v/>
      </c>
      <c r="AG178">
        <f>IF(B178="","",IF(O178&lt;33.0,0,IF(O178&gt;=100*0.8,5,IF(O178&gt;=100*0.7,4,IF(O178&gt;=100*0.6,3.5,IF(O178&gt;=100*0.5,3,IF(O178&gt;=100*0.4,2,IF(O178&gt;=100*0.33,1,0))))))))</f>
        <v/>
      </c>
      <c r="AH178">
        <f>IF(B178="","",IF(OR(U178=0,V178=0,W178=0,X178=0,Y178=0,Z178=0,AA178=0,AB178=0,AC178=0,AD178=0,AE178=0,AF178=0,AG178=0),1,0))</f>
        <v/>
      </c>
    </row>
    <row r="179">
      <c r="A179" s="3">
        <f>IF(B179="","",ROW()-2)</f>
        <v/>
      </c>
      <c r="P179" s="4">
        <f>IF(B179="","",SUM(C179:O179))</f>
        <v/>
      </c>
      <c r="Q179" s="5">
        <f>IF(B179="","",ROUND(P179/13,2))</f>
        <v/>
      </c>
      <c r="R179" s="5">
        <f>IF(B179="","",IF(AH179=1,0,MIN(5,ROUND((U179+V179+W179+X179+Y179+Z179+AA179+AB179+AC179+AD179+AE179+AF179+AG179)/13,2))))</f>
        <v/>
      </c>
      <c r="S179" s="3">
        <f>IF(B179="","",IF(R179&gt;=5,"A+",IF(R179&gt;=4,"A",IF(R179&gt;=3.5,"A-",IF(R179&gt;=3,"B",IF(R179&gt;=2,"C",IF(R179&gt;=1,"D","F")))))))</f>
        <v/>
      </c>
      <c r="T179" s="3">
        <f>IF(OR(B179="",S179="F"),"",COUNTIFS(P:P,"&gt;"&amp;P179,S:S,"&lt;&gt;F")+1)</f>
        <v/>
      </c>
      <c r="U179">
        <f>IF(B179="","",IF(C179&lt;33.0,0,IF(C179&gt;=100*0.8,5,IF(C179&gt;=100*0.7,4,IF(C179&gt;=100*0.6,3.5,IF(C179&gt;=100*0.5,3,IF(C179&gt;=100*0.4,2,IF(C179&gt;=100*0.33,1,0))))))))</f>
        <v/>
      </c>
      <c r="V179">
        <f>IF(B179="","",IF(D179&lt;33.0,0,IF(D179&gt;=100*0.8,5,IF(D179&gt;=100*0.7,4,IF(D179&gt;=100*0.6,3.5,IF(D179&gt;=100*0.5,3,IF(D179&gt;=100*0.4,2,IF(D179&gt;=100*0.33,1,0))))))))</f>
        <v/>
      </c>
      <c r="W179">
        <f>IF(B179="","",IF(E179&lt;16.5,0,IF(E179&gt;=50*0.8,5,IF(E179&gt;=50*0.7,4,IF(E179&gt;=50*0.6,3.5,IF(E179&gt;=50*0.5,3,IF(E179&gt;=50*0.4,2,IF(E179&gt;=50*0.33,1,0))))))))</f>
        <v/>
      </c>
      <c r="X179">
        <f>IF(B179="","",IF(F179&lt;33.0,0,IF(F179&gt;=100*0.8,5,IF(F179&gt;=100*0.7,4,IF(F179&gt;=100*0.6,3.5,IF(F179&gt;=100*0.5,3,IF(F179&gt;=100*0.4,2,IF(F179&gt;=100*0.33,1,0))))))))</f>
        <v/>
      </c>
      <c r="Y179">
        <f>IF(B179="","",IF(G179&lt;16.5,0,IF(G179&gt;=50*0.8,5,IF(G179&gt;=50*0.7,4,IF(G179&gt;=50*0.6,3.5,IF(G179&gt;=50*0.5,3,IF(G179&gt;=50*0.4,2,IF(G179&gt;=50*0.33,1,0))))))))</f>
        <v/>
      </c>
      <c r="Z179">
        <f>IF(B179="","",IF(H179&lt;33.0,0,IF(H179&gt;=100*0.8,5,IF(H179&gt;=100*0.7,4,IF(H179&gt;=100*0.6,3.5,IF(H179&gt;=100*0.5,3,IF(H179&gt;=100*0.4,2,IF(H179&gt;=100*0.33,1,0))))))))</f>
        <v/>
      </c>
      <c r="AA179">
        <f>IF(B179="","",IF(I179&lt;33.0,0,IF(I179&gt;=100*0.8,5,IF(I179&gt;=100*0.7,4,IF(I179&gt;=100*0.6,3.5,IF(I179&gt;=100*0.5,3,IF(I179&gt;=100*0.4,2,IF(I179&gt;=100*0.33,1,0))))))))</f>
        <v/>
      </c>
      <c r="AB179">
        <f>IF(B179="","",IF(J179&lt;33.0,0,IF(J179&gt;=100*0.8,5,IF(J179&gt;=100*0.7,4,IF(J179&gt;=100*0.6,3.5,IF(J179&gt;=100*0.5,3,IF(J179&gt;=100*0.4,2,IF(J179&gt;=100*0.33,1,0))))))))</f>
        <v/>
      </c>
      <c r="AC179">
        <f>IF(B179="","",IF(K179&lt;33.0,0,IF(K179&gt;=100*0.8,5,IF(K179&gt;=100*0.7,4,IF(K179&gt;=100*0.6,3.5,IF(K179&gt;=100*0.5,3,IF(K179&gt;=100*0.4,2,IF(K179&gt;=100*0.33,1,0))))))))</f>
        <v/>
      </c>
      <c r="AD179">
        <f>IF(B179="","",IF(L179&lt;33.0,0,IF(L179&gt;=100*0.8,5,IF(L179&gt;=100*0.7,4,IF(L179&gt;=100*0.6,3.5,IF(L179&gt;=100*0.5,3,IF(L179&gt;=100*0.4,2,IF(L179&gt;=100*0.33,1,0))))))))</f>
        <v/>
      </c>
      <c r="AE179">
        <f>IF(B179="","",IF(M179&lt;33.0,0,IF(M179&gt;=100*0.8,5,IF(M179&gt;=100*0.7,4,IF(M179&gt;=100*0.6,3.5,IF(M179&gt;=100*0.5,3,IF(M179&gt;=100*0.4,2,IF(M179&gt;=100*0.33,1,0))))))))</f>
        <v/>
      </c>
      <c r="AF179">
        <f>IF(B179="","",IF(N179&lt;16.5,0,IF(N179&gt;=50*0.8,5,IF(N179&gt;=50*0.7,4,IF(N179&gt;=50*0.6,3.5,IF(N179&gt;=50*0.5,3,IF(N179&gt;=50*0.4,2,IF(N179&gt;=50*0.33,1,0))))))))</f>
        <v/>
      </c>
      <c r="AG179">
        <f>IF(B179="","",IF(O179&lt;33.0,0,IF(O179&gt;=100*0.8,5,IF(O179&gt;=100*0.7,4,IF(O179&gt;=100*0.6,3.5,IF(O179&gt;=100*0.5,3,IF(O179&gt;=100*0.4,2,IF(O179&gt;=100*0.33,1,0))))))))</f>
        <v/>
      </c>
      <c r="AH179">
        <f>IF(B179="","",IF(OR(U179=0,V179=0,W179=0,X179=0,Y179=0,Z179=0,AA179=0,AB179=0,AC179=0,AD179=0,AE179=0,AF179=0,AG179=0),1,0))</f>
        <v/>
      </c>
    </row>
    <row r="180">
      <c r="A180" s="3">
        <f>IF(B180="","",ROW()-2)</f>
        <v/>
      </c>
      <c r="P180" s="4">
        <f>IF(B180="","",SUM(C180:O180))</f>
        <v/>
      </c>
      <c r="Q180" s="5">
        <f>IF(B180="","",ROUND(P180/13,2))</f>
        <v/>
      </c>
      <c r="R180" s="5">
        <f>IF(B180="","",IF(AH180=1,0,MIN(5,ROUND((U180+V180+W180+X180+Y180+Z180+AA180+AB180+AC180+AD180+AE180+AF180+AG180)/13,2))))</f>
        <v/>
      </c>
      <c r="S180" s="3">
        <f>IF(B180="","",IF(R180&gt;=5,"A+",IF(R180&gt;=4,"A",IF(R180&gt;=3.5,"A-",IF(R180&gt;=3,"B",IF(R180&gt;=2,"C",IF(R180&gt;=1,"D","F")))))))</f>
        <v/>
      </c>
      <c r="T180" s="3">
        <f>IF(OR(B180="",S180="F"),"",COUNTIFS(P:P,"&gt;"&amp;P180,S:S,"&lt;&gt;F")+1)</f>
        <v/>
      </c>
      <c r="U180">
        <f>IF(B180="","",IF(C180&lt;33.0,0,IF(C180&gt;=100*0.8,5,IF(C180&gt;=100*0.7,4,IF(C180&gt;=100*0.6,3.5,IF(C180&gt;=100*0.5,3,IF(C180&gt;=100*0.4,2,IF(C180&gt;=100*0.33,1,0))))))))</f>
        <v/>
      </c>
      <c r="V180">
        <f>IF(B180="","",IF(D180&lt;33.0,0,IF(D180&gt;=100*0.8,5,IF(D180&gt;=100*0.7,4,IF(D180&gt;=100*0.6,3.5,IF(D180&gt;=100*0.5,3,IF(D180&gt;=100*0.4,2,IF(D180&gt;=100*0.33,1,0))))))))</f>
        <v/>
      </c>
      <c r="W180">
        <f>IF(B180="","",IF(E180&lt;16.5,0,IF(E180&gt;=50*0.8,5,IF(E180&gt;=50*0.7,4,IF(E180&gt;=50*0.6,3.5,IF(E180&gt;=50*0.5,3,IF(E180&gt;=50*0.4,2,IF(E180&gt;=50*0.33,1,0))))))))</f>
        <v/>
      </c>
      <c r="X180">
        <f>IF(B180="","",IF(F180&lt;33.0,0,IF(F180&gt;=100*0.8,5,IF(F180&gt;=100*0.7,4,IF(F180&gt;=100*0.6,3.5,IF(F180&gt;=100*0.5,3,IF(F180&gt;=100*0.4,2,IF(F180&gt;=100*0.33,1,0))))))))</f>
        <v/>
      </c>
      <c r="Y180">
        <f>IF(B180="","",IF(G180&lt;16.5,0,IF(G180&gt;=50*0.8,5,IF(G180&gt;=50*0.7,4,IF(G180&gt;=50*0.6,3.5,IF(G180&gt;=50*0.5,3,IF(G180&gt;=50*0.4,2,IF(G180&gt;=50*0.33,1,0))))))))</f>
        <v/>
      </c>
      <c r="Z180">
        <f>IF(B180="","",IF(H180&lt;33.0,0,IF(H180&gt;=100*0.8,5,IF(H180&gt;=100*0.7,4,IF(H180&gt;=100*0.6,3.5,IF(H180&gt;=100*0.5,3,IF(H180&gt;=100*0.4,2,IF(H180&gt;=100*0.33,1,0))))))))</f>
        <v/>
      </c>
      <c r="AA180">
        <f>IF(B180="","",IF(I180&lt;33.0,0,IF(I180&gt;=100*0.8,5,IF(I180&gt;=100*0.7,4,IF(I180&gt;=100*0.6,3.5,IF(I180&gt;=100*0.5,3,IF(I180&gt;=100*0.4,2,IF(I180&gt;=100*0.33,1,0))))))))</f>
        <v/>
      </c>
      <c r="AB180">
        <f>IF(B180="","",IF(J180&lt;33.0,0,IF(J180&gt;=100*0.8,5,IF(J180&gt;=100*0.7,4,IF(J180&gt;=100*0.6,3.5,IF(J180&gt;=100*0.5,3,IF(J180&gt;=100*0.4,2,IF(J180&gt;=100*0.33,1,0))))))))</f>
        <v/>
      </c>
      <c r="AC180">
        <f>IF(B180="","",IF(K180&lt;33.0,0,IF(K180&gt;=100*0.8,5,IF(K180&gt;=100*0.7,4,IF(K180&gt;=100*0.6,3.5,IF(K180&gt;=100*0.5,3,IF(K180&gt;=100*0.4,2,IF(K180&gt;=100*0.33,1,0))))))))</f>
        <v/>
      </c>
      <c r="AD180">
        <f>IF(B180="","",IF(L180&lt;33.0,0,IF(L180&gt;=100*0.8,5,IF(L180&gt;=100*0.7,4,IF(L180&gt;=100*0.6,3.5,IF(L180&gt;=100*0.5,3,IF(L180&gt;=100*0.4,2,IF(L180&gt;=100*0.33,1,0))))))))</f>
        <v/>
      </c>
      <c r="AE180">
        <f>IF(B180="","",IF(M180&lt;33.0,0,IF(M180&gt;=100*0.8,5,IF(M180&gt;=100*0.7,4,IF(M180&gt;=100*0.6,3.5,IF(M180&gt;=100*0.5,3,IF(M180&gt;=100*0.4,2,IF(M180&gt;=100*0.33,1,0))))))))</f>
        <v/>
      </c>
      <c r="AF180">
        <f>IF(B180="","",IF(N180&lt;16.5,0,IF(N180&gt;=50*0.8,5,IF(N180&gt;=50*0.7,4,IF(N180&gt;=50*0.6,3.5,IF(N180&gt;=50*0.5,3,IF(N180&gt;=50*0.4,2,IF(N180&gt;=50*0.33,1,0))))))))</f>
        <v/>
      </c>
      <c r="AG180">
        <f>IF(B180="","",IF(O180&lt;33.0,0,IF(O180&gt;=100*0.8,5,IF(O180&gt;=100*0.7,4,IF(O180&gt;=100*0.6,3.5,IF(O180&gt;=100*0.5,3,IF(O180&gt;=100*0.4,2,IF(O180&gt;=100*0.33,1,0))))))))</f>
        <v/>
      </c>
      <c r="AH180">
        <f>IF(B180="","",IF(OR(U180=0,V180=0,W180=0,X180=0,Y180=0,Z180=0,AA180=0,AB180=0,AC180=0,AD180=0,AE180=0,AF180=0,AG180=0),1,0))</f>
        <v/>
      </c>
    </row>
    <row r="181">
      <c r="A181" s="3">
        <f>IF(B181="","",ROW()-2)</f>
        <v/>
      </c>
      <c r="P181" s="4">
        <f>IF(B181="","",SUM(C181:O181))</f>
        <v/>
      </c>
      <c r="Q181" s="5">
        <f>IF(B181="","",ROUND(P181/13,2))</f>
        <v/>
      </c>
      <c r="R181" s="5">
        <f>IF(B181="","",IF(AH181=1,0,MIN(5,ROUND((U181+V181+W181+X181+Y181+Z181+AA181+AB181+AC181+AD181+AE181+AF181+AG181)/13,2))))</f>
        <v/>
      </c>
      <c r="S181" s="3">
        <f>IF(B181="","",IF(R181&gt;=5,"A+",IF(R181&gt;=4,"A",IF(R181&gt;=3.5,"A-",IF(R181&gt;=3,"B",IF(R181&gt;=2,"C",IF(R181&gt;=1,"D","F")))))))</f>
        <v/>
      </c>
      <c r="T181" s="3">
        <f>IF(OR(B181="",S181="F"),"",COUNTIFS(P:P,"&gt;"&amp;P181,S:S,"&lt;&gt;F")+1)</f>
        <v/>
      </c>
      <c r="U181">
        <f>IF(B181="","",IF(C181&lt;33.0,0,IF(C181&gt;=100*0.8,5,IF(C181&gt;=100*0.7,4,IF(C181&gt;=100*0.6,3.5,IF(C181&gt;=100*0.5,3,IF(C181&gt;=100*0.4,2,IF(C181&gt;=100*0.33,1,0))))))))</f>
        <v/>
      </c>
      <c r="V181">
        <f>IF(B181="","",IF(D181&lt;33.0,0,IF(D181&gt;=100*0.8,5,IF(D181&gt;=100*0.7,4,IF(D181&gt;=100*0.6,3.5,IF(D181&gt;=100*0.5,3,IF(D181&gt;=100*0.4,2,IF(D181&gt;=100*0.33,1,0))))))))</f>
        <v/>
      </c>
      <c r="W181">
        <f>IF(B181="","",IF(E181&lt;16.5,0,IF(E181&gt;=50*0.8,5,IF(E181&gt;=50*0.7,4,IF(E181&gt;=50*0.6,3.5,IF(E181&gt;=50*0.5,3,IF(E181&gt;=50*0.4,2,IF(E181&gt;=50*0.33,1,0))))))))</f>
        <v/>
      </c>
      <c r="X181">
        <f>IF(B181="","",IF(F181&lt;33.0,0,IF(F181&gt;=100*0.8,5,IF(F181&gt;=100*0.7,4,IF(F181&gt;=100*0.6,3.5,IF(F181&gt;=100*0.5,3,IF(F181&gt;=100*0.4,2,IF(F181&gt;=100*0.33,1,0))))))))</f>
        <v/>
      </c>
      <c r="Y181">
        <f>IF(B181="","",IF(G181&lt;16.5,0,IF(G181&gt;=50*0.8,5,IF(G181&gt;=50*0.7,4,IF(G181&gt;=50*0.6,3.5,IF(G181&gt;=50*0.5,3,IF(G181&gt;=50*0.4,2,IF(G181&gt;=50*0.33,1,0))))))))</f>
        <v/>
      </c>
      <c r="Z181">
        <f>IF(B181="","",IF(H181&lt;33.0,0,IF(H181&gt;=100*0.8,5,IF(H181&gt;=100*0.7,4,IF(H181&gt;=100*0.6,3.5,IF(H181&gt;=100*0.5,3,IF(H181&gt;=100*0.4,2,IF(H181&gt;=100*0.33,1,0))))))))</f>
        <v/>
      </c>
      <c r="AA181">
        <f>IF(B181="","",IF(I181&lt;33.0,0,IF(I181&gt;=100*0.8,5,IF(I181&gt;=100*0.7,4,IF(I181&gt;=100*0.6,3.5,IF(I181&gt;=100*0.5,3,IF(I181&gt;=100*0.4,2,IF(I181&gt;=100*0.33,1,0))))))))</f>
        <v/>
      </c>
      <c r="AB181">
        <f>IF(B181="","",IF(J181&lt;33.0,0,IF(J181&gt;=100*0.8,5,IF(J181&gt;=100*0.7,4,IF(J181&gt;=100*0.6,3.5,IF(J181&gt;=100*0.5,3,IF(J181&gt;=100*0.4,2,IF(J181&gt;=100*0.33,1,0))))))))</f>
        <v/>
      </c>
      <c r="AC181">
        <f>IF(B181="","",IF(K181&lt;33.0,0,IF(K181&gt;=100*0.8,5,IF(K181&gt;=100*0.7,4,IF(K181&gt;=100*0.6,3.5,IF(K181&gt;=100*0.5,3,IF(K181&gt;=100*0.4,2,IF(K181&gt;=100*0.33,1,0))))))))</f>
        <v/>
      </c>
      <c r="AD181">
        <f>IF(B181="","",IF(L181&lt;33.0,0,IF(L181&gt;=100*0.8,5,IF(L181&gt;=100*0.7,4,IF(L181&gt;=100*0.6,3.5,IF(L181&gt;=100*0.5,3,IF(L181&gt;=100*0.4,2,IF(L181&gt;=100*0.33,1,0))))))))</f>
        <v/>
      </c>
      <c r="AE181">
        <f>IF(B181="","",IF(M181&lt;33.0,0,IF(M181&gt;=100*0.8,5,IF(M181&gt;=100*0.7,4,IF(M181&gt;=100*0.6,3.5,IF(M181&gt;=100*0.5,3,IF(M181&gt;=100*0.4,2,IF(M181&gt;=100*0.33,1,0))))))))</f>
        <v/>
      </c>
      <c r="AF181">
        <f>IF(B181="","",IF(N181&lt;16.5,0,IF(N181&gt;=50*0.8,5,IF(N181&gt;=50*0.7,4,IF(N181&gt;=50*0.6,3.5,IF(N181&gt;=50*0.5,3,IF(N181&gt;=50*0.4,2,IF(N181&gt;=50*0.33,1,0))))))))</f>
        <v/>
      </c>
      <c r="AG181">
        <f>IF(B181="","",IF(O181&lt;33.0,0,IF(O181&gt;=100*0.8,5,IF(O181&gt;=100*0.7,4,IF(O181&gt;=100*0.6,3.5,IF(O181&gt;=100*0.5,3,IF(O181&gt;=100*0.4,2,IF(O181&gt;=100*0.33,1,0))))))))</f>
        <v/>
      </c>
      <c r="AH181">
        <f>IF(B181="","",IF(OR(U181=0,V181=0,W181=0,X181=0,Y181=0,Z181=0,AA181=0,AB181=0,AC181=0,AD181=0,AE181=0,AF181=0,AG181=0),1,0))</f>
        <v/>
      </c>
    </row>
    <row r="182">
      <c r="A182" s="3">
        <f>IF(B182="","",ROW()-2)</f>
        <v/>
      </c>
      <c r="P182" s="4">
        <f>IF(B182="","",SUM(C182:O182))</f>
        <v/>
      </c>
      <c r="Q182" s="5">
        <f>IF(B182="","",ROUND(P182/13,2))</f>
        <v/>
      </c>
      <c r="R182" s="5">
        <f>IF(B182="","",IF(AH182=1,0,MIN(5,ROUND((U182+V182+W182+X182+Y182+Z182+AA182+AB182+AC182+AD182+AE182+AF182+AG182)/13,2))))</f>
        <v/>
      </c>
      <c r="S182" s="3">
        <f>IF(B182="","",IF(R182&gt;=5,"A+",IF(R182&gt;=4,"A",IF(R182&gt;=3.5,"A-",IF(R182&gt;=3,"B",IF(R182&gt;=2,"C",IF(R182&gt;=1,"D","F")))))))</f>
        <v/>
      </c>
      <c r="T182" s="3">
        <f>IF(OR(B182="",S182="F"),"",COUNTIFS(P:P,"&gt;"&amp;P182,S:S,"&lt;&gt;F")+1)</f>
        <v/>
      </c>
      <c r="U182">
        <f>IF(B182="","",IF(C182&lt;33.0,0,IF(C182&gt;=100*0.8,5,IF(C182&gt;=100*0.7,4,IF(C182&gt;=100*0.6,3.5,IF(C182&gt;=100*0.5,3,IF(C182&gt;=100*0.4,2,IF(C182&gt;=100*0.33,1,0))))))))</f>
        <v/>
      </c>
      <c r="V182">
        <f>IF(B182="","",IF(D182&lt;33.0,0,IF(D182&gt;=100*0.8,5,IF(D182&gt;=100*0.7,4,IF(D182&gt;=100*0.6,3.5,IF(D182&gt;=100*0.5,3,IF(D182&gt;=100*0.4,2,IF(D182&gt;=100*0.33,1,0))))))))</f>
        <v/>
      </c>
      <c r="W182">
        <f>IF(B182="","",IF(E182&lt;16.5,0,IF(E182&gt;=50*0.8,5,IF(E182&gt;=50*0.7,4,IF(E182&gt;=50*0.6,3.5,IF(E182&gt;=50*0.5,3,IF(E182&gt;=50*0.4,2,IF(E182&gt;=50*0.33,1,0))))))))</f>
        <v/>
      </c>
      <c r="X182">
        <f>IF(B182="","",IF(F182&lt;33.0,0,IF(F182&gt;=100*0.8,5,IF(F182&gt;=100*0.7,4,IF(F182&gt;=100*0.6,3.5,IF(F182&gt;=100*0.5,3,IF(F182&gt;=100*0.4,2,IF(F182&gt;=100*0.33,1,0))))))))</f>
        <v/>
      </c>
      <c r="Y182">
        <f>IF(B182="","",IF(G182&lt;16.5,0,IF(G182&gt;=50*0.8,5,IF(G182&gt;=50*0.7,4,IF(G182&gt;=50*0.6,3.5,IF(G182&gt;=50*0.5,3,IF(G182&gt;=50*0.4,2,IF(G182&gt;=50*0.33,1,0))))))))</f>
        <v/>
      </c>
      <c r="Z182">
        <f>IF(B182="","",IF(H182&lt;33.0,0,IF(H182&gt;=100*0.8,5,IF(H182&gt;=100*0.7,4,IF(H182&gt;=100*0.6,3.5,IF(H182&gt;=100*0.5,3,IF(H182&gt;=100*0.4,2,IF(H182&gt;=100*0.33,1,0))))))))</f>
        <v/>
      </c>
      <c r="AA182">
        <f>IF(B182="","",IF(I182&lt;33.0,0,IF(I182&gt;=100*0.8,5,IF(I182&gt;=100*0.7,4,IF(I182&gt;=100*0.6,3.5,IF(I182&gt;=100*0.5,3,IF(I182&gt;=100*0.4,2,IF(I182&gt;=100*0.33,1,0))))))))</f>
        <v/>
      </c>
      <c r="AB182">
        <f>IF(B182="","",IF(J182&lt;33.0,0,IF(J182&gt;=100*0.8,5,IF(J182&gt;=100*0.7,4,IF(J182&gt;=100*0.6,3.5,IF(J182&gt;=100*0.5,3,IF(J182&gt;=100*0.4,2,IF(J182&gt;=100*0.33,1,0))))))))</f>
        <v/>
      </c>
      <c r="AC182">
        <f>IF(B182="","",IF(K182&lt;33.0,0,IF(K182&gt;=100*0.8,5,IF(K182&gt;=100*0.7,4,IF(K182&gt;=100*0.6,3.5,IF(K182&gt;=100*0.5,3,IF(K182&gt;=100*0.4,2,IF(K182&gt;=100*0.33,1,0))))))))</f>
        <v/>
      </c>
      <c r="AD182">
        <f>IF(B182="","",IF(L182&lt;33.0,0,IF(L182&gt;=100*0.8,5,IF(L182&gt;=100*0.7,4,IF(L182&gt;=100*0.6,3.5,IF(L182&gt;=100*0.5,3,IF(L182&gt;=100*0.4,2,IF(L182&gt;=100*0.33,1,0))))))))</f>
        <v/>
      </c>
      <c r="AE182">
        <f>IF(B182="","",IF(M182&lt;33.0,0,IF(M182&gt;=100*0.8,5,IF(M182&gt;=100*0.7,4,IF(M182&gt;=100*0.6,3.5,IF(M182&gt;=100*0.5,3,IF(M182&gt;=100*0.4,2,IF(M182&gt;=100*0.33,1,0))))))))</f>
        <v/>
      </c>
      <c r="AF182">
        <f>IF(B182="","",IF(N182&lt;16.5,0,IF(N182&gt;=50*0.8,5,IF(N182&gt;=50*0.7,4,IF(N182&gt;=50*0.6,3.5,IF(N182&gt;=50*0.5,3,IF(N182&gt;=50*0.4,2,IF(N182&gt;=50*0.33,1,0))))))))</f>
        <v/>
      </c>
      <c r="AG182">
        <f>IF(B182="","",IF(O182&lt;33.0,0,IF(O182&gt;=100*0.8,5,IF(O182&gt;=100*0.7,4,IF(O182&gt;=100*0.6,3.5,IF(O182&gt;=100*0.5,3,IF(O182&gt;=100*0.4,2,IF(O182&gt;=100*0.33,1,0))))))))</f>
        <v/>
      </c>
      <c r="AH182">
        <f>IF(B182="","",IF(OR(U182=0,V182=0,W182=0,X182=0,Y182=0,Z182=0,AA182=0,AB182=0,AC182=0,AD182=0,AE182=0,AF182=0,AG182=0),1,0))</f>
        <v/>
      </c>
    </row>
    <row r="183">
      <c r="A183" s="3">
        <f>IF(B183="","",ROW()-2)</f>
        <v/>
      </c>
      <c r="P183" s="4">
        <f>IF(B183="","",SUM(C183:O183))</f>
        <v/>
      </c>
      <c r="Q183" s="5">
        <f>IF(B183="","",ROUND(P183/13,2))</f>
        <v/>
      </c>
      <c r="R183" s="5">
        <f>IF(B183="","",IF(AH183=1,0,MIN(5,ROUND((U183+V183+W183+X183+Y183+Z183+AA183+AB183+AC183+AD183+AE183+AF183+AG183)/13,2))))</f>
        <v/>
      </c>
      <c r="S183" s="3">
        <f>IF(B183="","",IF(R183&gt;=5,"A+",IF(R183&gt;=4,"A",IF(R183&gt;=3.5,"A-",IF(R183&gt;=3,"B",IF(R183&gt;=2,"C",IF(R183&gt;=1,"D","F")))))))</f>
        <v/>
      </c>
      <c r="T183" s="3">
        <f>IF(OR(B183="",S183="F"),"",COUNTIFS(P:P,"&gt;"&amp;P183,S:S,"&lt;&gt;F")+1)</f>
        <v/>
      </c>
      <c r="U183">
        <f>IF(B183="","",IF(C183&lt;33.0,0,IF(C183&gt;=100*0.8,5,IF(C183&gt;=100*0.7,4,IF(C183&gt;=100*0.6,3.5,IF(C183&gt;=100*0.5,3,IF(C183&gt;=100*0.4,2,IF(C183&gt;=100*0.33,1,0))))))))</f>
        <v/>
      </c>
      <c r="V183">
        <f>IF(B183="","",IF(D183&lt;33.0,0,IF(D183&gt;=100*0.8,5,IF(D183&gt;=100*0.7,4,IF(D183&gt;=100*0.6,3.5,IF(D183&gt;=100*0.5,3,IF(D183&gt;=100*0.4,2,IF(D183&gt;=100*0.33,1,0))))))))</f>
        <v/>
      </c>
      <c r="W183">
        <f>IF(B183="","",IF(E183&lt;16.5,0,IF(E183&gt;=50*0.8,5,IF(E183&gt;=50*0.7,4,IF(E183&gt;=50*0.6,3.5,IF(E183&gt;=50*0.5,3,IF(E183&gt;=50*0.4,2,IF(E183&gt;=50*0.33,1,0))))))))</f>
        <v/>
      </c>
      <c r="X183">
        <f>IF(B183="","",IF(F183&lt;33.0,0,IF(F183&gt;=100*0.8,5,IF(F183&gt;=100*0.7,4,IF(F183&gt;=100*0.6,3.5,IF(F183&gt;=100*0.5,3,IF(F183&gt;=100*0.4,2,IF(F183&gt;=100*0.33,1,0))))))))</f>
        <v/>
      </c>
      <c r="Y183">
        <f>IF(B183="","",IF(G183&lt;16.5,0,IF(G183&gt;=50*0.8,5,IF(G183&gt;=50*0.7,4,IF(G183&gt;=50*0.6,3.5,IF(G183&gt;=50*0.5,3,IF(G183&gt;=50*0.4,2,IF(G183&gt;=50*0.33,1,0))))))))</f>
        <v/>
      </c>
      <c r="Z183">
        <f>IF(B183="","",IF(H183&lt;33.0,0,IF(H183&gt;=100*0.8,5,IF(H183&gt;=100*0.7,4,IF(H183&gt;=100*0.6,3.5,IF(H183&gt;=100*0.5,3,IF(H183&gt;=100*0.4,2,IF(H183&gt;=100*0.33,1,0))))))))</f>
        <v/>
      </c>
      <c r="AA183">
        <f>IF(B183="","",IF(I183&lt;33.0,0,IF(I183&gt;=100*0.8,5,IF(I183&gt;=100*0.7,4,IF(I183&gt;=100*0.6,3.5,IF(I183&gt;=100*0.5,3,IF(I183&gt;=100*0.4,2,IF(I183&gt;=100*0.33,1,0))))))))</f>
        <v/>
      </c>
      <c r="AB183">
        <f>IF(B183="","",IF(J183&lt;33.0,0,IF(J183&gt;=100*0.8,5,IF(J183&gt;=100*0.7,4,IF(J183&gt;=100*0.6,3.5,IF(J183&gt;=100*0.5,3,IF(J183&gt;=100*0.4,2,IF(J183&gt;=100*0.33,1,0))))))))</f>
        <v/>
      </c>
      <c r="AC183">
        <f>IF(B183="","",IF(K183&lt;33.0,0,IF(K183&gt;=100*0.8,5,IF(K183&gt;=100*0.7,4,IF(K183&gt;=100*0.6,3.5,IF(K183&gt;=100*0.5,3,IF(K183&gt;=100*0.4,2,IF(K183&gt;=100*0.33,1,0))))))))</f>
        <v/>
      </c>
      <c r="AD183">
        <f>IF(B183="","",IF(L183&lt;33.0,0,IF(L183&gt;=100*0.8,5,IF(L183&gt;=100*0.7,4,IF(L183&gt;=100*0.6,3.5,IF(L183&gt;=100*0.5,3,IF(L183&gt;=100*0.4,2,IF(L183&gt;=100*0.33,1,0))))))))</f>
        <v/>
      </c>
      <c r="AE183">
        <f>IF(B183="","",IF(M183&lt;33.0,0,IF(M183&gt;=100*0.8,5,IF(M183&gt;=100*0.7,4,IF(M183&gt;=100*0.6,3.5,IF(M183&gt;=100*0.5,3,IF(M183&gt;=100*0.4,2,IF(M183&gt;=100*0.33,1,0))))))))</f>
        <v/>
      </c>
      <c r="AF183">
        <f>IF(B183="","",IF(N183&lt;16.5,0,IF(N183&gt;=50*0.8,5,IF(N183&gt;=50*0.7,4,IF(N183&gt;=50*0.6,3.5,IF(N183&gt;=50*0.5,3,IF(N183&gt;=50*0.4,2,IF(N183&gt;=50*0.33,1,0))))))))</f>
        <v/>
      </c>
      <c r="AG183">
        <f>IF(B183="","",IF(O183&lt;33.0,0,IF(O183&gt;=100*0.8,5,IF(O183&gt;=100*0.7,4,IF(O183&gt;=100*0.6,3.5,IF(O183&gt;=100*0.5,3,IF(O183&gt;=100*0.4,2,IF(O183&gt;=100*0.33,1,0))))))))</f>
        <v/>
      </c>
      <c r="AH183">
        <f>IF(B183="","",IF(OR(U183=0,V183=0,W183=0,X183=0,Y183=0,Z183=0,AA183=0,AB183=0,AC183=0,AD183=0,AE183=0,AF183=0,AG183=0),1,0))</f>
        <v/>
      </c>
    </row>
    <row r="184">
      <c r="A184" s="3">
        <f>IF(B184="","",ROW()-2)</f>
        <v/>
      </c>
      <c r="P184" s="4">
        <f>IF(B184="","",SUM(C184:O184))</f>
        <v/>
      </c>
      <c r="Q184" s="5">
        <f>IF(B184="","",ROUND(P184/13,2))</f>
        <v/>
      </c>
      <c r="R184" s="5">
        <f>IF(B184="","",IF(AH184=1,0,MIN(5,ROUND((U184+V184+W184+X184+Y184+Z184+AA184+AB184+AC184+AD184+AE184+AF184+AG184)/13,2))))</f>
        <v/>
      </c>
      <c r="S184" s="3">
        <f>IF(B184="","",IF(R184&gt;=5,"A+",IF(R184&gt;=4,"A",IF(R184&gt;=3.5,"A-",IF(R184&gt;=3,"B",IF(R184&gt;=2,"C",IF(R184&gt;=1,"D","F")))))))</f>
        <v/>
      </c>
      <c r="T184" s="3">
        <f>IF(OR(B184="",S184="F"),"",COUNTIFS(P:P,"&gt;"&amp;P184,S:S,"&lt;&gt;F")+1)</f>
        <v/>
      </c>
      <c r="U184">
        <f>IF(B184="","",IF(C184&lt;33.0,0,IF(C184&gt;=100*0.8,5,IF(C184&gt;=100*0.7,4,IF(C184&gt;=100*0.6,3.5,IF(C184&gt;=100*0.5,3,IF(C184&gt;=100*0.4,2,IF(C184&gt;=100*0.33,1,0))))))))</f>
        <v/>
      </c>
      <c r="V184">
        <f>IF(B184="","",IF(D184&lt;33.0,0,IF(D184&gt;=100*0.8,5,IF(D184&gt;=100*0.7,4,IF(D184&gt;=100*0.6,3.5,IF(D184&gt;=100*0.5,3,IF(D184&gt;=100*0.4,2,IF(D184&gt;=100*0.33,1,0))))))))</f>
        <v/>
      </c>
      <c r="W184">
        <f>IF(B184="","",IF(E184&lt;16.5,0,IF(E184&gt;=50*0.8,5,IF(E184&gt;=50*0.7,4,IF(E184&gt;=50*0.6,3.5,IF(E184&gt;=50*0.5,3,IF(E184&gt;=50*0.4,2,IF(E184&gt;=50*0.33,1,0))))))))</f>
        <v/>
      </c>
      <c r="X184">
        <f>IF(B184="","",IF(F184&lt;33.0,0,IF(F184&gt;=100*0.8,5,IF(F184&gt;=100*0.7,4,IF(F184&gt;=100*0.6,3.5,IF(F184&gt;=100*0.5,3,IF(F184&gt;=100*0.4,2,IF(F184&gt;=100*0.33,1,0))))))))</f>
        <v/>
      </c>
      <c r="Y184">
        <f>IF(B184="","",IF(G184&lt;16.5,0,IF(G184&gt;=50*0.8,5,IF(G184&gt;=50*0.7,4,IF(G184&gt;=50*0.6,3.5,IF(G184&gt;=50*0.5,3,IF(G184&gt;=50*0.4,2,IF(G184&gt;=50*0.33,1,0))))))))</f>
        <v/>
      </c>
      <c r="Z184">
        <f>IF(B184="","",IF(H184&lt;33.0,0,IF(H184&gt;=100*0.8,5,IF(H184&gt;=100*0.7,4,IF(H184&gt;=100*0.6,3.5,IF(H184&gt;=100*0.5,3,IF(H184&gt;=100*0.4,2,IF(H184&gt;=100*0.33,1,0))))))))</f>
        <v/>
      </c>
      <c r="AA184">
        <f>IF(B184="","",IF(I184&lt;33.0,0,IF(I184&gt;=100*0.8,5,IF(I184&gt;=100*0.7,4,IF(I184&gt;=100*0.6,3.5,IF(I184&gt;=100*0.5,3,IF(I184&gt;=100*0.4,2,IF(I184&gt;=100*0.33,1,0))))))))</f>
        <v/>
      </c>
      <c r="AB184">
        <f>IF(B184="","",IF(J184&lt;33.0,0,IF(J184&gt;=100*0.8,5,IF(J184&gt;=100*0.7,4,IF(J184&gt;=100*0.6,3.5,IF(J184&gt;=100*0.5,3,IF(J184&gt;=100*0.4,2,IF(J184&gt;=100*0.33,1,0))))))))</f>
        <v/>
      </c>
      <c r="AC184">
        <f>IF(B184="","",IF(K184&lt;33.0,0,IF(K184&gt;=100*0.8,5,IF(K184&gt;=100*0.7,4,IF(K184&gt;=100*0.6,3.5,IF(K184&gt;=100*0.5,3,IF(K184&gt;=100*0.4,2,IF(K184&gt;=100*0.33,1,0))))))))</f>
        <v/>
      </c>
      <c r="AD184">
        <f>IF(B184="","",IF(L184&lt;33.0,0,IF(L184&gt;=100*0.8,5,IF(L184&gt;=100*0.7,4,IF(L184&gt;=100*0.6,3.5,IF(L184&gt;=100*0.5,3,IF(L184&gt;=100*0.4,2,IF(L184&gt;=100*0.33,1,0))))))))</f>
        <v/>
      </c>
      <c r="AE184">
        <f>IF(B184="","",IF(M184&lt;33.0,0,IF(M184&gt;=100*0.8,5,IF(M184&gt;=100*0.7,4,IF(M184&gt;=100*0.6,3.5,IF(M184&gt;=100*0.5,3,IF(M184&gt;=100*0.4,2,IF(M184&gt;=100*0.33,1,0))))))))</f>
        <v/>
      </c>
      <c r="AF184">
        <f>IF(B184="","",IF(N184&lt;16.5,0,IF(N184&gt;=50*0.8,5,IF(N184&gt;=50*0.7,4,IF(N184&gt;=50*0.6,3.5,IF(N184&gt;=50*0.5,3,IF(N184&gt;=50*0.4,2,IF(N184&gt;=50*0.33,1,0))))))))</f>
        <v/>
      </c>
      <c r="AG184">
        <f>IF(B184="","",IF(O184&lt;33.0,0,IF(O184&gt;=100*0.8,5,IF(O184&gt;=100*0.7,4,IF(O184&gt;=100*0.6,3.5,IF(O184&gt;=100*0.5,3,IF(O184&gt;=100*0.4,2,IF(O184&gt;=100*0.33,1,0))))))))</f>
        <v/>
      </c>
      <c r="AH184">
        <f>IF(B184="","",IF(OR(U184=0,V184=0,W184=0,X184=0,Y184=0,Z184=0,AA184=0,AB184=0,AC184=0,AD184=0,AE184=0,AF184=0,AG184=0),1,0))</f>
        <v/>
      </c>
    </row>
    <row r="185">
      <c r="A185" s="3">
        <f>IF(B185="","",ROW()-2)</f>
        <v/>
      </c>
      <c r="P185" s="4">
        <f>IF(B185="","",SUM(C185:O185))</f>
        <v/>
      </c>
      <c r="Q185" s="5">
        <f>IF(B185="","",ROUND(P185/13,2))</f>
        <v/>
      </c>
      <c r="R185" s="5">
        <f>IF(B185="","",IF(AH185=1,0,MIN(5,ROUND((U185+V185+W185+X185+Y185+Z185+AA185+AB185+AC185+AD185+AE185+AF185+AG185)/13,2))))</f>
        <v/>
      </c>
      <c r="S185" s="3">
        <f>IF(B185="","",IF(R185&gt;=5,"A+",IF(R185&gt;=4,"A",IF(R185&gt;=3.5,"A-",IF(R185&gt;=3,"B",IF(R185&gt;=2,"C",IF(R185&gt;=1,"D","F")))))))</f>
        <v/>
      </c>
      <c r="T185" s="3">
        <f>IF(OR(B185="",S185="F"),"",COUNTIFS(P:P,"&gt;"&amp;P185,S:S,"&lt;&gt;F")+1)</f>
        <v/>
      </c>
      <c r="U185">
        <f>IF(B185="","",IF(C185&lt;33.0,0,IF(C185&gt;=100*0.8,5,IF(C185&gt;=100*0.7,4,IF(C185&gt;=100*0.6,3.5,IF(C185&gt;=100*0.5,3,IF(C185&gt;=100*0.4,2,IF(C185&gt;=100*0.33,1,0))))))))</f>
        <v/>
      </c>
      <c r="V185">
        <f>IF(B185="","",IF(D185&lt;33.0,0,IF(D185&gt;=100*0.8,5,IF(D185&gt;=100*0.7,4,IF(D185&gt;=100*0.6,3.5,IF(D185&gt;=100*0.5,3,IF(D185&gt;=100*0.4,2,IF(D185&gt;=100*0.33,1,0))))))))</f>
        <v/>
      </c>
      <c r="W185">
        <f>IF(B185="","",IF(E185&lt;16.5,0,IF(E185&gt;=50*0.8,5,IF(E185&gt;=50*0.7,4,IF(E185&gt;=50*0.6,3.5,IF(E185&gt;=50*0.5,3,IF(E185&gt;=50*0.4,2,IF(E185&gt;=50*0.33,1,0))))))))</f>
        <v/>
      </c>
      <c r="X185">
        <f>IF(B185="","",IF(F185&lt;33.0,0,IF(F185&gt;=100*0.8,5,IF(F185&gt;=100*0.7,4,IF(F185&gt;=100*0.6,3.5,IF(F185&gt;=100*0.5,3,IF(F185&gt;=100*0.4,2,IF(F185&gt;=100*0.33,1,0))))))))</f>
        <v/>
      </c>
      <c r="Y185">
        <f>IF(B185="","",IF(G185&lt;16.5,0,IF(G185&gt;=50*0.8,5,IF(G185&gt;=50*0.7,4,IF(G185&gt;=50*0.6,3.5,IF(G185&gt;=50*0.5,3,IF(G185&gt;=50*0.4,2,IF(G185&gt;=50*0.33,1,0))))))))</f>
        <v/>
      </c>
      <c r="Z185">
        <f>IF(B185="","",IF(H185&lt;33.0,0,IF(H185&gt;=100*0.8,5,IF(H185&gt;=100*0.7,4,IF(H185&gt;=100*0.6,3.5,IF(H185&gt;=100*0.5,3,IF(H185&gt;=100*0.4,2,IF(H185&gt;=100*0.33,1,0))))))))</f>
        <v/>
      </c>
      <c r="AA185">
        <f>IF(B185="","",IF(I185&lt;33.0,0,IF(I185&gt;=100*0.8,5,IF(I185&gt;=100*0.7,4,IF(I185&gt;=100*0.6,3.5,IF(I185&gt;=100*0.5,3,IF(I185&gt;=100*0.4,2,IF(I185&gt;=100*0.33,1,0))))))))</f>
        <v/>
      </c>
      <c r="AB185">
        <f>IF(B185="","",IF(J185&lt;33.0,0,IF(J185&gt;=100*0.8,5,IF(J185&gt;=100*0.7,4,IF(J185&gt;=100*0.6,3.5,IF(J185&gt;=100*0.5,3,IF(J185&gt;=100*0.4,2,IF(J185&gt;=100*0.33,1,0))))))))</f>
        <v/>
      </c>
      <c r="AC185">
        <f>IF(B185="","",IF(K185&lt;33.0,0,IF(K185&gt;=100*0.8,5,IF(K185&gt;=100*0.7,4,IF(K185&gt;=100*0.6,3.5,IF(K185&gt;=100*0.5,3,IF(K185&gt;=100*0.4,2,IF(K185&gt;=100*0.33,1,0))))))))</f>
        <v/>
      </c>
      <c r="AD185">
        <f>IF(B185="","",IF(L185&lt;33.0,0,IF(L185&gt;=100*0.8,5,IF(L185&gt;=100*0.7,4,IF(L185&gt;=100*0.6,3.5,IF(L185&gt;=100*0.5,3,IF(L185&gt;=100*0.4,2,IF(L185&gt;=100*0.33,1,0))))))))</f>
        <v/>
      </c>
      <c r="AE185">
        <f>IF(B185="","",IF(M185&lt;33.0,0,IF(M185&gt;=100*0.8,5,IF(M185&gt;=100*0.7,4,IF(M185&gt;=100*0.6,3.5,IF(M185&gt;=100*0.5,3,IF(M185&gt;=100*0.4,2,IF(M185&gt;=100*0.33,1,0))))))))</f>
        <v/>
      </c>
      <c r="AF185">
        <f>IF(B185="","",IF(N185&lt;16.5,0,IF(N185&gt;=50*0.8,5,IF(N185&gt;=50*0.7,4,IF(N185&gt;=50*0.6,3.5,IF(N185&gt;=50*0.5,3,IF(N185&gt;=50*0.4,2,IF(N185&gt;=50*0.33,1,0))))))))</f>
        <v/>
      </c>
      <c r="AG185">
        <f>IF(B185="","",IF(O185&lt;33.0,0,IF(O185&gt;=100*0.8,5,IF(O185&gt;=100*0.7,4,IF(O185&gt;=100*0.6,3.5,IF(O185&gt;=100*0.5,3,IF(O185&gt;=100*0.4,2,IF(O185&gt;=100*0.33,1,0))))))))</f>
        <v/>
      </c>
      <c r="AH185">
        <f>IF(B185="","",IF(OR(U185=0,V185=0,W185=0,X185=0,Y185=0,Z185=0,AA185=0,AB185=0,AC185=0,AD185=0,AE185=0,AF185=0,AG185=0),1,0))</f>
        <v/>
      </c>
    </row>
    <row r="186">
      <c r="A186" s="3">
        <f>IF(B186="","",ROW()-2)</f>
        <v/>
      </c>
      <c r="P186" s="4">
        <f>IF(B186="","",SUM(C186:O186))</f>
        <v/>
      </c>
      <c r="Q186" s="5">
        <f>IF(B186="","",ROUND(P186/13,2))</f>
        <v/>
      </c>
      <c r="R186" s="5">
        <f>IF(B186="","",IF(AH186=1,0,MIN(5,ROUND((U186+V186+W186+X186+Y186+Z186+AA186+AB186+AC186+AD186+AE186+AF186+AG186)/13,2))))</f>
        <v/>
      </c>
      <c r="S186" s="3">
        <f>IF(B186="","",IF(R186&gt;=5,"A+",IF(R186&gt;=4,"A",IF(R186&gt;=3.5,"A-",IF(R186&gt;=3,"B",IF(R186&gt;=2,"C",IF(R186&gt;=1,"D","F")))))))</f>
        <v/>
      </c>
      <c r="T186" s="3">
        <f>IF(OR(B186="",S186="F"),"",COUNTIFS(P:P,"&gt;"&amp;P186,S:S,"&lt;&gt;F")+1)</f>
        <v/>
      </c>
      <c r="U186">
        <f>IF(B186="","",IF(C186&lt;33.0,0,IF(C186&gt;=100*0.8,5,IF(C186&gt;=100*0.7,4,IF(C186&gt;=100*0.6,3.5,IF(C186&gt;=100*0.5,3,IF(C186&gt;=100*0.4,2,IF(C186&gt;=100*0.33,1,0))))))))</f>
        <v/>
      </c>
      <c r="V186">
        <f>IF(B186="","",IF(D186&lt;33.0,0,IF(D186&gt;=100*0.8,5,IF(D186&gt;=100*0.7,4,IF(D186&gt;=100*0.6,3.5,IF(D186&gt;=100*0.5,3,IF(D186&gt;=100*0.4,2,IF(D186&gt;=100*0.33,1,0))))))))</f>
        <v/>
      </c>
      <c r="W186">
        <f>IF(B186="","",IF(E186&lt;16.5,0,IF(E186&gt;=50*0.8,5,IF(E186&gt;=50*0.7,4,IF(E186&gt;=50*0.6,3.5,IF(E186&gt;=50*0.5,3,IF(E186&gt;=50*0.4,2,IF(E186&gt;=50*0.33,1,0))))))))</f>
        <v/>
      </c>
      <c r="X186">
        <f>IF(B186="","",IF(F186&lt;33.0,0,IF(F186&gt;=100*0.8,5,IF(F186&gt;=100*0.7,4,IF(F186&gt;=100*0.6,3.5,IF(F186&gt;=100*0.5,3,IF(F186&gt;=100*0.4,2,IF(F186&gt;=100*0.33,1,0))))))))</f>
        <v/>
      </c>
      <c r="Y186">
        <f>IF(B186="","",IF(G186&lt;16.5,0,IF(G186&gt;=50*0.8,5,IF(G186&gt;=50*0.7,4,IF(G186&gt;=50*0.6,3.5,IF(G186&gt;=50*0.5,3,IF(G186&gt;=50*0.4,2,IF(G186&gt;=50*0.33,1,0))))))))</f>
        <v/>
      </c>
      <c r="Z186">
        <f>IF(B186="","",IF(H186&lt;33.0,0,IF(H186&gt;=100*0.8,5,IF(H186&gt;=100*0.7,4,IF(H186&gt;=100*0.6,3.5,IF(H186&gt;=100*0.5,3,IF(H186&gt;=100*0.4,2,IF(H186&gt;=100*0.33,1,0))))))))</f>
        <v/>
      </c>
      <c r="AA186">
        <f>IF(B186="","",IF(I186&lt;33.0,0,IF(I186&gt;=100*0.8,5,IF(I186&gt;=100*0.7,4,IF(I186&gt;=100*0.6,3.5,IF(I186&gt;=100*0.5,3,IF(I186&gt;=100*0.4,2,IF(I186&gt;=100*0.33,1,0))))))))</f>
        <v/>
      </c>
      <c r="AB186">
        <f>IF(B186="","",IF(J186&lt;33.0,0,IF(J186&gt;=100*0.8,5,IF(J186&gt;=100*0.7,4,IF(J186&gt;=100*0.6,3.5,IF(J186&gt;=100*0.5,3,IF(J186&gt;=100*0.4,2,IF(J186&gt;=100*0.33,1,0))))))))</f>
        <v/>
      </c>
      <c r="AC186">
        <f>IF(B186="","",IF(K186&lt;33.0,0,IF(K186&gt;=100*0.8,5,IF(K186&gt;=100*0.7,4,IF(K186&gt;=100*0.6,3.5,IF(K186&gt;=100*0.5,3,IF(K186&gt;=100*0.4,2,IF(K186&gt;=100*0.33,1,0))))))))</f>
        <v/>
      </c>
      <c r="AD186">
        <f>IF(B186="","",IF(L186&lt;33.0,0,IF(L186&gt;=100*0.8,5,IF(L186&gt;=100*0.7,4,IF(L186&gt;=100*0.6,3.5,IF(L186&gt;=100*0.5,3,IF(L186&gt;=100*0.4,2,IF(L186&gt;=100*0.33,1,0))))))))</f>
        <v/>
      </c>
      <c r="AE186">
        <f>IF(B186="","",IF(M186&lt;33.0,0,IF(M186&gt;=100*0.8,5,IF(M186&gt;=100*0.7,4,IF(M186&gt;=100*0.6,3.5,IF(M186&gt;=100*0.5,3,IF(M186&gt;=100*0.4,2,IF(M186&gt;=100*0.33,1,0))))))))</f>
        <v/>
      </c>
      <c r="AF186">
        <f>IF(B186="","",IF(N186&lt;16.5,0,IF(N186&gt;=50*0.8,5,IF(N186&gt;=50*0.7,4,IF(N186&gt;=50*0.6,3.5,IF(N186&gt;=50*0.5,3,IF(N186&gt;=50*0.4,2,IF(N186&gt;=50*0.33,1,0))))))))</f>
        <v/>
      </c>
      <c r="AG186">
        <f>IF(B186="","",IF(O186&lt;33.0,0,IF(O186&gt;=100*0.8,5,IF(O186&gt;=100*0.7,4,IF(O186&gt;=100*0.6,3.5,IF(O186&gt;=100*0.5,3,IF(O186&gt;=100*0.4,2,IF(O186&gt;=100*0.33,1,0))))))))</f>
        <v/>
      </c>
      <c r="AH186">
        <f>IF(B186="","",IF(OR(U186=0,V186=0,W186=0,X186=0,Y186=0,Z186=0,AA186=0,AB186=0,AC186=0,AD186=0,AE186=0,AF186=0,AG186=0),1,0))</f>
        <v/>
      </c>
    </row>
    <row r="187">
      <c r="A187" s="3">
        <f>IF(B187="","",ROW()-2)</f>
        <v/>
      </c>
      <c r="P187" s="4">
        <f>IF(B187="","",SUM(C187:O187))</f>
        <v/>
      </c>
      <c r="Q187" s="5">
        <f>IF(B187="","",ROUND(P187/13,2))</f>
        <v/>
      </c>
      <c r="R187" s="5">
        <f>IF(B187="","",IF(AH187=1,0,MIN(5,ROUND((U187+V187+W187+X187+Y187+Z187+AA187+AB187+AC187+AD187+AE187+AF187+AG187)/13,2))))</f>
        <v/>
      </c>
      <c r="S187" s="3">
        <f>IF(B187="","",IF(R187&gt;=5,"A+",IF(R187&gt;=4,"A",IF(R187&gt;=3.5,"A-",IF(R187&gt;=3,"B",IF(R187&gt;=2,"C",IF(R187&gt;=1,"D","F")))))))</f>
        <v/>
      </c>
      <c r="T187" s="3">
        <f>IF(OR(B187="",S187="F"),"",COUNTIFS(P:P,"&gt;"&amp;P187,S:S,"&lt;&gt;F")+1)</f>
        <v/>
      </c>
      <c r="U187">
        <f>IF(B187="","",IF(C187&lt;33.0,0,IF(C187&gt;=100*0.8,5,IF(C187&gt;=100*0.7,4,IF(C187&gt;=100*0.6,3.5,IF(C187&gt;=100*0.5,3,IF(C187&gt;=100*0.4,2,IF(C187&gt;=100*0.33,1,0))))))))</f>
        <v/>
      </c>
      <c r="V187">
        <f>IF(B187="","",IF(D187&lt;33.0,0,IF(D187&gt;=100*0.8,5,IF(D187&gt;=100*0.7,4,IF(D187&gt;=100*0.6,3.5,IF(D187&gt;=100*0.5,3,IF(D187&gt;=100*0.4,2,IF(D187&gt;=100*0.33,1,0))))))))</f>
        <v/>
      </c>
      <c r="W187">
        <f>IF(B187="","",IF(E187&lt;16.5,0,IF(E187&gt;=50*0.8,5,IF(E187&gt;=50*0.7,4,IF(E187&gt;=50*0.6,3.5,IF(E187&gt;=50*0.5,3,IF(E187&gt;=50*0.4,2,IF(E187&gt;=50*0.33,1,0))))))))</f>
        <v/>
      </c>
      <c r="X187">
        <f>IF(B187="","",IF(F187&lt;33.0,0,IF(F187&gt;=100*0.8,5,IF(F187&gt;=100*0.7,4,IF(F187&gt;=100*0.6,3.5,IF(F187&gt;=100*0.5,3,IF(F187&gt;=100*0.4,2,IF(F187&gt;=100*0.33,1,0))))))))</f>
        <v/>
      </c>
      <c r="Y187">
        <f>IF(B187="","",IF(G187&lt;16.5,0,IF(G187&gt;=50*0.8,5,IF(G187&gt;=50*0.7,4,IF(G187&gt;=50*0.6,3.5,IF(G187&gt;=50*0.5,3,IF(G187&gt;=50*0.4,2,IF(G187&gt;=50*0.33,1,0))))))))</f>
        <v/>
      </c>
      <c r="Z187">
        <f>IF(B187="","",IF(H187&lt;33.0,0,IF(H187&gt;=100*0.8,5,IF(H187&gt;=100*0.7,4,IF(H187&gt;=100*0.6,3.5,IF(H187&gt;=100*0.5,3,IF(H187&gt;=100*0.4,2,IF(H187&gt;=100*0.33,1,0))))))))</f>
        <v/>
      </c>
      <c r="AA187">
        <f>IF(B187="","",IF(I187&lt;33.0,0,IF(I187&gt;=100*0.8,5,IF(I187&gt;=100*0.7,4,IF(I187&gt;=100*0.6,3.5,IF(I187&gt;=100*0.5,3,IF(I187&gt;=100*0.4,2,IF(I187&gt;=100*0.33,1,0))))))))</f>
        <v/>
      </c>
      <c r="AB187">
        <f>IF(B187="","",IF(J187&lt;33.0,0,IF(J187&gt;=100*0.8,5,IF(J187&gt;=100*0.7,4,IF(J187&gt;=100*0.6,3.5,IF(J187&gt;=100*0.5,3,IF(J187&gt;=100*0.4,2,IF(J187&gt;=100*0.33,1,0))))))))</f>
        <v/>
      </c>
      <c r="AC187">
        <f>IF(B187="","",IF(K187&lt;33.0,0,IF(K187&gt;=100*0.8,5,IF(K187&gt;=100*0.7,4,IF(K187&gt;=100*0.6,3.5,IF(K187&gt;=100*0.5,3,IF(K187&gt;=100*0.4,2,IF(K187&gt;=100*0.33,1,0))))))))</f>
        <v/>
      </c>
      <c r="AD187">
        <f>IF(B187="","",IF(L187&lt;33.0,0,IF(L187&gt;=100*0.8,5,IF(L187&gt;=100*0.7,4,IF(L187&gt;=100*0.6,3.5,IF(L187&gt;=100*0.5,3,IF(L187&gt;=100*0.4,2,IF(L187&gt;=100*0.33,1,0))))))))</f>
        <v/>
      </c>
      <c r="AE187">
        <f>IF(B187="","",IF(M187&lt;33.0,0,IF(M187&gt;=100*0.8,5,IF(M187&gt;=100*0.7,4,IF(M187&gt;=100*0.6,3.5,IF(M187&gt;=100*0.5,3,IF(M187&gt;=100*0.4,2,IF(M187&gt;=100*0.33,1,0))))))))</f>
        <v/>
      </c>
      <c r="AF187">
        <f>IF(B187="","",IF(N187&lt;16.5,0,IF(N187&gt;=50*0.8,5,IF(N187&gt;=50*0.7,4,IF(N187&gt;=50*0.6,3.5,IF(N187&gt;=50*0.5,3,IF(N187&gt;=50*0.4,2,IF(N187&gt;=50*0.33,1,0))))))))</f>
        <v/>
      </c>
      <c r="AG187">
        <f>IF(B187="","",IF(O187&lt;33.0,0,IF(O187&gt;=100*0.8,5,IF(O187&gt;=100*0.7,4,IF(O187&gt;=100*0.6,3.5,IF(O187&gt;=100*0.5,3,IF(O187&gt;=100*0.4,2,IF(O187&gt;=100*0.33,1,0))))))))</f>
        <v/>
      </c>
      <c r="AH187">
        <f>IF(B187="","",IF(OR(U187=0,V187=0,W187=0,X187=0,Y187=0,Z187=0,AA187=0,AB187=0,AC187=0,AD187=0,AE187=0,AF187=0,AG187=0),1,0))</f>
        <v/>
      </c>
    </row>
    <row r="188">
      <c r="A188" s="3">
        <f>IF(B188="","",ROW()-2)</f>
        <v/>
      </c>
      <c r="P188" s="4">
        <f>IF(B188="","",SUM(C188:O188))</f>
        <v/>
      </c>
      <c r="Q188" s="5">
        <f>IF(B188="","",ROUND(P188/13,2))</f>
        <v/>
      </c>
      <c r="R188" s="5">
        <f>IF(B188="","",IF(AH188=1,0,MIN(5,ROUND((U188+V188+W188+X188+Y188+Z188+AA188+AB188+AC188+AD188+AE188+AF188+AG188)/13,2))))</f>
        <v/>
      </c>
      <c r="S188" s="3">
        <f>IF(B188="","",IF(R188&gt;=5,"A+",IF(R188&gt;=4,"A",IF(R188&gt;=3.5,"A-",IF(R188&gt;=3,"B",IF(R188&gt;=2,"C",IF(R188&gt;=1,"D","F")))))))</f>
        <v/>
      </c>
      <c r="T188" s="3">
        <f>IF(OR(B188="",S188="F"),"",COUNTIFS(P:P,"&gt;"&amp;P188,S:S,"&lt;&gt;F")+1)</f>
        <v/>
      </c>
      <c r="U188">
        <f>IF(B188="","",IF(C188&lt;33.0,0,IF(C188&gt;=100*0.8,5,IF(C188&gt;=100*0.7,4,IF(C188&gt;=100*0.6,3.5,IF(C188&gt;=100*0.5,3,IF(C188&gt;=100*0.4,2,IF(C188&gt;=100*0.33,1,0))))))))</f>
        <v/>
      </c>
      <c r="V188">
        <f>IF(B188="","",IF(D188&lt;33.0,0,IF(D188&gt;=100*0.8,5,IF(D188&gt;=100*0.7,4,IF(D188&gt;=100*0.6,3.5,IF(D188&gt;=100*0.5,3,IF(D188&gt;=100*0.4,2,IF(D188&gt;=100*0.33,1,0))))))))</f>
        <v/>
      </c>
      <c r="W188">
        <f>IF(B188="","",IF(E188&lt;16.5,0,IF(E188&gt;=50*0.8,5,IF(E188&gt;=50*0.7,4,IF(E188&gt;=50*0.6,3.5,IF(E188&gt;=50*0.5,3,IF(E188&gt;=50*0.4,2,IF(E188&gt;=50*0.33,1,0))))))))</f>
        <v/>
      </c>
      <c r="X188">
        <f>IF(B188="","",IF(F188&lt;33.0,0,IF(F188&gt;=100*0.8,5,IF(F188&gt;=100*0.7,4,IF(F188&gt;=100*0.6,3.5,IF(F188&gt;=100*0.5,3,IF(F188&gt;=100*0.4,2,IF(F188&gt;=100*0.33,1,0))))))))</f>
        <v/>
      </c>
      <c r="Y188">
        <f>IF(B188="","",IF(G188&lt;16.5,0,IF(G188&gt;=50*0.8,5,IF(G188&gt;=50*0.7,4,IF(G188&gt;=50*0.6,3.5,IF(G188&gt;=50*0.5,3,IF(G188&gt;=50*0.4,2,IF(G188&gt;=50*0.33,1,0))))))))</f>
        <v/>
      </c>
      <c r="Z188">
        <f>IF(B188="","",IF(H188&lt;33.0,0,IF(H188&gt;=100*0.8,5,IF(H188&gt;=100*0.7,4,IF(H188&gt;=100*0.6,3.5,IF(H188&gt;=100*0.5,3,IF(H188&gt;=100*0.4,2,IF(H188&gt;=100*0.33,1,0))))))))</f>
        <v/>
      </c>
      <c r="AA188">
        <f>IF(B188="","",IF(I188&lt;33.0,0,IF(I188&gt;=100*0.8,5,IF(I188&gt;=100*0.7,4,IF(I188&gt;=100*0.6,3.5,IF(I188&gt;=100*0.5,3,IF(I188&gt;=100*0.4,2,IF(I188&gt;=100*0.33,1,0))))))))</f>
        <v/>
      </c>
      <c r="AB188">
        <f>IF(B188="","",IF(J188&lt;33.0,0,IF(J188&gt;=100*0.8,5,IF(J188&gt;=100*0.7,4,IF(J188&gt;=100*0.6,3.5,IF(J188&gt;=100*0.5,3,IF(J188&gt;=100*0.4,2,IF(J188&gt;=100*0.33,1,0))))))))</f>
        <v/>
      </c>
      <c r="AC188">
        <f>IF(B188="","",IF(K188&lt;33.0,0,IF(K188&gt;=100*0.8,5,IF(K188&gt;=100*0.7,4,IF(K188&gt;=100*0.6,3.5,IF(K188&gt;=100*0.5,3,IF(K188&gt;=100*0.4,2,IF(K188&gt;=100*0.33,1,0))))))))</f>
        <v/>
      </c>
      <c r="AD188">
        <f>IF(B188="","",IF(L188&lt;33.0,0,IF(L188&gt;=100*0.8,5,IF(L188&gt;=100*0.7,4,IF(L188&gt;=100*0.6,3.5,IF(L188&gt;=100*0.5,3,IF(L188&gt;=100*0.4,2,IF(L188&gt;=100*0.33,1,0))))))))</f>
        <v/>
      </c>
      <c r="AE188">
        <f>IF(B188="","",IF(M188&lt;33.0,0,IF(M188&gt;=100*0.8,5,IF(M188&gt;=100*0.7,4,IF(M188&gt;=100*0.6,3.5,IF(M188&gt;=100*0.5,3,IF(M188&gt;=100*0.4,2,IF(M188&gt;=100*0.33,1,0))))))))</f>
        <v/>
      </c>
      <c r="AF188">
        <f>IF(B188="","",IF(N188&lt;16.5,0,IF(N188&gt;=50*0.8,5,IF(N188&gt;=50*0.7,4,IF(N188&gt;=50*0.6,3.5,IF(N188&gt;=50*0.5,3,IF(N188&gt;=50*0.4,2,IF(N188&gt;=50*0.33,1,0))))))))</f>
        <v/>
      </c>
      <c r="AG188">
        <f>IF(B188="","",IF(O188&lt;33.0,0,IF(O188&gt;=100*0.8,5,IF(O188&gt;=100*0.7,4,IF(O188&gt;=100*0.6,3.5,IF(O188&gt;=100*0.5,3,IF(O188&gt;=100*0.4,2,IF(O188&gt;=100*0.33,1,0))))))))</f>
        <v/>
      </c>
      <c r="AH188">
        <f>IF(B188="","",IF(OR(U188=0,V188=0,W188=0,X188=0,Y188=0,Z188=0,AA188=0,AB188=0,AC188=0,AD188=0,AE188=0,AF188=0,AG188=0),1,0))</f>
        <v/>
      </c>
    </row>
    <row r="189">
      <c r="A189" s="3">
        <f>IF(B189="","",ROW()-2)</f>
        <v/>
      </c>
      <c r="P189" s="4">
        <f>IF(B189="","",SUM(C189:O189))</f>
        <v/>
      </c>
      <c r="Q189" s="5">
        <f>IF(B189="","",ROUND(P189/13,2))</f>
        <v/>
      </c>
      <c r="R189" s="5">
        <f>IF(B189="","",IF(AH189=1,0,MIN(5,ROUND((U189+V189+W189+X189+Y189+Z189+AA189+AB189+AC189+AD189+AE189+AF189+AG189)/13,2))))</f>
        <v/>
      </c>
      <c r="S189" s="3">
        <f>IF(B189="","",IF(R189&gt;=5,"A+",IF(R189&gt;=4,"A",IF(R189&gt;=3.5,"A-",IF(R189&gt;=3,"B",IF(R189&gt;=2,"C",IF(R189&gt;=1,"D","F")))))))</f>
        <v/>
      </c>
      <c r="T189" s="3">
        <f>IF(OR(B189="",S189="F"),"",COUNTIFS(P:P,"&gt;"&amp;P189,S:S,"&lt;&gt;F")+1)</f>
        <v/>
      </c>
      <c r="U189">
        <f>IF(B189="","",IF(C189&lt;33.0,0,IF(C189&gt;=100*0.8,5,IF(C189&gt;=100*0.7,4,IF(C189&gt;=100*0.6,3.5,IF(C189&gt;=100*0.5,3,IF(C189&gt;=100*0.4,2,IF(C189&gt;=100*0.33,1,0))))))))</f>
        <v/>
      </c>
      <c r="V189">
        <f>IF(B189="","",IF(D189&lt;33.0,0,IF(D189&gt;=100*0.8,5,IF(D189&gt;=100*0.7,4,IF(D189&gt;=100*0.6,3.5,IF(D189&gt;=100*0.5,3,IF(D189&gt;=100*0.4,2,IF(D189&gt;=100*0.33,1,0))))))))</f>
        <v/>
      </c>
      <c r="W189">
        <f>IF(B189="","",IF(E189&lt;16.5,0,IF(E189&gt;=50*0.8,5,IF(E189&gt;=50*0.7,4,IF(E189&gt;=50*0.6,3.5,IF(E189&gt;=50*0.5,3,IF(E189&gt;=50*0.4,2,IF(E189&gt;=50*0.33,1,0))))))))</f>
        <v/>
      </c>
      <c r="X189">
        <f>IF(B189="","",IF(F189&lt;33.0,0,IF(F189&gt;=100*0.8,5,IF(F189&gt;=100*0.7,4,IF(F189&gt;=100*0.6,3.5,IF(F189&gt;=100*0.5,3,IF(F189&gt;=100*0.4,2,IF(F189&gt;=100*0.33,1,0))))))))</f>
        <v/>
      </c>
      <c r="Y189">
        <f>IF(B189="","",IF(G189&lt;16.5,0,IF(G189&gt;=50*0.8,5,IF(G189&gt;=50*0.7,4,IF(G189&gt;=50*0.6,3.5,IF(G189&gt;=50*0.5,3,IF(G189&gt;=50*0.4,2,IF(G189&gt;=50*0.33,1,0))))))))</f>
        <v/>
      </c>
      <c r="Z189">
        <f>IF(B189="","",IF(H189&lt;33.0,0,IF(H189&gt;=100*0.8,5,IF(H189&gt;=100*0.7,4,IF(H189&gt;=100*0.6,3.5,IF(H189&gt;=100*0.5,3,IF(H189&gt;=100*0.4,2,IF(H189&gt;=100*0.33,1,0))))))))</f>
        <v/>
      </c>
      <c r="AA189">
        <f>IF(B189="","",IF(I189&lt;33.0,0,IF(I189&gt;=100*0.8,5,IF(I189&gt;=100*0.7,4,IF(I189&gt;=100*0.6,3.5,IF(I189&gt;=100*0.5,3,IF(I189&gt;=100*0.4,2,IF(I189&gt;=100*0.33,1,0))))))))</f>
        <v/>
      </c>
      <c r="AB189">
        <f>IF(B189="","",IF(J189&lt;33.0,0,IF(J189&gt;=100*0.8,5,IF(J189&gt;=100*0.7,4,IF(J189&gt;=100*0.6,3.5,IF(J189&gt;=100*0.5,3,IF(J189&gt;=100*0.4,2,IF(J189&gt;=100*0.33,1,0))))))))</f>
        <v/>
      </c>
      <c r="AC189">
        <f>IF(B189="","",IF(K189&lt;33.0,0,IF(K189&gt;=100*0.8,5,IF(K189&gt;=100*0.7,4,IF(K189&gt;=100*0.6,3.5,IF(K189&gt;=100*0.5,3,IF(K189&gt;=100*0.4,2,IF(K189&gt;=100*0.33,1,0))))))))</f>
        <v/>
      </c>
      <c r="AD189">
        <f>IF(B189="","",IF(L189&lt;33.0,0,IF(L189&gt;=100*0.8,5,IF(L189&gt;=100*0.7,4,IF(L189&gt;=100*0.6,3.5,IF(L189&gt;=100*0.5,3,IF(L189&gt;=100*0.4,2,IF(L189&gt;=100*0.33,1,0))))))))</f>
        <v/>
      </c>
      <c r="AE189">
        <f>IF(B189="","",IF(M189&lt;33.0,0,IF(M189&gt;=100*0.8,5,IF(M189&gt;=100*0.7,4,IF(M189&gt;=100*0.6,3.5,IF(M189&gt;=100*0.5,3,IF(M189&gt;=100*0.4,2,IF(M189&gt;=100*0.33,1,0))))))))</f>
        <v/>
      </c>
      <c r="AF189">
        <f>IF(B189="","",IF(N189&lt;16.5,0,IF(N189&gt;=50*0.8,5,IF(N189&gt;=50*0.7,4,IF(N189&gt;=50*0.6,3.5,IF(N189&gt;=50*0.5,3,IF(N189&gt;=50*0.4,2,IF(N189&gt;=50*0.33,1,0))))))))</f>
        <v/>
      </c>
      <c r="AG189">
        <f>IF(B189="","",IF(O189&lt;33.0,0,IF(O189&gt;=100*0.8,5,IF(O189&gt;=100*0.7,4,IF(O189&gt;=100*0.6,3.5,IF(O189&gt;=100*0.5,3,IF(O189&gt;=100*0.4,2,IF(O189&gt;=100*0.33,1,0))))))))</f>
        <v/>
      </c>
      <c r="AH189">
        <f>IF(B189="","",IF(OR(U189=0,V189=0,W189=0,X189=0,Y189=0,Z189=0,AA189=0,AB189=0,AC189=0,AD189=0,AE189=0,AF189=0,AG189=0),1,0))</f>
        <v/>
      </c>
    </row>
    <row r="190">
      <c r="A190" s="3">
        <f>IF(B190="","",ROW()-2)</f>
        <v/>
      </c>
      <c r="P190" s="4">
        <f>IF(B190="","",SUM(C190:O190))</f>
        <v/>
      </c>
      <c r="Q190" s="5">
        <f>IF(B190="","",ROUND(P190/13,2))</f>
        <v/>
      </c>
      <c r="R190" s="5">
        <f>IF(B190="","",IF(AH190=1,0,MIN(5,ROUND((U190+V190+W190+X190+Y190+Z190+AA190+AB190+AC190+AD190+AE190+AF190+AG190)/13,2))))</f>
        <v/>
      </c>
      <c r="S190" s="3">
        <f>IF(B190="","",IF(R190&gt;=5,"A+",IF(R190&gt;=4,"A",IF(R190&gt;=3.5,"A-",IF(R190&gt;=3,"B",IF(R190&gt;=2,"C",IF(R190&gt;=1,"D","F")))))))</f>
        <v/>
      </c>
      <c r="T190" s="3">
        <f>IF(OR(B190="",S190="F"),"",COUNTIFS(P:P,"&gt;"&amp;P190,S:S,"&lt;&gt;F")+1)</f>
        <v/>
      </c>
      <c r="U190">
        <f>IF(B190="","",IF(C190&lt;33.0,0,IF(C190&gt;=100*0.8,5,IF(C190&gt;=100*0.7,4,IF(C190&gt;=100*0.6,3.5,IF(C190&gt;=100*0.5,3,IF(C190&gt;=100*0.4,2,IF(C190&gt;=100*0.33,1,0))))))))</f>
        <v/>
      </c>
      <c r="V190">
        <f>IF(B190="","",IF(D190&lt;33.0,0,IF(D190&gt;=100*0.8,5,IF(D190&gt;=100*0.7,4,IF(D190&gt;=100*0.6,3.5,IF(D190&gt;=100*0.5,3,IF(D190&gt;=100*0.4,2,IF(D190&gt;=100*0.33,1,0))))))))</f>
        <v/>
      </c>
      <c r="W190">
        <f>IF(B190="","",IF(E190&lt;16.5,0,IF(E190&gt;=50*0.8,5,IF(E190&gt;=50*0.7,4,IF(E190&gt;=50*0.6,3.5,IF(E190&gt;=50*0.5,3,IF(E190&gt;=50*0.4,2,IF(E190&gt;=50*0.33,1,0))))))))</f>
        <v/>
      </c>
      <c r="X190">
        <f>IF(B190="","",IF(F190&lt;33.0,0,IF(F190&gt;=100*0.8,5,IF(F190&gt;=100*0.7,4,IF(F190&gt;=100*0.6,3.5,IF(F190&gt;=100*0.5,3,IF(F190&gt;=100*0.4,2,IF(F190&gt;=100*0.33,1,0))))))))</f>
        <v/>
      </c>
      <c r="Y190">
        <f>IF(B190="","",IF(G190&lt;16.5,0,IF(G190&gt;=50*0.8,5,IF(G190&gt;=50*0.7,4,IF(G190&gt;=50*0.6,3.5,IF(G190&gt;=50*0.5,3,IF(G190&gt;=50*0.4,2,IF(G190&gt;=50*0.33,1,0))))))))</f>
        <v/>
      </c>
      <c r="Z190">
        <f>IF(B190="","",IF(H190&lt;33.0,0,IF(H190&gt;=100*0.8,5,IF(H190&gt;=100*0.7,4,IF(H190&gt;=100*0.6,3.5,IF(H190&gt;=100*0.5,3,IF(H190&gt;=100*0.4,2,IF(H190&gt;=100*0.33,1,0))))))))</f>
        <v/>
      </c>
      <c r="AA190">
        <f>IF(B190="","",IF(I190&lt;33.0,0,IF(I190&gt;=100*0.8,5,IF(I190&gt;=100*0.7,4,IF(I190&gt;=100*0.6,3.5,IF(I190&gt;=100*0.5,3,IF(I190&gt;=100*0.4,2,IF(I190&gt;=100*0.33,1,0))))))))</f>
        <v/>
      </c>
      <c r="AB190">
        <f>IF(B190="","",IF(J190&lt;33.0,0,IF(J190&gt;=100*0.8,5,IF(J190&gt;=100*0.7,4,IF(J190&gt;=100*0.6,3.5,IF(J190&gt;=100*0.5,3,IF(J190&gt;=100*0.4,2,IF(J190&gt;=100*0.33,1,0))))))))</f>
        <v/>
      </c>
      <c r="AC190">
        <f>IF(B190="","",IF(K190&lt;33.0,0,IF(K190&gt;=100*0.8,5,IF(K190&gt;=100*0.7,4,IF(K190&gt;=100*0.6,3.5,IF(K190&gt;=100*0.5,3,IF(K190&gt;=100*0.4,2,IF(K190&gt;=100*0.33,1,0))))))))</f>
        <v/>
      </c>
      <c r="AD190">
        <f>IF(B190="","",IF(L190&lt;33.0,0,IF(L190&gt;=100*0.8,5,IF(L190&gt;=100*0.7,4,IF(L190&gt;=100*0.6,3.5,IF(L190&gt;=100*0.5,3,IF(L190&gt;=100*0.4,2,IF(L190&gt;=100*0.33,1,0))))))))</f>
        <v/>
      </c>
      <c r="AE190">
        <f>IF(B190="","",IF(M190&lt;33.0,0,IF(M190&gt;=100*0.8,5,IF(M190&gt;=100*0.7,4,IF(M190&gt;=100*0.6,3.5,IF(M190&gt;=100*0.5,3,IF(M190&gt;=100*0.4,2,IF(M190&gt;=100*0.33,1,0))))))))</f>
        <v/>
      </c>
      <c r="AF190">
        <f>IF(B190="","",IF(N190&lt;16.5,0,IF(N190&gt;=50*0.8,5,IF(N190&gt;=50*0.7,4,IF(N190&gt;=50*0.6,3.5,IF(N190&gt;=50*0.5,3,IF(N190&gt;=50*0.4,2,IF(N190&gt;=50*0.33,1,0))))))))</f>
        <v/>
      </c>
      <c r="AG190">
        <f>IF(B190="","",IF(O190&lt;33.0,0,IF(O190&gt;=100*0.8,5,IF(O190&gt;=100*0.7,4,IF(O190&gt;=100*0.6,3.5,IF(O190&gt;=100*0.5,3,IF(O190&gt;=100*0.4,2,IF(O190&gt;=100*0.33,1,0))))))))</f>
        <v/>
      </c>
      <c r="AH190">
        <f>IF(B190="","",IF(OR(U190=0,V190=0,W190=0,X190=0,Y190=0,Z190=0,AA190=0,AB190=0,AC190=0,AD190=0,AE190=0,AF190=0,AG190=0),1,0))</f>
        <v/>
      </c>
    </row>
    <row r="191">
      <c r="A191" s="3">
        <f>IF(B191="","",ROW()-2)</f>
        <v/>
      </c>
      <c r="P191" s="4">
        <f>IF(B191="","",SUM(C191:O191))</f>
        <v/>
      </c>
      <c r="Q191" s="5">
        <f>IF(B191="","",ROUND(P191/13,2))</f>
        <v/>
      </c>
      <c r="R191" s="5">
        <f>IF(B191="","",IF(AH191=1,0,MIN(5,ROUND((U191+V191+W191+X191+Y191+Z191+AA191+AB191+AC191+AD191+AE191+AF191+AG191)/13,2))))</f>
        <v/>
      </c>
      <c r="S191" s="3">
        <f>IF(B191="","",IF(R191&gt;=5,"A+",IF(R191&gt;=4,"A",IF(R191&gt;=3.5,"A-",IF(R191&gt;=3,"B",IF(R191&gt;=2,"C",IF(R191&gt;=1,"D","F")))))))</f>
        <v/>
      </c>
      <c r="T191" s="3">
        <f>IF(OR(B191="",S191="F"),"",COUNTIFS(P:P,"&gt;"&amp;P191,S:S,"&lt;&gt;F")+1)</f>
        <v/>
      </c>
      <c r="U191">
        <f>IF(B191="","",IF(C191&lt;33.0,0,IF(C191&gt;=100*0.8,5,IF(C191&gt;=100*0.7,4,IF(C191&gt;=100*0.6,3.5,IF(C191&gt;=100*0.5,3,IF(C191&gt;=100*0.4,2,IF(C191&gt;=100*0.33,1,0))))))))</f>
        <v/>
      </c>
      <c r="V191">
        <f>IF(B191="","",IF(D191&lt;33.0,0,IF(D191&gt;=100*0.8,5,IF(D191&gt;=100*0.7,4,IF(D191&gt;=100*0.6,3.5,IF(D191&gt;=100*0.5,3,IF(D191&gt;=100*0.4,2,IF(D191&gt;=100*0.33,1,0))))))))</f>
        <v/>
      </c>
      <c r="W191">
        <f>IF(B191="","",IF(E191&lt;16.5,0,IF(E191&gt;=50*0.8,5,IF(E191&gt;=50*0.7,4,IF(E191&gt;=50*0.6,3.5,IF(E191&gt;=50*0.5,3,IF(E191&gt;=50*0.4,2,IF(E191&gt;=50*0.33,1,0))))))))</f>
        <v/>
      </c>
      <c r="X191">
        <f>IF(B191="","",IF(F191&lt;33.0,0,IF(F191&gt;=100*0.8,5,IF(F191&gt;=100*0.7,4,IF(F191&gt;=100*0.6,3.5,IF(F191&gt;=100*0.5,3,IF(F191&gt;=100*0.4,2,IF(F191&gt;=100*0.33,1,0))))))))</f>
        <v/>
      </c>
      <c r="Y191">
        <f>IF(B191="","",IF(G191&lt;16.5,0,IF(G191&gt;=50*0.8,5,IF(G191&gt;=50*0.7,4,IF(G191&gt;=50*0.6,3.5,IF(G191&gt;=50*0.5,3,IF(G191&gt;=50*0.4,2,IF(G191&gt;=50*0.33,1,0))))))))</f>
        <v/>
      </c>
      <c r="Z191">
        <f>IF(B191="","",IF(H191&lt;33.0,0,IF(H191&gt;=100*0.8,5,IF(H191&gt;=100*0.7,4,IF(H191&gt;=100*0.6,3.5,IF(H191&gt;=100*0.5,3,IF(H191&gt;=100*0.4,2,IF(H191&gt;=100*0.33,1,0))))))))</f>
        <v/>
      </c>
      <c r="AA191">
        <f>IF(B191="","",IF(I191&lt;33.0,0,IF(I191&gt;=100*0.8,5,IF(I191&gt;=100*0.7,4,IF(I191&gt;=100*0.6,3.5,IF(I191&gt;=100*0.5,3,IF(I191&gt;=100*0.4,2,IF(I191&gt;=100*0.33,1,0))))))))</f>
        <v/>
      </c>
      <c r="AB191">
        <f>IF(B191="","",IF(J191&lt;33.0,0,IF(J191&gt;=100*0.8,5,IF(J191&gt;=100*0.7,4,IF(J191&gt;=100*0.6,3.5,IF(J191&gt;=100*0.5,3,IF(J191&gt;=100*0.4,2,IF(J191&gt;=100*0.33,1,0))))))))</f>
        <v/>
      </c>
      <c r="AC191">
        <f>IF(B191="","",IF(K191&lt;33.0,0,IF(K191&gt;=100*0.8,5,IF(K191&gt;=100*0.7,4,IF(K191&gt;=100*0.6,3.5,IF(K191&gt;=100*0.5,3,IF(K191&gt;=100*0.4,2,IF(K191&gt;=100*0.33,1,0))))))))</f>
        <v/>
      </c>
      <c r="AD191">
        <f>IF(B191="","",IF(L191&lt;33.0,0,IF(L191&gt;=100*0.8,5,IF(L191&gt;=100*0.7,4,IF(L191&gt;=100*0.6,3.5,IF(L191&gt;=100*0.5,3,IF(L191&gt;=100*0.4,2,IF(L191&gt;=100*0.33,1,0))))))))</f>
        <v/>
      </c>
      <c r="AE191">
        <f>IF(B191="","",IF(M191&lt;33.0,0,IF(M191&gt;=100*0.8,5,IF(M191&gt;=100*0.7,4,IF(M191&gt;=100*0.6,3.5,IF(M191&gt;=100*0.5,3,IF(M191&gt;=100*0.4,2,IF(M191&gt;=100*0.33,1,0))))))))</f>
        <v/>
      </c>
      <c r="AF191">
        <f>IF(B191="","",IF(N191&lt;16.5,0,IF(N191&gt;=50*0.8,5,IF(N191&gt;=50*0.7,4,IF(N191&gt;=50*0.6,3.5,IF(N191&gt;=50*0.5,3,IF(N191&gt;=50*0.4,2,IF(N191&gt;=50*0.33,1,0))))))))</f>
        <v/>
      </c>
      <c r="AG191">
        <f>IF(B191="","",IF(O191&lt;33.0,0,IF(O191&gt;=100*0.8,5,IF(O191&gt;=100*0.7,4,IF(O191&gt;=100*0.6,3.5,IF(O191&gt;=100*0.5,3,IF(O191&gt;=100*0.4,2,IF(O191&gt;=100*0.33,1,0))))))))</f>
        <v/>
      </c>
      <c r="AH191">
        <f>IF(B191="","",IF(OR(U191=0,V191=0,W191=0,X191=0,Y191=0,Z191=0,AA191=0,AB191=0,AC191=0,AD191=0,AE191=0,AF191=0,AG191=0),1,0))</f>
        <v/>
      </c>
    </row>
    <row r="192">
      <c r="A192" s="3">
        <f>IF(B192="","",ROW()-2)</f>
        <v/>
      </c>
      <c r="P192" s="4">
        <f>IF(B192="","",SUM(C192:O192))</f>
        <v/>
      </c>
      <c r="Q192" s="5">
        <f>IF(B192="","",ROUND(P192/13,2))</f>
        <v/>
      </c>
      <c r="R192" s="5">
        <f>IF(B192="","",IF(AH192=1,0,MIN(5,ROUND((U192+V192+W192+X192+Y192+Z192+AA192+AB192+AC192+AD192+AE192+AF192+AG192)/13,2))))</f>
        <v/>
      </c>
      <c r="S192" s="3">
        <f>IF(B192="","",IF(R192&gt;=5,"A+",IF(R192&gt;=4,"A",IF(R192&gt;=3.5,"A-",IF(R192&gt;=3,"B",IF(R192&gt;=2,"C",IF(R192&gt;=1,"D","F")))))))</f>
        <v/>
      </c>
      <c r="T192" s="3">
        <f>IF(OR(B192="",S192="F"),"",COUNTIFS(P:P,"&gt;"&amp;P192,S:S,"&lt;&gt;F")+1)</f>
        <v/>
      </c>
      <c r="U192">
        <f>IF(B192="","",IF(C192&lt;33.0,0,IF(C192&gt;=100*0.8,5,IF(C192&gt;=100*0.7,4,IF(C192&gt;=100*0.6,3.5,IF(C192&gt;=100*0.5,3,IF(C192&gt;=100*0.4,2,IF(C192&gt;=100*0.33,1,0))))))))</f>
        <v/>
      </c>
      <c r="V192">
        <f>IF(B192="","",IF(D192&lt;33.0,0,IF(D192&gt;=100*0.8,5,IF(D192&gt;=100*0.7,4,IF(D192&gt;=100*0.6,3.5,IF(D192&gt;=100*0.5,3,IF(D192&gt;=100*0.4,2,IF(D192&gt;=100*0.33,1,0))))))))</f>
        <v/>
      </c>
      <c r="W192">
        <f>IF(B192="","",IF(E192&lt;16.5,0,IF(E192&gt;=50*0.8,5,IF(E192&gt;=50*0.7,4,IF(E192&gt;=50*0.6,3.5,IF(E192&gt;=50*0.5,3,IF(E192&gt;=50*0.4,2,IF(E192&gt;=50*0.33,1,0))))))))</f>
        <v/>
      </c>
      <c r="X192">
        <f>IF(B192="","",IF(F192&lt;33.0,0,IF(F192&gt;=100*0.8,5,IF(F192&gt;=100*0.7,4,IF(F192&gt;=100*0.6,3.5,IF(F192&gt;=100*0.5,3,IF(F192&gt;=100*0.4,2,IF(F192&gt;=100*0.33,1,0))))))))</f>
        <v/>
      </c>
      <c r="Y192">
        <f>IF(B192="","",IF(G192&lt;16.5,0,IF(G192&gt;=50*0.8,5,IF(G192&gt;=50*0.7,4,IF(G192&gt;=50*0.6,3.5,IF(G192&gt;=50*0.5,3,IF(G192&gt;=50*0.4,2,IF(G192&gt;=50*0.33,1,0))))))))</f>
        <v/>
      </c>
      <c r="Z192">
        <f>IF(B192="","",IF(H192&lt;33.0,0,IF(H192&gt;=100*0.8,5,IF(H192&gt;=100*0.7,4,IF(H192&gt;=100*0.6,3.5,IF(H192&gt;=100*0.5,3,IF(H192&gt;=100*0.4,2,IF(H192&gt;=100*0.33,1,0))))))))</f>
        <v/>
      </c>
      <c r="AA192">
        <f>IF(B192="","",IF(I192&lt;33.0,0,IF(I192&gt;=100*0.8,5,IF(I192&gt;=100*0.7,4,IF(I192&gt;=100*0.6,3.5,IF(I192&gt;=100*0.5,3,IF(I192&gt;=100*0.4,2,IF(I192&gt;=100*0.33,1,0))))))))</f>
        <v/>
      </c>
      <c r="AB192">
        <f>IF(B192="","",IF(J192&lt;33.0,0,IF(J192&gt;=100*0.8,5,IF(J192&gt;=100*0.7,4,IF(J192&gt;=100*0.6,3.5,IF(J192&gt;=100*0.5,3,IF(J192&gt;=100*0.4,2,IF(J192&gt;=100*0.33,1,0))))))))</f>
        <v/>
      </c>
      <c r="AC192">
        <f>IF(B192="","",IF(K192&lt;33.0,0,IF(K192&gt;=100*0.8,5,IF(K192&gt;=100*0.7,4,IF(K192&gt;=100*0.6,3.5,IF(K192&gt;=100*0.5,3,IF(K192&gt;=100*0.4,2,IF(K192&gt;=100*0.33,1,0))))))))</f>
        <v/>
      </c>
      <c r="AD192">
        <f>IF(B192="","",IF(L192&lt;33.0,0,IF(L192&gt;=100*0.8,5,IF(L192&gt;=100*0.7,4,IF(L192&gt;=100*0.6,3.5,IF(L192&gt;=100*0.5,3,IF(L192&gt;=100*0.4,2,IF(L192&gt;=100*0.33,1,0))))))))</f>
        <v/>
      </c>
      <c r="AE192">
        <f>IF(B192="","",IF(M192&lt;33.0,0,IF(M192&gt;=100*0.8,5,IF(M192&gt;=100*0.7,4,IF(M192&gt;=100*0.6,3.5,IF(M192&gt;=100*0.5,3,IF(M192&gt;=100*0.4,2,IF(M192&gt;=100*0.33,1,0))))))))</f>
        <v/>
      </c>
      <c r="AF192">
        <f>IF(B192="","",IF(N192&lt;16.5,0,IF(N192&gt;=50*0.8,5,IF(N192&gt;=50*0.7,4,IF(N192&gt;=50*0.6,3.5,IF(N192&gt;=50*0.5,3,IF(N192&gt;=50*0.4,2,IF(N192&gt;=50*0.33,1,0))))))))</f>
        <v/>
      </c>
      <c r="AG192">
        <f>IF(B192="","",IF(O192&lt;33.0,0,IF(O192&gt;=100*0.8,5,IF(O192&gt;=100*0.7,4,IF(O192&gt;=100*0.6,3.5,IF(O192&gt;=100*0.5,3,IF(O192&gt;=100*0.4,2,IF(O192&gt;=100*0.33,1,0))))))))</f>
        <v/>
      </c>
      <c r="AH192">
        <f>IF(B192="","",IF(OR(U192=0,V192=0,W192=0,X192=0,Y192=0,Z192=0,AA192=0,AB192=0,AC192=0,AD192=0,AE192=0,AF192=0,AG192=0),1,0))</f>
        <v/>
      </c>
    </row>
    <row r="193">
      <c r="A193" s="3">
        <f>IF(B193="","",ROW()-2)</f>
        <v/>
      </c>
      <c r="P193" s="4">
        <f>IF(B193="","",SUM(C193:O193))</f>
        <v/>
      </c>
      <c r="Q193" s="5">
        <f>IF(B193="","",ROUND(P193/13,2))</f>
        <v/>
      </c>
      <c r="R193" s="5">
        <f>IF(B193="","",IF(AH193=1,0,MIN(5,ROUND((U193+V193+W193+X193+Y193+Z193+AA193+AB193+AC193+AD193+AE193+AF193+AG193)/13,2))))</f>
        <v/>
      </c>
      <c r="S193" s="3">
        <f>IF(B193="","",IF(R193&gt;=5,"A+",IF(R193&gt;=4,"A",IF(R193&gt;=3.5,"A-",IF(R193&gt;=3,"B",IF(R193&gt;=2,"C",IF(R193&gt;=1,"D","F")))))))</f>
        <v/>
      </c>
      <c r="T193" s="3">
        <f>IF(OR(B193="",S193="F"),"",COUNTIFS(P:P,"&gt;"&amp;P193,S:S,"&lt;&gt;F")+1)</f>
        <v/>
      </c>
      <c r="U193">
        <f>IF(B193="","",IF(C193&lt;33.0,0,IF(C193&gt;=100*0.8,5,IF(C193&gt;=100*0.7,4,IF(C193&gt;=100*0.6,3.5,IF(C193&gt;=100*0.5,3,IF(C193&gt;=100*0.4,2,IF(C193&gt;=100*0.33,1,0))))))))</f>
        <v/>
      </c>
      <c r="V193">
        <f>IF(B193="","",IF(D193&lt;33.0,0,IF(D193&gt;=100*0.8,5,IF(D193&gt;=100*0.7,4,IF(D193&gt;=100*0.6,3.5,IF(D193&gt;=100*0.5,3,IF(D193&gt;=100*0.4,2,IF(D193&gt;=100*0.33,1,0))))))))</f>
        <v/>
      </c>
      <c r="W193">
        <f>IF(B193="","",IF(E193&lt;16.5,0,IF(E193&gt;=50*0.8,5,IF(E193&gt;=50*0.7,4,IF(E193&gt;=50*0.6,3.5,IF(E193&gt;=50*0.5,3,IF(E193&gt;=50*0.4,2,IF(E193&gt;=50*0.33,1,0))))))))</f>
        <v/>
      </c>
      <c r="X193">
        <f>IF(B193="","",IF(F193&lt;33.0,0,IF(F193&gt;=100*0.8,5,IF(F193&gt;=100*0.7,4,IF(F193&gt;=100*0.6,3.5,IF(F193&gt;=100*0.5,3,IF(F193&gt;=100*0.4,2,IF(F193&gt;=100*0.33,1,0))))))))</f>
        <v/>
      </c>
      <c r="Y193">
        <f>IF(B193="","",IF(G193&lt;16.5,0,IF(G193&gt;=50*0.8,5,IF(G193&gt;=50*0.7,4,IF(G193&gt;=50*0.6,3.5,IF(G193&gt;=50*0.5,3,IF(G193&gt;=50*0.4,2,IF(G193&gt;=50*0.33,1,0))))))))</f>
        <v/>
      </c>
      <c r="Z193">
        <f>IF(B193="","",IF(H193&lt;33.0,0,IF(H193&gt;=100*0.8,5,IF(H193&gt;=100*0.7,4,IF(H193&gt;=100*0.6,3.5,IF(H193&gt;=100*0.5,3,IF(H193&gt;=100*0.4,2,IF(H193&gt;=100*0.33,1,0))))))))</f>
        <v/>
      </c>
      <c r="AA193">
        <f>IF(B193="","",IF(I193&lt;33.0,0,IF(I193&gt;=100*0.8,5,IF(I193&gt;=100*0.7,4,IF(I193&gt;=100*0.6,3.5,IF(I193&gt;=100*0.5,3,IF(I193&gt;=100*0.4,2,IF(I193&gt;=100*0.33,1,0))))))))</f>
        <v/>
      </c>
      <c r="AB193">
        <f>IF(B193="","",IF(J193&lt;33.0,0,IF(J193&gt;=100*0.8,5,IF(J193&gt;=100*0.7,4,IF(J193&gt;=100*0.6,3.5,IF(J193&gt;=100*0.5,3,IF(J193&gt;=100*0.4,2,IF(J193&gt;=100*0.33,1,0))))))))</f>
        <v/>
      </c>
      <c r="AC193">
        <f>IF(B193="","",IF(K193&lt;33.0,0,IF(K193&gt;=100*0.8,5,IF(K193&gt;=100*0.7,4,IF(K193&gt;=100*0.6,3.5,IF(K193&gt;=100*0.5,3,IF(K193&gt;=100*0.4,2,IF(K193&gt;=100*0.33,1,0))))))))</f>
        <v/>
      </c>
      <c r="AD193">
        <f>IF(B193="","",IF(L193&lt;33.0,0,IF(L193&gt;=100*0.8,5,IF(L193&gt;=100*0.7,4,IF(L193&gt;=100*0.6,3.5,IF(L193&gt;=100*0.5,3,IF(L193&gt;=100*0.4,2,IF(L193&gt;=100*0.33,1,0))))))))</f>
        <v/>
      </c>
      <c r="AE193">
        <f>IF(B193="","",IF(M193&lt;33.0,0,IF(M193&gt;=100*0.8,5,IF(M193&gt;=100*0.7,4,IF(M193&gt;=100*0.6,3.5,IF(M193&gt;=100*0.5,3,IF(M193&gt;=100*0.4,2,IF(M193&gt;=100*0.33,1,0))))))))</f>
        <v/>
      </c>
      <c r="AF193">
        <f>IF(B193="","",IF(N193&lt;16.5,0,IF(N193&gt;=50*0.8,5,IF(N193&gt;=50*0.7,4,IF(N193&gt;=50*0.6,3.5,IF(N193&gt;=50*0.5,3,IF(N193&gt;=50*0.4,2,IF(N193&gt;=50*0.33,1,0))))))))</f>
        <v/>
      </c>
      <c r="AG193">
        <f>IF(B193="","",IF(O193&lt;33.0,0,IF(O193&gt;=100*0.8,5,IF(O193&gt;=100*0.7,4,IF(O193&gt;=100*0.6,3.5,IF(O193&gt;=100*0.5,3,IF(O193&gt;=100*0.4,2,IF(O193&gt;=100*0.33,1,0))))))))</f>
        <v/>
      </c>
      <c r="AH193">
        <f>IF(B193="","",IF(OR(U193=0,V193=0,W193=0,X193=0,Y193=0,Z193=0,AA193=0,AB193=0,AC193=0,AD193=0,AE193=0,AF193=0,AG193=0),1,0))</f>
        <v/>
      </c>
    </row>
    <row r="194">
      <c r="A194" s="3">
        <f>IF(B194="","",ROW()-2)</f>
        <v/>
      </c>
      <c r="P194" s="4">
        <f>IF(B194="","",SUM(C194:O194))</f>
        <v/>
      </c>
      <c r="Q194" s="5">
        <f>IF(B194="","",ROUND(P194/13,2))</f>
        <v/>
      </c>
      <c r="R194" s="5">
        <f>IF(B194="","",IF(AH194=1,0,MIN(5,ROUND((U194+V194+W194+X194+Y194+Z194+AA194+AB194+AC194+AD194+AE194+AF194+AG194)/13,2))))</f>
        <v/>
      </c>
      <c r="S194" s="3">
        <f>IF(B194="","",IF(R194&gt;=5,"A+",IF(R194&gt;=4,"A",IF(R194&gt;=3.5,"A-",IF(R194&gt;=3,"B",IF(R194&gt;=2,"C",IF(R194&gt;=1,"D","F")))))))</f>
        <v/>
      </c>
      <c r="T194" s="3">
        <f>IF(OR(B194="",S194="F"),"",COUNTIFS(P:P,"&gt;"&amp;P194,S:S,"&lt;&gt;F")+1)</f>
        <v/>
      </c>
      <c r="U194">
        <f>IF(B194="","",IF(C194&lt;33.0,0,IF(C194&gt;=100*0.8,5,IF(C194&gt;=100*0.7,4,IF(C194&gt;=100*0.6,3.5,IF(C194&gt;=100*0.5,3,IF(C194&gt;=100*0.4,2,IF(C194&gt;=100*0.33,1,0))))))))</f>
        <v/>
      </c>
      <c r="V194">
        <f>IF(B194="","",IF(D194&lt;33.0,0,IF(D194&gt;=100*0.8,5,IF(D194&gt;=100*0.7,4,IF(D194&gt;=100*0.6,3.5,IF(D194&gt;=100*0.5,3,IF(D194&gt;=100*0.4,2,IF(D194&gt;=100*0.33,1,0))))))))</f>
        <v/>
      </c>
      <c r="W194">
        <f>IF(B194="","",IF(E194&lt;16.5,0,IF(E194&gt;=50*0.8,5,IF(E194&gt;=50*0.7,4,IF(E194&gt;=50*0.6,3.5,IF(E194&gt;=50*0.5,3,IF(E194&gt;=50*0.4,2,IF(E194&gt;=50*0.33,1,0))))))))</f>
        <v/>
      </c>
      <c r="X194">
        <f>IF(B194="","",IF(F194&lt;33.0,0,IF(F194&gt;=100*0.8,5,IF(F194&gt;=100*0.7,4,IF(F194&gt;=100*0.6,3.5,IF(F194&gt;=100*0.5,3,IF(F194&gt;=100*0.4,2,IF(F194&gt;=100*0.33,1,0))))))))</f>
        <v/>
      </c>
      <c r="Y194">
        <f>IF(B194="","",IF(G194&lt;16.5,0,IF(G194&gt;=50*0.8,5,IF(G194&gt;=50*0.7,4,IF(G194&gt;=50*0.6,3.5,IF(G194&gt;=50*0.5,3,IF(G194&gt;=50*0.4,2,IF(G194&gt;=50*0.33,1,0))))))))</f>
        <v/>
      </c>
      <c r="Z194">
        <f>IF(B194="","",IF(H194&lt;33.0,0,IF(H194&gt;=100*0.8,5,IF(H194&gt;=100*0.7,4,IF(H194&gt;=100*0.6,3.5,IF(H194&gt;=100*0.5,3,IF(H194&gt;=100*0.4,2,IF(H194&gt;=100*0.33,1,0))))))))</f>
        <v/>
      </c>
      <c r="AA194">
        <f>IF(B194="","",IF(I194&lt;33.0,0,IF(I194&gt;=100*0.8,5,IF(I194&gt;=100*0.7,4,IF(I194&gt;=100*0.6,3.5,IF(I194&gt;=100*0.5,3,IF(I194&gt;=100*0.4,2,IF(I194&gt;=100*0.33,1,0))))))))</f>
        <v/>
      </c>
      <c r="AB194">
        <f>IF(B194="","",IF(J194&lt;33.0,0,IF(J194&gt;=100*0.8,5,IF(J194&gt;=100*0.7,4,IF(J194&gt;=100*0.6,3.5,IF(J194&gt;=100*0.5,3,IF(J194&gt;=100*0.4,2,IF(J194&gt;=100*0.33,1,0))))))))</f>
        <v/>
      </c>
      <c r="AC194">
        <f>IF(B194="","",IF(K194&lt;33.0,0,IF(K194&gt;=100*0.8,5,IF(K194&gt;=100*0.7,4,IF(K194&gt;=100*0.6,3.5,IF(K194&gt;=100*0.5,3,IF(K194&gt;=100*0.4,2,IF(K194&gt;=100*0.33,1,0))))))))</f>
        <v/>
      </c>
      <c r="AD194">
        <f>IF(B194="","",IF(L194&lt;33.0,0,IF(L194&gt;=100*0.8,5,IF(L194&gt;=100*0.7,4,IF(L194&gt;=100*0.6,3.5,IF(L194&gt;=100*0.5,3,IF(L194&gt;=100*0.4,2,IF(L194&gt;=100*0.33,1,0))))))))</f>
        <v/>
      </c>
      <c r="AE194">
        <f>IF(B194="","",IF(M194&lt;33.0,0,IF(M194&gt;=100*0.8,5,IF(M194&gt;=100*0.7,4,IF(M194&gt;=100*0.6,3.5,IF(M194&gt;=100*0.5,3,IF(M194&gt;=100*0.4,2,IF(M194&gt;=100*0.33,1,0))))))))</f>
        <v/>
      </c>
      <c r="AF194">
        <f>IF(B194="","",IF(N194&lt;16.5,0,IF(N194&gt;=50*0.8,5,IF(N194&gt;=50*0.7,4,IF(N194&gt;=50*0.6,3.5,IF(N194&gt;=50*0.5,3,IF(N194&gt;=50*0.4,2,IF(N194&gt;=50*0.33,1,0))))))))</f>
        <v/>
      </c>
      <c r="AG194">
        <f>IF(B194="","",IF(O194&lt;33.0,0,IF(O194&gt;=100*0.8,5,IF(O194&gt;=100*0.7,4,IF(O194&gt;=100*0.6,3.5,IF(O194&gt;=100*0.5,3,IF(O194&gt;=100*0.4,2,IF(O194&gt;=100*0.33,1,0))))))))</f>
        <v/>
      </c>
      <c r="AH194">
        <f>IF(B194="","",IF(OR(U194=0,V194=0,W194=0,X194=0,Y194=0,Z194=0,AA194=0,AB194=0,AC194=0,AD194=0,AE194=0,AF194=0,AG194=0),1,0))</f>
        <v/>
      </c>
    </row>
    <row r="195">
      <c r="A195" s="3">
        <f>IF(B195="","",ROW()-2)</f>
        <v/>
      </c>
      <c r="P195" s="4">
        <f>IF(B195="","",SUM(C195:O195))</f>
        <v/>
      </c>
      <c r="Q195" s="5">
        <f>IF(B195="","",ROUND(P195/13,2))</f>
        <v/>
      </c>
      <c r="R195" s="5">
        <f>IF(B195="","",IF(AH195=1,0,MIN(5,ROUND((U195+V195+W195+X195+Y195+Z195+AA195+AB195+AC195+AD195+AE195+AF195+AG195)/13,2))))</f>
        <v/>
      </c>
      <c r="S195" s="3">
        <f>IF(B195="","",IF(R195&gt;=5,"A+",IF(R195&gt;=4,"A",IF(R195&gt;=3.5,"A-",IF(R195&gt;=3,"B",IF(R195&gt;=2,"C",IF(R195&gt;=1,"D","F")))))))</f>
        <v/>
      </c>
      <c r="T195" s="3">
        <f>IF(OR(B195="",S195="F"),"",COUNTIFS(P:P,"&gt;"&amp;P195,S:S,"&lt;&gt;F")+1)</f>
        <v/>
      </c>
      <c r="U195">
        <f>IF(B195="","",IF(C195&lt;33.0,0,IF(C195&gt;=100*0.8,5,IF(C195&gt;=100*0.7,4,IF(C195&gt;=100*0.6,3.5,IF(C195&gt;=100*0.5,3,IF(C195&gt;=100*0.4,2,IF(C195&gt;=100*0.33,1,0))))))))</f>
        <v/>
      </c>
      <c r="V195">
        <f>IF(B195="","",IF(D195&lt;33.0,0,IF(D195&gt;=100*0.8,5,IF(D195&gt;=100*0.7,4,IF(D195&gt;=100*0.6,3.5,IF(D195&gt;=100*0.5,3,IF(D195&gt;=100*0.4,2,IF(D195&gt;=100*0.33,1,0))))))))</f>
        <v/>
      </c>
      <c r="W195">
        <f>IF(B195="","",IF(E195&lt;16.5,0,IF(E195&gt;=50*0.8,5,IF(E195&gt;=50*0.7,4,IF(E195&gt;=50*0.6,3.5,IF(E195&gt;=50*0.5,3,IF(E195&gt;=50*0.4,2,IF(E195&gt;=50*0.33,1,0))))))))</f>
        <v/>
      </c>
      <c r="X195">
        <f>IF(B195="","",IF(F195&lt;33.0,0,IF(F195&gt;=100*0.8,5,IF(F195&gt;=100*0.7,4,IF(F195&gt;=100*0.6,3.5,IF(F195&gt;=100*0.5,3,IF(F195&gt;=100*0.4,2,IF(F195&gt;=100*0.33,1,0))))))))</f>
        <v/>
      </c>
      <c r="Y195">
        <f>IF(B195="","",IF(G195&lt;16.5,0,IF(G195&gt;=50*0.8,5,IF(G195&gt;=50*0.7,4,IF(G195&gt;=50*0.6,3.5,IF(G195&gt;=50*0.5,3,IF(G195&gt;=50*0.4,2,IF(G195&gt;=50*0.33,1,0))))))))</f>
        <v/>
      </c>
      <c r="Z195">
        <f>IF(B195="","",IF(H195&lt;33.0,0,IF(H195&gt;=100*0.8,5,IF(H195&gt;=100*0.7,4,IF(H195&gt;=100*0.6,3.5,IF(H195&gt;=100*0.5,3,IF(H195&gt;=100*0.4,2,IF(H195&gt;=100*0.33,1,0))))))))</f>
        <v/>
      </c>
      <c r="AA195">
        <f>IF(B195="","",IF(I195&lt;33.0,0,IF(I195&gt;=100*0.8,5,IF(I195&gt;=100*0.7,4,IF(I195&gt;=100*0.6,3.5,IF(I195&gt;=100*0.5,3,IF(I195&gt;=100*0.4,2,IF(I195&gt;=100*0.33,1,0))))))))</f>
        <v/>
      </c>
      <c r="AB195">
        <f>IF(B195="","",IF(J195&lt;33.0,0,IF(J195&gt;=100*0.8,5,IF(J195&gt;=100*0.7,4,IF(J195&gt;=100*0.6,3.5,IF(J195&gt;=100*0.5,3,IF(J195&gt;=100*0.4,2,IF(J195&gt;=100*0.33,1,0))))))))</f>
        <v/>
      </c>
      <c r="AC195">
        <f>IF(B195="","",IF(K195&lt;33.0,0,IF(K195&gt;=100*0.8,5,IF(K195&gt;=100*0.7,4,IF(K195&gt;=100*0.6,3.5,IF(K195&gt;=100*0.5,3,IF(K195&gt;=100*0.4,2,IF(K195&gt;=100*0.33,1,0))))))))</f>
        <v/>
      </c>
      <c r="AD195">
        <f>IF(B195="","",IF(L195&lt;33.0,0,IF(L195&gt;=100*0.8,5,IF(L195&gt;=100*0.7,4,IF(L195&gt;=100*0.6,3.5,IF(L195&gt;=100*0.5,3,IF(L195&gt;=100*0.4,2,IF(L195&gt;=100*0.33,1,0))))))))</f>
        <v/>
      </c>
      <c r="AE195">
        <f>IF(B195="","",IF(M195&lt;33.0,0,IF(M195&gt;=100*0.8,5,IF(M195&gt;=100*0.7,4,IF(M195&gt;=100*0.6,3.5,IF(M195&gt;=100*0.5,3,IF(M195&gt;=100*0.4,2,IF(M195&gt;=100*0.33,1,0))))))))</f>
        <v/>
      </c>
      <c r="AF195">
        <f>IF(B195="","",IF(N195&lt;16.5,0,IF(N195&gt;=50*0.8,5,IF(N195&gt;=50*0.7,4,IF(N195&gt;=50*0.6,3.5,IF(N195&gt;=50*0.5,3,IF(N195&gt;=50*0.4,2,IF(N195&gt;=50*0.33,1,0))))))))</f>
        <v/>
      </c>
      <c r="AG195">
        <f>IF(B195="","",IF(O195&lt;33.0,0,IF(O195&gt;=100*0.8,5,IF(O195&gt;=100*0.7,4,IF(O195&gt;=100*0.6,3.5,IF(O195&gt;=100*0.5,3,IF(O195&gt;=100*0.4,2,IF(O195&gt;=100*0.33,1,0))))))))</f>
        <v/>
      </c>
      <c r="AH195">
        <f>IF(B195="","",IF(OR(U195=0,V195=0,W195=0,X195=0,Y195=0,Z195=0,AA195=0,AB195=0,AC195=0,AD195=0,AE195=0,AF195=0,AG195=0),1,0))</f>
        <v/>
      </c>
    </row>
    <row r="196">
      <c r="A196" s="3">
        <f>IF(B196="","",ROW()-2)</f>
        <v/>
      </c>
      <c r="P196" s="4">
        <f>IF(B196="","",SUM(C196:O196))</f>
        <v/>
      </c>
      <c r="Q196" s="5">
        <f>IF(B196="","",ROUND(P196/13,2))</f>
        <v/>
      </c>
      <c r="R196" s="5">
        <f>IF(B196="","",IF(AH196=1,0,MIN(5,ROUND((U196+V196+W196+X196+Y196+Z196+AA196+AB196+AC196+AD196+AE196+AF196+AG196)/13,2))))</f>
        <v/>
      </c>
      <c r="S196" s="3">
        <f>IF(B196="","",IF(R196&gt;=5,"A+",IF(R196&gt;=4,"A",IF(R196&gt;=3.5,"A-",IF(R196&gt;=3,"B",IF(R196&gt;=2,"C",IF(R196&gt;=1,"D","F")))))))</f>
        <v/>
      </c>
      <c r="T196" s="3">
        <f>IF(OR(B196="",S196="F"),"",COUNTIFS(P:P,"&gt;"&amp;P196,S:S,"&lt;&gt;F")+1)</f>
        <v/>
      </c>
      <c r="U196">
        <f>IF(B196="","",IF(C196&lt;33.0,0,IF(C196&gt;=100*0.8,5,IF(C196&gt;=100*0.7,4,IF(C196&gt;=100*0.6,3.5,IF(C196&gt;=100*0.5,3,IF(C196&gt;=100*0.4,2,IF(C196&gt;=100*0.33,1,0))))))))</f>
        <v/>
      </c>
      <c r="V196">
        <f>IF(B196="","",IF(D196&lt;33.0,0,IF(D196&gt;=100*0.8,5,IF(D196&gt;=100*0.7,4,IF(D196&gt;=100*0.6,3.5,IF(D196&gt;=100*0.5,3,IF(D196&gt;=100*0.4,2,IF(D196&gt;=100*0.33,1,0))))))))</f>
        <v/>
      </c>
      <c r="W196">
        <f>IF(B196="","",IF(E196&lt;16.5,0,IF(E196&gt;=50*0.8,5,IF(E196&gt;=50*0.7,4,IF(E196&gt;=50*0.6,3.5,IF(E196&gt;=50*0.5,3,IF(E196&gt;=50*0.4,2,IF(E196&gt;=50*0.33,1,0))))))))</f>
        <v/>
      </c>
      <c r="X196">
        <f>IF(B196="","",IF(F196&lt;33.0,0,IF(F196&gt;=100*0.8,5,IF(F196&gt;=100*0.7,4,IF(F196&gt;=100*0.6,3.5,IF(F196&gt;=100*0.5,3,IF(F196&gt;=100*0.4,2,IF(F196&gt;=100*0.33,1,0))))))))</f>
        <v/>
      </c>
      <c r="Y196">
        <f>IF(B196="","",IF(G196&lt;16.5,0,IF(G196&gt;=50*0.8,5,IF(G196&gt;=50*0.7,4,IF(G196&gt;=50*0.6,3.5,IF(G196&gt;=50*0.5,3,IF(G196&gt;=50*0.4,2,IF(G196&gt;=50*0.33,1,0))))))))</f>
        <v/>
      </c>
      <c r="Z196">
        <f>IF(B196="","",IF(H196&lt;33.0,0,IF(H196&gt;=100*0.8,5,IF(H196&gt;=100*0.7,4,IF(H196&gt;=100*0.6,3.5,IF(H196&gt;=100*0.5,3,IF(H196&gt;=100*0.4,2,IF(H196&gt;=100*0.33,1,0))))))))</f>
        <v/>
      </c>
      <c r="AA196">
        <f>IF(B196="","",IF(I196&lt;33.0,0,IF(I196&gt;=100*0.8,5,IF(I196&gt;=100*0.7,4,IF(I196&gt;=100*0.6,3.5,IF(I196&gt;=100*0.5,3,IF(I196&gt;=100*0.4,2,IF(I196&gt;=100*0.33,1,0))))))))</f>
        <v/>
      </c>
      <c r="AB196">
        <f>IF(B196="","",IF(J196&lt;33.0,0,IF(J196&gt;=100*0.8,5,IF(J196&gt;=100*0.7,4,IF(J196&gt;=100*0.6,3.5,IF(J196&gt;=100*0.5,3,IF(J196&gt;=100*0.4,2,IF(J196&gt;=100*0.33,1,0))))))))</f>
        <v/>
      </c>
      <c r="AC196">
        <f>IF(B196="","",IF(K196&lt;33.0,0,IF(K196&gt;=100*0.8,5,IF(K196&gt;=100*0.7,4,IF(K196&gt;=100*0.6,3.5,IF(K196&gt;=100*0.5,3,IF(K196&gt;=100*0.4,2,IF(K196&gt;=100*0.33,1,0))))))))</f>
        <v/>
      </c>
      <c r="AD196">
        <f>IF(B196="","",IF(L196&lt;33.0,0,IF(L196&gt;=100*0.8,5,IF(L196&gt;=100*0.7,4,IF(L196&gt;=100*0.6,3.5,IF(L196&gt;=100*0.5,3,IF(L196&gt;=100*0.4,2,IF(L196&gt;=100*0.33,1,0))))))))</f>
        <v/>
      </c>
      <c r="AE196">
        <f>IF(B196="","",IF(M196&lt;33.0,0,IF(M196&gt;=100*0.8,5,IF(M196&gt;=100*0.7,4,IF(M196&gt;=100*0.6,3.5,IF(M196&gt;=100*0.5,3,IF(M196&gt;=100*0.4,2,IF(M196&gt;=100*0.33,1,0))))))))</f>
        <v/>
      </c>
      <c r="AF196">
        <f>IF(B196="","",IF(N196&lt;16.5,0,IF(N196&gt;=50*0.8,5,IF(N196&gt;=50*0.7,4,IF(N196&gt;=50*0.6,3.5,IF(N196&gt;=50*0.5,3,IF(N196&gt;=50*0.4,2,IF(N196&gt;=50*0.33,1,0))))))))</f>
        <v/>
      </c>
      <c r="AG196">
        <f>IF(B196="","",IF(O196&lt;33.0,0,IF(O196&gt;=100*0.8,5,IF(O196&gt;=100*0.7,4,IF(O196&gt;=100*0.6,3.5,IF(O196&gt;=100*0.5,3,IF(O196&gt;=100*0.4,2,IF(O196&gt;=100*0.33,1,0))))))))</f>
        <v/>
      </c>
      <c r="AH196">
        <f>IF(B196="","",IF(OR(U196=0,V196=0,W196=0,X196=0,Y196=0,Z196=0,AA196=0,AB196=0,AC196=0,AD196=0,AE196=0,AF196=0,AG196=0),1,0))</f>
        <v/>
      </c>
    </row>
    <row r="197">
      <c r="A197" s="3">
        <f>IF(B197="","",ROW()-2)</f>
        <v/>
      </c>
      <c r="P197" s="4">
        <f>IF(B197="","",SUM(C197:O197))</f>
        <v/>
      </c>
      <c r="Q197" s="5">
        <f>IF(B197="","",ROUND(P197/13,2))</f>
        <v/>
      </c>
      <c r="R197" s="5">
        <f>IF(B197="","",IF(AH197=1,0,MIN(5,ROUND((U197+V197+W197+X197+Y197+Z197+AA197+AB197+AC197+AD197+AE197+AF197+AG197)/13,2))))</f>
        <v/>
      </c>
      <c r="S197" s="3">
        <f>IF(B197="","",IF(R197&gt;=5,"A+",IF(R197&gt;=4,"A",IF(R197&gt;=3.5,"A-",IF(R197&gt;=3,"B",IF(R197&gt;=2,"C",IF(R197&gt;=1,"D","F")))))))</f>
        <v/>
      </c>
      <c r="T197" s="3">
        <f>IF(OR(B197="",S197="F"),"",COUNTIFS(P:P,"&gt;"&amp;P197,S:S,"&lt;&gt;F")+1)</f>
        <v/>
      </c>
      <c r="U197">
        <f>IF(B197="","",IF(C197&lt;33.0,0,IF(C197&gt;=100*0.8,5,IF(C197&gt;=100*0.7,4,IF(C197&gt;=100*0.6,3.5,IF(C197&gt;=100*0.5,3,IF(C197&gt;=100*0.4,2,IF(C197&gt;=100*0.33,1,0))))))))</f>
        <v/>
      </c>
      <c r="V197">
        <f>IF(B197="","",IF(D197&lt;33.0,0,IF(D197&gt;=100*0.8,5,IF(D197&gt;=100*0.7,4,IF(D197&gt;=100*0.6,3.5,IF(D197&gt;=100*0.5,3,IF(D197&gt;=100*0.4,2,IF(D197&gt;=100*0.33,1,0))))))))</f>
        <v/>
      </c>
      <c r="W197">
        <f>IF(B197="","",IF(E197&lt;16.5,0,IF(E197&gt;=50*0.8,5,IF(E197&gt;=50*0.7,4,IF(E197&gt;=50*0.6,3.5,IF(E197&gt;=50*0.5,3,IF(E197&gt;=50*0.4,2,IF(E197&gt;=50*0.33,1,0))))))))</f>
        <v/>
      </c>
      <c r="X197">
        <f>IF(B197="","",IF(F197&lt;33.0,0,IF(F197&gt;=100*0.8,5,IF(F197&gt;=100*0.7,4,IF(F197&gt;=100*0.6,3.5,IF(F197&gt;=100*0.5,3,IF(F197&gt;=100*0.4,2,IF(F197&gt;=100*0.33,1,0))))))))</f>
        <v/>
      </c>
      <c r="Y197">
        <f>IF(B197="","",IF(G197&lt;16.5,0,IF(G197&gt;=50*0.8,5,IF(G197&gt;=50*0.7,4,IF(G197&gt;=50*0.6,3.5,IF(G197&gt;=50*0.5,3,IF(G197&gt;=50*0.4,2,IF(G197&gt;=50*0.33,1,0))))))))</f>
        <v/>
      </c>
      <c r="Z197">
        <f>IF(B197="","",IF(H197&lt;33.0,0,IF(H197&gt;=100*0.8,5,IF(H197&gt;=100*0.7,4,IF(H197&gt;=100*0.6,3.5,IF(H197&gt;=100*0.5,3,IF(H197&gt;=100*0.4,2,IF(H197&gt;=100*0.33,1,0))))))))</f>
        <v/>
      </c>
      <c r="AA197">
        <f>IF(B197="","",IF(I197&lt;33.0,0,IF(I197&gt;=100*0.8,5,IF(I197&gt;=100*0.7,4,IF(I197&gt;=100*0.6,3.5,IF(I197&gt;=100*0.5,3,IF(I197&gt;=100*0.4,2,IF(I197&gt;=100*0.33,1,0))))))))</f>
        <v/>
      </c>
      <c r="AB197">
        <f>IF(B197="","",IF(J197&lt;33.0,0,IF(J197&gt;=100*0.8,5,IF(J197&gt;=100*0.7,4,IF(J197&gt;=100*0.6,3.5,IF(J197&gt;=100*0.5,3,IF(J197&gt;=100*0.4,2,IF(J197&gt;=100*0.33,1,0))))))))</f>
        <v/>
      </c>
      <c r="AC197">
        <f>IF(B197="","",IF(K197&lt;33.0,0,IF(K197&gt;=100*0.8,5,IF(K197&gt;=100*0.7,4,IF(K197&gt;=100*0.6,3.5,IF(K197&gt;=100*0.5,3,IF(K197&gt;=100*0.4,2,IF(K197&gt;=100*0.33,1,0))))))))</f>
        <v/>
      </c>
      <c r="AD197">
        <f>IF(B197="","",IF(L197&lt;33.0,0,IF(L197&gt;=100*0.8,5,IF(L197&gt;=100*0.7,4,IF(L197&gt;=100*0.6,3.5,IF(L197&gt;=100*0.5,3,IF(L197&gt;=100*0.4,2,IF(L197&gt;=100*0.33,1,0))))))))</f>
        <v/>
      </c>
      <c r="AE197">
        <f>IF(B197="","",IF(M197&lt;33.0,0,IF(M197&gt;=100*0.8,5,IF(M197&gt;=100*0.7,4,IF(M197&gt;=100*0.6,3.5,IF(M197&gt;=100*0.5,3,IF(M197&gt;=100*0.4,2,IF(M197&gt;=100*0.33,1,0))))))))</f>
        <v/>
      </c>
      <c r="AF197">
        <f>IF(B197="","",IF(N197&lt;16.5,0,IF(N197&gt;=50*0.8,5,IF(N197&gt;=50*0.7,4,IF(N197&gt;=50*0.6,3.5,IF(N197&gt;=50*0.5,3,IF(N197&gt;=50*0.4,2,IF(N197&gt;=50*0.33,1,0))))))))</f>
        <v/>
      </c>
      <c r="AG197">
        <f>IF(B197="","",IF(O197&lt;33.0,0,IF(O197&gt;=100*0.8,5,IF(O197&gt;=100*0.7,4,IF(O197&gt;=100*0.6,3.5,IF(O197&gt;=100*0.5,3,IF(O197&gt;=100*0.4,2,IF(O197&gt;=100*0.33,1,0))))))))</f>
        <v/>
      </c>
      <c r="AH197">
        <f>IF(B197="","",IF(OR(U197=0,V197=0,W197=0,X197=0,Y197=0,Z197=0,AA197=0,AB197=0,AC197=0,AD197=0,AE197=0,AF197=0,AG197=0),1,0))</f>
        <v/>
      </c>
    </row>
    <row r="198">
      <c r="A198" s="3">
        <f>IF(B198="","",ROW()-2)</f>
        <v/>
      </c>
      <c r="P198" s="4">
        <f>IF(B198="","",SUM(C198:O198))</f>
        <v/>
      </c>
      <c r="Q198" s="5">
        <f>IF(B198="","",ROUND(P198/13,2))</f>
        <v/>
      </c>
      <c r="R198" s="5">
        <f>IF(B198="","",IF(AH198=1,0,MIN(5,ROUND((U198+V198+W198+X198+Y198+Z198+AA198+AB198+AC198+AD198+AE198+AF198+AG198)/13,2))))</f>
        <v/>
      </c>
      <c r="S198" s="3">
        <f>IF(B198="","",IF(R198&gt;=5,"A+",IF(R198&gt;=4,"A",IF(R198&gt;=3.5,"A-",IF(R198&gt;=3,"B",IF(R198&gt;=2,"C",IF(R198&gt;=1,"D","F")))))))</f>
        <v/>
      </c>
      <c r="T198" s="3">
        <f>IF(OR(B198="",S198="F"),"",COUNTIFS(P:P,"&gt;"&amp;P198,S:S,"&lt;&gt;F")+1)</f>
        <v/>
      </c>
      <c r="U198">
        <f>IF(B198="","",IF(C198&lt;33.0,0,IF(C198&gt;=100*0.8,5,IF(C198&gt;=100*0.7,4,IF(C198&gt;=100*0.6,3.5,IF(C198&gt;=100*0.5,3,IF(C198&gt;=100*0.4,2,IF(C198&gt;=100*0.33,1,0))))))))</f>
        <v/>
      </c>
      <c r="V198">
        <f>IF(B198="","",IF(D198&lt;33.0,0,IF(D198&gt;=100*0.8,5,IF(D198&gt;=100*0.7,4,IF(D198&gt;=100*0.6,3.5,IF(D198&gt;=100*0.5,3,IF(D198&gt;=100*0.4,2,IF(D198&gt;=100*0.33,1,0))))))))</f>
        <v/>
      </c>
      <c r="W198">
        <f>IF(B198="","",IF(E198&lt;16.5,0,IF(E198&gt;=50*0.8,5,IF(E198&gt;=50*0.7,4,IF(E198&gt;=50*0.6,3.5,IF(E198&gt;=50*0.5,3,IF(E198&gt;=50*0.4,2,IF(E198&gt;=50*0.33,1,0))))))))</f>
        <v/>
      </c>
      <c r="X198">
        <f>IF(B198="","",IF(F198&lt;33.0,0,IF(F198&gt;=100*0.8,5,IF(F198&gt;=100*0.7,4,IF(F198&gt;=100*0.6,3.5,IF(F198&gt;=100*0.5,3,IF(F198&gt;=100*0.4,2,IF(F198&gt;=100*0.33,1,0))))))))</f>
        <v/>
      </c>
      <c r="Y198">
        <f>IF(B198="","",IF(G198&lt;16.5,0,IF(G198&gt;=50*0.8,5,IF(G198&gt;=50*0.7,4,IF(G198&gt;=50*0.6,3.5,IF(G198&gt;=50*0.5,3,IF(G198&gt;=50*0.4,2,IF(G198&gt;=50*0.33,1,0))))))))</f>
        <v/>
      </c>
      <c r="Z198">
        <f>IF(B198="","",IF(H198&lt;33.0,0,IF(H198&gt;=100*0.8,5,IF(H198&gt;=100*0.7,4,IF(H198&gt;=100*0.6,3.5,IF(H198&gt;=100*0.5,3,IF(H198&gt;=100*0.4,2,IF(H198&gt;=100*0.33,1,0))))))))</f>
        <v/>
      </c>
      <c r="AA198">
        <f>IF(B198="","",IF(I198&lt;33.0,0,IF(I198&gt;=100*0.8,5,IF(I198&gt;=100*0.7,4,IF(I198&gt;=100*0.6,3.5,IF(I198&gt;=100*0.5,3,IF(I198&gt;=100*0.4,2,IF(I198&gt;=100*0.33,1,0))))))))</f>
        <v/>
      </c>
      <c r="AB198">
        <f>IF(B198="","",IF(J198&lt;33.0,0,IF(J198&gt;=100*0.8,5,IF(J198&gt;=100*0.7,4,IF(J198&gt;=100*0.6,3.5,IF(J198&gt;=100*0.5,3,IF(J198&gt;=100*0.4,2,IF(J198&gt;=100*0.33,1,0))))))))</f>
        <v/>
      </c>
      <c r="AC198">
        <f>IF(B198="","",IF(K198&lt;33.0,0,IF(K198&gt;=100*0.8,5,IF(K198&gt;=100*0.7,4,IF(K198&gt;=100*0.6,3.5,IF(K198&gt;=100*0.5,3,IF(K198&gt;=100*0.4,2,IF(K198&gt;=100*0.33,1,0))))))))</f>
        <v/>
      </c>
      <c r="AD198">
        <f>IF(B198="","",IF(L198&lt;33.0,0,IF(L198&gt;=100*0.8,5,IF(L198&gt;=100*0.7,4,IF(L198&gt;=100*0.6,3.5,IF(L198&gt;=100*0.5,3,IF(L198&gt;=100*0.4,2,IF(L198&gt;=100*0.33,1,0))))))))</f>
        <v/>
      </c>
      <c r="AE198">
        <f>IF(B198="","",IF(M198&lt;33.0,0,IF(M198&gt;=100*0.8,5,IF(M198&gt;=100*0.7,4,IF(M198&gt;=100*0.6,3.5,IF(M198&gt;=100*0.5,3,IF(M198&gt;=100*0.4,2,IF(M198&gt;=100*0.33,1,0))))))))</f>
        <v/>
      </c>
      <c r="AF198">
        <f>IF(B198="","",IF(N198&lt;16.5,0,IF(N198&gt;=50*0.8,5,IF(N198&gt;=50*0.7,4,IF(N198&gt;=50*0.6,3.5,IF(N198&gt;=50*0.5,3,IF(N198&gt;=50*0.4,2,IF(N198&gt;=50*0.33,1,0))))))))</f>
        <v/>
      </c>
      <c r="AG198">
        <f>IF(B198="","",IF(O198&lt;33.0,0,IF(O198&gt;=100*0.8,5,IF(O198&gt;=100*0.7,4,IF(O198&gt;=100*0.6,3.5,IF(O198&gt;=100*0.5,3,IF(O198&gt;=100*0.4,2,IF(O198&gt;=100*0.33,1,0))))))))</f>
        <v/>
      </c>
      <c r="AH198">
        <f>IF(B198="","",IF(OR(U198=0,V198=0,W198=0,X198=0,Y198=0,Z198=0,AA198=0,AB198=0,AC198=0,AD198=0,AE198=0,AF198=0,AG198=0),1,0))</f>
        <v/>
      </c>
    </row>
    <row r="199">
      <c r="A199" s="3">
        <f>IF(B199="","",ROW()-2)</f>
        <v/>
      </c>
      <c r="P199" s="4">
        <f>IF(B199="","",SUM(C199:O199))</f>
        <v/>
      </c>
      <c r="Q199" s="5">
        <f>IF(B199="","",ROUND(P199/13,2))</f>
        <v/>
      </c>
      <c r="R199" s="5">
        <f>IF(B199="","",IF(AH199=1,0,MIN(5,ROUND((U199+V199+W199+X199+Y199+Z199+AA199+AB199+AC199+AD199+AE199+AF199+AG199)/13,2))))</f>
        <v/>
      </c>
      <c r="S199" s="3">
        <f>IF(B199="","",IF(R199&gt;=5,"A+",IF(R199&gt;=4,"A",IF(R199&gt;=3.5,"A-",IF(R199&gt;=3,"B",IF(R199&gt;=2,"C",IF(R199&gt;=1,"D","F")))))))</f>
        <v/>
      </c>
      <c r="T199" s="3">
        <f>IF(OR(B199="",S199="F"),"",COUNTIFS(P:P,"&gt;"&amp;P199,S:S,"&lt;&gt;F")+1)</f>
        <v/>
      </c>
      <c r="U199">
        <f>IF(B199="","",IF(C199&lt;33.0,0,IF(C199&gt;=100*0.8,5,IF(C199&gt;=100*0.7,4,IF(C199&gt;=100*0.6,3.5,IF(C199&gt;=100*0.5,3,IF(C199&gt;=100*0.4,2,IF(C199&gt;=100*0.33,1,0))))))))</f>
        <v/>
      </c>
      <c r="V199">
        <f>IF(B199="","",IF(D199&lt;33.0,0,IF(D199&gt;=100*0.8,5,IF(D199&gt;=100*0.7,4,IF(D199&gt;=100*0.6,3.5,IF(D199&gt;=100*0.5,3,IF(D199&gt;=100*0.4,2,IF(D199&gt;=100*0.33,1,0))))))))</f>
        <v/>
      </c>
      <c r="W199">
        <f>IF(B199="","",IF(E199&lt;16.5,0,IF(E199&gt;=50*0.8,5,IF(E199&gt;=50*0.7,4,IF(E199&gt;=50*0.6,3.5,IF(E199&gt;=50*0.5,3,IF(E199&gt;=50*0.4,2,IF(E199&gt;=50*0.33,1,0))))))))</f>
        <v/>
      </c>
      <c r="X199">
        <f>IF(B199="","",IF(F199&lt;33.0,0,IF(F199&gt;=100*0.8,5,IF(F199&gt;=100*0.7,4,IF(F199&gt;=100*0.6,3.5,IF(F199&gt;=100*0.5,3,IF(F199&gt;=100*0.4,2,IF(F199&gt;=100*0.33,1,0))))))))</f>
        <v/>
      </c>
      <c r="Y199">
        <f>IF(B199="","",IF(G199&lt;16.5,0,IF(G199&gt;=50*0.8,5,IF(G199&gt;=50*0.7,4,IF(G199&gt;=50*0.6,3.5,IF(G199&gt;=50*0.5,3,IF(G199&gt;=50*0.4,2,IF(G199&gt;=50*0.33,1,0))))))))</f>
        <v/>
      </c>
      <c r="Z199">
        <f>IF(B199="","",IF(H199&lt;33.0,0,IF(H199&gt;=100*0.8,5,IF(H199&gt;=100*0.7,4,IF(H199&gt;=100*0.6,3.5,IF(H199&gt;=100*0.5,3,IF(H199&gt;=100*0.4,2,IF(H199&gt;=100*0.33,1,0))))))))</f>
        <v/>
      </c>
      <c r="AA199">
        <f>IF(B199="","",IF(I199&lt;33.0,0,IF(I199&gt;=100*0.8,5,IF(I199&gt;=100*0.7,4,IF(I199&gt;=100*0.6,3.5,IF(I199&gt;=100*0.5,3,IF(I199&gt;=100*0.4,2,IF(I199&gt;=100*0.33,1,0))))))))</f>
        <v/>
      </c>
      <c r="AB199">
        <f>IF(B199="","",IF(J199&lt;33.0,0,IF(J199&gt;=100*0.8,5,IF(J199&gt;=100*0.7,4,IF(J199&gt;=100*0.6,3.5,IF(J199&gt;=100*0.5,3,IF(J199&gt;=100*0.4,2,IF(J199&gt;=100*0.33,1,0))))))))</f>
        <v/>
      </c>
      <c r="AC199">
        <f>IF(B199="","",IF(K199&lt;33.0,0,IF(K199&gt;=100*0.8,5,IF(K199&gt;=100*0.7,4,IF(K199&gt;=100*0.6,3.5,IF(K199&gt;=100*0.5,3,IF(K199&gt;=100*0.4,2,IF(K199&gt;=100*0.33,1,0))))))))</f>
        <v/>
      </c>
      <c r="AD199">
        <f>IF(B199="","",IF(L199&lt;33.0,0,IF(L199&gt;=100*0.8,5,IF(L199&gt;=100*0.7,4,IF(L199&gt;=100*0.6,3.5,IF(L199&gt;=100*0.5,3,IF(L199&gt;=100*0.4,2,IF(L199&gt;=100*0.33,1,0))))))))</f>
        <v/>
      </c>
      <c r="AE199">
        <f>IF(B199="","",IF(M199&lt;33.0,0,IF(M199&gt;=100*0.8,5,IF(M199&gt;=100*0.7,4,IF(M199&gt;=100*0.6,3.5,IF(M199&gt;=100*0.5,3,IF(M199&gt;=100*0.4,2,IF(M199&gt;=100*0.33,1,0))))))))</f>
        <v/>
      </c>
      <c r="AF199">
        <f>IF(B199="","",IF(N199&lt;16.5,0,IF(N199&gt;=50*0.8,5,IF(N199&gt;=50*0.7,4,IF(N199&gt;=50*0.6,3.5,IF(N199&gt;=50*0.5,3,IF(N199&gt;=50*0.4,2,IF(N199&gt;=50*0.33,1,0))))))))</f>
        <v/>
      </c>
      <c r="AG199">
        <f>IF(B199="","",IF(O199&lt;33.0,0,IF(O199&gt;=100*0.8,5,IF(O199&gt;=100*0.7,4,IF(O199&gt;=100*0.6,3.5,IF(O199&gt;=100*0.5,3,IF(O199&gt;=100*0.4,2,IF(O199&gt;=100*0.33,1,0))))))))</f>
        <v/>
      </c>
      <c r="AH199">
        <f>IF(B199="","",IF(OR(U199=0,V199=0,W199=0,X199=0,Y199=0,Z199=0,AA199=0,AB199=0,AC199=0,AD199=0,AE199=0,AF199=0,AG199=0),1,0))</f>
        <v/>
      </c>
    </row>
    <row r="200">
      <c r="A200" s="3">
        <f>IF(B200="","",ROW()-2)</f>
        <v/>
      </c>
      <c r="P200" s="4">
        <f>IF(B200="","",SUM(C200:O200))</f>
        <v/>
      </c>
      <c r="Q200" s="5">
        <f>IF(B200="","",ROUND(P200/13,2))</f>
        <v/>
      </c>
      <c r="R200" s="5">
        <f>IF(B200="","",IF(AH200=1,0,MIN(5,ROUND((U200+V200+W200+X200+Y200+Z200+AA200+AB200+AC200+AD200+AE200+AF200+AG200)/13,2))))</f>
        <v/>
      </c>
      <c r="S200" s="3">
        <f>IF(B200="","",IF(R200&gt;=5,"A+",IF(R200&gt;=4,"A",IF(R200&gt;=3.5,"A-",IF(R200&gt;=3,"B",IF(R200&gt;=2,"C",IF(R200&gt;=1,"D","F")))))))</f>
        <v/>
      </c>
      <c r="T200" s="3">
        <f>IF(OR(B200="",S200="F"),"",COUNTIFS(P:P,"&gt;"&amp;P200,S:S,"&lt;&gt;F")+1)</f>
        <v/>
      </c>
      <c r="U200">
        <f>IF(B200="","",IF(C200&lt;33.0,0,IF(C200&gt;=100*0.8,5,IF(C200&gt;=100*0.7,4,IF(C200&gt;=100*0.6,3.5,IF(C200&gt;=100*0.5,3,IF(C200&gt;=100*0.4,2,IF(C200&gt;=100*0.33,1,0))))))))</f>
        <v/>
      </c>
      <c r="V200">
        <f>IF(B200="","",IF(D200&lt;33.0,0,IF(D200&gt;=100*0.8,5,IF(D200&gt;=100*0.7,4,IF(D200&gt;=100*0.6,3.5,IF(D200&gt;=100*0.5,3,IF(D200&gt;=100*0.4,2,IF(D200&gt;=100*0.33,1,0))))))))</f>
        <v/>
      </c>
      <c r="W200">
        <f>IF(B200="","",IF(E200&lt;16.5,0,IF(E200&gt;=50*0.8,5,IF(E200&gt;=50*0.7,4,IF(E200&gt;=50*0.6,3.5,IF(E200&gt;=50*0.5,3,IF(E200&gt;=50*0.4,2,IF(E200&gt;=50*0.33,1,0))))))))</f>
        <v/>
      </c>
      <c r="X200">
        <f>IF(B200="","",IF(F200&lt;33.0,0,IF(F200&gt;=100*0.8,5,IF(F200&gt;=100*0.7,4,IF(F200&gt;=100*0.6,3.5,IF(F200&gt;=100*0.5,3,IF(F200&gt;=100*0.4,2,IF(F200&gt;=100*0.33,1,0))))))))</f>
        <v/>
      </c>
      <c r="Y200">
        <f>IF(B200="","",IF(G200&lt;16.5,0,IF(G200&gt;=50*0.8,5,IF(G200&gt;=50*0.7,4,IF(G200&gt;=50*0.6,3.5,IF(G200&gt;=50*0.5,3,IF(G200&gt;=50*0.4,2,IF(G200&gt;=50*0.33,1,0))))))))</f>
        <v/>
      </c>
      <c r="Z200">
        <f>IF(B200="","",IF(H200&lt;33.0,0,IF(H200&gt;=100*0.8,5,IF(H200&gt;=100*0.7,4,IF(H200&gt;=100*0.6,3.5,IF(H200&gt;=100*0.5,3,IF(H200&gt;=100*0.4,2,IF(H200&gt;=100*0.33,1,0))))))))</f>
        <v/>
      </c>
      <c r="AA200">
        <f>IF(B200="","",IF(I200&lt;33.0,0,IF(I200&gt;=100*0.8,5,IF(I200&gt;=100*0.7,4,IF(I200&gt;=100*0.6,3.5,IF(I200&gt;=100*0.5,3,IF(I200&gt;=100*0.4,2,IF(I200&gt;=100*0.33,1,0))))))))</f>
        <v/>
      </c>
      <c r="AB200">
        <f>IF(B200="","",IF(J200&lt;33.0,0,IF(J200&gt;=100*0.8,5,IF(J200&gt;=100*0.7,4,IF(J200&gt;=100*0.6,3.5,IF(J200&gt;=100*0.5,3,IF(J200&gt;=100*0.4,2,IF(J200&gt;=100*0.33,1,0))))))))</f>
        <v/>
      </c>
      <c r="AC200">
        <f>IF(B200="","",IF(K200&lt;33.0,0,IF(K200&gt;=100*0.8,5,IF(K200&gt;=100*0.7,4,IF(K200&gt;=100*0.6,3.5,IF(K200&gt;=100*0.5,3,IF(K200&gt;=100*0.4,2,IF(K200&gt;=100*0.33,1,0))))))))</f>
        <v/>
      </c>
      <c r="AD200">
        <f>IF(B200="","",IF(L200&lt;33.0,0,IF(L200&gt;=100*0.8,5,IF(L200&gt;=100*0.7,4,IF(L200&gt;=100*0.6,3.5,IF(L200&gt;=100*0.5,3,IF(L200&gt;=100*0.4,2,IF(L200&gt;=100*0.33,1,0))))))))</f>
        <v/>
      </c>
      <c r="AE200">
        <f>IF(B200="","",IF(M200&lt;33.0,0,IF(M200&gt;=100*0.8,5,IF(M200&gt;=100*0.7,4,IF(M200&gt;=100*0.6,3.5,IF(M200&gt;=100*0.5,3,IF(M200&gt;=100*0.4,2,IF(M200&gt;=100*0.33,1,0))))))))</f>
        <v/>
      </c>
      <c r="AF200">
        <f>IF(B200="","",IF(N200&lt;16.5,0,IF(N200&gt;=50*0.8,5,IF(N200&gt;=50*0.7,4,IF(N200&gt;=50*0.6,3.5,IF(N200&gt;=50*0.5,3,IF(N200&gt;=50*0.4,2,IF(N200&gt;=50*0.33,1,0))))))))</f>
        <v/>
      </c>
      <c r="AG200">
        <f>IF(B200="","",IF(O200&lt;33.0,0,IF(O200&gt;=100*0.8,5,IF(O200&gt;=100*0.7,4,IF(O200&gt;=100*0.6,3.5,IF(O200&gt;=100*0.5,3,IF(O200&gt;=100*0.4,2,IF(O200&gt;=100*0.33,1,0))))))))</f>
        <v/>
      </c>
      <c r="AH200">
        <f>IF(B200="","",IF(OR(U200=0,V200=0,W200=0,X200=0,Y200=0,Z200=0,AA200=0,AB200=0,AC200=0,AD200=0,AE200=0,AF200=0,AG200=0),1,0))</f>
        <v/>
      </c>
    </row>
    <row r="201">
      <c r="A201" s="3">
        <f>IF(B201="","",ROW()-2)</f>
        <v/>
      </c>
      <c r="P201" s="4">
        <f>IF(B201="","",SUM(C201:O201))</f>
        <v/>
      </c>
      <c r="Q201" s="5">
        <f>IF(B201="","",ROUND(P201/13,2))</f>
        <v/>
      </c>
      <c r="R201" s="5">
        <f>IF(B201="","",IF(AH201=1,0,MIN(5,ROUND((U201+V201+W201+X201+Y201+Z201+AA201+AB201+AC201+AD201+AE201+AF201+AG201)/13,2))))</f>
        <v/>
      </c>
      <c r="S201" s="3">
        <f>IF(B201="","",IF(R201&gt;=5,"A+",IF(R201&gt;=4,"A",IF(R201&gt;=3.5,"A-",IF(R201&gt;=3,"B",IF(R201&gt;=2,"C",IF(R201&gt;=1,"D","F")))))))</f>
        <v/>
      </c>
      <c r="T201" s="3">
        <f>IF(OR(B201="",S201="F"),"",COUNTIFS(P:P,"&gt;"&amp;P201,S:S,"&lt;&gt;F")+1)</f>
        <v/>
      </c>
      <c r="U201">
        <f>IF(B201="","",IF(C201&lt;33.0,0,IF(C201&gt;=100*0.8,5,IF(C201&gt;=100*0.7,4,IF(C201&gt;=100*0.6,3.5,IF(C201&gt;=100*0.5,3,IF(C201&gt;=100*0.4,2,IF(C201&gt;=100*0.33,1,0))))))))</f>
        <v/>
      </c>
      <c r="V201">
        <f>IF(B201="","",IF(D201&lt;33.0,0,IF(D201&gt;=100*0.8,5,IF(D201&gt;=100*0.7,4,IF(D201&gt;=100*0.6,3.5,IF(D201&gt;=100*0.5,3,IF(D201&gt;=100*0.4,2,IF(D201&gt;=100*0.33,1,0))))))))</f>
        <v/>
      </c>
      <c r="W201">
        <f>IF(B201="","",IF(E201&lt;16.5,0,IF(E201&gt;=50*0.8,5,IF(E201&gt;=50*0.7,4,IF(E201&gt;=50*0.6,3.5,IF(E201&gt;=50*0.5,3,IF(E201&gt;=50*0.4,2,IF(E201&gt;=50*0.33,1,0))))))))</f>
        <v/>
      </c>
      <c r="X201">
        <f>IF(B201="","",IF(F201&lt;33.0,0,IF(F201&gt;=100*0.8,5,IF(F201&gt;=100*0.7,4,IF(F201&gt;=100*0.6,3.5,IF(F201&gt;=100*0.5,3,IF(F201&gt;=100*0.4,2,IF(F201&gt;=100*0.33,1,0))))))))</f>
        <v/>
      </c>
      <c r="Y201">
        <f>IF(B201="","",IF(G201&lt;16.5,0,IF(G201&gt;=50*0.8,5,IF(G201&gt;=50*0.7,4,IF(G201&gt;=50*0.6,3.5,IF(G201&gt;=50*0.5,3,IF(G201&gt;=50*0.4,2,IF(G201&gt;=50*0.33,1,0))))))))</f>
        <v/>
      </c>
      <c r="Z201">
        <f>IF(B201="","",IF(H201&lt;33.0,0,IF(H201&gt;=100*0.8,5,IF(H201&gt;=100*0.7,4,IF(H201&gt;=100*0.6,3.5,IF(H201&gt;=100*0.5,3,IF(H201&gt;=100*0.4,2,IF(H201&gt;=100*0.33,1,0))))))))</f>
        <v/>
      </c>
      <c r="AA201">
        <f>IF(B201="","",IF(I201&lt;33.0,0,IF(I201&gt;=100*0.8,5,IF(I201&gt;=100*0.7,4,IF(I201&gt;=100*0.6,3.5,IF(I201&gt;=100*0.5,3,IF(I201&gt;=100*0.4,2,IF(I201&gt;=100*0.33,1,0))))))))</f>
        <v/>
      </c>
      <c r="AB201">
        <f>IF(B201="","",IF(J201&lt;33.0,0,IF(J201&gt;=100*0.8,5,IF(J201&gt;=100*0.7,4,IF(J201&gt;=100*0.6,3.5,IF(J201&gt;=100*0.5,3,IF(J201&gt;=100*0.4,2,IF(J201&gt;=100*0.33,1,0))))))))</f>
        <v/>
      </c>
      <c r="AC201">
        <f>IF(B201="","",IF(K201&lt;33.0,0,IF(K201&gt;=100*0.8,5,IF(K201&gt;=100*0.7,4,IF(K201&gt;=100*0.6,3.5,IF(K201&gt;=100*0.5,3,IF(K201&gt;=100*0.4,2,IF(K201&gt;=100*0.33,1,0))))))))</f>
        <v/>
      </c>
      <c r="AD201">
        <f>IF(B201="","",IF(L201&lt;33.0,0,IF(L201&gt;=100*0.8,5,IF(L201&gt;=100*0.7,4,IF(L201&gt;=100*0.6,3.5,IF(L201&gt;=100*0.5,3,IF(L201&gt;=100*0.4,2,IF(L201&gt;=100*0.33,1,0))))))))</f>
        <v/>
      </c>
      <c r="AE201">
        <f>IF(B201="","",IF(M201&lt;33.0,0,IF(M201&gt;=100*0.8,5,IF(M201&gt;=100*0.7,4,IF(M201&gt;=100*0.6,3.5,IF(M201&gt;=100*0.5,3,IF(M201&gt;=100*0.4,2,IF(M201&gt;=100*0.33,1,0))))))))</f>
        <v/>
      </c>
      <c r="AF201">
        <f>IF(B201="","",IF(N201&lt;16.5,0,IF(N201&gt;=50*0.8,5,IF(N201&gt;=50*0.7,4,IF(N201&gt;=50*0.6,3.5,IF(N201&gt;=50*0.5,3,IF(N201&gt;=50*0.4,2,IF(N201&gt;=50*0.33,1,0))))))))</f>
        <v/>
      </c>
      <c r="AG201">
        <f>IF(B201="","",IF(O201&lt;33.0,0,IF(O201&gt;=100*0.8,5,IF(O201&gt;=100*0.7,4,IF(O201&gt;=100*0.6,3.5,IF(O201&gt;=100*0.5,3,IF(O201&gt;=100*0.4,2,IF(O201&gt;=100*0.33,1,0))))))))</f>
        <v/>
      </c>
      <c r="AH201">
        <f>IF(B201="","",IF(OR(U201=0,V201=0,W201=0,X201=0,Y201=0,Z201=0,AA201=0,AB201=0,AC201=0,AD201=0,AE201=0,AF201=0,AG201=0),1,0))</f>
        <v/>
      </c>
    </row>
    <row r="202">
      <c r="A202" s="3">
        <f>IF(B202="","",ROW()-2)</f>
        <v/>
      </c>
      <c r="P202" s="4">
        <f>IF(B202="","",SUM(C202:O202))</f>
        <v/>
      </c>
      <c r="Q202" s="5">
        <f>IF(B202="","",ROUND(P202/13,2))</f>
        <v/>
      </c>
      <c r="R202" s="5">
        <f>IF(B202="","",IF(AH202=1,0,MIN(5,ROUND((U202+V202+W202+X202+Y202+Z202+AA202+AB202+AC202+AD202+AE202+AF202+AG202)/13,2))))</f>
        <v/>
      </c>
      <c r="S202" s="3">
        <f>IF(B202="","",IF(R202&gt;=5,"A+",IF(R202&gt;=4,"A",IF(R202&gt;=3.5,"A-",IF(R202&gt;=3,"B",IF(R202&gt;=2,"C",IF(R202&gt;=1,"D","F")))))))</f>
        <v/>
      </c>
      <c r="T202" s="3">
        <f>IF(OR(B202="",S202="F"),"",COUNTIFS(P:P,"&gt;"&amp;P202,S:S,"&lt;&gt;F")+1)</f>
        <v/>
      </c>
      <c r="U202">
        <f>IF(B202="","",IF(C202&lt;33.0,0,IF(C202&gt;=100*0.8,5,IF(C202&gt;=100*0.7,4,IF(C202&gt;=100*0.6,3.5,IF(C202&gt;=100*0.5,3,IF(C202&gt;=100*0.4,2,IF(C202&gt;=100*0.33,1,0))))))))</f>
        <v/>
      </c>
      <c r="V202">
        <f>IF(B202="","",IF(D202&lt;33.0,0,IF(D202&gt;=100*0.8,5,IF(D202&gt;=100*0.7,4,IF(D202&gt;=100*0.6,3.5,IF(D202&gt;=100*0.5,3,IF(D202&gt;=100*0.4,2,IF(D202&gt;=100*0.33,1,0))))))))</f>
        <v/>
      </c>
      <c r="W202">
        <f>IF(B202="","",IF(E202&lt;16.5,0,IF(E202&gt;=50*0.8,5,IF(E202&gt;=50*0.7,4,IF(E202&gt;=50*0.6,3.5,IF(E202&gt;=50*0.5,3,IF(E202&gt;=50*0.4,2,IF(E202&gt;=50*0.33,1,0))))))))</f>
        <v/>
      </c>
      <c r="X202">
        <f>IF(B202="","",IF(F202&lt;33.0,0,IF(F202&gt;=100*0.8,5,IF(F202&gt;=100*0.7,4,IF(F202&gt;=100*0.6,3.5,IF(F202&gt;=100*0.5,3,IF(F202&gt;=100*0.4,2,IF(F202&gt;=100*0.33,1,0))))))))</f>
        <v/>
      </c>
      <c r="Y202">
        <f>IF(B202="","",IF(G202&lt;16.5,0,IF(G202&gt;=50*0.8,5,IF(G202&gt;=50*0.7,4,IF(G202&gt;=50*0.6,3.5,IF(G202&gt;=50*0.5,3,IF(G202&gt;=50*0.4,2,IF(G202&gt;=50*0.33,1,0))))))))</f>
        <v/>
      </c>
      <c r="Z202">
        <f>IF(B202="","",IF(H202&lt;33.0,0,IF(H202&gt;=100*0.8,5,IF(H202&gt;=100*0.7,4,IF(H202&gt;=100*0.6,3.5,IF(H202&gt;=100*0.5,3,IF(H202&gt;=100*0.4,2,IF(H202&gt;=100*0.33,1,0))))))))</f>
        <v/>
      </c>
      <c r="AA202">
        <f>IF(B202="","",IF(I202&lt;33.0,0,IF(I202&gt;=100*0.8,5,IF(I202&gt;=100*0.7,4,IF(I202&gt;=100*0.6,3.5,IF(I202&gt;=100*0.5,3,IF(I202&gt;=100*0.4,2,IF(I202&gt;=100*0.33,1,0))))))))</f>
        <v/>
      </c>
      <c r="AB202">
        <f>IF(B202="","",IF(J202&lt;33.0,0,IF(J202&gt;=100*0.8,5,IF(J202&gt;=100*0.7,4,IF(J202&gt;=100*0.6,3.5,IF(J202&gt;=100*0.5,3,IF(J202&gt;=100*0.4,2,IF(J202&gt;=100*0.33,1,0))))))))</f>
        <v/>
      </c>
      <c r="AC202">
        <f>IF(B202="","",IF(K202&lt;33.0,0,IF(K202&gt;=100*0.8,5,IF(K202&gt;=100*0.7,4,IF(K202&gt;=100*0.6,3.5,IF(K202&gt;=100*0.5,3,IF(K202&gt;=100*0.4,2,IF(K202&gt;=100*0.33,1,0))))))))</f>
        <v/>
      </c>
      <c r="AD202">
        <f>IF(B202="","",IF(L202&lt;33.0,0,IF(L202&gt;=100*0.8,5,IF(L202&gt;=100*0.7,4,IF(L202&gt;=100*0.6,3.5,IF(L202&gt;=100*0.5,3,IF(L202&gt;=100*0.4,2,IF(L202&gt;=100*0.33,1,0))))))))</f>
        <v/>
      </c>
      <c r="AE202">
        <f>IF(B202="","",IF(M202&lt;33.0,0,IF(M202&gt;=100*0.8,5,IF(M202&gt;=100*0.7,4,IF(M202&gt;=100*0.6,3.5,IF(M202&gt;=100*0.5,3,IF(M202&gt;=100*0.4,2,IF(M202&gt;=100*0.33,1,0))))))))</f>
        <v/>
      </c>
      <c r="AF202">
        <f>IF(B202="","",IF(N202&lt;16.5,0,IF(N202&gt;=50*0.8,5,IF(N202&gt;=50*0.7,4,IF(N202&gt;=50*0.6,3.5,IF(N202&gt;=50*0.5,3,IF(N202&gt;=50*0.4,2,IF(N202&gt;=50*0.33,1,0))))))))</f>
        <v/>
      </c>
      <c r="AG202">
        <f>IF(B202="","",IF(O202&lt;33.0,0,IF(O202&gt;=100*0.8,5,IF(O202&gt;=100*0.7,4,IF(O202&gt;=100*0.6,3.5,IF(O202&gt;=100*0.5,3,IF(O202&gt;=100*0.4,2,IF(O202&gt;=100*0.33,1,0))))))))</f>
        <v/>
      </c>
      <c r="AH202">
        <f>IF(B202="","",IF(OR(U202=0,V202=0,W202=0,X202=0,Y202=0,Z202=0,AA202=0,AB202=0,AC202=0,AD202=0,AE202=0,AF202=0,AG202=0),1,0))</f>
        <v/>
      </c>
    </row>
    <row r="203">
      <c r="A203" s="3">
        <f>IF(B203="","",ROW()-2)</f>
        <v/>
      </c>
      <c r="P203" s="4">
        <f>IF(B203="","",SUM(C203:O203))</f>
        <v/>
      </c>
      <c r="Q203" s="5">
        <f>IF(B203="","",ROUND(P203/13,2))</f>
        <v/>
      </c>
      <c r="R203" s="5">
        <f>IF(B203="","",IF(AH203=1,0,MIN(5,ROUND((U203+V203+W203+X203+Y203+Z203+AA203+AB203+AC203+AD203+AE203+AF203+AG203)/13,2))))</f>
        <v/>
      </c>
      <c r="S203" s="3">
        <f>IF(B203="","",IF(R203&gt;=5,"A+",IF(R203&gt;=4,"A",IF(R203&gt;=3.5,"A-",IF(R203&gt;=3,"B",IF(R203&gt;=2,"C",IF(R203&gt;=1,"D","F")))))))</f>
        <v/>
      </c>
      <c r="T203" s="3">
        <f>IF(OR(B203="",S203="F"),"",COUNTIFS(P:P,"&gt;"&amp;P203,S:S,"&lt;&gt;F")+1)</f>
        <v/>
      </c>
      <c r="U203">
        <f>IF(B203="","",IF(C203&lt;33.0,0,IF(C203&gt;=100*0.8,5,IF(C203&gt;=100*0.7,4,IF(C203&gt;=100*0.6,3.5,IF(C203&gt;=100*0.5,3,IF(C203&gt;=100*0.4,2,IF(C203&gt;=100*0.33,1,0))))))))</f>
        <v/>
      </c>
      <c r="V203">
        <f>IF(B203="","",IF(D203&lt;33.0,0,IF(D203&gt;=100*0.8,5,IF(D203&gt;=100*0.7,4,IF(D203&gt;=100*0.6,3.5,IF(D203&gt;=100*0.5,3,IF(D203&gt;=100*0.4,2,IF(D203&gt;=100*0.33,1,0))))))))</f>
        <v/>
      </c>
      <c r="W203">
        <f>IF(B203="","",IF(E203&lt;16.5,0,IF(E203&gt;=50*0.8,5,IF(E203&gt;=50*0.7,4,IF(E203&gt;=50*0.6,3.5,IF(E203&gt;=50*0.5,3,IF(E203&gt;=50*0.4,2,IF(E203&gt;=50*0.33,1,0))))))))</f>
        <v/>
      </c>
      <c r="X203">
        <f>IF(B203="","",IF(F203&lt;33.0,0,IF(F203&gt;=100*0.8,5,IF(F203&gt;=100*0.7,4,IF(F203&gt;=100*0.6,3.5,IF(F203&gt;=100*0.5,3,IF(F203&gt;=100*0.4,2,IF(F203&gt;=100*0.33,1,0))))))))</f>
        <v/>
      </c>
      <c r="Y203">
        <f>IF(B203="","",IF(G203&lt;16.5,0,IF(G203&gt;=50*0.8,5,IF(G203&gt;=50*0.7,4,IF(G203&gt;=50*0.6,3.5,IF(G203&gt;=50*0.5,3,IF(G203&gt;=50*0.4,2,IF(G203&gt;=50*0.33,1,0))))))))</f>
        <v/>
      </c>
      <c r="Z203">
        <f>IF(B203="","",IF(H203&lt;33.0,0,IF(H203&gt;=100*0.8,5,IF(H203&gt;=100*0.7,4,IF(H203&gt;=100*0.6,3.5,IF(H203&gt;=100*0.5,3,IF(H203&gt;=100*0.4,2,IF(H203&gt;=100*0.33,1,0))))))))</f>
        <v/>
      </c>
      <c r="AA203">
        <f>IF(B203="","",IF(I203&lt;33.0,0,IF(I203&gt;=100*0.8,5,IF(I203&gt;=100*0.7,4,IF(I203&gt;=100*0.6,3.5,IF(I203&gt;=100*0.5,3,IF(I203&gt;=100*0.4,2,IF(I203&gt;=100*0.33,1,0))))))))</f>
        <v/>
      </c>
      <c r="AB203">
        <f>IF(B203="","",IF(J203&lt;33.0,0,IF(J203&gt;=100*0.8,5,IF(J203&gt;=100*0.7,4,IF(J203&gt;=100*0.6,3.5,IF(J203&gt;=100*0.5,3,IF(J203&gt;=100*0.4,2,IF(J203&gt;=100*0.33,1,0))))))))</f>
        <v/>
      </c>
      <c r="AC203">
        <f>IF(B203="","",IF(K203&lt;33.0,0,IF(K203&gt;=100*0.8,5,IF(K203&gt;=100*0.7,4,IF(K203&gt;=100*0.6,3.5,IF(K203&gt;=100*0.5,3,IF(K203&gt;=100*0.4,2,IF(K203&gt;=100*0.33,1,0))))))))</f>
        <v/>
      </c>
      <c r="AD203">
        <f>IF(B203="","",IF(L203&lt;33.0,0,IF(L203&gt;=100*0.8,5,IF(L203&gt;=100*0.7,4,IF(L203&gt;=100*0.6,3.5,IF(L203&gt;=100*0.5,3,IF(L203&gt;=100*0.4,2,IF(L203&gt;=100*0.33,1,0))))))))</f>
        <v/>
      </c>
      <c r="AE203">
        <f>IF(B203="","",IF(M203&lt;33.0,0,IF(M203&gt;=100*0.8,5,IF(M203&gt;=100*0.7,4,IF(M203&gt;=100*0.6,3.5,IF(M203&gt;=100*0.5,3,IF(M203&gt;=100*0.4,2,IF(M203&gt;=100*0.33,1,0))))))))</f>
        <v/>
      </c>
      <c r="AF203">
        <f>IF(B203="","",IF(N203&lt;16.5,0,IF(N203&gt;=50*0.8,5,IF(N203&gt;=50*0.7,4,IF(N203&gt;=50*0.6,3.5,IF(N203&gt;=50*0.5,3,IF(N203&gt;=50*0.4,2,IF(N203&gt;=50*0.33,1,0))))))))</f>
        <v/>
      </c>
      <c r="AG203">
        <f>IF(B203="","",IF(O203&lt;33.0,0,IF(O203&gt;=100*0.8,5,IF(O203&gt;=100*0.7,4,IF(O203&gt;=100*0.6,3.5,IF(O203&gt;=100*0.5,3,IF(O203&gt;=100*0.4,2,IF(O203&gt;=100*0.33,1,0))))))))</f>
        <v/>
      </c>
      <c r="AH203">
        <f>IF(B203="","",IF(OR(U203=0,V203=0,W203=0,X203=0,Y203=0,Z203=0,AA203=0,AB203=0,AC203=0,AD203=0,AE203=0,AF203=0,AG203=0),1,0))</f>
        <v/>
      </c>
    </row>
    <row r="204">
      <c r="A204" s="3">
        <f>IF(B204="","",ROW()-2)</f>
        <v/>
      </c>
      <c r="P204" s="4">
        <f>IF(B204="","",SUM(C204:O204))</f>
        <v/>
      </c>
      <c r="Q204" s="5">
        <f>IF(B204="","",ROUND(P204/13,2))</f>
        <v/>
      </c>
      <c r="R204" s="5">
        <f>IF(B204="","",IF(AH204=1,0,MIN(5,ROUND((U204+V204+W204+X204+Y204+Z204+AA204+AB204+AC204+AD204+AE204+AF204+AG204)/13,2))))</f>
        <v/>
      </c>
      <c r="S204" s="3">
        <f>IF(B204="","",IF(R204&gt;=5,"A+",IF(R204&gt;=4,"A",IF(R204&gt;=3.5,"A-",IF(R204&gt;=3,"B",IF(R204&gt;=2,"C",IF(R204&gt;=1,"D","F")))))))</f>
        <v/>
      </c>
      <c r="T204" s="3">
        <f>IF(OR(B204="",S204="F"),"",COUNTIFS(P:P,"&gt;"&amp;P204,S:S,"&lt;&gt;F")+1)</f>
        <v/>
      </c>
      <c r="U204">
        <f>IF(B204="","",IF(C204&lt;33.0,0,IF(C204&gt;=100*0.8,5,IF(C204&gt;=100*0.7,4,IF(C204&gt;=100*0.6,3.5,IF(C204&gt;=100*0.5,3,IF(C204&gt;=100*0.4,2,IF(C204&gt;=100*0.33,1,0))))))))</f>
        <v/>
      </c>
      <c r="V204">
        <f>IF(B204="","",IF(D204&lt;33.0,0,IF(D204&gt;=100*0.8,5,IF(D204&gt;=100*0.7,4,IF(D204&gt;=100*0.6,3.5,IF(D204&gt;=100*0.5,3,IF(D204&gt;=100*0.4,2,IF(D204&gt;=100*0.33,1,0))))))))</f>
        <v/>
      </c>
      <c r="W204">
        <f>IF(B204="","",IF(E204&lt;16.5,0,IF(E204&gt;=50*0.8,5,IF(E204&gt;=50*0.7,4,IF(E204&gt;=50*0.6,3.5,IF(E204&gt;=50*0.5,3,IF(E204&gt;=50*0.4,2,IF(E204&gt;=50*0.33,1,0))))))))</f>
        <v/>
      </c>
      <c r="X204">
        <f>IF(B204="","",IF(F204&lt;33.0,0,IF(F204&gt;=100*0.8,5,IF(F204&gt;=100*0.7,4,IF(F204&gt;=100*0.6,3.5,IF(F204&gt;=100*0.5,3,IF(F204&gt;=100*0.4,2,IF(F204&gt;=100*0.33,1,0))))))))</f>
        <v/>
      </c>
      <c r="Y204">
        <f>IF(B204="","",IF(G204&lt;16.5,0,IF(G204&gt;=50*0.8,5,IF(G204&gt;=50*0.7,4,IF(G204&gt;=50*0.6,3.5,IF(G204&gt;=50*0.5,3,IF(G204&gt;=50*0.4,2,IF(G204&gt;=50*0.33,1,0))))))))</f>
        <v/>
      </c>
      <c r="Z204">
        <f>IF(B204="","",IF(H204&lt;33.0,0,IF(H204&gt;=100*0.8,5,IF(H204&gt;=100*0.7,4,IF(H204&gt;=100*0.6,3.5,IF(H204&gt;=100*0.5,3,IF(H204&gt;=100*0.4,2,IF(H204&gt;=100*0.33,1,0))))))))</f>
        <v/>
      </c>
      <c r="AA204">
        <f>IF(B204="","",IF(I204&lt;33.0,0,IF(I204&gt;=100*0.8,5,IF(I204&gt;=100*0.7,4,IF(I204&gt;=100*0.6,3.5,IF(I204&gt;=100*0.5,3,IF(I204&gt;=100*0.4,2,IF(I204&gt;=100*0.33,1,0))))))))</f>
        <v/>
      </c>
      <c r="AB204">
        <f>IF(B204="","",IF(J204&lt;33.0,0,IF(J204&gt;=100*0.8,5,IF(J204&gt;=100*0.7,4,IF(J204&gt;=100*0.6,3.5,IF(J204&gt;=100*0.5,3,IF(J204&gt;=100*0.4,2,IF(J204&gt;=100*0.33,1,0))))))))</f>
        <v/>
      </c>
      <c r="AC204">
        <f>IF(B204="","",IF(K204&lt;33.0,0,IF(K204&gt;=100*0.8,5,IF(K204&gt;=100*0.7,4,IF(K204&gt;=100*0.6,3.5,IF(K204&gt;=100*0.5,3,IF(K204&gt;=100*0.4,2,IF(K204&gt;=100*0.33,1,0))))))))</f>
        <v/>
      </c>
      <c r="AD204">
        <f>IF(B204="","",IF(L204&lt;33.0,0,IF(L204&gt;=100*0.8,5,IF(L204&gt;=100*0.7,4,IF(L204&gt;=100*0.6,3.5,IF(L204&gt;=100*0.5,3,IF(L204&gt;=100*0.4,2,IF(L204&gt;=100*0.33,1,0))))))))</f>
        <v/>
      </c>
      <c r="AE204">
        <f>IF(B204="","",IF(M204&lt;33.0,0,IF(M204&gt;=100*0.8,5,IF(M204&gt;=100*0.7,4,IF(M204&gt;=100*0.6,3.5,IF(M204&gt;=100*0.5,3,IF(M204&gt;=100*0.4,2,IF(M204&gt;=100*0.33,1,0))))))))</f>
        <v/>
      </c>
      <c r="AF204">
        <f>IF(B204="","",IF(N204&lt;16.5,0,IF(N204&gt;=50*0.8,5,IF(N204&gt;=50*0.7,4,IF(N204&gt;=50*0.6,3.5,IF(N204&gt;=50*0.5,3,IF(N204&gt;=50*0.4,2,IF(N204&gt;=50*0.33,1,0))))))))</f>
        <v/>
      </c>
      <c r="AG204">
        <f>IF(B204="","",IF(O204&lt;33.0,0,IF(O204&gt;=100*0.8,5,IF(O204&gt;=100*0.7,4,IF(O204&gt;=100*0.6,3.5,IF(O204&gt;=100*0.5,3,IF(O204&gt;=100*0.4,2,IF(O204&gt;=100*0.33,1,0))))))))</f>
        <v/>
      </c>
      <c r="AH204">
        <f>IF(B204="","",IF(OR(U204=0,V204=0,W204=0,X204=0,Y204=0,Z204=0,AA204=0,AB204=0,AC204=0,AD204=0,AE204=0,AF204=0,AG204=0),1,0))</f>
        <v/>
      </c>
    </row>
    <row r="205">
      <c r="A205" s="3">
        <f>IF(B205="","",ROW()-2)</f>
        <v/>
      </c>
      <c r="P205" s="4">
        <f>IF(B205="","",SUM(C205:O205))</f>
        <v/>
      </c>
      <c r="Q205" s="5">
        <f>IF(B205="","",ROUND(P205/13,2))</f>
        <v/>
      </c>
      <c r="R205" s="5">
        <f>IF(B205="","",IF(AH205=1,0,MIN(5,ROUND((U205+V205+W205+X205+Y205+Z205+AA205+AB205+AC205+AD205+AE205+AF205+AG205)/13,2))))</f>
        <v/>
      </c>
      <c r="S205" s="3">
        <f>IF(B205="","",IF(R205&gt;=5,"A+",IF(R205&gt;=4,"A",IF(R205&gt;=3.5,"A-",IF(R205&gt;=3,"B",IF(R205&gt;=2,"C",IF(R205&gt;=1,"D","F")))))))</f>
        <v/>
      </c>
      <c r="T205" s="3">
        <f>IF(OR(B205="",S205="F"),"",COUNTIFS(P:P,"&gt;"&amp;P205,S:S,"&lt;&gt;F")+1)</f>
        <v/>
      </c>
      <c r="U205">
        <f>IF(B205="","",IF(C205&lt;33.0,0,IF(C205&gt;=100*0.8,5,IF(C205&gt;=100*0.7,4,IF(C205&gt;=100*0.6,3.5,IF(C205&gt;=100*0.5,3,IF(C205&gt;=100*0.4,2,IF(C205&gt;=100*0.33,1,0))))))))</f>
        <v/>
      </c>
      <c r="V205">
        <f>IF(B205="","",IF(D205&lt;33.0,0,IF(D205&gt;=100*0.8,5,IF(D205&gt;=100*0.7,4,IF(D205&gt;=100*0.6,3.5,IF(D205&gt;=100*0.5,3,IF(D205&gt;=100*0.4,2,IF(D205&gt;=100*0.33,1,0))))))))</f>
        <v/>
      </c>
      <c r="W205">
        <f>IF(B205="","",IF(E205&lt;16.5,0,IF(E205&gt;=50*0.8,5,IF(E205&gt;=50*0.7,4,IF(E205&gt;=50*0.6,3.5,IF(E205&gt;=50*0.5,3,IF(E205&gt;=50*0.4,2,IF(E205&gt;=50*0.33,1,0))))))))</f>
        <v/>
      </c>
      <c r="X205">
        <f>IF(B205="","",IF(F205&lt;33.0,0,IF(F205&gt;=100*0.8,5,IF(F205&gt;=100*0.7,4,IF(F205&gt;=100*0.6,3.5,IF(F205&gt;=100*0.5,3,IF(F205&gt;=100*0.4,2,IF(F205&gt;=100*0.33,1,0))))))))</f>
        <v/>
      </c>
      <c r="Y205">
        <f>IF(B205="","",IF(G205&lt;16.5,0,IF(G205&gt;=50*0.8,5,IF(G205&gt;=50*0.7,4,IF(G205&gt;=50*0.6,3.5,IF(G205&gt;=50*0.5,3,IF(G205&gt;=50*0.4,2,IF(G205&gt;=50*0.33,1,0))))))))</f>
        <v/>
      </c>
      <c r="Z205">
        <f>IF(B205="","",IF(H205&lt;33.0,0,IF(H205&gt;=100*0.8,5,IF(H205&gt;=100*0.7,4,IF(H205&gt;=100*0.6,3.5,IF(H205&gt;=100*0.5,3,IF(H205&gt;=100*0.4,2,IF(H205&gt;=100*0.33,1,0))))))))</f>
        <v/>
      </c>
      <c r="AA205">
        <f>IF(B205="","",IF(I205&lt;33.0,0,IF(I205&gt;=100*0.8,5,IF(I205&gt;=100*0.7,4,IF(I205&gt;=100*0.6,3.5,IF(I205&gt;=100*0.5,3,IF(I205&gt;=100*0.4,2,IF(I205&gt;=100*0.33,1,0))))))))</f>
        <v/>
      </c>
      <c r="AB205">
        <f>IF(B205="","",IF(J205&lt;33.0,0,IF(J205&gt;=100*0.8,5,IF(J205&gt;=100*0.7,4,IF(J205&gt;=100*0.6,3.5,IF(J205&gt;=100*0.5,3,IF(J205&gt;=100*0.4,2,IF(J205&gt;=100*0.33,1,0))))))))</f>
        <v/>
      </c>
      <c r="AC205">
        <f>IF(B205="","",IF(K205&lt;33.0,0,IF(K205&gt;=100*0.8,5,IF(K205&gt;=100*0.7,4,IF(K205&gt;=100*0.6,3.5,IF(K205&gt;=100*0.5,3,IF(K205&gt;=100*0.4,2,IF(K205&gt;=100*0.33,1,0))))))))</f>
        <v/>
      </c>
      <c r="AD205">
        <f>IF(B205="","",IF(L205&lt;33.0,0,IF(L205&gt;=100*0.8,5,IF(L205&gt;=100*0.7,4,IF(L205&gt;=100*0.6,3.5,IF(L205&gt;=100*0.5,3,IF(L205&gt;=100*0.4,2,IF(L205&gt;=100*0.33,1,0))))))))</f>
        <v/>
      </c>
      <c r="AE205">
        <f>IF(B205="","",IF(M205&lt;33.0,0,IF(M205&gt;=100*0.8,5,IF(M205&gt;=100*0.7,4,IF(M205&gt;=100*0.6,3.5,IF(M205&gt;=100*0.5,3,IF(M205&gt;=100*0.4,2,IF(M205&gt;=100*0.33,1,0))))))))</f>
        <v/>
      </c>
      <c r="AF205">
        <f>IF(B205="","",IF(N205&lt;16.5,0,IF(N205&gt;=50*0.8,5,IF(N205&gt;=50*0.7,4,IF(N205&gt;=50*0.6,3.5,IF(N205&gt;=50*0.5,3,IF(N205&gt;=50*0.4,2,IF(N205&gt;=50*0.33,1,0))))))))</f>
        <v/>
      </c>
      <c r="AG205">
        <f>IF(B205="","",IF(O205&lt;33.0,0,IF(O205&gt;=100*0.8,5,IF(O205&gt;=100*0.7,4,IF(O205&gt;=100*0.6,3.5,IF(O205&gt;=100*0.5,3,IF(O205&gt;=100*0.4,2,IF(O205&gt;=100*0.33,1,0))))))))</f>
        <v/>
      </c>
      <c r="AH205">
        <f>IF(B205="","",IF(OR(U205=0,V205=0,W205=0,X205=0,Y205=0,Z205=0,AA205=0,AB205=0,AC205=0,AD205=0,AE205=0,AF205=0,AG205=0),1,0))</f>
        <v/>
      </c>
    </row>
    <row r="206">
      <c r="A206" s="3">
        <f>IF(B206="","",ROW()-2)</f>
        <v/>
      </c>
      <c r="P206" s="4">
        <f>IF(B206="","",SUM(C206:O206))</f>
        <v/>
      </c>
      <c r="Q206" s="5">
        <f>IF(B206="","",ROUND(P206/13,2))</f>
        <v/>
      </c>
      <c r="R206" s="5">
        <f>IF(B206="","",IF(AH206=1,0,MIN(5,ROUND((U206+V206+W206+X206+Y206+Z206+AA206+AB206+AC206+AD206+AE206+AF206+AG206)/13,2))))</f>
        <v/>
      </c>
      <c r="S206" s="3">
        <f>IF(B206="","",IF(R206&gt;=5,"A+",IF(R206&gt;=4,"A",IF(R206&gt;=3.5,"A-",IF(R206&gt;=3,"B",IF(R206&gt;=2,"C",IF(R206&gt;=1,"D","F")))))))</f>
        <v/>
      </c>
      <c r="T206" s="3">
        <f>IF(OR(B206="",S206="F"),"",COUNTIFS(P:P,"&gt;"&amp;P206,S:S,"&lt;&gt;F")+1)</f>
        <v/>
      </c>
      <c r="U206">
        <f>IF(B206="","",IF(C206&lt;33.0,0,IF(C206&gt;=100*0.8,5,IF(C206&gt;=100*0.7,4,IF(C206&gt;=100*0.6,3.5,IF(C206&gt;=100*0.5,3,IF(C206&gt;=100*0.4,2,IF(C206&gt;=100*0.33,1,0))))))))</f>
        <v/>
      </c>
      <c r="V206">
        <f>IF(B206="","",IF(D206&lt;33.0,0,IF(D206&gt;=100*0.8,5,IF(D206&gt;=100*0.7,4,IF(D206&gt;=100*0.6,3.5,IF(D206&gt;=100*0.5,3,IF(D206&gt;=100*0.4,2,IF(D206&gt;=100*0.33,1,0))))))))</f>
        <v/>
      </c>
      <c r="W206">
        <f>IF(B206="","",IF(E206&lt;16.5,0,IF(E206&gt;=50*0.8,5,IF(E206&gt;=50*0.7,4,IF(E206&gt;=50*0.6,3.5,IF(E206&gt;=50*0.5,3,IF(E206&gt;=50*0.4,2,IF(E206&gt;=50*0.33,1,0))))))))</f>
        <v/>
      </c>
      <c r="X206">
        <f>IF(B206="","",IF(F206&lt;33.0,0,IF(F206&gt;=100*0.8,5,IF(F206&gt;=100*0.7,4,IF(F206&gt;=100*0.6,3.5,IF(F206&gt;=100*0.5,3,IF(F206&gt;=100*0.4,2,IF(F206&gt;=100*0.33,1,0))))))))</f>
        <v/>
      </c>
      <c r="Y206">
        <f>IF(B206="","",IF(G206&lt;16.5,0,IF(G206&gt;=50*0.8,5,IF(G206&gt;=50*0.7,4,IF(G206&gt;=50*0.6,3.5,IF(G206&gt;=50*0.5,3,IF(G206&gt;=50*0.4,2,IF(G206&gt;=50*0.33,1,0))))))))</f>
        <v/>
      </c>
      <c r="Z206">
        <f>IF(B206="","",IF(H206&lt;33.0,0,IF(H206&gt;=100*0.8,5,IF(H206&gt;=100*0.7,4,IF(H206&gt;=100*0.6,3.5,IF(H206&gt;=100*0.5,3,IF(H206&gt;=100*0.4,2,IF(H206&gt;=100*0.33,1,0))))))))</f>
        <v/>
      </c>
      <c r="AA206">
        <f>IF(B206="","",IF(I206&lt;33.0,0,IF(I206&gt;=100*0.8,5,IF(I206&gt;=100*0.7,4,IF(I206&gt;=100*0.6,3.5,IF(I206&gt;=100*0.5,3,IF(I206&gt;=100*0.4,2,IF(I206&gt;=100*0.33,1,0))))))))</f>
        <v/>
      </c>
      <c r="AB206">
        <f>IF(B206="","",IF(J206&lt;33.0,0,IF(J206&gt;=100*0.8,5,IF(J206&gt;=100*0.7,4,IF(J206&gt;=100*0.6,3.5,IF(J206&gt;=100*0.5,3,IF(J206&gt;=100*0.4,2,IF(J206&gt;=100*0.33,1,0))))))))</f>
        <v/>
      </c>
      <c r="AC206">
        <f>IF(B206="","",IF(K206&lt;33.0,0,IF(K206&gt;=100*0.8,5,IF(K206&gt;=100*0.7,4,IF(K206&gt;=100*0.6,3.5,IF(K206&gt;=100*0.5,3,IF(K206&gt;=100*0.4,2,IF(K206&gt;=100*0.33,1,0))))))))</f>
        <v/>
      </c>
      <c r="AD206">
        <f>IF(B206="","",IF(L206&lt;33.0,0,IF(L206&gt;=100*0.8,5,IF(L206&gt;=100*0.7,4,IF(L206&gt;=100*0.6,3.5,IF(L206&gt;=100*0.5,3,IF(L206&gt;=100*0.4,2,IF(L206&gt;=100*0.33,1,0))))))))</f>
        <v/>
      </c>
      <c r="AE206">
        <f>IF(B206="","",IF(M206&lt;33.0,0,IF(M206&gt;=100*0.8,5,IF(M206&gt;=100*0.7,4,IF(M206&gt;=100*0.6,3.5,IF(M206&gt;=100*0.5,3,IF(M206&gt;=100*0.4,2,IF(M206&gt;=100*0.33,1,0))))))))</f>
        <v/>
      </c>
      <c r="AF206">
        <f>IF(B206="","",IF(N206&lt;16.5,0,IF(N206&gt;=50*0.8,5,IF(N206&gt;=50*0.7,4,IF(N206&gt;=50*0.6,3.5,IF(N206&gt;=50*0.5,3,IF(N206&gt;=50*0.4,2,IF(N206&gt;=50*0.33,1,0))))))))</f>
        <v/>
      </c>
      <c r="AG206">
        <f>IF(B206="","",IF(O206&lt;33.0,0,IF(O206&gt;=100*0.8,5,IF(O206&gt;=100*0.7,4,IF(O206&gt;=100*0.6,3.5,IF(O206&gt;=100*0.5,3,IF(O206&gt;=100*0.4,2,IF(O206&gt;=100*0.33,1,0))))))))</f>
        <v/>
      </c>
      <c r="AH206">
        <f>IF(B206="","",IF(OR(U206=0,V206=0,W206=0,X206=0,Y206=0,Z206=0,AA206=0,AB206=0,AC206=0,AD206=0,AE206=0,AF206=0,AG206=0),1,0))</f>
        <v/>
      </c>
    </row>
    <row r="207">
      <c r="A207" s="3">
        <f>IF(B207="","",ROW()-2)</f>
        <v/>
      </c>
      <c r="P207" s="4">
        <f>IF(B207="","",SUM(C207:O207))</f>
        <v/>
      </c>
      <c r="Q207" s="5">
        <f>IF(B207="","",ROUND(P207/13,2))</f>
        <v/>
      </c>
      <c r="R207" s="5">
        <f>IF(B207="","",IF(AH207=1,0,MIN(5,ROUND((U207+V207+W207+X207+Y207+Z207+AA207+AB207+AC207+AD207+AE207+AF207+AG207)/13,2))))</f>
        <v/>
      </c>
      <c r="S207" s="3">
        <f>IF(B207="","",IF(R207&gt;=5,"A+",IF(R207&gt;=4,"A",IF(R207&gt;=3.5,"A-",IF(R207&gt;=3,"B",IF(R207&gt;=2,"C",IF(R207&gt;=1,"D","F")))))))</f>
        <v/>
      </c>
      <c r="T207" s="3">
        <f>IF(OR(B207="",S207="F"),"",COUNTIFS(P:P,"&gt;"&amp;P207,S:S,"&lt;&gt;F")+1)</f>
        <v/>
      </c>
      <c r="U207">
        <f>IF(B207="","",IF(C207&lt;33.0,0,IF(C207&gt;=100*0.8,5,IF(C207&gt;=100*0.7,4,IF(C207&gt;=100*0.6,3.5,IF(C207&gt;=100*0.5,3,IF(C207&gt;=100*0.4,2,IF(C207&gt;=100*0.33,1,0))))))))</f>
        <v/>
      </c>
      <c r="V207">
        <f>IF(B207="","",IF(D207&lt;33.0,0,IF(D207&gt;=100*0.8,5,IF(D207&gt;=100*0.7,4,IF(D207&gt;=100*0.6,3.5,IF(D207&gt;=100*0.5,3,IF(D207&gt;=100*0.4,2,IF(D207&gt;=100*0.33,1,0))))))))</f>
        <v/>
      </c>
      <c r="W207">
        <f>IF(B207="","",IF(E207&lt;16.5,0,IF(E207&gt;=50*0.8,5,IF(E207&gt;=50*0.7,4,IF(E207&gt;=50*0.6,3.5,IF(E207&gt;=50*0.5,3,IF(E207&gt;=50*0.4,2,IF(E207&gt;=50*0.33,1,0))))))))</f>
        <v/>
      </c>
      <c r="X207">
        <f>IF(B207="","",IF(F207&lt;33.0,0,IF(F207&gt;=100*0.8,5,IF(F207&gt;=100*0.7,4,IF(F207&gt;=100*0.6,3.5,IF(F207&gt;=100*0.5,3,IF(F207&gt;=100*0.4,2,IF(F207&gt;=100*0.33,1,0))))))))</f>
        <v/>
      </c>
      <c r="Y207">
        <f>IF(B207="","",IF(G207&lt;16.5,0,IF(G207&gt;=50*0.8,5,IF(G207&gt;=50*0.7,4,IF(G207&gt;=50*0.6,3.5,IF(G207&gt;=50*0.5,3,IF(G207&gt;=50*0.4,2,IF(G207&gt;=50*0.33,1,0))))))))</f>
        <v/>
      </c>
      <c r="Z207">
        <f>IF(B207="","",IF(H207&lt;33.0,0,IF(H207&gt;=100*0.8,5,IF(H207&gt;=100*0.7,4,IF(H207&gt;=100*0.6,3.5,IF(H207&gt;=100*0.5,3,IF(H207&gt;=100*0.4,2,IF(H207&gt;=100*0.33,1,0))))))))</f>
        <v/>
      </c>
      <c r="AA207">
        <f>IF(B207="","",IF(I207&lt;33.0,0,IF(I207&gt;=100*0.8,5,IF(I207&gt;=100*0.7,4,IF(I207&gt;=100*0.6,3.5,IF(I207&gt;=100*0.5,3,IF(I207&gt;=100*0.4,2,IF(I207&gt;=100*0.33,1,0))))))))</f>
        <v/>
      </c>
      <c r="AB207">
        <f>IF(B207="","",IF(J207&lt;33.0,0,IF(J207&gt;=100*0.8,5,IF(J207&gt;=100*0.7,4,IF(J207&gt;=100*0.6,3.5,IF(J207&gt;=100*0.5,3,IF(J207&gt;=100*0.4,2,IF(J207&gt;=100*0.33,1,0))))))))</f>
        <v/>
      </c>
      <c r="AC207">
        <f>IF(B207="","",IF(K207&lt;33.0,0,IF(K207&gt;=100*0.8,5,IF(K207&gt;=100*0.7,4,IF(K207&gt;=100*0.6,3.5,IF(K207&gt;=100*0.5,3,IF(K207&gt;=100*0.4,2,IF(K207&gt;=100*0.33,1,0))))))))</f>
        <v/>
      </c>
      <c r="AD207">
        <f>IF(B207="","",IF(L207&lt;33.0,0,IF(L207&gt;=100*0.8,5,IF(L207&gt;=100*0.7,4,IF(L207&gt;=100*0.6,3.5,IF(L207&gt;=100*0.5,3,IF(L207&gt;=100*0.4,2,IF(L207&gt;=100*0.33,1,0))))))))</f>
        <v/>
      </c>
      <c r="AE207">
        <f>IF(B207="","",IF(M207&lt;33.0,0,IF(M207&gt;=100*0.8,5,IF(M207&gt;=100*0.7,4,IF(M207&gt;=100*0.6,3.5,IF(M207&gt;=100*0.5,3,IF(M207&gt;=100*0.4,2,IF(M207&gt;=100*0.33,1,0))))))))</f>
        <v/>
      </c>
      <c r="AF207">
        <f>IF(B207="","",IF(N207&lt;16.5,0,IF(N207&gt;=50*0.8,5,IF(N207&gt;=50*0.7,4,IF(N207&gt;=50*0.6,3.5,IF(N207&gt;=50*0.5,3,IF(N207&gt;=50*0.4,2,IF(N207&gt;=50*0.33,1,0))))))))</f>
        <v/>
      </c>
      <c r="AG207">
        <f>IF(B207="","",IF(O207&lt;33.0,0,IF(O207&gt;=100*0.8,5,IF(O207&gt;=100*0.7,4,IF(O207&gt;=100*0.6,3.5,IF(O207&gt;=100*0.5,3,IF(O207&gt;=100*0.4,2,IF(O207&gt;=100*0.33,1,0))))))))</f>
        <v/>
      </c>
      <c r="AH207">
        <f>IF(B207="","",IF(OR(U207=0,V207=0,W207=0,X207=0,Y207=0,Z207=0,AA207=0,AB207=0,AC207=0,AD207=0,AE207=0,AF207=0,AG207=0),1,0))</f>
        <v/>
      </c>
    </row>
    <row r="208">
      <c r="A208" s="3">
        <f>IF(B208="","",ROW()-2)</f>
        <v/>
      </c>
      <c r="P208" s="4">
        <f>IF(B208="","",SUM(C208:O208))</f>
        <v/>
      </c>
      <c r="Q208" s="5">
        <f>IF(B208="","",ROUND(P208/13,2))</f>
        <v/>
      </c>
      <c r="R208" s="5">
        <f>IF(B208="","",IF(AH208=1,0,MIN(5,ROUND((U208+V208+W208+X208+Y208+Z208+AA208+AB208+AC208+AD208+AE208+AF208+AG208)/13,2))))</f>
        <v/>
      </c>
      <c r="S208" s="3">
        <f>IF(B208="","",IF(R208&gt;=5,"A+",IF(R208&gt;=4,"A",IF(R208&gt;=3.5,"A-",IF(R208&gt;=3,"B",IF(R208&gt;=2,"C",IF(R208&gt;=1,"D","F")))))))</f>
        <v/>
      </c>
      <c r="T208" s="3">
        <f>IF(OR(B208="",S208="F"),"",COUNTIFS(P:P,"&gt;"&amp;P208,S:S,"&lt;&gt;F")+1)</f>
        <v/>
      </c>
      <c r="U208">
        <f>IF(B208="","",IF(C208&lt;33.0,0,IF(C208&gt;=100*0.8,5,IF(C208&gt;=100*0.7,4,IF(C208&gt;=100*0.6,3.5,IF(C208&gt;=100*0.5,3,IF(C208&gt;=100*0.4,2,IF(C208&gt;=100*0.33,1,0))))))))</f>
        <v/>
      </c>
      <c r="V208">
        <f>IF(B208="","",IF(D208&lt;33.0,0,IF(D208&gt;=100*0.8,5,IF(D208&gt;=100*0.7,4,IF(D208&gt;=100*0.6,3.5,IF(D208&gt;=100*0.5,3,IF(D208&gt;=100*0.4,2,IF(D208&gt;=100*0.33,1,0))))))))</f>
        <v/>
      </c>
      <c r="W208">
        <f>IF(B208="","",IF(E208&lt;16.5,0,IF(E208&gt;=50*0.8,5,IF(E208&gt;=50*0.7,4,IF(E208&gt;=50*0.6,3.5,IF(E208&gt;=50*0.5,3,IF(E208&gt;=50*0.4,2,IF(E208&gt;=50*0.33,1,0))))))))</f>
        <v/>
      </c>
      <c r="X208">
        <f>IF(B208="","",IF(F208&lt;33.0,0,IF(F208&gt;=100*0.8,5,IF(F208&gt;=100*0.7,4,IF(F208&gt;=100*0.6,3.5,IF(F208&gt;=100*0.5,3,IF(F208&gt;=100*0.4,2,IF(F208&gt;=100*0.33,1,0))))))))</f>
        <v/>
      </c>
      <c r="Y208">
        <f>IF(B208="","",IF(G208&lt;16.5,0,IF(G208&gt;=50*0.8,5,IF(G208&gt;=50*0.7,4,IF(G208&gt;=50*0.6,3.5,IF(G208&gt;=50*0.5,3,IF(G208&gt;=50*0.4,2,IF(G208&gt;=50*0.33,1,0))))))))</f>
        <v/>
      </c>
      <c r="Z208">
        <f>IF(B208="","",IF(H208&lt;33.0,0,IF(H208&gt;=100*0.8,5,IF(H208&gt;=100*0.7,4,IF(H208&gt;=100*0.6,3.5,IF(H208&gt;=100*0.5,3,IF(H208&gt;=100*0.4,2,IF(H208&gt;=100*0.33,1,0))))))))</f>
        <v/>
      </c>
      <c r="AA208">
        <f>IF(B208="","",IF(I208&lt;33.0,0,IF(I208&gt;=100*0.8,5,IF(I208&gt;=100*0.7,4,IF(I208&gt;=100*0.6,3.5,IF(I208&gt;=100*0.5,3,IF(I208&gt;=100*0.4,2,IF(I208&gt;=100*0.33,1,0))))))))</f>
        <v/>
      </c>
      <c r="AB208">
        <f>IF(B208="","",IF(J208&lt;33.0,0,IF(J208&gt;=100*0.8,5,IF(J208&gt;=100*0.7,4,IF(J208&gt;=100*0.6,3.5,IF(J208&gt;=100*0.5,3,IF(J208&gt;=100*0.4,2,IF(J208&gt;=100*0.33,1,0))))))))</f>
        <v/>
      </c>
      <c r="AC208">
        <f>IF(B208="","",IF(K208&lt;33.0,0,IF(K208&gt;=100*0.8,5,IF(K208&gt;=100*0.7,4,IF(K208&gt;=100*0.6,3.5,IF(K208&gt;=100*0.5,3,IF(K208&gt;=100*0.4,2,IF(K208&gt;=100*0.33,1,0))))))))</f>
        <v/>
      </c>
      <c r="AD208">
        <f>IF(B208="","",IF(L208&lt;33.0,0,IF(L208&gt;=100*0.8,5,IF(L208&gt;=100*0.7,4,IF(L208&gt;=100*0.6,3.5,IF(L208&gt;=100*0.5,3,IF(L208&gt;=100*0.4,2,IF(L208&gt;=100*0.33,1,0))))))))</f>
        <v/>
      </c>
      <c r="AE208">
        <f>IF(B208="","",IF(M208&lt;33.0,0,IF(M208&gt;=100*0.8,5,IF(M208&gt;=100*0.7,4,IF(M208&gt;=100*0.6,3.5,IF(M208&gt;=100*0.5,3,IF(M208&gt;=100*0.4,2,IF(M208&gt;=100*0.33,1,0))))))))</f>
        <v/>
      </c>
      <c r="AF208">
        <f>IF(B208="","",IF(N208&lt;16.5,0,IF(N208&gt;=50*0.8,5,IF(N208&gt;=50*0.7,4,IF(N208&gt;=50*0.6,3.5,IF(N208&gt;=50*0.5,3,IF(N208&gt;=50*0.4,2,IF(N208&gt;=50*0.33,1,0))))))))</f>
        <v/>
      </c>
      <c r="AG208">
        <f>IF(B208="","",IF(O208&lt;33.0,0,IF(O208&gt;=100*0.8,5,IF(O208&gt;=100*0.7,4,IF(O208&gt;=100*0.6,3.5,IF(O208&gt;=100*0.5,3,IF(O208&gt;=100*0.4,2,IF(O208&gt;=100*0.33,1,0))))))))</f>
        <v/>
      </c>
      <c r="AH208">
        <f>IF(B208="","",IF(OR(U208=0,V208=0,W208=0,X208=0,Y208=0,Z208=0,AA208=0,AB208=0,AC208=0,AD208=0,AE208=0,AF208=0,AG208=0),1,0))</f>
        <v/>
      </c>
    </row>
    <row r="209">
      <c r="A209" s="3">
        <f>IF(B209="","",ROW()-2)</f>
        <v/>
      </c>
      <c r="P209" s="4">
        <f>IF(B209="","",SUM(C209:O209))</f>
        <v/>
      </c>
      <c r="Q209" s="5">
        <f>IF(B209="","",ROUND(P209/13,2))</f>
        <v/>
      </c>
      <c r="R209" s="5">
        <f>IF(B209="","",IF(AH209=1,0,MIN(5,ROUND((U209+V209+W209+X209+Y209+Z209+AA209+AB209+AC209+AD209+AE209+AF209+AG209)/13,2))))</f>
        <v/>
      </c>
      <c r="S209" s="3">
        <f>IF(B209="","",IF(R209&gt;=5,"A+",IF(R209&gt;=4,"A",IF(R209&gt;=3.5,"A-",IF(R209&gt;=3,"B",IF(R209&gt;=2,"C",IF(R209&gt;=1,"D","F")))))))</f>
        <v/>
      </c>
      <c r="T209" s="3">
        <f>IF(OR(B209="",S209="F"),"",COUNTIFS(P:P,"&gt;"&amp;P209,S:S,"&lt;&gt;F")+1)</f>
        <v/>
      </c>
      <c r="U209">
        <f>IF(B209="","",IF(C209&lt;33.0,0,IF(C209&gt;=100*0.8,5,IF(C209&gt;=100*0.7,4,IF(C209&gt;=100*0.6,3.5,IF(C209&gt;=100*0.5,3,IF(C209&gt;=100*0.4,2,IF(C209&gt;=100*0.33,1,0))))))))</f>
        <v/>
      </c>
      <c r="V209">
        <f>IF(B209="","",IF(D209&lt;33.0,0,IF(D209&gt;=100*0.8,5,IF(D209&gt;=100*0.7,4,IF(D209&gt;=100*0.6,3.5,IF(D209&gt;=100*0.5,3,IF(D209&gt;=100*0.4,2,IF(D209&gt;=100*0.33,1,0))))))))</f>
        <v/>
      </c>
      <c r="W209">
        <f>IF(B209="","",IF(E209&lt;16.5,0,IF(E209&gt;=50*0.8,5,IF(E209&gt;=50*0.7,4,IF(E209&gt;=50*0.6,3.5,IF(E209&gt;=50*0.5,3,IF(E209&gt;=50*0.4,2,IF(E209&gt;=50*0.33,1,0))))))))</f>
        <v/>
      </c>
      <c r="X209">
        <f>IF(B209="","",IF(F209&lt;33.0,0,IF(F209&gt;=100*0.8,5,IF(F209&gt;=100*0.7,4,IF(F209&gt;=100*0.6,3.5,IF(F209&gt;=100*0.5,3,IF(F209&gt;=100*0.4,2,IF(F209&gt;=100*0.33,1,0))))))))</f>
        <v/>
      </c>
      <c r="Y209">
        <f>IF(B209="","",IF(G209&lt;16.5,0,IF(G209&gt;=50*0.8,5,IF(G209&gt;=50*0.7,4,IF(G209&gt;=50*0.6,3.5,IF(G209&gt;=50*0.5,3,IF(G209&gt;=50*0.4,2,IF(G209&gt;=50*0.33,1,0))))))))</f>
        <v/>
      </c>
      <c r="Z209">
        <f>IF(B209="","",IF(H209&lt;33.0,0,IF(H209&gt;=100*0.8,5,IF(H209&gt;=100*0.7,4,IF(H209&gt;=100*0.6,3.5,IF(H209&gt;=100*0.5,3,IF(H209&gt;=100*0.4,2,IF(H209&gt;=100*0.33,1,0))))))))</f>
        <v/>
      </c>
      <c r="AA209">
        <f>IF(B209="","",IF(I209&lt;33.0,0,IF(I209&gt;=100*0.8,5,IF(I209&gt;=100*0.7,4,IF(I209&gt;=100*0.6,3.5,IF(I209&gt;=100*0.5,3,IF(I209&gt;=100*0.4,2,IF(I209&gt;=100*0.33,1,0))))))))</f>
        <v/>
      </c>
      <c r="AB209">
        <f>IF(B209="","",IF(J209&lt;33.0,0,IF(J209&gt;=100*0.8,5,IF(J209&gt;=100*0.7,4,IF(J209&gt;=100*0.6,3.5,IF(J209&gt;=100*0.5,3,IF(J209&gt;=100*0.4,2,IF(J209&gt;=100*0.33,1,0))))))))</f>
        <v/>
      </c>
      <c r="AC209">
        <f>IF(B209="","",IF(K209&lt;33.0,0,IF(K209&gt;=100*0.8,5,IF(K209&gt;=100*0.7,4,IF(K209&gt;=100*0.6,3.5,IF(K209&gt;=100*0.5,3,IF(K209&gt;=100*0.4,2,IF(K209&gt;=100*0.33,1,0))))))))</f>
        <v/>
      </c>
      <c r="AD209">
        <f>IF(B209="","",IF(L209&lt;33.0,0,IF(L209&gt;=100*0.8,5,IF(L209&gt;=100*0.7,4,IF(L209&gt;=100*0.6,3.5,IF(L209&gt;=100*0.5,3,IF(L209&gt;=100*0.4,2,IF(L209&gt;=100*0.33,1,0))))))))</f>
        <v/>
      </c>
      <c r="AE209">
        <f>IF(B209="","",IF(M209&lt;33.0,0,IF(M209&gt;=100*0.8,5,IF(M209&gt;=100*0.7,4,IF(M209&gt;=100*0.6,3.5,IF(M209&gt;=100*0.5,3,IF(M209&gt;=100*0.4,2,IF(M209&gt;=100*0.33,1,0))))))))</f>
        <v/>
      </c>
      <c r="AF209">
        <f>IF(B209="","",IF(N209&lt;16.5,0,IF(N209&gt;=50*0.8,5,IF(N209&gt;=50*0.7,4,IF(N209&gt;=50*0.6,3.5,IF(N209&gt;=50*0.5,3,IF(N209&gt;=50*0.4,2,IF(N209&gt;=50*0.33,1,0))))))))</f>
        <v/>
      </c>
      <c r="AG209">
        <f>IF(B209="","",IF(O209&lt;33.0,0,IF(O209&gt;=100*0.8,5,IF(O209&gt;=100*0.7,4,IF(O209&gt;=100*0.6,3.5,IF(O209&gt;=100*0.5,3,IF(O209&gt;=100*0.4,2,IF(O209&gt;=100*0.33,1,0))))))))</f>
        <v/>
      </c>
      <c r="AH209">
        <f>IF(B209="","",IF(OR(U209=0,V209=0,W209=0,X209=0,Y209=0,Z209=0,AA209=0,AB209=0,AC209=0,AD209=0,AE209=0,AF209=0,AG209=0),1,0))</f>
        <v/>
      </c>
    </row>
    <row r="210">
      <c r="A210" s="3">
        <f>IF(B210="","",ROW()-2)</f>
        <v/>
      </c>
      <c r="P210" s="4">
        <f>IF(B210="","",SUM(C210:O210))</f>
        <v/>
      </c>
      <c r="Q210" s="5">
        <f>IF(B210="","",ROUND(P210/13,2))</f>
        <v/>
      </c>
      <c r="R210" s="5">
        <f>IF(B210="","",IF(AH210=1,0,MIN(5,ROUND((U210+V210+W210+X210+Y210+Z210+AA210+AB210+AC210+AD210+AE210+AF210+AG210)/13,2))))</f>
        <v/>
      </c>
      <c r="S210" s="3">
        <f>IF(B210="","",IF(R210&gt;=5,"A+",IF(R210&gt;=4,"A",IF(R210&gt;=3.5,"A-",IF(R210&gt;=3,"B",IF(R210&gt;=2,"C",IF(R210&gt;=1,"D","F")))))))</f>
        <v/>
      </c>
      <c r="T210" s="3">
        <f>IF(OR(B210="",S210="F"),"",COUNTIFS(P:P,"&gt;"&amp;P210,S:S,"&lt;&gt;F")+1)</f>
        <v/>
      </c>
      <c r="U210">
        <f>IF(B210="","",IF(C210&lt;33.0,0,IF(C210&gt;=100*0.8,5,IF(C210&gt;=100*0.7,4,IF(C210&gt;=100*0.6,3.5,IF(C210&gt;=100*0.5,3,IF(C210&gt;=100*0.4,2,IF(C210&gt;=100*0.33,1,0))))))))</f>
        <v/>
      </c>
      <c r="V210">
        <f>IF(B210="","",IF(D210&lt;33.0,0,IF(D210&gt;=100*0.8,5,IF(D210&gt;=100*0.7,4,IF(D210&gt;=100*0.6,3.5,IF(D210&gt;=100*0.5,3,IF(D210&gt;=100*0.4,2,IF(D210&gt;=100*0.33,1,0))))))))</f>
        <v/>
      </c>
      <c r="W210">
        <f>IF(B210="","",IF(E210&lt;16.5,0,IF(E210&gt;=50*0.8,5,IF(E210&gt;=50*0.7,4,IF(E210&gt;=50*0.6,3.5,IF(E210&gt;=50*0.5,3,IF(E210&gt;=50*0.4,2,IF(E210&gt;=50*0.33,1,0))))))))</f>
        <v/>
      </c>
      <c r="X210">
        <f>IF(B210="","",IF(F210&lt;33.0,0,IF(F210&gt;=100*0.8,5,IF(F210&gt;=100*0.7,4,IF(F210&gt;=100*0.6,3.5,IF(F210&gt;=100*0.5,3,IF(F210&gt;=100*0.4,2,IF(F210&gt;=100*0.33,1,0))))))))</f>
        <v/>
      </c>
      <c r="Y210">
        <f>IF(B210="","",IF(G210&lt;16.5,0,IF(G210&gt;=50*0.8,5,IF(G210&gt;=50*0.7,4,IF(G210&gt;=50*0.6,3.5,IF(G210&gt;=50*0.5,3,IF(G210&gt;=50*0.4,2,IF(G210&gt;=50*0.33,1,0))))))))</f>
        <v/>
      </c>
      <c r="Z210">
        <f>IF(B210="","",IF(H210&lt;33.0,0,IF(H210&gt;=100*0.8,5,IF(H210&gt;=100*0.7,4,IF(H210&gt;=100*0.6,3.5,IF(H210&gt;=100*0.5,3,IF(H210&gt;=100*0.4,2,IF(H210&gt;=100*0.33,1,0))))))))</f>
        <v/>
      </c>
      <c r="AA210">
        <f>IF(B210="","",IF(I210&lt;33.0,0,IF(I210&gt;=100*0.8,5,IF(I210&gt;=100*0.7,4,IF(I210&gt;=100*0.6,3.5,IF(I210&gt;=100*0.5,3,IF(I210&gt;=100*0.4,2,IF(I210&gt;=100*0.33,1,0))))))))</f>
        <v/>
      </c>
      <c r="AB210">
        <f>IF(B210="","",IF(J210&lt;33.0,0,IF(J210&gt;=100*0.8,5,IF(J210&gt;=100*0.7,4,IF(J210&gt;=100*0.6,3.5,IF(J210&gt;=100*0.5,3,IF(J210&gt;=100*0.4,2,IF(J210&gt;=100*0.33,1,0))))))))</f>
        <v/>
      </c>
      <c r="AC210">
        <f>IF(B210="","",IF(K210&lt;33.0,0,IF(K210&gt;=100*0.8,5,IF(K210&gt;=100*0.7,4,IF(K210&gt;=100*0.6,3.5,IF(K210&gt;=100*0.5,3,IF(K210&gt;=100*0.4,2,IF(K210&gt;=100*0.33,1,0))))))))</f>
        <v/>
      </c>
      <c r="AD210">
        <f>IF(B210="","",IF(L210&lt;33.0,0,IF(L210&gt;=100*0.8,5,IF(L210&gt;=100*0.7,4,IF(L210&gt;=100*0.6,3.5,IF(L210&gt;=100*0.5,3,IF(L210&gt;=100*0.4,2,IF(L210&gt;=100*0.33,1,0))))))))</f>
        <v/>
      </c>
      <c r="AE210">
        <f>IF(B210="","",IF(M210&lt;33.0,0,IF(M210&gt;=100*0.8,5,IF(M210&gt;=100*0.7,4,IF(M210&gt;=100*0.6,3.5,IF(M210&gt;=100*0.5,3,IF(M210&gt;=100*0.4,2,IF(M210&gt;=100*0.33,1,0))))))))</f>
        <v/>
      </c>
      <c r="AF210">
        <f>IF(B210="","",IF(N210&lt;16.5,0,IF(N210&gt;=50*0.8,5,IF(N210&gt;=50*0.7,4,IF(N210&gt;=50*0.6,3.5,IF(N210&gt;=50*0.5,3,IF(N210&gt;=50*0.4,2,IF(N210&gt;=50*0.33,1,0))))))))</f>
        <v/>
      </c>
      <c r="AG210">
        <f>IF(B210="","",IF(O210&lt;33.0,0,IF(O210&gt;=100*0.8,5,IF(O210&gt;=100*0.7,4,IF(O210&gt;=100*0.6,3.5,IF(O210&gt;=100*0.5,3,IF(O210&gt;=100*0.4,2,IF(O210&gt;=100*0.33,1,0))))))))</f>
        <v/>
      </c>
      <c r="AH210">
        <f>IF(B210="","",IF(OR(U210=0,V210=0,W210=0,X210=0,Y210=0,Z210=0,AA210=0,AB210=0,AC210=0,AD210=0,AE210=0,AF210=0,AG210=0),1,0))</f>
        <v/>
      </c>
    </row>
    <row r="211">
      <c r="A211" s="3">
        <f>IF(B211="","",ROW()-2)</f>
        <v/>
      </c>
      <c r="P211" s="4">
        <f>IF(B211="","",SUM(C211:O211))</f>
        <v/>
      </c>
      <c r="Q211" s="5">
        <f>IF(B211="","",ROUND(P211/13,2))</f>
        <v/>
      </c>
      <c r="R211" s="5">
        <f>IF(B211="","",IF(AH211=1,0,MIN(5,ROUND((U211+V211+W211+X211+Y211+Z211+AA211+AB211+AC211+AD211+AE211+AF211+AG211)/13,2))))</f>
        <v/>
      </c>
      <c r="S211" s="3">
        <f>IF(B211="","",IF(R211&gt;=5,"A+",IF(R211&gt;=4,"A",IF(R211&gt;=3.5,"A-",IF(R211&gt;=3,"B",IF(R211&gt;=2,"C",IF(R211&gt;=1,"D","F")))))))</f>
        <v/>
      </c>
      <c r="T211" s="3">
        <f>IF(OR(B211="",S211="F"),"",COUNTIFS(P:P,"&gt;"&amp;P211,S:S,"&lt;&gt;F")+1)</f>
        <v/>
      </c>
      <c r="U211">
        <f>IF(B211="","",IF(C211&lt;33.0,0,IF(C211&gt;=100*0.8,5,IF(C211&gt;=100*0.7,4,IF(C211&gt;=100*0.6,3.5,IF(C211&gt;=100*0.5,3,IF(C211&gt;=100*0.4,2,IF(C211&gt;=100*0.33,1,0))))))))</f>
        <v/>
      </c>
      <c r="V211">
        <f>IF(B211="","",IF(D211&lt;33.0,0,IF(D211&gt;=100*0.8,5,IF(D211&gt;=100*0.7,4,IF(D211&gt;=100*0.6,3.5,IF(D211&gt;=100*0.5,3,IF(D211&gt;=100*0.4,2,IF(D211&gt;=100*0.33,1,0))))))))</f>
        <v/>
      </c>
      <c r="W211">
        <f>IF(B211="","",IF(E211&lt;16.5,0,IF(E211&gt;=50*0.8,5,IF(E211&gt;=50*0.7,4,IF(E211&gt;=50*0.6,3.5,IF(E211&gt;=50*0.5,3,IF(E211&gt;=50*0.4,2,IF(E211&gt;=50*0.33,1,0))))))))</f>
        <v/>
      </c>
      <c r="X211">
        <f>IF(B211="","",IF(F211&lt;33.0,0,IF(F211&gt;=100*0.8,5,IF(F211&gt;=100*0.7,4,IF(F211&gt;=100*0.6,3.5,IF(F211&gt;=100*0.5,3,IF(F211&gt;=100*0.4,2,IF(F211&gt;=100*0.33,1,0))))))))</f>
        <v/>
      </c>
      <c r="Y211">
        <f>IF(B211="","",IF(G211&lt;16.5,0,IF(G211&gt;=50*0.8,5,IF(G211&gt;=50*0.7,4,IF(G211&gt;=50*0.6,3.5,IF(G211&gt;=50*0.5,3,IF(G211&gt;=50*0.4,2,IF(G211&gt;=50*0.33,1,0))))))))</f>
        <v/>
      </c>
      <c r="Z211">
        <f>IF(B211="","",IF(H211&lt;33.0,0,IF(H211&gt;=100*0.8,5,IF(H211&gt;=100*0.7,4,IF(H211&gt;=100*0.6,3.5,IF(H211&gt;=100*0.5,3,IF(H211&gt;=100*0.4,2,IF(H211&gt;=100*0.33,1,0))))))))</f>
        <v/>
      </c>
      <c r="AA211">
        <f>IF(B211="","",IF(I211&lt;33.0,0,IF(I211&gt;=100*0.8,5,IF(I211&gt;=100*0.7,4,IF(I211&gt;=100*0.6,3.5,IF(I211&gt;=100*0.5,3,IF(I211&gt;=100*0.4,2,IF(I211&gt;=100*0.33,1,0))))))))</f>
        <v/>
      </c>
      <c r="AB211">
        <f>IF(B211="","",IF(J211&lt;33.0,0,IF(J211&gt;=100*0.8,5,IF(J211&gt;=100*0.7,4,IF(J211&gt;=100*0.6,3.5,IF(J211&gt;=100*0.5,3,IF(J211&gt;=100*0.4,2,IF(J211&gt;=100*0.33,1,0))))))))</f>
        <v/>
      </c>
      <c r="AC211">
        <f>IF(B211="","",IF(K211&lt;33.0,0,IF(K211&gt;=100*0.8,5,IF(K211&gt;=100*0.7,4,IF(K211&gt;=100*0.6,3.5,IF(K211&gt;=100*0.5,3,IF(K211&gt;=100*0.4,2,IF(K211&gt;=100*0.33,1,0))))))))</f>
        <v/>
      </c>
      <c r="AD211">
        <f>IF(B211="","",IF(L211&lt;33.0,0,IF(L211&gt;=100*0.8,5,IF(L211&gt;=100*0.7,4,IF(L211&gt;=100*0.6,3.5,IF(L211&gt;=100*0.5,3,IF(L211&gt;=100*0.4,2,IF(L211&gt;=100*0.33,1,0))))))))</f>
        <v/>
      </c>
      <c r="AE211">
        <f>IF(B211="","",IF(M211&lt;33.0,0,IF(M211&gt;=100*0.8,5,IF(M211&gt;=100*0.7,4,IF(M211&gt;=100*0.6,3.5,IF(M211&gt;=100*0.5,3,IF(M211&gt;=100*0.4,2,IF(M211&gt;=100*0.33,1,0))))))))</f>
        <v/>
      </c>
      <c r="AF211">
        <f>IF(B211="","",IF(N211&lt;16.5,0,IF(N211&gt;=50*0.8,5,IF(N211&gt;=50*0.7,4,IF(N211&gt;=50*0.6,3.5,IF(N211&gt;=50*0.5,3,IF(N211&gt;=50*0.4,2,IF(N211&gt;=50*0.33,1,0))))))))</f>
        <v/>
      </c>
      <c r="AG211">
        <f>IF(B211="","",IF(O211&lt;33.0,0,IF(O211&gt;=100*0.8,5,IF(O211&gt;=100*0.7,4,IF(O211&gt;=100*0.6,3.5,IF(O211&gt;=100*0.5,3,IF(O211&gt;=100*0.4,2,IF(O211&gt;=100*0.33,1,0))))))))</f>
        <v/>
      </c>
      <c r="AH211">
        <f>IF(B211="","",IF(OR(U211=0,V211=0,W211=0,X211=0,Y211=0,Z211=0,AA211=0,AB211=0,AC211=0,AD211=0,AE211=0,AF211=0,AG211=0),1,0))</f>
        <v/>
      </c>
    </row>
    <row r="212">
      <c r="A212" s="3">
        <f>IF(B212="","",ROW()-2)</f>
        <v/>
      </c>
      <c r="P212" s="4">
        <f>IF(B212="","",SUM(C212:O212))</f>
        <v/>
      </c>
      <c r="Q212" s="5">
        <f>IF(B212="","",ROUND(P212/13,2))</f>
        <v/>
      </c>
      <c r="R212" s="5">
        <f>IF(B212="","",IF(AH212=1,0,MIN(5,ROUND((U212+V212+W212+X212+Y212+Z212+AA212+AB212+AC212+AD212+AE212+AF212+AG212)/13,2))))</f>
        <v/>
      </c>
      <c r="S212" s="3">
        <f>IF(B212="","",IF(R212&gt;=5,"A+",IF(R212&gt;=4,"A",IF(R212&gt;=3.5,"A-",IF(R212&gt;=3,"B",IF(R212&gt;=2,"C",IF(R212&gt;=1,"D","F")))))))</f>
        <v/>
      </c>
      <c r="T212" s="3">
        <f>IF(OR(B212="",S212="F"),"",COUNTIFS(P:P,"&gt;"&amp;P212,S:S,"&lt;&gt;F")+1)</f>
        <v/>
      </c>
      <c r="U212">
        <f>IF(B212="","",IF(C212&lt;33.0,0,IF(C212&gt;=100*0.8,5,IF(C212&gt;=100*0.7,4,IF(C212&gt;=100*0.6,3.5,IF(C212&gt;=100*0.5,3,IF(C212&gt;=100*0.4,2,IF(C212&gt;=100*0.33,1,0))))))))</f>
        <v/>
      </c>
      <c r="V212">
        <f>IF(B212="","",IF(D212&lt;33.0,0,IF(D212&gt;=100*0.8,5,IF(D212&gt;=100*0.7,4,IF(D212&gt;=100*0.6,3.5,IF(D212&gt;=100*0.5,3,IF(D212&gt;=100*0.4,2,IF(D212&gt;=100*0.33,1,0))))))))</f>
        <v/>
      </c>
      <c r="W212">
        <f>IF(B212="","",IF(E212&lt;16.5,0,IF(E212&gt;=50*0.8,5,IF(E212&gt;=50*0.7,4,IF(E212&gt;=50*0.6,3.5,IF(E212&gt;=50*0.5,3,IF(E212&gt;=50*0.4,2,IF(E212&gt;=50*0.33,1,0))))))))</f>
        <v/>
      </c>
      <c r="X212">
        <f>IF(B212="","",IF(F212&lt;33.0,0,IF(F212&gt;=100*0.8,5,IF(F212&gt;=100*0.7,4,IF(F212&gt;=100*0.6,3.5,IF(F212&gt;=100*0.5,3,IF(F212&gt;=100*0.4,2,IF(F212&gt;=100*0.33,1,0))))))))</f>
        <v/>
      </c>
      <c r="Y212">
        <f>IF(B212="","",IF(G212&lt;16.5,0,IF(G212&gt;=50*0.8,5,IF(G212&gt;=50*0.7,4,IF(G212&gt;=50*0.6,3.5,IF(G212&gt;=50*0.5,3,IF(G212&gt;=50*0.4,2,IF(G212&gt;=50*0.33,1,0))))))))</f>
        <v/>
      </c>
      <c r="Z212">
        <f>IF(B212="","",IF(H212&lt;33.0,0,IF(H212&gt;=100*0.8,5,IF(H212&gt;=100*0.7,4,IF(H212&gt;=100*0.6,3.5,IF(H212&gt;=100*0.5,3,IF(H212&gt;=100*0.4,2,IF(H212&gt;=100*0.33,1,0))))))))</f>
        <v/>
      </c>
      <c r="AA212">
        <f>IF(B212="","",IF(I212&lt;33.0,0,IF(I212&gt;=100*0.8,5,IF(I212&gt;=100*0.7,4,IF(I212&gt;=100*0.6,3.5,IF(I212&gt;=100*0.5,3,IF(I212&gt;=100*0.4,2,IF(I212&gt;=100*0.33,1,0))))))))</f>
        <v/>
      </c>
      <c r="AB212">
        <f>IF(B212="","",IF(J212&lt;33.0,0,IF(J212&gt;=100*0.8,5,IF(J212&gt;=100*0.7,4,IF(J212&gt;=100*0.6,3.5,IF(J212&gt;=100*0.5,3,IF(J212&gt;=100*0.4,2,IF(J212&gt;=100*0.33,1,0))))))))</f>
        <v/>
      </c>
      <c r="AC212">
        <f>IF(B212="","",IF(K212&lt;33.0,0,IF(K212&gt;=100*0.8,5,IF(K212&gt;=100*0.7,4,IF(K212&gt;=100*0.6,3.5,IF(K212&gt;=100*0.5,3,IF(K212&gt;=100*0.4,2,IF(K212&gt;=100*0.33,1,0))))))))</f>
        <v/>
      </c>
      <c r="AD212">
        <f>IF(B212="","",IF(L212&lt;33.0,0,IF(L212&gt;=100*0.8,5,IF(L212&gt;=100*0.7,4,IF(L212&gt;=100*0.6,3.5,IF(L212&gt;=100*0.5,3,IF(L212&gt;=100*0.4,2,IF(L212&gt;=100*0.33,1,0))))))))</f>
        <v/>
      </c>
      <c r="AE212">
        <f>IF(B212="","",IF(M212&lt;33.0,0,IF(M212&gt;=100*0.8,5,IF(M212&gt;=100*0.7,4,IF(M212&gt;=100*0.6,3.5,IF(M212&gt;=100*0.5,3,IF(M212&gt;=100*0.4,2,IF(M212&gt;=100*0.33,1,0))))))))</f>
        <v/>
      </c>
      <c r="AF212">
        <f>IF(B212="","",IF(N212&lt;16.5,0,IF(N212&gt;=50*0.8,5,IF(N212&gt;=50*0.7,4,IF(N212&gt;=50*0.6,3.5,IF(N212&gt;=50*0.5,3,IF(N212&gt;=50*0.4,2,IF(N212&gt;=50*0.33,1,0))))))))</f>
        <v/>
      </c>
      <c r="AG212">
        <f>IF(B212="","",IF(O212&lt;33.0,0,IF(O212&gt;=100*0.8,5,IF(O212&gt;=100*0.7,4,IF(O212&gt;=100*0.6,3.5,IF(O212&gt;=100*0.5,3,IF(O212&gt;=100*0.4,2,IF(O212&gt;=100*0.33,1,0))))))))</f>
        <v/>
      </c>
      <c r="AH212">
        <f>IF(B212="","",IF(OR(U212=0,V212=0,W212=0,X212=0,Y212=0,Z212=0,AA212=0,AB212=0,AC212=0,AD212=0,AE212=0,AF212=0,AG212=0),1,0))</f>
        <v/>
      </c>
    </row>
    <row r="213">
      <c r="A213" s="3">
        <f>IF(B213="","",ROW()-2)</f>
        <v/>
      </c>
      <c r="P213" s="4">
        <f>IF(B213="","",SUM(C213:O213))</f>
        <v/>
      </c>
      <c r="Q213" s="5">
        <f>IF(B213="","",ROUND(P213/13,2))</f>
        <v/>
      </c>
      <c r="R213" s="5">
        <f>IF(B213="","",IF(AH213=1,0,MIN(5,ROUND((U213+V213+W213+X213+Y213+Z213+AA213+AB213+AC213+AD213+AE213+AF213+AG213)/13,2))))</f>
        <v/>
      </c>
      <c r="S213" s="3">
        <f>IF(B213="","",IF(R213&gt;=5,"A+",IF(R213&gt;=4,"A",IF(R213&gt;=3.5,"A-",IF(R213&gt;=3,"B",IF(R213&gt;=2,"C",IF(R213&gt;=1,"D","F")))))))</f>
        <v/>
      </c>
      <c r="T213" s="3">
        <f>IF(OR(B213="",S213="F"),"",COUNTIFS(P:P,"&gt;"&amp;P213,S:S,"&lt;&gt;F")+1)</f>
        <v/>
      </c>
      <c r="U213">
        <f>IF(B213="","",IF(C213&lt;33.0,0,IF(C213&gt;=100*0.8,5,IF(C213&gt;=100*0.7,4,IF(C213&gt;=100*0.6,3.5,IF(C213&gt;=100*0.5,3,IF(C213&gt;=100*0.4,2,IF(C213&gt;=100*0.33,1,0))))))))</f>
        <v/>
      </c>
      <c r="V213">
        <f>IF(B213="","",IF(D213&lt;33.0,0,IF(D213&gt;=100*0.8,5,IF(D213&gt;=100*0.7,4,IF(D213&gt;=100*0.6,3.5,IF(D213&gt;=100*0.5,3,IF(D213&gt;=100*0.4,2,IF(D213&gt;=100*0.33,1,0))))))))</f>
        <v/>
      </c>
      <c r="W213">
        <f>IF(B213="","",IF(E213&lt;16.5,0,IF(E213&gt;=50*0.8,5,IF(E213&gt;=50*0.7,4,IF(E213&gt;=50*0.6,3.5,IF(E213&gt;=50*0.5,3,IF(E213&gt;=50*0.4,2,IF(E213&gt;=50*0.33,1,0))))))))</f>
        <v/>
      </c>
      <c r="X213">
        <f>IF(B213="","",IF(F213&lt;33.0,0,IF(F213&gt;=100*0.8,5,IF(F213&gt;=100*0.7,4,IF(F213&gt;=100*0.6,3.5,IF(F213&gt;=100*0.5,3,IF(F213&gt;=100*0.4,2,IF(F213&gt;=100*0.33,1,0))))))))</f>
        <v/>
      </c>
      <c r="Y213">
        <f>IF(B213="","",IF(G213&lt;16.5,0,IF(G213&gt;=50*0.8,5,IF(G213&gt;=50*0.7,4,IF(G213&gt;=50*0.6,3.5,IF(G213&gt;=50*0.5,3,IF(G213&gt;=50*0.4,2,IF(G213&gt;=50*0.33,1,0))))))))</f>
        <v/>
      </c>
      <c r="Z213">
        <f>IF(B213="","",IF(H213&lt;33.0,0,IF(H213&gt;=100*0.8,5,IF(H213&gt;=100*0.7,4,IF(H213&gt;=100*0.6,3.5,IF(H213&gt;=100*0.5,3,IF(H213&gt;=100*0.4,2,IF(H213&gt;=100*0.33,1,0))))))))</f>
        <v/>
      </c>
      <c r="AA213">
        <f>IF(B213="","",IF(I213&lt;33.0,0,IF(I213&gt;=100*0.8,5,IF(I213&gt;=100*0.7,4,IF(I213&gt;=100*0.6,3.5,IF(I213&gt;=100*0.5,3,IF(I213&gt;=100*0.4,2,IF(I213&gt;=100*0.33,1,0))))))))</f>
        <v/>
      </c>
      <c r="AB213">
        <f>IF(B213="","",IF(J213&lt;33.0,0,IF(J213&gt;=100*0.8,5,IF(J213&gt;=100*0.7,4,IF(J213&gt;=100*0.6,3.5,IF(J213&gt;=100*0.5,3,IF(J213&gt;=100*0.4,2,IF(J213&gt;=100*0.33,1,0))))))))</f>
        <v/>
      </c>
      <c r="AC213">
        <f>IF(B213="","",IF(K213&lt;33.0,0,IF(K213&gt;=100*0.8,5,IF(K213&gt;=100*0.7,4,IF(K213&gt;=100*0.6,3.5,IF(K213&gt;=100*0.5,3,IF(K213&gt;=100*0.4,2,IF(K213&gt;=100*0.33,1,0))))))))</f>
        <v/>
      </c>
      <c r="AD213">
        <f>IF(B213="","",IF(L213&lt;33.0,0,IF(L213&gt;=100*0.8,5,IF(L213&gt;=100*0.7,4,IF(L213&gt;=100*0.6,3.5,IF(L213&gt;=100*0.5,3,IF(L213&gt;=100*0.4,2,IF(L213&gt;=100*0.33,1,0))))))))</f>
        <v/>
      </c>
      <c r="AE213">
        <f>IF(B213="","",IF(M213&lt;33.0,0,IF(M213&gt;=100*0.8,5,IF(M213&gt;=100*0.7,4,IF(M213&gt;=100*0.6,3.5,IF(M213&gt;=100*0.5,3,IF(M213&gt;=100*0.4,2,IF(M213&gt;=100*0.33,1,0))))))))</f>
        <v/>
      </c>
      <c r="AF213">
        <f>IF(B213="","",IF(N213&lt;16.5,0,IF(N213&gt;=50*0.8,5,IF(N213&gt;=50*0.7,4,IF(N213&gt;=50*0.6,3.5,IF(N213&gt;=50*0.5,3,IF(N213&gt;=50*0.4,2,IF(N213&gt;=50*0.33,1,0))))))))</f>
        <v/>
      </c>
      <c r="AG213">
        <f>IF(B213="","",IF(O213&lt;33.0,0,IF(O213&gt;=100*0.8,5,IF(O213&gt;=100*0.7,4,IF(O213&gt;=100*0.6,3.5,IF(O213&gt;=100*0.5,3,IF(O213&gt;=100*0.4,2,IF(O213&gt;=100*0.33,1,0))))))))</f>
        <v/>
      </c>
      <c r="AH213">
        <f>IF(B213="","",IF(OR(U213=0,V213=0,W213=0,X213=0,Y213=0,Z213=0,AA213=0,AB213=0,AC213=0,AD213=0,AE213=0,AF213=0,AG213=0),1,0))</f>
        <v/>
      </c>
    </row>
    <row r="214">
      <c r="A214" s="3">
        <f>IF(B214="","",ROW()-2)</f>
        <v/>
      </c>
      <c r="P214" s="4">
        <f>IF(B214="","",SUM(C214:O214))</f>
        <v/>
      </c>
      <c r="Q214" s="5">
        <f>IF(B214="","",ROUND(P214/13,2))</f>
        <v/>
      </c>
      <c r="R214" s="5">
        <f>IF(B214="","",IF(AH214=1,0,MIN(5,ROUND((U214+V214+W214+X214+Y214+Z214+AA214+AB214+AC214+AD214+AE214+AF214+AG214)/13,2))))</f>
        <v/>
      </c>
      <c r="S214" s="3">
        <f>IF(B214="","",IF(R214&gt;=5,"A+",IF(R214&gt;=4,"A",IF(R214&gt;=3.5,"A-",IF(R214&gt;=3,"B",IF(R214&gt;=2,"C",IF(R214&gt;=1,"D","F")))))))</f>
        <v/>
      </c>
      <c r="T214" s="3">
        <f>IF(OR(B214="",S214="F"),"",COUNTIFS(P:P,"&gt;"&amp;P214,S:S,"&lt;&gt;F")+1)</f>
        <v/>
      </c>
      <c r="U214">
        <f>IF(B214="","",IF(C214&lt;33.0,0,IF(C214&gt;=100*0.8,5,IF(C214&gt;=100*0.7,4,IF(C214&gt;=100*0.6,3.5,IF(C214&gt;=100*0.5,3,IF(C214&gt;=100*0.4,2,IF(C214&gt;=100*0.33,1,0))))))))</f>
        <v/>
      </c>
      <c r="V214">
        <f>IF(B214="","",IF(D214&lt;33.0,0,IF(D214&gt;=100*0.8,5,IF(D214&gt;=100*0.7,4,IF(D214&gt;=100*0.6,3.5,IF(D214&gt;=100*0.5,3,IF(D214&gt;=100*0.4,2,IF(D214&gt;=100*0.33,1,0))))))))</f>
        <v/>
      </c>
      <c r="W214">
        <f>IF(B214="","",IF(E214&lt;16.5,0,IF(E214&gt;=50*0.8,5,IF(E214&gt;=50*0.7,4,IF(E214&gt;=50*0.6,3.5,IF(E214&gt;=50*0.5,3,IF(E214&gt;=50*0.4,2,IF(E214&gt;=50*0.33,1,0))))))))</f>
        <v/>
      </c>
      <c r="X214">
        <f>IF(B214="","",IF(F214&lt;33.0,0,IF(F214&gt;=100*0.8,5,IF(F214&gt;=100*0.7,4,IF(F214&gt;=100*0.6,3.5,IF(F214&gt;=100*0.5,3,IF(F214&gt;=100*0.4,2,IF(F214&gt;=100*0.33,1,0))))))))</f>
        <v/>
      </c>
      <c r="Y214">
        <f>IF(B214="","",IF(G214&lt;16.5,0,IF(G214&gt;=50*0.8,5,IF(G214&gt;=50*0.7,4,IF(G214&gt;=50*0.6,3.5,IF(G214&gt;=50*0.5,3,IF(G214&gt;=50*0.4,2,IF(G214&gt;=50*0.33,1,0))))))))</f>
        <v/>
      </c>
      <c r="Z214">
        <f>IF(B214="","",IF(H214&lt;33.0,0,IF(H214&gt;=100*0.8,5,IF(H214&gt;=100*0.7,4,IF(H214&gt;=100*0.6,3.5,IF(H214&gt;=100*0.5,3,IF(H214&gt;=100*0.4,2,IF(H214&gt;=100*0.33,1,0))))))))</f>
        <v/>
      </c>
      <c r="AA214">
        <f>IF(B214="","",IF(I214&lt;33.0,0,IF(I214&gt;=100*0.8,5,IF(I214&gt;=100*0.7,4,IF(I214&gt;=100*0.6,3.5,IF(I214&gt;=100*0.5,3,IF(I214&gt;=100*0.4,2,IF(I214&gt;=100*0.33,1,0))))))))</f>
        <v/>
      </c>
      <c r="AB214">
        <f>IF(B214="","",IF(J214&lt;33.0,0,IF(J214&gt;=100*0.8,5,IF(J214&gt;=100*0.7,4,IF(J214&gt;=100*0.6,3.5,IF(J214&gt;=100*0.5,3,IF(J214&gt;=100*0.4,2,IF(J214&gt;=100*0.33,1,0))))))))</f>
        <v/>
      </c>
      <c r="AC214">
        <f>IF(B214="","",IF(K214&lt;33.0,0,IF(K214&gt;=100*0.8,5,IF(K214&gt;=100*0.7,4,IF(K214&gt;=100*0.6,3.5,IF(K214&gt;=100*0.5,3,IF(K214&gt;=100*0.4,2,IF(K214&gt;=100*0.33,1,0))))))))</f>
        <v/>
      </c>
      <c r="AD214">
        <f>IF(B214="","",IF(L214&lt;33.0,0,IF(L214&gt;=100*0.8,5,IF(L214&gt;=100*0.7,4,IF(L214&gt;=100*0.6,3.5,IF(L214&gt;=100*0.5,3,IF(L214&gt;=100*0.4,2,IF(L214&gt;=100*0.33,1,0))))))))</f>
        <v/>
      </c>
      <c r="AE214">
        <f>IF(B214="","",IF(M214&lt;33.0,0,IF(M214&gt;=100*0.8,5,IF(M214&gt;=100*0.7,4,IF(M214&gt;=100*0.6,3.5,IF(M214&gt;=100*0.5,3,IF(M214&gt;=100*0.4,2,IF(M214&gt;=100*0.33,1,0))))))))</f>
        <v/>
      </c>
      <c r="AF214">
        <f>IF(B214="","",IF(N214&lt;16.5,0,IF(N214&gt;=50*0.8,5,IF(N214&gt;=50*0.7,4,IF(N214&gt;=50*0.6,3.5,IF(N214&gt;=50*0.5,3,IF(N214&gt;=50*0.4,2,IF(N214&gt;=50*0.33,1,0))))))))</f>
        <v/>
      </c>
      <c r="AG214">
        <f>IF(B214="","",IF(O214&lt;33.0,0,IF(O214&gt;=100*0.8,5,IF(O214&gt;=100*0.7,4,IF(O214&gt;=100*0.6,3.5,IF(O214&gt;=100*0.5,3,IF(O214&gt;=100*0.4,2,IF(O214&gt;=100*0.33,1,0))))))))</f>
        <v/>
      </c>
      <c r="AH214">
        <f>IF(B214="","",IF(OR(U214=0,V214=0,W214=0,X214=0,Y214=0,Z214=0,AA214=0,AB214=0,AC214=0,AD214=0,AE214=0,AF214=0,AG214=0),1,0))</f>
        <v/>
      </c>
    </row>
    <row r="215">
      <c r="A215" s="3">
        <f>IF(B215="","",ROW()-2)</f>
        <v/>
      </c>
      <c r="P215" s="4">
        <f>IF(B215="","",SUM(C215:O215))</f>
        <v/>
      </c>
      <c r="Q215" s="5">
        <f>IF(B215="","",ROUND(P215/13,2))</f>
        <v/>
      </c>
      <c r="R215" s="5">
        <f>IF(B215="","",IF(AH215=1,0,MIN(5,ROUND((U215+V215+W215+X215+Y215+Z215+AA215+AB215+AC215+AD215+AE215+AF215+AG215)/13,2))))</f>
        <v/>
      </c>
      <c r="S215" s="3">
        <f>IF(B215="","",IF(R215&gt;=5,"A+",IF(R215&gt;=4,"A",IF(R215&gt;=3.5,"A-",IF(R215&gt;=3,"B",IF(R215&gt;=2,"C",IF(R215&gt;=1,"D","F")))))))</f>
        <v/>
      </c>
      <c r="T215" s="3">
        <f>IF(OR(B215="",S215="F"),"",COUNTIFS(P:P,"&gt;"&amp;P215,S:S,"&lt;&gt;F")+1)</f>
        <v/>
      </c>
      <c r="U215">
        <f>IF(B215="","",IF(C215&lt;33.0,0,IF(C215&gt;=100*0.8,5,IF(C215&gt;=100*0.7,4,IF(C215&gt;=100*0.6,3.5,IF(C215&gt;=100*0.5,3,IF(C215&gt;=100*0.4,2,IF(C215&gt;=100*0.33,1,0))))))))</f>
        <v/>
      </c>
      <c r="V215">
        <f>IF(B215="","",IF(D215&lt;33.0,0,IF(D215&gt;=100*0.8,5,IF(D215&gt;=100*0.7,4,IF(D215&gt;=100*0.6,3.5,IF(D215&gt;=100*0.5,3,IF(D215&gt;=100*0.4,2,IF(D215&gt;=100*0.33,1,0))))))))</f>
        <v/>
      </c>
      <c r="W215">
        <f>IF(B215="","",IF(E215&lt;16.5,0,IF(E215&gt;=50*0.8,5,IF(E215&gt;=50*0.7,4,IF(E215&gt;=50*0.6,3.5,IF(E215&gt;=50*0.5,3,IF(E215&gt;=50*0.4,2,IF(E215&gt;=50*0.33,1,0))))))))</f>
        <v/>
      </c>
      <c r="X215">
        <f>IF(B215="","",IF(F215&lt;33.0,0,IF(F215&gt;=100*0.8,5,IF(F215&gt;=100*0.7,4,IF(F215&gt;=100*0.6,3.5,IF(F215&gt;=100*0.5,3,IF(F215&gt;=100*0.4,2,IF(F215&gt;=100*0.33,1,0))))))))</f>
        <v/>
      </c>
      <c r="Y215">
        <f>IF(B215="","",IF(G215&lt;16.5,0,IF(G215&gt;=50*0.8,5,IF(G215&gt;=50*0.7,4,IF(G215&gt;=50*0.6,3.5,IF(G215&gt;=50*0.5,3,IF(G215&gt;=50*0.4,2,IF(G215&gt;=50*0.33,1,0))))))))</f>
        <v/>
      </c>
      <c r="Z215">
        <f>IF(B215="","",IF(H215&lt;33.0,0,IF(H215&gt;=100*0.8,5,IF(H215&gt;=100*0.7,4,IF(H215&gt;=100*0.6,3.5,IF(H215&gt;=100*0.5,3,IF(H215&gt;=100*0.4,2,IF(H215&gt;=100*0.33,1,0))))))))</f>
        <v/>
      </c>
      <c r="AA215">
        <f>IF(B215="","",IF(I215&lt;33.0,0,IF(I215&gt;=100*0.8,5,IF(I215&gt;=100*0.7,4,IF(I215&gt;=100*0.6,3.5,IF(I215&gt;=100*0.5,3,IF(I215&gt;=100*0.4,2,IF(I215&gt;=100*0.33,1,0))))))))</f>
        <v/>
      </c>
      <c r="AB215">
        <f>IF(B215="","",IF(J215&lt;33.0,0,IF(J215&gt;=100*0.8,5,IF(J215&gt;=100*0.7,4,IF(J215&gt;=100*0.6,3.5,IF(J215&gt;=100*0.5,3,IF(J215&gt;=100*0.4,2,IF(J215&gt;=100*0.33,1,0))))))))</f>
        <v/>
      </c>
      <c r="AC215">
        <f>IF(B215="","",IF(K215&lt;33.0,0,IF(K215&gt;=100*0.8,5,IF(K215&gt;=100*0.7,4,IF(K215&gt;=100*0.6,3.5,IF(K215&gt;=100*0.5,3,IF(K215&gt;=100*0.4,2,IF(K215&gt;=100*0.33,1,0))))))))</f>
        <v/>
      </c>
      <c r="AD215">
        <f>IF(B215="","",IF(L215&lt;33.0,0,IF(L215&gt;=100*0.8,5,IF(L215&gt;=100*0.7,4,IF(L215&gt;=100*0.6,3.5,IF(L215&gt;=100*0.5,3,IF(L215&gt;=100*0.4,2,IF(L215&gt;=100*0.33,1,0))))))))</f>
        <v/>
      </c>
      <c r="AE215">
        <f>IF(B215="","",IF(M215&lt;33.0,0,IF(M215&gt;=100*0.8,5,IF(M215&gt;=100*0.7,4,IF(M215&gt;=100*0.6,3.5,IF(M215&gt;=100*0.5,3,IF(M215&gt;=100*0.4,2,IF(M215&gt;=100*0.33,1,0))))))))</f>
        <v/>
      </c>
      <c r="AF215">
        <f>IF(B215="","",IF(N215&lt;16.5,0,IF(N215&gt;=50*0.8,5,IF(N215&gt;=50*0.7,4,IF(N215&gt;=50*0.6,3.5,IF(N215&gt;=50*0.5,3,IF(N215&gt;=50*0.4,2,IF(N215&gt;=50*0.33,1,0))))))))</f>
        <v/>
      </c>
      <c r="AG215">
        <f>IF(B215="","",IF(O215&lt;33.0,0,IF(O215&gt;=100*0.8,5,IF(O215&gt;=100*0.7,4,IF(O215&gt;=100*0.6,3.5,IF(O215&gt;=100*0.5,3,IF(O215&gt;=100*0.4,2,IF(O215&gt;=100*0.33,1,0))))))))</f>
        <v/>
      </c>
      <c r="AH215">
        <f>IF(B215="","",IF(OR(U215=0,V215=0,W215=0,X215=0,Y215=0,Z215=0,AA215=0,AB215=0,AC215=0,AD215=0,AE215=0,AF215=0,AG215=0),1,0))</f>
        <v/>
      </c>
    </row>
    <row r="216">
      <c r="A216" s="3">
        <f>IF(B216="","",ROW()-2)</f>
        <v/>
      </c>
      <c r="P216" s="4">
        <f>IF(B216="","",SUM(C216:O216))</f>
        <v/>
      </c>
      <c r="Q216" s="5">
        <f>IF(B216="","",ROUND(P216/13,2))</f>
        <v/>
      </c>
      <c r="R216" s="5">
        <f>IF(B216="","",IF(AH216=1,0,MIN(5,ROUND((U216+V216+W216+X216+Y216+Z216+AA216+AB216+AC216+AD216+AE216+AF216+AG216)/13,2))))</f>
        <v/>
      </c>
      <c r="S216" s="3">
        <f>IF(B216="","",IF(R216&gt;=5,"A+",IF(R216&gt;=4,"A",IF(R216&gt;=3.5,"A-",IF(R216&gt;=3,"B",IF(R216&gt;=2,"C",IF(R216&gt;=1,"D","F")))))))</f>
        <v/>
      </c>
      <c r="T216" s="3">
        <f>IF(OR(B216="",S216="F"),"",COUNTIFS(P:P,"&gt;"&amp;P216,S:S,"&lt;&gt;F")+1)</f>
        <v/>
      </c>
      <c r="U216">
        <f>IF(B216="","",IF(C216&lt;33.0,0,IF(C216&gt;=100*0.8,5,IF(C216&gt;=100*0.7,4,IF(C216&gt;=100*0.6,3.5,IF(C216&gt;=100*0.5,3,IF(C216&gt;=100*0.4,2,IF(C216&gt;=100*0.33,1,0))))))))</f>
        <v/>
      </c>
      <c r="V216">
        <f>IF(B216="","",IF(D216&lt;33.0,0,IF(D216&gt;=100*0.8,5,IF(D216&gt;=100*0.7,4,IF(D216&gt;=100*0.6,3.5,IF(D216&gt;=100*0.5,3,IF(D216&gt;=100*0.4,2,IF(D216&gt;=100*0.33,1,0))))))))</f>
        <v/>
      </c>
      <c r="W216">
        <f>IF(B216="","",IF(E216&lt;16.5,0,IF(E216&gt;=50*0.8,5,IF(E216&gt;=50*0.7,4,IF(E216&gt;=50*0.6,3.5,IF(E216&gt;=50*0.5,3,IF(E216&gt;=50*0.4,2,IF(E216&gt;=50*0.33,1,0))))))))</f>
        <v/>
      </c>
      <c r="X216">
        <f>IF(B216="","",IF(F216&lt;33.0,0,IF(F216&gt;=100*0.8,5,IF(F216&gt;=100*0.7,4,IF(F216&gt;=100*0.6,3.5,IF(F216&gt;=100*0.5,3,IF(F216&gt;=100*0.4,2,IF(F216&gt;=100*0.33,1,0))))))))</f>
        <v/>
      </c>
      <c r="Y216">
        <f>IF(B216="","",IF(G216&lt;16.5,0,IF(G216&gt;=50*0.8,5,IF(G216&gt;=50*0.7,4,IF(G216&gt;=50*0.6,3.5,IF(G216&gt;=50*0.5,3,IF(G216&gt;=50*0.4,2,IF(G216&gt;=50*0.33,1,0))))))))</f>
        <v/>
      </c>
      <c r="Z216">
        <f>IF(B216="","",IF(H216&lt;33.0,0,IF(H216&gt;=100*0.8,5,IF(H216&gt;=100*0.7,4,IF(H216&gt;=100*0.6,3.5,IF(H216&gt;=100*0.5,3,IF(H216&gt;=100*0.4,2,IF(H216&gt;=100*0.33,1,0))))))))</f>
        <v/>
      </c>
      <c r="AA216">
        <f>IF(B216="","",IF(I216&lt;33.0,0,IF(I216&gt;=100*0.8,5,IF(I216&gt;=100*0.7,4,IF(I216&gt;=100*0.6,3.5,IF(I216&gt;=100*0.5,3,IF(I216&gt;=100*0.4,2,IF(I216&gt;=100*0.33,1,0))))))))</f>
        <v/>
      </c>
      <c r="AB216">
        <f>IF(B216="","",IF(J216&lt;33.0,0,IF(J216&gt;=100*0.8,5,IF(J216&gt;=100*0.7,4,IF(J216&gt;=100*0.6,3.5,IF(J216&gt;=100*0.5,3,IF(J216&gt;=100*0.4,2,IF(J216&gt;=100*0.33,1,0))))))))</f>
        <v/>
      </c>
      <c r="AC216">
        <f>IF(B216="","",IF(K216&lt;33.0,0,IF(K216&gt;=100*0.8,5,IF(K216&gt;=100*0.7,4,IF(K216&gt;=100*0.6,3.5,IF(K216&gt;=100*0.5,3,IF(K216&gt;=100*0.4,2,IF(K216&gt;=100*0.33,1,0))))))))</f>
        <v/>
      </c>
      <c r="AD216">
        <f>IF(B216="","",IF(L216&lt;33.0,0,IF(L216&gt;=100*0.8,5,IF(L216&gt;=100*0.7,4,IF(L216&gt;=100*0.6,3.5,IF(L216&gt;=100*0.5,3,IF(L216&gt;=100*0.4,2,IF(L216&gt;=100*0.33,1,0))))))))</f>
        <v/>
      </c>
      <c r="AE216">
        <f>IF(B216="","",IF(M216&lt;33.0,0,IF(M216&gt;=100*0.8,5,IF(M216&gt;=100*0.7,4,IF(M216&gt;=100*0.6,3.5,IF(M216&gt;=100*0.5,3,IF(M216&gt;=100*0.4,2,IF(M216&gt;=100*0.33,1,0))))))))</f>
        <v/>
      </c>
      <c r="AF216">
        <f>IF(B216="","",IF(N216&lt;16.5,0,IF(N216&gt;=50*0.8,5,IF(N216&gt;=50*0.7,4,IF(N216&gt;=50*0.6,3.5,IF(N216&gt;=50*0.5,3,IF(N216&gt;=50*0.4,2,IF(N216&gt;=50*0.33,1,0))))))))</f>
        <v/>
      </c>
      <c r="AG216">
        <f>IF(B216="","",IF(O216&lt;33.0,0,IF(O216&gt;=100*0.8,5,IF(O216&gt;=100*0.7,4,IF(O216&gt;=100*0.6,3.5,IF(O216&gt;=100*0.5,3,IF(O216&gt;=100*0.4,2,IF(O216&gt;=100*0.33,1,0))))))))</f>
        <v/>
      </c>
      <c r="AH216">
        <f>IF(B216="","",IF(OR(U216=0,V216=0,W216=0,X216=0,Y216=0,Z216=0,AA216=0,AB216=0,AC216=0,AD216=0,AE216=0,AF216=0,AG216=0),1,0))</f>
        <v/>
      </c>
    </row>
    <row r="217">
      <c r="A217" s="3">
        <f>IF(B217="","",ROW()-2)</f>
        <v/>
      </c>
      <c r="P217" s="4">
        <f>IF(B217="","",SUM(C217:O217))</f>
        <v/>
      </c>
      <c r="Q217" s="5">
        <f>IF(B217="","",ROUND(P217/13,2))</f>
        <v/>
      </c>
      <c r="R217" s="5">
        <f>IF(B217="","",IF(AH217=1,0,MIN(5,ROUND((U217+V217+W217+X217+Y217+Z217+AA217+AB217+AC217+AD217+AE217+AF217+AG217)/13,2))))</f>
        <v/>
      </c>
      <c r="S217" s="3">
        <f>IF(B217="","",IF(R217&gt;=5,"A+",IF(R217&gt;=4,"A",IF(R217&gt;=3.5,"A-",IF(R217&gt;=3,"B",IF(R217&gt;=2,"C",IF(R217&gt;=1,"D","F")))))))</f>
        <v/>
      </c>
      <c r="T217" s="3">
        <f>IF(OR(B217="",S217="F"),"",COUNTIFS(P:P,"&gt;"&amp;P217,S:S,"&lt;&gt;F")+1)</f>
        <v/>
      </c>
      <c r="U217">
        <f>IF(B217="","",IF(C217&lt;33.0,0,IF(C217&gt;=100*0.8,5,IF(C217&gt;=100*0.7,4,IF(C217&gt;=100*0.6,3.5,IF(C217&gt;=100*0.5,3,IF(C217&gt;=100*0.4,2,IF(C217&gt;=100*0.33,1,0))))))))</f>
        <v/>
      </c>
      <c r="V217">
        <f>IF(B217="","",IF(D217&lt;33.0,0,IF(D217&gt;=100*0.8,5,IF(D217&gt;=100*0.7,4,IF(D217&gt;=100*0.6,3.5,IF(D217&gt;=100*0.5,3,IF(D217&gt;=100*0.4,2,IF(D217&gt;=100*0.33,1,0))))))))</f>
        <v/>
      </c>
      <c r="W217">
        <f>IF(B217="","",IF(E217&lt;16.5,0,IF(E217&gt;=50*0.8,5,IF(E217&gt;=50*0.7,4,IF(E217&gt;=50*0.6,3.5,IF(E217&gt;=50*0.5,3,IF(E217&gt;=50*0.4,2,IF(E217&gt;=50*0.33,1,0))))))))</f>
        <v/>
      </c>
      <c r="X217">
        <f>IF(B217="","",IF(F217&lt;33.0,0,IF(F217&gt;=100*0.8,5,IF(F217&gt;=100*0.7,4,IF(F217&gt;=100*0.6,3.5,IF(F217&gt;=100*0.5,3,IF(F217&gt;=100*0.4,2,IF(F217&gt;=100*0.33,1,0))))))))</f>
        <v/>
      </c>
      <c r="Y217">
        <f>IF(B217="","",IF(G217&lt;16.5,0,IF(G217&gt;=50*0.8,5,IF(G217&gt;=50*0.7,4,IF(G217&gt;=50*0.6,3.5,IF(G217&gt;=50*0.5,3,IF(G217&gt;=50*0.4,2,IF(G217&gt;=50*0.33,1,0))))))))</f>
        <v/>
      </c>
      <c r="Z217">
        <f>IF(B217="","",IF(H217&lt;33.0,0,IF(H217&gt;=100*0.8,5,IF(H217&gt;=100*0.7,4,IF(H217&gt;=100*0.6,3.5,IF(H217&gt;=100*0.5,3,IF(H217&gt;=100*0.4,2,IF(H217&gt;=100*0.33,1,0))))))))</f>
        <v/>
      </c>
      <c r="AA217">
        <f>IF(B217="","",IF(I217&lt;33.0,0,IF(I217&gt;=100*0.8,5,IF(I217&gt;=100*0.7,4,IF(I217&gt;=100*0.6,3.5,IF(I217&gt;=100*0.5,3,IF(I217&gt;=100*0.4,2,IF(I217&gt;=100*0.33,1,0))))))))</f>
        <v/>
      </c>
      <c r="AB217">
        <f>IF(B217="","",IF(J217&lt;33.0,0,IF(J217&gt;=100*0.8,5,IF(J217&gt;=100*0.7,4,IF(J217&gt;=100*0.6,3.5,IF(J217&gt;=100*0.5,3,IF(J217&gt;=100*0.4,2,IF(J217&gt;=100*0.33,1,0))))))))</f>
        <v/>
      </c>
      <c r="AC217">
        <f>IF(B217="","",IF(K217&lt;33.0,0,IF(K217&gt;=100*0.8,5,IF(K217&gt;=100*0.7,4,IF(K217&gt;=100*0.6,3.5,IF(K217&gt;=100*0.5,3,IF(K217&gt;=100*0.4,2,IF(K217&gt;=100*0.33,1,0))))))))</f>
        <v/>
      </c>
      <c r="AD217">
        <f>IF(B217="","",IF(L217&lt;33.0,0,IF(L217&gt;=100*0.8,5,IF(L217&gt;=100*0.7,4,IF(L217&gt;=100*0.6,3.5,IF(L217&gt;=100*0.5,3,IF(L217&gt;=100*0.4,2,IF(L217&gt;=100*0.33,1,0))))))))</f>
        <v/>
      </c>
      <c r="AE217">
        <f>IF(B217="","",IF(M217&lt;33.0,0,IF(M217&gt;=100*0.8,5,IF(M217&gt;=100*0.7,4,IF(M217&gt;=100*0.6,3.5,IF(M217&gt;=100*0.5,3,IF(M217&gt;=100*0.4,2,IF(M217&gt;=100*0.33,1,0))))))))</f>
        <v/>
      </c>
      <c r="AF217">
        <f>IF(B217="","",IF(N217&lt;16.5,0,IF(N217&gt;=50*0.8,5,IF(N217&gt;=50*0.7,4,IF(N217&gt;=50*0.6,3.5,IF(N217&gt;=50*0.5,3,IF(N217&gt;=50*0.4,2,IF(N217&gt;=50*0.33,1,0))))))))</f>
        <v/>
      </c>
      <c r="AG217">
        <f>IF(B217="","",IF(O217&lt;33.0,0,IF(O217&gt;=100*0.8,5,IF(O217&gt;=100*0.7,4,IF(O217&gt;=100*0.6,3.5,IF(O217&gt;=100*0.5,3,IF(O217&gt;=100*0.4,2,IF(O217&gt;=100*0.33,1,0))))))))</f>
        <v/>
      </c>
      <c r="AH217">
        <f>IF(B217="","",IF(OR(U217=0,V217=0,W217=0,X217=0,Y217=0,Z217=0,AA217=0,AB217=0,AC217=0,AD217=0,AE217=0,AF217=0,AG217=0),1,0))</f>
        <v/>
      </c>
    </row>
    <row r="218">
      <c r="A218" s="3">
        <f>IF(B218="","",ROW()-2)</f>
        <v/>
      </c>
      <c r="P218" s="4">
        <f>IF(B218="","",SUM(C218:O218))</f>
        <v/>
      </c>
      <c r="Q218" s="5">
        <f>IF(B218="","",ROUND(P218/13,2))</f>
        <v/>
      </c>
      <c r="R218" s="5">
        <f>IF(B218="","",IF(AH218=1,0,MIN(5,ROUND((U218+V218+W218+X218+Y218+Z218+AA218+AB218+AC218+AD218+AE218+AF218+AG218)/13,2))))</f>
        <v/>
      </c>
      <c r="S218" s="3">
        <f>IF(B218="","",IF(R218&gt;=5,"A+",IF(R218&gt;=4,"A",IF(R218&gt;=3.5,"A-",IF(R218&gt;=3,"B",IF(R218&gt;=2,"C",IF(R218&gt;=1,"D","F")))))))</f>
        <v/>
      </c>
      <c r="T218" s="3">
        <f>IF(OR(B218="",S218="F"),"",COUNTIFS(P:P,"&gt;"&amp;P218,S:S,"&lt;&gt;F")+1)</f>
        <v/>
      </c>
      <c r="U218">
        <f>IF(B218="","",IF(C218&lt;33.0,0,IF(C218&gt;=100*0.8,5,IF(C218&gt;=100*0.7,4,IF(C218&gt;=100*0.6,3.5,IF(C218&gt;=100*0.5,3,IF(C218&gt;=100*0.4,2,IF(C218&gt;=100*0.33,1,0))))))))</f>
        <v/>
      </c>
      <c r="V218">
        <f>IF(B218="","",IF(D218&lt;33.0,0,IF(D218&gt;=100*0.8,5,IF(D218&gt;=100*0.7,4,IF(D218&gt;=100*0.6,3.5,IF(D218&gt;=100*0.5,3,IF(D218&gt;=100*0.4,2,IF(D218&gt;=100*0.33,1,0))))))))</f>
        <v/>
      </c>
      <c r="W218">
        <f>IF(B218="","",IF(E218&lt;16.5,0,IF(E218&gt;=50*0.8,5,IF(E218&gt;=50*0.7,4,IF(E218&gt;=50*0.6,3.5,IF(E218&gt;=50*0.5,3,IF(E218&gt;=50*0.4,2,IF(E218&gt;=50*0.33,1,0))))))))</f>
        <v/>
      </c>
      <c r="X218">
        <f>IF(B218="","",IF(F218&lt;33.0,0,IF(F218&gt;=100*0.8,5,IF(F218&gt;=100*0.7,4,IF(F218&gt;=100*0.6,3.5,IF(F218&gt;=100*0.5,3,IF(F218&gt;=100*0.4,2,IF(F218&gt;=100*0.33,1,0))))))))</f>
        <v/>
      </c>
      <c r="Y218">
        <f>IF(B218="","",IF(G218&lt;16.5,0,IF(G218&gt;=50*0.8,5,IF(G218&gt;=50*0.7,4,IF(G218&gt;=50*0.6,3.5,IF(G218&gt;=50*0.5,3,IF(G218&gt;=50*0.4,2,IF(G218&gt;=50*0.33,1,0))))))))</f>
        <v/>
      </c>
      <c r="Z218">
        <f>IF(B218="","",IF(H218&lt;33.0,0,IF(H218&gt;=100*0.8,5,IF(H218&gt;=100*0.7,4,IF(H218&gt;=100*0.6,3.5,IF(H218&gt;=100*0.5,3,IF(H218&gt;=100*0.4,2,IF(H218&gt;=100*0.33,1,0))))))))</f>
        <v/>
      </c>
      <c r="AA218">
        <f>IF(B218="","",IF(I218&lt;33.0,0,IF(I218&gt;=100*0.8,5,IF(I218&gt;=100*0.7,4,IF(I218&gt;=100*0.6,3.5,IF(I218&gt;=100*0.5,3,IF(I218&gt;=100*0.4,2,IF(I218&gt;=100*0.33,1,0))))))))</f>
        <v/>
      </c>
      <c r="AB218">
        <f>IF(B218="","",IF(J218&lt;33.0,0,IF(J218&gt;=100*0.8,5,IF(J218&gt;=100*0.7,4,IF(J218&gt;=100*0.6,3.5,IF(J218&gt;=100*0.5,3,IF(J218&gt;=100*0.4,2,IF(J218&gt;=100*0.33,1,0))))))))</f>
        <v/>
      </c>
      <c r="AC218">
        <f>IF(B218="","",IF(K218&lt;33.0,0,IF(K218&gt;=100*0.8,5,IF(K218&gt;=100*0.7,4,IF(K218&gt;=100*0.6,3.5,IF(K218&gt;=100*0.5,3,IF(K218&gt;=100*0.4,2,IF(K218&gt;=100*0.33,1,0))))))))</f>
        <v/>
      </c>
      <c r="AD218">
        <f>IF(B218="","",IF(L218&lt;33.0,0,IF(L218&gt;=100*0.8,5,IF(L218&gt;=100*0.7,4,IF(L218&gt;=100*0.6,3.5,IF(L218&gt;=100*0.5,3,IF(L218&gt;=100*0.4,2,IF(L218&gt;=100*0.33,1,0))))))))</f>
        <v/>
      </c>
      <c r="AE218">
        <f>IF(B218="","",IF(M218&lt;33.0,0,IF(M218&gt;=100*0.8,5,IF(M218&gt;=100*0.7,4,IF(M218&gt;=100*0.6,3.5,IF(M218&gt;=100*0.5,3,IF(M218&gt;=100*0.4,2,IF(M218&gt;=100*0.33,1,0))))))))</f>
        <v/>
      </c>
      <c r="AF218">
        <f>IF(B218="","",IF(N218&lt;16.5,0,IF(N218&gt;=50*0.8,5,IF(N218&gt;=50*0.7,4,IF(N218&gt;=50*0.6,3.5,IF(N218&gt;=50*0.5,3,IF(N218&gt;=50*0.4,2,IF(N218&gt;=50*0.33,1,0))))))))</f>
        <v/>
      </c>
      <c r="AG218">
        <f>IF(B218="","",IF(O218&lt;33.0,0,IF(O218&gt;=100*0.8,5,IF(O218&gt;=100*0.7,4,IF(O218&gt;=100*0.6,3.5,IF(O218&gt;=100*0.5,3,IF(O218&gt;=100*0.4,2,IF(O218&gt;=100*0.33,1,0))))))))</f>
        <v/>
      </c>
      <c r="AH218">
        <f>IF(B218="","",IF(OR(U218=0,V218=0,W218=0,X218=0,Y218=0,Z218=0,AA218=0,AB218=0,AC218=0,AD218=0,AE218=0,AF218=0,AG218=0),1,0))</f>
        <v/>
      </c>
    </row>
    <row r="219">
      <c r="A219" s="3">
        <f>IF(B219="","",ROW()-2)</f>
        <v/>
      </c>
      <c r="P219" s="4">
        <f>IF(B219="","",SUM(C219:O219))</f>
        <v/>
      </c>
      <c r="Q219" s="5">
        <f>IF(B219="","",ROUND(P219/13,2))</f>
        <v/>
      </c>
      <c r="R219" s="5">
        <f>IF(B219="","",IF(AH219=1,0,MIN(5,ROUND((U219+V219+W219+X219+Y219+Z219+AA219+AB219+AC219+AD219+AE219+AF219+AG219)/13,2))))</f>
        <v/>
      </c>
      <c r="S219" s="3">
        <f>IF(B219="","",IF(R219&gt;=5,"A+",IF(R219&gt;=4,"A",IF(R219&gt;=3.5,"A-",IF(R219&gt;=3,"B",IF(R219&gt;=2,"C",IF(R219&gt;=1,"D","F")))))))</f>
        <v/>
      </c>
      <c r="T219" s="3">
        <f>IF(OR(B219="",S219="F"),"",COUNTIFS(P:P,"&gt;"&amp;P219,S:S,"&lt;&gt;F")+1)</f>
        <v/>
      </c>
      <c r="U219">
        <f>IF(B219="","",IF(C219&lt;33.0,0,IF(C219&gt;=100*0.8,5,IF(C219&gt;=100*0.7,4,IF(C219&gt;=100*0.6,3.5,IF(C219&gt;=100*0.5,3,IF(C219&gt;=100*0.4,2,IF(C219&gt;=100*0.33,1,0))))))))</f>
        <v/>
      </c>
      <c r="V219">
        <f>IF(B219="","",IF(D219&lt;33.0,0,IF(D219&gt;=100*0.8,5,IF(D219&gt;=100*0.7,4,IF(D219&gt;=100*0.6,3.5,IF(D219&gt;=100*0.5,3,IF(D219&gt;=100*0.4,2,IF(D219&gt;=100*0.33,1,0))))))))</f>
        <v/>
      </c>
      <c r="W219">
        <f>IF(B219="","",IF(E219&lt;16.5,0,IF(E219&gt;=50*0.8,5,IF(E219&gt;=50*0.7,4,IF(E219&gt;=50*0.6,3.5,IF(E219&gt;=50*0.5,3,IF(E219&gt;=50*0.4,2,IF(E219&gt;=50*0.33,1,0))))))))</f>
        <v/>
      </c>
      <c r="X219">
        <f>IF(B219="","",IF(F219&lt;33.0,0,IF(F219&gt;=100*0.8,5,IF(F219&gt;=100*0.7,4,IF(F219&gt;=100*0.6,3.5,IF(F219&gt;=100*0.5,3,IF(F219&gt;=100*0.4,2,IF(F219&gt;=100*0.33,1,0))))))))</f>
        <v/>
      </c>
      <c r="Y219">
        <f>IF(B219="","",IF(G219&lt;16.5,0,IF(G219&gt;=50*0.8,5,IF(G219&gt;=50*0.7,4,IF(G219&gt;=50*0.6,3.5,IF(G219&gt;=50*0.5,3,IF(G219&gt;=50*0.4,2,IF(G219&gt;=50*0.33,1,0))))))))</f>
        <v/>
      </c>
      <c r="Z219">
        <f>IF(B219="","",IF(H219&lt;33.0,0,IF(H219&gt;=100*0.8,5,IF(H219&gt;=100*0.7,4,IF(H219&gt;=100*0.6,3.5,IF(H219&gt;=100*0.5,3,IF(H219&gt;=100*0.4,2,IF(H219&gt;=100*0.33,1,0))))))))</f>
        <v/>
      </c>
      <c r="AA219">
        <f>IF(B219="","",IF(I219&lt;33.0,0,IF(I219&gt;=100*0.8,5,IF(I219&gt;=100*0.7,4,IF(I219&gt;=100*0.6,3.5,IF(I219&gt;=100*0.5,3,IF(I219&gt;=100*0.4,2,IF(I219&gt;=100*0.33,1,0))))))))</f>
        <v/>
      </c>
      <c r="AB219">
        <f>IF(B219="","",IF(J219&lt;33.0,0,IF(J219&gt;=100*0.8,5,IF(J219&gt;=100*0.7,4,IF(J219&gt;=100*0.6,3.5,IF(J219&gt;=100*0.5,3,IF(J219&gt;=100*0.4,2,IF(J219&gt;=100*0.33,1,0))))))))</f>
        <v/>
      </c>
      <c r="AC219">
        <f>IF(B219="","",IF(K219&lt;33.0,0,IF(K219&gt;=100*0.8,5,IF(K219&gt;=100*0.7,4,IF(K219&gt;=100*0.6,3.5,IF(K219&gt;=100*0.5,3,IF(K219&gt;=100*0.4,2,IF(K219&gt;=100*0.33,1,0))))))))</f>
        <v/>
      </c>
      <c r="AD219">
        <f>IF(B219="","",IF(L219&lt;33.0,0,IF(L219&gt;=100*0.8,5,IF(L219&gt;=100*0.7,4,IF(L219&gt;=100*0.6,3.5,IF(L219&gt;=100*0.5,3,IF(L219&gt;=100*0.4,2,IF(L219&gt;=100*0.33,1,0))))))))</f>
        <v/>
      </c>
      <c r="AE219">
        <f>IF(B219="","",IF(M219&lt;33.0,0,IF(M219&gt;=100*0.8,5,IF(M219&gt;=100*0.7,4,IF(M219&gt;=100*0.6,3.5,IF(M219&gt;=100*0.5,3,IF(M219&gt;=100*0.4,2,IF(M219&gt;=100*0.33,1,0))))))))</f>
        <v/>
      </c>
      <c r="AF219">
        <f>IF(B219="","",IF(N219&lt;16.5,0,IF(N219&gt;=50*0.8,5,IF(N219&gt;=50*0.7,4,IF(N219&gt;=50*0.6,3.5,IF(N219&gt;=50*0.5,3,IF(N219&gt;=50*0.4,2,IF(N219&gt;=50*0.33,1,0))))))))</f>
        <v/>
      </c>
      <c r="AG219">
        <f>IF(B219="","",IF(O219&lt;33.0,0,IF(O219&gt;=100*0.8,5,IF(O219&gt;=100*0.7,4,IF(O219&gt;=100*0.6,3.5,IF(O219&gt;=100*0.5,3,IF(O219&gt;=100*0.4,2,IF(O219&gt;=100*0.33,1,0))))))))</f>
        <v/>
      </c>
      <c r="AH219">
        <f>IF(B219="","",IF(OR(U219=0,V219=0,W219=0,X219=0,Y219=0,Z219=0,AA219=0,AB219=0,AC219=0,AD219=0,AE219=0,AF219=0,AG219=0),1,0))</f>
        <v/>
      </c>
    </row>
    <row r="220">
      <c r="A220" s="3">
        <f>IF(B220="","",ROW()-2)</f>
        <v/>
      </c>
      <c r="P220" s="4">
        <f>IF(B220="","",SUM(C220:O220))</f>
        <v/>
      </c>
      <c r="Q220" s="5">
        <f>IF(B220="","",ROUND(P220/13,2))</f>
        <v/>
      </c>
      <c r="R220" s="5">
        <f>IF(B220="","",IF(AH220=1,0,MIN(5,ROUND((U220+V220+W220+X220+Y220+Z220+AA220+AB220+AC220+AD220+AE220+AF220+AG220)/13,2))))</f>
        <v/>
      </c>
      <c r="S220" s="3">
        <f>IF(B220="","",IF(R220&gt;=5,"A+",IF(R220&gt;=4,"A",IF(R220&gt;=3.5,"A-",IF(R220&gt;=3,"B",IF(R220&gt;=2,"C",IF(R220&gt;=1,"D","F")))))))</f>
        <v/>
      </c>
      <c r="T220" s="3">
        <f>IF(OR(B220="",S220="F"),"",COUNTIFS(P:P,"&gt;"&amp;P220,S:S,"&lt;&gt;F")+1)</f>
        <v/>
      </c>
      <c r="U220">
        <f>IF(B220="","",IF(C220&lt;33.0,0,IF(C220&gt;=100*0.8,5,IF(C220&gt;=100*0.7,4,IF(C220&gt;=100*0.6,3.5,IF(C220&gt;=100*0.5,3,IF(C220&gt;=100*0.4,2,IF(C220&gt;=100*0.33,1,0))))))))</f>
        <v/>
      </c>
      <c r="V220">
        <f>IF(B220="","",IF(D220&lt;33.0,0,IF(D220&gt;=100*0.8,5,IF(D220&gt;=100*0.7,4,IF(D220&gt;=100*0.6,3.5,IF(D220&gt;=100*0.5,3,IF(D220&gt;=100*0.4,2,IF(D220&gt;=100*0.33,1,0))))))))</f>
        <v/>
      </c>
      <c r="W220">
        <f>IF(B220="","",IF(E220&lt;16.5,0,IF(E220&gt;=50*0.8,5,IF(E220&gt;=50*0.7,4,IF(E220&gt;=50*0.6,3.5,IF(E220&gt;=50*0.5,3,IF(E220&gt;=50*0.4,2,IF(E220&gt;=50*0.33,1,0))))))))</f>
        <v/>
      </c>
      <c r="X220">
        <f>IF(B220="","",IF(F220&lt;33.0,0,IF(F220&gt;=100*0.8,5,IF(F220&gt;=100*0.7,4,IF(F220&gt;=100*0.6,3.5,IF(F220&gt;=100*0.5,3,IF(F220&gt;=100*0.4,2,IF(F220&gt;=100*0.33,1,0))))))))</f>
        <v/>
      </c>
      <c r="Y220">
        <f>IF(B220="","",IF(G220&lt;16.5,0,IF(G220&gt;=50*0.8,5,IF(G220&gt;=50*0.7,4,IF(G220&gt;=50*0.6,3.5,IF(G220&gt;=50*0.5,3,IF(G220&gt;=50*0.4,2,IF(G220&gt;=50*0.33,1,0))))))))</f>
        <v/>
      </c>
      <c r="Z220">
        <f>IF(B220="","",IF(H220&lt;33.0,0,IF(H220&gt;=100*0.8,5,IF(H220&gt;=100*0.7,4,IF(H220&gt;=100*0.6,3.5,IF(H220&gt;=100*0.5,3,IF(H220&gt;=100*0.4,2,IF(H220&gt;=100*0.33,1,0))))))))</f>
        <v/>
      </c>
      <c r="AA220">
        <f>IF(B220="","",IF(I220&lt;33.0,0,IF(I220&gt;=100*0.8,5,IF(I220&gt;=100*0.7,4,IF(I220&gt;=100*0.6,3.5,IF(I220&gt;=100*0.5,3,IF(I220&gt;=100*0.4,2,IF(I220&gt;=100*0.33,1,0))))))))</f>
        <v/>
      </c>
      <c r="AB220">
        <f>IF(B220="","",IF(J220&lt;33.0,0,IF(J220&gt;=100*0.8,5,IF(J220&gt;=100*0.7,4,IF(J220&gt;=100*0.6,3.5,IF(J220&gt;=100*0.5,3,IF(J220&gt;=100*0.4,2,IF(J220&gt;=100*0.33,1,0))))))))</f>
        <v/>
      </c>
      <c r="AC220">
        <f>IF(B220="","",IF(K220&lt;33.0,0,IF(K220&gt;=100*0.8,5,IF(K220&gt;=100*0.7,4,IF(K220&gt;=100*0.6,3.5,IF(K220&gt;=100*0.5,3,IF(K220&gt;=100*0.4,2,IF(K220&gt;=100*0.33,1,0))))))))</f>
        <v/>
      </c>
      <c r="AD220">
        <f>IF(B220="","",IF(L220&lt;33.0,0,IF(L220&gt;=100*0.8,5,IF(L220&gt;=100*0.7,4,IF(L220&gt;=100*0.6,3.5,IF(L220&gt;=100*0.5,3,IF(L220&gt;=100*0.4,2,IF(L220&gt;=100*0.33,1,0))))))))</f>
        <v/>
      </c>
      <c r="AE220">
        <f>IF(B220="","",IF(M220&lt;33.0,0,IF(M220&gt;=100*0.8,5,IF(M220&gt;=100*0.7,4,IF(M220&gt;=100*0.6,3.5,IF(M220&gt;=100*0.5,3,IF(M220&gt;=100*0.4,2,IF(M220&gt;=100*0.33,1,0))))))))</f>
        <v/>
      </c>
      <c r="AF220">
        <f>IF(B220="","",IF(N220&lt;16.5,0,IF(N220&gt;=50*0.8,5,IF(N220&gt;=50*0.7,4,IF(N220&gt;=50*0.6,3.5,IF(N220&gt;=50*0.5,3,IF(N220&gt;=50*0.4,2,IF(N220&gt;=50*0.33,1,0))))))))</f>
        <v/>
      </c>
      <c r="AG220">
        <f>IF(B220="","",IF(O220&lt;33.0,0,IF(O220&gt;=100*0.8,5,IF(O220&gt;=100*0.7,4,IF(O220&gt;=100*0.6,3.5,IF(O220&gt;=100*0.5,3,IF(O220&gt;=100*0.4,2,IF(O220&gt;=100*0.33,1,0))))))))</f>
        <v/>
      </c>
      <c r="AH220">
        <f>IF(B220="","",IF(OR(U220=0,V220=0,W220=0,X220=0,Y220=0,Z220=0,AA220=0,AB220=0,AC220=0,AD220=0,AE220=0,AF220=0,AG220=0),1,0))</f>
        <v/>
      </c>
    </row>
    <row r="221">
      <c r="A221" s="3">
        <f>IF(B221="","",ROW()-2)</f>
        <v/>
      </c>
      <c r="P221" s="4">
        <f>IF(B221="","",SUM(C221:O221))</f>
        <v/>
      </c>
      <c r="Q221" s="5">
        <f>IF(B221="","",ROUND(P221/13,2))</f>
        <v/>
      </c>
      <c r="R221" s="5">
        <f>IF(B221="","",IF(AH221=1,0,MIN(5,ROUND((U221+V221+W221+X221+Y221+Z221+AA221+AB221+AC221+AD221+AE221+AF221+AG221)/13,2))))</f>
        <v/>
      </c>
      <c r="S221" s="3">
        <f>IF(B221="","",IF(R221&gt;=5,"A+",IF(R221&gt;=4,"A",IF(R221&gt;=3.5,"A-",IF(R221&gt;=3,"B",IF(R221&gt;=2,"C",IF(R221&gt;=1,"D","F")))))))</f>
        <v/>
      </c>
      <c r="T221" s="3">
        <f>IF(OR(B221="",S221="F"),"",COUNTIFS(P:P,"&gt;"&amp;P221,S:S,"&lt;&gt;F")+1)</f>
        <v/>
      </c>
      <c r="U221">
        <f>IF(B221="","",IF(C221&lt;33.0,0,IF(C221&gt;=100*0.8,5,IF(C221&gt;=100*0.7,4,IF(C221&gt;=100*0.6,3.5,IF(C221&gt;=100*0.5,3,IF(C221&gt;=100*0.4,2,IF(C221&gt;=100*0.33,1,0))))))))</f>
        <v/>
      </c>
      <c r="V221">
        <f>IF(B221="","",IF(D221&lt;33.0,0,IF(D221&gt;=100*0.8,5,IF(D221&gt;=100*0.7,4,IF(D221&gt;=100*0.6,3.5,IF(D221&gt;=100*0.5,3,IF(D221&gt;=100*0.4,2,IF(D221&gt;=100*0.33,1,0))))))))</f>
        <v/>
      </c>
      <c r="W221">
        <f>IF(B221="","",IF(E221&lt;16.5,0,IF(E221&gt;=50*0.8,5,IF(E221&gt;=50*0.7,4,IF(E221&gt;=50*0.6,3.5,IF(E221&gt;=50*0.5,3,IF(E221&gt;=50*0.4,2,IF(E221&gt;=50*0.33,1,0))))))))</f>
        <v/>
      </c>
      <c r="X221">
        <f>IF(B221="","",IF(F221&lt;33.0,0,IF(F221&gt;=100*0.8,5,IF(F221&gt;=100*0.7,4,IF(F221&gt;=100*0.6,3.5,IF(F221&gt;=100*0.5,3,IF(F221&gt;=100*0.4,2,IF(F221&gt;=100*0.33,1,0))))))))</f>
        <v/>
      </c>
      <c r="Y221">
        <f>IF(B221="","",IF(G221&lt;16.5,0,IF(G221&gt;=50*0.8,5,IF(G221&gt;=50*0.7,4,IF(G221&gt;=50*0.6,3.5,IF(G221&gt;=50*0.5,3,IF(G221&gt;=50*0.4,2,IF(G221&gt;=50*0.33,1,0))))))))</f>
        <v/>
      </c>
      <c r="Z221">
        <f>IF(B221="","",IF(H221&lt;33.0,0,IF(H221&gt;=100*0.8,5,IF(H221&gt;=100*0.7,4,IF(H221&gt;=100*0.6,3.5,IF(H221&gt;=100*0.5,3,IF(H221&gt;=100*0.4,2,IF(H221&gt;=100*0.33,1,0))))))))</f>
        <v/>
      </c>
      <c r="AA221">
        <f>IF(B221="","",IF(I221&lt;33.0,0,IF(I221&gt;=100*0.8,5,IF(I221&gt;=100*0.7,4,IF(I221&gt;=100*0.6,3.5,IF(I221&gt;=100*0.5,3,IF(I221&gt;=100*0.4,2,IF(I221&gt;=100*0.33,1,0))))))))</f>
        <v/>
      </c>
      <c r="AB221">
        <f>IF(B221="","",IF(J221&lt;33.0,0,IF(J221&gt;=100*0.8,5,IF(J221&gt;=100*0.7,4,IF(J221&gt;=100*0.6,3.5,IF(J221&gt;=100*0.5,3,IF(J221&gt;=100*0.4,2,IF(J221&gt;=100*0.33,1,0))))))))</f>
        <v/>
      </c>
      <c r="AC221">
        <f>IF(B221="","",IF(K221&lt;33.0,0,IF(K221&gt;=100*0.8,5,IF(K221&gt;=100*0.7,4,IF(K221&gt;=100*0.6,3.5,IF(K221&gt;=100*0.5,3,IF(K221&gt;=100*0.4,2,IF(K221&gt;=100*0.33,1,0))))))))</f>
        <v/>
      </c>
      <c r="AD221">
        <f>IF(B221="","",IF(L221&lt;33.0,0,IF(L221&gt;=100*0.8,5,IF(L221&gt;=100*0.7,4,IF(L221&gt;=100*0.6,3.5,IF(L221&gt;=100*0.5,3,IF(L221&gt;=100*0.4,2,IF(L221&gt;=100*0.33,1,0))))))))</f>
        <v/>
      </c>
      <c r="AE221">
        <f>IF(B221="","",IF(M221&lt;33.0,0,IF(M221&gt;=100*0.8,5,IF(M221&gt;=100*0.7,4,IF(M221&gt;=100*0.6,3.5,IF(M221&gt;=100*0.5,3,IF(M221&gt;=100*0.4,2,IF(M221&gt;=100*0.33,1,0))))))))</f>
        <v/>
      </c>
      <c r="AF221">
        <f>IF(B221="","",IF(N221&lt;16.5,0,IF(N221&gt;=50*0.8,5,IF(N221&gt;=50*0.7,4,IF(N221&gt;=50*0.6,3.5,IF(N221&gt;=50*0.5,3,IF(N221&gt;=50*0.4,2,IF(N221&gt;=50*0.33,1,0))))))))</f>
        <v/>
      </c>
      <c r="AG221">
        <f>IF(B221="","",IF(O221&lt;33.0,0,IF(O221&gt;=100*0.8,5,IF(O221&gt;=100*0.7,4,IF(O221&gt;=100*0.6,3.5,IF(O221&gt;=100*0.5,3,IF(O221&gt;=100*0.4,2,IF(O221&gt;=100*0.33,1,0))))))))</f>
        <v/>
      </c>
      <c r="AH221">
        <f>IF(B221="","",IF(OR(U221=0,V221=0,W221=0,X221=0,Y221=0,Z221=0,AA221=0,AB221=0,AC221=0,AD221=0,AE221=0,AF221=0,AG221=0),1,0))</f>
        <v/>
      </c>
    </row>
    <row r="222">
      <c r="A222" s="3">
        <f>IF(B222="","",ROW()-2)</f>
        <v/>
      </c>
      <c r="P222" s="4">
        <f>IF(B222="","",SUM(C222:O222))</f>
        <v/>
      </c>
      <c r="Q222" s="5">
        <f>IF(B222="","",ROUND(P222/13,2))</f>
        <v/>
      </c>
      <c r="R222" s="5">
        <f>IF(B222="","",IF(AH222=1,0,MIN(5,ROUND((U222+V222+W222+X222+Y222+Z222+AA222+AB222+AC222+AD222+AE222+AF222+AG222)/13,2))))</f>
        <v/>
      </c>
      <c r="S222" s="3">
        <f>IF(B222="","",IF(R222&gt;=5,"A+",IF(R222&gt;=4,"A",IF(R222&gt;=3.5,"A-",IF(R222&gt;=3,"B",IF(R222&gt;=2,"C",IF(R222&gt;=1,"D","F")))))))</f>
        <v/>
      </c>
      <c r="T222" s="3">
        <f>IF(OR(B222="",S222="F"),"",COUNTIFS(P:P,"&gt;"&amp;P222,S:S,"&lt;&gt;F")+1)</f>
        <v/>
      </c>
      <c r="U222">
        <f>IF(B222="","",IF(C222&lt;33.0,0,IF(C222&gt;=100*0.8,5,IF(C222&gt;=100*0.7,4,IF(C222&gt;=100*0.6,3.5,IF(C222&gt;=100*0.5,3,IF(C222&gt;=100*0.4,2,IF(C222&gt;=100*0.33,1,0))))))))</f>
        <v/>
      </c>
      <c r="V222">
        <f>IF(B222="","",IF(D222&lt;33.0,0,IF(D222&gt;=100*0.8,5,IF(D222&gt;=100*0.7,4,IF(D222&gt;=100*0.6,3.5,IF(D222&gt;=100*0.5,3,IF(D222&gt;=100*0.4,2,IF(D222&gt;=100*0.33,1,0))))))))</f>
        <v/>
      </c>
      <c r="W222">
        <f>IF(B222="","",IF(E222&lt;16.5,0,IF(E222&gt;=50*0.8,5,IF(E222&gt;=50*0.7,4,IF(E222&gt;=50*0.6,3.5,IF(E222&gt;=50*0.5,3,IF(E222&gt;=50*0.4,2,IF(E222&gt;=50*0.33,1,0))))))))</f>
        <v/>
      </c>
      <c r="X222">
        <f>IF(B222="","",IF(F222&lt;33.0,0,IF(F222&gt;=100*0.8,5,IF(F222&gt;=100*0.7,4,IF(F222&gt;=100*0.6,3.5,IF(F222&gt;=100*0.5,3,IF(F222&gt;=100*0.4,2,IF(F222&gt;=100*0.33,1,0))))))))</f>
        <v/>
      </c>
      <c r="Y222">
        <f>IF(B222="","",IF(G222&lt;16.5,0,IF(G222&gt;=50*0.8,5,IF(G222&gt;=50*0.7,4,IF(G222&gt;=50*0.6,3.5,IF(G222&gt;=50*0.5,3,IF(G222&gt;=50*0.4,2,IF(G222&gt;=50*0.33,1,0))))))))</f>
        <v/>
      </c>
      <c r="Z222">
        <f>IF(B222="","",IF(H222&lt;33.0,0,IF(H222&gt;=100*0.8,5,IF(H222&gt;=100*0.7,4,IF(H222&gt;=100*0.6,3.5,IF(H222&gt;=100*0.5,3,IF(H222&gt;=100*0.4,2,IF(H222&gt;=100*0.33,1,0))))))))</f>
        <v/>
      </c>
      <c r="AA222">
        <f>IF(B222="","",IF(I222&lt;33.0,0,IF(I222&gt;=100*0.8,5,IF(I222&gt;=100*0.7,4,IF(I222&gt;=100*0.6,3.5,IF(I222&gt;=100*0.5,3,IF(I222&gt;=100*0.4,2,IF(I222&gt;=100*0.33,1,0))))))))</f>
        <v/>
      </c>
      <c r="AB222">
        <f>IF(B222="","",IF(J222&lt;33.0,0,IF(J222&gt;=100*0.8,5,IF(J222&gt;=100*0.7,4,IF(J222&gt;=100*0.6,3.5,IF(J222&gt;=100*0.5,3,IF(J222&gt;=100*0.4,2,IF(J222&gt;=100*0.33,1,0))))))))</f>
        <v/>
      </c>
      <c r="AC222">
        <f>IF(B222="","",IF(K222&lt;33.0,0,IF(K222&gt;=100*0.8,5,IF(K222&gt;=100*0.7,4,IF(K222&gt;=100*0.6,3.5,IF(K222&gt;=100*0.5,3,IF(K222&gt;=100*0.4,2,IF(K222&gt;=100*0.33,1,0))))))))</f>
        <v/>
      </c>
      <c r="AD222">
        <f>IF(B222="","",IF(L222&lt;33.0,0,IF(L222&gt;=100*0.8,5,IF(L222&gt;=100*0.7,4,IF(L222&gt;=100*0.6,3.5,IF(L222&gt;=100*0.5,3,IF(L222&gt;=100*0.4,2,IF(L222&gt;=100*0.33,1,0))))))))</f>
        <v/>
      </c>
      <c r="AE222">
        <f>IF(B222="","",IF(M222&lt;33.0,0,IF(M222&gt;=100*0.8,5,IF(M222&gt;=100*0.7,4,IF(M222&gt;=100*0.6,3.5,IF(M222&gt;=100*0.5,3,IF(M222&gt;=100*0.4,2,IF(M222&gt;=100*0.33,1,0))))))))</f>
        <v/>
      </c>
      <c r="AF222">
        <f>IF(B222="","",IF(N222&lt;16.5,0,IF(N222&gt;=50*0.8,5,IF(N222&gt;=50*0.7,4,IF(N222&gt;=50*0.6,3.5,IF(N222&gt;=50*0.5,3,IF(N222&gt;=50*0.4,2,IF(N222&gt;=50*0.33,1,0))))))))</f>
        <v/>
      </c>
      <c r="AG222">
        <f>IF(B222="","",IF(O222&lt;33.0,0,IF(O222&gt;=100*0.8,5,IF(O222&gt;=100*0.7,4,IF(O222&gt;=100*0.6,3.5,IF(O222&gt;=100*0.5,3,IF(O222&gt;=100*0.4,2,IF(O222&gt;=100*0.33,1,0))))))))</f>
        <v/>
      </c>
      <c r="AH222">
        <f>IF(B222="","",IF(OR(U222=0,V222=0,W222=0,X222=0,Y222=0,Z222=0,AA222=0,AB222=0,AC222=0,AD222=0,AE222=0,AF222=0,AG222=0),1,0))</f>
        <v/>
      </c>
    </row>
    <row r="223">
      <c r="A223" s="3">
        <f>IF(B223="","",ROW()-2)</f>
        <v/>
      </c>
      <c r="P223" s="4">
        <f>IF(B223="","",SUM(C223:O223))</f>
        <v/>
      </c>
      <c r="Q223" s="5">
        <f>IF(B223="","",ROUND(P223/13,2))</f>
        <v/>
      </c>
      <c r="R223" s="5">
        <f>IF(B223="","",IF(AH223=1,0,MIN(5,ROUND((U223+V223+W223+X223+Y223+Z223+AA223+AB223+AC223+AD223+AE223+AF223+AG223)/13,2))))</f>
        <v/>
      </c>
      <c r="S223" s="3">
        <f>IF(B223="","",IF(R223&gt;=5,"A+",IF(R223&gt;=4,"A",IF(R223&gt;=3.5,"A-",IF(R223&gt;=3,"B",IF(R223&gt;=2,"C",IF(R223&gt;=1,"D","F")))))))</f>
        <v/>
      </c>
      <c r="T223" s="3">
        <f>IF(OR(B223="",S223="F"),"",COUNTIFS(P:P,"&gt;"&amp;P223,S:S,"&lt;&gt;F")+1)</f>
        <v/>
      </c>
      <c r="U223">
        <f>IF(B223="","",IF(C223&lt;33.0,0,IF(C223&gt;=100*0.8,5,IF(C223&gt;=100*0.7,4,IF(C223&gt;=100*0.6,3.5,IF(C223&gt;=100*0.5,3,IF(C223&gt;=100*0.4,2,IF(C223&gt;=100*0.33,1,0))))))))</f>
        <v/>
      </c>
      <c r="V223">
        <f>IF(B223="","",IF(D223&lt;33.0,0,IF(D223&gt;=100*0.8,5,IF(D223&gt;=100*0.7,4,IF(D223&gt;=100*0.6,3.5,IF(D223&gt;=100*0.5,3,IF(D223&gt;=100*0.4,2,IF(D223&gt;=100*0.33,1,0))))))))</f>
        <v/>
      </c>
      <c r="W223">
        <f>IF(B223="","",IF(E223&lt;16.5,0,IF(E223&gt;=50*0.8,5,IF(E223&gt;=50*0.7,4,IF(E223&gt;=50*0.6,3.5,IF(E223&gt;=50*0.5,3,IF(E223&gt;=50*0.4,2,IF(E223&gt;=50*0.33,1,0))))))))</f>
        <v/>
      </c>
      <c r="X223">
        <f>IF(B223="","",IF(F223&lt;33.0,0,IF(F223&gt;=100*0.8,5,IF(F223&gt;=100*0.7,4,IF(F223&gt;=100*0.6,3.5,IF(F223&gt;=100*0.5,3,IF(F223&gt;=100*0.4,2,IF(F223&gt;=100*0.33,1,0))))))))</f>
        <v/>
      </c>
      <c r="Y223">
        <f>IF(B223="","",IF(G223&lt;16.5,0,IF(G223&gt;=50*0.8,5,IF(G223&gt;=50*0.7,4,IF(G223&gt;=50*0.6,3.5,IF(G223&gt;=50*0.5,3,IF(G223&gt;=50*0.4,2,IF(G223&gt;=50*0.33,1,0))))))))</f>
        <v/>
      </c>
      <c r="Z223">
        <f>IF(B223="","",IF(H223&lt;33.0,0,IF(H223&gt;=100*0.8,5,IF(H223&gt;=100*0.7,4,IF(H223&gt;=100*0.6,3.5,IF(H223&gt;=100*0.5,3,IF(H223&gt;=100*0.4,2,IF(H223&gt;=100*0.33,1,0))))))))</f>
        <v/>
      </c>
      <c r="AA223">
        <f>IF(B223="","",IF(I223&lt;33.0,0,IF(I223&gt;=100*0.8,5,IF(I223&gt;=100*0.7,4,IF(I223&gt;=100*0.6,3.5,IF(I223&gt;=100*0.5,3,IF(I223&gt;=100*0.4,2,IF(I223&gt;=100*0.33,1,0))))))))</f>
        <v/>
      </c>
      <c r="AB223">
        <f>IF(B223="","",IF(J223&lt;33.0,0,IF(J223&gt;=100*0.8,5,IF(J223&gt;=100*0.7,4,IF(J223&gt;=100*0.6,3.5,IF(J223&gt;=100*0.5,3,IF(J223&gt;=100*0.4,2,IF(J223&gt;=100*0.33,1,0))))))))</f>
        <v/>
      </c>
      <c r="AC223">
        <f>IF(B223="","",IF(K223&lt;33.0,0,IF(K223&gt;=100*0.8,5,IF(K223&gt;=100*0.7,4,IF(K223&gt;=100*0.6,3.5,IF(K223&gt;=100*0.5,3,IF(K223&gt;=100*0.4,2,IF(K223&gt;=100*0.33,1,0))))))))</f>
        <v/>
      </c>
      <c r="AD223">
        <f>IF(B223="","",IF(L223&lt;33.0,0,IF(L223&gt;=100*0.8,5,IF(L223&gt;=100*0.7,4,IF(L223&gt;=100*0.6,3.5,IF(L223&gt;=100*0.5,3,IF(L223&gt;=100*0.4,2,IF(L223&gt;=100*0.33,1,0))))))))</f>
        <v/>
      </c>
      <c r="AE223">
        <f>IF(B223="","",IF(M223&lt;33.0,0,IF(M223&gt;=100*0.8,5,IF(M223&gt;=100*0.7,4,IF(M223&gt;=100*0.6,3.5,IF(M223&gt;=100*0.5,3,IF(M223&gt;=100*0.4,2,IF(M223&gt;=100*0.33,1,0))))))))</f>
        <v/>
      </c>
      <c r="AF223">
        <f>IF(B223="","",IF(N223&lt;16.5,0,IF(N223&gt;=50*0.8,5,IF(N223&gt;=50*0.7,4,IF(N223&gt;=50*0.6,3.5,IF(N223&gt;=50*0.5,3,IF(N223&gt;=50*0.4,2,IF(N223&gt;=50*0.33,1,0))))))))</f>
        <v/>
      </c>
      <c r="AG223">
        <f>IF(B223="","",IF(O223&lt;33.0,0,IF(O223&gt;=100*0.8,5,IF(O223&gt;=100*0.7,4,IF(O223&gt;=100*0.6,3.5,IF(O223&gt;=100*0.5,3,IF(O223&gt;=100*0.4,2,IF(O223&gt;=100*0.33,1,0))))))))</f>
        <v/>
      </c>
      <c r="AH223">
        <f>IF(B223="","",IF(OR(U223=0,V223=0,W223=0,X223=0,Y223=0,Z223=0,AA223=0,AB223=0,AC223=0,AD223=0,AE223=0,AF223=0,AG223=0),1,0))</f>
        <v/>
      </c>
    </row>
    <row r="224">
      <c r="A224" s="3">
        <f>IF(B224="","",ROW()-2)</f>
        <v/>
      </c>
      <c r="P224" s="4">
        <f>IF(B224="","",SUM(C224:O224))</f>
        <v/>
      </c>
      <c r="Q224" s="5">
        <f>IF(B224="","",ROUND(P224/13,2))</f>
        <v/>
      </c>
      <c r="R224" s="5">
        <f>IF(B224="","",IF(AH224=1,0,MIN(5,ROUND((U224+V224+W224+X224+Y224+Z224+AA224+AB224+AC224+AD224+AE224+AF224+AG224)/13,2))))</f>
        <v/>
      </c>
      <c r="S224" s="3">
        <f>IF(B224="","",IF(R224&gt;=5,"A+",IF(R224&gt;=4,"A",IF(R224&gt;=3.5,"A-",IF(R224&gt;=3,"B",IF(R224&gt;=2,"C",IF(R224&gt;=1,"D","F")))))))</f>
        <v/>
      </c>
      <c r="T224" s="3">
        <f>IF(OR(B224="",S224="F"),"",COUNTIFS(P:P,"&gt;"&amp;P224,S:S,"&lt;&gt;F")+1)</f>
        <v/>
      </c>
      <c r="U224">
        <f>IF(B224="","",IF(C224&lt;33.0,0,IF(C224&gt;=100*0.8,5,IF(C224&gt;=100*0.7,4,IF(C224&gt;=100*0.6,3.5,IF(C224&gt;=100*0.5,3,IF(C224&gt;=100*0.4,2,IF(C224&gt;=100*0.33,1,0))))))))</f>
        <v/>
      </c>
      <c r="V224">
        <f>IF(B224="","",IF(D224&lt;33.0,0,IF(D224&gt;=100*0.8,5,IF(D224&gt;=100*0.7,4,IF(D224&gt;=100*0.6,3.5,IF(D224&gt;=100*0.5,3,IF(D224&gt;=100*0.4,2,IF(D224&gt;=100*0.33,1,0))))))))</f>
        <v/>
      </c>
      <c r="W224">
        <f>IF(B224="","",IF(E224&lt;16.5,0,IF(E224&gt;=50*0.8,5,IF(E224&gt;=50*0.7,4,IF(E224&gt;=50*0.6,3.5,IF(E224&gt;=50*0.5,3,IF(E224&gt;=50*0.4,2,IF(E224&gt;=50*0.33,1,0))))))))</f>
        <v/>
      </c>
      <c r="X224">
        <f>IF(B224="","",IF(F224&lt;33.0,0,IF(F224&gt;=100*0.8,5,IF(F224&gt;=100*0.7,4,IF(F224&gt;=100*0.6,3.5,IF(F224&gt;=100*0.5,3,IF(F224&gt;=100*0.4,2,IF(F224&gt;=100*0.33,1,0))))))))</f>
        <v/>
      </c>
      <c r="Y224">
        <f>IF(B224="","",IF(G224&lt;16.5,0,IF(G224&gt;=50*0.8,5,IF(G224&gt;=50*0.7,4,IF(G224&gt;=50*0.6,3.5,IF(G224&gt;=50*0.5,3,IF(G224&gt;=50*0.4,2,IF(G224&gt;=50*0.33,1,0))))))))</f>
        <v/>
      </c>
      <c r="Z224">
        <f>IF(B224="","",IF(H224&lt;33.0,0,IF(H224&gt;=100*0.8,5,IF(H224&gt;=100*0.7,4,IF(H224&gt;=100*0.6,3.5,IF(H224&gt;=100*0.5,3,IF(H224&gt;=100*0.4,2,IF(H224&gt;=100*0.33,1,0))))))))</f>
        <v/>
      </c>
      <c r="AA224">
        <f>IF(B224="","",IF(I224&lt;33.0,0,IF(I224&gt;=100*0.8,5,IF(I224&gt;=100*0.7,4,IF(I224&gt;=100*0.6,3.5,IF(I224&gt;=100*0.5,3,IF(I224&gt;=100*0.4,2,IF(I224&gt;=100*0.33,1,0))))))))</f>
        <v/>
      </c>
      <c r="AB224">
        <f>IF(B224="","",IF(J224&lt;33.0,0,IF(J224&gt;=100*0.8,5,IF(J224&gt;=100*0.7,4,IF(J224&gt;=100*0.6,3.5,IF(J224&gt;=100*0.5,3,IF(J224&gt;=100*0.4,2,IF(J224&gt;=100*0.33,1,0))))))))</f>
        <v/>
      </c>
      <c r="AC224">
        <f>IF(B224="","",IF(K224&lt;33.0,0,IF(K224&gt;=100*0.8,5,IF(K224&gt;=100*0.7,4,IF(K224&gt;=100*0.6,3.5,IF(K224&gt;=100*0.5,3,IF(K224&gt;=100*0.4,2,IF(K224&gt;=100*0.33,1,0))))))))</f>
        <v/>
      </c>
      <c r="AD224">
        <f>IF(B224="","",IF(L224&lt;33.0,0,IF(L224&gt;=100*0.8,5,IF(L224&gt;=100*0.7,4,IF(L224&gt;=100*0.6,3.5,IF(L224&gt;=100*0.5,3,IF(L224&gt;=100*0.4,2,IF(L224&gt;=100*0.33,1,0))))))))</f>
        <v/>
      </c>
      <c r="AE224">
        <f>IF(B224="","",IF(M224&lt;33.0,0,IF(M224&gt;=100*0.8,5,IF(M224&gt;=100*0.7,4,IF(M224&gt;=100*0.6,3.5,IF(M224&gt;=100*0.5,3,IF(M224&gt;=100*0.4,2,IF(M224&gt;=100*0.33,1,0))))))))</f>
        <v/>
      </c>
      <c r="AF224">
        <f>IF(B224="","",IF(N224&lt;16.5,0,IF(N224&gt;=50*0.8,5,IF(N224&gt;=50*0.7,4,IF(N224&gt;=50*0.6,3.5,IF(N224&gt;=50*0.5,3,IF(N224&gt;=50*0.4,2,IF(N224&gt;=50*0.33,1,0))))))))</f>
        <v/>
      </c>
      <c r="AG224">
        <f>IF(B224="","",IF(O224&lt;33.0,0,IF(O224&gt;=100*0.8,5,IF(O224&gt;=100*0.7,4,IF(O224&gt;=100*0.6,3.5,IF(O224&gt;=100*0.5,3,IF(O224&gt;=100*0.4,2,IF(O224&gt;=100*0.33,1,0))))))))</f>
        <v/>
      </c>
      <c r="AH224">
        <f>IF(B224="","",IF(OR(U224=0,V224=0,W224=0,X224=0,Y224=0,Z224=0,AA224=0,AB224=0,AC224=0,AD224=0,AE224=0,AF224=0,AG224=0),1,0))</f>
        <v/>
      </c>
    </row>
    <row r="225">
      <c r="A225" s="3">
        <f>IF(B225="","",ROW()-2)</f>
        <v/>
      </c>
      <c r="P225" s="4">
        <f>IF(B225="","",SUM(C225:O225))</f>
        <v/>
      </c>
      <c r="Q225" s="5">
        <f>IF(B225="","",ROUND(P225/13,2))</f>
        <v/>
      </c>
      <c r="R225" s="5">
        <f>IF(B225="","",IF(AH225=1,0,MIN(5,ROUND((U225+V225+W225+X225+Y225+Z225+AA225+AB225+AC225+AD225+AE225+AF225+AG225)/13,2))))</f>
        <v/>
      </c>
      <c r="S225" s="3">
        <f>IF(B225="","",IF(R225&gt;=5,"A+",IF(R225&gt;=4,"A",IF(R225&gt;=3.5,"A-",IF(R225&gt;=3,"B",IF(R225&gt;=2,"C",IF(R225&gt;=1,"D","F")))))))</f>
        <v/>
      </c>
      <c r="T225" s="3">
        <f>IF(OR(B225="",S225="F"),"",COUNTIFS(P:P,"&gt;"&amp;P225,S:S,"&lt;&gt;F")+1)</f>
        <v/>
      </c>
      <c r="U225">
        <f>IF(B225="","",IF(C225&lt;33.0,0,IF(C225&gt;=100*0.8,5,IF(C225&gt;=100*0.7,4,IF(C225&gt;=100*0.6,3.5,IF(C225&gt;=100*0.5,3,IF(C225&gt;=100*0.4,2,IF(C225&gt;=100*0.33,1,0))))))))</f>
        <v/>
      </c>
      <c r="V225">
        <f>IF(B225="","",IF(D225&lt;33.0,0,IF(D225&gt;=100*0.8,5,IF(D225&gt;=100*0.7,4,IF(D225&gt;=100*0.6,3.5,IF(D225&gt;=100*0.5,3,IF(D225&gt;=100*0.4,2,IF(D225&gt;=100*0.33,1,0))))))))</f>
        <v/>
      </c>
      <c r="W225">
        <f>IF(B225="","",IF(E225&lt;16.5,0,IF(E225&gt;=50*0.8,5,IF(E225&gt;=50*0.7,4,IF(E225&gt;=50*0.6,3.5,IF(E225&gt;=50*0.5,3,IF(E225&gt;=50*0.4,2,IF(E225&gt;=50*0.33,1,0))))))))</f>
        <v/>
      </c>
      <c r="X225">
        <f>IF(B225="","",IF(F225&lt;33.0,0,IF(F225&gt;=100*0.8,5,IF(F225&gt;=100*0.7,4,IF(F225&gt;=100*0.6,3.5,IF(F225&gt;=100*0.5,3,IF(F225&gt;=100*0.4,2,IF(F225&gt;=100*0.33,1,0))))))))</f>
        <v/>
      </c>
      <c r="Y225">
        <f>IF(B225="","",IF(G225&lt;16.5,0,IF(G225&gt;=50*0.8,5,IF(G225&gt;=50*0.7,4,IF(G225&gt;=50*0.6,3.5,IF(G225&gt;=50*0.5,3,IF(G225&gt;=50*0.4,2,IF(G225&gt;=50*0.33,1,0))))))))</f>
        <v/>
      </c>
      <c r="Z225">
        <f>IF(B225="","",IF(H225&lt;33.0,0,IF(H225&gt;=100*0.8,5,IF(H225&gt;=100*0.7,4,IF(H225&gt;=100*0.6,3.5,IF(H225&gt;=100*0.5,3,IF(H225&gt;=100*0.4,2,IF(H225&gt;=100*0.33,1,0))))))))</f>
        <v/>
      </c>
      <c r="AA225">
        <f>IF(B225="","",IF(I225&lt;33.0,0,IF(I225&gt;=100*0.8,5,IF(I225&gt;=100*0.7,4,IF(I225&gt;=100*0.6,3.5,IF(I225&gt;=100*0.5,3,IF(I225&gt;=100*0.4,2,IF(I225&gt;=100*0.33,1,0))))))))</f>
        <v/>
      </c>
      <c r="AB225">
        <f>IF(B225="","",IF(J225&lt;33.0,0,IF(J225&gt;=100*0.8,5,IF(J225&gt;=100*0.7,4,IF(J225&gt;=100*0.6,3.5,IF(J225&gt;=100*0.5,3,IF(J225&gt;=100*0.4,2,IF(J225&gt;=100*0.33,1,0))))))))</f>
        <v/>
      </c>
      <c r="AC225">
        <f>IF(B225="","",IF(K225&lt;33.0,0,IF(K225&gt;=100*0.8,5,IF(K225&gt;=100*0.7,4,IF(K225&gt;=100*0.6,3.5,IF(K225&gt;=100*0.5,3,IF(K225&gt;=100*0.4,2,IF(K225&gt;=100*0.33,1,0))))))))</f>
        <v/>
      </c>
      <c r="AD225">
        <f>IF(B225="","",IF(L225&lt;33.0,0,IF(L225&gt;=100*0.8,5,IF(L225&gt;=100*0.7,4,IF(L225&gt;=100*0.6,3.5,IF(L225&gt;=100*0.5,3,IF(L225&gt;=100*0.4,2,IF(L225&gt;=100*0.33,1,0))))))))</f>
        <v/>
      </c>
      <c r="AE225">
        <f>IF(B225="","",IF(M225&lt;33.0,0,IF(M225&gt;=100*0.8,5,IF(M225&gt;=100*0.7,4,IF(M225&gt;=100*0.6,3.5,IF(M225&gt;=100*0.5,3,IF(M225&gt;=100*0.4,2,IF(M225&gt;=100*0.33,1,0))))))))</f>
        <v/>
      </c>
      <c r="AF225">
        <f>IF(B225="","",IF(N225&lt;16.5,0,IF(N225&gt;=50*0.8,5,IF(N225&gt;=50*0.7,4,IF(N225&gt;=50*0.6,3.5,IF(N225&gt;=50*0.5,3,IF(N225&gt;=50*0.4,2,IF(N225&gt;=50*0.33,1,0))))))))</f>
        <v/>
      </c>
      <c r="AG225">
        <f>IF(B225="","",IF(O225&lt;33.0,0,IF(O225&gt;=100*0.8,5,IF(O225&gt;=100*0.7,4,IF(O225&gt;=100*0.6,3.5,IF(O225&gt;=100*0.5,3,IF(O225&gt;=100*0.4,2,IF(O225&gt;=100*0.33,1,0))))))))</f>
        <v/>
      </c>
      <c r="AH225">
        <f>IF(B225="","",IF(OR(U225=0,V225=0,W225=0,X225=0,Y225=0,Z225=0,AA225=0,AB225=0,AC225=0,AD225=0,AE225=0,AF225=0,AG225=0),1,0))</f>
        <v/>
      </c>
    </row>
    <row r="226">
      <c r="A226" s="3">
        <f>IF(B226="","",ROW()-2)</f>
        <v/>
      </c>
      <c r="P226" s="4">
        <f>IF(B226="","",SUM(C226:O226))</f>
        <v/>
      </c>
      <c r="Q226" s="5">
        <f>IF(B226="","",ROUND(P226/13,2))</f>
        <v/>
      </c>
      <c r="R226" s="5">
        <f>IF(B226="","",IF(AH226=1,0,MIN(5,ROUND((U226+V226+W226+X226+Y226+Z226+AA226+AB226+AC226+AD226+AE226+AF226+AG226)/13,2))))</f>
        <v/>
      </c>
      <c r="S226" s="3">
        <f>IF(B226="","",IF(R226&gt;=5,"A+",IF(R226&gt;=4,"A",IF(R226&gt;=3.5,"A-",IF(R226&gt;=3,"B",IF(R226&gt;=2,"C",IF(R226&gt;=1,"D","F")))))))</f>
        <v/>
      </c>
      <c r="T226" s="3">
        <f>IF(OR(B226="",S226="F"),"",COUNTIFS(P:P,"&gt;"&amp;P226,S:S,"&lt;&gt;F")+1)</f>
        <v/>
      </c>
      <c r="U226">
        <f>IF(B226="","",IF(C226&lt;33.0,0,IF(C226&gt;=100*0.8,5,IF(C226&gt;=100*0.7,4,IF(C226&gt;=100*0.6,3.5,IF(C226&gt;=100*0.5,3,IF(C226&gt;=100*0.4,2,IF(C226&gt;=100*0.33,1,0))))))))</f>
        <v/>
      </c>
      <c r="V226">
        <f>IF(B226="","",IF(D226&lt;33.0,0,IF(D226&gt;=100*0.8,5,IF(D226&gt;=100*0.7,4,IF(D226&gt;=100*0.6,3.5,IF(D226&gt;=100*0.5,3,IF(D226&gt;=100*0.4,2,IF(D226&gt;=100*0.33,1,0))))))))</f>
        <v/>
      </c>
      <c r="W226">
        <f>IF(B226="","",IF(E226&lt;16.5,0,IF(E226&gt;=50*0.8,5,IF(E226&gt;=50*0.7,4,IF(E226&gt;=50*0.6,3.5,IF(E226&gt;=50*0.5,3,IF(E226&gt;=50*0.4,2,IF(E226&gt;=50*0.33,1,0))))))))</f>
        <v/>
      </c>
      <c r="X226">
        <f>IF(B226="","",IF(F226&lt;33.0,0,IF(F226&gt;=100*0.8,5,IF(F226&gt;=100*0.7,4,IF(F226&gt;=100*0.6,3.5,IF(F226&gt;=100*0.5,3,IF(F226&gt;=100*0.4,2,IF(F226&gt;=100*0.33,1,0))))))))</f>
        <v/>
      </c>
      <c r="Y226">
        <f>IF(B226="","",IF(G226&lt;16.5,0,IF(G226&gt;=50*0.8,5,IF(G226&gt;=50*0.7,4,IF(G226&gt;=50*0.6,3.5,IF(G226&gt;=50*0.5,3,IF(G226&gt;=50*0.4,2,IF(G226&gt;=50*0.33,1,0))))))))</f>
        <v/>
      </c>
      <c r="Z226">
        <f>IF(B226="","",IF(H226&lt;33.0,0,IF(H226&gt;=100*0.8,5,IF(H226&gt;=100*0.7,4,IF(H226&gt;=100*0.6,3.5,IF(H226&gt;=100*0.5,3,IF(H226&gt;=100*0.4,2,IF(H226&gt;=100*0.33,1,0))))))))</f>
        <v/>
      </c>
      <c r="AA226">
        <f>IF(B226="","",IF(I226&lt;33.0,0,IF(I226&gt;=100*0.8,5,IF(I226&gt;=100*0.7,4,IF(I226&gt;=100*0.6,3.5,IF(I226&gt;=100*0.5,3,IF(I226&gt;=100*0.4,2,IF(I226&gt;=100*0.33,1,0))))))))</f>
        <v/>
      </c>
      <c r="AB226">
        <f>IF(B226="","",IF(J226&lt;33.0,0,IF(J226&gt;=100*0.8,5,IF(J226&gt;=100*0.7,4,IF(J226&gt;=100*0.6,3.5,IF(J226&gt;=100*0.5,3,IF(J226&gt;=100*0.4,2,IF(J226&gt;=100*0.33,1,0))))))))</f>
        <v/>
      </c>
      <c r="AC226">
        <f>IF(B226="","",IF(K226&lt;33.0,0,IF(K226&gt;=100*0.8,5,IF(K226&gt;=100*0.7,4,IF(K226&gt;=100*0.6,3.5,IF(K226&gt;=100*0.5,3,IF(K226&gt;=100*0.4,2,IF(K226&gt;=100*0.33,1,0))))))))</f>
        <v/>
      </c>
      <c r="AD226">
        <f>IF(B226="","",IF(L226&lt;33.0,0,IF(L226&gt;=100*0.8,5,IF(L226&gt;=100*0.7,4,IF(L226&gt;=100*0.6,3.5,IF(L226&gt;=100*0.5,3,IF(L226&gt;=100*0.4,2,IF(L226&gt;=100*0.33,1,0))))))))</f>
        <v/>
      </c>
      <c r="AE226">
        <f>IF(B226="","",IF(M226&lt;33.0,0,IF(M226&gt;=100*0.8,5,IF(M226&gt;=100*0.7,4,IF(M226&gt;=100*0.6,3.5,IF(M226&gt;=100*0.5,3,IF(M226&gt;=100*0.4,2,IF(M226&gt;=100*0.33,1,0))))))))</f>
        <v/>
      </c>
      <c r="AF226">
        <f>IF(B226="","",IF(N226&lt;16.5,0,IF(N226&gt;=50*0.8,5,IF(N226&gt;=50*0.7,4,IF(N226&gt;=50*0.6,3.5,IF(N226&gt;=50*0.5,3,IF(N226&gt;=50*0.4,2,IF(N226&gt;=50*0.33,1,0))))))))</f>
        <v/>
      </c>
      <c r="AG226">
        <f>IF(B226="","",IF(O226&lt;33.0,0,IF(O226&gt;=100*0.8,5,IF(O226&gt;=100*0.7,4,IF(O226&gt;=100*0.6,3.5,IF(O226&gt;=100*0.5,3,IF(O226&gt;=100*0.4,2,IF(O226&gt;=100*0.33,1,0))))))))</f>
        <v/>
      </c>
      <c r="AH226">
        <f>IF(B226="","",IF(OR(U226=0,V226=0,W226=0,X226=0,Y226=0,Z226=0,AA226=0,AB226=0,AC226=0,AD226=0,AE226=0,AF226=0,AG226=0),1,0))</f>
        <v/>
      </c>
    </row>
    <row r="227">
      <c r="A227" s="3">
        <f>IF(B227="","",ROW()-2)</f>
        <v/>
      </c>
      <c r="P227" s="4">
        <f>IF(B227="","",SUM(C227:O227))</f>
        <v/>
      </c>
      <c r="Q227" s="5">
        <f>IF(B227="","",ROUND(P227/13,2))</f>
        <v/>
      </c>
      <c r="R227" s="5">
        <f>IF(B227="","",IF(AH227=1,0,MIN(5,ROUND((U227+V227+W227+X227+Y227+Z227+AA227+AB227+AC227+AD227+AE227+AF227+AG227)/13,2))))</f>
        <v/>
      </c>
      <c r="S227" s="3">
        <f>IF(B227="","",IF(R227&gt;=5,"A+",IF(R227&gt;=4,"A",IF(R227&gt;=3.5,"A-",IF(R227&gt;=3,"B",IF(R227&gt;=2,"C",IF(R227&gt;=1,"D","F")))))))</f>
        <v/>
      </c>
      <c r="T227" s="3">
        <f>IF(OR(B227="",S227="F"),"",COUNTIFS(P:P,"&gt;"&amp;P227,S:S,"&lt;&gt;F")+1)</f>
        <v/>
      </c>
      <c r="U227">
        <f>IF(B227="","",IF(C227&lt;33.0,0,IF(C227&gt;=100*0.8,5,IF(C227&gt;=100*0.7,4,IF(C227&gt;=100*0.6,3.5,IF(C227&gt;=100*0.5,3,IF(C227&gt;=100*0.4,2,IF(C227&gt;=100*0.33,1,0))))))))</f>
        <v/>
      </c>
      <c r="V227">
        <f>IF(B227="","",IF(D227&lt;33.0,0,IF(D227&gt;=100*0.8,5,IF(D227&gt;=100*0.7,4,IF(D227&gt;=100*0.6,3.5,IF(D227&gt;=100*0.5,3,IF(D227&gt;=100*0.4,2,IF(D227&gt;=100*0.33,1,0))))))))</f>
        <v/>
      </c>
      <c r="W227">
        <f>IF(B227="","",IF(E227&lt;16.5,0,IF(E227&gt;=50*0.8,5,IF(E227&gt;=50*0.7,4,IF(E227&gt;=50*0.6,3.5,IF(E227&gt;=50*0.5,3,IF(E227&gt;=50*0.4,2,IF(E227&gt;=50*0.33,1,0))))))))</f>
        <v/>
      </c>
      <c r="X227">
        <f>IF(B227="","",IF(F227&lt;33.0,0,IF(F227&gt;=100*0.8,5,IF(F227&gt;=100*0.7,4,IF(F227&gt;=100*0.6,3.5,IF(F227&gt;=100*0.5,3,IF(F227&gt;=100*0.4,2,IF(F227&gt;=100*0.33,1,0))))))))</f>
        <v/>
      </c>
      <c r="Y227">
        <f>IF(B227="","",IF(G227&lt;16.5,0,IF(G227&gt;=50*0.8,5,IF(G227&gt;=50*0.7,4,IF(G227&gt;=50*0.6,3.5,IF(G227&gt;=50*0.5,3,IF(G227&gt;=50*0.4,2,IF(G227&gt;=50*0.33,1,0))))))))</f>
        <v/>
      </c>
      <c r="Z227">
        <f>IF(B227="","",IF(H227&lt;33.0,0,IF(H227&gt;=100*0.8,5,IF(H227&gt;=100*0.7,4,IF(H227&gt;=100*0.6,3.5,IF(H227&gt;=100*0.5,3,IF(H227&gt;=100*0.4,2,IF(H227&gt;=100*0.33,1,0))))))))</f>
        <v/>
      </c>
      <c r="AA227">
        <f>IF(B227="","",IF(I227&lt;33.0,0,IF(I227&gt;=100*0.8,5,IF(I227&gt;=100*0.7,4,IF(I227&gt;=100*0.6,3.5,IF(I227&gt;=100*0.5,3,IF(I227&gt;=100*0.4,2,IF(I227&gt;=100*0.33,1,0))))))))</f>
        <v/>
      </c>
      <c r="AB227">
        <f>IF(B227="","",IF(J227&lt;33.0,0,IF(J227&gt;=100*0.8,5,IF(J227&gt;=100*0.7,4,IF(J227&gt;=100*0.6,3.5,IF(J227&gt;=100*0.5,3,IF(J227&gt;=100*0.4,2,IF(J227&gt;=100*0.33,1,0))))))))</f>
        <v/>
      </c>
      <c r="AC227">
        <f>IF(B227="","",IF(K227&lt;33.0,0,IF(K227&gt;=100*0.8,5,IF(K227&gt;=100*0.7,4,IF(K227&gt;=100*0.6,3.5,IF(K227&gt;=100*0.5,3,IF(K227&gt;=100*0.4,2,IF(K227&gt;=100*0.33,1,0))))))))</f>
        <v/>
      </c>
      <c r="AD227">
        <f>IF(B227="","",IF(L227&lt;33.0,0,IF(L227&gt;=100*0.8,5,IF(L227&gt;=100*0.7,4,IF(L227&gt;=100*0.6,3.5,IF(L227&gt;=100*0.5,3,IF(L227&gt;=100*0.4,2,IF(L227&gt;=100*0.33,1,0))))))))</f>
        <v/>
      </c>
      <c r="AE227">
        <f>IF(B227="","",IF(M227&lt;33.0,0,IF(M227&gt;=100*0.8,5,IF(M227&gt;=100*0.7,4,IF(M227&gt;=100*0.6,3.5,IF(M227&gt;=100*0.5,3,IF(M227&gt;=100*0.4,2,IF(M227&gt;=100*0.33,1,0))))))))</f>
        <v/>
      </c>
      <c r="AF227">
        <f>IF(B227="","",IF(N227&lt;16.5,0,IF(N227&gt;=50*0.8,5,IF(N227&gt;=50*0.7,4,IF(N227&gt;=50*0.6,3.5,IF(N227&gt;=50*0.5,3,IF(N227&gt;=50*0.4,2,IF(N227&gt;=50*0.33,1,0))))))))</f>
        <v/>
      </c>
      <c r="AG227">
        <f>IF(B227="","",IF(O227&lt;33.0,0,IF(O227&gt;=100*0.8,5,IF(O227&gt;=100*0.7,4,IF(O227&gt;=100*0.6,3.5,IF(O227&gt;=100*0.5,3,IF(O227&gt;=100*0.4,2,IF(O227&gt;=100*0.33,1,0))))))))</f>
        <v/>
      </c>
      <c r="AH227">
        <f>IF(B227="","",IF(OR(U227=0,V227=0,W227=0,X227=0,Y227=0,Z227=0,AA227=0,AB227=0,AC227=0,AD227=0,AE227=0,AF227=0,AG227=0),1,0))</f>
        <v/>
      </c>
    </row>
    <row r="228">
      <c r="A228" s="3">
        <f>IF(B228="","",ROW()-2)</f>
        <v/>
      </c>
      <c r="P228" s="4">
        <f>IF(B228="","",SUM(C228:O228))</f>
        <v/>
      </c>
      <c r="Q228" s="5">
        <f>IF(B228="","",ROUND(P228/13,2))</f>
        <v/>
      </c>
      <c r="R228" s="5">
        <f>IF(B228="","",IF(AH228=1,0,MIN(5,ROUND((U228+V228+W228+X228+Y228+Z228+AA228+AB228+AC228+AD228+AE228+AF228+AG228)/13,2))))</f>
        <v/>
      </c>
      <c r="S228" s="3">
        <f>IF(B228="","",IF(R228&gt;=5,"A+",IF(R228&gt;=4,"A",IF(R228&gt;=3.5,"A-",IF(R228&gt;=3,"B",IF(R228&gt;=2,"C",IF(R228&gt;=1,"D","F")))))))</f>
        <v/>
      </c>
      <c r="T228" s="3">
        <f>IF(OR(B228="",S228="F"),"",COUNTIFS(P:P,"&gt;"&amp;P228,S:S,"&lt;&gt;F")+1)</f>
        <v/>
      </c>
      <c r="U228">
        <f>IF(B228="","",IF(C228&lt;33.0,0,IF(C228&gt;=100*0.8,5,IF(C228&gt;=100*0.7,4,IF(C228&gt;=100*0.6,3.5,IF(C228&gt;=100*0.5,3,IF(C228&gt;=100*0.4,2,IF(C228&gt;=100*0.33,1,0))))))))</f>
        <v/>
      </c>
      <c r="V228">
        <f>IF(B228="","",IF(D228&lt;33.0,0,IF(D228&gt;=100*0.8,5,IF(D228&gt;=100*0.7,4,IF(D228&gt;=100*0.6,3.5,IF(D228&gt;=100*0.5,3,IF(D228&gt;=100*0.4,2,IF(D228&gt;=100*0.33,1,0))))))))</f>
        <v/>
      </c>
      <c r="W228">
        <f>IF(B228="","",IF(E228&lt;16.5,0,IF(E228&gt;=50*0.8,5,IF(E228&gt;=50*0.7,4,IF(E228&gt;=50*0.6,3.5,IF(E228&gt;=50*0.5,3,IF(E228&gt;=50*0.4,2,IF(E228&gt;=50*0.33,1,0))))))))</f>
        <v/>
      </c>
      <c r="X228">
        <f>IF(B228="","",IF(F228&lt;33.0,0,IF(F228&gt;=100*0.8,5,IF(F228&gt;=100*0.7,4,IF(F228&gt;=100*0.6,3.5,IF(F228&gt;=100*0.5,3,IF(F228&gt;=100*0.4,2,IF(F228&gt;=100*0.33,1,0))))))))</f>
        <v/>
      </c>
      <c r="Y228">
        <f>IF(B228="","",IF(G228&lt;16.5,0,IF(G228&gt;=50*0.8,5,IF(G228&gt;=50*0.7,4,IF(G228&gt;=50*0.6,3.5,IF(G228&gt;=50*0.5,3,IF(G228&gt;=50*0.4,2,IF(G228&gt;=50*0.33,1,0))))))))</f>
        <v/>
      </c>
      <c r="Z228">
        <f>IF(B228="","",IF(H228&lt;33.0,0,IF(H228&gt;=100*0.8,5,IF(H228&gt;=100*0.7,4,IF(H228&gt;=100*0.6,3.5,IF(H228&gt;=100*0.5,3,IF(H228&gt;=100*0.4,2,IF(H228&gt;=100*0.33,1,0))))))))</f>
        <v/>
      </c>
      <c r="AA228">
        <f>IF(B228="","",IF(I228&lt;33.0,0,IF(I228&gt;=100*0.8,5,IF(I228&gt;=100*0.7,4,IF(I228&gt;=100*0.6,3.5,IF(I228&gt;=100*0.5,3,IF(I228&gt;=100*0.4,2,IF(I228&gt;=100*0.33,1,0))))))))</f>
        <v/>
      </c>
      <c r="AB228">
        <f>IF(B228="","",IF(J228&lt;33.0,0,IF(J228&gt;=100*0.8,5,IF(J228&gt;=100*0.7,4,IF(J228&gt;=100*0.6,3.5,IF(J228&gt;=100*0.5,3,IF(J228&gt;=100*0.4,2,IF(J228&gt;=100*0.33,1,0))))))))</f>
        <v/>
      </c>
      <c r="AC228">
        <f>IF(B228="","",IF(K228&lt;33.0,0,IF(K228&gt;=100*0.8,5,IF(K228&gt;=100*0.7,4,IF(K228&gt;=100*0.6,3.5,IF(K228&gt;=100*0.5,3,IF(K228&gt;=100*0.4,2,IF(K228&gt;=100*0.33,1,0))))))))</f>
        <v/>
      </c>
      <c r="AD228">
        <f>IF(B228="","",IF(L228&lt;33.0,0,IF(L228&gt;=100*0.8,5,IF(L228&gt;=100*0.7,4,IF(L228&gt;=100*0.6,3.5,IF(L228&gt;=100*0.5,3,IF(L228&gt;=100*0.4,2,IF(L228&gt;=100*0.33,1,0))))))))</f>
        <v/>
      </c>
      <c r="AE228">
        <f>IF(B228="","",IF(M228&lt;33.0,0,IF(M228&gt;=100*0.8,5,IF(M228&gt;=100*0.7,4,IF(M228&gt;=100*0.6,3.5,IF(M228&gt;=100*0.5,3,IF(M228&gt;=100*0.4,2,IF(M228&gt;=100*0.33,1,0))))))))</f>
        <v/>
      </c>
      <c r="AF228">
        <f>IF(B228="","",IF(N228&lt;16.5,0,IF(N228&gt;=50*0.8,5,IF(N228&gt;=50*0.7,4,IF(N228&gt;=50*0.6,3.5,IF(N228&gt;=50*0.5,3,IF(N228&gt;=50*0.4,2,IF(N228&gt;=50*0.33,1,0))))))))</f>
        <v/>
      </c>
      <c r="AG228">
        <f>IF(B228="","",IF(O228&lt;33.0,0,IF(O228&gt;=100*0.8,5,IF(O228&gt;=100*0.7,4,IF(O228&gt;=100*0.6,3.5,IF(O228&gt;=100*0.5,3,IF(O228&gt;=100*0.4,2,IF(O228&gt;=100*0.33,1,0))))))))</f>
        <v/>
      </c>
      <c r="AH228">
        <f>IF(B228="","",IF(OR(U228=0,V228=0,W228=0,X228=0,Y228=0,Z228=0,AA228=0,AB228=0,AC228=0,AD228=0,AE228=0,AF228=0,AG228=0),1,0))</f>
        <v/>
      </c>
    </row>
    <row r="229">
      <c r="A229" s="3">
        <f>IF(B229="","",ROW()-2)</f>
        <v/>
      </c>
      <c r="P229" s="4">
        <f>IF(B229="","",SUM(C229:O229))</f>
        <v/>
      </c>
      <c r="Q229" s="5">
        <f>IF(B229="","",ROUND(P229/13,2))</f>
        <v/>
      </c>
      <c r="R229" s="5">
        <f>IF(B229="","",IF(AH229=1,0,MIN(5,ROUND((U229+V229+W229+X229+Y229+Z229+AA229+AB229+AC229+AD229+AE229+AF229+AG229)/13,2))))</f>
        <v/>
      </c>
      <c r="S229" s="3">
        <f>IF(B229="","",IF(R229&gt;=5,"A+",IF(R229&gt;=4,"A",IF(R229&gt;=3.5,"A-",IF(R229&gt;=3,"B",IF(R229&gt;=2,"C",IF(R229&gt;=1,"D","F")))))))</f>
        <v/>
      </c>
      <c r="T229" s="3">
        <f>IF(OR(B229="",S229="F"),"",COUNTIFS(P:P,"&gt;"&amp;P229,S:S,"&lt;&gt;F")+1)</f>
        <v/>
      </c>
      <c r="U229">
        <f>IF(B229="","",IF(C229&lt;33.0,0,IF(C229&gt;=100*0.8,5,IF(C229&gt;=100*0.7,4,IF(C229&gt;=100*0.6,3.5,IF(C229&gt;=100*0.5,3,IF(C229&gt;=100*0.4,2,IF(C229&gt;=100*0.33,1,0))))))))</f>
        <v/>
      </c>
      <c r="V229">
        <f>IF(B229="","",IF(D229&lt;33.0,0,IF(D229&gt;=100*0.8,5,IF(D229&gt;=100*0.7,4,IF(D229&gt;=100*0.6,3.5,IF(D229&gt;=100*0.5,3,IF(D229&gt;=100*0.4,2,IF(D229&gt;=100*0.33,1,0))))))))</f>
        <v/>
      </c>
      <c r="W229">
        <f>IF(B229="","",IF(E229&lt;16.5,0,IF(E229&gt;=50*0.8,5,IF(E229&gt;=50*0.7,4,IF(E229&gt;=50*0.6,3.5,IF(E229&gt;=50*0.5,3,IF(E229&gt;=50*0.4,2,IF(E229&gt;=50*0.33,1,0))))))))</f>
        <v/>
      </c>
      <c r="X229">
        <f>IF(B229="","",IF(F229&lt;33.0,0,IF(F229&gt;=100*0.8,5,IF(F229&gt;=100*0.7,4,IF(F229&gt;=100*0.6,3.5,IF(F229&gt;=100*0.5,3,IF(F229&gt;=100*0.4,2,IF(F229&gt;=100*0.33,1,0))))))))</f>
        <v/>
      </c>
      <c r="Y229">
        <f>IF(B229="","",IF(G229&lt;16.5,0,IF(G229&gt;=50*0.8,5,IF(G229&gt;=50*0.7,4,IF(G229&gt;=50*0.6,3.5,IF(G229&gt;=50*0.5,3,IF(G229&gt;=50*0.4,2,IF(G229&gt;=50*0.33,1,0))))))))</f>
        <v/>
      </c>
      <c r="Z229">
        <f>IF(B229="","",IF(H229&lt;33.0,0,IF(H229&gt;=100*0.8,5,IF(H229&gt;=100*0.7,4,IF(H229&gt;=100*0.6,3.5,IF(H229&gt;=100*0.5,3,IF(H229&gt;=100*0.4,2,IF(H229&gt;=100*0.33,1,0))))))))</f>
        <v/>
      </c>
      <c r="AA229">
        <f>IF(B229="","",IF(I229&lt;33.0,0,IF(I229&gt;=100*0.8,5,IF(I229&gt;=100*0.7,4,IF(I229&gt;=100*0.6,3.5,IF(I229&gt;=100*0.5,3,IF(I229&gt;=100*0.4,2,IF(I229&gt;=100*0.33,1,0))))))))</f>
        <v/>
      </c>
      <c r="AB229">
        <f>IF(B229="","",IF(J229&lt;33.0,0,IF(J229&gt;=100*0.8,5,IF(J229&gt;=100*0.7,4,IF(J229&gt;=100*0.6,3.5,IF(J229&gt;=100*0.5,3,IF(J229&gt;=100*0.4,2,IF(J229&gt;=100*0.33,1,0))))))))</f>
        <v/>
      </c>
      <c r="AC229">
        <f>IF(B229="","",IF(K229&lt;33.0,0,IF(K229&gt;=100*0.8,5,IF(K229&gt;=100*0.7,4,IF(K229&gt;=100*0.6,3.5,IF(K229&gt;=100*0.5,3,IF(K229&gt;=100*0.4,2,IF(K229&gt;=100*0.33,1,0))))))))</f>
        <v/>
      </c>
      <c r="AD229">
        <f>IF(B229="","",IF(L229&lt;33.0,0,IF(L229&gt;=100*0.8,5,IF(L229&gt;=100*0.7,4,IF(L229&gt;=100*0.6,3.5,IF(L229&gt;=100*0.5,3,IF(L229&gt;=100*0.4,2,IF(L229&gt;=100*0.33,1,0))))))))</f>
        <v/>
      </c>
      <c r="AE229">
        <f>IF(B229="","",IF(M229&lt;33.0,0,IF(M229&gt;=100*0.8,5,IF(M229&gt;=100*0.7,4,IF(M229&gt;=100*0.6,3.5,IF(M229&gt;=100*0.5,3,IF(M229&gt;=100*0.4,2,IF(M229&gt;=100*0.33,1,0))))))))</f>
        <v/>
      </c>
      <c r="AF229">
        <f>IF(B229="","",IF(N229&lt;16.5,0,IF(N229&gt;=50*0.8,5,IF(N229&gt;=50*0.7,4,IF(N229&gt;=50*0.6,3.5,IF(N229&gt;=50*0.5,3,IF(N229&gt;=50*0.4,2,IF(N229&gt;=50*0.33,1,0))))))))</f>
        <v/>
      </c>
      <c r="AG229">
        <f>IF(B229="","",IF(O229&lt;33.0,0,IF(O229&gt;=100*0.8,5,IF(O229&gt;=100*0.7,4,IF(O229&gt;=100*0.6,3.5,IF(O229&gt;=100*0.5,3,IF(O229&gt;=100*0.4,2,IF(O229&gt;=100*0.33,1,0))))))))</f>
        <v/>
      </c>
      <c r="AH229">
        <f>IF(B229="","",IF(OR(U229=0,V229=0,W229=0,X229=0,Y229=0,Z229=0,AA229=0,AB229=0,AC229=0,AD229=0,AE229=0,AF229=0,AG229=0),1,0))</f>
        <v/>
      </c>
    </row>
    <row r="230">
      <c r="A230" s="3">
        <f>IF(B230="","",ROW()-2)</f>
        <v/>
      </c>
      <c r="P230" s="4">
        <f>IF(B230="","",SUM(C230:O230))</f>
        <v/>
      </c>
      <c r="Q230" s="5">
        <f>IF(B230="","",ROUND(P230/13,2))</f>
        <v/>
      </c>
      <c r="R230" s="5">
        <f>IF(B230="","",IF(AH230=1,0,MIN(5,ROUND((U230+V230+W230+X230+Y230+Z230+AA230+AB230+AC230+AD230+AE230+AF230+AG230)/13,2))))</f>
        <v/>
      </c>
      <c r="S230" s="3">
        <f>IF(B230="","",IF(R230&gt;=5,"A+",IF(R230&gt;=4,"A",IF(R230&gt;=3.5,"A-",IF(R230&gt;=3,"B",IF(R230&gt;=2,"C",IF(R230&gt;=1,"D","F")))))))</f>
        <v/>
      </c>
      <c r="T230" s="3">
        <f>IF(OR(B230="",S230="F"),"",COUNTIFS(P:P,"&gt;"&amp;P230,S:S,"&lt;&gt;F")+1)</f>
        <v/>
      </c>
      <c r="U230">
        <f>IF(B230="","",IF(C230&lt;33.0,0,IF(C230&gt;=100*0.8,5,IF(C230&gt;=100*0.7,4,IF(C230&gt;=100*0.6,3.5,IF(C230&gt;=100*0.5,3,IF(C230&gt;=100*0.4,2,IF(C230&gt;=100*0.33,1,0))))))))</f>
        <v/>
      </c>
      <c r="V230">
        <f>IF(B230="","",IF(D230&lt;33.0,0,IF(D230&gt;=100*0.8,5,IF(D230&gt;=100*0.7,4,IF(D230&gt;=100*0.6,3.5,IF(D230&gt;=100*0.5,3,IF(D230&gt;=100*0.4,2,IF(D230&gt;=100*0.33,1,0))))))))</f>
        <v/>
      </c>
      <c r="W230">
        <f>IF(B230="","",IF(E230&lt;16.5,0,IF(E230&gt;=50*0.8,5,IF(E230&gt;=50*0.7,4,IF(E230&gt;=50*0.6,3.5,IF(E230&gt;=50*0.5,3,IF(E230&gt;=50*0.4,2,IF(E230&gt;=50*0.33,1,0))))))))</f>
        <v/>
      </c>
      <c r="X230">
        <f>IF(B230="","",IF(F230&lt;33.0,0,IF(F230&gt;=100*0.8,5,IF(F230&gt;=100*0.7,4,IF(F230&gt;=100*0.6,3.5,IF(F230&gt;=100*0.5,3,IF(F230&gt;=100*0.4,2,IF(F230&gt;=100*0.33,1,0))))))))</f>
        <v/>
      </c>
      <c r="Y230">
        <f>IF(B230="","",IF(G230&lt;16.5,0,IF(G230&gt;=50*0.8,5,IF(G230&gt;=50*0.7,4,IF(G230&gt;=50*0.6,3.5,IF(G230&gt;=50*0.5,3,IF(G230&gt;=50*0.4,2,IF(G230&gt;=50*0.33,1,0))))))))</f>
        <v/>
      </c>
      <c r="Z230">
        <f>IF(B230="","",IF(H230&lt;33.0,0,IF(H230&gt;=100*0.8,5,IF(H230&gt;=100*0.7,4,IF(H230&gt;=100*0.6,3.5,IF(H230&gt;=100*0.5,3,IF(H230&gt;=100*0.4,2,IF(H230&gt;=100*0.33,1,0))))))))</f>
        <v/>
      </c>
      <c r="AA230">
        <f>IF(B230="","",IF(I230&lt;33.0,0,IF(I230&gt;=100*0.8,5,IF(I230&gt;=100*0.7,4,IF(I230&gt;=100*0.6,3.5,IF(I230&gt;=100*0.5,3,IF(I230&gt;=100*0.4,2,IF(I230&gt;=100*0.33,1,0))))))))</f>
        <v/>
      </c>
      <c r="AB230">
        <f>IF(B230="","",IF(J230&lt;33.0,0,IF(J230&gt;=100*0.8,5,IF(J230&gt;=100*0.7,4,IF(J230&gt;=100*0.6,3.5,IF(J230&gt;=100*0.5,3,IF(J230&gt;=100*0.4,2,IF(J230&gt;=100*0.33,1,0))))))))</f>
        <v/>
      </c>
      <c r="AC230">
        <f>IF(B230="","",IF(K230&lt;33.0,0,IF(K230&gt;=100*0.8,5,IF(K230&gt;=100*0.7,4,IF(K230&gt;=100*0.6,3.5,IF(K230&gt;=100*0.5,3,IF(K230&gt;=100*0.4,2,IF(K230&gt;=100*0.33,1,0))))))))</f>
        <v/>
      </c>
      <c r="AD230">
        <f>IF(B230="","",IF(L230&lt;33.0,0,IF(L230&gt;=100*0.8,5,IF(L230&gt;=100*0.7,4,IF(L230&gt;=100*0.6,3.5,IF(L230&gt;=100*0.5,3,IF(L230&gt;=100*0.4,2,IF(L230&gt;=100*0.33,1,0))))))))</f>
        <v/>
      </c>
      <c r="AE230">
        <f>IF(B230="","",IF(M230&lt;33.0,0,IF(M230&gt;=100*0.8,5,IF(M230&gt;=100*0.7,4,IF(M230&gt;=100*0.6,3.5,IF(M230&gt;=100*0.5,3,IF(M230&gt;=100*0.4,2,IF(M230&gt;=100*0.33,1,0))))))))</f>
        <v/>
      </c>
      <c r="AF230">
        <f>IF(B230="","",IF(N230&lt;16.5,0,IF(N230&gt;=50*0.8,5,IF(N230&gt;=50*0.7,4,IF(N230&gt;=50*0.6,3.5,IF(N230&gt;=50*0.5,3,IF(N230&gt;=50*0.4,2,IF(N230&gt;=50*0.33,1,0))))))))</f>
        <v/>
      </c>
      <c r="AG230">
        <f>IF(B230="","",IF(O230&lt;33.0,0,IF(O230&gt;=100*0.8,5,IF(O230&gt;=100*0.7,4,IF(O230&gt;=100*0.6,3.5,IF(O230&gt;=100*0.5,3,IF(O230&gt;=100*0.4,2,IF(O230&gt;=100*0.33,1,0))))))))</f>
        <v/>
      </c>
      <c r="AH230">
        <f>IF(B230="","",IF(OR(U230=0,V230=0,W230=0,X230=0,Y230=0,Z230=0,AA230=0,AB230=0,AC230=0,AD230=0,AE230=0,AF230=0,AG230=0),1,0))</f>
        <v/>
      </c>
    </row>
    <row r="231">
      <c r="A231" s="3">
        <f>IF(B231="","",ROW()-2)</f>
        <v/>
      </c>
      <c r="P231" s="4">
        <f>IF(B231="","",SUM(C231:O231))</f>
        <v/>
      </c>
      <c r="Q231" s="5">
        <f>IF(B231="","",ROUND(P231/13,2))</f>
        <v/>
      </c>
      <c r="R231" s="5">
        <f>IF(B231="","",IF(AH231=1,0,MIN(5,ROUND((U231+V231+W231+X231+Y231+Z231+AA231+AB231+AC231+AD231+AE231+AF231+AG231)/13,2))))</f>
        <v/>
      </c>
      <c r="S231" s="3">
        <f>IF(B231="","",IF(R231&gt;=5,"A+",IF(R231&gt;=4,"A",IF(R231&gt;=3.5,"A-",IF(R231&gt;=3,"B",IF(R231&gt;=2,"C",IF(R231&gt;=1,"D","F")))))))</f>
        <v/>
      </c>
      <c r="T231" s="3">
        <f>IF(OR(B231="",S231="F"),"",COUNTIFS(P:P,"&gt;"&amp;P231,S:S,"&lt;&gt;F")+1)</f>
        <v/>
      </c>
      <c r="U231">
        <f>IF(B231="","",IF(C231&lt;33.0,0,IF(C231&gt;=100*0.8,5,IF(C231&gt;=100*0.7,4,IF(C231&gt;=100*0.6,3.5,IF(C231&gt;=100*0.5,3,IF(C231&gt;=100*0.4,2,IF(C231&gt;=100*0.33,1,0))))))))</f>
        <v/>
      </c>
      <c r="V231">
        <f>IF(B231="","",IF(D231&lt;33.0,0,IF(D231&gt;=100*0.8,5,IF(D231&gt;=100*0.7,4,IF(D231&gt;=100*0.6,3.5,IF(D231&gt;=100*0.5,3,IF(D231&gt;=100*0.4,2,IF(D231&gt;=100*0.33,1,0))))))))</f>
        <v/>
      </c>
      <c r="W231">
        <f>IF(B231="","",IF(E231&lt;16.5,0,IF(E231&gt;=50*0.8,5,IF(E231&gt;=50*0.7,4,IF(E231&gt;=50*0.6,3.5,IF(E231&gt;=50*0.5,3,IF(E231&gt;=50*0.4,2,IF(E231&gt;=50*0.33,1,0))))))))</f>
        <v/>
      </c>
      <c r="X231">
        <f>IF(B231="","",IF(F231&lt;33.0,0,IF(F231&gt;=100*0.8,5,IF(F231&gt;=100*0.7,4,IF(F231&gt;=100*0.6,3.5,IF(F231&gt;=100*0.5,3,IF(F231&gt;=100*0.4,2,IF(F231&gt;=100*0.33,1,0))))))))</f>
        <v/>
      </c>
      <c r="Y231">
        <f>IF(B231="","",IF(G231&lt;16.5,0,IF(G231&gt;=50*0.8,5,IF(G231&gt;=50*0.7,4,IF(G231&gt;=50*0.6,3.5,IF(G231&gt;=50*0.5,3,IF(G231&gt;=50*0.4,2,IF(G231&gt;=50*0.33,1,0))))))))</f>
        <v/>
      </c>
      <c r="Z231">
        <f>IF(B231="","",IF(H231&lt;33.0,0,IF(H231&gt;=100*0.8,5,IF(H231&gt;=100*0.7,4,IF(H231&gt;=100*0.6,3.5,IF(H231&gt;=100*0.5,3,IF(H231&gt;=100*0.4,2,IF(H231&gt;=100*0.33,1,0))))))))</f>
        <v/>
      </c>
      <c r="AA231">
        <f>IF(B231="","",IF(I231&lt;33.0,0,IF(I231&gt;=100*0.8,5,IF(I231&gt;=100*0.7,4,IF(I231&gt;=100*0.6,3.5,IF(I231&gt;=100*0.5,3,IF(I231&gt;=100*0.4,2,IF(I231&gt;=100*0.33,1,0))))))))</f>
        <v/>
      </c>
      <c r="AB231">
        <f>IF(B231="","",IF(J231&lt;33.0,0,IF(J231&gt;=100*0.8,5,IF(J231&gt;=100*0.7,4,IF(J231&gt;=100*0.6,3.5,IF(J231&gt;=100*0.5,3,IF(J231&gt;=100*0.4,2,IF(J231&gt;=100*0.33,1,0))))))))</f>
        <v/>
      </c>
      <c r="AC231">
        <f>IF(B231="","",IF(K231&lt;33.0,0,IF(K231&gt;=100*0.8,5,IF(K231&gt;=100*0.7,4,IF(K231&gt;=100*0.6,3.5,IF(K231&gt;=100*0.5,3,IF(K231&gt;=100*0.4,2,IF(K231&gt;=100*0.33,1,0))))))))</f>
        <v/>
      </c>
      <c r="AD231">
        <f>IF(B231="","",IF(L231&lt;33.0,0,IF(L231&gt;=100*0.8,5,IF(L231&gt;=100*0.7,4,IF(L231&gt;=100*0.6,3.5,IF(L231&gt;=100*0.5,3,IF(L231&gt;=100*0.4,2,IF(L231&gt;=100*0.33,1,0))))))))</f>
        <v/>
      </c>
      <c r="AE231">
        <f>IF(B231="","",IF(M231&lt;33.0,0,IF(M231&gt;=100*0.8,5,IF(M231&gt;=100*0.7,4,IF(M231&gt;=100*0.6,3.5,IF(M231&gt;=100*0.5,3,IF(M231&gt;=100*0.4,2,IF(M231&gt;=100*0.33,1,0))))))))</f>
        <v/>
      </c>
      <c r="AF231">
        <f>IF(B231="","",IF(N231&lt;16.5,0,IF(N231&gt;=50*0.8,5,IF(N231&gt;=50*0.7,4,IF(N231&gt;=50*0.6,3.5,IF(N231&gt;=50*0.5,3,IF(N231&gt;=50*0.4,2,IF(N231&gt;=50*0.33,1,0))))))))</f>
        <v/>
      </c>
      <c r="AG231">
        <f>IF(B231="","",IF(O231&lt;33.0,0,IF(O231&gt;=100*0.8,5,IF(O231&gt;=100*0.7,4,IF(O231&gt;=100*0.6,3.5,IF(O231&gt;=100*0.5,3,IF(O231&gt;=100*0.4,2,IF(O231&gt;=100*0.33,1,0))))))))</f>
        <v/>
      </c>
      <c r="AH231">
        <f>IF(B231="","",IF(OR(U231=0,V231=0,W231=0,X231=0,Y231=0,Z231=0,AA231=0,AB231=0,AC231=0,AD231=0,AE231=0,AF231=0,AG231=0),1,0))</f>
        <v/>
      </c>
    </row>
    <row r="232">
      <c r="A232" s="3">
        <f>IF(B232="","",ROW()-2)</f>
        <v/>
      </c>
      <c r="P232" s="4">
        <f>IF(B232="","",SUM(C232:O232))</f>
        <v/>
      </c>
      <c r="Q232" s="5">
        <f>IF(B232="","",ROUND(P232/13,2))</f>
        <v/>
      </c>
      <c r="R232" s="5">
        <f>IF(B232="","",IF(AH232=1,0,MIN(5,ROUND((U232+V232+W232+X232+Y232+Z232+AA232+AB232+AC232+AD232+AE232+AF232+AG232)/13,2))))</f>
        <v/>
      </c>
      <c r="S232" s="3">
        <f>IF(B232="","",IF(R232&gt;=5,"A+",IF(R232&gt;=4,"A",IF(R232&gt;=3.5,"A-",IF(R232&gt;=3,"B",IF(R232&gt;=2,"C",IF(R232&gt;=1,"D","F")))))))</f>
        <v/>
      </c>
      <c r="T232" s="3">
        <f>IF(OR(B232="",S232="F"),"",COUNTIFS(P:P,"&gt;"&amp;P232,S:S,"&lt;&gt;F")+1)</f>
        <v/>
      </c>
      <c r="U232">
        <f>IF(B232="","",IF(C232&lt;33.0,0,IF(C232&gt;=100*0.8,5,IF(C232&gt;=100*0.7,4,IF(C232&gt;=100*0.6,3.5,IF(C232&gt;=100*0.5,3,IF(C232&gt;=100*0.4,2,IF(C232&gt;=100*0.33,1,0))))))))</f>
        <v/>
      </c>
      <c r="V232">
        <f>IF(B232="","",IF(D232&lt;33.0,0,IF(D232&gt;=100*0.8,5,IF(D232&gt;=100*0.7,4,IF(D232&gt;=100*0.6,3.5,IF(D232&gt;=100*0.5,3,IF(D232&gt;=100*0.4,2,IF(D232&gt;=100*0.33,1,0))))))))</f>
        <v/>
      </c>
      <c r="W232">
        <f>IF(B232="","",IF(E232&lt;16.5,0,IF(E232&gt;=50*0.8,5,IF(E232&gt;=50*0.7,4,IF(E232&gt;=50*0.6,3.5,IF(E232&gt;=50*0.5,3,IF(E232&gt;=50*0.4,2,IF(E232&gt;=50*0.33,1,0))))))))</f>
        <v/>
      </c>
      <c r="X232">
        <f>IF(B232="","",IF(F232&lt;33.0,0,IF(F232&gt;=100*0.8,5,IF(F232&gt;=100*0.7,4,IF(F232&gt;=100*0.6,3.5,IF(F232&gt;=100*0.5,3,IF(F232&gt;=100*0.4,2,IF(F232&gt;=100*0.33,1,0))))))))</f>
        <v/>
      </c>
      <c r="Y232">
        <f>IF(B232="","",IF(G232&lt;16.5,0,IF(G232&gt;=50*0.8,5,IF(G232&gt;=50*0.7,4,IF(G232&gt;=50*0.6,3.5,IF(G232&gt;=50*0.5,3,IF(G232&gt;=50*0.4,2,IF(G232&gt;=50*0.33,1,0))))))))</f>
        <v/>
      </c>
      <c r="Z232">
        <f>IF(B232="","",IF(H232&lt;33.0,0,IF(H232&gt;=100*0.8,5,IF(H232&gt;=100*0.7,4,IF(H232&gt;=100*0.6,3.5,IF(H232&gt;=100*0.5,3,IF(H232&gt;=100*0.4,2,IF(H232&gt;=100*0.33,1,0))))))))</f>
        <v/>
      </c>
      <c r="AA232">
        <f>IF(B232="","",IF(I232&lt;33.0,0,IF(I232&gt;=100*0.8,5,IF(I232&gt;=100*0.7,4,IF(I232&gt;=100*0.6,3.5,IF(I232&gt;=100*0.5,3,IF(I232&gt;=100*0.4,2,IF(I232&gt;=100*0.33,1,0))))))))</f>
        <v/>
      </c>
      <c r="AB232">
        <f>IF(B232="","",IF(J232&lt;33.0,0,IF(J232&gt;=100*0.8,5,IF(J232&gt;=100*0.7,4,IF(J232&gt;=100*0.6,3.5,IF(J232&gt;=100*0.5,3,IF(J232&gt;=100*0.4,2,IF(J232&gt;=100*0.33,1,0))))))))</f>
        <v/>
      </c>
      <c r="AC232">
        <f>IF(B232="","",IF(K232&lt;33.0,0,IF(K232&gt;=100*0.8,5,IF(K232&gt;=100*0.7,4,IF(K232&gt;=100*0.6,3.5,IF(K232&gt;=100*0.5,3,IF(K232&gt;=100*0.4,2,IF(K232&gt;=100*0.33,1,0))))))))</f>
        <v/>
      </c>
      <c r="AD232">
        <f>IF(B232="","",IF(L232&lt;33.0,0,IF(L232&gt;=100*0.8,5,IF(L232&gt;=100*0.7,4,IF(L232&gt;=100*0.6,3.5,IF(L232&gt;=100*0.5,3,IF(L232&gt;=100*0.4,2,IF(L232&gt;=100*0.33,1,0))))))))</f>
        <v/>
      </c>
      <c r="AE232">
        <f>IF(B232="","",IF(M232&lt;33.0,0,IF(M232&gt;=100*0.8,5,IF(M232&gt;=100*0.7,4,IF(M232&gt;=100*0.6,3.5,IF(M232&gt;=100*0.5,3,IF(M232&gt;=100*0.4,2,IF(M232&gt;=100*0.33,1,0))))))))</f>
        <v/>
      </c>
      <c r="AF232">
        <f>IF(B232="","",IF(N232&lt;16.5,0,IF(N232&gt;=50*0.8,5,IF(N232&gt;=50*0.7,4,IF(N232&gt;=50*0.6,3.5,IF(N232&gt;=50*0.5,3,IF(N232&gt;=50*0.4,2,IF(N232&gt;=50*0.33,1,0))))))))</f>
        <v/>
      </c>
      <c r="AG232">
        <f>IF(B232="","",IF(O232&lt;33.0,0,IF(O232&gt;=100*0.8,5,IF(O232&gt;=100*0.7,4,IF(O232&gt;=100*0.6,3.5,IF(O232&gt;=100*0.5,3,IF(O232&gt;=100*0.4,2,IF(O232&gt;=100*0.33,1,0))))))))</f>
        <v/>
      </c>
      <c r="AH232">
        <f>IF(B232="","",IF(OR(U232=0,V232=0,W232=0,X232=0,Y232=0,Z232=0,AA232=0,AB232=0,AC232=0,AD232=0,AE232=0,AF232=0,AG232=0),1,0))</f>
        <v/>
      </c>
    </row>
    <row r="233">
      <c r="A233" s="3">
        <f>IF(B233="","",ROW()-2)</f>
        <v/>
      </c>
      <c r="P233" s="4">
        <f>IF(B233="","",SUM(C233:O233))</f>
        <v/>
      </c>
      <c r="Q233" s="5">
        <f>IF(B233="","",ROUND(P233/13,2))</f>
        <v/>
      </c>
      <c r="R233" s="5">
        <f>IF(B233="","",IF(AH233=1,0,MIN(5,ROUND((U233+V233+W233+X233+Y233+Z233+AA233+AB233+AC233+AD233+AE233+AF233+AG233)/13,2))))</f>
        <v/>
      </c>
      <c r="S233" s="3">
        <f>IF(B233="","",IF(R233&gt;=5,"A+",IF(R233&gt;=4,"A",IF(R233&gt;=3.5,"A-",IF(R233&gt;=3,"B",IF(R233&gt;=2,"C",IF(R233&gt;=1,"D","F")))))))</f>
        <v/>
      </c>
      <c r="T233" s="3">
        <f>IF(OR(B233="",S233="F"),"",COUNTIFS(P:P,"&gt;"&amp;P233,S:S,"&lt;&gt;F")+1)</f>
        <v/>
      </c>
      <c r="U233">
        <f>IF(B233="","",IF(C233&lt;33.0,0,IF(C233&gt;=100*0.8,5,IF(C233&gt;=100*0.7,4,IF(C233&gt;=100*0.6,3.5,IF(C233&gt;=100*0.5,3,IF(C233&gt;=100*0.4,2,IF(C233&gt;=100*0.33,1,0))))))))</f>
        <v/>
      </c>
      <c r="V233">
        <f>IF(B233="","",IF(D233&lt;33.0,0,IF(D233&gt;=100*0.8,5,IF(D233&gt;=100*0.7,4,IF(D233&gt;=100*0.6,3.5,IF(D233&gt;=100*0.5,3,IF(D233&gt;=100*0.4,2,IF(D233&gt;=100*0.33,1,0))))))))</f>
        <v/>
      </c>
      <c r="W233">
        <f>IF(B233="","",IF(E233&lt;16.5,0,IF(E233&gt;=50*0.8,5,IF(E233&gt;=50*0.7,4,IF(E233&gt;=50*0.6,3.5,IF(E233&gt;=50*0.5,3,IF(E233&gt;=50*0.4,2,IF(E233&gt;=50*0.33,1,0))))))))</f>
        <v/>
      </c>
      <c r="X233">
        <f>IF(B233="","",IF(F233&lt;33.0,0,IF(F233&gt;=100*0.8,5,IF(F233&gt;=100*0.7,4,IF(F233&gt;=100*0.6,3.5,IF(F233&gt;=100*0.5,3,IF(F233&gt;=100*0.4,2,IF(F233&gt;=100*0.33,1,0))))))))</f>
        <v/>
      </c>
      <c r="Y233">
        <f>IF(B233="","",IF(G233&lt;16.5,0,IF(G233&gt;=50*0.8,5,IF(G233&gt;=50*0.7,4,IF(G233&gt;=50*0.6,3.5,IF(G233&gt;=50*0.5,3,IF(G233&gt;=50*0.4,2,IF(G233&gt;=50*0.33,1,0))))))))</f>
        <v/>
      </c>
      <c r="Z233">
        <f>IF(B233="","",IF(H233&lt;33.0,0,IF(H233&gt;=100*0.8,5,IF(H233&gt;=100*0.7,4,IF(H233&gt;=100*0.6,3.5,IF(H233&gt;=100*0.5,3,IF(H233&gt;=100*0.4,2,IF(H233&gt;=100*0.33,1,0))))))))</f>
        <v/>
      </c>
      <c r="AA233">
        <f>IF(B233="","",IF(I233&lt;33.0,0,IF(I233&gt;=100*0.8,5,IF(I233&gt;=100*0.7,4,IF(I233&gt;=100*0.6,3.5,IF(I233&gt;=100*0.5,3,IF(I233&gt;=100*0.4,2,IF(I233&gt;=100*0.33,1,0))))))))</f>
        <v/>
      </c>
      <c r="AB233">
        <f>IF(B233="","",IF(J233&lt;33.0,0,IF(J233&gt;=100*0.8,5,IF(J233&gt;=100*0.7,4,IF(J233&gt;=100*0.6,3.5,IF(J233&gt;=100*0.5,3,IF(J233&gt;=100*0.4,2,IF(J233&gt;=100*0.33,1,0))))))))</f>
        <v/>
      </c>
      <c r="AC233">
        <f>IF(B233="","",IF(K233&lt;33.0,0,IF(K233&gt;=100*0.8,5,IF(K233&gt;=100*0.7,4,IF(K233&gt;=100*0.6,3.5,IF(K233&gt;=100*0.5,3,IF(K233&gt;=100*0.4,2,IF(K233&gt;=100*0.33,1,0))))))))</f>
        <v/>
      </c>
      <c r="AD233">
        <f>IF(B233="","",IF(L233&lt;33.0,0,IF(L233&gt;=100*0.8,5,IF(L233&gt;=100*0.7,4,IF(L233&gt;=100*0.6,3.5,IF(L233&gt;=100*0.5,3,IF(L233&gt;=100*0.4,2,IF(L233&gt;=100*0.33,1,0))))))))</f>
        <v/>
      </c>
      <c r="AE233">
        <f>IF(B233="","",IF(M233&lt;33.0,0,IF(M233&gt;=100*0.8,5,IF(M233&gt;=100*0.7,4,IF(M233&gt;=100*0.6,3.5,IF(M233&gt;=100*0.5,3,IF(M233&gt;=100*0.4,2,IF(M233&gt;=100*0.33,1,0))))))))</f>
        <v/>
      </c>
      <c r="AF233">
        <f>IF(B233="","",IF(N233&lt;16.5,0,IF(N233&gt;=50*0.8,5,IF(N233&gt;=50*0.7,4,IF(N233&gt;=50*0.6,3.5,IF(N233&gt;=50*0.5,3,IF(N233&gt;=50*0.4,2,IF(N233&gt;=50*0.33,1,0))))))))</f>
        <v/>
      </c>
      <c r="AG233">
        <f>IF(B233="","",IF(O233&lt;33.0,0,IF(O233&gt;=100*0.8,5,IF(O233&gt;=100*0.7,4,IF(O233&gt;=100*0.6,3.5,IF(O233&gt;=100*0.5,3,IF(O233&gt;=100*0.4,2,IF(O233&gt;=100*0.33,1,0))))))))</f>
        <v/>
      </c>
      <c r="AH233">
        <f>IF(B233="","",IF(OR(U233=0,V233=0,W233=0,X233=0,Y233=0,Z233=0,AA233=0,AB233=0,AC233=0,AD233=0,AE233=0,AF233=0,AG233=0),1,0))</f>
        <v/>
      </c>
    </row>
    <row r="234">
      <c r="A234" s="3">
        <f>IF(B234="","",ROW()-2)</f>
        <v/>
      </c>
      <c r="P234" s="4">
        <f>IF(B234="","",SUM(C234:O234))</f>
        <v/>
      </c>
      <c r="Q234" s="5">
        <f>IF(B234="","",ROUND(P234/13,2))</f>
        <v/>
      </c>
      <c r="R234" s="5">
        <f>IF(B234="","",IF(AH234=1,0,MIN(5,ROUND((U234+V234+W234+X234+Y234+Z234+AA234+AB234+AC234+AD234+AE234+AF234+AG234)/13,2))))</f>
        <v/>
      </c>
      <c r="S234" s="3">
        <f>IF(B234="","",IF(R234&gt;=5,"A+",IF(R234&gt;=4,"A",IF(R234&gt;=3.5,"A-",IF(R234&gt;=3,"B",IF(R234&gt;=2,"C",IF(R234&gt;=1,"D","F")))))))</f>
        <v/>
      </c>
      <c r="T234" s="3">
        <f>IF(OR(B234="",S234="F"),"",COUNTIFS(P:P,"&gt;"&amp;P234,S:S,"&lt;&gt;F")+1)</f>
        <v/>
      </c>
      <c r="U234">
        <f>IF(B234="","",IF(C234&lt;33.0,0,IF(C234&gt;=100*0.8,5,IF(C234&gt;=100*0.7,4,IF(C234&gt;=100*0.6,3.5,IF(C234&gt;=100*0.5,3,IF(C234&gt;=100*0.4,2,IF(C234&gt;=100*0.33,1,0))))))))</f>
        <v/>
      </c>
      <c r="V234">
        <f>IF(B234="","",IF(D234&lt;33.0,0,IF(D234&gt;=100*0.8,5,IF(D234&gt;=100*0.7,4,IF(D234&gt;=100*0.6,3.5,IF(D234&gt;=100*0.5,3,IF(D234&gt;=100*0.4,2,IF(D234&gt;=100*0.33,1,0))))))))</f>
        <v/>
      </c>
      <c r="W234">
        <f>IF(B234="","",IF(E234&lt;16.5,0,IF(E234&gt;=50*0.8,5,IF(E234&gt;=50*0.7,4,IF(E234&gt;=50*0.6,3.5,IF(E234&gt;=50*0.5,3,IF(E234&gt;=50*0.4,2,IF(E234&gt;=50*0.33,1,0))))))))</f>
        <v/>
      </c>
      <c r="X234">
        <f>IF(B234="","",IF(F234&lt;33.0,0,IF(F234&gt;=100*0.8,5,IF(F234&gt;=100*0.7,4,IF(F234&gt;=100*0.6,3.5,IF(F234&gt;=100*0.5,3,IF(F234&gt;=100*0.4,2,IF(F234&gt;=100*0.33,1,0))))))))</f>
        <v/>
      </c>
      <c r="Y234">
        <f>IF(B234="","",IF(G234&lt;16.5,0,IF(G234&gt;=50*0.8,5,IF(G234&gt;=50*0.7,4,IF(G234&gt;=50*0.6,3.5,IF(G234&gt;=50*0.5,3,IF(G234&gt;=50*0.4,2,IF(G234&gt;=50*0.33,1,0))))))))</f>
        <v/>
      </c>
      <c r="Z234">
        <f>IF(B234="","",IF(H234&lt;33.0,0,IF(H234&gt;=100*0.8,5,IF(H234&gt;=100*0.7,4,IF(H234&gt;=100*0.6,3.5,IF(H234&gt;=100*0.5,3,IF(H234&gt;=100*0.4,2,IF(H234&gt;=100*0.33,1,0))))))))</f>
        <v/>
      </c>
      <c r="AA234">
        <f>IF(B234="","",IF(I234&lt;33.0,0,IF(I234&gt;=100*0.8,5,IF(I234&gt;=100*0.7,4,IF(I234&gt;=100*0.6,3.5,IF(I234&gt;=100*0.5,3,IF(I234&gt;=100*0.4,2,IF(I234&gt;=100*0.33,1,0))))))))</f>
        <v/>
      </c>
      <c r="AB234">
        <f>IF(B234="","",IF(J234&lt;33.0,0,IF(J234&gt;=100*0.8,5,IF(J234&gt;=100*0.7,4,IF(J234&gt;=100*0.6,3.5,IF(J234&gt;=100*0.5,3,IF(J234&gt;=100*0.4,2,IF(J234&gt;=100*0.33,1,0))))))))</f>
        <v/>
      </c>
      <c r="AC234">
        <f>IF(B234="","",IF(K234&lt;33.0,0,IF(K234&gt;=100*0.8,5,IF(K234&gt;=100*0.7,4,IF(K234&gt;=100*0.6,3.5,IF(K234&gt;=100*0.5,3,IF(K234&gt;=100*0.4,2,IF(K234&gt;=100*0.33,1,0))))))))</f>
        <v/>
      </c>
      <c r="AD234">
        <f>IF(B234="","",IF(L234&lt;33.0,0,IF(L234&gt;=100*0.8,5,IF(L234&gt;=100*0.7,4,IF(L234&gt;=100*0.6,3.5,IF(L234&gt;=100*0.5,3,IF(L234&gt;=100*0.4,2,IF(L234&gt;=100*0.33,1,0))))))))</f>
        <v/>
      </c>
      <c r="AE234">
        <f>IF(B234="","",IF(M234&lt;33.0,0,IF(M234&gt;=100*0.8,5,IF(M234&gt;=100*0.7,4,IF(M234&gt;=100*0.6,3.5,IF(M234&gt;=100*0.5,3,IF(M234&gt;=100*0.4,2,IF(M234&gt;=100*0.33,1,0))))))))</f>
        <v/>
      </c>
      <c r="AF234">
        <f>IF(B234="","",IF(N234&lt;16.5,0,IF(N234&gt;=50*0.8,5,IF(N234&gt;=50*0.7,4,IF(N234&gt;=50*0.6,3.5,IF(N234&gt;=50*0.5,3,IF(N234&gt;=50*0.4,2,IF(N234&gt;=50*0.33,1,0))))))))</f>
        <v/>
      </c>
      <c r="AG234">
        <f>IF(B234="","",IF(O234&lt;33.0,0,IF(O234&gt;=100*0.8,5,IF(O234&gt;=100*0.7,4,IF(O234&gt;=100*0.6,3.5,IF(O234&gt;=100*0.5,3,IF(O234&gt;=100*0.4,2,IF(O234&gt;=100*0.33,1,0))))))))</f>
        <v/>
      </c>
      <c r="AH234">
        <f>IF(B234="","",IF(OR(U234=0,V234=0,W234=0,X234=0,Y234=0,Z234=0,AA234=0,AB234=0,AC234=0,AD234=0,AE234=0,AF234=0,AG234=0),1,0))</f>
        <v/>
      </c>
    </row>
    <row r="235">
      <c r="A235" s="3">
        <f>IF(B235="","",ROW()-2)</f>
        <v/>
      </c>
      <c r="P235" s="4">
        <f>IF(B235="","",SUM(C235:O235))</f>
        <v/>
      </c>
      <c r="Q235" s="5">
        <f>IF(B235="","",ROUND(P235/13,2))</f>
        <v/>
      </c>
      <c r="R235" s="5">
        <f>IF(B235="","",IF(AH235=1,0,MIN(5,ROUND((U235+V235+W235+X235+Y235+Z235+AA235+AB235+AC235+AD235+AE235+AF235+AG235)/13,2))))</f>
        <v/>
      </c>
      <c r="S235" s="3">
        <f>IF(B235="","",IF(R235&gt;=5,"A+",IF(R235&gt;=4,"A",IF(R235&gt;=3.5,"A-",IF(R235&gt;=3,"B",IF(R235&gt;=2,"C",IF(R235&gt;=1,"D","F")))))))</f>
        <v/>
      </c>
      <c r="T235" s="3">
        <f>IF(OR(B235="",S235="F"),"",COUNTIFS(P:P,"&gt;"&amp;P235,S:S,"&lt;&gt;F")+1)</f>
        <v/>
      </c>
      <c r="U235">
        <f>IF(B235="","",IF(C235&lt;33.0,0,IF(C235&gt;=100*0.8,5,IF(C235&gt;=100*0.7,4,IF(C235&gt;=100*0.6,3.5,IF(C235&gt;=100*0.5,3,IF(C235&gt;=100*0.4,2,IF(C235&gt;=100*0.33,1,0))))))))</f>
        <v/>
      </c>
      <c r="V235">
        <f>IF(B235="","",IF(D235&lt;33.0,0,IF(D235&gt;=100*0.8,5,IF(D235&gt;=100*0.7,4,IF(D235&gt;=100*0.6,3.5,IF(D235&gt;=100*0.5,3,IF(D235&gt;=100*0.4,2,IF(D235&gt;=100*0.33,1,0))))))))</f>
        <v/>
      </c>
      <c r="W235">
        <f>IF(B235="","",IF(E235&lt;16.5,0,IF(E235&gt;=50*0.8,5,IF(E235&gt;=50*0.7,4,IF(E235&gt;=50*0.6,3.5,IF(E235&gt;=50*0.5,3,IF(E235&gt;=50*0.4,2,IF(E235&gt;=50*0.33,1,0))))))))</f>
        <v/>
      </c>
      <c r="X235">
        <f>IF(B235="","",IF(F235&lt;33.0,0,IF(F235&gt;=100*0.8,5,IF(F235&gt;=100*0.7,4,IF(F235&gt;=100*0.6,3.5,IF(F235&gt;=100*0.5,3,IF(F235&gt;=100*0.4,2,IF(F235&gt;=100*0.33,1,0))))))))</f>
        <v/>
      </c>
      <c r="Y235">
        <f>IF(B235="","",IF(G235&lt;16.5,0,IF(G235&gt;=50*0.8,5,IF(G235&gt;=50*0.7,4,IF(G235&gt;=50*0.6,3.5,IF(G235&gt;=50*0.5,3,IF(G235&gt;=50*0.4,2,IF(G235&gt;=50*0.33,1,0))))))))</f>
        <v/>
      </c>
      <c r="Z235">
        <f>IF(B235="","",IF(H235&lt;33.0,0,IF(H235&gt;=100*0.8,5,IF(H235&gt;=100*0.7,4,IF(H235&gt;=100*0.6,3.5,IF(H235&gt;=100*0.5,3,IF(H235&gt;=100*0.4,2,IF(H235&gt;=100*0.33,1,0))))))))</f>
        <v/>
      </c>
      <c r="AA235">
        <f>IF(B235="","",IF(I235&lt;33.0,0,IF(I235&gt;=100*0.8,5,IF(I235&gt;=100*0.7,4,IF(I235&gt;=100*0.6,3.5,IF(I235&gt;=100*0.5,3,IF(I235&gt;=100*0.4,2,IF(I235&gt;=100*0.33,1,0))))))))</f>
        <v/>
      </c>
      <c r="AB235">
        <f>IF(B235="","",IF(J235&lt;33.0,0,IF(J235&gt;=100*0.8,5,IF(J235&gt;=100*0.7,4,IF(J235&gt;=100*0.6,3.5,IF(J235&gt;=100*0.5,3,IF(J235&gt;=100*0.4,2,IF(J235&gt;=100*0.33,1,0))))))))</f>
        <v/>
      </c>
      <c r="AC235">
        <f>IF(B235="","",IF(K235&lt;33.0,0,IF(K235&gt;=100*0.8,5,IF(K235&gt;=100*0.7,4,IF(K235&gt;=100*0.6,3.5,IF(K235&gt;=100*0.5,3,IF(K235&gt;=100*0.4,2,IF(K235&gt;=100*0.33,1,0))))))))</f>
        <v/>
      </c>
      <c r="AD235">
        <f>IF(B235="","",IF(L235&lt;33.0,0,IF(L235&gt;=100*0.8,5,IF(L235&gt;=100*0.7,4,IF(L235&gt;=100*0.6,3.5,IF(L235&gt;=100*0.5,3,IF(L235&gt;=100*0.4,2,IF(L235&gt;=100*0.33,1,0))))))))</f>
        <v/>
      </c>
      <c r="AE235">
        <f>IF(B235="","",IF(M235&lt;33.0,0,IF(M235&gt;=100*0.8,5,IF(M235&gt;=100*0.7,4,IF(M235&gt;=100*0.6,3.5,IF(M235&gt;=100*0.5,3,IF(M235&gt;=100*0.4,2,IF(M235&gt;=100*0.33,1,0))))))))</f>
        <v/>
      </c>
      <c r="AF235">
        <f>IF(B235="","",IF(N235&lt;16.5,0,IF(N235&gt;=50*0.8,5,IF(N235&gt;=50*0.7,4,IF(N235&gt;=50*0.6,3.5,IF(N235&gt;=50*0.5,3,IF(N235&gt;=50*0.4,2,IF(N235&gt;=50*0.33,1,0))))))))</f>
        <v/>
      </c>
      <c r="AG235">
        <f>IF(B235="","",IF(O235&lt;33.0,0,IF(O235&gt;=100*0.8,5,IF(O235&gt;=100*0.7,4,IF(O235&gt;=100*0.6,3.5,IF(O235&gt;=100*0.5,3,IF(O235&gt;=100*0.4,2,IF(O235&gt;=100*0.33,1,0))))))))</f>
        <v/>
      </c>
      <c r="AH235">
        <f>IF(B235="","",IF(OR(U235=0,V235=0,W235=0,X235=0,Y235=0,Z235=0,AA235=0,AB235=0,AC235=0,AD235=0,AE235=0,AF235=0,AG235=0),1,0))</f>
        <v/>
      </c>
    </row>
    <row r="236">
      <c r="A236" s="3">
        <f>IF(B236="","",ROW()-2)</f>
        <v/>
      </c>
      <c r="P236" s="4">
        <f>IF(B236="","",SUM(C236:O236))</f>
        <v/>
      </c>
      <c r="Q236" s="5">
        <f>IF(B236="","",ROUND(P236/13,2))</f>
        <v/>
      </c>
      <c r="R236" s="5">
        <f>IF(B236="","",IF(AH236=1,0,MIN(5,ROUND((U236+V236+W236+X236+Y236+Z236+AA236+AB236+AC236+AD236+AE236+AF236+AG236)/13,2))))</f>
        <v/>
      </c>
      <c r="S236" s="3">
        <f>IF(B236="","",IF(R236&gt;=5,"A+",IF(R236&gt;=4,"A",IF(R236&gt;=3.5,"A-",IF(R236&gt;=3,"B",IF(R236&gt;=2,"C",IF(R236&gt;=1,"D","F")))))))</f>
        <v/>
      </c>
      <c r="T236" s="3">
        <f>IF(OR(B236="",S236="F"),"",COUNTIFS(P:P,"&gt;"&amp;P236,S:S,"&lt;&gt;F")+1)</f>
        <v/>
      </c>
      <c r="U236">
        <f>IF(B236="","",IF(C236&lt;33.0,0,IF(C236&gt;=100*0.8,5,IF(C236&gt;=100*0.7,4,IF(C236&gt;=100*0.6,3.5,IF(C236&gt;=100*0.5,3,IF(C236&gt;=100*0.4,2,IF(C236&gt;=100*0.33,1,0))))))))</f>
        <v/>
      </c>
      <c r="V236">
        <f>IF(B236="","",IF(D236&lt;33.0,0,IF(D236&gt;=100*0.8,5,IF(D236&gt;=100*0.7,4,IF(D236&gt;=100*0.6,3.5,IF(D236&gt;=100*0.5,3,IF(D236&gt;=100*0.4,2,IF(D236&gt;=100*0.33,1,0))))))))</f>
        <v/>
      </c>
      <c r="W236">
        <f>IF(B236="","",IF(E236&lt;16.5,0,IF(E236&gt;=50*0.8,5,IF(E236&gt;=50*0.7,4,IF(E236&gt;=50*0.6,3.5,IF(E236&gt;=50*0.5,3,IF(E236&gt;=50*0.4,2,IF(E236&gt;=50*0.33,1,0))))))))</f>
        <v/>
      </c>
      <c r="X236">
        <f>IF(B236="","",IF(F236&lt;33.0,0,IF(F236&gt;=100*0.8,5,IF(F236&gt;=100*0.7,4,IF(F236&gt;=100*0.6,3.5,IF(F236&gt;=100*0.5,3,IF(F236&gt;=100*0.4,2,IF(F236&gt;=100*0.33,1,0))))))))</f>
        <v/>
      </c>
      <c r="Y236">
        <f>IF(B236="","",IF(G236&lt;16.5,0,IF(G236&gt;=50*0.8,5,IF(G236&gt;=50*0.7,4,IF(G236&gt;=50*0.6,3.5,IF(G236&gt;=50*0.5,3,IF(G236&gt;=50*0.4,2,IF(G236&gt;=50*0.33,1,0))))))))</f>
        <v/>
      </c>
      <c r="Z236">
        <f>IF(B236="","",IF(H236&lt;33.0,0,IF(H236&gt;=100*0.8,5,IF(H236&gt;=100*0.7,4,IF(H236&gt;=100*0.6,3.5,IF(H236&gt;=100*0.5,3,IF(H236&gt;=100*0.4,2,IF(H236&gt;=100*0.33,1,0))))))))</f>
        <v/>
      </c>
      <c r="AA236">
        <f>IF(B236="","",IF(I236&lt;33.0,0,IF(I236&gt;=100*0.8,5,IF(I236&gt;=100*0.7,4,IF(I236&gt;=100*0.6,3.5,IF(I236&gt;=100*0.5,3,IF(I236&gt;=100*0.4,2,IF(I236&gt;=100*0.33,1,0))))))))</f>
        <v/>
      </c>
      <c r="AB236">
        <f>IF(B236="","",IF(J236&lt;33.0,0,IF(J236&gt;=100*0.8,5,IF(J236&gt;=100*0.7,4,IF(J236&gt;=100*0.6,3.5,IF(J236&gt;=100*0.5,3,IF(J236&gt;=100*0.4,2,IF(J236&gt;=100*0.33,1,0))))))))</f>
        <v/>
      </c>
      <c r="AC236">
        <f>IF(B236="","",IF(K236&lt;33.0,0,IF(K236&gt;=100*0.8,5,IF(K236&gt;=100*0.7,4,IF(K236&gt;=100*0.6,3.5,IF(K236&gt;=100*0.5,3,IF(K236&gt;=100*0.4,2,IF(K236&gt;=100*0.33,1,0))))))))</f>
        <v/>
      </c>
      <c r="AD236">
        <f>IF(B236="","",IF(L236&lt;33.0,0,IF(L236&gt;=100*0.8,5,IF(L236&gt;=100*0.7,4,IF(L236&gt;=100*0.6,3.5,IF(L236&gt;=100*0.5,3,IF(L236&gt;=100*0.4,2,IF(L236&gt;=100*0.33,1,0))))))))</f>
        <v/>
      </c>
      <c r="AE236">
        <f>IF(B236="","",IF(M236&lt;33.0,0,IF(M236&gt;=100*0.8,5,IF(M236&gt;=100*0.7,4,IF(M236&gt;=100*0.6,3.5,IF(M236&gt;=100*0.5,3,IF(M236&gt;=100*0.4,2,IF(M236&gt;=100*0.33,1,0))))))))</f>
        <v/>
      </c>
      <c r="AF236">
        <f>IF(B236="","",IF(N236&lt;16.5,0,IF(N236&gt;=50*0.8,5,IF(N236&gt;=50*0.7,4,IF(N236&gt;=50*0.6,3.5,IF(N236&gt;=50*0.5,3,IF(N236&gt;=50*0.4,2,IF(N236&gt;=50*0.33,1,0))))))))</f>
        <v/>
      </c>
      <c r="AG236">
        <f>IF(B236="","",IF(O236&lt;33.0,0,IF(O236&gt;=100*0.8,5,IF(O236&gt;=100*0.7,4,IF(O236&gt;=100*0.6,3.5,IF(O236&gt;=100*0.5,3,IF(O236&gt;=100*0.4,2,IF(O236&gt;=100*0.33,1,0))))))))</f>
        <v/>
      </c>
      <c r="AH236">
        <f>IF(B236="","",IF(OR(U236=0,V236=0,W236=0,X236=0,Y236=0,Z236=0,AA236=0,AB236=0,AC236=0,AD236=0,AE236=0,AF236=0,AG236=0),1,0))</f>
        <v/>
      </c>
    </row>
    <row r="237">
      <c r="A237" s="3">
        <f>IF(B237="","",ROW()-2)</f>
        <v/>
      </c>
      <c r="P237" s="4">
        <f>IF(B237="","",SUM(C237:O237))</f>
        <v/>
      </c>
      <c r="Q237" s="5">
        <f>IF(B237="","",ROUND(P237/13,2))</f>
        <v/>
      </c>
      <c r="R237" s="5">
        <f>IF(B237="","",IF(AH237=1,0,MIN(5,ROUND((U237+V237+W237+X237+Y237+Z237+AA237+AB237+AC237+AD237+AE237+AF237+AG237)/13,2))))</f>
        <v/>
      </c>
      <c r="S237" s="3">
        <f>IF(B237="","",IF(R237&gt;=5,"A+",IF(R237&gt;=4,"A",IF(R237&gt;=3.5,"A-",IF(R237&gt;=3,"B",IF(R237&gt;=2,"C",IF(R237&gt;=1,"D","F")))))))</f>
        <v/>
      </c>
      <c r="T237" s="3">
        <f>IF(OR(B237="",S237="F"),"",COUNTIFS(P:P,"&gt;"&amp;P237,S:S,"&lt;&gt;F")+1)</f>
        <v/>
      </c>
      <c r="U237">
        <f>IF(B237="","",IF(C237&lt;33.0,0,IF(C237&gt;=100*0.8,5,IF(C237&gt;=100*0.7,4,IF(C237&gt;=100*0.6,3.5,IF(C237&gt;=100*0.5,3,IF(C237&gt;=100*0.4,2,IF(C237&gt;=100*0.33,1,0))))))))</f>
        <v/>
      </c>
      <c r="V237">
        <f>IF(B237="","",IF(D237&lt;33.0,0,IF(D237&gt;=100*0.8,5,IF(D237&gt;=100*0.7,4,IF(D237&gt;=100*0.6,3.5,IF(D237&gt;=100*0.5,3,IF(D237&gt;=100*0.4,2,IF(D237&gt;=100*0.33,1,0))))))))</f>
        <v/>
      </c>
      <c r="W237">
        <f>IF(B237="","",IF(E237&lt;16.5,0,IF(E237&gt;=50*0.8,5,IF(E237&gt;=50*0.7,4,IF(E237&gt;=50*0.6,3.5,IF(E237&gt;=50*0.5,3,IF(E237&gt;=50*0.4,2,IF(E237&gt;=50*0.33,1,0))))))))</f>
        <v/>
      </c>
      <c r="X237">
        <f>IF(B237="","",IF(F237&lt;33.0,0,IF(F237&gt;=100*0.8,5,IF(F237&gt;=100*0.7,4,IF(F237&gt;=100*0.6,3.5,IF(F237&gt;=100*0.5,3,IF(F237&gt;=100*0.4,2,IF(F237&gt;=100*0.33,1,0))))))))</f>
        <v/>
      </c>
      <c r="Y237">
        <f>IF(B237="","",IF(G237&lt;16.5,0,IF(G237&gt;=50*0.8,5,IF(G237&gt;=50*0.7,4,IF(G237&gt;=50*0.6,3.5,IF(G237&gt;=50*0.5,3,IF(G237&gt;=50*0.4,2,IF(G237&gt;=50*0.33,1,0))))))))</f>
        <v/>
      </c>
      <c r="Z237">
        <f>IF(B237="","",IF(H237&lt;33.0,0,IF(H237&gt;=100*0.8,5,IF(H237&gt;=100*0.7,4,IF(H237&gt;=100*0.6,3.5,IF(H237&gt;=100*0.5,3,IF(H237&gt;=100*0.4,2,IF(H237&gt;=100*0.33,1,0))))))))</f>
        <v/>
      </c>
      <c r="AA237">
        <f>IF(B237="","",IF(I237&lt;33.0,0,IF(I237&gt;=100*0.8,5,IF(I237&gt;=100*0.7,4,IF(I237&gt;=100*0.6,3.5,IF(I237&gt;=100*0.5,3,IF(I237&gt;=100*0.4,2,IF(I237&gt;=100*0.33,1,0))))))))</f>
        <v/>
      </c>
      <c r="AB237">
        <f>IF(B237="","",IF(J237&lt;33.0,0,IF(J237&gt;=100*0.8,5,IF(J237&gt;=100*0.7,4,IF(J237&gt;=100*0.6,3.5,IF(J237&gt;=100*0.5,3,IF(J237&gt;=100*0.4,2,IF(J237&gt;=100*0.33,1,0))))))))</f>
        <v/>
      </c>
      <c r="AC237">
        <f>IF(B237="","",IF(K237&lt;33.0,0,IF(K237&gt;=100*0.8,5,IF(K237&gt;=100*0.7,4,IF(K237&gt;=100*0.6,3.5,IF(K237&gt;=100*0.5,3,IF(K237&gt;=100*0.4,2,IF(K237&gt;=100*0.33,1,0))))))))</f>
        <v/>
      </c>
      <c r="AD237">
        <f>IF(B237="","",IF(L237&lt;33.0,0,IF(L237&gt;=100*0.8,5,IF(L237&gt;=100*0.7,4,IF(L237&gt;=100*0.6,3.5,IF(L237&gt;=100*0.5,3,IF(L237&gt;=100*0.4,2,IF(L237&gt;=100*0.33,1,0))))))))</f>
        <v/>
      </c>
      <c r="AE237">
        <f>IF(B237="","",IF(M237&lt;33.0,0,IF(M237&gt;=100*0.8,5,IF(M237&gt;=100*0.7,4,IF(M237&gt;=100*0.6,3.5,IF(M237&gt;=100*0.5,3,IF(M237&gt;=100*0.4,2,IF(M237&gt;=100*0.33,1,0))))))))</f>
        <v/>
      </c>
      <c r="AF237">
        <f>IF(B237="","",IF(N237&lt;16.5,0,IF(N237&gt;=50*0.8,5,IF(N237&gt;=50*0.7,4,IF(N237&gt;=50*0.6,3.5,IF(N237&gt;=50*0.5,3,IF(N237&gt;=50*0.4,2,IF(N237&gt;=50*0.33,1,0))))))))</f>
        <v/>
      </c>
      <c r="AG237">
        <f>IF(B237="","",IF(O237&lt;33.0,0,IF(O237&gt;=100*0.8,5,IF(O237&gt;=100*0.7,4,IF(O237&gt;=100*0.6,3.5,IF(O237&gt;=100*0.5,3,IF(O237&gt;=100*0.4,2,IF(O237&gt;=100*0.33,1,0))))))))</f>
        <v/>
      </c>
      <c r="AH237">
        <f>IF(B237="","",IF(OR(U237=0,V237=0,W237=0,X237=0,Y237=0,Z237=0,AA237=0,AB237=0,AC237=0,AD237=0,AE237=0,AF237=0,AG237=0),1,0))</f>
        <v/>
      </c>
    </row>
    <row r="238">
      <c r="A238" s="3">
        <f>IF(B238="","",ROW()-2)</f>
        <v/>
      </c>
      <c r="P238" s="4">
        <f>IF(B238="","",SUM(C238:O238))</f>
        <v/>
      </c>
      <c r="Q238" s="5">
        <f>IF(B238="","",ROUND(P238/13,2))</f>
        <v/>
      </c>
      <c r="R238" s="5">
        <f>IF(B238="","",IF(AH238=1,0,MIN(5,ROUND((U238+V238+W238+X238+Y238+Z238+AA238+AB238+AC238+AD238+AE238+AF238+AG238)/13,2))))</f>
        <v/>
      </c>
      <c r="S238" s="3">
        <f>IF(B238="","",IF(R238&gt;=5,"A+",IF(R238&gt;=4,"A",IF(R238&gt;=3.5,"A-",IF(R238&gt;=3,"B",IF(R238&gt;=2,"C",IF(R238&gt;=1,"D","F")))))))</f>
        <v/>
      </c>
      <c r="T238" s="3">
        <f>IF(OR(B238="",S238="F"),"",COUNTIFS(P:P,"&gt;"&amp;P238,S:S,"&lt;&gt;F")+1)</f>
        <v/>
      </c>
      <c r="U238">
        <f>IF(B238="","",IF(C238&lt;33.0,0,IF(C238&gt;=100*0.8,5,IF(C238&gt;=100*0.7,4,IF(C238&gt;=100*0.6,3.5,IF(C238&gt;=100*0.5,3,IF(C238&gt;=100*0.4,2,IF(C238&gt;=100*0.33,1,0))))))))</f>
        <v/>
      </c>
      <c r="V238">
        <f>IF(B238="","",IF(D238&lt;33.0,0,IF(D238&gt;=100*0.8,5,IF(D238&gt;=100*0.7,4,IF(D238&gt;=100*0.6,3.5,IF(D238&gt;=100*0.5,3,IF(D238&gt;=100*0.4,2,IF(D238&gt;=100*0.33,1,0))))))))</f>
        <v/>
      </c>
      <c r="W238">
        <f>IF(B238="","",IF(E238&lt;16.5,0,IF(E238&gt;=50*0.8,5,IF(E238&gt;=50*0.7,4,IF(E238&gt;=50*0.6,3.5,IF(E238&gt;=50*0.5,3,IF(E238&gt;=50*0.4,2,IF(E238&gt;=50*0.33,1,0))))))))</f>
        <v/>
      </c>
      <c r="X238">
        <f>IF(B238="","",IF(F238&lt;33.0,0,IF(F238&gt;=100*0.8,5,IF(F238&gt;=100*0.7,4,IF(F238&gt;=100*0.6,3.5,IF(F238&gt;=100*0.5,3,IF(F238&gt;=100*0.4,2,IF(F238&gt;=100*0.33,1,0))))))))</f>
        <v/>
      </c>
      <c r="Y238">
        <f>IF(B238="","",IF(G238&lt;16.5,0,IF(G238&gt;=50*0.8,5,IF(G238&gt;=50*0.7,4,IF(G238&gt;=50*0.6,3.5,IF(G238&gt;=50*0.5,3,IF(G238&gt;=50*0.4,2,IF(G238&gt;=50*0.33,1,0))))))))</f>
        <v/>
      </c>
      <c r="Z238">
        <f>IF(B238="","",IF(H238&lt;33.0,0,IF(H238&gt;=100*0.8,5,IF(H238&gt;=100*0.7,4,IF(H238&gt;=100*0.6,3.5,IF(H238&gt;=100*0.5,3,IF(H238&gt;=100*0.4,2,IF(H238&gt;=100*0.33,1,0))))))))</f>
        <v/>
      </c>
      <c r="AA238">
        <f>IF(B238="","",IF(I238&lt;33.0,0,IF(I238&gt;=100*0.8,5,IF(I238&gt;=100*0.7,4,IF(I238&gt;=100*0.6,3.5,IF(I238&gt;=100*0.5,3,IF(I238&gt;=100*0.4,2,IF(I238&gt;=100*0.33,1,0))))))))</f>
        <v/>
      </c>
      <c r="AB238">
        <f>IF(B238="","",IF(J238&lt;33.0,0,IF(J238&gt;=100*0.8,5,IF(J238&gt;=100*0.7,4,IF(J238&gt;=100*0.6,3.5,IF(J238&gt;=100*0.5,3,IF(J238&gt;=100*0.4,2,IF(J238&gt;=100*0.33,1,0))))))))</f>
        <v/>
      </c>
      <c r="AC238">
        <f>IF(B238="","",IF(K238&lt;33.0,0,IF(K238&gt;=100*0.8,5,IF(K238&gt;=100*0.7,4,IF(K238&gt;=100*0.6,3.5,IF(K238&gt;=100*0.5,3,IF(K238&gt;=100*0.4,2,IF(K238&gt;=100*0.33,1,0))))))))</f>
        <v/>
      </c>
      <c r="AD238">
        <f>IF(B238="","",IF(L238&lt;33.0,0,IF(L238&gt;=100*0.8,5,IF(L238&gt;=100*0.7,4,IF(L238&gt;=100*0.6,3.5,IF(L238&gt;=100*0.5,3,IF(L238&gt;=100*0.4,2,IF(L238&gt;=100*0.33,1,0))))))))</f>
        <v/>
      </c>
      <c r="AE238">
        <f>IF(B238="","",IF(M238&lt;33.0,0,IF(M238&gt;=100*0.8,5,IF(M238&gt;=100*0.7,4,IF(M238&gt;=100*0.6,3.5,IF(M238&gt;=100*0.5,3,IF(M238&gt;=100*0.4,2,IF(M238&gt;=100*0.33,1,0))))))))</f>
        <v/>
      </c>
      <c r="AF238">
        <f>IF(B238="","",IF(N238&lt;16.5,0,IF(N238&gt;=50*0.8,5,IF(N238&gt;=50*0.7,4,IF(N238&gt;=50*0.6,3.5,IF(N238&gt;=50*0.5,3,IF(N238&gt;=50*0.4,2,IF(N238&gt;=50*0.33,1,0))))))))</f>
        <v/>
      </c>
      <c r="AG238">
        <f>IF(B238="","",IF(O238&lt;33.0,0,IF(O238&gt;=100*0.8,5,IF(O238&gt;=100*0.7,4,IF(O238&gt;=100*0.6,3.5,IF(O238&gt;=100*0.5,3,IF(O238&gt;=100*0.4,2,IF(O238&gt;=100*0.33,1,0))))))))</f>
        <v/>
      </c>
      <c r="AH238">
        <f>IF(B238="","",IF(OR(U238=0,V238=0,W238=0,X238=0,Y238=0,Z238=0,AA238=0,AB238=0,AC238=0,AD238=0,AE238=0,AF238=0,AG238=0),1,0))</f>
        <v/>
      </c>
    </row>
    <row r="239">
      <c r="A239" s="3">
        <f>IF(B239="","",ROW()-2)</f>
        <v/>
      </c>
      <c r="P239" s="4">
        <f>IF(B239="","",SUM(C239:O239))</f>
        <v/>
      </c>
      <c r="Q239" s="5">
        <f>IF(B239="","",ROUND(P239/13,2))</f>
        <v/>
      </c>
      <c r="R239" s="5">
        <f>IF(B239="","",IF(AH239=1,0,MIN(5,ROUND((U239+V239+W239+X239+Y239+Z239+AA239+AB239+AC239+AD239+AE239+AF239+AG239)/13,2))))</f>
        <v/>
      </c>
      <c r="S239" s="3">
        <f>IF(B239="","",IF(R239&gt;=5,"A+",IF(R239&gt;=4,"A",IF(R239&gt;=3.5,"A-",IF(R239&gt;=3,"B",IF(R239&gt;=2,"C",IF(R239&gt;=1,"D","F")))))))</f>
        <v/>
      </c>
      <c r="T239" s="3">
        <f>IF(OR(B239="",S239="F"),"",COUNTIFS(P:P,"&gt;"&amp;P239,S:S,"&lt;&gt;F")+1)</f>
        <v/>
      </c>
      <c r="U239">
        <f>IF(B239="","",IF(C239&lt;33.0,0,IF(C239&gt;=100*0.8,5,IF(C239&gt;=100*0.7,4,IF(C239&gt;=100*0.6,3.5,IF(C239&gt;=100*0.5,3,IF(C239&gt;=100*0.4,2,IF(C239&gt;=100*0.33,1,0))))))))</f>
        <v/>
      </c>
      <c r="V239">
        <f>IF(B239="","",IF(D239&lt;33.0,0,IF(D239&gt;=100*0.8,5,IF(D239&gt;=100*0.7,4,IF(D239&gt;=100*0.6,3.5,IF(D239&gt;=100*0.5,3,IF(D239&gt;=100*0.4,2,IF(D239&gt;=100*0.33,1,0))))))))</f>
        <v/>
      </c>
      <c r="W239">
        <f>IF(B239="","",IF(E239&lt;16.5,0,IF(E239&gt;=50*0.8,5,IF(E239&gt;=50*0.7,4,IF(E239&gt;=50*0.6,3.5,IF(E239&gt;=50*0.5,3,IF(E239&gt;=50*0.4,2,IF(E239&gt;=50*0.33,1,0))))))))</f>
        <v/>
      </c>
      <c r="X239">
        <f>IF(B239="","",IF(F239&lt;33.0,0,IF(F239&gt;=100*0.8,5,IF(F239&gt;=100*0.7,4,IF(F239&gt;=100*0.6,3.5,IF(F239&gt;=100*0.5,3,IF(F239&gt;=100*0.4,2,IF(F239&gt;=100*0.33,1,0))))))))</f>
        <v/>
      </c>
      <c r="Y239">
        <f>IF(B239="","",IF(G239&lt;16.5,0,IF(G239&gt;=50*0.8,5,IF(G239&gt;=50*0.7,4,IF(G239&gt;=50*0.6,3.5,IF(G239&gt;=50*0.5,3,IF(G239&gt;=50*0.4,2,IF(G239&gt;=50*0.33,1,0))))))))</f>
        <v/>
      </c>
      <c r="Z239">
        <f>IF(B239="","",IF(H239&lt;33.0,0,IF(H239&gt;=100*0.8,5,IF(H239&gt;=100*0.7,4,IF(H239&gt;=100*0.6,3.5,IF(H239&gt;=100*0.5,3,IF(H239&gt;=100*0.4,2,IF(H239&gt;=100*0.33,1,0))))))))</f>
        <v/>
      </c>
      <c r="AA239">
        <f>IF(B239="","",IF(I239&lt;33.0,0,IF(I239&gt;=100*0.8,5,IF(I239&gt;=100*0.7,4,IF(I239&gt;=100*0.6,3.5,IF(I239&gt;=100*0.5,3,IF(I239&gt;=100*0.4,2,IF(I239&gt;=100*0.33,1,0))))))))</f>
        <v/>
      </c>
      <c r="AB239">
        <f>IF(B239="","",IF(J239&lt;33.0,0,IF(J239&gt;=100*0.8,5,IF(J239&gt;=100*0.7,4,IF(J239&gt;=100*0.6,3.5,IF(J239&gt;=100*0.5,3,IF(J239&gt;=100*0.4,2,IF(J239&gt;=100*0.33,1,0))))))))</f>
        <v/>
      </c>
      <c r="AC239">
        <f>IF(B239="","",IF(K239&lt;33.0,0,IF(K239&gt;=100*0.8,5,IF(K239&gt;=100*0.7,4,IF(K239&gt;=100*0.6,3.5,IF(K239&gt;=100*0.5,3,IF(K239&gt;=100*0.4,2,IF(K239&gt;=100*0.33,1,0))))))))</f>
        <v/>
      </c>
      <c r="AD239">
        <f>IF(B239="","",IF(L239&lt;33.0,0,IF(L239&gt;=100*0.8,5,IF(L239&gt;=100*0.7,4,IF(L239&gt;=100*0.6,3.5,IF(L239&gt;=100*0.5,3,IF(L239&gt;=100*0.4,2,IF(L239&gt;=100*0.33,1,0))))))))</f>
        <v/>
      </c>
      <c r="AE239">
        <f>IF(B239="","",IF(M239&lt;33.0,0,IF(M239&gt;=100*0.8,5,IF(M239&gt;=100*0.7,4,IF(M239&gt;=100*0.6,3.5,IF(M239&gt;=100*0.5,3,IF(M239&gt;=100*0.4,2,IF(M239&gt;=100*0.33,1,0))))))))</f>
        <v/>
      </c>
      <c r="AF239">
        <f>IF(B239="","",IF(N239&lt;16.5,0,IF(N239&gt;=50*0.8,5,IF(N239&gt;=50*0.7,4,IF(N239&gt;=50*0.6,3.5,IF(N239&gt;=50*0.5,3,IF(N239&gt;=50*0.4,2,IF(N239&gt;=50*0.33,1,0))))))))</f>
        <v/>
      </c>
      <c r="AG239">
        <f>IF(B239="","",IF(O239&lt;33.0,0,IF(O239&gt;=100*0.8,5,IF(O239&gt;=100*0.7,4,IF(O239&gt;=100*0.6,3.5,IF(O239&gt;=100*0.5,3,IF(O239&gt;=100*0.4,2,IF(O239&gt;=100*0.33,1,0))))))))</f>
        <v/>
      </c>
      <c r="AH239">
        <f>IF(B239="","",IF(OR(U239=0,V239=0,W239=0,X239=0,Y239=0,Z239=0,AA239=0,AB239=0,AC239=0,AD239=0,AE239=0,AF239=0,AG239=0),1,0))</f>
        <v/>
      </c>
    </row>
    <row r="240">
      <c r="A240" s="3">
        <f>IF(B240="","",ROW()-2)</f>
        <v/>
      </c>
      <c r="P240" s="4">
        <f>IF(B240="","",SUM(C240:O240))</f>
        <v/>
      </c>
      <c r="Q240" s="5">
        <f>IF(B240="","",ROUND(P240/13,2))</f>
        <v/>
      </c>
      <c r="R240" s="5">
        <f>IF(B240="","",IF(AH240=1,0,MIN(5,ROUND((U240+V240+W240+X240+Y240+Z240+AA240+AB240+AC240+AD240+AE240+AF240+AG240)/13,2))))</f>
        <v/>
      </c>
      <c r="S240" s="3">
        <f>IF(B240="","",IF(R240&gt;=5,"A+",IF(R240&gt;=4,"A",IF(R240&gt;=3.5,"A-",IF(R240&gt;=3,"B",IF(R240&gt;=2,"C",IF(R240&gt;=1,"D","F")))))))</f>
        <v/>
      </c>
      <c r="T240" s="3">
        <f>IF(OR(B240="",S240="F"),"",COUNTIFS(P:P,"&gt;"&amp;P240,S:S,"&lt;&gt;F")+1)</f>
        <v/>
      </c>
      <c r="U240">
        <f>IF(B240="","",IF(C240&lt;33.0,0,IF(C240&gt;=100*0.8,5,IF(C240&gt;=100*0.7,4,IF(C240&gt;=100*0.6,3.5,IF(C240&gt;=100*0.5,3,IF(C240&gt;=100*0.4,2,IF(C240&gt;=100*0.33,1,0))))))))</f>
        <v/>
      </c>
      <c r="V240">
        <f>IF(B240="","",IF(D240&lt;33.0,0,IF(D240&gt;=100*0.8,5,IF(D240&gt;=100*0.7,4,IF(D240&gt;=100*0.6,3.5,IF(D240&gt;=100*0.5,3,IF(D240&gt;=100*0.4,2,IF(D240&gt;=100*0.33,1,0))))))))</f>
        <v/>
      </c>
      <c r="W240">
        <f>IF(B240="","",IF(E240&lt;16.5,0,IF(E240&gt;=50*0.8,5,IF(E240&gt;=50*0.7,4,IF(E240&gt;=50*0.6,3.5,IF(E240&gt;=50*0.5,3,IF(E240&gt;=50*0.4,2,IF(E240&gt;=50*0.33,1,0))))))))</f>
        <v/>
      </c>
      <c r="X240">
        <f>IF(B240="","",IF(F240&lt;33.0,0,IF(F240&gt;=100*0.8,5,IF(F240&gt;=100*0.7,4,IF(F240&gt;=100*0.6,3.5,IF(F240&gt;=100*0.5,3,IF(F240&gt;=100*0.4,2,IF(F240&gt;=100*0.33,1,0))))))))</f>
        <v/>
      </c>
      <c r="Y240">
        <f>IF(B240="","",IF(G240&lt;16.5,0,IF(G240&gt;=50*0.8,5,IF(G240&gt;=50*0.7,4,IF(G240&gt;=50*0.6,3.5,IF(G240&gt;=50*0.5,3,IF(G240&gt;=50*0.4,2,IF(G240&gt;=50*0.33,1,0))))))))</f>
        <v/>
      </c>
      <c r="Z240">
        <f>IF(B240="","",IF(H240&lt;33.0,0,IF(H240&gt;=100*0.8,5,IF(H240&gt;=100*0.7,4,IF(H240&gt;=100*0.6,3.5,IF(H240&gt;=100*0.5,3,IF(H240&gt;=100*0.4,2,IF(H240&gt;=100*0.33,1,0))))))))</f>
        <v/>
      </c>
      <c r="AA240">
        <f>IF(B240="","",IF(I240&lt;33.0,0,IF(I240&gt;=100*0.8,5,IF(I240&gt;=100*0.7,4,IF(I240&gt;=100*0.6,3.5,IF(I240&gt;=100*0.5,3,IF(I240&gt;=100*0.4,2,IF(I240&gt;=100*0.33,1,0))))))))</f>
        <v/>
      </c>
      <c r="AB240">
        <f>IF(B240="","",IF(J240&lt;33.0,0,IF(J240&gt;=100*0.8,5,IF(J240&gt;=100*0.7,4,IF(J240&gt;=100*0.6,3.5,IF(J240&gt;=100*0.5,3,IF(J240&gt;=100*0.4,2,IF(J240&gt;=100*0.33,1,0))))))))</f>
        <v/>
      </c>
      <c r="AC240">
        <f>IF(B240="","",IF(K240&lt;33.0,0,IF(K240&gt;=100*0.8,5,IF(K240&gt;=100*0.7,4,IF(K240&gt;=100*0.6,3.5,IF(K240&gt;=100*0.5,3,IF(K240&gt;=100*0.4,2,IF(K240&gt;=100*0.33,1,0))))))))</f>
        <v/>
      </c>
      <c r="AD240">
        <f>IF(B240="","",IF(L240&lt;33.0,0,IF(L240&gt;=100*0.8,5,IF(L240&gt;=100*0.7,4,IF(L240&gt;=100*0.6,3.5,IF(L240&gt;=100*0.5,3,IF(L240&gt;=100*0.4,2,IF(L240&gt;=100*0.33,1,0))))))))</f>
        <v/>
      </c>
      <c r="AE240">
        <f>IF(B240="","",IF(M240&lt;33.0,0,IF(M240&gt;=100*0.8,5,IF(M240&gt;=100*0.7,4,IF(M240&gt;=100*0.6,3.5,IF(M240&gt;=100*0.5,3,IF(M240&gt;=100*0.4,2,IF(M240&gt;=100*0.33,1,0))))))))</f>
        <v/>
      </c>
      <c r="AF240">
        <f>IF(B240="","",IF(N240&lt;16.5,0,IF(N240&gt;=50*0.8,5,IF(N240&gt;=50*0.7,4,IF(N240&gt;=50*0.6,3.5,IF(N240&gt;=50*0.5,3,IF(N240&gt;=50*0.4,2,IF(N240&gt;=50*0.33,1,0))))))))</f>
        <v/>
      </c>
      <c r="AG240">
        <f>IF(B240="","",IF(O240&lt;33.0,0,IF(O240&gt;=100*0.8,5,IF(O240&gt;=100*0.7,4,IF(O240&gt;=100*0.6,3.5,IF(O240&gt;=100*0.5,3,IF(O240&gt;=100*0.4,2,IF(O240&gt;=100*0.33,1,0))))))))</f>
        <v/>
      </c>
      <c r="AH240">
        <f>IF(B240="","",IF(OR(U240=0,V240=0,W240=0,X240=0,Y240=0,Z240=0,AA240=0,AB240=0,AC240=0,AD240=0,AE240=0,AF240=0,AG240=0),1,0))</f>
        <v/>
      </c>
    </row>
    <row r="241">
      <c r="A241" s="3">
        <f>IF(B241="","",ROW()-2)</f>
        <v/>
      </c>
      <c r="P241" s="4">
        <f>IF(B241="","",SUM(C241:O241))</f>
        <v/>
      </c>
      <c r="Q241" s="5">
        <f>IF(B241="","",ROUND(P241/13,2))</f>
        <v/>
      </c>
      <c r="R241" s="5">
        <f>IF(B241="","",IF(AH241=1,0,MIN(5,ROUND((U241+V241+W241+X241+Y241+Z241+AA241+AB241+AC241+AD241+AE241+AF241+AG241)/13,2))))</f>
        <v/>
      </c>
      <c r="S241" s="3">
        <f>IF(B241="","",IF(R241&gt;=5,"A+",IF(R241&gt;=4,"A",IF(R241&gt;=3.5,"A-",IF(R241&gt;=3,"B",IF(R241&gt;=2,"C",IF(R241&gt;=1,"D","F")))))))</f>
        <v/>
      </c>
      <c r="T241" s="3">
        <f>IF(OR(B241="",S241="F"),"",COUNTIFS(P:P,"&gt;"&amp;P241,S:S,"&lt;&gt;F")+1)</f>
        <v/>
      </c>
      <c r="U241">
        <f>IF(B241="","",IF(C241&lt;33.0,0,IF(C241&gt;=100*0.8,5,IF(C241&gt;=100*0.7,4,IF(C241&gt;=100*0.6,3.5,IF(C241&gt;=100*0.5,3,IF(C241&gt;=100*0.4,2,IF(C241&gt;=100*0.33,1,0))))))))</f>
        <v/>
      </c>
      <c r="V241">
        <f>IF(B241="","",IF(D241&lt;33.0,0,IF(D241&gt;=100*0.8,5,IF(D241&gt;=100*0.7,4,IF(D241&gt;=100*0.6,3.5,IF(D241&gt;=100*0.5,3,IF(D241&gt;=100*0.4,2,IF(D241&gt;=100*0.33,1,0))))))))</f>
        <v/>
      </c>
      <c r="W241">
        <f>IF(B241="","",IF(E241&lt;16.5,0,IF(E241&gt;=50*0.8,5,IF(E241&gt;=50*0.7,4,IF(E241&gt;=50*0.6,3.5,IF(E241&gt;=50*0.5,3,IF(E241&gt;=50*0.4,2,IF(E241&gt;=50*0.33,1,0))))))))</f>
        <v/>
      </c>
      <c r="X241">
        <f>IF(B241="","",IF(F241&lt;33.0,0,IF(F241&gt;=100*0.8,5,IF(F241&gt;=100*0.7,4,IF(F241&gt;=100*0.6,3.5,IF(F241&gt;=100*0.5,3,IF(F241&gt;=100*0.4,2,IF(F241&gt;=100*0.33,1,0))))))))</f>
        <v/>
      </c>
      <c r="Y241">
        <f>IF(B241="","",IF(G241&lt;16.5,0,IF(G241&gt;=50*0.8,5,IF(G241&gt;=50*0.7,4,IF(G241&gt;=50*0.6,3.5,IF(G241&gt;=50*0.5,3,IF(G241&gt;=50*0.4,2,IF(G241&gt;=50*0.33,1,0))))))))</f>
        <v/>
      </c>
      <c r="Z241">
        <f>IF(B241="","",IF(H241&lt;33.0,0,IF(H241&gt;=100*0.8,5,IF(H241&gt;=100*0.7,4,IF(H241&gt;=100*0.6,3.5,IF(H241&gt;=100*0.5,3,IF(H241&gt;=100*0.4,2,IF(H241&gt;=100*0.33,1,0))))))))</f>
        <v/>
      </c>
      <c r="AA241">
        <f>IF(B241="","",IF(I241&lt;33.0,0,IF(I241&gt;=100*0.8,5,IF(I241&gt;=100*0.7,4,IF(I241&gt;=100*0.6,3.5,IF(I241&gt;=100*0.5,3,IF(I241&gt;=100*0.4,2,IF(I241&gt;=100*0.33,1,0))))))))</f>
        <v/>
      </c>
      <c r="AB241">
        <f>IF(B241="","",IF(J241&lt;33.0,0,IF(J241&gt;=100*0.8,5,IF(J241&gt;=100*0.7,4,IF(J241&gt;=100*0.6,3.5,IF(J241&gt;=100*0.5,3,IF(J241&gt;=100*0.4,2,IF(J241&gt;=100*0.33,1,0))))))))</f>
        <v/>
      </c>
      <c r="AC241">
        <f>IF(B241="","",IF(K241&lt;33.0,0,IF(K241&gt;=100*0.8,5,IF(K241&gt;=100*0.7,4,IF(K241&gt;=100*0.6,3.5,IF(K241&gt;=100*0.5,3,IF(K241&gt;=100*0.4,2,IF(K241&gt;=100*0.33,1,0))))))))</f>
        <v/>
      </c>
      <c r="AD241">
        <f>IF(B241="","",IF(L241&lt;33.0,0,IF(L241&gt;=100*0.8,5,IF(L241&gt;=100*0.7,4,IF(L241&gt;=100*0.6,3.5,IF(L241&gt;=100*0.5,3,IF(L241&gt;=100*0.4,2,IF(L241&gt;=100*0.33,1,0))))))))</f>
        <v/>
      </c>
      <c r="AE241">
        <f>IF(B241="","",IF(M241&lt;33.0,0,IF(M241&gt;=100*0.8,5,IF(M241&gt;=100*0.7,4,IF(M241&gt;=100*0.6,3.5,IF(M241&gt;=100*0.5,3,IF(M241&gt;=100*0.4,2,IF(M241&gt;=100*0.33,1,0))))))))</f>
        <v/>
      </c>
      <c r="AF241">
        <f>IF(B241="","",IF(N241&lt;16.5,0,IF(N241&gt;=50*0.8,5,IF(N241&gt;=50*0.7,4,IF(N241&gt;=50*0.6,3.5,IF(N241&gt;=50*0.5,3,IF(N241&gt;=50*0.4,2,IF(N241&gt;=50*0.33,1,0))))))))</f>
        <v/>
      </c>
      <c r="AG241">
        <f>IF(B241="","",IF(O241&lt;33.0,0,IF(O241&gt;=100*0.8,5,IF(O241&gt;=100*0.7,4,IF(O241&gt;=100*0.6,3.5,IF(O241&gt;=100*0.5,3,IF(O241&gt;=100*0.4,2,IF(O241&gt;=100*0.33,1,0))))))))</f>
        <v/>
      </c>
      <c r="AH241">
        <f>IF(B241="","",IF(OR(U241=0,V241=0,W241=0,X241=0,Y241=0,Z241=0,AA241=0,AB241=0,AC241=0,AD241=0,AE241=0,AF241=0,AG241=0),1,0))</f>
        <v/>
      </c>
    </row>
    <row r="242">
      <c r="A242" s="3">
        <f>IF(B242="","",ROW()-2)</f>
        <v/>
      </c>
      <c r="P242" s="4">
        <f>IF(B242="","",SUM(C242:O242))</f>
        <v/>
      </c>
      <c r="Q242" s="5">
        <f>IF(B242="","",ROUND(P242/13,2))</f>
        <v/>
      </c>
      <c r="R242" s="5">
        <f>IF(B242="","",IF(AH242=1,0,MIN(5,ROUND((U242+V242+W242+X242+Y242+Z242+AA242+AB242+AC242+AD242+AE242+AF242+AG242)/13,2))))</f>
        <v/>
      </c>
      <c r="S242" s="3">
        <f>IF(B242="","",IF(R242&gt;=5,"A+",IF(R242&gt;=4,"A",IF(R242&gt;=3.5,"A-",IF(R242&gt;=3,"B",IF(R242&gt;=2,"C",IF(R242&gt;=1,"D","F")))))))</f>
        <v/>
      </c>
      <c r="T242" s="3">
        <f>IF(OR(B242="",S242="F"),"",COUNTIFS(P:P,"&gt;"&amp;P242,S:S,"&lt;&gt;F")+1)</f>
        <v/>
      </c>
      <c r="U242">
        <f>IF(B242="","",IF(C242&lt;33.0,0,IF(C242&gt;=100*0.8,5,IF(C242&gt;=100*0.7,4,IF(C242&gt;=100*0.6,3.5,IF(C242&gt;=100*0.5,3,IF(C242&gt;=100*0.4,2,IF(C242&gt;=100*0.33,1,0))))))))</f>
        <v/>
      </c>
      <c r="V242">
        <f>IF(B242="","",IF(D242&lt;33.0,0,IF(D242&gt;=100*0.8,5,IF(D242&gt;=100*0.7,4,IF(D242&gt;=100*0.6,3.5,IF(D242&gt;=100*0.5,3,IF(D242&gt;=100*0.4,2,IF(D242&gt;=100*0.33,1,0))))))))</f>
        <v/>
      </c>
      <c r="W242">
        <f>IF(B242="","",IF(E242&lt;16.5,0,IF(E242&gt;=50*0.8,5,IF(E242&gt;=50*0.7,4,IF(E242&gt;=50*0.6,3.5,IF(E242&gt;=50*0.5,3,IF(E242&gt;=50*0.4,2,IF(E242&gt;=50*0.33,1,0))))))))</f>
        <v/>
      </c>
      <c r="X242">
        <f>IF(B242="","",IF(F242&lt;33.0,0,IF(F242&gt;=100*0.8,5,IF(F242&gt;=100*0.7,4,IF(F242&gt;=100*0.6,3.5,IF(F242&gt;=100*0.5,3,IF(F242&gt;=100*0.4,2,IF(F242&gt;=100*0.33,1,0))))))))</f>
        <v/>
      </c>
      <c r="Y242">
        <f>IF(B242="","",IF(G242&lt;16.5,0,IF(G242&gt;=50*0.8,5,IF(G242&gt;=50*0.7,4,IF(G242&gt;=50*0.6,3.5,IF(G242&gt;=50*0.5,3,IF(G242&gt;=50*0.4,2,IF(G242&gt;=50*0.33,1,0))))))))</f>
        <v/>
      </c>
      <c r="Z242">
        <f>IF(B242="","",IF(H242&lt;33.0,0,IF(H242&gt;=100*0.8,5,IF(H242&gt;=100*0.7,4,IF(H242&gt;=100*0.6,3.5,IF(H242&gt;=100*0.5,3,IF(H242&gt;=100*0.4,2,IF(H242&gt;=100*0.33,1,0))))))))</f>
        <v/>
      </c>
      <c r="AA242">
        <f>IF(B242="","",IF(I242&lt;33.0,0,IF(I242&gt;=100*0.8,5,IF(I242&gt;=100*0.7,4,IF(I242&gt;=100*0.6,3.5,IF(I242&gt;=100*0.5,3,IF(I242&gt;=100*0.4,2,IF(I242&gt;=100*0.33,1,0))))))))</f>
        <v/>
      </c>
      <c r="AB242">
        <f>IF(B242="","",IF(J242&lt;33.0,0,IF(J242&gt;=100*0.8,5,IF(J242&gt;=100*0.7,4,IF(J242&gt;=100*0.6,3.5,IF(J242&gt;=100*0.5,3,IF(J242&gt;=100*0.4,2,IF(J242&gt;=100*0.33,1,0))))))))</f>
        <v/>
      </c>
      <c r="AC242">
        <f>IF(B242="","",IF(K242&lt;33.0,0,IF(K242&gt;=100*0.8,5,IF(K242&gt;=100*0.7,4,IF(K242&gt;=100*0.6,3.5,IF(K242&gt;=100*0.5,3,IF(K242&gt;=100*0.4,2,IF(K242&gt;=100*0.33,1,0))))))))</f>
        <v/>
      </c>
      <c r="AD242">
        <f>IF(B242="","",IF(L242&lt;33.0,0,IF(L242&gt;=100*0.8,5,IF(L242&gt;=100*0.7,4,IF(L242&gt;=100*0.6,3.5,IF(L242&gt;=100*0.5,3,IF(L242&gt;=100*0.4,2,IF(L242&gt;=100*0.33,1,0))))))))</f>
        <v/>
      </c>
      <c r="AE242">
        <f>IF(B242="","",IF(M242&lt;33.0,0,IF(M242&gt;=100*0.8,5,IF(M242&gt;=100*0.7,4,IF(M242&gt;=100*0.6,3.5,IF(M242&gt;=100*0.5,3,IF(M242&gt;=100*0.4,2,IF(M242&gt;=100*0.33,1,0))))))))</f>
        <v/>
      </c>
      <c r="AF242">
        <f>IF(B242="","",IF(N242&lt;16.5,0,IF(N242&gt;=50*0.8,5,IF(N242&gt;=50*0.7,4,IF(N242&gt;=50*0.6,3.5,IF(N242&gt;=50*0.5,3,IF(N242&gt;=50*0.4,2,IF(N242&gt;=50*0.33,1,0))))))))</f>
        <v/>
      </c>
      <c r="AG242">
        <f>IF(B242="","",IF(O242&lt;33.0,0,IF(O242&gt;=100*0.8,5,IF(O242&gt;=100*0.7,4,IF(O242&gt;=100*0.6,3.5,IF(O242&gt;=100*0.5,3,IF(O242&gt;=100*0.4,2,IF(O242&gt;=100*0.33,1,0))))))))</f>
        <v/>
      </c>
      <c r="AH242">
        <f>IF(B242="","",IF(OR(U242=0,V242=0,W242=0,X242=0,Y242=0,Z242=0,AA242=0,AB242=0,AC242=0,AD242=0,AE242=0,AF242=0,AG242=0),1,0))</f>
        <v/>
      </c>
    </row>
    <row r="243">
      <c r="A243" s="3">
        <f>IF(B243="","",ROW()-2)</f>
        <v/>
      </c>
      <c r="P243" s="4">
        <f>IF(B243="","",SUM(C243:O243))</f>
        <v/>
      </c>
      <c r="Q243" s="5">
        <f>IF(B243="","",ROUND(P243/13,2))</f>
        <v/>
      </c>
      <c r="R243" s="5">
        <f>IF(B243="","",IF(AH243=1,0,MIN(5,ROUND((U243+V243+W243+X243+Y243+Z243+AA243+AB243+AC243+AD243+AE243+AF243+AG243)/13,2))))</f>
        <v/>
      </c>
      <c r="S243" s="3">
        <f>IF(B243="","",IF(R243&gt;=5,"A+",IF(R243&gt;=4,"A",IF(R243&gt;=3.5,"A-",IF(R243&gt;=3,"B",IF(R243&gt;=2,"C",IF(R243&gt;=1,"D","F")))))))</f>
        <v/>
      </c>
      <c r="T243" s="3">
        <f>IF(OR(B243="",S243="F"),"",COUNTIFS(P:P,"&gt;"&amp;P243,S:S,"&lt;&gt;F")+1)</f>
        <v/>
      </c>
      <c r="U243">
        <f>IF(B243="","",IF(C243&lt;33.0,0,IF(C243&gt;=100*0.8,5,IF(C243&gt;=100*0.7,4,IF(C243&gt;=100*0.6,3.5,IF(C243&gt;=100*0.5,3,IF(C243&gt;=100*0.4,2,IF(C243&gt;=100*0.33,1,0))))))))</f>
        <v/>
      </c>
      <c r="V243">
        <f>IF(B243="","",IF(D243&lt;33.0,0,IF(D243&gt;=100*0.8,5,IF(D243&gt;=100*0.7,4,IF(D243&gt;=100*0.6,3.5,IF(D243&gt;=100*0.5,3,IF(D243&gt;=100*0.4,2,IF(D243&gt;=100*0.33,1,0))))))))</f>
        <v/>
      </c>
      <c r="W243">
        <f>IF(B243="","",IF(E243&lt;16.5,0,IF(E243&gt;=50*0.8,5,IF(E243&gt;=50*0.7,4,IF(E243&gt;=50*0.6,3.5,IF(E243&gt;=50*0.5,3,IF(E243&gt;=50*0.4,2,IF(E243&gt;=50*0.33,1,0))))))))</f>
        <v/>
      </c>
      <c r="X243">
        <f>IF(B243="","",IF(F243&lt;33.0,0,IF(F243&gt;=100*0.8,5,IF(F243&gt;=100*0.7,4,IF(F243&gt;=100*0.6,3.5,IF(F243&gt;=100*0.5,3,IF(F243&gt;=100*0.4,2,IF(F243&gt;=100*0.33,1,0))))))))</f>
        <v/>
      </c>
      <c r="Y243">
        <f>IF(B243="","",IF(G243&lt;16.5,0,IF(G243&gt;=50*0.8,5,IF(G243&gt;=50*0.7,4,IF(G243&gt;=50*0.6,3.5,IF(G243&gt;=50*0.5,3,IF(G243&gt;=50*0.4,2,IF(G243&gt;=50*0.33,1,0))))))))</f>
        <v/>
      </c>
      <c r="Z243">
        <f>IF(B243="","",IF(H243&lt;33.0,0,IF(H243&gt;=100*0.8,5,IF(H243&gt;=100*0.7,4,IF(H243&gt;=100*0.6,3.5,IF(H243&gt;=100*0.5,3,IF(H243&gt;=100*0.4,2,IF(H243&gt;=100*0.33,1,0))))))))</f>
        <v/>
      </c>
      <c r="AA243">
        <f>IF(B243="","",IF(I243&lt;33.0,0,IF(I243&gt;=100*0.8,5,IF(I243&gt;=100*0.7,4,IF(I243&gt;=100*0.6,3.5,IF(I243&gt;=100*0.5,3,IF(I243&gt;=100*0.4,2,IF(I243&gt;=100*0.33,1,0))))))))</f>
        <v/>
      </c>
      <c r="AB243">
        <f>IF(B243="","",IF(J243&lt;33.0,0,IF(J243&gt;=100*0.8,5,IF(J243&gt;=100*0.7,4,IF(J243&gt;=100*0.6,3.5,IF(J243&gt;=100*0.5,3,IF(J243&gt;=100*0.4,2,IF(J243&gt;=100*0.33,1,0))))))))</f>
        <v/>
      </c>
      <c r="AC243">
        <f>IF(B243="","",IF(K243&lt;33.0,0,IF(K243&gt;=100*0.8,5,IF(K243&gt;=100*0.7,4,IF(K243&gt;=100*0.6,3.5,IF(K243&gt;=100*0.5,3,IF(K243&gt;=100*0.4,2,IF(K243&gt;=100*0.33,1,0))))))))</f>
        <v/>
      </c>
      <c r="AD243">
        <f>IF(B243="","",IF(L243&lt;33.0,0,IF(L243&gt;=100*0.8,5,IF(L243&gt;=100*0.7,4,IF(L243&gt;=100*0.6,3.5,IF(L243&gt;=100*0.5,3,IF(L243&gt;=100*0.4,2,IF(L243&gt;=100*0.33,1,0))))))))</f>
        <v/>
      </c>
      <c r="AE243">
        <f>IF(B243="","",IF(M243&lt;33.0,0,IF(M243&gt;=100*0.8,5,IF(M243&gt;=100*0.7,4,IF(M243&gt;=100*0.6,3.5,IF(M243&gt;=100*0.5,3,IF(M243&gt;=100*0.4,2,IF(M243&gt;=100*0.33,1,0))))))))</f>
        <v/>
      </c>
      <c r="AF243">
        <f>IF(B243="","",IF(N243&lt;16.5,0,IF(N243&gt;=50*0.8,5,IF(N243&gt;=50*0.7,4,IF(N243&gt;=50*0.6,3.5,IF(N243&gt;=50*0.5,3,IF(N243&gt;=50*0.4,2,IF(N243&gt;=50*0.33,1,0))))))))</f>
        <v/>
      </c>
      <c r="AG243">
        <f>IF(B243="","",IF(O243&lt;33.0,0,IF(O243&gt;=100*0.8,5,IF(O243&gt;=100*0.7,4,IF(O243&gt;=100*0.6,3.5,IF(O243&gt;=100*0.5,3,IF(O243&gt;=100*0.4,2,IF(O243&gt;=100*0.33,1,0))))))))</f>
        <v/>
      </c>
      <c r="AH243">
        <f>IF(B243="","",IF(OR(U243=0,V243=0,W243=0,X243=0,Y243=0,Z243=0,AA243=0,AB243=0,AC243=0,AD243=0,AE243=0,AF243=0,AG243=0),1,0))</f>
        <v/>
      </c>
    </row>
    <row r="244">
      <c r="A244" s="3">
        <f>IF(B244="","",ROW()-2)</f>
        <v/>
      </c>
      <c r="P244" s="4">
        <f>IF(B244="","",SUM(C244:O244))</f>
        <v/>
      </c>
      <c r="Q244" s="5">
        <f>IF(B244="","",ROUND(P244/13,2))</f>
        <v/>
      </c>
      <c r="R244" s="5">
        <f>IF(B244="","",IF(AH244=1,0,MIN(5,ROUND((U244+V244+W244+X244+Y244+Z244+AA244+AB244+AC244+AD244+AE244+AF244+AG244)/13,2))))</f>
        <v/>
      </c>
      <c r="S244" s="3">
        <f>IF(B244="","",IF(R244&gt;=5,"A+",IF(R244&gt;=4,"A",IF(R244&gt;=3.5,"A-",IF(R244&gt;=3,"B",IF(R244&gt;=2,"C",IF(R244&gt;=1,"D","F")))))))</f>
        <v/>
      </c>
      <c r="T244" s="3">
        <f>IF(OR(B244="",S244="F"),"",COUNTIFS(P:P,"&gt;"&amp;P244,S:S,"&lt;&gt;F")+1)</f>
        <v/>
      </c>
      <c r="U244">
        <f>IF(B244="","",IF(C244&lt;33.0,0,IF(C244&gt;=100*0.8,5,IF(C244&gt;=100*0.7,4,IF(C244&gt;=100*0.6,3.5,IF(C244&gt;=100*0.5,3,IF(C244&gt;=100*0.4,2,IF(C244&gt;=100*0.33,1,0))))))))</f>
        <v/>
      </c>
      <c r="V244">
        <f>IF(B244="","",IF(D244&lt;33.0,0,IF(D244&gt;=100*0.8,5,IF(D244&gt;=100*0.7,4,IF(D244&gt;=100*0.6,3.5,IF(D244&gt;=100*0.5,3,IF(D244&gt;=100*0.4,2,IF(D244&gt;=100*0.33,1,0))))))))</f>
        <v/>
      </c>
      <c r="W244">
        <f>IF(B244="","",IF(E244&lt;16.5,0,IF(E244&gt;=50*0.8,5,IF(E244&gt;=50*0.7,4,IF(E244&gt;=50*0.6,3.5,IF(E244&gt;=50*0.5,3,IF(E244&gt;=50*0.4,2,IF(E244&gt;=50*0.33,1,0))))))))</f>
        <v/>
      </c>
      <c r="X244">
        <f>IF(B244="","",IF(F244&lt;33.0,0,IF(F244&gt;=100*0.8,5,IF(F244&gt;=100*0.7,4,IF(F244&gt;=100*0.6,3.5,IF(F244&gt;=100*0.5,3,IF(F244&gt;=100*0.4,2,IF(F244&gt;=100*0.33,1,0))))))))</f>
        <v/>
      </c>
      <c r="Y244">
        <f>IF(B244="","",IF(G244&lt;16.5,0,IF(G244&gt;=50*0.8,5,IF(G244&gt;=50*0.7,4,IF(G244&gt;=50*0.6,3.5,IF(G244&gt;=50*0.5,3,IF(G244&gt;=50*0.4,2,IF(G244&gt;=50*0.33,1,0))))))))</f>
        <v/>
      </c>
      <c r="Z244">
        <f>IF(B244="","",IF(H244&lt;33.0,0,IF(H244&gt;=100*0.8,5,IF(H244&gt;=100*0.7,4,IF(H244&gt;=100*0.6,3.5,IF(H244&gt;=100*0.5,3,IF(H244&gt;=100*0.4,2,IF(H244&gt;=100*0.33,1,0))))))))</f>
        <v/>
      </c>
      <c r="AA244">
        <f>IF(B244="","",IF(I244&lt;33.0,0,IF(I244&gt;=100*0.8,5,IF(I244&gt;=100*0.7,4,IF(I244&gt;=100*0.6,3.5,IF(I244&gt;=100*0.5,3,IF(I244&gt;=100*0.4,2,IF(I244&gt;=100*0.33,1,0))))))))</f>
        <v/>
      </c>
      <c r="AB244">
        <f>IF(B244="","",IF(J244&lt;33.0,0,IF(J244&gt;=100*0.8,5,IF(J244&gt;=100*0.7,4,IF(J244&gt;=100*0.6,3.5,IF(J244&gt;=100*0.5,3,IF(J244&gt;=100*0.4,2,IF(J244&gt;=100*0.33,1,0))))))))</f>
        <v/>
      </c>
      <c r="AC244">
        <f>IF(B244="","",IF(K244&lt;33.0,0,IF(K244&gt;=100*0.8,5,IF(K244&gt;=100*0.7,4,IF(K244&gt;=100*0.6,3.5,IF(K244&gt;=100*0.5,3,IF(K244&gt;=100*0.4,2,IF(K244&gt;=100*0.33,1,0))))))))</f>
        <v/>
      </c>
      <c r="AD244">
        <f>IF(B244="","",IF(L244&lt;33.0,0,IF(L244&gt;=100*0.8,5,IF(L244&gt;=100*0.7,4,IF(L244&gt;=100*0.6,3.5,IF(L244&gt;=100*0.5,3,IF(L244&gt;=100*0.4,2,IF(L244&gt;=100*0.33,1,0))))))))</f>
        <v/>
      </c>
      <c r="AE244">
        <f>IF(B244="","",IF(M244&lt;33.0,0,IF(M244&gt;=100*0.8,5,IF(M244&gt;=100*0.7,4,IF(M244&gt;=100*0.6,3.5,IF(M244&gt;=100*0.5,3,IF(M244&gt;=100*0.4,2,IF(M244&gt;=100*0.33,1,0))))))))</f>
        <v/>
      </c>
      <c r="AF244">
        <f>IF(B244="","",IF(N244&lt;16.5,0,IF(N244&gt;=50*0.8,5,IF(N244&gt;=50*0.7,4,IF(N244&gt;=50*0.6,3.5,IF(N244&gt;=50*0.5,3,IF(N244&gt;=50*0.4,2,IF(N244&gt;=50*0.33,1,0))))))))</f>
        <v/>
      </c>
      <c r="AG244">
        <f>IF(B244="","",IF(O244&lt;33.0,0,IF(O244&gt;=100*0.8,5,IF(O244&gt;=100*0.7,4,IF(O244&gt;=100*0.6,3.5,IF(O244&gt;=100*0.5,3,IF(O244&gt;=100*0.4,2,IF(O244&gt;=100*0.33,1,0))))))))</f>
        <v/>
      </c>
      <c r="AH244">
        <f>IF(B244="","",IF(OR(U244=0,V244=0,W244=0,X244=0,Y244=0,Z244=0,AA244=0,AB244=0,AC244=0,AD244=0,AE244=0,AF244=0,AG244=0),1,0))</f>
        <v/>
      </c>
    </row>
    <row r="245">
      <c r="A245" s="3">
        <f>IF(B245="","",ROW()-2)</f>
        <v/>
      </c>
      <c r="P245" s="4">
        <f>IF(B245="","",SUM(C245:O245))</f>
        <v/>
      </c>
      <c r="Q245" s="5">
        <f>IF(B245="","",ROUND(P245/13,2))</f>
        <v/>
      </c>
      <c r="R245" s="5">
        <f>IF(B245="","",IF(AH245=1,0,MIN(5,ROUND((U245+V245+W245+X245+Y245+Z245+AA245+AB245+AC245+AD245+AE245+AF245+AG245)/13,2))))</f>
        <v/>
      </c>
      <c r="S245" s="3">
        <f>IF(B245="","",IF(R245&gt;=5,"A+",IF(R245&gt;=4,"A",IF(R245&gt;=3.5,"A-",IF(R245&gt;=3,"B",IF(R245&gt;=2,"C",IF(R245&gt;=1,"D","F")))))))</f>
        <v/>
      </c>
      <c r="T245" s="3">
        <f>IF(OR(B245="",S245="F"),"",COUNTIFS(P:P,"&gt;"&amp;P245,S:S,"&lt;&gt;F")+1)</f>
        <v/>
      </c>
      <c r="U245">
        <f>IF(B245="","",IF(C245&lt;33.0,0,IF(C245&gt;=100*0.8,5,IF(C245&gt;=100*0.7,4,IF(C245&gt;=100*0.6,3.5,IF(C245&gt;=100*0.5,3,IF(C245&gt;=100*0.4,2,IF(C245&gt;=100*0.33,1,0))))))))</f>
        <v/>
      </c>
      <c r="V245">
        <f>IF(B245="","",IF(D245&lt;33.0,0,IF(D245&gt;=100*0.8,5,IF(D245&gt;=100*0.7,4,IF(D245&gt;=100*0.6,3.5,IF(D245&gt;=100*0.5,3,IF(D245&gt;=100*0.4,2,IF(D245&gt;=100*0.33,1,0))))))))</f>
        <v/>
      </c>
      <c r="W245">
        <f>IF(B245="","",IF(E245&lt;16.5,0,IF(E245&gt;=50*0.8,5,IF(E245&gt;=50*0.7,4,IF(E245&gt;=50*0.6,3.5,IF(E245&gt;=50*0.5,3,IF(E245&gt;=50*0.4,2,IF(E245&gt;=50*0.33,1,0))))))))</f>
        <v/>
      </c>
      <c r="X245">
        <f>IF(B245="","",IF(F245&lt;33.0,0,IF(F245&gt;=100*0.8,5,IF(F245&gt;=100*0.7,4,IF(F245&gt;=100*0.6,3.5,IF(F245&gt;=100*0.5,3,IF(F245&gt;=100*0.4,2,IF(F245&gt;=100*0.33,1,0))))))))</f>
        <v/>
      </c>
      <c r="Y245">
        <f>IF(B245="","",IF(G245&lt;16.5,0,IF(G245&gt;=50*0.8,5,IF(G245&gt;=50*0.7,4,IF(G245&gt;=50*0.6,3.5,IF(G245&gt;=50*0.5,3,IF(G245&gt;=50*0.4,2,IF(G245&gt;=50*0.33,1,0))))))))</f>
        <v/>
      </c>
      <c r="Z245">
        <f>IF(B245="","",IF(H245&lt;33.0,0,IF(H245&gt;=100*0.8,5,IF(H245&gt;=100*0.7,4,IF(H245&gt;=100*0.6,3.5,IF(H245&gt;=100*0.5,3,IF(H245&gt;=100*0.4,2,IF(H245&gt;=100*0.33,1,0))))))))</f>
        <v/>
      </c>
      <c r="AA245">
        <f>IF(B245="","",IF(I245&lt;33.0,0,IF(I245&gt;=100*0.8,5,IF(I245&gt;=100*0.7,4,IF(I245&gt;=100*0.6,3.5,IF(I245&gt;=100*0.5,3,IF(I245&gt;=100*0.4,2,IF(I245&gt;=100*0.33,1,0))))))))</f>
        <v/>
      </c>
      <c r="AB245">
        <f>IF(B245="","",IF(J245&lt;33.0,0,IF(J245&gt;=100*0.8,5,IF(J245&gt;=100*0.7,4,IF(J245&gt;=100*0.6,3.5,IF(J245&gt;=100*0.5,3,IF(J245&gt;=100*0.4,2,IF(J245&gt;=100*0.33,1,0))))))))</f>
        <v/>
      </c>
      <c r="AC245">
        <f>IF(B245="","",IF(K245&lt;33.0,0,IF(K245&gt;=100*0.8,5,IF(K245&gt;=100*0.7,4,IF(K245&gt;=100*0.6,3.5,IF(K245&gt;=100*0.5,3,IF(K245&gt;=100*0.4,2,IF(K245&gt;=100*0.33,1,0))))))))</f>
        <v/>
      </c>
      <c r="AD245">
        <f>IF(B245="","",IF(L245&lt;33.0,0,IF(L245&gt;=100*0.8,5,IF(L245&gt;=100*0.7,4,IF(L245&gt;=100*0.6,3.5,IF(L245&gt;=100*0.5,3,IF(L245&gt;=100*0.4,2,IF(L245&gt;=100*0.33,1,0))))))))</f>
        <v/>
      </c>
      <c r="AE245">
        <f>IF(B245="","",IF(M245&lt;33.0,0,IF(M245&gt;=100*0.8,5,IF(M245&gt;=100*0.7,4,IF(M245&gt;=100*0.6,3.5,IF(M245&gt;=100*0.5,3,IF(M245&gt;=100*0.4,2,IF(M245&gt;=100*0.33,1,0))))))))</f>
        <v/>
      </c>
      <c r="AF245">
        <f>IF(B245="","",IF(N245&lt;16.5,0,IF(N245&gt;=50*0.8,5,IF(N245&gt;=50*0.7,4,IF(N245&gt;=50*0.6,3.5,IF(N245&gt;=50*0.5,3,IF(N245&gt;=50*0.4,2,IF(N245&gt;=50*0.33,1,0))))))))</f>
        <v/>
      </c>
      <c r="AG245">
        <f>IF(B245="","",IF(O245&lt;33.0,0,IF(O245&gt;=100*0.8,5,IF(O245&gt;=100*0.7,4,IF(O245&gt;=100*0.6,3.5,IF(O245&gt;=100*0.5,3,IF(O245&gt;=100*0.4,2,IF(O245&gt;=100*0.33,1,0))))))))</f>
        <v/>
      </c>
      <c r="AH245">
        <f>IF(B245="","",IF(OR(U245=0,V245=0,W245=0,X245=0,Y245=0,Z245=0,AA245=0,AB245=0,AC245=0,AD245=0,AE245=0,AF245=0,AG245=0),1,0))</f>
        <v/>
      </c>
    </row>
    <row r="246">
      <c r="A246" s="3">
        <f>IF(B246="","",ROW()-2)</f>
        <v/>
      </c>
      <c r="P246" s="4">
        <f>IF(B246="","",SUM(C246:O246))</f>
        <v/>
      </c>
      <c r="Q246" s="5">
        <f>IF(B246="","",ROUND(P246/13,2))</f>
        <v/>
      </c>
      <c r="R246" s="5">
        <f>IF(B246="","",IF(AH246=1,0,MIN(5,ROUND((U246+V246+W246+X246+Y246+Z246+AA246+AB246+AC246+AD246+AE246+AF246+AG246)/13,2))))</f>
        <v/>
      </c>
      <c r="S246" s="3">
        <f>IF(B246="","",IF(R246&gt;=5,"A+",IF(R246&gt;=4,"A",IF(R246&gt;=3.5,"A-",IF(R246&gt;=3,"B",IF(R246&gt;=2,"C",IF(R246&gt;=1,"D","F")))))))</f>
        <v/>
      </c>
      <c r="T246" s="3">
        <f>IF(OR(B246="",S246="F"),"",COUNTIFS(P:P,"&gt;"&amp;P246,S:S,"&lt;&gt;F")+1)</f>
        <v/>
      </c>
      <c r="U246">
        <f>IF(B246="","",IF(C246&lt;33.0,0,IF(C246&gt;=100*0.8,5,IF(C246&gt;=100*0.7,4,IF(C246&gt;=100*0.6,3.5,IF(C246&gt;=100*0.5,3,IF(C246&gt;=100*0.4,2,IF(C246&gt;=100*0.33,1,0))))))))</f>
        <v/>
      </c>
      <c r="V246">
        <f>IF(B246="","",IF(D246&lt;33.0,0,IF(D246&gt;=100*0.8,5,IF(D246&gt;=100*0.7,4,IF(D246&gt;=100*0.6,3.5,IF(D246&gt;=100*0.5,3,IF(D246&gt;=100*0.4,2,IF(D246&gt;=100*0.33,1,0))))))))</f>
        <v/>
      </c>
      <c r="W246">
        <f>IF(B246="","",IF(E246&lt;16.5,0,IF(E246&gt;=50*0.8,5,IF(E246&gt;=50*0.7,4,IF(E246&gt;=50*0.6,3.5,IF(E246&gt;=50*0.5,3,IF(E246&gt;=50*0.4,2,IF(E246&gt;=50*0.33,1,0))))))))</f>
        <v/>
      </c>
      <c r="X246">
        <f>IF(B246="","",IF(F246&lt;33.0,0,IF(F246&gt;=100*0.8,5,IF(F246&gt;=100*0.7,4,IF(F246&gt;=100*0.6,3.5,IF(F246&gt;=100*0.5,3,IF(F246&gt;=100*0.4,2,IF(F246&gt;=100*0.33,1,0))))))))</f>
        <v/>
      </c>
      <c r="Y246">
        <f>IF(B246="","",IF(G246&lt;16.5,0,IF(G246&gt;=50*0.8,5,IF(G246&gt;=50*0.7,4,IF(G246&gt;=50*0.6,3.5,IF(G246&gt;=50*0.5,3,IF(G246&gt;=50*0.4,2,IF(G246&gt;=50*0.33,1,0))))))))</f>
        <v/>
      </c>
      <c r="Z246">
        <f>IF(B246="","",IF(H246&lt;33.0,0,IF(H246&gt;=100*0.8,5,IF(H246&gt;=100*0.7,4,IF(H246&gt;=100*0.6,3.5,IF(H246&gt;=100*0.5,3,IF(H246&gt;=100*0.4,2,IF(H246&gt;=100*0.33,1,0))))))))</f>
        <v/>
      </c>
      <c r="AA246">
        <f>IF(B246="","",IF(I246&lt;33.0,0,IF(I246&gt;=100*0.8,5,IF(I246&gt;=100*0.7,4,IF(I246&gt;=100*0.6,3.5,IF(I246&gt;=100*0.5,3,IF(I246&gt;=100*0.4,2,IF(I246&gt;=100*0.33,1,0))))))))</f>
        <v/>
      </c>
      <c r="AB246">
        <f>IF(B246="","",IF(J246&lt;33.0,0,IF(J246&gt;=100*0.8,5,IF(J246&gt;=100*0.7,4,IF(J246&gt;=100*0.6,3.5,IF(J246&gt;=100*0.5,3,IF(J246&gt;=100*0.4,2,IF(J246&gt;=100*0.33,1,0))))))))</f>
        <v/>
      </c>
      <c r="AC246">
        <f>IF(B246="","",IF(K246&lt;33.0,0,IF(K246&gt;=100*0.8,5,IF(K246&gt;=100*0.7,4,IF(K246&gt;=100*0.6,3.5,IF(K246&gt;=100*0.5,3,IF(K246&gt;=100*0.4,2,IF(K246&gt;=100*0.33,1,0))))))))</f>
        <v/>
      </c>
      <c r="AD246">
        <f>IF(B246="","",IF(L246&lt;33.0,0,IF(L246&gt;=100*0.8,5,IF(L246&gt;=100*0.7,4,IF(L246&gt;=100*0.6,3.5,IF(L246&gt;=100*0.5,3,IF(L246&gt;=100*0.4,2,IF(L246&gt;=100*0.33,1,0))))))))</f>
        <v/>
      </c>
      <c r="AE246">
        <f>IF(B246="","",IF(M246&lt;33.0,0,IF(M246&gt;=100*0.8,5,IF(M246&gt;=100*0.7,4,IF(M246&gt;=100*0.6,3.5,IF(M246&gt;=100*0.5,3,IF(M246&gt;=100*0.4,2,IF(M246&gt;=100*0.33,1,0))))))))</f>
        <v/>
      </c>
      <c r="AF246">
        <f>IF(B246="","",IF(N246&lt;16.5,0,IF(N246&gt;=50*0.8,5,IF(N246&gt;=50*0.7,4,IF(N246&gt;=50*0.6,3.5,IF(N246&gt;=50*0.5,3,IF(N246&gt;=50*0.4,2,IF(N246&gt;=50*0.33,1,0))))))))</f>
        <v/>
      </c>
      <c r="AG246">
        <f>IF(B246="","",IF(O246&lt;33.0,0,IF(O246&gt;=100*0.8,5,IF(O246&gt;=100*0.7,4,IF(O246&gt;=100*0.6,3.5,IF(O246&gt;=100*0.5,3,IF(O246&gt;=100*0.4,2,IF(O246&gt;=100*0.33,1,0))))))))</f>
        <v/>
      </c>
      <c r="AH246">
        <f>IF(B246="","",IF(OR(U246=0,V246=0,W246=0,X246=0,Y246=0,Z246=0,AA246=0,AB246=0,AC246=0,AD246=0,AE246=0,AF246=0,AG246=0),1,0))</f>
        <v/>
      </c>
    </row>
    <row r="247">
      <c r="A247" s="3">
        <f>IF(B247="","",ROW()-2)</f>
        <v/>
      </c>
      <c r="P247" s="4">
        <f>IF(B247="","",SUM(C247:O247))</f>
        <v/>
      </c>
      <c r="Q247" s="5">
        <f>IF(B247="","",ROUND(P247/13,2))</f>
        <v/>
      </c>
      <c r="R247" s="5">
        <f>IF(B247="","",IF(AH247=1,0,MIN(5,ROUND((U247+V247+W247+X247+Y247+Z247+AA247+AB247+AC247+AD247+AE247+AF247+AG247)/13,2))))</f>
        <v/>
      </c>
      <c r="S247" s="3">
        <f>IF(B247="","",IF(R247&gt;=5,"A+",IF(R247&gt;=4,"A",IF(R247&gt;=3.5,"A-",IF(R247&gt;=3,"B",IF(R247&gt;=2,"C",IF(R247&gt;=1,"D","F")))))))</f>
        <v/>
      </c>
      <c r="T247" s="3">
        <f>IF(OR(B247="",S247="F"),"",COUNTIFS(P:P,"&gt;"&amp;P247,S:S,"&lt;&gt;F")+1)</f>
        <v/>
      </c>
      <c r="U247">
        <f>IF(B247="","",IF(C247&lt;33.0,0,IF(C247&gt;=100*0.8,5,IF(C247&gt;=100*0.7,4,IF(C247&gt;=100*0.6,3.5,IF(C247&gt;=100*0.5,3,IF(C247&gt;=100*0.4,2,IF(C247&gt;=100*0.33,1,0))))))))</f>
        <v/>
      </c>
      <c r="V247">
        <f>IF(B247="","",IF(D247&lt;33.0,0,IF(D247&gt;=100*0.8,5,IF(D247&gt;=100*0.7,4,IF(D247&gt;=100*0.6,3.5,IF(D247&gt;=100*0.5,3,IF(D247&gt;=100*0.4,2,IF(D247&gt;=100*0.33,1,0))))))))</f>
        <v/>
      </c>
      <c r="W247">
        <f>IF(B247="","",IF(E247&lt;16.5,0,IF(E247&gt;=50*0.8,5,IF(E247&gt;=50*0.7,4,IF(E247&gt;=50*0.6,3.5,IF(E247&gt;=50*0.5,3,IF(E247&gt;=50*0.4,2,IF(E247&gt;=50*0.33,1,0))))))))</f>
        <v/>
      </c>
      <c r="X247">
        <f>IF(B247="","",IF(F247&lt;33.0,0,IF(F247&gt;=100*0.8,5,IF(F247&gt;=100*0.7,4,IF(F247&gt;=100*0.6,3.5,IF(F247&gt;=100*0.5,3,IF(F247&gt;=100*0.4,2,IF(F247&gt;=100*0.33,1,0))))))))</f>
        <v/>
      </c>
      <c r="Y247">
        <f>IF(B247="","",IF(G247&lt;16.5,0,IF(G247&gt;=50*0.8,5,IF(G247&gt;=50*0.7,4,IF(G247&gt;=50*0.6,3.5,IF(G247&gt;=50*0.5,3,IF(G247&gt;=50*0.4,2,IF(G247&gt;=50*0.33,1,0))))))))</f>
        <v/>
      </c>
      <c r="Z247">
        <f>IF(B247="","",IF(H247&lt;33.0,0,IF(H247&gt;=100*0.8,5,IF(H247&gt;=100*0.7,4,IF(H247&gt;=100*0.6,3.5,IF(H247&gt;=100*0.5,3,IF(H247&gt;=100*0.4,2,IF(H247&gt;=100*0.33,1,0))))))))</f>
        <v/>
      </c>
      <c r="AA247">
        <f>IF(B247="","",IF(I247&lt;33.0,0,IF(I247&gt;=100*0.8,5,IF(I247&gt;=100*0.7,4,IF(I247&gt;=100*0.6,3.5,IF(I247&gt;=100*0.5,3,IF(I247&gt;=100*0.4,2,IF(I247&gt;=100*0.33,1,0))))))))</f>
        <v/>
      </c>
      <c r="AB247">
        <f>IF(B247="","",IF(J247&lt;33.0,0,IF(J247&gt;=100*0.8,5,IF(J247&gt;=100*0.7,4,IF(J247&gt;=100*0.6,3.5,IF(J247&gt;=100*0.5,3,IF(J247&gt;=100*0.4,2,IF(J247&gt;=100*0.33,1,0))))))))</f>
        <v/>
      </c>
      <c r="AC247">
        <f>IF(B247="","",IF(K247&lt;33.0,0,IF(K247&gt;=100*0.8,5,IF(K247&gt;=100*0.7,4,IF(K247&gt;=100*0.6,3.5,IF(K247&gt;=100*0.5,3,IF(K247&gt;=100*0.4,2,IF(K247&gt;=100*0.33,1,0))))))))</f>
        <v/>
      </c>
      <c r="AD247">
        <f>IF(B247="","",IF(L247&lt;33.0,0,IF(L247&gt;=100*0.8,5,IF(L247&gt;=100*0.7,4,IF(L247&gt;=100*0.6,3.5,IF(L247&gt;=100*0.5,3,IF(L247&gt;=100*0.4,2,IF(L247&gt;=100*0.33,1,0))))))))</f>
        <v/>
      </c>
      <c r="AE247">
        <f>IF(B247="","",IF(M247&lt;33.0,0,IF(M247&gt;=100*0.8,5,IF(M247&gt;=100*0.7,4,IF(M247&gt;=100*0.6,3.5,IF(M247&gt;=100*0.5,3,IF(M247&gt;=100*0.4,2,IF(M247&gt;=100*0.33,1,0))))))))</f>
        <v/>
      </c>
      <c r="AF247">
        <f>IF(B247="","",IF(N247&lt;16.5,0,IF(N247&gt;=50*0.8,5,IF(N247&gt;=50*0.7,4,IF(N247&gt;=50*0.6,3.5,IF(N247&gt;=50*0.5,3,IF(N247&gt;=50*0.4,2,IF(N247&gt;=50*0.33,1,0))))))))</f>
        <v/>
      </c>
      <c r="AG247">
        <f>IF(B247="","",IF(O247&lt;33.0,0,IF(O247&gt;=100*0.8,5,IF(O247&gt;=100*0.7,4,IF(O247&gt;=100*0.6,3.5,IF(O247&gt;=100*0.5,3,IF(O247&gt;=100*0.4,2,IF(O247&gt;=100*0.33,1,0))))))))</f>
        <v/>
      </c>
      <c r="AH247">
        <f>IF(B247="","",IF(OR(U247=0,V247=0,W247=0,X247=0,Y247=0,Z247=0,AA247=0,AB247=0,AC247=0,AD247=0,AE247=0,AF247=0,AG247=0),1,0))</f>
        <v/>
      </c>
    </row>
    <row r="248">
      <c r="A248" s="3">
        <f>IF(B248="","",ROW()-2)</f>
        <v/>
      </c>
      <c r="P248" s="4">
        <f>IF(B248="","",SUM(C248:O248))</f>
        <v/>
      </c>
      <c r="Q248" s="5">
        <f>IF(B248="","",ROUND(P248/13,2))</f>
        <v/>
      </c>
      <c r="R248" s="5">
        <f>IF(B248="","",IF(AH248=1,0,MIN(5,ROUND((U248+V248+W248+X248+Y248+Z248+AA248+AB248+AC248+AD248+AE248+AF248+AG248)/13,2))))</f>
        <v/>
      </c>
      <c r="S248" s="3">
        <f>IF(B248="","",IF(R248&gt;=5,"A+",IF(R248&gt;=4,"A",IF(R248&gt;=3.5,"A-",IF(R248&gt;=3,"B",IF(R248&gt;=2,"C",IF(R248&gt;=1,"D","F")))))))</f>
        <v/>
      </c>
      <c r="T248" s="3">
        <f>IF(OR(B248="",S248="F"),"",COUNTIFS(P:P,"&gt;"&amp;P248,S:S,"&lt;&gt;F")+1)</f>
        <v/>
      </c>
      <c r="U248">
        <f>IF(B248="","",IF(C248&lt;33.0,0,IF(C248&gt;=100*0.8,5,IF(C248&gt;=100*0.7,4,IF(C248&gt;=100*0.6,3.5,IF(C248&gt;=100*0.5,3,IF(C248&gt;=100*0.4,2,IF(C248&gt;=100*0.33,1,0))))))))</f>
        <v/>
      </c>
      <c r="V248">
        <f>IF(B248="","",IF(D248&lt;33.0,0,IF(D248&gt;=100*0.8,5,IF(D248&gt;=100*0.7,4,IF(D248&gt;=100*0.6,3.5,IF(D248&gt;=100*0.5,3,IF(D248&gt;=100*0.4,2,IF(D248&gt;=100*0.33,1,0))))))))</f>
        <v/>
      </c>
      <c r="W248">
        <f>IF(B248="","",IF(E248&lt;16.5,0,IF(E248&gt;=50*0.8,5,IF(E248&gt;=50*0.7,4,IF(E248&gt;=50*0.6,3.5,IF(E248&gt;=50*0.5,3,IF(E248&gt;=50*0.4,2,IF(E248&gt;=50*0.33,1,0))))))))</f>
        <v/>
      </c>
      <c r="X248">
        <f>IF(B248="","",IF(F248&lt;33.0,0,IF(F248&gt;=100*0.8,5,IF(F248&gt;=100*0.7,4,IF(F248&gt;=100*0.6,3.5,IF(F248&gt;=100*0.5,3,IF(F248&gt;=100*0.4,2,IF(F248&gt;=100*0.33,1,0))))))))</f>
        <v/>
      </c>
      <c r="Y248">
        <f>IF(B248="","",IF(G248&lt;16.5,0,IF(G248&gt;=50*0.8,5,IF(G248&gt;=50*0.7,4,IF(G248&gt;=50*0.6,3.5,IF(G248&gt;=50*0.5,3,IF(G248&gt;=50*0.4,2,IF(G248&gt;=50*0.33,1,0))))))))</f>
        <v/>
      </c>
      <c r="Z248">
        <f>IF(B248="","",IF(H248&lt;33.0,0,IF(H248&gt;=100*0.8,5,IF(H248&gt;=100*0.7,4,IF(H248&gt;=100*0.6,3.5,IF(H248&gt;=100*0.5,3,IF(H248&gt;=100*0.4,2,IF(H248&gt;=100*0.33,1,0))))))))</f>
        <v/>
      </c>
      <c r="AA248">
        <f>IF(B248="","",IF(I248&lt;33.0,0,IF(I248&gt;=100*0.8,5,IF(I248&gt;=100*0.7,4,IF(I248&gt;=100*0.6,3.5,IF(I248&gt;=100*0.5,3,IF(I248&gt;=100*0.4,2,IF(I248&gt;=100*0.33,1,0))))))))</f>
        <v/>
      </c>
      <c r="AB248">
        <f>IF(B248="","",IF(J248&lt;33.0,0,IF(J248&gt;=100*0.8,5,IF(J248&gt;=100*0.7,4,IF(J248&gt;=100*0.6,3.5,IF(J248&gt;=100*0.5,3,IF(J248&gt;=100*0.4,2,IF(J248&gt;=100*0.33,1,0))))))))</f>
        <v/>
      </c>
      <c r="AC248">
        <f>IF(B248="","",IF(K248&lt;33.0,0,IF(K248&gt;=100*0.8,5,IF(K248&gt;=100*0.7,4,IF(K248&gt;=100*0.6,3.5,IF(K248&gt;=100*0.5,3,IF(K248&gt;=100*0.4,2,IF(K248&gt;=100*0.33,1,0))))))))</f>
        <v/>
      </c>
      <c r="AD248">
        <f>IF(B248="","",IF(L248&lt;33.0,0,IF(L248&gt;=100*0.8,5,IF(L248&gt;=100*0.7,4,IF(L248&gt;=100*0.6,3.5,IF(L248&gt;=100*0.5,3,IF(L248&gt;=100*0.4,2,IF(L248&gt;=100*0.33,1,0))))))))</f>
        <v/>
      </c>
      <c r="AE248">
        <f>IF(B248="","",IF(M248&lt;33.0,0,IF(M248&gt;=100*0.8,5,IF(M248&gt;=100*0.7,4,IF(M248&gt;=100*0.6,3.5,IF(M248&gt;=100*0.5,3,IF(M248&gt;=100*0.4,2,IF(M248&gt;=100*0.33,1,0))))))))</f>
        <v/>
      </c>
      <c r="AF248">
        <f>IF(B248="","",IF(N248&lt;16.5,0,IF(N248&gt;=50*0.8,5,IF(N248&gt;=50*0.7,4,IF(N248&gt;=50*0.6,3.5,IF(N248&gt;=50*0.5,3,IF(N248&gt;=50*0.4,2,IF(N248&gt;=50*0.33,1,0))))))))</f>
        <v/>
      </c>
      <c r="AG248">
        <f>IF(B248="","",IF(O248&lt;33.0,0,IF(O248&gt;=100*0.8,5,IF(O248&gt;=100*0.7,4,IF(O248&gt;=100*0.6,3.5,IF(O248&gt;=100*0.5,3,IF(O248&gt;=100*0.4,2,IF(O248&gt;=100*0.33,1,0))))))))</f>
        <v/>
      </c>
      <c r="AH248">
        <f>IF(B248="","",IF(OR(U248=0,V248=0,W248=0,X248=0,Y248=0,Z248=0,AA248=0,AB248=0,AC248=0,AD248=0,AE248=0,AF248=0,AG248=0),1,0))</f>
        <v/>
      </c>
    </row>
    <row r="249">
      <c r="A249" s="3">
        <f>IF(B249="","",ROW()-2)</f>
        <v/>
      </c>
      <c r="P249" s="4">
        <f>IF(B249="","",SUM(C249:O249))</f>
        <v/>
      </c>
      <c r="Q249" s="5">
        <f>IF(B249="","",ROUND(P249/13,2))</f>
        <v/>
      </c>
      <c r="R249" s="5">
        <f>IF(B249="","",IF(AH249=1,0,MIN(5,ROUND((U249+V249+W249+X249+Y249+Z249+AA249+AB249+AC249+AD249+AE249+AF249+AG249)/13,2))))</f>
        <v/>
      </c>
      <c r="S249" s="3">
        <f>IF(B249="","",IF(R249&gt;=5,"A+",IF(R249&gt;=4,"A",IF(R249&gt;=3.5,"A-",IF(R249&gt;=3,"B",IF(R249&gt;=2,"C",IF(R249&gt;=1,"D","F")))))))</f>
        <v/>
      </c>
      <c r="T249" s="3">
        <f>IF(OR(B249="",S249="F"),"",COUNTIFS(P:P,"&gt;"&amp;P249,S:S,"&lt;&gt;F")+1)</f>
        <v/>
      </c>
      <c r="U249">
        <f>IF(B249="","",IF(C249&lt;33.0,0,IF(C249&gt;=100*0.8,5,IF(C249&gt;=100*0.7,4,IF(C249&gt;=100*0.6,3.5,IF(C249&gt;=100*0.5,3,IF(C249&gt;=100*0.4,2,IF(C249&gt;=100*0.33,1,0))))))))</f>
        <v/>
      </c>
      <c r="V249">
        <f>IF(B249="","",IF(D249&lt;33.0,0,IF(D249&gt;=100*0.8,5,IF(D249&gt;=100*0.7,4,IF(D249&gt;=100*0.6,3.5,IF(D249&gt;=100*0.5,3,IF(D249&gt;=100*0.4,2,IF(D249&gt;=100*0.33,1,0))))))))</f>
        <v/>
      </c>
      <c r="W249">
        <f>IF(B249="","",IF(E249&lt;16.5,0,IF(E249&gt;=50*0.8,5,IF(E249&gt;=50*0.7,4,IF(E249&gt;=50*0.6,3.5,IF(E249&gt;=50*0.5,3,IF(E249&gt;=50*0.4,2,IF(E249&gt;=50*0.33,1,0))))))))</f>
        <v/>
      </c>
      <c r="X249">
        <f>IF(B249="","",IF(F249&lt;33.0,0,IF(F249&gt;=100*0.8,5,IF(F249&gt;=100*0.7,4,IF(F249&gt;=100*0.6,3.5,IF(F249&gt;=100*0.5,3,IF(F249&gt;=100*0.4,2,IF(F249&gt;=100*0.33,1,0))))))))</f>
        <v/>
      </c>
      <c r="Y249">
        <f>IF(B249="","",IF(G249&lt;16.5,0,IF(G249&gt;=50*0.8,5,IF(G249&gt;=50*0.7,4,IF(G249&gt;=50*0.6,3.5,IF(G249&gt;=50*0.5,3,IF(G249&gt;=50*0.4,2,IF(G249&gt;=50*0.33,1,0))))))))</f>
        <v/>
      </c>
      <c r="Z249">
        <f>IF(B249="","",IF(H249&lt;33.0,0,IF(H249&gt;=100*0.8,5,IF(H249&gt;=100*0.7,4,IF(H249&gt;=100*0.6,3.5,IF(H249&gt;=100*0.5,3,IF(H249&gt;=100*0.4,2,IF(H249&gt;=100*0.33,1,0))))))))</f>
        <v/>
      </c>
      <c r="AA249">
        <f>IF(B249="","",IF(I249&lt;33.0,0,IF(I249&gt;=100*0.8,5,IF(I249&gt;=100*0.7,4,IF(I249&gt;=100*0.6,3.5,IF(I249&gt;=100*0.5,3,IF(I249&gt;=100*0.4,2,IF(I249&gt;=100*0.33,1,0))))))))</f>
        <v/>
      </c>
      <c r="AB249">
        <f>IF(B249="","",IF(J249&lt;33.0,0,IF(J249&gt;=100*0.8,5,IF(J249&gt;=100*0.7,4,IF(J249&gt;=100*0.6,3.5,IF(J249&gt;=100*0.5,3,IF(J249&gt;=100*0.4,2,IF(J249&gt;=100*0.33,1,0))))))))</f>
        <v/>
      </c>
      <c r="AC249">
        <f>IF(B249="","",IF(K249&lt;33.0,0,IF(K249&gt;=100*0.8,5,IF(K249&gt;=100*0.7,4,IF(K249&gt;=100*0.6,3.5,IF(K249&gt;=100*0.5,3,IF(K249&gt;=100*0.4,2,IF(K249&gt;=100*0.33,1,0))))))))</f>
        <v/>
      </c>
      <c r="AD249">
        <f>IF(B249="","",IF(L249&lt;33.0,0,IF(L249&gt;=100*0.8,5,IF(L249&gt;=100*0.7,4,IF(L249&gt;=100*0.6,3.5,IF(L249&gt;=100*0.5,3,IF(L249&gt;=100*0.4,2,IF(L249&gt;=100*0.33,1,0))))))))</f>
        <v/>
      </c>
      <c r="AE249">
        <f>IF(B249="","",IF(M249&lt;33.0,0,IF(M249&gt;=100*0.8,5,IF(M249&gt;=100*0.7,4,IF(M249&gt;=100*0.6,3.5,IF(M249&gt;=100*0.5,3,IF(M249&gt;=100*0.4,2,IF(M249&gt;=100*0.33,1,0))))))))</f>
        <v/>
      </c>
      <c r="AF249">
        <f>IF(B249="","",IF(N249&lt;16.5,0,IF(N249&gt;=50*0.8,5,IF(N249&gt;=50*0.7,4,IF(N249&gt;=50*0.6,3.5,IF(N249&gt;=50*0.5,3,IF(N249&gt;=50*0.4,2,IF(N249&gt;=50*0.33,1,0))))))))</f>
        <v/>
      </c>
      <c r="AG249">
        <f>IF(B249="","",IF(O249&lt;33.0,0,IF(O249&gt;=100*0.8,5,IF(O249&gt;=100*0.7,4,IF(O249&gt;=100*0.6,3.5,IF(O249&gt;=100*0.5,3,IF(O249&gt;=100*0.4,2,IF(O249&gt;=100*0.33,1,0))))))))</f>
        <v/>
      </c>
      <c r="AH249">
        <f>IF(B249="","",IF(OR(U249=0,V249=0,W249=0,X249=0,Y249=0,Z249=0,AA249=0,AB249=0,AC249=0,AD249=0,AE249=0,AF249=0,AG249=0),1,0))</f>
        <v/>
      </c>
    </row>
    <row r="250">
      <c r="A250" s="3">
        <f>IF(B250="","",ROW()-2)</f>
        <v/>
      </c>
      <c r="P250" s="4">
        <f>IF(B250="","",SUM(C250:O250))</f>
        <v/>
      </c>
      <c r="Q250" s="5">
        <f>IF(B250="","",ROUND(P250/13,2))</f>
        <v/>
      </c>
      <c r="R250" s="5">
        <f>IF(B250="","",IF(AH250=1,0,MIN(5,ROUND((U250+V250+W250+X250+Y250+Z250+AA250+AB250+AC250+AD250+AE250+AF250+AG250)/13,2))))</f>
        <v/>
      </c>
      <c r="S250" s="3">
        <f>IF(B250="","",IF(R250&gt;=5,"A+",IF(R250&gt;=4,"A",IF(R250&gt;=3.5,"A-",IF(R250&gt;=3,"B",IF(R250&gt;=2,"C",IF(R250&gt;=1,"D","F")))))))</f>
        <v/>
      </c>
      <c r="T250" s="3">
        <f>IF(OR(B250="",S250="F"),"",COUNTIFS(P:P,"&gt;"&amp;P250,S:S,"&lt;&gt;F")+1)</f>
        <v/>
      </c>
      <c r="U250">
        <f>IF(B250="","",IF(C250&lt;33.0,0,IF(C250&gt;=100*0.8,5,IF(C250&gt;=100*0.7,4,IF(C250&gt;=100*0.6,3.5,IF(C250&gt;=100*0.5,3,IF(C250&gt;=100*0.4,2,IF(C250&gt;=100*0.33,1,0))))))))</f>
        <v/>
      </c>
      <c r="V250">
        <f>IF(B250="","",IF(D250&lt;33.0,0,IF(D250&gt;=100*0.8,5,IF(D250&gt;=100*0.7,4,IF(D250&gt;=100*0.6,3.5,IF(D250&gt;=100*0.5,3,IF(D250&gt;=100*0.4,2,IF(D250&gt;=100*0.33,1,0))))))))</f>
        <v/>
      </c>
      <c r="W250">
        <f>IF(B250="","",IF(E250&lt;16.5,0,IF(E250&gt;=50*0.8,5,IF(E250&gt;=50*0.7,4,IF(E250&gt;=50*0.6,3.5,IF(E250&gt;=50*0.5,3,IF(E250&gt;=50*0.4,2,IF(E250&gt;=50*0.33,1,0))))))))</f>
        <v/>
      </c>
      <c r="X250">
        <f>IF(B250="","",IF(F250&lt;33.0,0,IF(F250&gt;=100*0.8,5,IF(F250&gt;=100*0.7,4,IF(F250&gt;=100*0.6,3.5,IF(F250&gt;=100*0.5,3,IF(F250&gt;=100*0.4,2,IF(F250&gt;=100*0.33,1,0))))))))</f>
        <v/>
      </c>
      <c r="Y250">
        <f>IF(B250="","",IF(G250&lt;16.5,0,IF(G250&gt;=50*0.8,5,IF(G250&gt;=50*0.7,4,IF(G250&gt;=50*0.6,3.5,IF(G250&gt;=50*0.5,3,IF(G250&gt;=50*0.4,2,IF(G250&gt;=50*0.33,1,0))))))))</f>
        <v/>
      </c>
      <c r="Z250">
        <f>IF(B250="","",IF(H250&lt;33.0,0,IF(H250&gt;=100*0.8,5,IF(H250&gt;=100*0.7,4,IF(H250&gt;=100*0.6,3.5,IF(H250&gt;=100*0.5,3,IF(H250&gt;=100*0.4,2,IF(H250&gt;=100*0.33,1,0))))))))</f>
        <v/>
      </c>
      <c r="AA250">
        <f>IF(B250="","",IF(I250&lt;33.0,0,IF(I250&gt;=100*0.8,5,IF(I250&gt;=100*0.7,4,IF(I250&gt;=100*0.6,3.5,IF(I250&gt;=100*0.5,3,IF(I250&gt;=100*0.4,2,IF(I250&gt;=100*0.33,1,0))))))))</f>
        <v/>
      </c>
      <c r="AB250">
        <f>IF(B250="","",IF(J250&lt;33.0,0,IF(J250&gt;=100*0.8,5,IF(J250&gt;=100*0.7,4,IF(J250&gt;=100*0.6,3.5,IF(J250&gt;=100*0.5,3,IF(J250&gt;=100*0.4,2,IF(J250&gt;=100*0.33,1,0))))))))</f>
        <v/>
      </c>
      <c r="AC250">
        <f>IF(B250="","",IF(K250&lt;33.0,0,IF(K250&gt;=100*0.8,5,IF(K250&gt;=100*0.7,4,IF(K250&gt;=100*0.6,3.5,IF(K250&gt;=100*0.5,3,IF(K250&gt;=100*0.4,2,IF(K250&gt;=100*0.33,1,0))))))))</f>
        <v/>
      </c>
      <c r="AD250">
        <f>IF(B250="","",IF(L250&lt;33.0,0,IF(L250&gt;=100*0.8,5,IF(L250&gt;=100*0.7,4,IF(L250&gt;=100*0.6,3.5,IF(L250&gt;=100*0.5,3,IF(L250&gt;=100*0.4,2,IF(L250&gt;=100*0.33,1,0))))))))</f>
        <v/>
      </c>
      <c r="AE250">
        <f>IF(B250="","",IF(M250&lt;33.0,0,IF(M250&gt;=100*0.8,5,IF(M250&gt;=100*0.7,4,IF(M250&gt;=100*0.6,3.5,IF(M250&gt;=100*0.5,3,IF(M250&gt;=100*0.4,2,IF(M250&gt;=100*0.33,1,0))))))))</f>
        <v/>
      </c>
      <c r="AF250">
        <f>IF(B250="","",IF(N250&lt;16.5,0,IF(N250&gt;=50*0.8,5,IF(N250&gt;=50*0.7,4,IF(N250&gt;=50*0.6,3.5,IF(N250&gt;=50*0.5,3,IF(N250&gt;=50*0.4,2,IF(N250&gt;=50*0.33,1,0))))))))</f>
        <v/>
      </c>
      <c r="AG250">
        <f>IF(B250="","",IF(O250&lt;33.0,0,IF(O250&gt;=100*0.8,5,IF(O250&gt;=100*0.7,4,IF(O250&gt;=100*0.6,3.5,IF(O250&gt;=100*0.5,3,IF(O250&gt;=100*0.4,2,IF(O250&gt;=100*0.33,1,0))))))))</f>
        <v/>
      </c>
      <c r="AH250">
        <f>IF(B250="","",IF(OR(U250=0,V250=0,W250=0,X250=0,Y250=0,Z250=0,AA250=0,AB250=0,AC250=0,AD250=0,AE250=0,AF250=0,AG250=0),1,0))</f>
        <v/>
      </c>
    </row>
    <row r="251">
      <c r="A251" s="3">
        <f>IF(B251="","",ROW()-2)</f>
        <v/>
      </c>
      <c r="P251" s="4">
        <f>IF(B251="","",SUM(C251:O251))</f>
        <v/>
      </c>
      <c r="Q251" s="5">
        <f>IF(B251="","",ROUND(P251/13,2))</f>
        <v/>
      </c>
      <c r="R251" s="5">
        <f>IF(B251="","",IF(AH251=1,0,MIN(5,ROUND((U251+V251+W251+X251+Y251+Z251+AA251+AB251+AC251+AD251+AE251+AF251+AG251)/13,2))))</f>
        <v/>
      </c>
      <c r="S251" s="3">
        <f>IF(B251="","",IF(R251&gt;=5,"A+",IF(R251&gt;=4,"A",IF(R251&gt;=3.5,"A-",IF(R251&gt;=3,"B",IF(R251&gt;=2,"C",IF(R251&gt;=1,"D","F")))))))</f>
        <v/>
      </c>
      <c r="T251" s="3">
        <f>IF(OR(B251="",S251="F"),"",COUNTIFS(P:P,"&gt;"&amp;P251,S:S,"&lt;&gt;F")+1)</f>
        <v/>
      </c>
      <c r="U251">
        <f>IF(B251="","",IF(C251&lt;33.0,0,IF(C251&gt;=100*0.8,5,IF(C251&gt;=100*0.7,4,IF(C251&gt;=100*0.6,3.5,IF(C251&gt;=100*0.5,3,IF(C251&gt;=100*0.4,2,IF(C251&gt;=100*0.33,1,0))))))))</f>
        <v/>
      </c>
      <c r="V251">
        <f>IF(B251="","",IF(D251&lt;33.0,0,IF(D251&gt;=100*0.8,5,IF(D251&gt;=100*0.7,4,IF(D251&gt;=100*0.6,3.5,IF(D251&gt;=100*0.5,3,IF(D251&gt;=100*0.4,2,IF(D251&gt;=100*0.33,1,0))))))))</f>
        <v/>
      </c>
      <c r="W251">
        <f>IF(B251="","",IF(E251&lt;16.5,0,IF(E251&gt;=50*0.8,5,IF(E251&gt;=50*0.7,4,IF(E251&gt;=50*0.6,3.5,IF(E251&gt;=50*0.5,3,IF(E251&gt;=50*0.4,2,IF(E251&gt;=50*0.33,1,0))))))))</f>
        <v/>
      </c>
      <c r="X251">
        <f>IF(B251="","",IF(F251&lt;33.0,0,IF(F251&gt;=100*0.8,5,IF(F251&gt;=100*0.7,4,IF(F251&gt;=100*0.6,3.5,IF(F251&gt;=100*0.5,3,IF(F251&gt;=100*0.4,2,IF(F251&gt;=100*0.33,1,0))))))))</f>
        <v/>
      </c>
      <c r="Y251">
        <f>IF(B251="","",IF(G251&lt;16.5,0,IF(G251&gt;=50*0.8,5,IF(G251&gt;=50*0.7,4,IF(G251&gt;=50*0.6,3.5,IF(G251&gt;=50*0.5,3,IF(G251&gt;=50*0.4,2,IF(G251&gt;=50*0.33,1,0))))))))</f>
        <v/>
      </c>
      <c r="Z251">
        <f>IF(B251="","",IF(H251&lt;33.0,0,IF(H251&gt;=100*0.8,5,IF(H251&gt;=100*0.7,4,IF(H251&gt;=100*0.6,3.5,IF(H251&gt;=100*0.5,3,IF(H251&gt;=100*0.4,2,IF(H251&gt;=100*0.33,1,0))))))))</f>
        <v/>
      </c>
      <c r="AA251">
        <f>IF(B251="","",IF(I251&lt;33.0,0,IF(I251&gt;=100*0.8,5,IF(I251&gt;=100*0.7,4,IF(I251&gt;=100*0.6,3.5,IF(I251&gt;=100*0.5,3,IF(I251&gt;=100*0.4,2,IF(I251&gt;=100*0.33,1,0))))))))</f>
        <v/>
      </c>
      <c r="AB251">
        <f>IF(B251="","",IF(J251&lt;33.0,0,IF(J251&gt;=100*0.8,5,IF(J251&gt;=100*0.7,4,IF(J251&gt;=100*0.6,3.5,IF(J251&gt;=100*0.5,3,IF(J251&gt;=100*0.4,2,IF(J251&gt;=100*0.33,1,0))))))))</f>
        <v/>
      </c>
      <c r="AC251">
        <f>IF(B251="","",IF(K251&lt;33.0,0,IF(K251&gt;=100*0.8,5,IF(K251&gt;=100*0.7,4,IF(K251&gt;=100*0.6,3.5,IF(K251&gt;=100*0.5,3,IF(K251&gt;=100*0.4,2,IF(K251&gt;=100*0.33,1,0))))))))</f>
        <v/>
      </c>
      <c r="AD251">
        <f>IF(B251="","",IF(L251&lt;33.0,0,IF(L251&gt;=100*0.8,5,IF(L251&gt;=100*0.7,4,IF(L251&gt;=100*0.6,3.5,IF(L251&gt;=100*0.5,3,IF(L251&gt;=100*0.4,2,IF(L251&gt;=100*0.33,1,0))))))))</f>
        <v/>
      </c>
      <c r="AE251">
        <f>IF(B251="","",IF(M251&lt;33.0,0,IF(M251&gt;=100*0.8,5,IF(M251&gt;=100*0.7,4,IF(M251&gt;=100*0.6,3.5,IF(M251&gt;=100*0.5,3,IF(M251&gt;=100*0.4,2,IF(M251&gt;=100*0.33,1,0))))))))</f>
        <v/>
      </c>
      <c r="AF251">
        <f>IF(B251="","",IF(N251&lt;16.5,0,IF(N251&gt;=50*0.8,5,IF(N251&gt;=50*0.7,4,IF(N251&gt;=50*0.6,3.5,IF(N251&gt;=50*0.5,3,IF(N251&gt;=50*0.4,2,IF(N251&gt;=50*0.33,1,0))))))))</f>
        <v/>
      </c>
      <c r="AG251">
        <f>IF(B251="","",IF(O251&lt;33.0,0,IF(O251&gt;=100*0.8,5,IF(O251&gt;=100*0.7,4,IF(O251&gt;=100*0.6,3.5,IF(O251&gt;=100*0.5,3,IF(O251&gt;=100*0.4,2,IF(O251&gt;=100*0.33,1,0))))))))</f>
        <v/>
      </c>
      <c r="AH251">
        <f>IF(B251="","",IF(OR(U251=0,V251=0,W251=0,X251=0,Y251=0,Z251=0,AA251=0,AB251=0,AC251=0,AD251=0,AE251=0,AF251=0,AG251=0),1,0))</f>
        <v/>
      </c>
    </row>
    <row r="252">
      <c r="A252" s="3">
        <f>IF(B252="","",ROW()-2)</f>
        <v/>
      </c>
      <c r="P252" s="4">
        <f>IF(B252="","",SUM(C252:O252))</f>
        <v/>
      </c>
      <c r="Q252" s="5">
        <f>IF(B252="","",ROUND(P252/13,2))</f>
        <v/>
      </c>
      <c r="R252" s="5">
        <f>IF(B252="","",IF(AH252=1,0,MIN(5,ROUND((U252+V252+W252+X252+Y252+Z252+AA252+AB252+AC252+AD252+AE252+AF252+AG252)/13,2))))</f>
        <v/>
      </c>
      <c r="S252" s="3">
        <f>IF(B252="","",IF(R252&gt;=5,"A+",IF(R252&gt;=4,"A",IF(R252&gt;=3.5,"A-",IF(R252&gt;=3,"B",IF(R252&gt;=2,"C",IF(R252&gt;=1,"D","F")))))))</f>
        <v/>
      </c>
      <c r="T252" s="3">
        <f>IF(OR(B252="",S252="F"),"",COUNTIFS(P:P,"&gt;"&amp;P252,S:S,"&lt;&gt;F")+1)</f>
        <v/>
      </c>
      <c r="U252">
        <f>IF(B252="","",IF(C252&lt;33.0,0,IF(C252&gt;=100*0.8,5,IF(C252&gt;=100*0.7,4,IF(C252&gt;=100*0.6,3.5,IF(C252&gt;=100*0.5,3,IF(C252&gt;=100*0.4,2,IF(C252&gt;=100*0.33,1,0))))))))</f>
        <v/>
      </c>
      <c r="V252">
        <f>IF(B252="","",IF(D252&lt;33.0,0,IF(D252&gt;=100*0.8,5,IF(D252&gt;=100*0.7,4,IF(D252&gt;=100*0.6,3.5,IF(D252&gt;=100*0.5,3,IF(D252&gt;=100*0.4,2,IF(D252&gt;=100*0.33,1,0))))))))</f>
        <v/>
      </c>
      <c r="W252">
        <f>IF(B252="","",IF(E252&lt;16.5,0,IF(E252&gt;=50*0.8,5,IF(E252&gt;=50*0.7,4,IF(E252&gt;=50*0.6,3.5,IF(E252&gt;=50*0.5,3,IF(E252&gt;=50*0.4,2,IF(E252&gt;=50*0.33,1,0))))))))</f>
        <v/>
      </c>
      <c r="X252">
        <f>IF(B252="","",IF(F252&lt;33.0,0,IF(F252&gt;=100*0.8,5,IF(F252&gt;=100*0.7,4,IF(F252&gt;=100*0.6,3.5,IF(F252&gt;=100*0.5,3,IF(F252&gt;=100*0.4,2,IF(F252&gt;=100*0.33,1,0))))))))</f>
        <v/>
      </c>
      <c r="Y252">
        <f>IF(B252="","",IF(G252&lt;16.5,0,IF(G252&gt;=50*0.8,5,IF(G252&gt;=50*0.7,4,IF(G252&gt;=50*0.6,3.5,IF(G252&gt;=50*0.5,3,IF(G252&gt;=50*0.4,2,IF(G252&gt;=50*0.33,1,0))))))))</f>
        <v/>
      </c>
      <c r="Z252">
        <f>IF(B252="","",IF(H252&lt;33.0,0,IF(H252&gt;=100*0.8,5,IF(H252&gt;=100*0.7,4,IF(H252&gt;=100*0.6,3.5,IF(H252&gt;=100*0.5,3,IF(H252&gt;=100*0.4,2,IF(H252&gt;=100*0.33,1,0))))))))</f>
        <v/>
      </c>
      <c r="AA252">
        <f>IF(B252="","",IF(I252&lt;33.0,0,IF(I252&gt;=100*0.8,5,IF(I252&gt;=100*0.7,4,IF(I252&gt;=100*0.6,3.5,IF(I252&gt;=100*0.5,3,IF(I252&gt;=100*0.4,2,IF(I252&gt;=100*0.33,1,0))))))))</f>
        <v/>
      </c>
      <c r="AB252">
        <f>IF(B252="","",IF(J252&lt;33.0,0,IF(J252&gt;=100*0.8,5,IF(J252&gt;=100*0.7,4,IF(J252&gt;=100*0.6,3.5,IF(J252&gt;=100*0.5,3,IF(J252&gt;=100*0.4,2,IF(J252&gt;=100*0.33,1,0))))))))</f>
        <v/>
      </c>
      <c r="AC252">
        <f>IF(B252="","",IF(K252&lt;33.0,0,IF(K252&gt;=100*0.8,5,IF(K252&gt;=100*0.7,4,IF(K252&gt;=100*0.6,3.5,IF(K252&gt;=100*0.5,3,IF(K252&gt;=100*0.4,2,IF(K252&gt;=100*0.33,1,0))))))))</f>
        <v/>
      </c>
      <c r="AD252">
        <f>IF(B252="","",IF(L252&lt;33.0,0,IF(L252&gt;=100*0.8,5,IF(L252&gt;=100*0.7,4,IF(L252&gt;=100*0.6,3.5,IF(L252&gt;=100*0.5,3,IF(L252&gt;=100*0.4,2,IF(L252&gt;=100*0.33,1,0))))))))</f>
        <v/>
      </c>
      <c r="AE252">
        <f>IF(B252="","",IF(M252&lt;33.0,0,IF(M252&gt;=100*0.8,5,IF(M252&gt;=100*0.7,4,IF(M252&gt;=100*0.6,3.5,IF(M252&gt;=100*0.5,3,IF(M252&gt;=100*0.4,2,IF(M252&gt;=100*0.33,1,0))))))))</f>
        <v/>
      </c>
      <c r="AF252">
        <f>IF(B252="","",IF(N252&lt;16.5,0,IF(N252&gt;=50*0.8,5,IF(N252&gt;=50*0.7,4,IF(N252&gt;=50*0.6,3.5,IF(N252&gt;=50*0.5,3,IF(N252&gt;=50*0.4,2,IF(N252&gt;=50*0.33,1,0))))))))</f>
        <v/>
      </c>
      <c r="AG252">
        <f>IF(B252="","",IF(O252&lt;33.0,0,IF(O252&gt;=100*0.8,5,IF(O252&gt;=100*0.7,4,IF(O252&gt;=100*0.6,3.5,IF(O252&gt;=100*0.5,3,IF(O252&gt;=100*0.4,2,IF(O252&gt;=100*0.33,1,0))))))))</f>
        <v/>
      </c>
      <c r="AH252">
        <f>IF(B252="","",IF(OR(U252=0,V252=0,W252=0,X252=0,Y252=0,Z252=0,AA252=0,AB252=0,AC252=0,AD252=0,AE252=0,AF252=0,AG252=0),1,0))</f>
        <v/>
      </c>
    </row>
    <row r="253">
      <c r="A253" s="3">
        <f>IF(B253="","",ROW()-2)</f>
        <v/>
      </c>
      <c r="P253" s="4">
        <f>IF(B253="","",SUM(C253:O253))</f>
        <v/>
      </c>
      <c r="Q253" s="5">
        <f>IF(B253="","",ROUND(P253/13,2))</f>
        <v/>
      </c>
      <c r="R253" s="5">
        <f>IF(B253="","",IF(AH253=1,0,MIN(5,ROUND((U253+V253+W253+X253+Y253+Z253+AA253+AB253+AC253+AD253+AE253+AF253+AG253)/13,2))))</f>
        <v/>
      </c>
      <c r="S253" s="3">
        <f>IF(B253="","",IF(R253&gt;=5,"A+",IF(R253&gt;=4,"A",IF(R253&gt;=3.5,"A-",IF(R253&gt;=3,"B",IF(R253&gt;=2,"C",IF(R253&gt;=1,"D","F")))))))</f>
        <v/>
      </c>
      <c r="T253" s="3">
        <f>IF(OR(B253="",S253="F"),"",COUNTIFS(P:P,"&gt;"&amp;P253,S:S,"&lt;&gt;F")+1)</f>
        <v/>
      </c>
      <c r="U253">
        <f>IF(B253="","",IF(C253&lt;33.0,0,IF(C253&gt;=100*0.8,5,IF(C253&gt;=100*0.7,4,IF(C253&gt;=100*0.6,3.5,IF(C253&gt;=100*0.5,3,IF(C253&gt;=100*0.4,2,IF(C253&gt;=100*0.33,1,0))))))))</f>
        <v/>
      </c>
      <c r="V253">
        <f>IF(B253="","",IF(D253&lt;33.0,0,IF(D253&gt;=100*0.8,5,IF(D253&gt;=100*0.7,4,IF(D253&gt;=100*0.6,3.5,IF(D253&gt;=100*0.5,3,IF(D253&gt;=100*0.4,2,IF(D253&gt;=100*0.33,1,0))))))))</f>
        <v/>
      </c>
      <c r="W253">
        <f>IF(B253="","",IF(E253&lt;16.5,0,IF(E253&gt;=50*0.8,5,IF(E253&gt;=50*0.7,4,IF(E253&gt;=50*0.6,3.5,IF(E253&gt;=50*0.5,3,IF(E253&gt;=50*0.4,2,IF(E253&gt;=50*0.33,1,0))))))))</f>
        <v/>
      </c>
      <c r="X253">
        <f>IF(B253="","",IF(F253&lt;33.0,0,IF(F253&gt;=100*0.8,5,IF(F253&gt;=100*0.7,4,IF(F253&gt;=100*0.6,3.5,IF(F253&gt;=100*0.5,3,IF(F253&gt;=100*0.4,2,IF(F253&gt;=100*0.33,1,0))))))))</f>
        <v/>
      </c>
      <c r="Y253">
        <f>IF(B253="","",IF(G253&lt;16.5,0,IF(G253&gt;=50*0.8,5,IF(G253&gt;=50*0.7,4,IF(G253&gt;=50*0.6,3.5,IF(G253&gt;=50*0.5,3,IF(G253&gt;=50*0.4,2,IF(G253&gt;=50*0.33,1,0))))))))</f>
        <v/>
      </c>
      <c r="Z253">
        <f>IF(B253="","",IF(H253&lt;33.0,0,IF(H253&gt;=100*0.8,5,IF(H253&gt;=100*0.7,4,IF(H253&gt;=100*0.6,3.5,IF(H253&gt;=100*0.5,3,IF(H253&gt;=100*0.4,2,IF(H253&gt;=100*0.33,1,0))))))))</f>
        <v/>
      </c>
      <c r="AA253">
        <f>IF(B253="","",IF(I253&lt;33.0,0,IF(I253&gt;=100*0.8,5,IF(I253&gt;=100*0.7,4,IF(I253&gt;=100*0.6,3.5,IF(I253&gt;=100*0.5,3,IF(I253&gt;=100*0.4,2,IF(I253&gt;=100*0.33,1,0))))))))</f>
        <v/>
      </c>
      <c r="AB253">
        <f>IF(B253="","",IF(J253&lt;33.0,0,IF(J253&gt;=100*0.8,5,IF(J253&gt;=100*0.7,4,IF(J253&gt;=100*0.6,3.5,IF(J253&gt;=100*0.5,3,IF(J253&gt;=100*0.4,2,IF(J253&gt;=100*0.33,1,0))))))))</f>
        <v/>
      </c>
      <c r="AC253">
        <f>IF(B253="","",IF(K253&lt;33.0,0,IF(K253&gt;=100*0.8,5,IF(K253&gt;=100*0.7,4,IF(K253&gt;=100*0.6,3.5,IF(K253&gt;=100*0.5,3,IF(K253&gt;=100*0.4,2,IF(K253&gt;=100*0.33,1,0))))))))</f>
        <v/>
      </c>
      <c r="AD253">
        <f>IF(B253="","",IF(L253&lt;33.0,0,IF(L253&gt;=100*0.8,5,IF(L253&gt;=100*0.7,4,IF(L253&gt;=100*0.6,3.5,IF(L253&gt;=100*0.5,3,IF(L253&gt;=100*0.4,2,IF(L253&gt;=100*0.33,1,0))))))))</f>
        <v/>
      </c>
      <c r="AE253">
        <f>IF(B253="","",IF(M253&lt;33.0,0,IF(M253&gt;=100*0.8,5,IF(M253&gt;=100*0.7,4,IF(M253&gt;=100*0.6,3.5,IF(M253&gt;=100*0.5,3,IF(M253&gt;=100*0.4,2,IF(M253&gt;=100*0.33,1,0))))))))</f>
        <v/>
      </c>
      <c r="AF253">
        <f>IF(B253="","",IF(N253&lt;16.5,0,IF(N253&gt;=50*0.8,5,IF(N253&gt;=50*0.7,4,IF(N253&gt;=50*0.6,3.5,IF(N253&gt;=50*0.5,3,IF(N253&gt;=50*0.4,2,IF(N253&gt;=50*0.33,1,0))))))))</f>
        <v/>
      </c>
      <c r="AG253">
        <f>IF(B253="","",IF(O253&lt;33.0,0,IF(O253&gt;=100*0.8,5,IF(O253&gt;=100*0.7,4,IF(O253&gt;=100*0.6,3.5,IF(O253&gt;=100*0.5,3,IF(O253&gt;=100*0.4,2,IF(O253&gt;=100*0.33,1,0))))))))</f>
        <v/>
      </c>
      <c r="AH253">
        <f>IF(B253="","",IF(OR(U253=0,V253=0,W253=0,X253=0,Y253=0,Z253=0,AA253=0,AB253=0,AC253=0,AD253=0,AE253=0,AF253=0,AG253=0),1,0))</f>
        <v/>
      </c>
    </row>
    <row r="254">
      <c r="A254" s="3">
        <f>IF(B254="","",ROW()-2)</f>
        <v/>
      </c>
      <c r="P254" s="4">
        <f>IF(B254="","",SUM(C254:O254))</f>
        <v/>
      </c>
      <c r="Q254" s="5">
        <f>IF(B254="","",ROUND(P254/13,2))</f>
        <v/>
      </c>
      <c r="R254" s="5">
        <f>IF(B254="","",IF(AH254=1,0,MIN(5,ROUND((U254+V254+W254+X254+Y254+Z254+AA254+AB254+AC254+AD254+AE254+AF254+AG254)/13,2))))</f>
        <v/>
      </c>
      <c r="S254" s="3">
        <f>IF(B254="","",IF(R254&gt;=5,"A+",IF(R254&gt;=4,"A",IF(R254&gt;=3.5,"A-",IF(R254&gt;=3,"B",IF(R254&gt;=2,"C",IF(R254&gt;=1,"D","F")))))))</f>
        <v/>
      </c>
      <c r="T254" s="3">
        <f>IF(OR(B254="",S254="F"),"",COUNTIFS(P:P,"&gt;"&amp;P254,S:S,"&lt;&gt;F")+1)</f>
        <v/>
      </c>
      <c r="U254">
        <f>IF(B254="","",IF(C254&lt;33.0,0,IF(C254&gt;=100*0.8,5,IF(C254&gt;=100*0.7,4,IF(C254&gt;=100*0.6,3.5,IF(C254&gt;=100*0.5,3,IF(C254&gt;=100*0.4,2,IF(C254&gt;=100*0.33,1,0))))))))</f>
        <v/>
      </c>
      <c r="V254">
        <f>IF(B254="","",IF(D254&lt;33.0,0,IF(D254&gt;=100*0.8,5,IF(D254&gt;=100*0.7,4,IF(D254&gt;=100*0.6,3.5,IF(D254&gt;=100*0.5,3,IF(D254&gt;=100*0.4,2,IF(D254&gt;=100*0.33,1,0))))))))</f>
        <v/>
      </c>
      <c r="W254">
        <f>IF(B254="","",IF(E254&lt;16.5,0,IF(E254&gt;=50*0.8,5,IF(E254&gt;=50*0.7,4,IF(E254&gt;=50*0.6,3.5,IF(E254&gt;=50*0.5,3,IF(E254&gt;=50*0.4,2,IF(E254&gt;=50*0.33,1,0))))))))</f>
        <v/>
      </c>
      <c r="X254">
        <f>IF(B254="","",IF(F254&lt;33.0,0,IF(F254&gt;=100*0.8,5,IF(F254&gt;=100*0.7,4,IF(F254&gt;=100*0.6,3.5,IF(F254&gt;=100*0.5,3,IF(F254&gt;=100*0.4,2,IF(F254&gt;=100*0.33,1,0))))))))</f>
        <v/>
      </c>
      <c r="Y254">
        <f>IF(B254="","",IF(G254&lt;16.5,0,IF(G254&gt;=50*0.8,5,IF(G254&gt;=50*0.7,4,IF(G254&gt;=50*0.6,3.5,IF(G254&gt;=50*0.5,3,IF(G254&gt;=50*0.4,2,IF(G254&gt;=50*0.33,1,0))))))))</f>
        <v/>
      </c>
      <c r="Z254">
        <f>IF(B254="","",IF(H254&lt;33.0,0,IF(H254&gt;=100*0.8,5,IF(H254&gt;=100*0.7,4,IF(H254&gt;=100*0.6,3.5,IF(H254&gt;=100*0.5,3,IF(H254&gt;=100*0.4,2,IF(H254&gt;=100*0.33,1,0))))))))</f>
        <v/>
      </c>
      <c r="AA254">
        <f>IF(B254="","",IF(I254&lt;33.0,0,IF(I254&gt;=100*0.8,5,IF(I254&gt;=100*0.7,4,IF(I254&gt;=100*0.6,3.5,IF(I254&gt;=100*0.5,3,IF(I254&gt;=100*0.4,2,IF(I254&gt;=100*0.33,1,0))))))))</f>
        <v/>
      </c>
      <c r="AB254">
        <f>IF(B254="","",IF(J254&lt;33.0,0,IF(J254&gt;=100*0.8,5,IF(J254&gt;=100*0.7,4,IF(J254&gt;=100*0.6,3.5,IF(J254&gt;=100*0.5,3,IF(J254&gt;=100*0.4,2,IF(J254&gt;=100*0.33,1,0))))))))</f>
        <v/>
      </c>
      <c r="AC254">
        <f>IF(B254="","",IF(K254&lt;33.0,0,IF(K254&gt;=100*0.8,5,IF(K254&gt;=100*0.7,4,IF(K254&gt;=100*0.6,3.5,IF(K254&gt;=100*0.5,3,IF(K254&gt;=100*0.4,2,IF(K254&gt;=100*0.33,1,0))))))))</f>
        <v/>
      </c>
      <c r="AD254">
        <f>IF(B254="","",IF(L254&lt;33.0,0,IF(L254&gt;=100*0.8,5,IF(L254&gt;=100*0.7,4,IF(L254&gt;=100*0.6,3.5,IF(L254&gt;=100*0.5,3,IF(L254&gt;=100*0.4,2,IF(L254&gt;=100*0.33,1,0))))))))</f>
        <v/>
      </c>
      <c r="AE254">
        <f>IF(B254="","",IF(M254&lt;33.0,0,IF(M254&gt;=100*0.8,5,IF(M254&gt;=100*0.7,4,IF(M254&gt;=100*0.6,3.5,IF(M254&gt;=100*0.5,3,IF(M254&gt;=100*0.4,2,IF(M254&gt;=100*0.33,1,0))))))))</f>
        <v/>
      </c>
      <c r="AF254">
        <f>IF(B254="","",IF(N254&lt;16.5,0,IF(N254&gt;=50*0.8,5,IF(N254&gt;=50*0.7,4,IF(N254&gt;=50*0.6,3.5,IF(N254&gt;=50*0.5,3,IF(N254&gt;=50*0.4,2,IF(N254&gt;=50*0.33,1,0))))))))</f>
        <v/>
      </c>
      <c r="AG254">
        <f>IF(B254="","",IF(O254&lt;33.0,0,IF(O254&gt;=100*0.8,5,IF(O254&gt;=100*0.7,4,IF(O254&gt;=100*0.6,3.5,IF(O254&gt;=100*0.5,3,IF(O254&gt;=100*0.4,2,IF(O254&gt;=100*0.33,1,0))))))))</f>
        <v/>
      </c>
      <c r="AH254">
        <f>IF(B254="","",IF(OR(U254=0,V254=0,W254=0,X254=0,Y254=0,Z254=0,AA254=0,AB254=0,AC254=0,AD254=0,AE254=0,AF254=0,AG254=0),1,0))</f>
        <v/>
      </c>
    </row>
    <row r="255">
      <c r="A255" s="3">
        <f>IF(B255="","",ROW()-2)</f>
        <v/>
      </c>
      <c r="P255" s="4">
        <f>IF(B255="","",SUM(C255:O255))</f>
        <v/>
      </c>
      <c r="Q255" s="5">
        <f>IF(B255="","",ROUND(P255/13,2))</f>
        <v/>
      </c>
      <c r="R255" s="5">
        <f>IF(B255="","",IF(AH255=1,0,MIN(5,ROUND((U255+V255+W255+X255+Y255+Z255+AA255+AB255+AC255+AD255+AE255+AF255+AG255)/13,2))))</f>
        <v/>
      </c>
      <c r="S255" s="3">
        <f>IF(B255="","",IF(R255&gt;=5,"A+",IF(R255&gt;=4,"A",IF(R255&gt;=3.5,"A-",IF(R255&gt;=3,"B",IF(R255&gt;=2,"C",IF(R255&gt;=1,"D","F")))))))</f>
        <v/>
      </c>
      <c r="T255" s="3">
        <f>IF(OR(B255="",S255="F"),"",COUNTIFS(P:P,"&gt;"&amp;P255,S:S,"&lt;&gt;F")+1)</f>
        <v/>
      </c>
      <c r="U255">
        <f>IF(B255="","",IF(C255&lt;33.0,0,IF(C255&gt;=100*0.8,5,IF(C255&gt;=100*0.7,4,IF(C255&gt;=100*0.6,3.5,IF(C255&gt;=100*0.5,3,IF(C255&gt;=100*0.4,2,IF(C255&gt;=100*0.33,1,0))))))))</f>
        <v/>
      </c>
      <c r="V255">
        <f>IF(B255="","",IF(D255&lt;33.0,0,IF(D255&gt;=100*0.8,5,IF(D255&gt;=100*0.7,4,IF(D255&gt;=100*0.6,3.5,IF(D255&gt;=100*0.5,3,IF(D255&gt;=100*0.4,2,IF(D255&gt;=100*0.33,1,0))))))))</f>
        <v/>
      </c>
      <c r="W255">
        <f>IF(B255="","",IF(E255&lt;16.5,0,IF(E255&gt;=50*0.8,5,IF(E255&gt;=50*0.7,4,IF(E255&gt;=50*0.6,3.5,IF(E255&gt;=50*0.5,3,IF(E255&gt;=50*0.4,2,IF(E255&gt;=50*0.33,1,0))))))))</f>
        <v/>
      </c>
      <c r="X255">
        <f>IF(B255="","",IF(F255&lt;33.0,0,IF(F255&gt;=100*0.8,5,IF(F255&gt;=100*0.7,4,IF(F255&gt;=100*0.6,3.5,IF(F255&gt;=100*0.5,3,IF(F255&gt;=100*0.4,2,IF(F255&gt;=100*0.33,1,0))))))))</f>
        <v/>
      </c>
      <c r="Y255">
        <f>IF(B255="","",IF(G255&lt;16.5,0,IF(G255&gt;=50*0.8,5,IF(G255&gt;=50*0.7,4,IF(G255&gt;=50*0.6,3.5,IF(G255&gt;=50*0.5,3,IF(G255&gt;=50*0.4,2,IF(G255&gt;=50*0.33,1,0))))))))</f>
        <v/>
      </c>
      <c r="Z255">
        <f>IF(B255="","",IF(H255&lt;33.0,0,IF(H255&gt;=100*0.8,5,IF(H255&gt;=100*0.7,4,IF(H255&gt;=100*0.6,3.5,IF(H255&gt;=100*0.5,3,IF(H255&gt;=100*0.4,2,IF(H255&gt;=100*0.33,1,0))))))))</f>
        <v/>
      </c>
      <c r="AA255">
        <f>IF(B255="","",IF(I255&lt;33.0,0,IF(I255&gt;=100*0.8,5,IF(I255&gt;=100*0.7,4,IF(I255&gt;=100*0.6,3.5,IF(I255&gt;=100*0.5,3,IF(I255&gt;=100*0.4,2,IF(I255&gt;=100*0.33,1,0))))))))</f>
        <v/>
      </c>
      <c r="AB255">
        <f>IF(B255="","",IF(J255&lt;33.0,0,IF(J255&gt;=100*0.8,5,IF(J255&gt;=100*0.7,4,IF(J255&gt;=100*0.6,3.5,IF(J255&gt;=100*0.5,3,IF(J255&gt;=100*0.4,2,IF(J255&gt;=100*0.33,1,0))))))))</f>
        <v/>
      </c>
      <c r="AC255">
        <f>IF(B255="","",IF(K255&lt;33.0,0,IF(K255&gt;=100*0.8,5,IF(K255&gt;=100*0.7,4,IF(K255&gt;=100*0.6,3.5,IF(K255&gt;=100*0.5,3,IF(K255&gt;=100*0.4,2,IF(K255&gt;=100*0.33,1,0))))))))</f>
        <v/>
      </c>
      <c r="AD255">
        <f>IF(B255="","",IF(L255&lt;33.0,0,IF(L255&gt;=100*0.8,5,IF(L255&gt;=100*0.7,4,IF(L255&gt;=100*0.6,3.5,IF(L255&gt;=100*0.5,3,IF(L255&gt;=100*0.4,2,IF(L255&gt;=100*0.33,1,0))))))))</f>
        <v/>
      </c>
      <c r="AE255">
        <f>IF(B255="","",IF(M255&lt;33.0,0,IF(M255&gt;=100*0.8,5,IF(M255&gt;=100*0.7,4,IF(M255&gt;=100*0.6,3.5,IF(M255&gt;=100*0.5,3,IF(M255&gt;=100*0.4,2,IF(M255&gt;=100*0.33,1,0))))))))</f>
        <v/>
      </c>
      <c r="AF255">
        <f>IF(B255="","",IF(N255&lt;16.5,0,IF(N255&gt;=50*0.8,5,IF(N255&gt;=50*0.7,4,IF(N255&gt;=50*0.6,3.5,IF(N255&gt;=50*0.5,3,IF(N255&gt;=50*0.4,2,IF(N255&gt;=50*0.33,1,0))))))))</f>
        <v/>
      </c>
      <c r="AG255">
        <f>IF(B255="","",IF(O255&lt;33.0,0,IF(O255&gt;=100*0.8,5,IF(O255&gt;=100*0.7,4,IF(O255&gt;=100*0.6,3.5,IF(O255&gt;=100*0.5,3,IF(O255&gt;=100*0.4,2,IF(O255&gt;=100*0.33,1,0))))))))</f>
        <v/>
      </c>
      <c r="AH255">
        <f>IF(B255="","",IF(OR(U255=0,V255=0,W255=0,X255=0,Y255=0,Z255=0,AA255=0,AB255=0,AC255=0,AD255=0,AE255=0,AF255=0,AG255=0),1,0))</f>
        <v/>
      </c>
    </row>
    <row r="256">
      <c r="A256" s="3">
        <f>IF(B256="","",ROW()-2)</f>
        <v/>
      </c>
      <c r="P256" s="4">
        <f>IF(B256="","",SUM(C256:O256))</f>
        <v/>
      </c>
      <c r="Q256" s="5">
        <f>IF(B256="","",ROUND(P256/13,2))</f>
        <v/>
      </c>
      <c r="R256" s="5">
        <f>IF(B256="","",IF(AH256=1,0,MIN(5,ROUND((U256+V256+W256+X256+Y256+Z256+AA256+AB256+AC256+AD256+AE256+AF256+AG256)/13,2))))</f>
        <v/>
      </c>
      <c r="S256" s="3">
        <f>IF(B256="","",IF(R256&gt;=5,"A+",IF(R256&gt;=4,"A",IF(R256&gt;=3.5,"A-",IF(R256&gt;=3,"B",IF(R256&gt;=2,"C",IF(R256&gt;=1,"D","F")))))))</f>
        <v/>
      </c>
      <c r="T256" s="3">
        <f>IF(OR(B256="",S256="F"),"",COUNTIFS(P:P,"&gt;"&amp;P256,S:S,"&lt;&gt;F")+1)</f>
        <v/>
      </c>
      <c r="U256">
        <f>IF(B256="","",IF(C256&lt;33.0,0,IF(C256&gt;=100*0.8,5,IF(C256&gt;=100*0.7,4,IF(C256&gt;=100*0.6,3.5,IF(C256&gt;=100*0.5,3,IF(C256&gt;=100*0.4,2,IF(C256&gt;=100*0.33,1,0))))))))</f>
        <v/>
      </c>
      <c r="V256">
        <f>IF(B256="","",IF(D256&lt;33.0,0,IF(D256&gt;=100*0.8,5,IF(D256&gt;=100*0.7,4,IF(D256&gt;=100*0.6,3.5,IF(D256&gt;=100*0.5,3,IF(D256&gt;=100*0.4,2,IF(D256&gt;=100*0.33,1,0))))))))</f>
        <v/>
      </c>
      <c r="W256">
        <f>IF(B256="","",IF(E256&lt;16.5,0,IF(E256&gt;=50*0.8,5,IF(E256&gt;=50*0.7,4,IF(E256&gt;=50*0.6,3.5,IF(E256&gt;=50*0.5,3,IF(E256&gt;=50*0.4,2,IF(E256&gt;=50*0.33,1,0))))))))</f>
        <v/>
      </c>
      <c r="X256">
        <f>IF(B256="","",IF(F256&lt;33.0,0,IF(F256&gt;=100*0.8,5,IF(F256&gt;=100*0.7,4,IF(F256&gt;=100*0.6,3.5,IF(F256&gt;=100*0.5,3,IF(F256&gt;=100*0.4,2,IF(F256&gt;=100*0.33,1,0))))))))</f>
        <v/>
      </c>
      <c r="Y256">
        <f>IF(B256="","",IF(G256&lt;16.5,0,IF(G256&gt;=50*0.8,5,IF(G256&gt;=50*0.7,4,IF(G256&gt;=50*0.6,3.5,IF(G256&gt;=50*0.5,3,IF(G256&gt;=50*0.4,2,IF(G256&gt;=50*0.33,1,0))))))))</f>
        <v/>
      </c>
      <c r="Z256">
        <f>IF(B256="","",IF(H256&lt;33.0,0,IF(H256&gt;=100*0.8,5,IF(H256&gt;=100*0.7,4,IF(H256&gt;=100*0.6,3.5,IF(H256&gt;=100*0.5,3,IF(H256&gt;=100*0.4,2,IF(H256&gt;=100*0.33,1,0))))))))</f>
        <v/>
      </c>
      <c r="AA256">
        <f>IF(B256="","",IF(I256&lt;33.0,0,IF(I256&gt;=100*0.8,5,IF(I256&gt;=100*0.7,4,IF(I256&gt;=100*0.6,3.5,IF(I256&gt;=100*0.5,3,IF(I256&gt;=100*0.4,2,IF(I256&gt;=100*0.33,1,0))))))))</f>
        <v/>
      </c>
      <c r="AB256">
        <f>IF(B256="","",IF(J256&lt;33.0,0,IF(J256&gt;=100*0.8,5,IF(J256&gt;=100*0.7,4,IF(J256&gt;=100*0.6,3.5,IF(J256&gt;=100*0.5,3,IF(J256&gt;=100*0.4,2,IF(J256&gt;=100*0.33,1,0))))))))</f>
        <v/>
      </c>
      <c r="AC256">
        <f>IF(B256="","",IF(K256&lt;33.0,0,IF(K256&gt;=100*0.8,5,IF(K256&gt;=100*0.7,4,IF(K256&gt;=100*0.6,3.5,IF(K256&gt;=100*0.5,3,IF(K256&gt;=100*0.4,2,IF(K256&gt;=100*0.33,1,0))))))))</f>
        <v/>
      </c>
      <c r="AD256">
        <f>IF(B256="","",IF(L256&lt;33.0,0,IF(L256&gt;=100*0.8,5,IF(L256&gt;=100*0.7,4,IF(L256&gt;=100*0.6,3.5,IF(L256&gt;=100*0.5,3,IF(L256&gt;=100*0.4,2,IF(L256&gt;=100*0.33,1,0))))))))</f>
        <v/>
      </c>
      <c r="AE256">
        <f>IF(B256="","",IF(M256&lt;33.0,0,IF(M256&gt;=100*0.8,5,IF(M256&gt;=100*0.7,4,IF(M256&gt;=100*0.6,3.5,IF(M256&gt;=100*0.5,3,IF(M256&gt;=100*0.4,2,IF(M256&gt;=100*0.33,1,0))))))))</f>
        <v/>
      </c>
      <c r="AF256">
        <f>IF(B256="","",IF(N256&lt;16.5,0,IF(N256&gt;=50*0.8,5,IF(N256&gt;=50*0.7,4,IF(N256&gt;=50*0.6,3.5,IF(N256&gt;=50*0.5,3,IF(N256&gt;=50*0.4,2,IF(N256&gt;=50*0.33,1,0))))))))</f>
        <v/>
      </c>
      <c r="AG256">
        <f>IF(B256="","",IF(O256&lt;33.0,0,IF(O256&gt;=100*0.8,5,IF(O256&gt;=100*0.7,4,IF(O256&gt;=100*0.6,3.5,IF(O256&gt;=100*0.5,3,IF(O256&gt;=100*0.4,2,IF(O256&gt;=100*0.33,1,0))))))))</f>
        <v/>
      </c>
      <c r="AH256">
        <f>IF(B256="","",IF(OR(U256=0,V256=0,W256=0,X256=0,Y256=0,Z256=0,AA256=0,AB256=0,AC256=0,AD256=0,AE256=0,AF256=0,AG256=0),1,0))</f>
        <v/>
      </c>
    </row>
    <row r="257">
      <c r="A257" s="3">
        <f>IF(B257="","",ROW()-2)</f>
        <v/>
      </c>
      <c r="P257" s="4">
        <f>IF(B257="","",SUM(C257:O257))</f>
        <v/>
      </c>
      <c r="Q257" s="5">
        <f>IF(B257="","",ROUND(P257/13,2))</f>
        <v/>
      </c>
      <c r="R257" s="5">
        <f>IF(B257="","",IF(AH257=1,0,MIN(5,ROUND((U257+V257+W257+X257+Y257+Z257+AA257+AB257+AC257+AD257+AE257+AF257+AG257)/13,2))))</f>
        <v/>
      </c>
      <c r="S257" s="3">
        <f>IF(B257="","",IF(R257&gt;=5,"A+",IF(R257&gt;=4,"A",IF(R257&gt;=3.5,"A-",IF(R257&gt;=3,"B",IF(R257&gt;=2,"C",IF(R257&gt;=1,"D","F")))))))</f>
        <v/>
      </c>
      <c r="T257" s="3">
        <f>IF(OR(B257="",S257="F"),"",COUNTIFS(P:P,"&gt;"&amp;P257,S:S,"&lt;&gt;F")+1)</f>
        <v/>
      </c>
      <c r="U257">
        <f>IF(B257="","",IF(C257&lt;33.0,0,IF(C257&gt;=100*0.8,5,IF(C257&gt;=100*0.7,4,IF(C257&gt;=100*0.6,3.5,IF(C257&gt;=100*0.5,3,IF(C257&gt;=100*0.4,2,IF(C257&gt;=100*0.33,1,0))))))))</f>
        <v/>
      </c>
      <c r="V257">
        <f>IF(B257="","",IF(D257&lt;33.0,0,IF(D257&gt;=100*0.8,5,IF(D257&gt;=100*0.7,4,IF(D257&gt;=100*0.6,3.5,IF(D257&gt;=100*0.5,3,IF(D257&gt;=100*0.4,2,IF(D257&gt;=100*0.33,1,0))))))))</f>
        <v/>
      </c>
      <c r="W257">
        <f>IF(B257="","",IF(E257&lt;16.5,0,IF(E257&gt;=50*0.8,5,IF(E257&gt;=50*0.7,4,IF(E257&gt;=50*0.6,3.5,IF(E257&gt;=50*0.5,3,IF(E257&gt;=50*0.4,2,IF(E257&gt;=50*0.33,1,0))))))))</f>
        <v/>
      </c>
      <c r="X257">
        <f>IF(B257="","",IF(F257&lt;33.0,0,IF(F257&gt;=100*0.8,5,IF(F257&gt;=100*0.7,4,IF(F257&gt;=100*0.6,3.5,IF(F257&gt;=100*0.5,3,IF(F257&gt;=100*0.4,2,IF(F257&gt;=100*0.33,1,0))))))))</f>
        <v/>
      </c>
      <c r="Y257">
        <f>IF(B257="","",IF(G257&lt;16.5,0,IF(G257&gt;=50*0.8,5,IF(G257&gt;=50*0.7,4,IF(G257&gt;=50*0.6,3.5,IF(G257&gt;=50*0.5,3,IF(G257&gt;=50*0.4,2,IF(G257&gt;=50*0.33,1,0))))))))</f>
        <v/>
      </c>
      <c r="Z257">
        <f>IF(B257="","",IF(H257&lt;33.0,0,IF(H257&gt;=100*0.8,5,IF(H257&gt;=100*0.7,4,IF(H257&gt;=100*0.6,3.5,IF(H257&gt;=100*0.5,3,IF(H257&gt;=100*0.4,2,IF(H257&gt;=100*0.33,1,0))))))))</f>
        <v/>
      </c>
      <c r="AA257">
        <f>IF(B257="","",IF(I257&lt;33.0,0,IF(I257&gt;=100*0.8,5,IF(I257&gt;=100*0.7,4,IF(I257&gt;=100*0.6,3.5,IF(I257&gt;=100*0.5,3,IF(I257&gt;=100*0.4,2,IF(I257&gt;=100*0.33,1,0))))))))</f>
        <v/>
      </c>
      <c r="AB257">
        <f>IF(B257="","",IF(J257&lt;33.0,0,IF(J257&gt;=100*0.8,5,IF(J257&gt;=100*0.7,4,IF(J257&gt;=100*0.6,3.5,IF(J257&gt;=100*0.5,3,IF(J257&gt;=100*0.4,2,IF(J257&gt;=100*0.33,1,0))))))))</f>
        <v/>
      </c>
      <c r="AC257">
        <f>IF(B257="","",IF(K257&lt;33.0,0,IF(K257&gt;=100*0.8,5,IF(K257&gt;=100*0.7,4,IF(K257&gt;=100*0.6,3.5,IF(K257&gt;=100*0.5,3,IF(K257&gt;=100*0.4,2,IF(K257&gt;=100*0.33,1,0))))))))</f>
        <v/>
      </c>
      <c r="AD257">
        <f>IF(B257="","",IF(L257&lt;33.0,0,IF(L257&gt;=100*0.8,5,IF(L257&gt;=100*0.7,4,IF(L257&gt;=100*0.6,3.5,IF(L257&gt;=100*0.5,3,IF(L257&gt;=100*0.4,2,IF(L257&gt;=100*0.33,1,0))))))))</f>
        <v/>
      </c>
      <c r="AE257">
        <f>IF(B257="","",IF(M257&lt;33.0,0,IF(M257&gt;=100*0.8,5,IF(M257&gt;=100*0.7,4,IF(M257&gt;=100*0.6,3.5,IF(M257&gt;=100*0.5,3,IF(M257&gt;=100*0.4,2,IF(M257&gt;=100*0.33,1,0))))))))</f>
        <v/>
      </c>
      <c r="AF257">
        <f>IF(B257="","",IF(N257&lt;16.5,0,IF(N257&gt;=50*0.8,5,IF(N257&gt;=50*0.7,4,IF(N257&gt;=50*0.6,3.5,IF(N257&gt;=50*0.5,3,IF(N257&gt;=50*0.4,2,IF(N257&gt;=50*0.33,1,0))))))))</f>
        <v/>
      </c>
      <c r="AG257">
        <f>IF(B257="","",IF(O257&lt;33.0,0,IF(O257&gt;=100*0.8,5,IF(O257&gt;=100*0.7,4,IF(O257&gt;=100*0.6,3.5,IF(O257&gt;=100*0.5,3,IF(O257&gt;=100*0.4,2,IF(O257&gt;=100*0.33,1,0))))))))</f>
        <v/>
      </c>
      <c r="AH257">
        <f>IF(B257="","",IF(OR(U257=0,V257=0,W257=0,X257=0,Y257=0,Z257=0,AA257=0,AB257=0,AC257=0,AD257=0,AE257=0,AF257=0,AG257=0),1,0))</f>
        <v/>
      </c>
    </row>
    <row r="258">
      <c r="A258" s="3">
        <f>IF(B258="","",ROW()-2)</f>
        <v/>
      </c>
      <c r="P258" s="4">
        <f>IF(B258="","",SUM(C258:O258))</f>
        <v/>
      </c>
      <c r="Q258" s="5">
        <f>IF(B258="","",ROUND(P258/13,2))</f>
        <v/>
      </c>
      <c r="R258" s="5">
        <f>IF(B258="","",IF(AH258=1,0,MIN(5,ROUND((U258+V258+W258+X258+Y258+Z258+AA258+AB258+AC258+AD258+AE258+AF258+AG258)/13,2))))</f>
        <v/>
      </c>
      <c r="S258" s="3">
        <f>IF(B258="","",IF(R258&gt;=5,"A+",IF(R258&gt;=4,"A",IF(R258&gt;=3.5,"A-",IF(R258&gt;=3,"B",IF(R258&gt;=2,"C",IF(R258&gt;=1,"D","F")))))))</f>
        <v/>
      </c>
      <c r="T258" s="3">
        <f>IF(OR(B258="",S258="F"),"",COUNTIFS(P:P,"&gt;"&amp;P258,S:S,"&lt;&gt;F")+1)</f>
        <v/>
      </c>
      <c r="U258">
        <f>IF(B258="","",IF(C258&lt;33.0,0,IF(C258&gt;=100*0.8,5,IF(C258&gt;=100*0.7,4,IF(C258&gt;=100*0.6,3.5,IF(C258&gt;=100*0.5,3,IF(C258&gt;=100*0.4,2,IF(C258&gt;=100*0.33,1,0))))))))</f>
        <v/>
      </c>
      <c r="V258">
        <f>IF(B258="","",IF(D258&lt;33.0,0,IF(D258&gt;=100*0.8,5,IF(D258&gt;=100*0.7,4,IF(D258&gt;=100*0.6,3.5,IF(D258&gt;=100*0.5,3,IF(D258&gt;=100*0.4,2,IF(D258&gt;=100*0.33,1,0))))))))</f>
        <v/>
      </c>
      <c r="W258">
        <f>IF(B258="","",IF(E258&lt;16.5,0,IF(E258&gt;=50*0.8,5,IF(E258&gt;=50*0.7,4,IF(E258&gt;=50*0.6,3.5,IF(E258&gt;=50*0.5,3,IF(E258&gt;=50*0.4,2,IF(E258&gt;=50*0.33,1,0))))))))</f>
        <v/>
      </c>
      <c r="X258">
        <f>IF(B258="","",IF(F258&lt;33.0,0,IF(F258&gt;=100*0.8,5,IF(F258&gt;=100*0.7,4,IF(F258&gt;=100*0.6,3.5,IF(F258&gt;=100*0.5,3,IF(F258&gt;=100*0.4,2,IF(F258&gt;=100*0.33,1,0))))))))</f>
        <v/>
      </c>
      <c r="Y258">
        <f>IF(B258="","",IF(G258&lt;16.5,0,IF(G258&gt;=50*0.8,5,IF(G258&gt;=50*0.7,4,IF(G258&gt;=50*0.6,3.5,IF(G258&gt;=50*0.5,3,IF(G258&gt;=50*0.4,2,IF(G258&gt;=50*0.33,1,0))))))))</f>
        <v/>
      </c>
      <c r="Z258">
        <f>IF(B258="","",IF(H258&lt;33.0,0,IF(H258&gt;=100*0.8,5,IF(H258&gt;=100*0.7,4,IF(H258&gt;=100*0.6,3.5,IF(H258&gt;=100*0.5,3,IF(H258&gt;=100*0.4,2,IF(H258&gt;=100*0.33,1,0))))))))</f>
        <v/>
      </c>
      <c r="AA258">
        <f>IF(B258="","",IF(I258&lt;33.0,0,IF(I258&gt;=100*0.8,5,IF(I258&gt;=100*0.7,4,IF(I258&gt;=100*0.6,3.5,IF(I258&gt;=100*0.5,3,IF(I258&gt;=100*0.4,2,IF(I258&gt;=100*0.33,1,0))))))))</f>
        <v/>
      </c>
      <c r="AB258">
        <f>IF(B258="","",IF(J258&lt;33.0,0,IF(J258&gt;=100*0.8,5,IF(J258&gt;=100*0.7,4,IF(J258&gt;=100*0.6,3.5,IF(J258&gt;=100*0.5,3,IF(J258&gt;=100*0.4,2,IF(J258&gt;=100*0.33,1,0))))))))</f>
        <v/>
      </c>
      <c r="AC258">
        <f>IF(B258="","",IF(K258&lt;33.0,0,IF(K258&gt;=100*0.8,5,IF(K258&gt;=100*0.7,4,IF(K258&gt;=100*0.6,3.5,IF(K258&gt;=100*0.5,3,IF(K258&gt;=100*0.4,2,IF(K258&gt;=100*0.33,1,0))))))))</f>
        <v/>
      </c>
      <c r="AD258">
        <f>IF(B258="","",IF(L258&lt;33.0,0,IF(L258&gt;=100*0.8,5,IF(L258&gt;=100*0.7,4,IF(L258&gt;=100*0.6,3.5,IF(L258&gt;=100*0.5,3,IF(L258&gt;=100*0.4,2,IF(L258&gt;=100*0.33,1,0))))))))</f>
        <v/>
      </c>
      <c r="AE258">
        <f>IF(B258="","",IF(M258&lt;33.0,0,IF(M258&gt;=100*0.8,5,IF(M258&gt;=100*0.7,4,IF(M258&gt;=100*0.6,3.5,IF(M258&gt;=100*0.5,3,IF(M258&gt;=100*0.4,2,IF(M258&gt;=100*0.33,1,0))))))))</f>
        <v/>
      </c>
      <c r="AF258">
        <f>IF(B258="","",IF(N258&lt;16.5,0,IF(N258&gt;=50*0.8,5,IF(N258&gt;=50*0.7,4,IF(N258&gt;=50*0.6,3.5,IF(N258&gt;=50*0.5,3,IF(N258&gt;=50*0.4,2,IF(N258&gt;=50*0.33,1,0))))))))</f>
        <v/>
      </c>
      <c r="AG258">
        <f>IF(B258="","",IF(O258&lt;33.0,0,IF(O258&gt;=100*0.8,5,IF(O258&gt;=100*0.7,4,IF(O258&gt;=100*0.6,3.5,IF(O258&gt;=100*0.5,3,IF(O258&gt;=100*0.4,2,IF(O258&gt;=100*0.33,1,0))))))))</f>
        <v/>
      </c>
      <c r="AH258">
        <f>IF(B258="","",IF(OR(U258=0,V258=0,W258=0,X258=0,Y258=0,Z258=0,AA258=0,AB258=0,AC258=0,AD258=0,AE258=0,AF258=0,AG258=0),1,0))</f>
        <v/>
      </c>
    </row>
    <row r="259">
      <c r="A259" s="3">
        <f>IF(B259="","",ROW()-2)</f>
        <v/>
      </c>
      <c r="P259" s="4">
        <f>IF(B259="","",SUM(C259:O259))</f>
        <v/>
      </c>
      <c r="Q259" s="5">
        <f>IF(B259="","",ROUND(P259/13,2))</f>
        <v/>
      </c>
      <c r="R259" s="5">
        <f>IF(B259="","",IF(AH259=1,0,MIN(5,ROUND((U259+V259+W259+X259+Y259+Z259+AA259+AB259+AC259+AD259+AE259+AF259+AG259)/13,2))))</f>
        <v/>
      </c>
      <c r="S259" s="3">
        <f>IF(B259="","",IF(R259&gt;=5,"A+",IF(R259&gt;=4,"A",IF(R259&gt;=3.5,"A-",IF(R259&gt;=3,"B",IF(R259&gt;=2,"C",IF(R259&gt;=1,"D","F")))))))</f>
        <v/>
      </c>
      <c r="T259" s="3">
        <f>IF(OR(B259="",S259="F"),"",COUNTIFS(P:P,"&gt;"&amp;P259,S:S,"&lt;&gt;F")+1)</f>
        <v/>
      </c>
      <c r="U259">
        <f>IF(B259="","",IF(C259&lt;33.0,0,IF(C259&gt;=100*0.8,5,IF(C259&gt;=100*0.7,4,IF(C259&gt;=100*0.6,3.5,IF(C259&gt;=100*0.5,3,IF(C259&gt;=100*0.4,2,IF(C259&gt;=100*0.33,1,0))))))))</f>
        <v/>
      </c>
      <c r="V259">
        <f>IF(B259="","",IF(D259&lt;33.0,0,IF(D259&gt;=100*0.8,5,IF(D259&gt;=100*0.7,4,IF(D259&gt;=100*0.6,3.5,IF(D259&gt;=100*0.5,3,IF(D259&gt;=100*0.4,2,IF(D259&gt;=100*0.33,1,0))))))))</f>
        <v/>
      </c>
      <c r="W259">
        <f>IF(B259="","",IF(E259&lt;16.5,0,IF(E259&gt;=50*0.8,5,IF(E259&gt;=50*0.7,4,IF(E259&gt;=50*0.6,3.5,IF(E259&gt;=50*0.5,3,IF(E259&gt;=50*0.4,2,IF(E259&gt;=50*0.33,1,0))))))))</f>
        <v/>
      </c>
      <c r="X259">
        <f>IF(B259="","",IF(F259&lt;33.0,0,IF(F259&gt;=100*0.8,5,IF(F259&gt;=100*0.7,4,IF(F259&gt;=100*0.6,3.5,IF(F259&gt;=100*0.5,3,IF(F259&gt;=100*0.4,2,IF(F259&gt;=100*0.33,1,0))))))))</f>
        <v/>
      </c>
      <c r="Y259">
        <f>IF(B259="","",IF(G259&lt;16.5,0,IF(G259&gt;=50*0.8,5,IF(G259&gt;=50*0.7,4,IF(G259&gt;=50*0.6,3.5,IF(G259&gt;=50*0.5,3,IF(G259&gt;=50*0.4,2,IF(G259&gt;=50*0.33,1,0))))))))</f>
        <v/>
      </c>
      <c r="Z259">
        <f>IF(B259="","",IF(H259&lt;33.0,0,IF(H259&gt;=100*0.8,5,IF(H259&gt;=100*0.7,4,IF(H259&gt;=100*0.6,3.5,IF(H259&gt;=100*0.5,3,IF(H259&gt;=100*0.4,2,IF(H259&gt;=100*0.33,1,0))))))))</f>
        <v/>
      </c>
      <c r="AA259">
        <f>IF(B259="","",IF(I259&lt;33.0,0,IF(I259&gt;=100*0.8,5,IF(I259&gt;=100*0.7,4,IF(I259&gt;=100*0.6,3.5,IF(I259&gt;=100*0.5,3,IF(I259&gt;=100*0.4,2,IF(I259&gt;=100*0.33,1,0))))))))</f>
        <v/>
      </c>
      <c r="AB259">
        <f>IF(B259="","",IF(J259&lt;33.0,0,IF(J259&gt;=100*0.8,5,IF(J259&gt;=100*0.7,4,IF(J259&gt;=100*0.6,3.5,IF(J259&gt;=100*0.5,3,IF(J259&gt;=100*0.4,2,IF(J259&gt;=100*0.33,1,0))))))))</f>
        <v/>
      </c>
      <c r="AC259">
        <f>IF(B259="","",IF(K259&lt;33.0,0,IF(K259&gt;=100*0.8,5,IF(K259&gt;=100*0.7,4,IF(K259&gt;=100*0.6,3.5,IF(K259&gt;=100*0.5,3,IF(K259&gt;=100*0.4,2,IF(K259&gt;=100*0.33,1,0))))))))</f>
        <v/>
      </c>
      <c r="AD259">
        <f>IF(B259="","",IF(L259&lt;33.0,0,IF(L259&gt;=100*0.8,5,IF(L259&gt;=100*0.7,4,IF(L259&gt;=100*0.6,3.5,IF(L259&gt;=100*0.5,3,IF(L259&gt;=100*0.4,2,IF(L259&gt;=100*0.33,1,0))))))))</f>
        <v/>
      </c>
      <c r="AE259">
        <f>IF(B259="","",IF(M259&lt;33.0,0,IF(M259&gt;=100*0.8,5,IF(M259&gt;=100*0.7,4,IF(M259&gt;=100*0.6,3.5,IF(M259&gt;=100*0.5,3,IF(M259&gt;=100*0.4,2,IF(M259&gt;=100*0.33,1,0))))))))</f>
        <v/>
      </c>
      <c r="AF259">
        <f>IF(B259="","",IF(N259&lt;16.5,0,IF(N259&gt;=50*0.8,5,IF(N259&gt;=50*0.7,4,IF(N259&gt;=50*0.6,3.5,IF(N259&gt;=50*0.5,3,IF(N259&gt;=50*0.4,2,IF(N259&gt;=50*0.33,1,0))))))))</f>
        <v/>
      </c>
      <c r="AG259">
        <f>IF(B259="","",IF(O259&lt;33.0,0,IF(O259&gt;=100*0.8,5,IF(O259&gt;=100*0.7,4,IF(O259&gt;=100*0.6,3.5,IF(O259&gt;=100*0.5,3,IF(O259&gt;=100*0.4,2,IF(O259&gt;=100*0.33,1,0))))))))</f>
        <v/>
      </c>
      <c r="AH259">
        <f>IF(B259="","",IF(OR(U259=0,V259=0,W259=0,X259=0,Y259=0,Z259=0,AA259=0,AB259=0,AC259=0,AD259=0,AE259=0,AF259=0,AG259=0),1,0))</f>
        <v/>
      </c>
    </row>
    <row r="260">
      <c r="A260" s="3">
        <f>IF(B260="","",ROW()-2)</f>
        <v/>
      </c>
      <c r="P260" s="4">
        <f>IF(B260="","",SUM(C260:O260))</f>
        <v/>
      </c>
      <c r="Q260" s="5">
        <f>IF(B260="","",ROUND(P260/13,2))</f>
        <v/>
      </c>
      <c r="R260" s="5">
        <f>IF(B260="","",IF(AH260=1,0,MIN(5,ROUND((U260+V260+W260+X260+Y260+Z260+AA260+AB260+AC260+AD260+AE260+AF260+AG260)/13,2))))</f>
        <v/>
      </c>
      <c r="S260" s="3">
        <f>IF(B260="","",IF(R260&gt;=5,"A+",IF(R260&gt;=4,"A",IF(R260&gt;=3.5,"A-",IF(R260&gt;=3,"B",IF(R260&gt;=2,"C",IF(R260&gt;=1,"D","F")))))))</f>
        <v/>
      </c>
      <c r="T260" s="3">
        <f>IF(OR(B260="",S260="F"),"",COUNTIFS(P:P,"&gt;"&amp;P260,S:S,"&lt;&gt;F")+1)</f>
        <v/>
      </c>
      <c r="U260">
        <f>IF(B260="","",IF(C260&lt;33.0,0,IF(C260&gt;=100*0.8,5,IF(C260&gt;=100*0.7,4,IF(C260&gt;=100*0.6,3.5,IF(C260&gt;=100*0.5,3,IF(C260&gt;=100*0.4,2,IF(C260&gt;=100*0.33,1,0))))))))</f>
        <v/>
      </c>
      <c r="V260">
        <f>IF(B260="","",IF(D260&lt;33.0,0,IF(D260&gt;=100*0.8,5,IF(D260&gt;=100*0.7,4,IF(D260&gt;=100*0.6,3.5,IF(D260&gt;=100*0.5,3,IF(D260&gt;=100*0.4,2,IF(D260&gt;=100*0.33,1,0))))))))</f>
        <v/>
      </c>
      <c r="W260">
        <f>IF(B260="","",IF(E260&lt;16.5,0,IF(E260&gt;=50*0.8,5,IF(E260&gt;=50*0.7,4,IF(E260&gt;=50*0.6,3.5,IF(E260&gt;=50*0.5,3,IF(E260&gt;=50*0.4,2,IF(E260&gt;=50*0.33,1,0))))))))</f>
        <v/>
      </c>
      <c r="X260">
        <f>IF(B260="","",IF(F260&lt;33.0,0,IF(F260&gt;=100*0.8,5,IF(F260&gt;=100*0.7,4,IF(F260&gt;=100*0.6,3.5,IF(F260&gt;=100*0.5,3,IF(F260&gt;=100*0.4,2,IF(F260&gt;=100*0.33,1,0))))))))</f>
        <v/>
      </c>
      <c r="Y260">
        <f>IF(B260="","",IF(G260&lt;16.5,0,IF(G260&gt;=50*0.8,5,IF(G260&gt;=50*0.7,4,IF(G260&gt;=50*0.6,3.5,IF(G260&gt;=50*0.5,3,IF(G260&gt;=50*0.4,2,IF(G260&gt;=50*0.33,1,0))))))))</f>
        <v/>
      </c>
      <c r="Z260">
        <f>IF(B260="","",IF(H260&lt;33.0,0,IF(H260&gt;=100*0.8,5,IF(H260&gt;=100*0.7,4,IF(H260&gt;=100*0.6,3.5,IF(H260&gt;=100*0.5,3,IF(H260&gt;=100*0.4,2,IF(H260&gt;=100*0.33,1,0))))))))</f>
        <v/>
      </c>
      <c r="AA260">
        <f>IF(B260="","",IF(I260&lt;33.0,0,IF(I260&gt;=100*0.8,5,IF(I260&gt;=100*0.7,4,IF(I260&gt;=100*0.6,3.5,IF(I260&gt;=100*0.5,3,IF(I260&gt;=100*0.4,2,IF(I260&gt;=100*0.33,1,0))))))))</f>
        <v/>
      </c>
      <c r="AB260">
        <f>IF(B260="","",IF(J260&lt;33.0,0,IF(J260&gt;=100*0.8,5,IF(J260&gt;=100*0.7,4,IF(J260&gt;=100*0.6,3.5,IF(J260&gt;=100*0.5,3,IF(J260&gt;=100*0.4,2,IF(J260&gt;=100*0.33,1,0))))))))</f>
        <v/>
      </c>
      <c r="AC260">
        <f>IF(B260="","",IF(K260&lt;33.0,0,IF(K260&gt;=100*0.8,5,IF(K260&gt;=100*0.7,4,IF(K260&gt;=100*0.6,3.5,IF(K260&gt;=100*0.5,3,IF(K260&gt;=100*0.4,2,IF(K260&gt;=100*0.33,1,0))))))))</f>
        <v/>
      </c>
      <c r="AD260">
        <f>IF(B260="","",IF(L260&lt;33.0,0,IF(L260&gt;=100*0.8,5,IF(L260&gt;=100*0.7,4,IF(L260&gt;=100*0.6,3.5,IF(L260&gt;=100*0.5,3,IF(L260&gt;=100*0.4,2,IF(L260&gt;=100*0.33,1,0))))))))</f>
        <v/>
      </c>
      <c r="AE260">
        <f>IF(B260="","",IF(M260&lt;33.0,0,IF(M260&gt;=100*0.8,5,IF(M260&gt;=100*0.7,4,IF(M260&gt;=100*0.6,3.5,IF(M260&gt;=100*0.5,3,IF(M260&gt;=100*0.4,2,IF(M260&gt;=100*0.33,1,0))))))))</f>
        <v/>
      </c>
      <c r="AF260">
        <f>IF(B260="","",IF(N260&lt;16.5,0,IF(N260&gt;=50*0.8,5,IF(N260&gt;=50*0.7,4,IF(N260&gt;=50*0.6,3.5,IF(N260&gt;=50*0.5,3,IF(N260&gt;=50*0.4,2,IF(N260&gt;=50*0.33,1,0))))))))</f>
        <v/>
      </c>
      <c r="AG260">
        <f>IF(B260="","",IF(O260&lt;33.0,0,IF(O260&gt;=100*0.8,5,IF(O260&gt;=100*0.7,4,IF(O260&gt;=100*0.6,3.5,IF(O260&gt;=100*0.5,3,IF(O260&gt;=100*0.4,2,IF(O260&gt;=100*0.33,1,0))))))))</f>
        <v/>
      </c>
      <c r="AH260">
        <f>IF(B260="","",IF(OR(U260=0,V260=0,W260=0,X260=0,Y260=0,Z260=0,AA260=0,AB260=0,AC260=0,AD260=0,AE260=0,AF260=0,AG260=0),1,0))</f>
        <v/>
      </c>
    </row>
    <row r="261">
      <c r="A261" s="3">
        <f>IF(B261="","",ROW()-2)</f>
        <v/>
      </c>
      <c r="P261" s="4">
        <f>IF(B261="","",SUM(C261:O261))</f>
        <v/>
      </c>
      <c r="Q261" s="5">
        <f>IF(B261="","",ROUND(P261/13,2))</f>
        <v/>
      </c>
      <c r="R261" s="5">
        <f>IF(B261="","",IF(AH261=1,0,MIN(5,ROUND((U261+V261+W261+X261+Y261+Z261+AA261+AB261+AC261+AD261+AE261+AF261+AG261)/13,2))))</f>
        <v/>
      </c>
      <c r="S261" s="3">
        <f>IF(B261="","",IF(R261&gt;=5,"A+",IF(R261&gt;=4,"A",IF(R261&gt;=3.5,"A-",IF(R261&gt;=3,"B",IF(R261&gt;=2,"C",IF(R261&gt;=1,"D","F")))))))</f>
        <v/>
      </c>
      <c r="T261" s="3">
        <f>IF(OR(B261="",S261="F"),"",COUNTIFS(P:P,"&gt;"&amp;P261,S:S,"&lt;&gt;F")+1)</f>
        <v/>
      </c>
      <c r="U261">
        <f>IF(B261="","",IF(C261&lt;33.0,0,IF(C261&gt;=100*0.8,5,IF(C261&gt;=100*0.7,4,IF(C261&gt;=100*0.6,3.5,IF(C261&gt;=100*0.5,3,IF(C261&gt;=100*0.4,2,IF(C261&gt;=100*0.33,1,0))))))))</f>
        <v/>
      </c>
      <c r="V261">
        <f>IF(B261="","",IF(D261&lt;33.0,0,IF(D261&gt;=100*0.8,5,IF(D261&gt;=100*0.7,4,IF(D261&gt;=100*0.6,3.5,IF(D261&gt;=100*0.5,3,IF(D261&gt;=100*0.4,2,IF(D261&gt;=100*0.33,1,0))))))))</f>
        <v/>
      </c>
      <c r="W261">
        <f>IF(B261="","",IF(E261&lt;16.5,0,IF(E261&gt;=50*0.8,5,IF(E261&gt;=50*0.7,4,IF(E261&gt;=50*0.6,3.5,IF(E261&gt;=50*0.5,3,IF(E261&gt;=50*0.4,2,IF(E261&gt;=50*0.33,1,0))))))))</f>
        <v/>
      </c>
      <c r="X261">
        <f>IF(B261="","",IF(F261&lt;33.0,0,IF(F261&gt;=100*0.8,5,IF(F261&gt;=100*0.7,4,IF(F261&gt;=100*0.6,3.5,IF(F261&gt;=100*0.5,3,IF(F261&gt;=100*0.4,2,IF(F261&gt;=100*0.33,1,0))))))))</f>
        <v/>
      </c>
      <c r="Y261">
        <f>IF(B261="","",IF(G261&lt;16.5,0,IF(G261&gt;=50*0.8,5,IF(G261&gt;=50*0.7,4,IF(G261&gt;=50*0.6,3.5,IF(G261&gt;=50*0.5,3,IF(G261&gt;=50*0.4,2,IF(G261&gt;=50*0.33,1,0))))))))</f>
        <v/>
      </c>
      <c r="Z261">
        <f>IF(B261="","",IF(H261&lt;33.0,0,IF(H261&gt;=100*0.8,5,IF(H261&gt;=100*0.7,4,IF(H261&gt;=100*0.6,3.5,IF(H261&gt;=100*0.5,3,IF(H261&gt;=100*0.4,2,IF(H261&gt;=100*0.33,1,0))))))))</f>
        <v/>
      </c>
      <c r="AA261">
        <f>IF(B261="","",IF(I261&lt;33.0,0,IF(I261&gt;=100*0.8,5,IF(I261&gt;=100*0.7,4,IF(I261&gt;=100*0.6,3.5,IF(I261&gt;=100*0.5,3,IF(I261&gt;=100*0.4,2,IF(I261&gt;=100*0.33,1,0))))))))</f>
        <v/>
      </c>
      <c r="AB261">
        <f>IF(B261="","",IF(J261&lt;33.0,0,IF(J261&gt;=100*0.8,5,IF(J261&gt;=100*0.7,4,IF(J261&gt;=100*0.6,3.5,IF(J261&gt;=100*0.5,3,IF(J261&gt;=100*0.4,2,IF(J261&gt;=100*0.33,1,0))))))))</f>
        <v/>
      </c>
      <c r="AC261">
        <f>IF(B261="","",IF(K261&lt;33.0,0,IF(K261&gt;=100*0.8,5,IF(K261&gt;=100*0.7,4,IF(K261&gt;=100*0.6,3.5,IF(K261&gt;=100*0.5,3,IF(K261&gt;=100*0.4,2,IF(K261&gt;=100*0.33,1,0))))))))</f>
        <v/>
      </c>
      <c r="AD261">
        <f>IF(B261="","",IF(L261&lt;33.0,0,IF(L261&gt;=100*0.8,5,IF(L261&gt;=100*0.7,4,IF(L261&gt;=100*0.6,3.5,IF(L261&gt;=100*0.5,3,IF(L261&gt;=100*0.4,2,IF(L261&gt;=100*0.33,1,0))))))))</f>
        <v/>
      </c>
      <c r="AE261">
        <f>IF(B261="","",IF(M261&lt;33.0,0,IF(M261&gt;=100*0.8,5,IF(M261&gt;=100*0.7,4,IF(M261&gt;=100*0.6,3.5,IF(M261&gt;=100*0.5,3,IF(M261&gt;=100*0.4,2,IF(M261&gt;=100*0.33,1,0))))))))</f>
        <v/>
      </c>
      <c r="AF261">
        <f>IF(B261="","",IF(N261&lt;16.5,0,IF(N261&gt;=50*0.8,5,IF(N261&gt;=50*0.7,4,IF(N261&gt;=50*0.6,3.5,IF(N261&gt;=50*0.5,3,IF(N261&gt;=50*0.4,2,IF(N261&gt;=50*0.33,1,0))))))))</f>
        <v/>
      </c>
      <c r="AG261">
        <f>IF(B261="","",IF(O261&lt;33.0,0,IF(O261&gt;=100*0.8,5,IF(O261&gt;=100*0.7,4,IF(O261&gt;=100*0.6,3.5,IF(O261&gt;=100*0.5,3,IF(O261&gt;=100*0.4,2,IF(O261&gt;=100*0.33,1,0))))))))</f>
        <v/>
      </c>
      <c r="AH261">
        <f>IF(B261="","",IF(OR(U261=0,V261=0,W261=0,X261=0,Y261=0,Z261=0,AA261=0,AB261=0,AC261=0,AD261=0,AE261=0,AF261=0,AG261=0),1,0))</f>
        <v/>
      </c>
    </row>
    <row r="262">
      <c r="A262" s="3">
        <f>IF(B262="","",ROW()-2)</f>
        <v/>
      </c>
      <c r="P262" s="4">
        <f>IF(B262="","",SUM(C262:O262))</f>
        <v/>
      </c>
      <c r="Q262" s="5">
        <f>IF(B262="","",ROUND(P262/13,2))</f>
        <v/>
      </c>
      <c r="R262" s="5">
        <f>IF(B262="","",IF(AH262=1,0,MIN(5,ROUND((U262+V262+W262+X262+Y262+Z262+AA262+AB262+AC262+AD262+AE262+AF262+AG262)/13,2))))</f>
        <v/>
      </c>
      <c r="S262" s="3">
        <f>IF(B262="","",IF(R262&gt;=5,"A+",IF(R262&gt;=4,"A",IF(R262&gt;=3.5,"A-",IF(R262&gt;=3,"B",IF(R262&gt;=2,"C",IF(R262&gt;=1,"D","F")))))))</f>
        <v/>
      </c>
      <c r="T262" s="3">
        <f>IF(OR(B262="",S262="F"),"",COUNTIFS(P:P,"&gt;"&amp;P262,S:S,"&lt;&gt;F")+1)</f>
        <v/>
      </c>
      <c r="U262">
        <f>IF(B262="","",IF(C262&lt;33.0,0,IF(C262&gt;=100*0.8,5,IF(C262&gt;=100*0.7,4,IF(C262&gt;=100*0.6,3.5,IF(C262&gt;=100*0.5,3,IF(C262&gt;=100*0.4,2,IF(C262&gt;=100*0.33,1,0))))))))</f>
        <v/>
      </c>
      <c r="V262">
        <f>IF(B262="","",IF(D262&lt;33.0,0,IF(D262&gt;=100*0.8,5,IF(D262&gt;=100*0.7,4,IF(D262&gt;=100*0.6,3.5,IF(D262&gt;=100*0.5,3,IF(D262&gt;=100*0.4,2,IF(D262&gt;=100*0.33,1,0))))))))</f>
        <v/>
      </c>
      <c r="W262">
        <f>IF(B262="","",IF(E262&lt;16.5,0,IF(E262&gt;=50*0.8,5,IF(E262&gt;=50*0.7,4,IF(E262&gt;=50*0.6,3.5,IF(E262&gt;=50*0.5,3,IF(E262&gt;=50*0.4,2,IF(E262&gt;=50*0.33,1,0))))))))</f>
        <v/>
      </c>
      <c r="X262">
        <f>IF(B262="","",IF(F262&lt;33.0,0,IF(F262&gt;=100*0.8,5,IF(F262&gt;=100*0.7,4,IF(F262&gt;=100*0.6,3.5,IF(F262&gt;=100*0.5,3,IF(F262&gt;=100*0.4,2,IF(F262&gt;=100*0.33,1,0))))))))</f>
        <v/>
      </c>
      <c r="Y262">
        <f>IF(B262="","",IF(G262&lt;16.5,0,IF(G262&gt;=50*0.8,5,IF(G262&gt;=50*0.7,4,IF(G262&gt;=50*0.6,3.5,IF(G262&gt;=50*0.5,3,IF(G262&gt;=50*0.4,2,IF(G262&gt;=50*0.33,1,0))))))))</f>
        <v/>
      </c>
      <c r="Z262">
        <f>IF(B262="","",IF(H262&lt;33.0,0,IF(H262&gt;=100*0.8,5,IF(H262&gt;=100*0.7,4,IF(H262&gt;=100*0.6,3.5,IF(H262&gt;=100*0.5,3,IF(H262&gt;=100*0.4,2,IF(H262&gt;=100*0.33,1,0))))))))</f>
        <v/>
      </c>
      <c r="AA262">
        <f>IF(B262="","",IF(I262&lt;33.0,0,IF(I262&gt;=100*0.8,5,IF(I262&gt;=100*0.7,4,IF(I262&gt;=100*0.6,3.5,IF(I262&gt;=100*0.5,3,IF(I262&gt;=100*0.4,2,IF(I262&gt;=100*0.33,1,0))))))))</f>
        <v/>
      </c>
      <c r="AB262">
        <f>IF(B262="","",IF(J262&lt;33.0,0,IF(J262&gt;=100*0.8,5,IF(J262&gt;=100*0.7,4,IF(J262&gt;=100*0.6,3.5,IF(J262&gt;=100*0.5,3,IF(J262&gt;=100*0.4,2,IF(J262&gt;=100*0.33,1,0))))))))</f>
        <v/>
      </c>
      <c r="AC262">
        <f>IF(B262="","",IF(K262&lt;33.0,0,IF(K262&gt;=100*0.8,5,IF(K262&gt;=100*0.7,4,IF(K262&gt;=100*0.6,3.5,IF(K262&gt;=100*0.5,3,IF(K262&gt;=100*0.4,2,IF(K262&gt;=100*0.33,1,0))))))))</f>
        <v/>
      </c>
      <c r="AD262">
        <f>IF(B262="","",IF(L262&lt;33.0,0,IF(L262&gt;=100*0.8,5,IF(L262&gt;=100*0.7,4,IF(L262&gt;=100*0.6,3.5,IF(L262&gt;=100*0.5,3,IF(L262&gt;=100*0.4,2,IF(L262&gt;=100*0.33,1,0))))))))</f>
        <v/>
      </c>
      <c r="AE262">
        <f>IF(B262="","",IF(M262&lt;33.0,0,IF(M262&gt;=100*0.8,5,IF(M262&gt;=100*0.7,4,IF(M262&gt;=100*0.6,3.5,IF(M262&gt;=100*0.5,3,IF(M262&gt;=100*0.4,2,IF(M262&gt;=100*0.33,1,0))))))))</f>
        <v/>
      </c>
      <c r="AF262">
        <f>IF(B262="","",IF(N262&lt;16.5,0,IF(N262&gt;=50*0.8,5,IF(N262&gt;=50*0.7,4,IF(N262&gt;=50*0.6,3.5,IF(N262&gt;=50*0.5,3,IF(N262&gt;=50*0.4,2,IF(N262&gt;=50*0.33,1,0))))))))</f>
        <v/>
      </c>
      <c r="AG262">
        <f>IF(B262="","",IF(O262&lt;33.0,0,IF(O262&gt;=100*0.8,5,IF(O262&gt;=100*0.7,4,IF(O262&gt;=100*0.6,3.5,IF(O262&gt;=100*0.5,3,IF(O262&gt;=100*0.4,2,IF(O262&gt;=100*0.33,1,0))))))))</f>
        <v/>
      </c>
      <c r="AH262">
        <f>IF(B262="","",IF(OR(U262=0,V262=0,W262=0,X262=0,Y262=0,Z262=0,AA262=0,AB262=0,AC262=0,AD262=0,AE262=0,AF262=0,AG262=0),1,0))</f>
        <v/>
      </c>
    </row>
    <row r="263">
      <c r="A263" s="3">
        <f>IF(B263="","",ROW()-2)</f>
        <v/>
      </c>
      <c r="P263" s="4">
        <f>IF(B263="","",SUM(C263:O263))</f>
        <v/>
      </c>
      <c r="Q263" s="5">
        <f>IF(B263="","",ROUND(P263/13,2))</f>
        <v/>
      </c>
      <c r="R263" s="5">
        <f>IF(B263="","",IF(AH263=1,0,MIN(5,ROUND((U263+V263+W263+X263+Y263+Z263+AA263+AB263+AC263+AD263+AE263+AF263+AG263)/13,2))))</f>
        <v/>
      </c>
      <c r="S263" s="3">
        <f>IF(B263="","",IF(R263&gt;=5,"A+",IF(R263&gt;=4,"A",IF(R263&gt;=3.5,"A-",IF(R263&gt;=3,"B",IF(R263&gt;=2,"C",IF(R263&gt;=1,"D","F")))))))</f>
        <v/>
      </c>
      <c r="T263" s="3">
        <f>IF(OR(B263="",S263="F"),"",COUNTIFS(P:P,"&gt;"&amp;P263,S:S,"&lt;&gt;F")+1)</f>
        <v/>
      </c>
      <c r="U263">
        <f>IF(B263="","",IF(C263&lt;33.0,0,IF(C263&gt;=100*0.8,5,IF(C263&gt;=100*0.7,4,IF(C263&gt;=100*0.6,3.5,IF(C263&gt;=100*0.5,3,IF(C263&gt;=100*0.4,2,IF(C263&gt;=100*0.33,1,0))))))))</f>
        <v/>
      </c>
      <c r="V263">
        <f>IF(B263="","",IF(D263&lt;33.0,0,IF(D263&gt;=100*0.8,5,IF(D263&gt;=100*0.7,4,IF(D263&gt;=100*0.6,3.5,IF(D263&gt;=100*0.5,3,IF(D263&gt;=100*0.4,2,IF(D263&gt;=100*0.33,1,0))))))))</f>
        <v/>
      </c>
      <c r="W263">
        <f>IF(B263="","",IF(E263&lt;16.5,0,IF(E263&gt;=50*0.8,5,IF(E263&gt;=50*0.7,4,IF(E263&gt;=50*0.6,3.5,IF(E263&gt;=50*0.5,3,IF(E263&gt;=50*0.4,2,IF(E263&gt;=50*0.33,1,0))))))))</f>
        <v/>
      </c>
      <c r="X263">
        <f>IF(B263="","",IF(F263&lt;33.0,0,IF(F263&gt;=100*0.8,5,IF(F263&gt;=100*0.7,4,IF(F263&gt;=100*0.6,3.5,IF(F263&gt;=100*0.5,3,IF(F263&gt;=100*0.4,2,IF(F263&gt;=100*0.33,1,0))))))))</f>
        <v/>
      </c>
      <c r="Y263">
        <f>IF(B263="","",IF(G263&lt;16.5,0,IF(G263&gt;=50*0.8,5,IF(G263&gt;=50*0.7,4,IF(G263&gt;=50*0.6,3.5,IF(G263&gt;=50*0.5,3,IF(G263&gt;=50*0.4,2,IF(G263&gt;=50*0.33,1,0))))))))</f>
        <v/>
      </c>
      <c r="Z263">
        <f>IF(B263="","",IF(H263&lt;33.0,0,IF(H263&gt;=100*0.8,5,IF(H263&gt;=100*0.7,4,IF(H263&gt;=100*0.6,3.5,IF(H263&gt;=100*0.5,3,IF(H263&gt;=100*0.4,2,IF(H263&gt;=100*0.33,1,0))))))))</f>
        <v/>
      </c>
      <c r="AA263">
        <f>IF(B263="","",IF(I263&lt;33.0,0,IF(I263&gt;=100*0.8,5,IF(I263&gt;=100*0.7,4,IF(I263&gt;=100*0.6,3.5,IF(I263&gt;=100*0.5,3,IF(I263&gt;=100*0.4,2,IF(I263&gt;=100*0.33,1,0))))))))</f>
        <v/>
      </c>
      <c r="AB263">
        <f>IF(B263="","",IF(J263&lt;33.0,0,IF(J263&gt;=100*0.8,5,IF(J263&gt;=100*0.7,4,IF(J263&gt;=100*0.6,3.5,IF(J263&gt;=100*0.5,3,IF(J263&gt;=100*0.4,2,IF(J263&gt;=100*0.33,1,0))))))))</f>
        <v/>
      </c>
      <c r="AC263">
        <f>IF(B263="","",IF(K263&lt;33.0,0,IF(K263&gt;=100*0.8,5,IF(K263&gt;=100*0.7,4,IF(K263&gt;=100*0.6,3.5,IF(K263&gt;=100*0.5,3,IF(K263&gt;=100*0.4,2,IF(K263&gt;=100*0.33,1,0))))))))</f>
        <v/>
      </c>
      <c r="AD263">
        <f>IF(B263="","",IF(L263&lt;33.0,0,IF(L263&gt;=100*0.8,5,IF(L263&gt;=100*0.7,4,IF(L263&gt;=100*0.6,3.5,IF(L263&gt;=100*0.5,3,IF(L263&gt;=100*0.4,2,IF(L263&gt;=100*0.33,1,0))))))))</f>
        <v/>
      </c>
      <c r="AE263">
        <f>IF(B263="","",IF(M263&lt;33.0,0,IF(M263&gt;=100*0.8,5,IF(M263&gt;=100*0.7,4,IF(M263&gt;=100*0.6,3.5,IF(M263&gt;=100*0.5,3,IF(M263&gt;=100*0.4,2,IF(M263&gt;=100*0.33,1,0))))))))</f>
        <v/>
      </c>
      <c r="AF263">
        <f>IF(B263="","",IF(N263&lt;16.5,0,IF(N263&gt;=50*0.8,5,IF(N263&gt;=50*0.7,4,IF(N263&gt;=50*0.6,3.5,IF(N263&gt;=50*0.5,3,IF(N263&gt;=50*0.4,2,IF(N263&gt;=50*0.33,1,0))))))))</f>
        <v/>
      </c>
      <c r="AG263">
        <f>IF(B263="","",IF(O263&lt;33.0,0,IF(O263&gt;=100*0.8,5,IF(O263&gt;=100*0.7,4,IF(O263&gt;=100*0.6,3.5,IF(O263&gt;=100*0.5,3,IF(O263&gt;=100*0.4,2,IF(O263&gt;=100*0.33,1,0))))))))</f>
        <v/>
      </c>
      <c r="AH263">
        <f>IF(B263="","",IF(OR(U263=0,V263=0,W263=0,X263=0,Y263=0,Z263=0,AA263=0,AB263=0,AC263=0,AD263=0,AE263=0,AF263=0,AG263=0),1,0))</f>
        <v/>
      </c>
    </row>
    <row r="264">
      <c r="A264" s="3">
        <f>IF(B264="","",ROW()-2)</f>
        <v/>
      </c>
      <c r="P264" s="4">
        <f>IF(B264="","",SUM(C264:O264))</f>
        <v/>
      </c>
      <c r="Q264" s="5">
        <f>IF(B264="","",ROUND(P264/13,2))</f>
        <v/>
      </c>
      <c r="R264" s="5">
        <f>IF(B264="","",IF(AH264=1,0,MIN(5,ROUND((U264+V264+W264+X264+Y264+Z264+AA264+AB264+AC264+AD264+AE264+AF264+AG264)/13,2))))</f>
        <v/>
      </c>
      <c r="S264" s="3">
        <f>IF(B264="","",IF(R264&gt;=5,"A+",IF(R264&gt;=4,"A",IF(R264&gt;=3.5,"A-",IF(R264&gt;=3,"B",IF(R264&gt;=2,"C",IF(R264&gt;=1,"D","F")))))))</f>
        <v/>
      </c>
      <c r="T264" s="3">
        <f>IF(OR(B264="",S264="F"),"",COUNTIFS(P:P,"&gt;"&amp;P264,S:S,"&lt;&gt;F")+1)</f>
        <v/>
      </c>
      <c r="U264">
        <f>IF(B264="","",IF(C264&lt;33.0,0,IF(C264&gt;=100*0.8,5,IF(C264&gt;=100*0.7,4,IF(C264&gt;=100*0.6,3.5,IF(C264&gt;=100*0.5,3,IF(C264&gt;=100*0.4,2,IF(C264&gt;=100*0.33,1,0))))))))</f>
        <v/>
      </c>
      <c r="V264">
        <f>IF(B264="","",IF(D264&lt;33.0,0,IF(D264&gt;=100*0.8,5,IF(D264&gt;=100*0.7,4,IF(D264&gt;=100*0.6,3.5,IF(D264&gt;=100*0.5,3,IF(D264&gt;=100*0.4,2,IF(D264&gt;=100*0.33,1,0))))))))</f>
        <v/>
      </c>
      <c r="W264">
        <f>IF(B264="","",IF(E264&lt;16.5,0,IF(E264&gt;=50*0.8,5,IF(E264&gt;=50*0.7,4,IF(E264&gt;=50*0.6,3.5,IF(E264&gt;=50*0.5,3,IF(E264&gt;=50*0.4,2,IF(E264&gt;=50*0.33,1,0))))))))</f>
        <v/>
      </c>
      <c r="X264">
        <f>IF(B264="","",IF(F264&lt;33.0,0,IF(F264&gt;=100*0.8,5,IF(F264&gt;=100*0.7,4,IF(F264&gt;=100*0.6,3.5,IF(F264&gt;=100*0.5,3,IF(F264&gt;=100*0.4,2,IF(F264&gt;=100*0.33,1,0))))))))</f>
        <v/>
      </c>
      <c r="Y264">
        <f>IF(B264="","",IF(G264&lt;16.5,0,IF(G264&gt;=50*0.8,5,IF(G264&gt;=50*0.7,4,IF(G264&gt;=50*0.6,3.5,IF(G264&gt;=50*0.5,3,IF(G264&gt;=50*0.4,2,IF(G264&gt;=50*0.33,1,0))))))))</f>
        <v/>
      </c>
      <c r="Z264">
        <f>IF(B264="","",IF(H264&lt;33.0,0,IF(H264&gt;=100*0.8,5,IF(H264&gt;=100*0.7,4,IF(H264&gt;=100*0.6,3.5,IF(H264&gt;=100*0.5,3,IF(H264&gt;=100*0.4,2,IF(H264&gt;=100*0.33,1,0))))))))</f>
        <v/>
      </c>
      <c r="AA264">
        <f>IF(B264="","",IF(I264&lt;33.0,0,IF(I264&gt;=100*0.8,5,IF(I264&gt;=100*0.7,4,IF(I264&gt;=100*0.6,3.5,IF(I264&gt;=100*0.5,3,IF(I264&gt;=100*0.4,2,IF(I264&gt;=100*0.33,1,0))))))))</f>
        <v/>
      </c>
      <c r="AB264">
        <f>IF(B264="","",IF(J264&lt;33.0,0,IF(J264&gt;=100*0.8,5,IF(J264&gt;=100*0.7,4,IF(J264&gt;=100*0.6,3.5,IF(J264&gt;=100*0.5,3,IF(J264&gt;=100*0.4,2,IF(J264&gt;=100*0.33,1,0))))))))</f>
        <v/>
      </c>
      <c r="AC264">
        <f>IF(B264="","",IF(K264&lt;33.0,0,IF(K264&gt;=100*0.8,5,IF(K264&gt;=100*0.7,4,IF(K264&gt;=100*0.6,3.5,IF(K264&gt;=100*0.5,3,IF(K264&gt;=100*0.4,2,IF(K264&gt;=100*0.33,1,0))))))))</f>
        <v/>
      </c>
      <c r="AD264">
        <f>IF(B264="","",IF(L264&lt;33.0,0,IF(L264&gt;=100*0.8,5,IF(L264&gt;=100*0.7,4,IF(L264&gt;=100*0.6,3.5,IF(L264&gt;=100*0.5,3,IF(L264&gt;=100*0.4,2,IF(L264&gt;=100*0.33,1,0))))))))</f>
        <v/>
      </c>
      <c r="AE264">
        <f>IF(B264="","",IF(M264&lt;33.0,0,IF(M264&gt;=100*0.8,5,IF(M264&gt;=100*0.7,4,IF(M264&gt;=100*0.6,3.5,IF(M264&gt;=100*0.5,3,IF(M264&gt;=100*0.4,2,IF(M264&gt;=100*0.33,1,0))))))))</f>
        <v/>
      </c>
      <c r="AF264">
        <f>IF(B264="","",IF(N264&lt;16.5,0,IF(N264&gt;=50*0.8,5,IF(N264&gt;=50*0.7,4,IF(N264&gt;=50*0.6,3.5,IF(N264&gt;=50*0.5,3,IF(N264&gt;=50*0.4,2,IF(N264&gt;=50*0.33,1,0))))))))</f>
        <v/>
      </c>
      <c r="AG264">
        <f>IF(B264="","",IF(O264&lt;33.0,0,IF(O264&gt;=100*0.8,5,IF(O264&gt;=100*0.7,4,IF(O264&gt;=100*0.6,3.5,IF(O264&gt;=100*0.5,3,IF(O264&gt;=100*0.4,2,IF(O264&gt;=100*0.33,1,0))))))))</f>
        <v/>
      </c>
      <c r="AH264">
        <f>IF(B264="","",IF(OR(U264=0,V264=0,W264=0,X264=0,Y264=0,Z264=0,AA264=0,AB264=0,AC264=0,AD264=0,AE264=0,AF264=0,AG264=0),1,0))</f>
        <v/>
      </c>
    </row>
    <row r="265">
      <c r="A265" s="3">
        <f>IF(B265="","",ROW()-2)</f>
        <v/>
      </c>
      <c r="P265" s="4">
        <f>IF(B265="","",SUM(C265:O265))</f>
        <v/>
      </c>
      <c r="Q265" s="5">
        <f>IF(B265="","",ROUND(P265/13,2))</f>
        <v/>
      </c>
      <c r="R265" s="5">
        <f>IF(B265="","",IF(AH265=1,0,MIN(5,ROUND((U265+V265+W265+X265+Y265+Z265+AA265+AB265+AC265+AD265+AE265+AF265+AG265)/13,2))))</f>
        <v/>
      </c>
      <c r="S265" s="3">
        <f>IF(B265="","",IF(R265&gt;=5,"A+",IF(R265&gt;=4,"A",IF(R265&gt;=3.5,"A-",IF(R265&gt;=3,"B",IF(R265&gt;=2,"C",IF(R265&gt;=1,"D","F")))))))</f>
        <v/>
      </c>
      <c r="T265" s="3">
        <f>IF(OR(B265="",S265="F"),"",COUNTIFS(P:P,"&gt;"&amp;P265,S:S,"&lt;&gt;F")+1)</f>
        <v/>
      </c>
      <c r="U265">
        <f>IF(B265="","",IF(C265&lt;33.0,0,IF(C265&gt;=100*0.8,5,IF(C265&gt;=100*0.7,4,IF(C265&gt;=100*0.6,3.5,IF(C265&gt;=100*0.5,3,IF(C265&gt;=100*0.4,2,IF(C265&gt;=100*0.33,1,0))))))))</f>
        <v/>
      </c>
      <c r="V265">
        <f>IF(B265="","",IF(D265&lt;33.0,0,IF(D265&gt;=100*0.8,5,IF(D265&gt;=100*0.7,4,IF(D265&gt;=100*0.6,3.5,IF(D265&gt;=100*0.5,3,IF(D265&gt;=100*0.4,2,IF(D265&gt;=100*0.33,1,0))))))))</f>
        <v/>
      </c>
      <c r="W265">
        <f>IF(B265="","",IF(E265&lt;16.5,0,IF(E265&gt;=50*0.8,5,IF(E265&gt;=50*0.7,4,IF(E265&gt;=50*0.6,3.5,IF(E265&gt;=50*0.5,3,IF(E265&gt;=50*0.4,2,IF(E265&gt;=50*0.33,1,0))))))))</f>
        <v/>
      </c>
      <c r="X265">
        <f>IF(B265="","",IF(F265&lt;33.0,0,IF(F265&gt;=100*0.8,5,IF(F265&gt;=100*0.7,4,IF(F265&gt;=100*0.6,3.5,IF(F265&gt;=100*0.5,3,IF(F265&gt;=100*0.4,2,IF(F265&gt;=100*0.33,1,0))))))))</f>
        <v/>
      </c>
      <c r="Y265">
        <f>IF(B265="","",IF(G265&lt;16.5,0,IF(G265&gt;=50*0.8,5,IF(G265&gt;=50*0.7,4,IF(G265&gt;=50*0.6,3.5,IF(G265&gt;=50*0.5,3,IF(G265&gt;=50*0.4,2,IF(G265&gt;=50*0.33,1,0))))))))</f>
        <v/>
      </c>
      <c r="Z265">
        <f>IF(B265="","",IF(H265&lt;33.0,0,IF(H265&gt;=100*0.8,5,IF(H265&gt;=100*0.7,4,IF(H265&gt;=100*0.6,3.5,IF(H265&gt;=100*0.5,3,IF(H265&gt;=100*0.4,2,IF(H265&gt;=100*0.33,1,0))))))))</f>
        <v/>
      </c>
      <c r="AA265">
        <f>IF(B265="","",IF(I265&lt;33.0,0,IF(I265&gt;=100*0.8,5,IF(I265&gt;=100*0.7,4,IF(I265&gt;=100*0.6,3.5,IF(I265&gt;=100*0.5,3,IF(I265&gt;=100*0.4,2,IF(I265&gt;=100*0.33,1,0))))))))</f>
        <v/>
      </c>
      <c r="AB265">
        <f>IF(B265="","",IF(J265&lt;33.0,0,IF(J265&gt;=100*0.8,5,IF(J265&gt;=100*0.7,4,IF(J265&gt;=100*0.6,3.5,IF(J265&gt;=100*0.5,3,IF(J265&gt;=100*0.4,2,IF(J265&gt;=100*0.33,1,0))))))))</f>
        <v/>
      </c>
      <c r="AC265">
        <f>IF(B265="","",IF(K265&lt;33.0,0,IF(K265&gt;=100*0.8,5,IF(K265&gt;=100*0.7,4,IF(K265&gt;=100*0.6,3.5,IF(K265&gt;=100*0.5,3,IF(K265&gt;=100*0.4,2,IF(K265&gt;=100*0.33,1,0))))))))</f>
        <v/>
      </c>
      <c r="AD265">
        <f>IF(B265="","",IF(L265&lt;33.0,0,IF(L265&gt;=100*0.8,5,IF(L265&gt;=100*0.7,4,IF(L265&gt;=100*0.6,3.5,IF(L265&gt;=100*0.5,3,IF(L265&gt;=100*0.4,2,IF(L265&gt;=100*0.33,1,0))))))))</f>
        <v/>
      </c>
      <c r="AE265">
        <f>IF(B265="","",IF(M265&lt;33.0,0,IF(M265&gt;=100*0.8,5,IF(M265&gt;=100*0.7,4,IF(M265&gt;=100*0.6,3.5,IF(M265&gt;=100*0.5,3,IF(M265&gt;=100*0.4,2,IF(M265&gt;=100*0.33,1,0))))))))</f>
        <v/>
      </c>
      <c r="AF265">
        <f>IF(B265="","",IF(N265&lt;16.5,0,IF(N265&gt;=50*0.8,5,IF(N265&gt;=50*0.7,4,IF(N265&gt;=50*0.6,3.5,IF(N265&gt;=50*0.5,3,IF(N265&gt;=50*0.4,2,IF(N265&gt;=50*0.33,1,0))))))))</f>
        <v/>
      </c>
      <c r="AG265">
        <f>IF(B265="","",IF(O265&lt;33.0,0,IF(O265&gt;=100*0.8,5,IF(O265&gt;=100*0.7,4,IF(O265&gt;=100*0.6,3.5,IF(O265&gt;=100*0.5,3,IF(O265&gt;=100*0.4,2,IF(O265&gt;=100*0.33,1,0))))))))</f>
        <v/>
      </c>
      <c r="AH265">
        <f>IF(B265="","",IF(OR(U265=0,V265=0,W265=0,X265=0,Y265=0,Z265=0,AA265=0,AB265=0,AC265=0,AD265=0,AE265=0,AF265=0,AG265=0),1,0))</f>
        <v/>
      </c>
    </row>
    <row r="266">
      <c r="A266" s="3">
        <f>IF(B266="","",ROW()-2)</f>
        <v/>
      </c>
      <c r="P266" s="4">
        <f>IF(B266="","",SUM(C266:O266))</f>
        <v/>
      </c>
      <c r="Q266" s="5">
        <f>IF(B266="","",ROUND(P266/13,2))</f>
        <v/>
      </c>
      <c r="R266" s="5">
        <f>IF(B266="","",IF(AH266=1,0,MIN(5,ROUND((U266+V266+W266+X266+Y266+Z266+AA266+AB266+AC266+AD266+AE266+AF266+AG266)/13,2))))</f>
        <v/>
      </c>
      <c r="S266" s="3">
        <f>IF(B266="","",IF(R266&gt;=5,"A+",IF(R266&gt;=4,"A",IF(R266&gt;=3.5,"A-",IF(R266&gt;=3,"B",IF(R266&gt;=2,"C",IF(R266&gt;=1,"D","F")))))))</f>
        <v/>
      </c>
      <c r="T266" s="3">
        <f>IF(OR(B266="",S266="F"),"",COUNTIFS(P:P,"&gt;"&amp;P266,S:S,"&lt;&gt;F")+1)</f>
        <v/>
      </c>
      <c r="U266">
        <f>IF(B266="","",IF(C266&lt;33.0,0,IF(C266&gt;=100*0.8,5,IF(C266&gt;=100*0.7,4,IF(C266&gt;=100*0.6,3.5,IF(C266&gt;=100*0.5,3,IF(C266&gt;=100*0.4,2,IF(C266&gt;=100*0.33,1,0))))))))</f>
        <v/>
      </c>
      <c r="V266">
        <f>IF(B266="","",IF(D266&lt;33.0,0,IF(D266&gt;=100*0.8,5,IF(D266&gt;=100*0.7,4,IF(D266&gt;=100*0.6,3.5,IF(D266&gt;=100*0.5,3,IF(D266&gt;=100*0.4,2,IF(D266&gt;=100*0.33,1,0))))))))</f>
        <v/>
      </c>
      <c r="W266">
        <f>IF(B266="","",IF(E266&lt;16.5,0,IF(E266&gt;=50*0.8,5,IF(E266&gt;=50*0.7,4,IF(E266&gt;=50*0.6,3.5,IF(E266&gt;=50*0.5,3,IF(E266&gt;=50*0.4,2,IF(E266&gt;=50*0.33,1,0))))))))</f>
        <v/>
      </c>
      <c r="X266">
        <f>IF(B266="","",IF(F266&lt;33.0,0,IF(F266&gt;=100*0.8,5,IF(F266&gt;=100*0.7,4,IF(F266&gt;=100*0.6,3.5,IF(F266&gt;=100*0.5,3,IF(F266&gt;=100*0.4,2,IF(F266&gt;=100*0.33,1,0))))))))</f>
        <v/>
      </c>
      <c r="Y266">
        <f>IF(B266="","",IF(G266&lt;16.5,0,IF(G266&gt;=50*0.8,5,IF(G266&gt;=50*0.7,4,IF(G266&gt;=50*0.6,3.5,IF(G266&gt;=50*0.5,3,IF(G266&gt;=50*0.4,2,IF(G266&gt;=50*0.33,1,0))))))))</f>
        <v/>
      </c>
      <c r="Z266">
        <f>IF(B266="","",IF(H266&lt;33.0,0,IF(H266&gt;=100*0.8,5,IF(H266&gt;=100*0.7,4,IF(H266&gt;=100*0.6,3.5,IF(H266&gt;=100*0.5,3,IF(H266&gt;=100*0.4,2,IF(H266&gt;=100*0.33,1,0))))))))</f>
        <v/>
      </c>
      <c r="AA266">
        <f>IF(B266="","",IF(I266&lt;33.0,0,IF(I266&gt;=100*0.8,5,IF(I266&gt;=100*0.7,4,IF(I266&gt;=100*0.6,3.5,IF(I266&gt;=100*0.5,3,IF(I266&gt;=100*0.4,2,IF(I266&gt;=100*0.33,1,0))))))))</f>
        <v/>
      </c>
      <c r="AB266">
        <f>IF(B266="","",IF(J266&lt;33.0,0,IF(J266&gt;=100*0.8,5,IF(J266&gt;=100*0.7,4,IF(J266&gt;=100*0.6,3.5,IF(J266&gt;=100*0.5,3,IF(J266&gt;=100*0.4,2,IF(J266&gt;=100*0.33,1,0))))))))</f>
        <v/>
      </c>
      <c r="AC266">
        <f>IF(B266="","",IF(K266&lt;33.0,0,IF(K266&gt;=100*0.8,5,IF(K266&gt;=100*0.7,4,IF(K266&gt;=100*0.6,3.5,IF(K266&gt;=100*0.5,3,IF(K266&gt;=100*0.4,2,IF(K266&gt;=100*0.33,1,0))))))))</f>
        <v/>
      </c>
      <c r="AD266">
        <f>IF(B266="","",IF(L266&lt;33.0,0,IF(L266&gt;=100*0.8,5,IF(L266&gt;=100*0.7,4,IF(L266&gt;=100*0.6,3.5,IF(L266&gt;=100*0.5,3,IF(L266&gt;=100*0.4,2,IF(L266&gt;=100*0.33,1,0))))))))</f>
        <v/>
      </c>
      <c r="AE266">
        <f>IF(B266="","",IF(M266&lt;33.0,0,IF(M266&gt;=100*0.8,5,IF(M266&gt;=100*0.7,4,IF(M266&gt;=100*0.6,3.5,IF(M266&gt;=100*0.5,3,IF(M266&gt;=100*0.4,2,IF(M266&gt;=100*0.33,1,0))))))))</f>
        <v/>
      </c>
      <c r="AF266">
        <f>IF(B266="","",IF(N266&lt;16.5,0,IF(N266&gt;=50*0.8,5,IF(N266&gt;=50*0.7,4,IF(N266&gt;=50*0.6,3.5,IF(N266&gt;=50*0.5,3,IF(N266&gt;=50*0.4,2,IF(N266&gt;=50*0.33,1,0))))))))</f>
        <v/>
      </c>
      <c r="AG266">
        <f>IF(B266="","",IF(O266&lt;33.0,0,IF(O266&gt;=100*0.8,5,IF(O266&gt;=100*0.7,4,IF(O266&gt;=100*0.6,3.5,IF(O266&gt;=100*0.5,3,IF(O266&gt;=100*0.4,2,IF(O266&gt;=100*0.33,1,0))))))))</f>
        <v/>
      </c>
      <c r="AH266">
        <f>IF(B266="","",IF(OR(U266=0,V266=0,W266=0,X266=0,Y266=0,Z266=0,AA266=0,AB266=0,AC266=0,AD266=0,AE266=0,AF266=0,AG266=0),1,0))</f>
        <v/>
      </c>
    </row>
    <row r="267">
      <c r="A267" s="3">
        <f>IF(B267="","",ROW()-2)</f>
        <v/>
      </c>
      <c r="P267" s="4">
        <f>IF(B267="","",SUM(C267:O267))</f>
        <v/>
      </c>
      <c r="Q267" s="5">
        <f>IF(B267="","",ROUND(P267/13,2))</f>
        <v/>
      </c>
      <c r="R267" s="5">
        <f>IF(B267="","",IF(AH267=1,0,MIN(5,ROUND((U267+V267+W267+X267+Y267+Z267+AA267+AB267+AC267+AD267+AE267+AF267+AG267)/13,2))))</f>
        <v/>
      </c>
      <c r="S267" s="3">
        <f>IF(B267="","",IF(R267&gt;=5,"A+",IF(R267&gt;=4,"A",IF(R267&gt;=3.5,"A-",IF(R267&gt;=3,"B",IF(R267&gt;=2,"C",IF(R267&gt;=1,"D","F")))))))</f>
        <v/>
      </c>
      <c r="T267" s="3">
        <f>IF(OR(B267="",S267="F"),"",COUNTIFS(P:P,"&gt;"&amp;P267,S:S,"&lt;&gt;F")+1)</f>
        <v/>
      </c>
      <c r="U267">
        <f>IF(B267="","",IF(C267&lt;33.0,0,IF(C267&gt;=100*0.8,5,IF(C267&gt;=100*0.7,4,IF(C267&gt;=100*0.6,3.5,IF(C267&gt;=100*0.5,3,IF(C267&gt;=100*0.4,2,IF(C267&gt;=100*0.33,1,0))))))))</f>
        <v/>
      </c>
      <c r="V267">
        <f>IF(B267="","",IF(D267&lt;33.0,0,IF(D267&gt;=100*0.8,5,IF(D267&gt;=100*0.7,4,IF(D267&gt;=100*0.6,3.5,IF(D267&gt;=100*0.5,3,IF(D267&gt;=100*0.4,2,IF(D267&gt;=100*0.33,1,0))))))))</f>
        <v/>
      </c>
      <c r="W267">
        <f>IF(B267="","",IF(E267&lt;16.5,0,IF(E267&gt;=50*0.8,5,IF(E267&gt;=50*0.7,4,IF(E267&gt;=50*0.6,3.5,IF(E267&gt;=50*0.5,3,IF(E267&gt;=50*0.4,2,IF(E267&gt;=50*0.33,1,0))))))))</f>
        <v/>
      </c>
      <c r="X267">
        <f>IF(B267="","",IF(F267&lt;33.0,0,IF(F267&gt;=100*0.8,5,IF(F267&gt;=100*0.7,4,IF(F267&gt;=100*0.6,3.5,IF(F267&gt;=100*0.5,3,IF(F267&gt;=100*0.4,2,IF(F267&gt;=100*0.33,1,0))))))))</f>
        <v/>
      </c>
      <c r="Y267">
        <f>IF(B267="","",IF(G267&lt;16.5,0,IF(G267&gt;=50*0.8,5,IF(G267&gt;=50*0.7,4,IF(G267&gt;=50*0.6,3.5,IF(G267&gt;=50*0.5,3,IF(G267&gt;=50*0.4,2,IF(G267&gt;=50*0.33,1,0))))))))</f>
        <v/>
      </c>
      <c r="Z267">
        <f>IF(B267="","",IF(H267&lt;33.0,0,IF(H267&gt;=100*0.8,5,IF(H267&gt;=100*0.7,4,IF(H267&gt;=100*0.6,3.5,IF(H267&gt;=100*0.5,3,IF(H267&gt;=100*0.4,2,IF(H267&gt;=100*0.33,1,0))))))))</f>
        <v/>
      </c>
      <c r="AA267">
        <f>IF(B267="","",IF(I267&lt;33.0,0,IF(I267&gt;=100*0.8,5,IF(I267&gt;=100*0.7,4,IF(I267&gt;=100*0.6,3.5,IF(I267&gt;=100*0.5,3,IF(I267&gt;=100*0.4,2,IF(I267&gt;=100*0.33,1,0))))))))</f>
        <v/>
      </c>
      <c r="AB267">
        <f>IF(B267="","",IF(J267&lt;33.0,0,IF(J267&gt;=100*0.8,5,IF(J267&gt;=100*0.7,4,IF(J267&gt;=100*0.6,3.5,IF(J267&gt;=100*0.5,3,IF(J267&gt;=100*0.4,2,IF(J267&gt;=100*0.33,1,0))))))))</f>
        <v/>
      </c>
      <c r="AC267">
        <f>IF(B267="","",IF(K267&lt;33.0,0,IF(K267&gt;=100*0.8,5,IF(K267&gt;=100*0.7,4,IF(K267&gt;=100*0.6,3.5,IF(K267&gt;=100*0.5,3,IF(K267&gt;=100*0.4,2,IF(K267&gt;=100*0.33,1,0))))))))</f>
        <v/>
      </c>
      <c r="AD267">
        <f>IF(B267="","",IF(L267&lt;33.0,0,IF(L267&gt;=100*0.8,5,IF(L267&gt;=100*0.7,4,IF(L267&gt;=100*0.6,3.5,IF(L267&gt;=100*0.5,3,IF(L267&gt;=100*0.4,2,IF(L267&gt;=100*0.33,1,0))))))))</f>
        <v/>
      </c>
      <c r="AE267">
        <f>IF(B267="","",IF(M267&lt;33.0,0,IF(M267&gt;=100*0.8,5,IF(M267&gt;=100*0.7,4,IF(M267&gt;=100*0.6,3.5,IF(M267&gt;=100*0.5,3,IF(M267&gt;=100*0.4,2,IF(M267&gt;=100*0.33,1,0))))))))</f>
        <v/>
      </c>
      <c r="AF267">
        <f>IF(B267="","",IF(N267&lt;16.5,0,IF(N267&gt;=50*0.8,5,IF(N267&gt;=50*0.7,4,IF(N267&gt;=50*0.6,3.5,IF(N267&gt;=50*0.5,3,IF(N267&gt;=50*0.4,2,IF(N267&gt;=50*0.33,1,0))))))))</f>
        <v/>
      </c>
      <c r="AG267">
        <f>IF(B267="","",IF(O267&lt;33.0,0,IF(O267&gt;=100*0.8,5,IF(O267&gt;=100*0.7,4,IF(O267&gt;=100*0.6,3.5,IF(O267&gt;=100*0.5,3,IF(O267&gt;=100*0.4,2,IF(O267&gt;=100*0.33,1,0))))))))</f>
        <v/>
      </c>
      <c r="AH267">
        <f>IF(B267="","",IF(OR(U267=0,V267=0,W267=0,X267=0,Y267=0,Z267=0,AA267=0,AB267=0,AC267=0,AD267=0,AE267=0,AF267=0,AG267=0),1,0))</f>
        <v/>
      </c>
    </row>
    <row r="268">
      <c r="A268" s="3">
        <f>IF(B268="","",ROW()-2)</f>
        <v/>
      </c>
      <c r="P268" s="4">
        <f>IF(B268="","",SUM(C268:O268))</f>
        <v/>
      </c>
      <c r="Q268" s="5">
        <f>IF(B268="","",ROUND(P268/13,2))</f>
        <v/>
      </c>
      <c r="R268" s="5">
        <f>IF(B268="","",IF(AH268=1,0,MIN(5,ROUND((U268+V268+W268+X268+Y268+Z268+AA268+AB268+AC268+AD268+AE268+AF268+AG268)/13,2))))</f>
        <v/>
      </c>
      <c r="S268" s="3">
        <f>IF(B268="","",IF(R268&gt;=5,"A+",IF(R268&gt;=4,"A",IF(R268&gt;=3.5,"A-",IF(R268&gt;=3,"B",IF(R268&gt;=2,"C",IF(R268&gt;=1,"D","F")))))))</f>
        <v/>
      </c>
      <c r="T268" s="3">
        <f>IF(OR(B268="",S268="F"),"",COUNTIFS(P:P,"&gt;"&amp;P268,S:S,"&lt;&gt;F")+1)</f>
        <v/>
      </c>
      <c r="U268">
        <f>IF(B268="","",IF(C268&lt;33.0,0,IF(C268&gt;=100*0.8,5,IF(C268&gt;=100*0.7,4,IF(C268&gt;=100*0.6,3.5,IF(C268&gt;=100*0.5,3,IF(C268&gt;=100*0.4,2,IF(C268&gt;=100*0.33,1,0))))))))</f>
        <v/>
      </c>
      <c r="V268">
        <f>IF(B268="","",IF(D268&lt;33.0,0,IF(D268&gt;=100*0.8,5,IF(D268&gt;=100*0.7,4,IF(D268&gt;=100*0.6,3.5,IF(D268&gt;=100*0.5,3,IF(D268&gt;=100*0.4,2,IF(D268&gt;=100*0.33,1,0))))))))</f>
        <v/>
      </c>
      <c r="W268">
        <f>IF(B268="","",IF(E268&lt;16.5,0,IF(E268&gt;=50*0.8,5,IF(E268&gt;=50*0.7,4,IF(E268&gt;=50*0.6,3.5,IF(E268&gt;=50*0.5,3,IF(E268&gt;=50*0.4,2,IF(E268&gt;=50*0.33,1,0))))))))</f>
        <v/>
      </c>
      <c r="X268">
        <f>IF(B268="","",IF(F268&lt;33.0,0,IF(F268&gt;=100*0.8,5,IF(F268&gt;=100*0.7,4,IF(F268&gt;=100*0.6,3.5,IF(F268&gt;=100*0.5,3,IF(F268&gt;=100*0.4,2,IF(F268&gt;=100*0.33,1,0))))))))</f>
        <v/>
      </c>
      <c r="Y268">
        <f>IF(B268="","",IF(G268&lt;16.5,0,IF(G268&gt;=50*0.8,5,IF(G268&gt;=50*0.7,4,IF(G268&gt;=50*0.6,3.5,IF(G268&gt;=50*0.5,3,IF(G268&gt;=50*0.4,2,IF(G268&gt;=50*0.33,1,0))))))))</f>
        <v/>
      </c>
      <c r="Z268">
        <f>IF(B268="","",IF(H268&lt;33.0,0,IF(H268&gt;=100*0.8,5,IF(H268&gt;=100*0.7,4,IF(H268&gt;=100*0.6,3.5,IF(H268&gt;=100*0.5,3,IF(H268&gt;=100*0.4,2,IF(H268&gt;=100*0.33,1,0))))))))</f>
        <v/>
      </c>
      <c r="AA268">
        <f>IF(B268="","",IF(I268&lt;33.0,0,IF(I268&gt;=100*0.8,5,IF(I268&gt;=100*0.7,4,IF(I268&gt;=100*0.6,3.5,IF(I268&gt;=100*0.5,3,IF(I268&gt;=100*0.4,2,IF(I268&gt;=100*0.33,1,0))))))))</f>
        <v/>
      </c>
      <c r="AB268">
        <f>IF(B268="","",IF(J268&lt;33.0,0,IF(J268&gt;=100*0.8,5,IF(J268&gt;=100*0.7,4,IF(J268&gt;=100*0.6,3.5,IF(J268&gt;=100*0.5,3,IF(J268&gt;=100*0.4,2,IF(J268&gt;=100*0.33,1,0))))))))</f>
        <v/>
      </c>
      <c r="AC268">
        <f>IF(B268="","",IF(K268&lt;33.0,0,IF(K268&gt;=100*0.8,5,IF(K268&gt;=100*0.7,4,IF(K268&gt;=100*0.6,3.5,IF(K268&gt;=100*0.5,3,IF(K268&gt;=100*0.4,2,IF(K268&gt;=100*0.33,1,0))))))))</f>
        <v/>
      </c>
      <c r="AD268">
        <f>IF(B268="","",IF(L268&lt;33.0,0,IF(L268&gt;=100*0.8,5,IF(L268&gt;=100*0.7,4,IF(L268&gt;=100*0.6,3.5,IF(L268&gt;=100*0.5,3,IF(L268&gt;=100*0.4,2,IF(L268&gt;=100*0.33,1,0))))))))</f>
        <v/>
      </c>
      <c r="AE268">
        <f>IF(B268="","",IF(M268&lt;33.0,0,IF(M268&gt;=100*0.8,5,IF(M268&gt;=100*0.7,4,IF(M268&gt;=100*0.6,3.5,IF(M268&gt;=100*0.5,3,IF(M268&gt;=100*0.4,2,IF(M268&gt;=100*0.33,1,0))))))))</f>
        <v/>
      </c>
      <c r="AF268">
        <f>IF(B268="","",IF(N268&lt;16.5,0,IF(N268&gt;=50*0.8,5,IF(N268&gt;=50*0.7,4,IF(N268&gt;=50*0.6,3.5,IF(N268&gt;=50*0.5,3,IF(N268&gt;=50*0.4,2,IF(N268&gt;=50*0.33,1,0))))))))</f>
        <v/>
      </c>
      <c r="AG268">
        <f>IF(B268="","",IF(O268&lt;33.0,0,IF(O268&gt;=100*0.8,5,IF(O268&gt;=100*0.7,4,IF(O268&gt;=100*0.6,3.5,IF(O268&gt;=100*0.5,3,IF(O268&gt;=100*0.4,2,IF(O268&gt;=100*0.33,1,0))))))))</f>
        <v/>
      </c>
      <c r="AH268">
        <f>IF(B268="","",IF(OR(U268=0,V268=0,W268=0,X268=0,Y268=0,Z268=0,AA268=0,AB268=0,AC268=0,AD268=0,AE268=0,AF268=0,AG268=0),1,0))</f>
        <v/>
      </c>
    </row>
    <row r="269">
      <c r="A269" s="3">
        <f>IF(B269="","",ROW()-2)</f>
        <v/>
      </c>
      <c r="P269" s="4">
        <f>IF(B269="","",SUM(C269:O269))</f>
        <v/>
      </c>
      <c r="Q269" s="5">
        <f>IF(B269="","",ROUND(P269/13,2))</f>
        <v/>
      </c>
      <c r="R269" s="5">
        <f>IF(B269="","",IF(AH269=1,0,MIN(5,ROUND((U269+V269+W269+X269+Y269+Z269+AA269+AB269+AC269+AD269+AE269+AF269+AG269)/13,2))))</f>
        <v/>
      </c>
      <c r="S269" s="3">
        <f>IF(B269="","",IF(R269&gt;=5,"A+",IF(R269&gt;=4,"A",IF(R269&gt;=3.5,"A-",IF(R269&gt;=3,"B",IF(R269&gt;=2,"C",IF(R269&gt;=1,"D","F")))))))</f>
        <v/>
      </c>
      <c r="T269" s="3">
        <f>IF(OR(B269="",S269="F"),"",COUNTIFS(P:P,"&gt;"&amp;P269,S:S,"&lt;&gt;F")+1)</f>
        <v/>
      </c>
      <c r="U269">
        <f>IF(B269="","",IF(C269&lt;33.0,0,IF(C269&gt;=100*0.8,5,IF(C269&gt;=100*0.7,4,IF(C269&gt;=100*0.6,3.5,IF(C269&gt;=100*0.5,3,IF(C269&gt;=100*0.4,2,IF(C269&gt;=100*0.33,1,0))))))))</f>
        <v/>
      </c>
      <c r="V269">
        <f>IF(B269="","",IF(D269&lt;33.0,0,IF(D269&gt;=100*0.8,5,IF(D269&gt;=100*0.7,4,IF(D269&gt;=100*0.6,3.5,IF(D269&gt;=100*0.5,3,IF(D269&gt;=100*0.4,2,IF(D269&gt;=100*0.33,1,0))))))))</f>
        <v/>
      </c>
      <c r="W269">
        <f>IF(B269="","",IF(E269&lt;16.5,0,IF(E269&gt;=50*0.8,5,IF(E269&gt;=50*0.7,4,IF(E269&gt;=50*0.6,3.5,IF(E269&gt;=50*0.5,3,IF(E269&gt;=50*0.4,2,IF(E269&gt;=50*0.33,1,0))))))))</f>
        <v/>
      </c>
      <c r="X269">
        <f>IF(B269="","",IF(F269&lt;33.0,0,IF(F269&gt;=100*0.8,5,IF(F269&gt;=100*0.7,4,IF(F269&gt;=100*0.6,3.5,IF(F269&gt;=100*0.5,3,IF(F269&gt;=100*0.4,2,IF(F269&gt;=100*0.33,1,0))))))))</f>
        <v/>
      </c>
      <c r="Y269">
        <f>IF(B269="","",IF(G269&lt;16.5,0,IF(G269&gt;=50*0.8,5,IF(G269&gt;=50*0.7,4,IF(G269&gt;=50*0.6,3.5,IF(G269&gt;=50*0.5,3,IF(G269&gt;=50*0.4,2,IF(G269&gt;=50*0.33,1,0))))))))</f>
        <v/>
      </c>
      <c r="Z269">
        <f>IF(B269="","",IF(H269&lt;33.0,0,IF(H269&gt;=100*0.8,5,IF(H269&gt;=100*0.7,4,IF(H269&gt;=100*0.6,3.5,IF(H269&gt;=100*0.5,3,IF(H269&gt;=100*0.4,2,IF(H269&gt;=100*0.33,1,0))))))))</f>
        <v/>
      </c>
      <c r="AA269">
        <f>IF(B269="","",IF(I269&lt;33.0,0,IF(I269&gt;=100*0.8,5,IF(I269&gt;=100*0.7,4,IF(I269&gt;=100*0.6,3.5,IF(I269&gt;=100*0.5,3,IF(I269&gt;=100*0.4,2,IF(I269&gt;=100*0.33,1,0))))))))</f>
        <v/>
      </c>
      <c r="AB269">
        <f>IF(B269="","",IF(J269&lt;33.0,0,IF(J269&gt;=100*0.8,5,IF(J269&gt;=100*0.7,4,IF(J269&gt;=100*0.6,3.5,IF(J269&gt;=100*0.5,3,IF(J269&gt;=100*0.4,2,IF(J269&gt;=100*0.33,1,0))))))))</f>
        <v/>
      </c>
      <c r="AC269">
        <f>IF(B269="","",IF(K269&lt;33.0,0,IF(K269&gt;=100*0.8,5,IF(K269&gt;=100*0.7,4,IF(K269&gt;=100*0.6,3.5,IF(K269&gt;=100*0.5,3,IF(K269&gt;=100*0.4,2,IF(K269&gt;=100*0.33,1,0))))))))</f>
        <v/>
      </c>
      <c r="AD269">
        <f>IF(B269="","",IF(L269&lt;33.0,0,IF(L269&gt;=100*0.8,5,IF(L269&gt;=100*0.7,4,IF(L269&gt;=100*0.6,3.5,IF(L269&gt;=100*0.5,3,IF(L269&gt;=100*0.4,2,IF(L269&gt;=100*0.33,1,0))))))))</f>
        <v/>
      </c>
      <c r="AE269">
        <f>IF(B269="","",IF(M269&lt;33.0,0,IF(M269&gt;=100*0.8,5,IF(M269&gt;=100*0.7,4,IF(M269&gt;=100*0.6,3.5,IF(M269&gt;=100*0.5,3,IF(M269&gt;=100*0.4,2,IF(M269&gt;=100*0.33,1,0))))))))</f>
        <v/>
      </c>
      <c r="AF269">
        <f>IF(B269="","",IF(N269&lt;16.5,0,IF(N269&gt;=50*0.8,5,IF(N269&gt;=50*0.7,4,IF(N269&gt;=50*0.6,3.5,IF(N269&gt;=50*0.5,3,IF(N269&gt;=50*0.4,2,IF(N269&gt;=50*0.33,1,0))))))))</f>
        <v/>
      </c>
      <c r="AG269">
        <f>IF(B269="","",IF(O269&lt;33.0,0,IF(O269&gt;=100*0.8,5,IF(O269&gt;=100*0.7,4,IF(O269&gt;=100*0.6,3.5,IF(O269&gt;=100*0.5,3,IF(O269&gt;=100*0.4,2,IF(O269&gt;=100*0.33,1,0))))))))</f>
        <v/>
      </c>
      <c r="AH269">
        <f>IF(B269="","",IF(OR(U269=0,V269=0,W269=0,X269=0,Y269=0,Z269=0,AA269=0,AB269=0,AC269=0,AD269=0,AE269=0,AF269=0,AG269=0),1,0))</f>
        <v/>
      </c>
    </row>
    <row r="270">
      <c r="A270" s="3">
        <f>IF(B270="","",ROW()-2)</f>
        <v/>
      </c>
      <c r="P270" s="4">
        <f>IF(B270="","",SUM(C270:O270))</f>
        <v/>
      </c>
      <c r="Q270" s="5">
        <f>IF(B270="","",ROUND(P270/13,2))</f>
        <v/>
      </c>
      <c r="R270" s="5">
        <f>IF(B270="","",IF(AH270=1,0,MIN(5,ROUND((U270+V270+W270+X270+Y270+Z270+AA270+AB270+AC270+AD270+AE270+AF270+AG270)/13,2))))</f>
        <v/>
      </c>
      <c r="S270" s="3">
        <f>IF(B270="","",IF(R270&gt;=5,"A+",IF(R270&gt;=4,"A",IF(R270&gt;=3.5,"A-",IF(R270&gt;=3,"B",IF(R270&gt;=2,"C",IF(R270&gt;=1,"D","F")))))))</f>
        <v/>
      </c>
      <c r="T270" s="3">
        <f>IF(OR(B270="",S270="F"),"",COUNTIFS(P:P,"&gt;"&amp;P270,S:S,"&lt;&gt;F")+1)</f>
        <v/>
      </c>
      <c r="U270">
        <f>IF(B270="","",IF(C270&lt;33.0,0,IF(C270&gt;=100*0.8,5,IF(C270&gt;=100*0.7,4,IF(C270&gt;=100*0.6,3.5,IF(C270&gt;=100*0.5,3,IF(C270&gt;=100*0.4,2,IF(C270&gt;=100*0.33,1,0))))))))</f>
        <v/>
      </c>
      <c r="V270">
        <f>IF(B270="","",IF(D270&lt;33.0,0,IF(D270&gt;=100*0.8,5,IF(D270&gt;=100*0.7,4,IF(D270&gt;=100*0.6,3.5,IF(D270&gt;=100*0.5,3,IF(D270&gt;=100*0.4,2,IF(D270&gt;=100*0.33,1,0))))))))</f>
        <v/>
      </c>
      <c r="W270">
        <f>IF(B270="","",IF(E270&lt;16.5,0,IF(E270&gt;=50*0.8,5,IF(E270&gt;=50*0.7,4,IF(E270&gt;=50*0.6,3.5,IF(E270&gt;=50*0.5,3,IF(E270&gt;=50*0.4,2,IF(E270&gt;=50*0.33,1,0))))))))</f>
        <v/>
      </c>
      <c r="X270">
        <f>IF(B270="","",IF(F270&lt;33.0,0,IF(F270&gt;=100*0.8,5,IF(F270&gt;=100*0.7,4,IF(F270&gt;=100*0.6,3.5,IF(F270&gt;=100*0.5,3,IF(F270&gt;=100*0.4,2,IF(F270&gt;=100*0.33,1,0))))))))</f>
        <v/>
      </c>
      <c r="Y270">
        <f>IF(B270="","",IF(G270&lt;16.5,0,IF(G270&gt;=50*0.8,5,IF(G270&gt;=50*0.7,4,IF(G270&gt;=50*0.6,3.5,IF(G270&gt;=50*0.5,3,IF(G270&gt;=50*0.4,2,IF(G270&gt;=50*0.33,1,0))))))))</f>
        <v/>
      </c>
      <c r="Z270">
        <f>IF(B270="","",IF(H270&lt;33.0,0,IF(H270&gt;=100*0.8,5,IF(H270&gt;=100*0.7,4,IF(H270&gt;=100*0.6,3.5,IF(H270&gt;=100*0.5,3,IF(H270&gt;=100*0.4,2,IF(H270&gt;=100*0.33,1,0))))))))</f>
        <v/>
      </c>
      <c r="AA270">
        <f>IF(B270="","",IF(I270&lt;33.0,0,IF(I270&gt;=100*0.8,5,IF(I270&gt;=100*0.7,4,IF(I270&gt;=100*0.6,3.5,IF(I270&gt;=100*0.5,3,IF(I270&gt;=100*0.4,2,IF(I270&gt;=100*0.33,1,0))))))))</f>
        <v/>
      </c>
      <c r="AB270">
        <f>IF(B270="","",IF(J270&lt;33.0,0,IF(J270&gt;=100*0.8,5,IF(J270&gt;=100*0.7,4,IF(J270&gt;=100*0.6,3.5,IF(J270&gt;=100*0.5,3,IF(J270&gt;=100*0.4,2,IF(J270&gt;=100*0.33,1,0))))))))</f>
        <v/>
      </c>
      <c r="AC270">
        <f>IF(B270="","",IF(K270&lt;33.0,0,IF(K270&gt;=100*0.8,5,IF(K270&gt;=100*0.7,4,IF(K270&gt;=100*0.6,3.5,IF(K270&gt;=100*0.5,3,IF(K270&gt;=100*0.4,2,IF(K270&gt;=100*0.33,1,0))))))))</f>
        <v/>
      </c>
      <c r="AD270">
        <f>IF(B270="","",IF(L270&lt;33.0,0,IF(L270&gt;=100*0.8,5,IF(L270&gt;=100*0.7,4,IF(L270&gt;=100*0.6,3.5,IF(L270&gt;=100*0.5,3,IF(L270&gt;=100*0.4,2,IF(L270&gt;=100*0.33,1,0))))))))</f>
        <v/>
      </c>
      <c r="AE270">
        <f>IF(B270="","",IF(M270&lt;33.0,0,IF(M270&gt;=100*0.8,5,IF(M270&gt;=100*0.7,4,IF(M270&gt;=100*0.6,3.5,IF(M270&gt;=100*0.5,3,IF(M270&gt;=100*0.4,2,IF(M270&gt;=100*0.33,1,0))))))))</f>
        <v/>
      </c>
      <c r="AF270">
        <f>IF(B270="","",IF(N270&lt;16.5,0,IF(N270&gt;=50*0.8,5,IF(N270&gt;=50*0.7,4,IF(N270&gt;=50*0.6,3.5,IF(N270&gt;=50*0.5,3,IF(N270&gt;=50*0.4,2,IF(N270&gt;=50*0.33,1,0))))))))</f>
        <v/>
      </c>
      <c r="AG270">
        <f>IF(B270="","",IF(O270&lt;33.0,0,IF(O270&gt;=100*0.8,5,IF(O270&gt;=100*0.7,4,IF(O270&gt;=100*0.6,3.5,IF(O270&gt;=100*0.5,3,IF(O270&gt;=100*0.4,2,IF(O270&gt;=100*0.33,1,0))))))))</f>
        <v/>
      </c>
      <c r="AH270">
        <f>IF(B270="","",IF(OR(U270=0,V270=0,W270=0,X270=0,Y270=0,Z270=0,AA270=0,AB270=0,AC270=0,AD270=0,AE270=0,AF270=0,AG270=0),1,0))</f>
        <v/>
      </c>
    </row>
    <row r="271">
      <c r="A271" s="3">
        <f>IF(B271="","",ROW()-2)</f>
        <v/>
      </c>
      <c r="P271" s="4">
        <f>IF(B271="","",SUM(C271:O271))</f>
        <v/>
      </c>
      <c r="Q271" s="5">
        <f>IF(B271="","",ROUND(P271/13,2))</f>
        <v/>
      </c>
      <c r="R271" s="5">
        <f>IF(B271="","",IF(AH271=1,0,MIN(5,ROUND((U271+V271+W271+X271+Y271+Z271+AA271+AB271+AC271+AD271+AE271+AF271+AG271)/13,2))))</f>
        <v/>
      </c>
      <c r="S271" s="3">
        <f>IF(B271="","",IF(R271&gt;=5,"A+",IF(R271&gt;=4,"A",IF(R271&gt;=3.5,"A-",IF(R271&gt;=3,"B",IF(R271&gt;=2,"C",IF(R271&gt;=1,"D","F")))))))</f>
        <v/>
      </c>
      <c r="T271" s="3">
        <f>IF(OR(B271="",S271="F"),"",COUNTIFS(P:P,"&gt;"&amp;P271,S:S,"&lt;&gt;F")+1)</f>
        <v/>
      </c>
      <c r="U271">
        <f>IF(B271="","",IF(C271&lt;33.0,0,IF(C271&gt;=100*0.8,5,IF(C271&gt;=100*0.7,4,IF(C271&gt;=100*0.6,3.5,IF(C271&gt;=100*0.5,3,IF(C271&gt;=100*0.4,2,IF(C271&gt;=100*0.33,1,0))))))))</f>
        <v/>
      </c>
      <c r="V271">
        <f>IF(B271="","",IF(D271&lt;33.0,0,IF(D271&gt;=100*0.8,5,IF(D271&gt;=100*0.7,4,IF(D271&gt;=100*0.6,3.5,IF(D271&gt;=100*0.5,3,IF(D271&gt;=100*0.4,2,IF(D271&gt;=100*0.33,1,0))))))))</f>
        <v/>
      </c>
      <c r="W271">
        <f>IF(B271="","",IF(E271&lt;16.5,0,IF(E271&gt;=50*0.8,5,IF(E271&gt;=50*0.7,4,IF(E271&gt;=50*0.6,3.5,IF(E271&gt;=50*0.5,3,IF(E271&gt;=50*0.4,2,IF(E271&gt;=50*0.33,1,0))))))))</f>
        <v/>
      </c>
      <c r="X271">
        <f>IF(B271="","",IF(F271&lt;33.0,0,IF(F271&gt;=100*0.8,5,IF(F271&gt;=100*0.7,4,IF(F271&gt;=100*0.6,3.5,IF(F271&gt;=100*0.5,3,IF(F271&gt;=100*0.4,2,IF(F271&gt;=100*0.33,1,0))))))))</f>
        <v/>
      </c>
      <c r="Y271">
        <f>IF(B271="","",IF(G271&lt;16.5,0,IF(G271&gt;=50*0.8,5,IF(G271&gt;=50*0.7,4,IF(G271&gt;=50*0.6,3.5,IF(G271&gt;=50*0.5,3,IF(G271&gt;=50*0.4,2,IF(G271&gt;=50*0.33,1,0))))))))</f>
        <v/>
      </c>
      <c r="Z271">
        <f>IF(B271="","",IF(H271&lt;33.0,0,IF(H271&gt;=100*0.8,5,IF(H271&gt;=100*0.7,4,IF(H271&gt;=100*0.6,3.5,IF(H271&gt;=100*0.5,3,IF(H271&gt;=100*0.4,2,IF(H271&gt;=100*0.33,1,0))))))))</f>
        <v/>
      </c>
      <c r="AA271">
        <f>IF(B271="","",IF(I271&lt;33.0,0,IF(I271&gt;=100*0.8,5,IF(I271&gt;=100*0.7,4,IF(I271&gt;=100*0.6,3.5,IF(I271&gt;=100*0.5,3,IF(I271&gt;=100*0.4,2,IF(I271&gt;=100*0.33,1,0))))))))</f>
        <v/>
      </c>
      <c r="AB271">
        <f>IF(B271="","",IF(J271&lt;33.0,0,IF(J271&gt;=100*0.8,5,IF(J271&gt;=100*0.7,4,IF(J271&gt;=100*0.6,3.5,IF(J271&gt;=100*0.5,3,IF(J271&gt;=100*0.4,2,IF(J271&gt;=100*0.33,1,0))))))))</f>
        <v/>
      </c>
      <c r="AC271">
        <f>IF(B271="","",IF(K271&lt;33.0,0,IF(K271&gt;=100*0.8,5,IF(K271&gt;=100*0.7,4,IF(K271&gt;=100*0.6,3.5,IF(K271&gt;=100*0.5,3,IF(K271&gt;=100*0.4,2,IF(K271&gt;=100*0.33,1,0))))))))</f>
        <v/>
      </c>
      <c r="AD271">
        <f>IF(B271="","",IF(L271&lt;33.0,0,IF(L271&gt;=100*0.8,5,IF(L271&gt;=100*0.7,4,IF(L271&gt;=100*0.6,3.5,IF(L271&gt;=100*0.5,3,IF(L271&gt;=100*0.4,2,IF(L271&gt;=100*0.33,1,0))))))))</f>
        <v/>
      </c>
      <c r="AE271">
        <f>IF(B271="","",IF(M271&lt;33.0,0,IF(M271&gt;=100*0.8,5,IF(M271&gt;=100*0.7,4,IF(M271&gt;=100*0.6,3.5,IF(M271&gt;=100*0.5,3,IF(M271&gt;=100*0.4,2,IF(M271&gt;=100*0.33,1,0))))))))</f>
        <v/>
      </c>
      <c r="AF271">
        <f>IF(B271="","",IF(N271&lt;16.5,0,IF(N271&gt;=50*0.8,5,IF(N271&gt;=50*0.7,4,IF(N271&gt;=50*0.6,3.5,IF(N271&gt;=50*0.5,3,IF(N271&gt;=50*0.4,2,IF(N271&gt;=50*0.33,1,0))))))))</f>
        <v/>
      </c>
      <c r="AG271">
        <f>IF(B271="","",IF(O271&lt;33.0,0,IF(O271&gt;=100*0.8,5,IF(O271&gt;=100*0.7,4,IF(O271&gt;=100*0.6,3.5,IF(O271&gt;=100*0.5,3,IF(O271&gt;=100*0.4,2,IF(O271&gt;=100*0.33,1,0))))))))</f>
        <v/>
      </c>
      <c r="AH271">
        <f>IF(B271="","",IF(OR(U271=0,V271=0,W271=0,X271=0,Y271=0,Z271=0,AA271=0,AB271=0,AC271=0,AD271=0,AE271=0,AF271=0,AG271=0),1,0))</f>
        <v/>
      </c>
    </row>
    <row r="272">
      <c r="A272" s="3">
        <f>IF(B272="","",ROW()-2)</f>
        <v/>
      </c>
      <c r="P272" s="4">
        <f>IF(B272="","",SUM(C272:O272))</f>
        <v/>
      </c>
      <c r="Q272" s="5">
        <f>IF(B272="","",ROUND(P272/13,2))</f>
        <v/>
      </c>
      <c r="R272" s="5">
        <f>IF(B272="","",IF(AH272=1,0,MIN(5,ROUND((U272+V272+W272+X272+Y272+Z272+AA272+AB272+AC272+AD272+AE272+AF272+AG272)/13,2))))</f>
        <v/>
      </c>
      <c r="S272" s="3">
        <f>IF(B272="","",IF(R272&gt;=5,"A+",IF(R272&gt;=4,"A",IF(R272&gt;=3.5,"A-",IF(R272&gt;=3,"B",IF(R272&gt;=2,"C",IF(R272&gt;=1,"D","F")))))))</f>
        <v/>
      </c>
      <c r="T272" s="3">
        <f>IF(OR(B272="",S272="F"),"",COUNTIFS(P:P,"&gt;"&amp;P272,S:S,"&lt;&gt;F")+1)</f>
        <v/>
      </c>
      <c r="U272">
        <f>IF(B272="","",IF(C272&lt;33.0,0,IF(C272&gt;=100*0.8,5,IF(C272&gt;=100*0.7,4,IF(C272&gt;=100*0.6,3.5,IF(C272&gt;=100*0.5,3,IF(C272&gt;=100*0.4,2,IF(C272&gt;=100*0.33,1,0))))))))</f>
        <v/>
      </c>
      <c r="V272">
        <f>IF(B272="","",IF(D272&lt;33.0,0,IF(D272&gt;=100*0.8,5,IF(D272&gt;=100*0.7,4,IF(D272&gt;=100*0.6,3.5,IF(D272&gt;=100*0.5,3,IF(D272&gt;=100*0.4,2,IF(D272&gt;=100*0.33,1,0))))))))</f>
        <v/>
      </c>
      <c r="W272">
        <f>IF(B272="","",IF(E272&lt;16.5,0,IF(E272&gt;=50*0.8,5,IF(E272&gt;=50*0.7,4,IF(E272&gt;=50*0.6,3.5,IF(E272&gt;=50*0.5,3,IF(E272&gt;=50*0.4,2,IF(E272&gt;=50*0.33,1,0))))))))</f>
        <v/>
      </c>
      <c r="X272">
        <f>IF(B272="","",IF(F272&lt;33.0,0,IF(F272&gt;=100*0.8,5,IF(F272&gt;=100*0.7,4,IF(F272&gt;=100*0.6,3.5,IF(F272&gt;=100*0.5,3,IF(F272&gt;=100*0.4,2,IF(F272&gt;=100*0.33,1,0))))))))</f>
        <v/>
      </c>
      <c r="Y272">
        <f>IF(B272="","",IF(G272&lt;16.5,0,IF(G272&gt;=50*0.8,5,IF(G272&gt;=50*0.7,4,IF(G272&gt;=50*0.6,3.5,IF(G272&gt;=50*0.5,3,IF(G272&gt;=50*0.4,2,IF(G272&gt;=50*0.33,1,0))))))))</f>
        <v/>
      </c>
      <c r="Z272">
        <f>IF(B272="","",IF(H272&lt;33.0,0,IF(H272&gt;=100*0.8,5,IF(H272&gt;=100*0.7,4,IF(H272&gt;=100*0.6,3.5,IF(H272&gt;=100*0.5,3,IF(H272&gt;=100*0.4,2,IF(H272&gt;=100*0.33,1,0))))))))</f>
        <v/>
      </c>
      <c r="AA272">
        <f>IF(B272="","",IF(I272&lt;33.0,0,IF(I272&gt;=100*0.8,5,IF(I272&gt;=100*0.7,4,IF(I272&gt;=100*0.6,3.5,IF(I272&gt;=100*0.5,3,IF(I272&gt;=100*0.4,2,IF(I272&gt;=100*0.33,1,0))))))))</f>
        <v/>
      </c>
      <c r="AB272">
        <f>IF(B272="","",IF(J272&lt;33.0,0,IF(J272&gt;=100*0.8,5,IF(J272&gt;=100*0.7,4,IF(J272&gt;=100*0.6,3.5,IF(J272&gt;=100*0.5,3,IF(J272&gt;=100*0.4,2,IF(J272&gt;=100*0.33,1,0))))))))</f>
        <v/>
      </c>
      <c r="AC272">
        <f>IF(B272="","",IF(K272&lt;33.0,0,IF(K272&gt;=100*0.8,5,IF(K272&gt;=100*0.7,4,IF(K272&gt;=100*0.6,3.5,IF(K272&gt;=100*0.5,3,IF(K272&gt;=100*0.4,2,IF(K272&gt;=100*0.33,1,0))))))))</f>
        <v/>
      </c>
      <c r="AD272">
        <f>IF(B272="","",IF(L272&lt;33.0,0,IF(L272&gt;=100*0.8,5,IF(L272&gt;=100*0.7,4,IF(L272&gt;=100*0.6,3.5,IF(L272&gt;=100*0.5,3,IF(L272&gt;=100*0.4,2,IF(L272&gt;=100*0.33,1,0))))))))</f>
        <v/>
      </c>
      <c r="AE272">
        <f>IF(B272="","",IF(M272&lt;33.0,0,IF(M272&gt;=100*0.8,5,IF(M272&gt;=100*0.7,4,IF(M272&gt;=100*0.6,3.5,IF(M272&gt;=100*0.5,3,IF(M272&gt;=100*0.4,2,IF(M272&gt;=100*0.33,1,0))))))))</f>
        <v/>
      </c>
      <c r="AF272">
        <f>IF(B272="","",IF(N272&lt;16.5,0,IF(N272&gt;=50*0.8,5,IF(N272&gt;=50*0.7,4,IF(N272&gt;=50*0.6,3.5,IF(N272&gt;=50*0.5,3,IF(N272&gt;=50*0.4,2,IF(N272&gt;=50*0.33,1,0))))))))</f>
        <v/>
      </c>
      <c r="AG272">
        <f>IF(B272="","",IF(O272&lt;33.0,0,IF(O272&gt;=100*0.8,5,IF(O272&gt;=100*0.7,4,IF(O272&gt;=100*0.6,3.5,IF(O272&gt;=100*0.5,3,IF(O272&gt;=100*0.4,2,IF(O272&gt;=100*0.33,1,0))))))))</f>
        <v/>
      </c>
      <c r="AH272">
        <f>IF(B272="","",IF(OR(U272=0,V272=0,W272=0,X272=0,Y272=0,Z272=0,AA272=0,AB272=0,AC272=0,AD272=0,AE272=0,AF272=0,AG272=0),1,0))</f>
        <v/>
      </c>
    </row>
    <row r="273">
      <c r="A273" s="3">
        <f>IF(B273="","",ROW()-2)</f>
        <v/>
      </c>
      <c r="P273" s="4">
        <f>IF(B273="","",SUM(C273:O273))</f>
        <v/>
      </c>
      <c r="Q273" s="5">
        <f>IF(B273="","",ROUND(P273/13,2))</f>
        <v/>
      </c>
      <c r="R273" s="5">
        <f>IF(B273="","",IF(AH273=1,0,MIN(5,ROUND((U273+V273+W273+X273+Y273+Z273+AA273+AB273+AC273+AD273+AE273+AF273+AG273)/13,2))))</f>
        <v/>
      </c>
      <c r="S273" s="3">
        <f>IF(B273="","",IF(R273&gt;=5,"A+",IF(R273&gt;=4,"A",IF(R273&gt;=3.5,"A-",IF(R273&gt;=3,"B",IF(R273&gt;=2,"C",IF(R273&gt;=1,"D","F")))))))</f>
        <v/>
      </c>
      <c r="T273" s="3">
        <f>IF(OR(B273="",S273="F"),"",COUNTIFS(P:P,"&gt;"&amp;P273,S:S,"&lt;&gt;F")+1)</f>
        <v/>
      </c>
      <c r="U273">
        <f>IF(B273="","",IF(C273&lt;33.0,0,IF(C273&gt;=100*0.8,5,IF(C273&gt;=100*0.7,4,IF(C273&gt;=100*0.6,3.5,IF(C273&gt;=100*0.5,3,IF(C273&gt;=100*0.4,2,IF(C273&gt;=100*0.33,1,0))))))))</f>
        <v/>
      </c>
      <c r="V273">
        <f>IF(B273="","",IF(D273&lt;33.0,0,IF(D273&gt;=100*0.8,5,IF(D273&gt;=100*0.7,4,IF(D273&gt;=100*0.6,3.5,IF(D273&gt;=100*0.5,3,IF(D273&gt;=100*0.4,2,IF(D273&gt;=100*0.33,1,0))))))))</f>
        <v/>
      </c>
      <c r="W273">
        <f>IF(B273="","",IF(E273&lt;16.5,0,IF(E273&gt;=50*0.8,5,IF(E273&gt;=50*0.7,4,IF(E273&gt;=50*0.6,3.5,IF(E273&gt;=50*0.5,3,IF(E273&gt;=50*0.4,2,IF(E273&gt;=50*0.33,1,0))))))))</f>
        <v/>
      </c>
      <c r="X273">
        <f>IF(B273="","",IF(F273&lt;33.0,0,IF(F273&gt;=100*0.8,5,IF(F273&gt;=100*0.7,4,IF(F273&gt;=100*0.6,3.5,IF(F273&gt;=100*0.5,3,IF(F273&gt;=100*0.4,2,IF(F273&gt;=100*0.33,1,0))))))))</f>
        <v/>
      </c>
      <c r="Y273">
        <f>IF(B273="","",IF(G273&lt;16.5,0,IF(G273&gt;=50*0.8,5,IF(G273&gt;=50*0.7,4,IF(G273&gt;=50*0.6,3.5,IF(G273&gt;=50*0.5,3,IF(G273&gt;=50*0.4,2,IF(G273&gt;=50*0.33,1,0))))))))</f>
        <v/>
      </c>
      <c r="Z273">
        <f>IF(B273="","",IF(H273&lt;33.0,0,IF(H273&gt;=100*0.8,5,IF(H273&gt;=100*0.7,4,IF(H273&gt;=100*0.6,3.5,IF(H273&gt;=100*0.5,3,IF(H273&gt;=100*0.4,2,IF(H273&gt;=100*0.33,1,0))))))))</f>
        <v/>
      </c>
      <c r="AA273">
        <f>IF(B273="","",IF(I273&lt;33.0,0,IF(I273&gt;=100*0.8,5,IF(I273&gt;=100*0.7,4,IF(I273&gt;=100*0.6,3.5,IF(I273&gt;=100*0.5,3,IF(I273&gt;=100*0.4,2,IF(I273&gt;=100*0.33,1,0))))))))</f>
        <v/>
      </c>
      <c r="AB273">
        <f>IF(B273="","",IF(J273&lt;33.0,0,IF(J273&gt;=100*0.8,5,IF(J273&gt;=100*0.7,4,IF(J273&gt;=100*0.6,3.5,IF(J273&gt;=100*0.5,3,IF(J273&gt;=100*0.4,2,IF(J273&gt;=100*0.33,1,0))))))))</f>
        <v/>
      </c>
      <c r="AC273">
        <f>IF(B273="","",IF(K273&lt;33.0,0,IF(K273&gt;=100*0.8,5,IF(K273&gt;=100*0.7,4,IF(K273&gt;=100*0.6,3.5,IF(K273&gt;=100*0.5,3,IF(K273&gt;=100*0.4,2,IF(K273&gt;=100*0.33,1,0))))))))</f>
        <v/>
      </c>
      <c r="AD273">
        <f>IF(B273="","",IF(L273&lt;33.0,0,IF(L273&gt;=100*0.8,5,IF(L273&gt;=100*0.7,4,IF(L273&gt;=100*0.6,3.5,IF(L273&gt;=100*0.5,3,IF(L273&gt;=100*0.4,2,IF(L273&gt;=100*0.33,1,0))))))))</f>
        <v/>
      </c>
      <c r="AE273">
        <f>IF(B273="","",IF(M273&lt;33.0,0,IF(M273&gt;=100*0.8,5,IF(M273&gt;=100*0.7,4,IF(M273&gt;=100*0.6,3.5,IF(M273&gt;=100*0.5,3,IF(M273&gt;=100*0.4,2,IF(M273&gt;=100*0.33,1,0))))))))</f>
        <v/>
      </c>
      <c r="AF273">
        <f>IF(B273="","",IF(N273&lt;16.5,0,IF(N273&gt;=50*0.8,5,IF(N273&gt;=50*0.7,4,IF(N273&gt;=50*0.6,3.5,IF(N273&gt;=50*0.5,3,IF(N273&gt;=50*0.4,2,IF(N273&gt;=50*0.33,1,0))))))))</f>
        <v/>
      </c>
      <c r="AG273">
        <f>IF(B273="","",IF(O273&lt;33.0,0,IF(O273&gt;=100*0.8,5,IF(O273&gt;=100*0.7,4,IF(O273&gt;=100*0.6,3.5,IF(O273&gt;=100*0.5,3,IF(O273&gt;=100*0.4,2,IF(O273&gt;=100*0.33,1,0))))))))</f>
        <v/>
      </c>
      <c r="AH273">
        <f>IF(B273="","",IF(OR(U273=0,V273=0,W273=0,X273=0,Y273=0,Z273=0,AA273=0,AB273=0,AC273=0,AD273=0,AE273=0,AF273=0,AG273=0),1,0))</f>
        <v/>
      </c>
    </row>
    <row r="274">
      <c r="A274" s="3">
        <f>IF(B274="","",ROW()-2)</f>
        <v/>
      </c>
      <c r="P274" s="4">
        <f>IF(B274="","",SUM(C274:O274))</f>
        <v/>
      </c>
      <c r="Q274" s="5">
        <f>IF(B274="","",ROUND(P274/13,2))</f>
        <v/>
      </c>
      <c r="R274" s="5">
        <f>IF(B274="","",IF(AH274=1,0,MIN(5,ROUND((U274+V274+W274+X274+Y274+Z274+AA274+AB274+AC274+AD274+AE274+AF274+AG274)/13,2))))</f>
        <v/>
      </c>
      <c r="S274" s="3">
        <f>IF(B274="","",IF(R274&gt;=5,"A+",IF(R274&gt;=4,"A",IF(R274&gt;=3.5,"A-",IF(R274&gt;=3,"B",IF(R274&gt;=2,"C",IF(R274&gt;=1,"D","F")))))))</f>
        <v/>
      </c>
      <c r="T274" s="3">
        <f>IF(OR(B274="",S274="F"),"",COUNTIFS(P:P,"&gt;"&amp;P274,S:S,"&lt;&gt;F")+1)</f>
        <v/>
      </c>
      <c r="U274">
        <f>IF(B274="","",IF(C274&lt;33.0,0,IF(C274&gt;=100*0.8,5,IF(C274&gt;=100*0.7,4,IF(C274&gt;=100*0.6,3.5,IF(C274&gt;=100*0.5,3,IF(C274&gt;=100*0.4,2,IF(C274&gt;=100*0.33,1,0))))))))</f>
        <v/>
      </c>
      <c r="V274">
        <f>IF(B274="","",IF(D274&lt;33.0,0,IF(D274&gt;=100*0.8,5,IF(D274&gt;=100*0.7,4,IF(D274&gt;=100*0.6,3.5,IF(D274&gt;=100*0.5,3,IF(D274&gt;=100*0.4,2,IF(D274&gt;=100*0.33,1,0))))))))</f>
        <v/>
      </c>
      <c r="W274">
        <f>IF(B274="","",IF(E274&lt;16.5,0,IF(E274&gt;=50*0.8,5,IF(E274&gt;=50*0.7,4,IF(E274&gt;=50*0.6,3.5,IF(E274&gt;=50*0.5,3,IF(E274&gt;=50*0.4,2,IF(E274&gt;=50*0.33,1,0))))))))</f>
        <v/>
      </c>
      <c r="X274">
        <f>IF(B274="","",IF(F274&lt;33.0,0,IF(F274&gt;=100*0.8,5,IF(F274&gt;=100*0.7,4,IF(F274&gt;=100*0.6,3.5,IF(F274&gt;=100*0.5,3,IF(F274&gt;=100*0.4,2,IF(F274&gt;=100*0.33,1,0))))))))</f>
        <v/>
      </c>
      <c r="Y274">
        <f>IF(B274="","",IF(G274&lt;16.5,0,IF(G274&gt;=50*0.8,5,IF(G274&gt;=50*0.7,4,IF(G274&gt;=50*0.6,3.5,IF(G274&gt;=50*0.5,3,IF(G274&gt;=50*0.4,2,IF(G274&gt;=50*0.33,1,0))))))))</f>
        <v/>
      </c>
      <c r="Z274">
        <f>IF(B274="","",IF(H274&lt;33.0,0,IF(H274&gt;=100*0.8,5,IF(H274&gt;=100*0.7,4,IF(H274&gt;=100*0.6,3.5,IF(H274&gt;=100*0.5,3,IF(H274&gt;=100*0.4,2,IF(H274&gt;=100*0.33,1,0))))))))</f>
        <v/>
      </c>
      <c r="AA274">
        <f>IF(B274="","",IF(I274&lt;33.0,0,IF(I274&gt;=100*0.8,5,IF(I274&gt;=100*0.7,4,IF(I274&gt;=100*0.6,3.5,IF(I274&gt;=100*0.5,3,IF(I274&gt;=100*0.4,2,IF(I274&gt;=100*0.33,1,0))))))))</f>
        <v/>
      </c>
      <c r="AB274">
        <f>IF(B274="","",IF(J274&lt;33.0,0,IF(J274&gt;=100*0.8,5,IF(J274&gt;=100*0.7,4,IF(J274&gt;=100*0.6,3.5,IF(J274&gt;=100*0.5,3,IF(J274&gt;=100*0.4,2,IF(J274&gt;=100*0.33,1,0))))))))</f>
        <v/>
      </c>
      <c r="AC274">
        <f>IF(B274="","",IF(K274&lt;33.0,0,IF(K274&gt;=100*0.8,5,IF(K274&gt;=100*0.7,4,IF(K274&gt;=100*0.6,3.5,IF(K274&gt;=100*0.5,3,IF(K274&gt;=100*0.4,2,IF(K274&gt;=100*0.33,1,0))))))))</f>
        <v/>
      </c>
      <c r="AD274">
        <f>IF(B274="","",IF(L274&lt;33.0,0,IF(L274&gt;=100*0.8,5,IF(L274&gt;=100*0.7,4,IF(L274&gt;=100*0.6,3.5,IF(L274&gt;=100*0.5,3,IF(L274&gt;=100*0.4,2,IF(L274&gt;=100*0.33,1,0))))))))</f>
        <v/>
      </c>
      <c r="AE274">
        <f>IF(B274="","",IF(M274&lt;33.0,0,IF(M274&gt;=100*0.8,5,IF(M274&gt;=100*0.7,4,IF(M274&gt;=100*0.6,3.5,IF(M274&gt;=100*0.5,3,IF(M274&gt;=100*0.4,2,IF(M274&gt;=100*0.33,1,0))))))))</f>
        <v/>
      </c>
      <c r="AF274">
        <f>IF(B274="","",IF(N274&lt;16.5,0,IF(N274&gt;=50*0.8,5,IF(N274&gt;=50*0.7,4,IF(N274&gt;=50*0.6,3.5,IF(N274&gt;=50*0.5,3,IF(N274&gt;=50*0.4,2,IF(N274&gt;=50*0.33,1,0))))))))</f>
        <v/>
      </c>
      <c r="AG274">
        <f>IF(B274="","",IF(O274&lt;33.0,0,IF(O274&gt;=100*0.8,5,IF(O274&gt;=100*0.7,4,IF(O274&gt;=100*0.6,3.5,IF(O274&gt;=100*0.5,3,IF(O274&gt;=100*0.4,2,IF(O274&gt;=100*0.33,1,0))))))))</f>
        <v/>
      </c>
      <c r="AH274">
        <f>IF(B274="","",IF(OR(U274=0,V274=0,W274=0,X274=0,Y274=0,Z274=0,AA274=0,AB274=0,AC274=0,AD274=0,AE274=0,AF274=0,AG274=0),1,0))</f>
        <v/>
      </c>
    </row>
    <row r="275">
      <c r="A275" s="3">
        <f>IF(B275="","",ROW()-2)</f>
        <v/>
      </c>
      <c r="P275" s="4">
        <f>IF(B275="","",SUM(C275:O275))</f>
        <v/>
      </c>
      <c r="Q275" s="5">
        <f>IF(B275="","",ROUND(P275/13,2))</f>
        <v/>
      </c>
      <c r="R275" s="5">
        <f>IF(B275="","",IF(AH275=1,0,MIN(5,ROUND((U275+V275+W275+X275+Y275+Z275+AA275+AB275+AC275+AD275+AE275+AF275+AG275)/13,2))))</f>
        <v/>
      </c>
      <c r="S275" s="3">
        <f>IF(B275="","",IF(R275&gt;=5,"A+",IF(R275&gt;=4,"A",IF(R275&gt;=3.5,"A-",IF(R275&gt;=3,"B",IF(R275&gt;=2,"C",IF(R275&gt;=1,"D","F")))))))</f>
        <v/>
      </c>
      <c r="T275" s="3">
        <f>IF(OR(B275="",S275="F"),"",COUNTIFS(P:P,"&gt;"&amp;P275,S:S,"&lt;&gt;F")+1)</f>
        <v/>
      </c>
      <c r="U275">
        <f>IF(B275="","",IF(C275&lt;33.0,0,IF(C275&gt;=100*0.8,5,IF(C275&gt;=100*0.7,4,IF(C275&gt;=100*0.6,3.5,IF(C275&gt;=100*0.5,3,IF(C275&gt;=100*0.4,2,IF(C275&gt;=100*0.33,1,0))))))))</f>
        <v/>
      </c>
      <c r="V275">
        <f>IF(B275="","",IF(D275&lt;33.0,0,IF(D275&gt;=100*0.8,5,IF(D275&gt;=100*0.7,4,IF(D275&gt;=100*0.6,3.5,IF(D275&gt;=100*0.5,3,IF(D275&gt;=100*0.4,2,IF(D275&gt;=100*0.33,1,0))))))))</f>
        <v/>
      </c>
      <c r="W275">
        <f>IF(B275="","",IF(E275&lt;16.5,0,IF(E275&gt;=50*0.8,5,IF(E275&gt;=50*0.7,4,IF(E275&gt;=50*0.6,3.5,IF(E275&gt;=50*0.5,3,IF(E275&gt;=50*0.4,2,IF(E275&gt;=50*0.33,1,0))))))))</f>
        <v/>
      </c>
      <c r="X275">
        <f>IF(B275="","",IF(F275&lt;33.0,0,IF(F275&gt;=100*0.8,5,IF(F275&gt;=100*0.7,4,IF(F275&gt;=100*0.6,3.5,IF(F275&gt;=100*0.5,3,IF(F275&gt;=100*0.4,2,IF(F275&gt;=100*0.33,1,0))))))))</f>
        <v/>
      </c>
      <c r="Y275">
        <f>IF(B275="","",IF(G275&lt;16.5,0,IF(G275&gt;=50*0.8,5,IF(G275&gt;=50*0.7,4,IF(G275&gt;=50*0.6,3.5,IF(G275&gt;=50*0.5,3,IF(G275&gt;=50*0.4,2,IF(G275&gt;=50*0.33,1,0))))))))</f>
        <v/>
      </c>
      <c r="Z275">
        <f>IF(B275="","",IF(H275&lt;33.0,0,IF(H275&gt;=100*0.8,5,IF(H275&gt;=100*0.7,4,IF(H275&gt;=100*0.6,3.5,IF(H275&gt;=100*0.5,3,IF(H275&gt;=100*0.4,2,IF(H275&gt;=100*0.33,1,0))))))))</f>
        <v/>
      </c>
      <c r="AA275">
        <f>IF(B275="","",IF(I275&lt;33.0,0,IF(I275&gt;=100*0.8,5,IF(I275&gt;=100*0.7,4,IF(I275&gt;=100*0.6,3.5,IF(I275&gt;=100*0.5,3,IF(I275&gt;=100*0.4,2,IF(I275&gt;=100*0.33,1,0))))))))</f>
        <v/>
      </c>
      <c r="AB275">
        <f>IF(B275="","",IF(J275&lt;33.0,0,IF(J275&gt;=100*0.8,5,IF(J275&gt;=100*0.7,4,IF(J275&gt;=100*0.6,3.5,IF(J275&gt;=100*0.5,3,IF(J275&gt;=100*0.4,2,IF(J275&gt;=100*0.33,1,0))))))))</f>
        <v/>
      </c>
      <c r="AC275">
        <f>IF(B275="","",IF(K275&lt;33.0,0,IF(K275&gt;=100*0.8,5,IF(K275&gt;=100*0.7,4,IF(K275&gt;=100*0.6,3.5,IF(K275&gt;=100*0.5,3,IF(K275&gt;=100*0.4,2,IF(K275&gt;=100*0.33,1,0))))))))</f>
        <v/>
      </c>
      <c r="AD275">
        <f>IF(B275="","",IF(L275&lt;33.0,0,IF(L275&gt;=100*0.8,5,IF(L275&gt;=100*0.7,4,IF(L275&gt;=100*0.6,3.5,IF(L275&gt;=100*0.5,3,IF(L275&gt;=100*0.4,2,IF(L275&gt;=100*0.33,1,0))))))))</f>
        <v/>
      </c>
      <c r="AE275">
        <f>IF(B275="","",IF(M275&lt;33.0,0,IF(M275&gt;=100*0.8,5,IF(M275&gt;=100*0.7,4,IF(M275&gt;=100*0.6,3.5,IF(M275&gt;=100*0.5,3,IF(M275&gt;=100*0.4,2,IF(M275&gt;=100*0.33,1,0))))))))</f>
        <v/>
      </c>
      <c r="AF275">
        <f>IF(B275="","",IF(N275&lt;16.5,0,IF(N275&gt;=50*0.8,5,IF(N275&gt;=50*0.7,4,IF(N275&gt;=50*0.6,3.5,IF(N275&gt;=50*0.5,3,IF(N275&gt;=50*0.4,2,IF(N275&gt;=50*0.33,1,0))))))))</f>
        <v/>
      </c>
      <c r="AG275">
        <f>IF(B275="","",IF(O275&lt;33.0,0,IF(O275&gt;=100*0.8,5,IF(O275&gt;=100*0.7,4,IF(O275&gt;=100*0.6,3.5,IF(O275&gt;=100*0.5,3,IF(O275&gt;=100*0.4,2,IF(O275&gt;=100*0.33,1,0))))))))</f>
        <v/>
      </c>
      <c r="AH275">
        <f>IF(B275="","",IF(OR(U275=0,V275=0,W275=0,X275=0,Y275=0,Z275=0,AA275=0,AB275=0,AC275=0,AD275=0,AE275=0,AF275=0,AG275=0),1,0))</f>
        <v/>
      </c>
    </row>
    <row r="276">
      <c r="A276" s="3">
        <f>IF(B276="","",ROW()-2)</f>
        <v/>
      </c>
      <c r="P276" s="4">
        <f>IF(B276="","",SUM(C276:O276))</f>
        <v/>
      </c>
      <c r="Q276" s="5">
        <f>IF(B276="","",ROUND(P276/13,2))</f>
        <v/>
      </c>
      <c r="R276" s="5">
        <f>IF(B276="","",IF(AH276=1,0,MIN(5,ROUND((U276+V276+W276+X276+Y276+Z276+AA276+AB276+AC276+AD276+AE276+AF276+AG276)/13,2))))</f>
        <v/>
      </c>
      <c r="S276" s="3">
        <f>IF(B276="","",IF(R276&gt;=5,"A+",IF(R276&gt;=4,"A",IF(R276&gt;=3.5,"A-",IF(R276&gt;=3,"B",IF(R276&gt;=2,"C",IF(R276&gt;=1,"D","F")))))))</f>
        <v/>
      </c>
      <c r="T276" s="3">
        <f>IF(OR(B276="",S276="F"),"",COUNTIFS(P:P,"&gt;"&amp;P276,S:S,"&lt;&gt;F")+1)</f>
        <v/>
      </c>
      <c r="U276">
        <f>IF(B276="","",IF(C276&lt;33.0,0,IF(C276&gt;=100*0.8,5,IF(C276&gt;=100*0.7,4,IF(C276&gt;=100*0.6,3.5,IF(C276&gt;=100*0.5,3,IF(C276&gt;=100*0.4,2,IF(C276&gt;=100*0.33,1,0))))))))</f>
        <v/>
      </c>
      <c r="V276">
        <f>IF(B276="","",IF(D276&lt;33.0,0,IF(D276&gt;=100*0.8,5,IF(D276&gt;=100*0.7,4,IF(D276&gt;=100*0.6,3.5,IF(D276&gt;=100*0.5,3,IF(D276&gt;=100*0.4,2,IF(D276&gt;=100*0.33,1,0))))))))</f>
        <v/>
      </c>
      <c r="W276">
        <f>IF(B276="","",IF(E276&lt;16.5,0,IF(E276&gt;=50*0.8,5,IF(E276&gt;=50*0.7,4,IF(E276&gt;=50*0.6,3.5,IF(E276&gt;=50*0.5,3,IF(E276&gt;=50*0.4,2,IF(E276&gt;=50*0.33,1,0))))))))</f>
        <v/>
      </c>
      <c r="X276">
        <f>IF(B276="","",IF(F276&lt;33.0,0,IF(F276&gt;=100*0.8,5,IF(F276&gt;=100*0.7,4,IF(F276&gt;=100*0.6,3.5,IF(F276&gt;=100*0.5,3,IF(F276&gt;=100*0.4,2,IF(F276&gt;=100*0.33,1,0))))))))</f>
        <v/>
      </c>
      <c r="Y276">
        <f>IF(B276="","",IF(G276&lt;16.5,0,IF(G276&gt;=50*0.8,5,IF(G276&gt;=50*0.7,4,IF(G276&gt;=50*0.6,3.5,IF(G276&gt;=50*0.5,3,IF(G276&gt;=50*0.4,2,IF(G276&gt;=50*0.33,1,0))))))))</f>
        <v/>
      </c>
      <c r="Z276">
        <f>IF(B276="","",IF(H276&lt;33.0,0,IF(H276&gt;=100*0.8,5,IF(H276&gt;=100*0.7,4,IF(H276&gt;=100*0.6,3.5,IF(H276&gt;=100*0.5,3,IF(H276&gt;=100*0.4,2,IF(H276&gt;=100*0.33,1,0))))))))</f>
        <v/>
      </c>
      <c r="AA276">
        <f>IF(B276="","",IF(I276&lt;33.0,0,IF(I276&gt;=100*0.8,5,IF(I276&gt;=100*0.7,4,IF(I276&gt;=100*0.6,3.5,IF(I276&gt;=100*0.5,3,IF(I276&gt;=100*0.4,2,IF(I276&gt;=100*0.33,1,0))))))))</f>
        <v/>
      </c>
      <c r="AB276">
        <f>IF(B276="","",IF(J276&lt;33.0,0,IF(J276&gt;=100*0.8,5,IF(J276&gt;=100*0.7,4,IF(J276&gt;=100*0.6,3.5,IF(J276&gt;=100*0.5,3,IF(J276&gt;=100*0.4,2,IF(J276&gt;=100*0.33,1,0))))))))</f>
        <v/>
      </c>
      <c r="AC276">
        <f>IF(B276="","",IF(K276&lt;33.0,0,IF(K276&gt;=100*0.8,5,IF(K276&gt;=100*0.7,4,IF(K276&gt;=100*0.6,3.5,IF(K276&gt;=100*0.5,3,IF(K276&gt;=100*0.4,2,IF(K276&gt;=100*0.33,1,0))))))))</f>
        <v/>
      </c>
      <c r="AD276">
        <f>IF(B276="","",IF(L276&lt;33.0,0,IF(L276&gt;=100*0.8,5,IF(L276&gt;=100*0.7,4,IF(L276&gt;=100*0.6,3.5,IF(L276&gt;=100*0.5,3,IF(L276&gt;=100*0.4,2,IF(L276&gt;=100*0.33,1,0))))))))</f>
        <v/>
      </c>
      <c r="AE276">
        <f>IF(B276="","",IF(M276&lt;33.0,0,IF(M276&gt;=100*0.8,5,IF(M276&gt;=100*0.7,4,IF(M276&gt;=100*0.6,3.5,IF(M276&gt;=100*0.5,3,IF(M276&gt;=100*0.4,2,IF(M276&gt;=100*0.33,1,0))))))))</f>
        <v/>
      </c>
      <c r="AF276">
        <f>IF(B276="","",IF(N276&lt;16.5,0,IF(N276&gt;=50*0.8,5,IF(N276&gt;=50*0.7,4,IF(N276&gt;=50*0.6,3.5,IF(N276&gt;=50*0.5,3,IF(N276&gt;=50*0.4,2,IF(N276&gt;=50*0.33,1,0))))))))</f>
        <v/>
      </c>
      <c r="AG276">
        <f>IF(B276="","",IF(O276&lt;33.0,0,IF(O276&gt;=100*0.8,5,IF(O276&gt;=100*0.7,4,IF(O276&gt;=100*0.6,3.5,IF(O276&gt;=100*0.5,3,IF(O276&gt;=100*0.4,2,IF(O276&gt;=100*0.33,1,0))))))))</f>
        <v/>
      </c>
      <c r="AH276">
        <f>IF(B276="","",IF(OR(U276=0,V276=0,W276=0,X276=0,Y276=0,Z276=0,AA276=0,AB276=0,AC276=0,AD276=0,AE276=0,AF276=0,AG276=0),1,0))</f>
        <v/>
      </c>
    </row>
    <row r="277">
      <c r="A277" s="3">
        <f>IF(B277="","",ROW()-2)</f>
        <v/>
      </c>
      <c r="P277" s="4">
        <f>IF(B277="","",SUM(C277:O277))</f>
        <v/>
      </c>
      <c r="Q277" s="5">
        <f>IF(B277="","",ROUND(P277/13,2))</f>
        <v/>
      </c>
      <c r="R277" s="5">
        <f>IF(B277="","",IF(AH277=1,0,MIN(5,ROUND((U277+V277+W277+X277+Y277+Z277+AA277+AB277+AC277+AD277+AE277+AF277+AG277)/13,2))))</f>
        <v/>
      </c>
      <c r="S277" s="3">
        <f>IF(B277="","",IF(R277&gt;=5,"A+",IF(R277&gt;=4,"A",IF(R277&gt;=3.5,"A-",IF(R277&gt;=3,"B",IF(R277&gt;=2,"C",IF(R277&gt;=1,"D","F")))))))</f>
        <v/>
      </c>
      <c r="T277" s="3">
        <f>IF(OR(B277="",S277="F"),"",COUNTIFS(P:P,"&gt;"&amp;P277,S:S,"&lt;&gt;F")+1)</f>
        <v/>
      </c>
      <c r="U277">
        <f>IF(B277="","",IF(C277&lt;33.0,0,IF(C277&gt;=100*0.8,5,IF(C277&gt;=100*0.7,4,IF(C277&gt;=100*0.6,3.5,IF(C277&gt;=100*0.5,3,IF(C277&gt;=100*0.4,2,IF(C277&gt;=100*0.33,1,0))))))))</f>
        <v/>
      </c>
      <c r="V277">
        <f>IF(B277="","",IF(D277&lt;33.0,0,IF(D277&gt;=100*0.8,5,IF(D277&gt;=100*0.7,4,IF(D277&gt;=100*0.6,3.5,IF(D277&gt;=100*0.5,3,IF(D277&gt;=100*0.4,2,IF(D277&gt;=100*0.33,1,0))))))))</f>
        <v/>
      </c>
      <c r="W277">
        <f>IF(B277="","",IF(E277&lt;16.5,0,IF(E277&gt;=50*0.8,5,IF(E277&gt;=50*0.7,4,IF(E277&gt;=50*0.6,3.5,IF(E277&gt;=50*0.5,3,IF(E277&gt;=50*0.4,2,IF(E277&gt;=50*0.33,1,0))))))))</f>
        <v/>
      </c>
      <c r="X277">
        <f>IF(B277="","",IF(F277&lt;33.0,0,IF(F277&gt;=100*0.8,5,IF(F277&gt;=100*0.7,4,IF(F277&gt;=100*0.6,3.5,IF(F277&gt;=100*0.5,3,IF(F277&gt;=100*0.4,2,IF(F277&gt;=100*0.33,1,0))))))))</f>
        <v/>
      </c>
      <c r="Y277">
        <f>IF(B277="","",IF(G277&lt;16.5,0,IF(G277&gt;=50*0.8,5,IF(G277&gt;=50*0.7,4,IF(G277&gt;=50*0.6,3.5,IF(G277&gt;=50*0.5,3,IF(G277&gt;=50*0.4,2,IF(G277&gt;=50*0.33,1,0))))))))</f>
        <v/>
      </c>
      <c r="Z277">
        <f>IF(B277="","",IF(H277&lt;33.0,0,IF(H277&gt;=100*0.8,5,IF(H277&gt;=100*0.7,4,IF(H277&gt;=100*0.6,3.5,IF(H277&gt;=100*0.5,3,IF(H277&gt;=100*0.4,2,IF(H277&gt;=100*0.33,1,0))))))))</f>
        <v/>
      </c>
      <c r="AA277">
        <f>IF(B277="","",IF(I277&lt;33.0,0,IF(I277&gt;=100*0.8,5,IF(I277&gt;=100*0.7,4,IF(I277&gt;=100*0.6,3.5,IF(I277&gt;=100*0.5,3,IF(I277&gt;=100*0.4,2,IF(I277&gt;=100*0.33,1,0))))))))</f>
        <v/>
      </c>
      <c r="AB277">
        <f>IF(B277="","",IF(J277&lt;33.0,0,IF(J277&gt;=100*0.8,5,IF(J277&gt;=100*0.7,4,IF(J277&gt;=100*0.6,3.5,IF(J277&gt;=100*0.5,3,IF(J277&gt;=100*0.4,2,IF(J277&gt;=100*0.33,1,0))))))))</f>
        <v/>
      </c>
      <c r="AC277">
        <f>IF(B277="","",IF(K277&lt;33.0,0,IF(K277&gt;=100*0.8,5,IF(K277&gt;=100*0.7,4,IF(K277&gt;=100*0.6,3.5,IF(K277&gt;=100*0.5,3,IF(K277&gt;=100*0.4,2,IF(K277&gt;=100*0.33,1,0))))))))</f>
        <v/>
      </c>
      <c r="AD277">
        <f>IF(B277="","",IF(L277&lt;33.0,0,IF(L277&gt;=100*0.8,5,IF(L277&gt;=100*0.7,4,IF(L277&gt;=100*0.6,3.5,IF(L277&gt;=100*0.5,3,IF(L277&gt;=100*0.4,2,IF(L277&gt;=100*0.33,1,0))))))))</f>
        <v/>
      </c>
      <c r="AE277">
        <f>IF(B277="","",IF(M277&lt;33.0,0,IF(M277&gt;=100*0.8,5,IF(M277&gt;=100*0.7,4,IF(M277&gt;=100*0.6,3.5,IF(M277&gt;=100*0.5,3,IF(M277&gt;=100*0.4,2,IF(M277&gt;=100*0.33,1,0))))))))</f>
        <v/>
      </c>
      <c r="AF277">
        <f>IF(B277="","",IF(N277&lt;16.5,0,IF(N277&gt;=50*0.8,5,IF(N277&gt;=50*0.7,4,IF(N277&gt;=50*0.6,3.5,IF(N277&gt;=50*0.5,3,IF(N277&gt;=50*0.4,2,IF(N277&gt;=50*0.33,1,0))))))))</f>
        <v/>
      </c>
      <c r="AG277">
        <f>IF(B277="","",IF(O277&lt;33.0,0,IF(O277&gt;=100*0.8,5,IF(O277&gt;=100*0.7,4,IF(O277&gt;=100*0.6,3.5,IF(O277&gt;=100*0.5,3,IF(O277&gt;=100*0.4,2,IF(O277&gt;=100*0.33,1,0))))))))</f>
        <v/>
      </c>
      <c r="AH277">
        <f>IF(B277="","",IF(OR(U277=0,V277=0,W277=0,X277=0,Y277=0,Z277=0,AA277=0,AB277=0,AC277=0,AD277=0,AE277=0,AF277=0,AG277=0),1,0))</f>
        <v/>
      </c>
    </row>
    <row r="278">
      <c r="A278" s="3">
        <f>IF(B278="","",ROW()-2)</f>
        <v/>
      </c>
      <c r="P278" s="4">
        <f>IF(B278="","",SUM(C278:O278))</f>
        <v/>
      </c>
      <c r="Q278" s="5">
        <f>IF(B278="","",ROUND(P278/13,2))</f>
        <v/>
      </c>
      <c r="R278" s="5">
        <f>IF(B278="","",IF(AH278=1,0,MIN(5,ROUND((U278+V278+W278+X278+Y278+Z278+AA278+AB278+AC278+AD278+AE278+AF278+AG278)/13,2))))</f>
        <v/>
      </c>
      <c r="S278" s="3">
        <f>IF(B278="","",IF(R278&gt;=5,"A+",IF(R278&gt;=4,"A",IF(R278&gt;=3.5,"A-",IF(R278&gt;=3,"B",IF(R278&gt;=2,"C",IF(R278&gt;=1,"D","F")))))))</f>
        <v/>
      </c>
      <c r="T278" s="3">
        <f>IF(OR(B278="",S278="F"),"",COUNTIFS(P:P,"&gt;"&amp;P278,S:S,"&lt;&gt;F")+1)</f>
        <v/>
      </c>
      <c r="U278">
        <f>IF(B278="","",IF(C278&lt;33.0,0,IF(C278&gt;=100*0.8,5,IF(C278&gt;=100*0.7,4,IF(C278&gt;=100*0.6,3.5,IF(C278&gt;=100*0.5,3,IF(C278&gt;=100*0.4,2,IF(C278&gt;=100*0.33,1,0))))))))</f>
        <v/>
      </c>
      <c r="V278">
        <f>IF(B278="","",IF(D278&lt;33.0,0,IF(D278&gt;=100*0.8,5,IF(D278&gt;=100*0.7,4,IF(D278&gt;=100*0.6,3.5,IF(D278&gt;=100*0.5,3,IF(D278&gt;=100*0.4,2,IF(D278&gt;=100*0.33,1,0))))))))</f>
        <v/>
      </c>
      <c r="W278">
        <f>IF(B278="","",IF(E278&lt;16.5,0,IF(E278&gt;=50*0.8,5,IF(E278&gt;=50*0.7,4,IF(E278&gt;=50*0.6,3.5,IF(E278&gt;=50*0.5,3,IF(E278&gt;=50*0.4,2,IF(E278&gt;=50*0.33,1,0))))))))</f>
        <v/>
      </c>
      <c r="X278">
        <f>IF(B278="","",IF(F278&lt;33.0,0,IF(F278&gt;=100*0.8,5,IF(F278&gt;=100*0.7,4,IF(F278&gt;=100*0.6,3.5,IF(F278&gt;=100*0.5,3,IF(F278&gt;=100*0.4,2,IF(F278&gt;=100*0.33,1,0))))))))</f>
        <v/>
      </c>
      <c r="Y278">
        <f>IF(B278="","",IF(G278&lt;16.5,0,IF(G278&gt;=50*0.8,5,IF(G278&gt;=50*0.7,4,IF(G278&gt;=50*0.6,3.5,IF(G278&gt;=50*0.5,3,IF(G278&gt;=50*0.4,2,IF(G278&gt;=50*0.33,1,0))))))))</f>
        <v/>
      </c>
      <c r="Z278">
        <f>IF(B278="","",IF(H278&lt;33.0,0,IF(H278&gt;=100*0.8,5,IF(H278&gt;=100*0.7,4,IF(H278&gt;=100*0.6,3.5,IF(H278&gt;=100*0.5,3,IF(H278&gt;=100*0.4,2,IF(H278&gt;=100*0.33,1,0))))))))</f>
        <v/>
      </c>
      <c r="AA278">
        <f>IF(B278="","",IF(I278&lt;33.0,0,IF(I278&gt;=100*0.8,5,IF(I278&gt;=100*0.7,4,IF(I278&gt;=100*0.6,3.5,IF(I278&gt;=100*0.5,3,IF(I278&gt;=100*0.4,2,IF(I278&gt;=100*0.33,1,0))))))))</f>
        <v/>
      </c>
      <c r="AB278">
        <f>IF(B278="","",IF(J278&lt;33.0,0,IF(J278&gt;=100*0.8,5,IF(J278&gt;=100*0.7,4,IF(J278&gt;=100*0.6,3.5,IF(J278&gt;=100*0.5,3,IF(J278&gt;=100*0.4,2,IF(J278&gt;=100*0.33,1,0))))))))</f>
        <v/>
      </c>
      <c r="AC278">
        <f>IF(B278="","",IF(K278&lt;33.0,0,IF(K278&gt;=100*0.8,5,IF(K278&gt;=100*0.7,4,IF(K278&gt;=100*0.6,3.5,IF(K278&gt;=100*0.5,3,IF(K278&gt;=100*0.4,2,IF(K278&gt;=100*0.33,1,0))))))))</f>
        <v/>
      </c>
      <c r="AD278">
        <f>IF(B278="","",IF(L278&lt;33.0,0,IF(L278&gt;=100*0.8,5,IF(L278&gt;=100*0.7,4,IF(L278&gt;=100*0.6,3.5,IF(L278&gt;=100*0.5,3,IF(L278&gt;=100*0.4,2,IF(L278&gt;=100*0.33,1,0))))))))</f>
        <v/>
      </c>
      <c r="AE278">
        <f>IF(B278="","",IF(M278&lt;33.0,0,IF(M278&gt;=100*0.8,5,IF(M278&gt;=100*0.7,4,IF(M278&gt;=100*0.6,3.5,IF(M278&gt;=100*0.5,3,IF(M278&gt;=100*0.4,2,IF(M278&gt;=100*0.33,1,0))))))))</f>
        <v/>
      </c>
      <c r="AF278">
        <f>IF(B278="","",IF(N278&lt;16.5,0,IF(N278&gt;=50*0.8,5,IF(N278&gt;=50*0.7,4,IF(N278&gt;=50*0.6,3.5,IF(N278&gt;=50*0.5,3,IF(N278&gt;=50*0.4,2,IF(N278&gt;=50*0.33,1,0))))))))</f>
        <v/>
      </c>
      <c r="AG278">
        <f>IF(B278="","",IF(O278&lt;33.0,0,IF(O278&gt;=100*0.8,5,IF(O278&gt;=100*0.7,4,IF(O278&gt;=100*0.6,3.5,IF(O278&gt;=100*0.5,3,IF(O278&gt;=100*0.4,2,IF(O278&gt;=100*0.33,1,0))))))))</f>
        <v/>
      </c>
      <c r="AH278">
        <f>IF(B278="","",IF(OR(U278=0,V278=0,W278=0,X278=0,Y278=0,Z278=0,AA278=0,AB278=0,AC278=0,AD278=0,AE278=0,AF278=0,AG278=0),1,0))</f>
        <v/>
      </c>
    </row>
    <row r="279">
      <c r="A279" s="3">
        <f>IF(B279="","",ROW()-2)</f>
        <v/>
      </c>
      <c r="P279" s="4">
        <f>IF(B279="","",SUM(C279:O279))</f>
        <v/>
      </c>
      <c r="Q279" s="5">
        <f>IF(B279="","",ROUND(P279/13,2))</f>
        <v/>
      </c>
      <c r="R279" s="5">
        <f>IF(B279="","",IF(AH279=1,0,MIN(5,ROUND((U279+V279+W279+X279+Y279+Z279+AA279+AB279+AC279+AD279+AE279+AF279+AG279)/13,2))))</f>
        <v/>
      </c>
      <c r="S279" s="3">
        <f>IF(B279="","",IF(R279&gt;=5,"A+",IF(R279&gt;=4,"A",IF(R279&gt;=3.5,"A-",IF(R279&gt;=3,"B",IF(R279&gt;=2,"C",IF(R279&gt;=1,"D","F")))))))</f>
        <v/>
      </c>
      <c r="T279" s="3">
        <f>IF(OR(B279="",S279="F"),"",COUNTIFS(P:P,"&gt;"&amp;P279,S:S,"&lt;&gt;F")+1)</f>
        <v/>
      </c>
      <c r="U279">
        <f>IF(B279="","",IF(C279&lt;33.0,0,IF(C279&gt;=100*0.8,5,IF(C279&gt;=100*0.7,4,IF(C279&gt;=100*0.6,3.5,IF(C279&gt;=100*0.5,3,IF(C279&gt;=100*0.4,2,IF(C279&gt;=100*0.33,1,0))))))))</f>
        <v/>
      </c>
      <c r="V279">
        <f>IF(B279="","",IF(D279&lt;33.0,0,IF(D279&gt;=100*0.8,5,IF(D279&gt;=100*0.7,4,IF(D279&gt;=100*0.6,3.5,IF(D279&gt;=100*0.5,3,IF(D279&gt;=100*0.4,2,IF(D279&gt;=100*0.33,1,0))))))))</f>
        <v/>
      </c>
      <c r="W279">
        <f>IF(B279="","",IF(E279&lt;16.5,0,IF(E279&gt;=50*0.8,5,IF(E279&gt;=50*0.7,4,IF(E279&gt;=50*0.6,3.5,IF(E279&gt;=50*0.5,3,IF(E279&gt;=50*0.4,2,IF(E279&gt;=50*0.33,1,0))))))))</f>
        <v/>
      </c>
      <c r="X279">
        <f>IF(B279="","",IF(F279&lt;33.0,0,IF(F279&gt;=100*0.8,5,IF(F279&gt;=100*0.7,4,IF(F279&gt;=100*0.6,3.5,IF(F279&gt;=100*0.5,3,IF(F279&gt;=100*0.4,2,IF(F279&gt;=100*0.33,1,0))))))))</f>
        <v/>
      </c>
      <c r="Y279">
        <f>IF(B279="","",IF(G279&lt;16.5,0,IF(G279&gt;=50*0.8,5,IF(G279&gt;=50*0.7,4,IF(G279&gt;=50*0.6,3.5,IF(G279&gt;=50*0.5,3,IF(G279&gt;=50*0.4,2,IF(G279&gt;=50*0.33,1,0))))))))</f>
        <v/>
      </c>
      <c r="Z279">
        <f>IF(B279="","",IF(H279&lt;33.0,0,IF(H279&gt;=100*0.8,5,IF(H279&gt;=100*0.7,4,IF(H279&gt;=100*0.6,3.5,IF(H279&gt;=100*0.5,3,IF(H279&gt;=100*0.4,2,IF(H279&gt;=100*0.33,1,0))))))))</f>
        <v/>
      </c>
      <c r="AA279">
        <f>IF(B279="","",IF(I279&lt;33.0,0,IF(I279&gt;=100*0.8,5,IF(I279&gt;=100*0.7,4,IF(I279&gt;=100*0.6,3.5,IF(I279&gt;=100*0.5,3,IF(I279&gt;=100*0.4,2,IF(I279&gt;=100*0.33,1,0))))))))</f>
        <v/>
      </c>
      <c r="AB279">
        <f>IF(B279="","",IF(J279&lt;33.0,0,IF(J279&gt;=100*0.8,5,IF(J279&gt;=100*0.7,4,IF(J279&gt;=100*0.6,3.5,IF(J279&gt;=100*0.5,3,IF(J279&gt;=100*0.4,2,IF(J279&gt;=100*0.33,1,0))))))))</f>
        <v/>
      </c>
      <c r="AC279">
        <f>IF(B279="","",IF(K279&lt;33.0,0,IF(K279&gt;=100*0.8,5,IF(K279&gt;=100*0.7,4,IF(K279&gt;=100*0.6,3.5,IF(K279&gt;=100*0.5,3,IF(K279&gt;=100*0.4,2,IF(K279&gt;=100*0.33,1,0))))))))</f>
        <v/>
      </c>
      <c r="AD279">
        <f>IF(B279="","",IF(L279&lt;33.0,0,IF(L279&gt;=100*0.8,5,IF(L279&gt;=100*0.7,4,IF(L279&gt;=100*0.6,3.5,IF(L279&gt;=100*0.5,3,IF(L279&gt;=100*0.4,2,IF(L279&gt;=100*0.33,1,0))))))))</f>
        <v/>
      </c>
      <c r="AE279">
        <f>IF(B279="","",IF(M279&lt;33.0,0,IF(M279&gt;=100*0.8,5,IF(M279&gt;=100*0.7,4,IF(M279&gt;=100*0.6,3.5,IF(M279&gt;=100*0.5,3,IF(M279&gt;=100*0.4,2,IF(M279&gt;=100*0.33,1,0))))))))</f>
        <v/>
      </c>
      <c r="AF279">
        <f>IF(B279="","",IF(N279&lt;16.5,0,IF(N279&gt;=50*0.8,5,IF(N279&gt;=50*0.7,4,IF(N279&gt;=50*0.6,3.5,IF(N279&gt;=50*0.5,3,IF(N279&gt;=50*0.4,2,IF(N279&gt;=50*0.33,1,0))))))))</f>
        <v/>
      </c>
      <c r="AG279">
        <f>IF(B279="","",IF(O279&lt;33.0,0,IF(O279&gt;=100*0.8,5,IF(O279&gt;=100*0.7,4,IF(O279&gt;=100*0.6,3.5,IF(O279&gt;=100*0.5,3,IF(O279&gt;=100*0.4,2,IF(O279&gt;=100*0.33,1,0))))))))</f>
        <v/>
      </c>
      <c r="AH279">
        <f>IF(B279="","",IF(OR(U279=0,V279=0,W279=0,X279=0,Y279=0,Z279=0,AA279=0,AB279=0,AC279=0,AD279=0,AE279=0,AF279=0,AG279=0),1,0))</f>
        <v/>
      </c>
    </row>
    <row r="280">
      <c r="A280" s="3">
        <f>IF(B280="","",ROW()-2)</f>
        <v/>
      </c>
      <c r="P280" s="4">
        <f>IF(B280="","",SUM(C280:O280))</f>
        <v/>
      </c>
      <c r="Q280" s="5">
        <f>IF(B280="","",ROUND(P280/13,2))</f>
        <v/>
      </c>
      <c r="R280" s="5">
        <f>IF(B280="","",IF(AH280=1,0,MIN(5,ROUND((U280+V280+W280+X280+Y280+Z280+AA280+AB280+AC280+AD280+AE280+AF280+AG280)/13,2))))</f>
        <v/>
      </c>
      <c r="S280" s="3">
        <f>IF(B280="","",IF(R280&gt;=5,"A+",IF(R280&gt;=4,"A",IF(R280&gt;=3.5,"A-",IF(R280&gt;=3,"B",IF(R280&gt;=2,"C",IF(R280&gt;=1,"D","F")))))))</f>
        <v/>
      </c>
      <c r="T280" s="3">
        <f>IF(OR(B280="",S280="F"),"",COUNTIFS(P:P,"&gt;"&amp;P280,S:S,"&lt;&gt;F")+1)</f>
        <v/>
      </c>
      <c r="U280">
        <f>IF(B280="","",IF(C280&lt;33.0,0,IF(C280&gt;=100*0.8,5,IF(C280&gt;=100*0.7,4,IF(C280&gt;=100*0.6,3.5,IF(C280&gt;=100*0.5,3,IF(C280&gt;=100*0.4,2,IF(C280&gt;=100*0.33,1,0))))))))</f>
        <v/>
      </c>
      <c r="V280">
        <f>IF(B280="","",IF(D280&lt;33.0,0,IF(D280&gt;=100*0.8,5,IF(D280&gt;=100*0.7,4,IF(D280&gt;=100*0.6,3.5,IF(D280&gt;=100*0.5,3,IF(D280&gt;=100*0.4,2,IF(D280&gt;=100*0.33,1,0))))))))</f>
        <v/>
      </c>
      <c r="W280">
        <f>IF(B280="","",IF(E280&lt;16.5,0,IF(E280&gt;=50*0.8,5,IF(E280&gt;=50*0.7,4,IF(E280&gt;=50*0.6,3.5,IF(E280&gt;=50*0.5,3,IF(E280&gt;=50*0.4,2,IF(E280&gt;=50*0.33,1,0))))))))</f>
        <v/>
      </c>
      <c r="X280">
        <f>IF(B280="","",IF(F280&lt;33.0,0,IF(F280&gt;=100*0.8,5,IF(F280&gt;=100*0.7,4,IF(F280&gt;=100*0.6,3.5,IF(F280&gt;=100*0.5,3,IF(F280&gt;=100*0.4,2,IF(F280&gt;=100*0.33,1,0))))))))</f>
        <v/>
      </c>
      <c r="Y280">
        <f>IF(B280="","",IF(G280&lt;16.5,0,IF(G280&gt;=50*0.8,5,IF(G280&gt;=50*0.7,4,IF(G280&gt;=50*0.6,3.5,IF(G280&gt;=50*0.5,3,IF(G280&gt;=50*0.4,2,IF(G280&gt;=50*0.33,1,0))))))))</f>
        <v/>
      </c>
      <c r="Z280">
        <f>IF(B280="","",IF(H280&lt;33.0,0,IF(H280&gt;=100*0.8,5,IF(H280&gt;=100*0.7,4,IF(H280&gt;=100*0.6,3.5,IF(H280&gt;=100*0.5,3,IF(H280&gt;=100*0.4,2,IF(H280&gt;=100*0.33,1,0))))))))</f>
        <v/>
      </c>
      <c r="AA280">
        <f>IF(B280="","",IF(I280&lt;33.0,0,IF(I280&gt;=100*0.8,5,IF(I280&gt;=100*0.7,4,IF(I280&gt;=100*0.6,3.5,IF(I280&gt;=100*0.5,3,IF(I280&gt;=100*0.4,2,IF(I280&gt;=100*0.33,1,0))))))))</f>
        <v/>
      </c>
      <c r="AB280">
        <f>IF(B280="","",IF(J280&lt;33.0,0,IF(J280&gt;=100*0.8,5,IF(J280&gt;=100*0.7,4,IF(J280&gt;=100*0.6,3.5,IF(J280&gt;=100*0.5,3,IF(J280&gt;=100*0.4,2,IF(J280&gt;=100*0.33,1,0))))))))</f>
        <v/>
      </c>
      <c r="AC280">
        <f>IF(B280="","",IF(K280&lt;33.0,0,IF(K280&gt;=100*0.8,5,IF(K280&gt;=100*0.7,4,IF(K280&gt;=100*0.6,3.5,IF(K280&gt;=100*0.5,3,IF(K280&gt;=100*0.4,2,IF(K280&gt;=100*0.33,1,0))))))))</f>
        <v/>
      </c>
      <c r="AD280">
        <f>IF(B280="","",IF(L280&lt;33.0,0,IF(L280&gt;=100*0.8,5,IF(L280&gt;=100*0.7,4,IF(L280&gt;=100*0.6,3.5,IF(L280&gt;=100*0.5,3,IF(L280&gt;=100*0.4,2,IF(L280&gt;=100*0.33,1,0))))))))</f>
        <v/>
      </c>
      <c r="AE280">
        <f>IF(B280="","",IF(M280&lt;33.0,0,IF(M280&gt;=100*0.8,5,IF(M280&gt;=100*0.7,4,IF(M280&gt;=100*0.6,3.5,IF(M280&gt;=100*0.5,3,IF(M280&gt;=100*0.4,2,IF(M280&gt;=100*0.33,1,0))))))))</f>
        <v/>
      </c>
      <c r="AF280">
        <f>IF(B280="","",IF(N280&lt;16.5,0,IF(N280&gt;=50*0.8,5,IF(N280&gt;=50*0.7,4,IF(N280&gt;=50*0.6,3.5,IF(N280&gt;=50*0.5,3,IF(N280&gt;=50*0.4,2,IF(N280&gt;=50*0.33,1,0))))))))</f>
        <v/>
      </c>
      <c r="AG280">
        <f>IF(B280="","",IF(O280&lt;33.0,0,IF(O280&gt;=100*0.8,5,IF(O280&gt;=100*0.7,4,IF(O280&gt;=100*0.6,3.5,IF(O280&gt;=100*0.5,3,IF(O280&gt;=100*0.4,2,IF(O280&gt;=100*0.33,1,0))))))))</f>
        <v/>
      </c>
      <c r="AH280">
        <f>IF(B280="","",IF(OR(U280=0,V280=0,W280=0,X280=0,Y280=0,Z280=0,AA280=0,AB280=0,AC280=0,AD280=0,AE280=0,AF280=0,AG280=0),1,0))</f>
        <v/>
      </c>
    </row>
    <row r="281">
      <c r="A281" s="3">
        <f>IF(B281="","",ROW()-2)</f>
        <v/>
      </c>
      <c r="P281" s="4">
        <f>IF(B281="","",SUM(C281:O281))</f>
        <v/>
      </c>
      <c r="Q281" s="5">
        <f>IF(B281="","",ROUND(P281/13,2))</f>
        <v/>
      </c>
      <c r="R281" s="5">
        <f>IF(B281="","",IF(AH281=1,0,MIN(5,ROUND((U281+V281+W281+X281+Y281+Z281+AA281+AB281+AC281+AD281+AE281+AF281+AG281)/13,2))))</f>
        <v/>
      </c>
      <c r="S281" s="3">
        <f>IF(B281="","",IF(R281&gt;=5,"A+",IF(R281&gt;=4,"A",IF(R281&gt;=3.5,"A-",IF(R281&gt;=3,"B",IF(R281&gt;=2,"C",IF(R281&gt;=1,"D","F")))))))</f>
        <v/>
      </c>
      <c r="T281" s="3">
        <f>IF(OR(B281="",S281="F"),"",COUNTIFS(P:P,"&gt;"&amp;P281,S:S,"&lt;&gt;F")+1)</f>
        <v/>
      </c>
      <c r="U281">
        <f>IF(B281="","",IF(C281&lt;33.0,0,IF(C281&gt;=100*0.8,5,IF(C281&gt;=100*0.7,4,IF(C281&gt;=100*0.6,3.5,IF(C281&gt;=100*0.5,3,IF(C281&gt;=100*0.4,2,IF(C281&gt;=100*0.33,1,0))))))))</f>
        <v/>
      </c>
      <c r="V281">
        <f>IF(B281="","",IF(D281&lt;33.0,0,IF(D281&gt;=100*0.8,5,IF(D281&gt;=100*0.7,4,IF(D281&gt;=100*0.6,3.5,IF(D281&gt;=100*0.5,3,IF(D281&gt;=100*0.4,2,IF(D281&gt;=100*0.33,1,0))))))))</f>
        <v/>
      </c>
      <c r="W281">
        <f>IF(B281="","",IF(E281&lt;16.5,0,IF(E281&gt;=50*0.8,5,IF(E281&gt;=50*0.7,4,IF(E281&gt;=50*0.6,3.5,IF(E281&gt;=50*0.5,3,IF(E281&gt;=50*0.4,2,IF(E281&gt;=50*0.33,1,0))))))))</f>
        <v/>
      </c>
      <c r="X281">
        <f>IF(B281="","",IF(F281&lt;33.0,0,IF(F281&gt;=100*0.8,5,IF(F281&gt;=100*0.7,4,IF(F281&gt;=100*0.6,3.5,IF(F281&gt;=100*0.5,3,IF(F281&gt;=100*0.4,2,IF(F281&gt;=100*0.33,1,0))))))))</f>
        <v/>
      </c>
      <c r="Y281">
        <f>IF(B281="","",IF(G281&lt;16.5,0,IF(G281&gt;=50*0.8,5,IF(G281&gt;=50*0.7,4,IF(G281&gt;=50*0.6,3.5,IF(G281&gt;=50*0.5,3,IF(G281&gt;=50*0.4,2,IF(G281&gt;=50*0.33,1,0))))))))</f>
        <v/>
      </c>
      <c r="Z281">
        <f>IF(B281="","",IF(H281&lt;33.0,0,IF(H281&gt;=100*0.8,5,IF(H281&gt;=100*0.7,4,IF(H281&gt;=100*0.6,3.5,IF(H281&gt;=100*0.5,3,IF(H281&gt;=100*0.4,2,IF(H281&gt;=100*0.33,1,0))))))))</f>
        <v/>
      </c>
      <c r="AA281">
        <f>IF(B281="","",IF(I281&lt;33.0,0,IF(I281&gt;=100*0.8,5,IF(I281&gt;=100*0.7,4,IF(I281&gt;=100*0.6,3.5,IF(I281&gt;=100*0.5,3,IF(I281&gt;=100*0.4,2,IF(I281&gt;=100*0.33,1,0))))))))</f>
        <v/>
      </c>
      <c r="AB281">
        <f>IF(B281="","",IF(J281&lt;33.0,0,IF(J281&gt;=100*0.8,5,IF(J281&gt;=100*0.7,4,IF(J281&gt;=100*0.6,3.5,IF(J281&gt;=100*0.5,3,IF(J281&gt;=100*0.4,2,IF(J281&gt;=100*0.33,1,0))))))))</f>
        <v/>
      </c>
      <c r="AC281">
        <f>IF(B281="","",IF(K281&lt;33.0,0,IF(K281&gt;=100*0.8,5,IF(K281&gt;=100*0.7,4,IF(K281&gt;=100*0.6,3.5,IF(K281&gt;=100*0.5,3,IF(K281&gt;=100*0.4,2,IF(K281&gt;=100*0.33,1,0))))))))</f>
        <v/>
      </c>
      <c r="AD281">
        <f>IF(B281="","",IF(L281&lt;33.0,0,IF(L281&gt;=100*0.8,5,IF(L281&gt;=100*0.7,4,IF(L281&gt;=100*0.6,3.5,IF(L281&gt;=100*0.5,3,IF(L281&gt;=100*0.4,2,IF(L281&gt;=100*0.33,1,0))))))))</f>
        <v/>
      </c>
      <c r="AE281">
        <f>IF(B281="","",IF(M281&lt;33.0,0,IF(M281&gt;=100*0.8,5,IF(M281&gt;=100*0.7,4,IF(M281&gt;=100*0.6,3.5,IF(M281&gt;=100*0.5,3,IF(M281&gt;=100*0.4,2,IF(M281&gt;=100*0.33,1,0))))))))</f>
        <v/>
      </c>
      <c r="AF281">
        <f>IF(B281="","",IF(N281&lt;16.5,0,IF(N281&gt;=50*0.8,5,IF(N281&gt;=50*0.7,4,IF(N281&gt;=50*0.6,3.5,IF(N281&gt;=50*0.5,3,IF(N281&gt;=50*0.4,2,IF(N281&gt;=50*0.33,1,0))))))))</f>
        <v/>
      </c>
      <c r="AG281">
        <f>IF(B281="","",IF(O281&lt;33.0,0,IF(O281&gt;=100*0.8,5,IF(O281&gt;=100*0.7,4,IF(O281&gt;=100*0.6,3.5,IF(O281&gt;=100*0.5,3,IF(O281&gt;=100*0.4,2,IF(O281&gt;=100*0.33,1,0))))))))</f>
        <v/>
      </c>
      <c r="AH281">
        <f>IF(B281="","",IF(OR(U281=0,V281=0,W281=0,X281=0,Y281=0,Z281=0,AA281=0,AB281=0,AC281=0,AD281=0,AE281=0,AF281=0,AG281=0),1,0))</f>
        <v/>
      </c>
    </row>
    <row r="282">
      <c r="A282" s="3">
        <f>IF(B282="","",ROW()-2)</f>
        <v/>
      </c>
      <c r="P282" s="4">
        <f>IF(B282="","",SUM(C282:O282))</f>
        <v/>
      </c>
      <c r="Q282" s="5">
        <f>IF(B282="","",ROUND(P282/13,2))</f>
        <v/>
      </c>
      <c r="R282" s="5">
        <f>IF(B282="","",IF(AH282=1,0,MIN(5,ROUND((U282+V282+W282+X282+Y282+Z282+AA282+AB282+AC282+AD282+AE282+AF282+AG282)/13,2))))</f>
        <v/>
      </c>
      <c r="S282" s="3">
        <f>IF(B282="","",IF(R282&gt;=5,"A+",IF(R282&gt;=4,"A",IF(R282&gt;=3.5,"A-",IF(R282&gt;=3,"B",IF(R282&gt;=2,"C",IF(R282&gt;=1,"D","F")))))))</f>
        <v/>
      </c>
      <c r="T282" s="3">
        <f>IF(OR(B282="",S282="F"),"",COUNTIFS(P:P,"&gt;"&amp;P282,S:S,"&lt;&gt;F")+1)</f>
        <v/>
      </c>
      <c r="U282">
        <f>IF(B282="","",IF(C282&lt;33.0,0,IF(C282&gt;=100*0.8,5,IF(C282&gt;=100*0.7,4,IF(C282&gt;=100*0.6,3.5,IF(C282&gt;=100*0.5,3,IF(C282&gt;=100*0.4,2,IF(C282&gt;=100*0.33,1,0))))))))</f>
        <v/>
      </c>
      <c r="V282">
        <f>IF(B282="","",IF(D282&lt;33.0,0,IF(D282&gt;=100*0.8,5,IF(D282&gt;=100*0.7,4,IF(D282&gt;=100*0.6,3.5,IF(D282&gt;=100*0.5,3,IF(D282&gt;=100*0.4,2,IF(D282&gt;=100*0.33,1,0))))))))</f>
        <v/>
      </c>
      <c r="W282">
        <f>IF(B282="","",IF(E282&lt;16.5,0,IF(E282&gt;=50*0.8,5,IF(E282&gt;=50*0.7,4,IF(E282&gt;=50*0.6,3.5,IF(E282&gt;=50*0.5,3,IF(E282&gt;=50*0.4,2,IF(E282&gt;=50*0.33,1,0))))))))</f>
        <v/>
      </c>
      <c r="X282">
        <f>IF(B282="","",IF(F282&lt;33.0,0,IF(F282&gt;=100*0.8,5,IF(F282&gt;=100*0.7,4,IF(F282&gt;=100*0.6,3.5,IF(F282&gt;=100*0.5,3,IF(F282&gt;=100*0.4,2,IF(F282&gt;=100*0.33,1,0))))))))</f>
        <v/>
      </c>
      <c r="Y282">
        <f>IF(B282="","",IF(G282&lt;16.5,0,IF(G282&gt;=50*0.8,5,IF(G282&gt;=50*0.7,4,IF(G282&gt;=50*0.6,3.5,IF(G282&gt;=50*0.5,3,IF(G282&gt;=50*0.4,2,IF(G282&gt;=50*0.33,1,0))))))))</f>
        <v/>
      </c>
      <c r="Z282">
        <f>IF(B282="","",IF(H282&lt;33.0,0,IF(H282&gt;=100*0.8,5,IF(H282&gt;=100*0.7,4,IF(H282&gt;=100*0.6,3.5,IF(H282&gt;=100*0.5,3,IF(H282&gt;=100*0.4,2,IF(H282&gt;=100*0.33,1,0))))))))</f>
        <v/>
      </c>
      <c r="AA282">
        <f>IF(B282="","",IF(I282&lt;33.0,0,IF(I282&gt;=100*0.8,5,IF(I282&gt;=100*0.7,4,IF(I282&gt;=100*0.6,3.5,IF(I282&gt;=100*0.5,3,IF(I282&gt;=100*0.4,2,IF(I282&gt;=100*0.33,1,0))))))))</f>
        <v/>
      </c>
      <c r="AB282">
        <f>IF(B282="","",IF(J282&lt;33.0,0,IF(J282&gt;=100*0.8,5,IF(J282&gt;=100*0.7,4,IF(J282&gt;=100*0.6,3.5,IF(J282&gt;=100*0.5,3,IF(J282&gt;=100*0.4,2,IF(J282&gt;=100*0.33,1,0))))))))</f>
        <v/>
      </c>
      <c r="AC282">
        <f>IF(B282="","",IF(K282&lt;33.0,0,IF(K282&gt;=100*0.8,5,IF(K282&gt;=100*0.7,4,IF(K282&gt;=100*0.6,3.5,IF(K282&gt;=100*0.5,3,IF(K282&gt;=100*0.4,2,IF(K282&gt;=100*0.33,1,0))))))))</f>
        <v/>
      </c>
      <c r="AD282">
        <f>IF(B282="","",IF(L282&lt;33.0,0,IF(L282&gt;=100*0.8,5,IF(L282&gt;=100*0.7,4,IF(L282&gt;=100*0.6,3.5,IF(L282&gt;=100*0.5,3,IF(L282&gt;=100*0.4,2,IF(L282&gt;=100*0.33,1,0))))))))</f>
        <v/>
      </c>
      <c r="AE282">
        <f>IF(B282="","",IF(M282&lt;33.0,0,IF(M282&gt;=100*0.8,5,IF(M282&gt;=100*0.7,4,IF(M282&gt;=100*0.6,3.5,IF(M282&gt;=100*0.5,3,IF(M282&gt;=100*0.4,2,IF(M282&gt;=100*0.33,1,0))))))))</f>
        <v/>
      </c>
      <c r="AF282">
        <f>IF(B282="","",IF(N282&lt;16.5,0,IF(N282&gt;=50*0.8,5,IF(N282&gt;=50*0.7,4,IF(N282&gt;=50*0.6,3.5,IF(N282&gt;=50*0.5,3,IF(N282&gt;=50*0.4,2,IF(N282&gt;=50*0.33,1,0))))))))</f>
        <v/>
      </c>
      <c r="AG282">
        <f>IF(B282="","",IF(O282&lt;33.0,0,IF(O282&gt;=100*0.8,5,IF(O282&gt;=100*0.7,4,IF(O282&gt;=100*0.6,3.5,IF(O282&gt;=100*0.5,3,IF(O282&gt;=100*0.4,2,IF(O282&gt;=100*0.33,1,0))))))))</f>
        <v/>
      </c>
      <c r="AH282">
        <f>IF(B282="","",IF(OR(U282=0,V282=0,W282=0,X282=0,Y282=0,Z282=0,AA282=0,AB282=0,AC282=0,AD282=0,AE282=0,AF282=0,AG282=0),1,0))</f>
        <v/>
      </c>
    </row>
    <row r="283">
      <c r="A283" s="3">
        <f>IF(B283="","",ROW()-2)</f>
        <v/>
      </c>
      <c r="P283" s="4">
        <f>IF(B283="","",SUM(C283:O283))</f>
        <v/>
      </c>
      <c r="Q283" s="5">
        <f>IF(B283="","",ROUND(P283/13,2))</f>
        <v/>
      </c>
      <c r="R283" s="5">
        <f>IF(B283="","",IF(AH283=1,0,MIN(5,ROUND((U283+V283+W283+X283+Y283+Z283+AA283+AB283+AC283+AD283+AE283+AF283+AG283)/13,2))))</f>
        <v/>
      </c>
      <c r="S283" s="3">
        <f>IF(B283="","",IF(R283&gt;=5,"A+",IF(R283&gt;=4,"A",IF(R283&gt;=3.5,"A-",IF(R283&gt;=3,"B",IF(R283&gt;=2,"C",IF(R283&gt;=1,"D","F")))))))</f>
        <v/>
      </c>
      <c r="T283" s="3">
        <f>IF(OR(B283="",S283="F"),"",COUNTIFS(P:P,"&gt;"&amp;P283,S:S,"&lt;&gt;F")+1)</f>
        <v/>
      </c>
      <c r="U283">
        <f>IF(B283="","",IF(C283&lt;33.0,0,IF(C283&gt;=100*0.8,5,IF(C283&gt;=100*0.7,4,IF(C283&gt;=100*0.6,3.5,IF(C283&gt;=100*0.5,3,IF(C283&gt;=100*0.4,2,IF(C283&gt;=100*0.33,1,0))))))))</f>
        <v/>
      </c>
      <c r="V283">
        <f>IF(B283="","",IF(D283&lt;33.0,0,IF(D283&gt;=100*0.8,5,IF(D283&gt;=100*0.7,4,IF(D283&gt;=100*0.6,3.5,IF(D283&gt;=100*0.5,3,IF(D283&gt;=100*0.4,2,IF(D283&gt;=100*0.33,1,0))))))))</f>
        <v/>
      </c>
      <c r="W283">
        <f>IF(B283="","",IF(E283&lt;16.5,0,IF(E283&gt;=50*0.8,5,IF(E283&gt;=50*0.7,4,IF(E283&gt;=50*0.6,3.5,IF(E283&gt;=50*0.5,3,IF(E283&gt;=50*0.4,2,IF(E283&gt;=50*0.33,1,0))))))))</f>
        <v/>
      </c>
      <c r="X283">
        <f>IF(B283="","",IF(F283&lt;33.0,0,IF(F283&gt;=100*0.8,5,IF(F283&gt;=100*0.7,4,IF(F283&gt;=100*0.6,3.5,IF(F283&gt;=100*0.5,3,IF(F283&gt;=100*0.4,2,IF(F283&gt;=100*0.33,1,0))))))))</f>
        <v/>
      </c>
      <c r="Y283">
        <f>IF(B283="","",IF(G283&lt;16.5,0,IF(G283&gt;=50*0.8,5,IF(G283&gt;=50*0.7,4,IF(G283&gt;=50*0.6,3.5,IF(G283&gt;=50*0.5,3,IF(G283&gt;=50*0.4,2,IF(G283&gt;=50*0.33,1,0))))))))</f>
        <v/>
      </c>
      <c r="Z283">
        <f>IF(B283="","",IF(H283&lt;33.0,0,IF(H283&gt;=100*0.8,5,IF(H283&gt;=100*0.7,4,IF(H283&gt;=100*0.6,3.5,IF(H283&gt;=100*0.5,3,IF(H283&gt;=100*0.4,2,IF(H283&gt;=100*0.33,1,0))))))))</f>
        <v/>
      </c>
      <c r="AA283">
        <f>IF(B283="","",IF(I283&lt;33.0,0,IF(I283&gt;=100*0.8,5,IF(I283&gt;=100*0.7,4,IF(I283&gt;=100*0.6,3.5,IF(I283&gt;=100*0.5,3,IF(I283&gt;=100*0.4,2,IF(I283&gt;=100*0.33,1,0))))))))</f>
        <v/>
      </c>
      <c r="AB283">
        <f>IF(B283="","",IF(J283&lt;33.0,0,IF(J283&gt;=100*0.8,5,IF(J283&gt;=100*0.7,4,IF(J283&gt;=100*0.6,3.5,IF(J283&gt;=100*0.5,3,IF(J283&gt;=100*0.4,2,IF(J283&gt;=100*0.33,1,0))))))))</f>
        <v/>
      </c>
      <c r="AC283">
        <f>IF(B283="","",IF(K283&lt;33.0,0,IF(K283&gt;=100*0.8,5,IF(K283&gt;=100*0.7,4,IF(K283&gt;=100*0.6,3.5,IF(K283&gt;=100*0.5,3,IF(K283&gt;=100*0.4,2,IF(K283&gt;=100*0.33,1,0))))))))</f>
        <v/>
      </c>
      <c r="AD283">
        <f>IF(B283="","",IF(L283&lt;33.0,0,IF(L283&gt;=100*0.8,5,IF(L283&gt;=100*0.7,4,IF(L283&gt;=100*0.6,3.5,IF(L283&gt;=100*0.5,3,IF(L283&gt;=100*0.4,2,IF(L283&gt;=100*0.33,1,0))))))))</f>
        <v/>
      </c>
      <c r="AE283">
        <f>IF(B283="","",IF(M283&lt;33.0,0,IF(M283&gt;=100*0.8,5,IF(M283&gt;=100*0.7,4,IF(M283&gt;=100*0.6,3.5,IF(M283&gt;=100*0.5,3,IF(M283&gt;=100*0.4,2,IF(M283&gt;=100*0.33,1,0))))))))</f>
        <v/>
      </c>
      <c r="AF283">
        <f>IF(B283="","",IF(N283&lt;16.5,0,IF(N283&gt;=50*0.8,5,IF(N283&gt;=50*0.7,4,IF(N283&gt;=50*0.6,3.5,IF(N283&gt;=50*0.5,3,IF(N283&gt;=50*0.4,2,IF(N283&gt;=50*0.33,1,0))))))))</f>
        <v/>
      </c>
      <c r="AG283">
        <f>IF(B283="","",IF(O283&lt;33.0,0,IF(O283&gt;=100*0.8,5,IF(O283&gt;=100*0.7,4,IF(O283&gt;=100*0.6,3.5,IF(O283&gt;=100*0.5,3,IF(O283&gt;=100*0.4,2,IF(O283&gt;=100*0.33,1,0))))))))</f>
        <v/>
      </c>
      <c r="AH283">
        <f>IF(B283="","",IF(OR(U283=0,V283=0,W283=0,X283=0,Y283=0,Z283=0,AA283=0,AB283=0,AC283=0,AD283=0,AE283=0,AF283=0,AG283=0),1,0))</f>
        <v/>
      </c>
    </row>
    <row r="284">
      <c r="A284" s="3">
        <f>IF(B284="","",ROW()-2)</f>
        <v/>
      </c>
      <c r="P284" s="4">
        <f>IF(B284="","",SUM(C284:O284))</f>
        <v/>
      </c>
      <c r="Q284" s="5">
        <f>IF(B284="","",ROUND(P284/13,2))</f>
        <v/>
      </c>
      <c r="R284" s="5">
        <f>IF(B284="","",IF(AH284=1,0,MIN(5,ROUND((U284+V284+W284+X284+Y284+Z284+AA284+AB284+AC284+AD284+AE284+AF284+AG284)/13,2))))</f>
        <v/>
      </c>
      <c r="S284" s="3">
        <f>IF(B284="","",IF(R284&gt;=5,"A+",IF(R284&gt;=4,"A",IF(R284&gt;=3.5,"A-",IF(R284&gt;=3,"B",IF(R284&gt;=2,"C",IF(R284&gt;=1,"D","F")))))))</f>
        <v/>
      </c>
      <c r="T284" s="3">
        <f>IF(OR(B284="",S284="F"),"",COUNTIFS(P:P,"&gt;"&amp;P284,S:S,"&lt;&gt;F")+1)</f>
        <v/>
      </c>
      <c r="U284">
        <f>IF(B284="","",IF(C284&lt;33.0,0,IF(C284&gt;=100*0.8,5,IF(C284&gt;=100*0.7,4,IF(C284&gt;=100*0.6,3.5,IF(C284&gt;=100*0.5,3,IF(C284&gt;=100*0.4,2,IF(C284&gt;=100*0.33,1,0))))))))</f>
        <v/>
      </c>
      <c r="V284">
        <f>IF(B284="","",IF(D284&lt;33.0,0,IF(D284&gt;=100*0.8,5,IF(D284&gt;=100*0.7,4,IF(D284&gt;=100*0.6,3.5,IF(D284&gt;=100*0.5,3,IF(D284&gt;=100*0.4,2,IF(D284&gt;=100*0.33,1,0))))))))</f>
        <v/>
      </c>
      <c r="W284">
        <f>IF(B284="","",IF(E284&lt;16.5,0,IF(E284&gt;=50*0.8,5,IF(E284&gt;=50*0.7,4,IF(E284&gt;=50*0.6,3.5,IF(E284&gt;=50*0.5,3,IF(E284&gt;=50*0.4,2,IF(E284&gt;=50*0.33,1,0))))))))</f>
        <v/>
      </c>
      <c r="X284">
        <f>IF(B284="","",IF(F284&lt;33.0,0,IF(F284&gt;=100*0.8,5,IF(F284&gt;=100*0.7,4,IF(F284&gt;=100*0.6,3.5,IF(F284&gt;=100*0.5,3,IF(F284&gt;=100*0.4,2,IF(F284&gt;=100*0.33,1,0))))))))</f>
        <v/>
      </c>
      <c r="Y284">
        <f>IF(B284="","",IF(G284&lt;16.5,0,IF(G284&gt;=50*0.8,5,IF(G284&gt;=50*0.7,4,IF(G284&gt;=50*0.6,3.5,IF(G284&gt;=50*0.5,3,IF(G284&gt;=50*0.4,2,IF(G284&gt;=50*0.33,1,0))))))))</f>
        <v/>
      </c>
      <c r="Z284">
        <f>IF(B284="","",IF(H284&lt;33.0,0,IF(H284&gt;=100*0.8,5,IF(H284&gt;=100*0.7,4,IF(H284&gt;=100*0.6,3.5,IF(H284&gt;=100*0.5,3,IF(H284&gt;=100*0.4,2,IF(H284&gt;=100*0.33,1,0))))))))</f>
        <v/>
      </c>
      <c r="AA284">
        <f>IF(B284="","",IF(I284&lt;33.0,0,IF(I284&gt;=100*0.8,5,IF(I284&gt;=100*0.7,4,IF(I284&gt;=100*0.6,3.5,IF(I284&gt;=100*0.5,3,IF(I284&gt;=100*0.4,2,IF(I284&gt;=100*0.33,1,0))))))))</f>
        <v/>
      </c>
      <c r="AB284">
        <f>IF(B284="","",IF(J284&lt;33.0,0,IF(J284&gt;=100*0.8,5,IF(J284&gt;=100*0.7,4,IF(J284&gt;=100*0.6,3.5,IF(J284&gt;=100*0.5,3,IF(J284&gt;=100*0.4,2,IF(J284&gt;=100*0.33,1,0))))))))</f>
        <v/>
      </c>
      <c r="AC284">
        <f>IF(B284="","",IF(K284&lt;33.0,0,IF(K284&gt;=100*0.8,5,IF(K284&gt;=100*0.7,4,IF(K284&gt;=100*0.6,3.5,IF(K284&gt;=100*0.5,3,IF(K284&gt;=100*0.4,2,IF(K284&gt;=100*0.33,1,0))))))))</f>
        <v/>
      </c>
      <c r="AD284">
        <f>IF(B284="","",IF(L284&lt;33.0,0,IF(L284&gt;=100*0.8,5,IF(L284&gt;=100*0.7,4,IF(L284&gt;=100*0.6,3.5,IF(L284&gt;=100*0.5,3,IF(L284&gt;=100*0.4,2,IF(L284&gt;=100*0.33,1,0))))))))</f>
        <v/>
      </c>
      <c r="AE284">
        <f>IF(B284="","",IF(M284&lt;33.0,0,IF(M284&gt;=100*0.8,5,IF(M284&gt;=100*0.7,4,IF(M284&gt;=100*0.6,3.5,IF(M284&gt;=100*0.5,3,IF(M284&gt;=100*0.4,2,IF(M284&gt;=100*0.33,1,0))))))))</f>
        <v/>
      </c>
      <c r="AF284">
        <f>IF(B284="","",IF(N284&lt;16.5,0,IF(N284&gt;=50*0.8,5,IF(N284&gt;=50*0.7,4,IF(N284&gt;=50*0.6,3.5,IF(N284&gt;=50*0.5,3,IF(N284&gt;=50*0.4,2,IF(N284&gt;=50*0.33,1,0))))))))</f>
        <v/>
      </c>
      <c r="AG284">
        <f>IF(B284="","",IF(O284&lt;33.0,0,IF(O284&gt;=100*0.8,5,IF(O284&gt;=100*0.7,4,IF(O284&gt;=100*0.6,3.5,IF(O284&gt;=100*0.5,3,IF(O284&gt;=100*0.4,2,IF(O284&gt;=100*0.33,1,0))))))))</f>
        <v/>
      </c>
      <c r="AH284">
        <f>IF(B284="","",IF(OR(U284=0,V284=0,W284=0,X284=0,Y284=0,Z284=0,AA284=0,AB284=0,AC284=0,AD284=0,AE284=0,AF284=0,AG284=0),1,0))</f>
        <v/>
      </c>
    </row>
    <row r="285">
      <c r="A285" s="3">
        <f>IF(B285="","",ROW()-2)</f>
        <v/>
      </c>
      <c r="P285" s="4">
        <f>IF(B285="","",SUM(C285:O285))</f>
        <v/>
      </c>
      <c r="Q285" s="5">
        <f>IF(B285="","",ROUND(P285/13,2))</f>
        <v/>
      </c>
      <c r="R285" s="5">
        <f>IF(B285="","",IF(AH285=1,0,MIN(5,ROUND((U285+V285+W285+X285+Y285+Z285+AA285+AB285+AC285+AD285+AE285+AF285+AG285)/13,2))))</f>
        <v/>
      </c>
      <c r="S285" s="3">
        <f>IF(B285="","",IF(R285&gt;=5,"A+",IF(R285&gt;=4,"A",IF(R285&gt;=3.5,"A-",IF(R285&gt;=3,"B",IF(R285&gt;=2,"C",IF(R285&gt;=1,"D","F")))))))</f>
        <v/>
      </c>
      <c r="T285" s="3">
        <f>IF(OR(B285="",S285="F"),"",COUNTIFS(P:P,"&gt;"&amp;P285,S:S,"&lt;&gt;F")+1)</f>
        <v/>
      </c>
      <c r="U285">
        <f>IF(B285="","",IF(C285&lt;33.0,0,IF(C285&gt;=100*0.8,5,IF(C285&gt;=100*0.7,4,IF(C285&gt;=100*0.6,3.5,IF(C285&gt;=100*0.5,3,IF(C285&gt;=100*0.4,2,IF(C285&gt;=100*0.33,1,0))))))))</f>
        <v/>
      </c>
      <c r="V285">
        <f>IF(B285="","",IF(D285&lt;33.0,0,IF(D285&gt;=100*0.8,5,IF(D285&gt;=100*0.7,4,IF(D285&gt;=100*0.6,3.5,IF(D285&gt;=100*0.5,3,IF(D285&gt;=100*0.4,2,IF(D285&gt;=100*0.33,1,0))))))))</f>
        <v/>
      </c>
      <c r="W285">
        <f>IF(B285="","",IF(E285&lt;16.5,0,IF(E285&gt;=50*0.8,5,IF(E285&gt;=50*0.7,4,IF(E285&gt;=50*0.6,3.5,IF(E285&gt;=50*0.5,3,IF(E285&gt;=50*0.4,2,IF(E285&gt;=50*0.33,1,0))))))))</f>
        <v/>
      </c>
      <c r="X285">
        <f>IF(B285="","",IF(F285&lt;33.0,0,IF(F285&gt;=100*0.8,5,IF(F285&gt;=100*0.7,4,IF(F285&gt;=100*0.6,3.5,IF(F285&gt;=100*0.5,3,IF(F285&gt;=100*0.4,2,IF(F285&gt;=100*0.33,1,0))))))))</f>
        <v/>
      </c>
      <c r="Y285">
        <f>IF(B285="","",IF(G285&lt;16.5,0,IF(G285&gt;=50*0.8,5,IF(G285&gt;=50*0.7,4,IF(G285&gt;=50*0.6,3.5,IF(G285&gt;=50*0.5,3,IF(G285&gt;=50*0.4,2,IF(G285&gt;=50*0.33,1,0))))))))</f>
        <v/>
      </c>
      <c r="Z285">
        <f>IF(B285="","",IF(H285&lt;33.0,0,IF(H285&gt;=100*0.8,5,IF(H285&gt;=100*0.7,4,IF(H285&gt;=100*0.6,3.5,IF(H285&gt;=100*0.5,3,IF(H285&gt;=100*0.4,2,IF(H285&gt;=100*0.33,1,0))))))))</f>
        <v/>
      </c>
      <c r="AA285">
        <f>IF(B285="","",IF(I285&lt;33.0,0,IF(I285&gt;=100*0.8,5,IF(I285&gt;=100*0.7,4,IF(I285&gt;=100*0.6,3.5,IF(I285&gt;=100*0.5,3,IF(I285&gt;=100*0.4,2,IF(I285&gt;=100*0.33,1,0))))))))</f>
        <v/>
      </c>
      <c r="AB285">
        <f>IF(B285="","",IF(J285&lt;33.0,0,IF(J285&gt;=100*0.8,5,IF(J285&gt;=100*0.7,4,IF(J285&gt;=100*0.6,3.5,IF(J285&gt;=100*0.5,3,IF(J285&gt;=100*0.4,2,IF(J285&gt;=100*0.33,1,0))))))))</f>
        <v/>
      </c>
      <c r="AC285">
        <f>IF(B285="","",IF(K285&lt;33.0,0,IF(K285&gt;=100*0.8,5,IF(K285&gt;=100*0.7,4,IF(K285&gt;=100*0.6,3.5,IF(K285&gt;=100*0.5,3,IF(K285&gt;=100*0.4,2,IF(K285&gt;=100*0.33,1,0))))))))</f>
        <v/>
      </c>
      <c r="AD285">
        <f>IF(B285="","",IF(L285&lt;33.0,0,IF(L285&gt;=100*0.8,5,IF(L285&gt;=100*0.7,4,IF(L285&gt;=100*0.6,3.5,IF(L285&gt;=100*0.5,3,IF(L285&gt;=100*0.4,2,IF(L285&gt;=100*0.33,1,0))))))))</f>
        <v/>
      </c>
      <c r="AE285">
        <f>IF(B285="","",IF(M285&lt;33.0,0,IF(M285&gt;=100*0.8,5,IF(M285&gt;=100*0.7,4,IF(M285&gt;=100*0.6,3.5,IF(M285&gt;=100*0.5,3,IF(M285&gt;=100*0.4,2,IF(M285&gt;=100*0.33,1,0))))))))</f>
        <v/>
      </c>
      <c r="AF285">
        <f>IF(B285="","",IF(N285&lt;16.5,0,IF(N285&gt;=50*0.8,5,IF(N285&gt;=50*0.7,4,IF(N285&gt;=50*0.6,3.5,IF(N285&gt;=50*0.5,3,IF(N285&gt;=50*0.4,2,IF(N285&gt;=50*0.33,1,0))))))))</f>
        <v/>
      </c>
      <c r="AG285">
        <f>IF(B285="","",IF(O285&lt;33.0,0,IF(O285&gt;=100*0.8,5,IF(O285&gt;=100*0.7,4,IF(O285&gt;=100*0.6,3.5,IF(O285&gt;=100*0.5,3,IF(O285&gt;=100*0.4,2,IF(O285&gt;=100*0.33,1,0))))))))</f>
        <v/>
      </c>
      <c r="AH285">
        <f>IF(B285="","",IF(OR(U285=0,V285=0,W285=0,X285=0,Y285=0,Z285=0,AA285=0,AB285=0,AC285=0,AD285=0,AE285=0,AF285=0,AG285=0),1,0))</f>
        <v/>
      </c>
    </row>
    <row r="286">
      <c r="A286" s="3">
        <f>IF(B286="","",ROW()-2)</f>
        <v/>
      </c>
      <c r="P286" s="4">
        <f>IF(B286="","",SUM(C286:O286))</f>
        <v/>
      </c>
      <c r="Q286" s="5">
        <f>IF(B286="","",ROUND(P286/13,2))</f>
        <v/>
      </c>
      <c r="R286" s="5">
        <f>IF(B286="","",IF(AH286=1,0,MIN(5,ROUND((U286+V286+W286+X286+Y286+Z286+AA286+AB286+AC286+AD286+AE286+AF286+AG286)/13,2))))</f>
        <v/>
      </c>
      <c r="S286" s="3">
        <f>IF(B286="","",IF(R286&gt;=5,"A+",IF(R286&gt;=4,"A",IF(R286&gt;=3.5,"A-",IF(R286&gt;=3,"B",IF(R286&gt;=2,"C",IF(R286&gt;=1,"D","F")))))))</f>
        <v/>
      </c>
      <c r="T286" s="3">
        <f>IF(OR(B286="",S286="F"),"",COUNTIFS(P:P,"&gt;"&amp;P286,S:S,"&lt;&gt;F")+1)</f>
        <v/>
      </c>
      <c r="U286">
        <f>IF(B286="","",IF(C286&lt;33.0,0,IF(C286&gt;=100*0.8,5,IF(C286&gt;=100*0.7,4,IF(C286&gt;=100*0.6,3.5,IF(C286&gt;=100*0.5,3,IF(C286&gt;=100*0.4,2,IF(C286&gt;=100*0.33,1,0))))))))</f>
        <v/>
      </c>
      <c r="V286">
        <f>IF(B286="","",IF(D286&lt;33.0,0,IF(D286&gt;=100*0.8,5,IF(D286&gt;=100*0.7,4,IF(D286&gt;=100*0.6,3.5,IF(D286&gt;=100*0.5,3,IF(D286&gt;=100*0.4,2,IF(D286&gt;=100*0.33,1,0))))))))</f>
        <v/>
      </c>
      <c r="W286">
        <f>IF(B286="","",IF(E286&lt;16.5,0,IF(E286&gt;=50*0.8,5,IF(E286&gt;=50*0.7,4,IF(E286&gt;=50*0.6,3.5,IF(E286&gt;=50*0.5,3,IF(E286&gt;=50*0.4,2,IF(E286&gt;=50*0.33,1,0))))))))</f>
        <v/>
      </c>
      <c r="X286">
        <f>IF(B286="","",IF(F286&lt;33.0,0,IF(F286&gt;=100*0.8,5,IF(F286&gt;=100*0.7,4,IF(F286&gt;=100*0.6,3.5,IF(F286&gt;=100*0.5,3,IF(F286&gt;=100*0.4,2,IF(F286&gt;=100*0.33,1,0))))))))</f>
        <v/>
      </c>
      <c r="Y286">
        <f>IF(B286="","",IF(G286&lt;16.5,0,IF(G286&gt;=50*0.8,5,IF(G286&gt;=50*0.7,4,IF(G286&gt;=50*0.6,3.5,IF(G286&gt;=50*0.5,3,IF(G286&gt;=50*0.4,2,IF(G286&gt;=50*0.33,1,0))))))))</f>
        <v/>
      </c>
      <c r="Z286">
        <f>IF(B286="","",IF(H286&lt;33.0,0,IF(H286&gt;=100*0.8,5,IF(H286&gt;=100*0.7,4,IF(H286&gt;=100*0.6,3.5,IF(H286&gt;=100*0.5,3,IF(H286&gt;=100*0.4,2,IF(H286&gt;=100*0.33,1,0))))))))</f>
        <v/>
      </c>
      <c r="AA286">
        <f>IF(B286="","",IF(I286&lt;33.0,0,IF(I286&gt;=100*0.8,5,IF(I286&gt;=100*0.7,4,IF(I286&gt;=100*0.6,3.5,IF(I286&gt;=100*0.5,3,IF(I286&gt;=100*0.4,2,IF(I286&gt;=100*0.33,1,0))))))))</f>
        <v/>
      </c>
      <c r="AB286">
        <f>IF(B286="","",IF(J286&lt;33.0,0,IF(J286&gt;=100*0.8,5,IF(J286&gt;=100*0.7,4,IF(J286&gt;=100*0.6,3.5,IF(J286&gt;=100*0.5,3,IF(J286&gt;=100*0.4,2,IF(J286&gt;=100*0.33,1,0))))))))</f>
        <v/>
      </c>
      <c r="AC286">
        <f>IF(B286="","",IF(K286&lt;33.0,0,IF(K286&gt;=100*0.8,5,IF(K286&gt;=100*0.7,4,IF(K286&gt;=100*0.6,3.5,IF(K286&gt;=100*0.5,3,IF(K286&gt;=100*0.4,2,IF(K286&gt;=100*0.33,1,0))))))))</f>
        <v/>
      </c>
      <c r="AD286">
        <f>IF(B286="","",IF(L286&lt;33.0,0,IF(L286&gt;=100*0.8,5,IF(L286&gt;=100*0.7,4,IF(L286&gt;=100*0.6,3.5,IF(L286&gt;=100*0.5,3,IF(L286&gt;=100*0.4,2,IF(L286&gt;=100*0.33,1,0))))))))</f>
        <v/>
      </c>
      <c r="AE286">
        <f>IF(B286="","",IF(M286&lt;33.0,0,IF(M286&gt;=100*0.8,5,IF(M286&gt;=100*0.7,4,IF(M286&gt;=100*0.6,3.5,IF(M286&gt;=100*0.5,3,IF(M286&gt;=100*0.4,2,IF(M286&gt;=100*0.33,1,0))))))))</f>
        <v/>
      </c>
      <c r="AF286">
        <f>IF(B286="","",IF(N286&lt;16.5,0,IF(N286&gt;=50*0.8,5,IF(N286&gt;=50*0.7,4,IF(N286&gt;=50*0.6,3.5,IF(N286&gt;=50*0.5,3,IF(N286&gt;=50*0.4,2,IF(N286&gt;=50*0.33,1,0))))))))</f>
        <v/>
      </c>
      <c r="AG286">
        <f>IF(B286="","",IF(O286&lt;33.0,0,IF(O286&gt;=100*0.8,5,IF(O286&gt;=100*0.7,4,IF(O286&gt;=100*0.6,3.5,IF(O286&gt;=100*0.5,3,IF(O286&gt;=100*0.4,2,IF(O286&gt;=100*0.33,1,0))))))))</f>
        <v/>
      </c>
      <c r="AH286">
        <f>IF(B286="","",IF(OR(U286=0,V286=0,W286=0,X286=0,Y286=0,Z286=0,AA286=0,AB286=0,AC286=0,AD286=0,AE286=0,AF286=0,AG286=0),1,0))</f>
        <v/>
      </c>
    </row>
    <row r="287">
      <c r="A287" s="3">
        <f>IF(B287="","",ROW()-2)</f>
        <v/>
      </c>
      <c r="P287" s="4">
        <f>IF(B287="","",SUM(C287:O287))</f>
        <v/>
      </c>
      <c r="Q287" s="5">
        <f>IF(B287="","",ROUND(P287/13,2))</f>
        <v/>
      </c>
      <c r="R287" s="5">
        <f>IF(B287="","",IF(AH287=1,0,MIN(5,ROUND((U287+V287+W287+X287+Y287+Z287+AA287+AB287+AC287+AD287+AE287+AF287+AG287)/13,2))))</f>
        <v/>
      </c>
      <c r="S287" s="3">
        <f>IF(B287="","",IF(R287&gt;=5,"A+",IF(R287&gt;=4,"A",IF(R287&gt;=3.5,"A-",IF(R287&gt;=3,"B",IF(R287&gt;=2,"C",IF(R287&gt;=1,"D","F")))))))</f>
        <v/>
      </c>
      <c r="T287" s="3">
        <f>IF(OR(B287="",S287="F"),"",COUNTIFS(P:P,"&gt;"&amp;P287,S:S,"&lt;&gt;F")+1)</f>
        <v/>
      </c>
      <c r="U287">
        <f>IF(B287="","",IF(C287&lt;33.0,0,IF(C287&gt;=100*0.8,5,IF(C287&gt;=100*0.7,4,IF(C287&gt;=100*0.6,3.5,IF(C287&gt;=100*0.5,3,IF(C287&gt;=100*0.4,2,IF(C287&gt;=100*0.33,1,0))))))))</f>
        <v/>
      </c>
      <c r="V287">
        <f>IF(B287="","",IF(D287&lt;33.0,0,IF(D287&gt;=100*0.8,5,IF(D287&gt;=100*0.7,4,IF(D287&gt;=100*0.6,3.5,IF(D287&gt;=100*0.5,3,IF(D287&gt;=100*0.4,2,IF(D287&gt;=100*0.33,1,0))))))))</f>
        <v/>
      </c>
      <c r="W287">
        <f>IF(B287="","",IF(E287&lt;16.5,0,IF(E287&gt;=50*0.8,5,IF(E287&gt;=50*0.7,4,IF(E287&gt;=50*0.6,3.5,IF(E287&gt;=50*0.5,3,IF(E287&gt;=50*0.4,2,IF(E287&gt;=50*0.33,1,0))))))))</f>
        <v/>
      </c>
      <c r="X287">
        <f>IF(B287="","",IF(F287&lt;33.0,0,IF(F287&gt;=100*0.8,5,IF(F287&gt;=100*0.7,4,IF(F287&gt;=100*0.6,3.5,IF(F287&gt;=100*0.5,3,IF(F287&gt;=100*0.4,2,IF(F287&gt;=100*0.33,1,0))))))))</f>
        <v/>
      </c>
      <c r="Y287">
        <f>IF(B287="","",IF(G287&lt;16.5,0,IF(G287&gt;=50*0.8,5,IF(G287&gt;=50*0.7,4,IF(G287&gt;=50*0.6,3.5,IF(G287&gt;=50*0.5,3,IF(G287&gt;=50*0.4,2,IF(G287&gt;=50*0.33,1,0))))))))</f>
        <v/>
      </c>
      <c r="Z287">
        <f>IF(B287="","",IF(H287&lt;33.0,0,IF(H287&gt;=100*0.8,5,IF(H287&gt;=100*0.7,4,IF(H287&gt;=100*0.6,3.5,IF(H287&gt;=100*0.5,3,IF(H287&gt;=100*0.4,2,IF(H287&gt;=100*0.33,1,0))))))))</f>
        <v/>
      </c>
      <c r="AA287">
        <f>IF(B287="","",IF(I287&lt;33.0,0,IF(I287&gt;=100*0.8,5,IF(I287&gt;=100*0.7,4,IF(I287&gt;=100*0.6,3.5,IF(I287&gt;=100*0.5,3,IF(I287&gt;=100*0.4,2,IF(I287&gt;=100*0.33,1,0))))))))</f>
        <v/>
      </c>
      <c r="AB287">
        <f>IF(B287="","",IF(J287&lt;33.0,0,IF(J287&gt;=100*0.8,5,IF(J287&gt;=100*0.7,4,IF(J287&gt;=100*0.6,3.5,IF(J287&gt;=100*0.5,3,IF(J287&gt;=100*0.4,2,IF(J287&gt;=100*0.33,1,0))))))))</f>
        <v/>
      </c>
      <c r="AC287">
        <f>IF(B287="","",IF(K287&lt;33.0,0,IF(K287&gt;=100*0.8,5,IF(K287&gt;=100*0.7,4,IF(K287&gt;=100*0.6,3.5,IF(K287&gt;=100*0.5,3,IF(K287&gt;=100*0.4,2,IF(K287&gt;=100*0.33,1,0))))))))</f>
        <v/>
      </c>
      <c r="AD287">
        <f>IF(B287="","",IF(L287&lt;33.0,0,IF(L287&gt;=100*0.8,5,IF(L287&gt;=100*0.7,4,IF(L287&gt;=100*0.6,3.5,IF(L287&gt;=100*0.5,3,IF(L287&gt;=100*0.4,2,IF(L287&gt;=100*0.33,1,0))))))))</f>
        <v/>
      </c>
      <c r="AE287">
        <f>IF(B287="","",IF(M287&lt;33.0,0,IF(M287&gt;=100*0.8,5,IF(M287&gt;=100*0.7,4,IF(M287&gt;=100*0.6,3.5,IF(M287&gt;=100*0.5,3,IF(M287&gt;=100*0.4,2,IF(M287&gt;=100*0.33,1,0))))))))</f>
        <v/>
      </c>
      <c r="AF287">
        <f>IF(B287="","",IF(N287&lt;16.5,0,IF(N287&gt;=50*0.8,5,IF(N287&gt;=50*0.7,4,IF(N287&gt;=50*0.6,3.5,IF(N287&gt;=50*0.5,3,IF(N287&gt;=50*0.4,2,IF(N287&gt;=50*0.33,1,0))))))))</f>
        <v/>
      </c>
      <c r="AG287">
        <f>IF(B287="","",IF(O287&lt;33.0,0,IF(O287&gt;=100*0.8,5,IF(O287&gt;=100*0.7,4,IF(O287&gt;=100*0.6,3.5,IF(O287&gt;=100*0.5,3,IF(O287&gt;=100*0.4,2,IF(O287&gt;=100*0.33,1,0))))))))</f>
        <v/>
      </c>
      <c r="AH287">
        <f>IF(B287="","",IF(OR(U287=0,V287=0,W287=0,X287=0,Y287=0,Z287=0,AA287=0,AB287=0,AC287=0,AD287=0,AE287=0,AF287=0,AG287=0),1,0))</f>
        <v/>
      </c>
    </row>
    <row r="288">
      <c r="A288" s="3">
        <f>IF(B288="","",ROW()-2)</f>
        <v/>
      </c>
      <c r="P288" s="4">
        <f>IF(B288="","",SUM(C288:O288))</f>
        <v/>
      </c>
      <c r="Q288" s="5">
        <f>IF(B288="","",ROUND(P288/13,2))</f>
        <v/>
      </c>
      <c r="R288" s="5">
        <f>IF(B288="","",IF(AH288=1,0,MIN(5,ROUND((U288+V288+W288+X288+Y288+Z288+AA288+AB288+AC288+AD288+AE288+AF288+AG288)/13,2))))</f>
        <v/>
      </c>
      <c r="S288" s="3">
        <f>IF(B288="","",IF(R288&gt;=5,"A+",IF(R288&gt;=4,"A",IF(R288&gt;=3.5,"A-",IF(R288&gt;=3,"B",IF(R288&gt;=2,"C",IF(R288&gt;=1,"D","F")))))))</f>
        <v/>
      </c>
      <c r="T288" s="3">
        <f>IF(OR(B288="",S288="F"),"",COUNTIFS(P:P,"&gt;"&amp;P288,S:S,"&lt;&gt;F")+1)</f>
        <v/>
      </c>
      <c r="U288">
        <f>IF(B288="","",IF(C288&lt;33.0,0,IF(C288&gt;=100*0.8,5,IF(C288&gt;=100*0.7,4,IF(C288&gt;=100*0.6,3.5,IF(C288&gt;=100*0.5,3,IF(C288&gt;=100*0.4,2,IF(C288&gt;=100*0.33,1,0))))))))</f>
        <v/>
      </c>
      <c r="V288">
        <f>IF(B288="","",IF(D288&lt;33.0,0,IF(D288&gt;=100*0.8,5,IF(D288&gt;=100*0.7,4,IF(D288&gt;=100*0.6,3.5,IF(D288&gt;=100*0.5,3,IF(D288&gt;=100*0.4,2,IF(D288&gt;=100*0.33,1,0))))))))</f>
        <v/>
      </c>
      <c r="W288">
        <f>IF(B288="","",IF(E288&lt;16.5,0,IF(E288&gt;=50*0.8,5,IF(E288&gt;=50*0.7,4,IF(E288&gt;=50*0.6,3.5,IF(E288&gt;=50*0.5,3,IF(E288&gt;=50*0.4,2,IF(E288&gt;=50*0.33,1,0))))))))</f>
        <v/>
      </c>
      <c r="X288">
        <f>IF(B288="","",IF(F288&lt;33.0,0,IF(F288&gt;=100*0.8,5,IF(F288&gt;=100*0.7,4,IF(F288&gt;=100*0.6,3.5,IF(F288&gt;=100*0.5,3,IF(F288&gt;=100*0.4,2,IF(F288&gt;=100*0.33,1,0))))))))</f>
        <v/>
      </c>
      <c r="Y288">
        <f>IF(B288="","",IF(G288&lt;16.5,0,IF(G288&gt;=50*0.8,5,IF(G288&gt;=50*0.7,4,IF(G288&gt;=50*0.6,3.5,IF(G288&gt;=50*0.5,3,IF(G288&gt;=50*0.4,2,IF(G288&gt;=50*0.33,1,0))))))))</f>
        <v/>
      </c>
      <c r="Z288">
        <f>IF(B288="","",IF(H288&lt;33.0,0,IF(H288&gt;=100*0.8,5,IF(H288&gt;=100*0.7,4,IF(H288&gt;=100*0.6,3.5,IF(H288&gt;=100*0.5,3,IF(H288&gt;=100*0.4,2,IF(H288&gt;=100*0.33,1,0))))))))</f>
        <v/>
      </c>
      <c r="AA288">
        <f>IF(B288="","",IF(I288&lt;33.0,0,IF(I288&gt;=100*0.8,5,IF(I288&gt;=100*0.7,4,IF(I288&gt;=100*0.6,3.5,IF(I288&gt;=100*0.5,3,IF(I288&gt;=100*0.4,2,IF(I288&gt;=100*0.33,1,0))))))))</f>
        <v/>
      </c>
      <c r="AB288">
        <f>IF(B288="","",IF(J288&lt;33.0,0,IF(J288&gt;=100*0.8,5,IF(J288&gt;=100*0.7,4,IF(J288&gt;=100*0.6,3.5,IF(J288&gt;=100*0.5,3,IF(J288&gt;=100*0.4,2,IF(J288&gt;=100*0.33,1,0))))))))</f>
        <v/>
      </c>
      <c r="AC288">
        <f>IF(B288="","",IF(K288&lt;33.0,0,IF(K288&gt;=100*0.8,5,IF(K288&gt;=100*0.7,4,IF(K288&gt;=100*0.6,3.5,IF(K288&gt;=100*0.5,3,IF(K288&gt;=100*0.4,2,IF(K288&gt;=100*0.33,1,0))))))))</f>
        <v/>
      </c>
      <c r="AD288">
        <f>IF(B288="","",IF(L288&lt;33.0,0,IF(L288&gt;=100*0.8,5,IF(L288&gt;=100*0.7,4,IF(L288&gt;=100*0.6,3.5,IF(L288&gt;=100*0.5,3,IF(L288&gt;=100*0.4,2,IF(L288&gt;=100*0.33,1,0))))))))</f>
        <v/>
      </c>
      <c r="AE288">
        <f>IF(B288="","",IF(M288&lt;33.0,0,IF(M288&gt;=100*0.8,5,IF(M288&gt;=100*0.7,4,IF(M288&gt;=100*0.6,3.5,IF(M288&gt;=100*0.5,3,IF(M288&gt;=100*0.4,2,IF(M288&gt;=100*0.33,1,0))))))))</f>
        <v/>
      </c>
      <c r="AF288">
        <f>IF(B288="","",IF(N288&lt;16.5,0,IF(N288&gt;=50*0.8,5,IF(N288&gt;=50*0.7,4,IF(N288&gt;=50*0.6,3.5,IF(N288&gt;=50*0.5,3,IF(N288&gt;=50*0.4,2,IF(N288&gt;=50*0.33,1,0))))))))</f>
        <v/>
      </c>
      <c r="AG288">
        <f>IF(B288="","",IF(O288&lt;33.0,0,IF(O288&gt;=100*0.8,5,IF(O288&gt;=100*0.7,4,IF(O288&gt;=100*0.6,3.5,IF(O288&gt;=100*0.5,3,IF(O288&gt;=100*0.4,2,IF(O288&gt;=100*0.33,1,0))))))))</f>
        <v/>
      </c>
      <c r="AH288">
        <f>IF(B288="","",IF(OR(U288=0,V288=0,W288=0,X288=0,Y288=0,Z288=0,AA288=0,AB288=0,AC288=0,AD288=0,AE288=0,AF288=0,AG288=0),1,0))</f>
        <v/>
      </c>
    </row>
    <row r="289">
      <c r="A289" s="3">
        <f>IF(B289="","",ROW()-2)</f>
        <v/>
      </c>
      <c r="P289" s="4">
        <f>IF(B289="","",SUM(C289:O289))</f>
        <v/>
      </c>
      <c r="Q289" s="5">
        <f>IF(B289="","",ROUND(P289/13,2))</f>
        <v/>
      </c>
      <c r="R289" s="5">
        <f>IF(B289="","",IF(AH289=1,0,MIN(5,ROUND((U289+V289+W289+X289+Y289+Z289+AA289+AB289+AC289+AD289+AE289+AF289+AG289)/13,2))))</f>
        <v/>
      </c>
      <c r="S289" s="3">
        <f>IF(B289="","",IF(R289&gt;=5,"A+",IF(R289&gt;=4,"A",IF(R289&gt;=3.5,"A-",IF(R289&gt;=3,"B",IF(R289&gt;=2,"C",IF(R289&gt;=1,"D","F")))))))</f>
        <v/>
      </c>
      <c r="T289" s="3">
        <f>IF(OR(B289="",S289="F"),"",COUNTIFS(P:P,"&gt;"&amp;P289,S:S,"&lt;&gt;F")+1)</f>
        <v/>
      </c>
      <c r="U289">
        <f>IF(B289="","",IF(C289&lt;33.0,0,IF(C289&gt;=100*0.8,5,IF(C289&gt;=100*0.7,4,IF(C289&gt;=100*0.6,3.5,IF(C289&gt;=100*0.5,3,IF(C289&gt;=100*0.4,2,IF(C289&gt;=100*0.33,1,0))))))))</f>
        <v/>
      </c>
      <c r="V289">
        <f>IF(B289="","",IF(D289&lt;33.0,0,IF(D289&gt;=100*0.8,5,IF(D289&gt;=100*0.7,4,IF(D289&gt;=100*0.6,3.5,IF(D289&gt;=100*0.5,3,IF(D289&gt;=100*0.4,2,IF(D289&gt;=100*0.33,1,0))))))))</f>
        <v/>
      </c>
      <c r="W289">
        <f>IF(B289="","",IF(E289&lt;16.5,0,IF(E289&gt;=50*0.8,5,IF(E289&gt;=50*0.7,4,IF(E289&gt;=50*0.6,3.5,IF(E289&gt;=50*0.5,3,IF(E289&gt;=50*0.4,2,IF(E289&gt;=50*0.33,1,0))))))))</f>
        <v/>
      </c>
      <c r="X289">
        <f>IF(B289="","",IF(F289&lt;33.0,0,IF(F289&gt;=100*0.8,5,IF(F289&gt;=100*0.7,4,IF(F289&gt;=100*0.6,3.5,IF(F289&gt;=100*0.5,3,IF(F289&gt;=100*0.4,2,IF(F289&gt;=100*0.33,1,0))))))))</f>
        <v/>
      </c>
      <c r="Y289">
        <f>IF(B289="","",IF(G289&lt;16.5,0,IF(G289&gt;=50*0.8,5,IF(G289&gt;=50*0.7,4,IF(G289&gt;=50*0.6,3.5,IF(G289&gt;=50*0.5,3,IF(G289&gt;=50*0.4,2,IF(G289&gt;=50*0.33,1,0))))))))</f>
        <v/>
      </c>
      <c r="Z289">
        <f>IF(B289="","",IF(H289&lt;33.0,0,IF(H289&gt;=100*0.8,5,IF(H289&gt;=100*0.7,4,IF(H289&gt;=100*0.6,3.5,IF(H289&gt;=100*0.5,3,IF(H289&gt;=100*0.4,2,IF(H289&gt;=100*0.33,1,0))))))))</f>
        <v/>
      </c>
      <c r="AA289">
        <f>IF(B289="","",IF(I289&lt;33.0,0,IF(I289&gt;=100*0.8,5,IF(I289&gt;=100*0.7,4,IF(I289&gt;=100*0.6,3.5,IF(I289&gt;=100*0.5,3,IF(I289&gt;=100*0.4,2,IF(I289&gt;=100*0.33,1,0))))))))</f>
        <v/>
      </c>
      <c r="AB289">
        <f>IF(B289="","",IF(J289&lt;33.0,0,IF(J289&gt;=100*0.8,5,IF(J289&gt;=100*0.7,4,IF(J289&gt;=100*0.6,3.5,IF(J289&gt;=100*0.5,3,IF(J289&gt;=100*0.4,2,IF(J289&gt;=100*0.33,1,0))))))))</f>
        <v/>
      </c>
      <c r="AC289">
        <f>IF(B289="","",IF(K289&lt;33.0,0,IF(K289&gt;=100*0.8,5,IF(K289&gt;=100*0.7,4,IF(K289&gt;=100*0.6,3.5,IF(K289&gt;=100*0.5,3,IF(K289&gt;=100*0.4,2,IF(K289&gt;=100*0.33,1,0))))))))</f>
        <v/>
      </c>
      <c r="AD289">
        <f>IF(B289="","",IF(L289&lt;33.0,0,IF(L289&gt;=100*0.8,5,IF(L289&gt;=100*0.7,4,IF(L289&gt;=100*0.6,3.5,IF(L289&gt;=100*0.5,3,IF(L289&gt;=100*0.4,2,IF(L289&gt;=100*0.33,1,0))))))))</f>
        <v/>
      </c>
      <c r="AE289">
        <f>IF(B289="","",IF(M289&lt;33.0,0,IF(M289&gt;=100*0.8,5,IF(M289&gt;=100*0.7,4,IF(M289&gt;=100*0.6,3.5,IF(M289&gt;=100*0.5,3,IF(M289&gt;=100*0.4,2,IF(M289&gt;=100*0.33,1,0))))))))</f>
        <v/>
      </c>
      <c r="AF289">
        <f>IF(B289="","",IF(N289&lt;16.5,0,IF(N289&gt;=50*0.8,5,IF(N289&gt;=50*0.7,4,IF(N289&gt;=50*0.6,3.5,IF(N289&gt;=50*0.5,3,IF(N289&gt;=50*0.4,2,IF(N289&gt;=50*0.33,1,0))))))))</f>
        <v/>
      </c>
      <c r="AG289">
        <f>IF(B289="","",IF(O289&lt;33.0,0,IF(O289&gt;=100*0.8,5,IF(O289&gt;=100*0.7,4,IF(O289&gt;=100*0.6,3.5,IF(O289&gt;=100*0.5,3,IF(O289&gt;=100*0.4,2,IF(O289&gt;=100*0.33,1,0))))))))</f>
        <v/>
      </c>
      <c r="AH289">
        <f>IF(B289="","",IF(OR(U289=0,V289=0,W289=0,X289=0,Y289=0,Z289=0,AA289=0,AB289=0,AC289=0,AD289=0,AE289=0,AF289=0,AG289=0),1,0))</f>
        <v/>
      </c>
    </row>
    <row r="290">
      <c r="A290" s="3">
        <f>IF(B290="","",ROW()-2)</f>
        <v/>
      </c>
      <c r="P290" s="4">
        <f>IF(B290="","",SUM(C290:O290))</f>
        <v/>
      </c>
      <c r="Q290" s="5">
        <f>IF(B290="","",ROUND(P290/13,2))</f>
        <v/>
      </c>
      <c r="R290" s="5">
        <f>IF(B290="","",IF(AH290=1,0,MIN(5,ROUND((U290+V290+W290+X290+Y290+Z290+AA290+AB290+AC290+AD290+AE290+AF290+AG290)/13,2))))</f>
        <v/>
      </c>
      <c r="S290" s="3">
        <f>IF(B290="","",IF(R290&gt;=5,"A+",IF(R290&gt;=4,"A",IF(R290&gt;=3.5,"A-",IF(R290&gt;=3,"B",IF(R290&gt;=2,"C",IF(R290&gt;=1,"D","F")))))))</f>
        <v/>
      </c>
      <c r="T290" s="3">
        <f>IF(OR(B290="",S290="F"),"",COUNTIFS(P:P,"&gt;"&amp;P290,S:S,"&lt;&gt;F")+1)</f>
        <v/>
      </c>
      <c r="U290">
        <f>IF(B290="","",IF(C290&lt;33.0,0,IF(C290&gt;=100*0.8,5,IF(C290&gt;=100*0.7,4,IF(C290&gt;=100*0.6,3.5,IF(C290&gt;=100*0.5,3,IF(C290&gt;=100*0.4,2,IF(C290&gt;=100*0.33,1,0))))))))</f>
        <v/>
      </c>
      <c r="V290">
        <f>IF(B290="","",IF(D290&lt;33.0,0,IF(D290&gt;=100*0.8,5,IF(D290&gt;=100*0.7,4,IF(D290&gt;=100*0.6,3.5,IF(D290&gt;=100*0.5,3,IF(D290&gt;=100*0.4,2,IF(D290&gt;=100*0.33,1,0))))))))</f>
        <v/>
      </c>
      <c r="W290">
        <f>IF(B290="","",IF(E290&lt;16.5,0,IF(E290&gt;=50*0.8,5,IF(E290&gt;=50*0.7,4,IF(E290&gt;=50*0.6,3.5,IF(E290&gt;=50*0.5,3,IF(E290&gt;=50*0.4,2,IF(E290&gt;=50*0.33,1,0))))))))</f>
        <v/>
      </c>
      <c r="X290">
        <f>IF(B290="","",IF(F290&lt;33.0,0,IF(F290&gt;=100*0.8,5,IF(F290&gt;=100*0.7,4,IF(F290&gt;=100*0.6,3.5,IF(F290&gt;=100*0.5,3,IF(F290&gt;=100*0.4,2,IF(F290&gt;=100*0.33,1,0))))))))</f>
        <v/>
      </c>
      <c r="Y290">
        <f>IF(B290="","",IF(G290&lt;16.5,0,IF(G290&gt;=50*0.8,5,IF(G290&gt;=50*0.7,4,IF(G290&gt;=50*0.6,3.5,IF(G290&gt;=50*0.5,3,IF(G290&gt;=50*0.4,2,IF(G290&gt;=50*0.33,1,0))))))))</f>
        <v/>
      </c>
      <c r="Z290">
        <f>IF(B290="","",IF(H290&lt;33.0,0,IF(H290&gt;=100*0.8,5,IF(H290&gt;=100*0.7,4,IF(H290&gt;=100*0.6,3.5,IF(H290&gt;=100*0.5,3,IF(H290&gt;=100*0.4,2,IF(H290&gt;=100*0.33,1,0))))))))</f>
        <v/>
      </c>
      <c r="AA290">
        <f>IF(B290="","",IF(I290&lt;33.0,0,IF(I290&gt;=100*0.8,5,IF(I290&gt;=100*0.7,4,IF(I290&gt;=100*0.6,3.5,IF(I290&gt;=100*0.5,3,IF(I290&gt;=100*0.4,2,IF(I290&gt;=100*0.33,1,0))))))))</f>
        <v/>
      </c>
      <c r="AB290">
        <f>IF(B290="","",IF(J290&lt;33.0,0,IF(J290&gt;=100*0.8,5,IF(J290&gt;=100*0.7,4,IF(J290&gt;=100*0.6,3.5,IF(J290&gt;=100*0.5,3,IF(J290&gt;=100*0.4,2,IF(J290&gt;=100*0.33,1,0))))))))</f>
        <v/>
      </c>
      <c r="AC290">
        <f>IF(B290="","",IF(K290&lt;33.0,0,IF(K290&gt;=100*0.8,5,IF(K290&gt;=100*0.7,4,IF(K290&gt;=100*0.6,3.5,IF(K290&gt;=100*0.5,3,IF(K290&gt;=100*0.4,2,IF(K290&gt;=100*0.33,1,0))))))))</f>
        <v/>
      </c>
      <c r="AD290">
        <f>IF(B290="","",IF(L290&lt;33.0,0,IF(L290&gt;=100*0.8,5,IF(L290&gt;=100*0.7,4,IF(L290&gt;=100*0.6,3.5,IF(L290&gt;=100*0.5,3,IF(L290&gt;=100*0.4,2,IF(L290&gt;=100*0.33,1,0))))))))</f>
        <v/>
      </c>
      <c r="AE290">
        <f>IF(B290="","",IF(M290&lt;33.0,0,IF(M290&gt;=100*0.8,5,IF(M290&gt;=100*0.7,4,IF(M290&gt;=100*0.6,3.5,IF(M290&gt;=100*0.5,3,IF(M290&gt;=100*0.4,2,IF(M290&gt;=100*0.33,1,0))))))))</f>
        <v/>
      </c>
      <c r="AF290">
        <f>IF(B290="","",IF(N290&lt;16.5,0,IF(N290&gt;=50*0.8,5,IF(N290&gt;=50*0.7,4,IF(N290&gt;=50*0.6,3.5,IF(N290&gt;=50*0.5,3,IF(N290&gt;=50*0.4,2,IF(N290&gt;=50*0.33,1,0))))))))</f>
        <v/>
      </c>
      <c r="AG290">
        <f>IF(B290="","",IF(O290&lt;33.0,0,IF(O290&gt;=100*0.8,5,IF(O290&gt;=100*0.7,4,IF(O290&gt;=100*0.6,3.5,IF(O290&gt;=100*0.5,3,IF(O290&gt;=100*0.4,2,IF(O290&gt;=100*0.33,1,0))))))))</f>
        <v/>
      </c>
      <c r="AH290">
        <f>IF(B290="","",IF(OR(U290=0,V290=0,W290=0,X290=0,Y290=0,Z290=0,AA290=0,AB290=0,AC290=0,AD290=0,AE290=0,AF290=0,AG290=0),1,0))</f>
        <v/>
      </c>
    </row>
    <row r="291">
      <c r="A291" s="3">
        <f>IF(B291="","",ROW()-2)</f>
        <v/>
      </c>
      <c r="P291" s="4">
        <f>IF(B291="","",SUM(C291:O291))</f>
        <v/>
      </c>
      <c r="Q291" s="5">
        <f>IF(B291="","",ROUND(P291/13,2))</f>
        <v/>
      </c>
      <c r="R291" s="5">
        <f>IF(B291="","",IF(AH291=1,0,MIN(5,ROUND((U291+V291+W291+X291+Y291+Z291+AA291+AB291+AC291+AD291+AE291+AF291+AG291)/13,2))))</f>
        <v/>
      </c>
      <c r="S291" s="3">
        <f>IF(B291="","",IF(R291&gt;=5,"A+",IF(R291&gt;=4,"A",IF(R291&gt;=3.5,"A-",IF(R291&gt;=3,"B",IF(R291&gt;=2,"C",IF(R291&gt;=1,"D","F")))))))</f>
        <v/>
      </c>
      <c r="T291" s="3">
        <f>IF(OR(B291="",S291="F"),"",COUNTIFS(P:P,"&gt;"&amp;P291,S:S,"&lt;&gt;F")+1)</f>
        <v/>
      </c>
      <c r="U291">
        <f>IF(B291="","",IF(C291&lt;33.0,0,IF(C291&gt;=100*0.8,5,IF(C291&gt;=100*0.7,4,IF(C291&gt;=100*0.6,3.5,IF(C291&gt;=100*0.5,3,IF(C291&gt;=100*0.4,2,IF(C291&gt;=100*0.33,1,0))))))))</f>
        <v/>
      </c>
      <c r="V291">
        <f>IF(B291="","",IF(D291&lt;33.0,0,IF(D291&gt;=100*0.8,5,IF(D291&gt;=100*0.7,4,IF(D291&gt;=100*0.6,3.5,IF(D291&gt;=100*0.5,3,IF(D291&gt;=100*0.4,2,IF(D291&gt;=100*0.33,1,0))))))))</f>
        <v/>
      </c>
      <c r="W291">
        <f>IF(B291="","",IF(E291&lt;16.5,0,IF(E291&gt;=50*0.8,5,IF(E291&gt;=50*0.7,4,IF(E291&gt;=50*0.6,3.5,IF(E291&gt;=50*0.5,3,IF(E291&gt;=50*0.4,2,IF(E291&gt;=50*0.33,1,0))))))))</f>
        <v/>
      </c>
      <c r="X291">
        <f>IF(B291="","",IF(F291&lt;33.0,0,IF(F291&gt;=100*0.8,5,IF(F291&gt;=100*0.7,4,IF(F291&gt;=100*0.6,3.5,IF(F291&gt;=100*0.5,3,IF(F291&gt;=100*0.4,2,IF(F291&gt;=100*0.33,1,0))))))))</f>
        <v/>
      </c>
      <c r="Y291">
        <f>IF(B291="","",IF(G291&lt;16.5,0,IF(G291&gt;=50*0.8,5,IF(G291&gt;=50*0.7,4,IF(G291&gt;=50*0.6,3.5,IF(G291&gt;=50*0.5,3,IF(G291&gt;=50*0.4,2,IF(G291&gt;=50*0.33,1,0))))))))</f>
        <v/>
      </c>
      <c r="Z291">
        <f>IF(B291="","",IF(H291&lt;33.0,0,IF(H291&gt;=100*0.8,5,IF(H291&gt;=100*0.7,4,IF(H291&gt;=100*0.6,3.5,IF(H291&gt;=100*0.5,3,IF(H291&gt;=100*0.4,2,IF(H291&gt;=100*0.33,1,0))))))))</f>
        <v/>
      </c>
      <c r="AA291">
        <f>IF(B291="","",IF(I291&lt;33.0,0,IF(I291&gt;=100*0.8,5,IF(I291&gt;=100*0.7,4,IF(I291&gt;=100*0.6,3.5,IF(I291&gt;=100*0.5,3,IF(I291&gt;=100*0.4,2,IF(I291&gt;=100*0.33,1,0))))))))</f>
        <v/>
      </c>
      <c r="AB291">
        <f>IF(B291="","",IF(J291&lt;33.0,0,IF(J291&gt;=100*0.8,5,IF(J291&gt;=100*0.7,4,IF(J291&gt;=100*0.6,3.5,IF(J291&gt;=100*0.5,3,IF(J291&gt;=100*0.4,2,IF(J291&gt;=100*0.33,1,0))))))))</f>
        <v/>
      </c>
      <c r="AC291">
        <f>IF(B291="","",IF(K291&lt;33.0,0,IF(K291&gt;=100*0.8,5,IF(K291&gt;=100*0.7,4,IF(K291&gt;=100*0.6,3.5,IF(K291&gt;=100*0.5,3,IF(K291&gt;=100*0.4,2,IF(K291&gt;=100*0.33,1,0))))))))</f>
        <v/>
      </c>
      <c r="AD291">
        <f>IF(B291="","",IF(L291&lt;33.0,0,IF(L291&gt;=100*0.8,5,IF(L291&gt;=100*0.7,4,IF(L291&gt;=100*0.6,3.5,IF(L291&gt;=100*0.5,3,IF(L291&gt;=100*0.4,2,IF(L291&gt;=100*0.33,1,0))))))))</f>
        <v/>
      </c>
      <c r="AE291">
        <f>IF(B291="","",IF(M291&lt;33.0,0,IF(M291&gt;=100*0.8,5,IF(M291&gt;=100*0.7,4,IF(M291&gt;=100*0.6,3.5,IF(M291&gt;=100*0.5,3,IF(M291&gt;=100*0.4,2,IF(M291&gt;=100*0.33,1,0))))))))</f>
        <v/>
      </c>
      <c r="AF291">
        <f>IF(B291="","",IF(N291&lt;16.5,0,IF(N291&gt;=50*0.8,5,IF(N291&gt;=50*0.7,4,IF(N291&gt;=50*0.6,3.5,IF(N291&gt;=50*0.5,3,IF(N291&gt;=50*0.4,2,IF(N291&gt;=50*0.33,1,0))))))))</f>
        <v/>
      </c>
      <c r="AG291">
        <f>IF(B291="","",IF(O291&lt;33.0,0,IF(O291&gt;=100*0.8,5,IF(O291&gt;=100*0.7,4,IF(O291&gt;=100*0.6,3.5,IF(O291&gt;=100*0.5,3,IF(O291&gt;=100*0.4,2,IF(O291&gt;=100*0.33,1,0))))))))</f>
        <v/>
      </c>
      <c r="AH291">
        <f>IF(B291="","",IF(OR(U291=0,V291=0,W291=0,X291=0,Y291=0,Z291=0,AA291=0,AB291=0,AC291=0,AD291=0,AE291=0,AF291=0,AG291=0),1,0))</f>
        <v/>
      </c>
    </row>
    <row r="292">
      <c r="A292" s="3">
        <f>IF(B292="","",ROW()-2)</f>
        <v/>
      </c>
      <c r="P292" s="4">
        <f>IF(B292="","",SUM(C292:O292))</f>
        <v/>
      </c>
      <c r="Q292" s="5">
        <f>IF(B292="","",ROUND(P292/13,2))</f>
        <v/>
      </c>
      <c r="R292" s="5">
        <f>IF(B292="","",IF(AH292=1,0,MIN(5,ROUND((U292+V292+W292+X292+Y292+Z292+AA292+AB292+AC292+AD292+AE292+AF292+AG292)/13,2))))</f>
        <v/>
      </c>
      <c r="S292" s="3">
        <f>IF(B292="","",IF(R292&gt;=5,"A+",IF(R292&gt;=4,"A",IF(R292&gt;=3.5,"A-",IF(R292&gt;=3,"B",IF(R292&gt;=2,"C",IF(R292&gt;=1,"D","F")))))))</f>
        <v/>
      </c>
      <c r="T292" s="3">
        <f>IF(OR(B292="",S292="F"),"",COUNTIFS(P:P,"&gt;"&amp;P292,S:S,"&lt;&gt;F")+1)</f>
        <v/>
      </c>
      <c r="U292">
        <f>IF(B292="","",IF(C292&lt;33.0,0,IF(C292&gt;=100*0.8,5,IF(C292&gt;=100*0.7,4,IF(C292&gt;=100*0.6,3.5,IF(C292&gt;=100*0.5,3,IF(C292&gt;=100*0.4,2,IF(C292&gt;=100*0.33,1,0))))))))</f>
        <v/>
      </c>
      <c r="V292">
        <f>IF(B292="","",IF(D292&lt;33.0,0,IF(D292&gt;=100*0.8,5,IF(D292&gt;=100*0.7,4,IF(D292&gt;=100*0.6,3.5,IF(D292&gt;=100*0.5,3,IF(D292&gt;=100*0.4,2,IF(D292&gt;=100*0.33,1,0))))))))</f>
        <v/>
      </c>
      <c r="W292">
        <f>IF(B292="","",IF(E292&lt;16.5,0,IF(E292&gt;=50*0.8,5,IF(E292&gt;=50*0.7,4,IF(E292&gt;=50*0.6,3.5,IF(E292&gt;=50*0.5,3,IF(E292&gt;=50*0.4,2,IF(E292&gt;=50*0.33,1,0))))))))</f>
        <v/>
      </c>
      <c r="X292">
        <f>IF(B292="","",IF(F292&lt;33.0,0,IF(F292&gt;=100*0.8,5,IF(F292&gt;=100*0.7,4,IF(F292&gt;=100*0.6,3.5,IF(F292&gt;=100*0.5,3,IF(F292&gt;=100*0.4,2,IF(F292&gt;=100*0.33,1,0))))))))</f>
        <v/>
      </c>
      <c r="Y292">
        <f>IF(B292="","",IF(G292&lt;16.5,0,IF(G292&gt;=50*0.8,5,IF(G292&gt;=50*0.7,4,IF(G292&gt;=50*0.6,3.5,IF(G292&gt;=50*0.5,3,IF(G292&gt;=50*0.4,2,IF(G292&gt;=50*0.33,1,0))))))))</f>
        <v/>
      </c>
      <c r="Z292">
        <f>IF(B292="","",IF(H292&lt;33.0,0,IF(H292&gt;=100*0.8,5,IF(H292&gt;=100*0.7,4,IF(H292&gt;=100*0.6,3.5,IF(H292&gt;=100*0.5,3,IF(H292&gt;=100*0.4,2,IF(H292&gt;=100*0.33,1,0))))))))</f>
        <v/>
      </c>
      <c r="AA292">
        <f>IF(B292="","",IF(I292&lt;33.0,0,IF(I292&gt;=100*0.8,5,IF(I292&gt;=100*0.7,4,IF(I292&gt;=100*0.6,3.5,IF(I292&gt;=100*0.5,3,IF(I292&gt;=100*0.4,2,IF(I292&gt;=100*0.33,1,0))))))))</f>
        <v/>
      </c>
      <c r="AB292">
        <f>IF(B292="","",IF(J292&lt;33.0,0,IF(J292&gt;=100*0.8,5,IF(J292&gt;=100*0.7,4,IF(J292&gt;=100*0.6,3.5,IF(J292&gt;=100*0.5,3,IF(J292&gt;=100*0.4,2,IF(J292&gt;=100*0.33,1,0))))))))</f>
        <v/>
      </c>
      <c r="AC292">
        <f>IF(B292="","",IF(K292&lt;33.0,0,IF(K292&gt;=100*0.8,5,IF(K292&gt;=100*0.7,4,IF(K292&gt;=100*0.6,3.5,IF(K292&gt;=100*0.5,3,IF(K292&gt;=100*0.4,2,IF(K292&gt;=100*0.33,1,0))))))))</f>
        <v/>
      </c>
      <c r="AD292">
        <f>IF(B292="","",IF(L292&lt;33.0,0,IF(L292&gt;=100*0.8,5,IF(L292&gt;=100*0.7,4,IF(L292&gt;=100*0.6,3.5,IF(L292&gt;=100*0.5,3,IF(L292&gt;=100*0.4,2,IF(L292&gt;=100*0.33,1,0))))))))</f>
        <v/>
      </c>
      <c r="AE292">
        <f>IF(B292="","",IF(M292&lt;33.0,0,IF(M292&gt;=100*0.8,5,IF(M292&gt;=100*0.7,4,IF(M292&gt;=100*0.6,3.5,IF(M292&gt;=100*0.5,3,IF(M292&gt;=100*0.4,2,IF(M292&gt;=100*0.33,1,0))))))))</f>
        <v/>
      </c>
      <c r="AF292">
        <f>IF(B292="","",IF(N292&lt;16.5,0,IF(N292&gt;=50*0.8,5,IF(N292&gt;=50*0.7,4,IF(N292&gt;=50*0.6,3.5,IF(N292&gt;=50*0.5,3,IF(N292&gt;=50*0.4,2,IF(N292&gt;=50*0.33,1,0))))))))</f>
        <v/>
      </c>
      <c r="AG292">
        <f>IF(B292="","",IF(O292&lt;33.0,0,IF(O292&gt;=100*0.8,5,IF(O292&gt;=100*0.7,4,IF(O292&gt;=100*0.6,3.5,IF(O292&gt;=100*0.5,3,IF(O292&gt;=100*0.4,2,IF(O292&gt;=100*0.33,1,0))))))))</f>
        <v/>
      </c>
      <c r="AH292">
        <f>IF(B292="","",IF(OR(U292=0,V292=0,W292=0,X292=0,Y292=0,Z292=0,AA292=0,AB292=0,AC292=0,AD292=0,AE292=0,AF292=0,AG292=0),1,0))</f>
        <v/>
      </c>
    </row>
    <row r="293">
      <c r="A293" s="3">
        <f>IF(B293="","",ROW()-2)</f>
        <v/>
      </c>
      <c r="P293" s="4">
        <f>IF(B293="","",SUM(C293:O293))</f>
        <v/>
      </c>
      <c r="Q293" s="5">
        <f>IF(B293="","",ROUND(P293/13,2))</f>
        <v/>
      </c>
      <c r="R293" s="5">
        <f>IF(B293="","",IF(AH293=1,0,MIN(5,ROUND((U293+V293+W293+X293+Y293+Z293+AA293+AB293+AC293+AD293+AE293+AF293+AG293)/13,2))))</f>
        <v/>
      </c>
      <c r="S293" s="3">
        <f>IF(B293="","",IF(R293&gt;=5,"A+",IF(R293&gt;=4,"A",IF(R293&gt;=3.5,"A-",IF(R293&gt;=3,"B",IF(R293&gt;=2,"C",IF(R293&gt;=1,"D","F")))))))</f>
        <v/>
      </c>
      <c r="T293" s="3">
        <f>IF(OR(B293="",S293="F"),"",COUNTIFS(P:P,"&gt;"&amp;P293,S:S,"&lt;&gt;F")+1)</f>
        <v/>
      </c>
      <c r="U293">
        <f>IF(B293="","",IF(C293&lt;33.0,0,IF(C293&gt;=100*0.8,5,IF(C293&gt;=100*0.7,4,IF(C293&gt;=100*0.6,3.5,IF(C293&gt;=100*0.5,3,IF(C293&gt;=100*0.4,2,IF(C293&gt;=100*0.33,1,0))))))))</f>
        <v/>
      </c>
      <c r="V293">
        <f>IF(B293="","",IF(D293&lt;33.0,0,IF(D293&gt;=100*0.8,5,IF(D293&gt;=100*0.7,4,IF(D293&gt;=100*0.6,3.5,IF(D293&gt;=100*0.5,3,IF(D293&gt;=100*0.4,2,IF(D293&gt;=100*0.33,1,0))))))))</f>
        <v/>
      </c>
      <c r="W293">
        <f>IF(B293="","",IF(E293&lt;16.5,0,IF(E293&gt;=50*0.8,5,IF(E293&gt;=50*0.7,4,IF(E293&gt;=50*0.6,3.5,IF(E293&gt;=50*0.5,3,IF(E293&gt;=50*0.4,2,IF(E293&gt;=50*0.33,1,0))))))))</f>
        <v/>
      </c>
      <c r="X293">
        <f>IF(B293="","",IF(F293&lt;33.0,0,IF(F293&gt;=100*0.8,5,IF(F293&gt;=100*0.7,4,IF(F293&gt;=100*0.6,3.5,IF(F293&gt;=100*0.5,3,IF(F293&gt;=100*0.4,2,IF(F293&gt;=100*0.33,1,0))))))))</f>
        <v/>
      </c>
      <c r="Y293">
        <f>IF(B293="","",IF(G293&lt;16.5,0,IF(G293&gt;=50*0.8,5,IF(G293&gt;=50*0.7,4,IF(G293&gt;=50*0.6,3.5,IF(G293&gt;=50*0.5,3,IF(G293&gt;=50*0.4,2,IF(G293&gt;=50*0.33,1,0))))))))</f>
        <v/>
      </c>
      <c r="Z293">
        <f>IF(B293="","",IF(H293&lt;33.0,0,IF(H293&gt;=100*0.8,5,IF(H293&gt;=100*0.7,4,IF(H293&gt;=100*0.6,3.5,IF(H293&gt;=100*0.5,3,IF(H293&gt;=100*0.4,2,IF(H293&gt;=100*0.33,1,0))))))))</f>
        <v/>
      </c>
      <c r="AA293">
        <f>IF(B293="","",IF(I293&lt;33.0,0,IF(I293&gt;=100*0.8,5,IF(I293&gt;=100*0.7,4,IF(I293&gt;=100*0.6,3.5,IF(I293&gt;=100*0.5,3,IF(I293&gt;=100*0.4,2,IF(I293&gt;=100*0.33,1,0))))))))</f>
        <v/>
      </c>
      <c r="AB293">
        <f>IF(B293="","",IF(J293&lt;33.0,0,IF(J293&gt;=100*0.8,5,IF(J293&gt;=100*0.7,4,IF(J293&gt;=100*0.6,3.5,IF(J293&gt;=100*0.5,3,IF(J293&gt;=100*0.4,2,IF(J293&gt;=100*0.33,1,0))))))))</f>
        <v/>
      </c>
      <c r="AC293">
        <f>IF(B293="","",IF(K293&lt;33.0,0,IF(K293&gt;=100*0.8,5,IF(K293&gt;=100*0.7,4,IF(K293&gt;=100*0.6,3.5,IF(K293&gt;=100*0.5,3,IF(K293&gt;=100*0.4,2,IF(K293&gt;=100*0.33,1,0))))))))</f>
        <v/>
      </c>
      <c r="AD293">
        <f>IF(B293="","",IF(L293&lt;33.0,0,IF(L293&gt;=100*0.8,5,IF(L293&gt;=100*0.7,4,IF(L293&gt;=100*0.6,3.5,IF(L293&gt;=100*0.5,3,IF(L293&gt;=100*0.4,2,IF(L293&gt;=100*0.33,1,0))))))))</f>
        <v/>
      </c>
      <c r="AE293">
        <f>IF(B293="","",IF(M293&lt;33.0,0,IF(M293&gt;=100*0.8,5,IF(M293&gt;=100*0.7,4,IF(M293&gt;=100*0.6,3.5,IF(M293&gt;=100*0.5,3,IF(M293&gt;=100*0.4,2,IF(M293&gt;=100*0.33,1,0))))))))</f>
        <v/>
      </c>
      <c r="AF293">
        <f>IF(B293="","",IF(N293&lt;16.5,0,IF(N293&gt;=50*0.8,5,IF(N293&gt;=50*0.7,4,IF(N293&gt;=50*0.6,3.5,IF(N293&gt;=50*0.5,3,IF(N293&gt;=50*0.4,2,IF(N293&gt;=50*0.33,1,0))))))))</f>
        <v/>
      </c>
      <c r="AG293">
        <f>IF(B293="","",IF(O293&lt;33.0,0,IF(O293&gt;=100*0.8,5,IF(O293&gt;=100*0.7,4,IF(O293&gt;=100*0.6,3.5,IF(O293&gt;=100*0.5,3,IF(O293&gt;=100*0.4,2,IF(O293&gt;=100*0.33,1,0))))))))</f>
        <v/>
      </c>
      <c r="AH293">
        <f>IF(B293="","",IF(OR(U293=0,V293=0,W293=0,X293=0,Y293=0,Z293=0,AA293=0,AB293=0,AC293=0,AD293=0,AE293=0,AF293=0,AG293=0),1,0))</f>
        <v/>
      </c>
    </row>
    <row r="294">
      <c r="A294" s="3">
        <f>IF(B294="","",ROW()-2)</f>
        <v/>
      </c>
      <c r="P294" s="4">
        <f>IF(B294="","",SUM(C294:O294))</f>
        <v/>
      </c>
      <c r="Q294" s="5">
        <f>IF(B294="","",ROUND(P294/13,2))</f>
        <v/>
      </c>
      <c r="R294" s="5">
        <f>IF(B294="","",IF(AH294=1,0,MIN(5,ROUND((U294+V294+W294+X294+Y294+Z294+AA294+AB294+AC294+AD294+AE294+AF294+AG294)/13,2))))</f>
        <v/>
      </c>
      <c r="S294" s="3">
        <f>IF(B294="","",IF(R294&gt;=5,"A+",IF(R294&gt;=4,"A",IF(R294&gt;=3.5,"A-",IF(R294&gt;=3,"B",IF(R294&gt;=2,"C",IF(R294&gt;=1,"D","F")))))))</f>
        <v/>
      </c>
      <c r="T294" s="3">
        <f>IF(OR(B294="",S294="F"),"",COUNTIFS(P:P,"&gt;"&amp;P294,S:S,"&lt;&gt;F")+1)</f>
        <v/>
      </c>
      <c r="U294">
        <f>IF(B294="","",IF(C294&lt;33.0,0,IF(C294&gt;=100*0.8,5,IF(C294&gt;=100*0.7,4,IF(C294&gt;=100*0.6,3.5,IF(C294&gt;=100*0.5,3,IF(C294&gt;=100*0.4,2,IF(C294&gt;=100*0.33,1,0))))))))</f>
        <v/>
      </c>
      <c r="V294">
        <f>IF(B294="","",IF(D294&lt;33.0,0,IF(D294&gt;=100*0.8,5,IF(D294&gt;=100*0.7,4,IF(D294&gt;=100*0.6,3.5,IF(D294&gt;=100*0.5,3,IF(D294&gt;=100*0.4,2,IF(D294&gt;=100*0.33,1,0))))))))</f>
        <v/>
      </c>
      <c r="W294">
        <f>IF(B294="","",IF(E294&lt;16.5,0,IF(E294&gt;=50*0.8,5,IF(E294&gt;=50*0.7,4,IF(E294&gt;=50*0.6,3.5,IF(E294&gt;=50*0.5,3,IF(E294&gt;=50*0.4,2,IF(E294&gt;=50*0.33,1,0))))))))</f>
        <v/>
      </c>
      <c r="X294">
        <f>IF(B294="","",IF(F294&lt;33.0,0,IF(F294&gt;=100*0.8,5,IF(F294&gt;=100*0.7,4,IF(F294&gt;=100*0.6,3.5,IF(F294&gt;=100*0.5,3,IF(F294&gt;=100*0.4,2,IF(F294&gt;=100*0.33,1,0))))))))</f>
        <v/>
      </c>
      <c r="Y294">
        <f>IF(B294="","",IF(G294&lt;16.5,0,IF(G294&gt;=50*0.8,5,IF(G294&gt;=50*0.7,4,IF(G294&gt;=50*0.6,3.5,IF(G294&gt;=50*0.5,3,IF(G294&gt;=50*0.4,2,IF(G294&gt;=50*0.33,1,0))))))))</f>
        <v/>
      </c>
      <c r="Z294">
        <f>IF(B294="","",IF(H294&lt;33.0,0,IF(H294&gt;=100*0.8,5,IF(H294&gt;=100*0.7,4,IF(H294&gt;=100*0.6,3.5,IF(H294&gt;=100*0.5,3,IF(H294&gt;=100*0.4,2,IF(H294&gt;=100*0.33,1,0))))))))</f>
        <v/>
      </c>
      <c r="AA294">
        <f>IF(B294="","",IF(I294&lt;33.0,0,IF(I294&gt;=100*0.8,5,IF(I294&gt;=100*0.7,4,IF(I294&gt;=100*0.6,3.5,IF(I294&gt;=100*0.5,3,IF(I294&gt;=100*0.4,2,IF(I294&gt;=100*0.33,1,0))))))))</f>
        <v/>
      </c>
      <c r="AB294">
        <f>IF(B294="","",IF(J294&lt;33.0,0,IF(J294&gt;=100*0.8,5,IF(J294&gt;=100*0.7,4,IF(J294&gt;=100*0.6,3.5,IF(J294&gt;=100*0.5,3,IF(J294&gt;=100*0.4,2,IF(J294&gt;=100*0.33,1,0))))))))</f>
        <v/>
      </c>
      <c r="AC294">
        <f>IF(B294="","",IF(K294&lt;33.0,0,IF(K294&gt;=100*0.8,5,IF(K294&gt;=100*0.7,4,IF(K294&gt;=100*0.6,3.5,IF(K294&gt;=100*0.5,3,IF(K294&gt;=100*0.4,2,IF(K294&gt;=100*0.33,1,0))))))))</f>
        <v/>
      </c>
      <c r="AD294">
        <f>IF(B294="","",IF(L294&lt;33.0,0,IF(L294&gt;=100*0.8,5,IF(L294&gt;=100*0.7,4,IF(L294&gt;=100*0.6,3.5,IF(L294&gt;=100*0.5,3,IF(L294&gt;=100*0.4,2,IF(L294&gt;=100*0.33,1,0))))))))</f>
        <v/>
      </c>
      <c r="AE294">
        <f>IF(B294="","",IF(M294&lt;33.0,0,IF(M294&gt;=100*0.8,5,IF(M294&gt;=100*0.7,4,IF(M294&gt;=100*0.6,3.5,IF(M294&gt;=100*0.5,3,IF(M294&gt;=100*0.4,2,IF(M294&gt;=100*0.33,1,0))))))))</f>
        <v/>
      </c>
      <c r="AF294">
        <f>IF(B294="","",IF(N294&lt;16.5,0,IF(N294&gt;=50*0.8,5,IF(N294&gt;=50*0.7,4,IF(N294&gt;=50*0.6,3.5,IF(N294&gt;=50*0.5,3,IF(N294&gt;=50*0.4,2,IF(N294&gt;=50*0.33,1,0))))))))</f>
        <v/>
      </c>
      <c r="AG294">
        <f>IF(B294="","",IF(O294&lt;33.0,0,IF(O294&gt;=100*0.8,5,IF(O294&gt;=100*0.7,4,IF(O294&gt;=100*0.6,3.5,IF(O294&gt;=100*0.5,3,IF(O294&gt;=100*0.4,2,IF(O294&gt;=100*0.33,1,0))))))))</f>
        <v/>
      </c>
      <c r="AH294">
        <f>IF(B294="","",IF(OR(U294=0,V294=0,W294=0,X294=0,Y294=0,Z294=0,AA294=0,AB294=0,AC294=0,AD294=0,AE294=0,AF294=0,AG294=0),1,0))</f>
        <v/>
      </c>
    </row>
    <row r="295">
      <c r="A295" s="3">
        <f>IF(B295="","",ROW()-2)</f>
        <v/>
      </c>
      <c r="P295" s="4">
        <f>IF(B295="","",SUM(C295:O295))</f>
        <v/>
      </c>
      <c r="Q295" s="5">
        <f>IF(B295="","",ROUND(P295/13,2))</f>
        <v/>
      </c>
      <c r="R295" s="5">
        <f>IF(B295="","",IF(AH295=1,0,MIN(5,ROUND((U295+V295+W295+X295+Y295+Z295+AA295+AB295+AC295+AD295+AE295+AF295+AG295)/13,2))))</f>
        <v/>
      </c>
      <c r="S295" s="3">
        <f>IF(B295="","",IF(R295&gt;=5,"A+",IF(R295&gt;=4,"A",IF(R295&gt;=3.5,"A-",IF(R295&gt;=3,"B",IF(R295&gt;=2,"C",IF(R295&gt;=1,"D","F")))))))</f>
        <v/>
      </c>
      <c r="T295" s="3">
        <f>IF(OR(B295="",S295="F"),"",COUNTIFS(P:P,"&gt;"&amp;P295,S:S,"&lt;&gt;F")+1)</f>
        <v/>
      </c>
      <c r="U295">
        <f>IF(B295="","",IF(C295&lt;33.0,0,IF(C295&gt;=100*0.8,5,IF(C295&gt;=100*0.7,4,IF(C295&gt;=100*0.6,3.5,IF(C295&gt;=100*0.5,3,IF(C295&gt;=100*0.4,2,IF(C295&gt;=100*0.33,1,0))))))))</f>
        <v/>
      </c>
      <c r="V295">
        <f>IF(B295="","",IF(D295&lt;33.0,0,IF(D295&gt;=100*0.8,5,IF(D295&gt;=100*0.7,4,IF(D295&gt;=100*0.6,3.5,IF(D295&gt;=100*0.5,3,IF(D295&gt;=100*0.4,2,IF(D295&gt;=100*0.33,1,0))))))))</f>
        <v/>
      </c>
      <c r="W295">
        <f>IF(B295="","",IF(E295&lt;16.5,0,IF(E295&gt;=50*0.8,5,IF(E295&gt;=50*0.7,4,IF(E295&gt;=50*0.6,3.5,IF(E295&gt;=50*0.5,3,IF(E295&gt;=50*0.4,2,IF(E295&gt;=50*0.33,1,0))))))))</f>
        <v/>
      </c>
      <c r="X295">
        <f>IF(B295="","",IF(F295&lt;33.0,0,IF(F295&gt;=100*0.8,5,IF(F295&gt;=100*0.7,4,IF(F295&gt;=100*0.6,3.5,IF(F295&gt;=100*0.5,3,IF(F295&gt;=100*0.4,2,IF(F295&gt;=100*0.33,1,0))))))))</f>
        <v/>
      </c>
      <c r="Y295">
        <f>IF(B295="","",IF(G295&lt;16.5,0,IF(G295&gt;=50*0.8,5,IF(G295&gt;=50*0.7,4,IF(G295&gt;=50*0.6,3.5,IF(G295&gt;=50*0.5,3,IF(G295&gt;=50*0.4,2,IF(G295&gt;=50*0.33,1,0))))))))</f>
        <v/>
      </c>
      <c r="Z295">
        <f>IF(B295="","",IF(H295&lt;33.0,0,IF(H295&gt;=100*0.8,5,IF(H295&gt;=100*0.7,4,IF(H295&gt;=100*0.6,3.5,IF(H295&gt;=100*0.5,3,IF(H295&gt;=100*0.4,2,IF(H295&gt;=100*0.33,1,0))))))))</f>
        <v/>
      </c>
      <c r="AA295">
        <f>IF(B295="","",IF(I295&lt;33.0,0,IF(I295&gt;=100*0.8,5,IF(I295&gt;=100*0.7,4,IF(I295&gt;=100*0.6,3.5,IF(I295&gt;=100*0.5,3,IF(I295&gt;=100*0.4,2,IF(I295&gt;=100*0.33,1,0))))))))</f>
        <v/>
      </c>
      <c r="AB295">
        <f>IF(B295="","",IF(J295&lt;33.0,0,IF(J295&gt;=100*0.8,5,IF(J295&gt;=100*0.7,4,IF(J295&gt;=100*0.6,3.5,IF(J295&gt;=100*0.5,3,IF(J295&gt;=100*0.4,2,IF(J295&gt;=100*0.33,1,0))))))))</f>
        <v/>
      </c>
      <c r="AC295">
        <f>IF(B295="","",IF(K295&lt;33.0,0,IF(K295&gt;=100*0.8,5,IF(K295&gt;=100*0.7,4,IF(K295&gt;=100*0.6,3.5,IF(K295&gt;=100*0.5,3,IF(K295&gt;=100*0.4,2,IF(K295&gt;=100*0.33,1,0))))))))</f>
        <v/>
      </c>
      <c r="AD295">
        <f>IF(B295="","",IF(L295&lt;33.0,0,IF(L295&gt;=100*0.8,5,IF(L295&gt;=100*0.7,4,IF(L295&gt;=100*0.6,3.5,IF(L295&gt;=100*0.5,3,IF(L295&gt;=100*0.4,2,IF(L295&gt;=100*0.33,1,0))))))))</f>
        <v/>
      </c>
      <c r="AE295">
        <f>IF(B295="","",IF(M295&lt;33.0,0,IF(M295&gt;=100*0.8,5,IF(M295&gt;=100*0.7,4,IF(M295&gt;=100*0.6,3.5,IF(M295&gt;=100*0.5,3,IF(M295&gt;=100*0.4,2,IF(M295&gt;=100*0.33,1,0))))))))</f>
        <v/>
      </c>
      <c r="AF295">
        <f>IF(B295="","",IF(N295&lt;16.5,0,IF(N295&gt;=50*0.8,5,IF(N295&gt;=50*0.7,4,IF(N295&gt;=50*0.6,3.5,IF(N295&gt;=50*0.5,3,IF(N295&gt;=50*0.4,2,IF(N295&gt;=50*0.33,1,0))))))))</f>
        <v/>
      </c>
      <c r="AG295">
        <f>IF(B295="","",IF(O295&lt;33.0,0,IF(O295&gt;=100*0.8,5,IF(O295&gt;=100*0.7,4,IF(O295&gt;=100*0.6,3.5,IF(O295&gt;=100*0.5,3,IF(O295&gt;=100*0.4,2,IF(O295&gt;=100*0.33,1,0))))))))</f>
        <v/>
      </c>
      <c r="AH295">
        <f>IF(B295="","",IF(OR(U295=0,V295=0,W295=0,X295=0,Y295=0,Z295=0,AA295=0,AB295=0,AC295=0,AD295=0,AE295=0,AF295=0,AG295=0),1,0))</f>
        <v/>
      </c>
    </row>
    <row r="296">
      <c r="A296" s="3">
        <f>IF(B296="","",ROW()-2)</f>
        <v/>
      </c>
      <c r="P296" s="4">
        <f>IF(B296="","",SUM(C296:O296))</f>
        <v/>
      </c>
      <c r="Q296" s="5">
        <f>IF(B296="","",ROUND(P296/13,2))</f>
        <v/>
      </c>
      <c r="R296" s="5">
        <f>IF(B296="","",IF(AH296=1,0,MIN(5,ROUND((U296+V296+W296+X296+Y296+Z296+AA296+AB296+AC296+AD296+AE296+AF296+AG296)/13,2))))</f>
        <v/>
      </c>
      <c r="S296" s="3">
        <f>IF(B296="","",IF(R296&gt;=5,"A+",IF(R296&gt;=4,"A",IF(R296&gt;=3.5,"A-",IF(R296&gt;=3,"B",IF(R296&gt;=2,"C",IF(R296&gt;=1,"D","F")))))))</f>
        <v/>
      </c>
      <c r="T296" s="3">
        <f>IF(OR(B296="",S296="F"),"",COUNTIFS(P:P,"&gt;"&amp;P296,S:S,"&lt;&gt;F")+1)</f>
        <v/>
      </c>
      <c r="U296">
        <f>IF(B296="","",IF(C296&lt;33.0,0,IF(C296&gt;=100*0.8,5,IF(C296&gt;=100*0.7,4,IF(C296&gt;=100*0.6,3.5,IF(C296&gt;=100*0.5,3,IF(C296&gt;=100*0.4,2,IF(C296&gt;=100*0.33,1,0))))))))</f>
        <v/>
      </c>
      <c r="V296">
        <f>IF(B296="","",IF(D296&lt;33.0,0,IF(D296&gt;=100*0.8,5,IF(D296&gt;=100*0.7,4,IF(D296&gt;=100*0.6,3.5,IF(D296&gt;=100*0.5,3,IF(D296&gt;=100*0.4,2,IF(D296&gt;=100*0.33,1,0))))))))</f>
        <v/>
      </c>
      <c r="W296">
        <f>IF(B296="","",IF(E296&lt;16.5,0,IF(E296&gt;=50*0.8,5,IF(E296&gt;=50*0.7,4,IF(E296&gt;=50*0.6,3.5,IF(E296&gt;=50*0.5,3,IF(E296&gt;=50*0.4,2,IF(E296&gt;=50*0.33,1,0))))))))</f>
        <v/>
      </c>
      <c r="X296">
        <f>IF(B296="","",IF(F296&lt;33.0,0,IF(F296&gt;=100*0.8,5,IF(F296&gt;=100*0.7,4,IF(F296&gt;=100*0.6,3.5,IF(F296&gt;=100*0.5,3,IF(F296&gt;=100*0.4,2,IF(F296&gt;=100*0.33,1,0))))))))</f>
        <v/>
      </c>
      <c r="Y296">
        <f>IF(B296="","",IF(G296&lt;16.5,0,IF(G296&gt;=50*0.8,5,IF(G296&gt;=50*0.7,4,IF(G296&gt;=50*0.6,3.5,IF(G296&gt;=50*0.5,3,IF(G296&gt;=50*0.4,2,IF(G296&gt;=50*0.33,1,0))))))))</f>
        <v/>
      </c>
      <c r="Z296">
        <f>IF(B296="","",IF(H296&lt;33.0,0,IF(H296&gt;=100*0.8,5,IF(H296&gt;=100*0.7,4,IF(H296&gt;=100*0.6,3.5,IF(H296&gt;=100*0.5,3,IF(H296&gt;=100*0.4,2,IF(H296&gt;=100*0.33,1,0))))))))</f>
        <v/>
      </c>
      <c r="AA296">
        <f>IF(B296="","",IF(I296&lt;33.0,0,IF(I296&gt;=100*0.8,5,IF(I296&gt;=100*0.7,4,IF(I296&gt;=100*0.6,3.5,IF(I296&gt;=100*0.5,3,IF(I296&gt;=100*0.4,2,IF(I296&gt;=100*0.33,1,0))))))))</f>
        <v/>
      </c>
      <c r="AB296">
        <f>IF(B296="","",IF(J296&lt;33.0,0,IF(J296&gt;=100*0.8,5,IF(J296&gt;=100*0.7,4,IF(J296&gt;=100*0.6,3.5,IF(J296&gt;=100*0.5,3,IF(J296&gt;=100*0.4,2,IF(J296&gt;=100*0.33,1,0))))))))</f>
        <v/>
      </c>
      <c r="AC296">
        <f>IF(B296="","",IF(K296&lt;33.0,0,IF(K296&gt;=100*0.8,5,IF(K296&gt;=100*0.7,4,IF(K296&gt;=100*0.6,3.5,IF(K296&gt;=100*0.5,3,IF(K296&gt;=100*0.4,2,IF(K296&gt;=100*0.33,1,0))))))))</f>
        <v/>
      </c>
      <c r="AD296">
        <f>IF(B296="","",IF(L296&lt;33.0,0,IF(L296&gt;=100*0.8,5,IF(L296&gt;=100*0.7,4,IF(L296&gt;=100*0.6,3.5,IF(L296&gt;=100*0.5,3,IF(L296&gt;=100*0.4,2,IF(L296&gt;=100*0.33,1,0))))))))</f>
        <v/>
      </c>
      <c r="AE296">
        <f>IF(B296="","",IF(M296&lt;33.0,0,IF(M296&gt;=100*0.8,5,IF(M296&gt;=100*0.7,4,IF(M296&gt;=100*0.6,3.5,IF(M296&gt;=100*0.5,3,IF(M296&gt;=100*0.4,2,IF(M296&gt;=100*0.33,1,0))))))))</f>
        <v/>
      </c>
      <c r="AF296">
        <f>IF(B296="","",IF(N296&lt;16.5,0,IF(N296&gt;=50*0.8,5,IF(N296&gt;=50*0.7,4,IF(N296&gt;=50*0.6,3.5,IF(N296&gt;=50*0.5,3,IF(N296&gt;=50*0.4,2,IF(N296&gt;=50*0.33,1,0))))))))</f>
        <v/>
      </c>
      <c r="AG296">
        <f>IF(B296="","",IF(O296&lt;33.0,0,IF(O296&gt;=100*0.8,5,IF(O296&gt;=100*0.7,4,IF(O296&gt;=100*0.6,3.5,IF(O296&gt;=100*0.5,3,IF(O296&gt;=100*0.4,2,IF(O296&gt;=100*0.33,1,0))))))))</f>
        <v/>
      </c>
      <c r="AH296">
        <f>IF(B296="","",IF(OR(U296=0,V296=0,W296=0,X296=0,Y296=0,Z296=0,AA296=0,AB296=0,AC296=0,AD296=0,AE296=0,AF296=0,AG296=0),1,0))</f>
        <v/>
      </c>
    </row>
    <row r="297">
      <c r="A297" s="3">
        <f>IF(B297="","",ROW()-2)</f>
        <v/>
      </c>
      <c r="P297" s="4">
        <f>IF(B297="","",SUM(C297:O297))</f>
        <v/>
      </c>
      <c r="Q297" s="5">
        <f>IF(B297="","",ROUND(P297/13,2))</f>
        <v/>
      </c>
      <c r="R297" s="5">
        <f>IF(B297="","",IF(AH297=1,0,MIN(5,ROUND((U297+V297+W297+X297+Y297+Z297+AA297+AB297+AC297+AD297+AE297+AF297+AG297)/13,2))))</f>
        <v/>
      </c>
      <c r="S297" s="3">
        <f>IF(B297="","",IF(R297&gt;=5,"A+",IF(R297&gt;=4,"A",IF(R297&gt;=3.5,"A-",IF(R297&gt;=3,"B",IF(R297&gt;=2,"C",IF(R297&gt;=1,"D","F")))))))</f>
        <v/>
      </c>
      <c r="T297" s="3">
        <f>IF(OR(B297="",S297="F"),"",COUNTIFS(P:P,"&gt;"&amp;P297,S:S,"&lt;&gt;F")+1)</f>
        <v/>
      </c>
      <c r="U297">
        <f>IF(B297="","",IF(C297&lt;33.0,0,IF(C297&gt;=100*0.8,5,IF(C297&gt;=100*0.7,4,IF(C297&gt;=100*0.6,3.5,IF(C297&gt;=100*0.5,3,IF(C297&gt;=100*0.4,2,IF(C297&gt;=100*0.33,1,0))))))))</f>
        <v/>
      </c>
      <c r="V297">
        <f>IF(B297="","",IF(D297&lt;33.0,0,IF(D297&gt;=100*0.8,5,IF(D297&gt;=100*0.7,4,IF(D297&gt;=100*0.6,3.5,IF(D297&gt;=100*0.5,3,IF(D297&gt;=100*0.4,2,IF(D297&gt;=100*0.33,1,0))))))))</f>
        <v/>
      </c>
      <c r="W297">
        <f>IF(B297="","",IF(E297&lt;16.5,0,IF(E297&gt;=50*0.8,5,IF(E297&gt;=50*0.7,4,IF(E297&gt;=50*0.6,3.5,IF(E297&gt;=50*0.5,3,IF(E297&gt;=50*0.4,2,IF(E297&gt;=50*0.33,1,0))))))))</f>
        <v/>
      </c>
      <c r="X297">
        <f>IF(B297="","",IF(F297&lt;33.0,0,IF(F297&gt;=100*0.8,5,IF(F297&gt;=100*0.7,4,IF(F297&gt;=100*0.6,3.5,IF(F297&gt;=100*0.5,3,IF(F297&gt;=100*0.4,2,IF(F297&gt;=100*0.33,1,0))))))))</f>
        <v/>
      </c>
      <c r="Y297">
        <f>IF(B297="","",IF(G297&lt;16.5,0,IF(G297&gt;=50*0.8,5,IF(G297&gt;=50*0.7,4,IF(G297&gt;=50*0.6,3.5,IF(G297&gt;=50*0.5,3,IF(G297&gt;=50*0.4,2,IF(G297&gt;=50*0.33,1,0))))))))</f>
        <v/>
      </c>
      <c r="Z297">
        <f>IF(B297="","",IF(H297&lt;33.0,0,IF(H297&gt;=100*0.8,5,IF(H297&gt;=100*0.7,4,IF(H297&gt;=100*0.6,3.5,IF(H297&gt;=100*0.5,3,IF(H297&gt;=100*0.4,2,IF(H297&gt;=100*0.33,1,0))))))))</f>
        <v/>
      </c>
      <c r="AA297">
        <f>IF(B297="","",IF(I297&lt;33.0,0,IF(I297&gt;=100*0.8,5,IF(I297&gt;=100*0.7,4,IF(I297&gt;=100*0.6,3.5,IF(I297&gt;=100*0.5,3,IF(I297&gt;=100*0.4,2,IF(I297&gt;=100*0.33,1,0))))))))</f>
        <v/>
      </c>
      <c r="AB297">
        <f>IF(B297="","",IF(J297&lt;33.0,0,IF(J297&gt;=100*0.8,5,IF(J297&gt;=100*0.7,4,IF(J297&gt;=100*0.6,3.5,IF(J297&gt;=100*0.5,3,IF(J297&gt;=100*0.4,2,IF(J297&gt;=100*0.33,1,0))))))))</f>
        <v/>
      </c>
      <c r="AC297">
        <f>IF(B297="","",IF(K297&lt;33.0,0,IF(K297&gt;=100*0.8,5,IF(K297&gt;=100*0.7,4,IF(K297&gt;=100*0.6,3.5,IF(K297&gt;=100*0.5,3,IF(K297&gt;=100*0.4,2,IF(K297&gt;=100*0.33,1,0))))))))</f>
        <v/>
      </c>
      <c r="AD297">
        <f>IF(B297="","",IF(L297&lt;33.0,0,IF(L297&gt;=100*0.8,5,IF(L297&gt;=100*0.7,4,IF(L297&gt;=100*0.6,3.5,IF(L297&gt;=100*0.5,3,IF(L297&gt;=100*0.4,2,IF(L297&gt;=100*0.33,1,0))))))))</f>
        <v/>
      </c>
      <c r="AE297">
        <f>IF(B297="","",IF(M297&lt;33.0,0,IF(M297&gt;=100*0.8,5,IF(M297&gt;=100*0.7,4,IF(M297&gt;=100*0.6,3.5,IF(M297&gt;=100*0.5,3,IF(M297&gt;=100*0.4,2,IF(M297&gt;=100*0.33,1,0))))))))</f>
        <v/>
      </c>
      <c r="AF297">
        <f>IF(B297="","",IF(N297&lt;16.5,0,IF(N297&gt;=50*0.8,5,IF(N297&gt;=50*0.7,4,IF(N297&gt;=50*0.6,3.5,IF(N297&gt;=50*0.5,3,IF(N297&gt;=50*0.4,2,IF(N297&gt;=50*0.33,1,0))))))))</f>
        <v/>
      </c>
      <c r="AG297">
        <f>IF(B297="","",IF(O297&lt;33.0,0,IF(O297&gt;=100*0.8,5,IF(O297&gt;=100*0.7,4,IF(O297&gt;=100*0.6,3.5,IF(O297&gt;=100*0.5,3,IF(O297&gt;=100*0.4,2,IF(O297&gt;=100*0.33,1,0))))))))</f>
        <v/>
      </c>
      <c r="AH297">
        <f>IF(B297="","",IF(OR(U297=0,V297=0,W297=0,X297=0,Y297=0,Z297=0,AA297=0,AB297=0,AC297=0,AD297=0,AE297=0,AF297=0,AG297=0),1,0))</f>
        <v/>
      </c>
    </row>
    <row r="298">
      <c r="A298" s="3">
        <f>IF(B298="","",ROW()-2)</f>
        <v/>
      </c>
      <c r="P298" s="4">
        <f>IF(B298="","",SUM(C298:O298))</f>
        <v/>
      </c>
      <c r="Q298" s="5">
        <f>IF(B298="","",ROUND(P298/13,2))</f>
        <v/>
      </c>
      <c r="R298" s="5">
        <f>IF(B298="","",IF(AH298=1,0,MIN(5,ROUND((U298+V298+W298+X298+Y298+Z298+AA298+AB298+AC298+AD298+AE298+AF298+AG298)/13,2))))</f>
        <v/>
      </c>
      <c r="S298" s="3">
        <f>IF(B298="","",IF(R298&gt;=5,"A+",IF(R298&gt;=4,"A",IF(R298&gt;=3.5,"A-",IF(R298&gt;=3,"B",IF(R298&gt;=2,"C",IF(R298&gt;=1,"D","F")))))))</f>
        <v/>
      </c>
      <c r="T298" s="3">
        <f>IF(OR(B298="",S298="F"),"",COUNTIFS(P:P,"&gt;"&amp;P298,S:S,"&lt;&gt;F")+1)</f>
        <v/>
      </c>
      <c r="U298">
        <f>IF(B298="","",IF(C298&lt;33.0,0,IF(C298&gt;=100*0.8,5,IF(C298&gt;=100*0.7,4,IF(C298&gt;=100*0.6,3.5,IF(C298&gt;=100*0.5,3,IF(C298&gt;=100*0.4,2,IF(C298&gt;=100*0.33,1,0))))))))</f>
        <v/>
      </c>
      <c r="V298">
        <f>IF(B298="","",IF(D298&lt;33.0,0,IF(D298&gt;=100*0.8,5,IF(D298&gt;=100*0.7,4,IF(D298&gt;=100*0.6,3.5,IF(D298&gt;=100*0.5,3,IF(D298&gt;=100*0.4,2,IF(D298&gt;=100*0.33,1,0))))))))</f>
        <v/>
      </c>
      <c r="W298">
        <f>IF(B298="","",IF(E298&lt;16.5,0,IF(E298&gt;=50*0.8,5,IF(E298&gt;=50*0.7,4,IF(E298&gt;=50*0.6,3.5,IF(E298&gt;=50*0.5,3,IF(E298&gt;=50*0.4,2,IF(E298&gt;=50*0.33,1,0))))))))</f>
        <v/>
      </c>
      <c r="X298">
        <f>IF(B298="","",IF(F298&lt;33.0,0,IF(F298&gt;=100*0.8,5,IF(F298&gt;=100*0.7,4,IF(F298&gt;=100*0.6,3.5,IF(F298&gt;=100*0.5,3,IF(F298&gt;=100*0.4,2,IF(F298&gt;=100*0.33,1,0))))))))</f>
        <v/>
      </c>
      <c r="Y298">
        <f>IF(B298="","",IF(G298&lt;16.5,0,IF(G298&gt;=50*0.8,5,IF(G298&gt;=50*0.7,4,IF(G298&gt;=50*0.6,3.5,IF(G298&gt;=50*0.5,3,IF(G298&gt;=50*0.4,2,IF(G298&gt;=50*0.33,1,0))))))))</f>
        <v/>
      </c>
      <c r="Z298">
        <f>IF(B298="","",IF(H298&lt;33.0,0,IF(H298&gt;=100*0.8,5,IF(H298&gt;=100*0.7,4,IF(H298&gt;=100*0.6,3.5,IF(H298&gt;=100*0.5,3,IF(H298&gt;=100*0.4,2,IF(H298&gt;=100*0.33,1,0))))))))</f>
        <v/>
      </c>
      <c r="AA298">
        <f>IF(B298="","",IF(I298&lt;33.0,0,IF(I298&gt;=100*0.8,5,IF(I298&gt;=100*0.7,4,IF(I298&gt;=100*0.6,3.5,IF(I298&gt;=100*0.5,3,IF(I298&gt;=100*0.4,2,IF(I298&gt;=100*0.33,1,0))))))))</f>
        <v/>
      </c>
      <c r="AB298">
        <f>IF(B298="","",IF(J298&lt;33.0,0,IF(J298&gt;=100*0.8,5,IF(J298&gt;=100*0.7,4,IF(J298&gt;=100*0.6,3.5,IF(J298&gt;=100*0.5,3,IF(J298&gt;=100*0.4,2,IF(J298&gt;=100*0.33,1,0))))))))</f>
        <v/>
      </c>
      <c r="AC298">
        <f>IF(B298="","",IF(K298&lt;33.0,0,IF(K298&gt;=100*0.8,5,IF(K298&gt;=100*0.7,4,IF(K298&gt;=100*0.6,3.5,IF(K298&gt;=100*0.5,3,IF(K298&gt;=100*0.4,2,IF(K298&gt;=100*0.33,1,0))))))))</f>
        <v/>
      </c>
      <c r="AD298">
        <f>IF(B298="","",IF(L298&lt;33.0,0,IF(L298&gt;=100*0.8,5,IF(L298&gt;=100*0.7,4,IF(L298&gt;=100*0.6,3.5,IF(L298&gt;=100*0.5,3,IF(L298&gt;=100*0.4,2,IF(L298&gt;=100*0.33,1,0))))))))</f>
        <v/>
      </c>
      <c r="AE298">
        <f>IF(B298="","",IF(M298&lt;33.0,0,IF(M298&gt;=100*0.8,5,IF(M298&gt;=100*0.7,4,IF(M298&gt;=100*0.6,3.5,IF(M298&gt;=100*0.5,3,IF(M298&gt;=100*0.4,2,IF(M298&gt;=100*0.33,1,0))))))))</f>
        <v/>
      </c>
      <c r="AF298">
        <f>IF(B298="","",IF(N298&lt;16.5,0,IF(N298&gt;=50*0.8,5,IF(N298&gt;=50*0.7,4,IF(N298&gt;=50*0.6,3.5,IF(N298&gt;=50*0.5,3,IF(N298&gt;=50*0.4,2,IF(N298&gt;=50*0.33,1,0))))))))</f>
        <v/>
      </c>
      <c r="AG298">
        <f>IF(B298="","",IF(O298&lt;33.0,0,IF(O298&gt;=100*0.8,5,IF(O298&gt;=100*0.7,4,IF(O298&gt;=100*0.6,3.5,IF(O298&gt;=100*0.5,3,IF(O298&gt;=100*0.4,2,IF(O298&gt;=100*0.33,1,0))))))))</f>
        <v/>
      </c>
      <c r="AH298">
        <f>IF(B298="","",IF(OR(U298=0,V298=0,W298=0,X298=0,Y298=0,Z298=0,AA298=0,AB298=0,AC298=0,AD298=0,AE298=0,AF298=0,AG298=0),1,0))</f>
        <v/>
      </c>
    </row>
    <row r="299">
      <c r="A299" s="3">
        <f>IF(B299="","",ROW()-2)</f>
        <v/>
      </c>
      <c r="P299" s="4">
        <f>IF(B299="","",SUM(C299:O299))</f>
        <v/>
      </c>
      <c r="Q299" s="5">
        <f>IF(B299="","",ROUND(P299/13,2))</f>
        <v/>
      </c>
      <c r="R299" s="5">
        <f>IF(B299="","",IF(AH299=1,0,MIN(5,ROUND((U299+V299+W299+X299+Y299+Z299+AA299+AB299+AC299+AD299+AE299+AF299+AG299)/13,2))))</f>
        <v/>
      </c>
      <c r="S299" s="3">
        <f>IF(B299="","",IF(R299&gt;=5,"A+",IF(R299&gt;=4,"A",IF(R299&gt;=3.5,"A-",IF(R299&gt;=3,"B",IF(R299&gt;=2,"C",IF(R299&gt;=1,"D","F")))))))</f>
        <v/>
      </c>
      <c r="T299" s="3">
        <f>IF(OR(B299="",S299="F"),"",COUNTIFS(P:P,"&gt;"&amp;P299,S:S,"&lt;&gt;F")+1)</f>
        <v/>
      </c>
      <c r="U299">
        <f>IF(B299="","",IF(C299&lt;33.0,0,IF(C299&gt;=100*0.8,5,IF(C299&gt;=100*0.7,4,IF(C299&gt;=100*0.6,3.5,IF(C299&gt;=100*0.5,3,IF(C299&gt;=100*0.4,2,IF(C299&gt;=100*0.33,1,0))))))))</f>
        <v/>
      </c>
      <c r="V299">
        <f>IF(B299="","",IF(D299&lt;33.0,0,IF(D299&gt;=100*0.8,5,IF(D299&gt;=100*0.7,4,IF(D299&gt;=100*0.6,3.5,IF(D299&gt;=100*0.5,3,IF(D299&gt;=100*0.4,2,IF(D299&gt;=100*0.33,1,0))))))))</f>
        <v/>
      </c>
      <c r="W299">
        <f>IF(B299="","",IF(E299&lt;16.5,0,IF(E299&gt;=50*0.8,5,IF(E299&gt;=50*0.7,4,IF(E299&gt;=50*0.6,3.5,IF(E299&gt;=50*0.5,3,IF(E299&gt;=50*0.4,2,IF(E299&gt;=50*0.33,1,0))))))))</f>
        <v/>
      </c>
      <c r="X299">
        <f>IF(B299="","",IF(F299&lt;33.0,0,IF(F299&gt;=100*0.8,5,IF(F299&gt;=100*0.7,4,IF(F299&gt;=100*0.6,3.5,IF(F299&gt;=100*0.5,3,IF(F299&gt;=100*0.4,2,IF(F299&gt;=100*0.33,1,0))))))))</f>
        <v/>
      </c>
      <c r="Y299">
        <f>IF(B299="","",IF(G299&lt;16.5,0,IF(G299&gt;=50*0.8,5,IF(G299&gt;=50*0.7,4,IF(G299&gt;=50*0.6,3.5,IF(G299&gt;=50*0.5,3,IF(G299&gt;=50*0.4,2,IF(G299&gt;=50*0.33,1,0))))))))</f>
        <v/>
      </c>
      <c r="Z299">
        <f>IF(B299="","",IF(H299&lt;33.0,0,IF(H299&gt;=100*0.8,5,IF(H299&gt;=100*0.7,4,IF(H299&gt;=100*0.6,3.5,IF(H299&gt;=100*0.5,3,IF(H299&gt;=100*0.4,2,IF(H299&gt;=100*0.33,1,0))))))))</f>
        <v/>
      </c>
      <c r="AA299">
        <f>IF(B299="","",IF(I299&lt;33.0,0,IF(I299&gt;=100*0.8,5,IF(I299&gt;=100*0.7,4,IF(I299&gt;=100*0.6,3.5,IF(I299&gt;=100*0.5,3,IF(I299&gt;=100*0.4,2,IF(I299&gt;=100*0.33,1,0))))))))</f>
        <v/>
      </c>
      <c r="AB299">
        <f>IF(B299="","",IF(J299&lt;33.0,0,IF(J299&gt;=100*0.8,5,IF(J299&gt;=100*0.7,4,IF(J299&gt;=100*0.6,3.5,IF(J299&gt;=100*0.5,3,IF(J299&gt;=100*0.4,2,IF(J299&gt;=100*0.33,1,0))))))))</f>
        <v/>
      </c>
      <c r="AC299">
        <f>IF(B299="","",IF(K299&lt;33.0,0,IF(K299&gt;=100*0.8,5,IF(K299&gt;=100*0.7,4,IF(K299&gt;=100*0.6,3.5,IF(K299&gt;=100*0.5,3,IF(K299&gt;=100*0.4,2,IF(K299&gt;=100*0.33,1,0))))))))</f>
        <v/>
      </c>
      <c r="AD299">
        <f>IF(B299="","",IF(L299&lt;33.0,0,IF(L299&gt;=100*0.8,5,IF(L299&gt;=100*0.7,4,IF(L299&gt;=100*0.6,3.5,IF(L299&gt;=100*0.5,3,IF(L299&gt;=100*0.4,2,IF(L299&gt;=100*0.33,1,0))))))))</f>
        <v/>
      </c>
      <c r="AE299">
        <f>IF(B299="","",IF(M299&lt;33.0,0,IF(M299&gt;=100*0.8,5,IF(M299&gt;=100*0.7,4,IF(M299&gt;=100*0.6,3.5,IF(M299&gt;=100*0.5,3,IF(M299&gt;=100*0.4,2,IF(M299&gt;=100*0.33,1,0))))))))</f>
        <v/>
      </c>
      <c r="AF299">
        <f>IF(B299="","",IF(N299&lt;16.5,0,IF(N299&gt;=50*0.8,5,IF(N299&gt;=50*0.7,4,IF(N299&gt;=50*0.6,3.5,IF(N299&gt;=50*0.5,3,IF(N299&gt;=50*0.4,2,IF(N299&gt;=50*0.33,1,0))))))))</f>
        <v/>
      </c>
      <c r="AG299">
        <f>IF(B299="","",IF(O299&lt;33.0,0,IF(O299&gt;=100*0.8,5,IF(O299&gt;=100*0.7,4,IF(O299&gt;=100*0.6,3.5,IF(O299&gt;=100*0.5,3,IF(O299&gt;=100*0.4,2,IF(O299&gt;=100*0.33,1,0))))))))</f>
        <v/>
      </c>
      <c r="AH299">
        <f>IF(B299="","",IF(OR(U299=0,V299=0,W299=0,X299=0,Y299=0,Z299=0,AA299=0,AB299=0,AC299=0,AD299=0,AE299=0,AF299=0,AG299=0),1,0))</f>
        <v/>
      </c>
    </row>
    <row r="300">
      <c r="A300" s="3">
        <f>IF(B300="","",ROW()-2)</f>
        <v/>
      </c>
      <c r="P300" s="4">
        <f>IF(B300="","",SUM(C300:O300))</f>
        <v/>
      </c>
      <c r="Q300" s="5">
        <f>IF(B300="","",ROUND(P300/13,2))</f>
        <v/>
      </c>
      <c r="R300" s="5">
        <f>IF(B300="","",IF(AH300=1,0,MIN(5,ROUND((U300+V300+W300+X300+Y300+Z300+AA300+AB300+AC300+AD300+AE300+AF300+AG300)/13,2))))</f>
        <v/>
      </c>
      <c r="S300" s="3">
        <f>IF(B300="","",IF(R300&gt;=5,"A+",IF(R300&gt;=4,"A",IF(R300&gt;=3.5,"A-",IF(R300&gt;=3,"B",IF(R300&gt;=2,"C",IF(R300&gt;=1,"D","F")))))))</f>
        <v/>
      </c>
      <c r="T300" s="3">
        <f>IF(OR(B300="",S300="F"),"",COUNTIFS(P:P,"&gt;"&amp;P300,S:S,"&lt;&gt;F")+1)</f>
        <v/>
      </c>
      <c r="U300">
        <f>IF(B300="","",IF(C300&lt;33.0,0,IF(C300&gt;=100*0.8,5,IF(C300&gt;=100*0.7,4,IF(C300&gt;=100*0.6,3.5,IF(C300&gt;=100*0.5,3,IF(C300&gt;=100*0.4,2,IF(C300&gt;=100*0.33,1,0))))))))</f>
        <v/>
      </c>
      <c r="V300">
        <f>IF(B300="","",IF(D300&lt;33.0,0,IF(D300&gt;=100*0.8,5,IF(D300&gt;=100*0.7,4,IF(D300&gt;=100*0.6,3.5,IF(D300&gt;=100*0.5,3,IF(D300&gt;=100*0.4,2,IF(D300&gt;=100*0.33,1,0))))))))</f>
        <v/>
      </c>
      <c r="W300">
        <f>IF(B300="","",IF(E300&lt;16.5,0,IF(E300&gt;=50*0.8,5,IF(E300&gt;=50*0.7,4,IF(E300&gt;=50*0.6,3.5,IF(E300&gt;=50*0.5,3,IF(E300&gt;=50*0.4,2,IF(E300&gt;=50*0.33,1,0))))))))</f>
        <v/>
      </c>
      <c r="X300">
        <f>IF(B300="","",IF(F300&lt;33.0,0,IF(F300&gt;=100*0.8,5,IF(F300&gt;=100*0.7,4,IF(F300&gt;=100*0.6,3.5,IF(F300&gt;=100*0.5,3,IF(F300&gt;=100*0.4,2,IF(F300&gt;=100*0.33,1,0))))))))</f>
        <v/>
      </c>
      <c r="Y300">
        <f>IF(B300="","",IF(G300&lt;16.5,0,IF(G300&gt;=50*0.8,5,IF(G300&gt;=50*0.7,4,IF(G300&gt;=50*0.6,3.5,IF(G300&gt;=50*0.5,3,IF(G300&gt;=50*0.4,2,IF(G300&gt;=50*0.33,1,0))))))))</f>
        <v/>
      </c>
      <c r="Z300">
        <f>IF(B300="","",IF(H300&lt;33.0,0,IF(H300&gt;=100*0.8,5,IF(H300&gt;=100*0.7,4,IF(H300&gt;=100*0.6,3.5,IF(H300&gt;=100*0.5,3,IF(H300&gt;=100*0.4,2,IF(H300&gt;=100*0.33,1,0))))))))</f>
        <v/>
      </c>
      <c r="AA300">
        <f>IF(B300="","",IF(I300&lt;33.0,0,IF(I300&gt;=100*0.8,5,IF(I300&gt;=100*0.7,4,IF(I300&gt;=100*0.6,3.5,IF(I300&gt;=100*0.5,3,IF(I300&gt;=100*0.4,2,IF(I300&gt;=100*0.33,1,0))))))))</f>
        <v/>
      </c>
      <c r="AB300">
        <f>IF(B300="","",IF(J300&lt;33.0,0,IF(J300&gt;=100*0.8,5,IF(J300&gt;=100*0.7,4,IF(J300&gt;=100*0.6,3.5,IF(J300&gt;=100*0.5,3,IF(J300&gt;=100*0.4,2,IF(J300&gt;=100*0.33,1,0))))))))</f>
        <v/>
      </c>
      <c r="AC300">
        <f>IF(B300="","",IF(K300&lt;33.0,0,IF(K300&gt;=100*0.8,5,IF(K300&gt;=100*0.7,4,IF(K300&gt;=100*0.6,3.5,IF(K300&gt;=100*0.5,3,IF(K300&gt;=100*0.4,2,IF(K300&gt;=100*0.33,1,0))))))))</f>
        <v/>
      </c>
      <c r="AD300">
        <f>IF(B300="","",IF(L300&lt;33.0,0,IF(L300&gt;=100*0.8,5,IF(L300&gt;=100*0.7,4,IF(L300&gt;=100*0.6,3.5,IF(L300&gt;=100*0.5,3,IF(L300&gt;=100*0.4,2,IF(L300&gt;=100*0.33,1,0))))))))</f>
        <v/>
      </c>
      <c r="AE300">
        <f>IF(B300="","",IF(M300&lt;33.0,0,IF(M300&gt;=100*0.8,5,IF(M300&gt;=100*0.7,4,IF(M300&gt;=100*0.6,3.5,IF(M300&gt;=100*0.5,3,IF(M300&gt;=100*0.4,2,IF(M300&gt;=100*0.33,1,0))))))))</f>
        <v/>
      </c>
      <c r="AF300">
        <f>IF(B300="","",IF(N300&lt;16.5,0,IF(N300&gt;=50*0.8,5,IF(N300&gt;=50*0.7,4,IF(N300&gt;=50*0.6,3.5,IF(N300&gt;=50*0.5,3,IF(N300&gt;=50*0.4,2,IF(N300&gt;=50*0.33,1,0))))))))</f>
        <v/>
      </c>
      <c r="AG300">
        <f>IF(B300="","",IF(O300&lt;33.0,0,IF(O300&gt;=100*0.8,5,IF(O300&gt;=100*0.7,4,IF(O300&gt;=100*0.6,3.5,IF(O300&gt;=100*0.5,3,IF(O300&gt;=100*0.4,2,IF(O300&gt;=100*0.33,1,0))))))))</f>
        <v/>
      </c>
      <c r="AH300">
        <f>IF(B300="","",IF(OR(U300=0,V300=0,W300=0,X300=0,Y300=0,Z300=0,AA300=0,AB300=0,AC300=0,AD300=0,AE300=0,AF300=0,AG300=0),1,0))</f>
        <v/>
      </c>
    </row>
    <row r="301">
      <c r="A301" s="3">
        <f>IF(B301="","",ROW()-2)</f>
        <v/>
      </c>
      <c r="P301" s="4">
        <f>IF(B301="","",SUM(C301:O301))</f>
        <v/>
      </c>
      <c r="Q301" s="5">
        <f>IF(B301="","",ROUND(P301/13,2))</f>
        <v/>
      </c>
      <c r="R301" s="5">
        <f>IF(B301="","",IF(AH301=1,0,MIN(5,ROUND((U301+V301+W301+X301+Y301+Z301+AA301+AB301+AC301+AD301+AE301+AF301+AG301)/13,2))))</f>
        <v/>
      </c>
      <c r="S301" s="3">
        <f>IF(B301="","",IF(R301&gt;=5,"A+",IF(R301&gt;=4,"A",IF(R301&gt;=3.5,"A-",IF(R301&gt;=3,"B",IF(R301&gt;=2,"C",IF(R301&gt;=1,"D","F")))))))</f>
        <v/>
      </c>
      <c r="T301" s="3">
        <f>IF(OR(B301="",S301="F"),"",COUNTIFS(P:P,"&gt;"&amp;P301,S:S,"&lt;&gt;F")+1)</f>
        <v/>
      </c>
      <c r="U301">
        <f>IF(B301="","",IF(C301&lt;33.0,0,IF(C301&gt;=100*0.8,5,IF(C301&gt;=100*0.7,4,IF(C301&gt;=100*0.6,3.5,IF(C301&gt;=100*0.5,3,IF(C301&gt;=100*0.4,2,IF(C301&gt;=100*0.33,1,0))))))))</f>
        <v/>
      </c>
      <c r="V301">
        <f>IF(B301="","",IF(D301&lt;33.0,0,IF(D301&gt;=100*0.8,5,IF(D301&gt;=100*0.7,4,IF(D301&gt;=100*0.6,3.5,IF(D301&gt;=100*0.5,3,IF(D301&gt;=100*0.4,2,IF(D301&gt;=100*0.33,1,0))))))))</f>
        <v/>
      </c>
      <c r="W301">
        <f>IF(B301="","",IF(E301&lt;16.5,0,IF(E301&gt;=50*0.8,5,IF(E301&gt;=50*0.7,4,IF(E301&gt;=50*0.6,3.5,IF(E301&gt;=50*0.5,3,IF(E301&gt;=50*0.4,2,IF(E301&gt;=50*0.33,1,0))))))))</f>
        <v/>
      </c>
      <c r="X301">
        <f>IF(B301="","",IF(F301&lt;33.0,0,IF(F301&gt;=100*0.8,5,IF(F301&gt;=100*0.7,4,IF(F301&gt;=100*0.6,3.5,IF(F301&gt;=100*0.5,3,IF(F301&gt;=100*0.4,2,IF(F301&gt;=100*0.33,1,0))))))))</f>
        <v/>
      </c>
      <c r="Y301">
        <f>IF(B301="","",IF(G301&lt;16.5,0,IF(G301&gt;=50*0.8,5,IF(G301&gt;=50*0.7,4,IF(G301&gt;=50*0.6,3.5,IF(G301&gt;=50*0.5,3,IF(G301&gt;=50*0.4,2,IF(G301&gt;=50*0.33,1,0))))))))</f>
        <v/>
      </c>
      <c r="Z301">
        <f>IF(B301="","",IF(H301&lt;33.0,0,IF(H301&gt;=100*0.8,5,IF(H301&gt;=100*0.7,4,IF(H301&gt;=100*0.6,3.5,IF(H301&gt;=100*0.5,3,IF(H301&gt;=100*0.4,2,IF(H301&gt;=100*0.33,1,0))))))))</f>
        <v/>
      </c>
      <c r="AA301">
        <f>IF(B301="","",IF(I301&lt;33.0,0,IF(I301&gt;=100*0.8,5,IF(I301&gt;=100*0.7,4,IF(I301&gt;=100*0.6,3.5,IF(I301&gt;=100*0.5,3,IF(I301&gt;=100*0.4,2,IF(I301&gt;=100*0.33,1,0))))))))</f>
        <v/>
      </c>
      <c r="AB301">
        <f>IF(B301="","",IF(J301&lt;33.0,0,IF(J301&gt;=100*0.8,5,IF(J301&gt;=100*0.7,4,IF(J301&gt;=100*0.6,3.5,IF(J301&gt;=100*0.5,3,IF(J301&gt;=100*0.4,2,IF(J301&gt;=100*0.33,1,0))))))))</f>
        <v/>
      </c>
      <c r="AC301">
        <f>IF(B301="","",IF(K301&lt;33.0,0,IF(K301&gt;=100*0.8,5,IF(K301&gt;=100*0.7,4,IF(K301&gt;=100*0.6,3.5,IF(K301&gt;=100*0.5,3,IF(K301&gt;=100*0.4,2,IF(K301&gt;=100*0.33,1,0))))))))</f>
        <v/>
      </c>
      <c r="AD301">
        <f>IF(B301="","",IF(L301&lt;33.0,0,IF(L301&gt;=100*0.8,5,IF(L301&gt;=100*0.7,4,IF(L301&gt;=100*0.6,3.5,IF(L301&gt;=100*0.5,3,IF(L301&gt;=100*0.4,2,IF(L301&gt;=100*0.33,1,0))))))))</f>
        <v/>
      </c>
      <c r="AE301">
        <f>IF(B301="","",IF(M301&lt;33.0,0,IF(M301&gt;=100*0.8,5,IF(M301&gt;=100*0.7,4,IF(M301&gt;=100*0.6,3.5,IF(M301&gt;=100*0.5,3,IF(M301&gt;=100*0.4,2,IF(M301&gt;=100*0.33,1,0))))))))</f>
        <v/>
      </c>
      <c r="AF301">
        <f>IF(B301="","",IF(N301&lt;16.5,0,IF(N301&gt;=50*0.8,5,IF(N301&gt;=50*0.7,4,IF(N301&gt;=50*0.6,3.5,IF(N301&gt;=50*0.5,3,IF(N301&gt;=50*0.4,2,IF(N301&gt;=50*0.33,1,0))))))))</f>
        <v/>
      </c>
      <c r="AG301">
        <f>IF(B301="","",IF(O301&lt;33.0,0,IF(O301&gt;=100*0.8,5,IF(O301&gt;=100*0.7,4,IF(O301&gt;=100*0.6,3.5,IF(O301&gt;=100*0.5,3,IF(O301&gt;=100*0.4,2,IF(O301&gt;=100*0.33,1,0))))))))</f>
        <v/>
      </c>
      <c r="AH301">
        <f>IF(B301="","",IF(OR(U301=0,V301=0,W301=0,X301=0,Y301=0,Z301=0,AA301=0,AB301=0,AC301=0,AD301=0,AE301=0,AF301=0,AG301=0),1,0))</f>
        <v/>
      </c>
    </row>
    <row r="302">
      <c r="A302" s="3">
        <f>IF(B302="","",ROW()-2)</f>
        <v/>
      </c>
      <c r="P302" s="4">
        <f>IF(B302="","",SUM(C302:O302))</f>
        <v/>
      </c>
      <c r="Q302" s="5">
        <f>IF(B302="","",ROUND(P302/13,2))</f>
        <v/>
      </c>
      <c r="R302" s="5">
        <f>IF(B302="","",IF(AH302=1,0,MIN(5,ROUND((U302+V302+W302+X302+Y302+Z302+AA302+AB302+AC302+AD302+AE302+AF302+AG302)/13,2))))</f>
        <v/>
      </c>
      <c r="S302" s="3">
        <f>IF(B302="","",IF(R302&gt;=5,"A+",IF(R302&gt;=4,"A",IF(R302&gt;=3.5,"A-",IF(R302&gt;=3,"B",IF(R302&gt;=2,"C",IF(R302&gt;=1,"D","F")))))))</f>
        <v/>
      </c>
      <c r="T302" s="3">
        <f>IF(OR(B302="",S302="F"),"",COUNTIFS(P:P,"&gt;"&amp;P302,S:S,"&lt;&gt;F")+1)</f>
        <v/>
      </c>
      <c r="U302">
        <f>IF(B302="","",IF(C302&lt;33.0,0,IF(C302&gt;=100*0.8,5,IF(C302&gt;=100*0.7,4,IF(C302&gt;=100*0.6,3.5,IF(C302&gt;=100*0.5,3,IF(C302&gt;=100*0.4,2,IF(C302&gt;=100*0.33,1,0))))))))</f>
        <v/>
      </c>
      <c r="V302">
        <f>IF(B302="","",IF(D302&lt;33.0,0,IF(D302&gt;=100*0.8,5,IF(D302&gt;=100*0.7,4,IF(D302&gt;=100*0.6,3.5,IF(D302&gt;=100*0.5,3,IF(D302&gt;=100*0.4,2,IF(D302&gt;=100*0.33,1,0))))))))</f>
        <v/>
      </c>
      <c r="W302">
        <f>IF(B302="","",IF(E302&lt;16.5,0,IF(E302&gt;=50*0.8,5,IF(E302&gt;=50*0.7,4,IF(E302&gt;=50*0.6,3.5,IF(E302&gt;=50*0.5,3,IF(E302&gt;=50*0.4,2,IF(E302&gt;=50*0.33,1,0))))))))</f>
        <v/>
      </c>
      <c r="X302">
        <f>IF(B302="","",IF(F302&lt;33.0,0,IF(F302&gt;=100*0.8,5,IF(F302&gt;=100*0.7,4,IF(F302&gt;=100*0.6,3.5,IF(F302&gt;=100*0.5,3,IF(F302&gt;=100*0.4,2,IF(F302&gt;=100*0.33,1,0))))))))</f>
        <v/>
      </c>
      <c r="Y302">
        <f>IF(B302="","",IF(G302&lt;16.5,0,IF(G302&gt;=50*0.8,5,IF(G302&gt;=50*0.7,4,IF(G302&gt;=50*0.6,3.5,IF(G302&gt;=50*0.5,3,IF(G302&gt;=50*0.4,2,IF(G302&gt;=50*0.33,1,0))))))))</f>
        <v/>
      </c>
      <c r="Z302">
        <f>IF(B302="","",IF(H302&lt;33.0,0,IF(H302&gt;=100*0.8,5,IF(H302&gt;=100*0.7,4,IF(H302&gt;=100*0.6,3.5,IF(H302&gt;=100*0.5,3,IF(H302&gt;=100*0.4,2,IF(H302&gt;=100*0.33,1,0))))))))</f>
        <v/>
      </c>
      <c r="AA302">
        <f>IF(B302="","",IF(I302&lt;33.0,0,IF(I302&gt;=100*0.8,5,IF(I302&gt;=100*0.7,4,IF(I302&gt;=100*0.6,3.5,IF(I302&gt;=100*0.5,3,IF(I302&gt;=100*0.4,2,IF(I302&gt;=100*0.33,1,0))))))))</f>
        <v/>
      </c>
      <c r="AB302">
        <f>IF(B302="","",IF(J302&lt;33.0,0,IF(J302&gt;=100*0.8,5,IF(J302&gt;=100*0.7,4,IF(J302&gt;=100*0.6,3.5,IF(J302&gt;=100*0.5,3,IF(J302&gt;=100*0.4,2,IF(J302&gt;=100*0.33,1,0))))))))</f>
        <v/>
      </c>
      <c r="AC302">
        <f>IF(B302="","",IF(K302&lt;33.0,0,IF(K302&gt;=100*0.8,5,IF(K302&gt;=100*0.7,4,IF(K302&gt;=100*0.6,3.5,IF(K302&gt;=100*0.5,3,IF(K302&gt;=100*0.4,2,IF(K302&gt;=100*0.33,1,0))))))))</f>
        <v/>
      </c>
      <c r="AD302">
        <f>IF(B302="","",IF(L302&lt;33.0,0,IF(L302&gt;=100*0.8,5,IF(L302&gt;=100*0.7,4,IF(L302&gt;=100*0.6,3.5,IF(L302&gt;=100*0.5,3,IF(L302&gt;=100*0.4,2,IF(L302&gt;=100*0.33,1,0))))))))</f>
        <v/>
      </c>
      <c r="AE302">
        <f>IF(B302="","",IF(M302&lt;33.0,0,IF(M302&gt;=100*0.8,5,IF(M302&gt;=100*0.7,4,IF(M302&gt;=100*0.6,3.5,IF(M302&gt;=100*0.5,3,IF(M302&gt;=100*0.4,2,IF(M302&gt;=100*0.33,1,0))))))))</f>
        <v/>
      </c>
      <c r="AF302">
        <f>IF(B302="","",IF(N302&lt;16.5,0,IF(N302&gt;=50*0.8,5,IF(N302&gt;=50*0.7,4,IF(N302&gt;=50*0.6,3.5,IF(N302&gt;=50*0.5,3,IF(N302&gt;=50*0.4,2,IF(N302&gt;=50*0.33,1,0))))))))</f>
        <v/>
      </c>
      <c r="AG302">
        <f>IF(B302="","",IF(O302&lt;33.0,0,IF(O302&gt;=100*0.8,5,IF(O302&gt;=100*0.7,4,IF(O302&gt;=100*0.6,3.5,IF(O302&gt;=100*0.5,3,IF(O302&gt;=100*0.4,2,IF(O302&gt;=100*0.33,1,0))))))))</f>
        <v/>
      </c>
      <c r="AH302">
        <f>IF(B302="","",IF(OR(U302=0,V302=0,W302=0,X302=0,Y302=0,Z302=0,AA302=0,AB302=0,AC302=0,AD302=0,AE302=0,AF302=0,AG302=0),1,0))</f>
        <v/>
      </c>
    </row>
    <row r="303">
      <c r="A303" s="3">
        <f>IF(B303="","",ROW()-2)</f>
        <v/>
      </c>
      <c r="P303" s="4">
        <f>IF(B303="","",SUM(C303:O303))</f>
        <v/>
      </c>
      <c r="Q303" s="5">
        <f>IF(B303="","",ROUND(P303/13,2))</f>
        <v/>
      </c>
      <c r="R303" s="5">
        <f>IF(B303="","",IF(AH303=1,0,MIN(5,ROUND((U303+V303+W303+X303+Y303+Z303+AA303+AB303+AC303+AD303+AE303+AF303+AG303)/13,2))))</f>
        <v/>
      </c>
      <c r="S303" s="3">
        <f>IF(B303="","",IF(R303&gt;=5,"A+",IF(R303&gt;=4,"A",IF(R303&gt;=3.5,"A-",IF(R303&gt;=3,"B",IF(R303&gt;=2,"C",IF(R303&gt;=1,"D","F")))))))</f>
        <v/>
      </c>
      <c r="T303" s="3">
        <f>IF(OR(B303="",S303="F"),"",COUNTIFS(P:P,"&gt;"&amp;P303,S:S,"&lt;&gt;F")+1)</f>
        <v/>
      </c>
      <c r="U303">
        <f>IF(B303="","",IF(C303&lt;33.0,0,IF(C303&gt;=100*0.8,5,IF(C303&gt;=100*0.7,4,IF(C303&gt;=100*0.6,3.5,IF(C303&gt;=100*0.5,3,IF(C303&gt;=100*0.4,2,IF(C303&gt;=100*0.33,1,0))))))))</f>
        <v/>
      </c>
      <c r="V303">
        <f>IF(B303="","",IF(D303&lt;33.0,0,IF(D303&gt;=100*0.8,5,IF(D303&gt;=100*0.7,4,IF(D303&gt;=100*0.6,3.5,IF(D303&gt;=100*0.5,3,IF(D303&gt;=100*0.4,2,IF(D303&gt;=100*0.33,1,0))))))))</f>
        <v/>
      </c>
      <c r="W303">
        <f>IF(B303="","",IF(E303&lt;16.5,0,IF(E303&gt;=50*0.8,5,IF(E303&gt;=50*0.7,4,IF(E303&gt;=50*0.6,3.5,IF(E303&gt;=50*0.5,3,IF(E303&gt;=50*0.4,2,IF(E303&gt;=50*0.33,1,0))))))))</f>
        <v/>
      </c>
      <c r="X303">
        <f>IF(B303="","",IF(F303&lt;33.0,0,IF(F303&gt;=100*0.8,5,IF(F303&gt;=100*0.7,4,IF(F303&gt;=100*0.6,3.5,IF(F303&gt;=100*0.5,3,IF(F303&gt;=100*0.4,2,IF(F303&gt;=100*0.33,1,0))))))))</f>
        <v/>
      </c>
      <c r="Y303">
        <f>IF(B303="","",IF(G303&lt;16.5,0,IF(G303&gt;=50*0.8,5,IF(G303&gt;=50*0.7,4,IF(G303&gt;=50*0.6,3.5,IF(G303&gt;=50*0.5,3,IF(G303&gt;=50*0.4,2,IF(G303&gt;=50*0.33,1,0))))))))</f>
        <v/>
      </c>
      <c r="Z303">
        <f>IF(B303="","",IF(H303&lt;33.0,0,IF(H303&gt;=100*0.8,5,IF(H303&gt;=100*0.7,4,IF(H303&gt;=100*0.6,3.5,IF(H303&gt;=100*0.5,3,IF(H303&gt;=100*0.4,2,IF(H303&gt;=100*0.33,1,0))))))))</f>
        <v/>
      </c>
      <c r="AA303">
        <f>IF(B303="","",IF(I303&lt;33.0,0,IF(I303&gt;=100*0.8,5,IF(I303&gt;=100*0.7,4,IF(I303&gt;=100*0.6,3.5,IF(I303&gt;=100*0.5,3,IF(I303&gt;=100*0.4,2,IF(I303&gt;=100*0.33,1,0))))))))</f>
        <v/>
      </c>
      <c r="AB303">
        <f>IF(B303="","",IF(J303&lt;33.0,0,IF(J303&gt;=100*0.8,5,IF(J303&gt;=100*0.7,4,IF(J303&gt;=100*0.6,3.5,IF(J303&gt;=100*0.5,3,IF(J303&gt;=100*0.4,2,IF(J303&gt;=100*0.33,1,0))))))))</f>
        <v/>
      </c>
      <c r="AC303">
        <f>IF(B303="","",IF(K303&lt;33.0,0,IF(K303&gt;=100*0.8,5,IF(K303&gt;=100*0.7,4,IF(K303&gt;=100*0.6,3.5,IF(K303&gt;=100*0.5,3,IF(K303&gt;=100*0.4,2,IF(K303&gt;=100*0.33,1,0))))))))</f>
        <v/>
      </c>
      <c r="AD303">
        <f>IF(B303="","",IF(L303&lt;33.0,0,IF(L303&gt;=100*0.8,5,IF(L303&gt;=100*0.7,4,IF(L303&gt;=100*0.6,3.5,IF(L303&gt;=100*0.5,3,IF(L303&gt;=100*0.4,2,IF(L303&gt;=100*0.33,1,0))))))))</f>
        <v/>
      </c>
      <c r="AE303">
        <f>IF(B303="","",IF(M303&lt;33.0,0,IF(M303&gt;=100*0.8,5,IF(M303&gt;=100*0.7,4,IF(M303&gt;=100*0.6,3.5,IF(M303&gt;=100*0.5,3,IF(M303&gt;=100*0.4,2,IF(M303&gt;=100*0.33,1,0))))))))</f>
        <v/>
      </c>
      <c r="AF303">
        <f>IF(B303="","",IF(N303&lt;16.5,0,IF(N303&gt;=50*0.8,5,IF(N303&gt;=50*0.7,4,IF(N303&gt;=50*0.6,3.5,IF(N303&gt;=50*0.5,3,IF(N303&gt;=50*0.4,2,IF(N303&gt;=50*0.33,1,0))))))))</f>
        <v/>
      </c>
      <c r="AG303">
        <f>IF(B303="","",IF(O303&lt;33.0,0,IF(O303&gt;=100*0.8,5,IF(O303&gt;=100*0.7,4,IF(O303&gt;=100*0.6,3.5,IF(O303&gt;=100*0.5,3,IF(O303&gt;=100*0.4,2,IF(O303&gt;=100*0.33,1,0))))))))</f>
        <v/>
      </c>
      <c r="AH303">
        <f>IF(B303="","",IF(OR(U303=0,V303=0,W303=0,X303=0,Y303=0,Z303=0,AA303=0,AB303=0,AC303=0,AD303=0,AE303=0,AF303=0,AG303=0),1,0))</f>
        <v/>
      </c>
    </row>
    <row r="304">
      <c r="A304" s="3">
        <f>IF(B304="","",ROW()-2)</f>
        <v/>
      </c>
      <c r="P304" s="4">
        <f>IF(B304="","",SUM(C304:O304))</f>
        <v/>
      </c>
      <c r="Q304" s="5">
        <f>IF(B304="","",ROUND(P304/13,2))</f>
        <v/>
      </c>
      <c r="R304" s="5">
        <f>IF(B304="","",IF(AH304=1,0,MIN(5,ROUND((U304+V304+W304+X304+Y304+Z304+AA304+AB304+AC304+AD304+AE304+AF304+AG304)/13,2))))</f>
        <v/>
      </c>
      <c r="S304" s="3">
        <f>IF(B304="","",IF(R304&gt;=5,"A+",IF(R304&gt;=4,"A",IF(R304&gt;=3.5,"A-",IF(R304&gt;=3,"B",IF(R304&gt;=2,"C",IF(R304&gt;=1,"D","F")))))))</f>
        <v/>
      </c>
      <c r="T304" s="3">
        <f>IF(OR(B304="",S304="F"),"",COUNTIFS(P:P,"&gt;"&amp;P304,S:S,"&lt;&gt;F")+1)</f>
        <v/>
      </c>
      <c r="U304">
        <f>IF(B304="","",IF(C304&lt;33.0,0,IF(C304&gt;=100*0.8,5,IF(C304&gt;=100*0.7,4,IF(C304&gt;=100*0.6,3.5,IF(C304&gt;=100*0.5,3,IF(C304&gt;=100*0.4,2,IF(C304&gt;=100*0.33,1,0))))))))</f>
        <v/>
      </c>
      <c r="V304">
        <f>IF(B304="","",IF(D304&lt;33.0,0,IF(D304&gt;=100*0.8,5,IF(D304&gt;=100*0.7,4,IF(D304&gt;=100*0.6,3.5,IF(D304&gt;=100*0.5,3,IF(D304&gt;=100*0.4,2,IF(D304&gt;=100*0.33,1,0))))))))</f>
        <v/>
      </c>
      <c r="W304">
        <f>IF(B304="","",IF(E304&lt;16.5,0,IF(E304&gt;=50*0.8,5,IF(E304&gt;=50*0.7,4,IF(E304&gt;=50*0.6,3.5,IF(E304&gt;=50*0.5,3,IF(E304&gt;=50*0.4,2,IF(E304&gt;=50*0.33,1,0))))))))</f>
        <v/>
      </c>
      <c r="X304">
        <f>IF(B304="","",IF(F304&lt;33.0,0,IF(F304&gt;=100*0.8,5,IF(F304&gt;=100*0.7,4,IF(F304&gt;=100*0.6,3.5,IF(F304&gt;=100*0.5,3,IF(F304&gt;=100*0.4,2,IF(F304&gt;=100*0.33,1,0))))))))</f>
        <v/>
      </c>
      <c r="Y304">
        <f>IF(B304="","",IF(G304&lt;16.5,0,IF(G304&gt;=50*0.8,5,IF(G304&gt;=50*0.7,4,IF(G304&gt;=50*0.6,3.5,IF(G304&gt;=50*0.5,3,IF(G304&gt;=50*0.4,2,IF(G304&gt;=50*0.33,1,0))))))))</f>
        <v/>
      </c>
      <c r="Z304">
        <f>IF(B304="","",IF(H304&lt;33.0,0,IF(H304&gt;=100*0.8,5,IF(H304&gt;=100*0.7,4,IF(H304&gt;=100*0.6,3.5,IF(H304&gt;=100*0.5,3,IF(H304&gt;=100*0.4,2,IF(H304&gt;=100*0.33,1,0))))))))</f>
        <v/>
      </c>
      <c r="AA304">
        <f>IF(B304="","",IF(I304&lt;33.0,0,IF(I304&gt;=100*0.8,5,IF(I304&gt;=100*0.7,4,IF(I304&gt;=100*0.6,3.5,IF(I304&gt;=100*0.5,3,IF(I304&gt;=100*0.4,2,IF(I304&gt;=100*0.33,1,0))))))))</f>
        <v/>
      </c>
      <c r="AB304">
        <f>IF(B304="","",IF(J304&lt;33.0,0,IF(J304&gt;=100*0.8,5,IF(J304&gt;=100*0.7,4,IF(J304&gt;=100*0.6,3.5,IF(J304&gt;=100*0.5,3,IF(J304&gt;=100*0.4,2,IF(J304&gt;=100*0.33,1,0))))))))</f>
        <v/>
      </c>
      <c r="AC304">
        <f>IF(B304="","",IF(K304&lt;33.0,0,IF(K304&gt;=100*0.8,5,IF(K304&gt;=100*0.7,4,IF(K304&gt;=100*0.6,3.5,IF(K304&gt;=100*0.5,3,IF(K304&gt;=100*0.4,2,IF(K304&gt;=100*0.33,1,0))))))))</f>
        <v/>
      </c>
      <c r="AD304">
        <f>IF(B304="","",IF(L304&lt;33.0,0,IF(L304&gt;=100*0.8,5,IF(L304&gt;=100*0.7,4,IF(L304&gt;=100*0.6,3.5,IF(L304&gt;=100*0.5,3,IF(L304&gt;=100*0.4,2,IF(L304&gt;=100*0.33,1,0))))))))</f>
        <v/>
      </c>
      <c r="AE304">
        <f>IF(B304="","",IF(M304&lt;33.0,0,IF(M304&gt;=100*0.8,5,IF(M304&gt;=100*0.7,4,IF(M304&gt;=100*0.6,3.5,IF(M304&gt;=100*0.5,3,IF(M304&gt;=100*0.4,2,IF(M304&gt;=100*0.33,1,0))))))))</f>
        <v/>
      </c>
      <c r="AF304">
        <f>IF(B304="","",IF(N304&lt;16.5,0,IF(N304&gt;=50*0.8,5,IF(N304&gt;=50*0.7,4,IF(N304&gt;=50*0.6,3.5,IF(N304&gt;=50*0.5,3,IF(N304&gt;=50*0.4,2,IF(N304&gt;=50*0.33,1,0))))))))</f>
        <v/>
      </c>
      <c r="AG304">
        <f>IF(B304="","",IF(O304&lt;33.0,0,IF(O304&gt;=100*0.8,5,IF(O304&gt;=100*0.7,4,IF(O304&gt;=100*0.6,3.5,IF(O304&gt;=100*0.5,3,IF(O304&gt;=100*0.4,2,IF(O304&gt;=100*0.33,1,0))))))))</f>
        <v/>
      </c>
      <c r="AH304">
        <f>IF(B304="","",IF(OR(U304=0,V304=0,W304=0,X304=0,Y304=0,Z304=0,AA304=0,AB304=0,AC304=0,AD304=0,AE304=0,AF304=0,AG304=0),1,0))</f>
        <v/>
      </c>
    </row>
    <row r="305">
      <c r="A305" s="3">
        <f>IF(B305="","",ROW()-2)</f>
        <v/>
      </c>
      <c r="P305" s="4">
        <f>IF(B305="","",SUM(C305:O305))</f>
        <v/>
      </c>
      <c r="Q305" s="5">
        <f>IF(B305="","",ROUND(P305/13,2))</f>
        <v/>
      </c>
      <c r="R305" s="5">
        <f>IF(B305="","",IF(AH305=1,0,MIN(5,ROUND((U305+V305+W305+X305+Y305+Z305+AA305+AB305+AC305+AD305+AE305+AF305+AG305)/13,2))))</f>
        <v/>
      </c>
      <c r="S305" s="3">
        <f>IF(B305="","",IF(R305&gt;=5,"A+",IF(R305&gt;=4,"A",IF(R305&gt;=3.5,"A-",IF(R305&gt;=3,"B",IF(R305&gt;=2,"C",IF(R305&gt;=1,"D","F")))))))</f>
        <v/>
      </c>
      <c r="T305" s="3">
        <f>IF(OR(B305="",S305="F"),"",COUNTIFS(P:P,"&gt;"&amp;P305,S:S,"&lt;&gt;F")+1)</f>
        <v/>
      </c>
      <c r="U305">
        <f>IF(B305="","",IF(C305&lt;33.0,0,IF(C305&gt;=100*0.8,5,IF(C305&gt;=100*0.7,4,IF(C305&gt;=100*0.6,3.5,IF(C305&gt;=100*0.5,3,IF(C305&gt;=100*0.4,2,IF(C305&gt;=100*0.33,1,0))))))))</f>
        <v/>
      </c>
      <c r="V305">
        <f>IF(B305="","",IF(D305&lt;33.0,0,IF(D305&gt;=100*0.8,5,IF(D305&gt;=100*0.7,4,IF(D305&gt;=100*0.6,3.5,IF(D305&gt;=100*0.5,3,IF(D305&gt;=100*0.4,2,IF(D305&gt;=100*0.33,1,0))))))))</f>
        <v/>
      </c>
      <c r="W305">
        <f>IF(B305="","",IF(E305&lt;16.5,0,IF(E305&gt;=50*0.8,5,IF(E305&gt;=50*0.7,4,IF(E305&gt;=50*0.6,3.5,IF(E305&gt;=50*0.5,3,IF(E305&gt;=50*0.4,2,IF(E305&gt;=50*0.33,1,0))))))))</f>
        <v/>
      </c>
      <c r="X305">
        <f>IF(B305="","",IF(F305&lt;33.0,0,IF(F305&gt;=100*0.8,5,IF(F305&gt;=100*0.7,4,IF(F305&gt;=100*0.6,3.5,IF(F305&gt;=100*0.5,3,IF(F305&gt;=100*0.4,2,IF(F305&gt;=100*0.33,1,0))))))))</f>
        <v/>
      </c>
      <c r="Y305">
        <f>IF(B305="","",IF(G305&lt;16.5,0,IF(G305&gt;=50*0.8,5,IF(G305&gt;=50*0.7,4,IF(G305&gt;=50*0.6,3.5,IF(G305&gt;=50*0.5,3,IF(G305&gt;=50*0.4,2,IF(G305&gt;=50*0.33,1,0))))))))</f>
        <v/>
      </c>
      <c r="Z305">
        <f>IF(B305="","",IF(H305&lt;33.0,0,IF(H305&gt;=100*0.8,5,IF(H305&gt;=100*0.7,4,IF(H305&gt;=100*0.6,3.5,IF(H305&gt;=100*0.5,3,IF(H305&gt;=100*0.4,2,IF(H305&gt;=100*0.33,1,0))))))))</f>
        <v/>
      </c>
      <c r="AA305">
        <f>IF(B305="","",IF(I305&lt;33.0,0,IF(I305&gt;=100*0.8,5,IF(I305&gt;=100*0.7,4,IF(I305&gt;=100*0.6,3.5,IF(I305&gt;=100*0.5,3,IF(I305&gt;=100*0.4,2,IF(I305&gt;=100*0.33,1,0))))))))</f>
        <v/>
      </c>
      <c r="AB305">
        <f>IF(B305="","",IF(J305&lt;33.0,0,IF(J305&gt;=100*0.8,5,IF(J305&gt;=100*0.7,4,IF(J305&gt;=100*0.6,3.5,IF(J305&gt;=100*0.5,3,IF(J305&gt;=100*0.4,2,IF(J305&gt;=100*0.33,1,0))))))))</f>
        <v/>
      </c>
      <c r="AC305">
        <f>IF(B305="","",IF(K305&lt;33.0,0,IF(K305&gt;=100*0.8,5,IF(K305&gt;=100*0.7,4,IF(K305&gt;=100*0.6,3.5,IF(K305&gt;=100*0.5,3,IF(K305&gt;=100*0.4,2,IF(K305&gt;=100*0.33,1,0))))))))</f>
        <v/>
      </c>
      <c r="AD305">
        <f>IF(B305="","",IF(L305&lt;33.0,0,IF(L305&gt;=100*0.8,5,IF(L305&gt;=100*0.7,4,IF(L305&gt;=100*0.6,3.5,IF(L305&gt;=100*0.5,3,IF(L305&gt;=100*0.4,2,IF(L305&gt;=100*0.33,1,0))))))))</f>
        <v/>
      </c>
      <c r="AE305">
        <f>IF(B305="","",IF(M305&lt;33.0,0,IF(M305&gt;=100*0.8,5,IF(M305&gt;=100*0.7,4,IF(M305&gt;=100*0.6,3.5,IF(M305&gt;=100*0.5,3,IF(M305&gt;=100*0.4,2,IF(M305&gt;=100*0.33,1,0))))))))</f>
        <v/>
      </c>
      <c r="AF305">
        <f>IF(B305="","",IF(N305&lt;16.5,0,IF(N305&gt;=50*0.8,5,IF(N305&gt;=50*0.7,4,IF(N305&gt;=50*0.6,3.5,IF(N305&gt;=50*0.5,3,IF(N305&gt;=50*0.4,2,IF(N305&gt;=50*0.33,1,0))))))))</f>
        <v/>
      </c>
      <c r="AG305">
        <f>IF(B305="","",IF(O305&lt;33.0,0,IF(O305&gt;=100*0.8,5,IF(O305&gt;=100*0.7,4,IF(O305&gt;=100*0.6,3.5,IF(O305&gt;=100*0.5,3,IF(O305&gt;=100*0.4,2,IF(O305&gt;=100*0.33,1,0))))))))</f>
        <v/>
      </c>
      <c r="AH305">
        <f>IF(B305="","",IF(OR(U305=0,V305=0,W305=0,X305=0,Y305=0,Z305=0,AA305=0,AB305=0,AC305=0,AD305=0,AE305=0,AF305=0,AG305=0),1,0))</f>
        <v/>
      </c>
    </row>
    <row r="306">
      <c r="A306" s="3">
        <f>IF(B306="","",ROW()-2)</f>
        <v/>
      </c>
      <c r="P306" s="4">
        <f>IF(B306="","",SUM(C306:O306))</f>
        <v/>
      </c>
      <c r="Q306" s="5">
        <f>IF(B306="","",ROUND(P306/13,2))</f>
        <v/>
      </c>
      <c r="R306" s="5">
        <f>IF(B306="","",IF(AH306=1,0,MIN(5,ROUND((U306+V306+W306+X306+Y306+Z306+AA306+AB306+AC306+AD306+AE306+AF306+AG306)/13,2))))</f>
        <v/>
      </c>
      <c r="S306" s="3">
        <f>IF(B306="","",IF(R306&gt;=5,"A+",IF(R306&gt;=4,"A",IF(R306&gt;=3.5,"A-",IF(R306&gt;=3,"B",IF(R306&gt;=2,"C",IF(R306&gt;=1,"D","F")))))))</f>
        <v/>
      </c>
      <c r="T306" s="3">
        <f>IF(OR(B306="",S306="F"),"",COUNTIFS(P:P,"&gt;"&amp;P306,S:S,"&lt;&gt;F")+1)</f>
        <v/>
      </c>
      <c r="U306">
        <f>IF(B306="","",IF(C306&lt;33.0,0,IF(C306&gt;=100*0.8,5,IF(C306&gt;=100*0.7,4,IF(C306&gt;=100*0.6,3.5,IF(C306&gt;=100*0.5,3,IF(C306&gt;=100*0.4,2,IF(C306&gt;=100*0.33,1,0))))))))</f>
        <v/>
      </c>
      <c r="V306">
        <f>IF(B306="","",IF(D306&lt;33.0,0,IF(D306&gt;=100*0.8,5,IF(D306&gt;=100*0.7,4,IF(D306&gt;=100*0.6,3.5,IF(D306&gt;=100*0.5,3,IF(D306&gt;=100*0.4,2,IF(D306&gt;=100*0.33,1,0))))))))</f>
        <v/>
      </c>
      <c r="W306">
        <f>IF(B306="","",IF(E306&lt;16.5,0,IF(E306&gt;=50*0.8,5,IF(E306&gt;=50*0.7,4,IF(E306&gt;=50*0.6,3.5,IF(E306&gt;=50*0.5,3,IF(E306&gt;=50*0.4,2,IF(E306&gt;=50*0.33,1,0))))))))</f>
        <v/>
      </c>
      <c r="X306">
        <f>IF(B306="","",IF(F306&lt;33.0,0,IF(F306&gt;=100*0.8,5,IF(F306&gt;=100*0.7,4,IF(F306&gt;=100*0.6,3.5,IF(F306&gt;=100*0.5,3,IF(F306&gt;=100*0.4,2,IF(F306&gt;=100*0.33,1,0))))))))</f>
        <v/>
      </c>
      <c r="Y306">
        <f>IF(B306="","",IF(G306&lt;16.5,0,IF(G306&gt;=50*0.8,5,IF(G306&gt;=50*0.7,4,IF(G306&gt;=50*0.6,3.5,IF(G306&gt;=50*0.5,3,IF(G306&gt;=50*0.4,2,IF(G306&gt;=50*0.33,1,0))))))))</f>
        <v/>
      </c>
      <c r="Z306">
        <f>IF(B306="","",IF(H306&lt;33.0,0,IF(H306&gt;=100*0.8,5,IF(H306&gt;=100*0.7,4,IF(H306&gt;=100*0.6,3.5,IF(H306&gt;=100*0.5,3,IF(H306&gt;=100*0.4,2,IF(H306&gt;=100*0.33,1,0))))))))</f>
        <v/>
      </c>
      <c r="AA306">
        <f>IF(B306="","",IF(I306&lt;33.0,0,IF(I306&gt;=100*0.8,5,IF(I306&gt;=100*0.7,4,IF(I306&gt;=100*0.6,3.5,IF(I306&gt;=100*0.5,3,IF(I306&gt;=100*0.4,2,IF(I306&gt;=100*0.33,1,0))))))))</f>
        <v/>
      </c>
      <c r="AB306">
        <f>IF(B306="","",IF(J306&lt;33.0,0,IF(J306&gt;=100*0.8,5,IF(J306&gt;=100*0.7,4,IF(J306&gt;=100*0.6,3.5,IF(J306&gt;=100*0.5,3,IF(J306&gt;=100*0.4,2,IF(J306&gt;=100*0.33,1,0))))))))</f>
        <v/>
      </c>
      <c r="AC306">
        <f>IF(B306="","",IF(K306&lt;33.0,0,IF(K306&gt;=100*0.8,5,IF(K306&gt;=100*0.7,4,IF(K306&gt;=100*0.6,3.5,IF(K306&gt;=100*0.5,3,IF(K306&gt;=100*0.4,2,IF(K306&gt;=100*0.33,1,0))))))))</f>
        <v/>
      </c>
      <c r="AD306">
        <f>IF(B306="","",IF(L306&lt;33.0,0,IF(L306&gt;=100*0.8,5,IF(L306&gt;=100*0.7,4,IF(L306&gt;=100*0.6,3.5,IF(L306&gt;=100*0.5,3,IF(L306&gt;=100*0.4,2,IF(L306&gt;=100*0.33,1,0))))))))</f>
        <v/>
      </c>
      <c r="AE306">
        <f>IF(B306="","",IF(M306&lt;33.0,0,IF(M306&gt;=100*0.8,5,IF(M306&gt;=100*0.7,4,IF(M306&gt;=100*0.6,3.5,IF(M306&gt;=100*0.5,3,IF(M306&gt;=100*0.4,2,IF(M306&gt;=100*0.33,1,0))))))))</f>
        <v/>
      </c>
      <c r="AF306">
        <f>IF(B306="","",IF(N306&lt;16.5,0,IF(N306&gt;=50*0.8,5,IF(N306&gt;=50*0.7,4,IF(N306&gt;=50*0.6,3.5,IF(N306&gt;=50*0.5,3,IF(N306&gt;=50*0.4,2,IF(N306&gt;=50*0.33,1,0))))))))</f>
        <v/>
      </c>
      <c r="AG306">
        <f>IF(B306="","",IF(O306&lt;33.0,0,IF(O306&gt;=100*0.8,5,IF(O306&gt;=100*0.7,4,IF(O306&gt;=100*0.6,3.5,IF(O306&gt;=100*0.5,3,IF(O306&gt;=100*0.4,2,IF(O306&gt;=100*0.33,1,0))))))))</f>
        <v/>
      </c>
      <c r="AH306">
        <f>IF(B306="","",IF(OR(U306=0,V306=0,W306=0,X306=0,Y306=0,Z306=0,AA306=0,AB306=0,AC306=0,AD306=0,AE306=0,AF306=0,AG306=0),1,0))</f>
        <v/>
      </c>
    </row>
    <row r="307">
      <c r="A307" s="3">
        <f>IF(B307="","",ROW()-2)</f>
        <v/>
      </c>
      <c r="P307" s="4">
        <f>IF(B307="","",SUM(C307:O307))</f>
        <v/>
      </c>
      <c r="Q307" s="5">
        <f>IF(B307="","",ROUND(P307/13,2))</f>
        <v/>
      </c>
      <c r="R307" s="5">
        <f>IF(B307="","",IF(AH307=1,0,MIN(5,ROUND((U307+V307+W307+X307+Y307+Z307+AA307+AB307+AC307+AD307+AE307+AF307+AG307)/13,2))))</f>
        <v/>
      </c>
      <c r="S307" s="3">
        <f>IF(B307="","",IF(R307&gt;=5,"A+",IF(R307&gt;=4,"A",IF(R307&gt;=3.5,"A-",IF(R307&gt;=3,"B",IF(R307&gt;=2,"C",IF(R307&gt;=1,"D","F")))))))</f>
        <v/>
      </c>
      <c r="T307" s="3">
        <f>IF(OR(B307="",S307="F"),"",COUNTIFS(P:P,"&gt;"&amp;P307,S:S,"&lt;&gt;F")+1)</f>
        <v/>
      </c>
      <c r="U307">
        <f>IF(B307="","",IF(C307&lt;33.0,0,IF(C307&gt;=100*0.8,5,IF(C307&gt;=100*0.7,4,IF(C307&gt;=100*0.6,3.5,IF(C307&gt;=100*0.5,3,IF(C307&gt;=100*0.4,2,IF(C307&gt;=100*0.33,1,0))))))))</f>
        <v/>
      </c>
      <c r="V307">
        <f>IF(B307="","",IF(D307&lt;33.0,0,IF(D307&gt;=100*0.8,5,IF(D307&gt;=100*0.7,4,IF(D307&gt;=100*0.6,3.5,IF(D307&gt;=100*0.5,3,IF(D307&gt;=100*0.4,2,IF(D307&gt;=100*0.33,1,0))))))))</f>
        <v/>
      </c>
      <c r="W307">
        <f>IF(B307="","",IF(E307&lt;16.5,0,IF(E307&gt;=50*0.8,5,IF(E307&gt;=50*0.7,4,IF(E307&gt;=50*0.6,3.5,IF(E307&gt;=50*0.5,3,IF(E307&gt;=50*0.4,2,IF(E307&gt;=50*0.33,1,0))))))))</f>
        <v/>
      </c>
      <c r="X307">
        <f>IF(B307="","",IF(F307&lt;33.0,0,IF(F307&gt;=100*0.8,5,IF(F307&gt;=100*0.7,4,IF(F307&gt;=100*0.6,3.5,IF(F307&gt;=100*0.5,3,IF(F307&gt;=100*0.4,2,IF(F307&gt;=100*0.33,1,0))))))))</f>
        <v/>
      </c>
      <c r="Y307">
        <f>IF(B307="","",IF(G307&lt;16.5,0,IF(G307&gt;=50*0.8,5,IF(G307&gt;=50*0.7,4,IF(G307&gt;=50*0.6,3.5,IF(G307&gt;=50*0.5,3,IF(G307&gt;=50*0.4,2,IF(G307&gt;=50*0.33,1,0))))))))</f>
        <v/>
      </c>
      <c r="Z307">
        <f>IF(B307="","",IF(H307&lt;33.0,0,IF(H307&gt;=100*0.8,5,IF(H307&gt;=100*0.7,4,IF(H307&gt;=100*0.6,3.5,IF(H307&gt;=100*0.5,3,IF(H307&gt;=100*0.4,2,IF(H307&gt;=100*0.33,1,0))))))))</f>
        <v/>
      </c>
      <c r="AA307">
        <f>IF(B307="","",IF(I307&lt;33.0,0,IF(I307&gt;=100*0.8,5,IF(I307&gt;=100*0.7,4,IF(I307&gt;=100*0.6,3.5,IF(I307&gt;=100*0.5,3,IF(I307&gt;=100*0.4,2,IF(I307&gt;=100*0.33,1,0))))))))</f>
        <v/>
      </c>
      <c r="AB307">
        <f>IF(B307="","",IF(J307&lt;33.0,0,IF(J307&gt;=100*0.8,5,IF(J307&gt;=100*0.7,4,IF(J307&gt;=100*0.6,3.5,IF(J307&gt;=100*0.5,3,IF(J307&gt;=100*0.4,2,IF(J307&gt;=100*0.33,1,0))))))))</f>
        <v/>
      </c>
      <c r="AC307">
        <f>IF(B307="","",IF(K307&lt;33.0,0,IF(K307&gt;=100*0.8,5,IF(K307&gt;=100*0.7,4,IF(K307&gt;=100*0.6,3.5,IF(K307&gt;=100*0.5,3,IF(K307&gt;=100*0.4,2,IF(K307&gt;=100*0.33,1,0))))))))</f>
        <v/>
      </c>
      <c r="AD307">
        <f>IF(B307="","",IF(L307&lt;33.0,0,IF(L307&gt;=100*0.8,5,IF(L307&gt;=100*0.7,4,IF(L307&gt;=100*0.6,3.5,IF(L307&gt;=100*0.5,3,IF(L307&gt;=100*0.4,2,IF(L307&gt;=100*0.33,1,0))))))))</f>
        <v/>
      </c>
      <c r="AE307">
        <f>IF(B307="","",IF(M307&lt;33.0,0,IF(M307&gt;=100*0.8,5,IF(M307&gt;=100*0.7,4,IF(M307&gt;=100*0.6,3.5,IF(M307&gt;=100*0.5,3,IF(M307&gt;=100*0.4,2,IF(M307&gt;=100*0.33,1,0))))))))</f>
        <v/>
      </c>
      <c r="AF307">
        <f>IF(B307="","",IF(N307&lt;16.5,0,IF(N307&gt;=50*0.8,5,IF(N307&gt;=50*0.7,4,IF(N307&gt;=50*0.6,3.5,IF(N307&gt;=50*0.5,3,IF(N307&gt;=50*0.4,2,IF(N307&gt;=50*0.33,1,0))))))))</f>
        <v/>
      </c>
      <c r="AG307">
        <f>IF(B307="","",IF(O307&lt;33.0,0,IF(O307&gt;=100*0.8,5,IF(O307&gt;=100*0.7,4,IF(O307&gt;=100*0.6,3.5,IF(O307&gt;=100*0.5,3,IF(O307&gt;=100*0.4,2,IF(O307&gt;=100*0.33,1,0))))))))</f>
        <v/>
      </c>
      <c r="AH307">
        <f>IF(B307="","",IF(OR(U307=0,V307=0,W307=0,X307=0,Y307=0,Z307=0,AA307=0,AB307=0,AC307=0,AD307=0,AE307=0,AF307=0,AG307=0),1,0))</f>
        <v/>
      </c>
    </row>
    <row r="308">
      <c r="A308" s="3">
        <f>IF(B308="","",ROW()-2)</f>
        <v/>
      </c>
      <c r="P308" s="4">
        <f>IF(B308="","",SUM(C308:O308))</f>
        <v/>
      </c>
      <c r="Q308" s="5">
        <f>IF(B308="","",ROUND(P308/13,2))</f>
        <v/>
      </c>
      <c r="R308" s="5">
        <f>IF(B308="","",IF(AH308=1,0,MIN(5,ROUND((U308+V308+W308+X308+Y308+Z308+AA308+AB308+AC308+AD308+AE308+AF308+AG308)/13,2))))</f>
        <v/>
      </c>
      <c r="S308" s="3">
        <f>IF(B308="","",IF(R308&gt;=5,"A+",IF(R308&gt;=4,"A",IF(R308&gt;=3.5,"A-",IF(R308&gt;=3,"B",IF(R308&gt;=2,"C",IF(R308&gt;=1,"D","F")))))))</f>
        <v/>
      </c>
      <c r="T308" s="3">
        <f>IF(OR(B308="",S308="F"),"",COUNTIFS(P:P,"&gt;"&amp;P308,S:S,"&lt;&gt;F")+1)</f>
        <v/>
      </c>
      <c r="U308">
        <f>IF(B308="","",IF(C308&lt;33.0,0,IF(C308&gt;=100*0.8,5,IF(C308&gt;=100*0.7,4,IF(C308&gt;=100*0.6,3.5,IF(C308&gt;=100*0.5,3,IF(C308&gt;=100*0.4,2,IF(C308&gt;=100*0.33,1,0))))))))</f>
        <v/>
      </c>
      <c r="V308">
        <f>IF(B308="","",IF(D308&lt;33.0,0,IF(D308&gt;=100*0.8,5,IF(D308&gt;=100*0.7,4,IF(D308&gt;=100*0.6,3.5,IF(D308&gt;=100*0.5,3,IF(D308&gt;=100*0.4,2,IF(D308&gt;=100*0.33,1,0))))))))</f>
        <v/>
      </c>
      <c r="W308">
        <f>IF(B308="","",IF(E308&lt;16.5,0,IF(E308&gt;=50*0.8,5,IF(E308&gt;=50*0.7,4,IF(E308&gt;=50*0.6,3.5,IF(E308&gt;=50*0.5,3,IF(E308&gt;=50*0.4,2,IF(E308&gt;=50*0.33,1,0))))))))</f>
        <v/>
      </c>
      <c r="X308">
        <f>IF(B308="","",IF(F308&lt;33.0,0,IF(F308&gt;=100*0.8,5,IF(F308&gt;=100*0.7,4,IF(F308&gt;=100*0.6,3.5,IF(F308&gt;=100*0.5,3,IF(F308&gt;=100*0.4,2,IF(F308&gt;=100*0.33,1,0))))))))</f>
        <v/>
      </c>
      <c r="Y308">
        <f>IF(B308="","",IF(G308&lt;16.5,0,IF(G308&gt;=50*0.8,5,IF(G308&gt;=50*0.7,4,IF(G308&gt;=50*0.6,3.5,IF(G308&gt;=50*0.5,3,IF(G308&gt;=50*0.4,2,IF(G308&gt;=50*0.33,1,0))))))))</f>
        <v/>
      </c>
      <c r="Z308">
        <f>IF(B308="","",IF(H308&lt;33.0,0,IF(H308&gt;=100*0.8,5,IF(H308&gt;=100*0.7,4,IF(H308&gt;=100*0.6,3.5,IF(H308&gt;=100*0.5,3,IF(H308&gt;=100*0.4,2,IF(H308&gt;=100*0.33,1,0))))))))</f>
        <v/>
      </c>
      <c r="AA308">
        <f>IF(B308="","",IF(I308&lt;33.0,0,IF(I308&gt;=100*0.8,5,IF(I308&gt;=100*0.7,4,IF(I308&gt;=100*0.6,3.5,IF(I308&gt;=100*0.5,3,IF(I308&gt;=100*0.4,2,IF(I308&gt;=100*0.33,1,0))))))))</f>
        <v/>
      </c>
      <c r="AB308">
        <f>IF(B308="","",IF(J308&lt;33.0,0,IF(J308&gt;=100*0.8,5,IF(J308&gt;=100*0.7,4,IF(J308&gt;=100*0.6,3.5,IF(J308&gt;=100*0.5,3,IF(J308&gt;=100*0.4,2,IF(J308&gt;=100*0.33,1,0))))))))</f>
        <v/>
      </c>
      <c r="AC308">
        <f>IF(B308="","",IF(K308&lt;33.0,0,IF(K308&gt;=100*0.8,5,IF(K308&gt;=100*0.7,4,IF(K308&gt;=100*0.6,3.5,IF(K308&gt;=100*0.5,3,IF(K308&gt;=100*0.4,2,IF(K308&gt;=100*0.33,1,0))))))))</f>
        <v/>
      </c>
      <c r="AD308">
        <f>IF(B308="","",IF(L308&lt;33.0,0,IF(L308&gt;=100*0.8,5,IF(L308&gt;=100*0.7,4,IF(L308&gt;=100*0.6,3.5,IF(L308&gt;=100*0.5,3,IF(L308&gt;=100*0.4,2,IF(L308&gt;=100*0.33,1,0))))))))</f>
        <v/>
      </c>
      <c r="AE308">
        <f>IF(B308="","",IF(M308&lt;33.0,0,IF(M308&gt;=100*0.8,5,IF(M308&gt;=100*0.7,4,IF(M308&gt;=100*0.6,3.5,IF(M308&gt;=100*0.5,3,IF(M308&gt;=100*0.4,2,IF(M308&gt;=100*0.33,1,0))))))))</f>
        <v/>
      </c>
      <c r="AF308">
        <f>IF(B308="","",IF(N308&lt;16.5,0,IF(N308&gt;=50*0.8,5,IF(N308&gt;=50*0.7,4,IF(N308&gt;=50*0.6,3.5,IF(N308&gt;=50*0.5,3,IF(N308&gt;=50*0.4,2,IF(N308&gt;=50*0.33,1,0))))))))</f>
        <v/>
      </c>
      <c r="AG308">
        <f>IF(B308="","",IF(O308&lt;33.0,0,IF(O308&gt;=100*0.8,5,IF(O308&gt;=100*0.7,4,IF(O308&gt;=100*0.6,3.5,IF(O308&gt;=100*0.5,3,IF(O308&gt;=100*0.4,2,IF(O308&gt;=100*0.33,1,0))))))))</f>
        <v/>
      </c>
      <c r="AH308">
        <f>IF(B308="","",IF(OR(U308=0,V308=0,W308=0,X308=0,Y308=0,Z308=0,AA308=0,AB308=0,AC308=0,AD308=0,AE308=0,AF308=0,AG308=0),1,0))</f>
        <v/>
      </c>
    </row>
    <row r="309">
      <c r="A309" s="3">
        <f>IF(B309="","",ROW()-2)</f>
        <v/>
      </c>
      <c r="P309" s="4">
        <f>IF(B309="","",SUM(C309:O309))</f>
        <v/>
      </c>
      <c r="Q309" s="5">
        <f>IF(B309="","",ROUND(P309/13,2))</f>
        <v/>
      </c>
      <c r="R309" s="5">
        <f>IF(B309="","",IF(AH309=1,0,MIN(5,ROUND((U309+V309+W309+X309+Y309+Z309+AA309+AB309+AC309+AD309+AE309+AF309+AG309)/13,2))))</f>
        <v/>
      </c>
      <c r="S309" s="3">
        <f>IF(B309="","",IF(R309&gt;=5,"A+",IF(R309&gt;=4,"A",IF(R309&gt;=3.5,"A-",IF(R309&gt;=3,"B",IF(R309&gt;=2,"C",IF(R309&gt;=1,"D","F")))))))</f>
        <v/>
      </c>
      <c r="T309" s="3">
        <f>IF(OR(B309="",S309="F"),"",COUNTIFS(P:P,"&gt;"&amp;P309,S:S,"&lt;&gt;F")+1)</f>
        <v/>
      </c>
      <c r="U309">
        <f>IF(B309="","",IF(C309&lt;33.0,0,IF(C309&gt;=100*0.8,5,IF(C309&gt;=100*0.7,4,IF(C309&gt;=100*0.6,3.5,IF(C309&gt;=100*0.5,3,IF(C309&gt;=100*0.4,2,IF(C309&gt;=100*0.33,1,0))))))))</f>
        <v/>
      </c>
      <c r="V309">
        <f>IF(B309="","",IF(D309&lt;33.0,0,IF(D309&gt;=100*0.8,5,IF(D309&gt;=100*0.7,4,IF(D309&gt;=100*0.6,3.5,IF(D309&gt;=100*0.5,3,IF(D309&gt;=100*0.4,2,IF(D309&gt;=100*0.33,1,0))))))))</f>
        <v/>
      </c>
      <c r="W309">
        <f>IF(B309="","",IF(E309&lt;16.5,0,IF(E309&gt;=50*0.8,5,IF(E309&gt;=50*0.7,4,IF(E309&gt;=50*0.6,3.5,IF(E309&gt;=50*0.5,3,IF(E309&gt;=50*0.4,2,IF(E309&gt;=50*0.33,1,0))))))))</f>
        <v/>
      </c>
      <c r="X309">
        <f>IF(B309="","",IF(F309&lt;33.0,0,IF(F309&gt;=100*0.8,5,IF(F309&gt;=100*0.7,4,IF(F309&gt;=100*0.6,3.5,IF(F309&gt;=100*0.5,3,IF(F309&gt;=100*0.4,2,IF(F309&gt;=100*0.33,1,0))))))))</f>
        <v/>
      </c>
      <c r="Y309">
        <f>IF(B309="","",IF(G309&lt;16.5,0,IF(G309&gt;=50*0.8,5,IF(G309&gt;=50*0.7,4,IF(G309&gt;=50*0.6,3.5,IF(G309&gt;=50*0.5,3,IF(G309&gt;=50*0.4,2,IF(G309&gt;=50*0.33,1,0))))))))</f>
        <v/>
      </c>
      <c r="Z309">
        <f>IF(B309="","",IF(H309&lt;33.0,0,IF(H309&gt;=100*0.8,5,IF(H309&gt;=100*0.7,4,IF(H309&gt;=100*0.6,3.5,IF(H309&gt;=100*0.5,3,IF(H309&gt;=100*0.4,2,IF(H309&gt;=100*0.33,1,0))))))))</f>
        <v/>
      </c>
      <c r="AA309">
        <f>IF(B309="","",IF(I309&lt;33.0,0,IF(I309&gt;=100*0.8,5,IF(I309&gt;=100*0.7,4,IF(I309&gt;=100*0.6,3.5,IF(I309&gt;=100*0.5,3,IF(I309&gt;=100*0.4,2,IF(I309&gt;=100*0.33,1,0))))))))</f>
        <v/>
      </c>
      <c r="AB309">
        <f>IF(B309="","",IF(J309&lt;33.0,0,IF(J309&gt;=100*0.8,5,IF(J309&gt;=100*0.7,4,IF(J309&gt;=100*0.6,3.5,IF(J309&gt;=100*0.5,3,IF(J309&gt;=100*0.4,2,IF(J309&gt;=100*0.33,1,0))))))))</f>
        <v/>
      </c>
      <c r="AC309">
        <f>IF(B309="","",IF(K309&lt;33.0,0,IF(K309&gt;=100*0.8,5,IF(K309&gt;=100*0.7,4,IF(K309&gt;=100*0.6,3.5,IF(K309&gt;=100*0.5,3,IF(K309&gt;=100*0.4,2,IF(K309&gt;=100*0.33,1,0))))))))</f>
        <v/>
      </c>
      <c r="AD309">
        <f>IF(B309="","",IF(L309&lt;33.0,0,IF(L309&gt;=100*0.8,5,IF(L309&gt;=100*0.7,4,IF(L309&gt;=100*0.6,3.5,IF(L309&gt;=100*0.5,3,IF(L309&gt;=100*0.4,2,IF(L309&gt;=100*0.33,1,0))))))))</f>
        <v/>
      </c>
      <c r="AE309">
        <f>IF(B309="","",IF(M309&lt;33.0,0,IF(M309&gt;=100*0.8,5,IF(M309&gt;=100*0.7,4,IF(M309&gt;=100*0.6,3.5,IF(M309&gt;=100*0.5,3,IF(M309&gt;=100*0.4,2,IF(M309&gt;=100*0.33,1,0))))))))</f>
        <v/>
      </c>
      <c r="AF309">
        <f>IF(B309="","",IF(N309&lt;16.5,0,IF(N309&gt;=50*0.8,5,IF(N309&gt;=50*0.7,4,IF(N309&gt;=50*0.6,3.5,IF(N309&gt;=50*0.5,3,IF(N309&gt;=50*0.4,2,IF(N309&gt;=50*0.33,1,0))))))))</f>
        <v/>
      </c>
      <c r="AG309">
        <f>IF(B309="","",IF(O309&lt;33.0,0,IF(O309&gt;=100*0.8,5,IF(O309&gt;=100*0.7,4,IF(O309&gt;=100*0.6,3.5,IF(O309&gt;=100*0.5,3,IF(O309&gt;=100*0.4,2,IF(O309&gt;=100*0.33,1,0))))))))</f>
        <v/>
      </c>
      <c r="AH309">
        <f>IF(B309="","",IF(OR(U309=0,V309=0,W309=0,X309=0,Y309=0,Z309=0,AA309=0,AB309=0,AC309=0,AD309=0,AE309=0,AF309=0,AG309=0),1,0))</f>
        <v/>
      </c>
    </row>
    <row r="310">
      <c r="A310" s="3">
        <f>IF(B310="","",ROW()-2)</f>
        <v/>
      </c>
      <c r="P310" s="4">
        <f>IF(B310="","",SUM(C310:O310))</f>
        <v/>
      </c>
      <c r="Q310" s="5">
        <f>IF(B310="","",ROUND(P310/13,2))</f>
        <v/>
      </c>
      <c r="R310" s="5">
        <f>IF(B310="","",IF(AH310=1,0,MIN(5,ROUND((U310+V310+W310+X310+Y310+Z310+AA310+AB310+AC310+AD310+AE310+AF310+AG310)/13,2))))</f>
        <v/>
      </c>
      <c r="S310" s="3">
        <f>IF(B310="","",IF(R310&gt;=5,"A+",IF(R310&gt;=4,"A",IF(R310&gt;=3.5,"A-",IF(R310&gt;=3,"B",IF(R310&gt;=2,"C",IF(R310&gt;=1,"D","F")))))))</f>
        <v/>
      </c>
      <c r="T310" s="3">
        <f>IF(OR(B310="",S310="F"),"",COUNTIFS(P:P,"&gt;"&amp;P310,S:S,"&lt;&gt;F")+1)</f>
        <v/>
      </c>
      <c r="U310">
        <f>IF(B310="","",IF(C310&lt;33.0,0,IF(C310&gt;=100*0.8,5,IF(C310&gt;=100*0.7,4,IF(C310&gt;=100*0.6,3.5,IF(C310&gt;=100*0.5,3,IF(C310&gt;=100*0.4,2,IF(C310&gt;=100*0.33,1,0))))))))</f>
        <v/>
      </c>
      <c r="V310">
        <f>IF(B310="","",IF(D310&lt;33.0,0,IF(D310&gt;=100*0.8,5,IF(D310&gt;=100*0.7,4,IF(D310&gt;=100*0.6,3.5,IF(D310&gt;=100*0.5,3,IF(D310&gt;=100*0.4,2,IF(D310&gt;=100*0.33,1,0))))))))</f>
        <v/>
      </c>
      <c r="W310">
        <f>IF(B310="","",IF(E310&lt;16.5,0,IF(E310&gt;=50*0.8,5,IF(E310&gt;=50*0.7,4,IF(E310&gt;=50*0.6,3.5,IF(E310&gt;=50*0.5,3,IF(E310&gt;=50*0.4,2,IF(E310&gt;=50*0.33,1,0))))))))</f>
        <v/>
      </c>
      <c r="X310">
        <f>IF(B310="","",IF(F310&lt;33.0,0,IF(F310&gt;=100*0.8,5,IF(F310&gt;=100*0.7,4,IF(F310&gt;=100*0.6,3.5,IF(F310&gt;=100*0.5,3,IF(F310&gt;=100*0.4,2,IF(F310&gt;=100*0.33,1,0))))))))</f>
        <v/>
      </c>
      <c r="Y310">
        <f>IF(B310="","",IF(G310&lt;16.5,0,IF(G310&gt;=50*0.8,5,IF(G310&gt;=50*0.7,4,IF(G310&gt;=50*0.6,3.5,IF(G310&gt;=50*0.5,3,IF(G310&gt;=50*0.4,2,IF(G310&gt;=50*0.33,1,0))))))))</f>
        <v/>
      </c>
      <c r="Z310">
        <f>IF(B310="","",IF(H310&lt;33.0,0,IF(H310&gt;=100*0.8,5,IF(H310&gt;=100*0.7,4,IF(H310&gt;=100*0.6,3.5,IF(H310&gt;=100*0.5,3,IF(H310&gt;=100*0.4,2,IF(H310&gt;=100*0.33,1,0))))))))</f>
        <v/>
      </c>
      <c r="AA310">
        <f>IF(B310="","",IF(I310&lt;33.0,0,IF(I310&gt;=100*0.8,5,IF(I310&gt;=100*0.7,4,IF(I310&gt;=100*0.6,3.5,IF(I310&gt;=100*0.5,3,IF(I310&gt;=100*0.4,2,IF(I310&gt;=100*0.33,1,0))))))))</f>
        <v/>
      </c>
      <c r="AB310">
        <f>IF(B310="","",IF(J310&lt;33.0,0,IF(J310&gt;=100*0.8,5,IF(J310&gt;=100*0.7,4,IF(J310&gt;=100*0.6,3.5,IF(J310&gt;=100*0.5,3,IF(J310&gt;=100*0.4,2,IF(J310&gt;=100*0.33,1,0))))))))</f>
        <v/>
      </c>
      <c r="AC310">
        <f>IF(B310="","",IF(K310&lt;33.0,0,IF(K310&gt;=100*0.8,5,IF(K310&gt;=100*0.7,4,IF(K310&gt;=100*0.6,3.5,IF(K310&gt;=100*0.5,3,IF(K310&gt;=100*0.4,2,IF(K310&gt;=100*0.33,1,0))))))))</f>
        <v/>
      </c>
      <c r="AD310">
        <f>IF(B310="","",IF(L310&lt;33.0,0,IF(L310&gt;=100*0.8,5,IF(L310&gt;=100*0.7,4,IF(L310&gt;=100*0.6,3.5,IF(L310&gt;=100*0.5,3,IF(L310&gt;=100*0.4,2,IF(L310&gt;=100*0.33,1,0))))))))</f>
        <v/>
      </c>
      <c r="AE310">
        <f>IF(B310="","",IF(M310&lt;33.0,0,IF(M310&gt;=100*0.8,5,IF(M310&gt;=100*0.7,4,IF(M310&gt;=100*0.6,3.5,IF(M310&gt;=100*0.5,3,IF(M310&gt;=100*0.4,2,IF(M310&gt;=100*0.33,1,0))))))))</f>
        <v/>
      </c>
      <c r="AF310">
        <f>IF(B310="","",IF(N310&lt;16.5,0,IF(N310&gt;=50*0.8,5,IF(N310&gt;=50*0.7,4,IF(N310&gt;=50*0.6,3.5,IF(N310&gt;=50*0.5,3,IF(N310&gt;=50*0.4,2,IF(N310&gt;=50*0.33,1,0))))))))</f>
        <v/>
      </c>
      <c r="AG310">
        <f>IF(B310="","",IF(O310&lt;33.0,0,IF(O310&gt;=100*0.8,5,IF(O310&gt;=100*0.7,4,IF(O310&gt;=100*0.6,3.5,IF(O310&gt;=100*0.5,3,IF(O310&gt;=100*0.4,2,IF(O310&gt;=100*0.33,1,0))))))))</f>
        <v/>
      </c>
      <c r="AH310">
        <f>IF(B310="","",IF(OR(U310=0,V310=0,W310=0,X310=0,Y310=0,Z310=0,AA310=0,AB310=0,AC310=0,AD310=0,AE310=0,AF310=0,AG310=0),1,0))</f>
        <v/>
      </c>
    </row>
    <row r="311">
      <c r="A311" s="3">
        <f>IF(B311="","",ROW()-2)</f>
        <v/>
      </c>
      <c r="P311" s="4">
        <f>IF(B311="","",SUM(C311:O311))</f>
        <v/>
      </c>
      <c r="Q311" s="5">
        <f>IF(B311="","",ROUND(P311/13,2))</f>
        <v/>
      </c>
      <c r="R311" s="5">
        <f>IF(B311="","",IF(AH311=1,0,MIN(5,ROUND((U311+V311+W311+X311+Y311+Z311+AA311+AB311+AC311+AD311+AE311+AF311+AG311)/13,2))))</f>
        <v/>
      </c>
      <c r="S311" s="3">
        <f>IF(B311="","",IF(R311&gt;=5,"A+",IF(R311&gt;=4,"A",IF(R311&gt;=3.5,"A-",IF(R311&gt;=3,"B",IF(R311&gt;=2,"C",IF(R311&gt;=1,"D","F")))))))</f>
        <v/>
      </c>
      <c r="T311" s="3">
        <f>IF(OR(B311="",S311="F"),"",COUNTIFS(P:P,"&gt;"&amp;P311,S:S,"&lt;&gt;F")+1)</f>
        <v/>
      </c>
      <c r="U311">
        <f>IF(B311="","",IF(C311&lt;33.0,0,IF(C311&gt;=100*0.8,5,IF(C311&gt;=100*0.7,4,IF(C311&gt;=100*0.6,3.5,IF(C311&gt;=100*0.5,3,IF(C311&gt;=100*0.4,2,IF(C311&gt;=100*0.33,1,0))))))))</f>
        <v/>
      </c>
      <c r="V311">
        <f>IF(B311="","",IF(D311&lt;33.0,0,IF(D311&gt;=100*0.8,5,IF(D311&gt;=100*0.7,4,IF(D311&gt;=100*0.6,3.5,IF(D311&gt;=100*0.5,3,IF(D311&gt;=100*0.4,2,IF(D311&gt;=100*0.33,1,0))))))))</f>
        <v/>
      </c>
      <c r="W311">
        <f>IF(B311="","",IF(E311&lt;16.5,0,IF(E311&gt;=50*0.8,5,IF(E311&gt;=50*0.7,4,IF(E311&gt;=50*0.6,3.5,IF(E311&gt;=50*0.5,3,IF(E311&gt;=50*0.4,2,IF(E311&gt;=50*0.33,1,0))))))))</f>
        <v/>
      </c>
      <c r="X311">
        <f>IF(B311="","",IF(F311&lt;33.0,0,IF(F311&gt;=100*0.8,5,IF(F311&gt;=100*0.7,4,IF(F311&gt;=100*0.6,3.5,IF(F311&gt;=100*0.5,3,IF(F311&gt;=100*0.4,2,IF(F311&gt;=100*0.33,1,0))))))))</f>
        <v/>
      </c>
      <c r="Y311">
        <f>IF(B311="","",IF(G311&lt;16.5,0,IF(G311&gt;=50*0.8,5,IF(G311&gt;=50*0.7,4,IF(G311&gt;=50*0.6,3.5,IF(G311&gt;=50*0.5,3,IF(G311&gt;=50*0.4,2,IF(G311&gt;=50*0.33,1,0))))))))</f>
        <v/>
      </c>
      <c r="Z311">
        <f>IF(B311="","",IF(H311&lt;33.0,0,IF(H311&gt;=100*0.8,5,IF(H311&gt;=100*0.7,4,IF(H311&gt;=100*0.6,3.5,IF(H311&gt;=100*0.5,3,IF(H311&gt;=100*0.4,2,IF(H311&gt;=100*0.33,1,0))))))))</f>
        <v/>
      </c>
      <c r="AA311">
        <f>IF(B311="","",IF(I311&lt;33.0,0,IF(I311&gt;=100*0.8,5,IF(I311&gt;=100*0.7,4,IF(I311&gt;=100*0.6,3.5,IF(I311&gt;=100*0.5,3,IF(I311&gt;=100*0.4,2,IF(I311&gt;=100*0.33,1,0))))))))</f>
        <v/>
      </c>
      <c r="AB311">
        <f>IF(B311="","",IF(J311&lt;33.0,0,IF(J311&gt;=100*0.8,5,IF(J311&gt;=100*0.7,4,IF(J311&gt;=100*0.6,3.5,IF(J311&gt;=100*0.5,3,IF(J311&gt;=100*0.4,2,IF(J311&gt;=100*0.33,1,0))))))))</f>
        <v/>
      </c>
      <c r="AC311">
        <f>IF(B311="","",IF(K311&lt;33.0,0,IF(K311&gt;=100*0.8,5,IF(K311&gt;=100*0.7,4,IF(K311&gt;=100*0.6,3.5,IF(K311&gt;=100*0.5,3,IF(K311&gt;=100*0.4,2,IF(K311&gt;=100*0.33,1,0))))))))</f>
        <v/>
      </c>
      <c r="AD311">
        <f>IF(B311="","",IF(L311&lt;33.0,0,IF(L311&gt;=100*0.8,5,IF(L311&gt;=100*0.7,4,IF(L311&gt;=100*0.6,3.5,IF(L311&gt;=100*0.5,3,IF(L311&gt;=100*0.4,2,IF(L311&gt;=100*0.33,1,0))))))))</f>
        <v/>
      </c>
      <c r="AE311">
        <f>IF(B311="","",IF(M311&lt;33.0,0,IF(M311&gt;=100*0.8,5,IF(M311&gt;=100*0.7,4,IF(M311&gt;=100*0.6,3.5,IF(M311&gt;=100*0.5,3,IF(M311&gt;=100*0.4,2,IF(M311&gt;=100*0.33,1,0))))))))</f>
        <v/>
      </c>
      <c r="AF311">
        <f>IF(B311="","",IF(N311&lt;16.5,0,IF(N311&gt;=50*0.8,5,IF(N311&gt;=50*0.7,4,IF(N311&gt;=50*0.6,3.5,IF(N311&gt;=50*0.5,3,IF(N311&gt;=50*0.4,2,IF(N311&gt;=50*0.33,1,0))))))))</f>
        <v/>
      </c>
      <c r="AG311">
        <f>IF(B311="","",IF(O311&lt;33.0,0,IF(O311&gt;=100*0.8,5,IF(O311&gt;=100*0.7,4,IF(O311&gt;=100*0.6,3.5,IF(O311&gt;=100*0.5,3,IF(O311&gt;=100*0.4,2,IF(O311&gt;=100*0.33,1,0))))))))</f>
        <v/>
      </c>
      <c r="AH311">
        <f>IF(B311="","",IF(OR(U311=0,V311=0,W311=0,X311=0,Y311=0,Z311=0,AA311=0,AB311=0,AC311=0,AD311=0,AE311=0,AF311=0,AG311=0),1,0))</f>
        <v/>
      </c>
    </row>
    <row r="312">
      <c r="A312" s="3">
        <f>IF(B312="","",ROW()-2)</f>
        <v/>
      </c>
      <c r="P312" s="4">
        <f>IF(B312="","",SUM(C312:O312))</f>
        <v/>
      </c>
      <c r="Q312" s="5">
        <f>IF(B312="","",ROUND(P312/13,2))</f>
        <v/>
      </c>
      <c r="R312" s="5">
        <f>IF(B312="","",IF(AH312=1,0,MIN(5,ROUND((U312+V312+W312+X312+Y312+Z312+AA312+AB312+AC312+AD312+AE312+AF312+AG312)/13,2))))</f>
        <v/>
      </c>
      <c r="S312" s="3">
        <f>IF(B312="","",IF(R312&gt;=5,"A+",IF(R312&gt;=4,"A",IF(R312&gt;=3.5,"A-",IF(R312&gt;=3,"B",IF(R312&gt;=2,"C",IF(R312&gt;=1,"D","F")))))))</f>
        <v/>
      </c>
      <c r="T312" s="3">
        <f>IF(OR(B312="",S312="F"),"",COUNTIFS(P:P,"&gt;"&amp;P312,S:S,"&lt;&gt;F")+1)</f>
        <v/>
      </c>
      <c r="U312">
        <f>IF(B312="","",IF(C312&lt;33.0,0,IF(C312&gt;=100*0.8,5,IF(C312&gt;=100*0.7,4,IF(C312&gt;=100*0.6,3.5,IF(C312&gt;=100*0.5,3,IF(C312&gt;=100*0.4,2,IF(C312&gt;=100*0.33,1,0))))))))</f>
        <v/>
      </c>
      <c r="V312">
        <f>IF(B312="","",IF(D312&lt;33.0,0,IF(D312&gt;=100*0.8,5,IF(D312&gt;=100*0.7,4,IF(D312&gt;=100*0.6,3.5,IF(D312&gt;=100*0.5,3,IF(D312&gt;=100*0.4,2,IF(D312&gt;=100*0.33,1,0))))))))</f>
        <v/>
      </c>
      <c r="W312">
        <f>IF(B312="","",IF(E312&lt;16.5,0,IF(E312&gt;=50*0.8,5,IF(E312&gt;=50*0.7,4,IF(E312&gt;=50*0.6,3.5,IF(E312&gt;=50*0.5,3,IF(E312&gt;=50*0.4,2,IF(E312&gt;=50*0.33,1,0))))))))</f>
        <v/>
      </c>
      <c r="X312">
        <f>IF(B312="","",IF(F312&lt;33.0,0,IF(F312&gt;=100*0.8,5,IF(F312&gt;=100*0.7,4,IF(F312&gt;=100*0.6,3.5,IF(F312&gt;=100*0.5,3,IF(F312&gt;=100*0.4,2,IF(F312&gt;=100*0.33,1,0))))))))</f>
        <v/>
      </c>
      <c r="Y312">
        <f>IF(B312="","",IF(G312&lt;16.5,0,IF(G312&gt;=50*0.8,5,IF(G312&gt;=50*0.7,4,IF(G312&gt;=50*0.6,3.5,IF(G312&gt;=50*0.5,3,IF(G312&gt;=50*0.4,2,IF(G312&gt;=50*0.33,1,0))))))))</f>
        <v/>
      </c>
      <c r="Z312">
        <f>IF(B312="","",IF(H312&lt;33.0,0,IF(H312&gt;=100*0.8,5,IF(H312&gt;=100*0.7,4,IF(H312&gt;=100*0.6,3.5,IF(H312&gt;=100*0.5,3,IF(H312&gt;=100*0.4,2,IF(H312&gt;=100*0.33,1,0))))))))</f>
        <v/>
      </c>
      <c r="AA312">
        <f>IF(B312="","",IF(I312&lt;33.0,0,IF(I312&gt;=100*0.8,5,IF(I312&gt;=100*0.7,4,IF(I312&gt;=100*0.6,3.5,IF(I312&gt;=100*0.5,3,IF(I312&gt;=100*0.4,2,IF(I312&gt;=100*0.33,1,0))))))))</f>
        <v/>
      </c>
      <c r="AB312">
        <f>IF(B312="","",IF(J312&lt;33.0,0,IF(J312&gt;=100*0.8,5,IF(J312&gt;=100*0.7,4,IF(J312&gt;=100*0.6,3.5,IF(J312&gt;=100*0.5,3,IF(J312&gt;=100*0.4,2,IF(J312&gt;=100*0.33,1,0))))))))</f>
        <v/>
      </c>
      <c r="AC312">
        <f>IF(B312="","",IF(K312&lt;33.0,0,IF(K312&gt;=100*0.8,5,IF(K312&gt;=100*0.7,4,IF(K312&gt;=100*0.6,3.5,IF(K312&gt;=100*0.5,3,IF(K312&gt;=100*0.4,2,IF(K312&gt;=100*0.33,1,0))))))))</f>
        <v/>
      </c>
      <c r="AD312">
        <f>IF(B312="","",IF(L312&lt;33.0,0,IF(L312&gt;=100*0.8,5,IF(L312&gt;=100*0.7,4,IF(L312&gt;=100*0.6,3.5,IF(L312&gt;=100*0.5,3,IF(L312&gt;=100*0.4,2,IF(L312&gt;=100*0.33,1,0))))))))</f>
        <v/>
      </c>
      <c r="AE312">
        <f>IF(B312="","",IF(M312&lt;33.0,0,IF(M312&gt;=100*0.8,5,IF(M312&gt;=100*0.7,4,IF(M312&gt;=100*0.6,3.5,IF(M312&gt;=100*0.5,3,IF(M312&gt;=100*0.4,2,IF(M312&gt;=100*0.33,1,0))))))))</f>
        <v/>
      </c>
      <c r="AF312">
        <f>IF(B312="","",IF(N312&lt;16.5,0,IF(N312&gt;=50*0.8,5,IF(N312&gt;=50*0.7,4,IF(N312&gt;=50*0.6,3.5,IF(N312&gt;=50*0.5,3,IF(N312&gt;=50*0.4,2,IF(N312&gt;=50*0.33,1,0))))))))</f>
        <v/>
      </c>
      <c r="AG312">
        <f>IF(B312="","",IF(O312&lt;33.0,0,IF(O312&gt;=100*0.8,5,IF(O312&gt;=100*0.7,4,IF(O312&gt;=100*0.6,3.5,IF(O312&gt;=100*0.5,3,IF(O312&gt;=100*0.4,2,IF(O312&gt;=100*0.33,1,0))))))))</f>
        <v/>
      </c>
      <c r="AH312">
        <f>IF(B312="","",IF(OR(U312=0,V312=0,W312=0,X312=0,Y312=0,Z312=0,AA312=0,AB312=0,AC312=0,AD312=0,AE312=0,AF312=0,AG312=0),1,0))</f>
        <v/>
      </c>
    </row>
    <row r="313">
      <c r="A313" s="3">
        <f>IF(B313="","",ROW()-2)</f>
        <v/>
      </c>
      <c r="P313" s="4">
        <f>IF(B313="","",SUM(C313:O313))</f>
        <v/>
      </c>
      <c r="Q313" s="5">
        <f>IF(B313="","",ROUND(P313/13,2))</f>
        <v/>
      </c>
      <c r="R313" s="5">
        <f>IF(B313="","",IF(AH313=1,0,MIN(5,ROUND((U313+V313+W313+X313+Y313+Z313+AA313+AB313+AC313+AD313+AE313+AF313+AG313)/13,2))))</f>
        <v/>
      </c>
      <c r="S313" s="3">
        <f>IF(B313="","",IF(R313&gt;=5,"A+",IF(R313&gt;=4,"A",IF(R313&gt;=3.5,"A-",IF(R313&gt;=3,"B",IF(R313&gt;=2,"C",IF(R313&gt;=1,"D","F")))))))</f>
        <v/>
      </c>
      <c r="T313" s="3">
        <f>IF(OR(B313="",S313="F"),"",COUNTIFS(P:P,"&gt;"&amp;P313,S:S,"&lt;&gt;F")+1)</f>
        <v/>
      </c>
      <c r="U313">
        <f>IF(B313="","",IF(C313&lt;33.0,0,IF(C313&gt;=100*0.8,5,IF(C313&gt;=100*0.7,4,IF(C313&gt;=100*0.6,3.5,IF(C313&gt;=100*0.5,3,IF(C313&gt;=100*0.4,2,IF(C313&gt;=100*0.33,1,0))))))))</f>
        <v/>
      </c>
      <c r="V313">
        <f>IF(B313="","",IF(D313&lt;33.0,0,IF(D313&gt;=100*0.8,5,IF(D313&gt;=100*0.7,4,IF(D313&gt;=100*0.6,3.5,IF(D313&gt;=100*0.5,3,IF(D313&gt;=100*0.4,2,IF(D313&gt;=100*0.33,1,0))))))))</f>
        <v/>
      </c>
      <c r="W313">
        <f>IF(B313="","",IF(E313&lt;16.5,0,IF(E313&gt;=50*0.8,5,IF(E313&gt;=50*0.7,4,IF(E313&gt;=50*0.6,3.5,IF(E313&gt;=50*0.5,3,IF(E313&gt;=50*0.4,2,IF(E313&gt;=50*0.33,1,0))))))))</f>
        <v/>
      </c>
      <c r="X313">
        <f>IF(B313="","",IF(F313&lt;33.0,0,IF(F313&gt;=100*0.8,5,IF(F313&gt;=100*0.7,4,IF(F313&gt;=100*0.6,3.5,IF(F313&gt;=100*0.5,3,IF(F313&gt;=100*0.4,2,IF(F313&gt;=100*0.33,1,0))))))))</f>
        <v/>
      </c>
      <c r="Y313">
        <f>IF(B313="","",IF(G313&lt;16.5,0,IF(G313&gt;=50*0.8,5,IF(G313&gt;=50*0.7,4,IF(G313&gt;=50*0.6,3.5,IF(G313&gt;=50*0.5,3,IF(G313&gt;=50*0.4,2,IF(G313&gt;=50*0.33,1,0))))))))</f>
        <v/>
      </c>
      <c r="Z313">
        <f>IF(B313="","",IF(H313&lt;33.0,0,IF(H313&gt;=100*0.8,5,IF(H313&gt;=100*0.7,4,IF(H313&gt;=100*0.6,3.5,IF(H313&gt;=100*0.5,3,IF(H313&gt;=100*0.4,2,IF(H313&gt;=100*0.33,1,0))))))))</f>
        <v/>
      </c>
      <c r="AA313">
        <f>IF(B313="","",IF(I313&lt;33.0,0,IF(I313&gt;=100*0.8,5,IF(I313&gt;=100*0.7,4,IF(I313&gt;=100*0.6,3.5,IF(I313&gt;=100*0.5,3,IF(I313&gt;=100*0.4,2,IF(I313&gt;=100*0.33,1,0))))))))</f>
        <v/>
      </c>
      <c r="AB313">
        <f>IF(B313="","",IF(J313&lt;33.0,0,IF(J313&gt;=100*0.8,5,IF(J313&gt;=100*0.7,4,IF(J313&gt;=100*0.6,3.5,IF(J313&gt;=100*0.5,3,IF(J313&gt;=100*0.4,2,IF(J313&gt;=100*0.33,1,0))))))))</f>
        <v/>
      </c>
      <c r="AC313">
        <f>IF(B313="","",IF(K313&lt;33.0,0,IF(K313&gt;=100*0.8,5,IF(K313&gt;=100*0.7,4,IF(K313&gt;=100*0.6,3.5,IF(K313&gt;=100*0.5,3,IF(K313&gt;=100*0.4,2,IF(K313&gt;=100*0.33,1,0))))))))</f>
        <v/>
      </c>
      <c r="AD313">
        <f>IF(B313="","",IF(L313&lt;33.0,0,IF(L313&gt;=100*0.8,5,IF(L313&gt;=100*0.7,4,IF(L313&gt;=100*0.6,3.5,IF(L313&gt;=100*0.5,3,IF(L313&gt;=100*0.4,2,IF(L313&gt;=100*0.33,1,0))))))))</f>
        <v/>
      </c>
      <c r="AE313">
        <f>IF(B313="","",IF(M313&lt;33.0,0,IF(M313&gt;=100*0.8,5,IF(M313&gt;=100*0.7,4,IF(M313&gt;=100*0.6,3.5,IF(M313&gt;=100*0.5,3,IF(M313&gt;=100*0.4,2,IF(M313&gt;=100*0.33,1,0))))))))</f>
        <v/>
      </c>
      <c r="AF313">
        <f>IF(B313="","",IF(N313&lt;16.5,0,IF(N313&gt;=50*0.8,5,IF(N313&gt;=50*0.7,4,IF(N313&gt;=50*0.6,3.5,IF(N313&gt;=50*0.5,3,IF(N313&gt;=50*0.4,2,IF(N313&gt;=50*0.33,1,0))))))))</f>
        <v/>
      </c>
      <c r="AG313">
        <f>IF(B313="","",IF(O313&lt;33.0,0,IF(O313&gt;=100*0.8,5,IF(O313&gt;=100*0.7,4,IF(O313&gt;=100*0.6,3.5,IF(O313&gt;=100*0.5,3,IF(O313&gt;=100*0.4,2,IF(O313&gt;=100*0.33,1,0))))))))</f>
        <v/>
      </c>
      <c r="AH313">
        <f>IF(B313="","",IF(OR(U313=0,V313=0,W313=0,X313=0,Y313=0,Z313=0,AA313=0,AB313=0,AC313=0,AD313=0,AE313=0,AF313=0,AG313=0),1,0))</f>
        <v/>
      </c>
    </row>
    <row r="314">
      <c r="A314" s="3">
        <f>IF(B314="","",ROW()-2)</f>
        <v/>
      </c>
      <c r="P314" s="4">
        <f>IF(B314="","",SUM(C314:O314))</f>
        <v/>
      </c>
      <c r="Q314" s="5">
        <f>IF(B314="","",ROUND(P314/13,2))</f>
        <v/>
      </c>
      <c r="R314" s="5">
        <f>IF(B314="","",IF(AH314=1,0,MIN(5,ROUND((U314+V314+W314+X314+Y314+Z314+AA314+AB314+AC314+AD314+AE314+AF314+AG314)/13,2))))</f>
        <v/>
      </c>
      <c r="S314" s="3">
        <f>IF(B314="","",IF(R314&gt;=5,"A+",IF(R314&gt;=4,"A",IF(R314&gt;=3.5,"A-",IF(R314&gt;=3,"B",IF(R314&gt;=2,"C",IF(R314&gt;=1,"D","F")))))))</f>
        <v/>
      </c>
      <c r="T314" s="3">
        <f>IF(OR(B314="",S314="F"),"",COUNTIFS(P:P,"&gt;"&amp;P314,S:S,"&lt;&gt;F")+1)</f>
        <v/>
      </c>
      <c r="U314">
        <f>IF(B314="","",IF(C314&lt;33.0,0,IF(C314&gt;=100*0.8,5,IF(C314&gt;=100*0.7,4,IF(C314&gt;=100*0.6,3.5,IF(C314&gt;=100*0.5,3,IF(C314&gt;=100*0.4,2,IF(C314&gt;=100*0.33,1,0))))))))</f>
        <v/>
      </c>
      <c r="V314">
        <f>IF(B314="","",IF(D314&lt;33.0,0,IF(D314&gt;=100*0.8,5,IF(D314&gt;=100*0.7,4,IF(D314&gt;=100*0.6,3.5,IF(D314&gt;=100*0.5,3,IF(D314&gt;=100*0.4,2,IF(D314&gt;=100*0.33,1,0))))))))</f>
        <v/>
      </c>
      <c r="W314">
        <f>IF(B314="","",IF(E314&lt;16.5,0,IF(E314&gt;=50*0.8,5,IF(E314&gt;=50*0.7,4,IF(E314&gt;=50*0.6,3.5,IF(E314&gt;=50*0.5,3,IF(E314&gt;=50*0.4,2,IF(E314&gt;=50*0.33,1,0))))))))</f>
        <v/>
      </c>
      <c r="X314">
        <f>IF(B314="","",IF(F314&lt;33.0,0,IF(F314&gt;=100*0.8,5,IF(F314&gt;=100*0.7,4,IF(F314&gt;=100*0.6,3.5,IF(F314&gt;=100*0.5,3,IF(F314&gt;=100*0.4,2,IF(F314&gt;=100*0.33,1,0))))))))</f>
        <v/>
      </c>
      <c r="Y314">
        <f>IF(B314="","",IF(G314&lt;16.5,0,IF(G314&gt;=50*0.8,5,IF(G314&gt;=50*0.7,4,IF(G314&gt;=50*0.6,3.5,IF(G314&gt;=50*0.5,3,IF(G314&gt;=50*0.4,2,IF(G314&gt;=50*0.33,1,0))))))))</f>
        <v/>
      </c>
      <c r="Z314">
        <f>IF(B314="","",IF(H314&lt;33.0,0,IF(H314&gt;=100*0.8,5,IF(H314&gt;=100*0.7,4,IF(H314&gt;=100*0.6,3.5,IF(H314&gt;=100*0.5,3,IF(H314&gt;=100*0.4,2,IF(H314&gt;=100*0.33,1,0))))))))</f>
        <v/>
      </c>
      <c r="AA314">
        <f>IF(B314="","",IF(I314&lt;33.0,0,IF(I314&gt;=100*0.8,5,IF(I314&gt;=100*0.7,4,IF(I314&gt;=100*0.6,3.5,IF(I314&gt;=100*0.5,3,IF(I314&gt;=100*0.4,2,IF(I314&gt;=100*0.33,1,0))))))))</f>
        <v/>
      </c>
      <c r="AB314">
        <f>IF(B314="","",IF(J314&lt;33.0,0,IF(J314&gt;=100*0.8,5,IF(J314&gt;=100*0.7,4,IF(J314&gt;=100*0.6,3.5,IF(J314&gt;=100*0.5,3,IF(J314&gt;=100*0.4,2,IF(J314&gt;=100*0.33,1,0))))))))</f>
        <v/>
      </c>
      <c r="AC314">
        <f>IF(B314="","",IF(K314&lt;33.0,0,IF(K314&gt;=100*0.8,5,IF(K314&gt;=100*0.7,4,IF(K314&gt;=100*0.6,3.5,IF(K314&gt;=100*0.5,3,IF(K314&gt;=100*0.4,2,IF(K314&gt;=100*0.33,1,0))))))))</f>
        <v/>
      </c>
      <c r="AD314">
        <f>IF(B314="","",IF(L314&lt;33.0,0,IF(L314&gt;=100*0.8,5,IF(L314&gt;=100*0.7,4,IF(L314&gt;=100*0.6,3.5,IF(L314&gt;=100*0.5,3,IF(L314&gt;=100*0.4,2,IF(L314&gt;=100*0.33,1,0))))))))</f>
        <v/>
      </c>
      <c r="AE314">
        <f>IF(B314="","",IF(M314&lt;33.0,0,IF(M314&gt;=100*0.8,5,IF(M314&gt;=100*0.7,4,IF(M314&gt;=100*0.6,3.5,IF(M314&gt;=100*0.5,3,IF(M314&gt;=100*0.4,2,IF(M314&gt;=100*0.33,1,0))))))))</f>
        <v/>
      </c>
      <c r="AF314">
        <f>IF(B314="","",IF(N314&lt;16.5,0,IF(N314&gt;=50*0.8,5,IF(N314&gt;=50*0.7,4,IF(N314&gt;=50*0.6,3.5,IF(N314&gt;=50*0.5,3,IF(N314&gt;=50*0.4,2,IF(N314&gt;=50*0.33,1,0))))))))</f>
        <v/>
      </c>
      <c r="AG314">
        <f>IF(B314="","",IF(O314&lt;33.0,0,IF(O314&gt;=100*0.8,5,IF(O314&gt;=100*0.7,4,IF(O314&gt;=100*0.6,3.5,IF(O314&gt;=100*0.5,3,IF(O314&gt;=100*0.4,2,IF(O314&gt;=100*0.33,1,0))))))))</f>
        <v/>
      </c>
      <c r="AH314">
        <f>IF(B314="","",IF(OR(U314=0,V314=0,W314=0,X314=0,Y314=0,Z314=0,AA314=0,AB314=0,AC314=0,AD314=0,AE314=0,AF314=0,AG314=0),1,0))</f>
        <v/>
      </c>
    </row>
    <row r="315">
      <c r="A315" s="3">
        <f>IF(B315="","",ROW()-2)</f>
        <v/>
      </c>
      <c r="P315" s="4">
        <f>IF(B315="","",SUM(C315:O315))</f>
        <v/>
      </c>
      <c r="Q315" s="5">
        <f>IF(B315="","",ROUND(P315/13,2))</f>
        <v/>
      </c>
      <c r="R315" s="5">
        <f>IF(B315="","",IF(AH315=1,0,MIN(5,ROUND((U315+V315+W315+X315+Y315+Z315+AA315+AB315+AC315+AD315+AE315+AF315+AG315)/13,2))))</f>
        <v/>
      </c>
      <c r="S315" s="3">
        <f>IF(B315="","",IF(R315&gt;=5,"A+",IF(R315&gt;=4,"A",IF(R315&gt;=3.5,"A-",IF(R315&gt;=3,"B",IF(R315&gt;=2,"C",IF(R315&gt;=1,"D","F")))))))</f>
        <v/>
      </c>
      <c r="T315" s="3">
        <f>IF(OR(B315="",S315="F"),"",COUNTIFS(P:P,"&gt;"&amp;P315,S:S,"&lt;&gt;F")+1)</f>
        <v/>
      </c>
      <c r="U315">
        <f>IF(B315="","",IF(C315&lt;33.0,0,IF(C315&gt;=100*0.8,5,IF(C315&gt;=100*0.7,4,IF(C315&gt;=100*0.6,3.5,IF(C315&gt;=100*0.5,3,IF(C315&gt;=100*0.4,2,IF(C315&gt;=100*0.33,1,0))))))))</f>
        <v/>
      </c>
      <c r="V315">
        <f>IF(B315="","",IF(D315&lt;33.0,0,IF(D315&gt;=100*0.8,5,IF(D315&gt;=100*0.7,4,IF(D315&gt;=100*0.6,3.5,IF(D315&gt;=100*0.5,3,IF(D315&gt;=100*0.4,2,IF(D315&gt;=100*0.33,1,0))))))))</f>
        <v/>
      </c>
      <c r="W315">
        <f>IF(B315="","",IF(E315&lt;16.5,0,IF(E315&gt;=50*0.8,5,IF(E315&gt;=50*0.7,4,IF(E315&gt;=50*0.6,3.5,IF(E315&gt;=50*0.5,3,IF(E315&gt;=50*0.4,2,IF(E315&gt;=50*0.33,1,0))))))))</f>
        <v/>
      </c>
      <c r="X315">
        <f>IF(B315="","",IF(F315&lt;33.0,0,IF(F315&gt;=100*0.8,5,IF(F315&gt;=100*0.7,4,IF(F315&gt;=100*0.6,3.5,IF(F315&gt;=100*0.5,3,IF(F315&gt;=100*0.4,2,IF(F315&gt;=100*0.33,1,0))))))))</f>
        <v/>
      </c>
      <c r="Y315">
        <f>IF(B315="","",IF(G315&lt;16.5,0,IF(G315&gt;=50*0.8,5,IF(G315&gt;=50*0.7,4,IF(G315&gt;=50*0.6,3.5,IF(G315&gt;=50*0.5,3,IF(G315&gt;=50*0.4,2,IF(G315&gt;=50*0.33,1,0))))))))</f>
        <v/>
      </c>
      <c r="Z315">
        <f>IF(B315="","",IF(H315&lt;33.0,0,IF(H315&gt;=100*0.8,5,IF(H315&gt;=100*0.7,4,IF(H315&gt;=100*0.6,3.5,IF(H315&gt;=100*0.5,3,IF(H315&gt;=100*0.4,2,IF(H315&gt;=100*0.33,1,0))))))))</f>
        <v/>
      </c>
      <c r="AA315">
        <f>IF(B315="","",IF(I315&lt;33.0,0,IF(I315&gt;=100*0.8,5,IF(I315&gt;=100*0.7,4,IF(I315&gt;=100*0.6,3.5,IF(I315&gt;=100*0.5,3,IF(I315&gt;=100*0.4,2,IF(I315&gt;=100*0.33,1,0))))))))</f>
        <v/>
      </c>
      <c r="AB315">
        <f>IF(B315="","",IF(J315&lt;33.0,0,IF(J315&gt;=100*0.8,5,IF(J315&gt;=100*0.7,4,IF(J315&gt;=100*0.6,3.5,IF(J315&gt;=100*0.5,3,IF(J315&gt;=100*0.4,2,IF(J315&gt;=100*0.33,1,0))))))))</f>
        <v/>
      </c>
      <c r="AC315">
        <f>IF(B315="","",IF(K315&lt;33.0,0,IF(K315&gt;=100*0.8,5,IF(K315&gt;=100*0.7,4,IF(K315&gt;=100*0.6,3.5,IF(K315&gt;=100*0.5,3,IF(K315&gt;=100*0.4,2,IF(K315&gt;=100*0.33,1,0))))))))</f>
        <v/>
      </c>
      <c r="AD315">
        <f>IF(B315="","",IF(L315&lt;33.0,0,IF(L315&gt;=100*0.8,5,IF(L315&gt;=100*0.7,4,IF(L315&gt;=100*0.6,3.5,IF(L315&gt;=100*0.5,3,IF(L315&gt;=100*0.4,2,IF(L315&gt;=100*0.33,1,0))))))))</f>
        <v/>
      </c>
      <c r="AE315">
        <f>IF(B315="","",IF(M315&lt;33.0,0,IF(M315&gt;=100*0.8,5,IF(M315&gt;=100*0.7,4,IF(M315&gt;=100*0.6,3.5,IF(M315&gt;=100*0.5,3,IF(M315&gt;=100*0.4,2,IF(M315&gt;=100*0.33,1,0))))))))</f>
        <v/>
      </c>
      <c r="AF315">
        <f>IF(B315="","",IF(N315&lt;16.5,0,IF(N315&gt;=50*0.8,5,IF(N315&gt;=50*0.7,4,IF(N315&gt;=50*0.6,3.5,IF(N315&gt;=50*0.5,3,IF(N315&gt;=50*0.4,2,IF(N315&gt;=50*0.33,1,0))))))))</f>
        <v/>
      </c>
      <c r="AG315">
        <f>IF(B315="","",IF(O315&lt;33.0,0,IF(O315&gt;=100*0.8,5,IF(O315&gt;=100*0.7,4,IF(O315&gt;=100*0.6,3.5,IF(O315&gt;=100*0.5,3,IF(O315&gt;=100*0.4,2,IF(O315&gt;=100*0.33,1,0))))))))</f>
        <v/>
      </c>
      <c r="AH315">
        <f>IF(B315="","",IF(OR(U315=0,V315=0,W315=0,X315=0,Y315=0,Z315=0,AA315=0,AB315=0,AC315=0,AD315=0,AE315=0,AF315=0,AG315=0),1,0))</f>
        <v/>
      </c>
    </row>
    <row r="316">
      <c r="A316" s="3">
        <f>IF(B316="","",ROW()-2)</f>
        <v/>
      </c>
      <c r="P316" s="4">
        <f>IF(B316="","",SUM(C316:O316))</f>
        <v/>
      </c>
      <c r="Q316" s="5">
        <f>IF(B316="","",ROUND(P316/13,2))</f>
        <v/>
      </c>
      <c r="R316" s="5">
        <f>IF(B316="","",IF(AH316=1,0,MIN(5,ROUND((U316+V316+W316+X316+Y316+Z316+AA316+AB316+AC316+AD316+AE316+AF316+AG316)/13,2))))</f>
        <v/>
      </c>
      <c r="S316" s="3">
        <f>IF(B316="","",IF(R316&gt;=5,"A+",IF(R316&gt;=4,"A",IF(R316&gt;=3.5,"A-",IF(R316&gt;=3,"B",IF(R316&gt;=2,"C",IF(R316&gt;=1,"D","F")))))))</f>
        <v/>
      </c>
      <c r="T316" s="3">
        <f>IF(OR(B316="",S316="F"),"",COUNTIFS(P:P,"&gt;"&amp;P316,S:S,"&lt;&gt;F")+1)</f>
        <v/>
      </c>
      <c r="U316">
        <f>IF(B316="","",IF(C316&lt;33.0,0,IF(C316&gt;=100*0.8,5,IF(C316&gt;=100*0.7,4,IF(C316&gt;=100*0.6,3.5,IF(C316&gt;=100*0.5,3,IF(C316&gt;=100*0.4,2,IF(C316&gt;=100*0.33,1,0))))))))</f>
        <v/>
      </c>
      <c r="V316">
        <f>IF(B316="","",IF(D316&lt;33.0,0,IF(D316&gt;=100*0.8,5,IF(D316&gt;=100*0.7,4,IF(D316&gt;=100*0.6,3.5,IF(D316&gt;=100*0.5,3,IF(D316&gt;=100*0.4,2,IF(D316&gt;=100*0.33,1,0))))))))</f>
        <v/>
      </c>
      <c r="W316">
        <f>IF(B316="","",IF(E316&lt;16.5,0,IF(E316&gt;=50*0.8,5,IF(E316&gt;=50*0.7,4,IF(E316&gt;=50*0.6,3.5,IF(E316&gt;=50*0.5,3,IF(E316&gt;=50*0.4,2,IF(E316&gt;=50*0.33,1,0))))))))</f>
        <v/>
      </c>
      <c r="X316">
        <f>IF(B316="","",IF(F316&lt;33.0,0,IF(F316&gt;=100*0.8,5,IF(F316&gt;=100*0.7,4,IF(F316&gt;=100*0.6,3.5,IF(F316&gt;=100*0.5,3,IF(F316&gt;=100*0.4,2,IF(F316&gt;=100*0.33,1,0))))))))</f>
        <v/>
      </c>
      <c r="Y316">
        <f>IF(B316="","",IF(G316&lt;16.5,0,IF(G316&gt;=50*0.8,5,IF(G316&gt;=50*0.7,4,IF(G316&gt;=50*0.6,3.5,IF(G316&gt;=50*0.5,3,IF(G316&gt;=50*0.4,2,IF(G316&gt;=50*0.33,1,0))))))))</f>
        <v/>
      </c>
      <c r="Z316">
        <f>IF(B316="","",IF(H316&lt;33.0,0,IF(H316&gt;=100*0.8,5,IF(H316&gt;=100*0.7,4,IF(H316&gt;=100*0.6,3.5,IF(H316&gt;=100*0.5,3,IF(H316&gt;=100*0.4,2,IF(H316&gt;=100*0.33,1,0))))))))</f>
        <v/>
      </c>
      <c r="AA316">
        <f>IF(B316="","",IF(I316&lt;33.0,0,IF(I316&gt;=100*0.8,5,IF(I316&gt;=100*0.7,4,IF(I316&gt;=100*0.6,3.5,IF(I316&gt;=100*0.5,3,IF(I316&gt;=100*0.4,2,IF(I316&gt;=100*0.33,1,0))))))))</f>
        <v/>
      </c>
      <c r="AB316">
        <f>IF(B316="","",IF(J316&lt;33.0,0,IF(J316&gt;=100*0.8,5,IF(J316&gt;=100*0.7,4,IF(J316&gt;=100*0.6,3.5,IF(J316&gt;=100*0.5,3,IF(J316&gt;=100*0.4,2,IF(J316&gt;=100*0.33,1,0))))))))</f>
        <v/>
      </c>
      <c r="AC316">
        <f>IF(B316="","",IF(K316&lt;33.0,0,IF(K316&gt;=100*0.8,5,IF(K316&gt;=100*0.7,4,IF(K316&gt;=100*0.6,3.5,IF(K316&gt;=100*0.5,3,IF(K316&gt;=100*0.4,2,IF(K316&gt;=100*0.33,1,0))))))))</f>
        <v/>
      </c>
      <c r="AD316">
        <f>IF(B316="","",IF(L316&lt;33.0,0,IF(L316&gt;=100*0.8,5,IF(L316&gt;=100*0.7,4,IF(L316&gt;=100*0.6,3.5,IF(L316&gt;=100*0.5,3,IF(L316&gt;=100*0.4,2,IF(L316&gt;=100*0.33,1,0))))))))</f>
        <v/>
      </c>
      <c r="AE316">
        <f>IF(B316="","",IF(M316&lt;33.0,0,IF(M316&gt;=100*0.8,5,IF(M316&gt;=100*0.7,4,IF(M316&gt;=100*0.6,3.5,IF(M316&gt;=100*0.5,3,IF(M316&gt;=100*0.4,2,IF(M316&gt;=100*0.33,1,0))))))))</f>
        <v/>
      </c>
      <c r="AF316">
        <f>IF(B316="","",IF(N316&lt;16.5,0,IF(N316&gt;=50*0.8,5,IF(N316&gt;=50*0.7,4,IF(N316&gt;=50*0.6,3.5,IF(N316&gt;=50*0.5,3,IF(N316&gt;=50*0.4,2,IF(N316&gt;=50*0.33,1,0))))))))</f>
        <v/>
      </c>
      <c r="AG316">
        <f>IF(B316="","",IF(O316&lt;33.0,0,IF(O316&gt;=100*0.8,5,IF(O316&gt;=100*0.7,4,IF(O316&gt;=100*0.6,3.5,IF(O316&gt;=100*0.5,3,IF(O316&gt;=100*0.4,2,IF(O316&gt;=100*0.33,1,0))))))))</f>
        <v/>
      </c>
      <c r="AH316">
        <f>IF(B316="","",IF(OR(U316=0,V316=0,W316=0,X316=0,Y316=0,Z316=0,AA316=0,AB316=0,AC316=0,AD316=0,AE316=0,AF316=0,AG316=0),1,0))</f>
        <v/>
      </c>
    </row>
    <row r="317">
      <c r="A317" s="3">
        <f>IF(B317="","",ROW()-2)</f>
        <v/>
      </c>
      <c r="P317" s="4">
        <f>IF(B317="","",SUM(C317:O317))</f>
        <v/>
      </c>
      <c r="Q317" s="5">
        <f>IF(B317="","",ROUND(P317/13,2))</f>
        <v/>
      </c>
      <c r="R317" s="5">
        <f>IF(B317="","",IF(AH317=1,0,MIN(5,ROUND((U317+V317+W317+X317+Y317+Z317+AA317+AB317+AC317+AD317+AE317+AF317+AG317)/13,2))))</f>
        <v/>
      </c>
      <c r="S317" s="3">
        <f>IF(B317="","",IF(R317&gt;=5,"A+",IF(R317&gt;=4,"A",IF(R317&gt;=3.5,"A-",IF(R317&gt;=3,"B",IF(R317&gt;=2,"C",IF(R317&gt;=1,"D","F")))))))</f>
        <v/>
      </c>
      <c r="T317" s="3">
        <f>IF(OR(B317="",S317="F"),"",COUNTIFS(P:P,"&gt;"&amp;P317,S:S,"&lt;&gt;F")+1)</f>
        <v/>
      </c>
      <c r="U317">
        <f>IF(B317="","",IF(C317&lt;33.0,0,IF(C317&gt;=100*0.8,5,IF(C317&gt;=100*0.7,4,IF(C317&gt;=100*0.6,3.5,IF(C317&gt;=100*0.5,3,IF(C317&gt;=100*0.4,2,IF(C317&gt;=100*0.33,1,0))))))))</f>
        <v/>
      </c>
      <c r="V317">
        <f>IF(B317="","",IF(D317&lt;33.0,0,IF(D317&gt;=100*0.8,5,IF(D317&gt;=100*0.7,4,IF(D317&gt;=100*0.6,3.5,IF(D317&gt;=100*0.5,3,IF(D317&gt;=100*0.4,2,IF(D317&gt;=100*0.33,1,0))))))))</f>
        <v/>
      </c>
      <c r="W317">
        <f>IF(B317="","",IF(E317&lt;16.5,0,IF(E317&gt;=50*0.8,5,IF(E317&gt;=50*0.7,4,IF(E317&gt;=50*0.6,3.5,IF(E317&gt;=50*0.5,3,IF(E317&gt;=50*0.4,2,IF(E317&gt;=50*0.33,1,0))))))))</f>
        <v/>
      </c>
      <c r="X317">
        <f>IF(B317="","",IF(F317&lt;33.0,0,IF(F317&gt;=100*0.8,5,IF(F317&gt;=100*0.7,4,IF(F317&gt;=100*0.6,3.5,IF(F317&gt;=100*0.5,3,IF(F317&gt;=100*0.4,2,IF(F317&gt;=100*0.33,1,0))))))))</f>
        <v/>
      </c>
      <c r="Y317">
        <f>IF(B317="","",IF(G317&lt;16.5,0,IF(G317&gt;=50*0.8,5,IF(G317&gt;=50*0.7,4,IF(G317&gt;=50*0.6,3.5,IF(G317&gt;=50*0.5,3,IF(G317&gt;=50*0.4,2,IF(G317&gt;=50*0.33,1,0))))))))</f>
        <v/>
      </c>
      <c r="Z317">
        <f>IF(B317="","",IF(H317&lt;33.0,0,IF(H317&gt;=100*0.8,5,IF(H317&gt;=100*0.7,4,IF(H317&gt;=100*0.6,3.5,IF(H317&gt;=100*0.5,3,IF(H317&gt;=100*0.4,2,IF(H317&gt;=100*0.33,1,0))))))))</f>
        <v/>
      </c>
      <c r="AA317">
        <f>IF(B317="","",IF(I317&lt;33.0,0,IF(I317&gt;=100*0.8,5,IF(I317&gt;=100*0.7,4,IF(I317&gt;=100*0.6,3.5,IF(I317&gt;=100*0.5,3,IF(I317&gt;=100*0.4,2,IF(I317&gt;=100*0.33,1,0))))))))</f>
        <v/>
      </c>
      <c r="AB317">
        <f>IF(B317="","",IF(J317&lt;33.0,0,IF(J317&gt;=100*0.8,5,IF(J317&gt;=100*0.7,4,IF(J317&gt;=100*0.6,3.5,IF(J317&gt;=100*0.5,3,IF(J317&gt;=100*0.4,2,IF(J317&gt;=100*0.33,1,0))))))))</f>
        <v/>
      </c>
      <c r="AC317">
        <f>IF(B317="","",IF(K317&lt;33.0,0,IF(K317&gt;=100*0.8,5,IF(K317&gt;=100*0.7,4,IF(K317&gt;=100*0.6,3.5,IF(K317&gt;=100*0.5,3,IF(K317&gt;=100*0.4,2,IF(K317&gt;=100*0.33,1,0))))))))</f>
        <v/>
      </c>
      <c r="AD317">
        <f>IF(B317="","",IF(L317&lt;33.0,0,IF(L317&gt;=100*0.8,5,IF(L317&gt;=100*0.7,4,IF(L317&gt;=100*0.6,3.5,IF(L317&gt;=100*0.5,3,IF(L317&gt;=100*0.4,2,IF(L317&gt;=100*0.33,1,0))))))))</f>
        <v/>
      </c>
      <c r="AE317">
        <f>IF(B317="","",IF(M317&lt;33.0,0,IF(M317&gt;=100*0.8,5,IF(M317&gt;=100*0.7,4,IF(M317&gt;=100*0.6,3.5,IF(M317&gt;=100*0.5,3,IF(M317&gt;=100*0.4,2,IF(M317&gt;=100*0.33,1,0))))))))</f>
        <v/>
      </c>
      <c r="AF317">
        <f>IF(B317="","",IF(N317&lt;16.5,0,IF(N317&gt;=50*0.8,5,IF(N317&gt;=50*0.7,4,IF(N317&gt;=50*0.6,3.5,IF(N317&gt;=50*0.5,3,IF(N317&gt;=50*0.4,2,IF(N317&gt;=50*0.33,1,0))))))))</f>
        <v/>
      </c>
      <c r="AG317">
        <f>IF(B317="","",IF(O317&lt;33.0,0,IF(O317&gt;=100*0.8,5,IF(O317&gt;=100*0.7,4,IF(O317&gt;=100*0.6,3.5,IF(O317&gt;=100*0.5,3,IF(O317&gt;=100*0.4,2,IF(O317&gt;=100*0.33,1,0))))))))</f>
        <v/>
      </c>
      <c r="AH317">
        <f>IF(B317="","",IF(OR(U317=0,V317=0,W317=0,X317=0,Y317=0,Z317=0,AA317=0,AB317=0,AC317=0,AD317=0,AE317=0,AF317=0,AG317=0),1,0))</f>
        <v/>
      </c>
    </row>
    <row r="318">
      <c r="A318" s="3">
        <f>IF(B318="","",ROW()-2)</f>
        <v/>
      </c>
      <c r="P318" s="4">
        <f>IF(B318="","",SUM(C318:O318))</f>
        <v/>
      </c>
      <c r="Q318" s="5">
        <f>IF(B318="","",ROUND(P318/13,2))</f>
        <v/>
      </c>
      <c r="R318" s="5">
        <f>IF(B318="","",IF(AH318=1,0,MIN(5,ROUND((U318+V318+W318+X318+Y318+Z318+AA318+AB318+AC318+AD318+AE318+AF318+AG318)/13,2))))</f>
        <v/>
      </c>
      <c r="S318" s="3">
        <f>IF(B318="","",IF(R318&gt;=5,"A+",IF(R318&gt;=4,"A",IF(R318&gt;=3.5,"A-",IF(R318&gt;=3,"B",IF(R318&gt;=2,"C",IF(R318&gt;=1,"D","F")))))))</f>
        <v/>
      </c>
      <c r="T318" s="3">
        <f>IF(OR(B318="",S318="F"),"",COUNTIFS(P:P,"&gt;"&amp;P318,S:S,"&lt;&gt;F")+1)</f>
        <v/>
      </c>
      <c r="U318">
        <f>IF(B318="","",IF(C318&lt;33.0,0,IF(C318&gt;=100*0.8,5,IF(C318&gt;=100*0.7,4,IF(C318&gt;=100*0.6,3.5,IF(C318&gt;=100*0.5,3,IF(C318&gt;=100*0.4,2,IF(C318&gt;=100*0.33,1,0))))))))</f>
        <v/>
      </c>
      <c r="V318">
        <f>IF(B318="","",IF(D318&lt;33.0,0,IF(D318&gt;=100*0.8,5,IF(D318&gt;=100*0.7,4,IF(D318&gt;=100*0.6,3.5,IF(D318&gt;=100*0.5,3,IF(D318&gt;=100*0.4,2,IF(D318&gt;=100*0.33,1,0))))))))</f>
        <v/>
      </c>
      <c r="W318">
        <f>IF(B318="","",IF(E318&lt;16.5,0,IF(E318&gt;=50*0.8,5,IF(E318&gt;=50*0.7,4,IF(E318&gt;=50*0.6,3.5,IF(E318&gt;=50*0.5,3,IF(E318&gt;=50*0.4,2,IF(E318&gt;=50*0.33,1,0))))))))</f>
        <v/>
      </c>
      <c r="X318">
        <f>IF(B318="","",IF(F318&lt;33.0,0,IF(F318&gt;=100*0.8,5,IF(F318&gt;=100*0.7,4,IF(F318&gt;=100*0.6,3.5,IF(F318&gt;=100*0.5,3,IF(F318&gt;=100*0.4,2,IF(F318&gt;=100*0.33,1,0))))))))</f>
        <v/>
      </c>
      <c r="Y318">
        <f>IF(B318="","",IF(G318&lt;16.5,0,IF(G318&gt;=50*0.8,5,IF(G318&gt;=50*0.7,4,IF(G318&gt;=50*0.6,3.5,IF(G318&gt;=50*0.5,3,IF(G318&gt;=50*0.4,2,IF(G318&gt;=50*0.33,1,0))))))))</f>
        <v/>
      </c>
      <c r="Z318">
        <f>IF(B318="","",IF(H318&lt;33.0,0,IF(H318&gt;=100*0.8,5,IF(H318&gt;=100*0.7,4,IF(H318&gt;=100*0.6,3.5,IF(H318&gt;=100*0.5,3,IF(H318&gt;=100*0.4,2,IF(H318&gt;=100*0.33,1,0))))))))</f>
        <v/>
      </c>
      <c r="AA318">
        <f>IF(B318="","",IF(I318&lt;33.0,0,IF(I318&gt;=100*0.8,5,IF(I318&gt;=100*0.7,4,IF(I318&gt;=100*0.6,3.5,IF(I318&gt;=100*0.5,3,IF(I318&gt;=100*0.4,2,IF(I318&gt;=100*0.33,1,0))))))))</f>
        <v/>
      </c>
      <c r="AB318">
        <f>IF(B318="","",IF(J318&lt;33.0,0,IF(J318&gt;=100*0.8,5,IF(J318&gt;=100*0.7,4,IF(J318&gt;=100*0.6,3.5,IF(J318&gt;=100*0.5,3,IF(J318&gt;=100*0.4,2,IF(J318&gt;=100*0.33,1,0))))))))</f>
        <v/>
      </c>
      <c r="AC318">
        <f>IF(B318="","",IF(K318&lt;33.0,0,IF(K318&gt;=100*0.8,5,IF(K318&gt;=100*0.7,4,IF(K318&gt;=100*0.6,3.5,IF(K318&gt;=100*0.5,3,IF(K318&gt;=100*0.4,2,IF(K318&gt;=100*0.33,1,0))))))))</f>
        <v/>
      </c>
      <c r="AD318">
        <f>IF(B318="","",IF(L318&lt;33.0,0,IF(L318&gt;=100*0.8,5,IF(L318&gt;=100*0.7,4,IF(L318&gt;=100*0.6,3.5,IF(L318&gt;=100*0.5,3,IF(L318&gt;=100*0.4,2,IF(L318&gt;=100*0.33,1,0))))))))</f>
        <v/>
      </c>
      <c r="AE318">
        <f>IF(B318="","",IF(M318&lt;33.0,0,IF(M318&gt;=100*0.8,5,IF(M318&gt;=100*0.7,4,IF(M318&gt;=100*0.6,3.5,IF(M318&gt;=100*0.5,3,IF(M318&gt;=100*0.4,2,IF(M318&gt;=100*0.33,1,0))))))))</f>
        <v/>
      </c>
      <c r="AF318">
        <f>IF(B318="","",IF(N318&lt;16.5,0,IF(N318&gt;=50*0.8,5,IF(N318&gt;=50*0.7,4,IF(N318&gt;=50*0.6,3.5,IF(N318&gt;=50*0.5,3,IF(N318&gt;=50*0.4,2,IF(N318&gt;=50*0.33,1,0))))))))</f>
        <v/>
      </c>
      <c r="AG318">
        <f>IF(B318="","",IF(O318&lt;33.0,0,IF(O318&gt;=100*0.8,5,IF(O318&gt;=100*0.7,4,IF(O318&gt;=100*0.6,3.5,IF(O318&gt;=100*0.5,3,IF(O318&gt;=100*0.4,2,IF(O318&gt;=100*0.33,1,0))))))))</f>
        <v/>
      </c>
      <c r="AH318">
        <f>IF(B318="","",IF(OR(U318=0,V318=0,W318=0,X318=0,Y318=0,Z318=0,AA318=0,AB318=0,AC318=0,AD318=0,AE318=0,AF318=0,AG318=0),1,0))</f>
        <v/>
      </c>
    </row>
    <row r="319">
      <c r="A319" s="3">
        <f>IF(B319="","",ROW()-2)</f>
        <v/>
      </c>
      <c r="P319" s="4">
        <f>IF(B319="","",SUM(C319:O319))</f>
        <v/>
      </c>
      <c r="Q319" s="5">
        <f>IF(B319="","",ROUND(P319/13,2))</f>
        <v/>
      </c>
      <c r="R319" s="5">
        <f>IF(B319="","",IF(AH319=1,0,MIN(5,ROUND((U319+V319+W319+X319+Y319+Z319+AA319+AB319+AC319+AD319+AE319+AF319+AG319)/13,2))))</f>
        <v/>
      </c>
      <c r="S319" s="3">
        <f>IF(B319="","",IF(R319&gt;=5,"A+",IF(R319&gt;=4,"A",IF(R319&gt;=3.5,"A-",IF(R319&gt;=3,"B",IF(R319&gt;=2,"C",IF(R319&gt;=1,"D","F")))))))</f>
        <v/>
      </c>
      <c r="T319" s="3">
        <f>IF(OR(B319="",S319="F"),"",COUNTIFS(P:P,"&gt;"&amp;P319,S:S,"&lt;&gt;F")+1)</f>
        <v/>
      </c>
      <c r="U319">
        <f>IF(B319="","",IF(C319&lt;33.0,0,IF(C319&gt;=100*0.8,5,IF(C319&gt;=100*0.7,4,IF(C319&gt;=100*0.6,3.5,IF(C319&gt;=100*0.5,3,IF(C319&gt;=100*0.4,2,IF(C319&gt;=100*0.33,1,0))))))))</f>
        <v/>
      </c>
      <c r="V319">
        <f>IF(B319="","",IF(D319&lt;33.0,0,IF(D319&gt;=100*0.8,5,IF(D319&gt;=100*0.7,4,IF(D319&gt;=100*0.6,3.5,IF(D319&gt;=100*0.5,3,IF(D319&gt;=100*0.4,2,IF(D319&gt;=100*0.33,1,0))))))))</f>
        <v/>
      </c>
      <c r="W319">
        <f>IF(B319="","",IF(E319&lt;16.5,0,IF(E319&gt;=50*0.8,5,IF(E319&gt;=50*0.7,4,IF(E319&gt;=50*0.6,3.5,IF(E319&gt;=50*0.5,3,IF(E319&gt;=50*0.4,2,IF(E319&gt;=50*0.33,1,0))))))))</f>
        <v/>
      </c>
      <c r="X319">
        <f>IF(B319="","",IF(F319&lt;33.0,0,IF(F319&gt;=100*0.8,5,IF(F319&gt;=100*0.7,4,IF(F319&gt;=100*0.6,3.5,IF(F319&gt;=100*0.5,3,IF(F319&gt;=100*0.4,2,IF(F319&gt;=100*0.33,1,0))))))))</f>
        <v/>
      </c>
      <c r="Y319">
        <f>IF(B319="","",IF(G319&lt;16.5,0,IF(G319&gt;=50*0.8,5,IF(G319&gt;=50*0.7,4,IF(G319&gt;=50*0.6,3.5,IF(G319&gt;=50*0.5,3,IF(G319&gt;=50*0.4,2,IF(G319&gt;=50*0.33,1,0))))))))</f>
        <v/>
      </c>
      <c r="Z319">
        <f>IF(B319="","",IF(H319&lt;33.0,0,IF(H319&gt;=100*0.8,5,IF(H319&gt;=100*0.7,4,IF(H319&gt;=100*0.6,3.5,IF(H319&gt;=100*0.5,3,IF(H319&gt;=100*0.4,2,IF(H319&gt;=100*0.33,1,0))))))))</f>
        <v/>
      </c>
      <c r="AA319">
        <f>IF(B319="","",IF(I319&lt;33.0,0,IF(I319&gt;=100*0.8,5,IF(I319&gt;=100*0.7,4,IF(I319&gt;=100*0.6,3.5,IF(I319&gt;=100*0.5,3,IF(I319&gt;=100*0.4,2,IF(I319&gt;=100*0.33,1,0))))))))</f>
        <v/>
      </c>
      <c r="AB319">
        <f>IF(B319="","",IF(J319&lt;33.0,0,IF(J319&gt;=100*0.8,5,IF(J319&gt;=100*0.7,4,IF(J319&gt;=100*0.6,3.5,IF(J319&gt;=100*0.5,3,IF(J319&gt;=100*0.4,2,IF(J319&gt;=100*0.33,1,0))))))))</f>
        <v/>
      </c>
      <c r="AC319">
        <f>IF(B319="","",IF(K319&lt;33.0,0,IF(K319&gt;=100*0.8,5,IF(K319&gt;=100*0.7,4,IF(K319&gt;=100*0.6,3.5,IF(K319&gt;=100*0.5,3,IF(K319&gt;=100*0.4,2,IF(K319&gt;=100*0.33,1,0))))))))</f>
        <v/>
      </c>
      <c r="AD319">
        <f>IF(B319="","",IF(L319&lt;33.0,0,IF(L319&gt;=100*0.8,5,IF(L319&gt;=100*0.7,4,IF(L319&gt;=100*0.6,3.5,IF(L319&gt;=100*0.5,3,IF(L319&gt;=100*0.4,2,IF(L319&gt;=100*0.33,1,0))))))))</f>
        <v/>
      </c>
      <c r="AE319">
        <f>IF(B319="","",IF(M319&lt;33.0,0,IF(M319&gt;=100*0.8,5,IF(M319&gt;=100*0.7,4,IF(M319&gt;=100*0.6,3.5,IF(M319&gt;=100*0.5,3,IF(M319&gt;=100*0.4,2,IF(M319&gt;=100*0.33,1,0))))))))</f>
        <v/>
      </c>
      <c r="AF319">
        <f>IF(B319="","",IF(N319&lt;16.5,0,IF(N319&gt;=50*0.8,5,IF(N319&gt;=50*0.7,4,IF(N319&gt;=50*0.6,3.5,IF(N319&gt;=50*0.5,3,IF(N319&gt;=50*0.4,2,IF(N319&gt;=50*0.33,1,0))))))))</f>
        <v/>
      </c>
      <c r="AG319">
        <f>IF(B319="","",IF(O319&lt;33.0,0,IF(O319&gt;=100*0.8,5,IF(O319&gt;=100*0.7,4,IF(O319&gt;=100*0.6,3.5,IF(O319&gt;=100*0.5,3,IF(O319&gt;=100*0.4,2,IF(O319&gt;=100*0.33,1,0))))))))</f>
        <v/>
      </c>
      <c r="AH319">
        <f>IF(B319="","",IF(OR(U319=0,V319=0,W319=0,X319=0,Y319=0,Z319=0,AA319=0,AB319=0,AC319=0,AD319=0,AE319=0,AF319=0,AG319=0),1,0))</f>
        <v/>
      </c>
    </row>
    <row r="320">
      <c r="A320" s="3">
        <f>IF(B320="","",ROW()-2)</f>
        <v/>
      </c>
      <c r="P320" s="4">
        <f>IF(B320="","",SUM(C320:O320))</f>
        <v/>
      </c>
      <c r="Q320" s="5">
        <f>IF(B320="","",ROUND(P320/13,2))</f>
        <v/>
      </c>
      <c r="R320" s="5">
        <f>IF(B320="","",IF(AH320=1,0,MIN(5,ROUND((U320+V320+W320+X320+Y320+Z320+AA320+AB320+AC320+AD320+AE320+AF320+AG320)/13,2))))</f>
        <v/>
      </c>
      <c r="S320" s="3">
        <f>IF(B320="","",IF(R320&gt;=5,"A+",IF(R320&gt;=4,"A",IF(R320&gt;=3.5,"A-",IF(R320&gt;=3,"B",IF(R320&gt;=2,"C",IF(R320&gt;=1,"D","F")))))))</f>
        <v/>
      </c>
      <c r="T320" s="3">
        <f>IF(OR(B320="",S320="F"),"",COUNTIFS(P:P,"&gt;"&amp;P320,S:S,"&lt;&gt;F")+1)</f>
        <v/>
      </c>
      <c r="U320">
        <f>IF(B320="","",IF(C320&lt;33.0,0,IF(C320&gt;=100*0.8,5,IF(C320&gt;=100*0.7,4,IF(C320&gt;=100*0.6,3.5,IF(C320&gt;=100*0.5,3,IF(C320&gt;=100*0.4,2,IF(C320&gt;=100*0.33,1,0))))))))</f>
        <v/>
      </c>
      <c r="V320">
        <f>IF(B320="","",IF(D320&lt;33.0,0,IF(D320&gt;=100*0.8,5,IF(D320&gt;=100*0.7,4,IF(D320&gt;=100*0.6,3.5,IF(D320&gt;=100*0.5,3,IF(D320&gt;=100*0.4,2,IF(D320&gt;=100*0.33,1,0))))))))</f>
        <v/>
      </c>
      <c r="W320">
        <f>IF(B320="","",IF(E320&lt;16.5,0,IF(E320&gt;=50*0.8,5,IF(E320&gt;=50*0.7,4,IF(E320&gt;=50*0.6,3.5,IF(E320&gt;=50*0.5,3,IF(E320&gt;=50*0.4,2,IF(E320&gt;=50*0.33,1,0))))))))</f>
        <v/>
      </c>
      <c r="X320">
        <f>IF(B320="","",IF(F320&lt;33.0,0,IF(F320&gt;=100*0.8,5,IF(F320&gt;=100*0.7,4,IF(F320&gt;=100*0.6,3.5,IF(F320&gt;=100*0.5,3,IF(F320&gt;=100*0.4,2,IF(F320&gt;=100*0.33,1,0))))))))</f>
        <v/>
      </c>
      <c r="Y320">
        <f>IF(B320="","",IF(G320&lt;16.5,0,IF(G320&gt;=50*0.8,5,IF(G320&gt;=50*0.7,4,IF(G320&gt;=50*0.6,3.5,IF(G320&gt;=50*0.5,3,IF(G320&gt;=50*0.4,2,IF(G320&gt;=50*0.33,1,0))))))))</f>
        <v/>
      </c>
      <c r="Z320">
        <f>IF(B320="","",IF(H320&lt;33.0,0,IF(H320&gt;=100*0.8,5,IF(H320&gt;=100*0.7,4,IF(H320&gt;=100*0.6,3.5,IF(H320&gt;=100*0.5,3,IF(H320&gt;=100*0.4,2,IF(H320&gt;=100*0.33,1,0))))))))</f>
        <v/>
      </c>
      <c r="AA320">
        <f>IF(B320="","",IF(I320&lt;33.0,0,IF(I320&gt;=100*0.8,5,IF(I320&gt;=100*0.7,4,IF(I320&gt;=100*0.6,3.5,IF(I320&gt;=100*0.5,3,IF(I320&gt;=100*0.4,2,IF(I320&gt;=100*0.33,1,0))))))))</f>
        <v/>
      </c>
      <c r="AB320">
        <f>IF(B320="","",IF(J320&lt;33.0,0,IF(J320&gt;=100*0.8,5,IF(J320&gt;=100*0.7,4,IF(J320&gt;=100*0.6,3.5,IF(J320&gt;=100*0.5,3,IF(J320&gt;=100*0.4,2,IF(J320&gt;=100*0.33,1,0))))))))</f>
        <v/>
      </c>
      <c r="AC320">
        <f>IF(B320="","",IF(K320&lt;33.0,0,IF(K320&gt;=100*0.8,5,IF(K320&gt;=100*0.7,4,IF(K320&gt;=100*0.6,3.5,IF(K320&gt;=100*0.5,3,IF(K320&gt;=100*0.4,2,IF(K320&gt;=100*0.33,1,0))))))))</f>
        <v/>
      </c>
      <c r="AD320">
        <f>IF(B320="","",IF(L320&lt;33.0,0,IF(L320&gt;=100*0.8,5,IF(L320&gt;=100*0.7,4,IF(L320&gt;=100*0.6,3.5,IF(L320&gt;=100*0.5,3,IF(L320&gt;=100*0.4,2,IF(L320&gt;=100*0.33,1,0))))))))</f>
        <v/>
      </c>
      <c r="AE320">
        <f>IF(B320="","",IF(M320&lt;33.0,0,IF(M320&gt;=100*0.8,5,IF(M320&gt;=100*0.7,4,IF(M320&gt;=100*0.6,3.5,IF(M320&gt;=100*0.5,3,IF(M320&gt;=100*0.4,2,IF(M320&gt;=100*0.33,1,0))))))))</f>
        <v/>
      </c>
      <c r="AF320">
        <f>IF(B320="","",IF(N320&lt;16.5,0,IF(N320&gt;=50*0.8,5,IF(N320&gt;=50*0.7,4,IF(N320&gt;=50*0.6,3.5,IF(N320&gt;=50*0.5,3,IF(N320&gt;=50*0.4,2,IF(N320&gt;=50*0.33,1,0))))))))</f>
        <v/>
      </c>
      <c r="AG320">
        <f>IF(B320="","",IF(O320&lt;33.0,0,IF(O320&gt;=100*0.8,5,IF(O320&gt;=100*0.7,4,IF(O320&gt;=100*0.6,3.5,IF(O320&gt;=100*0.5,3,IF(O320&gt;=100*0.4,2,IF(O320&gt;=100*0.33,1,0))))))))</f>
        <v/>
      </c>
      <c r="AH320">
        <f>IF(B320="","",IF(OR(U320=0,V320=0,W320=0,X320=0,Y320=0,Z320=0,AA320=0,AB320=0,AC320=0,AD320=0,AE320=0,AF320=0,AG320=0),1,0))</f>
        <v/>
      </c>
    </row>
    <row r="321">
      <c r="A321" s="3">
        <f>IF(B321="","",ROW()-2)</f>
        <v/>
      </c>
      <c r="P321" s="4">
        <f>IF(B321="","",SUM(C321:O321))</f>
        <v/>
      </c>
      <c r="Q321" s="5">
        <f>IF(B321="","",ROUND(P321/13,2))</f>
        <v/>
      </c>
      <c r="R321" s="5">
        <f>IF(B321="","",IF(AH321=1,0,MIN(5,ROUND((U321+V321+W321+X321+Y321+Z321+AA321+AB321+AC321+AD321+AE321+AF321+AG321)/13,2))))</f>
        <v/>
      </c>
      <c r="S321" s="3">
        <f>IF(B321="","",IF(R321&gt;=5,"A+",IF(R321&gt;=4,"A",IF(R321&gt;=3.5,"A-",IF(R321&gt;=3,"B",IF(R321&gt;=2,"C",IF(R321&gt;=1,"D","F")))))))</f>
        <v/>
      </c>
      <c r="T321" s="3">
        <f>IF(OR(B321="",S321="F"),"",COUNTIFS(P:P,"&gt;"&amp;P321,S:S,"&lt;&gt;F")+1)</f>
        <v/>
      </c>
      <c r="U321">
        <f>IF(B321="","",IF(C321&lt;33.0,0,IF(C321&gt;=100*0.8,5,IF(C321&gt;=100*0.7,4,IF(C321&gt;=100*0.6,3.5,IF(C321&gt;=100*0.5,3,IF(C321&gt;=100*0.4,2,IF(C321&gt;=100*0.33,1,0))))))))</f>
        <v/>
      </c>
      <c r="V321">
        <f>IF(B321="","",IF(D321&lt;33.0,0,IF(D321&gt;=100*0.8,5,IF(D321&gt;=100*0.7,4,IF(D321&gt;=100*0.6,3.5,IF(D321&gt;=100*0.5,3,IF(D321&gt;=100*0.4,2,IF(D321&gt;=100*0.33,1,0))))))))</f>
        <v/>
      </c>
      <c r="W321">
        <f>IF(B321="","",IF(E321&lt;16.5,0,IF(E321&gt;=50*0.8,5,IF(E321&gt;=50*0.7,4,IF(E321&gt;=50*0.6,3.5,IF(E321&gt;=50*0.5,3,IF(E321&gt;=50*0.4,2,IF(E321&gt;=50*0.33,1,0))))))))</f>
        <v/>
      </c>
      <c r="X321">
        <f>IF(B321="","",IF(F321&lt;33.0,0,IF(F321&gt;=100*0.8,5,IF(F321&gt;=100*0.7,4,IF(F321&gt;=100*0.6,3.5,IF(F321&gt;=100*0.5,3,IF(F321&gt;=100*0.4,2,IF(F321&gt;=100*0.33,1,0))))))))</f>
        <v/>
      </c>
      <c r="Y321">
        <f>IF(B321="","",IF(G321&lt;16.5,0,IF(G321&gt;=50*0.8,5,IF(G321&gt;=50*0.7,4,IF(G321&gt;=50*0.6,3.5,IF(G321&gt;=50*0.5,3,IF(G321&gt;=50*0.4,2,IF(G321&gt;=50*0.33,1,0))))))))</f>
        <v/>
      </c>
      <c r="Z321">
        <f>IF(B321="","",IF(H321&lt;33.0,0,IF(H321&gt;=100*0.8,5,IF(H321&gt;=100*0.7,4,IF(H321&gt;=100*0.6,3.5,IF(H321&gt;=100*0.5,3,IF(H321&gt;=100*0.4,2,IF(H321&gt;=100*0.33,1,0))))))))</f>
        <v/>
      </c>
      <c r="AA321">
        <f>IF(B321="","",IF(I321&lt;33.0,0,IF(I321&gt;=100*0.8,5,IF(I321&gt;=100*0.7,4,IF(I321&gt;=100*0.6,3.5,IF(I321&gt;=100*0.5,3,IF(I321&gt;=100*0.4,2,IF(I321&gt;=100*0.33,1,0))))))))</f>
        <v/>
      </c>
      <c r="AB321">
        <f>IF(B321="","",IF(J321&lt;33.0,0,IF(J321&gt;=100*0.8,5,IF(J321&gt;=100*0.7,4,IF(J321&gt;=100*0.6,3.5,IF(J321&gt;=100*0.5,3,IF(J321&gt;=100*0.4,2,IF(J321&gt;=100*0.33,1,0))))))))</f>
        <v/>
      </c>
      <c r="AC321">
        <f>IF(B321="","",IF(K321&lt;33.0,0,IF(K321&gt;=100*0.8,5,IF(K321&gt;=100*0.7,4,IF(K321&gt;=100*0.6,3.5,IF(K321&gt;=100*0.5,3,IF(K321&gt;=100*0.4,2,IF(K321&gt;=100*0.33,1,0))))))))</f>
        <v/>
      </c>
      <c r="AD321">
        <f>IF(B321="","",IF(L321&lt;33.0,0,IF(L321&gt;=100*0.8,5,IF(L321&gt;=100*0.7,4,IF(L321&gt;=100*0.6,3.5,IF(L321&gt;=100*0.5,3,IF(L321&gt;=100*0.4,2,IF(L321&gt;=100*0.33,1,0))))))))</f>
        <v/>
      </c>
      <c r="AE321">
        <f>IF(B321="","",IF(M321&lt;33.0,0,IF(M321&gt;=100*0.8,5,IF(M321&gt;=100*0.7,4,IF(M321&gt;=100*0.6,3.5,IF(M321&gt;=100*0.5,3,IF(M321&gt;=100*0.4,2,IF(M321&gt;=100*0.33,1,0))))))))</f>
        <v/>
      </c>
      <c r="AF321">
        <f>IF(B321="","",IF(N321&lt;16.5,0,IF(N321&gt;=50*0.8,5,IF(N321&gt;=50*0.7,4,IF(N321&gt;=50*0.6,3.5,IF(N321&gt;=50*0.5,3,IF(N321&gt;=50*0.4,2,IF(N321&gt;=50*0.33,1,0))))))))</f>
        <v/>
      </c>
      <c r="AG321">
        <f>IF(B321="","",IF(O321&lt;33.0,0,IF(O321&gt;=100*0.8,5,IF(O321&gt;=100*0.7,4,IF(O321&gt;=100*0.6,3.5,IF(O321&gt;=100*0.5,3,IF(O321&gt;=100*0.4,2,IF(O321&gt;=100*0.33,1,0))))))))</f>
        <v/>
      </c>
      <c r="AH321">
        <f>IF(B321="","",IF(OR(U321=0,V321=0,W321=0,X321=0,Y321=0,Z321=0,AA321=0,AB321=0,AC321=0,AD321=0,AE321=0,AF321=0,AG321=0),1,0))</f>
        <v/>
      </c>
    </row>
    <row r="322">
      <c r="A322" s="3">
        <f>IF(B322="","",ROW()-2)</f>
        <v/>
      </c>
      <c r="P322" s="4">
        <f>IF(B322="","",SUM(C322:O322))</f>
        <v/>
      </c>
      <c r="Q322" s="5">
        <f>IF(B322="","",ROUND(P322/13,2))</f>
        <v/>
      </c>
      <c r="R322" s="5">
        <f>IF(B322="","",IF(AH322=1,0,MIN(5,ROUND((U322+V322+W322+X322+Y322+Z322+AA322+AB322+AC322+AD322+AE322+AF322+AG322)/13,2))))</f>
        <v/>
      </c>
      <c r="S322" s="3">
        <f>IF(B322="","",IF(R322&gt;=5,"A+",IF(R322&gt;=4,"A",IF(R322&gt;=3.5,"A-",IF(R322&gt;=3,"B",IF(R322&gt;=2,"C",IF(R322&gt;=1,"D","F")))))))</f>
        <v/>
      </c>
      <c r="T322" s="3">
        <f>IF(OR(B322="",S322="F"),"",COUNTIFS(P:P,"&gt;"&amp;P322,S:S,"&lt;&gt;F")+1)</f>
        <v/>
      </c>
      <c r="U322">
        <f>IF(B322="","",IF(C322&lt;33.0,0,IF(C322&gt;=100*0.8,5,IF(C322&gt;=100*0.7,4,IF(C322&gt;=100*0.6,3.5,IF(C322&gt;=100*0.5,3,IF(C322&gt;=100*0.4,2,IF(C322&gt;=100*0.33,1,0))))))))</f>
        <v/>
      </c>
      <c r="V322">
        <f>IF(B322="","",IF(D322&lt;33.0,0,IF(D322&gt;=100*0.8,5,IF(D322&gt;=100*0.7,4,IF(D322&gt;=100*0.6,3.5,IF(D322&gt;=100*0.5,3,IF(D322&gt;=100*0.4,2,IF(D322&gt;=100*0.33,1,0))))))))</f>
        <v/>
      </c>
      <c r="W322">
        <f>IF(B322="","",IF(E322&lt;16.5,0,IF(E322&gt;=50*0.8,5,IF(E322&gt;=50*0.7,4,IF(E322&gt;=50*0.6,3.5,IF(E322&gt;=50*0.5,3,IF(E322&gt;=50*0.4,2,IF(E322&gt;=50*0.33,1,0))))))))</f>
        <v/>
      </c>
      <c r="X322">
        <f>IF(B322="","",IF(F322&lt;33.0,0,IF(F322&gt;=100*0.8,5,IF(F322&gt;=100*0.7,4,IF(F322&gt;=100*0.6,3.5,IF(F322&gt;=100*0.5,3,IF(F322&gt;=100*0.4,2,IF(F322&gt;=100*0.33,1,0))))))))</f>
        <v/>
      </c>
      <c r="Y322">
        <f>IF(B322="","",IF(G322&lt;16.5,0,IF(G322&gt;=50*0.8,5,IF(G322&gt;=50*0.7,4,IF(G322&gt;=50*0.6,3.5,IF(G322&gt;=50*0.5,3,IF(G322&gt;=50*0.4,2,IF(G322&gt;=50*0.33,1,0))))))))</f>
        <v/>
      </c>
      <c r="Z322">
        <f>IF(B322="","",IF(H322&lt;33.0,0,IF(H322&gt;=100*0.8,5,IF(H322&gt;=100*0.7,4,IF(H322&gt;=100*0.6,3.5,IF(H322&gt;=100*0.5,3,IF(H322&gt;=100*0.4,2,IF(H322&gt;=100*0.33,1,0))))))))</f>
        <v/>
      </c>
      <c r="AA322">
        <f>IF(B322="","",IF(I322&lt;33.0,0,IF(I322&gt;=100*0.8,5,IF(I322&gt;=100*0.7,4,IF(I322&gt;=100*0.6,3.5,IF(I322&gt;=100*0.5,3,IF(I322&gt;=100*0.4,2,IF(I322&gt;=100*0.33,1,0))))))))</f>
        <v/>
      </c>
      <c r="AB322">
        <f>IF(B322="","",IF(J322&lt;33.0,0,IF(J322&gt;=100*0.8,5,IF(J322&gt;=100*0.7,4,IF(J322&gt;=100*0.6,3.5,IF(J322&gt;=100*0.5,3,IF(J322&gt;=100*0.4,2,IF(J322&gt;=100*0.33,1,0))))))))</f>
        <v/>
      </c>
      <c r="AC322">
        <f>IF(B322="","",IF(K322&lt;33.0,0,IF(K322&gt;=100*0.8,5,IF(K322&gt;=100*0.7,4,IF(K322&gt;=100*0.6,3.5,IF(K322&gt;=100*0.5,3,IF(K322&gt;=100*0.4,2,IF(K322&gt;=100*0.33,1,0))))))))</f>
        <v/>
      </c>
      <c r="AD322">
        <f>IF(B322="","",IF(L322&lt;33.0,0,IF(L322&gt;=100*0.8,5,IF(L322&gt;=100*0.7,4,IF(L322&gt;=100*0.6,3.5,IF(L322&gt;=100*0.5,3,IF(L322&gt;=100*0.4,2,IF(L322&gt;=100*0.33,1,0))))))))</f>
        <v/>
      </c>
      <c r="AE322">
        <f>IF(B322="","",IF(M322&lt;33.0,0,IF(M322&gt;=100*0.8,5,IF(M322&gt;=100*0.7,4,IF(M322&gt;=100*0.6,3.5,IF(M322&gt;=100*0.5,3,IF(M322&gt;=100*0.4,2,IF(M322&gt;=100*0.33,1,0))))))))</f>
        <v/>
      </c>
      <c r="AF322">
        <f>IF(B322="","",IF(N322&lt;16.5,0,IF(N322&gt;=50*0.8,5,IF(N322&gt;=50*0.7,4,IF(N322&gt;=50*0.6,3.5,IF(N322&gt;=50*0.5,3,IF(N322&gt;=50*0.4,2,IF(N322&gt;=50*0.33,1,0))))))))</f>
        <v/>
      </c>
      <c r="AG322">
        <f>IF(B322="","",IF(O322&lt;33.0,0,IF(O322&gt;=100*0.8,5,IF(O322&gt;=100*0.7,4,IF(O322&gt;=100*0.6,3.5,IF(O322&gt;=100*0.5,3,IF(O322&gt;=100*0.4,2,IF(O322&gt;=100*0.33,1,0))))))))</f>
        <v/>
      </c>
      <c r="AH322">
        <f>IF(B322="","",IF(OR(U322=0,V322=0,W322=0,X322=0,Y322=0,Z322=0,AA322=0,AB322=0,AC322=0,AD322=0,AE322=0,AF322=0,AG322=0),1,0))</f>
        <v/>
      </c>
    </row>
    <row r="323">
      <c r="A323" s="3">
        <f>IF(B323="","",ROW()-2)</f>
        <v/>
      </c>
      <c r="P323" s="4">
        <f>IF(B323="","",SUM(C323:O323))</f>
        <v/>
      </c>
      <c r="Q323" s="5">
        <f>IF(B323="","",ROUND(P323/13,2))</f>
        <v/>
      </c>
      <c r="R323" s="5">
        <f>IF(B323="","",IF(AH323=1,0,MIN(5,ROUND((U323+V323+W323+X323+Y323+Z323+AA323+AB323+AC323+AD323+AE323+AF323+AG323)/13,2))))</f>
        <v/>
      </c>
      <c r="S323" s="3">
        <f>IF(B323="","",IF(R323&gt;=5,"A+",IF(R323&gt;=4,"A",IF(R323&gt;=3.5,"A-",IF(R323&gt;=3,"B",IF(R323&gt;=2,"C",IF(R323&gt;=1,"D","F")))))))</f>
        <v/>
      </c>
      <c r="T323" s="3">
        <f>IF(OR(B323="",S323="F"),"",COUNTIFS(P:P,"&gt;"&amp;P323,S:S,"&lt;&gt;F")+1)</f>
        <v/>
      </c>
      <c r="U323">
        <f>IF(B323="","",IF(C323&lt;33.0,0,IF(C323&gt;=100*0.8,5,IF(C323&gt;=100*0.7,4,IF(C323&gt;=100*0.6,3.5,IF(C323&gt;=100*0.5,3,IF(C323&gt;=100*0.4,2,IF(C323&gt;=100*0.33,1,0))))))))</f>
        <v/>
      </c>
      <c r="V323">
        <f>IF(B323="","",IF(D323&lt;33.0,0,IF(D323&gt;=100*0.8,5,IF(D323&gt;=100*0.7,4,IF(D323&gt;=100*0.6,3.5,IF(D323&gt;=100*0.5,3,IF(D323&gt;=100*0.4,2,IF(D323&gt;=100*0.33,1,0))))))))</f>
        <v/>
      </c>
      <c r="W323">
        <f>IF(B323="","",IF(E323&lt;16.5,0,IF(E323&gt;=50*0.8,5,IF(E323&gt;=50*0.7,4,IF(E323&gt;=50*0.6,3.5,IF(E323&gt;=50*0.5,3,IF(E323&gt;=50*0.4,2,IF(E323&gt;=50*0.33,1,0))))))))</f>
        <v/>
      </c>
      <c r="X323">
        <f>IF(B323="","",IF(F323&lt;33.0,0,IF(F323&gt;=100*0.8,5,IF(F323&gt;=100*0.7,4,IF(F323&gt;=100*0.6,3.5,IF(F323&gt;=100*0.5,3,IF(F323&gt;=100*0.4,2,IF(F323&gt;=100*0.33,1,0))))))))</f>
        <v/>
      </c>
      <c r="Y323">
        <f>IF(B323="","",IF(G323&lt;16.5,0,IF(G323&gt;=50*0.8,5,IF(G323&gt;=50*0.7,4,IF(G323&gt;=50*0.6,3.5,IF(G323&gt;=50*0.5,3,IF(G323&gt;=50*0.4,2,IF(G323&gt;=50*0.33,1,0))))))))</f>
        <v/>
      </c>
      <c r="Z323">
        <f>IF(B323="","",IF(H323&lt;33.0,0,IF(H323&gt;=100*0.8,5,IF(H323&gt;=100*0.7,4,IF(H323&gt;=100*0.6,3.5,IF(H323&gt;=100*0.5,3,IF(H323&gt;=100*0.4,2,IF(H323&gt;=100*0.33,1,0))))))))</f>
        <v/>
      </c>
      <c r="AA323">
        <f>IF(B323="","",IF(I323&lt;33.0,0,IF(I323&gt;=100*0.8,5,IF(I323&gt;=100*0.7,4,IF(I323&gt;=100*0.6,3.5,IF(I323&gt;=100*0.5,3,IF(I323&gt;=100*0.4,2,IF(I323&gt;=100*0.33,1,0))))))))</f>
        <v/>
      </c>
      <c r="AB323">
        <f>IF(B323="","",IF(J323&lt;33.0,0,IF(J323&gt;=100*0.8,5,IF(J323&gt;=100*0.7,4,IF(J323&gt;=100*0.6,3.5,IF(J323&gt;=100*0.5,3,IF(J323&gt;=100*0.4,2,IF(J323&gt;=100*0.33,1,0))))))))</f>
        <v/>
      </c>
      <c r="AC323">
        <f>IF(B323="","",IF(K323&lt;33.0,0,IF(K323&gt;=100*0.8,5,IF(K323&gt;=100*0.7,4,IF(K323&gt;=100*0.6,3.5,IF(K323&gt;=100*0.5,3,IF(K323&gt;=100*0.4,2,IF(K323&gt;=100*0.33,1,0))))))))</f>
        <v/>
      </c>
      <c r="AD323">
        <f>IF(B323="","",IF(L323&lt;33.0,0,IF(L323&gt;=100*0.8,5,IF(L323&gt;=100*0.7,4,IF(L323&gt;=100*0.6,3.5,IF(L323&gt;=100*0.5,3,IF(L323&gt;=100*0.4,2,IF(L323&gt;=100*0.33,1,0))))))))</f>
        <v/>
      </c>
      <c r="AE323">
        <f>IF(B323="","",IF(M323&lt;33.0,0,IF(M323&gt;=100*0.8,5,IF(M323&gt;=100*0.7,4,IF(M323&gt;=100*0.6,3.5,IF(M323&gt;=100*0.5,3,IF(M323&gt;=100*0.4,2,IF(M323&gt;=100*0.33,1,0))))))))</f>
        <v/>
      </c>
      <c r="AF323">
        <f>IF(B323="","",IF(N323&lt;16.5,0,IF(N323&gt;=50*0.8,5,IF(N323&gt;=50*0.7,4,IF(N323&gt;=50*0.6,3.5,IF(N323&gt;=50*0.5,3,IF(N323&gt;=50*0.4,2,IF(N323&gt;=50*0.33,1,0))))))))</f>
        <v/>
      </c>
      <c r="AG323">
        <f>IF(B323="","",IF(O323&lt;33.0,0,IF(O323&gt;=100*0.8,5,IF(O323&gt;=100*0.7,4,IF(O323&gt;=100*0.6,3.5,IF(O323&gt;=100*0.5,3,IF(O323&gt;=100*0.4,2,IF(O323&gt;=100*0.33,1,0))))))))</f>
        <v/>
      </c>
      <c r="AH323">
        <f>IF(B323="","",IF(OR(U323=0,V323=0,W323=0,X323=0,Y323=0,Z323=0,AA323=0,AB323=0,AC323=0,AD323=0,AE323=0,AF323=0,AG323=0),1,0))</f>
        <v/>
      </c>
    </row>
    <row r="324">
      <c r="A324" s="3">
        <f>IF(B324="","",ROW()-2)</f>
        <v/>
      </c>
      <c r="P324" s="4">
        <f>IF(B324="","",SUM(C324:O324))</f>
        <v/>
      </c>
      <c r="Q324" s="5">
        <f>IF(B324="","",ROUND(P324/13,2))</f>
        <v/>
      </c>
      <c r="R324" s="5">
        <f>IF(B324="","",IF(AH324=1,0,MIN(5,ROUND((U324+V324+W324+X324+Y324+Z324+AA324+AB324+AC324+AD324+AE324+AF324+AG324)/13,2))))</f>
        <v/>
      </c>
      <c r="S324" s="3">
        <f>IF(B324="","",IF(R324&gt;=5,"A+",IF(R324&gt;=4,"A",IF(R324&gt;=3.5,"A-",IF(R324&gt;=3,"B",IF(R324&gt;=2,"C",IF(R324&gt;=1,"D","F")))))))</f>
        <v/>
      </c>
      <c r="T324" s="3">
        <f>IF(OR(B324="",S324="F"),"",COUNTIFS(P:P,"&gt;"&amp;P324,S:S,"&lt;&gt;F")+1)</f>
        <v/>
      </c>
      <c r="U324">
        <f>IF(B324="","",IF(C324&lt;33.0,0,IF(C324&gt;=100*0.8,5,IF(C324&gt;=100*0.7,4,IF(C324&gt;=100*0.6,3.5,IF(C324&gt;=100*0.5,3,IF(C324&gt;=100*0.4,2,IF(C324&gt;=100*0.33,1,0))))))))</f>
        <v/>
      </c>
      <c r="V324">
        <f>IF(B324="","",IF(D324&lt;33.0,0,IF(D324&gt;=100*0.8,5,IF(D324&gt;=100*0.7,4,IF(D324&gt;=100*0.6,3.5,IF(D324&gt;=100*0.5,3,IF(D324&gt;=100*0.4,2,IF(D324&gt;=100*0.33,1,0))))))))</f>
        <v/>
      </c>
      <c r="W324">
        <f>IF(B324="","",IF(E324&lt;16.5,0,IF(E324&gt;=50*0.8,5,IF(E324&gt;=50*0.7,4,IF(E324&gt;=50*0.6,3.5,IF(E324&gt;=50*0.5,3,IF(E324&gt;=50*0.4,2,IF(E324&gt;=50*0.33,1,0))))))))</f>
        <v/>
      </c>
      <c r="X324">
        <f>IF(B324="","",IF(F324&lt;33.0,0,IF(F324&gt;=100*0.8,5,IF(F324&gt;=100*0.7,4,IF(F324&gt;=100*0.6,3.5,IF(F324&gt;=100*0.5,3,IF(F324&gt;=100*0.4,2,IF(F324&gt;=100*0.33,1,0))))))))</f>
        <v/>
      </c>
      <c r="Y324">
        <f>IF(B324="","",IF(G324&lt;16.5,0,IF(G324&gt;=50*0.8,5,IF(G324&gt;=50*0.7,4,IF(G324&gt;=50*0.6,3.5,IF(G324&gt;=50*0.5,3,IF(G324&gt;=50*0.4,2,IF(G324&gt;=50*0.33,1,0))))))))</f>
        <v/>
      </c>
      <c r="Z324">
        <f>IF(B324="","",IF(H324&lt;33.0,0,IF(H324&gt;=100*0.8,5,IF(H324&gt;=100*0.7,4,IF(H324&gt;=100*0.6,3.5,IF(H324&gt;=100*0.5,3,IF(H324&gt;=100*0.4,2,IF(H324&gt;=100*0.33,1,0))))))))</f>
        <v/>
      </c>
      <c r="AA324">
        <f>IF(B324="","",IF(I324&lt;33.0,0,IF(I324&gt;=100*0.8,5,IF(I324&gt;=100*0.7,4,IF(I324&gt;=100*0.6,3.5,IF(I324&gt;=100*0.5,3,IF(I324&gt;=100*0.4,2,IF(I324&gt;=100*0.33,1,0))))))))</f>
        <v/>
      </c>
      <c r="AB324">
        <f>IF(B324="","",IF(J324&lt;33.0,0,IF(J324&gt;=100*0.8,5,IF(J324&gt;=100*0.7,4,IF(J324&gt;=100*0.6,3.5,IF(J324&gt;=100*0.5,3,IF(J324&gt;=100*0.4,2,IF(J324&gt;=100*0.33,1,0))))))))</f>
        <v/>
      </c>
      <c r="AC324">
        <f>IF(B324="","",IF(K324&lt;33.0,0,IF(K324&gt;=100*0.8,5,IF(K324&gt;=100*0.7,4,IF(K324&gt;=100*0.6,3.5,IF(K324&gt;=100*0.5,3,IF(K324&gt;=100*0.4,2,IF(K324&gt;=100*0.33,1,0))))))))</f>
        <v/>
      </c>
      <c r="AD324">
        <f>IF(B324="","",IF(L324&lt;33.0,0,IF(L324&gt;=100*0.8,5,IF(L324&gt;=100*0.7,4,IF(L324&gt;=100*0.6,3.5,IF(L324&gt;=100*0.5,3,IF(L324&gt;=100*0.4,2,IF(L324&gt;=100*0.33,1,0))))))))</f>
        <v/>
      </c>
      <c r="AE324">
        <f>IF(B324="","",IF(M324&lt;33.0,0,IF(M324&gt;=100*0.8,5,IF(M324&gt;=100*0.7,4,IF(M324&gt;=100*0.6,3.5,IF(M324&gt;=100*0.5,3,IF(M324&gt;=100*0.4,2,IF(M324&gt;=100*0.33,1,0))))))))</f>
        <v/>
      </c>
      <c r="AF324">
        <f>IF(B324="","",IF(N324&lt;16.5,0,IF(N324&gt;=50*0.8,5,IF(N324&gt;=50*0.7,4,IF(N324&gt;=50*0.6,3.5,IF(N324&gt;=50*0.5,3,IF(N324&gt;=50*0.4,2,IF(N324&gt;=50*0.33,1,0))))))))</f>
        <v/>
      </c>
      <c r="AG324">
        <f>IF(B324="","",IF(O324&lt;33.0,0,IF(O324&gt;=100*0.8,5,IF(O324&gt;=100*0.7,4,IF(O324&gt;=100*0.6,3.5,IF(O324&gt;=100*0.5,3,IF(O324&gt;=100*0.4,2,IF(O324&gt;=100*0.33,1,0))))))))</f>
        <v/>
      </c>
      <c r="AH324">
        <f>IF(B324="","",IF(OR(U324=0,V324=0,W324=0,X324=0,Y324=0,Z324=0,AA324=0,AB324=0,AC324=0,AD324=0,AE324=0,AF324=0,AG324=0),1,0))</f>
        <v/>
      </c>
    </row>
    <row r="325">
      <c r="A325" s="3">
        <f>IF(B325="","",ROW()-2)</f>
        <v/>
      </c>
      <c r="P325" s="4">
        <f>IF(B325="","",SUM(C325:O325))</f>
        <v/>
      </c>
      <c r="Q325" s="5">
        <f>IF(B325="","",ROUND(P325/13,2))</f>
        <v/>
      </c>
      <c r="R325" s="5">
        <f>IF(B325="","",IF(AH325=1,0,MIN(5,ROUND((U325+V325+W325+X325+Y325+Z325+AA325+AB325+AC325+AD325+AE325+AF325+AG325)/13,2))))</f>
        <v/>
      </c>
      <c r="S325" s="3">
        <f>IF(B325="","",IF(R325&gt;=5,"A+",IF(R325&gt;=4,"A",IF(R325&gt;=3.5,"A-",IF(R325&gt;=3,"B",IF(R325&gt;=2,"C",IF(R325&gt;=1,"D","F")))))))</f>
        <v/>
      </c>
      <c r="T325" s="3">
        <f>IF(OR(B325="",S325="F"),"",COUNTIFS(P:P,"&gt;"&amp;P325,S:S,"&lt;&gt;F")+1)</f>
        <v/>
      </c>
      <c r="U325">
        <f>IF(B325="","",IF(C325&lt;33.0,0,IF(C325&gt;=100*0.8,5,IF(C325&gt;=100*0.7,4,IF(C325&gt;=100*0.6,3.5,IF(C325&gt;=100*0.5,3,IF(C325&gt;=100*0.4,2,IF(C325&gt;=100*0.33,1,0))))))))</f>
        <v/>
      </c>
      <c r="V325">
        <f>IF(B325="","",IF(D325&lt;33.0,0,IF(D325&gt;=100*0.8,5,IF(D325&gt;=100*0.7,4,IF(D325&gt;=100*0.6,3.5,IF(D325&gt;=100*0.5,3,IF(D325&gt;=100*0.4,2,IF(D325&gt;=100*0.33,1,0))))))))</f>
        <v/>
      </c>
      <c r="W325">
        <f>IF(B325="","",IF(E325&lt;16.5,0,IF(E325&gt;=50*0.8,5,IF(E325&gt;=50*0.7,4,IF(E325&gt;=50*0.6,3.5,IF(E325&gt;=50*0.5,3,IF(E325&gt;=50*0.4,2,IF(E325&gt;=50*0.33,1,0))))))))</f>
        <v/>
      </c>
      <c r="X325">
        <f>IF(B325="","",IF(F325&lt;33.0,0,IF(F325&gt;=100*0.8,5,IF(F325&gt;=100*0.7,4,IF(F325&gt;=100*0.6,3.5,IF(F325&gt;=100*0.5,3,IF(F325&gt;=100*0.4,2,IF(F325&gt;=100*0.33,1,0))))))))</f>
        <v/>
      </c>
      <c r="Y325">
        <f>IF(B325="","",IF(G325&lt;16.5,0,IF(G325&gt;=50*0.8,5,IF(G325&gt;=50*0.7,4,IF(G325&gt;=50*0.6,3.5,IF(G325&gt;=50*0.5,3,IF(G325&gt;=50*0.4,2,IF(G325&gt;=50*0.33,1,0))))))))</f>
        <v/>
      </c>
      <c r="Z325">
        <f>IF(B325="","",IF(H325&lt;33.0,0,IF(H325&gt;=100*0.8,5,IF(H325&gt;=100*0.7,4,IF(H325&gt;=100*0.6,3.5,IF(H325&gt;=100*0.5,3,IF(H325&gt;=100*0.4,2,IF(H325&gt;=100*0.33,1,0))))))))</f>
        <v/>
      </c>
      <c r="AA325">
        <f>IF(B325="","",IF(I325&lt;33.0,0,IF(I325&gt;=100*0.8,5,IF(I325&gt;=100*0.7,4,IF(I325&gt;=100*0.6,3.5,IF(I325&gt;=100*0.5,3,IF(I325&gt;=100*0.4,2,IF(I325&gt;=100*0.33,1,0))))))))</f>
        <v/>
      </c>
      <c r="AB325">
        <f>IF(B325="","",IF(J325&lt;33.0,0,IF(J325&gt;=100*0.8,5,IF(J325&gt;=100*0.7,4,IF(J325&gt;=100*0.6,3.5,IF(J325&gt;=100*0.5,3,IF(J325&gt;=100*0.4,2,IF(J325&gt;=100*0.33,1,0))))))))</f>
        <v/>
      </c>
      <c r="AC325">
        <f>IF(B325="","",IF(K325&lt;33.0,0,IF(K325&gt;=100*0.8,5,IF(K325&gt;=100*0.7,4,IF(K325&gt;=100*0.6,3.5,IF(K325&gt;=100*0.5,3,IF(K325&gt;=100*0.4,2,IF(K325&gt;=100*0.33,1,0))))))))</f>
        <v/>
      </c>
      <c r="AD325">
        <f>IF(B325="","",IF(L325&lt;33.0,0,IF(L325&gt;=100*0.8,5,IF(L325&gt;=100*0.7,4,IF(L325&gt;=100*0.6,3.5,IF(L325&gt;=100*0.5,3,IF(L325&gt;=100*0.4,2,IF(L325&gt;=100*0.33,1,0))))))))</f>
        <v/>
      </c>
      <c r="AE325">
        <f>IF(B325="","",IF(M325&lt;33.0,0,IF(M325&gt;=100*0.8,5,IF(M325&gt;=100*0.7,4,IF(M325&gt;=100*0.6,3.5,IF(M325&gt;=100*0.5,3,IF(M325&gt;=100*0.4,2,IF(M325&gt;=100*0.33,1,0))))))))</f>
        <v/>
      </c>
      <c r="AF325">
        <f>IF(B325="","",IF(N325&lt;16.5,0,IF(N325&gt;=50*0.8,5,IF(N325&gt;=50*0.7,4,IF(N325&gt;=50*0.6,3.5,IF(N325&gt;=50*0.5,3,IF(N325&gt;=50*0.4,2,IF(N325&gt;=50*0.33,1,0))))))))</f>
        <v/>
      </c>
      <c r="AG325">
        <f>IF(B325="","",IF(O325&lt;33.0,0,IF(O325&gt;=100*0.8,5,IF(O325&gt;=100*0.7,4,IF(O325&gt;=100*0.6,3.5,IF(O325&gt;=100*0.5,3,IF(O325&gt;=100*0.4,2,IF(O325&gt;=100*0.33,1,0))))))))</f>
        <v/>
      </c>
      <c r="AH325">
        <f>IF(B325="","",IF(OR(U325=0,V325=0,W325=0,X325=0,Y325=0,Z325=0,AA325=0,AB325=0,AC325=0,AD325=0,AE325=0,AF325=0,AG325=0),1,0))</f>
        <v/>
      </c>
    </row>
    <row r="326">
      <c r="A326" s="3">
        <f>IF(B326="","",ROW()-2)</f>
        <v/>
      </c>
      <c r="P326" s="4">
        <f>IF(B326="","",SUM(C326:O326))</f>
        <v/>
      </c>
      <c r="Q326" s="5">
        <f>IF(B326="","",ROUND(P326/13,2))</f>
        <v/>
      </c>
      <c r="R326" s="5">
        <f>IF(B326="","",IF(AH326=1,0,MIN(5,ROUND((U326+V326+W326+X326+Y326+Z326+AA326+AB326+AC326+AD326+AE326+AF326+AG326)/13,2))))</f>
        <v/>
      </c>
      <c r="S326" s="3">
        <f>IF(B326="","",IF(R326&gt;=5,"A+",IF(R326&gt;=4,"A",IF(R326&gt;=3.5,"A-",IF(R326&gt;=3,"B",IF(R326&gt;=2,"C",IF(R326&gt;=1,"D","F")))))))</f>
        <v/>
      </c>
      <c r="T326" s="3">
        <f>IF(OR(B326="",S326="F"),"",COUNTIFS(P:P,"&gt;"&amp;P326,S:S,"&lt;&gt;F")+1)</f>
        <v/>
      </c>
      <c r="U326">
        <f>IF(B326="","",IF(C326&lt;33.0,0,IF(C326&gt;=100*0.8,5,IF(C326&gt;=100*0.7,4,IF(C326&gt;=100*0.6,3.5,IF(C326&gt;=100*0.5,3,IF(C326&gt;=100*0.4,2,IF(C326&gt;=100*0.33,1,0))))))))</f>
        <v/>
      </c>
      <c r="V326">
        <f>IF(B326="","",IF(D326&lt;33.0,0,IF(D326&gt;=100*0.8,5,IF(D326&gt;=100*0.7,4,IF(D326&gt;=100*0.6,3.5,IF(D326&gt;=100*0.5,3,IF(D326&gt;=100*0.4,2,IF(D326&gt;=100*0.33,1,0))))))))</f>
        <v/>
      </c>
      <c r="W326">
        <f>IF(B326="","",IF(E326&lt;16.5,0,IF(E326&gt;=50*0.8,5,IF(E326&gt;=50*0.7,4,IF(E326&gt;=50*0.6,3.5,IF(E326&gt;=50*0.5,3,IF(E326&gt;=50*0.4,2,IF(E326&gt;=50*0.33,1,0))))))))</f>
        <v/>
      </c>
      <c r="X326">
        <f>IF(B326="","",IF(F326&lt;33.0,0,IF(F326&gt;=100*0.8,5,IF(F326&gt;=100*0.7,4,IF(F326&gt;=100*0.6,3.5,IF(F326&gt;=100*0.5,3,IF(F326&gt;=100*0.4,2,IF(F326&gt;=100*0.33,1,0))))))))</f>
        <v/>
      </c>
      <c r="Y326">
        <f>IF(B326="","",IF(G326&lt;16.5,0,IF(G326&gt;=50*0.8,5,IF(G326&gt;=50*0.7,4,IF(G326&gt;=50*0.6,3.5,IF(G326&gt;=50*0.5,3,IF(G326&gt;=50*0.4,2,IF(G326&gt;=50*0.33,1,0))))))))</f>
        <v/>
      </c>
      <c r="Z326">
        <f>IF(B326="","",IF(H326&lt;33.0,0,IF(H326&gt;=100*0.8,5,IF(H326&gt;=100*0.7,4,IF(H326&gt;=100*0.6,3.5,IF(H326&gt;=100*0.5,3,IF(H326&gt;=100*0.4,2,IF(H326&gt;=100*0.33,1,0))))))))</f>
        <v/>
      </c>
      <c r="AA326">
        <f>IF(B326="","",IF(I326&lt;33.0,0,IF(I326&gt;=100*0.8,5,IF(I326&gt;=100*0.7,4,IF(I326&gt;=100*0.6,3.5,IF(I326&gt;=100*0.5,3,IF(I326&gt;=100*0.4,2,IF(I326&gt;=100*0.33,1,0))))))))</f>
        <v/>
      </c>
      <c r="AB326">
        <f>IF(B326="","",IF(J326&lt;33.0,0,IF(J326&gt;=100*0.8,5,IF(J326&gt;=100*0.7,4,IF(J326&gt;=100*0.6,3.5,IF(J326&gt;=100*0.5,3,IF(J326&gt;=100*0.4,2,IF(J326&gt;=100*0.33,1,0))))))))</f>
        <v/>
      </c>
      <c r="AC326">
        <f>IF(B326="","",IF(K326&lt;33.0,0,IF(K326&gt;=100*0.8,5,IF(K326&gt;=100*0.7,4,IF(K326&gt;=100*0.6,3.5,IF(K326&gt;=100*0.5,3,IF(K326&gt;=100*0.4,2,IF(K326&gt;=100*0.33,1,0))))))))</f>
        <v/>
      </c>
      <c r="AD326">
        <f>IF(B326="","",IF(L326&lt;33.0,0,IF(L326&gt;=100*0.8,5,IF(L326&gt;=100*0.7,4,IF(L326&gt;=100*0.6,3.5,IF(L326&gt;=100*0.5,3,IF(L326&gt;=100*0.4,2,IF(L326&gt;=100*0.33,1,0))))))))</f>
        <v/>
      </c>
      <c r="AE326">
        <f>IF(B326="","",IF(M326&lt;33.0,0,IF(M326&gt;=100*0.8,5,IF(M326&gt;=100*0.7,4,IF(M326&gt;=100*0.6,3.5,IF(M326&gt;=100*0.5,3,IF(M326&gt;=100*0.4,2,IF(M326&gt;=100*0.33,1,0))))))))</f>
        <v/>
      </c>
      <c r="AF326">
        <f>IF(B326="","",IF(N326&lt;16.5,0,IF(N326&gt;=50*0.8,5,IF(N326&gt;=50*0.7,4,IF(N326&gt;=50*0.6,3.5,IF(N326&gt;=50*0.5,3,IF(N326&gt;=50*0.4,2,IF(N326&gt;=50*0.33,1,0))))))))</f>
        <v/>
      </c>
      <c r="AG326">
        <f>IF(B326="","",IF(O326&lt;33.0,0,IF(O326&gt;=100*0.8,5,IF(O326&gt;=100*0.7,4,IF(O326&gt;=100*0.6,3.5,IF(O326&gt;=100*0.5,3,IF(O326&gt;=100*0.4,2,IF(O326&gt;=100*0.33,1,0))))))))</f>
        <v/>
      </c>
      <c r="AH326">
        <f>IF(B326="","",IF(OR(U326=0,V326=0,W326=0,X326=0,Y326=0,Z326=0,AA326=0,AB326=0,AC326=0,AD326=0,AE326=0,AF326=0,AG326=0),1,0))</f>
        <v/>
      </c>
    </row>
    <row r="327">
      <c r="A327" s="3">
        <f>IF(B327="","",ROW()-2)</f>
        <v/>
      </c>
      <c r="P327" s="4">
        <f>IF(B327="","",SUM(C327:O327))</f>
        <v/>
      </c>
      <c r="Q327" s="5">
        <f>IF(B327="","",ROUND(P327/13,2))</f>
        <v/>
      </c>
      <c r="R327" s="5">
        <f>IF(B327="","",IF(AH327=1,0,MIN(5,ROUND((U327+V327+W327+X327+Y327+Z327+AA327+AB327+AC327+AD327+AE327+AF327+AG327)/13,2))))</f>
        <v/>
      </c>
      <c r="S327" s="3">
        <f>IF(B327="","",IF(R327&gt;=5,"A+",IF(R327&gt;=4,"A",IF(R327&gt;=3.5,"A-",IF(R327&gt;=3,"B",IF(R327&gt;=2,"C",IF(R327&gt;=1,"D","F")))))))</f>
        <v/>
      </c>
      <c r="T327" s="3">
        <f>IF(OR(B327="",S327="F"),"",COUNTIFS(P:P,"&gt;"&amp;P327,S:S,"&lt;&gt;F")+1)</f>
        <v/>
      </c>
      <c r="U327">
        <f>IF(B327="","",IF(C327&lt;33.0,0,IF(C327&gt;=100*0.8,5,IF(C327&gt;=100*0.7,4,IF(C327&gt;=100*0.6,3.5,IF(C327&gt;=100*0.5,3,IF(C327&gt;=100*0.4,2,IF(C327&gt;=100*0.33,1,0))))))))</f>
        <v/>
      </c>
      <c r="V327">
        <f>IF(B327="","",IF(D327&lt;33.0,0,IF(D327&gt;=100*0.8,5,IF(D327&gt;=100*0.7,4,IF(D327&gt;=100*0.6,3.5,IF(D327&gt;=100*0.5,3,IF(D327&gt;=100*0.4,2,IF(D327&gt;=100*0.33,1,0))))))))</f>
        <v/>
      </c>
      <c r="W327">
        <f>IF(B327="","",IF(E327&lt;16.5,0,IF(E327&gt;=50*0.8,5,IF(E327&gt;=50*0.7,4,IF(E327&gt;=50*0.6,3.5,IF(E327&gt;=50*0.5,3,IF(E327&gt;=50*0.4,2,IF(E327&gt;=50*0.33,1,0))))))))</f>
        <v/>
      </c>
      <c r="X327">
        <f>IF(B327="","",IF(F327&lt;33.0,0,IF(F327&gt;=100*0.8,5,IF(F327&gt;=100*0.7,4,IF(F327&gt;=100*0.6,3.5,IF(F327&gt;=100*0.5,3,IF(F327&gt;=100*0.4,2,IF(F327&gt;=100*0.33,1,0))))))))</f>
        <v/>
      </c>
      <c r="Y327">
        <f>IF(B327="","",IF(G327&lt;16.5,0,IF(G327&gt;=50*0.8,5,IF(G327&gt;=50*0.7,4,IF(G327&gt;=50*0.6,3.5,IF(G327&gt;=50*0.5,3,IF(G327&gt;=50*0.4,2,IF(G327&gt;=50*0.33,1,0))))))))</f>
        <v/>
      </c>
      <c r="Z327">
        <f>IF(B327="","",IF(H327&lt;33.0,0,IF(H327&gt;=100*0.8,5,IF(H327&gt;=100*0.7,4,IF(H327&gt;=100*0.6,3.5,IF(H327&gt;=100*0.5,3,IF(H327&gt;=100*0.4,2,IF(H327&gt;=100*0.33,1,0))))))))</f>
        <v/>
      </c>
      <c r="AA327">
        <f>IF(B327="","",IF(I327&lt;33.0,0,IF(I327&gt;=100*0.8,5,IF(I327&gt;=100*0.7,4,IF(I327&gt;=100*0.6,3.5,IF(I327&gt;=100*0.5,3,IF(I327&gt;=100*0.4,2,IF(I327&gt;=100*0.33,1,0))))))))</f>
        <v/>
      </c>
      <c r="AB327">
        <f>IF(B327="","",IF(J327&lt;33.0,0,IF(J327&gt;=100*0.8,5,IF(J327&gt;=100*0.7,4,IF(J327&gt;=100*0.6,3.5,IF(J327&gt;=100*0.5,3,IF(J327&gt;=100*0.4,2,IF(J327&gt;=100*0.33,1,0))))))))</f>
        <v/>
      </c>
      <c r="AC327">
        <f>IF(B327="","",IF(K327&lt;33.0,0,IF(K327&gt;=100*0.8,5,IF(K327&gt;=100*0.7,4,IF(K327&gt;=100*0.6,3.5,IF(K327&gt;=100*0.5,3,IF(K327&gt;=100*0.4,2,IF(K327&gt;=100*0.33,1,0))))))))</f>
        <v/>
      </c>
      <c r="AD327">
        <f>IF(B327="","",IF(L327&lt;33.0,0,IF(L327&gt;=100*0.8,5,IF(L327&gt;=100*0.7,4,IF(L327&gt;=100*0.6,3.5,IF(L327&gt;=100*0.5,3,IF(L327&gt;=100*0.4,2,IF(L327&gt;=100*0.33,1,0))))))))</f>
        <v/>
      </c>
      <c r="AE327">
        <f>IF(B327="","",IF(M327&lt;33.0,0,IF(M327&gt;=100*0.8,5,IF(M327&gt;=100*0.7,4,IF(M327&gt;=100*0.6,3.5,IF(M327&gt;=100*0.5,3,IF(M327&gt;=100*0.4,2,IF(M327&gt;=100*0.33,1,0))))))))</f>
        <v/>
      </c>
      <c r="AF327">
        <f>IF(B327="","",IF(N327&lt;16.5,0,IF(N327&gt;=50*0.8,5,IF(N327&gt;=50*0.7,4,IF(N327&gt;=50*0.6,3.5,IF(N327&gt;=50*0.5,3,IF(N327&gt;=50*0.4,2,IF(N327&gt;=50*0.33,1,0))))))))</f>
        <v/>
      </c>
      <c r="AG327">
        <f>IF(B327="","",IF(O327&lt;33.0,0,IF(O327&gt;=100*0.8,5,IF(O327&gt;=100*0.7,4,IF(O327&gt;=100*0.6,3.5,IF(O327&gt;=100*0.5,3,IF(O327&gt;=100*0.4,2,IF(O327&gt;=100*0.33,1,0))))))))</f>
        <v/>
      </c>
      <c r="AH327">
        <f>IF(B327="","",IF(OR(U327=0,V327=0,W327=0,X327=0,Y327=0,Z327=0,AA327=0,AB327=0,AC327=0,AD327=0,AE327=0,AF327=0,AG327=0),1,0))</f>
        <v/>
      </c>
    </row>
    <row r="328">
      <c r="A328" s="3">
        <f>IF(B328="","",ROW()-2)</f>
        <v/>
      </c>
      <c r="P328" s="4">
        <f>IF(B328="","",SUM(C328:O328))</f>
        <v/>
      </c>
      <c r="Q328" s="5">
        <f>IF(B328="","",ROUND(P328/13,2))</f>
        <v/>
      </c>
      <c r="R328" s="5">
        <f>IF(B328="","",IF(AH328=1,0,MIN(5,ROUND((U328+V328+W328+X328+Y328+Z328+AA328+AB328+AC328+AD328+AE328+AF328+AG328)/13,2))))</f>
        <v/>
      </c>
      <c r="S328" s="3">
        <f>IF(B328="","",IF(R328&gt;=5,"A+",IF(R328&gt;=4,"A",IF(R328&gt;=3.5,"A-",IF(R328&gt;=3,"B",IF(R328&gt;=2,"C",IF(R328&gt;=1,"D","F")))))))</f>
        <v/>
      </c>
      <c r="T328" s="3">
        <f>IF(OR(B328="",S328="F"),"",COUNTIFS(P:P,"&gt;"&amp;P328,S:S,"&lt;&gt;F")+1)</f>
        <v/>
      </c>
      <c r="U328">
        <f>IF(B328="","",IF(C328&lt;33.0,0,IF(C328&gt;=100*0.8,5,IF(C328&gt;=100*0.7,4,IF(C328&gt;=100*0.6,3.5,IF(C328&gt;=100*0.5,3,IF(C328&gt;=100*0.4,2,IF(C328&gt;=100*0.33,1,0))))))))</f>
        <v/>
      </c>
      <c r="V328">
        <f>IF(B328="","",IF(D328&lt;33.0,0,IF(D328&gt;=100*0.8,5,IF(D328&gt;=100*0.7,4,IF(D328&gt;=100*0.6,3.5,IF(D328&gt;=100*0.5,3,IF(D328&gt;=100*0.4,2,IF(D328&gt;=100*0.33,1,0))))))))</f>
        <v/>
      </c>
      <c r="W328">
        <f>IF(B328="","",IF(E328&lt;16.5,0,IF(E328&gt;=50*0.8,5,IF(E328&gt;=50*0.7,4,IF(E328&gt;=50*0.6,3.5,IF(E328&gt;=50*0.5,3,IF(E328&gt;=50*0.4,2,IF(E328&gt;=50*0.33,1,0))))))))</f>
        <v/>
      </c>
      <c r="X328">
        <f>IF(B328="","",IF(F328&lt;33.0,0,IF(F328&gt;=100*0.8,5,IF(F328&gt;=100*0.7,4,IF(F328&gt;=100*0.6,3.5,IF(F328&gt;=100*0.5,3,IF(F328&gt;=100*0.4,2,IF(F328&gt;=100*0.33,1,0))))))))</f>
        <v/>
      </c>
      <c r="Y328">
        <f>IF(B328="","",IF(G328&lt;16.5,0,IF(G328&gt;=50*0.8,5,IF(G328&gt;=50*0.7,4,IF(G328&gt;=50*0.6,3.5,IF(G328&gt;=50*0.5,3,IF(G328&gt;=50*0.4,2,IF(G328&gt;=50*0.33,1,0))))))))</f>
        <v/>
      </c>
      <c r="Z328">
        <f>IF(B328="","",IF(H328&lt;33.0,0,IF(H328&gt;=100*0.8,5,IF(H328&gt;=100*0.7,4,IF(H328&gt;=100*0.6,3.5,IF(H328&gt;=100*0.5,3,IF(H328&gt;=100*0.4,2,IF(H328&gt;=100*0.33,1,0))))))))</f>
        <v/>
      </c>
      <c r="AA328">
        <f>IF(B328="","",IF(I328&lt;33.0,0,IF(I328&gt;=100*0.8,5,IF(I328&gt;=100*0.7,4,IF(I328&gt;=100*0.6,3.5,IF(I328&gt;=100*0.5,3,IF(I328&gt;=100*0.4,2,IF(I328&gt;=100*0.33,1,0))))))))</f>
        <v/>
      </c>
      <c r="AB328">
        <f>IF(B328="","",IF(J328&lt;33.0,0,IF(J328&gt;=100*0.8,5,IF(J328&gt;=100*0.7,4,IF(J328&gt;=100*0.6,3.5,IF(J328&gt;=100*0.5,3,IF(J328&gt;=100*0.4,2,IF(J328&gt;=100*0.33,1,0))))))))</f>
        <v/>
      </c>
      <c r="AC328">
        <f>IF(B328="","",IF(K328&lt;33.0,0,IF(K328&gt;=100*0.8,5,IF(K328&gt;=100*0.7,4,IF(K328&gt;=100*0.6,3.5,IF(K328&gt;=100*0.5,3,IF(K328&gt;=100*0.4,2,IF(K328&gt;=100*0.33,1,0))))))))</f>
        <v/>
      </c>
      <c r="AD328">
        <f>IF(B328="","",IF(L328&lt;33.0,0,IF(L328&gt;=100*0.8,5,IF(L328&gt;=100*0.7,4,IF(L328&gt;=100*0.6,3.5,IF(L328&gt;=100*0.5,3,IF(L328&gt;=100*0.4,2,IF(L328&gt;=100*0.33,1,0))))))))</f>
        <v/>
      </c>
      <c r="AE328">
        <f>IF(B328="","",IF(M328&lt;33.0,0,IF(M328&gt;=100*0.8,5,IF(M328&gt;=100*0.7,4,IF(M328&gt;=100*0.6,3.5,IF(M328&gt;=100*0.5,3,IF(M328&gt;=100*0.4,2,IF(M328&gt;=100*0.33,1,0))))))))</f>
        <v/>
      </c>
      <c r="AF328">
        <f>IF(B328="","",IF(N328&lt;16.5,0,IF(N328&gt;=50*0.8,5,IF(N328&gt;=50*0.7,4,IF(N328&gt;=50*0.6,3.5,IF(N328&gt;=50*0.5,3,IF(N328&gt;=50*0.4,2,IF(N328&gt;=50*0.33,1,0))))))))</f>
        <v/>
      </c>
      <c r="AG328">
        <f>IF(B328="","",IF(O328&lt;33.0,0,IF(O328&gt;=100*0.8,5,IF(O328&gt;=100*0.7,4,IF(O328&gt;=100*0.6,3.5,IF(O328&gt;=100*0.5,3,IF(O328&gt;=100*0.4,2,IF(O328&gt;=100*0.33,1,0))))))))</f>
        <v/>
      </c>
      <c r="AH328">
        <f>IF(B328="","",IF(OR(U328=0,V328=0,W328=0,X328=0,Y328=0,Z328=0,AA328=0,AB328=0,AC328=0,AD328=0,AE328=0,AF328=0,AG328=0),1,0))</f>
        <v/>
      </c>
    </row>
    <row r="329">
      <c r="A329" s="3">
        <f>IF(B329="","",ROW()-2)</f>
        <v/>
      </c>
      <c r="P329" s="4">
        <f>IF(B329="","",SUM(C329:O329))</f>
        <v/>
      </c>
      <c r="Q329" s="5">
        <f>IF(B329="","",ROUND(P329/13,2))</f>
        <v/>
      </c>
      <c r="R329" s="5">
        <f>IF(B329="","",IF(AH329=1,0,MIN(5,ROUND((U329+V329+W329+X329+Y329+Z329+AA329+AB329+AC329+AD329+AE329+AF329+AG329)/13,2))))</f>
        <v/>
      </c>
      <c r="S329" s="3">
        <f>IF(B329="","",IF(R329&gt;=5,"A+",IF(R329&gt;=4,"A",IF(R329&gt;=3.5,"A-",IF(R329&gt;=3,"B",IF(R329&gt;=2,"C",IF(R329&gt;=1,"D","F")))))))</f>
        <v/>
      </c>
      <c r="T329" s="3">
        <f>IF(OR(B329="",S329="F"),"",COUNTIFS(P:P,"&gt;"&amp;P329,S:S,"&lt;&gt;F")+1)</f>
        <v/>
      </c>
      <c r="U329">
        <f>IF(B329="","",IF(C329&lt;33.0,0,IF(C329&gt;=100*0.8,5,IF(C329&gt;=100*0.7,4,IF(C329&gt;=100*0.6,3.5,IF(C329&gt;=100*0.5,3,IF(C329&gt;=100*0.4,2,IF(C329&gt;=100*0.33,1,0))))))))</f>
        <v/>
      </c>
      <c r="V329">
        <f>IF(B329="","",IF(D329&lt;33.0,0,IF(D329&gt;=100*0.8,5,IF(D329&gt;=100*0.7,4,IF(D329&gt;=100*0.6,3.5,IF(D329&gt;=100*0.5,3,IF(D329&gt;=100*0.4,2,IF(D329&gt;=100*0.33,1,0))))))))</f>
        <v/>
      </c>
      <c r="W329">
        <f>IF(B329="","",IF(E329&lt;16.5,0,IF(E329&gt;=50*0.8,5,IF(E329&gt;=50*0.7,4,IF(E329&gt;=50*0.6,3.5,IF(E329&gt;=50*0.5,3,IF(E329&gt;=50*0.4,2,IF(E329&gt;=50*0.33,1,0))))))))</f>
        <v/>
      </c>
      <c r="X329">
        <f>IF(B329="","",IF(F329&lt;33.0,0,IF(F329&gt;=100*0.8,5,IF(F329&gt;=100*0.7,4,IF(F329&gt;=100*0.6,3.5,IF(F329&gt;=100*0.5,3,IF(F329&gt;=100*0.4,2,IF(F329&gt;=100*0.33,1,0))))))))</f>
        <v/>
      </c>
      <c r="Y329">
        <f>IF(B329="","",IF(G329&lt;16.5,0,IF(G329&gt;=50*0.8,5,IF(G329&gt;=50*0.7,4,IF(G329&gt;=50*0.6,3.5,IF(G329&gt;=50*0.5,3,IF(G329&gt;=50*0.4,2,IF(G329&gt;=50*0.33,1,0))))))))</f>
        <v/>
      </c>
      <c r="Z329">
        <f>IF(B329="","",IF(H329&lt;33.0,0,IF(H329&gt;=100*0.8,5,IF(H329&gt;=100*0.7,4,IF(H329&gt;=100*0.6,3.5,IF(H329&gt;=100*0.5,3,IF(H329&gt;=100*0.4,2,IF(H329&gt;=100*0.33,1,0))))))))</f>
        <v/>
      </c>
      <c r="AA329">
        <f>IF(B329="","",IF(I329&lt;33.0,0,IF(I329&gt;=100*0.8,5,IF(I329&gt;=100*0.7,4,IF(I329&gt;=100*0.6,3.5,IF(I329&gt;=100*0.5,3,IF(I329&gt;=100*0.4,2,IF(I329&gt;=100*0.33,1,0))))))))</f>
        <v/>
      </c>
      <c r="AB329">
        <f>IF(B329="","",IF(J329&lt;33.0,0,IF(J329&gt;=100*0.8,5,IF(J329&gt;=100*0.7,4,IF(J329&gt;=100*0.6,3.5,IF(J329&gt;=100*0.5,3,IF(J329&gt;=100*0.4,2,IF(J329&gt;=100*0.33,1,0))))))))</f>
        <v/>
      </c>
      <c r="AC329">
        <f>IF(B329="","",IF(K329&lt;33.0,0,IF(K329&gt;=100*0.8,5,IF(K329&gt;=100*0.7,4,IF(K329&gt;=100*0.6,3.5,IF(K329&gt;=100*0.5,3,IF(K329&gt;=100*0.4,2,IF(K329&gt;=100*0.33,1,0))))))))</f>
        <v/>
      </c>
      <c r="AD329">
        <f>IF(B329="","",IF(L329&lt;33.0,0,IF(L329&gt;=100*0.8,5,IF(L329&gt;=100*0.7,4,IF(L329&gt;=100*0.6,3.5,IF(L329&gt;=100*0.5,3,IF(L329&gt;=100*0.4,2,IF(L329&gt;=100*0.33,1,0))))))))</f>
        <v/>
      </c>
      <c r="AE329">
        <f>IF(B329="","",IF(M329&lt;33.0,0,IF(M329&gt;=100*0.8,5,IF(M329&gt;=100*0.7,4,IF(M329&gt;=100*0.6,3.5,IF(M329&gt;=100*0.5,3,IF(M329&gt;=100*0.4,2,IF(M329&gt;=100*0.33,1,0))))))))</f>
        <v/>
      </c>
      <c r="AF329">
        <f>IF(B329="","",IF(N329&lt;16.5,0,IF(N329&gt;=50*0.8,5,IF(N329&gt;=50*0.7,4,IF(N329&gt;=50*0.6,3.5,IF(N329&gt;=50*0.5,3,IF(N329&gt;=50*0.4,2,IF(N329&gt;=50*0.33,1,0))))))))</f>
        <v/>
      </c>
      <c r="AG329">
        <f>IF(B329="","",IF(O329&lt;33.0,0,IF(O329&gt;=100*0.8,5,IF(O329&gt;=100*0.7,4,IF(O329&gt;=100*0.6,3.5,IF(O329&gt;=100*0.5,3,IF(O329&gt;=100*0.4,2,IF(O329&gt;=100*0.33,1,0))))))))</f>
        <v/>
      </c>
      <c r="AH329">
        <f>IF(B329="","",IF(OR(U329=0,V329=0,W329=0,X329=0,Y329=0,Z329=0,AA329=0,AB329=0,AC329=0,AD329=0,AE329=0,AF329=0,AG329=0),1,0))</f>
        <v/>
      </c>
    </row>
    <row r="330">
      <c r="A330" s="3">
        <f>IF(B330="","",ROW()-2)</f>
        <v/>
      </c>
      <c r="P330" s="4">
        <f>IF(B330="","",SUM(C330:O330))</f>
        <v/>
      </c>
      <c r="Q330" s="5">
        <f>IF(B330="","",ROUND(P330/13,2))</f>
        <v/>
      </c>
      <c r="R330" s="5">
        <f>IF(B330="","",IF(AH330=1,0,MIN(5,ROUND((U330+V330+W330+X330+Y330+Z330+AA330+AB330+AC330+AD330+AE330+AF330+AG330)/13,2))))</f>
        <v/>
      </c>
      <c r="S330" s="3">
        <f>IF(B330="","",IF(R330&gt;=5,"A+",IF(R330&gt;=4,"A",IF(R330&gt;=3.5,"A-",IF(R330&gt;=3,"B",IF(R330&gt;=2,"C",IF(R330&gt;=1,"D","F")))))))</f>
        <v/>
      </c>
      <c r="T330" s="3">
        <f>IF(OR(B330="",S330="F"),"",COUNTIFS(P:P,"&gt;"&amp;P330,S:S,"&lt;&gt;F")+1)</f>
        <v/>
      </c>
      <c r="U330">
        <f>IF(B330="","",IF(C330&lt;33.0,0,IF(C330&gt;=100*0.8,5,IF(C330&gt;=100*0.7,4,IF(C330&gt;=100*0.6,3.5,IF(C330&gt;=100*0.5,3,IF(C330&gt;=100*0.4,2,IF(C330&gt;=100*0.33,1,0))))))))</f>
        <v/>
      </c>
      <c r="V330">
        <f>IF(B330="","",IF(D330&lt;33.0,0,IF(D330&gt;=100*0.8,5,IF(D330&gt;=100*0.7,4,IF(D330&gt;=100*0.6,3.5,IF(D330&gt;=100*0.5,3,IF(D330&gt;=100*0.4,2,IF(D330&gt;=100*0.33,1,0))))))))</f>
        <v/>
      </c>
      <c r="W330">
        <f>IF(B330="","",IF(E330&lt;16.5,0,IF(E330&gt;=50*0.8,5,IF(E330&gt;=50*0.7,4,IF(E330&gt;=50*0.6,3.5,IF(E330&gt;=50*0.5,3,IF(E330&gt;=50*0.4,2,IF(E330&gt;=50*0.33,1,0))))))))</f>
        <v/>
      </c>
      <c r="X330">
        <f>IF(B330="","",IF(F330&lt;33.0,0,IF(F330&gt;=100*0.8,5,IF(F330&gt;=100*0.7,4,IF(F330&gt;=100*0.6,3.5,IF(F330&gt;=100*0.5,3,IF(F330&gt;=100*0.4,2,IF(F330&gt;=100*0.33,1,0))))))))</f>
        <v/>
      </c>
      <c r="Y330">
        <f>IF(B330="","",IF(G330&lt;16.5,0,IF(G330&gt;=50*0.8,5,IF(G330&gt;=50*0.7,4,IF(G330&gt;=50*0.6,3.5,IF(G330&gt;=50*0.5,3,IF(G330&gt;=50*0.4,2,IF(G330&gt;=50*0.33,1,0))))))))</f>
        <v/>
      </c>
      <c r="Z330">
        <f>IF(B330="","",IF(H330&lt;33.0,0,IF(H330&gt;=100*0.8,5,IF(H330&gt;=100*0.7,4,IF(H330&gt;=100*0.6,3.5,IF(H330&gt;=100*0.5,3,IF(H330&gt;=100*0.4,2,IF(H330&gt;=100*0.33,1,0))))))))</f>
        <v/>
      </c>
      <c r="AA330">
        <f>IF(B330="","",IF(I330&lt;33.0,0,IF(I330&gt;=100*0.8,5,IF(I330&gt;=100*0.7,4,IF(I330&gt;=100*0.6,3.5,IF(I330&gt;=100*0.5,3,IF(I330&gt;=100*0.4,2,IF(I330&gt;=100*0.33,1,0))))))))</f>
        <v/>
      </c>
      <c r="AB330">
        <f>IF(B330="","",IF(J330&lt;33.0,0,IF(J330&gt;=100*0.8,5,IF(J330&gt;=100*0.7,4,IF(J330&gt;=100*0.6,3.5,IF(J330&gt;=100*0.5,3,IF(J330&gt;=100*0.4,2,IF(J330&gt;=100*0.33,1,0))))))))</f>
        <v/>
      </c>
      <c r="AC330">
        <f>IF(B330="","",IF(K330&lt;33.0,0,IF(K330&gt;=100*0.8,5,IF(K330&gt;=100*0.7,4,IF(K330&gt;=100*0.6,3.5,IF(K330&gt;=100*0.5,3,IF(K330&gt;=100*0.4,2,IF(K330&gt;=100*0.33,1,0))))))))</f>
        <v/>
      </c>
      <c r="AD330">
        <f>IF(B330="","",IF(L330&lt;33.0,0,IF(L330&gt;=100*0.8,5,IF(L330&gt;=100*0.7,4,IF(L330&gt;=100*0.6,3.5,IF(L330&gt;=100*0.5,3,IF(L330&gt;=100*0.4,2,IF(L330&gt;=100*0.33,1,0))))))))</f>
        <v/>
      </c>
      <c r="AE330">
        <f>IF(B330="","",IF(M330&lt;33.0,0,IF(M330&gt;=100*0.8,5,IF(M330&gt;=100*0.7,4,IF(M330&gt;=100*0.6,3.5,IF(M330&gt;=100*0.5,3,IF(M330&gt;=100*0.4,2,IF(M330&gt;=100*0.33,1,0))))))))</f>
        <v/>
      </c>
      <c r="AF330">
        <f>IF(B330="","",IF(N330&lt;16.5,0,IF(N330&gt;=50*0.8,5,IF(N330&gt;=50*0.7,4,IF(N330&gt;=50*0.6,3.5,IF(N330&gt;=50*0.5,3,IF(N330&gt;=50*0.4,2,IF(N330&gt;=50*0.33,1,0))))))))</f>
        <v/>
      </c>
      <c r="AG330">
        <f>IF(B330="","",IF(O330&lt;33.0,0,IF(O330&gt;=100*0.8,5,IF(O330&gt;=100*0.7,4,IF(O330&gt;=100*0.6,3.5,IF(O330&gt;=100*0.5,3,IF(O330&gt;=100*0.4,2,IF(O330&gt;=100*0.33,1,0))))))))</f>
        <v/>
      </c>
      <c r="AH330">
        <f>IF(B330="","",IF(OR(U330=0,V330=0,W330=0,X330=0,Y330=0,Z330=0,AA330=0,AB330=0,AC330=0,AD330=0,AE330=0,AF330=0,AG330=0),1,0))</f>
        <v/>
      </c>
    </row>
    <row r="331">
      <c r="A331" s="3">
        <f>IF(B331="","",ROW()-2)</f>
        <v/>
      </c>
      <c r="P331" s="4">
        <f>IF(B331="","",SUM(C331:O331))</f>
        <v/>
      </c>
      <c r="Q331" s="5">
        <f>IF(B331="","",ROUND(P331/13,2))</f>
        <v/>
      </c>
      <c r="R331" s="5">
        <f>IF(B331="","",IF(AH331=1,0,MIN(5,ROUND((U331+V331+W331+X331+Y331+Z331+AA331+AB331+AC331+AD331+AE331+AF331+AG331)/13,2))))</f>
        <v/>
      </c>
      <c r="S331" s="3">
        <f>IF(B331="","",IF(R331&gt;=5,"A+",IF(R331&gt;=4,"A",IF(R331&gt;=3.5,"A-",IF(R331&gt;=3,"B",IF(R331&gt;=2,"C",IF(R331&gt;=1,"D","F")))))))</f>
        <v/>
      </c>
      <c r="T331" s="3">
        <f>IF(OR(B331="",S331="F"),"",COUNTIFS(P:P,"&gt;"&amp;P331,S:S,"&lt;&gt;F")+1)</f>
        <v/>
      </c>
      <c r="U331">
        <f>IF(B331="","",IF(C331&lt;33.0,0,IF(C331&gt;=100*0.8,5,IF(C331&gt;=100*0.7,4,IF(C331&gt;=100*0.6,3.5,IF(C331&gt;=100*0.5,3,IF(C331&gt;=100*0.4,2,IF(C331&gt;=100*0.33,1,0))))))))</f>
        <v/>
      </c>
      <c r="V331">
        <f>IF(B331="","",IF(D331&lt;33.0,0,IF(D331&gt;=100*0.8,5,IF(D331&gt;=100*0.7,4,IF(D331&gt;=100*0.6,3.5,IF(D331&gt;=100*0.5,3,IF(D331&gt;=100*0.4,2,IF(D331&gt;=100*0.33,1,0))))))))</f>
        <v/>
      </c>
      <c r="W331">
        <f>IF(B331="","",IF(E331&lt;16.5,0,IF(E331&gt;=50*0.8,5,IF(E331&gt;=50*0.7,4,IF(E331&gt;=50*0.6,3.5,IF(E331&gt;=50*0.5,3,IF(E331&gt;=50*0.4,2,IF(E331&gt;=50*0.33,1,0))))))))</f>
        <v/>
      </c>
      <c r="X331">
        <f>IF(B331="","",IF(F331&lt;33.0,0,IF(F331&gt;=100*0.8,5,IF(F331&gt;=100*0.7,4,IF(F331&gt;=100*0.6,3.5,IF(F331&gt;=100*0.5,3,IF(F331&gt;=100*0.4,2,IF(F331&gt;=100*0.33,1,0))))))))</f>
        <v/>
      </c>
      <c r="Y331">
        <f>IF(B331="","",IF(G331&lt;16.5,0,IF(G331&gt;=50*0.8,5,IF(G331&gt;=50*0.7,4,IF(G331&gt;=50*0.6,3.5,IF(G331&gt;=50*0.5,3,IF(G331&gt;=50*0.4,2,IF(G331&gt;=50*0.33,1,0))))))))</f>
        <v/>
      </c>
      <c r="Z331">
        <f>IF(B331="","",IF(H331&lt;33.0,0,IF(H331&gt;=100*0.8,5,IF(H331&gt;=100*0.7,4,IF(H331&gt;=100*0.6,3.5,IF(H331&gt;=100*0.5,3,IF(H331&gt;=100*0.4,2,IF(H331&gt;=100*0.33,1,0))))))))</f>
        <v/>
      </c>
      <c r="AA331">
        <f>IF(B331="","",IF(I331&lt;33.0,0,IF(I331&gt;=100*0.8,5,IF(I331&gt;=100*0.7,4,IF(I331&gt;=100*0.6,3.5,IF(I331&gt;=100*0.5,3,IF(I331&gt;=100*0.4,2,IF(I331&gt;=100*0.33,1,0))))))))</f>
        <v/>
      </c>
      <c r="AB331">
        <f>IF(B331="","",IF(J331&lt;33.0,0,IF(J331&gt;=100*0.8,5,IF(J331&gt;=100*0.7,4,IF(J331&gt;=100*0.6,3.5,IF(J331&gt;=100*0.5,3,IF(J331&gt;=100*0.4,2,IF(J331&gt;=100*0.33,1,0))))))))</f>
        <v/>
      </c>
      <c r="AC331">
        <f>IF(B331="","",IF(K331&lt;33.0,0,IF(K331&gt;=100*0.8,5,IF(K331&gt;=100*0.7,4,IF(K331&gt;=100*0.6,3.5,IF(K331&gt;=100*0.5,3,IF(K331&gt;=100*0.4,2,IF(K331&gt;=100*0.33,1,0))))))))</f>
        <v/>
      </c>
      <c r="AD331">
        <f>IF(B331="","",IF(L331&lt;33.0,0,IF(L331&gt;=100*0.8,5,IF(L331&gt;=100*0.7,4,IF(L331&gt;=100*0.6,3.5,IF(L331&gt;=100*0.5,3,IF(L331&gt;=100*0.4,2,IF(L331&gt;=100*0.33,1,0))))))))</f>
        <v/>
      </c>
      <c r="AE331">
        <f>IF(B331="","",IF(M331&lt;33.0,0,IF(M331&gt;=100*0.8,5,IF(M331&gt;=100*0.7,4,IF(M331&gt;=100*0.6,3.5,IF(M331&gt;=100*0.5,3,IF(M331&gt;=100*0.4,2,IF(M331&gt;=100*0.33,1,0))))))))</f>
        <v/>
      </c>
      <c r="AF331">
        <f>IF(B331="","",IF(N331&lt;16.5,0,IF(N331&gt;=50*0.8,5,IF(N331&gt;=50*0.7,4,IF(N331&gt;=50*0.6,3.5,IF(N331&gt;=50*0.5,3,IF(N331&gt;=50*0.4,2,IF(N331&gt;=50*0.33,1,0))))))))</f>
        <v/>
      </c>
      <c r="AG331">
        <f>IF(B331="","",IF(O331&lt;33.0,0,IF(O331&gt;=100*0.8,5,IF(O331&gt;=100*0.7,4,IF(O331&gt;=100*0.6,3.5,IF(O331&gt;=100*0.5,3,IF(O331&gt;=100*0.4,2,IF(O331&gt;=100*0.33,1,0))))))))</f>
        <v/>
      </c>
      <c r="AH331">
        <f>IF(B331="","",IF(OR(U331=0,V331=0,W331=0,X331=0,Y331=0,Z331=0,AA331=0,AB331=0,AC331=0,AD331=0,AE331=0,AF331=0,AG331=0),1,0))</f>
        <v/>
      </c>
    </row>
    <row r="332">
      <c r="A332" s="3">
        <f>IF(B332="","",ROW()-2)</f>
        <v/>
      </c>
      <c r="P332" s="4">
        <f>IF(B332="","",SUM(C332:O332))</f>
        <v/>
      </c>
      <c r="Q332" s="5">
        <f>IF(B332="","",ROUND(P332/13,2))</f>
        <v/>
      </c>
      <c r="R332" s="5">
        <f>IF(B332="","",IF(AH332=1,0,MIN(5,ROUND((U332+V332+W332+X332+Y332+Z332+AA332+AB332+AC332+AD332+AE332+AF332+AG332)/13,2))))</f>
        <v/>
      </c>
      <c r="S332" s="3">
        <f>IF(B332="","",IF(R332&gt;=5,"A+",IF(R332&gt;=4,"A",IF(R332&gt;=3.5,"A-",IF(R332&gt;=3,"B",IF(R332&gt;=2,"C",IF(R332&gt;=1,"D","F")))))))</f>
        <v/>
      </c>
      <c r="T332" s="3">
        <f>IF(OR(B332="",S332="F"),"",COUNTIFS(P:P,"&gt;"&amp;P332,S:S,"&lt;&gt;F")+1)</f>
        <v/>
      </c>
      <c r="U332">
        <f>IF(B332="","",IF(C332&lt;33.0,0,IF(C332&gt;=100*0.8,5,IF(C332&gt;=100*0.7,4,IF(C332&gt;=100*0.6,3.5,IF(C332&gt;=100*0.5,3,IF(C332&gt;=100*0.4,2,IF(C332&gt;=100*0.33,1,0))))))))</f>
        <v/>
      </c>
      <c r="V332">
        <f>IF(B332="","",IF(D332&lt;33.0,0,IF(D332&gt;=100*0.8,5,IF(D332&gt;=100*0.7,4,IF(D332&gt;=100*0.6,3.5,IF(D332&gt;=100*0.5,3,IF(D332&gt;=100*0.4,2,IF(D332&gt;=100*0.33,1,0))))))))</f>
        <v/>
      </c>
      <c r="W332">
        <f>IF(B332="","",IF(E332&lt;16.5,0,IF(E332&gt;=50*0.8,5,IF(E332&gt;=50*0.7,4,IF(E332&gt;=50*0.6,3.5,IF(E332&gt;=50*0.5,3,IF(E332&gt;=50*0.4,2,IF(E332&gt;=50*0.33,1,0))))))))</f>
        <v/>
      </c>
      <c r="X332">
        <f>IF(B332="","",IF(F332&lt;33.0,0,IF(F332&gt;=100*0.8,5,IF(F332&gt;=100*0.7,4,IF(F332&gt;=100*0.6,3.5,IF(F332&gt;=100*0.5,3,IF(F332&gt;=100*0.4,2,IF(F332&gt;=100*0.33,1,0))))))))</f>
        <v/>
      </c>
      <c r="Y332">
        <f>IF(B332="","",IF(G332&lt;16.5,0,IF(G332&gt;=50*0.8,5,IF(G332&gt;=50*0.7,4,IF(G332&gt;=50*0.6,3.5,IF(G332&gt;=50*0.5,3,IF(G332&gt;=50*0.4,2,IF(G332&gt;=50*0.33,1,0))))))))</f>
        <v/>
      </c>
      <c r="Z332">
        <f>IF(B332="","",IF(H332&lt;33.0,0,IF(H332&gt;=100*0.8,5,IF(H332&gt;=100*0.7,4,IF(H332&gt;=100*0.6,3.5,IF(H332&gt;=100*0.5,3,IF(H332&gt;=100*0.4,2,IF(H332&gt;=100*0.33,1,0))))))))</f>
        <v/>
      </c>
      <c r="AA332">
        <f>IF(B332="","",IF(I332&lt;33.0,0,IF(I332&gt;=100*0.8,5,IF(I332&gt;=100*0.7,4,IF(I332&gt;=100*0.6,3.5,IF(I332&gt;=100*0.5,3,IF(I332&gt;=100*0.4,2,IF(I332&gt;=100*0.33,1,0))))))))</f>
        <v/>
      </c>
      <c r="AB332">
        <f>IF(B332="","",IF(J332&lt;33.0,0,IF(J332&gt;=100*0.8,5,IF(J332&gt;=100*0.7,4,IF(J332&gt;=100*0.6,3.5,IF(J332&gt;=100*0.5,3,IF(J332&gt;=100*0.4,2,IF(J332&gt;=100*0.33,1,0))))))))</f>
        <v/>
      </c>
      <c r="AC332">
        <f>IF(B332="","",IF(K332&lt;33.0,0,IF(K332&gt;=100*0.8,5,IF(K332&gt;=100*0.7,4,IF(K332&gt;=100*0.6,3.5,IF(K332&gt;=100*0.5,3,IF(K332&gt;=100*0.4,2,IF(K332&gt;=100*0.33,1,0))))))))</f>
        <v/>
      </c>
      <c r="AD332">
        <f>IF(B332="","",IF(L332&lt;33.0,0,IF(L332&gt;=100*0.8,5,IF(L332&gt;=100*0.7,4,IF(L332&gt;=100*0.6,3.5,IF(L332&gt;=100*0.5,3,IF(L332&gt;=100*0.4,2,IF(L332&gt;=100*0.33,1,0))))))))</f>
        <v/>
      </c>
      <c r="AE332">
        <f>IF(B332="","",IF(M332&lt;33.0,0,IF(M332&gt;=100*0.8,5,IF(M332&gt;=100*0.7,4,IF(M332&gt;=100*0.6,3.5,IF(M332&gt;=100*0.5,3,IF(M332&gt;=100*0.4,2,IF(M332&gt;=100*0.33,1,0))))))))</f>
        <v/>
      </c>
      <c r="AF332">
        <f>IF(B332="","",IF(N332&lt;16.5,0,IF(N332&gt;=50*0.8,5,IF(N332&gt;=50*0.7,4,IF(N332&gt;=50*0.6,3.5,IF(N332&gt;=50*0.5,3,IF(N332&gt;=50*0.4,2,IF(N332&gt;=50*0.33,1,0))))))))</f>
        <v/>
      </c>
      <c r="AG332">
        <f>IF(B332="","",IF(O332&lt;33.0,0,IF(O332&gt;=100*0.8,5,IF(O332&gt;=100*0.7,4,IF(O332&gt;=100*0.6,3.5,IF(O332&gt;=100*0.5,3,IF(O332&gt;=100*0.4,2,IF(O332&gt;=100*0.33,1,0))))))))</f>
        <v/>
      </c>
      <c r="AH332">
        <f>IF(B332="","",IF(OR(U332=0,V332=0,W332=0,X332=0,Y332=0,Z332=0,AA332=0,AB332=0,AC332=0,AD332=0,AE332=0,AF332=0,AG332=0),1,0))</f>
        <v/>
      </c>
    </row>
    <row r="333">
      <c r="A333" s="3">
        <f>IF(B333="","",ROW()-2)</f>
        <v/>
      </c>
      <c r="P333" s="4">
        <f>IF(B333="","",SUM(C333:O333))</f>
        <v/>
      </c>
      <c r="Q333" s="5">
        <f>IF(B333="","",ROUND(P333/13,2))</f>
        <v/>
      </c>
      <c r="R333" s="5">
        <f>IF(B333="","",IF(AH333=1,0,MIN(5,ROUND((U333+V333+W333+X333+Y333+Z333+AA333+AB333+AC333+AD333+AE333+AF333+AG333)/13,2))))</f>
        <v/>
      </c>
      <c r="S333" s="3">
        <f>IF(B333="","",IF(R333&gt;=5,"A+",IF(R333&gt;=4,"A",IF(R333&gt;=3.5,"A-",IF(R333&gt;=3,"B",IF(R333&gt;=2,"C",IF(R333&gt;=1,"D","F")))))))</f>
        <v/>
      </c>
      <c r="T333" s="3">
        <f>IF(OR(B333="",S333="F"),"",COUNTIFS(P:P,"&gt;"&amp;P333,S:S,"&lt;&gt;F")+1)</f>
        <v/>
      </c>
      <c r="U333">
        <f>IF(B333="","",IF(C333&lt;33.0,0,IF(C333&gt;=100*0.8,5,IF(C333&gt;=100*0.7,4,IF(C333&gt;=100*0.6,3.5,IF(C333&gt;=100*0.5,3,IF(C333&gt;=100*0.4,2,IF(C333&gt;=100*0.33,1,0))))))))</f>
        <v/>
      </c>
      <c r="V333">
        <f>IF(B333="","",IF(D333&lt;33.0,0,IF(D333&gt;=100*0.8,5,IF(D333&gt;=100*0.7,4,IF(D333&gt;=100*0.6,3.5,IF(D333&gt;=100*0.5,3,IF(D333&gt;=100*0.4,2,IF(D333&gt;=100*0.33,1,0))))))))</f>
        <v/>
      </c>
      <c r="W333">
        <f>IF(B333="","",IF(E333&lt;16.5,0,IF(E333&gt;=50*0.8,5,IF(E333&gt;=50*0.7,4,IF(E333&gt;=50*0.6,3.5,IF(E333&gt;=50*0.5,3,IF(E333&gt;=50*0.4,2,IF(E333&gt;=50*0.33,1,0))))))))</f>
        <v/>
      </c>
      <c r="X333">
        <f>IF(B333="","",IF(F333&lt;33.0,0,IF(F333&gt;=100*0.8,5,IF(F333&gt;=100*0.7,4,IF(F333&gt;=100*0.6,3.5,IF(F333&gt;=100*0.5,3,IF(F333&gt;=100*0.4,2,IF(F333&gt;=100*0.33,1,0))))))))</f>
        <v/>
      </c>
      <c r="Y333">
        <f>IF(B333="","",IF(G333&lt;16.5,0,IF(G333&gt;=50*0.8,5,IF(G333&gt;=50*0.7,4,IF(G333&gt;=50*0.6,3.5,IF(G333&gt;=50*0.5,3,IF(G333&gt;=50*0.4,2,IF(G333&gt;=50*0.33,1,0))))))))</f>
        <v/>
      </c>
      <c r="Z333">
        <f>IF(B333="","",IF(H333&lt;33.0,0,IF(H333&gt;=100*0.8,5,IF(H333&gt;=100*0.7,4,IF(H333&gt;=100*0.6,3.5,IF(H333&gt;=100*0.5,3,IF(H333&gt;=100*0.4,2,IF(H333&gt;=100*0.33,1,0))))))))</f>
        <v/>
      </c>
      <c r="AA333">
        <f>IF(B333="","",IF(I333&lt;33.0,0,IF(I333&gt;=100*0.8,5,IF(I333&gt;=100*0.7,4,IF(I333&gt;=100*0.6,3.5,IF(I333&gt;=100*0.5,3,IF(I333&gt;=100*0.4,2,IF(I333&gt;=100*0.33,1,0))))))))</f>
        <v/>
      </c>
      <c r="AB333">
        <f>IF(B333="","",IF(J333&lt;33.0,0,IF(J333&gt;=100*0.8,5,IF(J333&gt;=100*0.7,4,IF(J333&gt;=100*0.6,3.5,IF(J333&gt;=100*0.5,3,IF(J333&gt;=100*0.4,2,IF(J333&gt;=100*0.33,1,0))))))))</f>
        <v/>
      </c>
      <c r="AC333">
        <f>IF(B333="","",IF(K333&lt;33.0,0,IF(K333&gt;=100*0.8,5,IF(K333&gt;=100*0.7,4,IF(K333&gt;=100*0.6,3.5,IF(K333&gt;=100*0.5,3,IF(K333&gt;=100*0.4,2,IF(K333&gt;=100*0.33,1,0))))))))</f>
        <v/>
      </c>
      <c r="AD333">
        <f>IF(B333="","",IF(L333&lt;33.0,0,IF(L333&gt;=100*0.8,5,IF(L333&gt;=100*0.7,4,IF(L333&gt;=100*0.6,3.5,IF(L333&gt;=100*0.5,3,IF(L333&gt;=100*0.4,2,IF(L333&gt;=100*0.33,1,0))))))))</f>
        <v/>
      </c>
      <c r="AE333">
        <f>IF(B333="","",IF(M333&lt;33.0,0,IF(M333&gt;=100*0.8,5,IF(M333&gt;=100*0.7,4,IF(M333&gt;=100*0.6,3.5,IF(M333&gt;=100*0.5,3,IF(M333&gt;=100*0.4,2,IF(M333&gt;=100*0.33,1,0))))))))</f>
        <v/>
      </c>
      <c r="AF333">
        <f>IF(B333="","",IF(N333&lt;16.5,0,IF(N333&gt;=50*0.8,5,IF(N333&gt;=50*0.7,4,IF(N333&gt;=50*0.6,3.5,IF(N333&gt;=50*0.5,3,IF(N333&gt;=50*0.4,2,IF(N333&gt;=50*0.33,1,0))))))))</f>
        <v/>
      </c>
      <c r="AG333">
        <f>IF(B333="","",IF(O333&lt;33.0,0,IF(O333&gt;=100*0.8,5,IF(O333&gt;=100*0.7,4,IF(O333&gt;=100*0.6,3.5,IF(O333&gt;=100*0.5,3,IF(O333&gt;=100*0.4,2,IF(O333&gt;=100*0.33,1,0))))))))</f>
        <v/>
      </c>
      <c r="AH333">
        <f>IF(B333="","",IF(OR(U333=0,V333=0,W333=0,X333=0,Y333=0,Z333=0,AA333=0,AB333=0,AC333=0,AD333=0,AE333=0,AF333=0,AG333=0),1,0))</f>
        <v/>
      </c>
    </row>
    <row r="334">
      <c r="A334" s="3">
        <f>IF(B334="","",ROW()-2)</f>
        <v/>
      </c>
      <c r="P334" s="4">
        <f>IF(B334="","",SUM(C334:O334))</f>
        <v/>
      </c>
      <c r="Q334" s="5">
        <f>IF(B334="","",ROUND(P334/13,2))</f>
        <v/>
      </c>
      <c r="R334" s="5">
        <f>IF(B334="","",IF(AH334=1,0,MIN(5,ROUND((U334+V334+W334+X334+Y334+Z334+AA334+AB334+AC334+AD334+AE334+AF334+AG334)/13,2))))</f>
        <v/>
      </c>
      <c r="S334" s="3">
        <f>IF(B334="","",IF(R334&gt;=5,"A+",IF(R334&gt;=4,"A",IF(R334&gt;=3.5,"A-",IF(R334&gt;=3,"B",IF(R334&gt;=2,"C",IF(R334&gt;=1,"D","F")))))))</f>
        <v/>
      </c>
      <c r="T334" s="3">
        <f>IF(OR(B334="",S334="F"),"",COUNTIFS(P:P,"&gt;"&amp;P334,S:S,"&lt;&gt;F")+1)</f>
        <v/>
      </c>
      <c r="U334">
        <f>IF(B334="","",IF(C334&lt;33.0,0,IF(C334&gt;=100*0.8,5,IF(C334&gt;=100*0.7,4,IF(C334&gt;=100*0.6,3.5,IF(C334&gt;=100*0.5,3,IF(C334&gt;=100*0.4,2,IF(C334&gt;=100*0.33,1,0))))))))</f>
        <v/>
      </c>
      <c r="V334">
        <f>IF(B334="","",IF(D334&lt;33.0,0,IF(D334&gt;=100*0.8,5,IF(D334&gt;=100*0.7,4,IF(D334&gt;=100*0.6,3.5,IF(D334&gt;=100*0.5,3,IF(D334&gt;=100*0.4,2,IF(D334&gt;=100*0.33,1,0))))))))</f>
        <v/>
      </c>
      <c r="W334">
        <f>IF(B334="","",IF(E334&lt;16.5,0,IF(E334&gt;=50*0.8,5,IF(E334&gt;=50*0.7,4,IF(E334&gt;=50*0.6,3.5,IF(E334&gt;=50*0.5,3,IF(E334&gt;=50*0.4,2,IF(E334&gt;=50*0.33,1,0))))))))</f>
        <v/>
      </c>
      <c r="X334">
        <f>IF(B334="","",IF(F334&lt;33.0,0,IF(F334&gt;=100*0.8,5,IF(F334&gt;=100*0.7,4,IF(F334&gt;=100*0.6,3.5,IF(F334&gt;=100*0.5,3,IF(F334&gt;=100*0.4,2,IF(F334&gt;=100*0.33,1,0))))))))</f>
        <v/>
      </c>
      <c r="Y334">
        <f>IF(B334="","",IF(G334&lt;16.5,0,IF(G334&gt;=50*0.8,5,IF(G334&gt;=50*0.7,4,IF(G334&gt;=50*0.6,3.5,IF(G334&gt;=50*0.5,3,IF(G334&gt;=50*0.4,2,IF(G334&gt;=50*0.33,1,0))))))))</f>
        <v/>
      </c>
      <c r="Z334">
        <f>IF(B334="","",IF(H334&lt;33.0,0,IF(H334&gt;=100*0.8,5,IF(H334&gt;=100*0.7,4,IF(H334&gt;=100*0.6,3.5,IF(H334&gt;=100*0.5,3,IF(H334&gt;=100*0.4,2,IF(H334&gt;=100*0.33,1,0))))))))</f>
        <v/>
      </c>
      <c r="AA334">
        <f>IF(B334="","",IF(I334&lt;33.0,0,IF(I334&gt;=100*0.8,5,IF(I334&gt;=100*0.7,4,IF(I334&gt;=100*0.6,3.5,IF(I334&gt;=100*0.5,3,IF(I334&gt;=100*0.4,2,IF(I334&gt;=100*0.33,1,0))))))))</f>
        <v/>
      </c>
      <c r="AB334">
        <f>IF(B334="","",IF(J334&lt;33.0,0,IF(J334&gt;=100*0.8,5,IF(J334&gt;=100*0.7,4,IF(J334&gt;=100*0.6,3.5,IF(J334&gt;=100*0.5,3,IF(J334&gt;=100*0.4,2,IF(J334&gt;=100*0.33,1,0))))))))</f>
        <v/>
      </c>
      <c r="AC334">
        <f>IF(B334="","",IF(K334&lt;33.0,0,IF(K334&gt;=100*0.8,5,IF(K334&gt;=100*0.7,4,IF(K334&gt;=100*0.6,3.5,IF(K334&gt;=100*0.5,3,IF(K334&gt;=100*0.4,2,IF(K334&gt;=100*0.33,1,0))))))))</f>
        <v/>
      </c>
      <c r="AD334">
        <f>IF(B334="","",IF(L334&lt;33.0,0,IF(L334&gt;=100*0.8,5,IF(L334&gt;=100*0.7,4,IF(L334&gt;=100*0.6,3.5,IF(L334&gt;=100*0.5,3,IF(L334&gt;=100*0.4,2,IF(L334&gt;=100*0.33,1,0))))))))</f>
        <v/>
      </c>
      <c r="AE334">
        <f>IF(B334="","",IF(M334&lt;33.0,0,IF(M334&gt;=100*0.8,5,IF(M334&gt;=100*0.7,4,IF(M334&gt;=100*0.6,3.5,IF(M334&gt;=100*0.5,3,IF(M334&gt;=100*0.4,2,IF(M334&gt;=100*0.33,1,0))))))))</f>
        <v/>
      </c>
      <c r="AF334">
        <f>IF(B334="","",IF(N334&lt;16.5,0,IF(N334&gt;=50*0.8,5,IF(N334&gt;=50*0.7,4,IF(N334&gt;=50*0.6,3.5,IF(N334&gt;=50*0.5,3,IF(N334&gt;=50*0.4,2,IF(N334&gt;=50*0.33,1,0))))))))</f>
        <v/>
      </c>
      <c r="AG334">
        <f>IF(B334="","",IF(O334&lt;33.0,0,IF(O334&gt;=100*0.8,5,IF(O334&gt;=100*0.7,4,IF(O334&gt;=100*0.6,3.5,IF(O334&gt;=100*0.5,3,IF(O334&gt;=100*0.4,2,IF(O334&gt;=100*0.33,1,0))))))))</f>
        <v/>
      </c>
      <c r="AH334">
        <f>IF(B334="","",IF(OR(U334=0,V334=0,W334=0,X334=0,Y334=0,Z334=0,AA334=0,AB334=0,AC334=0,AD334=0,AE334=0,AF334=0,AG334=0),1,0))</f>
        <v/>
      </c>
    </row>
    <row r="335">
      <c r="A335" s="3">
        <f>IF(B335="","",ROW()-2)</f>
        <v/>
      </c>
      <c r="P335" s="4">
        <f>IF(B335="","",SUM(C335:O335))</f>
        <v/>
      </c>
      <c r="Q335" s="5">
        <f>IF(B335="","",ROUND(P335/13,2))</f>
        <v/>
      </c>
      <c r="R335" s="5">
        <f>IF(B335="","",IF(AH335=1,0,MIN(5,ROUND((U335+V335+W335+X335+Y335+Z335+AA335+AB335+AC335+AD335+AE335+AF335+AG335)/13,2))))</f>
        <v/>
      </c>
      <c r="S335" s="3">
        <f>IF(B335="","",IF(R335&gt;=5,"A+",IF(R335&gt;=4,"A",IF(R335&gt;=3.5,"A-",IF(R335&gt;=3,"B",IF(R335&gt;=2,"C",IF(R335&gt;=1,"D","F")))))))</f>
        <v/>
      </c>
      <c r="T335" s="3">
        <f>IF(OR(B335="",S335="F"),"",COUNTIFS(P:P,"&gt;"&amp;P335,S:S,"&lt;&gt;F")+1)</f>
        <v/>
      </c>
      <c r="U335">
        <f>IF(B335="","",IF(C335&lt;33.0,0,IF(C335&gt;=100*0.8,5,IF(C335&gt;=100*0.7,4,IF(C335&gt;=100*0.6,3.5,IF(C335&gt;=100*0.5,3,IF(C335&gt;=100*0.4,2,IF(C335&gt;=100*0.33,1,0))))))))</f>
        <v/>
      </c>
      <c r="V335">
        <f>IF(B335="","",IF(D335&lt;33.0,0,IF(D335&gt;=100*0.8,5,IF(D335&gt;=100*0.7,4,IF(D335&gt;=100*0.6,3.5,IF(D335&gt;=100*0.5,3,IF(D335&gt;=100*0.4,2,IF(D335&gt;=100*0.33,1,0))))))))</f>
        <v/>
      </c>
      <c r="W335">
        <f>IF(B335="","",IF(E335&lt;16.5,0,IF(E335&gt;=50*0.8,5,IF(E335&gt;=50*0.7,4,IF(E335&gt;=50*0.6,3.5,IF(E335&gt;=50*0.5,3,IF(E335&gt;=50*0.4,2,IF(E335&gt;=50*0.33,1,0))))))))</f>
        <v/>
      </c>
      <c r="X335">
        <f>IF(B335="","",IF(F335&lt;33.0,0,IF(F335&gt;=100*0.8,5,IF(F335&gt;=100*0.7,4,IF(F335&gt;=100*0.6,3.5,IF(F335&gt;=100*0.5,3,IF(F335&gt;=100*0.4,2,IF(F335&gt;=100*0.33,1,0))))))))</f>
        <v/>
      </c>
      <c r="Y335">
        <f>IF(B335="","",IF(G335&lt;16.5,0,IF(G335&gt;=50*0.8,5,IF(G335&gt;=50*0.7,4,IF(G335&gt;=50*0.6,3.5,IF(G335&gt;=50*0.5,3,IF(G335&gt;=50*0.4,2,IF(G335&gt;=50*0.33,1,0))))))))</f>
        <v/>
      </c>
      <c r="Z335">
        <f>IF(B335="","",IF(H335&lt;33.0,0,IF(H335&gt;=100*0.8,5,IF(H335&gt;=100*0.7,4,IF(H335&gt;=100*0.6,3.5,IF(H335&gt;=100*0.5,3,IF(H335&gt;=100*0.4,2,IF(H335&gt;=100*0.33,1,0))))))))</f>
        <v/>
      </c>
      <c r="AA335">
        <f>IF(B335="","",IF(I335&lt;33.0,0,IF(I335&gt;=100*0.8,5,IF(I335&gt;=100*0.7,4,IF(I335&gt;=100*0.6,3.5,IF(I335&gt;=100*0.5,3,IF(I335&gt;=100*0.4,2,IF(I335&gt;=100*0.33,1,0))))))))</f>
        <v/>
      </c>
      <c r="AB335">
        <f>IF(B335="","",IF(J335&lt;33.0,0,IF(J335&gt;=100*0.8,5,IF(J335&gt;=100*0.7,4,IF(J335&gt;=100*0.6,3.5,IF(J335&gt;=100*0.5,3,IF(J335&gt;=100*0.4,2,IF(J335&gt;=100*0.33,1,0))))))))</f>
        <v/>
      </c>
      <c r="AC335">
        <f>IF(B335="","",IF(K335&lt;33.0,0,IF(K335&gt;=100*0.8,5,IF(K335&gt;=100*0.7,4,IF(K335&gt;=100*0.6,3.5,IF(K335&gt;=100*0.5,3,IF(K335&gt;=100*0.4,2,IF(K335&gt;=100*0.33,1,0))))))))</f>
        <v/>
      </c>
      <c r="AD335">
        <f>IF(B335="","",IF(L335&lt;33.0,0,IF(L335&gt;=100*0.8,5,IF(L335&gt;=100*0.7,4,IF(L335&gt;=100*0.6,3.5,IF(L335&gt;=100*0.5,3,IF(L335&gt;=100*0.4,2,IF(L335&gt;=100*0.33,1,0))))))))</f>
        <v/>
      </c>
      <c r="AE335">
        <f>IF(B335="","",IF(M335&lt;33.0,0,IF(M335&gt;=100*0.8,5,IF(M335&gt;=100*0.7,4,IF(M335&gt;=100*0.6,3.5,IF(M335&gt;=100*0.5,3,IF(M335&gt;=100*0.4,2,IF(M335&gt;=100*0.33,1,0))))))))</f>
        <v/>
      </c>
      <c r="AF335">
        <f>IF(B335="","",IF(N335&lt;16.5,0,IF(N335&gt;=50*0.8,5,IF(N335&gt;=50*0.7,4,IF(N335&gt;=50*0.6,3.5,IF(N335&gt;=50*0.5,3,IF(N335&gt;=50*0.4,2,IF(N335&gt;=50*0.33,1,0))))))))</f>
        <v/>
      </c>
      <c r="AG335">
        <f>IF(B335="","",IF(O335&lt;33.0,0,IF(O335&gt;=100*0.8,5,IF(O335&gt;=100*0.7,4,IF(O335&gt;=100*0.6,3.5,IF(O335&gt;=100*0.5,3,IF(O335&gt;=100*0.4,2,IF(O335&gt;=100*0.33,1,0))))))))</f>
        <v/>
      </c>
      <c r="AH335">
        <f>IF(B335="","",IF(OR(U335=0,V335=0,W335=0,X335=0,Y335=0,Z335=0,AA335=0,AB335=0,AC335=0,AD335=0,AE335=0,AF335=0,AG335=0),1,0))</f>
        <v/>
      </c>
    </row>
    <row r="336">
      <c r="A336" s="3">
        <f>IF(B336="","",ROW()-2)</f>
        <v/>
      </c>
      <c r="P336" s="4">
        <f>IF(B336="","",SUM(C336:O336))</f>
        <v/>
      </c>
      <c r="Q336" s="5">
        <f>IF(B336="","",ROUND(P336/13,2))</f>
        <v/>
      </c>
      <c r="R336" s="5">
        <f>IF(B336="","",IF(AH336=1,0,MIN(5,ROUND((U336+V336+W336+X336+Y336+Z336+AA336+AB336+AC336+AD336+AE336+AF336+AG336)/13,2))))</f>
        <v/>
      </c>
      <c r="S336" s="3">
        <f>IF(B336="","",IF(R336&gt;=5,"A+",IF(R336&gt;=4,"A",IF(R336&gt;=3.5,"A-",IF(R336&gt;=3,"B",IF(R336&gt;=2,"C",IF(R336&gt;=1,"D","F")))))))</f>
        <v/>
      </c>
      <c r="T336" s="3">
        <f>IF(OR(B336="",S336="F"),"",COUNTIFS(P:P,"&gt;"&amp;P336,S:S,"&lt;&gt;F")+1)</f>
        <v/>
      </c>
      <c r="U336">
        <f>IF(B336="","",IF(C336&lt;33.0,0,IF(C336&gt;=100*0.8,5,IF(C336&gt;=100*0.7,4,IF(C336&gt;=100*0.6,3.5,IF(C336&gt;=100*0.5,3,IF(C336&gt;=100*0.4,2,IF(C336&gt;=100*0.33,1,0))))))))</f>
        <v/>
      </c>
      <c r="V336">
        <f>IF(B336="","",IF(D336&lt;33.0,0,IF(D336&gt;=100*0.8,5,IF(D336&gt;=100*0.7,4,IF(D336&gt;=100*0.6,3.5,IF(D336&gt;=100*0.5,3,IF(D336&gt;=100*0.4,2,IF(D336&gt;=100*0.33,1,0))))))))</f>
        <v/>
      </c>
      <c r="W336">
        <f>IF(B336="","",IF(E336&lt;16.5,0,IF(E336&gt;=50*0.8,5,IF(E336&gt;=50*0.7,4,IF(E336&gt;=50*0.6,3.5,IF(E336&gt;=50*0.5,3,IF(E336&gt;=50*0.4,2,IF(E336&gt;=50*0.33,1,0))))))))</f>
        <v/>
      </c>
      <c r="X336">
        <f>IF(B336="","",IF(F336&lt;33.0,0,IF(F336&gt;=100*0.8,5,IF(F336&gt;=100*0.7,4,IF(F336&gt;=100*0.6,3.5,IF(F336&gt;=100*0.5,3,IF(F336&gt;=100*0.4,2,IF(F336&gt;=100*0.33,1,0))))))))</f>
        <v/>
      </c>
      <c r="Y336">
        <f>IF(B336="","",IF(G336&lt;16.5,0,IF(G336&gt;=50*0.8,5,IF(G336&gt;=50*0.7,4,IF(G336&gt;=50*0.6,3.5,IF(G336&gt;=50*0.5,3,IF(G336&gt;=50*0.4,2,IF(G336&gt;=50*0.33,1,0))))))))</f>
        <v/>
      </c>
      <c r="Z336">
        <f>IF(B336="","",IF(H336&lt;33.0,0,IF(H336&gt;=100*0.8,5,IF(H336&gt;=100*0.7,4,IF(H336&gt;=100*0.6,3.5,IF(H336&gt;=100*0.5,3,IF(H336&gt;=100*0.4,2,IF(H336&gt;=100*0.33,1,0))))))))</f>
        <v/>
      </c>
      <c r="AA336">
        <f>IF(B336="","",IF(I336&lt;33.0,0,IF(I336&gt;=100*0.8,5,IF(I336&gt;=100*0.7,4,IF(I336&gt;=100*0.6,3.5,IF(I336&gt;=100*0.5,3,IF(I336&gt;=100*0.4,2,IF(I336&gt;=100*0.33,1,0))))))))</f>
        <v/>
      </c>
      <c r="AB336">
        <f>IF(B336="","",IF(J336&lt;33.0,0,IF(J336&gt;=100*0.8,5,IF(J336&gt;=100*0.7,4,IF(J336&gt;=100*0.6,3.5,IF(J336&gt;=100*0.5,3,IF(J336&gt;=100*0.4,2,IF(J336&gt;=100*0.33,1,0))))))))</f>
        <v/>
      </c>
      <c r="AC336">
        <f>IF(B336="","",IF(K336&lt;33.0,0,IF(K336&gt;=100*0.8,5,IF(K336&gt;=100*0.7,4,IF(K336&gt;=100*0.6,3.5,IF(K336&gt;=100*0.5,3,IF(K336&gt;=100*0.4,2,IF(K336&gt;=100*0.33,1,0))))))))</f>
        <v/>
      </c>
      <c r="AD336">
        <f>IF(B336="","",IF(L336&lt;33.0,0,IF(L336&gt;=100*0.8,5,IF(L336&gt;=100*0.7,4,IF(L336&gt;=100*0.6,3.5,IF(L336&gt;=100*0.5,3,IF(L336&gt;=100*0.4,2,IF(L336&gt;=100*0.33,1,0))))))))</f>
        <v/>
      </c>
      <c r="AE336">
        <f>IF(B336="","",IF(M336&lt;33.0,0,IF(M336&gt;=100*0.8,5,IF(M336&gt;=100*0.7,4,IF(M336&gt;=100*0.6,3.5,IF(M336&gt;=100*0.5,3,IF(M336&gt;=100*0.4,2,IF(M336&gt;=100*0.33,1,0))))))))</f>
        <v/>
      </c>
      <c r="AF336">
        <f>IF(B336="","",IF(N336&lt;16.5,0,IF(N336&gt;=50*0.8,5,IF(N336&gt;=50*0.7,4,IF(N336&gt;=50*0.6,3.5,IF(N336&gt;=50*0.5,3,IF(N336&gt;=50*0.4,2,IF(N336&gt;=50*0.33,1,0))))))))</f>
        <v/>
      </c>
      <c r="AG336">
        <f>IF(B336="","",IF(O336&lt;33.0,0,IF(O336&gt;=100*0.8,5,IF(O336&gt;=100*0.7,4,IF(O336&gt;=100*0.6,3.5,IF(O336&gt;=100*0.5,3,IF(O336&gt;=100*0.4,2,IF(O336&gt;=100*0.33,1,0))))))))</f>
        <v/>
      </c>
      <c r="AH336">
        <f>IF(B336="","",IF(OR(U336=0,V336=0,W336=0,X336=0,Y336=0,Z336=0,AA336=0,AB336=0,AC336=0,AD336=0,AE336=0,AF336=0,AG336=0),1,0))</f>
        <v/>
      </c>
    </row>
    <row r="337">
      <c r="A337" s="3">
        <f>IF(B337="","",ROW()-2)</f>
        <v/>
      </c>
      <c r="P337" s="4">
        <f>IF(B337="","",SUM(C337:O337))</f>
        <v/>
      </c>
      <c r="Q337" s="5">
        <f>IF(B337="","",ROUND(P337/13,2))</f>
        <v/>
      </c>
      <c r="R337" s="5">
        <f>IF(B337="","",IF(AH337=1,0,MIN(5,ROUND((U337+V337+W337+X337+Y337+Z337+AA337+AB337+AC337+AD337+AE337+AF337+AG337)/13,2))))</f>
        <v/>
      </c>
      <c r="S337" s="3">
        <f>IF(B337="","",IF(R337&gt;=5,"A+",IF(R337&gt;=4,"A",IF(R337&gt;=3.5,"A-",IF(R337&gt;=3,"B",IF(R337&gt;=2,"C",IF(R337&gt;=1,"D","F")))))))</f>
        <v/>
      </c>
      <c r="T337" s="3">
        <f>IF(OR(B337="",S337="F"),"",COUNTIFS(P:P,"&gt;"&amp;P337,S:S,"&lt;&gt;F")+1)</f>
        <v/>
      </c>
      <c r="U337">
        <f>IF(B337="","",IF(C337&lt;33.0,0,IF(C337&gt;=100*0.8,5,IF(C337&gt;=100*0.7,4,IF(C337&gt;=100*0.6,3.5,IF(C337&gt;=100*0.5,3,IF(C337&gt;=100*0.4,2,IF(C337&gt;=100*0.33,1,0))))))))</f>
        <v/>
      </c>
      <c r="V337">
        <f>IF(B337="","",IF(D337&lt;33.0,0,IF(D337&gt;=100*0.8,5,IF(D337&gt;=100*0.7,4,IF(D337&gt;=100*0.6,3.5,IF(D337&gt;=100*0.5,3,IF(D337&gt;=100*0.4,2,IF(D337&gt;=100*0.33,1,0))))))))</f>
        <v/>
      </c>
      <c r="W337">
        <f>IF(B337="","",IF(E337&lt;16.5,0,IF(E337&gt;=50*0.8,5,IF(E337&gt;=50*0.7,4,IF(E337&gt;=50*0.6,3.5,IF(E337&gt;=50*0.5,3,IF(E337&gt;=50*0.4,2,IF(E337&gt;=50*0.33,1,0))))))))</f>
        <v/>
      </c>
      <c r="X337">
        <f>IF(B337="","",IF(F337&lt;33.0,0,IF(F337&gt;=100*0.8,5,IF(F337&gt;=100*0.7,4,IF(F337&gt;=100*0.6,3.5,IF(F337&gt;=100*0.5,3,IF(F337&gt;=100*0.4,2,IF(F337&gt;=100*0.33,1,0))))))))</f>
        <v/>
      </c>
      <c r="Y337">
        <f>IF(B337="","",IF(G337&lt;16.5,0,IF(G337&gt;=50*0.8,5,IF(G337&gt;=50*0.7,4,IF(G337&gt;=50*0.6,3.5,IF(G337&gt;=50*0.5,3,IF(G337&gt;=50*0.4,2,IF(G337&gt;=50*0.33,1,0))))))))</f>
        <v/>
      </c>
      <c r="Z337">
        <f>IF(B337="","",IF(H337&lt;33.0,0,IF(H337&gt;=100*0.8,5,IF(H337&gt;=100*0.7,4,IF(H337&gt;=100*0.6,3.5,IF(H337&gt;=100*0.5,3,IF(H337&gt;=100*0.4,2,IF(H337&gt;=100*0.33,1,0))))))))</f>
        <v/>
      </c>
      <c r="AA337">
        <f>IF(B337="","",IF(I337&lt;33.0,0,IF(I337&gt;=100*0.8,5,IF(I337&gt;=100*0.7,4,IF(I337&gt;=100*0.6,3.5,IF(I337&gt;=100*0.5,3,IF(I337&gt;=100*0.4,2,IF(I337&gt;=100*0.33,1,0))))))))</f>
        <v/>
      </c>
      <c r="AB337">
        <f>IF(B337="","",IF(J337&lt;33.0,0,IF(J337&gt;=100*0.8,5,IF(J337&gt;=100*0.7,4,IF(J337&gt;=100*0.6,3.5,IF(J337&gt;=100*0.5,3,IF(J337&gt;=100*0.4,2,IF(J337&gt;=100*0.33,1,0))))))))</f>
        <v/>
      </c>
      <c r="AC337">
        <f>IF(B337="","",IF(K337&lt;33.0,0,IF(K337&gt;=100*0.8,5,IF(K337&gt;=100*0.7,4,IF(K337&gt;=100*0.6,3.5,IF(K337&gt;=100*0.5,3,IF(K337&gt;=100*0.4,2,IF(K337&gt;=100*0.33,1,0))))))))</f>
        <v/>
      </c>
      <c r="AD337">
        <f>IF(B337="","",IF(L337&lt;33.0,0,IF(L337&gt;=100*0.8,5,IF(L337&gt;=100*0.7,4,IF(L337&gt;=100*0.6,3.5,IF(L337&gt;=100*0.5,3,IF(L337&gt;=100*0.4,2,IF(L337&gt;=100*0.33,1,0))))))))</f>
        <v/>
      </c>
      <c r="AE337">
        <f>IF(B337="","",IF(M337&lt;33.0,0,IF(M337&gt;=100*0.8,5,IF(M337&gt;=100*0.7,4,IF(M337&gt;=100*0.6,3.5,IF(M337&gt;=100*0.5,3,IF(M337&gt;=100*0.4,2,IF(M337&gt;=100*0.33,1,0))))))))</f>
        <v/>
      </c>
      <c r="AF337">
        <f>IF(B337="","",IF(N337&lt;16.5,0,IF(N337&gt;=50*0.8,5,IF(N337&gt;=50*0.7,4,IF(N337&gt;=50*0.6,3.5,IF(N337&gt;=50*0.5,3,IF(N337&gt;=50*0.4,2,IF(N337&gt;=50*0.33,1,0))))))))</f>
        <v/>
      </c>
      <c r="AG337">
        <f>IF(B337="","",IF(O337&lt;33.0,0,IF(O337&gt;=100*0.8,5,IF(O337&gt;=100*0.7,4,IF(O337&gt;=100*0.6,3.5,IF(O337&gt;=100*0.5,3,IF(O337&gt;=100*0.4,2,IF(O337&gt;=100*0.33,1,0))))))))</f>
        <v/>
      </c>
      <c r="AH337">
        <f>IF(B337="","",IF(OR(U337=0,V337=0,W337=0,X337=0,Y337=0,Z337=0,AA337=0,AB337=0,AC337=0,AD337=0,AE337=0,AF337=0,AG337=0),1,0))</f>
        <v/>
      </c>
    </row>
    <row r="338">
      <c r="A338" s="3">
        <f>IF(B338="","",ROW()-2)</f>
        <v/>
      </c>
      <c r="P338" s="4">
        <f>IF(B338="","",SUM(C338:O338))</f>
        <v/>
      </c>
      <c r="Q338" s="5">
        <f>IF(B338="","",ROUND(P338/13,2))</f>
        <v/>
      </c>
      <c r="R338" s="5">
        <f>IF(B338="","",IF(AH338=1,0,MIN(5,ROUND((U338+V338+W338+X338+Y338+Z338+AA338+AB338+AC338+AD338+AE338+AF338+AG338)/13,2))))</f>
        <v/>
      </c>
      <c r="S338" s="3">
        <f>IF(B338="","",IF(R338&gt;=5,"A+",IF(R338&gt;=4,"A",IF(R338&gt;=3.5,"A-",IF(R338&gt;=3,"B",IF(R338&gt;=2,"C",IF(R338&gt;=1,"D","F")))))))</f>
        <v/>
      </c>
      <c r="T338" s="3">
        <f>IF(OR(B338="",S338="F"),"",COUNTIFS(P:P,"&gt;"&amp;P338,S:S,"&lt;&gt;F")+1)</f>
        <v/>
      </c>
      <c r="U338">
        <f>IF(B338="","",IF(C338&lt;33.0,0,IF(C338&gt;=100*0.8,5,IF(C338&gt;=100*0.7,4,IF(C338&gt;=100*0.6,3.5,IF(C338&gt;=100*0.5,3,IF(C338&gt;=100*0.4,2,IF(C338&gt;=100*0.33,1,0))))))))</f>
        <v/>
      </c>
      <c r="V338">
        <f>IF(B338="","",IF(D338&lt;33.0,0,IF(D338&gt;=100*0.8,5,IF(D338&gt;=100*0.7,4,IF(D338&gt;=100*0.6,3.5,IF(D338&gt;=100*0.5,3,IF(D338&gt;=100*0.4,2,IF(D338&gt;=100*0.33,1,0))))))))</f>
        <v/>
      </c>
      <c r="W338">
        <f>IF(B338="","",IF(E338&lt;16.5,0,IF(E338&gt;=50*0.8,5,IF(E338&gt;=50*0.7,4,IF(E338&gt;=50*0.6,3.5,IF(E338&gt;=50*0.5,3,IF(E338&gt;=50*0.4,2,IF(E338&gt;=50*0.33,1,0))))))))</f>
        <v/>
      </c>
      <c r="X338">
        <f>IF(B338="","",IF(F338&lt;33.0,0,IF(F338&gt;=100*0.8,5,IF(F338&gt;=100*0.7,4,IF(F338&gt;=100*0.6,3.5,IF(F338&gt;=100*0.5,3,IF(F338&gt;=100*0.4,2,IF(F338&gt;=100*0.33,1,0))))))))</f>
        <v/>
      </c>
      <c r="Y338">
        <f>IF(B338="","",IF(G338&lt;16.5,0,IF(G338&gt;=50*0.8,5,IF(G338&gt;=50*0.7,4,IF(G338&gt;=50*0.6,3.5,IF(G338&gt;=50*0.5,3,IF(G338&gt;=50*0.4,2,IF(G338&gt;=50*0.33,1,0))))))))</f>
        <v/>
      </c>
      <c r="Z338">
        <f>IF(B338="","",IF(H338&lt;33.0,0,IF(H338&gt;=100*0.8,5,IF(H338&gt;=100*0.7,4,IF(H338&gt;=100*0.6,3.5,IF(H338&gt;=100*0.5,3,IF(H338&gt;=100*0.4,2,IF(H338&gt;=100*0.33,1,0))))))))</f>
        <v/>
      </c>
      <c r="AA338">
        <f>IF(B338="","",IF(I338&lt;33.0,0,IF(I338&gt;=100*0.8,5,IF(I338&gt;=100*0.7,4,IF(I338&gt;=100*0.6,3.5,IF(I338&gt;=100*0.5,3,IF(I338&gt;=100*0.4,2,IF(I338&gt;=100*0.33,1,0))))))))</f>
        <v/>
      </c>
      <c r="AB338">
        <f>IF(B338="","",IF(J338&lt;33.0,0,IF(J338&gt;=100*0.8,5,IF(J338&gt;=100*0.7,4,IF(J338&gt;=100*0.6,3.5,IF(J338&gt;=100*0.5,3,IF(J338&gt;=100*0.4,2,IF(J338&gt;=100*0.33,1,0))))))))</f>
        <v/>
      </c>
      <c r="AC338">
        <f>IF(B338="","",IF(K338&lt;33.0,0,IF(K338&gt;=100*0.8,5,IF(K338&gt;=100*0.7,4,IF(K338&gt;=100*0.6,3.5,IF(K338&gt;=100*0.5,3,IF(K338&gt;=100*0.4,2,IF(K338&gt;=100*0.33,1,0))))))))</f>
        <v/>
      </c>
      <c r="AD338">
        <f>IF(B338="","",IF(L338&lt;33.0,0,IF(L338&gt;=100*0.8,5,IF(L338&gt;=100*0.7,4,IF(L338&gt;=100*0.6,3.5,IF(L338&gt;=100*0.5,3,IF(L338&gt;=100*0.4,2,IF(L338&gt;=100*0.33,1,0))))))))</f>
        <v/>
      </c>
      <c r="AE338">
        <f>IF(B338="","",IF(M338&lt;33.0,0,IF(M338&gt;=100*0.8,5,IF(M338&gt;=100*0.7,4,IF(M338&gt;=100*0.6,3.5,IF(M338&gt;=100*0.5,3,IF(M338&gt;=100*0.4,2,IF(M338&gt;=100*0.33,1,0))))))))</f>
        <v/>
      </c>
      <c r="AF338">
        <f>IF(B338="","",IF(N338&lt;16.5,0,IF(N338&gt;=50*0.8,5,IF(N338&gt;=50*0.7,4,IF(N338&gt;=50*0.6,3.5,IF(N338&gt;=50*0.5,3,IF(N338&gt;=50*0.4,2,IF(N338&gt;=50*0.33,1,0))))))))</f>
        <v/>
      </c>
      <c r="AG338">
        <f>IF(B338="","",IF(O338&lt;33.0,0,IF(O338&gt;=100*0.8,5,IF(O338&gt;=100*0.7,4,IF(O338&gt;=100*0.6,3.5,IF(O338&gt;=100*0.5,3,IF(O338&gt;=100*0.4,2,IF(O338&gt;=100*0.33,1,0))))))))</f>
        <v/>
      </c>
      <c r="AH338">
        <f>IF(B338="","",IF(OR(U338=0,V338=0,W338=0,X338=0,Y338=0,Z338=0,AA338=0,AB338=0,AC338=0,AD338=0,AE338=0,AF338=0,AG338=0),1,0))</f>
        <v/>
      </c>
    </row>
    <row r="339">
      <c r="A339" s="3">
        <f>IF(B339="","",ROW()-2)</f>
        <v/>
      </c>
      <c r="P339" s="4">
        <f>IF(B339="","",SUM(C339:O339))</f>
        <v/>
      </c>
      <c r="Q339" s="5">
        <f>IF(B339="","",ROUND(P339/13,2))</f>
        <v/>
      </c>
      <c r="R339" s="5">
        <f>IF(B339="","",IF(AH339=1,0,MIN(5,ROUND((U339+V339+W339+X339+Y339+Z339+AA339+AB339+AC339+AD339+AE339+AF339+AG339)/13,2))))</f>
        <v/>
      </c>
      <c r="S339" s="3">
        <f>IF(B339="","",IF(R339&gt;=5,"A+",IF(R339&gt;=4,"A",IF(R339&gt;=3.5,"A-",IF(R339&gt;=3,"B",IF(R339&gt;=2,"C",IF(R339&gt;=1,"D","F")))))))</f>
        <v/>
      </c>
      <c r="T339" s="3">
        <f>IF(OR(B339="",S339="F"),"",COUNTIFS(P:P,"&gt;"&amp;P339,S:S,"&lt;&gt;F")+1)</f>
        <v/>
      </c>
      <c r="U339">
        <f>IF(B339="","",IF(C339&lt;33.0,0,IF(C339&gt;=100*0.8,5,IF(C339&gt;=100*0.7,4,IF(C339&gt;=100*0.6,3.5,IF(C339&gt;=100*0.5,3,IF(C339&gt;=100*0.4,2,IF(C339&gt;=100*0.33,1,0))))))))</f>
        <v/>
      </c>
      <c r="V339">
        <f>IF(B339="","",IF(D339&lt;33.0,0,IF(D339&gt;=100*0.8,5,IF(D339&gt;=100*0.7,4,IF(D339&gt;=100*0.6,3.5,IF(D339&gt;=100*0.5,3,IF(D339&gt;=100*0.4,2,IF(D339&gt;=100*0.33,1,0))))))))</f>
        <v/>
      </c>
      <c r="W339">
        <f>IF(B339="","",IF(E339&lt;16.5,0,IF(E339&gt;=50*0.8,5,IF(E339&gt;=50*0.7,4,IF(E339&gt;=50*0.6,3.5,IF(E339&gt;=50*0.5,3,IF(E339&gt;=50*0.4,2,IF(E339&gt;=50*0.33,1,0))))))))</f>
        <v/>
      </c>
      <c r="X339">
        <f>IF(B339="","",IF(F339&lt;33.0,0,IF(F339&gt;=100*0.8,5,IF(F339&gt;=100*0.7,4,IF(F339&gt;=100*0.6,3.5,IF(F339&gt;=100*0.5,3,IF(F339&gt;=100*0.4,2,IF(F339&gt;=100*0.33,1,0))))))))</f>
        <v/>
      </c>
      <c r="Y339">
        <f>IF(B339="","",IF(G339&lt;16.5,0,IF(G339&gt;=50*0.8,5,IF(G339&gt;=50*0.7,4,IF(G339&gt;=50*0.6,3.5,IF(G339&gt;=50*0.5,3,IF(G339&gt;=50*0.4,2,IF(G339&gt;=50*0.33,1,0))))))))</f>
        <v/>
      </c>
      <c r="Z339">
        <f>IF(B339="","",IF(H339&lt;33.0,0,IF(H339&gt;=100*0.8,5,IF(H339&gt;=100*0.7,4,IF(H339&gt;=100*0.6,3.5,IF(H339&gt;=100*0.5,3,IF(H339&gt;=100*0.4,2,IF(H339&gt;=100*0.33,1,0))))))))</f>
        <v/>
      </c>
      <c r="AA339">
        <f>IF(B339="","",IF(I339&lt;33.0,0,IF(I339&gt;=100*0.8,5,IF(I339&gt;=100*0.7,4,IF(I339&gt;=100*0.6,3.5,IF(I339&gt;=100*0.5,3,IF(I339&gt;=100*0.4,2,IF(I339&gt;=100*0.33,1,0))))))))</f>
        <v/>
      </c>
      <c r="AB339">
        <f>IF(B339="","",IF(J339&lt;33.0,0,IF(J339&gt;=100*0.8,5,IF(J339&gt;=100*0.7,4,IF(J339&gt;=100*0.6,3.5,IF(J339&gt;=100*0.5,3,IF(J339&gt;=100*0.4,2,IF(J339&gt;=100*0.33,1,0))))))))</f>
        <v/>
      </c>
      <c r="AC339">
        <f>IF(B339="","",IF(K339&lt;33.0,0,IF(K339&gt;=100*0.8,5,IF(K339&gt;=100*0.7,4,IF(K339&gt;=100*0.6,3.5,IF(K339&gt;=100*0.5,3,IF(K339&gt;=100*0.4,2,IF(K339&gt;=100*0.33,1,0))))))))</f>
        <v/>
      </c>
      <c r="AD339">
        <f>IF(B339="","",IF(L339&lt;33.0,0,IF(L339&gt;=100*0.8,5,IF(L339&gt;=100*0.7,4,IF(L339&gt;=100*0.6,3.5,IF(L339&gt;=100*0.5,3,IF(L339&gt;=100*0.4,2,IF(L339&gt;=100*0.33,1,0))))))))</f>
        <v/>
      </c>
      <c r="AE339">
        <f>IF(B339="","",IF(M339&lt;33.0,0,IF(M339&gt;=100*0.8,5,IF(M339&gt;=100*0.7,4,IF(M339&gt;=100*0.6,3.5,IF(M339&gt;=100*0.5,3,IF(M339&gt;=100*0.4,2,IF(M339&gt;=100*0.33,1,0))))))))</f>
        <v/>
      </c>
      <c r="AF339">
        <f>IF(B339="","",IF(N339&lt;16.5,0,IF(N339&gt;=50*0.8,5,IF(N339&gt;=50*0.7,4,IF(N339&gt;=50*0.6,3.5,IF(N339&gt;=50*0.5,3,IF(N339&gt;=50*0.4,2,IF(N339&gt;=50*0.33,1,0))))))))</f>
        <v/>
      </c>
      <c r="AG339">
        <f>IF(B339="","",IF(O339&lt;33.0,0,IF(O339&gt;=100*0.8,5,IF(O339&gt;=100*0.7,4,IF(O339&gt;=100*0.6,3.5,IF(O339&gt;=100*0.5,3,IF(O339&gt;=100*0.4,2,IF(O339&gt;=100*0.33,1,0))))))))</f>
        <v/>
      </c>
      <c r="AH339">
        <f>IF(B339="","",IF(OR(U339=0,V339=0,W339=0,X339=0,Y339=0,Z339=0,AA339=0,AB339=0,AC339=0,AD339=0,AE339=0,AF339=0,AG339=0),1,0))</f>
        <v/>
      </c>
    </row>
    <row r="340">
      <c r="A340" s="3">
        <f>IF(B340="","",ROW()-2)</f>
        <v/>
      </c>
      <c r="P340" s="4">
        <f>IF(B340="","",SUM(C340:O340))</f>
        <v/>
      </c>
      <c r="Q340" s="5">
        <f>IF(B340="","",ROUND(P340/13,2))</f>
        <v/>
      </c>
      <c r="R340" s="5">
        <f>IF(B340="","",IF(AH340=1,0,MIN(5,ROUND((U340+V340+W340+X340+Y340+Z340+AA340+AB340+AC340+AD340+AE340+AF340+AG340)/13,2))))</f>
        <v/>
      </c>
      <c r="S340" s="3">
        <f>IF(B340="","",IF(R340&gt;=5,"A+",IF(R340&gt;=4,"A",IF(R340&gt;=3.5,"A-",IF(R340&gt;=3,"B",IF(R340&gt;=2,"C",IF(R340&gt;=1,"D","F")))))))</f>
        <v/>
      </c>
      <c r="T340" s="3">
        <f>IF(OR(B340="",S340="F"),"",COUNTIFS(P:P,"&gt;"&amp;P340,S:S,"&lt;&gt;F")+1)</f>
        <v/>
      </c>
      <c r="U340">
        <f>IF(B340="","",IF(C340&lt;33.0,0,IF(C340&gt;=100*0.8,5,IF(C340&gt;=100*0.7,4,IF(C340&gt;=100*0.6,3.5,IF(C340&gt;=100*0.5,3,IF(C340&gt;=100*0.4,2,IF(C340&gt;=100*0.33,1,0))))))))</f>
        <v/>
      </c>
      <c r="V340">
        <f>IF(B340="","",IF(D340&lt;33.0,0,IF(D340&gt;=100*0.8,5,IF(D340&gt;=100*0.7,4,IF(D340&gt;=100*0.6,3.5,IF(D340&gt;=100*0.5,3,IF(D340&gt;=100*0.4,2,IF(D340&gt;=100*0.33,1,0))))))))</f>
        <v/>
      </c>
      <c r="W340">
        <f>IF(B340="","",IF(E340&lt;16.5,0,IF(E340&gt;=50*0.8,5,IF(E340&gt;=50*0.7,4,IF(E340&gt;=50*0.6,3.5,IF(E340&gt;=50*0.5,3,IF(E340&gt;=50*0.4,2,IF(E340&gt;=50*0.33,1,0))))))))</f>
        <v/>
      </c>
      <c r="X340">
        <f>IF(B340="","",IF(F340&lt;33.0,0,IF(F340&gt;=100*0.8,5,IF(F340&gt;=100*0.7,4,IF(F340&gt;=100*0.6,3.5,IF(F340&gt;=100*0.5,3,IF(F340&gt;=100*0.4,2,IF(F340&gt;=100*0.33,1,0))))))))</f>
        <v/>
      </c>
      <c r="Y340">
        <f>IF(B340="","",IF(G340&lt;16.5,0,IF(G340&gt;=50*0.8,5,IF(G340&gt;=50*0.7,4,IF(G340&gt;=50*0.6,3.5,IF(G340&gt;=50*0.5,3,IF(G340&gt;=50*0.4,2,IF(G340&gt;=50*0.33,1,0))))))))</f>
        <v/>
      </c>
      <c r="Z340">
        <f>IF(B340="","",IF(H340&lt;33.0,0,IF(H340&gt;=100*0.8,5,IF(H340&gt;=100*0.7,4,IF(H340&gt;=100*0.6,3.5,IF(H340&gt;=100*0.5,3,IF(H340&gt;=100*0.4,2,IF(H340&gt;=100*0.33,1,0))))))))</f>
        <v/>
      </c>
      <c r="AA340">
        <f>IF(B340="","",IF(I340&lt;33.0,0,IF(I340&gt;=100*0.8,5,IF(I340&gt;=100*0.7,4,IF(I340&gt;=100*0.6,3.5,IF(I340&gt;=100*0.5,3,IF(I340&gt;=100*0.4,2,IF(I340&gt;=100*0.33,1,0))))))))</f>
        <v/>
      </c>
      <c r="AB340">
        <f>IF(B340="","",IF(J340&lt;33.0,0,IF(J340&gt;=100*0.8,5,IF(J340&gt;=100*0.7,4,IF(J340&gt;=100*0.6,3.5,IF(J340&gt;=100*0.5,3,IF(J340&gt;=100*0.4,2,IF(J340&gt;=100*0.33,1,0))))))))</f>
        <v/>
      </c>
      <c r="AC340">
        <f>IF(B340="","",IF(K340&lt;33.0,0,IF(K340&gt;=100*0.8,5,IF(K340&gt;=100*0.7,4,IF(K340&gt;=100*0.6,3.5,IF(K340&gt;=100*0.5,3,IF(K340&gt;=100*0.4,2,IF(K340&gt;=100*0.33,1,0))))))))</f>
        <v/>
      </c>
      <c r="AD340">
        <f>IF(B340="","",IF(L340&lt;33.0,0,IF(L340&gt;=100*0.8,5,IF(L340&gt;=100*0.7,4,IF(L340&gt;=100*0.6,3.5,IF(L340&gt;=100*0.5,3,IF(L340&gt;=100*0.4,2,IF(L340&gt;=100*0.33,1,0))))))))</f>
        <v/>
      </c>
      <c r="AE340">
        <f>IF(B340="","",IF(M340&lt;33.0,0,IF(M340&gt;=100*0.8,5,IF(M340&gt;=100*0.7,4,IF(M340&gt;=100*0.6,3.5,IF(M340&gt;=100*0.5,3,IF(M340&gt;=100*0.4,2,IF(M340&gt;=100*0.33,1,0))))))))</f>
        <v/>
      </c>
      <c r="AF340">
        <f>IF(B340="","",IF(N340&lt;16.5,0,IF(N340&gt;=50*0.8,5,IF(N340&gt;=50*0.7,4,IF(N340&gt;=50*0.6,3.5,IF(N340&gt;=50*0.5,3,IF(N340&gt;=50*0.4,2,IF(N340&gt;=50*0.33,1,0))))))))</f>
        <v/>
      </c>
      <c r="AG340">
        <f>IF(B340="","",IF(O340&lt;33.0,0,IF(O340&gt;=100*0.8,5,IF(O340&gt;=100*0.7,4,IF(O340&gt;=100*0.6,3.5,IF(O340&gt;=100*0.5,3,IF(O340&gt;=100*0.4,2,IF(O340&gt;=100*0.33,1,0))))))))</f>
        <v/>
      </c>
      <c r="AH340">
        <f>IF(B340="","",IF(OR(U340=0,V340=0,W340=0,X340=0,Y340=0,Z340=0,AA340=0,AB340=0,AC340=0,AD340=0,AE340=0,AF340=0,AG340=0),1,0))</f>
        <v/>
      </c>
    </row>
    <row r="341">
      <c r="A341" s="3">
        <f>IF(B341="","",ROW()-2)</f>
        <v/>
      </c>
      <c r="P341" s="4">
        <f>IF(B341="","",SUM(C341:O341))</f>
        <v/>
      </c>
      <c r="Q341" s="5">
        <f>IF(B341="","",ROUND(P341/13,2))</f>
        <v/>
      </c>
      <c r="R341" s="5">
        <f>IF(B341="","",IF(AH341=1,0,MIN(5,ROUND((U341+V341+W341+X341+Y341+Z341+AA341+AB341+AC341+AD341+AE341+AF341+AG341)/13,2))))</f>
        <v/>
      </c>
      <c r="S341" s="3">
        <f>IF(B341="","",IF(R341&gt;=5,"A+",IF(R341&gt;=4,"A",IF(R341&gt;=3.5,"A-",IF(R341&gt;=3,"B",IF(R341&gt;=2,"C",IF(R341&gt;=1,"D","F")))))))</f>
        <v/>
      </c>
      <c r="T341" s="3">
        <f>IF(OR(B341="",S341="F"),"",COUNTIFS(P:P,"&gt;"&amp;P341,S:S,"&lt;&gt;F")+1)</f>
        <v/>
      </c>
      <c r="U341">
        <f>IF(B341="","",IF(C341&lt;33.0,0,IF(C341&gt;=100*0.8,5,IF(C341&gt;=100*0.7,4,IF(C341&gt;=100*0.6,3.5,IF(C341&gt;=100*0.5,3,IF(C341&gt;=100*0.4,2,IF(C341&gt;=100*0.33,1,0))))))))</f>
        <v/>
      </c>
      <c r="V341">
        <f>IF(B341="","",IF(D341&lt;33.0,0,IF(D341&gt;=100*0.8,5,IF(D341&gt;=100*0.7,4,IF(D341&gt;=100*0.6,3.5,IF(D341&gt;=100*0.5,3,IF(D341&gt;=100*0.4,2,IF(D341&gt;=100*0.33,1,0))))))))</f>
        <v/>
      </c>
      <c r="W341">
        <f>IF(B341="","",IF(E341&lt;16.5,0,IF(E341&gt;=50*0.8,5,IF(E341&gt;=50*0.7,4,IF(E341&gt;=50*0.6,3.5,IF(E341&gt;=50*0.5,3,IF(E341&gt;=50*0.4,2,IF(E341&gt;=50*0.33,1,0))))))))</f>
        <v/>
      </c>
      <c r="X341">
        <f>IF(B341="","",IF(F341&lt;33.0,0,IF(F341&gt;=100*0.8,5,IF(F341&gt;=100*0.7,4,IF(F341&gt;=100*0.6,3.5,IF(F341&gt;=100*0.5,3,IF(F341&gt;=100*0.4,2,IF(F341&gt;=100*0.33,1,0))))))))</f>
        <v/>
      </c>
      <c r="Y341">
        <f>IF(B341="","",IF(G341&lt;16.5,0,IF(G341&gt;=50*0.8,5,IF(G341&gt;=50*0.7,4,IF(G341&gt;=50*0.6,3.5,IF(G341&gt;=50*0.5,3,IF(G341&gt;=50*0.4,2,IF(G341&gt;=50*0.33,1,0))))))))</f>
        <v/>
      </c>
      <c r="Z341">
        <f>IF(B341="","",IF(H341&lt;33.0,0,IF(H341&gt;=100*0.8,5,IF(H341&gt;=100*0.7,4,IF(H341&gt;=100*0.6,3.5,IF(H341&gt;=100*0.5,3,IF(H341&gt;=100*0.4,2,IF(H341&gt;=100*0.33,1,0))))))))</f>
        <v/>
      </c>
      <c r="AA341">
        <f>IF(B341="","",IF(I341&lt;33.0,0,IF(I341&gt;=100*0.8,5,IF(I341&gt;=100*0.7,4,IF(I341&gt;=100*0.6,3.5,IF(I341&gt;=100*0.5,3,IF(I341&gt;=100*0.4,2,IF(I341&gt;=100*0.33,1,0))))))))</f>
        <v/>
      </c>
      <c r="AB341">
        <f>IF(B341="","",IF(J341&lt;33.0,0,IF(J341&gt;=100*0.8,5,IF(J341&gt;=100*0.7,4,IF(J341&gt;=100*0.6,3.5,IF(J341&gt;=100*0.5,3,IF(J341&gt;=100*0.4,2,IF(J341&gt;=100*0.33,1,0))))))))</f>
        <v/>
      </c>
      <c r="AC341">
        <f>IF(B341="","",IF(K341&lt;33.0,0,IF(K341&gt;=100*0.8,5,IF(K341&gt;=100*0.7,4,IF(K341&gt;=100*0.6,3.5,IF(K341&gt;=100*0.5,3,IF(K341&gt;=100*0.4,2,IF(K341&gt;=100*0.33,1,0))))))))</f>
        <v/>
      </c>
      <c r="AD341">
        <f>IF(B341="","",IF(L341&lt;33.0,0,IF(L341&gt;=100*0.8,5,IF(L341&gt;=100*0.7,4,IF(L341&gt;=100*0.6,3.5,IF(L341&gt;=100*0.5,3,IF(L341&gt;=100*0.4,2,IF(L341&gt;=100*0.33,1,0))))))))</f>
        <v/>
      </c>
      <c r="AE341">
        <f>IF(B341="","",IF(M341&lt;33.0,0,IF(M341&gt;=100*0.8,5,IF(M341&gt;=100*0.7,4,IF(M341&gt;=100*0.6,3.5,IF(M341&gt;=100*0.5,3,IF(M341&gt;=100*0.4,2,IF(M341&gt;=100*0.33,1,0))))))))</f>
        <v/>
      </c>
      <c r="AF341">
        <f>IF(B341="","",IF(N341&lt;16.5,0,IF(N341&gt;=50*0.8,5,IF(N341&gt;=50*0.7,4,IF(N341&gt;=50*0.6,3.5,IF(N341&gt;=50*0.5,3,IF(N341&gt;=50*0.4,2,IF(N341&gt;=50*0.33,1,0))))))))</f>
        <v/>
      </c>
      <c r="AG341">
        <f>IF(B341="","",IF(O341&lt;33.0,0,IF(O341&gt;=100*0.8,5,IF(O341&gt;=100*0.7,4,IF(O341&gt;=100*0.6,3.5,IF(O341&gt;=100*0.5,3,IF(O341&gt;=100*0.4,2,IF(O341&gt;=100*0.33,1,0))))))))</f>
        <v/>
      </c>
      <c r="AH341">
        <f>IF(B341="","",IF(OR(U341=0,V341=0,W341=0,X341=0,Y341=0,Z341=0,AA341=0,AB341=0,AC341=0,AD341=0,AE341=0,AF341=0,AG341=0),1,0))</f>
        <v/>
      </c>
    </row>
    <row r="342">
      <c r="A342" s="3">
        <f>IF(B342="","",ROW()-2)</f>
        <v/>
      </c>
      <c r="P342" s="4">
        <f>IF(B342="","",SUM(C342:O342))</f>
        <v/>
      </c>
      <c r="Q342" s="5">
        <f>IF(B342="","",ROUND(P342/13,2))</f>
        <v/>
      </c>
      <c r="R342" s="5">
        <f>IF(B342="","",IF(AH342=1,0,MIN(5,ROUND((U342+V342+W342+X342+Y342+Z342+AA342+AB342+AC342+AD342+AE342+AF342+AG342)/13,2))))</f>
        <v/>
      </c>
      <c r="S342" s="3">
        <f>IF(B342="","",IF(R342&gt;=5,"A+",IF(R342&gt;=4,"A",IF(R342&gt;=3.5,"A-",IF(R342&gt;=3,"B",IF(R342&gt;=2,"C",IF(R342&gt;=1,"D","F")))))))</f>
        <v/>
      </c>
      <c r="T342" s="3">
        <f>IF(OR(B342="",S342="F"),"",COUNTIFS(P:P,"&gt;"&amp;P342,S:S,"&lt;&gt;F")+1)</f>
        <v/>
      </c>
      <c r="U342">
        <f>IF(B342="","",IF(C342&lt;33.0,0,IF(C342&gt;=100*0.8,5,IF(C342&gt;=100*0.7,4,IF(C342&gt;=100*0.6,3.5,IF(C342&gt;=100*0.5,3,IF(C342&gt;=100*0.4,2,IF(C342&gt;=100*0.33,1,0))))))))</f>
        <v/>
      </c>
      <c r="V342">
        <f>IF(B342="","",IF(D342&lt;33.0,0,IF(D342&gt;=100*0.8,5,IF(D342&gt;=100*0.7,4,IF(D342&gt;=100*0.6,3.5,IF(D342&gt;=100*0.5,3,IF(D342&gt;=100*0.4,2,IF(D342&gt;=100*0.33,1,0))))))))</f>
        <v/>
      </c>
      <c r="W342">
        <f>IF(B342="","",IF(E342&lt;16.5,0,IF(E342&gt;=50*0.8,5,IF(E342&gt;=50*0.7,4,IF(E342&gt;=50*0.6,3.5,IF(E342&gt;=50*0.5,3,IF(E342&gt;=50*0.4,2,IF(E342&gt;=50*0.33,1,0))))))))</f>
        <v/>
      </c>
      <c r="X342">
        <f>IF(B342="","",IF(F342&lt;33.0,0,IF(F342&gt;=100*0.8,5,IF(F342&gt;=100*0.7,4,IF(F342&gt;=100*0.6,3.5,IF(F342&gt;=100*0.5,3,IF(F342&gt;=100*0.4,2,IF(F342&gt;=100*0.33,1,0))))))))</f>
        <v/>
      </c>
      <c r="Y342">
        <f>IF(B342="","",IF(G342&lt;16.5,0,IF(G342&gt;=50*0.8,5,IF(G342&gt;=50*0.7,4,IF(G342&gt;=50*0.6,3.5,IF(G342&gt;=50*0.5,3,IF(G342&gt;=50*0.4,2,IF(G342&gt;=50*0.33,1,0))))))))</f>
        <v/>
      </c>
      <c r="Z342">
        <f>IF(B342="","",IF(H342&lt;33.0,0,IF(H342&gt;=100*0.8,5,IF(H342&gt;=100*0.7,4,IF(H342&gt;=100*0.6,3.5,IF(H342&gt;=100*0.5,3,IF(H342&gt;=100*0.4,2,IF(H342&gt;=100*0.33,1,0))))))))</f>
        <v/>
      </c>
      <c r="AA342">
        <f>IF(B342="","",IF(I342&lt;33.0,0,IF(I342&gt;=100*0.8,5,IF(I342&gt;=100*0.7,4,IF(I342&gt;=100*0.6,3.5,IF(I342&gt;=100*0.5,3,IF(I342&gt;=100*0.4,2,IF(I342&gt;=100*0.33,1,0))))))))</f>
        <v/>
      </c>
      <c r="AB342">
        <f>IF(B342="","",IF(J342&lt;33.0,0,IF(J342&gt;=100*0.8,5,IF(J342&gt;=100*0.7,4,IF(J342&gt;=100*0.6,3.5,IF(J342&gt;=100*0.5,3,IF(J342&gt;=100*0.4,2,IF(J342&gt;=100*0.33,1,0))))))))</f>
        <v/>
      </c>
      <c r="AC342">
        <f>IF(B342="","",IF(K342&lt;33.0,0,IF(K342&gt;=100*0.8,5,IF(K342&gt;=100*0.7,4,IF(K342&gt;=100*0.6,3.5,IF(K342&gt;=100*0.5,3,IF(K342&gt;=100*0.4,2,IF(K342&gt;=100*0.33,1,0))))))))</f>
        <v/>
      </c>
      <c r="AD342">
        <f>IF(B342="","",IF(L342&lt;33.0,0,IF(L342&gt;=100*0.8,5,IF(L342&gt;=100*0.7,4,IF(L342&gt;=100*0.6,3.5,IF(L342&gt;=100*0.5,3,IF(L342&gt;=100*0.4,2,IF(L342&gt;=100*0.33,1,0))))))))</f>
        <v/>
      </c>
      <c r="AE342">
        <f>IF(B342="","",IF(M342&lt;33.0,0,IF(M342&gt;=100*0.8,5,IF(M342&gt;=100*0.7,4,IF(M342&gt;=100*0.6,3.5,IF(M342&gt;=100*0.5,3,IF(M342&gt;=100*0.4,2,IF(M342&gt;=100*0.33,1,0))))))))</f>
        <v/>
      </c>
      <c r="AF342">
        <f>IF(B342="","",IF(N342&lt;16.5,0,IF(N342&gt;=50*0.8,5,IF(N342&gt;=50*0.7,4,IF(N342&gt;=50*0.6,3.5,IF(N342&gt;=50*0.5,3,IF(N342&gt;=50*0.4,2,IF(N342&gt;=50*0.33,1,0))))))))</f>
        <v/>
      </c>
      <c r="AG342">
        <f>IF(B342="","",IF(O342&lt;33.0,0,IF(O342&gt;=100*0.8,5,IF(O342&gt;=100*0.7,4,IF(O342&gt;=100*0.6,3.5,IF(O342&gt;=100*0.5,3,IF(O342&gt;=100*0.4,2,IF(O342&gt;=100*0.33,1,0))))))))</f>
        <v/>
      </c>
      <c r="AH342">
        <f>IF(B342="","",IF(OR(U342=0,V342=0,W342=0,X342=0,Y342=0,Z342=0,AA342=0,AB342=0,AC342=0,AD342=0,AE342=0,AF342=0,AG342=0),1,0))</f>
        <v/>
      </c>
    </row>
    <row r="343">
      <c r="A343" s="3">
        <f>IF(B343="","",ROW()-2)</f>
        <v/>
      </c>
      <c r="P343" s="4">
        <f>IF(B343="","",SUM(C343:O343))</f>
        <v/>
      </c>
      <c r="Q343" s="5">
        <f>IF(B343="","",ROUND(P343/13,2))</f>
        <v/>
      </c>
      <c r="R343" s="5">
        <f>IF(B343="","",IF(AH343=1,0,MIN(5,ROUND((U343+V343+W343+X343+Y343+Z343+AA343+AB343+AC343+AD343+AE343+AF343+AG343)/13,2))))</f>
        <v/>
      </c>
      <c r="S343" s="3">
        <f>IF(B343="","",IF(R343&gt;=5,"A+",IF(R343&gt;=4,"A",IF(R343&gt;=3.5,"A-",IF(R343&gt;=3,"B",IF(R343&gt;=2,"C",IF(R343&gt;=1,"D","F")))))))</f>
        <v/>
      </c>
      <c r="T343" s="3">
        <f>IF(OR(B343="",S343="F"),"",COUNTIFS(P:P,"&gt;"&amp;P343,S:S,"&lt;&gt;F")+1)</f>
        <v/>
      </c>
      <c r="U343">
        <f>IF(B343="","",IF(C343&lt;33.0,0,IF(C343&gt;=100*0.8,5,IF(C343&gt;=100*0.7,4,IF(C343&gt;=100*0.6,3.5,IF(C343&gt;=100*0.5,3,IF(C343&gt;=100*0.4,2,IF(C343&gt;=100*0.33,1,0))))))))</f>
        <v/>
      </c>
      <c r="V343">
        <f>IF(B343="","",IF(D343&lt;33.0,0,IF(D343&gt;=100*0.8,5,IF(D343&gt;=100*0.7,4,IF(D343&gt;=100*0.6,3.5,IF(D343&gt;=100*0.5,3,IF(D343&gt;=100*0.4,2,IF(D343&gt;=100*0.33,1,0))))))))</f>
        <v/>
      </c>
      <c r="W343">
        <f>IF(B343="","",IF(E343&lt;16.5,0,IF(E343&gt;=50*0.8,5,IF(E343&gt;=50*0.7,4,IF(E343&gt;=50*0.6,3.5,IF(E343&gt;=50*0.5,3,IF(E343&gt;=50*0.4,2,IF(E343&gt;=50*0.33,1,0))))))))</f>
        <v/>
      </c>
      <c r="X343">
        <f>IF(B343="","",IF(F343&lt;33.0,0,IF(F343&gt;=100*0.8,5,IF(F343&gt;=100*0.7,4,IF(F343&gt;=100*0.6,3.5,IF(F343&gt;=100*0.5,3,IF(F343&gt;=100*0.4,2,IF(F343&gt;=100*0.33,1,0))))))))</f>
        <v/>
      </c>
      <c r="Y343">
        <f>IF(B343="","",IF(G343&lt;16.5,0,IF(G343&gt;=50*0.8,5,IF(G343&gt;=50*0.7,4,IF(G343&gt;=50*0.6,3.5,IF(G343&gt;=50*0.5,3,IF(G343&gt;=50*0.4,2,IF(G343&gt;=50*0.33,1,0))))))))</f>
        <v/>
      </c>
      <c r="Z343">
        <f>IF(B343="","",IF(H343&lt;33.0,0,IF(H343&gt;=100*0.8,5,IF(H343&gt;=100*0.7,4,IF(H343&gt;=100*0.6,3.5,IF(H343&gt;=100*0.5,3,IF(H343&gt;=100*0.4,2,IF(H343&gt;=100*0.33,1,0))))))))</f>
        <v/>
      </c>
      <c r="AA343">
        <f>IF(B343="","",IF(I343&lt;33.0,0,IF(I343&gt;=100*0.8,5,IF(I343&gt;=100*0.7,4,IF(I343&gt;=100*0.6,3.5,IF(I343&gt;=100*0.5,3,IF(I343&gt;=100*0.4,2,IF(I343&gt;=100*0.33,1,0))))))))</f>
        <v/>
      </c>
      <c r="AB343">
        <f>IF(B343="","",IF(J343&lt;33.0,0,IF(J343&gt;=100*0.8,5,IF(J343&gt;=100*0.7,4,IF(J343&gt;=100*0.6,3.5,IF(J343&gt;=100*0.5,3,IF(J343&gt;=100*0.4,2,IF(J343&gt;=100*0.33,1,0))))))))</f>
        <v/>
      </c>
      <c r="AC343">
        <f>IF(B343="","",IF(K343&lt;33.0,0,IF(K343&gt;=100*0.8,5,IF(K343&gt;=100*0.7,4,IF(K343&gt;=100*0.6,3.5,IF(K343&gt;=100*0.5,3,IF(K343&gt;=100*0.4,2,IF(K343&gt;=100*0.33,1,0))))))))</f>
        <v/>
      </c>
      <c r="AD343">
        <f>IF(B343="","",IF(L343&lt;33.0,0,IF(L343&gt;=100*0.8,5,IF(L343&gt;=100*0.7,4,IF(L343&gt;=100*0.6,3.5,IF(L343&gt;=100*0.5,3,IF(L343&gt;=100*0.4,2,IF(L343&gt;=100*0.33,1,0))))))))</f>
        <v/>
      </c>
      <c r="AE343">
        <f>IF(B343="","",IF(M343&lt;33.0,0,IF(M343&gt;=100*0.8,5,IF(M343&gt;=100*0.7,4,IF(M343&gt;=100*0.6,3.5,IF(M343&gt;=100*0.5,3,IF(M343&gt;=100*0.4,2,IF(M343&gt;=100*0.33,1,0))))))))</f>
        <v/>
      </c>
      <c r="AF343">
        <f>IF(B343="","",IF(N343&lt;16.5,0,IF(N343&gt;=50*0.8,5,IF(N343&gt;=50*0.7,4,IF(N343&gt;=50*0.6,3.5,IF(N343&gt;=50*0.5,3,IF(N343&gt;=50*0.4,2,IF(N343&gt;=50*0.33,1,0))))))))</f>
        <v/>
      </c>
      <c r="AG343">
        <f>IF(B343="","",IF(O343&lt;33.0,0,IF(O343&gt;=100*0.8,5,IF(O343&gt;=100*0.7,4,IF(O343&gt;=100*0.6,3.5,IF(O343&gt;=100*0.5,3,IF(O343&gt;=100*0.4,2,IF(O343&gt;=100*0.33,1,0))))))))</f>
        <v/>
      </c>
      <c r="AH343">
        <f>IF(B343="","",IF(OR(U343=0,V343=0,W343=0,X343=0,Y343=0,Z343=0,AA343=0,AB343=0,AC343=0,AD343=0,AE343=0,AF343=0,AG343=0),1,0))</f>
        <v/>
      </c>
    </row>
    <row r="344">
      <c r="A344" s="3">
        <f>IF(B344="","",ROW()-2)</f>
        <v/>
      </c>
      <c r="P344" s="4">
        <f>IF(B344="","",SUM(C344:O344))</f>
        <v/>
      </c>
      <c r="Q344" s="5">
        <f>IF(B344="","",ROUND(P344/13,2))</f>
        <v/>
      </c>
      <c r="R344" s="5">
        <f>IF(B344="","",IF(AH344=1,0,MIN(5,ROUND((U344+V344+W344+X344+Y344+Z344+AA344+AB344+AC344+AD344+AE344+AF344+AG344)/13,2))))</f>
        <v/>
      </c>
      <c r="S344" s="3">
        <f>IF(B344="","",IF(R344&gt;=5,"A+",IF(R344&gt;=4,"A",IF(R344&gt;=3.5,"A-",IF(R344&gt;=3,"B",IF(R344&gt;=2,"C",IF(R344&gt;=1,"D","F")))))))</f>
        <v/>
      </c>
      <c r="T344" s="3">
        <f>IF(OR(B344="",S344="F"),"",COUNTIFS(P:P,"&gt;"&amp;P344,S:S,"&lt;&gt;F")+1)</f>
        <v/>
      </c>
      <c r="U344">
        <f>IF(B344="","",IF(C344&lt;33.0,0,IF(C344&gt;=100*0.8,5,IF(C344&gt;=100*0.7,4,IF(C344&gt;=100*0.6,3.5,IF(C344&gt;=100*0.5,3,IF(C344&gt;=100*0.4,2,IF(C344&gt;=100*0.33,1,0))))))))</f>
        <v/>
      </c>
      <c r="V344">
        <f>IF(B344="","",IF(D344&lt;33.0,0,IF(D344&gt;=100*0.8,5,IF(D344&gt;=100*0.7,4,IF(D344&gt;=100*0.6,3.5,IF(D344&gt;=100*0.5,3,IF(D344&gt;=100*0.4,2,IF(D344&gt;=100*0.33,1,0))))))))</f>
        <v/>
      </c>
      <c r="W344">
        <f>IF(B344="","",IF(E344&lt;16.5,0,IF(E344&gt;=50*0.8,5,IF(E344&gt;=50*0.7,4,IF(E344&gt;=50*0.6,3.5,IF(E344&gt;=50*0.5,3,IF(E344&gt;=50*0.4,2,IF(E344&gt;=50*0.33,1,0))))))))</f>
        <v/>
      </c>
      <c r="X344">
        <f>IF(B344="","",IF(F344&lt;33.0,0,IF(F344&gt;=100*0.8,5,IF(F344&gt;=100*0.7,4,IF(F344&gt;=100*0.6,3.5,IF(F344&gt;=100*0.5,3,IF(F344&gt;=100*0.4,2,IF(F344&gt;=100*0.33,1,0))))))))</f>
        <v/>
      </c>
      <c r="Y344">
        <f>IF(B344="","",IF(G344&lt;16.5,0,IF(G344&gt;=50*0.8,5,IF(G344&gt;=50*0.7,4,IF(G344&gt;=50*0.6,3.5,IF(G344&gt;=50*0.5,3,IF(G344&gt;=50*0.4,2,IF(G344&gt;=50*0.33,1,0))))))))</f>
        <v/>
      </c>
      <c r="Z344">
        <f>IF(B344="","",IF(H344&lt;33.0,0,IF(H344&gt;=100*0.8,5,IF(H344&gt;=100*0.7,4,IF(H344&gt;=100*0.6,3.5,IF(H344&gt;=100*0.5,3,IF(H344&gt;=100*0.4,2,IF(H344&gt;=100*0.33,1,0))))))))</f>
        <v/>
      </c>
      <c r="AA344">
        <f>IF(B344="","",IF(I344&lt;33.0,0,IF(I344&gt;=100*0.8,5,IF(I344&gt;=100*0.7,4,IF(I344&gt;=100*0.6,3.5,IF(I344&gt;=100*0.5,3,IF(I344&gt;=100*0.4,2,IF(I344&gt;=100*0.33,1,0))))))))</f>
        <v/>
      </c>
      <c r="AB344">
        <f>IF(B344="","",IF(J344&lt;33.0,0,IF(J344&gt;=100*0.8,5,IF(J344&gt;=100*0.7,4,IF(J344&gt;=100*0.6,3.5,IF(J344&gt;=100*0.5,3,IF(J344&gt;=100*0.4,2,IF(J344&gt;=100*0.33,1,0))))))))</f>
        <v/>
      </c>
      <c r="AC344">
        <f>IF(B344="","",IF(K344&lt;33.0,0,IF(K344&gt;=100*0.8,5,IF(K344&gt;=100*0.7,4,IF(K344&gt;=100*0.6,3.5,IF(K344&gt;=100*0.5,3,IF(K344&gt;=100*0.4,2,IF(K344&gt;=100*0.33,1,0))))))))</f>
        <v/>
      </c>
      <c r="AD344">
        <f>IF(B344="","",IF(L344&lt;33.0,0,IF(L344&gt;=100*0.8,5,IF(L344&gt;=100*0.7,4,IF(L344&gt;=100*0.6,3.5,IF(L344&gt;=100*0.5,3,IF(L344&gt;=100*0.4,2,IF(L344&gt;=100*0.33,1,0))))))))</f>
        <v/>
      </c>
      <c r="AE344">
        <f>IF(B344="","",IF(M344&lt;33.0,0,IF(M344&gt;=100*0.8,5,IF(M344&gt;=100*0.7,4,IF(M344&gt;=100*0.6,3.5,IF(M344&gt;=100*0.5,3,IF(M344&gt;=100*0.4,2,IF(M344&gt;=100*0.33,1,0))))))))</f>
        <v/>
      </c>
      <c r="AF344">
        <f>IF(B344="","",IF(N344&lt;16.5,0,IF(N344&gt;=50*0.8,5,IF(N344&gt;=50*0.7,4,IF(N344&gt;=50*0.6,3.5,IF(N344&gt;=50*0.5,3,IF(N344&gt;=50*0.4,2,IF(N344&gt;=50*0.33,1,0))))))))</f>
        <v/>
      </c>
      <c r="AG344">
        <f>IF(B344="","",IF(O344&lt;33.0,0,IF(O344&gt;=100*0.8,5,IF(O344&gt;=100*0.7,4,IF(O344&gt;=100*0.6,3.5,IF(O344&gt;=100*0.5,3,IF(O344&gt;=100*0.4,2,IF(O344&gt;=100*0.33,1,0))))))))</f>
        <v/>
      </c>
      <c r="AH344">
        <f>IF(B344="","",IF(OR(U344=0,V344=0,W344=0,X344=0,Y344=0,Z344=0,AA344=0,AB344=0,AC344=0,AD344=0,AE344=0,AF344=0,AG344=0),1,0))</f>
        <v/>
      </c>
    </row>
    <row r="345">
      <c r="A345" s="3">
        <f>IF(B345="","",ROW()-2)</f>
        <v/>
      </c>
      <c r="P345" s="4">
        <f>IF(B345="","",SUM(C345:O345))</f>
        <v/>
      </c>
      <c r="Q345" s="5">
        <f>IF(B345="","",ROUND(P345/13,2))</f>
        <v/>
      </c>
      <c r="R345" s="5">
        <f>IF(B345="","",IF(AH345=1,0,MIN(5,ROUND((U345+V345+W345+X345+Y345+Z345+AA345+AB345+AC345+AD345+AE345+AF345+AG345)/13,2))))</f>
        <v/>
      </c>
      <c r="S345" s="3">
        <f>IF(B345="","",IF(R345&gt;=5,"A+",IF(R345&gt;=4,"A",IF(R345&gt;=3.5,"A-",IF(R345&gt;=3,"B",IF(R345&gt;=2,"C",IF(R345&gt;=1,"D","F")))))))</f>
        <v/>
      </c>
      <c r="T345" s="3">
        <f>IF(OR(B345="",S345="F"),"",COUNTIFS(P:P,"&gt;"&amp;P345,S:S,"&lt;&gt;F")+1)</f>
        <v/>
      </c>
      <c r="U345">
        <f>IF(B345="","",IF(C345&lt;33.0,0,IF(C345&gt;=100*0.8,5,IF(C345&gt;=100*0.7,4,IF(C345&gt;=100*0.6,3.5,IF(C345&gt;=100*0.5,3,IF(C345&gt;=100*0.4,2,IF(C345&gt;=100*0.33,1,0))))))))</f>
        <v/>
      </c>
      <c r="V345">
        <f>IF(B345="","",IF(D345&lt;33.0,0,IF(D345&gt;=100*0.8,5,IF(D345&gt;=100*0.7,4,IF(D345&gt;=100*0.6,3.5,IF(D345&gt;=100*0.5,3,IF(D345&gt;=100*0.4,2,IF(D345&gt;=100*0.33,1,0))))))))</f>
        <v/>
      </c>
      <c r="W345">
        <f>IF(B345="","",IF(E345&lt;16.5,0,IF(E345&gt;=50*0.8,5,IF(E345&gt;=50*0.7,4,IF(E345&gt;=50*0.6,3.5,IF(E345&gt;=50*0.5,3,IF(E345&gt;=50*0.4,2,IF(E345&gt;=50*0.33,1,0))))))))</f>
        <v/>
      </c>
      <c r="X345">
        <f>IF(B345="","",IF(F345&lt;33.0,0,IF(F345&gt;=100*0.8,5,IF(F345&gt;=100*0.7,4,IF(F345&gt;=100*0.6,3.5,IF(F345&gt;=100*0.5,3,IF(F345&gt;=100*0.4,2,IF(F345&gt;=100*0.33,1,0))))))))</f>
        <v/>
      </c>
      <c r="Y345">
        <f>IF(B345="","",IF(G345&lt;16.5,0,IF(G345&gt;=50*0.8,5,IF(G345&gt;=50*0.7,4,IF(G345&gt;=50*0.6,3.5,IF(G345&gt;=50*0.5,3,IF(G345&gt;=50*0.4,2,IF(G345&gt;=50*0.33,1,0))))))))</f>
        <v/>
      </c>
      <c r="Z345">
        <f>IF(B345="","",IF(H345&lt;33.0,0,IF(H345&gt;=100*0.8,5,IF(H345&gt;=100*0.7,4,IF(H345&gt;=100*0.6,3.5,IF(H345&gt;=100*0.5,3,IF(H345&gt;=100*0.4,2,IF(H345&gt;=100*0.33,1,0))))))))</f>
        <v/>
      </c>
      <c r="AA345">
        <f>IF(B345="","",IF(I345&lt;33.0,0,IF(I345&gt;=100*0.8,5,IF(I345&gt;=100*0.7,4,IF(I345&gt;=100*0.6,3.5,IF(I345&gt;=100*0.5,3,IF(I345&gt;=100*0.4,2,IF(I345&gt;=100*0.33,1,0))))))))</f>
        <v/>
      </c>
      <c r="AB345">
        <f>IF(B345="","",IF(J345&lt;33.0,0,IF(J345&gt;=100*0.8,5,IF(J345&gt;=100*0.7,4,IF(J345&gt;=100*0.6,3.5,IF(J345&gt;=100*0.5,3,IF(J345&gt;=100*0.4,2,IF(J345&gt;=100*0.33,1,0))))))))</f>
        <v/>
      </c>
      <c r="AC345">
        <f>IF(B345="","",IF(K345&lt;33.0,0,IF(K345&gt;=100*0.8,5,IF(K345&gt;=100*0.7,4,IF(K345&gt;=100*0.6,3.5,IF(K345&gt;=100*0.5,3,IF(K345&gt;=100*0.4,2,IF(K345&gt;=100*0.33,1,0))))))))</f>
        <v/>
      </c>
      <c r="AD345">
        <f>IF(B345="","",IF(L345&lt;33.0,0,IF(L345&gt;=100*0.8,5,IF(L345&gt;=100*0.7,4,IF(L345&gt;=100*0.6,3.5,IF(L345&gt;=100*0.5,3,IF(L345&gt;=100*0.4,2,IF(L345&gt;=100*0.33,1,0))))))))</f>
        <v/>
      </c>
      <c r="AE345">
        <f>IF(B345="","",IF(M345&lt;33.0,0,IF(M345&gt;=100*0.8,5,IF(M345&gt;=100*0.7,4,IF(M345&gt;=100*0.6,3.5,IF(M345&gt;=100*0.5,3,IF(M345&gt;=100*0.4,2,IF(M345&gt;=100*0.33,1,0))))))))</f>
        <v/>
      </c>
      <c r="AF345">
        <f>IF(B345="","",IF(N345&lt;16.5,0,IF(N345&gt;=50*0.8,5,IF(N345&gt;=50*0.7,4,IF(N345&gt;=50*0.6,3.5,IF(N345&gt;=50*0.5,3,IF(N345&gt;=50*0.4,2,IF(N345&gt;=50*0.33,1,0))))))))</f>
        <v/>
      </c>
      <c r="AG345">
        <f>IF(B345="","",IF(O345&lt;33.0,0,IF(O345&gt;=100*0.8,5,IF(O345&gt;=100*0.7,4,IF(O345&gt;=100*0.6,3.5,IF(O345&gt;=100*0.5,3,IF(O345&gt;=100*0.4,2,IF(O345&gt;=100*0.33,1,0))))))))</f>
        <v/>
      </c>
      <c r="AH345">
        <f>IF(B345="","",IF(OR(U345=0,V345=0,W345=0,X345=0,Y345=0,Z345=0,AA345=0,AB345=0,AC345=0,AD345=0,AE345=0,AF345=0,AG345=0),1,0))</f>
        <v/>
      </c>
    </row>
    <row r="346">
      <c r="A346" s="3">
        <f>IF(B346="","",ROW()-2)</f>
        <v/>
      </c>
      <c r="P346" s="4">
        <f>IF(B346="","",SUM(C346:O346))</f>
        <v/>
      </c>
      <c r="Q346" s="5">
        <f>IF(B346="","",ROUND(P346/13,2))</f>
        <v/>
      </c>
      <c r="R346" s="5">
        <f>IF(B346="","",IF(AH346=1,0,MIN(5,ROUND((U346+V346+W346+X346+Y346+Z346+AA346+AB346+AC346+AD346+AE346+AF346+AG346)/13,2))))</f>
        <v/>
      </c>
      <c r="S346" s="3">
        <f>IF(B346="","",IF(R346&gt;=5,"A+",IF(R346&gt;=4,"A",IF(R346&gt;=3.5,"A-",IF(R346&gt;=3,"B",IF(R346&gt;=2,"C",IF(R346&gt;=1,"D","F")))))))</f>
        <v/>
      </c>
      <c r="T346" s="3">
        <f>IF(OR(B346="",S346="F"),"",COUNTIFS(P:P,"&gt;"&amp;P346,S:S,"&lt;&gt;F")+1)</f>
        <v/>
      </c>
      <c r="U346">
        <f>IF(B346="","",IF(C346&lt;33.0,0,IF(C346&gt;=100*0.8,5,IF(C346&gt;=100*0.7,4,IF(C346&gt;=100*0.6,3.5,IF(C346&gt;=100*0.5,3,IF(C346&gt;=100*0.4,2,IF(C346&gt;=100*0.33,1,0))))))))</f>
        <v/>
      </c>
      <c r="V346">
        <f>IF(B346="","",IF(D346&lt;33.0,0,IF(D346&gt;=100*0.8,5,IF(D346&gt;=100*0.7,4,IF(D346&gt;=100*0.6,3.5,IF(D346&gt;=100*0.5,3,IF(D346&gt;=100*0.4,2,IF(D346&gt;=100*0.33,1,0))))))))</f>
        <v/>
      </c>
      <c r="W346">
        <f>IF(B346="","",IF(E346&lt;16.5,0,IF(E346&gt;=50*0.8,5,IF(E346&gt;=50*0.7,4,IF(E346&gt;=50*0.6,3.5,IF(E346&gt;=50*0.5,3,IF(E346&gt;=50*0.4,2,IF(E346&gt;=50*0.33,1,0))))))))</f>
        <v/>
      </c>
      <c r="X346">
        <f>IF(B346="","",IF(F346&lt;33.0,0,IF(F346&gt;=100*0.8,5,IF(F346&gt;=100*0.7,4,IF(F346&gt;=100*0.6,3.5,IF(F346&gt;=100*0.5,3,IF(F346&gt;=100*0.4,2,IF(F346&gt;=100*0.33,1,0))))))))</f>
        <v/>
      </c>
      <c r="Y346">
        <f>IF(B346="","",IF(G346&lt;16.5,0,IF(G346&gt;=50*0.8,5,IF(G346&gt;=50*0.7,4,IF(G346&gt;=50*0.6,3.5,IF(G346&gt;=50*0.5,3,IF(G346&gt;=50*0.4,2,IF(G346&gt;=50*0.33,1,0))))))))</f>
        <v/>
      </c>
      <c r="Z346">
        <f>IF(B346="","",IF(H346&lt;33.0,0,IF(H346&gt;=100*0.8,5,IF(H346&gt;=100*0.7,4,IF(H346&gt;=100*0.6,3.5,IF(H346&gt;=100*0.5,3,IF(H346&gt;=100*0.4,2,IF(H346&gt;=100*0.33,1,0))))))))</f>
        <v/>
      </c>
      <c r="AA346">
        <f>IF(B346="","",IF(I346&lt;33.0,0,IF(I346&gt;=100*0.8,5,IF(I346&gt;=100*0.7,4,IF(I346&gt;=100*0.6,3.5,IF(I346&gt;=100*0.5,3,IF(I346&gt;=100*0.4,2,IF(I346&gt;=100*0.33,1,0))))))))</f>
        <v/>
      </c>
      <c r="AB346">
        <f>IF(B346="","",IF(J346&lt;33.0,0,IF(J346&gt;=100*0.8,5,IF(J346&gt;=100*0.7,4,IF(J346&gt;=100*0.6,3.5,IF(J346&gt;=100*0.5,3,IF(J346&gt;=100*0.4,2,IF(J346&gt;=100*0.33,1,0))))))))</f>
        <v/>
      </c>
      <c r="AC346">
        <f>IF(B346="","",IF(K346&lt;33.0,0,IF(K346&gt;=100*0.8,5,IF(K346&gt;=100*0.7,4,IF(K346&gt;=100*0.6,3.5,IF(K346&gt;=100*0.5,3,IF(K346&gt;=100*0.4,2,IF(K346&gt;=100*0.33,1,0))))))))</f>
        <v/>
      </c>
      <c r="AD346">
        <f>IF(B346="","",IF(L346&lt;33.0,0,IF(L346&gt;=100*0.8,5,IF(L346&gt;=100*0.7,4,IF(L346&gt;=100*0.6,3.5,IF(L346&gt;=100*0.5,3,IF(L346&gt;=100*0.4,2,IF(L346&gt;=100*0.33,1,0))))))))</f>
        <v/>
      </c>
      <c r="AE346">
        <f>IF(B346="","",IF(M346&lt;33.0,0,IF(M346&gt;=100*0.8,5,IF(M346&gt;=100*0.7,4,IF(M346&gt;=100*0.6,3.5,IF(M346&gt;=100*0.5,3,IF(M346&gt;=100*0.4,2,IF(M346&gt;=100*0.33,1,0))))))))</f>
        <v/>
      </c>
      <c r="AF346">
        <f>IF(B346="","",IF(N346&lt;16.5,0,IF(N346&gt;=50*0.8,5,IF(N346&gt;=50*0.7,4,IF(N346&gt;=50*0.6,3.5,IF(N346&gt;=50*0.5,3,IF(N346&gt;=50*0.4,2,IF(N346&gt;=50*0.33,1,0))))))))</f>
        <v/>
      </c>
      <c r="AG346">
        <f>IF(B346="","",IF(O346&lt;33.0,0,IF(O346&gt;=100*0.8,5,IF(O346&gt;=100*0.7,4,IF(O346&gt;=100*0.6,3.5,IF(O346&gt;=100*0.5,3,IF(O346&gt;=100*0.4,2,IF(O346&gt;=100*0.33,1,0))))))))</f>
        <v/>
      </c>
      <c r="AH346">
        <f>IF(B346="","",IF(OR(U346=0,V346=0,W346=0,X346=0,Y346=0,Z346=0,AA346=0,AB346=0,AC346=0,AD346=0,AE346=0,AF346=0,AG346=0),1,0))</f>
        <v/>
      </c>
    </row>
    <row r="347">
      <c r="A347" s="3">
        <f>IF(B347="","",ROW()-2)</f>
        <v/>
      </c>
      <c r="P347" s="4">
        <f>IF(B347="","",SUM(C347:O347))</f>
        <v/>
      </c>
      <c r="Q347" s="5">
        <f>IF(B347="","",ROUND(P347/13,2))</f>
        <v/>
      </c>
      <c r="R347" s="5">
        <f>IF(B347="","",IF(AH347=1,0,MIN(5,ROUND((U347+V347+W347+X347+Y347+Z347+AA347+AB347+AC347+AD347+AE347+AF347+AG347)/13,2))))</f>
        <v/>
      </c>
      <c r="S347" s="3">
        <f>IF(B347="","",IF(R347&gt;=5,"A+",IF(R347&gt;=4,"A",IF(R347&gt;=3.5,"A-",IF(R347&gt;=3,"B",IF(R347&gt;=2,"C",IF(R347&gt;=1,"D","F")))))))</f>
        <v/>
      </c>
      <c r="T347" s="3">
        <f>IF(OR(B347="",S347="F"),"",COUNTIFS(P:P,"&gt;"&amp;P347,S:S,"&lt;&gt;F")+1)</f>
        <v/>
      </c>
      <c r="U347">
        <f>IF(B347="","",IF(C347&lt;33.0,0,IF(C347&gt;=100*0.8,5,IF(C347&gt;=100*0.7,4,IF(C347&gt;=100*0.6,3.5,IF(C347&gt;=100*0.5,3,IF(C347&gt;=100*0.4,2,IF(C347&gt;=100*0.33,1,0))))))))</f>
        <v/>
      </c>
      <c r="V347">
        <f>IF(B347="","",IF(D347&lt;33.0,0,IF(D347&gt;=100*0.8,5,IF(D347&gt;=100*0.7,4,IF(D347&gt;=100*0.6,3.5,IF(D347&gt;=100*0.5,3,IF(D347&gt;=100*0.4,2,IF(D347&gt;=100*0.33,1,0))))))))</f>
        <v/>
      </c>
      <c r="W347">
        <f>IF(B347="","",IF(E347&lt;16.5,0,IF(E347&gt;=50*0.8,5,IF(E347&gt;=50*0.7,4,IF(E347&gt;=50*0.6,3.5,IF(E347&gt;=50*0.5,3,IF(E347&gt;=50*0.4,2,IF(E347&gt;=50*0.33,1,0))))))))</f>
        <v/>
      </c>
      <c r="X347">
        <f>IF(B347="","",IF(F347&lt;33.0,0,IF(F347&gt;=100*0.8,5,IF(F347&gt;=100*0.7,4,IF(F347&gt;=100*0.6,3.5,IF(F347&gt;=100*0.5,3,IF(F347&gt;=100*0.4,2,IF(F347&gt;=100*0.33,1,0))))))))</f>
        <v/>
      </c>
      <c r="Y347">
        <f>IF(B347="","",IF(G347&lt;16.5,0,IF(G347&gt;=50*0.8,5,IF(G347&gt;=50*0.7,4,IF(G347&gt;=50*0.6,3.5,IF(G347&gt;=50*0.5,3,IF(G347&gt;=50*0.4,2,IF(G347&gt;=50*0.33,1,0))))))))</f>
        <v/>
      </c>
      <c r="Z347">
        <f>IF(B347="","",IF(H347&lt;33.0,0,IF(H347&gt;=100*0.8,5,IF(H347&gt;=100*0.7,4,IF(H347&gt;=100*0.6,3.5,IF(H347&gt;=100*0.5,3,IF(H347&gt;=100*0.4,2,IF(H347&gt;=100*0.33,1,0))))))))</f>
        <v/>
      </c>
      <c r="AA347">
        <f>IF(B347="","",IF(I347&lt;33.0,0,IF(I347&gt;=100*0.8,5,IF(I347&gt;=100*0.7,4,IF(I347&gt;=100*0.6,3.5,IF(I347&gt;=100*0.5,3,IF(I347&gt;=100*0.4,2,IF(I347&gt;=100*0.33,1,0))))))))</f>
        <v/>
      </c>
      <c r="AB347">
        <f>IF(B347="","",IF(J347&lt;33.0,0,IF(J347&gt;=100*0.8,5,IF(J347&gt;=100*0.7,4,IF(J347&gt;=100*0.6,3.5,IF(J347&gt;=100*0.5,3,IF(J347&gt;=100*0.4,2,IF(J347&gt;=100*0.33,1,0))))))))</f>
        <v/>
      </c>
      <c r="AC347">
        <f>IF(B347="","",IF(K347&lt;33.0,0,IF(K347&gt;=100*0.8,5,IF(K347&gt;=100*0.7,4,IF(K347&gt;=100*0.6,3.5,IF(K347&gt;=100*0.5,3,IF(K347&gt;=100*0.4,2,IF(K347&gt;=100*0.33,1,0))))))))</f>
        <v/>
      </c>
      <c r="AD347">
        <f>IF(B347="","",IF(L347&lt;33.0,0,IF(L347&gt;=100*0.8,5,IF(L347&gt;=100*0.7,4,IF(L347&gt;=100*0.6,3.5,IF(L347&gt;=100*0.5,3,IF(L347&gt;=100*0.4,2,IF(L347&gt;=100*0.33,1,0))))))))</f>
        <v/>
      </c>
      <c r="AE347">
        <f>IF(B347="","",IF(M347&lt;33.0,0,IF(M347&gt;=100*0.8,5,IF(M347&gt;=100*0.7,4,IF(M347&gt;=100*0.6,3.5,IF(M347&gt;=100*0.5,3,IF(M347&gt;=100*0.4,2,IF(M347&gt;=100*0.33,1,0))))))))</f>
        <v/>
      </c>
      <c r="AF347">
        <f>IF(B347="","",IF(N347&lt;16.5,0,IF(N347&gt;=50*0.8,5,IF(N347&gt;=50*0.7,4,IF(N347&gt;=50*0.6,3.5,IF(N347&gt;=50*0.5,3,IF(N347&gt;=50*0.4,2,IF(N347&gt;=50*0.33,1,0))))))))</f>
        <v/>
      </c>
      <c r="AG347">
        <f>IF(B347="","",IF(O347&lt;33.0,0,IF(O347&gt;=100*0.8,5,IF(O347&gt;=100*0.7,4,IF(O347&gt;=100*0.6,3.5,IF(O347&gt;=100*0.5,3,IF(O347&gt;=100*0.4,2,IF(O347&gt;=100*0.33,1,0))))))))</f>
        <v/>
      </c>
      <c r="AH347">
        <f>IF(B347="","",IF(OR(U347=0,V347=0,W347=0,X347=0,Y347=0,Z347=0,AA347=0,AB347=0,AC347=0,AD347=0,AE347=0,AF347=0,AG347=0),1,0))</f>
        <v/>
      </c>
    </row>
    <row r="348">
      <c r="A348" s="3">
        <f>IF(B348="","",ROW()-2)</f>
        <v/>
      </c>
      <c r="P348" s="4">
        <f>IF(B348="","",SUM(C348:O348))</f>
        <v/>
      </c>
      <c r="Q348" s="5">
        <f>IF(B348="","",ROUND(P348/13,2))</f>
        <v/>
      </c>
      <c r="R348" s="5">
        <f>IF(B348="","",IF(AH348=1,0,MIN(5,ROUND((U348+V348+W348+X348+Y348+Z348+AA348+AB348+AC348+AD348+AE348+AF348+AG348)/13,2))))</f>
        <v/>
      </c>
      <c r="S348" s="3">
        <f>IF(B348="","",IF(R348&gt;=5,"A+",IF(R348&gt;=4,"A",IF(R348&gt;=3.5,"A-",IF(R348&gt;=3,"B",IF(R348&gt;=2,"C",IF(R348&gt;=1,"D","F")))))))</f>
        <v/>
      </c>
      <c r="T348" s="3">
        <f>IF(OR(B348="",S348="F"),"",COUNTIFS(P:P,"&gt;"&amp;P348,S:S,"&lt;&gt;F")+1)</f>
        <v/>
      </c>
      <c r="U348">
        <f>IF(B348="","",IF(C348&lt;33.0,0,IF(C348&gt;=100*0.8,5,IF(C348&gt;=100*0.7,4,IF(C348&gt;=100*0.6,3.5,IF(C348&gt;=100*0.5,3,IF(C348&gt;=100*0.4,2,IF(C348&gt;=100*0.33,1,0))))))))</f>
        <v/>
      </c>
      <c r="V348">
        <f>IF(B348="","",IF(D348&lt;33.0,0,IF(D348&gt;=100*0.8,5,IF(D348&gt;=100*0.7,4,IF(D348&gt;=100*0.6,3.5,IF(D348&gt;=100*0.5,3,IF(D348&gt;=100*0.4,2,IF(D348&gt;=100*0.33,1,0))))))))</f>
        <v/>
      </c>
      <c r="W348">
        <f>IF(B348="","",IF(E348&lt;16.5,0,IF(E348&gt;=50*0.8,5,IF(E348&gt;=50*0.7,4,IF(E348&gt;=50*0.6,3.5,IF(E348&gt;=50*0.5,3,IF(E348&gt;=50*0.4,2,IF(E348&gt;=50*0.33,1,0))))))))</f>
        <v/>
      </c>
      <c r="X348">
        <f>IF(B348="","",IF(F348&lt;33.0,0,IF(F348&gt;=100*0.8,5,IF(F348&gt;=100*0.7,4,IF(F348&gt;=100*0.6,3.5,IF(F348&gt;=100*0.5,3,IF(F348&gt;=100*0.4,2,IF(F348&gt;=100*0.33,1,0))))))))</f>
        <v/>
      </c>
      <c r="Y348">
        <f>IF(B348="","",IF(G348&lt;16.5,0,IF(G348&gt;=50*0.8,5,IF(G348&gt;=50*0.7,4,IF(G348&gt;=50*0.6,3.5,IF(G348&gt;=50*0.5,3,IF(G348&gt;=50*0.4,2,IF(G348&gt;=50*0.33,1,0))))))))</f>
        <v/>
      </c>
      <c r="Z348">
        <f>IF(B348="","",IF(H348&lt;33.0,0,IF(H348&gt;=100*0.8,5,IF(H348&gt;=100*0.7,4,IF(H348&gt;=100*0.6,3.5,IF(H348&gt;=100*0.5,3,IF(H348&gt;=100*0.4,2,IF(H348&gt;=100*0.33,1,0))))))))</f>
        <v/>
      </c>
      <c r="AA348">
        <f>IF(B348="","",IF(I348&lt;33.0,0,IF(I348&gt;=100*0.8,5,IF(I348&gt;=100*0.7,4,IF(I348&gt;=100*0.6,3.5,IF(I348&gt;=100*0.5,3,IF(I348&gt;=100*0.4,2,IF(I348&gt;=100*0.33,1,0))))))))</f>
        <v/>
      </c>
      <c r="AB348">
        <f>IF(B348="","",IF(J348&lt;33.0,0,IF(J348&gt;=100*0.8,5,IF(J348&gt;=100*0.7,4,IF(J348&gt;=100*0.6,3.5,IF(J348&gt;=100*0.5,3,IF(J348&gt;=100*0.4,2,IF(J348&gt;=100*0.33,1,0))))))))</f>
        <v/>
      </c>
      <c r="AC348">
        <f>IF(B348="","",IF(K348&lt;33.0,0,IF(K348&gt;=100*0.8,5,IF(K348&gt;=100*0.7,4,IF(K348&gt;=100*0.6,3.5,IF(K348&gt;=100*0.5,3,IF(K348&gt;=100*0.4,2,IF(K348&gt;=100*0.33,1,0))))))))</f>
        <v/>
      </c>
      <c r="AD348">
        <f>IF(B348="","",IF(L348&lt;33.0,0,IF(L348&gt;=100*0.8,5,IF(L348&gt;=100*0.7,4,IF(L348&gt;=100*0.6,3.5,IF(L348&gt;=100*0.5,3,IF(L348&gt;=100*0.4,2,IF(L348&gt;=100*0.33,1,0))))))))</f>
        <v/>
      </c>
      <c r="AE348">
        <f>IF(B348="","",IF(M348&lt;33.0,0,IF(M348&gt;=100*0.8,5,IF(M348&gt;=100*0.7,4,IF(M348&gt;=100*0.6,3.5,IF(M348&gt;=100*0.5,3,IF(M348&gt;=100*0.4,2,IF(M348&gt;=100*0.33,1,0))))))))</f>
        <v/>
      </c>
      <c r="AF348">
        <f>IF(B348="","",IF(N348&lt;16.5,0,IF(N348&gt;=50*0.8,5,IF(N348&gt;=50*0.7,4,IF(N348&gt;=50*0.6,3.5,IF(N348&gt;=50*0.5,3,IF(N348&gt;=50*0.4,2,IF(N348&gt;=50*0.33,1,0))))))))</f>
        <v/>
      </c>
      <c r="AG348">
        <f>IF(B348="","",IF(O348&lt;33.0,0,IF(O348&gt;=100*0.8,5,IF(O348&gt;=100*0.7,4,IF(O348&gt;=100*0.6,3.5,IF(O348&gt;=100*0.5,3,IF(O348&gt;=100*0.4,2,IF(O348&gt;=100*0.33,1,0))))))))</f>
        <v/>
      </c>
      <c r="AH348">
        <f>IF(B348="","",IF(OR(U348=0,V348=0,W348=0,X348=0,Y348=0,Z348=0,AA348=0,AB348=0,AC348=0,AD348=0,AE348=0,AF348=0,AG348=0),1,0))</f>
        <v/>
      </c>
    </row>
    <row r="349">
      <c r="A349" s="3">
        <f>IF(B349="","",ROW()-2)</f>
        <v/>
      </c>
      <c r="P349" s="4">
        <f>IF(B349="","",SUM(C349:O349))</f>
        <v/>
      </c>
      <c r="Q349" s="5">
        <f>IF(B349="","",ROUND(P349/13,2))</f>
        <v/>
      </c>
      <c r="R349" s="5">
        <f>IF(B349="","",IF(AH349=1,0,MIN(5,ROUND((U349+V349+W349+X349+Y349+Z349+AA349+AB349+AC349+AD349+AE349+AF349+AG349)/13,2))))</f>
        <v/>
      </c>
      <c r="S349" s="3">
        <f>IF(B349="","",IF(R349&gt;=5,"A+",IF(R349&gt;=4,"A",IF(R349&gt;=3.5,"A-",IF(R349&gt;=3,"B",IF(R349&gt;=2,"C",IF(R349&gt;=1,"D","F")))))))</f>
        <v/>
      </c>
      <c r="T349" s="3">
        <f>IF(OR(B349="",S349="F"),"",COUNTIFS(P:P,"&gt;"&amp;P349,S:S,"&lt;&gt;F")+1)</f>
        <v/>
      </c>
      <c r="U349">
        <f>IF(B349="","",IF(C349&lt;33.0,0,IF(C349&gt;=100*0.8,5,IF(C349&gt;=100*0.7,4,IF(C349&gt;=100*0.6,3.5,IF(C349&gt;=100*0.5,3,IF(C349&gt;=100*0.4,2,IF(C349&gt;=100*0.33,1,0))))))))</f>
        <v/>
      </c>
      <c r="V349">
        <f>IF(B349="","",IF(D349&lt;33.0,0,IF(D349&gt;=100*0.8,5,IF(D349&gt;=100*0.7,4,IF(D349&gt;=100*0.6,3.5,IF(D349&gt;=100*0.5,3,IF(D349&gt;=100*0.4,2,IF(D349&gt;=100*0.33,1,0))))))))</f>
        <v/>
      </c>
      <c r="W349">
        <f>IF(B349="","",IF(E349&lt;16.5,0,IF(E349&gt;=50*0.8,5,IF(E349&gt;=50*0.7,4,IF(E349&gt;=50*0.6,3.5,IF(E349&gt;=50*0.5,3,IF(E349&gt;=50*0.4,2,IF(E349&gt;=50*0.33,1,0))))))))</f>
        <v/>
      </c>
      <c r="X349">
        <f>IF(B349="","",IF(F349&lt;33.0,0,IF(F349&gt;=100*0.8,5,IF(F349&gt;=100*0.7,4,IF(F349&gt;=100*0.6,3.5,IF(F349&gt;=100*0.5,3,IF(F349&gt;=100*0.4,2,IF(F349&gt;=100*0.33,1,0))))))))</f>
        <v/>
      </c>
      <c r="Y349">
        <f>IF(B349="","",IF(G349&lt;16.5,0,IF(G349&gt;=50*0.8,5,IF(G349&gt;=50*0.7,4,IF(G349&gt;=50*0.6,3.5,IF(G349&gt;=50*0.5,3,IF(G349&gt;=50*0.4,2,IF(G349&gt;=50*0.33,1,0))))))))</f>
        <v/>
      </c>
      <c r="Z349">
        <f>IF(B349="","",IF(H349&lt;33.0,0,IF(H349&gt;=100*0.8,5,IF(H349&gt;=100*0.7,4,IF(H349&gt;=100*0.6,3.5,IF(H349&gt;=100*0.5,3,IF(H349&gt;=100*0.4,2,IF(H349&gt;=100*0.33,1,0))))))))</f>
        <v/>
      </c>
      <c r="AA349">
        <f>IF(B349="","",IF(I349&lt;33.0,0,IF(I349&gt;=100*0.8,5,IF(I349&gt;=100*0.7,4,IF(I349&gt;=100*0.6,3.5,IF(I349&gt;=100*0.5,3,IF(I349&gt;=100*0.4,2,IF(I349&gt;=100*0.33,1,0))))))))</f>
        <v/>
      </c>
      <c r="AB349">
        <f>IF(B349="","",IF(J349&lt;33.0,0,IF(J349&gt;=100*0.8,5,IF(J349&gt;=100*0.7,4,IF(J349&gt;=100*0.6,3.5,IF(J349&gt;=100*0.5,3,IF(J349&gt;=100*0.4,2,IF(J349&gt;=100*0.33,1,0))))))))</f>
        <v/>
      </c>
      <c r="AC349">
        <f>IF(B349="","",IF(K349&lt;33.0,0,IF(K349&gt;=100*0.8,5,IF(K349&gt;=100*0.7,4,IF(K349&gt;=100*0.6,3.5,IF(K349&gt;=100*0.5,3,IF(K349&gt;=100*0.4,2,IF(K349&gt;=100*0.33,1,0))))))))</f>
        <v/>
      </c>
      <c r="AD349">
        <f>IF(B349="","",IF(L349&lt;33.0,0,IF(L349&gt;=100*0.8,5,IF(L349&gt;=100*0.7,4,IF(L349&gt;=100*0.6,3.5,IF(L349&gt;=100*0.5,3,IF(L349&gt;=100*0.4,2,IF(L349&gt;=100*0.33,1,0))))))))</f>
        <v/>
      </c>
      <c r="AE349">
        <f>IF(B349="","",IF(M349&lt;33.0,0,IF(M349&gt;=100*0.8,5,IF(M349&gt;=100*0.7,4,IF(M349&gt;=100*0.6,3.5,IF(M349&gt;=100*0.5,3,IF(M349&gt;=100*0.4,2,IF(M349&gt;=100*0.33,1,0))))))))</f>
        <v/>
      </c>
      <c r="AF349">
        <f>IF(B349="","",IF(N349&lt;16.5,0,IF(N349&gt;=50*0.8,5,IF(N349&gt;=50*0.7,4,IF(N349&gt;=50*0.6,3.5,IF(N349&gt;=50*0.5,3,IF(N349&gt;=50*0.4,2,IF(N349&gt;=50*0.33,1,0))))))))</f>
        <v/>
      </c>
      <c r="AG349">
        <f>IF(B349="","",IF(O349&lt;33.0,0,IF(O349&gt;=100*0.8,5,IF(O349&gt;=100*0.7,4,IF(O349&gt;=100*0.6,3.5,IF(O349&gt;=100*0.5,3,IF(O349&gt;=100*0.4,2,IF(O349&gt;=100*0.33,1,0))))))))</f>
        <v/>
      </c>
      <c r="AH349">
        <f>IF(B349="","",IF(OR(U349=0,V349=0,W349=0,X349=0,Y349=0,Z349=0,AA349=0,AB349=0,AC349=0,AD349=0,AE349=0,AF349=0,AG349=0),1,0))</f>
        <v/>
      </c>
    </row>
    <row r="350">
      <c r="A350" s="3">
        <f>IF(B350="","",ROW()-2)</f>
        <v/>
      </c>
      <c r="P350" s="4">
        <f>IF(B350="","",SUM(C350:O350))</f>
        <v/>
      </c>
      <c r="Q350" s="5">
        <f>IF(B350="","",ROUND(P350/13,2))</f>
        <v/>
      </c>
      <c r="R350" s="5">
        <f>IF(B350="","",IF(AH350=1,0,MIN(5,ROUND((U350+V350+W350+X350+Y350+Z350+AA350+AB350+AC350+AD350+AE350+AF350+AG350)/13,2))))</f>
        <v/>
      </c>
      <c r="S350" s="3">
        <f>IF(B350="","",IF(R350&gt;=5,"A+",IF(R350&gt;=4,"A",IF(R350&gt;=3.5,"A-",IF(R350&gt;=3,"B",IF(R350&gt;=2,"C",IF(R350&gt;=1,"D","F")))))))</f>
        <v/>
      </c>
      <c r="T350" s="3">
        <f>IF(OR(B350="",S350="F"),"",COUNTIFS(P:P,"&gt;"&amp;P350,S:S,"&lt;&gt;F")+1)</f>
        <v/>
      </c>
      <c r="U350">
        <f>IF(B350="","",IF(C350&lt;33.0,0,IF(C350&gt;=100*0.8,5,IF(C350&gt;=100*0.7,4,IF(C350&gt;=100*0.6,3.5,IF(C350&gt;=100*0.5,3,IF(C350&gt;=100*0.4,2,IF(C350&gt;=100*0.33,1,0))))))))</f>
        <v/>
      </c>
      <c r="V350">
        <f>IF(B350="","",IF(D350&lt;33.0,0,IF(D350&gt;=100*0.8,5,IF(D350&gt;=100*0.7,4,IF(D350&gt;=100*0.6,3.5,IF(D350&gt;=100*0.5,3,IF(D350&gt;=100*0.4,2,IF(D350&gt;=100*0.33,1,0))))))))</f>
        <v/>
      </c>
      <c r="W350">
        <f>IF(B350="","",IF(E350&lt;16.5,0,IF(E350&gt;=50*0.8,5,IF(E350&gt;=50*0.7,4,IF(E350&gt;=50*0.6,3.5,IF(E350&gt;=50*0.5,3,IF(E350&gt;=50*0.4,2,IF(E350&gt;=50*0.33,1,0))))))))</f>
        <v/>
      </c>
      <c r="X350">
        <f>IF(B350="","",IF(F350&lt;33.0,0,IF(F350&gt;=100*0.8,5,IF(F350&gt;=100*0.7,4,IF(F350&gt;=100*0.6,3.5,IF(F350&gt;=100*0.5,3,IF(F350&gt;=100*0.4,2,IF(F350&gt;=100*0.33,1,0))))))))</f>
        <v/>
      </c>
      <c r="Y350">
        <f>IF(B350="","",IF(G350&lt;16.5,0,IF(G350&gt;=50*0.8,5,IF(G350&gt;=50*0.7,4,IF(G350&gt;=50*0.6,3.5,IF(G350&gt;=50*0.5,3,IF(G350&gt;=50*0.4,2,IF(G350&gt;=50*0.33,1,0))))))))</f>
        <v/>
      </c>
      <c r="Z350">
        <f>IF(B350="","",IF(H350&lt;33.0,0,IF(H350&gt;=100*0.8,5,IF(H350&gt;=100*0.7,4,IF(H350&gt;=100*0.6,3.5,IF(H350&gt;=100*0.5,3,IF(H350&gt;=100*0.4,2,IF(H350&gt;=100*0.33,1,0))))))))</f>
        <v/>
      </c>
      <c r="AA350">
        <f>IF(B350="","",IF(I350&lt;33.0,0,IF(I350&gt;=100*0.8,5,IF(I350&gt;=100*0.7,4,IF(I350&gt;=100*0.6,3.5,IF(I350&gt;=100*0.5,3,IF(I350&gt;=100*0.4,2,IF(I350&gt;=100*0.33,1,0))))))))</f>
        <v/>
      </c>
      <c r="AB350">
        <f>IF(B350="","",IF(J350&lt;33.0,0,IF(J350&gt;=100*0.8,5,IF(J350&gt;=100*0.7,4,IF(J350&gt;=100*0.6,3.5,IF(J350&gt;=100*0.5,3,IF(J350&gt;=100*0.4,2,IF(J350&gt;=100*0.33,1,0))))))))</f>
        <v/>
      </c>
      <c r="AC350">
        <f>IF(B350="","",IF(K350&lt;33.0,0,IF(K350&gt;=100*0.8,5,IF(K350&gt;=100*0.7,4,IF(K350&gt;=100*0.6,3.5,IF(K350&gt;=100*0.5,3,IF(K350&gt;=100*0.4,2,IF(K350&gt;=100*0.33,1,0))))))))</f>
        <v/>
      </c>
      <c r="AD350">
        <f>IF(B350="","",IF(L350&lt;33.0,0,IF(L350&gt;=100*0.8,5,IF(L350&gt;=100*0.7,4,IF(L350&gt;=100*0.6,3.5,IF(L350&gt;=100*0.5,3,IF(L350&gt;=100*0.4,2,IF(L350&gt;=100*0.33,1,0))))))))</f>
        <v/>
      </c>
      <c r="AE350">
        <f>IF(B350="","",IF(M350&lt;33.0,0,IF(M350&gt;=100*0.8,5,IF(M350&gt;=100*0.7,4,IF(M350&gt;=100*0.6,3.5,IF(M350&gt;=100*0.5,3,IF(M350&gt;=100*0.4,2,IF(M350&gt;=100*0.33,1,0))))))))</f>
        <v/>
      </c>
      <c r="AF350">
        <f>IF(B350="","",IF(N350&lt;16.5,0,IF(N350&gt;=50*0.8,5,IF(N350&gt;=50*0.7,4,IF(N350&gt;=50*0.6,3.5,IF(N350&gt;=50*0.5,3,IF(N350&gt;=50*0.4,2,IF(N350&gt;=50*0.33,1,0))))))))</f>
        <v/>
      </c>
      <c r="AG350">
        <f>IF(B350="","",IF(O350&lt;33.0,0,IF(O350&gt;=100*0.8,5,IF(O350&gt;=100*0.7,4,IF(O350&gt;=100*0.6,3.5,IF(O350&gt;=100*0.5,3,IF(O350&gt;=100*0.4,2,IF(O350&gt;=100*0.33,1,0))))))))</f>
        <v/>
      </c>
      <c r="AH350">
        <f>IF(B350="","",IF(OR(U350=0,V350=0,W350=0,X350=0,Y350=0,Z350=0,AA350=0,AB350=0,AC350=0,AD350=0,AE350=0,AF350=0,AG350=0),1,0))</f>
        <v/>
      </c>
    </row>
    <row r="351">
      <c r="A351" s="3">
        <f>IF(B351="","",ROW()-2)</f>
        <v/>
      </c>
      <c r="P351" s="4">
        <f>IF(B351="","",SUM(C351:O351))</f>
        <v/>
      </c>
      <c r="Q351" s="5">
        <f>IF(B351="","",ROUND(P351/13,2))</f>
        <v/>
      </c>
      <c r="R351" s="5">
        <f>IF(B351="","",IF(AH351=1,0,MIN(5,ROUND((U351+V351+W351+X351+Y351+Z351+AA351+AB351+AC351+AD351+AE351+AF351+AG351)/13,2))))</f>
        <v/>
      </c>
      <c r="S351" s="3">
        <f>IF(B351="","",IF(R351&gt;=5,"A+",IF(R351&gt;=4,"A",IF(R351&gt;=3.5,"A-",IF(R351&gt;=3,"B",IF(R351&gt;=2,"C",IF(R351&gt;=1,"D","F")))))))</f>
        <v/>
      </c>
      <c r="T351" s="3">
        <f>IF(OR(B351="",S351="F"),"",COUNTIFS(P:P,"&gt;"&amp;P351,S:S,"&lt;&gt;F")+1)</f>
        <v/>
      </c>
      <c r="U351">
        <f>IF(B351="","",IF(C351&lt;33.0,0,IF(C351&gt;=100*0.8,5,IF(C351&gt;=100*0.7,4,IF(C351&gt;=100*0.6,3.5,IF(C351&gt;=100*0.5,3,IF(C351&gt;=100*0.4,2,IF(C351&gt;=100*0.33,1,0))))))))</f>
        <v/>
      </c>
      <c r="V351">
        <f>IF(B351="","",IF(D351&lt;33.0,0,IF(D351&gt;=100*0.8,5,IF(D351&gt;=100*0.7,4,IF(D351&gt;=100*0.6,3.5,IF(D351&gt;=100*0.5,3,IF(D351&gt;=100*0.4,2,IF(D351&gt;=100*0.33,1,0))))))))</f>
        <v/>
      </c>
      <c r="W351">
        <f>IF(B351="","",IF(E351&lt;16.5,0,IF(E351&gt;=50*0.8,5,IF(E351&gt;=50*0.7,4,IF(E351&gt;=50*0.6,3.5,IF(E351&gt;=50*0.5,3,IF(E351&gt;=50*0.4,2,IF(E351&gt;=50*0.33,1,0))))))))</f>
        <v/>
      </c>
      <c r="X351">
        <f>IF(B351="","",IF(F351&lt;33.0,0,IF(F351&gt;=100*0.8,5,IF(F351&gt;=100*0.7,4,IF(F351&gt;=100*0.6,3.5,IF(F351&gt;=100*0.5,3,IF(F351&gt;=100*0.4,2,IF(F351&gt;=100*0.33,1,0))))))))</f>
        <v/>
      </c>
      <c r="Y351">
        <f>IF(B351="","",IF(G351&lt;16.5,0,IF(G351&gt;=50*0.8,5,IF(G351&gt;=50*0.7,4,IF(G351&gt;=50*0.6,3.5,IF(G351&gt;=50*0.5,3,IF(G351&gt;=50*0.4,2,IF(G351&gt;=50*0.33,1,0))))))))</f>
        <v/>
      </c>
      <c r="Z351">
        <f>IF(B351="","",IF(H351&lt;33.0,0,IF(H351&gt;=100*0.8,5,IF(H351&gt;=100*0.7,4,IF(H351&gt;=100*0.6,3.5,IF(H351&gt;=100*0.5,3,IF(H351&gt;=100*0.4,2,IF(H351&gt;=100*0.33,1,0))))))))</f>
        <v/>
      </c>
      <c r="AA351">
        <f>IF(B351="","",IF(I351&lt;33.0,0,IF(I351&gt;=100*0.8,5,IF(I351&gt;=100*0.7,4,IF(I351&gt;=100*0.6,3.5,IF(I351&gt;=100*0.5,3,IF(I351&gt;=100*0.4,2,IF(I351&gt;=100*0.33,1,0))))))))</f>
        <v/>
      </c>
      <c r="AB351">
        <f>IF(B351="","",IF(J351&lt;33.0,0,IF(J351&gt;=100*0.8,5,IF(J351&gt;=100*0.7,4,IF(J351&gt;=100*0.6,3.5,IF(J351&gt;=100*0.5,3,IF(J351&gt;=100*0.4,2,IF(J351&gt;=100*0.33,1,0))))))))</f>
        <v/>
      </c>
      <c r="AC351">
        <f>IF(B351="","",IF(K351&lt;33.0,0,IF(K351&gt;=100*0.8,5,IF(K351&gt;=100*0.7,4,IF(K351&gt;=100*0.6,3.5,IF(K351&gt;=100*0.5,3,IF(K351&gt;=100*0.4,2,IF(K351&gt;=100*0.33,1,0))))))))</f>
        <v/>
      </c>
      <c r="AD351">
        <f>IF(B351="","",IF(L351&lt;33.0,0,IF(L351&gt;=100*0.8,5,IF(L351&gt;=100*0.7,4,IF(L351&gt;=100*0.6,3.5,IF(L351&gt;=100*0.5,3,IF(L351&gt;=100*0.4,2,IF(L351&gt;=100*0.33,1,0))))))))</f>
        <v/>
      </c>
      <c r="AE351">
        <f>IF(B351="","",IF(M351&lt;33.0,0,IF(M351&gt;=100*0.8,5,IF(M351&gt;=100*0.7,4,IF(M351&gt;=100*0.6,3.5,IF(M351&gt;=100*0.5,3,IF(M351&gt;=100*0.4,2,IF(M351&gt;=100*0.33,1,0))))))))</f>
        <v/>
      </c>
      <c r="AF351">
        <f>IF(B351="","",IF(N351&lt;16.5,0,IF(N351&gt;=50*0.8,5,IF(N351&gt;=50*0.7,4,IF(N351&gt;=50*0.6,3.5,IF(N351&gt;=50*0.5,3,IF(N351&gt;=50*0.4,2,IF(N351&gt;=50*0.33,1,0))))))))</f>
        <v/>
      </c>
      <c r="AG351">
        <f>IF(B351="","",IF(O351&lt;33.0,0,IF(O351&gt;=100*0.8,5,IF(O351&gt;=100*0.7,4,IF(O351&gt;=100*0.6,3.5,IF(O351&gt;=100*0.5,3,IF(O351&gt;=100*0.4,2,IF(O351&gt;=100*0.33,1,0))))))))</f>
        <v/>
      </c>
      <c r="AH351">
        <f>IF(B351="","",IF(OR(U351=0,V351=0,W351=0,X351=0,Y351=0,Z351=0,AA351=0,AB351=0,AC351=0,AD351=0,AE351=0,AF351=0,AG351=0),1,0))</f>
        <v/>
      </c>
    </row>
    <row r="352">
      <c r="A352" s="3">
        <f>IF(B352="","",ROW()-2)</f>
        <v/>
      </c>
      <c r="P352" s="4">
        <f>IF(B352="","",SUM(C352:O352))</f>
        <v/>
      </c>
      <c r="Q352" s="5">
        <f>IF(B352="","",ROUND(P352/13,2))</f>
        <v/>
      </c>
      <c r="R352" s="5">
        <f>IF(B352="","",IF(AH352=1,0,MIN(5,ROUND((U352+V352+W352+X352+Y352+Z352+AA352+AB352+AC352+AD352+AE352+AF352+AG352)/13,2))))</f>
        <v/>
      </c>
      <c r="S352" s="3">
        <f>IF(B352="","",IF(R352&gt;=5,"A+",IF(R352&gt;=4,"A",IF(R352&gt;=3.5,"A-",IF(R352&gt;=3,"B",IF(R352&gt;=2,"C",IF(R352&gt;=1,"D","F")))))))</f>
        <v/>
      </c>
      <c r="T352" s="3">
        <f>IF(OR(B352="",S352="F"),"",COUNTIFS(P:P,"&gt;"&amp;P352,S:S,"&lt;&gt;F")+1)</f>
        <v/>
      </c>
      <c r="U352">
        <f>IF(B352="","",IF(C352&lt;33.0,0,IF(C352&gt;=100*0.8,5,IF(C352&gt;=100*0.7,4,IF(C352&gt;=100*0.6,3.5,IF(C352&gt;=100*0.5,3,IF(C352&gt;=100*0.4,2,IF(C352&gt;=100*0.33,1,0))))))))</f>
        <v/>
      </c>
      <c r="V352">
        <f>IF(B352="","",IF(D352&lt;33.0,0,IF(D352&gt;=100*0.8,5,IF(D352&gt;=100*0.7,4,IF(D352&gt;=100*0.6,3.5,IF(D352&gt;=100*0.5,3,IF(D352&gt;=100*0.4,2,IF(D352&gt;=100*0.33,1,0))))))))</f>
        <v/>
      </c>
      <c r="W352">
        <f>IF(B352="","",IF(E352&lt;16.5,0,IF(E352&gt;=50*0.8,5,IF(E352&gt;=50*0.7,4,IF(E352&gt;=50*0.6,3.5,IF(E352&gt;=50*0.5,3,IF(E352&gt;=50*0.4,2,IF(E352&gt;=50*0.33,1,0))))))))</f>
        <v/>
      </c>
      <c r="X352">
        <f>IF(B352="","",IF(F352&lt;33.0,0,IF(F352&gt;=100*0.8,5,IF(F352&gt;=100*0.7,4,IF(F352&gt;=100*0.6,3.5,IF(F352&gt;=100*0.5,3,IF(F352&gt;=100*0.4,2,IF(F352&gt;=100*0.33,1,0))))))))</f>
        <v/>
      </c>
      <c r="Y352">
        <f>IF(B352="","",IF(G352&lt;16.5,0,IF(G352&gt;=50*0.8,5,IF(G352&gt;=50*0.7,4,IF(G352&gt;=50*0.6,3.5,IF(G352&gt;=50*0.5,3,IF(G352&gt;=50*0.4,2,IF(G352&gt;=50*0.33,1,0))))))))</f>
        <v/>
      </c>
      <c r="Z352">
        <f>IF(B352="","",IF(H352&lt;33.0,0,IF(H352&gt;=100*0.8,5,IF(H352&gt;=100*0.7,4,IF(H352&gt;=100*0.6,3.5,IF(H352&gt;=100*0.5,3,IF(H352&gt;=100*0.4,2,IF(H352&gt;=100*0.33,1,0))))))))</f>
        <v/>
      </c>
      <c r="AA352">
        <f>IF(B352="","",IF(I352&lt;33.0,0,IF(I352&gt;=100*0.8,5,IF(I352&gt;=100*0.7,4,IF(I352&gt;=100*0.6,3.5,IF(I352&gt;=100*0.5,3,IF(I352&gt;=100*0.4,2,IF(I352&gt;=100*0.33,1,0))))))))</f>
        <v/>
      </c>
      <c r="AB352">
        <f>IF(B352="","",IF(J352&lt;33.0,0,IF(J352&gt;=100*0.8,5,IF(J352&gt;=100*0.7,4,IF(J352&gt;=100*0.6,3.5,IF(J352&gt;=100*0.5,3,IF(J352&gt;=100*0.4,2,IF(J352&gt;=100*0.33,1,0))))))))</f>
        <v/>
      </c>
      <c r="AC352">
        <f>IF(B352="","",IF(K352&lt;33.0,0,IF(K352&gt;=100*0.8,5,IF(K352&gt;=100*0.7,4,IF(K352&gt;=100*0.6,3.5,IF(K352&gt;=100*0.5,3,IF(K352&gt;=100*0.4,2,IF(K352&gt;=100*0.33,1,0))))))))</f>
        <v/>
      </c>
      <c r="AD352">
        <f>IF(B352="","",IF(L352&lt;33.0,0,IF(L352&gt;=100*0.8,5,IF(L352&gt;=100*0.7,4,IF(L352&gt;=100*0.6,3.5,IF(L352&gt;=100*0.5,3,IF(L352&gt;=100*0.4,2,IF(L352&gt;=100*0.33,1,0))))))))</f>
        <v/>
      </c>
      <c r="AE352">
        <f>IF(B352="","",IF(M352&lt;33.0,0,IF(M352&gt;=100*0.8,5,IF(M352&gt;=100*0.7,4,IF(M352&gt;=100*0.6,3.5,IF(M352&gt;=100*0.5,3,IF(M352&gt;=100*0.4,2,IF(M352&gt;=100*0.33,1,0))))))))</f>
        <v/>
      </c>
      <c r="AF352">
        <f>IF(B352="","",IF(N352&lt;16.5,0,IF(N352&gt;=50*0.8,5,IF(N352&gt;=50*0.7,4,IF(N352&gt;=50*0.6,3.5,IF(N352&gt;=50*0.5,3,IF(N352&gt;=50*0.4,2,IF(N352&gt;=50*0.33,1,0))))))))</f>
        <v/>
      </c>
      <c r="AG352">
        <f>IF(B352="","",IF(O352&lt;33.0,0,IF(O352&gt;=100*0.8,5,IF(O352&gt;=100*0.7,4,IF(O352&gt;=100*0.6,3.5,IF(O352&gt;=100*0.5,3,IF(O352&gt;=100*0.4,2,IF(O352&gt;=100*0.33,1,0))))))))</f>
        <v/>
      </c>
      <c r="AH352">
        <f>IF(B352="","",IF(OR(U352=0,V352=0,W352=0,X352=0,Y352=0,Z352=0,AA352=0,AB352=0,AC352=0,AD352=0,AE352=0,AF352=0,AG352=0),1,0))</f>
        <v/>
      </c>
    </row>
    <row r="353">
      <c r="A353" s="3">
        <f>IF(B353="","",ROW()-2)</f>
        <v/>
      </c>
      <c r="P353" s="4">
        <f>IF(B353="","",SUM(C353:O353))</f>
        <v/>
      </c>
      <c r="Q353" s="5">
        <f>IF(B353="","",ROUND(P353/13,2))</f>
        <v/>
      </c>
      <c r="R353" s="5">
        <f>IF(B353="","",IF(AH353=1,0,MIN(5,ROUND((U353+V353+W353+X353+Y353+Z353+AA353+AB353+AC353+AD353+AE353+AF353+AG353)/13,2))))</f>
        <v/>
      </c>
      <c r="S353" s="3">
        <f>IF(B353="","",IF(R353&gt;=5,"A+",IF(R353&gt;=4,"A",IF(R353&gt;=3.5,"A-",IF(R353&gt;=3,"B",IF(R353&gt;=2,"C",IF(R353&gt;=1,"D","F")))))))</f>
        <v/>
      </c>
      <c r="T353" s="3">
        <f>IF(OR(B353="",S353="F"),"",COUNTIFS(P:P,"&gt;"&amp;P353,S:S,"&lt;&gt;F")+1)</f>
        <v/>
      </c>
      <c r="U353">
        <f>IF(B353="","",IF(C353&lt;33.0,0,IF(C353&gt;=100*0.8,5,IF(C353&gt;=100*0.7,4,IF(C353&gt;=100*0.6,3.5,IF(C353&gt;=100*0.5,3,IF(C353&gt;=100*0.4,2,IF(C353&gt;=100*0.33,1,0))))))))</f>
        <v/>
      </c>
      <c r="V353">
        <f>IF(B353="","",IF(D353&lt;33.0,0,IF(D353&gt;=100*0.8,5,IF(D353&gt;=100*0.7,4,IF(D353&gt;=100*0.6,3.5,IF(D353&gt;=100*0.5,3,IF(D353&gt;=100*0.4,2,IF(D353&gt;=100*0.33,1,0))))))))</f>
        <v/>
      </c>
      <c r="W353">
        <f>IF(B353="","",IF(E353&lt;16.5,0,IF(E353&gt;=50*0.8,5,IF(E353&gt;=50*0.7,4,IF(E353&gt;=50*0.6,3.5,IF(E353&gt;=50*0.5,3,IF(E353&gt;=50*0.4,2,IF(E353&gt;=50*0.33,1,0))))))))</f>
        <v/>
      </c>
      <c r="X353">
        <f>IF(B353="","",IF(F353&lt;33.0,0,IF(F353&gt;=100*0.8,5,IF(F353&gt;=100*0.7,4,IF(F353&gt;=100*0.6,3.5,IF(F353&gt;=100*0.5,3,IF(F353&gt;=100*0.4,2,IF(F353&gt;=100*0.33,1,0))))))))</f>
        <v/>
      </c>
      <c r="Y353">
        <f>IF(B353="","",IF(G353&lt;16.5,0,IF(G353&gt;=50*0.8,5,IF(G353&gt;=50*0.7,4,IF(G353&gt;=50*0.6,3.5,IF(G353&gt;=50*0.5,3,IF(G353&gt;=50*0.4,2,IF(G353&gt;=50*0.33,1,0))))))))</f>
        <v/>
      </c>
      <c r="Z353">
        <f>IF(B353="","",IF(H353&lt;33.0,0,IF(H353&gt;=100*0.8,5,IF(H353&gt;=100*0.7,4,IF(H353&gt;=100*0.6,3.5,IF(H353&gt;=100*0.5,3,IF(H353&gt;=100*0.4,2,IF(H353&gt;=100*0.33,1,0))))))))</f>
        <v/>
      </c>
      <c r="AA353">
        <f>IF(B353="","",IF(I353&lt;33.0,0,IF(I353&gt;=100*0.8,5,IF(I353&gt;=100*0.7,4,IF(I353&gt;=100*0.6,3.5,IF(I353&gt;=100*0.5,3,IF(I353&gt;=100*0.4,2,IF(I353&gt;=100*0.33,1,0))))))))</f>
        <v/>
      </c>
      <c r="AB353">
        <f>IF(B353="","",IF(J353&lt;33.0,0,IF(J353&gt;=100*0.8,5,IF(J353&gt;=100*0.7,4,IF(J353&gt;=100*0.6,3.5,IF(J353&gt;=100*0.5,3,IF(J353&gt;=100*0.4,2,IF(J353&gt;=100*0.33,1,0))))))))</f>
        <v/>
      </c>
      <c r="AC353">
        <f>IF(B353="","",IF(K353&lt;33.0,0,IF(K353&gt;=100*0.8,5,IF(K353&gt;=100*0.7,4,IF(K353&gt;=100*0.6,3.5,IF(K353&gt;=100*0.5,3,IF(K353&gt;=100*0.4,2,IF(K353&gt;=100*0.33,1,0))))))))</f>
        <v/>
      </c>
      <c r="AD353">
        <f>IF(B353="","",IF(L353&lt;33.0,0,IF(L353&gt;=100*0.8,5,IF(L353&gt;=100*0.7,4,IF(L353&gt;=100*0.6,3.5,IF(L353&gt;=100*0.5,3,IF(L353&gt;=100*0.4,2,IF(L353&gt;=100*0.33,1,0))))))))</f>
        <v/>
      </c>
      <c r="AE353">
        <f>IF(B353="","",IF(M353&lt;33.0,0,IF(M353&gt;=100*0.8,5,IF(M353&gt;=100*0.7,4,IF(M353&gt;=100*0.6,3.5,IF(M353&gt;=100*0.5,3,IF(M353&gt;=100*0.4,2,IF(M353&gt;=100*0.33,1,0))))))))</f>
        <v/>
      </c>
      <c r="AF353">
        <f>IF(B353="","",IF(N353&lt;16.5,0,IF(N353&gt;=50*0.8,5,IF(N353&gt;=50*0.7,4,IF(N353&gt;=50*0.6,3.5,IF(N353&gt;=50*0.5,3,IF(N353&gt;=50*0.4,2,IF(N353&gt;=50*0.33,1,0))))))))</f>
        <v/>
      </c>
      <c r="AG353">
        <f>IF(B353="","",IF(O353&lt;33.0,0,IF(O353&gt;=100*0.8,5,IF(O353&gt;=100*0.7,4,IF(O353&gt;=100*0.6,3.5,IF(O353&gt;=100*0.5,3,IF(O353&gt;=100*0.4,2,IF(O353&gt;=100*0.33,1,0))))))))</f>
        <v/>
      </c>
      <c r="AH353">
        <f>IF(B353="","",IF(OR(U353=0,V353=0,W353=0,X353=0,Y353=0,Z353=0,AA353=0,AB353=0,AC353=0,AD353=0,AE353=0,AF353=0,AG353=0),1,0))</f>
        <v/>
      </c>
    </row>
    <row r="354">
      <c r="A354" s="3">
        <f>IF(B354="","",ROW()-2)</f>
        <v/>
      </c>
      <c r="P354" s="4">
        <f>IF(B354="","",SUM(C354:O354))</f>
        <v/>
      </c>
      <c r="Q354" s="5">
        <f>IF(B354="","",ROUND(P354/13,2))</f>
        <v/>
      </c>
      <c r="R354" s="5">
        <f>IF(B354="","",IF(AH354=1,0,MIN(5,ROUND((U354+V354+W354+X354+Y354+Z354+AA354+AB354+AC354+AD354+AE354+AF354+AG354)/13,2))))</f>
        <v/>
      </c>
      <c r="S354" s="3">
        <f>IF(B354="","",IF(R354&gt;=5,"A+",IF(R354&gt;=4,"A",IF(R354&gt;=3.5,"A-",IF(R354&gt;=3,"B",IF(R354&gt;=2,"C",IF(R354&gt;=1,"D","F")))))))</f>
        <v/>
      </c>
      <c r="T354" s="3">
        <f>IF(OR(B354="",S354="F"),"",COUNTIFS(P:P,"&gt;"&amp;P354,S:S,"&lt;&gt;F")+1)</f>
        <v/>
      </c>
      <c r="U354">
        <f>IF(B354="","",IF(C354&lt;33.0,0,IF(C354&gt;=100*0.8,5,IF(C354&gt;=100*0.7,4,IF(C354&gt;=100*0.6,3.5,IF(C354&gt;=100*0.5,3,IF(C354&gt;=100*0.4,2,IF(C354&gt;=100*0.33,1,0))))))))</f>
        <v/>
      </c>
      <c r="V354">
        <f>IF(B354="","",IF(D354&lt;33.0,0,IF(D354&gt;=100*0.8,5,IF(D354&gt;=100*0.7,4,IF(D354&gt;=100*0.6,3.5,IF(D354&gt;=100*0.5,3,IF(D354&gt;=100*0.4,2,IF(D354&gt;=100*0.33,1,0))))))))</f>
        <v/>
      </c>
      <c r="W354">
        <f>IF(B354="","",IF(E354&lt;16.5,0,IF(E354&gt;=50*0.8,5,IF(E354&gt;=50*0.7,4,IF(E354&gt;=50*0.6,3.5,IF(E354&gt;=50*0.5,3,IF(E354&gt;=50*0.4,2,IF(E354&gt;=50*0.33,1,0))))))))</f>
        <v/>
      </c>
      <c r="X354">
        <f>IF(B354="","",IF(F354&lt;33.0,0,IF(F354&gt;=100*0.8,5,IF(F354&gt;=100*0.7,4,IF(F354&gt;=100*0.6,3.5,IF(F354&gt;=100*0.5,3,IF(F354&gt;=100*0.4,2,IF(F354&gt;=100*0.33,1,0))))))))</f>
        <v/>
      </c>
      <c r="Y354">
        <f>IF(B354="","",IF(G354&lt;16.5,0,IF(G354&gt;=50*0.8,5,IF(G354&gt;=50*0.7,4,IF(G354&gt;=50*0.6,3.5,IF(G354&gt;=50*0.5,3,IF(G354&gt;=50*0.4,2,IF(G354&gt;=50*0.33,1,0))))))))</f>
        <v/>
      </c>
      <c r="Z354">
        <f>IF(B354="","",IF(H354&lt;33.0,0,IF(H354&gt;=100*0.8,5,IF(H354&gt;=100*0.7,4,IF(H354&gt;=100*0.6,3.5,IF(H354&gt;=100*0.5,3,IF(H354&gt;=100*0.4,2,IF(H354&gt;=100*0.33,1,0))))))))</f>
        <v/>
      </c>
      <c r="AA354">
        <f>IF(B354="","",IF(I354&lt;33.0,0,IF(I354&gt;=100*0.8,5,IF(I354&gt;=100*0.7,4,IF(I354&gt;=100*0.6,3.5,IF(I354&gt;=100*0.5,3,IF(I354&gt;=100*0.4,2,IF(I354&gt;=100*0.33,1,0))))))))</f>
        <v/>
      </c>
      <c r="AB354">
        <f>IF(B354="","",IF(J354&lt;33.0,0,IF(J354&gt;=100*0.8,5,IF(J354&gt;=100*0.7,4,IF(J354&gt;=100*0.6,3.5,IF(J354&gt;=100*0.5,3,IF(J354&gt;=100*0.4,2,IF(J354&gt;=100*0.33,1,0))))))))</f>
        <v/>
      </c>
      <c r="AC354">
        <f>IF(B354="","",IF(K354&lt;33.0,0,IF(K354&gt;=100*0.8,5,IF(K354&gt;=100*0.7,4,IF(K354&gt;=100*0.6,3.5,IF(K354&gt;=100*0.5,3,IF(K354&gt;=100*0.4,2,IF(K354&gt;=100*0.33,1,0))))))))</f>
        <v/>
      </c>
      <c r="AD354">
        <f>IF(B354="","",IF(L354&lt;33.0,0,IF(L354&gt;=100*0.8,5,IF(L354&gt;=100*0.7,4,IF(L354&gt;=100*0.6,3.5,IF(L354&gt;=100*0.5,3,IF(L354&gt;=100*0.4,2,IF(L354&gt;=100*0.33,1,0))))))))</f>
        <v/>
      </c>
      <c r="AE354">
        <f>IF(B354="","",IF(M354&lt;33.0,0,IF(M354&gt;=100*0.8,5,IF(M354&gt;=100*0.7,4,IF(M354&gt;=100*0.6,3.5,IF(M354&gt;=100*0.5,3,IF(M354&gt;=100*0.4,2,IF(M354&gt;=100*0.33,1,0))))))))</f>
        <v/>
      </c>
      <c r="AF354">
        <f>IF(B354="","",IF(N354&lt;16.5,0,IF(N354&gt;=50*0.8,5,IF(N354&gt;=50*0.7,4,IF(N354&gt;=50*0.6,3.5,IF(N354&gt;=50*0.5,3,IF(N354&gt;=50*0.4,2,IF(N354&gt;=50*0.33,1,0))))))))</f>
        <v/>
      </c>
      <c r="AG354">
        <f>IF(B354="","",IF(O354&lt;33.0,0,IF(O354&gt;=100*0.8,5,IF(O354&gt;=100*0.7,4,IF(O354&gt;=100*0.6,3.5,IF(O354&gt;=100*0.5,3,IF(O354&gt;=100*0.4,2,IF(O354&gt;=100*0.33,1,0))))))))</f>
        <v/>
      </c>
      <c r="AH354">
        <f>IF(B354="","",IF(OR(U354=0,V354=0,W354=0,X354=0,Y354=0,Z354=0,AA354=0,AB354=0,AC354=0,AD354=0,AE354=0,AF354=0,AG354=0),1,0))</f>
        <v/>
      </c>
    </row>
    <row r="355">
      <c r="A355" s="3">
        <f>IF(B355="","",ROW()-2)</f>
        <v/>
      </c>
      <c r="P355" s="4">
        <f>IF(B355="","",SUM(C355:O355))</f>
        <v/>
      </c>
      <c r="Q355" s="5">
        <f>IF(B355="","",ROUND(P355/13,2))</f>
        <v/>
      </c>
      <c r="R355" s="5">
        <f>IF(B355="","",IF(AH355=1,0,MIN(5,ROUND((U355+V355+W355+X355+Y355+Z355+AA355+AB355+AC355+AD355+AE355+AF355+AG355)/13,2))))</f>
        <v/>
      </c>
      <c r="S355" s="3">
        <f>IF(B355="","",IF(R355&gt;=5,"A+",IF(R355&gt;=4,"A",IF(R355&gt;=3.5,"A-",IF(R355&gt;=3,"B",IF(R355&gt;=2,"C",IF(R355&gt;=1,"D","F")))))))</f>
        <v/>
      </c>
      <c r="T355" s="3">
        <f>IF(OR(B355="",S355="F"),"",COUNTIFS(P:P,"&gt;"&amp;P355,S:S,"&lt;&gt;F")+1)</f>
        <v/>
      </c>
      <c r="U355">
        <f>IF(B355="","",IF(C355&lt;33.0,0,IF(C355&gt;=100*0.8,5,IF(C355&gt;=100*0.7,4,IF(C355&gt;=100*0.6,3.5,IF(C355&gt;=100*0.5,3,IF(C355&gt;=100*0.4,2,IF(C355&gt;=100*0.33,1,0))))))))</f>
        <v/>
      </c>
      <c r="V355">
        <f>IF(B355="","",IF(D355&lt;33.0,0,IF(D355&gt;=100*0.8,5,IF(D355&gt;=100*0.7,4,IF(D355&gt;=100*0.6,3.5,IF(D355&gt;=100*0.5,3,IF(D355&gt;=100*0.4,2,IF(D355&gt;=100*0.33,1,0))))))))</f>
        <v/>
      </c>
      <c r="W355">
        <f>IF(B355="","",IF(E355&lt;16.5,0,IF(E355&gt;=50*0.8,5,IF(E355&gt;=50*0.7,4,IF(E355&gt;=50*0.6,3.5,IF(E355&gt;=50*0.5,3,IF(E355&gt;=50*0.4,2,IF(E355&gt;=50*0.33,1,0))))))))</f>
        <v/>
      </c>
      <c r="X355">
        <f>IF(B355="","",IF(F355&lt;33.0,0,IF(F355&gt;=100*0.8,5,IF(F355&gt;=100*0.7,4,IF(F355&gt;=100*0.6,3.5,IF(F355&gt;=100*0.5,3,IF(F355&gt;=100*0.4,2,IF(F355&gt;=100*0.33,1,0))))))))</f>
        <v/>
      </c>
      <c r="Y355">
        <f>IF(B355="","",IF(G355&lt;16.5,0,IF(G355&gt;=50*0.8,5,IF(G355&gt;=50*0.7,4,IF(G355&gt;=50*0.6,3.5,IF(G355&gt;=50*0.5,3,IF(G355&gt;=50*0.4,2,IF(G355&gt;=50*0.33,1,0))))))))</f>
        <v/>
      </c>
      <c r="Z355">
        <f>IF(B355="","",IF(H355&lt;33.0,0,IF(H355&gt;=100*0.8,5,IF(H355&gt;=100*0.7,4,IF(H355&gt;=100*0.6,3.5,IF(H355&gt;=100*0.5,3,IF(H355&gt;=100*0.4,2,IF(H355&gt;=100*0.33,1,0))))))))</f>
        <v/>
      </c>
      <c r="AA355">
        <f>IF(B355="","",IF(I355&lt;33.0,0,IF(I355&gt;=100*0.8,5,IF(I355&gt;=100*0.7,4,IF(I355&gt;=100*0.6,3.5,IF(I355&gt;=100*0.5,3,IF(I355&gt;=100*0.4,2,IF(I355&gt;=100*0.33,1,0))))))))</f>
        <v/>
      </c>
      <c r="AB355">
        <f>IF(B355="","",IF(J355&lt;33.0,0,IF(J355&gt;=100*0.8,5,IF(J355&gt;=100*0.7,4,IF(J355&gt;=100*0.6,3.5,IF(J355&gt;=100*0.5,3,IF(J355&gt;=100*0.4,2,IF(J355&gt;=100*0.33,1,0))))))))</f>
        <v/>
      </c>
      <c r="AC355">
        <f>IF(B355="","",IF(K355&lt;33.0,0,IF(K355&gt;=100*0.8,5,IF(K355&gt;=100*0.7,4,IF(K355&gt;=100*0.6,3.5,IF(K355&gt;=100*0.5,3,IF(K355&gt;=100*0.4,2,IF(K355&gt;=100*0.33,1,0))))))))</f>
        <v/>
      </c>
      <c r="AD355">
        <f>IF(B355="","",IF(L355&lt;33.0,0,IF(L355&gt;=100*0.8,5,IF(L355&gt;=100*0.7,4,IF(L355&gt;=100*0.6,3.5,IF(L355&gt;=100*0.5,3,IF(L355&gt;=100*0.4,2,IF(L355&gt;=100*0.33,1,0))))))))</f>
        <v/>
      </c>
      <c r="AE355">
        <f>IF(B355="","",IF(M355&lt;33.0,0,IF(M355&gt;=100*0.8,5,IF(M355&gt;=100*0.7,4,IF(M355&gt;=100*0.6,3.5,IF(M355&gt;=100*0.5,3,IF(M355&gt;=100*0.4,2,IF(M355&gt;=100*0.33,1,0))))))))</f>
        <v/>
      </c>
      <c r="AF355">
        <f>IF(B355="","",IF(N355&lt;16.5,0,IF(N355&gt;=50*0.8,5,IF(N355&gt;=50*0.7,4,IF(N355&gt;=50*0.6,3.5,IF(N355&gt;=50*0.5,3,IF(N355&gt;=50*0.4,2,IF(N355&gt;=50*0.33,1,0))))))))</f>
        <v/>
      </c>
      <c r="AG355">
        <f>IF(B355="","",IF(O355&lt;33.0,0,IF(O355&gt;=100*0.8,5,IF(O355&gt;=100*0.7,4,IF(O355&gt;=100*0.6,3.5,IF(O355&gt;=100*0.5,3,IF(O355&gt;=100*0.4,2,IF(O355&gt;=100*0.33,1,0))))))))</f>
        <v/>
      </c>
      <c r="AH355">
        <f>IF(B355="","",IF(OR(U355=0,V355=0,W355=0,X355=0,Y355=0,Z355=0,AA355=0,AB355=0,AC355=0,AD355=0,AE355=0,AF355=0,AG355=0),1,0))</f>
        <v/>
      </c>
    </row>
    <row r="356">
      <c r="A356" s="3">
        <f>IF(B356="","",ROW()-2)</f>
        <v/>
      </c>
      <c r="P356" s="4">
        <f>IF(B356="","",SUM(C356:O356))</f>
        <v/>
      </c>
      <c r="Q356" s="5">
        <f>IF(B356="","",ROUND(P356/13,2))</f>
        <v/>
      </c>
      <c r="R356" s="5">
        <f>IF(B356="","",IF(AH356=1,0,MIN(5,ROUND((U356+V356+W356+X356+Y356+Z356+AA356+AB356+AC356+AD356+AE356+AF356+AG356)/13,2))))</f>
        <v/>
      </c>
      <c r="S356" s="3">
        <f>IF(B356="","",IF(R356&gt;=5,"A+",IF(R356&gt;=4,"A",IF(R356&gt;=3.5,"A-",IF(R356&gt;=3,"B",IF(R356&gt;=2,"C",IF(R356&gt;=1,"D","F")))))))</f>
        <v/>
      </c>
      <c r="T356" s="3">
        <f>IF(OR(B356="",S356="F"),"",COUNTIFS(P:P,"&gt;"&amp;P356,S:S,"&lt;&gt;F")+1)</f>
        <v/>
      </c>
      <c r="U356">
        <f>IF(B356="","",IF(C356&lt;33.0,0,IF(C356&gt;=100*0.8,5,IF(C356&gt;=100*0.7,4,IF(C356&gt;=100*0.6,3.5,IF(C356&gt;=100*0.5,3,IF(C356&gt;=100*0.4,2,IF(C356&gt;=100*0.33,1,0))))))))</f>
        <v/>
      </c>
      <c r="V356">
        <f>IF(B356="","",IF(D356&lt;33.0,0,IF(D356&gt;=100*0.8,5,IF(D356&gt;=100*0.7,4,IF(D356&gt;=100*0.6,3.5,IF(D356&gt;=100*0.5,3,IF(D356&gt;=100*0.4,2,IF(D356&gt;=100*0.33,1,0))))))))</f>
        <v/>
      </c>
      <c r="W356">
        <f>IF(B356="","",IF(E356&lt;16.5,0,IF(E356&gt;=50*0.8,5,IF(E356&gt;=50*0.7,4,IF(E356&gt;=50*0.6,3.5,IF(E356&gt;=50*0.5,3,IF(E356&gt;=50*0.4,2,IF(E356&gt;=50*0.33,1,0))))))))</f>
        <v/>
      </c>
      <c r="X356">
        <f>IF(B356="","",IF(F356&lt;33.0,0,IF(F356&gt;=100*0.8,5,IF(F356&gt;=100*0.7,4,IF(F356&gt;=100*0.6,3.5,IF(F356&gt;=100*0.5,3,IF(F356&gt;=100*0.4,2,IF(F356&gt;=100*0.33,1,0))))))))</f>
        <v/>
      </c>
      <c r="Y356">
        <f>IF(B356="","",IF(G356&lt;16.5,0,IF(G356&gt;=50*0.8,5,IF(G356&gt;=50*0.7,4,IF(G356&gt;=50*0.6,3.5,IF(G356&gt;=50*0.5,3,IF(G356&gt;=50*0.4,2,IF(G356&gt;=50*0.33,1,0))))))))</f>
        <v/>
      </c>
      <c r="Z356">
        <f>IF(B356="","",IF(H356&lt;33.0,0,IF(H356&gt;=100*0.8,5,IF(H356&gt;=100*0.7,4,IF(H356&gt;=100*0.6,3.5,IF(H356&gt;=100*0.5,3,IF(H356&gt;=100*0.4,2,IF(H356&gt;=100*0.33,1,0))))))))</f>
        <v/>
      </c>
      <c r="AA356">
        <f>IF(B356="","",IF(I356&lt;33.0,0,IF(I356&gt;=100*0.8,5,IF(I356&gt;=100*0.7,4,IF(I356&gt;=100*0.6,3.5,IF(I356&gt;=100*0.5,3,IF(I356&gt;=100*0.4,2,IF(I356&gt;=100*0.33,1,0))))))))</f>
        <v/>
      </c>
      <c r="AB356">
        <f>IF(B356="","",IF(J356&lt;33.0,0,IF(J356&gt;=100*0.8,5,IF(J356&gt;=100*0.7,4,IF(J356&gt;=100*0.6,3.5,IF(J356&gt;=100*0.5,3,IF(J356&gt;=100*0.4,2,IF(J356&gt;=100*0.33,1,0))))))))</f>
        <v/>
      </c>
      <c r="AC356">
        <f>IF(B356="","",IF(K356&lt;33.0,0,IF(K356&gt;=100*0.8,5,IF(K356&gt;=100*0.7,4,IF(K356&gt;=100*0.6,3.5,IF(K356&gt;=100*0.5,3,IF(K356&gt;=100*0.4,2,IF(K356&gt;=100*0.33,1,0))))))))</f>
        <v/>
      </c>
      <c r="AD356">
        <f>IF(B356="","",IF(L356&lt;33.0,0,IF(L356&gt;=100*0.8,5,IF(L356&gt;=100*0.7,4,IF(L356&gt;=100*0.6,3.5,IF(L356&gt;=100*0.5,3,IF(L356&gt;=100*0.4,2,IF(L356&gt;=100*0.33,1,0))))))))</f>
        <v/>
      </c>
      <c r="AE356">
        <f>IF(B356="","",IF(M356&lt;33.0,0,IF(M356&gt;=100*0.8,5,IF(M356&gt;=100*0.7,4,IF(M356&gt;=100*0.6,3.5,IF(M356&gt;=100*0.5,3,IF(M356&gt;=100*0.4,2,IF(M356&gt;=100*0.33,1,0))))))))</f>
        <v/>
      </c>
      <c r="AF356">
        <f>IF(B356="","",IF(N356&lt;16.5,0,IF(N356&gt;=50*0.8,5,IF(N356&gt;=50*0.7,4,IF(N356&gt;=50*0.6,3.5,IF(N356&gt;=50*0.5,3,IF(N356&gt;=50*0.4,2,IF(N356&gt;=50*0.33,1,0))))))))</f>
        <v/>
      </c>
      <c r="AG356">
        <f>IF(B356="","",IF(O356&lt;33.0,0,IF(O356&gt;=100*0.8,5,IF(O356&gt;=100*0.7,4,IF(O356&gt;=100*0.6,3.5,IF(O356&gt;=100*0.5,3,IF(O356&gt;=100*0.4,2,IF(O356&gt;=100*0.33,1,0))))))))</f>
        <v/>
      </c>
      <c r="AH356">
        <f>IF(B356="","",IF(OR(U356=0,V356=0,W356=0,X356=0,Y356=0,Z356=0,AA356=0,AB356=0,AC356=0,AD356=0,AE356=0,AF356=0,AG356=0),1,0))</f>
        <v/>
      </c>
    </row>
    <row r="357">
      <c r="A357" s="3">
        <f>IF(B357="","",ROW()-2)</f>
        <v/>
      </c>
      <c r="P357" s="4">
        <f>IF(B357="","",SUM(C357:O357))</f>
        <v/>
      </c>
      <c r="Q357" s="5">
        <f>IF(B357="","",ROUND(P357/13,2))</f>
        <v/>
      </c>
      <c r="R357" s="5">
        <f>IF(B357="","",IF(AH357=1,0,MIN(5,ROUND((U357+V357+W357+X357+Y357+Z357+AA357+AB357+AC357+AD357+AE357+AF357+AG357)/13,2))))</f>
        <v/>
      </c>
      <c r="S357" s="3">
        <f>IF(B357="","",IF(R357&gt;=5,"A+",IF(R357&gt;=4,"A",IF(R357&gt;=3.5,"A-",IF(R357&gt;=3,"B",IF(R357&gt;=2,"C",IF(R357&gt;=1,"D","F")))))))</f>
        <v/>
      </c>
      <c r="T357" s="3">
        <f>IF(OR(B357="",S357="F"),"",COUNTIFS(P:P,"&gt;"&amp;P357,S:S,"&lt;&gt;F")+1)</f>
        <v/>
      </c>
      <c r="U357">
        <f>IF(B357="","",IF(C357&lt;33.0,0,IF(C357&gt;=100*0.8,5,IF(C357&gt;=100*0.7,4,IF(C357&gt;=100*0.6,3.5,IF(C357&gt;=100*0.5,3,IF(C357&gt;=100*0.4,2,IF(C357&gt;=100*0.33,1,0))))))))</f>
        <v/>
      </c>
      <c r="V357">
        <f>IF(B357="","",IF(D357&lt;33.0,0,IF(D357&gt;=100*0.8,5,IF(D357&gt;=100*0.7,4,IF(D357&gt;=100*0.6,3.5,IF(D357&gt;=100*0.5,3,IF(D357&gt;=100*0.4,2,IF(D357&gt;=100*0.33,1,0))))))))</f>
        <v/>
      </c>
      <c r="W357">
        <f>IF(B357="","",IF(E357&lt;16.5,0,IF(E357&gt;=50*0.8,5,IF(E357&gt;=50*0.7,4,IF(E357&gt;=50*0.6,3.5,IF(E357&gt;=50*0.5,3,IF(E357&gt;=50*0.4,2,IF(E357&gt;=50*0.33,1,0))))))))</f>
        <v/>
      </c>
      <c r="X357">
        <f>IF(B357="","",IF(F357&lt;33.0,0,IF(F357&gt;=100*0.8,5,IF(F357&gt;=100*0.7,4,IF(F357&gt;=100*0.6,3.5,IF(F357&gt;=100*0.5,3,IF(F357&gt;=100*0.4,2,IF(F357&gt;=100*0.33,1,0))))))))</f>
        <v/>
      </c>
      <c r="Y357">
        <f>IF(B357="","",IF(G357&lt;16.5,0,IF(G357&gt;=50*0.8,5,IF(G357&gt;=50*0.7,4,IF(G357&gt;=50*0.6,3.5,IF(G357&gt;=50*0.5,3,IF(G357&gt;=50*0.4,2,IF(G357&gt;=50*0.33,1,0))))))))</f>
        <v/>
      </c>
      <c r="Z357">
        <f>IF(B357="","",IF(H357&lt;33.0,0,IF(H357&gt;=100*0.8,5,IF(H357&gt;=100*0.7,4,IF(H357&gt;=100*0.6,3.5,IF(H357&gt;=100*0.5,3,IF(H357&gt;=100*0.4,2,IF(H357&gt;=100*0.33,1,0))))))))</f>
        <v/>
      </c>
      <c r="AA357">
        <f>IF(B357="","",IF(I357&lt;33.0,0,IF(I357&gt;=100*0.8,5,IF(I357&gt;=100*0.7,4,IF(I357&gt;=100*0.6,3.5,IF(I357&gt;=100*0.5,3,IF(I357&gt;=100*0.4,2,IF(I357&gt;=100*0.33,1,0))))))))</f>
        <v/>
      </c>
      <c r="AB357">
        <f>IF(B357="","",IF(J357&lt;33.0,0,IF(J357&gt;=100*0.8,5,IF(J357&gt;=100*0.7,4,IF(J357&gt;=100*0.6,3.5,IF(J357&gt;=100*0.5,3,IF(J357&gt;=100*0.4,2,IF(J357&gt;=100*0.33,1,0))))))))</f>
        <v/>
      </c>
      <c r="AC357">
        <f>IF(B357="","",IF(K357&lt;33.0,0,IF(K357&gt;=100*0.8,5,IF(K357&gt;=100*0.7,4,IF(K357&gt;=100*0.6,3.5,IF(K357&gt;=100*0.5,3,IF(K357&gt;=100*0.4,2,IF(K357&gt;=100*0.33,1,0))))))))</f>
        <v/>
      </c>
      <c r="AD357">
        <f>IF(B357="","",IF(L357&lt;33.0,0,IF(L357&gt;=100*0.8,5,IF(L357&gt;=100*0.7,4,IF(L357&gt;=100*0.6,3.5,IF(L357&gt;=100*0.5,3,IF(L357&gt;=100*0.4,2,IF(L357&gt;=100*0.33,1,0))))))))</f>
        <v/>
      </c>
      <c r="AE357">
        <f>IF(B357="","",IF(M357&lt;33.0,0,IF(M357&gt;=100*0.8,5,IF(M357&gt;=100*0.7,4,IF(M357&gt;=100*0.6,3.5,IF(M357&gt;=100*0.5,3,IF(M357&gt;=100*0.4,2,IF(M357&gt;=100*0.33,1,0))))))))</f>
        <v/>
      </c>
      <c r="AF357">
        <f>IF(B357="","",IF(N357&lt;16.5,0,IF(N357&gt;=50*0.8,5,IF(N357&gt;=50*0.7,4,IF(N357&gt;=50*0.6,3.5,IF(N357&gt;=50*0.5,3,IF(N357&gt;=50*0.4,2,IF(N357&gt;=50*0.33,1,0))))))))</f>
        <v/>
      </c>
      <c r="AG357">
        <f>IF(B357="","",IF(O357&lt;33.0,0,IF(O357&gt;=100*0.8,5,IF(O357&gt;=100*0.7,4,IF(O357&gt;=100*0.6,3.5,IF(O357&gt;=100*0.5,3,IF(O357&gt;=100*0.4,2,IF(O357&gt;=100*0.33,1,0))))))))</f>
        <v/>
      </c>
      <c r="AH357">
        <f>IF(B357="","",IF(OR(U357=0,V357=0,W357=0,X357=0,Y357=0,Z357=0,AA357=0,AB357=0,AC357=0,AD357=0,AE357=0,AF357=0,AG357=0),1,0))</f>
        <v/>
      </c>
    </row>
    <row r="358">
      <c r="A358" s="3">
        <f>IF(B358="","",ROW()-2)</f>
        <v/>
      </c>
      <c r="P358" s="4">
        <f>IF(B358="","",SUM(C358:O358))</f>
        <v/>
      </c>
      <c r="Q358" s="5">
        <f>IF(B358="","",ROUND(P358/13,2))</f>
        <v/>
      </c>
      <c r="R358" s="5">
        <f>IF(B358="","",IF(AH358=1,0,MIN(5,ROUND((U358+V358+W358+X358+Y358+Z358+AA358+AB358+AC358+AD358+AE358+AF358+AG358)/13,2))))</f>
        <v/>
      </c>
      <c r="S358" s="3">
        <f>IF(B358="","",IF(R358&gt;=5,"A+",IF(R358&gt;=4,"A",IF(R358&gt;=3.5,"A-",IF(R358&gt;=3,"B",IF(R358&gt;=2,"C",IF(R358&gt;=1,"D","F")))))))</f>
        <v/>
      </c>
      <c r="T358" s="3">
        <f>IF(OR(B358="",S358="F"),"",COUNTIFS(P:P,"&gt;"&amp;P358,S:S,"&lt;&gt;F")+1)</f>
        <v/>
      </c>
      <c r="U358">
        <f>IF(B358="","",IF(C358&lt;33.0,0,IF(C358&gt;=100*0.8,5,IF(C358&gt;=100*0.7,4,IF(C358&gt;=100*0.6,3.5,IF(C358&gt;=100*0.5,3,IF(C358&gt;=100*0.4,2,IF(C358&gt;=100*0.33,1,0))))))))</f>
        <v/>
      </c>
      <c r="V358">
        <f>IF(B358="","",IF(D358&lt;33.0,0,IF(D358&gt;=100*0.8,5,IF(D358&gt;=100*0.7,4,IF(D358&gt;=100*0.6,3.5,IF(D358&gt;=100*0.5,3,IF(D358&gt;=100*0.4,2,IF(D358&gt;=100*0.33,1,0))))))))</f>
        <v/>
      </c>
      <c r="W358">
        <f>IF(B358="","",IF(E358&lt;16.5,0,IF(E358&gt;=50*0.8,5,IF(E358&gt;=50*0.7,4,IF(E358&gt;=50*0.6,3.5,IF(E358&gt;=50*0.5,3,IF(E358&gt;=50*0.4,2,IF(E358&gt;=50*0.33,1,0))))))))</f>
        <v/>
      </c>
      <c r="X358">
        <f>IF(B358="","",IF(F358&lt;33.0,0,IF(F358&gt;=100*0.8,5,IF(F358&gt;=100*0.7,4,IF(F358&gt;=100*0.6,3.5,IF(F358&gt;=100*0.5,3,IF(F358&gt;=100*0.4,2,IF(F358&gt;=100*0.33,1,0))))))))</f>
        <v/>
      </c>
      <c r="Y358">
        <f>IF(B358="","",IF(G358&lt;16.5,0,IF(G358&gt;=50*0.8,5,IF(G358&gt;=50*0.7,4,IF(G358&gt;=50*0.6,3.5,IF(G358&gt;=50*0.5,3,IF(G358&gt;=50*0.4,2,IF(G358&gt;=50*0.33,1,0))))))))</f>
        <v/>
      </c>
      <c r="Z358">
        <f>IF(B358="","",IF(H358&lt;33.0,0,IF(H358&gt;=100*0.8,5,IF(H358&gt;=100*0.7,4,IF(H358&gt;=100*0.6,3.5,IF(H358&gt;=100*0.5,3,IF(H358&gt;=100*0.4,2,IF(H358&gt;=100*0.33,1,0))))))))</f>
        <v/>
      </c>
      <c r="AA358">
        <f>IF(B358="","",IF(I358&lt;33.0,0,IF(I358&gt;=100*0.8,5,IF(I358&gt;=100*0.7,4,IF(I358&gt;=100*0.6,3.5,IF(I358&gt;=100*0.5,3,IF(I358&gt;=100*0.4,2,IF(I358&gt;=100*0.33,1,0))))))))</f>
        <v/>
      </c>
      <c r="AB358">
        <f>IF(B358="","",IF(J358&lt;33.0,0,IF(J358&gt;=100*0.8,5,IF(J358&gt;=100*0.7,4,IF(J358&gt;=100*0.6,3.5,IF(J358&gt;=100*0.5,3,IF(J358&gt;=100*0.4,2,IF(J358&gt;=100*0.33,1,0))))))))</f>
        <v/>
      </c>
      <c r="AC358">
        <f>IF(B358="","",IF(K358&lt;33.0,0,IF(K358&gt;=100*0.8,5,IF(K358&gt;=100*0.7,4,IF(K358&gt;=100*0.6,3.5,IF(K358&gt;=100*0.5,3,IF(K358&gt;=100*0.4,2,IF(K358&gt;=100*0.33,1,0))))))))</f>
        <v/>
      </c>
      <c r="AD358">
        <f>IF(B358="","",IF(L358&lt;33.0,0,IF(L358&gt;=100*0.8,5,IF(L358&gt;=100*0.7,4,IF(L358&gt;=100*0.6,3.5,IF(L358&gt;=100*0.5,3,IF(L358&gt;=100*0.4,2,IF(L358&gt;=100*0.33,1,0))))))))</f>
        <v/>
      </c>
      <c r="AE358">
        <f>IF(B358="","",IF(M358&lt;33.0,0,IF(M358&gt;=100*0.8,5,IF(M358&gt;=100*0.7,4,IF(M358&gt;=100*0.6,3.5,IF(M358&gt;=100*0.5,3,IF(M358&gt;=100*0.4,2,IF(M358&gt;=100*0.33,1,0))))))))</f>
        <v/>
      </c>
      <c r="AF358">
        <f>IF(B358="","",IF(N358&lt;16.5,0,IF(N358&gt;=50*0.8,5,IF(N358&gt;=50*0.7,4,IF(N358&gt;=50*0.6,3.5,IF(N358&gt;=50*0.5,3,IF(N358&gt;=50*0.4,2,IF(N358&gt;=50*0.33,1,0))))))))</f>
        <v/>
      </c>
      <c r="AG358">
        <f>IF(B358="","",IF(O358&lt;33.0,0,IF(O358&gt;=100*0.8,5,IF(O358&gt;=100*0.7,4,IF(O358&gt;=100*0.6,3.5,IF(O358&gt;=100*0.5,3,IF(O358&gt;=100*0.4,2,IF(O358&gt;=100*0.33,1,0))))))))</f>
        <v/>
      </c>
      <c r="AH358">
        <f>IF(B358="","",IF(OR(U358=0,V358=0,W358=0,X358=0,Y358=0,Z358=0,AA358=0,AB358=0,AC358=0,AD358=0,AE358=0,AF358=0,AG358=0),1,0))</f>
        <v/>
      </c>
    </row>
    <row r="359">
      <c r="A359" s="3">
        <f>IF(B359="","",ROW()-2)</f>
        <v/>
      </c>
      <c r="P359" s="4">
        <f>IF(B359="","",SUM(C359:O359))</f>
        <v/>
      </c>
      <c r="Q359" s="5">
        <f>IF(B359="","",ROUND(P359/13,2))</f>
        <v/>
      </c>
      <c r="R359" s="5">
        <f>IF(B359="","",IF(AH359=1,0,MIN(5,ROUND((U359+V359+W359+X359+Y359+Z359+AA359+AB359+AC359+AD359+AE359+AF359+AG359)/13,2))))</f>
        <v/>
      </c>
      <c r="S359" s="3">
        <f>IF(B359="","",IF(R359&gt;=5,"A+",IF(R359&gt;=4,"A",IF(R359&gt;=3.5,"A-",IF(R359&gt;=3,"B",IF(R359&gt;=2,"C",IF(R359&gt;=1,"D","F")))))))</f>
        <v/>
      </c>
      <c r="T359" s="3">
        <f>IF(OR(B359="",S359="F"),"",COUNTIFS(P:P,"&gt;"&amp;P359,S:S,"&lt;&gt;F")+1)</f>
        <v/>
      </c>
      <c r="U359">
        <f>IF(B359="","",IF(C359&lt;33.0,0,IF(C359&gt;=100*0.8,5,IF(C359&gt;=100*0.7,4,IF(C359&gt;=100*0.6,3.5,IF(C359&gt;=100*0.5,3,IF(C359&gt;=100*0.4,2,IF(C359&gt;=100*0.33,1,0))))))))</f>
        <v/>
      </c>
      <c r="V359">
        <f>IF(B359="","",IF(D359&lt;33.0,0,IF(D359&gt;=100*0.8,5,IF(D359&gt;=100*0.7,4,IF(D359&gt;=100*0.6,3.5,IF(D359&gt;=100*0.5,3,IF(D359&gt;=100*0.4,2,IF(D359&gt;=100*0.33,1,0))))))))</f>
        <v/>
      </c>
      <c r="W359">
        <f>IF(B359="","",IF(E359&lt;16.5,0,IF(E359&gt;=50*0.8,5,IF(E359&gt;=50*0.7,4,IF(E359&gt;=50*0.6,3.5,IF(E359&gt;=50*0.5,3,IF(E359&gt;=50*0.4,2,IF(E359&gt;=50*0.33,1,0))))))))</f>
        <v/>
      </c>
      <c r="X359">
        <f>IF(B359="","",IF(F359&lt;33.0,0,IF(F359&gt;=100*0.8,5,IF(F359&gt;=100*0.7,4,IF(F359&gt;=100*0.6,3.5,IF(F359&gt;=100*0.5,3,IF(F359&gt;=100*0.4,2,IF(F359&gt;=100*0.33,1,0))))))))</f>
        <v/>
      </c>
      <c r="Y359">
        <f>IF(B359="","",IF(G359&lt;16.5,0,IF(G359&gt;=50*0.8,5,IF(G359&gt;=50*0.7,4,IF(G359&gt;=50*0.6,3.5,IF(G359&gt;=50*0.5,3,IF(G359&gt;=50*0.4,2,IF(G359&gt;=50*0.33,1,0))))))))</f>
        <v/>
      </c>
      <c r="Z359">
        <f>IF(B359="","",IF(H359&lt;33.0,0,IF(H359&gt;=100*0.8,5,IF(H359&gt;=100*0.7,4,IF(H359&gt;=100*0.6,3.5,IF(H359&gt;=100*0.5,3,IF(H359&gt;=100*0.4,2,IF(H359&gt;=100*0.33,1,0))))))))</f>
        <v/>
      </c>
      <c r="AA359">
        <f>IF(B359="","",IF(I359&lt;33.0,0,IF(I359&gt;=100*0.8,5,IF(I359&gt;=100*0.7,4,IF(I359&gt;=100*0.6,3.5,IF(I359&gt;=100*0.5,3,IF(I359&gt;=100*0.4,2,IF(I359&gt;=100*0.33,1,0))))))))</f>
        <v/>
      </c>
      <c r="AB359">
        <f>IF(B359="","",IF(J359&lt;33.0,0,IF(J359&gt;=100*0.8,5,IF(J359&gt;=100*0.7,4,IF(J359&gt;=100*0.6,3.5,IF(J359&gt;=100*0.5,3,IF(J359&gt;=100*0.4,2,IF(J359&gt;=100*0.33,1,0))))))))</f>
        <v/>
      </c>
      <c r="AC359">
        <f>IF(B359="","",IF(K359&lt;33.0,0,IF(K359&gt;=100*0.8,5,IF(K359&gt;=100*0.7,4,IF(K359&gt;=100*0.6,3.5,IF(K359&gt;=100*0.5,3,IF(K359&gt;=100*0.4,2,IF(K359&gt;=100*0.33,1,0))))))))</f>
        <v/>
      </c>
      <c r="AD359">
        <f>IF(B359="","",IF(L359&lt;33.0,0,IF(L359&gt;=100*0.8,5,IF(L359&gt;=100*0.7,4,IF(L359&gt;=100*0.6,3.5,IF(L359&gt;=100*0.5,3,IF(L359&gt;=100*0.4,2,IF(L359&gt;=100*0.33,1,0))))))))</f>
        <v/>
      </c>
      <c r="AE359">
        <f>IF(B359="","",IF(M359&lt;33.0,0,IF(M359&gt;=100*0.8,5,IF(M359&gt;=100*0.7,4,IF(M359&gt;=100*0.6,3.5,IF(M359&gt;=100*0.5,3,IF(M359&gt;=100*0.4,2,IF(M359&gt;=100*0.33,1,0))))))))</f>
        <v/>
      </c>
      <c r="AF359">
        <f>IF(B359="","",IF(N359&lt;16.5,0,IF(N359&gt;=50*0.8,5,IF(N359&gt;=50*0.7,4,IF(N359&gt;=50*0.6,3.5,IF(N359&gt;=50*0.5,3,IF(N359&gt;=50*0.4,2,IF(N359&gt;=50*0.33,1,0))))))))</f>
        <v/>
      </c>
      <c r="AG359">
        <f>IF(B359="","",IF(O359&lt;33.0,0,IF(O359&gt;=100*0.8,5,IF(O359&gt;=100*0.7,4,IF(O359&gt;=100*0.6,3.5,IF(O359&gt;=100*0.5,3,IF(O359&gt;=100*0.4,2,IF(O359&gt;=100*0.33,1,0))))))))</f>
        <v/>
      </c>
      <c r="AH359">
        <f>IF(B359="","",IF(OR(U359=0,V359=0,W359=0,X359=0,Y359=0,Z359=0,AA359=0,AB359=0,AC359=0,AD359=0,AE359=0,AF359=0,AG359=0),1,0))</f>
        <v/>
      </c>
    </row>
    <row r="360">
      <c r="A360" s="3">
        <f>IF(B360="","",ROW()-2)</f>
        <v/>
      </c>
      <c r="P360" s="4">
        <f>IF(B360="","",SUM(C360:O360))</f>
        <v/>
      </c>
      <c r="Q360" s="5">
        <f>IF(B360="","",ROUND(P360/13,2))</f>
        <v/>
      </c>
      <c r="R360" s="5">
        <f>IF(B360="","",IF(AH360=1,0,MIN(5,ROUND((U360+V360+W360+X360+Y360+Z360+AA360+AB360+AC360+AD360+AE360+AF360+AG360)/13,2))))</f>
        <v/>
      </c>
      <c r="S360" s="3">
        <f>IF(B360="","",IF(R360&gt;=5,"A+",IF(R360&gt;=4,"A",IF(R360&gt;=3.5,"A-",IF(R360&gt;=3,"B",IF(R360&gt;=2,"C",IF(R360&gt;=1,"D","F")))))))</f>
        <v/>
      </c>
      <c r="T360" s="3">
        <f>IF(OR(B360="",S360="F"),"",COUNTIFS(P:P,"&gt;"&amp;P360,S:S,"&lt;&gt;F")+1)</f>
        <v/>
      </c>
      <c r="U360">
        <f>IF(B360="","",IF(C360&lt;33.0,0,IF(C360&gt;=100*0.8,5,IF(C360&gt;=100*0.7,4,IF(C360&gt;=100*0.6,3.5,IF(C360&gt;=100*0.5,3,IF(C360&gt;=100*0.4,2,IF(C360&gt;=100*0.33,1,0))))))))</f>
        <v/>
      </c>
      <c r="V360">
        <f>IF(B360="","",IF(D360&lt;33.0,0,IF(D360&gt;=100*0.8,5,IF(D360&gt;=100*0.7,4,IF(D360&gt;=100*0.6,3.5,IF(D360&gt;=100*0.5,3,IF(D360&gt;=100*0.4,2,IF(D360&gt;=100*0.33,1,0))))))))</f>
        <v/>
      </c>
      <c r="W360">
        <f>IF(B360="","",IF(E360&lt;16.5,0,IF(E360&gt;=50*0.8,5,IF(E360&gt;=50*0.7,4,IF(E360&gt;=50*0.6,3.5,IF(E360&gt;=50*0.5,3,IF(E360&gt;=50*0.4,2,IF(E360&gt;=50*0.33,1,0))))))))</f>
        <v/>
      </c>
      <c r="X360">
        <f>IF(B360="","",IF(F360&lt;33.0,0,IF(F360&gt;=100*0.8,5,IF(F360&gt;=100*0.7,4,IF(F360&gt;=100*0.6,3.5,IF(F360&gt;=100*0.5,3,IF(F360&gt;=100*0.4,2,IF(F360&gt;=100*0.33,1,0))))))))</f>
        <v/>
      </c>
      <c r="Y360">
        <f>IF(B360="","",IF(G360&lt;16.5,0,IF(G360&gt;=50*0.8,5,IF(G360&gt;=50*0.7,4,IF(G360&gt;=50*0.6,3.5,IF(G360&gt;=50*0.5,3,IF(G360&gt;=50*0.4,2,IF(G360&gt;=50*0.33,1,0))))))))</f>
        <v/>
      </c>
      <c r="Z360">
        <f>IF(B360="","",IF(H360&lt;33.0,0,IF(H360&gt;=100*0.8,5,IF(H360&gt;=100*0.7,4,IF(H360&gt;=100*0.6,3.5,IF(H360&gt;=100*0.5,3,IF(H360&gt;=100*0.4,2,IF(H360&gt;=100*0.33,1,0))))))))</f>
        <v/>
      </c>
      <c r="AA360">
        <f>IF(B360="","",IF(I360&lt;33.0,0,IF(I360&gt;=100*0.8,5,IF(I360&gt;=100*0.7,4,IF(I360&gt;=100*0.6,3.5,IF(I360&gt;=100*0.5,3,IF(I360&gt;=100*0.4,2,IF(I360&gt;=100*0.33,1,0))))))))</f>
        <v/>
      </c>
      <c r="AB360">
        <f>IF(B360="","",IF(J360&lt;33.0,0,IF(J360&gt;=100*0.8,5,IF(J360&gt;=100*0.7,4,IF(J360&gt;=100*0.6,3.5,IF(J360&gt;=100*0.5,3,IF(J360&gt;=100*0.4,2,IF(J360&gt;=100*0.33,1,0))))))))</f>
        <v/>
      </c>
      <c r="AC360">
        <f>IF(B360="","",IF(K360&lt;33.0,0,IF(K360&gt;=100*0.8,5,IF(K360&gt;=100*0.7,4,IF(K360&gt;=100*0.6,3.5,IF(K360&gt;=100*0.5,3,IF(K360&gt;=100*0.4,2,IF(K360&gt;=100*0.33,1,0))))))))</f>
        <v/>
      </c>
      <c r="AD360">
        <f>IF(B360="","",IF(L360&lt;33.0,0,IF(L360&gt;=100*0.8,5,IF(L360&gt;=100*0.7,4,IF(L360&gt;=100*0.6,3.5,IF(L360&gt;=100*0.5,3,IF(L360&gt;=100*0.4,2,IF(L360&gt;=100*0.33,1,0))))))))</f>
        <v/>
      </c>
      <c r="AE360">
        <f>IF(B360="","",IF(M360&lt;33.0,0,IF(M360&gt;=100*0.8,5,IF(M360&gt;=100*0.7,4,IF(M360&gt;=100*0.6,3.5,IF(M360&gt;=100*0.5,3,IF(M360&gt;=100*0.4,2,IF(M360&gt;=100*0.33,1,0))))))))</f>
        <v/>
      </c>
      <c r="AF360">
        <f>IF(B360="","",IF(N360&lt;16.5,0,IF(N360&gt;=50*0.8,5,IF(N360&gt;=50*0.7,4,IF(N360&gt;=50*0.6,3.5,IF(N360&gt;=50*0.5,3,IF(N360&gt;=50*0.4,2,IF(N360&gt;=50*0.33,1,0))))))))</f>
        <v/>
      </c>
      <c r="AG360">
        <f>IF(B360="","",IF(O360&lt;33.0,0,IF(O360&gt;=100*0.8,5,IF(O360&gt;=100*0.7,4,IF(O360&gt;=100*0.6,3.5,IF(O360&gt;=100*0.5,3,IF(O360&gt;=100*0.4,2,IF(O360&gt;=100*0.33,1,0))))))))</f>
        <v/>
      </c>
      <c r="AH360">
        <f>IF(B360="","",IF(OR(U360=0,V360=0,W360=0,X360=0,Y360=0,Z360=0,AA360=0,AB360=0,AC360=0,AD360=0,AE360=0,AF360=0,AG360=0),1,0))</f>
        <v/>
      </c>
    </row>
    <row r="361">
      <c r="A361" s="3">
        <f>IF(B361="","",ROW()-2)</f>
        <v/>
      </c>
      <c r="P361" s="4">
        <f>IF(B361="","",SUM(C361:O361))</f>
        <v/>
      </c>
      <c r="Q361" s="5">
        <f>IF(B361="","",ROUND(P361/13,2))</f>
        <v/>
      </c>
      <c r="R361" s="5">
        <f>IF(B361="","",IF(AH361=1,0,MIN(5,ROUND((U361+V361+W361+X361+Y361+Z361+AA361+AB361+AC361+AD361+AE361+AF361+AG361)/13,2))))</f>
        <v/>
      </c>
      <c r="S361" s="3">
        <f>IF(B361="","",IF(R361&gt;=5,"A+",IF(R361&gt;=4,"A",IF(R361&gt;=3.5,"A-",IF(R361&gt;=3,"B",IF(R361&gt;=2,"C",IF(R361&gt;=1,"D","F")))))))</f>
        <v/>
      </c>
      <c r="T361" s="3">
        <f>IF(OR(B361="",S361="F"),"",COUNTIFS(P:P,"&gt;"&amp;P361,S:S,"&lt;&gt;F")+1)</f>
        <v/>
      </c>
      <c r="U361">
        <f>IF(B361="","",IF(C361&lt;33.0,0,IF(C361&gt;=100*0.8,5,IF(C361&gt;=100*0.7,4,IF(C361&gt;=100*0.6,3.5,IF(C361&gt;=100*0.5,3,IF(C361&gt;=100*0.4,2,IF(C361&gt;=100*0.33,1,0))))))))</f>
        <v/>
      </c>
      <c r="V361">
        <f>IF(B361="","",IF(D361&lt;33.0,0,IF(D361&gt;=100*0.8,5,IF(D361&gt;=100*0.7,4,IF(D361&gt;=100*0.6,3.5,IF(D361&gt;=100*0.5,3,IF(D361&gt;=100*0.4,2,IF(D361&gt;=100*0.33,1,0))))))))</f>
        <v/>
      </c>
      <c r="W361">
        <f>IF(B361="","",IF(E361&lt;16.5,0,IF(E361&gt;=50*0.8,5,IF(E361&gt;=50*0.7,4,IF(E361&gt;=50*0.6,3.5,IF(E361&gt;=50*0.5,3,IF(E361&gt;=50*0.4,2,IF(E361&gt;=50*0.33,1,0))))))))</f>
        <v/>
      </c>
      <c r="X361">
        <f>IF(B361="","",IF(F361&lt;33.0,0,IF(F361&gt;=100*0.8,5,IF(F361&gt;=100*0.7,4,IF(F361&gt;=100*0.6,3.5,IF(F361&gt;=100*0.5,3,IF(F361&gt;=100*0.4,2,IF(F361&gt;=100*0.33,1,0))))))))</f>
        <v/>
      </c>
      <c r="Y361">
        <f>IF(B361="","",IF(G361&lt;16.5,0,IF(G361&gt;=50*0.8,5,IF(G361&gt;=50*0.7,4,IF(G361&gt;=50*0.6,3.5,IF(G361&gt;=50*0.5,3,IF(G361&gt;=50*0.4,2,IF(G361&gt;=50*0.33,1,0))))))))</f>
        <v/>
      </c>
      <c r="Z361">
        <f>IF(B361="","",IF(H361&lt;33.0,0,IF(H361&gt;=100*0.8,5,IF(H361&gt;=100*0.7,4,IF(H361&gt;=100*0.6,3.5,IF(H361&gt;=100*0.5,3,IF(H361&gt;=100*0.4,2,IF(H361&gt;=100*0.33,1,0))))))))</f>
        <v/>
      </c>
      <c r="AA361">
        <f>IF(B361="","",IF(I361&lt;33.0,0,IF(I361&gt;=100*0.8,5,IF(I361&gt;=100*0.7,4,IF(I361&gt;=100*0.6,3.5,IF(I361&gt;=100*0.5,3,IF(I361&gt;=100*0.4,2,IF(I361&gt;=100*0.33,1,0))))))))</f>
        <v/>
      </c>
      <c r="AB361">
        <f>IF(B361="","",IF(J361&lt;33.0,0,IF(J361&gt;=100*0.8,5,IF(J361&gt;=100*0.7,4,IF(J361&gt;=100*0.6,3.5,IF(J361&gt;=100*0.5,3,IF(J361&gt;=100*0.4,2,IF(J361&gt;=100*0.33,1,0))))))))</f>
        <v/>
      </c>
      <c r="AC361">
        <f>IF(B361="","",IF(K361&lt;33.0,0,IF(K361&gt;=100*0.8,5,IF(K361&gt;=100*0.7,4,IF(K361&gt;=100*0.6,3.5,IF(K361&gt;=100*0.5,3,IF(K361&gt;=100*0.4,2,IF(K361&gt;=100*0.33,1,0))))))))</f>
        <v/>
      </c>
      <c r="AD361">
        <f>IF(B361="","",IF(L361&lt;33.0,0,IF(L361&gt;=100*0.8,5,IF(L361&gt;=100*0.7,4,IF(L361&gt;=100*0.6,3.5,IF(L361&gt;=100*0.5,3,IF(L361&gt;=100*0.4,2,IF(L361&gt;=100*0.33,1,0))))))))</f>
        <v/>
      </c>
      <c r="AE361">
        <f>IF(B361="","",IF(M361&lt;33.0,0,IF(M361&gt;=100*0.8,5,IF(M361&gt;=100*0.7,4,IF(M361&gt;=100*0.6,3.5,IF(M361&gt;=100*0.5,3,IF(M361&gt;=100*0.4,2,IF(M361&gt;=100*0.33,1,0))))))))</f>
        <v/>
      </c>
      <c r="AF361">
        <f>IF(B361="","",IF(N361&lt;16.5,0,IF(N361&gt;=50*0.8,5,IF(N361&gt;=50*0.7,4,IF(N361&gt;=50*0.6,3.5,IF(N361&gt;=50*0.5,3,IF(N361&gt;=50*0.4,2,IF(N361&gt;=50*0.33,1,0))))))))</f>
        <v/>
      </c>
      <c r="AG361">
        <f>IF(B361="","",IF(O361&lt;33.0,0,IF(O361&gt;=100*0.8,5,IF(O361&gt;=100*0.7,4,IF(O361&gt;=100*0.6,3.5,IF(O361&gt;=100*0.5,3,IF(O361&gt;=100*0.4,2,IF(O361&gt;=100*0.33,1,0))))))))</f>
        <v/>
      </c>
      <c r="AH361">
        <f>IF(B361="","",IF(OR(U361=0,V361=0,W361=0,X361=0,Y361=0,Z361=0,AA361=0,AB361=0,AC361=0,AD361=0,AE361=0,AF361=0,AG361=0),1,0))</f>
        <v/>
      </c>
    </row>
    <row r="362">
      <c r="A362" s="3">
        <f>IF(B362="","",ROW()-2)</f>
        <v/>
      </c>
      <c r="P362" s="4">
        <f>IF(B362="","",SUM(C362:O362))</f>
        <v/>
      </c>
      <c r="Q362" s="5">
        <f>IF(B362="","",ROUND(P362/13,2))</f>
        <v/>
      </c>
      <c r="R362" s="5">
        <f>IF(B362="","",IF(AH362=1,0,MIN(5,ROUND((U362+V362+W362+X362+Y362+Z362+AA362+AB362+AC362+AD362+AE362+AF362+AG362)/13,2))))</f>
        <v/>
      </c>
      <c r="S362" s="3">
        <f>IF(B362="","",IF(R362&gt;=5,"A+",IF(R362&gt;=4,"A",IF(R362&gt;=3.5,"A-",IF(R362&gt;=3,"B",IF(R362&gt;=2,"C",IF(R362&gt;=1,"D","F")))))))</f>
        <v/>
      </c>
      <c r="T362" s="3">
        <f>IF(OR(B362="",S362="F"),"",COUNTIFS(P:P,"&gt;"&amp;P362,S:S,"&lt;&gt;F")+1)</f>
        <v/>
      </c>
      <c r="U362">
        <f>IF(B362="","",IF(C362&lt;33.0,0,IF(C362&gt;=100*0.8,5,IF(C362&gt;=100*0.7,4,IF(C362&gt;=100*0.6,3.5,IF(C362&gt;=100*0.5,3,IF(C362&gt;=100*0.4,2,IF(C362&gt;=100*0.33,1,0))))))))</f>
        <v/>
      </c>
      <c r="V362">
        <f>IF(B362="","",IF(D362&lt;33.0,0,IF(D362&gt;=100*0.8,5,IF(D362&gt;=100*0.7,4,IF(D362&gt;=100*0.6,3.5,IF(D362&gt;=100*0.5,3,IF(D362&gt;=100*0.4,2,IF(D362&gt;=100*0.33,1,0))))))))</f>
        <v/>
      </c>
      <c r="W362">
        <f>IF(B362="","",IF(E362&lt;16.5,0,IF(E362&gt;=50*0.8,5,IF(E362&gt;=50*0.7,4,IF(E362&gt;=50*0.6,3.5,IF(E362&gt;=50*0.5,3,IF(E362&gt;=50*0.4,2,IF(E362&gt;=50*0.33,1,0))))))))</f>
        <v/>
      </c>
      <c r="X362">
        <f>IF(B362="","",IF(F362&lt;33.0,0,IF(F362&gt;=100*0.8,5,IF(F362&gt;=100*0.7,4,IF(F362&gt;=100*0.6,3.5,IF(F362&gt;=100*0.5,3,IF(F362&gt;=100*0.4,2,IF(F362&gt;=100*0.33,1,0))))))))</f>
        <v/>
      </c>
      <c r="Y362">
        <f>IF(B362="","",IF(G362&lt;16.5,0,IF(G362&gt;=50*0.8,5,IF(G362&gt;=50*0.7,4,IF(G362&gt;=50*0.6,3.5,IF(G362&gt;=50*0.5,3,IF(G362&gt;=50*0.4,2,IF(G362&gt;=50*0.33,1,0))))))))</f>
        <v/>
      </c>
      <c r="Z362">
        <f>IF(B362="","",IF(H362&lt;33.0,0,IF(H362&gt;=100*0.8,5,IF(H362&gt;=100*0.7,4,IF(H362&gt;=100*0.6,3.5,IF(H362&gt;=100*0.5,3,IF(H362&gt;=100*0.4,2,IF(H362&gt;=100*0.33,1,0))))))))</f>
        <v/>
      </c>
      <c r="AA362">
        <f>IF(B362="","",IF(I362&lt;33.0,0,IF(I362&gt;=100*0.8,5,IF(I362&gt;=100*0.7,4,IF(I362&gt;=100*0.6,3.5,IF(I362&gt;=100*0.5,3,IF(I362&gt;=100*0.4,2,IF(I362&gt;=100*0.33,1,0))))))))</f>
        <v/>
      </c>
      <c r="AB362">
        <f>IF(B362="","",IF(J362&lt;33.0,0,IF(J362&gt;=100*0.8,5,IF(J362&gt;=100*0.7,4,IF(J362&gt;=100*0.6,3.5,IF(J362&gt;=100*0.5,3,IF(J362&gt;=100*0.4,2,IF(J362&gt;=100*0.33,1,0))))))))</f>
        <v/>
      </c>
      <c r="AC362">
        <f>IF(B362="","",IF(K362&lt;33.0,0,IF(K362&gt;=100*0.8,5,IF(K362&gt;=100*0.7,4,IF(K362&gt;=100*0.6,3.5,IF(K362&gt;=100*0.5,3,IF(K362&gt;=100*0.4,2,IF(K362&gt;=100*0.33,1,0))))))))</f>
        <v/>
      </c>
      <c r="AD362">
        <f>IF(B362="","",IF(L362&lt;33.0,0,IF(L362&gt;=100*0.8,5,IF(L362&gt;=100*0.7,4,IF(L362&gt;=100*0.6,3.5,IF(L362&gt;=100*0.5,3,IF(L362&gt;=100*0.4,2,IF(L362&gt;=100*0.33,1,0))))))))</f>
        <v/>
      </c>
      <c r="AE362">
        <f>IF(B362="","",IF(M362&lt;33.0,0,IF(M362&gt;=100*0.8,5,IF(M362&gt;=100*0.7,4,IF(M362&gt;=100*0.6,3.5,IF(M362&gt;=100*0.5,3,IF(M362&gt;=100*0.4,2,IF(M362&gt;=100*0.33,1,0))))))))</f>
        <v/>
      </c>
      <c r="AF362">
        <f>IF(B362="","",IF(N362&lt;16.5,0,IF(N362&gt;=50*0.8,5,IF(N362&gt;=50*0.7,4,IF(N362&gt;=50*0.6,3.5,IF(N362&gt;=50*0.5,3,IF(N362&gt;=50*0.4,2,IF(N362&gt;=50*0.33,1,0))))))))</f>
        <v/>
      </c>
      <c r="AG362">
        <f>IF(B362="","",IF(O362&lt;33.0,0,IF(O362&gt;=100*0.8,5,IF(O362&gt;=100*0.7,4,IF(O362&gt;=100*0.6,3.5,IF(O362&gt;=100*0.5,3,IF(O362&gt;=100*0.4,2,IF(O362&gt;=100*0.33,1,0))))))))</f>
        <v/>
      </c>
      <c r="AH362">
        <f>IF(B362="","",IF(OR(U362=0,V362=0,W362=0,X362=0,Y362=0,Z362=0,AA362=0,AB362=0,AC362=0,AD362=0,AE362=0,AF362=0,AG362=0),1,0))</f>
        <v/>
      </c>
    </row>
    <row r="363">
      <c r="A363" s="3">
        <f>IF(B363="","",ROW()-2)</f>
        <v/>
      </c>
      <c r="P363" s="4">
        <f>IF(B363="","",SUM(C363:O363))</f>
        <v/>
      </c>
      <c r="Q363" s="5">
        <f>IF(B363="","",ROUND(P363/13,2))</f>
        <v/>
      </c>
      <c r="R363" s="5">
        <f>IF(B363="","",IF(AH363=1,0,MIN(5,ROUND((U363+V363+W363+X363+Y363+Z363+AA363+AB363+AC363+AD363+AE363+AF363+AG363)/13,2))))</f>
        <v/>
      </c>
      <c r="S363" s="3">
        <f>IF(B363="","",IF(R363&gt;=5,"A+",IF(R363&gt;=4,"A",IF(R363&gt;=3.5,"A-",IF(R363&gt;=3,"B",IF(R363&gt;=2,"C",IF(R363&gt;=1,"D","F")))))))</f>
        <v/>
      </c>
      <c r="T363" s="3">
        <f>IF(OR(B363="",S363="F"),"",COUNTIFS(P:P,"&gt;"&amp;P363,S:S,"&lt;&gt;F")+1)</f>
        <v/>
      </c>
      <c r="U363">
        <f>IF(B363="","",IF(C363&lt;33.0,0,IF(C363&gt;=100*0.8,5,IF(C363&gt;=100*0.7,4,IF(C363&gt;=100*0.6,3.5,IF(C363&gt;=100*0.5,3,IF(C363&gt;=100*0.4,2,IF(C363&gt;=100*0.33,1,0))))))))</f>
        <v/>
      </c>
      <c r="V363">
        <f>IF(B363="","",IF(D363&lt;33.0,0,IF(D363&gt;=100*0.8,5,IF(D363&gt;=100*0.7,4,IF(D363&gt;=100*0.6,3.5,IF(D363&gt;=100*0.5,3,IF(D363&gt;=100*0.4,2,IF(D363&gt;=100*0.33,1,0))))))))</f>
        <v/>
      </c>
      <c r="W363">
        <f>IF(B363="","",IF(E363&lt;16.5,0,IF(E363&gt;=50*0.8,5,IF(E363&gt;=50*0.7,4,IF(E363&gt;=50*0.6,3.5,IF(E363&gt;=50*0.5,3,IF(E363&gt;=50*0.4,2,IF(E363&gt;=50*0.33,1,0))))))))</f>
        <v/>
      </c>
      <c r="X363">
        <f>IF(B363="","",IF(F363&lt;33.0,0,IF(F363&gt;=100*0.8,5,IF(F363&gt;=100*0.7,4,IF(F363&gt;=100*0.6,3.5,IF(F363&gt;=100*0.5,3,IF(F363&gt;=100*0.4,2,IF(F363&gt;=100*0.33,1,0))))))))</f>
        <v/>
      </c>
      <c r="Y363">
        <f>IF(B363="","",IF(G363&lt;16.5,0,IF(G363&gt;=50*0.8,5,IF(G363&gt;=50*0.7,4,IF(G363&gt;=50*0.6,3.5,IF(G363&gt;=50*0.5,3,IF(G363&gt;=50*0.4,2,IF(G363&gt;=50*0.33,1,0))))))))</f>
        <v/>
      </c>
      <c r="Z363">
        <f>IF(B363="","",IF(H363&lt;33.0,0,IF(H363&gt;=100*0.8,5,IF(H363&gt;=100*0.7,4,IF(H363&gt;=100*0.6,3.5,IF(H363&gt;=100*0.5,3,IF(H363&gt;=100*0.4,2,IF(H363&gt;=100*0.33,1,0))))))))</f>
        <v/>
      </c>
      <c r="AA363">
        <f>IF(B363="","",IF(I363&lt;33.0,0,IF(I363&gt;=100*0.8,5,IF(I363&gt;=100*0.7,4,IF(I363&gt;=100*0.6,3.5,IF(I363&gt;=100*0.5,3,IF(I363&gt;=100*0.4,2,IF(I363&gt;=100*0.33,1,0))))))))</f>
        <v/>
      </c>
      <c r="AB363">
        <f>IF(B363="","",IF(J363&lt;33.0,0,IF(J363&gt;=100*0.8,5,IF(J363&gt;=100*0.7,4,IF(J363&gt;=100*0.6,3.5,IF(J363&gt;=100*0.5,3,IF(J363&gt;=100*0.4,2,IF(J363&gt;=100*0.33,1,0))))))))</f>
        <v/>
      </c>
      <c r="AC363">
        <f>IF(B363="","",IF(K363&lt;33.0,0,IF(K363&gt;=100*0.8,5,IF(K363&gt;=100*0.7,4,IF(K363&gt;=100*0.6,3.5,IF(K363&gt;=100*0.5,3,IF(K363&gt;=100*0.4,2,IF(K363&gt;=100*0.33,1,0))))))))</f>
        <v/>
      </c>
      <c r="AD363">
        <f>IF(B363="","",IF(L363&lt;33.0,0,IF(L363&gt;=100*0.8,5,IF(L363&gt;=100*0.7,4,IF(L363&gt;=100*0.6,3.5,IF(L363&gt;=100*0.5,3,IF(L363&gt;=100*0.4,2,IF(L363&gt;=100*0.33,1,0))))))))</f>
        <v/>
      </c>
      <c r="AE363">
        <f>IF(B363="","",IF(M363&lt;33.0,0,IF(M363&gt;=100*0.8,5,IF(M363&gt;=100*0.7,4,IF(M363&gt;=100*0.6,3.5,IF(M363&gt;=100*0.5,3,IF(M363&gt;=100*0.4,2,IF(M363&gt;=100*0.33,1,0))))))))</f>
        <v/>
      </c>
      <c r="AF363">
        <f>IF(B363="","",IF(N363&lt;16.5,0,IF(N363&gt;=50*0.8,5,IF(N363&gt;=50*0.7,4,IF(N363&gt;=50*0.6,3.5,IF(N363&gt;=50*0.5,3,IF(N363&gt;=50*0.4,2,IF(N363&gt;=50*0.33,1,0))))))))</f>
        <v/>
      </c>
      <c r="AG363">
        <f>IF(B363="","",IF(O363&lt;33.0,0,IF(O363&gt;=100*0.8,5,IF(O363&gt;=100*0.7,4,IF(O363&gt;=100*0.6,3.5,IF(O363&gt;=100*0.5,3,IF(O363&gt;=100*0.4,2,IF(O363&gt;=100*0.33,1,0))))))))</f>
        <v/>
      </c>
      <c r="AH363">
        <f>IF(B363="","",IF(OR(U363=0,V363=0,W363=0,X363=0,Y363=0,Z363=0,AA363=0,AB363=0,AC363=0,AD363=0,AE363=0,AF363=0,AG363=0),1,0))</f>
        <v/>
      </c>
    </row>
    <row r="364">
      <c r="A364" s="3">
        <f>IF(B364="","",ROW()-2)</f>
        <v/>
      </c>
      <c r="P364" s="4">
        <f>IF(B364="","",SUM(C364:O364))</f>
        <v/>
      </c>
      <c r="Q364" s="5">
        <f>IF(B364="","",ROUND(P364/13,2))</f>
        <v/>
      </c>
      <c r="R364" s="5">
        <f>IF(B364="","",IF(AH364=1,0,MIN(5,ROUND((U364+V364+W364+X364+Y364+Z364+AA364+AB364+AC364+AD364+AE364+AF364+AG364)/13,2))))</f>
        <v/>
      </c>
      <c r="S364" s="3">
        <f>IF(B364="","",IF(R364&gt;=5,"A+",IF(R364&gt;=4,"A",IF(R364&gt;=3.5,"A-",IF(R364&gt;=3,"B",IF(R364&gt;=2,"C",IF(R364&gt;=1,"D","F")))))))</f>
        <v/>
      </c>
      <c r="T364" s="3">
        <f>IF(OR(B364="",S364="F"),"",COUNTIFS(P:P,"&gt;"&amp;P364,S:S,"&lt;&gt;F")+1)</f>
        <v/>
      </c>
      <c r="U364">
        <f>IF(B364="","",IF(C364&lt;33.0,0,IF(C364&gt;=100*0.8,5,IF(C364&gt;=100*0.7,4,IF(C364&gt;=100*0.6,3.5,IF(C364&gt;=100*0.5,3,IF(C364&gt;=100*0.4,2,IF(C364&gt;=100*0.33,1,0))))))))</f>
        <v/>
      </c>
      <c r="V364">
        <f>IF(B364="","",IF(D364&lt;33.0,0,IF(D364&gt;=100*0.8,5,IF(D364&gt;=100*0.7,4,IF(D364&gt;=100*0.6,3.5,IF(D364&gt;=100*0.5,3,IF(D364&gt;=100*0.4,2,IF(D364&gt;=100*0.33,1,0))))))))</f>
        <v/>
      </c>
      <c r="W364">
        <f>IF(B364="","",IF(E364&lt;16.5,0,IF(E364&gt;=50*0.8,5,IF(E364&gt;=50*0.7,4,IF(E364&gt;=50*0.6,3.5,IF(E364&gt;=50*0.5,3,IF(E364&gt;=50*0.4,2,IF(E364&gt;=50*0.33,1,0))))))))</f>
        <v/>
      </c>
      <c r="X364">
        <f>IF(B364="","",IF(F364&lt;33.0,0,IF(F364&gt;=100*0.8,5,IF(F364&gt;=100*0.7,4,IF(F364&gt;=100*0.6,3.5,IF(F364&gt;=100*0.5,3,IF(F364&gt;=100*0.4,2,IF(F364&gt;=100*0.33,1,0))))))))</f>
        <v/>
      </c>
      <c r="Y364">
        <f>IF(B364="","",IF(G364&lt;16.5,0,IF(G364&gt;=50*0.8,5,IF(G364&gt;=50*0.7,4,IF(G364&gt;=50*0.6,3.5,IF(G364&gt;=50*0.5,3,IF(G364&gt;=50*0.4,2,IF(G364&gt;=50*0.33,1,0))))))))</f>
        <v/>
      </c>
      <c r="Z364">
        <f>IF(B364="","",IF(H364&lt;33.0,0,IF(H364&gt;=100*0.8,5,IF(H364&gt;=100*0.7,4,IF(H364&gt;=100*0.6,3.5,IF(H364&gt;=100*0.5,3,IF(H364&gt;=100*0.4,2,IF(H364&gt;=100*0.33,1,0))))))))</f>
        <v/>
      </c>
      <c r="AA364">
        <f>IF(B364="","",IF(I364&lt;33.0,0,IF(I364&gt;=100*0.8,5,IF(I364&gt;=100*0.7,4,IF(I364&gt;=100*0.6,3.5,IF(I364&gt;=100*0.5,3,IF(I364&gt;=100*0.4,2,IF(I364&gt;=100*0.33,1,0))))))))</f>
        <v/>
      </c>
      <c r="AB364">
        <f>IF(B364="","",IF(J364&lt;33.0,0,IF(J364&gt;=100*0.8,5,IF(J364&gt;=100*0.7,4,IF(J364&gt;=100*0.6,3.5,IF(J364&gt;=100*0.5,3,IF(J364&gt;=100*0.4,2,IF(J364&gt;=100*0.33,1,0))))))))</f>
        <v/>
      </c>
      <c r="AC364">
        <f>IF(B364="","",IF(K364&lt;33.0,0,IF(K364&gt;=100*0.8,5,IF(K364&gt;=100*0.7,4,IF(K364&gt;=100*0.6,3.5,IF(K364&gt;=100*0.5,3,IF(K364&gt;=100*0.4,2,IF(K364&gt;=100*0.33,1,0))))))))</f>
        <v/>
      </c>
      <c r="AD364">
        <f>IF(B364="","",IF(L364&lt;33.0,0,IF(L364&gt;=100*0.8,5,IF(L364&gt;=100*0.7,4,IF(L364&gt;=100*0.6,3.5,IF(L364&gt;=100*0.5,3,IF(L364&gt;=100*0.4,2,IF(L364&gt;=100*0.33,1,0))))))))</f>
        <v/>
      </c>
      <c r="AE364">
        <f>IF(B364="","",IF(M364&lt;33.0,0,IF(M364&gt;=100*0.8,5,IF(M364&gt;=100*0.7,4,IF(M364&gt;=100*0.6,3.5,IF(M364&gt;=100*0.5,3,IF(M364&gt;=100*0.4,2,IF(M364&gt;=100*0.33,1,0))))))))</f>
        <v/>
      </c>
      <c r="AF364">
        <f>IF(B364="","",IF(N364&lt;16.5,0,IF(N364&gt;=50*0.8,5,IF(N364&gt;=50*0.7,4,IF(N364&gt;=50*0.6,3.5,IF(N364&gt;=50*0.5,3,IF(N364&gt;=50*0.4,2,IF(N364&gt;=50*0.33,1,0))))))))</f>
        <v/>
      </c>
      <c r="AG364">
        <f>IF(B364="","",IF(O364&lt;33.0,0,IF(O364&gt;=100*0.8,5,IF(O364&gt;=100*0.7,4,IF(O364&gt;=100*0.6,3.5,IF(O364&gt;=100*0.5,3,IF(O364&gt;=100*0.4,2,IF(O364&gt;=100*0.33,1,0))))))))</f>
        <v/>
      </c>
      <c r="AH364">
        <f>IF(B364="","",IF(OR(U364=0,V364=0,W364=0,X364=0,Y364=0,Z364=0,AA364=0,AB364=0,AC364=0,AD364=0,AE364=0,AF364=0,AG364=0),1,0))</f>
        <v/>
      </c>
    </row>
    <row r="365">
      <c r="A365" s="3">
        <f>IF(B365="","",ROW()-2)</f>
        <v/>
      </c>
      <c r="P365" s="4">
        <f>IF(B365="","",SUM(C365:O365))</f>
        <v/>
      </c>
      <c r="Q365" s="5">
        <f>IF(B365="","",ROUND(P365/13,2))</f>
        <v/>
      </c>
      <c r="R365" s="5">
        <f>IF(B365="","",IF(AH365=1,0,MIN(5,ROUND((U365+V365+W365+X365+Y365+Z365+AA365+AB365+AC365+AD365+AE365+AF365+AG365)/13,2))))</f>
        <v/>
      </c>
      <c r="S365" s="3">
        <f>IF(B365="","",IF(R365&gt;=5,"A+",IF(R365&gt;=4,"A",IF(R365&gt;=3.5,"A-",IF(R365&gt;=3,"B",IF(R365&gt;=2,"C",IF(R365&gt;=1,"D","F")))))))</f>
        <v/>
      </c>
      <c r="T365" s="3">
        <f>IF(OR(B365="",S365="F"),"",COUNTIFS(P:P,"&gt;"&amp;P365,S:S,"&lt;&gt;F")+1)</f>
        <v/>
      </c>
      <c r="U365">
        <f>IF(B365="","",IF(C365&lt;33.0,0,IF(C365&gt;=100*0.8,5,IF(C365&gt;=100*0.7,4,IF(C365&gt;=100*0.6,3.5,IF(C365&gt;=100*0.5,3,IF(C365&gt;=100*0.4,2,IF(C365&gt;=100*0.33,1,0))))))))</f>
        <v/>
      </c>
      <c r="V365">
        <f>IF(B365="","",IF(D365&lt;33.0,0,IF(D365&gt;=100*0.8,5,IF(D365&gt;=100*0.7,4,IF(D365&gt;=100*0.6,3.5,IF(D365&gt;=100*0.5,3,IF(D365&gt;=100*0.4,2,IF(D365&gt;=100*0.33,1,0))))))))</f>
        <v/>
      </c>
      <c r="W365">
        <f>IF(B365="","",IF(E365&lt;16.5,0,IF(E365&gt;=50*0.8,5,IF(E365&gt;=50*0.7,4,IF(E365&gt;=50*0.6,3.5,IF(E365&gt;=50*0.5,3,IF(E365&gt;=50*0.4,2,IF(E365&gt;=50*0.33,1,0))))))))</f>
        <v/>
      </c>
      <c r="X365">
        <f>IF(B365="","",IF(F365&lt;33.0,0,IF(F365&gt;=100*0.8,5,IF(F365&gt;=100*0.7,4,IF(F365&gt;=100*0.6,3.5,IF(F365&gt;=100*0.5,3,IF(F365&gt;=100*0.4,2,IF(F365&gt;=100*0.33,1,0))))))))</f>
        <v/>
      </c>
      <c r="Y365">
        <f>IF(B365="","",IF(G365&lt;16.5,0,IF(G365&gt;=50*0.8,5,IF(G365&gt;=50*0.7,4,IF(G365&gt;=50*0.6,3.5,IF(G365&gt;=50*0.5,3,IF(G365&gt;=50*0.4,2,IF(G365&gt;=50*0.33,1,0))))))))</f>
        <v/>
      </c>
      <c r="Z365">
        <f>IF(B365="","",IF(H365&lt;33.0,0,IF(H365&gt;=100*0.8,5,IF(H365&gt;=100*0.7,4,IF(H365&gt;=100*0.6,3.5,IF(H365&gt;=100*0.5,3,IF(H365&gt;=100*0.4,2,IF(H365&gt;=100*0.33,1,0))))))))</f>
        <v/>
      </c>
      <c r="AA365">
        <f>IF(B365="","",IF(I365&lt;33.0,0,IF(I365&gt;=100*0.8,5,IF(I365&gt;=100*0.7,4,IF(I365&gt;=100*0.6,3.5,IF(I365&gt;=100*0.5,3,IF(I365&gt;=100*0.4,2,IF(I365&gt;=100*0.33,1,0))))))))</f>
        <v/>
      </c>
      <c r="AB365">
        <f>IF(B365="","",IF(J365&lt;33.0,0,IF(J365&gt;=100*0.8,5,IF(J365&gt;=100*0.7,4,IF(J365&gt;=100*0.6,3.5,IF(J365&gt;=100*0.5,3,IF(J365&gt;=100*0.4,2,IF(J365&gt;=100*0.33,1,0))))))))</f>
        <v/>
      </c>
      <c r="AC365">
        <f>IF(B365="","",IF(K365&lt;33.0,0,IF(K365&gt;=100*0.8,5,IF(K365&gt;=100*0.7,4,IF(K365&gt;=100*0.6,3.5,IF(K365&gt;=100*0.5,3,IF(K365&gt;=100*0.4,2,IF(K365&gt;=100*0.33,1,0))))))))</f>
        <v/>
      </c>
      <c r="AD365">
        <f>IF(B365="","",IF(L365&lt;33.0,0,IF(L365&gt;=100*0.8,5,IF(L365&gt;=100*0.7,4,IF(L365&gt;=100*0.6,3.5,IF(L365&gt;=100*0.5,3,IF(L365&gt;=100*0.4,2,IF(L365&gt;=100*0.33,1,0))))))))</f>
        <v/>
      </c>
      <c r="AE365">
        <f>IF(B365="","",IF(M365&lt;33.0,0,IF(M365&gt;=100*0.8,5,IF(M365&gt;=100*0.7,4,IF(M365&gt;=100*0.6,3.5,IF(M365&gt;=100*0.5,3,IF(M365&gt;=100*0.4,2,IF(M365&gt;=100*0.33,1,0))))))))</f>
        <v/>
      </c>
      <c r="AF365">
        <f>IF(B365="","",IF(N365&lt;16.5,0,IF(N365&gt;=50*0.8,5,IF(N365&gt;=50*0.7,4,IF(N365&gt;=50*0.6,3.5,IF(N365&gt;=50*0.5,3,IF(N365&gt;=50*0.4,2,IF(N365&gt;=50*0.33,1,0))))))))</f>
        <v/>
      </c>
      <c r="AG365">
        <f>IF(B365="","",IF(O365&lt;33.0,0,IF(O365&gt;=100*0.8,5,IF(O365&gt;=100*0.7,4,IF(O365&gt;=100*0.6,3.5,IF(O365&gt;=100*0.5,3,IF(O365&gt;=100*0.4,2,IF(O365&gt;=100*0.33,1,0))))))))</f>
        <v/>
      </c>
      <c r="AH365">
        <f>IF(B365="","",IF(OR(U365=0,V365=0,W365=0,X365=0,Y365=0,Z365=0,AA365=0,AB365=0,AC365=0,AD365=0,AE365=0,AF365=0,AG365=0),1,0))</f>
        <v/>
      </c>
    </row>
    <row r="366">
      <c r="A366" s="3">
        <f>IF(B366="","",ROW()-2)</f>
        <v/>
      </c>
      <c r="P366" s="4">
        <f>IF(B366="","",SUM(C366:O366))</f>
        <v/>
      </c>
      <c r="Q366" s="5">
        <f>IF(B366="","",ROUND(P366/13,2))</f>
        <v/>
      </c>
      <c r="R366" s="5">
        <f>IF(B366="","",IF(AH366=1,0,MIN(5,ROUND((U366+V366+W366+X366+Y366+Z366+AA366+AB366+AC366+AD366+AE366+AF366+AG366)/13,2))))</f>
        <v/>
      </c>
      <c r="S366" s="3">
        <f>IF(B366="","",IF(R366&gt;=5,"A+",IF(R366&gt;=4,"A",IF(R366&gt;=3.5,"A-",IF(R366&gt;=3,"B",IF(R366&gt;=2,"C",IF(R366&gt;=1,"D","F")))))))</f>
        <v/>
      </c>
      <c r="T366" s="3">
        <f>IF(OR(B366="",S366="F"),"",COUNTIFS(P:P,"&gt;"&amp;P366,S:S,"&lt;&gt;F")+1)</f>
        <v/>
      </c>
      <c r="U366">
        <f>IF(B366="","",IF(C366&lt;33.0,0,IF(C366&gt;=100*0.8,5,IF(C366&gt;=100*0.7,4,IF(C366&gt;=100*0.6,3.5,IF(C366&gt;=100*0.5,3,IF(C366&gt;=100*0.4,2,IF(C366&gt;=100*0.33,1,0))))))))</f>
        <v/>
      </c>
      <c r="V366">
        <f>IF(B366="","",IF(D366&lt;33.0,0,IF(D366&gt;=100*0.8,5,IF(D366&gt;=100*0.7,4,IF(D366&gt;=100*0.6,3.5,IF(D366&gt;=100*0.5,3,IF(D366&gt;=100*0.4,2,IF(D366&gt;=100*0.33,1,0))))))))</f>
        <v/>
      </c>
      <c r="W366">
        <f>IF(B366="","",IF(E366&lt;16.5,0,IF(E366&gt;=50*0.8,5,IF(E366&gt;=50*0.7,4,IF(E366&gt;=50*0.6,3.5,IF(E366&gt;=50*0.5,3,IF(E366&gt;=50*0.4,2,IF(E366&gt;=50*0.33,1,0))))))))</f>
        <v/>
      </c>
      <c r="X366">
        <f>IF(B366="","",IF(F366&lt;33.0,0,IF(F366&gt;=100*0.8,5,IF(F366&gt;=100*0.7,4,IF(F366&gt;=100*0.6,3.5,IF(F366&gt;=100*0.5,3,IF(F366&gt;=100*0.4,2,IF(F366&gt;=100*0.33,1,0))))))))</f>
        <v/>
      </c>
      <c r="Y366">
        <f>IF(B366="","",IF(G366&lt;16.5,0,IF(G366&gt;=50*0.8,5,IF(G366&gt;=50*0.7,4,IF(G366&gt;=50*0.6,3.5,IF(G366&gt;=50*0.5,3,IF(G366&gt;=50*0.4,2,IF(G366&gt;=50*0.33,1,0))))))))</f>
        <v/>
      </c>
      <c r="Z366">
        <f>IF(B366="","",IF(H366&lt;33.0,0,IF(H366&gt;=100*0.8,5,IF(H366&gt;=100*0.7,4,IF(H366&gt;=100*0.6,3.5,IF(H366&gt;=100*0.5,3,IF(H366&gt;=100*0.4,2,IF(H366&gt;=100*0.33,1,0))))))))</f>
        <v/>
      </c>
      <c r="AA366">
        <f>IF(B366="","",IF(I366&lt;33.0,0,IF(I366&gt;=100*0.8,5,IF(I366&gt;=100*0.7,4,IF(I366&gt;=100*0.6,3.5,IF(I366&gt;=100*0.5,3,IF(I366&gt;=100*0.4,2,IF(I366&gt;=100*0.33,1,0))))))))</f>
        <v/>
      </c>
      <c r="AB366">
        <f>IF(B366="","",IF(J366&lt;33.0,0,IF(J366&gt;=100*0.8,5,IF(J366&gt;=100*0.7,4,IF(J366&gt;=100*0.6,3.5,IF(J366&gt;=100*0.5,3,IF(J366&gt;=100*0.4,2,IF(J366&gt;=100*0.33,1,0))))))))</f>
        <v/>
      </c>
      <c r="AC366">
        <f>IF(B366="","",IF(K366&lt;33.0,0,IF(K366&gt;=100*0.8,5,IF(K366&gt;=100*0.7,4,IF(K366&gt;=100*0.6,3.5,IF(K366&gt;=100*0.5,3,IF(K366&gt;=100*0.4,2,IF(K366&gt;=100*0.33,1,0))))))))</f>
        <v/>
      </c>
      <c r="AD366">
        <f>IF(B366="","",IF(L366&lt;33.0,0,IF(L366&gt;=100*0.8,5,IF(L366&gt;=100*0.7,4,IF(L366&gt;=100*0.6,3.5,IF(L366&gt;=100*0.5,3,IF(L366&gt;=100*0.4,2,IF(L366&gt;=100*0.33,1,0))))))))</f>
        <v/>
      </c>
      <c r="AE366">
        <f>IF(B366="","",IF(M366&lt;33.0,0,IF(M366&gt;=100*0.8,5,IF(M366&gt;=100*0.7,4,IF(M366&gt;=100*0.6,3.5,IF(M366&gt;=100*0.5,3,IF(M366&gt;=100*0.4,2,IF(M366&gt;=100*0.33,1,0))))))))</f>
        <v/>
      </c>
      <c r="AF366">
        <f>IF(B366="","",IF(N366&lt;16.5,0,IF(N366&gt;=50*0.8,5,IF(N366&gt;=50*0.7,4,IF(N366&gt;=50*0.6,3.5,IF(N366&gt;=50*0.5,3,IF(N366&gt;=50*0.4,2,IF(N366&gt;=50*0.33,1,0))))))))</f>
        <v/>
      </c>
      <c r="AG366">
        <f>IF(B366="","",IF(O366&lt;33.0,0,IF(O366&gt;=100*0.8,5,IF(O366&gt;=100*0.7,4,IF(O366&gt;=100*0.6,3.5,IF(O366&gt;=100*0.5,3,IF(O366&gt;=100*0.4,2,IF(O366&gt;=100*0.33,1,0))))))))</f>
        <v/>
      </c>
      <c r="AH366">
        <f>IF(B366="","",IF(OR(U366=0,V366=0,W366=0,X366=0,Y366=0,Z366=0,AA366=0,AB366=0,AC366=0,AD366=0,AE366=0,AF366=0,AG366=0),1,0))</f>
        <v/>
      </c>
    </row>
    <row r="367">
      <c r="A367" s="3">
        <f>IF(B367="","",ROW()-2)</f>
        <v/>
      </c>
      <c r="P367" s="4">
        <f>IF(B367="","",SUM(C367:O367))</f>
        <v/>
      </c>
      <c r="Q367" s="5">
        <f>IF(B367="","",ROUND(P367/13,2))</f>
        <v/>
      </c>
      <c r="R367" s="5">
        <f>IF(B367="","",IF(AH367=1,0,MIN(5,ROUND((U367+V367+W367+X367+Y367+Z367+AA367+AB367+AC367+AD367+AE367+AF367+AG367)/13,2))))</f>
        <v/>
      </c>
      <c r="S367" s="3">
        <f>IF(B367="","",IF(R367&gt;=5,"A+",IF(R367&gt;=4,"A",IF(R367&gt;=3.5,"A-",IF(R367&gt;=3,"B",IF(R367&gt;=2,"C",IF(R367&gt;=1,"D","F")))))))</f>
        <v/>
      </c>
      <c r="T367" s="3">
        <f>IF(OR(B367="",S367="F"),"",COUNTIFS(P:P,"&gt;"&amp;P367,S:S,"&lt;&gt;F")+1)</f>
        <v/>
      </c>
      <c r="U367">
        <f>IF(B367="","",IF(C367&lt;33.0,0,IF(C367&gt;=100*0.8,5,IF(C367&gt;=100*0.7,4,IF(C367&gt;=100*0.6,3.5,IF(C367&gt;=100*0.5,3,IF(C367&gt;=100*0.4,2,IF(C367&gt;=100*0.33,1,0))))))))</f>
        <v/>
      </c>
      <c r="V367">
        <f>IF(B367="","",IF(D367&lt;33.0,0,IF(D367&gt;=100*0.8,5,IF(D367&gt;=100*0.7,4,IF(D367&gt;=100*0.6,3.5,IF(D367&gt;=100*0.5,3,IF(D367&gt;=100*0.4,2,IF(D367&gt;=100*0.33,1,0))))))))</f>
        <v/>
      </c>
      <c r="W367">
        <f>IF(B367="","",IF(E367&lt;16.5,0,IF(E367&gt;=50*0.8,5,IF(E367&gt;=50*0.7,4,IF(E367&gt;=50*0.6,3.5,IF(E367&gt;=50*0.5,3,IF(E367&gt;=50*0.4,2,IF(E367&gt;=50*0.33,1,0))))))))</f>
        <v/>
      </c>
      <c r="X367">
        <f>IF(B367="","",IF(F367&lt;33.0,0,IF(F367&gt;=100*0.8,5,IF(F367&gt;=100*0.7,4,IF(F367&gt;=100*0.6,3.5,IF(F367&gt;=100*0.5,3,IF(F367&gt;=100*0.4,2,IF(F367&gt;=100*0.33,1,0))))))))</f>
        <v/>
      </c>
      <c r="Y367">
        <f>IF(B367="","",IF(G367&lt;16.5,0,IF(G367&gt;=50*0.8,5,IF(G367&gt;=50*0.7,4,IF(G367&gt;=50*0.6,3.5,IF(G367&gt;=50*0.5,3,IF(G367&gt;=50*0.4,2,IF(G367&gt;=50*0.33,1,0))))))))</f>
        <v/>
      </c>
      <c r="Z367">
        <f>IF(B367="","",IF(H367&lt;33.0,0,IF(H367&gt;=100*0.8,5,IF(H367&gt;=100*0.7,4,IF(H367&gt;=100*0.6,3.5,IF(H367&gt;=100*0.5,3,IF(H367&gt;=100*0.4,2,IF(H367&gt;=100*0.33,1,0))))))))</f>
        <v/>
      </c>
      <c r="AA367">
        <f>IF(B367="","",IF(I367&lt;33.0,0,IF(I367&gt;=100*0.8,5,IF(I367&gt;=100*0.7,4,IF(I367&gt;=100*0.6,3.5,IF(I367&gt;=100*0.5,3,IF(I367&gt;=100*0.4,2,IF(I367&gt;=100*0.33,1,0))))))))</f>
        <v/>
      </c>
      <c r="AB367">
        <f>IF(B367="","",IF(J367&lt;33.0,0,IF(J367&gt;=100*0.8,5,IF(J367&gt;=100*0.7,4,IF(J367&gt;=100*0.6,3.5,IF(J367&gt;=100*0.5,3,IF(J367&gt;=100*0.4,2,IF(J367&gt;=100*0.33,1,0))))))))</f>
        <v/>
      </c>
      <c r="AC367">
        <f>IF(B367="","",IF(K367&lt;33.0,0,IF(K367&gt;=100*0.8,5,IF(K367&gt;=100*0.7,4,IF(K367&gt;=100*0.6,3.5,IF(K367&gt;=100*0.5,3,IF(K367&gt;=100*0.4,2,IF(K367&gt;=100*0.33,1,0))))))))</f>
        <v/>
      </c>
      <c r="AD367">
        <f>IF(B367="","",IF(L367&lt;33.0,0,IF(L367&gt;=100*0.8,5,IF(L367&gt;=100*0.7,4,IF(L367&gt;=100*0.6,3.5,IF(L367&gt;=100*0.5,3,IF(L367&gt;=100*0.4,2,IF(L367&gt;=100*0.33,1,0))))))))</f>
        <v/>
      </c>
      <c r="AE367">
        <f>IF(B367="","",IF(M367&lt;33.0,0,IF(M367&gt;=100*0.8,5,IF(M367&gt;=100*0.7,4,IF(M367&gt;=100*0.6,3.5,IF(M367&gt;=100*0.5,3,IF(M367&gt;=100*0.4,2,IF(M367&gt;=100*0.33,1,0))))))))</f>
        <v/>
      </c>
      <c r="AF367">
        <f>IF(B367="","",IF(N367&lt;16.5,0,IF(N367&gt;=50*0.8,5,IF(N367&gt;=50*0.7,4,IF(N367&gt;=50*0.6,3.5,IF(N367&gt;=50*0.5,3,IF(N367&gt;=50*0.4,2,IF(N367&gt;=50*0.33,1,0))))))))</f>
        <v/>
      </c>
      <c r="AG367">
        <f>IF(B367="","",IF(O367&lt;33.0,0,IF(O367&gt;=100*0.8,5,IF(O367&gt;=100*0.7,4,IF(O367&gt;=100*0.6,3.5,IF(O367&gt;=100*0.5,3,IF(O367&gt;=100*0.4,2,IF(O367&gt;=100*0.33,1,0))))))))</f>
        <v/>
      </c>
      <c r="AH367">
        <f>IF(B367="","",IF(OR(U367=0,V367=0,W367=0,X367=0,Y367=0,Z367=0,AA367=0,AB367=0,AC367=0,AD367=0,AE367=0,AF367=0,AG367=0),1,0))</f>
        <v/>
      </c>
    </row>
    <row r="368">
      <c r="A368" s="3">
        <f>IF(B368="","",ROW()-2)</f>
        <v/>
      </c>
      <c r="P368" s="4">
        <f>IF(B368="","",SUM(C368:O368))</f>
        <v/>
      </c>
      <c r="Q368" s="5">
        <f>IF(B368="","",ROUND(P368/13,2))</f>
        <v/>
      </c>
      <c r="R368" s="5">
        <f>IF(B368="","",IF(AH368=1,0,MIN(5,ROUND((U368+V368+W368+X368+Y368+Z368+AA368+AB368+AC368+AD368+AE368+AF368+AG368)/13,2))))</f>
        <v/>
      </c>
      <c r="S368" s="3">
        <f>IF(B368="","",IF(R368&gt;=5,"A+",IF(R368&gt;=4,"A",IF(R368&gt;=3.5,"A-",IF(R368&gt;=3,"B",IF(R368&gt;=2,"C",IF(R368&gt;=1,"D","F")))))))</f>
        <v/>
      </c>
      <c r="T368" s="3">
        <f>IF(OR(B368="",S368="F"),"",COUNTIFS(P:P,"&gt;"&amp;P368,S:S,"&lt;&gt;F")+1)</f>
        <v/>
      </c>
      <c r="U368">
        <f>IF(B368="","",IF(C368&lt;33.0,0,IF(C368&gt;=100*0.8,5,IF(C368&gt;=100*0.7,4,IF(C368&gt;=100*0.6,3.5,IF(C368&gt;=100*0.5,3,IF(C368&gt;=100*0.4,2,IF(C368&gt;=100*0.33,1,0))))))))</f>
        <v/>
      </c>
      <c r="V368">
        <f>IF(B368="","",IF(D368&lt;33.0,0,IF(D368&gt;=100*0.8,5,IF(D368&gt;=100*0.7,4,IF(D368&gt;=100*0.6,3.5,IF(D368&gt;=100*0.5,3,IF(D368&gt;=100*0.4,2,IF(D368&gt;=100*0.33,1,0))))))))</f>
        <v/>
      </c>
      <c r="W368">
        <f>IF(B368="","",IF(E368&lt;16.5,0,IF(E368&gt;=50*0.8,5,IF(E368&gt;=50*0.7,4,IF(E368&gt;=50*0.6,3.5,IF(E368&gt;=50*0.5,3,IF(E368&gt;=50*0.4,2,IF(E368&gt;=50*0.33,1,0))))))))</f>
        <v/>
      </c>
      <c r="X368">
        <f>IF(B368="","",IF(F368&lt;33.0,0,IF(F368&gt;=100*0.8,5,IF(F368&gt;=100*0.7,4,IF(F368&gt;=100*0.6,3.5,IF(F368&gt;=100*0.5,3,IF(F368&gt;=100*0.4,2,IF(F368&gt;=100*0.33,1,0))))))))</f>
        <v/>
      </c>
      <c r="Y368">
        <f>IF(B368="","",IF(G368&lt;16.5,0,IF(G368&gt;=50*0.8,5,IF(G368&gt;=50*0.7,4,IF(G368&gt;=50*0.6,3.5,IF(G368&gt;=50*0.5,3,IF(G368&gt;=50*0.4,2,IF(G368&gt;=50*0.33,1,0))))))))</f>
        <v/>
      </c>
      <c r="Z368">
        <f>IF(B368="","",IF(H368&lt;33.0,0,IF(H368&gt;=100*0.8,5,IF(H368&gt;=100*0.7,4,IF(H368&gt;=100*0.6,3.5,IF(H368&gt;=100*0.5,3,IF(H368&gt;=100*0.4,2,IF(H368&gt;=100*0.33,1,0))))))))</f>
        <v/>
      </c>
      <c r="AA368">
        <f>IF(B368="","",IF(I368&lt;33.0,0,IF(I368&gt;=100*0.8,5,IF(I368&gt;=100*0.7,4,IF(I368&gt;=100*0.6,3.5,IF(I368&gt;=100*0.5,3,IF(I368&gt;=100*0.4,2,IF(I368&gt;=100*0.33,1,0))))))))</f>
        <v/>
      </c>
      <c r="AB368">
        <f>IF(B368="","",IF(J368&lt;33.0,0,IF(J368&gt;=100*0.8,5,IF(J368&gt;=100*0.7,4,IF(J368&gt;=100*0.6,3.5,IF(J368&gt;=100*0.5,3,IF(J368&gt;=100*0.4,2,IF(J368&gt;=100*0.33,1,0))))))))</f>
        <v/>
      </c>
      <c r="AC368">
        <f>IF(B368="","",IF(K368&lt;33.0,0,IF(K368&gt;=100*0.8,5,IF(K368&gt;=100*0.7,4,IF(K368&gt;=100*0.6,3.5,IF(K368&gt;=100*0.5,3,IF(K368&gt;=100*0.4,2,IF(K368&gt;=100*0.33,1,0))))))))</f>
        <v/>
      </c>
      <c r="AD368">
        <f>IF(B368="","",IF(L368&lt;33.0,0,IF(L368&gt;=100*0.8,5,IF(L368&gt;=100*0.7,4,IF(L368&gt;=100*0.6,3.5,IF(L368&gt;=100*0.5,3,IF(L368&gt;=100*0.4,2,IF(L368&gt;=100*0.33,1,0))))))))</f>
        <v/>
      </c>
      <c r="AE368">
        <f>IF(B368="","",IF(M368&lt;33.0,0,IF(M368&gt;=100*0.8,5,IF(M368&gt;=100*0.7,4,IF(M368&gt;=100*0.6,3.5,IF(M368&gt;=100*0.5,3,IF(M368&gt;=100*0.4,2,IF(M368&gt;=100*0.33,1,0))))))))</f>
        <v/>
      </c>
      <c r="AF368">
        <f>IF(B368="","",IF(N368&lt;16.5,0,IF(N368&gt;=50*0.8,5,IF(N368&gt;=50*0.7,4,IF(N368&gt;=50*0.6,3.5,IF(N368&gt;=50*0.5,3,IF(N368&gt;=50*0.4,2,IF(N368&gt;=50*0.33,1,0))))))))</f>
        <v/>
      </c>
      <c r="AG368">
        <f>IF(B368="","",IF(O368&lt;33.0,0,IF(O368&gt;=100*0.8,5,IF(O368&gt;=100*0.7,4,IF(O368&gt;=100*0.6,3.5,IF(O368&gt;=100*0.5,3,IF(O368&gt;=100*0.4,2,IF(O368&gt;=100*0.33,1,0))))))))</f>
        <v/>
      </c>
      <c r="AH368">
        <f>IF(B368="","",IF(OR(U368=0,V368=0,W368=0,X368=0,Y368=0,Z368=0,AA368=0,AB368=0,AC368=0,AD368=0,AE368=0,AF368=0,AG368=0),1,0))</f>
        <v/>
      </c>
    </row>
    <row r="369">
      <c r="A369" s="3">
        <f>IF(B369="","",ROW()-2)</f>
        <v/>
      </c>
      <c r="P369" s="4">
        <f>IF(B369="","",SUM(C369:O369))</f>
        <v/>
      </c>
      <c r="Q369" s="5">
        <f>IF(B369="","",ROUND(P369/13,2))</f>
        <v/>
      </c>
      <c r="R369" s="5">
        <f>IF(B369="","",IF(AH369=1,0,MIN(5,ROUND((U369+V369+W369+X369+Y369+Z369+AA369+AB369+AC369+AD369+AE369+AF369+AG369)/13,2))))</f>
        <v/>
      </c>
      <c r="S369" s="3">
        <f>IF(B369="","",IF(R369&gt;=5,"A+",IF(R369&gt;=4,"A",IF(R369&gt;=3.5,"A-",IF(R369&gt;=3,"B",IF(R369&gt;=2,"C",IF(R369&gt;=1,"D","F")))))))</f>
        <v/>
      </c>
      <c r="T369" s="3">
        <f>IF(OR(B369="",S369="F"),"",COUNTIFS(P:P,"&gt;"&amp;P369,S:S,"&lt;&gt;F")+1)</f>
        <v/>
      </c>
      <c r="U369">
        <f>IF(B369="","",IF(C369&lt;33.0,0,IF(C369&gt;=100*0.8,5,IF(C369&gt;=100*0.7,4,IF(C369&gt;=100*0.6,3.5,IF(C369&gt;=100*0.5,3,IF(C369&gt;=100*0.4,2,IF(C369&gt;=100*0.33,1,0))))))))</f>
        <v/>
      </c>
      <c r="V369">
        <f>IF(B369="","",IF(D369&lt;33.0,0,IF(D369&gt;=100*0.8,5,IF(D369&gt;=100*0.7,4,IF(D369&gt;=100*0.6,3.5,IF(D369&gt;=100*0.5,3,IF(D369&gt;=100*0.4,2,IF(D369&gt;=100*0.33,1,0))))))))</f>
        <v/>
      </c>
      <c r="W369">
        <f>IF(B369="","",IF(E369&lt;16.5,0,IF(E369&gt;=50*0.8,5,IF(E369&gt;=50*0.7,4,IF(E369&gt;=50*0.6,3.5,IF(E369&gt;=50*0.5,3,IF(E369&gt;=50*0.4,2,IF(E369&gt;=50*0.33,1,0))))))))</f>
        <v/>
      </c>
      <c r="X369">
        <f>IF(B369="","",IF(F369&lt;33.0,0,IF(F369&gt;=100*0.8,5,IF(F369&gt;=100*0.7,4,IF(F369&gt;=100*0.6,3.5,IF(F369&gt;=100*0.5,3,IF(F369&gt;=100*0.4,2,IF(F369&gt;=100*0.33,1,0))))))))</f>
        <v/>
      </c>
      <c r="Y369">
        <f>IF(B369="","",IF(G369&lt;16.5,0,IF(G369&gt;=50*0.8,5,IF(G369&gt;=50*0.7,4,IF(G369&gt;=50*0.6,3.5,IF(G369&gt;=50*0.5,3,IF(G369&gt;=50*0.4,2,IF(G369&gt;=50*0.33,1,0))))))))</f>
        <v/>
      </c>
      <c r="Z369">
        <f>IF(B369="","",IF(H369&lt;33.0,0,IF(H369&gt;=100*0.8,5,IF(H369&gt;=100*0.7,4,IF(H369&gt;=100*0.6,3.5,IF(H369&gt;=100*0.5,3,IF(H369&gt;=100*0.4,2,IF(H369&gt;=100*0.33,1,0))))))))</f>
        <v/>
      </c>
      <c r="AA369">
        <f>IF(B369="","",IF(I369&lt;33.0,0,IF(I369&gt;=100*0.8,5,IF(I369&gt;=100*0.7,4,IF(I369&gt;=100*0.6,3.5,IF(I369&gt;=100*0.5,3,IF(I369&gt;=100*0.4,2,IF(I369&gt;=100*0.33,1,0))))))))</f>
        <v/>
      </c>
      <c r="AB369">
        <f>IF(B369="","",IF(J369&lt;33.0,0,IF(J369&gt;=100*0.8,5,IF(J369&gt;=100*0.7,4,IF(J369&gt;=100*0.6,3.5,IF(J369&gt;=100*0.5,3,IF(J369&gt;=100*0.4,2,IF(J369&gt;=100*0.33,1,0))))))))</f>
        <v/>
      </c>
      <c r="AC369">
        <f>IF(B369="","",IF(K369&lt;33.0,0,IF(K369&gt;=100*0.8,5,IF(K369&gt;=100*0.7,4,IF(K369&gt;=100*0.6,3.5,IF(K369&gt;=100*0.5,3,IF(K369&gt;=100*0.4,2,IF(K369&gt;=100*0.33,1,0))))))))</f>
        <v/>
      </c>
      <c r="AD369">
        <f>IF(B369="","",IF(L369&lt;33.0,0,IF(L369&gt;=100*0.8,5,IF(L369&gt;=100*0.7,4,IF(L369&gt;=100*0.6,3.5,IF(L369&gt;=100*0.5,3,IF(L369&gt;=100*0.4,2,IF(L369&gt;=100*0.33,1,0))))))))</f>
        <v/>
      </c>
      <c r="AE369">
        <f>IF(B369="","",IF(M369&lt;33.0,0,IF(M369&gt;=100*0.8,5,IF(M369&gt;=100*0.7,4,IF(M369&gt;=100*0.6,3.5,IF(M369&gt;=100*0.5,3,IF(M369&gt;=100*0.4,2,IF(M369&gt;=100*0.33,1,0))))))))</f>
        <v/>
      </c>
      <c r="AF369">
        <f>IF(B369="","",IF(N369&lt;16.5,0,IF(N369&gt;=50*0.8,5,IF(N369&gt;=50*0.7,4,IF(N369&gt;=50*0.6,3.5,IF(N369&gt;=50*0.5,3,IF(N369&gt;=50*0.4,2,IF(N369&gt;=50*0.33,1,0))))))))</f>
        <v/>
      </c>
      <c r="AG369">
        <f>IF(B369="","",IF(O369&lt;33.0,0,IF(O369&gt;=100*0.8,5,IF(O369&gt;=100*0.7,4,IF(O369&gt;=100*0.6,3.5,IF(O369&gt;=100*0.5,3,IF(O369&gt;=100*0.4,2,IF(O369&gt;=100*0.33,1,0))))))))</f>
        <v/>
      </c>
      <c r="AH369">
        <f>IF(B369="","",IF(OR(U369=0,V369=0,W369=0,X369=0,Y369=0,Z369=0,AA369=0,AB369=0,AC369=0,AD369=0,AE369=0,AF369=0,AG369=0),1,0))</f>
        <v/>
      </c>
    </row>
    <row r="370">
      <c r="A370" s="3">
        <f>IF(B370="","",ROW()-2)</f>
        <v/>
      </c>
      <c r="P370" s="4">
        <f>IF(B370="","",SUM(C370:O370))</f>
        <v/>
      </c>
      <c r="Q370" s="5">
        <f>IF(B370="","",ROUND(P370/13,2))</f>
        <v/>
      </c>
      <c r="R370" s="5">
        <f>IF(B370="","",IF(AH370=1,0,MIN(5,ROUND((U370+V370+W370+X370+Y370+Z370+AA370+AB370+AC370+AD370+AE370+AF370+AG370)/13,2))))</f>
        <v/>
      </c>
      <c r="S370" s="3">
        <f>IF(B370="","",IF(R370&gt;=5,"A+",IF(R370&gt;=4,"A",IF(R370&gt;=3.5,"A-",IF(R370&gt;=3,"B",IF(R370&gt;=2,"C",IF(R370&gt;=1,"D","F")))))))</f>
        <v/>
      </c>
      <c r="T370" s="3">
        <f>IF(OR(B370="",S370="F"),"",COUNTIFS(P:P,"&gt;"&amp;P370,S:S,"&lt;&gt;F")+1)</f>
        <v/>
      </c>
      <c r="U370">
        <f>IF(B370="","",IF(C370&lt;33.0,0,IF(C370&gt;=100*0.8,5,IF(C370&gt;=100*0.7,4,IF(C370&gt;=100*0.6,3.5,IF(C370&gt;=100*0.5,3,IF(C370&gt;=100*0.4,2,IF(C370&gt;=100*0.33,1,0))))))))</f>
        <v/>
      </c>
      <c r="V370">
        <f>IF(B370="","",IF(D370&lt;33.0,0,IF(D370&gt;=100*0.8,5,IF(D370&gt;=100*0.7,4,IF(D370&gt;=100*0.6,3.5,IF(D370&gt;=100*0.5,3,IF(D370&gt;=100*0.4,2,IF(D370&gt;=100*0.33,1,0))))))))</f>
        <v/>
      </c>
      <c r="W370">
        <f>IF(B370="","",IF(E370&lt;16.5,0,IF(E370&gt;=50*0.8,5,IF(E370&gt;=50*0.7,4,IF(E370&gt;=50*0.6,3.5,IF(E370&gt;=50*0.5,3,IF(E370&gt;=50*0.4,2,IF(E370&gt;=50*0.33,1,0))))))))</f>
        <v/>
      </c>
      <c r="X370">
        <f>IF(B370="","",IF(F370&lt;33.0,0,IF(F370&gt;=100*0.8,5,IF(F370&gt;=100*0.7,4,IF(F370&gt;=100*0.6,3.5,IF(F370&gt;=100*0.5,3,IF(F370&gt;=100*0.4,2,IF(F370&gt;=100*0.33,1,0))))))))</f>
        <v/>
      </c>
      <c r="Y370">
        <f>IF(B370="","",IF(G370&lt;16.5,0,IF(G370&gt;=50*0.8,5,IF(G370&gt;=50*0.7,4,IF(G370&gt;=50*0.6,3.5,IF(G370&gt;=50*0.5,3,IF(G370&gt;=50*0.4,2,IF(G370&gt;=50*0.33,1,0))))))))</f>
        <v/>
      </c>
      <c r="Z370">
        <f>IF(B370="","",IF(H370&lt;33.0,0,IF(H370&gt;=100*0.8,5,IF(H370&gt;=100*0.7,4,IF(H370&gt;=100*0.6,3.5,IF(H370&gt;=100*0.5,3,IF(H370&gt;=100*0.4,2,IF(H370&gt;=100*0.33,1,0))))))))</f>
        <v/>
      </c>
      <c r="AA370">
        <f>IF(B370="","",IF(I370&lt;33.0,0,IF(I370&gt;=100*0.8,5,IF(I370&gt;=100*0.7,4,IF(I370&gt;=100*0.6,3.5,IF(I370&gt;=100*0.5,3,IF(I370&gt;=100*0.4,2,IF(I370&gt;=100*0.33,1,0))))))))</f>
        <v/>
      </c>
      <c r="AB370">
        <f>IF(B370="","",IF(J370&lt;33.0,0,IF(J370&gt;=100*0.8,5,IF(J370&gt;=100*0.7,4,IF(J370&gt;=100*0.6,3.5,IF(J370&gt;=100*0.5,3,IF(J370&gt;=100*0.4,2,IF(J370&gt;=100*0.33,1,0))))))))</f>
        <v/>
      </c>
      <c r="AC370">
        <f>IF(B370="","",IF(K370&lt;33.0,0,IF(K370&gt;=100*0.8,5,IF(K370&gt;=100*0.7,4,IF(K370&gt;=100*0.6,3.5,IF(K370&gt;=100*0.5,3,IF(K370&gt;=100*0.4,2,IF(K370&gt;=100*0.33,1,0))))))))</f>
        <v/>
      </c>
      <c r="AD370">
        <f>IF(B370="","",IF(L370&lt;33.0,0,IF(L370&gt;=100*0.8,5,IF(L370&gt;=100*0.7,4,IF(L370&gt;=100*0.6,3.5,IF(L370&gt;=100*0.5,3,IF(L370&gt;=100*0.4,2,IF(L370&gt;=100*0.33,1,0))))))))</f>
        <v/>
      </c>
      <c r="AE370">
        <f>IF(B370="","",IF(M370&lt;33.0,0,IF(M370&gt;=100*0.8,5,IF(M370&gt;=100*0.7,4,IF(M370&gt;=100*0.6,3.5,IF(M370&gt;=100*0.5,3,IF(M370&gt;=100*0.4,2,IF(M370&gt;=100*0.33,1,0))))))))</f>
        <v/>
      </c>
      <c r="AF370">
        <f>IF(B370="","",IF(N370&lt;16.5,0,IF(N370&gt;=50*0.8,5,IF(N370&gt;=50*0.7,4,IF(N370&gt;=50*0.6,3.5,IF(N370&gt;=50*0.5,3,IF(N370&gt;=50*0.4,2,IF(N370&gt;=50*0.33,1,0))))))))</f>
        <v/>
      </c>
      <c r="AG370">
        <f>IF(B370="","",IF(O370&lt;33.0,0,IF(O370&gt;=100*0.8,5,IF(O370&gt;=100*0.7,4,IF(O370&gt;=100*0.6,3.5,IF(O370&gt;=100*0.5,3,IF(O370&gt;=100*0.4,2,IF(O370&gt;=100*0.33,1,0))))))))</f>
        <v/>
      </c>
      <c r="AH370">
        <f>IF(B370="","",IF(OR(U370=0,V370=0,W370=0,X370=0,Y370=0,Z370=0,AA370=0,AB370=0,AC370=0,AD370=0,AE370=0,AF370=0,AG370=0),1,0))</f>
        <v/>
      </c>
    </row>
    <row r="371">
      <c r="A371" s="3">
        <f>IF(B371="","",ROW()-2)</f>
        <v/>
      </c>
      <c r="P371" s="4">
        <f>IF(B371="","",SUM(C371:O371))</f>
        <v/>
      </c>
      <c r="Q371" s="5">
        <f>IF(B371="","",ROUND(P371/13,2))</f>
        <v/>
      </c>
      <c r="R371" s="5">
        <f>IF(B371="","",IF(AH371=1,0,MIN(5,ROUND((U371+V371+W371+X371+Y371+Z371+AA371+AB371+AC371+AD371+AE371+AF371+AG371)/13,2))))</f>
        <v/>
      </c>
      <c r="S371" s="3">
        <f>IF(B371="","",IF(R371&gt;=5,"A+",IF(R371&gt;=4,"A",IF(R371&gt;=3.5,"A-",IF(R371&gt;=3,"B",IF(R371&gt;=2,"C",IF(R371&gt;=1,"D","F")))))))</f>
        <v/>
      </c>
      <c r="T371" s="3">
        <f>IF(OR(B371="",S371="F"),"",COUNTIFS(P:P,"&gt;"&amp;P371,S:S,"&lt;&gt;F")+1)</f>
        <v/>
      </c>
      <c r="U371">
        <f>IF(B371="","",IF(C371&lt;33.0,0,IF(C371&gt;=100*0.8,5,IF(C371&gt;=100*0.7,4,IF(C371&gt;=100*0.6,3.5,IF(C371&gt;=100*0.5,3,IF(C371&gt;=100*0.4,2,IF(C371&gt;=100*0.33,1,0))))))))</f>
        <v/>
      </c>
      <c r="V371">
        <f>IF(B371="","",IF(D371&lt;33.0,0,IF(D371&gt;=100*0.8,5,IF(D371&gt;=100*0.7,4,IF(D371&gt;=100*0.6,3.5,IF(D371&gt;=100*0.5,3,IF(D371&gt;=100*0.4,2,IF(D371&gt;=100*0.33,1,0))))))))</f>
        <v/>
      </c>
      <c r="W371">
        <f>IF(B371="","",IF(E371&lt;16.5,0,IF(E371&gt;=50*0.8,5,IF(E371&gt;=50*0.7,4,IF(E371&gt;=50*0.6,3.5,IF(E371&gt;=50*0.5,3,IF(E371&gt;=50*0.4,2,IF(E371&gt;=50*0.33,1,0))))))))</f>
        <v/>
      </c>
      <c r="X371">
        <f>IF(B371="","",IF(F371&lt;33.0,0,IF(F371&gt;=100*0.8,5,IF(F371&gt;=100*0.7,4,IF(F371&gt;=100*0.6,3.5,IF(F371&gt;=100*0.5,3,IF(F371&gt;=100*0.4,2,IF(F371&gt;=100*0.33,1,0))))))))</f>
        <v/>
      </c>
      <c r="Y371">
        <f>IF(B371="","",IF(G371&lt;16.5,0,IF(G371&gt;=50*0.8,5,IF(G371&gt;=50*0.7,4,IF(G371&gt;=50*0.6,3.5,IF(G371&gt;=50*0.5,3,IF(G371&gt;=50*0.4,2,IF(G371&gt;=50*0.33,1,0))))))))</f>
        <v/>
      </c>
      <c r="Z371">
        <f>IF(B371="","",IF(H371&lt;33.0,0,IF(H371&gt;=100*0.8,5,IF(H371&gt;=100*0.7,4,IF(H371&gt;=100*0.6,3.5,IF(H371&gt;=100*0.5,3,IF(H371&gt;=100*0.4,2,IF(H371&gt;=100*0.33,1,0))))))))</f>
        <v/>
      </c>
      <c r="AA371">
        <f>IF(B371="","",IF(I371&lt;33.0,0,IF(I371&gt;=100*0.8,5,IF(I371&gt;=100*0.7,4,IF(I371&gt;=100*0.6,3.5,IF(I371&gt;=100*0.5,3,IF(I371&gt;=100*0.4,2,IF(I371&gt;=100*0.33,1,0))))))))</f>
        <v/>
      </c>
      <c r="AB371">
        <f>IF(B371="","",IF(J371&lt;33.0,0,IF(J371&gt;=100*0.8,5,IF(J371&gt;=100*0.7,4,IF(J371&gt;=100*0.6,3.5,IF(J371&gt;=100*0.5,3,IF(J371&gt;=100*0.4,2,IF(J371&gt;=100*0.33,1,0))))))))</f>
        <v/>
      </c>
      <c r="AC371">
        <f>IF(B371="","",IF(K371&lt;33.0,0,IF(K371&gt;=100*0.8,5,IF(K371&gt;=100*0.7,4,IF(K371&gt;=100*0.6,3.5,IF(K371&gt;=100*0.5,3,IF(K371&gt;=100*0.4,2,IF(K371&gt;=100*0.33,1,0))))))))</f>
        <v/>
      </c>
      <c r="AD371">
        <f>IF(B371="","",IF(L371&lt;33.0,0,IF(L371&gt;=100*0.8,5,IF(L371&gt;=100*0.7,4,IF(L371&gt;=100*0.6,3.5,IF(L371&gt;=100*0.5,3,IF(L371&gt;=100*0.4,2,IF(L371&gt;=100*0.33,1,0))))))))</f>
        <v/>
      </c>
      <c r="AE371">
        <f>IF(B371="","",IF(M371&lt;33.0,0,IF(M371&gt;=100*0.8,5,IF(M371&gt;=100*0.7,4,IF(M371&gt;=100*0.6,3.5,IF(M371&gt;=100*0.5,3,IF(M371&gt;=100*0.4,2,IF(M371&gt;=100*0.33,1,0))))))))</f>
        <v/>
      </c>
      <c r="AF371">
        <f>IF(B371="","",IF(N371&lt;16.5,0,IF(N371&gt;=50*0.8,5,IF(N371&gt;=50*0.7,4,IF(N371&gt;=50*0.6,3.5,IF(N371&gt;=50*0.5,3,IF(N371&gt;=50*0.4,2,IF(N371&gt;=50*0.33,1,0))))))))</f>
        <v/>
      </c>
      <c r="AG371">
        <f>IF(B371="","",IF(O371&lt;33.0,0,IF(O371&gt;=100*0.8,5,IF(O371&gt;=100*0.7,4,IF(O371&gt;=100*0.6,3.5,IF(O371&gt;=100*0.5,3,IF(O371&gt;=100*0.4,2,IF(O371&gt;=100*0.33,1,0))))))))</f>
        <v/>
      </c>
      <c r="AH371">
        <f>IF(B371="","",IF(OR(U371=0,V371=0,W371=0,X371=0,Y371=0,Z371=0,AA371=0,AB371=0,AC371=0,AD371=0,AE371=0,AF371=0,AG371=0),1,0))</f>
        <v/>
      </c>
    </row>
    <row r="372">
      <c r="A372" s="3">
        <f>IF(B372="","",ROW()-2)</f>
        <v/>
      </c>
      <c r="P372" s="4">
        <f>IF(B372="","",SUM(C372:O372))</f>
        <v/>
      </c>
      <c r="Q372" s="5">
        <f>IF(B372="","",ROUND(P372/13,2))</f>
        <v/>
      </c>
      <c r="R372" s="5">
        <f>IF(B372="","",IF(AH372=1,0,MIN(5,ROUND((U372+V372+W372+X372+Y372+Z372+AA372+AB372+AC372+AD372+AE372+AF372+AG372)/13,2))))</f>
        <v/>
      </c>
      <c r="S372" s="3">
        <f>IF(B372="","",IF(R372&gt;=5,"A+",IF(R372&gt;=4,"A",IF(R372&gt;=3.5,"A-",IF(R372&gt;=3,"B",IF(R372&gt;=2,"C",IF(R372&gt;=1,"D","F")))))))</f>
        <v/>
      </c>
      <c r="T372" s="3">
        <f>IF(OR(B372="",S372="F"),"",COUNTIFS(P:P,"&gt;"&amp;P372,S:S,"&lt;&gt;F")+1)</f>
        <v/>
      </c>
      <c r="U372">
        <f>IF(B372="","",IF(C372&lt;33.0,0,IF(C372&gt;=100*0.8,5,IF(C372&gt;=100*0.7,4,IF(C372&gt;=100*0.6,3.5,IF(C372&gt;=100*0.5,3,IF(C372&gt;=100*0.4,2,IF(C372&gt;=100*0.33,1,0))))))))</f>
        <v/>
      </c>
      <c r="V372">
        <f>IF(B372="","",IF(D372&lt;33.0,0,IF(D372&gt;=100*0.8,5,IF(D372&gt;=100*0.7,4,IF(D372&gt;=100*0.6,3.5,IF(D372&gt;=100*0.5,3,IF(D372&gt;=100*0.4,2,IF(D372&gt;=100*0.33,1,0))))))))</f>
        <v/>
      </c>
      <c r="W372">
        <f>IF(B372="","",IF(E372&lt;16.5,0,IF(E372&gt;=50*0.8,5,IF(E372&gt;=50*0.7,4,IF(E372&gt;=50*0.6,3.5,IF(E372&gt;=50*0.5,3,IF(E372&gt;=50*0.4,2,IF(E372&gt;=50*0.33,1,0))))))))</f>
        <v/>
      </c>
      <c r="X372">
        <f>IF(B372="","",IF(F372&lt;33.0,0,IF(F372&gt;=100*0.8,5,IF(F372&gt;=100*0.7,4,IF(F372&gt;=100*0.6,3.5,IF(F372&gt;=100*0.5,3,IF(F372&gt;=100*0.4,2,IF(F372&gt;=100*0.33,1,0))))))))</f>
        <v/>
      </c>
      <c r="Y372">
        <f>IF(B372="","",IF(G372&lt;16.5,0,IF(G372&gt;=50*0.8,5,IF(G372&gt;=50*0.7,4,IF(G372&gt;=50*0.6,3.5,IF(G372&gt;=50*0.5,3,IF(G372&gt;=50*0.4,2,IF(G372&gt;=50*0.33,1,0))))))))</f>
        <v/>
      </c>
      <c r="Z372">
        <f>IF(B372="","",IF(H372&lt;33.0,0,IF(H372&gt;=100*0.8,5,IF(H372&gt;=100*0.7,4,IF(H372&gt;=100*0.6,3.5,IF(H372&gt;=100*0.5,3,IF(H372&gt;=100*0.4,2,IF(H372&gt;=100*0.33,1,0))))))))</f>
        <v/>
      </c>
      <c r="AA372">
        <f>IF(B372="","",IF(I372&lt;33.0,0,IF(I372&gt;=100*0.8,5,IF(I372&gt;=100*0.7,4,IF(I372&gt;=100*0.6,3.5,IF(I372&gt;=100*0.5,3,IF(I372&gt;=100*0.4,2,IF(I372&gt;=100*0.33,1,0))))))))</f>
        <v/>
      </c>
      <c r="AB372">
        <f>IF(B372="","",IF(J372&lt;33.0,0,IF(J372&gt;=100*0.8,5,IF(J372&gt;=100*0.7,4,IF(J372&gt;=100*0.6,3.5,IF(J372&gt;=100*0.5,3,IF(J372&gt;=100*0.4,2,IF(J372&gt;=100*0.33,1,0))))))))</f>
        <v/>
      </c>
      <c r="AC372">
        <f>IF(B372="","",IF(K372&lt;33.0,0,IF(K372&gt;=100*0.8,5,IF(K372&gt;=100*0.7,4,IF(K372&gt;=100*0.6,3.5,IF(K372&gt;=100*0.5,3,IF(K372&gt;=100*0.4,2,IF(K372&gt;=100*0.33,1,0))))))))</f>
        <v/>
      </c>
      <c r="AD372">
        <f>IF(B372="","",IF(L372&lt;33.0,0,IF(L372&gt;=100*0.8,5,IF(L372&gt;=100*0.7,4,IF(L372&gt;=100*0.6,3.5,IF(L372&gt;=100*0.5,3,IF(L372&gt;=100*0.4,2,IF(L372&gt;=100*0.33,1,0))))))))</f>
        <v/>
      </c>
      <c r="AE372">
        <f>IF(B372="","",IF(M372&lt;33.0,0,IF(M372&gt;=100*0.8,5,IF(M372&gt;=100*0.7,4,IF(M372&gt;=100*0.6,3.5,IF(M372&gt;=100*0.5,3,IF(M372&gt;=100*0.4,2,IF(M372&gt;=100*0.33,1,0))))))))</f>
        <v/>
      </c>
      <c r="AF372">
        <f>IF(B372="","",IF(N372&lt;16.5,0,IF(N372&gt;=50*0.8,5,IF(N372&gt;=50*0.7,4,IF(N372&gt;=50*0.6,3.5,IF(N372&gt;=50*0.5,3,IF(N372&gt;=50*0.4,2,IF(N372&gt;=50*0.33,1,0))))))))</f>
        <v/>
      </c>
      <c r="AG372">
        <f>IF(B372="","",IF(O372&lt;33.0,0,IF(O372&gt;=100*0.8,5,IF(O372&gt;=100*0.7,4,IF(O372&gt;=100*0.6,3.5,IF(O372&gt;=100*0.5,3,IF(O372&gt;=100*0.4,2,IF(O372&gt;=100*0.33,1,0))))))))</f>
        <v/>
      </c>
      <c r="AH372">
        <f>IF(B372="","",IF(OR(U372=0,V372=0,W372=0,X372=0,Y372=0,Z372=0,AA372=0,AB372=0,AC372=0,AD372=0,AE372=0,AF372=0,AG372=0),1,0))</f>
        <v/>
      </c>
    </row>
    <row r="373">
      <c r="A373" s="3">
        <f>IF(B373="","",ROW()-2)</f>
        <v/>
      </c>
      <c r="P373" s="4">
        <f>IF(B373="","",SUM(C373:O373))</f>
        <v/>
      </c>
      <c r="Q373" s="5">
        <f>IF(B373="","",ROUND(P373/13,2))</f>
        <v/>
      </c>
      <c r="R373" s="5">
        <f>IF(B373="","",IF(AH373=1,0,MIN(5,ROUND((U373+V373+W373+X373+Y373+Z373+AA373+AB373+AC373+AD373+AE373+AF373+AG373)/13,2))))</f>
        <v/>
      </c>
      <c r="S373" s="3">
        <f>IF(B373="","",IF(R373&gt;=5,"A+",IF(R373&gt;=4,"A",IF(R373&gt;=3.5,"A-",IF(R373&gt;=3,"B",IF(R373&gt;=2,"C",IF(R373&gt;=1,"D","F")))))))</f>
        <v/>
      </c>
      <c r="T373" s="3">
        <f>IF(OR(B373="",S373="F"),"",COUNTIFS(P:P,"&gt;"&amp;P373,S:S,"&lt;&gt;F")+1)</f>
        <v/>
      </c>
      <c r="U373">
        <f>IF(B373="","",IF(C373&lt;33.0,0,IF(C373&gt;=100*0.8,5,IF(C373&gt;=100*0.7,4,IF(C373&gt;=100*0.6,3.5,IF(C373&gt;=100*0.5,3,IF(C373&gt;=100*0.4,2,IF(C373&gt;=100*0.33,1,0))))))))</f>
        <v/>
      </c>
      <c r="V373">
        <f>IF(B373="","",IF(D373&lt;33.0,0,IF(D373&gt;=100*0.8,5,IF(D373&gt;=100*0.7,4,IF(D373&gt;=100*0.6,3.5,IF(D373&gt;=100*0.5,3,IF(D373&gt;=100*0.4,2,IF(D373&gt;=100*0.33,1,0))))))))</f>
        <v/>
      </c>
      <c r="W373">
        <f>IF(B373="","",IF(E373&lt;16.5,0,IF(E373&gt;=50*0.8,5,IF(E373&gt;=50*0.7,4,IF(E373&gt;=50*0.6,3.5,IF(E373&gt;=50*0.5,3,IF(E373&gt;=50*0.4,2,IF(E373&gt;=50*0.33,1,0))))))))</f>
        <v/>
      </c>
      <c r="X373">
        <f>IF(B373="","",IF(F373&lt;33.0,0,IF(F373&gt;=100*0.8,5,IF(F373&gt;=100*0.7,4,IF(F373&gt;=100*0.6,3.5,IF(F373&gt;=100*0.5,3,IF(F373&gt;=100*0.4,2,IF(F373&gt;=100*0.33,1,0))))))))</f>
        <v/>
      </c>
      <c r="Y373">
        <f>IF(B373="","",IF(G373&lt;16.5,0,IF(G373&gt;=50*0.8,5,IF(G373&gt;=50*0.7,4,IF(G373&gt;=50*0.6,3.5,IF(G373&gt;=50*0.5,3,IF(G373&gt;=50*0.4,2,IF(G373&gt;=50*0.33,1,0))))))))</f>
        <v/>
      </c>
      <c r="Z373">
        <f>IF(B373="","",IF(H373&lt;33.0,0,IF(H373&gt;=100*0.8,5,IF(H373&gt;=100*0.7,4,IF(H373&gt;=100*0.6,3.5,IF(H373&gt;=100*0.5,3,IF(H373&gt;=100*0.4,2,IF(H373&gt;=100*0.33,1,0))))))))</f>
        <v/>
      </c>
      <c r="AA373">
        <f>IF(B373="","",IF(I373&lt;33.0,0,IF(I373&gt;=100*0.8,5,IF(I373&gt;=100*0.7,4,IF(I373&gt;=100*0.6,3.5,IF(I373&gt;=100*0.5,3,IF(I373&gt;=100*0.4,2,IF(I373&gt;=100*0.33,1,0))))))))</f>
        <v/>
      </c>
      <c r="AB373">
        <f>IF(B373="","",IF(J373&lt;33.0,0,IF(J373&gt;=100*0.8,5,IF(J373&gt;=100*0.7,4,IF(J373&gt;=100*0.6,3.5,IF(J373&gt;=100*0.5,3,IF(J373&gt;=100*0.4,2,IF(J373&gt;=100*0.33,1,0))))))))</f>
        <v/>
      </c>
      <c r="AC373">
        <f>IF(B373="","",IF(K373&lt;33.0,0,IF(K373&gt;=100*0.8,5,IF(K373&gt;=100*0.7,4,IF(K373&gt;=100*0.6,3.5,IF(K373&gt;=100*0.5,3,IF(K373&gt;=100*0.4,2,IF(K373&gt;=100*0.33,1,0))))))))</f>
        <v/>
      </c>
      <c r="AD373">
        <f>IF(B373="","",IF(L373&lt;33.0,0,IF(L373&gt;=100*0.8,5,IF(L373&gt;=100*0.7,4,IF(L373&gt;=100*0.6,3.5,IF(L373&gt;=100*0.5,3,IF(L373&gt;=100*0.4,2,IF(L373&gt;=100*0.33,1,0))))))))</f>
        <v/>
      </c>
      <c r="AE373">
        <f>IF(B373="","",IF(M373&lt;33.0,0,IF(M373&gt;=100*0.8,5,IF(M373&gt;=100*0.7,4,IF(M373&gt;=100*0.6,3.5,IF(M373&gt;=100*0.5,3,IF(M373&gt;=100*0.4,2,IF(M373&gt;=100*0.33,1,0))))))))</f>
        <v/>
      </c>
      <c r="AF373">
        <f>IF(B373="","",IF(N373&lt;16.5,0,IF(N373&gt;=50*0.8,5,IF(N373&gt;=50*0.7,4,IF(N373&gt;=50*0.6,3.5,IF(N373&gt;=50*0.5,3,IF(N373&gt;=50*0.4,2,IF(N373&gt;=50*0.33,1,0))))))))</f>
        <v/>
      </c>
      <c r="AG373">
        <f>IF(B373="","",IF(O373&lt;33.0,0,IF(O373&gt;=100*0.8,5,IF(O373&gt;=100*0.7,4,IF(O373&gt;=100*0.6,3.5,IF(O373&gt;=100*0.5,3,IF(O373&gt;=100*0.4,2,IF(O373&gt;=100*0.33,1,0))))))))</f>
        <v/>
      </c>
      <c r="AH373">
        <f>IF(B373="","",IF(OR(U373=0,V373=0,W373=0,X373=0,Y373=0,Z373=0,AA373=0,AB373=0,AC373=0,AD373=0,AE373=0,AF373=0,AG373=0),1,0))</f>
        <v/>
      </c>
    </row>
    <row r="374">
      <c r="A374" s="3">
        <f>IF(B374="","",ROW()-2)</f>
        <v/>
      </c>
      <c r="P374" s="4">
        <f>IF(B374="","",SUM(C374:O374))</f>
        <v/>
      </c>
      <c r="Q374" s="5">
        <f>IF(B374="","",ROUND(P374/13,2))</f>
        <v/>
      </c>
      <c r="R374" s="5">
        <f>IF(B374="","",IF(AH374=1,0,MIN(5,ROUND((U374+V374+W374+X374+Y374+Z374+AA374+AB374+AC374+AD374+AE374+AF374+AG374)/13,2))))</f>
        <v/>
      </c>
      <c r="S374" s="3">
        <f>IF(B374="","",IF(R374&gt;=5,"A+",IF(R374&gt;=4,"A",IF(R374&gt;=3.5,"A-",IF(R374&gt;=3,"B",IF(R374&gt;=2,"C",IF(R374&gt;=1,"D","F")))))))</f>
        <v/>
      </c>
      <c r="T374" s="3">
        <f>IF(OR(B374="",S374="F"),"",COUNTIFS(P:P,"&gt;"&amp;P374,S:S,"&lt;&gt;F")+1)</f>
        <v/>
      </c>
      <c r="U374">
        <f>IF(B374="","",IF(C374&lt;33.0,0,IF(C374&gt;=100*0.8,5,IF(C374&gt;=100*0.7,4,IF(C374&gt;=100*0.6,3.5,IF(C374&gt;=100*0.5,3,IF(C374&gt;=100*0.4,2,IF(C374&gt;=100*0.33,1,0))))))))</f>
        <v/>
      </c>
      <c r="V374">
        <f>IF(B374="","",IF(D374&lt;33.0,0,IF(D374&gt;=100*0.8,5,IF(D374&gt;=100*0.7,4,IF(D374&gt;=100*0.6,3.5,IF(D374&gt;=100*0.5,3,IF(D374&gt;=100*0.4,2,IF(D374&gt;=100*0.33,1,0))))))))</f>
        <v/>
      </c>
      <c r="W374">
        <f>IF(B374="","",IF(E374&lt;16.5,0,IF(E374&gt;=50*0.8,5,IF(E374&gt;=50*0.7,4,IF(E374&gt;=50*0.6,3.5,IF(E374&gt;=50*0.5,3,IF(E374&gt;=50*0.4,2,IF(E374&gt;=50*0.33,1,0))))))))</f>
        <v/>
      </c>
      <c r="X374">
        <f>IF(B374="","",IF(F374&lt;33.0,0,IF(F374&gt;=100*0.8,5,IF(F374&gt;=100*0.7,4,IF(F374&gt;=100*0.6,3.5,IF(F374&gt;=100*0.5,3,IF(F374&gt;=100*0.4,2,IF(F374&gt;=100*0.33,1,0))))))))</f>
        <v/>
      </c>
      <c r="Y374">
        <f>IF(B374="","",IF(G374&lt;16.5,0,IF(G374&gt;=50*0.8,5,IF(G374&gt;=50*0.7,4,IF(G374&gt;=50*0.6,3.5,IF(G374&gt;=50*0.5,3,IF(G374&gt;=50*0.4,2,IF(G374&gt;=50*0.33,1,0))))))))</f>
        <v/>
      </c>
      <c r="Z374">
        <f>IF(B374="","",IF(H374&lt;33.0,0,IF(H374&gt;=100*0.8,5,IF(H374&gt;=100*0.7,4,IF(H374&gt;=100*0.6,3.5,IF(H374&gt;=100*0.5,3,IF(H374&gt;=100*0.4,2,IF(H374&gt;=100*0.33,1,0))))))))</f>
        <v/>
      </c>
      <c r="AA374">
        <f>IF(B374="","",IF(I374&lt;33.0,0,IF(I374&gt;=100*0.8,5,IF(I374&gt;=100*0.7,4,IF(I374&gt;=100*0.6,3.5,IF(I374&gt;=100*0.5,3,IF(I374&gt;=100*0.4,2,IF(I374&gt;=100*0.33,1,0))))))))</f>
        <v/>
      </c>
      <c r="AB374">
        <f>IF(B374="","",IF(J374&lt;33.0,0,IF(J374&gt;=100*0.8,5,IF(J374&gt;=100*0.7,4,IF(J374&gt;=100*0.6,3.5,IF(J374&gt;=100*0.5,3,IF(J374&gt;=100*0.4,2,IF(J374&gt;=100*0.33,1,0))))))))</f>
        <v/>
      </c>
      <c r="AC374">
        <f>IF(B374="","",IF(K374&lt;33.0,0,IF(K374&gt;=100*0.8,5,IF(K374&gt;=100*0.7,4,IF(K374&gt;=100*0.6,3.5,IF(K374&gt;=100*0.5,3,IF(K374&gt;=100*0.4,2,IF(K374&gt;=100*0.33,1,0))))))))</f>
        <v/>
      </c>
      <c r="AD374">
        <f>IF(B374="","",IF(L374&lt;33.0,0,IF(L374&gt;=100*0.8,5,IF(L374&gt;=100*0.7,4,IF(L374&gt;=100*0.6,3.5,IF(L374&gt;=100*0.5,3,IF(L374&gt;=100*0.4,2,IF(L374&gt;=100*0.33,1,0))))))))</f>
        <v/>
      </c>
      <c r="AE374">
        <f>IF(B374="","",IF(M374&lt;33.0,0,IF(M374&gt;=100*0.8,5,IF(M374&gt;=100*0.7,4,IF(M374&gt;=100*0.6,3.5,IF(M374&gt;=100*0.5,3,IF(M374&gt;=100*0.4,2,IF(M374&gt;=100*0.33,1,0))))))))</f>
        <v/>
      </c>
      <c r="AF374">
        <f>IF(B374="","",IF(N374&lt;16.5,0,IF(N374&gt;=50*0.8,5,IF(N374&gt;=50*0.7,4,IF(N374&gt;=50*0.6,3.5,IF(N374&gt;=50*0.5,3,IF(N374&gt;=50*0.4,2,IF(N374&gt;=50*0.33,1,0))))))))</f>
        <v/>
      </c>
      <c r="AG374">
        <f>IF(B374="","",IF(O374&lt;33.0,0,IF(O374&gt;=100*0.8,5,IF(O374&gt;=100*0.7,4,IF(O374&gt;=100*0.6,3.5,IF(O374&gt;=100*0.5,3,IF(O374&gt;=100*0.4,2,IF(O374&gt;=100*0.33,1,0))))))))</f>
        <v/>
      </c>
      <c r="AH374">
        <f>IF(B374="","",IF(OR(U374=0,V374=0,W374=0,X374=0,Y374=0,Z374=0,AA374=0,AB374=0,AC374=0,AD374=0,AE374=0,AF374=0,AG374=0),1,0))</f>
        <v/>
      </c>
    </row>
    <row r="375">
      <c r="A375" s="3">
        <f>IF(B375="","",ROW()-2)</f>
        <v/>
      </c>
      <c r="P375" s="4">
        <f>IF(B375="","",SUM(C375:O375))</f>
        <v/>
      </c>
      <c r="Q375" s="5">
        <f>IF(B375="","",ROUND(P375/13,2))</f>
        <v/>
      </c>
      <c r="R375" s="5">
        <f>IF(B375="","",IF(AH375=1,0,MIN(5,ROUND((U375+V375+W375+X375+Y375+Z375+AA375+AB375+AC375+AD375+AE375+AF375+AG375)/13,2))))</f>
        <v/>
      </c>
      <c r="S375" s="3">
        <f>IF(B375="","",IF(R375&gt;=5,"A+",IF(R375&gt;=4,"A",IF(R375&gt;=3.5,"A-",IF(R375&gt;=3,"B",IF(R375&gt;=2,"C",IF(R375&gt;=1,"D","F")))))))</f>
        <v/>
      </c>
      <c r="T375" s="3">
        <f>IF(OR(B375="",S375="F"),"",COUNTIFS(P:P,"&gt;"&amp;P375,S:S,"&lt;&gt;F")+1)</f>
        <v/>
      </c>
      <c r="U375">
        <f>IF(B375="","",IF(C375&lt;33.0,0,IF(C375&gt;=100*0.8,5,IF(C375&gt;=100*0.7,4,IF(C375&gt;=100*0.6,3.5,IF(C375&gt;=100*0.5,3,IF(C375&gt;=100*0.4,2,IF(C375&gt;=100*0.33,1,0))))))))</f>
        <v/>
      </c>
      <c r="V375">
        <f>IF(B375="","",IF(D375&lt;33.0,0,IF(D375&gt;=100*0.8,5,IF(D375&gt;=100*0.7,4,IF(D375&gt;=100*0.6,3.5,IF(D375&gt;=100*0.5,3,IF(D375&gt;=100*0.4,2,IF(D375&gt;=100*0.33,1,0))))))))</f>
        <v/>
      </c>
      <c r="W375">
        <f>IF(B375="","",IF(E375&lt;16.5,0,IF(E375&gt;=50*0.8,5,IF(E375&gt;=50*0.7,4,IF(E375&gt;=50*0.6,3.5,IF(E375&gt;=50*0.5,3,IF(E375&gt;=50*0.4,2,IF(E375&gt;=50*0.33,1,0))))))))</f>
        <v/>
      </c>
      <c r="X375">
        <f>IF(B375="","",IF(F375&lt;33.0,0,IF(F375&gt;=100*0.8,5,IF(F375&gt;=100*0.7,4,IF(F375&gt;=100*0.6,3.5,IF(F375&gt;=100*0.5,3,IF(F375&gt;=100*0.4,2,IF(F375&gt;=100*0.33,1,0))))))))</f>
        <v/>
      </c>
      <c r="Y375">
        <f>IF(B375="","",IF(G375&lt;16.5,0,IF(G375&gt;=50*0.8,5,IF(G375&gt;=50*0.7,4,IF(G375&gt;=50*0.6,3.5,IF(G375&gt;=50*0.5,3,IF(G375&gt;=50*0.4,2,IF(G375&gt;=50*0.33,1,0))))))))</f>
        <v/>
      </c>
      <c r="Z375">
        <f>IF(B375="","",IF(H375&lt;33.0,0,IF(H375&gt;=100*0.8,5,IF(H375&gt;=100*0.7,4,IF(H375&gt;=100*0.6,3.5,IF(H375&gt;=100*0.5,3,IF(H375&gt;=100*0.4,2,IF(H375&gt;=100*0.33,1,0))))))))</f>
        <v/>
      </c>
      <c r="AA375">
        <f>IF(B375="","",IF(I375&lt;33.0,0,IF(I375&gt;=100*0.8,5,IF(I375&gt;=100*0.7,4,IF(I375&gt;=100*0.6,3.5,IF(I375&gt;=100*0.5,3,IF(I375&gt;=100*0.4,2,IF(I375&gt;=100*0.33,1,0))))))))</f>
        <v/>
      </c>
      <c r="AB375">
        <f>IF(B375="","",IF(J375&lt;33.0,0,IF(J375&gt;=100*0.8,5,IF(J375&gt;=100*0.7,4,IF(J375&gt;=100*0.6,3.5,IF(J375&gt;=100*0.5,3,IF(J375&gt;=100*0.4,2,IF(J375&gt;=100*0.33,1,0))))))))</f>
        <v/>
      </c>
      <c r="AC375">
        <f>IF(B375="","",IF(K375&lt;33.0,0,IF(K375&gt;=100*0.8,5,IF(K375&gt;=100*0.7,4,IF(K375&gt;=100*0.6,3.5,IF(K375&gt;=100*0.5,3,IF(K375&gt;=100*0.4,2,IF(K375&gt;=100*0.33,1,0))))))))</f>
        <v/>
      </c>
      <c r="AD375">
        <f>IF(B375="","",IF(L375&lt;33.0,0,IF(L375&gt;=100*0.8,5,IF(L375&gt;=100*0.7,4,IF(L375&gt;=100*0.6,3.5,IF(L375&gt;=100*0.5,3,IF(L375&gt;=100*0.4,2,IF(L375&gt;=100*0.33,1,0))))))))</f>
        <v/>
      </c>
      <c r="AE375">
        <f>IF(B375="","",IF(M375&lt;33.0,0,IF(M375&gt;=100*0.8,5,IF(M375&gt;=100*0.7,4,IF(M375&gt;=100*0.6,3.5,IF(M375&gt;=100*0.5,3,IF(M375&gt;=100*0.4,2,IF(M375&gt;=100*0.33,1,0))))))))</f>
        <v/>
      </c>
      <c r="AF375">
        <f>IF(B375="","",IF(N375&lt;16.5,0,IF(N375&gt;=50*0.8,5,IF(N375&gt;=50*0.7,4,IF(N375&gt;=50*0.6,3.5,IF(N375&gt;=50*0.5,3,IF(N375&gt;=50*0.4,2,IF(N375&gt;=50*0.33,1,0))))))))</f>
        <v/>
      </c>
      <c r="AG375">
        <f>IF(B375="","",IF(O375&lt;33.0,0,IF(O375&gt;=100*0.8,5,IF(O375&gt;=100*0.7,4,IF(O375&gt;=100*0.6,3.5,IF(O375&gt;=100*0.5,3,IF(O375&gt;=100*0.4,2,IF(O375&gt;=100*0.33,1,0))))))))</f>
        <v/>
      </c>
      <c r="AH375">
        <f>IF(B375="","",IF(OR(U375=0,V375=0,W375=0,X375=0,Y375=0,Z375=0,AA375=0,AB375=0,AC375=0,AD375=0,AE375=0,AF375=0,AG375=0),1,0))</f>
        <v/>
      </c>
    </row>
    <row r="376">
      <c r="A376" s="3">
        <f>IF(B376="","",ROW()-2)</f>
        <v/>
      </c>
      <c r="P376" s="4">
        <f>IF(B376="","",SUM(C376:O376))</f>
        <v/>
      </c>
      <c r="Q376" s="5">
        <f>IF(B376="","",ROUND(P376/13,2))</f>
        <v/>
      </c>
      <c r="R376" s="5">
        <f>IF(B376="","",IF(AH376=1,0,MIN(5,ROUND((U376+V376+W376+X376+Y376+Z376+AA376+AB376+AC376+AD376+AE376+AF376+AG376)/13,2))))</f>
        <v/>
      </c>
      <c r="S376" s="3">
        <f>IF(B376="","",IF(R376&gt;=5,"A+",IF(R376&gt;=4,"A",IF(R376&gt;=3.5,"A-",IF(R376&gt;=3,"B",IF(R376&gt;=2,"C",IF(R376&gt;=1,"D","F")))))))</f>
        <v/>
      </c>
      <c r="T376" s="3">
        <f>IF(OR(B376="",S376="F"),"",COUNTIFS(P:P,"&gt;"&amp;P376,S:S,"&lt;&gt;F")+1)</f>
        <v/>
      </c>
      <c r="U376">
        <f>IF(B376="","",IF(C376&lt;33.0,0,IF(C376&gt;=100*0.8,5,IF(C376&gt;=100*0.7,4,IF(C376&gt;=100*0.6,3.5,IF(C376&gt;=100*0.5,3,IF(C376&gt;=100*0.4,2,IF(C376&gt;=100*0.33,1,0))))))))</f>
        <v/>
      </c>
      <c r="V376">
        <f>IF(B376="","",IF(D376&lt;33.0,0,IF(D376&gt;=100*0.8,5,IF(D376&gt;=100*0.7,4,IF(D376&gt;=100*0.6,3.5,IF(D376&gt;=100*0.5,3,IF(D376&gt;=100*0.4,2,IF(D376&gt;=100*0.33,1,0))))))))</f>
        <v/>
      </c>
      <c r="W376">
        <f>IF(B376="","",IF(E376&lt;16.5,0,IF(E376&gt;=50*0.8,5,IF(E376&gt;=50*0.7,4,IF(E376&gt;=50*0.6,3.5,IF(E376&gt;=50*0.5,3,IF(E376&gt;=50*0.4,2,IF(E376&gt;=50*0.33,1,0))))))))</f>
        <v/>
      </c>
      <c r="X376">
        <f>IF(B376="","",IF(F376&lt;33.0,0,IF(F376&gt;=100*0.8,5,IF(F376&gt;=100*0.7,4,IF(F376&gt;=100*0.6,3.5,IF(F376&gt;=100*0.5,3,IF(F376&gt;=100*0.4,2,IF(F376&gt;=100*0.33,1,0))))))))</f>
        <v/>
      </c>
      <c r="Y376">
        <f>IF(B376="","",IF(G376&lt;16.5,0,IF(G376&gt;=50*0.8,5,IF(G376&gt;=50*0.7,4,IF(G376&gt;=50*0.6,3.5,IF(G376&gt;=50*0.5,3,IF(G376&gt;=50*0.4,2,IF(G376&gt;=50*0.33,1,0))))))))</f>
        <v/>
      </c>
      <c r="Z376">
        <f>IF(B376="","",IF(H376&lt;33.0,0,IF(H376&gt;=100*0.8,5,IF(H376&gt;=100*0.7,4,IF(H376&gt;=100*0.6,3.5,IF(H376&gt;=100*0.5,3,IF(H376&gt;=100*0.4,2,IF(H376&gt;=100*0.33,1,0))))))))</f>
        <v/>
      </c>
      <c r="AA376">
        <f>IF(B376="","",IF(I376&lt;33.0,0,IF(I376&gt;=100*0.8,5,IF(I376&gt;=100*0.7,4,IF(I376&gt;=100*0.6,3.5,IF(I376&gt;=100*0.5,3,IF(I376&gt;=100*0.4,2,IF(I376&gt;=100*0.33,1,0))))))))</f>
        <v/>
      </c>
      <c r="AB376">
        <f>IF(B376="","",IF(J376&lt;33.0,0,IF(J376&gt;=100*0.8,5,IF(J376&gt;=100*0.7,4,IF(J376&gt;=100*0.6,3.5,IF(J376&gt;=100*0.5,3,IF(J376&gt;=100*0.4,2,IF(J376&gt;=100*0.33,1,0))))))))</f>
        <v/>
      </c>
      <c r="AC376">
        <f>IF(B376="","",IF(K376&lt;33.0,0,IF(K376&gt;=100*0.8,5,IF(K376&gt;=100*0.7,4,IF(K376&gt;=100*0.6,3.5,IF(K376&gt;=100*0.5,3,IF(K376&gt;=100*0.4,2,IF(K376&gt;=100*0.33,1,0))))))))</f>
        <v/>
      </c>
      <c r="AD376">
        <f>IF(B376="","",IF(L376&lt;33.0,0,IF(L376&gt;=100*0.8,5,IF(L376&gt;=100*0.7,4,IF(L376&gt;=100*0.6,3.5,IF(L376&gt;=100*0.5,3,IF(L376&gt;=100*0.4,2,IF(L376&gt;=100*0.33,1,0))))))))</f>
        <v/>
      </c>
      <c r="AE376">
        <f>IF(B376="","",IF(M376&lt;33.0,0,IF(M376&gt;=100*0.8,5,IF(M376&gt;=100*0.7,4,IF(M376&gt;=100*0.6,3.5,IF(M376&gt;=100*0.5,3,IF(M376&gt;=100*0.4,2,IF(M376&gt;=100*0.33,1,0))))))))</f>
        <v/>
      </c>
      <c r="AF376">
        <f>IF(B376="","",IF(N376&lt;16.5,0,IF(N376&gt;=50*0.8,5,IF(N376&gt;=50*0.7,4,IF(N376&gt;=50*0.6,3.5,IF(N376&gt;=50*0.5,3,IF(N376&gt;=50*0.4,2,IF(N376&gt;=50*0.33,1,0))))))))</f>
        <v/>
      </c>
      <c r="AG376">
        <f>IF(B376="","",IF(O376&lt;33.0,0,IF(O376&gt;=100*0.8,5,IF(O376&gt;=100*0.7,4,IF(O376&gt;=100*0.6,3.5,IF(O376&gt;=100*0.5,3,IF(O376&gt;=100*0.4,2,IF(O376&gt;=100*0.33,1,0))))))))</f>
        <v/>
      </c>
      <c r="AH376">
        <f>IF(B376="","",IF(OR(U376=0,V376=0,W376=0,X376=0,Y376=0,Z376=0,AA376=0,AB376=0,AC376=0,AD376=0,AE376=0,AF376=0,AG376=0),1,0))</f>
        <v/>
      </c>
    </row>
    <row r="377">
      <c r="A377" s="3">
        <f>IF(B377="","",ROW()-2)</f>
        <v/>
      </c>
      <c r="P377" s="4">
        <f>IF(B377="","",SUM(C377:O377))</f>
        <v/>
      </c>
      <c r="Q377" s="5">
        <f>IF(B377="","",ROUND(P377/13,2))</f>
        <v/>
      </c>
      <c r="R377" s="5">
        <f>IF(B377="","",IF(AH377=1,0,MIN(5,ROUND((U377+V377+W377+X377+Y377+Z377+AA377+AB377+AC377+AD377+AE377+AF377+AG377)/13,2))))</f>
        <v/>
      </c>
      <c r="S377" s="3">
        <f>IF(B377="","",IF(R377&gt;=5,"A+",IF(R377&gt;=4,"A",IF(R377&gt;=3.5,"A-",IF(R377&gt;=3,"B",IF(R377&gt;=2,"C",IF(R377&gt;=1,"D","F")))))))</f>
        <v/>
      </c>
      <c r="T377" s="3">
        <f>IF(OR(B377="",S377="F"),"",COUNTIFS(P:P,"&gt;"&amp;P377,S:S,"&lt;&gt;F")+1)</f>
        <v/>
      </c>
      <c r="U377">
        <f>IF(B377="","",IF(C377&lt;33.0,0,IF(C377&gt;=100*0.8,5,IF(C377&gt;=100*0.7,4,IF(C377&gt;=100*0.6,3.5,IF(C377&gt;=100*0.5,3,IF(C377&gt;=100*0.4,2,IF(C377&gt;=100*0.33,1,0))))))))</f>
        <v/>
      </c>
      <c r="V377">
        <f>IF(B377="","",IF(D377&lt;33.0,0,IF(D377&gt;=100*0.8,5,IF(D377&gt;=100*0.7,4,IF(D377&gt;=100*0.6,3.5,IF(D377&gt;=100*0.5,3,IF(D377&gt;=100*0.4,2,IF(D377&gt;=100*0.33,1,0))))))))</f>
        <v/>
      </c>
      <c r="W377">
        <f>IF(B377="","",IF(E377&lt;16.5,0,IF(E377&gt;=50*0.8,5,IF(E377&gt;=50*0.7,4,IF(E377&gt;=50*0.6,3.5,IF(E377&gt;=50*0.5,3,IF(E377&gt;=50*0.4,2,IF(E377&gt;=50*0.33,1,0))))))))</f>
        <v/>
      </c>
      <c r="X377">
        <f>IF(B377="","",IF(F377&lt;33.0,0,IF(F377&gt;=100*0.8,5,IF(F377&gt;=100*0.7,4,IF(F377&gt;=100*0.6,3.5,IF(F377&gt;=100*0.5,3,IF(F377&gt;=100*0.4,2,IF(F377&gt;=100*0.33,1,0))))))))</f>
        <v/>
      </c>
      <c r="Y377">
        <f>IF(B377="","",IF(G377&lt;16.5,0,IF(G377&gt;=50*0.8,5,IF(G377&gt;=50*0.7,4,IF(G377&gt;=50*0.6,3.5,IF(G377&gt;=50*0.5,3,IF(G377&gt;=50*0.4,2,IF(G377&gt;=50*0.33,1,0))))))))</f>
        <v/>
      </c>
      <c r="Z377">
        <f>IF(B377="","",IF(H377&lt;33.0,0,IF(H377&gt;=100*0.8,5,IF(H377&gt;=100*0.7,4,IF(H377&gt;=100*0.6,3.5,IF(H377&gt;=100*0.5,3,IF(H377&gt;=100*0.4,2,IF(H377&gt;=100*0.33,1,0))))))))</f>
        <v/>
      </c>
      <c r="AA377">
        <f>IF(B377="","",IF(I377&lt;33.0,0,IF(I377&gt;=100*0.8,5,IF(I377&gt;=100*0.7,4,IF(I377&gt;=100*0.6,3.5,IF(I377&gt;=100*0.5,3,IF(I377&gt;=100*0.4,2,IF(I377&gt;=100*0.33,1,0))))))))</f>
        <v/>
      </c>
      <c r="AB377">
        <f>IF(B377="","",IF(J377&lt;33.0,0,IF(J377&gt;=100*0.8,5,IF(J377&gt;=100*0.7,4,IF(J377&gt;=100*0.6,3.5,IF(J377&gt;=100*0.5,3,IF(J377&gt;=100*0.4,2,IF(J377&gt;=100*0.33,1,0))))))))</f>
        <v/>
      </c>
      <c r="AC377">
        <f>IF(B377="","",IF(K377&lt;33.0,0,IF(K377&gt;=100*0.8,5,IF(K377&gt;=100*0.7,4,IF(K377&gt;=100*0.6,3.5,IF(K377&gt;=100*0.5,3,IF(K377&gt;=100*0.4,2,IF(K377&gt;=100*0.33,1,0))))))))</f>
        <v/>
      </c>
      <c r="AD377">
        <f>IF(B377="","",IF(L377&lt;33.0,0,IF(L377&gt;=100*0.8,5,IF(L377&gt;=100*0.7,4,IF(L377&gt;=100*0.6,3.5,IF(L377&gt;=100*0.5,3,IF(L377&gt;=100*0.4,2,IF(L377&gt;=100*0.33,1,0))))))))</f>
        <v/>
      </c>
      <c r="AE377">
        <f>IF(B377="","",IF(M377&lt;33.0,0,IF(M377&gt;=100*0.8,5,IF(M377&gt;=100*0.7,4,IF(M377&gt;=100*0.6,3.5,IF(M377&gt;=100*0.5,3,IF(M377&gt;=100*0.4,2,IF(M377&gt;=100*0.33,1,0))))))))</f>
        <v/>
      </c>
      <c r="AF377">
        <f>IF(B377="","",IF(N377&lt;16.5,0,IF(N377&gt;=50*0.8,5,IF(N377&gt;=50*0.7,4,IF(N377&gt;=50*0.6,3.5,IF(N377&gt;=50*0.5,3,IF(N377&gt;=50*0.4,2,IF(N377&gt;=50*0.33,1,0))))))))</f>
        <v/>
      </c>
      <c r="AG377">
        <f>IF(B377="","",IF(O377&lt;33.0,0,IF(O377&gt;=100*0.8,5,IF(O377&gt;=100*0.7,4,IF(O377&gt;=100*0.6,3.5,IF(O377&gt;=100*0.5,3,IF(O377&gt;=100*0.4,2,IF(O377&gt;=100*0.33,1,0))))))))</f>
        <v/>
      </c>
      <c r="AH377">
        <f>IF(B377="","",IF(OR(U377=0,V377=0,W377=0,X377=0,Y377=0,Z377=0,AA377=0,AB377=0,AC377=0,AD377=0,AE377=0,AF377=0,AG377=0),1,0))</f>
        <v/>
      </c>
    </row>
    <row r="378">
      <c r="A378" s="3">
        <f>IF(B378="","",ROW()-2)</f>
        <v/>
      </c>
      <c r="P378" s="4">
        <f>IF(B378="","",SUM(C378:O378))</f>
        <v/>
      </c>
      <c r="Q378" s="5">
        <f>IF(B378="","",ROUND(P378/13,2))</f>
        <v/>
      </c>
      <c r="R378" s="5">
        <f>IF(B378="","",IF(AH378=1,0,MIN(5,ROUND((U378+V378+W378+X378+Y378+Z378+AA378+AB378+AC378+AD378+AE378+AF378+AG378)/13,2))))</f>
        <v/>
      </c>
      <c r="S378" s="3">
        <f>IF(B378="","",IF(R378&gt;=5,"A+",IF(R378&gt;=4,"A",IF(R378&gt;=3.5,"A-",IF(R378&gt;=3,"B",IF(R378&gt;=2,"C",IF(R378&gt;=1,"D","F")))))))</f>
        <v/>
      </c>
      <c r="T378" s="3">
        <f>IF(OR(B378="",S378="F"),"",COUNTIFS(P:P,"&gt;"&amp;P378,S:S,"&lt;&gt;F")+1)</f>
        <v/>
      </c>
      <c r="U378">
        <f>IF(B378="","",IF(C378&lt;33.0,0,IF(C378&gt;=100*0.8,5,IF(C378&gt;=100*0.7,4,IF(C378&gt;=100*0.6,3.5,IF(C378&gt;=100*0.5,3,IF(C378&gt;=100*0.4,2,IF(C378&gt;=100*0.33,1,0))))))))</f>
        <v/>
      </c>
      <c r="V378">
        <f>IF(B378="","",IF(D378&lt;33.0,0,IF(D378&gt;=100*0.8,5,IF(D378&gt;=100*0.7,4,IF(D378&gt;=100*0.6,3.5,IF(D378&gt;=100*0.5,3,IF(D378&gt;=100*0.4,2,IF(D378&gt;=100*0.33,1,0))))))))</f>
        <v/>
      </c>
      <c r="W378">
        <f>IF(B378="","",IF(E378&lt;16.5,0,IF(E378&gt;=50*0.8,5,IF(E378&gt;=50*0.7,4,IF(E378&gt;=50*0.6,3.5,IF(E378&gt;=50*0.5,3,IF(E378&gt;=50*0.4,2,IF(E378&gt;=50*0.33,1,0))))))))</f>
        <v/>
      </c>
      <c r="X378">
        <f>IF(B378="","",IF(F378&lt;33.0,0,IF(F378&gt;=100*0.8,5,IF(F378&gt;=100*0.7,4,IF(F378&gt;=100*0.6,3.5,IF(F378&gt;=100*0.5,3,IF(F378&gt;=100*0.4,2,IF(F378&gt;=100*0.33,1,0))))))))</f>
        <v/>
      </c>
      <c r="Y378">
        <f>IF(B378="","",IF(G378&lt;16.5,0,IF(G378&gt;=50*0.8,5,IF(G378&gt;=50*0.7,4,IF(G378&gt;=50*0.6,3.5,IF(G378&gt;=50*0.5,3,IF(G378&gt;=50*0.4,2,IF(G378&gt;=50*0.33,1,0))))))))</f>
        <v/>
      </c>
      <c r="Z378">
        <f>IF(B378="","",IF(H378&lt;33.0,0,IF(H378&gt;=100*0.8,5,IF(H378&gt;=100*0.7,4,IF(H378&gt;=100*0.6,3.5,IF(H378&gt;=100*0.5,3,IF(H378&gt;=100*0.4,2,IF(H378&gt;=100*0.33,1,0))))))))</f>
        <v/>
      </c>
      <c r="AA378">
        <f>IF(B378="","",IF(I378&lt;33.0,0,IF(I378&gt;=100*0.8,5,IF(I378&gt;=100*0.7,4,IF(I378&gt;=100*0.6,3.5,IF(I378&gt;=100*0.5,3,IF(I378&gt;=100*0.4,2,IF(I378&gt;=100*0.33,1,0))))))))</f>
        <v/>
      </c>
      <c r="AB378">
        <f>IF(B378="","",IF(J378&lt;33.0,0,IF(J378&gt;=100*0.8,5,IF(J378&gt;=100*0.7,4,IF(J378&gt;=100*0.6,3.5,IF(J378&gt;=100*0.5,3,IF(J378&gt;=100*0.4,2,IF(J378&gt;=100*0.33,1,0))))))))</f>
        <v/>
      </c>
      <c r="AC378">
        <f>IF(B378="","",IF(K378&lt;33.0,0,IF(K378&gt;=100*0.8,5,IF(K378&gt;=100*0.7,4,IF(K378&gt;=100*0.6,3.5,IF(K378&gt;=100*0.5,3,IF(K378&gt;=100*0.4,2,IF(K378&gt;=100*0.33,1,0))))))))</f>
        <v/>
      </c>
      <c r="AD378">
        <f>IF(B378="","",IF(L378&lt;33.0,0,IF(L378&gt;=100*0.8,5,IF(L378&gt;=100*0.7,4,IF(L378&gt;=100*0.6,3.5,IF(L378&gt;=100*0.5,3,IF(L378&gt;=100*0.4,2,IF(L378&gt;=100*0.33,1,0))))))))</f>
        <v/>
      </c>
      <c r="AE378">
        <f>IF(B378="","",IF(M378&lt;33.0,0,IF(M378&gt;=100*0.8,5,IF(M378&gt;=100*0.7,4,IF(M378&gt;=100*0.6,3.5,IF(M378&gt;=100*0.5,3,IF(M378&gt;=100*0.4,2,IF(M378&gt;=100*0.33,1,0))))))))</f>
        <v/>
      </c>
      <c r="AF378">
        <f>IF(B378="","",IF(N378&lt;16.5,0,IF(N378&gt;=50*0.8,5,IF(N378&gt;=50*0.7,4,IF(N378&gt;=50*0.6,3.5,IF(N378&gt;=50*0.5,3,IF(N378&gt;=50*0.4,2,IF(N378&gt;=50*0.33,1,0))))))))</f>
        <v/>
      </c>
      <c r="AG378">
        <f>IF(B378="","",IF(O378&lt;33.0,0,IF(O378&gt;=100*0.8,5,IF(O378&gt;=100*0.7,4,IF(O378&gt;=100*0.6,3.5,IF(O378&gt;=100*0.5,3,IF(O378&gt;=100*0.4,2,IF(O378&gt;=100*0.33,1,0))))))))</f>
        <v/>
      </c>
      <c r="AH378">
        <f>IF(B378="","",IF(OR(U378=0,V378=0,W378=0,X378=0,Y378=0,Z378=0,AA378=0,AB378=0,AC378=0,AD378=0,AE378=0,AF378=0,AG378=0),1,0))</f>
        <v/>
      </c>
    </row>
    <row r="379">
      <c r="A379" s="3">
        <f>IF(B379="","",ROW()-2)</f>
        <v/>
      </c>
      <c r="P379" s="4">
        <f>IF(B379="","",SUM(C379:O379))</f>
        <v/>
      </c>
      <c r="Q379" s="5">
        <f>IF(B379="","",ROUND(P379/13,2))</f>
        <v/>
      </c>
      <c r="R379" s="5">
        <f>IF(B379="","",IF(AH379=1,0,MIN(5,ROUND((U379+V379+W379+X379+Y379+Z379+AA379+AB379+AC379+AD379+AE379+AF379+AG379)/13,2))))</f>
        <v/>
      </c>
      <c r="S379" s="3">
        <f>IF(B379="","",IF(R379&gt;=5,"A+",IF(R379&gt;=4,"A",IF(R379&gt;=3.5,"A-",IF(R379&gt;=3,"B",IF(R379&gt;=2,"C",IF(R379&gt;=1,"D","F")))))))</f>
        <v/>
      </c>
      <c r="T379" s="3">
        <f>IF(OR(B379="",S379="F"),"",COUNTIFS(P:P,"&gt;"&amp;P379,S:S,"&lt;&gt;F")+1)</f>
        <v/>
      </c>
      <c r="U379">
        <f>IF(B379="","",IF(C379&lt;33.0,0,IF(C379&gt;=100*0.8,5,IF(C379&gt;=100*0.7,4,IF(C379&gt;=100*0.6,3.5,IF(C379&gt;=100*0.5,3,IF(C379&gt;=100*0.4,2,IF(C379&gt;=100*0.33,1,0))))))))</f>
        <v/>
      </c>
      <c r="V379">
        <f>IF(B379="","",IF(D379&lt;33.0,0,IF(D379&gt;=100*0.8,5,IF(D379&gt;=100*0.7,4,IF(D379&gt;=100*0.6,3.5,IF(D379&gt;=100*0.5,3,IF(D379&gt;=100*0.4,2,IF(D379&gt;=100*0.33,1,0))))))))</f>
        <v/>
      </c>
      <c r="W379">
        <f>IF(B379="","",IF(E379&lt;16.5,0,IF(E379&gt;=50*0.8,5,IF(E379&gt;=50*0.7,4,IF(E379&gt;=50*0.6,3.5,IF(E379&gt;=50*0.5,3,IF(E379&gt;=50*0.4,2,IF(E379&gt;=50*0.33,1,0))))))))</f>
        <v/>
      </c>
      <c r="X379">
        <f>IF(B379="","",IF(F379&lt;33.0,0,IF(F379&gt;=100*0.8,5,IF(F379&gt;=100*0.7,4,IF(F379&gt;=100*0.6,3.5,IF(F379&gt;=100*0.5,3,IF(F379&gt;=100*0.4,2,IF(F379&gt;=100*0.33,1,0))))))))</f>
        <v/>
      </c>
      <c r="Y379">
        <f>IF(B379="","",IF(G379&lt;16.5,0,IF(G379&gt;=50*0.8,5,IF(G379&gt;=50*0.7,4,IF(G379&gt;=50*0.6,3.5,IF(G379&gt;=50*0.5,3,IF(G379&gt;=50*0.4,2,IF(G379&gt;=50*0.33,1,0))))))))</f>
        <v/>
      </c>
      <c r="Z379">
        <f>IF(B379="","",IF(H379&lt;33.0,0,IF(H379&gt;=100*0.8,5,IF(H379&gt;=100*0.7,4,IF(H379&gt;=100*0.6,3.5,IF(H379&gt;=100*0.5,3,IF(H379&gt;=100*0.4,2,IF(H379&gt;=100*0.33,1,0))))))))</f>
        <v/>
      </c>
      <c r="AA379">
        <f>IF(B379="","",IF(I379&lt;33.0,0,IF(I379&gt;=100*0.8,5,IF(I379&gt;=100*0.7,4,IF(I379&gt;=100*0.6,3.5,IF(I379&gt;=100*0.5,3,IF(I379&gt;=100*0.4,2,IF(I379&gt;=100*0.33,1,0))))))))</f>
        <v/>
      </c>
      <c r="AB379">
        <f>IF(B379="","",IF(J379&lt;33.0,0,IF(J379&gt;=100*0.8,5,IF(J379&gt;=100*0.7,4,IF(J379&gt;=100*0.6,3.5,IF(J379&gt;=100*0.5,3,IF(J379&gt;=100*0.4,2,IF(J379&gt;=100*0.33,1,0))))))))</f>
        <v/>
      </c>
      <c r="AC379">
        <f>IF(B379="","",IF(K379&lt;33.0,0,IF(K379&gt;=100*0.8,5,IF(K379&gt;=100*0.7,4,IF(K379&gt;=100*0.6,3.5,IF(K379&gt;=100*0.5,3,IF(K379&gt;=100*0.4,2,IF(K379&gt;=100*0.33,1,0))))))))</f>
        <v/>
      </c>
      <c r="AD379">
        <f>IF(B379="","",IF(L379&lt;33.0,0,IF(L379&gt;=100*0.8,5,IF(L379&gt;=100*0.7,4,IF(L379&gt;=100*0.6,3.5,IF(L379&gt;=100*0.5,3,IF(L379&gt;=100*0.4,2,IF(L379&gt;=100*0.33,1,0))))))))</f>
        <v/>
      </c>
      <c r="AE379">
        <f>IF(B379="","",IF(M379&lt;33.0,0,IF(M379&gt;=100*0.8,5,IF(M379&gt;=100*0.7,4,IF(M379&gt;=100*0.6,3.5,IF(M379&gt;=100*0.5,3,IF(M379&gt;=100*0.4,2,IF(M379&gt;=100*0.33,1,0))))))))</f>
        <v/>
      </c>
      <c r="AF379">
        <f>IF(B379="","",IF(N379&lt;16.5,0,IF(N379&gt;=50*0.8,5,IF(N379&gt;=50*0.7,4,IF(N379&gt;=50*0.6,3.5,IF(N379&gt;=50*0.5,3,IF(N379&gt;=50*0.4,2,IF(N379&gt;=50*0.33,1,0))))))))</f>
        <v/>
      </c>
      <c r="AG379">
        <f>IF(B379="","",IF(O379&lt;33.0,0,IF(O379&gt;=100*0.8,5,IF(O379&gt;=100*0.7,4,IF(O379&gt;=100*0.6,3.5,IF(O379&gt;=100*0.5,3,IF(O379&gt;=100*0.4,2,IF(O379&gt;=100*0.33,1,0))))))))</f>
        <v/>
      </c>
      <c r="AH379">
        <f>IF(B379="","",IF(OR(U379=0,V379=0,W379=0,X379=0,Y379=0,Z379=0,AA379=0,AB379=0,AC379=0,AD379=0,AE379=0,AF379=0,AG379=0),1,0))</f>
        <v/>
      </c>
    </row>
    <row r="380">
      <c r="A380" s="3">
        <f>IF(B380="","",ROW()-2)</f>
        <v/>
      </c>
      <c r="P380" s="4">
        <f>IF(B380="","",SUM(C380:O380))</f>
        <v/>
      </c>
      <c r="Q380" s="5">
        <f>IF(B380="","",ROUND(P380/13,2))</f>
        <v/>
      </c>
      <c r="R380" s="5">
        <f>IF(B380="","",IF(AH380=1,0,MIN(5,ROUND((U380+V380+W380+X380+Y380+Z380+AA380+AB380+AC380+AD380+AE380+AF380+AG380)/13,2))))</f>
        <v/>
      </c>
      <c r="S380" s="3">
        <f>IF(B380="","",IF(R380&gt;=5,"A+",IF(R380&gt;=4,"A",IF(R380&gt;=3.5,"A-",IF(R380&gt;=3,"B",IF(R380&gt;=2,"C",IF(R380&gt;=1,"D","F")))))))</f>
        <v/>
      </c>
      <c r="T380" s="3">
        <f>IF(OR(B380="",S380="F"),"",COUNTIFS(P:P,"&gt;"&amp;P380,S:S,"&lt;&gt;F")+1)</f>
        <v/>
      </c>
      <c r="U380">
        <f>IF(B380="","",IF(C380&lt;33.0,0,IF(C380&gt;=100*0.8,5,IF(C380&gt;=100*0.7,4,IF(C380&gt;=100*0.6,3.5,IF(C380&gt;=100*0.5,3,IF(C380&gt;=100*0.4,2,IF(C380&gt;=100*0.33,1,0))))))))</f>
        <v/>
      </c>
      <c r="V380">
        <f>IF(B380="","",IF(D380&lt;33.0,0,IF(D380&gt;=100*0.8,5,IF(D380&gt;=100*0.7,4,IF(D380&gt;=100*0.6,3.5,IF(D380&gt;=100*0.5,3,IF(D380&gt;=100*0.4,2,IF(D380&gt;=100*0.33,1,0))))))))</f>
        <v/>
      </c>
      <c r="W380">
        <f>IF(B380="","",IF(E380&lt;16.5,0,IF(E380&gt;=50*0.8,5,IF(E380&gt;=50*0.7,4,IF(E380&gt;=50*0.6,3.5,IF(E380&gt;=50*0.5,3,IF(E380&gt;=50*0.4,2,IF(E380&gt;=50*0.33,1,0))))))))</f>
        <v/>
      </c>
      <c r="X380">
        <f>IF(B380="","",IF(F380&lt;33.0,0,IF(F380&gt;=100*0.8,5,IF(F380&gt;=100*0.7,4,IF(F380&gt;=100*0.6,3.5,IF(F380&gt;=100*0.5,3,IF(F380&gt;=100*0.4,2,IF(F380&gt;=100*0.33,1,0))))))))</f>
        <v/>
      </c>
      <c r="Y380">
        <f>IF(B380="","",IF(G380&lt;16.5,0,IF(G380&gt;=50*0.8,5,IF(G380&gt;=50*0.7,4,IF(G380&gt;=50*0.6,3.5,IF(G380&gt;=50*0.5,3,IF(G380&gt;=50*0.4,2,IF(G380&gt;=50*0.33,1,0))))))))</f>
        <v/>
      </c>
      <c r="Z380">
        <f>IF(B380="","",IF(H380&lt;33.0,0,IF(H380&gt;=100*0.8,5,IF(H380&gt;=100*0.7,4,IF(H380&gt;=100*0.6,3.5,IF(H380&gt;=100*0.5,3,IF(H380&gt;=100*0.4,2,IF(H380&gt;=100*0.33,1,0))))))))</f>
        <v/>
      </c>
      <c r="AA380">
        <f>IF(B380="","",IF(I380&lt;33.0,0,IF(I380&gt;=100*0.8,5,IF(I380&gt;=100*0.7,4,IF(I380&gt;=100*0.6,3.5,IF(I380&gt;=100*0.5,3,IF(I380&gt;=100*0.4,2,IF(I380&gt;=100*0.33,1,0))))))))</f>
        <v/>
      </c>
      <c r="AB380">
        <f>IF(B380="","",IF(J380&lt;33.0,0,IF(J380&gt;=100*0.8,5,IF(J380&gt;=100*0.7,4,IF(J380&gt;=100*0.6,3.5,IF(J380&gt;=100*0.5,3,IF(J380&gt;=100*0.4,2,IF(J380&gt;=100*0.33,1,0))))))))</f>
        <v/>
      </c>
      <c r="AC380">
        <f>IF(B380="","",IF(K380&lt;33.0,0,IF(K380&gt;=100*0.8,5,IF(K380&gt;=100*0.7,4,IF(K380&gt;=100*0.6,3.5,IF(K380&gt;=100*0.5,3,IF(K380&gt;=100*0.4,2,IF(K380&gt;=100*0.33,1,0))))))))</f>
        <v/>
      </c>
      <c r="AD380">
        <f>IF(B380="","",IF(L380&lt;33.0,0,IF(L380&gt;=100*0.8,5,IF(L380&gt;=100*0.7,4,IF(L380&gt;=100*0.6,3.5,IF(L380&gt;=100*0.5,3,IF(L380&gt;=100*0.4,2,IF(L380&gt;=100*0.33,1,0))))))))</f>
        <v/>
      </c>
      <c r="AE380">
        <f>IF(B380="","",IF(M380&lt;33.0,0,IF(M380&gt;=100*0.8,5,IF(M380&gt;=100*0.7,4,IF(M380&gt;=100*0.6,3.5,IF(M380&gt;=100*0.5,3,IF(M380&gt;=100*0.4,2,IF(M380&gt;=100*0.33,1,0))))))))</f>
        <v/>
      </c>
      <c r="AF380">
        <f>IF(B380="","",IF(N380&lt;16.5,0,IF(N380&gt;=50*0.8,5,IF(N380&gt;=50*0.7,4,IF(N380&gt;=50*0.6,3.5,IF(N380&gt;=50*0.5,3,IF(N380&gt;=50*0.4,2,IF(N380&gt;=50*0.33,1,0))))))))</f>
        <v/>
      </c>
      <c r="AG380">
        <f>IF(B380="","",IF(O380&lt;33.0,0,IF(O380&gt;=100*0.8,5,IF(O380&gt;=100*0.7,4,IF(O380&gt;=100*0.6,3.5,IF(O380&gt;=100*0.5,3,IF(O380&gt;=100*0.4,2,IF(O380&gt;=100*0.33,1,0))))))))</f>
        <v/>
      </c>
      <c r="AH380">
        <f>IF(B380="","",IF(OR(U380=0,V380=0,W380=0,X380=0,Y380=0,Z380=0,AA380=0,AB380=0,AC380=0,AD380=0,AE380=0,AF380=0,AG380=0),1,0))</f>
        <v/>
      </c>
    </row>
    <row r="381">
      <c r="A381" s="3">
        <f>IF(B381="","",ROW()-2)</f>
        <v/>
      </c>
      <c r="P381" s="4">
        <f>IF(B381="","",SUM(C381:O381))</f>
        <v/>
      </c>
      <c r="Q381" s="5">
        <f>IF(B381="","",ROUND(P381/13,2))</f>
        <v/>
      </c>
      <c r="R381" s="5">
        <f>IF(B381="","",IF(AH381=1,0,MIN(5,ROUND((U381+V381+W381+X381+Y381+Z381+AA381+AB381+AC381+AD381+AE381+AF381+AG381)/13,2))))</f>
        <v/>
      </c>
      <c r="S381" s="3">
        <f>IF(B381="","",IF(R381&gt;=5,"A+",IF(R381&gt;=4,"A",IF(R381&gt;=3.5,"A-",IF(R381&gt;=3,"B",IF(R381&gt;=2,"C",IF(R381&gt;=1,"D","F")))))))</f>
        <v/>
      </c>
      <c r="T381" s="3">
        <f>IF(OR(B381="",S381="F"),"",COUNTIFS(P:P,"&gt;"&amp;P381,S:S,"&lt;&gt;F")+1)</f>
        <v/>
      </c>
      <c r="U381">
        <f>IF(B381="","",IF(C381&lt;33.0,0,IF(C381&gt;=100*0.8,5,IF(C381&gt;=100*0.7,4,IF(C381&gt;=100*0.6,3.5,IF(C381&gt;=100*0.5,3,IF(C381&gt;=100*0.4,2,IF(C381&gt;=100*0.33,1,0))))))))</f>
        <v/>
      </c>
      <c r="V381">
        <f>IF(B381="","",IF(D381&lt;33.0,0,IF(D381&gt;=100*0.8,5,IF(D381&gt;=100*0.7,4,IF(D381&gt;=100*0.6,3.5,IF(D381&gt;=100*0.5,3,IF(D381&gt;=100*0.4,2,IF(D381&gt;=100*0.33,1,0))))))))</f>
        <v/>
      </c>
      <c r="W381">
        <f>IF(B381="","",IF(E381&lt;16.5,0,IF(E381&gt;=50*0.8,5,IF(E381&gt;=50*0.7,4,IF(E381&gt;=50*0.6,3.5,IF(E381&gt;=50*0.5,3,IF(E381&gt;=50*0.4,2,IF(E381&gt;=50*0.33,1,0))))))))</f>
        <v/>
      </c>
      <c r="X381">
        <f>IF(B381="","",IF(F381&lt;33.0,0,IF(F381&gt;=100*0.8,5,IF(F381&gt;=100*0.7,4,IF(F381&gt;=100*0.6,3.5,IF(F381&gt;=100*0.5,3,IF(F381&gt;=100*0.4,2,IF(F381&gt;=100*0.33,1,0))))))))</f>
        <v/>
      </c>
      <c r="Y381">
        <f>IF(B381="","",IF(G381&lt;16.5,0,IF(G381&gt;=50*0.8,5,IF(G381&gt;=50*0.7,4,IF(G381&gt;=50*0.6,3.5,IF(G381&gt;=50*0.5,3,IF(G381&gt;=50*0.4,2,IF(G381&gt;=50*0.33,1,0))))))))</f>
        <v/>
      </c>
      <c r="Z381">
        <f>IF(B381="","",IF(H381&lt;33.0,0,IF(H381&gt;=100*0.8,5,IF(H381&gt;=100*0.7,4,IF(H381&gt;=100*0.6,3.5,IF(H381&gt;=100*0.5,3,IF(H381&gt;=100*0.4,2,IF(H381&gt;=100*0.33,1,0))))))))</f>
        <v/>
      </c>
      <c r="AA381">
        <f>IF(B381="","",IF(I381&lt;33.0,0,IF(I381&gt;=100*0.8,5,IF(I381&gt;=100*0.7,4,IF(I381&gt;=100*0.6,3.5,IF(I381&gt;=100*0.5,3,IF(I381&gt;=100*0.4,2,IF(I381&gt;=100*0.33,1,0))))))))</f>
        <v/>
      </c>
      <c r="AB381">
        <f>IF(B381="","",IF(J381&lt;33.0,0,IF(J381&gt;=100*0.8,5,IF(J381&gt;=100*0.7,4,IF(J381&gt;=100*0.6,3.5,IF(J381&gt;=100*0.5,3,IF(J381&gt;=100*0.4,2,IF(J381&gt;=100*0.33,1,0))))))))</f>
        <v/>
      </c>
      <c r="AC381">
        <f>IF(B381="","",IF(K381&lt;33.0,0,IF(K381&gt;=100*0.8,5,IF(K381&gt;=100*0.7,4,IF(K381&gt;=100*0.6,3.5,IF(K381&gt;=100*0.5,3,IF(K381&gt;=100*0.4,2,IF(K381&gt;=100*0.33,1,0))))))))</f>
        <v/>
      </c>
      <c r="AD381">
        <f>IF(B381="","",IF(L381&lt;33.0,0,IF(L381&gt;=100*0.8,5,IF(L381&gt;=100*0.7,4,IF(L381&gt;=100*0.6,3.5,IF(L381&gt;=100*0.5,3,IF(L381&gt;=100*0.4,2,IF(L381&gt;=100*0.33,1,0))))))))</f>
        <v/>
      </c>
      <c r="AE381">
        <f>IF(B381="","",IF(M381&lt;33.0,0,IF(M381&gt;=100*0.8,5,IF(M381&gt;=100*0.7,4,IF(M381&gt;=100*0.6,3.5,IF(M381&gt;=100*0.5,3,IF(M381&gt;=100*0.4,2,IF(M381&gt;=100*0.33,1,0))))))))</f>
        <v/>
      </c>
      <c r="AF381">
        <f>IF(B381="","",IF(N381&lt;16.5,0,IF(N381&gt;=50*0.8,5,IF(N381&gt;=50*0.7,4,IF(N381&gt;=50*0.6,3.5,IF(N381&gt;=50*0.5,3,IF(N381&gt;=50*0.4,2,IF(N381&gt;=50*0.33,1,0))))))))</f>
        <v/>
      </c>
      <c r="AG381">
        <f>IF(B381="","",IF(O381&lt;33.0,0,IF(O381&gt;=100*0.8,5,IF(O381&gt;=100*0.7,4,IF(O381&gt;=100*0.6,3.5,IF(O381&gt;=100*0.5,3,IF(O381&gt;=100*0.4,2,IF(O381&gt;=100*0.33,1,0))))))))</f>
        <v/>
      </c>
      <c r="AH381">
        <f>IF(B381="","",IF(OR(U381=0,V381=0,W381=0,X381=0,Y381=0,Z381=0,AA381=0,AB381=0,AC381=0,AD381=0,AE381=0,AF381=0,AG381=0),1,0))</f>
        <v/>
      </c>
    </row>
    <row r="382">
      <c r="A382" s="3">
        <f>IF(B382="","",ROW()-2)</f>
        <v/>
      </c>
      <c r="P382" s="4">
        <f>IF(B382="","",SUM(C382:O382))</f>
        <v/>
      </c>
      <c r="Q382" s="5">
        <f>IF(B382="","",ROUND(P382/13,2))</f>
        <v/>
      </c>
      <c r="R382" s="5">
        <f>IF(B382="","",IF(AH382=1,0,MIN(5,ROUND((U382+V382+W382+X382+Y382+Z382+AA382+AB382+AC382+AD382+AE382+AF382+AG382)/13,2))))</f>
        <v/>
      </c>
      <c r="S382" s="3">
        <f>IF(B382="","",IF(R382&gt;=5,"A+",IF(R382&gt;=4,"A",IF(R382&gt;=3.5,"A-",IF(R382&gt;=3,"B",IF(R382&gt;=2,"C",IF(R382&gt;=1,"D","F")))))))</f>
        <v/>
      </c>
      <c r="T382" s="3">
        <f>IF(OR(B382="",S382="F"),"",COUNTIFS(P:P,"&gt;"&amp;P382,S:S,"&lt;&gt;F")+1)</f>
        <v/>
      </c>
      <c r="U382">
        <f>IF(B382="","",IF(C382&lt;33.0,0,IF(C382&gt;=100*0.8,5,IF(C382&gt;=100*0.7,4,IF(C382&gt;=100*0.6,3.5,IF(C382&gt;=100*0.5,3,IF(C382&gt;=100*0.4,2,IF(C382&gt;=100*0.33,1,0))))))))</f>
        <v/>
      </c>
      <c r="V382">
        <f>IF(B382="","",IF(D382&lt;33.0,0,IF(D382&gt;=100*0.8,5,IF(D382&gt;=100*0.7,4,IF(D382&gt;=100*0.6,3.5,IF(D382&gt;=100*0.5,3,IF(D382&gt;=100*0.4,2,IF(D382&gt;=100*0.33,1,0))))))))</f>
        <v/>
      </c>
      <c r="W382">
        <f>IF(B382="","",IF(E382&lt;16.5,0,IF(E382&gt;=50*0.8,5,IF(E382&gt;=50*0.7,4,IF(E382&gt;=50*0.6,3.5,IF(E382&gt;=50*0.5,3,IF(E382&gt;=50*0.4,2,IF(E382&gt;=50*0.33,1,0))))))))</f>
        <v/>
      </c>
      <c r="X382">
        <f>IF(B382="","",IF(F382&lt;33.0,0,IF(F382&gt;=100*0.8,5,IF(F382&gt;=100*0.7,4,IF(F382&gt;=100*0.6,3.5,IF(F382&gt;=100*0.5,3,IF(F382&gt;=100*0.4,2,IF(F382&gt;=100*0.33,1,0))))))))</f>
        <v/>
      </c>
      <c r="Y382">
        <f>IF(B382="","",IF(G382&lt;16.5,0,IF(G382&gt;=50*0.8,5,IF(G382&gt;=50*0.7,4,IF(G382&gt;=50*0.6,3.5,IF(G382&gt;=50*0.5,3,IF(G382&gt;=50*0.4,2,IF(G382&gt;=50*0.33,1,0))))))))</f>
        <v/>
      </c>
      <c r="Z382">
        <f>IF(B382="","",IF(H382&lt;33.0,0,IF(H382&gt;=100*0.8,5,IF(H382&gt;=100*0.7,4,IF(H382&gt;=100*0.6,3.5,IF(H382&gt;=100*0.5,3,IF(H382&gt;=100*0.4,2,IF(H382&gt;=100*0.33,1,0))))))))</f>
        <v/>
      </c>
      <c r="AA382">
        <f>IF(B382="","",IF(I382&lt;33.0,0,IF(I382&gt;=100*0.8,5,IF(I382&gt;=100*0.7,4,IF(I382&gt;=100*0.6,3.5,IF(I382&gt;=100*0.5,3,IF(I382&gt;=100*0.4,2,IF(I382&gt;=100*0.33,1,0))))))))</f>
        <v/>
      </c>
      <c r="AB382">
        <f>IF(B382="","",IF(J382&lt;33.0,0,IF(J382&gt;=100*0.8,5,IF(J382&gt;=100*0.7,4,IF(J382&gt;=100*0.6,3.5,IF(J382&gt;=100*0.5,3,IF(J382&gt;=100*0.4,2,IF(J382&gt;=100*0.33,1,0))))))))</f>
        <v/>
      </c>
      <c r="AC382">
        <f>IF(B382="","",IF(K382&lt;33.0,0,IF(K382&gt;=100*0.8,5,IF(K382&gt;=100*0.7,4,IF(K382&gt;=100*0.6,3.5,IF(K382&gt;=100*0.5,3,IF(K382&gt;=100*0.4,2,IF(K382&gt;=100*0.33,1,0))))))))</f>
        <v/>
      </c>
      <c r="AD382">
        <f>IF(B382="","",IF(L382&lt;33.0,0,IF(L382&gt;=100*0.8,5,IF(L382&gt;=100*0.7,4,IF(L382&gt;=100*0.6,3.5,IF(L382&gt;=100*0.5,3,IF(L382&gt;=100*0.4,2,IF(L382&gt;=100*0.33,1,0))))))))</f>
        <v/>
      </c>
      <c r="AE382">
        <f>IF(B382="","",IF(M382&lt;33.0,0,IF(M382&gt;=100*0.8,5,IF(M382&gt;=100*0.7,4,IF(M382&gt;=100*0.6,3.5,IF(M382&gt;=100*0.5,3,IF(M382&gt;=100*0.4,2,IF(M382&gt;=100*0.33,1,0))))))))</f>
        <v/>
      </c>
      <c r="AF382">
        <f>IF(B382="","",IF(N382&lt;16.5,0,IF(N382&gt;=50*0.8,5,IF(N382&gt;=50*0.7,4,IF(N382&gt;=50*0.6,3.5,IF(N382&gt;=50*0.5,3,IF(N382&gt;=50*0.4,2,IF(N382&gt;=50*0.33,1,0))))))))</f>
        <v/>
      </c>
      <c r="AG382">
        <f>IF(B382="","",IF(O382&lt;33.0,0,IF(O382&gt;=100*0.8,5,IF(O382&gt;=100*0.7,4,IF(O382&gt;=100*0.6,3.5,IF(O382&gt;=100*0.5,3,IF(O382&gt;=100*0.4,2,IF(O382&gt;=100*0.33,1,0))))))))</f>
        <v/>
      </c>
      <c r="AH382">
        <f>IF(B382="","",IF(OR(U382=0,V382=0,W382=0,X382=0,Y382=0,Z382=0,AA382=0,AB382=0,AC382=0,AD382=0,AE382=0,AF382=0,AG382=0),1,0))</f>
        <v/>
      </c>
    </row>
    <row r="383">
      <c r="A383" s="3">
        <f>IF(B383="","",ROW()-2)</f>
        <v/>
      </c>
      <c r="P383" s="4">
        <f>IF(B383="","",SUM(C383:O383))</f>
        <v/>
      </c>
      <c r="Q383" s="5">
        <f>IF(B383="","",ROUND(P383/13,2))</f>
        <v/>
      </c>
      <c r="R383" s="5">
        <f>IF(B383="","",IF(AH383=1,0,MIN(5,ROUND((U383+V383+W383+X383+Y383+Z383+AA383+AB383+AC383+AD383+AE383+AF383+AG383)/13,2))))</f>
        <v/>
      </c>
      <c r="S383" s="3">
        <f>IF(B383="","",IF(R383&gt;=5,"A+",IF(R383&gt;=4,"A",IF(R383&gt;=3.5,"A-",IF(R383&gt;=3,"B",IF(R383&gt;=2,"C",IF(R383&gt;=1,"D","F")))))))</f>
        <v/>
      </c>
      <c r="T383" s="3">
        <f>IF(OR(B383="",S383="F"),"",COUNTIFS(P:P,"&gt;"&amp;P383,S:S,"&lt;&gt;F")+1)</f>
        <v/>
      </c>
      <c r="U383">
        <f>IF(B383="","",IF(C383&lt;33.0,0,IF(C383&gt;=100*0.8,5,IF(C383&gt;=100*0.7,4,IF(C383&gt;=100*0.6,3.5,IF(C383&gt;=100*0.5,3,IF(C383&gt;=100*0.4,2,IF(C383&gt;=100*0.33,1,0))))))))</f>
        <v/>
      </c>
      <c r="V383">
        <f>IF(B383="","",IF(D383&lt;33.0,0,IF(D383&gt;=100*0.8,5,IF(D383&gt;=100*0.7,4,IF(D383&gt;=100*0.6,3.5,IF(D383&gt;=100*0.5,3,IF(D383&gt;=100*0.4,2,IF(D383&gt;=100*0.33,1,0))))))))</f>
        <v/>
      </c>
      <c r="W383">
        <f>IF(B383="","",IF(E383&lt;16.5,0,IF(E383&gt;=50*0.8,5,IF(E383&gt;=50*0.7,4,IF(E383&gt;=50*0.6,3.5,IF(E383&gt;=50*0.5,3,IF(E383&gt;=50*0.4,2,IF(E383&gt;=50*0.33,1,0))))))))</f>
        <v/>
      </c>
      <c r="X383">
        <f>IF(B383="","",IF(F383&lt;33.0,0,IF(F383&gt;=100*0.8,5,IF(F383&gt;=100*0.7,4,IF(F383&gt;=100*0.6,3.5,IF(F383&gt;=100*0.5,3,IF(F383&gt;=100*0.4,2,IF(F383&gt;=100*0.33,1,0))))))))</f>
        <v/>
      </c>
      <c r="Y383">
        <f>IF(B383="","",IF(G383&lt;16.5,0,IF(G383&gt;=50*0.8,5,IF(G383&gt;=50*0.7,4,IF(G383&gt;=50*0.6,3.5,IF(G383&gt;=50*0.5,3,IF(G383&gt;=50*0.4,2,IF(G383&gt;=50*0.33,1,0))))))))</f>
        <v/>
      </c>
      <c r="Z383">
        <f>IF(B383="","",IF(H383&lt;33.0,0,IF(H383&gt;=100*0.8,5,IF(H383&gt;=100*0.7,4,IF(H383&gt;=100*0.6,3.5,IF(H383&gt;=100*0.5,3,IF(H383&gt;=100*0.4,2,IF(H383&gt;=100*0.33,1,0))))))))</f>
        <v/>
      </c>
      <c r="AA383">
        <f>IF(B383="","",IF(I383&lt;33.0,0,IF(I383&gt;=100*0.8,5,IF(I383&gt;=100*0.7,4,IF(I383&gt;=100*0.6,3.5,IF(I383&gt;=100*0.5,3,IF(I383&gt;=100*0.4,2,IF(I383&gt;=100*0.33,1,0))))))))</f>
        <v/>
      </c>
      <c r="AB383">
        <f>IF(B383="","",IF(J383&lt;33.0,0,IF(J383&gt;=100*0.8,5,IF(J383&gt;=100*0.7,4,IF(J383&gt;=100*0.6,3.5,IF(J383&gt;=100*0.5,3,IF(J383&gt;=100*0.4,2,IF(J383&gt;=100*0.33,1,0))))))))</f>
        <v/>
      </c>
      <c r="AC383">
        <f>IF(B383="","",IF(K383&lt;33.0,0,IF(K383&gt;=100*0.8,5,IF(K383&gt;=100*0.7,4,IF(K383&gt;=100*0.6,3.5,IF(K383&gt;=100*0.5,3,IF(K383&gt;=100*0.4,2,IF(K383&gt;=100*0.33,1,0))))))))</f>
        <v/>
      </c>
      <c r="AD383">
        <f>IF(B383="","",IF(L383&lt;33.0,0,IF(L383&gt;=100*0.8,5,IF(L383&gt;=100*0.7,4,IF(L383&gt;=100*0.6,3.5,IF(L383&gt;=100*0.5,3,IF(L383&gt;=100*0.4,2,IF(L383&gt;=100*0.33,1,0))))))))</f>
        <v/>
      </c>
      <c r="AE383">
        <f>IF(B383="","",IF(M383&lt;33.0,0,IF(M383&gt;=100*0.8,5,IF(M383&gt;=100*0.7,4,IF(M383&gt;=100*0.6,3.5,IF(M383&gt;=100*0.5,3,IF(M383&gt;=100*0.4,2,IF(M383&gt;=100*0.33,1,0))))))))</f>
        <v/>
      </c>
      <c r="AF383">
        <f>IF(B383="","",IF(N383&lt;16.5,0,IF(N383&gt;=50*0.8,5,IF(N383&gt;=50*0.7,4,IF(N383&gt;=50*0.6,3.5,IF(N383&gt;=50*0.5,3,IF(N383&gt;=50*0.4,2,IF(N383&gt;=50*0.33,1,0))))))))</f>
        <v/>
      </c>
      <c r="AG383">
        <f>IF(B383="","",IF(O383&lt;33.0,0,IF(O383&gt;=100*0.8,5,IF(O383&gt;=100*0.7,4,IF(O383&gt;=100*0.6,3.5,IF(O383&gt;=100*0.5,3,IF(O383&gt;=100*0.4,2,IF(O383&gt;=100*0.33,1,0))))))))</f>
        <v/>
      </c>
      <c r="AH383">
        <f>IF(B383="","",IF(OR(U383=0,V383=0,W383=0,X383=0,Y383=0,Z383=0,AA383=0,AB383=0,AC383=0,AD383=0,AE383=0,AF383=0,AG383=0),1,0))</f>
        <v/>
      </c>
    </row>
    <row r="384">
      <c r="A384" s="3">
        <f>IF(B384="","",ROW()-2)</f>
        <v/>
      </c>
      <c r="P384" s="4">
        <f>IF(B384="","",SUM(C384:O384))</f>
        <v/>
      </c>
      <c r="Q384" s="5">
        <f>IF(B384="","",ROUND(P384/13,2))</f>
        <v/>
      </c>
      <c r="R384" s="5">
        <f>IF(B384="","",IF(AH384=1,0,MIN(5,ROUND((U384+V384+W384+X384+Y384+Z384+AA384+AB384+AC384+AD384+AE384+AF384+AG384)/13,2))))</f>
        <v/>
      </c>
      <c r="S384" s="3">
        <f>IF(B384="","",IF(R384&gt;=5,"A+",IF(R384&gt;=4,"A",IF(R384&gt;=3.5,"A-",IF(R384&gt;=3,"B",IF(R384&gt;=2,"C",IF(R384&gt;=1,"D","F")))))))</f>
        <v/>
      </c>
      <c r="T384" s="3">
        <f>IF(OR(B384="",S384="F"),"",COUNTIFS(P:P,"&gt;"&amp;P384,S:S,"&lt;&gt;F")+1)</f>
        <v/>
      </c>
      <c r="U384">
        <f>IF(B384="","",IF(C384&lt;33.0,0,IF(C384&gt;=100*0.8,5,IF(C384&gt;=100*0.7,4,IF(C384&gt;=100*0.6,3.5,IF(C384&gt;=100*0.5,3,IF(C384&gt;=100*0.4,2,IF(C384&gt;=100*0.33,1,0))))))))</f>
        <v/>
      </c>
      <c r="V384">
        <f>IF(B384="","",IF(D384&lt;33.0,0,IF(D384&gt;=100*0.8,5,IF(D384&gt;=100*0.7,4,IF(D384&gt;=100*0.6,3.5,IF(D384&gt;=100*0.5,3,IF(D384&gt;=100*0.4,2,IF(D384&gt;=100*0.33,1,0))))))))</f>
        <v/>
      </c>
      <c r="W384">
        <f>IF(B384="","",IF(E384&lt;16.5,0,IF(E384&gt;=50*0.8,5,IF(E384&gt;=50*0.7,4,IF(E384&gt;=50*0.6,3.5,IF(E384&gt;=50*0.5,3,IF(E384&gt;=50*0.4,2,IF(E384&gt;=50*0.33,1,0))))))))</f>
        <v/>
      </c>
      <c r="X384">
        <f>IF(B384="","",IF(F384&lt;33.0,0,IF(F384&gt;=100*0.8,5,IF(F384&gt;=100*0.7,4,IF(F384&gt;=100*0.6,3.5,IF(F384&gt;=100*0.5,3,IF(F384&gt;=100*0.4,2,IF(F384&gt;=100*0.33,1,0))))))))</f>
        <v/>
      </c>
      <c r="Y384">
        <f>IF(B384="","",IF(G384&lt;16.5,0,IF(G384&gt;=50*0.8,5,IF(G384&gt;=50*0.7,4,IF(G384&gt;=50*0.6,3.5,IF(G384&gt;=50*0.5,3,IF(G384&gt;=50*0.4,2,IF(G384&gt;=50*0.33,1,0))))))))</f>
        <v/>
      </c>
      <c r="Z384">
        <f>IF(B384="","",IF(H384&lt;33.0,0,IF(H384&gt;=100*0.8,5,IF(H384&gt;=100*0.7,4,IF(H384&gt;=100*0.6,3.5,IF(H384&gt;=100*0.5,3,IF(H384&gt;=100*0.4,2,IF(H384&gt;=100*0.33,1,0))))))))</f>
        <v/>
      </c>
      <c r="AA384">
        <f>IF(B384="","",IF(I384&lt;33.0,0,IF(I384&gt;=100*0.8,5,IF(I384&gt;=100*0.7,4,IF(I384&gt;=100*0.6,3.5,IF(I384&gt;=100*0.5,3,IF(I384&gt;=100*0.4,2,IF(I384&gt;=100*0.33,1,0))))))))</f>
        <v/>
      </c>
      <c r="AB384">
        <f>IF(B384="","",IF(J384&lt;33.0,0,IF(J384&gt;=100*0.8,5,IF(J384&gt;=100*0.7,4,IF(J384&gt;=100*0.6,3.5,IF(J384&gt;=100*0.5,3,IF(J384&gt;=100*0.4,2,IF(J384&gt;=100*0.33,1,0))))))))</f>
        <v/>
      </c>
      <c r="AC384">
        <f>IF(B384="","",IF(K384&lt;33.0,0,IF(K384&gt;=100*0.8,5,IF(K384&gt;=100*0.7,4,IF(K384&gt;=100*0.6,3.5,IF(K384&gt;=100*0.5,3,IF(K384&gt;=100*0.4,2,IF(K384&gt;=100*0.33,1,0))))))))</f>
        <v/>
      </c>
      <c r="AD384">
        <f>IF(B384="","",IF(L384&lt;33.0,0,IF(L384&gt;=100*0.8,5,IF(L384&gt;=100*0.7,4,IF(L384&gt;=100*0.6,3.5,IF(L384&gt;=100*0.5,3,IF(L384&gt;=100*0.4,2,IF(L384&gt;=100*0.33,1,0))))))))</f>
        <v/>
      </c>
      <c r="AE384">
        <f>IF(B384="","",IF(M384&lt;33.0,0,IF(M384&gt;=100*0.8,5,IF(M384&gt;=100*0.7,4,IF(M384&gt;=100*0.6,3.5,IF(M384&gt;=100*0.5,3,IF(M384&gt;=100*0.4,2,IF(M384&gt;=100*0.33,1,0))))))))</f>
        <v/>
      </c>
      <c r="AF384">
        <f>IF(B384="","",IF(N384&lt;16.5,0,IF(N384&gt;=50*0.8,5,IF(N384&gt;=50*0.7,4,IF(N384&gt;=50*0.6,3.5,IF(N384&gt;=50*0.5,3,IF(N384&gt;=50*0.4,2,IF(N384&gt;=50*0.33,1,0))))))))</f>
        <v/>
      </c>
      <c r="AG384">
        <f>IF(B384="","",IF(O384&lt;33.0,0,IF(O384&gt;=100*0.8,5,IF(O384&gt;=100*0.7,4,IF(O384&gt;=100*0.6,3.5,IF(O384&gt;=100*0.5,3,IF(O384&gt;=100*0.4,2,IF(O384&gt;=100*0.33,1,0))))))))</f>
        <v/>
      </c>
      <c r="AH384">
        <f>IF(B384="","",IF(OR(U384=0,V384=0,W384=0,X384=0,Y384=0,Z384=0,AA384=0,AB384=0,AC384=0,AD384=0,AE384=0,AF384=0,AG384=0),1,0))</f>
        <v/>
      </c>
    </row>
    <row r="385">
      <c r="A385" s="3">
        <f>IF(B385="","",ROW()-2)</f>
        <v/>
      </c>
      <c r="P385" s="4">
        <f>IF(B385="","",SUM(C385:O385))</f>
        <v/>
      </c>
      <c r="Q385" s="5">
        <f>IF(B385="","",ROUND(P385/13,2))</f>
        <v/>
      </c>
      <c r="R385" s="5">
        <f>IF(B385="","",IF(AH385=1,0,MIN(5,ROUND((U385+V385+W385+X385+Y385+Z385+AA385+AB385+AC385+AD385+AE385+AF385+AG385)/13,2))))</f>
        <v/>
      </c>
      <c r="S385" s="3">
        <f>IF(B385="","",IF(R385&gt;=5,"A+",IF(R385&gt;=4,"A",IF(R385&gt;=3.5,"A-",IF(R385&gt;=3,"B",IF(R385&gt;=2,"C",IF(R385&gt;=1,"D","F")))))))</f>
        <v/>
      </c>
      <c r="T385" s="3">
        <f>IF(OR(B385="",S385="F"),"",COUNTIFS(P:P,"&gt;"&amp;P385,S:S,"&lt;&gt;F")+1)</f>
        <v/>
      </c>
      <c r="U385">
        <f>IF(B385="","",IF(C385&lt;33.0,0,IF(C385&gt;=100*0.8,5,IF(C385&gt;=100*0.7,4,IF(C385&gt;=100*0.6,3.5,IF(C385&gt;=100*0.5,3,IF(C385&gt;=100*0.4,2,IF(C385&gt;=100*0.33,1,0))))))))</f>
        <v/>
      </c>
      <c r="V385">
        <f>IF(B385="","",IF(D385&lt;33.0,0,IF(D385&gt;=100*0.8,5,IF(D385&gt;=100*0.7,4,IF(D385&gt;=100*0.6,3.5,IF(D385&gt;=100*0.5,3,IF(D385&gt;=100*0.4,2,IF(D385&gt;=100*0.33,1,0))))))))</f>
        <v/>
      </c>
      <c r="W385">
        <f>IF(B385="","",IF(E385&lt;16.5,0,IF(E385&gt;=50*0.8,5,IF(E385&gt;=50*0.7,4,IF(E385&gt;=50*0.6,3.5,IF(E385&gt;=50*0.5,3,IF(E385&gt;=50*0.4,2,IF(E385&gt;=50*0.33,1,0))))))))</f>
        <v/>
      </c>
      <c r="X385">
        <f>IF(B385="","",IF(F385&lt;33.0,0,IF(F385&gt;=100*0.8,5,IF(F385&gt;=100*0.7,4,IF(F385&gt;=100*0.6,3.5,IF(F385&gt;=100*0.5,3,IF(F385&gt;=100*0.4,2,IF(F385&gt;=100*0.33,1,0))))))))</f>
        <v/>
      </c>
      <c r="Y385">
        <f>IF(B385="","",IF(G385&lt;16.5,0,IF(G385&gt;=50*0.8,5,IF(G385&gt;=50*0.7,4,IF(G385&gt;=50*0.6,3.5,IF(G385&gt;=50*0.5,3,IF(G385&gt;=50*0.4,2,IF(G385&gt;=50*0.33,1,0))))))))</f>
        <v/>
      </c>
      <c r="Z385">
        <f>IF(B385="","",IF(H385&lt;33.0,0,IF(H385&gt;=100*0.8,5,IF(H385&gt;=100*0.7,4,IF(H385&gt;=100*0.6,3.5,IF(H385&gt;=100*0.5,3,IF(H385&gt;=100*0.4,2,IF(H385&gt;=100*0.33,1,0))))))))</f>
        <v/>
      </c>
      <c r="AA385">
        <f>IF(B385="","",IF(I385&lt;33.0,0,IF(I385&gt;=100*0.8,5,IF(I385&gt;=100*0.7,4,IF(I385&gt;=100*0.6,3.5,IF(I385&gt;=100*0.5,3,IF(I385&gt;=100*0.4,2,IF(I385&gt;=100*0.33,1,0))))))))</f>
        <v/>
      </c>
      <c r="AB385">
        <f>IF(B385="","",IF(J385&lt;33.0,0,IF(J385&gt;=100*0.8,5,IF(J385&gt;=100*0.7,4,IF(J385&gt;=100*0.6,3.5,IF(J385&gt;=100*0.5,3,IF(J385&gt;=100*0.4,2,IF(J385&gt;=100*0.33,1,0))))))))</f>
        <v/>
      </c>
      <c r="AC385">
        <f>IF(B385="","",IF(K385&lt;33.0,0,IF(K385&gt;=100*0.8,5,IF(K385&gt;=100*0.7,4,IF(K385&gt;=100*0.6,3.5,IF(K385&gt;=100*0.5,3,IF(K385&gt;=100*0.4,2,IF(K385&gt;=100*0.33,1,0))))))))</f>
        <v/>
      </c>
      <c r="AD385">
        <f>IF(B385="","",IF(L385&lt;33.0,0,IF(L385&gt;=100*0.8,5,IF(L385&gt;=100*0.7,4,IF(L385&gt;=100*0.6,3.5,IF(L385&gt;=100*0.5,3,IF(L385&gt;=100*0.4,2,IF(L385&gt;=100*0.33,1,0))))))))</f>
        <v/>
      </c>
      <c r="AE385">
        <f>IF(B385="","",IF(M385&lt;33.0,0,IF(M385&gt;=100*0.8,5,IF(M385&gt;=100*0.7,4,IF(M385&gt;=100*0.6,3.5,IF(M385&gt;=100*0.5,3,IF(M385&gt;=100*0.4,2,IF(M385&gt;=100*0.33,1,0))))))))</f>
        <v/>
      </c>
      <c r="AF385">
        <f>IF(B385="","",IF(N385&lt;16.5,0,IF(N385&gt;=50*0.8,5,IF(N385&gt;=50*0.7,4,IF(N385&gt;=50*0.6,3.5,IF(N385&gt;=50*0.5,3,IF(N385&gt;=50*0.4,2,IF(N385&gt;=50*0.33,1,0))))))))</f>
        <v/>
      </c>
      <c r="AG385">
        <f>IF(B385="","",IF(O385&lt;33.0,0,IF(O385&gt;=100*0.8,5,IF(O385&gt;=100*0.7,4,IF(O385&gt;=100*0.6,3.5,IF(O385&gt;=100*0.5,3,IF(O385&gt;=100*0.4,2,IF(O385&gt;=100*0.33,1,0))))))))</f>
        <v/>
      </c>
      <c r="AH385">
        <f>IF(B385="","",IF(OR(U385=0,V385=0,W385=0,X385=0,Y385=0,Z385=0,AA385=0,AB385=0,AC385=0,AD385=0,AE385=0,AF385=0,AG385=0),1,0))</f>
        <v/>
      </c>
    </row>
    <row r="386">
      <c r="A386" s="3">
        <f>IF(B386="","",ROW()-2)</f>
        <v/>
      </c>
      <c r="P386" s="4">
        <f>IF(B386="","",SUM(C386:O386))</f>
        <v/>
      </c>
      <c r="Q386" s="5">
        <f>IF(B386="","",ROUND(P386/13,2))</f>
        <v/>
      </c>
      <c r="R386" s="5">
        <f>IF(B386="","",IF(AH386=1,0,MIN(5,ROUND((U386+V386+W386+X386+Y386+Z386+AA386+AB386+AC386+AD386+AE386+AF386+AG386)/13,2))))</f>
        <v/>
      </c>
      <c r="S386" s="3">
        <f>IF(B386="","",IF(R386&gt;=5,"A+",IF(R386&gt;=4,"A",IF(R386&gt;=3.5,"A-",IF(R386&gt;=3,"B",IF(R386&gt;=2,"C",IF(R386&gt;=1,"D","F")))))))</f>
        <v/>
      </c>
      <c r="T386" s="3">
        <f>IF(OR(B386="",S386="F"),"",COUNTIFS(P:P,"&gt;"&amp;P386,S:S,"&lt;&gt;F")+1)</f>
        <v/>
      </c>
      <c r="U386">
        <f>IF(B386="","",IF(C386&lt;33.0,0,IF(C386&gt;=100*0.8,5,IF(C386&gt;=100*0.7,4,IF(C386&gt;=100*0.6,3.5,IF(C386&gt;=100*0.5,3,IF(C386&gt;=100*0.4,2,IF(C386&gt;=100*0.33,1,0))))))))</f>
        <v/>
      </c>
      <c r="V386">
        <f>IF(B386="","",IF(D386&lt;33.0,0,IF(D386&gt;=100*0.8,5,IF(D386&gt;=100*0.7,4,IF(D386&gt;=100*0.6,3.5,IF(D386&gt;=100*0.5,3,IF(D386&gt;=100*0.4,2,IF(D386&gt;=100*0.33,1,0))))))))</f>
        <v/>
      </c>
      <c r="W386">
        <f>IF(B386="","",IF(E386&lt;16.5,0,IF(E386&gt;=50*0.8,5,IF(E386&gt;=50*0.7,4,IF(E386&gt;=50*0.6,3.5,IF(E386&gt;=50*0.5,3,IF(E386&gt;=50*0.4,2,IF(E386&gt;=50*0.33,1,0))))))))</f>
        <v/>
      </c>
      <c r="X386">
        <f>IF(B386="","",IF(F386&lt;33.0,0,IF(F386&gt;=100*0.8,5,IF(F386&gt;=100*0.7,4,IF(F386&gt;=100*0.6,3.5,IF(F386&gt;=100*0.5,3,IF(F386&gt;=100*0.4,2,IF(F386&gt;=100*0.33,1,0))))))))</f>
        <v/>
      </c>
      <c r="Y386">
        <f>IF(B386="","",IF(G386&lt;16.5,0,IF(G386&gt;=50*0.8,5,IF(G386&gt;=50*0.7,4,IF(G386&gt;=50*0.6,3.5,IF(G386&gt;=50*0.5,3,IF(G386&gt;=50*0.4,2,IF(G386&gt;=50*0.33,1,0))))))))</f>
        <v/>
      </c>
      <c r="Z386">
        <f>IF(B386="","",IF(H386&lt;33.0,0,IF(H386&gt;=100*0.8,5,IF(H386&gt;=100*0.7,4,IF(H386&gt;=100*0.6,3.5,IF(H386&gt;=100*0.5,3,IF(H386&gt;=100*0.4,2,IF(H386&gt;=100*0.33,1,0))))))))</f>
        <v/>
      </c>
      <c r="AA386">
        <f>IF(B386="","",IF(I386&lt;33.0,0,IF(I386&gt;=100*0.8,5,IF(I386&gt;=100*0.7,4,IF(I386&gt;=100*0.6,3.5,IF(I386&gt;=100*0.5,3,IF(I386&gt;=100*0.4,2,IF(I386&gt;=100*0.33,1,0))))))))</f>
        <v/>
      </c>
      <c r="AB386">
        <f>IF(B386="","",IF(J386&lt;33.0,0,IF(J386&gt;=100*0.8,5,IF(J386&gt;=100*0.7,4,IF(J386&gt;=100*0.6,3.5,IF(J386&gt;=100*0.5,3,IF(J386&gt;=100*0.4,2,IF(J386&gt;=100*0.33,1,0))))))))</f>
        <v/>
      </c>
      <c r="AC386">
        <f>IF(B386="","",IF(K386&lt;33.0,0,IF(K386&gt;=100*0.8,5,IF(K386&gt;=100*0.7,4,IF(K386&gt;=100*0.6,3.5,IF(K386&gt;=100*0.5,3,IF(K386&gt;=100*0.4,2,IF(K386&gt;=100*0.33,1,0))))))))</f>
        <v/>
      </c>
      <c r="AD386">
        <f>IF(B386="","",IF(L386&lt;33.0,0,IF(L386&gt;=100*0.8,5,IF(L386&gt;=100*0.7,4,IF(L386&gt;=100*0.6,3.5,IF(L386&gt;=100*0.5,3,IF(L386&gt;=100*0.4,2,IF(L386&gt;=100*0.33,1,0))))))))</f>
        <v/>
      </c>
      <c r="AE386">
        <f>IF(B386="","",IF(M386&lt;33.0,0,IF(M386&gt;=100*0.8,5,IF(M386&gt;=100*0.7,4,IF(M386&gt;=100*0.6,3.5,IF(M386&gt;=100*0.5,3,IF(M386&gt;=100*0.4,2,IF(M386&gt;=100*0.33,1,0))))))))</f>
        <v/>
      </c>
      <c r="AF386">
        <f>IF(B386="","",IF(N386&lt;16.5,0,IF(N386&gt;=50*0.8,5,IF(N386&gt;=50*0.7,4,IF(N386&gt;=50*0.6,3.5,IF(N386&gt;=50*0.5,3,IF(N386&gt;=50*0.4,2,IF(N386&gt;=50*0.33,1,0))))))))</f>
        <v/>
      </c>
      <c r="AG386">
        <f>IF(B386="","",IF(O386&lt;33.0,0,IF(O386&gt;=100*0.8,5,IF(O386&gt;=100*0.7,4,IF(O386&gt;=100*0.6,3.5,IF(O386&gt;=100*0.5,3,IF(O386&gt;=100*0.4,2,IF(O386&gt;=100*0.33,1,0))))))))</f>
        <v/>
      </c>
      <c r="AH386">
        <f>IF(B386="","",IF(OR(U386=0,V386=0,W386=0,X386=0,Y386=0,Z386=0,AA386=0,AB386=0,AC386=0,AD386=0,AE386=0,AF386=0,AG386=0),1,0))</f>
        <v/>
      </c>
    </row>
    <row r="387">
      <c r="A387" s="3">
        <f>IF(B387="","",ROW()-2)</f>
        <v/>
      </c>
      <c r="P387" s="4">
        <f>IF(B387="","",SUM(C387:O387))</f>
        <v/>
      </c>
      <c r="Q387" s="5">
        <f>IF(B387="","",ROUND(P387/13,2))</f>
        <v/>
      </c>
      <c r="R387" s="5">
        <f>IF(B387="","",IF(AH387=1,0,MIN(5,ROUND((U387+V387+W387+X387+Y387+Z387+AA387+AB387+AC387+AD387+AE387+AF387+AG387)/13,2))))</f>
        <v/>
      </c>
      <c r="S387" s="3">
        <f>IF(B387="","",IF(R387&gt;=5,"A+",IF(R387&gt;=4,"A",IF(R387&gt;=3.5,"A-",IF(R387&gt;=3,"B",IF(R387&gt;=2,"C",IF(R387&gt;=1,"D","F")))))))</f>
        <v/>
      </c>
      <c r="T387" s="3">
        <f>IF(OR(B387="",S387="F"),"",COUNTIFS(P:P,"&gt;"&amp;P387,S:S,"&lt;&gt;F")+1)</f>
        <v/>
      </c>
      <c r="U387">
        <f>IF(B387="","",IF(C387&lt;33.0,0,IF(C387&gt;=100*0.8,5,IF(C387&gt;=100*0.7,4,IF(C387&gt;=100*0.6,3.5,IF(C387&gt;=100*0.5,3,IF(C387&gt;=100*0.4,2,IF(C387&gt;=100*0.33,1,0))))))))</f>
        <v/>
      </c>
      <c r="V387">
        <f>IF(B387="","",IF(D387&lt;33.0,0,IF(D387&gt;=100*0.8,5,IF(D387&gt;=100*0.7,4,IF(D387&gt;=100*0.6,3.5,IF(D387&gt;=100*0.5,3,IF(D387&gt;=100*0.4,2,IF(D387&gt;=100*0.33,1,0))))))))</f>
        <v/>
      </c>
      <c r="W387">
        <f>IF(B387="","",IF(E387&lt;16.5,0,IF(E387&gt;=50*0.8,5,IF(E387&gt;=50*0.7,4,IF(E387&gt;=50*0.6,3.5,IF(E387&gt;=50*0.5,3,IF(E387&gt;=50*0.4,2,IF(E387&gt;=50*0.33,1,0))))))))</f>
        <v/>
      </c>
      <c r="X387">
        <f>IF(B387="","",IF(F387&lt;33.0,0,IF(F387&gt;=100*0.8,5,IF(F387&gt;=100*0.7,4,IF(F387&gt;=100*0.6,3.5,IF(F387&gt;=100*0.5,3,IF(F387&gt;=100*0.4,2,IF(F387&gt;=100*0.33,1,0))))))))</f>
        <v/>
      </c>
      <c r="Y387">
        <f>IF(B387="","",IF(G387&lt;16.5,0,IF(G387&gt;=50*0.8,5,IF(G387&gt;=50*0.7,4,IF(G387&gt;=50*0.6,3.5,IF(G387&gt;=50*0.5,3,IF(G387&gt;=50*0.4,2,IF(G387&gt;=50*0.33,1,0))))))))</f>
        <v/>
      </c>
      <c r="Z387">
        <f>IF(B387="","",IF(H387&lt;33.0,0,IF(H387&gt;=100*0.8,5,IF(H387&gt;=100*0.7,4,IF(H387&gt;=100*0.6,3.5,IF(H387&gt;=100*0.5,3,IF(H387&gt;=100*0.4,2,IF(H387&gt;=100*0.33,1,0))))))))</f>
        <v/>
      </c>
      <c r="AA387">
        <f>IF(B387="","",IF(I387&lt;33.0,0,IF(I387&gt;=100*0.8,5,IF(I387&gt;=100*0.7,4,IF(I387&gt;=100*0.6,3.5,IF(I387&gt;=100*0.5,3,IF(I387&gt;=100*0.4,2,IF(I387&gt;=100*0.33,1,0))))))))</f>
        <v/>
      </c>
      <c r="AB387">
        <f>IF(B387="","",IF(J387&lt;33.0,0,IF(J387&gt;=100*0.8,5,IF(J387&gt;=100*0.7,4,IF(J387&gt;=100*0.6,3.5,IF(J387&gt;=100*0.5,3,IF(J387&gt;=100*0.4,2,IF(J387&gt;=100*0.33,1,0))))))))</f>
        <v/>
      </c>
      <c r="AC387">
        <f>IF(B387="","",IF(K387&lt;33.0,0,IF(K387&gt;=100*0.8,5,IF(K387&gt;=100*0.7,4,IF(K387&gt;=100*0.6,3.5,IF(K387&gt;=100*0.5,3,IF(K387&gt;=100*0.4,2,IF(K387&gt;=100*0.33,1,0))))))))</f>
        <v/>
      </c>
      <c r="AD387">
        <f>IF(B387="","",IF(L387&lt;33.0,0,IF(L387&gt;=100*0.8,5,IF(L387&gt;=100*0.7,4,IF(L387&gt;=100*0.6,3.5,IF(L387&gt;=100*0.5,3,IF(L387&gt;=100*0.4,2,IF(L387&gt;=100*0.33,1,0))))))))</f>
        <v/>
      </c>
      <c r="AE387">
        <f>IF(B387="","",IF(M387&lt;33.0,0,IF(M387&gt;=100*0.8,5,IF(M387&gt;=100*0.7,4,IF(M387&gt;=100*0.6,3.5,IF(M387&gt;=100*0.5,3,IF(M387&gt;=100*0.4,2,IF(M387&gt;=100*0.33,1,0))))))))</f>
        <v/>
      </c>
      <c r="AF387">
        <f>IF(B387="","",IF(N387&lt;16.5,0,IF(N387&gt;=50*0.8,5,IF(N387&gt;=50*0.7,4,IF(N387&gt;=50*0.6,3.5,IF(N387&gt;=50*0.5,3,IF(N387&gt;=50*0.4,2,IF(N387&gt;=50*0.33,1,0))))))))</f>
        <v/>
      </c>
      <c r="AG387">
        <f>IF(B387="","",IF(O387&lt;33.0,0,IF(O387&gt;=100*0.8,5,IF(O387&gt;=100*0.7,4,IF(O387&gt;=100*0.6,3.5,IF(O387&gt;=100*0.5,3,IF(O387&gt;=100*0.4,2,IF(O387&gt;=100*0.33,1,0))))))))</f>
        <v/>
      </c>
      <c r="AH387">
        <f>IF(B387="","",IF(OR(U387=0,V387=0,W387=0,X387=0,Y387=0,Z387=0,AA387=0,AB387=0,AC387=0,AD387=0,AE387=0,AF387=0,AG387=0),1,0))</f>
        <v/>
      </c>
    </row>
    <row r="388">
      <c r="A388" s="3">
        <f>IF(B388="","",ROW()-2)</f>
        <v/>
      </c>
      <c r="P388" s="4">
        <f>IF(B388="","",SUM(C388:O388))</f>
        <v/>
      </c>
      <c r="Q388" s="5">
        <f>IF(B388="","",ROUND(P388/13,2))</f>
        <v/>
      </c>
      <c r="R388" s="5">
        <f>IF(B388="","",IF(AH388=1,0,MIN(5,ROUND((U388+V388+W388+X388+Y388+Z388+AA388+AB388+AC388+AD388+AE388+AF388+AG388)/13,2))))</f>
        <v/>
      </c>
      <c r="S388" s="3">
        <f>IF(B388="","",IF(R388&gt;=5,"A+",IF(R388&gt;=4,"A",IF(R388&gt;=3.5,"A-",IF(R388&gt;=3,"B",IF(R388&gt;=2,"C",IF(R388&gt;=1,"D","F")))))))</f>
        <v/>
      </c>
      <c r="T388" s="3">
        <f>IF(OR(B388="",S388="F"),"",COUNTIFS(P:P,"&gt;"&amp;P388,S:S,"&lt;&gt;F")+1)</f>
        <v/>
      </c>
      <c r="U388">
        <f>IF(B388="","",IF(C388&lt;33.0,0,IF(C388&gt;=100*0.8,5,IF(C388&gt;=100*0.7,4,IF(C388&gt;=100*0.6,3.5,IF(C388&gt;=100*0.5,3,IF(C388&gt;=100*0.4,2,IF(C388&gt;=100*0.33,1,0))))))))</f>
        <v/>
      </c>
      <c r="V388">
        <f>IF(B388="","",IF(D388&lt;33.0,0,IF(D388&gt;=100*0.8,5,IF(D388&gt;=100*0.7,4,IF(D388&gt;=100*0.6,3.5,IF(D388&gt;=100*0.5,3,IF(D388&gt;=100*0.4,2,IF(D388&gt;=100*0.33,1,0))))))))</f>
        <v/>
      </c>
      <c r="W388">
        <f>IF(B388="","",IF(E388&lt;16.5,0,IF(E388&gt;=50*0.8,5,IF(E388&gt;=50*0.7,4,IF(E388&gt;=50*0.6,3.5,IF(E388&gt;=50*0.5,3,IF(E388&gt;=50*0.4,2,IF(E388&gt;=50*0.33,1,0))))))))</f>
        <v/>
      </c>
      <c r="X388">
        <f>IF(B388="","",IF(F388&lt;33.0,0,IF(F388&gt;=100*0.8,5,IF(F388&gt;=100*0.7,4,IF(F388&gt;=100*0.6,3.5,IF(F388&gt;=100*0.5,3,IF(F388&gt;=100*0.4,2,IF(F388&gt;=100*0.33,1,0))))))))</f>
        <v/>
      </c>
      <c r="Y388">
        <f>IF(B388="","",IF(G388&lt;16.5,0,IF(G388&gt;=50*0.8,5,IF(G388&gt;=50*0.7,4,IF(G388&gt;=50*0.6,3.5,IF(G388&gt;=50*0.5,3,IF(G388&gt;=50*0.4,2,IF(G388&gt;=50*0.33,1,0))))))))</f>
        <v/>
      </c>
      <c r="Z388">
        <f>IF(B388="","",IF(H388&lt;33.0,0,IF(H388&gt;=100*0.8,5,IF(H388&gt;=100*0.7,4,IF(H388&gt;=100*0.6,3.5,IF(H388&gt;=100*0.5,3,IF(H388&gt;=100*0.4,2,IF(H388&gt;=100*0.33,1,0))))))))</f>
        <v/>
      </c>
      <c r="AA388">
        <f>IF(B388="","",IF(I388&lt;33.0,0,IF(I388&gt;=100*0.8,5,IF(I388&gt;=100*0.7,4,IF(I388&gt;=100*0.6,3.5,IF(I388&gt;=100*0.5,3,IF(I388&gt;=100*0.4,2,IF(I388&gt;=100*0.33,1,0))))))))</f>
        <v/>
      </c>
      <c r="AB388">
        <f>IF(B388="","",IF(J388&lt;33.0,0,IF(J388&gt;=100*0.8,5,IF(J388&gt;=100*0.7,4,IF(J388&gt;=100*0.6,3.5,IF(J388&gt;=100*0.5,3,IF(J388&gt;=100*0.4,2,IF(J388&gt;=100*0.33,1,0))))))))</f>
        <v/>
      </c>
      <c r="AC388">
        <f>IF(B388="","",IF(K388&lt;33.0,0,IF(K388&gt;=100*0.8,5,IF(K388&gt;=100*0.7,4,IF(K388&gt;=100*0.6,3.5,IF(K388&gt;=100*0.5,3,IF(K388&gt;=100*0.4,2,IF(K388&gt;=100*0.33,1,0))))))))</f>
        <v/>
      </c>
      <c r="AD388">
        <f>IF(B388="","",IF(L388&lt;33.0,0,IF(L388&gt;=100*0.8,5,IF(L388&gt;=100*0.7,4,IF(L388&gt;=100*0.6,3.5,IF(L388&gt;=100*0.5,3,IF(L388&gt;=100*0.4,2,IF(L388&gt;=100*0.33,1,0))))))))</f>
        <v/>
      </c>
      <c r="AE388">
        <f>IF(B388="","",IF(M388&lt;33.0,0,IF(M388&gt;=100*0.8,5,IF(M388&gt;=100*0.7,4,IF(M388&gt;=100*0.6,3.5,IF(M388&gt;=100*0.5,3,IF(M388&gt;=100*0.4,2,IF(M388&gt;=100*0.33,1,0))))))))</f>
        <v/>
      </c>
      <c r="AF388">
        <f>IF(B388="","",IF(N388&lt;16.5,0,IF(N388&gt;=50*0.8,5,IF(N388&gt;=50*0.7,4,IF(N388&gt;=50*0.6,3.5,IF(N388&gt;=50*0.5,3,IF(N388&gt;=50*0.4,2,IF(N388&gt;=50*0.33,1,0))))))))</f>
        <v/>
      </c>
      <c r="AG388">
        <f>IF(B388="","",IF(O388&lt;33.0,0,IF(O388&gt;=100*0.8,5,IF(O388&gt;=100*0.7,4,IF(O388&gt;=100*0.6,3.5,IF(O388&gt;=100*0.5,3,IF(O388&gt;=100*0.4,2,IF(O388&gt;=100*0.33,1,0))))))))</f>
        <v/>
      </c>
      <c r="AH388">
        <f>IF(B388="","",IF(OR(U388=0,V388=0,W388=0,X388=0,Y388=0,Z388=0,AA388=0,AB388=0,AC388=0,AD388=0,AE388=0,AF388=0,AG388=0),1,0))</f>
        <v/>
      </c>
    </row>
    <row r="389">
      <c r="A389" s="3">
        <f>IF(B389="","",ROW()-2)</f>
        <v/>
      </c>
      <c r="P389" s="4">
        <f>IF(B389="","",SUM(C389:O389))</f>
        <v/>
      </c>
      <c r="Q389" s="5">
        <f>IF(B389="","",ROUND(P389/13,2))</f>
        <v/>
      </c>
      <c r="R389" s="5">
        <f>IF(B389="","",IF(AH389=1,0,MIN(5,ROUND((U389+V389+W389+X389+Y389+Z389+AA389+AB389+AC389+AD389+AE389+AF389+AG389)/13,2))))</f>
        <v/>
      </c>
      <c r="S389" s="3">
        <f>IF(B389="","",IF(R389&gt;=5,"A+",IF(R389&gt;=4,"A",IF(R389&gt;=3.5,"A-",IF(R389&gt;=3,"B",IF(R389&gt;=2,"C",IF(R389&gt;=1,"D","F")))))))</f>
        <v/>
      </c>
      <c r="T389" s="3">
        <f>IF(OR(B389="",S389="F"),"",COUNTIFS(P:P,"&gt;"&amp;P389,S:S,"&lt;&gt;F")+1)</f>
        <v/>
      </c>
      <c r="U389">
        <f>IF(B389="","",IF(C389&lt;33.0,0,IF(C389&gt;=100*0.8,5,IF(C389&gt;=100*0.7,4,IF(C389&gt;=100*0.6,3.5,IF(C389&gt;=100*0.5,3,IF(C389&gt;=100*0.4,2,IF(C389&gt;=100*0.33,1,0))))))))</f>
        <v/>
      </c>
      <c r="V389">
        <f>IF(B389="","",IF(D389&lt;33.0,0,IF(D389&gt;=100*0.8,5,IF(D389&gt;=100*0.7,4,IF(D389&gt;=100*0.6,3.5,IF(D389&gt;=100*0.5,3,IF(D389&gt;=100*0.4,2,IF(D389&gt;=100*0.33,1,0))))))))</f>
        <v/>
      </c>
      <c r="W389">
        <f>IF(B389="","",IF(E389&lt;16.5,0,IF(E389&gt;=50*0.8,5,IF(E389&gt;=50*0.7,4,IF(E389&gt;=50*0.6,3.5,IF(E389&gt;=50*0.5,3,IF(E389&gt;=50*0.4,2,IF(E389&gt;=50*0.33,1,0))))))))</f>
        <v/>
      </c>
      <c r="X389">
        <f>IF(B389="","",IF(F389&lt;33.0,0,IF(F389&gt;=100*0.8,5,IF(F389&gt;=100*0.7,4,IF(F389&gt;=100*0.6,3.5,IF(F389&gt;=100*0.5,3,IF(F389&gt;=100*0.4,2,IF(F389&gt;=100*0.33,1,0))))))))</f>
        <v/>
      </c>
      <c r="Y389">
        <f>IF(B389="","",IF(G389&lt;16.5,0,IF(G389&gt;=50*0.8,5,IF(G389&gt;=50*0.7,4,IF(G389&gt;=50*0.6,3.5,IF(G389&gt;=50*0.5,3,IF(G389&gt;=50*0.4,2,IF(G389&gt;=50*0.33,1,0))))))))</f>
        <v/>
      </c>
      <c r="Z389">
        <f>IF(B389="","",IF(H389&lt;33.0,0,IF(H389&gt;=100*0.8,5,IF(H389&gt;=100*0.7,4,IF(H389&gt;=100*0.6,3.5,IF(H389&gt;=100*0.5,3,IF(H389&gt;=100*0.4,2,IF(H389&gt;=100*0.33,1,0))))))))</f>
        <v/>
      </c>
      <c r="AA389">
        <f>IF(B389="","",IF(I389&lt;33.0,0,IF(I389&gt;=100*0.8,5,IF(I389&gt;=100*0.7,4,IF(I389&gt;=100*0.6,3.5,IF(I389&gt;=100*0.5,3,IF(I389&gt;=100*0.4,2,IF(I389&gt;=100*0.33,1,0))))))))</f>
        <v/>
      </c>
      <c r="AB389">
        <f>IF(B389="","",IF(J389&lt;33.0,0,IF(J389&gt;=100*0.8,5,IF(J389&gt;=100*0.7,4,IF(J389&gt;=100*0.6,3.5,IF(J389&gt;=100*0.5,3,IF(J389&gt;=100*0.4,2,IF(J389&gt;=100*0.33,1,0))))))))</f>
        <v/>
      </c>
      <c r="AC389">
        <f>IF(B389="","",IF(K389&lt;33.0,0,IF(K389&gt;=100*0.8,5,IF(K389&gt;=100*0.7,4,IF(K389&gt;=100*0.6,3.5,IF(K389&gt;=100*0.5,3,IF(K389&gt;=100*0.4,2,IF(K389&gt;=100*0.33,1,0))))))))</f>
        <v/>
      </c>
      <c r="AD389">
        <f>IF(B389="","",IF(L389&lt;33.0,0,IF(L389&gt;=100*0.8,5,IF(L389&gt;=100*0.7,4,IF(L389&gt;=100*0.6,3.5,IF(L389&gt;=100*0.5,3,IF(L389&gt;=100*0.4,2,IF(L389&gt;=100*0.33,1,0))))))))</f>
        <v/>
      </c>
      <c r="AE389">
        <f>IF(B389="","",IF(M389&lt;33.0,0,IF(M389&gt;=100*0.8,5,IF(M389&gt;=100*0.7,4,IF(M389&gt;=100*0.6,3.5,IF(M389&gt;=100*0.5,3,IF(M389&gt;=100*0.4,2,IF(M389&gt;=100*0.33,1,0))))))))</f>
        <v/>
      </c>
      <c r="AF389">
        <f>IF(B389="","",IF(N389&lt;16.5,0,IF(N389&gt;=50*0.8,5,IF(N389&gt;=50*0.7,4,IF(N389&gt;=50*0.6,3.5,IF(N389&gt;=50*0.5,3,IF(N389&gt;=50*0.4,2,IF(N389&gt;=50*0.33,1,0))))))))</f>
        <v/>
      </c>
      <c r="AG389">
        <f>IF(B389="","",IF(O389&lt;33.0,0,IF(O389&gt;=100*0.8,5,IF(O389&gt;=100*0.7,4,IF(O389&gt;=100*0.6,3.5,IF(O389&gt;=100*0.5,3,IF(O389&gt;=100*0.4,2,IF(O389&gt;=100*0.33,1,0))))))))</f>
        <v/>
      </c>
      <c r="AH389">
        <f>IF(B389="","",IF(OR(U389=0,V389=0,W389=0,X389=0,Y389=0,Z389=0,AA389=0,AB389=0,AC389=0,AD389=0,AE389=0,AF389=0,AG389=0),1,0))</f>
        <v/>
      </c>
    </row>
    <row r="390">
      <c r="A390" s="3">
        <f>IF(B390="","",ROW()-2)</f>
        <v/>
      </c>
      <c r="P390" s="4">
        <f>IF(B390="","",SUM(C390:O390))</f>
        <v/>
      </c>
      <c r="Q390" s="5">
        <f>IF(B390="","",ROUND(P390/13,2))</f>
        <v/>
      </c>
      <c r="R390" s="5">
        <f>IF(B390="","",IF(AH390=1,0,MIN(5,ROUND((U390+V390+W390+X390+Y390+Z390+AA390+AB390+AC390+AD390+AE390+AF390+AG390)/13,2))))</f>
        <v/>
      </c>
      <c r="S390" s="3">
        <f>IF(B390="","",IF(R390&gt;=5,"A+",IF(R390&gt;=4,"A",IF(R390&gt;=3.5,"A-",IF(R390&gt;=3,"B",IF(R390&gt;=2,"C",IF(R390&gt;=1,"D","F")))))))</f>
        <v/>
      </c>
      <c r="T390" s="3">
        <f>IF(OR(B390="",S390="F"),"",COUNTIFS(P:P,"&gt;"&amp;P390,S:S,"&lt;&gt;F")+1)</f>
        <v/>
      </c>
      <c r="U390">
        <f>IF(B390="","",IF(C390&lt;33.0,0,IF(C390&gt;=100*0.8,5,IF(C390&gt;=100*0.7,4,IF(C390&gt;=100*0.6,3.5,IF(C390&gt;=100*0.5,3,IF(C390&gt;=100*0.4,2,IF(C390&gt;=100*0.33,1,0))))))))</f>
        <v/>
      </c>
      <c r="V390">
        <f>IF(B390="","",IF(D390&lt;33.0,0,IF(D390&gt;=100*0.8,5,IF(D390&gt;=100*0.7,4,IF(D390&gt;=100*0.6,3.5,IF(D390&gt;=100*0.5,3,IF(D390&gt;=100*0.4,2,IF(D390&gt;=100*0.33,1,0))))))))</f>
        <v/>
      </c>
      <c r="W390">
        <f>IF(B390="","",IF(E390&lt;16.5,0,IF(E390&gt;=50*0.8,5,IF(E390&gt;=50*0.7,4,IF(E390&gt;=50*0.6,3.5,IF(E390&gt;=50*0.5,3,IF(E390&gt;=50*0.4,2,IF(E390&gt;=50*0.33,1,0))))))))</f>
        <v/>
      </c>
      <c r="X390">
        <f>IF(B390="","",IF(F390&lt;33.0,0,IF(F390&gt;=100*0.8,5,IF(F390&gt;=100*0.7,4,IF(F390&gt;=100*0.6,3.5,IF(F390&gt;=100*0.5,3,IF(F390&gt;=100*0.4,2,IF(F390&gt;=100*0.33,1,0))))))))</f>
        <v/>
      </c>
      <c r="Y390">
        <f>IF(B390="","",IF(G390&lt;16.5,0,IF(G390&gt;=50*0.8,5,IF(G390&gt;=50*0.7,4,IF(G390&gt;=50*0.6,3.5,IF(G390&gt;=50*0.5,3,IF(G390&gt;=50*0.4,2,IF(G390&gt;=50*0.33,1,0))))))))</f>
        <v/>
      </c>
      <c r="Z390">
        <f>IF(B390="","",IF(H390&lt;33.0,0,IF(H390&gt;=100*0.8,5,IF(H390&gt;=100*0.7,4,IF(H390&gt;=100*0.6,3.5,IF(H390&gt;=100*0.5,3,IF(H390&gt;=100*0.4,2,IF(H390&gt;=100*0.33,1,0))))))))</f>
        <v/>
      </c>
      <c r="AA390">
        <f>IF(B390="","",IF(I390&lt;33.0,0,IF(I390&gt;=100*0.8,5,IF(I390&gt;=100*0.7,4,IF(I390&gt;=100*0.6,3.5,IF(I390&gt;=100*0.5,3,IF(I390&gt;=100*0.4,2,IF(I390&gt;=100*0.33,1,0))))))))</f>
        <v/>
      </c>
      <c r="AB390">
        <f>IF(B390="","",IF(J390&lt;33.0,0,IF(J390&gt;=100*0.8,5,IF(J390&gt;=100*0.7,4,IF(J390&gt;=100*0.6,3.5,IF(J390&gt;=100*0.5,3,IF(J390&gt;=100*0.4,2,IF(J390&gt;=100*0.33,1,0))))))))</f>
        <v/>
      </c>
      <c r="AC390">
        <f>IF(B390="","",IF(K390&lt;33.0,0,IF(K390&gt;=100*0.8,5,IF(K390&gt;=100*0.7,4,IF(K390&gt;=100*0.6,3.5,IF(K390&gt;=100*0.5,3,IF(K390&gt;=100*0.4,2,IF(K390&gt;=100*0.33,1,0))))))))</f>
        <v/>
      </c>
      <c r="AD390">
        <f>IF(B390="","",IF(L390&lt;33.0,0,IF(L390&gt;=100*0.8,5,IF(L390&gt;=100*0.7,4,IF(L390&gt;=100*0.6,3.5,IF(L390&gt;=100*0.5,3,IF(L390&gt;=100*0.4,2,IF(L390&gt;=100*0.33,1,0))))))))</f>
        <v/>
      </c>
      <c r="AE390">
        <f>IF(B390="","",IF(M390&lt;33.0,0,IF(M390&gt;=100*0.8,5,IF(M390&gt;=100*0.7,4,IF(M390&gt;=100*0.6,3.5,IF(M390&gt;=100*0.5,3,IF(M390&gt;=100*0.4,2,IF(M390&gt;=100*0.33,1,0))))))))</f>
        <v/>
      </c>
      <c r="AF390">
        <f>IF(B390="","",IF(N390&lt;16.5,0,IF(N390&gt;=50*0.8,5,IF(N390&gt;=50*0.7,4,IF(N390&gt;=50*0.6,3.5,IF(N390&gt;=50*0.5,3,IF(N390&gt;=50*0.4,2,IF(N390&gt;=50*0.33,1,0))))))))</f>
        <v/>
      </c>
      <c r="AG390">
        <f>IF(B390="","",IF(O390&lt;33.0,0,IF(O390&gt;=100*0.8,5,IF(O390&gt;=100*0.7,4,IF(O390&gt;=100*0.6,3.5,IF(O390&gt;=100*0.5,3,IF(O390&gt;=100*0.4,2,IF(O390&gt;=100*0.33,1,0))))))))</f>
        <v/>
      </c>
      <c r="AH390">
        <f>IF(B390="","",IF(OR(U390=0,V390=0,W390=0,X390=0,Y390=0,Z390=0,AA390=0,AB390=0,AC390=0,AD390=0,AE390=0,AF390=0,AG390=0),1,0))</f>
        <v/>
      </c>
    </row>
    <row r="391">
      <c r="A391" s="3">
        <f>IF(B391="","",ROW()-2)</f>
        <v/>
      </c>
      <c r="P391" s="4">
        <f>IF(B391="","",SUM(C391:O391))</f>
        <v/>
      </c>
      <c r="Q391" s="5">
        <f>IF(B391="","",ROUND(P391/13,2))</f>
        <v/>
      </c>
      <c r="R391" s="5">
        <f>IF(B391="","",IF(AH391=1,0,MIN(5,ROUND((U391+V391+W391+X391+Y391+Z391+AA391+AB391+AC391+AD391+AE391+AF391+AG391)/13,2))))</f>
        <v/>
      </c>
      <c r="S391" s="3">
        <f>IF(B391="","",IF(R391&gt;=5,"A+",IF(R391&gt;=4,"A",IF(R391&gt;=3.5,"A-",IF(R391&gt;=3,"B",IF(R391&gt;=2,"C",IF(R391&gt;=1,"D","F")))))))</f>
        <v/>
      </c>
      <c r="T391" s="3">
        <f>IF(OR(B391="",S391="F"),"",COUNTIFS(P:P,"&gt;"&amp;P391,S:S,"&lt;&gt;F")+1)</f>
        <v/>
      </c>
      <c r="U391">
        <f>IF(B391="","",IF(C391&lt;33.0,0,IF(C391&gt;=100*0.8,5,IF(C391&gt;=100*0.7,4,IF(C391&gt;=100*0.6,3.5,IF(C391&gt;=100*0.5,3,IF(C391&gt;=100*0.4,2,IF(C391&gt;=100*0.33,1,0))))))))</f>
        <v/>
      </c>
      <c r="V391">
        <f>IF(B391="","",IF(D391&lt;33.0,0,IF(D391&gt;=100*0.8,5,IF(D391&gt;=100*0.7,4,IF(D391&gt;=100*0.6,3.5,IF(D391&gt;=100*0.5,3,IF(D391&gt;=100*0.4,2,IF(D391&gt;=100*0.33,1,0))))))))</f>
        <v/>
      </c>
      <c r="W391">
        <f>IF(B391="","",IF(E391&lt;16.5,0,IF(E391&gt;=50*0.8,5,IF(E391&gt;=50*0.7,4,IF(E391&gt;=50*0.6,3.5,IF(E391&gt;=50*0.5,3,IF(E391&gt;=50*0.4,2,IF(E391&gt;=50*0.33,1,0))))))))</f>
        <v/>
      </c>
      <c r="X391">
        <f>IF(B391="","",IF(F391&lt;33.0,0,IF(F391&gt;=100*0.8,5,IF(F391&gt;=100*0.7,4,IF(F391&gt;=100*0.6,3.5,IF(F391&gt;=100*0.5,3,IF(F391&gt;=100*0.4,2,IF(F391&gt;=100*0.33,1,0))))))))</f>
        <v/>
      </c>
      <c r="Y391">
        <f>IF(B391="","",IF(G391&lt;16.5,0,IF(G391&gt;=50*0.8,5,IF(G391&gt;=50*0.7,4,IF(G391&gt;=50*0.6,3.5,IF(G391&gt;=50*0.5,3,IF(G391&gt;=50*0.4,2,IF(G391&gt;=50*0.33,1,0))))))))</f>
        <v/>
      </c>
      <c r="Z391">
        <f>IF(B391="","",IF(H391&lt;33.0,0,IF(H391&gt;=100*0.8,5,IF(H391&gt;=100*0.7,4,IF(H391&gt;=100*0.6,3.5,IF(H391&gt;=100*0.5,3,IF(H391&gt;=100*0.4,2,IF(H391&gt;=100*0.33,1,0))))))))</f>
        <v/>
      </c>
      <c r="AA391">
        <f>IF(B391="","",IF(I391&lt;33.0,0,IF(I391&gt;=100*0.8,5,IF(I391&gt;=100*0.7,4,IF(I391&gt;=100*0.6,3.5,IF(I391&gt;=100*0.5,3,IF(I391&gt;=100*0.4,2,IF(I391&gt;=100*0.33,1,0))))))))</f>
        <v/>
      </c>
      <c r="AB391">
        <f>IF(B391="","",IF(J391&lt;33.0,0,IF(J391&gt;=100*0.8,5,IF(J391&gt;=100*0.7,4,IF(J391&gt;=100*0.6,3.5,IF(J391&gt;=100*0.5,3,IF(J391&gt;=100*0.4,2,IF(J391&gt;=100*0.33,1,0))))))))</f>
        <v/>
      </c>
      <c r="AC391">
        <f>IF(B391="","",IF(K391&lt;33.0,0,IF(K391&gt;=100*0.8,5,IF(K391&gt;=100*0.7,4,IF(K391&gt;=100*0.6,3.5,IF(K391&gt;=100*0.5,3,IF(K391&gt;=100*0.4,2,IF(K391&gt;=100*0.33,1,0))))))))</f>
        <v/>
      </c>
      <c r="AD391">
        <f>IF(B391="","",IF(L391&lt;33.0,0,IF(L391&gt;=100*0.8,5,IF(L391&gt;=100*0.7,4,IF(L391&gt;=100*0.6,3.5,IF(L391&gt;=100*0.5,3,IF(L391&gt;=100*0.4,2,IF(L391&gt;=100*0.33,1,0))))))))</f>
        <v/>
      </c>
      <c r="AE391">
        <f>IF(B391="","",IF(M391&lt;33.0,0,IF(M391&gt;=100*0.8,5,IF(M391&gt;=100*0.7,4,IF(M391&gt;=100*0.6,3.5,IF(M391&gt;=100*0.5,3,IF(M391&gt;=100*0.4,2,IF(M391&gt;=100*0.33,1,0))))))))</f>
        <v/>
      </c>
      <c r="AF391">
        <f>IF(B391="","",IF(N391&lt;16.5,0,IF(N391&gt;=50*0.8,5,IF(N391&gt;=50*0.7,4,IF(N391&gt;=50*0.6,3.5,IF(N391&gt;=50*0.5,3,IF(N391&gt;=50*0.4,2,IF(N391&gt;=50*0.33,1,0))))))))</f>
        <v/>
      </c>
      <c r="AG391">
        <f>IF(B391="","",IF(O391&lt;33.0,0,IF(O391&gt;=100*0.8,5,IF(O391&gt;=100*0.7,4,IF(O391&gt;=100*0.6,3.5,IF(O391&gt;=100*0.5,3,IF(O391&gt;=100*0.4,2,IF(O391&gt;=100*0.33,1,0))))))))</f>
        <v/>
      </c>
      <c r="AH391">
        <f>IF(B391="","",IF(OR(U391=0,V391=0,W391=0,X391=0,Y391=0,Z391=0,AA391=0,AB391=0,AC391=0,AD391=0,AE391=0,AF391=0,AG391=0),1,0))</f>
        <v/>
      </c>
    </row>
    <row r="392">
      <c r="A392" s="3">
        <f>IF(B392="","",ROW()-2)</f>
        <v/>
      </c>
      <c r="P392" s="4">
        <f>IF(B392="","",SUM(C392:O392))</f>
        <v/>
      </c>
      <c r="Q392" s="5">
        <f>IF(B392="","",ROUND(P392/13,2))</f>
        <v/>
      </c>
      <c r="R392" s="5">
        <f>IF(B392="","",IF(AH392=1,0,MIN(5,ROUND((U392+V392+W392+X392+Y392+Z392+AA392+AB392+AC392+AD392+AE392+AF392+AG392)/13,2))))</f>
        <v/>
      </c>
      <c r="S392" s="3">
        <f>IF(B392="","",IF(R392&gt;=5,"A+",IF(R392&gt;=4,"A",IF(R392&gt;=3.5,"A-",IF(R392&gt;=3,"B",IF(R392&gt;=2,"C",IF(R392&gt;=1,"D","F")))))))</f>
        <v/>
      </c>
      <c r="T392" s="3">
        <f>IF(OR(B392="",S392="F"),"",COUNTIFS(P:P,"&gt;"&amp;P392,S:S,"&lt;&gt;F")+1)</f>
        <v/>
      </c>
      <c r="U392">
        <f>IF(B392="","",IF(C392&lt;33.0,0,IF(C392&gt;=100*0.8,5,IF(C392&gt;=100*0.7,4,IF(C392&gt;=100*0.6,3.5,IF(C392&gt;=100*0.5,3,IF(C392&gt;=100*0.4,2,IF(C392&gt;=100*0.33,1,0))))))))</f>
        <v/>
      </c>
      <c r="V392">
        <f>IF(B392="","",IF(D392&lt;33.0,0,IF(D392&gt;=100*0.8,5,IF(D392&gt;=100*0.7,4,IF(D392&gt;=100*0.6,3.5,IF(D392&gt;=100*0.5,3,IF(D392&gt;=100*0.4,2,IF(D392&gt;=100*0.33,1,0))))))))</f>
        <v/>
      </c>
      <c r="W392">
        <f>IF(B392="","",IF(E392&lt;16.5,0,IF(E392&gt;=50*0.8,5,IF(E392&gt;=50*0.7,4,IF(E392&gt;=50*0.6,3.5,IF(E392&gt;=50*0.5,3,IF(E392&gt;=50*0.4,2,IF(E392&gt;=50*0.33,1,0))))))))</f>
        <v/>
      </c>
      <c r="X392">
        <f>IF(B392="","",IF(F392&lt;33.0,0,IF(F392&gt;=100*0.8,5,IF(F392&gt;=100*0.7,4,IF(F392&gt;=100*0.6,3.5,IF(F392&gt;=100*0.5,3,IF(F392&gt;=100*0.4,2,IF(F392&gt;=100*0.33,1,0))))))))</f>
        <v/>
      </c>
      <c r="Y392">
        <f>IF(B392="","",IF(G392&lt;16.5,0,IF(G392&gt;=50*0.8,5,IF(G392&gt;=50*0.7,4,IF(G392&gt;=50*0.6,3.5,IF(G392&gt;=50*0.5,3,IF(G392&gt;=50*0.4,2,IF(G392&gt;=50*0.33,1,0))))))))</f>
        <v/>
      </c>
      <c r="Z392">
        <f>IF(B392="","",IF(H392&lt;33.0,0,IF(H392&gt;=100*0.8,5,IF(H392&gt;=100*0.7,4,IF(H392&gt;=100*0.6,3.5,IF(H392&gt;=100*0.5,3,IF(H392&gt;=100*0.4,2,IF(H392&gt;=100*0.33,1,0))))))))</f>
        <v/>
      </c>
      <c r="AA392">
        <f>IF(B392="","",IF(I392&lt;33.0,0,IF(I392&gt;=100*0.8,5,IF(I392&gt;=100*0.7,4,IF(I392&gt;=100*0.6,3.5,IF(I392&gt;=100*0.5,3,IF(I392&gt;=100*0.4,2,IF(I392&gt;=100*0.33,1,0))))))))</f>
        <v/>
      </c>
      <c r="AB392">
        <f>IF(B392="","",IF(J392&lt;33.0,0,IF(J392&gt;=100*0.8,5,IF(J392&gt;=100*0.7,4,IF(J392&gt;=100*0.6,3.5,IF(J392&gt;=100*0.5,3,IF(J392&gt;=100*0.4,2,IF(J392&gt;=100*0.33,1,0))))))))</f>
        <v/>
      </c>
      <c r="AC392">
        <f>IF(B392="","",IF(K392&lt;33.0,0,IF(K392&gt;=100*0.8,5,IF(K392&gt;=100*0.7,4,IF(K392&gt;=100*0.6,3.5,IF(K392&gt;=100*0.5,3,IF(K392&gt;=100*0.4,2,IF(K392&gt;=100*0.33,1,0))))))))</f>
        <v/>
      </c>
      <c r="AD392">
        <f>IF(B392="","",IF(L392&lt;33.0,0,IF(L392&gt;=100*0.8,5,IF(L392&gt;=100*0.7,4,IF(L392&gt;=100*0.6,3.5,IF(L392&gt;=100*0.5,3,IF(L392&gt;=100*0.4,2,IF(L392&gt;=100*0.33,1,0))))))))</f>
        <v/>
      </c>
      <c r="AE392">
        <f>IF(B392="","",IF(M392&lt;33.0,0,IF(M392&gt;=100*0.8,5,IF(M392&gt;=100*0.7,4,IF(M392&gt;=100*0.6,3.5,IF(M392&gt;=100*0.5,3,IF(M392&gt;=100*0.4,2,IF(M392&gt;=100*0.33,1,0))))))))</f>
        <v/>
      </c>
      <c r="AF392">
        <f>IF(B392="","",IF(N392&lt;16.5,0,IF(N392&gt;=50*0.8,5,IF(N392&gt;=50*0.7,4,IF(N392&gt;=50*0.6,3.5,IF(N392&gt;=50*0.5,3,IF(N392&gt;=50*0.4,2,IF(N392&gt;=50*0.33,1,0))))))))</f>
        <v/>
      </c>
      <c r="AG392">
        <f>IF(B392="","",IF(O392&lt;33.0,0,IF(O392&gt;=100*0.8,5,IF(O392&gt;=100*0.7,4,IF(O392&gt;=100*0.6,3.5,IF(O392&gt;=100*0.5,3,IF(O392&gt;=100*0.4,2,IF(O392&gt;=100*0.33,1,0))))))))</f>
        <v/>
      </c>
      <c r="AH392">
        <f>IF(B392="","",IF(OR(U392=0,V392=0,W392=0,X392=0,Y392=0,Z392=0,AA392=0,AB392=0,AC392=0,AD392=0,AE392=0,AF392=0,AG392=0),1,0))</f>
        <v/>
      </c>
    </row>
    <row r="393">
      <c r="A393" s="3">
        <f>IF(B393="","",ROW()-2)</f>
        <v/>
      </c>
      <c r="P393" s="4">
        <f>IF(B393="","",SUM(C393:O393))</f>
        <v/>
      </c>
      <c r="Q393" s="5">
        <f>IF(B393="","",ROUND(P393/13,2))</f>
        <v/>
      </c>
      <c r="R393" s="5">
        <f>IF(B393="","",IF(AH393=1,0,MIN(5,ROUND((U393+V393+W393+X393+Y393+Z393+AA393+AB393+AC393+AD393+AE393+AF393+AG393)/13,2))))</f>
        <v/>
      </c>
      <c r="S393" s="3">
        <f>IF(B393="","",IF(R393&gt;=5,"A+",IF(R393&gt;=4,"A",IF(R393&gt;=3.5,"A-",IF(R393&gt;=3,"B",IF(R393&gt;=2,"C",IF(R393&gt;=1,"D","F")))))))</f>
        <v/>
      </c>
      <c r="T393" s="3">
        <f>IF(OR(B393="",S393="F"),"",COUNTIFS(P:P,"&gt;"&amp;P393,S:S,"&lt;&gt;F")+1)</f>
        <v/>
      </c>
      <c r="U393">
        <f>IF(B393="","",IF(C393&lt;33.0,0,IF(C393&gt;=100*0.8,5,IF(C393&gt;=100*0.7,4,IF(C393&gt;=100*0.6,3.5,IF(C393&gt;=100*0.5,3,IF(C393&gt;=100*0.4,2,IF(C393&gt;=100*0.33,1,0))))))))</f>
        <v/>
      </c>
      <c r="V393">
        <f>IF(B393="","",IF(D393&lt;33.0,0,IF(D393&gt;=100*0.8,5,IF(D393&gt;=100*0.7,4,IF(D393&gt;=100*0.6,3.5,IF(D393&gt;=100*0.5,3,IF(D393&gt;=100*0.4,2,IF(D393&gt;=100*0.33,1,0))))))))</f>
        <v/>
      </c>
      <c r="W393">
        <f>IF(B393="","",IF(E393&lt;16.5,0,IF(E393&gt;=50*0.8,5,IF(E393&gt;=50*0.7,4,IF(E393&gt;=50*0.6,3.5,IF(E393&gt;=50*0.5,3,IF(E393&gt;=50*0.4,2,IF(E393&gt;=50*0.33,1,0))))))))</f>
        <v/>
      </c>
      <c r="X393">
        <f>IF(B393="","",IF(F393&lt;33.0,0,IF(F393&gt;=100*0.8,5,IF(F393&gt;=100*0.7,4,IF(F393&gt;=100*0.6,3.5,IF(F393&gt;=100*0.5,3,IF(F393&gt;=100*0.4,2,IF(F393&gt;=100*0.33,1,0))))))))</f>
        <v/>
      </c>
      <c r="Y393">
        <f>IF(B393="","",IF(G393&lt;16.5,0,IF(G393&gt;=50*0.8,5,IF(G393&gt;=50*0.7,4,IF(G393&gt;=50*0.6,3.5,IF(G393&gt;=50*0.5,3,IF(G393&gt;=50*0.4,2,IF(G393&gt;=50*0.33,1,0))))))))</f>
        <v/>
      </c>
      <c r="Z393">
        <f>IF(B393="","",IF(H393&lt;33.0,0,IF(H393&gt;=100*0.8,5,IF(H393&gt;=100*0.7,4,IF(H393&gt;=100*0.6,3.5,IF(H393&gt;=100*0.5,3,IF(H393&gt;=100*0.4,2,IF(H393&gt;=100*0.33,1,0))))))))</f>
        <v/>
      </c>
      <c r="AA393">
        <f>IF(B393="","",IF(I393&lt;33.0,0,IF(I393&gt;=100*0.8,5,IF(I393&gt;=100*0.7,4,IF(I393&gt;=100*0.6,3.5,IF(I393&gt;=100*0.5,3,IF(I393&gt;=100*0.4,2,IF(I393&gt;=100*0.33,1,0))))))))</f>
        <v/>
      </c>
      <c r="AB393">
        <f>IF(B393="","",IF(J393&lt;33.0,0,IF(J393&gt;=100*0.8,5,IF(J393&gt;=100*0.7,4,IF(J393&gt;=100*0.6,3.5,IF(J393&gt;=100*0.5,3,IF(J393&gt;=100*0.4,2,IF(J393&gt;=100*0.33,1,0))))))))</f>
        <v/>
      </c>
      <c r="AC393">
        <f>IF(B393="","",IF(K393&lt;33.0,0,IF(K393&gt;=100*0.8,5,IF(K393&gt;=100*0.7,4,IF(K393&gt;=100*0.6,3.5,IF(K393&gt;=100*0.5,3,IF(K393&gt;=100*0.4,2,IF(K393&gt;=100*0.33,1,0))))))))</f>
        <v/>
      </c>
      <c r="AD393">
        <f>IF(B393="","",IF(L393&lt;33.0,0,IF(L393&gt;=100*0.8,5,IF(L393&gt;=100*0.7,4,IF(L393&gt;=100*0.6,3.5,IF(L393&gt;=100*0.5,3,IF(L393&gt;=100*0.4,2,IF(L393&gt;=100*0.33,1,0))))))))</f>
        <v/>
      </c>
      <c r="AE393">
        <f>IF(B393="","",IF(M393&lt;33.0,0,IF(M393&gt;=100*0.8,5,IF(M393&gt;=100*0.7,4,IF(M393&gt;=100*0.6,3.5,IF(M393&gt;=100*0.5,3,IF(M393&gt;=100*0.4,2,IF(M393&gt;=100*0.33,1,0))))))))</f>
        <v/>
      </c>
      <c r="AF393">
        <f>IF(B393="","",IF(N393&lt;16.5,0,IF(N393&gt;=50*0.8,5,IF(N393&gt;=50*0.7,4,IF(N393&gt;=50*0.6,3.5,IF(N393&gt;=50*0.5,3,IF(N393&gt;=50*0.4,2,IF(N393&gt;=50*0.33,1,0))))))))</f>
        <v/>
      </c>
      <c r="AG393">
        <f>IF(B393="","",IF(O393&lt;33.0,0,IF(O393&gt;=100*0.8,5,IF(O393&gt;=100*0.7,4,IF(O393&gt;=100*0.6,3.5,IF(O393&gt;=100*0.5,3,IF(O393&gt;=100*0.4,2,IF(O393&gt;=100*0.33,1,0))))))))</f>
        <v/>
      </c>
      <c r="AH393">
        <f>IF(B393="","",IF(OR(U393=0,V393=0,W393=0,X393=0,Y393=0,Z393=0,AA393=0,AB393=0,AC393=0,AD393=0,AE393=0,AF393=0,AG393=0),1,0))</f>
        <v/>
      </c>
    </row>
    <row r="394">
      <c r="A394" s="3">
        <f>IF(B394="","",ROW()-2)</f>
        <v/>
      </c>
      <c r="P394" s="4">
        <f>IF(B394="","",SUM(C394:O394))</f>
        <v/>
      </c>
      <c r="Q394" s="5">
        <f>IF(B394="","",ROUND(P394/13,2))</f>
        <v/>
      </c>
      <c r="R394" s="5">
        <f>IF(B394="","",IF(AH394=1,0,MIN(5,ROUND((U394+V394+W394+X394+Y394+Z394+AA394+AB394+AC394+AD394+AE394+AF394+AG394)/13,2))))</f>
        <v/>
      </c>
      <c r="S394" s="3">
        <f>IF(B394="","",IF(R394&gt;=5,"A+",IF(R394&gt;=4,"A",IF(R394&gt;=3.5,"A-",IF(R394&gt;=3,"B",IF(R394&gt;=2,"C",IF(R394&gt;=1,"D","F")))))))</f>
        <v/>
      </c>
      <c r="T394" s="3">
        <f>IF(OR(B394="",S394="F"),"",COUNTIFS(P:P,"&gt;"&amp;P394,S:S,"&lt;&gt;F")+1)</f>
        <v/>
      </c>
      <c r="U394">
        <f>IF(B394="","",IF(C394&lt;33.0,0,IF(C394&gt;=100*0.8,5,IF(C394&gt;=100*0.7,4,IF(C394&gt;=100*0.6,3.5,IF(C394&gt;=100*0.5,3,IF(C394&gt;=100*0.4,2,IF(C394&gt;=100*0.33,1,0))))))))</f>
        <v/>
      </c>
      <c r="V394">
        <f>IF(B394="","",IF(D394&lt;33.0,0,IF(D394&gt;=100*0.8,5,IF(D394&gt;=100*0.7,4,IF(D394&gt;=100*0.6,3.5,IF(D394&gt;=100*0.5,3,IF(D394&gt;=100*0.4,2,IF(D394&gt;=100*0.33,1,0))))))))</f>
        <v/>
      </c>
      <c r="W394">
        <f>IF(B394="","",IF(E394&lt;16.5,0,IF(E394&gt;=50*0.8,5,IF(E394&gt;=50*0.7,4,IF(E394&gt;=50*0.6,3.5,IF(E394&gt;=50*0.5,3,IF(E394&gt;=50*0.4,2,IF(E394&gt;=50*0.33,1,0))))))))</f>
        <v/>
      </c>
      <c r="X394">
        <f>IF(B394="","",IF(F394&lt;33.0,0,IF(F394&gt;=100*0.8,5,IF(F394&gt;=100*0.7,4,IF(F394&gt;=100*0.6,3.5,IF(F394&gt;=100*0.5,3,IF(F394&gt;=100*0.4,2,IF(F394&gt;=100*0.33,1,0))))))))</f>
        <v/>
      </c>
      <c r="Y394">
        <f>IF(B394="","",IF(G394&lt;16.5,0,IF(G394&gt;=50*0.8,5,IF(G394&gt;=50*0.7,4,IF(G394&gt;=50*0.6,3.5,IF(G394&gt;=50*0.5,3,IF(G394&gt;=50*0.4,2,IF(G394&gt;=50*0.33,1,0))))))))</f>
        <v/>
      </c>
      <c r="Z394">
        <f>IF(B394="","",IF(H394&lt;33.0,0,IF(H394&gt;=100*0.8,5,IF(H394&gt;=100*0.7,4,IF(H394&gt;=100*0.6,3.5,IF(H394&gt;=100*0.5,3,IF(H394&gt;=100*0.4,2,IF(H394&gt;=100*0.33,1,0))))))))</f>
        <v/>
      </c>
      <c r="AA394">
        <f>IF(B394="","",IF(I394&lt;33.0,0,IF(I394&gt;=100*0.8,5,IF(I394&gt;=100*0.7,4,IF(I394&gt;=100*0.6,3.5,IF(I394&gt;=100*0.5,3,IF(I394&gt;=100*0.4,2,IF(I394&gt;=100*0.33,1,0))))))))</f>
        <v/>
      </c>
      <c r="AB394">
        <f>IF(B394="","",IF(J394&lt;33.0,0,IF(J394&gt;=100*0.8,5,IF(J394&gt;=100*0.7,4,IF(J394&gt;=100*0.6,3.5,IF(J394&gt;=100*0.5,3,IF(J394&gt;=100*0.4,2,IF(J394&gt;=100*0.33,1,0))))))))</f>
        <v/>
      </c>
      <c r="AC394">
        <f>IF(B394="","",IF(K394&lt;33.0,0,IF(K394&gt;=100*0.8,5,IF(K394&gt;=100*0.7,4,IF(K394&gt;=100*0.6,3.5,IF(K394&gt;=100*0.5,3,IF(K394&gt;=100*0.4,2,IF(K394&gt;=100*0.33,1,0))))))))</f>
        <v/>
      </c>
      <c r="AD394">
        <f>IF(B394="","",IF(L394&lt;33.0,0,IF(L394&gt;=100*0.8,5,IF(L394&gt;=100*0.7,4,IF(L394&gt;=100*0.6,3.5,IF(L394&gt;=100*0.5,3,IF(L394&gt;=100*0.4,2,IF(L394&gt;=100*0.33,1,0))))))))</f>
        <v/>
      </c>
      <c r="AE394">
        <f>IF(B394="","",IF(M394&lt;33.0,0,IF(M394&gt;=100*0.8,5,IF(M394&gt;=100*0.7,4,IF(M394&gt;=100*0.6,3.5,IF(M394&gt;=100*0.5,3,IF(M394&gt;=100*0.4,2,IF(M394&gt;=100*0.33,1,0))))))))</f>
        <v/>
      </c>
      <c r="AF394">
        <f>IF(B394="","",IF(N394&lt;16.5,0,IF(N394&gt;=50*0.8,5,IF(N394&gt;=50*0.7,4,IF(N394&gt;=50*0.6,3.5,IF(N394&gt;=50*0.5,3,IF(N394&gt;=50*0.4,2,IF(N394&gt;=50*0.33,1,0))))))))</f>
        <v/>
      </c>
      <c r="AG394">
        <f>IF(B394="","",IF(O394&lt;33.0,0,IF(O394&gt;=100*0.8,5,IF(O394&gt;=100*0.7,4,IF(O394&gt;=100*0.6,3.5,IF(O394&gt;=100*0.5,3,IF(O394&gt;=100*0.4,2,IF(O394&gt;=100*0.33,1,0))))))))</f>
        <v/>
      </c>
      <c r="AH394">
        <f>IF(B394="","",IF(OR(U394=0,V394=0,W394=0,X394=0,Y394=0,Z394=0,AA394=0,AB394=0,AC394=0,AD394=0,AE394=0,AF394=0,AG394=0),1,0))</f>
        <v/>
      </c>
    </row>
    <row r="395">
      <c r="A395" s="3">
        <f>IF(B395="","",ROW()-2)</f>
        <v/>
      </c>
      <c r="P395" s="4">
        <f>IF(B395="","",SUM(C395:O395))</f>
        <v/>
      </c>
      <c r="Q395" s="5">
        <f>IF(B395="","",ROUND(P395/13,2))</f>
        <v/>
      </c>
      <c r="R395" s="5">
        <f>IF(B395="","",IF(AH395=1,0,MIN(5,ROUND((U395+V395+W395+X395+Y395+Z395+AA395+AB395+AC395+AD395+AE395+AF395+AG395)/13,2))))</f>
        <v/>
      </c>
      <c r="S395" s="3">
        <f>IF(B395="","",IF(R395&gt;=5,"A+",IF(R395&gt;=4,"A",IF(R395&gt;=3.5,"A-",IF(R395&gt;=3,"B",IF(R395&gt;=2,"C",IF(R395&gt;=1,"D","F")))))))</f>
        <v/>
      </c>
      <c r="T395" s="3">
        <f>IF(OR(B395="",S395="F"),"",COUNTIFS(P:P,"&gt;"&amp;P395,S:S,"&lt;&gt;F")+1)</f>
        <v/>
      </c>
      <c r="U395">
        <f>IF(B395="","",IF(C395&lt;33.0,0,IF(C395&gt;=100*0.8,5,IF(C395&gt;=100*0.7,4,IF(C395&gt;=100*0.6,3.5,IF(C395&gt;=100*0.5,3,IF(C395&gt;=100*0.4,2,IF(C395&gt;=100*0.33,1,0))))))))</f>
        <v/>
      </c>
      <c r="V395">
        <f>IF(B395="","",IF(D395&lt;33.0,0,IF(D395&gt;=100*0.8,5,IF(D395&gt;=100*0.7,4,IF(D395&gt;=100*0.6,3.5,IF(D395&gt;=100*0.5,3,IF(D395&gt;=100*0.4,2,IF(D395&gt;=100*0.33,1,0))))))))</f>
        <v/>
      </c>
      <c r="W395">
        <f>IF(B395="","",IF(E395&lt;16.5,0,IF(E395&gt;=50*0.8,5,IF(E395&gt;=50*0.7,4,IF(E395&gt;=50*0.6,3.5,IF(E395&gt;=50*0.5,3,IF(E395&gt;=50*0.4,2,IF(E395&gt;=50*0.33,1,0))))))))</f>
        <v/>
      </c>
      <c r="X395">
        <f>IF(B395="","",IF(F395&lt;33.0,0,IF(F395&gt;=100*0.8,5,IF(F395&gt;=100*0.7,4,IF(F395&gt;=100*0.6,3.5,IF(F395&gt;=100*0.5,3,IF(F395&gt;=100*0.4,2,IF(F395&gt;=100*0.33,1,0))))))))</f>
        <v/>
      </c>
      <c r="Y395">
        <f>IF(B395="","",IF(G395&lt;16.5,0,IF(G395&gt;=50*0.8,5,IF(G395&gt;=50*0.7,4,IF(G395&gt;=50*0.6,3.5,IF(G395&gt;=50*0.5,3,IF(G395&gt;=50*0.4,2,IF(G395&gt;=50*0.33,1,0))))))))</f>
        <v/>
      </c>
      <c r="Z395">
        <f>IF(B395="","",IF(H395&lt;33.0,0,IF(H395&gt;=100*0.8,5,IF(H395&gt;=100*0.7,4,IF(H395&gt;=100*0.6,3.5,IF(H395&gt;=100*0.5,3,IF(H395&gt;=100*0.4,2,IF(H395&gt;=100*0.33,1,0))))))))</f>
        <v/>
      </c>
      <c r="AA395">
        <f>IF(B395="","",IF(I395&lt;33.0,0,IF(I395&gt;=100*0.8,5,IF(I395&gt;=100*0.7,4,IF(I395&gt;=100*0.6,3.5,IF(I395&gt;=100*0.5,3,IF(I395&gt;=100*0.4,2,IF(I395&gt;=100*0.33,1,0))))))))</f>
        <v/>
      </c>
      <c r="AB395">
        <f>IF(B395="","",IF(J395&lt;33.0,0,IF(J395&gt;=100*0.8,5,IF(J395&gt;=100*0.7,4,IF(J395&gt;=100*0.6,3.5,IF(J395&gt;=100*0.5,3,IF(J395&gt;=100*0.4,2,IF(J395&gt;=100*0.33,1,0))))))))</f>
        <v/>
      </c>
      <c r="AC395">
        <f>IF(B395="","",IF(K395&lt;33.0,0,IF(K395&gt;=100*0.8,5,IF(K395&gt;=100*0.7,4,IF(K395&gt;=100*0.6,3.5,IF(K395&gt;=100*0.5,3,IF(K395&gt;=100*0.4,2,IF(K395&gt;=100*0.33,1,0))))))))</f>
        <v/>
      </c>
      <c r="AD395">
        <f>IF(B395="","",IF(L395&lt;33.0,0,IF(L395&gt;=100*0.8,5,IF(L395&gt;=100*0.7,4,IF(L395&gt;=100*0.6,3.5,IF(L395&gt;=100*0.5,3,IF(L395&gt;=100*0.4,2,IF(L395&gt;=100*0.33,1,0))))))))</f>
        <v/>
      </c>
      <c r="AE395">
        <f>IF(B395="","",IF(M395&lt;33.0,0,IF(M395&gt;=100*0.8,5,IF(M395&gt;=100*0.7,4,IF(M395&gt;=100*0.6,3.5,IF(M395&gt;=100*0.5,3,IF(M395&gt;=100*0.4,2,IF(M395&gt;=100*0.33,1,0))))))))</f>
        <v/>
      </c>
      <c r="AF395">
        <f>IF(B395="","",IF(N395&lt;16.5,0,IF(N395&gt;=50*0.8,5,IF(N395&gt;=50*0.7,4,IF(N395&gt;=50*0.6,3.5,IF(N395&gt;=50*0.5,3,IF(N395&gt;=50*0.4,2,IF(N395&gt;=50*0.33,1,0))))))))</f>
        <v/>
      </c>
      <c r="AG395">
        <f>IF(B395="","",IF(O395&lt;33.0,0,IF(O395&gt;=100*0.8,5,IF(O395&gt;=100*0.7,4,IF(O395&gt;=100*0.6,3.5,IF(O395&gt;=100*0.5,3,IF(O395&gt;=100*0.4,2,IF(O395&gt;=100*0.33,1,0))))))))</f>
        <v/>
      </c>
      <c r="AH395">
        <f>IF(B395="","",IF(OR(U395=0,V395=0,W395=0,X395=0,Y395=0,Z395=0,AA395=0,AB395=0,AC395=0,AD395=0,AE395=0,AF395=0,AG395=0),1,0))</f>
        <v/>
      </c>
    </row>
    <row r="396">
      <c r="A396" s="3">
        <f>IF(B396="","",ROW()-2)</f>
        <v/>
      </c>
      <c r="P396" s="4">
        <f>IF(B396="","",SUM(C396:O396))</f>
        <v/>
      </c>
      <c r="Q396" s="5">
        <f>IF(B396="","",ROUND(P396/13,2))</f>
        <v/>
      </c>
      <c r="R396" s="5">
        <f>IF(B396="","",IF(AH396=1,0,MIN(5,ROUND((U396+V396+W396+X396+Y396+Z396+AA396+AB396+AC396+AD396+AE396+AF396+AG396)/13,2))))</f>
        <v/>
      </c>
      <c r="S396" s="3">
        <f>IF(B396="","",IF(R396&gt;=5,"A+",IF(R396&gt;=4,"A",IF(R396&gt;=3.5,"A-",IF(R396&gt;=3,"B",IF(R396&gt;=2,"C",IF(R396&gt;=1,"D","F")))))))</f>
        <v/>
      </c>
      <c r="T396" s="3">
        <f>IF(OR(B396="",S396="F"),"",COUNTIFS(P:P,"&gt;"&amp;P396,S:S,"&lt;&gt;F")+1)</f>
        <v/>
      </c>
      <c r="U396">
        <f>IF(B396="","",IF(C396&lt;33.0,0,IF(C396&gt;=100*0.8,5,IF(C396&gt;=100*0.7,4,IF(C396&gt;=100*0.6,3.5,IF(C396&gt;=100*0.5,3,IF(C396&gt;=100*0.4,2,IF(C396&gt;=100*0.33,1,0))))))))</f>
        <v/>
      </c>
      <c r="V396">
        <f>IF(B396="","",IF(D396&lt;33.0,0,IF(D396&gt;=100*0.8,5,IF(D396&gt;=100*0.7,4,IF(D396&gt;=100*0.6,3.5,IF(D396&gt;=100*0.5,3,IF(D396&gt;=100*0.4,2,IF(D396&gt;=100*0.33,1,0))))))))</f>
        <v/>
      </c>
      <c r="W396">
        <f>IF(B396="","",IF(E396&lt;16.5,0,IF(E396&gt;=50*0.8,5,IF(E396&gt;=50*0.7,4,IF(E396&gt;=50*0.6,3.5,IF(E396&gt;=50*0.5,3,IF(E396&gt;=50*0.4,2,IF(E396&gt;=50*0.33,1,0))))))))</f>
        <v/>
      </c>
      <c r="X396">
        <f>IF(B396="","",IF(F396&lt;33.0,0,IF(F396&gt;=100*0.8,5,IF(F396&gt;=100*0.7,4,IF(F396&gt;=100*0.6,3.5,IF(F396&gt;=100*0.5,3,IF(F396&gt;=100*0.4,2,IF(F396&gt;=100*0.33,1,0))))))))</f>
        <v/>
      </c>
      <c r="Y396">
        <f>IF(B396="","",IF(G396&lt;16.5,0,IF(G396&gt;=50*0.8,5,IF(G396&gt;=50*0.7,4,IF(G396&gt;=50*0.6,3.5,IF(G396&gt;=50*0.5,3,IF(G396&gt;=50*0.4,2,IF(G396&gt;=50*0.33,1,0))))))))</f>
        <v/>
      </c>
      <c r="Z396">
        <f>IF(B396="","",IF(H396&lt;33.0,0,IF(H396&gt;=100*0.8,5,IF(H396&gt;=100*0.7,4,IF(H396&gt;=100*0.6,3.5,IF(H396&gt;=100*0.5,3,IF(H396&gt;=100*0.4,2,IF(H396&gt;=100*0.33,1,0))))))))</f>
        <v/>
      </c>
      <c r="AA396">
        <f>IF(B396="","",IF(I396&lt;33.0,0,IF(I396&gt;=100*0.8,5,IF(I396&gt;=100*0.7,4,IF(I396&gt;=100*0.6,3.5,IF(I396&gt;=100*0.5,3,IF(I396&gt;=100*0.4,2,IF(I396&gt;=100*0.33,1,0))))))))</f>
        <v/>
      </c>
      <c r="AB396">
        <f>IF(B396="","",IF(J396&lt;33.0,0,IF(J396&gt;=100*0.8,5,IF(J396&gt;=100*0.7,4,IF(J396&gt;=100*0.6,3.5,IF(J396&gt;=100*0.5,3,IF(J396&gt;=100*0.4,2,IF(J396&gt;=100*0.33,1,0))))))))</f>
        <v/>
      </c>
      <c r="AC396">
        <f>IF(B396="","",IF(K396&lt;33.0,0,IF(K396&gt;=100*0.8,5,IF(K396&gt;=100*0.7,4,IF(K396&gt;=100*0.6,3.5,IF(K396&gt;=100*0.5,3,IF(K396&gt;=100*0.4,2,IF(K396&gt;=100*0.33,1,0))))))))</f>
        <v/>
      </c>
      <c r="AD396">
        <f>IF(B396="","",IF(L396&lt;33.0,0,IF(L396&gt;=100*0.8,5,IF(L396&gt;=100*0.7,4,IF(L396&gt;=100*0.6,3.5,IF(L396&gt;=100*0.5,3,IF(L396&gt;=100*0.4,2,IF(L396&gt;=100*0.33,1,0))))))))</f>
        <v/>
      </c>
      <c r="AE396">
        <f>IF(B396="","",IF(M396&lt;33.0,0,IF(M396&gt;=100*0.8,5,IF(M396&gt;=100*0.7,4,IF(M396&gt;=100*0.6,3.5,IF(M396&gt;=100*0.5,3,IF(M396&gt;=100*0.4,2,IF(M396&gt;=100*0.33,1,0))))))))</f>
        <v/>
      </c>
      <c r="AF396">
        <f>IF(B396="","",IF(N396&lt;16.5,0,IF(N396&gt;=50*0.8,5,IF(N396&gt;=50*0.7,4,IF(N396&gt;=50*0.6,3.5,IF(N396&gt;=50*0.5,3,IF(N396&gt;=50*0.4,2,IF(N396&gt;=50*0.33,1,0))))))))</f>
        <v/>
      </c>
      <c r="AG396">
        <f>IF(B396="","",IF(O396&lt;33.0,0,IF(O396&gt;=100*0.8,5,IF(O396&gt;=100*0.7,4,IF(O396&gt;=100*0.6,3.5,IF(O396&gt;=100*0.5,3,IF(O396&gt;=100*0.4,2,IF(O396&gt;=100*0.33,1,0))))))))</f>
        <v/>
      </c>
      <c r="AH396">
        <f>IF(B396="","",IF(OR(U396=0,V396=0,W396=0,X396=0,Y396=0,Z396=0,AA396=0,AB396=0,AC396=0,AD396=0,AE396=0,AF396=0,AG396=0),1,0))</f>
        <v/>
      </c>
    </row>
    <row r="397">
      <c r="A397" s="3">
        <f>IF(B397="","",ROW()-2)</f>
        <v/>
      </c>
      <c r="P397" s="4">
        <f>IF(B397="","",SUM(C397:O397))</f>
        <v/>
      </c>
      <c r="Q397" s="5">
        <f>IF(B397="","",ROUND(P397/13,2))</f>
        <v/>
      </c>
      <c r="R397" s="5">
        <f>IF(B397="","",IF(AH397=1,0,MIN(5,ROUND((U397+V397+W397+X397+Y397+Z397+AA397+AB397+AC397+AD397+AE397+AF397+AG397)/13,2))))</f>
        <v/>
      </c>
      <c r="S397" s="3">
        <f>IF(B397="","",IF(R397&gt;=5,"A+",IF(R397&gt;=4,"A",IF(R397&gt;=3.5,"A-",IF(R397&gt;=3,"B",IF(R397&gt;=2,"C",IF(R397&gt;=1,"D","F")))))))</f>
        <v/>
      </c>
      <c r="T397" s="3">
        <f>IF(OR(B397="",S397="F"),"",COUNTIFS(P:P,"&gt;"&amp;P397,S:S,"&lt;&gt;F")+1)</f>
        <v/>
      </c>
      <c r="U397">
        <f>IF(B397="","",IF(C397&lt;33.0,0,IF(C397&gt;=100*0.8,5,IF(C397&gt;=100*0.7,4,IF(C397&gt;=100*0.6,3.5,IF(C397&gt;=100*0.5,3,IF(C397&gt;=100*0.4,2,IF(C397&gt;=100*0.33,1,0))))))))</f>
        <v/>
      </c>
      <c r="V397">
        <f>IF(B397="","",IF(D397&lt;33.0,0,IF(D397&gt;=100*0.8,5,IF(D397&gt;=100*0.7,4,IF(D397&gt;=100*0.6,3.5,IF(D397&gt;=100*0.5,3,IF(D397&gt;=100*0.4,2,IF(D397&gt;=100*0.33,1,0))))))))</f>
        <v/>
      </c>
      <c r="W397">
        <f>IF(B397="","",IF(E397&lt;16.5,0,IF(E397&gt;=50*0.8,5,IF(E397&gt;=50*0.7,4,IF(E397&gt;=50*0.6,3.5,IF(E397&gt;=50*0.5,3,IF(E397&gt;=50*0.4,2,IF(E397&gt;=50*0.33,1,0))))))))</f>
        <v/>
      </c>
      <c r="X397">
        <f>IF(B397="","",IF(F397&lt;33.0,0,IF(F397&gt;=100*0.8,5,IF(F397&gt;=100*0.7,4,IF(F397&gt;=100*0.6,3.5,IF(F397&gt;=100*0.5,3,IF(F397&gt;=100*0.4,2,IF(F397&gt;=100*0.33,1,0))))))))</f>
        <v/>
      </c>
      <c r="Y397">
        <f>IF(B397="","",IF(G397&lt;16.5,0,IF(G397&gt;=50*0.8,5,IF(G397&gt;=50*0.7,4,IF(G397&gt;=50*0.6,3.5,IF(G397&gt;=50*0.5,3,IF(G397&gt;=50*0.4,2,IF(G397&gt;=50*0.33,1,0))))))))</f>
        <v/>
      </c>
      <c r="Z397">
        <f>IF(B397="","",IF(H397&lt;33.0,0,IF(H397&gt;=100*0.8,5,IF(H397&gt;=100*0.7,4,IF(H397&gt;=100*0.6,3.5,IF(H397&gt;=100*0.5,3,IF(H397&gt;=100*0.4,2,IF(H397&gt;=100*0.33,1,0))))))))</f>
        <v/>
      </c>
      <c r="AA397">
        <f>IF(B397="","",IF(I397&lt;33.0,0,IF(I397&gt;=100*0.8,5,IF(I397&gt;=100*0.7,4,IF(I397&gt;=100*0.6,3.5,IF(I397&gt;=100*0.5,3,IF(I397&gt;=100*0.4,2,IF(I397&gt;=100*0.33,1,0))))))))</f>
        <v/>
      </c>
      <c r="AB397">
        <f>IF(B397="","",IF(J397&lt;33.0,0,IF(J397&gt;=100*0.8,5,IF(J397&gt;=100*0.7,4,IF(J397&gt;=100*0.6,3.5,IF(J397&gt;=100*0.5,3,IF(J397&gt;=100*0.4,2,IF(J397&gt;=100*0.33,1,0))))))))</f>
        <v/>
      </c>
      <c r="AC397">
        <f>IF(B397="","",IF(K397&lt;33.0,0,IF(K397&gt;=100*0.8,5,IF(K397&gt;=100*0.7,4,IF(K397&gt;=100*0.6,3.5,IF(K397&gt;=100*0.5,3,IF(K397&gt;=100*0.4,2,IF(K397&gt;=100*0.33,1,0))))))))</f>
        <v/>
      </c>
      <c r="AD397">
        <f>IF(B397="","",IF(L397&lt;33.0,0,IF(L397&gt;=100*0.8,5,IF(L397&gt;=100*0.7,4,IF(L397&gt;=100*0.6,3.5,IF(L397&gt;=100*0.5,3,IF(L397&gt;=100*0.4,2,IF(L397&gt;=100*0.33,1,0))))))))</f>
        <v/>
      </c>
      <c r="AE397">
        <f>IF(B397="","",IF(M397&lt;33.0,0,IF(M397&gt;=100*0.8,5,IF(M397&gt;=100*0.7,4,IF(M397&gt;=100*0.6,3.5,IF(M397&gt;=100*0.5,3,IF(M397&gt;=100*0.4,2,IF(M397&gt;=100*0.33,1,0))))))))</f>
        <v/>
      </c>
      <c r="AF397">
        <f>IF(B397="","",IF(N397&lt;16.5,0,IF(N397&gt;=50*0.8,5,IF(N397&gt;=50*0.7,4,IF(N397&gt;=50*0.6,3.5,IF(N397&gt;=50*0.5,3,IF(N397&gt;=50*0.4,2,IF(N397&gt;=50*0.33,1,0))))))))</f>
        <v/>
      </c>
      <c r="AG397">
        <f>IF(B397="","",IF(O397&lt;33.0,0,IF(O397&gt;=100*0.8,5,IF(O397&gt;=100*0.7,4,IF(O397&gt;=100*0.6,3.5,IF(O397&gt;=100*0.5,3,IF(O397&gt;=100*0.4,2,IF(O397&gt;=100*0.33,1,0))))))))</f>
        <v/>
      </c>
      <c r="AH397">
        <f>IF(B397="","",IF(OR(U397=0,V397=0,W397=0,X397=0,Y397=0,Z397=0,AA397=0,AB397=0,AC397=0,AD397=0,AE397=0,AF397=0,AG397=0),1,0))</f>
        <v/>
      </c>
    </row>
    <row r="398">
      <c r="A398" s="3">
        <f>IF(B398="","",ROW()-2)</f>
        <v/>
      </c>
      <c r="P398" s="4">
        <f>IF(B398="","",SUM(C398:O398))</f>
        <v/>
      </c>
      <c r="Q398" s="5">
        <f>IF(B398="","",ROUND(P398/13,2))</f>
        <v/>
      </c>
      <c r="R398" s="5">
        <f>IF(B398="","",IF(AH398=1,0,MIN(5,ROUND((U398+V398+W398+X398+Y398+Z398+AA398+AB398+AC398+AD398+AE398+AF398+AG398)/13,2))))</f>
        <v/>
      </c>
      <c r="S398" s="3">
        <f>IF(B398="","",IF(R398&gt;=5,"A+",IF(R398&gt;=4,"A",IF(R398&gt;=3.5,"A-",IF(R398&gt;=3,"B",IF(R398&gt;=2,"C",IF(R398&gt;=1,"D","F")))))))</f>
        <v/>
      </c>
      <c r="T398" s="3">
        <f>IF(OR(B398="",S398="F"),"",COUNTIFS(P:P,"&gt;"&amp;P398,S:S,"&lt;&gt;F")+1)</f>
        <v/>
      </c>
      <c r="U398">
        <f>IF(B398="","",IF(C398&lt;33.0,0,IF(C398&gt;=100*0.8,5,IF(C398&gt;=100*0.7,4,IF(C398&gt;=100*0.6,3.5,IF(C398&gt;=100*0.5,3,IF(C398&gt;=100*0.4,2,IF(C398&gt;=100*0.33,1,0))))))))</f>
        <v/>
      </c>
      <c r="V398">
        <f>IF(B398="","",IF(D398&lt;33.0,0,IF(D398&gt;=100*0.8,5,IF(D398&gt;=100*0.7,4,IF(D398&gt;=100*0.6,3.5,IF(D398&gt;=100*0.5,3,IF(D398&gt;=100*0.4,2,IF(D398&gt;=100*0.33,1,0))))))))</f>
        <v/>
      </c>
      <c r="W398">
        <f>IF(B398="","",IF(E398&lt;16.5,0,IF(E398&gt;=50*0.8,5,IF(E398&gt;=50*0.7,4,IF(E398&gt;=50*0.6,3.5,IF(E398&gt;=50*0.5,3,IF(E398&gt;=50*0.4,2,IF(E398&gt;=50*0.33,1,0))))))))</f>
        <v/>
      </c>
      <c r="X398">
        <f>IF(B398="","",IF(F398&lt;33.0,0,IF(F398&gt;=100*0.8,5,IF(F398&gt;=100*0.7,4,IF(F398&gt;=100*0.6,3.5,IF(F398&gt;=100*0.5,3,IF(F398&gt;=100*0.4,2,IF(F398&gt;=100*0.33,1,0))))))))</f>
        <v/>
      </c>
      <c r="Y398">
        <f>IF(B398="","",IF(G398&lt;16.5,0,IF(G398&gt;=50*0.8,5,IF(G398&gt;=50*0.7,4,IF(G398&gt;=50*0.6,3.5,IF(G398&gt;=50*0.5,3,IF(G398&gt;=50*0.4,2,IF(G398&gt;=50*0.33,1,0))))))))</f>
        <v/>
      </c>
      <c r="Z398">
        <f>IF(B398="","",IF(H398&lt;33.0,0,IF(H398&gt;=100*0.8,5,IF(H398&gt;=100*0.7,4,IF(H398&gt;=100*0.6,3.5,IF(H398&gt;=100*0.5,3,IF(H398&gt;=100*0.4,2,IF(H398&gt;=100*0.33,1,0))))))))</f>
        <v/>
      </c>
      <c r="AA398">
        <f>IF(B398="","",IF(I398&lt;33.0,0,IF(I398&gt;=100*0.8,5,IF(I398&gt;=100*0.7,4,IF(I398&gt;=100*0.6,3.5,IF(I398&gt;=100*0.5,3,IF(I398&gt;=100*0.4,2,IF(I398&gt;=100*0.33,1,0))))))))</f>
        <v/>
      </c>
      <c r="AB398">
        <f>IF(B398="","",IF(J398&lt;33.0,0,IF(J398&gt;=100*0.8,5,IF(J398&gt;=100*0.7,4,IF(J398&gt;=100*0.6,3.5,IF(J398&gt;=100*0.5,3,IF(J398&gt;=100*0.4,2,IF(J398&gt;=100*0.33,1,0))))))))</f>
        <v/>
      </c>
      <c r="AC398">
        <f>IF(B398="","",IF(K398&lt;33.0,0,IF(K398&gt;=100*0.8,5,IF(K398&gt;=100*0.7,4,IF(K398&gt;=100*0.6,3.5,IF(K398&gt;=100*0.5,3,IF(K398&gt;=100*0.4,2,IF(K398&gt;=100*0.33,1,0))))))))</f>
        <v/>
      </c>
      <c r="AD398">
        <f>IF(B398="","",IF(L398&lt;33.0,0,IF(L398&gt;=100*0.8,5,IF(L398&gt;=100*0.7,4,IF(L398&gt;=100*0.6,3.5,IF(L398&gt;=100*0.5,3,IF(L398&gt;=100*0.4,2,IF(L398&gt;=100*0.33,1,0))))))))</f>
        <v/>
      </c>
      <c r="AE398">
        <f>IF(B398="","",IF(M398&lt;33.0,0,IF(M398&gt;=100*0.8,5,IF(M398&gt;=100*0.7,4,IF(M398&gt;=100*0.6,3.5,IF(M398&gt;=100*0.5,3,IF(M398&gt;=100*0.4,2,IF(M398&gt;=100*0.33,1,0))))))))</f>
        <v/>
      </c>
      <c r="AF398">
        <f>IF(B398="","",IF(N398&lt;16.5,0,IF(N398&gt;=50*0.8,5,IF(N398&gt;=50*0.7,4,IF(N398&gt;=50*0.6,3.5,IF(N398&gt;=50*0.5,3,IF(N398&gt;=50*0.4,2,IF(N398&gt;=50*0.33,1,0))))))))</f>
        <v/>
      </c>
      <c r="AG398">
        <f>IF(B398="","",IF(O398&lt;33.0,0,IF(O398&gt;=100*0.8,5,IF(O398&gt;=100*0.7,4,IF(O398&gt;=100*0.6,3.5,IF(O398&gt;=100*0.5,3,IF(O398&gt;=100*0.4,2,IF(O398&gt;=100*0.33,1,0))))))))</f>
        <v/>
      </c>
      <c r="AH398">
        <f>IF(B398="","",IF(OR(U398=0,V398=0,W398=0,X398=0,Y398=0,Z398=0,AA398=0,AB398=0,AC398=0,AD398=0,AE398=0,AF398=0,AG398=0),1,0))</f>
        <v/>
      </c>
    </row>
    <row r="399">
      <c r="A399" s="3">
        <f>IF(B399="","",ROW()-2)</f>
        <v/>
      </c>
      <c r="P399" s="4">
        <f>IF(B399="","",SUM(C399:O399))</f>
        <v/>
      </c>
      <c r="Q399" s="5">
        <f>IF(B399="","",ROUND(P399/13,2))</f>
        <v/>
      </c>
      <c r="R399" s="5">
        <f>IF(B399="","",IF(AH399=1,0,MIN(5,ROUND((U399+V399+W399+X399+Y399+Z399+AA399+AB399+AC399+AD399+AE399+AF399+AG399)/13,2))))</f>
        <v/>
      </c>
      <c r="S399" s="3">
        <f>IF(B399="","",IF(R399&gt;=5,"A+",IF(R399&gt;=4,"A",IF(R399&gt;=3.5,"A-",IF(R399&gt;=3,"B",IF(R399&gt;=2,"C",IF(R399&gt;=1,"D","F")))))))</f>
        <v/>
      </c>
      <c r="T399" s="3">
        <f>IF(OR(B399="",S399="F"),"",COUNTIFS(P:P,"&gt;"&amp;P399,S:S,"&lt;&gt;F")+1)</f>
        <v/>
      </c>
      <c r="U399">
        <f>IF(B399="","",IF(C399&lt;33.0,0,IF(C399&gt;=100*0.8,5,IF(C399&gt;=100*0.7,4,IF(C399&gt;=100*0.6,3.5,IF(C399&gt;=100*0.5,3,IF(C399&gt;=100*0.4,2,IF(C399&gt;=100*0.33,1,0))))))))</f>
        <v/>
      </c>
      <c r="V399">
        <f>IF(B399="","",IF(D399&lt;33.0,0,IF(D399&gt;=100*0.8,5,IF(D399&gt;=100*0.7,4,IF(D399&gt;=100*0.6,3.5,IF(D399&gt;=100*0.5,3,IF(D399&gt;=100*0.4,2,IF(D399&gt;=100*0.33,1,0))))))))</f>
        <v/>
      </c>
      <c r="W399">
        <f>IF(B399="","",IF(E399&lt;16.5,0,IF(E399&gt;=50*0.8,5,IF(E399&gt;=50*0.7,4,IF(E399&gt;=50*0.6,3.5,IF(E399&gt;=50*0.5,3,IF(E399&gt;=50*0.4,2,IF(E399&gt;=50*0.33,1,0))))))))</f>
        <v/>
      </c>
      <c r="X399">
        <f>IF(B399="","",IF(F399&lt;33.0,0,IF(F399&gt;=100*0.8,5,IF(F399&gt;=100*0.7,4,IF(F399&gt;=100*0.6,3.5,IF(F399&gt;=100*0.5,3,IF(F399&gt;=100*0.4,2,IF(F399&gt;=100*0.33,1,0))))))))</f>
        <v/>
      </c>
      <c r="Y399">
        <f>IF(B399="","",IF(G399&lt;16.5,0,IF(G399&gt;=50*0.8,5,IF(G399&gt;=50*0.7,4,IF(G399&gt;=50*0.6,3.5,IF(G399&gt;=50*0.5,3,IF(G399&gt;=50*0.4,2,IF(G399&gt;=50*0.33,1,0))))))))</f>
        <v/>
      </c>
      <c r="Z399">
        <f>IF(B399="","",IF(H399&lt;33.0,0,IF(H399&gt;=100*0.8,5,IF(H399&gt;=100*0.7,4,IF(H399&gt;=100*0.6,3.5,IF(H399&gt;=100*0.5,3,IF(H399&gt;=100*0.4,2,IF(H399&gt;=100*0.33,1,0))))))))</f>
        <v/>
      </c>
      <c r="AA399">
        <f>IF(B399="","",IF(I399&lt;33.0,0,IF(I399&gt;=100*0.8,5,IF(I399&gt;=100*0.7,4,IF(I399&gt;=100*0.6,3.5,IF(I399&gt;=100*0.5,3,IF(I399&gt;=100*0.4,2,IF(I399&gt;=100*0.33,1,0))))))))</f>
        <v/>
      </c>
      <c r="AB399">
        <f>IF(B399="","",IF(J399&lt;33.0,0,IF(J399&gt;=100*0.8,5,IF(J399&gt;=100*0.7,4,IF(J399&gt;=100*0.6,3.5,IF(J399&gt;=100*0.5,3,IF(J399&gt;=100*0.4,2,IF(J399&gt;=100*0.33,1,0))))))))</f>
        <v/>
      </c>
      <c r="AC399">
        <f>IF(B399="","",IF(K399&lt;33.0,0,IF(K399&gt;=100*0.8,5,IF(K399&gt;=100*0.7,4,IF(K399&gt;=100*0.6,3.5,IF(K399&gt;=100*0.5,3,IF(K399&gt;=100*0.4,2,IF(K399&gt;=100*0.33,1,0))))))))</f>
        <v/>
      </c>
      <c r="AD399">
        <f>IF(B399="","",IF(L399&lt;33.0,0,IF(L399&gt;=100*0.8,5,IF(L399&gt;=100*0.7,4,IF(L399&gt;=100*0.6,3.5,IF(L399&gt;=100*0.5,3,IF(L399&gt;=100*0.4,2,IF(L399&gt;=100*0.33,1,0))))))))</f>
        <v/>
      </c>
      <c r="AE399">
        <f>IF(B399="","",IF(M399&lt;33.0,0,IF(M399&gt;=100*0.8,5,IF(M399&gt;=100*0.7,4,IF(M399&gt;=100*0.6,3.5,IF(M399&gt;=100*0.5,3,IF(M399&gt;=100*0.4,2,IF(M399&gt;=100*0.33,1,0))))))))</f>
        <v/>
      </c>
      <c r="AF399">
        <f>IF(B399="","",IF(N399&lt;16.5,0,IF(N399&gt;=50*0.8,5,IF(N399&gt;=50*0.7,4,IF(N399&gt;=50*0.6,3.5,IF(N399&gt;=50*0.5,3,IF(N399&gt;=50*0.4,2,IF(N399&gt;=50*0.33,1,0))))))))</f>
        <v/>
      </c>
      <c r="AG399">
        <f>IF(B399="","",IF(O399&lt;33.0,0,IF(O399&gt;=100*0.8,5,IF(O399&gt;=100*0.7,4,IF(O399&gt;=100*0.6,3.5,IF(O399&gt;=100*0.5,3,IF(O399&gt;=100*0.4,2,IF(O399&gt;=100*0.33,1,0))))))))</f>
        <v/>
      </c>
      <c r="AH399">
        <f>IF(B399="","",IF(OR(U399=0,V399=0,W399=0,X399=0,Y399=0,Z399=0,AA399=0,AB399=0,AC399=0,AD399=0,AE399=0,AF399=0,AG399=0),1,0))</f>
        <v/>
      </c>
    </row>
    <row r="400">
      <c r="A400" s="3">
        <f>IF(B400="","",ROW()-2)</f>
        <v/>
      </c>
      <c r="P400" s="4">
        <f>IF(B400="","",SUM(C400:O400))</f>
        <v/>
      </c>
      <c r="Q400" s="5">
        <f>IF(B400="","",ROUND(P400/13,2))</f>
        <v/>
      </c>
      <c r="R400" s="5">
        <f>IF(B400="","",IF(AH400=1,0,MIN(5,ROUND((U400+V400+W400+X400+Y400+Z400+AA400+AB400+AC400+AD400+AE400+AF400+AG400)/13,2))))</f>
        <v/>
      </c>
      <c r="S400" s="3">
        <f>IF(B400="","",IF(R400&gt;=5,"A+",IF(R400&gt;=4,"A",IF(R400&gt;=3.5,"A-",IF(R400&gt;=3,"B",IF(R400&gt;=2,"C",IF(R400&gt;=1,"D","F")))))))</f>
        <v/>
      </c>
      <c r="T400" s="3">
        <f>IF(OR(B400="",S400="F"),"",COUNTIFS(P:P,"&gt;"&amp;P400,S:S,"&lt;&gt;F")+1)</f>
        <v/>
      </c>
      <c r="U400">
        <f>IF(B400="","",IF(C400&lt;33.0,0,IF(C400&gt;=100*0.8,5,IF(C400&gt;=100*0.7,4,IF(C400&gt;=100*0.6,3.5,IF(C400&gt;=100*0.5,3,IF(C400&gt;=100*0.4,2,IF(C400&gt;=100*0.33,1,0))))))))</f>
        <v/>
      </c>
      <c r="V400">
        <f>IF(B400="","",IF(D400&lt;33.0,0,IF(D400&gt;=100*0.8,5,IF(D400&gt;=100*0.7,4,IF(D400&gt;=100*0.6,3.5,IF(D400&gt;=100*0.5,3,IF(D400&gt;=100*0.4,2,IF(D400&gt;=100*0.33,1,0))))))))</f>
        <v/>
      </c>
      <c r="W400">
        <f>IF(B400="","",IF(E400&lt;16.5,0,IF(E400&gt;=50*0.8,5,IF(E400&gt;=50*0.7,4,IF(E400&gt;=50*0.6,3.5,IF(E400&gt;=50*0.5,3,IF(E400&gt;=50*0.4,2,IF(E400&gt;=50*0.33,1,0))))))))</f>
        <v/>
      </c>
      <c r="X400">
        <f>IF(B400="","",IF(F400&lt;33.0,0,IF(F400&gt;=100*0.8,5,IF(F400&gt;=100*0.7,4,IF(F400&gt;=100*0.6,3.5,IF(F400&gt;=100*0.5,3,IF(F400&gt;=100*0.4,2,IF(F400&gt;=100*0.33,1,0))))))))</f>
        <v/>
      </c>
      <c r="Y400">
        <f>IF(B400="","",IF(G400&lt;16.5,0,IF(G400&gt;=50*0.8,5,IF(G400&gt;=50*0.7,4,IF(G400&gt;=50*0.6,3.5,IF(G400&gt;=50*0.5,3,IF(G400&gt;=50*0.4,2,IF(G400&gt;=50*0.33,1,0))))))))</f>
        <v/>
      </c>
      <c r="Z400">
        <f>IF(B400="","",IF(H400&lt;33.0,0,IF(H400&gt;=100*0.8,5,IF(H400&gt;=100*0.7,4,IF(H400&gt;=100*0.6,3.5,IF(H400&gt;=100*0.5,3,IF(H400&gt;=100*0.4,2,IF(H400&gt;=100*0.33,1,0))))))))</f>
        <v/>
      </c>
      <c r="AA400">
        <f>IF(B400="","",IF(I400&lt;33.0,0,IF(I400&gt;=100*0.8,5,IF(I400&gt;=100*0.7,4,IF(I400&gt;=100*0.6,3.5,IF(I400&gt;=100*0.5,3,IF(I400&gt;=100*0.4,2,IF(I400&gt;=100*0.33,1,0))))))))</f>
        <v/>
      </c>
      <c r="AB400">
        <f>IF(B400="","",IF(J400&lt;33.0,0,IF(J400&gt;=100*0.8,5,IF(J400&gt;=100*0.7,4,IF(J400&gt;=100*0.6,3.5,IF(J400&gt;=100*0.5,3,IF(J400&gt;=100*0.4,2,IF(J400&gt;=100*0.33,1,0))))))))</f>
        <v/>
      </c>
      <c r="AC400">
        <f>IF(B400="","",IF(K400&lt;33.0,0,IF(K400&gt;=100*0.8,5,IF(K400&gt;=100*0.7,4,IF(K400&gt;=100*0.6,3.5,IF(K400&gt;=100*0.5,3,IF(K400&gt;=100*0.4,2,IF(K400&gt;=100*0.33,1,0))))))))</f>
        <v/>
      </c>
      <c r="AD400">
        <f>IF(B400="","",IF(L400&lt;33.0,0,IF(L400&gt;=100*0.8,5,IF(L400&gt;=100*0.7,4,IF(L400&gt;=100*0.6,3.5,IF(L400&gt;=100*0.5,3,IF(L400&gt;=100*0.4,2,IF(L400&gt;=100*0.33,1,0))))))))</f>
        <v/>
      </c>
      <c r="AE400">
        <f>IF(B400="","",IF(M400&lt;33.0,0,IF(M400&gt;=100*0.8,5,IF(M400&gt;=100*0.7,4,IF(M400&gt;=100*0.6,3.5,IF(M400&gt;=100*0.5,3,IF(M400&gt;=100*0.4,2,IF(M400&gt;=100*0.33,1,0))))))))</f>
        <v/>
      </c>
      <c r="AF400">
        <f>IF(B400="","",IF(N400&lt;16.5,0,IF(N400&gt;=50*0.8,5,IF(N400&gt;=50*0.7,4,IF(N400&gt;=50*0.6,3.5,IF(N400&gt;=50*0.5,3,IF(N400&gt;=50*0.4,2,IF(N400&gt;=50*0.33,1,0))))))))</f>
        <v/>
      </c>
      <c r="AG400">
        <f>IF(B400="","",IF(O400&lt;33.0,0,IF(O400&gt;=100*0.8,5,IF(O400&gt;=100*0.7,4,IF(O400&gt;=100*0.6,3.5,IF(O400&gt;=100*0.5,3,IF(O400&gt;=100*0.4,2,IF(O400&gt;=100*0.33,1,0))))))))</f>
        <v/>
      </c>
      <c r="AH400">
        <f>IF(B400="","",IF(OR(U400=0,V400=0,W400=0,X400=0,Y400=0,Z400=0,AA400=0,AB400=0,AC400=0,AD400=0,AE400=0,AF400=0,AG400=0),1,0))</f>
        <v/>
      </c>
    </row>
    <row r="401">
      <c r="A401" s="3">
        <f>IF(B401="","",ROW()-2)</f>
        <v/>
      </c>
      <c r="P401" s="4">
        <f>IF(B401="","",SUM(C401:O401))</f>
        <v/>
      </c>
      <c r="Q401" s="5">
        <f>IF(B401="","",ROUND(P401/13,2))</f>
        <v/>
      </c>
      <c r="R401" s="5">
        <f>IF(B401="","",IF(AH401=1,0,MIN(5,ROUND((U401+V401+W401+X401+Y401+Z401+AA401+AB401+AC401+AD401+AE401+AF401+AG401)/13,2))))</f>
        <v/>
      </c>
      <c r="S401" s="3">
        <f>IF(B401="","",IF(R401&gt;=5,"A+",IF(R401&gt;=4,"A",IF(R401&gt;=3.5,"A-",IF(R401&gt;=3,"B",IF(R401&gt;=2,"C",IF(R401&gt;=1,"D","F")))))))</f>
        <v/>
      </c>
      <c r="T401" s="3">
        <f>IF(OR(B401="",S401="F"),"",COUNTIFS(P:P,"&gt;"&amp;P401,S:S,"&lt;&gt;F")+1)</f>
        <v/>
      </c>
      <c r="U401">
        <f>IF(B401="","",IF(C401&lt;33.0,0,IF(C401&gt;=100*0.8,5,IF(C401&gt;=100*0.7,4,IF(C401&gt;=100*0.6,3.5,IF(C401&gt;=100*0.5,3,IF(C401&gt;=100*0.4,2,IF(C401&gt;=100*0.33,1,0))))))))</f>
        <v/>
      </c>
      <c r="V401">
        <f>IF(B401="","",IF(D401&lt;33.0,0,IF(D401&gt;=100*0.8,5,IF(D401&gt;=100*0.7,4,IF(D401&gt;=100*0.6,3.5,IF(D401&gt;=100*0.5,3,IF(D401&gt;=100*0.4,2,IF(D401&gt;=100*0.33,1,0))))))))</f>
        <v/>
      </c>
      <c r="W401">
        <f>IF(B401="","",IF(E401&lt;16.5,0,IF(E401&gt;=50*0.8,5,IF(E401&gt;=50*0.7,4,IF(E401&gt;=50*0.6,3.5,IF(E401&gt;=50*0.5,3,IF(E401&gt;=50*0.4,2,IF(E401&gt;=50*0.33,1,0))))))))</f>
        <v/>
      </c>
      <c r="X401">
        <f>IF(B401="","",IF(F401&lt;33.0,0,IF(F401&gt;=100*0.8,5,IF(F401&gt;=100*0.7,4,IF(F401&gt;=100*0.6,3.5,IF(F401&gt;=100*0.5,3,IF(F401&gt;=100*0.4,2,IF(F401&gt;=100*0.33,1,0))))))))</f>
        <v/>
      </c>
      <c r="Y401">
        <f>IF(B401="","",IF(G401&lt;16.5,0,IF(G401&gt;=50*0.8,5,IF(G401&gt;=50*0.7,4,IF(G401&gt;=50*0.6,3.5,IF(G401&gt;=50*0.5,3,IF(G401&gt;=50*0.4,2,IF(G401&gt;=50*0.33,1,0))))))))</f>
        <v/>
      </c>
      <c r="Z401">
        <f>IF(B401="","",IF(H401&lt;33.0,0,IF(H401&gt;=100*0.8,5,IF(H401&gt;=100*0.7,4,IF(H401&gt;=100*0.6,3.5,IF(H401&gt;=100*0.5,3,IF(H401&gt;=100*0.4,2,IF(H401&gt;=100*0.33,1,0))))))))</f>
        <v/>
      </c>
      <c r="AA401">
        <f>IF(B401="","",IF(I401&lt;33.0,0,IF(I401&gt;=100*0.8,5,IF(I401&gt;=100*0.7,4,IF(I401&gt;=100*0.6,3.5,IF(I401&gt;=100*0.5,3,IF(I401&gt;=100*0.4,2,IF(I401&gt;=100*0.33,1,0))))))))</f>
        <v/>
      </c>
      <c r="AB401">
        <f>IF(B401="","",IF(J401&lt;33.0,0,IF(J401&gt;=100*0.8,5,IF(J401&gt;=100*0.7,4,IF(J401&gt;=100*0.6,3.5,IF(J401&gt;=100*0.5,3,IF(J401&gt;=100*0.4,2,IF(J401&gt;=100*0.33,1,0))))))))</f>
        <v/>
      </c>
      <c r="AC401">
        <f>IF(B401="","",IF(K401&lt;33.0,0,IF(K401&gt;=100*0.8,5,IF(K401&gt;=100*0.7,4,IF(K401&gt;=100*0.6,3.5,IF(K401&gt;=100*0.5,3,IF(K401&gt;=100*0.4,2,IF(K401&gt;=100*0.33,1,0))))))))</f>
        <v/>
      </c>
      <c r="AD401">
        <f>IF(B401="","",IF(L401&lt;33.0,0,IF(L401&gt;=100*0.8,5,IF(L401&gt;=100*0.7,4,IF(L401&gt;=100*0.6,3.5,IF(L401&gt;=100*0.5,3,IF(L401&gt;=100*0.4,2,IF(L401&gt;=100*0.33,1,0))))))))</f>
        <v/>
      </c>
      <c r="AE401">
        <f>IF(B401="","",IF(M401&lt;33.0,0,IF(M401&gt;=100*0.8,5,IF(M401&gt;=100*0.7,4,IF(M401&gt;=100*0.6,3.5,IF(M401&gt;=100*0.5,3,IF(M401&gt;=100*0.4,2,IF(M401&gt;=100*0.33,1,0))))))))</f>
        <v/>
      </c>
      <c r="AF401">
        <f>IF(B401="","",IF(N401&lt;16.5,0,IF(N401&gt;=50*0.8,5,IF(N401&gt;=50*0.7,4,IF(N401&gt;=50*0.6,3.5,IF(N401&gt;=50*0.5,3,IF(N401&gt;=50*0.4,2,IF(N401&gt;=50*0.33,1,0))))))))</f>
        <v/>
      </c>
      <c r="AG401">
        <f>IF(B401="","",IF(O401&lt;33.0,0,IF(O401&gt;=100*0.8,5,IF(O401&gt;=100*0.7,4,IF(O401&gt;=100*0.6,3.5,IF(O401&gt;=100*0.5,3,IF(O401&gt;=100*0.4,2,IF(O401&gt;=100*0.33,1,0))))))))</f>
        <v/>
      </c>
      <c r="AH401">
        <f>IF(B401="","",IF(OR(U401=0,V401=0,W401=0,X401=0,Y401=0,Z401=0,AA401=0,AB401=0,AC401=0,AD401=0,AE401=0,AF401=0,AG401=0),1,0))</f>
        <v/>
      </c>
    </row>
    <row r="402">
      <c r="A402" s="3">
        <f>IF(B402="","",ROW()-2)</f>
        <v/>
      </c>
      <c r="P402" s="4">
        <f>IF(B402="","",SUM(C402:O402))</f>
        <v/>
      </c>
      <c r="Q402" s="5">
        <f>IF(B402="","",ROUND(P402/13,2))</f>
        <v/>
      </c>
      <c r="R402" s="5">
        <f>IF(B402="","",IF(AH402=1,0,MIN(5,ROUND((U402+V402+W402+X402+Y402+Z402+AA402+AB402+AC402+AD402+AE402+AF402+AG402)/13,2))))</f>
        <v/>
      </c>
      <c r="S402" s="3">
        <f>IF(B402="","",IF(R402&gt;=5,"A+",IF(R402&gt;=4,"A",IF(R402&gt;=3.5,"A-",IF(R402&gt;=3,"B",IF(R402&gt;=2,"C",IF(R402&gt;=1,"D","F")))))))</f>
        <v/>
      </c>
      <c r="T402" s="3">
        <f>IF(OR(B402="",S402="F"),"",COUNTIFS(P:P,"&gt;"&amp;P402,S:S,"&lt;&gt;F")+1)</f>
        <v/>
      </c>
      <c r="U402">
        <f>IF(B402="","",IF(C402&lt;33.0,0,IF(C402&gt;=100*0.8,5,IF(C402&gt;=100*0.7,4,IF(C402&gt;=100*0.6,3.5,IF(C402&gt;=100*0.5,3,IF(C402&gt;=100*0.4,2,IF(C402&gt;=100*0.33,1,0))))))))</f>
        <v/>
      </c>
      <c r="V402">
        <f>IF(B402="","",IF(D402&lt;33.0,0,IF(D402&gt;=100*0.8,5,IF(D402&gt;=100*0.7,4,IF(D402&gt;=100*0.6,3.5,IF(D402&gt;=100*0.5,3,IF(D402&gt;=100*0.4,2,IF(D402&gt;=100*0.33,1,0))))))))</f>
        <v/>
      </c>
      <c r="W402">
        <f>IF(B402="","",IF(E402&lt;16.5,0,IF(E402&gt;=50*0.8,5,IF(E402&gt;=50*0.7,4,IF(E402&gt;=50*0.6,3.5,IF(E402&gt;=50*0.5,3,IF(E402&gt;=50*0.4,2,IF(E402&gt;=50*0.33,1,0))))))))</f>
        <v/>
      </c>
      <c r="X402">
        <f>IF(B402="","",IF(F402&lt;33.0,0,IF(F402&gt;=100*0.8,5,IF(F402&gt;=100*0.7,4,IF(F402&gt;=100*0.6,3.5,IF(F402&gt;=100*0.5,3,IF(F402&gt;=100*0.4,2,IF(F402&gt;=100*0.33,1,0))))))))</f>
        <v/>
      </c>
      <c r="Y402">
        <f>IF(B402="","",IF(G402&lt;16.5,0,IF(G402&gt;=50*0.8,5,IF(G402&gt;=50*0.7,4,IF(G402&gt;=50*0.6,3.5,IF(G402&gt;=50*0.5,3,IF(G402&gt;=50*0.4,2,IF(G402&gt;=50*0.33,1,0))))))))</f>
        <v/>
      </c>
      <c r="Z402">
        <f>IF(B402="","",IF(H402&lt;33.0,0,IF(H402&gt;=100*0.8,5,IF(H402&gt;=100*0.7,4,IF(H402&gt;=100*0.6,3.5,IF(H402&gt;=100*0.5,3,IF(H402&gt;=100*0.4,2,IF(H402&gt;=100*0.33,1,0))))))))</f>
        <v/>
      </c>
      <c r="AA402">
        <f>IF(B402="","",IF(I402&lt;33.0,0,IF(I402&gt;=100*0.8,5,IF(I402&gt;=100*0.7,4,IF(I402&gt;=100*0.6,3.5,IF(I402&gt;=100*0.5,3,IF(I402&gt;=100*0.4,2,IF(I402&gt;=100*0.33,1,0))))))))</f>
        <v/>
      </c>
      <c r="AB402">
        <f>IF(B402="","",IF(J402&lt;33.0,0,IF(J402&gt;=100*0.8,5,IF(J402&gt;=100*0.7,4,IF(J402&gt;=100*0.6,3.5,IF(J402&gt;=100*0.5,3,IF(J402&gt;=100*0.4,2,IF(J402&gt;=100*0.33,1,0))))))))</f>
        <v/>
      </c>
      <c r="AC402">
        <f>IF(B402="","",IF(K402&lt;33.0,0,IF(K402&gt;=100*0.8,5,IF(K402&gt;=100*0.7,4,IF(K402&gt;=100*0.6,3.5,IF(K402&gt;=100*0.5,3,IF(K402&gt;=100*0.4,2,IF(K402&gt;=100*0.33,1,0))))))))</f>
        <v/>
      </c>
      <c r="AD402">
        <f>IF(B402="","",IF(L402&lt;33.0,0,IF(L402&gt;=100*0.8,5,IF(L402&gt;=100*0.7,4,IF(L402&gt;=100*0.6,3.5,IF(L402&gt;=100*0.5,3,IF(L402&gt;=100*0.4,2,IF(L402&gt;=100*0.33,1,0))))))))</f>
        <v/>
      </c>
      <c r="AE402">
        <f>IF(B402="","",IF(M402&lt;33.0,0,IF(M402&gt;=100*0.8,5,IF(M402&gt;=100*0.7,4,IF(M402&gt;=100*0.6,3.5,IF(M402&gt;=100*0.5,3,IF(M402&gt;=100*0.4,2,IF(M402&gt;=100*0.33,1,0))))))))</f>
        <v/>
      </c>
      <c r="AF402">
        <f>IF(B402="","",IF(N402&lt;16.5,0,IF(N402&gt;=50*0.8,5,IF(N402&gt;=50*0.7,4,IF(N402&gt;=50*0.6,3.5,IF(N402&gt;=50*0.5,3,IF(N402&gt;=50*0.4,2,IF(N402&gt;=50*0.33,1,0))))))))</f>
        <v/>
      </c>
      <c r="AG402">
        <f>IF(B402="","",IF(O402&lt;33.0,0,IF(O402&gt;=100*0.8,5,IF(O402&gt;=100*0.7,4,IF(O402&gt;=100*0.6,3.5,IF(O402&gt;=100*0.5,3,IF(O402&gt;=100*0.4,2,IF(O402&gt;=100*0.33,1,0))))))))</f>
        <v/>
      </c>
      <c r="AH402">
        <f>IF(B402="","",IF(OR(U402=0,V402=0,W402=0,X402=0,Y402=0,Z402=0,AA402=0,AB402=0,AC402=0,AD402=0,AE402=0,AF402=0,AG402=0),1,0))</f>
        <v/>
      </c>
    </row>
    <row r="403">
      <c r="A403" s="3">
        <f>IF(B403="","",ROW()-2)</f>
        <v/>
      </c>
      <c r="P403" s="4">
        <f>IF(B403="","",SUM(C403:O403))</f>
        <v/>
      </c>
      <c r="Q403" s="5">
        <f>IF(B403="","",ROUND(P403/13,2))</f>
        <v/>
      </c>
      <c r="R403" s="5">
        <f>IF(B403="","",IF(AH403=1,0,MIN(5,ROUND((U403+V403+W403+X403+Y403+Z403+AA403+AB403+AC403+AD403+AE403+AF403+AG403)/13,2))))</f>
        <v/>
      </c>
      <c r="S403" s="3">
        <f>IF(B403="","",IF(R403&gt;=5,"A+",IF(R403&gt;=4,"A",IF(R403&gt;=3.5,"A-",IF(R403&gt;=3,"B",IF(R403&gt;=2,"C",IF(R403&gt;=1,"D","F")))))))</f>
        <v/>
      </c>
      <c r="T403" s="3">
        <f>IF(OR(B403="",S403="F"),"",COUNTIFS(P:P,"&gt;"&amp;P403,S:S,"&lt;&gt;F")+1)</f>
        <v/>
      </c>
      <c r="U403">
        <f>IF(B403="","",IF(C403&lt;33.0,0,IF(C403&gt;=100*0.8,5,IF(C403&gt;=100*0.7,4,IF(C403&gt;=100*0.6,3.5,IF(C403&gt;=100*0.5,3,IF(C403&gt;=100*0.4,2,IF(C403&gt;=100*0.33,1,0))))))))</f>
        <v/>
      </c>
      <c r="V403">
        <f>IF(B403="","",IF(D403&lt;33.0,0,IF(D403&gt;=100*0.8,5,IF(D403&gt;=100*0.7,4,IF(D403&gt;=100*0.6,3.5,IF(D403&gt;=100*0.5,3,IF(D403&gt;=100*0.4,2,IF(D403&gt;=100*0.33,1,0))))))))</f>
        <v/>
      </c>
      <c r="W403">
        <f>IF(B403="","",IF(E403&lt;16.5,0,IF(E403&gt;=50*0.8,5,IF(E403&gt;=50*0.7,4,IF(E403&gt;=50*0.6,3.5,IF(E403&gt;=50*0.5,3,IF(E403&gt;=50*0.4,2,IF(E403&gt;=50*0.33,1,0))))))))</f>
        <v/>
      </c>
      <c r="X403">
        <f>IF(B403="","",IF(F403&lt;33.0,0,IF(F403&gt;=100*0.8,5,IF(F403&gt;=100*0.7,4,IF(F403&gt;=100*0.6,3.5,IF(F403&gt;=100*0.5,3,IF(F403&gt;=100*0.4,2,IF(F403&gt;=100*0.33,1,0))))))))</f>
        <v/>
      </c>
      <c r="Y403">
        <f>IF(B403="","",IF(G403&lt;16.5,0,IF(G403&gt;=50*0.8,5,IF(G403&gt;=50*0.7,4,IF(G403&gt;=50*0.6,3.5,IF(G403&gt;=50*0.5,3,IF(G403&gt;=50*0.4,2,IF(G403&gt;=50*0.33,1,0))))))))</f>
        <v/>
      </c>
      <c r="Z403">
        <f>IF(B403="","",IF(H403&lt;33.0,0,IF(H403&gt;=100*0.8,5,IF(H403&gt;=100*0.7,4,IF(H403&gt;=100*0.6,3.5,IF(H403&gt;=100*0.5,3,IF(H403&gt;=100*0.4,2,IF(H403&gt;=100*0.33,1,0))))))))</f>
        <v/>
      </c>
      <c r="AA403">
        <f>IF(B403="","",IF(I403&lt;33.0,0,IF(I403&gt;=100*0.8,5,IF(I403&gt;=100*0.7,4,IF(I403&gt;=100*0.6,3.5,IF(I403&gt;=100*0.5,3,IF(I403&gt;=100*0.4,2,IF(I403&gt;=100*0.33,1,0))))))))</f>
        <v/>
      </c>
      <c r="AB403">
        <f>IF(B403="","",IF(J403&lt;33.0,0,IF(J403&gt;=100*0.8,5,IF(J403&gt;=100*0.7,4,IF(J403&gt;=100*0.6,3.5,IF(J403&gt;=100*0.5,3,IF(J403&gt;=100*0.4,2,IF(J403&gt;=100*0.33,1,0))))))))</f>
        <v/>
      </c>
      <c r="AC403">
        <f>IF(B403="","",IF(K403&lt;33.0,0,IF(K403&gt;=100*0.8,5,IF(K403&gt;=100*0.7,4,IF(K403&gt;=100*0.6,3.5,IF(K403&gt;=100*0.5,3,IF(K403&gt;=100*0.4,2,IF(K403&gt;=100*0.33,1,0))))))))</f>
        <v/>
      </c>
      <c r="AD403">
        <f>IF(B403="","",IF(L403&lt;33.0,0,IF(L403&gt;=100*0.8,5,IF(L403&gt;=100*0.7,4,IF(L403&gt;=100*0.6,3.5,IF(L403&gt;=100*0.5,3,IF(L403&gt;=100*0.4,2,IF(L403&gt;=100*0.33,1,0))))))))</f>
        <v/>
      </c>
      <c r="AE403">
        <f>IF(B403="","",IF(M403&lt;33.0,0,IF(M403&gt;=100*0.8,5,IF(M403&gt;=100*0.7,4,IF(M403&gt;=100*0.6,3.5,IF(M403&gt;=100*0.5,3,IF(M403&gt;=100*0.4,2,IF(M403&gt;=100*0.33,1,0))))))))</f>
        <v/>
      </c>
      <c r="AF403">
        <f>IF(B403="","",IF(N403&lt;16.5,0,IF(N403&gt;=50*0.8,5,IF(N403&gt;=50*0.7,4,IF(N403&gt;=50*0.6,3.5,IF(N403&gt;=50*0.5,3,IF(N403&gt;=50*0.4,2,IF(N403&gt;=50*0.33,1,0))))))))</f>
        <v/>
      </c>
      <c r="AG403">
        <f>IF(B403="","",IF(O403&lt;33.0,0,IF(O403&gt;=100*0.8,5,IF(O403&gt;=100*0.7,4,IF(O403&gt;=100*0.6,3.5,IF(O403&gt;=100*0.5,3,IF(O403&gt;=100*0.4,2,IF(O403&gt;=100*0.33,1,0))))))))</f>
        <v/>
      </c>
      <c r="AH403">
        <f>IF(B403="","",IF(OR(U403=0,V403=0,W403=0,X403=0,Y403=0,Z403=0,AA403=0,AB403=0,AC403=0,AD403=0,AE403=0,AF403=0,AG403=0),1,0))</f>
        <v/>
      </c>
    </row>
    <row r="404">
      <c r="A404" s="3">
        <f>IF(B404="","",ROW()-2)</f>
        <v/>
      </c>
      <c r="P404" s="4">
        <f>IF(B404="","",SUM(C404:O404))</f>
        <v/>
      </c>
      <c r="Q404" s="5">
        <f>IF(B404="","",ROUND(P404/13,2))</f>
        <v/>
      </c>
      <c r="R404" s="5">
        <f>IF(B404="","",IF(AH404=1,0,MIN(5,ROUND((U404+V404+W404+X404+Y404+Z404+AA404+AB404+AC404+AD404+AE404+AF404+AG404)/13,2))))</f>
        <v/>
      </c>
      <c r="S404" s="3">
        <f>IF(B404="","",IF(R404&gt;=5,"A+",IF(R404&gt;=4,"A",IF(R404&gt;=3.5,"A-",IF(R404&gt;=3,"B",IF(R404&gt;=2,"C",IF(R404&gt;=1,"D","F")))))))</f>
        <v/>
      </c>
      <c r="T404" s="3">
        <f>IF(OR(B404="",S404="F"),"",COUNTIFS(P:P,"&gt;"&amp;P404,S:S,"&lt;&gt;F")+1)</f>
        <v/>
      </c>
      <c r="U404">
        <f>IF(B404="","",IF(C404&lt;33.0,0,IF(C404&gt;=100*0.8,5,IF(C404&gt;=100*0.7,4,IF(C404&gt;=100*0.6,3.5,IF(C404&gt;=100*0.5,3,IF(C404&gt;=100*0.4,2,IF(C404&gt;=100*0.33,1,0))))))))</f>
        <v/>
      </c>
      <c r="V404">
        <f>IF(B404="","",IF(D404&lt;33.0,0,IF(D404&gt;=100*0.8,5,IF(D404&gt;=100*0.7,4,IF(D404&gt;=100*0.6,3.5,IF(D404&gt;=100*0.5,3,IF(D404&gt;=100*0.4,2,IF(D404&gt;=100*0.33,1,0))))))))</f>
        <v/>
      </c>
      <c r="W404">
        <f>IF(B404="","",IF(E404&lt;16.5,0,IF(E404&gt;=50*0.8,5,IF(E404&gt;=50*0.7,4,IF(E404&gt;=50*0.6,3.5,IF(E404&gt;=50*0.5,3,IF(E404&gt;=50*0.4,2,IF(E404&gt;=50*0.33,1,0))))))))</f>
        <v/>
      </c>
      <c r="X404">
        <f>IF(B404="","",IF(F404&lt;33.0,0,IF(F404&gt;=100*0.8,5,IF(F404&gt;=100*0.7,4,IF(F404&gt;=100*0.6,3.5,IF(F404&gt;=100*0.5,3,IF(F404&gt;=100*0.4,2,IF(F404&gt;=100*0.33,1,0))))))))</f>
        <v/>
      </c>
      <c r="Y404">
        <f>IF(B404="","",IF(G404&lt;16.5,0,IF(G404&gt;=50*0.8,5,IF(G404&gt;=50*0.7,4,IF(G404&gt;=50*0.6,3.5,IF(G404&gt;=50*0.5,3,IF(G404&gt;=50*0.4,2,IF(G404&gt;=50*0.33,1,0))))))))</f>
        <v/>
      </c>
      <c r="Z404">
        <f>IF(B404="","",IF(H404&lt;33.0,0,IF(H404&gt;=100*0.8,5,IF(H404&gt;=100*0.7,4,IF(H404&gt;=100*0.6,3.5,IF(H404&gt;=100*0.5,3,IF(H404&gt;=100*0.4,2,IF(H404&gt;=100*0.33,1,0))))))))</f>
        <v/>
      </c>
      <c r="AA404">
        <f>IF(B404="","",IF(I404&lt;33.0,0,IF(I404&gt;=100*0.8,5,IF(I404&gt;=100*0.7,4,IF(I404&gt;=100*0.6,3.5,IF(I404&gt;=100*0.5,3,IF(I404&gt;=100*0.4,2,IF(I404&gt;=100*0.33,1,0))))))))</f>
        <v/>
      </c>
      <c r="AB404">
        <f>IF(B404="","",IF(J404&lt;33.0,0,IF(J404&gt;=100*0.8,5,IF(J404&gt;=100*0.7,4,IF(J404&gt;=100*0.6,3.5,IF(J404&gt;=100*0.5,3,IF(J404&gt;=100*0.4,2,IF(J404&gt;=100*0.33,1,0))))))))</f>
        <v/>
      </c>
      <c r="AC404">
        <f>IF(B404="","",IF(K404&lt;33.0,0,IF(K404&gt;=100*0.8,5,IF(K404&gt;=100*0.7,4,IF(K404&gt;=100*0.6,3.5,IF(K404&gt;=100*0.5,3,IF(K404&gt;=100*0.4,2,IF(K404&gt;=100*0.33,1,0))))))))</f>
        <v/>
      </c>
      <c r="AD404">
        <f>IF(B404="","",IF(L404&lt;33.0,0,IF(L404&gt;=100*0.8,5,IF(L404&gt;=100*0.7,4,IF(L404&gt;=100*0.6,3.5,IF(L404&gt;=100*0.5,3,IF(L404&gt;=100*0.4,2,IF(L404&gt;=100*0.33,1,0))))))))</f>
        <v/>
      </c>
      <c r="AE404">
        <f>IF(B404="","",IF(M404&lt;33.0,0,IF(M404&gt;=100*0.8,5,IF(M404&gt;=100*0.7,4,IF(M404&gt;=100*0.6,3.5,IF(M404&gt;=100*0.5,3,IF(M404&gt;=100*0.4,2,IF(M404&gt;=100*0.33,1,0))))))))</f>
        <v/>
      </c>
      <c r="AF404">
        <f>IF(B404="","",IF(N404&lt;16.5,0,IF(N404&gt;=50*0.8,5,IF(N404&gt;=50*0.7,4,IF(N404&gt;=50*0.6,3.5,IF(N404&gt;=50*0.5,3,IF(N404&gt;=50*0.4,2,IF(N404&gt;=50*0.33,1,0))))))))</f>
        <v/>
      </c>
      <c r="AG404">
        <f>IF(B404="","",IF(O404&lt;33.0,0,IF(O404&gt;=100*0.8,5,IF(O404&gt;=100*0.7,4,IF(O404&gt;=100*0.6,3.5,IF(O404&gt;=100*0.5,3,IF(O404&gt;=100*0.4,2,IF(O404&gt;=100*0.33,1,0))))))))</f>
        <v/>
      </c>
      <c r="AH404">
        <f>IF(B404="","",IF(OR(U404=0,V404=0,W404=0,X404=0,Y404=0,Z404=0,AA404=0,AB404=0,AC404=0,AD404=0,AE404=0,AF404=0,AG404=0),1,0))</f>
        <v/>
      </c>
    </row>
    <row r="405">
      <c r="A405" s="3">
        <f>IF(B405="","",ROW()-2)</f>
        <v/>
      </c>
      <c r="P405" s="4">
        <f>IF(B405="","",SUM(C405:O405))</f>
        <v/>
      </c>
      <c r="Q405" s="5">
        <f>IF(B405="","",ROUND(P405/13,2))</f>
        <v/>
      </c>
      <c r="R405" s="5">
        <f>IF(B405="","",IF(AH405=1,0,MIN(5,ROUND((U405+V405+W405+X405+Y405+Z405+AA405+AB405+AC405+AD405+AE405+AF405+AG405)/13,2))))</f>
        <v/>
      </c>
      <c r="S405" s="3">
        <f>IF(B405="","",IF(R405&gt;=5,"A+",IF(R405&gt;=4,"A",IF(R405&gt;=3.5,"A-",IF(R405&gt;=3,"B",IF(R405&gt;=2,"C",IF(R405&gt;=1,"D","F")))))))</f>
        <v/>
      </c>
      <c r="T405" s="3">
        <f>IF(OR(B405="",S405="F"),"",COUNTIFS(P:P,"&gt;"&amp;P405,S:S,"&lt;&gt;F")+1)</f>
        <v/>
      </c>
      <c r="U405">
        <f>IF(B405="","",IF(C405&lt;33.0,0,IF(C405&gt;=100*0.8,5,IF(C405&gt;=100*0.7,4,IF(C405&gt;=100*0.6,3.5,IF(C405&gt;=100*0.5,3,IF(C405&gt;=100*0.4,2,IF(C405&gt;=100*0.33,1,0))))))))</f>
        <v/>
      </c>
      <c r="V405">
        <f>IF(B405="","",IF(D405&lt;33.0,0,IF(D405&gt;=100*0.8,5,IF(D405&gt;=100*0.7,4,IF(D405&gt;=100*0.6,3.5,IF(D405&gt;=100*0.5,3,IF(D405&gt;=100*0.4,2,IF(D405&gt;=100*0.33,1,0))))))))</f>
        <v/>
      </c>
      <c r="W405">
        <f>IF(B405="","",IF(E405&lt;16.5,0,IF(E405&gt;=50*0.8,5,IF(E405&gt;=50*0.7,4,IF(E405&gt;=50*0.6,3.5,IF(E405&gt;=50*0.5,3,IF(E405&gt;=50*0.4,2,IF(E405&gt;=50*0.33,1,0))))))))</f>
        <v/>
      </c>
      <c r="X405">
        <f>IF(B405="","",IF(F405&lt;33.0,0,IF(F405&gt;=100*0.8,5,IF(F405&gt;=100*0.7,4,IF(F405&gt;=100*0.6,3.5,IF(F405&gt;=100*0.5,3,IF(F405&gt;=100*0.4,2,IF(F405&gt;=100*0.33,1,0))))))))</f>
        <v/>
      </c>
      <c r="Y405">
        <f>IF(B405="","",IF(G405&lt;16.5,0,IF(G405&gt;=50*0.8,5,IF(G405&gt;=50*0.7,4,IF(G405&gt;=50*0.6,3.5,IF(G405&gt;=50*0.5,3,IF(G405&gt;=50*0.4,2,IF(G405&gt;=50*0.33,1,0))))))))</f>
        <v/>
      </c>
      <c r="Z405">
        <f>IF(B405="","",IF(H405&lt;33.0,0,IF(H405&gt;=100*0.8,5,IF(H405&gt;=100*0.7,4,IF(H405&gt;=100*0.6,3.5,IF(H405&gt;=100*0.5,3,IF(H405&gt;=100*0.4,2,IF(H405&gt;=100*0.33,1,0))))))))</f>
        <v/>
      </c>
      <c r="AA405">
        <f>IF(B405="","",IF(I405&lt;33.0,0,IF(I405&gt;=100*0.8,5,IF(I405&gt;=100*0.7,4,IF(I405&gt;=100*0.6,3.5,IF(I405&gt;=100*0.5,3,IF(I405&gt;=100*0.4,2,IF(I405&gt;=100*0.33,1,0))))))))</f>
        <v/>
      </c>
      <c r="AB405">
        <f>IF(B405="","",IF(J405&lt;33.0,0,IF(J405&gt;=100*0.8,5,IF(J405&gt;=100*0.7,4,IF(J405&gt;=100*0.6,3.5,IF(J405&gt;=100*0.5,3,IF(J405&gt;=100*0.4,2,IF(J405&gt;=100*0.33,1,0))))))))</f>
        <v/>
      </c>
      <c r="AC405">
        <f>IF(B405="","",IF(K405&lt;33.0,0,IF(K405&gt;=100*0.8,5,IF(K405&gt;=100*0.7,4,IF(K405&gt;=100*0.6,3.5,IF(K405&gt;=100*0.5,3,IF(K405&gt;=100*0.4,2,IF(K405&gt;=100*0.33,1,0))))))))</f>
        <v/>
      </c>
      <c r="AD405">
        <f>IF(B405="","",IF(L405&lt;33.0,0,IF(L405&gt;=100*0.8,5,IF(L405&gt;=100*0.7,4,IF(L405&gt;=100*0.6,3.5,IF(L405&gt;=100*0.5,3,IF(L405&gt;=100*0.4,2,IF(L405&gt;=100*0.33,1,0))))))))</f>
        <v/>
      </c>
      <c r="AE405">
        <f>IF(B405="","",IF(M405&lt;33.0,0,IF(M405&gt;=100*0.8,5,IF(M405&gt;=100*0.7,4,IF(M405&gt;=100*0.6,3.5,IF(M405&gt;=100*0.5,3,IF(M405&gt;=100*0.4,2,IF(M405&gt;=100*0.33,1,0))))))))</f>
        <v/>
      </c>
      <c r="AF405">
        <f>IF(B405="","",IF(N405&lt;16.5,0,IF(N405&gt;=50*0.8,5,IF(N405&gt;=50*0.7,4,IF(N405&gt;=50*0.6,3.5,IF(N405&gt;=50*0.5,3,IF(N405&gt;=50*0.4,2,IF(N405&gt;=50*0.33,1,0))))))))</f>
        <v/>
      </c>
      <c r="AG405">
        <f>IF(B405="","",IF(O405&lt;33.0,0,IF(O405&gt;=100*0.8,5,IF(O405&gt;=100*0.7,4,IF(O405&gt;=100*0.6,3.5,IF(O405&gt;=100*0.5,3,IF(O405&gt;=100*0.4,2,IF(O405&gt;=100*0.33,1,0))))))))</f>
        <v/>
      </c>
      <c r="AH405">
        <f>IF(B405="","",IF(OR(U405=0,V405=0,W405=0,X405=0,Y405=0,Z405=0,AA405=0,AB405=0,AC405=0,AD405=0,AE405=0,AF405=0,AG405=0),1,0))</f>
        <v/>
      </c>
    </row>
    <row r="406">
      <c r="A406" s="3">
        <f>IF(B406="","",ROW()-2)</f>
        <v/>
      </c>
      <c r="P406" s="4">
        <f>IF(B406="","",SUM(C406:O406))</f>
        <v/>
      </c>
      <c r="Q406" s="5">
        <f>IF(B406="","",ROUND(P406/13,2))</f>
        <v/>
      </c>
      <c r="R406" s="5">
        <f>IF(B406="","",IF(AH406=1,0,MIN(5,ROUND((U406+V406+W406+X406+Y406+Z406+AA406+AB406+AC406+AD406+AE406+AF406+AG406)/13,2))))</f>
        <v/>
      </c>
      <c r="S406" s="3">
        <f>IF(B406="","",IF(R406&gt;=5,"A+",IF(R406&gt;=4,"A",IF(R406&gt;=3.5,"A-",IF(R406&gt;=3,"B",IF(R406&gt;=2,"C",IF(R406&gt;=1,"D","F")))))))</f>
        <v/>
      </c>
      <c r="T406" s="3">
        <f>IF(OR(B406="",S406="F"),"",COUNTIFS(P:P,"&gt;"&amp;P406,S:S,"&lt;&gt;F")+1)</f>
        <v/>
      </c>
      <c r="U406">
        <f>IF(B406="","",IF(C406&lt;33.0,0,IF(C406&gt;=100*0.8,5,IF(C406&gt;=100*0.7,4,IF(C406&gt;=100*0.6,3.5,IF(C406&gt;=100*0.5,3,IF(C406&gt;=100*0.4,2,IF(C406&gt;=100*0.33,1,0))))))))</f>
        <v/>
      </c>
      <c r="V406">
        <f>IF(B406="","",IF(D406&lt;33.0,0,IF(D406&gt;=100*0.8,5,IF(D406&gt;=100*0.7,4,IF(D406&gt;=100*0.6,3.5,IF(D406&gt;=100*0.5,3,IF(D406&gt;=100*0.4,2,IF(D406&gt;=100*0.33,1,0))))))))</f>
        <v/>
      </c>
      <c r="W406">
        <f>IF(B406="","",IF(E406&lt;16.5,0,IF(E406&gt;=50*0.8,5,IF(E406&gt;=50*0.7,4,IF(E406&gt;=50*0.6,3.5,IF(E406&gt;=50*0.5,3,IF(E406&gt;=50*0.4,2,IF(E406&gt;=50*0.33,1,0))))))))</f>
        <v/>
      </c>
      <c r="X406">
        <f>IF(B406="","",IF(F406&lt;33.0,0,IF(F406&gt;=100*0.8,5,IF(F406&gt;=100*0.7,4,IF(F406&gt;=100*0.6,3.5,IF(F406&gt;=100*0.5,3,IF(F406&gt;=100*0.4,2,IF(F406&gt;=100*0.33,1,0))))))))</f>
        <v/>
      </c>
      <c r="Y406">
        <f>IF(B406="","",IF(G406&lt;16.5,0,IF(G406&gt;=50*0.8,5,IF(G406&gt;=50*0.7,4,IF(G406&gt;=50*0.6,3.5,IF(G406&gt;=50*0.5,3,IF(G406&gt;=50*0.4,2,IF(G406&gt;=50*0.33,1,0))))))))</f>
        <v/>
      </c>
      <c r="Z406">
        <f>IF(B406="","",IF(H406&lt;33.0,0,IF(H406&gt;=100*0.8,5,IF(H406&gt;=100*0.7,4,IF(H406&gt;=100*0.6,3.5,IF(H406&gt;=100*0.5,3,IF(H406&gt;=100*0.4,2,IF(H406&gt;=100*0.33,1,0))))))))</f>
        <v/>
      </c>
      <c r="AA406">
        <f>IF(B406="","",IF(I406&lt;33.0,0,IF(I406&gt;=100*0.8,5,IF(I406&gt;=100*0.7,4,IF(I406&gt;=100*0.6,3.5,IF(I406&gt;=100*0.5,3,IF(I406&gt;=100*0.4,2,IF(I406&gt;=100*0.33,1,0))))))))</f>
        <v/>
      </c>
      <c r="AB406">
        <f>IF(B406="","",IF(J406&lt;33.0,0,IF(J406&gt;=100*0.8,5,IF(J406&gt;=100*0.7,4,IF(J406&gt;=100*0.6,3.5,IF(J406&gt;=100*0.5,3,IF(J406&gt;=100*0.4,2,IF(J406&gt;=100*0.33,1,0))))))))</f>
        <v/>
      </c>
      <c r="AC406">
        <f>IF(B406="","",IF(K406&lt;33.0,0,IF(K406&gt;=100*0.8,5,IF(K406&gt;=100*0.7,4,IF(K406&gt;=100*0.6,3.5,IF(K406&gt;=100*0.5,3,IF(K406&gt;=100*0.4,2,IF(K406&gt;=100*0.33,1,0))))))))</f>
        <v/>
      </c>
      <c r="AD406">
        <f>IF(B406="","",IF(L406&lt;33.0,0,IF(L406&gt;=100*0.8,5,IF(L406&gt;=100*0.7,4,IF(L406&gt;=100*0.6,3.5,IF(L406&gt;=100*0.5,3,IF(L406&gt;=100*0.4,2,IF(L406&gt;=100*0.33,1,0))))))))</f>
        <v/>
      </c>
      <c r="AE406">
        <f>IF(B406="","",IF(M406&lt;33.0,0,IF(M406&gt;=100*0.8,5,IF(M406&gt;=100*0.7,4,IF(M406&gt;=100*0.6,3.5,IF(M406&gt;=100*0.5,3,IF(M406&gt;=100*0.4,2,IF(M406&gt;=100*0.33,1,0))))))))</f>
        <v/>
      </c>
      <c r="AF406">
        <f>IF(B406="","",IF(N406&lt;16.5,0,IF(N406&gt;=50*0.8,5,IF(N406&gt;=50*0.7,4,IF(N406&gt;=50*0.6,3.5,IF(N406&gt;=50*0.5,3,IF(N406&gt;=50*0.4,2,IF(N406&gt;=50*0.33,1,0))))))))</f>
        <v/>
      </c>
      <c r="AG406">
        <f>IF(B406="","",IF(O406&lt;33.0,0,IF(O406&gt;=100*0.8,5,IF(O406&gt;=100*0.7,4,IF(O406&gt;=100*0.6,3.5,IF(O406&gt;=100*0.5,3,IF(O406&gt;=100*0.4,2,IF(O406&gt;=100*0.33,1,0))))))))</f>
        <v/>
      </c>
      <c r="AH406">
        <f>IF(B406="","",IF(OR(U406=0,V406=0,W406=0,X406=0,Y406=0,Z406=0,AA406=0,AB406=0,AC406=0,AD406=0,AE406=0,AF406=0,AG406=0),1,0))</f>
        <v/>
      </c>
    </row>
    <row r="407">
      <c r="A407" s="3">
        <f>IF(B407="","",ROW()-2)</f>
        <v/>
      </c>
      <c r="P407" s="4">
        <f>IF(B407="","",SUM(C407:O407))</f>
        <v/>
      </c>
      <c r="Q407" s="5">
        <f>IF(B407="","",ROUND(P407/13,2))</f>
        <v/>
      </c>
      <c r="R407" s="5">
        <f>IF(B407="","",IF(AH407=1,0,MIN(5,ROUND((U407+V407+W407+X407+Y407+Z407+AA407+AB407+AC407+AD407+AE407+AF407+AG407)/13,2))))</f>
        <v/>
      </c>
      <c r="S407" s="3">
        <f>IF(B407="","",IF(R407&gt;=5,"A+",IF(R407&gt;=4,"A",IF(R407&gt;=3.5,"A-",IF(R407&gt;=3,"B",IF(R407&gt;=2,"C",IF(R407&gt;=1,"D","F")))))))</f>
        <v/>
      </c>
      <c r="T407" s="3">
        <f>IF(OR(B407="",S407="F"),"",COUNTIFS(P:P,"&gt;"&amp;P407,S:S,"&lt;&gt;F")+1)</f>
        <v/>
      </c>
      <c r="U407">
        <f>IF(B407="","",IF(C407&lt;33.0,0,IF(C407&gt;=100*0.8,5,IF(C407&gt;=100*0.7,4,IF(C407&gt;=100*0.6,3.5,IF(C407&gt;=100*0.5,3,IF(C407&gt;=100*0.4,2,IF(C407&gt;=100*0.33,1,0))))))))</f>
        <v/>
      </c>
      <c r="V407">
        <f>IF(B407="","",IF(D407&lt;33.0,0,IF(D407&gt;=100*0.8,5,IF(D407&gt;=100*0.7,4,IF(D407&gt;=100*0.6,3.5,IF(D407&gt;=100*0.5,3,IF(D407&gt;=100*0.4,2,IF(D407&gt;=100*0.33,1,0))))))))</f>
        <v/>
      </c>
      <c r="W407">
        <f>IF(B407="","",IF(E407&lt;16.5,0,IF(E407&gt;=50*0.8,5,IF(E407&gt;=50*0.7,4,IF(E407&gt;=50*0.6,3.5,IF(E407&gt;=50*0.5,3,IF(E407&gt;=50*0.4,2,IF(E407&gt;=50*0.33,1,0))))))))</f>
        <v/>
      </c>
      <c r="X407">
        <f>IF(B407="","",IF(F407&lt;33.0,0,IF(F407&gt;=100*0.8,5,IF(F407&gt;=100*0.7,4,IF(F407&gt;=100*0.6,3.5,IF(F407&gt;=100*0.5,3,IF(F407&gt;=100*0.4,2,IF(F407&gt;=100*0.33,1,0))))))))</f>
        <v/>
      </c>
      <c r="Y407">
        <f>IF(B407="","",IF(G407&lt;16.5,0,IF(G407&gt;=50*0.8,5,IF(G407&gt;=50*0.7,4,IF(G407&gt;=50*0.6,3.5,IF(G407&gt;=50*0.5,3,IF(G407&gt;=50*0.4,2,IF(G407&gt;=50*0.33,1,0))))))))</f>
        <v/>
      </c>
      <c r="Z407">
        <f>IF(B407="","",IF(H407&lt;33.0,0,IF(H407&gt;=100*0.8,5,IF(H407&gt;=100*0.7,4,IF(H407&gt;=100*0.6,3.5,IF(H407&gt;=100*0.5,3,IF(H407&gt;=100*0.4,2,IF(H407&gt;=100*0.33,1,0))))))))</f>
        <v/>
      </c>
      <c r="AA407">
        <f>IF(B407="","",IF(I407&lt;33.0,0,IF(I407&gt;=100*0.8,5,IF(I407&gt;=100*0.7,4,IF(I407&gt;=100*0.6,3.5,IF(I407&gt;=100*0.5,3,IF(I407&gt;=100*0.4,2,IF(I407&gt;=100*0.33,1,0))))))))</f>
        <v/>
      </c>
      <c r="AB407">
        <f>IF(B407="","",IF(J407&lt;33.0,0,IF(J407&gt;=100*0.8,5,IF(J407&gt;=100*0.7,4,IF(J407&gt;=100*0.6,3.5,IF(J407&gt;=100*0.5,3,IF(J407&gt;=100*0.4,2,IF(J407&gt;=100*0.33,1,0))))))))</f>
        <v/>
      </c>
      <c r="AC407">
        <f>IF(B407="","",IF(K407&lt;33.0,0,IF(K407&gt;=100*0.8,5,IF(K407&gt;=100*0.7,4,IF(K407&gt;=100*0.6,3.5,IF(K407&gt;=100*0.5,3,IF(K407&gt;=100*0.4,2,IF(K407&gt;=100*0.33,1,0))))))))</f>
        <v/>
      </c>
      <c r="AD407">
        <f>IF(B407="","",IF(L407&lt;33.0,0,IF(L407&gt;=100*0.8,5,IF(L407&gt;=100*0.7,4,IF(L407&gt;=100*0.6,3.5,IF(L407&gt;=100*0.5,3,IF(L407&gt;=100*0.4,2,IF(L407&gt;=100*0.33,1,0))))))))</f>
        <v/>
      </c>
      <c r="AE407">
        <f>IF(B407="","",IF(M407&lt;33.0,0,IF(M407&gt;=100*0.8,5,IF(M407&gt;=100*0.7,4,IF(M407&gt;=100*0.6,3.5,IF(M407&gt;=100*0.5,3,IF(M407&gt;=100*0.4,2,IF(M407&gt;=100*0.33,1,0))))))))</f>
        <v/>
      </c>
      <c r="AF407">
        <f>IF(B407="","",IF(N407&lt;16.5,0,IF(N407&gt;=50*0.8,5,IF(N407&gt;=50*0.7,4,IF(N407&gt;=50*0.6,3.5,IF(N407&gt;=50*0.5,3,IF(N407&gt;=50*0.4,2,IF(N407&gt;=50*0.33,1,0))))))))</f>
        <v/>
      </c>
      <c r="AG407">
        <f>IF(B407="","",IF(O407&lt;33.0,0,IF(O407&gt;=100*0.8,5,IF(O407&gt;=100*0.7,4,IF(O407&gt;=100*0.6,3.5,IF(O407&gt;=100*0.5,3,IF(O407&gt;=100*0.4,2,IF(O407&gt;=100*0.33,1,0))))))))</f>
        <v/>
      </c>
      <c r="AH407">
        <f>IF(B407="","",IF(OR(U407=0,V407=0,W407=0,X407=0,Y407=0,Z407=0,AA407=0,AB407=0,AC407=0,AD407=0,AE407=0,AF407=0,AG407=0),1,0))</f>
        <v/>
      </c>
    </row>
    <row r="408">
      <c r="A408" s="3">
        <f>IF(B408="","",ROW()-2)</f>
        <v/>
      </c>
      <c r="P408" s="4">
        <f>IF(B408="","",SUM(C408:O408))</f>
        <v/>
      </c>
      <c r="Q408" s="5">
        <f>IF(B408="","",ROUND(P408/13,2))</f>
        <v/>
      </c>
      <c r="R408" s="5">
        <f>IF(B408="","",IF(AH408=1,0,MIN(5,ROUND((U408+V408+W408+X408+Y408+Z408+AA408+AB408+AC408+AD408+AE408+AF408+AG408)/13,2))))</f>
        <v/>
      </c>
      <c r="S408" s="3">
        <f>IF(B408="","",IF(R408&gt;=5,"A+",IF(R408&gt;=4,"A",IF(R408&gt;=3.5,"A-",IF(R408&gt;=3,"B",IF(R408&gt;=2,"C",IF(R408&gt;=1,"D","F")))))))</f>
        <v/>
      </c>
      <c r="T408" s="3">
        <f>IF(OR(B408="",S408="F"),"",COUNTIFS(P:P,"&gt;"&amp;P408,S:S,"&lt;&gt;F")+1)</f>
        <v/>
      </c>
      <c r="U408">
        <f>IF(B408="","",IF(C408&lt;33.0,0,IF(C408&gt;=100*0.8,5,IF(C408&gt;=100*0.7,4,IF(C408&gt;=100*0.6,3.5,IF(C408&gt;=100*0.5,3,IF(C408&gt;=100*0.4,2,IF(C408&gt;=100*0.33,1,0))))))))</f>
        <v/>
      </c>
      <c r="V408">
        <f>IF(B408="","",IF(D408&lt;33.0,0,IF(D408&gt;=100*0.8,5,IF(D408&gt;=100*0.7,4,IF(D408&gt;=100*0.6,3.5,IF(D408&gt;=100*0.5,3,IF(D408&gt;=100*0.4,2,IF(D408&gt;=100*0.33,1,0))))))))</f>
        <v/>
      </c>
      <c r="W408">
        <f>IF(B408="","",IF(E408&lt;16.5,0,IF(E408&gt;=50*0.8,5,IF(E408&gt;=50*0.7,4,IF(E408&gt;=50*0.6,3.5,IF(E408&gt;=50*0.5,3,IF(E408&gt;=50*0.4,2,IF(E408&gt;=50*0.33,1,0))))))))</f>
        <v/>
      </c>
      <c r="X408">
        <f>IF(B408="","",IF(F408&lt;33.0,0,IF(F408&gt;=100*0.8,5,IF(F408&gt;=100*0.7,4,IF(F408&gt;=100*0.6,3.5,IF(F408&gt;=100*0.5,3,IF(F408&gt;=100*0.4,2,IF(F408&gt;=100*0.33,1,0))))))))</f>
        <v/>
      </c>
      <c r="Y408">
        <f>IF(B408="","",IF(G408&lt;16.5,0,IF(G408&gt;=50*0.8,5,IF(G408&gt;=50*0.7,4,IF(G408&gt;=50*0.6,3.5,IF(G408&gt;=50*0.5,3,IF(G408&gt;=50*0.4,2,IF(G408&gt;=50*0.33,1,0))))))))</f>
        <v/>
      </c>
      <c r="Z408">
        <f>IF(B408="","",IF(H408&lt;33.0,0,IF(H408&gt;=100*0.8,5,IF(H408&gt;=100*0.7,4,IF(H408&gt;=100*0.6,3.5,IF(H408&gt;=100*0.5,3,IF(H408&gt;=100*0.4,2,IF(H408&gt;=100*0.33,1,0))))))))</f>
        <v/>
      </c>
      <c r="AA408">
        <f>IF(B408="","",IF(I408&lt;33.0,0,IF(I408&gt;=100*0.8,5,IF(I408&gt;=100*0.7,4,IF(I408&gt;=100*0.6,3.5,IF(I408&gt;=100*0.5,3,IF(I408&gt;=100*0.4,2,IF(I408&gt;=100*0.33,1,0))))))))</f>
        <v/>
      </c>
      <c r="AB408">
        <f>IF(B408="","",IF(J408&lt;33.0,0,IF(J408&gt;=100*0.8,5,IF(J408&gt;=100*0.7,4,IF(J408&gt;=100*0.6,3.5,IF(J408&gt;=100*0.5,3,IF(J408&gt;=100*0.4,2,IF(J408&gt;=100*0.33,1,0))))))))</f>
        <v/>
      </c>
      <c r="AC408">
        <f>IF(B408="","",IF(K408&lt;33.0,0,IF(K408&gt;=100*0.8,5,IF(K408&gt;=100*0.7,4,IF(K408&gt;=100*0.6,3.5,IF(K408&gt;=100*0.5,3,IF(K408&gt;=100*0.4,2,IF(K408&gt;=100*0.33,1,0))))))))</f>
        <v/>
      </c>
      <c r="AD408">
        <f>IF(B408="","",IF(L408&lt;33.0,0,IF(L408&gt;=100*0.8,5,IF(L408&gt;=100*0.7,4,IF(L408&gt;=100*0.6,3.5,IF(L408&gt;=100*0.5,3,IF(L408&gt;=100*0.4,2,IF(L408&gt;=100*0.33,1,0))))))))</f>
        <v/>
      </c>
      <c r="AE408">
        <f>IF(B408="","",IF(M408&lt;33.0,0,IF(M408&gt;=100*0.8,5,IF(M408&gt;=100*0.7,4,IF(M408&gt;=100*0.6,3.5,IF(M408&gt;=100*0.5,3,IF(M408&gt;=100*0.4,2,IF(M408&gt;=100*0.33,1,0))))))))</f>
        <v/>
      </c>
      <c r="AF408">
        <f>IF(B408="","",IF(N408&lt;16.5,0,IF(N408&gt;=50*0.8,5,IF(N408&gt;=50*0.7,4,IF(N408&gt;=50*0.6,3.5,IF(N408&gt;=50*0.5,3,IF(N408&gt;=50*0.4,2,IF(N408&gt;=50*0.33,1,0))))))))</f>
        <v/>
      </c>
      <c r="AG408">
        <f>IF(B408="","",IF(O408&lt;33.0,0,IF(O408&gt;=100*0.8,5,IF(O408&gt;=100*0.7,4,IF(O408&gt;=100*0.6,3.5,IF(O408&gt;=100*0.5,3,IF(O408&gt;=100*0.4,2,IF(O408&gt;=100*0.33,1,0))))))))</f>
        <v/>
      </c>
      <c r="AH408">
        <f>IF(B408="","",IF(OR(U408=0,V408=0,W408=0,X408=0,Y408=0,Z408=0,AA408=0,AB408=0,AC408=0,AD408=0,AE408=0,AF408=0,AG408=0),1,0))</f>
        <v/>
      </c>
    </row>
    <row r="409">
      <c r="A409" s="3">
        <f>IF(B409="","",ROW()-2)</f>
        <v/>
      </c>
      <c r="P409" s="4">
        <f>IF(B409="","",SUM(C409:O409))</f>
        <v/>
      </c>
      <c r="Q409" s="5">
        <f>IF(B409="","",ROUND(P409/13,2))</f>
        <v/>
      </c>
      <c r="R409" s="5">
        <f>IF(B409="","",IF(AH409=1,0,MIN(5,ROUND((U409+V409+W409+X409+Y409+Z409+AA409+AB409+AC409+AD409+AE409+AF409+AG409)/13,2))))</f>
        <v/>
      </c>
      <c r="S409" s="3">
        <f>IF(B409="","",IF(R409&gt;=5,"A+",IF(R409&gt;=4,"A",IF(R409&gt;=3.5,"A-",IF(R409&gt;=3,"B",IF(R409&gt;=2,"C",IF(R409&gt;=1,"D","F")))))))</f>
        <v/>
      </c>
      <c r="T409" s="3">
        <f>IF(OR(B409="",S409="F"),"",COUNTIFS(P:P,"&gt;"&amp;P409,S:S,"&lt;&gt;F")+1)</f>
        <v/>
      </c>
      <c r="U409">
        <f>IF(B409="","",IF(C409&lt;33.0,0,IF(C409&gt;=100*0.8,5,IF(C409&gt;=100*0.7,4,IF(C409&gt;=100*0.6,3.5,IF(C409&gt;=100*0.5,3,IF(C409&gt;=100*0.4,2,IF(C409&gt;=100*0.33,1,0))))))))</f>
        <v/>
      </c>
      <c r="V409">
        <f>IF(B409="","",IF(D409&lt;33.0,0,IF(D409&gt;=100*0.8,5,IF(D409&gt;=100*0.7,4,IF(D409&gt;=100*0.6,3.5,IF(D409&gt;=100*0.5,3,IF(D409&gt;=100*0.4,2,IF(D409&gt;=100*0.33,1,0))))))))</f>
        <v/>
      </c>
      <c r="W409">
        <f>IF(B409="","",IF(E409&lt;16.5,0,IF(E409&gt;=50*0.8,5,IF(E409&gt;=50*0.7,4,IF(E409&gt;=50*0.6,3.5,IF(E409&gt;=50*0.5,3,IF(E409&gt;=50*0.4,2,IF(E409&gt;=50*0.33,1,0))))))))</f>
        <v/>
      </c>
      <c r="X409">
        <f>IF(B409="","",IF(F409&lt;33.0,0,IF(F409&gt;=100*0.8,5,IF(F409&gt;=100*0.7,4,IF(F409&gt;=100*0.6,3.5,IF(F409&gt;=100*0.5,3,IF(F409&gt;=100*0.4,2,IF(F409&gt;=100*0.33,1,0))))))))</f>
        <v/>
      </c>
      <c r="Y409">
        <f>IF(B409="","",IF(G409&lt;16.5,0,IF(G409&gt;=50*0.8,5,IF(G409&gt;=50*0.7,4,IF(G409&gt;=50*0.6,3.5,IF(G409&gt;=50*0.5,3,IF(G409&gt;=50*0.4,2,IF(G409&gt;=50*0.33,1,0))))))))</f>
        <v/>
      </c>
      <c r="Z409">
        <f>IF(B409="","",IF(H409&lt;33.0,0,IF(H409&gt;=100*0.8,5,IF(H409&gt;=100*0.7,4,IF(H409&gt;=100*0.6,3.5,IF(H409&gt;=100*0.5,3,IF(H409&gt;=100*0.4,2,IF(H409&gt;=100*0.33,1,0))))))))</f>
        <v/>
      </c>
      <c r="AA409">
        <f>IF(B409="","",IF(I409&lt;33.0,0,IF(I409&gt;=100*0.8,5,IF(I409&gt;=100*0.7,4,IF(I409&gt;=100*0.6,3.5,IF(I409&gt;=100*0.5,3,IF(I409&gt;=100*0.4,2,IF(I409&gt;=100*0.33,1,0))))))))</f>
        <v/>
      </c>
      <c r="AB409">
        <f>IF(B409="","",IF(J409&lt;33.0,0,IF(J409&gt;=100*0.8,5,IF(J409&gt;=100*0.7,4,IF(J409&gt;=100*0.6,3.5,IF(J409&gt;=100*0.5,3,IF(J409&gt;=100*0.4,2,IF(J409&gt;=100*0.33,1,0))))))))</f>
        <v/>
      </c>
      <c r="AC409">
        <f>IF(B409="","",IF(K409&lt;33.0,0,IF(K409&gt;=100*0.8,5,IF(K409&gt;=100*0.7,4,IF(K409&gt;=100*0.6,3.5,IF(K409&gt;=100*0.5,3,IF(K409&gt;=100*0.4,2,IF(K409&gt;=100*0.33,1,0))))))))</f>
        <v/>
      </c>
      <c r="AD409">
        <f>IF(B409="","",IF(L409&lt;33.0,0,IF(L409&gt;=100*0.8,5,IF(L409&gt;=100*0.7,4,IF(L409&gt;=100*0.6,3.5,IF(L409&gt;=100*0.5,3,IF(L409&gt;=100*0.4,2,IF(L409&gt;=100*0.33,1,0))))))))</f>
        <v/>
      </c>
      <c r="AE409">
        <f>IF(B409="","",IF(M409&lt;33.0,0,IF(M409&gt;=100*0.8,5,IF(M409&gt;=100*0.7,4,IF(M409&gt;=100*0.6,3.5,IF(M409&gt;=100*0.5,3,IF(M409&gt;=100*0.4,2,IF(M409&gt;=100*0.33,1,0))))))))</f>
        <v/>
      </c>
      <c r="AF409">
        <f>IF(B409="","",IF(N409&lt;16.5,0,IF(N409&gt;=50*0.8,5,IF(N409&gt;=50*0.7,4,IF(N409&gt;=50*0.6,3.5,IF(N409&gt;=50*0.5,3,IF(N409&gt;=50*0.4,2,IF(N409&gt;=50*0.33,1,0))))))))</f>
        <v/>
      </c>
      <c r="AG409">
        <f>IF(B409="","",IF(O409&lt;33.0,0,IF(O409&gt;=100*0.8,5,IF(O409&gt;=100*0.7,4,IF(O409&gt;=100*0.6,3.5,IF(O409&gt;=100*0.5,3,IF(O409&gt;=100*0.4,2,IF(O409&gt;=100*0.33,1,0))))))))</f>
        <v/>
      </c>
      <c r="AH409">
        <f>IF(B409="","",IF(OR(U409=0,V409=0,W409=0,X409=0,Y409=0,Z409=0,AA409=0,AB409=0,AC409=0,AD409=0,AE409=0,AF409=0,AG409=0),1,0))</f>
        <v/>
      </c>
    </row>
    <row r="410">
      <c r="A410" s="3">
        <f>IF(B410="","",ROW()-2)</f>
        <v/>
      </c>
      <c r="P410" s="4">
        <f>IF(B410="","",SUM(C410:O410))</f>
        <v/>
      </c>
      <c r="Q410" s="5">
        <f>IF(B410="","",ROUND(P410/13,2))</f>
        <v/>
      </c>
      <c r="R410" s="5">
        <f>IF(B410="","",IF(AH410=1,0,MIN(5,ROUND((U410+V410+W410+X410+Y410+Z410+AA410+AB410+AC410+AD410+AE410+AF410+AG410)/13,2))))</f>
        <v/>
      </c>
      <c r="S410" s="3">
        <f>IF(B410="","",IF(R410&gt;=5,"A+",IF(R410&gt;=4,"A",IF(R410&gt;=3.5,"A-",IF(R410&gt;=3,"B",IF(R410&gt;=2,"C",IF(R410&gt;=1,"D","F")))))))</f>
        <v/>
      </c>
      <c r="T410" s="3">
        <f>IF(OR(B410="",S410="F"),"",COUNTIFS(P:P,"&gt;"&amp;P410,S:S,"&lt;&gt;F")+1)</f>
        <v/>
      </c>
      <c r="U410">
        <f>IF(B410="","",IF(C410&lt;33.0,0,IF(C410&gt;=100*0.8,5,IF(C410&gt;=100*0.7,4,IF(C410&gt;=100*0.6,3.5,IF(C410&gt;=100*0.5,3,IF(C410&gt;=100*0.4,2,IF(C410&gt;=100*0.33,1,0))))))))</f>
        <v/>
      </c>
      <c r="V410">
        <f>IF(B410="","",IF(D410&lt;33.0,0,IF(D410&gt;=100*0.8,5,IF(D410&gt;=100*0.7,4,IF(D410&gt;=100*0.6,3.5,IF(D410&gt;=100*0.5,3,IF(D410&gt;=100*0.4,2,IF(D410&gt;=100*0.33,1,0))))))))</f>
        <v/>
      </c>
      <c r="W410">
        <f>IF(B410="","",IF(E410&lt;16.5,0,IF(E410&gt;=50*0.8,5,IF(E410&gt;=50*0.7,4,IF(E410&gt;=50*0.6,3.5,IF(E410&gt;=50*0.5,3,IF(E410&gt;=50*0.4,2,IF(E410&gt;=50*0.33,1,0))))))))</f>
        <v/>
      </c>
      <c r="X410">
        <f>IF(B410="","",IF(F410&lt;33.0,0,IF(F410&gt;=100*0.8,5,IF(F410&gt;=100*0.7,4,IF(F410&gt;=100*0.6,3.5,IF(F410&gt;=100*0.5,3,IF(F410&gt;=100*0.4,2,IF(F410&gt;=100*0.33,1,0))))))))</f>
        <v/>
      </c>
      <c r="Y410">
        <f>IF(B410="","",IF(G410&lt;16.5,0,IF(G410&gt;=50*0.8,5,IF(G410&gt;=50*0.7,4,IF(G410&gt;=50*0.6,3.5,IF(G410&gt;=50*0.5,3,IF(G410&gt;=50*0.4,2,IF(G410&gt;=50*0.33,1,0))))))))</f>
        <v/>
      </c>
      <c r="Z410">
        <f>IF(B410="","",IF(H410&lt;33.0,0,IF(H410&gt;=100*0.8,5,IF(H410&gt;=100*0.7,4,IF(H410&gt;=100*0.6,3.5,IF(H410&gt;=100*0.5,3,IF(H410&gt;=100*0.4,2,IF(H410&gt;=100*0.33,1,0))))))))</f>
        <v/>
      </c>
      <c r="AA410">
        <f>IF(B410="","",IF(I410&lt;33.0,0,IF(I410&gt;=100*0.8,5,IF(I410&gt;=100*0.7,4,IF(I410&gt;=100*0.6,3.5,IF(I410&gt;=100*0.5,3,IF(I410&gt;=100*0.4,2,IF(I410&gt;=100*0.33,1,0))))))))</f>
        <v/>
      </c>
      <c r="AB410">
        <f>IF(B410="","",IF(J410&lt;33.0,0,IF(J410&gt;=100*0.8,5,IF(J410&gt;=100*0.7,4,IF(J410&gt;=100*0.6,3.5,IF(J410&gt;=100*0.5,3,IF(J410&gt;=100*0.4,2,IF(J410&gt;=100*0.33,1,0))))))))</f>
        <v/>
      </c>
      <c r="AC410">
        <f>IF(B410="","",IF(K410&lt;33.0,0,IF(K410&gt;=100*0.8,5,IF(K410&gt;=100*0.7,4,IF(K410&gt;=100*0.6,3.5,IF(K410&gt;=100*0.5,3,IF(K410&gt;=100*0.4,2,IF(K410&gt;=100*0.33,1,0))))))))</f>
        <v/>
      </c>
      <c r="AD410">
        <f>IF(B410="","",IF(L410&lt;33.0,0,IF(L410&gt;=100*0.8,5,IF(L410&gt;=100*0.7,4,IF(L410&gt;=100*0.6,3.5,IF(L410&gt;=100*0.5,3,IF(L410&gt;=100*0.4,2,IF(L410&gt;=100*0.33,1,0))))))))</f>
        <v/>
      </c>
      <c r="AE410">
        <f>IF(B410="","",IF(M410&lt;33.0,0,IF(M410&gt;=100*0.8,5,IF(M410&gt;=100*0.7,4,IF(M410&gt;=100*0.6,3.5,IF(M410&gt;=100*0.5,3,IF(M410&gt;=100*0.4,2,IF(M410&gt;=100*0.33,1,0))))))))</f>
        <v/>
      </c>
      <c r="AF410">
        <f>IF(B410="","",IF(N410&lt;16.5,0,IF(N410&gt;=50*0.8,5,IF(N410&gt;=50*0.7,4,IF(N410&gt;=50*0.6,3.5,IF(N410&gt;=50*0.5,3,IF(N410&gt;=50*0.4,2,IF(N410&gt;=50*0.33,1,0))))))))</f>
        <v/>
      </c>
      <c r="AG410">
        <f>IF(B410="","",IF(O410&lt;33.0,0,IF(O410&gt;=100*0.8,5,IF(O410&gt;=100*0.7,4,IF(O410&gt;=100*0.6,3.5,IF(O410&gt;=100*0.5,3,IF(O410&gt;=100*0.4,2,IF(O410&gt;=100*0.33,1,0))))))))</f>
        <v/>
      </c>
      <c r="AH410">
        <f>IF(B410="","",IF(OR(U410=0,V410=0,W410=0,X410=0,Y410=0,Z410=0,AA410=0,AB410=0,AC410=0,AD410=0,AE410=0,AF410=0,AG410=0),1,0))</f>
        <v/>
      </c>
    </row>
    <row r="411">
      <c r="A411" s="3">
        <f>IF(B411="","",ROW()-2)</f>
        <v/>
      </c>
      <c r="P411" s="4">
        <f>IF(B411="","",SUM(C411:O411))</f>
        <v/>
      </c>
      <c r="Q411" s="5">
        <f>IF(B411="","",ROUND(P411/13,2))</f>
        <v/>
      </c>
      <c r="R411" s="5">
        <f>IF(B411="","",IF(AH411=1,0,MIN(5,ROUND((U411+V411+W411+X411+Y411+Z411+AA411+AB411+AC411+AD411+AE411+AF411+AG411)/13,2))))</f>
        <v/>
      </c>
      <c r="S411" s="3">
        <f>IF(B411="","",IF(R411&gt;=5,"A+",IF(R411&gt;=4,"A",IF(R411&gt;=3.5,"A-",IF(R411&gt;=3,"B",IF(R411&gt;=2,"C",IF(R411&gt;=1,"D","F")))))))</f>
        <v/>
      </c>
      <c r="T411" s="3">
        <f>IF(OR(B411="",S411="F"),"",COUNTIFS(P:P,"&gt;"&amp;P411,S:S,"&lt;&gt;F")+1)</f>
        <v/>
      </c>
      <c r="U411">
        <f>IF(B411="","",IF(C411&lt;33.0,0,IF(C411&gt;=100*0.8,5,IF(C411&gt;=100*0.7,4,IF(C411&gt;=100*0.6,3.5,IF(C411&gt;=100*0.5,3,IF(C411&gt;=100*0.4,2,IF(C411&gt;=100*0.33,1,0))))))))</f>
        <v/>
      </c>
      <c r="V411">
        <f>IF(B411="","",IF(D411&lt;33.0,0,IF(D411&gt;=100*0.8,5,IF(D411&gt;=100*0.7,4,IF(D411&gt;=100*0.6,3.5,IF(D411&gt;=100*0.5,3,IF(D411&gt;=100*0.4,2,IF(D411&gt;=100*0.33,1,0))))))))</f>
        <v/>
      </c>
      <c r="W411">
        <f>IF(B411="","",IF(E411&lt;16.5,0,IF(E411&gt;=50*0.8,5,IF(E411&gt;=50*0.7,4,IF(E411&gt;=50*0.6,3.5,IF(E411&gt;=50*0.5,3,IF(E411&gt;=50*0.4,2,IF(E411&gt;=50*0.33,1,0))))))))</f>
        <v/>
      </c>
      <c r="X411">
        <f>IF(B411="","",IF(F411&lt;33.0,0,IF(F411&gt;=100*0.8,5,IF(F411&gt;=100*0.7,4,IF(F411&gt;=100*0.6,3.5,IF(F411&gt;=100*0.5,3,IF(F411&gt;=100*0.4,2,IF(F411&gt;=100*0.33,1,0))))))))</f>
        <v/>
      </c>
      <c r="Y411">
        <f>IF(B411="","",IF(G411&lt;16.5,0,IF(G411&gt;=50*0.8,5,IF(G411&gt;=50*0.7,4,IF(G411&gt;=50*0.6,3.5,IF(G411&gt;=50*0.5,3,IF(G411&gt;=50*0.4,2,IF(G411&gt;=50*0.33,1,0))))))))</f>
        <v/>
      </c>
      <c r="Z411">
        <f>IF(B411="","",IF(H411&lt;33.0,0,IF(H411&gt;=100*0.8,5,IF(H411&gt;=100*0.7,4,IF(H411&gt;=100*0.6,3.5,IF(H411&gt;=100*0.5,3,IF(H411&gt;=100*0.4,2,IF(H411&gt;=100*0.33,1,0))))))))</f>
        <v/>
      </c>
      <c r="AA411">
        <f>IF(B411="","",IF(I411&lt;33.0,0,IF(I411&gt;=100*0.8,5,IF(I411&gt;=100*0.7,4,IF(I411&gt;=100*0.6,3.5,IF(I411&gt;=100*0.5,3,IF(I411&gt;=100*0.4,2,IF(I411&gt;=100*0.33,1,0))))))))</f>
        <v/>
      </c>
      <c r="AB411">
        <f>IF(B411="","",IF(J411&lt;33.0,0,IF(J411&gt;=100*0.8,5,IF(J411&gt;=100*0.7,4,IF(J411&gt;=100*0.6,3.5,IF(J411&gt;=100*0.5,3,IF(J411&gt;=100*0.4,2,IF(J411&gt;=100*0.33,1,0))))))))</f>
        <v/>
      </c>
      <c r="AC411">
        <f>IF(B411="","",IF(K411&lt;33.0,0,IF(K411&gt;=100*0.8,5,IF(K411&gt;=100*0.7,4,IF(K411&gt;=100*0.6,3.5,IF(K411&gt;=100*0.5,3,IF(K411&gt;=100*0.4,2,IF(K411&gt;=100*0.33,1,0))))))))</f>
        <v/>
      </c>
      <c r="AD411">
        <f>IF(B411="","",IF(L411&lt;33.0,0,IF(L411&gt;=100*0.8,5,IF(L411&gt;=100*0.7,4,IF(L411&gt;=100*0.6,3.5,IF(L411&gt;=100*0.5,3,IF(L411&gt;=100*0.4,2,IF(L411&gt;=100*0.33,1,0))))))))</f>
        <v/>
      </c>
      <c r="AE411">
        <f>IF(B411="","",IF(M411&lt;33.0,0,IF(M411&gt;=100*0.8,5,IF(M411&gt;=100*0.7,4,IF(M411&gt;=100*0.6,3.5,IF(M411&gt;=100*0.5,3,IF(M411&gt;=100*0.4,2,IF(M411&gt;=100*0.33,1,0))))))))</f>
        <v/>
      </c>
      <c r="AF411">
        <f>IF(B411="","",IF(N411&lt;16.5,0,IF(N411&gt;=50*0.8,5,IF(N411&gt;=50*0.7,4,IF(N411&gt;=50*0.6,3.5,IF(N411&gt;=50*0.5,3,IF(N411&gt;=50*0.4,2,IF(N411&gt;=50*0.33,1,0))))))))</f>
        <v/>
      </c>
      <c r="AG411">
        <f>IF(B411="","",IF(O411&lt;33.0,0,IF(O411&gt;=100*0.8,5,IF(O411&gt;=100*0.7,4,IF(O411&gt;=100*0.6,3.5,IF(O411&gt;=100*0.5,3,IF(O411&gt;=100*0.4,2,IF(O411&gt;=100*0.33,1,0))))))))</f>
        <v/>
      </c>
      <c r="AH411">
        <f>IF(B411="","",IF(OR(U411=0,V411=0,W411=0,X411=0,Y411=0,Z411=0,AA411=0,AB411=0,AC411=0,AD411=0,AE411=0,AF411=0,AG411=0),1,0))</f>
        <v/>
      </c>
    </row>
    <row r="412">
      <c r="A412" s="3">
        <f>IF(B412="","",ROW()-2)</f>
        <v/>
      </c>
      <c r="P412" s="4">
        <f>IF(B412="","",SUM(C412:O412))</f>
        <v/>
      </c>
      <c r="Q412" s="5">
        <f>IF(B412="","",ROUND(P412/13,2))</f>
        <v/>
      </c>
      <c r="R412" s="5">
        <f>IF(B412="","",IF(AH412=1,0,MIN(5,ROUND((U412+V412+W412+X412+Y412+Z412+AA412+AB412+AC412+AD412+AE412+AF412+AG412)/13,2))))</f>
        <v/>
      </c>
      <c r="S412" s="3">
        <f>IF(B412="","",IF(R412&gt;=5,"A+",IF(R412&gt;=4,"A",IF(R412&gt;=3.5,"A-",IF(R412&gt;=3,"B",IF(R412&gt;=2,"C",IF(R412&gt;=1,"D","F")))))))</f>
        <v/>
      </c>
      <c r="T412" s="3">
        <f>IF(OR(B412="",S412="F"),"",COUNTIFS(P:P,"&gt;"&amp;P412,S:S,"&lt;&gt;F")+1)</f>
        <v/>
      </c>
      <c r="U412">
        <f>IF(B412="","",IF(C412&lt;33.0,0,IF(C412&gt;=100*0.8,5,IF(C412&gt;=100*0.7,4,IF(C412&gt;=100*0.6,3.5,IF(C412&gt;=100*0.5,3,IF(C412&gt;=100*0.4,2,IF(C412&gt;=100*0.33,1,0))))))))</f>
        <v/>
      </c>
      <c r="V412">
        <f>IF(B412="","",IF(D412&lt;33.0,0,IF(D412&gt;=100*0.8,5,IF(D412&gt;=100*0.7,4,IF(D412&gt;=100*0.6,3.5,IF(D412&gt;=100*0.5,3,IF(D412&gt;=100*0.4,2,IF(D412&gt;=100*0.33,1,0))))))))</f>
        <v/>
      </c>
      <c r="W412">
        <f>IF(B412="","",IF(E412&lt;16.5,0,IF(E412&gt;=50*0.8,5,IF(E412&gt;=50*0.7,4,IF(E412&gt;=50*0.6,3.5,IF(E412&gt;=50*0.5,3,IF(E412&gt;=50*0.4,2,IF(E412&gt;=50*0.33,1,0))))))))</f>
        <v/>
      </c>
      <c r="X412">
        <f>IF(B412="","",IF(F412&lt;33.0,0,IF(F412&gt;=100*0.8,5,IF(F412&gt;=100*0.7,4,IF(F412&gt;=100*0.6,3.5,IF(F412&gt;=100*0.5,3,IF(F412&gt;=100*0.4,2,IF(F412&gt;=100*0.33,1,0))))))))</f>
        <v/>
      </c>
      <c r="Y412">
        <f>IF(B412="","",IF(G412&lt;16.5,0,IF(G412&gt;=50*0.8,5,IF(G412&gt;=50*0.7,4,IF(G412&gt;=50*0.6,3.5,IF(G412&gt;=50*0.5,3,IF(G412&gt;=50*0.4,2,IF(G412&gt;=50*0.33,1,0))))))))</f>
        <v/>
      </c>
      <c r="Z412">
        <f>IF(B412="","",IF(H412&lt;33.0,0,IF(H412&gt;=100*0.8,5,IF(H412&gt;=100*0.7,4,IF(H412&gt;=100*0.6,3.5,IF(H412&gt;=100*0.5,3,IF(H412&gt;=100*0.4,2,IF(H412&gt;=100*0.33,1,0))))))))</f>
        <v/>
      </c>
      <c r="AA412">
        <f>IF(B412="","",IF(I412&lt;33.0,0,IF(I412&gt;=100*0.8,5,IF(I412&gt;=100*0.7,4,IF(I412&gt;=100*0.6,3.5,IF(I412&gt;=100*0.5,3,IF(I412&gt;=100*0.4,2,IF(I412&gt;=100*0.33,1,0))))))))</f>
        <v/>
      </c>
      <c r="AB412">
        <f>IF(B412="","",IF(J412&lt;33.0,0,IF(J412&gt;=100*0.8,5,IF(J412&gt;=100*0.7,4,IF(J412&gt;=100*0.6,3.5,IF(J412&gt;=100*0.5,3,IF(J412&gt;=100*0.4,2,IF(J412&gt;=100*0.33,1,0))))))))</f>
        <v/>
      </c>
      <c r="AC412">
        <f>IF(B412="","",IF(K412&lt;33.0,0,IF(K412&gt;=100*0.8,5,IF(K412&gt;=100*0.7,4,IF(K412&gt;=100*0.6,3.5,IF(K412&gt;=100*0.5,3,IF(K412&gt;=100*0.4,2,IF(K412&gt;=100*0.33,1,0))))))))</f>
        <v/>
      </c>
      <c r="AD412">
        <f>IF(B412="","",IF(L412&lt;33.0,0,IF(L412&gt;=100*0.8,5,IF(L412&gt;=100*0.7,4,IF(L412&gt;=100*0.6,3.5,IF(L412&gt;=100*0.5,3,IF(L412&gt;=100*0.4,2,IF(L412&gt;=100*0.33,1,0))))))))</f>
        <v/>
      </c>
      <c r="AE412">
        <f>IF(B412="","",IF(M412&lt;33.0,0,IF(M412&gt;=100*0.8,5,IF(M412&gt;=100*0.7,4,IF(M412&gt;=100*0.6,3.5,IF(M412&gt;=100*0.5,3,IF(M412&gt;=100*0.4,2,IF(M412&gt;=100*0.33,1,0))))))))</f>
        <v/>
      </c>
      <c r="AF412">
        <f>IF(B412="","",IF(N412&lt;16.5,0,IF(N412&gt;=50*0.8,5,IF(N412&gt;=50*0.7,4,IF(N412&gt;=50*0.6,3.5,IF(N412&gt;=50*0.5,3,IF(N412&gt;=50*0.4,2,IF(N412&gt;=50*0.33,1,0))))))))</f>
        <v/>
      </c>
      <c r="AG412">
        <f>IF(B412="","",IF(O412&lt;33.0,0,IF(O412&gt;=100*0.8,5,IF(O412&gt;=100*0.7,4,IF(O412&gt;=100*0.6,3.5,IF(O412&gt;=100*0.5,3,IF(O412&gt;=100*0.4,2,IF(O412&gt;=100*0.33,1,0))))))))</f>
        <v/>
      </c>
      <c r="AH412">
        <f>IF(B412="","",IF(OR(U412=0,V412=0,W412=0,X412=0,Y412=0,Z412=0,AA412=0,AB412=0,AC412=0,AD412=0,AE412=0,AF412=0,AG412=0),1,0))</f>
        <v/>
      </c>
    </row>
    <row r="413">
      <c r="A413" s="3">
        <f>IF(B413="","",ROW()-2)</f>
        <v/>
      </c>
      <c r="P413" s="4">
        <f>IF(B413="","",SUM(C413:O413))</f>
        <v/>
      </c>
      <c r="Q413" s="5">
        <f>IF(B413="","",ROUND(P413/13,2))</f>
        <v/>
      </c>
      <c r="R413" s="5">
        <f>IF(B413="","",IF(AH413=1,0,MIN(5,ROUND((U413+V413+W413+X413+Y413+Z413+AA413+AB413+AC413+AD413+AE413+AF413+AG413)/13,2))))</f>
        <v/>
      </c>
      <c r="S413" s="3">
        <f>IF(B413="","",IF(R413&gt;=5,"A+",IF(R413&gt;=4,"A",IF(R413&gt;=3.5,"A-",IF(R413&gt;=3,"B",IF(R413&gt;=2,"C",IF(R413&gt;=1,"D","F")))))))</f>
        <v/>
      </c>
      <c r="T413" s="3">
        <f>IF(OR(B413="",S413="F"),"",COUNTIFS(P:P,"&gt;"&amp;P413,S:S,"&lt;&gt;F")+1)</f>
        <v/>
      </c>
      <c r="U413">
        <f>IF(B413="","",IF(C413&lt;33.0,0,IF(C413&gt;=100*0.8,5,IF(C413&gt;=100*0.7,4,IF(C413&gt;=100*0.6,3.5,IF(C413&gt;=100*0.5,3,IF(C413&gt;=100*0.4,2,IF(C413&gt;=100*0.33,1,0))))))))</f>
        <v/>
      </c>
      <c r="V413">
        <f>IF(B413="","",IF(D413&lt;33.0,0,IF(D413&gt;=100*0.8,5,IF(D413&gt;=100*0.7,4,IF(D413&gt;=100*0.6,3.5,IF(D413&gt;=100*0.5,3,IF(D413&gt;=100*0.4,2,IF(D413&gt;=100*0.33,1,0))))))))</f>
        <v/>
      </c>
      <c r="W413">
        <f>IF(B413="","",IF(E413&lt;16.5,0,IF(E413&gt;=50*0.8,5,IF(E413&gt;=50*0.7,4,IF(E413&gt;=50*0.6,3.5,IF(E413&gt;=50*0.5,3,IF(E413&gt;=50*0.4,2,IF(E413&gt;=50*0.33,1,0))))))))</f>
        <v/>
      </c>
      <c r="X413">
        <f>IF(B413="","",IF(F413&lt;33.0,0,IF(F413&gt;=100*0.8,5,IF(F413&gt;=100*0.7,4,IF(F413&gt;=100*0.6,3.5,IF(F413&gt;=100*0.5,3,IF(F413&gt;=100*0.4,2,IF(F413&gt;=100*0.33,1,0))))))))</f>
        <v/>
      </c>
      <c r="Y413">
        <f>IF(B413="","",IF(G413&lt;16.5,0,IF(G413&gt;=50*0.8,5,IF(G413&gt;=50*0.7,4,IF(G413&gt;=50*0.6,3.5,IF(G413&gt;=50*0.5,3,IF(G413&gt;=50*0.4,2,IF(G413&gt;=50*0.33,1,0))))))))</f>
        <v/>
      </c>
      <c r="Z413">
        <f>IF(B413="","",IF(H413&lt;33.0,0,IF(H413&gt;=100*0.8,5,IF(H413&gt;=100*0.7,4,IF(H413&gt;=100*0.6,3.5,IF(H413&gt;=100*0.5,3,IF(H413&gt;=100*0.4,2,IF(H413&gt;=100*0.33,1,0))))))))</f>
        <v/>
      </c>
      <c r="AA413">
        <f>IF(B413="","",IF(I413&lt;33.0,0,IF(I413&gt;=100*0.8,5,IF(I413&gt;=100*0.7,4,IF(I413&gt;=100*0.6,3.5,IF(I413&gt;=100*0.5,3,IF(I413&gt;=100*0.4,2,IF(I413&gt;=100*0.33,1,0))))))))</f>
        <v/>
      </c>
      <c r="AB413">
        <f>IF(B413="","",IF(J413&lt;33.0,0,IF(J413&gt;=100*0.8,5,IF(J413&gt;=100*0.7,4,IF(J413&gt;=100*0.6,3.5,IF(J413&gt;=100*0.5,3,IF(J413&gt;=100*0.4,2,IF(J413&gt;=100*0.33,1,0))))))))</f>
        <v/>
      </c>
      <c r="AC413">
        <f>IF(B413="","",IF(K413&lt;33.0,0,IF(K413&gt;=100*0.8,5,IF(K413&gt;=100*0.7,4,IF(K413&gt;=100*0.6,3.5,IF(K413&gt;=100*0.5,3,IF(K413&gt;=100*0.4,2,IF(K413&gt;=100*0.33,1,0))))))))</f>
        <v/>
      </c>
      <c r="AD413">
        <f>IF(B413="","",IF(L413&lt;33.0,0,IF(L413&gt;=100*0.8,5,IF(L413&gt;=100*0.7,4,IF(L413&gt;=100*0.6,3.5,IF(L413&gt;=100*0.5,3,IF(L413&gt;=100*0.4,2,IF(L413&gt;=100*0.33,1,0))))))))</f>
        <v/>
      </c>
      <c r="AE413">
        <f>IF(B413="","",IF(M413&lt;33.0,0,IF(M413&gt;=100*0.8,5,IF(M413&gt;=100*0.7,4,IF(M413&gt;=100*0.6,3.5,IF(M413&gt;=100*0.5,3,IF(M413&gt;=100*0.4,2,IF(M413&gt;=100*0.33,1,0))))))))</f>
        <v/>
      </c>
      <c r="AF413">
        <f>IF(B413="","",IF(N413&lt;16.5,0,IF(N413&gt;=50*0.8,5,IF(N413&gt;=50*0.7,4,IF(N413&gt;=50*0.6,3.5,IF(N413&gt;=50*0.5,3,IF(N413&gt;=50*0.4,2,IF(N413&gt;=50*0.33,1,0))))))))</f>
        <v/>
      </c>
      <c r="AG413">
        <f>IF(B413="","",IF(O413&lt;33.0,0,IF(O413&gt;=100*0.8,5,IF(O413&gt;=100*0.7,4,IF(O413&gt;=100*0.6,3.5,IF(O413&gt;=100*0.5,3,IF(O413&gt;=100*0.4,2,IF(O413&gt;=100*0.33,1,0))))))))</f>
        <v/>
      </c>
      <c r="AH413">
        <f>IF(B413="","",IF(OR(U413=0,V413=0,W413=0,X413=0,Y413=0,Z413=0,AA413=0,AB413=0,AC413=0,AD413=0,AE413=0,AF413=0,AG413=0),1,0))</f>
        <v/>
      </c>
    </row>
    <row r="414">
      <c r="A414" s="3">
        <f>IF(B414="","",ROW()-2)</f>
        <v/>
      </c>
      <c r="P414" s="4">
        <f>IF(B414="","",SUM(C414:O414))</f>
        <v/>
      </c>
      <c r="Q414" s="5">
        <f>IF(B414="","",ROUND(P414/13,2))</f>
        <v/>
      </c>
      <c r="R414" s="5">
        <f>IF(B414="","",IF(AH414=1,0,MIN(5,ROUND((U414+V414+W414+X414+Y414+Z414+AA414+AB414+AC414+AD414+AE414+AF414+AG414)/13,2))))</f>
        <v/>
      </c>
      <c r="S414" s="3">
        <f>IF(B414="","",IF(R414&gt;=5,"A+",IF(R414&gt;=4,"A",IF(R414&gt;=3.5,"A-",IF(R414&gt;=3,"B",IF(R414&gt;=2,"C",IF(R414&gt;=1,"D","F")))))))</f>
        <v/>
      </c>
      <c r="T414" s="3">
        <f>IF(OR(B414="",S414="F"),"",COUNTIFS(P:P,"&gt;"&amp;P414,S:S,"&lt;&gt;F")+1)</f>
        <v/>
      </c>
      <c r="U414">
        <f>IF(B414="","",IF(C414&lt;33.0,0,IF(C414&gt;=100*0.8,5,IF(C414&gt;=100*0.7,4,IF(C414&gt;=100*0.6,3.5,IF(C414&gt;=100*0.5,3,IF(C414&gt;=100*0.4,2,IF(C414&gt;=100*0.33,1,0))))))))</f>
        <v/>
      </c>
      <c r="V414">
        <f>IF(B414="","",IF(D414&lt;33.0,0,IF(D414&gt;=100*0.8,5,IF(D414&gt;=100*0.7,4,IF(D414&gt;=100*0.6,3.5,IF(D414&gt;=100*0.5,3,IF(D414&gt;=100*0.4,2,IF(D414&gt;=100*0.33,1,0))))))))</f>
        <v/>
      </c>
      <c r="W414">
        <f>IF(B414="","",IF(E414&lt;16.5,0,IF(E414&gt;=50*0.8,5,IF(E414&gt;=50*0.7,4,IF(E414&gt;=50*0.6,3.5,IF(E414&gt;=50*0.5,3,IF(E414&gt;=50*0.4,2,IF(E414&gt;=50*0.33,1,0))))))))</f>
        <v/>
      </c>
      <c r="X414">
        <f>IF(B414="","",IF(F414&lt;33.0,0,IF(F414&gt;=100*0.8,5,IF(F414&gt;=100*0.7,4,IF(F414&gt;=100*0.6,3.5,IF(F414&gt;=100*0.5,3,IF(F414&gt;=100*0.4,2,IF(F414&gt;=100*0.33,1,0))))))))</f>
        <v/>
      </c>
      <c r="Y414">
        <f>IF(B414="","",IF(G414&lt;16.5,0,IF(G414&gt;=50*0.8,5,IF(G414&gt;=50*0.7,4,IF(G414&gt;=50*0.6,3.5,IF(G414&gt;=50*0.5,3,IF(G414&gt;=50*0.4,2,IF(G414&gt;=50*0.33,1,0))))))))</f>
        <v/>
      </c>
      <c r="Z414">
        <f>IF(B414="","",IF(H414&lt;33.0,0,IF(H414&gt;=100*0.8,5,IF(H414&gt;=100*0.7,4,IF(H414&gt;=100*0.6,3.5,IF(H414&gt;=100*0.5,3,IF(H414&gt;=100*0.4,2,IF(H414&gt;=100*0.33,1,0))))))))</f>
        <v/>
      </c>
      <c r="AA414">
        <f>IF(B414="","",IF(I414&lt;33.0,0,IF(I414&gt;=100*0.8,5,IF(I414&gt;=100*0.7,4,IF(I414&gt;=100*0.6,3.5,IF(I414&gt;=100*0.5,3,IF(I414&gt;=100*0.4,2,IF(I414&gt;=100*0.33,1,0))))))))</f>
        <v/>
      </c>
      <c r="AB414">
        <f>IF(B414="","",IF(J414&lt;33.0,0,IF(J414&gt;=100*0.8,5,IF(J414&gt;=100*0.7,4,IF(J414&gt;=100*0.6,3.5,IF(J414&gt;=100*0.5,3,IF(J414&gt;=100*0.4,2,IF(J414&gt;=100*0.33,1,0))))))))</f>
        <v/>
      </c>
      <c r="AC414">
        <f>IF(B414="","",IF(K414&lt;33.0,0,IF(K414&gt;=100*0.8,5,IF(K414&gt;=100*0.7,4,IF(K414&gt;=100*0.6,3.5,IF(K414&gt;=100*0.5,3,IF(K414&gt;=100*0.4,2,IF(K414&gt;=100*0.33,1,0))))))))</f>
        <v/>
      </c>
      <c r="AD414">
        <f>IF(B414="","",IF(L414&lt;33.0,0,IF(L414&gt;=100*0.8,5,IF(L414&gt;=100*0.7,4,IF(L414&gt;=100*0.6,3.5,IF(L414&gt;=100*0.5,3,IF(L414&gt;=100*0.4,2,IF(L414&gt;=100*0.33,1,0))))))))</f>
        <v/>
      </c>
      <c r="AE414">
        <f>IF(B414="","",IF(M414&lt;33.0,0,IF(M414&gt;=100*0.8,5,IF(M414&gt;=100*0.7,4,IF(M414&gt;=100*0.6,3.5,IF(M414&gt;=100*0.5,3,IF(M414&gt;=100*0.4,2,IF(M414&gt;=100*0.33,1,0))))))))</f>
        <v/>
      </c>
      <c r="AF414">
        <f>IF(B414="","",IF(N414&lt;16.5,0,IF(N414&gt;=50*0.8,5,IF(N414&gt;=50*0.7,4,IF(N414&gt;=50*0.6,3.5,IF(N414&gt;=50*0.5,3,IF(N414&gt;=50*0.4,2,IF(N414&gt;=50*0.33,1,0))))))))</f>
        <v/>
      </c>
      <c r="AG414">
        <f>IF(B414="","",IF(O414&lt;33.0,0,IF(O414&gt;=100*0.8,5,IF(O414&gt;=100*0.7,4,IF(O414&gt;=100*0.6,3.5,IF(O414&gt;=100*0.5,3,IF(O414&gt;=100*0.4,2,IF(O414&gt;=100*0.33,1,0))))))))</f>
        <v/>
      </c>
      <c r="AH414">
        <f>IF(B414="","",IF(OR(U414=0,V414=0,W414=0,X414=0,Y414=0,Z414=0,AA414=0,AB414=0,AC414=0,AD414=0,AE414=0,AF414=0,AG414=0),1,0))</f>
        <v/>
      </c>
    </row>
    <row r="415">
      <c r="A415" s="3">
        <f>IF(B415="","",ROW()-2)</f>
        <v/>
      </c>
      <c r="P415" s="4">
        <f>IF(B415="","",SUM(C415:O415))</f>
        <v/>
      </c>
      <c r="Q415" s="5">
        <f>IF(B415="","",ROUND(P415/13,2))</f>
        <v/>
      </c>
      <c r="R415" s="5">
        <f>IF(B415="","",IF(AH415=1,0,MIN(5,ROUND((U415+V415+W415+X415+Y415+Z415+AA415+AB415+AC415+AD415+AE415+AF415+AG415)/13,2))))</f>
        <v/>
      </c>
      <c r="S415" s="3">
        <f>IF(B415="","",IF(R415&gt;=5,"A+",IF(R415&gt;=4,"A",IF(R415&gt;=3.5,"A-",IF(R415&gt;=3,"B",IF(R415&gt;=2,"C",IF(R415&gt;=1,"D","F")))))))</f>
        <v/>
      </c>
      <c r="T415" s="3">
        <f>IF(OR(B415="",S415="F"),"",COUNTIFS(P:P,"&gt;"&amp;P415,S:S,"&lt;&gt;F")+1)</f>
        <v/>
      </c>
      <c r="U415">
        <f>IF(B415="","",IF(C415&lt;33.0,0,IF(C415&gt;=100*0.8,5,IF(C415&gt;=100*0.7,4,IF(C415&gt;=100*0.6,3.5,IF(C415&gt;=100*0.5,3,IF(C415&gt;=100*0.4,2,IF(C415&gt;=100*0.33,1,0))))))))</f>
        <v/>
      </c>
      <c r="V415">
        <f>IF(B415="","",IF(D415&lt;33.0,0,IF(D415&gt;=100*0.8,5,IF(D415&gt;=100*0.7,4,IF(D415&gt;=100*0.6,3.5,IF(D415&gt;=100*0.5,3,IF(D415&gt;=100*0.4,2,IF(D415&gt;=100*0.33,1,0))))))))</f>
        <v/>
      </c>
      <c r="W415">
        <f>IF(B415="","",IF(E415&lt;16.5,0,IF(E415&gt;=50*0.8,5,IF(E415&gt;=50*0.7,4,IF(E415&gt;=50*0.6,3.5,IF(E415&gt;=50*0.5,3,IF(E415&gt;=50*0.4,2,IF(E415&gt;=50*0.33,1,0))))))))</f>
        <v/>
      </c>
      <c r="X415">
        <f>IF(B415="","",IF(F415&lt;33.0,0,IF(F415&gt;=100*0.8,5,IF(F415&gt;=100*0.7,4,IF(F415&gt;=100*0.6,3.5,IF(F415&gt;=100*0.5,3,IF(F415&gt;=100*0.4,2,IF(F415&gt;=100*0.33,1,0))))))))</f>
        <v/>
      </c>
      <c r="Y415">
        <f>IF(B415="","",IF(G415&lt;16.5,0,IF(G415&gt;=50*0.8,5,IF(G415&gt;=50*0.7,4,IF(G415&gt;=50*0.6,3.5,IF(G415&gt;=50*0.5,3,IF(G415&gt;=50*0.4,2,IF(G415&gt;=50*0.33,1,0))))))))</f>
        <v/>
      </c>
      <c r="Z415">
        <f>IF(B415="","",IF(H415&lt;33.0,0,IF(H415&gt;=100*0.8,5,IF(H415&gt;=100*0.7,4,IF(H415&gt;=100*0.6,3.5,IF(H415&gt;=100*0.5,3,IF(H415&gt;=100*0.4,2,IF(H415&gt;=100*0.33,1,0))))))))</f>
        <v/>
      </c>
      <c r="AA415">
        <f>IF(B415="","",IF(I415&lt;33.0,0,IF(I415&gt;=100*0.8,5,IF(I415&gt;=100*0.7,4,IF(I415&gt;=100*0.6,3.5,IF(I415&gt;=100*0.5,3,IF(I415&gt;=100*0.4,2,IF(I415&gt;=100*0.33,1,0))))))))</f>
        <v/>
      </c>
      <c r="AB415">
        <f>IF(B415="","",IF(J415&lt;33.0,0,IF(J415&gt;=100*0.8,5,IF(J415&gt;=100*0.7,4,IF(J415&gt;=100*0.6,3.5,IF(J415&gt;=100*0.5,3,IF(J415&gt;=100*0.4,2,IF(J415&gt;=100*0.33,1,0))))))))</f>
        <v/>
      </c>
      <c r="AC415">
        <f>IF(B415="","",IF(K415&lt;33.0,0,IF(K415&gt;=100*0.8,5,IF(K415&gt;=100*0.7,4,IF(K415&gt;=100*0.6,3.5,IF(K415&gt;=100*0.5,3,IF(K415&gt;=100*0.4,2,IF(K415&gt;=100*0.33,1,0))))))))</f>
        <v/>
      </c>
      <c r="AD415">
        <f>IF(B415="","",IF(L415&lt;33.0,0,IF(L415&gt;=100*0.8,5,IF(L415&gt;=100*0.7,4,IF(L415&gt;=100*0.6,3.5,IF(L415&gt;=100*0.5,3,IF(L415&gt;=100*0.4,2,IF(L415&gt;=100*0.33,1,0))))))))</f>
        <v/>
      </c>
      <c r="AE415">
        <f>IF(B415="","",IF(M415&lt;33.0,0,IF(M415&gt;=100*0.8,5,IF(M415&gt;=100*0.7,4,IF(M415&gt;=100*0.6,3.5,IF(M415&gt;=100*0.5,3,IF(M415&gt;=100*0.4,2,IF(M415&gt;=100*0.33,1,0))))))))</f>
        <v/>
      </c>
      <c r="AF415">
        <f>IF(B415="","",IF(N415&lt;16.5,0,IF(N415&gt;=50*0.8,5,IF(N415&gt;=50*0.7,4,IF(N415&gt;=50*0.6,3.5,IF(N415&gt;=50*0.5,3,IF(N415&gt;=50*0.4,2,IF(N415&gt;=50*0.33,1,0))))))))</f>
        <v/>
      </c>
      <c r="AG415">
        <f>IF(B415="","",IF(O415&lt;33.0,0,IF(O415&gt;=100*0.8,5,IF(O415&gt;=100*0.7,4,IF(O415&gt;=100*0.6,3.5,IF(O415&gt;=100*0.5,3,IF(O415&gt;=100*0.4,2,IF(O415&gt;=100*0.33,1,0))))))))</f>
        <v/>
      </c>
      <c r="AH415">
        <f>IF(B415="","",IF(OR(U415=0,V415=0,W415=0,X415=0,Y415=0,Z415=0,AA415=0,AB415=0,AC415=0,AD415=0,AE415=0,AF415=0,AG415=0),1,0))</f>
        <v/>
      </c>
    </row>
    <row r="416">
      <c r="A416" s="3">
        <f>IF(B416="","",ROW()-2)</f>
        <v/>
      </c>
      <c r="P416" s="4">
        <f>IF(B416="","",SUM(C416:O416))</f>
        <v/>
      </c>
      <c r="Q416" s="5">
        <f>IF(B416="","",ROUND(P416/13,2))</f>
        <v/>
      </c>
      <c r="R416" s="5">
        <f>IF(B416="","",IF(AH416=1,0,MIN(5,ROUND((U416+V416+W416+X416+Y416+Z416+AA416+AB416+AC416+AD416+AE416+AF416+AG416)/13,2))))</f>
        <v/>
      </c>
      <c r="S416" s="3">
        <f>IF(B416="","",IF(R416&gt;=5,"A+",IF(R416&gt;=4,"A",IF(R416&gt;=3.5,"A-",IF(R416&gt;=3,"B",IF(R416&gt;=2,"C",IF(R416&gt;=1,"D","F")))))))</f>
        <v/>
      </c>
      <c r="T416" s="3">
        <f>IF(OR(B416="",S416="F"),"",COUNTIFS(P:P,"&gt;"&amp;P416,S:S,"&lt;&gt;F")+1)</f>
        <v/>
      </c>
      <c r="U416">
        <f>IF(B416="","",IF(C416&lt;33.0,0,IF(C416&gt;=100*0.8,5,IF(C416&gt;=100*0.7,4,IF(C416&gt;=100*0.6,3.5,IF(C416&gt;=100*0.5,3,IF(C416&gt;=100*0.4,2,IF(C416&gt;=100*0.33,1,0))))))))</f>
        <v/>
      </c>
      <c r="V416">
        <f>IF(B416="","",IF(D416&lt;33.0,0,IF(D416&gt;=100*0.8,5,IF(D416&gt;=100*0.7,4,IF(D416&gt;=100*0.6,3.5,IF(D416&gt;=100*0.5,3,IF(D416&gt;=100*0.4,2,IF(D416&gt;=100*0.33,1,0))))))))</f>
        <v/>
      </c>
      <c r="W416">
        <f>IF(B416="","",IF(E416&lt;16.5,0,IF(E416&gt;=50*0.8,5,IF(E416&gt;=50*0.7,4,IF(E416&gt;=50*0.6,3.5,IF(E416&gt;=50*0.5,3,IF(E416&gt;=50*0.4,2,IF(E416&gt;=50*0.33,1,0))))))))</f>
        <v/>
      </c>
      <c r="X416">
        <f>IF(B416="","",IF(F416&lt;33.0,0,IF(F416&gt;=100*0.8,5,IF(F416&gt;=100*0.7,4,IF(F416&gt;=100*0.6,3.5,IF(F416&gt;=100*0.5,3,IF(F416&gt;=100*0.4,2,IF(F416&gt;=100*0.33,1,0))))))))</f>
        <v/>
      </c>
      <c r="Y416">
        <f>IF(B416="","",IF(G416&lt;16.5,0,IF(G416&gt;=50*0.8,5,IF(G416&gt;=50*0.7,4,IF(G416&gt;=50*0.6,3.5,IF(G416&gt;=50*0.5,3,IF(G416&gt;=50*0.4,2,IF(G416&gt;=50*0.33,1,0))))))))</f>
        <v/>
      </c>
      <c r="Z416">
        <f>IF(B416="","",IF(H416&lt;33.0,0,IF(H416&gt;=100*0.8,5,IF(H416&gt;=100*0.7,4,IF(H416&gt;=100*0.6,3.5,IF(H416&gt;=100*0.5,3,IF(H416&gt;=100*0.4,2,IF(H416&gt;=100*0.33,1,0))))))))</f>
        <v/>
      </c>
      <c r="AA416">
        <f>IF(B416="","",IF(I416&lt;33.0,0,IF(I416&gt;=100*0.8,5,IF(I416&gt;=100*0.7,4,IF(I416&gt;=100*0.6,3.5,IF(I416&gt;=100*0.5,3,IF(I416&gt;=100*0.4,2,IF(I416&gt;=100*0.33,1,0))))))))</f>
        <v/>
      </c>
      <c r="AB416">
        <f>IF(B416="","",IF(J416&lt;33.0,0,IF(J416&gt;=100*0.8,5,IF(J416&gt;=100*0.7,4,IF(J416&gt;=100*0.6,3.5,IF(J416&gt;=100*0.5,3,IF(J416&gt;=100*0.4,2,IF(J416&gt;=100*0.33,1,0))))))))</f>
        <v/>
      </c>
      <c r="AC416">
        <f>IF(B416="","",IF(K416&lt;33.0,0,IF(K416&gt;=100*0.8,5,IF(K416&gt;=100*0.7,4,IF(K416&gt;=100*0.6,3.5,IF(K416&gt;=100*0.5,3,IF(K416&gt;=100*0.4,2,IF(K416&gt;=100*0.33,1,0))))))))</f>
        <v/>
      </c>
      <c r="AD416">
        <f>IF(B416="","",IF(L416&lt;33.0,0,IF(L416&gt;=100*0.8,5,IF(L416&gt;=100*0.7,4,IF(L416&gt;=100*0.6,3.5,IF(L416&gt;=100*0.5,3,IF(L416&gt;=100*0.4,2,IF(L416&gt;=100*0.33,1,0))))))))</f>
        <v/>
      </c>
      <c r="AE416">
        <f>IF(B416="","",IF(M416&lt;33.0,0,IF(M416&gt;=100*0.8,5,IF(M416&gt;=100*0.7,4,IF(M416&gt;=100*0.6,3.5,IF(M416&gt;=100*0.5,3,IF(M416&gt;=100*0.4,2,IF(M416&gt;=100*0.33,1,0))))))))</f>
        <v/>
      </c>
      <c r="AF416">
        <f>IF(B416="","",IF(N416&lt;16.5,0,IF(N416&gt;=50*0.8,5,IF(N416&gt;=50*0.7,4,IF(N416&gt;=50*0.6,3.5,IF(N416&gt;=50*0.5,3,IF(N416&gt;=50*0.4,2,IF(N416&gt;=50*0.33,1,0))))))))</f>
        <v/>
      </c>
      <c r="AG416">
        <f>IF(B416="","",IF(O416&lt;33.0,0,IF(O416&gt;=100*0.8,5,IF(O416&gt;=100*0.7,4,IF(O416&gt;=100*0.6,3.5,IF(O416&gt;=100*0.5,3,IF(O416&gt;=100*0.4,2,IF(O416&gt;=100*0.33,1,0))))))))</f>
        <v/>
      </c>
      <c r="AH416">
        <f>IF(B416="","",IF(OR(U416=0,V416=0,W416=0,X416=0,Y416=0,Z416=0,AA416=0,AB416=0,AC416=0,AD416=0,AE416=0,AF416=0,AG416=0),1,0))</f>
        <v/>
      </c>
    </row>
    <row r="417">
      <c r="A417" s="3">
        <f>IF(B417="","",ROW()-2)</f>
        <v/>
      </c>
      <c r="P417" s="4">
        <f>IF(B417="","",SUM(C417:O417))</f>
        <v/>
      </c>
      <c r="Q417" s="5">
        <f>IF(B417="","",ROUND(P417/13,2))</f>
        <v/>
      </c>
      <c r="R417" s="5">
        <f>IF(B417="","",IF(AH417=1,0,MIN(5,ROUND((U417+V417+W417+X417+Y417+Z417+AA417+AB417+AC417+AD417+AE417+AF417+AG417)/13,2))))</f>
        <v/>
      </c>
      <c r="S417" s="3">
        <f>IF(B417="","",IF(R417&gt;=5,"A+",IF(R417&gt;=4,"A",IF(R417&gt;=3.5,"A-",IF(R417&gt;=3,"B",IF(R417&gt;=2,"C",IF(R417&gt;=1,"D","F")))))))</f>
        <v/>
      </c>
      <c r="T417" s="3">
        <f>IF(OR(B417="",S417="F"),"",COUNTIFS(P:P,"&gt;"&amp;P417,S:S,"&lt;&gt;F")+1)</f>
        <v/>
      </c>
      <c r="U417">
        <f>IF(B417="","",IF(C417&lt;33.0,0,IF(C417&gt;=100*0.8,5,IF(C417&gt;=100*0.7,4,IF(C417&gt;=100*0.6,3.5,IF(C417&gt;=100*0.5,3,IF(C417&gt;=100*0.4,2,IF(C417&gt;=100*0.33,1,0))))))))</f>
        <v/>
      </c>
      <c r="V417">
        <f>IF(B417="","",IF(D417&lt;33.0,0,IF(D417&gt;=100*0.8,5,IF(D417&gt;=100*0.7,4,IF(D417&gt;=100*0.6,3.5,IF(D417&gt;=100*0.5,3,IF(D417&gt;=100*0.4,2,IF(D417&gt;=100*0.33,1,0))))))))</f>
        <v/>
      </c>
      <c r="W417">
        <f>IF(B417="","",IF(E417&lt;16.5,0,IF(E417&gt;=50*0.8,5,IF(E417&gt;=50*0.7,4,IF(E417&gt;=50*0.6,3.5,IF(E417&gt;=50*0.5,3,IF(E417&gt;=50*0.4,2,IF(E417&gt;=50*0.33,1,0))))))))</f>
        <v/>
      </c>
      <c r="X417">
        <f>IF(B417="","",IF(F417&lt;33.0,0,IF(F417&gt;=100*0.8,5,IF(F417&gt;=100*0.7,4,IF(F417&gt;=100*0.6,3.5,IF(F417&gt;=100*0.5,3,IF(F417&gt;=100*0.4,2,IF(F417&gt;=100*0.33,1,0))))))))</f>
        <v/>
      </c>
      <c r="Y417">
        <f>IF(B417="","",IF(G417&lt;16.5,0,IF(G417&gt;=50*0.8,5,IF(G417&gt;=50*0.7,4,IF(G417&gt;=50*0.6,3.5,IF(G417&gt;=50*0.5,3,IF(G417&gt;=50*0.4,2,IF(G417&gt;=50*0.33,1,0))))))))</f>
        <v/>
      </c>
      <c r="Z417">
        <f>IF(B417="","",IF(H417&lt;33.0,0,IF(H417&gt;=100*0.8,5,IF(H417&gt;=100*0.7,4,IF(H417&gt;=100*0.6,3.5,IF(H417&gt;=100*0.5,3,IF(H417&gt;=100*0.4,2,IF(H417&gt;=100*0.33,1,0))))))))</f>
        <v/>
      </c>
      <c r="AA417">
        <f>IF(B417="","",IF(I417&lt;33.0,0,IF(I417&gt;=100*0.8,5,IF(I417&gt;=100*0.7,4,IF(I417&gt;=100*0.6,3.5,IF(I417&gt;=100*0.5,3,IF(I417&gt;=100*0.4,2,IF(I417&gt;=100*0.33,1,0))))))))</f>
        <v/>
      </c>
      <c r="AB417">
        <f>IF(B417="","",IF(J417&lt;33.0,0,IF(J417&gt;=100*0.8,5,IF(J417&gt;=100*0.7,4,IF(J417&gt;=100*0.6,3.5,IF(J417&gt;=100*0.5,3,IF(J417&gt;=100*0.4,2,IF(J417&gt;=100*0.33,1,0))))))))</f>
        <v/>
      </c>
      <c r="AC417">
        <f>IF(B417="","",IF(K417&lt;33.0,0,IF(K417&gt;=100*0.8,5,IF(K417&gt;=100*0.7,4,IF(K417&gt;=100*0.6,3.5,IF(K417&gt;=100*0.5,3,IF(K417&gt;=100*0.4,2,IF(K417&gt;=100*0.33,1,0))))))))</f>
        <v/>
      </c>
      <c r="AD417">
        <f>IF(B417="","",IF(L417&lt;33.0,0,IF(L417&gt;=100*0.8,5,IF(L417&gt;=100*0.7,4,IF(L417&gt;=100*0.6,3.5,IF(L417&gt;=100*0.5,3,IF(L417&gt;=100*0.4,2,IF(L417&gt;=100*0.33,1,0))))))))</f>
        <v/>
      </c>
      <c r="AE417">
        <f>IF(B417="","",IF(M417&lt;33.0,0,IF(M417&gt;=100*0.8,5,IF(M417&gt;=100*0.7,4,IF(M417&gt;=100*0.6,3.5,IF(M417&gt;=100*0.5,3,IF(M417&gt;=100*0.4,2,IF(M417&gt;=100*0.33,1,0))))))))</f>
        <v/>
      </c>
      <c r="AF417">
        <f>IF(B417="","",IF(N417&lt;16.5,0,IF(N417&gt;=50*0.8,5,IF(N417&gt;=50*0.7,4,IF(N417&gt;=50*0.6,3.5,IF(N417&gt;=50*0.5,3,IF(N417&gt;=50*0.4,2,IF(N417&gt;=50*0.33,1,0))))))))</f>
        <v/>
      </c>
      <c r="AG417">
        <f>IF(B417="","",IF(O417&lt;33.0,0,IF(O417&gt;=100*0.8,5,IF(O417&gt;=100*0.7,4,IF(O417&gt;=100*0.6,3.5,IF(O417&gt;=100*0.5,3,IF(O417&gt;=100*0.4,2,IF(O417&gt;=100*0.33,1,0))))))))</f>
        <v/>
      </c>
      <c r="AH417">
        <f>IF(B417="","",IF(OR(U417=0,V417=0,W417=0,X417=0,Y417=0,Z417=0,AA417=0,AB417=0,AC417=0,AD417=0,AE417=0,AF417=0,AG417=0),1,0))</f>
        <v/>
      </c>
    </row>
    <row r="418">
      <c r="A418" s="3">
        <f>IF(B418="","",ROW()-2)</f>
        <v/>
      </c>
      <c r="P418" s="4">
        <f>IF(B418="","",SUM(C418:O418))</f>
        <v/>
      </c>
      <c r="Q418" s="5">
        <f>IF(B418="","",ROUND(P418/13,2))</f>
        <v/>
      </c>
      <c r="R418" s="5">
        <f>IF(B418="","",IF(AH418=1,0,MIN(5,ROUND((U418+V418+W418+X418+Y418+Z418+AA418+AB418+AC418+AD418+AE418+AF418+AG418)/13,2))))</f>
        <v/>
      </c>
      <c r="S418" s="3">
        <f>IF(B418="","",IF(R418&gt;=5,"A+",IF(R418&gt;=4,"A",IF(R418&gt;=3.5,"A-",IF(R418&gt;=3,"B",IF(R418&gt;=2,"C",IF(R418&gt;=1,"D","F")))))))</f>
        <v/>
      </c>
      <c r="T418" s="3">
        <f>IF(OR(B418="",S418="F"),"",COUNTIFS(P:P,"&gt;"&amp;P418,S:S,"&lt;&gt;F")+1)</f>
        <v/>
      </c>
      <c r="U418">
        <f>IF(B418="","",IF(C418&lt;33.0,0,IF(C418&gt;=100*0.8,5,IF(C418&gt;=100*0.7,4,IF(C418&gt;=100*0.6,3.5,IF(C418&gt;=100*0.5,3,IF(C418&gt;=100*0.4,2,IF(C418&gt;=100*0.33,1,0))))))))</f>
        <v/>
      </c>
      <c r="V418">
        <f>IF(B418="","",IF(D418&lt;33.0,0,IF(D418&gt;=100*0.8,5,IF(D418&gt;=100*0.7,4,IF(D418&gt;=100*0.6,3.5,IF(D418&gt;=100*0.5,3,IF(D418&gt;=100*0.4,2,IF(D418&gt;=100*0.33,1,0))))))))</f>
        <v/>
      </c>
      <c r="W418">
        <f>IF(B418="","",IF(E418&lt;16.5,0,IF(E418&gt;=50*0.8,5,IF(E418&gt;=50*0.7,4,IF(E418&gt;=50*0.6,3.5,IF(E418&gt;=50*0.5,3,IF(E418&gt;=50*0.4,2,IF(E418&gt;=50*0.33,1,0))))))))</f>
        <v/>
      </c>
      <c r="X418">
        <f>IF(B418="","",IF(F418&lt;33.0,0,IF(F418&gt;=100*0.8,5,IF(F418&gt;=100*0.7,4,IF(F418&gt;=100*0.6,3.5,IF(F418&gt;=100*0.5,3,IF(F418&gt;=100*0.4,2,IF(F418&gt;=100*0.33,1,0))))))))</f>
        <v/>
      </c>
      <c r="Y418">
        <f>IF(B418="","",IF(G418&lt;16.5,0,IF(G418&gt;=50*0.8,5,IF(G418&gt;=50*0.7,4,IF(G418&gt;=50*0.6,3.5,IF(G418&gt;=50*0.5,3,IF(G418&gt;=50*0.4,2,IF(G418&gt;=50*0.33,1,0))))))))</f>
        <v/>
      </c>
      <c r="Z418">
        <f>IF(B418="","",IF(H418&lt;33.0,0,IF(H418&gt;=100*0.8,5,IF(H418&gt;=100*0.7,4,IF(H418&gt;=100*0.6,3.5,IF(H418&gt;=100*0.5,3,IF(H418&gt;=100*0.4,2,IF(H418&gt;=100*0.33,1,0))))))))</f>
        <v/>
      </c>
      <c r="AA418">
        <f>IF(B418="","",IF(I418&lt;33.0,0,IF(I418&gt;=100*0.8,5,IF(I418&gt;=100*0.7,4,IF(I418&gt;=100*0.6,3.5,IF(I418&gt;=100*0.5,3,IF(I418&gt;=100*0.4,2,IF(I418&gt;=100*0.33,1,0))))))))</f>
        <v/>
      </c>
      <c r="AB418">
        <f>IF(B418="","",IF(J418&lt;33.0,0,IF(J418&gt;=100*0.8,5,IF(J418&gt;=100*0.7,4,IF(J418&gt;=100*0.6,3.5,IF(J418&gt;=100*0.5,3,IF(J418&gt;=100*0.4,2,IF(J418&gt;=100*0.33,1,0))))))))</f>
        <v/>
      </c>
      <c r="AC418">
        <f>IF(B418="","",IF(K418&lt;33.0,0,IF(K418&gt;=100*0.8,5,IF(K418&gt;=100*0.7,4,IF(K418&gt;=100*0.6,3.5,IF(K418&gt;=100*0.5,3,IF(K418&gt;=100*0.4,2,IF(K418&gt;=100*0.33,1,0))))))))</f>
        <v/>
      </c>
      <c r="AD418">
        <f>IF(B418="","",IF(L418&lt;33.0,0,IF(L418&gt;=100*0.8,5,IF(L418&gt;=100*0.7,4,IF(L418&gt;=100*0.6,3.5,IF(L418&gt;=100*0.5,3,IF(L418&gt;=100*0.4,2,IF(L418&gt;=100*0.33,1,0))))))))</f>
        <v/>
      </c>
      <c r="AE418">
        <f>IF(B418="","",IF(M418&lt;33.0,0,IF(M418&gt;=100*0.8,5,IF(M418&gt;=100*0.7,4,IF(M418&gt;=100*0.6,3.5,IF(M418&gt;=100*0.5,3,IF(M418&gt;=100*0.4,2,IF(M418&gt;=100*0.33,1,0))))))))</f>
        <v/>
      </c>
      <c r="AF418">
        <f>IF(B418="","",IF(N418&lt;16.5,0,IF(N418&gt;=50*0.8,5,IF(N418&gt;=50*0.7,4,IF(N418&gt;=50*0.6,3.5,IF(N418&gt;=50*0.5,3,IF(N418&gt;=50*0.4,2,IF(N418&gt;=50*0.33,1,0))))))))</f>
        <v/>
      </c>
      <c r="AG418">
        <f>IF(B418="","",IF(O418&lt;33.0,0,IF(O418&gt;=100*0.8,5,IF(O418&gt;=100*0.7,4,IF(O418&gt;=100*0.6,3.5,IF(O418&gt;=100*0.5,3,IF(O418&gt;=100*0.4,2,IF(O418&gt;=100*0.33,1,0))))))))</f>
        <v/>
      </c>
      <c r="AH418">
        <f>IF(B418="","",IF(OR(U418=0,V418=0,W418=0,X418=0,Y418=0,Z418=0,AA418=0,AB418=0,AC418=0,AD418=0,AE418=0,AF418=0,AG418=0),1,0))</f>
        <v/>
      </c>
    </row>
    <row r="419">
      <c r="A419" s="3">
        <f>IF(B419="","",ROW()-2)</f>
        <v/>
      </c>
      <c r="P419" s="4">
        <f>IF(B419="","",SUM(C419:O419))</f>
        <v/>
      </c>
      <c r="Q419" s="5">
        <f>IF(B419="","",ROUND(P419/13,2))</f>
        <v/>
      </c>
      <c r="R419" s="5">
        <f>IF(B419="","",IF(AH419=1,0,MIN(5,ROUND((U419+V419+W419+X419+Y419+Z419+AA419+AB419+AC419+AD419+AE419+AF419+AG419)/13,2))))</f>
        <v/>
      </c>
      <c r="S419" s="3">
        <f>IF(B419="","",IF(R419&gt;=5,"A+",IF(R419&gt;=4,"A",IF(R419&gt;=3.5,"A-",IF(R419&gt;=3,"B",IF(R419&gt;=2,"C",IF(R419&gt;=1,"D","F")))))))</f>
        <v/>
      </c>
      <c r="T419" s="3">
        <f>IF(OR(B419="",S419="F"),"",COUNTIFS(P:P,"&gt;"&amp;P419,S:S,"&lt;&gt;F")+1)</f>
        <v/>
      </c>
      <c r="U419">
        <f>IF(B419="","",IF(C419&lt;33.0,0,IF(C419&gt;=100*0.8,5,IF(C419&gt;=100*0.7,4,IF(C419&gt;=100*0.6,3.5,IF(C419&gt;=100*0.5,3,IF(C419&gt;=100*0.4,2,IF(C419&gt;=100*0.33,1,0))))))))</f>
        <v/>
      </c>
      <c r="V419">
        <f>IF(B419="","",IF(D419&lt;33.0,0,IF(D419&gt;=100*0.8,5,IF(D419&gt;=100*0.7,4,IF(D419&gt;=100*0.6,3.5,IF(D419&gt;=100*0.5,3,IF(D419&gt;=100*0.4,2,IF(D419&gt;=100*0.33,1,0))))))))</f>
        <v/>
      </c>
      <c r="W419">
        <f>IF(B419="","",IF(E419&lt;16.5,0,IF(E419&gt;=50*0.8,5,IF(E419&gt;=50*0.7,4,IF(E419&gt;=50*0.6,3.5,IF(E419&gt;=50*0.5,3,IF(E419&gt;=50*0.4,2,IF(E419&gt;=50*0.33,1,0))))))))</f>
        <v/>
      </c>
      <c r="X419">
        <f>IF(B419="","",IF(F419&lt;33.0,0,IF(F419&gt;=100*0.8,5,IF(F419&gt;=100*0.7,4,IF(F419&gt;=100*0.6,3.5,IF(F419&gt;=100*0.5,3,IF(F419&gt;=100*0.4,2,IF(F419&gt;=100*0.33,1,0))))))))</f>
        <v/>
      </c>
      <c r="Y419">
        <f>IF(B419="","",IF(G419&lt;16.5,0,IF(G419&gt;=50*0.8,5,IF(G419&gt;=50*0.7,4,IF(G419&gt;=50*0.6,3.5,IF(G419&gt;=50*0.5,3,IF(G419&gt;=50*0.4,2,IF(G419&gt;=50*0.33,1,0))))))))</f>
        <v/>
      </c>
      <c r="Z419">
        <f>IF(B419="","",IF(H419&lt;33.0,0,IF(H419&gt;=100*0.8,5,IF(H419&gt;=100*0.7,4,IF(H419&gt;=100*0.6,3.5,IF(H419&gt;=100*0.5,3,IF(H419&gt;=100*0.4,2,IF(H419&gt;=100*0.33,1,0))))))))</f>
        <v/>
      </c>
      <c r="AA419">
        <f>IF(B419="","",IF(I419&lt;33.0,0,IF(I419&gt;=100*0.8,5,IF(I419&gt;=100*0.7,4,IF(I419&gt;=100*0.6,3.5,IF(I419&gt;=100*0.5,3,IF(I419&gt;=100*0.4,2,IF(I419&gt;=100*0.33,1,0))))))))</f>
        <v/>
      </c>
      <c r="AB419">
        <f>IF(B419="","",IF(J419&lt;33.0,0,IF(J419&gt;=100*0.8,5,IF(J419&gt;=100*0.7,4,IF(J419&gt;=100*0.6,3.5,IF(J419&gt;=100*0.5,3,IF(J419&gt;=100*0.4,2,IF(J419&gt;=100*0.33,1,0))))))))</f>
        <v/>
      </c>
      <c r="AC419">
        <f>IF(B419="","",IF(K419&lt;33.0,0,IF(K419&gt;=100*0.8,5,IF(K419&gt;=100*0.7,4,IF(K419&gt;=100*0.6,3.5,IF(K419&gt;=100*0.5,3,IF(K419&gt;=100*0.4,2,IF(K419&gt;=100*0.33,1,0))))))))</f>
        <v/>
      </c>
      <c r="AD419">
        <f>IF(B419="","",IF(L419&lt;33.0,0,IF(L419&gt;=100*0.8,5,IF(L419&gt;=100*0.7,4,IF(L419&gt;=100*0.6,3.5,IF(L419&gt;=100*0.5,3,IF(L419&gt;=100*0.4,2,IF(L419&gt;=100*0.33,1,0))))))))</f>
        <v/>
      </c>
      <c r="AE419">
        <f>IF(B419="","",IF(M419&lt;33.0,0,IF(M419&gt;=100*0.8,5,IF(M419&gt;=100*0.7,4,IF(M419&gt;=100*0.6,3.5,IF(M419&gt;=100*0.5,3,IF(M419&gt;=100*0.4,2,IF(M419&gt;=100*0.33,1,0))))))))</f>
        <v/>
      </c>
      <c r="AF419">
        <f>IF(B419="","",IF(N419&lt;16.5,0,IF(N419&gt;=50*0.8,5,IF(N419&gt;=50*0.7,4,IF(N419&gt;=50*0.6,3.5,IF(N419&gt;=50*0.5,3,IF(N419&gt;=50*0.4,2,IF(N419&gt;=50*0.33,1,0))))))))</f>
        <v/>
      </c>
      <c r="AG419">
        <f>IF(B419="","",IF(O419&lt;33.0,0,IF(O419&gt;=100*0.8,5,IF(O419&gt;=100*0.7,4,IF(O419&gt;=100*0.6,3.5,IF(O419&gt;=100*0.5,3,IF(O419&gt;=100*0.4,2,IF(O419&gt;=100*0.33,1,0))))))))</f>
        <v/>
      </c>
      <c r="AH419">
        <f>IF(B419="","",IF(OR(U419=0,V419=0,W419=0,X419=0,Y419=0,Z419=0,AA419=0,AB419=0,AC419=0,AD419=0,AE419=0,AF419=0,AG419=0),1,0))</f>
        <v/>
      </c>
    </row>
    <row r="420">
      <c r="A420" s="3">
        <f>IF(B420="","",ROW()-2)</f>
        <v/>
      </c>
      <c r="P420" s="4">
        <f>IF(B420="","",SUM(C420:O420))</f>
        <v/>
      </c>
      <c r="Q420" s="5">
        <f>IF(B420="","",ROUND(P420/13,2))</f>
        <v/>
      </c>
      <c r="R420" s="5">
        <f>IF(B420="","",IF(AH420=1,0,MIN(5,ROUND((U420+V420+W420+X420+Y420+Z420+AA420+AB420+AC420+AD420+AE420+AF420+AG420)/13,2))))</f>
        <v/>
      </c>
      <c r="S420" s="3">
        <f>IF(B420="","",IF(R420&gt;=5,"A+",IF(R420&gt;=4,"A",IF(R420&gt;=3.5,"A-",IF(R420&gt;=3,"B",IF(R420&gt;=2,"C",IF(R420&gt;=1,"D","F")))))))</f>
        <v/>
      </c>
      <c r="T420" s="3">
        <f>IF(OR(B420="",S420="F"),"",COUNTIFS(P:P,"&gt;"&amp;P420,S:S,"&lt;&gt;F")+1)</f>
        <v/>
      </c>
      <c r="U420">
        <f>IF(B420="","",IF(C420&lt;33.0,0,IF(C420&gt;=100*0.8,5,IF(C420&gt;=100*0.7,4,IF(C420&gt;=100*0.6,3.5,IF(C420&gt;=100*0.5,3,IF(C420&gt;=100*0.4,2,IF(C420&gt;=100*0.33,1,0))))))))</f>
        <v/>
      </c>
      <c r="V420">
        <f>IF(B420="","",IF(D420&lt;33.0,0,IF(D420&gt;=100*0.8,5,IF(D420&gt;=100*0.7,4,IF(D420&gt;=100*0.6,3.5,IF(D420&gt;=100*0.5,3,IF(D420&gt;=100*0.4,2,IF(D420&gt;=100*0.33,1,0))))))))</f>
        <v/>
      </c>
      <c r="W420">
        <f>IF(B420="","",IF(E420&lt;16.5,0,IF(E420&gt;=50*0.8,5,IF(E420&gt;=50*0.7,4,IF(E420&gt;=50*0.6,3.5,IF(E420&gt;=50*0.5,3,IF(E420&gt;=50*0.4,2,IF(E420&gt;=50*0.33,1,0))))))))</f>
        <v/>
      </c>
      <c r="X420">
        <f>IF(B420="","",IF(F420&lt;33.0,0,IF(F420&gt;=100*0.8,5,IF(F420&gt;=100*0.7,4,IF(F420&gt;=100*0.6,3.5,IF(F420&gt;=100*0.5,3,IF(F420&gt;=100*0.4,2,IF(F420&gt;=100*0.33,1,0))))))))</f>
        <v/>
      </c>
      <c r="Y420">
        <f>IF(B420="","",IF(G420&lt;16.5,0,IF(G420&gt;=50*0.8,5,IF(G420&gt;=50*0.7,4,IF(G420&gt;=50*0.6,3.5,IF(G420&gt;=50*0.5,3,IF(G420&gt;=50*0.4,2,IF(G420&gt;=50*0.33,1,0))))))))</f>
        <v/>
      </c>
      <c r="Z420">
        <f>IF(B420="","",IF(H420&lt;33.0,0,IF(H420&gt;=100*0.8,5,IF(H420&gt;=100*0.7,4,IF(H420&gt;=100*0.6,3.5,IF(H420&gt;=100*0.5,3,IF(H420&gt;=100*0.4,2,IF(H420&gt;=100*0.33,1,0))))))))</f>
        <v/>
      </c>
      <c r="AA420">
        <f>IF(B420="","",IF(I420&lt;33.0,0,IF(I420&gt;=100*0.8,5,IF(I420&gt;=100*0.7,4,IF(I420&gt;=100*0.6,3.5,IF(I420&gt;=100*0.5,3,IF(I420&gt;=100*0.4,2,IF(I420&gt;=100*0.33,1,0))))))))</f>
        <v/>
      </c>
      <c r="AB420">
        <f>IF(B420="","",IF(J420&lt;33.0,0,IF(J420&gt;=100*0.8,5,IF(J420&gt;=100*0.7,4,IF(J420&gt;=100*0.6,3.5,IF(J420&gt;=100*0.5,3,IF(J420&gt;=100*0.4,2,IF(J420&gt;=100*0.33,1,0))))))))</f>
        <v/>
      </c>
      <c r="AC420">
        <f>IF(B420="","",IF(K420&lt;33.0,0,IF(K420&gt;=100*0.8,5,IF(K420&gt;=100*0.7,4,IF(K420&gt;=100*0.6,3.5,IF(K420&gt;=100*0.5,3,IF(K420&gt;=100*0.4,2,IF(K420&gt;=100*0.33,1,0))))))))</f>
        <v/>
      </c>
      <c r="AD420">
        <f>IF(B420="","",IF(L420&lt;33.0,0,IF(L420&gt;=100*0.8,5,IF(L420&gt;=100*0.7,4,IF(L420&gt;=100*0.6,3.5,IF(L420&gt;=100*0.5,3,IF(L420&gt;=100*0.4,2,IF(L420&gt;=100*0.33,1,0))))))))</f>
        <v/>
      </c>
      <c r="AE420">
        <f>IF(B420="","",IF(M420&lt;33.0,0,IF(M420&gt;=100*0.8,5,IF(M420&gt;=100*0.7,4,IF(M420&gt;=100*0.6,3.5,IF(M420&gt;=100*0.5,3,IF(M420&gt;=100*0.4,2,IF(M420&gt;=100*0.33,1,0))))))))</f>
        <v/>
      </c>
      <c r="AF420">
        <f>IF(B420="","",IF(N420&lt;16.5,0,IF(N420&gt;=50*0.8,5,IF(N420&gt;=50*0.7,4,IF(N420&gt;=50*0.6,3.5,IF(N420&gt;=50*0.5,3,IF(N420&gt;=50*0.4,2,IF(N420&gt;=50*0.33,1,0))))))))</f>
        <v/>
      </c>
      <c r="AG420">
        <f>IF(B420="","",IF(O420&lt;33.0,0,IF(O420&gt;=100*0.8,5,IF(O420&gt;=100*0.7,4,IF(O420&gt;=100*0.6,3.5,IF(O420&gt;=100*0.5,3,IF(O420&gt;=100*0.4,2,IF(O420&gt;=100*0.33,1,0))))))))</f>
        <v/>
      </c>
      <c r="AH420">
        <f>IF(B420="","",IF(OR(U420=0,V420=0,W420=0,X420=0,Y420=0,Z420=0,AA420=0,AB420=0,AC420=0,AD420=0,AE420=0,AF420=0,AG420=0),1,0))</f>
        <v/>
      </c>
    </row>
    <row r="421">
      <c r="A421" s="3">
        <f>IF(B421="","",ROW()-2)</f>
        <v/>
      </c>
      <c r="P421" s="4">
        <f>IF(B421="","",SUM(C421:O421))</f>
        <v/>
      </c>
      <c r="Q421" s="5">
        <f>IF(B421="","",ROUND(P421/13,2))</f>
        <v/>
      </c>
      <c r="R421" s="5">
        <f>IF(B421="","",IF(AH421=1,0,MIN(5,ROUND((U421+V421+W421+X421+Y421+Z421+AA421+AB421+AC421+AD421+AE421+AF421+AG421)/13,2))))</f>
        <v/>
      </c>
      <c r="S421" s="3">
        <f>IF(B421="","",IF(R421&gt;=5,"A+",IF(R421&gt;=4,"A",IF(R421&gt;=3.5,"A-",IF(R421&gt;=3,"B",IF(R421&gt;=2,"C",IF(R421&gt;=1,"D","F")))))))</f>
        <v/>
      </c>
      <c r="T421" s="3">
        <f>IF(OR(B421="",S421="F"),"",COUNTIFS(P:P,"&gt;"&amp;P421,S:S,"&lt;&gt;F")+1)</f>
        <v/>
      </c>
      <c r="U421">
        <f>IF(B421="","",IF(C421&lt;33.0,0,IF(C421&gt;=100*0.8,5,IF(C421&gt;=100*0.7,4,IF(C421&gt;=100*0.6,3.5,IF(C421&gt;=100*0.5,3,IF(C421&gt;=100*0.4,2,IF(C421&gt;=100*0.33,1,0))))))))</f>
        <v/>
      </c>
      <c r="V421">
        <f>IF(B421="","",IF(D421&lt;33.0,0,IF(D421&gt;=100*0.8,5,IF(D421&gt;=100*0.7,4,IF(D421&gt;=100*0.6,3.5,IF(D421&gt;=100*0.5,3,IF(D421&gt;=100*0.4,2,IF(D421&gt;=100*0.33,1,0))))))))</f>
        <v/>
      </c>
      <c r="W421">
        <f>IF(B421="","",IF(E421&lt;16.5,0,IF(E421&gt;=50*0.8,5,IF(E421&gt;=50*0.7,4,IF(E421&gt;=50*0.6,3.5,IF(E421&gt;=50*0.5,3,IF(E421&gt;=50*0.4,2,IF(E421&gt;=50*0.33,1,0))))))))</f>
        <v/>
      </c>
      <c r="X421">
        <f>IF(B421="","",IF(F421&lt;33.0,0,IF(F421&gt;=100*0.8,5,IF(F421&gt;=100*0.7,4,IF(F421&gt;=100*0.6,3.5,IF(F421&gt;=100*0.5,3,IF(F421&gt;=100*0.4,2,IF(F421&gt;=100*0.33,1,0))))))))</f>
        <v/>
      </c>
      <c r="Y421">
        <f>IF(B421="","",IF(G421&lt;16.5,0,IF(G421&gt;=50*0.8,5,IF(G421&gt;=50*0.7,4,IF(G421&gt;=50*0.6,3.5,IF(G421&gt;=50*0.5,3,IF(G421&gt;=50*0.4,2,IF(G421&gt;=50*0.33,1,0))))))))</f>
        <v/>
      </c>
      <c r="Z421">
        <f>IF(B421="","",IF(H421&lt;33.0,0,IF(H421&gt;=100*0.8,5,IF(H421&gt;=100*0.7,4,IF(H421&gt;=100*0.6,3.5,IF(H421&gt;=100*0.5,3,IF(H421&gt;=100*0.4,2,IF(H421&gt;=100*0.33,1,0))))))))</f>
        <v/>
      </c>
      <c r="AA421">
        <f>IF(B421="","",IF(I421&lt;33.0,0,IF(I421&gt;=100*0.8,5,IF(I421&gt;=100*0.7,4,IF(I421&gt;=100*0.6,3.5,IF(I421&gt;=100*0.5,3,IF(I421&gt;=100*0.4,2,IF(I421&gt;=100*0.33,1,0))))))))</f>
        <v/>
      </c>
      <c r="AB421">
        <f>IF(B421="","",IF(J421&lt;33.0,0,IF(J421&gt;=100*0.8,5,IF(J421&gt;=100*0.7,4,IF(J421&gt;=100*0.6,3.5,IF(J421&gt;=100*0.5,3,IF(J421&gt;=100*0.4,2,IF(J421&gt;=100*0.33,1,0))))))))</f>
        <v/>
      </c>
      <c r="AC421">
        <f>IF(B421="","",IF(K421&lt;33.0,0,IF(K421&gt;=100*0.8,5,IF(K421&gt;=100*0.7,4,IF(K421&gt;=100*0.6,3.5,IF(K421&gt;=100*0.5,3,IF(K421&gt;=100*0.4,2,IF(K421&gt;=100*0.33,1,0))))))))</f>
        <v/>
      </c>
      <c r="AD421">
        <f>IF(B421="","",IF(L421&lt;33.0,0,IF(L421&gt;=100*0.8,5,IF(L421&gt;=100*0.7,4,IF(L421&gt;=100*0.6,3.5,IF(L421&gt;=100*0.5,3,IF(L421&gt;=100*0.4,2,IF(L421&gt;=100*0.33,1,0))))))))</f>
        <v/>
      </c>
      <c r="AE421">
        <f>IF(B421="","",IF(M421&lt;33.0,0,IF(M421&gt;=100*0.8,5,IF(M421&gt;=100*0.7,4,IF(M421&gt;=100*0.6,3.5,IF(M421&gt;=100*0.5,3,IF(M421&gt;=100*0.4,2,IF(M421&gt;=100*0.33,1,0))))))))</f>
        <v/>
      </c>
      <c r="AF421">
        <f>IF(B421="","",IF(N421&lt;16.5,0,IF(N421&gt;=50*0.8,5,IF(N421&gt;=50*0.7,4,IF(N421&gt;=50*0.6,3.5,IF(N421&gt;=50*0.5,3,IF(N421&gt;=50*0.4,2,IF(N421&gt;=50*0.33,1,0))))))))</f>
        <v/>
      </c>
      <c r="AG421">
        <f>IF(B421="","",IF(O421&lt;33.0,0,IF(O421&gt;=100*0.8,5,IF(O421&gt;=100*0.7,4,IF(O421&gt;=100*0.6,3.5,IF(O421&gt;=100*0.5,3,IF(O421&gt;=100*0.4,2,IF(O421&gt;=100*0.33,1,0))))))))</f>
        <v/>
      </c>
      <c r="AH421">
        <f>IF(B421="","",IF(OR(U421=0,V421=0,W421=0,X421=0,Y421=0,Z421=0,AA421=0,AB421=0,AC421=0,AD421=0,AE421=0,AF421=0,AG421=0),1,0))</f>
        <v/>
      </c>
    </row>
    <row r="422">
      <c r="A422" s="3">
        <f>IF(B422="","",ROW()-2)</f>
        <v/>
      </c>
      <c r="P422" s="4">
        <f>IF(B422="","",SUM(C422:O422))</f>
        <v/>
      </c>
      <c r="Q422" s="5">
        <f>IF(B422="","",ROUND(P422/13,2))</f>
        <v/>
      </c>
      <c r="R422" s="5">
        <f>IF(B422="","",IF(AH422=1,0,MIN(5,ROUND((U422+V422+W422+X422+Y422+Z422+AA422+AB422+AC422+AD422+AE422+AF422+AG422)/13,2))))</f>
        <v/>
      </c>
      <c r="S422" s="3">
        <f>IF(B422="","",IF(R422&gt;=5,"A+",IF(R422&gt;=4,"A",IF(R422&gt;=3.5,"A-",IF(R422&gt;=3,"B",IF(R422&gt;=2,"C",IF(R422&gt;=1,"D","F")))))))</f>
        <v/>
      </c>
      <c r="T422" s="3">
        <f>IF(OR(B422="",S422="F"),"",COUNTIFS(P:P,"&gt;"&amp;P422,S:S,"&lt;&gt;F")+1)</f>
        <v/>
      </c>
      <c r="U422">
        <f>IF(B422="","",IF(C422&lt;33.0,0,IF(C422&gt;=100*0.8,5,IF(C422&gt;=100*0.7,4,IF(C422&gt;=100*0.6,3.5,IF(C422&gt;=100*0.5,3,IF(C422&gt;=100*0.4,2,IF(C422&gt;=100*0.33,1,0))))))))</f>
        <v/>
      </c>
      <c r="V422">
        <f>IF(B422="","",IF(D422&lt;33.0,0,IF(D422&gt;=100*0.8,5,IF(D422&gt;=100*0.7,4,IF(D422&gt;=100*0.6,3.5,IF(D422&gt;=100*0.5,3,IF(D422&gt;=100*0.4,2,IF(D422&gt;=100*0.33,1,0))))))))</f>
        <v/>
      </c>
      <c r="W422">
        <f>IF(B422="","",IF(E422&lt;16.5,0,IF(E422&gt;=50*0.8,5,IF(E422&gt;=50*0.7,4,IF(E422&gt;=50*0.6,3.5,IF(E422&gt;=50*0.5,3,IF(E422&gt;=50*0.4,2,IF(E422&gt;=50*0.33,1,0))))))))</f>
        <v/>
      </c>
      <c r="X422">
        <f>IF(B422="","",IF(F422&lt;33.0,0,IF(F422&gt;=100*0.8,5,IF(F422&gt;=100*0.7,4,IF(F422&gt;=100*0.6,3.5,IF(F422&gt;=100*0.5,3,IF(F422&gt;=100*0.4,2,IF(F422&gt;=100*0.33,1,0))))))))</f>
        <v/>
      </c>
      <c r="Y422">
        <f>IF(B422="","",IF(G422&lt;16.5,0,IF(G422&gt;=50*0.8,5,IF(G422&gt;=50*0.7,4,IF(G422&gt;=50*0.6,3.5,IF(G422&gt;=50*0.5,3,IF(G422&gt;=50*0.4,2,IF(G422&gt;=50*0.33,1,0))))))))</f>
        <v/>
      </c>
      <c r="Z422">
        <f>IF(B422="","",IF(H422&lt;33.0,0,IF(H422&gt;=100*0.8,5,IF(H422&gt;=100*0.7,4,IF(H422&gt;=100*0.6,3.5,IF(H422&gt;=100*0.5,3,IF(H422&gt;=100*0.4,2,IF(H422&gt;=100*0.33,1,0))))))))</f>
        <v/>
      </c>
      <c r="AA422">
        <f>IF(B422="","",IF(I422&lt;33.0,0,IF(I422&gt;=100*0.8,5,IF(I422&gt;=100*0.7,4,IF(I422&gt;=100*0.6,3.5,IF(I422&gt;=100*0.5,3,IF(I422&gt;=100*0.4,2,IF(I422&gt;=100*0.33,1,0))))))))</f>
        <v/>
      </c>
      <c r="AB422">
        <f>IF(B422="","",IF(J422&lt;33.0,0,IF(J422&gt;=100*0.8,5,IF(J422&gt;=100*0.7,4,IF(J422&gt;=100*0.6,3.5,IF(J422&gt;=100*0.5,3,IF(J422&gt;=100*0.4,2,IF(J422&gt;=100*0.33,1,0))))))))</f>
        <v/>
      </c>
      <c r="AC422">
        <f>IF(B422="","",IF(K422&lt;33.0,0,IF(K422&gt;=100*0.8,5,IF(K422&gt;=100*0.7,4,IF(K422&gt;=100*0.6,3.5,IF(K422&gt;=100*0.5,3,IF(K422&gt;=100*0.4,2,IF(K422&gt;=100*0.33,1,0))))))))</f>
        <v/>
      </c>
      <c r="AD422">
        <f>IF(B422="","",IF(L422&lt;33.0,0,IF(L422&gt;=100*0.8,5,IF(L422&gt;=100*0.7,4,IF(L422&gt;=100*0.6,3.5,IF(L422&gt;=100*0.5,3,IF(L422&gt;=100*0.4,2,IF(L422&gt;=100*0.33,1,0))))))))</f>
        <v/>
      </c>
      <c r="AE422">
        <f>IF(B422="","",IF(M422&lt;33.0,0,IF(M422&gt;=100*0.8,5,IF(M422&gt;=100*0.7,4,IF(M422&gt;=100*0.6,3.5,IF(M422&gt;=100*0.5,3,IF(M422&gt;=100*0.4,2,IF(M422&gt;=100*0.33,1,0))))))))</f>
        <v/>
      </c>
      <c r="AF422">
        <f>IF(B422="","",IF(N422&lt;16.5,0,IF(N422&gt;=50*0.8,5,IF(N422&gt;=50*0.7,4,IF(N422&gt;=50*0.6,3.5,IF(N422&gt;=50*0.5,3,IF(N422&gt;=50*0.4,2,IF(N422&gt;=50*0.33,1,0))))))))</f>
        <v/>
      </c>
      <c r="AG422">
        <f>IF(B422="","",IF(O422&lt;33.0,0,IF(O422&gt;=100*0.8,5,IF(O422&gt;=100*0.7,4,IF(O422&gt;=100*0.6,3.5,IF(O422&gt;=100*0.5,3,IF(O422&gt;=100*0.4,2,IF(O422&gt;=100*0.33,1,0))))))))</f>
        <v/>
      </c>
      <c r="AH422">
        <f>IF(B422="","",IF(OR(U422=0,V422=0,W422=0,X422=0,Y422=0,Z422=0,AA422=0,AB422=0,AC422=0,AD422=0,AE422=0,AF422=0,AG422=0),1,0))</f>
        <v/>
      </c>
    </row>
    <row r="423">
      <c r="A423" s="3">
        <f>IF(B423="","",ROW()-2)</f>
        <v/>
      </c>
      <c r="P423" s="4">
        <f>IF(B423="","",SUM(C423:O423))</f>
        <v/>
      </c>
      <c r="Q423" s="5">
        <f>IF(B423="","",ROUND(P423/13,2))</f>
        <v/>
      </c>
      <c r="R423" s="5">
        <f>IF(B423="","",IF(AH423=1,0,MIN(5,ROUND((U423+V423+W423+X423+Y423+Z423+AA423+AB423+AC423+AD423+AE423+AF423+AG423)/13,2))))</f>
        <v/>
      </c>
      <c r="S423" s="3">
        <f>IF(B423="","",IF(R423&gt;=5,"A+",IF(R423&gt;=4,"A",IF(R423&gt;=3.5,"A-",IF(R423&gt;=3,"B",IF(R423&gt;=2,"C",IF(R423&gt;=1,"D","F")))))))</f>
        <v/>
      </c>
      <c r="T423" s="3">
        <f>IF(OR(B423="",S423="F"),"",COUNTIFS(P:P,"&gt;"&amp;P423,S:S,"&lt;&gt;F")+1)</f>
        <v/>
      </c>
      <c r="U423">
        <f>IF(B423="","",IF(C423&lt;33.0,0,IF(C423&gt;=100*0.8,5,IF(C423&gt;=100*0.7,4,IF(C423&gt;=100*0.6,3.5,IF(C423&gt;=100*0.5,3,IF(C423&gt;=100*0.4,2,IF(C423&gt;=100*0.33,1,0))))))))</f>
        <v/>
      </c>
      <c r="V423">
        <f>IF(B423="","",IF(D423&lt;33.0,0,IF(D423&gt;=100*0.8,5,IF(D423&gt;=100*0.7,4,IF(D423&gt;=100*0.6,3.5,IF(D423&gt;=100*0.5,3,IF(D423&gt;=100*0.4,2,IF(D423&gt;=100*0.33,1,0))))))))</f>
        <v/>
      </c>
      <c r="W423">
        <f>IF(B423="","",IF(E423&lt;16.5,0,IF(E423&gt;=50*0.8,5,IF(E423&gt;=50*0.7,4,IF(E423&gt;=50*0.6,3.5,IF(E423&gt;=50*0.5,3,IF(E423&gt;=50*0.4,2,IF(E423&gt;=50*0.33,1,0))))))))</f>
        <v/>
      </c>
      <c r="X423">
        <f>IF(B423="","",IF(F423&lt;33.0,0,IF(F423&gt;=100*0.8,5,IF(F423&gt;=100*0.7,4,IF(F423&gt;=100*0.6,3.5,IF(F423&gt;=100*0.5,3,IF(F423&gt;=100*0.4,2,IF(F423&gt;=100*0.33,1,0))))))))</f>
        <v/>
      </c>
      <c r="Y423">
        <f>IF(B423="","",IF(G423&lt;16.5,0,IF(G423&gt;=50*0.8,5,IF(G423&gt;=50*0.7,4,IF(G423&gt;=50*0.6,3.5,IF(G423&gt;=50*0.5,3,IF(G423&gt;=50*0.4,2,IF(G423&gt;=50*0.33,1,0))))))))</f>
        <v/>
      </c>
      <c r="Z423">
        <f>IF(B423="","",IF(H423&lt;33.0,0,IF(H423&gt;=100*0.8,5,IF(H423&gt;=100*0.7,4,IF(H423&gt;=100*0.6,3.5,IF(H423&gt;=100*0.5,3,IF(H423&gt;=100*0.4,2,IF(H423&gt;=100*0.33,1,0))))))))</f>
        <v/>
      </c>
      <c r="AA423">
        <f>IF(B423="","",IF(I423&lt;33.0,0,IF(I423&gt;=100*0.8,5,IF(I423&gt;=100*0.7,4,IF(I423&gt;=100*0.6,3.5,IF(I423&gt;=100*0.5,3,IF(I423&gt;=100*0.4,2,IF(I423&gt;=100*0.33,1,0))))))))</f>
        <v/>
      </c>
      <c r="AB423">
        <f>IF(B423="","",IF(J423&lt;33.0,0,IF(J423&gt;=100*0.8,5,IF(J423&gt;=100*0.7,4,IF(J423&gt;=100*0.6,3.5,IF(J423&gt;=100*0.5,3,IF(J423&gt;=100*0.4,2,IF(J423&gt;=100*0.33,1,0))))))))</f>
        <v/>
      </c>
      <c r="AC423">
        <f>IF(B423="","",IF(K423&lt;33.0,0,IF(K423&gt;=100*0.8,5,IF(K423&gt;=100*0.7,4,IF(K423&gt;=100*0.6,3.5,IF(K423&gt;=100*0.5,3,IF(K423&gt;=100*0.4,2,IF(K423&gt;=100*0.33,1,0))))))))</f>
        <v/>
      </c>
      <c r="AD423">
        <f>IF(B423="","",IF(L423&lt;33.0,0,IF(L423&gt;=100*0.8,5,IF(L423&gt;=100*0.7,4,IF(L423&gt;=100*0.6,3.5,IF(L423&gt;=100*0.5,3,IF(L423&gt;=100*0.4,2,IF(L423&gt;=100*0.33,1,0))))))))</f>
        <v/>
      </c>
      <c r="AE423">
        <f>IF(B423="","",IF(M423&lt;33.0,0,IF(M423&gt;=100*0.8,5,IF(M423&gt;=100*0.7,4,IF(M423&gt;=100*0.6,3.5,IF(M423&gt;=100*0.5,3,IF(M423&gt;=100*0.4,2,IF(M423&gt;=100*0.33,1,0))))))))</f>
        <v/>
      </c>
      <c r="AF423">
        <f>IF(B423="","",IF(N423&lt;16.5,0,IF(N423&gt;=50*0.8,5,IF(N423&gt;=50*0.7,4,IF(N423&gt;=50*0.6,3.5,IF(N423&gt;=50*0.5,3,IF(N423&gt;=50*0.4,2,IF(N423&gt;=50*0.33,1,0))))))))</f>
        <v/>
      </c>
      <c r="AG423">
        <f>IF(B423="","",IF(O423&lt;33.0,0,IF(O423&gt;=100*0.8,5,IF(O423&gt;=100*0.7,4,IF(O423&gt;=100*0.6,3.5,IF(O423&gt;=100*0.5,3,IF(O423&gt;=100*0.4,2,IF(O423&gt;=100*0.33,1,0))))))))</f>
        <v/>
      </c>
      <c r="AH423">
        <f>IF(B423="","",IF(OR(U423=0,V423=0,W423=0,X423=0,Y423=0,Z423=0,AA423=0,AB423=0,AC423=0,AD423=0,AE423=0,AF423=0,AG423=0),1,0))</f>
        <v/>
      </c>
    </row>
    <row r="424">
      <c r="A424" s="3">
        <f>IF(B424="","",ROW()-2)</f>
        <v/>
      </c>
      <c r="P424" s="4">
        <f>IF(B424="","",SUM(C424:O424))</f>
        <v/>
      </c>
      <c r="Q424" s="5">
        <f>IF(B424="","",ROUND(P424/13,2))</f>
        <v/>
      </c>
      <c r="R424" s="5">
        <f>IF(B424="","",IF(AH424=1,0,MIN(5,ROUND((U424+V424+W424+X424+Y424+Z424+AA424+AB424+AC424+AD424+AE424+AF424+AG424)/13,2))))</f>
        <v/>
      </c>
      <c r="S424" s="3">
        <f>IF(B424="","",IF(R424&gt;=5,"A+",IF(R424&gt;=4,"A",IF(R424&gt;=3.5,"A-",IF(R424&gt;=3,"B",IF(R424&gt;=2,"C",IF(R424&gt;=1,"D","F")))))))</f>
        <v/>
      </c>
      <c r="T424" s="3">
        <f>IF(OR(B424="",S424="F"),"",COUNTIFS(P:P,"&gt;"&amp;P424,S:S,"&lt;&gt;F")+1)</f>
        <v/>
      </c>
      <c r="U424">
        <f>IF(B424="","",IF(C424&lt;33.0,0,IF(C424&gt;=100*0.8,5,IF(C424&gt;=100*0.7,4,IF(C424&gt;=100*0.6,3.5,IF(C424&gt;=100*0.5,3,IF(C424&gt;=100*0.4,2,IF(C424&gt;=100*0.33,1,0))))))))</f>
        <v/>
      </c>
      <c r="V424">
        <f>IF(B424="","",IF(D424&lt;33.0,0,IF(D424&gt;=100*0.8,5,IF(D424&gt;=100*0.7,4,IF(D424&gt;=100*0.6,3.5,IF(D424&gt;=100*0.5,3,IF(D424&gt;=100*0.4,2,IF(D424&gt;=100*0.33,1,0))))))))</f>
        <v/>
      </c>
      <c r="W424">
        <f>IF(B424="","",IF(E424&lt;16.5,0,IF(E424&gt;=50*0.8,5,IF(E424&gt;=50*0.7,4,IF(E424&gt;=50*0.6,3.5,IF(E424&gt;=50*0.5,3,IF(E424&gt;=50*0.4,2,IF(E424&gt;=50*0.33,1,0))))))))</f>
        <v/>
      </c>
      <c r="X424">
        <f>IF(B424="","",IF(F424&lt;33.0,0,IF(F424&gt;=100*0.8,5,IF(F424&gt;=100*0.7,4,IF(F424&gt;=100*0.6,3.5,IF(F424&gt;=100*0.5,3,IF(F424&gt;=100*0.4,2,IF(F424&gt;=100*0.33,1,0))))))))</f>
        <v/>
      </c>
      <c r="Y424">
        <f>IF(B424="","",IF(G424&lt;16.5,0,IF(G424&gt;=50*0.8,5,IF(G424&gt;=50*0.7,4,IF(G424&gt;=50*0.6,3.5,IF(G424&gt;=50*0.5,3,IF(G424&gt;=50*0.4,2,IF(G424&gt;=50*0.33,1,0))))))))</f>
        <v/>
      </c>
      <c r="Z424">
        <f>IF(B424="","",IF(H424&lt;33.0,0,IF(H424&gt;=100*0.8,5,IF(H424&gt;=100*0.7,4,IF(H424&gt;=100*0.6,3.5,IF(H424&gt;=100*0.5,3,IF(H424&gt;=100*0.4,2,IF(H424&gt;=100*0.33,1,0))))))))</f>
        <v/>
      </c>
      <c r="AA424">
        <f>IF(B424="","",IF(I424&lt;33.0,0,IF(I424&gt;=100*0.8,5,IF(I424&gt;=100*0.7,4,IF(I424&gt;=100*0.6,3.5,IF(I424&gt;=100*0.5,3,IF(I424&gt;=100*0.4,2,IF(I424&gt;=100*0.33,1,0))))))))</f>
        <v/>
      </c>
      <c r="AB424">
        <f>IF(B424="","",IF(J424&lt;33.0,0,IF(J424&gt;=100*0.8,5,IF(J424&gt;=100*0.7,4,IF(J424&gt;=100*0.6,3.5,IF(J424&gt;=100*0.5,3,IF(J424&gt;=100*0.4,2,IF(J424&gt;=100*0.33,1,0))))))))</f>
        <v/>
      </c>
      <c r="AC424">
        <f>IF(B424="","",IF(K424&lt;33.0,0,IF(K424&gt;=100*0.8,5,IF(K424&gt;=100*0.7,4,IF(K424&gt;=100*0.6,3.5,IF(K424&gt;=100*0.5,3,IF(K424&gt;=100*0.4,2,IF(K424&gt;=100*0.33,1,0))))))))</f>
        <v/>
      </c>
      <c r="AD424">
        <f>IF(B424="","",IF(L424&lt;33.0,0,IF(L424&gt;=100*0.8,5,IF(L424&gt;=100*0.7,4,IF(L424&gt;=100*0.6,3.5,IF(L424&gt;=100*0.5,3,IF(L424&gt;=100*0.4,2,IF(L424&gt;=100*0.33,1,0))))))))</f>
        <v/>
      </c>
      <c r="AE424">
        <f>IF(B424="","",IF(M424&lt;33.0,0,IF(M424&gt;=100*0.8,5,IF(M424&gt;=100*0.7,4,IF(M424&gt;=100*0.6,3.5,IF(M424&gt;=100*0.5,3,IF(M424&gt;=100*0.4,2,IF(M424&gt;=100*0.33,1,0))))))))</f>
        <v/>
      </c>
      <c r="AF424">
        <f>IF(B424="","",IF(N424&lt;16.5,0,IF(N424&gt;=50*0.8,5,IF(N424&gt;=50*0.7,4,IF(N424&gt;=50*0.6,3.5,IF(N424&gt;=50*0.5,3,IF(N424&gt;=50*0.4,2,IF(N424&gt;=50*0.33,1,0))))))))</f>
        <v/>
      </c>
      <c r="AG424">
        <f>IF(B424="","",IF(O424&lt;33.0,0,IF(O424&gt;=100*0.8,5,IF(O424&gt;=100*0.7,4,IF(O424&gt;=100*0.6,3.5,IF(O424&gt;=100*0.5,3,IF(O424&gt;=100*0.4,2,IF(O424&gt;=100*0.33,1,0))))))))</f>
        <v/>
      </c>
      <c r="AH424">
        <f>IF(B424="","",IF(OR(U424=0,V424=0,W424=0,X424=0,Y424=0,Z424=0,AA424=0,AB424=0,AC424=0,AD424=0,AE424=0,AF424=0,AG424=0),1,0))</f>
        <v/>
      </c>
    </row>
    <row r="425">
      <c r="A425" s="3">
        <f>IF(B425="","",ROW()-2)</f>
        <v/>
      </c>
      <c r="P425" s="4">
        <f>IF(B425="","",SUM(C425:O425))</f>
        <v/>
      </c>
      <c r="Q425" s="5">
        <f>IF(B425="","",ROUND(P425/13,2))</f>
        <v/>
      </c>
      <c r="R425" s="5">
        <f>IF(B425="","",IF(AH425=1,0,MIN(5,ROUND((U425+V425+W425+X425+Y425+Z425+AA425+AB425+AC425+AD425+AE425+AF425+AG425)/13,2))))</f>
        <v/>
      </c>
      <c r="S425" s="3">
        <f>IF(B425="","",IF(R425&gt;=5,"A+",IF(R425&gt;=4,"A",IF(R425&gt;=3.5,"A-",IF(R425&gt;=3,"B",IF(R425&gt;=2,"C",IF(R425&gt;=1,"D","F")))))))</f>
        <v/>
      </c>
      <c r="T425" s="3">
        <f>IF(OR(B425="",S425="F"),"",COUNTIFS(P:P,"&gt;"&amp;P425,S:S,"&lt;&gt;F")+1)</f>
        <v/>
      </c>
      <c r="U425">
        <f>IF(B425="","",IF(C425&lt;33.0,0,IF(C425&gt;=100*0.8,5,IF(C425&gt;=100*0.7,4,IF(C425&gt;=100*0.6,3.5,IF(C425&gt;=100*0.5,3,IF(C425&gt;=100*0.4,2,IF(C425&gt;=100*0.33,1,0))))))))</f>
        <v/>
      </c>
      <c r="V425">
        <f>IF(B425="","",IF(D425&lt;33.0,0,IF(D425&gt;=100*0.8,5,IF(D425&gt;=100*0.7,4,IF(D425&gt;=100*0.6,3.5,IF(D425&gt;=100*0.5,3,IF(D425&gt;=100*0.4,2,IF(D425&gt;=100*0.33,1,0))))))))</f>
        <v/>
      </c>
      <c r="W425">
        <f>IF(B425="","",IF(E425&lt;16.5,0,IF(E425&gt;=50*0.8,5,IF(E425&gt;=50*0.7,4,IF(E425&gt;=50*0.6,3.5,IF(E425&gt;=50*0.5,3,IF(E425&gt;=50*0.4,2,IF(E425&gt;=50*0.33,1,0))))))))</f>
        <v/>
      </c>
      <c r="X425">
        <f>IF(B425="","",IF(F425&lt;33.0,0,IF(F425&gt;=100*0.8,5,IF(F425&gt;=100*0.7,4,IF(F425&gt;=100*0.6,3.5,IF(F425&gt;=100*0.5,3,IF(F425&gt;=100*0.4,2,IF(F425&gt;=100*0.33,1,0))))))))</f>
        <v/>
      </c>
      <c r="Y425">
        <f>IF(B425="","",IF(G425&lt;16.5,0,IF(G425&gt;=50*0.8,5,IF(G425&gt;=50*0.7,4,IF(G425&gt;=50*0.6,3.5,IF(G425&gt;=50*0.5,3,IF(G425&gt;=50*0.4,2,IF(G425&gt;=50*0.33,1,0))))))))</f>
        <v/>
      </c>
      <c r="Z425">
        <f>IF(B425="","",IF(H425&lt;33.0,0,IF(H425&gt;=100*0.8,5,IF(H425&gt;=100*0.7,4,IF(H425&gt;=100*0.6,3.5,IF(H425&gt;=100*0.5,3,IF(H425&gt;=100*0.4,2,IF(H425&gt;=100*0.33,1,0))))))))</f>
        <v/>
      </c>
      <c r="AA425">
        <f>IF(B425="","",IF(I425&lt;33.0,0,IF(I425&gt;=100*0.8,5,IF(I425&gt;=100*0.7,4,IF(I425&gt;=100*0.6,3.5,IF(I425&gt;=100*0.5,3,IF(I425&gt;=100*0.4,2,IF(I425&gt;=100*0.33,1,0))))))))</f>
        <v/>
      </c>
      <c r="AB425">
        <f>IF(B425="","",IF(J425&lt;33.0,0,IF(J425&gt;=100*0.8,5,IF(J425&gt;=100*0.7,4,IF(J425&gt;=100*0.6,3.5,IF(J425&gt;=100*0.5,3,IF(J425&gt;=100*0.4,2,IF(J425&gt;=100*0.33,1,0))))))))</f>
        <v/>
      </c>
      <c r="AC425">
        <f>IF(B425="","",IF(K425&lt;33.0,0,IF(K425&gt;=100*0.8,5,IF(K425&gt;=100*0.7,4,IF(K425&gt;=100*0.6,3.5,IF(K425&gt;=100*0.5,3,IF(K425&gt;=100*0.4,2,IF(K425&gt;=100*0.33,1,0))))))))</f>
        <v/>
      </c>
      <c r="AD425">
        <f>IF(B425="","",IF(L425&lt;33.0,0,IF(L425&gt;=100*0.8,5,IF(L425&gt;=100*0.7,4,IF(L425&gt;=100*0.6,3.5,IF(L425&gt;=100*0.5,3,IF(L425&gt;=100*0.4,2,IF(L425&gt;=100*0.33,1,0))))))))</f>
        <v/>
      </c>
      <c r="AE425">
        <f>IF(B425="","",IF(M425&lt;33.0,0,IF(M425&gt;=100*0.8,5,IF(M425&gt;=100*0.7,4,IF(M425&gt;=100*0.6,3.5,IF(M425&gt;=100*0.5,3,IF(M425&gt;=100*0.4,2,IF(M425&gt;=100*0.33,1,0))))))))</f>
        <v/>
      </c>
      <c r="AF425">
        <f>IF(B425="","",IF(N425&lt;16.5,0,IF(N425&gt;=50*0.8,5,IF(N425&gt;=50*0.7,4,IF(N425&gt;=50*0.6,3.5,IF(N425&gt;=50*0.5,3,IF(N425&gt;=50*0.4,2,IF(N425&gt;=50*0.33,1,0))))))))</f>
        <v/>
      </c>
      <c r="AG425">
        <f>IF(B425="","",IF(O425&lt;33.0,0,IF(O425&gt;=100*0.8,5,IF(O425&gt;=100*0.7,4,IF(O425&gt;=100*0.6,3.5,IF(O425&gt;=100*0.5,3,IF(O425&gt;=100*0.4,2,IF(O425&gt;=100*0.33,1,0))))))))</f>
        <v/>
      </c>
      <c r="AH425">
        <f>IF(B425="","",IF(OR(U425=0,V425=0,W425=0,X425=0,Y425=0,Z425=0,AA425=0,AB425=0,AC425=0,AD425=0,AE425=0,AF425=0,AG425=0),1,0))</f>
        <v/>
      </c>
    </row>
    <row r="426">
      <c r="A426" s="3">
        <f>IF(B426="","",ROW()-2)</f>
        <v/>
      </c>
      <c r="P426" s="4">
        <f>IF(B426="","",SUM(C426:O426))</f>
        <v/>
      </c>
      <c r="Q426" s="5">
        <f>IF(B426="","",ROUND(P426/13,2))</f>
        <v/>
      </c>
      <c r="R426" s="5">
        <f>IF(B426="","",IF(AH426=1,0,MIN(5,ROUND((U426+V426+W426+X426+Y426+Z426+AA426+AB426+AC426+AD426+AE426+AF426+AG426)/13,2))))</f>
        <v/>
      </c>
      <c r="S426" s="3">
        <f>IF(B426="","",IF(R426&gt;=5,"A+",IF(R426&gt;=4,"A",IF(R426&gt;=3.5,"A-",IF(R426&gt;=3,"B",IF(R426&gt;=2,"C",IF(R426&gt;=1,"D","F")))))))</f>
        <v/>
      </c>
      <c r="T426" s="3">
        <f>IF(OR(B426="",S426="F"),"",COUNTIFS(P:P,"&gt;"&amp;P426,S:S,"&lt;&gt;F")+1)</f>
        <v/>
      </c>
      <c r="U426">
        <f>IF(B426="","",IF(C426&lt;33.0,0,IF(C426&gt;=100*0.8,5,IF(C426&gt;=100*0.7,4,IF(C426&gt;=100*0.6,3.5,IF(C426&gt;=100*0.5,3,IF(C426&gt;=100*0.4,2,IF(C426&gt;=100*0.33,1,0))))))))</f>
        <v/>
      </c>
      <c r="V426">
        <f>IF(B426="","",IF(D426&lt;33.0,0,IF(D426&gt;=100*0.8,5,IF(D426&gt;=100*0.7,4,IF(D426&gt;=100*0.6,3.5,IF(D426&gt;=100*0.5,3,IF(D426&gt;=100*0.4,2,IF(D426&gt;=100*0.33,1,0))))))))</f>
        <v/>
      </c>
      <c r="W426">
        <f>IF(B426="","",IF(E426&lt;16.5,0,IF(E426&gt;=50*0.8,5,IF(E426&gt;=50*0.7,4,IF(E426&gt;=50*0.6,3.5,IF(E426&gt;=50*0.5,3,IF(E426&gt;=50*0.4,2,IF(E426&gt;=50*0.33,1,0))))))))</f>
        <v/>
      </c>
      <c r="X426">
        <f>IF(B426="","",IF(F426&lt;33.0,0,IF(F426&gt;=100*0.8,5,IF(F426&gt;=100*0.7,4,IF(F426&gt;=100*0.6,3.5,IF(F426&gt;=100*0.5,3,IF(F426&gt;=100*0.4,2,IF(F426&gt;=100*0.33,1,0))))))))</f>
        <v/>
      </c>
      <c r="Y426">
        <f>IF(B426="","",IF(G426&lt;16.5,0,IF(G426&gt;=50*0.8,5,IF(G426&gt;=50*0.7,4,IF(G426&gt;=50*0.6,3.5,IF(G426&gt;=50*0.5,3,IF(G426&gt;=50*0.4,2,IF(G426&gt;=50*0.33,1,0))))))))</f>
        <v/>
      </c>
      <c r="Z426">
        <f>IF(B426="","",IF(H426&lt;33.0,0,IF(H426&gt;=100*0.8,5,IF(H426&gt;=100*0.7,4,IF(H426&gt;=100*0.6,3.5,IF(H426&gt;=100*0.5,3,IF(H426&gt;=100*0.4,2,IF(H426&gt;=100*0.33,1,0))))))))</f>
        <v/>
      </c>
      <c r="AA426">
        <f>IF(B426="","",IF(I426&lt;33.0,0,IF(I426&gt;=100*0.8,5,IF(I426&gt;=100*0.7,4,IF(I426&gt;=100*0.6,3.5,IF(I426&gt;=100*0.5,3,IF(I426&gt;=100*0.4,2,IF(I426&gt;=100*0.33,1,0))))))))</f>
        <v/>
      </c>
      <c r="AB426">
        <f>IF(B426="","",IF(J426&lt;33.0,0,IF(J426&gt;=100*0.8,5,IF(J426&gt;=100*0.7,4,IF(J426&gt;=100*0.6,3.5,IF(J426&gt;=100*0.5,3,IF(J426&gt;=100*0.4,2,IF(J426&gt;=100*0.33,1,0))))))))</f>
        <v/>
      </c>
      <c r="AC426">
        <f>IF(B426="","",IF(K426&lt;33.0,0,IF(K426&gt;=100*0.8,5,IF(K426&gt;=100*0.7,4,IF(K426&gt;=100*0.6,3.5,IF(K426&gt;=100*0.5,3,IF(K426&gt;=100*0.4,2,IF(K426&gt;=100*0.33,1,0))))))))</f>
        <v/>
      </c>
      <c r="AD426">
        <f>IF(B426="","",IF(L426&lt;33.0,0,IF(L426&gt;=100*0.8,5,IF(L426&gt;=100*0.7,4,IF(L426&gt;=100*0.6,3.5,IF(L426&gt;=100*0.5,3,IF(L426&gt;=100*0.4,2,IF(L426&gt;=100*0.33,1,0))))))))</f>
        <v/>
      </c>
      <c r="AE426">
        <f>IF(B426="","",IF(M426&lt;33.0,0,IF(M426&gt;=100*0.8,5,IF(M426&gt;=100*0.7,4,IF(M426&gt;=100*0.6,3.5,IF(M426&gt;=100*0.5,3,IF(M426&gt;=100*0.4,2,IF(M426&gt;=100*0.33,1,0))))))))</f>
        <v/>
      </c>
      <c r="AF426">
        <f>IF(B426="","",IF(N426&lt;16.5,0,IF(N426&gt;=50*0.8,5,IF(N426&gt;=50*0.7,4,IF(N426&gt;=50*0.6,3.5,IF(N426&gt;=50*0.5,3,IF(N426&gt;=50*0.4,2,IF(N426&gt;=50*0.33,1,0))))))))</f>
        <v/>
      </c>
      <c r="AG426">
        <f>IF(B426="","",IF(O426&lt;33.0,0,IF(O426&gt;=100*0.8,5,IF(O426&gt;=100*0.7,4,IF(O426&gt;=100*0.6,3.5,IF(O426&gt;=100*0.5,3,IF(O426&gt;=100*0.4,2,IF(O426&gt;=100*0.33,1,0))))))))</f>
        <v/>
      </c>
      <c r="AH426">
        <f>IF(B426="","",IF(OR(U426=0,V426=0,W426=0,X426=0,Y426=0,Z426=0,AA426=0,AB426=0,AC426=0,AD426=0,AE426=0,AF426=0,AG426=0),1,0))</f>
        <v/>
      </c>
    </row>
    <row r="427">
      <c r="A427" s="3">
        <f>IF(B427="","",ROW()-2)</f>
        <v/>
      </c>
      <c r="P427" s="4">
        <f>IF(B427="","",SUM(C427:O427))</f>
        <v/>
      </c>
      <c r="Q427" s="5">
        <f>IF(B427="","",ROUND(P427/13,2))</f>
        <v/>
      </c>
      <c r="R427" s="5">
        <f>IF(B427="","",IF(AH427=1,0,MIN(5,ROUND((U427+V427+W427+X427+Y427+Z427+AA427+AB427+AC427+AD427+AE427+AF427+AG427)/13,2))))</f>
        <v/>
      </c>
      <c r="S427" s="3">
        <f>IF(B427="","",IF(R427&gt;=5,"A+",IF(R427&gt;=4,"A",IF(R427&gt;=3.5,"A-",IF(R427&gt;=3,"B",IF(R427&gt;=2,"C",IF(R427&gt;=1,"D","F")))))))</f>
        <v/>
      </c>
      <c r="T427" s="3">
        <f>IF(OR(B427="",S427="F"),"",COUNTIFS(P:P,"&gt;"&amp;P427,S:S,"&lt;&gt;F")+1)</f>
        <v/>
      </c>
      <c r="U427">
        <f>IF(B427="","",IF(C427&lt;33.0,0,IF(C427&gt;=100*0.8,5,IF(C427&gt;=100*0.7,4,IF(C427&gt;=100*0.6,3.5,IF(C427&gt;=100*0.5,3,IF(C427&gt;=100*0.4,2,IF(C427&gt;=100*0.33,1,0))))))))</f>
        <v/>
      </c>
      <c r="V427">
        <f>IF(B427="","",IF(D427&lt;33.0,0,IF(D427&gt;=100*0.8,5,IF(D427&gt;=100*0.7,4,IF(D427&gt;=100*0.6,3.5,IF(D427&gt;=100*0.5,3,IF(D427&gt;=100*0.4,2,IF(D427&gt;=100*0.33,1,0))))))))</f>
        <v/>
      </c>
      <c r="W427">
        <f>IF(B427="","",IF(E427&lt;16.5,0,IF(E427&gt;=50*0.8,5,IF(E427&gt;=50*0.7,4,IF(E427&gt;=50*0.6,3.5,IF(E427&gt;=50*0.5,3,IF(E427&gt;=50*0.4,2,IF(E427&gt;=50*0.33,1,0))))))))</f>
        <v/>
      </c>
      <c r="X427">
        <f>IF(B427="","",IF(F427&lt;33.0,0,IF(F427&gt;=100*0.8,5,IF(F427&gt;=100*0.7,4,IF(F427&gt;=100*0.6,3.5,IF(F427&gt;=100*0.5,3,IF(F427&gt;=100*0.4,2,IF(F427&gt;=100*0.33,1,0))))))))</f>
        <v/>
      </c>
      <c r="Y427">
        <f>IF(B427="","",IF(G427&lt;16.5,0,IF(G427&gt;=50*0.8,5,IF(G427&gt;=50*0.7,4,IF(G427&gt;=50*0.6,3.5,IF(G427&gt;=50*0.5,3,IF(G427&gt;=50*0.4,2,IF(G427&gt;=50*0.33,1,0))))))))</f>
        <v/>
      </c>
      <c r="Z427">
        <f>IF(B427="","",IF(H427&lt;33.0,0,IF(H427&gt;=100*0.8,5,IF(H427&gt;=100*0.7,4,IF(H427&gt;=100*0.6,3.5,IF(H427&gt;=100*0.5,3,IF(H427&gt;=100*0.4,2,IF(H427&gt;=100*0.33,1,0))))))))</f>
        <v/>
      </c>
      <c r="AA427">
        <f>IF(B427="","",IF(I427&lt;33.0,0,IF(I427&gt;=100*0.8,5,IF(I427&gt;=100*0.7,4,IF(I427&gt;=100*0.6,3.5,IF(I427&gt;=100*0.5,3,IF(I427&gt;=100*0.4,2,IF(I427&gt;=100*0.33,1,0))))))))</f>
        <v/>
      </c>
      <c r="AB427">
        <f>IF(B427="","",IF(J427&lt;33.0,0,IF(J427&gt;=100*0.8,5,IF(J427&gt;=100*0.7,4,IF(J427&gt;=100*0.6,3.5,IF(J427&gt;=100*0.5,3,IF(J427&gt;=100*0.4,2,IF(J427&gt;=100*0.33,1,0))))))))</f>
        <v/>
      </c>
      <c r="AC427">
        <f>IF(B427="","",IF(K427&lt;33.0,0,IF(K427&gt;=100*0.8,5,IF(K427&gt;=100*0.7,4,IF(K427&gt;=100*0.6,3.5,IF(K427&gt;=100*0.5,3,IF(K427&gt;=100*0.4,2,IF(K427&gt;=100*0.33,1,0))))))))</f>
        <v/>
      </c>
      <c r="AD427">
        <f>IF(B427="","",IF(L427&lt;33.0,0,IF(L427&gt;=100*0.8,5,IF(L427&gt;=100*0.7,4,IF(L427&gt;=100*0.6,3.5,IF(L427&gt;=100*0.5,3,IF(L427&gt;=100*0.4,2,IF(L427&gt;=100*0.33,1,0))))))))</f>
        <v/>
      </c>
      <c r="AE427">
        <f>IF(B427="","",IF(M427&lt;33.0,0,IF(M427&gt;=100*0.8,5,IF(M427&gt;=100*0.7,4,IF(M427&gt;=100*0.6,3.5,IF(M427&gt;=100*0.5,3,IF(M427&gt;=100*0.4,2,IF(M427&gt;=100*0.33,1,0))))))))</f>
        <v/>
      </c>
      <c r="AF427">
        <f>IF(B427="","",IF(N427&lt;16.5,0,IF(N427&gt;=50*0.8,5,IF(N427&gt;=50*0.7,4,IF(N427&gt;=50*0.6,3.5,IF(N427&gt;=50*0.5,3,IF(N427&gt;=50*0.4,2,IF(N427&gt;=50*0.33,1,0))))))))</f>
        <v/>
      </c>
      <c r="AG427">
        <f>IF(B427="","",IF(O427&lt;33.0,0,IF(O427&gt;=100*0.8,5,IF(O427&gt;=100*0.7,4,IF(O427&gt;=100*0.6,3.5,IF(O427&gt;=100*0.5,3,IF(O427&gt;=100*0.4,2,IF(O427&gt;=100*0.33,1,0))))))))</f>
        <v/>
      </c>
      <c r="AH427">
        <f>IF(B427="","",IF(OR(U427=0,V427=0,W427=0,X427=0,Y427=0,Z427=0,AA427=0,AB427=0,AC427=0,AD427=0,AE427=0,AF427=0,AG427=0),1,0))</f>
        <v/>
      </c>
    </row>
    <row r="428">
      <c r="A428" s="3">
        <f>IF(B428="","",ROW()-2)</f>
        <v/>
      </c>
      <c r="P428" s="4">
        <f>IF(B428="","",SUM(C428:O428))</f>
        <v/>
      </c>
      <c r="Q428" s="5">
        <f>IF(B428="","",ROUND(P428/13,2))</f>
        <v/>
      </c>
      <c r="R428" s="5">
        <f>IF(B428="","",IF(AH428=1,0,MIN(5,ROUND((U428+V428+W428+X428+Y428+Z428+AA428+AB428+AC428+AD428+AE428+AF428+AG428)/13,2))))</f>
        <v/>
      </c>
      <c r="S428" s="3">
        <f>IF(B428="","",IF(R428&gt;=5,"A+",IF(R428&gt;=4,"A",IF(R428&gt;=3.5,"A-",IF(R428&gt;=3,"B",IF(R428&gt;=2,"C",IF(R428&gt;=1,"D","F")))))))</f>
        <v/>
      </c>
      <c r="T428" s="3">
        <f>IF(OR(B428="",S428="F"),"",COUNTIFS(P:P,"&gt;"&amp;P428,S:S,"&lt;&gt;F")+1)</f>
        <v/>
      </c>
      <c r="U428">
        <f>IF(B428="","",IF(C428&lt;33.0,0,IF(C428&gt;=100*0.8,5,IF(C428&gt;=100*0.7,4,IF(C428&gt;=100*0.6,3.5,IF(C428&gt;=100*0.5,3,IF(C428&gt;=100*0.4,2,IF(C428&gt;=100*0.33,1,0))))))))</f>
        <v/>
      </c>
      <c r="V428">
        <f>IF(B428="","",IF(D428&lt;33.0,0,IF(D428&gt;=100*0.8,5,IF(D428&gt;=100*0.7,4,IF(D428&gt;=100*0.6,3.5,IF(D428&gt;=100*0.5,3,IF(D428&gt;=100*0.4,2,IF(D428&gt;=100*0.33,1,0))))))))</f>
        <v/>
      </c>
      <c r="W428">
        <f>IF(B428="","",IF(E428&lt;16.5,0,IF(E428&gt;=50*0.8,5,IF(E428&gt;=50*0.7,4,IF(E428&gt;=50*0.6,3.5,IF(E428&gt;=50*0.5,3,IF(E428&gt;=50*0.4,2,IF(E428&gt;=50*0.33,1,0))))))))</f>
        <v/>
      </c>
      <c r="X428">
        <f>IF(B428="","",IF(F428&lt;33.0,0,IF(F428&gt;=100*0.8,5,IF(F428&gt;=100*0.7,4,IF(F428&gt;=100*0.6,3.5,IF(F428&gt;=100*0.5,3,IF(F428&gt;=100*0.4,2,IF(F428&gt;=100*0.33,1,0))))))))</f>
        <v/>
      </c>
      <c r="Y428">
        <f>IF(B428="","",IF(G428&lt;16.5,0,IF(G428&gt;=50*0.8,5,IF(G428&gt;=50*0.7,4,IF(G428&gt;=50*0.6,3.5,IF(G428&gt;=50*0.5,3,IF(G428&gt;=50*0.4,2,IF(G428&gt;=50*0.33,1,0))))))))</f>
        <v/>
      </c>
      <c r="Z428">
        <f>IF(B428="","",IF(H428&lt;33.0,0,IF(H428&gt;=100*0.8,5,IF(H428&gt;=100*0.7,4,IF(H428&gt;=100*0.6,3.5,IF(H428&gt;=100*0.5,3,IF(H428&gt;=100*0.4,2,IF(H428&gt;=100*0.33,1,0))))))))</f>
        <v/>
      </c>
      <c r="AA428">
        <f>IF(B428="","",IF(I428&lt;33.0,0,IF(I428&gt;=100*0.8,5,IF(I428&gt;=100*0.7,4,IF(I428&gt;=100*0.6,3.5,IF(I428&gt;=100*0.5,3,IF(I428&gt;=100*0.4,2,IF(I428&gt;=100*0.33,1,0))))))))</f>
        <v/>
      </c>
      <c r="AB428">
        <f>IF(B428="","",IF(J428&lt;33.0,0,IF(J428&gt;=100*0.8,5,IF(J428&gt;=100*0.7,4,IF(J428&gt;=100*0.6,3.5,IF(J428&gt;=100*0.5,3,IF(J428&gt;=100*0.4,2,IF(J428&gt;=100*0.33,1,0))))))))</f>
        <v/>
      </c>
      <c r="AC428">
        <f>IF(B428="","",IF(K428&lt;33.0,0,IF(K428&gt;=100*0.8,5,IF(K428&gt;=100*0.7,4,IF(K428&gt;=100*0.6,3.5,IF(K428&gt;=100*0.5,3,IF(K428&gt;=100*0.4,2,IF(K428&gt;=100*0.33,1,0))))))))</f>
        <v/>
      </c>
      <c r="AD428">
        <f>IF(B428="","",IF(L428&lt;33.0,0,IF(L428&gt;=100*0.8,5,IF(L428&gt;=100*0.7,4,IF(L428&gt;=100*0.6,3.5,IF(L428&gt;=100*0.5,3,IF(L428&gt;=100*0.4,2,IF(L428&gt;=100*0.33,1,0))))))))</f>
        <v/>
      </c>
      <c r="AE428">
        <f>IF(B428="","",IF(M428&lt;33.0,0,IF(M428&gt;=100*0.8,5,IF(M428&gt;=100*0.7,4,IF(M428&gt;=100*0.6,3.5,IF(M428&gt;=100*0.5,3,IF(M428&gt;=100*0.4,2,IF(M428&gt;=100*0.33,1,0))))))))</f>
        <v/>
      </c>
      <c r="AF428">
        <f>IF(B428="","",IF(N428&lt;16.5,0,IF(N428&gt;=50*0.8,5,IF(N428&gt;=50*0.7,4,IF(N428&gt;=50*0.6,3.5,IF(N428&gt;=50*0.5,3,IF(N428&gt;=50*0.4,2,IF(N428&gt;=50*0.33,1,0))))))))</f>
        <v/>
      </c>
      <c r="AG428">
        <f>IF(B428="","",IF(O428&lt;33.0,0,IF(O428&gt;=100*0.8,5,IF(O428&gt;=100*0.7,4,IF(O428&gt;=100*0.6,3.5,IF(O428&gt;=100*0.5,3,IF(O428&gt;=100*0.4,2,IF(O428&gt;=100*0.33,1,0))))))))</f>
        <v/>
      </c>
      <c r="AH428">
        <f>IF(B428="","",IF(OR(U428=0,V428=0,W428=0,X428=0,Y428=0,Z428=0,AA428=0,AB428=0,AC428=0,AD428=0,AE428=0,AF428=0,AG428=0),1,0))</f>
        <v/>
      </c>
    </row>
    <row r="429">
      <c r="A429" s="3">
        <f>IF(B429="","",ROW()-2)</f>
        <v/>
      </c>
      <c r="P429" s="4">
        <f>IF(B429="","",SUM(C429:O429))</f>
        <v/>
      </c>
      <c r="Q429" s="5">
        <f>IF(B429="","",ROUND(P429/13,2))</f>
        <v/>
      </c>
      <c r="R429" s="5">
        <f>IF(B429="","",IF(AH429=1,0,MIN(5,ROUND((U429+V429+W429+X429+Y429+Z429+AA429+AB429+AC429+AD429+AE429+AF429+AG429)/13,2))))</f>
        <v/>
      </c>
      <c r="S429" s="3">
        <f>IF(B429="","",IF(R429&gt;=5,"A+",IF(R429&gt;=4,"A",IF(R429&gt;=3.5,"A-",IF(R429&gt;=3,"B",IF(R429&gt;=2,"C",IF(R429&gt;=1,"D","F")))))))</f>
        <v/>
      </c>
      <c r="T429" s="3">
        <f>IF(OR(B429="",S429="F"),"",COUNTIFS(P:P,"&gt;"&amp;P429,S:S,"&lt;&gt;F")+1)</f>
        <v/>
      </c>
      <c r="U429">
        <f>IF(B429="","",IF(C429&lt;33.0,0,IF(C429&gt;=100*0.8,5,IF(C429&gt;=100*0.7,4,IF(C429&gt;=100*0.6,3.5,IF(C429&gt;=100*0.5,3,IF(C429&gt;=100*0.4,2,IF(C429&gt;=100*0.33,1,0))))))))</f>
        <v/>
      </c>
      <c r="V429">
        <f>IF(B429="","",IF(D429&lt;33.0,0,IF(D429&gt;=100*0.8,5,IF(D429&gt;=100*0.7,4,IF(D429&gt;=100*0.6,3.5,IF(D429&gt;=100*0.5,3,IF(D429&gt;=100*0.4,2,IF(D429&gt;=100*0.33,1,0))))))))</f>
        <v/>
      </c>
      <c r="W429">
        <f>IF(B429="","",IF(E429&lt;16.5,0,IF(E429&gt;=50*0.8,5,IF(E429&gt;=50*0.7,4,IF(E429&gt;=50*0.6,3.5,IF(E429&gt;=50*0.5,3,IF(E429&gt;=50*0.4,2,IF(E429&gt;=50*0.33,1,0))))))))</f>
        <v/>
      </c>
      <c r="X429">
        <f>IF(B429="","",IF(F429&lt;33.0,0,IF(F429&gt;=100*0.8,5,IF(F429&gt;=100*0.7,4,IF(F429&gt;=100*0.6,3.5,IF(F429&gt;=100*0.5,3,IF(F429&gt;=100*0.4,2,IF(F429&gt;=100*0.33,1,0))))))))</f>
        <v/>
      </c>
      <c r="Y429">
        <f>IF(B429="","",IF(G429&lt;16.5,0,IF(G429&gt;=50*0.8,5,IF(G429&gt;=50*0.7,4,IF(G429&gt;=50*0.6,3.5,IF(G429&gt;=50*0.5,3,IF(G429&gt;=50*0.4,2,IF(G429&gt;=50*0.33,1,0))))))))</f>
        <v/>
      </c>
      <c r="Z429">
        <f>IF(B429="","",IF(H429&lt;33.0,0,IF(H429&gt;=100*0.8,5,IF(H429&gt;=100*0.7,4,IF(H429&gt;=100*0.6,3.5,IF(H429&gt;=100*0.5,3,IF(H429&gt;=100*0.4,2,IF(H429&gt;=100*0.33,1,0))))))))</f>
        <v/>
      </c>
      <c r="AA429">
        <f>IF(B429="","",IF(I429&lt;33.0,0,IF(I429&gt;=100*0.8,5,IF(I429&gt;=100*0.7,4,IF(I429&gt;=100*0.6,3.5,IF(I429&gt;=100*0.5,3,IF(I429&gt;=100*0.4,2,IF(I429&gt;=100*0.33,1,0))))))))</f>
        <v/>
      </c>
      <c r="AB429">
        <f>IF(B429="","",IF(J429&lt;33.0,0,IF(J429&gt;=100*0.8,5,IF(J429&gt;=100*0.7,4,IF(J429&gt;=100*0.6,3.5,IF(J429&gt;=100*0.5,3,IF(J429&gt;=100*0.4,2,IF(J429&gt;=100*0.33,1,0))))))))</f>
        <v/>
      </c>
      <c r="AC429">
        <f>IF(B429="","",IF(K429&lt;33.0,0,IF(K429&gt;=100*0.8,5,IF(K429&gt;=100*0.7,4,IF(K429&gt;=100*0.6,3.5,IF(K429&gt;=100*0.5,3,IF(K429&gt;=100*0.4,2,IF(K429&gt;=100*0.33,1,0))))))))</f>
        <v/>
      </c>
      <c r="AD429">
        <f>IF(B429="","",IF(L429&lt;33.0,0,IF(L429&gt;=100*0.8,5,IF(L429&gt;=100*0.7,4,IF(L429&gt;=100*0.6,3.5,IF(L429&gt;=100*0.5,3,IF(L429&gt;=100*0.4,2,IF(L429&gt;=100*0.33,1,0))))))))</f>
        <v/>
      </c>
      <c r="AE429">
        <f>IF(B429="","",IF(M429&lt;33.0,0,IF(M429&gt;=100*0.8,5,IF(M429&gt;=100*0.7,4,IF(M429&gt;=100*0.6,3.5,IF(M429&gt;=100*0.5,3,IF(M429&gt;=100*0.4,2,IF(M429&gt;=100*0.33,1,0))))))))</f>
        <v/>
      </c>
      <c r="AF429">
        <f>IF(B429="","",IF(N429&lt;16.5,0,IF(N429&gt;=50*0.8,5,IF(N429&gt;=50*0.7,4,IF(N429&gt;=50*0.6,3.5,IF(N429&gt;=50*0.5,3,IF(N429&gt;=50*0.4,2,IF(N429&gt;=50*0.33,1,0))))))))</f>
        <v/>
      </c>
      <c r="AG429">
        <f>IF(B429="","",IF(O429&lt;33.0,0,IF(O429&gt;=100*0.8,5,IF(O429&gt;=100*0.7,4,IF(O429&gt;=100*0.6,3.5,IF(O429&gt;=100*0.5,3,IF(O429&gt;=100*0.4,2,IF(O429&gt;=100*0.33,1,0))))))))</f>
        <v/>
      </c>
      <c r="AH429">
        <f>IF(B429="","",IF(OR(U429=0,V429=0,W429=0,X429=0,Y429=0,Z429=0,AA429=0,AB429=0,AC429=0,AD429=0,AE429=0,AF429=0,AG429=0),1,0))</f>
        <v/>
      </c>
    </row>
    <row r="430">
      <c r="A430" s="3">
        <f>IF(B430="","",ROW()-2)</f>
        <v/>
      </c>
      <c r="P430" s="4">
        <f>IF(B430="","",SUM(C430:O430))</f>
        <v/>
      </c>
      <c r="Q430" s="5">
        <f>IF(B430="","",ROUND(P430/13,2))</f>
        <v/>
      </c>
      <c r="R430" s="5">
        <f>IF(B430="","",IF(AH430=1,0,MIN(5,ROUND((U430+V430+W430+X430+Y430+Z430+AA430+AB430+AC430+AD430+AE430+AF430+AG430)/13,2))))</f>
        <v/>
      </c>
      <c r="S430" s="3">
        <f>IF(B430="","",IF(R430&gt;=5,"A+",IF(R430&gt;=4,"A",IF(R430&gt;=3.5,"A-",IF(R430&gt;=3,"B",IF(R430&gt;=2,"C",IF(R430&gt;=1,"D","F")))))))</f>
        <v/>
      </c>
      <c r="T430" s="3">
        <f>IF(OR(B430="",S430="F"),"",COUNTIFS(P:P,"&gt;"&amp;P430,S:S,"&lt;&gt;F")+1)</f>
        <v/>
      </c>
      <c r="U430">
        <f>IF(B430="","",IF(C430&lt;33.0,0,IF(C430&gt;=100*0.8,5,IF(C430&gt;=100*0.7,4,IF(C430&gt;=100*0.6,3.5,IF(C430&gt;=100*0.5,3,IF(C430&gt;=100*0.4,2,IF(C430&gt;=100*0.33,1,0))))))))</f>
        <v/>
      </c>
      <c r="V430">
        <f>IF(B430="","",IF(D430&lt;33.0,0,IF(D430&gt;=100*0.8,5,IF(D430&gt;=100*0.7,4,IF(D430&gt;=100*0.6,3.5,IF(D430&gt;=100*0.5,3,IF(D430&gt;=100*0.4,2,IF(D430&gt;=100*0.33,1,0))))))))</f>
        <v/>
      </c>
      <c r="W430">
        <f>IF(B430="","",IF(E430&lt;16.5,0,IF(E430&gt;=50*0.8,5,IF(E430&gt;=50*0.7,4,IF(E430&gt;=50*0.6,3.5,IF(E430&gt;=50*0.5,3,IF(E430&gt;=50*0.4,2,IF(E430&gt;=50*0.33,1,0))))))))</f>
        <v/>
      </c>
      <c r="X430">
        <f>IF(B430="","",IF(F430&lt;33.0,0,IF(F430&gt;=100*0.8,5,IF(F430&gt;=100*0.7,4,IF(F430&gt;=100*0.6,3.5,IF(F430&gt;=100*0.5,3,IF(F430&gt;=100*0.4,2,IF(F430&gt;=100*0.33,1,0))))))))</f>
        <v/>
      </c>
      <c r="Y430">
        <f>IF(B430="","",IF(G430&lt;16.5,0,IF(G430&gt;=50*0.8,5,IF(G430&gt;=50*0.7,4,IF(G430&gt;=50*0.6,3.5,IF(G430&gt;=50*0.5,3,IF(G430&gt;=50*0.4,2,IF(G430&gt;=50*0.33,1,0))))))))</f>
        <v/>
      </c>
      <c r="Z430">
        <f>IF(B430="","",IF(H430&lt;33.0,0,IF(H430&gt;=100*0.8,5,IF(H430&gt;=100*0.7,4,IF(H430&gt;=100*0.6,3.5,IF(H430&gt;=100*0.5,3,IF(H430&gt;=100*0.4,2,IF(H430&gt;=100*0.33,1,0))))))))</f>
        <v/>
      </c>
      <c r="AA430">
        <f>IF(B430="","",IF(I430&lt;33.0,0,IF(I430&gt;=100*0.8,5,IF(I430&gt;=100*0.7,4,IF(I430&gt;=100*0.6,3.5,IF(I430&gt;=100*0.5,3,IF(I430&gt;=100*0.4,2,IF(I430&gt;=100*0.33,1,0))))))))</f>
        <v/>
      </c>
      <c r="AB430">
        <f>IF(B430="","",IF(J430&lt;33.0,0,IF(J430&gt;=100*0.8,5,IF(J430&gt;=100*0.7,4,IF(J430&gt;=100*0.6,3.5,IF(J430&gt;=100*0.5,3,IF(J430&gt;=100*0.4,2,IF(J430&gt;=100*0.33,1,0))))))))</f>
        <v/>
      </c>
      <c r="AC430">
        <f>IF(B430="","",IF(K430&lt;33.0,0,IF(K430&gt;=100*0.8,5,IF(K430&gt;=100*0.7,4,IF(K430&gt;=100*0.6,3.5,IF(K430&gt;=100*0.5,3,IF(K430&gt;=100*0.4,2,IF(K430&gt;=100*0.33,1,0))))))))</f>
        <v/>
      </c>
      <c r="AD430">
        <f>IF(B430="","",IF(L430&lt;33.0,0,IF(L430&gt;=100*0.8,5,IF(L430&gt;=100*0.7,4,IF(L430&gt;=100*0.6,3.5,IF(L430&gt;=100*0.5,3,IF(L430&gt;=100*0.4,2,IF(L430&gt;=100*0.33,1,0))))))))</f>
        <v/>
      </c>
      <c r="AE430">
        <f>IF(B430="","",IF(M430&lt;33.0,0,IF(M430&gt;=100*0.8,5,IF(M430&gt;=100*0.7,4,IF(M430&gt;=100*0.6,3.5,IF(M430&gt;=100*0.5,3,IF(M430&gt;=100*0.4,2,IF(M430&gt;=100*0.33,1,0))))))))</f>
        <v/>
      </c>
      <c r="AF430">
        <f>IF(B430="","",IF(N430&lt;16.5,0,IF(N430&gt;=50*0.8,5,IF(N430&gt;=50*0.7,4,IF(N430&gt;=50*0.6,3.5,IF(N430&gt;=50*0.5,3,IF(N430&gt;=50*0.4,2,IF(N430&gt;=50*0.33,1,0))))))))</f>
        <v/>
      </c>
      <c r="AG430">
        <f>IF(B430="","",IF(O430&lt;33.0,0,IF(O430&gt;=100*0.8,5,IF(O430&gt;=100*0.7,4,IF(O430&gt;=100*0.6,3.5,IF(O430&gt;=100*0.5,3,IF(O430&gt;=100*0.4,2,IF(O430&gt;=100*0.33,1,0))))))))</f>
        <v/>
      </c>
      <c r="AH430">
        <f>IF(B430="","",IF(OR(U430=0,V430=0,W430=0,X430=0,Y430=0,Z430=0,AA430=0,AB430=0,AC430=0,AD430=0,AE430=0,AF430=0,AG430=0),1,0))</f>
        <v/>
      </c>
    </row>
    <row r="431">
      <c r="A431" s="3">
        <f>IF(B431="","",ROW()-2)</f>
        <v/>
      </c>
      <c r="P431" s="4">
        <f>IF(B431="","",SUM(C431:O431))</f>
        <v/>
      </c>
      <c r="Q431" s="5">
        <f>IF(B431="","",ROUND(P431/13,2))</f>
        <v/>
      </c>
      <c r="R431" s="5">
        <f>IF(B431="","",IF(AH431=1,0,MIN(5,ROUND((U431+V431+W431+X431+Y431+Z431+AA431+AB431+AC431+AD431+AE431+AF431+AG431)/13,2))))</f>
        <v/>
      </c>
      <c r="S431" s="3">
        <f>IF(B431="","",IF(R431&gt;=5,"A+",IF(R431&gt;=4,"A",IF(R431&gt;=3.5,"A-",IF(R431&gt;=3,"B",IF(R431&gt;=2,"C",IF(R431&gt;=1,"D","F")))))))</f>
        <v/>
      </c>
      <c r="T431" s="3">
        <f>IF(OR(B431="",S431="F"),"",COUNTIFS(P:P,"&gt;"&amp;P431,S:S,"&lt;&gt;F")+1)</f>
        <v/>
      </c>
      <c r="U431">
        <f>IF(B431="","",IF(C431&lt;33.0,0,IF(C431&gt;=100*0.8,5,IF(C431&gt;=100*0.7,4,IF(C431&gt;=100*0.6,3.5,IF(C431&gt;=100*0.5,3,IF(C431&gt;=100*0.4,2,IF(C431&gt;=100*0.33,1,0))))))))</f>
        <v/>
      </c>
      <c r="V431">
        <f>IF(B431="","",IF(D431&lt;33.0,0,IF(D431&gt;=100*0.8,5,IF(D431&gt;=100*0.7,4,IF(D431&gt;=100*0.6,3.5,IF(D431&gt;=100*0.5,3,IF(D431&gt;=100*0.4,2,IF(D431&gt;=100*0.33,1,0))))))))</f>
        <v/>
      </c>
      <c r="W431">
        <f>IF(B431="","",IF(E431&lt;16.5,0,IF(E431&gt;=50*0.8,5,IF(E431&gt;=50*0.7,4,IF(E431&gt;=50*0.6,3.5,IF(E431&gt;=50*0.5,3,IF(E431&gt;=50*0.4,2,IF(E431&gt;=50*0.33,1,0))))))))</f>
        <v/>
      </c>
      <c r="X431">
        <f>IF(B431="","",IF(F431&lt;33.0,0,IF(F431&gt;=100*0.8,5,IF(F431&gt;=100*0.7,4,IF(F431&gt;=100*0.6,3.5,IF(F431&gt;=100*0.5,3,IF(F431&gt;=100*0.4,2,IF(F431&gt;=100*0.33,1,0))))))))</f>
        <v/>
      </c>
      <c r="Y431">
        <f>IF(B431="","",IF(G431&lt;16.5,0,IF(G431&gt;=50*0.8,5,IF(G431&gt;=50*0.7,4,IF(G431&gt;=50*0.6,3.5,IF(G431&gt;=50*0.5,3,IF(G431&gt;=50*0.4,2,IF(G431&gt;=50*0.33,1,0))))))))</f>
        <v/>
      </c>
      <c r="Z431">
        <f>IF(B431="","",IF(H431&lt;33.0,0,IF(H431&gt;=100*0.8,5,IF(H431&gt;=100*0.7,4,IF(H431&gt;=100*0.6,3.5,IF(H431&gt;=100*0.5,3,IF(H431&gt;=100*0.4,2,IF(H431&gt;=100*0.33,1,0))))))))</f>
        <v/>
      </c>
      <c r="AA431">
        <f>IF(B431="","",IF(I431&lt;33.0,0,IF(I431&gt;=100*0.8,5,IF(I431&gt;=100*0.7,4,IF(I431&gt;=100*0.6,3.5,IF(I431&gt;=100*0.5,3,IF(I431&gt;=100*0.4,2,IF(I431&gt;=100*0.33,1,0))))))))</f>
        <v/>
      </c>
      <c r="AB431">
        <f>IF(B431="","",IF(J431&lt;33.0,0,IF(J431&gt;=100*0.8,5,IF(J431&gt;=100*0.7,4,IF(J431&gt;=100*0.6,3.5,IF(J431&gt;=100*0.5,3,IF(J431&gt;=100*0.4,2,IF(J431&gt;=100*0.33,1,0))))))))</f>
        <v/>
      </c>
      <c r="AC431">
        <f>IF(B431="","",IF(K431&lt;33.0,0,IF(K431&gt;=100*0.8,5,IF(K431&gt;=100*0.7,4,IF(K431&gt;=100*0.6,3.5,IF(K431&gt;=100*0.5,3,IF(K431&gt;=100*0.4,2,IF(K431&gt;=100*0.33,1,0))))))))</f>
        <v/>
      </c>
      <c r="AD431">
        <f>IF(B431="","",IF(L431&lt;33.0,0,IF(L431&gt;=100*0.8,5,IF(L431&gt;=100*0.7,4,IF(L431&gt;=100*0.6,3.5,IF(L431&gt;=100*0.5,3,IF(L431&gt;=100*0.4,2,IF(L431&gt;=100*0.33,1,0))))))))</f>
        <v/>
      </c>
      <c r="AE431">
        <f>IF(B431="","",IF(M431&lt;33.0,0,IF(M431&gt;=100*0.8,5,IF(M431&gt;=100*0.7,4,IF(M431&gt;=100*0.6,3.5,IF(M431&gt;=100*0.5,3,IF(M431&gt;=100*0.4,2,IF(M431&gt;=100*0.33,1,0))))))))</f>
        <v/>
      </c>
      <c r="AF431">
        <f>IF(B431="","",IF(N431&lt;16.5,0,IF(N431&gt;=50*0.8,5,IF(N431&gt;=50*0.7,4,IF(N431&gt;=50*0.6,3.5,IF(N431&gt;=50*0.5,3,IF(N431&gt;=50*0.4,2,IF(N431&gt;=50*0.33,1,0))))))))</f>
        <v/>
      </c>
      <c r="AG431">
        <f>IF(B431="","",IF(O431&lt;33.0,0,IF(O431&gt;=100*0.8,5,IF(O431&gt;=100*0.7,4,IF(O431&gt;=100*0.6,3.5,IF(O431&gt;=100*0.5,3,IF(O431&gt;=100*0.4,2,IF(O431&gt;=100*0.33,1,0))))))))</f>
        <v/>
      </c>
      <c r="AH431">
        <f>IF(B431="","",IF(OR(U431=0,V431=0,W431=0,X431=0,Y431=0,Z431=0,AA431=0,AB431=0,AC431=0,AD431=0,AE431=0,AF431=0,AG431=0),1,0))</f>
        <v/>
      </c>
    </row>
    <row r="432">
      <c r="A432" s="3">
        <f>IF(B432="","",ROW()-2)</f>
        <v/>
      </c>
      <c r="P432" s="4">
        <f>IF(B432="","",SUM(C432:O432))</f>
        <v/>
      </c>
      <c r="Q432" s="5">
        <f>IF(B432="","",ROUND(P432/13,2))</f>
        <v/>
      </c>
      <c r="R432" s="5">
        <f>IF(B432="","",IF(AH432=1,0,MIN(5,ROUND((U432+V432+W432+X432+Y432+Z432+AA432+AB432+AC432+AD432+AE432+AF432+AG432)/13,2))))</f>
        <v/>
      </c>
      <c r="S432" s="3">
        <f>IF(B432="","",IF(R432&gt;=5,"A+",IF(R432&gt;=4,"A",IF(R432&gt;=3.5,"A-",IF(R432&gt;=3,"B",IF(R432&gt;=2,"C",IF(R432&gt;=1,"D","F")))))))</f>
        <v/>
      </c>
      <c r="T432" s="3">
        <f>IF(OR(B432="",S432="F"),"",COUNTIFS(P:P,"&gt;"&amp;P432,S:S,"&lt;&gt;F")+1)</f>
        <v/>
      </c>
      <c r="U432">
        <f>IF(B432="","",IF(C432&lt;33.0,0,IF(C432&gt;=100*0.8,5,IF(C432&gt;=100*0.7,4,IF(C432&gt;=100*0.6,3.5,IF(C432&gt;=100*0.5,3,IF(C432&gt;=100*0.4,2,IF(C432&gt;=100*0.33,1,0))))))))</f>
        <v/>
      </c>
      <c r="V432">
        <f>IF(B432="","",IF(D432&lt;33.0,0,IF(D432&gt;=100*0.8,5,IF(D432&gt;=100*0.7,4,IF(D432&gt;=100*0.6,3.5,IF(D432&gt;=100*0.5,3,IF(D432&gt;=100*0.4,2,IF(D432&gt;=100*0.33,1,0))))))))</f>
        <v/>
      </c>
      <c r="W432">
        <f>IF(B432="","",IF(E432&lt;16.5,0,IF(E432&gt;=50*0.8,5,IF(E432&gt;=50*0.7,4,IF(E432&gt;=50*0.6,3.5,IF(E432&gt;=50*0.5,3,IF(E432&gt;=50*0.4,2,IF(E432&gt;=50*0.33,1,0))))))))</f>
        <v/>
      </c>
      <c r="X432">
        <f>IF(B432="","",IF(F432&lt;33.0,0,IF(F432&gt;=100*0.8,5,IF(F432&gt;=100*0.7,4,IF(F432&gt;=100*0.6,3.5,IF(F432&gt;=100*0.5,3,IF(F432&gt;=100*0.4,2,IF(F432&gt;=100*0.33,1,0))))))))</f>
        <v/>
      </c>
      <c r="Y432">
        <f>IF(B432="","",IF(G432&lt;16.5,0,IF(G432&gt;=50*0.8,5,IF(G432&gt;=50*0.7,4,IF(G432&gt;=50*0.6,3.5,IF(G432&gt;=50*0.5,3,IF(G432&gt;=50*0.4,2,IF(G432&gt;=50*0.33,1,0))))))))</f>
        <v/>
      </c>
      <c r="Z432">
        <f>IF(B432="","",IF(H432&lt;33.0,0,IF(H432&gt;=100*0.8,5,IF(H432&gt;=100*0.7,4,IF(H432&gt;=100*0.6,3.5,IF(H432&gt;=100*0.5,3,IF(H432&gt;=100*0.4,2,IF(H432&gt;=100*0.33,1,0))))))))</f>
        <v/>
      </c>
      <c r="AA432">
        <f>IF(B432="","",IF(I432&lt;33.0,0,IF(I432&gt;=100*0.8,5,IF(I432&gt;=100*0.7,4,IF(I432&gt;=100*0.6,3.5,IF(I432&gt;=100*0.5,3,IF(I432&gt;=100*0.4,2,IF(I432&gt;=100*0.33,1,0))))))))</f>
        <v/>
      </c>
      <c r="AB432">
        <f>IF(B432="","",IF(J432&lt;33.0,0,IF(J432&gt;=100*0.8,5,IF(J432&gt;=100*0.7,4,IF(J432&gt;=100*0.6,3.5,IF(J432&gt;=100*0.5,3,IF(J432&gt;=100*0.4,2,IF(J432&gt;=100*0.33,1,0))))))))</f>
        <v/>
      </c>
      <c r="AC432">
        <f>IF(B432="","",IF(K432&lt;33.0,0,IF(K432&gt;=100*0.8,5,IF(K432&gt;=100*0.7,4,IF(K432&gt;=100*0.6,3.5,IF(K432&gt;=100*0.5,3,IF(K432&gt;=100*0.4,2,IF(K432&gt;=100*0.33,1,0))))))))</f>
        <v/>
      </c>
      <c r="AD432">
        <f>IF(B432="","",IF(L432&lt;33.0,0,IF(L432&gt;=100*0.8,5,IF(L432&gt;=100*0.7,4,IF(L432&gt;=100*0.6,3.5,IF(L432&gt;=100*0.5,3,IF(L432&gt;=100*0.4,2,IF(L432&gt;=100*0.33,1,0))))))))</f>
        <v/>
      </c>
      <c r="AE432">
        <f>IF(B432="","",IF(M432&lt;33.0,0,IF(M432&gt;=100*0.8,5,IF(M432&gt;=100*0.7,4,IF(M432&gt;=100*0.6,3.5,IF(M432&gt;=100*0.5,3,IF(M432&gt;=100*0.4,2,IF(M432&gt;=100*0.33,1,0))))))))</f>
        <v/>
      </c>
      <c r="AF432">
        <f>IF(B432="","",IF(N432&lt;16.5,0,IF(N432&gt;=50*0.8,5,IF(N432&gt;=50*0.7,4,IF(N432&gt;=50*0.6,3.5,IF(N432&gt;=50*0.5,3,IF(N432&gt;=50*0.4,2,IF(N432&gt;=50*0.33,1,0))))))))</f>
        <v/>
      </c>
      <c r="AG432">
        <f>IF(B432="","",IF(O432&lt;33.0,0,IF(O432&gt;=100*0.8,5,IF(O432&gt;=100*0.7,4,IF(O432&gt;=100*0.6,3.5,IF(O432&gt;=100*0.5,3,IF(O432&gt;=100*0.4,2,IF(O432&gt;=100*0.33,1,0))))))))</f>
        <v/>
      </c>
      <c r="AH432">
        <f>IF(B432="","",IF(OR(U432=0,V432=0,W432=0,X432=0,Y432=0,Z432=0,AA432=0,AB432=0,AC432=0,AD432=0,AE432=0,AF432=0,AG432=0),1,0))</f>
        <v/>
      </c>
    </row>
    <row r="433">
      <c r="A433" s="3">
        <f>IF(B433="","",ROW()-2)</f>
        <v/>
      </c>
      <c r="P433" s="4">
        <f>IF(B433="","",SUM(C433:O433))</f>
        <v/>
      </c>
      <c r="Q433" s="5">
        <f>IF(B433="","",ROUND(P433/13,2))</f>
        <v/>
      </c>
      <c r="R433" s="5">
        <f>IF(B433="","",IF(AH433=1,0,MIN(5,ROUND((U433+V433+W433+X433+Y433+Z433+AA433+AB433+AC433+AD433+AE433+AF433+AG433)/13,2))))</f>
        <v/>
      </c>
      <c r="S433" s="3">
        <f>IF(B433="","",IF(R433&gt;=5,"A+",IF(R433&gt;=4,"A",IF(R433&gt;=3.5,"A-",IF(R433&gt;=3,"B",IF(R433&gt;=2,"C",IF(R433&gt;=1,"D","F")))))))</f>
        <v/>
      </c>
      <c r="T433" s="3">
        <f>IF(OR(B433="",S433="F"),"",COUNTIFS(P:P,"&gt;"&amp;P433,S:S,"&lt;&gt;F")+1)</f>
        <v/>
      </c>
      <c r="U433">
        <f>IF(B433="","",IF(C433&lt;33.0,0,IF(C433&gt;=100*0.8,5,IF(C433&gt;=100*0.7,4,IF(C433&gt;=100*0.6,3.5,IF(C433&gt;=100*0.5,3,IF(C433&gt;=100*0.4,2,IF(C433&gt;=100*0.33,1,0))))))))</f>
        <v/>
      </c>
      <c r="V433">
        <f>IF(B433="","",IF(D433&lt;33.0,0,IF(D433&gt;=100*0.8,5,IF(D433&gt;=100*0.7,4,IF(D433&gt;=100*0.6,3.5,IF(D433&gt;=100*0.5,3,IF(D433&gt;=100*0.4,2,IF(D433&gt;=100*0.33,1,0))))))))</f>
        <v/>
      </c>
      <c r="W433">
        <f>IF(B433="","",IF(E433&lt;16.5,0,IF(E433&gt;=50*0.8,5,IF(E433&gt;=50*0.7,4,IF(E433&gt;=50*0.6,3.5,IF(E433&gt;=50*0.5,3,IF(E433&gt;=50*0.4,2,IF(E433&gt;=50*0.33,1,0))))))))</f>
        <v/>
      </c>
      <c r="X433">
        <f>IF(B433="","",IF(F433&lt;33.0,0,IF(F433&gt;=100*0.8,5,IF(F433&gt;=100*0.7,4,IF(F433&gt;=100*0.6,3.5,IF(F433&gt;=100*0.5,3,IF(F433&gt;=100*0.4,2,IF(F433&gt;=100*0.33,1,0))))))))</f>
        <v/>
      </c>
      <c r="Y433">
        <f>IF(B433="","",IF(G433&lt;16.5,0,IF(G433&gt;=50*0.8,5,IF(G433&gt;=50*0.7,4,IF(G433&gt;=50*0.6,3.5,IF(G433&gt;=50*0.5,3,IF(G433&gt;=50*0.4,2,IF(G433&gt;=50*0.33,1,0))))))))</f>
        <v/>
      </c>
      <c r="Z433">
        <f>IF(B433="","",IF(H433&lt;33.0,0,IF(H433&gt;=100*0.8,5,IF(H433&gt;=100*0.7,4,IF(H433&gt;=100*0.6,3.5,IF(H433&gt;=100*0.5,3,IF(H433&gt;=100*0.4,2,IF(H433&gt;=100*0.33,1,0))))))))</f>
        <v/>
      </c>
      <c r="AA433">
        <f>IF(B433="","",IF(I433&lt;33.0,0,IF(I433&gt;=100*0.8,5,IF(I433&gt;=100*0.7,4,IF(I433&gt;=100*0.6,3.5,IF(I433&gt;=100*0.5,3,IF(I433&gt;=100*0.4,2,IF(I433&gt;=100*0.33,1,0))))))))</f>
        <v/>
      </c>
      <c r="AB433">
        <f>IF(B433="","",IF(J433&lt;33.0,0,IF(J433&gt;=100*0.8,5,IF(J433&gt;=100*0.7,4,IF(J433&gt;=100*0.6,3.5,IF(J433&gt;=100*0.5,3,IF(J433&gt;=100*0.4,2,IF(J433&gt;=100*0.33,1,0))))))))</f>
        <v/>
      </c>
      <c r="AC433">
        <f>IF(B433="","",IF(K433&lt;33.0,0,IF(K433&gt;=100*0.8,5,IF(K433&gt;=100*0.7,4,IF(K433&gt;=100*0.6,3.5,IF(K433&gt;=100*0.5,3,IF(K433&gt;=100*0.4,2,IF(K433&gt;=100*0.33,1,0))))))))</f>
        <v/>
      </c>
      <c r="AD433">
        <f>IF(B433="","",IF(L433&lt;33.0,0,IF(L433&gt;=100*0.8,5,IF(L433&gt;=100*0.7,4,IF(L433&gt;=100*0.6,3.5,IF(L433&gt;=100*0.5,3,IF(L433&gt;=100*0.4,2,IF(L433&gt;=100*0.33,1,0))))))))</f>
        <v/>
      </c>
      <c r="AE433">
        <f>IF(B433="","",IF(M433&lt;33.0,0,IF(M433&gt;=100*0.8,5,IF(M433&gt;=100*0.7,4,IF(M433&gt;=100*0.6,3.5,IF(M433&gt;=100*0.5,3,IF(M433&gt;=100*0.4,2,IF(M433&gt;=100*0.33,1,0))))))))</f>
        <v/>
      </c>
      <c r="AF433">
        <f>IF(B433="","",IF(N433&lt;16.5,0,IF(N433&gt;=50*0.8,5,IF(N433&gt;=50*0.7,4,IF(N433&gt;=50*0.6,3.5,IF(N433&gt;=50*0.5,3,IF(N433&gt;=50*0.4,2,IF(N433&gt;=50*0.33,1,0))))))))</f>
        <v/>
      </c>
      <c r="AG433">
        <f>IF(B433="","",IF(O433&lt;33.0,0,IF(O433&gt;=100*0.8,5,IF(O433&gt;=100*0.7,4,IF(O433&gt;=100*0.6,3.5,IF(O433&gt;=100*0.5,3,IF(O433&gt;=100*0.4,2,IF(O433&gt;=100*0.33,1,0))))))))</f>
        <v/>
      </c>
      <c r="AH433">
        <f>IF(B433="","",IF(OR(U433=0,V433=0,W433=0,X433=0,Y433=0,Z433=0,AA433=0,AB433=0,AC433=0,AD433=0,AE433=0,AF433=0,AG433=0),1,0))</f>
        <v/>
      </c>
    </row>
    <row r="434">
      <c r="A434" s="3">
        <f>IF(B434="","",ROW()-2)</f>
        <v/>
      </c>
      <c r="P434" s="4">
        <f>IF(B434="","",SUM(C434:O434))</f>
        <v/>
      </c>
      <c r="Q434" s="5">
        <f>IF(B434="","",ROUND(P434/13,2))</f>
        <v/>
      </c>
      <c r="R434" s="5">
        <f>IF(B434="","",IF(AH434=1,0,MIN(5,ROUND((U434+V434+W434+X434+Y434+Z434+AA434+AB434+AC434+AD434+AE434+AF434+AG434)/13,2))))</f>
        <v/>
      </c>
      <c r="S434" s="3">
        <f>IF(B434="","",IF(R434&gt;=5,"A+",IF(R434&gt;=4,"A",IF(R434&gt;=3.5,"A-",IF(R434&gt;=3,"B",IF(R434&gt;=2,"C",IF(R434&gt;=1,"D","F")))))))</f>
        <v/>
      </c>
      <c r="T434" s="3">
        <f>IF(OR(B434="",S434="F"),"",COUNTIFS(P:P,"&gt;"&amp;P434,S:S,"&lt;&gt;F")+1)</f>
        <v/>
      </c>
      <c r="U434">
        <f>IF(B434="","",IF(C434&lt;33.0,0,IF(C434&gt;=100*0.8,5,IF(C434&gt;=100*0.7,4,IF(C434&gt;=100*0.6,3.5,IF(C434&gt;=100*0.5,3,IF(C434&gt;=100*0.4,2,IF(C434&gt;=100*0.33,1,0))))))))</f>
        <v/>
      </c>
      <c r="V434">
        <f>IF(B434="","",IF(D434&lt;33.0,0,IF(D434&gt;=100*0.8,5,IF(D434&gt;=100*0.7,4,IF(D434&gt;=100*0.6,3.5,IF(D434&gt;=100*0.5,3,IF(D434&gt;=100*0.4,2,IF(D434&gt;=100*0.33,1,0))))))))</f>
        <v/>
      </c>
      <c r="W434">
        <f>IF(B434="","",IF(E434&lt;16.5,0,IF(E434&gt;=50*0.8,5,IF(E434&gt;=50*0.7,4,IF(E434&gt;=50*0.6,3.5,IF(E434&gt;=50*0.5,3,IF(E434&gt;=50*0.4,2,IF(E434&gt;=50*0.33,1,0))))))))</f>
        <v/>
      </c>
      <c r="X434">
        <f>IF(B434="","",IF(F434&lt;33.0,0,IF(F434&gt;=100*0.8,5,IF(F434&gt;=100*0.7,4,IF(F434&gt;=100*0.6,3.5,IF(F434&gt;=100*0.5,3,IF(F434&gt;=100*0.4,2,IF(F434&gt;=100*0.33,1,0))))))))</f>
        <v/>
      </c>
      <c r="Y434">
        <f>IF(B434="","",IF(G434&lt;16.5,0,IF(G434&gt;=50*0.8,5,IF(G434&gt;=50*0.7,4,IF(G434&gt;=50*0.6,3.5,IF(G434&gt;=50*0.5,3,IF(G434&gt;=50*0.4,2,IF(G434&gt;=50*0.33,1,0))))))))</f>
        <v/>
      </c>
      <c r="Z434">
        <f>IF(B434="","",IF(H434&lt;33.0,0,IF(H434&gt;=100*0.8,5,IF(H434&gt;=100*0.7,4,IF(H434&gt;=100*0.6,3.5,IF(H434&gt;=100*0.5,3,IF(H434&gt;=100*0.4,2,IF(H434&gt;=100*0.33,1,0))))))))</f>
        <v/>
      </c>
      <c r="AA434">
        <f>IF(B434="","",IF(I434&lt;33.0,0,IF(I434&gt;=100*0.8,5,IF(I434&gt;=100*0.7,4,IF(I434&gt;=100*0.6,3.5,IF(I434&gt;=100*0.5,3,IF(I434&gt;=100*0.4,2,IF(I434&gt;=100*0.33,1,0))))))))</f>
        <v/>
      </c>
      <c r="AB434">
        <f>IF(B434="","",IF(J434&lt;33.0,0,IF(J434&gt;=100*0.8,5,IF(J434&gt;=100*0.7,4,IF(J434&gt;=100*0.6,3.5,IF(J434&gt;=100*0.5,3,IF(J434&gt;=100*0.4,2,IF(J434&gt;=100*0.33,1,0))))))))</f>
        <v/>
      </c>
      <c r="AC434">
        <f>IF(B434="","",IF(K434&lt;33.0,0,IF(K434&gt;=100*0.8,5,IF(K434&gt;=100*0.7,4,IF(K434&gt;=100*0.6,3.5,IF(K434&gt;=100*0.5,3,IF(K434&gt;=100*0.4,2,IF(K434&gt;=100*0.33,1,0))))))))</f>
        <v/>
      </c>
      <c r="AD434">
        <f>IF(B434="","",IF(L434&lt;33.0,0,IF(L434&gt;=100*0.8,5,IF(L434&gt;=100*0.7,4,IF(L434&gt;=100*0.6,3.5,IF(L434&gt;=100*0.5,3,IF(L434&gt;=100*0.4,2,IF(L434&gt;=100*0.33,1,0))))))))</f>
        <v/>
      </c>
      <c r="AE434">
        <f>IF(B434="","",IF(M434&lt;33.0,0,IF(M434&gt;=100*0.8,5,IF(M434&gt;=100*0.7,4,IF(M434&gt;=100*0.6,3.5,IF(M434&gt;=100*0.5,3,IF(M434&gt;=100*0.4,2,IF(M434&gt;=100*0.33,1,0))))))))</f>
        <v/>
      </c>
      <c r="AF434">
        <f>IF(B434="","",IF(N434&lt;16.5,0,IF(N434&gt;=50*0.8,5,IF(N434&gt;=50*0.7,4,IF(N434&gt;=50*0.6,3.5,IF(N434&gt;=50*0.5,3,IF(N434&gt;=50*0.4,2,IF(N434&gt;=50*0.33,1,0))))))))</f>
        <v/>
      </c>
      <c r="AG434">
        <f>IF(B434="","",IF(O434&lt;33.0,0,IF(O434&gt;=100*0.8,5,IF(O434&gt;=100*0.7,4,IF(O434&gt;=100*0.6,3.5,IF(O434&gt;=100*0.5,3,IF(O434&gt;=100*0.4,2,IF(O434&gt;=100*0.33,1,0))))))))</f>
        <v/>
      </c>
      <c r="AH434">
        <f>IF(B434="","",IF(OR(U434=0,V434=0,W434=0,X434=0,Y434=0,Z434=0,AA434=0,AB434=0,AC434=0,AD434=0,AE434=0,AF434=0,AG434=0),1,0))</f>
        <v/>
      </c>
    </row>
    <row r="435">
      <c r="A435" s="3">
        <f>IF(B435="","",ROW()-2)</f>
        <v/>
      </c>
      <c r="P435" s="4">
        <f>IF(B435="","",SUM(C435:O435))</f>
        <v/>
      </c>
      <c r="Q435" s="5">
        <f>IF(B435="","",ROUND(P435/13,2))</f>
        <v/>
      </c>
      <c r="R435" s="5">
        <f>IF(B435="","",IF(AH435=1,0,MIN(5,ROUND((U435+V435+W435+X435+Y435+Z435+AA435+AB435+AC435+AD435+AE435+AF435+AG435)/13,2))))</f>
        <v/>
      </c>
      <c r="S435" s="3">
        <f>IF(B435="","",IF(R435&gt;=5,"A+",IF(R435&gt;=4,"A",IF(R435&gt;=3.5,"A-",IF(R435&gt;=3,"B",IF(R435&gt;=2,"C",IF(R435&gt;=1,"D","F")))))))</f>
        <v/>
      </c>
      <c r="T435" s="3">
        <f>IF(OR(B435="",S435="F"),"",COUNTIFS(P:P,"&gt;"&amp;P435,S:S,"&lt;&gt;F")+1)</f>
        <v/>
      </c>
      <c r="U435">
        <f>IF(B435="","",IF(C435&lt;33.0,0,IF(C435&gt;=100*0.8,5,IF(C435&gt;=100*0.7,4,IF(C435&gt;=100*0.6,3.5,IF(C435&gt;=100*0.5,3,IF(C435&gt;=100*0.4,2,IF(C435&gt;=100*0.33,1,0))))))))</f>
        <v/>
      </c>
      <c r="V435">
        <f>IF(B435="","",IF(D435&lt;33.0,0,IF(D435&gt;=100*0.8,5,IF(D435&gt;=100*0.7,4,IF(D435&gt;=100*0.6,3.5,IF(D435&gt;=100*0.5,3,IF(D435&gt;=100*0.4,2,IF(D435&gt;=100*0.33,1,0))))))))</f>
        <v/>
      </c>
      <c r="W435">
        <f>IF(B435="","",IF(E435&lt;16.5,0,IF(E435&gt;=50*0.8,5,IF(E435&gt;=50*0.7,4,IF(E435&gt;=50*0.6,3.5,IF(E435&gt;=50*0.5,3,IF(E435&gt;=50*0.4,2,IF(E435&gt;=50*0.33,1,0))))))))</f>
        <v/>
      </c>
      <c r="X435">
        <f>IF(B435="","",IF(F435&lt;33.0,0,IF(F435&gt;=100*0.8,5,IF(F435&gt;=100*0.7,4,IF(F435&gt;=100*0.6,3.5,IF(F435&gt;=100*0.5,3,IF(F435&gt;=100*0.4,2,IF(F435&gt;=100*0.33,1,0))))))))</f>
        <v/>
      </c>
      <c r="Y435">
        <f>IF(B435="","",IF(G435&lt;16.5,0,IF(G435&gt;=50*0.8,5,IF(G435&gt;=50*0.7,4,IF(G435&gt;=50*0.6,3.5,IF(G435&gt;=50*0.5,3,IF(G435&gt;=50*0.4,2,IF(G435&gt;=50*0.33,1,0))))))))</f>
        <v/>
      </c>
      <c r="Z435">
        <f>IF(B435="","",IF(H435&lt;33.0,0,IF(H435&gt;=100*0.8,5,IF(H435&gt;=100*0.7,4,IF(H435&gt;=100*0.6,3.5,IF(H435&gt;=100*0.5,3,IF(H435&gt;=100*0.4,2,IF(H435&gt;=100*0.33,1,0))))))))</f>
        <v/>
      </c>
      <c r="AA435">
        <f>IF(B435="","",IF(I435&lt;33.0,0,IF(I435&gt;=100*0.8,5,IF(I435&gt;=100*0.7,4,IF(I435&gt;=100*0.6,3.5,IF(I435&gt;=100*0.5,3,IF(I435&gt;=100*0.4,2,IF(I435&gt;=100*0.33,1,0))))))))</f>
        <v/>
      </c>
      <c r="AB435">
        <f>IF(B435="","",IF(J435&lt;33.0,0,IF(J435&gt;=100*0.8,5,IF(J435&gt;=100*0.7,4,IF(J435&gt;=100*0.6,3.5,IF(J435&gt;=100*0.5,3,IF(J435&gt;=100*0.4,2,IF(J435&gt;=100*0.33,1,0))))))))</f>
        <v/>
      </c>
      <c r="AC435">
        <f>IF(B435="","",IF(K435&lt;33.0,0,IF(K435&gt;=100*0.8,5,IF(K435&gt;=100*0.7,4,IF(K435&gt;=100*0.6,3.5,IF(K435&gt;=100*0.5,3,IF(K435&gt;=100*0.4,2,IF(K435&gt;=100*0.33,1,0))))))))</f>
        <v/>
      </c>
      <c r="AD435">
        <f>IF(B435="","",IF(L435&lt;33.0,0,IF(L435&gt;=100*0.8,5,IF(L435&gt;=100*0.7,4,IF(L435&gt;=100*0.6,3.5,IF(L435&gt;=100*0.5,3,IF(L435&gt;=100*0.4,2,IF(L435&gt;=100*0.33,1,0))))))))</f>
        <v/>
      </c>
      <c r="AE435">
        <f>IF(B435="","",IF(M435&lt;33.0,0,IF(M435&gt;=100*0.8,5,IF(M435&gt;=100*0.7,4,IF(M435&gt;=100*0.6,3.5,IF(M435&gt;=100*0.5,3,IF(M435&gt;=100*0.4,2,IF(M435&gt;=100*0.33,1,0))))))))</f>
        <v/>
      </c>
      <c r="AF435">
        <f>IF(B435="","",IF(N435&lt;16.5,0,IF(N435&gt;=50*0.8,5,IF(N435&gt;=50*0.7,4,IF(N435&gt;=50*0.6,3.5,IF(N435&gt;=50*0.5,3,IF(N435&gt;=50*0.4,2,IF(N435&gt;=50*0.33,1,0))))))))</f>
        <v/>
      </c>
      <c r="AG435">
        <f>IF(B435="","",IF(O435&lt;33.0,0,IF(O435&gt;=100*0.8,5,IF(O435&gt;=100*0.7,4,IF(O435&gt;=100*0.6,3.5,IF(O435&gt;=100*0.5,3,IF(O435&gt;=100*0.4,2,IF(O435&gt;=100*0.33,1,0))))))))</f>
        <v/>
      </c>
      <c r="AH435">
        <f>IF(B435="","",IF(OR(U435=0,V435=0,W435=0,X435=0,Y435=0,Z435=0,AA435=0,AB435=0,AC435=0,AD435=0,AE435=0,AF435=0,AG435=0),1,0))</f>
        <v/>
      </c>
    </row>
    <row r="436">
      <c r="A436" s="3">
        <f>IF(B436="","",ROW()-2)</f>
        <v/>
      </c>
      <c r="P436" s="4">
        <f>IF(B436="","",SUM(C436:O436))</f>
        <v/>
      </c>
      <c r="Q436" s="5">
        <f>IF(B436="","",ROUND(P436/13,2))</f>
        <v/>
      </c>
      <c r="R436" s="5">
        <f>IF(B436="","",IF(AH436=1,0,MIN(5,ROUND((U436+V436+W436+X436+Y436+Z436+AA436+AB436+AC436+AD436+AE436+AF436+AG436)/13,2))))</f>
        <v/>
      </c>
      <c r="S436" s="3">
        <f>IF(B436="","",IF(R436&gt;=5,"A+",IF(R436&gt;=4,"A",IF(R436&gt;=3.5,"A-",IF(R436&gt;=3,"B",IF(R436&gt;=2,"C",IF(R436&gt;=1,"D","F")))))))</f>
        <v/>
      </c>
      <c r="T436" s="3">
        <f>IF(OR(B436="",S436="F"),"",COUNTIFS(P:P,"&gt;"&amp;P436,S:S,"&lt;&gt;F")+1)</f>
        <v/>
      </c>
      <c r="U436">
        <f>IF(B436="","",IF(C436&lt;33.0,0,IF(C436&gt;=100*0.8,5,IF(C436&gt;=100*0.7,4,IF(C436&gt;=100*0.6,3.5,IF(C436&gt;=100*0.5,3,IF(C436&gt;=100*0.4,2,IF(C436&gt;=100*0.33,1,0))))))))</f>
        <v/>
      </c>
      <c r="V436">
        <f>IF(B436="","",IF(D436&lt;33.0,0,IF(D436&gt;=100*0.8,5,IF(D436&gt;=100*0.7,4,IF(D436&gt;=100*0.6,3.5,IF(D436&gt;=100*0.5,3,IF(D436&gt;=100*0.4,2,IF(D436&gt;=100*0.33,1,0))))))))</f>
        <v/>
      </c>
      <c r="W436">
        <f>IF(B436="","",IF(E436&lt;16.5,0,IF(E436&gt;=50*0.8,5,IF(E436&gt;=50*0.7,4,IF(E436&gt;=50*0.6,3.5,IF(E436&gt;=50*0.5,3,IF(E436&gt;=50*0.4,2,IF(E436&gt;=50*0.33,1,0))))))))</f>
        <v/>
      </c>
      <c r="X436">
        <f>IF(B436="","",IF(F436&lt;33.0,0,IF(F436&gt;=100*0.8,5,IF(F436&gt;=100*0.7,4,IF(F436&gt;=100*0.6,3.5,IF(F436&gt;=100*0.5,3,IF(F436&gt;=100*0.4,2,IF(F436&gt;=100*0.33,1,0))))))))</f>
        <v/>
      </c>
      <c r="Y436">
        <f>IF(B436="","",IF(G436&lt;16.5,0,IF(G436&gt;=50*0.8,5,IF(G436&gt;=50*0.7,4,IF(G436&gt;=50*0.6,3.5,IF(G436&gt;=50*0.5,3,IF(G436&gt;=50*0.4,2,IF(G436&gt;=50*0.33,1,0))))))))</f>
        <v/>
      </c>
      <c r="Z436">
        <f>IF(B436="","",IF(H436&lt;33.0,0,IF(H436&gt;=100*0.8,5,IF(H436&gt;=100*0.7,4,IF(H436&gt;=100*0.6,3.5,IF(H436&gt;=100*0.5,3,IF(H436&gt;=100*0.4,2,IF(H436&gt;=100*0.33,1,0))))))))</f>
        <v/>
      </c>
      <c r="AA436">
        <f>IF(B436="","",IF(I436&lt;33.0,0,IF(I436&gt;=100*0.8,5,IF(I436&gt;=100*0.7,4,IF(I436&gt;=100*0.6,3.5,IF(I436&gt;=100*0.5,3,IF(I436&gt;=100*0.4,2,IF(I436&gt;=100*0.33,1,0))))))))</f>
        <v/>
      </c>
      <c r="AB436">
        <f>IF(B436="","",IF(J436&lt;33.0,0,IF(J436&gt;=100*0.8,5,IF(J436&gt;=100*0.7,4,IF(J436&gt;=100*0.6,3.5,IF(J436&gt;=100*0.5,3,IF(J436&gt;=100*0.4,2,IF(J436&gt;=100*0.33,1,0))))))))</f>
        <v/>
      </c>
      <c r="AC436">
        <f>IF(B436="","",IF(K436&lt;33.0,0,IF(K436&gt;=100*0.8,5,IF(K436&gt;=100*0.7,4,IF(K436&gt;=100*0.6,3.5,IF(K436&gt;=100*0.5,3,IF(K436&gt;=100*0.4,2,IF(K436&gt;=100*0.33,1,0))))))))</f>
        <v/>
      </c>
      <c r="AD436">
        <f>IF(B436="","",IF(L436&lt;33.0,0,IF(L436&gt;=100*0.8,5,IF(L436&gt;=100*0.7,4,IF(L436&gt;=100*0.6,3.5,IF(L436&gt;=100*0.5,3,IF(L436&gt;=100*0.4,2,IF(L436&gt;=100*0.33,1,0))))))))</f>
        <v/>
      </c>
      <c r="AE436">
        <f>IF(B436="","",IF(M436&lt;33.0,0,IF(M436&gt;=100*0.8,5,IF(M436&gt;=100*0.7,4,IF(M436&gt;=100*0.6,3.5,IF(M436&gt;=100*0.5,3,IF(M436&gt;=100*0.4,2,IF(M436&gt;=100*0.33,1,0))))))))</f>
        <v/>
      </c>
      <c r="AF436">
        <f>IF(B436="","",IF(N436&lt;16.5,0,IF(N436&gt;=50*0.8,5,IF(N436&gt;=50*0.7,4,IF(N436&gt;=50*0.6,3.5,IF(N436&gt;=50*0.5,3,IF(N436&gt;=50*0.4,2,IF(N436&gt;=50*0.33,1,0))))))))</f>
        <v/>
      </c>
      <c r="AG436">
        <f>IF(B436="","",IF(O436&lt;33.0,0,IF(O436&gt;=100*0.8,5,IF(O436&gt;=100*0.7,4,IF(O436&gt;=100*0.6,3.5,IF(O436&gt;=100*0.5,3,IF(O436&gt;=100*0.4,2,IF(O436&gt;=100*0.33,1,0))))))))</f>
        <v/>
      </c>
      <c r="AH436">
        <f>IF(B436="","",IF(OR(U436=0,V436=0,W436=0,X436=0,Y436=0,Z436=0,AA436=0,AB436=0,AC436=0,AD436=0,AE436=0,AF436=0,AG436=0),1,0))</f>
        <v/>
      </c>
    </row>
    <row r="437">
      <c r="A437" s="3">
        <f>IF(B437="","",ROW()-2)</f>
        <v/>
      </c>
      <c r="P437" s="4">
        <f>IF(B437="","",SUM(C437:O437))</f>
        <v/>
      </c>
      <c r="Q437" s="5">
        <f>IF(B437="","",ROUND(P437/13,2))</f>
        <v/>
      </c>
      <c r="R437" s="5">
        <f>IF(B437="","",IF(AH437=1,0,MIN(5,ROUND((U437+V437+W437+X437+Y437+Z437+AA437+AB437+AC437+AD437+AE437+AF437+AG437)/13,2))))</f>
        <v/>
      </c>
      <c r="S437" s="3">
        <f>IF(B437="","",IF(R437&gt;=5,"A+",IF(R437&gt;=4,"A",IF(R437&gt;=3.5,"A-",IF(R437&gt;=3,"B",IF(R437&gt;=2,"C",IF(R437&gt;=1,"D","F")))))))</f>
        <v/>
      </c>
      <c r="T437" s="3">
        <f>IF(OR(B437="",S437="F"),"",COUNTIFS(P:P,"&gt;"&amp;P437,S:S,"&lt;&gt;F")+1)</f>
        <v/>
      </c>
      <c r="U437">
        <f>IF(B437="","",IF(C437&lt;33.0,0,IF(C437&gt;=100*0.8,5,IF(C437&gt;=100*0.7,4,IF(C437&gt;=100*0.6,3.5,IF(C437&gt;=100*0.5,3,IF(C437&gt;=100*0.4,2,IF(C437&gt;=100*0.33,1,0))))))))</f>
        <v/>
      </c>
      <c r="V437">
        <f>IF(B437="","",IF(D437&lt;33.0,0,IF(D437&gt;=100*0.8,5,IF(D437&gt;=100*0.7,4,IF(D437&gt;=100*0.6,3.5,IF(D437&gt;=100*0.5,3,IF(D437&gt;=100*0.4,2,IF(D437&gt;=100*0.33,1,0))))))))</f>
        <v/>
      </c>
      <c r="W437">
        <f>IF(B437="","",IF(E437&lt;16.5,0,IF(E437&gt;=50*0.8,5,IF(E437&gt;=50*0.7,4,IF(E437&gt;=50*0.6,3.5,IF(E437&gt;=50*0.5,3,IF(E437&gt;=50*0.4,2,IF(E437&gt;=50*0.33,1,0))))))))</f>
        <v/>
      </c>
      <c r="X437">
        <f>IF(B437="","",IF(F437&lt;33.0,0,IF(F437&gt;=100*0.8,5,IF(F437&gt;=100*0.7,4,IF(F437&gt;=100*0.6,3.5,IF(F437&gt;=100*0.5,3,IF(F437&gt;=100*0.4,2,IF(F437&gt;=100*0.33,1,0))))))))</f>
        <v/>
      </c>
      <c r="Y437">
        <f>IF(B437="","",IF(G437&lt;16.5,0,IF(G437&gt;=50*0.8,5,IF(G437&gt;=50*0.7,4,IF(G437&gt;=50*0.6,3.5,IF(G437&gt;=50*0.5,3,IF(G437&gt;=50*0.4,2,IF(G437&gt;=50*0.33,1,0))))))))</f>
        <v/>
      </c>
      <c r="Z437">
        <f>IF(B437="","",IF(H437&lt;33.0,0,IF(H437&gt;=100*0.8,5,IF(H437&gt;=100*0.7,4,IF(H437&gt;=100*0.6,3.5,IF(H437&gt;=100*0.5,3,IF(H437&gt;=100*0.4,2,IF(H437&gt;=100*0.33,1,0))))))))</f>
        <v/>
      </c>
      <c r="AA437">
        <f>IF(B437="","",IF(I437&lt;33.0,0,IF(I437&gt;=100*0.8,5,IF(I437&gt;=100*0.7,4,IF(I437&gt;=100*0.6,3.5,IF(I437&gt;=100*0.5,3,IF(I437&gt;=100*0.4,2,IF(I437&gt;=100*0.33,1,0))))))))</f>
        <v/>
      </c>
      <c r="AB437">
        <f>IF(B437="","",IF(J437&lt;33.0,0,IF(J437&gt;=100*0.8,5,IF(J437&gt;=100*0.7,4,IF(J437&gt;=100*0.6,3.5,IF(J437&gt;=100*0.5,3,IF(J437&gt;=100*0.4,2,IF(J437&gt;=100*0.33,1,0))))))))</f>
        <v/>
      </c>
      <c r="AC437">
        <f>IF(B437="","",IF(K437&lt;33.0,0,IF(K437&gt;=100*0.8,5,IF(K437&gt;=100*0.7,4,IF(K437&gt;=100*0.6,3.5,IF(K437&gt;=100*0.5,3,IF(K437&gt;=100*0.4,2,IF(K437&gt;=100*0.33,1,0))))))))</f>
        <v/>
      </c>
      <c r="AD437">
        <f>IF(B437="","",IF(L437&lt;33.0,0,IF(L437&gt;=100*0.8,5,IF(L437&gt;=100*0.7,4,IF(L437&gt;=100*0.6,3.5,IF(L437&gt;=100*0.5,3,IF(L437&gt;=100*0.4,2,IF(L437&gt;=100*0.33,1,0))))))))</f>
        <v/>
      </c>
      <c r="AE437">
        <f>IF(B437="","",IF(M437&lt;33.0,0,IF(M437&gt;=100*0.8,5,IF(M437&gt;=100*0.7,4,IF(M437&gt;=100*0.6,3.5,IF(M437&gt;=100*0.5,3,IF(M437&gt;=100*0.4,2,IF(M437&gt;=100*0.33,1,0))))))))</f>
        <v/>
      </c>
      <c r="AF437">
        <f>IF(B437="","",IF(N437&lt;16.5,0,IF(N437&gt;=50*0.8,5,IF(N437&gt;=50*0.7,4,IF(N437&gt;=50*0.6,3.5,IF(N437&gt;=50*0.5,3,IF(N437&gt;=50*0.4,2,IF(N437&gt;=50*0.33,1,0))))))))</f>
        <v/>
      </c>
      <c r="AG437">
        <f>IF(B437="","",IF(O437&lt;33.0,0,IF(O437&gt;=100*0.8,5,IF(O437&gt;=100*0.7,4,IF(O437&gt;=100*0.6,3.5,IF(O437&gt;=100*0.5,3,IF(O437&gt;=100*0.4,2,IF(O437&gt;=100*0.33,1,0))))))))</f>
        <v/>
      </c>
      <c r="AH437">
        <f>IF(B437="","",IF(OR(U437=0,V437=0,W437=0,X437=0,Y437=0,Z437=0,AA437=0,AB437=0,AC437=0,AD437=0,AE437=0,AF437=0,AG437=0),1,0))</f>
        <v/>
      </c>
    </row>
    <row r="438">
      <c r="A438" s="3">
        <f>IF(B438="","",ROW()-2)</f>
        <v/>
      </c>
      <c r="P438" s="4">
        <f>IF(B438="","",SUM(C438:O438))</f>
        <v/>
      </c>
      <c r="Q438" s="5">
        <f>IF(B438="","",ROUND(P438/13,2))</f>
        <v/>
      </c>
      <c r="R438" s="5">
        <f>IF(B438="","",IF(AH438=1,0,MIN(5,ROUND((U438+V438+W438+X438+Y438+Z438+AA438+AB438+AC438+AD438+AE438+AF438+AG438)/13,2))))</f>
        <v/>
      </c>
      <c r="S438" s="3">
        <f>IF(B438="","",IF(R438&gt;=5,"A+",IF(R438&gt;=4,"A",IF(R438&gt;=3.5,"A-",IF(R438&gt;=3,"B",IF(R438&gt;=2,"C",IF(R438&gt;=1,"D","F")))))))</f>
        <v/>
      </c>
      <c r="T438" s="3">
        <f>IF(OR(B438="",S438="F"),"",COUNTIFS(P:P,"&gt;"&amp;P438,S:S,"&lt;&gt;F")+1)</f>
        <v/>
      </c>
      <c r="U438">
        <f>IF(B438="","",IF(C438&lt;33.0,0,IF(C438&gt;=100*0.8,5,IF(C438&gt;=100*0.7,4,IF(C438&gt;=100*0.6,3.5,IF(C438&gt;=100*0.5,3,IF(C438&gt;=100*0.4,2,IF(C438&gt;=100*0.33,1,0))))))))</f>
        <v/>
      </c>
      <c r="V438">
        <f>IF(B438="","",IF(D438&lt;33.0,0,IF(D438&gt;=100*0.8,5,IF(D438&gt;=100*0.7,4,IF(D438&gt;=100*0.6,3.5,IF(D438&gt;=100*0.5,3,IF(D438&gt;=100*0.4,2,IF(D438&gt;=100*0.33,1,0))))))))</f>
        <v/>
      </c>
      <c r="W438">
        <f>IF(B438="","",IF(E438&lt;16.5,0,IF(E438&gt;=50*0.8,5,IF(E438&gt;=50*0.7,4,IF(E438&gt;=50*0.6,3.5,IF(E438&gt;=50*0.5,3,IF(E438&gt;=50*0.4,2,IF(E438&gt;=50*0.33,1,0))))))))</f>
        <v/>
      </c>
      <c r="X438">
        <f>IF(B438="","",IF(F438&lt;33.0,0,IF(F438&gt;=100*0.8,5,IF(F438&gt;=100*0.7,4,IF(F438&gt;=100*0.6,3.5,IF(F438&gt;=100*0.5,3,IF(F438&gt;=100*0.4,2,IF(F438&gt;=100*0.33,1,0))))))))</f>
        <v/>
      </c>
      <c r="Y438">
        <f>IF(B438="","",IF(G438&lt;16.5,0,IF(G438&gt;=50*0.8,5,IF(G438&gt;=50*0.7,4,IF(G438&gt;=50*0.6,3.5,IF(G438&gt;=50*0.5,3,IF(G438&gt;=50*0.4,2,IF(G438&gt;=50*0.33,1,0))))))))</f>
        <v/>
      </c>
      <c r="Z438">
        <f>IF(B438="","",IF(H438&lt;33.0,0,IF(H438&gt;=100*0.8,5,IF(H438&gt;=100*0.7,4,IF(H438&gt;=100*0.6,3.5,IF(H438&gt;=100*0.5,3,IF(H438&gt;=100*0.4,2,IF(H438&gt;=100*0.33,1,0))))))))</f>
        <v/>
      </c>
      <c r="AA438">
        <f>IF(B438="","",IF(I438&lt;33.0,0,IF(I438&gt;=100*0.8,5,IF(I438&gt;=100*0.7,4,IF(I438&gt;=100*0.6,3.5,IF(I438&gt;=100*0.5,3,IF(I438&gt;=100*0.4,2,IF(I438&gt;=100*0.33,1,0))))))))</f>
        <v/>
      </c>
      <c r="AB438">
        <f>IF(B438="","",IF(J438&lt;33.0,0,IF(J438&gt;=100*0.8,5,IF(J438&gt;=100*0.7,4,IF(J438&gt;=100*0.6,3.5,IF(J438&gt;=100*0.5,3,IF(J438&gt;=100*0.4,2,IF(J438&gt;=100*0.33,1,0))))))))</f>
        <v/>
      </c>
      <c r="AC438">
        <f>IF(B438="","",IF(K438&lt;33.0,0,IF(K438&gt;=100*0.8,5,IF(K438&gt;=100*0.7,4,IF(K438&gt;=100*0.6,3.5,IF(K438&gt;=100*0.5,3,IF(K438&gt;=100*0.4,2,IF(K438&gt;=100*0.33,1,0))))))))</f>
        <v/>
      </c>
      <c r="AD438">
        <f>IF(B438="","",IF(L438&lt;33.0,0,IF(L438&gt;=100*0.8,5,IF(L438&gt;=100*0.7,4,IF(L438&gt;=100*0.6,3.5,IF(L438&gt;=100*0.5,3,IF(L438&gt;=100*0.4,2,IF(L438&gt;=100*0.33,1,0))))))))</f>
        <v/>
      </c>
      <c r="AE438">
        <f>IF(B438="","",IF(M438&lt;33.0,0,IF(M438&gt;=100*0.8,5,IF(M438&gt;=100*0.7,4,IF(M438&gt;=100*0.6,3.5,IF(M438&gt;=100*0.5,3,IF(M438&gt;=100*0.4,2,IF(M438&gt;=100*0.33,1,0))))))))</f>
        <v/>
      </c>
      <c r="AF438">
        <f>IF(B438="","",IF(N438&lt;16.5,0,IF(N438&gt;=50*0.8,5,IF(N438&gt;=50*0.7,4,IF(N438&gt;=50*0.6,3.5,IF(N438&gt;=50*0.5,3,IF(N438&gt;=50*0.4,2,IF(N438&gt;=50*0.33,1,0))))))))</f>
        <v/>
      </c>
      <c r="AG438">
        <f>IF(B438="","",IF(O438&lt;33.0,0,IF(O438&gt;=100*0.8,5,IF(O438&gt;=100*0.7,4,IF(O438&gt;=100*0.6,3.5,IF(O438&gt;=100*0.5,3,IF(O438&gt;=100*0.4,2,IF(O438&gt;=100*0.33,1,0))))))))</f>
        <v/>
      </c>
      <c r="AH438">
        <f>IF(B438="","",IF(OR(U438=0,V438=0,W438=0,X438=0,Y438=0,Z438=0,AA438=0,AB438=0,AC438=0,AD438=0,AE438=0,AF438=0,AG438=0),1,0))</f>
        <v/>
      </c>
    </row>
    <row r="439">
      <c r="A439" s="3">
        <f>IF(B439="","",ROW()-2)</f>
        <v/>
      </c>
      <c r="P439" s="4">
        <f>IF(B439="","",SUM(C439:O439))</f>
        <v/>
      </c>
      <c r="Q439" s="5">
        <f>IF(B439="","",ROUND(P439/13,2))</f>
        <v/>
      </c>
      <c r="R439" s="5">
        <f>IF(B439="","",IF(AH439=1,0,MIN(5,ROUND((U439+V439+W439+X439+Y439+Z439+AA439+AB439+AC439+AD439+AE439+AF439+AG439)/13,2))))</f>
        <v/>
      </c>
      <c r="S439" s="3">
        <f>IF(B439="","",IF(R439&gt;=5,"A+",IF(R439&gt;=4,"A",IF(R439&gt;=3.5,"A-",IF(R439&gt;=3,"B",IF(R439&gt;=2,"C",IF(R439&gt;=1,"D","F")))))))</f>
        <v/>
      </c>
      <c r="T439" s="3">
        <f>IF(OR(B439="",S439="F"),"",COUNTIFS(P:P,"&gt;"&amp;P439,S:S,"&lt;&gt;F")+1)</f>
        <v/>
      </c>
      <c r="U439">
        <f>IF(B439="","",IF(C439&lt;33.0,0,IF(C439&gt;=100*0.8,5,IF(C439&gt;=100*0.7,4,IF(C439&gt;=100*0.6,3.5,IF(C439&gt;=100*0.5,3,IF(C439&gt;=100*0.4,2,IF(C439&gt;=100*0.33,1,0))))))))</f>
        <v/>
      </c>
      <c r="V439">
        <f>IF(B439="","",IF(D439&lt;33.0,0,IF(D439&gt;=100*0.8,5,IF(D439&gt;=100*0.7,4,IF(D439&gt;=100*0.6,3.5,IF(D439&gt;=100*0.5,3,IF(D439&gt;=100*0.4,2,IF(D439&gt;=100*0.33,1,0))))))))</f>
        <v/>
      </c>
      <c r="W439">
        <f>IF(B439="","",IF(E439&lt;16.5,0,IF(E439&gt;=50*0.8,5,IF(E439&gt;=50*0.7,4,IF(E439&gt;=50*0.6,3.5,IF(E439&gt;=50*0.5,3,IF(E439&gt;=50*0.4,2,IF(E439&gt;=50*0.33,1,0))))))))</f>
        <v/>
      </c>
      <c r="X439">
        <f>IF(B439="","",IF(F439&lt;33.0,0,IF(F439&gt;=100*0.8,5,IF(F439&gt;=100*0.7,4,IF(F439&gt;=100*0.6,3.5,IF(F439&gt;=100*0.5,3,IF(F439&gt;=100*0.4,2,IF(F439&gt;=100*0.33,1,0))))))))</f>
        <v/>
      </c>
      <c r="Y439">
        <f>IF(B439="","",IF(G439&lt;16.5,0,IF(G439&gt;=50*0.8,5,IF(G439&gt;=50*0.7,4,IF(G439&gt;=50*0.6,3.5,IF(G439&gt;=50*0.5,3,IF(G439&gt;=50*0.4,2,IF(G439&gt;=50*0.33,1,0))))))))</f>
        <v/>
      </c>
      <c r="Z439">
        <f>IF(B439="","",IF(H439&lt;33.0,0,IF(H439&gt;=100*0.8,5,IF(H439&gt;=100*0.7,4,IF(H439&gt;=100*0.6,3.5,IF(H439&gt;=100*0.5,3,IF(H439&gt;=100*0.4,2,IF(H439&gt;=100*0.33,1,0))))))))</f>
        <v/>
      </c>
      <c r="AA439">
        <f>IF(B439="","",IF(I439&lt;33.0,0,IF(I439&gt;=100*0.8,5,IF(I439&gt;=100*0.7,4,IF(I439&gt;=100*0.6,3.5,IF(I439&gt;=100*0.5,3,IF(I439&gt;=100*0.4,2,IF(I439&gt;=100*0.33,1,0))))))))</f>
        <v/>
      </c>
      <c r="AB439">
        <f>IF(B439="","",IF(J439&lt;33.0,0,IF(J439&gt;=100*0.8,5,IF(J439&gt;=100*0.7,4,IF(J439&gt;=100*0.6,3.5,IF(J439&gt;=100*0.5,3,IF(J439&gt;=100*0.4,2,IF(J439&gt;=100*0.33,1,0))))))))</f>
        <v/>
      </c>
      <c r="AC439">
        <f>IF(B439="","",IF(K439&lt;33.0,0,IF(K439&gt;=100*0.8,5,IF(K439&gt;=100*0.7,4,IF(K439&gt;=100*0.6,3.5,IF(K439&gt;=100*0.5,3,IF(K439&gt;=100*0.4,2,IF(K439&gt;=100*0.33,1,0))))))))</f>
        <v/>
      </c>
      <c r="AD439">
        <f>IF(B439="","",IF(L439&lt;33.0,0,IF(L439&gt;=100*0.8,5,IF(L439&gt;=100*0.7,4,IF(L439&gt;=100*0.6,3.5,IF(L439&gt;=100*0.5,3,IF(L439&gt;=100*0.4,2,IF(L439&gt;=100*0.33,1,0))))))))</f>
        <v/>
      </c>
      <c r="AE439">
        <f>IF(B439="","",IF(M439&lt;33.0,0,IF(M439&gt;=100*0.8,5,IF(M439&gt;=100*0.7,4,IF(M439&gt;=100*0.6,3.5,IF(M439&gt;=100*0.5,3,IF(M439&gt;=100*0.4,2,IF(M439&gt;=100*0.33,1,0))))))))</f>
        <v/>
      </c>
      <c r="AF439">
        <f>IF(B439="","",IF(N439&lt;16.5,0,IF(N439&gt;=50*0.8,5,IF(N439&gt;=50*0.7,4,IF(N439&gt;=50*0.6,3.5,IF(N439&gt;=50*0.5,3,IF(N439&gt;=50*0.4,2,IF(N439&gt;=50*0.33,1,0))))))))</f>
        <v/>
      </c>
      <c r="AG439">
        <f>IF(B439="","",IF(O439&lt;33.0,0,IF(O439&gt;=100*0.8,5,IF(O439&gt;=100*0.7,4,IF(O439&gt;=100*0.6,3.5,IF(O439&gt;=100*0.5,3,IF(O439&gt;=100*0.4,2,IF(O439&gt;=100*0.33,1,0))))))))</f>
        <v/>
      </c>
      <c r="AH439">
        <f>IF(B439="","",IF(OR(U439=0,V439=0,W439=0,X439=0,Y439=0,Z439=0,AA439=0,AB439=0,AC439=0,AD439=0,AE439=0,AF439=0,AG439=0),1,0))</f>
        <v/>
      </c>
    </row>
    <row r="440">
      <c r="A440" s="3">
        <f>IF(B440="","",ROW()-2)</f>
        <v/>
      </c>
      <c r="P440" s="4">
        <f>IF(B440="","",SUM(C440:O440))</f>
        <v/>
      </c>
      <c r="Q440" s="5">
        <f>IF(B440="","",ROUND(P440/13,2))</f>
        <v/>
      </c>
      <c r="R440" s="5">
        <f>IF(B440="","",IF(AH440=1,0,MIN(5,ROUND((U440+V440+W440+X440+Y440+Z440+AA440+AB440+AC440+AD440+AE440+AF440+AG440)/13,2))))</f>
        <v/>
      </c>
      <c r="S440" s="3">
        <f>IF(B440="","",IF(R440&gt;=5,"A+",IF(R440&gt;=4,"A",IF(R440&gt;=3.5,"A-",IF(R440&gt;=3,"B",IF(R440&gt;=2,"C",IF(R440&gt;=1,"D","F")))))))</f>
        <v/>
      </c>
      <c r="T440" s="3">
        <f>IF(OR(B440="",S440="F"),"",COUNTIFS(P:P,"&gt;"&amp;P440,S:S,"&lt;&gt;F")+1)</f>
        <v/>
      </c>
      <c r="U440">
        <f>IF(B440="","",IF(C440&lt;33.0,0,IF(C440&gt;=100*0.8,5,IF(C440&gt;=100*0.7,4,IF(C440&gt;=100*0.6,3.5,IF(C440&gt;=100*0.5,3,IF(C440&gt;=100*0.4,2,IF(C440&gt;=100*0.33,1,0))))))))</f>
        <v/>
      </c>
      <c r="V440">
        <f>IF(B440="","",IF(D440&lt;33.0,0,IF(D440&gt;=100*0.8,5,IF(D440&gt;=100*0.7,4,IF(D440&gt;=100*0.6,3.5,IF(D440&gt;=100*0.5,3,IF(D440&gt;=100*0.4,2,IF(D440&gt;=100*0.33,1,0))))))))</f>
        <v/>
      </c>
      <c r="W440">
        <f>IF(B440="","",IF(E440&lt;16.5,0,IF(E440&gt;=50*0.8,5,IF(E440&gt;=50*0.7,4,IF(E440&gt;=50*0.6,3.5,IF(E440&gt;=50*0.5,3,IF(E440&gt;=50*0.4,2,IF(E440&gt;=50*0.33,1,0))))))))</f>
        <v/>
      </c>
      <c r="X440">
        <f>IF(B440="","",IF(F440&lt;33.0,0,IF(F440&gt;=100*0.8,5,IF(F440&gt;=100*0.7,4,IF(F440&gt;=100*0.6,3.5,IF(F440&gt;=100*0.5,3,IF(F440&gt;=100*0.4,2,IF(F440&gt;=100*0.33,1,0))))))))</f>
        <v/>
      </c>
      <c r="Y440">
        <f>IF(B440="","",IF(G440&lt;16.5,0,IF(G440&gt;=50*0.8,5,IF(G440&gt;=50*0.7,4,IF(G440&gt;=50*0.6,3.5,IF(G440&gt;=50*0.5,3,IF(G440&gt;=50*0.4,2,IF(G440&gt;=50*0.33,1,0))))))))</f>
        <v/>
      </c>
      <c r="Z440">
        <f>IF(B440="","",IF(H440&lt;33.0,0,IF(H440&gt;=100*0.8,5,IF(H440&gt;=100*0.7,4,IF(H440&gt;=100*0.6,3.5,IF(H440&gt;=100*0.5,3,IF(H440&gt;=100*0.4,2,IF(H440&gt;=100*0.33,1,0))))))))</f>
        <v/>
      </c>
      <c r="AA440">
        <f>IF(B440="","",IF(I440&lt;33.0,0,IF(I440&gt;=100*0.8,5,IF(I440&gt;=100*0.7,4,IF(I440&gt;=100*0.6,3.5,IF(I440&gt;=100*0.5,3,IF(I440&gt;=100*0.4,2,IF(I440&gt;=100*0.33,1,0))))))))</f>
        <v/>
      </c>
      <c r="AB440">
        <f>IF(B440="","",IF(J440&lt;33.0,0,IF(J440&gt;=100*0.8,5,IF(J440&gt;=100*0.7,4,IF(J440&gt;=100*0.6,3.5,IF(J440&gt;=100*0.5,3,IF(J440&gt;=100*0.4,2,IF(J440&gt;=100*0.33,1,0))))))))</f>
        <v/>
      </c>
      <c r="AC440">
        <f>IF(B440="","",IF(K440&lt;33.0,0,IF(K440&gt;=100*0.8,5,IF(K440&gt;=100*0.7,4,IF(K440&gt;=100*0.6,3.5,IF(K440&gt;=100*0.5,3,IF(K440&gt;=100*0.4,2,IF(K440&gt;=100*0.33,1,0))))))))</f>
        <v/>
      </c>
      <c r="AD440">
        <f>IF(B440="","",IF(L440&lt;33.0,0,IF(L440&gt;=100*0.8,5,IF(L440&gt;=100*0.7,4,IF(L440&gt;=100*0.6,3.5,IF(L440&gt;=100*0.5,3,IF(L440&gt;=100*0.4,2,IF(L440&gt;=100*0.33,1,0))))))))</f>
        <v/>
      </c>
      <c r="AE440">
        <f>IF(B440="","",IF(M440&lt;33.0,0,IF(M440&gt;=100*0.8,5,IF(M440&gt;=100*0.7,4,IF(M440&gt;=100*0.6,3.5,IF(M440&gt;=100*0.5,3,IF(M440&gt;=100*0.4,2,IF(M440&gt;=100*0.33,1,0))))))))</f>
        <v/>
      </c>
      <c r="AF440">
        <f>IF(B440="","",IF(N440&lt;16.5,0,IF(N440&gt;=50*0.8,5,IF(N440&gt;=50*0.7,4,IF(N440&gt;=50*0.6,3.5,IF(N440&gt;=50*0.5,3,IF(N440&gt;=50*0.4,2,IF(N440&gt;=50*0.33,1,0))))))))</f>
        <v/>
      </c>
      <c r="AG440">
        <f>IF(B440="","",IF(O440&lt;33.0,0,IF(O440&gt;=100*0.8,5,IF(O440&gt;=100*0.7,4,IF(O440&gt;=100*0.6,3.5,IF(O440&gt;=100*0.5,3,IF(O440&gt;=100*0.4,2,IF(O440&gt;=100*0.33,1,0))))))))</f>
        <v/>
      </c>
      <c r="AH440">
        <f>IF(B440="","",IF(OR(U440=0,V440=0,W440=0,X440=0,Y440=0,Z440=0,AA440=0,AB440=0,AC440=0,AD440=0,AE440=0,AF440=0,AG440=0),1,0))</f>
        <v/>
      </c>
    </row>
    <row r="441">
      <c r="A441" s="3">
        <f>IF(B441="","",ROW()-2)</f>
        <v/>
      </c>
      <c r="P441" s="4">
        <f>IF(B441="","",SUM(C441:O441))</f>
        <v/>
      </c>
      <c r="Q441" s="5">
        <f>IF(B441="","",ROUND(P441/13,2))</f>
        <v/>
      </c>
      <c r="R441" s="5">
        <f>IF(B441="","",IF(AH441=1,0,MIN(5,ROUND((U441+V441+W441+X441+Y441+Z441+AA441+AB441+AC441+AD441+AE441+AF441+AG441)/13,2))))</f>
        <v/>
      </c>
      <c r="S441" s="3">
        <f>IF(B441="","",IF(R441&gt;=5,"A+",IF(R441&gt;=4,"A",IF(R441&gt;=3.5,"A-",IF(R441&gt;=3,"B",IF(R441&gt;=2,"C",IF(R441&gt;=1,"D","F")))))))</f>
        <v/>
      </c>
      <c r="T441" s="3">
        <f>IF(OR(B441="",S441="F"),"",COUNTIFS(P:P,"&gt;"&amp;P441,S:S,"&lt;&gt;F")+1)</f>
        <v/>
      </c>
      <c r="U441">
        <f>IF(B441="","",IF(C441&lt;33.0,0,IF(C441&gt;=100*0.8,5,IF(C441&gt;=100*0.7,4,IF(C441&gt;=100*0.6,3.5,IF(C441&gt;=100*0.5,3,IF(C441&gt;=100*0.4,2,IF(C441&gt;=100*0.33,1,0))))))))</f>
        <v/>
      </c>
      <c r="V441">
        <f>IF(B441="","",IF(D441&lt;33.0,0,IF(D441&gt;=100*0.8,5,IF(D441&gt;=100*0.7,4,IF(D441&gt;=100*0.6,3.5,IF(D441&gt;=100*0.5,3,IF(D441&gt;=100*0.4,2,IF(D441&gt;=100*0.33,1,0))))))))</f>
        <v/>
      </c>
      <c r="W441">
        <f>IF(B441="","",IF(E441&lt;16.5,0,IF(E441&gt;=50*0.8,5,IF(E441&gt;=50*0.7,4,IF(E441&gt;=50*0.6,3.5,IF(E441&gt;=50*0.5,3,IF(E441&gt;=50*0.4,2,IF(E441&gt;=50*0.33,1,0))))))))</f>
        <v/>
      </c>
      <c r="X441">
        <f>IF(B441="","",IF(F441&lt;33.0,0,IF(F441&gt;=100*0.8,5,IF(F441&gt;=100*0.7,4,IF(F441&gt;=100*0.6,3.5,IF(F441&gt;=100*0.5,3,IF(F441&gt;=100*0.4,2,IF(F441&gt;=100*0.33,1,0))))))))</f>
        <v/>
      </c>
      <c r="Y441">
        <f>IF(B441="","",IF(G441&lt;16.5,0,IF(G441&gt;=50*0.8,5,IF(G441&gt;=50*0.7,4,IF(G441&gt;=50*0.6,3.5,IF(G441&gt;=50*0.5,3,IF(G441&gt;=50*0.4,2,IF(G441&gt;=50*0.33,1,0))))))))</f>
        <v/>
      </c>
      <c r="Z441">
        <f>IF(B441="","",IF(H441&lt;33.0,0,IF(H441&gt;=100*0.8,5,IF(H441&gt;=100*0.7,4,IF(H441&gt;=100*0.6,3.5,IF(H441&gt;=100*0.5,3,IF(H441&gt;=100*0.4,2,IF(H441&gt;=100*0.33,1,0))))))))</f>
        <v/>
      </c>
      <c r="AA441">
        <f>IF(B441="","",IF(I441&lt;33.0,0,IF(I441&gt;=100*0.8,5,IF(I441&gt;=100*0.7,4,IF(I441&gt;=100*0.6,3.5,IF(I441&gt;=100*0.5,3,IF(I441&gt;=100*0.4,2,IF(I441&gt;=100*0.33,1,0))))))))</f>
        <v/>
      </c>
      <c r="AB441">
        <f>IF(B441="","",IF(J441&lt;33.0,0,IF(J441&gt;=100*0.8,5,IF(J441&gt;=100*0.7,4,IF(J441&gt;=100*0.6,3.5,IF(J441&gt;=100*0.5,3,IF(J441&gt;=100*0.4,2,IF(J441&gt;=100*0.33,1,0))))))))</f>
        <v/>
      </c>
      <c r="AC441">
        <f>IF(B441="","",IF(K441&lt;33.0,0,IF(K441&gt;=100*0.8,5,IF(K441&gt;=100*0.7,4,IF(K441&gt;=100*0.6,3.5,IF(K441&gt;=100*0.5,3,IF(K441&gt;=100*0.4,2,IF(K441&gt;=100*0.33,1,0))))))))</f>
        <v/>
      </c>
      <c r="AD441">
        <f>IF(B441="","",IF(L441&lt;33.0,0,IF(L441&gt;=100*0.8,5,IF(L441&gt;=100*0.7,4,IF(L441&gt;=100*0.6,3.5,IF(L441&gt;=100*0.5,3,IF(L441&gt;=100*0.4,2,IF(L441&gt;=100*0.33,1,0))))))))</f>
        <v/>
      </c>
      <c r="AE441">
        <f>IF(B441="","",IF(M441&lt;33.0,0,IF(M441&gt;=100*0.8,5,IF(M441&gt;=100*0.7,4,IF(M441&gt;=100*0.6,3.5,IF(M441&gt;=100*0.5,3,IF(M441&gt;=100*0.4,2,IF(M441&gt;=100*0.33,1,0))))))))</f>
        <v/>
      </c>
      <c r="AF441">
        <f>IF(B441="","",IF(N441&lt;16.5,0,IF(N441&gt;=50*0.8,5,IF(N441&gt;=50*0.7,4,IF(N441&gt;=50*0.6,3.5,IF(N441&gt;=50*0.5,3,IF(N441&gt;=50*0.4,2,IF(N441&gt;=50*0.33,1,0))))))))</f>
        <v/>
      </c>
      <c r="AG441">
        <f>IF(B441="","",IF(O441&lt;33.0,0,IF(O441&gt;=100*0.8,5,IF(O441&gt;=100*0.7,4,IF(O441&gt;=100*0.6,3.5,IF(O441&gt;=100*0.5,3,IF(O441&gt;=100*0.4,2,IF(O441&gt;=100*0.33,1,0))))))))</f>
        <v/>
      </c>
      <c r="AH441">
        <f>IF(B441="","",IF(OR(U441=0,V441=0,W441=0,X441=0,Y441=0,Z441=0,AA441=0,AB441=0,AC441=0,AD441=0,AE441=0,AF441=0,AG441=0),1,0))</f>
        <v/>
      </c>
    </row>
    <row r="442">
      <c r="A442" s="3">
        <f>IF(B442="","",ROW()-2)</f>
        <v/>
      </c>
      <c r="P442" s="4">
        <f>IF(B442="","",SUM(C442:O442))</f>
        <v/>
      </c>
      <c r="Q442" s="5">
        <f>IF(B442="","",ROUND(P442/13,2))</f>
        <v/>
      </c>
      <c r="R442" s="5">
        <f>IF(B442="","",IF(AH442=1,0,MIN(5,ROUND((U442+V442+W442+X442+Y442+Z442+AA442+AB442+AC442+AD442+AE442+AF442+AG442)/13,2))))</f>
        <v/>
      </c>
      <c r="S442" s="3">
        <f>IF(B442="","",IF(R442&gt;=5,"A+",IF(R442&gt;=4,"A",IF(R442&gt;=3.5,"A-",IF(R442&gt;=3,"B",IF(R442&gt;=2,"C",IF(R442&gt;=1,"D","F")))))))</f>
        <v/>
      </c>
      <c r="T442" s="3">
        <f>IF(OR(B442="",S442="F"),"",COUNTIFS(P:P,"&gt;"&amp;P442,S:S,"&lt;&gt;F")+1)</f>
        <v/>
      </c>
      <c r="U442">
        <f>IF(B442="","",IF(C442&lt;33.0,0,IF(C442&gt;=100*0.8,5,IF(C442&gt;=100*0.7,4,IF(C442&gt;=100*0.6,3.5,IF(C442&gt;=100*0.5,3,IF(C442&gt;=100*0.4,2,IF(C442&gt;=100*0.33,1,0))))))))</f>
        <v/>
      </c>
      <c r="V442">
        <f>IF(B442="","",IF(D442&lt;33.0,0,IF(D442&gt;=100*0.8,5,IF(D442&gt;=100*0.7,4,IF(D442&gt;=100*0.6,3.5,IF(D442&gt;=100*0.5,3,IF(D442&gt;=100*0.4,2,IF(D442&gt;=100*0.33,1,0))))))))</f>
        <v/>
      </c>
      <c r="W442">
        <f>IF(B442="","",IF(E442&lt;16.5,0,IF(E442&gt;=50*0.8,5,IF(E442&gt;=50*0.7,4,IF(E442&gt;=50*0.6,3.5,IF(E442&gt;=50*0.5,3,IF(E442&gt;=50*0.4,2,IF(E442&gt;=50*0.33,1,0))))))))</f>
        <v/>
      </c>
      <c r="X442">
        <f>IF(B442="","",IF(F442&lt;33.0,0,IF(F442&gt;=100*0.8,5,IF(F442&gt;=100*0.7,4,IF(F442&gt;=100*0.6,3.5,IF(F442&gt;=100*0.5,3,IF(F442&gt;=100*0.4,2,IF(F442&gt;=100*0.33,1,0))))))))</f>
        <v/>
      </c>
      <c r="Y442">
        <f>IF(B442="","",IF(G442&lt;16.5,0,IF(G442&gt;=50*0.8,5,IF(G442&gt;=50*0.7,4,IF(G442&gt;=50*0.6,3.5,IF(G442&gt;=50*0.5,3,IF(G442&gt;=50*0.4,2,IF(G442&gt;=50*0.33,1,0))))))))</f>
        <v/>
      </c>
      <c r="Z442">
        <f>IF(B442="","",IF(H442&lt;33.0,0,IF(H442&gt;=100*0.8,5,IF(H442&gt;=100*0.7,4,IF(H442&gt;=100*0.6,3.5,IF(H442&gt;=100*0.5,3,IF(H442&gt;=100*0.4,2,IF(H442&gt;=100*0.33,1,0))))))))</f>
        <v/>
      </c>
      <c r="AA442">
        <f>IF(B442="","",IF(I442&lt;33.0,0,IF(I442&gt;=100*0.8,5,IF(I442&gt;=100*0.7,4,IF(I442&gt;=100*0.6,3.5,IF(I442&gt;=100*0.5,3,IF(I442&gt;=100*0.4,2,IF(I442&gt;=100*0.33,1,0))))))))</f>
        <v/>
      </c>
      <c r="AB442">
        <f>IF(B442="","",IF(J442&lt;33.0,0,IF(J442&gt;=100*0.8,5,IF(J442&gt;=100*0.7,4,IF(J442&gt;=100*0.6,3.5,IF(J442&gt;=100*0.5,3,IF(J442&gt;=100*0.4,2,IF(J442&gt;=100*0.33,1,0))))))))</f>
        <v/>
      </c>
      <c r="AC442">
        <f>IF(B442="","",IF(K442&lt;33.0,0,IF(K442&gt;=100*0.8,5,IF(K442&gt;=100*0.7,4,IF(K442&gt;=100*0.6,3.5,IF(K442&gt;=100*0.5,3,IF(K442&gt;=100*0.4,2,IF(K442&gt;=100*0.33,1,0))))))))</f>
        <v/>
      </c>
      <c r="AD442">
        <f>IF(B442="","",IF(L442&lt;33.0,0,IF(L442&gt;=100*0.8,5,IF(L442&gt;=100*0.7,4,IF(L442&gt;=100*0.6,3.5,IF(L442&gt;=100*0.5,3,IF(L442&gt;=100*0.4,2,IF(L442&gt;=100*0.33,1,0))))))))</f>
        <v/>
      </c>
      <c r="AE442">
        <f>IF(B442="","",IF(M442&lt;33.0,0,IF(M442&gt;=100*0.8,5,IF(M442&gt;=100*0.7,4,IF(M442&gt;=100*0.6,3.5,IF(M442&gt;=100*0.5,3,IF(M442&gt;=100*0.4,2,IF(M442&gt;=100*0.33,1,0))))))))</f>
        <v/>
      </c>
      <c r="AF442">
        <f>IF(B442="","",IF(N442&lt;16.5,0,IF(N442&gt;=50*0.8,5,IF(N442&gt;=50*0.7,4,IF(N442&gt;=50*0.6,3.5,IF(N442&gt;=50*0.5,3,IF(N442&gt;=50*0.4,2,IF(N442&gt;=50*0.33,1,0))))))))</f>
        <v/>
      </c>
      <c r="AG442">
        <f>IF(B442="","",IF(O442&lt;33.0,0,IF(O442&gt;=100*0.8,5,IF(O442&gt;=100*0.7,4,IF(O442&gt;=100*0.6,3.5,IF(O442&gt;=100*0.5,3,IF(O442&gt;=100*0.4,2,IF(O442&gt;=100*0.33,1,0))))))))</f>
        <v/>
      </c>
      <c r="AH442">
        <f>IF(B442="","",IF(OR(U442=0,V442=0,W442=0,X442=0,Y442=0,Z442=0,AA442=0,AB442=0,AC442=0,AD442=0,AE442=0,AF442=0,AG442=0),1,0))</f>
        <v/>
      </c>
    </row>
    <row r="443">
      <c r="A443" s="3">
        <f>IF(B443="","",ROW()-2)</f>
        <v/>
      </c>
      <c r="P443" s="4">
        <f>IF(B443="","",SUM(C443:O443))</f>
        <v/>
      </c>
      <c r="Q443" s="5">
        <f>IF(B443="","",ROUND(P443/13,2))</f>
        <v/>
      </c>
      <c r="R443" s="5">
        <f>IF(B443="","",IF(AH443=1,0,MIN(5,ROUND((U443+V443+W443+X443+Y443+Z443+AA443+AB443+AC443+AD443+AE443+AF443+AG443)/13,2))))</f>
        <v/>
      </c>
      <c r="S443" s="3">
        <f>IF(B443="","",IF(R443&gt;=5,"A+",IF(R443&gt;=4,"A",IF(R443&gt;=3.5,"A-",IF(R443&gt;=3,"B",IF(R443&gt;=2,"C",IF(R443&gt;=1,"D","F")))))))</f>
        <v/>
      </c>
      <c r="T443" s="3">
        <f>IF(OR(B443="",S443="F"),"",COUNTIFS(P:P,"&gt;"&amp;P443,S:S,"&lt;&gt;F")+1)</f>
        <v/>
      </c>
      <c r="U443">
        <f>IF(B443="","",IF(C443&lt;33.0,0,IF(C443&gt;=100*0.8,5,IF(C443&gt;=100*0.7,4,IF(C443&gt;=100*0.6,3.5,IF(C443&gt;=100*0.5,3,IF(C443&gt;=100*0.4,2,IF(C443&gt;=100*0.33,1,0))))))))</f>
        <v/>
      </c>
      <c r="V443">
        <f>IF(B443="","",IF(D443&lt;33.0,0,IF(D443&gt;=100*0.8,5,IF(D443&gt;=100*0.7,4,IF(D443&gt;=100*0.6,3.5,IF(D443&gt;=100*0.5,3,IF(D443&gt;=100*0.4,2,IF(D443&gt;=100*0.33,1,0))))))))</f>
        <v/>
      </c>
      <c r="W443">
        <f>IF(B443="","",IF(E443&lt;16.5,0,IF(E443&gt;=50*0.8,5,IF(E443&gt;=50*0.7,4,IF(E443&gt;=50*0.6,3.5,IF(E443&gt;=50*0.5,3,IF(E443&gt;=50*0.4,2,IF(E443&gt;=50*0.33,1,0))))))))</f>
        <v/>
      </c>
      <c r="X443">
        <f>IF(B443="","",IF(F443&lt;33.0,0,IF(F443&gt;=100*0.8,5,IF(F443&gt;=100*0.7,4,IF(F443&gt;=100*0.6,3.5,IF(F443&gt;=100*0.5,3,IF(F443&gt;=100*0.4,2,IF(F443&gt;=100*0.33,1,0))))))))</f>
        <v/>
      </c>
      <c r="Y443">
        <f>IF(B443="","",IF(G443&lt;16.5,0,IF(G443&gt;=50*0.8,5,IF(G443&gt;=50*0.7,4,IF(G443&gt;=50*0.6,3.5,IF(G443&gt;=50*0.5,3,IF(G443&gt;=50*0.4,2,IF(G443&gt;=50*0.33,1,0))))))))</f>
        <v/>
      </c>
      <c r="Z443">
        <f>IF(B443="","",IF(H443&lt;33.0,0,IF(H443&gt;=100*0.8,5,IF(H443&gt;=100*0.7,4,IF(H443&gt;=100*0.6,3.5,IF(H443&gt;=100*0.5,3,IF(H443&gt;=100*0.4,2,IF(H443&gt;=100*0.33,1,0))))))))</f>
        <v/>
      </c>
      <c r="AA443">
        <f>IF(B443="","",IF(I443&lt;33.0,0,IF(I443&gt;=100*0.8,5,IF(I443&gt;=100*0.7,4,IF(I443&gt;=100*0.6,3.5,IF(I443&gt;=100*0.5,3,IF(I443&gt;=100*0.4,2,IF(I443&gt;=100*0.33,1,0))))))))</f>
        <v/>
      </c>
      <c r="AB443">
        <f>IF(B443="","",IF(J443&lt;33.0,0,IF(J443&gt;=100*0.8,5,IF(J443&gt;=100*0.7,4,IF(J443&gt;=100*0.6,3.5,IF(J443&gt;=100*0.5,3,IF(J443&gt;=100*0.4,2,IF(J443&gt;=100*0.33,1,0))))))))</f>
        <v/>
      </c>
      <c r="AC443">
        <f>IF(B443="","",IF(K443&lt;33.0,0,IF(K443&gt;=100*0.8,5,IF(K443&gt;=100*0.7,4,IF(K443&gt;=100*0.6,3.5,IF(K443&gt;=100*0.5,3,IF(K443&gt;=100*0.4,2,IF(K443&gt;=100*0.33,1,0))))))))</f>
        <v/>
      </c>
      <c r="AD443">
        <f>IF(B443="","",IF(L443&lt;33.0,0,IF(L443&gt;=100*0.8,5,IF(L443&gt;=100*0.7,4,IF(L443&gt;=100*0.6,3.5,IF(L443&gt;=100*0.5,3,IF(L443&gt;=100*0.4,2,IF(L443&gt;=100*0.33,1,0))))))))</f>
        <v/>
      </c>
      <c r="AE443">
        <f>IF(B443="","",IF(M443&lt;33.0,0,IF(M443&gt;=100*0.8,5,IF(M443&gt;=100*0.7,4,IF(M443&gt;=100*0.6,3.5,IF(M443&gt;=100*0.5,3,IF(M443&gt;=100*0.4,2,IF(M443&gt;=100*0.33,1,0))))))))</f>
        <v/>
      </c>
      <c r="AF443">
        <f>IF(B443="","",IF(N443&lt;16.5,0,IF(N443&gt;=50*0.8,5,IF(N443&gt;=50*0.7,4,IF(N443&gt;=50*0.6,3.5,IF(N443&gt;=50*0.5,3,IF(N443&gt;=50*0.4,2,IF(N443&gt;=50*0.33,1,0))))))))</f>
        <v/>
      </c>
      <c r="AG443">
        <f>IF(B443="","",IF(O443&lt;33.0,0,IF(O443&gt;=100*0.8,5,IF(O443&gt;=100*0.7,4,IF(O443&gt;=100*0.6,3.5,IF(O443&gt;=100*0.5,3,IF(O443&gt;=100*0.4,2,IF(O443&gt;=100*0.33,1,0))))))))</f>
        <v/>
      </c>
      <c r="AH443">
        <f>IF(B443="","",IF(OR(U443=0,V443=0,W443=0,X443=0,Y443=0,Z443=0,AA443=0,AB443=0,AC443=0,AD443=0,AE443=0,AF443=0,AG443=0),1,0))</f>
        <v/>
      </c>
    </row>
    <row r="444">
      <c r="A444" s="3">
        <f>IF(B444="","",ROW()-2)</f>
        <v/>
      </c>
      <c r="P444" s="4">
        <f>IF(B444="","",SUM(C444:O444))</f>
        <v/>
      </c>
      <c r="Q444" s="5">
        <f>IF(B444="","",ROUND(P444/13,2))</f>
        <v/>
      </c>
      <c r="R444" s="5">
        <f>IF(B444="","",IF(AH444=1,0,MIN(5,ROUND((U444+V444+W444+X444+Y444+Z444+AA444+AB444+AC444+AD444+AE444+AF444+AG444)/13,2))))</f>
        <v/>
      </c>
      <c r="S444" s="3">
        <f>IF(B444="","",IF(R444&gt;=5,"A+",IF(R444&gt;=4,"A",IF(R444&gt;=3.5,"A-",IF(R444&gt;=3,"B",IF(R444&gt;=2,"C",IF(R444&gt;=1,"D","F")))))))</f>
        <v/>
      </c>
      <c r="T444" s="3">
        <f>IF(OR(B444="",S444="F"),"",COUNTIFS(P:P,"&gt;"&amp;P444,S:S,"&lt;&gt;F")+1)</f>
        <v/>
      </c>
      <c r="U444">
        <f>IF(B444="","",IF(C444&lt;33.0,0,IF(C444&gt;=100*0.8,5,IF(C444&gt;=100*0.7,4,IF(C444&gt;=100*0.6,3.5,IF(C444&gt;=100*0.5,3,IF(C444&gt;=100*0.4,2,IF(C444&gt;=100*0.33,1,0))))))))</f>
        <v/>
      </c>
      <c r="V444">
        <f>IF(B444="","",IF(D444&lt;33.0,0,IF(D444&gt;=100*0.8,5,IF(D444&gt;=100*0.7,4,IF(D444&gt;=100*0.6,3.5,IF(D444&gt;=100*0.5,3,IF(D444&gt;=100*0.4,2,IF(D444&gt;=100*0.33,1,0))))))))</f>
        <v/>
      </c>
      <c r="W444">
        <f>IF(B444="","",IF(E444&lt;16.5,0,IF(E444&gt;=50*0.8,5,IF(E444&gt;=50*0.7,4,IF(E444&gt;=50*0.6,3.5,IF(E444&gt;=50*0.5,3,IF(E444&gt;=50*0.4,2,IF(E444&gt;=50*0.33,1,0))))))))</f>
        <v/>
      </c>
      <c r="X444">
        <f>IF(B444="","",IF(F444&lt;33.0,0,IF(F444&gt;=100*0.8,5,IF(F444&gt;=100*0.7,4,IF(F444&gt;=100*0.6,3.5,IF(F444&gt;=100*0.5,3,IF(F444&gt;=100*0.4,2,IF(F444&gt;=100*0.33,1,0))))))))</f>
        <v/>
      </c>
      <c r="Y444">
        <f>IF(B444="","",IF(G444&lt;16.5,0,IF(G444&gt;=50*0.8,5,IF(G444&gt;=50*0.7,4,IF(G444&gt;=50*0.6,3.5,IF(G444&gt;=50*0.5,3,IF(G444&gt;=50*0.4,2,IF(G444&gt;=50*0.33,1,0))))))))</f>
        <v/>
      </c>
      <c r="Z444">
        <f>IF(B444="","",IF(H444&lt;33.0,0,IF(H444&gt;=100*0.8,5,IF(H444&gt;=100*0.7,4,IF(H444&gt;=100*0.6,3.5,IF(H444&gt;=100*0.5,3,IF(H444&gt;=100*0.4,2,IF(H444&gt;=100*0.33,1,0))))))))</f>
        <v/>
      </c>
      <c r="AA444">
        <f>IF(B444="","",IF(I444&lt;33.0,0,IF(I444&gt;=100*0.8,5,IF(I444&gt;=100*0.7,4,IF(I444&gt;=100*0.6,3.5,IF(I444&gt;=100*0.5,3,IF(I444&gt;=100*0.4,2,IF(I444&gt;=100*0.33,1,0))))))))</f>
        <v/>
      </c>
      <c r="AB444">
        <f>IF(B444="","",IF(J444&lt;33.0,0,IF(J444&gt;=100*0.8,5,IF(J444&gt;=100*0.7,4,IF(J444&gt;=100*0.6,3.5,IF(J444&gt;=100*0.5,3,IF(J444&gt;=100*0.4,2,IF(J444&gt;=100*0.33,1,0))))))))</f>
        <v/>
      </c>
      <c r="AC444">
        <f>IF(B444="","",IF(K444&lt;33.0,0,IF(K444&gt;=100*0.8,5,IF(K444&gt;=100*0.7,4,IF(K444&gt;=100*0.6,3.5,IF(K444&gt;=100*0.5,3,IF(K444&gt;=100*0.4,2,IF(K444&gt;=100*0.33,1,0))))))))</f>
        <v/>
      </c>
      <c r="AD444">
        <f>IF(B444="","",IF(L444&lt;33.0,0,IF(L444&gt;=100*0.8,5,IF(L444&gt;=100*0.7,4,IF(L444&gt;=100*0.6,3.5,IF(L444&gt;=100*0.5,3,IF(L444&gt;=100*0.4,2,IF(L444&gt;=100*0.33,1,0))))))))</f>
        <v/>
      </c>
      <c r="AE444">
        <f>IF(B444="","",IF(M444&lt;33.0,0,IF(M444&gt;=100*0.8,5,IF(M444&gt;=100*0.7,4,IF(M444&gt;=100*0.6,3.5,IF(M444&gt;=100*0.5,3,IF(M444&gt;=100*0.4,2,IF(M444&gt;=100*0.33,1,0))))))))</f>
        <v/>
      </c>
      <c r="AF444">
        <f>IF(B444="","",IF(N444&lt;16.5,0,IF(N444&gt;=50*0.8,5,IF(N444&gt;=50*0.7,4,IF(N444&gt;=50*0.6,3.5,IF(N444&gt;=50*0.5,3,IF(N444&gt;=50*0.4,2,IF(N444&gt;=50*0.33,1,0))))))))</f>
        <v/>
      </c>
      <c r="AG444">
        <f>IF(B444="","",IF(O444&lt;33.0,0,IF(O444&gt;=100*0.8,5,IF(O444&gt;=100*0.7,4,IF(O444&gt;=100*0.6,3.5,IF(O444&gt;=100*0.5,3,IF(O444&gt;=100*0.4,2,IF(O444&gt;=100*0.33,1,0))))))))</f>
        <v/>
      </c>
      <c r="AH444">
        <f>IF(B444="","",IF(OR(U444=0,V444=0,W444=0,X444=0,Y444=0,Z444=0,AA444=0,AB444=0,AC444=0,AD444=0,AE444=0,AF444=0,AG444=0),1,0))</f>
        <v/>
      </c>
    </row>
    <row r="445">
      <c r="A445" s="3">
        <f>IF(B445="","",ROW()-2)</f>
        <v/>
      </c>
      <c r="P445" s="4">
        <f>IF(B445="","",SUM(C445:O445))</f>
        <v/>
      </c>
      <c r="Q445" s="5">
        <f>IF(B445="","",ROUND(P445/13,2))</f>
        <v/>
      </c>
      <c r="R445" s="5">
        <f>IF(B445="","",IF(AH445=1,0,MIN(5,ROUND((U445+V445+W445+X445+Y445+Z445+AA445+AB445+AC445+AD445+AE445+AF445+AG445)/13,2))))</f>
        <v/>
      </c>
      <c r="S445" s="3">
        <f>IF(B445="","",IF(R445&gt;=5,"A+",IF(R445&gt;=4,"A",IF(R445&gt;=3.5,"A-",IF(R445&gt;=3,"B",IF(R445&gt;=2,"C",IF(R445&gt;=1,"D","F")))))))</f>
        <v/>
      </c>
      <c r="T445" s="3">
        <f>IF(OR(B445="",S445="F"),"",COUNTIFS(P:P,"&gt;"&amp;P445,S:S,"&lt;&gt;F")+1)</f>
        <v/>
      </c>
      <c r="U445">
        <f>IF(B445="","",IF(C445&lt;33.0,0,IF(C445&gt;=100*0.8,5,IF(C445&gt;=100*0.7,4,IF(C445&gt;=100*0.6,3.5,IF(C445&gt;=100*0.5,3,IF(C445&gt;=100*0.4,2,IF(C445&gt;=100*0.33,1,0))))))))</f>
        <v/>
      </c>
      <c r="V445">
        <f>IF(B445="","",IF(D445&lt;33.0,0,IF(D445&gt;=100*0.8,5,IF(D445&gt;=100*0.7,4,IF(D445&gt;=100*0.6,3.5,IF(D445&gt;=100*0.5,3,IF(D445&gt;=100*0.4,2,IF(D445&gt;=100*0.33,1,0))))))))</f>
        <v/>
      </c>
      <c r="W445">
        <f>IF(B445="","",IF(E445&lt;16.5,0,IF(E445&gt;=50*0.8,5,IF(E445&gt;=50*0.7,4,IF(E445&gt;=50*0.6,3.5,IF(E445&gt;=50*0.5,3,IF(E445&gt;=50*0.4,2,IF(E445&gt;=50*0.33,1,0))))))))</f>
        <v/>
      </c>
      <c r="X445">
        <f>IF(B445="","",IF(F445&lt;33.0,0,IF(F445&gt;=100*0.8,5,IF(F445&gt;=100*0.7,4,IF(F445&gt;=100*0.6,3.5,IF(F445&gt;=100*0.5,3,IF(F445&gt;=100*0.4,2,IF(F445&gt;=100*0.33,1,0))))))))</f>
        <v/>
      </c>
      <c r="Y445">
        <f>IF(B445="","",IF(G445&lt;16.5,0,IF(G445&gt;=50*0.8,5,IF(G445&gt;=50*0.7,4,IF(G445&gt;=50*0.6,3.5,IF(G445&gt;=50*0.5,3,IF(G445&gt;=50*0.4,2,IF(G445&gt;=50*0.33,1,0))))))))</f>
        <v/>
      </c>
      <c r="Z445">
        <f>IF(B445="","",IF(H445&lt;33.0,0,IF(H445&gt;=100*0.8,5,IF(H445&gt;=100*0.7,4,IF(H445&gt;=100*0.6,3.5,IF(H445&gt;=100*0.5,3,IF(H445&gt;=100*0.4,2,IF(H445&gt;=100*0.33,1,0))))))))</f>
        <v/>
      </c>
      <c r="AA445">
        <f>IF(B445="","",IF(I445&lt;33.0,0,IF(I445&gt;=100*0.8,5,IF(I445&gt;=100*0.7,4,IF(I445&gt;=100*0.6,3.5,IF(I445&gt;=100*0.5,3,IF(I445&gt;=100*0.4,2,IF(I445&gt;=100*0.33,1,0))))))))</f>
        <v/>
      </c>
      <c r="AB445">
        <f>IF(B445="","",IF(J445&lt;33.0,0,IF(J445&gt;=100*0.8,5,IF(J445&gt;=100*0.7,4,IF(J445&gt;=100*0.6,3.5,IF(J445&gt;=100*0.5,3,IF(J445&gt;=100*0.4,2,IF(J445&gt;=100*0.33,1,0))))))))</f>
        <v/>
      </c>
      <c r="AC445">
        <f>IF(B445="","",IF(K445&lt;33.0,0,IF(K445&gt;=100*0.8,5,IF(K445&gt;=100*0.7,4,IF(K445&gt;=100*0.6,3.5,IF(K445&gt;=100*0.5,3,IF(K445&gt;=100*0.4,2,IF(K445&gt;=100*0.33,1,0))))))))</f>
        <v/>
      </c>
      <c r="AD445">
        <f>IF(B445="","",IF(L445&lt;33.0,0,IF(L445&gt;=100*0.8,5,IF(L445&gt;=100*0.7,4,IF(L445&gt;=100*0.6,3.5,IF(L445&gt;=100*0.5,3,IF(L445&gt;=100*0.4,2,IF(L445&gt;=100*0.33,1,0))))))))</f>
        <v/>
      </c>
      <c r="AE445">
        <f>IF(B445="","",IF(M445&lt;33.0,0,IF(M445&gt;=100*0.8,5,IF(M445&gt;=100*0.7,4,IF(M445&gt;=100*0.6,3.5,IF(M445&gt;=100*0.5,3,IF(M445&gt;=100*0.4,2,IF(M445&gt;=100*0.33,1,0))))))))</f>
        <v/>
      </c>
      <c r="AF445">
        <f>IF(B445="","",IF(N445&lt;16.5,0,IF(N445&gt;=50*0.8,5,IF(N445&gt;=50*0.7,4,IF(N445&gt;=50*0.6,3.5,IF(N445&gt;=50*0.5,3,IF(N445&gt;=50*0.4,2,IF(N445&gt;=50*0.33,1,0))))))))</f>
        <v/>
      </c>
      <c r="AG445">
        <f>IF(B445="","",IF(O445&lt;33.0,0,IF(O445&gt;=100*0.8,5,IF(O445&gt;=100*0.7,4,IF(O445&gt;=100*0.6,3.5,IF(O445&gt;=100*0.5,3,IF(O445&gt;=100*0.4,2,IF(O445&gt;=100*0.33,1,0))))))))</f>
        <v/>
      </c>
      <c r="AH445">
        <f>IF(B445="","",IF(OR(U445=0,V445=0,W445=0,X445=0,Y445=0,Z445=0,AA445=0,AB445=0,AC445=0,AD445=0,AE445=0,AF445=0,AG445=0),1,0))</f>
        <v/>
      </c>
    </row>
    <row r="446">
      <c r="A446" s="3">
        <f>IF(B446="","",ROW()-2)</f>
        <v/>
      </c>
      <c r="P446" s="4">
        <f>IF(B446="","",SUM(C446:O446))</f>
        <v/>
      </c>
      <c r="Q446" s="5">
        <f>IF(B446="","",ROUND(P446/13,2))</f>
        <v/>
      </c>
      <c r="R446" s="5">
        <f>IF(B446="","",IF(AH446=1,0,MIN(5,ROUND((U446+V446+W446+X446+Y446+Z446+AA446+AB446+AC446+AD446+AE446+AF446+AG446)/13,2))))</f>
        <v/>
      </c>
      <c r="S446" s="3">
        <f>IF(B446="","",IF(R446&gt;=5,"A+",IF(R446&gt;=4,"A",IF(R446&gt;=3.5,"A-",IF(R446&gt;=3,"B",IF(R446&gt;=2,"C",IF(R446&gt;=1,"D","F")))))))</f>
        <v/>
      </c>
      <c r="T446" s="3">
        <f>IF(OR(B446="",S446="F"),"",COUNTIFS(P:P,"&gt;"&amp;P446,S:S,"&lt;&gt;F")+1)</f>
        <v/>
      </c>
      <c r="U446">
        <f>IF(B446="","",IF(C446&lt;33.0,0,IF(C446&gt;=100*0.8,5,IF(C446&gt;=100*0.7,4,IF(C446&gt;=100*0.6,3.5,IF(C446&gt;=100*0.5,3,IF(C446&gt;=100*0.4,2,IF(C446&gt;=100*0.33,1,0))))))))</f>
        <v/>
      </c>
      <c r="V446">
        <f>IF(B446="","",IF(D446&lt;33.0,0,IF(D446&gt;=100*0.8,5,IF(D446&gt;=100*0.7,4,IF(D446&gt;=100*0.6,3.5,IF(D446&gt;=100*0.5,3,IF(D446&gt;=100*0.4,2,IF(D446&gt;=100*0.33,1,0))))))))</f>
        <v/>
      </c>
      <c r="W446">
        <f>IF(B446="","",IF(E446&lt;16.5,0,IF(E446&gt;=50*0.8,5,IF(E446&gt;=50*0.7,4,IF(E446&gt;=50*0.6,3.5,IF(E446&gt;=50*0.5,3,IF(E446&gt;=50*0.4,2,IF(E446&gt;=50*0.33,1,0))))))))</f>
        <v/>
      </c>
      <c r="X446">
        <f>IF(B446="","",IF(F446&lt;33.0,0,IF(F446&gt;=100*0.8,5,IF(F446&gt;=100*0.7,4,IF(F446&gt;=100*0.6,3.5,IF(F446&gt;=100*0.5,3,IF(F446&gt;=100*0.4,2,IF(F446&gt;=100*0.33,1,0))))))))</f>
        <v/>
      </c>
      <c r="Y446">
        <f>IF(B446="","",IF(G446&lt;16.5,0,IF(G446&gt;=50*0.8,5,IF(G446&gt;=50*0.7,4,IF(G446&gt;=50*0.6,3.5,IF(G446&gt;=50*0.5,3,IF(G446&gt;=50*0.4,2,IF(G446&gt;=50*0.33,1,0))))))))</f>
        <v/>
      </c>
      <c r="Z446">
        <f>IF(B446="","",IF(H446&lt;33.0,0,IF(H446&gt;=100*0.8,5,IF(H446&gt;=100*0.7,4,IF(H446&gt;=100*0.6,3.5,IF(H446&gt;=100*0.5,3,IF(H446&gt;=100*0.4,2,IF(H446&gt;=100*0.33,1,0))))))))</f>
        <v/>
      </c>
      <c r="AA446">
        <f>IF(B446="","",IF(I446&lt;33.0,0,IF(I446&gt;=100*0.8,5,IF(I446&gt;=100*0.7,4,IF(I446&gt;=100*0.6,3.5,IF(I446&gt;=100*0.5,3,IF(I446&gt;=100*0.4,2,IF(I446&gt;=100*0.33,1,0))))))))</f>
        <v/>
      </c>
      <c r="AB446">
        <f>IF(B446="","",IF(J446&lt;33.0,0,IF(J446&gt;=100*0.8,5,IF(J446&gt;=100*0.7,4,IF(J446&gt;=100*0.6,3.5,IF(J446&gt;=100*0.5,3,IF(J446&gt;=100*0.4,2,IF(J446&gt;=100*0.33,1,0))))))))</f>
        <v/>
      </c>
      <c r="AC446">
        <f>IF(B446="","",IF(K446&lt;33.0,0,IF(K446&gt;=100*0.8,5,IF(K446&gt;=100*0.7,4,IF(K446&gt;=100*0.6,3.5,IF(K446&gt;=100*0.5,3,IF(K446&gt;=100*0.4,2,IF(K446&gt;=100*0.33,1,0))))))))</f>
        <v/>
      </c>
      <c r="AD446">
        <f>IF(B446="","",IF(L446&lt;33.0,0,IF(L446&gt;=100*0.8,5,IF(L446&gt;=100*0.7,4,IF(L446&gt;=100*0.6,3.5,IF(L446&gt;=100*0.5,3,IF(L446&gt;=100*0.4,2,IF(L446&gt;=100*0.33,1,0))))))))</f>
        <v/>
      </c>
      <c r="AE446">
        <f>IF(B446="","",IF(M446&lt;33.0,0,IF(M446&gt;=100*0.8,5,IF(M446&gt;=100*0.7,4,IF(M446&gt;=100*0.6,3.5,IF(M446&gt;=100*0.5,3,IF(M446&gt;=100*0.4,2,IF(M446&gt;=100*0.33,1,0))))))))</f>
        <v/>
      </c>
      <c r="AF446">
        <f>IF(B446="","",IF(N446&lt;16.5,0,IF(N446&gt;=50*0.8,5,IF(N446&gt;=50*0.7,4,IF(N446&gt;=50*0.6,3.5,IF(N446&gt;=50*0.5,3,IF(N446&gt;=50*0.4,2,IF(N446&gt;=50*0.33,1,0))))))))</f>
        <v/>
      </c>
      <c r="AG446">
        <f>IF(B446="","",IF(O446&lt;33.0,0,IF(O446&gt;=100*0.8,5,IF(O446&gt;=100*0.7,4,IF(O446&gt;=100*0.6,3.5,IF(O446&gt;=100*0.5,3,IF(O446&gt;=100*0.4,2,IF(O446&gt;=100*0.33,1,0))))))))</f>
        <v/>
      </c>
      <c r="AH446">
        <f>IF(B446="","",IF(OR(U446=0,V446=0,W446=0,X446=0,Y446=0,Z446=0,AA446=0,AB446=0,AC446=0,AD446=0,AE446=0,AF446=0,AG446=0),1,0))</f>
        <v/>
      </c>
    </row>
    <row r="447">
      <c r="A447" s="3">
        <f>IF(B447="","",ROW()-2)</f>
        <v/>
      </c>
      <c r="P447" s="4">
        <f>IF(B447="","",SUM(C447:O447))</f>
        <v/>
      </c>
      <c r="Q447" s="5">
        <f>IF(B447="","",ROUND(P447/13,2))</f>
        <v/>
      </c>
      <c r="R447" s="5">
        <f>IF(B447="","",IF(AH447=1,0,MIN(5,ROUND((U447+V447+W447+X447+Y447+Z447+AA447+AB447+AC447+AD447+AE447+AF447+AG447)/13,2))))</f>
        <v/>
      </c>
      <c r="S447" s="3">
        <f>IF(B447="","",IF(R447&gt;=5,"A+",IF(R447&gt;=4,"A",IF(R447&gt;=3.5,"A-",IF(R447&gt;=3,"B",IF(R447&gt;=2,"C",IF(R447&gt;=1,"D","F")))))))</f>
        <v/>
      </c>
      <c r="T447" s="3">
        <f>IF(OR(B447="",S447="F"),"",COUNTIFS(P:P,"&gt;"&amp;P447,S:S,"&lt;&gt;F")+1)</f>
        <v/>
      </c>
      <c r="U447">
        <f>IF(B447="","",IF(C447&lt;33.0,0,IF(C447&gt;=100*0.8,5,IF(C447&gt;=100*0.7,4,IF(C447&gt;=100*0.6,3.5,IF(C447&gt;=100*0.5,3,IF(C447&gt;=100*0.4,2,IF(C447&gt;=100*0.33,1,0))))))))</f>
        <v/>
      </c>
      <c r="V447">
        <f>IF(B447="","",IF(D447&lt;33.0,0,IF(D447&gt;=100*0.8,5,IF(D447&gt;=100*0.7,4,IF(D447&gt;=100*0.6,3.5,IF(D447&gt;=100*0.5,3,IF(D447&gt;=100*0.4,2,IF(D447&gt;=100*0.33,1,0))))))))</f>
        <v/>
      </c>
      <c r="W447">
        <f>IF(B447="","",IF(E447&lt;16.5,0,IF(E447&gt;=50*0.8,5,IF(E447&gt;=50*0.7,4,IF(E447&gt;=50*0.6,3.5,IF(E447&gt;=50*0.5,3,IF(E447&gt;=50*0.4,2,IF(E447&gt;=50*0.33,1,0))))))))</f>
        <v/>
      </c>
      <c r="X447">
        <f>IF(B447="","",IF(F447&lt;33.0,0,IF(F447&gt;=100*0.8,5,IF(F447&gt;=100*0.7,4,IF(F447&gt;=100*0.6,3.5,IF(F447&gt;=100*0.5,3,IF(F447&gt;=100*0.4,2,IF(F447&gt;=100*0.33,1,0))))))))</f>
        <v/>
      </c>
      <c r="Y447">
        <f>IF(B447="","",IF(G447&lt;16.5,0,IF(G447&gt;=50*0.8,5,IF(G447&gt;=50*0.7,4,IF(G447&gt;=50*0.6,3.5,IF(G447&gt;=50*0.5,3,IF(G447&gt;=50*0.4,2,IF(G447&gt;=50*0.33,1,0))))))))</f>
        <v/>
      </c>
      <c r="Z447">
        <f>IF(B447="","",IF(H447&lt;33.0,0,IF(H447&gt;=100*0.8,5,IF(H447&gt;=100*0.7,4,IF(H447&gt;=100*0.6,3.5,IF(H447&gt;=100*0.5,3,IF(H447&gt;=100*0.4,2,IF(H447&gt;=100*0.33,1,0))))))))</f>
        <v/>
      </c>
      <c r="AA447">
        <f>IF(B447="","",IF(I447&lt;33.0,0,IF(I447&gt;=100*0.8,5,IF(I447&gt;=100*0.7,4,IF(I447&gt;=100*0.6,3.5,IF(I447&gt;=100*0.5,3,IF(I447&gt;=100*0.4,2,IF(I447&gt;=100*0.33,1,0))))))))</f>
        <v/>
      </c>
      <c r="AB447">
        <f>IF(B447="","",IF(J447&lt;33.0,0,IF(J447&gt;=100*0.8,5,IF(J447&gt;=100*0.7,4,IF(J447&gt;=100*0.6,3.5,IF(J447&gt;=100*0.5,3,IF(J447&gt;=100*0.4,2,IF(J447&gt;=100*0.33,1,0))))))))</f>
        <v/>
      </c>
      <c r="AC447">
        <f>IF(B447="","",IF(K447&lt;33.0,0,IF(K447&gt;=100*0.8,5,IF(K447&gt;=100*0.7,4,IF(K447&gt;=100*0.6,3.5,IF(K447&gt;=100*0.5,3,IF(K447&gt;=100*0.4,2,IF(K447&gt;=100*0.33,1,0))))))))</f>
        <v/>
      </c>
      <c r="AD447">
        <f>IF(B447="","",IF(L447&lt;33.0,0,IF(L447&gt;=100*0.8,5,IF(L447&gt;=100*0.7,4,IF(L447&gt;=100*0.6,3.5,IF(L447&gt;=100*0.5,3,IF(L447&gt;=100*0.4,2,IF(L447&gt;=100*0.33,1,0))))))))</f>
        <v/>
      </c>
      <c r="AE447">
        <f>IF(B447="","",IF(M447&lt;33.0,0,IF(M447&gt;=100*0.8,5,IF(M447&gt;=100*0.7,4,IF(M447&gt;=100*0.6,3.5,IF(M447&gt;=100*0.5,3,IF(M447&gt;=100*0.4,2,IF(M447&gt;=100*0.33,1,0))))))))</f>
        <v/>
      </c>
      <c r="AF447">
        <f>IF(B447="","",IF(N447&lt;16.5,0,IF(N447&gt;=50*0.8,5,IF(N447&gt;=50*0.7,4,IF(N447&gt;=50*0.6,3.5,IF(N447&gt;=50*0.5,3,IF(N447&gt;=50*0.4,2,IF(N447&gt;=50*0.33,1,0))))))))</f>
        <v/>
      </c>
      <c r="AG447">
        <f>IF(B447="","",IF(O447&lt;33.0,0,IF(O447&gt;=100*0.8,5,IF(O447&gt;=100*0.7,4,IF(O447&gt;=100*0.6,3.5,IF(O447&gt;=100*0.5,3,IF(O447&gt;=100*0.4,2,IF(O447&gt;=100*0.33,1,0))))))))</f>
        <v/>
      </c>
      <c r="AH447">
        <f>IF(B447="","",IF(OR(U447=0,V447=0,W447=0,X447=0,Y447=0,Z447=0,AA447=0,AB447=0,AC447=0,AD447=0,AE447=0,AF447=0,AG447=0),1,0))</f>
        <v/>
      </c>
    </row>
    <row r="448">
      <c r="A448" s="3">
        <f>IF(B448="","",ROW()-2)</f>
        <v/>
      </c>
      <c r="P448" s="4">
        <f>IF(B448="","",SUM(C448:O448))</f>
        <v/>
      </c>
      <c r="Q448" s="5">
        <f>IF(B448="","",ROUND(P448/13,2))</f>
        <v/>
      </c>
      <c r="R448" s="5">
        <f>IF(B448="","",IF(AH448=1,0,MIN(5,ROUND((U448+V448+W448+X448+Y448+Z448+AA448+AB448+AC448+AD448+AE448+AF448+AG448)/13,2))))</f>
        <v/>
      </c>
      <c r="S448" s="3">
        <f>IF(B448="","",IF(R448&gt;=5,"A+",IF(R448&gt;=4,"A",IF(R448&gt;=3.5,"A-",IF(R448&gt;=3,"B",IF(R448&gt;=2,"C",IF(R448&gt;=1,"D","F")))))))</f>
        <v/>
      </c>
      <c r="T448" s="3">
        <f>IF(OR(B448="",S448="F"),"",COUNTIFS(P:P,"&gt;"&amp;P448,S:S,"&lt;&gt;F")+1)</f>
        <v/>
      </c>
      <c r="U448">
        <f>IF(B448="","",IF(C448&lt;33.0,0,IF(C448&gt;=100*0.8,5,IF(C448&gt;=100*0.7,4,IF(C448&gt;=100*0.6,3.5,IF(C448&gt;=100*0.5,3,IF(C448&gt;=100*0.4,2,IF(C448&gt;=100*0.33,1,0))))))))</f>
        <v/>
      </c>
      <c r="V448">
        <f>IF(B448="","",IF(D448&lt;33.0,0,IF(D448&gt;=100*0.8,5,IF(D448&gt;=100*0.7,4,IF(D448&gt;=100*0.6,3.5,IF(D448&gt;=100*0.5,3,IF(D448&gt;=100*0.4,2,IF(D448&gt;=100*0.33,1,0))))))))</f>
        <v/>
      </c>
      <c r="W448">
        <f>IF(B448="","",IF(E448&lt;16.5,0,IF(E448&gt;=50*0.8,5,IF(E448&gt;=50*0.7,4,IF(E448&gt;=50*0.6,3.5,IF(E448&gt;=50*0.5,3,IF(E448&gt;=50*0.4,2,IF(E448&gt;=50*0.33,1,0))))))))</f>
        <v/>
      </c>
      <c r="X448">
        <f>IF(B448="","",IF(F448&lt;33.0,0,IF(F448&gt;=100*0.8,5,IF(F448&gt;=100*0.7,4,IF(F448&gt;=100*0.6,3.5,IF(F448&gt;=100*0.5,3,IF(F448&gt;=100*0.4,2,IF(F448&gt;=100*0.33,1,0))))))))</f>
        <v/>
      </c>
      <c r="Y448">
        <f>IF(B448="","",IF(G448&lt;16.5,0,IF(G448&gt;=50*0.8,5,IF(G448&gt;=50*0.7,4,IF(G448&gt;=50*0.6,3.5,IF(G448&gt;=50*0.5,3,IF(G448&gt;=50*0.4,2,IF(G448&gt;=50*0.33,1,0))))))))</f>
        <v/>
      </c>
      <c r="Z448">
        <f>IF(B448="","",IF(H448&lt;33.0,0,IF(H448&gt;=100*0.8,5,IF(H448&gt;=100*0.7,4,IF(H448&gt;=100*0.6,3.5,IF(H448&gt;=100*0.5,3,IF(H448&gt;=100*0.4,2,IF(H448&gt;=100*0.33,1,0))))))))</f>
        <v/>
      </c>
      <c r="AA448">
        <f>IF(B448="","",IF(I448&lt;33.0,0,IF(I448&gt;=100*0.8,5,IF(I448&gt;=100*0.7,4,IF(I448&gt;=100*0.6,3.5,IF(I448&gt;=100*0.5,3,IF(I448&gt;=100*0.4,2,IF(I448&gt;=100*0.33,1,0))))))))</f>
        <v/>
      </c>
      <c r="AB448">
        <f>IF(B448="","",IF(J448&lt;33.0,0,IF(J448&gt;=100*0.8,5,IF(J448&gt;=100*0.7,4,IF(J448&gt;=100*0.6,3.5,IF(J448&gt;=100*0.5,3,IF(J448&gt;=100*0.4,2,IF(J448&gt;=100*0.33,1,0))))))))</f>
        <v/>
      </c>
      <c r="AC448">
        <f>IF(B448="","",IF(K448&lt;33.0,0,IF(K448&gt;=100*0.8,5,IF(K448&gt;=100*0.7,4,IF(K448&gt;=100*0.6,3.5,IF(K448&gt;=100*0.5,3,IF(K448&gt;=100*0.4,2,IF(K448&gt;=100*0.33,1,0))))))))</f>
        <v/>
      </c>
      <c r="AD448">
        <f>IF(B448="","",IF(L448&lt;33.0,0,IF(L448&gt;=100*0.8,5,IF(L448&gt;=100*0.7,4,IF(L448&gt;=100*0.6,3.5,IF(L448&gt;=100*0.5,3,IF(L448&gt;=100*0.4,2,IF(L448&gt;=100*0.33,1,0))))))))</f>
        <v/>
      </c>
      <c r="AE448">
        <f>IF(B448="","",IF(M448&lt;33.0,0,IF(M448&gt;=100*0.8,5,IF(M448&gt;=100*0.7,4,IF(M448&gt;=100*0.6,3.5,IF(M448&gt;=100*0.5,3,IF(M448&gt;=100*0.4,2,IF(M448&gt;=100*0.33,1,0))))))))</f>
        <v/>
      </c>
      <c r="AF448">
        <f>IF(B448="","",IF(N448&lt;16.5,0,IF(N448&gt;=50*0.8,5,IF(N448&gt;=50*0.7,4,IF(N448&gt;=50*0.6,3.5,IF(N448&gt;=50*0.5,3,IF(N448&gt;=50*0.4,2,IF(N448&gt;=50*0.33,1,0))))))))</f>
        <v/>
      </c>
      <c r="AG448">
        <f>IF(B448="","",IF(O448&lt;33.0,0,IF(O448&gt;=100*0.8,5,IF(O448&gt;=100*0.7,4,IF(O448&gt;=100*0.6,3.5,IF(O448&gt;=100*0.5,3,IF(O448&gt;=100*0.4,2,IF(O448&gt;=100*0.33,1,0))))))))</f>
        <v/>
      </c>
      <c r="AH448">
        <f>IF(B448="","",IF(OR(U448=0,V448=0,W448=0,X448=0,Y448=0,Z448=0,AA448=0,AB448=0,AC448=0,AD448=0,AE448=0,AF448=0,AG448=0),1,0))</f>
        <v/>
      </c>
    </row>
    <row r="449">
      <c r="A449" s="3">
        <f>IF(B449="","",ROW()-2)</f>
        <v/>
      </c>
      <c r="P449" s="4">
        <f>IF(B449="","",SUM(C449:O449))</f>
        <v/>
      </c>
      <c r="Q449" s="5">
        <f>IF(B449="","",ROUND(P449/13,2))</f>
        <v/>
      </c>
      <c r="R449" s="5">
        <f>IF(B449="","",IF(AH449=1,0,MIN(5,ROUND((U449+V449+W449+X449+Y449+Z449+AA449+AB449+AC449+AD449+AE449+AF449+AG449)/13,2))))</f>
        <v/>
      </c>
      <c r="S449" s="3">
        <f>IF(B449="","",IF(R449&gt;=5,"A+",IF(R449&gt;=4,"A",IF(R449&gt;=3.5,"A-",IF(R449&gt;=3,"B",IF(R449&gt;=2,"C",IF(R449&gt;=1,"D","F")))))))</f>
        <v/>
      </c>
      <c r="T449" s="3">
        <f>IF(OR(B449="",S449="F"),"",COUNTIFS(P:P,"&gt;"&amp;P449,S:S,"&lt;&gt;F")+1)</f>
        <v/>
      </c>
      <c r="U449">
        <f>IF(B449="","",IF(C449&lt;33.0,0,IF(C449&gt;=100*0.8,5,IF(C449&gt;=100*0.7,4,IF(C449&gt;=100*0.6,3.5,IF(C449&gt;=100*0.5,3,IF(C449&gt;=100*0.4,2,IF(C449&gt;=100*0.33,1,0))))))))</f>
        <v/>
      </c>
      <c r="V449">
        <f>IF(B449="","",IF(D449&lt;33.0,0,IF(D449&gt;=100*0.8,5,IF(D449&gt;=100*0.7,4,IF(D449&gt;=100*0.6,3.5,IF(D449&gt;=100*0.5,3,IF(D449&gt;=100*0.4,2,IF(D449&gt;=100*0.33,1,0))))))))</f>
        <v/>
      </c>
      <c r="W449">
        <f>IF(B449="","",IF(E449&lt;16.5,0,IF(E449&gt;=50*0.8,5,IF(E449&gt;=50*0.7,4,IF(E449&gt;=50*0.6,3.5,IF(E449&gt;=50*0.5,3,IF(E449&gt;=50*0.4,2,IF(E449&gt;=50*0.33,1,0))))))))</f>
        <v/>
      </c>
      <c r="X449">
        <f>IF(B449="","",IF(F449&lt;33.0,0,IF(F449&gt;=100*0.8,5,IF(F449&gt;=100*0.7,4,IF(F449&gt;=100*0.6,3.5,IF(F449&gt;=100*0.5,3,IF(F449&gt;=100*0.4,2,IF(F449&gt;=100*0.33,1,0))))))))</f>
        <v/>
      </c>
      <c r="Y449">
        <f>IF(B449="","",IF(G449&lt;16.5,0,IF(G449&gt;=50*0.8,5,IF(G449&gt;=50*0.7,4,IF(G449&gt;=50*0.6,3.5,IF(G449&gt;=50*0.5,3,IF(G449&gt;=50*0.4,2,IF(G449&gt;=50*0.33,1,0))))))))</f>
        <v/>
      </c>
      <c r="Z449">
        <f>IF(B449="","",IF(H449&lt;33.0,0,IF(H449&gt;=100*0.8,5,IF(H449&gt;=100*0.7,4,IF(H449&gt;=100*0.6,3.5,IF(H449&gt;=100*0.5,3,IF(H449&gt;=100*0.4,2,IF(H449&gt;=100*0.33,1,0))))))))</f>
        <v/>
      </c>
      <c r="AA449">
        <f>IF(B449="","",IF(I449&lt;33.0,0,IF(I449&gt;=100*0.8,5,IF(I449&gt;=100*0.7,4,IF(I449&gt;=100*0.6,3.5,IF(I449&gt;=100*0.5,3,IF(I449&gt;=100*0.4,2,IF(I449&gt;=100*0.33,1,0))))))))</f>
        <v/>
      </c>
      <c r="AB449">
        <f>IF(B449="","",IF(J449&lt;33.0,0,IF(J449&gt;=100*0.8,5,IF(J449&gt;=100*0.7,4,IF(J449&gt;=100*0.6,3.5,IF(J449&gt;=100*0.5,3,IF(J449&gt;=100*0.4,2,IF(J449&gt;=100*0.33,1,0))))))))</f>
        <v/>
      </c>
      <c r="AC449">
        <f>IF(B449="","",IF(K449&lt;33.0,0,IF(K449&gt;=100*0.8,5,IF(K449&gt;=100*0.7,4,IF(K449&gt;=100*0.6,3.5,IF(K449&gt;=100*0.5,3,IF(K449&gt;=100*0.4,2,IF(K449&gt;=100*0.33,1,0))))))))</f>
        <v/>
      </c>
      <c r="AD449">
        <f>IF(B449="","",IF(L449&lt;33.0,0,IF(L449&gt;=100*0.8,5,IF(L449&gt;=100*0.7,4,IF(L449&gt;=100*0.6,3.5,IF(L449&gt;=100*0.5,3,IF(L449&gt;=100*0.4,2,IF(L449&gt;=100*0.33,1,0))))))))</f>
        <v/>
      </c>
      <c r="AE449">
        <f>IF(B449="","",IF(M449&lt;33.0,0,IF(M449&gt;=100*0.8,5,IF(M449&gt;=100*0.7,4,IF(M449&gt;=100*0.6,3.5,IF(M449&gt;=100*0.5,3,IF(M449&gt;=100*0.4,2,IF(M449&gt;=100*0.33,1,0))))))))</f>
        <v/>
      </c>
      <c r="AF449">
        <f>IF(B449="","",IF(N449&lt;16.5,0,IF(N449&gt;=50*0.8,5,IF(N449&gt;=50*0.7,4,IF(N449&gt;=50*0.6,3.5,IF(N449&gt;=50*0.5,3,IF(N449&gt;=50*0.4,2,IF(N449&gt;=50*0.33,1,0))))))))</f>
        <v/>
      </c>
      <c r="AG449">
        <f>IF(B449="","",IF(O449&lt;33.0,0,IF(O449&gt;=100*0.8,5,IF(O449&gt;=100*0.7,4,IF(O449&gt;=100*0.6,3.5,IF(O449&gt;=100*0.5,3,IF(O449&gt;=100*0.4,2,IF(O449&gt;=100*0.33,1,0))))))))</f>
        <v/>
      </c>
      <c r="AH449">
        <f>IF(B449="","",IF(OR(U449=0,V449=0,W449=0,X449=0,Y449=0,Z449=0,AA449=0,AB449=0,AC449=0,AD449=0,AE449=0,AF449=0,AG449=0),1,0))</f>
        <v/>
      </c>
    </row>
    <row r="450">
      <c r="A450" s="3">
        <f>IF(B450="","",ROW()-2)</f>
        <v/>
      </c>
      <c r="P450" s="4">
        <f>IF(B450="","",SUM(C450:O450))</f>
        <v/>
      </c>
      <c r="Q450" s="5">
        <f>IF(B450="","",ROUND(P450/13,2))</f>
        <v/>
      </c>
      <c r="R450" s="5">
        <f>IF(B450="","",IF(AH450=1,0,MIN(5,ROUND((U450+V450+W450+X450+Y450+Z450+AA450+AB450+AC450+AD450+AE450+AF450+AG450)/13,2))))</f>
        <v/>
      </c>
      <c r="S450" s="3">
        <f>IF(B450="","",IF(R450&gt;=5,"A+",IF(R450&gt;=4,"A",IF(R450&gt;=3.5,"A-",IF(R450&gt;=3,"B",IF(R450&gt;=2,"C",IF(R450&gt;=1,"D","F")))))))</f>
        <v/>
      </c>
      <c r="T450" s="3">
        <f>IF(OR(B450="",S450="F"),"",COUNTIFS(P:P,"&gt;"&amp;P450,S:S,"&lt;&gt;F")+1)</f>
        <v/>
      </c>
      <c r="U450">
        <f>IF(B450="","",IF(C450&lt;33.0,0,IF(C450&gt;=100*0.8,5,IF(C450&gt;=100*0.7,4,IF(C450&gt;=100*0.6,3.5,IF(C450&gt;=100*0.5,3,IF(C450&gt;=100*0.4,2,IF(C450&gt;=100*0.33,1,0))))))))</f>
        <v/>
      </c>
      <c r="V450">
        <f>IF(B450="","",IF(D450&lt;33.0,0,IF(D450&gt;=100*0.8,5,IF(D450&gt;=100*0.7,4,IF(D450&gt;=100*0.6,3.5,IF(D450&gt;=100*0.5,3,IF(D450&gt;=100*0.4,2,IF(D450&gt;=100*0.33,1,0))))))))</f>
        <v/>
      </c>
      <c r="W450">
        <f>IF(B450="","",IF(E450&lt;16.5,0,IF(E450&gt;=50*0.8,5,IF(E450&gt;=50*0.7,4,IF(E450&gt;=50*0.6,3.5,IF(E450&gt;=50*0.5,3,IF(E450&gt;=50*0.4,2,IF(E450&gt;=50*0.33,1,0))))))))</f>
        <v/>
      </c>
      <c r="X450">
        <f>IF(B450="","",IF(F450&lt;33.0,0,IF(F450&gt;=100*0.8,5,IF(F450&gt;=100*0.7,4,IF(F450&gt;=100*0.6,3.5,IF(F450&gt;=100*0.5,3,IF(F450&gt;=100*0.4,2,IF(F450&gt;=100*0.33,1,0))))))))</f>
        <v/>
      </c>
      <c r="Y450">
        <f>IF(B450="","",IF(G450&lt;16.5,0,IF(G450&gt;=50*0.8,5,IF(G450&gt;=50*0.7,4,IF(G450&gt;=50*0.6,3.5,IF(G450&gt;=50*0.5,3,IF(G450&gt;=50*0.4,2,IF(G450&gt;=50*0.33,1,0))))))))</f>
        <v/>
      </c>
      <c r="Z450">
        <f>IF(B450="","",IF(H450&lt;33.0,0,IF(H450&gt;=100*0.8,5,IF(H450&gt;=100*0.7,4,IF(H450&gt;=100*0.6,3.5,IF(H450&gt;=100*0.5,3,IF(H450&gt;=100*0.4,2,IF(H450&gt;=100*0.33,1,0))))))))</f>
        <v/>
      </c>
      <c r="AA450">
        <f>IF(B450="","",IF(I450&lt;33.0,0,IF(I450&gt;=100*0.8,5,IF(I450&gt;=100*0.7,4,IF(I450&gt;=100*0.6,3.5,IF(I450&gt;=100*0.5,3,IF(I450&gt;=100*0.4,2,IF(I450&gt;=100*0.33,1,0))))))))</f>
        <v/>
      </c>
      <c r="AB450">
        <f>IF(B450="","",IF(J450&lt;33.0,0,IF(J450&gt;=100*0.8,5,IF(J450&gt;=100*0.7,4,IF(J450&gt;=100*0.6,3.5,IF(J450&gt;=100*0.5,3,IF(J450&gt;=100*0.4,2,IF(J450&gt;=100*0.33,1,0))))))))</f>
        <v/>
      </c>
      <c r="AC450">
        <f>IF(B450="","",IF(K450&lt;33.0,0,IF(K450&gt;=100*0.8,5,IF(K450&gt;=100*0.7,4,IF(K450&gt;=100*0.6,3.5,IF(K450&gt;=100*0.5,3,IF(K450&gt;=100*0.4,2,IF(K450&gt;=100*0.33,1,0))))))))</f>
        <v/>
      </c>
      <c r="AD450">
        <f>IF(B450="","",IF(L450&lt;33.0,0,IF(L450&gt;=100*0.8,5,IF(L450&gt;=100*0.7,4,IF(L450&gt;=100*0.6,3.5,IF(L450&gt;=100*0.5,3,IF(L450&gt;=100*0.4,2,IF(L450&gt;=100*0.33,1,0))))))))</f>
        <v/>
      </c>
      <c r="AE450">
        <f>IF(B450="","",IF(M450&lt;33.0,0,IF(M450&gt;=100*0.8,5,IF(M450&gt;=100*0.7,4,IF(M450&gt;=100*0.6,3.5,IF(M450&gt;=100*0.5,3,IF(M450&gt;=100*0.4,2,IF(M450&gt;=100*0.33,1,0))))))))</f>
        <v/>
      </c>
      <c r="AF450">
        <f>IF(B450="","",IF(N450&lt;16.5,0,IF(N450&gt;=50*0.8,5,IF(N450&gt;=50*0.7,4,IF(N450&gt;=50*0.6,3.5,IF(N450&gt;=50*0.5,3,IF(N450&gt;=50*0.4,2,IF(N450&gt;=50*0.33,1,0))))))))</f>
        <v/>
      </c>
      <c r="AG450">
        <f>IF(B450="","",IF(O450&lt;33.0,0,IF(O450&gt;=100*0.8,5,IF(O450&gt;=100*0.7,4,IF(O450&gt;=100*0.6,3.5,IF(O450&gt;=100*0.5,3,IF(O450&gt;=100*0.4,2,IF(O450&gt;=100*0.33,1,0))))))))</f>
        <v/>
      </c>
      <c r="AH450">
        <f>IF(B450="","",IF(OR(U450=0,V450=0,W450=0,X450=0,Y450=0,Z450=0,AA450=0,AB450=0,AC450=0,AD450=0,AE450=0,AF450=0,AG450=0),1,0))</f>
        <v/>
      </c>
    </row>
    <row r="451">
      <c r="A451" s="3">
        <f>IF(B451="","",ROW()-2)</f>
        <v/>
      </c>
      <c r="P451" s="4">
        <f>IF(B451="","",SUM(C451:O451))</f>
        <v/>
      </c>
      <c r="Q451" s="5">
        <f>IF(B451="","",ROUND(P451/13,2))</f>
        <v/>
      </c>
      <c r="R451" s="5">
        <f>IF(B451="","",IF(AH451=1,0,MIN(5,ROUND((U451+V451+W451+X451+Y451+Z451+AA451+AB451+AC451+AD451+AE451+AF451+AG451)/13,2))))</f>
        <v/>
      </c>
      <c r="S451" s="3">
        <f>IF(B451="","",IF(R451&gt;=5,"A+",IF(R451&gt;=4,"A",IF(R451&gt;=3.5,"A-",IF(R451&gt;=3,"B",IF(R451&gt;=2,"C",IF(R451&gt;=1,"D","F")))))))</f>
        <v/>
      </c>
      <c r="T451" s="3">
        <f>IF(OR(B451="",S451="F"),"",COUNTIFS(P:P,"&gt;"&amp;P451,S:S,"&lt;&gt;F")+1)</f>
        <v/>
      </c>
      <c r="U451">
        <f>IF(B451="","",IF(C451&lt;33.0,0,IF(C451&gt;=100*0.8,5,IF(C451&gt;=100*0.7,4,IF(C451&gt;=100*0.6,3.5,IF(C451&gt;=100*0.5,3,IF(C451&gt;=100*0.4,2,IF(C451&gt;=100*0.33,1,0))))))))</f>
        <v/>
      </c>
      <c r="V451">
        <f>IF(B451="","",IF(D451&lt;33.0,0,IF(D451&gt;=100*0.8,5,IF(D451&gt;=100*0.7,4,IF(D451&gt;=100*0.6,3.5,IF(D451&gt;=100*0.5,3,IF(D451&gt;=100*0.4,2,IF(D451&gt;=100*0.33,1,0))))))))</f>
        <v/>
      </c>
      <c r="W451">
        <f>IF(B451="","",IF(E451&lt;16.5,0,IF(E451&gt;=50*0.8,5,IF(E451&gt;=50*0.7,4,IF(E451&gt;=50*0.6,3.5,IF(E451&gt;=50*0.5,3,IF(E451&gt;=50*0.4,2,IF(E451&gt;=50*0.33,1,0))))))))</f>
        <v/>
      </c>
      <c r="X451">
        <f>IF(B451="","",IF(F451&lt;33.0,0,IF(F451&gt;=100*0.8,5,IF(F451&gt;=100*0.7,4,IF(F451&gt;=100*0.6,3.5,IF(F451&gt;=100*0.5,3,IF(F451&gt;=100*0.4,2,IF(F451&gt;=100*0.33,1,0))))))))</f>
        <v/>
      </c>
      <c r="Y451">
        <f>IF(B451="","",IF(G451&lt;16.5,0,IF(G451&gt;=50*0.8,5,IF(G451&gt;=50*0.7,4,IF(G451&gt;=50*0.6,3.5,IF(G451&gt;=50*0.5,3,IF(G451&gt;=50*0.4,2,IF(G451&gt;=50*0.33,1,0))))))))</f>
        <v/>
      </c>
      <c r="Z451">
        <f>IF(B451="","",IF(H451&lt;33.0,0,IF(H451&gt;=100*0.8,5,IF(H451&gt;=100*0.7,4,IF(H451&gt;=100*0.6,3.5,IF(H451&gt;=100*0.5,3,IF(H451&gt;=100*0.4,2,IF(H451&gt;=100*0.33,1,0))))))))</f>
        <v/>
      </c>
      <c r="AA451">
        <f>IF(B451="","",IF(I451&lt;33.0,0,IF(I451&gt;=100*0.8,5,IF(I451&gt;=100*0.7,4,IF(I451&gt;=100*0.6,3.5,IF(I451&gt;=100*0.5,3,IF(I451&gt;=100*0.4,2,IF(I451&gt;=100*0.33,1,0))))))))</f>
        <v/>
      </c>
      <c r="AB451">
        <f>IF(B451="","",IF(J451&lt;33.0,0,IF(J451&gt;=100*0.8,5,IF(J451&gt;=100*0.7,4,IF(J451&gt;=100*0.6,3.5,IF(J451&gt;=100*0.5,3,IF(J451&gt;=100*0.4,2,IF(J451&gt;=100*0.33,1,0))))))))</f>
        <v/>
      </c>
      <c r="AC451">
        <f>IF(B451="","",IF(K451&lt;33.0,0,IF(K451&gt;=100*0.8,5,IF(K451&gt;=100*0.7,4,IF(K451&gt;=100*0.6,3.5,IF(K451&gt;=100*0.5,3,IF(K451&gt;=100*0.4,2,IF(K451&gt;=100*0.33,1,0))))))))</f>
        <v/>
      </c>
      <c r="AD451">
        <f>IF(B451="","",IF(L451&lt;33.0,0,IF(L451&gt;=100*0.8,5,IF(L451&gt;=100*0.7,4,IF(L451&gt;=100*0.6,3.5,IF(L451&gt;=100*0.5,3,IF(L451&gt;=100*0.4,2,IF(L451&gt;=100*0.33,1,0))))))))</f>
        <v/>
      </c>
      <c r="AE451">
        <f>IF(B451="","",IF(M451&lt;33.0,0,IF(M451&gt;=100*0.8,5,IF(M451&gt;=100*0.7,4,IF(M451&gt;=100*0.6,3.5,IF(M451&gt;=100*0.5,3,IF(M451&gt;=100*0.4,2,IF(M451&gt;=100*0.33,1,0))))))))</f>
        <v/>
      </c>
      <c r="AF451">
        <f>IF(B451="","",IF(N451&lt;16.5,0,IF(N451&gt;=50*0.8,5,IF(N451&gt;=50*0.7,4,IF(N451&gt;=50*0.6,3.5,IF(N451&gt;=50*0.5,3,IF(N451&gt;=50*0.4,2,IF(N451&gt;=50*0.33,1,0))))))))</f>
        <v/>
      </c>
      <c r="AG451">
        <f>IF(B451="","",IF(O451&lt;33.0,0,IF(O451&gt;=100*0.8,5,IF(O451&gt;=100*0.7,4,IF(O451&gt;=100*0.6,3.5,IF(O451&gt;=100*0.5,3,IF(O451&gt;=100*0.4,2,IF(O451&gt;=100*0.33,1,0))))))))</f>
        <v/>
      </c>
      <c r="AH451">
        <f>IF(B451="","",IF(OR(U451=0,V451=0,W451=0,X451=0,Y451=0,Z451=0,AA451=0,AB451=0,AC451=0,AD451=0,AE451=0,AF451=0,AG451=0),1,0))</f>
        <v/>
      </c>
    </row>
    <row r="452">
      <c r="A452" s="3">
        <f>IF(B452="","",ROW()-2)</f>
        <v/>
      </c>
      <c r="P452" s="4">
        <f>IF(B452="","",SUM(C452:O452))</f>
        <v/>
      </c>
      <c r="Q452" s="5">
        <f>IF(B452="","",ROUND(P452/13,2))</f>
        <v/>
      </c>
      <c r="R452" s="5">
        <f>IF(B452="","",IF(AH452=1,0,MIN(5,ROUND((U452+V452+W452+X452+Y452+Z452+AA452+AB452+AC452+AD452+AE452+AF452+AG452)/13,2))))</f>
        <v/>
      </c>
      <c r="S452" s="3">
        <f>IF(B452="","",IF(R452&gt;=5,"A+",IF(R452&gt;=4,"A",IF(R452&gt;=3.5,"A-",IF(R452&gt;=3,"B",IF(R452&gt;=2,"C",IF(R452&gt;=1,"D","F")))))))</f>
        <v/>
      </c>
      <c r="T452" s="3">
        <f>IF(OR(B452="",S452="F"),"",COUNTIFS(P:P,"&gt;"&amp;P452,S:S,"&lt;&gt;F")+1)</f>
        <v/>
      </c>
      <c r="U452">
        <f>IF(B452="","",IF(C452&lt;33.0,0,IF(C452&gt;=100*0.8,5,IF(C452&gt;=100*0.7,4,IF(C452&gt;=100*0.6,3.5,IF(C452&gt;=100*0.5,3,IF(C452&gt;=100*0.4,2,IF(C452&gt;=100*0.33,1,0))))))))</f>
        <v/>
      </c>
      <c r="V452">
        <f>IF(B452="","",IF(D452&lt;33.0,0,IF(D452&gt;=100*0.8,5,IF(D452&gt;=100*0.7,4,IF(D452&gt;=100*0.6,3.5,IF(D452&gt;=100*0.5,3,IF(D452&gt;=100*0.4,2,IF(D452&gt;=100*0.33,1,0))))))))</f>
        <v/>
      </c>
      <c r="W452">
        <f>IF(B452="","",IF(E452&lt;16.5,0,IF(E452&gt;=50*0.8,5,IF(E452&gt;=50*0.7,4,IF(E452&gt;=50*0.6,3.5,IF(E452&gt;=50*0.5,3,IF(E452&gt;=50*0.4,2,IF(E452&gt;=50*0.33,1,0))))))))</f>
        <v/>
      </c>
      <c r="X452">
        <f>IF(B452="","",IF(F452&lt;33.0,0,IF(F452&gt;=100*0.8,5,IF(F452&gt;=100*0.7,4,IF(F452&gt;=100*0.6,3.5,IF(F452&gt;=100*0.5,3,IF(F452&gt;=100*0.4,2,IF(F452&gt;=100*0.33,1,0))))))))</f>
        <v/>
      </c>
      <c r="Y452">
        <f>IF(B452="","",IF(G452&lt;16.5,0,IF(G452&gt;=50*0.8,5,IF(G452&gt;=50*0.7,4,IF(G452&gt;=50*0.6,3.5,IF(G452&gt;=50*0.5,3,IF(G452&gt;=50*0.4,2,IF(G452&gt;=50*0.33,1,0))))))))</f>
        <v/>
      </c>
      <c r="Z452">
        <f>IF(B452="","",IF(H452&lt;33.0,0,IF(H452&gt;=100*0.8,5,IF(H452&gt;=100*0.7,4,IF(H452&gt;=100*0.6,3.5,IF(H452&gt;=100*0.5,3,IF(H452&gt;=100*0.4,2,IF(H452&gt;=100*0.33,1,0))))))))</f>
        <v/>
      </c>
      <c r="AA452">
        <f>IF(B452="","",IF(I452&lt;33.0,0,IF(I452&gt;=100*0.8,5,IF(I452&gt;=100*0.7,4,IF(I452&gt;=100*0.6,3.5,IF(I452&gt;=100*0.5,3,IF(I452&gt;=100*0.4,2,IF(I452&gt;=100*0.33,1,0))))))))</f>
        <v/>
      </c>
      <c r="AB452">
        <f>IF(B452="","",IF(J452&lt;33.0,0,IF(J452&gt;=100*0.8,5,IF(J452&gt;=100*0.7,4,IF(J452&gt;=100*0.6,3.5,IF(J452&gt;=100*0.5,3,IF(J452&gt;=100*0.4,2,IF(J452&gt;=100*0.33,1,0))))))))</f>
        <v/>
      </c>
      <c r="AC452">
        <f>IF(B452="","",IF(K452&lt;33.0,0,IF(K452&gt;=100*0.8,5,IF(K452&gt;=100*0.7,4,IF(K452&gt;=100*0.6,3.5,IF(K452&gt;=100*0.5,3,IF(K452&gt;=100*0.4,2,IF(K452&gt;=100*0.33,1,0))))))))</f>
        <v/>
      </c>
      <c r="AD452">
        <f>IF(B452="","",IF(L452&lt;33.0,0,IF(L452&gt;=100*0.8,5,IF(L452&gt;=100*0.7,4,IF(L452&gt;=100*0.6,3.5,IF(L452&gt;=100*0.5,3,IF(L452&gt;=100*0.4,2,IF(L452&gt;=100*0.33,1,0))))))))</f>
        <v/>
      </c>
      <c r="AE452">
        <f>IF(B452="","",IF(M452&lt;33.0,0,IF(M452&gt;=100*0.8,5,IF(M452&gt;=100*0.7,4,IF(M452&gt;=100*0.6,3.5,IF(M452&gt;=100*0.5,3,IF(M452&gt;=100*0.4,2,IF(M452&gt;=100*0.33,1,0))))))))</f>
        <v/>
      </c>
      <c r="AF452">
        <f>IF(B452="","",IF(N452&lt;16.5,0,IF(N452&gt;=50*0.8,5,IF(N452&gt;=50*0.7,4,IF(N452&gt;=50*0.6,3.5,IF(N452&gt;=50*0.5,3,IF(N452&gt;=50*0.4,2,IF(N452&gt;=50*0.33,1,0))))))))</f>
        <v/>
      </c>
      <c r="AG452">
        <f>IF(B452="","",IF(O452&lt;33.0,0,IF(O452&gt;=100*0.8,5,IF(O452&gt;=100*0.7,4,IF(O452&gt;=100*0.6,3.5,IF(O452&gt;=100*0.5,3,IF(O452&gt;=100*0.4,2,IF(O452&gt;=100*0.33,1,0))))))))</f>
        <v/>
      </c>
      <c r="AH452">
        <f>IF(B452="","",IF(OR(U452=0,V452=0,W452=0,X452=0,Y452=0,Z452=0,AA452=0,AB452=0,AC452=0,AD452=0,AE452=0,AF452=0,AG452=0),1,0))</f>
        <v/>
      </c>
    </row>
    <row r="453">
      <c r="A453" s="3">
        <f>IF(B453="","",ROW()-2)</f>
        <v/>
      </c>
      <c r="P453" s="4">
        <f>IF(B453="","",SUM(C453:O453))</f>
        <v/>
      </c>
      <c r="Q453" s="5">
        <f>IF(B453="","",ROUND(P453/13,2))</f>
        <v/>
      </c>
      <c r="R453" s="5">
        <f>IF(B453="","",IF(AH453=1,0,MIN(5,ROUND((U453+V453+W453+X453+Y453+Z453+AA453+AB453+AC453+AD453+AE453+AF453+AG453)/13,2))))</f>
        <v/>
      </c>
      <c r="S453" s="3">
        <f>IF(B453="","",IF(R453&gt;=5,"A+",IF(R453&gt;=4,"A",IF(R453&gt;=3.5,"A-",IF(R453&gt;=3,"B",IF(R453&gt;=2,"C",IF(R453&gt;=1,"D","F")))))))</f>
        <v/>
      </c>
      <c r="T453" s="3">
        <f>IF(OR(B453="",S453="F"),"",COUNTIFS(P:P,"&gt;"&amp;P453,S:S,"&lt;&gt;F")+1)</f>
        <v/>
      </c>
      <c r="U453">
        <f>IF(B453="","",IF(C453&lt;33.0,0,IF(C453&gt;=100*0.8,5,IF(C453&gt;=100*0.7,4,IF(C453&gt;=100*0.6,3.5,IF(C453&gt;=100*0.5,3,IF(C453&gt;=100*0.4,2,IF(C453&gt;=100*0.33,1,0))))))))</f>
        <v/>
      </c>
      <c r="V453">
        <f>IF(B453="","",IF(D453&lt;33.0,0,IF(D453&gt;=100*0.8,5,IF(D453&gt;=100*0.7,4,IF(D453&gt;=100*0.6,3.5,IF(D453&gt;=100*0.5,3,IF(D453&gt;=100*0.4,2,IF(D453&gt;=100*0.33,1,0))))))))</f>
        <v/>
      </c>
      <c r="W453">
        <f>IF(B453="","",IF(E453&lt;16.5,0,IF(E453&gt;=50*0.8,5,IF(E453&gt;=50*0.7,4,IF(E453&gt;=50*0.6,3.5,IF(E453&gt;=50*0.5,3,IF(E453&gt;=50*0.4,2,IF(E453&gt;=50*0.33,1,0))))))))</f>
        <v/>
      </c>
      <c r="X453">
        <f>IF(B453="","",IF(F453&lt;33.0,0,IF(F453&gt;=100*0.8,5,IF(F453&gt;=100*0.7,4,IF(F453&gt;=100*0.6,3.5,IF(F453&gt;=100*0.5,3,IF(F453&gt;=100*0.4,2,IF(F453&gt;=100*0.33,1,0))))))))</f>
        <v/>
      </c>
      <c r="Y453">
        <f>IF(B453="","",IF(G453&lt;16.5,0,IF(G453&gt;=50*0.8,5,IF(G453&gt;=50*0.7,4,IF(G453&gt;=50*0.6,3.5,IF(G453&gt;=50*0.5,3,IF(G453&gt;=50*0.4,2,IF(G453&gt;=50*0.33,1,0))))))))</f>
        <v/>
      </c>
      <c r="Z453">
        <f>IF(B453="","",IF(H453&lt;33.0,0,IF(H453&gt;=100*0.8,5,IF(H453&gt;=100*0.7,4,IF(H453&gt;=100*0.6,3.5,IF(H453&gt;=100*0.5,3,IF(H453&gt;=100*0.4,2,IF(H453&gt;=100*0.33,1,0))))))))</f>
        <v/>
      </c>
      <c r="AA453">
        <f>IF(B453="","",IF(I453&lt;33.0,0,IF(I453&gt;=100*0.8,5,IF(I453&gt;=100*0.7,4,IF(I453&gt;=100*0.6,3.5,IF(I453&gt;=100*0.5,3,IF(I453&gt;=100*0.4,2,IF(I453&gt;=100*0.33,1,0))))))))</f>
        <v/>
      </c>
      <c r="AB453">
        <f>IF(B453="","",IF(J453&lt;33.0,0,IF(J453&gt;=100*0.8,5,IF(J453&gt;=100*0.7,4,IF(J453&gt;=100*0.6,3.5,IF(J453&gt;=100*0.5,3,IF(J453&gt;=100*0.4,2,IF(J453&gt;=100*0.33,1,0))))))))</f>
        <v/>
      </c>
      <c r="AC453">
        <f>IF(B453="","",IF(K453&lt;33.0,0,IF(K453&gt;=100*0.8,5,IF(K453&gt;=100*0.7,4,IF(K453&gt;=100*0.6,3.5,IF(K453&gt;=100*0.5,3,IF(K453&gt;=100*0.4,2,IF(K453&gt;=100*0.33,1,0))))))))</f>
        <v/>
      </c>
      <c r="AD453">
        <f>IF(B453="","",IF(L453&lt;33.0,0,IF(L453&gt;=100*0.8,5,IF(L453&gt;=100*0.7,4,IF(L453&gt;=100*0.6,3.5,IF(L453&gt;=100*0.5,3,IF(L453&gt;=100*0.4,2,IF(L453&gt;=100*0.33,1,0))))))))</f>
        <v/>
      </c>
      <c r="AE453">
        <f>IF(B453="","",IF(M453&lt;33.0,0,IF(M453&gt;=100*0.8,5,IF(M453&gt;=100*0.7,4,IF(M453&gt;=100*0.6,3.5,IF(M453&gt;=100*0.5,3,IF(M453&gt;=100*0.4,2,IF(M453&gt;=100*0.33,1,0))))))))</f>
        <v/>
      </c>
      <c r="AF453">
        <f>IF(B453="","",IF(N453&lt;16.5,0,IF(N453&gt;=50*0.8,5,IF(N453&gt;=50*0.7,4,IF(N453&gt;=50*0.6,3.5,IF(N453&gt;=50*0.5,3,IF(N453&gt;=50*0.4,2,IF(N453&gt;=50*0.33,1,0))))))))</f>
        <v/>
      </c>
      <c r="AG453">
        <f>IF(B453="","",IF(O453&lt;33.0,0,IF(O453&gt;=100*0.8,5,IF(O453&gt;=100*0.7,4,IF(O453&gt;=100*0.6,3.5,IF(O453&gt;=100*0.5,3,IF(O453&gt;=100*0.4,2,IF(O453&gt;=100*0.33,1,0))))))))</f>
        <v/>
      </c>
      <c r="AH453">
        <f>IF(B453="","",IF(OR(U453=0,V453=0,W453=0,X453=0,Y453=0,Z453=0,AA453=0,AB453=0,AC453=0,AD453=0,AE453=0,AF453=0,AG453=0),1,0))</f>
        <v/>
      </c>
    </row>
    <row r="454">
      <c r="A454" s="3">
        <f>IF(B454="","",ROW()-2)</f>
        <v/>
      </c>
      <c r="P454" s="4">
        <f>IF(B454="","",SUM(C454:O454))</f>
        <v/>
      </c>
      <c r="Q454" s="5">
        <f>IF(B454="","",ROUND(P454/13,2))</f>
        <v/>
      </c>
      <c r="R454" s="5">
        <f>IF(B454="","",IF(AH454=1,0,MIN(5,ROUND((U454+V454+W454+X454+Y454+Z454+AA454+AB454+AC454+AD454+AE454+AF454+AG454)/13,2))))</f>
        <v/>
      </c>
      <c r="S454" s="3">
        <f>IF(B454="","",IF(R454&gt;=5,"A+",IF(R454&gt;=4,"A",IF(R454&gt;=3.5,"A-",IF(R454&gt;=3,"B",IF(R454&gt;=2,"C",IF(R454&gt;=1,"D","F")))))))</f>
        <v/>
      </c>
      <c r="T454" s="3">
        <f>IF(OR(B454="",S454="F"),"",COUNTIFS(P:P,"&gt;"&amp;P454,S:S,"&lt;&gt;F")+1)</f>
        <v/>
      </c>
      <c r="U454">
        <f>IF(B454="","",IF(C454&lt;33.0,0,IF(C454&gt;=100*0.8,5,IF(C454&gt;=100*0.7,4,IF(C454&gt;=100*0.6,3.5,IF(C454&gt;=100*0.5,3,IF(C454&gt;=100*0.4,2,IF(C454&gt;=100*0.33,1,0))))))))</f>
        <v/>
      </c>
      <c r="V454">
        <f>IF(B454="","",IF(D454&lt;33.0,0,IF(D454&gt;=100*0.8,5,IF(D454&gt;=100*0.7,4,IF(D454&gt;=100*0.6,3.5,IF(D454&gt;=100*0.5,3,IF(D454&gt;=100*0.4,2,IF(D454&gt;=100*0.33,1,0))))))))</f>
        <v/>
      </c>
      <c r="W454">
        <f>IF(B454="","",IF(E454&lt;16.5,0,IF(E454&gt;=50*0.8,5,IF(E454&gt;=50*0.7,4,IF(E454&gt;=50*0.6,3.5,IF(E454&gt;=50*0.5,3,IF(E454&gt;=50*0.4,2,IF(E454&gt;=50*0.33,1,0))))))))</f>
        <v/>
      </c>
      <c r="X454">
        <f>IF(B454="","",IF(F454&lt;33.0,0,IF(F454&gt;=100*0.8,5,IF(F454&gt;=100*0.7,4,IF(F454&gt;=100*0.6,3.5,IF(F454&gt;=100*0.5,3,IF(F454&gt;=100*0.4,2,IF(F454&gt;=100*0.33,1,0))))))))</f>
        <v/>
      </c>
      <c r="Y454">
        <f>IF(B454="","",IF(G454&lt;16.5,0,IF(G454&gt;=50*0.8,5,IF(G454&gt;=50*0.7,4,IF(G454&gt;=50*0.6,3.5,IF(G454&gt;=50*0.5,3,IF(G454&gt;=50*0.4,2,IF(G454&gt;=50*0.33,1,0))))))))</f>
        <v/>
      </c>
      <c r="Z454">
        <f>IF(B454="","",IF(H454&lt;33.0,0,IF(H454&gt;=100*0.8,5,IF(H454&gt;=100*0.7,4,IF(H454&gt;=100*0.6,3.5,IF(H454&gt;=100*0.5,3,IF(H454&gt;=100*0.4,2,IF(H454&gt;=100*0.33,1,0))))))))</f>
        <v/>
      </c>
      <c r="AA454">
        <f>IF(B454="","",IF(I454&lt;33.0,0,IF(I454&gt;=100*0.8,5,IF(I454&gt;=100*0.7,4,IF(I454&gt;=100*0.6,3.5,IF(I454&gt;=100*0.5,3,IF(I454&gt;=100*0.4,2,IF(I454&gt;=100*0.33,1,0))))))))</f>
        <v/>
      </c>
      <c r="AB454">
        <f>IF(B454="","",IF(J454&lt;33.0,0,IF(J454&gt;=100*0.8,5,IF(J454&gt;=100*0.7,4,IF(J454&gt;=100*0.6,3.5,IF(J454&gt;=100*0.5,3,IF(J454&gt;=100*0.4,2,IF(J454&gt;=100*0.33,1,0))))))))</f>
        <v/>
      </c>
      <c r="AC454">
        <f>IF(B454="","",IF(K454&lt;33.0,0,IF(K454&gt;=100*0.8,5,IF(K454&gt;=100*0.7,4,IF(K454&gt;=100*0.6,3.5,IF(K454&gt;=100*0.5,3,IF(K454&gt;=100*0.4,2,IF(K454&gt;=100*0.33,1,0))))))))</f>
        <v/>
      </c>
      <c r="AD454">
        <f>IF(B454="","",IF(L454&lt;33.0,0,IF(L454&gt;=100*0.8,5,IF(L454&gt;=100*0.7,4,IF(L454&gt;=100*0.6,3.5,IF(L454&gt;=100*0.5,3,IF(L454&gt;=100*0.4,2,IF(L454&gt;=100*0.33,1,0))))))))</f>
        <v/>
      </c>
      <c r="AE454">
        <f>IF(B454="","",IF(M454&lt;33.0,0,IF(M454&gt;=100*0.8,5,IF(M454&gt;=100*0.7,4,IF(M454&gt;=100*0.6,3.5,IF(M454&gt;=100*0.5,3,IF(M454&gt;=100*0.4,2,IF(M454&gt;=100*0.33,1,0))))))))</f>
        <v/>
      </c>
      <c r="AF454">
        <f>IF(B454="","",IF(N454&lt;16.5,0,IF(N454&gt;=50*0.8,5,IF(N454&gt;=50*0.7,4,IF(N454&gt;=50*0.6,3.5,IF(N454&gt;=50*0.5,3,IF(N454&gt;=50*0.4,2,IF(N454&gt;=50*0.33,1,0))))))))</f>
        <v/>
      </c>
      <c r="AG454">
        <f>IF(B454="","",IF(O454&lt;33.0,0,IF(O454&gt;=100*0.8,5,IF(O454&gt;=100*0.7,4,IF(O454&gt;=100*0.6,3.5,IF(O454&gt;=100*0.5,3,IF(O454&gt;=100*0.4,2,IF(O454&gt;=100*0.33,1,0))))))))</f>
        <v/>
      </c>
      <c r="AH454">
        <f>IF(B454="","",IF(OR(U454=0,V454=0,W454=0,X454=0,Y454=0,Z454=0,AA454=0,AB454=0,AC454=0,AD454=0,AE454=0,AF454=0,AG454=0),1,0))</f>
        <v/>
      </c>
    </row>
    <row r="455">
      <c r="A455" s="3">
        <f>IF(B455="","",ROW()-2)</f>
        <v/>
      </c>
      <c r="P455" s="4">
        <f>IF(B455="","",SUM(C455:O455))</f>
        <v/>
      </c>
      <c r="Q455" s="5">
        <f>IF(B455="","",ROUND(P455/13,2))</f>
        <v/>
      </c>
      <c r="R455" s="5">
        <f>IF(B455="","",IF(AH455=1,0,MIN(5,ROUND((U455+V455+W455+X455+Y455+Z455+AA455+AB455+AC455+AD455+AE455+AF455+AG455)/13,2))))</f>
        <v/>
      </c>
      <c r="S455" s="3">
        <f>IF(B455="","",IF(R455&gt;=5,"A+",IF(R455&gt;=4,"A",IF(R455&gt;=3.5,"A-",IF(R455&gt;=3,"B",IF(R455&gt;=2,"C",IF(R455&gt;=1,"D","F")))))))</f>
        <v/>
      </c>
      <c r="T455" s="3">
        <f>IF(OR(B455="",S455="F"),"",COUNTIFS(P:P,"&gt;"&amp;P455,S:S,"&lt;&gt;F")+1)</f>
        <v/>
      </c>
      <c r="U455">
        <f>IF(B455="","",IF(C455&lt;33.0,0,IF(C455&gt;=100*0.8,5,IF(C455&gt;=100*0.7,4,IF(C455&gt;=100*0.6,3.5,IF(C455&gt;=100*0.5,3,IF(C455&gt;=100*0.4,2,IF(C455&gt;=100*0.33,1,0))))))))</f>
        <v/>
      </c>
      <c r="V455">
        <f>IF(B455="","",IF(D455&lt;33.0,0,IF(D455&gt;=100*0.8,5,IF(D455&gt;=100*0.7,4,IF(D455&gt;=100*0.6,3.5,IF(D455&gt;=100*0.5,3,IF(D455&gt;=100*0.4,2,IF(D455&gt;=100*0.33,1,0))))))))</f>
        <v/>
      </c>
      <c r="W455">
        <f>IF(B455="","",IF(E455&lt;16.5,0,IF(E455&gt;=50*0.8,5,IF(E455&gt;=50*0.7,4,IF(E455&gt;=50*0.6,3.5,IF(E455&gt;=50*0.5,3,IF(E455&gt;=50*0.4,2,IF(E455&gt;=50*0.33,1,0))))))))</f>
        <v/>
      </c>
      <c r="X455">
        <f>IF(B455="","",IF(F455&lt;33.0,0,IF(F455&gt;=100*0.8,5,IF(F455&gt;=100*0.7,4,IF(F455&gt;=100*0.6,3.5,IF(F455&gt;=100*0.5,3,IF(F455&gt;=100*0.4,2,IF(F455&gt;=100*0.33,1,0))))))))</f>
        <v/>
      </c>
      <c r="Y455">
        <f>IF(B455="","",IF(G455&lt;16.5,0,IF(G455&gt;=50*0.8,5,IF(G455&gt;=50*0.7,4,IF(G455&gt;=50*0.6,3.5,IF(G455&gt;=50*0.5,3,IF(G455&gt;=50*0.4,2,IF(G455&gt;=50*0.33,1,0))))))))</f>
        <v/>
      </c>
      <c r="Z455">
        <f>IF(B455="","",IF(H455&lt;33.0,0,IF(H455&gt;=100*0.8,5,IF(H455&gt;=100*0.7,4,IF(H455&gt;=100*0.6,3.5,IF(H455&gt;=100*0.5,3,IF(H455&gt;=100*0.4,2,IF(H455&gt;=100*0.33,1,0))))))))</f>
        <v/>
      </c>
      <c r="AA455">
        <f>IF(B455="","",IF(I455&lt;33.0,0,IF(I455&gt;=100*0.8,5,IF(I455&gt;=100*0.7,4,IF(I455&gt;=100*0.6,3.5,IF(I455&gt;=100*0.5,3,IF(I455&gt;=100*0.4,2,IF(I455&gt;=100*0.33,1,0))))))))</f>
        <v/>
      </c>
      <c r="AB455">
        <f>IF(B455="","",IF(J455&lt;33.0,0,IF(J455&gt;=100*0.8,5,IF(J455&gt;=100*0.7,4,IF(J455&gt;=100*0.6,3.5,IF(J455&gt;=100*0.5,3,IF(J455&gt;=100*0.4,2,IF(J455&gt;=100*0.33,1,0))))))))</f>
        <v/>
      </c>
      <c r="AC455">
        <f>IF(B455="","",IF(K455&lt;33.0,0,IF(K455&gt;=100*0.8,5,IF(K455&gt;=100*0.7,4,IF(K455&gt;=100*0.6,3.5,IF(K455&gt;=100*0.5,3,IF(K455&gt;=100*0.4,2,IF(K455&gt;=100*0.33,1,0))))))))</f>
        <v/>
      </c>
      <c r="AD455">
        <f>IF(B455="","",IF(L455&lt;33.0,0,IF(L455&gt;=100*0.8,5,IF(L455&gt;=100*0.7,4,IF(L455&gt;=100*0.6,3.5,IF(L455&gt;=100*0.5,3,IF(L455&gt;=100*0.4,2,IF(L455&gt;=100*0.33,1,0))))))))</f>
        <v/>
      </c>
      <c r="AE455">
        <f>IF(B455="","",IF(M455&lt;33.0,0,IF(M455&gt;=100*0.8,5,IF(M455&gt;=100*0.7,4,IF(M455&gt;=100*0.6,3.5,IF(M455&gt;=100*0.5,3,IF(M455&gt;=100*0.4,2,IF(M455&gt;=100*0.33,1,0))))))))</f>
        <v/>
      </c>
      <c r="AF455">
        <f>IF(B455="","",IF(N455&lt;16.5,0,IF(N455&gt;=50*0.8,5,IF(N455&gt;=50*0.7,4,IF(N455&gt;=50*0.6,3.5,IF(N455&gt;=50*0.5,3,IF(N455&gt;=50*0.4,2,IF(N455&gt;=50*0.33,1,0))))))))</f>
        <v/>
      </c>
      <c r="AG455">
        <f>IF(B455="","",IF(O455&lt;33.0,0,IF(O455&gt;=100*0.8,5,IF(O455&gt;=100*0.7,4,IF(O455&gt;=100*0.6,3.5,IF(O455&gt;=100*0.5,3,IF(O455&gt;=100*0.4,2,IF(O455&gt;=100*0.33,1,0))))))))</f>
        <v/>
      </c>
      <c r="AH455">
        <f>IF(B455="","",IF(OR(U455=0,V455=0,W455=0,X455=0,Y455=0,Z455=0,AA455=0,AB455=0,AC455=0,AD455=0,AE455=0,AF455=0,AG455=0),1,0))</f>
        <v/>
      </c>
    </row>
    <row r="456">
      <c r="A456" s="3">
        <f>IF(B456="","",ROW()-2)</f>
        <v/>
      </c>
      <c r="P456" s="4">
        <f>IF(B456="","",SUM(C456:O456))</f>
        <v/>
      </c>
      <c r="Q456" s="5">
        <f>IF(B456="","",ROUND(P456/13,2))</f>
        <v/>
      </c>
      <c r="R456" s="5">
        <f>IF(B456="","",IF(AH456=1,0,MIN(5,ROUND((U456+V456+W456+X456+Y456+Z456+AA456+AB456+AC456+AD456+AE456+AF456+AG456)/13,2))))</f>
        <v/>
      </c>
      <c r="S456" s="3">
        <f>IF(B456="","",IF(R456&gt;=5,"A+",IF(R456&gt;=4,"A",IF(R456&gt;=3.5,"A-",IF(R456&gt;=3,"B",IF(R456&gt;=2,"C",IF(R456&gt;=1,"D","F")))))))</f>
        <v/>
      </c>
      <c r="T456" s="3">
        <f>IF(OR(B456="",S456="F"),"",COUNTIFS(P:P,"&gt;"&amp;P456,S:S,"&lt;&gt;F")+1)</f>
        <v/>
      </c>
      <c r="U456">
        <f>IF(B456="","",IF(C456&lt;33.0,0,IF(C456&gt;=100*0.8,5,IF(C456&gt;=100*0.7,4,IF(C456&gt;=100*0.6,3.5,IF(C456&gt;=100*0.5,3,IF(C456&gt;=100*0.4,2,IF(C456&gt;=100*0.33,1,0))))))))</f>
        <v/>
      </c>
      <c r="V456">
        <f>IF(B456="","",IF(D456&lt;33.0,0,IF(D456&gt;=100*0.8,5,IF(D456&gt;=100*0.7,4,IF(D456&gt;=100*0.6,3.5,IF(D456&gt;=100*0.5,3,IF(D456&gt;=100*0.4,2,IF(D456&gt;=100*0.33,1,0))))))))</f>
        <v/>
      </c>
      <c r="W456">
        <f>IF(B456="","",IF(E456&lt;16.5,0,IF(E456&gt;=50*0.8,5,IF(E456&gt;=50*0.7,4,IF(E456&gt;=50*0.6,3.5,IF(E456&gt;=50*0.5,3,IF(E456&gt;=50*0.4,2,IF(E456&gt;=50*0.33,1,0))))))))</f>
        <v/>
      </c>
      <c r="X456">
        <f>IF(B456="","",IF(F456&lt;33.0,0,IF(F456&gt;=100*0.8,5,IF(F456&gt;=100*0.7,4,IF(F456&gt;=100*0.6,3.5,IF(F456&gt;=100*0.5,3,IF(F456&gt;=100*0.4,2,IF(F456&gt;=100*0.33,1,0))))))))</f>
        <v/>
      </c>
      <c r="Y456">
        <f>IF(B456="","",IF(G456&lt;16.5,0,IF(G456&gt;=50*0.8,5,IF(G456&gt;=50*0.7,4,IF(G456&gt;=50*0.6,3.5,IF(G456&gt;=50*0.5,3,IF(G456&gt;=50*0.4,2,IF(G456&gt;=50*0.33,1,0))))))))</f>
        <v/>
      </c>
      <c r="Z456">
        <f>IF(B456="","",IF(H456&lt;33.0,0,IF(H456&gt;=100*0.8,5,IF(H456&gt;=100*0.7,4,IF(H456&gt;=100*0.6,3.5,IF(H456&gt;=100*0.5,3,IF(H456&gt;=100*0.4,2,IF(H456&gt;=100*0.33,1,0))))))))</f>
        <v/>
      </c>
      <c r="AA456">
        <f>IF(B456="","",IF(I456&lt;33.0,0,IF(I456&gt;=100*0.8,5,IF(I456&gt;=100*0.7,4,IF(I456&gt;=100*0.6,3.5,IF(I456&gt;=100*0.5,3,IF(I456&gt;=100*0.4,2,IF(I456&gt;=100*0.33,1,0))))))))</f>
        <v/>
      </c>
      <c r="AB456">
        <f>IF(B456="","",IF(J456&lt;33.0,0,IF(J456&gt;=100*0.8,5,IF(J456&gt;=100*0.7,4,IF(J456&gt;=100*0.6,3.5,IF(J456&gt;=100*0.5,3,IF(J456&gt;=100*0.4,2,IF(J456&gt;=100*0.33,1,0))))))))</f>
        <v/>
      </c>
      <c r="AC456">
        <f>IF(B456="","",IF(K456&lt;33.0,0,IF(K456&gt;=100*0.8,5,IF(K456&gt;=100*0.7,4,IF(K456&gt;=100*0.6,3.5,IF(K456&gt;=100*0.5,3,IF(K456&gt;=100*0.4,2,IF(K456&gt;=100*0.33,1,0))))))))</f>
        <v/>
      </c>
      <c r="AD456">
        <f>IF(B456="","",IF(L456&lt;33.0,0,IF(L456&gt;=100*0.8,5,IF(L456&gt;=100*0.7,4,IF(L456&gt;=100*0.6,3.5,IF(L456&gt;=100*0.5,3,IF(L456&gt;=100*0.4,2,IF(L456&gt;=100*0.33,1,0))))))))</f>
        <v/>
      </c>
      <c r="AE456">
        <f>IF(B456="","",IF(M456&lt;33.0,0,IF(M456&gt;=100*0.8,5,IF(M456&gt;=100*0.7,4,IF(M456&gt;=100*0.6,3.5,IF(M456&gt;=100*0.5,3,IF(M456&gt;=100*0.4,2,IF(M456&gt;=100*0.33,1,0))))))))</f>
        <v/>
      </c>
      <c r="AF456">
        <f>IF(B456="","",IF(N456&lt;16.5,0,IF(N456&gt;=50*0.8,5,IF(N456&gt;=50*0.7,4,IF(N456&gt;=50*0.6,3.5,IF(N456&gt;=50*0.5,3,IF(N456&gt;=50*0.4,2,IF(N456&gt;=50*0.33,1,0))))))))</f>
        <v/>
      </c>
      <c r="AG456">
        <f>IF(B456="","",IF(O456&lt;33.0,0,IF(O456&gt;=100*0.8,5,IF(O456&gt;=100*0.7,4,IF(O456&gt;=100*0.6,3.5,IF(O456&gt;=100*0.5,3,IF(O456&gt;=100*0.4,2,IF(O456&gt;=100*0.33,1,0))))))))</f>
        <v/>
      </c>
      <c r="AH456">
        <f>IF(B456="","",IF(OR(U456=0,V456=0,W456=0,X456=0,Y456=0,Z456=0,AA456=0,AB456=0,AC456=0,AD456=0,AE456=0,AF456=0,AG456=0),1,0))</f>
        <v/>
      </c>
    </row>
    <row r="457">
      <c r="A457" s="3">
        <f>IF(B457="","",ROW()-2)</f>
        <v/>
      </c>
      <c r="P457" s="4">
        <f>IF(B457="","",SUM(C457:O457))</f>
        <v/>
      </c>
      <c r="Q457" s="5">
        <f>IF(B457="","",ROUND(P457/13,2))</f>
        <v/>
      </c>
      <c r="R457" s="5">
        <f>IF(B457="","",IF(AH457=1,0,MIN(5,ROUND((U457+V457+W457+X457+Y457+Z457+AA457+AB457+AC457+AD457+AE457+AF457+AG457)/13,2))))</f>
        <v/>
      </c>
      <c r="S457" s="3">
        <f>IF(B457="","",IF(R457&gt;=5,"A+",IF(R457&gt;=4,"A",IF(R457&gt;=3.5,"A-",IF(R457&gt;=3,"B",IF(R457&gt;=2,"C",IF(R457&gt;=1,"D","F")))))))</f>
        <v/>
      </c>
      <c r="T457" s="3">
        <f>IF(OR(B457="",S457="F"),"",COUNTIFS(P:P,"&gt;"&amp;P457,S:S,"&lt;&gt;F")+1)</f>
        <v/>
      </c>
      <c r="U457">
        <f>IF(B457="","",IF(C457&lt;33.0,0,IF(C457&gt;=100*0.8,5,IF(C457&gt;=100*0.7,4,IF(C457&gt;=100*0.6,3.5,IF(C457&gt;=100*0.5,3,IF(C457&gt;=100*0.4,2,IF(C457&gt;=100*0.33,1,0))))))))</f>
        <v/>
      </c>
      <c r="V457">
        <f>IF(B457="","",IF(D457&lt;33.0,0,IF(D457&gt;=100*0.8,5,IF(D457&gt;=100*0.7,4,IF(D457&gt;=100*0.6,3.5,IF(D457&gt;=100*0.5,3,IF(D457&gt;=100*0.4,2,IF(D457&gt;=100*0.33,1,0))))))))</f>
        <v/>
      </c>
      <c r="W457">
        <f>IF(B457="","",IF(E457&lt;16.5,0,IF(E457&gt;=50*0.8,5,IF(E457&gt;=50*0.7,4,IF(E457&gt;=50*0.6,3.5,IF(E457&gt;=50*0.5,3,IF(E457&gt;=50*0.4,2,IF(E457&gt;=50*0.33,1,0))))))))</f>
        <v/>
      </c>
      <c r="X457">
        <f>IF(B457="","",IF(F457&lt;33.0,0,IF(F457&gt;=100*0.8,5,IF(F457&gt;=100*0.7,4,IF(F457&gt;=100*0.6,3.5,IF(F457&gt;=100*0.5,3,IF(F457&gt;=100*0.4,2,IF(F457&gt;=100*0.33,1,0))))))))</f>
        <v/>
      </c>
      <c r="Y457">
        <f>IF(B457="","",IF(G457&lt;16.5,0,IF(G457&gt;=50*0.8,5,IF(G457&gt;=50*0.7,4,IF(G457&gt;=50*0.6,3.5,IF(G457&gt;=50*0.5,3,IF(G457&gt;=50*0.4,2,IF(G457&gt;=50*0.33,1,0))))))))</f>
        <v/>
      </c>
      <c r="Z457">
        <f>IF(B457="","",IF(H457&lt;33.0,0,IF(H457&gt;=100*0.8,5,IF(H457&gt;=100*0.7,4,IF(H457&gt;=100*0.6,3.5,IF(H457&gt;=100*0.5,3,IF(H457&gt;=100*0.4,2,IF(H457&gt;=100*0.33,1,0))))))))</f>
        <v/>
      </c>
      <c r="AA457">
        <f>IF(B457="","",IF(I457&lt;33.0,0,IF(I457&gt;=100*0.8,5,IF(I457&gt;=100*0.7,4,IF(I457&gt;=100*0.6,3.5,IF(I457&gt;=100*0.5,3,IF(I457&gt;=100*0.4,2,IF(I457&gt;=100*0.33,1,0))))))))</f>
        <v/>
      </c>
      <c r="AB457">
        <f>IF(B457="","",IF(J457&lt;33.0,0,IF(J457&gt;=100*0.8,5,IF(J457&gt;=100*0.7,4,IF(J457&gt;=100*0.6,3.5,IF(J457&gt;=100*0.5,3,IF(J457&gt;=100*0.4,2,IF(J457&gt;=100*0.33,1,0))))))))</f>
        <v/>
      </c>
      <c r="AC457">
        <f>IF(B457="","",IF(K457&lt;33.0,0,IF(K457&gt;=100*0.8,5,IF(K457&gt;=100*0.7,4,IF(K457&gt;=100*0.6,3.5,IF(K457&gt;=100*0.5,3,IF(K457&gt;=100*0.4,2,IF(K457&gt;=100*0.33,1,0))))))))</f>
        <v/>
      </c>
      <c r="AD457">
        <f>IF(B457="","",IF(L457&lt;33.0,0,IF(L457&gt;=100*0.8,5,IF(L457&gt;=100*0.7,4,IF(L457&gt;=100*0.6,3.5,IF(L457&gt;=100*0.5,3,IF(L457&gt;=100*0.4,2,IF(L457&gt;=100*0.33,1,0))))))))</f>
        <v/>
      </c>
      <c r="AE457">
        <f>IF(B457="","",IF(M457&lt;33.0,0,IF(M457&gt;=100*0.8,5,IF(M457&gt;=100*0.7,4,IF(M457&gt;=100*0.6,3.5,IF(M457&gt;=100*0.5,3,IF(M457&gt;=100*0.4,2,IF(M457&gt;=100*0.33,1,0))))))))</f>
        <v/>
      </c>
      <c r="AF457">
        <f>IF(B457="","",IF(N457&lt;16.5,0,IF(N457&gt;=50*0.8,5,IF(N457&gt;=50*0.7,4,IF(N457&gt;=50*0.6,3.5,IF(N457&gt;=50*0.5,3,IF(N457&gt;=50*0.4,2,IF(N457&gt;=50*0.33,1,0))))))))</f>
        <v/>
      </c>
      <c r="AG457">
        <f>IF(B457="","",IF(O457&lt;33.0,0,IF(O457&gt;=100*0.8,5,IF(O457&gt;=100*0.7,4,IF(O457&gt;=100*0.6,3.5,IF(O457&gt;=100*0.5,3,IF(O457&gt;=100*0.4,2,IF(O457&gt;=100*0.33,1,0))))))))</f>
        <v/>
      </c>
      <c r="AH457">
        <f>IF(B457="","",IF(OR(U457=0,V457=0,W457=0,X457=0,Y457=0,Z457=0,AA457=0,AB457=0,AC457=0,AD457=0,AE457=0,AF457=0,AG457=0),1,0))</f>
        <v/>
      </c>
    </row>
    <row r="458">
      <c r="A458" s="3">
        <f>IF(B458="","",ROW()-2)</f>
        <v/>
      </c>
      <c r="P458" s="4">
        <f>IF(B458="","",SUM(C458:O458))</f>
        <v/>
      </c>
      <c r="Q458" s="5">
        <f>IF(B458="","",ROUND(P458/13,2))</f>
        <v/>
      </c>
      <c r="R458" s="5">
        <f>IF(B458="","",IF(AH458=1,0,MIN(5,ROUND((U458+V458+W458+X458+Y458+Z458+AA458+AB458+AC458+AD458+AE458+AF458+AG458)/13,2))))</f>
        <v/>
      </c>
      <c r="S458" s="3">
        <f>IF(B458="","",IF(R458&gt;=5,"A+",IF(R458&gt;=4,"A",IF(R458&gt;=3.5,"A-",IF(R458&gt;=3,"B",IF(R458&gt;=2,"C",IF(R458&gt;=1,"D","F")))))))</f>
        <v/>
      </c>
      <c r="T458" s="3">
        <f>IF(OR(B458="",S458="F"),"",COUNTIFS(P:P,"&gt;"&amp;P458,S:S,"&lt;&gt;F")+1)</f>
        <v/>
      </c>
      <c r="U458">
        <f>IF(B458="","",IF(C458&lt;33.0,0,IF(C458&gt;=100*0.8,5,IF(C458&gt;=100*0.7,4,IF(C458&gt;=100*0.6,3.5,IF(C458&gt;=100*0.5,3,IF(C458&gt;=100*0.4,2,IF(C458&gt;=100*0.33,1,0))))))))</f>
        <v/>
      </c>
      <c r="V458">
        <f>IF(B458="","",IF(D458&lt;33.0,0,IF(D458&gt;=100*0.8,5,IF(D458&gt;=100*0.7,4,IF(D458&gt;=100*0.6,3.5,IF(D458&gt;=100*0.5,3,IF(D458&gt;=100*0.4,2,IF(D458&gt;=100*0.33,1,0))))))))</f>
        <v/>
      </c>
      <c r="W458">
        <f>IF(B458="","",IF(E458&lt;16.5,0,IF(E458&gt;=50*0.8,5,IF(E458&gt;=50*0.7,4,IF(E458&gt;=50*0.6,3.5,IF(E458&gt;=50*0.5,3,IF(E458&gt;=50*0.4,2,IF(E458&gt;=50*0.33,1,0))))))))</f>
        <v/>
      </c>
      <c r="X458">
        <f>IF(B458="","",IF(F458&lt;33.0,0,IF(F458&gt;=100*0.8,5,IF(F458&gt;=100*0.7,4,IF(F458&gt;=100*0.6,3.5,IF(F458&gt;=100*0.5,3,IF(F458&gt;=100*0.4,2,IF(F458&gt;=100*0.33,1,0))))))))</f>
        <v/>
      </c>
      <c r="Y458">
        <f>IF(B458="","",IF(G458&lt;16.5,0,IF(G458&gt;=50*0.8,5,IF(G458&gt;=50*0.7,4,IF(G458&gt;=50*0.6,3.5,IF(G458&gt;=50*0.5,3,IF(G458&gt;=50*0.4,2,IF(G458&gt;=50*0.33,1,0))))))))</f>
        <v/>
      </c>
      <c r="Z458">
        <f>IF(B458="","",IF(H458&lt;33.0,0,IF(H458&gt;=100*0.8,5,IF(H458&gt;=100*0.7,4,IF(H458&gt;=100*0.6,3.5,IF(H458&gt;=100*0.5,3,IF(H458&gt;=100*0.4,2,IF(H458&gt;=100*0.33,1,0))))))))</f>
        <v/>
      </c>
      <c r="AA458">
        <f>IF(B458="","",IF(I458&lt;33.0,0,IF(I458&gt;=100*0.8,5,IF(I458&gt;=100*0.7,4,IF(I458&gt;=100*0.6,3.5,IF(I458&gt;=100*0.5,3,IF(I458&gt;=100*0.4,2,IF(I458&gt;=100*0.33,1,0))))))))</f>
        <v/>
      </c>
      <c r="AB458">
        <f>IF(B458="","",IF(J458&lt;33.0,0,IF(J458&gt;=100*0.8,5,IF(J458&gt;=100*0.7,4,IF(J458&gt;=100*0.6,3.5,IF(J458&gt;=100*0.5,3,IF(J458&gt;=100*0.4,2,IF(J458&gt;=100*0.33,1,0))))))))</f>
        <v/>
      </c>
      <c r="AC458">
        <f>IF(B458="","",IF(K458&lt;33.0,0,IF(K458&gt;=100*0.8,5,IF(K458&gt;=100*0.7,4,IF(K458&gt;=100*0.6,3.5,IF(K458&gt;=100*0.5,3,IF(K458&gt;=100*0.4,2,IF(K458&gt;=100*0.33,1,0))))))))</f>
        <v/>
      </c>
      <c r="AD458">
        <f>IF(B458="","",IF(L458&lt;33.0,0,IF(L458&gt;=100*0.8,5,IF(L458&gt;=100*0.7,4,IF(L458&gt;=100*0.6,3.5,IF(L458&gt;=100*0.5,3,IF(L458&gt;=100*0.4,2,IF(L458&gt;=100*0.33,1,0))))))))</f>
        <v/>
      </c>
      <c r="AE458">
        <f>IF(B458="","",IF(M458&lt;33.0,0,IF(M458&gt;=100*0.8,5,IF(M458&gt;=100*0.7,4,IF(M458&gt;=100*0.6,3.5,IF(M458&gt;=100*0.5,3,IF(M458&gt;=100*0.4,2,IF(M458&gt;=100*0.33,1,0))))))))</f>
        <v/>
      </c>
      <c r="AF458">
        <f>IF(B458="","",IF(N458&lt;16.5,0,IF(N458&gt;=50*0.8,5,IF(N458&gt;=50*0.7,4,IF(N458&gt;=50*0.6,3.5,IF(N458&gt;=50*0.5,3,IF(N458&gt;=50*0.4,2,IF(N458&gt;=50*0.33,1,0))))))))</f>
        <v/>
      </c>
      <c r="AG458">
        <f>IF(B458="","",IF(O458&lt;33.0,0,IF(O458&gt;=100*0.8,5,IF(O458&gt;=100*0.7,4,IF(O458&gt;=100*0.6,3.5,IF(O458&gt;=100*0.5,3,IF(O458&gt;=100*0.4,2,IF(O458&gt;=100*0.33,1,0))))))))</f>
        <v/>
      </c>
      <c r="AH458">
        <f>IF(B458="","",IF(OR(U458=0,V458=0,W458=0,X458=0,Y458=0,Z458=0,AA458=0,AB458=0,AC458=0,AD458=0,AE458=0,AF458=0,AG458=0),1,0))</f>
        <v/>
      </c>
    </row>
    <row r="459">
      <c r="A459" s="3">
        <f>IF(B459="","",ROW()-2)</f>
        <v/>
      </c>
      <c r="P459" s="4">
        <f>IF(B459="","",SUM(C459:O459))</f>
        <v/>
      </c>
      <c r="Q459" s="5">
        <f>IF(B459="","",ROUND(P459/13,2))</f>
        <v/>
      </c>
      <c r="R459" s="5">
        <f>IF(B459="","",IF(AH459=1,0,MIN(5,ROUND((U459+V459+W459+X459+Y459+Z459+AA459+AB459+AC459+AD459+AE459+AF459+AG459)/13,2))))</f>
        <v/>
      </c>
      <c r="S459" s="3">
        <f>IF(B459="","",IF(R459&gt;=5,"A+",IF(R459&gt;=4,"A",IF(R459&gt;=3.5,"A-",IF(R459&gt;=3,"B",IF(R459&gt;=2,"C",IF(R459&gt;=1,"D","F")))))))</f>
        <v/>
      </c>
      <c r="T459" s="3">
        <f>IF(OR(B459="",S459="F"),"",COUNTIFS(P:P,"&gt;"&amp;P459,S:S,"&lt;&gt;F")+1)</f>
        <v/>
      </c>
      <c r="U459">
        <f>IF(B459="","",IF(C459&lt;33.0,0,IF(C459&gt;=100*0.8,5,IF(C459&gt;=100*0.7,4,IF(C459&gt;=100*0.6,3.5,IF(C459&gt;=100*0.5,3,IF(C459&gt;=100*0.4,2,IF(C459&gt;=100*0.33,1,0))))))))</f>
        <v/>
      </c>
      <c r="V459">
        <f>IF(B459="","",IF(D459&lt;33.0,0,IF(D459&gt;=100*0.8,5,IF(D459&gt;=100*0.7,4,IF(D459&gt;=100*0.6,3.5,IF(D459&gt;=100*0.5,3,IF(D459&gt;=100*0.4,2,IF(D459&gt;=100*0.33,1,0))))))))</f>
        <v/>
      </c>
      <c r="W459">
        <f>IF(B459="","",IF(E459&lt;16.5,0,IF(E459&gt;=50*0.8,5,IF(E459&gt;=50*0.7,4,IF(E459&gt;=50*0.6,3.5,IF(E459&gt;=50*0.5,3,IF(E459&gt;=50*0.4,2,IF(E459&gt;=50*0.33,1,0))))))))</f>
        <v/>
      </c>
      <c r="X459">
        <f>IF(B459="","",IF(F459&lt;33.0,0,IF(F459&gt;=100*0.8,5,IF(F459&gt;=100*0.7,4,IF(F459&gt;=100*0.6,3.5,IF(F459&gt;=100*0.5,3,IF(F459&gt;=100*0.4,2,IF(F459&gt;=100*0.33,1,0))))))))</f>
        <v/>
      </c>
      <c r="Y459">
        <f>IF(B459="","",IF(G459&lt;16.5,0,IF(G459&gt;=50*0.8,5,IF(G459&gt;=50*0.7,4,IF(G459&gt;=50*0.6,3.5,IF(G459&gt;=50*0.5,3,IF(G459&gt;=50*0.4,2,IF(G459&gt;=50*0.33,1,0))))))))</f>
        <v/>
      </c>
      <c r="Z459">
        <f>IF(B459="","",IF(H459&lt;33.0,0,IF(H459&gt;=100*0.8,5,IF(H459&gt;=100*0.7,4,IF(H459&gt;=100*0.6,3.5,IF(H459&gt;=100*0.5,3,IF(H459&gt;=100*0.4,2,IF(H459&gt;=100*0.33,1,0))))))))</f>
        <v/>
      </c>
      <c r="AA459">
        <f>IF(B459="","",IF(I459&lt;33.0,0,IF(I459&gt;=100*0.8,5,IF(I459&gt;=100*0.7,4,IF(I459&gt;=100*0.6,3.5,IF(I459&gt;=100*0.5,3,IF(I459&gt;=100*0.4,2,IF(I459&gt;=100*0.33,1,0))))))))</f>
        <v/>
      </c>
      <c r="AB459">
        <f>IF(B459="","",IF(J459&lt;33.0,0,IF(J459&gt;=100*0.8,5,IF(J459&gt;=100*0.7,4,IF(J459&gt;=100*0.6,3.5,IF(J459&gt;=100*0.5,3,IF(J459&gt;=100*0.4,2,IF(J459&gt;=100*0.33,1,0))))))))</f>
        <v/>
      </c>
      <c r="AC459">
        <f>IF(B459="","",IF(K459&lt;33.0,0,IF(K459&gt;=100*0.8,5,IF(K459&gt;=100*0.7,4,IF(K459&gt;=100*0.6,3.5,IF(K459&gt;=100*0.5,3,IF(K459&gt;=100*0.4,2,IF(K459&gt;=100*0.33,1,0))))))))</f>
        <v/>
      </c>
      <c r="AD459">
        <f>IF(B459="","",IF(L459&lt;33.0,0,IF(L459&gt;=100*0.8,5,IF(L459&gt;=100*0.7,4,IF(L459&gt;=100*0.6,3.5,IF(L459&gt;=100*0.5,3,IF(L459&gt;=100*0.4,2,IF(L459&gt;=100*0.33,1,0))))))))</f>
        <v/>
      </c>
      <c r="AE459">
        <f>IF(B459="","",IF(M459&lt;33.0,0,IF(M459&gt;=100*0.8,5,IF(M459&gt;=100*0.7,4,IF(M459&gt;=100*0.6,3.5,IF(M459&gt;=100*0.5,3,IF(M459&gt;=100*0.4,2,IF(M459&gt;=100*0.33,1,0))))))))</f>
        <v/>
      </c>
      <c r="AF459">
        <f>IF(B459="","",IF(N459&lt;16.5,0,IF(N459&gt;=50*0.8,5,IF(N459&gt;=50*0.7,4,IF(N459&gt;=50*0.6,3.5,IF(N459&gt;=50*0.5,3,IF(N459&gt;=50*0.4,2,IF(N459&gt;=50*0.33,1,0))))))))</f>
        <v/>
      </c>
      <c r="AG459">
        <f>IF(B459="","",IF(O459&lt;33.0,0,IF(O459&gt;=100*0.8,5,IF(O459&gt;=100*0.7,4,IF(O459&gt;=100*0.6,3.5,IF(O459&gt;=100*0.5,3,IF(O459&gt;=100*0.4,2,IF(O459&gt;=100*0.33,1,0))))))))</f>
        <v/>
      </c>
      <c r="AH459">
        <f>IF(B459="","",IF(OR(U459=0,V459=0,W459=0,X459=0,Y459=0,Z459=0,AA459=0,AB459=0,AC459=0,AD459=0,AE459=0,AF459=0,AG459=0),1,0))</f>
        <v/>
      </c>
    </row>
    <row r="460">
      <c r="A460" s="3">
        <f>IF(B460="","",ROW()-2)</f>
        <v/>
      </c>
      <c r="P460" s="4">
        <f>IF(B460="","",SUM(C460:O460))</f>
        <v/>
      </c>
      <c r="Q460" s="5">
        <f>IF(B460="","",ROUND(P460/13,2))</f>
        <v/>
      </c>
      <c r="R460" s="5">
        <f>IF(B460="","",IF(AH460=1,0,MIN(5,ROUND((U460+V460+W460+X460+Y460+Z460+AA460+AB460+AC460+AD460+AE460+AF460+AG460)/13,2))))</f>
        <v/>
      </c>
      <c r="S460" s="3">
        <f>IF(B460="","",IF(R460&gt;=5,"A+",IF(R460&gt;=4,"A",IF(R460&gt;=3.5,"A-",IF(R460&gt;=3,"B",IF(R460&gt;=2,"C",IF(R460&gt;=1,"D","F")))))))</f>
        <v/>
      </c>
      <c r="T460" s="3">
        <f>IF(OR(B460="",S460="F"),"",COUNTIFS(P:P,"&gt;"&amp;P460,S:S,"&lt;&gt;F")+1)</f>
        <v/>
      </c>
      <c r="U460">
        <f>IF(B460="","",IF(C460&lt;33.0,0,IF(C460&gt;=100*0.8,5,IF(C460&gt;=100*0.7,4,IF(C460&gt;=100*0.6,3.5,IF(C460&gt;=100*0.5,3,IF(C460&gt;=100*0.4,2,IF(C460&gt;=100*0.33,1,0))))))))</f>
        <v/>
      </c>
      <c r="V460">
        <f>IF(B460="","",IF(D460&lt;33.0,0,IF(D460&gt;=100*0.8,5,IF(D460&gt;=100*0.7,4,IF(D460&gt;=100*0.6,3.5,IF(D460&gt;=100*0.5,3,IF(D460&gt;=100*0.4,2,IF(D460&gt;=100*0.33,1,0))))))))</f>
        <v/>
      </c>
      <c r="W460">
        <f>IF(B460="","",IF(E460&lt;16.5,0,IF(E460&gt;=50*0.8,5,IF(E460&gt;=50*0.7,4,IF(E460&gt;=50*0.6,3.5,IF(E460&gt;=50*0.5,3,IF(E460&gt;=50*0.4,2,IF(E460&gt;=50*0.33,1,0))))))))</f>
        <v/>
      </c>
      <c r="X460">
        <f>IF(B460="","",IF(F460&lt;33.0,0,IF(F460&gt;=100*0.8,5,IF(F460&gt;=100*0.7,4,IF(F460&gt;=100*0.6,3.5,IF(F460&gt;=100*0.5,3,IF(F460&gt;=100*0.4,2,IF(F460&gt;=100*0.33,1,0))))))))</f>
        <v/>
      </c>
      <c r="Y460">
        <f>IF(B460="","",IF(G460&lt;16.5,0,IF(G460&gt;=50*0.8,5,IF(G460&gt;=50*0.7,4,IF(G460&gt;=50*0.6,3.5,IF(G460&gt;=50*0.5,3,IF(G460&gt;=50*0.4,2,IF(G460&gt;=50*0.33,1,0))))))))</f>
        <v/>
      </c>
      <c r="Z460">
        <f>IF(B460="","",IF(H460&lt;33.0,0,IF(H460&gt;=100*0.8,5,IF(H460&gt;=100*0.7,4,IF(H460&gt;=100*0.6,3.5,IF(H460&gt;=100*0.5,3,IF(H460&gt;=100*0.4,2,IF(H460&gt;=100*0.33,1,0))))))))</f>
        <v/>
      </c>
      <c r="AA460">
        <f>IF(B460="","",IF(I460&lt;33.0,0,IF(I460&gt;=100*0.8,5,IF(I460&gt;=100*0.7,4,IF(I460&gt;=100*0.6,3.5,IF(I460&gt;=100*0.5,3,IF(I460&gt;=100*0.4,2,IF(I460&gt;=100*0.33,1,0))))))))</f>
        <v/>
      </c>
      <c r="AB460">
        <f>IF(B460="","",IF(J460&lt;33.0,0,IF(J460&gt;=100*0.8,5,IF(J460&gt;=100*0.7,4,IF(J460&gt;=100*0.6,3.5,IF(J460&gt;=100*0.5,3,IF(J460&gt;=100*0.4,2,IF(J460&gt;=100*0.33,1,0))))))))</f>
        <v/>
      </c>
      <c r="AC460">
        <f>IF(B460="","",IF(K460&lt;33.0,0,IF(K460&gt;=100*0.8,5,IF(K460&gt;=100*0.7,4,IF(K460&gt;=100*0.6,3.5,IF(K460&gt;=100*0.5,3,IF(K460&gt;=100*0.4,2,IF(K460&gt;=100*0.33,1,0))))))))</f>
        <v/>
      </c>
      <c r="AD460">
        <f>IF(B460="","",IF(L460&lt;33.0,0,IF(L460&gt;=100*0.8,5,IF(L460&gt;=100*0.7,4,IF(L460&gt;=100*0.6,3.5,IF(L460&gt;=100*0.5,3,IF(L460&gt;=100*0.4,2,IF(L460&gt;=100*0.33,1,0))))))))</f>
        <v/>
      </c>
      <c r="AE460">
        <f>IF(B460="","",IF(M460&lt;33.0,0,IF(M460&gt;=100*0.8,5,IF(M460&gt;=100*0.7,4,IF(M460&gt;=100*0.6,3.5,IF(M460&gt;=100*0.5,3,IF(M460&gt;=100*0.4,2,IF(M460&gt;=100*0.33,1,0))))))))</f>
        <v/>
      </c>
      <c r="AF460">
        <f>IF(B460="","",IF(N460&lt;16.5,0,IF(N460&gt;=50*0.8,5,IF(N460&gt;=50*0.7,4,IF(N460&gt;=50*0.6,3.5,IF(N460&gt;=50*0.5,3,IF(N460&gt;=50*0.4,2,IF(N460&gt;=50*0.33,1,0))))))))</f>
        <v/>
      </c>
      <c r="AG460">
        <f>IF(B460="","",IF(O460&lt;33.0,0,IF(O460&gt;=100*0.8,5,IF(O460&gt;=100*0.7,4,IF(O460&gt;=100*0.6,3.5,IF(O460&gt;=100*0.5,3,IF(O460&gt;=100*0.4,2,IF(O460&gt;=100*0.33,1,0))))))))</f>
        <v/>
      </c>
      <c r="AH460">
        <f>IF(B460="","",IF(OR(U460=0,V460=0,W460=0,X460=0,Y460=0,Z460=0,AA460=0,AB460=0,AC460=0,AD460=0,AE460=0,AF460=0,AG460=0),1,0))</f>
        <v/>
      </c>
    </row>
    <row r="461">
      <c r="A461" s="3">
        <f>IF(B461="","",ROW()-2)</f>
        <v/>
      </c>
      <c r="P461" s="4">
        <f>IF(B461="","",SUM(C461:O461))</f>
        <v/>
      </c>
      <c r="Q461" s="5">
        <f>IF(B461="","",ROUND(P461/13,2))</f>
        <v/>
      </c>
      <c r="R461" s="5">
        <f>IF(B461="","",IF(AH461=1,0,MIN(5,ROUND((U461+V461+W461+X461+Y461+Z461+AA461+AB461+AC461+AD461+AE461+AF461+AG461)/13,2))))</f>
        <v/>
      </c>
      <c r="S461" s="3">
        <f>IF(B461="","",IF(R461&gt;=5,"A+",IF(R461&gt;=4,"A",IF(R461&gt;=3.5,"A-",IF(R461&gt;=3,"B",IF(R461&gt;=2,"C",IF(R461&gt;=1,"D","F")))))))</f>
        <v/>
      </c>
      <c r="T461" s="3">
        <f>IF(OR(B461="",S461="F"),"",COUNTIFS(P:P,"&gt;"&amp;P461,S:S,"&lt;&gt;F")+1)</f>
        <v/>
      </c>
      <c r="U461">
        <f>IF(B461="","",IF(C461&lt;33.0,0,IF(C461&gt;=100*0.8,5,IF(C461&gt;=100*0.7,4,IF(C461&gt;=100*0.6,3.5,IF(C461&gt;=100*0.5,3,IF(C461&gt;=100*0.4,2,IF(C461&gt;=100*0.33,1,0))))))))</f>
        <v/>
      </c>
      <c r="V461">
        <f>IF(B461="","",IF(D461&lt;33.0,0,IF(D461&gt;=100*0.8,5,IF(D461&gt;=100*0.7,4,IF(D461&gt;=100*0.6,3.5,IF(D461&gt;=100*0.5,3,IF(D461&gt;=100*0.4,2,IF(D461&gt;=100*0.33,1,0))))))))</f>
        <v/>
      </c>
      <c r="W461">
        <f>IF(B461="","",IF(E461&lt;16.5,0,IF(E461&gt;=50*0.8,5,IF(E461&gt;=50*0.7,4,IF(E461&gt;=50*0.6,3.5,IF(E461&gt;=50*0.5,3,IF(E461&gt;=50*0.4,2,IF(E461&gt;=50*0.33,1,0))))))))</f>
        <v/>
      </c>
      <c r="X461">
        <f>IF(B461="","",IF(F461&lt;33.0,0,IF(F461&gt;=100*0.8,5,IF(F461&gt;=100*0.7,4,IF(F461&gt;=100*0.6,3.5,IF(F461&gt;=100*0.5,3,IF(F461&gt;=100*0.4,2,IF(F461&gt;=100*0.33,1,0))))))))</f>
        <v/>
      </c>
      <c r="Y461">
        <f>IF(B461="","",IF(G461&lt;16.5,0,IF(G461&gt;=50*0.8,5,IF(G461&gt;=50*0.7,4,IF(G461&gt;=50*0.6,3.5,IF(G461&gt;=50*0.5,3,IF(G461&gt;=50*0.4,2,IF(G461&gt;=50*0.33,1,0))))))))</f>
        <v/>
      </c>
      <c r="Z461">
        <f>IF(B461="","",IF(H461&lt;33.0,0,IF(H461&gt;=100*0.8,5,IF(H461&gt;=100*0.7,4,IF(H461&gt;=100*0.6,3.5,IF(H461&gt;=100*0.5,3,IF(H461&gt;=100*0.4,2,IF(H461&gt;=100*0.33,1,0))))))))</f>
        <v/>
      </c>
      <c r="AA461">
        <f>IF(B461="","",IF(I461&lt;33.0,0,IF(I461&gt;=100*0.8,5,IF(I461&gt;=100*0.7,4,IF(I461&gt;=100*0.6,3.5,IF(I461&gt;=100*0.5,3,IF(I461&gt;=100*0.4,2,IF(I461&gt;=100*0.33,1,0))))))))</f>
        <v/>
      </c>
      <c r="AB461">
        <f>IF(B461="","",IF(J461&lt;33.0,0,IF(J461&gt;=100*0.8,5,IF(J461&gt;=100*0.7,4,IF(J461&gt;=100*0.6,3.5,IF(J461&gt;=100*0.5,3,IF(J461&gt;=100*0.4,2,IF(J461&gt;=100*0.33,1,0))))))))</f>
        <v/>
      </c>
      <c r="AC461">
        <f>IF(B461="","",IF(K461&lt;33.0,0,IF(K461&gt;=100*0.8,5,IF(K461&gt;=100*0.7,4,IF(K461&gt;=100*0.6,3.5,IF(K461&gt;=100*0.5,3,IF(K461&gt;=100*0.4,2,IF(K461&gt;=100*0.33,1,0))))))))</f>
        <v/>
      </c>
      <c r="AD461">
        <f>IF(B461="","",IF(L461&lt;33.0,0,IF(L461&gt;=100*0.8,5,IF(L461&gt;=100*0.7,4,IF(L461&gt;=100*0.6,3.5,IF(L461&gt;=100*0.5,3,IF(L461&gt;=100*0.4,2,IF(L461&gt;=100*0.33,1,0))))))))</f>
        <v/>
      </c>
      <c r="AE461">
        <f>IF(B461="","",IF(M461&lt;33.0,0,IF(M461&gt;=100*0.8,5,IF(M461&gt;=100*0.7,4,IF(M461&gt;=100*0.6,3.5,IF(M461&gt;=100*0.5,3,IF(M461&gt;=100*0.4,2,IF(M461&gt;=100*0.33,1,0))))))))</f>
        <v/>
      </c>
      <c r="AF461">
        <f>IF(B461="","",IF(N461&lt;16.5,0,IF(N461&gt;=50*0.8,5,IF(N461&gt;=50*0.7,4,IF(N461&gt;=50*0.6,3.5,IF(N461&gt;=50*0.5,3,IF(N461&gt;=50*0.4,2,IF(N461&gt;=50*0.33,1,0))))))))</f>
        <v/>
      </c>
      <c r="AG461">
        <f>IF(B461="","",IF(O461&lt;33.0,0,IF(O461&gt;=100*0.8,5,IF(O461&gt;=100*0.7,4,IF(O461&gt;=100*0.6,3.5,IF(O461&gt;=100*0.5,3,IF(O461&gt;=100*0.4,2,IF(O461&gt;=100*0.33,1,0))))))))</f>
        <v/>
      </c>
      <c r="AH461">
        <f>IF(B461="","",IF(OR(U461=0,V461=0,W461=0,X461=0,Y461=0,Z461=0,AA461=0,AB461=0,AC461=0,AD461=0,AE461=0,AF461=0,AG461=0),1,0))</f>
        <v/>
      </c>
    </row>
    <row r="462">
      <c r="A462" s="3">
        <f>IF(B462="","",ROW()-2)</f>
        <v/>
      </c>
      <c r="P462" s="4">
        <f>IF(B462="","",SUM(C462:O462))</f>
        <v/>
      </c>
      <c r="Q462" s="5">
        <f>IF(B462="","",ROUND(P462/13,2))</f>
        <v/>
      </c>
      <c r="R462" s="5">
        <f>IF(B462="","",IF(AH462=1,0,MIN(5,ROUND((U462+V462+W462+X462+Y462+Z462+AA462+AB462+AC462+AD462+AE462+AF462+AG462)/13,2))))</f>
        <v/>
      </c>
      <c r="S462" s="3">
        <f>IF(B462="","",IF(R462&gt;=5,"A+",IF(R462&gt;=4,"A",IF(R462&gt;=3.5,"A-",IF(R462&gt;=3,"B",IF(R462&gt;=2,"C",IF(R462&gt;=1,"D","F")))))))</f>
        <v/>
      </c>
      <c r="T462" s="3">
        <f>IF(OR(B462="",S462="F"),"",COUNTIFS(P:P,"&gt;"&amp;P462,S:S,"&lt;&gt;F")+1)</f>
        <v/>
      </c>
      <c r="U462">
        <f>IF(B462="","",IF(C462&lt;33.0,0,IF(C462&gt;=100*0.8,5,IF(C462&gt;=100*0.7,4,IF(C462&gt;=100*0.6,3.5,IF(C462&gt;=100*0.5,3,IF(C462&gt;=100*0.4,2,IF(C462&gt;=100*0.33,1,0))))))))</f>
        <v/>
      </c>
      <c r="V462">
        <f>IF(B462="","",IF(D462&lt;33.0,0,IF(D462&gt;=100*0.8,5,IF(D462&gt;=100*0.7,4,IF(D462&gt;=100*0.6,3.5,IF(D462&gt;=100*0.5,3,IF(D462&gt;=100*0.4,2,IF(D462&gt;=100*0.33,1,0))))))))</f>
        <v/>
      </c>
      <c r="W462">
        <f>IF(B462="","",IF(E462&lt;16.5,0,IF(E462&gt;=50*0.8,5,IF(E462&gt;=50*0.7,4,IF(E462&gt;=50*0.6,3.5,IF(E462&gt;=50*0.5,3,IF(E462&gt;=50*0.4,2,IF(E462&gt;=50*0.33,1,0))))))))</f>
        <v/>
      </c>
      <c r="X462">
        <f>IF(B462="","",IF(F462&lt;33.0,0,IF(F462&gt;=100*0.8,5,IF(F462&gt;=100*0.7,4,IF(F462&gt;=100*0.6,3.5,IF(F462&gt;=100*0.5,3,IF(F462&gt;=100*0.4,2,IF(F462&gt;=100*0.33,1,0))))))))</f>
        <v/>
      </c>
      <c r="Y462">
        <f>IF(B462="","",IF(G462&lt;16.5,0,IF(G462&gt;=50*0.8,5,IF(G462&gt;=50*0.7,4,IF(G462&gt;=50*0.6,3.5,IF(G462&gt;=50*0.5,3,IF(G462&gt;=50*0.4,2,IF(G462&gt;=50*0.33,1,0))))))))</f>
        <v/>
      </c>
      <c r="Z462">
        <f>IF(B462="","",IF(H462&lt;33.0,0,IF(H462&gt;=100*0.8,5,IF(H462&gt;=100*0.7,4,IF(H462&gt;=100*0.6,3.5,IF(H462&gt;=100*0.5,3,IF(H462&gt;=100*0.4,2,IF(H462&gt;=100*0.33,1,0))))))))</f>
        <v/>
      </c>
      <c r="AA462">
        <f>IF(B462="","",IF(I462&lt;33.0,0,IF(I462&gt;=100*0.8,5,IF(I462&gt;=100*0.7,4,IF(I462&gt;=100*0.6,3.5,IF(I462&gt;=100*0.5,3,IF(I462&gt;=100*0.4,2,IF(I462&gt;=100*0.33,1,0))))))))</f>
        <v/>
      </c>
      <c r="AB462">
        <f>IF(B462="","",IF(J462&lt;33.0,0,IF(J462&gt;=100*0.8,5,IF(J462&gt;=100*0.7,4,IF(J462&gt;=100*0.6,3.5,IF(J462&gt;=100*0.5,3,IF(J462&gt;=100*0.4,2,IF(J462&gt;=100*0.33,1,0))))))))</f>
        <v/>
      </c>
      <c r="AC462">
        <f>IF(B462="","",IF(K462&lt;33.0,0,IF(K462&gt;=100*0.8,5,IF(K462&gt;=100*0.7,4,IF(K462&gt;=100*0.6,3.5,IF(K462&gt;=100*0.5,3,IF(K462&gt;=100*0.4,2,IF(K462&gt;=100*0.33,1,0))))))))</f>
        <v/>
      </c>
      <c r="AD462">
        <f>IF(B462="","",IF(L462&lt;33.0,0,IF(L462&gt;=100*0.8,5,IF(L462&gt;=100*0.7,4,IF(L462&gt;=100*0.6,3.5,IF(L462&gt;=100*0.5,3,IF(L462&gt;=100*0.4,2,IF(L462&gt;=100*0.33,1,0))))))))</f>
        <v/>
      </c>
      <c r="AE462">
        <f>IF(B462="","",IF(M462&lt;33.0,0,IF(M462&gt;=100*0.8,5,IF(M462&gt;=100*0.7,4,IF(M462&gt;=100*0.6,3.5,IF(M462&gt;=100*0.5,3,IF(M462&gt;=100*0.4,2,IF(M462&gt;=100*0.33,1,0))))))))</f>
        <v/>
      </c>
      <c r="AF462">
        <f>IF(B462="","",IF(N462&lt;16.5,0,IF(N462&gt;=50*0.8,5,IF(N462&gt;=50*0.7,4,IF(N462&gt;=50*0.6,3.5,IF(N462&gt;=50*0.5,3,IF(N462&gt;=50*0.4,2,IF(N462&gt;=50*0.33,1,0))))))))</f>
        <v/>
      </c>
      <c r="AG462">
        <f>IF(B462="","",IF(O462&lt;33.0,0,IF(O462&gt;=100*0.8,5,IF(O462&gt;=100*0.7,4,IF(O462&gt;=100*0.6,3.5,IF(O462&gt;=100*0.5,3,IF(O462&gt;=100*0.4,2,IF(O462&gt;=100*0.33,1,0))))))))</f>
        <v/>
      </c>
      <c r="AH462">
        <f>IF(B462="","",IF(OR(U462=0,V462=0,W462=0,X462=0,Y462=0,Z462=0,AA462=0,AB462=0,AC462=0,AD462=0,AE462=0,AF462=0,AG462=0),1,0))</f>
        <v/>
      </c>
    </row>
    <row r="463">
      <c r="A463" s="3">
        <f>IF(B463="","",ROW()-2)</f>
        <v/>
      </c>
      <c r="P463" s="4">
        <f>IF(B463="","",SUM(C463:O463))</f>
        <v/>
      </c>
      <c r="Q463" s="5">
        <f>IF(B463="","",ROUND(P463/13,2))</f>
        <v/>
      </c>
      <c r="R463" s="5">
        <f>IF(B463="","",IF(AH463=1,0,MIN(5,ROUND((U463+V463+W463+X463+Y463+Z463+AA463+AB463+AC463+AD463+AE463+AF463+AG463)/13,2))))</f>
        <v/>
      </c>
      <c r="S463" s="3">
        <f>IF(B463="","",IF(R463&gt;=5,"A+",IF(R463&gt;=4,"A",IF(R463&gt;=3.5,"A-",IF(R463&gt;=3,"B",IF(R463&gt;=2,"C",IF(R463&gt;=1,"D","F")))))))</f>
        <v/>
      </c>
      <c r="T463" s="3">
        <f>IF(OR(B463="",S463="F"),"",COUNTIFS(P:P,"&gt;"&amp;P463,S:S,"&lt;&gt;F")+1)</f>
        <v/>
      </c>
      <c r="U463">
        <f>IF(B463="","",IF(C463&lt;33.0,0,IF(C463&gt;=100*0.8,5,IF(C463&gt;=100*0.7,4,IF(C463&gt;=100*0.6,3.5,IF(C463&gt;=100*0.5,3,IF(C463&gt;=100*0.4,2,IF(C463&gt;=100*0.33,1,0))))))))</f>
        <v/>
      </c>
      <c r="V463">
        <f>IF(B463="","",IF(D463&lt;33.0,0,IF(D463&gt;=100*0.8,5,IF(D463&gt;=100*0.7,4,IF(D463&gt;=100*0.6,3.5,IF(D463&gt;=100*0.5,3,IF(D463&gt;=100*0.4,2,IF(D463&gt;=100*0.33,1,0))))))))</f>
        <v/>
      </c>
      <c r="W463">
        <f>IF(B463="","",IF(E463&lt;16.5,0,IF(E463&gt;=50*0.8,5,IF(E463&gt;=50*0.7,4,IF(E463&gt;=50*0.6,3.5,IF(E463&gt;=50*0.5,3,IF(E463&gt;=50*0.4,2,IF(E463&gt;=50*0.33,1,0))))))))</f>
        <v/>
      </c>
      <c r="X463">
        <f>IF(B463="","",IF(F463&lt;33.0,0,IF(F463&gt;=100*0.8,5,IF(F463&gt;=100*0.7,4,IF(F463&gt;=100*0.6,3.5,IF(F463&gt;=100*0.5,3,IF(F463&gt;=100*0.4,2,IF(F463&gt;=100*0.33,1,0))))))))</f>
        <v/>
      </c>
      <c r="Y463">
        <f>IF(B463="","",IF(G463&lt;16.5,0,IF(G463&gt;=50*0.8,5,IF(G463&gt;=50*0.7,4,IF(G463&gt;=50*0.6,3.5,IF(G463&gt;=50*0.5,3,IF(G463&gt;=50*0.4,2,IF(G463&gt;=50*0.33,1,0))))))))</f>
        <v/>
      </c>
      <c r="Z463">
        <f>IF(B463="","",IF(H463&lt;33.0,0,IF(H463&gt;=100*0.8,5,IF(H463&gt;=100*0.7,4,IF(H463&gt;=100*0.6,3.5,IF(H463&gt;=100*0.5,3,IF(H463&gt;=100*0.4,2,IF(H463&gt;=100*0.33,1,0))))))))</f>
        <v/>
      </c>
      <c r="AA463">
        <f>IF(B463="","",IF(I463&lt;33.0,0,IF(I463&gt;=100*0.8,5,IF(I463&gt;=100*0.7,4,IF(I463&gt;=100*0.6,3.5,IF(I463&gt;=100*0.5,3,IF(I463&gt;=100*0.4,2,IF(I463&gt;=100*0.33,1,0))))))))</f>
        <v/>
      </c>
      <c r="AB463">
        <f>IF(B463="","",IF(J463&lt;33.0,0,IF(J463&gt;=100*0.8,5,IF(J463&gt;=100*0.7,4,IF(J463&gt;=100*0.6,3.5,IF(J463&gt;=100*0.5,3,IF(J463&gt;=100*0.4,2,IF(J463&gt;=100*0.33,1,0))))))))</f>
        <v/>
      </c>
      <c r="AC463">
        <f>IF(B463="","",IF(K463&lt;33.0,0,IF(K463&gt;=100*0.8,5,IF(K463&gt;=100*0.7,4,IF(K463&gt;=100*0.6,3.5,IF(K463&gt;=100*0.5,3,IF(K463&gt;=100*0.4,2,IF(K463&gt;=100*0.33,1,0))))))))</f>
        <v/>
      </c>
      <c r="AD463">
        <f>IF(B463="","",IF(L463&lt;33.0,0,IF(L463&gt;=100*0.8,5,IF(L463&gt;=100*0.7,4,IF(L463&gt;=100*0.6,3.5,IF(L463&gt;=100*0.5,3,IF(L463&gt;=100*0.4,2,IF(L463&gt;=100*0.33,1,0))))))))</f>
        <v/>
      </c>
      <c r="AE463">
        <f>IF(B463="","",IF(M463&lt;33.0,0,IF(M463&gt;=100*0.8,5,IF(M463&gt;=100*0.7,4,IF(M463&gt;=100*0.6,3.5,IF(M463&gt;=100*0.5,3,IF(M463&gt;=100*0.4,2,IF(M463&gt;=100*0.33,1,0))))))))</f>
        <v/>
      </c>
      <c r="AF463">
        <f>IF(B463="","",IF(N463&lt;16.5,0,IF(N463&gt;=50*0.8,5,IF(N463&gt;=50*0.7,4,IF(N463&gt;=50*0.6,3.5,IF(N463&gt;=50*0.5,3,IF(N463&gt;=50*0.4,2,IF(N463&gt;=50*0.33,1,0))))))))</f>
        <v/>
      </c>
      <c r="AG463">
        <f>IF(B463="","",IF(O463&lt;33.0,0,IF(O463&gt;=100*0.8,5,IF(O463&gt;=100*0.7,4,IF(O463&gt;=100*0.6,3.5,IF(O463&gt;=100*0.5,3,IF(O463&gt;=100*0.4,2,IF(O463&gt;=100*0.33,1,0))))))))</f>
        <v/>
      </c>
      <c r="AH463">
        <f>IF(B463="","",IF(OR(U463=0,V463=0,W463=0,X463=0,Y463=0,Z463=0,AA463=0,AB463=0,AC463=0,AD463=0,AE463=0,AF463=0,AG463=0),1,0))</f>
        <v/>
      </c>
    </row>
    <row r="464">
      <c r="A464" s="3">
        <f>IF(B464="","",ROW()-2)</f>
        <v/>
      </c>
      <c r="P464" s="4">
        <f>IF(B464="","",SUM(C464:O464))</f>
        <v/>
      </c>
      <c r="Q464" s="5">
        <f>IF(B464="","",ROUND(P464/13,2))</f>
        <v/>
      </c>
      <c r="R464" s="5">
        <f>IF(B464="","",IF(AH464=1,0,MIN(5,ROUND((U464+V464+W464+X464+Y464+Z464+AA464+AB464+AC464+AD464+AE464+AF464+AG464)/13,2))))</f>
        <v/>
      </c>
      <c r="S464" s="3">
        <f>IF(B464="","",IF(R464&gt;=5,"A+",IF(R464&gt;=4,"A",IF(R464&gt;=3.5,"A-",IF(R464&gt;=3,"B",IF(R464&gt;=2,"C",IF(R464&gt;=1,"D","F")))))))</f>
        <v/>
      </c>
      <c r="T464" s="3">
        <f>IF(OR(B464="",S464="F"),"",COUNTIFS(P:P,"&gt;"&amp;P464,S:S,"&lt;&gt;F")+1)</f>
        <v/>
      </c>
      <c r="U464">
        <f>IF(B464="","",IF(C464&lt;33.0,0,IF(C464&gt;=100*0.8,5,IF(C464&gt;=100*0.7,4,IF(C464&gt;=100*0.6,3.5,IF(C464&gt;=100*0.5,3,IF(C464&gt;=100*0.4,2,IF(C464&gt;=100*0.33,1,0))))))))</f>
        <v/>
      </c>
      <c r="V464">
        <f>IF(B464="","",IF(D464&lt;33.0,0,IF(D464&gt;=100*0.8,5,IF(D464&gt;=100*0.7,4,IF(D464&gt;=100*0.6,3.5,IF(D464&gt;=100*0.5,3,IF(D464&gt;=100*0.4,2,IF(D464&gt;=100*0.33,1,0))))))))</f>
        <v/>
      </c>
      <c r="W464">
        <f>IF(B464="","",IF(E464&lt;16.5,0,IF(E464&gt;=50*0.8,5,IF(E464&gt;=50*0.7,4,IF(E464&gt;=50*0.6,3.5,IF(E464&gt;=50*0.5,3,IF(E464&gt;=50*0.4,2,IF(E464&gt;=50*0.33,1,0))))))))</f>
        <v/>
      </c>
      <c r="X464">
        <f>IF(B464="","",IF(F464&lt;33.0,0,IF(F464&gt;=100*0.8,5,IF(F464&gt;=100*0.7,4,IF(F464&gt;=100*0.6,3.5,IF(F464&gt;=100*0.5,3,IF(F464&gt;=100*0.4,2,IF(F464&gt;=100*0.33,1,0))))))))</f>
        <v/>
      </c>
      <c r="Y464">
        <f>IF(B464="","",IF(G464&lt;16.5,0,IF(G464&gt;=50*0.8,5,IF(G464&gt;=50*0.7,4,IF(G464&gt;=50*0.6,3.5,IF(G464&gt;=50*0.5,3,IF(G464&gt;=50*0.4,2,IF(G464&gt;=50*0.33,1,0))))))))</f>
        <v/>
      </c>
      <c r="Z464">
        <f>IF(B464="","",IF(H464&lt;33.0,0,IF(H464&gt;=100*0.8,5,IF(H464&gt;=100*0.7,4,IF(H464&gt;=100*0.6,3.5,IF(H464&gt;=100*0.5,3,IF(H464&gt;=100*0.4,2,IF(H464&gt;=100*0.33,1,0))))))))</f>
        <v/>
      </c>
      <c r="AA464">
        <f>IF(B464="","",IF(I464&lt;33.0,0,IF(I464&gt;=100*0.8,5,IF(I464&gt;=100*0.7,4,IF(I464&gt;=100*0.6,3.5,IF(I464&gt;=100*0.5,3,IF(I464&gt;=100*0.4,2,IF(I464&gt;=100*0.33,1,0))))))))</f>
        <v/>
      </c>
      <c r="AB464">
        <f>IF(B464="","",IF(J464&lt;33.0,0,IF(J464&gt;=100*0.8,5,IF(J464&gt;=100*0.7,4,IF(J464&gt;=100*0.6,3.5,IF(J464&gt;=100*0.5,3,IF(J464&gt;=100*0.4,2,IF(J464&gt;=100*0.33,1,0))))))))</f>
        <v/>
      </c>
      <c r="AC464">
        <f>IF(B464="","",IF(K464&lt;33.0,0,IF(K464&gt;=100*0.8,5,IF(K464&gt;=100*0.7,4,IF(K464&gt;=100*0.6,3.5,IF(K464&gt;=100*0.5,3,IF(K464&gt;=100*0.4,2,IF(K464&gt;=100*0.33,1,0))))))))</f>
        <v/>
      </c>
      <c r="AD464">
        <f>IF(B464="","",IF(L464&lt;33.0,0,IF(L464&gt;=100*0.8,5,IF(L464&gt;=100*0.7,4,IF(L464&gt;=100*0.6,3.5,IF(L464&gt;=100*0.5,3,IF(L464&gt;=100*0.4,2,IF(L464&gt;=100*0.33,1,0))))))))</f>
        <v/>
      </c>
      <c r="AE464">
        <f>IF(B464="","",IF(M464&lt;33.0,0,IF(M464&gt;=100*0.8,5,IF(M464&gt;=100*0.7,4,IF(M464&gt;=100*0.6,3.5,IF(M464&gt;=100*0.5,3,IF(M464&gt;=100*0.4,2,IF(M464&gt;=100*0.33,1,0))))))))</f>
        <v/>
      </c>
      <c r="AF464">
        <f>IF(B464="","",IF(N464&lt;16.5,0,IF(N464&gt;=50*0.8,5,IF(N464&gt;=50*0.7,4,IF(N464&gt;=50*0.6,3.5,IF(N464&gt;=50*0.5,3,IF(N464&gt;=50*0.4,2,IF(N464&gt;=50*0.33,1,0))))))))</f>
        <v/>
      </c>
      <c r="AG464">
        <f>IF(B464="","",IF(O464&lt;33.0,0,IF(O464&gt;=100*0.8,5,IF(O464&gt;=100*0.7,4,IF(O464&gt;=100*0.6,3.5,IF(O464&gt;=100*0.5,3,IF(O464&gt;=100*0.4,2,IF(O464&gt;=100*0.33,1,0))))))))</f>
        <v/>
      </c>
      <c r="AH464">
        <f>IF(B464="","",IF(OR(U464=0,V464=0,W464=0,X464=0,Y464=0,Z464=0,AA464=0,AB464=0,AC464=0,AD464=0,AE464=0,AF464=0,AG464=0),1,0))</f>
        <v/>
      </c>
    </row>
    <row r="465">
      <c r="A465" s="3">
        <f>IF(B465="","",ROW()-2)</f>
        <v/>
      </c>
      <c r="P465" s="4">
        <f>IF(B465="","",SUM(C465:O465))</f>
        <v/>
      </c>
      <c r="Q465" s="5">
        <f>IF(B465="","",ROUND(P465/13,2))</f>
        <v/>
      </c>
      <c r="R465" s="5">
        <f>IF(B465="","",IF(AH465=1,0,MIN(5,ROUND((U465+V465+W465+X465+Y465+Z465+AA465+AB465+AC465+AD465+AE465+AF465+AG465)/13,2))))</f>
        <v/>
      </c>
      <c r="S465" s="3">
        <f>IF(B465="","",IF(R465&gt;=5,"A+",IF(R465&gt;=4,"A",IF(R465&gt;=3.5,"A-",IF(R465&gt;=3,"B",IF(R465&gt;=2,"C",IF(R465&gt;=1,"D","F")))))))</f>
        <v/>
      </c>
      <c r="T465" s="3">
        <f>IF(OR(B465="",S465="F"),"",COUNTIFS(P:P,"&gt;"&amp;P465,S:S,"&lt;&gt;F")+1)</f>
        <v/>
      </c>
      <c r="U465">
        <f>IF(B465="","",IF(C465&lt;33.0,0,IF(C465&gt;=100*0.8,5,IF(C465&gt;=100*0.7,4,IF(C465&gt;=100*0.6,3.5,IF(C465&gt;=100*0.5,3,IF(C465&gt;=100*0.4,2,IF(C465&gt;=100*0.33,1,0))))))))</f>
        <v/>
      </c>
      <c r="V465">
        <f>IF(B465="","",IF(D465&lt;33.0,0,IF(D465&gt;=100*0.8,5,IF(D465&gt;=100*0.7,4,IF(D465&gt;=100*0.6,3.5,IF(D465&gt;=100*0.5,3,IF(D465&gt;=100*0.4,2,IF(D465&gt;=100*0.33,1,0))))))))</f>
        <v/>
      </c>
      <c r="W465">
        <f>IF(B465="","",IF(E465&lt;16.5,0,IF(E465&gt;=50*0.8,5,IF(E465&gt;=50*0.7,4,IF(E465&gt;=50*0.6,3.5,IF(E465&gt;=50*0.5,3,IF(E465&gt;=50*0.4,2,IF(E465&gt;=50*0.33,1,0))))))))</f>
        <v/>
      </c>
      <c r="X465">
        <f>IF(B465="","",IF(F465&lt;33.0,0,IF(F465&gt;=100*0.8,5,IF(F465&gt;=100*0.7,4,IF(F465&gt;=100*0.6,3.5,IF(F465&gt;=100*0.5,3,IF(F465&gt;=100*0.4,2,IF(F465&gt;=100*0.33,1,0))))))))</f>
        <v/>
      </c>
      <c r="Y465">
        <f>IF(B465="","",IF(G465&lt;16.5,0,IF(G465&gt;=50*0.8,5,IF(G465&gt;=50*0.7,4,IF(G465&gt;=50*0.6,3.5,IF(G465&gt;=50*0.5,3,IF(G465&gt;=50*0.4,2,IF(G465&gt;=50*0.33,1,0))))))))</f>
        <v/>
      </c>
      <c r="Z465">
        <f>IF(B465="","",IF(H465&lt;33.0,0,IF(H465&gt;=100*0.8,5,IF(H465&gt;=100*0.7,4,IF(H465&gt;=100*0.6,3.5,IF(H465&gt;=100*0.5,3,IF(H465&gt;=100*0.4,2,IF(H465&gt;=100*0.33,1,0))))))))</f>
        <v/>
      </c>
      <c r="AA465">
        <f>IF(B465="","",IF(I465&lt;33.0,0,IF(I465&gt;=100*0.8,5,IF(I465&gt;=100*0.7,4,IF(I465&gt;=100*0.6,3.5,IF(I465&gt;=100*0.5,3,IF(I465&gt;=100*0.4,2,IF(I465&gt;=100*0.33,1,0))))))))</f>
        <v/>
      </c>
      <c r="AB465">
        <f>IF(B465="","",IF(J465&lt;33.0,0,IF(J465&gt;=100*0.8,5,IF(J465&gt;=100*0.7,4,IF(J465&gt;=100*0.6,3.5,IF(J465&gt;=100*0.5,3,IF(J465&gt;=100*0.4,2,IF(J465&gt;=100*0.33,1,0))))))))</f>
        <v/>
      </c>
      <c r="AC465">
        <f>IF(B465="","",IF(K465&lt;33.0,0,IF(K465&gt;=100*0.8,5,IF(K465&gt;=100*0.7,4,IF(K465&gt;=100*0.6,3.5,IF(K465&gt;=100*0.5,3,IF(K465&gt;=100*0.4,2,IF(K465&gt;=100*0.33,1,0))))))))</f>
        <v/>
      </c>
      <c r="AD465">
        <f>IF(B465="","",IF(L465&lt;33.0,0,IF(L465&gt;=100*0.8,5,IF(L465&gt;=100*0.7,4,IF(L465&gt;=100*0.6,3.5,IF(L465&gt;=100*0.5,3,IF(L465&gt;=100*0.4,2,IF(L465&gt;=100*0.33,1,0))))))))</f>
        <v/>
      </c>
      <c r="AE465">
        <f>IF(B465="","",IF(M465&lt;33.0,0,IF(M465&gt;=100*0.8,5,IF(M465&gt;=100*0.7,4,IF(M465&gt;=100*0.6,3.5,IF(M465&gt;=100*0.5,3,IF(M465&gt;=100*0.4,2,IF(M465&gt;=100*0.33,1,0))))))))</f>
        <v/>
      </c>
      <c r="AF465">
        <f>IF(B465="","",IF(N465&lt;16.5,0,IF(N465&gt;=50*0.8,5,IF(N465&gt;=50*0.7,4,IF(N465&gt;=50*0.6,3.5,IF(N465&gt;=50*0.5,3,IF(N465&gt;=50*0.4,2,IF(N465&gt;=50*0.33,1,0))))))))</f>
        <v/>
      </c>
      <c r="AG465">
        <f>IF(B465="","",IF(O465&lt;33.0,0,IF(O465&gt;=100*0.8,5,IF(O465&gt;=100*0.7,4,IF(O465&gt;=100*0.6,3.5,IF(O465&gt;=100*0.5,3,IF(O465&gt;=100*0.4,2,IF(O465&gt;=100*0.33,1,0))))))))</f>
        <v/>
      </c>
      <c r="AH465">
        <f>IF(B465="","",IF(OR(U465=0,V465=0,W465=0,X465=0,Y465=0,Z465=0,AA465=0,AB465=0,AC465=0,AD465=0,AE465=0,AF465=0,AG465=0),1,0))</f>
        <v/>
      </c>
    </row>
    <row r="466">
      <c r="A466" s="3">
        <f>IF(B466="","",ROW()-2)</f>
        <v/>
      </c>
      <c r="P466" s="4">
        <f>IF(B466="","",SUM(C466:O466))</f>
        <v/>
      </c>
      <c r="Q466" s="5">
        <f>IF(B466="","",ROUND(P466/13,2))</f>
        <v/>
      </c>
      <c r="R466" s="5">
        <f>IF(B466="","",IF(AH466=1,0,MIN(5,ROUND((U466+V466+W466+X466+Y466+Z466+AA466+AB466+AC466+AD466+AE466+AF466+AG466)/13,2))))</f>
        <v/>
      </c>
      <c r="S466" s="3">
        <f>IF(B466="","",IF(R466&gt;=5,"A+",IF(R466&gt;=4,"A",IF(R466&gt;=3.5,"A-",IF(R466&gt;=3,"B",IF(R466&gt;=2,"C",IF(R466&gt;=1,"D","F")))))))</f>
        <v/>
      </c>
      <c r="T466" s="3">
        <f>IF(OR(B466="",S466="F"),"",COUNTIFS(P:P,"&gt;"&amp;P466,S:S,"&lt;&gt;F")+1)</f>
        <v/>
      </c>
      <c r="U466">
        <f>IF(B466="","",IF(C466&lt;33.0,0,IF(C466&gt;=100*0.8,5,IF(C466&gt;=100*0.7,4,IF(C466&gt;=100*0.6,3.5,IF(C466&gt;=100*0.5,3,IF(C466&gt;=100*0.4,2,IF(C466&gt;=100*0.33,1,0))))))))</f>
        <v/>
      </c>
      <c r="V466">
        <f>IF(B466="","",IF(D466&lt;33.0,0,IF(D466&gt;=100*0.8,5,IF(D466&gt;=100*0.7,4,IF(D466&gt;=100*0.6,3.5,IF(D466&gt;=100*0.5,3,IF(D466&gt;=100*0.4,2,IF(D466&gt;=100*0.33,1,0))))))))</f>
        <v/>
      </c>
      <c r="W466">
        <f>IF(B466="","",IF(E466&lt;16.5,0,IF(E466&gt;=50*0.8,5,IF(E466&gt;=50*0.7,4,IF(E466&gt;=50*0.6,3.5,IF(E466&gt;=50*0.5,3,IF(E466&gt;=50*0.4,2,IF(E466&gt;=50*0.33,1,0))))))))</f>
        <v/>
      </c>
      <c r="X466">
        <f>IF(B466="","",IF(F466&lt;33.0,0,IF(F466&gt;=100*0.8,5,IF(F466&gt;=100*0.7,4,IF(F466&gt;=100*0.6,3.5,IF(F466&gt;=100*0.5,3,IF(F466&gt;=100*0.4,2,IF(F466&gt;=100*0.33,1,0))))))))</f>
        <v/>
      </c>
      <c r="Y466">
        <f>IF(B466="","",IF(G466&lt;16.5,0,IF(G466&gt;=50*0.8,5,IF(G466&gt;=50*0.7,4,IF(G466&gt;=50*0.6,3.5,IF(G466&gt;=50*0.5,3,IF(G466&gt;=50*0.4,2,IF(G466&gt;=50*0.33,1,0))))))))</f>
        <v/>
      </c>
      <c r="Z466">
        <f>IF(B466="","",IF(H466&lt;33.0,0,IF(H466&gt;=100*0.8,5,IF(H466&gt;=100*0.7,4,IF(H466&gt;=100*0.6,3.5,IF(H466&gt;=100*0.5,3,IF(H466&gt;=100*0.4,2,IF(H466&gt;=100*0.33,1,0))))))))</f>
        <v/>
      </c>
      <c r="AA466">
        <f>IF(B466="","",IF(I466&lt;33.0,0,IF(I466&gt;=100*0.8,5,IF(I466&gt;=100*0.7,4,IF(I466&gt;=100*0.6,3.5,IF(I466&gt;=100*0.5,3,IF(I466&gt;=100*0.4,2,IF(I466&gt;=100*0.33,1,0))))))))</f>
        <v/>
      </c>
      <c r="AB466">
        <f>IF(B466="","",IF(J466&lt;33.0,0,IF(J466&gt;=100*0.8,5,IF(J466&gt;=100*0.7,4,IF(J466&gt;=100*0.6,3.5,IF(J466&gt;=100*0.5,3,IF(J466&gt;=100*0.4,2,IF(J466&gt;=100*0.33,1,0))))))))</f>
        <v/>
      </c>
      <c r="AC466">
        <f>IF(B466="","",IF(K466&lt;33.0,0,IF(K466&gt;=100*0.8,5,IF(K466&gt;=100*0.7,4,IF(K466&gt;=100*0.6,3.5,IF(K466&gt;=100*0.5,3,IF(K466&gt;=100*0.4,2,IF(K466&gt;=100*0.33,1,0))))))))</f>
        <v/>
      </c>
      <c r="AD466">
        <f>IF(B466="","",IF(L466&lt;33.0,0,IF(L466&gt;=100*0.8,5,IF(L466&gt;=100*0.7,4,IF(L466&gt;=100*0.6,3.5,IF(L466&gt;=100*0.5,3,IF(L466&gt;=100*0.4,2,IF(L466&gt;=100*0.33,1,0))))))))</f>
        <v/>
      </c>
      <c r="AE466">
        <f>IF(B466="","",IF(M466&lt;33.0,0,IF(M466&gt;=100*0.8,5,IF(M466&gt;=100*0.7,4,IF(M466&gt;=100*0.6,3.5,IF(M466&gt;=100*0.5,3,IF(M466&gt;=100*0.4,2,IF(M466&gt;=100*0.33,1,0))))))))</f>
        <v/>
      </c>
      <c r="AF466">
        <f>IF(B466="","",IF(N466&lt;16.5,0,IF(N466&gt;=50*0.8,5,IF(N466&gt;=50*0.7,4,IF(N466&gt;=50*0.6,3.5,IF(N466&gt;=50*0.5,3,IF(N466&gt;=50*0.4,2,IF(N466&gt;=50*0.33,1,0))))))))</f>
        <v/>
      </c>
      <c r="AG466">
        <f>IF(B466="","",IF(O466&lt;33.0,0,IF(O466&gt;=100*0.8,5,IF(O466&gt;=100*0.7,4,IF(O466&gt;=100*0.6,3.5,IF(O466&gt;=100*0.5,3,IF(O466&gt;=100*0.4,2,IF(O466&gt;=100*0.33,1,0))))))))</f>
        <v/>
      </c>
      <c r="AH466">
        <f>IF(B466="","",IF(OR(U466=0,V466=0,W466=0,X466=0,Y466=0,Z466=0,AA466=0,AB466=0,AC466=0,AD466=0,AE466=0,AF466=0,AG466=0),1,0))</f>
        <v/>
      </c>
    </row>
    <row r="467">
      <c r="A467" s="3">
        <f>IF(B467="","",ROW()-2)</f>
        <v/>
      </c>
      <c r="P467" s="4">
        <f>IF(B467="","",SUM(C467:O467))</f>
        <v/>
      </c>
      <c r="Q467" s="5">
        <f>IF(B467="","",ROUND(P467/13,2))</f>
        <v/>
      </c>
      <c r="R467" s="5">
        <f>IF(B467="","",IF(AH467=1,0,MIN(5,ROUND((U467+V467+W467+X467+Y467+Z467+AA467+AB467+AC467+AD467+AE467+AF467+AG467)/13,2))))</f>
        <v/>
      </c>
      <c r="S467" s="3">
        <f>IF(B467="","",IF(R467&gt;=5,"A+",IF(R467&gt;=4,"A",IF(R467&gt;=3.5,"A-",IF(R467&gt;=3,"B",IF(R467&gt;=2,"C",IF(R467&gt;=1,"D","F")))))))</f>
        <v/>
      </c>
      <c r="T467" s="3">
        <f>IF(OR(B467="",S467="F"),"",COUNTIFS(P:P,"&gt;"&amp;P467,S:S,"&lt;&gt;F")+1)</f>
        <v/>
      </c>
      <c r="U467">
        <f>IF(B467="","",IF(C467&lt;33.0,0,IF(C467&gt;=100*0.8,5,IF(C467&gt;=100*0.7,4,IF(C467&gt;=100*0.6,3.5,IF(C467&gt;=100*0.5,3,IF(C467&gt;=100*0.4,2,IF(C467&gt;=100*0.33,1,0))))))))</f>
        <v/>
      </c>
      <c r="V467">
        <f>IF(B467="","",IF(D467&lt;33.0,0,IF(D467&gt;=100*0.8,5,IF(D467&gt;=100*0.7,4,IF(D467&gt;=100*0.6,3.5,IF(D467&gt;=100*0.5,3,IF(D467&gt;=100*0.4,2,IF(D467&gt;=100*0.33,1,0))))))))</f>
        <v/>
      </c>
      <c r="W467">
        <f>IF(B467="","",IF(E467&lt;16.5,0,IF(E467&gt;=50*0.8,5,IF(E467&gt;=50*0.7,4,IF(E467&gt;=50*0.6,3.5,IF(E467&gt;=50*0.5,3,IF(E467&gt;=50*0.4,2,IF(E467&gt;=50*0.33,1,0))))))))</f>
        <v/>
      </c>
      <c r="X467">
        <f>IF(B467="","",IF(F467&lt;33.0,0,IF(F467&gt;=100*0.8,5,IF(F467&gt;=100*0.7,4,IF(F467&gt;=100*0.6,3.5,IF(F467&gt;=100*0.5,3,IF(F467&gt;=100*0.4,2,IF(F467&gt;=100*0.33,1,0))))))))</f>
        <v/>
      </c>
      <c r="Y467">
        <f>IF(B467="","",IF(G467&lt;16.5,0,IF(G467&gt;=50*0.8,5,IF(G467&gt;=50*0.7,4,IF(G467&gt;=50*0.6,3.5,IF(G467&gt;=50*0.5,3,IF(G467&gt;=50*0.4,2,IF(G467&gt;=50*0.33,1,0))))))))</f>
        <v/>
      </c>
      <c r="Z467">
        <f>IF(B467="","",IF(H467&lt;33.0,0,IF(H467&gt;=100*0.8,5,IF(H467&gt;=100*0.7,4,IF(H467&gt;=100*0.6,3.5,IF(H467&gt;=100*0.5,3,IF(H467&gt;=100*0.4,2,IF(H467&gt;=100*0.33,1,0))))))))</f>
        <v/>
      </c>
      <c r="AA467">
        <f>IF(B467="","",IF(I467&lt;33.0,0,IF(I467&gt;=100*0.8,5,IF(I467&gt;=100*0.7,4,IF(I467&gt;=100*0.6,3.5,IF(I467&gt;=100*0.5,3,IF(I467&gt;=100*0.4,2,IF(I467&gt;=100*0.33,1,0))))))))</f>
        <v/>
      </c>
      <c r="AB467">
        <f>IF(B467="","",IF(J467&lt;33.0,0,IF(J467&gt;=100*0.8,5,IF(J467&gt;=100*0.7,4,IF(J467&gt;=100*0.6,3.5,IF(J467&gt;=100*0.5,3,IF(J467&gt;=100*0.4,2,IF(J467&gt;=100*0.33,1,0))))))))</f>
        <v/>
      </c>
      <c r="AC467">
        <f>IF(B467="","",IF(K467&lt;33.0,0,IF(K467&gt;=100*0.8,5,IF(K467&gt;=100*0.7,4,IF(K467&gt;=100*0.6,3.5,IF(K467&gt;=100*0.5,3,IF(K467&gt;=100*0.4,2,IF(K467&gt;=100*0.33,1,0))))))))</f>
        <v/>
      </c>
      <c r="AD467">
        <f>IF(B467="","",IF(L467&lt;33.0,0,IF(L467&gt;=100*0.8,5,IF(L467&gt;=100*0.7,4,IF(L467&gt;=100*0.6,3.5,IF(L467&gt;=100*0.5,3,IF(L467&gt;=100*0.4,2,IF(L467&gt;=100*0.33,1,0))))))))</f>
        <v/>
      </c>
      <c r="AE467">
        <f>IF(B467="","",IF(M467&lt;33.0,0,IF(M467&gt;=100*0.8,5,IF(M467&gt;=100*0.7,4,IF(M467&gt;=100*0.6,3.5,IF(M467&gt;=100*0.5,3,IF(M467&gt;=100*0.4,2,IF(M467&gt;=100*0.33,1,0))))))))</f>
        <v/>
      </c>
      <c r="AF467">
        <f>IF(B467="","",IF(N467&lt;16.5,0,IF(N467&gt;=50*0.8,5,IF(N467&gt;=50*0.7,4,IF(N467&gt;=50*0.6,3.5,IF(N467&gt;=50*0.5,3,IF(N467&gt;=50*0.4,2,IF(N467&gt;=50*0.33,1,0))))))))</f>
        <v/>
      </c>
      <c r="AG467">
        <f>IF(B467="","",IF(O467&lt;33.0,0,IF(O467&gt;=100*0.8,5,IF(O467&gt;=100*0.7,4,IF(O467&gt;=100*0.6,3.5,IF(O467&gt;=100*0.5,3,IF(O467&gt;=100*0.4,2,IF(O467&gt;=100*0.33,1,0))))))))</f>
        <v/>
      </c>
      <c r="AH467">
        <f>IF(B467="","",IF(OR(U467=0,V467=0,W467=0,X467=0,Y467=0,Z467=0,AA467=0,AB467=0,AC467=0,AD467=0,AE467=0,AF467=0,AG467=0),1,0))</f>
        <v/>
      </c>
    </row>
    <row r="468">
      <c r="A468" s="3">
        <f>IF(B468="","",ROW()-2)</f>
        <v/>
      </c>
      <c r="P468" s="4">
        <f>IF(B468="","",SUM(C468:O468))</f>
        <v/>
      </c>
      <c r="Q468" s="5">
        <f>IF(B468="","",ROUND(P468/13,2))</f>
        <v/>
      </c>
      <c r="R468" s="5">
        <f>IF(B468="","",IF(AH468=1,0,MIN(5,ROUND((U468+V468+W468+X468+Y468+Z468+AA468+AB468+AC468+AD468+AE468+AF468+AG468)/13,2))))</f>
        <v/>
      </c>
      <c r="S468" s="3">
        <f>IF(B468="","",IF(R468&gt;=5,"A+",IF(R468&gt;=4,"A",IF(R468&gt;=3.5,"A-",IF(R468&gt;=3,"B",IF(R468&gt;=2,"C",IF(R468&gt;=1,"D","F")))))))</f>
        <v/>
      </c>
      <c r="T468" s="3">
        <f>IF(OR(B468="",S468="F"),"",COUNTIFS(P:P,"&gt;"&amp;P468,S:S,"&lt;&gt;F")+1)</f>
        <v/>
      </c>
      <c r="U468">
        <f>IF(B468="","",IF(C468&lt;33.0,0,IF(C468&gt;=100*0.8,5,IF(C468&gt;=100*0.7,4,IF(C468&gt;=100*0.6,3.5,IF(C468&gt;=100*0.5,3,IF(C468&gt;=100*0.4,2,IF(C468&gt;=100*0.33,1,0))))))))</f>
        <v/>
      </c>
      <c r="V468">
        <f>IF(B468="","",IF(D468&lt;33.0,0,IF(D468&gt;=100*0.8,5,IF(D468&gt;=100*0.7,4,IF(D468&gt;=100*0.6,3.5,IF(D468&gt;=100*0.5,3,IF(D468&gt;=100*0.4,2,IF(D468&gt;=100*0.33,1,0))))))))</f>
        <v/>
      </c>
      <c r="W468">
        <f>IF(B468="","",IF(E468&lt;16.5,0,IF(E468&gt;=50*0.8,5,IF(E468&gt;=50*0.7,4,IF(E468&gt;=50*0.6,3.5,IF(E468&gt;=50*0.5,3,IF(E468&gt;=50*0.4,2,IF(E468&gt;=50*0.33,1,0))))))))</f>
        <v/>
      </c>
      <c r="X468">
        <f>IF(B468="","",IF(F468&lt;33.0,0,IF(F468&gt;=100*0.8,5,IF(F468&gt;=100*0.7,4,IF(F468&gt;=100*0.6,3.5,IF(F468&gt;=100*0.5,3,IF(F468&gt;=100*0.4,2,IF(F468&gt;=100*0.33,1,0))))))))</f>
        <v/>
      </c>
      <c r="Y468">
        <f>IF(B468="","",IF(G468&lt;16.5,0,IF(G468&gt;=50*0.8,5,IF(G468&gt;=50*0.7,4,IF(G468&gt;=50*0.6,3.5,IF(G468&gt;=50*0.5,3,IF(G468&gt;=50*0.4,2,IF(G468&gt;=50*0.33,1,0))))))))</f>
        <v/>
      </c>
      <c r="Z468">
        <f>IF(B468="","",IF(H468&lt;33.0,0,IF(H468&gt;=100*0.8,5,IF(H468&gt;=100*0.7,4,IF(H468&gt;=100*0.6,3.5,IF(H468&gt;=100*0.5,3,IF(H468&gt;=100*0.4,2,IF(H468&gt;=100*0.33,1,0))))))))</f>
        <v/>
      </c>
      <c r="AA468">
        <f>IF(B468="","",IF(I468&lt;33.0,0,IF(I468&gt;=100*0.8,5,IF(I468&gt;=100*0.7,4,IF(I468&gt;=100*0.6,3.5,IF(I468&gt;=100*0.5,3,IF(I468&gt;=100*0.4,2,IF(I468&gt;=100*0.33,1,0))))))))</f>
        <v/>
      </c>
      <c r="AB468">
        <f>IF(B468="","",IF(J468&lt;33.0,0,IF(J468&gt;=100*0.8,5,IF(J468&gt;=100*0.7,4,IF(J468&gt;=100*0.6,3.5,IF(J468&gt;=100*0.5,3,IF(J468&gt;=100*0.4,2,IF(J468&gt;=100*0.33,1,0))))))))</f>
        <v/>
      </c>
      <c r="AC468">
        <f>IF(B468="","",IF(K468&lt;33.0,0,IF(K468&gt;=100*0.8,5,IF(K468&gt;=100*0.7,4,IF(K468&gt;=100*0.6,3.5,IF(K468&gt;=100*0.5,3,IF(K468&gt;=100*0.4,2,IF(K468&gt;=100*0.33,1,0))))))))</f>
        <v/>
      </c>
      <c r="AD468">
        <f>IF(B468="","",IF(L468&lt;33.0,0,IF(L468&gt;=100*0.8,5,IF(L468&gt;=100*0.7,4,IF(L468&gt;=100*0.6,3.5,IF(L468&gt;=100*0.5,3,IF(L468&gt;=100*0.4,2,IF(L468&gt;=100*0.33,1,0))))))))</f>
        <v/>
      </c>
      <c r="AE468">
        <f>IF(B468="","",IF(M468&lt;33.0,0,IF(M468&gt;=100*0.8,5,IF(M468&gt;=100*0.7,4,IF(M468&gt;=100*0.6,3.5,IF(M468&gt;=100*0.5,3,IF(M468&gt;=100*0.4,2,IF(M468&gt;=100*0.33,1,0))))))))</f>
        <v/>
      </c>
      <c r="AF468">
        <f>IF(B468="","",IF(N468&lt;16.5,0,IF(N468&gt;=50*0.8,5,IF(N468&gt;=50*0.7,4,IF(N468&gt;=50*0.6,3.5,IF(N468&gt;=50*0.5,3,IF(N468&gt;=50*0.4,2,IF(N468&gt;=50*0.33,1,0))))))))</f>
        <v/>
      </c>
      <c r="AG468">
        <f>IF(B468="","",IF(O468&lt;33.0,0,IF(O468&gt;=100*0.8,5,IF(O468&gt;=100*0.7,4,IF(O468&gt;=100*0.6,3.5,IF(O468&gt;=100*0.5,3,IF(O468&gt;=100*0.4,2,IF(O468&gt;=100*0.33,1,0))))))))</f>
        <v/>
      </c>
      <c r="AH468">
        <f>IF(B468="","",IF(OR(U468=0,V468=0,W468=0,X468=0,Y468=0,Z468=0,AA468=0,AB468=0,AC468=0,AD468=0,AE468=0,AF468=0,AG468=0),1,0))</f>
        <v/>
      </c>
    </row>
    <row r="469">
      <c r="A469" s="3">
        <f>IF(B469="","",ROW()-2)</f>
        <v/>
      </c>
      <c r="P469" s="4">
        <f>IF(B469="","",SUM(C469:O469))</f>
        <v/>
      </c>
      <c r="Q469" s="5">
        <f>IF(B469="","",ROUND(P469/13,2))</f>
        <v/>
      </c>
      <c r="R469" s="5">
        <f>IF(B469="","",IF(AH469=1,0,MIN(5,ROUND((U469+V469+W469+X469+Y469+Z469+AA469+AB469+AC469+AD469+AE469+AF469+AG469)/13,2))))</f>
        <v/>
      </c>
      <c r="S469" s="3">
        <f>IF(B469="","",IF(R469&gt;=5,"A+",IF(R469&gt;=4,"A",IF(R469&gt;=3.5,"A-",IF(R469&gt;=3,"B",IF(R469&gt;=2,"C",IF(R469&gt;=1,"D","F")))))))</f>
        <v/>
      </c>
      <c r="T469" s="3">
        <f>IF(OR(B469="",S469="F"),"",COUNTIFS(P:P,"&gt;"&amp;P469,S:S,"&lt;&gt;F")+1)</f>
        <v/>
      </c>
      <c r="U469">
        <f>IF(B469="","",IF(C469&lt;33.0,0,IF(C469&gt;=100*0.8,5,IF(C469&gt;=100*0.7,4,IF(C469&gt;=100*0.6,3.5,IF(C469&gt;=100*0.5,3,IF(C469&gt;=100*0.4,2,IF(C469&gt;=100*0.33,1,0))))))))</f>
        <v/>
      </c>
      <c r="V469">
        <f>IF(B469="","",IF(D469&lt;33.0,0,IF(D469&gt;=100*0.8,5,IF(D469&gt;=100*0.7,4,IF(D469&gt;=100*0.6,3.5,IF(D469&gt;=100*0.5,3,IF(D469&gt;=100*0.4,2,IF(D469&gt;=100*0.33,1,0))))))))</f>
        <v/>
      </c>
      <c r="W469">
        <f>IF(B469="","",IF(E469&lt;16.5,0,IF(E469&gt;=50*0.8,5,IF(E469&gt;=50*0.7,4,IF(E469&gt;=50*0.6,3.5,IF(E469&gt;=50*0.5,3,IF(E469&gt;=50*0.4,2,IF(E469&gt;=50*0.33,1,0))))))))</f>
        <v/>
      </c>
      <c r="X469">
        <f>IF(B469="","",IF(F469&lt;33.0,0,IF(F469&gt;=100*0.8,5,IF(F469&gt;=100*0.7,4,IF(F469&gt;=100*0.6,3.5,IF(F469&gt;=100*0.5,3,IF(F469&gt;=100*0.4,2,IF(F469&gt;=100*0.33,1,0))))))))</f>
        <v/>
      </c>
      <c r="Y469">
        <f>IF(B469="","",IF(G469&lt;16.5,0,IF(G469&gt;=50*0.8,5,IF(G469&gt;=50*0.7,4,IF(G469&gt;=50*0.6,3.5,IF(G469&gt;=50*0.5,3,IF(G469&gt;=50*0.4,2,IF(G469&gt;=50*0.33,1,0))))))))</f>
        <v/>
      </c>
      <c r="Z469">
        <f>IF(B469="","",IF(H469&lt;33.0,0,IF(H469&gt;=100*0.8,5,IF(H469&gt;=100*0.7,4,IF(H469&gt;=100*0.6,3.5,IF(H469&gt;=100*0.5,3,IF(H469&gt;=100*0.4,2,IF(H469&gt;=100*0.33,1,0))))))))</f>
        <v/>
      </c>
      <c r="AA469">
        <f>IF(B469="","",IF(I469&lt;33.0,0,IF(I469&gt;=100*0.8,5,IF(I469&gt;=100*0.7,4,IF(I469&gt;=100*0.6,3.5,IF(I469&gt;=100*0.5,3,IF(I469&gt;=100*0.4,2,IF(I469&gt;=100*0.33,1,0))))))))</f>
        <v/>
      </c>
      <c r="AB469">
        <f>IF(B469="","",IF(J469&lt;33.0,0,IF(J469&gt;=100*0.8,5,IF(J469&gt;=100*0.7,4,IF(J469&gt;=100*0.6,3.5,IF(J469&gt;=100*0.5,3,IF(J469&gt;=100*0.4,2,IF(J469&gt;=100*0.33,1,0))))))))</f>
        <v/>
      </c>
      <c r="AC469">
        <f>IF(B469="","",IF(K469&lt;33.0,0,IF(K469&gt;=100*0.8,5,IF(K469&gt;=100*0.7,4,IF(K469&gt;=100*0.6,3.5,IF(K469&gt;=100*0.5,3,IF(K469&gt;=100*0.4,2,IF(K469&gt;=100*0.33,1,0))))))))</f>
        <v/>
      </c>
      <c r="AD469">
        <f>IF(B469="","",IF(L469&lt;33.0,0,IF(L469&gt;=100*0.8,5,IF(L469&gt;=100*0.7,4,IF(L469&gt;=100*0.6,3.5,IF(L469&gt;=100*0.5,3,IF(L469&gt;=100*0.4,2,IF(L469&gt;=100*0.33,1,0))))))))</f>
        <v/>
      </c>
      <c r="AE469">
        <f>IF(B469="","",IF(M469&lt;33.0,0,IF(M469&gt;=100*0.8,5,IF(M469&gt;=100*0.7,4,IF(M469&gt;=100*0.6,3.5,IF(M469&gt;=100*0.5,3,IF(M469&gt;=100*0.4,2,IF(M469&gt;=100*0.33,1,0))))))))</f>
        <v/>
      </c>
      <c r="AF469">
        <f>IF(B469="","",IF(N469&lt;16.5,0,IF(N469&gt;=50*0.8,5,IF(N469&gt;=50*0.7,4,IF(N469&gt;=50*0.6,3.5,IF(N469&gt;=50*0.5,3,IF(N469&gt;=50*0.4,2,IF(N469&gt;=50*0.33,1,0))))))))</f>
        <v/>
      </c>
      <c r="AG469">
        <f>IF(B469="","",IF(O469&lt;33.0,0,IF(O469&gt;=100*0.8,5,IF(O469&gt;=100*0.7,4,IF(O469&gt;=100*0.6,3.5,IF(O469&gt;=100*0.5,3,IF(O469&gt;=100*0.4,2,IF(O469&gt;=100*0.33,1,0))))))))</f>
        <v/>
      </c>
      <c r="AH469">
        <f>IF(B469="","",IF(OR(U469=0,V469=0,W469=0,X469=0,Y469=0,Z469=0,AA469=0,AB469=0,AC469=0,AD469=0,AE469=0,AF469=0,AG469=0),1,0))</f>
        <v/>
      </c>
    </row>
    <row r="470">
      <c r="A470" s="3">
        <f>IF(B470="","",ROW()-2)</f>
        <v/>
      </c>
      <c r="P470" s="4">
        <f>IF(B470="","",SUM(C470:O470))</f>
        <v/>
      </c>
      <c r="Q470" s="5">
        <f>IF(B470="","",ROUND(P470/13,2))</f>
        <v/>
      </c>
      <c r="R470" s="5">
        <f>IF(B470="","",IF(AH470=1,0,MIN(5,ROUND((U470+V470+W470+X470+Y470+Z470+AA470+AB470+AC470+AD470+AE470+AF470+AG470)/13,2))))</f>
        <v/>
      </c>
      <c r="S470" s="3">
        <f>IF(B470="","",IF(R470&gt;=5,"A+",IF(R470&gt;=4,"A",IF(R470&gt;=3.5,"A-",IF(R470&gt;=3,"B",IF(R470&gt;=2,"C",IF(R470&gt;=1,"D","F")))))))</f>
        <v/>
      </c>
      <c r="T470" s="3">
        <f>IF(OR(B470="",S470="F"),"",COUNTIFS(P:P,"&gt;"&amp;P470,S:S,"&lt;&gt;F")+1)</f>
        <v/>
      </c>
      <c r="U470">
        <f>IF(B470="","",IF(C470&lt;33.0,0,IF(C470&gt;=100*0.8,5,IF(C470&gt;=100*0.7,4,IF(C470&gt;=100*0.6,3.5,IF(C470&gt;=100*0.5,3,IF(C470&gt;=100*0.4,2,IF(C470&gt;=100*0.33,1,0))))))))</f>
        <v/>
      </c>
      <c r="V470">
        <f>IF(B470="","",IF(D470&lt;33.0,0,IF(D470&gt;=100*0.8,5,IF(D470&gt;=100*0.7,4,IF(D470&gt;=100*0.6,3.5,IF(D470&gt;=100*0.5,3,IF(D470&gt;=100*0.4,2,IF(D470&gt;=100*0.33,1,0))))))))</f>
        <v/>
      </c>
      <c r="W470">
        <f>IF(B470="","",IF(E470&lt;16.5,0,IF(E470&gt;=50*0.8,5,IF(E470&gt;=50*0.7,4,IF(E470&gt;=50*0.6,3.5,IF(E470&gt;=50*0.5,3,IF(E470&gt;=50*0.4,2,IF(E470&gt;=50*0.33,1,0))))))))</f>
        <v/>
      </c>
      <c r="X470">
        <f>IF(B470="","",IF(F470&lt;33.0,0,IF(F470&gt;=100*0.8,5,IF(F470&gt;=100*0.7,4,IF(F470&gt;=100*0.6,3.5,IF(F470&gt;=100*0.5,3,IF(F470&gt;=100*0.4,2,IF(F470&gt;=100*0.33,1,0))))))))</f>
        <v/>
      </c>
      <c r="Y470">
        <f>IF(B470="","",IF(G470&lt;16.5,0,IF(G470&gt;=50*0.8,5,IF(G470&gt;=50*0.7,4,IF(G470&gt;=50*0.6,3.5,IF(G470&gt;=50*0.5,3,IF(G470&gt;=50*0.4,2,IF(G470&gt;=50*0.33,1,0))))))))</f>
        <v/>
      </c>
      <c r="Z470">
        <f>IF(B470="","",IF(H470&lt;33.0,0,IF(H470&gt;=100*0.8,5,IF(H470&gt;=100*0.7,4,IF(H470&gt;=100*0.6,3.5,IF(H470&gt;=100*0.5,3,IF(H470&gt;=100*0.4,2,IF(H470&gt;=100*0.33,1,0))))))))</f>
        <v/>
      </c>
      <c r="AA470">
        <f>IF(B470="","",IF(I470&lt;33.0,0,IF(I470&gt;=100*0.8,5,IF(I470&gt;=100*0.7,4,IF(I470&gt;=100*0.6,3.5,IF(I470&gt;=100*0.5,3,IF(I470&gt;=100*0.4,2,IF(I470&gt;=100*0.33,1,0))))))))</f>
        <v/>
      </c>
      <c r="AB470">
        <f>IF(B470="","",IF(J470&lt;33.0,0,IF(J470&gt;=100*0.8,5,IF(J470&gt;=100*0.7,4,IF(J470&gt;=100*0.6,3.5,IF(J470&gt;=100*0.5,3,IF(J470&gt;=100*0.4,2,IF(J470&gt;=100*0.33,1,0))))))))</f>
        <v/>
      </c>
      <c r="AC470">
        <f>IF(B470="","",IF(K470&lt;33.0,0,IF(K470&gt;=100*0.8,5,IF(K470&gt;=100*0.7,4,IF(K470&gt;=100*0.6,3.5,IF(K470&gt;=100*0.5,3,IF(K470&gt;=100*0.4,2,IF(K470&gt;=100*0.33,1,0))))))))</f>
        <v/>
      </c>
      <c r="AD470">
        <f>IF(B470="","",IF(L470&lt;33.0,0,IF(L470&gt;=100*0.8,5,IF(L470&gt;=100*0.7,4,IF(L470&gt;=100*0.6,3.5,IF(L470&gt;=100*0.5,3,IF(L470&gt;=100*0.4,2,IF(L470&gt;=100*0.33,1,0))))))))</f>
        <v/>
      </c>
      <c r="AE470">
        <f>IF(B470="","",IF(M470&lt;33.0,0,IF(M470&gt;=100*0.8,5,IF(M470&gt;=100*0.7,4,IF(M470&gt;=100*0.6,3.5,IF(M470&gt;=100*0.5,3,IF(M470&gt;=100*0.4,2,IF(M470&gt;=100*0.33,1,0))))))))</f>
        <v/>
      </c>
      <c r="AF470">
        <f>IF(B470="","",IF(N470&lt;16.5,0,IF(N470&gt;=50*0.8,5,IF(N470&gt;=50*0.7,4,IF(N470&gt;=50*0.6,3.5,IF(N470&gt;=50*0.5,3,IF(N470&gt;=50*0.4,2,IF(N470&gt;=50*0.33,1,0))))))))</f>
        <v/>
      </c>
      <c r="AG470">
        <f>IF(B470="","",IF(O470&lt;33.0,0,IF(O470&gt;=100*0.8,5,IF(O470&gt;=100*0.7,4,IF(O470&gt;=100*0.6,3.5,IF(O470&gt;=100*0.5,3,IF(O470&gt;=100*0.4,2,IF(O470&gt;=100*0.33,1,0))))))))</f>
        <v/>
      </c>
      <c r="AH470">
        <f>IF(B470="","",IF(OR(U470=0,V470=0,W470=0,X470=0,Y470=0,Z470=0,AA470=0,AB470=0,AC470=0,AD470=0,AE470=0,AF470=0,AG470=0),1,0))</f>
        <v/>
      </c>
    </row>
    <row r="471">
      <c r="A471" s="3">
        <f>IF(B471="","",ROW()-2)</f>
        <v/>
      </c>
      <c r="P471" s="4">
        <f>IF(B471="","",SUM(C471:O471))</f>
        <v/>
      </c>
      <c r="Q471" s="5">
        <f>IF(B471="","",ROUND(P471/13,2))</f>
        <v/>
      </c>
      <c r="R471" s="5">
        <f>IF(B471="","",IF(AH471=1,0,MIN(5,ROUND((U471+V471+W471+X471+Y471+Z471+AA471+AB471+AC471+AD471+AE471+AF471+AG471)/13,2))))</f>
        <v/>
      </c>
      <c r="S471" s="3">
        <f>IF(B471="","",IF(R471&gt;=5,"A+",IF(R471&gt;=4,"A",IF(R471&gt;=3.5,"A-",IF(R471&gt;=3,"B",IF(R471&gt;=2,"C",IF(R471&gt;=1,"D","F")))))))</f>
        <v/>
      </c>
      <c r="T471" s="3">
        <f>IF(OR(B471="",S471="F"),"",COUNTIFS(P:P,"&gt;"&amp;P471,S:S,"&lt;&gt;F")+1)</f>
        <v/>
      </c>
      <c r="U471">
        <f>IF(B471="","",IF(C471&lt;33.0,0,IF(C471&gt;=100*0.8,5,IF(C471&gt;=100*0.7,4,IF(C471&gt;=100*0.6,3.5,IF(C471&gt;=100*0.5,3,IF(C471&gt;=100*0.4,2,IF(C471&gt;=100*0.33,1,0))))))))</f>
        <v/>
      </c>
      <c r="V471">
        <f>IF(B471="","",IF(D471&lt;33.0,0,IF(D471&gt;=100*0.8,5,IF(D471&gt;=100*0.7,4,IF(D471&gt;=100*0.6,3.5,IF(D471&gt;=100*0.5,3,IF(D471&gt;=100*0.4,2,IF(D471&gt;=100*0.33,1,0))))))))</f>
        <v/>
      </c>
      <c r="W471">
        <f>IF(B471="","",IF(E471&lt;16.5,0,IF(E471&gt;=50*0.8,5,IF(E471&gt;=50*0.7,4,IF(E471&gt;=50*0.6,3.5,IF(E471&gt;=50*0.5,3,IF(E471&gt;=50*0.4,2,IF(E471&gt;=50*0.33,1,0))))))))</f>
        <v/>
      </c>
      <c r="X471">
        <f>IF(B471="","",IF(F471&lt;33.0,0,IF(F471&gt;=100*0.8,5,IF(F471&gt;=100*0.7,4,IF(F471&gt;=100*0.6,3.5,IF(F471&gt;=100*0.5,3,IF(F471&gt;=100*0.4,2,IF(F471&gt;=100*0.33,1,0))))))))</f>
        <v/>
      </c>
      <c r="Y471">
        <f>IF(B471="","",IF(G471&lt;16.5,0,IF(G471&gt;=50*0.8,5,IF(G471&gt;=50*0.7,4,IF(G471&gt;=50*0.6,3.5,IF(G471&gt;=50*0.5,3,IF(G471&gt;=50*0.4,2,IF(G471&gt;=50*0.33,1,0))))))))</f>
        <v/>
      </c>
      <c r="Z471">
        <f>IF(B471="","",IF(H471&lt;33.0,0,IF(H471&gt;=100*0.8,5,IF(H471&gt;=100*0.7,4,IF(H471&gt;=100*0.6,3.5,IF(H471&gt;=100*0.5,3,IF(H471&gt;=100*0.4,2,IF(H471&gt;=100*0.33,1,0))))))))</f>
        <v/>
      </c>
      <c r="AA471">
        <f>IF(B471="","",IF(I471&lt;33.0,0,IF(I471&gt;=100*0.8,5,IF(I471&gt;=100*0.7,4,IF(I471&gt;=100*0.6,3.5,IF(I471&gt;=100*0.5,3,IF(I471&gt;=100*0.4,2,IF(I471&gt;=100*0.33,1,0))))))))</f>
        <v/>
      </c>
      <c r="AB471">
        <f>IF(B471="","",IF(J471&lt;33.0,0,IF(J471&gt;=100*0.8,5,IF(J471&gt;=100*0.7,4,IF(J471&gt;=100*0.6,3.5,IF(J471&gt;=100*0.5,3,IF(J471&gt;=100*0.4,2,IF(J471&gt;=100*0.33,1,0))))))))</f>
        <v/>
      </c>
      <c r="AC471">
        <f>IF(B471="","",IF(K471&lt;33.0,0,IF(K471&gt;=100*0.8,5,IF(K471&gt;=100*0.7,4,IF(K471&gt;=100*0.6,3.5,IF(K471&gt;=100*0.5,3,IF(K471&gt;=100*0.4,2,IF(K471&gt;=100*0.33,1,0))))))))</f>
        <v/>
      </c>
      <c r="AD471">
        <f>IF(B471="","",IF(L471&lt;33.0,0,IF(L471&gt;=100*0.8,5,IF(L471&gt;=100*0.7,4,IF(L471&gt;=100*0.6,3.5,IF(L471&gt;=100*0.5,3,IF(L471&gt;=100*0.4,2,IF(L471&gt;=100*0.33,1,0))))))))</f>
        <v/>
      </c>
      <c r="AE471">
        <f>IF(B471="","",IF(M471&lt;33.0,0,IF(M471&gt;=100*0.8,5,IF(M471&gt;=100*0.7,4,IF(M471&gt;=100*0.6,3.5,IF(M471&gt;=100*0.5,3,IF(M471&gt;=100*0.4,2,IF(M471&gt;=100*0.33,1,0))))))))</f>
        <v/>
      </c>
      <c r="AF471">
        <f>IF(B471="","",IF(N471&lt;16.5,0,IF(N471&gt;=50*0.8,5,IF(N471&gt;=50*0.7,4,IF(N471&gt;=50*0.6,3.5,IF(N471&gt;=50*0.5,3,IF(N471&gt;=50*0.4,2,IF(N471&gt;=50*0.33,1,0))))))))</f>
        <v/>
      </c>
      <c r="AG471">
        <f>IF(B471="","",IF(O471&lt;33.0,0,IF(O471&gt;=100*0.8,5,IF(O471&gt;=100*0.7,4,IF(O471&gt;=100*0.6,3.5,IF(O471&gt;=100*0.5,3,IF(O471&gt;=100*0.4,2,IF(O471&gt;=100*0.33,1,0))))))))</f>
        <v/>
      </c>
      <c r="AH471">
        <f>IF(B471="","",IF(OR(U471=0,V471=0,W471=0,X471=0,Y471=0,Z471=0,AA471=0,AB471=0,AC471=0,AD471=0,AE471=0,AF471=0,AG471=0),1,0))</f>
        <v/>
      </c>
    </row>
    <row r="472">
      <c r="A472" s="3">
        <f>IF(B472="","",ROW()-2)</f>
        <v/>
      </c>
      <c r="P472" s="4">
        <f>IF(B472="","",SUM(C472:O472))</f>
        <v/>
      </c>
      <c r="Q472" s="5">
        <f>IF(B472="","",ROUND(P472/13,2))</f>
        <v/>
      </c>
      <c r="R472" s="5">
        <f>IF(B472="","",IF(AH472=1,0,MIN(5,ROUND((U472+V472+W472+X472+Y472+Z472+AA472+AB472+AC472+AD472+AE472+AF472+AG472)/13,2))))</f>
        <v/>
      </c>
      <c r="S472" s="3">
        <f>IF(B472="","",IF(R472&gt;=5,"A+",IF(R472&gt;=4,"A",IF(R472&gt;=3.5,"A-",IF(R472&gt;=3,"B",IF(R472&gt;=2,"C",IF(R472&gt;=1,"D","F")))))))</f>
        <v/>
      </c>
      <c r="T472" s="3">
        <f>IF(OR(B472="",S472="F"),"",COUNTIFS(P:P,"&gt;"&amp;P472,S:S,"&lt;&gt;F")+1)</f>
        <v/>
      </c>
      <c r="U472">
        <f>IF(B472="","",IF(C472&lt;33.0,0,IF(C472&gt;=100*0.8,5,IF(C472&gt;=100*0.7,4,IF(C472&gt;=100*0.6,3.5,IF(C472&gt;=100*0.5,3,IF(C472&gt;=100*0.4,2,IF(C472&gt;=100*0.33,1,0))))))))</f>
        <v/>
      </c>
      <c r="V472">
        <f>IF(B472="","",IF(D472&lt;33.0,0,IF(D472&gt;=100*0.8,5,IF(D472&gt;=100*0.7,4,IF(D472&gt;=100*0.6,3.5,IF(D472&gt;=100*0.5,3,IF(D472&gt;=100*0.4,2,IF(D472&gt;=100*0.33,1,0))))))))</f>
        <v/>
      </c>
      <c r="W472">
        <f>IF(B472="","",IF(E472&lt;16.5,0,IF(E472&gt;=50*0.8,5,IF(E472&gt;=50*0.7,4,IF(E472&gt;=50*0.6,3.5,IF(E472&gt;=50*0.5,3,IF(E472&gt;=50*0.4,2,IF(E472&gt;=50*0.33,1,0))))))))</f>
        <v/>
      </c>
      <c r="X472">
        <f>IF(B472="","",IF(F472&lt;33.0,0,IF(F472&gt;=100*0.8,5,IF(F472&gt;=100*0.7,4,IF(F472&gt;=100*0.6,3.5,IF(F472&gt;=100*0.5,3,IF(F472&gt;=100*0.4,2,IF(F472&gt;=100*0.33,1,0))))))))</f>
        <v/>
      </c>
      <c r="Y472">
        <f>IF(B472="","",IF(G472&lt;16.5,0,IF(G472&gt;=50*0.8,5,IF(G472&gt;=50*0.7,4,IF(G472&gt;=50*0.6,3.5,IF(G472&gt;=50*0.5,3,IF(G472&gt;=50*0.4,2,IF(G472&gt;=50*0.33,1,0))))))))</f>
        <v/>
      </c>
      <c r="Z472">
        <f>IF(B472="","",IF(H472&lt;33.0,0,IF(H472&gt;=100*0.8,5,IF(H472&gt;=100*0.7,4,IF(H472&gt;=100*0.6,3.5,IF(H472&gt;=100*0.5,3,IF(H472&gt;=100*0.4,2,IF(H472&gt;=100*0.33,1,0))))))))</f>
        <v/>
      </c>
      <c r="AA472">
        <f>IF(B472="","",IF(I472&lt;33.0,0,IF(I472&gt;=100*0.8,5,IF(I472&gt;=100*0.7,4,IF(I472&gt;=100*0.6,3.5,IF(I472&gt;=100*0.5,3,IF(I472&gt;=100*0.4,2,IF(I472&gt;=100*0.33,1,0))))))))</f>
        <v/>
      </c>
      <c r="AB472">
        <f>IF(B472="","",IF(J472&lt;33.0,0,IF(J472&gt;=100*0.8,5,IF(J472&gt;=100*0.7,4,IF(J472&gt;=100*0.6,3.5,IF(J472&gt;=100*0.5,3,IF(J472&gt;=100*0.4,2,IF(J472&gt;=100*0.33,1,0))))))))</f>
        <v/>
      </c>
      <c r="AC472">
        <f>IF(B472="","",IF(K472&lt;33.0,0,IF(K472&gt;=100*0.8,5,IF(K472&gt;=100*0.7,4,IF(K472&gt;=100*0.6,3.5,IF(K472&gt;=100*0.5,3,IF(K472&gt;=100*0.4,2,IF(K472&gt;=100*0.33,1,0))))))))</f>
        <v/>
      </c>
      <c r="AD472">
        <f>IF(B472="","",IF(L472&lt;33.0,0,IF(L472&gt;=100*0.8,5,IF(L472&gt;=100*0.7,4,IF(L472&gt;=100*0.6,3.5,IF(L472&gt;=100*0.5,3,IF(L472&gt;=100*0.4,2,IF(L472&gt;=100*0.33,1,0))))))))</f>
        <v/>
      </c>
      <c r="AE472">
        <f>IF(B472="","",IF(M472&lt;33.0,0,IF(M472&gt;=100*0.8,5,IF(M472&gt;=100*0.7,4,IF(M472&gt;=100*0.6,3.5,IF(M472&gt;=100*0.5,3,IF(M472&gt;=100*0.4,2,IF(M472&gt;=100*0.33,1,0))))))))</f>
        <v/>
      </c>
      <c r="AF472">
        <f>IF(B472="","",IF(N472&lt;16.5,0,IF(N472&gt;=50*0.8,5,IF(N472&gt;=50*0.7,4,IF(N472&gt;=50*0.6,3.5,IF(N472&gt;=50*0.5,3,IF(N472&gt;=50*0.4,2,IF(N472&gt;=50*0.33,1,0))))))))</f>
        <v/>
      </c>
      <c r="AG472">
        <f>IF(B472="","",IF(O472&lt;33.0,0,IF(O472&gt;=100*0.8,5,IF(O472&gt;=100*0.7,4,IF(O472&gt;=100*0.6,3.5,IF(O472&gt;=100*0.5,3,IF(O472&gt;=100*0.4,2,IF(O472&gt;=100*0.33,1,0))))))))</f>
        <v/>
      </c>
      <c r="AH472">
        <f>IF(B472="","",IF(OR(U472=0,V472=0,W472=0,X472=0,Y472=0,Z472=0,AA472=0,AB472=0,AC472=0,AD472=0,AE472=0,AF472=0,AG472=0),1,0))</f>
        <v/>
      </c>
    </row>
    <row r="473">
      <c r="A473" s="3">
        <f>IF(B473="","",ROW()-2)</f>
        <v/>
      </c>
      <c r="P473" s="4">
        <f>IF(B473="","",SUM(C473:O473))</f>
        <v/>
      </c>
      <c r="Q473" s="5">
        <f>IF(B473="","",ROUND(P473/13,2))</f>
        <v/>
      </c>
      <c r="R473" s="5">
        <f>IF(B473="","",IF(AH473=1,0,MIN(5,ROUND((U473+V473+W473+X473+Y473+Z473+AA473+AB473+AC473+AD473+AE473+AF473+AG473)/13,2))))</f>
        <v/>
      </c>
      <c r="S473" s="3">
        <f>IF(B473="","",IF(R473&gt;=5,"A+",IF(R473&gt;=4,"A",IF(R473&gt;=3.5,"A-",IF(R473&gt;=3,"B",IF(R473&gt;=2,"C",IF(R473&gt;=1,"D","F")))))))</f>
        <v/>
      </c>
      <c r="T473" s="3">
        <f>IF(OR(B473="",S473="F"),"",COUNTIFS(P:P,"&gt;"&amp;P473,S:S,"&lt;&gt;F")+1)</f>
        <v/>
      </c>
      <c r="U473">
        <f>IF(B473="","",IF(C473&lt;33.0,0,IF(C473&gt;=100*0.8,5,IF(C473&gt;=100*0.7,4,IF(C473&gt;=100*0.6,3.5,IF(C473&gt;=100*0.5,3,IF(C473&gt;=100*0.4,2,IF(C473&gt;=100*0.33,1,0))))))))</f>
        <v/>
      </c>
      <c r="V473">
        <f>IF(B473="","",IF(D473&lt;33.0,0,IF(D473&gt;=100*0.8,5,IF(D473&gt;=100*0.7,4,IF(D473&gt;=100*0.6,3.5,IF(D473&gt;=100*0.5,3,IF(D473&gt;=100*0.4,2,IF(D473&gt;=100*0.33,1,0))))))))</f>
        <v/>
      </c>
      <c r="W473">
        <f>IF(B473="","",IF(E473&lt;16.5,0,IF(E473&gt;=50*0.8,5,IF(E473&gt;=50*0.7,4,IF(E473&gt;=50*0.6,3.5,IF(E473&gt;=50*0.5,3,IF(E473&gt;=50*0.4,2,IF(E473&gt;=50*0.33,1,0))))))))</f>
        <v/>
      </c>
      <c r="X473">
        <f>IF(B473="","",IF(F473&lt;33.0,0,IF(F473&gt;=100*0.8,5,IF(F473&gt;=100*0.7,4,IF(F473&gt;=100*0.6,3.5,IF(F473&gt;=100*0.5,3,IF(F473&gt;=100*0.4,2,IF(F473&gt;=100*0.33,1,0))))))))</f>
        <v/>
      </c>
      <c r="Y473">
        <f>IF(B473="","",IF(G473&lt;16.5,0,IF(G473&gt;=50*0.8,5,IF(G473&gt;=50*0.7,4,IF(G473&gt;=50*0.6,3.5,IF(G473&gt;=50*0.5,3,IF(G473&gt;=50*0.4,2,IF(G473&gt;=50*0.33,1,0))))))))</f>
        <v/>
      </c>
      <c r="Z473">
        <f>IF(B473="","",IF(H473&lt;33.0,0,IF(H473&gt;=100*0.8,5,IF(H473&gt;=100*0.7,4,IF(H473&gt;=100*0.6,3.5,IF(H473&gt;=100*0.5,3,IF(H473&gt;=100*0.4,2,IF(H473&gt;=100*0.33,1,0))))))))</f>
        <v/>
      </c>
      <c r="AA473">
        <f>IF(B473="","",IF(I473&lt;33.0,0,IF(I473&gt;=100*0.8,5,IF(I473&gt;=100*0.7,4,IF(I473&gt;=100*0.6,3.5,IF(I473&gt;=100*0.5,3,IF(I473&gt;=100*0.4,2,IF(I473&gt;=100*0.33,1,0))))))))</f>
        <v/>
      </c>
      <c r="AB473">
        <f>IF(B473="","",IF(J473&lt;33.0,0,IF(J473&gt;=100*0.8,5,IF(J473&gt;=100*0.7,4,IF(J473&gt;=100*0.6,3.5,IF(J473&gt;=100*0.5,3,IF(J473&gt;=100*0.4,2,IF(J473&gt;=100*0.33,1,0))))))))</f>
        <v/>
      </c>
      <c r="AC473">
        <f>IF(B473="","",IF(K473&lt;33.0,0,IF(K473&gt;=100*0.8,5,IF(K473&gt;=100*0.7,4,IF(K473&gt;=100*0.6,3.5,IF(K473&gt;=100*0.5,3,IF(K473&gt;=100*0.4,2,IF(K473&gt;=100*0.33,1,0))))))))</f>
        <v/>
      </c>
      <c r="AD473">
        <f>IF(B473="","",IF(L473&lt;33.0,0,IF(L473&gt;=100*0.8,5,IF(L473&gt;=100*0.7,4,IF(L473&gt;=100*0.6,3.5,IF(L473&gt;=100*0.5,3,IF(L473&gt;=100*0.4,2,IF(L473&gt;=100*0.33,1,0))))))))</f>
        <v/>
      </c>
      <c r="AE473">
        <f>IF(B473="","",IF(M473&lt;33.0,0,IF(M473&gt;=100*0.8,5,IF(M473&gt;=100*0.7,4,IF(M473&gt;=100*0.6,3.5,IF(M473&gt;=100*0.5,3,IF(M473&gt;=100*0.4,2,IF(M473&gt;=100*0.33,1,0))))))))</f>
        <v/>
      </c>
      <c r="AF473">
        <f>IF(B473="","",IF(N473&lt;16.5,0,IF(N473&gt;=50*0.8,5,IF(N473&gt;=50*0.7,4,IF(N473&gt;=50*0.6,3.5,IF(N473&gt;=50*0.5,3,IF(N473&gt;=50*0.4,2,IF(N473&gt;=50*0.33,1,0))))))))</f>
        <v/>
      </c>
      <c r="AG473">
        <f>IF(B473="","",IF(O473&lt;33.0,0,IF(O473&gt;=100*0.8,5,IF(O473&gt;=100*0.7,4,IF(O473&gt;=100*0.6,3.5,IF(O473&gt;=100*0.5,3,IF(O473&gt;=100*0.4,2,IF(O473&gt;=100*0.33,1,0))))))))</f>
        <v/>
      </c>
      <c r="AH473">
        <f>IF(B473="","",IF(OR(U473=0,V473=0,W473=0,X473=0,Y473=0,Z473=0,AA473=0,AB473=0,AC473=0,AD473=0,AE473=0,AF473=0,AG473=0),1,0))</f>
        <v/>
      </c>
    </row>
    <row r="474">
      <c r="A474" s="3">
        <f>IF(B474="","",ROW()-2)</f>
        <v/>
      </c>
      <c r="P474" s="4">
        <f>IF(B474="","",SUM(C474:O474))</f>
        <v/>
      </c>
      <c r="Q474" s="5">
        <f>IF(B474="","",ROUND(P474/13,2))</f>
        <v/>
      </c>
      <c r="R474" s="5">
        <f>IF(B474="","",IF(AH474=1,0,MIN(5,ROUND((U474+V474+W474+X474+Y474+Z474+AA474+AB474+AC474+AD474+AE474+AF474+AG474)/13,2))))</f>
        <v/>
      </c>
      <c r="S474" s="3">
        <f>IF(B474="","",IF(R474&gt;=5,"A+",IF(R474&gt;=4,"A",IF(R474&gt;=3.5,"A-",IF(R474&gt;=3,"B",IF(R474&gt;=2,"C",IF(R474&gt;=1,"D","F")))))))</f>
        <v/>
      </c>
      <c r="T474" s="3">
        <f>IF(OR(B474="",S474="F"),"",COUNTIFS(P:P,"&gt;"&amp;P474,S:S,"&lt;&gt;F")+1)</f>
        <v/>
      </c>
      <c r="U474">
        <f>IF(B474="","",IF(C474&lt;33.0,0,IF(C474&gt;=100*0.8,5,IF(C474&gt;=100*0.7,4,IF(C474&gt;=100*0.6,3.5,IF(C474&gt;=100*0.5,3,IF(C474&gt;=100*0.4,2,IF(C474&gt;=100*0.33,1,0))))))))</f>
        <v/>
      </c>
      <c r="V474">
        <f>IF(B474="","",IF(D474&lt;33.0,0,IF(D474&gt;=100*0.8,5,IF(D474&gt;=100*0.7,4,IF(D474&gt;=100*0.6,3.5,IF(D474&gt;=100*0.5,3,IF(D474&gt;=100*0.4,2,IF(D474&gt;=100*0.33,1,0))))))))</f>
        <v/>
      </c>
      <c r="W474">
        <f>IF(B474="","",IF(E474&lt;16.5,0,IF(E474&gt;=50*0.8,5,IF(E474&gt;=50*0.7,4,IF(E474&gt;=50*0.6,3.5,IF(E474&gt;=50*0.5,3,IF(E474&gt;=50*0.4,2,IF(E474&gt;=50*0.33,1,0))))))))</f>
        <v/>
      </c>
      <c r="X474">
        <f>IF(B474="","",IF(F474&lt;33.0,0,IF(F474&gt;=100*0.8,5,IF(F474&gt;=100*0.7,4,IF(F474&gt;=100*0.6,3.5,IF(F474&gt;=100*0.5,3,IF(F474&gt;=100*0.4,2,IF(F474&gt;=100*0.33,1,0))))))))</f>
        <v/>
      </c>
      <c r="Y474">
        <f>IF(B474="","",IF(G474&lt;16.5,0,IF(G474&gt;=50*0.8,5,IF(G474&gt;=50*0.7,4,IF(G474&gt;=50*0.6,3.5,IF(G474&gt;=50*0.5,3,IF(G474&gt;=50*0.4,2,IF(G474&gt;=50*0.33,1,0))))))))</f>
        <v/>
      </c>
      <c r="Z474">
        <f>IF(B474="","",IF(H474&lt;33.0,0,IF(H474&gt;=100*0.8,5,IF(H474&gt;=100*0.7,4,IF(H474&gt;=100*0.6,3.5,IF(H474&gt;=100*0.5,3,IF(H474&gt;=100*0.4,2,IF(H474&gt;=100*0.33,1,0))))))))</f>
        <v/>
      </c>
      <c r="AA474">
        <f>IF(B474="","",IF(I474&lt;33.0,0,IF(I474&gt;=100*0.8,5,IF(I474&gt;=100*0.7,4,IF(I474&gt;=100*0.6,3.5,IF(I474&gt;=100*0.5,3,IF(I474&gt;=100*0.4,2,IF(I474&gt;=100*0.33,1,0))))))))</f>
        <v/>
      </c>
      <c r="AB474">
        <f>IF(B474="","",IF(J474&lt;33.0,0,IF(J474&gt;=100*0.8,5,IF(J474&gt;=100*0.7,4,IF(J474&gt;=100*0.6,3.5,IF(J474&gt;=100*0.5,3,IF(J474&gt;=100*0.4,2,IF(J474&gt;=100*0.33,1,0))))))))</f>
        <v/>
      </c>
      <c r="AC474">
        <f>IF(B474="","",IF(K474&lt;33.0,0,IF(K474&gt;=100*0.8,5,IF(K474&gt;=100*0.7,4,IF(K474&gt;=100*0.6,3.5,IF(K474&gt;=100*0.5,3,IF(K474&gt;=100*0.4,2,IF(K474&gt;=100*0.33,1,0))))))))</f>
        <v/>
      </c>
      <c r="AD474">
        <f>IF(B474="","",IF(L474&lt;33.0,0,IF(L474&gt;=100*0.8,5,IF(L474&gt;=100*0.7,4,IF(L474&gt;=100*0.6,3.5,IF(L474&gt;=100*0.5,3,IF(L474&gt;=100*0.4,2,IF(L474&gt;=100*0.33,1,0))))))))</f>
        <v/>
      </c>
      <c r="AE474">
        <f>IF(B474="","",IF(M474&lt;33.0,0,IF(M474&gt;=100*0.8,5,IF(M474&gt;=100*0.7,4,IF(M474&gt;=100*0.6,3.5,IF(M474&gt;=100*0.5,3,IF(M474&gt;=100*0.4,2,IF(M474&gt;=100*0.33,1,0))))))))</f>
        <v/>
      </c>
      <c r="AF474">
        <f>IF(B474="","",IF(N474&lt;16.5,0,IF(N474&gt;=50*0.8,5,IF(N474&gt;=50*0.7,4,IF(N474&gt;=50*0.6,3.5,IF(N474&gt;=50*0.5,3,IF(N474&gt;=50*0.4,2,IF(N474&gt;=50*0.33,1,0))))))))</f>
        <v/>
      </c>
      <c r="AG474">
        <f>IF(B474="","",IF(O474&lt;33.0,0,IF(O474&gt;=100*0.8,5,IF(O474&gt;=100*0.7,4,IF(O474&gt;=100*0.6,3.5,IF(O474&gt;=100*0.5,3,IF(O474&gt;=100*0.4,2,IF(O474&gt;=100*0.33,1,0))))))))</f>
        <v/>
      </c>
      <c r="AH474">
        <f>IF(B474="","",IF(OR(U474=0,V474=0,W474=0,X474=0,Y474=0,Z474=0,AA474=0,AB474=0,AC474=0,AD474=0,AE474=0,AF474=0,AG474=0),1,0))</f>
        <v/>
      </c>
    </row>
    <row r="475">
      <c r="A475" s="3">
        <f>IF(B475="","",ROW()-2)</f>
        <v/>
      </c>
      <c r="P475" s="4">
        <f>IF(B475="","",SUM(C475:O475))</f>
        <v/>
      </c>
      <c r="Q475" s="5">
        <f>IF(B475="","",ROUND(P475/13,2))</f>
        <v/>
      </c>
      <c r="R475" s="5">
        <f>IF(B475="","",IF(AH475=1,0,MIN(5,ROUND((U475+V475+W475+X475+Y475+Z475+AA475+AB475+AC475+AD475+AE475+AF475+AG475)/13,2))))</f>
        <v/>
      </c>
      <c r="S475" s="3">
        <f>IF(B475="","",IF(R475&gt;=5,"A+",IF(R475&gt;=4,"A",IF(R475&gt;=3.5,"A-",IF(R475&gt;=3,"B",IF(R475&gt;=2,"C",IF(R475&gt;=1,"D","F")))))))</f>
        <v/>
      </c>
      <c r="T475" s="3">
        <f>IF(OR(B475="",S475="F"),"",COUNTIFS(P:P,"&gt;"&amp;P475,S:S,"&lt;&gt;F")+1)</f>
        <v/>
      </c>
      <c r="U475">
        <f>IF(B475="","",IF(C475&lt;33.0,0,IF(C475&gt;=100*0.8,5,IF(C475&gt;=100*0.7,4,IF(C475&gt;=100*0.6,3.5,IF(C475&gt;=100*0.5,3,IF(C475&gt;=100*0.4,2,IF(C475&gt;=100*0.33,1,0))))))))</f>
        <v/>
      </c>
      <c r="V475">
        <f>IF(B475="","",IF(D475&lt;33.0,0,IF(D475&gt;=100*0.8,5,IF(D475&gt;=100*0.7,4,IF(D475&gt;=100*0.6,3.5,IF(D475&gt;=100*0.5,3,IF(D475&gt;=100*0.4,2,IF(D475&gt;=100*0.33,1,0))))))))</f>
        <v/>
      </c>
      <c r="W475">
        <f>IF(B475="","",IF(E475&lt;16.5,0,IF(E475&gt;=50*0.8,5,IF(E475&gt;=50*0.7,4,IF(E475&gt;=50*0.6,3.5,IF(E475&gt;=50*0.5,3,IF(E475&gt;=50*0.4,2,IF(E475&gt;=50*0.33,1,0))))))))</f>
        <v/>
      </c>
      <c r="X475">
        <f>IF(B475="","",IF(F475&lt;33.0,0,IF(F475&gt;=100*0.8,5,IF(F475&gt;=100*0.7,4,IF(F475&gt;=100*0.6,3.5,IF(F475&gt;=100*0.5,3,IF(F475&gt;=100*0.4,2,IF(F475&gt;=100*0.33,1,0))))))))</f>
        <v/>
      </c>
      <c r="Y475">
        <f>IF(B475="","",IF(G475&lt;16.5,0,IF(G475&gt;=50*0.8,5,IF(G475&gt;=50*0.7,4,IF(G475&gt;=50*0.6,3.5,IF(G475&gt;=50*0.5,3,IF(G475&gt;=50*0.4,2,IF(G475&gt;=50*0.33,1,0))))))))</f>
        <v/>
      </c>
      <c r="Z475">
        <f>IF(B475="","",IF(H475&lt;33.0,0,IF(H475&gt;=100*0.8,5,IF(H475&gt;=100*0.7,4,IF(H475&gt;=100*0.6,3.5,IF(H475&gt;=100*0.5,3,IF(H475&gt;=100*0.4,2,IF(H475&gt;=100*0.33,1,0))))))))</f>
        <v/>
      </c>
      <c r="AA475">
        <f>IF(B475="","",IF(I475&lt;33.0,0,IF(I475&gt;=100*0.8,5,IF(I475&gt;=100*0.7,4,IF(I475&gt;=100*0.6,3.5,IF(I475&gt;=100*0.5,3,IF(I475&gt;=100*0.4,2,IF(I475&gt;=100*0.33,1,0))))))))</f>
        <v/>
      </c>
      <c r="AB475">
        <f>IF(B475="","",IF(J475&lt;33.0,0,IF(J475&gt;=100*0.8,5,IF(J475&gt;=100*0.7,4,IF(J475&gt;=100*0.6,3.5,IF(J475&gt;=100*0.5,3,IF(J475&gt;=100*0.4,2,IF(J475&gt;=100*0.33,1,0))))))))</f>
        <v/>
      </c>
      <c r="AC475">
        <f>IF(B475="","",IF(K475&lt;33.0,0,IF(K475&gt;=100*0.8,5,IF(K475&gt;=100*0.7,4,IF(K475&gt;=100*0.6,3.5,IF(K475&gt;=100*0.5,3,IF(K475&gt;=100*0.4,2,IF(K475&gt;=100*0.33,1,0))))))))</f>
        <v/>
      </c>
      <c r="AD475">
        <f>IF(B475="","",IF(L475&lt;33.0,0,IF(L475&gt;=100*0.8,5,IF(L475&gt;=100*0.7,4,IF(L475&gt;=100*0.6,3.5,IF(L475&gt;=100*0.5,3,IF(L475&gt;=100*0.4,2,IF(L475&gt;=100*0.33,1,0))))))))</f>
        <v/>
      </c>
      <c r="AE475">
        <f>IF(B475="","",IF(M475&lt;33.0,0,IF(M475&gt;=100*0.8,5,IF(M475&gt;=100*0.7,4,IF(M475&gt;=100*0.6,3.5,IF(M475&gt;=100*0.5,3,IF(M475&gt;=100*0.4,2,IF(M475&gt;=100*0.33,1,0))))))))</f>
        <v/>
      </c>
      <c r="AF475">
        <f>IF(B475="","",IF(N475&lt;16.5,0,IF(N475&gt;=50*0.8,5,IF(N475&gt;=50*0.7,4,IF(N475&gt;=50*0.6,3.5,IF(N475&gt;=50*0.5,3,IF(N475&gt;=50*0.4,2,IF(N475&gt;=50*0.33,1,0))))))))</f>
        <v/>
      </c>
      <c r="AG475">
        <f>IF(B475="","",IF(O475&lt;33.0,0,IF(O475&gt;=100*0.8,5,IF(O475&gt;=100*0.7,4,IF(O475&gt;=100*0.6,3.5,IF(O475&gt;=100*0.5,3,IF(O475&gt;=100*0.4,2,IF(O475&gt;=100*0.33,1,0))))))))</f>
        <v/>
      </c>
      <c r="AH475">
        <f>IF(B475="","",IF(OR(U475=0,V475=0,W475=0,X475=0,Y475=0,Z475=0,AA475=0,AB475=0,AC475=0,AD475=0,AE475=0,AF475=0,AG475=0),1,0))</f>
        <v/>
      </c>
    </row>
    <row r="476">
      <c r="A476" s="3">
        <f>IF(B476="","",ROW()-2)</f>
        <v/>
      </c>
      <c r="P476" s="4">
        <f>IF(B476="","",SUM(C476:O476))</f>
        <v/>
      </c>
      <c r="Q476" s="5">
        <f>IF(B476="","",ROUND(P476/13,2))</f>
        <v/>
      </c>
      <c r="R476" s="5">
        <f>IF(B476="","",IF(AH476=1,0,MIN(5,ROUND((U476+V476+W476+X476+Y476+Z476+AA476+AB476+AC476+AD476+AE476+AF476+AG476)/13,2))))</f>
        <v/>
      </c>
      <c r="S476" s="3">
        <f>IF(B476="","",IF(R476&gt;=5,"A+",IF(R476&gt;=4,"A",IF(R476&gt;=3.5,"A-",IF(R476&gt;=3,"B",IF(R476&gt;=2,"C",IF(R476&gt;=1,"D","F")))))))</f>
        <v/>
      </c>
      <c r="T476" s="3">
        <f>IF(OR(B476="",S476="F"),"",COUNTIFS(P:P,"&gt;"&amp;P476,S:S,"&lt;&gt;F")+1)</f>
        <v/>
      </c>
      <c r="U476">
        <f>IF(B476="","",IF(C476&lt;33.0,0,IF(C476&gt;=100*0.8,5,IF(C476&gt;=100*0.7,4,IF(C476&gt;=100*0.6,3.5,IF(C476&gt;=100*0.5,3,IF(C476&gt;=100*0.4,2,IF(C476&gt;=100*0.33,1,0))))))))</f>
        <v/>
      </c>
      <c r="V476">
        <f>IF(B476="","",IF(D476&lt;33.0,0,IF(D476&gt;=100*0.8,5,IF(D476&gt;=100*0.7,4,IF(D476&gt;=100*0.6,3.5,IF(D476&gt;=100*0.5,3,IF(D476&gt;=100*0.4,2,IF(D476&gt;=100*0.33,1,0))))))))</f>
        <v/>
      </c>
      <c r="W476">
        <f>IF(B476="","",IF(E476&lt;16.5,0,IF(E476&gt;=50*0.8,5,IF(E476&gt;=50*0.7,4,IF(E476&gt;=50*0.6,3.5,IF(E476&gt;=50*0.5,3,IF(E476&gt;=50*0.4,2,IF(E476&gt;=50*0.33,1,0))))))))</f>
        <v/>
      </c>
      <c r="X476">
        <f>IF(B476="","",IF(F476&lt;33.0,0,IF(F476&gt;=100*0.8,5,IF(F476&gt;=100*0.7,4,IF(F476&gt;=100*0.6,3.5,IF(F476&gt;=100*0.5,3,IF(F476&gt;=100*0.4,2,IF(F476&gt;=100*0.33,1,0))))))))</f>
        <v/>
      </c>
      <c r="Y476">
        <f>IF(B476="","",IF(G476&lt;16.5,0,IF(G476&gt;=50*0.8,5,IF(G476&gt;=50*0.7,4,IF(G476&gt;=50*0.6,3.5,IF(G476&gt;=50*0.5,3,IF(G476&gt;=50*0.4,2,IF(G476&gt;=50*0.33,1,0))))))))</f>
        <v/>
      </c>
      <c r="Z476">
        <f>IF(B476="","",IF(H476&lt;33.0,0,IF(H476&gt;=100*0.8,5,IF(H476&gt;=100*0.7,4,IF(H476&gt;=100*0.6,3.5,IF(H476&gt;=100*0.5,3,IF(H476&gt;=100*0.4,2,IF(H476&gt;=100*0.33,1,0))))))))</f>
        <v/>
      </c>
      <c r="AA476">
        <f>IF(B476="","",IF(I476&lt;33.0,0,IF(I476&gt;=100*0.8,5,IF(I476&gt;=100*0.7,4,IF(I476&gt;=100*0.6,3.5,IF(I476&gt;=100*0.5,3,IF(I476&gt;=100*0.4,2,IF(I476&gt;=100*0.33,1,0))))))))</f>
        <v/>
      </c>
      <c r="AB476">
        <f>IF(B476="","",IF(J476&lt;33.0,0,IF(J476&gt;=100*0.8,5,IF(J476&gt;=100*0.7,4,IF(J476&gt;=100*0.6,3.5,IF(J476&gt;=100*0.5,3,IF(J476&gt;=100*0.4,2,IF(J476&gt;=100*0.33,1,0))))))))</f>
        <v/>
      </c>
      <c r="AC476">
        <f>IF(B476="","",IF(K476&lt;33.0,0,IF(K476&gt;=100*0.8,5,IF(K476&gt;=100*0.7,4,IF(K476&gt;=100*0.6,3.5,IF(K476&gt;=100*0.5,3,IF(K476&gt;=100*0.4,2,IF(K476&gt;=100*0.33,1,0))))))))</f>
        <v/>
      </c>
      <c r="AD476">
        <f>IF(B476="","",IF(L476&lt;33.0,0,IF(L476&gt;=100*0.8,5,IF(L476&gt;=100*0.7,4,IF(L476&gt;=100*0.6,3.5,IF(L476&gt;=100*0.5,3,IF(L476&gt;=100*0.4,2,IF(L476&gt;=100*0.33,1,0))))))))</f>
        <v/>
      </c>
      <c r="AE476">
        <f>IF(B476="","",IF(M476&lt;33.0,0,IF(M476&gt;=100*0.8,5,IF(M476&gt;=100*0.7,4,IF(M476&gt;=100*0.6,3.5,IF(M476&gt;=100*0.5,3,IF(M476&gt;=100*0.4,2,IF(M476&gt;=100*0.33,1,0))))))))</f>
        <v/>
      </c>
      <c r="AF476">
        <f>IF(B476="","",IF(N476&lt;16.5,0,IF(N476&gt;=50*0.8,5,IF(N476&gt;=50*0.7,4,IF(N476&gt;=50*0.6,3.5,IF(N476&gt;=50*0.5,3,IF(N476&gt;=50*0.4,2,IF(N476&gt;=50*0.33,1,0))))))))</f>
        <v/>
      </c>
      <c r="AG476">
        <f>IF(B476="","",IF(O476&lt;33.0,0,IF(O476&gt;=100*0.8,5,IF(O476&gt;=100*0.7,4,IF(O476&gt;=100*0.6,3.5,IF(O476&gt;=100*0.5,3,IF(O476&gt;=100*0.4,2,IF(O476&gt;=100*0.33,1,0))))))))</f>
        <v/>
      </c>
      <c r="AH476">
        <f>IF(B476="","",IF(OR(U476=0,V476=0,W476=0,X476=0,Y476=0,Z476=0,AA476=0,AB476=0,AC476=0,AD476=0,AE476=0,AF476=0,AG476=0),1,0))</f>
        <v/>
      </c>
    </row>
    <row r="477">
      <c r="A477" s="3">
        <f>IF(B477="","",ROW()-2)</f>
        <v/>
      </c>
      <c r="P477" s="4">
        <f>IF(B477="","",SUM(C477:O477))</f>
        <v/>
      </c>
      <c r="Q477" s="5">
        <f>IF(B477="","",ROUND(P477/13,2))</f>
        <v/>
      </c>
      <c r="R477" s="5">
        <f>IF(B477="","",IF(AH477=1,0,MIN(5,ROUND((U477+V477+W477+X477+Y477+Z477+AA477+AB477+AC477+AD477+AE477+AF477+AG477)/13,2))))</f>
        <v/>
      </c>
      <c r="S477" s="3">
        <f>IF(B477="","",IF(R477&gt;=5,"A+",IF(R477&gt;=4,"A",IF(R477&gt;=3.5,"A-",IF(R477&gt;=3,"B",IF(R477&gt;=2,"C",IF(R477&gt;=1,"D","F")))))))</f>
        <v/>
      </c>
      <c r="T477" s="3">
        <f>IF(OR(B477="",S477="F"),"",COUNTIFS(P:P,"&gt;"&amp;P477,S:S,"&lt;&gt;F")+1)</f>
        <v/>
      </c>
      <c r="U477">
        <f>IF(B477="","",IF(C477&lt;33.0,0,IF(C477&gt;=100*0.8,5,IF(C477&gt;=100*0.7,4,IF(C477&gt;=100*0.6,3.5,IF(C477&gt;=100*0.5,3,IF(C477&gt;=100*0.4,2,IF(C477&gt;=100*0.33,1,0))))))))</f>
        <v/>
      </c>
      <c r="V477">
        <f>IF(B477="","",IF(D477&lt;33.0,0,IF(D477&gt;=100*0.8,5,IF(D477&gt;=100*0.7,4,IF(D477&gt;=100*0.6,3.5,IF(D477&gt;=100*0.5,3,IF(D477&gt;=100*0.4,2,IF(D477&gt;=100*0.33,1,0))))))))</f>
        <v/>
      </c>
      <c r="W477">
        <f>IF(B477="","",IF(E477&lt;16.5,0,IF(E477&gt;=50*0.8,5,IF(E477&gt;=50*0.7,4,IF(E477&gt;=50*0.6,3.5,IF(E477&gt;=50*0.5,3,IF(E477&gt;=50*0.4,2,IF(E477&gt;=50*0.33,1,0))))))))</f>
        <v/>
      </c>
      <c r="X477">
        <f>IF(B477="","",IF(F477&lt;33.0,0,IF(F477&gt;=100*0.8,5,IF(F477&gt;=100*0.7,4,IF(F477&gt;=100*0.6,3.5,IF(F477&gt;=100*0.5,3,IF(F477&gt;=100*0.4,2,IF(F477&gt;=100*0.33,1,0))))))))</f>
        <v/>
      </c>
      <c r="Y477">
        <f>IF(B477="","",IF(G477&lt;16.5,0,IF(G477&gt;=50*0.8,5,IF(G477&gt;=50*0.7,4,IF(G477&gt;=50*0.6,3.5,IF(G477&gt;=50*0.5,3,IF(G477&gt;=50*0.4,2,IF(G477&gt;=50*0.33,1,0))))))))</f>
        <v/>
      </c>
      <c r="Z477">
        <f>IF(B477="","",IF(H477&lt;33.0,0,IF(H477&gt;=100*0.8,5,IF(H477&gt;=100*0.7,4,IF(H477&gt;=100*0.6,3.5,IF(H477&gt;=100*0.5,3,IF(H477&gt;=100*0.4,2,IF(H477&gt;=100*0.33,1,0))))))))</f>
        <v/>
      </c>
      <c r="AA477">
        <f>IF(B477="","",IF(I477&lt;33.0,0,IF(I477&gt;=100*0.8,5,IF(I477&gt;=100*0.7,4,IF(I477&gt;=100*0.6,3.5,IF(I477&gt;=100*0.5,3,IF(I477&gt;=100*0.4,2,IF(I477&gt;=100*0.33,1,0))))))))</f>
        <v/>
      </c>
      <c r="AB477">
        <f>IF(B477="","",IF(J477&lt;33.0,0,IF(J477&gt;=100*0.8,5,IF(J477&gt;=100*0.7,4,IF(J477&gt;=100*0.6,3.5,IF(J477&gt;=100*0.5,3,IF(J477&gt;=100*0.4,2,IF(J477&gt;=100*0.33,1,0))))))))</f>
        <v/>
      </c>
      <c r="AC477">
        <f>IF(B477="","",IF(K477&lt;33.0,0,IF(K477&gt;=100*0.8,5,IF(K477&gt;=100*0.7,4,IF(K477&gt;=100*0.6,3.5,IF(K477&gt;=100*0.5,3,IF(K477&gt;=100*0.4,2,IF(K477&gt;=100*0.33,1,0))))))))</f>
        <v/>
      </c>
      <c r="AD477">
        <f>IF(B477="","",IF(L477&lt;33.0,0,IF(L477&gt;=100*0.8,5,IF(L477&gt;=100*0.7,4,IF(L477&gt;=100*0.6,3.5,IF(L477&gt;=100*0.5,3,IF(L477&gt;=100*0.4,2,IF(L477&gt;=100*0.33,1,0))))))))</f>
        <v/>
      </c>
      <c r="AE477">
        <f>IF(B477="","",IF(M477&lt;33.0,0,IF(M477&gt;=100*0.8,5,IF(M477&gt;=100*0.7,4,IF(M477&gt;=100*0.6,3.5,IF(M477&gt;=100*0.5,3,IF(M477&gt;=100*0.4,2,IF(M477&gt;=100*0.33,1,0))))))))</f>
        <v/>
      </c>
      <c r="AF477">
        <f>IF(B477="","",IF(N477&lt;16.5,0,IF(N477&gt;=50*0.8,5,IF(N477&gt;=50*0.7,4,IF(N477&gt;=50*0.6,3.5,IF(N477&gt;=50*0.5,3,IF(N477&gt;=50*0.4,2,IF(N477&gt;=50*0.33,1,0))))))))</f>
        <v/>
      </c>
      <c r="AG477">
        <f>IF(B477="","",IF(O477&lt;33.0,0,IF(O477&gt;=100*0.8,5,IF(O477&gt;=100*0.7,4,IF(O477&gt;=100*0.6,3.5,IF(O477&gt;=100*0.5,3,IF(O477&gt;=100*0.4,2,IF(O477&gt;=100*0.33,1,0))))))))</f>
        <v/>
      </c>
      <c r="AH477">
        <f>IF(B477="","",IF(OR(U477=0,V477=0,W477=0,X477=0,Y477=0,Z477=0,AA477=0,AB477=0,AC477=0,AD477=0,AE477=0,AF477=0,AG477=0),1,0))</f>
        <v/>
      </c>
    </row>
    <row r="478">
      <c r="A478" s="3">
        <f>IF(B478="","",ROW()-2)</f>
        <v/>
      </c>
      <c r="P478" s="4">
        <f>IF(B478="","",SUM(C478:O478))</f>
        <v/>
      </c>
      <c r="Q478" s="5">
        <f>IF(B478="","",ROUND(P478/13,2))</f>
        <v/>
      </c>
      <c r="R478" s="5">
        <f>IF(B478="","",IF(AH478=1,0,MIN(5,ROUND((U478+V478+W478+X478+Y478+Z478+AA478+AB478+AC478+AD478+AE478+AF478+AG478)/13,2))))</f>
        <v/>
      </c>
      <c r="S478" s="3">
        <f>IF(B478="","",IF(R478&gt;=5,"A+",IF(R478&gt;=4,"A",IF(R478&gt;=3.5,"A-",IF(R478&gt;=3,"B",IF(R478&gt;=2,"C",IF(R478&gt;=1,"D","F")))))))</f>
        <v/>
      </c>
      <c r="T478" s="3">
        <f>IF(OR(B478="",S478="F"),"",COUNTIFS(P:P,"&gt;"&amp;P478,S:S,"&lt;&gt;F")+1)</f>
        <v/>
      </c>
      <c r="U478">
        <f>IF(B478="","",IF(C478&lt;33.0,0,IF(C478&gt;=100*0.8,5,IF(C478&gt;=100*0.7,4,IF(C478&gt;=100*0.6,3.5,IF(C478&gt;=100*0.5,3,IF(C478&gt;=100*0.4,2,IF(C478&gt;=100*0.33,1,0))))))))</f>
        <v/>
      </c>
      <c r="V478">
        <f>IF(B478="","",IF(D478&lt;33.0,0,IF(D478&gt;=100*0.8,5,IF(D478&gt;=100*0.7,4,IF(D478&gt;=100*0.6,3.5,IF(D478&gt;=100*0.5,3,IF(D478&gt;=100*0.4,2,IF(D478&gt;=100*0.33,1,0))))))))</f>
        <v/>
      </c>
      <c r="W478">
        <f>IF(B478="","",IF(E478&lt;16.5,0,IF(E478&gt;=50*0.8,5,IF(E478&gt;=50*0.7,4,IF(E478&gt;=50*0.6,3.5,IF(E478&gt;=50*0.5,3,IF(E478&gt;=50*0.4,2,IF(E478&gt;=50*0.33,1,0))))))))</f>
        <v/>
      </c>
      <c r="X478">
        <f>IF(B478="","",IF(F478&lt;33.0,0,IF(F478&gt;=100*0.8,5,IF(F478&gt;=100*0.7,4,IF(F478&gt;=100*0.6,3.5,IF(F478&gt;=100*0.5,3,IF(F478&gt;=100*0.4,2,IF(F478&gt;=100*0.33,1,0))))))))</f>
        <v/>
      </c>
      <c r="Y478">
        <f>IF(B478="","",IF(G478&lt;16.5,0,IF(G478&gt;=50*0.8,5,IF(G478&gt;=50*0.7,4,IF(G478&gt;=50*0.6,3.5,IF(G478&gt;=50*0.5,3,IF(G478&gt;=50*0.4,2,IF(G478&gt;=50*0.33,1,0))))))))</f>
        <v/>
      </c>
      <c r="Z478">
        <f>IF(B478="","",IF(H478&lt;33.0,0,IF(H478&gt;=100*0.8,5,IF(H478&gt;=100*0.7,4,IF(H478&gt;=100*0.6,3.5,IF(H478&gt;=100*0.5,3,IF(H478&gt;=100*0.4,2,IF(H478&gt;=100*0.33,1,0))))))))</f>
        <v/>
      </c>
      <c r="AA478">
        <f>IF(B478="","",IF(I478&lt;33.0,0,IF(I478&gt;=100*0.8,5,IF(I478&gt;=100*0.7,4,IF(I478&gt;=100*0.6,3.5,IF(I478&gt;=100*0.5,3,IF(I478&gt;=100*0.4,2,IF(I478&gt;=100*0.33,1,0))))))))</f>
        <v/>
      </c>
      <c r="AB478">
        <f>IF(B478="","",IF(J478&lt;33.0,0,IF(J478&gt;=100*0.8,5,IF(J478&gt;=100*0.7,4,IF(J478&gt;=100*0.6,3.5,IF(J478&gt;=100*0.5,3,IF(J478&gt;=100*0.4,2,IF(J478&gt;=100*0.33,1,0))))))))</f>
        <v/>
      </c>
      <c r="AC478">
        <f>IF(B478="","",IF(K478&lt;33.0,0,IF(K478&gt;=100*0.8,5,IF(K478&gt;=100*0.7,4,IF(K478&gt;=100*0.6,3.5,IF(K478&gt;=100*0.5,3,IF(K478&gt;=100*0.4,2,IF(K478&gt;=100*0.33,1,0))))))))</f>
        <v/>
      </c>
      <c r="AD478">
        <f>IF(B478="","",IF(L478&lt;33.0,0,IF(L478&gt;=100*0.8,5,IF(L478&gt;=100*0.7,4,IF(L478&gt;=100*0.6,3.5,IF(L478&gt;=100*0.5,3,IF(L478&gt;=100*0.4,2,IF(L478&gt;=100*0.33,1,0))))))))</f>
        <v/>
      </c>
      <c r="AE478">
        <f>IF(B478="","",IF(M478&lt;33.0,0,IF(M478&gt;=100*0.8,5,IF(M478&gt;=100*0.7,4,IF(M478&gt;=100*0.6,3.5,IF(M478&gt;=100*0.5,3,IF(M478&gt;=100*0.4,2,IF(M478&gt;=100*0.33,1,0))))))))</f>
        <v/>
      </c>
      <c r="AF478">
        <f>IF(B478="","",IF(N478&lt;16.5,0,IF(N478&gt;=50*0.8,5,IF(N478&gt;=50*0.7,4,IF(N478&gt;=50*0.6,3.5,IF(N478&gt;=50*0.5,3,IF(N478&gt;=50*0.4,2,IF(N478&gt;=50*0.33,1,0))))))))</f>
        <v/>
      </c>
      <c r="AG478">
        <f>IF(B478="","",IF(O478&lt;33.0,0,IF(O478&gt;=100*0.8,5,IF(O478&gt;=100*0.7,4,IF(O478&gt;=100*0.6,3.5,IF(O478&gt;=100*0.5,3,IF(O478&gt;=100*0.4,2,IF(O478&gt;=100*0.33,1,0))))))))</f>
        <v/>
      </c>
      <c r="AH478">
        <f>IF(B478="","",IF(OR(U478=0,V478=0,W478=0,X478=0,Y478=0,Z478=0,AA478=0,AB478=0,AC478=0,AD478=0,AE478=0,AF478=0,AG478=0),1,0))</f>
        <v/>
      </c>
    </row>
    <row r="479">
      <c r="A479" s="3">
        <f>IF(B479="","",ROW()-2)</f>
        <v/>
      </c>
      <c r="P479" s="4">
        <f>IF(B479="","",SUM(C479:O479))</f>
        <v/>
      </c>
      <c r="Q479" s="5">
        <f>IF(B479="","",ROUND(P479/13,2))</f>
        <v/>
      </c>
      <c r="R479" s="5">
        <f>IF(B479="","",IF(AH479=1,0,MIN(5,ROUND((U479+V479+W479+X479+Y479+Z479+AA479+AB479+AC479+AD479+AE479+AF479+AG479)/13,2))))</f>
        <v/>
      </c>
      <c r="S479" s="3">
        <f>IF(B479="","",IF(R479&gt;=5,"A+",IF(R479&gt;=4,"A",IF(R479&gt;=3.5,"A-",IF(R479&gt;=3,"B",IF(R479&gt;=2,"C",IF(R479&gt;=1,"D","F")))))))</f>
        <v/>
      </c>
      <c r="T479" s="3">
        <f>IF(OR(B479="",S479="F"),"",COUNTIFS(P:P,"&gt;"&amp;P479,S:S,"&lt;&gt;F")+1)</f>
        <v/>
      </c>
      <c r="U479">
        <f>IF(B479="","",IF(C479&lt;33.0,0,IF(C479&gt;=100*0.8,5,IF(C479&gt;=100*0.7,4,IF(C479&gt;=100*0.6,3.5,IF(C479&gt;=100*0.5,3,IF(C479&gt;=100*0.4,2,IF(C479&gt;=100*0.33,1,0))))))))</f>
        <v/>
      </c>
      <c r="V479">
        <f>IF(B479="","",IF(D479&lt;33.0,0,IF(D479&gt;=100*0.8,5,IF(D479&gt;=100*0.7,4,IF(D479&gt;=100*0.6,3.5,IF(D479&gt;=100*0.5,3,IF(D479&gt;=100*0.4,2,IF(D479&gt;=100*0.33,1,0))))))))</f>
        <v/>
      </c>
      <c r="W479">
        <f>IF(B479="","",IF(E479&lt;16.5,0,IF(E479&gt;=50*0.8,5,IF(E479&gt;=50*0.7,4,IF(E479&gt;=50*0.6,3.5,IF(E479&gt;=50*0.5,3,IF(E479&gt;=50*0.4,2,IF(E479&gt;=50*0.33,1,0))))))))</f>
        <v/>
      </c>
      <c r="X479">
        <f>IF(B479="","",IF(F479&lt;33.0,0,IF(F479&gt;=100*0.8,5,IF(F479&gt;=100*0.7,4,IF(F479&gt;=100*0.6,3.5,IF(F479&gt;=100*0.5,3,IF(F479&gt;=100*0.4,2,IF(F479&gt;=100*0.33,1,0))))))))</f>
        <v/>
      </c>
      <c r="Y479">
        <f>IF(B479="","",IF(G479&lt;16.5,0,IF(G479&gt;=50*0.8,5,IF(G479&gt;=50*0.7,4,IF(G479&gt;=50*0.6,3.5,IF(G479&gt;=50*0.5,3,IF(G479&gt;=50*0.4,2,IF(G479&gt;=50*0.33,1,0))))))))</f>
        <v/>
      </c>
      <c r="Z479">
        <f>IF(B479="","",IF(H479&lt;33.0,0,IF(H479&gt;=100*0.8,5,IF(H479&gt;=100*0.7,4,IF(H479&gt;=100*0.6,3.5,IF(H479&gt;=100*0.5,3,IF(H479&gt;=100*0.4,2,IF(H479&gt;=100*0.33,1,0))))))))</f>
        <v/>
      </c>
      <c r="AA479">
        <f>IF(B479="","",IF(I479&lt;33.0,0,IF(I479&gt;=100*0.8,5,IF(I479&gt;=100*0.7,4,IF(I479&gt;=100*0.6,3.5,IF(I479&gt;=100*0.5,3,IF(I479&gt;=100*0.4,2,IF(I479&gt;=100*0.33,1,0))))))))</f>
        <v/>
      </c>
      <c r="AB479">
        <f>IF(B479="","",IF(J479&lt;33.0,0,IF(J479&gt;=100*0.8,5,IF(J479&gt;=100*0.7,4,IF(J479&gt;=100*0.6,3.5,IF(J479&gt;=100*0.5,3,IF(J479&gt;=100*0.4,2,IF(J479&gt;=100*0.33,1,0))))))))</f>
        <v/>
      </c>
      <c r="AC479">
        <f>IF(B479="","",IF(K479&lt;33.0,0,IF(K479&gt;=100*0.8,5,IF(K479&gt;=100*0.7,4,IF(K479&gt;=100*0.6,3.5,IF(K479&gt;=100*0.5,3,IF(K479&gt;=100*0.4,2,IF(K479&gt;=100*0.33,1,0))))))))</f>
        <v/>
      </c>
      <c r="AD479">
        <f>IF(B479="","",IF(L479&lt;33.0,0,IF(L479&gt;=100*0.8,5,IF(L479&gt;=100*0.7,4,IF(L479&gt;=100*0.6,3.5,IF(L479&gt;=100*0.5,3,IF(L479&gt;=100*0.4,2,IF(L479&gt;=100*0.33,1,0))))))))</f>
        <v/>
      </c>
      <c r="AE479">
        <f>IF(B479="","",IF(M479&lt;33.0,0,IF(M479&gt;=100*0.8,5,IF(M479&gt;=100*0.7,4,IF(M479&gt;=100*0.6,3.5,IF(M479&gt;=100*0.5,3,IF(M479&gt;=100*0.4,2,IF(M479&gt;=100*0.33,1,0))))))))</f>
        <v/>
      </c>
      <c r="AF479">
        <f>IF(B479="","",IF(N479&lt;16.5,0,IF(N479&gt;=50*0.8,5,IF(N479&gt;=50*0.7,4,IF(N479&gt;=50*0.6,3.5,IF(N479&gt;=50*0.5,3,IF(N479&gt;=50*0.4,2,IF(N479&gt;=50*0.33,1,0))))))))</f>
        <v/>
      </c>
      <c r="AG479">
        <f>IF(B479="","",IF(O479&lt;33.0,0,IF(O479&gt;=100*0.8,5,IF(O479&gt;=100*0.7,4,IF(O479&gt;=100*0.6,3.5,IF(O479&gt;=100*0.5,3,IF(O479&gt;=100*0.4,2,IF(O479&gt;=100*0.33,1,0))))))))</f>
        <v/>
      </c>
      <c r="AH479">
        <f>IF(B479="","",IF(OR(U479=0,V479=0,W479=0,X479=0,Y479=0,Z479=0,AA479=0,AB479=0,AC479=0,AD479=0,AE479=0,AF479=0,AG479=0),1,0))</f>
        <v/>
      </c>
    </row>
    <row r="480">
      <c r="A480" s="3">
        <f>IF(B480="","",ROW()-2)</f>
        <v/>
      </c>
      <c r="P480" s="4">
        <f>IF(B480="","",SUM(C480:O480))</f>
        <v/>
      </c>
      <c r="Q480" s="5">
        <f>IF(B480="","",ROUND(P480/13,2))</f>
        <v/>
      </c>
      <c r="R480" s="5">
        <f>IF(B480="","",IF(AH480=1,0,MIN(5,ROUND((U480+V480+W480+X480+Y480+Z480+AA480+AB480+AC480+AD480+AE480+AF480+AG480)/13,2))))</f>
        <v/>
      </c>
      <c r="S480" s="3">
        <f>IF(B480="","",IF(R480&gt;=5,"A+",IF(R480&gt;=4,"A",IF(R480&gt;=3.5,"A-",IF(R480&gt;=3,"B",IF(R480&gt;=2,"C",IF(R480&gt;=1,"D","F")))))))</f>
        <v/>
      </c>
      <c r="T480" s="3">
        <f>IF(OR(B480="",S480="F"),"",COUNTIFS(P:P,"&gt;"&amp;P480,S:S,"&lt;&gt;F")+1)</f>
        <v/>
      </c>
      <c r="U480">
        <f>IF(B480="","",IF(C480&lt;33.0,0,IF(C480&gt;=100*0.8,5,IF(C480&gt;=100*0.7,4,IF(C480&gt;=100*0.6,3.5,IF(C480&gt;=100*0.5,3,IF(C480&gt;=100*0.4,2,IF(C480&gt;=100*0.33,1,0))))))))</f>
        <v/>
      </c>
      <c r="V480">
        <f>IF(B480="","",IF(D480&lt;33.0,0,IF(D480&gt;=100*0.8,5,IF(D480&gt;=100*0.7,4,IF(D480&gt;=100*0.6,3.5,IF(D480&gt;=100*0.5,3,IF(D480&gt;=100*0.4,2,IF(D480&gt;=100*0.33,1,0))))))))</f>
        <v/>
      </c>
      <c r="W480">
        <f>IF(B480="","",IF(E480&lt;16.5,0,IF(E480&gt;=50*0.8,5,IF(E480&gt;=50*0.7,4,IF(E480&gt;=50*0.6,3.5,IF(E480&gt;=50*0.5,3,IF(E480&gt;=50*0.4,2,IF(E480&gt;=50*0.33,1,0))))))))</f>
        <v/>
      </c>
      <c r="X480">
        <f>IF(B480="","",IF(F480&lt;33.0,0,IF(F480&gt;=100*0.8,5,IF(F480&gt;=100*0.7,4,IF(F480&gt;=100*0.6,3.5,IF(F480&gt;=100*0.5,3,IF(F480&gt;=100*0.4,2,IF(F480&gt;=100*0.33,1,0))))))))</f>
        <v/>
      </c>
      <c r="Y480">
        <f>IF(B480="","",IF(G480&lt;16.5,0,IF(G480&gt;=50*0.8,5,IF(G480&gt;=50*0.7,4,IF(G480&gt;=50*0.6,3.5,IF(G480&gt;=50*0.5,3,IF(G480&gt;=50*0.4,2,IF(G480&gt;=50*0.33,1,0))))))))</f>
        <v/>
      </c>
      <c r="Z480">
        <f>IF(B480="","",IF(H480&lt;33.0,0,IF(H480&gt;=100*0.8,5,IF(H480&gt;=100*0.7,4,IF(H480&gt;=100*0.6,3.5,IF(H480&gt;=100*0.5,3,IF(H480&gt;=100*0.4,2,IF(H480&gt;=100*0.33,1,0))))))))</f>
        <v/>
      </c>
      <c r="AA480">
        <f>IF(B480="","",IF(I480&lt;33.0,0,IF(I480&gt;=100*0.8,5,IF(I480&gt;=100*0.7,4,IF(I480&gt;=100*0.6,3.5,IF(I480&gt;=100*0.5,3,IF(I480&gt;=100*0.4,2,IF(I480&gt;=100*0.33,1,0))))))))</f>
        <v/>
      </c>
      <c r="AB480">
        <f>IF(B480="","",IF(J480&lt;33.0,0,IF(J480&gt;=100*0.8,5,IF(J480&gt;=100*0.7,4,IF(J480&gt;=100*0.6,3.5,IF(J480&gt;=100*0.5,3,IF(J480&gt;=100*0.4,2,IF(J480&gt;=100*0.33,1,0))))))))</f>
        <v/>
      </c>
      <c r="AC480">
        <f>IF(B480="","",IF(K480&lt;33.0,0,IF(K480&gt;=100*0.8,5,IF(K480&gt;=100*0.7,4,IF(K480&gt;=100*0.6,3.5,IF(K480&gt;=100*0.5,3,IF(K480&gt;=100*0.4,2,IF(K480&gt;=100*0.33,1,0))))))))</f>
        <v/>
      </c>
      <c r="AD480">
        <f>IF(B480="","",IF(L480&lt;33.0,0,IF(L480&gt;=100*0.8,5,IF(L480&gt;=100*0.7,4,IF(L480&gt;=100*0.6,3.5,IF(L480&gt;=100*0.5,3,IF(L480&gt;=100*0.4,2,IF(L480&gt;=100*0.33,1,0))))))))</f>
        <v/>
      </c>
      <c r="AE480">
        <f>IF(B480="","",IF(M480&lt;33.0,0,IF(M480&gt;=100*0.8,5,IF(M480&gt;=100*0.7,4,IF(M480&gt;=100*0.6,3.5,IF(M480&gt;=100*0.5,3,IF(M480&gt;=100*0.4,2,IF(M480&gt;=100*0.33,1,0))))))))</f>
        <v/>
      </c>
      <c r="AF480">
        <f>IF(B480="","",IF(N480&lt;16.5,0,IF(N480&gt;=50*0.8,5,IF(N480&gt;=50*0.7,4,IF(N480&gt;=50*0.6,3.5,IF(N480&gt;=50*0.5,3,IF(N480&gt;=50*0.4,2,IF(N480&gt;=50*0.33,1,0))))))))</f>
        <v/>
      </c>
      <c r="AG480">
        <f>IF(B480="","",IF(O480&lt;33.0,0,IF(O480&gt;=100*0.8,5,IF(O480&gt;=100*0.7,4,IF(O480&gt;=100*0.6,3.5,IF(O480&gt;=100*0.5,3,IF(O480&gt;=100*0.4,2,IF(O480&gt;=100*0.33,1,0))))))))</f>
        <v/>
      </c>
      <c r="AH480">
        <f>IF(B480="","",IF(OR(U480=0,V480=0,W480=0,X480=0,Y480=0,Z480=0,AA480=0,AB480=0,AC480=0,AD480=0,AE480=0,AF480=0,AG480=0),1,0))</f>
        <v/>
      </c>
    </row>
    <row r="481">
      <c r="A481" s="3">
        <f>IF(B481="","",ROW()-2)</f>
        <v/>
      </c>
      <c r="P481" s="4">
        <f>IF(B481="","",SUM(C481:O481))</f>
        <v/>
      </c>
      <c r="Q481" s="5">
        <f>IF(B481="","",ROUND(P481/13,2))</f>
        <v/>
      </c>
      <c r="R481" s="5">
        <f>IF(B481="","",IF(AH481=1,0,MIN(5,ROUND((U481+V481+W481+X481+Y481+Z481+AA481+AB481+AC481+AD481+AE481+AF481+AG481)/13,2))))</f>
        <v/>
      </c>
      <c r="S481" s="3">
        <f>IF(B481="","",IF(R481&gt;=5,"A+",IF(R481&gt;=4,"A",IF(R481&gt;=3.5,"A-",IF(R481&gt;=3,"B",IF(R481&gt;=2,"C",IF(R481&gt;=1,"D","F")))))))</f>
        <v/>
      </c>
      <c r="T481" s="3">
        <f>IF(OR(B481="",S481="F"),"",COUNTIFS(P:P,"&gt;"&amp;P481,S:S,"&lt;&gt;F")+1)</f>
        <v/>
      </c>
      <c r="U481">
        <f>IF(B481="","",IF(C481&lt;33.0,0,IF(C481&gt;=100*0.8,5,IF(C481&gt;=100*0.7,4,IF(C481&gt;=100*0.6,3.5,IF(C481&gt;=100*0.5,3,IF(C481&gt;=100*0.4,2,IF(C481&gt;=100*0.33,1,0))))))))</f>
        <v/>
      </c>
      <c r="V481">
        <f>IF(B481="","",IF(D481&lt;33.0,0,IF(D481&gt;=100*0.8,5,IF(D481&gt;=100*0.7,4,IF(D481&gt;=100*0.6,3.5,IF(D481&gt;=100*0.5,3,IF(D481&gt;=100*0.4,2,IF(D481&gt;=100*0.33,1,0))))))))</f>
        <v/>
      </c>
      <c r="W481">
        <f>IF(B481="","",IF(E481&lt;16.5,0,IF(E481&gt;=50*0.8,5,IF(E481&gt;=50*0.7,4,IF(E481&gt;=50*0.6,3.5,IF(E481&gt;=50*0.5,3,IF(E481&gt;=50*0.4,2,IF(E481&gt;=50*0.33,1,0))))))))</f>
        <v/>
      </c>
      <c r="X481">
        <f>IF(B481="","",IF(F481&lt;33.0,0,IF(F481&gt;=100*0.8,5,IF(F481&gt;=100*0.7,4,IF(F481&gt;=100*0.6,3.5,IF(F481&gt;=100*0.5,3,IF(F481&gt;=100*0.4,2,IF(F481&gt;=100*0.33,1,0))))))))</f>
        <v/>
      </c>
      <c r="Y481">
        <f>IF(B481="","",IF(G481&lt;16.5,0,IF(G481&gt;=50*0.8,5,IF(G481&gt;=50*0.7,4,IF(G481&gt;=50*0.6,3.5,IF(G481&gt;=50*0.5,3,IF(G481&gt;=50*0.4,2,IF(G481&gt;=50*0.33,1,0))))))))</f>
        <v/>
      </c>
      <c r="Z481">
        <f>IF(B481="","",IF(H481&lt;33.0,0,IF(H481&gt;=100*0.8,5,IF(H481&gt;=100*0.7,4,IF(H481&gt;=100*0.6,3.5,IF(H481&gt;=100*0.5,3,IF(H481&gt;=100*0.4,2,IF(H481&gt;=100*0.33,1,0))))))))</f>
        <v/>
      </c>
      <c r="AA481">
        <f>IF(B481="","",IF(I481&lt;33.0,0,IF(I481&gt;=100*0.8,5,IF(I481&gt;=100*0.7,4,IF(I481&gt;=100*0.6,3.5,IF(I481&gt;=100*0.5,3,IF(I481&gt;=100*0.4,2,IF(I481&gt;=100*0.33,1,0))))))))</f>
        <v/>
      </c>
      <c r="AB481">
        <f>IF(B481="","",IF(J481&lt;33.0,0,IF(J481&gt;=100*0.8,5,IF(J481&gt;=100*0.7,4,IF(J481&gt;=100*0.6,3.5,IF(J481&gt;=100*0.5,3,IF(J481&gt;=100*0.4,2,IF(J481&gt;=100*0.33,1,0))))))))</f>
        <v/>
      </c>
      <c r="AC481">
        <f>IF(B481="","",IF(K481&lt;33.0,0,IF(K481&gt;=100*0.8,5,IF(K481&gt;=100*0.7,4,IF(K481&gt;=100*0.6,3.5,IF(K481&gt;=100*0.5,3,IF(K481&gt;=100*0.4,2,IF(K481&gt;=100*0.33,1,0))))))))</f>
        <v/>
      </c>
      <c r="AD481">
        <f>IF(B481="","",IF(L481&lt;33.0,0,IF(L481&gt;=100*0.8,5,IF(L481&gt;=100*0.7,4,IF(L481&gt;=100*0.6,3.5,IF(L481&gt;=100*0.5,3,IF(L481&gt;=100*0.4,2,IF(L481&gt;=100*0.33,1,0))))))))</f>
        <v/>
      </c>
      <c r="AE481">
        <f>IF(B481="","",IF(M481&lt;33.0,0,IF(M481&gt;=100*0.8,5,IF(M481&gt;=100*0.7,4,IF(M481&gt;=100*0.6,3.5,IF(M481&gt;=100*0.5,3,IF(M481&gt;=100*0.4,2,IF(M481&gt;=100*0.33,1,0))))))))</f>
        <v/>
      </c>
      <c r="AF481">
        <f>IF(B481="","",IF(N481&lt;16.5,0,IF(N481&gt;=50*0.8,5,IF(N481&gt;=50*0.7,4,IF(N481&gt;=50*0.6,3.5,IF(N481&gt;=50*0.5,3,IF(N481&gt;=50*0.4,2,IF(N481&gt;=50*0.33,1,0))))))))</f>
        <v/>
      </c>
      <c r="AG481">
        <f>IF(B481="","",IF(O481&lt;33.0,0,IF(O481&gt;=100*0.8,5,IF(O481&gt;=100*0.7,4,IF(O481&gt;=100*0.6,3.5,IF(O481&gt;=100*0.5,3,IF(O481&gt;=100*0.4,2,IF(O481&gt;=100*0.33,1,0))))))))</f>
        <v/>
      </c>
      <c r="AH481">
        <f>IF(B481="","",IF(OR(U481=0,V481=0,W481=0,X481=0,Y481=0,Z481=0,AA481=0,AB481=0,AC481=0,AD481=0,AE481=0,AF481=0,AG481=0),1,0))</f>
        <v/>
      </c>
    </row>
    <row r="482">
      <c r="A482" s="3">
        <f>IF(B482="","",ROW()-2)</f>
        <v/>
      </c>
      <c r="P482" s="4">
        <f>IF(B482="","",SUM(C482:O482))</f>
        <v/>
      </c>
      <c r="Q482" s="5">
        <f>IF(B482="","",ROUND(P482/13,2))</f>
        <v/>
      </c>
      <c r="R482" s="5">
        <f>IF(B482="","",IF(AH482=1,0,MIN(5,ROUND((U482+V482+W482+X482+Y482+Z482+AA482+AB482+AC482+AD482+AE482+AF482+AG482)/13,2))))</f>
        <v/>
      </c>
      <c r="S482" s="3">
        <f>IF(B482="","",IF(R482&gt;=5,"A+",IF(R482&gt;=4,"A",IF(R482&gt;=3.5,"A-",IF(R482&gt;=3,"B",IF(R482&gt;=2,"C",IF(R482&gt;=1,"D","F")))))))</f>
        <v/>
      </c>
      <c r="T482" s="3">
        <f>IF(OR(B482="",S482="F"),"",COUNTIFS(P:P,"&gt;"&amp;P482,S:S,"&lt;&gt;F")+1)</f>
        <v/>
      </c>
      <c r="U482">
        <f>IF(B482="","",IF(C482&lt;33.0,0,IF(C482&gt;=100*0.8,5,IF(C482&gt;=100*0.7,4,IF(C482&gt;=100*0.6,3.5,IF(C482&gt;=100*0.5,3,IF(C482&gt;=100*0.4,2,IF(C482&gt;=100*0.33,1,0))))))))</f>
        <v/>
      </c>
      <c r="V482">
        <f>IF(B482="","",IF(D482&lt;33.0,0,IF(D482&gt;=100*0.8,5,IF(D482&gt;=100*0.7,4,IF(D482&gt;=100*0.6,3.5,IF(D482&gt;=100*0.5,3,IF(D482&gt;=100*0.4,2,IF(D482&gt;=100*0.33,1,0))))))))</f>
        <v/>
      </c>
      <c r="W482">
        <f>IF(B482="","",IF(E482&lt;16.5,0,IF(E482&gt;=50*0.8,5,IF(E482&gt;=50*0.7,4,IF(E482&gt;=50*0.6,3.5,IF(E482&gt;=50*0.5,3,IF(E482&gt;=50*0.4,2,IF(E482&gt;=50*0.33,1,0))))))))</f>
        <v/>
      </c>
      <c r="X482">
        <f>IF(B482="","",IF(F482&lt;33.0,0,IF(F482&gt;=100*0.8,5,IF(F482&gt;=100*0.7,4,IF(F482&gt;=100*0.6,3.5,IF(F482&gt;=100*0.5,3,IF(F482&gt;=100*0.4,2,IF(F482&gt;=100*0.33,1,0))))))))</f>
        <v/>
      </c>
      <c r="Y482">
        <f>IF(B482="","",IF(G482&lt;16.5,0,IF(G482&gt;=50*0.8,5,IF(G482&gt;=50*0.7,4,IF(G482&gt;=50*0.6,3.5,IF(G482&gt;=50*0.5,3,IF(G482&gt;=50*0.4,2,IF(G482&gt;=50*0.33,1,0))))))))</f>
        <v/>
      </c>
      <c r="Z482">
        <f>IF(B482="","",IF(H482&lt;33.0,0,IF(H482&gt;=100*0.8,5,IF(H482&gt;=100*0.7,4,IF(H482&gt;=100*0.6,3.5,IF(H482&gt;=100*0.5,3,IF(H482&gt;=100*0.4,2,IF(H482&gt;=100*0.33,1,0))))))))</f>
        <v/>
      </c>
      <c r="AA482">
        <f>IF(B482="","",IF(I482&lt;33.0,0,IF(I482&gt;=100*0.8,5,IF(I482&gt;=100*0.7,4,IF(I482&gt;=100*0.6,3.5,IF(I482&gt;=100*0.5,3,IF(I482&gt;=100*0.4,2,IF(I482&gt;=100*0.33,1,0))))))))</f>
        <v/>
      </c>
      <c r="AB482">
        <f>IF(B482="","",IF(J482&lt;33.0,0,IF(J482&gt;=100*0.8,5,IF(J482&gt;=100*0.7,4,IF(J482&gt;=100*0.6,3.5,IF(J482&gt;=100*0.5,3,IF(J482&gt;=100*0.4,2,IF(J482&gt;=100*0.33,1,0))))))))</f>
        <v/>
      </c>
      <c r="AC482">
        <f>IF(B482="","",IF(K482&lt;33.0,0,IF(K482&gt;=100*0.8,5,IF(K482&gt;=100*0.7,4,IF(K482&gt;=100*0.6,3.5,IF(K482&gt;=100*0.5,3,IF(K482&gt;=100*0.4,2,IF(K482&gt;=100*0.33,1,0))))))))</f>
        <v/>
      </c>
      <c r="AD482">
        <f>IF(B482="","",IF(L482&lt;33.0,0,IF(L482&gt;=100*0.8,5,IF(L482&gt;=100*0.7,4,IF(L482&gt;=100*0.6,3.5,IF(L482&gt;=100*0.5,3,IF(L482&gt;=100*0.4,2,IF(L482&gt;=100*0.33,1,0))))))))</f>
        <v/>
      </c>
      <c r="AE482">
        <f>IF(B482="","",IF(M482&lt;33.0,0,IF(M482&gt;=100*0.8,5,IF(M482&gt;=100*0.7,4,IF(M482&gt;=100*0.6,3.5,IF(M482&gt;=100*0.5,3,IF(M482&gt;=100*0.4,2,IF(M482&gt;=100*0.33,1,0))))))))</f>
        <v/>
      </c>
      <c r="AF482">
        <f>IF(B482="","",IF(N482&lt;16.5,0,IF(N482&gt;=50*0.8,5,IF(N482&gt;=50*0.7,4,IF(N482&gt;=50*0.6,3.5,IF(N482&gt;=50*0.5,3,IF(N482&gt;=50*0.4,2,IF(N482&gt;=50*0.33,1,0))))))))</f>
        <v/>
      </c>
      <c r="AG482">
        <f>IF(B482="","",IF(O482&lt;33.0,0,IF(O482&gt;=100*0.8,5,IF(O482&gt;=100*0.7,4,IF(O482&gt;=100*0.6,3.5,IF(O482&gt;=100*0.5,3,IF(O482&gt;=100*0.4,2,IF(O482&gt;=100*0.33,1,0))))))))</f>
        <v/>
      </c>
      <c r="AH482">
        <f>IF(B482="","",IF(OR(U482=0,V482=0,W482=0,X482=0,Y482=0,Z482=0,AA482=0,AB482=0,AC482=0,AD482=0,AE482=0,AF482=0,AG482=0),1,0))</f>
        <v/>
      </c>
    </row>
    <row r="483">
      <c r="A483" s="3">
        <f>IF(B483="","",ROW()-2)</f>
        <v/>
      </c>
      <c r="P483" s="4">
        <f>IF(B483="","",SUM(C483:O483))</f>
        <v/>
      </c>
      <c r="Q483" s="5">
        <f>IF(B483="","",ROUND(P483/13,2))</f>
        <v/>
      </c>
      <c r="R483" s="5">
        <f>IF(B483="","",IF(AH483=1,0,MIN(5,ROUND((U483+V483+W483+X483+Y483+Z483+AA483+AB483+AC483+AD483+AE483+AF483+AG483)/13,2))))</f>
        <v/>
      </c>
      <c r="S483" s="3">
        <f>IF(B483="","",IF(R483&gt;=5,"A+",IF(R483&gt;=4,"A",IF(R483&gt;=3.5,"A-",IF(R483&gt;=3,"B",IF(R483&gt;=2,"C",IF(R483&gt;=1,"D","F")))))))</f>
        <v/>
      </c>
      <c r="T483" s="3">
        <f>IF(OR(B483="",S483="F"),"",COUNTIFS(P:P,"&gt;"&amp;P483,S:S,"&lt;&gt;F")+1)</f>
        <v/>
      </c>
      <c r="U483">
        <f>IF(B483="","",IF(C483&lt;33.0,0,IF(C483&gt;=100*0.8,5,IF(C483&gt;=100*0.7,4,IF(C483&gt;=100*0.6,3.5,IF(C483&gt;=100*0.5,3,IF(C483&gt;=100*0.4,2,IF(C483&gt;=100*0.33,1,0))))))))</f>
        <v/>
      </c>
      <c r="V483">
        <f>IF(B483="","",IF(D483&lt;33.0,0,IF(D483&gt;=100*0.8,5,IF(D483&gt;=100*0.7,4,IF(D483&gt;=100*0.6,3.5,IF(D483&gt;=100*0.5,3,IF(D483&gt;=100*0.4,2,IF(D483&gt;=100*0.33,1,0))))))))</f>
        <v/>
      </c>
      <c r="W483">
        <f>IF(B483="","",IF(E483&lt;16.5,0,IF(E483&gt;=50*0.8,5,IF(E483&gt;=50*0.7,4,IF(E483&gt;=50*0.6,3.5,IF(E483&gt;=50*0.5,3,IF(E483&gt;=50*0.4,2,IF(E483&gt;=50*0.33,1,0))))))))</f>
        <v/>
      </c>
      <c r="X483">
        <f>IF(B483="","",IF(F483&lt;33.0,0,IF(F483&gt;=100*0.8,5,IF(F483&gt;=100*0.7,4,IF(F483&gt;=100*0.6,3.5,IF(F483&gt;=100*0.5,3,IF(F483&gt;=100*0.4,2,IF(F483&gt;=100*0.33,1,0))))))))</f>
        <v/>
      </c>
      <c r="Y483">
        <f>IF(B483="","",IF(G483&lt;16.5,0,IF(G483&gt;=50*0.8,5,IF(G483&gt;=50*0.7,4,IF(G483&gt;=50*0.6,3.5,IF(G483&gt;=50*0.5,3,IF(G483&gt;=50*0.4,2,IF(G483&gt;=50*0.33,1,0))))))))</f>
        <v/>
      </c>
      <c r="Z483">
        <f>IF(B483="","",IF(H483&lt;33.0,0,IF(H483&gt;=100*0.8,5,IF(H483&gt;=100*0.7,4,IF(H483&gt;=100*0.6,3.5,IF(H483&gt;=100*0.5,3,IF(H483&gt;=100*0.4,2,IF(H483&gt;=100*0.33,1,0))))))))</f>
        <v/>
      </c>
      <c r="AA483">
        <f>IF(B483="","",IF(I483&lt;33.0,0,IF(I483&gt;=100*0.8,5,IF(I483&gt;=100*0.7,4,IF(I483&gt;=100*0.6,3.5,IF(I483&gt;=100*0.5,3,IF(I483&gt;=100*0.4,2,IF(I483&gt;=100*0.33,1,0))))))))</f>
        <v/>
      </c>
      <c r="AB483">
        <f>IF(B483="","",IF(J483&lt;33.0,0,IF(J483&gt;=100*0.8,5,IF(J483&gt;=100*0.7,4,IF(J483&gt;=100*0.6,3.5,IF(J483&gt;=100*0.5,3,IF(J483&gt;=100*0.4,2,IF(J483&gt;=100*0.33,1,0))))))))</f>
        <v/>
      </c>
      <c r="AC483">
        <f>IF(B483="","",IF(K483&lt;33.0,0,IF(K483&gt;=100*0.8,5,IF(K483&gt;=100*0.7,4,IF(K483&gt;=100*0.6,3.5,IF(K483&gt;=100*0.5,3,IF(K483&gt;=100*0.4,2,IF(K483&gt;=100*0.33,1,0))))))))</f>
        <v/>
      </c>
      <c r="AD483">
        <f>IF(B483="","",IF(L483&lt;33.0,0,IF(L483&gt;=100*0.8,5,IF(L483&gt;=100*0.7,4,IF(L483&gt;=100*0.6,3.5,IF(L483&gt;=100*0.5,3,IF(L483&gt;=100*0.4,2,IF(L483&gt;=100*0.33,1,0))))))))</f>
        <v/>
      </c>
      <c r="AE483">
        <f>IF(B483="","",IF(M483&lt;33.0,0,IF(M483&gt;=100*0.8,5,IF(M483&gt;=100*0.7,4,IF(M483&gt;=100*0.6,3.5,IF(M483&gt;=100*0.5,3,IF(M483&gt;=100*0.4,2,IF(M483&gt;=100*0.33,1,0))))))))</f>
        <v/>
      </c>
      <c r="AF483">
        <f>IF(B483="","",IF(N483&lt;16.5,0,IF(N483&gt;=50*0.8,5,IF(N483&gt;=50*0.7,4,IF(N483&gt;=50*0.6,3.5,IF(N483&gt;=50*0.5,3,IF(N483&gt;=50*0.4,2,IF(N483&gt;=50*0.33,1,0))))))))</f>
        <v/>
      </c>
      <c r="AG483">
        <f>IF(B483="","",IF(O483&lt;33.0,0,IF(O483&gt;=100*0.8,5,IF(O483&gt;=100*0.7,4,IF(O483&gt;=100*0.6,3.5,IF(O483&gt;=100*0.5,3,IF(O483&gt;=100*0.4,2,IF(O483&gt;=100*0.33,1,0))))))))</f>
        <v/>
      </c>
      <c r="AH483">
        <f>IF(B483="","",IF(OR(U483=0,V483=0,W483=0,X483=0,Y483=0,Z483=0,AA483=0,AB483=0,AC483=0,AD483=0,AE483=0,AF483=0,AG483=0),1,0))</f>
        <v/>
      </c>
    </row>
    <row r="484">
      <c r="A484" s="3">
        <f>IF(B484="","",ROW()-2)</f>
        <v/>
      </c>
      <c r="P484" s="4">
        <f>IF(B484="","",SUM(C484:O484))</f>
        <v/>
      </c>
      <c r="Q484" s="5">
        <f>IF(B484="","",ROUND(P484/13,2))</f>
        <v/>
      </c>
      <c r="R484" s="5">
        <f>IF(B484="","",IF(AH484=1,0,MIN(5,ROUND((U484+V484+W484+X484+Y484+Z484+AA484+AB484+AC484+AD484+AE484+AF484+AG484)/13,2))))</f>
        <v/>
      </c>
      <c r="S484" s="3">
        <f>IF(B484="","",IF(R484&gt;=5,"A+",IF(R484&gt;=4,"A",IF(R484&gt;=3.5,"A-",IF(R484&gt;=3,"B",IF(R484&gt;=2,"C",IF(R484&gt;=1,"D","F")))))))</f>
        <v/>
      </c>
      <c r="T484" s="3">
        <f>IF(OR(B484="",S484="F"),"",COUNTIFS(P:P,"&gt;"&amp;P484,S:S,"&lt;&gt;F")+1)</f>
        <v/>
      </c>
      <c r="U484">
        <f>IF(B484="","",IF(C484&lt;33.0,0,IF(C484&gt;=100*0.8,5,IF(C484&gt;=100*0.7,4,IF(C484&gt;=100*0.6,3.5,IF(C484&gt;=100*0.5,3,IF(C484&gt;=100*0.4,2,IF(C484&gt;=100*0.33,1,0))))))))</f>
        <v/>
      </c>
      <c r="V484">
        <f>IF(B484="","",IF(D484&lt;33.0,0,IF(D484&gt;=100*0.8,5,IF(D484&gt;=100*0.7,4,IF(D484&gt;=100*0.6,3.5,IF(D484&gt;=100*0.5,3,IF(D484&gt;=100*0.4,2,IF(D484&gt;=100*0.33,1,0))))))))</f>
        <v/>
      </c>
      <c r="W484">
        <f>IF(B484="","",IF(E484&lt;16.5,0,IF(E484&gt;=50*0.8,5,IF(E484&gt;=50*0.7,4,IF(E484&gt;=50*0.6,3.5,IF(E484&gt;=50*0.5,3,IF(E484&gt;=50*0.4,2,IF(E484&gt;=50*0.33,1,0))))))))</f>
        <v/>
      </c>
      <c r="X484">
        <f>IF(B484="","",IF(F484&lt;33.0,0,IF(F484&gt;=100*0.8,5,IF(F484&gt;=100*0.7,4,IF(F484&gt;=100*0.6,3.5,IF(F484&gt;=100*0.5,3,IF(F484&gt;=100*0.4,2,IF(F484&gt;=100*0.33,1,0))))))))</f>
        <v/>
      </c>
      <c r="Y484">
        <f>IF(B484="","",IF(G484&lt;16.5,0,IF(G484&gt;=50*0.8,5,IF(G484&gt;=50*0.7,4,IF(G484&gt;=50*0.6,3.5,IF(G484&gt;=50*0.5,3,IF(G484&gt;=50*0.4,2,IF(G484&gt;=50*0.33,1,0))))))))</f>
        <v/>
      </c>
      <c r="Z484">
        <f>IF(B484="","",IF(H484&lt;33.0,0,IF(H484&gt;=100*0.8,5,IF(H484&gt;=100*0.7,4,IF(H484&gt;=100*0.6,3.5,IF(H484&gt;=100*0.5,3,IF(H484&gt;=100*0.4,2,IF(H484&gt;=100*0.33,1,0))))))))</f>
        <v/>
      </c>
      <c r="AA484">
        <f>IF(B484="","",IF(I484&lt;33.0,0,IF(I484&gt;=100*0.8,5,IF(I484&gt;=100*0.7,4,IF(I484&gt;=100*0.6,3.5,IF(I484&gt;=100*0.5,3,IF(I484&gt;=100*0.4,2,IF(I484&gt;=100*0.33,1,0))))))))</f>
        <v/>
      </c>
      <c r="AB484">
        <f>IF(B484="","",IF(J484&lt;33.0,0,IF(J484&gt;=100*0.8,5,IF(J484&gt;=100*0.7,4,IF(J484&gt;=100*0.6,3.5,IF(J484&gt;=100*0.5,3,IF(J484&gt;=100*0.4,2,IF(J484&gt;=100*0.33,1,0))))))))</f>
        <v/>
      </c>
      <c r="AC484">
        <f>IF(B484="","",IF(K484&lt;33.0,0,IF(K484&gt;=100*0.8,5,IF(K484&gt;=100*0.7,4,IF(K484&gt;=100*0.6,3.5,IF(K484&gt;=100*0.5,3,IF(K484&gt;=100*0.4,2,IF(K484&gt;=100*0.33,1,0))))))))</f>
        <v/>
      </c>
      <c r="AD484">
        <f>IF(B484="","",IF(L484&lt;33.0,0,IF(L484&gt;=100*0.8,5,IF(L484&gt;=100*0.7,4,IF(L484&gt;=100*0.6,3.5,IF(L484&gt;=100*0.5,3,IF(L484&gt;=100*0.4,2,IF(L484&gt;=100*0.33,1,0))))))))</f>
        <v/>
      </c>
      <c r="AE484">
        <f>IF(B484="","",IF(M484&lt;33.0,0,IF(M484&gt;=100*0.8,5,IF(M484&gt;=100*0.7,4,IF(M484&gt;=100*0.6,3.5,IF(M484&gt;=100*0.5,3,IF(M484&gt;=100*0.4,2,IF(M484&gt;=100*0.33,1,0))))))))</f>
        <v/>
      </c>
      <c r="AF484">
        <f>IF(B484="","",IF(N484&lt;16.5,0,IF(N484&gt;=50*0.8,5,IF(N484&gt;=50*0.7,4,IF(N484&gt;=50*0.6,3.5,IF(N484&gt;=50*0.5,3,IF(N484&gt;=50*0.4,2,IF(N484&gt;=50*0.33,1,0))))))))</f>
        <v/>
      </c>
      <c r="AG484">
        <f>IF(B484="","",IF(O484&lt;33.0,0,IF(O484&gt;=100*0.8,5,IF(O484&gt;=100*0.7,4,IF(O484&gt;=100*0.6,3.5,IF(O484&gt;=100*0.5,3,IF(O484&gt;=100*0.4,2,IF(O484&gt;=100*0.33,1,0))))))))</f>
        <v/>
      </c>
      <c r="AH484">
        <f>IF(B484="","",IF(OR(U484=0,V484=0,W484=0,X484=0,Y484=0,Z484=0,AA484=0,AB484=0,AC484=0,AD484=0,AE484=0,AF484=0,AG484=0),1,0))</f>
        <v/>
      </c>
    </row>
    <row r="485">
      <c r="A485" s="3">
        <f>IF(B485="","",ROW()-2)</f>
        <v/>
      </c>
      <c r="P485" s="4">
        <f>IF(B485="","",SUM(C485:O485))</f>
        <v/>
      </c>
      <c r="Q485" s="5">
        <f>IF(B485="","",ROUND(P485/13,2))</f>
        <v/>
      </c>
      <c r="R485" s="5">
        <f>IF(B485="","",IF(AH485=1,0,MIN(5,ROUND((U485+V485+W485+X485+Y485+Z485+AA485+AB485+AC485+AD485+AE485+AF485+AG485)/13,2))))</f>
        <v/>
      </c>
      <c r="S485" s="3">
        <f>IF(B485="","",IF(R485&gt;=5,"A+",IF(R485&gt;=4,"A",IF(R485&gt;=3.5,"A-",IF(R485&gt;=3,"B",IF(R485&gt;=2,"C",IF(R485&gt;=1,"D","F")))))))</f>
        <v/>
      </c>
      <c r="T485" s="3">
        <f>IF(OR(B485="",S485="F"),"",COUNTIFS(P:P,"&gt;"&amp;P485,S:S,"&lt;&gt;F")+1)</f>
        <v/>
      </c>
      <c r="U485">
        <f>IF(B485="","",IF(C485&lt;33.0,0,IF(C485&gt;=100*0.8,5,IF(C485&gt;=100*0.7,4,IF(C485&gt;=100*0.6,3.5,IF(C485&gt;=100*0.5,3,IF(C485&gt;=100*0.4,2,IF(C485&gt;=100*0.33,1,0))))))))</f>
        <v/>
      </c>
      <c r="V485">
        <f>IF(B485="","",IF(D485&lt;33.0,0,IF(D485&gt;=100*0.8,5,IF(D485&gt;=100*0.7,4,IF(D485&gt;=100*0.6,3.5,IF(D485&gt;=100*0.5,3,IF(D485&gt;=100*0.4,2,IF(D485&gt;=100*0.33,1,0))))))))</f>
        <v/>
      </c>
      <c r="W485">
        <f>IF(B485="","",IF(E485&lt;16.5,0,IF(E485&gt;=50*0.8,5,IF(E485&gt;=50*0.7,4,IF(E485&gt;=50*0.6,3.5,IF(E485&gt;=50*0.5,3,IF(E485&gt;=50*0.4,2,IF(E485&gt;=50*0.33,1,0))))))))</f>
        <v/>
      </c>
      <c r="X485">
        <f>IF(B485="","",IF(F485&lt;33.0,0,IF(F485&gt;=100*0.8,5,IF(F485&gt;=100*0.7,4,IF(F485&gt;=100*0.6,3.5,IF(F485&gt;=100*0.5,3,IF(F485&gt;=100*0.4,2,IF(F485&gt;=100*0.33,1,0))))))))</f>
        <v/>
      </c>
      <c r="Y485">
        <f>IF(B485="","",IF(G485&lt;16.5,0,IF(G485&gt;=50*0.8,5,IF(G485&gt;=50*0.7,4,IF(G485&gt;=50*0.6,3.5,IF(G485&gt;=50*0.5,3,IF(G485&gt;=50*0.4,2,IF(G485&gt;=50*0.33,1,0))))))))</f>
        <v/>
      </c>
      <c r="Z485">
        <f>IF(B485="","",IF(H485&lt;33.0,0,IF(H485&gt;=100*0.8,5,IF(H485&gt;=100*0.7,4,IF(H485&gt;=100*0.6,3.5,IF(H485&gt;=100*0.5,3,IF(H485&gt;=100*0.4,2,IF(H485&gt;=100*0.33,1,0))))))))</f>
        <v/>
      </c>
      <c r="AA485">
        <f>IF(B485="","",IF(I485&lt;33.0,0,IF(I485&gt;=100*0.8,5,IF(I485&gt;=100*0.7,4,IF(I485&gt;=100*0.6,3.5,IF(I485&gt;=100*0.5,3,IF(I485&gt;=100*0.4,2,IF(I485&gt;=100*0.33,1,0))))))))</f>
        <v/>
      </c>
      <c r="AB485">
        <f>IF(B485="","",IF(J485&lt;33.0,0,IF(J485&gt;=100*0.8,5,IF(J485&gt;=100*0.7,4,IF(J485&gt;=100*0.6,3.5,IF(J485&gt;=100*0.5,3,IF(J485&gt;=100*0.4,2,IF(J485&gt;=100*0.33,1,0))))))))</f>
        <v/>
      </c>
      <c r="AC485">
        <f>IF(B485="","",IF(K485&lt;33.0,0,IF(K485&gt;=100*0.8,5,IF(K485&gt;=100*0.7,4,IF(K485&gt;=100*0.6,3.5,IF(K485&gt;=100*0.5,3,IF(K485&gt;=100*0.4,2,IF(K485&gt;=100*0.33,1,0))))))))</f>
        <v/>
      </c>
      <c r="AD485">
        <f>IF(B485="","",IF(L485&lt;33.0,0,IF(L485&gt;=100*0.8,5,IF(L485&gt;=100*0.7,4,IF(L485&gt;=100*0.6,3.5,IF(L485&gt;=100*0.5,3,IF(L485&gt;=100*0.4,2,IF(L485&gt;=100*0.33,1,0))))))))</f>
        <v/>
      </c>
      <c r="AE485">
        <f>IF(B485="","",IF(M485&lt;33.0,0,IF(M485&gt;=100*0.8,5,IF(M485&gt;=100*0.7,4,IF(M485&gt;=100*0.6,3.5,IF(M485&gt;=100*0.5,3,IF(M485&gt;=100*0.4,2,IF(M485&gt;=100*0.33,1,0))))))))</f>
        <v/>
      </c>
      <c r="AF485">
        <f>IF(B485="","",IF(N485&lt;16.5,0,IF(N485&gt;=50*0.8,5,IF(N485&gt;=50*0.7,4,IF(N485&gt;=50*0.6,3.5,IF(N485&gt;=50*0.5,3,IF(N485&gt;=50*0.4,2,IF(N485&gt;=50*0.33,1,0))))))))</f>
        <v/>
      </c>
      <c r="AG485">
        <f>IF(B485="","",IF(O485&lt;33.0,0,IF(O485&gt;=100*0.8,5,IF(O485&gt;=100*0.7,4,IF(O485&gt;=100*0.6,3.5,IF(O485&gt;=100*0.5,3,IF(O485&gt;=100*0.4,2,IF(O485&gt;=100*0.33,1,0))))))))</f>
        <v/>
      </c>
      <c r="AH485">
        <f>IF(B485="","",IF(OR(U485=0,V485=0,W485=0,X485=0,Y485=0,Z485=0,AA485=0,AB485=0,AC485=0,AD485=0,AE485=0,AF485=0,AG485=0),1,0))</f>
        <v/>
      </c>
    </row>
    <row r="486">
      <c r="A486" s="3">
        <f>IF(B486="","",ROW()-2)</f>
        <v/>
      </c>
      <c r="P486" s="4">
        <f>IF(B486="","",SUM(C486:O486))</f>
        <v/>
      </c>
      <c r="Q486" s="5">
        <f>IF(B486="","",ROUND(P486/13,2))</f>
        <v/>
      </c>
      <c r="R486" s="5">
        <f>IF(B486="","",IF(AH486=1,0,MIN(5,ROUND((U486+V486+W486+X486+Y486+Z486+AA486+AB486+AC486+AD486+AE486+AF486+AG486)/13,2))))</f>
        <v/>
      </c>
      <c r="S486" s="3">
        <f>IF(B486="","",IF(R486&gt;=5,"A+",IF(R486&gt;=4,"A",IF(R486&gt;=3.5,"A-",IF(R486&gt;=3,"B",IF(R486&gt;=2,"C",IF(R486&gt;=1,"D","F")))))))</f>
        <v/>
      </c>
      <c r="T486" s="3">
        <f>IF(OR(B486="",S486="F"),"",COUNTIFS(P:P,"&gt;"&amp;P486,S:S,"&lt;&gt;F")+1)</f>
        <v/>
      </c>
      <c r="U486">
        <f>IF(B486="","",IF(C486&lt;33.0,0,IF(C486&gt;=100*0.8,5,IF(C486&gt;=100*0.7,4,IF(C486&gt;=100*0.6,3.5,IF(C486&gt;=100*0.5,3,IF(C486&gt;=100*0.4,2,IF(C486&gt;=100*0.33,1,0))))))))</f>
        <v/>
      </c>
      <c r="V486">
        <f>IF(B486="","",IF(D486&lt;33.0,0,IF(D486&gt;=100*0.8,5,IF(D486&gt;=100*0.7,4,IF(D486&gt;=100*0.6,3.5,IF(D486&gt;=100*0.5,3,IF(D486&gt;=100*0.4,2,IF(D486&gt;=100*0.33,1,0))))))))</f>
        <v/>
      </c>
      <c r="W486">
        <f>IF(B486="","",IF(E486&lt;16.5,0,IF(E486&gt;=50*0.8,5,IF(E486&gt;=50*0.7,4,IF(E486&gt;=50*0.6,3.5,IF(E486&gt;=50*0.5,3,IF(E486&gt;=50*0.4,2,IF(E486&gt;=50*0.33,1,0))))))))</f>
        <v/>
      </c>
      <c r="X486">
        <f>IF(B486="","",IF(F486&lt;33.0,0,IF(F486&gt;=100*0.8,5,IF(F486&gt;=100*0.7,4,IF(F486&gt;=100*0.6,3.5,IF(F486&gt;=100*0.5,3,IF(F486&gt;=100*0.4,2,IF(F486&gt;=100*0.33,1,0))))))))</f>
        <v/>
      </c>
      <c r="Y486">
        <f>IF(B486="","",IF(G486&lt;16.5,0,IF(G486&gt;=50*0.8,5,IF(G486&gt;=50*0.7,4,IF(G486&gt;=50*0.6,3.5,IF(G486&gt;=50*0.5,3,IF(G486&gt;=50*0.4,2,IF(G486&gt;=50*0.33,1,0))))))))</f>
        <v/>
      </c>
      <c r="Z486">
        <f>IF(B486="","",IF(H486&lt;33.0,0,IF(H486&gt;=100*0.8,5,IF(H486&gt;=100*0.7,4,IF(H486&gt;=100*0.6,3.5,IF(H486&gt;=100*0.5,3,IF(H486&gt;=100*0.4,2,IF(H486&gt;=100*0.33,1,0))))))))</f>
        <v/>
      </c>
      <c r="AA486">
        <f>IF(B486="","",IF(I486&lt;33.0,0,IF(I486&gt;=100*0.8,5,IF(I486&gt;=100*0.7,4,IF(I486&gt;=100*0.6,3.5,IF(I486&gt;=100*0.5,3,IF(I486&gt;=100*0.4,2,IF(I486&gt;=100*0.33,1,0))))))))</f>
        <v/>
      </c>
      <c r="AB486">
        <f>IF(B486="","",IF(J486&lt;33.0,0,IF(J486&gt;=100*0.8,5,IF(J486&gt;=100*0.7,4,IF(J486&gt;=100*0.6,3.5,IF(J486&gt;=100*0.5,3,IF(J486&gt;=100*0.4,2,IF(J486&gt;=100*0.33,1,0))))))))</f>
        <v/>
      </c>
      <c r="AC486">
        <f>IF(B486="","",IF(K486&lt;33.0,0,IF(K486&gt;=100*0.8,5,IF(K486&gt;=100*0.7,4,IF(K486&gt;=100*0.6,3.5,IF(K486&gt;=100*0.5,3,IF(K486&gt;=100*0.4,2,IF(K486&gt;=100*0.33,1,0))))))))</f>
        <v/>
      </c>
      <c r="AD486">
        <f>IF(B486="","",IF(L486&lt;33.0,0,IF(L486&gt;=100*0.8,5,IF(L486&gt;=100*0.7,4,IF(L486&gt;=100*0.6,3.5,IF(L486&gt;=100*0.5,3,IF(L486&gt;=100*0.4,2,IF(L486&gt;=100*0.33,1,0))))))))</f>
        <v/>
      </c>
      <c r="AE486">
        <f>IF(B486="","",IF(M486&lt;33.0,0,IF(M486&gt;=100*0.8,5,IF(M486&gt;=100*0.7,4,IF(M486&gt;=100*0.6,3.5,IF(M486&gt;=100*0.5,3,IF(M486&gt;=100*0.4,2,IF(M486&gt;=100*0.33,1,0))))))))</f>
        <v/>
      </c>
      <c r="AF486">
        <f>IF(B486="","",IF(N486&lt;16.5,0,IF(N486&gt;=50*0.8,5,IF(N486&gt;=50*0.7,4,IF(N486&gt;=50*0.6,3.5,IF(N486&gt;=50*0.5,3,IF(N486&gt;=50*0.4,2,IF(N486&gt;=50*0.33,1,0))))))))</f>
        <v/>
      </c>
      <c r="AG486">
        <f>IF(B486="","",IF(O486&lt;33.0,0,IF(O486&gt;=100*0.8,5,IF(O486&gt;=100*0.7,4,IF(O486&gt;=100*0.6,3.5,IF(O486&gt;=100*0.5,3,IF(O486&gt;=100*0.4,2,IF(O486&gt;=100*0.33,1,0))))))))</f>
        <v/>
      </c>
      <c r="AH486">
        <f>IF(B486="","",IF(OR(U486=0,V486=0,W486=0,X486=0,Y486=0,Z486=0,AA486=0,AB486=0,AC486=0,AD486=0,AE486=0,AF486=0,AG486=0),1,0))</f>
        <v/>
      </c>
    </row>
    <row r="487">
      <c r="A487" s="3">
        <f>IF(B487="","",ROW()-2)</f>
        <v/>
      </c>
      <c r="P487" s="4">
        <f>IF(B487="","",SUM(C487:O487))</f>
        <v/>
      </c>
      <c r="Q487" s="5">
        <f>IF(B487="","",ROUND(P487/13,2))</f>
        <v/>
      </c>
      <c r="R487" s="5">
        <f>IF(B487="","",IF(AH487=1,0,MIN(5,ROUND((U487+V487+W487+X487+Y487+Z487+AA487+AB487+AC487+AD487+AE487+AF487+AG487)/13,2))))</f>
        <v/>
      </c>
      <c r="S487" s="3">
        <f>IF(B487="","",IF(R487&gt;=5,"A+",IF(R487&gt;=4,"A",IF(R487&gt;=3.5,"A-",IF(R487&gt;=3,"B",IF(R487&gt;=2,"C",IF(R487&gt;=1,"D","F")))))))</f>
        <v/>
      </c>
      <c r="T487" s="3">
        <f>IF(OR(B487="",S487="F"),"",COUNTIFS(P:P,"&gt;"&amp;P487,S:S,"&lt;&gt;F")+1)</f>
        <v/>
      </c>
      <c r="U487">
        <f>IF(B487="","",IF(C487&lt;33.0,0,IF(C487&gt;=100*0.8,5,IF(C487&gt;=100*0.7,4,IF(C487&gt;=100*0.6,3.5,IF(C487&gt;=100*0.5,3,IF(C487&gt;=100*0.4,2,IF(C487&gt;=100*0.33,1,0))))))))</f>
        <v/>
      </c>
      <c r="V487">
        <f>IF(B487="","",IF(D487&lt;33.0,0,IF(D487&gt;=100*0.8,5,IF(D487&gt;=100*0.7,4,IF(D487&gt;=100*0.6,3.5,IF(D487&gt;=100*0.5,3,IF(D487&gt;=100*0.4,2,IF(D487&gt;=100*0.33,1,0))))))))</f>
        <v/>
      </c>
      <c r="W487">
        <f>IF(B487="","",IF(E487&lt;16.5,0,IF(E487&gt;=50*0.8,5,IF(E487&gt;=50*0.7,4,IF(E487&gt;=50*0.6,3.5,IF(E487&gt;=50*0.5,3,IF(E487&gt;=50*0.4,2,IF(E487&gt;=50*0.33,1,0))))))))</f>
        <v/>
      </c>
      <c r="X487">
        <f>IF(B487="","",IF(F487&lt;33.0,0,IF(F487&gt;=100*0.8,5,IF(F487&gt;=100*0.7,4,IF(F487&gt;=100*0.6,3.5,IF(F487&gt;=100*0.5,3,IF(F487&gt;=100*0.4,2,IF(F487&gt;=100*0.33,1,0))))))))</f>
        <v/>
      </c>
      <c r="Y487">
        <f>IF(B487="","",IF(G487&lt;16.5,0,IF(G487&gt;=50*0.8,5,IF(G487&gt;=50*0.7,4,IF(G487&gt;=50*0.6,3.5,IF(G487&gt;=50*0.5,3,IF(G487&gt;=50*0.4,2,IF(G487&gt;=50*0.33,1,0))))))))</f>
        <v/>
      </c>
      <c r="Z487">
        <f>IF(B487="","",IF(H487&lt;33.0,0,IF(H487&gt;=100*0.8,5,IF(H487&gt;=100*0.7,4,IF(H487&gt;=100*0.6,3.5,IF(H487&gt;=100*0.5,3,IF(H487&gt;=100*0.4,2,IF(H487&gt;=100*0.33,1,0))))))))</f>
        <v/>
      </c>
      <c r="AA487">
        <f>IF(B487="","",IF(I487&lt;33.0,0,IF(I487&gt;=100*0.8,5,IF(I487&gt;=100*0.7,4,IF(I487&gt;=100*0.6,3.5,IF(I487&gt;=100*0.5,3,IF(I487&gt;=100*0.4,2,IF(I487&gt;=100*0.33,1,0))))))))</f>
        <v/>
      </c>
      <c r="AB487">
        <f>IF(B487="","",IF(J487&lt;33.0,0,IF(J487&gt;=100*0.8,5,IF(J487&gt;=100*0.7,4,IF(J487&gt;=100*0.6,3.5,IF(J487&gt;=100*0.5,3,IF(J487&gt;=100*0.4,2,IF(J487&gt;=100*0.33,1,0))))))))</f>
        <v/>
      </c>
      <c r="AC487">
        <f>IF(B487="","",IF(K487&lt;33.0,0,IF(K487&gt;=100*0.8,5,IF(K487&gt;=100*0.7,4,IF(K487&gt;=100*0.6,3.5,IF(K487&gt;=100*0.5,3,IF(K487&gt;=100*0.4,2,IF(K487&gt;=100*0.33,1,0))))))))</f>
        <v/>
      </c>
      <c r="AD487">
        <f>IF(B487="","",IF(L487&lt;33.0,0,IF(L487&gt;=100*0.8,5,IF(L487&gt;=100*0.7,4,IF(L487&gt;=100*0.6,3.5,IF(L487&gt;=100*0.5,3,IF(L487&gt;=100*0.4,2,IF(L487&gt;=100*0.33,1,0))))))))</f>
        <v/>
      </c>
      <c r="AE487">
        <f>IF(B487="","",IF(M487&lt;33.0,0,IF(M487&gt;=100*0.8,5,IF(M487&gt;=100*0.7,4,IF(M487&gt;=100*0.6,3.5,IF(M487&gt;=100*0.5,3,IF(M487&gt;=100*0.4,2,IF(M487&gt;=100*0.33,1,0))))))))</f>
        <v/>
      </c>
      <c r="AF487">
        <f>IF(B487="","",IF(N487&lt;16.5,0,IF(N487&gt;=50*0.8,5,IF(N487&gt;=50*0.7,4,IF(N487&gt;=50*0.6,3.5,IF(N487&gt;=50*0.5,3,IF(N487&gt;=50*0.4,2,IF(N487&gt;=50*0.33,1,0))))))))</f>
        <v/>
      </c>
      <c r="AG487">
        <f>IF(B487="","",IF(O487&lt;33.0,0,IF(O487&gt;=100*0.8,5,IF(O487&gt;=100*0.7,4,IF(O487&gt;=100*0.6,3.5,IF(O487&gt;=100*0.5,3,IF(O487&gt;=100*0.4,2,IF(O487&gt;=100*0.33,1,0))))))))</f>
        <v/>
      </c>
      <c r="AH487">
        <f>IF(B487="","",IF(OR(U487=0,V487=0,W487=0,X487=0,Y487=0,Z487=0,AA487=0,AB487=0,AC487=0,AD487=0,AE487=0,AF487=0,AG487=0),1,0))</f>
        <v/>
      </c>
    </row>
    <row r="488">
      <c r="A488" s="3">
        <f>IF(B488="","",ROW()-2)</f>
        <v/>
      </c>
      <c r="P488" s="4">
        <f>IF(B488="","",SUM(C488:O488))</f>
        <v/>
      </c>
      <c r="Q488" s="5">
        <f>IF(B488="","",ROUND(P488/13,2))</f>
        <v/>
      </c>
      <c r="R488" s="5">
        <f>IF(B488="","",IF(AH488=1,0,MIN(5,ROUND((U488+V488+W488+X488+Y488+Z488+AA488+AB488+AC488+AD488+AE488+AF488+AG488)/13,2))))</f>
        <v/>
      </c>
      <c r="S488" s="3">
        <f>IF(B488="","",IF(R488&gt;=5,"A+",IF(R488&gt;=4,"A",IF(R488&gt;=3.5,"A-",IF(R488&gt;=3,"B",IF(R488&gt;=2,"C",IF(R488&gt;=1,"D","F")))))))</f>
        <v/>
      </c>
      <c r="T488" s="3">
        <f>IF(OR(B488="",S488="F"),"",COUNTIFS(P:P,"&gt;"&amp;P488,S:S,"&lt;&gt;F")+1)</f>
        <v/>
      </c>
      <c r="U488">
        <f>IF(B488="","",IF(C488&lt;33.0,0,IF(C488&gt;=100*0.8,5,IF(C488&gt;=100*0.7,4,IF(C488&gt;=100*0.6,3.5,IF(C488&gt;=100*0.5,3,IF(C488&gt;=100*0.4,2,IF(C488&gt;=100*0.33,1,0))))))))</f>
        <v/>
      </c>
      <c r="V488">
        <f>IF(B488="","",IF(D488&lt;33.0,0,IF(D488&gt;=100*0.8,5,IF(D488&gt;=100*0.7,4,IF(D488&gt;=100*0.6,3.5,IF(D488&gt;=100*0.5,3,IF(D488&gt;=100*0.4,2,IF(D488&gt;=100*0.33,1,0))))))))</f>
        <v/>
      </c>
      <c r="W488">
        <f>IF(B488="","",IF(E488&lt;16.5,0,IF(E488&gt;=50*0.8,5,IF(E488&gt;=50*0.7,4,IF(E488&gt;=50*0.6,3.5,IF(E488&gt;=50*0.5,3,IF(E488&gt;=50*0.4,2,IF(E488&gt;=50*0.33,1,0))))))))</f>
        <v/>
      </c>
      <c r="X488">
        <f>IF(B488="","",IF(F488&lt;33.0,0,IF(F488&gt;=100*0.8,5,IF(F488&gt;=100*0.7,4,IF(F488&gt;=100*0.6,3.5,IF(F488&gt;=100*0.5,3,IF(F488&gt;=100*0.4,2,IF(F488&gt;=100*0.33,1,0))))))))</f>
        <v/>
      </c>
      <c r="Y488">
        <f>IF(B488="","",IF(G488&lt;16.5,0,IF(G488&gt;=50*0.8,5,IF(G488&gt;=50*0.7,4,IF(G488&gt;=50*0.6,3.5,IF(G488&gt;=50*0.5,3,IF(G488&gt;=50*0.4,2,IF(G488&gt;=50*0.33,1,0))))))))</f>
        <v/>
      </c>
      <c r="Z488">
        <f>IF(B488="","",IF(H488&lt;33.0,0,IF(H488&gt;=100*0.8,5,IF(H488&gt;=100*0.7,4,IF(H488&gt;=100*0.6,3.5,IF(H488&gt;=100*0.5,3,IF(H488&gt;=100*0.4,2,IF(H488&gt;=100*0.33,1,0))))))))</f>
        <v/>
      </c>
      <c r="AA488">
        <f>IF(B488="","",IF(I488&lt;33.0,0,IF(I488&gt;=100*0.8,5,IF(I488&gt;=100*0.7,4,IF(I488&gt;=100*0.6,3.5,IF(I488&gt;=100*0.5,3,IF(I488&gt;=100*0.4,2,IF(I488&gt;=100*0.33,1,0))))))))</f>
        <v/>
      </c>
      <c r="AB488">
        <f>IF(B488="","",IF(J488&lt;33.0,0,IF(J488&gt;=100*0.8,5,IF(J488&gt;=100*0.7,4,IF(J488&gt;=100*0.6,3.5,IF(J488&gt;=100*0.5,3,IF(J488&gt;=100*0.4,2,IF(J488&gt;=100*0.33,1,0))))))))</f>
        <v/>
      </c>
      <c r="AC488">
        <f>IF(B488="","",IF(K488&lt;33.0,0,IF(K488&gt;=100*0.8,5,IF(K488&gt;=100*0.7,4,IF(K488&gt;=100*0.6,3.5,IF(K488&gt;=100*0.5,3,IF(K488&gt;=100*0.4,2,IF(K488&gt;=100*0.33,1,0))))))))</f>
        <v/>
      </c>
      <c r="AD488">
        <f>IF(B488="","",IF(L488&lt;33.0,0,IF(L488&gt;=100*0.8,5,IF(L488&gt;=100*0.7,4,IF(L488&gt;=100*0.6,3.5,IF(L488&gt;=100*0.5,3,IF(L488&gt;=100*0.4,2,IF(L488&gt;=100*0.33,1,0))))))))</f>
        <v/>
      </c>
      <c r="AE488">
        <f>IF(B488="","",IF(M488&lt;33.0,0,IF(M488&gt;=100*0.8,5,IF(M488&gt;=100*0.7,4,IF(M488&gt;=100*0.6,3.5,IF(M488&gt;=100*0.5,3,IF(M488&gt;=100*0.4,2,IF(M488&gt;=100*0.33,1,0))))))))</f>
        <v/>
      </c>
      <c r="AF488">
        <f>IF(B488="","",IF(N488&lt;16.5,0,IF(N488&gt;=50*0.8,5,IF(N488&gt;=50*0.7,4,IF(N488&gt;=50*0.6,3.5,IF(N488&gt;=50*0.5,3,IF(N488&gt;=50*0.4,2,IF(N488&gt;=50*0.33,1,0))))))))</f>
        <v/>
      </c>
      <c r="AG488">
        <f>IF(B488="","",IF(O488&lt;33.0,0,IF(O488&gt;=100*0.8,5,IF(O488&gt;=100*0.7,4,IF(O488&gt;=100*0.6,3.5,IF(O488&gt;=100*0.5,3,IF(O488&gt;=100*0.4,2,IF(O488&gt;=100*0.33,1,0))))))))</f>
        <v/>
      </c>
      <c r="AH488">
        <f>IF(B488="","",IF(OR(U488=0,V488=0,W488=0,X488=0,Y488=0,Z488=0,AA488=0,AB488=0,AC488=0,AD488=0,AE488=0,AF488=0,AG488=0),1,0))</f>
        <v/>
      </c>
    </row>
    <row r="489">
      <c r="A489" s="3">
        <f>IF(B489="","",ROW()-2)</f>
        <v/>
      </c>
      <c r="P489" s="4">
        <f>IF(B489="","",SUM(C489:O489))</f>
        <v/>
      </c>
      <c r="Q489" s="5">
        <f>IF(B489="","",ROUND(P489/13,2))</f>
        <v/>
      </c>
      <c r="R489" s="5">
        <f>IF(B489="","",IF(AH489=1,0,MIN(5,ROUND((U489+V489+W489+X489+Y489+Z489+AA489+AB489+AC489+AD489+AE489+AF489+AG489)/13,2))))</f>
        <v/>
      </c>
      <c r="S489" s="3">
        <f>IF(B489="","",IF(R489&gt;=5,"A+",IF(R489&gt;=4,"A",IF(R489&gt;=3.5,"A-",IF(R489&gt;=3,"B",IF(R489&gt;=2,"C",IF(R489&gt;=1,"D","F")))))))</f>
        <v/>
      </c>
      <c r="T489" s="3">
        <f>IF(OR(B489="",S489="F"),"",COUNTIFS(P:P,"&gt;"&amp;P489,S:S,"&lt;&gt;F")+1)</f>
        <v/>
      </c>
      <c r="U489">
        <f>IF(B489="","",IF(C489&lt;33.0,0,IF(C489&gt;=100*0.8,5,IF(C489&gt;=100*0.7,4,IF(C489&gt;=100*0.6,3.5,IF(C489&gt;=100*0.5,3,IF(C489&gt;=100*0.4,2,IF(C489&gt;=100*0.33,1,0))))))))</f>
        <v/>
      </c>
      <c r="V489">
        <f>IF(B489="","",IF(D489&lt;33.0,0,IF(D489&gt;=100*0.8,5,IF(D489&gt;=100*0.7,4,IF(D489&gt;=100*0.6,3.5,IF(D489&gt;=100*0.5,3,IF(D489&gt;=100*0.4,2,IF(D489&gt;=100*0.33,1,0))))))))</f>
        <v/>
      </c>
      <c r="W489">
        <f>IF(B489="","",IF(E489&lt;16.5,0,IF(E489&gt;=50*0.8,5,IF(E489&gt;=50*0.7,4,IF(E489&gt;=50*0.6,3.5,IF(E489&gt;=50*0.5,3,IF(E489&gt;=50*0.4,2,IF(E489&gt;=50*0.33,1,0))))))))</f>
        <v/>
      </c>
      <c r="X489">
        <f>IF(B489="","",IF(F489&lt;33.0,0,IF(F489&gt;=100*0.8,5,IF(F489&gt;=100*0.7,4,IF(F489&gt;=100*0.6,3.5,IF(F489&gt;=100*0.5,3,IF(F489&gt;=100*0.4,2,IF(F489&gt;=100*0.33,1,0))))))))</f>
        <v/>
      </c>
      <c r="Y489">
        <f>IF(B489="","",IF(G489&lt;16.5,0,IF(G489&gt;=50*0.8,5,IF(G489&gt;=50*0.7,4,IF(G489&gt;=50*0.6,3.5,IF(G489&gt;=50*0.5,3,IF(G489&gt;=50*0.4,2,IF(G489&gt;=50*0.33,1,0))))))))</f>
        <v/>
      </c>
      <c r="Z489">
        <f>IF(B489="","",IF(H489&lt;33.0,0,IF(H489&gt;=100*0.8,5,IF(H489&gt;=100*0.7,4,IF(H489&gt;=100*0.6,3.5,IF(H489&gt;=100*0.5,3,IF(H489&gt;=100*0.4,2,IF(H489&gt;=100*0.33,1,0))))))))</f>
        <v/>
      </c>
      <c r="AA489">
        <f>IF(B489="","",IF(I489&lt;33.0,0,IF(I489&gt;=100*0.8,5,IF(I489&gt;=100*0.7,4,IF(I489&gt;=100*0.6,3.5,IF(I489&gt;=100*0.5,3,IF(I489&gt;=100*0.4,2,IF(I489&gt;=100*0.33,1,0))))))))</f>
        <v/>
      </c>
      <c r="AB489">
        <f>IF(B489="","",IF(J489&lt;33.0,0,IF(J489&gt;=100*0.8,5,IF(J489&gt;=100*0.7,4,IF(J489&gt;=100*0.6,3.5,IF(J489&gt;=100*0.5,3,IF(J489&gt;=100*0.4,2,IF(J489&gt;=100*0.33,1,0))))))))</f>
        <v/>
      </c>
      <c r="AC489">
        <f>IF(B489="","",IF(K489&lt;33.0,0,IF(K489&gt;=100*0.8,5,IF(K489&gt;=100*0.7,4,IF(K489&gt;=100*0.6,3.5,IF(K489&gt;=100*0.5,3,IF(K489&gt;=100*0.4,2,IF(K489&gt;=100*0.33,1,0))))))))</f>
        <v/>
      </c>
      <c r="AD489">
        <f>IF(B489="","",IF(L489&lt;33.0,0,IF(L489&gt;=100*0.8,5,IF(L489&gt;=100*0.7,4,IF(L489&gt;=100*0.6,3.5,IF(L489&gt;=100*0.5,3,IF(L489&gt;=100*0.4,2,IF(L489&gt;=100*0.33,1,0))))))))</f>
        <v/>
      </c>
      <c r="AE489">
        <f>IF(B489="","",IF(M489&lt;33.0,0,IF(M489&gt;=100*0.8,5,IF(M489&gt;=100*0.7,4,IF(M489&gt;=100*0.6,3.5,IF(M489&gt;=100*0.5,3,IF(M489&gt;=100*0.4,2,IF(M489&gt;=100*0.33,1,0))))))))</f>
        <v/>
      </c>
      <c r="AF489">
        <f>IF(B489="","",IF(N489&lt;16.5,0,IF(N489&gt;=50*0.8,5,IF(N489&gt;=50*0.7,4,IF(N489&gt;=50*0.6,3.5,IF(N489&gt;=50*0.5,3,IF(N489&gt;=50*0.4,2,IF(N489&gt;=50*0.33,1,0))))))))</f>
        <v/>
      </c>
      <c r="AG489">
        <f>IF(B489="","",IF(O489&lt;33.0,0,IF(O489&gt;=100*0.8,5,IF(O489&gt;=100*0.7,4,IF(O489&gt;=100*0.6,3.5,IF(O489&gt;=100*0.5,3,IF(O489&gt;=100*0.4,2,IF(O489&gt;=100*0.33,1,0))))))))</f>
        <v/>
      </c>
      <c r="AH489">
        <f>IF(B489="","",IF(OR(U489=0,V489=0,W489=0,X489=0,Y489=0,Z489=0,AA489=0,AB489=0,AC489=0,AD489=0,AE489=0,AF489=0,AG489=0),1,0))</f>
        <v/>
      </c>
    </row>
    <row r="490">
      <c r="A490" s="3">
        <f>IF(B490="","",ROW()-2)</f>
        <v/>
      </c>
      <c r="P490" s="4">
        <f>IF(B490="","",SUM(C490:O490))</f>
        <v/>
      </c>
      <c r="Q490" s="5">
        <f>IF(B490="","",ROUND(P490/13,2))</f>
        <v/>
      </c>
      <c r="R490" s="5">
        <f>IF(B490="","",IF(AH490=1,0,MIN(5,ROUND((U490+V490+W490+X490+Y490+Z490+AA490+AB490+AC490+AD490+AE490+AF490+AG490)/13,2))))</f>
        <v/>
      </c>
      <c r="S490" s="3">
        <f>IF(B490="","",IF(R490&gt;=5,"A+",IF(R490&gt;=4,"A",IF(R490&gt;=3.5,"A-",IF(R490&gt;=3,"B",IF(R490&gt;=2,"C",IF(R490&gt;=1,"D","F")))))))</f>
        <v/>
      </c>
      <c r="T490" s="3">
        <f>IF(OR(B490="",S490="F"),"",COUNTIFS(P:P,"&gt;"&amp;P490,S:S,"&lt;&gt;F")+1)</f>
        <v/>
      </c>
      <c r="U490">
        <f>IF(B490="","",IF(C490&lt;33.0,0,IF(C490&gt;=100*0.8,5,IF(C490&gt;=100*0.7,4,IF(C490&gt;=100*0.6,3.5,IF(C490&gt;=100*0.5,3,IF(C490&gt;=100*0.4,2,IF(C490&gt;=100*0.33,1,0))))))))</f>
        <v/>
      </c>
      <c r="V490">
        <f>IF(B490="","",IF(D490&lt;33.0,0,IF(D490&gt;=100*0.8,5,IF(D490&gt;=100*0.7,4,IF(D490&gt;=100*0.6,3.5,IF(D490&gt;=100*0.5,3,IF(D490&gt;=100*0.4,2,IF(D490&gt;=100*0.33,1,0))))))))</f>
        <v/>
      </c>
      <c r="W490">
        <f>IF(B490="","",IF(E490&lt;16.5,0,IF(E490&gt;=50*0.8,5,IF(E490&gt;=50*0.7,4,IF(E490&gt;=50*0.6,3.5,IF(E490&gt;=50*0.5,3,IF(E490&gt;=50*0.4,2,IF(E490&gt;=50*0.33,1,0))))))))</f>
        <v/>
      </c>
      <c r="X490">
        <f>IF(B490="","",IF(F490&lt;33.0,0,IF(F490&gt;=100*0.8,5,IF(F490&gt;=100*0.7,4,IF(F490&gt;=100*0.6,3.5,IF(F490&gt;=100*0.5,3,IF(F490&gt;=100*0.4,2,IF(F490&gt;=100*0.33,1,0))))))))</f>
        <v/>
      </c>
      <c r="Y490">
        <f>IF(B490="","",IF(G490&lt;16.5,0,IF(G490&gt;=50*0.8,5,IF(G490&gt;=50*0.7,4,IF(G490&gt;=50*0.6,3.5,IF(G490&gt;=50*0.5,3,IF(G490&gt;=50*0.4,2,IF(G490&gt;=50*0.33,1,0))))))))</f>
        <v/>
      </c>
      <c r="Z490">
        <f>IF(B490="","",IF(H490&lt;33.0,0,IF(H490&gt;=100*0.8,5,IF(H490&gt;=100*0.7,4,IF(H490&gt;=100*0.6,3.5,IF(H490&gt;=100*0.5,3,IF(H490&gt;=100*0.4,2,IF(H490&gt;=100*0.33,1,0))))))))</f>
        <v/>
      </c>
      <c r="AA490">
        <f>IF(B490="","",IF(I490&lt;33.0,0,IF(I490&gt;=100*0.8,5,IF(I490&gt;=100*0.7,4,IF(I490&gt;=100*0.6,3.5,IF(I490&gt;=100*0.5,3,IF(I490&gt;=100*0.4,2,IF(I490&gt;=100*0.33,1,0))))))))</f>
        <v/>
      </c>
      <c r="AB490">
        <f>IF(B490="","",IF(J490&lt;33.0,0,IF(J490&gt;=100*0.8,5,IF(J490&gt;=100*0.7,4,IF(J490&gt;=100*0.6,3.5,IF(J490&gt;=100*0.5,3,IF(J490&gt;=100*0.4,2,IF(J490&gt;=100*0.33,1,0))))))))</f>
        <v/>
      </c>
      <c r="AC490">
        <f>IF(B490="","",IF(K490&lt;33.0,0,IF(K490&gt;=100*0.8,5,IF(K490&gt;=100*0.7,4,IF(K490&gt;=100*0.6,3.5,IF(K490&gt;=100*0.5,3,IF(K490&gt;=100*0.4,2,IF(K490&gt;=100*0.33,1,0))))))))</f>
        <v/>
      </c>
      <c r="AD490">
        <f>IF(B490="","",IF(L490&lt;33.0,0,IF(L490&gt;=100*0.8,5,IF(L490&gt;=100*0.7,4,IF(L490&gt;=100*0.6,3.5,IF(L490&gt;=100*0.5,3,IF(L490&gt;=100*0.4,2,IF(L490&gt;=100*0.33,1,0))))))))</f>
        <v/>
      </c>
      <c r="AE490">
        <f>IF(B490="","",IF(M490&lt;33.0,0,IF(M490&gt;=100*0.8,5,IF(M490&gt;=100*0.7,4,IF(M490&gt;=100*0.6,3.5,IF(M490&gt;=100*0.5,3,IF(M490&gt;=100*0.4,2,IF(M490&gt;=100*0.33,1,0))))))))</f>
        <v/>
      </c>
      <c r="AF490">
        <f>IF(B490="","",IF(N490&lt;16.5,0,IF(N490&gt;=50*0.8,5,IF(N490&gt;=50*0.7,4,IF(N490&gt;=50*0.6,3.5,IF(N490&gt;=50*0.5,3,IF(N490&gt;=50*0.4,2,IF(N490&gt;=50*0.33,1,0))))))))</f>
        <v/>
      </c>
      <c r="AG490">
        <f>IF(B490="","",IF(O490&lt;33.0,0,IF(O490&gt;=100*0.8,5,IF(O490&gt;=100*0.7,4,IF(O490&gt;=100*0.6,3.5,IF(O490&gt;=100*0.5,3,IF(O490&gt;=100*0.4,2,IF(O490&gt;=100*0.33,1,0))))))))</f>
        <v/>
      </c>
      <c r="AH490">
        <f>IF(B490="","",IF(OR(U490=0,V490=0,W490=0,X490=0,Y490=0,Z490=0,AA490=0,AB490=0,AC490=0,AD490=0,AE490=0,AF490=0,AG490=0),1,0))</f>
        <v/>
      </c>
    </row>
    <row r="491">
      <c r="A491" s="3">
        <f>IF(B491="","",ROW()-2)</f>
        <v/>
      </c>
      <c r="P491" s="4">
        <f>IF(B491="","",SUM(C491:O491))</f>
        <v/>
      </c>
      <c r="Q491" s="5">
        <f>IF(B491="","",ROUND(P491/13,2))</f>
        <v/>
      </c>
      <c r="R491" s="5">
        <f>IF(B491="","",IF(AH491=1,0,MIN(5,ROUND((U491+V491+W491+X491+Y491+Z491+AA491+AB491+AC491+AD491+AE491+AF491+AG491)/13,2))))</f>
        <v/>
      </c>
      <c r="S491" s="3">
        <f>IF(B491="","",IF(R491&gt;=5,"A+",IF(R491&gt;=4,"A",IF(R491&gt;=3.5,"A-",IF(R491&gt;=3,"B",IF(R491&gt;=2,"C",IF(R491&gt;=1,"D","F")))))))</f>
        <v/>
      </c>
      <c r="T491" s="3">
        <f>IF(OR(B491="",S491="F"),"",COUNTIFS(P:P,"&gt;"&amp;P491,S:S,"&lt;&gt;F")+1)</f>
        <v/>
      </c>
      <c r="U491">
        <f>IF(B491="","",IF(C491&lt;33.0,0,IF(C491&gt;=100*0.8,5,IF(C491&gt;=100*0.7,4,IF(C491&gt;=100*0.6,3.5,IF(C491&gt;=100*0.5,3,IF(C491&gt;=100*0.4,2,IF(C491&gt;=100*0.33,1,0))))))))</f>
        <v/>
      </c>
      <c r="V491">
        <f>IF(B491="","",IF(D491&lt;33.0,0,IF(D491&gt;=100*0.8,5,IF(D491&gt;=100*0.7,4,IF(D491&gt;=100*0.6,3.5,IF(D491&gt;=100*0.5,3,IF(D491&gt;=100*0.4,2,IF(D491&gt;=100*0.33,1,0))))))))</f>
        <v/>
      </c>
      <c r="W491">
        <f>IF(B491="","",IF(E491&lt;16.5,0,IF(E491&gt;=50*0.8,5,IF(E491&gt;=50*0.7,4,IF(E491&gt;=50*0.6,3.5,IF(E491&gt;=50*0.5,3,IF(E491&gt;=50*0.4,2,IF(E491&gt;=50*0.33,1,0))))))))</f>
        <v/>
      </c>
      <c r="X491">
        <f>IF(B491="","",IF(F491&lt;33.0,0,IF(F491&gt;=100*0.8,5,IF(F491&gt;=100*0.7,4,IF(F491&gt;=100*0.6,3.5,IF(F491&gt;=100*0.5,3,IF(F491&gt;=100*0.4,2,IF(F491&gt;=100*0.33,1,0))))))))</f>
        <v/>
      </c>
      <c r="Y491">
        <f>IF(B491="","",IF(G491&lt;16.5,0,IF(G491&gt;=50*0.8,5,IF(G491&gt;=50*0.7,4,IF(G491&gt;=50*0.6,3.5,IF(G491&gt;=50*0.5,3,IF(G491&gt;=50*0.4,2,IF(G491&gt;=50*0.33,1,0))))))))</f>
        <v/>
      </c>
      <c r="Z491">
        <f>IF(B491="","",IF(H491&lt;33.0,0,IF(H491&gt;=100*0.8,5,IF(H491&gt;=100*0.7,4,IF(H491&gt;=100*0.6,3.5,IF(H491&gt;=100*0.5,3,IF(H491&gt;=100*0.4,2,IF(H491&gt;=100*0.33,1,0))))))))</f>
        <v/>
      </c>
      <c r="AA491">
        <f>IF(B491="","",IF(I491&lt;33.0,0,IF(I491&gt;=100*0.8,5,IF(I491&gt;=100*0.7,4,IF(I491&gt;=100*0.6,3.5,IF(I491&gt;=100*0.5,3,IF(I491&gt;=100*0.4,2,IF(I491&gt;=100*0.33,1,0))))))))</f>
        <v/>
      </c>
      <c r="AB491">
        <f>IF(B491="","",IF(J491&lt;33.0,0,IF(J491&gt;=100*0.8,5,IF(J491&gt;=100*0.7,4,IF(J491&gt;=100*0.6,3.5,IF(J491&gt;=100*0.5,3,IF(J491&gt;=100*0.4,2,IF(J491&gt;=100*0.33,1,0))))))))</f>
        <v/>
      </c>
      <c r="AC491">
        <f>IF(B491="","",IF(K491&lt;33.0,0,IF(K491&gt;=100*0.8,5,IF(K491&gt;=100*0.7,4,IF(K491&gt;=100*0.6,3.5,IF(K491&gt;=100*0.5,3,IF(K491&gt;=100*0.4,2,IF(K491&gt;=100*0.33,1,0))))))))</f>
        <v/>
      </c>
      <c r="AD491">
        <f>IF(B491="","",IF(L491&lt;33.0,0,IF(L491&gt;=100*0.8,5,IF(L491&gt;=100*0.7,4,IF(L491&gt;=100*0.6,3.5,IF(L491&gt;=100*0.5,3,IF(L491&gt;=100*0.4,2,IF(L491&gt;=100*0.33,1,0))))))))</f>
        <v/>
      </c>
      <c r="AE491">
        <f>IF(B491="","",IF(M491&lt;33.0,0,IF(M491&gt;=100*0.8,5,IF(M491&gt;=100*0.7,4,IF(M491&gt;=100*0.6,3.5,IF(M491&gt;=100*0.5,3,IF(M491&gt;=100*0.4,2,IF(M491&gt;=100*0.33,1,0))))))))</f>
        <v/>
      </c>
      <c r="AF491">
        <f>IF(B491="","",IF(N491&lt;16.5,0,IF(N491&gt;=50*0.8,5,IF(N491&gt;=50*0.7,4,IF(N491&gt;=50*0.6,3.5,IF(N491&gt;=50*0.5,3,IF(N491&gt;=50*0.4,2,IF(N491&gt;=50*0.33,1,0))))))))</f>
        <v/>
      </c>
      <c r="AG491">
        <f>IF(B491="","",IF(O491&lt;33.0,0,IF(O491&gt;=100*0.8,5,IF(O491&gt;=100*0.7,4,IF(O491&gt;=100*0.6,3.5,IF(O491&gt;=100*0.5,3,IF(O491&gt;=100*0.4,2,IF(O491&gt;=100*0.33,1,0))))))))</f>
        <v/>
      </c>
      <c r="AH491">
        <f>IF(B491="","",IF(OR(U491=0,V491=0,W491=0,X491=0,Y491=0,Z491=0,AA491=0,AB491=0,AC491=0,AD491=0,AE491=0,AF491=0,AG491=0),1,0))</f>
        <v/>
      </c>
    </row>
    <row r="492">
      <c r="A492" s="3">
        <f>IF(B492="","",ROW()-2)</f>
        <v/>
      </c>
      <c r="P492" s="4">
        <f>IF(B492="","",SUM(C492:O492))</f>
        <v/>
      </c>
      <c r="Q492" s="5">
        <f>IF(B492="","",ROUND(P492/13,2))</f>
        <v/>
      </c>
      <c r="R492" s="5">
        <f>IF(B492="","",IF(AH492=1,0,MIN(5,ROUND((U492+V492+W492+X492+Y492+Z492+AA492+AB492+AC492+AD492+AE492+AF492+AG492)/13,2))))</f>
        <v/>
      </c>
      <c r="S492" s="3">
        <f>IF(B492="","",IF(R492&gt;=5,"A+",IF(R492&gt;=4,"A",IF(R492&gt;=3.5,"A-",IF(R492&gt;=3,"B",IF(R492&gt;=2,"C",IF(R492&gt;=1,"D","F")))))))</f>
        <v/>
      </c>
      <c r="T492" s="3">
        <f>IF(OR(B492="",S492="F"),"",COUNTIFS(P:P,"&gt;"&amp;P492,S:S,"&lt;&gt;F")+1)</f>
        <v/>
      </c>
      <c r="U492">
        <f>IF(B492="","",IF(C492&lt;33.0,0,IF(C492&gt;=100*0.8,5,IF(C492&gt;=100*0.7,4,IF(C492&gt;=100*0.6,3.5,IF(C492&gt;=100*0.5,3,IF(C492&gt;=100*0.4,2,IF(C492&gt;=100*0.33,1,0))))))))</f>
        <v/>
      </c>
      <c r="V492">
        <f>IF(B492="","",IF(D492&lt;33.0,0,IF(D492&gt;=100*0.8,5,IF(D492&gt;=100*0.7,4,IF(D492&gt;=100*0.6,3.5,IF(D492&gt;=100*0.5,3,IF(D492&gt;=100*0.4,2,IF(D492&gt;=100*0.33,1,0))))))))</f>
        <v/>
      </c>
      <c r="W492">
        <f>IF(B492="","",IF(E492&lt;16.5,0,IF(E492&gt;=50*0.8,5,IF(E492&gt;=50*0.7,4,IF(E492&gt;=50*0.6,3.5,IF(E492&gt;=50*0.5,3,IF(E492&gt;=50*0.4,2,IF(E492&gt;=50*0.33,1,0))))))))</f>
        <v/>
      </c>
      <c r="X492">
        <f>IF(B492="","",IF(F492&lt;33.0,0,IF(F492&gt;=100*0.8,5,IF(F492&gt;=100*0.7,4,IF(F492&gt;=100*0.6,3.5,IF(F492&gt;=100*0.5,3,IF(F492&gt;=100*0.4,2,IF(F492&gt;=100*0.33,1,0))))))))</f>
        <v/>
      </c>
      <c r="Y492">
        <f>IF(B492="","",IF(G492&lt;16.5,0,IF(G492&gt;=50*0.8,5,IF(G492&gt;=50*0.7,4,IF(G492&gt;=50*0.6,3.5,IF(G492&gt;=50*0.5,3,IF(G492&gt;=50*0.4,2,IF(G492&gt;=50*0.33,1,0))))))))</f>
        <v/>
      </c>
      <c r="Z492">
        <f>IF(B492="","",IF(H492&lt;33.0,0,IF(H492&gt;=100*0.8,5,IF(H492&gt;=100*0.7,4,IF(H492&gt;=100*0.6,3.5,IF(H492&gt;=100*0.5,3,IF(H492&gt;=100*0.4,2,IF(H492&gt;=100*0.33,1,0))))))))</f>
        <v/>
      </c>
      <c r="AA492">
        <f>IF(B492="","",IF(I492&lt;33.0,0,IF(I492&gt;=100*0.8,5,IF(I492&gt;=100*0.7,4,IF(I492&gt;=100*0.6,3.5,IF(I492&gt;=100*0.5,3,IF(I492&gt;=100*0.4,2,IF(I492&gt;=100*0.33,1,0))))))))</f>
        <v/>
      </c>
      <c r="AB492">
        <f>IF(B492="","",IF(J492&lt;33.0,0,IF(J492&gt;=100*0.8,5,IF(J492&gt;=100*0.7,4,IF(J492&gt;=100*0.6,3.5,IF(J492&gt;=100*0.5,3,IF(J492&gt;=100*0.4,2,IF(J492&gt;=100*0.33,1,0))))))))</f>
        <v/>
      </c>
      <c r="AC492">
        <f>IF(B492="","",IF(K492&lt;33.0,0,IF(K492&gt;=100*0.8,5,IF(K492&gt;=100*0.7,4,IF(K492&gt;=100*0.6,3.5,IF(K492&gt;=100*0.5,3,IF(K492&gt;=100*0.4,2,IF(K492&gt;=100*0.33,1,0))))))))</f>
        <v/>
      </c>
      <c r="AD492">
        <f>IF(B492="","",IF(L492&lt;33.0,0,IF(L492&gt;=100*0.8,5,IF(L492&gt;=100*0.7,4,IF(L492&gt;=100*0.6,3.5,IF(L492&gt;=100*0.5,3,IF(L492&gt;=100*0.4,2,IF(L492&gt;=100*0.33,1,0))))))))</f>
        <v/>
      </c>
      <c r="AE492">
        <f>IF(B492="","",IF(M492&lt;33.0,0,IF(M492&gt;=100*0.8,5,IF(M492&gt;=100*0.7,4,IF(M492&gt;=100*0.6,3.5,IF(M492&gt;=100*0.5,3,IF(M492&gt;=100*0.4,2,IF(M492&gt;=100*0.33,1,0))))))))</f>
        <v/>
      </c>
      <c r="AF492">
        <f>IF(B492="","",IF(N492&lt;16.5,0,IF(N492&gt;=50*0.8,5,IF(N492&gt;=50*0.7,4,IF(N492&gt;=50*0.6,3.5,IF(N492&gt;=50*0.5,3,IF(N492&gt;=50*0.4,2,IF(N492&gt;=50*0.33,1,0))))))))</f>
        <v/>
      </c>
      <c r="AG492">
        <f>IF(B492="","",IF(O492&lt;33.0,0,IF(O492&gt;=100*0.8,5,IF(O492&gt;=100*0.7,4,IF(O492&gt;=100*0.6,3.5,IF(O492&gt;=100*0.5,3,IF(O492&gt;=100*0.4,2,IF(O492&gt;=100*0.33,1,0))))))))</f>
        <v/>
      </c>
      <c r="AH492">
        <f>IF(B492="","",IF(OR(U492=0,V492=0,W492=0,X492=0,Y492=0,Z492=0,AA492=0,AB492=0,AC492=0,AD492=0,AE492=0,AF492=0,AG492=0),1,0))</f>
        <v/>
      </c>
    </row>
    <row r="493">
      <c r="A493" s="3">
        <f>IF(B493="","",ROW()-2)</f>
        <v/>
      </c>
      <c r="P493" s="4">
        <f>IF(B493="","",SUM(C493:O493))</f>
        <v/>
      </c>
      <c r="Q493" s="5">
        <f>IF(B493="","",ROUND(P493/13,2))</f>
        <v/>
      </c>
      <c r="R493" s="5">
        <f>IF(B493="","",IF(AH493=1,0,MIN(5,ROUND((U493+V493+W493+X493+Y493+Z493+AA493+AB493+AC493+AD493+AE493+AF493+AG493)/13,2))))</f>
        <v/>
      </c>
      <c r="S493" s="3">
        <f>IF(B493="","",IF(R493&gt;=5,"A+",IF(R493&gt;=4,"A",IF(R493&gt;=3.5,"A-",IF(R493&gt;=3,"B",IF(R493&gt;=2,"C",IF(R493&gt;=1,"D","F")))))))</f>
        <v/>
      </c>
      <c r="T493" s="3">
        <f>IF(OR(B493="",S493="F"),"",COUNTIFS(P:P,"&gt;"&amp;P493,S:S,"&lt;&gt;F")+1)</f>
        <v/>
      </c>
      <c r="U493">
        <f>IF(B493="","",IF(C493&lt;33.0,0,IF(C493&gt;=100*0.8,5,IF(C493&gt;=100*0.7,4,IF(C493&gt;=100*0.6,3.5,IF(C493&gt;=100*0.5,3,IF(C493&gt;=100*0.4,2,IF(C493&gt;=100*0.33,1,0))))))))</f>
        <v/>
      </c>
      <c r="V493">
        <f>IF(B493="","",IF(D493&lt;33.0,0,IF(D493&gt;=100*0.8,5,IF(D493&gt;=100*0.7,4,IF(D493&gt;=100*0.6,3.5,IF(D493&gt;=100*0.5,3,IF(D493&gt;=100*0.4,2,IF(D493&gt;=100*0.33,1,0))))))))</f>
        <v/>
      </c>
      <c r="W493">
        <f>IF(B493="","",IF(E493&lt;16.5,0,IF(E493&gt;=50*0.8,5,IF(E493&gt;=50*0.7,4,IF(E493&gt;=50*0.6,3.5,IF(E493&gt;=50*0.5,3,IF(E493&gt;=50*0.4,2,IF(E493&gt;=50*0.33,1,0))))))))</f>
        <v/>
      </c>
      <c r="X493">
        <f>IF(B493="","",IF(F493&lt;33.0,0,IF(F493&gt;=100*0.8,5,IF(F493&gt;=100*0.7,4,IF(F493&gt;=100*0.6,3.5,IF(F493&gt;=100*0.5,3,IF(F493&gt;=100*0.4,2,IF(F493&gt;=100*0.33,1,0))))))))</f>
        <v/>
      </c>
      <c r="Y493">
        <f>IF(B493="","",IF(G493&lt;16.5,0,IF(G493&gt;=50*0.8,5,IF(G493&gt;=50*0.7,4,IF(G493&gt;=50*0.6,3.5,IF(G493&gt;=50*0.5,3,IF(G493&gt;=50*0.4,2,IF(G493&gt;=50*0.33,1,0))))))))</f>
        <v/>
      </c>
      <c r="Z493">
        <f>IF(B493="","",IF(H493&lt;33.0,0,IF(H493&gt;=100*0.8,5,IF(H493&gt;=100*0.7,4,IF(H493&gt;=100*0.6,3.5,IF(H493&gt;=100*0.5,3,IF(H493&gt;=100*0.4,2,IF(H493&gt;=100*0.33,1,0))))))))</f>
        <v/>
      </c>
      <c r="AA493">
        <f>IF(B493="","",IF(I493&lt;33.0,0,IF(I493&gt;=100*0.8,5,IF(I493&gt;=100*0.7,4,IF(I493&gt;=100*0.6,3.5,IF(I493&gt;=100*0.5,3,IF(I493&gt;=100*0.4,2,IF(I493&gt;=100*0.33,1,0))))))))</f>
        <v/>
      </c>
      <c r="AB493">
        <f>IF(B493="","",IF(J493&lt;33.0,0,IF(J493&gt;=100*0.8,5,IF(J493&gt;=100*0.7,4,IF(J493&gt;=100*0.6,3.5,IF(J493&gt;=100*0.5,3,IF(J493&gt;=100*0.4,2,IF(J493&gt;=100*0.33,1,0))))))))</f>
        <v/>
      </c>
      <c r="AC493">
        <f>IF(B493="","",IF(K493&lt;33.0,0,IF(K493&gt;=100*0.8,5,IF(K493&gt;=100*0.7,4,IF(K493&gt;=100*0.6,3.5,IF(K493&gt;=100*0.5,3,IF(K493&gt;=100*0.4,2,IF(K493&gt;=100*0.33,1,0))))))))</f>
        <v/>
      </c>
      <c r="AD493">
        <f>IF(B493="","",IF(L493&lt;33.0,0,IF(L493&gt;=100*0.8,5,IF(L493&gt;=100*0.7,4,IF(L493&gt;=100*0.6,3.5,IF(L493&gt;=100*0.5,3,IF(L493&gt;=100*0.4,2,IF(L493&gt;=100*0.33,1,0))))))))</f>
        <v/>
      </c>
      <c r="AE493">
        <f>IF(B493="","",IF(M493&lt;33.0,0,IF(M493&gt;=100*0.8,5,IF(M493&gt;=100*0.7,4,IF(M493&gt;=100*0.6,3.5,IF(M493&gt;=100*0.5,3,IF(M493&gt;=100*0.4,2,IF(M493&gt;=100*0.33,1,0))))))))</f>
        <v/>
      </c>
      <c r="AF493">
        <f>IF(B493="","",IF(N493&lt;16.5,0,IF(N493&gt;=50*0.8,5,IF(N493&gt;=50*0.7,4,IF(N493&gt;=50*0.6,3.5,IF(N493&gt;=50*0.5,3,IF(N493&gt;=50*0.4,2,IF(N493&gt;=50*0.33,1,0))))))))</f>
        <v/>
      </c>
      <c r="AG493">
        <f>IF(B493="","",IF(O493&lt;33.0,0,IF(O493&gt;=100*0.8,5,IF(O493&gt;=100*0.7,4,IF(O493&gt;=100*0.6,3.5,IF(O493&gt;=100*0.5,3,IF(O493&gt;=100*0.4,2,IF(O493&gt;=100*0.33,1,0))))))))</f>
        <v/>
      </c>
      <c r="AH493">
        <f>IF(B493="","",IF(OR(U493=0,V493=0,W493=0,X493=0,Y493=0,Z493=0,AA493=0,AB493=0,AC493=0,AD493=0,AE493=0,AF493=0,AG493=0),1,0))</f>
        <v/>
      </c>
    </row>
    <row r="494">
      <c r="A494" s="3">
        <f>IF(B494="","",ROW()-2)</f>
        <v/>
      </c>
      <c r="P494" s="4">
        <f>IF(B494="","",SUM(C494:O494))</f>
        <v/>
      </c>
      <c r="Q494" s="5">
        <f>IF(B494="","",ROUND(P494/13,2))</f>
        <v/>
      </c>
      <c r="R494" s="5">
        <f>IF(B494="","",IF(AH494=1,0,MIN(5,ROUND((U494+V494+W494+X494+Y494+Z494+AA494+AB494+AC494+AD494+AE494+AF494+AG494)/13,2))))</f>
        <v/>
      </c>
      <c r="S494" s="3">
        <f>IF(B494="","",IF(R494&gt;=5,"A+",IF(R494&gt;=4,"A",IF(R494&gt;=3.5,"A-",IF(R494&gt;=3,"B",IF(R494&gt;=2,"C",IF(R494&gt;=1,"D","F")))))))</f>
        <v/>
      </c>
      <c r="T494" s="3">
        <f>IF(OR(B494="",S494="F"),"",COUNTIFS(P:P,"&gt;"&amp;P494,S:S,"&lt;&gt;F")+1)</f>
        <v/>
      </c>
      <c r="U494">
        <f>IF(B494="","",IF(C494&lt;33.0,0,IF(C494&gt;=100*0.8,5,IF(C494&gt;=100*0.7,4,IF(C494&gt;=100*0.6,3.5,IF(C494&gt;=100*0.5,3,IF(C494&gt;=100*0.4,2,IF(C494&gt;=100*0.33,1,0))))))))</f>
        <v/>
      </c>
      <c r="V494">
        <f>IF(B494="","",IF(D494&lt;33.0,0,IF(D494&gt;=100*0.8,5,IF(D494&gt;=100*0.7,4,IF(D494&gt;=100*0.6,3.5,IF(D494&gt;=100*0.5,3,IF(D494&gt;=100*0.4,2,IF(D494&gt;=100*0.33,1,0))))))))</f>
        <v/>
      </c>
      <c r="W494">
        <f>IF(B494="","",IF(E494&lt;16.5,0,IF(E494&gt;=50*0.8,5,IF(E494&gt;=50*0.7,4,IF(E494&gt;=50*0.6,3.5,IF(E494&gt;=50*0.5,3,IF(E494&gt;=50*0.4,2,IF(E494&gt;=50*0.33,1,0))))))))</f>
        <v/>
      </c>
      <c r="X494">
        <f>IF(B494="","",IF(F494&lt;33.0,0,IF(F494&gt;=100*0.8,5,IF(F494&gt;=100*0.7,4,IF(F494&gt;=100*0.6,3.5,IF(F494&gt;=100*0.5,3,IF(F494&gt;=100*0.4,2,IF(F494&gt;=100*0.33,1,0))))))))</f>
        <v/>
      </c>
      <c r="Y494">
        <f>IF(B494="","",IF(G494&lt;16.5,0,IF(G494&gt;=50*0.8,5,IF(G494&gt;=50*0.7,4,IF(G494&gt;=50*0.6,3.5,IF(G494&gt;=50*0.5,3,IF(G494&gt;=50*0.4,2,IF(G494&gt;=50*0.33,1,0))))))))</f>
        <v/>
      </c>
      <c r="Z494">
        <f>IF(B494="","",IF(H494&lt;33.0,0,IF(H494&gt;=100*0.8,5,IF(H494&gt;=100*0.7,4,IF(H494&gt;=100*0.6,3.5,IF(H494&gt;=100*0.5,3,IF(H494&gt;=100*0.4,2,IF(H494&gt;=100*0.33,1,0))))))))</f>
        <v/>
      </c>
      <c r="AA494">
        <f>IF(B494="","",IF(I494&lt;33.0,0,IF(I494&gt;=100*0.8,5,IF(I494&gt;=100*0.7,4,IF(I494&gt;=100*0.6,3.5,IF(I494&gt;=100*0.5,3,IF(I494&gt;=100*0.4,2,IF(I494&gt;=100*0.33,1,0))))))))</f>
        <v/>
      </c>
      <c r="AB494">
        <f>IF(B494="","",IF(J494&lt;33.0,0,IF(J494&gt;=100*0.8,5,IF(J494&gt;=100*0.7,4,IF(J494&gt;=100*0.6,3.5,IF(J494&gt;=100*0.5,3,IF(J494&gt;=100*0.4,2,IF(J494&gt;=100*0.33,1,0))))))))</f>
        <v/>
      </c>
      <c r="AC494">
        <f>IF(B494="","",IF(K494&lt;33.0,0,IF(K494&gt;=100*0.8,5,IF(K494&gt;=100*0.7,4,IF(K494&gt;=100*0.6,3.5,IF(K494&gt;=100*0.5,3,IF(K494&gt;=100*0.4,2,IF(K494&gt;=100*0.33,1,0))))))))</f>
        <v/>
      </c>
      <c r="AD494">
        <f>IF(B494="","",IF(L494&lt;33.0,0,IF(L494&gt;=100*0.8,5,IF(L494&gt;=100*0.7,4,IF(L494&gt;=100*0.6,3.5,IF(L494&gt;=100*0.5,3,IF(L494&gt;=100*0.4,2,IF(L494&gt;=100*0.33,1,0))))))))</f>
        <v/>
      </c>
      <c r="AE494">
        <f>IF(B494="","",IF(M494&lt;33.0,0,IF(M494&gt;=100*0.8,5,IF(M494&gt;=100*0.7,4,IF(M494&gt;=100*0.6,3.5,IF(M494&gt;=100*0.5,3,IF(M494&gt;=100*0.4,2,IF(M494&gt;=100*0.33,1,0))))))))</f>
        <v/>
      </c>
      <c r="AF494">
        <f>IF(B494="","",IF(N494&lt;16.5,0,IF(N494&gt;=50*0.8,5,IF(N494&gt;=50*0.7,4,IF(N494&gt;=50*0.6,3.5,IF(N494&gt;=50*0.5,3,IF(N494&gt;=50*0.4,2,IF(N494&gt;=50*0.33,1,0))))))))</f>
        <v/>
      </c>
      <c r="AG494">
        <f>IF(B494="","",IF(O494&lt;33.0,0,IF(O494&gt;=100*0.8,5,IF(O494&gt;=100*0.7,4,IF(O494&gt;=100*0.6,3.5,IF(O494&gt;=100*0.5,3,IF(O494&gt;=100*0.4,2,IF(O494&gt;=100*0.33,1,0))))))))</f>
        <v/>
      </c>
      <c r="AH494">
        <f>IF(B494="","",IF(OR(U494=0,V494=0,W494=0,X494=0,Y494=0,Z494=0,AA494=0,AB494=0,AC494=0,AD494=0,AE494=0,AF494=0,AG494=0),1,0))</f>
        <v/>
      </c>
    </row>
    <row r="495">
      <c r="A495" s="3">
        <f>IF(B495="","",ROW()-2)</f>
        <v/>
      </c>
      <c r="P495" s="4">
        <f>IF(B495="","",SUM(C495:O495))</f>
        <v/>
      </c>
      <c r="Q495" s="5">
        <f>IF(B495="","",ROUND(P495/13,2))</f>
        <v/>
      </c>
      <c r="R495" s="5">
        <f>IF(B495="","",IF(AH495=1,0,MIN(5,ROUND((U495+V495+W495+X495+Y495+Z495+AA495+AB495+AC495+AD495+AE495+AF495+AG495)/13,2))))</f>
        <v/>
      </c>
      <c r="S495" s="3">
        <f>IF(B495="","",IF(R495&gt;=5,"A+",IF(R495&gt;=4,"A",IF(R495&gt;=3.5,"A-",IF(R495&gt;=3,"B",IF(R495&gt;=2,"C",IF(R495&gt;=1,"D","F")))))))</f>
        <v/>
      </c>
      <c r="T495" s="3">
        <f>IF(OR(B495="",S495="F"),"",COUNTIFS(P:P,"&gt;"&amp;P495,S:S,"&lt;&gt;F")+1)</f>
        <v/>
      </c>
      <c r="U495">
        <f>IF(B495="","",IF(C495&lt;33.0,0,IF(C495&gt;=100*0.8,5,IF(C495&gt;=100*0.7,4,IF(C495&gt;=100*0.6,3.5,IF(C495&gt;=100*0.5,3,IF(C495&gt;=100*0.4,2,IF(C495&gt;=100*0.33,1,0))))))))</f>
        <v/>
      </c>
      <c r="V495">
        <f>IF(B495="","",IF(D495&lt;33.0,0,IF(D495&gt;=100*0.8,5,IF(D495&gt;=100*0.7,4,IF(D495&gt;=100*0.6,3.5,IF(D495&gt;=100*0.5,3,IF(D495&gt;=100*0.4,2,IF(D495&gt;=100*0.33,1,0))))))))</f>
        <v/>
      </c>
      <c r="W495">
        <f>IF(B495="","",IF(E495&lt;16.5,0,IF(E495&gt;=50*0.8,5,IF(E495&gt;=50*0.7,4,IF(E495&gt;=50*0.6,3.5,IF(E495&gt;=50*0.5,3,IF(E495&gt;=50*0.4,2,IF(E495&gt;=50*0.33,1,0))))))))</f>
        <v/>
      </c>
      <c r="X495">
        <f>IF(B495="","",IF(F495&lt;33.0,0,IF(F495&gt;=100*0.8,5,IF(F495&gt;=100*0.7,4,IF(F495&gt;=100*0.6,3.5,IF(F495&gt;=100*0.5,3,IF(F495&gt;=100*0.4,2,IF(F495&gt;=100*0.33,1,0))))))))</f>
        <v/>
      </c>
      <c r="Y495">
        <f>IF(B495="","",IF(G495&lt;16.5,0,IF(G495&gt;=50*0.8,5,IF(G495&gt;=50*0.7,4,IF(G495&gt;=50*0.6,3.5,IF(G495&gt;=50*0.5,3,IF(G495&gt;=50*0.4,2,IF(G495&gt;=50*0.33,1,0))))))))</f>
        <v/>
      </c>
      <c r="Z495">
        <f>IF(B495="","",IF(H495&lt;33.0,0,IF(H495&gt;=100*0.8,5,IF(H495&gt;=100*0.7,4,IF(H495&gt;=100*0.6,3.5,IF(H495&gt;=100*0.5,3,IF(H495&gt;=100*0.4,2,IF(H495&gt;=100*0.33,1,0))))))))</f>
        <v/>
      </c>
      <c r="AA495">
        <f>IF(B495="","",IF(I495&lt;33.0,0,IF(I495&gt;=100*0.8,5,IF(I495&gt;=100*0.7,4,IF(I495&gt;=100*0.6,3.5,IF(I495&gt;=100*0.5,3,IF(I495&gt;=100*0.4,2,IF(I495&gt;=100*0.33,1,0))))))))</f>
        <v/>
      </c>
      <c r="AB495">
        <f>IF(B495="","",IF(J495&lt;33.0,0,IF(J495&gt;=100*0.8,5,IF(J495&gt;=100*0.7,4,IF(J495&gt;=100*0.6,3.5,IF(J495&gt;=100*0.5,3,IF(J495&gt;=100*0.4,2,IF(J495&gt;=100*0.33,1,0))))))))</f>
        <v/>
      </c>
      <c r="AC495">
        <f>IF(B495="","",IF(K495&lt;33.0,0,IF(K495&gt;=100*0.8,5,IF(K495&gt;=100*0.7,4,IF(K495&gt;=100*0.6,3.5,IF(K495&gt;=100*0.5,3,IF(K495&gt;=100*0.4,2,IF(K495&gt;=100*0.33,1,0))))))))</f>
        <v/>
      </c>
      <c r="AD495">
        <f>IF(B495="","",IF(L495&lt;33.0,0,IF(L495&gt;=100*0.8,5,IF(L495&gt;=100*0.7,4,IF(L495&gt;=100*0.6,3.5,IF(L495&gt;=100*0.5,3,IF(L495&gt;=100*0.4,2,IF(L495&gt;=100*0.33,1,0))))))))</f>
        <v/>
      </c>
      <c r="AE495">
        <f>IF(B495="","",IF(M495&lt;33.0,0,IF(M495&gt;=100*0.8,5,IF(M495&gt;=100*0.7,4,IF(M495&gt;=100*0.6,3.5,IF(M495&gt;=100*0.5,3,IF(M495&gt;=100*0.4,2,IF(M495&gt;=100*0.33,1,0))))))))</f>
        <v/>
      </c>
      <c r="AF495">
        <f>IF(B495="","",IF(N495&lt;16.5,0,IF(N495&gt;=50*0.8,5,IF(N495&gt;=50*0.7,4,IF(N495&gt;=50*0.6,3.5,IF(N495&gt;=50*0.5,3,IF(N495&gt;=50*0.4,2,IF(N495&gt;=50*0.33,1,0))))))))</f>
        <v/>
      </c>
      <c r="AG495">
        <f>IF(B495="","",IF(O495&lt;33.0,0,IF(O495&gt;=100*0.8,5,IF(O495&gt;=100*0.7,4,IF(O495&gt;=100*0.6,3.5,IF(O495&gt;=100*0.5,3,IF(O495&gt;=100*0.4,2,IF(O495&gt;=100*0.33,1,0))))))))</f>
        <v/>
      </c>
      <c r="AH495">
        <f>IF(B495="","",IF(OR(U495=0,V495=0,W495=0,X495=0,Y495=0,Z495=0,AA495=0,AB495=0,AC495=0,AD495=0,AE495=0,AF495=0,AG495=0),1,0))</f>
        <v/>
      </c>
    </row>
    <row r="496">
      <c r="A496" s="3">
        <f>IF(B496="","",ROW()-2)</f>
        <v/>
      </c>
      <c r="P496" s="4">
        <f>IF(B496="","",SUM(C496:O496))</f>
        <v/>
      </c>
      <c r="Q496" s="5">
        <f>IF(B496="","",ROUND(P496/13,2))</f>
        <v/>
      </c>
      <c r="R496" s="5">
        <f>IF(B496="","",IF(AH496=1,0,MIN(5,ROUND((U496+V496+W496+X496+Y496+Z496+AA496+AB496+AC496+AD496+AE496+AF496+AG496)/13,2))))</f>
        <v/>
      </c>
      <c r="S496" s="3">
        <f>IF(B496="","",IF(R496&gt;=5,"A+",IF(R496&gt;=4,"A",IF(R496&gt;=3.5,"A-",IF(R496&gt;=3,"B",IF(R496&gt;=2,"C",IF(R496&gt;=1,"D","F")))))))</f>
        <v/>
      </c>
      <c r="T496" s="3">
        <f>IF(OR(B496="",S496="F"),"",COUNTIFS(P:P,"&gt;"&amp;P496,S:S,"&lt;&gt;F")+1)</f>
        <v/>
      </c>
      <c r="U496">
        <f>IF(B496="","",IF(C496&lt;33.0,0,IF(C496&gt;=100*0.8,5,IF(C496&gt;=100*0.7,4,IF(C496&gt;=100*0.6,3.5,IF(C496&gt;=100*0.5,3,IF(C496&gt;=100*0.4,2,IF(C496&gt;=100*0.33,1,0))))))))</f>
        <v/>
      </c>
      <c r="V496">
        <f>IF(B496="","",IF(D496&lt;33.0,0,IF(D496&gt;=100*0.8,5,IF(D496&gt;=100*0.7,4,IF(D496&gt;=100*0.6,3.5,IF(D496&gt;=100*0.5,3,IF(D496&gt;=100*0.4,2,IF(D496&gt;=100*0.33,1,0))))))))</f>
        <v/>
      </c>
      <c r="W496">
        <f>IF(B496="","",IF(E496&lt;16.5,0,IF(E496&gt;=50*0.8,5,IF(E496&gt;=50*0.7,4,IF(E496&gt;=50*0.6,3.5,IF(E496&gt;=50*0.5,3,IF(E496&gt;=50*0.4,2,IF(E496&gt;=50*0.33,1,0))))))))</f>
        <v/>
      </c>
      <c r="X496">
        <f>IF(B496="","",IF(F496&lt;33.0,0,IF(F496&gt;=100*0.8,5,IF(F496&gt;=100*0.7,4,IF(F496&gt;=100*0.6,3.5,IF(F496&gt;=100*0.5,3,IF(F496&gt;=100*0.4,2,IF(F496&gt;=100*0.33,1,0))))))))</f>
        <v/>
      </c>
      <c r="Y496">
        <f>IF(B496="","",IF(G496&lt;16.5,0,IF(G496&gt;=50*0.8,5,IF(G496&gt;=50*0.7,4,IF(G496&gt;=50*0.6,3.5,IF(G496&gt;=50*0.5,3,IF(G496&gt;=50*0.4,2,IF(G496&gt;=50*0.33,1,0))))))))</f>
        <v/>
      </c>
      <c r="Z496">
        <f>IF(B496="","",IF(H496&lt;33.0,0,IF(H496&gt;=100*0.8,5,IF(H496&gt;=100*0.7,4,IF(H496&gt;=100*0.6,3.5,IF(H496&gt;=100*0.5,3,IF(H496&gt;=100*0.4,2,IF(H496&gt;=100*0.33,1,0))))))))</f>
        <v/>
      </c>
      <c r="AA496">
        <f>IF(B496="","",IF(I496&lt;33.0,0,IF(I496&gt;=100*0.8,5,IF(I496&gt;=100*0.7,4,IF(I496&gt;=100*0.6,3.5,IF(I496&gt;=100*0.5,3,IF(I496&gt;=100*0.4,2,IF(I496&gt;=100*0.33,1,0))))))))</f>
        <v/>
      </c>
      <c r="AB496">
        <f>IF(B496="","",IF(J496&lt;33.0,0,IF(J496&gt;=100*0.8,5,IF(J496&gt;=100*0.7,4,IF(J496&gt;=100*0.6,3.5,IF(J496&gt;=100*0.5,3,IF(J496&gt;=100*0.4,2,IF(J496&gt;=100*0.33,1,0))))))))</f>
        <v/>
      </c>
      <c r="AC496">
        <f>IF(B496="","",IF(K496&lt;33.0,0,IF(K496&gt;=100*0.8,5,IF(K496&gt;=100*0.7,4,IF(K496&gt;=100*0.6,3.5,IF(K496&gt;=100*0.5,3,IF(K496&gt;=100*0.4,2,IF(K496&gt;=100*0.33,1,0))))))))</f>
        <v/>
      </c>
      <c r="AD496">
        <f>IF(B496="","",IF(L496&lt;33.0,0,IF(L496&gt;=100*0.8,5,IF(L496&gt;=100*0.7,4,IF(L496&gt;=100*0.6,3.5,IF(L496&gt;=100*0.5,3,IF(L496&gt;=100*0.4,2,IF(L496&gt;=100*0.33,1,0))))))))</f>
        <v/>
      </c>
      <c r="AE496">
        <f>IF(B496="","",IF(M496&lt;33.0,0,IF(M496&gt;=100*0.8,5,IF(M496&gt;=100*0.7,4,IF(M496&gt;=100*0.6,3.5,IF(M496&gt;=100*0.5,3,IF(M496&gt;=100*0.4,2,IF(M496&gt;=100*0.33,1,0))))))))</f>
        <v/>
      </c>
      <c r="AF496">
        <f>IF(B496="","",IF(N496&lt;16.5,0,IF(N496&gt;=50*0.8,5,IF(N496&gt;=50*0.7,4,IF(N496&gt;=50*0.6,3.5,IF(N496&gt;=50*0.5,3,IF(N496&gt;=50*0.4,2,IF(N496&gt;=50*0.33,1,0))))))))</f>
        <v/>
      </c>
      <c r="AG496">
        <f>IF(B496="","",IF(O496&lt;33.0,0,IF(O496&gt;=100*0.8,5,IF(O496&gt;=100*0.7,4,IF(O496&gt;=100*0.6,3.5,IF(O496&gt;=100*0.5,3,IF(O496&gt;=100*0.4,2,IF(O496&gt;=100*0.33,1,0))))))))</f>
        <v/>
      </c>
      <c r="AH496">
        <f>IF(B496="","",IF(OR(U496=0,V496=0,W496=0,X496=0,Y496=0,Z496=0,AA496=0,AB496=0,AC496=0,AD496=0,AE496=0,AF496=0,AG496=0),1,0))</f>
        <v/>
      </c>
    </row>
    <row r="497">
      <c r="A497" s="3">
        <f>IF(B497="","",ROW()-2)</f>
        <v/>
      </c>
      <c r="P497" s="4">
        <f>IF(B497="","",SUM(C497:O497))</f>
        <v/>
      </c>
      <c r="Q497" s="5">
        <f>IF(B497="","",ROUND(P497/13,2))</f>
        <v/>
      </c>
      <c r="R497" s="5">
        <f>IF(B497="","",IF(AH497=1,0,MIN(5,ROUND((U497+V497+W497+X497+Y497+Z497+AA497+AB497+AC497+AD497+AE497+AF497+AG497)/13,2))))</f>
        <v/>
      </c>
      <c r="S497" s="3">
        <f>IF(B497="","",IF(R497&gt;=5,"A+",IF(R497&gt;=4,"A",IF(R497&gt;=3.5,"A-",IF(R497&gt;=3,"B",IF(R497&gt;=2,"C",IF(R497&gt;=1,"D","F")))))))</f>
        <v/>
      </c>
      <c r="T497" s="3">
        <f>IF(OR(B497="",S497="F"),"",COUNTIFS(P:P,"&gt;"&amp;P497,S:S,"&lt;&gt;F")+1)</f>
        <v/>
      </c>
      <c r="U497">
        <f>IF(B497="","",IF(C497&lt;33.0,0,IF(C497&gt;=100*0.8,5,IF(C497&gt;=100*0.7,4,IF(C497&gt;=100*0.6,3.5,IF(C497&gt;=100*0.5,3,IF(C497&gt;=100*0.4,2,IF(C497&gt;=100*0.33,1,0))))))))</f>
        <v/>
      </c>
      <c r="V497">
        <f>IF(B497="","",IF(D497&lt;33.0,0,IF(D497&gt;=100*0.8,5,IF(D497&gt;=100*0.7,4,IF(D497&gt;=100*0.6,3.5,IF(D497&gt;=100*0.5,3,IF(D497&gt;=100*0.4,2,IF(D497&gt;=100*0.33,1,0))))))))</f>
        <v/>
      </c>
      <c r="W497">
        <f>IF(B497="","",IF(E497&lt;16.5,0,IF(E497&gt;=50*0.8,5,IF(E497&gt;=50*0.7,4,IF(E497&gt;=50*0.6,3.5,IF(E497&gt;=50*0.5,3,IF(E497&gt;=50*0.4,2,IF(E497&gt;=50*0.33,1,0))))))))</f>
        <v/>
      </c>
      <c r="X497">
        <f>IF(B497="","",IF(F497&lt;33.0,0,IF(F497&gt;=100*0.8,5,IF(F497&gt;=100*0.7,4,IF(F497&gt;=100*0.6,3.5,IF(F497&gt;=100*0.5,3,IF(F497&gt;=100*0.4,2,IF(F497&gt;=100*0.33,1,0))))))))</f>
        <v/>
      </c>
      <c r="Y497">
        <f>IF(B497="","",IF(G497&lt;16.5,0,IF(G497&gt;=50*0.8,5,IF(G497&gt;=50*0.7,4,IF(G497&gt;=50*0.6,3.5,IF(G497&gt;=50*0.5,3,IF(G497&gt;=50*0.4,2,IF(G497&gt;=50*0.33,1,0))))))))</f>
        <v/>
      </c>
      <c r="Z497">
        <f>IF(B497="","",IF(H497&lt;33.0,0,IF(H497&gt;=100*0.8,5,IF(H497&gt;=100*0.7,4,IF(H497&gt;=100*0.6,3.5,IF(H497&gt;=100*0.5,3,IF(H497&gt;=100*0.4,2,IF(H497&gt;=100*0.33,1,0))))))))</f>
        <v/>
      </c>
      <c r="AA497">
        <f>IF(B497="","",IF(I497&lt;33.0,0,IF(I497&gt;=100*0.8,5,IF(I497&gt;=100*0.7,4,IF(I497&gt;=100*0.6,3.5,IF(I497&gt;=100*0.5,3,IF(I497&gt;=100*0.4,2,IF(I497&gt;=100*0.33,1,0))))))))</f>
        <v/>
      </c>
      <c r="AB497">
        <f>IF(B497="","",IF(J497&lt;33.0,0,IF(J497&gt;=100*0.8,5,IF(J497&gt;=100*0.7,4,IF(J497&gt;=100*0.6,3.5,IF(J497&gt;=100*0.5,3,IF(J497&gt;=100*0.4,2,IF(J497&gt;=100*0.33,1,0))))))))</f>
        <v/>
      </c>
      <c r="AC497">
        <f>IF(B497="","",IF(K497&lt;33.0,0,IF(K497&gt;=100*0.8,5,IF(K497&gt;=100*0.7,4,IF(K497&gt;=100*0.6,3.5,IF(K497&gt;=100*0.5,3,IF(K497&gt;=100*0.4,2,IF(K497&gt;=100*0.33,1,0))))))))</f>
        <v/>
      </c>
      <c r="AD497">
        <f>IF(B497="","",IF(L497&lt;33.0,0,IF(L497&gt;=100*0.8,5,IF(L497&gt;=100*0.7,4,IF(L497&gt;=100*0.6,3.5,IF(L497&gt;=100*0.5,3,IF(L497&gt;=100*0.4,2,IF(L497&gt;=100*0.33,1,0))))))))</f>
        <v/>
      </c>
      <c r="AE497">
        <f>IF(B497="","",IF(M497&lt;33.0,0,IF(M497&gt;=100*0.8,5,IF(M497&gt;=100*0.7,4,IF(M497&gt;=100*0.6,3.5,IF(M497&gt;=100*0.5,3,IF(M497&gt;=100*0.4,2,IF(M497&gt;=100*0.33,1,0))))))))</f>
        <v/>
      </c>
      <c r="AF497">
        <f>IF(B497="","",IF(N497&lt;16.5,0,IF(N497&gt;=50*0.8,5,IF(N497&gt;=50*0.7,4,IF(N497&gt;=50*0.6,3.5,IF(N497&gt;=50*0.5,3,IF(N497&gt;=50*0.4,2,IF(N497&gt;=50*0.33,1,0))))))))</f>
        <v/>
      </c>
      <c r="AG497">
        <f>IF(B497="","",IF(O497&lt;33.0,0,IF(O497&gt;=100*0.8,5,IF(O497&gt;=100*0.7,4,IF(O497&gt;=100*0.6,3.5,IF(O497&gt;=100*0.5,3,IF(O497&gt;=100*0.4,2,IF(O497&gt;=100*0.33,1,0))))))))</f>
        <v/>
      </c>
      <c r="AH497">
        <f>IF(B497="","",IF(OR(U497=0,V497=0,W497=0,X497=0,Y497=0,Z497=0,AA497=0,AB497=0,AC497=0,AD497=0,AE497=0,AF497=0,AG497=0),1,0))</f>
        <v/>
      </c>
    </row>
    <row r="498">
      <c r="A498" s="3">
        <f>IF(B498="","",ROW()-2)</f>
        <v/>
      </c>
      <c r="P498" s="4">
        <f>IF(B498="","",SUM(C498:O498))</f>
        <v/>
      </c>
      <c r="Q498" s="5">
        <f>IF(B498="","",ROUND(P498/13,2))</f>
        <v/>
      </c>
      <c r="R498" s="5">
        <f>IF(B498="","",IF(AH498=1,0,MIN(5,ROUND((U498+V498+W498+X498+Y498+Z498+AA498+AB498+AC498+AD498+AE498+AF498+AG498)/13,2))))</f>
        <v/>
      </c>
      <c r="S498" s="3">
        <f>IF(B498="","",IF(R498&gt;=5,"A+",IF(R498&gt;=4,"A",IF(R498&gt;=3.5,"A-",IF(R498&gt;=3,"B",IF(R498&gt;=2,"C",IF(R498&gt;=1,"D","F")))))))</f>
        <v/>
      </c>
      <c r="T498" s="3">
        <f>IF(OR(B498="",S498="F"),"",COUNTIFS(P:P,"&gt;"&amp;P498,S:S,"&lt;&gt;F")+1)</f>
        <v/>
      </c>
      <c r="U498">
        <f>IF(B498="","",IF(C498&lt;33.0,0,IF(C498&gt;=100*0.8,5,IF(C498&gt;=100*0.7,4,IF(C498&gt;=100*0.6,3.5,IF(C498&gt;=100*0.5,3,IF(C498&gt;=100*0.4,2,IF(C498&gt;=100*0.33,1,0))))))))</f>
        <v/>
      </c>
      <c r="V498">
        <f>IF(B498="","",IF(D498&lt;33.0,0,IF(D498&gt;=100*0.8,5,IF(D498&gt;=100*0.7,4,IF(D498&gt;=100*0.6,3.5,IF(D498&gt;=100*0.5,3,IF(D498&gt;=100*0.4,2,IF(D498&gt;=100*0.33,1,0))))))))</f>
        <v/>
      </c>
      <c r="W498">
        <f>IF(B498="","",IF(E498&lt;16.5,0,IF(E498&gt;=50*0.8,5,IF(E498&gt;=50*0.7,4,IF(E498&gt;=50*0.6,3.5,IF(E498&gt;=50*0.5,3,IF(E498&gt;=50*0.4,2,IF(E498&gt;=50*0.33,1,0))))))))</f>
        <v/>
      </c>
      <c r="X498">
        <f>IF(B498="","",IF(F498&lt;33.0,0,IF(F498&gt;=100*0.8,5,IF(F498&gt;=100*0.7,4,IF(F498&gt;=100*0.6,3.5,IF(F498&gt;=100*0.5,3,IF(F498&gt;=100*0.4,2,IF(F498&gt;=100*0.33,1,0))))))))</f>
        <v/>
      </c>
      <c r="Y498">
        <f>IF(B498="","",IF(G498&lt;16.5,0,IF(G498&gt;=50*0.8,5,IF(G498&gt;=50*0.7,4,IF(G498&gt;=50*0.6,3.5,IF(G498&gt;=50*0.5,3,IF(G498&gt;=50*0.4,2,IF(G498&gt;=50*0.33,1,0))))))))</f>
        <v/>
      </c>
      <c r="Z498">
        <f>IF(B498="","",IF(H498&lt;33.0,0,IF(H498&gt;=100*0.8,5,IF(H498&gt;=100*0.7,4,IF(H498&gt;=100*0.6,3.5,IF(H498&gt;=100*0.5,3,IF(H498&gt;=100*0.4,2,IF(H498&gt;=100*0.33,1,0))))))))</f>
        <v/>
      </c>
      <c r="AA498">
        <f>IF(B498="","",IF(I498&lt;33.0,0,IF(I498&gt;=100*0.8,5,IF(I498&gt;=100*0.7,4,IF(I498&gt;=100*0.6,3.5,IF(I498&gt;=100*0.5,3,IF(I498&gt;=100*0.4,2,IF(I498&gt;=100*0.33,1,0))))))))</f>
        <v/>
      </c>
      <c r="AB498">
        <f>IF(B498="","",IF(J498&lt;33.0,0,IF(J498&gt;=100*0.8,5,IF(J498&gt;=100*0.7,4,IF(J498&gt;=100*0.6,3.5,IF(J498&gt;=100*0.5,3,IF(J498&gt;=100*0.4,2,IF(J498&gt;=100*0.33,1,0))))))))</f>
        <v/>
      </c>
      <c r="AC498">
        <f>IF(B498="","",IF(K498&lt;33.0,0,IF(K498&gt;=100*0.8,5,IF(K498&gt;=100*0.7,4,IF(K498&gt;=100*0.6,3.5,IF(K498&gt;=100*0.5,3,IF(K498&gt;=100*0.4,2,IF(K498&gt;=100*0.33,1,0))))))))</f>
        <v/>
      </c>
      <c r="AD498">
        <f>IF(B498="","",IF(L498&lt;33.0,0,IF(L498&gt;=100*0.8,5,IF(L498&gt;=100*0.7,4,IF(L498&gt;=100*0.6,3.5,IF(L498&gt;=100*0.5,3,IF(L498&gt;=100*0.4,2,IF(L498&gt;=100*0.33,1,0))))))))</f>
        <v/>
      </c>
      <c r="AE498">
        <f>IF(B498="","",IF(M498&lt;33.0,0,IF(M498&gt;=100*0.8,5,IF(M498&gt;=100*0.7,4,IF(M498&gt;=100*0.6,3.5,IF(M498&gt;=100*0.5,3,IF(M498&gt;=100*0.4,2,IF(M498&gt;=100*0.33,1,0))))))))</f>
        <v/>
      </c>
      <c r="AF498">
        <f>IF(B498="","",IF(N498&lt;16.5,0,IF(N498&gt;=50*0.8,5,IF(N498&gt;=50*0.7,4,IF(N498&gt;=50*0.6,3.5,IF(N498&gt;=50*0.5,3,IF(N498&gt;=50*0.4,2,IF(N498&gt;=50*0.33,1,0))))))))</f>
        <v/>
      </c>
      <c r="AG498">
        <f>IF(B498="","",IF(O498&lt;33.0,0,IF(O498&gt;=100*0.8,5,IF(O498&gt;=100*0.7,4,IF(O498&gt;=100*0.6,3.5,IF(O498&gt;=100*0.5,3,IF(O498&gt;=100*0.4,2,IF(O498&gt;=100*0.33,1,0))))))))</f>
        <v/>
      </c>
      <c r="AH498">
        <f>IF(B498="","",IF(OR(U498=0,V498=0,W498=0,X498=0,Y498=0,Z498=0,AA498=0,AB498=0,AC498=0,AD498=0,AE498=0,AF498=0,AG498=0),1,0))</f>
        <v/>
      </c>
    </row>
    <row r="499">
      <c r="A499" s="3">
        <f>IF(B499="","",ROW()-2)</f>
        <v/>
      </c>
      <c r="P499" s="4">
        <f>IF(B499="","",SUM(C499:O499))</f>
        <v/>
      </c>
      <c r="Q499" s="5">
        <f>IF(B499="","",ROUND(P499/13,2))</f>
        <v/>
      </c>
      <c r="R499" s="5">
        <f>IF(B499="","",IF(AH499=1,0,MIN(5,ROUND((U499+V499+W499+X499+Y499+Z499+AA499+AB499+AC499+AD499+AE499+AF499+AG499)/13,2))))</f>
        <v/>
      </c>
      <c r="S499" s="3">
        <f>IF(B499="","",IF(R499&gt;=5,"A+",IF(R499&gt;=4,"A",IF(R499&gt;=3.5,"A-",IF(R499&gt;=3,"B",IF(R499&gt;=2,"C",IF(R499&gt;=1,"D","F")))))))</f>
        <v/>
      </c>
      <c r="T499" s="3">
        <f>IF(OR(B499="",S499="F"),"",COUNTIFS(P:P,"&gt;"&amp;P499,S:S,"&lt;&gt;F")+1)</f>
        <v/>
      </c>
      <c r="U499">
        <f>IF(B499="","",IF(C499&lt;33.0,0,IF(C499&gt;=100*0.8,5,IF(C499&gt;=100*0.7,4,IF(C499&gt;=100*0.6,3.5,IF(C499&gt;=100*0.5,3,IF(C499&gt;=100*0.4,2,IF(C499&gt;=100*0.33,1,0))))))))</f>
        <v/>
      </c>
      <c r="V499">
        <f>IF(B499="","",IF(D499&lt;33.0,0,IF(D499&gt;=100*0.8,5,IF(D499&gt;=100*0.7,4,IF(D499&gt;=100*0.6,3.5,IF(D499&gt;=100*0.5,3,IF(D499&gt;=100*0.4,2,IF(D499&gt;=100*0.33,1,0))))))))</f>
        <v/>
      </c>
      <c r="W499">
        <f>IF(B499="","",IF(E499&lt;16.5,0,IF(E499&gt;=50*0.8,5,IF(E499&gt;=50*0.7,4,IF(E499&gt;=50*0.6,3.5,IF(E499&gt;=50*0.5,3,IF(E499&gt;=50*0.4,2,IF(E499&gt;=50*0.33,1,0))))))))</f>
        <v/>
      </c>
      <c r="X499">
        <f>IF(B499="","",IF(F499&lt;33.0,0,IF(F499&gt;=100*0.8,5,IF(F499&gt;=100*0.7,4,IF(F499&gt;=100*0.6,3.5,IF(F499&gt;=100*0.5,3,IF(F499&gt;=100*0.4,2,IF(F499&gt;=100*0.33,1,0))))))))</f>
        <v/>
      </c>
      <c r="Y499">
        <f>IF(B499="","",IF(G499&lt;16.5,0,IF(G499&gt;=50*0.8,5,IF(G499&gt;=50*0.7,4,IF(G499&gt;=50*0.6,3.5,IF(G499&gt;=50*0.5,3,IF(G499&gt;=50*0.4,2,IF(G499&gt;=50*0.33,1,0))))))))</f>
        <v/>
      </c>
      <c r="Z499">
        <f>IF(B499="","",IF(H499&lt;33.0,0,IF(H499&gt;=100*0.8,5,IF(H499&gt;=100*0.7,4,IF(H499&gt;=100*0.6,3.5,IF(H499&gt;=100*0.5,3,IF(H499&gt;=100*0.4,2,IF(H499&gt;=100*0.33,1,0))))))))</f>
        <v/>
      </c>
      <c r="AA499">
        <f>IF(B499="","",IF(I499&lt;33.0,0,IF(I499&gt;=100*0.8,5,IF(I499&gt;=100*0.7,4,IF(I499&gt;=100*0.6,3.5,IF(I499&gt;=100*0.5,3,IF(I499&gt;=100*0.4,2,IF(I499&gt;=100*0.33,1,0))))))))</f>
        <v/>
      </c>
      <c r="AB499">
        <f>IF(B499="","",IF(J499&lt;33.0,0,IF(J499&gt;=100*0.8,5,IF(J499&gt;=100*0.7,4,IF(J499&gt;=100*0.6,3.5,IF(J499&gt;=100*0.5,3,IF(J499&gt;=100*0.4,2,IF(J499&gt;=100*0.33,1,0))))))))</f>
        <v/>
      </c>
      <c r="AC499">
        <f>IF(B499="","",IF(K499&lt;33.0,0,IF(K499&gt;=100*0.8,5,IF(K499&gt;=100*0.7,4,IF(K499&gt;=100*0.6,3.5,IF(K499&gt;=100*0.5,3,IF(K499&gt;=100*0.4,2,IF(K499&gt;=100*0.33,1,0))))))))</f>
        <v/>
      </c>
      <c r="AD499">
        <f>IF(B499="","",IF(L499&lt;33.0,0,IF(L499&gt;=100*0.8,5,IF(L499&gt;=100*0.7,4,IF(L499&gt;=100*0.6,3.5,IF(L499&gt;=100*0.5,3,IF(L499&gt;=100*0.4,2,IF(L499&gt;=100*0.33,1,0))))))))</f>
        <v/>
      </c>
      <c r="AE499">
        <f>IF(B499="","",IF(M499&lt;33.0,0,IF(M499&gt;=100*0.8,5,IF(M499&gt;=100*0.7,4,IF(M499&gt;=100*0.6,3.5,IF(M499&gt;=100*0.5,3,IF(M499&gt;=100*0.4,2,IF(M499&gt;=100*0.33,1,0))))))))</f>
        <v/>
      </c>
      <c r="AF499">
        <f>IF(B499="","",IF(N499&lt;16.5,0,IF(N499&gt;=50*0.8,5,IF(N499&gt;=50*0.7,4,IF(N499&gt;=50*0.6,3.5,IF(N499&gt;=50*0.5,3,IF(N499&gt;=50*0.4,2,IF(N499&gt;=50*0.33,1,0))))))))</f>
        <v/>
      </c>
      <c r="AG499">
        <f>IF(B499="","",IF(O499&lt;33.0,0,IF(O499&gt;=100*0.8,5,IF(O499&gt;=100*0.7,4,IF(O499&gt;=100*0.6,3.5,IF(O499&gt;=100*0.5,3,IF(O499&gt;=100*0.4,2,IF(O499&gt;=100*0.33,1,0))))))))</f>
        <v/>
      </c>
      <c r="AH499">
        <f>IF(B499="","",IF(OR(U499=0,V499=0,W499=0,X499=0,Y499=0,Z499=0,AA499=0,AB499=0,AC499=0,AD499=0,AE499=0,AF499=0,AG499=0),1,0))</f>
        <v/>
      </c>
    </row>
    <row r="500">
      <c r="A500" s="3">
        <f>IF(B500="","",ROW()-2)</f>
        <v/>
      </c>
      <c r="P500" s="4">
        <f>IF(B500="","",SUM(C500:O500))</f>
        <v/>
      </c>
      <c r="Q500" s="5">
        <f>IF(B500="","",ROUND(P500/13,2))</f>
        <v/>
      </c>
      <c r="R500" s="5">
        <f>IF(B500="","",IF(AH500=1,0,MIN(5,ROUND((U500+V500+W500+X500+Y500+Z500+AA500+AB500+AC500+AD500+AE500+AF500+AG500)/13,2))))</f>
        <v/>
      </c>
      <c r="S500" s="3">
        <f>IF(B500="","",IF(R500&gt;=5,"A+",IF(R500&gt;=4,"A",IF(R500&gt;=3.5,"A-",IF(R500&gt;=3,"B",IF(R500&gt;=2,"C",IF(R500&gt;=1,"D","F")))))))</f>
        <v/>
      </c>
      <c r="T500" s="3">
        <f>IF(OR(B500="",S500="F"),"",COUNTIFS(P:P,"&gt;"&amp;P500,S:S,"&lt;&gt;F")+1)</f>
        <v/>
      </c>
      <c r="U500">
        <f>IF(B500="","",IF(C500&lt;33.0,0,IF(C500&gt;=100*0.8,5,IF(C500&gt;=100*0.7,4,IF(C500&gt;=100*0.6,3.5,IF(C500&gt;=100*0.5,3,IF(C500&gt;=100*0.4,2,IF(C500&gt;=100*0.33,1,0))))))))</f>
        <v/>
      </c>
      <c r="V500">
        <f>IF(B500="","",IF(D500&lt;33.0,0,IF(D500&gt;=100*0.8,5,IF(D500&gt;=100*0.7,4,IF(D500&gt;=100*0.6,3.5,IF(D500&gt;=100*0.5,3,IF(D500&gt;=100*0.4,2,IF(D500&gt;=100*0.33,1,0))))))))</f>
        <v/>
      </c>
      <c r="W500">
        <f>IF(B500="","",IF(E500&lt;16.5,0,IF(E500&gt;=50*0.8,5,IF(E500&gt;=50*0.7,4,IF(E500&gt;=50*0.6,3.5,IF(E500&gt;=50*0.5,3,IF(E500&gt;=50*0.4,2,IF(E500&gt;=50*0.33,1,0))))))))</f>
        <v/>
      </c>
      <c r="X500">
        <f>IF(B500="","",IF(F500&lt;33.0,0,IF(F500&gt;=100*0.8,5,IF(F500&gt;=100*0.7,4,IF(F500&gt;=100*0.6,3.5,IF(F500&gt;=100*0.5,3,IF(F500&gt;=100*0.4,2,IF(F500&gt;=100*0.33,1,0))))))))</f>
        <v/>
      </c>
      <c r="Y500">
        <f>IF(B500="","",IF(G500&lt;16.5,0,IF(G500&gt;=50*0.8,5,IF(G500&gt;=50*0.7,4,IF(G500&gt;=50*0.6,3.5,IF(G500&gt;=50*0.5,3,IF(G500&gt;=50*0.4,2,IF(G500&gt;=50*0.33,1,0))))))))</f>
        <v/>
      </c>
      <c r="Z500">
        <f>IF(B500="","",IF(H500&lt;33.0,0,IF(H500&gt;=100*0.8,5,IF(H500&gt;=100*0.7,4,IF(H500&gt;=100*0.6,3.5,IF(H500&gt;=100*0.5,3,IF(H500&gt;=100*0.4,2,IF(H500&gt;=100*0.33,1,0))))))))</f>
        <v/>
      </c>
      <c r="AA500">
        <f>IF(B500="","",IF(I500&lt;33.0,0,IF(I500&gt;=100*0.8,5,IF(I500&gt;=100*0.7,4,IF(I500&gt;=100*0.6,3.5,IF(I500&gt;=100*0.5,3,IF(I500&gt;=100*0.4,2,IF(I500&gt;=100*0.33,1,0))))))))</f>
        <v/>
      </c>
      <c r="AB500">
        <f>IF(B500="","",IF(J500&lt;33.0,0,IF(J500&gt;=100*0.8,5,IF(J500&gt;=100*0.7,4,IF(J500&gt;=100*0.6,3.5,IF(J500&gt;=100*0.5,3,IF(J500&gt;=100*0.4,2,IF(J500&gt;=100*0.33,1,0))))))))</f>
        <v/>
      </c>
      <c r="AC500">
        <f>IF(B500="","",IF(K500&lt;33.0,0,IF(K500&gt;=100*0.8,5,IF(K500&gt;=100*0.7,4,IF(K500&gt;=100*0.6,3.5,IF(K500&gt;=100*0.5,3,IF(K500&gt;=100*0.4,2,IF(K500&gt;=100*0.33,1,0))))))))</f>
        <v/>
      </c>
      <c r="AD500">
        <f>IF(B500="","",IF(L500&lt;33.0,0,IF(L500&gt;=100*0.8,5,IF(L500&gt;=100*0.7,4,IF(L500&gt;=100*0.6,3.5,IF(L500&gt;=100*0.5,3,IF(L500&gt;=100*0.4,2,IF(L500&gt;=100*0.33,1,0))))))))</f>
        <v/>
      </c>
      <c r="AE500">
        <f>IF(B500="","",IF(M500&lt;33.0,0,IF(M500&gt;=100*0.8,5,IF(M500&gt;=100*0.7,4,IF(M500&gt;=100*0.6,3.5,IF(M500&gt;=100*0.5,3,IF(M500&gt;=100*0.4,2,IF(M500&gt;=100*0.33,1,0))))))))</f>
        <v/>
      </c>
      <c r="AF500">
        <f>IF(B500="","",IF(N500&lt;16.5,0,IF(N500&gt;=50*0.8,5,IF(N500&gt;=50*0.7,4,IF(N500&gt;=50*0.6,3.5,IF(N500&gt;=50*0.5,3,IF(N500&gt;=50*0.4,2,IF(N500&gt;=50*0.33,1,0))))))))</f>
        <v/>
      </c>
      <c r="AG500">
        <f>IF(B500="","",IF(O500&lt;33.0,0,IF(O500&gt;=100*0.8,5,IF(O500&gt;=100*0.7,4,IF(O500&gt;=100*0.6,3.5,IF(O500&gt;=100*0.5,3,IF(O500&gt;=100*0.4,2,IF(O500&gt;=100*0.33,1,0))))))))</f>
        <v/>
      </c>
      <c r="AH500">
        <f>IF(B500="","",IF(OR(U500=0,V500=0,W500=0,X500=0,Y500=0,Z500=0,AA500=0,AB500=0,AC500=0,AD500=0,AE500=0,AF500=0,AG500=0),1,0))</f>
        <v/>
      </c>
    </row>
    <row r="501">
      <c r="A501" s="3">
        <f>IF(B501="","",ROW()-2)</f>
        <v/>
      </c>
      <c r="P501" s="4">
        <f>IF(B501="","",SUM(C501:O501))</f>
        <v/>
      </c>
      <c r="Q501" s="5">
        <f>IF(B501="","",ROUND(P501/13,2))</f>
        <v/>
      </c>
      <c r="R501" s="5">
        <f>IF(B501="","",IF(AH501=1,0,MIN(5,ROUND((U501+V501+W501+X501+Y501+Z501+AA501+AB501+AC501+AD501+AE501+AF501+AG501)/13,2))))</f>
        <v/>
      </c>
      <c r="S501" s="3">
        <f>IF(B501="","",IF(R501&gt;=5,"A+",IF(R501&gt;=4,"A",IF(R501&gt;=3.5,"A-",IF(R501&gt;=3,"B",IF(R501&gt;=2,"C",IF(R501&gt;=1,"D","F")))))))</f>
        <v/>
      </c>
      <c r="T501" s="3">
        <f>IF(OR(B501="",S501="F"),"",COUNTIFS(P:P,"&gt;"&amp;P501,S:S,"&lt;&gt;F")+1)</f>
        <v/>
      </c>
      <c r="U501">
        <f>IF(B501="","",IF(C501&lt;33.0,0,IF(C501&gt;=100*0.8,5,IF(C501&gt;=100*0.7,4,IF(C501&gt;=100*0.6,3.5,IF(C501&gt;=100*0.5,3,IF(C501&gt;=100*0.4,2,IF(C501&gt;=100*0.33,1,0))))))))</f>
        <v/>
      </c>
      <c r="V501">
        <f>IF(B501="","",IF(D501&lt;33.0,0,IF(D501&gt;=100*0.8,5,IF(D501&gt;=100*0.7,4,IF(D501&gt;=100*0.6,3.5,IF(D501&gt;=100*0.5,3,IF(D501&gt;=100*0.4,2,IF(D501&gt;=100*0.33,1,0))))))))</f>
        <v/>
      </c>
      <c r="W501">
        <f>IF(B501="","",IF(E501&lt;16.5,0,IF(E501&gt;=50*0.8,5,IF(E501&gt;=50*0.7,4,IF(E501&gt;=50*0.6,3.5,IF(E501&gt;=50*0.5,3,IF(E501&gt;=50*0.4,2,IF(E501&gt;=50*0.33,1,0))))))))</f>
        <v/>
      </c>
      <c r="X501">
        <f>IF(B501="","",IF(F501&lt;33.0,0,IF(F501&gt;=100*0.8,5,IF(F501&gt;=100*0.7,4,IF(F501&gt;=100*0.6,3.5,IF(F501&gt;=100*0.5,3,IF(F501&gt;=100*0.4,2,IF(F501&gt;=100*0.33,1,0))))))))</f>
        <v/>
      </c>
      <c r="Y501">
        <f>IF(B501="","",IF(G501&lt;16.5,0,IF(G501&gt;=50*0.8,5,IF(G501&gt;=50*0.7,4,IF(G501&gt;=50*0.6,3.5,IF(G501&gt;=50*0.5,3,IF(G501&gt;=50*0.4,2,IF(G501&gt;=50*0.33,1,0))))))))</f>
        <v/>
      </c>
      <c r="Z501">
        <f>IF(B501="","",IF(H501&lt;33.0,0,IF(H501&gt;=100*0.8,5,IF(H501&gt;=100*0.7,4,IF(H501&gt;=100*0.6,3.5,IF(H501&gt;=100*0.5,3,IF(H501&gt;=100*0.4,2,IF(H501&gt;=100*0.33,1,0))))))))</f>
        <v/>
      </c>
      <c r="AA501">
        <f>IF(B501="","",IF(I501&lt;33.0,0,IF(I501&gt;=100*0.8,5,IF(I501&gt;=100*0.7,4,IF(I501&gt;=100*0.6,3.5,IF(I501&gt;=100*0.5,3,IF(I501&gt;=100*0.4,2,IF(I501&gt;=100*0.33,1,0))))))))</f>
        <v/>
      </c>
      <c r="AB501">
        <f>IF(B501="","",IF(J501&lt;33.0,0,IF(J501&gt;=100*0.8,5,IF(J501&gt;=100*0.7,4,IF(J501&gt;=100*0.6,3.5,IF(J501&gt;=100*0.5,3,IF(J501&gt;=100*0.4,2,IF(J501&gt;=100*0.33,1,0))))))))</f>
        <v/>
      </c>
      <c r="AC501">
        <f>IF(B501="","",IF(K501&lt;33.0,0,IF(K501&gt;=100*0.8,5,IF(K501&gt;=100*0.7,4,IF(K501&gt;=100*0.6,3.5,IF(K501&gt;=100*0.5,3,IF(K501&gt;=100*0.4,2,IF(K501&gt;=100*0.33,1,0))))))))</f>
        <v/>
      </c>
      <c r="AD501">
        <f>IF(B501="","",IF(L501&lt;33.0,0,IF(L501&gt;=100*0.8,5,IF(L501&gt;=100*0.7,4,IF(L501&gt;=100*0.6,3.5,IF(L501&gt;=100*0.5,3,IF(L501&gt;=100*0.4,2,IF(L501&gt;=100*0.33,1,0))))))))</f>
        <v/>
      </c>
      <c r="AE501">
        <f>IF(B501="","",IF(M501&lt;33.0,0,IF(M501&gt;=100*0.8,5,IF(M501&gt;=100*0.7,4,IF(M501&gt;=100*0.6,3.5,IF(M501&gt;=100*0.5,3,IF(M501&gt;=100*0.4,2,IF(M501&gt;=100*0.33,1,0))))))))</f>
        <v/>
      </c>
      <c r="AF501">
        <f>IF(B501="","",IF(N501&lt;16.5,0,IF(N501&gt;=50*0.8,5,IF(N501&gt;=50*0.7,4,IF(N501&gt;=50*0.6,3.5,IF(N501&gt;=50*0.5,3,IF(N501&gt;=50*0.4,2,IF(N501&gt;=50*0.33,1,0))))))))</f>
        <v/>
      </c>
      <c r="AG501">
        <f>IF(B501="","",IF(O501&lt;33.0,0,IF(O501&gt;=100*0.8,5,IF(O501&gt;=100*0.7,4,IF(O501&gt;=100*0.6,3.5,IF(O501&gt;=100*0.5,3,IF(O501&gt;=100*0.4,2,IF(O501&gt;=100*0.33,1,0))))))))</f>
        <v/>
      </c>
      <c r="AH501">
        <f>IF(B501="","",IF(OR(U501=0,V501=0,W501=0,X501=0,Y501=0,Z501=0,AA501=0,AB501=0,AC501=0,AD501=0,AE501=0,AF501=0,AG501=0),1,0))</f>
        <v/>
      </c>
    </row>
    <row r="502">
      <c r="A502" s="3">
        <f>IF(B502="","",ROW()-2)</f>
        <v/>
      </c>
      <c r="P502" s="4">
        <f>IF(B502="","",SUM(C502:O502))</f>
        <v/>
      </c>
      <c r="Q502" s="5">
        <f>IF(B502="","",ROUND(P502/13,2))</f>
        <v/>
      </c>
      <c r="R502" s="5">
        <f>IF(B502="","",IF(AH502=1,0,MIN(5,ROUND((U502+V502+W502+X502+Y502+Z502+AA502+AB502+AC502+AD502+AE502+AF502+AG502)/13,2))))</f>
        <v/>
      </c>
      <c r="S502" s="3">
        <f>IF(B502="","",IF(R502&gt;=5,"A+",IF(R502&gt;=4,"A",IF(R502&gt;=3.5,"A-",IF(R502&gt;=3,"B",IF(R502&gt;=2,"C",IF(R502&gt;=1,"D","F")))))))</f>
        <v/>
      </c>
      <c r="T502" s="3">
        <f>IF(OR(B502="",S502="F"),"",COUNTIFS(P:P,"&gt;"&amp;P502,S:S,"&lt;&gt;F")+1)</f>
        <v/>
      </c>
      <c r="U502">
        <f>IF(B502="","",IF(C502&lt;33.0,0,IF(C502&gt;=100*0.8,5,IF(C502&gt;=100*0.7,4,IF(C502&gt;=100*0.6,3.5,IF(C502&gt;=100*0.5,3,IF(C502&gt;=100*0.4,2,IF(C502&gt;=100*0.33,1,0))))))))</f>
        <v/>
      </c>
      <c r="V502">
        <f>IF(B502="","",IF(D502&lt;33.0,0,IF(D502&gt;=100*0.8,5,IF(D502&gt;=100*0.7,4,IF(D502&gt;=100*0.6,3.5,IF(D502&gt;=100*0.5,3,IF(D502&gt;=100*0.4,2,IF(D502&gt;=100*0.33,1,0))))))))</f>
        <v/>
      </c>
      <c r="W502">
        <f>IF(B502="","",IF(E502&lt;16.5,0,IF(E502&gt;=50*0.8,5,IF(E502&gt;=50*0.7,4,IF(E502&gt;=50*0.6,3.5,IF(E502&gt;=50*0.5,3,IF(E502&gt;=50*0.4,2,IF(E502&gt;=50*0.33,1,0))))))))</f>
        <v/>
      </c>
      <c r="X502">
        <f>IF(B502="","",IF(F502&lt;33.0,0,IF(F502&gt;=100*0.8,5,IF(F502&gt;=100*0.7,4,IF(F502&gt;=100*0.6,3.5,IF(F502&gt;=100*0.5,3,IF(F502&gt;=100*0.4,2,IF(F502&gt;=100*0.33,1,0))))))))</f>
        <v/>
      </c>
      <c r="Y502">
        <f>IF(B502="","",IF(G502&lt;16.5,0,IF(G502&gt;=50*0.8,5,IF(G502&gt;=50*0.7,4,IF(G502&gt;=50*0.6,3.5,IF(G502&gt;=50*0.5,3,IF(G502&gt;=50*0.4,2,IF(G502&gt;=50*0.33,1,0))))))))</f>
        <v/>
      </c>
      <c r="Z502">
        <f>IF(B502="","",IF(H502&lt;33.0,0,IF(H502&gt;=100*0.8,5,IF(H502&gt;=100*0.7,4,IF(H502&gt;=100*0.6,3.5,IF(H502&gt;=100*0.5,3,IF(H502&gt;=100*0.4,2,IF(H502&gt;=100*0.33,1,0))))))))</f>
        <v/>
      </c>
      <c r="AA502">
        <f>IF(B502="","",IF(I502&lt;33.0,0,IF(I502&gt;=100*0.8,5,IF(I502&gt;=100*0.7,4,IF(I502&gt;=100*0.6,3.5,IF(I502&gt;=100*0.5,3,IF(I502&gt;=100*0.4,2,IF(I502&gt;=100*0.33,1,0))))))))</f>
        <v/>
      </c>
      <c r="AB502">
        <f>IF(B502="","",IF(J502&lt;33.0,0,IF(J502&gt;=100*0.8,5,IF(J502&gt;=100*0.7,4,IF(J502&gt;=100*0.6,3.5,IF(J502&gt;=100*0.5,3,IF(J502&gt;=100*0.4,2,IF(J502&gt;=100*0.33,1,0))))))))</f>
        <v/>
      </c>
      <c r="AC502">
        <f>IF(B502="","",IF(K502&lt;33.0,0,IF(K502&gt;=100*0.8,5,IF(K502&gt;=100*0.7,4,IF(K502&gt;=100*0.6,3.5,IF(K502&gt;=100*0.5,3,IF(K502&gt;=100*0.4,2,IF(K502&gt;=100*0.33,1,0))))))))</f>
        <v/>
      </c>
      <c r="AD502">
        <f>IF(B502="","",IF(L502&lt;33.0,0,IF(L502&gt;=100*0.8,5,IF(L502&gt;=100*0.7,4,IF(L502&gt;=100*0.6,3.5,IF(L502&gt;=100*0.5,3,IF(L502&gt;=100*0.4,2,IF(L502&gt;=100*0.33,1,0))))))))</f>
        <v/>
      </c>
      <c r="AE502">
        <f>IF(B502="","",IF(M502&lt;33.0,0,IF(M502&gt;=100*0.8,5,IF(M502&gt;=100*0.7,4,IF(M502&gt;=100*0.6,3.5,IF(M502&gt;=100*0.5,3,IF(M502&gt;=100*0.4,2,IF(M502&gt;=100*0.33,1,0))))))))</f>
        <v/>
      </c>
      <c r="AF502">
        <f>IF(B502="","",IF(N502&lt;16.5,0,IF(N502&gt;=50*0.8,5,IF(N502&gt;=50*0.7,4,IF(N502&gt;=50*0.6,3.5,IF(N502&gt;=50*0.5,3,IF(N502&gt;=50*0.4,2,IF(N502&gt;=50*0.33,1,0))))))))</f>
        <v/>
      </c>
      <c r="AG502">
        <f>IF(B502="","",IF(O502&lt;33.0,0,IF(O502&gt;=100*0.8,5,IF(O502&gt;=100*0.7,4,IF(O502&gt;=100*0.6,3.5,IF(O502&gt;=100*0.5,3,IF(O502&gt;=100*0.4,2,IF(O502&gt;=100*0.33,1,0))))))))</f>
        <v/>
      </c>
      <c r="AH502">
        <f>IF(B502="","",IF(OR(U502=0,V502=0,W502=0,X502=0,Y502=0,Z502=0,AA502=0,AB502=0,AC502=0,AD502=0,AE502=0,AF502=0,AG502=0),1,0))</f>
        <v/>
      </c>
    </row>
    <row r="503">
      <c r="A503" s="3">
        <f>IF(B503="","",ROW()-2)</f>
        <v/>
      </c>
      <c r="P503" s="4">
        <f>IF(B503="","",SUM(C503:O503))</f>
        <v/>
      </c>
      <c r="Q503" s="5">
        <f>IF(B503="","",ROUND(P503/13,2))</f>
        <v/>
      </c>
      <c r="R503" s="5">
        <f>IF(B503="","",IF(AH503=1,0,MIN(5,ROUND((U503+V503+W503+X503+Y503+Z503+AA503+AB503+AC503+AD503+AE503+AF503+AG503)/13,2))))</f>
        <v/>
      </c>
      <c r="S503" s="3">
        <f>IF(B503="","",IF(R503&gt;=5,"A+",IF(R503&gt;=4,"A",IF(R503&gt;=3.5,"A-",IF(R503&gt;=3,"B",IF(R503&gt;=2,"C",IF(R503&gt;=1,"D","F")))))))</f>
        <v/>
      </c>
      <c r="T503" s="3">
        <f>IF(OR(B503="",S503="F"),"",COUNTIFS(P:P,"&gt;"&amp;P503,S:S,"&lt;&gt;F")+1)</f>
        <v/>
      </c>
      <c r="U503">
        <f>IF(B503="","",IF(C503&lt;33.0,0,IF(C503&gt;=100*0.8,5,IF(C503&gt;=100*0.7,4,IF(C503&gt;=100*0.6,3.5,IF(C503&gt;=100*0.5,3,IF(C503&gt;=100*0.4,2,IF(C503&gt;=100*0.33,1,0))))))))</f>
        <v/>
      </c>
      <c r="V503">
        <f>IF(B503="","",IF(D503&lt;33.0,0,IF(D503&gt;=100*0.8,5,IF(D503&gt;=100*0.7,4,IF(D503&gt;=100*0.6,3.5,IF(D503&gt;=100*0.5,3,IF(D503&gt;=100*0.4,2,IF(D503&gt;=100*0.33,1,0))))))))</f>
        <v/>
      </c>
      <c r="W503">
        <f>IF(B503="","",IF(E503&lt;16.5,0,IF(E503&gt;=50*0.8,5,IF(E503&gt;=50*0.7,4,IF(E503&gt;=50*0.6,3.5,IF(E503&gt;=50*0.5,3,IF(E503&gt;=50*0.4,2,IF(E503&gt;=50*0.33,1,0))))))))</f>
        <v/>
      </c>
      <c r="X503">
        <f>IF(B503="","",IF(F503&lt;33.0,0,IF(F503&gt;=100*0.8,5,IF(F503&gt;=100*0.7,4,IF(F503&gt;=100*0.6,3.5,IF(F503&gt;=100*0.5,3,IF(F503&gt;=100*0.4,2,IF(F503&gt;=100*0.33,1,0))))))))</f>
        <v/>
      </c>
      <c r="Y503">
        <f>IF(B503="","",IF(G503&lt;16.5,0,IF(G503&gt;=50*0.8,5,IF(G503&gt;=50*0.7,4,IF(G503&gt;=50*0.6,3.5,IF(G503&gt;=50*0.5,3,IF(G503&gt;=50*0.4,2,IF(G503&gt;=50*0.33,1,0))))))))</f>
        <v/>
      </c>
      <c r="Z503">
        <f>IF(B503="","",IF(H503&lt;33.0,0,IF(H503&gt;=100*0.8,5,IF(H503&gt;=100*0.7,4,IF(H503&gt;=100*0.6,3.5,IF(H503&gt;=100*0.5,3,IF(H503&gt;=100*0.4,2,IF(H503&gt;=100*0.33,1,0))))))))</f>
        <v/>
      </c>
      <c r="AA503">
        <f>IF(B503="","",IF(I503&lt;33.0,0,IF(I503&gt;=100*0.8,5,IF(I503&gt;=100*0.7,4,IF(I503&gt;=100*0.6,3.5,IF(I503&gt;=100*0.5,3,IF(I503&gt;=100*0.4,2,IF(I503&gt;=100*0.33,1,0))))))))</f>
        <v/>
      </c>
      <c r="AB503">
        <f>IF(B503="","",IF(J503&lt;33.0,0,IF(J503&gt;=100*0.8,5,IF(J503&gt;=100*0.7,4,IF(J503&gt;=100*0.6,3.5,IF(J503&gt;=100*0.5,3,IF(J503&gt;=100*0.4,2,IF(J503&gt;=100*0.33,1,0))))))))</f>
        <v/>
      </c>
      <c r="AC503">
        <f>IF(B503="","",IF(K503&lt;33.0,0,IF(K503&gt;=100*0.8,5,IF(K503&gt;=100*0.7,4,IF(K503&gt;=100*0.6,3.5,IF(K503&gt;=100*0.5,3,IF(K503&gt;=100*0.4,2,IF(K503&gt;=100*0.33,1,0))))))))</f>
        <v/>
      </c>
      <c r="AD503">
        <f>IF(B503="","",IF(L503&lt;33.0,0,IF(L503&gt;=100*0.8,5,IF(L503&gt;=100*0.7,4,IF(L503&gt;=100*0.6,3.5,IF(L503&gt;=100*0.5,3,IF(L503&gt;=100*0.4,2,IF(L503&gt;=100*0.33,1,0))))))))</f>
        <v/>
      </c>
      <c r="AE503">
        <f>IF(B503="","",IF(M503&lt;33.0,0,IF(M503&gt;=100*0.8,5,IF(M503&gt;=100*0.7,4,IF(M503&gt;=100*0.6,3.5,IF(M503&gt;=100*0.5,3,IF(M503&gt;=100*0.4,2,IF(M503&gt;=100*0.33,1,0))))))))</f>
        <v/>
      </c>
      <c r="AF503">
        <f>IF(B503="","",IF(N503&lt;16.5,0,IF(N503&gt;=50*0.8,5,IF(N503&gt;=50*0.7,4,IF(N503&gt;=50*0.6,3.5,IF(N503&gt;=50*0.5,3,IF(N503&gt;=50*0.4,2,IF(N503&gt;=50*0.33,1,0))))))))</f>
        <v/>
      </c>
      <c r="AG503">
        <f>IF(B503="","",IF(O503&lt;33.0,0,IF(O503&gt;=100*0.8,5,IF(O503&gt;=100*0.7,4,IF(O503&gt;=100*0.6,3.5,IF(O503&gt;=100*0.5,3,IF(O503&gt;=100*0.4,2,IF(O503&gt;=100*0.33,1,0))))))))</f>
        <v/>
      </c>
      <c r="AH503">
        <f>IF(B503="","",IF(OR(U503=0,V503=0,W503=0,X503=0,Y503=0,Z503=0,AA503=0,AB503=0,AC503=0,AD503=0,AE503=0,AF503=0,AG503=0),1,0))</f>
        <v/>
      </c>
    </row>
    <row r="504">
      <c r="A504" s="3">
        <f>IF(B504="","",ROW()-2)</f>
        <v/>
      </c>
      <c r="P504" s="4">
        <f>IF(B504="","",SUM(C504:O504))</f>
        <v/>
      </c>
      <c r="Q504" s="5">
        <f>IF(B504="","",ROUND(P504/13,2))</f>
        <v/>
      </c>
      <c r="R504" s="5">
        <f>IF(B504="","",IF(AH504=1,0,MIN(5,ROUND((U504+V504+W504+X504+Y504+Z504+AA504+AB504+AC504+AD504+AE504+AF504+AG504)/13,2))))</f>
        <v/>
      </c>
      <c r="S504" s="3">
        <f>IF(B504="","",IF(R504&gt;=5,"A+",IF(R504&gt;=4,"A",IF(R504&gt;=3.5,"A-",IF(R504&gt;=3,"B",IF(R504&gt;=2,"C",IF(R504&gt;=1,"D","F")))))))</f>
        <v/>
      </c>
      <c r="T504" s="3">
        <f>IF(OR(B504="",S504="F"),"",COUNTIFS(P:P,"&gt;"&amp;P504,S:S,"&lt;&gt;F")+1)</f>
        <v/>
      </c>
      <c r="U504">
        <f>IF(B504="","",IF(C504&lt;33.0,0,IF(C504&gt;=100*0.8,5,IF(C504&gt;=100*0.7,4,IF(C504&gt;=100*0.6,3.5,IF(C504&gt;=100*0.5,3,IF(C504&gt;=100*0.4,2,IF(C504&gt;=100*0.33,1,0))))))))</f>
        <v/>
      </c>
      <c r="V504">
        <f>IF(B504="","",IF(D504&lt;33.0,0,IF(D504&gt;=100*0.8,5,IF(D504&gt;=100*0.7,4,IF(D504&gt;=100*0.6,3.5,IF(D504&gt;=100*0.5,3,IF(D504&gt;=100*0.4,2,IF(D504&gt;=100*0.33,1,0))))))))</f>
        <v/>
      </c>
      <c r="W504">
        <f>IF(B504="","",IF(E504&lt;16.5,0,IF(E504&gt;=50*0.8,5,IF(E504&gt;=50*0.7,4,IF(E504&gt;=50*0.6,3.5,IF(E504&gt;=50*0.5,3,IF(E504&gt;=50*0.4,2,IF(E504&gt;=50*0.33,1,0))))))))</f>
        <v/>
      </c>
      <c r="X504">
        <f>IF(B504="","",IF(F504&lt;33.0,0,IF(F504&gt;=100*0.8,5,IF(F504&gt;=100*0.7,4,IF(F504&gt;=100*0.6,3.5,IF(F504&gt;=100*0.5,3,IF(F504&gt;=100*0.4,2,IF(F504&gt;=100*0.33,1,0))))))))</f>
        <v/>
      </c>
      <c r="Y504">
        <f>IF(B504="","",IF(G504&lt;16.5,0,IF(G504&gt;=50*0.8,5,IF(G504&gt;=50*0.7,4,IF(G504&gt;=50*0.6,3.5,IF(G504&gt;=50*0.5,3,IF(G504&gt;=50*0.4,2,IF(G504&gt;=50*0.33,1,0))))))))</f>
        <v/>
      </c>
      <c r="Z504">
        <f>IF(B504="","",IF(H504&lt;33.0,0,IF(H504&gt;=100*0.8,5,IF(H504&gt;=100*0.7,4,IF(H504&gt;=100*0.6,3.5,IF(H504&gt;=100*0.5,3,IF(H504&gt;=100*0.4,2,IF(H504&gt;=100*0.33,1,0))))))))</f>
        <v/>
      </c>
      <c r="AA504">
        <f>IF(B504="","",IF(I504&lt;33.0,0,IF(I504&gt;=100*0.8,5,IF(I504&gt;=100*0.7,4,IF(I504&gt;=100*0.6,3.5,IF(I504&gt;=100*0.5,3,IF(I504&gt;=100*0.4,2,IF(I504&gt;=100*0.33,1,0))))))))</f>
        <v/>
      </c>
      <c r="AB504">
        <f>IF(B504="","",IF(J504&lt;33.0,0,IF(J504&gt;=100*0.8,5,IF(J504&gt;=100*0.7,4,IF(J504&gt;=100*0.6,3.5,IF(J504&gt;=100*0.5,3,IF(J504&gt;=100*0.4,2,IF(J504&gt;=100*0.33,1,0))))))))</f>
        <v/>
      </c>
      <c r="AC504">
        <f>IF(B504="","",IF(K504&lt;33.0,0,IF(K504&gt;=100*0.8,5,IF(K504&gt;=100*0.7,4,IF(K504&gt;=100*0.6,3.5,IF(K504&gt;=100*0.5,3,IF(K504&gt;=100*0.4,2,IF(K504&gt;=100*0.33,1,0))))))))</f>
        <v/>
      </c>
      <c r="AD504">
        <f>IF(B504="","",IF(L504&lt;33.0,0,IF(L504&gt;=100*0.8,5,IF(L504&gt;=100*0.7,4,IF(L504&gt;=100*0.6,3.5,IF(L504&gt;=100*0.5,3,IF(L504&gt;=100*0.4,2,IF(L504&gt;=100*0.33,1,0))))))))</f>
        <v/>
      </c>
      <c r="AE504">
        <f>IF(B504="","",IF(M504&lt;33.0,0,IF(M504&gt;=100*0.8,5,IF(M504&gt;=100*0.7,4,IF(M504&gt;=100*0.6,3.5,IF(M504&gt;=100*0.5,3,IF(M504&gt;=100*0.4,2,IF(M504&gt;=100*0.33,1,0))))))))</f>
        <v/>
      </c>
      <c r="AF504">
        <f>IF(B504="","",IF(N504&lt;16.5,0,IF(N504&gt;=50*0.8,5,IF(N504&gt;=50*0.7,4,IF(N504&gt;=50*0.6,3.5,IF(N504&gt;=50*0.5,3,IF(N504&gt;=50*0.4,2,IF(N504&gt;=50*0.33,1,0))))))))</f>
        <v/>
      </c>
      <c r="AG504">
        <f>IF(B504="","",IF(O504&lt;33.0,0,IF(O504&gt;=100*0.8,5,IF(O504&gt;=100*0.7,4,IF(O504&gt;=100*0.6,3.5,IF(O504&gt;=100*0.5,3,IF(O504&gt;=100*0.4,2,IF(O504&gt;=100*0.33,1,0))))))))</f>
        <v/>
      </c>
      <c r="AH504">
        <f>IF(B504="","",IF(OR(U504=0,V504=0,W504=0,X504=0,Y504=0,Z504=0,AA504=0,AB504=0,AC504=0,AD504=0,AE504=0,AF504=0,AG504=0),1,0))</f>
        <v/>
      </c>
    </row>
    <row r="505">
      <c r="A505" s="3">
        <f>IF(B505="","",ROW()-2)</f>
        <v/>
      </c>
      <c r="P505" s="4">
        <f>IF(B505="","",SUM(C505:O505))</f>
        <v/>
      </c>
      <c r="Q505" s="5">
        <f>IF(B505="","",ROUND(P505/13,2))</f>
        <v/>
      </c>
      <c r="R505" s="5">
        <f>IF(B505="","",IF(AH505=1,0,MIN(5,ROUND((U505+V505+W505+X505+Y505+Z505+AA505+AB505+AC505+AD505+AE505+AF505+AG505)/13,2))))</f>
        <v/>
      </c>
      <c r="S505" s="3">
        <f>IF(B505="","",IF(R505&gt;=5,"A+",IF(R505&gt;=4,"A",IF(R505&gt;=3.5,"A-",IF(R505&gt;=3,"B",IF(R505&gt;=2,"C",IF(R505&gt;=1,"D","F")))))))</f>
        <v/>
      </c>
      <c r="T505" s="3">
        <f>IF(OR(B505="",S505="F"),"",COUNTIFS(P:P,"&gt;"&amp;P505,S:S,"&lt;&gt;F")+1)</f>
        <v/>
      </c>
      <c r="U505">
        <f>IF(B505="","",IF(C505&lt;33.0,0,IF(C505&gt;=100*0.8,5,IF(C505&gt;=100*0.7,4,IF(C505&gt;=100*0.6,3.5,IF(C505&gt;=100*0.5,3,IF(C505&gt;=100*0.4,2,IF(C505&gt;=100*0.33,1,0))))))))</f>
        <v/>
      </c>
      <c r="V505">
        <f>IF(B505="","",IF(D505&lt;33.0,0,IF(D505&gt;=100*0.8,5,IF(D505&gt;=100*0.7,4,IF(D505&gt;=100*0.6,3.5,IF(D505&gt;=100*0.5,3,IF(D505&gt;=100*0.4,2,IF(D505&gt;=100*0.33,1,0))))))))</f>
        <v/>
      </c>
      <c r="W505">
        <f>IF(B505="","",IF(E505&lt;16.5,0,IF(E505&gt;=50*0.8,5,IF(E505&gt;=50*0.7,4,IF(E505&gt;=50*0.6,3.5,IF(E505&gt;=50*0.5,3,IF(E505&gt;=50*0.4,2,IF(E505&gt;=50*0.33,1,0))))))))</f>
        <v/>
      </c>
      <c r="X505">
        <f>IF(B505="","",IF(F505&lt;33.0,0,IF(F505&gt;=100*0.8,5,IF(F505&gt;=100*0.7,4,IF(F505&gt;=100*0.6,3.5,IF(F505&gt;=100*0.5,3,IF(F505&gt;=100*0.4,2,IF(F505&gt;=100*0.33,1,0))))))))</f>
        <v/>
      </c>
      <c r="Y505">
        <f>IF(B505="","",IF(G505&lt;16.5,0,IF(G505&gt;=50*0.8,5,IF(G505&gt;=50*0.7,4,IF(G505&gt;=50*0.6,3.5,IF(G505&gt;=50*0.5,3,IF(G505&gt;=50*0.4,2,IF(G505&gt;=50*0.33,1,0))))))))</f>
        <v/>
      </c>
      <c r="Z505">
        <f>IF(B505="","",IF(H505&lt;33.0,0,IF(H505&gt;=100*0.8,5,IF(H505&gt;=100*0.7,4,IF(H505&gt;=100*0.6,3.5,IF(H505&gt;=100*0.5,3,IF(H505&gt;=100*0.4,2,IF(H505&gt;=100*0.33,1,0))))))))</f>
        <v/>
      </c>
      <c r="AA505">
        <f>IF(B505="","",IF(I505&lt;33.0,0,IF(I505&gt;=100*0.8,5,IF(I505&gt;=100*0.7,4,IF(I505&gt;=100*0.6,3.5,IF(I505&gt;=100*0.5,3,IF(I505&gt;=100*0.4,2,IF(I505&gt;=100*0.33,1,0))))))))</f>
        <v/>
      </c>
      <c r="AB505">
        <f>IF(B505="","",IF(J505&lt;33.0,0,IF(J505&gt;=100*0.8,5,IF(J505&gt;=100*0.7,4,IF(J505&gt;=100*0.6,3.5,IF(J505&gt;=100*0.5,3,IF(J505&gt;=100*0.4,2,IF(J505&gt;=100*0.33,1,0))))))))</f>
        <v/>
      </c>
      <c r="AC505">
        <f>IF(B505="","",IF(K505&lt;33.0,0,IF(K505&gt;=100*0.8,5,IF(K505&gt;=100*0.7,4,IF(K505&gt;=100*0.6,3.5,IF(K505&gt;=100*0.5,3,IF(K505&gt;=100*0.4,2,IF(K505&gt;=100*0.33,1,0))))))))</f>
        <v/>
      </c>
      <c r="AD505">
        <f>IF(B505="","",IF(L505&lt;33.0,0,IF(L505&gt;=100*0.8,5,IF(L505&gt;=100*0.7,4,IF(L505&gt;=100*0.6,3.5,IF(L505&gt;=100*0.5,3,IF(L505&gt;=100*0.4,2,IF(L505&gt;=100*0.33,1,0))))))))</f>
        <v/>
      </c>
      <c r="AE505">
        <f>IF(B505="","",IF(M505&lt;33.0,0,IF(M505&gt;=100*0.8,5,IF(M505&gt;=100*0.7,4,IF(M505&gt;=100*0.6,3.5,IF(M505&gt;=100*0.5,3,IF(M505&gt;=100*0.4,2,IF(M505&gt;=100*0.33,1,0))))))))</f>
        <v/>
      </c>
      <c r="AF505">
        <f>IF(B505="","",IF(N505&lt;16.5,0,IF(N505&gt;=50*0.8,5,IF(N505&gt;=50*0.7,4,IF(N505&gt;=50*0.6,3.5,IF(N505&gt;=50*0.5,3,IF(N505&gt;=50*0.4,2,IF(N505&gt;=50*0.33,1,0))))))))</f>
        <v/>
      </c>
      <c r="AG505">
        <f>IF(B505="","",IF(O505&lt;33.0,0,IF(O505&gt;=100*0.8,5,IF(O505&gt;=100*0.7,4,IF(O505&gt;=100*0.6,3.5,IF(O505&gt;=100*0.5,3,IF(O505&gt;=100*0.4,2,IF(O505&gt;=100*0.33,1,0))))))))</f>
        <v/>
      </c>
      <c r="AH505">
        <f>IF(B505="","",IF(OR(U505=0,V505=0,W505=0,X505=0,Y505=0,Z505=0,AA505=0,AB505=0,AC505=0,AD505=0,AE505=0,AF505=0,AG505=0),1,0))</f>
        <v/>
      </c>
    </row>
    <row r="506">
      <c r="A506" s="3">
        <f>IF(B506="","",ROW()-2)</f>
        <v/>
      </c>
      <c r="P506" s="4">
        <f>IF(B506="","",SUM(C506:O506))</f>
        <v/>
      </c>
      <c r="Q506" s="5">
        <f>IF(B506="","",ROUND(P506/13,2))</f>
        <v/>
      </c>
      <c r="R506" s="5">
        <f>IF(B506="","",IF(AH506=1,0,MIN(5,ROUND((U506+V506+W506+X506+Y506+Z506+AA506+AB506+AC506+AD506+AE506+AF506+AG506)/13,2))))</f>
        <v/>
      </c>
      <c r="S506" s="3">
        <f>IF(B506="","",IF(R506&gt;=5,"A+",IF(R506&gt;=4,"A",IF(R506&gt;=3.5,"A-",IF(R506&gt;=3,"B",IF(R506&gt;=2,"C",IF(R506&gt;=1,"D","F")))))))</f>
        <v/>
      </c>
      <c r="T506" s="3">
        <f>IF(OR(B506="",S506="F"),"",COUNTIFS(P:P,"&gt;"&amp;P506,S:S,"&lt;&gt;F")+1)</f>
        <v/>
      </c>
      <c r="U506">
        <f>IF(B506="","",IF(C506&lt;33.0,0,IF(C506&gt;=100*0.8,5,IF(C506&gt;=100*0.7,4,IF(C506&gt;=100*0.6,3.5,IF(C506&gt;=100*0.5,3,IF(C506&gt;=100*0.4,2,IF(C506&gt;=100*0.33,1,0))))))))</f>
        <v/>
      </c>
      <c r="V506">
        <f>IF(B506="","",IF(D506&lt;33.0,0,IF(D506&gt;=100*0.8,5,IF(D506&gt;=100*0.7,4,IF(D506&gt;=100*0.6,3.5,IF(D506&gt;=100*0.5,3,IF(D506&gt;=100*0.4,2,IF(D506&gt;=100*0.33,1,0))))))))</f>
        <v/>
      </c>
      <c r="W506">
        <f>IF(B506="","",IF(E506&lt;16.5,0,IF(E506&gt;=50*0.8,5,IF(E506&gt;=50*0.7,4,IF(E506&gt;=50*0.6,3.5,IF(E506&gt;=50*0.5,3,IF(E506&gt;=50*0.4,2,IF(E506&gt;=50*0.33,1,0))))))))</f>
        <v/>
      </c>
      <c r="X506">
        <f>IF(B506="","",IF(F506&lt;33.0,0,IF(F506&gt;=100*0.8,5,IF(F506&gt;=100*0.7,4,IF(F506&gt;=100*0.6,3.5,IF(F506&gt;=100*0.5,3,IF(F506&gt;=100*0.4,2,IF(F506&gt;=100*0.33,1,0))))))))</f>
        <v/>
      </c>
      <c r="Y506">
        <f>IF(B506="","",IF(G506&lt;16.5,0,IF(G506&gt;=50*0.8,5,IF(G506&gt;=50*0.7,4,IF(G506&gt;=50*0.6,3.5,IF(G506&gt;=50*0.5,3,IF(G506&gt;=50*0.4,2,IF(G506&gt;=50*0.33,1,0))))))))</f>
        <v/>
      </c>
      <c r="Z506">
        <f>IF(B506="","",IF(H506&lt;33.0,0,IF(H506&gt;=100*0.8,5,IF(H506&gt;=100*0.7,4,IF(H506&gt;=100*0.6,3.5,IF(H506&gt;=100*0.5,3,IF(H506&gt;=100*0.4,2,IF(H506&gt;=100*0.33,1,0))))))))</f>
        <v/>
      </c>
      <c r="AA506">
        <f>IF(B506="","",IF(I506&lt;33.0,0,IF(I506&gt;=100*0.8,5,IF(I506&gt;=100*0.7,4,IF(I506&gt;=100*0.6,3.5,IF(I506&gt;=100*0.5,3,IF(I506&gt;=100*0.4,2,IF(I506&gt;=100*0.33,1,0))))))))</f>
        <v/>
      </c>
      <c r="AB506">
        <f>IF(B506="","",IF(J506&lt;33.0,0,IF(J506&gt;=100*0.8,5,IF(J506&gt;=100*0.7,4,IF(J506&gt;=100*0.6,3.5,IF(J506&gt;=100*0.5,3,IF(J506&gt;=100*0.4,2,IF(J506&gt;=100*0.33,1,0))))))))</f>
        <v/>
      </c>
      <c r="AC506">
        <f>IF(B506="","",IF(K506&lt;33.0,0,IF(K506&gt;=100*0.8,5,IF(K506&gt;=100*0.7,4,IF(K506&gt;=100*0.6,3.5,IF(K506&gt;=100*0.5,3,IF(K506&gt;=100*0.4,2,IF(K506&gt;=100*0.33,1,0))))))))</f>
        <v/>
      </c>
      <c r="AD506">
        <f>IF(B506="","",IF(L506&lt;33.0,0,IF(L506&gt;=100*0.8,5,IF(L506&gt;=100*0.7,4,IF(L506&gt;=100*0.6,3.5,IF(L506&gt;=100*0.5,3,IF(L506&gt;=100*0.4,2,IF(L506&gt;=100*0.33,1,0))))))))</f>
        <v/>
      </c>
      <c r="AE506">
        <f>IF(B506="","",IF(M506&lt;33.0,0,IF(M506&gt;=100*0.8,5,IF(M506&gt;=100*0.7,4,IF(M506&gt;=100*0.6,3.5,IF(M506&gt;=100*0.5,3,IF(M506&gt;=100*0.4,2,IF(M506&gt;=100*0.33,1,0))))))))</f>
        <v/>
      </c>
      <c r="AF506">
        <f>IF(B506="","",IF(N506&lt;16.5,0,IF(N506&gt;=50*0.8,5,IF(N506&gt;=50*0.7,4,IF(N506&gt;=50*0.6,3.5,IF(N506&gt;=50*0.5,3,IF(N506&gt;=50*0.4,2,IF(N506&gt;=50*0.33,1,0))))))))</f>
        <v/>
      </c>
      <c r="AG506">
        <f>IF(B506="","",IF(O506&lt;33.0,0,IF(O506&gt;=100*0.8,5,IF(O506&gt;=100*0.7,4,IF(O506&gt;=100*0.6,3.5,IF(O506&gt;=100*0.5,3,IF(O506&gt;=100*0.4,2,IF(O506&gt;=100*0.33,1,0))))))))</f>
        <v/>
      </c>
      <c r="AH506">
        <f>IF(B506="","",IF(OR(U506=0,V506=0,W506=0,X506=0,Y506=0,Z506=0,AA506=0,AB506=0,AC506=0,AD506=0,AE506=0,AF506=0,AG506=0),1,0))</f>
        <v/>
      </c>
    </row>
    <row r="507">
      <c r="A507" s="3">
        <f>IF(B507="","",ROW()-2)</f>
        <v/>
      </c>
      <c r="P507" s="4">
        <f>IF(B507="","",SUM(C507:O507))</f>
        <v/>
      </c>
      <c r="Q507" s="5">
        <f>IF(B507="","",ROUND(P507/13,2))</f>
        <v/>
      </c>
      <c r="R507" s="5">
        <f>IF(B507="","",IF(AH507=1,0,MIN(5,ROUND((U507+V507+W507+X507+Y507+Z507+AA507+AB507+AC507+AD507+AE507+AF507+AG507)/13,2))))</f>
        <v/>
      </c>
      <c r="S507" s="3">
        <f>IF(B507="","",IF(R507&gt;=5,"A+",IF(R507&gt;=4,"A",IF(R507&gt;=3.5,"A-",IF(R507&gt;=3,"B",IF(R507&gt;=2,"C",IF(R507&gt;=1,"D","F")))))))</f>
        <v/>
      </c>
      <c r="T507" s="3">
        <f>IF(OR(B507="",S507="F"),"",COUNTIFS(P:P,"&gt;"&amp;P507,S:S,"&lt;&gt;F")+1)</f>
        <v/>
      </c>
      <c r="U507">
        <f>IF(B507="","",IF(C507&lt;33.0,0,IF(C507&gt;=100*0.8,5,IF(C507&gt;=100*0.7,4,IF(C507&gt;=100*0.6,3.5,IF(C507&gt;=100*0.5,3,IF(C507&gt;=100*0.4,2,IF(C507&gt;=100*0.33,1,0))))))))</f>
        <v/>
      </c>
      <c r="V507">
        <f>IF(B507="","",IF(D507&lt;33.0,0,IF(D507&gt;=100*0.8,5,IF(D507&gt;=100*0.7,4,IF(D507&gt;=100*0.6,3.5,IF(D507&gt;=100*0.5,3,IF(D507&gt;=100*0.4,2,IF(D507&gt;=100*0.33,1,0))))))))</f>
        <v/>
      </c>
      <c r="W507">
        <f>IF(B507="","",IF(E507&lt;16.5,0,IF(E507&gt;=50*0.8,5,IF(E507&gt;=50*0.7,4,IF(E507&gt;=50*0.6,3.5,IF(E507&gt;=50*0.5,3,IF(E507&gt;=50*0.4,2,IF(E507&gt;=50*0.33,1,0))))))))</f>
        <v/>
      </c>
      <c r="X507">
        <f>IF(B507="","",IF(F507&lt;33.0,0,IF(F507&gt;=100*0.8,5,IF(F507&gt;=100*0.7,4,IF(F507&gt;=100*0.6,3.5,IF(F507&gt;=100*0.5,3,IF(F507&gt;=100*0.4,2,IF(F507&gt;=100*0.33,1,0))))))))</f>
        <v/>
      </c>
      <c r="Y507">
        <f>IF(B507="","",IF(G507&lt;16.5,0,IF(G507&gt;=50*0.8,5,IF(G507&gt;=50*0.7,4,IF(G507&gt;=50*0.6,3.5,IF(G507&gt;=50*0.5,3,IF(G507&gt;=50*0.4,2,IF(G507&gt;=50*0.33,1,0))))))))</f>
        <v/>
      </c>
      <c r="Z507">
        <f>IF(B507="","",IF(H507&lt;33.0,0,IF(H507&gt;=100*0.8,5,IF(H507&gt;=100*0.7,4,IF(H507&gt;=100*0.6,3.5,IF(H507&gt;=100*0.5,3,IF(H507&gt;=100*0.4,2,IF(H507&gt;=100*0.33,1,0))))))))</f>
        <v/>
      </c>
      <c r="AA507">
        <f>IF(B507="","",IF(I507&lt;33.0,0,IF(I507&gt;=100*0.8,5,IF(I507&gt;=100*0.7,4,IF(I507&gt;=100*0.6,3.5,IF(I507&gt;=100*0.5,3,IF(I507&gt;=100*0.4,2,IF(I507&gt;=100*0.33,1,0))))))))</f>
        <v/>
      </c>
      <c r="AB507">
        <f>IF(B507="","",IF(J507&lt;33.0,0,IF(J507&gt;=100*0.8,5,IF(J507&gt;=100*0.7,4,IF(J507&gt;=100*0.6,3.5,IF(J507&gt;=100*0.5,3,IF(J507&gt;=100*0.4,2,IF(J507&gt;=100*0.33,1,0))))))))</f>
        <v/>
      </c>
      <c r="AC507">
        <f>IF(B507="","",IF(K507&lt;33.0,0,IF(K507&gt;=100*0.8,5,IF(K507&gt;=100*0.7,4,IF(K507&gt;=100*0.6,3.5,IF(K507&gt;=100*0.5,3,IF(K507&gt;=100*0.4,2,IF(K507&gt;=100*0.33,1,0))))))))</f>
        <v/>
      </c>
      <c r="AD507">
        <f>IF(B507="","",IF(L507&lt;33.0,0,IF(L507&gt;=100*0.8,5,IF(L507&gt;=100*0.7,4,IF(L507&gt;=100*0.6,3.5,IF(L507&gt;=100*0.5,3,IF(L507&gt;=100*0.4,2,IF(L507&gt;=100*0.33,1,0))))))))</f>
        <v/>
      </c>
      <c r="AE507">
        <f>IF(B507="","",IF(M507&lt;33.0,0,IF(M507&gt;=100*0.8,5,IF(M507&gt;=100*0.7,4,IF(M507&gt;=100*0.6,3.5,IF(M507&gt;=100*0.5,3,IF(M507&gt;=100*0.4,2,IF(M507&gt;=100*0.33,1,0))))))))</f>
        <v/>
      </c>
      <c r="AF507">
        <f>IF(B507="","",IF(N507&lt;16.5,0,IF(N507&gt;=50*0.8,5,IF(N507&gt;=50*0.7,4,IF(N507&gt;=50*0.6,3.5,IF(N507&gt;=50*0.5,3,IF(N507&gt;=50*0.4,2,IF(N507&gt;=50*0.33,1,0))))))))</f>
        <v/>
      </c>
      <c r="AG507">
        <f>IF(B507="","",IF(O507&lt;33.0,0,IF(O507&gt;=100*0.8,5,IF(O507&gt;=100*0.7,4,IF(O507&gt;=100*0.6,3.5,IF(O507&gt;=100*0.5,3,IF(O507&gt;=100*0.4,2,IF(O507&gt;=100*0.33,1,0))))))))</f>
        <v/>
      </c>
      <c r="AH507">
        <f>IF(B507="","",IF(OR(U507=0,V507=0,W507=0,X507=0,Y507=0,Z507=0,AA507=0,AB507=0,AC507=0,AD507=0,AE507=0,AF507=0,AG507=0),1,0))</f>
        <v/>
      </c>
    </row>
    <row r="508">
      <c r="A508" s="3">
        <f>IF(B508="","",ROW()-2)</f>
        <v/>
      </c>
      <c r="P508" s="4">
        <f>IF(B508="","",SUM(C508:O508))</f>
        <v/>
      </c>
      <c r="Q508" s="5">
        <f>IF(B508="","",ROUND(P508/13,2))</f>
        <v/>
      </c>
      <c r="R508" s="5">
        <f>IF(B508="","",IF(AH508=1,0,MIN(5,ROUND((U508+V508+W508+X508+Y508+Z508+AA508+AB508+AC508+AD508+AE508+AF508+AG508)/13,2))))</f>
        <v/>
      </c>
      <c r="S508" s="3">
        <f>IF(B508="","",IF(R508&gt;=5,"A+",IF(R508&gt;=4,"A",IF(R508&gt;=3.5,"A-",IF(R508&gt;=3,"B",IF(R508&gt;=2,"C",IF(R508&gt;=1,"D","F")))))))</f>
        <v/>
      </c>
      <c r="T508" s="3">
        <f>IF(OR(B508="",S508="F"),"",COUNTIFS(P:P,"&gt;"&amp;P508,S:S,"&lt;&gt;F")+1)</f>
        <v/>
      </c>
      <c r="U508">
        <f>IF(B508="","",IF(C508&lt;33.0,0,IF(C508&gt;=100*0.8,5,IF(C508&gt;=100*0.7,4,IF(C508&gt;=100*0.6,3.5,IF(C508&gt;=100*0.5,3,IF(C508&gt;=100*0.4,2,IF(C508&gt;=100*0.33,1,0))))))))</f>
        <v/>
      </c>
      <c r="V508">
        <f>IF(B508="","",IF(D508&lt;33.0,0,IF(D508&gt;=100*0.8,5,IF(D508&gt;=100*0.7,4,IF(D508&gt;=100*0.6,3.5,IF(D508&gt;=100*0.5,3,IF(D508&gt;=100*0.4,2,IF(D508&gt;=100*0.33,1,0))))))))</f>
        <v/>
      </c>
      <c r="W508">
        <f>IF(B508="","",IF(E508&lt;16.5,0,IF(E508&gt;=50*0.8,5,IF(E508&gt;=50*0.7,4,IF(E508&gt;=50*0.6,3.5,IF(E508&gt;=50*0.5,3,IF(E508&gt;=50*0.4,2,IF(E508&gt;=50*0.33,1,0))))))))</f>
        <v/>
      </c>
      <c r="X508">
        <f>IF(B508="","",IF(F508&lt;33.0,0,IF(F508&gt;=100*0.8,5,IF(F508&gt;=100*0.7,4,IF(F508&gt;=100*0.6,3.5,IF(F508&gt;=100*0.5,3,IF(F508&gt;=100*0.4,2,IF(F508&gt;=100*0.33,1,0))))))))</f>
        <v/>
      </c>
      <c r="Y508">
        <f>IF(B508="","",IF(G508&lt;16.5,0,IF(G508&gt;=50*0.8,5,IF(G508&gt;=50*0.7,4,IF(G508&gt;=50*0.6,3.5,IF(G508&gt;=50*0.5,3,IF(G508&gt;=50*0.4,2,IF(G508&gt;=50*0.33,1,0))))))))</f>
        <v/>
      </c>
      <c r="Z508">
        <f>IF(B508="","",IF(H508&lt;33.0,0,IF(H508&gt;=100*0.8,5,IF(H508&gt;=100*0.7,4,IF(H508&gt;=100*0.6,3.5,IF(H508&gt;=100*0.5,3,IF(H508&gt;=100*0.4,2,IF(H508&gt;=100*0.33,1,0))))))))</f>
        <v/>
      </c>
      <c r="AA508">
        <f>IF(B508="","",IF(I508&lt;33.0,0,IF(I508&gt;=100*0.8,5,IF(I508&gt;=100*0.7,4,IF(I508&gt;=100*0.6,3.5,IF(I508&gt;=100*0.5,3,IF(I508&gt;=100*0.4,2,IF(I508&gt;=100*0.33,1,0))))))))</f>
        <v/>
      </c>
      <c r="AB508">
        <f>IF(B508="","",IF(J508&lt;33.0,0,IF(J508&gt;=100*0.8,5,IF(J508&gt;=100*0.7,4,IF(J508&gt;=100*0.6,3.5,IF(J508&gt;=100*0.5,3,IF(J508&gt;=100*0.4,2,IF(J508&gt;=100*0.33,1,0))))))))</f>
        <v/>
      </c>
      <c r="AC508">
        <f>IF(B508="","",IF(K508&lt;33.0,0,IF(K508&gt;=100*0.8,5,IF(K508&gt;=100*0.7,4,IF(K508&gt;=100*0.6,3.5,IF(K508&gt;=100*0.5,3,IF(K508&gt;=100*0.4,2,IF(K508&gt;=100*0.33,1,0))))))))</f>
        <v/>
      </c>
      <c r="AD508">
        <f>IF(B508="","",IF(L508&lt;33.0,0,IF(L508&gt;=100*0.8,5,IF(L508&gt;=100*0.7,4,IF(L508&gt;=100*0.6,3.5,IF(L508&gt;=100*0.5,3,IF(L508&gt;=100*0.4,2,IF(L508&gt;=100*0.33,1,0))))))))</f>
        <v/>
      </c>
      <c r="AE508">
        <f>IF(B508="","",IF(M508&lt;33.0,0,IF(M508&gt;=100*0.8,5,IF(M508&gt;=100*0.7,4,IF(M508&gt;=100*0.6,3.5,IF(M508&gt;=100*0.5,3,IF(M508&gt;=100*0.4,2,IF(M508&gt;=100*0.33,1,0))))))))</f>
        <v/>
      </c>
      <c r="AF508">
        <f>IF(B508="","",IF(N508&lt;16.5,0,IF(N508&gt;=50*0.8,5,IF(N508&gt;=50*0.7,4,IF(N508&gt;=50*0.6,3.5,IF(N508&gt;=50*0.5,3,IF(N508&gt;=50*0.4,2,IF(N508&gt;=50*0.33,1,0))))))))</f>
        <v/>
      </c>
      <c r="AG508">
        <f>IF(B508="","",IF(O508&lt;33.0,0,IF(O508&gt;=100*0.8,5,IF(O508&gt;=100*0.7,4,IF(O508&gt;=100*0.6,3.5,IF(O508&gt;=100*0.5,3,IF(O508&gt;=100*0.4,2,IF(O508&gt;=100*0.33,1,0))))))))</f>
        <v/>
      </c>
      <c r="AH508">
        <f>IF(B508="","",IF(OR(U508=0,V508=0,W508=0,X508=0,Y508=0,Z508=0,AA508=0,AB508=0,AC508=0,AD508=0,AE508=0,AF508=0,AG508=0),1,0))</f>
        <v/>
      </c>
    </row>
    <row r="509">
      <c r="A509" s="3">
        <f>IF(B509="","",ROW()-2)</f>
        <v/>
      </c>
      <c r="P509" s="4">
        <f>IF(B509="","",SUM(C509:O509))</f>
        <v/>
      </c>
      <c r="Q509" s="5">
        <f>IF(B509="","",ROUND(P509/13,2))</f>
        <v/>
      </c>
      <c r="R509" s="5">
        <f>IF(B509="","",IF(AH509=1,0,MIN(5,ROUND((U509+V509+W509+X509+Y509+Z509+AA509+AB509+AC509+AD509+AE509+AF509+AG509)/13,2))))</f>
        <v/>
      </c>
      <c r="S509" s="3">
        <f>IF(B509="","",IF(R509&gt;=5,"A+",IF(R509&gt;=4,"A",IF(R509&gt;=3.5,"A-",IF(R509&gt;=3,"B",IF(R509&gt;=2,"C",IF(R509&gt;=1,"D","F")))))))</f>
        <v/>
      </c>
      <c r="T509" s="3">
        <f>IF(OR(B509="",S509="F"),"",COUNTIFS(P:P,"&gt;"&amp;P509,S:S,"&lt;&gt;F")+1)</f>
        <v/>
      </c>
      <c r="U509">
        <f>IF(B509="","",IF(C509&lt;33.0,0,IF(C509&gt;=100*0.8,5,IF(C509&gt;=100*0.7,4,IF(C509&gt;=100*0.6,3.5,IF(C509&gt;=100*0.5,3,IF(C509&gt;=100*0.4,2,IF(C509&gt;=100*0.33,1,0))))))))</f>
        <v/>
      </c>
      <c r="V509">
        <f>IF(B509="","",IF(D509&lt;33.0,0,IF(D509&gt;=100*0.8,5,IF(D509&gt;=100*0.7,4,IF(D509&gt;=100*0.6,3.5,IF(D509&gt;=100*0.5,3,IF(D509&gt;=100*0.4,2,IF(D509&gt;=100*0.33,1,0))))))))</f>
        <v/>
      </c>
      <c r="W509">
        <f>IF(B509="","",IF(E509&lt;16.5,0,IF(E509&gt;=50*0.8,5,IF(E509&gt;=50*0.7,4,IF(E509&gt;=50*0.6,3.5,IF(E509&gt;=50*0.5,3,IF(E509&gt;=50*0.4,2,IF(E509&gt;=50*0.33,1,0))))))))</f>
        <v/>
      </c>
      <c r="X509">
        <f>IF(B509="","",IF(F509&lt;33.0,0,IF(F509&gt;=100*0.8,5,IF(F509&gt;=100*0.7,4,IF(F509&gt;=100*0.6,3.5,IF(F509&gt;=100*0.5,3,IF(F509&gt;=100*0.4,2,IF(F509&gt;=100*0.33,1,0))))))))</f>
        <v/>
      </c>
      <c r="Y509">
        <f>IF(B509="","",IF(G509&lt;16.5,0,IF(G509&gt;=50*0.8,5,IF(G509&gt;=50*0.7,4,IF(G509&gt;=50*0.6,3.5,IF(G509&gt;=50*0.5,3,IF(G509&gt;=50*0.4,2,IF(G509&gt;=50*0.33,1,0))))))))</f>
        <v/>
      </c>
      <c r="Z509">
        <f>IF(B509="","",IF(H509&lt;33.0,0,IF(H509&gt;=100*0.8,5,IF(H509&gt;=100*0.7,4,IF(H509&gt;=100*0.6,3.5,IF(H509&gt;=100*0.5,3,IF(H509&gt;=100*0.4,2,IF(H509&gt;=100*0.33,1,0))))))))</f>
        <v/>
      </c>
      <c r="AA509">
        <f>IF(B509="","",IF(I509&lt;33.0,0,IF(I509&gt;=100*0.8,5,IF(I509&gt;=100*0.7,4,IF(I509&gt;=100*0.6,3.5,IF(I509&gt;=100*0.5,3,IF(I509&gt;=100*0.4,2,IF(I509&gt;=100*0.33,1,0))))))))</f>
        <v/>
      </c>
      <c r="AB509">
        <f>IF(B509="","",IF(J509&lt;33.0,0,IF(J509&gt;=100*0.8,5,IF(J509&gt;=100*0.7,4,IF(J509&gt;=100*0.6,3.5,IF(J509&gt;=100*0.5,3,IF(J509&gt;=100*0.4,2,IF(J509&gt;=100*0.33,1,0))))))))</f>
        <v/>
      </c>
      <c r="AC509">
        <f>IF(B509="","",IF(K509&lt;33.0,0,IF(K509&gt;=100*0.8,5,IF(K509&gt;=100*0.7,4,IF(K509&gt;=100*0.6,3.5,IF(K509&gt;=100*0.5,3,IF(K509&gt;=100*0.4,2,IF(K509&gt;=100*0.33,1,0))))))))</f>
        <v/>
      </c>
      <c r="AD509">
        <f>IF(B509="","",IF(L509&lt;33.0,0,IF(L509&gt;=100*0.8,5,IF(L509&gt;=100*0.7,4,IF(L509&gt;=100*0.6,3.5,IF(L509&gt;=100*0.5,3,IF(L509&gt;=100*0.4,2,IF(L509&gt;=100*0.33,1,0))))))))</f>
        <v/>
      </c>
      <c r="AE509">
        <f>IF(B509="","",IF(M509&lt;33.0,0,IF(M509&gt;=100*0.8,5,IF(M509&gt;=100*0.7,4,IF(M509&gt;=100*0.6,3.5,IF(M509&gt;=100*0.5,3,IF(M509&gt;=100*0.4,2,IF(M509&gt;=100*0.33,1,0))))))))</f>
        <v/>
      </c>
      <c r="AF509">
        <f>IF(B509="","",IF(N509&lt;16.5,0,IF(N509&gt;=50*0.8,5,IF(N509&gt;=50*0.7,4,IF(N509&gt;=50*0.6,3.5,IF(N509&gt;=50*0.5,3,IF(N509&gt;=50*0.4,2,IF(N509&gt;=50*0.33,1,0))))))))</f>
        <v/>
      </c>
      <c r="AG509">
        <f>IF(B509="","",IF(O509&lt;33.0,0,IF(O509&gt;=100*0.8,5,IF(O509&gt;=100*0.7,4,IF(O509&gt;=100*0.6,3.5,IF(O509&gt;=100*0.5,3,IF(O509&gt;=100*0.4,2,IF(O509&gt;=100*0.33,1,0))))))))</f>
        <v/>
      </c>
      <c r="AH509">
        <f>IF(B509="","",IF(OR(U509=0,V509=0,W509=0,X509=0,Y509=0,Z509=0,AA509=0,AB509=0,AC509=0,AD509=0,AE509=0,AF509=0,AG509=0),1,0))</f>
        <v/>
      </c>
    </row>
    <row r="510">
      <c r="A510" s="3">
        <f>IF(B510="","",ROW()-2)</f>
        <v/>
      </c>
      <c r="P510" s="4">
        <f>IF(B510="","",SUM(C510:O510))</f>
        <v/>
      </c>
      <c r="Q510" s="5">
        <f>IF(B510="","",ROUND(P510/13,2))</f>
        <v/>
      </c>
      <c r="R510" s="5">
        <f>IF(B510="","",IF(AH510=1,0,MIN(5,ROUND((U510+V510+W510+X510+Y510+Z510+AA510+AB510+AC510+AD510+AE510+AF510+AG510)/13,2))))</f>
        <v/>
      </c>
      <c r="S510" s="3">
        <f>IF(B510="","",IF(R510&gt;=5,"A+",IF(R510&gt;=4,"A",IF(R510&gt;=3.5,"A-",IF(R510&gt;=3,"B",IF(R510&gt;=2,"C",IF(R510&gt;=1,"D","F")))))))</f>
        <v/>
      </c>
      <c r="T510" s="3">
        <f>IF(OR(B510="",S510="F"),"",COUNTIFS(P:P,"&gt;"&amp;P510,S:S,"&lt;&gt;F")+1)</f>
        <v/>
      </c>
      <c r="U510">
        <f>IF(B510="","",IF(C510&lt;33.0,0,IF(C510&gt;=100*0.8,5,IF(C510&gt;=100*0.7,4,IF(C510&gt;=100*0.6,3.5,IF(C510&gt;=100*0.5,3,IF(C510&gt;=100*0.4,2,IF(C510&gt;=100*0.33,1,0))))))))</f>
        <v/>
      </c>
      <c r="V510">
        <f>IF(B510="","",IF(D510&lt;33.0,0,IF(D510&gt;=100*0.8,5,IF(D510&gt;=100*0.7,4,IF(D510&gt;=100*0.6,3.5,IF(D510&gt;=100*0.5,3,IF(D510&gt;=100*0.4,2,IF(D510&gt;=100*0.33,1,0))))))))</f>
        <v/>
      </c>
      <c r="W510">
        <f>IF(B510="","",IF(E510&lt;16.5,0,IF(E510&gt;=50*0.8,5,IF(E510&gt;=50*0.7,4,IF(E510&gt;=50*0.6,3.5,IF(E510&gt;=50*0.5,3,IF(E510&gt;=50*0.4,2,IF(E510&gt;=50*0.33,1,0))))))))</f>
        <v/>
      </c>
      <c r="X510">
        <f>IF(B510="","",IF(F510&lt;33.0,0,IF(F510&gt;=100*0.8,5,IF(F510&gt;=100*0.7,4,IF(F510&gt;=100*0.6,3.5,IF(F510&gt;=100*0.5,3,IF(F510&gt;=100*0.4,2,IF(F510&gt;=100*0.33,1,0))))))))</f>
        <v/>
      </c>
      <c r="Y510">
        <f>IF(B510="","",IF(G510&lt;16.5,0,IF(G510&gt;=50*0.8,5,IF(G510&gt;=50*0.7,4,IF(G510&gt;=50*0.6,3.5,IF(G510&gt;=50*0.5,3,IF(G510&gt;=50*0.4,2,IF(G510&gt;=50*0.33,1,0))))))))</f>
        <v/>
      </c>
      <c r="Z510">
        <f>IF(B510="","",IF(H510&lt;33.0,0,IF(H510&gt;=100*0.8,5,IF(H510&gt;=100*0.7,4,IF(H510&gt;=100*0.6,3.5,IF(H510&gt;=100*0.5,3,IF(H510&gt;=100*0.4,2,IF(H510&gt;=100*0.33,1,0))))))))</f>
        <v/>
      </c>
      <c r="AA510">
        <f>IF(B510="","",IF(I510&lt;33.0,0,IF(I510&gt;=100*0.8,5,IF(I510&gt;=100*0.7,4,IF(I510&gt;=100*0.6,3.5,IF(I510&gt;=100*0.5,3,IF(I510&gt;=100*0.4,2,IF(I510&gt;=100*0.33,1,0))))))))</f>
        <v/>
      </c>
      <c r="AB510">
        <f>IF(B510="","",IF(J510&lt;33.0,0,IF(J510&gt;=100*0.8,5,IF(J510&gt;=100*0.7,4,IF(J510&gt;=100*0.6,3.5,IF(J510&gt;=100*0.5,3,IF(J510&gt;=100*0.4,2,IF(J510&gt;=100*0.33,1,0))))))))</f>
        <v/>
      </c>
      <c r="AC510">
        <f>IF(B510="","",IF(K510&lt;33.0,0,IF(K510&gt;=100*0.8,5,IF(K510&gt;=100*0.7,4,IF(K510&gt;=100*0.6,3.5,IF(K510&gt;=100*0.5,3,IF(K510&gt;=100*0.4,2,IF(K510&gt;=100*0.33,1,0))))))))</f>
        <v/>
      </c>
      <c r="AD510">
        <f>IF(B510="","",IF(L510&lt;33.0,0,IF(L510&gt;=100*0.8,5,IF(L510&gt;=100*0.7,4,IF(L510&gt;=100*0.6,3.5,IF(L510&gt;=100*0.5,3,IF(L510&gt;=100*0.4,2,IF(L510&gt;=100*0.33,1,0))))))))</f>
        <v/>
      </c>
      <c r="AE510">
        <f>IF(B510="","",IF(M510&lt;33.0,0,IF(M510&gt;=100*0.8,5,IF(M510&gt;=100*0.7,4,IF(M510&gt;=100*0.6,3.5,IF(M510&gt;=100*0.5,3,IF(M510&gt;=100*0.4,2,IF(M510&gt;=100*0.33,1,0))))))))</f>
        <v/>
      </c>
      <c r="AF510">
        <f>IF(B510="","",IF(N510&lt;16.5,0,IF(N510&gt;=50*0.8,5,IF(N510&gt;=50*0.7,4,IF(N510&gt;=50*0.6,3.5,IF(N510&gt;=50*0.5,3,IF(N510&gt;=50*0.4,2,IF(N510&gt;=50*0.33,1,0))))))))</f>
        <v/>
      </c>
      <c r="AG510">
        <f>IF(B510="","",IF(O510&lt;33.0,0,IF(O510&gt;=100*0.8,5,IF(O510&gt;=100*0.7,4,IF(O510&gt;=100*0.6,3.5,IF(O510&gt;=100*0.5,3,IF(O510&gt;=100*0.4,2,IF(O510&gt;=100*0.33,1,0))))))))</f>
        <v/>
      </c>
      <c r="AH510">
        <f>IF(B510="","",IF(OR(U510=0,V510=0,W510=0,X510=0,Y510=0,Z510=0,AA510=0,AB510=0,AC510=0,AD510=0,AE510=0,AF510=0,AG510=0),1,0))</f>
        <v/>
      </c>
    </row>
    <row r="511">
      <c r="A511" s="3">
        <f>IF(B511="","",ROW()-2)</f>
        <v/>
      </c>
      <c r="P511" s="4">
        <f>IF(B511="","",SUM(C511:O511))</f>
        <v/>
      </c>
      <c r="Q511" s="5">
        <f>IF(B511="","",ROUND(P511/13,2))</f>
        <v/>
      </c>
      <c r="R511" s="5">
        <f>IF(B511="","",IF(AH511=1,0,MIN(5,ROUND((U511+V511+W511+X511+Y511+Z511+AA511+AB511+AC511+AD511+AE511+AF511+AG511)/13,2))))</f>
        <v/>
      </c>
      <c r="S511" s="3">
        <f>IF(B511="","",IF(R511&gt;=5,"A+",IF(R511&gt;=4,"A",IF(R511&gt;=3.5,"A-",IF(R511&gt;=3,"B",IF(R511&gt;=2,"C",IF(R511&gt;=1,"D","F")))))))</f>
        <v/>
      </c>
      <c r="T511" s="3">
        <f>IF(OR(B511="",S511="F"),"",COUNTIFS(P:P,"&gt;"&amp;P511,S:S,"&lt;&gt;F")+1)</f>
        <v/>
      </c>
      <c r="U511">
        <f>IF(B511="","",IF(C511&lt;33.0,0,IF(C511&gt;=100*0.8,5,IF(C511&gt;=100*0.7,4,IF(C511&gt;=100*0.6,3.5,IF(C511&gt;=100*0.5,3,IF(C511&gt;=100*0.4,2,IF(C511&gt;=100*0.33,1,0))))))))</f>
        <v/>
      </c>
      <c r="V511">
        <f>IF(B511="","",IF(D511&lt;33.0,0,IF(D511&gt;=100*0.8,5,IF(D511&gt;=100*0.7,4,IF(D511&gt;=100*0.6,3.5,IF(D511&gt;=100*0.5,3,IF(D511&gt;=100*0.4,2,IF(D511&gt;=100*0.33,1,0))))))))</f>
        <v/>
      </c>
      <c r="W511">
        <f>IF(B511="","",IF(E511&lt;16.5,0,IF(E511&gt;=50*0.8,5,IF(E511&gt;=50*0.7,4,IF(E511&gt;=50*0.6,3.5,IF(E511&gt;=50*0.5,3,IF(E511&gt;=50*0.4,2,IF(E511&gt;=50*0.33,1,0))))))))</f>
        <v/>
      </c>
      <c r="X511">
        <f>IF(B511="","",IF(F511&lt;33.0,0,IF(F511&gt;=100*0.8,5,IF(F511&gt;=100*0.7,4,IF(F511&gt;=100*0.6,3.5,IF(F511&gt;=100*0.5,3,IF(F511&gt;=100*0.4,2,IF(F511&gt;=100*0.33,1,0))))))))</f>
        <v/>
      </c>
      <c r="Y511">
        <f>IF(B511="","",IF(G511&lt;16.5,0,IF(G511&gt;=50*0.8,5,IF(G511&gt;=50*0.7,4,IF(G511&gt;=50*0.6,3.5,IF(G511&gt;=50*0.5,3,IF(G511&gt;=50*0.4,2,IF(G511&gt;=50*0.33,1,0))))))))</f>
        <v/>
      </c>
      <c r="Z511">
        <f>IF(B511="","",IF(H511&lt;33.0,0,IF(H511&gt;=100*0.8,5,IF(H511&gt;=100*0.7,4,IF(H511&gt;=100*0.6,3.5,IF(H511&gt;=100*0.5,3,IF(H511&gt;=100*0.4,2,IF(H511&gt;=100*0.33,1,0))))))))</f>
        <v/>
      </c>
      <c r="AA511">
        <f>IF(B511="","",IF(I511&lt;33.0,0,IF(I511&gt;=100*0.8,5,IF(I511&gt;=100*0.7,4,IF(I511&gt;=100*0.6,3.5,IF(I511&gt;=100*0.5,3,IF(I511&gt;=100*0.4,2,IF(I511&gt;=100*0.33,1,0))))))))</f>
        <v/>
      </c>
      <c r="AB511">
        <f>IF(B511="","",IF(J511&lt;33.0,0,IF(J511&gt;=100*0.8,5,IF(J511&gt;=100*0.7,4,IF(J511&gt;=100*0.6,3.5,IF(J511&gt;=100*0.5,3,IF(J511&gt;=100*0.4,2,IF(J511&gt;=100*0.33,1,0))))))))</f>
        <v/>
      </c>
      <c r="AC511">
        <f>IF(B511="","",IF(K511&lt;33.0,0,IF(K511&gt;=100*0.8,5,IF(K511&gt;=100*0.7,4,IF(K511&gt;=100*0.6,3.5,IF(K511&gt;=100*0.5,3,IF(K511&gt;=100*0.4,2,IF(K511&gt;=100*0.33,1,0))))))))</f>
        <v/>
      </c>
      <c r="AD511">
        <f>IF(B511="","",IF(L511&lt;33.0,0,IF(L511&gt;=100*0.8,5,IF(L511&gt;=100*0.7,4,IF(L511&gt;=100*0.6,3.5,IF(L511&gt;=100*0.5,3,IF(L511&gt;=100*0.4,2,IF(L511&gt;=100*0.33,1,0))))))))</f>
        <v/>
      </c>
      <c r="AE511">
        <f>IF(B511="","",IF(M511&lt;33.0,0,IF(M511&gt;=100*0.8,5,IF(M511&gt;=100*0.7,4,IF(M511&gt;=100*0.6,3.5,IF(M511&gt;=100*0.5,3,IF(M511&gt;=100*0.4,2,IF(M511&gt;=100*0.33,1,0))))))))</f>
        <v/>
      </c>
      <c r="AF511">
        <f>IF(B511="","",IF(N511&lt;16.5,0,IF(N511&gt;=50*0.8,5,IF(N511&gt;=50*0.7,4,IF(N511&gt;=50*0.6,3.5,IF(N511&gt;=50*0.5,3,IF(N511&gt;=50*0.4,2,IF(N511&gt;=50*0.33,1,0))))))))</f>
        <v/>
      </c>
      <c r="AG511">
        <f>IF(B511="","",IF(O511&lt;33.0,0,IF(O511&gt;=100*0.8,5,IF(O511&gt;=100*0.7,4,IF(O511&gt;=100*0.6,3.5,IF(O511&gt;=100*0.5,3,IF(O511&gt;=100*0.4,2,IF(O511&gt;=100*0.33,1,0))))))))</f>
        <v/>
      </c>
      <c r="AH511">
        <f>IF(B511="","",IF(OR(U511=0,V511=0,W511=0,X511=0,Y511=0,Z511=0,AA511=0,AB511=0,AC511=0,AD511=0,AE511=0,AF511=0,AG511=0),1,0))</f>
        <v/>
      </c>
    </row>
    <row r="512">
      <c r="A512" s="3">
        <f>IF(B512="","",ROW()-2)</f>
        <v/>
      </c>
      <c r="P512" s="4">
        <f>IF(B512="","",SUM(C512:O512))</f>
        <v/>
      </c>
      <c r="Q512" s="5">
        <f>IF(B512="","",ROUND(P512/13,2))</f>
        <v/>
      </c>
      <c r="R512" s="5">
        <f>IF(B512="","",IF(AH512=1,0,MIN(5,ROUND((U512+V512+W512+X512+Y512+Z512+AA512+AB512+AC512+AD512+AE512+AF512+AG512)/13,2))))</f>
        <v/>
      </c>
      <c r="S512" s="3">
        <f>IF(B512="","",IF(R512&gt;=5,"A+",IF(R512&gt;=4,"A",IF(R512&gt;=3.5,"A-",IF(R512&gt;=3,"B",IF(R512&gt;=2,"C",IF(R512&gt;=1,"D","F")))))))</f>
        <v/>
      </c>
      <c r="T512" s="3">
        <f>IF(OR(B512="",S512="F"),"",COUNTIFS(P:P,"&gt;"&amp;P512,S:S,"&lt;&gt;F")+1)</f>
        <v/>
      </c>
      <c r="U512">
        <f>IF(B512="","",IF(C512&lt;33.0,0,IF(C512&gt;=100*0.8,5,IF(C512&gt;=100*0.7,4,IF(C512&gt;=100*0.6,3.5,IF(C512&gt;=100*0.5,3,IF(C512&gt;=100*0.4,2,IF(C512&gt;=100*0.33,1,0))))))))</f>
        <v/>
      </c>
      <c r="V512">
        <f>IF(B512="","",IF(D512&lt;33.0,0,IF(D512&gt;=100*0.8,5,IF(D512&gt;=100*0.7,4,IF(D512&gt;=100*0.6,3.5,IF(D512&gt;=100*0.5,3,IF(D512&gt;=100*0.4,2,IF(D512&gt;=100*0.33,1,0))))))))</f>
        <v/>
      </c>
      <c r="W512">
        <f>IF(B512="","",IF(E512&lt;16.5,0,IF(E512&gt;=50*0.8,5,IF(E512&gt;=50*0.7,4,IF(E512&gt;=50*0.6,3.5,IF(E512&gt;=50*0.5,3,IF(E512&gt;=50*0.4,2,IF(E512&gt;=50*0.33,1,0))))))))</f>
        <v/>
      </c>
      <c r="X512">
        <f>IF(B512="","",IF(F512&lt;33.0,0,IF(F512&gt;=100*0.8,5,IF(F512&gt;=100*0.7,4,IF(F512&gt;=100*0.6,3.5,IF(F512&gt;=100*0.5,3,IF(F512&gt;=100*0.4,2,IF(F512&gt;=100*0.33,1,0))))))))</f>
        <v/>
      </c>
      <c r="Y512">
        <f>IF(B512="","",IF(G512&lt;16.5,0,IF(G512&gt;=50*0.8,5,IF(G512&gt;=50*0.7,4,IF(G512&gt;=50*0.6,3.5,IF(G512&gt;=50*0.5,3,IF(G512&gt;=50*0.4,2,IF(G512&gt;=50*0.33,1,0))))))))</f>
        <v/>
      </c>
      <c r="Z512">
        <f>IF(B512="","",IF(H512&lt;33.0,0,IF(H512&gt;=100*0.8,5,IF(H512&gt;=100*0.7,4,IF(H512&gt;=100*0.6,3.5,IF(H512&gt;=100*0.5,3,IF(H512&gt;=100*0.4,2,IF(H512&gt;=100*0.33,1,0))))))))</f>
        <v/>
      </c>
      <c r="AA512">
        <f>IF(B512="","",IF(I512&lt;33.0,0,IF(I512&gt;=100*0.8,5,IF(I512&gt;=100*0.7,4,IF(I512&gt;=100*0.6,3.5,IF(I512&gt;=100*0.5,3,IF(I512&gt;=100*0.4,2,IF(I512&gt;=100*0.33,1,0))))))))</f>
        <v/>
      </c>
      <c r="AB512">
        <f>IF(B512="","",IF(J512&lt;33.0,0,IF(J512&gt;=100*0.8,5,IF(J512&gt;=100*0.7,4,IF(J512&gt;=100*0.6,3.5,IF(J512&gt;=100*0.5,3,IF(J512&gt;=100*0.4,2,IF(J512&gt;=100*0.33,1,0))))))))</f>
        <v/>
      </c>
      <c r="AC512">
        <f>IF(B512="","",IF(K512&lt;33.0,0,IF(K512&gt;=100*0.8,5,IF(K512&gt;=100*0.7,4,IF(K512&gt;=100*0.6,3.5,IF(K512&gt;=100*0.5,3,IF(K512&gt;=100*0.4,2,IF(K512&gt;=100*0.33,1,0))))))))</f>
        <v/>
      </c>
      <c r="AD512">
        <f>IF(B512="","",IF(L512&lt;33.0,0,IF(L512&gt;=100*0.8,5,IF(L512&gt;=100*0.7,4,IF(L512&gt;=100*0.6,3.5,IF(L512&gt;=100*0.5,3,IF(L512&gt;=100*0.4,2,IF(L512&gt;=100*0.33,1,0))))))))</f>
        <v/>
      </c>
      <c r="AE512">
        <f>IF(B512="","",IF(M512&lt;33.0,0,IF(M512&gt;=100*0.8,5,IF(M512&gt;=100*0.7,4,IF(M512&gt;=100*0.6,3.5,IF(M512&gt;=100*0.5,3,IF(M512&gt;=100*0.4,2,IF(M512&gt;=100*0.33,1,0))))))))</f>
        <v/>
      </c>
      <c r="AF512">
        <f>IF(B512="","",IF(N512&lt;16.5,0,IF(N512&gt;=50*0.8,5,IF(N512&gt;=50*0.7,4,IF(N512&gt;=50*0.6,3.5,IF(N512&gt;=50*0.5,3,IF(N512&gt;=50*0.4,2,IF(N512&gt;=50*0.33,1,0))))))))</f>
        <v/>
      </c>
      <c r="AG512">
        <f>IF(B512="","",IF(O512&lt;33.0,0,IF(O512&gt;=100*0.8,5,IF(O512&gt;=100*0.7,4,IF(O512&gt;=100*0.6,3.5,IF(O512&gt;=100*0.5,3,IF(O512&gt;=100*0.4,2,IF(O512&gt;=100*0.33,1,0))))))))</f>
        <v/>
      </c>
      <c r="AH512">
        <f>IF(B512="","",IF(OR(U512=0,V512=0,W512=0,X512=0,Y512=0,Z512=0,AA512=0,AB512=0,AC512=0,AD512=0,AE512=0,AF512=0,AG512=0),1,0))</f>
        <v/>
      </c>
    </row>
    <row r="513">
      <c r="A513" s="3">
        <f>IF(B513="","",ROW()-2)</f>
        <v/>
      </c>
      <c r="P513" s="4">
        <f>IF(B513="","",SUM(C513:O513))</f>
        <v/>
      </c>
      <c r="Q513" s="5">
        <f>IF(B513="","",ROUND(P513/13,2))</f>
        <v/>
      </c>
      <c r="R513" s="5">
        <f>IF(B513="","",IF(AH513=1,0,MIN(5,ROUND((U513+V513+W513+X513+Y513+Z513+AA513+AB513+AC513+AD513+AE513+AF513+AG513)/13,2))))</f>
        <v/>
      </c>
      <c r="S513" s="3">
        <f>IF(B513="","",IF(R513&gt;=5,"A+",IF(R513&gt;=4,"A",IF(R513&gt;=3.5,"A-",IF(R513&gt;=3,"B",IF(R513&gt;=2,"C",IF(R513&gt;=1,"D","F")))))))</f>
        <v/>
      </c>
      <c r="T513" s="3">
        <f>IF(OR(B513="",S513="F"),"",COUNTIFS(P:P,"&gt;"&amp;P513,S:S,"&lt;&gt;F")+1)</f>
        <v/>
      </c>
      <c r="U513">
        <f>IF(B513="","",IF(C513&lt;33.0,0,IF(C513&gt;=100*0.8,5,IF(C513&gt;=100*0.7,4,IF(C513&gt;=100*0.6,3.5,IF(C513&gt;=100*0.5,3,IF(C513&gt;=100*0.4,2,IF(C513&gt;=100*0.33,1,0))))))))</f>
        <v/>
      </c>
      <c r="V513">
        <f>IF(B513="","",IF(D513&lt;33.0,0,IF(D513&gt;=100*0.8,5,IF(D513&gt;=100*0.7,4,IF(D513&gt;=100*0.6,3.5,IF(D513&gt;=100*0.5,3,IF(D513&gt;=100*0.4,2,IF(D513&gt;=100*0.33,1,0))))))))</f>
        <v/>
      </c>
      <c r="W513">
        <f>IF(B513="","",IF(E513&lt;16.5,0,IF(E513&gt;=50*0.8,5,IF(E513&gt;=50*0.7,4,IF(E513&gt;=50*0.6,3.5,IF(E513&gt;=50*0.5,3,IF(E513&gt;=50*0.4,2,IF(E513&gt;=50*0.33,1,0))))))))</f>
        <v/>
      </c>
      <c r="X513">
        <f>IF(B513="","",IF(F513&lt;33.0,0,IF(F513&gt;=100*0.8,5,IF(F513&gt;=100*0.7,4,IF(F513&gt;=100*0.6,3.5,IF(F513&gt;=100*0.5,3,IF(F513&gt;=100*0.4,2,IF(F513&gt;=100*0.33,1,0))))))))</f>
        <v/>
      </c>
      <c r="Y513">
        <f>IF(B513="","",IF(G513&lt;16.5,0,IF(G513&gt;=50*0.8,5,IF(G513&gt;=50*0.7,4,IF(G513&gt;=50*0.6,3.5,IF(G513&gt;=50*0.5,3,IF(G513&gt;=50*0.4,2,IF(G513&gt;=50*0.33,1,0))))))))</f>
        <v/>
      </c>
      <c r="Z513">
        <f>IF(B513="","",IF(H513&lt;33.0,0,IF(H513&gt;=100*0.8,5,IF(H513&gt;=100*0.7,4,IF(H513&gt;=100*0.6,3.5,IF(H513&gt;=100*0.5,3,IF(H513&gt;=100*0.4,2,IF(H513&gt;=100*0.33,1,0))))))))</f>
        <v/>
      </c>
      <c r="AA513">
        <f>IF(B513="","",IF(I513&lt;33.0,0,IF(I513&gt;=100*0.8,5,IF(I513&gt;=100*0.7,4,IF(I513&gt;=100*0.6,3.5,IF(I513&gt;=100*0.5,3,IF(I513&gt;=100*0.4,2,IF(I513&gt;=100*0.33,1,0))))))))</f>
        <v/>
      </c>
      <c r="AB513">
        <f>IF(B513="","",IF(J513&lt;33.0,0,IF(J513&gt;=100*0.8,5,IF(J513&gt;=100*0.7,4,IF(J513&gt;=100*0.6,3.5,IF(J513&gt;=100*0.5,3,IF(J513&gt;=100*0.4,2,IF(J513&gt;=100*0.33,1,0))))))))</f>
        <v/>
      </c>
      <c r="AC513">
        <f>IF(B513="","",IF(K513&lt;33.0,0,IF(K513&gt;=100*0.8,5,IF(K513&gt;=100*0.7,4,IF(K513&gt;=100*0.6,3.5,IF(K513&gt;=100*0.5,3,IF(K513&gt;=100*0.4,2,IF(K513&gt;=100*0.33,1,0))))))))</f>
        <v/>
      </c>
      <c r="AD513">
        <f>IF(B513="","",IF(L513&lt;33.0,0,IF(L513&gt;=100*0.8,5,IF(L513&gt;=100*0.7,4,IF(L513&gt;=100*0.6,3.5,IF(L513&gt;=100*0.5,3,IF(L513&gt;=100*0.4,2,IF(L513&gt;=100*0.33,1,0))))))))</f>
        <v/>
      </c>
      <c r="AE513">
        <f>IF(B513="","",IF(M513&lt;33.0,0,IF(M513&gt;=100*0.8,5,IF(M513&gt;=100*0.7,4,IF(M513&gt;=100*0.6,3.5,IF(M513&gt;=100*0.5,3,IF(M513&gt;=100*0.4,2,IF(M513&gt;=100*0.33,1,0))))))))</f>
        <v/>
      </c>
      <c r="AF513">
        <f>IF(B513="","",IF(N513&lt;16.5,0,IF(N513&gt;=50*0.8,5,IF(N513&gt;=50*0.7,4,IF(N513&gt;=50*0.6,3.5,IF(N513&gt;=50*0.5,3,IF(N513&gt;=50*0.4,2,IF(N513&gt;=50*0.33,1,0))))))))</f>
        <v/>
      </c>
      <c r="AG513">
        <f>IF(B513="","",IF(O513&lt;33.0,0,IF(O513&gt;=100*0.8,5,IF(O513&gt;=100*0.7,4,IF(O513&gt;=100*0.6,3.5,IF(O513&gt;=100*0.5,3,IF(O513&gt;=100*0.4,2,IF(O513&gt;=100*0.33,1,0))))))))</f>
        <v/>
      </c>
      <c r="AH513">
        <f>IF(B513="","",IF(OR(U513=0,V513=0,W513=0,X513=0,Y513=0,Z513=0,AA513=0,AB513=0,AC513=0,AD513=0,AE513=0,AF513=0,AG513=0),1,0))</f>
        <v/>
      </c>
    </row>
    <row r="514">
      <c r="A514" s="3">
        <f>IF(B514="","",ROW()-2)</f>
        <v/>
      </c>
      <c r="P514" s="4">
        <f>IF(B514="","",SUM(C514:O514))</f>
        <v/>
      </c>
      <c r="Q514" s="5">
        <f>IF(B514="","",ROUND(P514/13,2))</f>
        <v/>
      </c>
      <c r="R514" s="5">
        <f>IF(B514="","",IF(AH514=1,0,MIN(5,ROUND((U514+V514+W514+X514+Y514+Z514+AA514+AB514+AC514+AD514+AE514+AF514+AG514)/13,2))))</f>
        <v/>
      </c>
      <c r="S514" s="3">
        <f>IF(B514="","",IF(R514&gt;=5,"A+",IF(R514&gt;=4,"A",IF(R514&gt;=3.5,"A-",IF(R514&gt;=3,"B",IF(R514&gt;=2,"C",IF(R514&gt;=1,"D","F")))))))</f>
        <v/>
      </c>
      <c r="T514" s="3">
        <f>IF(OR(B514="",S514="F"),"",COUNTIFS(P:P,"&gt;"&amp;P514,S:S,"&lt;&gt;F")+1)</f>
        <v/>
      </c>
      <c r="U514">
        <f>IF(B514="","",IF(C514&lt;33.0,0,IF(C514&gt;=100*0.8,5,IF(C514&gt;=100*0.7,4,IF(C514&gt;=100*0.6,3.5,IF(C514&gt;=100*0.5,3,IF(C514&gt;=100*0.4,2,IF(C514&gt;=100*0.33,1,0))))))))</f>
        <v/>
      </c>
      <c r="V514">
        <f>IF(B514="","",IF(D514&lt;33.0,0,IF(D514&gt;=100*0.8,5,IF(D514&gt;=100*0.7,4,IF(D514&gt;=100*0.6,3.5,IF(D514&gt;=100*0.5,3,IF(D514&gt;=100*0.4,2,IF(D514&gt;=100*0.33,1,0))))))))</f>
        <v/>
      </c>
      <c r="W514">
        <f>IF(B514="","",IF(E514&lt;16.5,0,IF(E514&gt;=50*0.8,5,IF(E514&gt;=50*0.7,4,IF(E514&gt;=50*0.6,3.5,IF(E514&gt;=50*0.5,3,IF(E514&gt;=50*0.4,2,IF(E514&gt;=50*0.33,1,0))))))))</f>
        <v/>
      </c>
      <c r="X514">
        <f>IF(B514="","",IF(F514&lt;33.0,0,IF(F514&gt;=100*0.8,5,IF(F514&gt;=100*0.7,4,IF(F514&gt;=100*0.6,3.5,IF(F514&gt;=100*0.5,3,IF(F514&gt;=100*0.4,2,IF(F514&gt;=100*0.33,1,0))))))))</f>
        <v/>
      </c>
      <c r="Y514">
        <f>IF(B514="","",IF(G514&lt;16.5,0,IF(G514&gt;=50*0.8,5,IF(G514&gt;=50*0.7,4,IF(G514&gt;=50*0.6,3.5,IF(G514&gt;=50*0.5,3,IF(G514&gt;=50*0.4,2,IF(G514&gt;=50*0.33,1,0))))))))</f>
        <v/>
      </c>
      <c r="Z514">
        <f>IF(B514="","",IF(H514&lt;33.0,0,IF(H514&gt;=100*0.8,5,IF(H514&gt;=100*0.7,4,IF(H514&gt;=100*0.6,3.5,IF(H514&gt;=100*0.5,3,IF(H514&gt;=100*0.4,2,IF(H514&gt;=100*0.33,1,0))))))))</f>
        <v/>
      </c>
      <c r="AA514">
        <f>IF(B514="","",IF(I514&lt;33.0,0,IF(I514&gt;=100*0.8,5,IF(I514&gt;=100*0.7,4,IF(I514&gt;=100*0.6,3.5,IF(I514&gt;=100*0.5,3,IF(I514&gt;=100*0.4,2,IF(I514&gt;=100*0.33,1,0))))))))</f>
        <v/>
      </c>
      <c r="AB514">
        <f>IF(B514="","",IF(J514&lt;33.0,0,IF(J514&gt;=100*0.8,5,IF(J514&gt;=100*0.7,4,IF(J514&gt;=100*0.6,3.5,IF(J514&gt;=100*0.5,3,IF(J514&gt;=100*0.4,2,IF(J514&gt;=100*0.33,1,0))))))))</f>
        <v/>
      </c>
      <c r="AC514">
        <f>IF(B514="","",IF(K514&lt;33.0,0,IF(K514&gt;=100*0.8,5,IF(K514&gt;=100*0.7,4,IF(K514&gt;=100*0.6,3.5,IF(K514&gt;=100*0.5,3,IF(K514&gt;=100*0.4,2,IF(K514&gt;=100*0.33,1,0))))))))</f>
        <v/>
      </c>
      <c r="AD514">
        <f>IF(B514="","",IF(L514&lt;33.0,0,IF(L514&gt;=100*0.8,5,IF(L514&gt;=100*0.7,4,IF(L514&gt;=100*0.6,3.5,IF(L514&gt;=100*0.5,3,IF(L514&gt;=100*0.4,2,IF(L514&gt;=100*0.33,1,0))))))))</f>
        <v/>
      </c>
      <c r="AE514">
        <f>IF(B514="","",IF(M514&lt;33.0,0,IF(M514&gt;=100*0.8,5,IF(M514&gt;=100*0.7,4,IF(M514&gt;=100*0.6,3.5,IF(M514&gt;=100*0.5,3,IF(M514&gt;=100*0.4,2,IF(M514&gt;=100*0.33,1,0))))))))</f>
        <v/>
      </c>
      <c r="AF514">
        <f>IF(B514="","",IF(N514&lt;16.5,0,IF(N514&gt;=50*0.8,5,IF(N514&gt;=50*0.7,4,IF(N514&gt;=50*0.6,3.5,IF(N514&gt;=50*0.5,3,IF(N514&gt;=50*0.4,2,IF(N514&gt;=50*0.33,1,0))))))))</f>
        <v/>
      </c>
      <c r="AG514">
        <f>IF(B514="","",IF(O514&lt;33.0,0,IF(O514&gt;=100*0.8,5,IF(O514&gt;=100*0.7,4,IF(O514&gt;=100*0.6,3.5,IF(O514&gt;=100*0.5,3,IF(O514&gt;=100*0.4,2,IF(O514&gt;=100*0.33,1,0))))))))</f>
        <v/>
      </c>
      <c r="AH514">
        <f>IF(B514="","",IF(OR(U514=0,V514=0,W514=0,X514=0,Y514=0,Z514=0,AA514=0,AB514=0,AC514=0,AD514=0,AE514=0,AF514=0,AG514=0),1,0))</f>
        <v/>
      </c>
    </row>
    <row r="515">
      <c r="A515" s="3">
        <f>IF(B515="","",ROW()-2)</f>
        <v/>
      </c>
      <c r="P515" s="4">
        <f>IF(B515="","",SUM(C515:O515))</f>
        <v/>
      </c>
      <c r="Q515" s="5">
        <f>IF(B515="","",ROUND(P515/13,2))</f>
        <v/>
      </c>
      <c r="R515" s="5">
        <f>IF(B515="","",IF(AH515=1,0,MIN(5,ROUND((U515+V515+W515+X515+Y515+Z515+AA515+AB515+AC515+AD515+AE515+AF515+AG515)/13,2))))</f>
        <v/>
      </c>
      <c r="S515" s="3">
        <f>IF(B515="","",IF(R515&gt;=5,"A+",IF(R515&gt;=4,"A",IF(R515&gt;=3.5,"A-",IF(R515&gt;=3,"B",IF(R515&gt;=2,"C",IF(R515&gt;=1,"D","F")))))))</f>
        <v/>
      </c>
      <c r="T515" s="3">
        <f>IF(OR(B515="",S515="F"),"",COUNTIFS(P:P,"&gt;"&amp;P515,S:S,"&lt;&gt;F")+1)</f>
        <v/>
      </c>
      <c r="U515">
        <f>IF(B515="","",IF(C515&lt;33.0,0,IF(C515&gt;=100*0.8,5,IF(C515&gt;=100*0.7,4,IF(C515&gt;=100*0.6,3.5,IF(C515&gt;=100*0.5,3,IF(C515&gt;=100*0.4,2,IF(C515&gt;=100*0.33,1,0))))))))</f>
        <v/>
      </c>
      <c r="V515">
        <f>IF(B515="","",IF(D515&lt;33.0,0,IF(D515&gt;=100*0.8,5,IF(D515&gt;=100*0.7,4,IF(D515&gt;=100*0.6,3.5,IF(D515&gt;=100*0.5,3,IF(D515&gt;=100*0.4,2,IF(D515&gt;=100*0.33,1,0))))))))</f>
        <v/>
      </c>
      <c r="W515">
        <f>IF(B515="","",IF(E515&lt;16.5,0,IF(E515&gt;=50*0.8,5,IF(E515&gt;=50*0.7,4,IF(E515&gt;=50*0.6,3.5,IF(E515&gt;=50*0.5,3,IF(E515&gt;=50*0.4,2,IF(E515&gt;=50*0.33,1,0))))))))</f>
        <v/>
      </c>
      <c r="X515">
        <f>IF(B515="","",IF(F515&lt;33.0,0,IF(F515&gt;=100*0.8,5,IF(F515&gt;=100*0.7,4,IF(F515&gt;=100*0.6,3.5,IF(F515&gt;=100*0.5,3,IF(F515&gt;=100*0.4,2,IF(F515&gt;=100*0.33,1,0))))))))</f>
        <v/>
      </c>
      <c r="Y515">
        <f>IF(B515="","",IF(G515&lt;16.5,0,IF(G515&gt;=50*0.8,5,IF(G515&gt;=50*0.7,4,IF(G515&gt;=50*0.6,3.5,IF(G515&gt;=50*0.5,3,IF(G515&gt;=50*0.4,2,IF(G515&gt;=50*0.33,1,0))))))))</f>
        <v/>
      </c>
      <c r="Z515">
        <f>IF(B515="","",IF(H515&lt;33.0,0,IF(H515&gt;=100*0.8,5,IF(H515&gt;=100*0.7,4,IF(H515&gt;=100*0.6,3.5,IF(H515&gt;=100*0.5,3,IF(H515&gt;=100*0.4,2,IF(H515&gt;=100*0.33,1,0))))))))</f>
        <v/>
      </c>
      <c r="AA515">
        <f>IF(B515="","",IF(I515&lt;33.0,0,IF(I515&gt;=100*0.8,5,IF(I515&gt;=100*0.7,4,IF(I515&gt;=100*0.6,3.5,IF(I515&gt;=100*0.5,3,IF(I515&gt;=100*0.4,2,IF(I515&gt;=100*0.33,1,0))))))))</f>
        <v/>
      </c>
      <c r="AB515">
        <f>IF(B515="","",IF(J515&lt;33.0,0,IF(J515&gt;=100*0.8,5,IF(J515&gt;=100*0.7,4,IF(J515&gt;=100*0.6,3.5,IF(J515&gt;=100*0.5,3,IF(J515&gt;=100*0.4,2,IF(J515&gt;=100*0.33,1,0))))))))</f>
        <v/>
      </c>
      <c r="AC515">
        <f>IF(B515="","",IF(K515&lt;33.0,0,IF(K515&gt;=100*0.8,5,IF(K515&gt;=100*0.7,4,IF(K515&gt;=100*0.6,3.5,IF(K515&gt;=100*0.5,3,IF(K515&gt;=100*0.4,2,IF(K515&gt;=100*0.33,1,0))))))))</f>
        <v/>
      </c>
      <c r="AD515">
        <f>IF(B515="","",IF(L515&lt;33.0,0,IF(L515&gt;=100*0.8,5,IF(L515&gt;=100*0.7,4,IF(L515&gt;=100*0.6,3.5,IF(L515&gt;=100*0.5,3,IF(L515&gt;=100*0.4,2,IF(L515&gt;=100*0.33,1,0))))))))</f>
        <v/>
      </c>
      <c r="AE515">
        <f>IF(B515="","",IF(M515&lt;33.0,0,IF(M515&gt;=100*0.8,5,IF(M515&gt;=100*0.7,4,IF(M515&gt;=100*0.6,3.5,IF(M515&gt;=100*0.5,3,IF(M515&gt;=100*0.4,2,IF(M515&gt;=100*0.33,1,0))))))))</f>
        <v/>
      </c>
      <c r="AF515">
        <f>IF(B515="","",IF(N515&lt;16.5,0,IF(N515&gt;=50*0.8,5,IF(N515&gt;=50*0.7,4,IF(N515&gt;=50*0.6,3.5,IF(N515&gt;=50*0.5,3,IF(N515&gt;=50*0.4,2,IF(N515&gt;=50*0.33,1,0))))))))</f>
        <v/>
      </c>
      <c r="AG515">
        <f>IF(B515="","",IF(O515&lt;33.0,0,IF(O515&gt;=100*0.8,5,IF(O515&gt;=100*0.7,4,IF(O515&gt;=100*0.6,3.5,IF(O515&gt;=100*0.5,3,IF(O515&gt;=100*0.4,2,IF(O515&gt;=100*0.33,1,0))))))))</f>
        <v/>
      </c>
      <c r="AH515">
        <f>IF(B515="","",IF(OR(U515=0,V515=0,W515=0,X515=0,Y515=0,Z515=0,AA515=0,AB515=0,AC515=0,AD515=0,AE515=0,AF515=0,AG515=0),1,0))</f>
        <v/>
      </c>
    </row>
    <row r="516">
      <c r="A516" s="3">
        <f>IF(B516="","",ROW()-2)</f>
        <v/>
      </c>
      <c r="P516" s="4">
        <f>IF(B516="","",SUM(C516:O516))</f>
        <v/>
      </c>
      <c r="Q516" s="5">
        <f>IF(B516="","",ROUND(P516/13,2))</f>
        <v/>
      </c>
      <c r="R516" s="5">
        <f>IF(B516="","",IF(AH516=1,0,MIN(5,ROUND((U516+V516+W516+X516+Y516+Z516+AA516+AB516+AC516+AD516+AE516+AF516+AG516)/13,2))))</f>
        <v/>
      </c>
      <c r="S516" s="3">
        <f>IF(B516="","",IF(R516&gt;=5,"A+",IF(R516&gt;=4,"A",IF(R516&gt;=3.5,"A-",IF(R516&gt;=3,"B",IF(R516&gt;=2,"C",IF(R516&gt;=1,"D","F")))))))</f>
        <v/>
      </c>
      <c r="T516" s="3">
        <f>IF(OR(B516="",S516="F"),"",COUNTIFS(P:P,"&gt;"&amp;P516,S:S,"&lt;&gt;F")+1)</f>
        <v/>
      </c>
      <c r="U516">
        <f>IF(B516="","",IF(C516&lt;33.0,0,IF(C516&gt;=100*0.8,5,IF(C516&gt;=100*0.7,4,IF(C516&gt;=100*0.6,3.5,IF(C516&gt;=100*0.5,3,IF(C516&gt;=100*0.4,2,IF(C516&gt;=100*0.33,1,0))))))))</f>
        <v/>
      </c>
      <c r="V516">
        <f>IF(B516="","",IF(D516&lt;33.0,0,IF(D516&gt;=100*0.8,5,IF(D516&gt;=100*0.7,4,IF(D516&gt;=100*0.6,3.5,IF(D516&gt;=100*0.5,3,IF(D516&gt;=100*0.4,2,IF(D516&gt;=100*0.33,1,0))))))))</f>
        <v/>
      </c>
      <c r="W516">
        <f>IF(B516="","",IF(E516&lt;16.5,0,IF(E516&gt;=50*0.8,5,IF(E516&gt;=50*0.7,4,IF(E516&gt;=50*0.6,3.5,IF(E516&gt;=50*0.5,3,IF(E516&gt;=50*0.4,2,IF(E516&gt;=50*0.33,1,0))))))))</f>
        <v/>
      </c>
      <c r="X516">
        <f>IF(B516="","",IF(F516&lt;33.0,0,IF(F516&gt;=100*0.8,5,IF(F516&gt;=100*0.7,4,IF(F516&gt;=100*0.6,3.5,IF(F516&gt;=100*0.5,3,IF(F516&gt;=100*0.4,2,IF(F516&gt;=100*0.33,1,0))))))))</f>
        <v/>
      </c>
      <c r="Y516">
        <f>IF(B516="","",IF(G516&lt;16.5,0,IF(G516&gt;=50*0.8,5,IF(G516&gt;=50*0.7,4,IF(G516&gt;=50*0.6,3.5,IF(G516&gt;=50*0.5,3,IF(G516&gt;=50*0.4,2,IF(G516&gt;=50*0.33,1,0))))))))</f>
        <v/>
      </c>
      <c r="Z516">
        <f>IF(B516="","",IF(H516&lt;33.0,0,IF(H516&gt;=100*0.8,5,IF(H516&gt;=100*0.7,4,IF(H516&gt;=100*0.6,3.5,IF(H516&gt;=100*0.5,3,IF(H516&gt;=100*0.4,2,IF(H516&gt;=100*0.33,1,0))))))))</f>
        <v/>
      </c>
      <c r="AA516">
        <f>IF(B516="","",IF(I516&lt;33.0,0,IF(I516&gt;=100*0.8,5,IF(I516&gt;=100*0.7,4,IF(I516&gt;=100*0.6,3.5,IF(I516&gt;=100*0.5,3,IF(I516&gt;=100*0.4,2,IF(I516&gt;=100*0.33,1,0))))))))</f>
        <v/>
      </c>
      <c r="AB516">
        <f>IF(B516="","",IF(J516&lt;33.0,0,IF(J516&gt;=100*0.8,5,IF(J516&gt;=100*0.7,4,IF(J516&gt;=100*0.6,3.5,IF(J516&gt;=100*0.5,3,IF(J516&gt;=100*0.4,2,IF(J516&gt;=100*0.33,1,0))))))))</f>
        <v/>
      </c>
      <c r="AC516">
        <f>IF(B516="","",IF(K516&lt;33.0,0,IF(K516&gt;=100*0.8,5,IF(K516&gt;=100*0.7,4,IF(K516&gt;=100*0.6,3.5,IF(K516&gt;=100*0.5,3,IF(K516&gt;=100*0.4,2,IF(K516&gt;=100*0.33,1,0))))))))</f>
        <v/>
      </c>
      <c r="AD516">
        <f>IF(B516="","",IF(L516&lt;33.0,0,IF(L516&gt;=100*0.8,5,IF(L516&gt;=100*0.7,4,IF(L516&gt;=100*0.6,3.5,IF(L516&gt;=100*0.5,3,IF(L516&gt;=100*0.4,2,IF(L516&gt;=100*0.33,1,0))))))))</f>
        <v/>
      </c>
      <c r="AE516">
        <f>IF(B516="","",IF(M516&lt;33.0,0,IF(M516&gt;=100*0.8,5,IF(M516&gt;=100*0.7,4,IF(M516&gt;=100*0.6,3.5,IF(M516&gt;=100*0.5,3,IF(M516&gt;=100*0.4,2,IF(M516&gt;=100*0.33,1,0))))))))</f>
        <v/>
      </c>
      <c r="AF516">
        <f>IF(B516="","",IF(N516&lt;16.5,0,IF(N516&gt;=50*0.8,5,IF(N516&gt;=50*0.7,4,IF(N516&gt;=50*0.6,3.5,IF(N516&gt;=50*0.5,3,IF(N516&gt;=50*0.4,2,IF(N516&gt;=50*0.33,1,0))))))))</f>
        <v/>
      </c>
      <c r="AG516">
        <f>IF(B516="","",IF(O516&lt;33.0,0,IF(O516&gt;=100*0.8,5,IF(O516&gt;=100*0.7,4,IF(O516&gt;=100*0.6,3.5,IF(O516&gt;=100*0.5,3,IF(O516&gt;=100*0.4,2,IF(O516&gt;=100*0.33,1,0))))))))</f>
        <v/>
      </c>
      <c r="AH516">
        <f>IF(B516="","",IF(OR(U516=0,V516=0,W516=0,X516=0,Y516=0,Z516=0,AA516=0,AB516=0,AC516=0,AD516=0,AE516=0,AF516=0,AG516=0),1,0))</f>
        <v/>
      </c>
    </row>
    <row r="517">
      <c r="A517" s="3">
        <f>IF(B517="","",ROW()-2)</f>
        <v/>
      </c>
      <c r="P517" s="4">
        <f>IF(B517="","",SUM(C517:O517))</f>
        <v/>
      </c>
      <c r="Q517" s="5">
        <f>IF(B517="","",ROUND(P517/13,2))</f>
        <v/>
      </c>
      <c r="R517" s="5">
        <f>IF(B517="","",IF(AH517=1,0,MIN(5,ROUND((U517+V517+W517+X517+Y517+Z517+AA517+AB517+AC517+AD517+AE517+AF517+AG517)/13,2))))</f>
        <v/>
      </c>
      <c r="S517" s="3">
        <f>IF(B517="","",IF(R517&gt;=5,"A+",IF(R517&gt;=4,"A",IF(R517&gt;=3.5,"A-",IF(R517&gt;=3,"B",IF(R517&gt;=2,"C",IF(R517&gt;=1,"D","F")))))))</f>
        <v/>
      </c>
      <c r="T517" s="3">
        <f>IF(OR(B517="",S517="F"),"",COUNTIFS(P:P,"&gt;"&amp;P517,S:S,"&lt;&gt;F")+1)</f>
        <v/>
      </c>
      <c r="U517">
        <f>IF(B517="","",IF(C517&lt;33.0,0,IF(C517&gt;=100*0.8,5,IF(C517&gt;=100*0.7,4,IF(C517&gt;=100*0.6,3.5,IF(C517&gt;=100*0.5,3,IF(C517&gt;=100*0.4,2,IF(C517&gt;=100*0.33,1,0))))))))</f>
        <v/>
      </c>
      <c r="V517">
        <f>IF(B517="","",IF(D517&lt;33.0,0,IF(D517&gt;=100*0.8,5,IF(D517&gt;=100*0.7,4,IF(D517&gt;=100*0.6,3.5,IF(D517&gt;=100*0.5,3,IF(D517&gt;=100*0.4,2,IF(D517&gt;=100*0.33,1,0))))))))</f>
        <v/>
      </c>
      <c r="W517">
        <f>IF(B517="","",IF(E517&lt;16.5,0,IF(E517&gt;=50*0.8,5,IF(E517&gt;=50*0.7,4,IF(E517&gt;=50*0.6,3.5,IF(E517&gt;=50*0.5,3,IF(E517&gt;=50*0.4,2,IF(E517&gt;=50*0.33,1,0))))))))</f>
        <v/>
      </c>
      <c r="X517">
        <f>IF(B517="","",IF(F517&lt;33.0,0,IF(F517&gt;=100*0.8,5,IF(F517&gt;=100*0.7,4,IF(F517&gt;=100*0.6,3.5,IF(F517&gt;=100*0.5,3,IF(F517&gt;=100*0.4,2,IF(F517&gt;=100*0.33,1,0))))))))</f>
        <v/>
      </c>
      <c r="Y517">
        <f>IF(B517="","",IF(G517&lt;16.5,0,IF(G517&gt;=50*0.8,5,IF(G517&gt;=50*0.7,4,IF(G517&gt;=50*0.6,3.5,IF(G517&gt;=50*0.5,3,IF(G517&gt;=50*0.4,2,IF(G517&gt;=50*0.33,1,0))))))))</f>
        <v/>
      </c>
      <c r="Z517">
        <f>IF(B517="","",IF(H517&lt;33.0,0,IF(H517&gt;=100*0.8,5,IF(H517&gt;=100*0.7,4,IF(H517&gt;=100*0.6,3.5,IF(H517&gt;=100*0.5,3,IF(H517&gt;=100*0.4,2,IF(H517&gt;=100*0.33,1,0))))))))</f>
        <v/>
      </c>
      <c r="AA517">
        <f>IF(B517="","",IF(I517&lt;33.0,0,IF(I517&gt;=100*0.8,5,IF(I517&gt;=100*0.7,4,IF(I517&gt;=100*0.6,3.5,IF(I517&gt;=100*0.5,3,IF(I517&gt;=100*0.4,2,IF(I517&gt;=100*0.33,1,0))))))))</f>
        <v/>
      </c>
      <c r="AB517">
        <f>IF(B517="","",IF(J517&lt;33.0,0,IF(J517&gt;=100*0.8,5,IF(J517&gt;=100*0.7,4,IF(J517&gt;=100*0.6,3.5,IF(J517&gt;=100*0.5,3,IF(J517&gt;=100*0.4,2,IF(J517&gt;=100*0.33,1,0))))))))</f>
        <v/>
      </c>
      <c r="AC517">
        <f>IF(B517="","",IF(K517&lt;33.0,0,IF(K517&gt;=100*0.8,5,IF(K517&gt;=100*0.7,4,IF(K517&gt;=100*0.6,3.5,IF(K517&gt;=100*0.5,3,IF(K517&gt;=100*0.4,2,IF(K517&gt;=100*0.33,1,0))))))))</f>
        <v/>
      </c>
      <c r="AD517">
        <f>IF(B517="","",IF(L517&lt;33.0,0,IF(L517&gt;=100*0.8,5,IF(L517&gt;=100*0.7,4,IF(L517&gt;=100*0.6,3.5,IF(L517&gt;=100*0.5,3,IF(L517&gt;=100*0.4,2,IF(L517&gt;=100*0.33,1,0))))))))</f>
        <v/>
      </c>
      <c r="AE517">
        <f>IF(B517="","",IF(M517&lt;33.0,0,IF(M517&gt;=100*0.8,5,IF(M517&gt;=100*0.7,4,IF(M517&gt;=100*0.6,3.5,IF(M517&gt;=100*0.5,3,IF(M517&gt;=100*0.4,2,IF(M517&gt;=100*0.33,1,0))))))))</f>
        <v/>
      </c>
      <c r="AF517">
        <f>IF(B517="","",IF(N517&lt;16.5,0,IF(N517&gt;=50*0.8,5,IF(N517&gt;=50*0.7,4,IF(N517&gt;=50*0.6,3.5,IF(N517&gt;=50*0.5,3,IF(N517&gt;=50*0.4,2,IF(N517&gt;=50*0.33,1,0))))))))</f>
        <v/>
      </c>
      <c r="AG517">
        <f>IF(B517="","",IF(O517&lt;33.0,0,IF(O517&gt;=100*0.8,5,IF(O517&gt;=100*0.7,4,IF(O517&gt;=100*0.6,3.5,IF(O517&gt;=100*0.5,3,IF(O517&gt;=100*0.4,2,IF(O517&gt;=100*0.33,1,0))))))))</f>
        <v/>
      </c>
      <c r="AH517">
        <f>IF(B517="","",IF(OR(U517=0,V517=0,W517=0,X517=0,Y517=0,Z517=0,AA517=0,AB517=0,AC517=0,AD517=0,AE517=0,AF517=0,AG517=0),1,0))</f>
        <v/>
      </c>
    </row>
    <row r="518">
      <c r="A518" s="3">
        <f>IF(B518="","",ROW()-2)</f>
        <v/>
      </c>
      <c r="P518" s="4">
        <f>IF(B518="","",SUM(C518:O518))</f>
        <v/>
      </c>
      <c r="Q518" s="5">
        <f>IF(B518="","",ROUND(P518/13,2))</f>
        <v/>
      </c>
      <c r="R518" s="5">
        <f>IF(B518="","",IF(AH518=1,0,MIN(5,ROUND((U518+V518+W518+X518+Y518+Z518+AA518+AB518+AC518+AD518+AE518+AF518+AG518)/13,2))))</f>
        <v/>
      </c>
      <c r="S518" s="3">
        <f>IF(B518="","",IF(R518&gt;=5,"A+",IF(R518&gt;=4,"A",IF(R518&gt;=3.5,"A-",IF(R518&gt;=3,"B",IF(R518&gt;=2,"C",IF(R518&gt;=1,"D","F")))))))</f>
        <v/>
      </c>
      <c r="T518" s="3">
        <f>IF(OR(B518="",S518="F"),"",COUNTIFS(P:P,"&gt;"&amp;P518,S:S,"&lt;&gt;F")+1)</f>
        <v/>
      </c>
      <c r="U518">
        <f>IF(B518="","",IF(C518&lt;33.0,0,IF(C518&gt;=100*0.8,5,IF(C518&gt;=100*0.7,4,IF(C518&gt;=100*0.6,3.5,IF(C518&gt;=100*0.5,3,IF(C518&gt;=100*0.4,2,IF(C518&gt;=100*0.33,1,0))))))))</f>
        <v/>
      </c>
      <c r="V518">
        <f>IF(B518="","",IF(D518&lt;33.0,0,IF(D518&gt;=100*0.8,5,IF(D518&gt;=100*0.7,4,IF(D518&gt;=100*0.6,3.5,IF(D518&gt;=100*0.5,3,IF(D518&gt;=100*0.4,2,IF(D518&gt;=100*0.33,1,0))))))))</f>
        <v/>
      </c>
      <c r="W518">
        <f>IF(B518="","",IF(E518&lt;16.5,0,IF(E518&gt;=50*0.8,5,IF(E518&gt;=50*0.7,4,IF(E518&gt;=50*0.6,3.5,IF(E518&gt;=50*0.5,3,IF(E518&gt;=50*0.4,2,IF(E518&gt;=50*0.33,1,0))))))))</f>
        <v/>
      </c>
      <c r="X518">
        <f>IF(B518="","",IF(F518&lt;33.0,0,IF(F518&gt;=100*0.8,5,IF(F518&gt;=100*0.7,4,IF(F518&gt;=100*0.6,3.5,IF(F518&gt;=100*0.5,3,IF(F518&gt;=100*0.4,2,IF(F518&gt;=100*0.33,1,0))))))))</f>
        <v/>
      </c>
      <c r="Y518">
        <f>IF(B518="","",IF(G518&lt;16.5,0,IF(G518&gt;=50*0.8,5,IF(G518&gt;=50*0.7,4,IF(G518&gt;=50*0.6,3.5,IF(G518&gt;=50*0.5,3,IF(G518&gt;=50*0.4,2,IF(G518&gt;=50*0.33,1,0))))))))</f>
        <v/>
      </c>
      <c r="Z518">
        <f>IF(B518="","",IF(H518&lt;33.0,0,IF(H518&gt;=100*0.8,5,IF(H518&gt;=100*0.7,4,IF(H518&gt;=100*0.6,3.5,IF(H518&gt;=100*0.5,3,IF(H518&gt;=100*0.4,2,IF(H518&gt;=100*0.33,1,0))))))))</f>
        <v/>
      </c>
      <c r="AA518">
        <f>IF(B518="","",IF(I518&lt;33.0,0,IF(I518&gt;=100*0.8,5,IF(I518&gt;=100*0.7,4,IF(I518&gt;=100*0.6,3.5,IF(I518&gt;=100*0.5,3,IF(I518&gt;=100*0.4,2,IF(I518&gt;=100*0.33,1,0))))))))</f>
        <v/>
      </c>
      <c r="AB518">
        <f>IF(B518="","",IF(J518&lt;33.0,0,IF(J518&gt;=100*0.8,5,IF(J518&gt;=100*0.7,4,IF(J518&gt;=100*0.6,3.5,IF(J518&gt;=100*0.5,3,IF(J518&gt;=100*0.4,2,IF(J518&gt;=100*0.33,1,0))))))))</f>
        <v/>
      </c>
      <c r="AC518">
        <f>IF(B518="","",IF(K518&lt;33.0,0,IF(K518&gt;=100*0.8,5,IF(K518&gt;=100*0.7,4,IF(K518&gt;=100*0.6,3.5,IF(K518&gt;=100*0.5,3,IF(K518&gt;=100*0.4,2,IF(K518&gt;=100*0.33,1,0))))))))</f>
        <v/>
      </c>
      <c r="AD518">
        <f>IF(B518="","",IF(L518&lt;33.0,0,IF(L518&gt;=100*0.8,5,IF(L518&gt;=100*0.7,4,IF(L518&gt;=100*0.6,3.5,IF(L518&gt;=100*0.5,3,IF(L518&gt;=100*0.4,2,IF(L518&gt;=100*0.33,1,0))))))))</f>
        <v/>
      </c>
      <c r="AE518">
        <f>IF(B518="","",IF(M518&lt;33.0,0,IF(M518&gt;=100*0.8,5,IF(M518&gt;=100*0.7,4,IF(M518&gt;=100*0.6,3.5,IF(M518&gt;=100*0.5,3,IF(M518&gt;=100*0.4,2,IF(M518&gt;=100*0.33,1,0))))))))</f>
        <v/>
      </c>
      <c r="AF518">
        <f>IF(B518="","",IF(N518&lt;16.5,0,IF(N518&gt;=50*0.8,5,IF(N518&gt;=50*0.7,4,IF(N518&gt;=50*0.6,3.5,IF(N518&gt;=50*0.5,3,IF(N518&gt;=50*0.4,2,IF(N518&gt;=50*0.33,1,0))))))))</f>
        <v/>
      </c>
      <c r="AG518">
        <f>IF(B518="","",IF(O518&lt;33.0,0,IF(O518&gt;=100*0.8,5,IF(O518&gt;=100*0.7,4,IF(O518&gt;=100*0.6,3.5,IF(O518&gt;=100*0.5,3,IF(O518&gt;=100*0.4,2,IF(O518&gt;=100*0.33,1,0))))))))</f>
        <v/>
      </c>
      <c r="AH518">
        <f>IF(B518="","",IF(OR(U518=0,V518=0,W518=0,X518=0,Y518=0,Z518=0,AA518=0,AB518=0,AC518=0,AD518=0,AE518=0,AF518=0,AG518=0),1,0))</f>
        <v/>
      </c>
    </row>
    <row r="519">
      <c r="A519" s="3">
        <f>IF(B519="","",ROW()-2)</f>
        <v/>
      </c>
      <c r="P519" s="4">
        <f>IF(B519="","",SUM(C519:O519))</f>
        <v/>
      </c>
      <c r="Q519" s="5">
        <f>IF(B519="","",ROUND(P519/13,2))</f>
        <v/>
      </c>
      <c r="R519" s="5">
        <f>IF(B519="","",IF(AH519=1,0,MIN(5,ROUND((U519+V519+W519+X519+Y519+Z519+AA519+AB519+AC519+AD519+AE519+AF519+AG519)/13,2))))</f>
        <v/>
      </c>
      <c r="S519" s="3">
        <f>IF(B519="","",IF(R519&gt;=5,"A+",IF(R519&gt;=4,"A",IF(R519&gt;=3.5,"A-",IF(R519&gt;=3,"B",IF(R519&gt;=2,"C",IF(R519&gt;=1,"D","F")))))))</f>
        <v/>
      </c>
      <c r="T519" s="3">
        <f>IF(OR(B519="",S519="F"),"",COUNTIFS(P:P,"&gt;"&amp;P519,S:S,"&lt;&gt;F")+1)</f>
        <v/>
      </c>
      <c r="U519">
        <f>IF(B519="","",IF(C519&lt;33.0,0,IF(C519&gt;=100*0.8,5,IF(C519&gt;=100*0.7,4,IF(C519&gt;=100*0.6,3.5,IF(C519&gt;=100*0.5,3,IF(C519&gt;=100*0.4,2,IF(C519&gt;=100*0.33,1,0))))))))</f>
        <v/>
      </c>
      <c r="V519">
        <f>IF(B519="","",IF(D519&lt;33.0,0,IF(D519&gt;=100*0.8,5,IF(D519&gt;=100*0.7,4,IF(D519&gt;=100*0.6,3.5,IF(D519&gt;=100*0.5,3,IF(D519&gt;=100*0.4,2,IF(D519&gt;=100*0.33,1,0))))))))</f>
        <v/>
      </c>
      <c r="W519">
        <f>IF(B519="","",IF(E519&lt;16.5,0,IF(E519&gt;=50*0.8,5,IF(E519&gt;=50*0.7,4,IF(E519&gt;=50*0.6,3.5,IF(E519&gt;=50*0.5,3,IF(E519&gt;=50*0.4,2,IF(E519&gt;=50*0.33,1,0))))))))</f>
        <v/>
      </c>
      <c r="X519">
        <f>IF(B519="","",IF(F519&lt;33.0,0,IF(F519&gt;=100*0.8,5,IF(F519&gt;=100*0.7,4,IF(F519&gt;=100*0.6,3.5,IF(F519&gt;=100*0.5,3,IF(F519&gt;=100*0.4,2,IF(F519&gt;=100*0.33,1,0))))))))</f>
        <v/>
      </c>
      <c r="Y519">
        <f>IF(B519="","",IF(G519&lt;16.5,0,IF(G519&gt;=50*0.8,5,IF(G519&gt;=50*0.7,4,IF(G519&gt;=50*0.6,3.5,IF(G519&gt;=50*0.5,3,IF(G519&gt;=50*0.4,2,IF(G519&gt;=50*0.33,1,0))))))))</f>
        <v/>
      </c>
      <c r="Z519">
        <f>IF(B519="","",IF(H519&lt;33.0,0,IF(H519&gt;=100*0.8,5,IF(H519&gt;=100*0.7,4,IF(H519&gt;=100*0.6,3.5,IF(H519&gt;=100*0.5,3,IF(H519&gt;=100*0.4,2,IF(H519&gt;=100*0.33,1,0))))))))</f>
        <v/>
      </c>
      <c r="AA519">
        <f>IF(B519="","",IF(I519&lt;33.0,0,IF(I519&gt;=100*0.8,5,IF(I519&gt;=100*0.7,4,IF(I519&gt;=100*0.6,3.5,IF(I519&gt;=100*0.5,3,IF(I519&gt;=100*0.4,2,IF(I519&gt;=100*0.33,1,0))))))))</f>
        <v/>
      </c>
      <c r="AB519">
        <f>IF(B519="","",IF(J519&lt;33.0,0,IF(J519&gt;=100*0.8,5,IF(J519&gt;=100*0.7,4,IF(J519&gt;=100*0.6,3.5,IF(J519&gt;=100*0.5,3,IF(J519&gt;=100*0.4,2,IF(J519&gt;=100*0.33,1,0))))))))</f>
        <v/>
      </c>
      <c r="AC519">
        <f>IF(B519="","",IF(K519&lt;33.0,0,IF(K519&gt;=100*0.8,5,IF(K519&gt;=100*0.7,4,IF(K519&gt;=100*0.6,3.5,IF(K519&gt;=100*0.5,3,IF(K519&gt;=100*0.4,2,IF(K519&gt;=100*0.33,1,0))))))))</f>
        <v/>
      </c>
      <c r="AD519">
        <f>IF(B519="","",IF(L519&lt;33.0,0,IF(L519&gt;=100*0.8,5,IF(L519&gt;=100*0.7,4,IF(L519&gt;=100*0.6,3.5,IF(L519&gt;=100*0.5,3,IF(L519&gt;=100*0.4,2,IF(L519&gt;=100*0.33,1,0))))))))</f>
        <v/>
      </c>
      <c r="AE519">
        <f>IF(B519="","",IF(M519&lt;33.0,0,IF(M519&gt;=100*0.8,5,IF(M519&gt;=100*0.7,4,IF(M519&gt;=100*0.6,3.5,IF(M519&gt;=100*0.5,3,IF(M519&gt;=100*0.4,2,IF(M519&gt;=100*0.33,1,0))))))))</f>
        <v/>
      </c>
      <c r="AF519">
        <f>IF(B519="","",IF(N519&lt;16.5,0,IF(N519&gt;=50*0.8,5,IF(N519&gt;=50*0.7,4,IF(N519&gt;=50*0.6,3.5,IF(N519&gt;=50*0.5,3,IF(N519&gt;=50*0.4,2,IF(N519&gt;=50*0.33,1,0))))))))</f>
        <v/>
      </c>
      <c r="AG519">
        <f>IF(B519="","",IF(O519&lt;33.0,0,IF(O519&gt;=100*0.8,5,IF(O519&gt;=100*0.7,4,IF(O519&gt;=100*0.6,3.5,IF(O519&gt;=100*0.5,3,IF(O519&gt;=100*0.4,2,IF(O519&gt;=100*0.33,1,0))))))))</f>
        <v/>
      </c>
      <c r="AH519">
        <f>IF(B519="","",IF(OR(U519=0,V519=0,W519=0,X519=0,Y519=0,Z519=0,AA519=0,AB519=0,AC519=0,AD519=0,AE519=0,AF519=0,AG519=0),1,0))</f>
        <v/>
      </c>
    </row>
    <row r="520">
      <c r="A520" s="3">
        <f>IF(B520="","",ROW()-2)</f>
        <v/>
      </c>
      <c r="P520" s="4">
        <f>IF(B520="","",SUM(C520:O520))</f>
        <v/>
      </c>
      <c r="Q520" s="5">
        <f>IF(B520="","",ROUND(P520/13,2))</f>
        <v/>
      </c>
      <c r="R520" s="5">
        <f>IF(B520="","",IF(AH520=1,0,MIN(5,ROUND((U520+V520+W520+X520+Y520+Z520+AA520+AB520+AC520+AD520+AE520+AF520+AG520)/13,2))))</f>
        <v/>
      </c>
      <c r="S520" s="3">
        <f>IF(B520="","",IF(R520&gt;=5,"A+",IF(R520&gt;=4,"A",IF(R520&gt;=3.5,"A-",IF(R520&gt;=3,"B",IF(R520&gt;=2,"C",IF(R520&gt;=1,"D","F")))))))</f>
        <v/>
      </c>
      <c r="T520" s="3">
        <f>IF(OR(B520="",S520="F"),"",COUNTIFS(P:P,"&gt;"&amp;P520,S:S,"&lt;&gt;F")+1)</f>
        <v/>
      </c>
      <c r="U520">
        <f>IF(B520="","",IF(C520&lt;33.0,0,IF(C520&gt;=100*0.8,5,IF(C520&gt;=100*0.7,4,IF(C520&gt;=100*0.6,3.5,IF(C520&gt;=100*0.5,3,IF(C520&gt;=100*0.4,2,IF(C520&gt;=100*0.33,1,0))))))))</f>
        <v/>
      </c>
      <c r="V520">
        <f>IF(B520="","",IF(D520&lt;33.0,0,IF(D520&gt;=100*0.8,5,IF(D520&gt;=100*0.7,4,IF(D520&gt;=100*0.6,3.5,IF(D520&gt;=100*0.5,3,IF(D520&gt;=100*0.4,2,IF(D520&gt;=100*0.33,1,0))))))))</f>
        <v/>
      </c>
      <c r="W520">
        <f>IF(B520="","",IF(E520&lt;16.5,0,IF(E520&gt;=50*0.8,5,IF(E520&gt;=50*0.7,4,IF(E520&gt;=50*0.6,3.5,IF(E520&gt;=50*0.5,3,IF(E520&gt;=50*0.4,2,IF(E520&gt;=50*0.33,1,0))))))))</f>
        <v/>
      </c>
      <c r="X520">
        <f>IF(B520="","",IF(F520&lt;33.0,0,IF(F520&gt;=100*0.8,5,IF(F520&gt;=100*0.7,4,IF(F520&gt;=100*0.6,3.5,IF(F520&gt;=100*0.5,3,IF(F520&gt;=100*0.4,2,IF(F520&gt;=100*0.33,1,0))))))))</f>
        <v/>
      </c>
      <c r="Y520">
        <f>IF(B520="","",IF(G520&lt;16.5,0,IF(G520&gt;=50*0.8,5,IF(G520&gt;=50*0.7,4,IF(G520&gt;=50*0.6,3.5,IF(G520&gt;=50*0.5,3,IF(G520&gt;=50*0.4,2,IF(G520&gt;=50*0.33,1,0))))))))</f>
        <v/>
      </c>
      <c r="Z520">
        <f>IF(B520="","",IF(H520&lt;33.0,0,IF(H520&gt;=100*0.8,5,IF(H520&gt;=100*0.7,4,IF(H520&gt;=100*0.6,3.5,IF(H520&gt;=100*0.5,3,IF(H520&gt;=100*0.4,2,IF(H520&gt;=100*0.33,1,0))))))))</f>
        <v/>
      </c>
      <c r="AA520">
        <f>IF(B520="","",IF(I520&lt;33.0,0,IF(I520&gt;=100*0.8,5,IF(I520&gt;=100*0.7,4,IF(I520&gt;=100*0.6,3.5,IF(I520&gt;=100*0.5,3,IF(I520&gt;=100*0.4,2,IF(I520&gt;=100*0.33,1,0))))))))</f>
        <v/>
      </c>
      <c r="AB520">
        <f>IF(B520="","",IF(J520&lt;33.0,0,IF(J520&gt;=100*0.8,5,IF(J520&gt;=100*0.7,4,IF(J520&gt;=100*0.6,3.5,IF(J520&gt;=100*0.5,3,IF(J520&gt;=100*0.4,2,IF(J520&gt;=100*0.33,1,0))))))))</f>
        <v/>
      </c>
      <c r="AC520">
        <f>IF(B520="","",IF(K520&lt;33.0,0,IF(K520&gt;=100*0.8,5,IF(K520&gt;=100*0.7,4,IF(K520&gt;=100*0.6,3.5,IF(K520&gt;=100*0.5,3,IF(K520&gt;=100*0.4,2,IF(K520&gt;=100*0.33,1,0))))))))</f>
        <v/>
      </c>
      <c r="AD520">
        <f>IF(B520="","",IF(L520&lt;33.0,0,IF(L520&gt;=100*0.8,5,IF(L520&gt;=100*0.7,4,IF(L520&gt;=100*0.6,3.5,IF(L520&gt;=100*0.5,3,IF(L520&gt;=100*0.4,2,IF(L520&gt;=100*0.33,1,0))))))))</f>
        <v/>
      </c>
      <c r="AE520">
        <f>IF(B520="","",IF(M520&lt;33.0,0,IF(M520&gt;=100*0.8,5,IF(M520&gt;=100*0.7,4,IF(M520&gt;=100*0.6,3.5,IF(M520&gt;=100*0.5,3,IF(M520&gt;=100*0.4,2,IF(M520&gt;=100*0.33,1,0))))))))</f>
        <v/>
      </c>
      <c r="AF520">
        <f>IF(B520="","",IF(N520&lt;16.5,0,IF(N520&gt;=50*0.8,5,IF(N520&gt;=50*0.7,4,IF(N520&gt;=50*0.6,3.5,IF(N520&gt;=50*0.5,3,IF(N520&gt;=50*0.4,2,IF(N520&gt;=50*0.33,1,0))))))))</f>
        <v/>
      </c>
      <c r="AG520">
        <f>IF(B520="","",IF(O520&lt;33.0,0,IF(O520&gt;=100*0.8,5,IF(O520&gt;=100*0.7,4,IF(O520&gt;=100*0.6,3.5,IF(O520&gt;=100*0.5,3,IF(O520&gt;=100*0.4,2,IF(O520&gt;=100*0.33,1,0))))))))</f>
        <v/>
      </c>
      <c r="AH520">
        <f>IF(B520="","",IF(OR(U520=0,V520=0,W520=0,X520=0,Y520=0,Z520=0,AA520=0,AB520=0,AC520=0,AD520=0,AE520=0,AF520=0,AG520=0),1,0))</f>
        <v/>
      </c>
    </row>
    <row r="521">
      <c r="A521" s="3">
        <f>IF(B521="","",ROW()-2)</f>
        <v/>
      </c>
      <c r="P521" s="4">
        <f>IF(B521="","",SUM(C521:O521))</f>
        <v/>
      </c>
      <c r="Q521" s="5">
        <f>IF(B521="","",ROUND(P521/13,2))</f>
        <v/>
      </c>
      <c r="R521" s="5">
        <f>IF(B521="","",IF(AH521=1,0,MIN(5,ROUND((U521+V521+W521+X521+Y521+Z521+AA521+AB521+AC521+AD521+AE521+AF521+AG521)/13,2))))</f>
        <v/>
      </c>
      <c r="S521" s="3">
        <f>IF(B521="","",IF(R521&gt;=5,"A+",IF(R521&gt;=4,"A",IF(R521&gt;=3.5,"A-",IF(R521&gt;=3,"B",IF(R521&gt;=2,"C",IF(R521&gt;=1,"D","F")))))))</f>
        <v/>
      </c>
      <c r="T521" s="3">
        <f>IF(OR(B521="",S521="F"),"",COUNTIFS(P:P,"&gt;"&amp;P521,S:S,"&lt;&gt;F")+1)</f>
        <v/>
      </c>
      <c r="U521">
        <f>IF(B521="","",IF(C521&lt;33.0,0,IF(C521&gt;=100*0.8,5,IF(C521&gt;=100*0.7,4,IF(C521&gt;=100*0.6,3.5,IF(C521&gt;=100*0.5,3,IF(C521&gt;=100*0.4,2,IF(C521&gt;=100*0.33,1,0))))))))</f>
        <v/>
      </c>
      <c r="V521">
        <f>IF(B521="","",IF(D521&lt;33.0,0,IF(D521&gt;=100*0.8,5,IF(D521&gt;=100*0.7,4,IF(D521&gt;=100*0.6,3.5,IF(D521&gt;=100*0.5,3,IF(D521&gt;=100*0.4,2,IF(D521&gt;=100*0.33,1,0))))))))</f>
        <v/>
      </c>
      <c r="W521">
        <f>IF(B521="","",IF(E521&lt;16.5,0,IF(E521&gt;=50*0.8,5,IF(E521&gt;=50*0.7,4,IF(E521&gt;=50*0.6,3.5,IF(E521&gt;=50*0.5,3,IF(E521&gt;=50*0.4,2,IF(E521&gt;=50*0.33,1,0))))))))</f>
        <v/>
      </c>
      <c r="X521">
        <f>IF(B521="","",IF(F521&lt;33.0,0,IF(F521&gt;=100*0.8,5,IF(F521&gt;=100*0.7,4,IF(F521&gt;=100*0.6,3.5,IF(F521&gt;=100*0.5,3,IF(F521&gt;=100*0.4,2,IF(F521&gt;=100*0.33,1,0))))))))</f>
        <v/>
      </c>
      <c r="Y521">
        <f>IF(B521="","",IF(G521&lt;16.5,0,IF(G521&gt;=50*0.8,5,IF(G521&gt;=50*0.7,4,IF(G521&gt;=50*0.6,3.5,IF(G521&gt;=50*0.5,3,IF(G521&gt;=50*0.4,2,IF(G521&gt;=50*0.33,1,0))))))))</f>
        <v/>
      </c>
      <c r="Z521">
        <f>IF(B521="","",IF(H521&lt;33.0,0,IF(H521&gt;=100*0.8,5,IF(H521&gt;=100*0.7,4,IF(H521&gt;=100*0.6,3.5,IF(H521&gt;=100*0.5,3,IF(H521&gt;=100*0.4,2,IF(H521&gt;=100*0.33,1,0))))))))</f>
        <v/>
      </c>
      <c r="AA521">
        <f>IF(B521="","",IF(I521&lt;33.0,0,IF(I521&gt;=100*0.8,5,IF(I521&gt;=100*0.7,4,IF(I521&gt;=100*0.6,3.5,IF(I521&gt;=100*0.5,3,IF(I521&gt;=100*0.4,2,IF(I521&gt;=100*0.33,1,0))))))))</f>
        <v/>
      </c>
      <c r="AB521">
        <f>IF(B521="","",IF(J521&lt;33.0,0,IF(J521&gt;=100*0.8,5,IF(J521&gt;=100*0.7,4,IF(J521&gt;=100*0.6,3.5,IF(J521&gt;=100*0.5,3,IF(J521&gt;=100*0.4,2,IF(J521&gt;=100*0.33,1,0))))))))</f>
        <v/>
      </c>
      <c r="AC521">
        <f>IF(B521="","",IF(K521&lt;33.0,0,IF(K521&gt;=100*0.8,5,IF(K521&gt;=100*0.7,4,IF(K521&gt;=100*0.6,3.5,IF(K521&gt;=100*0.5,3,IF(K521&gt;=100*0.4,2,IF(K521&gt;=100*0.33,1,0))))))))</f>
        <v/>
      </c>
      <c r="AD521">
        <f>IF(B521="","",IF(L521&lt;33.0,0,IF(L521&gt;=100*0.8,5,IF(L521&gt;=100*0.7,4,IF(L521&gt;=100*0.6,3.5,IF(L521&gt;=100*0.5,3,IF(L521&gt;=100*0.4,2,IF(L521&gt;=100*0.33,1,0))))))))</f>
        <v/>
      </c>
      <c r="AE521">
        <f>IF(B521="","",IF(M521&lt;33.0,0,IF(M521&gt;=100*0.8,5,IF(M521&gt;=100*0.7,4,IF(M521&gt;=100*0.6,3.5,IF(M521&gt;=100*0.5,3,IF(M521&gt;=100*0.4,2,IF(M521&gt;=100*0.33,1,0))))))))</f>
        <v/>
      </c>
      <c r="AF521">
        <f>IF(B521="","",IF(N521&lt;16.5,0,IF(N521&gt;=50*0.8,5,IF(N521&gt;=50*0.7,4,IF(N521&gt;=50*0.6,3.5,IF(N521&gt;=50*0.5,3,IF(N521&gt;=50*0.4,2,IF(N521&gt;=50*0.33,1,0))))))))</f>
        <v/>
      </c>
      <c r="AG521">
        <f>IF(B521="","",IF(O521&lt;33.0,0,IF(O521&gt;=100*0.8,5,IF(O521&gt;=100*0.7,4,IF(O521&gt;=100*0.6,3.5,IF(O521&gt;=100*0.5,3,IF(O521&gt;=100*0.4,2,IF(O521&gt;=100*0.33,1,0))))))))</f>
        <v/>
      </c>
      <c r="AH521">
        <f>IF(B521="","",IF(OR(U521=0,V521=0,W521=0,X521=0,Y521=0,Z521=0,AA521=0,AB521=0,AC521=0,AD521=0,AE521=0,AF521=0,AG521=0),1,0))</f>
        <v/>
      </c>
    </row>
    <row r="522">
      <c r="A522" s="3">
        <f>IF(B522="","",ROW()-2)</f>
        <v/>
      </c>
      <c r="P522" s="4">
        <f>IF(B522="","",SUM(C522:O522))</f>
        <v/>
      </c>
      <c r="Q522" s="5">
        <f>IF(B522="","",ROUND(P522/13,2))</f>
        <v/>
      </c>
      <c r="R522" s="5">
        <f>IF(B522="","",IF(AH522=1,0,MIN(5,ROUND((U522+V522+W522+X522+Y522+Z522+AA522+AB522+AC522+AD522+AE522+AF522+AG522)/13,2))))</f>
        <v/>
      </c>
      <c r="S522" s="3">
        <f>IF(B522="","",IF(R522&gt;=5,"A+",IF(R522&gt;=4,"A",IF(R522&gt;=3.5,"A-",IF(R522&gt;=3,"B",IF(R522&gt;=2,"C",IF(R522&gt;=1,"D","F")))))))</f>
        <v/>
      </c>
      <c r="T522" s="3">
        <f>IF(OR(B522="",S522="F"),"",COUNTIFS(P:P,"&gt;"&amp;P522,S:S,"&lt;&gt;F")+1)</f>
        <v/>
      </c>
      <c r="U522">
        <f>IF(B522="","",IF(C522&lt;33.0,0,IF(C522&gt;=100*0.8,5,IF(C522&gt;=100*0.7,4,IF(C522&gt;=100*0.6,3.5,IF(C522&gt;=100*0.5,3,IF(C522&gt;=100*0.4,2,IF(C522&gt;=100*0.33,1,0))))))))</f>
        <v/>
      </c>
      <c r="V522">
        <f>IF(B522="","",IF(D522&lt;33.0,0,IF(D522&gt;=100*0.8,5,IF(D522&gt;=100*0.7,4,IF(D522&gt;=100*0.6,3.5,IF(D522&gt;=100*0.5,3,IF(D522&gt;=100*0.4,2,IF(D522&gt;=100*0.33,1,0))))))))</f>
        <v/>
      </c>
      <c r="W522">
        <f>IF(B522="","",IF(E522&lt;16.5,0,IF(E522&gt;=50*0.8,5,IF(E522&gt;=50*0.7,4,IF(E522&gt;=50*0.6,3.5,IF(E522&gt;=50*0.5,3,IF(E522&gt;=50*0.4,2,IF(E522&gt;=50*0.33,1,0))))))))</f>
        <v/>
      </c>
      <c r="X522">
        <f>IF(B522="","",IF(F522&lt;33.0,0,IF(F522&gt;=100*0.8,5,IF(F522&gt;=100*0.7,4,IF(F522&gt;=100*0.6,3.5,IF(F522&gt;=100*0.5,3,IF(F522&gt;=100*0.4,2,IF(F522&gt;=100*0.33,1,0))))))))</f>
        <v/>
      </c>
      <c r="Y522">
        <f>IF(B522="","",IF(G522&lt;16.5,0,IF(G522&gt;=50*0.8,5,IF(G522&gt;=50*0.7,4,IF(G522&gt;=50*0.6,3.5,IF(G522&gt;=50*0.5,3,IF(G522&gt;=50*0.4,2,IF(G522&gt;=50*0.33,1,0))))))))</f>
        <v/>
      </c>
      <c r="Z522">
        <f>IF(B522="","",IF(H522&lt;33.0,0,IF(H522&gt;=100*0.8,5,IF(H522&gt;=100*0.7,4,IF(H522&gt;=100*0.6,3.5,IF(H522&gt;=100*0.5,3,IF(H522&gt;=100*0.4,2,IF(H522&gt;=100*0.33,1,0))))))))</f>
        <v/>
      </c>
      <c r="AA522">
        <f>IF(B522="","",IF(I522&lt;33.0,0,IF(I522&gt;=100*0.8,5,IF(I522&gt;=100*0.7,4,IF(I522&gt;=100*0.6,3.5,IF(I522&gt;=100*0.5,3,IF(I522&gt;=100*0.4,2,IF(I522&gt;=100*0.33,1,0))))))))</f>
        <v/>
      </c>
      <c r="AB522">
        <f>IF(B522="","",IF(J522&lt;33.0,0,IF(J522&gt;=100*0.8,5,IF(J522&gt;=100*0.7,4,IF(J522&gt;=100*0.6,3.5,IF(J522&gt;=100*0.5,3,IF(J522&gt;=100*0.4,2,IF(J522&gt;=100*0.33,1,0))))))))</f>
        <v/>
      </c>
      <c r="AC522">
        <f>IF(B522="","",IF(K522&lt;33.0,0,IF(K522&gt;=100*0.8,5,IF(K522&gt;=100*0.7,4,IF(K522&gt;=100*0.6,3.5,IF(K522&gt;=100*0.5,3,IF(K522&gt;=100*0.4,2,IF(K522&gt;=100*0.33,1,0))))))))</f>
        <v/>
      </c>
      <c r="AD522">
        <f>IF(B522="","",IF(L522&lt;33.0,0,IF(L522&gt;=100*0.8,5,IF(L522&gt;=100*0.7,4,IF(L522&gt;=100*0.6,3.5,IF(L522&gt;=100*0.5,3,IF(L522&gt;=100*0.4,2,IF(L522&gt;=100*0.33,1,0))))))))</f>
        <v/>
      </c>
      <c r="AE522">
        <f>IF(B522="","",IF(M522&lt;33.0,0,IF(M522&gt;=100*0.8,5,IF(M522&gt;=100*0.7,4,IF(M522&gt;=100*0.6,3.5,IF(M522&gt;=100*0.5,3,IF(M522&gt;=100*0.4,2,IF(M522&gt;=100*0.33,1,0))))))))</f>
        <v/>
      </c>
      <c r="AF522">
        <f>IF(B522="","",IF(N522&lt;16.5,0,IF(N522&gt;=50*0.8,5,IF(N522&gt;=50*0.7,4,IF(N522&gt;=50*0.6,3.5,IF(N522&gt;=50*0.5,3,IF(N522&gt;=50*0.4,2,IF(N522&gt;=50*0.33,1,0))))))))</f>
        <v/>
      </c>
      <c r="AG522">
        <f>IF(B522="","",IF(O522&lt;33.0,0,IF(O522&gt;=100*0.8,5,IF(O522&gt;=100*0.7,4,IF(O522&gt;=100*0.6,3.5,IF(O522&gt;=100*0.5,3,IF(O522&gt;=100*0.4,2,IF(O522&gt;=100*0.33,1,0))))))))</f>
        <v/>
      </c>
      <c r="AH522">
        <f>IF(B522="","",IF(OR(U522=0,V522=0,W522=0,X522=0,Y522=0,Z522=0,AA522=0,AB522=0,AC522=0,AD522=0,AE522=0,AF522=0,AG522=0),1,0))</f>
        <v/>
      </c>
    </row>
    <row r="523">
      <c r="A523" s="3">
        <f>IF(B523="","",ROW()-2)</f>
        <v/>
      </c>
      <c r="P523" s="4">
        <f>IF(B523="","",SUM(C523:O523))</f>
        <v/>
      </c>
      <c r="Q523" s="5">
        <f>IF(B523="","",ROUND(P523/13,2))</f>
        <v/>
      </c>
      <c r="R523" s="5">
        <f>IF(B523="","",IF(AH523=1,0,MIN(5,ROUND((U523+V523+W523+X523+Y523+Z523+AA523+AB523+AC523+AD523+AE523+AF523+AG523)/13,2))))</f>
        <v/>
      </c>
      <c r="S523" s="3">
        <f>IF(B523="","",IF(R523&gt;=5,"A+",IF(R523&gt;=4,"A",IF(R523&gt;=3.5,"A-",IF(R523&gt;=3,"B",IF(R523&gt;=2,"C",IF(R523&gt;=1,"D","F")))))))</f>
        <v/>
      </c>
      <c r="T523" s="3">
        <f>IF(OR(B523="",S523="F"),"",COUNTIFS(P:P,"&gt;"&amp;P523,S:S,"&lt;&gt;F")+1)</f>
        <v/>
      </c>
      <c r="U523">
        <f>IF(B523="","",IF(C523&lt;33.0,0,IF(C523&gt;=100*0.8,5,IF(C523&gt;=100*0.7,4,IF(C523&gt;=100*0.6,3.5,IF(C523&gt;=100*0.5,3,IF(C523&gt;=100*0.4,2,IF(C523&gt;=100*0.33,1,0))))))))</f>
        <v/>
      </c>
      <c r="V523">
        <f>IF(B523="","",IF(D523&lt;33.0,0,IF(D523&gt;=100*0.8,5,IF(D523&gt;=100*0.7,4,IF(D523&gt;=100*0.6,3.5,IF(D523&gt;=100*0.5,3,IF(D523&gt;=100*0.4,2,IF(D523&gt;=100*0.33,1,0))))))))</f>
        <v/>
      </c>
      <c r="W523">
        <f>IF(B523="","",IF(E523&lt;16.5,0,IF(E523&gt;=50*0.8,5,IF(E523&gt;=50*0.7,4,IF(E523&gt;=50*0.6,3.5,IF(E523&gt;=50*0.5,3,IF(E523&gt;=50*0.4,2,IF(E523&gt;=50*0.33,1,0))))))))</f>
        <v/>
      </c>
      <c r="X523">
        <f>IF(B523="","",IF(F523&lt;33.0,0,IF(F523&gt;=100*0.8,5,IF(F523&gt;=100*0.7,4,IF(F523&gt;=100*0.6,3.5,IF(F523&gt;=100*0.5,3,IF(F523&gt;=100*0.4,2,IF(F523&gt;=100*0.33,1,0))))))))</f>
        <v/>
      </c>
      <c r="Y523">
        <f>IF(B523="","",IF(G523&lt;16.5,0,IF(G523&gt;=50*0.8,5,IF(G523&gt;=50*0.7,4,IF(G523&gt;=50*0.6,3.5,IF(G523&gt;=50*0.5,3,IF(G523&gt;=50*0.4,2,IF(G523&gt;=50*0.33,1,0))))))))</f>
        <v/>
      </c>
      <c r="Z523">
        <f>IF(B523="","",IF(H523&lt;33.0,0,IF(H523&gt;=100*0.8,5,IF(H523&gt;=100*0.7,4,IF(H523&gt;=100*0.6,3.5,IF(H523&gt;=100*0.5,3,IF(H523&gt;=100*0.4,2,IF(H523&gt;=100*0.33,1,0))))))))</f>
        <v/>
      </c>
      <c r="AA523">
        <f>IF(B523="","",IF(I523&lt;33.0,0,IF(I523&gt;=100*0.8,5,IF(I523&gt;=100*0.7,4,IF(I523&gt;=100*0.6,3.5,IF(I523&gt;=100*0.5,3,IF(I523&gt;=100*0.4,2,IF(I523&gt;=100*0.33,1,0))))))))</f>
        <v/>
      </c>
      <c r="AB523">
        <f>IF(B523="","",IF(J523&lt;33.0,0,IF(J523&gt;=100*0.8,5,IF(J523&gt;=100*0.7,4,IF(J523&gt;=100*0.6,3.5,IF(J523&gt;=100*0.5,3,IF(J523&gt;=100*0.4,2,IF(J523&gt;=100*0.33,1,0))))))))</f>
        <v/>
      </c>
      <c r="AC523">
        <f>IF(B523="","",IF(K523&lt;33.0,0,IF(K523&gt;=100*0.8,5,IF(K523&gt;=100*0.7,4,IF(K523&gt;=100*0.6,3.5,IF(K523&gt;=100*0.5,3,IF(K523&gt;=100*0.4,2,IF(K523&gt;=100*0.33,1,0))))))))</f>
        <v/>
      </c>
      <c r="AD523">
        <f>IF(B523="","",IF(L523&lt;33.0,0,IF(L523&gt;=100*0.8,5,IF(L523&gt;=100*0.7,4,IF(L523&gt;=100*0.6,3.5,IF(L523&gt;=100*0.5,3,IF(L523&gt;=100*0.4,2,IF(L523&gt;=100*0.33,1,0))))))))</f>
        <v/>
      </c>
      <c r="AE523">
        <f>IF(B523="","",IF(M523&lt;33.0,0,IF(M523&gt;=100*0.8,5,IF(M523&gt;=100*0.7,4,IF(M523&gt;=100*0.6,3.5,IF(M523&gt;=100*0.5,3,IF(M523&gt;=100*0.4,2,IF(M523&gt;=100*0.33,1,0))))))))</f>
        <v/>
      </c>
      <c r="AF523">
        <f>IF(B523="","",IF(N523&lt;16.5,0,IF(N523&gt;=50*0.8,5,IF(N523&gt;=50*0.7,4,IF(N523&gt;=50*0.6,3.5,IF(N523&gt;=50*0.5,3,IF(N523&gt;=50*0.4,2,IF(N523&gt;=50*0.33,1,0))))))))</f>
        <v/>
      </c>
      <c r="AG523">
        <f>IF(B523="","",IF(O523&lt;33.0,0,IF(O523&gt;=100*0.8,5,IF(O523&gt;=100*0.7,4,IF(O523&gt;=100*0.6,3.5,IF(O523&gt;=100*0.5,3,IF(O523&gt;=100*0.4,2,IF(O523&gt;=100*0.33,1,0))))))))</f>
        <v/>
      </c>
      <c r="AH523">
        <f>IF(B523="","",IF(OR(U523=0,V523=0,W523=0,X523=0,Y523=0,Z523=0,AA523=0,AB523=0,AC523=0,AD523=0,AE523=0,AF523=0,AG523=0),1,0))</f>
        <v/>
      </c>
    </row>
    <row r="524">
      <c r="A524" s="3">
        <f>IF(B524="","",ROW()-2)</f>
        <v/>
      </c>
      <c r="P524" s="4">
        <f>IF(B524="","",SUM(C524:O524))</f>
        <v/>
      </c>
      <c r="Q524" s="5">
        <f>IF(B524="","",ROUND(P524/13,2))</f>
        <v/>
      </c>
      <c r="R524" s="5">
        <f>IF(B524="","",IF(AH524=1,0,MIN(5,ROUND((U524+V524+W524+X524+Y524+Z524+AA524+AB524+AC524+AD524+AE524+AF524+AG524)/13,2))))</f>
        <v/>
      </c>
      <c r="S524" s="3">
        <f>IF(B524="","",IF(R524&gt;=5,"A+",IF(R524&gt;=4,"A",IF(R524&gt;=3.5,"A-",IF(R524&gt;=3,"B",IF(R524&gt;=2,"C",IF(R524&gt;=1,"D","F")))))))</f>
        <v/>
      </c>
      <c r="T524" s="3">
        <f>IF(OR(B524="",S524="F"),"",COUNTIFS(P:P,"&gt;"&amp;P524,S:S,"&lt;&gt;F")+1)</f>
        <v/>
      </c>
      <c r="U524">
        <f>IF(B524="","",IF(C524&lt;33.0,0,IF(C524&gt;=100*0.8,5,IF(C524&gt;=100*0.7,4,IF(C524&gt;=100*0.6,3.5,IF(C524&gt;=100*0.5,3,IF(C524&gt;=100*0.4,2,IF(C524&gt;=100*0.33,1,0))))))))</f>
        <v/>
      </c>
      <c r="V524">
        <f>IF(B524="","",IF(D524&lt;33.0,0,IF(D524&gt;=100*0.8,5,IF(D524&gt;=100*0.7,4,IF(D524&gt;=100*0.6,3.5,IF(D524&gt;=100*0.5,3,IF(D524&gt;=100*0.4,2,IF(D524&gt;=100*0.33,1,0))))))))</f>
        <v/>
      </c>
      <c r="W524">
        <f>IF(B524="","",IF(E524&lt;16.5,0,IF(E524&gt;=50*0.8,5,IF(E524&gt;=50*0.7,4,IF(E524&gt;=50*0.6,3.5,IF(E524&gt;=50*0.5,3,IF(E524&gt;=50*0.4,2,IF(E524&gt;=50*0.33,1,0))))))))</f>
        <v/>
      </c>
      <c r="X524">
        <f>IF(B524="","",IF(F524&lt;33.0,0,IF(F524&gt;=100*0.8,5,IF(F524&gt;=100*0.7,4,IF(F524&gt;=100*0.6,3.5,IF(F524&gt;=100*0.5,3,IF(F524&gt;=100*0.4,2,IF(F524&gt;=100*0.33,1,0))))))))</f>
        <v/>
      </c>
      <c r="Y524">
        <f>IF(B524="","",IF(G524&lt;16.5,0,IF(G524&gt;=50*0.8,5,IF(G524&gt;=50*0.7,4,IF(G524&gt;=50*0.6,3.5,IF(G524&gt;=50*0.5,3,IF(G524&gt;=50*0.4,2,IF(G524&gt;=50*0.33,1,0))))))))</f>
        <v/>
      </c>
      <c r="Z524">
        <f>IF(B524="","",IF(H524&lt;33.0,0,IF(H524&gt;=100*0.8,5,IF(H524&gt;=100*0.7,4,IF(H524&gt;=100*0.6,3.5,IF(H524&gt;=100*0.5,3,IF(H524&gt;=100*0.4,2,IF(H524&gt;=100*0.33,1,0))))))))</f>
        <v/>
      </c>
      <c r="AA524">
        <f>IF(B524="","",IF(I524&lt;33.0,0,IF(I524&gt;=100*0.8,5,IF(I524&gt;=100*0.7,4,IF(I524&gt;=100*0.6,3.5,IF(I524&gt;=100*0.5,3,IF(I524&gt;=100*0.4,2,IF(I524&gt;=100*0.33,1,0))))))))</f>
        <v/>
      </c>
      <c r="AB524">
        <f>IF(B524="","",IF(J524&lt;33.0,0,IF(J524&gt;=100*0.8,5,IF(J524&gt;=100*0.7,4,IF(J524&gt;=100*0.6,3.5,IF(J524&gt;=100*0.5,3,IF(J524&gt;=100*0.4,2,IF(J524&gt;=100*0.33,1,0))))))))</f>
        <v/>
      </c>
      <c r="AC524">
        <f>IF(B524="","",IF(K524&lt;33.0,0,IF(K524&gt;=100*0.8,5,IF(K524&gt;=100*0.7,4,IF(K524&gt;=100*0.6,3.5,IF(K524&gt;=100*0.5,3,IF(K524&gt;=100*0.4,2,IF(K524&gt;=100*0.33,1,0))))))))</f>
        <v/>
      </c>
      <c r="AD524">
        <f>IF(B524="","",IF(L524&lt;33.0,0,IF(L524&gt;=100*0.8,5,IF(L524&gt;=100*0.7,4,IF(L524&gt;=100*0.6,3.5,IF(L524&gt;=100*0.5,3,IF(L524&gt;=100*0.4,2,IF(L524&gt;=100*0.33,1,0))))))))</f>
        <v/>
      </c>
      <c r="AE524">
        <f>IF(B524="","",IF(M524&lt;33.0,0,IF(M524&gt;=100*0.8,5,IF(M524&gt;=100*0.7,4,IF(M524&gt;=100*0.6,3.5,IF(M524&gt;=100*0.5,3,IF(M524&gt;=100*0.4,2,IF(M524&gt;=100*0.33,1,0))))))))</f>
        <v/>
      </c>
      <c r="AF524">
        <f>IF(B524="","",IF(N524&lt;16.5,0,IF(N524&gt;=50*0.8,5,IF(N524&gt;=50*0.7,4,IF(N524&gt;=50*0.6,3.5,IF(N524&gt;=50*0.5,3,IF(N524&gt;=50*0.4,2,IF(N524&gt;=50*0.33,1,0))))))))</f>
        <v/>
      </c>
      <c r="AG524">
        <f>IF(B524="","",IF(O524&lt;33.0,0,IF(O524&gt;=100*0.8,5,IF(O524&gt;=100*0.7,4,IF(O524&gt;=100*0.6,3.5,IF(O524&gt;=100*0.5,3,IF(O524&gt;=100*0.4,2,IF(O524&gt;=100*0.33,1,0))))))))</f>
        <v/>
      </c>
      <c r="AH524">
        <f>IF(B524="","",IF(OR(U524=0,V524=0,W524=0,X524=0,Y524=0,Z524=0,AA524=0,AB524=0,AC524=0,AD524=0,AE524=0,AF524=0,AG524=0),1,0))</f>
        <v/>
      </c>
    </row>
    <row r="525">
      <c r="A525" s="3">
        <f>IF(B525="","",ROW()-2)</f>
        <v/>
      </c>
      <c r="P525" s="4">
        <f>IF(B525="","",SUM(C525:O525))</f>
        <v/>
      </c>
      <c r="Q525" s="5">
        <f>IF(B525="","",ROUND(P525/13,2))</f>
        <v/>
      </c>
      <c r="R525" s="5">
        <f>IF(B525="","",IF(AH525=1,0,MIN(5,ROUND((U525+V525+W525+X525+Y525+Z525+AA525+AB525+AC525+AD525+AE525+AF525+AG525)/13,2))))</f>
        <v/>
      </c>
      <c r="S525" s="3">
        <f>IF(B525="","",IF(R525&gt;=5,"A+",IF(R525&gt;=4,"A",IF(R525&gt;=3.5,"A-",IF(R525&gt;=3,"B",IF(R525&gt;=2,"C",IF(R525&gt;=1,"D","F")))))))</f>
        <v/>
      </c>
      <c r="T525" s="3">
        <f>IF(OR(B525="",S525="F"),"",COUNTIFS(P:P,"&gt;"&amp;P525,S:S,"&lt;&gt;F")+1)</f>
        <v/>
      </c>
      <c r="U525">
        <f>IF(B525="","",IF(C525&lt;33.0,0,IF(C525&gt;=100*0.8,5,IF(C525&gt;=100*0.7,4,IF(C525&gt;=100*0.6,3.5,IF(C525&gt;=100*0.5,3,IF(C525&gt;=100*0.4,2,IF(C525&gt;=100*0.33,1,0))))))))</f>
        <v/>
      </c>
      <c r="V525">
        <f>IF(B525="","",IF(D525&lt;33.0,0,IF(D525&gt;=100*0.8,5,IF(D525&gt;=100*0.7,4,IF(D525&gt;=100*0.6,3.5,IF(D525&gt;=100*0.5,3,IF(D525&gt;=100*0.4,2,IF(D525&gt;=100*0.33,1,0))))))))</f>
        <v/>
      </c>
      <c r="W525">
        <f>IF(B525="","",IF(E525&lt;16.5,0,IF(E525&gt;=50*0.8,5,IF(E525&gt;=50*0.7,4,IF(E525&gt;=50*0.6,3.5,IF(E525&gt;=50*0.5,3,IF(E525&gt;=50*0.4,2,IF(E525&gt;=50*0.33,1,0))))))))</f>
        <v/>
      </c>
      <c r="X525">
        <f>IF(B525="","",IF(F525&lt;33.0,0,IF(F525&gt;=100*0.8,5,IF(F525&gt;=100*0.7,4,IF(F525&gt;=100*0.6,3.5,IF(F525&gt;=100*0.5,3,IF(F525&gt;=100*0.4,2,IF(F525&gt;=100*0.33,1,0))))))))</f>
        <v/>
      </c>
      <c r="Y525">
        <f>IF(B525="","",IF(G525&lt;16.5,0,IF(G525&gt;=50*0.8,5,IF(G525&gt;=50*0.7,4,IF(G525&gt;=50*0.6,3.5,IF(G525&gt;=50*0.5,3,IF(G525&gt;=50*0.4,2,IF(G525&gt;=50*0.33,1,0))))))))</f>
        <v/>
      </c>
      <c r="Z525">
        <f>IF(B525="","",IF(H525&lt;33.0,0,IF(H525&gt;=100*0.8,5,IF(H525&gt;=100*0.7,4,IF(H525&gt;=100*0.6,3.5,IF(H525&gt;=100*0.5,3,IF(H525&gt;=100*0.4,2,IF(H525&gt;=100*0.33,1,0))))))))</f>
        <v/>
      </c>
      <c r="AA525">
        <f>IF(B525="","",IF(I525&lt;33.0,0,IF(I525&gt;=100*0.8,5,IF(I525&gt;=100*0.7,4,IF(I525&gt;=100*0.6,3.5,IF(I525&gt;=100*0.5,3,IF(I525&gt;=100*0.4,2,IF(I525&gt;=100*0.33,1,0))))))))</f>
        <v/>
      </c>
      <c r="AB525">
        <f>IF(B525="","",IF(J525&lt;33.0,0,IF(J525&gt;=100*0.8,5,IF(J525&gt;=100*0.7,4,IF(J525&gt;=100*0.6,3.5,IF(J525&gt;=100*0.5,3,IF(J525&gt;=100*0.4,2,IF(J525&gt;=100*0.33,1,0))))))))</f>
        <v/>
      </c>
      <c r="AC525">
        <f>IF(B525="","",IF(K525&lt;33.0,0,IF(K525&gt;=100*0.8,5,IF(K525&gt;=100*0.7,4,IF(K525&gt;=100*0.6,3.5,IF(K525&gt;=100*0.5,3,IF(K525&gt;=100*0.4,2,IF(K525&gt;=100*0.33,1,0))))))))</f>
        <v/>
      </c>
      <c r="AD525">
        <f>IF(B525="","",IF(L525&lt;33.0,0,IF(L525&gt;=100*0.8,5,IF(L525&gt;=100*0.7,4,IF(L525&gt;=100*0.6,3.5,IF(L525&gt;=100*0.5,3,IF(L525&gt;=100*0.4,2,IF(L525&gt;=100*0.33,1,0))))))))</f>
        <v/>
      </c>
      <c r="AE525">
        <f>IF(B525="","",IF(M525&lt;33.0,0,IF(M525&gt;=100*0.8,5,IF(M525&gt;=100*0.7,4,IF(M525&gt;=100*0.6,3.5,IF(M525&gt;=100*0.5,3,IF(M525&gt;=100*0.4,2,IF(M525&gt;=100*0.33,1,0))))))))</f>
        <v/>
      </c>
      <c r="AF525">
        <f>IF(B525="","",IF(N525&lt;16.5,0,IF(N525&gt;=50*0.8,5,IF(N525&gt;=50*0.7,4,IF(N525&gt;=50*0.6,3.5,IF(N525&gt;=50*0.5,3,IF(N525&gt;=50*0.4,2,IF(N525&gt;=50*0.33,1,0))))))))</f>
        <v/>
      </c>
      <c r="AG525">
        <f>IF(B525="","",IF(O525&lt;33.0,0,IF(O525&gt;=100*0.8,5,IF(O525&gt;=100*0.7,4,IF(O525&gt;=100*0.6,3.5,IF(O525&gt;=100*0.5,3,IF(O525&gt;=100*0.4,2,IF(O525&gt;=100*0.33,1,0))))))))</f>
        <v/>
      </c>
      <c r="AH525">
        <f>IF(B525="","",IF(OR(U525=0,V525=0,W525=0,X525=0,Y525=0,Z525=0,AA525=0,AB525=0,AC525=0,AD525=0,AE525=0,AF525=0,AG525=0),1,0))</f>
        <v/>
      </c>
    </row>
    <row r="526">
      <c r="A526" s="3">
        <f>IF(B526="","",ROW()-2)</f>
        <v/>
      </c>
      <c r="P526" s="4">
        <f>IF(B526="","",SUM(C526:O526))</f>
        <v/>
      </c>
      <c r="Q526" s="5">
        <f>IF(B526="","",ROUND(P526/13,2))</f>
        <v/>
      </c>
      <c r="R526" s="5">
        <f>IF(B526="","",IF(AH526=1,0,MIN(5,ROUND((U526+V526+W526+X526+Y526+Z526+AA526+AB526+AC526+AD526+AE526+AF526+AG526)/13,2))))</f>
        <v/>
      </c>
      <c r="S526" s="3">
        <f>IF(B526="","",IF(R526&gt;=5,"A+",IF(R526&gt;=4,"A",IF(R526&gt;=3.5,"A-",IF(R526&gt;=3,"B",IF(R526&gt;=2,"C",IF(R526&gt;=1,"D","F")))))))</f>
        <v/>
      </c>
      <c r="T526" s="3">
        <f>IF(OR(B526="",S526="F"),"",COUNTIFS(P:P,"&gt;"&amp;P526,S:S,"&lt;&gt;F")+1)</f>
        <v/>
      </c>
      <c r="U526">
        <f>IF(B526="","",IF(C526&lt;33.0,0,IF(C526&gt;=100*0.8,5,IF(C526&gt;=100*0.7,4,IF(C526&gt;=100*0.6,3.5,IF(C526&gt;=100*0.5,3,IF(C526&gt;=100*0.4,2,IF(C526&gt;=100*0.33,1,0))))))))</f>
        <v/>
      </c>
      <c r="V526">
        <f>IF(B526="","",IF(D526&lt;33.0,0,IF(D526&gt;=100*0.8,5,IF(D526&gt;=100*0.7,4,IF(D526&gt;=100*0.6,3.5,IF(D526&gt;=100*0.5,3,IF(D526&gt;=100*0.4,2,IF(D526&gt;=100*0.33,1,0))))))))</f>
        <v/>
      </c>
      <c r="W526">
        <f>IF(B526="","",IF(E526&lt;16.5,0,IF(E526&gt;=50*0.8,5,IF(E526&gt;=50*0.7,4,IF(E526&gt;=50*0.6,3.5,IF(E526&gt;=50*0.5,3,IF(E526&gt;=50*0.4,2,IF(E526&gt;=50*0.33,1,0))))))))</f>
        <v/>
      </c>
      <c r="X526">
        <f>IF(B526="","",IF(F526&lt;33.0,0,IF(F526&gt;=100*0.8,5,IF(F526&gt;=100*0.7,4,IF(F526&gt;=100*0.6,3.5,IF(F526&gt;=100*0.5,3,IF(F526&gt;=100*0.4,2,IF(F526&gt;=100*0.33,1,0))))))))</f>
        <v/>
      </c>
      <c r="Y526">
        <f>IF(B526="","",IF(G526&lt;16.5,0,IF(G526&gt;=50*0.8,5,IF(G526&gt;=50*0.7,4,IF(G526&gt;=50*0.6,3.5,IF(G526&gt;=50*0.5,3,IF(G526&gt;=50*0.4,2,IF(G526&gt;=50*0.33,1,0))))))))</f>
        <v/>
      </c>
      <c r="Z526">
        <f>IF(B526="","",IF(H526&lt;33.0,0,IF(H526&gt;=100*0.8,5,IF(H526&gt;=100*0.7,4,IF(H526&gt;=100*0.6,3.5,IF(H526&gt;=100*0.5,3,IF(H526&gt;=100*0.4,2,IF(H526&gt;=100*0.33,1,0))))))))</f>
        <v/>
      </c>
      <c r="AA526">
        <f>IF(B526="","",IF(I526&lt;33.0,0,IF(I526&gt;=100*0.8,5,IF(I526&gt;=100*0.7,4,IF(I526&gt;=100*0.6,3.5,IF(I526&gt;=100*0.5,3,IF(I526&gt;=100*0.4,2,IF(I526&gt;=100*0.33,1,0))))))))</f>
        <v/>
      </c>
      <c r="AB526">
        <f>IF(B526="","",IF(J526&lt;33.0,0,IF(J526&gt;=100*0.8,5,IF(J526&gt;=100*0.7,4,IF(J526&gt;=100*0.6,3.5,IF(J526&gt;=100*0.5,3,IF(J526&gt;=100*0.4,2,IF(J526&gt;=100*0.33,1,0))))))))</f>
        <v/>
      </c>
      <c r="AC526">
        <f>IF(B526="","",IF(K526&lt;33.0,0,IF(K526&gt;=100*0.8,5,IF(K526&gt;=100*0.7,4,IF(K526&gt;=100*0.6,3.5,IF(K526&gt;=100*0.5,3,IF(K526&gt;=100*0.4,2,IF(K526&gt;=100*0.33,1,0))))))))</f>
        <v/>
      </c>
      <c r="AD526">
        <f>IF(B526="","",IF(L526&lt;33.0,0,IF(L526&gt;=100*0.8,5,IF(L526&gt;=100*0.7,4,IF(L526&gt;=100*0.6,3.5,IF(L526&gt;=100*0.5,3,IF(L526&gt;=100*0.4,2,IF(L526&gt;=100*0.33,1,0))))))))</f>
        <v/>
      </c>
      <c r="AE526">
        <f>IF(B526="","",IF(M526&lt;33.0,0,IF(M526&gt;=100*0.8,5,IF(M526&gt;=100*0.7,4,IF(M526&gt;=100*0.6,3.5,IF(M526&gt;=100*0.5,3,IF(M526&gt;=100*0.4,2,IF(M526&gt;=100*0.33,1,0))))))))</f>
        <v/>
      </c>
      <c r="AF526">
        <f>IF(B526="","",IF(N526&lt;16.5,0,IF(N526&gt;=50*0.8,5,IF(N526&gt;=50*0.7,4,IF(N526&gt;=50*0.6,3.5,IF(N526&gt;=50*0.5,3,IF(N526&gt;=50*0.4,2,IF(N526&gt;=50*0.33,1,0))))))))</f>
        <v/>
      </c>
      <c r="AG526">
        <f>IF(B526="","",IF(O526&lt;33.0,0,IF(O526&gt;=100*0.8,5,IF(O526&gt;=100*0.7,4,IF(O526&gt;=100*0.6,3.5,IF(O526&gt;=100*0.5,3,IF(O526&gt;=100*0.4,2,IF(O526&gt;=100*0.33,1,0))))))))</f>
        <v/>
      </c>
      <c r="AH526">
        <f>IF(B526="","",IF(OR(U526=0,V526=0,W526=0,X526=0,Y526=0,Z526=0,AA526=0,AB526=0,AC526=0,AD526=0,AE526=0,AF526=0,AG526=0),1,0))</f>
        <v/>
      </c>
    </row>
    <row r="527">
      <c r="A527" s="3">
        <f>IF(B527="","",ROW()-2)</f>
        <v/>
      </c>
      <c r="P527" s="4">
        <f>IF(B527="","",SUM(C527:O527))</f>
        <v/>
      </c>
      <c r="Q527" s="5">
        <f>IF(B527="","",ROUND(P527/13,2))</f>
        <v/>
      </c>
      <c r="R527" s="5">
        <f>IF(B527="","",IF(AH527=1,0,MIN(5,ROUND((U527+V527+W527+X527+Y527+Z527+AA527+AB527+AC527+AD527+AE527+AF527+AG527)/13,2))))</f>
        <v/>
      </c>
      <c r="S527" s="3">
        <f>IF(B527="","",IF(R527&gt;=5,"A+",IF(R527&gt;=4,"A",IF(R527&gt;=3.5,"A-",IF(R527&gt;=3,"B",IF(R527&gt;=2,"C",IF(R527&gt;=1,"D","F")))))))</f>
        <v/>
      </c>
      <c r="T527" s="3">
        <f>IF(OR(B527="",S527="F"),"",COUNTIFS(P:P,"&gt;"&amp;P527,S:S,"&lt;&gt;F")+1)</f>
        <v/>
      </c>
      <c r="U527">
        <f>IF(B527="","",IF(C527&lt;33.0,0,IF(C527&gt;=100*0.8,5,IF(C527&gt;=100*0.7,4,IF(C527&gt;=100*0.6,3.5,IF(C527&gt;=100*0.5,3,IF(C527&gt;=100*0.4,2,IF(C527&gt;=100*0.33,1,0))))))))</f>
        <v/>
      </c>
      <c r="V527">
        <f>IF(B527="","",IF(D527&lt;33.0,0,IF(D527&gt;=100*0.8,5,IF(D527&gt;=100*0.7,4,IF(D527&gt;=100*0.6,3.5,IF(D527&gt;=100*0.5,3,IF(D527&gt;=100*0.4,2,IF(D527&gt;=100*0.33,1,0))))))))</f>
        <v/>
      </c>
      <c r="W527">
        <f>IF(B527="","",IF(E527&lt;16.5,0,IF(E527&gt;=50*0.8,5,IF(E527&gt;=50*0.7,4,IF(E527&gt;=50*0.6,3.5,IF(E527&gt;=50*0.5,3,IF(E527&gt;=50*0.4,2,IF(E527&gt;=50*0.33,1,0))))))))</f>
        <v/>
      </c>
      <c r="X527">
        <f>IF(B527="","",IF(F527&lt;33.0,0,IF(F527&gt;=100*0.8,5,IF(F527&gt;=100*0.7,4,IF(F527&gt;=100*0.6,3.5,IF(F527&gt;=100*0.5,3,IF(F527&gt;=100*0.4,2,IF(F527&gt;=100*0.33,1,0))))))))</f>
        <v/>
      </c>
      <c r="Y527">
        <f>IF(B527="","",IF(G527&lt;16.5,0,IF(G527&gt;=50*0.8,5,IF(G527&gt;=50*0.7,4,IF(G527&gt;=50*0.6,3.5,IF(G527&gt;=50*0.5,3,IF(G527&gt;=50*0.4,2,IF(G527&gt;=50*0.33,1,0))))))))</f>
        <v/>
      </c>
      <c r="Z527">
        <f>IF(B527="","",IF(H527&lt;33.0,0,IF(H527&gt;=100*0.8,5,IF(H527&gt;=100*0.7,4,IF(H527&gt;=100*0.6,3.5,IF(H527&gt;=100*0.5,3,IF(H527&gt;=100*0.4,2,IF(H527&gt;=100*0.33,1,0))))))))</f>
        <v/>
      </c>
      <c r="AA527">
        <f>IF(B527="","",IF(I527&lt;33.0,0,IF(I527&gt;=100*0.8,5,IF(I527&gt;=100*0.7,4,IF(I527&gt;=100*0.6,3.5,IF(I527&gt;=100*0.5,3,IF(I527&gt;=100*0.4,2,IF(I527&gt;=100*0.33,1,0))))))))</f>
        <v/>
      </c>
      <c r="AB527">
        <f>IF(B527="","",IF(J527&lt;33.0,0,IF(J527&gt;=100*0.8,5,IF(J527&gt;=100*0.7,4,IF(J527&gt;=100*0.6,3.5,IF(J527&gt;=100*0.5,3,IF(J527&gt;=100*0.4,2,IF(J527&gt;=100*0.33,1,0))))))))</f>
        <v/>
      </c>
      <c r="AC527">
        <f>IF(B527="","",IF(K527&lt;33.0,0,IF(K527&gt;=100*0.8,5,IF(K527&gt;=100*0.7,4,IF(K527&gt;=100*0.6,3.5,IF(K527&gt;=100*0.5,3,IF(K527&gt;=100*0.4,2,IF(K527&gt;=100*0.33,1,0))))))))</f>
        <v/>
      </c>
      <c r="AD527">
        <f>IF(B527="","",IF(L527&lt;33.0,0,IF(L527&gt;=100*0.8,5,IF(L527&gt;=100*0.7,4,IF(L527&gt;=100*0.6,3.5,IF(L527&gt;=100*0.5,3,IF(L527&gt;=100*0.4,2,IF(L527&gt;=100*0.33,1,0))))))))</f>
        <v/>
      </c>
      <c r="AE527">
        <f>IF(B527="","",IF(M527&lt;33.0,0,IF(M527&gt;=100*0.8,5,IF(M527&gt;=100*0.7,4,IF(M527&gt;=100*0.6,3.5,IF(M527&gt;=100*0.5,3,IF(M527&gt;=100*0.4,2,IF(M527&gt;=100*0.33,1,0))))))))</f>
        <v/>
      </c>
      <c r="AF527">
        <f>IF(B527="","",IF(N527&lt;16.5,0,IF(N527&gt;=50*0.8,5,IF(N527&gt;=50*0.7,4,IF(N527&gt;=50*0.6,3.5,IF(N527&gt;=50*0.5,3,IF(N527&gt;=50*0.4,2,IF(N527&gt;=50*0.33,1,0))))))))</f>
        <v/>
      </c>
      <c r="AG527">
        <f>IF(B527="","",IF(O527&lt;33.0,0,IF(O527&gt;=100*0.8,5,IF(O527&gt;=100*0.7,4,IF(O527&gt;=100*0.6,3.5,IF(O527&gt;=100*0.5,3,IF(O527&gt;=100*0.4,2,IF(O527&gt;=100*0.33,1,0))))))))</f>
        <v/>
      </c>
      <c r="AH527">
        <f>IF(B527="","",IF(OR(U527=0,V527=0,W527=0,X527=0,Y527=0,Z527=0,AA527=0,AB527=0,AC527=0,AD527=0,AE527=0,AF527=0,AG527=0),1,0))</f>
        <v/>
      </c>
    </row>
    <row r="528">
      <c r="A528" s="3">
        <f>IF(B528="","",ROW()-2)</f>
        <v/>
      </c>
      <c r="P528" s="4">
        <f>IF(B528="","",SUM(C528:O528))</f>
        <v/>
      </c>
      <c r="Q528" s="5">
        <f>IF(B528="","",ROUND(P528/13,2))</f>
        <v/>
      </c>
      <c r="R528" s="5">
        <f>IF(B528="","",IF(AH528=1,0,MIN(5,ROUND((U528+V528+W528+X528+Y528+Z528+AA528+AB528+AC528+AD528+AE528+AF528+AG528)/13,2))))</f>
        <v/>
      </c>
      <c r="S528" s="3">
        <f>IF(B528="","",IF(R528&gt;=5,"A+",IF(R528&gt;=4,"A",IF(R528&gt;=3.5,"A-",IF(R528&gt;=3,"B",IF(R528&gt;=2,"C",IF(R528&gt;=1,"D","F")))))))</f>
        <v/>
      </c>
      <c r="T528" s="3">
        <f>IF(OR(B528="",S528="F"),"",COUNTIFS(P:P,"&gt;"&amp;P528,S:S,"&lt;&gt;F")+1)</f>
        <v/>
      </c>
      <c r="U528">
        <f>IF(B528="","",IF(C528&lt;33.0,0,IF(C528&gt;=100*0.8,5,IF(C528&gt;=100*0.7,4,IF(C528&gt;=100*0.6,3.5,IF(C528&gt;=100*0.5,3,IF(C528&gt;=100*0.4,2,IF(C528&gt;=100*0.33,1,0))))))))</f>
        <v/>
      </c>
      <c r="V528">
        <f>IF(B528="","",IF(D528&lt;33.0,0,IF(D528&gt;=100*0.8,5,IF(D528&gt;=100*0.7,4,IF(D528&gt;=100*0.6,3.5,IF(D528&gt;=100*0.5,3,IF(D528&gt;=100*0.4,2,IF(D528&gt;=100*0.33,1,0))))))))</f>
        <v/>
      </c>
      <c r="W528">
        <f>IF(B528="","",IF(E528&lt;16.5,0,IF(E528&gt;=50*0.8,5,IF(E528&gt;=50*0.7,4,IF(E528&gt;=50*0.6,3.5,IF(E528&gt;=50*0.5,3,IF(E528&gt;=50*0.4,2,IF(E528&gt;=50*0.33,1,0))))))))</f>
        <v/>
      </c>
      <c r="X528">
        <f>IF(B528="","",IF(F528&lt;33.0,0,IF(F528&gt;=100*0.8,5,IF(F528&gt;=100*0.7,4,IF(F528&gt;=100*0.6,3.5,IF(F528&gt;=100*0.5,3,IF(F528&gt;=100*0.4,2,IF(F528&gt;=100*0.33,1,0))))))))</f>
        <v/>
      </c>
      <c r="Y528">
        <f>IF(B528="","",IF(G528&lt;16.5,0,IF(G528&gt;=50*0.8,5,IF(G528&gt;=50*0.7,4,IF(G528&gt;=50*0.6,3.5,IF(G528&gt;=50*0.5,3,IF(G528&gt;=50*0.4,2,IF(G528&gt;=50*0.33,1,0))))))))</f>
        <v/>
      </c>
      <c r="Z528">
        <f>IF(B528="","",IF(H528&lt;33.0,0,IF(H528&gt;=100*0.8,5,IF(H528&gt;=100*0.7,4,IF(H528&gt;=100*0.6,3.5,IF(H528&gt;=100*0.5,3,IF(H528&gt;=100*0.4,2,IF(H528&gt;=100*0.33,1,0))))))))</f>
        <v/>
      </c>
      <c r="AA528">
        <f>IF(B528="","",IF(I528&lt;33.0,0,IF(I528&gt;=100*0.8,5,IF(I528&gt;=100*0.7,4,IF(I528&gt;=100*0.6,3.5,IF(I528&gt;=100*0.5,3,IF(I528&gt;=100*0.4,2,IF(I528&gt;=100*0.33,1,0))))))))</f>
        <v/>
      </c>
      <c r="AB528">
        <f>IF(B528="","",IF(J528&lt;33.0,0,IF(J528&gt;=100*0.8,5,IF(J528&gt;=100*0.7,4,IF(J528&gt;=100*0.6,3.5,IF(J528&gt;=100*0.5,3,IF(J528&gt;=100*0.4,2,IF(J528&gt;=100*0.33,1,0))))))))</f>
        <v/>
      </c>
      <c r="AC528">
        <f>IF(B528="","",IF(K528&lt;33.0,0,IF(K528&gt;=100*0.8,5,IF(K528&gt;=100*0.7,4,IF(K528&gt;=100*0.6,3.5,IF(K528&gt;=100*0.5,3,IF(K528&gt;=100*0.4,2,IF(K528&gt;=100*0.33,1,0))))))))</f>
        <v/>
      </c>
      <c r="AD528">
        <f>IF(B528="","",IF(L528&lt;33.0,0,IF(L528&gt;=100*0.8,5,IF(L528&gt;=100*0.7,4,IF(L528&gt;=100*0.6,3.5,IF(L528&gt;=100*0.5,3,IF(L528&gt;=100*0.4,2,IF(L528&gt;=100*0.33,1,0))))))))</f>
        <v/>
      </c>
      <c r="AE528">
        <f>IF(B528="","",IF(M528&lt;33.0,0,IF(M528&gt;=100*0.8,5,IF(M528&gt;=100*0.7,4,IF(M528&gt;=100*0.6,3.5,IF(M528&gt;=100*0.5,3,IF(M528&gt;=100*0.4,2,IF(M528&gt;=100*0.33,1,0))))))))</f>
        <v/>
      </c>
      <c r="AF528">
        <f>IF(B528="","",IF(N528&lt;16.5,0,IF(N528&gt;=50*0.8,5,IF(N528&gt;=50*0.7,4,IF(N528&gt;=50*0.6,3.5,IF(N528&gt;=50*0.5,3,IF(N528&gt;=50*0.4,2,IF(N528&gt;=50*0.33,1,0))))))))</f>
        <v/>
      </c>
      <c r="AG528">
        <f>IF(B528="","",IF(O528&lt;33.0,0,IF(O528&gt;=100*0.8,5,IF(O528&gt;=100*0.7,4,IF(O528&gt;=100*0.6,3.5,IF(O528&gt;=100*0.5,3,IF(O528&gt;=100*0.4,2,IF(O528&gt;=100*0.33,1,0))))))))</f>
        <v/>
      </c>
      <c r="AH528">
        <f>IF(B528="","",IF(OR(U528=0,V528=0,W528=0,X528=0,Y528=0,Z528=0,AA528=0,AB528=0,AC528=0,AD528=0,AE528=0,AF528=0,AG528=0),1,0))</f>
        <v/>
      </c>
    </row>
    <row r="529">
      <c r="A529" s="3">
        <f>IF(B529="","",ROW()-2)</f>
        <v/>
      </c>
      <c r="P529" s="4">
        <f>IF(B529="","",SUM(C529:O529))</f>
        <v/>
      </c>
      <c r="Q529" s="5">
        <f>IF(B529="","",ROUND(P529/13,2))</f>
        <v/>
      </c>
      <c r="R529" s="5">
        <f>IF(B529="","",IF(AH529=1,0,MIN(5,ROUND((U529+V529+W529+X529+Y529+Z529+AA529+AB529+AC529+AD529+AE529+AF529+AG529)/13,2))))</f>
        <v/>
      </c>
      <c r="S529" s="3">
        <f>IF(B529="","",IF(R529&gt;=5,"A+",IF(R529&gt;=4,"A",IF(R529&gt;=3.5,"A-",IF(R529&gt;=3,"B",IF(R529&gt;=2,"C",IF(R529&gt;=1,"D","F")))))))</f>
        <v/>
      </c>
      <c r="T529" s="3">
        <f>IF(OR(B529="",S529="F"),"",COUNTIFS(P:P,"&gt;"&amp;P529,S:S,"&lt;&gt;F")+1)</f>
        <v/>
      </c>
      <c r="U529">
        <f>IF(B529="","",IF(C529&lt;33.0,0,IF(C529&gt;=100*0.8,5,IF(C529&gt;=100*0.7,4,IF(C529&gt;=100*0.6,3.5,IF(C529&gt;=100*0.5,3,IF(C529&gt;=100*0.4,2,IF(C529&gt;=100*0.33,1,0))))))))</f>
        <v/>
      </c>
      <c r="V529">
        <f>IF(B529="","",IF(D529&lt;33.0,0,IF(D529&gt;=100*0.8,5,IF(D529&gt;=100*0.7,4,IF(D529&gt;=100*0.6,3.5,IF(D529&gt;=100*0.5,3,IF(D529&gt;=100*0.4,2,IF(D529&gt;=100*0.33,1,0))))))))</f>
        <v/>
      </c>
      <c r="W529">
        <f>IF(B529="","",IF(E529&lt;16.5,0,IF(E529&gt;=50*0.8,5,IF(E529&gt;=50*0.7,4,IF(E529&gt;=50*0.6,3.5,IF(E529&gt;=50*0.5,3,IF(E529&gt;=50*0.4,2,IF(E529&gt;=50*0.33,1,0))))))))</f>
        <v/>
      </c>
      <c r="X529">
        <f>IF(B529="","",IF(F529&lt;33.0,0,IF(F529&gt;=100*0.8,5,IF(F529&gt;=100*0.7,4,IF(F529&gt;=100*0.6,3.5,IF(F529&gt;=100*0.5,3,IF(F529&gt;=100*0.4,2,IF(F529&gt;=100*0.33,1,0))))))))</f>
        <v/>
      </c>
      <c r="Y529">
        <f>IF(B529="","",IF(G529&lt;16.5,0,IF(G529&gt;=50*0.8,5,IF(G529&gt;=50*0.7,4,IF(G529&gt;=50*0.6,3.5,IF(G529&gt;=50*0.5,3,IF(G529&gt;=50*0.4,2,IF(G529&gt;=50*0.33,1,0))))))))</f>
        <v/>
      </c>
      <c r="Z529">
        <f>IF(B529="","",IF(H529&lt;33.0,0,IF(H529&gt;=100*0.8,5,IF(H529&gt;=100*0.7,4,IF(H529&gt;=100*0.6,3.5,IF(H529&gt;=100*0.5,3,IF(H529&gt;=100*0.4,2,IF(H529&gt;=100*0.33,1,0))))))))</f>
        <v/>
      </c>
      <c r="AA529">
        <f>IF(B529="","",IF(I529&lt;33.0,0,IF(I529&gt;=100*0.8,5,IF(I529&gt;=100*0.7,4,IF(I529&gt;=100*0.6,3.5,IF(I529&gt;=100*0.5,3,IF(I529&gt;=100*0.4,2,IF(I529&gt;=100*0.33,1,0))))))))</f>
        <v/>
      </c>
      <c r="AB529">
        <f>IF(B529="","",IF(J529&lt;33.0,0,IF(J529&gt;=100*0.8,5,IF(J529&gt;=100*0.7,4,IF(J529&gt;=100*0.6,3.5,IF(J529&gt;=100*0.5,3,IF(J529&gt;=100*0.4,2,IF(J529&gt;=100*0.33,1,0))))))))</f>
        <v/>
      </c>
      <c r="AC529">
        <f>IF(B529="","",IF(K529&lt;33.0,0,IF(K529&gt;=100*0.8,5,IF(K529&gt;=100*0.7,4,IF(K529&gt;=100*0.6,3.5,IF(K529&gt;=100*0.5,3,IF(K529&gt;=100*0.4,2,IF(K529&gt;=100*0.33,1,0))))))))</f>
        <v/>
      </c>
      <c r="AD529">
        <f>IF(B529="","",IF(L529&lt;33.0,0,IF(L529&gt;=100*0.8,5,IF(L529&gt;=100*0.7,4,IF(L529&gt;=100*0.6,3.5,IF(L529&gt;=100*0.5,3,IF(L529&gt;=100*0.4,2,IF(L529&gt;=100*0.33,1,0))))))))</f>
        <v/>
      </c>
      <c r="AE529">
        <f>IF(B529="","",IF(M529&lt;33.0,0,IF(M529&gt;=100*0.8,5,IF(M529&gt;=100*0.7,4,IF(M529&gt;=100*0.6,3.5,IF(M529&gt;=100*0.5,3,IF(M529&gt;=100*0.4,2,IF(M529&gt;=100*0.33,1,0))))))))</f>
        <v/>
      </c>
      <c r="AF529">
        <f>IF(B529="","",IF(N529&lt;16.5,0,IF(N529&gt;=50*0.8,5,IF(N529&gt;=50*0.7,4,IF(N529&gt;=50*0.6,3.5,IF(N529&gt;=50*0.5,3,IF(N529&gt;=50*0.4,2,IF(N529&gt;=50*0.33,1,0))))))))</f>
        <v/>
      </c>
      <c r="AG529">
        <f>IF(B529="","",IF(O529&lt;33.0,0,IF(O529&gt;=100*0.8,5,IF(O529&gt;=100*0.7,4,IF(O529&gt;=100*0.6,3.5,IF(O529&gt;=100*0.5,3,IF(O529&gt;=100*0.4,2,IF(O529&gt;=100*0.33,1,0))))))))</f>
        <v/>
      </c>
      <c r="AH529">
        <f>IF(B529="","",IF(OR(U529=0,V529=0,W529=0,X529=0,Y529=0,Z529=0,AA529=0,AB529=0,AC529=0,AD529=0,AE529=0,AF529=0,AG529=0),1,0))</f>
        <v/>
      </c>
    </row>
    <row r="530">
      <c r="A530" s="3">
        <f>IF(B530="","",ROW()-2)</f>
        <v/>
      </c>
      <c r="P530" s="4">
        <f>IF(B530="","",SUM(C530:O530))</f>
        <v/>
      </c>
      <c r="Q530" s="5">
        <f>IF(B530="","",ROUND(P530/13,2))</f>
        <v/>
      </c>
      <c r="R530" s="5">
        <f>IF(B530="","",IF(AH530=1,0,MIN(5,ROUND((U530+V530+W530+X530+Y530+Z530+AA530+AB530+AC530+AD530+AE530+AF530+AG530)/13,2))))</f>
        <v/>
      </c>
      <c r="S530" s="3">
        <f>IF(B530="","",IF(R530&gt;=5,"A+",IF(R530&gt;=4,"A",IF(R530&gt;=3.5,"A-",IF(R530&gt;=3,"B",IF(R530&gt;=2,"C",IF(R530&gt;=1,"D","F")))))))</f>
        <v/>
      </c>
      <c r="T530" s="3">
        <f>IF(OR(B530="",S530="F"),"",COUNTIFS(P:P,"&gt;"&amp;P530,S:S,"&lt;&gt;F")+1)</f>
        <v/>
      </c>
      <c r="U530">
        <f>IF(B530="","",IF(C530&lt;33.0,0,IF(C530&gt;=100*0.8,5,IF(C530&gt;=100*0.7,4,IF(C530&gt;=100*0.6,3.5,IF(C530&gt;=100*0.5,3,IF(C530&gt;=100*0.4,2,IF(C530&gt;=100*0.33,1,0))))))))</f>
        <v/>
      </c>
      <c r="V530">
        <f>IF(B530="","",IF(D530&lt;33.0,0,IF(D530&gt;=100*0.8,5,IF(D530&gt;=100*0.7,4,IF(D530&gt;=100*0.6,3.5,IF(D530&gt;=100*0.5,3,IF(D530&gt;=100*0.4,2,IF(D530&gt;=100*0.33,1,0))))))))</f>
        <v/>
      </c>
      <c r="W530">
        <f>IF(B530="","",IF(E530&lt;16.5,0,IF(E530&gt;=50*0.8,5,IF(E530&gt;=50*0.7,4,IF(E530&gt;=50*0.6,3.5,IF(E530&gt;=50*0.5,3,IF(E530&gt;=50*0.4,2,IF(E530&gt;=50*0.33,1,0))))))))</f>
        <v/>
      </c>
      <c r="X530">
        <f>IF(B530="","",IF(F530&lt;33.0,0,IF(F530&gt;=100*0.8,5,IF(F530&gt;=100*0.7,4,IF(F530&gt;=100*0.6,3.5,IF(F530&gt;=100*0.5,3,IF(F530&gt;=100*0.4,2,IF(F530&gt;=100*0.33,1,0))))))))</f>
        <v/>
      </c>
      <c r="Y530">
        <f>IF(B530="","",IF(G530&lt;16.5,0,IF(G530&gt;=50*0.8,5,IF(G530&gt;=50*0.7,4,IF(G530&gt;=50*0.6,3.5,IF(G530&gt;=50*0.5,3,IF(G530&gt;=50*0.4,2,IF(G530&gt;=50*0.33,1,0))))))))</f>
        <v/>
      </c>
      <c r="Z530">
        <f>IF(B530="","",IF(H530&lt;33.0,0,IF(H530&gt;=100*0.8,5,IF(H530&gt;=100*0.7,4,IF(H530&gt;=100*0.6,3.5,IF(H530&gt;=100*0.5,3,IF(H530&gt;=100*0.4,2,IF(H530&gt;=100*0.33,1,0))))))))</f>
        <v/>
      </c>
      <c r="AA530">
        <f>IF(B530="","",IF(I530&lt;33.0,0,IF(I530&gt;=100*0.8,5,IF(I530&gt;=100*0.7,4,IF(I530&gt;=100*0.6,3.5,IF(I530&gt;=100*0.5,3,IF(I530&gt;=100*0.4,2,IF(I530&gt;=100*0.33,1,0))))))))</f>
        <v/>
      </c>
      <c r="AB530">
        <f>IF(B530="","",IF(J530&lt;33.0,0,IF(J530&gt;=100*0.8,5,IF(J530&gt;=100*0.7,4,IF(J530&gt;=100*0.6,3.5,IF(J530&gt;=100*0.5,3,IF(J530&gt;=100*0.4,2,IF(J530&gt;=100*0.33,1,0))))))))</f>
        <v/>
      </c>
      <c r="AC530">
        <f>IF(B530="","",IF(K530&lt;33.0,0,IF(K530&gt;=100*0.8,5,IF(K530&gt;=100*0.7,4,IF(K530&gt;=100*0.6,3.5,IF(K530&gt;=100*0.5,3,IF(K530&gt;=100*0.4,2,IF(K530&gt;=100*0.33,1,0))))))))</f>
        <v/>
      </c>
      <c r="AD530">
        <f>IF(B530="","",IF(L530&lt;33.0,0,IF(L530&gt;=100*0.8,5,IF(L530&gt;=100*0.7,4,IF(L530&gt;=100*0.6,3.5,IF(L530&gt;=100*0.5,3,IF(L530&gt;=100*0.4,2,IF(L530&gt;=100*0.33,1,0))))))))</f>
        <v/>
      </c>
      <c r="AE530">
        <f>IF(B530="","",IF(M530&lt;33.0,0,IF(M530&gt;=100*0.8,5,IF(M530&gt;=100*0.7,4,IF(M530&gt;=100*0.6,3.5,IF(M530&gt;=100*0.5,3,IF(M530&gt;=100*0.4,2,IF(M530&gt;=100*0.33,1,0))))))))</f>
        <v/>
      </c>
      <c r="AF530">
        <f>IF(B530="","",IF(N530&lt;16.5,0,IF(N530&gt;=50*0.8,5,IF(N530&gt;=50*0.7,4,IF(N530&gt;=50*0.6,3.5,IF(N530&gt;=50*0.5,3,IF(N530&gt;=50*0.4,2,IF(N530&gt;=50*0.33,1,0))))))))</f>
        <v/>
      </c>
      <c r="AG530">
        <f>IF(B530="","",IF(O530&lt;33.0,0,IF(O530&gt;=100*0.8,5,IF(O530&gt;=100*0.7,4,IF(O530&gt;=100*0.6,3.5,IF(O530&gt;=100*0.5,3,IF(O530&gt;=100*0.4,2,IF(O530&gt;=100*0.33,1,0))))))))</f>
        <v/>
      </c>
      <c r="AH530">
        <f>IF(B530="","",IF(OR(U530=0,V530=0,W530=0,X530=0,Y530=0,Z530=0,AA530=0,AB530=0,AC530=0,AD530=0,AE530=0,AF530=0,AG530=0),1,0))</f>
        <v/>
      </c>
    </row>
    <row r="531">
      <c r="A531" s="3">
        <f>IF(B531="","",ROW()-2)</f>
        <v/>
      </c>
      <c r="P531" s="4">
        <f>IF(B531="","",SUM(C531:O531))</f>
        <v/>
      </c>
      <c r="Q531" s="5">
        <f>IF(B531="","",ROUND(P531/13,2))</f>
        <v/>
      </c>
      <c r="R531" s="5">
        <f>IF(B531="","",IF(AH531=1,0,MIN(5,ROUND((U531+V531+W531+X531+Y531+Z531+AA531+AB531+AC531+AD531+AE531+AF531+AG531)/13,2))))</f>
        <v/>
      </c>
      <c r="S531" s="3">
        <f>IF(B531="","",IF(R531&gt;=5,"A+",IF(R531&gt;=4,"A",IF(R531&gt;=3.5,"A-",IF(R531&gt;=3,"B",IF(R531&gt;=2,"C",IF(R531&gt;=1,"D","F")))))))</f>
        <v/>
      </c>
      <c r="T531" s="3">
        <f>IF(OR(B531="",S531="F"),"",COUNTIFS(P:P,"&gt;"&amp;P531,S:S,"&lt;&gt;F")+1)</f>
        <v/>
      </c>
      <c r="U531">
        <f>IF(B531="","",IF(C531&lt;33.0,0,IF(C531&gt;=100*0.8,5,IF(C531&gt;=100*0.7,4,IF(C531&gt;=100*0.6,3.5,IF(C531&gt;=100*0.5,3,IF(C531&gt;=100*0.4,2,IF(C531&gt;=100*0.33,1,0))))))))</f>
        <v/>
      </c>
      <c r="V531">
        <f>IF(B531="","",IF(D531&lt;33.0,0,IF(D531&gt;=100*0.8,5,IF(D531&gt;=100*0.7,4,IF(D531&gt;=100*0.6,3.5,IF(D531&gt;=100*0.5,3,IF(D531&gt;=100*0.4,2,IF(D531&gt;=100*0.33,1,0))))))))</f>
        <v/>
      </c>
      <c r="W531">
        <f>IF(B531="","",IF(E531&lt;16.5,0,IF(E531&gt;=50*0.8,5,IF(E531&gt;=50*0.7,4,IF(E531&gt;=50*0.6,3.5,IF(E531&gt;=50*0.5,3,IF(E531&gt;=50*0.4,2,IF(E531&gt;=50*0.33,1,0))))))))</f>
        <v/>
      </c>
      <c r="X531">
        <f>IF(B531="","",IF(F531&lt;33.0,0,IF(F531&gt;=100*0.8,5,IF(F531&gt;=100*0.7,4,IF(F531&gt;=100*0.6,3.5,IF(F531&gt;=100*0.5,3,IF(F531&gt;=100*0.4,2,IF(F531&gt;=100*0.33,1,0))))))))</f>
        <v/>
      </c>
      <c r="Y531">
        <f>IF(B531="","",IF(G531&lt;16.5,0,IF(G531&gt;=50*0.8,5,IF(G531&gt;=50*0.7,4,IF(G531&gt;=50*0.6,3.5,IF(G531&gt;=50*0.5,3,IF(G531&gt;=50*0.4,2,IF(G531&gt;=50*0.33,1,0))))))))</f>
        <v/>
      </c>
      <c r="Z531">
        <f>IF(B531="","",IF(H531&lt;33.0,0,IF(H531&gt;=100*0.8,5,IF(H531&gt;=100*0.7,4,IF(H531&gt;=100*0.6,3.5,IF(H531&gt;=100*0.5,3,IF(H531&gt;=100*0.4,2,IF(H531&gt;=100*0.33,1,0))))))))</f>
        <v/>
      </c>
      <c r="AA531">
        <f>IF(B531="","",IF(I531&lt;33.0,0,IF(I531&gt;=100*0.8,5,IF(I531&gt;=100*0.7,4,IF(I531&gt;=100*0.6,3.5,IF(I531&gt;=100*0.5,3,IF(I531&gt;=100*0.4,2,IF(I531&gt;=100*0.33,1,0))))))))</f>
        <v/>
      </c>
      <c r="AB531">
        <f>IF(B531="","",IF(J531&lt;33.0,0,IF(J531&gt;=100*0.8,5,IF(J531&gt;=100*0.7,4,IF(J531&gt;=100*0.6,3.5,IF(J531&gt;=100*0.5,3,IF(J531&gt;=100*0.4,2,IF(J531&gt;=100*0.33,1,0))))))))</f>
        <v/>
      </c>
      <c r="AC531">
        <f>IF(B531="","",IF(K531&lt;33.0,0,IF(K531&gt;=100*0.8,5,IF(K531&gt;=100*0.7,4,IF(K531&gt;=100*0.6,3.5,IF(K531&gt;=100*0.5,3,IF(K531&gt;=100*0.4,2,IF(K531&gt;=100*0.33,1,0))))))))</f>
        <v/>
      </c>
      <c r="AD531">
        <f>IF(B531="","",IF(L531&lt;33.0,0,IF(L531&gt;=100*0.8,5,IF(L531&gt;=100*0.7,4,IF(L531&gt;=100*0.6,3.5,IF(L531&gt;=100*0.5,3,IF(L531&gt;=100*0.4,2,IF(L531&gt;=100*0.33,1,0))))))))</f>
        <v/>
      </c>
      <c r="AE531">
        <f>IF(B531="","",IF(M531&lt;33.0,0,IF(M531&gt;=100*0.8,5,IF(M531&gt;=100*0.7,4,IF(M531&gt;=100*0.6,3.5,IF(M531&gt;=100*0.5,3,IF(M531&gt;=100*0.4,2,IF(M531&gt;=100*0.33,1,0))))))))</f>
        <v/>
      </c>
      <c r="AF531">
        <f>IF(B531="","",IF(N531&lt;16.5,0,IF(N531&gt;=50*0.8,5,IF(N531&gt;=50*0.7,4,IF(N531&gt;=50*0.6,3.5,IF(N531&gt;=50*0.5,3,IF(N531&gt;=50*0.4,2,IF(N531&gt;=50*0.33,1,0))))))))</f>
        <v/>
      </c>
      <c r="AG531">
        <f>IF(B531="","",IF(O531&lt;33.0,0,IF(O531&gt;=100*0.8,5,IF(O531&gt;=100*0.7,4,IF(O531&gt;=100*0.6,3.5,IF(O531&gt;=100*0.5,3,IF(O531&gt;=100*0.4,2,IF(O531&gt;=100*0.33,1,0))))))))</f>
        <v/>
      </c>
      <c r="AH531">
        <f>IF(B531="","",IF(OR(U531=0,V531=0,W531=0,X531=0,Y531=0,Z531=0,AA531=0,AB531=0,AC531=0,AD531=0,AE531=0,AF531=0,AG531=0),1,0))</f>
        <v/>
      </c>
    </row>
    <row r="532">
      <c r="A532" s="3">
        <f>IF(B532="","",ROW()-2)</f>
        <v/>
      </c>
      <c r="P532" s="4">
        <f>IF(B532="","",SUM(C532:O532))</f>
        <v/>
      </c>
      <c r="Q532" s="5">
        <f>IF(B532="","",ROUND(P532/13,2))</f>
        <v/>
      </c>
      <c r="R532" s="5">
        <f>IF(B532="","",IF(AH532=1,0,MIN(5,ROUND((U532+V532+W532+X532+Y532+Z532+AA532+AB532+AC532+AD532+AE532+AF532+AG532)/13,2))))</f>
        <v/>
      </c>
      <c r="S532" s="3">
        <f>IF(B532="","",IF(R532&gt;=5,"A+",IF(R532&gt;=4,"A",IF(R532&gt;=3.5,"A-",IF(R532&gt;=3,"B",IF(R532&gt;=2,"C",IF(R532&gt;=1,"D","F")))))))</f>
        <v/>
      </c>
      <c r="T532" s="3">
        <f>IF(OR(B532="",S532="F"),"",COUNTIFS(P:P,"&gt;"&amp;P532,S:S,"&lt;&gt;F")+1)</f>
        <v/>
      </c>
      <c r="U532">
        <f>IF(B532="","",IF(C532&lt;33.0,0,IF(C532&gt;=100*0.8,5,IF(C532&gt;=100*0.7,4,IF(C532&gt;=100*0.6,3.5,IF(C532&gt;=100*0.5,3,IF(C532&gt;=100*0.4,2,IF(C532&gt;=100*0.33,1,0))))))))</f>
        <v/>
      </c>
      <c r="V532">
        <f>IF(B532="","",IF(D532&lt;33.0,0,IF(D532&gt;=100*0.8,5,IF(D532&gt;=100*0.7,4,IF(D532&gt;=100*0.6,3.5,IF(D532&gt;=100*0.5,3,IF(D532&gt;=100*0.4,2,IF(D532&gt;=100*0.33,1,0))))))))</f>
        <v/>
      </c>
      <c r="W532">
        <f>IF(B532="","",IF(E532&lt;16.5,0,IF(E532&gt;=50*0.8,5,IF(E532&gt;=50*0.7,4,IF(E532&gt;=50*0.6,3.5,IF(E532&gt;=50*0.5,3,IF(E532&gt;=50*0.4,2,IF(E532&gt;=50*0.33,1,0))))))))</f>
        <v/>
      </c>
      <c r="X532">
        <f>IF(B532="","",IF(F532&lt;33.0,0,IF(F532&gt;=100*0.8,5,IF(F532&gt;=100*0.7,4,IF(F532&gt;=100*0.6,3.5,IF(F532&gt;=100*0.5,3,IF(F532&gt;=100*0.4,2,IF(F532&gt;=100*0.33,1,0))))))))</f>
        <v/>
      </c>
      <c r="Y532">
        <f>IF(B532="","",IF(G532&lt;16.5,0,IF(G532&gt;=50*0.8,5,IF(G532&gt;=50*0.7,4,IF(G532&gt;=50*0.6,3.5,IF(G532&gt;=50*0.5,3,IF(G532&gt;=50*0.4,2,IF(G532&gt;=50*0.33,1,0))))))))</f>
        <v/>
      </c>
      <c r="Z532">
        <f>IF(B532="","",IF(H532&lt;33.0,0,IF(H532&gt;=100*0.8,5,IF(H532&gt;=100*0.7,4,IF(H532&gt;=100*0.6,3.5,IF(H532&gt;=100*0.5,3,IF(H532&gt;=100*0.4,2,IF(H532&gt;=100*0.33,1,0))))))))</f>
        <v/>
      </c>
      <c r="AA532">
        <f>IF(B532="","",IF(I532&lt;33.0,0,IF(I532&gt;=100*0.8,5,IF(I532&gt;=100*0.7,4,IF(I532&gt;=100*0.6,3.5,IF(I532&gt;=100*0.5,3,IF(I532&gt;=100*0.4,2,IF(I532&gt;=100*0.33,1,0))))))))</f>
        <v/>
      </c>
      <c r="AB532">
        <f>IF(B532="","",IF(J532&lt;33.0,0,IF(J532&gt;=100*0.8,5,IF(J532&gt;=100*0.7,4,IF(J532&gt;=100*0.6,3.5,IF(J532&gt;=100*0.5,3,IF(J532&gt;=100*0.4,2,IF(J532&gt;=100*0.33,1,0))))))))</f>
        <v/>
      </c>
      <c r="AC532">
        <f>IF(B532="","",IF(K532&lt;33.0,0,IF(K532&gt;=100*0.8,5,IF(K532&gt;=100*0.7,4,IF(K532&gt;=100*0.6,3.5,IF(K532&gt;=100*0.5,3,IF(K532&gt;=100*0.4,2,IF(K532&gt;=100*0.33,1,0))))))))</f>
        <v/>
      </c>
      <c r="AD532">
        <f>IF(B532="","",IF(L532&lt;33.0,0,IF(L532&gt;=100*0.8,5,IF(L532&gt;=100*0.7,4,IF(L532&gt;=100*0.6,3.5,IF(L532&gt;=100*0.5,3,IF(L532&gt;=100*0.4,2,IF(L532&gt;=100*0.33,1,0))))))))</f>
        <v/>
      </c>
      <c r="AE532">
        <f>IF(B532="","",IF(M532&lt;33.0,0,IF(M532&gt;=100*0.8,5,IF(M532&gt;=100*0.7,4,IF(M532&gt;=100*0.6,3.5,IF(M532&gt;=100*0.5,3,IF(M532&gt;=100*0.4,2,IF(M532&gt;=100*0.33,1,0))))))))</f>
        <v/>
      </c>
      <c r="AF532">
        <f>IF(B532="","",IF(N532&lt;16.5,0,IF(N532&gt;=50*0.8,5,IF(N532&gt;=50*0.7,4,IF(N532&gt;=50*0.6,3.5,IF(N532&gt;=50*0.5,3,IF(N532&gt;=50*0.4,2,IF(N532&gt;=50*0.33,1,0))))))))</f>
        <v/>
      </c>
      <c r="AG532">
        <f>IF(B532="","",IF(O532&lt;33.0,0,IF(O532&gt;=100*0.8,5,IF(O532&gt;=100*0.7,4,IF(O532&gt;=100*0.6,3.5,IF(O532&gt;=100*0.5,3,IF(O532&gt;=100*0.4,2,IF(O532&gt;=100*0.33,1,0))))))))</f>
        <v/>
      </c>
      <c r="AH532">
        <f>IF(B532="","",IF(OR(U532=0,V532=0,W532=0,X532=0,Y532=0,Z532=0,AA532=0,AB532=0,AC532=0,AD532=0,AE532=0,AF532=0,AG532=0),1,0))</f>
        <v/>
      </c>
    </row>
    <row r="533">
      <c r="A533" s="3">
        <f>IF(B533="","",ROW()-2)</f>
        <v/>
      </c>
      <c r="P533" s="4">
        <f>IF(B533="","",SUM(C533:O533))</f>
        <v/>
      </c>
      <c r="Q533" s="5">
        <f>IF(B533="","",ROUND(P533/13,2))</f>
        <v/>
      </c>
      <c r="R533" s="5">
        <f>IF(B533="","",IF(AH533=1,0,MIN(5,ROUND((U533+V533+W533+X533+Y533+Z533+AA533+AB533+AC533+AD533+AE533+AF533+AG533)/13,2))))</f>
        <v/>
      </c>
      <c r="S533" s="3">
        <f>IF(B533="","",IF(R533&gt;=5,"A+",IF(R533&gt;=4,"A",IF(R533&gt;=3.5,"A-",IF(R533&gt;=3,"B",IF(R533&gt;=2,"C",IF(R533&gt;=1,"D","F")))))))</f>
        <v/>
      </c>
      <c r="T533" s="3">
        <f>IF(OR(B533="",S533="F"),"",COUNTIFS(P:P,"&gt;"&amp;P533,S:S,"&lt;&gt;F")+1)</f>
        <v/>
      </c>
      <c r="U533">
        <f>IF(B533="","",IF(C533&lt;33.0,0,IF(C533&gt;=100*0.8,5,IF(C533&gt;=100*0.7,4,IF(C533&gt;=100*0.6,3.5,IF(C533&gt;=100*0.5,3,IF(C533&gt;=100*0.4,2,IF(C533&gt;=100*0.33,1,0))))))))</f>
        <v/>
      </c>
      <c r="V533">
        <f>IF(B533="","",IF(D533&lt;33.0,0,IF(D533&gt;=100*0.8,5,IF(D533&gt;=100*0.7,4,IF(D533&gt;=100*0.6,3.5,IF(D533&gt;=100*0.5,3,IF(D533&gt;=100*0.4,2,IF(D533&gt;=100*0.33,1,0))))))))</f>
        <v/>
      </c>
      <c r="W533">
        <f>IF(B533="","",IF(E533&lt;16.5,0,IF(E533&gt;=50*0.8,5,IF(E533&gt;=50*0.7,4,IF(E533&gt;=50*0.6,3.5,IF(E533&gt;=50*0.5,3,IF(E533&gt;=50*0.4,2,IF(E533&gt;=50*0.33,1,0))))))))</f>
        <v/>
      </c>
      <c r="X533">
        <f>IF(B533="","",IF(F533&lt;33.0,0,IF(F533&gt;=100*0.8,5,IF(F533&gt;=100*0.7,4,IF(F533&gt;=100*0.6,3.5,IF(F533&gt;=100*0.5,3,IF(F533&gt;=100*0.4,2,IF(F533&gt;=100*0.33,1,0))))))))</f>
        <v/>
      </c>
      <c r="Y533">
        <f>IF(B533="","",IF(G533&lt;16.5,0,IF(G533&gt;=50*0.8,5,IF(G533&gt;=50*0.7,4,IF(G533&gt;=50*0.6,3.5,IF(G533&gt;=50*0.5,3,IF(G533&gt;=50*0.4,2,IF(G533&gt;=50*0.33,1,0))))))))</f>
        <v/>
      </c>
      <c r="Z533">
        <f>IF(B533="","",IF(H533&lt;33.0,0,IF(H533&gt;=100*0.8,5,IF(H533&gt;=100*0.7,4,IF(H533&gt;=100*0.6,3.5,IF(H533&gt;=100*0.5,3,IF(H533&gt;=100*0.4,2,IF(H533&gt;=100*0.33,1,0))))))))</f>
        <v/>
      </c>
      <c r="AA533">
        <f>IF(B533="","",IF(I533&lt;33.0,0,IF(I533&gt;=100*0.8,5,IF(I533&gt;=100*0.7,4,IF(I533&gt;=100*0.6,3.5,IF(I533&gt;=100*0.5,3,IF(I533&gt;=100*0.4,2,IF(I533&gt;=100*0.33,1,0))))))))</f>
        <v/>
      </c>
      <c r="AB533">
        <f>IF(B533="","",IF(J533&lt;33.0,0,IF(J533&gt;=100*0.8,5,IF(J533&gt;=100*0.7,4,IF(J533&gt;=100*0.6,3.5,IF(J533&gt;=100*0.5,3,IF(J533&gt;=100*0.4,2,IF(J533&gt;=100*0.33,1,0))))))))</f>
        <v/>
      </c>
      <c r="AC533">
        <f>IF(B533="","",IF(K533&lt;33.0,0,IF(K533&gt;=100*0.8,5,IF(K533&gt;=100*0.7,4,IF(K533&gt;=100*0.6,3.5,IF(K533&gt;=100*0.5,3,IF(K533&gt;=100*0.4,2,IF(K533&gt;=100*0.33,1,0))))))))</f>
        <v/>
      </c>
      <c r="AD533">
        <f>IF(B533="","",IF(L533&lt;33.0,0,IF(L533&gt;=100*0.8,5,IF(L533&gt;=100*0.7,4,IF(L533&gt;=100*0.6,3.5,IF(L533&gt;=100*0.5,3,IF(L533&gt;=100*0.4,2,IF(L533&gt;=100*0.33,1,0))))))))</f>
        <v/>
      </c>
      <c r="AE533">
        <f>IF(B533="","",IF(M533&lt;33.0,0,IF(M533&gt;=100*0.8,5,IF(M533&gt;=100*0.7,4,IF(M533&gt;=100*0.6,3.5,IF(M533&gt;=100*0.5,3,IF(M533&gt;=100*0.4,2,IF(M533&gt;=100*0.33,1,0))))))))</f>
        <v/>
      </c>
      <c r="AF533">
        <f>IF(B533="","",IF(N533&lt;16.5,0,IF(N533&gt;=50*0.8,5,IF(N533&gt;=50*0.7,4,IF(N533&gt;=50*0.6,3.5,IF(N533&gt;=50*0.5,3,IF(N533&gt;=50*0.4,2,IF(N533&gt;=50*0.33,1,0))))))))</f>
        <v/>
      </c>
      <c r="AG533">
        <f>IF(B533="","",IF(O533&lt;33.0,0,IF(O533&gt;=100*0.8,5,IF(O533&gt;=100*0.7,4,IF(O533&gt;=100*0.6,3.5,IF(O533&gt;=100*0.5,3,IF(O533&gt;=100*0.4,2,IF(O533&gt;=100*0.33,1,0))))))))</f>
        <v/>
      </c>
      <c r="AH533">
        <f>IF(B533="","",IF(OR(U533=0,V533=0,W533=0,X533=0,Y533=0,Z533=0,AA533=0,AB533=0,AC533=0,AD533=0,AE533=0,AF533=0,AG533=0),1,0))</f>
        <v/>
      </c>
    </row>
    <row r="534">
      <c r="A534" s="3">
        <f>IF(B534="","",ROW()-2)</f>
        <v/>
      </c>
      <c r="P534" s="4">
        <f>IF(B534="","",SUM(C534:O534))</f>
        <v/>
      </c>
      <c r="Q534" s="5">
        <f>IF(B534="","",ROUND(P534/13,2))</f>
        <v/>
      </c>
      <c r="R534" s="5">
        <f>IF(B534="","",IF(AH534=1,0,MIN(5,ROUND((U534+V534+W534+X534+Y534+Z534+AA534+AB534+AC534+AD534+AE534+AF534+AG534)/13,2))))</f>
        <v/>
      </c>
      <c r="S534" s="3">
        <f>IF(B534="","",IF(R534&gt;=5,"A+",IF(R534&gt;=4,"A",IF(R534&gt;=3.5,"A-",IF(R534&gt;=3,"B",IF(R534&gt;=2,"C",IF(R534&gt;=1,"D","F")))))))</f>
        <v/>
      </c>
      <c r="T534" s="3">
        <f>IF(OR(B534="",S534="F"),"",COUNTIFS(P:P,"&gt;"&amp;P534,S:S,"&lt;&gt;F")+1)</f>
        <v/>
      </c>
      <c r="U534">
        <f>IF(B534="","",IF(C534&lt;33.0,0,IF(C534&gt;=100*0.8,5,IF(C534&gt;=100*0.7,4,IF(C534&gt;=100*0.6,3.5,IF(C534&gt;=100*0.5,3,IF(C534&gt;=100*0.4,2,IF(C534&gt;=100*0.33,1,0))))))))</f>
        <v/>
      </c>
      <c r="V534">
        <f>IF(B534="","",IF(D534&lt;33.0,0,IF(D534&gt;=100*0.8,5,IF(D534&gt;=100*0.7,4,IF(D534&gt;=100*0.6,3.5,IF(D534&gt;=100*0.5,3,IF(D534&gt;=100*0.4,2,IF(D534&gt;=100*0.33,1,0))))))))</f>
        <v/>
      </c>
      <c r="W534">
        <f>IF(B534="","",IF(E534&lt;16.5,0,IF(E534&gt;=50*0.8,5,IF(E534&gt;=50*0.7,4,IF(E534&gt;=50*0.6,3.5,IF(E534&gt;=50*0.5,3,IF(E534&gt;=50*0.4,2,IF(E534&gt;=50*0.33,1,0))))))))</f>
        <v/>
      </c>
      <c r="X534">
        <f>IF(B534="","",IF(F534&lt;33.0,0,IF(F534&gt;=100*0.8,5,IF(F534&gt;=100*0.7,4,IF(F534&gt;=100*0.6,3.5,IF(F534&gt;=100*0.5,3,IF(F534&gt;=100*0.4,2,IF(F534&gt;=100*0.33,1,0))))))))</f>
        <v/>
      </c>
      <c r="Y534">
        <f>IF(B534="","",IF(G534&lt;16.5,0,IF(G534&gt;=50*0.8,5,IF(G534&gt;=50*0.7,4,IF(G534&gt;=50*0.6,3.5,IF(G534&gt;=50*0.5,3,IF(G534&gt;=50*0.4,2,IF(G534&gt;=50*0.33,1,0))))))))</f>
        <v/>
      </c>
      <c r="Z534">
        <f>IF(B534="","",IF(H534&lt;33.0,0,IF(H534&gt;=100*0.8,5,IF(H534&gt;=100*0.7,4,IF(H534&gt;=100*0.6,3.5,IF(H534&gt;=100*0.5,3,IF(H534&gt;=100*0.4,2,IF(H534&gt;=100*0.33,1,0))))))))</f>
        <v/>
      </c>
      <c r="AA534">
        <f>IF(B534="","",IF(I534&lt;33.0,0,IF(I534&gt;=100*0.8,5,IF(I534&gt;=100*0.7,4,IF(I534&gt;=100*0.6,3.5,IF(I534&gt;=100*0.5,3,IF(I534&gt;=100*0.4,2,IF(I534&gt;=100*0.33,1,0))))))))</f>
        <v/>
      </c>
      <c r="AB534">
        <f>IF(B534="","",IF(J534&lt;33.0,0,IF(J534&gt;=100*0.8,5,IF(J534&gt;=100*0.7,4,IF(J534&gt;=100*0.6,3.5,IF(J534&gt;=100*0.5,3,IF(J534&gt;=100*0.4,2,IF(J534&gt;=100*0.33,1,0))))))))</f>
        <v/>
      </c>
      <c r="AC534">
        <f>IF(B534="","",IF(K534&lt;33.0,0,IF(K534&gt;=100*0.8,5,IF(K534&gt;=100*0.7,4,IF(K534&gt;=100*0.6,3.5,IF(K534&gt;=100*0.5,3,IF(K534&gt;=100*0.4,2,IF(K534&gt;=100*0.33,1,0))))))))</f>
        <v/>
      </c>
      <c r="AD534">
        <f>IF(B534="","",IF(L534&lt;33.0,0,IF(L534&gt;=100*0.8,5,IF(L534&gt;=100*0.7,4,IF(L534&gt;=100*0.6,3.5,IF(L534&gt;=100*0.5,3,IF(L534&gt;=100*0.4,2,IF(L534&gt;=100*0.33,1,0))))))))</f>
        <v/>
      </c>
      <c r="AE534">
        <f>IF(B534="","",IF(M534&lt;33.0,0,IF(M534&gt;=100*0.8,5,IF(M534&gt;=100*0.7,4,IF(M534&gt;=100*0.6,3.5,IF(M534&gt;=100*0.5,3,IF(M534&gt;=100*0.4,2,IF(M534&gt;=100*0.33,1,0))))))))</f>
        <v/>
      </c>
      <c r="AF534">
        <f>IF(B534="","",IF(N534&lt;16.5,0,IF(N534&gt;=50*0.8,5,IF(N534&gt;=50*0.7,4,IF(N534&gt;=50*0.6,3.5,IF(N534&gt;=50*0.5,3,IF(N534&gt;=50*0.4,2,IF(N534&gt;=50*0.33,1,0))))))))</f>
        <v/>
      </c>
      <c r="AG534">
        <f>IF(B534="","",IF(O534&lt;33.0,0,IF(O534&gt;=100*0.8,5,IF(O534&gt;=100*0.7,4,IF(O534&gt;=100*0.6,3.5,IF(O534&gt;=100*0.5,3,IF(O534&gt;=100*0.4,2,IF(O534&gt;=100*0.33,1,0))))))))</f>
        <v/>
      </c>
      <c r="AH534">
        <f>IF(B534="","",IF(OR(U534=0,V534=0,W534=0,X534=0,Y534=0,Z534=0,AA534=0,AB534=0,AC534=0,AD534=0,AE534=0,AF534=0,AG534=0),1,0))</f>
        <v/>
      </c>
    </row>
    <row r="535">
      <c r="A535" s="3">
        <f>IF(B535="","",ROW()-2)</f>
        <v/>
      </c>
      <c r="P535" s="4">
        <f>IF(B535="","",SUM(C535:O535))</f>
        <v/>
      </c>
      <c r="Q535" s="5">
        <f>IF(B535="","",ROUND(P535/13,2))</f>
        <v/>
      </c>
      <c r="R535" s="5">
        <f>IF(B535="","",IF(AH535=1,0,MIN(5,ROUND((U535+V535+W535+X535+Y535+Z535+AA535+AB535+AC535+AD535+AE535+AF535+AG535)/13,2))))</f>
        <v/>
      </c>
      <c r="S535" s="3">
        <f>IF(B535="","",IF(R535&gt;=5,"A+",IF(R535&gt;=4,"A",IF(R535&gt;=3.5,"A-",IF(R535&gt;=3,"B",IF(R535&gt;=2,"C",IF(R535&gt;=1,"D","F")))))))</f>
        <v/>
      </c>
      <c r="T535" s="3">
        <f>IF(OR(B535="",S535="F"),"",COUNTIFS(P:P,"&gt;"&amp;P535,S:S,"&lt;&gt;F")+1)</f>
        <v/>
      </c>
      <c r="U535">
        <f>IF(B535="","",IF(C535&lt;33.0,0,IF(C535&gt;=100*0.8,5,IF(C535&gt;=100*0.7,4,IF(C535&gt;=100*0.6,3.5,IF(C535&gt;=100*0.5,3,IF(C535&gt;=100*0.4,2,IF(C535&gt;=100*0.33,1,0))))))))</f>
        <v/>
      </c>
      <c r="V535">
        <f>IF(B535="","",IF(D535&lt;33.0,0,IF(D535&gt;=100*0.8,5,IF(D535&gt;=100*0.7,4,IF(D535&gt;=100*0.6,3.5,IF(D535&gt;=100*0.5,3,IF(D535&gt;=100*0.4,2,IF(D535&gt;=100*0.33,1,0))))))))</f>
        <v/>
      </c>
      <c r="W535">
        <f>IF(B535="","",IF(E535&lt;16.5,0,IF(E535&gt;=50*0.8,5,IF(E535&gt;=50*0.7,4,IF(E535&gt;=50*0.6,3.5,IF(E535&gt;=50*0.5,3,IF(E535&gt;=50*0.4,2,IF(E535&gt;=50*0.33,1,0))))))))</f>
        <v/>
      </c>
      <c r="X535">
        <f>IF(B535="","",IF(F535&lt;33.0,0,IF(F535&gt;=100*0.8,5,IF(F535&gt;=100*0.7,4,IF(F535&gt;=100*0.6,3.5,IF(F535&gt;=100*0.5,3,IF(F535&gt;=100*0.4,2,IF(F535&gt;=100*0.33,1,0))))))))</f>
        <v/>
      </c>
      <c r="Y535">
        <f>IF(B535="","",IF(G535&lt;16.5,0,IF(G535&gt;=50*0.8,5,IF(G535&gt;=50*0.7,4,IF(G535&gt;=50*0.6,3.5,IF(G535&gt;=50*0.5,3,IF(G535&gt;=50*0.4,2,IF(G535&gt;=50*0.33,1,0))))))))</f>
        <v/>
      </c>
      <c r="Z535">
        <f>IF(B535="","",IF(H535&lt;33.0,0,IF(H535&gt;=100*0.8,5,IF(H535&gt;=100*0.7,4,IF(H535&gt;=100*0.6,3.5,IF(H535&gt;=100*0.5,3,IF(H535&gt;=100*0.4,2,IF(H535&gt;=100*0.33,1,0))))))))</f>
        <v/>
      </c>
      <c r="AA535">
        <f>IF(B535="","",IF(I535&lt;33.0,0,IF(I535&gt;=100*0.8,5,IF(I535&gt;=100*0.7,4,IF(I535&gt;=100*0.6,3.5,IF(I535&gt;=100*0.5,3,IF(I535&gt;=100*0.4,2,IF(I535&gt;=100*0.33,1,0))))))))</f>
        <v/>
      </c>
      <c r="AB535">
        <f>IF(B535="","",IF(J535&lt;33.0,0,IF(J535&gt;=100*0.8,5,IF(J535&gt;=100*0.7,4,IF(J535&gt;=100*0.6,3.5,IF(J535&gt;=100*0.5,3,IF(J535&gt;=100*0.4,2,IF(J535&gt;=100*0.33,1,0))))))))</f>
        <v/>
      </c>
      <c r="AC535">
        <f>IF(B535="","",IF(K535&lt;33.0,0,IF(K535&gt;=100*0.8,5,IF(K535&gt;=100*0.7,4,IF(K535&gt;=100*0.6,3.5,IF(K535&gt;=100*0.5,3,IF(K535&gt;=100*0.4,2,IF(K535&gt;=100*0.33,1,0))))))))</f>
        <v/>
      </c>
      <c r="AD535">
        <f>IF(B535="","",IF(L535&lt;33.0,0,IF(L535&gt;=100*0.8,5,IF(L535&gt;=100*0.7,4,IF(L535&gt;=100*0.6,3.5,IF(L535&gt;=100*0.5,3,IF(L535&gt;=100*0.4,2,IF(L535&gt;=100*0.33,1,0))))))))</f>
        <v/>
      </c>
      <c r="AE535">
        <f>IF(B535="","",IF(M535&lt;33.0,0,IF(M535&gt;=100*0.8,5,IF(M535&gt;=100*0.7,4,IF(M535&gt;=100*0.6,3.5,IF(M535&gt;=100*0.5,3,IF(M535&gt;=100*0.4,2,IF(M535&gt;=100*0.33,1,0))))))))</f>
        <v/>
      </c>
      <c r="AF535">
        <f>IF(B535="","",IF(N535&lt;16.5,0,IF(N535&gt;=50*0.8,5,IF(N535&gt;=50*0.7,4,IF(N535&gt;=50*0.6,3.5,IF(N535&gt;=50*0.5,3,IF(N535&gt;=50*0.4,2,IF(N535&gt;=50*0.33,1,0))))))))</f>
        <v/>
      </c>
      <c r="AG535">
        <f>IF(B535="","",IF(O535&lt;33.0,0,IF(O535&gt;=100*0.8,5,IF(O535&gt;=100*0.7,4,IF(O535&gt;=100*0.6,3.5,IF(O535&gt;=100*0.5,3,IF(O535&gt;=100*0.4,2,IF(O535&gt;=100*0.33,1,0))))))))</f>
        <v/>
      </c>
      <c r="AH535">
        <f>IF(B535="","",IF(OR(U535=0,V535=0,W535=0,X535=0,Y535=0,Z535=0,AA535=0,AB535=0,AC535=0,AD535=0,AE535=0,AF535=0,AG535=0),1,0))</f>
        <v/>
      </c>
    </row>
    <row r="536">
      <c r="A536" s="3">
        <f>IF(B536="","",ROW()-2)</f>
        <v/>
      </c>
      <c r="P536" s="4">
        <f>IF(B536="","",SUM(C536:O536))</f>
        <v/>
      </c>
      <c r="Q536" s="5">
        <f>IF(B536="","",ROUND(P536/13,2))</f>
        <v/>
      </c>
      <c r="R536" s="5">
        <f>IF(B536="","",IF(AH536=1,0,MIN(5,ROUND((U536+V536+W536+X536+Y536+Z536+AA536+AB536+AC536+AD536+AE536+AF536+AG536)/13,2))))</f>
        <v/>
      </c>
      <c r="S536" s="3">
        <f>IF(B536="","",IF(R536&gt;=5,"A+",IF(R536&gt;=4,"A",IF(R536&gt;=3.5,"A-",IF(R536&gt;=3,"B",IF(R536&gt;=2,"C",IF(R536&gt;=1,"D","F")))))))</f>
        <v/>
      </c>
      <c r="T536" s="3">
        <f>IF(OR(B536="",S536="F"),"",COUNTIFS(P:P,"&gt;"&amp;P536,S:S,"&lt;&gt;F")+1)</f>
        <v/>
      </c>
      <c r="U536">
        <f>IF(B536="","",IF(C536&lt;33.0,0,IF(C536&gt;=100*0.8,5,IF(C536&gt;=100*0.7,4,IF(C536&gt;=100*0.6,3.5,IF(C536&gt;=100*0.5,3,IF(C536&gt;=100*0.4,2,IF(C536&gt;=100*0.33,1,0))))))))</f>
        <v/>
      </c>
      <c r="V536">
        <f>IF(B536="","",IF(D536&lt;33.0,0,IF(D536&gt;=100*0.8,5,IF(D536&gt;=100*0.7,4,IF(D536&gt;=100*0.6,3.5,IF(D536&gt;=100*0.5,3,IF(D536&gt;=100*0.4,2,IF(D536&gt;=100*0.33,1,0))))))))</f>
        <v/>
      </c>
      <c r="W536">
        <f>IF(B536="","",IF(E536&lt;16.5,0,IF(E536&gt;=50*0.8,5,IF(E536&gt;=50*0.7,4,IF(E536&gt;=50*0.6,3.5,IF(E536&gt;=50*0.5,3,IF(E536&gt;=50*0.4,2,IF(E536&gt;=50*0.33,1,0))))))))</f>
        <v/>
      </c>
      <c r="X536">
        <f>IF(B536="","",IF(F536&lt;33.0,0,IF(F536&gt;=100*0.8,5,IF(F536&gt;=100*0.7,4,IF(F536&gt;=100*0.6,3.5,IF(F536&gt;=100*0.5,3,IF(F536&gt;=100*0.4,2,IF(F536&gt;=100*0.33,1,0))))))))</f>
        <v/>
      </c>
      <c r="Y536">
        <f>IF(B536="","",IF(G536&lt;16.5,0,IF(G536&gt;=50*0.8,5,IF(G536&gt;=50*0.7,4,IF(G536&gt;=50*0.6,3.5,IF(G536&gt;=50*0.5,3,IF(G536&gt;=50*0.4,2,IF(G536&gt;=50*0.33,1,0))))))))</f>
        <v/>
      </c>
      <c r="Z536">
        <f>IF(B536="","",IF(H536&lt;33.0,0,IF(H536&gt;=100*0.8,5,IF(H536&gt;=100*0.7,4,IF(H536&gt;=100*0.6,3.5,IF(H536&gt;=100*0.5,3,IF(H536&gt;=100*0.4,2,IF(H536&gt;=100*0.33,1,0))))))))</f>
        <v/>
      </c>
      <c r="AA536">
        <f>IF(B536="","",IF(I536&lt;33.0,0,IF(I536&gt;=100*0.8,5,IF(I536&gt;=100*0.7,4,IF(I536&gt;=100*0.6,3.5,IF(I536&gt;=100*0.5,3,IF(I536&gt;=100*0.4,2,IF(I536&gt;=100*0.33,1,0))))))))</f>
        <v/>
      </c>
      <c r="AB536">
        <f>IF(B536="","",IF(J536&lt;33.0,0,IF(J536&gt;=100*0.8,5,IF(J536&gt;=100*0.7,4,IF(J536&gt;=100*0.6,3.5,IF(J536&gt;=100*0.5,3,IF(J536&gt;=100*0.4,2,IF(J536&gt;=100*0.33,1,0))))))))</f>
        <v/>
      </c>
      <c r="AC536">
        <f>IF(B536="","",IF(K536&lt;33.0,0,IF(K536&gt;=100*0.8,5,IF(K536&gt;=100*0.7,4,IF(K536&gt;=100*0.6,3.5,IF(K536&gt;=100*0.5,3,IF(K536&gt;=100*0.4,2,IF(K536&gt;=100*0.33,1,0))))))))</f>
        <v/>
      </c>
      <c r="AD536">
        <f>IF(B536="","",IF(L536&lt;33.0,0,IF(L536&gt;=100*0.8,5,IF(L536&gt;=100*0.7,4,IF(L536&gt;=100*0.6,3.5,IF(L536&gt;=100*0.5,3,IF(L536&gt;=100*0.4,2,IF(L536&gt;=100*0.33,1,0))))))))</f>
        <v/>
      </c>
      <c r="AE536">
        <f>IF(B536="","",IF(M536&lt;33.0,0,IF(M536&gt;=100*0.8,5,IF(M536&gt;=100*0.7,4,IF(M536&gt;=100*0.6,3.5,IF(M536&gt;=100*0.5,3,IF(M536&gt;=100*0.4,2,IF(M536&gt;=100*0.33,1,0))))))))</f>
        <v/>
      </c>
      <c r="AF536">
        <f>IF(B536="","",IF(N536&lt;16.5,0,IF(N536&gt;=50*0.8,5,IF(N536&gt;=50*0.7,4,IF(N536&gt;=50*0.6,3.5,IF(N536&gt;=50*0.5,3,IF(N536&gt;=50*0.4,2,IF(N536&gt;=50*0.33,1,0))))))))</f>
        <v/>
      </c>
      <c r="AG536">
        <f>IF(B536="","",IF(O536&lt;33.0,0,IF(O536&gt;=100*0.8,5,IF(O536&gt;=100*0.7,4,IF(O536&gt;=100*0.6,3.5,IF(O536&gt;=100*0.5,3,IF(O536&gt;=100*0.4,2,IF(O536&gt;=100*0.33,1,0))))))))</f>
        <v/>
      </c>
      <c r="AH536">
        <f>IF(B536="","",IF(OR(U536=0,V536=0,W536=0,X536=0,Y536=0,Z536=0,AA536=0,AB536=0,AC536=0,AD536=0,AE536=0,AF536=0,AG536=0),1,0))</f>
        <v/>
      </c>
    </row>
    <row r="537">
      <c r="A537" s="3">
        <f>IF(B537="","",ROW()-2)</f>
        <v/>
      </c>
      <c r="P537" s="4">
        <f>IF(B537="","",SUM(C537:O537))</f>
        <v/>
      </c>
      <c r="Q537" s="5">
        <f>IF(B537="","",ROUND(P537/13,2))</f>
        <v/>
      </c>
      <c r="R537" s="5">
        <f>IF(B537="","",IF(AH537=1,0,MIN(5,ROUND((U537+V537+W537+X537+Y537+Z537+AA537+AB537+AC537+AD537+AE537+AF537+AG537)/13,2))))</f>
        <v/>
      </c>
      <c r="S537" s="3">
        <f>IF(B537="","",IF(R537&gt;=5,"A+",IF(R537&gt;=4,"A",IF(R537&gt;=3.5,"A-",IF(R537&gt;=3,"B",IF(R537&gt;=2,"C",IF(R537&gt;=1,"D","F")))))))</f>
        <v/>
      </c>
      <c r="T537" s="3">
        <f>IF(OR(B537="",S537="F"),"",COUNTIFS(P:P,"&gt;"&amp;P537,S:S,"&lt;&gt;F")+1)</f>
        <v/>
      </c>
      <c r="U537">
        <f>IF(B537="","",IF(C537&lt;33.0,0,IF(C537&gt;=100*0.8,5,IF(C537&gt;=100*0.7,4,IF(C537&gt;=100*0.6,3.5,IF(C537&gt;=100*0.5,3,IF(C537&gt;=100*0.4,2,IF(C537&gt;=100*0.33,1,0))))))))</f>
        <v/>
      </c>
      <c r="V537">
        <f>IF(B537="","",IF(D537&lt;33.0,0,IF(D537&gt;=100*0.8,5,IF(D537&gt;=100*0.7,4,IF(D537&gt;=100*0.6,3.5,IF(D537&gt;=100*0.5,3,IF(D537&gt;=100*0.4,2,IF(D537&gt;=100*0.33,1,0))))))))</f>
        <v/>
      </c>
      <c r="W537">
        <f>IF(B537="","",IF(E537&lt;16.5,0,IF(E537&gt;=50*0.8,5,IF(E537&gt;=50*0.7,4,IF(E537&gt;=50*0.6,3.5,IF(E537&gt;=50*0.5,3,IF(E537&gt;=50*0.4,2,IF(E537&gt;=50*0.33,1,0))))))))</f>
        <v/>
      </c>
      <c r="X537">
        <f>IF(B537="","",IF(F537&lt;33.0,0,IF(F537&gt;=100*0.8,5,IF(F537&gt;=100*0.7,4,IF(F537&gt;=100*0.6,3.5,IF(F537&gt;=100*0.5,3,IF(F537&gt;=100*0.4,2,IF(F537&gt;=100*0.33,1,0))))))))</f>
        <v/>
      </c>
      <c r="Y537">
        <f>IF(B537="","",IF(G537&lt;16.5,0,IF(G537&gt;=50*0.8,5,IF(G537&gt;=50*0.7,4,IF(G537&gt;=50*0.6,3.5,IF(G537&gt;=50*0.5,3,IF(G537&gt;=50*0.4,2,IF(G537&gt;=50*0.33,1,0))))))))</f>
        <v/>
      </c>
      <c r="Z537">
        <f>IF(B537="","",IF(H537&lt;33.0,0,IF(H537&gt;=100*0.8,5,IF(H537&gt;=100*0.7,4,IF(H537&gt;=100*0.6,3.5,IF(H537&gt;=100*0.5,3,IF(H537&gt;=100*0.4,2,IF(H537&gt;=100*0.33,1,0))))))))</f>
        <v/>
      </c>
      <c r="AA537">
        <f>IF(B537="","",IF(I537&lt;33.0,0,IF(I537&gt;=100*0.8,5,IF(I537&gt;=100*0.7,4,IF(I537&gt;=100*0.6,3.5,IF(I537&gt;=100*0.5,3,IF(I537&gt;=100*0.4,2,IF(I537&gt;=100*0.33,1,0))))))))</f>
        <v/>
      </c>
      <c r="AB537">
        <f>IF(B537="","",IF(J537&lt;33.0,0,IF(J537&gt;=100*0.8,5,IF(J537&gt;=100*0.7,4,IF(J537&gt;=100*0.6,3.5,IF(J537&gt;=100*0.5,3,IF(J537&gt;=100*0.4,2,IF(J537&gt;=100*0.33,1,0))))))))</f>
        <v/>
      </c>
      <c r="AC537">
        <f>IF(B537="","",IF(K537&lt;33.0,0,IF(K537&gt;=100*0.8,5,IF(K537&gt;=100*0.7,4,IF(K537&gt;=100*0.6,3.5,IF(K537&gt;=100*0.5,3,IF(K537&gt;=100*0.4,2,IF(K537&gt;=100*0.33,1,0))))))))</f>
        <v/>
      </c>
      <c r="AD537">
        <f>IF(B537="","",IF(L537&lt;33.0,0,IF(L537&gt;=100*0.8,5,IF(L537&gt;=100*0.7,4,IF(L537&gt;=100*0.6,3.5,IF(L537&gt;=100*0.5,3,IF(L537&gt;=100*0.4,2,IF(L537&gt;=100*0.33,1,0))))))))</f>
        <v/>
      </c>
      <c r="AE537">
        <f>IF(B537="","",IF(M537&lt;33.0,0,IF(M537&gt;=100*0.8,5,IF(M537&gt;=100*0.7,4,IF(M537&gt;=100*0.6,3.5,IF(M537&gt;=100*0.5,3,IF(M537&gt;=100*0.4,2,IF(M537&gt;=100*0.33,1,0))))))))</f>
        <v/>
      </c>
      <c r="AF537">
        <f>IF(B537="","",IF(N537&lt;16.5,0,IF(N537&gt;=50*0.8,5,IF(N537&gt;=50*0.7,4,IF(N537&gt;=50*0.6,3.5,IF(N537&gt;=50*0.5,3,IF(N537&gt;=50*0.4,2,IF(N537&gt;=50*0.33,1,0))))))))</f>
        <v/>
      </c>
      <c r="AG537">
        <f>IF(B537="","",IF(O537&lt;33.0,0,IF(O537&gt;=100*0.8,5,IF(O537&gt;=100*0.7,4,IF(O537&gt;=100*0.6,3.5,IF(O537&gt;=100*0.5,3,IF(O537&gt;=100*0.4,2,IF(O537&gt;=100*0.33,1,0))))))))</f>
        <v/>
      </c>
      <c r="AH537">
        <f>IF(B537="","",IF(OR(U537=0,V537=0,W537=0,X537=0,Y537=0,Z537=0,AA537=0,AB537=0,AC537=0,AD537=0,AE537=0,AF537=0,AG537=0),1,0))</f>
        <v/>
      </c>
    </row>
    <row r="538">
      <c r="A538" s="3">
        <f>IF(B538="","",ROW()-2)</f>
        <v/>
      </c>
      <c r="P538" s="4">
        <f>IF(B538="","",SUM(C538:O538))</f>
        <v/>
      </c>
      <c r="Q538" s="5">
        <f>IF(B538="","",ROUND(P538/13,2))</f>
        <v/>
      </c>
      <c r="R538" s="5">
        <f>IF(B538="","",IF(AH538=1,0,MIN(5,ROUND((U538+V538+W538+X538+Y538+Z538+AA538+AB538+AC538+AD538+AE538+AF538+AG538)/13,2))))</f>
        <v/>
      </c>
      <c r="S538" s="3">
        <f>IF(B538="","",IF(R538&gt;=5,"A+",IF(R538&gt;=4,"A",IF(R538&gt;=3.5,"A-",IF(R538&gt;=3,"B",IF(R538&gt;=2,"C",IF(R538&gt;=1,"D","F")))))))</f>
        <v/>
      </c>
      <c r="T538" s="3">
        <f>IF(OR(B538="",S538="F"),"",COUNTIFS(P:P,"&gt;"&amp;P538,S:S,"&lt;&gt;F")+1)</f>
        <v/>
      </c>
      <c r="U538">
        <f>IF(B538="","",IF(C538&lt;33.0,0,IF(C538&gt;=100*0.8,5,IF(C538&gt;=100*0.7,4,IF(C538&gt;=100*0.6,3.5,IF(C538&gt;=100*0.5,3,IF(C538&gt;=100*0.4,2,IF(C538&gt;=100*0.33,1,0))))))))</f>
        <v/>
      </c>
      <c r="V538">
        <f>IF(B538="","",IF(D538&lt;33.0,0,IF(D538&gt;=100*0.8,5,IF(D538&gt;=100*0.7,4,IF(D538&gt;=100*0.6,3.5,IF(D538&gt;=100*0.5,3,IF(D538&gt;=100*0.4,2,IF(D538&gt;=100*0.33,1,0))))))))</f>
        <v/>
      </c>
      <c r="W538">
        <f>IF(B538="","",IF(E538&lt;16.5,0,IF(E538&gt;=50*0.8,5,IF(E538&gt;=50*0.7,4,IF(E538&gt;=50*0.6,3.5,IF(E538&gt;=50*0.5,3,IF(E538&gt;=50*0.4,2,IF(E538&gt;=50*0.33,1,0))))))))</f>
        <v/>
      </c>
      <c r="X538">
        <f>IF(B538="","",IF(F538&lt;33.0,0,IF(F538&gt;=100*0.8,5,IF(F538&gt;=100*0.7,4,IF(F538&gt;=100*0.6,3.5,IF(F538&gt;=100*0.5,3,IF(F538&gt;=100*0.4,2,IF(F538&gt;=100*0.33,1,0))))))))</f>
        <v/>
      </c>
      <c r="Y538">
        <f>IF(B538="","",IF(G538&lt;16.5,0,IF(G538&gt;=50*0.8,5,IF(G538&gt;=50*0.7,4,IF(G538&gt;=50*0.6,3.5,IF(G538&gt;=50*0.5,3,IF(G538&gt;=50*0.4,2,IF(G538&gt;=50*0.33,1,0))))))))</f>
        <v/>
      </c>
      <c r="Z538">
        <f>IF(B538="","",IF(H538&lt;33.0,0,IF(H538&gt;=100*0.8,5,IF(H538&gt;=100*0.7,4,IF(H538&gt;=100*0.6,3.5,IF(H538&gt;=100*0.5,3,IF(H538&gt;=100*0.4,2,IF(H538&gt;=100*0.33,1,0))))))))</f>
        <v/>
      </c>
      <c r="AA538">
        <f>IF(B538="","",IF(I538&lt;33.0,0,IF(I538&gt;=100*0.8,5,IF(I538&gt;=100*0.7,4,IF(I538&gt;=100*0.6,3.5,IF(I538&gt;=100*0.5,3,IF(I538&gt;=100*0.4,2,IF(I538&gt;=100*0.33,1,0))))))))</f>
        <v/>
      </c>
      <c r="AB538">
        <f>IF(B538="","",IF(J538&lt;33.0,0,IF(J538&gt;=100*0.8,5,IF(J538&gt;=100*0.7,4,IF(J538&gt;=100*0.6,3.5,IF(J538&gt;=100*0.5,3,IF(J538&gt;=100*0.4,2,IF(J538&gt;=100*0.33,1,0))))))))</f>
        <v/>
      </c>
      <c r="AC538">
        <f>IF(B538="","",IF(K538&lt;33.0,0,IF(K538&gt;=100*0.8,5,IF(K538&gt;=100*0.7,4,IF(K538&gt;=100*0.6,3.5,IF(K538&gt;=100*0.5,3,IF(K538&gt;=100*0.4,2,IF(K538&gt;=100*0.33,1,0))))))))</f>
        <v/>
      </c>
      <c r="AD538">
        <f>IF(B538="","",IF(L538&lt;33.0,0,IF(L538&gt;=100*0.8,5,IF(L538&gt;=100*0.7,4,IF(L538&gt;=100*0.6,3.5,IF(L538&gt;=100*0.5,3,IF(L538&gt;=100*0.4,2,IF(L538&gt;=100*0.33,1,0))))))))</f>
        <v/>
      </c>
      <c r="AE538">
        <f>IF(B538="","",IF(M538&lt;33.0,0,IF(M538&gt;=100*0.8,5,IF(M538&gt;=100*0.7,4,IF(M538&gt;=100*0.6,3.5,IF(M538&gt;=100*0.5,3,IF(M538&gt;=100*0.4,2,IF(M538&gt;=100*0.33,1,0))))))))</f>
        <v/>
      </c>
      <c r="AF538">
        <f>IF(B538="","",IF(N538&lt;16.5,0,IF(N538&gt;=50*0.8,5,IF(N538&gt;=50*0.7,4,IF(N538&gt;=50*0.6,3.5,IF(N538&gt;=50*0.5,3,IF(N538&gt;=50*0.4,2,IF(N538&gt;=50*0.33,1,0))))))))</f>
        <v/>
      </c>
      <c r="AG538">
        <f>IF(B538="","",IF(O538&lt;33.0,0,IF(O538&gt;=100*0.8,5,IF(O538&gt;=100*0.7,4,IF(O538&gt;=100*0.6,3.5,IF(O538&gt;=100*0.5,3,IF(O538&gt;=100*0.4,2,IF(O538&gt;=100*0.33,1,0))))))))</f>
        <v/>
      </c>
      <c r="AH538">
        <f>IF(B538="","",IF(OR(U538=0,V538=0,W538=0,X538=0,Y538=0,Z538=0,AA538=0,AB538=0,AC538=0,AD538=0,AE538=0,AF538=0,AG538=0),1,0))</f>
        <v/>
      </c>
    </row>
    <row r="539">
      <c r="A539" s="3">
        <f>IF(B539="","",ROW()-2)</f>
        <v/>
      </c>
      <c r="P539" s="4">
        <f>IF(B539="","",SUM(C539:O539))</f>
        <v/>
      </c>
      <c r="Q539" s="5">
        <f>IF(B539="","",ROUND(P539/13,2))</f>
        <v/>
      </c>
      <c r="R539" s="5">
        <f>IF(B539="","",IF(AH539=1,0,MIN(5,ROUND((U539+V539+W539+X539+Y539+Z539+AA539+AB539+AC539+AD539+AE539+AF539+AG539)/13,2))))</f>
        <v/>
      </c>
      <c r="S539" s="3">
        <f>IF(B539="","",IF(R539&gt;=5,"A+",IF(R539&gt;=4,"A",IF(R539&gt;=3.5,"A-",IF(R539&gt;=3,"B",IF(R539&gt;=2,"C",IF(R539&gt;=1,"D","F")))))))</f>
        <v/>
      </c>
      <c r="T539" s="3">
        <f>IF(OR(B539="",S539="F"),"",COUNTIFS(P:P,"&gt;"&amp;P539,S:S,"&lt;&gt;F")+1)</f>
        <v/>
      </c>
      <c r="U539">
        <f>IF(B539="","",IF(C539&lt;33.0,0,IF(C539&gt;=100*0.8,5,IF(C539&gt;=100*0.7,4,IF(C539&gt;=100*0.6,3.5,IF(C539&gt;=100*0.5,3,IF(C539&gt;=100*0.4,2,IF(C539&gt;=100*0.33,1,0))))))))</f>
        <v/>
      </c>
      <c r="V539">
        <f>IF(B539="","",IF(D539&lt;33.0,0,IF(D539&gt;=100*0.8,5,IF(D539&gt;=100*0.7,4,IF(D539&gt;=100*0.6,3.5,IF(D539&gt;=100*0.5,3,IF(D539&gt;=100*0.4,2,IF(D539&gt;=100*0.33,1,0))))))))</f>
        <v/>
      </c>
      <c r="W539">
        <f>IF(B539="","",IF(E539&lt;16.5,0,IF(E539&gt;=50*0.8,5,IF(E539&gt;=50*0.7,4,IF(E539&gt;=50*0.6,3.5,IF(E539&gt;=50*0.5,3,IF(E539&gt;=50*0.4,2,IF(E539&gt;=50*0.33,1,0))))))))</f>
        <v/>
      </c>
      <c r="X539">
        <f>IF(B539="","",IF(F539&lt;33.0,0,IF(F539&gt;=100*0.8,5,IF(F539&gt;=100*0.7,4,IF(F539&gt;=100*0.6,3.5,IF(F539&gt;=100*0.5,3,IF(F539&gt;=100*0.4,2,IF(F539&gt;=100*0.33,1,0))))))))</f>
        <v/>
      </c>
      <c r="Y539">
        <f>IF(B539="","",IF(G539&lt;16.5,0,IF(G539&gt;=50*0.8,5,IF(G539&gt;=50*0.7,4,IF(G539&gt;=50*0.6,3.5,IF(G539&gt;=50*0.5,3,IF(G539&gt;=50*0.4,2,IF(G539&gt;=50*0.33,1,0))))))))</f>
        <v/>
      </c>
      <c r="Z539">
        <f>IF(B539="","",IF(H539&lt;33.0,0,IF(H539&gt;=100*0.8,5,IF(H539&gt;=100*0.7,4,IF(H539&gt;=100*0.6,3.5,IF(H539&gt;=100*0.5,3,IF(H539&gt;=100*0.4,2,IF(H539&gt;=100*0.33,1,0))))))))</f>
        <v/>
      </c>
      <c r="AA539">
        <f>IF(B539="","",IF(I539&lt;33.0,0,IF(I539&gt;=100*0.8,5,IF(I539&gt;=100*0.7,4,IF(I539&gt;=100*0.6,3.5,IF(I539&gt;=100*0.5,3,IF(I539&gt;=100*0.4,2,IF(I539&gt;=100*0.33,1,0))))))))</f>
        <v/>
      </c>
      <c r="AB539">
        <f>IF(B539="","",IF(J539&lt;33.0,0,IF(J539&gt;=100*0.8,5,IF(J539&gt;=100*0.7,4,IF(J539&gt;=100*0.6,3.5,IF(J539&gt;=100*0.5,3,IF(J539&gt;=100*0.4,2,IF(J539&gt;=100*0.33,1,0))))))))</f>
        <v/>
      </c>
      <c r="AC539">
        <f>IF(B539="","",IF(K539&lt;33.0,0,IF(K539&gt;=100*0.8,5,IF(K539&gt;=100*0.7,4,IF(K539&gt;=100*0.6,3.5,IF(K539&gt;=100*0.5,3,IF(K539&gt;=100*0.4,2,IF(K539&gt;=100*0.33,1,0))))))))</f>
        <v/>
      </c>
      <c r="AD539">
        <f>IF(B539="","",IF(L539&lt;33.0,0,IF(L539&gt;=100*0.8,5,IF(L539&gt;=100*0.7,4,IF(L539&gt;=100*0.6,3.5,IF(L539&gt;=100*0.5,3,IF(L539&gt;=100*0.4,2,IF(L539&gt;=100*0.33,1,0))))))))</f>
        <v/>
      </c>
      <c r="AE539">
        <f>IF(B539="","",IF(M539&lt;33.0,0,IF(M539&gt;=100*0.8,5,IF(M539&gt;=100*0.7,4,IF(M539&gt;=100*0.6,3.5,IF(M539&gt;=100*0.5,3,IF(M539&gt;=100*0.4,2,IF(M539&gt;=100*0.33,1,0))))))))</f>
        <v/>
      </c>
      <c r="AF539">
        <f>IF(B539="","",IF(N539&lt;16.5,0,IF(N539&gt;=50*0.8,5,IF(N539&gt;=50*0.7,4,IF(N539&gt;=50*0.6,3.5,IF(N539&gt;=50*0.5,3,IF(N539&gt;=50*0.4,2,IF(N539&gt;=50*0.33,1,0))))))))</f>
        <v/>
      </c>
      <c r="AG539">
        <f>IF(B539="","",IF(O539&lt;33.0,0,IF(O539&gt;=100*0.8,5,IF(O539&gt;=100*0.7,4,IF(O539&gt;=100*0.6,3.5,IF(O539&gt;=100*0.5,3,IF(O539&gt;=100*0.4,2,IF(O539&gt;=100*0.33,1,0))))))))</f>
        <v/>
      </c>
      <c r="AH539">
        <f>IF(B539="","",IF(OR(U539=0,V539=0,W539=0,X539=0,Y539=0,Z539=0,AA539=0,AB539=0,AC539=0,AD539=0,AE539=0,AF539=0,AG539=0),1,0))</f>
        <v/>
      </c>
    </row>
    <row r="540">
      <c r="A540" s="3">
        <f>IF(B540="","",ROW()-2)</f>
        <v/>
      </c>
      <c r="P540" s="4">
        <f>IF(B540="","",SUM(C540:O540))</f>
        <v/>
      </c>
      <c r="Q540" s="5">
        <f>IF(B540="","",ROUND(P540/13,2))</f>
        <v/>
      </c>
      <c r="R540" s="5">
        <f>IF(B540="","",IF(AH540=1,0,MIN(5,ROUND((U540+V540+W540+X540+Y540+Z540+AA540+AB540+AC540+AD540+AE540+AF540+AG540)/13,2))))</f>
        <v/>
      </c>
      <c r="S540" s="3">
        <f>IF(B540="","",IF(R540&gt;=5,"A+",IF(R540&gt;=4,"A",IF(R540&gt;=3.5,"A-",IF(R540&gt;=3,"B",IF(R540&gt;=2,"C",IF(R540&gt;=1,"D","F")))))))</f>
        <v/>
      </c>
      <c r="T540" s="3">
        <f>IF(OR(B540="",S540="F"),"",COUNTIFS(P:P,"&gt;"&amp;P540,S:S,"&lt;&gt;F")+1)</f>
        <v/>
      </c>
      <c r="U540">
        <f>IF(B540="","",IF(C540&lt;33.0,0,IF(C540&gt;=100*0.8,5,IF(C540&gt;=100*0.7,4,IF(C540&gt;=100*0.6,3.5,IF(C540&gt;=100*0.5,3,IF(C540&gt;=100*0.4,2,IF(C540&gt;=100*0.33,1,0))))))))</f>
        <v/>
      </c>
      <c r="V540">
        <f>IF(B540="","",IF(D540&lt;33.0,0,IF(D540&gt;=100*0.8,5,IF(D540&gt;=100*0.7,4,IF(D540&gt;=100*0.6,3.5,IF(D540&gt;=100*0.5,3,IF(D540&gt;=100*0.4,2,IF(D540&gt;=100*0.33,1,0))))))))</f>
        <v/>
      </c>
      <c r="W540">
        <f>IF(B540="","",IF(E540&lt;16.5,0,IF(E540&gt;=50*0.8,5,IF(E540&gt;=50*0.7,4,IF(E540&gt;=50*0.6,3.5,IF(E540&gt;=50*0.5,3,IF(E540&gt;=50*0.4,2,IF(E540&gt;=50*0.33,1,0))))))))</f>
        <v/>
      </c>
      <c r="X540">
        <f>IF(B540="","",IF(F540&lt;33.0,0,IF(F540&gt;=100*0.8,5,IF(F540&gt;=100*0.7,4,IF(F540&gt;=100*0.6,3.5,IF(F540&gt;=100*0.5,3,IF(F540&gt;=100*0.4,2,IF(F540&gt;=100*0.33,1,0))))))))</f>
        <v/>
      </c>
      <c r="Y540">
        <f>IF(B540="","",IF(G540&lt;16.5,0,IF(G540&gt;=50*0.8,5,IF(G540&gt;=50*0.7,4,IF(G540&gt;=50*0.6,3.5,IF(G540&gt;=50*0.5,3,IF(G540&gt;=50*0.4,2,IF(G540&gt;=50*0.33,1,0))))))))</f>
        <v/>
      </c>
      <c r="Z540">
        <f>IF(B540="","",IF(H540&lt;33.0,0,IF(H540&gt;=100*0.8,5,IF(H540&gt;=100*0.7,4,IF(H540&gt;=100*0.6,3.5,IF(H540&gt;=100*0.5,3,IF(H540&gt;=100*0.4,2,IF(H540&gt;=100*0.33,1,0))))))))</f>
        <v/>
      </c>
      <c r="AA540">
        <f>IF(B540="","",IF(I540&lt;33.0,0,IF(I540&gt;=100*0.8,5,IF(I540&gt;=100*0.7,4,IF(I540&gt;=100*0.6,3.5,IF(I540&gt;=100*0.5,3,IF(I540&gt;=100*0.4,2,IF(I540&gt;=100*0.33,1,0))))))))</f>
        <v/>
      </c>
      <c r="AB540">
        <f>IF(B540="","",IF(J540&lt;33.0,0,IF(J540&gt;=100*0.8,5,IF(J540&gt;=100*0.7,4,IF(J540&gt;=100*0.6,3.5,IF(J540&gt;=100*0.5,3,IF(J540&gt;=100*0.4,2,IF(J540&gt;=100*0.33,1,0))))))))</f>
        <v/>
      </c>
      <c r="AC540">
        <f>IF(B540="","",IF(K540&lt;33.0,0,IF(K540&gt;=100*0.8,5,IF(K540&gt;=100*0.7,4,IF(K540&gt;=100*0.6,3.5,IF(K540&gt;=100*0.5,3,IF(K540&gt;=100*0.4,2,IF(K540&gt;=100*0.33,1,0))))))))</f>
        <v/>
      </c>
      <c r="AD540">
        <f>IF(B540="","",IF(L540&lt;33.0,0,IF(L540&gt;=100*0.8,5,IF(L540&gt;=100*0.7,4,IF(L540&gt;=100*0.6,3.5,IF(L540&gt;=100*0.5,3,IF(L540&gt;=100*0.4,2,IF(L540&gt;=100*0.33,1,0))))))))</f>
        <v/>
      </c>
      <c r="AE540">
        <f>IF(B540="","",IF(M540&lt;33.0,0,IF(M540&gt;=100*0.8,5,IF(M540&gt;=100*0.7,4,IF(M540&gt;=100*0.6,3.5,IF(M540&gt;=100*0.5,3,IF(M540&gt;=100*0.4,2,IF(M540&gt;=100*0.33,1,0))))))))</f>
        <v/>
      </c>
      <c r="AF540">
        <f>IF(B540="","",IF(N540&lt;16.5,0,IF(N540&gt;=50*0.8,5,IF(N540&gt;=50*0.7,4,IF(N540&gt;=50*0.6,3.5,IF(N540&gt;=50*0.5,3,IF(N540&gt;=50*0.4,2,IF(N540&gt;=50*0.33,1,0))))))))</f>
        <v/>
      </c>
      <c r="AG540">
        <f>IF(B540="","",IF(O540&lt;33.0,0,IF(O540&gt;=100*0.8,5,IF(O540&gt;=100*0.7,4,IF(O540&gt;=100*0.6,3.5,IF(O540&gt;=100*0.5,3,IF(O540&gt;=100*0.4,2,IF(O540&gt;=100*0.33,1,0))))))))</f>
        <v/>
      </c>
      <c r="AH540">
        <f>IF(B540="","",IF(OR(U540=0,V540=0,W540=0,X540=0,Y540=0,Z540=0,AA540=0,AB540=0,AC540=0,AD540=0,AE540=0,AF540=0,AG540=0),1,0))</f>
        <v/>
      </c>
    </row>
    <row r="541">
      <c r="A541" s="3">
        <f>IF(B541="","",ROW()-2)</f>
        <v/>
      </c>
      <c r="P541" s="4">
        <f>IF(B541="","",SUM(C541:O541))</f>
        <v/>
      </c>
      <c r="Q541" s="5">
        <f>IF(B541="","",ROUND(P541/13,2))</f>
        <v/>
      </c>
      <c r="R541" s="5">
        <f>IF(B541="","",IF(AH541=1,0,MIN(5,ROUND((U541+V541+W541+X541+Y541+Z541+AA541+AB541+AC541+AD541+AE541+AF541+AG541)/13,2))))</f>
        <v/>
      </c>
      <c r="S541" s="3">
        <f>IF(B541="","",IF(R541&gt;=5,"A+",IF(R541&gt;=4,"A",IF(R541&gt;=3.5,"A-",IF(R541&gt;=3,"B",IF(R541&gt;=2,"C",IF(R541&gt;=1,"D","F")))))))</f>
        <v/>
      </c>
      <c r="T541" s="3">
        <f>IF(OR(B541="",S541="F"),"",COUNTIFS(P:P,"&gt;"&amp;P541,S:S,"&lt;&gt;F")+1)</f>
        <v/>
      </c>
      <c r="U541">
        <f>IF(B541="","",IF(C541&lt;33.0,0,IF(C541&gt;=100*0.8,5,IF(C541&gt;=100*0.7,4,IF(C541&gt;=100*0.6,3.5,IF(C541&gt;=100*0.5,3,IF(C541&gt;=100*0.4,2,IF(C541&gt;=100*0.33,1,0))))))))</f>
        <v/>
      </c>
      <c r="V541">
        <f>IF(B541="","",IF(D541&lt;33.0,0,IF(D541&gt;=100*0.8,5,IF(D541&gt;=100*0.7,4,IF(D541&gt;=100*0.6,3.5,IF(D541&gt;=100*0.5,3,IF(D541&gt;=100*0.4,2,IF(D541&gt;=100*0.33,1,0))))))))</f>
        <v/>
      </c>
      <c r="W541">
        <f>IF(B541="","",IF(E541&lt;16.5,0,IF(E541&gt;=50*0.8,5,IF(E541&gt;=50*0.7,4,IF(E541&gt;=50*0.6,3.5,IF(E541&gt;=50*0.5,3,IF(E541&gt;=50*0.4,2,IF(E541&gt;=50*0.33,1,0))))))))</f>
        <v/>
      </c>
      <c r="X541">
        <f>IF(B541="","",IF(F541&lt;33.0,0,IF(F541&gt;=100*0.8,5,IF(F541&gt;=100*0.7,4,IF(F541&gt;=100*0.6,3.5,IF(F541&gt;=100*0.5,3,IF(F541&gt;=100*0.4,2,IF(F541&gt;=100*0.33,1,0))))))))</f>
        <v/>
      </c>
      <c r="Y541">
        <f>IF(B541="","",IF(G541&lt;16.5,0,IF(G541&gt;=50*0.8,5,IF(G541&gt;=50*0.7,4,IF(G541&gt;=50*0.6,3.5,IF(G541&gt;=50*0.5,3,IF(G541&gt;=50*0.4,2,IF(G541&gt;=50*0.33,1,0))))))))</f>
        <v/>
      </c>
      <c r="Z541">
        <f>IF(B541="","",IF(H541&lt;33.0,0,IF(H541&gt;=100*0.8,5,IF(H541&gt;=100*0.7,4,IF(H541&gt;=100*0.6,3.5,IF(H541&gt;=100*0.5,3,IF(H541&gt;=100*0.4,2,IF(H541&gt;=100*0.33,1,0))))))))</f>
        <v/>
      </c>
      <c r="AA541">
        <f>IF(B541="","",IF(I541&lt;33.0,0,IF(I541&gt;=100*0.8,5,IF(I541&gt;=100*0.7,4,IF(I541&gt;=100*0.6,3.5,IF(I541&gt;=100*0.5,3,IF(I541&gt;=100*0.4,2,IF(I541&gt;=100*0.33,1,0))))))))</f>
        <v/>
      </c>
      <c r="AB541">
        <f>IF(B541="","",IF(J541&lt;33.0,0,IF(J541&gt;=100*0.8,5,IF(J541&gt;=100*0.7,4,IF(J541&gt;=100*0.6,3.5,IF(J541&gt;=100*0.5,3,IF(J541&gt;=100*0.4,2,IF(J541&gt;=100*0.33,1,0))))))))</f>
        <v/>
      </c>
      <c r="AC541">
        <f>IF(B541="","",IF(K541&lt;33.0,0,IF(K541&gt;=100*0.8,5,IF(K541&gt;=100*0.7,4,IF(K541&gt;=100*0.6,3.5,IF(K541&gt;=100*0.5,3,IF(K541&gt;=100*0.4,2,IF(K541&gt;=100*0.33,1,0))))))))</f>
        <v/>
      </c>
      <c r="AD541">
        <f>IF(B541="","",IF(L541&lt;33.0,0,IF(L541&gt;=100*0.8,5,IF(L541&gt;=100*0.7,4,IF(L541&gt;=100*0.6,3.5,IF(L541&gt;=100*0.5,3,IF(L541&gt;=100*0.4,2,IF(L541&gt;=100*0.33,1,0))))))))</f>
        <v/>
      </c>
      <c r="AE541">
        <f>IF(B541="","",IF(M541&lt;33.0,0,IF(M541&gt;=100*0.8,5,IF(M541&gt;=100*0.7,4,IF(M541&gt;=100*0.6,3.5,IF(M541&gt;=100*0.5,3,IF(M541&gt;=100*0.4,2,IF(M541&gt;=100*0.33,1,0))))))))</f>
        <v/>
      </c>
      <c r="AF541">
        <f>IF(B541="","",IF(N541&lt;16.5,0,IF(N541&gt;=50*0.8,5,IF(N541&gt;=50*0.7,4,IF(N541&gt;=50*0.6,3.5,IF(N541&gt;=50*0.5,3,IF(N541&gt;=50*0.4,2,IF(N541&gt;=50*0.33,1,0))))))))</f>
        <v/>
      </c>
      <c r="AG541">
        <f>IF(B541="","",IF(O541&lt;33.0,0,IF(O541&gt;=100*0.8,5,IF(O541&gt;=100*0.7,4,IF(O541&gt;=100*0.6,3.5,IF(O541&gt;=100*0.5,3,IF(O541&gt;=100*0.4,2,IF(O541&gt;=100*0.33,1,0))))))))</f>
        <v/>
      </c>
      <c r="AH541">
        <f>IF(B541="","",IF(OR(U541=0,V541=0,W541=0,X541=0,Y541=0,Z541=0,AA541=0,AB541=0,AC541=0,AD541=0,AE541=0,AF541=0,AG541=0),1,0))</f>
        <v/>
      </c>
    </row>
    <row r="542">
      <c r="A542" s="3">
        <f>IF(B542="","",ROW()-2)</f>
        <v/>
      </c>
      <c r="P542" s="4">
        <f>IF(B542="","",SUM(C542:O542))</f>
        <v/>
      </c>
      <c r="Q542" s="5">
        <f>IF(B542="","",ROUND(P542/13,2))</f>
        <v/>
      </c>
      <c r="R542" s="5">
        <f>IF(B542="","",IF(AH542=1,0,MIN(5,ROUND((U542+V542+W542+X542+Y542+Z542+AA542+AB542+AC542+AD542+AE542+AF542+AG542)/13,2))))</f>
        <v/>
      </c>
      <c r="S542" s="3">
        <f>IF(B542="","",IF(R542&gt;=5,"A+",IF(R542&gt;=4,"A",IF(R542&gt;=3.5,"A-",IF(R542&gt;=3,"B",IF(R542&gt;=2,"C",IF(R542&gt;=1,"D","F")))))))</f>
        <v/>
      </c>
      <c r="T542" s="3">
        <f>IF(OR(B542="",S542="F"),"",COUNTIFS(P:P,"&gt;"&amp;P542,S:S,"&lt;&gt;F")+1)</f>
        <v/>
      </c>
      <c r="U542">
        <f>IF(B542="","",IF(C542&lt;33.0,0,IF(C542&gt;=100*0.8,5,IF(C542&gt;=100*0.7,4,IF(C542&gt;=100*0.6,3.5,IF(C542&gt;=100*0.5,3,IF(C542&gt;=100*0.4,2,IF(C542&gt;=100*0.33,1,0))))))))</f>
        <v/>
      </c>
      <c r="V542">
        <f>IF(B542="","",IF(D542&lt;33.0,0,IF(D542&gt;=100*0.8,5,IF(D542&gt;=100*0.7,4,IF(D542&gt;=100*0.6,3.5,IF(D542&gt;=100*0.5,3,IF(D542&gt;=100*0.4,2,IF(D542&gt;=100*0.33,1,0))))))))</f>
        <v/>
      </c>
      <c r="W542">
        <f>IF(B542="","",IF(E542&lt;16.5,0,IF(E542&gt;=50*0.8,5,IF(E542&gt;=50*0.7,4,IF(E542&gt;=50*0.6,3.5,IF(E542&gt;=50*0.5,3,IF(E542&gt;=50*0.4,2,IF(E542&gt;=50*0.33,1,0))))))))</f>
        <v/>
      </c>
      <c r="X542">
        <f>IF(B542="","",IF(F542&lt;33.0,0,IF(F542&gt;=100*0.8,5,IF(F542&gt;=100*0.7,4,IF(F542&gt;=100*0.6,3.5,IF(F542&gt;=100*0.5,3,IF(F542&gt;=100*0.4,2,IF(F542&gt;=100*0.33,1,0))))))))</f>
        <v/>
      </c>
      <c r="Y542">
        <f>IF(B542="","",IF(G542&lt;16.5,0,IF(G542&gt;=50*0.8,5,IF(G542&gt;=50*0.7,4,IF(G542&gt;=50*0.6,3.5,IF(G542&gt;=50*0.5,3,IF(G542&gt;=50*0.4,2,IF(G542&gt;=50*0.33,1,0))))))))</f>
        <v/>
      </c>
      <c r="Z542">
        <f>IF(B542="","",IF(H542&lt;33.0,0,IF(H542&gt;=100*0.8,5,IF(H542&gt;=100*0.7,4,IF(H542&gt;=100*0.6,3.5,IF(H542&gt;=100*0.5,3,IF(H542&gt;=100*0.4,2,IF(H542&gt;=100*0.33,1,0))))))))</f>
        <v/>
      </c>
      <c r="AA542">
        <f>IF(B542="","",IF(I542&lt;33.0,0,IF(I542&gt;=100*0.8,5,IF(I542&gt;=100*0.7,4,IF(I542&gt;=100*0.6,3.5,IF(I542&gt;=100*0.5,3,IF(I542&gt;=100*0.4,2,IF(I542&gt;=100*0.33,1,0))))))))</f>
        <v/>
      </c>
      <c r="AB542">
        <f>IF(B542="","",IF(J542&lt;33.0,0,IF(J542&gt;=100*0.8,5,IF(J542&gt;=100*0.7,4,IF(J542&gt;=100*0.6,3.5,IF(J542&gt;=100*0.5,3,IF(J542&gt;=100*0.4,2,IF(J542&gt;=100*0.33,1,0))))))))</f>
        <v/>
      </c>
      <c r="AC542">
        <f>IF(B542="","",IF(K542&lt;33.0,0,IF(K542&gt;=100*0.8,5,IF(K542&gt;=100*0.7,4,IF(K542&gt;=100*0.6,3.5,IF(K542&gt;=100*0.5,3,IF(K542&gt;=100*0.4,2,IF(K542&gt;=100*0.33,1,0))))))))</f>
        <v/>
      </c>
      <c r="AD542">
        <f>IF(B542="","",IF(L542&lt;33.0,0,IF(L542&gt;=100*0.8,5,IF(L542&gt;=100*0.7,4,IF(L542&gt;=100*0.6,3.5,IF(L542&gt;=100*0.5,3,IF(L542&gt;=100*0.4,2,IF(L542&gt;=100*0.33,1,0))))))))</f>
        <v/>
      </c>
      <c r="AE542">
        <f>IF(B542="","",IF(M542&lt;33.0,0,IF(M542&gt;=100*0.8,5,IF(M542&gt;=100*0.7,4,IF(M542&gt;=100*0.6,3.5,IF(M542&gt;=100*0.5,3,IF(M542&gt;=100*0.4,2,IF(M542&gt;=100*0.33,1,0))))))))</f>
        <v/>
      </c>
      <c r="AF542">
        <f>IF(B542="","",IF(N542&lt;16.5,0,IF(N542&gt;=50*0.8,5,IF(N542&gt;=50*0.7,4,IF(N542&gt;=50*0.6,3.5,IF(N542&gt;=50*0.5,3,IF(N542&gt;=50*0.4,2,IF(N542&gt;=50*0.33,1,0))))))))</f>
        <v/>
      </c>
      <c r="AG542">
        <f>IF(B542="","",IF(O542&lt;33.0,0,IF(O542&gt;=100*0.8,5,IF(O542&gt;=100*0.7,4,IF(O542&gt;=100*0.6,3.5,IF(O542&gt;=100*0.5,3,IF(O542&gt;=100*0.4,2,IF(O542&gt;=100*0.33,1,0))))))))</f>
        <v/>
      </c>
      <c r="AH542">
        <f>IF(B542="","",IF(OR(U542=0,V542=0,W542=0,X542=0,Y542=0,Z542=0,AA542=0,AB542=0,AC542=0,AD542=0,AE542=0,AF542=0,AG542=0),1,0))</f>
        <v/>
      </c>
    </row>
    <row r="543">
      <c r="A543" s="3">
        <f>IF(B543="","",ROW()-2)</f>
        <v/>
      </c>
      <c r="P543" s="4">
        <f>IF(B543="","",SUM(C543:O543))</f>
        <v/>
      </c>
      <c r="Q543" s="5">
        <f>IF(B543="","",ROUND(P543/13,2))</f>
        <v/>
      </c>
      <c r="R543" s="5">
        <f>IF(B543="","",IF(AH543=1,0,MIN(5,ROUND((U543+V543+W543+X543+Y543+Z543+AA543+AB543+AC543+AD543+AE543+AF543+AG543)/13,2))))</f>
        <v/>
      </c>
      <c r="S543" s="3">
        <f>IF(B543="","",IF(R543&gt;=5,"A+",IF(R543&gt;=4,"A",IF(R543&gt;=3.5,"A-",IF(R543&gt;=3,"B",IF(R543&gt;=2,"C",IF(R543&gt;=1,"D","F")))))))</f>
        <v/>
      </c>
      <c r="T543" s="3">
        <f>IF(OR(B543="",S543="F"),"",COUNTIFS(P:P,"&gt;"&amp;P543,S:S,"&lt;&gt;F")+1)</f>
        <v/>
      </c>
      <c r="U543">
        <f>IF(B543="","",IF(C543&lt;33.0,0,IF(C543&gt;=100*0.8,5,IF(C543&gt;=100*0.7,4,IF(C543&gt;=100*0.6,3.5,IF(C543&gt;=100*0.5,3,IF(C543&gt;=100*0.4,2,IF(C543&gt;=100*0.33,1,0))))))))</f>
        <v/>
      </c>
      <c r="V543">
        <f>IF(B543="","",IF(D543&lt;33.0,0,IF(D543&gt;=100*0.8,5,IF(D543&gt;=100*0.7,4,IF(D543&gt;=100*0.6,3.5,IF(D543&gt;=100*0.5,3,IF(D543&gt;=100*0.4,2,IF(D543&gt;=100*0.33,1,0))))))))</f>
        <v/>
      </c>
      <c r="W543">
        <f>IF(B543="","",IF(E543&lt;16.5,0,IF(E543&gt;=50*0.8,5,IF(E543&gt;=50*0.7,4,IF(E543&gt;=50*0.6,3.5,IF(E543&gt;=50*0.5,3,IF(E543&gt;=50*0.4,2,IF(E543&gt;=50*0.33,1,0))))))))</f>
        <v/>
      </c>
      <c r="X543">
        <f>IF(B543="","",IF(F543&lt;33.0,0,IF(F543&gt;=100*0.8,5,IF(F543&gt;=100*0.7,4,IF(F543&gt;=100*0.6,3.5,IF(F543&gt;=100*0.5,3,IF(F543&gt;=100*0.4,2,IF(F543&gt;=100*0.33,1,0))))))))</f>
        <v/>
      </c>
      <c r="Y543">
        <f>IF(B543="","",IF(G543&lt;16.5,0,IF(G543&gt;=50*0.8,5,IF(G543&gt;=50*0.7,4,IF(G543&gt;=50*0.6,3.5,IF(G543&gt;=50*0.5,3,IF(G543&gt;=50*0.4,2,IF(G543&gt;=50*0.33,1,0))))))))</f>
        <v/>
      </c>
      <c r="Z543">
        <f>IF(B543="","",IF(H543&lt;33.0,0,IF(H543&gt;=100*0.8,5,IF(H543&gt;=100*0.7,4,IF(H543&gt;=100*0.6,3.5,IF(H543&gt;=100*0.5,3,IF(H543&gt;=100*0.4,2,IF(H543&gt;=100*0.33,1,0))))))))</f>
        <v/>
      </c>
      <c r="AA543">
        <f>IF(B543="","",IF(I543&lt;33.0,0,IF(I543&gt;=100*0.8,5,IF(I543&gt;=100*0.7,4,IF(I543&gt;=100*0.6,3.5,IF(I543&gt;=100*0.5,3,IF(I543&gt;=100*0.4,2,IF(I543&gt;=100*0.33,1,0))))))))</f>
        <v/>
      </c>
      <c r="AB543">
        <f>IF(B543="","",IF(J543&lt;33.0,0,IF(J543&gt;=100*0.8,5,IF(J543&gt;=100*0.7,4,IF(J543&gt;=100*0.6,3.5,IF(J543&gt;=100*0.5,3,IF(J543&gt;=100*0.4,2,IF(J543&gt;=100*0.33,1,0))))))))</f>
        <v/>
      </c>
      <c r="AC543">
        <f>IF(B543="","",IF(K543&lt;33.0,0,IF(K543&gt;=100*0.8,5,IF(K543&gt;=100*0.7,4,IF(K543&gt;=100*0.6,3.5,IF(K543&gt;=100*0.5,3,IF(K543&gt;=100*0.4,2,IF(K543&gt;=100*0.33,1,0))))))))</f>
        <v/>
      </c>
      <c r="AD543">
        <f>IF(B543="","",IF(L543&lt;33.0,0,IF(L543&gt;=100*0.8,5,IF(L543&gt;=100*0.7,4,IF(L543&gt;=100*0.6,3.5,IF(L543&gt;=100*0.5,3,IF(L543&gt;=100*0.4,2,IF(L543&gt;=100*0.33,1,0))))))))</f>
        <v/>
      </c>
      <c r="AE543">
        <f>IF(B543="","",IF(M543&lt;33.0,0,IF(M543&gt;=100*0.8,5,IF(M543&gt;=100*0.7,4,IF(M543&gt;=100*0.6,3.5,IF(M543&gt;=100*0.5,3,IF(M543&gt;=100*0.4,2,IF(M543&gt;=100*0.33,1,0))))))))</f>
        <v/>
      </c>
      <c r="AF543">
        <f>IF(B543="","",IF(N543&lt;16.5,0,IF(N543&gt;=50*0.8,5,IF(N543&gt;=50*0.7,4,IF(N543&gt;=50*0.6,3.5,IF(N543&gt;=50*0.5,3,IF(N543&gt;=50*0.4,2,IF(N543&gt;=50*0.33,1,0))))))))</f>
        <v/>
      </c>
      <c r="AG543">
        <f>IF(B543="","",IF(O543&lt;33.0,0,IF(O543&gt;=100*0.8,5,IF(O543&gt;=100*0.7,4,IF(O543&gt;=100*0.6,3.5,IF(O543&gt;=100*0.5,3,IF(O543&gt;=100*0.4,2,IF(O543&gt;=100*0.33,1,0))))))))</f>
        <v/>
      </c>
      <c r="AH543">
        <f>IF(B543="","",IF(OR(U543=0,V543=0,W543=0,X543=0,Y543=0,Z543=0,AA543=0,AB543=0,AC543=0,AD543=0,AE543=0,AF543=0,AG543=0),1,0))</f>
        <v/>
      </c>
    </row>
    <row r="544">
      <c r="A544" s="3">
        <f>IF(B544="","",ROW()-2)</f>
        <v/>
      </c>
      <c r="P544" s="4">
        <f>IF(B544="","",SUM(C544:O544))</f>
        <v/>
      </c>
      <c r="Q544" s="5">
        <f>IF(B544="","",ROUND(P544/13,2))</f>
        <v/>
      </c>
      <c r="R544" s="5">
        <f>IF(B544="","",IF(AH544=1,0,MIN(5,ROUND((U544+V544+W544+X544+Y544+Z544+AA544+AB544+AC544+AD544+AE544+AF544+AG544)/13,2))))</f>
        <v/>
      </c>
      <c r="S544" s="3">
        <f>IF(B544="","",IF(R544&gt;=5,"A+",IF(R544&gt;=4,"A",IF(R544&gt;=3.5,"A-",IF(R544&gt;=3,"B",IF(R544&gt;=2,"C",IF(R544&gt;=1,"D","F")))))))</f>
        <v/>
      </c>
      <c r="T544" s="3">
        <f>IF(OR(B544="",S544="F"),"",COUNTIFS(P:P,"&gt;"&amp;P544,S:S,"&lt;&gt;F")+1)</f>
        <v/>
      </c>
      <c r="U544">
        <f>IF(B544="","",IF(C544&lt;33.0,0,IF(C544&gt;=100*0.8,5,IF(C544&gt;=100*0.7,4,IF(C544&gt;=100*0.6,3.5,IF(C544&gt;=100*0.5,3,IF(C544&gt;=100*0.4,2,IF(C544&gt;=100*0.33,1,0))))))))</f>
        <v/>
      </c>
      <c r="V544">
        <f>IF(B544="","",IF(D544&lt;33.0,0,IF(D544&gt;=100*0.8,5,IF(D544&gt;=100*0.7,4,IF(D544&gt;=100*0.6,3.5,IF(D544&gt;=100*0.5,3,IF(D544&gt;=100*0.4,2,IF(D544&gt;=100*0.33,1,0))))))))</f>
        <v/>
      </c>
      <c r="W544">
        <f>IF(B544="","",IF(E544&lt;16.5,0,IF(E544&gt;=50*0.8,5,IF(E544&gt;=50*0.7,4,IF(E544&gt;=50*0.6,3.5,IF(E544&gt;=50*0.5,3,IF(E544&gt;=50*0.4,2,IF(E544&gt;=50*0.33,1,0))))))))</f>
        <v/>
      </c>
      <c r="X544">
        <f>IF(B544="","",IF(F544&lt;33.0,0,IF(F544&gt;=100*0.8,5,IF(F544&gt;=100*0.7,4,IF(F544&gt;=100*0.6,3.5,IF(F544&gt;=100*0.5,3,IF(F544&gt;=100*0.4,2,IF(F544&gt;=100*0.33,1,0))))))))</f>
        <v/>
      </c>
      <c r="Y544">
        <f>IF(B544="","",IF(G544&lt;16.5,0,IF(G544&gt;=50*0.8,5,IF(G544&gt;=50*0.7,4,IF(G544&gt;=50*0.6,3.5,IF(G544&gt;=50*0.5,3,IF(G544&gt;=50*0.4,2,IF(G544&gt;=50*0.33,1,0))))))))</f>
        <v/>
      </c>
      <c r="Z544">
        <f>IF(B544="","",IF(H544&lt;33.0,0,IF(H544&gt;=100*0.8,5,IF(H544&gt;=100*0.7,4,IF(H544&gt;=100*0.6,3.5,IF(H544&gt;=100*0.5,3,IF(H544&gt;=100*0.4,2,IF(H544&gt;=100*0.33,1,0))))))))</f>
        <v/>
      </c>
      <c r="AA544">
        <f>IF(B544="","",IF(I544&lt;33.0,0,IF(I544&gt;=100*0.8,5,IF(I544&gt;=100*0.7,4,IF(I544&gt;=100*0.6,3.5,IF(I544&gt;=100*0.5,3,IF(I544&gt;=100*0.4,2,IF(I544&gt;=100*0.33,1,0))))))))</f>
        <v/>
      </c>
      <c r="AB544">
        <f>IF(B544="","",IF(J544&lt;33.0,0,IF(J544&gt;=100*0.8,5,IF(J544&gt;=100*0.7,4,IF(J544&gt;=100*0.6,3.5,IF(J544&gt;=100*0.5,3,IF(J544&gt;=100*0.4,2,IF(J544&gt;=100*0.33,1,0))))))))</f>
        <v/>
      </c>
      <c r="AC544">
        <f>IF(B544="","",IF(K544&lt;33.0,0,IF(K544&gt;=100*0.8,5,IF(K544&gt;=100*0.7,4,IF(K544&gt;=100*0.6,3.5,IF(K544&gt;=100*0.5,3,IF(K544&gt;=100*0.4,2,IF(K544&gt;=100*0.33,1,0))))))))</f>
        <v/>
      </c>
      <c r="AD544">
        <f>IF(B544="","",IF(L544&lt;33.0,0,IF(L544&gt;=100*0.8,5,IF(L544&gt;=100*0.7,4,IF(L544&gt;=100*0.6,3.5,IF(L544&gt;=100*0.5,3,IF(L544&gt;=100*0.4,2,IF(L544&gt;=100*0.33,1,0))))))))</f>
        <v/>
      </c>
      <c r="AE544">
        <f>IF(B544="","",IF(M544&lt;33.0,0,IF(M544&gt;=100*0.8,5,IF(M544&gt;=100*0.7,4,IF(M544&gt;=100*0.6,3.5,IF(M544&gt;=100*0.5,3,IF(M544&gt;=100*0.4,2,IF(M544&gt;=100*0.33,1,0))))))))</f>
        <v/>
      </c>
      <c r="AF544">
        <f>IF(B544="","",IF(N544&lt;16.5,0,IF(N544&gt;=50*0.8,5,IF(N544&gt;=50*0.7,4,IF(N544&gt;=50*0.6,3.5,IF(N544&gt;=50*0.5,3,IF(N544&gt;=50*0.4,2,IF(N544&gt;=50*0.33,1,0))))))))</f>
        <v/>
      </c>
      <c r="AG544">
        <f>IF(B544="","",IF(O544&lt;33.0,0,IF(O544&gt;=100*0.8,5,IF(O544&gt;=100*0.7,4,IF(O544&gt;=100*0.6,3.5,IF(O544&gt;=100*0.5,3,IF(O544&gt;=100*0.4,2,IF(O544&gt;=100*0.33,1,0))))))))</f>
        <v/>
      </c>
      <c r="AH544">
        <f>IF(B544="","",IF(OR(U544=0,V544=0,W544=0,X544=0,Y544=0,Z544=0,AA544=0,AB544=0,AC544=0,AD544=0,AE544=0,AF544=0,AG544=0),1,0))</f>
        <v/>
      </c>
    </row>
    <row r="545">
      <c r="A545" s="3">
        <f>IF(B545="","",ROW()-2)</f>
        <v/>
      </c>
      <c r="P545" s="4">
        <f>IF(B545="","",SUM(C545:O545))</f>
        <v/>
      </c>
      <c r="Q545" s="5">
        <f>IF(B545="","",ROUND(P545/13,2))</f>
        <v/>
      </c>
      <c r="R545" s="5">
        <f>IF(B545="","",IF(AH545=1,0,MIN(5,ROUND((U545+V545+W545+X545+Y545+Z545+AA545+AB545+AC545+AD545+AE545+AF545+AG545)/13,2))))</f>
        <v/>
      </c>
      <c r="S545" s="3">
        <f>IF(B545="","",IF(R545&gt;=5,"A+",IF(R545&gt;=4,"A",IF(R545&gt;=3.5,"A-",IF(R545&gt;=3,"B",IF(R545&gt;=2,"C",IF(R545&gt;=1,"D","F")))))))</f>
        <v/>
      </c>
      <c r="T545" s="3">
        <f>IF(OR(B545="",S545="F"),"",COUNTIFS(P:P,"&gt;"&amp;P545,S:S,"&lt;&gt;F")+1)</f>
        <v/>
      </c>
      <c r="U545">
        <f>IF(B545="","",IF(C545&lt;33.0,0,IF(C545&gt;=100*0.8,5,IF(C545&gt;=100*0.7,4,IF(C545&gt;=100*0.6,3.5,IF(C545&gt;=100*0.5,3,IF(C545&gt;=100*0.4,2,IF(C545&gt;=100*0.33,1,0))))))))</f>
        <v/>
      </c>
      <c r="V545">
        <f>IF(B545="","",IF(D545&lt;33.0,0,IF(D545&gt;=100*0.8,5,IF(D545&gt;=100*0.7,4,IF(D545&gt;=100*0.6,3.5,IF(D545&gt;=100*0.5,3,IF(D545&gt;=100*0.4,2,IF(D545&gt;=100*0.33,1,0))))))))</f>
        <v/>
      </c>
      <c r="W545">
        <f>IF(B545="","",IF(E545&lt;16.5,0,IF(E545&gt;=50*0.8,5,IF(E545&gt;=50*0.7,4,IF(E545&gt;=50*0.6,3.5,IF(E545&gt;=50*0.5,3,IF(E545&gt;=50*0.4,2,IF(E545&gt;=50*0.33,1,0))))))))</f>
        <v/>
      </c>
      <c r="X545">
        <f>IF(B545="","",IF(F545&lt;33.0,0,IF(F545&gt;=100*0.8,5,IF(F545&gt;=100*0.7,4,IF(F545&gt;=100*0.6,3.5,IF(F545&gt;=100*0.5,3,IF(F545&gt;=100*0.4,2,IF(F545&gt;=100*0.33,1,0))))))))</f>
        <v/>
      </c>
      <c r="Y545">
        <f>IF(B545="","",IF(G545&lt;16.5,0,IF(G545&gt;=50*0.8,5,IF(G545&gt;=50*0.7,4,IF(G545&gt;=50*0.6,3.5,IF(G545&gt;=50*0.5,3,IF(G545&gt;=50*0.4,2,IF(G545&gt;=50*0.33,1,0))))))))</f>
        <v/>
      </c>
      <c r="Z545">
        <f>IF(B545="","",IF(H545&lt;33.0,0,IF(H545&gt;=100*0.8,5,IF(H545&gt;=100*0.7,4,IF(H545&gt;=100*0.6,3.5,IF(H545&gt;=100*0.5,3,IF(H545&gt;=100*0.4,2,IF(H545&gt;=100*0.33,1,0))))))))</f>
        <v/>
      </c>
      <c r="AA545">
        <f>IF(B545="","",IF(I545&lt;33.0,0,IF(I545&gt;=100*0.8,5,IF(I545&gt;=100*0.7,4,IF(I545&gt;=100*0.6,3.5,IF(I545&gt;=100*0.5,3,IF(I545&gt;=100*0.4,2,IF(I545&gt;=100*0.33,1,0))))))))</f>
        <v/>
      </c>
      <c r="AB545">
        <f>IF(B545="","",IF(J545&lt;33.0,0,IF(J545&gt;=100*0.8,5,IF(J545&gt;=100*0.7,4,IF(J545&gt;=100*0.6,3.5,IF(J545&gt;=100*0.5,3,IF(J545&gt;=100*0.4,2,IF(J545&gt;=100*0.33,1,0))))))))</f>
        <v/>
      </c>
      <c r="AC545">
        <f>IF(B545="","",IF(K545&lt;33.0,0,IF(K545&gt;=100*0.8,5,IF(K545&gt;=100*0.7,4,IF(K545&gt;=100*0.6,3.5,IF(K545&gt;=100*0.5,3,IF(K545&gt;=100*0.4,2,IF(K545&gt;=100*0.33,1,0))))))))</f>
        <v/>
      </c>
      <c r="AD545">
        <f>IF(B545="","",IF(L545&lt;33.0,0,IF(L545&gt;=100*0.8,5,IF(L545&gt;=100*0.7,4,IF(L545&gt;=100*0.6,3.5,IF(L545&gt;=100*0.5,3,IF(L545&gt;=100*0.4,2,IF(L545&gt;=100*0.33,1,0))))))))</f>
        <v/>
      </c>
      <c r="AE545">
        <f>IF(B545="","",IF(M545&lt;33.0,0,IF(M545&gt;=100*0.8,5,IF(M545&gt;=100*0.7,4,IF(M545&gt;=100*0.6,3.5,IF(M545&gt;=100*0.5,3,IF(M545&gt;=100*0.4,2,IF(M545&gt;=100*0.33,1,0))))))))</f>
        <v/>
      </c>
      <c r="AF545">
        <f>IF(B545="","",IF(N545&lt;16.5,0,IF(N545&gt;=50*0.8,5,IF(N545&gt;=50*0.7,4,IF(N545&gt;=50*0.6,3.5,IF(N545&gt;=50*0.5,3,IF(N545&gt;=50*0.4,2,IF(N545&gt;=50*0.33,1,0))))))))</f>
        <v/>
      </c>
      <c r="AG545">
        <f>IF(B545="","",IF(O545&lt;33.0,0,IF(O545&gt;=100*0.8,5,IF(O545&gt;=100*0.7,4,IF(O545&gt;=100*0.6,3.5,IF(O545&gt;=100*0.5,3,IF(O545&gt;=100*0.4,2,IF(O545&gt;=100*0.33,1,0))))))))</f>
        <v/>
      </c>
      <c r="AH545">
        <f>IF(B545="","",IF(OR(U545=0,V545=0,W545=0,X545=0,Y545=0,Z545=0,AA545=0,AB545=0,AC545=0,AD545=0,AE545=0,AF545=0,AG545=0),1,0))</f>
        <v/>
      </c>
    </row>
    <row r="546">
      <c r="A546" s="3">
        <f>IF(B546="","",ROW()-2)</f>
        <v/>
      </c>
      <c r="P546" s="4">
        <f>IF(B546="","",SUM(C546:O546))</f>
        <v/>
      </c>
      <c r="Q546" s="5">
        <f>IF(B546="","",ROUND(P546/13,2))</f>
        <v/>
      </c>
      <c r="R546" s="5">
        <f>IF(B546="","",IF(AH546=1,0,MIN(5,ROUND((U546+V546+W546+X546+Y546+Z546+AA546+AB546+AC546+AD546+AE546+AF546+AG546)/13,2))))</f>
        <v/>
      </c>
      <c r="S546" s="3">
        <f>IF(B546="","",IF(R546&gt;=5,"A+",IF(R546&gt;=4,"A",IF(R546&gt;=3.5,"A-",IF(R546&gt;=3,"B",IF(R546&gt;=2,"C",IF(R546&gt;=1,"D","F")))))))</f>
        <v/>
      </c>
      <c r="T546" s="3">
        <f>IF(OR(B546="",S546="F"),"",COUNTIFS(P:P,"&gt;"&amp;P546,S:S,"&lt;&gt;F")+1)</f>
        <v/>
      </c>
      <c r="U546">
        <f>IF(B546="","",IF(C546&lt;33.0,0,IF(C546&gt;=100*0.8,5,IF(C546&gt;=100*0.7,4,IF(C546&gt;=100*0.6,3.5,IF(C546&gt;=100*0.5,3,IF(C546&gt;=100*0.4,2,IF(C546&gt;=100*0.33,1,0))))))))</f>
        <v/>
      </c>
      <c r="V546">
        <f>IF(B546="","",IF(D546&lt;33.0,0,IF(D546&gt;=100*0.8,5,IF(D546&gt;=100*0.7,4,IF(D546&gt;=100*0.6,3.5,IF(D546&gt;=100*0.5,3,IF(D546&gt;=100*0.4,2,IF(D546&gt;=100*0.33,1,0))))))))</f>
        <v/>
      </c>
      <c r="W546">
        <f>IF(B546="","",IF(E546&lt;16.5,0,IF(E546&gt;=50*0.8,5,IF(E546&gt;=50*0.7,4,IF(E546&gt;=50*0.6,3.5,IF(E546&gt;=50*0.5,3,IF(E546&gt;=50*0.4,2,IF(E546&gt;=50*0.33,1,0))))))))</f>
        <v/>
      </c>
      <c r="X546">
        <f>IF(B546="","",IF(F546&lt;33.0,0,IF(F546&gt;=100*0.8,5,IF(F546&gt;=100*0.7,4,IF(F546&gt;=100*0.6,3.5,IF(F546&gt;=100*0.5,3,IF(F546&gt;=100*0.4,2,IF(F546&gt;=100*0.33,1,0))))))))</f>
        <v/>
      </c>
      <c r="Y546">
        <f>IF(B546="","",IF(G546&lt;16.5,0,IF(G546&gt;=50*0.8,5,IF(G546&gt;=50*0.7,4,IF(G546&gt;=50*0.6,3.5,IF(G546&gt;=50*0.5,3,IF(G546&gt;=50*0.4,2,IF(G546&gt;=50*0.33,1,0))))))))</f>
        <v/>
      </c>
      <c r="Z546">
        <f>IF(B546="","",IF(H546&lt;33.0,0,IF(H546&gt;=100*0.8,5,IF(H546&gt;=100*0.7,4,IF(H546&gt;=100*0.6,3.5,IF(H546&gt;=100*0.5,3,IF(H546&gt;=100*0.4,2,IF(H546&gt;=100*0.33,1,0))))))))</f>
        <v/>
      </c>
      <c r="AA546">
        <f>IF(B546="","",IF(I546&lt;33.0,0,IF(I546&gt;=100*0.8,5,IF(I546&gt;=100*0.7,4,IF(I546&gt;=100*0.6,3.5,IF(I546&gt;=100*0.5,3,IF(I546&gt;=100*0.4,2,IF(I546&gt;=100*0.33,1,0))))))))</f>
        <v/>
      </c>
      <c r="AB546">
        <f>IF(B546="","",IF(J546&lt;33.0,0,IF(J546&gt;=100*0.8,5,IF(J546&gt;=100*0.7,4,IF(J546&gt;=100*0.6,3.5,IF(J546&gt;=100*0.5,3,IF(J546&gt;=100*0.4,2,IF(J546&gt;=100*0.33,1,0))))))))</f>
        <v/>
      </c>
      <c r="AC546">
        <f>IF(B546="","",IF(K546&lt;33.0,0,IF(K546&gt;=100*0.8,5,IF(K546&gt;=100*0.7,4,IF(K546&gt;=100*0.6,3.5,IF(K546&gt;=100*0.5,3,IF(K546&gt;=100*0.4,2,IF(K546&gt;=100*0.33,1,0))))))))</f>
        <v/>
      </c>
      <c r="AD546">
        <f>IF(B546="","",IF(L546&lt;33.0,0,IF(L546&gt;=100*0.8,5,IF(L546&gt;=100*0.7,4,IF(L546&gt;=100*0.6,3.5,IF(L546&gt;=100*0.5,3,IF(L546&gt;=100*0.4,2,IF(L546&gt;=100*0.33,1,0))))))))</f>
        <v/>
      </c>
      <c r="AE546">
        <f>IF(B546="","",IF(M546&lt;33.0,0,IF(M546&gt;=100*0.8,5,IF(M546&gt;=100*0.7,4,IF(M546&gt;=100*0.6,3.5,IF(M546&gt;=100*0.5,3,IF(M546&gt;=100*0.4,2,IF(M546&gt;=100*0.33,1,0))))))))</f>
        <v/>
      </c>
      <c r="AF546">
        <f>IF(B546="","",IF(N546&lt;16.5,0,IF(N546&gt;=50*0.8,5,IF(N546&gt;=50*0.7,4,IF(N546&gt;=50*0.6,3.5,IF(N546&gt;=50*0.5,3,IF(N546&gt;=50*0.4,2,IF(N546&gt;=50*0.33,1,0))))))))</f>
        <v/>
      </c>
      <c r="AG546">
        <f>IF(B546="","",IF(O546&lt;33.0,0,IF(O546&gt;=100*0.8,5,IF(O546&gt;=100*0.7,4,IF(O546&gt;=100*0.6,3.5,IF(O546&gt;=100*0.5,3,IF(O546&gt;=100*0.4,2,IF(O546&gt;=100*0.33,1,0))))))))</f>
        <v/>
      </c>
      <c r="AH546">
        <f>IF(B546="","",IF(OR(U546=0,V546=0,W546=0,X546=0,Y546=0,Z546=0,AA546=0,AB546=0,AC546=0,AD546=0,AE546=0,AF546=0,AG546=0),1,0))</f>
        <v/>
      </c>
    </row>
    <row r="547">
      <c r="A547" s="3">
        <f>IF(B547="","",ROW()-2)</f>
        <v/>
      </c>
      <c r="P547" s="4">
        <f>IF(B547="","",SUM(C547:O547))</f>
        <v/>
      </c>
      <c r="Q547" s="5">
        <f>IF(B547="","",ROUND(P547/13,2))</f>
        <v/>
      </c>
      <c r="R547" s="5">
        <f>IF(B547="","",IF(AH547=1,0,MIN(5,ROUND((U547+V547+W547+X547+Y547+Z547+AA547+AB547+AC547+AD547+AE547+AF547+AG547)/13,2))))</f>
        <v/>
      </c>
      <c r="S547" s="3">
        <f>IF(B547="","",IF(R547&gt;=5,"A+",IF(R547&gt;=4,"A",IF(R547&gt;=3.5,"A-",IF(R547&gt;=3,"B",IF(R547&gt;=2,"C",IF(R547&gt;=1,"D","F")))))))</f>
        <v/>
      </c>
      <c r="T547" s="3">
        <f>IF(OR(B547="",S547="F"),"",COUNTIFS(P:P,"&gt;"&amp;P547,S:S,"&lt;&gt;F")+1)</f>
        <v/>
      </c>
      <c r="U547">
        <f>IF(B547="","",IF(C547&lt;33.0,0,IF(C547&gt;=100*0.8,5,IF(C547&gt;=100*0.7,4,IF(C547&gt;=100*0.6,3.5,IF(C547&gt;=100*0.5,3,IF(C547&gt;=100*0.4,2,IF(C547&gt;=100*0.33,1,0))))))))</f>
        <v/>
      </c>
      <c r="V547">
        <f>IF(B547="","",IF(D547&lt;33.0,0,IF(D547&gt;=100*0.8,5,IF(D547&gt;=100*0.7,4,IF(D547&gt;=100*0.6,3.5,IF(D547&gt;=100*0.5,3,IF(D547&gt;=100*0.4,2,IF(D547&gt;=100*0.33,1,0))))))))</f>
        <v/>
      </c>
      <c r="W547">
        <f>IF(B547="","",IF(E547&lt;16.5,0,IF(E547&gt;=50*0.8,5,IF(E547&gt;=50*0.7,4,IF(E547&gt;=50*0.6,3.5,IF(E547&gt;=50*0.5,3,IF(E547&gt;=50*0.4,2,IF(E547&gt;=50*0.33,1,0))))))))</f>
        <v/>
      </c>
      <c r="X547">
        <f>IF(B547="","",IF(F547&lt;33.0,0,IF(F547&gt;=100*0.8,5,IF(F547&gt;=100*0.7,4,IF(F547&gt;=100*0.6,3.5,IF(F547&gt;=100*0.5,3,IF(F547&gt;=100*0.4,2,IF(F547&gt;=100*0.33,1,0))))))))</f>
        <v/>
      </c>
      <c r="Y547">
        <f>IF(B547="","",IF(G547&lt;16.5,0,IF(G547&gt;=50*0.8,5,IF(G547&gt;=50*0.7,4,IF(G547&gt;=50*0.6,3.5,IF(G547&gt;=50*0.5,3,IF(G547&gt;=50*0.4,2,IF(G547&gt;=50*0.33,1,0))))))))</f>
        <v/>
      </c>
      <c r="Z547">
        <f>IF(B547="","",IF(H547&lt;33.0,0,IF(H547&gt;=100*0.8,5,IF(H547&gt;=100*0.7,4,IF(H547&gt;=100*0.6,3.5,IF(H547&gt;=100*0.5,3,IF(H547&gt;=100*0.4,2,IF(H547&gt;=100*0.33,1,0))))))))</f>
        <v/>
      </c>
      <c r="AA547">
        <f>IF(B547="","",IF(I547&lt;33.0,0,IF(I547&gt;=100*0.8,5,IF(I547&gt;=100*0.7,4,IF(I547&gt;=100*0.6,3.5,IF(I547&gt;=100*0.5,3,IF(I547&gt;=100*0.4,2,IF(I547&gt;=100*0.33,1,0))))))))</f>
        <v/>
      </c>
      <c r="AB547">
        <f>IF(B547="","",IF(J547&lt;33.0,0,IF(J547&gt;=100*0.8,5,IF(J547&gt;=100*0.7,4,IF(J547&gt;=100*0.6,3.5,IF(J547&gt;=100*0.5,3,IF(J547&gt;=100*0.4,2,IF(J547&gt;=100*0.33,1,0))))))))</f>
        <v/>
      </c>
      <c r="AC547">
        <f>IF(B547="","",IF(K547&lt;33.0,0,IF(K547&gt;=100*0.8,5,IF(K547&gt;=100*0.7,4,IF(K547&gt;=100*0.6,3.5,IF(K547&gt;=100*0.5,3,IF(K547&gt;=100*0.4,2,IF(K547&gt;=100*0.33,1,0))))))))</f>
        <v/>
      </c>
      <c r="AD547">
        <f>IF(B547="","",IF(L547&lt;33.0,0,IF(L547&gt;=100*0.8,5,IF(L547&gt;=100*0.7,4,IF(L547&gt;=100*0.6,3.5,IF(L547&gt;=100*0.5,3,IF(L547&gt;=100*0.4,2,IF(L547&gt;=100*0.33,1,0))))))))</f>
        <v/>
      </c>
      <c r="AE547">
        <f>IF(B547="","",IF(M547&lt;33.0,0,IF(M547&gt;=100*0.8,5,IF(M547&gt;=100*0.7,4,IF(M547&gt;=100*0.6,3.5,IF(M547&gt;=100*0.5,3,IF(M547&gt;=100*0.4,2,IF(M547&gt;=100*0.33,1,0))))))))</f>
        <v/>
      </c>
      <c r="AF547">
        <f>IF(B547="","",IF(N547&lt;16.5,0,IF(N547&gt;=50*0.8,5,IF(N547&gt;=50*0.7,4,IF(N547&gt;=50*0.6,3.5,IF(N547&gt;=50*0.5,3,IF(N547&gt;=50*0.4,2,IF(N547&gt;=50*0.33,1,0))))))))</f>
        <v/>
      </c>
      <c r="AG547">
        <f>IF(B547="","",IF(O547&lt;33.0,0,IF(O547&gt;=100*0.8,5,IF(O547&gt;=100*0.7,4,IF(O547&gt;=100*0.6,3.5,IF(O547&gt;=100*0.5,3,IF(O547&gt;=100*0.4,2,IF(O547&gt;=100*0.33,1,0))))))))</f>
        <v/>
      </c>
      <c r="AH547">
        <f>IF(B547="","",IF(OR(U547=0,V547=0,W547=0,X547=0,Y547=0,Z547=0,AA547=0,AB547=0,AC547=0,AD547=0,AE547=0,AF547=0,AG547=0),1,0))</f>
        <v/>
      </c>
    </row>
    <row r="548">
      <c r="A548" s="3">
        <f>IF(B548="","",ROW()-2)</f>
        <v/>
      </c>
      <c r="P548" s="4">
        <f>IF(B548="","",SUM(C548:O548))</f>
        <v/>
      </c>
      <c r="Q548" s="5">
        <f>IF(B548="","",ROUND(P548/13,2))</f>
        <v/>
      </c>
      <c r="R548" s="5">
        <f>IF(B548="","",IF(AH548=1,0,MIN(5,ROUND((U548+V548+W548+X548+Y548+Z548+AA548+AB548+AC548+AD548+AE548+AF548+AG548)/13,2))))</f>
        <v/>
      </c>
      <c r="S548" s="3">
        <f>IF(B548="","",IF(R548&gt;=5,"A+",IF(R548&gt;=4,"A",IF(R548&gt;=3.5,"A-",IF(R548&gt;=3,"B",IF(R548&gt;=2,"C",IF(R548&gt;=1,"D","F")))))))</f>
        <v/>
      </c>
      <c r="T548" s="3">
        <f>IF(OR(B548="",S548="F"),"",COUNTIFS(P:P,"&gt;"&amp;P548,S:S,"&lt;&gt;F")+1)</f>
        <v/>
      </c>
      <c r="U548">
        <f>IF(B548="","",IF(C548&lt;33.0,0,IF(C548&gt;=100*0.8,5,IF(C548&gt;=100*0.7,4,IF(C548&gt;=100*0.6,3.5,IF(C548&gt;=100*0.5,3,IF(C548&gt;=100*0.4,2,IF(C548&gt;=100*0.33,1,0))))))))</f>
        <v/>
      </c>
      <c r="V548">
        <f>IF(B548="","",IF(D548&lt;33.0,0,IF(D548&gt;=100*0.8,5,IF(D548&gt;=100*0.7,4,IF(D548&gt;=100*0.6,3.5,IF(D548&gt;=100*0.5,3,IF(D548&gt;=100*0.4,2,IF(D548&gt;=100*0.33,1,0))))))))</f>
        <v/>
      </c>
      <c r="W548">
        <f>IF(B548="","",IF(E548&lt;16.5,0,IF(E548&gt;=50*0.8,5,IF(E548&gt;=50*0.7,4,IF(E548&gt;=50*0.6,3.5,IF(E548&gt;=50*0.5,3,IF(E548&gt;=50*0.4,2,IF(E548&gt;=50*0.33,1,0))))))))</f>
        <v/>
      </c>
      <c r="X548">
        <f>IF(B548="","",IF(F548&lt;33.0,0,IF(F548&gt;=100*0.8,5,IF(F548&gt;=100*0.7,4,IF(F548&gt;=100*0.6,3.5,IF(F548&gt;=100*0.5,3,IF(F548&gt;=100*0.4,2,IF(F548&gt;=100*0.33,1,0))))))))</f>
        <v/>
      </c>
      <c r="Y548">
        <f>IF(B548="","",IF(G548&lt;16.5,0,IF(G548&gt;=50*0.8,5,IF(G548&gt;=50*0.7,4,IF(G548&gt;=50*0.6,3.5,IF(G548&gt;=50*0.5,3,IF(G548&gt;=50*0.4,2,IF(G548&gt;=50*0.33,1,0))))))))</f>
        <v/>
      </c>
      <c r="Z548">
        <f>IF(B548="","",IF(H548&lt;33.0,0,IF(H548&gt;=100*0.8,5,IF(H548&gt;=100*0.7,4,IF(H548&gt;=100*0.6,3.5,IF(H548&gt;=100*0.5,3,IF(H548&gt;=100*0.4,2,IF(H548&gt;=100*0.33,1,0))))))))</f>
        <v/>
      </c>
      <c r="AA548">
        <f>IF(B548="","",IF(I548&lt;33.0,0,IF(I548&gt;=100*0.8,5,IF(I548&gt;=100*0.7,4,IF(I548&gt;=100*0.6,3.5,IF(I548&gt;=100*0.5,3,IF(I548&gt;=100*0.4,2,IF(I548&gt;=100*0.33,1,0))))))))</f>
        <v/>
      </c>
      <c r="AB548">
        <f>IF(B548="","",IF(J548&lt;33.0,0,IF(J548&gt;=100*0.8,5,IF(J548&gt;=100*0.7,4,IF(J548&gt;=100*0.6,3.5,IF(J548&gt;=100*0.5,3,IF(J548&gt;=100*0.4,2,IF(J548&gt;=100*0.33,1,0))))))))</f>
        <v/>
      </c>
      <c r="AC548">
        <f>IF(B548="","",IF(K548&lt;33.0,0,IF(K548&gt;=100*0.8,5,IF(K548&gt;=100*0.7,4,IF(K548&gt;=100*0.6,3.5,IF(K548&gt;=100*0.5,3,IF(K548&gt;=100*0.4,2,IF(K548&gt;=100*0.33,1,0))))))))</f>
        <v/>
      </c>
      <c r="AD548">
        <f>IF(B548="","",IF(L548&lt;33.0,0,IF(L548&gt;=100*0.8,5,IF(L548&gt;=100*0.7,4,IF(L548&gt;=100*0.6,3.5,IF(L548&gt;=100*0.5,3,IF(L548&gt;=100*0.4,2,IF(L548&gt;=100*0.33,1,0))))))))</f>
        <v/>
      </c>
      <c r="AE548">
        <f>IF(B548="","",IF(M548&lt;33.0,0,IF(M548&gt;=100*0.8,5,IF(M548&gt;=100*0.7,4,IF(M548&gt;=100*0.6,3.5,IF(M548&gt;=100*0.5,3,IF(M548&gt;=100*0.4,2,IF(M548&gt;=100*0.33,1,0))))))))</f>
        <v/>
      </c>
      <c r="AF548">
        <f>IF(B548="","",IF(N548&lt;16.5,0,IF(N548&gt;=50*0.8,5,IF(N548&gt;=50*0.7,4,IF(N548&gt;=50*0.6,3.5,IF(N548&gt;=50*0.5,3,IF(N548&gt;=50*0.4,2,IF(N548&gt;=50*0.33,1,0))))))))</f>
        <v/>
      </c>
      <c r="AG548">
        <f>IF(B548="","",IF(O548&lt;33.0,0,IF(O548&gt;=100*0.8,5,IF(O548&gt;=100*0.7,4,IF(O548&gt;=100*0.6,3.5,IF(O548&gt;=100*0.5,3,IF(O548&gt;=100*0.4,2,IF(O548&gt;=100*0.33,1,0))))))))</f>
        <v/>
      </c>
      <c r="AH548">
        <f>IF(B548="","",IF(OR(U548=0,V548=0,W548=0,X548=0,Y548=0,Z548=0,AA548=0,AB548=0,AC548=0,AD548=0,AE548=0,AF548=0,AG548=0),1,0))</f>
        <v/>
      </c>
    </row>
    <row r="549">
      <c r="A549" s="3">
        <f>IF(B549="","",ROW()-2)</f>
        <v/>
      </c>
      <c r="P549" s="4">
        <f>IF(B549="","",SUM(C549:O549))</f>
        <v/>
      </c>
      <c r="Q549" s="5">
        <f>IF(B549="","",ROUND(P549/13,2))</f>
        <v/>
      </c>
      <c r="R549" s="5">
        <f>IF(B549="","",IF(AH549=1,0,MIN(5,ROUND((U549+V549+W549+X549+Y549+Z549+AA549+AB549+AC549+AD549+AE549+AF549+AG549)/13,2))))</f>
        <v/>
      </c>
      <c r="S549" s="3">
        <f>IF(B549="","",IF(R549&gt;=5,"A+",IF(R549&gt;=4,"A",IF(R549&gt;=3.5,"A-",IF(R549&gt;=3,"B",IF(R549&gt;=2,"C",IF(R549&gt;=1,"D","F")))))))</f>
        <v/>
      </c>
      <c r="T549" s="3">
        <f>IF(OR(B549="",S549="F"),"",COUNTIFS(P:P,"&gt;"&amp;P549,S:S,"&lt;&gt;F")+1)</f>
        <v/>
      </c>
      <c r="U549">
        <f>IF(B549="","",IF(C549&lt;33.0,0,IF(C549&gt;=100*0.8,5,IF(C549&gt;=100*0.7,4,IF(C549&gt;=100*0.6,3.5,IF(C549&gt;=100*0.5,3,IF(C549&gt;=100*0.4,2,IF(C549&gt;=100*0.33,1,0))))))))</f>
        <v/>
      </c>
      <c r="V549">
        <f>IF(B549="","",IF(D549&lt;33.0,0,IF(D549&gt;=100*0.8,5,IF(D549&gt;=100*0.7,4,IF(D549&gt;=100*0.6,3.5,IF(D549&gt;=100*0.5,3,IF(D549&gt;=100*0.4,2,IF(D549&gt;=100*0.33,1,0))))))))</f>
        <v/>
      </c>
      <c r="W549">
        <f>IF(B549="","",IF(E549&lt;16.5,0,IF(E549&gt;=50*0.8,5,IF(E549&gt;=50*0.7,4,IF(E549&gt;=50*0.6,3.5,IF(E549&gt;=50*0.5,3,IF(E549&gt;=50*0.4,2,IF(E549&gt;=50*0.33,1,0))))))))</f>
        <v/>
      </c>
      <c r="X549">
        <f>IF(B549="","",IF(F549&lt;33.0,0,IF(F549&gt;=100*0.8,5,IF(F549&gt;=100*0.7,4,IF(F549&gt;=100*0.6,3.5,IF(F549&gt;=100*0.5,3,IF(F549&gt;=100*0.4,2,IF(F549&gt;=100*0.33,1,0))))))))</f>
        <v/>
      </c>
      <c r="Y549">
        <f>IF(B549="","",IF(G549&lt;16.5,0,IF(G549&gt;=50*0.8,5,IF(G549&gt;=50*0.7,4,IF(G549&gt;=50*0.6,3.5,IF(G549&gt;=50*0.5,3,IF(G549&gt;=50*0.4,2,IF(G549&gt;=50*0.33,1,0))))))))</f>
        <v/>
      </c>
      <c r="Z549">
        <f>IF(B549="","",IF(H549&lt;33.0,0,IF(H549&gt;=100*0.8,5,IF(H549&gt;=100*0.7,4,IF(H549&gt;=100*0.6,3.5,IF(H549&gt;=100*0.5,3,IF(H549&gt;=100*0.4,2,IF(H549&gt;=100*0.33,1,0))))))))</f>
        <v/>
      </c>
      <c r="AA549">
        <f>IF(B549="","",IF(I549&lt;33.0,0,IF(I549&gt;=100*0.8,5,IF(I549&gt;=100*0.7,4,IF(I549&gt;=100*0.6,3.5,IF(I549&gt;=100*0.5,3,IF(I549&gt;=100*0.4,2,IF(I549&gt;=100*0.33,1,0))))))))</f>
        <v/>
      </c>
      <c r="AB549">
        <f>IF(B549="","",IF(J549&lt;33.0,0,IF(J549&gt;=100*0.8,5,IF(J549&gt;=100*0.7,4,IF(J549&gt;=100*0.6,3.5,IF(J549&gt;=100*0.5,3,IF(J549&gt;=100*0.4,2,IF(J549&gt;=100*0.33,1,0))))))))</f>
        <v/>
      </c>
      <c r="AC549">
        <f>IF(B549="","",IF(K549&lt;33.0,0,IF(K549&gt;=100*0.8,5,IF(K549&gt;=100*0.7,4,IF(K549&gt;=100*0.6,3.5,IF(K549&gt;=100*0.5,3,IF(K549&gt;=100*0.4,2,IF(K549&gt;=100*0.33,1,0))))))))</f>
        <v/>
      </c>
      <c r="AD549">
        <f>IF(B549="","",IF(L549&lt;33.0,0,IF(L549&gt;=100*0.8,5,IF(L549&gt;=100*0.7,4,IF(L549&gt;=100*0.6,3.5,IF(L549&gt;=100*0.5,3,IF(L549&gt;=100*0.4,2,IF(L549&gt;=100*0.33,1,0))))))))</f>
        <v/>
      </c>
      <c r="AE549">
        <f>IF(B549="","",IF(M549&lt;33.0,0,IF(M549&gt;=100*0.8,5,IF(M549&gt;=100*0.7,4,IF(M549&gt;=100*0.6,3.5,IF(M549&gt;=100*0.5,3,IF(M549&gt;=100*0.4,2,IF(M549&gt;=100*0.33,1,0))))))))</f>
        <v/>
      </c>
      <c r="AF549">
        <f>IF(B549="","",IF(N549&lt;16.5,0,IF(N549&gt;=50*0.8,5,IF(N549&gt;=50*0.7,4,IF(N549&gt;=50*0.6,3.5,IF(N549&gt;=50*0.5,3,IF(N549&gt;=50*0.4,2,IF(N549&gt;=50*0.33,1,0))))))))</f>
        <v/>
      </c>
      <c r="AG549">
        <f>IF(B549="","",IF(O549&lt;33.0,0,IF(O549&gt;=100*0.8,5,IF(O549&gt;=100*0.7,4,IF(O549&gt;=100*0.6,3.5,IF(O549&gt;=100*0.5,3,IF(O549&gt;=100*0.4,2,IF(O549&gt;=100*0.33,1,0))))))))</f>
        <v/>
      </c>
      <c r="AH549">
        <f>IF(B549="","",IF(OR(U549=0,V549=0,W549=0,X549=0,Y549=0,Z549=0,AA549=0,AB549=0,AC549=0,AD549=0,AE549=0,AF549=0,AG549=0),1,0))</f>
        <v/>
      </c>
    </row>
    <row r="550">
      <c r="A550" s="3">
        <f>IF(B550="","",ROW()-2)</f>
        <v/>
      </c>
      <c r="P550" s="4">
        <f>IF(B550="","",SUM(C550:O550))</f>
        <v/>
      </c>
      <c r="Q550" s="5">
        <f>IF(B550="","",ROUND(P550/13,2))</f>
        <v/>
      </c>
      <c r="R550" s="5">
        <f>IF(B550="","",IF(AH550=1,0,MIN(5,ROUND((U550+V550+W550+X550+Y550+Z550+AA550+AB550+AC550+AD550+AE550+AF550+AG550)/13,2))))</f>
        <v/>
      </c>
      <c r="S550" s="3">
        <f>IF(B550="","",IF(R550&gt;=5,"A+",IF(R550&gt;=4,"A",IF(R550&gt;=3.5,"A-",IF(R550&gt;=3,"B",IF(R550&gt;=2,"C",IF(R550&gt;=1,"D","F")))))))</f>
        <v/>
      </c>
      <c r="T550" s="3">
        <f>IF(OR(B550="",S550="F"),"",COUNTIFS(P:P,"&gt;"&amp;P550,S:S,"&lt;&gt;F")+1)</f>
        <v/>
      </c>
      <c r="U550">
        <f>IF(B550="","",IF(C550&lt;33.0,0,IF(C550&gt;=100*0.8,5,IF(C550&gt;=100*0.7,4,IF(C550&gt;=100*0.6,3.5,IF(C550&gt;=100*0.5,3,IF(C550&gt;=100*0.4,2,IF(C550&gt;=100*0.33,1,0))))))))</f>
        <v/>
      </c>
      <c r="V550">
        <f>IF(B550="","",IF(D550&lt;33.0,0,IF(D550&gt;=100*0.8,5,IF(D550&gt;=100*0.7,4,IF(D550&gt;=100*0.6,3.5,IF(D550&gt;=100*0.5,3,IF(D550&gt;=100*0.4,2,IF(D550&gt;=100*0.33,1,0))))))))</f>
        <v/>
      </c>
      <c r="W550">
        <f>IF(B550="","",IF(E550&lt;16.5,0,IF(E550&gt;=50*0.8,5,IF(E550&gt;=50*0.7,4,IF(E550&gt;=50*0.6,3.5,IF(E550&gt;=50*0.5,3,IF(E550&gt;=50*0.4,2,IF(E550&gt;=50*0.33,1,0))))))))</f>
        <v/>
      </c>
      <c r="X550">
        <f>IF(B550="","",IF(F550&lt;33.0,0,IF(F550&gt;=100*0.8,5,IF(F550&gt;=100*0.7,4,IF(F550&gt;=100*0.6,3.5,IF(F550&gt;=100*0.5,3,IF(F550&gt;=100*0.4,2,IF(F550&gt;=100*0.33,1,0))))))))</f>
        <v/>
      </c>
      <c r="Y550">
        <f>IF(B550="","",IF(G550&lt;16.5,0,IF(G550&gt;=50*0.8,5,IF(G550&gt;=50*0.7,4,IF(G550&gt;=50*0.6,3.5,IF(G550&gt;=50*0.5,3,IF(G550&gt;=50*0.4,2,IF(G550&gt;=50*0.33,1,0))))))))</f>
        <v/>
      </c>
      <c r="Z550">
        <f>IF(B550="","",IF(H550&lt;33.0,0,IF(H550&gt;=100*0.8,5,IF(H550&gt;=100*0.7,4,IF(H550&gt;=100*0.6,3.5,IF(H550&gt;=100*0.5,3,IF(H550&gt;=100*0.4,2,IF(H550&gt;=100*0.33,1,0))))))))</f>
        <v/>
      </c>
      <c r="AA550">
        <f>IF(B550="","",IF(I550&lt;33.0,0,IF(I550&gt;=100*0.8,5,IF(I550&gt;=100*0.7,4,IF(I550&gt;=100*0.6,3.5,IF(I550&gt;=100*0.5,3,IF(I550&gt;=100*0.4,2,IF(I550&gt;=100*0.33,1,0))))))))</f>
        <v/>
      </c>
      <c r="AB550">
        <f>IF(B550="","",IF(J550&lt;33.0,0,IF(J550&gt;=100*0.8,5,IF(J550&gt;=100*0.7,4,IF(J550&gt;=100*0.6,3.5,IF(J550&gt;=100*0.5,3,IF(J550&gt;=100*0.4,2,IF(J550&gt;=100*0.33,1,0))))))))</f>
        <v/>
      </c>
      <c r="AC550">
        <f>IF(B550="","",IF(K550&lt;33.0,0,IF(K550&gt;=100*0.8,5,IF(K550&gt;=100*0.7,4,IF(K550&gt;=100*0.6,3.5,IF(K550&gt;=100*0.5,3,IF(K550&gt;=100*0.4,2,IF(K550&gt;=100*0.33,1,0))))))))</f>
        <v/>
      </c>
      <c r="AD550">
        <f>IF(B550="","",IF(L550&lt;33.0,0,IF(L550&gt;=100*0.8,5,IF(L550&gt;=100*0.7,4,IF(L550&gt;=100*0.6,3.5,IF(L550&gt;=100*0.5,3,IF(L550&gt;=100*0.4,2,IF(L550&gt;=100*0.33,1,0))))))))</f>
        <v/>
      </c>
      <c r="AE550">
        <f>IF(B550="","",IF(M550&lt;33.0,0,IF(M550&gt;=100*0.8,5,IF(M550&gt;=100*0.7,4,IF(M550&gt;=100*0.6,3.5,IF(M550&gt;=100*0.5,3,IF(M550&gt;=100*0.4,2,IF(M550&gt;=100*0.33,1,0))))))))</f>
        <v/>
      </c>
      <c r="AF550">
        <f>IF(B550="","",IF(N550&lt;16.5,0,IF(N550&gt;=50*0.8,5,IF(N550&gt;=50*0.7,4,IF(N550&gt;=50*0.6,3.5,IF(N550&gt;=50*0.5,3,IF(N550&gt;=50*0.4,2,IF(N550&gt;=50*0.33,1,0))))))))</f>
        <v/>
      </c>
      <c r="AG550">
        <f>IF(B550="","",IF(O550&lt;33.0,0,IF(O550&gt;=100*0.8,5,IF(O550&gt;=100*0.7,4,IF(O550&gt;=100*0.6,3.5,IF(O550&gt;=100*0.5,3,IF(O550&gt;=100*0.4,2,IF(O550&gt;=100*0.33,1,0))))))))</f>
        <v/>
      </c>
      <c r="AH550">
        <f>IF(B550="","",IF(OR(U550=0,V550=0,W550=0,X550=0,Y550=0,Z550=0,AA550=0,AB550=0,AC550=0,AD550=0,AE550=0,AF550=0,AG550=0),1,0))</f>
        <v/>
      </c>
    </row>
    <row r="551">
      <c r="A551" s="3">
        <f>IF(B551="","",ROW()-2)</f>
        <v/>
      </c>
      <c r="P551" s="4">
        <f>IF(B551="","",SUM(C551:O551))</f>
        <v/>
      </c>
      <c r="Q551" s="5">
        <f>IF(B551="","",ROUND(P551/13,2))</f>
        <v/>
      </c>
      <c r="R551" s="5">
        <f>IF(B551="","",IF(AH551=1,0,MIN(5,ROUND((U551+V551+W551+X551+Y551+Z551+AA551+AB551+AC551+AD551+AE551+AF551+AG551)/13,2))))</f>
        <v/>
      </c>
      <c r="S551" s="3">
        <f>IF(B551="","",IF(R551&gt;=5,"A+",IF(R551&gt;=4,"A",IF(R551&gt;=3.5,"A-",IF(R551&gt;=3,"B",IF(R551&gt;=2,"C",IF(R551&gt;=1,"D","F")))))))</f>
        <v/>
      </c>
      <c r="T551" s="3">
        <f>IF(OR(B551="",S551="F"),"",COUNTIFS(P:P,"&gt;"&amp;P551,S:S,"&lt;&gt;F")+1)</f>
        <v/>
      </c>
      <c r="U551">
        <f>IF(B551="","",IF(C551&lt;33.0,0,IF(C551&gt;=100*0.8,5,IF(C551&gt;=100*0.7,4,IF(C551&gt;=100*0.6,3.5,IF(C551&gt;=100*0.5,3,IF(C551&gt;=100*0.4,2,IF(C551&gt;=100*0.33,1,0))))))))</f>
        <v/>
      </c>
      <c r="V551">
        <f>IF(B551="","",IF(D551&lt;33.0,0,IF(D551&gt;=100*0.8,5,IF(D551&gt;=100*0.7,4,IF(D551&gt;=100*0.6,3.5,IF(D551&gt;=100*0.5,3,IF(D551&gt;=100*0.4,2,IF(D551&gt;=100*0.33,1,0))))))))</f>
        <v/>
      </c>
      <c r="W551">
        <f>IF(B551="","",IF(E551&lt;16.5,0,IF(E551&gt;=50*0.8,5,IF(E551&gt;=50*0.7,4,IF(E551&gt;=50*0.6,3.5,IF(E551&gt;=50*0.5,3,IF(E551&gt;=50*0.4,2,IF(E551&gt;=50*0.33,1,0))))))))</f>
        <v/>
      </c>
      <c r="X551">
        <f>IF(B551="","",IF(F551&lt;33.0,0,IF(F551&gt;=100*0.8,5,IF(F551&gt;=100*0.7,4,IF(F551&gt;=100*0.6,3.5,IF(F551&gt;=100*0.5,3,IF(F551&gt;=100*0.4,2,IF(F551&gt;=100*0.33,1,0))))))))</f>
        <v/>
      </c>
      <c r="Y551">
        <f>IF(B551="","",IF(G551&lt;16.5,0,IF(G551&gt;=50*0.8,5,IF(G551&gt;=50*0.7,4,IF(G551&gt;=50*0.6,3.5,IF(G551&gt;=50*0.5,3,IF(G551&gt;=50*0.4,2,IF(G551&gt;=50*0.33,1,0))))))))</f>
        <v/>
      </c>
      <c r="Z551">
        <f>IF(B551="","",IF(H551&lt;33.0,0,IF(H551&gt;=100*0.8,5,IF(H551&gt;=100*0.7,4,IF(H551&gt;=100*0.6,3.5,IF(H551&gt;=100*0.5,3,IF(H551&gt;=100*0.4,2,IF(H551&gt;=100*0.33,1,0))))))))</f>
        <v/>
      </c>
      <c r="AA551">
        <f>IF(B551="","",IF(I551&lt;33.0,0,IF(I551&gt;=100*0.8,5,IF(I551&gt;=100*0.7,4,IF(I551&gt;=100*0.6,3.5,IF(I551&gt;=100*0.5,3,IF(I551&gt;=100*0.4,2,IF(I551&gt;=100*0.33,1,0))))))))</f>
        <v/>
      </c>
      <c r="AB551">
        <f>IF(B551="","",IF(J551&lt;33.0,0,IF(J551&gt;=100*0.8,5,IF(J551&gt;=100*0.7,4,IF(J551&gt;=100*0.6,3.5,IF(J551&gt;=100*0.5,3,IF(J551&gt;=100*0.4,2,IF(J551&gt;=100*0.33,1,0))))))))</f>
        <v/>
      </c>
      <c r="AC551">
        <f>IF(B551="","",IF(K551&lt;33.0,0,IF(K551&gt;=100*0.8,5,IF(K551&gt;=100*0.7,4,IF(K551&gt;=100*0.6,3.5,IF(K551&gt;=100*0.5,3,IF(K551&gt;=100*0.4,2,IF(K551&gt;=100*0.33,1,0))))))))</f>
        <v/>
      </c>
      <c r="AD551">
        <f>IF(B551="","",IF(L551&lt;33.0,0,IF(L551&gt;=100*0.8,5,IF(L551&gt;=100*0.7,4,IF(L551&gt;=100*0.6,3.5,IF(L551&gt;=100*0.5,3,IF(L551&gt;=100*0.4,2,IF(L551&gt;=100*0.33,1,0))))))))</f>
        <v/>
      </c>
      <c r="AE551">
        <f>IF(B551="","",IF(M551&lt;33.0,0,IF(M551&gt;=100*0.8,5,IF(M551&gt;=100*0.7,4,IF(M551&gt;=100*0.6,3.5,IF(M551&gt;=100*0.5,3,IF(M551&gt;=100*0.4,2,IF(M551&gt;=100*0.33,1,0))))))))</f>
        <v/>
      </c>
      <c r="AF551">
        <f>IF(B551="","",IF(N551&lt;16.5,0,IF(N551&gt;=50*0.8,5,IF(N551&gt;=50*0.7,4,IF(N551&gt;=50*0.6,3.5,IF(N551&gt;=50*0.5,3,IF(N551&gt;=50*0.4,2,IF(N551&gt;=50*0.33,1,0))))))))</f>
        <v/>
      </c>
      <c r="AG551">
        <f>IF(B551="","",IF(O551&lt;33.0,0,IF(O551&gt;=100*0.8,5,IF(O551&gt;=100*0.7,4,IF(O551&gt;=100*0.6,3.5,IF(O551&gt;=100*0.5,3,IF(O551&gt;=100*0.4,2,IF(O551&gt;=100*0.33,1,0))))))))</f>
        <v/>
      </c>
      <c r="AH551">
        <f>IF(B551="","",IF(OR(U551=0,V551=0,W551=0,X551=0,Y551=0,Z551=0,AA551=0,AB551=0,AC551=0,AD551=0,AE551=0,AF551=0,AG551=0),1,0))</f>
        <v/>
      </c>
    </row>
    <row r="552">
      <c r="A552" s="3">
        <f>IF(B552="","",ROW()-2)</f>
        <v/>
      </c>
      <c r="P552" s="4">
        <f>IF(B552="","",SUM(C552:O552))</f>
        <v/>
      </c>
      <c r="Q552" s="5">
        <f>IF(B552="","",ROUND(P552/13,2))</f>
        <v/>
      </c>
      <c r="R552" s="5">
        <f>IF(B552="","",IF(AH552=1,0,MIN(5,ROUND((U552+V552+W552+X552+Y552+Z552+AA552+AB552+AC552+AD552+AE552+AF552+AG552)/13,2))))</f>
        <v/>
      </c>
      <c r="S552" s="3">
        <f>IF(B552="","",IF(R552&gt;=5,"A+",IF(R552&gt;=4,"A",IF(R552&gt;=3.5,"A-",IF(R552&gt;=3,"B",IF(R552&gt;=2,"C",IF(R552&gt;=1,"D","F")))))))</f>
        <v/>
      </c>
      <c r="T552" s="3">
        <f>IF(OR(B552="",S552="F"),"",COUNTIFS(P:P,"&gt;"&amp;P552,S:S,"&lt;&gt;F")+1)</f>
        <v/>
      </c>
      <c r="U552">
        <f>IF(B552="","",IF(C552&lt;33.0,0,IF(C552&gt;=100*0.8,5,IF(C552&gt;=100*0.7,4,IF(C552&gt;=100*0.6,3.5,IF(C552&gt;=100*0.5,3,IF(C552&gt;=100*0.4,2,IF(C552&gt;=100*0.33,1,0))))))))</f>
        <v/>
      </c>
      <c r="V552">
        <f>IF(B552="","",IF(D552&lt;33.0,0,IF(D552&gt;=100*0.8,5,IF(D552&gt;=100*0.7,4,IF(D552&gt;=100*0.6,3.5,IF(D552&gt;=100*0.5,3,IF(D552&gt;=100*0.4,2,IF(D552&gt;=100*0.33,1,0))))))))</f>
        <v/>
      </c>
      <c r="W552">
        <f>IF(B552="","",IF(E552&lt;16.5,0,IF(E552&gt;=50*0.8,5,IF(E552&gt;=50*0.7,4,IF(E552&gt;=50*0.6,3.5,IF(E552&gt;=50*0.5,3,IF(E552&gt;=50*0.4,2,IF(E552&gt;=50*0.33,1,0))))))))</f>
        <v/>
      </c>
      <c r="X552">
        <f>IF(B552="","",IF(F552&lt;33.0,0,IF(F552&gt;=100*0.8,5,IF(F552&gt;=100*0.7,4,IF(F552&gt;=100*0.6,3.5,IF(F552&gt;=100*0.5,3,IF(F552&gt;=100*0.4,2,IF(F552&gt;=100*0.33,1,0))))))))</f>
        <v/>
      </c>
      <c r="Y552">
        <f>IF(B552="","",IF(G552&lt;16.5,0,IF(G552&gt;=50*0.8,5,IF(G552&gt;=50*0.7,4,IF(G552&gt;=50*0.6,3.5,IF(G552&gt;=50*0.5,3,IF(G552&gt;=50*0.4,2,IF(G552&gt;=50*0.33,1,0))))))))</f>
        <v/>
      </c>
      <c r="Z552">
        <f>IF(B552="","",IF(H552&lt;33.0,0,IF(H552&gt;=100*0.8,5,IF(H552&gt;=100*0.7,4,IF(H552&gt;=100*0.6,3.5,IF(H552&gt;=100*0.5,3,IF(H552&gt;=100*0.4,2,IF(H552&gt;=100*0.33,1,0))))))))</f>
        <v/>
      </c>
      <c r="AA552">
        <f>IF(B552="","",IF(I552&lt;33.0,0,IF(I552&gt;=100*0.8,5,IF(I552&gt;=100*0.7,4,IF(I552&gt;=100*0.6,3.5,IF(I552&gt;=100*0.5,3,IF(I552&gt;=100*0.4,2,IF(I552&gt;=100*0.33,1,0))))))))</f>
        <v/>
      </c>
      <c r="AB552">
        <f>IF(B552="","",IF(J552&lt;33.0,0,IF(J552&gt;=100*0.8,5,IF(J552&gt;=100*0.7,4,IF(J552&gt;=100*0.6,3.5,IF(J552&gt;=100*0.5,3,IF(J552&gt;=100*0.4,2,IF(J552&gt;=100*0.33,1,0))))))))</f>
        <v/>
      </c>
      <c r="AC552">
        <f>IF(B552="","",IF(K552&lt;33.0,0,IF(K552&gt;=100*0.8,5,IF(K552&gt;=100*0.7,4,IF(K552&gt;=100*0.6,3.5,IF(K552&gt;=100*0.5,3,IF(K552&gt;=100*0.4,2,IF(K552&gt;=100*0.33,1,0))))))))</f>
        <v/>
      </c>
      <c r="AD552">
        <f>IF(B552="","",IF(L552&lt;33.0,0,IF(L552&gt;=100*0.8,5,IF(L552&gt;=100*0.7,4,IF(L552&gt;=100*0.6,3.5,IF(L552&gt;=100*0.5,3,IF(L552&gt;=100*0.4,2,IF(L552&gt;=100*0.33,1,0))))))))</f>
        <v/>
      </c>
      <c r="AE552">
        <f>IF(B552="","",IF(M552&lt;33.0,0,IF(M552&gt;=100*0.8,5,IF(M552&gt;=100*0.7,4,IF(M552&gt;=100*0.6,3.5,IF(M552&gt;=100*0.5,3,IF(M552&gt;=100*0.4,2,IF(M552&gt;=100*0.33,1,0))))))))</f>
        <v/>
      </c>
      <c r="AF552">
        <f>IF(B552="","",IF(N552&lt;16.5,0,IF(N552&gt;=50*0.8,5,IF(N552&gt;=50*0.7,4,IF(N552&gt;=50*0.6,3.5,IF(N552&gt;=50*0.5,3,IF(N552&gt;=50*0.4,2,IF(N552&gt;=50*0.33,1,0))))))))</f>
        <v/>
      </c>
      <c r="AG552">
        <f>IF(B552="","",IF(O552&lt;33.0,0,IF(O552&gt;=100*0.8,5,IF(O552&gt;=100*0.7,4,IF(O552&gt;=100*0.6,3.5,IF(O552&gt;=100*0.5,3,IF(O552&gt;=100*0.4,2,IF(O552&gt;=100*0.33,1,0))))))))</f>
        <v/>
      </c>
      <c r="AH552">
        <f>IF(B552="","",IF(OR(U552=0,V552=0,W552=0,X552=0,Y552=0,Z552=0,AA552=0,AB552=0,AC552=0,AD552=0,AE552=0,AF552=0,AG552=0),1,0))</f>
        <v/>
      </c>
    </row>
    <row r="553">
      <c r="A553" s="3">
        <f>IF(B553="","",ROW()-2)</f>
        <v/>
      </c>
      <c r="P553" s="4">
        <f>IF(B553="","",SUM(C553:O553))</f>
        <v/>
      </c>
      <c r="Q553" s="5">
        <f>IF(B553="","",ROUND(P553/13,2))</f>
        <v/>
      </c>
      <c r="R553" s="5">
        <f>IF(B553="","",IF(AH553=1,0,MIN(5,ROUND((U553+V553+W553+X553+Y553+Z553+AA553+AB553+AC553+AD553+AE553+AF553+AG553)/13,2))))</f>
        <v/>
      </c>
      <c r="S553" s="3">
        <f>IF(B553="","",IF(R553&gt;=5,"A+",IF(R553&gt;=4,"A",IF(R553&gt;=3.5,"A-",IF(R553&gt;=3,"B",IF(R553&gt;=2,"C",IF(R553&gt;=1,"D","F")))))))</f>
        <v/>
      </c>
      <c r="T553" s="3">
        <f>IF(OR(B553="",S553="F"),"",COUNTIFS(P:P,"&gt;"&amp;P553,S:S,"&lt;&gt;F")+1)</f>
        <v/>
      </c>
      <c r="U553">
        <f>IF(B553="","",IF(C553&lt;33.0,0,IF(C553&gt;=100*0.8,5,IF(C553&gt;=100*0.7,4,IF(C553&gt;=100*0.6,3.5,IF(C553&gt;=100*0.5,3,IF(C553&gt;=100*0.4,2,IF(C553&gt;=100*0.33,1,0))))))))</f>
        <v/>
      </c>
      <c r="V553">
        <f>IF(B553="","",IF(D553&lt;33.0,0,IF(D553&gt;=100*0.8,5,IF(D553&gt;=100*0.7,4,IF(D553&gt;=100*0.6,3.5,IF(D553&gt;=100*0.5,3,IF(D553&gt;=100*0.4,2,IF(D553&gt;=100*0.33,1,0))))))))</f>
        <v/>
      </c>
      <c r="W553">
        <f>IF(B553="","",IF(E553&lt;16.5,0,IF(E553&gt;=50*0.8,5,IF(E553&gt;=50*0.7,4,IF(E553&gt;=50*0.6,3.5,IF(E553&gt;=50*0.5,3,IF(E553&gt;=50*0.4,2,IF(E553&gt;=50*0.33,1,0))))))))</f>
        <v/>
      </c>
      <c r="X553">
        <f>IF(B553="","",IF(F553&lt;33.0,0,IF(F553&gt;=100*0.8,5,IF(F553&gt;=100*0.7,4,IF(F553&gt;=100*0.6,3.5,IF(F553&gt;=100*0.5,3,IF(F553&gt;=100*0.4,2,IF(F553&gt;=100*0.33,1,0))))))))</f>
        <v/>
      </c>
      <c r="Y553">
        <f>IF(B553="","",IF(G553&lt;16.5,0,IF(G553&gt;=50*0.8,5,IF(G553&gt;=50*0.7,4,IF(G553&gt;=50*0.6,3.5,IF(G553&gt;=50*0.5,3,IF(G553&gt;=50*0.4,2,IF(G553&gt;=50*0.33,1,0))))))))</f>
        <v/>
      </c>
      <c r="Z553">
        <f>IF(B553="","",IF(H553&lt;33.0,0,IF(H553&gt;=100*0.8,5,IF(H553&gt;=100*0.7,4,IF(H553&gt;=100*0.6,3.5,IF(H553&gt;=100*0.5,3,IF(H553&gt;=100*0.4,2,IF(H553&gt;=100*0.33,1,0))))))))</f>
        <v/>
      </c>
      <c r="AA553">
        <f>IF(B553="","",IF(I553&lt;33.0,0,IF(I553&gt;=100*0.8,5,IF(I553&gt;=100*0.7,4,IF(I553&gt;=100*0.6,3.5,IF(I553&gt;=100*0.5,3,IF(I553&gt;=100*0.4,2,IF(I553&gt;=100*0.33,1,0))))))))</f>
        <v/>
      </c>
      <c r="AB553">
        <f>IF(B553="","",IF(J553&lt;33.0,0,IF(J553&gt;=100*0.8,5,IF(J553&gt;=100*0.7,4,IF(J553&gt;=100*0.6,3.5,IF(J553&gt;=100*0.5,3,IF(J553&gt;=100*0.4,2,IF(J553&gt;=100*0.33,1,0))))))))</f>
        <v/>
      </c>
      <c r="AC553">
        <f>IF(B553="","",IF(K553&lt;33.0,0,IF(K553&gt;=100*0.8,5,IF(K553&gt;=100*0.7,4,IF(K553&gt;=100*0.6,3.5,IF(K553&gt;=100*0.5,3,IF(K553&gt;=100*0.4,2,IF(K553&gt;=100*0.33,1,0))))))))</f>
        <v/>
      </c>
      <c r="AD553">
        <f>IF(B553="","",IF(L553&lt;33.0,0,IF(L553&gt;=100*0.8,5,IF(L553&gt;=100*0.7,4,IF(L553&gt;=100*0.6,3.5,IF(L553&gt;=100*0.5,3,IF(L553&gt;=100*0.4,2,IF(L553&gt;=100*0.33,1,0))))))))</f>
        <v/>
      </c>
      <c r="AE553">
        <f>IF(B553="","",IF(M553&lt;33.0,0,IF(M553&gt;=100*0.8,5,IF(M553&gt;=100*0.7,4,IF(M553&gt;=100*0.6,3.5,IF(M553&gt;=100*0.5,3,IF(M553&gt;=100*0.4,2,IF(M553&gt;=100*0.33,1,0))))))))</f>
        <v/>
      </c>
      <c r="AF553">
        <f>IF(B553="","",IF(N553&lt;16.5,0,IF(N553&gt;=50*0.8,5,IF(N553&gt;=50*0.7,4,IF(N553&gt;=50*0.6,3.5,IF(N553&gt;=50*0.5,3,IF(N553&gt;=50*0.4,2,IF(N553&gt;=50*0.33,1,0))))))))</f>
        <v/>
      </c>
      <c r="AG553">
        <f>IF(B553="","",IF(O553&lt;33.0,0,IF(O553&gt;=100*0.8,5,IF(O553&gt;=100*0.7,4,IF(O553&gt;=100*0.6,3.5,IF(O553&gt;=100*0.5,3,IF(O553&gt;=100*0.4,2,IF(O553&gt;=100*0.33,1,0))))))))</f>
        <v/>
      </c>
      <c r="AH553">
        <f>IF(B553="","",IF(OR(U553=0,V553=0,W553=0,X553=0,Y553=0,Z553=0,AA553=0,AB553=0,AC553=0,AD553=0,AE553=0,AF553=0,AG553=0),1,0))</f>
        <v/>
      </c>
    </row>
    <row r="554">
      <c r="A554" s="3">
        <f>IF(B554="","",ROW()-2)</f>
        <v/>
      </c>
      <c r="P554" s="4">
        <f>IF(B554="","",SUM(C554:O554))</f>
        <v/>
      </c>
      <c r="Q554" s="5">
        <f>IF(B554="","",ROUND(P554/13,2))</f>
        <v/>
      </c>
      <c r="R554" s="5">
        <f>IF(B554="","",IF(AH554=1,0,MIN(5,ROUND((U554+V554+W554+X554+Y554+Z554+AA554+AB554+AC554+AD554+AE554+AF554+AG554)/13,2))))</f>
        <v/>
      </c>
      <c r="S554" s="3">
        <f>IF(B554="","",IF(R554&gt;=5,"A+",IF(R554&gt;=4,"A",IF(R554&gt;=3.5,"A-",IF(R554&gt;=3,"B",IF(R554&gt;=2,"C",IF(R554&gt;=1,"D","F")))))))</f>
        <v/>
      </c>
      <c r="T554" s="3">
        <f>IF(OR(B554="",S554="F"),"",COUNTIFS(P:P,"&gt;"&amp;P554,S:S,"&lt;&gt;F")+1)</f>
        <v/>
      </c>
      <c r="U554">
        <f>IF(B554="","",IF(C554&lt;33.0,0,IF(C554&gt;=100*0.8,5,IF(C554&gt;=100*0.7,4,IF(C554&gt;=100*0.6,3.5,IF(C554&gt;=100*0.5,3,IF(C554&gt;=100*0.4,2,IF(C554&gt;=100*0.33,1,0))))))))</f>
        <v/>
      </c>
      <c r="V554">
        <f>IF(B554="","",IF(D554&lt;33.0,0,IF(D554&gt;=100*0.8,5,IF(D554&gt;=100*0.7,4,IF(D554&gt;=100*0.6,3.5,IF(D554&gt;=100*0.5,3,IF(D554&gt;=100*0.4,2,IF(D554&gt;=100*0.33,1,0))))))))</f>
        <v/>
      </c>
      <c r="W554">
        <f>IF(B554="","",IF(E554&lt;16.5,0,IF(E554&gt;=50*0.8,5,IF(E554&gt;=50*0.7,4,IF(E554&gt;=50*0.6,3.5,IF(E554&gt;=50*0.5,3,IF(E554&gt;=50*0.4,2,IF(E554&gt;=50*0.33,1,0))))))))</f>
        <v/>
      </c>
      <c r="X554">
        <f>IF(B554="","",IF(F554&lt;33.0,0,IF(F554&gt;=100*0.8,5,IF(F554&gt;=100*0.7,4,IF(F554&gt;=100*0.6,3.5,IF(F554&gt;=100*0.5,3,IF(F554&gt;=100*0.4,2,IF(F554&gt;=100*0.33,1,0))))))))</f>
        <v/>
      </c>
      <c r="Y554">
        <f>IF(B554="","",IF(G554&lt;16.5,0,IF(G554&gt;=50*0.8,5,IF(G554&gt;=50*0.7,4,IF(G554&gt;=50*0.6,3.5,IF(G554&gt;=50*0.5,3,IF(G554&gt;=50*0.4,2,IF(G554&gt;=50*0.33,1,0))))))))</f>
        <v/>
      </c>
      <c r="Z554">
        <f>IF(B554="","",IF(H554&lt;33.0,0,IF(H554&gt;=100*0.8,5,IF(H554&gt;=100*0.7,4,IF(H554&gt;=100*0.6,3.5,IF(H554&gt;=100*0.5,3,IF(H554&gt;=100*0.4,2,IF(H554&gt;=100*0.33,1,0))))))))</f>
        <v/>
      </c>
      <c r="AA554">
        <f>IF(B554="","",IF(I554&lt;33.0,0,IF(I554&gt;=100*0.8,5,IF(I554&gt;=100*0.7,4,IF(I554&gt;=100*0.6,3.5,IF(I554&gt;=100*0.5,3,IF(I554&gt;=100*0.4,2,IF(I554&gt;=100*0.33,1,0))))))))</f>
        <v/>
      </c>
      <c r="AB554">
        <f>IF(B554="","",IF(J554&lt;33.0,0,IF(J554&gt;=100*0.8,5,IF(J554&gt;=100*0.7,4,IF(J554&gt;=100*0.6,3.5,IF(J554&gt;=100*0.5,3,IF(J554&gt;=100*0.4,2,IF(J554&gt;=100*0.33,1,0))))))))</f>
        <v/>
      </c>
      <c r="AC554">
        <f>IF(B554="","",IF(K554&lt;33.0,0,IF(K554&gt;=100*0.8,5,IF(K554&gt;=100*0.7,4,IF(K554&gt;=100*0.6,3.5,IF(K554&gt;=100*0.5,3,IF(K554&gt;=100*0.4,2,IF(K554&gt;=100*0.33,1,0))))))))</f>
        <v/>
      </c>
      <c r="AD554">
        <f>IF(B554="","",IF(L554&lt;33.0,0,IF(L554&gt;=100*0.8,5,IF(L554&gt;=100*0.7,4,IF(L554&gt;=100*0.6,3.5,IF(L554&gt;=100*0.5,3,IF(L554&gt;=100*0.4,2,IF(L554&gt;=100*0.33,1,0))))))))</f>
        <v/>
      </c>
      <c r="AE554">
        <f>IF(B554="","",IF(M554&lt;33.0,0,IF(M554&gt;=100*0.8,5,IF(M554&gt;=100*0.7,4,IF(M554&gt;=100*0.6,3.5,IF(M554&gt;=100*0.5,3,IF(M554&gt;=100*0.4,2,IF(M554&gt;=100*0.33,1,0))))))))</f>
        <v/>
      </c>
      <c r="AF554">
        <f>IF(B554="","",IF(N554&lt;16.5,0,IF(N554&gt;=50*0.8,5,IF(N554&gt;=50*0.7,4,IF(N554&gt;=50*0.6,3.5,IF(N554&gt;=50*0.5,3,IF(N554&gt;=50*0.4,2,IF(N554&gt;=50*0.33,1,0))))))))</f>
        <v/>
      </c>
      <c r="AG554">
        <f>IF(B554="","",IF(O554&lt;33.0,0,IF(O554&gt;=100*0.8,5,IF(O554&gt;=100*0.7,4,IF(O554&gt;=100*0.6,3.5,IF(O554&gt;=100*0.5,3,IF(O554&gt;=100*0.4,2,IF(O554&gt;=100*0.33,1,0))))))))</f>
        <v/>
      </c>
      <c r="AH554">
        <f>IF(B554="","",IF(OR(U554=0,V554=0,W554=0,X554=0,Y554=0,Z554=0,AA554=0,AB554=0,AC554=0,AD554=0,AE554=0,AF554=0,AG554=0),1,0))</f>
        <v/>
      </c>
    </row>
    <row r="555">
      <c r="A555" s="3">
        <f>IF(B555="","",ROW()-2)</f>
        <v/>
      </c>
      <c r="P555" s="4">
        <f>IF(B555="","",SUM(C555:O555))</f>
        <v/>
      </c>
      <c r="Q555" s="5">
        <f>IF(B555="","",ROUND(P555/13,2))</f>
        <v/>
      </c>
      <c r="R555" s="5">
        <f>IF(B555="","",IF(AH555=1,0,MIN(5,ROUND((U555+V555+W555+X555+Y555+Z555+AA555+AB555+AC555+AD555+AE555+AF555+AG555)/13,2))))</f>
        <v/>
      </c>
      <c r="S555" s="3">
        <f>IF(B555="","",IF(R555&gt;=5,"A+",IF(R555&gt;=4,"A",IF(R555&gt;=3.5,"A-",IF(R555&gt;=3,"B",IF(R555&gt;=2,"C",IF(R555&gt;=1,"D","F")))))))</f>
        <v/>
      </c>
      <c r="T555" s="3">
        <f>IF(OR(B555="",S555="F"),"",COUNTIFS(P:P,"&gt;"&amp;P555,S:S,"&lt;&gt;F")+1)</f>
        <v/>
      </c>
      <c r="U555">
        <f>IF(B555="","",IF(C555&lt;33.0,0,IF(C555&gt;=100*0.8,5,IF(C555&gt;=100*0.7,4,IF(C555&gt;=100*0.6,3.5,IF(C555&gt;=100*0.5,3,IF(C555&gt;=100*0.4,2,IF(C555&gt;=100*0.33,1,0))))))))</f>
        <v/>
      </c>
      <c r="V555">
        <f>IF(B555="","",IF(D555&lt;33.0,0,IF(D555&gt;=100*0.8,5,IF(D555&gt;=100*0.7,4,IF(D555&gt;=100*0.6,3.5,IF(D555&gt;=100*0.5,3,IF(D555&gt;=100*0.4,2,IF(D555&gt;=100*0.33,1,0))))))))</f>
        <v/>
      </c>
      <c r="W555">
        <f>IF(B555="","",IF(E555&lt;16.5,0,IF(E555&gt;=50*0.8,5,IF(E555&gt;=50*0.7,4,IF(E555&gt;=50*0.6,3.5,IF(E555&gt;=50*0.5,3,IF(E555&gt;=50*0.4,2,IF(E555&gt;=50*0.33,1,0))))))))</f>
        <v/>
      </c>
      <c r="X555">
        <f>IF(B555="","",IF(F555&lt;33.0,0,IF(F555&gt;=100*0.8,5,IF(F555&gt;=100*0.7,4,IF(F555&gt;=100*0.6,3.5,IF(F555&gt;=100*0.5,3,IF(F555&gt;=100*0.4,2,IF(F555&gt;=100*0.33,1,0))))))))</f>
        <v/>
      </c>
      <c r="Y555">
        <f>IF(B555="","",IF(G555&lt;16.5,0,IF(G555&gt;=50*0.8,5,IF(G555&gt;=50*0.7,4,IF(G555&gt;=50*0.6,3.5,IF(G555&gt;=50*0.5,3,IF(G555&gt;=50*0.4,2,IF(G555&gt;=50*0.33,1,0))))))))</f>
        <v/>
      </c>
      <c r="Z555">
        <f>IF(B555="","",IF(H555&lt;33.0,0,IF(H555&gt;=100*0.8,5,IF(H555&gt;=100*0.7,4,IF(H555&gt;=100*0.6,3.5,IF(H555&gt;=100*0.5,3,IF(H555&gt;=100*0.4,2,IF(H555&gt;=100*0.33,1,0))))))))</f>
        <v/>
      </c>
      <c r="AA555">
        <f>IF(B555="","",IF(I555&lt;33.0,0,IF(I555&gt;=100*0.8,5,IF(I555&gt;=100*0.7,4,IF(I555&gt;=100*0.6,3.5,IF(I555&gt;=100*0.5,3,IF(I555&gt;=100*0.4,2,IF(I555&gt;=100*0.33,1,0))))))))</f>
        <v/>
      </c>
      <c r="AB555">
        <f>IF(B555="","",IF(J555&lt;33.0,0,IF(J555&gt;=100*0.8,5,IF(J555&gt;=100*0.7,4,IF(J555&gt;=100*0.6,3.5,IF(J555&gt;=100*0.5,3,IF(J555&gt;=100*0.4,2,IF(J555&gt;=100*0.33,1,0))))))))</f>
        <v/>
      </c>
      <c r="AC555">
        <f>IF(B555="","",IF(K555&lt;33.0,0,IF(K555&gt;=100*0.8,5,IF(K555&gt;=100*0.7,4,IF(K555&gt;=100*0.6,3.5,IF(K555&gt;=100*0.5,3,IF(K555&gt;=100*0.4,2,IF(K555&gt;=100*0.33,1,0))))))))</f>
        <v/>
      </c>
      <c r="AD555">
        <f>IF(B555="","",IF(L555&lt;33.0,0,IF(L555&gt;=100*0.8,5,IF(L555&gt;=100*0.7,4,IF(L555&gt;=100*0.6,3.5,IF(L555&gt;=100*0.5,3,IF(L555&gt;=100*0.4,2,IF(L555&gt;=100*0.33,1,0))))))))</f>
        <v/>
      </c>
      <c r="AE555">
        <f>IF(B555="","",IF(M555&lt;33.0,0,IF(M555&gt;=100*0.8,5,IF(M555&gt;=100*0.7,4,IF(M555&gt;=100*0.6,3.5,IF(M555&gt;=100*0.5,3,IF(M555&gt;=100*0.4,2,IF(M555&gt;=100*0.33,1,0))))))))</f>
        <v/>
      </c>
      <c r="AF555">
        <f>IF(B555="","",IF(N555&lt;16.5,0,IF(N555&gt;=50*0.8,5,IF(N555&gt;=50*0.7,4,IF(N555&gt;=50*0.6,3.5,IF(N555&gt;=50*0.5,3,IF(N555&gt;=50*0.4,2,IF(N555&gt;=50*0.33,1,0))))))))</f>
        <v/>
      </c>
      <c r="AG555">
        <f>IF(B555="","",IF(O555&lt;33.0,0,IF(O555&gt;=100*0.8,5,IF(O555&gt;=100*0.7,4,IF(O555&gt;=100*0.6,3.5,IF(O555&gt;=100*0.5,3,IF(O555&gt;=100*0.4,2,IF(O555&gt;=100*0.33,1,0))))))))</f>
        <v/>
      </c>
      <c r="AH555">
        <f>IF(B555="","",IF(OR(U555=0,V555=0,W555=0,X555=0,Y555=0,Z555=0,AA555=0,AB555=0,AC555=0,AD555=0,AE555=0,AF555=0,AG555=0),1,0))</f>
        <v/>
      </c>
    </row>
    <row r="556">
      <c r="A556" s="3">
        <f>IF(B556="","",ROW()-2)</f>
        <v/>
      </c>
      <c r="P556" s="4">
        <f>IF(B556="","",SUM(C556:O556))</f>
        <v/>
      </c>
      <c r="Q556" s="5">
        <f>IF(B556="","",ROUND(P556/13,2))</f>
        <v/>
      </c>
      <c r="R556" s="5">
        <f>IF(B556="","",IF(AH556=1,0,MIN(5,ROUND((U556+V556+W556+X556+Y556+Z556+AA556+AB556+AC556+AD556+AE556+AF556+AG556)/13,2))))</f>
        <v/>
      </c>
      <c r="S556" s="3">
        <f>IF(B556="","",IF(R556&gt;=5,"A+",IF(R556&gt;=4,"A",IF(R556&gt;=3.5,"A-",IF(R556&gt;=3,"B",IF(R556&gt;=2,"C",IF(R556&gt;=1,"D","F")))))))</f>
        <v/>
      </c>
      <c r="T556" s="3">
        <f>IF(OR(B556="",S556="F"),"",COUNTIFS(P:P,"&gt;"&amp;P556,S:S,"&lt;&gt;F")+1)</f>
        <v/>
      </c>
      <c r="U556">
        <f>IF(B556="","",IF(C556&lt;33.0,0,IF(C556&gt;=100*0.8,5,IF(C556&gt;=100*0.7,4,IF(C556&gt;=100*0.6,3.5,IF(C556&gt;=100*0.5,3,IF(C556&gt;=100*0.4,2,IF(C556&gt;=100*0.33,1,0))))))))</f>
        <v/>
      </c>
      <c r="V556">
        <f>IF(B556="","",IF(D556&lt;33.0,0,IF(D556&gt;=100*0.8,5,IF(D556&gt;=100*0.7,4,IF(D556&gt;=100*0.6,3.5,IF(D556&gt;=100*0.5,3,IF(D556&gt;=100*0.4,2,IF(D556&gt;=100*0.33,1,0))))))))</f>
        <v/>
      </c>
      <c r="W556">
        <f>IF(B556="","",IF(E556&lt;16.5,0,IF(E556&gt;=50*0.8,5,IF(E556&gt;=50*0.7,4,IF(E556&gt;=50*0.6,3.5,IF(E556&gt;=50*0.5,3,IF(E556&gt;=50*0.4,2,IF(E556&gt;=50*0.33,1,0))))))))</f>
        <v/>
      </c>
      <c r="X556">
        <f>IF(B556="","",IF(F556&lt;33.0,0,IF(F556&gt;=100*0.8,5,IF(F556&gt;=100*0.7,4,IF(F556&gt;=100*0.6,3.5,IF(F556&gt;=100*0.5,3,IF(F556&gt;=100*0.4,2,IF(F556&gt;=100*0.33,1,0))))))))</f>
        <v/>
      </c>
      <c r="Y556">
        <f>IF(B556="","",IF(G556&lt;16.5,0,IF(G556&gt;=50*0.8,5,IF(G556&gt;=50*0.7,4,IF(G556&gt;=50*0.6,3.5,IF(G556&gt;=50*0.5,3,IF(G556&gt;=50*0.4,2,IF(G556&gt;=50*0.33,1,0))))))))</f>
        <v/>
      </c>
      <c r="Z556">
        <f>IF(B556="","",IF(H556&lt;33.0,0,IF(H556&gt;=100*0.8,5,IF(H556&gt;=100*0.7,4,IF(H556&gt;=100*0.6,3.5,IF(H556&gt;=100*0.5,3,IF(H556&gt;=100*0.4,2,IF(H556&gt;=100*0.33,1,0))))))))</f>
        <v/>
      </c>
      <c r="AA556">
        <f>IF(B556="","",IF(I556&lt;33.0,0,IF(I556&gt;=100*0.8,5,IF(I556&gt;=100*0.7,4,IF(I556&gt;=100*0.6,3.5,IF(I556&gt;=100*0.5,3,IF(I556&gt;=100*0.4,2,IF(I556&gt;=100*0.33,1,0))))))))</f>
        <v/>
      </c>
      <c r="AB556">
        <f>IF(B556="","",IF(J556&lt;33.0,0,IF(J556&gt;=100*0.8,5,IF(J556&gt;=100*0.7,4,IF(J556&gt;=100*0.6,3.5,IF(J556&gt;=100*0.5,3,IF(J556&gt;=100*0.4,2,IF(J556&gt;=100*0.33,1,0))))))))</f>
        <v/>
      </c>
      <c r="AC556">
        <f>IF(B556="","",IF(K556&lt;33.0,0,IF(K556&gt;=100*0.8,5,IF(K556&gt;=100*0.7,4,IF(K556&gt;=100*0.6,3.5,IF(K556&gt;=100*0.5,3,IF(K556&gt;=100*0.4,2,IF(K556&gt;=100*0.33,1,0))))))))</f>
        <v/>
      </c>
      <c r="AD556">
        <f>IF(B556="","",IF(L556&lt;33.0,0,IF(L556&gt;=100*0.8,5,IF(L556&gt;=100*0.7,4,IF(L556&gt;=100*0.6,3.5,IF(L556&gt;=100*0.5,3,IF(L556&gt;=100*0.4,2,IF(L556&gt;=100*0.33,1,0))))))))</f>
        <v/>
      </c>
      <c r="AE556">
        <f>IF(B556="","",IF(M556&lt;33.0,0,IF(M556&gt;=100*0.8,5,IF(M556&gt;=100*0.7,4,IF(M556&gt;=100*0.6,3.5,IF(M556&gt;=100*0.5,3,IF(M556&gt;=100*0.4,2,IF(M556&gt;=100*0.33,1,0))))))))</f>
        <v/>
      </c>
      <c r="AF556">
        <f>IF(B556="","",IF(N556&lt;16.5,0,IF(N556&gt;=50*0.8,5,IF(N556&gt;=50*0.7,4,IF(N556&gt;=50*0.6,3.5,IF(N556&gt;=50*0.5,3,IF(N556&gt;=50*0.4,2,IF(N556&gt;=50*0.33,1,0))))))))</f>
        <v/>
      </c>
      <c r="AG556">
        <f>IF(B556="","",IF(O556&lt;33.0,0,IF(O556&gt;=100*0.8,5,IF(O556&gt;=100*0.7,4,IF(O556&gt;=100*0.6,3.5,IF(O556&gt;=100*0.5,3,IF(O556&gt;=100*0.4,2,IF(O556&gt;=100*0.33,1,0))))))))</f>
        <v/>
      </c>
      <c r="AH556">
        <f>IF(B556="","",IF(OR(U556=0,V556=0,W556=0,X556=0,Y556=0,Z556=0,AA556=0,AB556=0,AC556=0,AD556=0,AE556=0,AF556=0,AG556=0),1,0))</f>
        <v/>
      </c>
    </row>
    <row r="557">
      <c r="A557" s="3">
        <f>IF(B557="","",ROW()-2)</f>
        <v/>
      </c>
      <c r="P557" s="4">
        <f>IF(B557="","",SUM(C557:O557))</f>
        <v/>
      </c>
      <c r="Q557" s="5">
        <f>IF(B557="","",ROUND(P557/13,2))</f>
        <v/>
      </c>
      <c r="R557" s="5">
        <f>IF(B557="","",IF(AH557=1,0,MIN(5,ROUND((U557+V557+W557+X557+Y557+Z557+AA557+AB557+AC557+AD557+AE557+AF557+AG557)/13,2))))</f>
        <v/>
      </c>
      <c r="S557" s="3">
        <f>IF(B557="","",IF(R557&gt;=5,"A+",IF(R557&gt;=4,"A",IF(R557&gt;=3.5,"A-",IF(R557&gt;=3,"B",IF(R557&gt;=2,"C",IF(R557&gt;=1,"D","F")))))))</f>
        <v/>
      </c>
      <c r="T557" s="3">
        <f>IF(OR(B557="",S557="F"),"",COUNTIFS(P:P,"&gt;"&amp;P557,S:S,"&lt;&gt;F")+1)</f>
        <v/>
      </c>
      <c r="U557">
        <f>IF(B557="","",IF(C557&lt;33.0,0,IF(C557&gt;=100*0.8,5,IF(C557&gt;=100*0.7,4,IF(C557&gt;=100*0.6,3.5,IF(C557&gt;=100*0.5,3,IF(C557&gt;=100*0.4,2,IF(C557&gt;=100*0.33,1,0))))))))</f>
        <v/>
      </c>
      <c r="V557">
        <f>IF(B557="","",IF(D557&lt;33.0,0,IF(D557&gt;=100*0.8,5,IF(D557&gt;=100*0.7,4,IF(D557&gt;=100*0.6,3.5,IF(D557&gt;=100*0.5,3,IF(D557&gt;=100*0.4,2,IF(D557&gt;=100*0.33,1,0))))))))</f>
        <v/>
      </c>
      <c r="W557">
        <f>IF(B557="","",IF(E557&lt;16.5,0,IF(E557&gt;=50*0.8,5,IF(E557&gt;=50*0.7,4,IF(E557&gt;=50*0.6,3.5,IF(E557&gt;=50*0.5,3,IF(E557&gt;=50*0.4,2,IF(E557&gt;=50*0.33,1,0))))))))</f>
        <v/>
      </c>
      <c r="X557">
        <f>IF(B557="","",IF(F557&lt;33.0,0,IF(F557&gt;=100*0.8,5,IF(F557&gt;=100*0.7,4,IF(F557&gt;=100*0.6,3.5,IF(F557&gt;=100*0.5,3,IF(F557&gt;=100*0.4,2,IF(F557&gt;=100*0.33,1,0))))))))</f>
        <v/>
      </c>
      <c r="Y557">
        <f>IF(B557="","",IF(G557&lt;16.5,0,IF(G557&gt;=50*0.8,5,IF(G557&gt;=50*0.7,4,IF(G557&gt;=50*0.6,3.5,IF(G557&gt;=50*0.5,3,IF(G557&gt;=50*0.4,2,IF(G557&gt;=50*0.33,1,0))))))))</f>
        <v/>
      </c>
      <c r="Z557">
        <f>IF(B557="","",IF(H557&lt;33.0,0,IF(H557&gt;=100*0.8,5,IF(H557&gt;=100*0.7,4,IF(H557&gt;=100*0.6,3.5,IF(H557&gt;=100*0.5,3,IF(H557&gt;=100*0.4,2,IF(H557&gt;=100*0.33,1,0))))))))</f>
        <v/>
      </c>
      <c r="AA557">
        <f>IF(B557="","",IF(I557&lt;33.0,0,IF(I557&gt;=100*0.8,5,IF(I557&gt;=100*0.7,4,IF(I557&gt;=100*0.6,3.5,IF(I557&gt;=100*0.5,3,IF(I557&gt;=100*0.4,2,IF(I557&gt;=100*0.33,1,0))))))))</f>
        <v/>
      </c>
      <c r="AB557">
        <f>IF(B557="","",IF(J557&lt;33.0,0,IF(J557&gt;=100*0.8,5,IF(J557&gt;=100*0.7,4,IF(J557&gt;=100*0.6,3.5,IF(J557&gt;=100*0.5,3,IF(J557&gt;=100*0.4,2,IF(J557&gt;=100*0.33,1,0))))))))</f>
        <v/>
      </c>
      <c r="AC557">
        <f>IF(B557="","",IF(K557&lt;33.0,0,IF(K557&gt;=100*0.8,5,IF(K557&gt;=100*0.7,4,IF(K557&gt;=100*0.6,3.5,IF(K557&gt;=100*0.5,3,IF(K557&gt;=100*0.4,2,IF(K557&gt;=100*0.33,1,0))))))))</f>
        <v/>
      </c>
      <c r="AD557">
        <f>IF(B557="","",IF(L557&lt;33.0,0,IF(L557&gt;=100*0.8,5,IF(L557&gt;=100*0.7,4,IF(L557&gt;=100*0.6,3.5,IF(L557&gt;=100*0.5,3,IF(L557&gt;=100*0.4,2,IF(L557&gt;=100*0.33,1,0))))))))</f>
        <v/>
      </c>
      <c r="AE557">
        <f>IF(B557="","",IF(M557&lt;33.0,0,IF(M557&gt;=100*0.8,5,IF(M557&gt;=100*0.7,4,IF(M557&gt;=100*0.6,3.5,IF(M557&gt;=100*0.5,3,IF(M557&gt;=100*0.4,2,IF(M557&gt;=100*0.33,1,0))))))))</f>
        <v/>
      </c>
      <c r="AF557">
        <f>IF(B557="","",IF(N557&lt;16.5,0,IF(N557&gt;=50*0.8,5,IF(N557&gt;=50*0.7,4,IF(N557&gt;=50*0.6,3.5,IF(N557&gt;=50*0.5,3,IF(N557&gt;=50*0.4,2,IF(N557&gt;=50*0.33,1,0))))))))</f>
        <v/>
      </c>
      <c r="AG557">
        <f>IF(B557="","",IF(O557&lt;33.0,0,IF(O557&gt;=100*0.8,5,IF(O557&gt;=100*0.7,4,IF(O557&gt;=100*0.6,3.5,IF(O557&gt;=100*0.5,3,IF(O557&gt;=100*0.4,2,IF(O557&gt;=100*0.33,1,0))))))))</f>
        <v/>
      </c>
      <c r="AH557">
        <f>IF(B557="","",IF(OR(U557=0,V557=0,W557=0,X557=0,Y557=0,Z557=0,AA557=0,AB557=0,AC557=0,AD557=0,AE557=0,AF557=0,AG557=0),1,0))</f>
        <v/>
      </c>
    </row>
    <row r="558">
      <c r="A558" s="3">
        <f>IF(B558="","",ROW()-2)</f>
        <v/>
      </c>
      <c r="P558" s="4">
        <f>IF(B558="","",SUM(C558:O558))</f>
        <v/>
      </c>
      <c r="Q558" s="5">
        <f>IF(B558="","",ROUND(P558/13,2))</f>
        <v/>
      </c>
      <c r="R558" s="5">
        <f>IF(B558="","",IF(AH558=1,0,MIN(5,ROUND((U558+V558+W558+X558+Y558+Z558+AA558+AB558+AC558+AD558+AE558+AF558+AG558)/13,2))))</f>
        <v/>
      </c>
      <c r="S558" s="3">
        <f>IF(B558="","",IF(R558&gt;=5,"A+",IF(R558&gt;=4,"A",IF(R558&gt;=3.5,"A-",IF(R558&gt;=3,"B",IF(R558&gt;=2,"C",IF(R558&gt;=1,"D","F")))))))</f>
        <v/>
      </c>
      <c r="T558" s="3">
        <f>IF(OR(B558="",S558="F"),"",COUNTIFS(P:P,"&gt;"&amp;P558,S:S,"&lt;&gt;F")+1)</f>
        <v/>
      </c>
      <c r="U558">
        <f>IF(B558="","",IF(C558&lt;33.0,0,IF(C558&gt;=100*0.8,5,IF(C558&gt;=100*0.7,4,IF(C558&gt;=100*0.6,3.5,IF(C558&gt;=100*0.5,3,IF(C558&gt;=100*0.4,2,IF(C558&gt;=100*0.33,1,0))))))))</f>
        <v/>
      </c>
      <c r="V558">
        <f>IF(B558="","",IF(D558&lt;33.0,0,IF(D558&gt;=100*0.8,5,IF(D558&gt;=100*0.7,4,IF(D558&gt;=100*0.6,3.5,IF(D558&gt;=100*0.5,3,IF(D558&gt;=100*0.4,2,IF(D558&gt;=100*0.33,1,0))))))))</f>
        <v/>
      </c>
      <c r="W558">
        <f>IF(B558="","",IF(E558&lt;16.5,0,IF(E558&gt;=50*0.8,5,IF(E558&gt;=50*0.7,4,IF(E558&gt;=50*0.6,3.5,IF(E558&gt;=50*0.5,3,IF(E558&gt;=50*0.4,2,IF(E558&gt;=50*0.33,1,0))))))))</f>
        <v/>
      </c>
      <c r="X558">
        <f>IF(B558="","",IF(F558&lt;33.0,0,IF(F558&gt;=100*0.8,5,IF(F558&gt;=100*0.7,4,IF(F558&gt;=100*0.6,3.5,IF(F558&gt;=100*0.5,3,IF(F558&gt;=100*0.4,2,IF(F558&gt;=100*0.33,1,0))))))))</f>
        <v/>
      </c>
      <c r="Y558">
        <f>IF(B558="","",IF(G558&lt;16.5,0,IF(G558&gt;=50*0.8,5,IF(G558&gt;=50*0.7,4,IF(G558&gt;=50*0.6,3.5,IF(G558&gt;=50*0.5,3,IF(G558&gt;=50*0.4,2,IF(G558&gt;=50*0.33,1,0))))))))</f>
        <v/>
      </c>
      <c r="Z558">
        <f>IF(B558="","",IF(H558&lt;33.0,0,IF(H558&gt;=100*0.8,5,IF(H558&gt;=100*0.7,4,IF(H558&gt;=100*0.6,3.5,IF(H558&gt;=100*0.5,3,IF(H558&gt;=100*0.4,2,IF(H558&gt;=100*0.33,1,0))))))))</f>
        <v/>
      </c>
      <c r="AA558">
        <f>IF(B558="","",IF(I558&lt;33.0,0,IF(I558&gt;=100*0.8,5,IF(I558&gt;=100*0.7,4,IF(I558&gt;=100*0.6,3.5,IF(I558&gt;=100*0.5,3,IF(I558&gt;=100*0.4,2,IF(I558&gt;=100*0.33,1,0))))))))</f>
        <v/>
      </c>
      <c r="AB558">
        <f>IF(B558="","",IF(J558&lt;33.0,0,IF(J558&gt;=100*0.8,5,IF(J558&gt;=100*0.7,4,IF(J558&gt;=100*0.6,3.5,IF(J558&gt;=100*0.5,3,IF(J558&gt;=100*0.4,2,IF(J558&gt;=100*0.33,1,0))))))))</f>
        <v/>
      </c>
      <c r="AC558">
        <f>IF(B558="","",IF(K558&lt;33.0,0,IF(K558&gt;=100*0.8,5,IF(K558&gt;=100*0.7,4,IF(K558&gt;=100*0.6,3.5,IF(K558&gt;=100*0.5,3,IF(K558&gt;=100*0.4,2,IF(K558&gt;=100*0.33,1,0))))))))</f>
        <v/>
      </c>
      <c r="AD558">
        <f>IF(B558="","",IF(L558&lt;33.0,0,IF(L558&gt;=100*0.8,5,IF(L558&gt;=100*0.7,4,IF(L558&gt;=100*0.6,3.5,IF(L558&gt;=100*0.5,3,IF(L558&gt;=100*0.4,2,IF(L558&gt;=100*0.33,1,0))))))))</f>
        <v/>
      </c>
      <c r="AE558">
        <f>IF(B558="","",IF(M558&lt;33.0,0,IF(M558&gt;=100*0.8,5,IF(M558&gt;=100*0.7,4,IF(M558&gt;=100*0.6,3.5,IF(M558&gt;=100*0.5,3,IF(M558&gt;=100*0.4,2,IF(M558&gt;=100*0.33,1,0))))))))</f>
        <v/>
      </c>
      <c r="AF558">
        <f>IF(B558="","",IF(N558&lt;16.5,0,IF(N558&gt;=50*0.8,5,IF(N558&gt;=50*0.7,4,IF(N558&gt;=50*0.6,3.5,IF(N558&gt;=50*0.5,3,IF(N558&gt;=50*0.4,2,IF(N558&gt;=50*0.33,1,0))))))))</f>
        <v/>
      </c>
      <c r="AG558">
        <f>IF(B558="","",IF(O558&lt;33.0,0,IF(O558&gt;=100*0.8,5,IF(O558&gt;=100*0.7,4,IF(O558&gt;=100*0.6,3.5,IF(O558&gt;=100*0.5,3,IF(O558&gt;=100*0.4,2,IF(O558&gt;=100*0.33,1,0))))))))</f>
        <v/>
      </c>
      <c r="AH558">
        <f>IF(B558="","",IF(OR(U558=0,V558=0,W558=0,X558=0,Y558=0,Z558=0,AA558=0,AB558=0,AC558=0,AD558=0,AE558=0,AF558=0,AG558=0),1,0))</f>
        <v/>
      </c>
    </row>
    <row r="559">
      <c r="A559" s="3">
        <f>IF(B559="","",ROW()-2)</f>
        <v/>
      </c>
      <c r="P559" s="4">
        <f>IF(B559="","",SUM(C559:O559))</f>
        <v/>
      </c>
      <c r="Q559" s="5">
        <f>IF(B559="","",ROUND(P559/13,2))</f>
        <v/>
      </c>
      <c r="R559" s="5">
        <f>IF(B559="","",IF(AH559=1,0,MIN(5,ROUND((U559+V559+W559+X559+Y559+Z559+AA559+AB559+AC559+AD559+AE559+AF559+AG559)/13,2))))</f>
        <v/>
      </c>
      <c r="S559" s="3">
        <f>IF(B559="","",IF(R559&gt;=5,"A+",IF(R559&gt;=4,"A",IF(R559&gt;=3.5,"A-",IF(R559&gt;=3,"B",IF(R559&gt;=2,"C",IF(R559&gt;=1,"D","F")))))))</f>
        <v/>
      </c>
      <c r="T559" s="3">
        <f>IF(OR(B559="",S559="F"),"",COUNTIFS(P:P,"&gt;"&amp;P559,S:S,"&lt;&gt;F")+1)</f>
        <v/>
      </c>
      <c r="U559">
        <f>IF(B559="","",IF(C559&lt;33.0,0,IF(C559&gt;=100*0.8,5,IF(C559&gt;=100*0.7,4,IF(C559&gt;=100*0.6,3.5,IF(C559&gt;=100*0.5,3,IF(C559&gt;=100*0.4,2,IF(C559&gt;=100*0.33,1,0))))))))</f>
        <v/>
      </c>
      <c r="V559">
        <f>IF(B559="","",IF(D559&lt;33.0,0,IF(D559&gt;=100*0.8,5,IF(D559&gt;=100*0.7,4,IF(D559&gt;=100*0.6,3.5,IF(D559&gt;=100*0.5,3,IF(D559&gt;=100*0.4,2,IF(D559&gt;=100*0.33,1,0))))))))</f>
        <v/>
      </c>
      <c r="W559">
        <f>IF(B559="","",IF(E559&lt;16.5,0,IF(E559&gt;=50*0.8,5,IF(E559&gt;=50*0.7,4,IF(E559&gt;=50*0.6,3.5,IF(E559&gt;=50*0.5,3,IF(E559&gt;=50*0.4,2,IF(E559&gt;=50*0.33,1,0))))))))</f>
        <v/>
      </c>
      <c r="X559">
        <f>IF(B559="","",IF(F559&lt;33.0,0,IF(F559&gt;=100*0.8,5,IF(F559&gt;=100*0.7,4,IF(F559&gt;=100*0.6,3.5,IF(F559&gt;=100*0.5,3,IF(F559&gt;=100*0.4,2,IF(F559&gt;=100*0.33,1,0))))))))</f>
        <v/>
      </c>
      <c r="Y559">
        <f>IF(B559="","",IF(G559&lt;16.5,0,IF(G559&gt;=50*0.8,5,IF(G559&gt;=50*0.7,4,IF(G559&gt;=50*0.6,3.5,IF(G559&gt;=50*0.5,3,IF(G559&gt;=50*0.4,2,IF(G559&gt;=50*0.33,1,0))))))))</f>
        <v/>
      </c>
      <c r="Z559">
        <f>IF(B559="","",IF(H559&lt;33.0,0,IF(H559&gt;=100*0.8,5,IF(H559&gt;=100*0.7,4,IF(H559&gt;=100*0.6,3.5,IF(H559&gt;=100*0.5,3,IF(H559&gt;=100*0.4,2,IF(H559&gt;=100*0.33,1,0))))))))</f>
        <v/>
      </c>
      <c r="AA559">
        <f>IF(B559="","",IF(I559&lt;33.0,0,IF(I559&gt;=100*0.8,5,IF(I559&gt;=100*0.7,4,IF(I559&gt;=100*0.6,3.5,IF(I559&gt;=100*0.5,3,IF(I559&gt;=100*0.4,2,IF(I559&gt;=100*0.33,1,0))))))))</f>
        <v/>
      </c>
      <c r="AB559">
        <f>IF(B559="","",IF(J559&lt;33.0,0,IF(J559&gt;=100*0.8,5,IF(J559&gt;=100*0.7,4,IF(J559&gt;=100*0.6,3.5,IF(J559&gt;=100*0.5,3,IF(J559&gt;=100*0.4,2,IF(J559&gt;=100*0.33,1,0))))))))</f>
        <v/>
      </c>
      <c r="AC559">
        <f>IF(B559="","",IF(K559&lt;33.0,0,IF(K559&gt;=100*0.8,5,IF(K559&gt;=100*0.7,4,IF(K559&gt;=100*0.6,3.5,IF(K559&gt;=100*0.5,3,IF(K559&gt;=100*0.4,2,IF(K559&gt;=100*0.33,1,0))))))))</f>
        <v/>
      </c>
      <c r="AD559">
        <f>IF(B559="","",IF(L559&lt;33.0,0,IF(L559&gt;=100*0.8,5,IF(L559&gt;=100*0.7,4,IF(L559&gt;=100*0.6,3.5,IF(L559&gt;=100*0.5,3,IF(L559&gt;=100*0.4,2,IF(L559&gt;=100*0.33,1,0))))))))</f>
        <v/>
      </c>
      <c r="AE559">
        <f>IF(B559="","",IF(M559&lt;33.0,0,IF(M559&gt;=100*0.8,5,IF(M559&gt;=100*0.7,4,IF(M559&gt;=100*0.6,3.5,IF(M559&gt;=100*0.5,3,IF(M559&gt;=100*0.4,2,IF(M559&gt;=100*0.33,1,0))))))))</f>
        <v/>
      </c>
      <c r="AF559">
        <f>IF(B559="","",IF(N559&lt;16.5,0,IF(N559&gt;=50*0.8,5,IF(N559&gt;=50*0.7,4,IF(N559&gt;=50*0.6,3.5,IF(N559&gt;=50*0.5,3,IF(N559&gt;=50*0.4,2,IF(N559&gt;=50*0.33,1,0))))))))</f>
        <v/>
      </c>
      <c r="AG559">
        <f>IF(B559="","",IF(O559&lt;33.0,0,IF(O559&gt;=100*0.8,5,IF(O559&gt;=100*0.7,4,IF(O559&gt;=100*0.6,3.5,IF(O559&gt;=100*0.5,3,IF(O559&gt;=100*0.4,2,IF(O559&gt;=100*0.33,1,0))))))))</f>
        <v/>
      </c>
      <c r="AH559">
        <f>IF(B559="","",IF(OR(U559=0,V559=0,W559=0,X559=0,Y559=0,Z559=0,AA559=0,AB559=0,AC559=0,AD559=0,AE559=0,AF559=0,AG559=0),1,0))</f>
        <v/>
      </c>
    </row>
    <row r="560">
      <c r="A560" s="3">
        <f>IF(B560="","",ROW()-2)</f>
        <v/>
      </c>
      <c r="P560" s="4">
        <f>IF(B560="","",SUM(C560:O560))</f>
        <v/>
      </c>
      <c r="Q560" s="5">
        <f>IF(B560="","",ROUND(P560/13,2))</f>
        <v/>
      </c>
      <c r="R560" s="5">
        <f>IF(B560="","",IF(AH560=1,0,MIN(5,ROUND((U560+V560+W560+X560+Y560+Z560+AA560+AB560+AC560+AD560+AE560+AF560+AG560)/13,2))))</f>
        <v/>
      </c>
      <c r="S560" s="3">
        <f>IF(B560="","",IF(R560&gt;=5,"A+",IF(R560&gt;=4,"A",IF(R560&gt;=3.5,"A-",IF(R560&gt;=3,"B",IF(R560&gt;=2,"C",IF(R560&gt;=1,"D","F")))))))</f>
        <v/>
      </c>
      <c r="T560" s="3">
        <f>IF(OR(B560="",S560="F"),"",COUNTIFS(P:P,"&gt;"&amp;P560,S:S,"&lt;&gt;F")+1)</f>
        <v/>
      </c>
      <c r="U560">
        <f>IF(B560="","",IF(C560&lt;33.0,0,IF(C560&gt;=100*0.8,5,IF(C560&gt;=100*0.7,4,IF(C560&gt;=100*0.6,3.5,IF(C560&gt;=100*0.5,3,IF(C560&gt;=100*0.4,2,IF(C560&gt;=100*0.33,1,0))))))))</f>
        <v/>
      </c>
      <c r="V560">
        <f>IF(B560="","",IF(D560&lt;33.0,0,IF(D560&gt;=100*0.8,5,IF(D560&gt;=100*0.7,4,IF(D560&gt;=100*0.6,3.5,IF(D560&gt;=100*0.5,3,IF(D560&gt;=100*0.4,2,IF(D560&gt;=100*0.33,1,0))))))))</f>
        <v/>
      </c>
      <c r="W560">
        <f>IF(B560="","",IF(E560&lt;16.5,0,IF(E560&gt;=50*0.8,5,IF(E560&gt;=50*0.7,4,IF(E560&gt;=50*0.6,3.5,IF(E560&gt;=50*0.5,3,IF(E560&gt;=50*0.4,2,IF(E560&gt;=50*0.33,1,0))))))))</f>
        <v/>
      </c>
      <c r="X560">
        <f>IF(B560="","",IF(F560&lt;33.0,0,IF(F560&gt;=100*0.8,5,IF(F560&gt;=100*0.7,4,IF(F560&gt;=100*0.6,3.5,IF(F560&gt;=100*0.5,3,IF(F560&gt;=100*0.4,2,IF(F560&gt;=100*0.33,1,0))))))))</f>
        <v/>
      </c>
      <c r="Y560">
        <f>IF(B560="","",IF(G560&lt;16.5,0,IF(G560&gt;=50*0.8,5,IF(G560&gt;=50*0.7,4,IF(G560&gt;=50*0.6,3.5,IF(G560&gt;=50*0.5,3,IF(G560&gt;=50*0.4,2,IF(G560&gt;=50*0.33,1,0))))))))</f>
        <v/>
      </c>
      <c r="Z560">
        <f>IF(B560="","",IF(H560&lt;33.0,0,IF(H560&gt;=100*0.8,5,IF(H560&gt;=100*0.7,4,IF(H560&gt;=100*0.6,3.5,IF(H560&gt;=100*0.5,3,IF(H560&gt;=100*0.4,2,IF(H560&gt;=100*0.33,1,0))))))))</f>
        <v/>
      </c>
      <c r="AA560">
        <f>IF(B560="","",IF(I560&lt;33.0,0,IF(I560&gt;=100*0.8,5,IF(I560&gt;=100*0.7,4,IF(I560&gt;=100*0.6,3.5,IF(I560&gt;=100*0.5,3,IF(I560&gt;=100*0.4,2,IF(I560&gt;=100*0.33,1,0))))))))</f>
        <v/>
      </c>
      <c r="AB560">
        <f>IF(B560="","",IF(J560&lt;33.0,0,IF(J560&gt;=100*0.8,5,IF(J560&gt;=100*0.7,4,IF(J560&gt;=100*0.6,3.5,IF(J560&gt;=100*0.5,3,IF(J560&gt;=100*0.4,2,IF(J560&gt;=100*0.33,1,0))))))))</f>
        <v/>
      </c>
      <c r="AC560">
        <f>IF(B560="","",IF(K560&lt;33.0,0,IF(K560&gt;=100*0.8,5,IF(K560&gt;=100*0.7,4,IF(K560&gt;=100*0.6,3.5,IF(K560&gt;=100*0.5,3,IF(K560&gt;=100*0.4,2,IF(K560&gt;=100*0.33,1,0))))))))</f>
        <v/>
      </c>
      <c r="AD560">
        <f>IF(B560="","",IF(L560&lt;33.0,0,IF(L560&gt;=100*0.8,5,IF(L560&gt;=100*0.7,4,IF(L560&gt;=100*0.6,3.5,IF(L560&gt;=100*0.5,3,IF(L560&gt;=100*0.4,2,IF(L560&gt;=100*0.33,1,0))))))))</f>
        <v/>
      </c>
      <c r="AE560">
        <f>IF(B560="","",IF(M560&lt;33.0,0,IF(M560&gt;=100*0.8,5,IF(M560&gt;=100*0.7,4,IF(M560&gt;=100*0.6,3.5,IF(M560&gt;=100*0.5,3,IF(M560&gt;=100*0.4,2,IF(M560&gt;=100*0.33,1,0))))))))</f>
        <v/>
      </c>
      <c r="AF560">
        <f>IF(B560="","",IF(N560&lt;16.5,0,IF(N560&gt;=50*0.8,5,IF(N560&gt;=50*0.7,4,IF(N560&gt;=50*0.6,3.5,IF(N560&gt;=50*0.5,3,IF(N560&gt;=50*0.4,2,IF(N560&gt;=50*0.33,1,0))))))))</f>
        <v/>
      </c>
      <c r="AG560">
        <f>IF(B560="","",IF(O560&lt;33.0,0,IF(O560&gt;=100*0.8,5,IF(O560&gt;=100*0.7,4,IF(O560&gt;=100*0.6,3.5,IF(O560&gt;=100*0.5,3,IF(O560&gt;=100*0.4,2,IF(O560&gt;=100*0.33,1,0))))))))</f>
        <v/>
      </c>
      <c r="AH560">
        <f>IF(B560="","",IF(OR(U560=0,V560=0,W560=0,X560=0,Y560=0,Z560=0,AA560=0,AB560=0,AC560=0,AD560=0,AE560=0,AF560=0,AG560=0),1,0))</f>
        <v/>
      </c>
    </row>
    <row r="561">
      <c r="A561" s="3">
        <f>IF(B561="","",ROW()-2)</f>
        <v/>
      </c>
      <c r="P561" s="4">
        <f>IF(B561="","",SUM(C561:O561))</f>
        <v/>
      </c>
      <c r="Q561" s="5">
        <f>IF(B561="","",ROUND(P561/13,2))</f>
        <v/>
      </c>
      <c r="R561" s="5">
        <f>IF(B561="","",IF(AH561=1,0,MIN(5,ROUND((U561+V561+W561+X561+Y561+Z561+AA561+AB561+AC561+AD561+AE561+AF561+AG561)/13,2))))</f>
        <v/>
      </c>
      <c r="S561" s="3">
        <f>IF(B561="","",IF(R561&gt;=5,"A+",IF(R561&gt;=4,"A",IF(R561&gt;=3.5,"A-",IF(R561&gt;=3,"B",IF(R561&gt;=2,"C",IF(R561&gt;=1,"D","F")))))))</f>
        <v/>
      </c>
      <c r="T561" s="3">
        <f>IF(OR(B561="",S561="F"),"",COUNTIFS(P:P,"&gt;"&amp;P561,S:S,"&lt;&gt;F")+1)</f>
        <v/>
      </c>
      <c r="U561">
        <f>IF(B561="","",IF(C561&lt;33.0,0,IF(C561&gt;=100*0.8,5,IF(C561&gt;=100*0.7,4,IF(C561&gt;=100*0.6,3.5,IF(C561&gt;=100*0.5,3,IF(C561&gt;=100*0.4,2,IF(C561&gt;=100*0.33,1,0))))))))</f>
        <v/>
      </c>
      <c r="V561">
        <f>IF(B561="","",IF(D561&lt;33.0,0,IF(D561&gt;=100*0.8,5,IF(D561&gt;=100*0.7,4,IF(D561&gt;=100*0.6,3.5,IF(D561&gt;=100*0.5,3,IF(D561&gt;=100*0.4,2,IF(D561&gt;=100*0.33,1,0))))))))</f>
        <v/>
      </c>
      <c r="W561">
        <f>IF(B561="","",IF(E561&lt;16.5,0,IF(E561&gt;=50*0.8,5,IF(E561&gt;=50*0.7,4,IF(E561&gt;=50*0.6,3.5,IF(E561&gt;=50*0.5,3,IF(E561&gt;=50*0.4,2,IF(E561&gt;=50*0.33,1,0))))))))</f>
        <v/>
      </c>
      <c r="X561">
        <f>IF(B561="","",IF(F561&lt;33.0,0,IF(F561&gt;=100*0.8,5,IF(F561&gt;=100*0.7,4,IF(F561&gt;=100*0.6,3.5,IF(F561&gt;=100*0.5,3,IF(F561&gt;=100*0.4,2,IF(F561&gt;=100*0.33,1,0))))))))</f>
        <v/>
      </c>
      <c r="Y561">
        <f>IF(B561="","",IF(G561&lt;16.5,0,IF(G561&gt;=50*0.8,5,IF(G561&gt;=50*0.7,4,IF(G561&gt;=50*0.6,3.5,IF(G561&gt;=50*0.5,3,IF(G561&gt;=50*0.4,2,IF(G561&gt;=50*0.33,1,0))))))))</f>
        <v/>
      </c>
      <c r="Z561">
        <f>IF(B561="","",IF(H561&lt;33.0,0,IF(H561&gt;=100*0.8,5,IF(H561&gt;=100*0.7,4,IF(H561&gt;=100*0.6,3.5,IF(H561&gt;=100*0.5,3,IF(H561&gt;=100*0.4,2,IF(H561&gt;=100*0.33,1,0))))))))</f>
        <v/>
      </c>
      <c r="AA561">
        <f>IF(B561="","",IF(I561&lt;33.0,0,IF(I561&gt;=100*0.8,5,IF(I561&gt;=100*0.7,4,IF(I561&gt;=100*0.6,3.5,IF(I561&gt;=100*0.5,3,IF(I561&gt;=100*0.4,2,IF(I561&gt;=100*0.33,1,0))))))))</f>
        <v/>
      </c>
      <c r="AB561">
        <f>IF(B561="","",IF(J561&lt;33.0,0,IF(J561&gt;=100*0.8,5,IF(J561&gt;=100*0.7,4,IF(J561&gt;=100*0.6,3.5,IF(J561&gt;=100*0.5,3,IF(J561&gt;=100*0.4,2,IF(J561&gt;=100*0.33,1,0))))))))</f>
        <v/>
      </c>
      <c r="AC561">
        <f>IF(B561="","",IF(K561&lt;33.0,0,IF(K561&gt;=100*0.8,5,IF(K561&gt;=100*0.7,4,IF(K561&gt;=100*0.6,3.5,IF(K561&gt;=100*0.5,3,IF(K561&gt;=100*0.4,2,IF(K561&gt;=100*0.33,1,0))))))))</f>
        <v/>
      </c>
      <c r="AD561">
        <f>IF(B561="","",IF(L561&lt;33.0,0,IF(L561&gt;=100*0.8,5,IF(L561&gt;=100*0.7,4,IF(L561&gt;=100*0.6,3.5,IF(L561&gt;=100*0.5,3,IF(L561&gt;=100*0.4,2,IF(L561&gt;=100*0.33,1,0))))))))</f>
        <v/>
      </c>
      <c r="AE561">
        <f>IF(B561="","",IF(M561&lt;33.0,0,IF(M561&gt;=100*0.8,5,IF(M561&gt;=100*0.7,4,IF(M561&gt;=100*0.6,3.5,IF(M561&gt;=100*0.5,3,IF(M561&gt;=100*0.4,2,IF(M561&gt;=100*0.33,1,0))))))))</f>
        <v/>
      </c>
      <c r="AF561">
        <f>IF(B561="","",IF(N561&lt;16.5,0,IF(N561&gt;=50*0.8,5,IF(N561&gt;=50*0.7,4,IF(N561&gt;=50*0.6,3.5,IF(N561&gt;=50*0.5,3,IF(N561&gt;=50*0.4,2,IF(N561&gt;=50*0.33,1,0))))))))</f>
        <v/>
      </c>
      <c r="AG561">
        <f>IF(B561="","",IF(O561&lt;33.0,0,IF(O561&gt;=100*0.8,5,IF(O561&gt;=100*0.7,4,IF(O561&gt;=100*0.6,3.5,IF(O561&gt;=100*0.5,3,IF(O561&gt;=100*0.4,2,IF(O561&gt;=100*0.33,1,0))))))))</f>
        <v/>
      </c>
      <c r="AH561">
        <f>IF(B561="","",IF(OR(U561=0,V561=0,W561=0,X561=0,Y561=0,Z561=0,AA561=0,AB561=0,AC561=0,AD561=0,AE561=0,AF561=0,AG561=0),1,0))</f>
        <v/>
      </c>
    </row>
    <row r="562">
      <c r="A562" s="3">
        <f>IF(B562="","",ROW()-2)</f>
        <v/>
      </c>
      <c r="P562" s="4">
        <f>IF(B562="","",SUM(C562:O562))</f>
        <v/>
      </c>
      <c r="Q562" s="5">
        <f>IF(B562="","",ROUND(P562/13,2))</f>
        <v/>
      </c>
      <c r="R562" s="5">
        <f>IF(B562="","",IF(AH562=1,0,MIN(5,ROUND((U562+V562+W562+X562+Y562+Z562+AA562+AB562+AC562+AD562+AE562+AF562+AG562)/13,2))))</f>
        <v/>
      </c>
      <c r="S562" s="3">
        <f>IF(B562="","",IF(R562&gt;=5,"A+",IF(R562&gt;=4,"A",IF(R562&gt;=3.5,"A-",IF(R562&gt;=3,"B",IF(R562&gt;=2,"C",IF(R562&gt;=1,"D","F")))))))</f>
        <v/>
      </c>
      <c r="T562" s="3">
        <f>IF(OR(B562="",S562="F"),"",COUNTIFS(P:P,"&gt;"&amp;P562,S:S,"&lt;&gt;F")+1)</f>
        <v/>
      </c>
      <c r="U562">
        <f>IF(B562="","",IF(C562&lt;33.0,0,IF(C562&gt;=100*0.8,5,IF(C562&gt;=100*0.7,4,IF(C562&gt;=100*0.6,3.5,IF(C562&gt;=100*0.5,3,IF(C562&gt;=100*0.4,2,IF(C562&gt;=100*0.33,1,0))))))))</f>
        <v/>
      </c>
      <c r="V562">
        <f>IF(B562="","",IF(D562&lt;33.0,0,IF(D562&gt;=100*0.8,5,IF(D562&gt;=100*0.7,4,IF(D562&gt;=100*0.6,3.5,IF(D562&gt;=100*0.5,3,IF(D562&gt;=100*0.4,2,IF(D562&gt;=100*0.33,1,0))))))))</f>
        <v/>
      </c>
      <c r="W562">
        <f>IF(B562="","",IF(E562&lt;16.5,0,IF(E562&gt;=50*0.8,5,IF(E562&gt;=50*0.7,4,IF(E562&gt;=50*0.6,3.5,IF(E562&gt;=50*0.5,3,IF(E562&gt;=50*0.4,2,IF(E562&gt;=50*0.33,1,0))))))))</f>
        <v/>
      </c>
      <c r="X562">
        <f>IF(B562="","",IF(F562&lt;33.0,0,IF(F562&gt;=100*0.8,5,IF(F562&gt;=100*0.7,4,IF(F562&gt;=100*0.6,3.5,IF(F562&gt;=100*0.5,3,IF(F562&gt;=100*0.4,2,IF(F562&gt;=100*0.33,1,0))))))))</f>
        <v/>
      </c>
      <c r="Y562">
        <f>IF(B562="","",IF(G562&lt;16.5,0,IF(G562&gt;=50*0.8,5,IF(G562&gt;=50*0.7,4,IF(G562&gt;=50*0.6,3.5,IF(G562&gt;=50*0.5,3,IF(G562&gt;=50*0.4,2,IF(G562&gt;=50*0.33,1,0))))))))</f>
        <v/>
      </c>
      <c r="Z562">
        <f>IF(B562="","",IF(H562&lt;33.0,0,IF(H562&gt;=100*0.8,5,IF(H562&gt;=100*0.7,4,IF(H562&gt;=100*0.6,3.5,IF(H562&gt;=100*0.5,3,IF(H562&gt;=100*0.4,2,IF(H562&gt;=100*0.33,1,0))))))))</f>
        <v/>
      </c>
      <c r="AA562">
        <f>IF(B562="","",IF(I562&lt;33.0,0,IF(I562&gt;=100*0.8,5,IF(I562&gt;=100*0.7,4,IF(I562&gt;=100*0.6,3.5,IF(I562&gt;=100*0.5,3,IF(I562&gt;=100*0.4,2,IF(I562&gt;=100*0.33,1,0))))))))</f>
        <v/>
      </c>
      <c r="AB562">
        <f>IF(B562="","",IF(J562&lt;33.0,0,IF(J562&gt;=100*0.8,5,IF(J562&gt;=100*0.7,4,IF(J562&gt;=100*0.6,3.5,IF(J562&gt;=100*0.5,3,IF(J562&gt;=100*0.4,2,IF(J562&gt;=100*0.33,1,0))))))))</f>
        <v/>
      </c>
      <c r="AC562">
        <f>IF(B562="","",IF(K562&lt;33.0,0,IF(K562&gt;=100*0.8,5,IF(K562&gt;=100*0.7,4,IF(K562&gt;=100*0.6,3.5,IF(K562&gt;=100*0.5,3,IF(K562&gt;=100*0.4,2,IF(K562&gt;=100*0.33,1,0))))))))</f>
        <v/>
      </c>
      <c r="AD562">
        <f>IF(B562="","",IF(L562&lt;33.0,0,IF(L562&gt;=100*0.8,5,IF(L562&gt;=100*0.7,4,IF(L562&gt;=100*0.6,3.5,IF(L562&gt;=100*0.5,3,IF(L562&gt;=100*0.4,2,IF(L562&gt;=100*0.33,1,0))))))))</f>
        <v/>
      </c>
      <c r="AE562">
        <f>IF(B562="","",IF(M562&lt;33.0,0,IF(M562&gt;=100*0.8,5,IF(M562&gt;=100*0.7,4,IF(M562&gt;=100*0.6,3.5,IF(M562&gt;=100*0.5,3,IF(M562&gt;=100*0.4,2,IF(M562&gt;=100*0.33,1,0))))))))</f>
        <v/>
      </c>
      <c r="AF562">
        <f>IF(B562="","",IF(N562&lt;16.5,0,IF(N562&gt;=50*0.8,5,IF(N562&gt;=50*0.7,4,IF(N562&gt;=50*0.6,3.5,IF(N562&gt;=50*0.5,3,IF(N562&gt;=50*0.4,2,IF(N562&gt;=50*0.33,1,0))))))))</f>
        <v/>
      </c>
      <c r="AG562">
        <f>IF(B562="","",IF(O562&lt;33.0,0,IF(O562&gt;=100*0.8,5,IF(O562&gt;=100*0.7,4,IF(O562&gt;=100*0.6,3.5,IF(O562&gt;=100*0.5,3,IF(O562&gt;=100*0.4,2,IF(O562&gt;=100*0.33,1,0))))))))</f>
        <v/>
      </c>
      <c r="AH562">
        <f>IF(B562="","",IF(OR(U562=0,V562=0,W562=0,X562=0,Y562=0,Z562=0,AA562=0,AB562=0,AC562=0,AD562=0,AE562=0,AF562=0,AG562=0),1,0))</f>
        <v/>
      </c>
    </row>
    <row r="563">
      <c r="A563" s="3">
        <f>IF(B563="","",ROW()-2)</f>
        <v/>
      </c>
      <c r="P563" s="4">
        <f>IF(B563="","",SUM(C563:O563))</f>
        <v/>
      </c>
      <c r="Q563" s="5">
        <f>IF(B563="","",ROUND(P563/13,2))</f>
        <v/>
      </c>
      <c r="R563" s="5">
        <f>IF(B563="","",IF(AH563=1,0,MIN(5,ROUND((U563+V563+W563+X563+Y563+Z563+AA563+AB563+AC563+AD563+AE563+AF563+AG563)/13,2))))</f>
        <v/>
      </c>
      <c r="S563" s="3">
        <f>IF(B563="","",IF(R563&gt;=5,"A+",IF(R563&gt;=4,"A",IF(R563&gt;=3.5,"A-",IF(R563&gt;=3,"B",IF(R563&gt;=2,"C",IF(R563&gt;=1,"D","F")))))))</f>
        <v/>
      </c>
      <c r="T563" s="3">
        <f>IF(OR(B563="",S563="F"),"",COUNTIFS(P:P,"&gt;"&amp;P563,S:S,"&lt;&gt;F")+1)</f>
        <v/>
      </c>
      <c r="U563">
        <f>IF(B563="","",IF(C563&lt;33.0,0,IF(C563&gt;=100*0.8,5,IF(C563&gt;=100*0.7,4,IF(C563&gt;=100*0.6,3.5,IF(C563&gt;=100*0.5,3,IF(C563&gt;=100*0.4,2,IF(C563&gt;=100*0.33,1,0))))))))</f>
        <v/>
      </c>
      <c r="V563">
        <f>IF(B563="","",IF(D563&lt;33.0,0,IF(D563&gt;=100*0.8,5,IF(D563&gt;=100*0.7,4,IF(D563&gt;=100*0.6,3.5,IF(D563&gt;=100*0.5,3,IF(D563&gt;=100*0.4,2,IF(D563&gt;=100*0.33,1,0))))))))</f>
        <v/>
      </c>
      <c r="W563">
        <f>IF(B563="","",IF(E563&lt;16.5,0,IF(E563&gt;=50*0.8,5,IF(E563&gt;=50*0.7,4,IF(E563&gt;=50*0.6,3.5,IF(E563&gt;=50*0.5,3,IF(E563&gt;=50*0.4,2,IF(E563&gt;=50*0.33,1,0))))))))</f>
        <v/>
      </c>
      <c r="X563">
        <f>IF(B563="","",IF(F563&lt;33.0,0,IF(F563&gt;=100*0.8,5,IF(F563&gt;=100*0.7,4,IF(F563&gt;=100*0.6,3.5,IF(F563&gt;=100*0.5,3,IF(F563&gt;=100*0.4,2,IF(F563&gt;=100*0.33,1,0))))))))</f>
        <v/>
      </c>
      <c r="Y563">
        <f>IF(B563="","",IF(G563&lt;16.5,0,IF(G563&gt;=50*0.8,5,IF(G563&gt;=50*0.7,4,IF(G563&gt;=50*0.6,3.5,IF(G563&gt;=50*0.5,3,IF(G563&gt;=50*0.4,2,IF(G563&gt;=50*0.33,1,0))))))))</f>
        <v/>
      </c>
      <c r="Z563">
        <f>IF(B563="","",IF(H563&lt;33.0,0,IF(H563&gt;=100*0.8,5,IF(H563&gt;=100*0.7,4,IF(H563&gt;=100*0.6,3.5,IF(H563&gt;=100*0.5,3,IF(H563&gt;=100*0.4,2,IF(H563&gt;=100*0.33,1,0))))))))</f>
        <v/>
      </c>
      <c r="AA563">
        <f>IF(B563="","",IF(I563&lt;33.0,0,IF(I563&gt;=100*0.8,5,IF(I563&gt;=100*0.7,4,IF(I563&gt;=100*0.6,3.5,IF(I563&gt;=100*0.5,3,IF(I563&gt;=100*0.4,2,IF(I563&gt;=100*0.33,1,0))))))))</f>
        <v/>
      </c>
      <c r="AB563">
        <f>IF(B563="","",IF(J563&lt;33.0,0,IF(J563&gt;=100*0.8,5,IF(J563&gt;=100*0.7,4,IF(J563&gt;=100*0.6,3.5,IF(J563&gt;=100*0.5,3,IF(J563&gt;=100*0.4,2,IF(J563&gt;=100*0.33,1,0))))))))</f>
        <v/>
      </c>
      <c r="AC563">
        <f>IF(B563="","",IF(K563&lt;33.0,0,IF(K563&gt;=100*0.8,5,IF(K563&gt;=100*0.7,4,IF(K563&gt;=100*0.6,3.5,IF(K563&gt;=100*0.5,3,IF(K563&gt;=100*0.4,2,IF(K563&gt;=100*0.33,1,0))))))))</f>
        <v/>
      </c>
      <c r="AD563">
        <f>IF(B563="","",IF(L563&lt;33.0,0,IF(L563&gt;=100*0.8,5,IF(L563&gt;=100*0.7,4,IF(L563&gt;=100*0.6,3.5,IF(L563&gt;=100*0.5,3,IF(L563&gt;=100*0.4,2,IF(L563&gt;=100*0.33,1,0))))))))</f>
        <v/>
      </c>
      <c r="AE563">
        <f>IF(B563="","",IF(M563&lt;33.0,0,IF(M563&gt;=100*0.8,5,IF(M563&gt;=100*0.7,4,IF(M563&gt;=100*0.6,3.5,IF(M563&gt;=100*0.5,3,IF(M563&gt;=100*0.4,2,IF(M563&gt;=100*0.33,1,0))))))))</f>
        <v/>
      </c>
      <c r="AF563">
        <f>IF(B563="","",IF(N563&lt;16.5,0,IF(N563&gt;=50*0.8,5,IF(N563&gt;=50*0.7,4,IF(N563&gt;=50*0.6,3.5,IF(N563&gt;=50*0.5,3,IF(N563&gt;=50*0.4,2,IF(N563&gt;=50*0.33,1,0))))))))</f>
        <v/>
      </c>
      <c r="AG563">
        <f>IF(B563="","",IF(O563&lt;33.0,0,IF(O563&gt;=100*0.8,5,IF(O563&gt;=100*0.7,4,IF(O563&gt;=100*0.6,3.5,IF(O563&gt;=100*0.5,3,IF(O563&gt;=100*0.4,2,IF(O563&gt;=100*0.33,1,0))))))))</f>
        <v/>
      </c>
      <c r="AH563">
        <f>IF(B563="","",IF(OR(U563=0,V563=0,W563=0,X563=0,Y563=0,Z563=0,AA563=0,AB563=0,AC563=0,AD563=0,AE563=0,AF563=0,AG563=0),1,0))</f>
        <v/>
      </c>
    </row>
    <row r="564">
      <c r="A564" s="3">
        <f>IF(B564="","",ROW()-2)</f>
        <v/>
      </c>
      <c r="P564" s="4">
        <f>IF(B564="","",SUM(C564:O564))</f>
        <v/>
      </c>
      <c r="Q564" s="5">
        <f>IF(B564="","",ROUND(P564/13,2))</f>
        <v/>
      </c>
      <c r="R564" s="5">
        <f>IF(B564="","",IF(AH564=1,0,MIN(5,ROUND((U564+V564+W564+X564+Y564+Z564+AA564+AB564+AC564+AD564+AE564+AF564+AG564)/13,2))))</f>
        <v/>
      </c>
      <c r="S564" s="3">
        <f>IF(B564="","",IF(R564&gt;=5,"A+",IF(R564&gt;=4,"A",IF(R564&gt;=3.5,"A-",IF(R564&gt;=3,"B",IF(R564&gt;=2,"C",IF(R564&gt;=1,"D","F")))))))</f>
        <v/>
      </c>
      <c r="T564" s="3">
        <f>IF(OR(B564="",S564="F"),"",COUNTIFS(P:P,"&gt;"&amp;P564,S:S,"&lt;&gt;F")+1)</f>
        <v/>
      </c>
      <c r="U564">
        <f>IF(B564="","",IF(C564&lt;33.0,0,IF(C564&gt;=100*0.8,5,IF(C564&gt;=100*0.7,4,IF(C564&gt;=100*0.6,3.5,IF(C564&gt;=100*0.5,3,IF(C564&gt;=100*0.4,2,IF(C564&gt;=100*0.33,1,0))))))))</f>
        <v/>
      </c>
      <c r="V564">
        <f>IF(B564="","",IF(D564&lt;33.0,0,IF(D564&gt;=100*0.8,5,IF(D564&gt;=100*0.7,4,IF(D564&gt;=100*0.6,3.5,IF(D564&gt;=100*0.5,3,IF(D564&gt;=100*0.4,2,IF(D564&gt;=100*0.33,1,0))))))))</f>
        <v/>
      </c>
      <c r="W564">
        <f>IF(B564="","",IF(E564&lt;16.5,0,IF(E564&gt;=50*0.8,5,IF(E564&gt;=50*0.7,4,IF(E564&gt;=50*0.6,3.5,IF(E564&gt;=50*0.5,3,IF(E564&gt;=50*0.4,2,IF(E564&gt;=50*0.33,1,0))))))))</f>
        <v/>
      </c>
      <c r="X564">
        <f>IF(B564="","",IF(F564&lt;33.0,0,IF(F564&gt;=100*0.8,5,IF(F564&gt;=100*0.7,4,IF(F564&gt;=100*0.6,3.5,IF(F564&gt;=100*0.5,3,IF(F564&gt;=100*0.4,2,IF(F564&gt;=100*0.33,1,0))))))))</f>
        <v/>
      </c>
      <c r="Y564">
        <f>IF(B564="","",IF(G564&lt;16.5,0,IF(G564&gt;=50*0.8,5,IF(G564&gt;=50*0.7,4,IF(G564&gt;=50*0.6,3.5,IF(G564&gt;=50*0.5,3,IF(G564&gt;=50*0.4,2,IF(G564&gt;=50*0.33,1,0))))))))</f>
        <v/>
      </c>
      <c r="Z564">
        <f>IF(B564="","",IF(H564&lt;33.0,0,IF(H564&gt;=100*0.8,5,IF(H564&gt;=100*0.7,4,IF(H564&gt;=100*0.6,3.5,IF(H564&gt;=100*0.5,3,IF(H564&gt;=100*0.4,2,IF(H564&gt;=100*0.33,1,0))))))))</f>
        <v/>
      </c>
      <c r="AA564">
        <f>IF(B564="","",IF(I564&lt;33.0,0,IF(I564&gt;=100*0.8,5,IF(I564&gt;=100*0.7,4,IF(I564&gt;=100*0.6,3.5,IF(I564&gt;=100*0.5,3,IF(I564&gt;=100*0.4,2,IF(I564&gt;=100*0.33,1,0))))))))</f>
        <v/>
      </c>
      <c r="AB564">
        <f>IF(B564="","",IF(J564&lt;33.0,0,IF(J564&gt;=100*0.8,5,IF(J564&gt;=100*0.7,4,IF(J564&gt;=100*0.6,3.5,IF(J564&gt;=100*0.5,3,IF(J564&gt;=100*0.4,2,IF(J564&gt;=100*0.33,1,0))))))))</f>
        <v/>
      </c>
      <c r="AC564">
        <f>IF(B564="","",IF(K564&lt;33.0,0,IF(K564&gt;=100*0.8,5,IF(K564&gt;=100*0.7,4,IF(K564&gt;=100*0.6,3.5,IF(K564&gt;=100*0.5,3,IF(K564&gt;=100*0.4,2,IF(K564&gt;=100*0.33,1,0))))))))</f>
        <v/>
      </c>
      <c r="AD564">
        <f>IF(B564="","",IF(L564&lt;33.0,0,IF(L564&gt;=100*0.8,5,IF(L564&gt;=100*0.7,4,IF(L564&gt;=100*0.6,3.5,IF(L564&gt;=100*0.5,3,IF(L564&gt;=100*0.4,2,IF(L564&gt;=100*0.33,1,0))))))))</f>
        <v/>
      </c>
      <c r="AE564">
        <f>IF(B564="","",IF(M564&lt;33.0,0,IF(M564&gt;=100*0.8,5,IF(M564&gt;=100*0.7,4,IF(M564&gt;=100*0.6,3.5,IF(M564&gt;=100*0.5,3,IF(M564&gt;=100*0.4,2,IF(M564&gt;=100*0.33,1,0))))))))</f>
        <v/>
      </c>
      <c r="AF564">
        <f>IF(B564="","",IF(N564&lt;16.5,0,IF(N564&gt;=50*0.8,5,IF(N564&gt;=50*0.7,4,IF(N564&gt;=50*0.6,3.5,IF(N564&gt;=50*0.5,3,IF(N564&gt;=50*0.4,2,IF(N564&gt;=50*0.33,1,0))))))))</f>
        <v/>
      </c>
      <c r="AG564">
        <f>IF(B564="","",IF(O564&lt;33.0,0,IF(O564&gt;=100*0.8,5,IF(O564&gt;=100*0.7,4,IF(O564&gt;=100*0.6,3.5,IF(O564&gt;=100*0.5,3,IF(O564&gt;=100*0.4,2,IF(O564&gt;=100*0.33,1,0))))))))</f>
        <v/>
      </c>
      <c r="AH564">
        <f>IF(B564="","",IF(OR(U564=0,V564=0,W564=0,X564=0,Y564=0,Z564=0,AA564=0,AB564=0,AC564=0,AD564=0,AE564=0,AF564=0,AG564=0),1,0))</f>
        <v/>
      </c>
    </row>
    <row r="565">
      <c r="A565" s="3">
        <f>IF(B565="","",ROW()-2)</f>
        <v/>
      </c>
      <c r="P565" s="4">
        <f>IF(B565="","",SUM(C565:O565))</f>
        <v/>
      </c>
      <c r="Q565" s="5">
        <f>IF(B565="","",ROUND(P565/13,2))</f>
        <v/>
      </c>
      <c r="R565" s="5">
        <f>IF(B565="","",IF(AH565=1,0,MIN(5,ROUND((U565+V565+W565+X565+Y565+Z565+AA565+AB565+AC565+AD565+AE565+AF565+AG565)/13,2))))</f>
        <v/>
      </c>
      <c r="S565" s="3">
        <f>IF(B565="","",IF(R565&gt;=5,"A+",IF(R565&gt;=4,"A",IF(R565&gt;=3.5,"A-",IF(R565&gt;=3,"B",IF(R565&gt;=2,"C",IF(R565&gt;=1,"D","F")))))))</f>
        <v/>
      </c>
      <c r="T565" s="3">
        <f>IF(OR(B565="",S565="F"),"",COUNTIFS(P:P,"&gt;"&amp;P565,S:S,"&lt;&gt;F")+1)</f>
        <v/>
      </c>
      <c r="U565">
        <f>IF(B565="","",IF(C565&lt;33.0,0,IF(C565&gt;=100*0.8,5,IF(C565&gt;=100*0.7,4,IF(C565&gt;=100*0.6,3.5,IF(C565&gt;=100*0.5,3,IF(C565&gt;=100*0.4,2,IF(C565&gt;=100*0.33,1,0))))))))</f>
        <v/>
      </c>
      <c r="V565">
        <f>IF(B565="","",IF(D565&lt;33.0,0,IF(D565&gt;=100*0.8,5,IF(D565&gt;=100*0.7,4,IF(D565&gt;=100*0.6,3.5,IF(D565&gt;=100*0.5,3,IF(D565&gt;=100*0.4,2,IF(D565&gt;=100*0.33,1,0))))))))</f>
        <v/>
      </c>
      <c r="W565">
        <f>IF(B565="","",IF(E565&lt;16.5,0,IF(E565&gt;=50*0.8,5,IF(E565&gt;=50*0.7,4,IF(E565&gt;=50*0.6,3.5,IF(E565&gt;=50*0.5,3,IF(E565&gt;=50*0.4,2,IF(E565&gt;=50*0.33,1,0))))))))</f>
        <v/>
      </c>
      <c r="X565">
        <f>IF(B565="","",IF(F565&lt;33.0,0,IF(F565&gt;=100*0.8,5,IF(F565&gt;=100*0.7,4,IF(F565&gt;=100*0.6,3.5,IF(F565&gt;=100*0.5,3,IF(F565&gt;=100*0.4,2,IF(F565&gt;=100*0.33,1,0))))))))</f>
        <v/>
      </c>
      <c r="Y565">
        <f>IF(B565="","",IF(G565&lt;16.5,0,IF(G565&gt;=50*0.8,5,IF(G565&gt;=50*0.7,4,IF(G565&gt;=50*0.6,3.5,IF(G565&gt;=50*0.5,3,IF(G565&gt;=50*0.4,2,IF(G565&gt;=50*0.33,1,0))))))))</f>
        <v/>
      </c>
      <c r="Z565">
        <f>IF(B565="","",IF(H565&lt;33.0,0,IF(H565&gt;=100*0.8,5,IF(H565&gt;=100*0.7,4,IF(H565&gt;=100*0.6,3.5,IF(H565&gt;=100*0.5,3,IF(H565&gt;=100*0.4,2,IF(H565&gt;=100*0.33,1,0))))))))</f>
        <v/>
      </c>
      <c r="AA565">
        <f>IF(B565="","",IF(I565&lt;33.0,0,IF(I565&gt;=100*0.8,5,IF(I565&gt;=100*0.7,4,IF(I565&gt;=100*0.6,3.5,IF(I565&gt;=100*0.5,3,IF(I565&gt;=100*0.4,2,IF(I565&gt;=100*0.33,1,0))))))))</f>
        <v/>
      </c>
      <c r="AB565">
        <f>IF(B565="","",IF(J565&lt;33.0,0,IF(J565&gt;=100*0.8,5,IF(J565&gt;=100*0.7,4,IF(J565&gt;=100*0.6,3.5,IF(J565&gt;=100*0.5,3,IF(J565&gt;=100*0.4,2,IF(J565&gt;=100*0.33,1,0))))))))</f>
        <v/>
      </c>
      <c r="AC565">
        <f>IF(B565="","",IF(K565&lt;33.0,0,IF(K565&gt;=100*0.8,5,IF(K565&gt;=100*0.7,4,IF(K565&gt;=100*0.6,3.5,IF(K565&gt;=100*0.5,3,IF(K565&gt;=100*0.4,2,IF(K565&gt;=100*0.33,1,0))))))))</f>
        <v/>
      </c>
      <c r="AD565">
        <f>IF(B565="","",IF(L565&lt;33.0,0,IF(L565&gt;=100*0.8,5,IF(L565&gt;=100*0.7,4,IF(L565&gt;=100*0.6,3.5,IF(L565&gt;=100*0.5,3,IF(L565&gt;=100*0.4,2,IF(L565&gt;=100*0.33,1,0))))))))</f>
        <v/>
      </c>
      <c r="AE565">
        <f>IF(B565="","",IF(M565&lt;33.0,0,IF(M565&gt;=100*0.8,5,IF(M565&gt;=100*0.7,4,IF(M565&gt;=100*0.6,3.5,IF(M565&gt;=100*0.5,3,IF(M565&gt;=100*0.4,2,IF(M565&gt;=100*0.33,1,0))))))))</f>
        <v/>
      </c>
      <c r="AF565">
        <f>IF(B565="","",IF(N565&lt;16.5,0,IF(N565&gt;=50*0.8,5,IF(N565&gt;=50*0.7,4,IF(N565&gt;=50*0.6,3.5,IF(N565&gt;=50*0.5,3,IF(N565&gt;=50*0.4,2,IF(N565&gt;=50*0.33,1,0))))))))</f>
        <v/>
      </c>
      <c r="AG565">
        <f>IF(B565="","",IF(O565&lt;33.0,0,IF(O565&gt;=100*0.8,5,IF(O565&gt;=100*0.7,4,IF(O565&gt;=100*0.6,3.5,IF(O565&gt;=100*0.5,3,IF(O565&gt;=100*0.4,2,IF(O565&gt;=100*0.33,1,0))))))))</f>
        <v/>
      </c>
      <c r="AH565">
        <f>IF(B565="","",IF(OR(U565=0,V565=0,W565=0,X565=0,Y565=0,Z565=0,AA565=0,AB565=0,AC565=0,AD565=0,AE565=0,AF565=0,AG565=0),1,0))</f>
        <v/>
      </c>
    </row>
    <row r="566">
      <c r="A566" s="3">
        <f>IF(B566="","",ROW()-2)</f>
        <v/>
      </c>
      <c r="P566" s="4">
        <f>IF(B566="","",SUM(C566:O566))</f>
        <v/>
      </c>
      <c r="Q566" s="5">
        <f>IF(B566="","",ROUND(P566/13,2))</f>
        <v/>
      </c>
      <c r="R566" s="5">
        <f>IF(B566="","",IF(AH566=1,0,MIN(5,ROUND((U566+V566+W566+X566+Y566+Z566+AA566+AB566+AC566+AD566+AE566+AF566+AG566)/13,2))))</f>
        <v/>
      </c>
      <c r="S566" s="3">
        <f>IF(B566="","",IF(R566&gt;=5,"A+",IF(R566&gt;=4,"A",IF(R566&gt;=3.5,"A-",IF(R566&gt;=3,"B",IF(R566&gt;=2,"C",IF(R566&gt;=1,"D","F")))))))</f>
        <v/>
      </c>
      <c r="T566" s="3">
        <f>IF(OR(B566="",S566="F"),"",COUNTIFS(P:P,"&gt;"&amp;P566,S:S,"&lt;&gt;F")+1)</f>
        <v/>
      </c>
      <c r="U566">
        <f>IF(B566="","",IF(C566&lt;33.0,0,IF(C566&gt;=100*0.8,5,IF(C566&gt;=100*0.7,4,IF(C566&gt;=100*0.6,3.5,IF(C566&gt;=100*0.5,3,IF(C566&gt;=100*0.4,2,IF(C566&gt;=100*0.33,1,0))))))))</f>
        <v/>
      </c>
      <c r="V566">
        <f>IF(B566="","",IF(D566&lt;33.0,0,IF(D566&gt;=100*0.8,5,IF(D566&gt;=100*0.7,4,IF(D566&gt;=100*0.6,3.5,IF(D566&gt;=100*0.5,3,IF(D566&gt;=100*0.4,2,IF(D566&gt;=100*0.33,1,0))))))))</f>
        <v/>
      </c>
      <c r="W566">
        <f>IF(B566="","",IF(E566&lt;16.5,0,IF(E566&gt;=50*0.8,5,IF(E566&gt;=50*0.7,4,IF(E566&gt;=50*0.6,3.5,IF(E566&gt;=50*0.5,3,IF(E566&gt;=50*0.4,2,IF(E566&gt;=50*0.33,1,0))))))))</f>
        <v/>
      </c>
      <c r="X566">
        <f>IF(B566="","",IF(F566&lt;33.0,0,IF(F566&gt;=100*0.8,5,IF(F566&gt;=100*0.7,4,IF(F566&gt;=100*0.6,3.5,IF(F566&gt;=100*0.5,3,IF(F566&gt;=100*0.4,2,IF(F566&gt;=100*0.33,1,0))))))))</f>
        <v/>
      </c>
      <c r="Y566">
        <f>IF(B566="","",IF(G566&lt;16.5,0,IF(G566&gt;=50*0.8,5,IF(G566&gt;=50*0.7,4,IF(G566&gt;=50*0.6,3.5,IF(G566&gt;=50*0.5,3,IF(G566&gt;=50*0.4,2,IF(G566&gt;=50*0.33,1,0))))))))</f>
        <v/>
      </c>
      <c r="Z566">
        <f>IF(B566="","",IF(H566&lt;33.0,0,IF(H566&gt;=100*0.8,5,IF(H566&gt;=100*0.7,4,IF(H566&gt;=100*0.6,3.5,IF(H566&gt;=100*0.5,3,IF(H566&gt;=100*0.4,2,IF(H566&gt;=100*0.33,1,0))))))))</f>
        <v/>
      </c>
      <c r="AA566">
        <f>IF(B566="","",IF(I566&lt;33.0,0,IF(I566&gt;=100*0.8,5,IF(I566&gt;=100*0.7,4,IF(I566&gt;=100*0.6,3.5,IF(I566&gt;=100*0.5,3,IF(I566&gt;=100*0.4,2,IF(I566&gt;=100*0.33,1,0))))))))</f>
        <v/>
      </c>
      <c r="AB566">
        <f>IF(B566="","",IF(J566&lt;33.0,0,IF(J566&gt;=100*0.8,5,IF(J566&gt;=100*0.7,4,IF(J566&gt;=100*0.6,3.5,IF(J566&gt;=100*0.5,3,IF(J566&gt;=100*0.4,2,IF(J566&gt;=100*0.33,1,0))))))))</f>
        <v/>
      </c>
      <c r="AC566">
        <f>IF(B566="","",IF(K566&lt;33.0,0,IF(K566&gt;=100*0.8,5,IF(K566&gt;=100*0.7,4,IF(K566&gt;=100*0.6,3.5,IF(K566&gt;=100*0.5,3,IF(K566&gt;=100*0.4,2,IF(K566&gt;=100*0.33,1,0))))))))</f>
        <v/>
      </c>
      <c r="AD566">
        <f>IF(B566="","",IF(L566&lt;33.0,0,IF(L566&gt;=100*0.8,5,IF(L566&gt;=100*0.7,4,IF(L566&gt;=100*0.6,3.5,IF(L566&gt;=100*0.5,3,IF(L566&gt;=100*0.4,2,IF(L566&gt;=100*0.33,1,0))))))))</f>
        <v/>
      </c>
      <c r="AE566">
        <f>IF(B566="","",IF(M566&lt;33.0,0,IF(M566&gt;=100*0.8,5,IF(M566&gt;=100*0.7,4,IF(M566&gt;=100*0.6,3.5,IF(M566&gt;=100*0.5,3,IF(M566&gt;=100*0.4,2,IF(M566&gt;=100*0.33,1,0))))))))</f>
        <v/>
      </c>
      <c r="AF566">
        <f>IF(B566="","",IF(N566&lt;16.5,0,IF(N566&gt;=50*0.8,5,IF(N566&gt;=50*0.7,4,IF(N566&gt;=50*0.6,3.5,IF(N566&gt;=50*0.5,3,IF(N566&gt;=50*0.4,2,IF(N566&gt;=50*0.33,1,0))))))))</f>
        <v/>
      </c>
      <c r="AG566">
        <f>IF(B566="","",IF(O566&lt;33.0,0,IF(O566&gt;=100*0.8,5,IF(O566&gt;=100*0.7,4,IF(O566&gt;=100*0.6,3.5,IF(O566&gt;=100*0.5,3,IF(O566&gt;=100*0.4,2,IF(O566&gt;=100*0.33,1,0))))))))</f>
        <v/>
      </c>
      <c r="AH566">
        <f>IF(B566="","",IF(OR(U566=0,V566=0,W566=0,X566=0,Y566=0,Z566=0,AA566=0,AB566=0,AC566=0,AD566=0,AE566=0,AF566=0,AG566=0),1,0))</f>
        <v/>
      </c>
    </row>
    <row r="567">
      <c r="A567" s="3">
        <f>IF(B567="","",ROW()-2)</f>
        <v/>
      </c>
      <c r="P567" s="4">
        <f>IF(B567="","",SUM(C567:O567))</f>
        <v/>
      </c>
      <c r="Q567" s="5">
        <f>IF(B567="","",ROUND(P567/13,2))</f>
        <v/>
      </c>
      <c r="R567" s="5">
        <f>IF(B567="","",IF(AH567=1,0,MIN(5,ROUND((U567+V567+W567+X567+Y567+Z567+AA567+AB567+AC567+AD567+AE567+AF567+AG567)/13,2))))</f>
        <v/>
      </c>
      <c r="S567" s="3">
        <f>IF(B567="","",IF(R567&gt;=5,"A+",IF(R567&gt;=4,"A",IF(R567&gt;=3.5,"A-",IF(R567&gt;=3,"B",IF(R567&gt;=2,"C",IF(R567&gt;=1,"D","F")))))))</f>
        <v/>
      </c>
      <c r="T567" s="3">
        <f>IF(OR(B567="",S567="F"),"",COUNTIFS(P:P,"&gt;"&amp;P567,S:S,"&lt;&gt;F")+1)</f>
        <v/>
      </c>
      <c r="U567">
        <f>IF(B567="","",IF(C567&lt;33.0,0,IF(C567&gt;=100*0.8,5,IF(C567&gt;=100*0.7,4,IF(C567&gt;=100*0.6,3.5,IF(C567&gt;=100*0.5,3,IF(C567&gt;=100*0.4,2,IF(C567&gt;=100*0.33,1,0))))))))</f>
        <v/>
      </c>
      <c r="V567">
        <f>IF(B567="","",IF(D567&lt;33.0,0,IF(D567&gt;=100*0.8,5,IF(D567&gt;=100*0.7,4,IF(D567&gt;=100*0.6,3.5,IF(D567&gt;=100*0.5,3,IF(D567&gt;=100*0.4,2,IF(D567&gt;=100*0.33,1,0))))))))</f>
        <v/>
      </c>
      <c r="W567">
        <f>IF(B567="","",IF(E567&lt;16.5,0,IF(E567&gt;=50*0.8,5,IF(E567&gt;=50*0.7,4,IF(E567&gt;=50*0.6,3.5,IF(E567&gt;=50*0.5,3,IF(E567&gt;=50*0.4,2,IF(E567&gt;=50*0.33,1,0))))))))</f>
        <v/>
      </c>
      <c r="X567">
        <f>IF(B567="","",IF(F567&lt;33.0,0,IF(F567&gt;=100*0.8,5,IF(F567&gt;=100*0.7,4,IF(F567&gt;=100*0.6,3.5,IF(F567&gt;=100*0.5,3,IF(F567&gt;=100*0.4,2,IF(F567&gt;=100*0.33,1,0))))))))</f>
        <v/>
      </c>
      <c r="Y567">
        <f>IF(B567="","",IF(G567&lt;16.5,0,IF(G567&gt;=50*0.8,5,IF(G567&gt;=50*0.7,4,IF(G567&gt;=50*0.6,3.5,IF(G567&gt;=50*0.5,3,IF(G567&gt;=50*0.4,2,IF(G567&gt;=50*0.33,1,0))))))))</f>
        <v/>
      </c>
      <c r="Z567">
        <f>IF(B567="","",IF(H567&lt;33.0,0,IF(H567&gt;=100*0.8,5,IF(H567&gt;=100*0.7,4,IF(H567&gt;=100*0.6,3.5,IF(H567&gt;=100*0.5,3,IF(H567&gt;=100*0.4,2,IF(H567&gt;=100*0.33,1,0))))))))</f>
        <v/>
      </c>
      <c r="AA567">
        <f>IF(B567="","",IF(I567&lt;33.0,0,IF(I567&gt;=100*0.8,5,IF(I567&gt;=100*0.7,4,IF(I567&gt;=100*0.6,3.5,IF(I567&gt;=100*0.5,3,IF(I567&gt;=100*0.4,2,IF(I567&gt;=100*0.33,1,0))))))))</f>
        <v/>
      </c>
      <c r="AB567">
        <f>IF(B567="","",IF(J567&lt;33.0,0,IF(J567&gt;=100*0.8,5,IF(J567&gt;=100*0.7,4,IF(J567&gt;=100*0.6,3.5,IF(J567&gt;=100*0.5,3,IF(J567&gt;=100*0.4,2,IF(J567&gt;=100*0.33,1,0))))))))</f>
        <v/>
      </c>
      <c r="AC567">
        <f>IF(B567="","",IF(K567&lt;33.0,0,IF(K567&gt;=100*0.8,5,IF(K567&gt;=100*0.7,4,IF(K567&gt;=100*0.6,3.5,IF(K567&gt;=100*0.5,3,IF(K567&gt;=100*0.4,2,IF(K567&gt;=100*0.33,1,0))))))))</f>
        <v/>
      </c>
      <c r="AD567">
        <f>IF(B567="","",IF(L567&lt;33.0,0,IF(L567&gt;=100*0.8,5,IF(L567&gt;=100*0.7,4,IF(L567&gt;=100*0.6,3.5,IF(L567&gt;=100*0.5,3,IF(L567&gt;=100*0.4,2,IF(L567&gt;=100*0.33,1,0))))))))</f>
        <v/>
      </c>
      <c r="AE567">
        <f>IF(B567="","",IF(M567&lt;33.0,0,IF(M567&gt;=100*0.8,5,IF(M567&gt;=100*0.7,4,IF(M567&gt;=100*0.6,3.5,IF(M567&gt;=100*0.5,3,IF(M567&gt;=100*0.4,2,IF(M567&gt;=100*0.33,1,0))))))))</f>
        <v/>
      </c>
      <c r="AF567">
        <f>IF(B567="","",IF(N567&lt;16.5,0,IF(N567&gt;=50*0.8,5,IF(N567&gt;=50*0.7,4,IF(N567&gt;=50*0.6,3.5,IF(N567&gt;=50*0.5,3,IF(N567&gt;=50*0.4,2,IF(N567&gt;=50*0.33,1,0))))))))</f>
        <v/>
      </c>
      <c r="AG567">
        <f>IF(B567="","",IF(O567&lt;33.0,0,IF(O567&gt;=100*0.8,5,IF(O567&gt;=100*0.7,4,IF(O567&gt;=100*0.6,3.5,IF(O567&gt;=100*0.5,3,IF(O567&gt;=100*0.4,2,IF(O567&gt;=100*0.33,1,0))))))))</f>
        <v/>
      </c>
      <c r="AH567">
        <f>IF(B567="","",IF(OR(U567=0,V567=0,W567=0,X567=0,Y567=0,Z567=0,AA567=0,AB567=0,AC567=0,AD567=0,AE567=0,AF567=0,AG567=0),1,0))</f>
        <v/>
      </c>
    </row>
    <row r="568">
      <c r="A568" s="3">
        <f>IF(B568="","",ROW()-2)</f>
        <v/>
      </c>
      <c r="P568" s="4">
        <f>IF(B568="","",SUM(C568:O568))</f>
        <v/>
      </c>
      <c r="Q568" s="5">
        <f>IF(B568="","",ROUND(P568/13,2))</f>
        <v/>
      </c>
      <c r="R568" s="5">
        <f>IF(B568="","",IF(AH568=1,0,MIN(5,ROUND((U568+V568+W568+X568+Y568+Z568+AA568+AB568+AC568+AD568+AE568+AF568+AG568)/13,2))))</f>
        <v/>
      </c>
      <c r="S568" s="3">
        <f>IF(B568="","",IF(R568&gt;=5,"A+",IF(R568&gt;=4,"A",IF(R568&gt;=3.5,"A-",IF(R568&gt;=3,"B",IF(R568&gt;=2,"C",IF(R568&gt;=1,"D","F")))))))</f>
        <v/>
      </c>
      <c r="T568" s="3">
        <f>IF(OR(B568="",S568="F"),"",COUNTIFS(P:P,"&gt;"&amp;P568,S:S,"&lt;&gt;F")+1)</f>
        <v/>
      </c>
      <c r="U568">
        <f>IF(B568="","",IF(C568&lt;33.0,0,IF(C568&gt;=100*0.8,5,IF(C568&gt;=100*0.7,4,IF(C568&gt;=100*0.6,3.5,IF(C568&gt;=100*0.5,3,IF(C568&gt;=100*0.4,2,IF(C568&gt;=100*0.33,1,0))))))))</f>
        <v/>
      </c>
      <c r="V568">
        <f>IF(B568="","",IF(D568&lt;33.0,0,IF(D568&gt;=100*0.8,5,IF(D568&gt;=100*0.7,4,IF(D568&gt;=100*0.6,3.5,IF(D568&gt;=100*0.5,3,IF(D568&gt;=100*0.4,2,IF(D568&gt;=100*0.33,1,0))))))))</f>
        <v/>
      </c>
      <c r="W568">
        <f>IF(B568="","",IF(E568&lt;16.5,0,IF(E568&gt;=50*0.8,5,IF(E568&gt;=50*0.7,4,IF(E568&gt;=50*0.6,3.5,IF(E568&gt;=50*0.5,3,IF(E568&gt;=50*0.4,2,IF(E568&gt;=50*0.33,1,0))))))))</f>
        <v/>
      </c>
      <c r="X568">
        <f>IF(B568="","",IF(F568&lt;33.0,0,IF(F568&gt;=100*0.8,5,IF(F568&gt;=100*0.7,4,IF(F568&gt;=100*0.6,3.5,IF(F568&gt;=100*0.5,3,IF(F568&gt;=100*0.4,2,IF(F568&gt;=100*0.33,1,0))))))))</f>
        <v/>
      </c>
      <c r="Y568">
        <f>IF(B568="","",IF(G568&lt;16.5,0,IF(G568&gt;=50*0.8,5,IF(G568&gt;=50*0.7,4,IF(G568&gt;=50*0.6,3.5,IF(G568&gt;=50*0.5,3,IF(G568&gt;=50*0.4,2,IF(G568&gt;=50*0.33,1,0))))))))</f>
        <v/>
      </c>
      <c r="Z568">
        <f>IF(B568="","",IF(H568&lt;33.0,0,IF(H568&gt;=100*0.8,5,IF(H568&gt;=100*0.7,4,IF(H568&gt;=100*0.6,3.5,IF(H568&gt;=100*0.5,3,IF(H568&gt;=100*0.4,2,IF(H568&gt;=100*0.33,1,0))))))))</f>
        <v/>
      </c>
      <c r="AA568">
        <f>IF(B568="","",IF(I568&lt;33.0,0,IF(I568&gt;=100*0.8,5,IF(I568&gt;=100*0.7,4,IF(I568&gt;=100*0.6,3.5,IF(I568&gt;=100*0.5,3,IF(I568&gt;=100*0.4,2,IF(I568&gt;=100*0.33,1,0))))))))</f>
        <v/>
      </c>
      <c r="AB568">
        <f>IF(B568="","",IF(J568&lt;33.0,0,IF(J568&gt;=100*0.8,5,IF(J568&gt;=100*0.7,4,IF(J568&gt;=100*0.6,3.5,IF(J568&gt;=100*0.5,3,IF(J568&gt;=100*0.4,2,IF(J568&gt;=100*0.33,1,0))))))))</f>
        <v/>
      </c>
      <c r="AC568">
        <f>IF(B568="","",IF(K568&lt;33.0,0,IF(K568&gt;=100*0.8,5,IF(K568&gt;=100*0.7,4,IF(K568&gt;=100*0.6,3.5,IF(K568&gt;=100*0.5,3,IF(K568&gt;=100*0.4,2,IF(K568&gt;=100*0.33,1,0))))))))</f>
        <v/>
      </c>
      <c r="AD568">
        <f>IF(B568="","",IF(L568&lt;33.0,0,IF(L568&gt;=100*0.8,5,IF(L568&gt;=100*0.7,4,IF(L568&gt;=100*0.6,3.5,IF(L568&gt;=100*0.5,3,IF(L568&gt;=100*0.4,2,IF(L568&gt;=100*0.33,1,0))))))))</f>
        <v/>
      </c>
      <c r="AE568">
        <f>IF(B568="","",IF(M568&lt;33.0,0,IF(M568&gt;=100*0.8,5,IF(M568&gt;=100*0.7,4,IF(M568&gt;=100*0.6,3.5,IF(M568&gt;=100*0.5,3,IF(M568&gt;=100*0.4,2,IF(M568&gt;=100*0.33,1,0))))))))</f>
        <v/>
      </c>
      <c r="AF568">
        <f>IF(B568="","",IF(N568&lt;16.5,0,IF(N568&gt;=50*0.8,5,IF(N568&gt;=50*0.7,4,IF(N568&gt;=50*0.6,3.5,IF(N568&gt;=50*0.5,3,IF(N568&gt;=50*0.4,2,IF(N568&gt;=50*0.33,1,0))))))))</f>
        <v/>
      </c>
      <c r="AG568">
        <f>IF(B568="","",IF(O568&lt;33.0,0,IF(O568&gt;=100*0.8,5,IF(O568&gt;=100*0.7,4,IF(O568&gt;=100*0.6,3.5,IF(O568&gt;=100*0.5,3,IF(O568&gt;=100*0.4,2,IF(O568&gt;=100*0.33,1,0))))))))</f>
        <v/>
      </c>
      <c r="AH568">
        <f>IF(B568="","",IF(OR(U568=0,V568=0,W568=0,X568=0,Y568=0,Z568=0,AA568=0,AB568=0,AC568=0,AD568=0,AE568=0,AF568=0,AG568=0),1,0))</f>
        <v/>
      </c>
    </row>
    <row r="569">
      <c r="A569" s="3">
        <f>IF(B569="","",ROW()-2)</f>
        <v/>
      </c>
      <c r="P569" s="4">
        <f>IF(B569="","",SUM(C569:O569))</f>
        <v/>
      </c>
      <c r="Q569" s="5">
        <f>IF(B569="","",ROUND(P569/13,2))</f>
        <v/>
      </c>
      <c r="R569" s="5">
        <f>IF(B569="","",IF(AH569=1,0,MIN(5,ROUND((U569+V569+W569+X569+Y569+Z569+AA569+AB569+AC569+AD569+AE569+AF569+AG569)/13,2))))</f>
        <v/>
      </c>
      <c r="S569" s="3">
        <f>IF(B569="","",IF(R569&gt;=5,"A+",IF(R569&gt;=4,"A",IF(R569&gt;=3.5,"A-",IF(R569&gt;=3,"B",IF(R569&gt;=2,"C",IF(R569&gt;=1,"D","F")))))))</f>
        <v/>
      </c>
      <c r="T569" s="3">
        <f>IF(OR(B569="",S569="F"),"",COUNTIFS(P:P,"&gt;"&amp;P569,S:S,"&lt;&gt;F")+1)</f>
        <v/>
      </c>
      <c r="U569">
        <f>IF(B569="","",IF(C569&lt;33.0,0,IF(C569&gt;=100*0.8,5,IF(C569&gt;=100*0.7,4,IF(C569&gt;=100*0.6,3.5,IF(C569&gt;=100*0.5,3,IF(C569&gt;=100*0.4,2,IF(C569&gt;=100*0.33,1,0))))))))</f>
        <v/>
      </c>
      <c r="V569">
        <f>IF(B569="","",IF(D569&lt;33.0,0,IF(D569&gt;=100*0.8,5,IF(D569&gt;=100*0.7,4,IF(D569&gt;=100*0.6,3.5,IF(D569&gt;=100*0.5,3,IF(D569&gt;=100*0.4,2,IF(D569&gt;=100*0.33,1,0))))))))</f>
        <v/>
      </c>
      <c r="W569">
        <f>IF(B569="","",IF(E569&lt;16.5,0,IF(E569&gt;=50*0.8,5,IF(E569&gt;=50*0.7,4,IF(E569&gt;=50*0.6,3.5,IF(E569&gt;=50*0.5,3,IF(E569&gt;=50*0.4,2,IF(E569&gt;=50*0.33,1,0))))))))</f>
        <v/>
      </c>
      <c r="X569">
        <f>IF(B569="","",IF(F569&lt;33.0,0,IF(F569&gt;=100*0.8,5,IF(F569&gt;=100*0.7,4,IF(F569&gt;=100*0.6,3.5,IF(F569&gt;=100*0.5,3,IF(F569&gt;=100*0.4,2,IF(F569&gt;=100*0.33,1,0))))))))</f>
        <v/>
      </c>
      <c r="Y569">
        <f>IF(B569="","",IF(G569&lt;16.5,0,IF(G569&gt;=50*0.8,5,IF(G569&gt;=50*0.7,4,IF(G569&gt;=50*0.6,3.5,IF(G569&gt;=50*0.5,3,IF(G569&gt;=50*0.4,2,IF(G569&gt;=50*0.33,1,0))))))))</f>
        <v/>
      </c>
      <c r="Z569">
        <f>IF(B569="","",IF(H569&lt;33.0,0,IF(H569&gt;=100*0.8,5,IF(H569&gt;=100*0.7,4,IF(H569&gt;=100*0.6,3.5,IF(H569&gt;=100*0.5,3,IF(H569&gt;=100*0.4,2,IF(H569&gt;=100*0.33,1,0))))))))</f>
        <v/>
      </c>
      <c r="AA569">
        <f>IF(B569="","",IF(I569&lt;33.0,0,IF(I569&gt;=100*0.8,5,IF(I569&gt;=100*0.7,4,IF(I569&gt;=100*0.6,3.5,IF(I569&gt;=100*0.5,3,IF(I569&gt;=100*0.4,2,IF(I569&gt;=100*0.33,1,0))))))))</f>
        <v/>
      </c>
      <c r="AB569">
        <f>IF(B569="","",IF(J569&lt;33.0,0,IF(J569&gt;=100*0.8,5,IF(J569&gt;=100*0.7,4,IF(J569&gt;=100*0.6,3.5,IF(J569&gt;=100*0.5,3,IF(J569&gt;=100*0.4,2,IF(J569&gt;=100*0.33,1,0))))))))</f>
        <v/>
      </c>
      <c r="AC569">
        <f>IF(B569="","",IF(K569&lt;33.0,0,IF(K569&gt;=100*0.8,5,IF(K569&gt;=100*0.7,4,IF(K569&gt;=100*0.6,3.5,IF(K569&gt;=100*0.5,3,IF(K569&gt;=100*0.4,2,IF(K569&gt;=100*0.33,1,0))))))))</f>
        <v/>
      </c>
      <c r="AD569">
        <f>IF(B569="","",IF(L569&lt;33.0,0,IF(L569&gt;=100*0.8,5,IF(L569&gt;=100*0.7,4,IF(L569&gt;=100*0.6,3.5,IF(L569&gt;=100*0.5,3,IF(L569&gt;=100*0.4,2,IF(L569&gt;=100*0.33,1,0))))))))</f>
        <v/>
      </c>
      <c r="AE569">
        <f>IF(B569="","",IF(M569&lt;33.0,0,IF(M569&gt;=100*0.8,5,IF(M569&gt;=100*0.7,4,IF(M569&gt;=100*0.6,3.5,IF(M569&gt;=100*0.5,3,IF(M569&gt;=100*0.4,2,IF(M569&gt;=100*0.33,1,0))))))))</f>
        <v/>
      </c>
      <c r="AF569">
        <f>IF(B569="","",IF(N569&lt;16.5,0,IF(N569&gt;=50*0.8,5,IF(N569&gt;=50*0.7,4,IF(N569&gt;=50*0.6,3.5,IF(N569&gt;=50*0.5,3,IF(N569&gt;=50*0.4,2,IF(N569&gt;=50*0.33,1,0))))))))</f>
        <v/>
      </c>
      <c r="AG569">
        <f>IF(B569="","",IF(O569&lt;33.0,0,IF(O569&gt;=100*0.8,5,IF(O569&gt;=100*0.7,4,IF(O569&gt;=100*0.6,3.5,IF(O569&gt;=100*0.5,3,IF(O569&gt;=100*0.4,2,IF(O569&gt;=100*0.33,1,0))))))))</f>
        <v/>
      </c>
      <c r="AH569">
        <f>IF(B569="","",IF(OR(U569=0,V569=0,W569=0,X569=0,Y569=0,Z569=0,AA569=0,AB569=0,AC569=0,AD569=0,AE569=0,AF569=0,AG569=0),1,0))</f>
        <v/>
      </c>
    </row>
    <row r="570">
      <c r="A570" s="3">
        <f>IF(B570="","",ROW()-2)</f>
        <v/>
      </c>
      <c r="P570" s="4">
        <f>IF(B570="","",SUM(C570:O570))</f>
        <v/>
      </c>
      <c r="Q570" s="5">
        <f>IF(B570="","",ROUND(P570/13,2))</f>
        <v/>
      </c>
      <c r="R570" s="5">
        <f>IF(B570="","",IF(AH570=1,0,MIN(5,ROUND((U570+V570+W570+X570+Y570+Z570+AA570+AB570+AC570+AD570+AE570+AF570+AG570)/13,2))))</f>
        <v/>
      </c>
      <c r="S570" s="3">
        <f>IF(B570="","",IF(R570&gt;=5,"A+",IF(R570&gt;=4,"A",IF(R570&gt;=3.5,"A-",IF(R570&gt;=3,"B",IF(R570&gt;=2,"C",IF(R570&gt;=1,"D","F")))))))</f>
        <v/>
      </c>
      <c r="T570" s="3">
        <f>IF(OR(B570="",S570="F"),"",COUNTIFS(P:P,"&gt;"&amp;P570,S:S,"&lt;&gt;F")+1)</f>
        <v/>
      </c>
      <c r="U570">
        <f>IF(B570="","",IF(C570&lt;33.0,0,IF(C570&gt;=100*0.8,5,IF(C570&gt;=100*0.7,4,IF(C570&gt;=100*0.6,3.5,IF(C570&gt;=100*0.5,3,IF(C570&gt;=100*0.4,2,IF(C570&gt;=100*0.33,1,0))))))))</f>
        <v/>
      </c>
      <c r="V570">
        <f>IF(B570="","",IF(D570&lt;33.0,0,IF(D570&gt;=100*0.8,5,IF(D570&gt;=100*0.7,4,IF(D570&gt;=100*0.6,3.5,IF(D570&gt;=100*0.5,3,IF(D570&gt;=100*0.4,2,IF(D570&gt;=100*0.33,1,0))))))))</f>
        <v/>
      </c>
      <c r="W570">
        <f>IF(B570="","",IF(E570&lt;16.5,0,IF(E570&gt;=50*0.8,5,IF(E570&gt;=50*0.7,4,IF(E570&gt;=50*0.6,3.5,IF(E570&gt;=50*0.5,3,IF(E570&gt;=50*0.4,2,IF(E570&gt;=50*0.33,1,0))))))))</f>
        <v/>
      </c>
      <c r="X570">
        <f>IF(B570="","",IF(F570&lt;33.0,0,IF(F570&gt;=100*0.8,5,IF(F570&gt;=100*0.7,4,IF(F570&gt;=100*0.6,3.5,IF(F570&gt;=100*0.5,3,IF(F570&gt;=100*0.4,2,IF(F570&gt;=100*0.33,1,0))))))))</f>
        <v/>
      </c>
      <c r="Y570">
        <f>IF(B570="","",IF(G570&lt;16.5,0,IF(G570&gt;=50*0.8,5,IF(G570&gt;=50*0.7,4,IF(G570&gt;=50*0.6,3.5,IF(G570&gt;=50*0.5,3,IF(G570&gt;=50*0.4,2,IF(G570&gt;=50*0.33,1,0))))))))</f>
        <v/>
      </c>
      <c r="Z570">
        <f>IF(B570="","",IF(H570&lt;33.0,0,IF(H570&gt;=100*0.8,5,IF(H570&gt;=100*0.7,4,IF(H570&gt;=100*0.6,3.5,IF(H570&gt;=100*0.5,3,IF(H570&gt;=100*0.4,2,IF(H570&gt;=100*0.33,1,0))))))))</f>
        <v/>
      </c>
      <c r="AA570">
        <f>IF(B570="","",IF(I570&lt;33.0,0,IF(I570&gt;=100*0.8,5,IF(I570&gt;=100*0.7,4,IF(I570&gt;=100*0.6,3.5,IF(I570&gt;=100*0.5,3,IF(I570&gt;=100*0.4,2,IF(I570&gt;=100*0.33,1,0))))))))</f>
        <v/>
      </c>
      <c r="AB570">
        <f>IF(B570="","",IF(J570&lt;33.0,0,IF(J570&gt;=100*0.8,5,IF(J570&gt;=100*0.7,4,IF(J570&gt;=100*0.6,3.5,IF(J570&gt;=100*0.5,3,IF(J570&gt;=100*0.4,2,IF(J570&gt;=100*0.33,1,0))))))))</f>
        <v/>
      </c>
      <c r="AC570">
        <f>IF(B570="","",IF(K570&lt;33.0,0,IF(K570&gt;=100*0.8,5,IF(K570&gt;=100*0.7,4,IF(K570&gt;=100*0.6,3.5,IF(K570&gt;=100*0.5,3,IF(K570&gt;=100*0.4,2,IF(K570&gt;=100*0.33,1,0))))))))</f>
        <v/>
      </c>
      <c r="AD570">
        <f>IF(B570="","",IF(L570&lt;33.0,0,IF(L570&gt;=100*0.8,5,IF(L570&gt;=100*0.7,4,IF(L570&gt;=100*0.6,3.5,IF(L570&gt;=100*0.5,3,IF(L570&gt;=100*0.4,2,IF(L570&gt;=100*0.33,1,0))))))))</f>
        <v/>
      </c>
      <c r="AE570">
        <f>IF(B570="","",IF(M570&lt;33.0,0,IF(M570&gt;=100*0.8,5,IF(M570&gt;=100*0.7,4,IF(M570&gt;=100*0.6,3.5,IF(M570&gt;=100*0.5,3,IF(M570&gt;=100*0.4,2,IF(M570&gt;=100*0.33,1,0))))))))</f>
        <v/>
      </c>
      <c r="AF570">
        <f>IF(B570="","",IF(N570&lt;16.5,0,IF(N570&gt;=50*0.8,5,IF(N570&gt;=50*0.7,4,IF(N570&gt;=50*0.6,3.5,IF(N570&gt;=50*0.5,3,IF(N570&gt;=50*0.4,2,IF(N570&gt;=50*0.33,1,0))))))))</f>
        <v/>
      </c>
      <c r="AG570">
        <f>IF(B570="","",IF(O570&lt;33.0,0,IF(O570&gt;=100*0.8,5,IF(O570&gt;=100*0.7,4,IF(O570&gt;=100*0.6,3.5,IF(O570&gt;=100*0.5,3,IF(O570&gt;=100*0.4,2,IF(O570&gt;=100*0.33,1,0))))))))</f>
        <v/>
      </c>
      <c r="AH570">
        <f>IF(B570="","",IF(OR(U570=0,V570=0,W570=0,X570=0,Y570=0,Z570=0,AA570=0,AB570=0,AC570=0,AD570=0,AE570=0,AF570=0,AG570=0),1,0))</f>
        <v/>
      </c>
    </row>
    <row r="571">
      <c r="A571" s="3">
        <f>IF(B571="","",ROW()-2)</f>
        <v/>
      </c>
      <c r="P571" s="4">
        <f>IF(B571="","",SUM(C571:O571))</f>
        <v/>
      </c>
      <c r="Q571" s="5">
        <f>IF(B571="","",ROUND(P571/13,2))</f>
        <v/>
      </c>
      <c r="R571" s="5">
        <f>IF(B571="","",IF(AH571=1,0,MIN(5,ROUND((U571+V571+W571+X571+Y571+Z571+AA571+AB571+AC571+AD571+AE571+AF571+AG571)/13,2))))</f>
        <v/>
      </c>
      <c r="S571" s="3">
        <f>IF(B571="","",IF(R571&gt;=5,"A+",IF(R571&gt;=4,"A",IF(R571&gt;=3.5,"A-",IF(R571&gt;=3,"B",IF(R571&gt;=2,"C",IF(R571&gt;=1,"D","F")))))))</f>
        <v/>
      </c>
      <c r="T571" s="3">
        <f>IF(OR(B571="",S571="F"),"",COUNTIFS(P:P,"&gt;"&amp;P571,S:S,"&lt;&gt;F")+1)</f>
        <v/>
      </c>
      <c r="U571">
        <f>IF(B571="","",IF(C571&lt;33.0,0,IF(C571&gt;=100*0.8,5,IF(C571&gt;=100*0.7,4,IF(C571&gt;=100*0.6,3.5,IF(C571&gt;=100*0.5,3,IF(C571&gt;=100*0.4,2,IF(C571&gt;=100*0.33,1,0))))))))</f>
        <v/>
      </c>
      <c r="V571">
        <f>IF(B571="","",IF(D571&lt;33.0,0,IF(D571&gt;=100*0.8,5,IF(D571&gt;=100*0.7,4,IF(D571&gt;=100*0.6,3.5,IF(D571&gt;=100*0.5,3,IF(D571&gt;=100*0.4,2,IF(D571&gt;=100*0.33,1,0))))))))</f>
        <v/>
      </c>
      <c r="W571">
        <f>IF(B571="","",IF(E571&lt;16.5,0,IF(E571&gt;=50*0.8,5,IF(E571&gt;=50*0.7,4,IF(E571&gt;=50*0.6,3.5,IF(E571&gt;=50*0.5,3,IF(E571&gt;=50*0.4,2,IF(E571&gt;=50*0.33,1,0))))))))</f>
        <v/>
      </c>
      <c r="X571">
        <f>IF(B571="","",IF(F571&lt;33.0,0,IF(F571&gt;=100*0.8,5,IF(F571&gt;=100*0.7,4,IF(F571&gt;=100*0.6,3.5,IF(F571&gt;=100*0.5,3,IF(F571&gt;=100*0.4,2,IF(F571&gt;=100*0.33,1,0))))))))</f>
        <v/>
      </c>
      <c r="Y571">
        <f>IF(B571="","",IF(G571&lt;16.5,0,IF(G571&gt;=50*0.8,5,IF(G571&gt;=50*0.7,4,IF(G571&gt;=50*0.6,3.5,IF(G571&gt;=50*0.5,3,IF(G571&gt;=50*0.4,2,IF(G571&gt;=50*0.33,1,0))))))))</f>
        <v/>
      </c>
      <c r="Z571">
        <f>IF(B571="","",IF(H571&lt;33.0,0,IF(H571&gt;=100*0.8,5,IF(H571&gt;=100*0.7,4,IF(H571&gt;=100*0.6,3.5,IF(H571&gt;=100*0.5,3,IF(H571&gt;=100*0.4,2,IF(H571&gt;=100*0.33,1,0))))))))</f>
        <v/>
      </c>
      <c r="AA571">
        <f>IF(B571="","",IF(I571&lt;33.0,0,IF(I571&gt;=100*0.8,5,IF(I571&gt;=100*0.7,4,IF(I571&gt;=100*0.6,3.5,IF(I571&gt;=100*0.5,3,IF(I571&gt;=100*0.4,2,IF(I571&gt;=100*0.33,1,0))))))))</f>
        <v/>
      </c>
      <c r="AB571">
        <f>IF(B571="","",IF(J571&lt;33.0,0,IF(J571&gt;=100*0.8,5,IF(J571&gt;=100*0.7,4,IF(J571&gt;=100*0.6,3.5,IF(J571&gt;=100*0.5,3,IF(J571&gt;=100*0.4,2,IF(J571&gt;=100*0.33,1,0))))))))</f>
        <v/>
      </c>
      <c r="AC571">
        <f>IF(B571="","",IF(K571&lt;33.0,0,IF(K571&gt;=100*0.8,5,IF(K571&gt;=100*0.7,4,IF(K571&gt;=100*0.6,3.5,IF(K571&gt;=100*0.5,3,IF(K571&gt;=100*0.4,2,IF(K571&gt;=100*0.33,1,0))))))))</f>
        <v/>
      </c>
      <c r="AD571">
        <f>IF(B571="","",IF(L571&lt;33.0,0,IF(L571&gt;=100*0.8,5,IF(L571&gt;=100*0.7,4,IF(L571&gt;=100*0.6,3.5,IF(L571&gt;=100*0.5,3,IF(L571&gt;=100*0.4,2,IF(L571&gt;=100*0.33,1,0))))))))</f>
        <v/>
      </c>
      <c r="AE571">
        <f>IF(B571="","",IF(M571&lt;33.0,0,IF(M571&gt;=100*0.8,5,IF(M571&gt;=100*0.7,4,IF(M571&gt;=100*0.6,3.5,IF(M571&gt;=100*0.5,3,IF(M571&gt;=100*0.4,2,IF(M571&gt;=100*0.33,1,0))))))))</f>
        <v/>
      </c>
      <c r="AF571">
        <f>IF(B571="","",IF(N571&lt;16.5,0,IF(N571&gt;=50*0.8,5,IF(N571&gt;=50*0.7,4,IF(N571&gt;=50*0.6,3.5,IF(N571&gt;=50*0.5,3,IF(N571&gt;=50*0.4,2,IF(N571&gt;=50*0.33,1,0))))))))</f>
        <v/>
      </c>
      <c r="AG571">
        <f>IF(B571="","",IF(O571&lt;33.0,0,IF(O571&gt;=100*0.8,5,IF(O571&gt;=100*0.7,4,IF(O571&gt;=100*0.6,3.5,IF(O571&gt;=100*0.5,3,IF(O571&gt;=100*0.4,2,IF(O571&gt;=100*0.33,1,0))))))))</f>
        <v/>
      </c>
      <c r="AH571">
        <f>IF(B571="","",IF(OR(U571=0,V571=0,W571=0,X571=0,Y571=0,Z571=0,AA571=0,AB571=0,AC571=0,AD571=0,AE571=0,AF571=0,AG571=0),1,0))</f>
        <v/>
      </c>
    </row>
    <row r="572">
      <c r="A572" s="3">
        <f>IF(B572="","",ROW()-2)</f>
        <v/>
      </c>
      <c r="P572" s="4">
        <f>IF(B572="","",SUM(C572:O572))</f>
        <v/>
      </c>
      <c r="Q572" s="5">
        <f>IF(B572="","",ROUND(P572/13,2))</f>
        <v/>
      </c>
      <c r="R572" s="5">
        <f>IF(B572="","",IF(AH572=1,0,MIN(5,ROUND((U572+V572+W572+X572+Y572+Z572+AA572+AB572+AC572+AD572+AE572+AF572+AG572)/13,2))))</f>
        <v/>
      </c>
      <c r="S572" s="3">
        <f>IF(B572="","",IF(R572&gt;=5,"A+",IF(R572&gt;=4,"A",IF(R572&gt;=3.5,"A-",IF(R572&gt;=3,"B",IF(R572&gt;=2,"C",IF(R572&gt;=1,"D","F")))))))</f>
        <v/>
      </c>
      <c r="T572" s="3">
        <f>IF(OR(B572="",S572="F"),"",COUNTIFS(P:P,"&gt;"&amp;P572,S:S,"&lt;&gt;F")+1)</f>
        <v/>
      </c>
      <c r="U572">
        <f>IF(B572="","",IF(C572&lt;33.0,0,IF(C572&gt;=100*0.8,5,IF(C572&gt;=100*0.7,4,IF(C572&gt;=100*0.6,3.5,IF(C572&gt;=100*0.5,3,IF(C572&gt;=100*0.4,2,IF(C572&gt;=100*0.33,1,0))))))))</f>
        <v/>
      </c>
      <c r="V572">
        <f>IF(B572="","",IF(D572&lt;33.0,0,IF(D572&gt;=100*0.8,5,IF(D572&gt;=100*0.7,4,IF(D572&gt;=100*0.6,3.5,IF(D572&gt;=100*0.5,3,IF(D572&gt;=100*0.4,2,IF(D572&gt;=100*0.33,1,0))))))))</f>
        <v/>
      </c>
      <c r="W572">
        <f>IF(B572="","",IF(E572&lt;16.5,0,IF(E572&gt;=50*0.8,5,IF(E572&gt;=50*0.7,4,IF(E572&gt;=50*0.6,3.5,IF(E572&gt;=50*0.5,3,IF(E572&gt;=50*0.4,2,IF(E572&gt;=50*0.33,1,0))))))))</f>
        <v/>
      </c>
      <c r="X572">
        <f>IF(B572="","",IF(F572&lt;33.0,0,IF(F572&gt;=100*0.8,5,IF(F572&gt;=100*0.7,4,IF(F572&gt;=100*0.6,3.5,IF(F572&gt;=100*0.5,3,IF(F572&gt;=100*0.4,2,IF(F572&gt;=100*0.33,1,0))))))))</f>
        <v/>
      </c>
      <c r="Y572">
        <f>IF(B572="","",IF(G572&lt;16.5,0,IF(G572&gt;=50*0.8,5,IF(G572&gt;=50*0.7,4,IF(G572&gt;=50*0.6,3.5,IF(G572&gt;=50*0.5,3,IF(G572&gt;=50*0.4,2,IF(G572&gt;=50*0.33,1,0))))))))</f>
        <v/>
      </c>
      <c r="Z572">
        <f>IF(B572="","",IF(H572&lt;33.0,0,IF(H572&gt;=100*0.8,5,IF(H572&gt;=100*0.7,4,IF(H572&gt;=100*0.6,3.5,IF(H572&gt;=100*0.5,3,IF(H572&gt;=100*0.4,2,IF(H572&gt;=100*0.33,1,0))))))))</f>
        <v/>
      </c>
      <c r="AA572">
        <f>IF(B572="","",IF(I572&lt;33.0,0,IF(I572&gt;=100*0.8,5,IF(I572&gt;=100*0.7,4,IF(I572&gt;=100*0.6,3.5,IF(I572&gt;=100*0.5,3,IF(I572&gt;=100*0.4,2,IF(I572&gt;=100*0.33,1,0))))))))</f>
        <v/>
      </c>
      <c r="AB572">
        <f>IF(B572="","",IF(J572&lt;33.0,0,IF(J572&gt;=100*0.8,5,IF(J572&gt;=100*0.7,4,IF(J572&gt;=100*0.6,3.5,IF(J572&gt;=100*0.5,3,IF(J572&gt;=100*0.4,2,IF(J572&gt;=100*0.33,1,0))))))))</f>
        <v/>
      </c>
      <c r="AC572">
        <f>IF(B572="","",IF(K572&lt;33.0,0,IF(K572&gt;=100*0.8,5,IF(K572&gt;=100*0.7,4,IF(K572&gt;=100*0.6,3.5,IF(K572&gt;=100*0.5,3,IF(K572&gt;=100*0.4,2,IF(K572&gt;=100*0.33,1,0))))))))</f>
        <v/>
      </c>
      <c r="AD572">
        <f>IF(B572="","",IF(L572&lt;33.0,0,IF(L572&gt;=100*0.8,5,IF(L572&gt;=100*0.7,4,IF(L572&gt;=100*0.6,3.5,IF(L572&gt;=100*0.5,3,IF(L572&gt;=100*0.4,2,IF(L572&gt;=100*0.33,1,0))))))))</f>
        <v/>
      </c>
      <c r="AE572">
        <f>IF(B572="","",IF(M572&lt;33.0,0,IF(M572&gt;=100*0.8,5,IF(M572&gt;=100*0.7,4,IF(M572&gt;=100*0.6,3.5,IF(M572&gt;=100*0.5,3,IF(M572&gt;=100*0.4,2,IF(M572&gt;=100*0.33,1,0))))))))</f>
        <v/>
      </c>
      <c r="AF572">
        <f>IF(B572="","",IF(N572&lt;16.5,0,IF(N572&gt;=50*0.8,5,IF(N572&gt;=50*0.7,4,IF(N572&gt;=50*0.6,3.5,IF(N572&gt;=50*0.5,3,IF(N572&gt;=50*0.4,2,IF(N572&gt;=50*0.33,1,0))))))))</f>
        <v/>
      </c>
      <c r="AG572">
        <f>IF(B572="","",IF(O572&lt;33.0,0,IF(O572&gt;=100*0.8,5,IF(O572&gt;=100*0.7,4,IF(O572&gt;=100*0.6,3.5,IF(O572&gt;=100*0.5,3,IF(O572&gt;=100*0.4,2,IF(O572&gt;=100*0.33,1,0))))))))</f>
        <v/>
      </c>
      <c r="AH572">
        <f>IF(B572="","",IF(OR(U572=0,V572=0,W572=0,X572=0,Y572=0,Z572=0,AA572=0,AB572=0,AC572=0,AD572=0,AE572=0,AF572=0,AG572=0),1,0))</f>
        <v/>
      </c>
    </row>
    <row r="573">
      <c r="A573" s="3">
        <f>IF(B573="","",ROW()-2)</f>
        <v/>
      </c>
      <c r="P573" s="4">
        <f>IF(B573="","",SUM(C573:O573))</f>
        <v/>
      </c>
      <c r="Q573" s="5">
        <f>IF(B573="","",ROUND(P573/13,2))</f>
        <v/>
      </c>
      <c r="R573" s="5">
        <f>IF(B573="","",IF(AH573=1,0,MIN(5,ROUND((U573+V573+W573+X573+Y573+Z573+AA573+AB573+AC573+AD573+AE573+AF573+AG573)/13,2))))</f>
        <v/>
      </c>
      <c r="S573" s="3">
        <f>IF(B573="","",IF(R573&gt;=5,"A+",IF(R573&gt;=4,"A",IF(R573&gt;=3.5,"A-",IF(R573&gt;=3,"B",IF(R573&gt;=2,"C",IF(R573&gt;=1,"D","F")))))))</f>
        <v/>
      </c>
      <c r="T573" s="3">
        <f>IF(OR(B573="",S573="F"),"",COUNTIFS(P:P,"&gt;"&amp;P573,S:S,"&lt;&gt;F")+1)</f>
        <v/>
      </c>
      <c r="U573">
        <f>IF(B573="","",IF(C573&lt;33.0,0,IF(C573&gt;=100*0.8,5,IF(C573&gt;=100*0.7,4,IF(C573&gt;=100*0.6,3.5,IF(C573&gt;=100*0.5,3,IF(C573&gt;=100*0.4,2,IF(C573&gt;=100*0.33,1,0))))))))</f>
        <v/>
      </c>
      <c r="V573">
        <f>IF(B573="","",IF(D573&lt;33.0,0,IF(D573&gt;=100*0.8,5,IF(D573&gt;=100*0.7,4,IF(D573&gt;=100*0.6,3.5,IF(D573&gt;=100*0.5,3,IF(D573&gt;=100*0.4,2,IF(D573&gt;=100*0.33,1,0))))))))</f>
        <v/>
      </c>
      <c r="W573">
        <f>IF(B573="","",IF(E573&lt;16.5,0,IF(E573&gt;=50*0.8,5,IF(E573&gt;=50*0.7,4,IF(E573&gt;=50*0.6,3.5,IF(E573&gt;=50*0.5,3,IF(E573&gt;=50*0.4,2,IF(E573&gt;=50*0.33,1,0))))))))</f>
        <v/>
      </c>
      <c r="X573">
        <f>IF(B573="","",IF(F573&lt;33.0,0,IF(F573&gt;=100*0.8,5,IF(F573&gt;=100*0.7,4,IF(F573&gt;=100*0.6,3.5,IF(F573&gt;=100*0.5,3,IF(F573&gt;=100*0.4,2,IF(F573&gt;=100*0.33,1,0))))))))</f>
        <v/>
      </c>
      <c r="Y573">
        <f>IF(B573="","",IF(G573&lt;16.5,0,IF(G573&gt;=50*0.8,5,IF(G573&gt;=50*0.7,4,IF(G573&gt;=50*0.6,3.5,IF(G573&gt;=50*0.5,3,IF(G573&gt;=50*0.4,2,IF(G573&gt;=50*0.33,1,0))))))))</f>
        <v/>
      </c>
      <c r="Z573">
        <f>IF(B573="","",IF(H573&lt;33.0,0,IF(H573&gt;=100*0.8,5,IF(H573&gt;=100*0.7,4,IF(H573&gt;=100*0.6,3.5,IF(H573&gt;=100*0.5,3,IF(H573&gt;=100*0.4,2,IF(H573&gt;=100*0.33,1,0))))))))</f>
        <v/>
      </c>
      <c r="AA573">
        <f>IF(B573="","",IF(I573&lt;33.0,0,IF(I573&gt;=100*0.8,5,IF(I573&gt;=100*0.7,4,IF(I573&gt;=100*0.6,3.5,IF(I573&gt;=100*0.5,3,IF(I573&gt;=100*0.4,2,IF(I573&gt;=100*0.33,1,0))))))))</f>
        <v/>
      </c>
      <c r="AB573">
        <f>IF(B573="","",IF(J573&lt;33.0,0,IF(J573&gt;=100*0.8,5,IF(J573&gt;=100*0.7,4,IF(J573&gt;=100*0.6,3.5,IF(J573&gt;=100*0.5,3,IF(J573&gt;=100*0.4,2,IF(J573&gt;=100*0.33,1,0))))))))</f>
        <v/>
      </c>
      <c r="AC573">
        <f>IF(B573="","",IF(K573&lt;33.0,0,IF(K573&gt;=100*0.8,5,IF(K573&gt;=100*0.7,4,IF(K573&gt;=100*0.6,3.5,IF(K573&gt;=100*0.5,3,IF(K573&gt;=100*0.4,2,IF(K573&gt;=100*0.33,1,0))))))))</f>
        <v/>
      </c>
      <c r="AD573">
        <f>IF(B573="","",IF(L573&lt;33.0,0,IF(L573&gt;=100*0.8,5,IF(L573&gt;=100*0.7,4,IF(L573&gt;=100*0.6,3.5,IF(L573&gt;=100*0.5,3,IF(L573&gt;=100*0.4,2,IF(L573&gt;=100*0.33,1,0))))))))</f>
        <v/>
      </c>
      <c r="AE573">
        <f>IF(B573="","",IF(M573&lt;33.0,0,IF(M573&gt;=100*0.8,5,IF(M573&gt;=100*0.7,4,IF(M573&gt;=100*0.6,3.5,IF(M573&gt;=100*0.5,3,IF(M573&gt;=100*0.4,2,IF(M573&gt;=100*0.33,1,0))))))))</f>
        <v/>
      </c>
      <c r="AF573">
        <f>IF(B573="","",IF(N573&lt;16.5,0,IF(N573&gt;=50*0.8,5,IF(N573&gt;=50*0.7,4,IF(N573&gt;=50*0.6,3.5,IF(N573&gt;=50*0.5,3,IF(N573&gt;=50*0.4,2,IF(N573&gt;=50*0.33,1,0))))))))</f>
        <v/>
      </c>
      <c r="AG573">
        <f>IF(B573="","",IF(O573&lt;33.0,0,IF(O573&gt;=100*0.8,5,IF(O573&gt;=100*0.7,4,IF(O573&gt;=100*0.6,3.5,IF(O573&gt;=100*0.5,3,IF(O573&gt;=100*0.4,2,IF(O573&gt;=100*0.33,1,0))))))))</f>
        <v/>
      </c>
      <c r="AH573">
        <f>IF(B573="","",IF(OR(U573=0,V573=0,W573=0,X573=0,Y573=0,Z573=0,AA573=0,AB573=0,AC573=0,AD573=0,AE573=0,AF573=0,AG573=0),1,0))</f>
        <v/>
      </c>
    </row>
    <row r="574">
      <c r="A574" s="3">
        <f>IF(B574="","",ROW()-2)</f>
        <v/>
      </c>
      <c r="P574" s="4">
        <f>IF(B574="","",SUM(C574:O574))</f>
        <v/>
      </c>
      <c r="Q574" s="5">
        <f>IF(B574="","",ROUND(P574/13,2))</f>
        <v/>
      </c>
      <c r="R574" s="5">
        <f>IF(B574="","",IF(AH574=1,0,MIN(5,ROUND((U574+V574+W574+X574+Y574+Z574+AA574+AB574+AC574+AD574+AE574+AF574+AG574)/13,2))))</f>
        <v/>
      </c>
      <c r="S574" s="3">
        <f>IF(B574="","",IF(R574&gt;=5,"A+",IF(R574&gt;=4,"A",IF(R574&gt;=3.5,"A-",IF(R574&gt;=3,"B",IF(R574&gt;=2,"C",IF(R574&gt;=1,"D","F")))))))</f>
        <v/>
      </c>
      <c r="T574" s="3">
        <f>IF(OR(B574="",S574="F"),"",COUNTIFS(P:P,"&gt;"&amp;P574,S:S,"&lt;&gt;F")+1)</f>
        <v/>
      </c>
      <c r="U574">
        <f>IF(B574="","",IF(C574&lt;33.0,0,IF(C574&gt;=100*0.8,5,IF(C574&gt;=100*0.7,4,IF(C574&gt;=100*0.6,3.5,IF(C574&gt;=100*0.5,3,IF(C574&gt;=100*0.4,2,IF(C574&gt;=100*0.33,1,0))))))))</f>
        <v/>
      </c>
      <c r="V574">
        <f>IF(B574="","",IF(D574&lt;33.0,0,IF(D574&gt;=100*0.8,5,IF(D574&gt;=100*0.7,4,IF(D574&gt;=100*0.6,3.5,IF(D574&gt;=100*0.5,3,IF(D574&gt;=100*0.4,2,IF(D574&gt;=100*0.33,1,0))))))))</f>
        <v/>
      </c>
      <c r="W574">
        <f>IF(B574="","",IF(E574&lt;16.5,0,IF(E574&gt;=50*0.8,5,IF(E574&gt;=50*0.7,4,IF(E574&gt;=50*0.6,3.5,IF(E574&gt;=50*0.5,3,IF(E574&gt;=50*0.4,2,IF(E574&gt;=50*0.33,1,0))))))))</f>
        <v/>
      </c>
      <c r="X574">
        <f>IF(B574="","",IF(F574&lt;33.0,0,IF(F574&gt;=100*0.8,5,IF(F574&gt;=100*0.7,4,IF(F574&gt;=100*0.6,3.5,IF(F574&gt;=100*0.5,3,IF(F574&gt;=100*0.4,2,IF(F574&gt;=100*0.33,1,0))))))))</f>
        <v/>
      </c>
      <c r="Y574">
        <f>IF(B574="","",IF(G574&lt;16.5,0,IF(G574&gt;=50*0.8,5,IF(G574&gt;=50*0.7,4,IF(G574&gt;=50*0.6,3.5,IF(G574&gt;=50*0.5,3,IF(G574&gt;=50*0.4,2,IF(G574&gt;=50*0.33,1,0))))))))</f>
        <v/>
      </c>
      <c r="Z574">
        <f>IF(B574="","",IF(H574&lt;33.0,0,IF(H574&gt;=100*0.8,5,IF(H574&gt;=100*0.7,4,IF(H574&gt;=100*0.6,3.5,IF(H574&gt;=100*0.5,3,IF(H574&gt;=100*0.4,2,IF(H574&gt;=100*0.33,1,0))))))))</f>
        <v/>
      </c>
      <c r="AA574">
        <f>IF(B574="","",IF(I574&lt;33.0,0,IF(I574&gt;=100*0.8,5,IF(I574&gt;=100*0.7,4,IF(I574&gt;=100*0.6,3.5,IF(I574&gt;=100*0.5,3,IF(I574&gt;=100*0.4,2,IF(I574&gt;=100*0.33,1,0))))))))</f>
        <v/>
      </c>
      <c r="AB574">
        <f>IF(B574="","",IF(J574&lt;33.0,0,IF(J574&gt;=100*0.8,5,IF(J574&gt;=100*0.7,4,IF(J574&gt;=100*0.6,3.5,IF(J574&gt;=100*0.5,3,IF(J574&gt;=100*0.4,2,IF(J574&gt;=100*0.33,1,0))))))))</f>
        <v/>
      </c>
      <c r="AC574">
        <f>IF(B574="","",IF(K574&lt;33.0,0,IF(K574&gt;=100*0.8,5,IF(K574&gt;=100*0.7,4,IF(K574&gt;=100*0.6,3.5,IF(K574&gt;=100*0.5,3,IF(K574&gt;=100*0.4,2,IF(K574&gt;=100*0.33,1,0))))))))</f>
        <v/>
      </c>
      <c r="AD574">
        <f>IF(B574="","",IF(L574&lt;33.0,0,IF(L574&gt;=100*0.8,5,IF(L574&gt;=100*0.7,4,IF(L574&gt;=100*0.6,3.5,IF(L574&gt;=100*0.5,3,IF(L574&gt;=100*0.4,2,IF(L574&gt;=100*0.33,1,0))))))))</f>
        <v/>
      </c>
      <c r="AE574">
        <f>IF(B574="","",IF(M574&lt;33.0,0,IF(M574&gt;=100*0.8,5,IF(M574&gt;=100*0.7,4,IF(M574&gt;=100*0.6,3.5,IF(M574&gt;=100*0.5,3,IF(M574&gt;=100*0.4,2,IF(M574&gt;=100*0.33,1,0))))))))</f>
        <v/>
      </c>
      <c r="AF574">
        <f>IF(B574="","",IF(N574&lt;16.5,0,IF(N574&gt;=50*0.8,5,IF(N574&gt;=50*0.7,4,IF(N574&gt;=50*0.6,3.5,IF(N574&gt;=50*0.5,3,IF(N574&gt;=50*0.4,2,IF(N574&gt;=50*0.33,1,0))))))))</f>
        <v/>
      </c>
      <c r="AG574">
        <f>IF(B574="","",IF(O574&lt;33.0,0,IF(O574&gt;=100*0.8,5,IF(O574&gt;=100*0.7,4,IF(O574&gt;=100*0.6,3.5,IF(O574&gt;=100*0.5,3,IF(O574&gt;=100*0.4,2,IF(O574&gt;=100*0.33,1,0))))))))</f>
        <v/>
      </c>
      <c r="AH574">
        <f>IF(B574="","",IF(OR(U574=0,V574=0,W574=0,X574=0,Y574=0,Z574=0,AA574=0,AB574=0,AC574=0,AD574=0,AE574=0,AF574=0,AG574=0),1,0))</f>
        <v/>
      </c>
    </row>
    <row r="575">
      <c r="A575" s="3">
        <f>IF(B575="","",ROW()-2)</f>
        <v/>
      </c>
      <c r="P575" s="4">
        <f>IF(B575="","",SUM(C575:O575))</f>
        <v/>
      </c>
      <c r="Q575" s="5">
        <f>IF(B575="","",ROUND(P575/13,2))</f>
        <v/>
      </c>
      <c r="R575" s="5">
        <f>IF(B575="","",IF(AH575=1,0,MIN(5,ROUND((U575+V575+W575+X575+Y575+Z575+AA575+AB575+AC575+AD575+AE575+AF575+AG575)/13,2))))</f>
        <v/>
      </c>
      <c r="S575" s="3">
        <f>IF(B575="","",IF(R575&gt;=5,"A+",IF(R575&gt;=4,"A",IF(R575&gt;=3.5,"A-",IF(R575&gt;=3,"B",IF(R575&gt;=2,"C",IF(R575&gt;=1,"D","F")))))))</f>
        <v/>
      </c>
      <c r="T575" s="3">
        <f>IF(OR(B575="",S575="F"),"",COUNTIFS(P:P,"&gt;"&amp;P575,S:S,"&lt;&gt;F")+1)</f>
        <v/>
      </c>
      <c r="U575">
        <f>IF(B575="","",IF(C575&lt;33.0,0,IF(C575&gt;=100*0.8,5,IF(C575&gt;=100*0.7,4,IF(C575&gt;=100*0.6,3.5,IF(C575&gt;=100*0.5,3,IF(C575&gt;=100*0.4,2,IF(C575&gt;=100*0.33,1,0))))))))</f>
        <v/>
      </c>
      <c r="V575">
        <f>IF(B575="","",IF(D575&lt;33.0,0,IF(D575&gt;=100*0.8,5,IF(D575&gt;=100*0.7,4,IF(D575&gt;=100*0.6,3.5,IF(D575&gt;=100*0.5,3,IF(D575&gt;=100*0.4,2,IF(D575&gt;=100*0.33,1,0))))))))</f>
        <v/>
      </c>
      <c r="W575">
        <f>IF(B575="","",IF(E575&lt;16.5,0,IF(E575&gt;=50*0.8,5,IF(E575&gt;=50*0.7,4,IF(E575&gt;=50*0.6,3.5,IF(E575&gt;=50*0.5,3,IF(E575&gt;=50*0.4,2,IF(E575&gt;=50*0.33,1,0))))))))</f>
        <v/>
      </c>
      <c r="X575">
        <f>IF(B575="","",IF(F575&lt;33.0,0,IF(F575&gt;=100*0.8,5,IF(F575&gt;=100*0.7,4,IF(F575&gt;=100*0.6,3.5,IF(F575&gt;=100*0.5,3,IF(F575&gt;=100*0.4,2,IF(F575&gt;=100*0.33,1,0))))))))</f>
        <v/>
      </c>
      <c r="Y575">
        <f>IF(B575="","",IF(G575&lt;16.5,0,IF(G575&gt;=50*0.8,5,IF(G575&gt;=50*0.7,4,IF(G575&gt;=50*0.6,3.5,IF(G575&gt;=50*0.5,3,IF(G575&gt;=50*0.4,2,IF(G575&gt;=50*0.33,1,0))))))))</f>
        <v/>
      </c>
      <c r="Z575">
        <f>IF(B575="","",IF(H575&lt;33.0,0,IF(H575&gt;=100*0.8,5,IF(H575&gt;=100*0.7,4,IF(H575&gt;=100*0.6,3.5,IF(H575&gt;=100*0.5,3,IF(H575&gt;=100*0.4,2,IF(H575&gt;=100*0.33,1,0))))))))</f>
        <v/>
      </c>
      <c r="AA575">
        <f>IF(B575="","",IF(I575&lt;33.0,0,IF(I575&gt;=100*0.8,5,IF(I575&gt;=100*0.7,4,IF(I575&gt;=100*0.6,3.5,IF(I575&gt;=100*0.5,3,IF(I575&gt;=100*0.4,2,IF(I575&gt;=100*0.33,1,0))))))))</f>
        <v/>
      </c>
      <c r="AB575">
        <f>IF(B575="","",IF(J575&lt;33.0,0,IF(J575&gt;=100*0.8,5,IF(J575&gt;=100*0.7,4,IF(J575&gt;=100*0.6,3.5,IF(J575&gt;=100*0.5,3,IF(J575&gt;=100*0.4,2,IF(J575&gt;=100*0.33,1,0))))))))</f>
        <v/>
      </c>
      <c r="AC575">
        <f>IF(B575="","",IF(K575&lt;33.0,0,IF(K575&gt;=100*0.8,5,IF(K575&gt;=100*0.7,4,IF(K575&gt;=100*0.6,3.5,IF(K575&gt;=100*0.5,3,IF(K575&gt;=100*0.4,2,IF(K575&gt;=100*0.33,1,0))))))))</f>
        <v/>
      </c>
      <c r="AD575">
        <f>IF(B575="","",IF(L575&lt;33.0,0,IF(L575&gt;=100*0.8,5,IF(L575&gt;=100*0.7,4,IF(L575&gt;=100*0.6,3.5,IF(L575&gt;=100*0.5,3,IF(L575&gt;=100*0.4,2,IF(L575&gt;=100*0.33,1,0))))))))</f>
        <v/>
      </c>
      <c r="AE575">
        <f>IF(B575="","",IF(M575&lt;33.0,0,IF(M575&gt;=100*0.8,5,IF(M575&gt;=100*0.7,4,IF(M575&gt;=100*0.6,3.5,IF(M575&gt;=100*0.5,3,IF(M575&gt;=100*0.4,2,IF(M575&gt;=100*0.33,1,0))))))))</f>
        <v/>
      </c>
      <c r="AF575">
        <f>IF(B575="","",IF(N575&lt;16.5,0,IF(N575&gt;=50*0.8,5,IF(N575&gt;=50*0.7,4,IF(N575&gt;=50*0.6,3.5,IF(N575&gt;=50*0.5,3,IF(N575&gt;=50*0.4,2,IF(N575&gt;=50*0.33,1,0))))))))</f>
        <v/>
      </c>
      <c r="AG575">
        <f>IF(B575="","",IF(O575&lt;33.0,0,IF(O575&gt;=100*0.8,5,IF(O575&gt;=100*0.7,4,IF(O575&gt;=100*0.6,3.5,IF(O575&gt;=100*0.5,3,IF(O575&gt;=100*0.4,2,IF(O575&gt;=100*0.33,1,0))))))))</f>
        <v/>
      </c>
      <c r="AH575">
        <f>IF(B575="","",IF(OR(U575=0,V575=0,W575=0,X575=0,Y575=0,Z575=0,AA575=0,AB575=0,AC575=0,AD575=0,AE575=0,AF575=0,AG575=0),1,0))</f>
        <v/>
      </c>
    </row>
    <row r="576">
      <c r="A576" s="3">
        <f>IF(B576="","",ROW()-2)</f>
        <v/>
      </c>
      <c r="P576" s="4">
        <f>IF(B576="","",SUM(C576:O576))</f>
        <v/>
      </c>
      <c r="Q576" s="5">
        <f>IF(B576="","",ROUND(P576/13,2))</f>
        <v/>
      </c>
      <c r="R576" s="5">
        <f>IF(B576="","",IF(AH576=1,0,MIN(5,ROUND((U576+V576+W576+X576+Y576+Z576+AA576+AB576+AC576+AD576+AE576+AF576+AG576)/13,2))))</f>
        <v/>
      </c>
      <c r="S576" s="3">
        <f>IF(B576="","",IF(R576&gt;=5,"A+",IF(R576&gt;=4,"A",IF(R576&gt;=3.5,"A-",IF(R576&gt;=3,"B",IF(R576&gt;=2,"C",IF(R576&gt;=1,"D","F")))))))</f>
        <v/>
      </c>
      <c r="T576" s="3">
        <f>IF(OR(B576="",S576="F"),"",COUNTIFS(P:P,"&gt;"&amp;P576,S:S,"&lt;&gt;F")+1)</f>
        <v/>
      </c>
      <c r="U576">
        <f>IF(B576="","",IF(C576&lt;33.0,0,IF(C576&gt;=100*0.8,5,IF(C576&gt;=100*0.7,4,IF(C576&gt;=100*0.6,3.5,IF(C576&gt;=100*0.5,3,IF(C576&gt;=100*0.4,2,IF(C576&gt;=100*0.33,1,0))))))))</f>
        <v/>
      </c>
      <c r="V576">
        <f>IF(B576="","",IF(D576&lt;33.0,0,IF(D576&gt;=100*0.8,5,IF(D576&gt;=100*0.7,4,IF(D576&gt;=100*0.6,3.5,IF(D576&gt;=100*0.5,3,IF(D576&gt;=100*0.4,2,IF(D576&gt;=100*0.33,1,0))))))))</f>
        <v/>
      </c>
      <c r="W576">
        <f>IF(B576="","",IF(E576&lt;16.5,0,IF(E576&gt;=50*0.8,5,IF(E576&gt;=50*0.7,4,IF(E576&gt;=50*0.6,3.5,IF(E576&gt;=50*0.5,3,IF(E576&gt;=50*0.4,2,IF(E576&gt;=50*0.33,1,0))))))))</f>
        <v/>
      </c>
      <c r="X576">
        <f>IF(B576="","",IF(F576&lt;33.0,0,IF(F576&gt;=100*0.8,5,IF(F576&gt;=100*0.7,4,IF(F576&gt;=100*0.6,3.5,IF(F576&gt;=100*0.5,3,IF(F576&gt;=100*0.4,2,IF(F576&gt;=100*0.33,1,0))))))))</f>
        <v/>
      </c>
      <c r="Y576">
        <f>IF(B576="","",IF(G576&lt;16.5,0,IF(G576&gt;=50*0.8,5,IF(G576&gt;=50*0.7,4,IF(G576&gt;=50*0.6,3.5,IF(G576&gt;=50*0.5,3,IF(G576&gt;=50*0.4,2,IF(G576&gt;=50*0.33,1,0))))))))</f>
        <v/>
      </c>
      <c r="Z576">
        <f>IF(B576="","",IF(H576&lt;33.0,0,IF(H576&gt;=100*0.8,5,IF(H576&gt;=100*0.7,4,IF(H576&gt;=100*0.6,3.5,IF(H576&gt;=100*0.5,3,IF(H576&gt;=100*0.4,2,IF(H576&gt;=100*0.33,1,0))))))))</f>
        <v/>
      </c>
      <c r="AA576">
        <f>IF(B576="","",IF(I576&lt;33.0,0,IF(I576&gt;=100*0.8,5,IF(I576&gt;=100*0.7,4,IF(I576&gt;=100*0.6,3.5,IF(I576&gt;=100*0.5,3,IF(I576&gt;=100*0.4,2,IF(I576&gt;=100*0.33,1,0))))))))</f>
        <v/>
      </c>
      <c r="AB576">
        <f>IF(B576="","",IF(J576&lt;33.0,0,IF(J576&gt;=100*0.8,5,IF(J576&gt;=100*0.7,4,IF(J576&gt;=100*0.6,3.5,IF(J576&gt;=100*0.5,3,IF(J576&gt;=100*0.4,2,IF(J576&gt;=100*0.33,1,0))))))))</f>
        <v/>
      </c>
      <c r="AC576">
        <f>IF(B576="","",IF(K576&lt;33.0,0,IF(K576&gt;=100*0.8,5,IF(K576&gt;=100*0.7,4,IF(K576&gt;=100*0.6,3.5,IF(K576&gt;=100*0.5,3,IF(K576&gt;=100*0.4,2,IF(K576&gt;=100*0.33,1,0))))))))</f>
        <v/>
      </c>
      <c r="AD576">
        <f>IF(B576="","",IF(L576&lt;33.0,0,IF(L576&gt;=100*0.8,5,IF(L576&gt;=100*0.7,4,IF(L576&gt;=100*0.6,3.5,IF(L576&gt;=100*0.5,3,IF(L576&gt;=100*0.4,2,IF(L576&gt;=100*0.33,1,0))))))))</f>
        <v/>
      </c>
      <c r="AE576">
        <f>IF(B576="","",IF(M576&lt;33.0,0,IF(M576&gt;=100*0.8,5,IF(M576&gt;=100*0.7,4,IF(M576&gt;=100*0.6,3.5,IF(M576&gt;=100*0.5,3,IF(M576&gt;=100*0.4,2,IF(M576&gt;=100*0.33,1,0))))))))</f>
        <v/>
      </c>
      <c r="AF576">
        <f>IF(B576="","",IF(N576&lt;16.5,0,IF(N576&gt;=50*0.8,5,IF(N576&gt;=50*0.7,4,IF(N576&gt;=50*0.6,3.5,IF(N576&gt;=50*0.5,3,IF(N576&gt;=50*0.4,2,IF(N576&gt;=50*0.33,1,0))))))))</f>
        <v/>
      </c>
      <c r="AG576">
        <f>IF(B576="","",IF(O576&lt;33.0,0,IF(O576&gt;=100*0.8,5,IF(O576&gt;=100*0.7,4,IF(O576&gt;=100*0.6,3.5,IF(O576&gt;=100*0.5,3,IF(O576&gt;=100*0.4,2,IF(O576&gt;=100*0.33,1,0))))))))</f>
        <v/>
      </c>
      <c r="AH576">
        <f>IF(B576="","",IF(OR(U576=0,V576=0,W576=0,X576=0,Y576=0,Z576=0,AA576=0,AB576=0,AC576=0,AD576=0,AE576=0,AF576=0,AG576=0),1,0))</f>
        <v/>
      </c>
    </row>
    <row r="577">
      <c r="A577" s="3">
        <f>IF(B577="","",ROW()-2)</f>
        <v/>
      </c>
      <c r="P577" s="4">
        <f>IF(B577="","",SUM(C577:O577))</f>
        <v/>
      </c>
      <c r="Q577" s="5">
        <f>IF(B577="","",ROUND(P577/13,2))</f>
        <v/>
      </c>
      <c r="R577" s="5">
        <f>IF(B577="","",IF(AH577=1,0,MIN(5,ROUND((U577+V577+W577+X577+Y577+Z577+AA577+AB577+AC577+AD577+AE577+AF577+AG577)/13,2))))</f>
        <v/>
      </c>
      <c r="S577" s="3">
        <f>IF(B577="","",IF(R577&gt;=5,"A+",IF(R577&gt;=4,"A",IF(R577&gt;=3.5,"A-",IF(R577&gt;=3,"B",IF(R577&gt;=2,"C",IF(R577&gt;=1,"D","F")))))))</f>
        <v/>
      </c>
      <c r="T577" s="3">
        <f>IF(OR(B577="",S577="F"),"",COUNTIFS(P:P,"&gt;"&amp;P577,S:S,"&lt;&gt;F")+1)</f>
        <v/>
      </c>
      <c r="U577">
        <f>IF(B577="","",IF(C577&lt;33.0,0,IF(C577&gt;=100*0.8,5,IF(C577&gt;=100*0.7,4,IF(C577&gt;=100*0.6,3.5,IF(C577&gt;=100*0.5,3,IF(C577&gt;=100*0.4,2,IF(C577&gt;=100*0.33,1,0))))))))</f>
        <v/>
      </c>
      <c r="V577">
        <f>IF(B577="","",IF(D577&lt;33.0,0,IF(D577&gt;=100*0.8,5,IF(D577&gt;=100*0.7,4,IF(D577&gt;=100*0.6,3.5,IF(D577&gt;=100*0.5,3,IF(D577&gt;=100*0.4,2,IF(D577&gt;=100*0.33,1,0))))))))</f>
        <v/>
      </c>
      <c r="W577">
        <f>IF(B577="","",IF(E577&lt;16.5,0,IF(E577&gt;=50*0.8,5,IF(E577&gt;=50*0.7,4,IF(E577&gt;=50*0.6,3.5,IF(E577&gt;=50*0.5,3,IF(E577&gt;=50*0.4,2,IF(E577&gt;=50*0.33,1,0))))))))</f>
        <v/>
      </c>
      <c r="X577">
        <f>IF(B577="","",IF(F577&lt;33.0,0,IF(F577&gt;=100*0.8,5,IF(F577&gt;=100*0.7,4,IF(F577&gt;=100*0.6,3.5,IF(F577&gt;=100*0.5,3,IF(F577&gt;=100*0.4,2,IF(F577&gt;=100*0.33,1,0))))))))</f>
        <v/>
      </c>
      <c r="Y577">
        <f>IF(B577="","",IF(G577&lt;16.5,0,IF(G577&gt;=50*0.8,5,IF(G577&gt;=50*0.7,4,IF(G577&gt;=50*0.6,3.5,IF(G577&gt;=50*0.5,3,IF(G577&gt;=50*0.4,2,IF(G577&gt;=50*0.33,1,0))))))))</f>
        <v/>
      </c>
      <c r="Z577">
        <f>IF(B577="","",IF(H577&lt;33.0,0,IF(H577&gt;=100*0.8,5,IF(H577&gt;=100*0.7,4,IF(H577&gt;=100*0.6,3.5,IF(H577&gt;=100*0.5,3,IF(H577&gt;=100*0.4,2,IF(H577&gt;=100*0.33,1,0))))))))</f>
        <v/>
      </c>
      <c r="AA577">
        <f>IF(B577="","",IF(I577&lt;33.0,0,IF(I577&gt;=100*0.8,5,IF(I577&gt;=100*0.7,4,IF(I577&gt;=100*0.6,3.5,IF(I577&gt;=100*0.5,3,IF(I577&gt;=100*0.4,2,IF(I577&gt;=100*0.33,1,0))))))))</f>
        <v/>
      </c>
      <c r="AB577">
        <f>IF(B577="","",IF(J577&lt;33.0,0,IF(J577&gt;=100*0.8,5,IF(J577&gt;=100*0.7,4,IF(J577&gt;=100*0.6,3.5,IF(J577&gt;=100*0.5,3,IF(J577&gt;=100*0.4,2,IF(J577&gt;=100*0.33,1,0))))))))</f>
        <v/>
      </c>
      <c r="AC577">
        <f>IF(B577="","",IF(K577&lt;33.0,0,IF(K577&gt;=100*0.8,5,IF(K577&gt;=100*0.7,4,IF(K577&gt;=100*0.6,3.5,IF(K577&gt;=100*0.5,3,IF(K577&gt;=100*0.4,2,IF(K577&gt;=100*0.33,1,0))))))))</f>
        <v/>
      </c>
      <c r="AD577">
        <f>IF(B577="","",IF(L577&lt;33.0,0,IF(L577&gt;=100*0.8,5,IF(L577&gt;=100*0.7,4,IF(L577&gt;=100*0.6,3.5,IF(L577&gt;=100*0.5,3,IF(L577&gt;=100*0.4,2,IF(L577&gt;=100*0.33,1,0))))))))</f>
        <v/>
      </c>
      <c r="AE577">
        <f>IF(B577="","",IF(M577&lt;33.0,0,IF(M577&gt;=100*0.8,5,IF(M577&gt;=100*0.7,4,IF(M577&gt;=100*0.6,3.5,IF(M577&gt;=100*0.5,3,IF(M577&gt;=100*0.4,2,IF(M577&gt;=100*0.33,1,0))))))))</f>
        <v/>
      </c>
      <c r="AF577">
        <f>IF(B577="","",IF(N577&lt;16.5,0,IF(N577&gt;=50*0.8,5,IF(N577&gt;=50*0.7,4,IF(N577&gt;=50*0.6,3.5,IF(N577&gt;=50*0.5,3,IF(N577&gt;=50*0.4,2,IF(N577&gt;=50*0.33,1,0))))))))</f>
        <v/>
      </c>
      <c r="AG577">
        <f>IF(B577="","",IF(O577&lt;33.0,0,IF(O577&gt;=100*0.8,5,IF(O577&gt;=100*0.7,4,IF(O577&gt;=100*0.6,3.5,IF(O577&gt;=100*0.5,3,IF(O577&gt;=100*0.4,2,IF(O577&gt;=100*0.33,1,0))))))))</f>
        <v/>
      </c>
      <c r="AH577">
        <f>IF(B577="","",IF(OR(U577=0,V577=0,W577=0,X577=0,Y577=0,Z577=0,AA577=0,AB577=0,AC577=0,AD577=0,AE577=0,AF577=0,AG577=0),1,0))</f>
        <v/>
      </c>
    </row>
    <row r="578">
      <c r="A578" s="3">
        <f>IF(B578="","",ROW()-2)</f>
        <v/>
      </c>
      <c r="P578" s="4">
        <f>IF(B578="","",SUM(C578:O578))</f>
        <v/>
      </c>
      <c r="Q578" s="5">
        <f>IF(B578="","",ROUND(P578/13,2))</f>
        <v/>
      </c>
      <c r="R578" s="5">
        <f>IF(B578="","",IF(AH578=1,0,MIN(5,ROUND((U578+V578+W578+X578+Y578+Z578+AA578+AB578+AC578+AD578+AE578+AF578+AG578)/13,2))))</f>
        <v/>
      </c>
      <c r="S578" s="3">
        <f>IF(B578="","",IF(R578&gt;=5,"A+",IF(R578&gt;=4,"A",IF(R578&gt;=3.5,"A-",IF(R578&gt;=3,"B",IF(R578&gt;=2,"C",IF(R578&gt;=1,"D","F")))))))</f>
        <v/>
      </c>
      <c r="T578" s="3">
        <f>IF(OR(B578="",S578="F"),"",COUNTIFS(P:P,"&gt;"&amp;P578,S:S,"&lt;&gt;F")+1)</f>
        <v/>
      </c>
      <c r="U578">
        <f>IF(B578="","",IF(C578&lt;33.0,0,IF(C578&gt;=100*0.8,5,IF(C578&gt;=100*0.7,4,IF(C578&gt;=100*0.6,3.5,IF(C578&gt;=100*0.5,3,IF(C578&gt;=100*0.4,2,IF(C578&gt;=100*0.33,1,0))))))))</f>
        <v/>
      </c>
      <c r="V578">
        <f>IF(B578="","",IF(D578&lt;33.0,0,IF(D578&gt;=100*0.8,5,IF(D578&gt;=100*0.7,4,IF(D578&gt;=100*0.6,3.5,IF(D578&gt;=100*0.5,3,IF(D578&gt;=100*0.4,2,IF(D578&gt;=100*0.33,1,0))))))))</f>
        <v/>
      </c>
      <c r="W578">
        <f>IF(B578="","",IF(E578&lt;16.5,0,IF(E578&gt;=50*0.8,5,IF(E578&gt;=50*0.7,4,IF(E578&gt;=50*0.6,3.5,IF(E578&gt;=50*0.5,3,IF(E578&gt;=50*0.4,2,IF(E578&gt;=50*0.33,1,0))))))))</f>
        <v/>
      </c>
      <c r="X578">
        <f>IF(B578="","",IF(F578&lt;33.0,0,IF(F578&gt;=100*0.8,5,IF(F578&gt;=100*0.7,4,IF(F578&gt;=100*0.6,3.5,IF(F578&gt;=100*0.5,3,IF(F578&gt;=100*0.4,2,IF(F578&gt;=100*0.33,1,0))))))))</f>
        <v/>
      </c>
      <c r="Y578">
        <f>IF(B578="","",IF(G578&lt;16.5,0,IF(G578&gt;=50*0.8,5,IF(G578&gt;=50*0.7,4,IF(G578&gt;=50*0.6,3.5,IF(G578&gt;=50*0.5,3,IF(G578&gt;=50*0.4,2,IF(G578&gt;=50*0.33,1,0))))))))</f>
        <v/>
      </c>
      <c r="Z578">
        <f>IF(B578="","",IF(H578&lt;33.0,0,IF(H578&gt;=100*0.8,5,IF(H578&gt;=100*0.7,4,IF(H578&gt;=100*0.6,3.5,IF(H578&gt;=100*0.5,3,IF(H578&gt;=100*0.4,2,IF(H578&gt;=100*0.33,1,0))))))))</f>
        <v/>
      </c>
      <c r="AA578">
        <f>IF(B578="","",IF(I578&lt;33.0,0,IF(I578&gt;=100*0.8,5,IF(I578&gt;=100*0.7,4,IF(I578&gt;=100*0.6,3.5,IF(I578&gt;=100*0.5,3,IF(I578&gt;=100*0.4,2,IF(I578&gt;=100*0.33,1,0))))))))</f>
        <v/>
      </c>
      <c r="AB578">
        <f>IF(B578="","",IF(J578&lt;33.0,0,IF(J578&gt;=100*0.8,5,IF(J578&gt;=100*0.7,4,IF(J578&gt;=100*0.6,3.5,IF(J578&gt;=100*0.5,3,IF(J578&gt;=100*0.4,2,IF(J578&gt;=100*0.33,1,0))))))))</f>
        <v/>
      </c>
      <c r="AC578">
        <f>IF(B578="","",IF(K578&lt;33.0,0,IF(K578&gt;=100*0.8,5,IF(K578&gt;=100*0.7,4,IF(K578&gt;=100*0.6,3.5,IF(K578&gt;=100*0.5,3,IF(K578&gt;=100*0.4,2,IF(K578&gt;=100*0.33,1,0))))))))</f>
        <v/>
      </c>
      <c r="AD578">
        <f>IF(B578="","",IF(L578&lt;33.0,0,IF(L578&gt;=100*0.8,5,IF(L578&gt;=100*0.7,4,IF(L578&gt;=100*0.6,3.5,IF(L578&gt;=100*0.5,3,IF(L578&gt;=100*0.4,2,IF(L578&gt;=100*0.33,1,0))))))))</f>
        <v/>
      </c>
      <c r="AE578">
        <f>IF(B578="","",IF(M578&lt;33.0,0,IF(M578&gt;=100*0.8,5,IF(M578&gt;=100*0.7,4,IF(M578&gt;=100*0.6,3.5,IF(M578&gt;=100*0.5,3,IF(M578&gt;=100*0.4,2,IF(M578&gt;=100*0.33,1,0))))))))</f>
        <v/>
      </c>
      <c r="AF578">
        <f>IF(B578="","",IF(N578&lt;16.5,0,IF(N578&gt;=50*0.8,5,IF(N578&gt;=50*0.7,4,IF(N578&gt;=50*0.6,3.5,IF(N578&gt;=50*0.5,3,IF(N578&gt;=50*0.4,2,IF(N578&gt;=50*0.33,1,0))))))))</f>
        <v/>
      </c>
      <c r="AG578">
        <f>IF(B578="","",IF(O578&lt;33.0,0,IF(O578&gt;=100*0.8,5,IF(O578&gt;=100*0.7,4,IF(O578&gt;=100*0.6,3.5,IF(O578&gt;=100*0.5,3,IF(O578&gt;=100*0.4,2,IF(O578&gt;=100*0.33,1,0))))))))</f>
        <v/>
      </c>
      <c r="AH578">
        <f>IF(B578="","",IF(OR(U578=0,V578=0,W578=0,X578=0,Y578=0,Z578=0,AA578=0,AB578=0,AC578=0,AD578=0,AE578=0,AF578=0,AG578=0),1,0))</f>
        <v/>
      </c>
    </row>
    <row r="579">
      <c r="A579" s="3">
        <f>IF(B579="","",ROW()-2)</f>
        <v/>
      </c>
      <c r="P579" s="4">
        <f>IF(B579="","",SUM(C579:O579))</f>
        <v/>
      </c>
      <c r="Q579" s="5">
        <f>IF(B579="","",ROUND(P579/13,2))</f>
        <v/>
      </c>
      <c r="R579" s="5">
        <f>IF(B579="","",IF(AH579=1,0,MIN(5,ROUND((U579+V579+W579+X579+Y579+Z579+AA579+AB579+AC579+AD579+AE579+AF579+AG579)/13,2))))</f>
        <v/>
      </c>
      <c r="S579" s="3">
        <f>IF(B579="","",IF(R579&gt;=5,"A+",IF(R579&gt;=4,"A",IF(R579&gt;=3.5,"A-",IF(R579&gt;=3,"B",IF(R579&gt;=2,"C",IF(R579&gt;=1,"D","F")))))))</f>
        <v/>
      </c>
      <c r="T579" s="3">
        <f>IF(OR(B579="",S579="F"),"",COUNTIFS(P:P,"&gt;"&amp;P579,S:S,"&lt;&gt;F")+1)</f>
        <v/>
      </c>
      <c r="U579">
        <f>IF(B579="","",IF(C579&lt;33.0,0,IF(C579&gt;=100*0.8,5,IF(C579&gt;=100*0.7,4,IF(C579&gt;=100*0.6,3.5,IF(C579&gt;=100*0.5,3,IF(C579&gt;=100*0.4,2,IF(C579&gt;=100*0.33,1,0))))))))</f>
        <v/>
      </c>
      <c r="V579">
        <f>IF(B579="","",IF(D579&lt;33.0,0,IF(D579&gt;=100*0.8,5,IF(D579&gt;=100*0.7,4,IF(D579&gt;=100*0.6,3.5,IF(D579&gt;=100*0.5,3,IF(D579&gt;=100*0.4,2,IF(D579&gt;=100*0.33,1,0))))))))</f>
        <v/>
      </c>
      <c r="W579">
        <f>IF(B579="","",IF(E579&lt;16.5,0,IF(E579&gt;=50*0.8,5,IF(E579&gt;=50*0.7,4,IF(E579&gt;=50*0.6,3.5,IF(E579&gt;=50*0.5,3,IF(E579&gt;=50*0.4,2,IF(E579&gt;=50*0.33,1,0))))))))</f>
        <v/>
      </c>
      <c r="X579">
        <f>IF(B579="","",IF(F579&lt;33.0,0,IF(F579&gt;=100*0.8,5,IF(F579&gt;=100*0.7,4,IF(F579&gt;=100*0.6,3.5,IF(F579&gt;=100*0.5,3,IF(F579&gt;=100*0.4,2,IF(F579&gt;=100*0.33,1,0))))))))</f>
        <v/>
      </c>
      <c r="Y579">
        <f>IF(B579="","",IF(G579&lt;16.5,0,IF(G579&gt;=50*0.8,5,IF(G579&gt;=50*0.7,4,IF(G579&gt;=50*0.6,3.5,IF(G579&gt;=50*0.5,3,IF(G579&gt;=50*0.4,2,IF(G579&gt;=50*0.33,1,0))))))))</f>
        <v/>
      </c>
      <c r="Z579">
        <f>IF(B579="","",IF(H579&lt;33.0,0,IF(H579&gt;=100*0.8,5,IF(H579&gt;=100*0.7,4,IF(H579&gt;=100*0.6,3.5,IF(H579&gt;=100*0.5,3,IF(H579&gt;=100*0.4,2,IF(H579&gt;=100*0.33,1,0))))))))</f>
        <v/>
      </c>
      <c r="AA579">
        <f>IF(B579="","",IF(I579&lt;33.0,0,IF(I579&gt;=100*0.8,5,IF(I579&gt;=100*0.7,4,IF(I579&gt;=100*0.6,3.5,IF(I579&gt;=100*0.5,3,IF(I579&gt;=100*0.4,2,IF(I579&gt;=100*0.33,1,0))))))))</f>
        <v/>
      </c>
      <c r="AB579">
        <f>IF(B579="","",IF(J579&lt;33.0,0,IF(J579&gt;=100*0.8,5,IF(J579&gt;=100*0.7,4,IF(J579&gt;=100*0.6,3.5,IF(J579&gt;=100*0.5,3,IF(J579&gt;=100*0.4,2,IF(J579&gt;=100*0.33,1,0))))))))</f>
        <v/>
      </c>
      <c r="AC579">
        <f>IF(B579="","",IF(K579&lt;33.0,0,IF(K579&gt;=100*0.8,5,IF(K579&gt;=100*0.7,4,IF(K579&gt;=100*0.6,3.5,IF(K579&gt;=100*0.5,3,IF(K579&gt;=100*0.4,2,IF(K579&gt;=100*0.33,1,0))))))))</f>
        <v/>
      </c>
      <c r="AD579">
        <f>IF(B579="","",IF(L579&lt;33.0,0,IF(L579&gt;=100*0.8,5,IF(L579&gt;=100*0.7,4,IF(L579&gt;=100*0.6,3.5,IF(L579&gt;=100*0.5,3,IF(L579&gt;=100*0.4,2,IF(L579&gt;=100*0.33,1,0))))))))</f>
        <v/>
      </c>
      <c r="AE579">
        <f>IF(B579="","",IF(M579&lt;33.0,0,IF(M579&gt;=100*0.8,5,IF(M579&gt;=100*0.7,4,IF(M579&gt;=100*0.6,3.5,IF(M579&gt;=100*0.5,3,IF(M579&gt;=100*0.4,2,IF(M579&gt;=100*0.33,1,0))))))))</f>
        <v/>
      </c>
      <c r="AF579">
        <f>IF(B579="","",IF(N579&lt;16.5,0,IF(N579&gt;=50*0.8,5,IF(N579&gt;=50*0.7,4,IF(N579&gt;=50*0.6,3.5,IF(N579&gt;=50*0.5,3,IF(N579&gt;=50*0.4,2,IF(N579&gt;=50*0.33,1,0))))))))</f>
        <v/>
      </c>
      <c r="AG579">
        <f>IF(B579="","",IF(O579&lt;33.0,0,IF(O579&gt;=100*0.8,5,IF(O579&gt;=100*0.7,4,IF(O579&gt;=100*0.6,3.5,IF(O579&gt;=100*0.5,3,IF(O579&gt;=100*0.4,2,IF(O579&gt;=100*0.33,1,0))))))))</f>
        <v/>
      </c>
      <c r="AH579">
        <f>IF(B579="","",IF(OR(U579=0,V579=0,W579=0,X579=0,Y579=0,Z579=0,AA579=0,AB579=0,AC579=0,AD579=0,AE579=0,AF579=0,AG579=0),1,0))</f>
        <v/>
      </c>
    </row>
    <row r="580">
      <c r="A580" s="3">
        <f>IF(B580="","",ROW()-2)</f>
        <v/>
      </c>
      <c r="P580" s="4">
        <f>IF(B580="","",SUM(C580:O580))</f>
        <v/>
      </c>
      <c r="Q580" s="5">
        <f>IF(B580="","",ROUND(P580/13,2))</f>
        <v/>
      </c>
      <c r="R580" s="5">
        <f>IF(B580="","",IF(AH580=1,0,MIN(5,ROUND((U580+V580+W580+X580+Y580+Z580+AA580+AB580+AC580+AD580+AE580+AF580+AG580)/13,2))))</f>
        <v/>
      </c>
      <c r="S580" s="3">
        <f>IF(B580="","",IF(R580&gt;=5,"A+",IF(R580&gt;=4,"A",IF(R580&gt;=3.5,"A-",IF(R580&gt;=3,"B",IF(R580&gt;=2,"C",IF(R580&gt;=1,"D","F")))))))</f>
        <v/>
      </c>
      <c r="T580" s="3">
        <f>IF(OR(B580="",S580="F"),"",COUNTIFS(P:P,"&gt;"&amp;P580,S:S,"&lt;&gt;F")+1)</f>
        <v/>
      </c>
      <c r="U580">
        <f>IF(B580="","",IF(C580&lt;33.0,0,IF(C580&gt;=100*0.8,5,IF(C580&gt;=100*0.7,4,IF(C580&gt;=100*0.6,3.5,IF(C580&gt;=100*0.5,3,IF(C580&gt;=100*0.4,2,IF(C580&gt;=100*0.33,1,0))))))))</f>
        <v/>
      </c>
      <c r="V580">
        <f>IF(B580="","",IF(D580&lt;33.0,0,IF(D580&gt;=100*0.8,5,IF(D580&gt;=100*0.7,4,IF(D580&gt;=100*0.6,3.5,IF(D580&gt;=100*0.5,3,IF(D580&gt;=100*0.4,2,IF(D580&gt;=100*0.33,1,0))))))))</f>
        <v/>
      </c>
      <c r="W580">
        <f>IF(B580="","",IF(E580&lt;16.5,0,IF(E580&gt;=50*0.8,5,IF(E580&gt;=50*0.7,4,IF(E580&gt;=50*0.6,3.5,IF(E580&gt;=50*0.5,3,IF(E580&gt;=50*0.4,2,IF(E580&gt;=50*0.33,1,0))))))))</f>
        <v/>
      </c>
      <c r="X580">
        <f>IF(B580="","",IF(F580&lt;33.0,0,IF(F580&gt;=100*0.8,5,IF(F580&gt;=100*0.7,4,IF(F580&gt;=100*0.6,3.5,IF(F580&gt;=100*0.5,3,IF(F580&gt;=100*0.4,2,IF(F580&gt;=100*0.33,1,0))))))))</f>
        <v/>
      </c>
      <c r="Y580">
        <f>IF(B580="","",IF(G580&lt;16.5,0,IF(G580&gt;=50*0.8,5,IF(G580&gt;=50*0.7,4,IF(G580&gt;=50*0.6,3.5,IF(G580&gt;=50*0.5,3,IF(G580&gt;=50*0.4,2,IF(G580&gt;=50*0.33,1,0))))))))</f>
        <v/>
      </c>
      <c r="Z580">
        <f>IF(B580="","",IF(H580&lt;33.0,0,IF(H580&gt;=100*0.8,5,IF(H580&gt;=100*0.7,4,IF(H580&gt;=100*0.6,3.5,IF(H580&gt;=100*0.5,3,IF(H580&gt;=100*0.4,2,IF(H580&gt;=100*0.33,1,0))))))))</f>
        <v/>
      </c>
      <c r="AA580">
        <f>IF(B580="","",IF(I580&lt;33.0,0,IF(I580&gt;=100*0.8,5,IF(I580&gt;=100*0.7,4,IF(I580&gt;=100*0.6,3.5,IF(I580&gt;=100*0.5,3,IF(I580&gt;=100*0.4,2,IF(I580&gt;=100*0.33,1,0))))))))</f>
        <v/>
      </c>
      <c r="AB580">
        <f>IF(B580="","",IF(J580&lt;33.0,0,IF(J580&gt;=100*0.8,5,IF(J580&gt;=100*0.7,4,IF(J580&gt;=100*0.6,3.5,IF(J580&gt;=100*0.5,3,IF(J580&gt;=100*0.4,2,IF(J580&gt;=100*0.33,1,0))))))))</f>
        <v/>
      </c>
      <c r="AC580">
        <f>IF(B580="","",IF(K580&lt;33.0,0,IF(K580&gt;=100*0.8,5,IF(K580&gt;=100*0.7,4,IF(K580&gt;=100*0.6,3.5,IF(K580&gt;=100*0.5,3,IF(K580&gt;=100*0.4,2,IF(K580&gt;=100*0.33,1,0))))))))</f>
        <v/>
      </c>
      <c r="AD580">
        <f>IF(B580="","",IF(L580&lt;33.0,0,IF(L580&gt;=100*0.8,5,IF(L580&gt;=100*0.7,4,IF(L580&gt;=100*0.6,3.5,IF(L580&gt;=100*0.5,3,IF(L580&gt;=100*0.4,2,IF(L580&gt;=100*0.33,1,0))))))))</f>
        <v/>
      </c>
      <c r="AE580">
        <f>IF(B580="","",IF(M580&lt;33.0,0,IF(M580&gt;=100*0.8,5,IF(M580&gt;=100*0.7,4,IF(M580&gt;=100*0.6,3.5,IF(M580&gt;=100*0.5,3,IF(M580&gt;=100*0.4,2,IF(M580&gt;=100*0.33,1,0))))))))</f>
        <v/>
      </c>
      <c r="AF580">
        <f>IF(B580="","",IF(N580&lt;16.5,0,IF(N580&gt;=50*0.8,5,IF(N580&gt;=50*0.7,4,IF(N580&gt;=50*0.6,3.5,IF(N580&gt;=50*0.5,3,IF(N580&gt;=50*0.4,2,IF(N580&gt;=50*0.33,1,0))))))))</f>
        <v/>
      </c>
      <c r="AG580">
        <f>IF(B580="","",IF(O580&lt;33.0,0,IF(O580&gt;=100*0.8,5,IF(O580&gt;=100*0.7,4,IF(O580&gt;=100*0.6,3.5,IF(O580&gt;=100*0.5,3,IF(O580&gt;=100*0.4,2,IF(O580&gt;=100*0.33,1,0))))))))</f>
        <v/>
      </c>
      <c r="AH580">
        <f>IF(B580="","",IF(OR(U580=0,V580=0,W580=0,X580=0,Y580=0,Z580=0,AA580=0,AB580=0,AC580=0,AD580=0,AE580=0,AF580=0,AG580=0),1,0))</f>
        <v/>
      </c>
    </row>
    <row r="581">
      <c r="A581" s="3">
        <f>IF(B581="","",ROW()-2)</f>
        <v/>
      </c>
      <c r="P581" s="4">
        <f>IF(B581="","",SUM(C581:O581))</f>
        <v/>
      </c>
      <c r="Q581" s="5">
        <f>IF(B581="","",ROUND(P581/13,2))</f>
        <v/>
      </c>
      <c r="R581" s="5">
        <f>IF(B581="","",IF(AH581=1,0,MIN(5,ROUND((U581+V581+W581+X581+Y581+Z581+AA581+AB581+AC581+AD581+AE581+AF581+AG581)/13,2))))</f>
        <v/>
      </c>
      <c r="S581" s="3">
        <f>IF(B581="","",IF(R581&gt;=5,"A+",IF(R581&gt;=4,"A",IF(R581&gt;=3.5,"A-",IF(R581&gt;=3,"B",IF(R581&gt;=2,"C",IF(R581&gt;=1,"D","F")))))))</f>
        <v/>
      </c>
      <c r="T581" s="3">
        <f>IF(OR(B581="",S581="F"),"",COUNTIFS(P:P,"&gt;"&amp;P581,S:S,"&lt;&gt;F")+1)</f>
        <v/>
      </c>
      <c r="U581">
        <f>IF(B581="","",IF(C581&lt;33.0,0,IF(C581&gt;=100*0.8,5,IF(C581&gt;=100*0.7,4,IF(C581&gt;=100*0.6,3.5,IF(C581&gt;=100*0.5,3,IF(C581&gt;=100*0.4,2,IF(C581&gt;=100*0.33,1,0))))))))</f>
        <v/>
      </c>
      <c r="V581">
        <f>IF(B581="","",IF(D581&lt;33.0,0,IF(D581&gt;=100*0.8,5,IF(D581&gt;=100*0.7,4,IF(D581&gt;=100*0.6,3.5,IF(D581&gt;=100*0.5,3,IF(D581&gt;=100*0.4,2,IF(D581&gt;=100*0.33,1,0))))))))</f>
        <v/>
      </c>
      <c r="W581">
        <f>IF(B581="","",IF(E581&lt;16.5,0,IF(E581&gt;=50*0.8,5,IF(E581&gt;=50*0.7,4,IF(E581&gt;=50*0.6,3.5,IF(E581&gt;=50*0.5,3,IF(E581&gt;=50*0.4,2,IF(E581&gt;=50*0.33,1,0))))))))</f>
        <v/>
      </c>
      <c r="X581">
        <f>IF(B581="","",IF(F581&lt;33.0,0,IF(F581&gt;=100*0.8,5,IF(F581&gt;=100*0.7,4,IF(F581&gt;=100*0.6,3.5,IF(F581&gt;=100*0.5,3,IF(F581&gt;=100*0.4,2,IF(F581&gt;=100*0.33,1,0))))))))</f>
        <v/>
      </c>
      <c r="Y581">
        <f>IF(B581="","",IF(G581&lt;16.5,0,IF(G581&gt;=50*0.8,5,IF(G581&gt;=50*0.7,4,IF(G581&gt;=50*0.6,3.5,IF(G581&gt;=50*0.5,3,IF(G581&gt;=50*0.4,2,IF(G581&gt;=50*0.33,1,0))))))))</f>
        <v/>
      </c>
      <c r="Z581">
        <f>IF(B581="","",IF(H581&lt;33.0,0,IF(H581&gt;=100*0.8,5,IF(H581&gt;=100*0.7,4,IF(H581&gt;=100*0.6,3.5,IF(H581&gt;=100*0.5,3,IF(H581&gt;=100*0.4,2,IF(H581&gt;=100*0.33,1,0))))))))</f>
        <v/>
      </c>
      <c r="AA581">
        <f>IF(B581="","",IF(I581&lt;33.0,0,IF(I581&gt;=100*0.8,5,IF(I581&gt;=100*0.7,4,IF(I581&gt;=100*0.6,3.5,IF(I581&gt;=100*0.5,3,IF(I581&gt;=100*0.4,2,IF(I581&gt;=100*0.33,1,0))))))))</f>
        <v/>
      </c>
      <c r="AB581">
        <f>IF(B581="","",IF(J581&lt;33.0,0,IF(J581&gt;=100*0.8,5,IF(J581&gt;=100*0.7,4,IF(J581&gt;=100*0.6,3.5,IF(J581&gt;=100*0.5,3,IF(J581&gt;=100*0.4,2,IF(J581&gt;=100*0.33,1,0))))))))</f>
        <v/>
      </c>
      <c r="AC581">
        <f>IF(B581="","",IF(K581&lt;33.0,0,IF(K581&gt;=100*0.8,5,IF(K581&gt;=100*0.7,4,IF(K581&gt;=100*0.6,3.5,IF(K581&gt;=100*0.5,3,IF(K581&gt;=100*0.4,2,IF(K581&gt;=100*0.33,1,0))))))))</f>
        <v/>
      </c>
      <c r="AD581">
        <f>IF(B581="","",IF(L581&lt;33.0,0,IF(L581&gt;=100*0.8,5,IF(L581&gt;=100*0.7,4,IF(L581&gt;=100*0.6,3.5,IF(L581&gt;=100*0.5,3,IF(L581&gt;=100*0.4,2,IF(L581&gt;=100*0.33,1,0))))))))</f>
        <v/>
      </c>
      <c r="AE581">
        <f>IF(B581="","",IF(M581&lt;33.0,0,IF(M581&gt;=100*0.8,5,IF(M581&gt;=100*0.7,4,IF(M581&gt;=100*0.6,3.5,IF(M581&gt;=100*0.5,3,IF(M581&gt;=100*0.4,2,IF(M581&gt;=100*0.33,1,0))))))))</f>
        <v/>
      </c>
      <c r="AF581">
        <f>IF(B581="","",IF(N581&lt;16.5,0,IF(N581&gt;=50*0.8,5,IF(N581&gt;=50*0.7,4,IF(N581&gt;=50*0.6,3.5,IF(N581&gt;=50*0.5,3,IF(N581&gt;=50*0.4,2,IF(N581&gt;=50*0.33,1,0))))))))</f>
        <v/>
      </c>
      <c r="AG581">
        <f>IF(B581="","",IF(O581&lt;33.0,0,IF(O581&gt;=100*0.8,5,IF(O581&gt;=100*0.7,4,IF(O581&gt;=100*0.6,3.5,IF(O581&gt;=100*0.5,3,IF(O581&gt;=100*0.4,2,IF(O581&gt;=100*0.33,1,0))))))))</f>
        <v/>
      </c>
      <c r="AH581">
        <f>IF(B581="","",IF(OR(U581=0,V581=0,W581=0,X581=0,Y581=0,Z581=0,AA581=0,AB581=0,AC581=0,AD581=0,AE581=0,AF581=0,AG581=0),1,0))</f>
        <v/>
      </c>
    </row>
    <row r="582">
      <c r="A582" s="3">
        <f>IF(B582="","",ROW()-2)</f>
        <v/>
      </c>
      <c r="P582" s="4">
        <f>IF(B582="","",SUM(C582:O582))</f>
        <v/>
      </c>
      <c r="Q582" s="5">
        <f>IF(B582="","",ROUND(P582/13,2))</f>
        <v/>
      </c>
      <c r="R582" s="5">
        <f>IF(B582="","",IF(AH582=1,0,MIN(5,ROUND((U582+V582+W582+X582+Y582+Z582+AA582+AB582+AC582+AD582+AE582+AF582+AG582)/13,2))))</f>
        <v/>
      </c>
      <c r="S582" s="3">
        <f>IF(B582="","",IF(R582&gt;=5,"A+",IF(R582&gt;=4,"A",IF(R582&gt;=3.5,"A-",IF(R582&gt;=3,"B",IF(R582&gt;=2,"C",IF(R582&gt;=1,"D","F")))))))</f>
        <v/>
      </c>
      <c r="T582" s="3">
        <f>IF(OR(B582="",S582="F"),"",COUNTIFS(P:P,"&gt;"&amp;P582,S:S,"&lt;&gt;F")+1)</f>
        <v/>
      </c>
      <c r="U582">
        <f>IF(B582="","",IF(C582&lt;33.0,0,IF(C582&gt;=100*0.8,5,IF(C582&gt;=100*0.7,4,IF(C582&gt;=100*0.6,3.5,IF(C582&gt;=100*0.5,3,IF(C582&gt;=100*0.4,2,IF(C582&gt;=100*0.33,1,0))))))))</f>
        <v/>
      </c>
      <c r="V582">
        <f>IF(B582="","",IF(D582&lt;33.0,0,IF(D582&gt;=100*0.8,5,IF(D582&gt;=100*0.7,4,IF(D582&gt;=100*0.6,3.5,IF(D582&gt;=100*0.5,3,IF(D582&gt;=100*0.4,2,IF(D582&gt;=100*0.33,1,0))))))))</f>
        <v/>
      </c>
      <c r="W582">
        <f>IF(B582="","",IF(E582&lt;16.5,0,IF(E582&gt;=50*0.8,5,IF(E582&gt;=50*0.7,4,IF(E582&gt;=50*0.6,3.5,IF(E582&gt;=50*0.5,3,IF(E582&gt;=50*0.4,2,IF(E582&gt;=50*0.33,1,0))))))))</f>
        <v/>
      </c>
      <c r="X582">
        <f>IF(B582="","",IF(F582&lt;33.0,0,IF(F582&gt;=100*0.8,5,IF(F582&gt;=100*0.7,4,IF(F582&gt;=100*0.6,3.5,IF(F582&gt;=100*0.5,3,IF(F582&gt;=100*0.4,2,IF(F582&gt;=100*0.33,1,0))))))))</f>
        <v/>
      </c>
      <c r="Y582">
        <f>IF(B582="","",IF(G582&lt;16.5,0,IF(G582&gt;=50*0.8,5,IF(G582&gt;=50*0.7,4,IF(G582&gt;=50*0.6,3.5,IF(G582&gt;=50*0.5,3,IF(G582&gt;=50*0.4,2,IF(G582&gt;=50*0.33,1,0))))))))</f>
        <v/>
      </c>
      <c r="Z582">
        <f>IF(B582="","",IF(H582&lt;33.0,0,IF(H582&gt;=100*0.8,5,IF(H582&gt;=100*0.7,4,IF(H582&gt;=100*0.6,3.5,IF(H582&gt;=100*0.5,3,IF(H582&gt;=100*0.4,2,IF(H582&gt;=100*0.33,1,0))))))))</f>
        <v/>
      </c>
      <c r="AA582">
        <f>IF(B582="","",IF(I582&lt;33.0,0,IF(I582&gt;=100*0.8,5,IF(I582&gt;=100*0.7,4,IF(I582&gt;=100*0.6,3.5,IF(I582&gt;=100*0.5,3,IF(I582&gt;=100*0.4,2,IF(I582&gt;=100*0.33,1,0))))))))</f>
        <v/>
      </c>
      <c r="AB582">
        <f>IF(B582="","",IF(J582&lt;33.0,0,IF(J582&gt;=100*0.8,5,IF(J582&gt;=100*0.7,4,IF(J582&gt;=100*0.6,3.5,IF(J582&gt;=100*0.5,3,IF(J582&gt;=100*0.4,2,IF(J582&gt;=100*0.33,1,0))))))))</f>
        <v/>
      </c>
      <c r="AC582">
        <f>IF(B582="","",IF(K582&lt;33.0,0,IF(K582&gt;=100*0.8,5,IF(K582&gt;=100*0.7,4,IF(K582&gt;=100*0.6,3.5,IF(K582&gt;=100*0.5,3,IF(K582&gt;=100*0.4,2,IF(K582&gt;=100*0.33,1,0))))))))</f>
        <v/>
      </c>
      <c r="AD582">
        <f>IF(B582="","",IF(L582&lt;33.0,0,IF(L582&gt;=100*0.8,5,IF(L582&gt;=100*0.7,4,IF(L582&gt;=100*0.6,3.5,IF(L582&gt;=100*0.5,3,IF(L582&gt;=100*0.4,2,IF(L582&gt;=100*0.33,1,0))))))))</f>
        <v/>
      </c>
      <c r="AE582">
        <f>IF(B582="","",IF(M582&lt;33.0,0,IF(M582&gt;=100*0.8,5,IF(M582&gt;=100*0.7,4,IF(M582&gt;=100*0.6,3.5,IF(M582&gt;=100*0.5,3,IF(M582&gt;=100*0.4,2,IF(M582&gt;=100*0.33,1,0))))))))</f>
        <v/>
      </c>
      <c r="AF582">
        <f>IF(B582="","",IF(N582&lt;16.5,0,IF(N582&gt;=50*0.8,5,IF(N582&gt;=50*0.7,4,IF(N582&gt;=50*0.6,3.5,IF(N582&gt;=50*0.5,3,IF(N582&gt;=50*0.4,2,IF(N582&gt;=50*0.33,1,0))))))))</f>
        <v/>
      </c>
      <c r="AG582">
        <f>IF(B582="","",IF(O582&lt;33.0,0,IF(O582&gt;=100*0.8,5,IF(O582&gt;=100*0.7,4,IF(O582&gt;=100*0.6,3.5,IF(O582&gt;=100*0.5,3,IF(O582&gt;=100*0.4,2,IF(O582&gt;=100*0.33,1,0))))))))</f>
        <v/>
      </c>
      <c r="AH582">
        <f>IF(B582="","",IF(OR(U582=0,V582=0,W582=0,X582=0,Y582=0,Z582=0,AA582=0,AB582=0,AC582=0,AD582=0,AE582=0,AF582=0,AG582=0),1,0))</f>
        <v/>
      </c>
    </row>
    <row r="583">
      <c r="A583" s="3">
        <f>IF(B583="","",ROW()-2)</f>
        <v/>
      </c>
      <c r="P583" s="4">
        <f>IF(B583="","",SUM(C583:O583))</f>
        <v/>
      </c>
      <c r="Q583" s="5">
        <f>IF(B583="","",ROUND(P583/13,2))</f>
        <v/>
      </c>
      <c r="R583" s="5">
        <f>IF(B583="","",IF(AH583=1,0,MIN(5,ROUND((U583+V583+W583+X583+Y583+Z583+AA583+AB583+AC583+AD583+AE583+AF583+AG583)/13,2))))</f>
        <v/>
      </c>
      <c r="S583" s="3">
        <f>IF(B583="","",IF(R583&gt;=5,"A+",IF(R583&gt;=4,"A",IF(R583&gt;=3.5,"A-",IF(R583&gt;=3,"B",IF(R583&gt;=2,"C",IF(R583&gt;=1,"D","F")))))))</f>
        <v/>
      </c>
      <c r="T583" s="3">
        <f>IF(OR(B583="",S583="F"),"",COUNTIFS(P:P,"&gt;"&amp;P583,S:S,"&lt;&gt;F")+1)</f>
        <v/>
      </c>
      <c r="U583">
        <f>IF(B583="","",IF(C583&lt;33.0,0,IF(C583&gt;=100*0.8,5,IF(C583&gt;=100*0.7,4,IF(C583&gt;=100*0.6,3.5,IF(C583&gt;=100*0.5,3,IF(C583&gt;=100*0.4,2,IF(C583&gt;=100*0.33,1,0))))))))</f>
        <v/>
      </c>
      <c r="V583">
        <f>IF(B583="","",IF(D583&lt;33.0,0,IF(D583&gt;=100*0.8,5,IF(D583&gt;=100*0.7,4,IF(D583&gt;=100*0.6,3.5,IF(D583&gt;=100*0.5,3,IF(D583&gt;=100*0.4,2,IF(D583&gt;=100*0.33,1,0))))))))</f>
        <v/>
      </c>
      <c r="W583">
        <f>IF(B583="","",IF(E583&lt;16.5,0,IF(E583&gt;=50*0.8,5,IF(E583&gt;=50*0.7,4,IF(E583&gt;=50*0.6,3.5,IF(E583&gt;=50*0.5,3,IF(E583&gt;=50*0.4,2,IF(E583&gt;=50*0.33,1,0))))))))</f>
        <v/>
      </c>
      <c r="X583">
        <f>IF(B583="","",IF(F583&lt;33.0,0,IF(F583&gt;=100*0.8,5,IF(F583&gt;=100*0.7,4,IF(F583&gt;=100*0.6,3.5,IF(F583&gt;=100*0.5,3,IF(F583&gt;=100*0.4,2,IF(F583&gt;=100*0.33,1,0))))))))</f>
        <v/>
      </c>
      <c r="Y583">
        <f>IF(B583="","",IF(G583&lt;16.5,0,IF(G583&gt;=50*0.8,5,IF(G583&gt;=50*0.7,4,IF(G583&gt;=50*0.6,3.5,IF(G583&gt;=50*0.5,3,IF(G583&gt;=50*0.4,2,IF(G583&gt;=50*0.33,1,0))))))))</f>
        <v/>
      </c>
      <c r="Z583">
        <f>IF(B583="","",IF(H583&lt;33.0,0,IF(H583&gt;=100*0.8,5,IF(H583&gt;=100*0.7,4,IF(H583&gt;=100*0.6,3.5,IF(H583&gt;=100*0.5,3,IF(H583&gt;=100*0.4,2,IF(H583&gt;=100*0.33,1,0))))))))</f>
        <v/>
      </c>
      <c r="AA583">
        <f>IF(B583="","",IF(I583&lt;33.0,0,IF(I583&gt;=100*0.8,5,IF(I583&gt;=100*0.7,4,IF(I583&gt;=100*0.6,3.5,IF(I583&gt;=100*0.5,3,IF(I583&gt;=100*0.4,2,IF(I583&gt;=100*0.33,1,0))))))))</f>
        <v/>
      </c>
      <c r="AB583">
        <f>IF(B583="","",IF(J583&lt;33.0,0,IF(J583&gt;=100*0.8,5,IF(J583&gt;=100*0.7,4,IF(J583&gt;=100*0.6,3.5,IF(J583&gt;=100*0.5,3,IF(J583&gt;=100*0.4,2,IF(J583&gt;=100*0.33,1,0))))))))</f>
        <v/>
      </c>
      <c r="AC583">
        <f>IF(B583="","",IF(K583&lt;33.0,0,IF(K583&gt;=100*0.8,5,IF(K583&gt;=100*0.7,4,IF(K583&gt;=100*0.6,3.5,IF(K583&gt;=100*0.5,3,IF(K583&gt;=100*0.4,2,IF(K583&gt;=100*0.33,1,0))))))))</f>
        <v/>
      </c>
      <c r="AD583">
        <f>IF(B583="","",IF(L583&lt;33.0,0,IF(L583&gt;=100*0.8,5,IF(L583&gt;=100*0.7,4,IF(L583&gt;=100*0.6,3.5,IF(L583&gt;=100*0.5,3,IF(L583&gt;=100*0.4,2,IF(L583&gt;=100*0.33,1,0))))))))</f>
        <v/>
      </c>
      <c r="AE583">
        <f>IF(B583="","",IF(M583&lt;33.0,0,IF(M583&gt;=100*0.8,5,IF(M583&gt;=100*0.7,4,IF(M583&gt;=100*0.6,3.5,IF(M583&gt;=100*0.5,3,IF(M583&gt;=100*0.4,2,IF(M583&gt;=100*0.33,1,0))))))))</f>
        <v/>
      </c>
      <c r="AF583">
        <f>IF(B583="","",IF(N583&lt;16.5,0,IF(N583&gt;=50*0.8,5,IF(N583&gt;=50*0.7,4,IF(N583&gt;=50*0.6,3.5,IF(N583&gt;=50*0.5,3,IF(N583&gt;=50*0.4,2,IF(N583&gt;=50*0.33,1,0))))))))</f>
        <v/>
      </c>
      <c r="AG583">
        <f>IF(B583="","",IF(O583&lt;33.0,0,IF(O583&gt;=100*0.8,5,IF(O583&gt;=100*0.7,4,IF(O583&gt;=100*0.6,3.5,IF(O583&gt;=100*0.5,3,IF(O583&gt;=100*0.4,2,IF(O583&gt;=100*0.33,1,0))))))))</f>
        <v/>
      </c>
      <c r="AH583">
        <f>IF(B583="","",IF(OR(U583=0,V583=0,W583=0,X583=0,Y583=0,Z583=0,AA583=0,AB583=0,AC583=0,AD583=0,AE583=0,AF583=0,AG583=0),1,0))</f>
        <v/>
      </c>
    </row>
    <row r="584">
      <c r="A584" s="3">
        <f>IF(B584="","",ROW()-2)</f>
        <v/>
      </c>
      <c r="P584" s="4">
        <f>IF(B584="","",SUM(C584:O584))</f>
        <v/>
      </c>
      <c r="Q584" s="5">
        <f>IF(B584="","",ROUND(P584/13,2))</f>
        <v/>
      </c>
      <c r="R584" s="5">
        <f>IF(B584="","",IF(AH584=1,0,MIN(5,ROUND((U584+V584+W584+X584+Y584+Z584+AA584+AB584+AC584+AD584+AE584+AF584+AG584)/13,2))))</f>
        <v/>
      </c>
      <c r="S584" s="3">
        <f>IF(B584="","",IF(R584&gt;=5,"A+",IF(R584&gt;=4,"A",IF(R584&gt;=3.5,"A-",IF(R584&gt;=3,"B",IF(R584&gt;=2,"C",IF(R584&gt;=1,"D","F")))))))</f>
        <v/>
      </c>
      <c r="T584" s="3">
        <f>IF(OR(B584="",S584="F"),"",COUNTIFS(P:P,"&gt;"&amp;P584,S:S,"&lt;&gt;F")+1)</f>
        <v/>
      </c>
      <c r="U584">
        <f>IF(B584="","",IF(C584&lt;33.0,0,IF(C584&gt;=100*0.8,5,IF(C584&gt;=100*0.7,4,IF(C584&gt;=100*0.6,3.5,IF(C584&gt;=100*0.5,3,IF(C584&gt;=100*0.4,2,IF(C584&gt;=100*0.33,1,0))))))))</f>
        <v/>
      </c>
      <c r="V584">
        <f>IF(B584="","",IF(D584&lt;33.0,0,IF(D584&gt;=100*0.8,5,IF(D584&gt;=100*0.7,4,IF(D584&gt;=100*0.6,3.5,IF(D584&gt;=100*0.5,3,IF(D584&gt;=100*0.4,2,IF(D584&gt;=100*0.33,1,0))))))))</f>
        <v/>
      </c>
      <c r="W584">
        <f>IF(B584="","",IF(E584&lt;16.5,0,IF(E584&gt;=50*0.8,5,IF(E584&gt;=50*0.7,4,IF(E584&gt;=50*0.6,3.5,IF(E584&gt;=50*0.5,3,IF(E584&gt;=50*0.4,2,IF(E584&gt;=50*0.33,1,0))))))))</f>
        <v/>
      </c>
      <c r="X584">
        <f>IF(B584="","",IF(F584&lt;33.0,0,IF(F584&gt;=100*0.8,5,IF(F584&gt;=100*0.7,4,IF(F584&gt;=100*0.6,3.5,IF(F584&gt;=100*0.5,3,IF(F584&gt;=100*0.4,2,IF(F584&gt;=100*0.33,1,0))))))))</f>
        <v/>
      </c>
      <c r="Y584">
        <f>IF(B584="","",IF(G584&lt;16.5,0,IF(G584&gt;=50*0.8,5,IF(G584&gt;=50*0.7,4,IF(G584&gt;=50*0.6,3.5,IF(G584&gt;=50*0.5,3,IF(G584&gt;=50*0.4,2,IF(G584&gt;=50*0.33,1,0))))))))</f>
        <v/>
      </c>
      <c r="Z584">
        <f>IF(B584="","",IF(H584&lt;33.0,0,IF(H584&gt;=100*0.8,5,IF(H584&gt;=100*0.7,4,IF(H584&gt;=100*0.6,3.5,IF(H584&gt;=100*0.5,3,IF(H584&gt;=100*0.4,2,IF(H584&gt;=100*0.33,1,0))))))))</f>
        <v/>
      </c>
      <c r="AA584">
        <f>IF(B584="","",IF(I584&lt;33.0,0,IF(I584&gt;=100*0.8,5,IF(I584&gt;=100*0.7,4,IF(I584&gt;=100*0.6,3.5,IF(I584&gt;=100*0.5,3,IF(I584&gt;=100*0.4,2,IF(I584&gt;=100*0.33,1,0))))))))</f>
        <v/>
      </c>
      <c r="AB584">
        <f>IF(B584="","",IF(J584&lt;33.0,0,IF(J584&gt;=100*0.8,5,IF(J584&gt;=100*0.7,4,IF(J584&gt;=100*0.6,3.5,IF(J584&gt;=100*0.5,3,IF(J584&gt;=100*0.4,2,IF(J584&gt;=100*0.33,1,0))))))))</f>
        <v/>
      </c>
      <c r="AC584">
        <f>IF(B584="","",IF(K584&lt;33.0,0,IF(K584&gt;=100*0.8,5,IF(K584&gt;=100*0.7,4,IF(K584&gt;=100*0.6,3.5,IF(K584&gt;=100*0.5,3,IF(K584&gt;=100*0.4,2,IF(K584&gt;=100*0.33,1,0))))))))</f>
        <v/>
      </c>
      <c r="AD584">
        <f>IF(B584="","",IF(L584&lt;33.0,0,IF(L584&gt;=100*0.8,5,IF(L584&gt;=100*0.7,4,IF(L584&gt;=100*0.6,3.5,IF(L584&gt;=100*0.5,3,IF(L584&gt;=100*0.4,2,IF(L584&gt;=100*0.33,1,0))))))))</f>
        <v/>
      </c>
      <c r="AE584">
        <f>IF(B584="","",IF(M584&lt;33.0,0,IF(M584&gt;=100*0.8,5,IF(M584&gt;=100*0.7,4,IF(M584&gt;=100*0.6,3.5,IF(M584&gt;=100*0.5,3,IF(M584&gt;=100*0.4,2,IF(M584&gt;=100*0.33,1,0))))))))</f>
        <v/>
      </c>
      <c r="AF584">
        <f>IF(B584="","",IF(N584&lt;16.5,0,IF(N584&gt;=50*0.8,5,IF(N584&gt;=50*0.7,4,IF(N584&gt;=50*0.6,3.5,IF(N584&gt;=50*0.5,3,IF(N584&gt;=50*0.4,2,IF(N584&gt;=50*0.33,1,0))))))))</f>
        <v/>
      </c>
      <c r="AG584">
        <f>IF(B584="","",IF(O584&lt;33.0,0,IF(O584&gt;=100*0.8,5,IF(O584&gt;=100*0.7,4,IF(O584&gt;=100*0.6,3.5,IF(O584&gt;=100*0.5,3,IF(O584&gt;=100*0.4,2,IF(O584&gt;=100*0.33,1,0))))))))</f>
        <v/>
      </c>
      <c r="AH584">
        <f>IF(B584="","",IF(OR(U584=0,V584=0,W584=0,X584=0,Y584=0,Z584=0,AA584=0,AB584=0,AC584=0,AD584=0,AE584=0,AF584=0,AG584=0),1,0))</f>
        <v/>
      </c>
    </row>
    <row r="585">
      <c r="A585" s="3">
        <f>IF(B585="","",ROW()-2)</f>
        <v/>
      </c>
      <c r="P585" s="4">
        <f>IF(B585="","",SUM(C585:O585))</f>
        <v/>
      </c>
      <c r="Q585" s="5">
        <f>IF(B585="","",ROUND(P585/13,2))</f>
        <v/>
      </c>
      <c r="R585" s="5">
        <f>IF(B585="","",IF(AH585=1,0,MIN(5,ROUND((U585+V585+W585+X585+Y585+Z585+AA585+AB585+AC585+AD585+AE585+AF585+AG585)/13,2))))</f>
        <v/>
      </c>
      <c r="S585" s="3">
        <f>IF(B585="","",IF(R585&gt;=5,"A+",IF(R585&gt;=4,"A",IF(R585&gt;=3.5,"A-",IF(R585&gt;=3,"B",IF(R585&gt;=2,"C",IF(R585&gt;=1,"D","F")))))))</f>
        <v/>
      </c>
      <c r="T585" s="3">
        <f>IF(OR(B585="",S585="F"),"",COUNTIFS(P:P,"&gt;"&amp;P585,S:S,"&lt;&gt;F")+1)</f>
        <v/>
      </c>
      <c r="U585">
        <f>IF(B585="","",IF(C585&lt;33.0,0,IF(C585&gt;=100*0.8,5,IF(C585&gt;=100*0.7,4,IF(C585&gt;=100*0.6,3.5,IF(C585&gt;=100*0.5,3,IF(C585&gt;=100*0.4,2,IF(C585&gt;=100*0.33,1,0))))))))</f>
        <v/>
      </c>
      <c r="V585">
        <f>IF(B585="","",IF(D585&lt;33.0,0,IF(D585&gt;=100*0.8,5,IF(D585&gt;=100*0.7,4,IF(D585&gt;=100*0.6,3.5,IF(D585&gt;=100*0.5,3,IF(D585&gt;=100*0.4,2,IF(D585&gt;=100*0.33,1,0))))))))</f>
        <v/>
      </c>
      <c r="W585">
        <f>IF(B585="","",IF(E585&lt;16.5,0,IF(E585&gt;=50*0.8,5,IF(E585&gt;=50*0.7,4,IF(E585&gt;=50*0.6,3.5,IF(E585&gt;=50*0.5,3,IF(E585&gt;=50*0.4,2,IF(E585&gt;=50*0.33,1,0))))))))</f>
        <v/>
      </c>
      <c r="X585">
        <f>IF(B585="","",IF(F585&lt;33.0,0,IF(F585&gt;=100*0.8,5,IF(F585&gt;=100*0.7,4,IF(F585&gt;=100*0.6,3.5,IF(F585&gt;=100*0.5,3,IF(F585&gt;=100*0.4,2,IF(F585&gt;=100*0.33,1,0))))))))</f>
        <v/>
      </c>
      <c r="Y585">
        <f>IF(B585="","",IF(G585&lt;16.5,0,IF(G585&gt;=50*0.8,5,IF(G585&gt;=50*0.7,4,IF(G585&gt;=50*0.6,3.5,IF(G585&gt;=50*0.5,3,IF(G585&gt;=50*0.4,2,IF(G585&gt;=50*0.33,1,0))))))))</f>
        <v/>
      </c>
      <c r="Z585">
        <f>IF(B585="","",IF(H585&lt;33.0,0,IF(H585&gt;=100*0.8,5,IF(H585&gt;=100*0.7,4,IF(H585&gt;=100*0.6,3.5,IF(H585&gt;=100*0.5,3,IF(H585&gt;=100*0.4,2,IF(H585&gt;=100*0.33,1,0))))))))</f>
        <v/>
      </c>
      <c r="AA585">
        <f>IF(B585="","",IF(I585&lt;33.0,0,IF(I585&gt;=100*0.8,5,IF(I585&gt;=100*0.7,4,IF(I585&gt;=100*0.6,3.5,IF(I585&gt;=100*0.5,3,IF(I585&gt;=100*0.4,2,IF(I585&gt;=100*0.33,1,0))))))))</f>
        <v/>
      </c>
      <c r="AB585">
        <f>IF(B585="","",IF(J585&lt;33.0,0,IF(J585&gt;=100*0.8,5,IF(J585&gt;=100*0.7,4,IF(J585&gt;=100*0.6,3.5,IF(J585&gt;=100*0.5,3,IF(J585&gt;=100*0.4,2,IF(J585&gt;=100*0.33,1,0))))))))</f>
        <v/>
      </c>
      <c r="AC585">
        <f>IF(B585="","",IF(K585&lt;33.0,0,IF(K585&gt;=100*0.8,5,IF(K585&gt;=100*0.7,4,IF(K585&gt;=100*0.6,3.5,IF(K585&gt;=100*0.5,3,IF(K585&gt;=100*0.4,2,IF(K585&gt;=100*0.33,1,0))))))))</f>
        <v/>
      </c>
      <c r="AD585">
        <f>IF(B585="","",IF(L585&lt;33.0,0,IF(L585&gt;=100*0.8,5,IF(L585&gt;=100*0.7,4,IF(L585&gt;=100*0.6,3.5,IF(L585&gt;=100*0.5,3,IF(L585&gt;=100*0.4,2,IF(L585&gt;=100*0.33,1,0))))))))</f>
        <v/>
      </c>
      <c r="AE585">
        <f>IF(B585="","",IF(M585&lt;33.0,0,IF(M585&gt;=100*0.8,5,IF(M585&gt;=100*0.7,4,IF(M585&gt;=100*0.6,3.5,IF(M585&gt;=100*0.5,3,IF(M585&gt;=100*0.4,2,IF(M585&gt;=100*0.33,1,0))))))))</f>
        <v/>
      </c>
      <c r="AF585">
        <f>IF(B585="","",IF(N585&lt;16.5,0,IF(N585&gt;=50*0.8,5,IF(N585&gt;=50*0.7,4,IF(N585&gt;=50*0.6,3.5,IF(N585&gt;=50*0.5,3,IF(N585&gt;=50*0.4,2,IF(N585&gt;=50*0.33,1,0))))))))</f>
        <v/>
      </c>
      <c r="AG585">
        <f>IF(B585="","",IF(O585&lt;33.0,0,IF(O585&gt;=100*0.8,5,IF(O585&gt;=100*0.7,4,IF(O585&gt;=100*0.6,3.5,IF(O585&gt;=100*0.5,3,IF(O585&gt;=100*0.4,2,IF(O585&gt;=100*0.33,1,0))))))))</f>
        <v/>
      </c>
      <c r="AH585">
        <f>IF(B585="","",IF(OR(U585=0,V585=0,W585=0,X585=0,Y585=0,Z585=0,AA585=0,AB585=0,AC585=0,AD585=0,AE585=0,AF585=0,AG585=0),1,0))</f>
        <v/>
      </c>
    </row>
    <row r="586">
      <c r="A586" s="3">
        <f>IF(B586="","",ROW()-2)</f>
        <v/>
      </c>
      <c r="P586" s="4">
        <f>IF(B586="","",SUM(C586:O586))</f>
        <v/>
      </c>
      <c r="Q586" s="5">
        <f>IF(B586="","",ROUND(P586/13,2))</f>
        <v/>
      </c>
      <c r="R586" s="5">
        <f>IF(B586="","",IF(AH586=1,0,MIN(5,ROUND((U586+V586+W586+X586+Y586+Z586+AA586+AB586+AC586+AD586+AE586+AF586+AG586)/13,2))))</f>
        <v/>
      </c>
      <c r="S586" s="3">
        <f>IF(B586="","",IF(R586&gt;=5,"A+",IF(R586&gt;=4,"A",IF(R586&gt;=3.5,"A-",IF(R586&gt;=3,"B",IF(R586&gt;=2,"C",IF(R586&gt;=1,"D","F")))))))</f>
        <v/>
      </c>
      <c r="T586" s="3">
        <f>IF(OR(B586="",S586="F"),"",COUNTIFS(P:P,"&gt;"&amp;P586,S:S,"&lt;&gt;F")+1)</f>
        <v/>
      </c>
      <c r="U586">
        <f>IF(B586="","",IF(C586&lt;33.0,0,IF(C586&gt;=100*0.8,5,IF(C586&gt;=100*0.7,4,IF(C586&gt;=100*0.6,3.5,IF(C586&gt;=100*0.5,3,IF(C586&gt;=100*0.4,2,IF(C586&gt;=100*0.33,1,0))))))))</f>
        <v/>
      </c>
      <c r="V586">
        <f>IF(B586="","",IF(D586&lt;33.0,0,IF(D586&gt;=100*0.8,5,IF(D586&gt;=100*0.7,4,IF(D586&gt;=100*0.6,3.5,IF(D586&gt;=100*0.5,3,IF(D586&gt;=100*0.4,2,IF(D586&gt;=100*0.33,1,0))))))))</f>
        <v/>
      </c>
      <c r="W586">
        <f>IF(B586="","",IF(E586&lt;16.5,0,IF(E586&gt;=50*0.8,5,IF(E586&gt;=50*0.7,4,IF(E586&gt;=50*0.6,3.5,IF(E586&gt;=50*0.5,3,IF(E586&gt;=50*0.4,2,IF(E586&gt;=50*0.33,1,0))))))))</f>
        <v/>
      </c>
      <c r="X586">
        <f>IF(B586="","",IF(F586&lt;33.0,0,IF(F586&gt;=100*0.8,5,IF(F586&gt;=100*0.7,4,IF(F586&gt;=100*0.6,3.5,IF(F586&gt;=100*0.5,3,IF(F586&gt;=100*0.4,2,IF(F586&gt;=100*0.33,1,0))))))))</f>
        <v/>
      </c>
      <c r="Y586">
        <f>IF(B586="","",IF(G586&lt;16.5,0,IF(G586&gt;=50*0.8,5,IF(G586&gt;=50*0.7,4,IF(G586&gt;=50*0.6,3.5,IF(G586&gt;=50*0.5,3,IF(G586&gt;=50*0.4,2,IF(G586&gt;=50*0.33,1,0))))))))</f>
        <v/>
      </c>
      <c r="Z586">
        <f>IF(B586="","",IF(H586&lt;33.0,0,IF(H586&gt;=100*0.8,5,IF(H586&gt;=100*0.7,4,IF(H586&gt;=100*0.6,3.5,IF(H586&gt;=100*0.5,3,IF(H586&gt;=100*0.4,2,IF(H586&gt;=100*0.33,1,0))))))))</f>
        <v/>
      </c>
      <c r="AA586">
        <f>IF(B586="","",IF(I586&lt;33.0,0,IF(I586&gt;=100*0.8,5,IF(I586&gt;=100*0.7,4,IF(I586&gt;=100*0.6,3.5,IF(I586&gt;=100*0.5,3,IF(I586&gt;=100*0.4,2,IF(I586&gt;=100*0.33,1,0))))))))</f>
        <v/>
      </c>
      <c r="AB586">
        <f>IF(B586="","",IF(J586&lt;33.0,0,IF(J586&gt;=100*0.8,5,IF(J586&gt;=100*0.7,4,IF(J586&gt;=100*0.6,3.5,IF(J586&gt;=100*0.5,3,IF(J586&gt;=100*0.4,2,IF(J586&gt;=100*0.33,1,0))))))))</f>
        <v/>
      </c>
      <c r="AC586">
        <f>IF(B586="","",IF(K586&lt;33.0,0,IF(K586&gt;=100*0.8,5,IF(K586&gt;=100*0.7,4,IF(K586&gt;=100*0.6,3.5,IF(K586&gt;=100*0.5,3,IF(K586&gt;=100*0.4,2,IF(K586&gt;=100*0.33,1,0))))))))</f>
        <v/>
      </c>
      <c r="AD586">
        <f>IF(B586="","",IF(L586&lt;33.0,0,IF(L586&gt;=100*0.8,5,IF(L586&gt;=100*0.7,4,IF(L586&gt;=100*0.6,3.5,IF(L586&gt;=100*0.5,3,IF(L586&gt;=100*0.4,2,IF(L586&gt;=100*0.33,1,0))))))))</f>
        <v/>
      </c>
      <c r="AE586">
        <f>IF(B586="","",IF(M586&lt;33.0,0,IF(M586&gt;=100*0.8,5,IF(M586&gt;=100*0.7,4,IF(M586&gt;=100*0.6,3.5,IF(M586&gt;=100*0.5,3,IF(M586&gt;=100*0.4,2,IF(M586&gt;=100*0.33,1,0))))))))</f>
        <v/>
      </c>
      <c r="AF586">
        <f>IF(B586="","",IF(N586&lt;16.5,0,IF(N586&gt;=50*0.8,5,IF(N586&gt;=50*0.7,4,IF(N586&gt;=50*0.6,3.5,IF(N586&gt;=50*0.5,3,IF(N586&gt;=50*0.4,2,IF(N586&gt;=50*0.33,1,0))))))))</f>
        <v/>
      </c>
      <c r="AG586">
        <f>IF(B586="","",IF(O586&lt;33.0,0,IF(O586&gt;=100*0.8,5,IF(O586&gt;=100*0.7,4,IF(O586&gt;=100*0.6,3.5,IF(O586&gt;=100*0.5,3,IF(O586&gt;=100*0.4,2,IF(O586&gt;=100*0.33,1,0))))))))</f>
        <v/>
      </c>
      <c r="AH586">
        <f>IF(B586="","",IF(OR(U586=0,V586=0,W586=0,X586=0,Y586=0,Z586=0,AA586=0,AB586=0,AC586=0,AD586=0,AE586=0,AF586=0,AG586=0),1,0))</f>
        <v/>
      </c>
    </row>
    <row r="587">
      <c r="A587" s="3">
        <f>IF(B587="","",ROW()-2)</f>
        <v/>
      </c>
      <c r="P587" s="4">
        <f>IF(B587="","",SUM(C587:O587))</f>
        <v/>
      </c>
      <c r="Q587" s="5">
        <f>IF(B587="","",ROUND(P587/13,2))</f>
        <v/>
      </c>
      <c r="R587" s="5">
        <f>IF(B587="","",IF(AH587=1,0,MIN(5,ROUND((U587+V587+W587+X587+Y587+Z587+AA587+AB587+AC587+AD587+AE587+AF587+AG587)/13,2))))</f>
        <v/>
      </c>
      <c r="S587" s="3">
        <f>IF(B587="","",IF(R587&gt;=5,"A+",IF(R587&gt;=4,"A",IF(R587&gt;=3.5,"A-",IF(R587&gt;=3,"B",IF(R587&gt;=2,"C",IF(R587&gt;=1,"D","F")))))))</f>
        <v/>
      </c>
      <c r="T587" s="3">
        <f>IF(OR(B587="",S587="F"),"",COUNTIFS(P:P,"&gt;"&amp;P587,S:S,"&lt;&gt;F")+1)</f>
        <v/>
      </c>
      <c r="U587">
        <f>IF(B587="","",IF(C587&lt;33.0,0,IF(C587&gt;=100*0.8,5,IF(C587&gt;=100*0.7,4,IF(C587&gt;=100*0.6,3.5,IF(C587&gt;=100*0.5,3,IF(C587&gt;=100*0.4,2,IF(C587&gt;=100*0.33,1,0))))))))</f>
        <v/>
      </c>
      <c r="V587">
        <f>IF(B587="","",IF(D587&lt;33.0,0,IF(D587&gt;=100*0.8,5,IF(D587&gt;=100*0.7,4,IF(D587&gt;=100*0.6,3.5,IF(D587&gt;=100*0.5,3,IF(D587&gt;=100*0.4,2,IF(D587&gt;=100*0.33,1,0))))))))</f>
        <v/>
      </c>
      <c r="W587">
        <f>IF(B587="","",IF(E587&lt;16.5,0,IF(E587&gt;=50*0.8,5,IF(E587&gt;=50*0.7,4,IF(E587&gt;=50*0.6,3.5,IF(E587&gt;=50*0.5,3,IF(E587&gt;=50*0.4,2,IF(E587&gt;=50*0.33,1,0))))))))</f>
        <v/>
      </c>
      <c r="X587">
        <f>IF(B587="","",IF(F587&lt;33.0,0,IF(F587&gt;=100*0.8,5,IF(F587&gt;=100*0.7,4,IF(F587&gt;=100*0.6,3.5,IF(F587&gt;=100*0.5,3,IF(F587&gt;=100*0.4,2,IF(F587&gt;=100*0.33,1,0))))))))</f>
        <v/>
      </c>
      <c r="Y587">
        <f>IF(B587="","",IF(G587&lt;16.5,0,IF(G587&gt;=50*0.8,5,IF(G587&gt;=50*0.7,4,IF(G587&gt;=50*0.6,3.5,IF(G587&gt;=50*0.5,3,IF(G587&gt;=50*0.4,2,IF(G587&gt;=50*0.33,1,0))))))))</f>
        <v/>
      </c>
      <c r="Z587">
        <f>IF(B587="","",IF(H587&lt;33.0,0,IF(H587&gt;=100*0.8,5,IF(H587&gt;=100*0.7,4,IF(H587&gt;=100*0.6,3.5,IF(H587&gt;=100*0.5,3,IF(H587&gt;=100*0.4,2,IF(H587&gt;=100*0.33,1,0))))))))</f>
        <v/>
      </c>
      <c r="AA587">
        <f>IF(B587="","",IF(I587&lt;33.0,0,IF(I587&gt;=100*0.8,5,IF(I587&gt;=100*0.7,4,IF(I587&gt;=100*0.6,3.5,IF(I587&gt;=100*0.5,3,IF(I587&gt;=100*0.4,2,IF(I587&gt;=100*0.33,1,0))))))))</f>
        <v/>
      </c>
      <c r="AB587">
        <f>IF(B587="","",IF(J587&lt;33.0,0,IF(J587&gt;=100*0.8,5,IF(J587&gt;=100*0.7,4,IF(J587&gt;=100*0.6,3.5,IF(J587&gt;=100*0.5,3,IF(J587&gt;=100*0.4,2,IF(J587&gt;=100*0.33,1,0))))))))</f>
        <v/>
      </c>
      <c r="AC587">
        <f>IF(B587="","",IF(K587&lt;33.0,0,IF(K587&gt;=100*0.8,5,IF(K587&gt;=100*0.7,4,IF(K587&gt;=100*0.6,3.5,IF(K587&gt;=100*0.5,3,IF(K587&gt;=100*0.4,2,IF(K587&gt;=100*0.33,1,0))))))))</f>
        <v/>
      </c>
      <c r="AD587">
        <f>IF(B587="","",IF(L587&lt;33.0,0,IF(L587&gt;=100*0.8,5,IF(L587&gt;=100*0.7,4,IF(L587&gt;=100*0.6,3.5,IF(L587&gt;=100*0.5,3,IF(L587&gt;=100*0.4,2,IF(L587&gt;=100*0.33,1,0))))))))</f>
        <v/>
      </c>
      <c r="AE587">
        <f>IF(B587="","",IF(M587&lt;33.0,0,IF(M587&gt;=100*0.8,5,IF(M587&gt;=100*0.7,4,IF(M587&gt;=100*0.6,3.5,IF(M587&gt;=100*0.5,3,IF(M587&gt;=100*0.4,2,IF(M587&gt;=100*0.33,1,0))))))))</f>
        <v/>
      </c>
      <c r="AF587">
        <f>IF(B587="","",IF(N587&lt;16.5,0,IF(N587&gt;=50*0.8,5,IF(N587&gt;=50*0.7,4,IF(N587&gt;=50*0.6,3.5,IF(N587&gt;=50*0.5,3,IF(N587&gt;=50*0.4,2,IF(N587&gt;=50*0.33,1,0))))))))</f>
        <v/>
      </c>
      <c r="AG587">
        <f>IF(B587="","",IF(O587&lt;33.0,0,IF(O587&gt;=100*0.8,5,IF(O587&gt;=100*0.7,4,IF(O587&gt;=100*0.6,3.5,IF(O587&gt;=100*0.5,3,IF(O587&gt;=100*0.4,2,IF(O587&gt;=100*0.33,1,0))))))))</f>
        <v/>
      </c>
      <c r="AH587">
        <f>IF(B587="","",IF(OR(U587=0,V587=0,W587=0,X587=0,Y587=0,Z587=0,AA587=0,AB587=0,AC587=0,AD587=0,AE587=0,AF587=0,AG587=0),1,0))</f>
        <v/>
      </c>
    </row>
    <row r="588">
      <c r="A588" s="3">
        <f>IF(B588="","",ROW()-2)</f>
        <v/>
      </c>
      <c r="P588" s="4">
        <f>IF(B588="","",SUM(C588:O588))</f>
        <v/>
      </c>
      <c r="Q588" s="5">
        <f>IF(B588="","",ROUND(P588/13,2))</f>
        <v/>
      </c>
      <c r="R588" s="5">
        <f>IF(B588="","",IF(AH588=1,0,MIN(5,ROUND((U588+V588+W588+X588+Y588+Z588+AA588+AB588+AC588+AD588+AE588+AF588+AG588)/13,2))))</f>
        <v/>
      </c>
      <c r="S588" s="3">
        <f>IF(B588="","",IF(R588&gt;=5,"A+",IF(R588&gt;=4,"A",IF(R588&gt;=3.5,"A-",IF(R588&gt;=3,"B",IF(R588&gt;=2,"C",IF(R588&gt;=1,"D","F")))))))</f>
        <v/>
      </c>
      <c r="T588" s="3">
        <f>IF(OR(B588="",S588="F"),"",COUNTIFS(P:P,"&gt;"&amp;P588,S:S,"&lt;&gt;F")+1)</f>
        <v/>
      </c>
      <c r="U588">
        <f>IF(B588="","",IF(C588&lt;33.0,0,IF(C588&gt;=100*0.8,5,IF(C588&gt;=100*0.7,4,IF(C588&gt;=100*0.6,3.5,IF(C588&gt;=100*0.5,3,IF(C588&gt;=100*0.4,2,IF(C588&gt;=100*0.33,1,0))))))))</f>
        <v/>
      </c>
      <c r="V588">
        <f>IF(B588="","",IF(D588&lt;33.0,0,IF(D588&gt;=100*0.8,5,IF(D588&gt;=100*0.7,4,IF(D588&gt;=100*0.6,3.5,IF(D588&gt;=100*0.5,3,IF(D588&gt;=100*0.4,2,IF(D588&gt;=100*0.33,1,0))))))))</f>
        <v/>
      </c>
      <c r="W588">
        <f>IF(B588="","",IF(E588&lt;16.5,0,IF(E588&gt;=50*0.8,5,IF(E588&gt;=50*0.7,4,IF(E588&gt;=50*0.6,3.5,IF(E588&gt;=50*0.5,3,IF(E588&gt;=50*0.4,2,IF(E588&gt;=50*0.33,1,0))))))))</f>
        <v/>
      </c>
      <c r="X588">
        <f>IF(B588="","",IF(F588&lt;33.0,0,IF(F588&gt;=100*0.8,5,IF(F588&gt;=100*0.7,4,IF(F588&gt;=100*0.6,3.5,IF(F588&gt;=100*0.5,3,IF(F588&gt;=100*0.4,2,IF(F588&gt;=100*0.33,1,0))))))))</f>
        <v/>
      </c>
      <c r="Y588">
        <f>IF(B588="","",IF(G588&lt;16.5,0,IF(G588&gt;=50*0.8,5,IF(G588&gt;=50*0.7,4,IF(G588&gt;=50*0.6,3.5,IF(G588&gt;=50*0.5,3,IF(G588&gt;=50*0.4,2,IF(G588&gt;=50*0.33,1,0))))))))</f>
        <v/>
      </c>
      <c r="Z588">
        <f>IF(B588="","",IF(H588&lt;33.0,0,IF(H588&gt;=100*0.8,5,IF(H588&gt;=100*0.7,4,IF(H588&gt;=100*0.6,3.5,IF(H588&gt;=100*0.5,3,IF(H588&gt;=100*0.4,2,IF(H588&gt;=100*0.33,1,0))))))))</f>
        <v/>
      </c>
      <c r="AA588">
        <f>IF(B588="","",IF(I588&lt;33.0,0,IF(I588&gt;=100*0.8,5,IF(I588&gt;=100*0.7,4,IF(I588&gt;=100*0.6,3.5,IF(I588&gt;=100*0.5,3,IF(I588&gt;=100*0.4,2,IF(I588&gt;=100*0.33,1,0))))))))</f>
        <v/>
      </c>
      <c r="AB588">
        <f>IF(B588="","",IF(J588&lt;33.0,0,IF(J588&gt;=100*0.8,5,IF(J588&gt;=100*0.7,4,IF(J588&gt;=100*0.6,3.5,IF(J588&gt;=100*0.5,3,IF(J588&gt;=100*0.4,2,IF(J588&gt;=100*0.33,1,0))))))))</f>
        <v/>
      </c>
      <c r="AC588">
        <f>IF(B588="","",IF(K588&lt;33.0,0,IF(K588&gt;=100*0.8,5,IF(K588&gt;=100*0.7,4,IF(K588&gt;=100*0.6,3.5,IF(K588&gt;=100*0.5,3,IF(K588&gt;=100*0.4,2,IF(K588&gt;=100*0.33,1,0))))))))</f>
        <v/>
      </c>
      <c r="AD588">
        <f>IF(B588="","",IF(L588&lt;33.0,0,IF(L588&gt;=100*0.8,5,IF(L588&gt;=100*0.7,4,IF(L588&gt;=100*0.6,3.5,IF(L588&gt;=100*0.5,3,IF(L588&gt;=100*0.4,2,IF(L588&gt;=100*0.33,1,0))))))))</f>
        <v/>
      </c>
      <c r="AE588">
        <f>IF(B588="","",IF(M588&lt;33.0,0,IF(M588&gt;=100*0.8,5,IF(M588&gt;=100*0.7,4,IF(M588&gt;=100*0.6,3.5,IF(M588&gt;=100*0.5,3,IF(M588&gt;=100*0.4,2,IF(M588&gt;=100*0.33,1,0))))))))</f>
        <v/>
      </c>
      <c r="AF588">
        <f>IF(B588="","",IF(N588&lt;16.5,0,IF(N588&gt;=50*0.8,5,IF(N588&gt;=50*0.7,4,IF(N588&gt;=50*0.6,3.5,IF(N588&gt;=50*0.5,3,IF(N588&gt;=50*0.4,2,IF(N588&gt;=50*0.33,1,0))))))))</f>
        <v/>
      </c>
      <c r="AG588">
        <f>IF(B588="","",IF(O588&lt;33.0,0,IF(O588&gt;=100*0.8,5,IF(O588&gt;=100*0.7,4,IF(O588&gt;=100*0.6,3.5,IF(O588&gt;=100*0.5,3,IF(O588&gt;=100*0.4,2,IF(O588&gt;=100*0.33,1,0))))))))</f>
        <v/>
      </c>
      <c r="AH588">
        <f>IF(B588="","",IF(OR(U588=0,V588=0,W588=0,X588=0,Y588=0,Z588=0,AA588=0,AB588=0,AC588=0,AD588=0,AE588=0,AF588=0,AG588=0),1,0))</f>
        <v/>
      </c>
    </row>
    <row r="589">
      <c r="A589" s="3">
        <f>IF(B589="","",ROW()-2)</f>
        <v/>
      </c>
      <c r="P589" s="4">
        <f>IF(B589="","",SUM(C589:O589))</f>
        <v/>
      </c>
      <c r="Q589" s="5">
        <f>IF(B589="","",ROUND(P589/13,2))</f>
        <v/>
      </c>
      <c r="R589" s="5">
        <f>IF(B589="","",IF(AH589=1,0,MIN(5,ROUND((U589+V589+W589+X589+Y589+Z589+AA589+AB589+AC589+AD589+AE589+AF589+AG589)/13,2))))</f>
        <v/>
      </c>
      <c r="S589" s="3">
        <f>IF(B589="","",IF(R589&gt;=5,"A+",IF(R589&gt;=4,"A",IF(R589&gt;=3.5,"A-",IF(R589&gt;=3,"B",IF(R589&gt;=2,"C",IF(R589&gt;=1,"D","F")))))))</f>
        <v/>
      </c>
      <c r="T589" s="3">
        <f>IF(OR(B589="",S589="F"),"",COUNTIFS(P:P,"&gt;"&amp;P589,S:S,"&lt;&gt;F")+1)</f>
        <v/>
      </c>
      <c r="U589">
        <f>IF(B589="","",IF(C589&lt;33.0,0,IF(C589&gt;=100*0.8,5,IF(C589&gt;=100*0.7,4,IF(C589&gt;=100*0.6,3.5,IF(C589&gt;=100*0.5,3,IF(C589&gt;=100*0.4,2,IF(C589&gt;=100*0.33,1,0))))))))</f>
        <v/>
      </c>
      <c r="V589">
        <f>IF(B589="","",IF(D589&lt;33.0,0,IF(D589&gt;=100*0.8,5,IF(D589&gt;=100*0.7,4,IF(D589&gt;=100*0.6,3.5,IF(D589&gt;=100*0.5,3,IF(D589&gt;=100*0.4,2,IF(D589&gt;=100*0.33,1,0))))))))</f>
        <v/>
      </c>
      <c r="W589">
        <f>IF(B589="","",IF(E589&lt;16.5,0,IF(E589&gt;=50*0.8,5,IF(E589&gt;=50*0.7,4,IF(E589&gt;=50*0.6,3.5,IF(E589&gt;=50*0.5,3,IF(E589&gt;=50*0.4,2,IF(E589&gt;=50*0.33,1,0))))))))</f>
        <v/>
      </c>
      <c r="X589">
        <f>IF(B589="","",IF(F589&lt;33.0,0,IF(F589&gt;=100*0.8,5,IF(F589&gt;=100*0.7,4,IF(F589&gt;=100*0.6,3.5,IF(F589&gt;=100*0.5,3,IF(F589&gt;=100*0.4,2,IF(F589&gt;=100*0.33,1,0))))))))</f>
        <v/>
      </c>
      <c r="Y589">
        <f>IF(B589="","",IF(G589&lt;16.5,0,IF(G589&gt;=50*0.8,5,IF(G589&gt;=50*0.7,4,IF(G589&gt;=50*0.6,3.5,IF(G589&gt;=50*0.5,3,IF(G589&gt;=50*0.4,2,IF(G589&gt;=50*0.33,1,0))))))))</f>
        <v/>
      </c>
      <c r="Z589">
        <f>IF(B589="","",IF(H589&lt;33.0,0,IF(H589&gt;=100*0.8,5,IF(H589&gt;=100*0.7,4,IF(H589&gt;=100*0.6,3.5,IF(H589&gt;=100*0.5,3,IF(H589&gt;=100*0.4,2,IF(H589&gt;=100*0.33,1,0))))))))</f>
        <v/>
      </c>
      <c r="AA589">
        <f>IF(B589="","",IF(I589&lt;33.0,0,IF(I589&gt;=100*0.8,5,IF(I589&gt;=100*0.7,4,IF(I589&gt;=100*0.6,3.5,IF(I589&gt;=100*0.5,3,IF(I589&gt;=100*0.4,2,IF(I589&gt;=100*0.33,1,0))))))))</f>
        <v/>
      </c>
      <c r="AB589">
        <f>IF(B589="","",IF(J589&lt;33.0,0,IF(J589&gt;=100*0.8,5,IF(J589&gt;=100*0.7,4,IF(J589&gt;=100*0.6,3.5,IF(J589&gt;=100*0.5,3,IF(J589&gt;=100*0.4,2,IF(J589&gt;=100*0.33,1,0))))))))</f>
        <v/>
      </c>
      <c r="AC589">
        <f>IF(B589="","",IF(K589&lt;33.0,0,IF(K589&gt;=100*0.8,5,IF(K589&gt;=100*0.7,4,IF(K589&gt;=100*0.6,3.5,IF(K589&gt;=100*0.5,3,IF(K589&gt;=100*0.4,2,IF(K589&gt;=100*0.33,1,0))))))))</f>
        <v/>
      </c>
      <c r="AD589">
        <f>IF(B589="","",IF(L589&lt;33.0,0,IF(L589&gt;=100*0.8,5,IF(L589&gt;=100*0.7,4,IF(L589&gt;=100*0.6,3.5,IF(L589&gt;=100*0.5,3,IF(L589&gt;=100*0.4,2,IF(L589&gt;=100*0.33,1,0))))))))</f>
        <v/>
      </c>
      <c r="AE589">
        <f>IF(B589="","",IF(M589&lt;33.0,0,IF(M589&gt;=100*0.8,5,IF(M589&gt;=100*0.7,4,IF(M589&gt;=100*0.6,3.5,IF(M589&gt;=100*0.5,3,IF(M589&gt;=100*0.4,2,IF(M589&gt;=100*0.33,1,0))))))))</f>
        <v/>
      </c>
      <c r="AF589">
        <f>IF(B589="","",IF(N589&lt;16.5,0,IF(N589&gt;=50*0.8,5,IF(N589&gt;=50*0.7,4,IF(N589&gt;=50*0.6,3.5,IF(N589&gt;=50*0.5,3,IF(N589&gt;=50*0.4,2,IF(N589&gt;=50*0.33,1,0))))))))</f>
        <v/>
      </c>
      <c r="AG589">
        <f>IF(B589="","",IF(O589&lt;33.0,0,IF(O589&gt;=100*0.8,5,IF(O589&gt;=100*0.7,4,IF(O589&gt;=100*0.6,3.5,IF(O589&gt;=100*0.5,3,IF(O589&gt;=100*0.4,2,IF(O589&gt;=100*0.33,1,0))))))))</f>
        <v/>
      </c>
      <c r="AH589">
        <f>IF(B589="","",IF(OR(U589=0,V589=0,W589=0,X589=0,Y589=0,Z589=0,AA589=0,AB589=0,AC589=0,AD589=0,AE589=0,AF589=0,AG589=0),1,0))</f>
        <v/>
      </c>
    </row>
    <row r="590">
      <c r="A590" s="3">
        <f>IF(B590="","",ROW()-2)</f>
        <v/>
      </c>
      <c r="P590" s="4">
        <f>IF(B590="","",SUM(C590:O590))</f>
        <v/>
      </c>
      <c r="Q590" s="5">
        <f>IF(B590="","",ROUND(P590/13,2))</f>
        <v/>
      </c>
      <c r="R590" s="5">
        <f>IF(B590="","",IF(AH590=1,0,MIN(5,ROUND((U590+V590+W590+X590+Y590+Z590+AA590+AB590+AC590+AD590+AE590+AF590+AG590)/13,2))))</f>
        <v/>
      </c>
      <c r="S590" s="3">
        <f>IF(B590="","",IF(R590&gt;=5,"A+",IF(R590&gt;=4,"A",IF(R590&gt;=3.5,"A-",IF(R590&gt;=3,"B",IF(R590&gt;=2,"C",IF(R590&gt;=1,"D","F")))))))</f>
        <v/>
      </c>
      <c r="T590" s="3">
        <f>IF(OR(B590="",S590="F"),"",COUNTIFS(P:P,"&gt;"&amp;P590,S:S,"&lt;&gt;F")+1)</f>
        <v/>
      </c>
      <c r="U590">
        <f>IF(B590="","",IF(C590&lt;33.0,0,IF(C590&gt;=100*0.8,5,IF(C590&gt;=100*0.7,4,IF(C590&gt;=100*0.6,3.5,IF(C590&gt;=100*0.5,3,IF(C590&gt;=100*0.4,2,IF(C590&gt;=100*0.33,1,0))))))))</f>
        <v/>
      </c>
      <c r="V590">
        <f>IF(B590="","",IF(D590&lt;33.0,0,IF(D590&gt;=100*0.8,5,IF(D590&gt;=100*0.7,4,IF(D590&gt;=100*0.6,3.5,IF(D590&gt;=100*0.5,3,IF(D590&gt;=100*0.4,2,IF(D590&gt;=100*0.33,1,0))))))))</f>
        <v/>
      </c>
      <c r="W590">
        <f>IF(B590="","",IF(E590&lt;16.5,0,IF(E590&gt;=50*0.8,5,IF(E590&gt;=50*0.7,4,IF(E590&gt;=50*0.6,3.5,IF(E590&gt;=50*0.5,3,IF(E590&gt;=50*0.4,2,IF(E590&gt;=50*0.33,1,0))))))))</f>
        <v/>
      </c>
      <c r="X590">
        <f>IF(B590="","",IF(F590&lt;33.0,0,IF(F590&gt;=100*0.8,5,IF(F590&gt;=100*0.7,4,IF(F590&gt;=100*0.6,3.5,IF(F590&gt;=100*0.5,3,IF(F590&gt;=100*0.4,2,IF(F590&gt;=100*0.33,1,0))))))))</f>
        <v/>
      </c>
      <c r="Y590">
        <f>IF(B590="","",IF(G590&lt;16.5,0,IF(G590&gt;=50*0.8,5,IF(G590&gt;=50*0.7,4,IF(G590&gt;=50*0.6,3.5,IF(G590&gt;=50*0.5,3,IF(G590&gt;=50*0.4,2,IF(G590&gt;=50*0.33,1,0))))))))</f>
        <v/>
      </c>
      <c r="Z590">
        <f>IF(B590="","",IF(H590&lt;33.0,0,IF(H590&gt;=100*0.8,5,IF(H590&gt;=100*0.7,4,IF(H590&gt;=100*0.6,3.5,IF(H590&gt;=100*0.5,3,IF(H590&gt;=100*0.4,2,IF(H590&gt;=100*0.33,1,0))))))))</f>
        <v/>
      </c>
      <c r="AA590">
        <f>IF(B590="","",IF(I590&lt;33.0,0,IF(I590&gt;=100*0.8,5,IF(I590&gt;=100*0.7,4,IF(I590&gt;=100*0.6,3.5,IF(I590&gt;=100*0.5,3,IF(I590&gt;=100*0.4,2,IF(I590&gt;=100*0.33,1,0))))))))</f>
        <v/>
      </c>
      <c r="AB590">
        <f>IF(B590="","",IF(J590&lt;33.0,0,IF(J590&gt;=100*0.8,5,IF(J590&gt;=100*0.7,4,IF(J590&gt;=100*0.6,3.5,IF(J590&gt;=100*0.5,3,IF(J590&gt;=100*0.4,2,IF(J590&gt;=100*0.33,1,0))))))))</f>
        <v/>
      </c>
      <c r="AC590">
        <f>IF(B590="","",IF(K590&lt;33.0,0,IF(K590&gt;=100*0.8,5,IF(K590&gt;=100*0.7,4,IF(K590&gt;=100*0.6,3.5,IF(K590&gt;=100*0.5,3,IF(K590&gt;=100*0.4,2,IF(K590&gt;=100*0.33,1,0))))))))</f>
        <v/>
      </c>
      <c r="AD590">
        <f>IF(B590="","",IF(L590&lt;33.0,0,IF(L590&gt;=100*0.8,5,IF(L590&gt;=100*0.7,4,IF(L590&gt;=100*0.6,3.5,IF(L590&gt;=100*0.5,3,IF(L590&gt;=100*0.4,2,IF(L590&gt;=100*0.33,1,0))))))))</f>
        <v/>
      </c>
      <c r="AE590">
        <f>IF(B590="","",IF(M590&lt;33.0,0,IF(M590&gt;=100*0.8,5,IF(M590&gt;=100*0.7,4,IF(M590&gt;=100*0.6,3.5,IF(M590&gt;=100*0.5,3,IF(M590&gt;=100*0.4,2,IF(M590&gt;=100*0.33,1,0))))))))</f>
        <v/>
      </c>
      <c r="AF590">
        <f>IF(B590="","",IF(N590&lt;16.5,0,IF(N590&gt;=50*0.8,5,IF(N590&gt;=50*0.7,4,IF(N590&gt;=50*0.6,3.5,IF(N590&gt;=50*0.5,3,IF(N590&gt;=50*0.4,2,IF(N590&gt;=50*0.33,1,0))))))))</f>
        <v/>
      </c>
      <c r="AG590">
        <f>IF(B590="","",IF(O590&lt;33.0,0,IF(O590&gt;=100*0.8,5,IF(O590&gt;=100*0.7,4,IF(O590&gt;=100*0.6,3.5,IF(O590&gt;=100*0.5,3,IF(O590&gt;=100*0.4,2,IF(O590&gt;=100*0.33,1,0))))))))</f>
        <v/>
      </c>
      <c r="AH590">
        <f>IF(B590="","",IF(OR(U590=0,V590=0,W590=0,X590=0,Y590=0,Z590=0,AA590=0,AB590=0,AC590=0,AD590=0,AE590=0,AF590=0,AG590=0),1,0))</f>
        <v/>
      </c>
    </row>
    <row r="591">
      <c r="A591" s="3">
        <f>IF(B591="","",ROW()-2)</f>
        <v/>
      </c>
      <c r="P591" s="4">
        <f>IF(B591="","",SUM(C591:O591))</f>
        <v/>
      </c>
      <c r="Q591" s="5">
        <f>IF(B591="","",ROUND(P591/13,2))</f>
        <v/>
      </c>
      <c r="R591" s="5">
        <f>IF(B591="","",IF(AH591=1,0,MIN(5,ROUND((U591+V591+W591+X591+Y591+Z591+AA591+AB591+AC591+AD591+AE591+AF591+AG591)/13,2))))</f>
        <v/>
      </c>
      <c r="S591" s="3">
        <f>IF(B591="","",IF(R591&gt;=5,"A+",IF(R591&gt;=4,"A",IF(R591&gt;=3.5,"A-",IF(R591&gt;=3,"B",IF(R591&gt;=2,"C",IF(R591&gt;=1,"D","F")))))))</f>
        <v/>
      </c>
      <c r="T591" s="3">
        <f>IF(OR(B591="",S591="F"),"",COUNTIFS(P:P,"&gt;"&amp;P591,S:S,"&lt;&gt;F")+1)</f>
        <v/>
      </c>
      <c r="U591">
        <f>IF(B591="","",IF(C591&lt;33.0,0,IF(C591&gt;=100*0.8,5,IF(C591&gt;=100*0.7,4,IF(C591&gt;=100*0.6,3.5,IF(C591&gt;=100*0.5,3,IF(C591&gt;=100*0.4,2,IF(C591&gt;=100*0.33,1,0))))))))</f>
        <v/>
      </c>
      <c r="V591">
        <f>IF(B591="","",IF(D591&lt;33.0,0,IF(D591&gt;=100*0.8,5,IF(D591&gt;=100*0.7,4,IF(D591&gt;=100*0.6,3.5,IF(D591&gt;=100*0.5,3,IF(D591&gt;=100*0.4,2,IF(D591&gt;=100*0.33,1,0))))))))</f>
        <v/>
      </c>
      <c r="W591">
        <f>IF(B591="","",IF(E591&lt;16.5,0,IF(E591&gt;=50*0.8,5,IF(E591&gt;=50*0.7,4,IF(E591&gt;=50*0.6,3.5,IF(E591&gt;=50*0.5,3,IF(E591&gt;=50*0.4,2,IF(E591&gt;=50*0.33,1,0))))))))</f>
        <v/>
      </c>
      <c r="X591">
        <f>IF(B591="","",IF(F591&lt;33.0,0,IF(F591&gt;=100*0.8,5,IF(F591&gt;=100*0.7,4,IF(F591&gt;=100*0.6,3.5,IF(F591&gt;=100*0.5,3,IF(F591&gt;=100*0.4,2,IF(F591&gt;=100*0.33,1,0))))))))</f>
        <v/>
      </c>
      <c r="Y591">
        <f>IF(B591="","",IF(G591&lt;16.5,0,IF(G591&gt;=50*0.8,5,IF(G591&gt;=50*0.7,4,IF(G591&gt;=50*0.6,3.5,IF(G591&gt;=50*0.5,3,IF(G591&gt;=50*0.4,2,IF(G591&gt;=50*0.33,1,0))))))))</f>
        <v/>
      </c>
      <c r="Z591">
        <f>IF(B591="","",IF(H591&lt;33.0,0,IF(H591&gt;=100*0.8,5,IF(H591&gt;=100*0.7,4,IF(H591&gt;=100*0.6,3.5,IF(H591&gt;=100*0.5,3,IF(H591&gt;=100*0.4,2,IF(H591&gt;=100*0.33,1,0))))))))</f>
        <v/>
      </c>
      <c r="AA591">
        <f>IF(B591="","",IF(I591&lt;33.0,0,IF(I591&gt;=100*0.8,5,IF(I591&gt;=100*0.7,4,IF(I591&gt;=100*0.6,3.5,IF(I591&gt;=100*0.5,3,IF(I591&gt;=100*0.4,2,IF(I591&gt;=100*0.33,1,0))))))))</f>
        <v/>
      </c>
      <c r="AB591">
        <f>IF(B591="","",IF(J591&lt;33.0,0,IF(J591&gt;=100*0.8,5,IF(J591&gt;=100*0.7,4,IF(J591&gt;=100*0.6,3.5,IF(J591&gt;=100*0.5,3,IF(J591&gt;=100*0.4,2,IF(J591&gt;=100*0.33,1,0))))))))</f>
        <v/>
      </c>
      <c r="AC591">
        <f>IF(B591="","",IF(K591&lt;33.0,0,IF(K591&gt;=100*0.8,5,IF(K591&gt;=100*0.7,4,IF(K591&gt;=100*0.6,3.5,IF(K591&gt;=100*0.5,3,IF(K591&gt;=100*0.4,2,IF(K591&gt;=100*0.33,1,0))))))))</f>
        <v/>
      </c>
      <c r="AD591">
        <f>IF(B591="","",IF(L591&lt;33.0,0,IF(L591&gt;=100*0.8,5,IF(L591&gt;=100*0.7,4,IF(L591&gt;=100*0.6,3.5,IF(L591&gt;=100*0.5,3,IF(L591&gt;=100*0.4,2,IF(L591&gt;=100*0.33,1,0))))))))</f>
        <v/>
      </c>
      <c r="AE591">
        <f>IF(B591="","",IF(M591&lt;33.0,0,IF(M591&gt;=100*0.8,5,IF(M591&gt;=100*0.7,4,IF(M591&gt;=100*0.6,3.5,IF(M591&gt;=100*0.5,3,IF(M591&gt;=100*0.4,2,IF(M591&gt;=100*0.33,1,0))))))))</f>
        <v/>
      </c>
      <c r="AF591">
        <f>IF(B591="","",IF(N591&lt;16.5,0,IF(N591&gt;=50*0.8,5,IF(N591&gt;=50*0.7,4,IF(N591&gt;=50*0.6,3.5,IF(N591&gt;=50*0.5,3,IF(N591&gt;=50*0.4,2,IF(N591&gt;=50*0.33,1,0))))))))</f>
        <v/>
      </c>
      <c r="AG591">
        <f>IF(B591="","",IF(O591&lt;33.0,0,IF(O591&gt;=100*0.8,5,IF(O591&gt;=100*0.7,4,IF(O591&gt;=100*0.6,3.5,IF(O591&gt;=100*0.5,3,IF(O591&gt;=100*0.4,2,IF(O591&gt;=100*0.33,1,0))))))))</f>
        <v/>
      </c>
      <c r="AH591">
        <f>IF(B591="","",IF(OR(U591=0,V591=0,W591=0,X591=0,Y591=0,Z591=0,AA591=0,AB591=0,AC591=0,AD591=0,AE591=0,AF591=0,AG591=0),1,0))</f>
        <v/>
      </c>
    </row>
    <row r="592">
      <c r="A592" s="3">
        <f>IF(B592="","",ROW()-2)</f>
        <v/>
      </c>
      <c r="P592" s="4">
        <f>IF(B592="","",SUM(C592:O592))</f>
        <v/>
      </c>
      <c r="Q592" s="5">
        <f>IF(B592="","",ROUND(P592/13,2))</f>
        <v/>
      </c>
      <c r="R592" s="5">
        <f>IF(B592="","",IF(AH592=1,0,MIN(5,ROUND((U592+V592+W592+X592+Y592+Z592+AA592+AB592+AC592+AD592+AE592+AF592+AG592)/13,2))))</f>
        <v/>
      </c>
      <c r="S592" s="3">
        <f>IF(B592="","",IF(R592&gt;=5,"A+",IF(R592&gt;=4,"A",IF(R592&gt;=3.5,"A-",IF(R592&gt;=3,"B",IF(R592&gt;=2,"C",IF(R592&gt;=1,"D","F")))))))</f>
        <v/>
      </c>
      <c r="T592" s="3">
        <f>IF(OR(B592="",S592="F"),"",COUNTIFS(P:P,"&gt;"&amp;P592,S:S,"&lt;&gt;F")+1)</f>
        <v/>
      </c>
      <c r="U592">
        <f>IF(B592="","",IF(C592&lt;33.0,0,IF(C592&gt;=100*0.8,5,IF(C592&gt;=100*0.7,4,IF(C592&gt;=100*0.6,3.5,IF(C592&gt;=100*0.5,3,IF(C592&gt;=100*0.4,2,IF(C592&gt;=100*0.33,1,0))))))))</f>
        <v/>
      </c>
      <c r="V592">
        <f>IF(B592="","",IF(D592&lt;33.0,0,IF(D592&gt;=100*0.8,5,IF(D592&gt;=100*0.7,4,IF(D592&gt;=100*0.6,3.5,IF(D592&gt;=100*0.5,3,IF(D592&gt;=100*0.4,2,IF(D592&gt;=100*0.33,1,0))))))))</f>
        <v/>
      </c>
      <c r="W592">
        <f>IF(B592="","",IF(E592&lt;16.5,0,IF(E592&gt;=50*0.8,5,IF(E592&gt;=50*0.7,4,IF(E592&gt;=50*0.6,3.5,IF(E592&gt;=50*0.5,3,IF(E592&gt;=50*0.4,2,IF(E592&gt;=50*0.33,1,0))))))))</f>
        <v/>
      </c>
      <c r="X592">
        <f>IF(B592="","",IF(F592&lt;33.0,0,IF(F592&gt;=100*0.8,5,IF(F592&gt;=100*0.7,4,IF(F592&gt;=100*0.6,3.5,IF(F592&gt;=100*0.5,3,IF(F592&gt;=100*0.4,2,IF(F592&gt;=100*0.33,1,0))))))))</f>
        <v/>
      </c>
      <c r="Y592">
        <f>IF(B592="","",IF(G592&lt;16.5,0,IF(G592&gt;=50*0.8,5,IF(G592&gt;=50*0.7,4,IF(G592&gt;=50*0.6,3.5,IF(G592&gt;=50*0.5,3,IF(G592&gt;=50*0.4,2,IF(G592&gt;=50*0.33,1,0))))))))</f>
        <v/>
      </c>
      <c r="Z592">
        <f>IF(B592="","",IF(H592&lt;33.0,0,IF(H592&gt;=100*0.8,5,IF(H592&gt;=100*0.7,4,IF(H592&gt;=100*0.6,3.5,IF(H592&gt;=100*0.5,3,IF(H592&gt;=100*0.4,2,IF(H592&gt;=100*0.33,1,0))))))))</f>
        <v/>
      </c>
      <c r="AA592">
        <f>IF(B592="","",IF(I592&lt;33.0,0,IF(I592&gt;=100*0.8,5,IF(I592&gt;=100*0.7,4,IF(I592&gt;=100*0.6,3.5,IF(I592&gt;=100*0.5,3,IF(I592&gt;=100*0.4,2,IF(I592&gt;=100*0.33,1,0))))))))</f>
        <v/>
      </c>
      <c r="AB592">
        <f>IF(B592="","",IF(J592&lt;33.0,0,IF(J592&gt;=100*0.8,5,IF(J592&gt;=100*0.7,4,IF(J592&gt;=100*0.6,3.5,IF(J592&gt;=100*0.5,3,IF(J592&gt;=100*0.4,2,IF(J592&gt;=100*0.33,1,0))))))))</f>
        <v/>
      </c>
      <c r="AC592">
        <f>IF(B592="","",IF(K592&lt;33.0,0,IF(K592&gt;=100*0.8,5,IF(K592&gt;=100*0.7,4,IF(K592&gt;=100*0.6,3.5,IF(K592&gt;=100*0.5,3,IF(K592&gt;=100*0.4,2,IF(K592&gt;=100*0.33,1,0))))))))</f>
        <v/>
      </c>
      <c r="AD592">
        <f>IF(B592="","",IF(L592&lt;33.0,0,IF(L592&gt;=100*0.8,5,IF(L592&gt;=100*0.7,4,IF(L592&gt;=100*0.6,3.5,IF(L592&gt;=100*0.5,3,IF(L592&gt;=100*0.4,2,IF(L592&gt;=100*0.33,1,0))))))))</f>
        <v/>
      </c>
      <c r="AE592">
        <f>IF(B592="","",IF(M592&lt;33.0,0,IF(M592&gt;=100*0.8,5,IF(M592&gt;=100*0.7,4,IF(M592&gt;=100*0.6,3.5,IF(M592&gt;=100*0.5,3,IF(M592&gt;=100*0.4,2,IF(M592&gt;=100*0.33,1,0))))))))</f>
        <v/>
      </c>
      <c r="AF592">
        <f>IF(B592="","",IF(N592&lt;16.5,0,IF(N592&gt;=50*0.8,5,IF(N592&gt;=50*0.7,4,IF(N592&gt;=50*0.6,3.5,IF(N592&gt;=50*0.5,3,IF(N592&gt;=50*0.4,2,IF(N592&gt;=50*0.33,1,0))))))))</f>
        <v/>
      </c>
      <c r="AG592">
        <f>IF(B592="","",IF(O592&lt;33.0,0,IF(O592&gt;=100*0.8,5,IF(O592&gt;=100*0.7,4,IF(O592&gt;=100*0.6,3.5,IF(O592&gt;=100*0.5,3,IF(O592&gt;=100*0.4,2,IF(O592&gt;=100*0.33,1,0))))))))</f>
        <v/>
      </c>
      <c r="AH592">
        <f>IF(B592="","",IF(OR(U592=0,V592=0,W592=0,X592=0,Y592=0,Z592=0,AA592=0,AB592=0,AC592=0,AD592=0,AE592=0,AF592=0,AG592=0),1,0))</f>
        <v/>
      </c>
    </row>
    <row r="593">
      <c r="A593" s="3">
        <f>IF(B593="","",ROW()-2)</f>
        <v/>
      </c>
      <c r="P593" s="4">
        <f>IF(B593="","",SUM(C593:O593))</f>
        <v/>
      </c>
      <c r="Q593" s="5">
        <f>IF(B593="","",ROUND(P593/13,2))</f>
        <v/>
      </c>
      <c r="R593" s="5">
        <f>IF(B593="","",IF(AH593=1,0,MIN(5,ROUND((U593+V593+W593+X593+Y593+Z593+AA593+AB593+AC593+AD593+AE593+AF593+AG593)/13,2))))</f>
        <v/>
      </c>
      <c r="S593" s="3">
        <f>IF(B593="","",IF(R593&gt;=5,"A+",IF(R593&gt;=4,"A",IF(R593&gt;=3.5,"A-",IF(R593&gt;=3,"B",IF(R593&gt;=2,"C",IF(R593&gt;=1,"D","F")))))))</f>
        <v/>
      </c>
      <c r="T593" s="3">
        <f>IF(OR(B593="",S593="F"),"",COUNTIFS(P:P,"&gt;"&amp;P593,S:S,"&lt;&gt;F")+1)</f>
        <v/>
      </c>
      <c r="U593">
        <f>IF(B593="","",IF(C593&lt;33.0,0,IF(C593&gt;=100*0.8,5,IF(C593&gt;=100*0.7,4,IF(C593&gt;=100*0.6,3.5,IF(C593&gt;=100*0.5,3,IF(C593&gt;=100*0.4,2,IF(C593&gt;=100*0.33,1,0))))))))</f>
        <v/>
      </c>
      <c r="V593">
        <f>IF(B593="","",IF(D593&lt;33.0,0,IF(D593&gt;=100*0.8,5,IF(D593&gt;=100*0.7,4,IF(D593&gt;=100*0.6,3.5,IF(D593&gt;=100*0.5,3,IF(D593&gt;=100*0.4,2,IF(D593&gt;=100*0.33,1,0))))))))</f>
        <v/>
      </c>
      <c r="W593">
        <f>IF(B593="","",IF(E593&lt;16.5,0,IF(E593&gt;=50*0.8,5,IF(E593&gt;=50*0.7,4,IF(E593&gt;=50*0.6,3.5,IF(E593&gt;=50*0.5,3,IF(E593&gt;=50*0.4,2,IF(E593&gt;=50*0.33,1,0))))))))</f>
        <v/>
      </c>
      <c r="X593">
        <f>IF(B593="","",IF(F593&lt;33.0,0,IF(F593&gt;=100*0.8,5,IF(F593&gt;=100*0.7,4,IF(F593&gt;=100*0.6,3.5,IF(F593&gt;=100*0.5,3,IF(F593&gt;=100*0.4,2,IF(F593&gt;=100*0.33,1,0))))))))</f>
        <v/>
      </c>
      <c r="Y593">
        <f>IF(B593="","",IF(G593&lt;16.5,0,IF(G593&gt;=50*0.8,5,IF(G593&gt;=50*0.7,4,IF(G593&gt;=50*0.6,3.5,IF(G593&gt;=50*0.5,3,IF(G593&gt;=50*0.4,2,IF(G593&gt;=50*0.33,1,0))))))))</f>
        <v/>
      </c>
      <c r="Z593">
        <f>IF(B593="","",IF(H593&lt;33.0,0,IF(H593&gt;=100*0.8,5,IF(H593&gt;=100*0.7,4,IF(H593&gt;=100*0.6,3.5,IF(H593&gt;=100*0.5,3,IF(H593&gt;=100*0.4,2,IF(H593&gt;=100*0.33,1,0))))))))</f>
        <v/>
      </c>
      <c r="AA593">
        <f>IF(B593="","",IF(I593&lt;33.0,0,IF(I593&gt;=100*0.8,5,IF(I593&gt;=100*0.7,4,IF(I593&gt;=100*0.6,3.5,IF(I593&gt;=100*0.5,3,IF(I593&gt;=100*0.4,2,IF(I593&gt;=100*0.33,1,0))))))))</f>
        <v/>
      </c>
      <c r="AB593">
        <f>IF(B593="","",IF(J593&lt;33.0,0,IF(J593&gt;=100*0.8,5,IF(J593&gt;=100*0.7,4,IF(J593&gt;=100*0.6,3.5,IF(J593&gt;=100*0.5,3,IF(J593&gt;=100*0.4,2,IF(J593&gt;=100*0.33,1,0))))))))</f>
        <v/>
      </c>
      <c r="AC593">
        <f>IF(B593="","",IF(K593&lt;33.0,0,IF(K593&gt;=100*0.8,5,IF(K593&gt;=100*0.7,4,IF(K593&gt;=100*0.6,3.5,IF(K593&gt;=100*0.5,3,IF(K593&gt;=100*0.4,2,IF(K593&gt;=100*0.33,1,0))))))))</f>
        <v/>
      </c>
      <c r="AD593">
        <f>IF(B593="","",IF(L593&lt;33.0,0,IF(L593&gt;=100*0.8,5,IF(L593&gt;=100*0.7,4,IF(L593&gt;=100*0.6,3.5,IF(L593&gt;=100*0.5,3,IF(L593&gt;=100*0.4,2,IF(L593&gt;=100*0.33,1,0))))))))</f>
        <v/>
      </c>
      <c r="AE593">
        <f>IF(B593="","",IF(M593&lt;33.0,0,IF(M593&gt;=100*0.8,5,IF(M593&gt;=100*0.7,4,IF(M593&gt;=100*0.6,3.5,IF(M593&gt;=100*0.5,3,IF(M593&gt;=100*0.4,2,IF(M593&gt;=100*0.33,1,0))))))))</f>
        <v/>
      </c>
      <c r="AF593">
        <f>IF(B593="","",IF(N593&lt;16.5,0,IF(N593&gt;=50*0.8,5,IF(N593&gt;=50*0.7,4,IF(N593&gt;=50*0.6,3.5,IF(N593&gt;=50*0.5,3,IF(N593&gt;=50*0.4,2,IF(N593&gt;=50*0.33,1,0))))))))</f>
        <v/>
      </c>
      <c r="AG593">
        <f>IF(B593="","",IF(O593&lt;33.0,0,IF(O593&gt;=100*0.8,5,IF(O593&gt;=100*0.7,4,IF(O593&gt;=100*0.6,3.5,IF(O593&gt;=100*0.5,3,IF(O593&gt;=100*0.4,2,IF(O593&gt;=100*0.33,1,0))))))))</f>
        <v/>
      </c>
      <c r="AH593">
        <f>IF(B593="","",IF(OR(U593=0,V593=0,W593=0,X593=0,Y593=0,Z593=0,AA593=0,AB593=0,AC593=0,AD593=0,AE593=0,AF593=0,AG593=0),1,0))</f>
        <v/>
      </c>
    </row>
    <row r="594">
      <c r="A594" s="3">
        <f>IF(B594="","",ROW()-2)</f>
        <v/>
      </c>
      <c r="P594" s="4">
        <f>IF(B594="","",SUM(C594:O594))</f>
        <v/>
      </c>
      <c r="Q594" s="5">
        <f>IF(B594="","",ROUND(P594/13,2))</f>
        <v/>
      </c>
      <c r="R594" s="5">
        <f>IF(B594="","",IF(AH594=1,0,MIN(5,ROUND((U594+V594+W594+X594+Y594+Z594+AA594+AB594+AC594+AD594+AE594+AF594+AG594)/13,2))))</f>
        <v/>
      </c>
      <c r="S594" s="3">
        <f>IF(B594="","",IF(R594&gt;=5,"A+",IF(R594&gt;=4,"A",IF(R594&gt;=3.5,"A-",IF(R594&gt;=3,"B",IF(R594&gt;=2,"C",IF(R594&gt;=1,"D","F")))))))</f>
        <v/>
      </c>
      <c r="T594" s="3">
        <f>IF(OR(B594="",S594="F"),"",COUNTIFS(P:P,"&gt;"&amp;P594,S:S,"&lt;&gt;F")+1)</f>
        <v/>
      </c>
      <c r="U594">
        <f>IF(B594="","",IF(C594&lt;33.0,0,IF(C594&gt;=100*0.8,5,IF(C594&gt;=100*0.7,4,IF(C594&gt;=100*0.6,3.5,IF(C594&gt;=100*0.5,3,IF(C594&gt;=100*0.4,2,IF(C594&gt;=100*0.33,1,0))))))))</f>
        <v/>
      </c>
      <c r="V594">
        <f>IF(B594="","",IF(D594&lt;33.0,0,IF(D594&gt;=100*0.8,5,IF(D594&gt;=100*0.7,4,IF(D594&gt;=100*0.6,3.5,IF(D594&gt;=100*0.5,3,IF(D594&gt;=100*0.4,2,IF(D594&gt;=100*0.33,1,0))))))))</f>
        <v/>
      </c>
      <c r="W594">
        <f>IF(B594="","",IF(E594&lt;16.5,0,IF(E594&gt;=50*0.8,5,IF(E594&gt;=50*0.7,4,IF(E594&gt;=50*0.6,3.5,IF(E594&gt;=50*0.5,3,IF(E594&gt;=50*0.4,2,IF(E594&gt;=50*0.33,1,0))))))))</f>
        <v/>
      </c>
      <c r="X594">
        <f>IF(B594="","",IF(F594&lt;33.0,0,IF(F594&gt;=100*0.8,5,IF(F594&gt;=100*0.7,4,IF(F594&gt;=100*0.6,3.5,IF(F594&gt;=100*0.5,3,IF(F594&gt;=100*0.4,2,IF(F594&gt;=100*0.33,1,0))))))))</f>
        <v/>
      </c>
      <c r="Y594">
        <f>IF(B594="","",IF(G594&lt;16.5,0,IF(G594&gt;=50*0.8,5,IF(G594&gt;=50*0.7,4,IF(G594&gt;=50*0.6,3.5,IF(G594&gt;=50*0.5,3,IF(G594&gt;=50*0.4,2,IF(G594&gt;=50*0.33,1,0))))))))</f>
        <v/>
      </c>
      <c r="Z594">
        <f>IF(B594="","",IF(H594&lt;33.0,0,IF(H594&gt;=100*0.8,5,IF(H594&gt;=100*0.7,4,IF(H594&gt;=100*0.6,3.5,IF(H594&gt;=100*0.5,3,IF(H594&gt;=100*0.4,2,IF(H594&gt;=100*0.33,1,0))))))))</f>
        <v/>
      </c>
      <c r="AA594">
        <f>IF(B594="","",IF(I594&lt;33.0,0,IF(I594&gt;=100*0.8,5,IF(I594&gt;=100*0.7,4,IF(I594&gt;=100*0.6,3.5,IF(I594&gt;=100*0.5,3,IF(I594&gt;=100*0.4,2,IF(I594&gt;=100*0.33,1,0))))))))</f>
        <v/>
      </c>
      <c r="AB594">
        <f>IF(B594="","",IF(J594&lt;33.0,0,IF(J594&gt;=100*0.8,5,IF(J594&gt;=100*0.7,4,IF(J594&gt;=100*0.6,3.5,IF(J594&gt;=100*0.5,3,IF(J594&gt;=100*0.4,2,IF(J594&gt;=100*0.33,1,0))))))))</f>
        <v/>
      </c>
      <c r="AC594">
        <f>IF(B594="","",IF(K594&lt;33.0,0,IF(K594&gt;=100*0.8,5,IF(K594&gt;=100*0.7,4,IF(K594&gt;=100*0.6,3.5,IF(K594&gt;=100*0.5,3,IF(K594&gt;=100*0.4,2,IF(K594&gt;=100*0.33,1,0))))))))</f>
        <v/>
      </c>
      <c r="AD594">
        <f>IF(B594="","",IF(L594&lt;33.0,0,IF(L594&gt;=100*0.8,5,IF(L594&gt;=100*0.7,4,IF(L594&gt;=100*0.6,3.5,IF(L594&gt;=100*0.5,3,IF(L594&gt;=100*0.4,2,IF(L594&gt;=100*0.33,1,0))))))))</f>
        <v/>
      </c>
      <c r="AE594">
        <f>IF(B594="","",IF(M594&lt;33.0,0,IF(M594&gt;=100*0.8,5,IF(M594&gt;=100*0.7,4,IF(M594&gt;=100*0.6,3.5,IF(M594&gt;=100*0.5,3,IF(M594&gt;=100*0.4,2,IF(M594&gt;=100*0.33,1,0))))))))</f>
        <v/>
      </c>
      <c r="AF594">
        <f>IF(B594="","",IF(N594&lt;16.5,0,IF(N594&gt;=50*0.8,5,IF(N594&gt;=50*0.7,4,IF(N594&gt;=50*0.6,3.5,IF(N594&gt;=50*0.5,3,IF(N594&gt;=50*0.4,2,IF(N594&gt;=50*0.33,1,0))))))))</f>
        <v/>
      </c>
      <c r="AG594">
        <f>IF(B594="","",IF(O594&lt;33.0,0,IF(O594&gt;=100*0.8,5,IF(O594&gt;=100*0.7,4,IF(O594&gt;=100*0.6,3.5,IF(O594&gt;=100*0.5,3,IF(O594&gt;=100*0.4,2,IF(O594&gt;=100*0.33,1,0))))))))</f>
        <v/>
      </c>
      <c r="AH594">
        <f>IF(B594="","",IF(OR(U594=0,V594=0,W594=0,X594=0,Y594=0,Z594=0,AA594=0,AB594=0,AC594=0,AD594=0,AE594=0,AF594=0,AG594=0),1,0))</f>
        <v/>
      </c>
    </row>
    <row r="595">
      <c r="A595" s="3">
        <f>IF(B595="","",ROW()-2)</f>
        <v/>
      </c>
      <c r="P595" s="4">
        <f>IF(B595="","",SUM(C595:O595))</f>
        <v/>
      </c>
      <c r="Q595" s="5">
        <f>IF(B595="","",ROUND(P595/13,2))</f>
        <v/>
      </c>
      <c r="R595" s="5">
        <f>IF(B595="","",IF(AH595=1,0,MIN(5,ROUND((U595+V595+W595+X595+Y595+Z595+AA595+AB595+AC595+AD595+AE595+AF595+AG595)/13,2))))</f>
        <v/>
      </c>
      <c r="S595" s="3">
        <f>IF(B595="","",IF(R595&gt;=5,"A+",IF(R595&gt;=4,"A",IF(R595&gt;=3.5,"A-",IF(R595&gt;=3,"B",IF(R595&gt;=2,"C",IF(R595&gt;=1,"D","F")))))))</f>
        <v/>
      </c>
      <c r="T595" s="3">
        <f>IF(OR(B595="",S595="F"),"",COUNTIFS(P:P,"&gt;"&amp;P595,S:S,"&lt;&gt;F")+1)</f>
        <v/>
      </c>
      <c r="U595">
        <f>IF(B595="","",IF(C595&lt;33.0,0,IF(C595&gt;=100*0.8,5,IF(C595&gt;=100*0.7,4,IF(C595&gt;=100*0.6,3.5,IF(C595&gt;=100*0.5,3,IF(C595&gt;=100*0.4,2,IF(C595&gt;=100*0.33,1,0))))))))</f>
        <v/>
      </c>
      <c r="V595">
        <f>IF(B595="","",IF(D595&lt;33.0,0,IF(D595&gt;=100*0.8,5,IF(D595&gt;=100*0.7,4,IF(D595&gt;=100*0.6,3.5,IF(D595&gt;=100*0.5,3,IF(D595&gt;=100*0.4,2,IF(D595&gt;=100*0.33,1,0))))))))</f>
        <v/>
      </c>
      <c r="W595">
        <f>IF(B595="","",IF(E595&lt;16.5,0,IF(E595&gt;=50*0.8,5,IF(E595&gt;=50*0.7,4,IF(E595&gt;=50*0.6,3.5,IF(E595&gt;=50*0.5,3,IF(E595&gt;=50*0.4,2,IF(E595&gt;=50*0.33,1,0))))))))</f>
        <v/>
      </c>
      <c r="X595">
        <f>IF(B595="","",IF(F595&lt;33.0,0,IF(F595&gt;=100*0.8,5,IF(F595&gt;=100*0.7,4,IF(F595&gt;=100*0.6,3.5,IF(F595&gt;=100*0.5,3,IF(F595&gt;=100*0.4,2,IF(F595&gt;=100*0.33,1,0))))))))</f>
        <v/>
      </c>
      <c r="Y595">
        <f>IF(B595="","",IF(G595&lt;16.5,0,IF(G595&gt;=50*0.8,5,IF(G595&gt;=50*0.7,4,IF(G595&gt;=50*0.6,3.5,IF(G595&gt;=50*0.5,3,IF(G595&gt;=50*0.4,2,IF(G595&gt;=50*0.33,1,0))))))))</f>
        <v/>
      </c>
      <c r="Z595">
        <f>IF(B595="","",IF(H595&lt;33.0,0,IF(H595&gt;=100*0.8,5,IF(H595&gt;=100*0.7,4,IF(H595&gt;=100*0.6,3.5,IF(H595&gt;=100*0.5,3,IF(H595&gt;=100*0.4,2,IF(H595&gt;=100*0.33,1,0))))))))</f>
        <v/>
      </c>
      <c r="AA595">
        <f>IF(B595="","",IF(I595&lt;33.0,0,IF(I595&gt;=100*0.8,5,IF(I595&gt;=100*0.7,4,IF(I595&gt;=100*0.6,3.5,IF(I595&gt;=100*0.5,3,IF(I595&gt;=100*0.4,2,IF(I595&gt;=100*0.33,1,0))))))))</f>
        <v/>
      </c>
      <c r="AB595">
        <f>IF(B595="","",IF(J595&lt;33.0,0,IF(J595&gt;=100*0.8,5,IF(J595&gt;=100*0.7,4,IF(J595&gt;=100*0.6,3.5,IF(J595&gt;=100*0.5,3,IF(J595&gt;=100*0.4,2,IF(J595&gt;=100*0.33,1,0))))))))</f>
        <v/>
      </c>
      <c r="AC595">
        <f>IF(B595="","",IF(K595&lt;33.0,0,IF(K595&gt;=100*0.8,5,IF(K595&gt;=100*0.7,4,IF(K595&gt;=100*0.6,3.5,IF(K595&gt;=100*0.5,3,IF(K595&gt;=100*0.4,2,IF(K595&gt;=100*0.33,1,0))))))))</f>
        <v/>
      </c>
      <c r="AD595">
        <f>IF(B595="","",IF(L595&lt;33.0,0,IF(L595&gt;=100*0.8,5,IF(L595&gt;=100*0.7,4,IF(L595&gt;=100*0.6,3.5,IF(L595&gt;=100*0.5,3,IF(L595&gt;=100*0.4,2,IF(L595&gt;=100*0.33,1,0))))))))</f>
        <v/>
      </c>
      <c r="AE595">
        <f>IF(B595="","",IF(M595&lt;33.0,0,IF(M595&gt;=100*0.8,5,IF(M595&gt;=100*0.7,4,IF(M595&gt;=100*0.6,3.5,IF(M595&gt;=100*0.5,3,IF(M595&gt;=100*0.4,2,IF(M595&gt;=100*0.33,1,0))))))))</f>
        <v/>
      </c>
      <c r="AF595">
        <f>IF(B595="","",IF(N595&lt;16.5,0,IF(N595&gt;=50*0.8,5,IF(N595&gt;=50*0.7,4,IF(N595&gt;=50*0.6,3.5,IF(N595&gt;=50*0.5,3,IF(N595&gt;=50*0.4,2,IF(N595&gt;=50*0.33,1,0))))))))</f>
        <v/>
      </c>
      <c r="AG595">
        <f>IF(B595="","",IF(O595&lt;33.0,0,IF(O595&gt;=100*0.8,5,IF(O595&gt;=100*0.7,4,IF(O595&gt;=100*0.6,3.5,IF(O595&gt;=100*0.5,3,IF(O595&gt;=100*0.4,2,IF(O595&gt;=100*0.33,1,0))))))))</f>
        <v/>
      </c>
      <c r="AH595">
        <f>IF(B595="","",IF(OR(U595=0,V595=0,W595=0,X595=0,Y595=0,Z595=0,AA595=0,AB595=0,AC595=0,AD595=0,AE595=0,AF595=0,AG595=0),1,0))</f>
        <v/>
      </c>
    </row>
    <row r="596">
      <c r="A596" s="3">
        <f>IF(B596="","",ROW()-2)</f>
        <v/>
      </c>
      <c r="P596" s="4">
        <f>IF(B596="","",SUM(C596:O596))</f>
        <v/>
      </c>
      <c r="Q596" s="5">
        <f>IF(B596="","",ROUND(P596/13,2))</f>
        <v/>
      </c>
      <c r="R596" s="5">
        <f>IF(B596="","",IF(AH596=1,0,MIN(5,ROUND((U596+V596+W596+X596+Y596+Z596+AA596+AB596+AC596+AD596+AE596+AF596+AG596)/13,2))))</f>
        <v/>
      </c>
      <c r="S596" s="3">
        <f>IF(B596="","",IF(R596&gt;=5,"A+",IF(R596&gt;=4,"A",IF(R596&gt;=3.5,"A-",IF(R596&gt;=3,"B",IF(R596&gt;=2,"C",IF(R596&gt;=1,"D","F")))))))</f>
        <v/>
      </c>
      <c r="T596" s="3">
        <f>IF(OR(B596="",S596="F"),"",COUNTIFS(P:P,"&gt;"&amp;P596,S:S,"&lt;&gt;F")+1)</f>
        <v/>
      </c>
      <c r="U596">
        <f>IF(B596="","",IF(C596&lt;33.0,0,IF(C596&gt;=100*0.8,5,IF(C596&gt;=100*0.7,4,IF(C596&gt;=100*0.6,3.5,IF(C596&gt;=100*0.5,3,IF(C596&gt;=100*0.4,2,IF(C596&gt;=100*0.33,1,0))))))))</f>
        <v/>
      </c>
      <c r="V596">
        <f>IF(B596="","",IF(D596&lt;33.0,0,IF(D596&gt;=100*0.8,5,IF(D596&gt;=100*0.7,4,IF(D596&gt;=100*0.6,3.5,IF(D596&gt;=100*0.5,3,IF(D596&gt;=100*0.4,2,IF(D596&gt;=100*0.33,1,0))))))))</f>
        <v/>
      </c>
      <c r="W596">
        <f>IF(B596="","",IF(E596&lt;16.5,0,IF(E596&gt;=50*0.8,5,IF(E596&gt;=50*0.7,4,IF(E596&gt;=50*0.6,3.5,IF(E596&gt;=50*0.5,3,IF(E596&gt;=50*0.4,2,IF(E596&gt;=50*0.33,1,0))))))))</f>
        <v/>
      </c>
      <c r="X596">
        <f>IF(B596="","",IF(F596&lt;33.0,0,IF(F596&gt;=100*0.8,5,IF(F596&gt;=100*0.7,4,IF(F596&gt;=100*0.6,3.5,IF(F596&gt;=100*0.5,3,IF(F596&gt;=100*0.4,2,IF(F596&gt;=100*0.33,1,0))))))))</f>
        <v/>
      </c>
      <c r="Y596">
        <f>IF(B596="","",IF(G596&lt;16.5,0,IF(G596&gt;=50*0.8,5,IF(G596&gt;=50*0.7,4,IF(G596&gt;=50*0.6,3.5,IF(G596&gt;=50*0.5,3,IF(G596&gt;=50*0.4,2,IF(G596&gt;=50*0.33,1,0))))))))</f>
        <v/>
      </c>
      <c r="Z596">
        <f>IF(B596="","",IF(H596&lt;33.0,0,IF(H596&gt;=100*0.8,5,IF(H596&gt;=100*0.7,4,IF(H596&gt;=100*0.6,3.5,IF(H596&gt;=100*0.5,3,IF(H596&gt;=100*0.4,2,IF(H596&gt;=100*0.33,1,0))))))))</f>
        <v/>
      </c>
      <c r="AA596">
        <f>IF(B596="","",IF(I596&lt;33.0,0,IF(I596&gt;=100*0.8,5,IF(I596&gt;=100*0.7,4,IF(I596&gt;=100*0.6,3.5,IF(I596&gt;=100*0.5,3,IF(I596&gt;=100*0.4,2,IF(I596&gt;=100*0.33,1,0))))))))</f>
        <v/>
      </c>
      <c r="AB596">
        <f>IF(B596="","",IF(J596&lt;33.0,0,IF(J596&gt;=100*0.8,5,IF(J596&gt;=100*0.7,4,IF(J596&gt;=100*0.6,3.5,IF(J596&gt;=100*0.5,3,IF(J596&gt;=100*0.4,2,IF(J596&gt;=100*0.33,1,0))))))))</f>
        <v/>
      </c>
      <c r="AC596">
        <f>IF(B596="","",IF(K596&lt;33.0,0,IF(K596&gt;=100*0.8,5,IF(K596&gt;=100*0.7,4,IF(K596&gt;=100*0.6,3.5,IF(K596&gt;=100*0.5,3,IF(K596&gt;=100*0.4,2,IF(K596&gt;=100*0.33,1,0))))))))</f>
        <v/>
      </c>
      <c r="AD596">
        <f>IF(B596="","",IF(L596&lt;33.0,0,IF(L596&gt;=100*0.8,5,IF(L596&gt;=100*0.7,4,IF(L596&gt;=100*0.6,3.5,IF(L596&gt;=100*0.5,3,IF(L596&gt;=100*0.4,2,IF(L596&gt;=100*0.33,1,0))))))))</f>
        <v/>
      </c>
      <c r="AE596">
        <f>IF(B596="","",IF(M596&lt;33.0,0,IF(M596&gt;=100*0.8,5,IF(M596&gt;=100*0.7,4,IF(M596&gt;=100*0.6,3.5,IF(M596&gt;=100*0.5,3,IF(M596&gt;=100*0.4,2,IF(M596&gt;=100*0.33,1,0))))))))</f>
        <v/>
      </c>
      <c r="AF596">
        <f>IF(B596="","",IF(N596&lt;16.5,0,IF(N596&gt;=50*0.8,5,IF(N596&gt;=50*0.7,4,IF(N596&gt;=50*0.6,3.5,IF(N596&gt;=50*0.5,3,IF(N596&gt;=50*0.4,2,IF(N596&gt;=50*0.33,1,0))))))))</f>
        <v/>
      </c>
      <c r="AG596">
        <f>IF(B596="","",IF(O596&lt;33.0,0,IF(O596&gt;=100*0.8,5,IF(O596&gt;=100*0.7,4,IF(O596&gt;=100*0.6,3.5,IF(O596&gt;=100*0.5,3,IF(O596&gt;=100*0.4,2,IF(O596&gt;=100*0.33,1,0))))))))</f>
        <v/>
      </c>
      <c r="AH596">
        <f>IF(B596="","",IF(OR(U596=0,V596=0,W596=0,X596=0,Y596=0,Z596=0,AA596=0,AB596=0,AC596=0,AD596=0,AE596=0,AF596=0,AG596=0),1,0))</f>
        <v/>
      </c>
    </row>
    <row r="597">
      <c r="A597" s="3">
        <f>IF(B597="","",ROW()-2)</f>
        <v/>
      </c>
      <c r="P597" s="4">
        <f>IF(B597="","",SUM(C597:O597))</f>
        <v/>
      </c>
      <c r="Q597" s="5">
        <f>IF(B597="","",ROUND(P597/13,2))</f>
        <v/>
      </c>
      <c r="R597" s="5">
        <f>IF(B597="","",IF(AH597=1,0,MIN(5,ROUND((U597+V597+W597+X597+Y597+Z597+AA597+AB597+AC597+AD597+AE597+AF597+AG597)/13,2))))</f>
        <v/>
      </c>
      <c r="S597" s="3">
        <f>IF(B597="","",IF(R597&gt;=5,"A+",IF(R597&gt;=4,"A",IF(R597&gt;=3.5,"A-",IF(R597&gt;=3,"B",IF(R597&gt;=2,"C",IF(R597&gt;=1,"D","F")))))))</f>
        <v/>
      </c>
      <c r="T597" s="3">
        <f>IF(OR(B597="",S597="F"),"",COUNTIFS(P:P,"&gt;"&amp;P597,S:S,"&lt;&gt;F")+1)</f>
        <v/>
      </c>
      <c r="U597">
        <f>IF(B597="","",IF(C597&lt;33.0,0,IF(C597&gt;=100*0.8,5,IF(C597&gt;=100*0.7,4,IF(C597&gt;=100*0.6,3.5,IF(C597&gt;=100*0.5,3,IF(C597&gt;=100*0.4,2,IF(C597&gt;=100*0.33,1,0))))))))</f>
        <v/>
      </c>
      <c r="V597">
        <f>IF(B597="","",IF(D597&lt;33.0,0,IF(D597&gt;=100*0.8,5,IF(D597&gt;=100*0.7,4,IF(D597&gt;=100*0.6,3.5,IF(D597&gt;=100*0.5,3,IF(D597&gt;=100*0.4,2,IF(D597&gt;=100*0.33,1,0))))))))</f>
        <v/>
      </c>
      <c r="W597">
        <f>IF(B597="","",IF(E597&lt;16.5,0,IF(E597&gt;=50*0.8,5,IF(E597&gt;=50*0.7,4,IF(E597&gt;=50*0.6,3.5,IF(E597&gt;=50*0.5,3,IF(E597&gt;=50*0.4,2,IF(E597&gt;=50*0.33,1,0))))))))</f>
        <v/>
      </c>
      <c r="X597">
        <f>IF(B597="","",IF(F597&lt;33.0,0,IF(F597&gt;=100*0.8,5,IF(F597&gt;=100*0.7,4,IF(F597&gt;=100*0.6,3.5,IF(F597&gt;=100*0.5,3,IF(F597&gt;=100*0.4,2,IF(F597&gt;=100*0.33,1,0))))))))</f>
        <v/>
      </c>
      <c r="Y597">
        <f>IF(B597="","",IF(G597&lt;16.5,0,IF(G597&gt;=50*0.8,5,IF(G597&gt;=50*0.7,4,IF(G597&gt;=50*0.6,3.5,IF(G597&gt;=50*0.5,3,IF(G597&gt;=50*0.4,2,IF(G597&gt;=50*0.33,1,0))))))))</f>
        <v/>
      </c>
      <c r="Z597">
        <f>IF(B597="","",IF(H597&lt;33.0,0,IF(H597&gt;=100*0.8,5,IF(H597&gt;=100*0.7,4,IF(H597&gt;=100*0.6,3.5,IF(H597&gt;=100*0.5,3,IF(H597&gt;=100*0.4,2,IF(H597&gt;=100*0.33,1,0))))))))</f>
        <v/>
      </c>
      <c r="AA597">
        <f>IF(B597="","",IF(I597&lt;33.0,0,IF(I597&gt;=100*0.8,5,IF(I597&gt;=100*0.7,4,IF(I597&gt;=100*0.6,3.5,IF(I597&gt;=100*0.5,3,IF(I597&gt;=100*0.4,2,IF(I597&gt;=100*0.33,1,0))))))))</f>
        <v/>
      </c>
      <c r="AB597">
        <f>IF(B597="","",IF(J597&lt;33.0,0,IF(J597&gt;=100*0.8,5,IF(J597&gt;=100*0.7,4,IF(J597&gt;=100*0.6,3.5,IF(J597&gt;=100*0.5,3,IF(J597&gt;=100*0.4,2,IF(J597&gt;=100*0.33,1,0))))))))</f>
        <v/>
      </c>
      <c r="AC597">
        <f>IF(B597="","",IF(K597&lt;33.0,0,IF(K597&gt;=100*0.8,5,IF(K597&gt;=100*0.7,4,IF(K597&gt;=100*0.6,3.5,IF(K597&gt;=100*0.5,3,IF(K597&gt;=100*0.4,2,IF(K597&gt;=100*0.33,1,0))))))))</f>
        <v/>
      </c>
      <c r="AD597">
        <f>IF(B597="","",IF(L597&lt;33.0,0,IF(L597&gt;=100*0.8,5,IF(L597&gt;=100*0.7,4,IF(L597&gt;=100*0.6,3.5,IF(L597&gt;=100*0.5,3,IF(L597&gt;=100*0.4,2,IF(L597&gt;=100*0.33,1,0))))))))</f>
        <v/>
      </c>
      <c r="AE597">
        <f>IF(B597="","",IF(M597&lt;33.0,0,IF(M597&gt;=100*0.8,5,IF(M597&gt;=100*0.7,4,IF(M597&gt;=100*0.6,3.5,IF(M597&gt;=100*0.5,3,IF(M597&gt;=100*0.4,2,IF(M597&gt;=100*0.33,1,0))))))))</f>
        <v/>
      </c>
      <c r="AF597">
        <f>IF(B597="","",IF(N597&lt;16.5,0,IF(N597&gt;=50*0.8,5,IF(N597&gt;=50*0.7,4,IF(N597&gt;=50*0.6,3.5,IF(N597&gt;=50*0.5,3,IF(N597&gt;=50*0.4,2,IF(N597&gt;=50*0.33,1,0))))))))</f>
        <v/>
      </c>
      <c r="AG597">
        <f>IF(B597="","",IF(O597&lt;33.0,0,IF(O597&gt;=100*0.8,5,IF(O597&gt;=100*0.7,4,IF(O597&gt;=100*0.6,3.5,IF(O597&gt;=100*0.5,3,IF(O597&gt;=100*0.4,2,IF(O597&gt;=100*0.33,1,0))))))))</f>
        <v/>
      </c>
      <c r="AH597">
        <f>IF(B597="","",IF(OR(U597=0,V597=0,W597=0,X597=0,Y597=0,Z597=0,AA597=0,AB597=0,AC597=0,AD597=0,AE597=0,AF597=0,AG597=0),1,0))</f>
        <v/>
      </c>
    </row>
    <row r="598">
      <c r="A598" s="3">
        <f>IF(B598="","",ROW()-2)</f>
        <v/>
      </c>
      <c r="P598" s="4">
        <f>IF(B598="","",SUM(C598:O598))</f>
        <v/>
      </c>
      <c r="Q598" s="5">
        <f>IF(B598="","",ROUND(P598/13,2))</f>
        <v/>
      </c>
      <c r="R598" s="5">
        <f>IF(B598="","",IF(AH598=1,0,MIN(5,ROUND((U598+V598+W598+X598+Y598+Z598+AA598+AB598+AC598+AD598+AE598+AF598+AG598)/13,2))))</f>
        <v/>
      </c>
      <c r="S598" s="3">
        <f>IF(B598="","",IF(R598&gt;=5,"A+",IF(R598&gt;=4,"A",IF(R598&gt;=3.5,"A-",IF(R598&gt;=3,"B",IF(R598&gt;=2,"C",IF(R598&gt;=1,"D","F")))))))</f>
        <v/>
      </c>
      <c r="T598" s="3">
        <f>IF(OR(B598="",S598="F"),"",COUNTIFS(P:P,"&gt;"&amp;P598,S:S,"&lt;&gt;F")+1)</f>
        <v/>
      </c>
      <c r="U598">
        <f>IF(B598="","",IF(C598&lt;33.0,0,IF(C598&gt;=100*0.8,5,IF(C598&gt;=100*0.7,4,IF(C598&gt;=100*0.6,3.5,IF(C598&gt;=100*0.5,3,IF(C598&gt;=100*0.4,2,IF(C598&gt;=100*0.33,1,0))))))))</f>
        <v/>
      </c>
      <c r="V598">
        <f>IF(B598="","",IF(D598&lt;33.0,0,IF(D598&gt;=100*0.8,5,IF(D598&gt;=100*0.7,4,IF(D598&gt;=100*0.6,3.5,IF(D598&gt;=100*0.5,3,IF(D598&gt;=100*0.4,2,IF(D598&gt;=100*0.33,1,0))))))))</f>
        <v/>
      </c>
      <c r="W598">
        <f>IF(B598="","",IF(E598&lt;16.5,0,IF(E598&gt;=50*0.8,5,IF(E598&gt;=50*0.7,4,IF(E598&gt;=50*0.6,3.5,IF(E598&gt;=50*0.5,3,IF(E598&gt;=50*0.4,2,IF(E598&gt;=50*0.33,1,0))))))))</f>
        <v/>
      </c>
      <c r="X598">
        <f>IF(B598="","",IF(F598&lt;33.0,0,IF(F598&gt;=100*0.8,5,IF(F598&gt;=100*0.7,4,IF(F598&gt;=100*0.6,3.5,IF(F598&gt;=100*0.5,3,IF(F598&gt;=100*0.4,2,IF(F598&gt;=100*0.33,1,0))))))))</f>
        <v/>
      </c>
      <c r="Y598">
        <f>IF(B598="","",IF(G598&lt;16.5,0,IF(G598&gt;=50*0.8,5,IF(G598&gt;=50*0.7,4,IF(G598&gt;=50*0.6,3.5,IF(G598&gt;=50*0.5,3,IF(G598&gt;=50*0.4,2,IF(G598&gt;=50*0.33,1,0))))))))</f>
        <v/>
      </c>
      <c r="Z598">
        <f>IF(B598="","",IF(H598&lt;33.0,0,IF(H598&gt;=100*0.8,5,IF(H598&gt;=100*0.7,4,IF(H598&gt;=100*0.6,3.5,IF(H598&gt;=100*0.5,3,IF(H598&gt;=100*0.4,2,IF(H598&gt;=100*0.33,1,0))))))))</f>
        <v/>
      </c>
      <c r="AA598">
        <f>IF(B598="","",IF(I598&lt;33.0,0,IF(I598&gt;=100*0.8,5,IF(I598&gt;=100*0.7,4,IF(I598&gt;=100*0.6,3.5,IF(I598&gt;=100*0.5,3,IF(I598&gt;=100*0.4,2,IF(I598&gt;=100*0.33,1,0))))))))</f>
        <v/>
      </c>
      <c r="AB598">
        <f>IF(B598="","",IF(J598&lt;33.0,0,IF(J598&gt;=100*0.8,5,IF(J598&gt;=100*0.7,4,IF(J598&gt;=100*0.6,3.5,IF(J598&gt;=100*0.5,3,IF(J598&gt;=100*0.4,2,IF(J598&gt;=100*0.33,1,0))))))))</f>
        <v/>
      </c>
      <c r="AC598">
        <f>IF(B598="","",IF(K598&lt;33.0,0,IF(K598&gt;=100*0.8,5,IF(K598&gt;=100*0.7,4,IF(K598&gt;=100*0.6,3.5,IF(K598&gt;=100*0.5,3,IF(K598&gt;=100*0.4,2,IF(K598&gt;=100*0.33,1,0))))))))</f>
        <v/>
      </c>
      <c r="AD598">
        <f>IF(B598="","",IF(L598&lt;33.0,0,IF(L598&gt;=100*0.8,5,IF(L598&gt;=100*0.7,4,IF(L598&gt;=100*0.6,3.5,IF(L598&gt;=100*0.5,3,IF(L598&gt;=100*0.4,2,IF(L598&gt;=100*0.33,1,0))))))))</f>
        <v/>
      </c>
      <c r="AE598">
        <f>IF(B598="","",IF(M598&lt;33.0,0,IF(M598&gt;=100*0.8,5,IF(M598&gt;=100*0.7,4,IF(M598&gt;=100*0.6,3.5,IF(M598&gt;=100*0.5,3,IF(M598&gt;=100*0.4,2,IF(M598&gt;=100*0.33,1,0))))))))</f>
        <v/>
      </c>
      <c r="AF598">
        <f>IF(B598="","",IF(N598&lt;16.5,0,IF(N598&gt;=50*0.8,5,IF(N598&gt;=50*0.7,4,IF(N598&gt;=50*0.6,3.5,IF(N598&gt;=50*0.5,3,IF(N598&gt;=50*0.4,2,IF(N598&gt;=50*0.33,1,0))))))))</f>
        <v/>
      </c>
      <c r="AG598">
        <f>IF(B598="","",IF(O598&lt;33.0,0,IF(O598&gt;=100*0.8,5,IF(O598&gt;=100*0.7,4,IF(O598&gt;=100*0.6,3.5,IF(O598&gt;=100*0.5,3,IF(O598&gt;=100*0.4,2,IF(O598&gt;=100*0.33,1,0))))))))</f>
        <v/>
      </c>
      <c r="AH598">
        <f>IF(B598="","",IF(OR(U598=0,V598=0,W598=0,X598=0,Y598=0,Z598=0,AA598=0,AB598=0,AC598=0,AD598=0,AE598=0,AF598=0,AG598=0),1,0))</f>
        <v/>
      </c>
    </row>
    <row r="599">
      <c r="A599" s="3">
        <f>IF(B599="","",ROW()-2)</f>
        <v/>
      </c>
      <c r="P599" s="4">
        <f>IF(B599="","",SUM(C599:O599))</f>
        <v/>
      </c>
      <c r="Q599" s="5">
        <f>IF(B599="","",ROUND(P599/13,2))</f>
        <v/>
      </c>
      <c r="R599" s="5">
        <f>IF(B599="","",IF(AH599=1,0,MIN(5,ROUND((U599+V599+W599+X599+Y599+Z599+AA599+AB599+AC599+AD599+AE599+AF599+AG599)/13,2))))</f>
        <v/>
      </c>
      <c r="S599" s="3">
        <f>IF(B599="","",IF(R599&gt;=5,"A+",IF(R599&gt;=4,"A",IF(R599&gt;=3.5,"A-",IF(R599&gt;=3,"B",IF(R599&gt;=2,"C",IF(R599&gt;=1,"D","F")))))))</f>
        <v/>
      </c>
      <c r="T599" s="3">
        <f>IF(OR(B599="",S599="F"),"",COUNTIFS(P:P,"&gt;"&amp;P599,S:S,"&lt;&gt;F")+1)</f>
        <v/>
      </c>
      <c r="U599">
        <f>IF(B599="","",IF(C599&lt;33.0,0,IF(C599&gt;=100*0.8,5,IF(C599&gt;=100*0.7,4,IF(C599&gt;=100*0.6,3.5,IF(C599&gt;=100*0.5,3,IF(C599&gt;=100*0.4,2,IF(C599&gt;=100*0.33,1,0))))))))</f>
        <v/>
      </c>
      <c r="V599">
        <f>IF(B599="","",IF(D599&lt;33.0,0,IF(D599&gt;=100*0.8,5,IF(D599&gt;=100*0.7,4,IF(D599&gt;=100*0.6,3.5,IF(D599&gt;=100*0.5,3,IF(D599&gt;=100*0.4,2,IF(D599&gt;=100*0.33,1,0))))))))</f>
        <v/>
      </c>
      <c r="W599">
        <f>IF(B599="","",IF(E599&lt;16.5,0,IF(E599&gt;=50*0.8,5,IF(E599&gt;=50*0.7,4,IF(E599&gt;=50*0.6,3.5,IF(E599&gt;=50*0.5,3,IF(E599&gt;=50*0.4,2,IF(E599&gt;=50*0.33,1,0))))))))</f>
        <v/>
      </c>
      <c r="X599">
        <f>IF(B599="","",IF(F599&lt;33.0,0,IF(F599&gt;=100*0.8,5,IF(F599&gt;=100*0.7,4,IF(F599&gt;=100*0.6,3.5,IF(F599&gt;=100*0.5,3,IF(F599&gt;=100*0.4,2,IF(F599&gt;=100*0.33,1,0))))))))</f>
        <v/>
      </c>
      <c r="Y599">
        <f>IF(B599="","",IF(G599&lt;16.5,0,IF(G599&gt;=50*0.8,5,IF(G599&gt;=50*0.7,4,IF(G599&gt;=50*0.6,3.5,IF(G599&gt;=50*0.5,3,IF(G599&gt;=50*0.4,2,IF(G599&gt;=50*0.33,1,0))))))))</f>
        <v/>
      </c>
      <c r="Z599">
        <f>IF(B599="","",IF(H599&lt;33.0,0,IF(H599&gt;=100*0.8,5,IF(H599&gt;=100*0.7,4,IF(H599&gt;=100*0.6,3.5,IF(H599&gt;=100*0.5,3,IF(H599&gt;=100*0.4,2,IF(H599&gt;=100*0.33,1,0))))))))</f>
        <v/>
      </c>
      <c r="AA599">
        <f>IF(B599="","",IF(I599&lt;33.0,0,IF(I599&gt;=100*0.8,5,IF(I599&gt;=100*0.7,4,IF(I599&gt;=100*0.6,3.5,IF(I599&gt;=100*0.5,3,IF(I599&gt;=100*0.4,2,IF(I599&gt;=100*0.33,1,0))))))))</f>
        <v/>
      </c>
      <c r="AB599">
        <f>IF(B599="","",IF(J599&lt;33.0,0,IF(J599&gt;=100*0.8,5,IF(J599&gt;=100*0.7,4,IF(J599&gt;=100*0.6,3.5,IF(J599&gt;=100*0.5,3,IF(J599&gt;=100*0.4,2,IF(J599&gt;=100*0.33,1,0))))))))</f>
        <v/>
      </c>
      <c r="AC599">
        <f>IF(B599="","",IF(K599&lt;33.0,0,IF(K599&gt;=100*0.8,5,IF(K599&gt;=100*0.7,4,IF(K599&gt;=100*0.6,3.5,IF(K599&gt;=100*0.5,3,IF(K599&gt;=100*0.4,2,IF(K599&gt;=100*0.33,1,0))))))))</f>
        <v/>
      </c>
      <c r="AD599">
        <f>IF(B599="","",IF(L599&lt;33.0,0,IF(L599&gt;=100*0.8,5,IF(L599&gt;=100*0.7,4,IF(L599&gt;=100*0.6,3.5,IF(L599&gt;=100*0.5,3,IF(L599&gt;=100*0.4,2,IF(L599&gt;=100*0.33,1,0))))))))</f>
        <v/>
      </c>
      <c r="AE599">
        <f>IF(B599="","",IF(M599&lt;33.0,0,IF(M599&gt;=100*0.8,5,IF(M599&gt;=100*0.7,4,IF(M599&gt;=100*0.6,3.5,IF(M599&gt;=100*0.5,3,IF(M599&gt;=100*0.4,2,IF(M599&gt;=100*0.33,1,0))))))))</f>
        <v/>
      </c>
      <c r="AF599">
        <f>IF(B599="","",IF(N599&lt;16.5,0,IF(N599&gt;=50*0.8,5,IF(N599&gt;=50*0.7,4,IF(N599&gt;=50*0.6,3.5,IF(N599&gt;=50*0.5,3,IF(N599&gt;=50*0.4,2,IF(N599&gt;=50*0.33,1,0))))))))</f>
        <v/>
      </c>
      <c r="AG599">
        <f>IF(B599="","",IF(O599&lt;33.0,0,IF(O599&gt;=100*0.8,5,IF(O599&gt;=100*0.7,4,IF(O599&gt;=100*0.6,3.5,IF(O599&gt;=100*0.5,3,IF(O599&gt;=100*0.4,2,IF(O599&gt;=100*0.33,1,0))))))))</f>
        <v/>
      </c>
      <c r="AH599">
        <f>IF(B599="","",IF(OR(U599=0,V599=0,W599=0,X599=0,Y599=0,Z599=0,AA599=0,AB599=0,AC599=0,AD599=0,AE599=0,AF599=0,AG599=0),1,0))</f>
        <v/>
      </c>
    </row>
    <row r="600">
      <c r="A600" s="3">
        <f>IF(B600="","",ROW()-2)</f>
        <v/>
      </c>
      <c r="P600" s="4">
        <f>IF(B600="","",SUM(C600:O600))</f>
        <v/>
      </c>
      <c r="Q600" s="5">
        <f>IF(B600="","",ROUND(P600/13,2))</f>
        <v/>
      </c>
      <c r="R600" s="5">
        <f>IF(B600="","",IF(AH600=1,0,MIN(5,ROUND((U600+V600+W600+X600+Y600+Z600+AA600+AB600+AC600+AD600+AE600+AF600+AG600)/13,2))))</f>
        <v/>
      </c>
      <c r="S600" s="3">
        <f>IF(B600="","",IF(R600&gt;=5,"A+",IF(R600&gt;=4,"A",IF(R600&gt;=3.5,"A-",IF(R600&gt;=3,"B",IF(R600&gt;=2,"C",IF(R600&gt;=1,"D","F")))))))</f>
        <v/>
      </c>
      <c r="T600" s="3">
        <f>IF(OR(B600="",S600="F"),"",COUNTIFS(P:P,"&gt;"&amp;P600,S:S,"&lt;&gt;F")+1)</f>
        <v/>
      </c>
      <c r="U600">
        <f>IF(B600="","",IF(C600&lt;33.0,0,IF(C600&gt;=100*0.8,5,IF(C600&gt;=100*0.7,4,IF(C600&gt;=100*0.6,3.5,IF(C600&gt;=100*0.5,3,IF(C600&gt;=100*0.4,2,IF(C600&gt;=100*0.33,1,0))))))))</f>
        <v/>
      </c>
      <c r="V600">
        <f>IF(B600="","",IF(D600&lt;33.0,0,IF(D600&gt;=100*0.8,5,IF(D600&gt;=100*0.7,4,IF(D600&gt;=100*0.6,3.5,IF(D600&gt;=100*0.5,3,IF(D600&gt;=100*0.4,2,IF(D600&gt;=100*0.33,1,0))))))))</f>
        <v/>
      </c>
      <c r="W600">
        <f>IF(B600="","",IF(E600&lt;16.5,0,IF(E600&gt;=50*0.8,5,IF(E600&gt;=50*0.7,4,IF(E600&gt;=50*0.6,3.5,IF(E600&gt;=50*0.5,3,IF(E600&gt;=50*0.4,2,IF(E600&gt;=50*0.33,1,0))))))))</f>
        <v/>
      </c>
      <c r="X600">
        <f>IF(B600="","",IF(F600&lt;33.0,0,IF(F600&gt;=100*0.8,5,IF(F600&gt;=100*0.7,4,IF(F600&gt;=100*0.6,3.5,IF(F600&gt;=100*0.5,3,IF(F600&gt;=100*0.4,2,IF(F600&gt;=100*0.33,1,0))))))))</f>
        <v/>
      </c>
      <c r="Y600">
        <f>IF(B600="","",IF(G600&lt;16.5,0,IF(G600&gt;=50*0.8,5,IF(G600&gt;=50*0.7,4,IF(G600&gt;=50*0.6,3.5,IF(G600&gt;=50*0.5,3,IF(G600&gt;=50*0.4,2,IF(G600&gt;=50*0.33,1,0))))))))</f>
        <v/>
      </c>
      <c r="Z600">
        <f>IF(B600="","",IF(H600&lt;33.0,0,IF(H600&gt;=100*0.8,5,IF(H600&gt;=100*0.7,4,IF(H600&gt;=100*0.6,3.5,IF(H600&gt;=100*0.5,3,IF(H600&gt;=100*0.4,2,IF(H600&gt;=100*0.33,1,0))))))))</f>
        <v/>
      </c>
      <c r="AA600">
        <f>IF(B600="","",IF(I600&lt;33.0,0,IF(I600&gt;=100*0.8,5,IF(I600&gt;=100*0.7,4,IF(I600&gt;=100*0.6,3.5,IF(I600&gt;=100*0.5,3,IF(I600&gt;=100*0.4,2,IF(I600&gt;=100*0.33,1,0))))))))</f>
        <v/>
      </c>
      <c r="AB600">
        <f>IF(B600="","",IF(J600&lt;33.0,0,IF(J600&gt;=100*0.8,5,IF(J600&gt;=100*0.7,4,IF(J600&gt;=100*0.6,3.5,IF(J600&gt;=100*0.5,3,IF(J600&gt;=100*0.4,2,IF(J600&gt;=100*0.33,1,0))))))))</f>
        <v/>
      </c>
      <c r="AC600">
        <f>IF(B600="","",IF(K600&lt;33.0,0,IF(K600&gt;=100*0.8,5,IF(K600&gt;=100*0.7,4,IF(K600&gt;=100*0.6,3.5,IF(K600&gt;=100*0.5,3,IF(K600&gt;=100*0.4,2,IF(K600&gt;=100*0.33,1,0))))))))</f>
        <v/>
      </c>
      <c r="AD600">
        <f>IF(B600="","",IF(L600&lt;33.0,0,IF(L600&gt;=100*0.8,5,IF(L600&gt;=100*0.7,4,IF(L600&gt;=100*0.6,3.5,IF(L600&gt;=100*0.5,3,IF(L600&gt;=100*0.4,2,IF(L600&gt;=100*0.33,1,0))))))))</f>
        <v/>
      </c>
      <c r="AE600">
        <f>IF(B600="","",IF(M600&lt;33.0,0,IF(M600&gt;=100*0.8,5,IF(M600&gt;=100*0.7,4,IF(M600&gt;=100*0.6,3.5,IF(M600&gt;=100*0.5,3,IF(M600&gt;=100*0.4,2,IF(M600&gt;=100*0.33,1,0))))))))</f>
        <v/>
      </c>
      <c r="AF600">
        <f>IF(B600="","",IF(N600&lt;16.5,0,IF(N600&gt;=50*0.8,5,IF(N600&gt;=50*0.7,4,IF(N600&gt;=50*0.6,3.5,IF(N600&gt;=50*0.5,3,IF(N600&gt;=50*0.4,2,IF(N600&gt;=50*0.33,1,0))))))))</f>
        <v/>
      </c>
      <c r="AG600">
        <f>IF(B600="","",IF(O600&lt;33.0,0,IF(O600&gt;=100*0.8,5,IF(O600&gt;=100*0.7,4,IF(O600&gt;=100*0.6,3.5,IF(O600&gt;=100*0.5,3,IF(O600&gt;=100*0.4,2,IF(O600&gt;=100*0.33,1,0))))))))</f>
        <v/>
      </c>
      <c r="AH600">
        <f>IF(B600="","",IF(OR(U600=0,V600=0,W600=0,X600=0,Y600=0,Z600=0,AA600=0,AB600=0,AC600=0,AD600=0,AE600=0,AF600=0,AG600=0),1,0))</f>
        <v/>
      </c>
    </row>
    <row r="601">
      <c r="A601" s="3">
        <f>IF(B601="","",ROW()-2)</f>
        <v/>
      </c>
      <c r="P601" s="4">
        <f>IF(B601="","",SUM(C601:O601))</f>
        <v/>
      </c>
      <c r="Q601" s="5">
        <f>IF(B601="","",ROUND(P601/13,2))</f>
        <v/>
      </c>
      <c r="R601" s="5">
        <f>IF(B601="","",IF(AH601=1,0,MIN(5,ROUND((U601+V601+W601+X601+Y601+Z601+AA601+AB601+AC601+AD601+AE601+AF601+AG601)/13,2))))</f>
        <v/>
      </c>
      <c r="S601" s="3">
        <f>IF(B601="","",IF(R601&gt;=5,"A+",IF(R601&gt;=4,"A",IF(R601&gt;=3.5,"A-",IF(R601&gt;=3,"B",IF(R601&gt;=2,"C",IF(R601&gt;=1,"D","F")))))))</f>
        <v/>
      </c>
      <c r="T601" s="3">
        <f>IF(OR(B601="",S601="F"),"",COUNTIFS(P:P,"&gt;"&amp;P601,S:S,"&lt;&gt;F")+1)</f>
        <v/>
      </c>
      <c r="U601">
        <f>IF(B601="","",IF(C601&lt;33.0,0,IF(C601&gt;=100*0.8,5,IF(C601&gt;=100*0.7,4,IF(C601&gt;=100*0.6,3.5,IF(C601&gt;=100*0.5,3,IF(C601&gt;=100*0.4,2,IF(C601&gt;=100*0.33,1,0))))))))</f>
        <v/>
      </c>
      <c r="V601">
        <f>IF(B601="","",IF(D601&lt;33.0,0,IF(D601&gt;=100*0.8,5,IF(D601&gt;=100*0.7,4,IF(D601&gt;=100*0.6,3.5,IF(D601&gt;=100*0.5,3,IF(D601&gt;=100*0.4,2,IF(D601&gt;=100*0.33,1,0))))))))</f>
        <v/>
      </c>
      <c r="W601">
        <f>IF(B601="","",IF(E601&lt;16.5,0,IF(E601&gt;=50*0.8,5,IF(E601&gt;=50*0.7,4,IF(E601&gt;=50*0.6,3.5,IF(E601&gt;=50*0.5,3,IF(E601&gt;=50*0.4,2,IF(E601&gt;=50*0.33,1,0))))))))</f>
        <v/>
      </c>
      <c r="X601">
        <f>IF(B601="","",IF(F601&lt;33.0,0,IF(F601&gt;=100*0.8,5,IF(F601&gt;=100*0.7,4,IF(F601&gt;=100*0.6,3.5,IF(F601&gt;=100*0.5,3,IF(F601&gt;=100*0.4,2,IF(F601&gt;=100*0.33,1,0))))))))</f>
        <v/>
      </c>
      <c r="Y601">
        <f>IF(B601="","",IF(G601&lt;16.5,0,IF(G601&gt;=50*0.8,5,IF(G601&gt;=50*0.7,4,IF(G601&gt;=50*0.6,3.5,IF(G601&gt;=50*0.5,3,IF(G601&gt;=50*0.4,2,IF(G601&gt;=50*0.33,1,0))))))))</f>
        <v/>
      </c>
      <c r="Z601">
        <f>IF(B601="","",IF(H601&lt;33.0,0,IF(H601&gt;=100*0.8,5,IF(H601&gt;=100*0.7,4,IF(H601&gt;=100*0.6,3.5,IF(H601&gt;=100*0.5,3,IF(H601&gt;=100*0.4,2,IF(H601&gt;=100*0.33,1,0))))))))</f>
        <v/>
      </c>
      <c r="AA601">
        <f>IF(B601="","",IF(I601&lt;33.0,0,IF(I601&gt;=100*0.8,5,IF(I601&gt;=100*0.7,4,IF(I601&gt;=100*0.6,3.5,IF(I601&gt;=100*0.5,3,IF(I601&gt;=100*0.4,2,IF(I601&gt;=100*0.33,1,0))))))))</f>
        <v/>
      </c>
      <c r="AB601">
        <f>IF(B601="","",IF(J601&lt;33.0,0,IF(J601&gt;=100*0.8,5,IF(J601&gt;=100*0.7,4,IF(J601&gt;=100*0.6,3.5,IF(J601&gt;=100*0.5,3,IF(J601&gt;=100*0.4,2,IF(J601&gt;=100*0.33,1,0))))))))</f>
        <v/>
      </c>
      <c r="AC601">
        <f>IF(B601="","",IF(K601&lt;33.0,0,IF(K601&gt;=100*0.8,5,IF(K601&gt;=100*0.7,4,IF(K601&gt;=100*0.6,3.5,IF(K601&gt;=100*0.5,3,IF(K601&gt;=100*0.4,2,IF(K601&gt;=100*0.33,1,0))))))))</f>
        <v/>
      </c>
      <c r="AD601">
        <f>IF(B601="","",IF(L601&lt;33.0,0,IF(L601&gt;=100*0.8,5,IF(L601&gt;=100*0.7,4,IF(L601&gt;=100*0.6,3.5,IF(L601&gt;=100*0.5,3,IF(L601&gt;=100*0.4,2,IF(L601&gt;=100*0.33,1,0))))))))</f>
        <v/>
      </c>
      <c r="AE601">
        <f>IF(B601="","",IF(M601&lt;33.0,0,IF(M601&gt;=100*0.8,5,IF(M601&gt;=100*0.7,4,IF(M601&gt;=100*0.6,3.5,IF(M601&gt;=100*0.5,3,IF(M601&gt;=100*0.4,2,IF(M601&gt;=100*0.33,1,0))))))))</f>
        <v/>
      </c>
      <c r="AF601">
        <f>IF(B601="","",IF(N601&lt;16.5,0,IF(N601&gt;=50*0.8,5,IF(N601&gt;=50*0.7,4,IF(N601&gt;=50*0.6,3.5,IF(N601&gt;=50*0.5,3,IF(N601&gt;=50*0.4,2,IF(N601&gt;=50*0.33,1,0))))))))</f>
        <v/>
      </c>
      <c r="AG601">
        <f>IF(B601="","",IF(O601&lt;33.0,0,IF(O601&gt;=100*0.8,5,IF(O601&gt;=100*0.7,4,IF(O601&gt;=100*0.6,3.5,IF(O601&gt;=100*0.5,3,IF(O601&gt;=100*0.4,2,IF(O601&gt;=100*0.33,1,0))))))))</f>
        <v/>
      </c>
      <c r="AH601">
        <f>IF(B601="","",IF(OR(U601=0,V601=0,W601=0,X601=0,Y601=0,Z601=0,AA601=0,AB601=0,AC601=0,AD601=0,AE601=0,AF601=0,AG601=0),1,0))</f>
        <v/>
      </c>
    </row>
    <row r="602">
      <c r="A602" s="3">
        <f>IF(B602="","",ROW()-2)</f>
        <v/>
      </c>
      <c r="P602" s="4">
        <f>IF(B602="","",SUM(C602:O602))</f>
        <v/>
      </c>
      <c r="Q602" s="5">
        <f>IF(B602="","",ROUND(P602/13,2))</f>
        <v/>
      </c>
      <c r="R602" s="5">
        <f>IF(B602="","",IF(AH602=1,0,MIN(5,ROUND((U602+V602+W602+X602+Y602+Z602+AA602+AB602+AC602+AD602+AE602+AF602+AG602)/13,2))))</f>
        <v/>
      </c>
      <c r="S602" s="3">
        <f>IF(B602="","",IF(R602&gt;=5,"A+",IF(R602&gt;=4,"A",IF(R602&gt;=3.5,"A-",IF(R602&gt;=3,"B",IF(R602&gt;=2,"C",IF(R602&gt;=1,"D","F")))))))</f>
        <v/>
      </c>
      <c r="T602" s="3">
        <f>IF(OR(B602="",S602="F"),"",COUNTIFS(P:P,"&gt;"&amp;P602,S:S,"&lt;&gt;F")+1)</f>
        <v/>
      </c>
      <c r="U602">
        <f>IF(B602="","",IF(C602&lt;33.0,0,IF(C602&gt;=100*0.8,5,IF(C602&gt;=100*0.7,4,IF(C602&gt;=100*0.6,3.5,IF(C602&gt;=100*0.5,3,IF(C602&gt;=100*0.4,2,IF(C602&gt;=100*0.33,1,0))))))))</f>
        <v/>
      </c>
      <c r="V602">
        <f>IF(B602="","",IF(D602&lt;33.0,0,IF(D602&gt;=100*0.8,5,IF(D602&gt;=100*0.7,4,IF(D602&gt;=100*0.6,3.5,IF(D602&gt;=100*0.5,3,IF(D602&gt;=100*0.4,2,IF(D602&gt;=100*0.33,1,0))))))))</f>
        <v/>
      </c>
      <c r="W602">
        <f>IF(B602="","",IF(E602&lt;16.5,0,IF(E602&gt;=50*0.8,5,IF(E602&gt;=50*0.7,4,IF(E602&gt;=50*0.6,3.5,IF(E602&gt;=50*0.5,3,IF(E602&gt;=50*0.4,2,IF(E602&gt;=50*0.33,1,0))))))))</f>
        <v/>
      </c>
      <c r="X602">
        <f>IF(B602="","",IF(F602&lt;33.0,0,IF(F602&gt;=100*0.8,5,IF(F602&gt;=100*0.7,4,IF(F602&gt;=100*0.6,3.5,IF(F602&gt;=100*0.5,3,IF(F602&gt;=100*0.4,2,IF(F602&gt;=100*0.33,1,0))))))))</f>
        <v/>
      </c>
      <c r="Y602">
        <f>IF(B602="","",IF(G602&lt;16.5,0,IF(G602&gt;=50*0.8,5,IF(G602&gt;=50*0.7,4,IF(G602&gt;=50*0.6,3.5,IF(G602&gt;=50*0.5,3,IF(G602&gt;=50*0.4,2,IF(G602&gt;=50*0.33,1,0))))))))</f>
        <v/>
      </c>
      <c r="Z602">
        <f>IF(B602="","",IF(H602&lt;33.0,0,IF(H602&gt;=100*0.8,5,IF(H602&gt;=100*0.7,4,IF(H602&gt;=100*0.6,3.5,IF(H602&gt;=100*0.5,3,IF(H602&gt;=100*0.4,2,IF(H602&gt;=100*0.33,1,0))))))))</f>
        <v/>
      </c>
      <c r="AA602">
        <f>IF(B602="","",IF(I602&lt;33.0,0,IF(I602&gt;=100*0.8,5,IF(I602&gt;=100*0.7,4,IF(I602&gt;=100*0.6,3.5,IF(I602&gt;=100*0.5,3,IF(I602&gt;=100*0.4,2,IF(I602&gt;=100*0.33,1,0))))))))</f>
        <v/>
      </c>
      <c r="AB602">
        <f>IF(B602="","",IF(J602&lt;33.0,0,IF(J602&gt;=100*0.8,5,IF(J602&gt;=100*0.7,4,IF(J602&gt;=100*0.6,3.5,IF(J602&gt;=100*0.5,3,IF(J602&gt;=100*0.4,2,IF(J602&gt;=100*0.33,1,0))))))))</f>
        <v/>
      </c>
      <c r="AC602">
        <f>IF(B602="","",IF(K602&lt;33.0,0,IF(K602&gt;=100*0.8,5,IF(K602&gt;=100*0.7,4,IF(K602&gt;=100*0.6,3.5,IF(K602&gt;=100*0.5,3,IF(K602&gt;=100*0.4,2,IF(K602&gt;=100*0.33,1,0))))))))</f>
        <v/>
      </c>
      <c r="AD602">
        <f>IF(B602="","",IF(L602&lt;33.0,0,IF(L602&gt;=100*0.8,5,IF(L602&gt;=100*0.7,4,IF(L602&gt;=100*0.6,3.5,IF(L602&gt;=100*0.5,3,IF(L602&gt;=100*0.4,2,IF(L602&gt;=100*0.33,1,0))))))))</f>
        <v/>
      </c>
      <c r="AE602">
        <f>IF(B602="","",IF(M602&lt;33.0,0,IF(M602&gt;=100*0.8,5,IF(M602&gt;=100*0.7,4,IF(M602&gt;=100*0.6,3.5,IF(M602&gt;=100*0.5,3,IF(M602&gt;=100*0.4,2,IF(M602&gt;=100*0.33,1,0))))))))</f>
        <v/>
      </c>
      <c r="AF602">
        <f>IF(B602="","",IF(N602&lt;16.5,0,IF(N602&gt;=50*0.8,5,IF(N602&gt;=50*0.7,4,IF(N602&gt;=50*0.6,3.5,IF(N602&gt;=50*0.5,3,IF(N602&gt;=50*0.4,2,IF(N602&gt;=50*0.33,1,0))))))))</f>
        <v/>
      </c>
      <c r="AG602">
        <f>IF(B602="","",IF(O602&lt;33.0,0,IF(O602&gt;=100*0.8,5,IF(O602&gt;=100*0.7,4,IF(O602&gt;=100*0.6,3.5,IF(O602&gt;=100*0.5,3,IF(O602&gt;=100*0.4,2,IF(O602&gt;=100*0.33,1,0))))))))</f>
        <v/>
      </c>
      <c r="AH602">
        <f>IF(B602="","",IF(OR(U602=0,V602=0,W602=0,X602=0,Y602=0,Z602=0,AA602=0,AB602=0,AC602=0,AD602=0,AE602=0,AF602=0,AG602=0),1,0))</f>
        <v/>
      </c>
    </row>
    <row r="603">
      <c r="A603" s="3">
        <f>IF(B603="","",ROW()-2)</f>
        <v/>
      </c>
      <c r="P603" s="4">
        <f>IF(B603="","",SUM(C603:O603))</f>
        <v/>
      </c>
      <c r="Q603" s="5">
        <f>IF(B603="","",ROUND(P603/13,2))</f>
        <v/>
      </c>
      <c r="R603" s="5">
        <f>IF(B603="","",IF(AH603=1,0,MIN(5,ROUND((U603+V603+W603+X603+Y603+Z603+AA603+AB603+AC603+AD603+AE603+AF603+AG603)/13,2))))</f>
        <v/>
      </c>
      <c r="S603" s="3">
        <f>IF(B603="","",IF(R603&gt;=5,"A+",IF(R603&gt;=4,"A",IF(R603&gt;=3.5,"A-",IF(R603&gt;=3,"B",IF(R603&gt;=2,"C",IF(R603&gt;=1,"D","F")))))))</f>
        <v/>
      </c>
      <c r="T603" s="3">
        <f>IF(OR(B603="",S603="F"),"",COUNTIFS(P:P,"&gt;"&amp;P603,S:S,"&lt;&gt;F")+1)</f>
        <v/>
      </c>
      <c r="U603">
        <f>IF(B603="","",IF(C603&lt;33.0,0,IF(C603&gt;=100*0.8,5,IF(C603&gt;=100*0.7,4,IF(C603&gt;=100*0.6,3.5,IF(C603&gt;=100*0.5,3,IF(C603&gt;=100*0.4,2,IF(C603&gt;=100*0.33,1,0))))))))</f>
        <v/>
      </c>
      <c r="V603">
        <f>IF(B603="","",IF(D603&lt;33.0,0,IF(D603&gt;=100*0.8,5,IF(D603&gt;=100*0.7,4,IF(D603&gt;=100*0.6,3.5,IF(D603&gt;=100*0.5,3,IF(D603&gt;=100*0.4,2,IF(D603&gt;=100*0.33,1,0))))))))</f>
        <v/>
      </c>
      <c r="W603">
        <f>IF(B603="","",IF(E603&lt;16.5,0,IF(E603&gt;=50*0.8,5,IF(E603&gt;=50*0.7,4,IF(E603&gt;=50*0.6,3.5,IF(E603&gt;=50*0.5,3,IF(E603&gt;=50*0.4,2,IF(E603&gt;=50*0.33,1,0))))))))</f>
        <v/>
      </c>
      <c r="X603">
        <f>IF(B603="","",IF(F603&lt;33.0,0,IF(F603&gt;=100*0.8,5,IF(F603&gt;=100*0.7,4,IF(F603&gt;=100*0.6,3.5,IF(F603&gt;=100*0.5,3,IF(F603&gt;=100*0.4,2,IF(F603&gt;=100*0.33,1,0))))))))</f>
        <v/>
      </c>
      <c r="Y603">
        <f>IF(B603="","",IF(G603&lt;16.5,0,IF(G603&gt;=50*0.8,5,IF(G603&gt;=50*0.7,4,IF(G603&gt;=50*0.6,3.5,IF(G603&gt;=50*0.5,3,IF(G603&gt;=50*0.4,2,IF(G603&gt;=50*0.33,1,0))))))))</f>
        <v/>
      </c>
      <c r="Z603">
        <f>IF(B603="","",IF(H603&lt;33.0,0,IF(H603&gt;=100*0.8,5,IF(H603&gt;=100*0.7,4,IF(H603&gt;=100*0.6,3.5,IF(H603&gt;=100*0.5,3,IF(H603&gt;=100*0.4,2,IF(H603&gt;=100*0.33,1,0))))))))</f>
        <v/>
      </c>
      <c r="AA603">
        <f>IF(B603="","",IF(I603&lt;33.0,0,IF(I603&gt;=100*0.8,5,IF(I603&gt;=100*0.7,4,IF(I603&gt;=100*0.6,3.5,IF(I603&gt;=100*0.5,3,IF(I603&gt;=100*0.4,2,IF(I603&gt;=100*0.33,1,0))))))))</f>
        <v/>
      </c>
      <c r="AB603">
        <f>IF(B603="","",IF(J603&lt;33.0,0,IF(J603&gt;=100*0.8,5,IF(J603&gt;=100*0.7,4,IF(J603&gt;=100*0.6,3.5,IF(J603&gt;=100*0.5,3,IF(J603&gt;=100*0.4,2,IF(J603&gt;=100*0.33,1,0))))))))</f>
        <v/>
      </c>
      <c r="AC603">
        <f>IF(B603="","",IF(K603&lt;33.0,0,IF(K603&gt;=100*0.8,5,IF(K603&gt;=100*0.7,4,IF(K603&gt;=100*0.6,3.5,IF(K603&gt;=100*0.5,3,IF(K603&gt;=100*0.4,2,IF(K603&gt;=100*0.33,1,0))))))))</f>
        <v/>
      </c>
      <c r="AD603">
        <f>IF(B603="","",IF(L603&lt;33.0,0,IF(L603&gt;=100*0.8,5,IF(L603&gt;=100*0.7,4,IF(L603&gt;=100*0.6,3.5,IF(L603&gt;=100*0.5,3,IF(L603&gt;=100*0.4,2,IF(L603&gt;=100*0.33,1,0))))))))</f>
        <v/>
      </c>
      <c r="AE603">
        <f>IF(B603="","",IF(M603&lt;33.0,0,IF(M603&gt;=100*0.8,5,IF(M603&gt;=100*0.7,4,IF(M603&gt;=100*0.6,3.5,IF(M603&gt;=100*0.5,3,IF(M603&gt;=100*0.4,2,IF(M603&gt;=100*0.33,1,0))))))))</f>
        <v/>
      </c>
      <c r="AF603">
        <f>IF(B603="","",IF(N603&lt;16.5,0,IF(N603&gt;=50*0.8,5,IF(N603&gt;=50*0.7,4,IF(N603&gt;=50*0.6,3.5,IF(N603&gt;=50*0.5,3,IF(N603&gt;=50*0.4,2,IF(N603&gt;=50*0.33,1,0))))))))</f>
        <v/>
      </c>
      <c r="AG603">
        <f>IF(B603="","",IF(O603&lt;33.0,0,IF(O603&gt;=100*0.8,5,IF(O603&gt;=100*0.7,4,IF(O603&gt;=100*0.6,3.5,IF(O603&gt;=100*0.5,3,IF(O603&gt;=100*0.4,2,IF(O603&gt;=100*0.33,1,0))))))))</f>
        <v/>
      </c>
      <c r="AH603">
        <f>IF(B603="","",IF(OR(U603=0,V603=0,W603=0,X603=0,Y603=0,Z603=0,AA603=0,AB603=0,AC603=0,AD603=0,AE603=0,AF603=0,AG603=0),1,0))</f>
        <v/>
      </c>
    </row>
    <row r="604">
      <c r="A604" s="3">
        <f>IF(B604="","",ROW()-2)</f>
        <v/>
      </c>
      <c r="P604" s="4">
        <f>IF(B604="","",SUM(C604:O604))</f>
        <v/>
      </c>
      <c r="Q604" s="5">
        <f>IF(B604="","",ROUND(P604/13,2))</f>
        <v/>
      </c>
      <c r="R604" s="5">
        <f>IF(B604="","",IF(AH604=1,0,MIN(5,ROUND((U604+V604+W604+X604+Y604+Z604+AA604+AB604+AC604+AD604+AE604+AF604+AG604)/13,2))))</f>
        <v/>
      </c>
      <c r="S604" s="3">
        <f>IF(B604="","",IF(R604&gt;=5,"A+",IF(R604&gt;=4,"A",IF(R604&gt;=3.5,"A-",IF(R604&gt;=3,"B",IF(R604&gt;=2,"C",IF(R604&gt;=1,"D","F")))))))</f>
        <v/>
      </c>
      <c r="T604" s="3">
        <f>IF(OR(B604="",S604="F"),"",COUNTIFS(P:P,"&gt;"&amp;P604,S:S,"&lt;&gt;F")+1)</f>
        <v/>
      </c>
      <c r="U604">
        <f>IF(B604="","",IF(C604&lt;33.0,0,IF(C604&gt;=100*0.8,5,IF(C604&gt;=100*0.7,4,IF(C604&gt;=100*0.6,3.5,IF(C604&gt;=100*0.5,3,IF(C604&gt;=100*0.4,2,IF(C604&gt;=100*0.33,1,0))))))))</f>
        <v/>
      </c>
      <c r="V604">
        <f>IF(B604="","",IF(D604&lt;33.0,0,IF(D604&gt;=100*0.8,5,IF(D604&gt;=100*0.7,4,IF(D604&gt;=100*0.6,3.5,IF(D604&gt;=100*0.5,3,IF(D604&gt;=100*0.4,2,IF(D604&gt;=100*0.33,1,0))))))))</f>
        <v/>
      </c>
      <c r="W604">
        <f>IF(B604="","",IF(E604&lt;16.5,0,IF(E604&gt;=50*0.8,5,IF(E604&gt;=50*0.7,4,IF(E604&gt;=50*0.6,3.5,IF(E604&gt;=50*0.5,3,IF(E604&gt;=50*0.4,2,IF(E604&gt;=50*0.33,1,0))))))))</f>
        <v/>
      </c>
      <c r="X604">
        <f>IF(B604="","",IF(F604&lt;33.0,0,IF(F604&gt;=100*0.8,5,IF(F604&gt;=100*0.7,4,IF(F604&gt;=100*0.6,3.5,IF(F604&gt;=100*0.5,3,IF(F604&gt;=100*0.4,2,IF(F604&gt;=100*0.33,1,0))))))))</f>
        <v/>
      </c>
      <c r="Y604">
        <f>IF(B604="","",IF(G604&lt;16.5,0,IF(G604&gt;=50*0.8,5,IF(G604&gt;=50*0.7,4,IF(G604&gt;=50*0.6,3.5,IF(G604&gt;=50*0.5,3,IF(G604&gt;=50*0.4,2,IF(G604&gt;=50*0.33,1,0))))))))</f>
        <v/>
      </c>
      <c r="Z604">
        <f>IF(B604="","",IF(H604&lt;33.0,0,IF(H604&gt;=100*0.8,5,IF(H604&gt;=100*0.7,4,IF(H604&gt;=100*0.6,3.5,IF(H604&gt;=100*0.5,3,IF(H604&gt;=100*0.4,2,IF(H604&gt;=100*0.33,1,0))))))))</f>
        <v/>
      </c>
      <c r="AA604">
        <f>IF(B604="","",IF(I604&lt;33.0,0,IF(I604&gt;=100*0.8,5,IF(I604&gt;=100*0.7,4,IF(I604&gt;=100*0.6,3.5,IF(I604&gt;=100*0.5,3,IF(I604&gt;=100*0.4,2,IF(I604&gt;=100*0.33,1,0))))))))</f>
        <v/>
      </c>
      <c r="AB604">
        <f>IF(B604="","",IF(J604&lt;33.0,0,IF(J604&gt;=100*0.8,5,IF(J604&gt;=100*0.7,4,IF(J604&gt;=100*0.6,3.5,IF(J604&gt;=100*0.5,3,IF(J604&gt;=100*0.4,2,IF(J604&gt;=100*0.33,1,0))))))))</f>
        <v/>
      </c>
      <c r="AC604">
        <f>IF(B604="","",IF(K604&lt;33.0,0,IF(K604&gt;=100*0.8,5,IF(K604&gt;=100*0.7,4,IF(K604&gt;=100*0.6,3.5,IF(K604&gt;=100*0.5,3,IF(K604&gt;=100*0.4,2,IF(K604&gt;=100*0.33,1,0))))))))</f>
        <v/>
      </c>
      <c r="AD604">
        <f>IF(B604="","",IF(L604&lt;33.0,0,IF(L604&gt;=100*0.8,5,IF(L604&gt;=100*0.7,4,IF(L604&gt;=100*0.6,3.5,IF(L604&gt;=100*0.5,3,IF(L604&gt;=100*0.4,2,IF(L604&gt;=100*0.33,1,0))))))))</f>
        <v/>
      </c>
      <c r="AE604">
        <f>IF(B604="","",IF(M604&lt;33.0,0,IF(M604&gt;=100*0.8,5,IF(M604&gt;=100*0.7,4,IF(M604&gt;=100*0.6,3.5,IF(M604&gt;=100*0.5,3,IF(M604&gt;=100*0.4,2,IF(M604&gt;=100*0.33,1,0))))))))</f>
        <v/>
      </c>
      <c r="AF604">
        <f>IF(B604="","",IF(N604&lt;16.5,0,IF(N604&gt;=50*0.8,5,IF(N604&gt;=50*0.7,4,IF(N604&gt;=50*0.6,3.5,IF(N604&gt;=50*0.5,3,IF(N604&gt;=50*0.4,2,IF(N604&gt;=50*0.33,1,0))))))))</f>
        <v/>
      </c>
      <c r="AG604">
        <f>IF(B604="","",IF(O604&lt;33.0,0,IF(O604&gt;=100*0.8,5,IF(O604&gt;=100*0.7,4,IF(O604&gt;=100*0.6,3.5,IF(O604&gt;=100*0.5,3,IF(O604&gt;=100*0.4,2,IF(O604&gt;=100*0.33,1,0))))))))</f>
        <v/>
      </c>
      <c r="AH604">
        <f>IF(B604="","",IF(OR(U604=0,V604=0,W604=0,X604=0,Y604=0,Z604=0,AA604=0,AB604=0,AC604=0,AD604=0,AE604=0,AF604=0,AG604=0),1,0))</f>
        <v/>
      </c>
    </row>
    <row r="605">
      <c r="A605" s="3">
        <f>IF(B605="","",ROW()-2)</f>
        <v/>
      </c>
      <c r="P605" s="4">
        <f>IF(B605="","",SUM(C605:O605))</f>
        <v/>
      </c>
      <c r="Q605" s="5">
        <f>IF(B605="","",ROUND(P605/13,2))</f>
        <v/>
      </c>
      <c r="R605" s="5">
        <f>IF(B605="","",IF(AH605=1,0,MIN(5,ROUND((U605+V605+W605+X605+Y605+Z605+AA605+AB605+AC605+AD605+AE605+AF605+AG605)/13,2))))</f>
        <v/>
      </c>
      <c r="S605" s="3">
        <f>IF(B605="","",IF(R605&gt;=5,"A+",IF(R605&gt;=4,"A",IF(R605&gt;=3.5,"A-",IF(R605&gt;=3,"B",IF(R605&gt;=2,"C",IF(R605&gt;=1,"D","F")))))))</f>
        <v/>
      </c>
      <c r="T605" s="3">
        <f>IF(OR(B605="",S605="F"),"",COUNTIFS(P:P,"&gt;"&amp;P605,S:S,"&lt;&gt;F")+1)</f>
        <v/>
      </c>
      <c r="U605">
        <f>IF(B605="","",IF(C605&lt;33.0,0,IF(C605&gt;=100*0.8,5,IF(C605&gt;=100*0.7,4,IF(C605&gt;=100*0.6,3.5,IF(C605&gt;=100*0.5,3,IF(C605&gt;=100*0.4,2,IF(C605&gt;=100*0.33,1,0))))))))</f>
        <v/>
      </c>
      <c r="V605">
        <f>IF(B605="","",IF(D605&lt;33.0,0,IF(D605&gt;=100*0.8,5,IF(D605&gt;=100*0.7,4,IF(D605&gt;=100*0.6,3.5,IF(D605&gt;=100*0.5,3,IF(D605&gt;=100*0.4,2,IF(D605&gt;=100*0.33,1,0))))))))</f>
        <v/>
      </c>
      <c r="W605">
        <f>IF(B605="","",IF(E605&lt;16.5,0,IF(E605&gt;=50*0.8,5,IF(E605&gt;=50*0.7,4,IF(E605&gt;=50*0.6,3.5,IF(E605&gt;=50*0.5,3,IF(E605&gt;=50*0.4,2,IF(E605&gt;=50*0.33,1,0))))))))</f>
        <v/>
      </c>
      <c r="X605">
        <f>IF(B605="","",IF(F605&lt;33.0,0,IF(F605&gt;=100*0.8,5,IF(F605&gt;=100*0.7,4,IF(F605&gt;=100*0.6,3.5,IF(F605&gt;=100*0.5,3,IF(F605&gt;=100*0.4,2,IF(F605&gt;=100*0.33,1,0))))))))</f>
        <v/>
      </c>
      <c r="Y605">
        <f>IF(B605="","",IF(G605&lt;16.5,0,IF(G605&gt;=50*0.8,5,IF(G605&gt;=50*0.7,4,IF(G605&gt;=50*0.6,3.5,IF(G605&gt;=50*0.5,3,IF(G605&gt;=50*0.4,2,IF(G605&gt;=50*0.33,1,0))))))))</f>
        <v/>
      </c>
      <c r="Z605">
        <f>IF(B605="","",IF(H605&lt;33.0,0,IF(H605&gt;=100*0.8,5,IF(H605&gt;=100*0.7,4,IF(H605&gt;=100*0.6,3.5,IF(H605&gt;=100*0.5,3,IF(H605&gt;=100*0.4,2,IF(H605&gt;=100*0.33,1,0))))))))</f>
        <v/>
      </c>
      <c r="AA605">
        <f>IF(B605="","",IF(I605&lt;33.0,0,IF(I605&gt;=100*0.8,5,IF(I605&gt;=100*0.7,4,IF(I605&gt;=100*0.6,3.5,IF(I605&gt;=100*0.5,3,IF(I605&gt;=100*0.4,2,IF(I605&gt;=100*0.33,1,0))))))))</f>
        <v/>
      </c>
      <c r="AB605">
        <f>IF(B605="","",IF(J605&lt;33.0,0,IF(J605&gt;=100*0.8,5,IF(J605&gt;=100*0.7,4,IF(J605&gt;=100*0.6,3.5,IF(J605&gt;=100*0.5,3,IF(J605&gt;=100*0.4,2,IF(J605&gt;=100*0.33,1,0))))))))</f>
        <v/>
      </c>
      <c r="AC605">
        <f>IF(B605="","",IF(K605&lt;33.0,0,IF(K605&gt;=100*0.8,5,IF(K605&gt;=100*0.7,4,IF(K605&gt;=100*0.6,3.5,IF(K605&gt;=100*0.5,3,IF(K605&gt;=100*0.4,2,IF(K605&gt;=100*0.33,1,0))))))))</f>
        <v/>
      </c>
      <c r="AD605">
        <f>IF(B605="","",IF(L605&lt;33.0,0,IF(L605&gt;=100*0.8,5,IF(L605&gt;=100*0.7,4,IF(L605&gt;=100*0.6,3.5,IF(L605&gt;=100*0.5,3,IF(L605&gt;=100*0.4,2,IF(L605&gt;=100*0.33,1,0))))))))</f>
        <v/>
      </c>
      <c r="AE605">
        <f>IF(B605="","",IF(M605&lt;33.0,0,IF(M605&gt;=100*0.8,5,IF(M605&gt;=100*0.7,4,IF(M605&gt;=100*0.6,3.5,IF(M605&gt;=100*0.5,3,IF(M605&gt;=100*0.4,2,IF(M605&gt;=100*0.33,1,0))))))))</f>
        <v/>
      </c>
      <c r="AF605">
        <f>IF(B605="","",IF(N605&lt;16.5,0,IF(N605&gt;=50*0.8,5,IF(N605&gt;=50*0.7,4,IF(N605&gt;=50*0.6,3.5,IF(N605&gt;=50*0.5,3,IF(N605&gt;=50*0.4,2,IF(N605&gt;=50*0.33,1,0))))))))</f>
        <v/>
      </c>
      <c r="AG605">
        <f>IF(B605="","",IF(O605&lt;33.0,0,IF(O605&gt;=100*0.8,5,IF(O605&gt;=100*0.7,4,IF(O605&gt;=100*0.6,3.5,IF(O605&gt;=100*0.5,3,IF(O605&gt;=100*0.4,2,IF(O605&gt;=100*0.33,1,0))))))))</f>
        <v/>
      </c>
      <c r="AH605">
        <f>IF(B605="","",IF(OR(U605=0,V605=0,W605=0,X605=0,Y605=0,Z605=0,AA605=0,AB605=0,AC605=0,AD605=0,AE605=0,AF605=0,AG605=0),1,0))</f>
        <v/>
      </c>
    </row>
    <row r="606">
      <c r="A606" s="3">
        <f>IF(B606="","",ROW()-2)</f>
        <v/>
      </c>
      <c r="P606" s="4">
        <f>IF(B606="","",SUM(C606:O606))</f>
        <v/>
      </c>
      <c r="Q606" s="5">
        <f>IF(B606="","",ROUND(P606/13,2))</f>
        <v/>
      </c>
      <c r="R606" s="5">
        <f>IF(B606="","",IF(AH606=1,0,MIN(5,ROUND((U606+V606+W606+X606+Y606+Z606+AA606+AB606+AC606+AD606+AE606+AF606+AG606)/13,2))))</f>
        <v/>
      </c>
      <c r="S606" s="3">
        <f>IF(B606="","",IF(R606&gt;=5,"A+",IF(R606&gt;=4,"A",IF(R606&gt;=3.5,"A-",IF(R606&gt;=3,"B",IF(R606&gt;=2,"C",IF(R606&gt;=1,"D","F")))))))</f>
        <v/>
      </c>
      <c r="T606" s="3">
        <f>IF(OR(B606="",S606="F"),"",COUNTIFS(P:P,"&gt;"&amp;P606,S:S,"&lt;&gt;F")+1)</f>
        <v/>
      </c>
      <c r="U606">
        <f>IF(B606="","",IF(C606&lt;33.0,0,IF(C606&gt;=100*0.8,5,IF(C606&gt;=100*0.7,4,IF(C606&gt;=100*0.6,3.5,IF(C606&gt;=100*0.5,3,IF(C606&gt;=100*0.4,2,IF(C606&gt;=100*0.33,1,0))))))))</f>
        <v/>
      </c>
      <c r="V606">
        <f>IF(B606="","",IF(D606&lt;33.0,0,IF(D606&gt;=100*0.8,5,IF(D606&gt;=100*0.7,4,IF(D606&gt;=100*0.6,3.5,IF(D606&gt;=100*0.5,3,IF(D606&gt;=100*0.4,2,IF(D606&gt;=100*0.33,1,0))))))))</f>
        <v/>
      </c>
      <c r="W606">
        <f>IF(B606="","",IF(E606&lt;16.5,0,IF(E606&gt;=50*0.8,5,IF(E606&gt;=50*0.7,4,IF(E606&gt;=50*0.6,3.5,IF(E606&gt;=50*0.5,3,IF(E606&gt;=50*0.4,2,IF(E606&gt;=50*0.33,1,0))))))))</f>
        <v/>
      </c>
      <c r="X606">
        <f>IF(B606="","",IF(F606&lt;33.0,0,IF(F606&gt;=100*0.8,5,IF(F606&gt;=100*0.7,4,IF(F606&gt;=100*0.6,3.5,IF(F606&gt;=100*0.5,3,IF(F606&gt;=100*0.4,2,IF(F606&gt;=100*0.33,1,0))))))))</f>
        <v/>
      </c>
      <c r="Y606">
        <f>IF(B606="","",IF(G606&lt;16.5,0,IF(G606&gt;=50*0.8,5,IF(G606&gt;=50*0.7,4,IF(G606&gt;=50*0.6,3.5,IF(G606&gt;=50*0.5,3,IF(G606&gt;=50*0.4,2,IF(G606&gt;=50*0.33,1,0))))))))</f>
        <v/>
      </c>
      <c r="Z606">
        <f>IF(B606="","",IF(H606&lt;33.0,0,IF(H606&gt;=100*0.8,5,IF(H606&gt;=100*0.7,4,IF(H606&gt;=100*0.6,3.5,IF(H606&gt;=100*0.5,3,IF(H606&gt;=100*0.4,2,IF(H606&gt;=100*0.33,1,0))))))))</f>
        <v/>
      </c>
      <c r="AA606">
        <f>IF(B606="","",IF(I606&lt;33.0,0,IF(I606&gt;=100*0.8,5,IF(I606&gt;=100*0.7,4,IF(I606&gt;=100*0.6,3.5,IF(I606&gt;=100*0.5,3,IF(I606&gt;=100*0.4,2,IF(I606&gt;=100*0.33,1,0))))))))</f>
        <v/>
      </c>
      <c r="AB606">
        <f>IF(B606="","",IF(J606&lt;33.0,0,IF(J606&gt;=100*0.8,5,IF(J606&gt;=100*0.7,4,IF(J606&gt;=100*0.6,3.5,IF(J606&gt;=100*0.5,3,IF(J606&gt;=100*0.4,2,IF(J606&gt;=100*0.33,1,0))))))))</f>
        <v/>
      </c>
      <c r="AC606">
        <f>IF(B606="","",IF(K606&lt;33.0,0,IF(K606&gt;=100*0.8,5,IF(K606&gt;=100*0.7,4,IF(K606&gt;=100*0.6,3.5,IF(K606&gt;=100*0.5,3,IF(K606&gt;=100*0.4,2,IF(K606&gt;=100*0.33,1,0))))))))</f>
        <v/>
      </c>
      <c r="AD606">
        <f>IF(B606="","",IF(L606&lt;33.0,0,IF(L606&gt;=100*0.8,5,IF(L606&gt;=100*0.7,4,IF(L606&gt;=100*0.6,3.5,IF(L606&gt;=100*0.5,3,IF(L606&gt;=100*0.4,2,IF(L606&gt;=100*0.33,1,0))))))))</f>
        <v/>
      </c>
      <c r="AE606">
        <f>IF(B606="","",IF(M606&lt;33.0,0,IF(M606&gt;=100*0.8,5,IF(M606&gt;=100*0.7,4,IF(M606&gt;=100*0.6,3.5,IF(M606&gt;=100*0.5,3,IF(M606&gt;=100*0.4,2,IF(M606&gt;=100*0.33,1,0))))))))</f>
        <v/>
      </c>
      <c r="AF606">
        <f>IF(B606="","",IF(N606&lt;16.5,0,IF(N606&gt;=50*0.8,5,IF(N606&gt;=50*0.7,4,IF(N606&gt;=50*0.6,3.5,IF(N606&gt;=50*0.5,3,IF(N606&gt;=50*0.4,2,IF(N606&gt;=50*0.33,1,0))))))))</f>
        <v/>
      </c>
      <c r="AG606">
        <f>IF(B606="","",IF(O606&lt;33.0,0,IF(O606&gt;=100*0.8,5,IF(O606&gt;=100*0.7,4,IF(O606&gt;=100*0.6,3.5,IF(O606&gt;=100*0.5,3,IF(O606&gt;=100*0.4,2,IF(O606&gt;=100*0.33,1,0))))))))</f>
        <v/>
      </c>
      <c r="AH606">
        <f>IF(B606="","",IF(OR(U606=0,V606=0,W606=0,X606=0,Y606=0,Z606=0,AA606=0,AB606=0,AC606=0,AD606=0,AE606=0,AF606=0,AG606=0),1,0))</f>
        <v/>
      </c>
    </row>
    <row r="607">
      <c r="A607" s="3">
        <f>IF(B607="","",ROW()-2)</f>
        <v/>
      </c>
      <c r="P607" s="4">
        <f>IF(B607="","",SUM(C607:O607))</f>
        <v/>
      </c>
      <c r="Q607" s="5">
        <f>IF(B607="","",ROUND(P607/13,2))</f>
        <v/>
      </c>
      <c r="R607" s="5">
        <f>IF(B607="","",IF(AH607=1,0,MIN(5,ROUND((U607+V607+W607+X607+Y607+Z607+AA607+AB607+AC607+AD607+AE607+AF607+AG607)/13,2))))</f>
        <v/>
      </c>
      <c r="S607" s="3">
        <f>IF(B607="","",IF(R607&gt;=5,"A+",IF(R607&gt;=4,"A",IF(R607&gt;=3.5,"A-",IF(R607&gt;=3,"B",IF(R607&gt;=2,"C",IF(R607&gt;=1,"D","F")))))))</f>
        <v/>
      </c>
      <c r="T607" s="3">
        <f>IF(OR(B607="",S607="F"),"",COUNTIFS(P:P,"&gt;"&amp;P607,S:S,"&lt;&gt;F")+1)</f>
        <v/>
      </c>
      <c r="U607">
        <f>IF(B607="","",IF(C607&lt;33.0,0,IF(C607&gt;=100*0.8,5,IF(C607&gt;=100*0.7,4,IF(C607&gt;=100*0.6,3.5,IF(C607&gt;=100*0.5,3,IF(C607&gt;=100*0.4,2,IF(C607&gt;=100*0.33,1,0))))))))</f>
        <v/>
      </c>
      <c r="V607">
        <f>IF(B607="","",IF(D607&lt;33.0,0,IF(D607&gt;=100*0.8,5,IF(D607&gt;=100*0.7,4,IF(D607&gt;=100*0.6,3.5,IF(D607&gt;=100*0.5,3,IF(D607&gt;=100*0.4,2,IF(D607&gt;=100*0.33,1,0))))))))</f>
        <v/>
      </c>
      <c r="W607">
        <f>IF(B607="","",IF(E607&lt;16.5,0,IF(E607&gt;=50*0.8,5,IF(E607&gt;=50*0.7,4,IF(E607&gt;=50*0.6,3.5,IF(E607&gt;=50*0.5,3,IF(E607&gt;=50*0.4,2,IF(E607&gt;=50*0.33,1,0))))))))</f>
        <v/>
      </c>
      <c r="X607">
        <f>IF(B607="","",IF(F607&lt;33.0,0,IF(F607&gt;=100*0.8,5,IF(F607&gt;=100*0.7,4,IF(F607&gt;=100*0.6,3.5,IF(F607&gt;=100*0.5,3,IF(F607&gt;=100*0.4,2,IF(F607&gt;=100*0.33,1,0))))))))</f>
        <v/>
      </c>
      <c r="Y607">
        <f>IF(B607="","",IF(G607&lt;16.5,0,IF(G607&gt;=50*0.8,5,IF(G607&gt;=50*0.7,4,IF(G607&gt;=50*0.6,3.5,IF(G607&gt;=50*0.5,3,IF(G607&gt;=50*0.4,2,IF(G607&gt;=50*0.33,1,0))))))))</f>
        <v/>
      </c>
      <c r="Z607">
        <f>IF(B607="","",IF(H607&lt;33.0,0,IF(H607&gt;=100*0.8,5,IF(H607&gt;=100*0.7,4,IF(H607&gt;=100*0.6,3.5,IF(H607&gt;=100*0.5,3,IF(H607&gt;=100*0.4,2,IF(H607&gt;=100*0.33,1,0))))))))</f>
        <v/>
      </c>
      <c r="AA607">
        <f>IF(B607="","",IF(I607&lt;33.0,0,IF(I607&gt;=100*0.8,5,IF(I607&gt;=100*0.7,4,IF(I607&gt;=100*0.6,3.5,IF(I607&gt;=100*0.5,3,IF(I607&gt;=100*0.4,2,IF(I607&gt;=100*0.33,1,0))))))))</f>
        <v/>
      </c>
      <c r="AB607">
        <f>IF(B607="","",IF(J607&lt;33.0,0,IF(J607&gt;=100*0.8,5,IF(J607&gt;=100*0.7,4,IF(J607&gt;=100*0.6,3.5,IF(J607&gt;=100*0.5,3,IF(J607&gt;=100*0.4,2,IF(J607&gt;=100*0.33,1,0))))))))</f>
        <v/>
      </c>
      <c r="AC607">
        <f>IF(B607="","",IF(K607&lt;33.0,0,IF(K607&gt;=100*0.8,5,IF(K607&gt;=100*0.7,4,IF(K607&gt;=100*0.6,3.5,IF(K607&gt;=100*0.5,3,IF(K607&gt;=100*0.4,2,IF(K607&gt;=100*0.33,1,0))))))))</f>
        <v/>
      </c>
      <c r="AD607">
        <f>IF(B607="","",IF(L607&lt;33.0,0,IF(L607&gt;=100*0.8,5,IF(L607&gt;=100*0.7,4,IF(L607&gt;=100*0.6,3.5,IF(L607&gt;=100*0.5,3,IF(L607&gt;=100*0.4,2,IF(L607&gt;=100*0.33,1,0))))))))</f>
        <v/>
      </c>
      <c r="AE607">
        <f>IF(B607="","",IF(M607&lt;33.0,0,IF(M607&gt;=100*0.8,5,IF(M607&gt;=100*0.7,4,IF(M607&gt;=100*0.6,3.5,IF(M607&gt;=100*0.5,3,IF(M607&gt;=100*0.4,2,IF(M607&gt;=100*0.33,1,0))))))))</f>
        <v/>
      </c>
      <c r="AF607">
        <f>IF(B607="","",IF(N607&lt;16.5,0,IF(N607&gt;=50*0.8,5,IF(N607&gt;=50*0.7,4,IF(N607&gt;=50*0.6,3.5,IF(N607&gt;=50*0.5,3,IF(N607&gt;=50*0.4,2,IF(N607&gt;=50*0.33,1,0))))))))</f>
        <v/>
      </c>
      <c r="AG607">
        <f>IF(B607="","",IF(O607&lt;33.0,0,IF(O607&gt;=100*0.8,5,IF(O607&gt;=100*0.7,4,IF(O607&gt;=100*0.6,3.5,IF(O607&gt;=100*0.5,3,IF(O607&gt;=100*0.4,2,IF(O607&gt;=100*0.33,1,0))))))))</f>
        <v/>
      </c>
      <c r="AH607">
        <f>IF(B607="","",IF(OR(U607=0,V607=0,W607=0,X607=0,Y607=0,Z607=0,AA607=0,AB607=0,AC607=0,AD607=0,AE607=0,AF607=0,AG607=0),1,0))</f>
        <v/>
      </c>
    </row>
    <row r="608">
      <c r="A608" s="3">
        <f>IF(B608="","",ROW()-2)</f>
        <v/>
      </c>
      <c r="P608" s="4">
        <f>IF(B608="","",SUM(C608:O608))</f>
        <v/>
      </c>
      <c r="Q608" s="5">
        <f>IF(B608="","",ROUND(P608/13,2))</f>
        <v/>
      </c>
      <c r="R608" s="5">
        <f>IF(B608="","",IF(AH608=1,0,MIN(5,ROUND((U608+V608+W608+X608+Y608+Z608+AA608+AB608+AC608+AD608+AE608+AF608+AG608)/13,2))))</f>
        <v/>
      </c>
      <c r="S608" s="3">
        <f>IF(B608="","",IF(R608&gt;=5,"A+",IF(R608&gt;=4,"A",IF(R608&gt;=3.5,"A-",IF(R608&gt;=3,"B",IF(R608&gt;=2,"C",IF(R608&gt;=1,"D","F")))))))</f>
        <v/>
      </c>
      <c r="T608" s="3">
        <f>IF(OR(B608="",S608="F"),"",COUNTIFS(P:P,"&gt;"&amp;P608,S:S,"&lt;&gt;F")+1)</f>
        <v/>
      </c>
      <c r="U608">
        <f>IF(B608="","",IF(C608&lt;33.0,0,IF(C608&gt;=100*0.8,5,IF(C608&gt;=100*0.7,4,IF(C608&gt;=100*0.6,3.5,IF(C608&gt;=100*0.5,3,IF(C608&gt;=100*0.4,2,IF(C608&gt;=100*0.33,1,0))))))))</f>
        <v/>
      </c>
      <c r="V608">
        <f>IF(B608="","",IF(D608&lt;33.0,0,IF(D608&gt;=100*0.8,5,IF(D608&gt;=100*0.7,4,IF(D608&gt;=100*0.6,3.5,IF(D608&gt;=100*0.5,3,IF(D608&gt;=100*0.4,2,IF(D608&gt;=100*0.33,1,0))))))))</f>
        <v/>
      </c>
      <c r="W608">
        <f>IF(B608="","",IF(E608&lt;16.5,0,IF(E608&gt;=50*0.8,5,IF(E608&gt;=50*0.7,4,IF(E608&gt;=50*0.6,3.5,IF(E608&gt;=50*0.5,3,IF(E608&gt;=50*0.4,2,IF(E608&gt;=50*0.33,1,0))))))))</f>
        <v/>
      </c>
      <c r="X608">
        <f>IF(B608="","",IF(F608&lt;33.0,0,IF(F608&gt;=100*0.8,5,IF(F608&gt;=100*0.7,4,IF(F608&gt;=100*0.6,3.5,IF(F608&gt;=100*0.5,3,IF(F608&gt;=100*0.4,2,IF(F608&gt;=100*0.33,1,0))))))))</f>
        <v/>
      </c>
      <c r="Y608">
        <f>IF(B608="","",IF(G608&lt;16.5,0,IF(G608&gt;=50*0.8,5,IF(G608&gt;=50*0.7,4,IF(G608&gt;=50*0.6,3.5,IF(G608&gt;=50*0.5,3,IF(G608&gt;=50*0.4,2,IF(G608&gt;=50*0.33,1,0))))))))</f>
        <v/>
      </c>
      <c r="Z608">
        <f>IF(B608="","",IF(H608&lt;33.0,0,IF(H608&gt;=100*0.8,5,IF(H608&gt;=100*0.7,4,IF(H608&gt;=100*0.6,3.5,IF(H608&gt;=100*0.5,3,IF(H608&gt;=100*0.4,2,IF(H608&gt;=100*0.33,1,0))))))))</f>
        <v/>
      </c>
      <c r="AA608">
        <f>IF(B608="","",IF(I608&lt;33.0,0,IF(I608&gt;=100*0.8,5,IF(I608&gt;=100*0.7,4,IF(I608&gt;=100*0.6,3.5,IF(I608&gt;=100*0.5,3,IF(I608&gt;=100*0.4,2,IF(I608&gt;=100*0.33,1,0))))))))</f>
        <v/>
      </c>
      <c r="AB608">
        <f>IF(B608="","",IF(J608&lt;33.0,0,IF(J608&gt;=100*0.8,5,IF(J608&gt;=100*0.7,4,IF(J608&gt;=100*0.6,3.5,IF(J608&gt;=100*0.5,3,IF(J608&gt;=100*0.4,2,IF(J608&gt;=100*0.33,1,0))))))))</f>
        <v/>
      </c>
      <c r="AC608">
        <f>IF(B608="","",IF(K608&lt;33.0,0,IF(K608&gt;=100*0.8,5,IF(K608&gt;=100*0.7,4,IF(K608&gt;=100*0.6,3.5,IF(K608&gt;=100*0.5,3,IF(K608&gt;=100*0.4,2,IF(K608&gt;=100*0.33,1,0))))))))</f>
        <v/>
      </c>
      <c r="AD608">
        <f>IF(B608="","",IF(L608&lt;33.0,0,IF(L608&gt;=100*0.8,5,IF(L608&gt;=100*0.7,4,IF(L608&gt;=100*0.6,3.5,IF(L608&gt;=100*0.5,3,IF(L608&gt;=100*0.4,2,IF(L608&gt;=100*0.33,1,0))))))))</f>
        <v/>
      </c>
      <c r="AE608">
        <f>IF(B608="","",IF(M608&lt;33.0,0,IF(M608&gt;=100*0.8,5,IF(M608&gt;=100*0.7,4,IF(M608&gt;=100*0.6,3.5,IF(M608&gt;=100*0.5,3,IF(M608&gt;=100*0.4,2,IF(M608&gt;=100*0.33,1,0))))))))</f>
        <v/>
      </c>
      <c r="AF608">
        <f>IF(B608="","",IF(N608&lt;16.5,0,IF(N608&gt;=50*0.8,5,IF(N608&gt;=50*0.7,4,IF(N608&gt;=50*0.6,3.5,IF(N608&gt;=50*0.5,3,IF(N608&gt;=50*0.4,2,IF(N608&gt;=50*0.33,1,0))))))))</f>
        <v/>
      </c>
      <c r="AG608">
        <f>IF(B608="","",IF(O608&lt;33.0,0,IF(O608&gt;=100*0.8,5,IF(O608&gt;=100*0.7,4,IF(O608&gt;=100*0.6,3.5,IF(O608&gt;=100*0.5,3,IF(O608&gt;=100*0.4,2,IF(O608&gt;=100*0.33,1,0))))))))</f>
        <v/>
      </c>
      <c r="AH608">
        <f>IF(B608="","",IF(OR(U608=0,V608=0,W608=0,X608=0,Y608=0,Z608=0,AA608=0,AB608=0,AC608=0,AD608=0,AE608=0,AF608=0,AG608=0),1,0))</f>
        <v/>
      </c>
    </row>
    <row r="609">
      <c r="A609" s="3">
        <f>IF(B609="","",ROW()-2)</f>
        <v/>
      </c>
      <c r="P609" s="4">
        <f>IF(B609="","",SUM(C609:O609))</f>
        <v/>
      </c>
      <c r="Q609" s="5">
        <f>IF(B609="","",ROUND(P609/13,2))</f>
        <v/>
      </c>
      <c r="R609" s="5">
        <f>IF(B609="","",IF(AH609=1,0,MIN(5,ROUND((U609+V609+W609+X609+Y609+Z609+AA609+AB609+AC609+AD609+AE609+AF609+AG609)/13,2))))</f>
        <v/>
      </c>
      <c r="S609" s="3">
        <f>IF(B609="","",IF(R609&gt;=5,"A+",IF(R609&gt;=4,"A",IF(R609&gt;=3.5,"A-",IF(R609&gt;=3,"B",IF(R609&gt;=2,"C",IF(R609&gt;=1,"D","F")))))))</f>
        <v/>
      </c>
      <c r="T609" s="3">
        <f>IF(OR(B609="",S609="F"),"",COUNTIFS(P:P,"&gt;"&amp;P609,S:S,"&lt;&gt;F")+1)</f>
        <v/>
      </c>
      <c r="U609">
        <f>IF(B609="","",IF(C609&lt;33.0,0,IF(C609&gt;=100*0.8,5,IF(C609&gt;=100*0.7,4,IF(C609&gt;=100*0.6,3.5,IF(C609&gt;=100*0.5,3,IF(C609&gt;=100*0.4,2,IF(C609&gt;=100*0.33,1,0))))))))</f>
        <v/>
      </c>
      <c r="V609">
        <f>IF(B609="","",IF(D609&lt;33.0,0,IF(D609&gt;=100*0.8,5,IF(D609&gt;=100*0.7,4,IF(D609&gt;=100*0.6,3.5,IF(D609&gt;=100*0.5,3,IF(D609&gt;=100*0.4,2,IF(D609&gt;=100*0.33,1,0))))))))</f>
        <v/>
      </c>
      <c r="W609">
        <f>IF(B609="","",IF(E609&lt;16.5,0,IF(E609&gt;=50*0.8,5,IF(E609&gt;=50*0.7,4,IF(E609&gt;=50*0.6,3.5,IF(E609&gt;=50*0.5,3,IF(E609&gt;=50*0.4,2,IF(E609&gt;=50*0.33,1,0))))))))</f>
        <v/>
      </c>
      <c r="X609">
        <f>IF(B609="","",IF(F609&lt;33.0,0,IF(F609&gt;=100*0.8,5,IF(F609&gt;=100*0.7,4,IF(F609&gt;=100*0.6,3.5,IF(F609&gt;=100*0.5,3,IF(F609&gt;=100*0.4,2,IF(F609&gt;=100*0.33,1,0))))))))</f>
        <v/>
      </c>
      <c r="Y609">
        <f>IF(B609="","",IF(G609&lt;16.5,0,IF(G609&gt;=50*0.8,5,IF(G609&gt;=50*0.7,4,IF(G609&gt;=50*0.6,3.5,IF(G609&gt;=50*0.5,3,IF(G609&gt;=50*0.4,2,IF(G609&gt;=50*0.33,1,0))))))))</f>
        <v/>
      </c>
      <c r="Z609">
        <f>IF(B609="","",IF(H609&lt;33.0,0,IF(H609&gt;=100*0.8,5,IF(H609&gt;=100*0.7,4,IF(H609&gt;=100*0.6,3.5,IF(H609&gt;=100*0.5,3,IF(H609&gt;=100*0.4,2,IF(H609&gt;=100*0.33,1,0))))))))</f>
        <v/>
      </c>
      <c r="AA609">
        <f>IF(B609="","",IF(I609&lt;33.0,0,IF(I609&gt;=100*0.8,5,IF(I609&gt;=100*0.7,4,IF(I609&gt;=100*0.6,3.5,IF(I609&gt;=100*0.5,3,IF(I609&gt;=100*0.4,2,IF(I609&gt;=100*0.33,1,0))))))))</f>
        <v/>
      </c>
      <c r="AB609">
        <f>IF(B609="","",IF(J609&lt;33.0,0,IF(J609&gt;=100*0.8,5,IF(J609&gt;=100*0.7,4,IF(J609&gt;=100*0.6,3.5,IF(J609&gt;=100*0.5,3,IF(J609&gt;=100*0.4,2,IF(J609&gt;=100*0.33,1,0))))))))</f>
        <v/>
      </c>
      <c r="AC609">
        <f>IF(B609="","",IF(K609&lt;33.0,0,IF(K609&gt;=100*0.8,5,IF(K609&gt;=100*0.7,4,IF(K609&gt;=100*0.6,3.5,IF(K609&gt;=100*0.5,3,IF(K609&gt;=100*0.4,2,IF(K609&gt;=100*0.33,1,0))))))))</f>
        <v/>
      </c>
      <c r="AD609">
        <f>IF(B609="","",IF(L609&lt;33.0,0,IF(L609&gt;=100*0.8,5,IF(L609&gt;=100*0.7,4,IF(L609&gt;=100*0.6,3.5,IF(L609&gt;=100*0.5,3,IF(L609&gt;=100*0.4,2,IF(L609&gt;=100*0.33,1,0))))))))</f>
        <v/>
      </c>
      <c r="AE609">
        <f>IF(B609="","",IF(M609&lt;33.0,0,IF(M609&gt;=100*0.8,5,IF(M609&gt;=100*0.7,4,IF(M609&gt;=100*0.6,3.5,IF(M609&gt;=100*0.5,3,IF(M609&gt;=100*0.4,2,IF(M609&gt;=100*0.33,1,0))))))))</f>
        <v/>
      </c>
      <c r="AF609">
        <f>IF(B609="","",IF(N609&lt;16.5,0,IF(N609&gt;=50*0.8,5,IF(N609&gt;=50*0.7,4,IF(N609&gt;=50*0.6,3.5,IF(N609&gt;=50*0.5,3,IF(N609&gt;=50*0.4,2,IF(N609&gt;=50*0.33,1,0))))))))</f>
        <v/>
      </c>
      <c r="AG609">
        <f>IF(B609="","",IF(O609&lt;33.0,0,IF(O609&gt;=100*0.8,5,IF(O609&gt;=100*0.7,4,IF(O609&gt;=100*0.6,3.5,IF(O609&gt;=100*0.5,3,IF(O609&gt;=100*0.4,2,IF(O609&gt;=100*0.33,1,0))))))))</f>
        <v/>
      </c>
      <c r="AH609">
        <f>IF(B609="","",IF(OR(U609=0,V609=0,W609=0,X609=0,Y609=0,Z609=0,AA609=0,AB609=0,AC609=0,AD609=0,AE609=0,AF609=0,AG609=0),1,0))</f>
        <v/>
      </c>
    </row>
    <row r="610">
      <c r="A610" s="3">
        <f>IF(B610="","",ROW()-2)</f>
        <v/>
      </c>
      <c r="P610" s="4">
        <f>IF(B610="","",SUM(C610:O610))</f>
        <v/>
      </c>
      <c r="Q610" s="5">
        <f>IF(B610="","",ROUND(P610/13,2))</f>
        <v/>
      </c>
      <c r="R610" s="5">
        <f>IF(B610="","",IF(AH610=1,0,MIN(5,ROUND((U610+V610+W610+X610+Y610+Z610+AA610+AB610+AC610+AD610+AE610+AF610+AG610)/13,2))))</f>
        <v/>
      </c>
      <c r="S610" s="3">
        <f>IF(B610="","",IF(R610&gt;=5,"A+",IF(R610&gt;=4,"A",IF(R610&gt;=3.5,"A-",IF(R610&gt;=3,"B",IF(R610&gt;=2,"C",IF(R610&gt;=1,"D","F")))))))</f>
        <v/>
      </c>
      <c r="T610" s="3">
        <f>IF(OR(B610="",S610="F"),"",COUNTIFS(P:P,"&gt;"&amp;P610,S:S,"&lt;&gt;F")+1)</f>
        <v/>
      </c>
      <c r="U610">
        <f>IF(B610="","",IF(C610&lt;33.0,0,IF(C610&gt;=100*0.8,5,IF(C610&gt;=100*0.7,4,IF(C610&gt;=100*0.6,3.5,IF(C610&gt;=100*0.5,3,IF(C610&gt;=100*0.4,2,IF(C610&gt;=100*0.33,1,0))))))))</f>
        <v/>
      </c>
      <c r="V610">
        <f>IF(B610="","",IF(D610&lt;33.0,0,IF(D610&gt;=100*0.8,5,IF(D610&gt;=100*0.7,4,IF(D610&gt;=100*0.6,3.5,IF(D610&gt;=100*0.5,3,IF(D610&gt;=100*0.4,2,IF(D610&gt;=100*0.33,1,0))))))))</f>
        <v/>
      </c>
      <c r="W610">
        <f>IF(B610="","",IF(E610&lt;16.5,0,IF(E610&gt;=50*0.8,5,IF(E610&gt;=50*0.7,4,IF(E610&gt;=50*0.6,3.5,IF(E610&gt;=50*0.5,3,IF(E610&gt;=50*0.4,2,IF(E610&gt;=50*0.33,1,0))))))))</f>
        <v/>
      </c>
      <c r="X610">
        <f>IF(B610="","",IF(F610&lt;33.0,0,IF(F610&gt;=100*0.8,5,IF(F610&gt;=100*0.7,4,IF(F610&gt;=100*0.6,3.5,IF(F610&gt;=100*0.5,3,IF(F610&gt;=100*0.4,2,IF(F610&gt;=100*0.33,1,0))))))))</f>
        <v/>
      </c>
      <c r="Y610">
        <f>IF(B610="","",IF(G610&lt;16.5,0,IF(G610&gt;=50*0.8,5,IF(G610&gt;=50*0.7,4,IF(G610&gt;=50*0.6,3.5,IF(G610&gt;=50*0.5,3,IF(G610&gt;=50*0.4,2,IF(G610&gt;=50*0.33,1,0))))))))</f>
        <v/>
      </c>
      <c r="Z610">
        <f>IF(B610="","",IF(H610&lt;33.0,0,IF(H610&gt;=100*0.8,5,IF(H610&gt;=100*0.7,4,IF(H610&gt;=100*0.6,3.5,IF(H610&gt;=100*0.5,3,IF(H610&gt;=100*0.4,2,IF(H610&gt;=100*0.33,1,0))))))))</f>
        <v/>
      </c>
      <c r="AA610">
        <f>IF(B610="","",IF(I610&lt;33.0,0,IF(I610&gt;=100*0.8,5,IF(I610&gt;=100*0.7,4,IF(I610&gt;=100*0.6,3.5,IF(I610&gt;=100*0.5,3,IF(I610&gt;=100*0.4,2,IF(I610&gt;=100*0.33,1,0))))))))</f>
        <v/>
      </c>
      <c r="AB610">
        <f>IF(B610="","",IF(J610&lt;33.0,0,IF(J610&gt;=100*0.8,5,IF(J610&gt;=100*0.7,4,IF(J610&gt;=100*0.6,3.5,IF(J610&gt;=100*0.5,3,IF(J610&gt;=100*0.4,2,IF(J610&gt;=100*0.33,1,0))))))))</f>
        <v/>
      </c>
      <c r="AC610">
        <f>IF(B610="","",IF(K610&lt;33.0,0,IF(K610&gt;=100*0.8,5,IF(K610&gt;=100*0.7,4,IF(K610&gt;=100*0.6,3.5,IF(K610&gt;=100*0.5,3,IF(K610&gt;=100*0.4,2,IF(K610&gt;=100*0.33,1,0))))))))</f>
        <v/>
      </c>
      <c r="AD610">
        <f>IF(B610="","",IF(L610&lt;33.0,0,IF(L610&gt;=100*0.8,5,IF(L610&gt;=100*0.7,4,IF(L610&gt;=100*0.6,3.5,IF(L610&gt;=100*0.5,3,IF(L610&gt;=100*0.4,2,IF(L610&gt;=100*0.33,1,0))))))))</f>
        <v/>
      </c>
      <c r="AE610">
        <f>IF(B610="","",IF(M610&lt;33.0,0,IF(M610&gt;=100*0.8,5,IF(M610&gt;=100*0.7,4,IF(M610&gt;=100*0.6,3.5,IF(M610&gt;=100*0.5,3,IF(M610&gt;=100*0.4,2,IF(M610&gt;=100*0.33,1,0))))))))</f>
        <v/>
      </c>
      <c r="AF610">
        <f>IF(B610="","",IF(N610&lt;16.5,0,IF(N610&gt;=50*0.8,5,IF(N610&gt;=50*0.7,4,IF(N610&gt;=50*0.6,3.5,IF(N610&gt;=50*0.5,3,IF(N610&gt;=50*0.4,2,IF(N610&gt;=50*0.33,1,0))))))))</f>
        <v/>
      </c>
      <c r="AG610">
        <f>IF(B610="","",IF(O610&lt;33.0,0,IF(O610&gt;=100*0.8,5,IF(O610&gt;=100*0.7,4,IF(O610&gt;=100*0.6,3.5,IF(O610&gt;=100*0.5,3,IF(O610&gt;=100*0.4,2,IF(O610&gt;=100*0.33,1,0))))))))</f>
        <v/>
      </c>
      <c r="AH610">
        <f>IF(B610="","",IF(OR(U610=0,V610=0,W610=0,X610=0,Y610=0,Z610=0,AA610=0,AB610=0,AC610=0,AD610=0,AE610=0,AF610=0,AG610=0),1,0))</f>
        <v/>
      </c>
    </row>
    <row r="611">
      <c r="A611" s="3">
        <f>IF(B611="","",ROW()-2)</f>
        <v/>
      </c>
      <c r="P611" s="4">
        <f>IF(B611="","",SUM(C611:O611))</f>
        <v/>
      </c>
      <c r="Q611" s="5">
        <f>IF(B611="","",ROUND(P611/13,2))</f>
        <v/>
      </c>
      <c r="R611" s="5">
        <f>IF(B611="","",IF(AH611=1,0,MIN(5,ROUND((U611+V611+W611+X611+Y611+Z611+AA611+AB611+AC611+AD611+AE611+AF611+AG611)/13,2))))</f>
        <v/>
      </c>
      <c r="S611" s="3">
        <f>IF(B611="","",IF(R611&gt;=5,"A+",IF(R611&gt;=4,"A",IF(R611&gt;=3.5,"A-",IF(R611&gt;=3,"B",IF(R611&gt;=2,"C",IF(R611&gt;=1,"D","F")))))))</f>
        <v/>
      </c>
      <c r="T611" s="3">
        <f>IF(OR(B611="",S611="F"),"",COUNTIFS(P:P,"&gt;"&amp;P611,S:S,"&lt;&gt;F")+1)</f>
        <v/>
      </c>
      <c r="U611">
        <f>IF(B611="","",IF(C611&lt;33.0,0,IF(C611&gt;=100*0.8,5,IF(C611&gt;=100*0.7,4,IF(C611&gt;=100*0.6,3.5,IF(C611&gt;=100*0.5,3,IF(C611&gt;=100*0.4,2,IF(C611&gt;=100*0.33,1,0))))))))</f>
        <v/>
      </c>
      <c r="V611">
        <f>IF(B611="","",IF(D611&lt;33.0,0,IF(D611&gt;=100*0.8,5,IF(D611&gt;=100*0.7,4,IF(D611&gt;=100*0.6,3.5,IF(D611&gt;=100*0.5,3,IF(D611&gt;=100*0.4,2,IF(D611&gt;=100*0.33,1,0))))))))</f>
        <v/>
      </c>
      <c r="W611">
        <f>IF(B611="","",IF(E611&lt;16.5,0,IF(E611&gt;=50*0.8,5,IF(E611&gt;=50*0.7,4,IF(E611&gt;=50*0.6,3.5,IF(E611&gt;=50*0.5,3,IF(E611&gt;=50*0.4,2,IF(E611&gt;=50*0.33,1,0))))))))</f>
        <v/>
      </c>
      <c r="X611">
        <f>IF(B611="","",IF(F611&lt;33.0,0,IF(F611&gt;=100*0.8,5,IF(F611&gt;=100*0.7,4,IF(F611&gt;=100*0.6,3.5,IF(F611&gt;=100*0.5,3,IF(F611&gt;=100*0.4,2,IF(F611&gt;=100*0.33,1,0))))))))</f>
        <v/>
      </c>
      <c r="Y611">
        <f>IF(B611="","",IF(G611&lt;16.5,0,IF(G611&gt;=50*0.8,5,IF(G611&gt;=50*0.7,4,IF(G611&gt;=50*0.6,3.5,IF(G611&gt;=50*0.5,3,IF(G611&gt;=50*0.4,2,IF(G611&gt;=50*0.33,1,0))))))))</f>
        <v/>
      </c>
      <c r="Z611">
        <f>IF(B611="","",IF(H611&lt;33.0,0,IF(H611&gt;=100*0.8,5,IF(H611&gt;=100*0.7,4,IF(H611&gt;=100*0.6,3.5,IF(H611&gt;=100*0.5,3,IF(H611&gt;=100*0.4,2,IF(H611&gt;=100*0.33,1,0))))))))</f>
        <v/>
      </c>
      <c r="AA611">
        <f>IF(B611="","",IF(I611&lt;33.0,0,IF(I611&gt;=100*0.8,5,IF(I611&gt;=100*0.7,4,IF(I611&gt;=100*0.6,3.5,IF(I611&gt;=100*0.5,3,IF(I611&gt;=100*0.4,2,IF(I611&gt;=100*0.33,1,0))))))))</f>
        <v/>
      </c>
      <c r="AB611">
        <f>IF(B611="","",IF(J611&lt;33.0,0,IF(J611&gt;=100*0.8,5,IF(J611&gt;=100*0.7,4,IF(J611&gt;=100*0.6,3.5,IF(J611&gt;=100*0.5,3,IF(J611&gt;=100*0.4,2,IF(J611&gt;=100*0.33,1,0))))))))</f>
        <v/>
      </c>
      <c r="AC611">
        <f>IF(B611="","",IF(K611&lt;33.0,0,IF(K611&gt;=100*0.8,5,IF(K611&gt;=100*0.7,4,IF(K611&gt;=100*0.6,3.5,IF(K611&gt;=100*0.5,3,IF(K611&gt;=100*0.4,2,IF(K611&gt;=100*0.33,1,0))))))))</f>
        <v/>
      </c>
      <c r="AD611">
        <f>IF(B611="","",IF(L611&lt;33.0,0,IF(L611&gt;=100*0.8,5,IF(L611&gt;=100*0.7,4,IF(L611&gt;=100*0.6,3.5,IF(L611&gt;=100*0.5,3,IF(L611&gt;=100*0.4,2,IF(L611&gt;=100*0.33,1,0))))))))</f>
        <v/>
      </c>
      <c r="AE611">
        <f>IF(B611="","",IF(M611&lt;33.0,0,IF(M611&gt;=100*0.8,5,IF(M611&gt;=100*0.7,4,IF(M611&gt;=100*0.6,3.5,IF(M611&gt;=100*0.5,3,IF(M611&gt;=100*0.4,2,IF(M611&gt;=100*0.33,1,0))))))))</f>
        <v/>
      </c>
      <c r="AF611">
        <f>IF(B611="","",IF(N611&lt;16.5,0,IF(N611&gt;=50*0.8,5,IF(N611&gt;=50*0.7,4,IF(N611&gt;=50*0.6,3.5,IF(N611&gt;=50*0.5,3,IF(N611&gt;=50*0.4,2,IF(N611&gt;=50*0.33,1,0))))))))</f>
        <v/>
      </c>
      <c r="AG611">
        <f>IF(B611="","",IF(O611&lt;33.0,0,IF(O611&gt;=100*0.8,5,IF(O611&gt;=100*0.7,4,IF(O611&gt;=100*0.6,3.5,IF(O611&gt;=100*0.5,3,IF(O611&gt;=100*0.4,2,IF(O611&gt;=100*0.33,1,0))))))))</f>
        <v/>
      </c>
      <c r="AH611">
        <f>IF(B611="","",IF(OR(U611=0,V611=0,W611=0,X611=0,Y611=0,Z611=0,AA611=0,AB611=0,AC611=0,AD611=0,AE611=0,AF611=0,AG611=0),1,0))</f>
        <v/>
      </c>
    </row>
    <row r="612">
      <c r="A612" s="3">
        <f>IF(B612="","",ROW()-2)</f>
        <v/>
      </c>
      <c r="P612" s="4">
        <f>IF(B612="","",SUM(C612:O612))</f>
        <v/>
      </c>
      <c r="Q612" s="5">
        <f>IF(B612="","",ROUND(P612/13,2))</f>
        <v/>
      </c>
      <c r="R612" s="5">
        <f>IF(B612="","",IF(AH612=1,0,MIN(5,ROUND((U612+V612+W612+X612+Y612+Z612+AA612+AB612+AC612+AD612+AE612+AF612+AG612)/13,2))))</f>
        <v/>
      </c>
      <c r="S612" s="3">
        <f>IF(B612="","",IF(R612&gt;=5,"A+",IF(R612&gt;=4,"A",IF(R612&gt;=3.5,"A-",IF(R612&gt;=3,"B",IF(R612&gt;=2,"C",IF(R612&gt;=1,"D","F")))))))</f>
        <v/>
      </c>
      <c r="T612" s="3">
        <f>IF(OR(B612="",S612="F"),"",COUNTIFS(P:P,"&gt;"&amp;P612,S:S,"&lt;&gt;F")+1)</f>
        <v/>
      </c>
      <c r="U612">
        <f>IF(B612="","",IF(C612&lt;33.0,0,IF(C612&gt;=100*0.8,5,IF(C612&gt;=100*0.7,4,IF(C612&gt;=100*0.6,3.5,IF(C612&gt;=100*0.5,3,IF(C612&gt;=100*0.4,2,IF(C612&gt;=100*0.33,1,0))))))))</f>
        <v/>
      </c>
      <c r="V612">
        <f>IF(B612="","",IF(D612&lt;33.0,0,IF(D612&gt;=100*0.8,5,IF(D612&gt;=100*0.7,4,IF(D612&gt;=100*0.6,3.5,IF(D612&gt;=100*0.5,3,IF(D612&gt;=100*0.4,2,IF(D612&gt;=100*0.33,1,0))))))))</f>
        <v/>
      </c>
      <c r="W612">
        <f>IF(B612="","",IF(E612&lt;16.5,0,IF(E612&gt;=50*0.8,5,IF(E612&gt;=50*0.7,4,IF(E612&gt;=50*0.6,3.5,IF(E612&gt;=50*0.5,3,IF(E612&gt;=50*0.4,2,IF(E612&gt;=50*0.33,1,0))))))))</f>
        <v/>
      </c>
      <c r="X612">
        <f>IF(B612="","",IF(F612&lt;33.0,0,IF(F612&gt;=100*0.8,5,IF(F612&gt;=100*0.7,4,IF(F612&gt;=100*0.6,3.5,IF(F612&gt;=100*0.5,3,IF(F612&gt;=100*0.4,2,IF(F612&gt;=100*0.33,1,0))))))))</f>
        <v/>
      </c>
      <c r="Y612">
        <f>IF(B612="","",IF(G612&lt;16.5,0,IF(G612&gt;=50*0.8,5,IF(G612&gt;=50*0.7,4,IF(G612&gt;=50*0.6,3.5,IF(G612&gt;=50*0.5,3,IF(G612&gt;=50*0.4,2,IF(G612&gt;=50*0.33,1,0))))))))</f>
        <v/>
      </c>
      <c r="Z612">
        <f>IF(B612="","",IF(H612&lt;33.0,0,IF(H612&gt;=100*0.8,5,IF(H612&gt;=100*0.7,4,IF(H612&gt;=100*0.6,3.5,IF(H612&gt;=100*0.5,3,IF(H612&gt;=100*0.4,2,IF(H612&gt;=100*0.33,1,0))))))))</f>
        <v/>
      </c>
      <c r="AA612">
        <f>IF(B612="","",IF(I612&lt;33.0,0,IF(I612&gt;=100*0.8,5,IF(I612&gt;=100*0.7,4,IF(I612&gt;=100*0.6,3.5,IF(I612&gt;=100*0.5,3,IF(I612&gt;=100*0.4,2,IF(I612&gt;=100*0.33,1,0))))))))</f>
        <v/>
      </c>
      <c r="AB612">
        <f>IF(B612="","",IF(J612&lt;33.0,0,IF(J612&gt;=100*0.8,5,IF(J612&gt;=100*0.7,4,IF(J612&gt;=100*0.6,3.5,IF(J612&gt;=100*0.5,3,IF(J612&gt;=100*0.4,2,IF(J612&gt;=100*0.33,1,0))))))))</f>
        <v/>
      </c>
      <c r="AC612">
        <f>IF(B612="","",IF(K612&lt;33.0,0,IF(K612&gt;=100*0.8,5,IF(K612&gt;=100*0.7,4,IF(K612&gt;=100*0.6,3.5,IF(K612&gt;=100*0.5,3,IF(K612&gt;=100*0.4,2,IF(K612&gt;=100*0.33,1,0))))))))</f>
        <v/>
      </c>
      <c r="AD612">
        <f>IF(B612="","",IF(L612&lt;33.0,0,IF(L612&gt;=100*0.8,5,IF(L612&gt;=100*0.7,4,IF(L612&gt;=100*0.6,3.5,IF(L612&gt;=100*0.5,3,IF(L612&gt;=100*0.4,2,IF(L612&gt;=100*0.33,1,0))))))))</f>
        <v/>
      </c>
      <c r="AE612">
        <f>IF(B612="","",IF(M612&lt;33.0,0,IF(M612&gt;=100*0.8,5,IF(M612&gt;=100*0.7,4,IF(M612&gt;=100*0.6,3.5,IF(M612&gt;=100*0.5,3,IF(M612&gt;=100*0.4,2,IF(M612&gt;=100*0.33,1,0))))))))</f>
        <v/>
      </c>
      <c r="AF612">
        <f>IF(B612="","",IF(N612&lt;16.5,0,IF(N612&gt;=50*0.8,5,IF(N612&gt;=50*0.7,4,IF(N612&gt;=50*0.6,3.5,IF(N612&gt;=50*0.5,3,IF(N612&gt;=50*0.4,2,IF(N612&gt;=50*0.33,1,0))))))))</f>
        <v/>
      </c>
      <c r="AG612">
        <f>IF(B612="","",IF(O612&lt;33.0,0,IF(O612&gt;=100*0.8,5,IF(O612&gt;=100*0.7,4,IF(O612&gt;=100*0.6,3.5,IF(O612&gt;=100*0.5,3,IF(O612&gt;=100*0.4,2,IF(O612&gt;=100*0.33,1,0))))))))</f>
        <v/>
      </c>
      <c r="AH612">
        <f>IF(B612="","",IF(OR(U612=0,V612=0,W612=0,X612=0,Y612=0,Z612=0,AA612=0,AB612=0,AC612=0,AD612=0,AE612=0,AF612=0,AG612=0),1,0))</f>
        <v/>
      </c>
    </row>
    <row r="613">
      <c r="A613" s="3">
        <f>IF(B613="","",ROW()-2)</f>
        <v/>
      </c>
      <c r="P613" s="4">
        <f>IF(B613="","",SUM(C613:O613))</f>
        <v/>
      </c>
      <c r="Q613" s="5">
        <f>IF(B613="","",ROUND(P613/13,2))</f>
        <v/>
      </c>
      <c r="R613" s="5">
        <f>IF(B613="","",IF(AH613=1,0,MIN(5,ROUND((U613+V613+W613+X613+Y613+Z613+AA613+AB613+AC613+AD613+AE613+AF613+AG613)/13,2))))</f>
        <v/>
      </c>
      <c r="S613" s="3">
        <f>IF(B613="","",IF(R613&gt;=5,"A+",IF(R613&gt;=4,"A",IF(R613&gt;=3.5,"A-",IF(R613&gt;=3,"B",IF(R613&gt;=2,"C",IF(R613&gt;=1,"D","F")))))))</f>
        <v/>
      </c>
      <c r="T613" s="3">
        <f>IF(OR(B613="",S613="F"),"",COUNTIFS(P:P,"&gt;"&amp;P613,S:S,"&lt;&gt;F")+1)</f>
        <v/>
      </c>
      <c r="U613">
        <f>IF(B613="","",IF(C613&lt;33.0,0,IF(C613&gt;=100*0.8,5,IF(C613&gt;=100*0.7,4,IF(C613&gt;=100*0.6,3.5,IF(C613&gt;=100*0.5,3,IF(C613&gt;=100*0.4,2,IF(C613&gt;=100*0.33,1,0))))))))</f>
        <v/>
      </c>
      <c r="V613">
        <f>IF(B613="","",IF(D613&lt;33.0,0,IF(D613&gt;=100*0.8,5,IF(D613&gt;=100*0.7,4,IF(D613&gt;=100*0.6,3.5,IF(D613&gt;=100*0.5,3,IF(D613&gt;=100*0.4,2,IF(D613&gt;=100*0.33,1,0))))))))</f>
        <v/>
      </c>
      <c r="W613">
        <f>IF(B613="","",IF(E613&lt;16.5,0,IF(E613&gt;=50*0.8,5,IF(E613&gt;=50*0.7,4,IF(E613&gt;=50*0.6,3.5,IF(E613&gt;=50*0.5,3,IF(E613&gt;=50*0.4,2,IF(E613&gt;=50*0.33,1,0))))))))</f>
        <v/>
      </c>
      <c r="X613">
        <f>IF(B613="","",IF(F613&lt;33.0,0,IF(F613&gt;=100*0.8,5,IF(F613&gt;=100*0.7,4,IF(F613&gt;=100*0.6,3.5,IF(F613&gt;=100*0.5,3,IF(F613&gt;=100*0.4,2,IF(F613&gt;=100*0.33,1,0))))))))</f>
        <v/>
      </c>
      <c r="Y613">
        <f>IF(B613="","",IF(G613&lt;16.5,0,IF(G613&gt;=50*0.8,5,IF(G613&gt;=50*0.7,4,IF(G613&gt;=50*0.6,3.5,IF(G613&gt;=50*0.5,3,IF(G613&gt;=50*0.4,2,IF(G613&gt;=50*0.33,1,0))))))))</f>
        <v/>
      </c>
      <c r="Z613">
        <f>IF(B613="","",IF(H613&lt;33.0,0,IF(H613&gt;=100*0.8,5,IF(H613&gt;=100*0.7,4,IF(H613&gt;=100*0.6,3.5,IF(H613&gt;=100*0.5,3,IF(H613&gt;=100*0.4,2,IF(H613&gt;=100*0.33,1,0))))))))</f>
        <v/>
      </c>
      <c r="AA613">
        <f>IF(B613="","",IF(I613&lt;33.0,0,IF(I613&gt;=100*0.8,5,IF(I613&gt;=100*0.7,4,IF(I613&gt;=100*0.6,3.5,IF(I613&gt;=100*0.5,3,IF(I613&gt;=100*0.4,2,IF(I613&gt;=100*0.33,1,0))))))))</f>
        <v/>
      </c>
      <c r="AB613">
        <f>IF(B613="","",IF(J613&lt;33.0,0,IF(J613&gt;=100*0.8,5,IF(J613&gt;=100*0.7,4,IF(J613&gt;=100*0.6,3.5,IF(J613&gt;=100*0.5,3,IF(J613&gt;=100*0.4,2,IF(J613&gt;=100*0.33,1,0))))))))</f>
        <v/>
      </c>
      <c r="AC613">
        <f>IF(B613="","",IF(K613&lt;33.0,0,IF(K613&gt;=100*0.8,5,IF(K613&gt;=100*0.7,4,IF(K613&gt;=100*0.6,3.5,IF(K613&gt;=100*0.5,3,IF(K613&gt;=100*0.4,2,IF(K613&gt;=100*0.33,1,0))))))))</f>
        <v/>
      </c>
      <c r="AD613">
        <f>IF(B613="","",IF(L613&lt;33.0,0,IF(L613&gt;=100*0.8,5,IF(L613&gt;=100*0.7,4,IF(L613&gt;=100*0.6,3.5,IF(L613&gt;=100*0.5,3,IF(L613&gt;=100*0.4,2,IF(L613&gt;=100*0.33,1,0))))))))</f>
        <v/>
      </c>
      <c r="AE613">
        <f>IF(B613="","",IF(M613&lt;33.0,0,IF(M613&gt;=100*0.8,5,IF(M613&gt;=100*0.7,4,IF(M613&gt;=100*0.6,3.5,IF(M613&gt;=100*0.5,3,IF(M613&gt;=100*0.4,2,IF(M613&gt;=100*0.33,1,0))))))))</f>
        <v/>
      </c>
      <c r="AF613">
        <f>IF(B613="","",IF(N613&lt;16.5,0,IF(N613&gt;=50*0.8,5,IF(N613&gt;=50*0.7,4,IF(N613&gt;=50*0.6,3.5,IF(N613&gt;=50*0.5,3,IF(N613&gt;=50*0.4,2,IF(N613&gt;=50*0.33,1,0))))))))</f>
        <v/>
      </c>
      <c r="AG613">
        <f>IF(B613="","",IF(O613&lt;33.0,0,IF(O613&gt;=100*0.8,5,IF(O613&gt;=100*0.7,4,IF(O613&gt;=100*0.6,3.5,IF(O613&gt;=100*0.5,3,IF(O613&gt;=100*0.4,2,IF(O613&gt;=100*0.33,1,0))))))))</f>
        <v/>
      </c>
      <c r="AH613">
        <f>IF(B613="","",IF(OR(U613=0,V613=0,W613=0,X613=0,Y613=0,Z613=0,AA613=0,AB613=0,AC613=0,AD613=0,AE613=0,AF613=0,AG613=0),1,0))</f>
        <v/>
      </c>
    </row>
    <row r="614">
      <c r="A614" s="3">
        <f>IF(B614="","",ROW()-2)</f>
        <v/>
      </c>
      <c r="P614" s="4">
        <f>IF(B614="","",SUM(C614:O614))</f>
        <v/>
      </c>
      <c r="Q614" s="5">
        <f>IF(B614="","",ROUND(P614/13,2))</f>
        <v/>
      </c>
      <c r="R614" s="5">
        <f>IF(B614="","",IF(AH614=1,0,MIN(5,ROUND((U614+V614+W614+X614+Y614+Z614+AA614+AB614+AC614+AD614+AE614+AF614+AG614)/13,2))))</f>
        <v/>
      </c>
      <c r="S614" s="3">
        <f>IF(B614="","",IF(R614&gt;=5,"A+",IF(R614&gt;=4,"A",IF(R614&gt;=3.5,"A-",IF(R614&gt;=3,"B",IF(R614&gt;=2,"C",IF(R614&gt;=1,"D","F")))))))</f>
        <v/>
      </c>
      <c r="T614" s="3">
        <f>IF(OR(B614="",S614="F"),"",COUNTIFS(P:P,"&gt;"&amp;P614,S:S,"&lt;&gt;F")+1)</f>
        <v/>
      </c>
      <c r="U614">
        <f>IF(B614="","",IF(C614&lt;33.0,0,IF(C614&gt;=100*0.8,5,IF(C614&gt;=100*0.7,4,IF(C614&gt;=100*0.6,3.5,IF(C614&gt;=100*0.5,3,IF(C614&gt;=100*0.4,2,IF(C614&gt;=100*0.33,1,0))))))))</f>
        <v/>
      </c>
      <c r="V614">
        <f>IF(B614="","",IF(D614&lt;33.0,0,IF(D614&gt;=100*0.8,5,IF(D614&gt;=100*0.7,4,IF(D614&gt;=100*0.6,3.5,IF(D614&gt;=100*0.5,3,IF(D614&gt;=100*0.4,2,IF(D614&gt;=100*0.33,1,0))))))))</f>
        <v/>
      </c>
      <c r="W614">
        <f>IF(B614="","",IF(E614&lt;16.5,0,IF(E614&gt;=50*0.8,5,IF(E614&gt;=50*0.7,4,IF(E614&gt;=50*0.6,3.5,IF(E614&gt;=50*0.5,3,IF(E614&gt;=50*0.4,2,IF(E614&gt;=50*0.33,1,0))))))))</f>
        <v/>
      </c>
      <c r="X614">
        <f>IF(B614="","",IF(F614&lt;33.0,0,IF(F614&gt;=100*0.8,5,IF(F614&gt;=100*0.7,4,IF(F614&gt;=100*0.6,3.5,IF(F614&gt;=100*0.5,3,IF(F614&gt;=100*0.4,2,IF(F614&gt;=100*0.33,1,0))))))))</f>
        <v/>
      </c>
      <c r="Y614">
        <f>IF(B614="","",IF(G614&lt;16.5,0,IF(G614&gt;=50*0.8,5,IF(G614&gt;=50*0.7,4,IF(G614&gt;=50*0.6,3.5,IF(G614&gt;=50*0.5,3,IF(G614&gt;=50*0.4,2,IF(G614&gt;=50*0.33,1,0))))))))</f>
        <v/>
      </c>
      <c r="Z614">
        <f>IF(B614="","",IF(H614&lt;33.0,0,IF(H614&gt;=100*0.8,5,IF(H614&gt;=100*0.7,4,IF(H614&gt;=100*0.6,3.5,IF(H614&gt;=100*0.5,3,IF(H614&gt;=100*0.4,2,IF(H614&gt;=100*0.33,1,0))))))))</f>
        <v/>
      </c>
      <c r="AA614">
        <f>IF(B614="","",IF(I614&lt;33.0,0,IF(I614&gt;=100*0.8,5,IF(I614&gt;=100*0.7,4,IF(I614&gt;=100*0.6,3.5,IF(I614&gt;=100*0.5,3,IF(I614&gt;=100*0.4,2,IF(I614&gt;=100*0.33,1,0))))))))</f>
        <v/>
      </c>
      <c r="AB614">
        <f>IF(B614="","",IF(J614&lt;33.0,0,IF(J614&gt;=100*0.8,5,IF(J614&gt;=100*0.7,4,IF(J614&gt;=100*0.6,3.5,IF(J614&gt;=100*0.5,3,IF(J614&gt;=100*0.4,2,IF(J614&gt;=100*0.33,1,0))))))))</f>
        <v/>
      </c>
      <c r="AC614">
        <f>IF(B614="","",IF(K614&lt;33.0,0,IF(K614&gt;=100*0.8,5,IF(K614&gt;=100*0.7,4,IF(K614&gt;=100*0.6,3.5,IF(K614&gt;=100*0.5,3,IF(K614&gt;=100*0.4,2,IF(K614&gt;=100*0.33,1,0))))))))</f>
        <v/>
      </c>
      <c r="AD614">
        <f>IF(B614="","",IF(L614&lt;33.0,0,IF(L614&gt;=100*0.8,5,IF(L614&gt;=100*0.7,4,IF(L614&gt;=100*0.6,3.5,IF(L614&gt;=100*0.5,3,IF(L614&gt;=100*0.4,2,IF(L614&gt;=100*0.33,1,0))))))))</f>
        <v/>
      </c>
      <c r="AE614">
        <f>IF(B614="","",IF(M614&lt;33.0,0,IF(M614&gt;=100*0.8,5,IF(M614&gt;=100*0.7,4,IF(M614&gt;=100*0.6,3.5,IF(M614&gt;=100*0.5,3,IF(M614&gt;=100*0.4,2,IF(M614&gt;=100*0.33,1,0))))))))</f>
        <v/>
      </c>
      <c r="AF614">
        <f>IF(B614="","",IF(N614&lt;16.5,0,IF(N614&gt;=50*0.8,5,IF(N614&gt;=50*0.7,4,IF(N614&gt;=50*0.6,3.5,IF(N614&gt;=50*0.5,3,IF(N614&gt;=50*0.4,2,IF(N614&gt;=50*0.33,1,0))))))))</f>
        <v/>
      </c>
      <c r="AG614">
        <f>IF(B614="","",IF(O614&lt;33.0,0,IF(O614&gt;=100*0.8,5,IF(O614&gt;=100*0.7,4,IF(O614&gt;=100*0.6,3.5,IF(O614&gt;=100*0.5,3,IF(O614&gt;=100*0.4,2,IF(O614&gt;=100*0.33,1,0))))))))</f>
        <v/>
      </c>
      <c r="AH614">
        <f>IF(B614="","",IF(OR(U614=0,V614=0,W614=0,X614=0,Y614=0,Z614=0,AA614=0,AB614=0,AC614=0,AD614=0,AE614=0,AF614=0,AG614=0),1,0))</f>
        <v/>
      </c>
    </row>
    <row r="615">
      <c r="A615" s="3">
        <f>IF(B615="","",ROW()-2)</f>
        <v/>
      </c>
      <c r="P615" s="4">
        <f>IF(B615="","",SUM(C615:O615))</f>
        <v/>
      </c>
      <c r="Q615" s="5">
        <f>IF(B615="","",ROUND(P615/13,2))</f>
        <v/>
      </c>
      <c r="R615" s="5">
        <f>IF(B615="","",IF(AH615=1,0,MIN(5,ROUND((U615+V615+W615+X615+Y615+Z615+AA615+AB615+AC615+AD615+AE615+AF615+AG615)/13,2))))</f>
        <v/>
      </c>
      <c r="S615" s="3">
        <f>IF(B615="","",IF(R615&gt;=5,"A+",IF(R615&gt;=4,"A",IF(R615&gt;=3.5,"A-",IF(R615&gt;=3,"B",IF(R615&gt;=2,"C",IF(R615&gt;=1,"D","F")))))))</f>
        <v/>
      </c>
      <c r="T615" s="3">
        <f>IF(OR(B615="",S615="F"),"",COUNTIFS(P:P,"&gt;"&amp;P615,S:S,"&lt;&gt;F")+1)</f>
        <v/>
      </c>
      <c r="U615">
        <f>IF(B615="","",IF(C615&lt;33.0,0,IF(C615&gt;=100*0.8,5,IF(C615&gt;=100*0.7,4,IF(C615&gt;=100*0.6,3.5,IF(C615&gt;=100*0.5,3,IF(C615&gt;=100*0.4,2,IF(C615&gt;=100*0.33,1,0))))))))</f>
        <v/>
      </c>
      <c r="V615">
        <f>IF(B615="","",IF(D615&lt;33.0,0,IF(D615&gt;=100*0.8,5,IF(D615&gt;=100*0.7,4,IF(D615&gt;=100*0.6,3.5,IF(D615&gt;=100*0.5,3,IF(D615&gt;=100*0.4,2,IF(D615&gt;=100*0.33,1,0))))))))</f>
        <v/>
      </c>
      <c r="W615">
        <f>IF(B615="","",IF(E615&lt;16.5,0,IF(E615&gt;=50*0.8,5,IF(E615&gt;=50*0.7,4,IF(E615&gt;=50*0.6,3.5,IF(E615&gt;=50*0.5,3,IF(E615&gt;=50*0.4,2,IF(E615&gt;=50*0.33,1,0))))))))</f>
        <v/>
      </c>
      <c r="X615">
        <f>IF(B615="","",IF(F615&lt;33.0,0,IF(F615&gt;=100*0.8,5,IF(F615&gt;=100*0.7,4,IF(F615&gt;=100*0.6,3.5,IF(F615&gt;=100*0.5,3,IF(F615&gt;=100*0.4,2,IF(F615&gt;=100*0.33,1,0))))))))</f>
        <v/>
      </c>
      <c r="Y615">
        <f>IF(B615="","",IF(G615&lt;16.5,0,IF(G615&gt;=50*0.8,5,IF(G615&gt;=50*0.7,4,IF(G615&gt;=50*0.6,3.5,IF(G615&gt;=50*0.5,3,IF(G615&gt;=50*0.4,2,IF(G615&gt;=50*0.33,1,0))))))))</f>
        <v/>
      </c>
      <c r="Z615">
        <f>IF(B615="","",IF(H615&lt;33.0,0,IF(H615&gt;=100*0.8,5,IF(H615&gt;=100*0.7,4,IF(H615&gt;=100*0.6,3.5,IF(H615&gt;=100*0.5,3,IF(H615&gt;=100*0.4,2,IF(H615&gt;=100*0.33,1,0))))))))</f>
        <v/>
      </c>
      <c r="AA615">
        <f>IF(B615="","",IF(I615&lt;33.0,0,IF(I615&gt;=100*0.8,5,IF(I615&gt;=100*0.7,4,IF(I615&gt;=100*0.6,3.5,IF(I615&gt;=100*0.5,3,IF(I615&gt;=100*0.4,2,IF(I615&gt;=100*0.33,1,0))))))))</f>
        <v/>
      </c>
      <c r="AB615">
        <f>IF(B615="","",IF(J615&lt;33.0,0,IF(J615&gt;=100*0.8,5,IF(J615&gt;=100*0.7,4,IF(J615&gt;=100*0.6,3.5,IF(J615&gt;=100*0.5,3,IF(J615&gt;=100*0.4,2,IF(J615&gt;=100*0.33,1,0))))))))</f>
        <v/>
      </c>
      <c r="AC615">
        <f>IF(B615="","",IF(K615&lt;33.0,0,IF(K615&gt;=100*0.8,5,IF(K615&gt;=100*0.7,4,IF(K615&gt;=100*0.6,3.5,IF(K615&gt;=100*0.5,3,IF(K615&gt;=100*0.4,2,IF(K615&gt;=100*0.33,1,0))))))))</f>
        <v/>
      </c>
      <c r="AD615">
        <f>IF(B615="","",IF(L615&lt;33.0,0,IF(L615&gt;=100*0.8,5,IF(L615&gt;=100*0.7,4,IF(L615&gt;=100*0.6,3.5,IF(L615&gt;=100*0.5,3,IF(L615&gt;=100*0.4,2,IF(L615&gt;=100*0.33,1,0))))))))</f>
        <v/>
      </c>
      <c r="AE615">
        <f>IF(B615="","",IF(M615&lt;33.0,0,IF(M615&gt;=100*0.8,5,IF(M615&gt;=100*0.7,4,IF(M615&gt;=100*0.6,3.5,IF(M615&gt;=100*0.5,3,IF(M615&gt;=100*0.4,2,IF(M615&gt;=100*0.33,1,0))))))))</f>
        <v/>
      </c>
      <c r="AF615">
        <f>IF(B615="","",IF(N615&lt;16.5,0,IF(N615&gt;=50*0.8,5,IF(N615&gt;=50*0.7,4,IF(N615&gt;=50*0.6,3.5,IF(N615&gt;=50*0.5,3,IF(N615&gt;=50*0.4,2,IF(N615&gt;=50*0.33,1,0))))))))</f>
        <v/>
      </c>
      <c r="AG615">
        <f>IF(B615="","",IF(O615&lt;33.0,0,IF(O615&gt;=100*0.8,5,IF(O615&gt;=100*0.7,4,IF(O615&gt;=100*0.6,3.5,IF(O615&gt;=100*0.5,3,IF(O615&gt;=100*0.4,2,IF(O615&gt;=100*0.33,1,0))))))))</f>
        <v/>
      </c>
      <c r="AH615">
        <f>IF(B615="","",IF(OR(U615=0,V615=0,W615=0,X615=0,Y615=0,Z615=0,AA615=0,AB615=0,AC615=0,AD615=0,AE615=0,AF615=0,AG615=0),1,0))</f>
        <v/>
      </c>
    </row>
    <row r="616">
      <c r="A616" s="3">
        <f>IF(B616="","",ROW()-2)</f>
        <v/>
      </c>
      <c r="P616" s="4">
        <f>IF(B616="","",SUM(C616:O616))</f>
        <v/>
      </c>
      <c r="Q616" s="5">
        <f>IF(B616="","",ROUND(P616/13,2))</f>
        <v/>
      </c>
      <c r="R616" s="5">
        <f>IF(B616="","",IF(AH616=1,0,MIN(5,ROUND((U616+V616+W616+X616+Y616+Z616+AA616+AB616+AC616+AD616+AE616+AF616+AG616)/13,2))))</f>
        <v/>
      </c>
      <c r="S616" s="3">
        <f>IF(B616="","",IF(R616&gt;=5,"A+",IF(R616&gt;=4,"A",IF(R616&gt;=3.5,"A-",IF(R616&gt;=3,"B",IF(R616&gt;=2,"C",IF(R616&gt;=1,"D","F")))))))</f>
        <v/>
      </c>
      <c r="T616" s="3">
        <f>IF(OR(B616="",S616="F"),"",COUNTIFS(P:P,"&gt;"&amp;P616,S:S,"&lt;&gt;F")+1)</f>
        <v/>
      </c>
      <c r="U616">
        <f>IF(B616="","",IF(C616&lt;33.0,0,IF(C616&gt;=100*0.8,5,IF(C616&gt;=100*0.7,4,IF(C616&gt;=100*0.6,3.5,IF(C616&gt;=100*0.5,3,IF(C616&gt;=100*0.4,2,IF(C616&gt;=100*0.33,1,0))))))))</f>
        <v/>
      </c>
      <c r="V616">
        <f>IF(B616="","",IF(D616&lt;33.0,0,IF(D616&gt;=100*0.8,5,IF(D616&gt;=100*0.7,4,IF(D616&gt;=100*0.6,3.5,IF(D616&gt;=100*0.5,3,IF(D616&gt;=100*0.4,2,IF(D616&gt;=100*0.33,1,0))))))))</f>
        <v/>
      </c>
      <c r="W616">
        <f>IF(B616="","",IF(E616&lt;16.5,0,IF(E616&gt;=50*0.8,5,IF(E616&gt;=50*0.7,4,IF(E616&gt;=50*0.6,3.5,IF(E616&gt;=50*0.5,3,IF(E616&gt;=50*0.4,2,IF(E616&gt;=50*0.33,1,0))))))))</f>
        <v/>
      </c>
      <c r="X616">
        <f>IF(B616="","",IF(F616&lt;33.0,0,IF(F616&gt;=100*0.8,5,IF(F616&gt;=100*0.7,4,IF(F616&gt;=100*0.6,3.5,IF(F616&gt;=100*0.5,3,IF(F616&gt;=100*0.4,2,IF(F616&gt;=100*0.33,1,0))))))))</f>
        <v/>
      </c>
      <c r="Y616">
        <f>IF(B616="","",IF(G616&lt;16.5,0,IF(G616&gt;=50*0.8,5,IF(G616&gt;=50*0.7,4,IF(G616&gt;=50*0.6,3.5,IF(G616&gt;=50*0.5,3,IF(G616&gt;=50*0.4,2,IF(G616&gt;=50*0.33,1,0))))))))</f>
        <v/>
      </c>
      <c r="Z616">
        <f>IF(B616="","",IF(H616&lt;33.0,0,IF(H616&gt;=100*0.8,5,IF(H616&gt;=100*0.7,4,IF(H616&gt;=100*0.6,3.5,IF(H616&gt;=100*0.5,3,IF(H616&gt;=100*0.4,2,IF(H616&gt;=100*0.33,1,0))))))))</f>
        <v/>
      </c>
      <c r="AA616">
        <f>IF(B616="","",IF(I616&lt;33.0,0,IF(I616&gt;=100*0.8,5,IF(I616&gt;=100*0.7,4,IF(I616&gt;=100*0.6,3.5,IF(I616&gt;=100*0.5,3,IF(I616&gt;=100*0.4,2,IF(I616&gt;=100*0.33,1,0))))))))</f>
        <v/>
      </c>
      <c r="AB616">
        <f>IF(B616="","",IF(J616&lt;33.0,0,IF(J616&gt;=100*0.8,5,IF(J616&gt;=100*0.7,4,IF(J616&gt;=100*0.6,3.5,IF(J616&gt;=100*0.5,3,IF(J616&gt;=100*0.4,2,IF(J616&gt;=100*0.33,1,0))))))))</f>
        <v/>
      </c>
      <c r="AC616">
        <f>IF(B616="","",IF(K616&lt;33.0,0,IF(K616&gt;=100*0.8,5,IF(K616&gt;=100*0.7,4,IF(K616&gt;=100*0.6,3.5,IF(K616&gt;=100*0.5,3,IF(K616&gt;=100*0.4,2,IF(K616&gt;=100*0.33,1,0))))))))</f>
        <v/>
      </c>
      <c r="AD616">
        <f>IF(B616="","",IF(L616&lt;33.0,0,IF(L616&gt;=100*0.8,5,IF(L616&gt;=100*0.7,4,IF(L616&gt;=100*0.6,3.5,IF(L616&gt;=100*0.5,3,IF(L616&gt;=100*0.4,2,IF(L616&gt;=100*0.33,1,0))))))))</f>
        <v/>
      </c>
      <c r="AE616">
        <f>IF(B616="","",IF(M616&lt;33.0,0,IF(M616&gt;=100*0.8,5,IF(M616&gt;=100*0.7,4,IF(M616&gt;=100*0.6,3.5,IF(M616&gt;=100*0.5,3,IF(M616&gt;=100*0.4,2,IF(M616&gt;=100*0.33,1,0))))))))</f>
        <v/>
      </c>
      <c r="AF616">
        <f>IF(B616="","",IF(N616&lt;16.5,0,IF(N616&gt;=50*0.8,5,IF(N616&gt;=50*0.7,4,IF(N616&gt;=50*0.6,3.5,IF(N616&gt;=50*0.5,3,IF(N616&gt;=50*0.4,2,IF(N616&gt;=50*0.33,1,0))))))))</f>
        <v/>
      </c>
      <c r="AG616">
        <f>IF(B616="","",IF(O616&lt;33.0,0,IF(O616&gt;=100*0.8,5,IF(O616&gt;=100*0.7,4,IF(O616&gt;=100*0.6,3.5,IF(O616&gt;=100*0.5,3,IF(O616&gt;=100*0.4,2,IF(O616&gt;=100*0.33,1,0))))))))</f>
        <v/>
      </c>
      <c r="AH616">
        <f>IF(B616="","",IF(OR(U616=0,V616=0,W616=0,X616=0,Y616=0,Z616=0,AA616=0,AB616=0,AC616=0,AD616=0,AE616=0,AF616=0,AG616=0),1,0))</f>
        <v/>
      </c>
    </row>
    <row r="617">
      <c r="A617" s="3">
        <f>IF(B617="","",ROW()-2)</f>
        <v/>
      </c>
      <c r="P617" s="4">
        <f>IF(B617="","",SUM(C617:O617))</f>
        <v/>
      </c>
      <c r="Q617" s="5">
        <f>IF(B617="","",ROUND(P617/13,2))</f>
        <v/>
      </c>
      <c r="R617" s="5">
        <f>IF(B617="","",IF(AH617=1,0,MIN(5,ROUND((U617+V617+W617+X617+Y617+Z617+AA617+AB617+AC617+AD617+AE617+AF617+AG617)/13,2))))</f>
        <v/>
      </c>
      <c r="S617" s="3">
        <f>IF(B617="","",IF(R617&gt;=5,"A+",IF(R617&gt;=4,"A",IF(R617&gt;=3.5,"A-",IF(R617&gt;=3,"B",IF(R617&gt;=2,"C",IF(R617&gt;=1,"D","F")))))))</f>
        <v/>
      </c>
      <c r="T617" s="3">
        <f>IF(OR(B617="",S617="F"),"",COUNTIFS(P:P,"&gt;"&amp;P617,S:S,"&lt;&gt;F")+1)</f>
        <v/>
      </c>
      <c r="U617">
        <f>IF(B617="","",IF(C617&lt;33.0,0,IF(C617&gt;=100*0.8,5,IF(C617&gt;=100*0.7,4,IF(C617&gt;=100*0.6,3.5,IF(C617&gt;=100*0.5,3,IF(C617&gt;=100*0.4,2,IF(C617&gt;=100*0.33,1,0))))))))</f>
        <v/>
      </c>
      <c r="V617">
        <f>IF(B617="","",IF(D617&lt;33.0,0,IF(D617&gt;=100*0.8,5,IF(D617&gt;=100*0.7,4,IF(D617&gt;=100*0.6,3.5,IF(D617&gt;=100*0.5,3,IF(D617&gt;=100*0.4,2,IF(D617&gt;=100*0.33,1,0))))))))</f>
        <v/>
      </c>
      <c r="W617">
        <f>IF(B617="","",IF(E617&lt;16.5,0,IF(E617&gt;=50*0.8,5,IF(E617&gt;=50*0.7,4,IF(E617&gt;=50*0.6,3.5,IF(E617&gt;=50*0.5,3,IF(E617&gt;=50*0.4,2,IF(E617&gt;=50*0.33,1,0))))))))</f>
        <v/>
      </c>
      <c r="X617">
        <f>IF(B617="","",IF(F617&lt;33.0,0,IF(F617&gt;=100*0.8,5,IF(F617&gt;=100*0.7,4,IF(F617&gt;=100*0.6,3.5,IF(F617&gt;=100*0.5,3,IF(F617&gt;=100*0.4,2,IF(F617&gt;=100*0.33,1,0))))))))</f>
        <v/>
      </c>
      <c r="Y617">
        <f>IF(B617="","",IF(G617&lt;16.5,0,IF(G617&gt;=50*0.8,5,IF(G617&gt;=50*0.7,4,IF(G617&gt;=50*0.6,3.5,IF(G617&gt;=50*0.5,3,IF(G617&gt;=50*0.4,2,IF(G617&gt;=50*0.33,1,0))))))))</f>
        <v/>
      </c>
      <c r="Z617">
        <f>IF(B617="","",IF(H617&lt;33.0,0,IF(H617&gt;=100*0.8,5,IF(H617&gt;=100*0.7,4,IF(H617&gt;=100*0.6,3.5,IF(H617&gt;=100*0.5,3,IF(H617&gt;=100*0.4,2,IF(H617&gt;=100*0.33,1,0))))))))</f>
        <v/>
      </c>
      <c r="AA617">
        <f>IF(B617="","",IF(I617&lt;33.0,0,IF(I617&gt;=100*0.8,5,IF(I617&gt;=100*0.7,4,IF(I617&gt;=100*0.6,3.5,IF(I617&gt;=100*0.5,3,IF(I617&gt;=100*0.4,2,IF(I617&gt;=100*0.33,1,0))))))))</f>
        <v/>
      </c>
      <c r="AB617">
        <f>IF(B617="","",IF(J617&lt;33.0,0,IF(J617&gt;=100*0.8,5,IF(J617&gt;=100*0.7,4,IF(J617&gt;=100*0.6,3.5,IF(J617&gt;=100*0.5,3,IF(J617&gt;=100*0.4,2,IF(J617&gt;=100*0.33,1,0))))))))</f>
        <v/>
      </c>
      <c r="AC617">
        <f>IF(B617="","",IF(K617&lt;33.0,0,IF(K617&gt;=100*0.8,5,IF(K617&gt;=100*0.7,4,IF(K617&gt;=100*0.6,3.5,IF(K617&gt;=100*0.5,3,IF(K617&gt;=100*0.4,2,IF(K617&gt;=100*0.33,1,0))))))))</f>
        <v/>
      </c>
      <c r="AD617">
        <f>IF(B617="","",IF(L617&lt;33.0,0,IF(L617&gt;=100*0.8,5,IF(L617&gt;=100*0.7,4,IF(L617&gt;=100*0.6,3.5,IF(L617&gt;=100*0.5,3,IF(L617&gt;=100*0.4,2,IF(L617&gt;=100*0.33,1,0))))))))</f>
        <v/>
      </c>
      <c r="AE617">
        <f>IF(B617="","",IF(M617&lt;33.0,0,IF(M617&gt;=100*0.8,5,IF(M617&gt;=100*0.7,4,IF(M617&gt;=100*0.6,3.5,IF(M617&gt;=100*0.5,3,IF(M617&gt;=100*0.4,2,IF(M617&gt;=100*0.33,1,0))))))))</f>
        <v/>
      </c>
      <c r="AF617">
        <f>IF(B617="","",IF(N617&lt;16.5,0,IF(N617&gt;=50*0.8,5,IF(N617&gt;=50*0.7,4,IF(N617&gt;=50*0.6,3.5,IF(N617&gt;=50*0.5,3,IF(N617&gt;=50*0.4,2,IF(N617&gt;=50*0.33,1,0))))))))</f>
        <v/>
      </c>
      <c r="AG617">
        <f>IF(B617="","",IF(O617&lt;33.0,0,IF(O617&gt;=100*0.8,5,IF(O617&gt;=100*0.7,4,IF(O617&gt;=100*0.6,3.5,IF(O617&gt;=100*0.5,3,IF(O617&gt;=100*0.4,2,IF(O617&gt;=100*0.33,1,0))))))))</f>
        <v/>
      </c>
      <c r="AH617">
        <f>IF(B617="","",IF(OR(U617=0,V617=0,W617=0,X617=0,Y617=0,Z617=0,AA617=0,AB617=0,AC617=0,AD617=0,AE617=0,AF617=0,AG617=0),1,0))</f>
        <v/>
      </c>
    </row>
    <row r="618">
      <c r="A618" s="3">
        <f>IF(B618="","",ROW()-2)</f>
        <v/>
      </c>
      <c r="P618" s="4">
        <f>IF(B618="","",SUM(C618:O618))</f>
        <v/>
      </c>
      <c r="Q618" s="5">
        <f>IF(B618="","",ROUND(P618/13,2))</f>
        <v/>
      </c>
      <c r="R618" s="5">
        <f>IF(B618="","",IF(AH618=1,0,MIN(5,ROUND((U618+V618+W618+X618+Y618+Z618+AA618+AB618+AC618+AD618+AE618+AF618+AG618)/13,2))))</f>
        <v/>
      </c>
      <c r="S618" s="3">
        <f>IF(B618="","",IF(R618&gt;=5,"A+",IF(R618&gt;=4,"A",IF(R618&gt;=3.5,"A-",IF(R618&gt;=3,"B",IF(R618&gt;=2,"C",IF(R618&gt;=1,"D","F")))))))</f>
        <v/>
      </c>
      <c r="T618" s="3">
        <f>IF(OR(B618="",S618="F"),"",COUNTIFS(P:P,"&gt;"&amp;P618,S:S,"&lt;&gt;F")+1)</f>
        <v/>
      </c>
      <c r="U618">
        <f>IF(B618="","",IF(C618&lt;33.0,0,IF(C618&gt;=100*0.8,5,IF(C618&gt;=100*0.7,4,IF(C618&gt;=100*0.6,3.5,IF(C618&gt;=100*0.5,3,IF(C618&gt;=100*0.4,2,IF(C618&gt;=100*0.33,1,0))))))))</f>
        <v/>
      </c>
      <c r="V618">
        <f>IF(B618="","",IF(D618&lt;33.0,0,IF(D618&gt;=100*0.8,5,IF(D618&gt;=100*0.7,4,IF(D618&gt;=100*0.6,3.5,IF(D618&gt;=100*0.5,3,IF(D618&gt;=100*0.4,2,IF(D618&gt;=100*0.33,1,0))))))))</f>
        <v/>
      </c>
      <c r="W618">
        <f>IF(B618="","",IF(E618&lt;16.5,0,IF(E618&gt;=50*0.8,5,IF(E618&gt;=50*0.7,4,IF(E618&gt;=50*0.6,3.5,IF(E618&gt;=50*0.5,3,IF(E618&gt;=50*0.4,2,IF(E618&gt;=50*0.33,1,0))))))))</f>
        <v/>
      </c>
      <c r="X618">
        <f>IF(B618="","",IF(F618&lt;33.0,0,IF(F618&gt;=100*0.8,5,IF(F618&gt;=100*0.7,4,IF(F618&gt;=100*0.6,3.5,IF(F618&gt;=100*0.5,3,IF(F618&gt;=100*0.4,2,IF(F618&gt;=100*0.33,1,0))))))))</f>
        <v/>
      </c>
      <c r="Y618">
        <f>IF(B618="","",IF(G618&lt;16.5,0,IF(G618&gt;=50*0.8,5,IF(G618&gt;=50*0.7,4,IF(G618&gt;=50*0.6,3.5,IF(G618&gt;=50*0.5,3,IF(G618&gt;=50*0.4,2,IF(G618&gt;=50*0.33,1,0))))))))</f>
        <v/>
      </c>
      <c r="Z618">
        <f>IF(B618="","",IF(H618&lt;33.0,0,IF(H618&gt;=100*0.8,5,IF(H618&gt;=100*0.7,4,IF(H618&gt;=100*0.6,3.5,IF(H618&gt;=100*0.5,3,IF(H618&gt;=100*0.4,2,IF(H618&gt;=100*0.33,1,0))))))))</f>
        <v/>
      </c>
      <c r="AA618">
        <f>IF(B618="","",IF(I618&lt;33.0,0,IF(I618&gt;=100*0.8,5,IF(I618&gt;=100*0.7,4,IF(I618&gt;=100*0.6,3.5,IF(I618&gt;=100*0.5,3,IF(I618&gt;=100*0.4,2,IF(I618&gt;=100*0.33,1,0))))))))</f>
        <v/>
      </c>
      <c r="AB618">
        <f>IF(B618="","",IF(J618&lt;33.0,0,IF(J618&gt;=100*0.8,5,IF(J618&gt;=100*0.7,4,IF(J618&gt;=100*0.6,3.5,IF(J618&gt;=100*0.5,3,IF(J618&gt;=100*0.4,2,IF(J618&gt;=100*0.33,1,0))))))))</f>
        <v/>
      </c>
      <c r="AC618">
        <f>IF(B618="","",IF(K618&lt;33.0,0,IF(K618&gt;=100*0.8,5,IF(K618&gt;=100*0.7,4,IF(K618&gt;=100*0.6,3.5,IF(K618&gt;=100*0.5,3,IF(K618&gt;=100*0.4,2,IF(K618&gt;=100*0.33,1,0))))))))</f>
        <v/>
      </c>
      <c r="AD618">
        <f>IF(B618="","",IF(L618&lt;33.0,0,IF(L618&gt;=100*0.8,5,IF(L618&gt;=100*0.7,4,IF(L618&gt;=100*0.6,3.5,IF(L618&gt;=100*0.5,3,IF(L618&gt;=100*0.4,2,IF(L618&gt;=100*0.33,1,0))))))))</f>
        <v/>
      </c>
      <c r="AE618">
        <f>IF(B618="","",IF(M618&lt;33.0,0,IF(M618&gt;=100*0.8,5,IF(M618&gt;=100*0.7,4,IF(M618&gt;=100*0.6,3.5,IF(M618&gt;=100*0.5,3,IF(M618&gt;=100*0.4,2,IF(M618&gt;=100*0.33,1,0))))))))</f>
        <v/>
      </c>
      <c r="AF618">
        <f>IF(B618="","",IF(N618&lt;16.5,0,IF(N618&gt;=50*0.8,5,IF(N618&gt;=50*0.7,4,IF(N618&gt;=50*0.6,3.5,IF(N618&gt;=50*0.5,3,IF(N618&gt;=50*0.4,2,IF(N618&gt;=50*0.33,1,0))))))))</f>
        <v/>
      </c>
      <c r="AG618">
        <f>IF(B618="","",IF(O618&lt;33.0,0,IF(O618&gt;=100*0.8,5,IF(O618&gt;=100*0.7,4,IF(O618&gt;=100*0.6,3.5,IF(O618&gt;=100*0.5,3,IF(O618&gt;=100*0.4,2,IF(O618&gt;=100*0.33,1,0))))))))</f>
        <v/>
      </c>
      <c r="AH618">
        <f>IF(B618="","",IF(OR(U618=0,V618=0,W618=0,X618=0,Y618=0,Z618=0,AA618=0,AB618=0,AC618=0,AD618=0,AE618=0,AF618=0,AG618=0),1,0))</f>
        <v/>
      </c>
    </row>
    <row r="619">
      <c r="A619" s="3">
        <f>IF(B619="","",ROW()-2)</f>
        <v/>
      </c>
      <c r="P619" s="4">
        <f>IF(B619="","",SUM(C619:O619))</f>
        <v/>
      </c>
      <c r="Q619" s="5">
        <f>IF(B619="","",ROUND(P619/13,2))</f>
        <v/>
      </c>
      <c r="R619" s="5">
        <f>IF(B619="","",IF(AH619=1,0,MIN(5,ROUND((U619+V619+W619+X619+Y619+Z619+AA619+AB619+AC619+AD619+AE619+AF619+AG619)/13,2))))</f>
        <v/>
      </c>
      <c r="S619" s="3">
        <f>IF(B619="","",IF(R619&gt;=5,"A+",IF(R619&gt;=4,"A",IF(R619&gt;=3.5,"A-",IF(R619&gt;=3,"B",IF(R619&gt;=2,"C",IF(R619&gt;=1,"D","F")))))))</f>
        <v/>
      </c>
      <c r="T619" s="3">
        <f>IF(OR(B619="",S619="F"),"",COUNTIFS(P:P,"&gt;"&amp;P619,S:S,"&lt;&gt;F")+1)</f>
        <v/>
      </c>
      <c r="U619">
        <f>IF(B619="","",IF(C619&lt;33.0,0,IF(C619&gt;=100*0.8,5,IF(C619&gt;=100*0.7,4,IF(C619&gt;=100*0.6,3.5,IF(C619&gt;=100*0.5,3,IF(C619&gt;=100*0.4,2,IF(C619&gt;=100*0.33,1,0))))))))</f>
        <v/>
      </c>
      <c r="V619">
        <f>IF(B619="","",IF(D619&lt;33.0,0,IF(D619&gt;=100*0.8,5,IF(D619&gt;=100*0.7,4,IF(D619&gt;=100*0.6,3.5,IF(D619&gt;=100*0.5,3,IF(D619&gt;=100*0.4,2,IF(D619&gt;=100*0.33,1,0))))))))</f>
        <v/>
      </c>
      <c r="W619">
        <f>IF(B619="","",IF(E619&lt;16.5,0,IF(E619&gt;=50*0.8,5,IF(E619&gt;=50*0.7,4,IF(E619&gt;=50*0.6,3.5,IF(E619&gt;=50*0.5,3,IF(E619&gt;=50*0.4,2,IF(E619&gt;=50*0.33,1,0))))))))</f>
        <v/>
      </c>
      <c r="X619">
        <f>IF(B619="","",IF(F619&lt;33.0,0,IF(F619&gt;=100*0.8,5,IF(F619&gt;=100*0.7,4,IF(F619&gt;=100*0.6,3.5,IF(F619&gt;=100*0.5,3,IF(F619&gt;=100*0.4,2,IF(F619&gt;=100*0.33,1,0))))))))</f>
        <v/>
      </c>
      <c r="Y619">
        <f>IF(B619="","",IF(G619&lt;16.5,0,IF(G619&gt;=50*0.8,5,IF(G619&gt;=50*0.7,4,IF(G619&gt;=50*0.6,3.5,IF(G619&gt;=50*0.5,3,IF(G619&gt;=50*0.4,2,IF(G619&gt;=50*0.33,1,0))))))))</f>
        <v/>
      </c>
      <c r="Z619">
        <f>IF(B619="","",IF(H619&lt;33.0,0,IF(H619&gt;=100*0.8,5,IF(H619&gt;=100*0.7,4,IF(H619&gt;=100*0.6,3.5,IF(H619&gt;=100*0.5,3,IF(H619&gt;=100*0.4,2,IF(H619&gt;=100*0.33,1,0))))))))</f>
        <v/>
      </c>
      <c r="AA619">
        <f>IF(B619="","",IF(I619&lt;33.0,0,IF(I619&gt;=100*0.8,5,IF(I619&gt;=100*0.7,4,IF(I619&gt;=100*0.6,3.5,IF(I619&gt;=100*0.5,3,IF(I619&gt;=100*0.4,2,IF(I619&gt;=100*0.33,1,0))))))))</f>
        <v/>
      </c>
      <c r="AB619">
        <f>IF(B619="","",IF(J619&lt;33.0,0,IF(J619&gt;=100*0.8,5,IF(J619&gt;=100*0.7,4,IF(J619&gt;=100*0.6,3.5,IF(J619&gt;=100*0.5,3,IF(J619&gt;=100*0.4,2,IF(J619&gt;=100*0.33,1,0))))))))</f>
        <v/>
      </c>
      <c r="AC619">
        <f>IF(B619="","",IF(K619&lt;33.0,0,IF(K619&gt;=100*0.8,5,IF(K619&gt;=100*0.7,4,IF(K619&gt;=100*0.6,3.5,IF(K619&gt;=100*0.5,3,IF(K619&gt;=100*0.4,2,IF(K619&gt;=100*0.33,1,0))))))))</f>
        <v/>
      </c>
      <c r="AD619">
        <f>IF(B619="","",IF(L619&lt;33.0,0,IF(L619&gt;=100*0.8,5,IF(L619&gt;=100*0.7,4,IF(L619&gt;=100*0.6,3.5,IF(L619&gt;=100*0.5,3,IF(L619&gt;=100*0.4,2,IF(L619&gt;=100*0.33,1,0))))))))</f>
        <v/>
      </c>
      <c r="AE619">
        <f>IF(B619="","",IF(M619&lt;33.0,0,IF(M619&gt;=100*0.8,5,IF(M619&gt;=100*0.7,4,IF(M619&gt;=100*0.6,3.5,IF(M619&gt;=100*0.5,3,IF(M619&gt;=100*0.4,2,IF(M619&gt;=100*0.33,1,0))))))))</f>
        <v/>
      </c>
      <c r="AF619">
        <f>IF(B619="","",IF(N619&lt;16.5,0,IF(N619&gt;=50*0.8,5,IF(N619&gt;=50*0.7,4,IF(N619&gt;=50*0.6,3.5,IF(N619&gt;=50*0.5,3,IF(N619&gt;=50*0.4,2,IF(N619&gt;=50*0.33,1,0))))))))</f>
        <v/>
      </c>
      <c r="AG619">
        <f>IF(B619="","",IF(O619&lt;33.0,0,IF(O619&gt;=100*0.8,5,IF(O619&gt;=100*0.7,4,IF(O619&gt;=100*0.6,3.5,IF(O619&gt;=100*0.5,3,IF(O619&gt;=100*0.4,2,IF(O619&gt;=100*0.33,1,0))))))))</f>
        <v/>
      </c>
      <c r="AH619">
        <f>IF(B619="","",IF(OR(U619=0,V619=0,W619=0,X619=0,Y619=0,Z619=0,AA619=0,AB619=0,AC619=0,AD619=0,AE619=0,AF619=0,AG619=0),1,0))</f>
        <v/>
      </c>
    </row>
    <row r="620">
      <c r="A620" s="3">
        <f>IF(B620="","",ROW()-2)</f>
        <v/>
      </c>
      <c r="P620" s="4">
        <f>IF(B620="","",SUM(C620:O620))</f>
        <v/>
      </c>
      <c r="Q620" s="5">
        <f>IF(B620="","",ROUND(P620/13,2))</f>
        <v/>
      </c>
      <c r="R620" s="5">
        <f>IF(B620="","",IF(AH620=1,0,MIN(5,ROUND((U620+V620+W620+X620+Y620+Z620+AA620+AB620+AC620+AD620+AE620+AF620+AG620)/13,2))))</f>
        <v/>
      </c>
      <c r="S620" s="3">
        <f>IF(B620="","",IF(R620&gt;=5,"A+",IF(R620&gt;=4,"A",IF(R620&gt;=3.5,"A-",IF(R620&gt;=3,"B",IF(R620&gt;=2,"C",IF(R620&gt;=1,"D","F")))))))</f>
        <v/>
      </c>
      <c r="T620" s="3">
        <f>IF(OR(B620="",S620="F"),"",COUNTIFS(P:P,"&gt;"&amp;P620,S:S,"&lt;&gt;F")+1)</f>
        <v/>
      </c>
      <c r="U620">
        <f>IF(B620="","",IF(C620&lt;33.0,0,IF(C620&gt;=100*0.8,5,IF(C620&gt;=100*0.7,4,IF(C620&gt;=100*0.6,3.5,IF(C620&gt;=100*0.5,3,IF(C620&gt;=100*0.4,2,IF(C620&gt;=100*0.33,1,0))))))))</f>
        <v/>
      </c>
      <c r="V620">
        <f>IF(B620="","",IF(D620&lt;33.0,0,IF(D620&gt;=100*0.8,5,IF(D620&gt;=100*0.7,4,IF(D620&gt;=100*0.6,3.5,IF(D620&gt;=100*0.5,3,IF(D620&gt;=100*0.4,2,IF(D620&gt;=100*0.33,1,0))))))))</f>
        <v/>
      </c>
      <c r="W620">
        <f>IF(B620="","",IF(E620&lt;16.5,0,IF(E620&gt;=50*0.8,5,IF(E620&gt;=50*0.7,4,IF(E620&gt;=50*0.6,3.5,IF(E620&gt;=50*0.5,3,IF(E620&gt;=50*0.4,2,IF(E620&gt;=50*0.33,1,0))))))))</f>
        <v/>
      </c>
      <c r="X620">
        <f>IF(B620="","",IF(F620&lt;33.0,0,IF(F620&gt;=100*0.8,5,IF(F620&gt;=100*0.7,4,IF(F620&gt;=100*0.6,3.5,IF(F620&gt;=100*0.5,3,IF(F620&gt;=100*0.4,2,IF(F620&gt;=100*0.33,1,0))))))))</f>
        <v/>
      </c>
      <c r="Y620">
        <f>IF(B620="","",IF(G620&lt;16.5,0,IF(G620&gt;=50*0.8,5,IF(G620&gt;=50*0.7,4,IF(G620&gt;=50*0.6,3.5,IF(G620&gt;=50*0.5,3,IF(G620&gt;=50*0.4,2,IF(G620&gt;=50*0.33,1,0))))))))</f>
        <v/>
      </c>
      <c r="Z620">
        <f>IF(B620="","",IF(H620&lt;33.0,0,IF(H620&gt;=100*0.8,5,IF(H620&gt;=100*0.7,4,IF(H620&gt;=100*0.6,3.5,IF(H620&gt;=100*0.5,3,IF(H620&gt;=100*0.4,2,IF(H620&gt;=100*0.33,1,0))))))))</f>
        <v/>
      </c>
      <c r="AA620">
        <f>IF(B620="","",IF(I620&lt;33.0,0,IF(I620&gt;=100*0.8,5,IF(I620&gt;=100*0.7,4,IF(I620&gt;=100*0.6,3.5,IF(I620&gt;=100*0.5,3,IF(I620&gt;=100*0.4,2,IF(I620&gt;=100*0.33,1,0))))))))</f>
        <v/>
      </c>
      <c r="AB620">
        <f>IF(B620="","",IF(J620&lt;33.0,0,IF(J620&gt;=100*0.8,5,IF(J620&gt;=100*0.7,4,IF(J620&gt;=100*0.6,3.5,IF(J620&gt;=100*0.5,3,IF(J620&gt;=100*0.4,2,IF(J620&gt;=100*0.33,1,0))))))))</f>
        <v/>
      </c>
      <c r="AC620">
        <f>IF(B620="","",IF(K620&lt;33.0,0,IF(K620&gt;=100*0.8,5,IF(K620&gt;=100*0.7,4,IF(K620&gt;=100*0.6,3.5,IF(K620&gt;=100*0.5,3,IF(K620&gt;=100*0.4,2,IF(K620&gt;=100*0.33,1,0))))))))</f>
        <v/>
      </c>
      <c r="AD620">
        <f>IF(B620="","",IF(L620&lt;33.0,0,IF(L620&gt;=100*0.8,5,IF(L620&gt;=100*0.7,4,IF(L620&gt;=100*0.6,3.5,IF(L620&gt;=100*0.5,3,IF(L620&gt;=100*0.4,2,IF(L620&gt;=100*0.33,1,0))))))))</f>
        <v/>
      </c>
      <c r="AE620">
        <f>IF(B620="","",IF(M620&lt;33.0,0,IF(M620&gt;=100*0.8,5,IF(M620&gt;=100*0.7,4,IF(M620&gt;=100*0.6,3.5,IF(M620&gt;=100*0.5,3,IF(M620&gt;=100*0.4,2,IF(M620&gt;=100*0.33,1,0))))))))</f>
        <v/>
      </c>
      <c r="AF620">
        <f>IF(B620="","",IF(N620&lt;16.5,0,IF(N620&gt;=50*0.8,5,IF(N620&gt;=50*0.7,4,IF(N620&gt;=50*0.6,3.5,IF(N620&gt;=50*0.5,3,IF(N620&gt;=50*0.4,2,IF(N620&gt;=50*0.33,1,0))))))))</f>
        <v/>
      </c>
      <c r="AG620">
        <f>IF(B620="","",IF(O620&lt;33.0,0,IF(O620&gt;=100*0.8,5,IF(O620&gt;=100*0.7,4,IF(O620&gt;=100*0.6,3.5,IF(O620&gt;=100*0.5,3,IF(O620&gt;=100*0.4,2,IF(O620&gt;=100*0.33,1,0))))))))</f>
        <v/>
      </c>
      <c r="AH620">
        <f>IF(B620="","",IF(OR(U620=0,V620=0,W620=0,X620=0,Y620=0,Z620=0,AA620=0,AB620=0,AC620=0,AD620=0,AE620=0,AF620=0,AG620=0),1,0))</f>
        <v/>
      </c>
    </row>
    <row r="621">
      <c r="A621" s="3">
        <f>IF(B621="","",ROW()-2)</f>
        <v/>
      </c>
      <c r="P621" s="4">
        <f>IF(B621="","",SUM(C621:O621))</f>
        <v/>
      </c>
      <c r="Q621" s="5">
        <f>IF(B621="","",ROUND(P621/13,2))</f>
        <v/>
      </c>
      <c r="R621" s="5">
        <f>IF(B621="","",IF(AH621=1,0,MIN(5,ROUND((U621+V621+W621+X621+Y621+Z621+AA621+AB621+AC621+AD621+AE621+AF621+AG621)/13,2))))</f>
        <v/>
      </c>
      <c r="S621" s="3">
        <f>IF(B621="","",IF(R621&gt;=5,"A+",IF(R621&gt;=4,"A",IF(R621&gt;=3.5,"A-",IF(R621&gt;=3,"B",IF(R621&gt;=2,"C",IF(R621&gt;=1,"D","F")))))))</f>
        <v/>
      </c>
      <c r="T621" s="3">
        <f>IF(OR(B621="",S621="F"),"",COUNTIFS(P:P,"&gt;"&amp;P621,S:S,"&lt;&gt;F")+1)</f>
        <v/>
      </c>
      <c r="U621">
        <f>IF(B621="","",IF(C621&lt;33.0,0,IF(C621&gt;=100*0.8,5,IF(C621&gt;=100*0.7,4,IF(C621&gt;=100*0.6,3.5,IF(C621&gt;=100*0.5,3,IF(C621&gt;=100*0.4,2,IF(C621&gt;=100*0.33,1,0))))))))</f>
        <v/>
      </c>
      <c r="V621">
        <f>IF(B621="","",IF(D621&lt;33.0,0,IF(D621&gt;=100*0.8,5,IF(D621&gt;=100*0.7,4,IF(D621&gt;=100*0.6,3.5,IF(D621&gt;=100*0.5,3,IF(D621&gt;=100*0.4,2,IF(D621&gt;=100*0.33,1,0))))))))</f>
        <v/>
      </c>
      <c r="W621">
        <f>IF(B621="","",IF(E621&lt;16.5,0,IF(E621&gt;=50*0.8,5,IF(E621&gt;=50*0.7,4,IF(E621&gt;=50*0.6,3.5,IF(E621&gt;=50*0.5,3,IF(E621&gt;=50*0.4,2,IF(E621&gt;=50*0.33,1,0))))))))</f>
        <v/>
      </c>
      <c r="X621">
        <f>IF(B621="","",IF(F621&lt;33.0,0,IF(F621&gt;=100*0.8,5,IF(F621&gt;=100*0.7,4,IF(F621&gt;=100*0.6,3.5,IF(F621&gt;=100*0.5,3,IF(F621&gt;=100*0.4,2,IF(F621&gt;=100*0.33,1,0))))))))</f>
        <v/>
      </c>
      <c r="Y621">
        <f>IF(B621="","",IF(G621&lt;16.5,0,IF(G621&gt;=50*0.8,5,IF(G621&gt;=50*0.7,4,IF(G621&gt;=50*0.6,3.5,IF(G621&gt;=50*0.5,3,IF(G621&gt;=50*0.4,2,IF(G621&gt;=50*0.33,1,0))))))))</f>
        <v/>
      </c>
      <c r="Z621">
        <f>IF(B621="","",IF(H621&lt;33.0,0,IF(H621&gt;=100*0.8,5,IF(H621&gt;=100*0.7,4,IF(H621&gt;=100*0.6,3.5,IF(H621&gt;=100*0.5,3,IF(H621&gt;=100*0.4,2,IF(H621&gt;=100*0.33,1,0))))))))</f>
        <v/>
      </c>
      <c r="AA621">
        <f>IF(B621="","",IF(I621&lt;33.0,0,IF(I621&gt;=100*0.8,5,IF(I621&gt;=100*0.7,4,IF(I621&gt;=100*0.6,3.5,IF(I621&gt;=100*0.5,3,IF(I621&gt;=100*0.4,2,IF(I621&gt;=100*0.33,1,0))))))))</f>
        <v/>
      </c>
      <c r="AB621">
        <f>IF(B621="","",IF(J621&lt;33.0,0,IF(J621&gt;=100*0.8,5,IF(J621&gt;=100*0.7,4,IF(J621&gt;=100*0.6,3.5,IF(J621&gt;=100*0.5,3,IF(J621&gt;=100*0.4,2,IF(J621&gt;=100*0.33,1,0))))))))</f>
        <v/>
      </c>
      <c r="AC621">
        <f>IF(B621="","",IF(K621&lt;33.0,0,IF(K621&gt;=100*0.8,5,IF(K621&gt;=100*0.7,4,IF(K621&gt;=100*0.6,3.5,IF(K621&gt;=100*0.5,3,IF(K621&gt;=100*0.4,2,IF(K621&gt;=100*0.33,1,0))))))))</f>
        <v/>
      </c>
      <c r="AD621">
        <f>IF(B621="","",IF(L621&lt;33.0,0,IF(L621&gt;=100*0.8,5,IF(L621&gt;=100*0.7,4,IF(L621&gt;=100*0.6,3.5,IF(L621&gt;=100*0.5,3,IF(L621&gt;=100*0.4,2,IF(L621&gt;=100*0.33,1,0))))))))</f>
        <v/>
      </c>
      <c r="AE621">
        <f>IF(B621="","",IF(M621&lt;33.0,0,IF(M621&gt;=100*0.8,5,IF(M621&gt;=100*0.7,4,IF(M621&gt;=100*0.6,3.5,IF(M621&gt;=100*0.5,3,IF(M621&gt;=100*0.4,2,IF(M621&gt;=100*0.33,1,0))))))))</f>
        <v/>
      </c>
      <c r="AF621">
        <f>IF(B621="","",IF(N621&lt;16.5,0,IF(N621&gt;=50*0.8,5,IF(N621&gt;=50*0.7,4,IF(N621&gt;=50*0.6,3.5,IF(N621&gt;=50*0.5,3,IF(N621&gt;=50*0.4,2,IF(N621&gt;=50*0.33,1,0))))))))</f>
        <v/>
      </c>
      <c r="AG621">
        <f>IF(B621="","",IF(O621&lt;33.0,0,IF(O621&gt;=100*0.8,5,IF(O621&gt;=100*0.7,4,IF(O621&gt;=100*0.6,3.5,IF(O621&gt;=100*0.5,3,IF(O621&gt;=100*0.4,2,IF(O621&gt;=100*0.33,1,0))))))))</f>
        <v/>
      </c>
      <c r="AH621">
        <f>IF(B621="","",IF(OR(U621=0,V621=0,W621=0,X621=0,Y621=0,Z621=0,AA621=0,AB621=0,AC621=0,AD621=0,AE621=0,AF621=0,AG621=0),1,0))</f>
        <v/>
      </c>
    </row>
    <row r="622">
      <c r="A622" s="3">
        <f>IF(B622="","",ROW()-2)</f>
        <v/>
      </c>
      <c r="P622" s="4">
        <f>IF(B622="","",SUM(C622:O622))</f>
        <v/>
      </c>
      <c r="Q622" s="5">
        <f>IF(B622="","",ROUND(P622/13,2))</f>
        <v/>
      </c>
      <c r="R622" s="5">
        <f>IF(B622="","",IF(AH622=1,0,MIN(5,ROUND((U622+V622+W622+X622+Y622+Z622+AA622+AB622+AC622+AD622+AE622+AF622+AG622)/13,2))))</f>
        <v/>
      </c>
      <c r="S622" s="3">
        <f>IF(B622="","",IF(R622&gt;=5,"A+",IF(R622&gt;=4,"A",IF(R622&gt;=3.5,"A-",IF(R622&gt;=3,"B",IF(R622&gt;=2,"C",IF(R622&gt;=1,"D","F")))))))</f>
        <v/>
      </c>
      <c r="T622" s="3">
        <f>IF(OR(B622="",S622="F"),"",COUNTIFS(P:P,"&gt;"&amp;P622,S:S,"&lt;&gt;F")+1)</f>
        <v/>
      </c>
      <c r="U622">
        <f>IF(B622="","",IF(C622&lt;33.0,0,IF(C622&gt;=100*0.8,5,IF(C622&gt;=100*0.7,4,IF(C622&gt;=100*0.6,3.5,IF(C622&gt;=100*0.5,3,IF(C622&gt;=100*0.4,2,IF(C622&gt;=100*0.33,1,0))))))))</f>
        <v/>
      </c>
      <c r="V622">
        <f>IF(B622="","",IF(D622&lt;33.0,0,IF(D622&gt;=100*0.8,5,IF(D622&gt;=100*0.7,4,IF(D622&gt;=100*0.6,3.5,IF(D622&gt;=100*0.5,3,IF(D622&gt;=100*0.4,2,IF(D622&gt;=100*0.33,1,0))))))))</f>
        <v/>
      </c>
      <c r="W622">
        <f>IF(B622="","",IF(E622&lt;16.5,0,IF(E622&gt;=50*0.8,5,IF(E622&gt;=50*0.7,4,IF(E622&gt;=50*0.6,3.5,IF(E622&gt;=50*0.5,3,IF(E622&gt;=50*0.4,2,IF(E622&gt;=50*0.33,1,0))))))))</f>
        <v/>
      </c>
      <c r="X622">
        <f>IF(B622="","",IF(F622&lt;33.0,0,IF(F622&gt;=100*0.8,5,IF(F622&gt;=100*0.7,4,IF(F622&gt;=100*0.6,3.5,IF(F622&gt;=100*0.5,3,IF(F622&gt;=100*0.4,2,IF(F622&gt;=100*0.33,1,0))))))))</f>
        <v/>
      </c>
      <c r="Y622">
        <f>IF(B622="","",IF(G622&lt;16.5,0,IF(G622&gt;=50*0.8,5,IF(G622&gt;=50*0.7,4,IF(G622&gt;=50*0.6,3.5,IF(G622&gt;=50*0.5,3,IF(G622&gt;=50*0.4,2,IF(G622&gt;=50*0.33,1,0))))))))</f>
        <v/>
      </c>
      <c r="Z622">
        <f>IF(B622="","",IF(H622&lt;33.0,0,IF(H622&gt;=100*0.8,5,IF(H622&gt;=100*0.7,4,IF(H622&gt;=100*0.6,3.5,IF(H622&gt;=100*0.5,3,IF(H622&gt;=100*0.4,2,IF(H622&gt;=100*0.33,1,0))))))))</f>
        <v/>
      </c>
      <c r="AA622">
        <f>IF(B622="","",IF(I622&lt;33.0,0,IF(I622&gt;=100*0.8,5,IF(I622&gt;=100*0.7,4,IF(I622&gt;=100*0.6,3.5,IF(I622&gt;=100*0.5,3,IF(I622&gt;=100*0.4,2,IF(I622&gt;=100*0.33,1,0))))))))</f>
        <v/>
      </c>
      <c r="AB622">
        <f>IF(B622="","",IF(J622&lt;33.0,0,IF(J622&gt;=100*0.8,5,IF(J622&gt;=100*0.7,4,IF(J622&gt;=100*0.6,3.5,IF(J622&gt;=100*0.5,3,IF(J622&gt;=100*0.4,2,IF(J622&gt;=100*0.33,1,0))))))))</f>
        <v/>
      </c>
      <c r="AC622">
        <f>IF(B622="","",IF(K622&lt;33.0,0,IF(K622&gt;=100*0.8,5,IF(K622&gt;=100*0.7,4,IF(K622&gt;=100*0.6,3.5,IF(K622&gt;=100*0.5,3,IF(K622&gt;=100*0.4,2,IF(K622&gt;=100*0.33,1,0))))))))</f>
        <v/>
      </c>
      <c r="AD622">
        <f>IF(B622="","",IF(L622&lt;33.0,0,IF(L622&gt;=100*0.8,5,IF(L622&gt;=100*0.7,4,IF(L622&gt;=100*0.6,3.5,IF(L622&gt;=100*0.5,3,IF(L622&gt;=100*0.4,2,IF(L622&gt;=100*0.33,1,0))))))))</f>
        <v/>
      </c>
      <c r="AE622">
        <f>IF(B622="","",IF(M622&lt;33.0,0,IF(M622&gt;=100*0.8,5,IF(M622&gt;=100*0.7,4,IF(M622&gt;=100*0.6,3.5,IF(M622&gt;=100*0.5,3,IF(M622&gt;=100*0.4,2,IF(M622&gt;=100*0.33,1,0))))))))</f>
        <v/>
      </c>
      <c r="AF622">
        <f>IF(B622="","",IF(N622&lt;16.5,0,IF(N622&gt;=50*0.8,5,IF(N622&gt;=50*0.7,4,IF(N622&gt;=50*0.6,3.5,IF(N622&gt;=50*0.5,3,IF(N622&gt;=50*0.4,2,IF(N622&gt;=50*0.33,1,0))))))))</f>
        <v/>
      </c>
      <c r="AG622">
        <f>IF(B622="","",IF(O622&lt;33.0,0,IF(O622&gt;=100*0.8,5,IF(O622&gt;=100*0.7,4,IF(O622&gt;=100*0.6,3.5,IF(O622&gt;=100*0.5,3,IF(O622&gt;=100*0.4,2,IF(O622&gt;=100*0.33,1,0))))))))</f>
        <v/>
      </c>
      <c r="AH622">
        <f>IF(B622="","",IF(OR(U622=0,V622=0,W622=0,X622=0,Y622=0,Z622=0,AA622=0,AB622=0,AC622=0,AD622=0,AE622=0,AF622=0,AG622=0),1,0))</f>
        <v/>
      </c>
    </row>
    <row r="623">
      <c r="A623" s="3">
        <f>IF(B623="","",ROW()-2)</f>
        <v/>
      </c>
      <c r="P623" s="4">
        <f>IF(B623="","",SUM(C623:O623))</f>
        <v/>
      </c>
      <c r="Q623" s="5">
        <f>IF(B623="","",ROUND(P623/13,2))</f>
        <v/>
      </c>
      <c r="R623" s="5">
        <f>IF(B623="","",IF(AH623=1,0,MIN(5,ROUND((U623+V623+W623+X623+Y623+Z623+AA623+AB623+AC623+AD623+AE623+AF623+AG623)/13,2))))</f>
        <v/>
      </c>
      <c r="S623" s="3">
        <f>IF(B623="","",IF(R623&gt;=5,"A+",IF(R623&gt;=4,"A",IF(R623&gt;=3.5,"A-",IF(R623&gt;=3,"B",IF(R623&gt;=2,"C",IF(R623&gt;=1,"D","F")))))))</f>
        <v/>
      </c>
      <c r="T623" s="3">
        <f>IF(OR(B623="",S623="F"),"",COUNTIFS(P:P,"&gt;"&amp;P623,S:S,"&lt;&gt;F")+1)</f>
        <v/>
      </c>
      <c r="U623">
        <f>IF(B623="","",IF(C623&lt;33.0,0,IF(C623&gt;=100*0.8,5,IF(C623&gt;=100*0.7,4,IF(C623&gt;=100*0.6,3.5,IF(C623&gt;=100*0.5,3,IF(C623&gt;=100*0.4,2,IF(C623&gt;=100*0.33,1,0))))))))</f>
        <v/>
      </c>
      <c r="V623">
        <f>IF(B623="","",IF(D623&lt;33.0,0,IF(D623&gt;=100*0.8,5,IF(D623&gt;=100*0.7,4,IF(D623&gt;=100*0.6,3.5,IF(D623&gt;=100*0.5,3,IF(D623&gt;=100*0.4,2,IF(D623&gt;=100*0.33,1,0))))))))</f>
        <v/>
      </c>
      <c r="W623">
        <f>IF(B623="","",IF(E623&lt;16.5,0,IF(E623&gt;=50*0.8,5,IF(E623&gt;=50*0.7,4,IF(E623&gt;=50*0.6,3.5,IF(E623&gt;=50*0.5,3,IF(E623&gt;=50*0.4,2,IF(E623&gt;=50*0.33,1,0))))))))</f>
        <v/>
      </c>
      <c r="X623">
        <f>IF(B623="","",IF(F623&lt;33.0,0,IF(F623&gt;=100*0.8,5,IF(F623&gt;=100*0.7,4,IF(F623&gt;=100*0.6,3.5,IF(F623&gt;=100*0.5,3,IF(F623&gt;=100*0.4,2,IF(F623&gt;=100*0.33,1,0))))))))</f>
        <v/>
      </c>
      <c r="Y623">
        <f>IF(B623="","",IF(G623&lt;16.5,0,IF(G623&gt;=50*0.8,5,IF(G623&gt;=50*0.7,4,IF(G623&gt;=50*0.6,3.5,IF(G623&gt;=50*0.5,3,IF(G623&gt;=50*0.4,2,IF(G623&gt;=50*0.33,1,0))))))))</f>
        <v/>
      </c>
      <c r="Z623">
        <f>IF(B623="","",IF(H623&lt;33.0,0,IF(H623&gt;=100*0.8,5,IF(H623&gt;=100*0.7,4,IF(H623&gt;=100*0.6,3.5,IF(H623&gt;=100*0.5,3,IF(H623&gt;=100*0.4,2,IF(H623&gt;=100*0.33,1,0))))))))</f>
        <v/>
      </c>
      <c r="AA623">
        <f>IF(B623="","",IF(I623&lt;33.0,0,IF(I623&gt;=100*0.8,5,IF(I623&gt;=100*0.7,4,IF(I623&gt;=100*0.6,3.5,IF(I623&gt;=100*0.5,3,IF(I623&gt;=100*0.4,2,IF(I623&gt;=100*0.33,1,0))))))))</f>
        <v/>
      </c>
      <c r="AB623">
        <f>IF(B623="","",IF(J623&lt;33.0,0,IF(J623&gt;=100*0.8,5,IF(J623&gt;=100*0.7,4,IF(J623&gt;=100*0.6,3.5,IF(J623&gt;=100*0.5,3,IF(J623&gt;=100*0.4,2,IF(J623&gt;=100*0.33,1,0))))))))</f>
        <v/>
      </c>
      <c r="AC623">
        <f>IF(B623="","",IF(K623&lt;33.0,0,IF(K623&gt;=100*0.8,5,IF(K623&gt;=100*0.7,4,IF(K623&gt;=100*0.6,3.5,IF(K623&gt;=100*0.5,3,IF(K623&gt;=100*0.4,2,IF(K623&gt;=100*0.33,1,0))))))))</f>
        <v/>
      </c>
      <c r="AD623">
        <f>IF(B623="","",IF(L623&lt;33.0,0,IF(L623&gt;=100*0.8,5,IF(L623&gt;=100*0.7,4,IF(L623&gt;=100*0.6,3.5,IF(L623&gt;=100*0.5,3,IF(L623&gt;=100*0.4,2,IF(L623&gt;=100*0.33,1,0))))))))</f>
        <v/>
      </c>
      <c r="AE623">
        <f>IF(B623="","",IF(M623&lt;33.0,0,IF(M623&gt;=100*0.8,5,IF(M623&gt;=100*0.7,4,IF(M623&gt;=100*0.6,3.5,IF(M623&gt;=100*0.5,3,IF(M623&gt;=100*0.4,2,IF(M623&gt;=100*0.33,1,0))))))))</f>
        <v/>
      </c>
      <c r="AF623">
        <f>IF(B623="","",IF(N623&lt;16.5,0,IF(N623&gt;=50*0.8,5,IF(N623&gt;=50*0.7,4,IF(N623&gt;=50*0.6,3.5,IF(N623&gt;=50*0.5,3,IF(N623&gt;=50*0.4,2,IF(N623&gt;=50*0.33,1,0))))))))</f>
        <v/>
      </c>
      <c r="AG623">
        <f>IF(B623="","",IF(O623&lt;33.0,0,IF(O623&gt;=100*0.8,5,IF(O623&gt;=100*0.7,4,IF(O623&gt;=100*0.6,3.5,IF(O623&gt;=100*0.5,3,IF(O623&gt;=100*0.4,2,IF(O623&gt;=100*0.33,1,0))))))))</f>
        <v/>
      </c>
      <c r="AH623">
        <f>IF(B623="","",IF(OR(U623=0,V623=0,W623=0,X623=0,Y623=0,Z623=0,AA623=0,AB623=0,AC623=0,AD623=0,AE623=0,AF623=0,AG623=0),1,0))</f>
        <v/>
      </c>
    </row>
    <row r="624">
      <c r="A624" s="3">
        <f>IF(B624="","",ROW()-2)</f>
        <v/>
      </c>
      <c r="P624" s="4">
        <f>IF(B624="","",SUM(C624:O624))</f>
        <v/>
      </c>
      <c r="Q624" s="5">
        <f>IF(B624="","",ROUND(P624/13,2))</f>
        <v/>
      </c>
      <c r="R624" s="5">
        <f>IF(B624="","",IF(AH624=1,0,MIN(5,ROUND((U624+V624+W624+X624+Y624+Z624+AA624+AB624+AC624+AD624+AE624+AF624+AG624)/13,2))))</f>
        <v/>
      </c>
      <c r="S624" s="3">
        <f>IF(B624="","",IF(R624&gt;=5,"A+",IF(R624&gt;=4,"A",IF(R624&gt;=3.5,"A-",IF(R624&gt;=3,"B",IF(R624&gt;=2,"C",IF(R624&gt;=1,"D","F")))))))</f>
        <v/>
      </c>
      <c r="T624" s="3">
        <f>IF(OR(B624="",S624="F"),"",COUNTIFS(P:P,"&gt;"&amp;P624,S:S,"&lt;&gt;F")+1)</f>
        <v/>
      </c>
      <c r="U624">
        <f>IF(B624="","",IF(C624&lt;33.0,0,IF(C624&gt;=100*0.8,5,IF(C624&gt;=100*0.7,4,IF(C624&gt;=100*0.6,3.5,IF(C624&gt;=100*0.5,3,IF(C624&gt;=100*0.4,2,IF(C624&gt;=100*0.33,1,0))))))))</f>
        <v/>
      </c>
      <c r="V624">
        <f>IF(B624="","",IF(D624&lt;33.0,0,IF(D624&gt;=100*0.8,5,IF(D624&gt;=100*0.7,4,IF(D624&gt;=100*0.6,3.5,IF(D624&gt;=100*0.5,3,IF(D624&gt;=100*0.4,2,IF(D624&gt;=100*0.33,1,0))))))))</f>
        <v/>
      </c>
      <c r="W624">
        <f>IF(B624="","",IF(E624&lt;16.5,0,IF(E624&gt;=50*0.8,5,IF(E624&gt;=50*0.7,4,IF(E624&gt;=50*0.6,3.5,IF(E624&gt;=50*0.5,3,IF(E624&gt;=50*0.4,2,IF(E624&gt;=50*0.33,1,0))))))))</f>
        <v/>
      </c>
      <c r="X624">
        <f>IF(B624="","",IF(F624&lt;33.0,0,IF(F624&gt;=100*0.8,5,IF(F624&gt;=100*0.7,4,IF(F624&gt;=100*0.6,3.5,IF(F624&gt;=100*0.5,3,IF(F624&gt;=100*0.4,2,IF(F624&gt;=100*0.33,1,0))))))))</f>
        <v/>
      </c>
      <c r="Y624">
        <f>IF(B624="","",IF(G624&lt;16.5,0,IF(G624&gt;=50*0.8,5,IF(G624&gt;=50*0.7,4,IF(G624&gt;=50*0.6,3.5,IF(G624&gt;=50*0.5,3,IF(G624&gt;=50*0.4,2,IF(G624&gt;=50*0.33,1,0))))))))</f>
        <v/>
      </c>
      <c r="Z624">
        <f>IF(B624="","",IF(H624&lt;33.0,0,IF(H624&gt;=100*0.8,5,IF(H624&gt;=100*0.7,4,IF(H624&gt;=100*0.6,3.5,IF(H624&gt;=100*0.5,3,IF(H624&gt;=100*0.4,2,IF(H624&gt;=100*0.33,1,0))))))))</f>
        <v/>
      </c>
      <c r="AA624">
        <f>IF(B624="","",IF(I624&lt;33.0,0,IF(I624&gt;=100*0.8,5,IF(I624&gt;=100*0.7,4,IF(I624&gt;=100*0.6,3.5,IF(I624&gt;=100*0.5,3,IF(I624&gt;=100*0.4,2,IF(I624&gt;=100*0.33,1,0))))))))</f>
        <v/>
      </c>
      <c r="AB624">
        <f>IF(B624="","",IF(J624&lt;33.0,0,IF(J624&gt;=100*0.8,5,IF(J624&gt;=100*0.7,4,IF(J624&gt;=100*0.6,3.5,IF(J624&gt;=100*0.5,3,IF(J624&gt;=100*0.4,2,IF(J624&gt;=100*0.33,1,0))))))))</f>
        <v/>
      </c>
      <c r="AC624">
        <f>IF(B624="","",IF(K624&lt;33.0,0,IF(K624&gt;=100*0.8,5,IF(K624&gt;=100*0.7,4,IF(K624&gt;=100*0.6,3.5,IF(K624&gt;=100*0.5,3,IF(K624&gt;=100*0.4,2,IF(K624&gt;=100*0.33,1,0))))))))</f>
        <v/>
      </c>
      <c r="AD624">
        <f>IF(B624="","",IF(L624&lt;33.0,0,IF(L624&gt;=100*0.8,5,IF(L624&gt;=100*0.7,4,IF(L624&gt;=100*0.6,3.5,IF(L624&gt;=100*0.5,3,IF(L624&gt;=100*0.4,2,IF(L624&gt;=100*0.33,1,0))))))))</f>
        <v/>
      </c>
      <c r="AE624">
        <f>IF(B624="","",IF(M624&lt;33.0,0,IF(M624&gt;=100*0.8,5,IF(M624&gt;=100*0.7,4,IF(M624&gt;=100*0.6,3.5,IF(M624&gt;=100*0.5,3,IF(M624&gt;=100*0.4,2,IF(M624&gt;=100*0.33,1,0))))))))</f>
        <v/>
      </c>
      <c r="AF624">
        <f>IF(B624="","",IF(N624&lt;16.5,0,IF(N624&gt;=50*0.8,5,IF(N624&gt;=50*0.7,4,IF(N624&gt;=50*0.6,3.5,IF(N624&gt;=50*0.5,3,IF(N624&gt;=50*0.4,2,IF(N624&gt;=50*0.33,1,0))))))))</f>
        <v/>
      </c>
      <c r="AG624">
        <f>IF(B624="","",IF(O624&lt;33.0,0,IF(O624&gt;=100*0.8,5,IF(O624&gt;=100*0.7,4,IF(O624&gt;=100*0.6,3.5,IF(O624&gt;=100*0.5,3,IF(O624&gt;=100*0.4,2,IF(O624&gt;=100*0.33,1,0))))))))</f>
        <v/>
      </c>
      <c r="AH624">
        <f>IF(B624="","",IF(OR(U624=0,V624=0,W624=0,X624=0,Y624=0,Z624=0,AA624=0,AB624=0,AC624=0,AD624=0,AE624=0,AF624=0,AG624=0),1,0))</f>
        <v/>
      </c>
    </row>
    <row r="625">
      <c r="A625" s="3">
        <f>IF(B625="","",ROW()-2)</f>
        <v/>
      </c>
      <c r="P625" s="4">
        <f>IF(B625="","",SUM(C625:O625))</f>
        <v/>
      </c>
      <c r="Q625" s="5">
        <f>IF(B625="","",ROUND(P625/13,2))</f>
        <v/>
      </c>
      <c r="R625" s="5">
        <f>IF(B625="","",IF(AH625=1,0,MIN(5,ROUND((U625+V625+W625+X625+Y625+Z625+AA625+AB625+AC625+AD625+AE625+AF625+AG625)/13,2))))</f>
        <v/>
      </c>
      <c r="S625" s="3">
        <f>IF(B625="","",IF(R625&gt;=5,"A+",IF(R625&gt;=4,"A",IF(R625&gt;=3.5,"A-",IF(R625&gt;=3,"B",IF(R625&gt;=2,"C",IF(R625&gt;=1,"D","F")))))))</f>
        <v/>
      </c>
      <c r="T625" s="3">
        <f>IF(OR(B625="",S625="F"),"",COUNTIFS(P:P,"&gt;"&amp;P625,S:S,"&lt;&gt;F")+1)</f>
        <v/>
      </c>
      <c r="U625">
        <f>IF(B625="","",IF(C625&lt;33.0,0,IF(C625&gt;=100*0.8,5,IF(C625&gt;=100*0.7,4,IF(C625&gt;=100*0.6,3.5,IF(C625&gt;=100*0.5,3,IF(C625&gt;=100*0.4,2,IF(C625&gt;=100*0.33,1,0))))))))</f>
        <v/>
      </c>
      <c r="V625">
        <f>IF(B625="","",IF(D625&lt;33.0,0,IF(D625&gt;=100*0.8,5,IF(D625&gt;=100*0.7,4,IF(D625&gt;=100*0.6,3.5,IF(D625&gt;=100*0.5,3,IF(D625&gt;=100*0.4,2,IF(D625&gt;=100*0.33,1,0))))))))</f>
        <v/>
      </c>
      <c r="W625">
        <f>IF(B625="","",IF(E625&lt;16.5,0,IF(E625&gt;=50*0.8,5,IF(E625&gt;=50*0.7,4,IF(E625&gt;=50*0.6,3.5,IF(E625&gt;=50*0.5,3,IF(E625&gt;=50*0.4,2,IF(E625&gt;=50*0.33,1,0))))))))</f>
        <v/>
      </c>
      <c r="X625">
        <f>IF(B625="","",IF(F625&lt;33.0,0,IF(F625&gt;=100*0.8,5,IF(F625&gt;=100*0.7,4,IF(F625&gt;=100*0.6,3.5,IF(F625&gt;=100*0.5,3,IF(F625&gt;=100*0.4,2,IF(F625&gt;=100*0.33,1,0))))))))</f>
        <v/>
      </c>
      <c r="Y625">
        <f>IF(B625="","",IF(G625&lt;16.5,0,IF(G625&gt;=50*0.8,5,IF(G625&gt;=50*0.7,4,IF(G625&gt;=50*0.6,3.5,IF(G625&gt;=50*0.5,3,IF(G625&gt;=50*0.4,2,IF(G625&gt;=50*0.33,1,0))))))))</f>
        <v/>
      </c>
      <c r="Z625">
        <f>IF(B625="","",IF(H625&lt;33.0,0,IF(H625&gt;=100*0.8,5,IF(H625&gt;=100*0.7,4,IF(H625&gt;=100*0.6,3.5,IF(H625&gt;=100*0.5,3,IF(H625&gt;=100*0.4,2,IF(H625&gt;=100*0.33,1,0))))))))</f>
        <v/>
      </c>
      <c r="AA625">
        <f>IF(B625="","",IF(I625&lt;33.0,0,IF(I625&gt;=100*0.8,5,IF(I625&gt;=100*0.7,4,IF(I625&gt;=100*0.6,3.5,IF(I625&gt;=100*0.5,3,IF(I625&gt;=100*0.4,2,IF(I625&gt;=100*0.33,1,0))))))))</f>
        <v/>
      </c>
      <c r="AB625">
        <f>IF(B625="","",IF(J625&lt;33.0,0,IF(J625&gt;=100*0.8,5,IF(J625&gt;=100*0.7,4,IF(J625&gt;=100*0.6,3.5,IF(J625&gt;=100*0.5,3,IF(J625&gt;=100*0.4,2,IF(J625&gt;=100*0.33,1,0))))))))</f>
        <v/>
      </c>
      <c r="AC625">
        <f>IF(B625="","",IF(K625&lt;33.0,0,IF(K625&gt;=100*0.8,5,IF(K625&gt;=100*0.7,4,IF(K625&gt;=100*0.6,3.5,IF(K625&gt;=100*0.5,3,IF(K625&gt;=100*0.4,2,IF(K625&gt;=100*0.33,1,0))))))))</f>
        <v/>
      </c>
      <c r="AD625">
        <f>IF(B625="","",IF(L625&lt;33.0,0,IF(L625&gt;=100*0.8,5,IF(L625&gt;=100*0.7,4,IF(L625&gt;=100*0.6,3.5,IF(L625&gt;=100*0.5,3,IF(L625&gt;=100*0.4,2,IF(L625&gt;=100*0.33,1,0))))))))</f>
        <v/>
      </c>
      <c r="AE625">
        <f>IF(B625="","",IF(M625&lt;33.0,0,IF(M625&gt;=100*0.8,5,IF(M625&gt;=100*0.7,4,IF(M625&gt;=100*0.6,3.5,IF(M625&gt;=100*0.5,3,IF(M625&gt;=100*0.4,2,IF(M625&gt;=100*0.33,1,0))))))))</f>
        <v/>
      </c>
      <c r="AF625">
        <f>IF(B625="","",IF(N625&lt;16.5,0,IF(N625&gt;=50*0.8,5,IF(N625&gt;=50*0.7,4,IF(N625&gt;=50*0.6,3.5,IF(N625&gt;=50*0.5,3,IF(N625&gt;=50*0.4,2,IF(N625&gt;=50*0.33,1,0))))))))</f>
        <v/>
      </c>
      <c r="AG625">
        <f>IF(B625="","",IF(O625&lt;33.0,0,IF(O625&gt;=100*0.8,5,IF(O625&gt;=100*0.7,4,IF(O625&gt;=100*0.6,3.5,IF(O625&gt;=100*0.5,3,IF(O625&gt;=100*0.4,2,IF(O625&gt;=100*0.33,1,0))))))))</f>
        <v/>
      </c>
      <c r="AH625">
        <f>IF(B625="","",IF(OR(U625=0,V625=0,W625=0,X625=0,Y625=0,Z625=0,AA625=0,AB625=0,AC625=0,AD625=0,AE625=0,AF625=0,AG625=0),1,0))</f>
        <v/>
      </c>
    </row>
    <row r="626">
      <c r="A626" s="3">
        <f>IF(B626="","",ROW()-2)</f>
        <v/>
      </c>
      <c r="P626" s="4">
        <f>IF(B626="","",SUM(C626:O626))</f>
        <v/>
      </c>
      <c r="Q626" s="5">
        <f>IF(B626="","",ROUND(P626/13,2))</f>
        <v/>
      </c>
      <c r="R626" s="5">
        <f>IF(B626="","",IF(AH626=1,0,MIN(5,ROUND((U626+V626+W626+X626+Y626+Z626+AA626+AB626+AC626+AD626+AE626+AF626+AG626)/13,2))))</f>
        <v/>
      </c>
      <c r="S626" s="3">
        <f>IF(B626="","",IF(R626&gt;=5,"A+",IF(R626&gt;=4,"A",IF(R626&gt;=3.5,"A-",IF(R626&gt;=3,"B",IF(R626&gt;=2,"C",IF(R626&gt;=1,"D","F")))))))</f>
        <v/>
      </c>
      <c r="T626" s="3">
        <f>IF(OR(B626="",S626="F"),"",COUNTIFS(P:P,"&gt;"&amp;P626,S:S,"&lt;&gt;F")+1)</f>
        <v/>
      </c>
      <c r="U626">
        <f>IF(B626="","",IF(C626&lt;33.0,0,IF(C626&gt;=100*0.8,5,IF(C626&gt;=100*0.7,4,IF(C626&gt;=100*0.6,3.5,IF(C626&gt;=100*0.5,3,IF(C626&gt;=100*0.4,2,IF(C626&gt;=100*0.33,1,0))))))))</f>
        <v/>
      </c>
      <c r="V626">
        <f>IF(B626="","",IF(D626&lt;33.0,0,IF(D626&gt;=100*0.8,5,IF(D626&gt;=100*0.7,4,IF(D626&gt;=100*0.6,3.5,IF(D626&gt;=100*0.5,3,IF(D626&gt;=100*0.4,2,IF(D626&gt;=100*0.33,1,0))))))))</f>
        <v/>
      </c>
      <c r="W626">
        <f>IF(B626="","",IF(E626&lt;16.5,0,IF(E626&gt;=50*0.8,5,IF(E626&gt;=50*0.7,4,IF(E626&gt;=50*0.6,3.5,IF(E626&gt;=50*0.5,3,IF(E626&gt;=50*0.4,2,IF(E626&gt;=50*0.33,1,0))))))))</f>
        <v/>
      </c>
      <c r="X626">
        <f>IF(B626="","",IF(F626&lt;33.0,0,IF(F626&gt;=100*0.8,5,IF(F626&gt;=100*0.7,4,IF(F626&gt;=100*0.6,3.5,IF(F626&gt;=100*0.5,3,IF(F626&gt;=100*0.4,2,IF(F626&gt;=100*0.33,1,0))))))))</f>
        <v/>
      </c>
      <c r="Y626">
        <f>IF(B626="","",IF(G626&lt;16.5,0,IF(G626&gt;=50*0.8,5,IF(G626&gt;=50*0.7,4,IF(G626&gt;=50*0.6,3.5,IF(G626&gt;=50*0.5,3,IF(G626&gt;=50*0.4,2,IF(G626&gt;=50*0.33,1,0))))))))</f>
        <v/>
      </c>
      <c r="Z626">
        <f>IF(B626="","",IF(H626&lt;33.0,0,IF(H626&gt;=100*0.8,5,IF(H626&gt;=100*0.7,4,IF(H626&gt;=100*0.6,3.5,IF(H626&gt;=100*0.5,3,IF(H626&gt;=100*0.4,2,IF(H626&gt;=100*0.33,1,0))))))))</f>
        <v/>
      </c>
      <c r="AA626">
        <f>IF(B626="","",IF(I626&lt;33.0,0,IF(I626&gt;=100*0.8,5,IF(I626&gt;=100*0.7,4,IF(I626&gt;=100*0.6,3.5,IF(I626&gt;=100*0.5,3,IF(I626&gt;=100*0.4,2,IF(I626&gt;=100*0.33,1,0))))))))</f>
        <v/>
      </c>
      <c r="AB626">
        <f>IF(B626="","",IF(J626&lt;33.0,0,IF(J626&gt;=100*0.8,5,IF(J626&gt;=100*0.7,4,IF(J626&gt;=100*0.6,3.5,IF(J626&gt;=100*0.5,3,IF(J626&gt;=100*0.4,2,IF(J626&gt;=100*0.33,1,0))))))))</f>
        <v/>
      </c>
      <c r="AC626">
        <f>IF(B626="","",IF(K626&lt;33.0,0,IF(K626&gt;=100*0.8,5,IF(K626&gt;=100*0.7,4,IF(K626&gt;=100*0.6,3.5,IF(K626&gt;=100*0.5,3,IF(K626&gt;=100*0.4,2,IF(K626&gt;=100*0.33,1,0))))))))</f>
        <v/>
      </c>
      <c r="AD626">
        <f>IF(B626="","",IF(L626&lt;33.0,0,IF(L626&gt;=100*0.8,5,IF(L626&gt;=100*0.7,4,IF(L626&gt;=100*0.6,3.5,IF(L626&gt;=100*0.5,3,IF(L626&gt;=100*0.4,2,IF(L626&gt;=100*0.33,1,0))))))))</f>
        <v/>
      </c>
      <c r="AE626">
        <f>IF(B626="","",IF(M626&lt;33.0,0,IF(M626&gt;=100*0.8,5,IF(M626&gt;=100*0.7,4,IF(M626&gt;=100*0.6,3.5,IF(M626&gt;=100*0.5,3,IF(M626&gt;=100*0.4,2,IF(M626&gt;=100*0.33,1,0))))))))</f>
        <v/>
      </c>
      <c r="AF626">
        <f>IF(B626="","",IF(N626&lt;16.5,0,IF(N626&gt;=50*0.8,5,IF(N626&gt;=50*0.7,4,IF(N626&gt;=50*0.6,3.5,IF(N626&gt;=50*0.5,3,IF(N626&gt;=50*0.4,2,IF(N626&gt;=50*0.33,1,0))))))))</f>
        <v/>
      </c>
      <c r="AG626">
        <f>IF(B626="","",IF(O626&lt;33.0,0,IF(O626&gt;=100*0.8,5,IF(O626&gt;=100*0.7,4,IF(O626&gt;=100*0.6,3.5,IF(O626&gt;=100*0.5,3,IF(O626&gt;=100*0.4,2,IF(O626&gt;=100*0.33,1,0))))))))</f>
        <v/>
      </c>
      <c r="AH626">
        <f>IF(B626="","",IF(OR(U626=0,V626=0,W626=0,X626=0,Y626=0,Z626=0,AA626=0,AB626=0,AC626=0,AD626=0,AE626=0,AF626=0,AG626=0),1,0))</f>
        <v/>
      </c>
    </row>
    <row r="627">
      <c r="A627" s="3">
        <f>IF(B627="","",ROW()-2)</f>
        <v/>
      </c>
      <c r="P627" s="4">
        <f>IF(B627="","",SUM(C627:O627))</f>
        <v/>
      </c>
      <c r="Q627" s="5">
        <f>IF(B627="","",ROUND(P627/13,2))</f>
        <v/>
      </c>
      <c r="R627" s="5">
        <f>IF(B627="","",IF(AH627=1,0,MIN(5,ROUND((U627+V627+W627+X627+Y627+Z627+AA627+AB627+AC627+AD627+AE627+AF627+AG627)/13,2))))</f>
        <v/>
      </c>
      <c r="S627" s="3">
        <f>IF(B627="","",IF(R627&gt;=5,"A+",IF(R627&gt;=4,"A",IF(R627&gt;=3.5,"A-",IF(R627&gt;=3,"B",IF(R627&gt;=2,"C",IF(R627&gt;=1,"D","F")))))))</f>
        <v/>
      </c>
      <c r="T627" s="3">
        <f>IF(OR(B627="",S627="F"),"",COUNTIFS(P:P,"&gt;"&amp;P627,S:S,"&lt;&gt;F")+1)</f>
        <v/>
      </c>
      <c r="U627">
        <f>IF(B627="","",IF(C627&lt;33.0,0,IF(C627&gt;=100*0.8,5,IF(C627&gt;=100*0.7,4,IF(C627&gt;=100*0.6,3.5,IF(C627&gt;=100*0.5,3,IF(C627&gt;=100*0.4,2,IF(C627&gt;=100*0.33,1,0))))))))</f>
        <v/>
      </c>
      <c r="V627">
        <f>IF(B627="","",IF(D627&lt;33.0,0,IF(D627&gt;=100*0.8,5,IF(D627&gt;=100*0.7,4,IF(D627&gt;=100*0.6,3.5,IF(D627&gt;=100*0.5,3,IF(D627&gt;=100*0.4,2,IF(D627&gt;=100*0.33,1,0))))))))</f>
        <v/>
      </c>
      <c r="W627">
        <f>IF(B627="","",IF(E627&lt;16.5,0,IF(E627&gt;=50*0.8,5,IF(E627&gt;=50*0.7,4,IF(E627&gt;=50*0.6,3.5,IF(E627&gt;=50*0.5,3,IF(E627&gt;=50*0.4,2,IF(E627&gt;=50*0.33,1,0))))))))</f>
        <v/>
      </c>
      <c r="X627">
        <f>IF(B627="","",IF(F627&lt;33.0,0,IF(F627&gt;=100*0.8,5,IF(F627&gt;=100*0.7,4,IF(F627&gt;=100*0.6,3.5,IF(F627&gt;=100*0.5,3,IF(F627&gt;=100*0.4,2,IF(F627&gt;=100*0.33,1,0))))))))</f>
        <v/>
      </c>
      <c r="Y627">
        <f>IF(B627="","",IF(G627&lt;16.5,0,IF(G627&gt;=50*0.8,5,IF(G627&gt;=50*0.7,4,IF(G627&gt;=50*0.6,3.5,IF(G627&gt;=50*0.5,3,IF(G627&gt;=50*0.4,2,IF(G627&gt;=50*0.33,1,0))))))))</f>
        <v/>
      </c>
      <c r="Z627">
        <f>IF(B627="","",IF(H627&lt;33.0,0,IF(H627&gt;=100*0.8,5,IF(H627&gt;=100*0.7,4,IF(H627&gt;=100*0.6,3.5,IF(H627&gt;=100*0.5,3,IF(H627&gt;=100*0.4,2,IF(H627&gt;=100*0.33,1,0))))))))</f>
        <v/>
      </c>
      <c r="AA627">
        <f>IF(B627="","",IF(I627&lt;33.0,0,IF(I627&gt;=100*0.8,5,IF(I627&gt;=100*0.7,4,IF(I627&gt;=100*0.6,3.5,IF(I627&gt;=100*0.5,3,IF(I627&gt;=100*0.4,2,IF(I627&gt;=100*0.33,1,0))))))))</f>
        <v/>
      </c>
      <c r="AB627">
        <f>IF(B627="","",IF(J627&lt;33.0,0,IF(J627&gt;=100*0.8,5,IF(J627&gt;=100*0.7,4,IF(J627&gt;=100*0.6,3.5,IF(J627&gt;=100*0.5,3,IF(J627&gt;=100*0.4,2,IF(J627&gt;=100*0.33,1,0))))))))</f>
        <v/>
      </c>
      <c r="AC627">
        <f>IF(B627="","",IF(K627&lt;33.0,0,IF(K627&gt;=100*0.8,5,IF(K627&gt;=100*0.7,4,IF(K627&gt;=100*0.6,3.5,IF(K627&gt;=100*0.5,3,IF(K627&gt;=100*0.4,2,IF(K627&gt;=100*0.33,1,0))))))))</f>
        <v/>
      </c>
      <c r="AD627">
        <f>IF(B627="","",IF(L627&lt;33.0,0,IF(L627&gt;=100*0.8,5,IF(L627&gt;=100*0.7,4,IF(L627&gt;=100*0.6,3.5,IF(L627&gt;=100*0.5,3,IF(L627&gt;=100*0.4,2,IF(L627&gt;=100*0.33,1,0))))))))</f>
        <v/>
      </c>
      <c r="AE627">
        <f>IF(B627="","",IF(M627&lt;33.0,0,IF(M627&gt;=100*0.8,5,IF(M627&gt;=100*0.7,4,IF(M627&gt;=100*0.6,3.5,IF(M627&gt;=100*0.5,3,IF(M627&gt;=100*0.4,2,IF(M627&gt;=100*0.33,1,0))))))))</f>
        <v/>
      </c>
      <c r="AF627">
        <f>IF(B627="","",IF(N627&lt;16.5,0,IF(N627&gt;=50*0.8,5,IF(N627&gt;=50*0.7,4,IF(N627&gt;=50*0.6,3.5,IF(N627&gt;=50*0.5,3,IF(N627&gt;=50*0.4,2,IF(N627&gt;=50*0.33,1,0))))))))</f>
        <v/>
      </c>
      <c r="AG627">
        <f>IF(B627="","",IF(O627&lt;33.0,0,IF(O627&gt;=100*0.8,5,IF(O627&gt;=100*0.7,4,IF(O627&gt;=100*0.6,3.5,IF(O627&gt;=100*0.5,3,IF(O627&gt;=100*0.4,2,IF(O627&gt;=100*0.33,1,0))))))))</f>
        <v/>
      </c>
      <c r="AH627">
        <f>IF(B627="","",IF(OR(U627=0,V627=0,W627=0,X627=0,Y627=0,Z627=0,AA627=0,AB627=0,AC627=0,AD627=0,AE627=0,AF627=0,AG627=0),1,0))</f>
        <v/>
      </c>
    </row>
    <row r="628">
      <c r="A628" s="3">
        <f>IF(B628="","",ROW()-2)</f>
        <v/>
      </c>
      <c r="P628" s="4">
        <f>IF(B628="","",SUM(C628:O628))</f>
        <v/>
      </c>
      <c r="Q628" s="5">
        <f>IF(B628="","",ROUND(P628/13,2))</f>
        <v/>
      </c>
      <c r="R628" s="5">
        <f>IF(B628="","",IF(AH628=1,0,MIN(5,ROUND((U628+V628+W628+X628+Y628+Z628+AA628+AB628+AC628+AD628+AE628+AF628+AG628)/13,2))))</f>
        <v/>
      </c>
      <c r="S628" s="3">
        <f>IF(B628="","",IF(R628&gt;=5,"A+",IF(R628&gt;=4,"A",IF(R628&gt;=3.5,"A-",IF(R628&gt;=3,"B",IF(R628&gt;=2,"C",IF(R628&gt;=1,"D","F")))))))</f>
        <v/>
      </c>
      <c r="T628" s="3">
        <f>IF(OR(B628="",S628="F"),"",COUNTIFS(P:P,"&gt;"&amp;P628,S:S,"&lt;&gt;F")+1)</f>
        <v/>
      </c>
      <c r="U628">
        <f>IF(B628="","",IF(C628&lt;33.0,0,IF(C628&gt;=100*0.8,5,IF(C628&gt;=100*0.7,4,IF(C628&gt;=100*0.6,3.5,IF(C628&gt;=100*0.5,3,IF(C628&gt;=100*0.4,2,IF(C628&gt;=100*0.33,1,0))))))))</f>
        <v/>
      </c>
      <c r="V628">
        <f>IF(B628="","",IF(D628&lt;33.0,0,IF(D628&gt;=100*0.8,5,IF(D628&gt;=100*0.7,4,IF(D628&gt;=100*0.6,3.5,IF(D628&gt;=100*0.5,3,IF(D628&gt;=100*0.4,2,IF(D628&gt;=100*0.33,1,0))))))))</f>
        <v/>
      </c>
      <c r="W628">
        <f>IF(B628="","",IF(E628&lt;16.5,0,IF(E628&gt;=50*0.8,5,IF(E628&gt;=50*0.7,4,IF(E628&gt;=50*0.6,3.5,IF(E628&gt;=50*0.5,3,IF(E628&gt;=50*0.4,2,IF(E628&gt;=50*0.33,1,0))))))))</f>
        <v/>
      </c>
      <c r="X628">
        <f>IF(B628="","",IF(F628&lt;33.0,0,IF(F628&gt;=100*0.8,5,IF(F628&gt;=100*0.7,4,IF(F628&gt;=100*0.6,3.5,IF(F628&gt;=100*0.5,3,IF(F628&gt;=100*0.4,2,IF(F628&gt;=100*0.33,1,0))))))))</f>
        <v/>
      </c>
      <c r="Y628">
        <f>IF(B628="","",IF(G628&lt;16.5,0,IF(G628&gt;=50*0.8,5,IF(G628&gt;=50*0.7,4,IF(G628&gt;=50*0.6,3.5,IF(G628&gt;=50*0.5,3,IF(G628&gt;=50*0.4,2,IF(G628&gt;=50*0.33,1,0))))))))</f>
        <v/>
      </c>
      <c r="Z628">
        <f>IF(B628="","",IF(H628&lt;33.0,0,IF(H628&gt;=100*0.8,5,IF(H628&gt;=100*0.7,4,IF(H628&gt;=100*0.6,3.5,IF(H628&gt;=100*0.5,3,IF(H628&gt;=100*0.4,2,IF(H628&gt;=100*0.33,1,0))))))))</f>
        <v/>
      </c>
      <c r="AA628">
        <f>IF(B628="","",IF(I628&lt;33.0,0,IF(I628&gt;=100*0.8,5,IF(I628&gt;=100*0.7,4,IF(I628&gt;=100*0.6,3.5,IF(I628&gt;=100*0.5,3,IF(I628&gt;=100*0.4,2,IF(I628&gt;=100*0.33,1,0))))))))</f>
        <v/>
      </c>
      <c r="AB628">
        <f>IF(B628="","",IF(J628&lt;33.0,0,IF(J628&gt;=100*0.8,5,IF(J628&gt;=100*0.7,4,IF(J628&gt;=100*0.6,3.5,IF(J628&gt;=100*0.5,3,IF(J628&gt;=100*0.4,2,IF(J628&gt;=100*0.33,1,0))))))))</f>
        <v/>
      </c>
      <c r="AC628">
        <f>IF(B628="","",IF(K628&lt;33.0,0,IF(K628&gt;=100*0.8,5,IF(K628&gt;=100*0.7,4,IF(K628&gt;=100*0.6,3.5,IF(K628&gt;=100*0.5,3,IF(K628&gt;=100*0.4,2,IF(K628&gt;=100*0.33,1,0))))))))</f>
        <v/>
      </c>
      <c r="AD628">
        <f>IF(B628="","",IF(L628&lt;33.0,0,IF(L628&gt;=100*0.8,5,IF(L628&gt;=100*0.7,4,IF(L628&gt;=100*0.6,3.5,IF(L628&gt;=100*0.5,3,IF(L628&gt;=100*0.4,2,IF(L628&gt;=100*0.33,1,0))))))))</f>
        <v/>
      </c>
      <c r="AE628">
        <f>IF(B628="","",IF(M628&lt;33.0,0,IF(M628&gt;=100*0.8,5,IF(M628&gt;=100*0.7,4,IF(M628&gt;=100*0.6,3.5,IF(M628&gt;=100*0.5,3,IF(M628&gt;=100*0.4,2,IF(M628&gt;=100*0.33,1,0))))))))</f>
        <v/>
      </c>
      <c r="AF628">
        <f>IF(B628="","",IF(N628&lt;16.5,0,IF(N628&gt;=50*0.8,5,IF(N628&gt;=50*0.7,4,IF(N628&gt;=50*0.6,3.5,IF(N628&gt;=50*0.5,3,IF(N628&gt;=50*0.4,2,IF(N628&gt;=50*0.33,1,0))))))))</f>
        <v/>
      </c>
      <c r="AG628">
        <f>IF(B628="","",IF(O628&lt;33.0,0,IF(O628&gt;=100*0.8,5,IF(O628&gt;=100*0.7,4,IF(O628&gt;=100*0.6,3.5,IF(O628&gt;=100*0.5,3,IF(O628&gt;=100*0.4,2,IF(O628&gt;=100*0.33,1,0))))))))</f>
        <v/>
      </c>
      <c r="AH628">
        <f>IF(B628="","",IF(OR(U628=0,V628=0,W628=0,X628=0,Y628=0,Z628=0,AA628=0,AB628=0,AC628=0,AD628=0,AE628=0,AF628=0,AG628=0),1,0))</f>
        <v/>
      </c>
    </row>
    <row r="629">
      <c r="A629" s="3">
        <f>IF(B629="","",ROW()-2)</f>
        <v/>
      </c>
      <c r="P629" s="4">
        <f>IF(B629="","",SUM(C629:O629))</f>
        <v/>
      </c>
      <c r="Q629" s="5">
        <f>IF(B629="","",ROUND(P629/13,2))</f>
        <v/>
      </c>
      <c r="R629" s="5">
        <f>IF(B629="","",IF(AH629=1,0,MIN(5,ROUND((U629+V629+W629+X629+Y629+Z629+AA629+AB629+AC629+AD629+AE629+AF629+AG629)/13,2))))</f>
        <v/>
      </c>
      <c r="S629" s="3">
        <f>IF(B629="","",IF(R629&gt;=5,"A+",IF(R629&gt;=4,"A",IF(R629&gt;=3.5,"A-",IF(R629&gt;=3,"B",IF(R629&gt;=2,"C",IF(R629&gt;=1,"D","F")))))))</f>
        <v/>
      </c>
      <c r="T629" s="3">
        <f>IF(OR(B629="",S629="F"),"",COUNTIFS(P:P,"&gt;"&amp;P629,S:S,"&lt;&gt;F")+1)</f>
        <v/>
      </c>
      <c r="U629">
        <f>IF(B629="","",IF(C629&lt;33.0,0,IF(C629&gt;=100*0.8,5,IF(C629&gt;=100*0.7,4,IF(C629&gt;=100*0.6,3.5,IF(C629&gt;=100*0.5,3,IF(C629&gt;=100*0.4,2,IF(C629&gt;=100*0.33,1,0))))))))</f>
        <v/>
      </c>
      <c r="V629">
        <f>IF(B629="","",IF(D629&lt;33.0,0,IF(D629&gt;=100*0.8,5,IF(D629&gt;=100*0.7,4,IF(D629&gt;=100*0.6,3.5,IF(D629&gt;=100*0.5,3,IF(D629&gt;=100*0.4,2,IF(D629&gt;=100*0.33,1,0))))))))</f>
        <v/>
      </c>
      <c r="W629">
        <f>IF(B629="","",IF(E629&lt;16.5,0,IF(E629&gt;=50*0.8,5,IF(E629&gt;=50*0.7,4,IF(E629&gt;=50*0.6,3.5,IF(E629&gt;=50*0.5,3,IF(E629&gt;=50*0.4,2,IF(E629&gt;=50*0.33,1,0))))))))</f>
        <v/>
      </c>
      <c r="X629">
        <f>IF(B629="","",IF(F629&lt;33.0,0,IF(F629&gt;=100*0.8,5,IF(F629&gt;=100*0.7,4,IF(F629&gt;=100*0.6,3.5,IF(F629&gt;=100*0.5,3,IF(F629&gt;=100*0.4,2,IF(F629&gt;=100*0.33,1,0))))))))</f>
        <v/>
      </c>
      <c r="Y629">
        <f>IF(B629="","",IF(G629&lt;16.5,0,IF(G629&gt;=50*0.8,5,IF(G629&gt;=50*0.7,4,IF(G629&gt;=50*0.6,3.5,IF(G629&gt;=50*0.5,3,IF(G629&gt;=50*0.4,2,IF(G629&gt;=50*0.33,1,0))))))))</f>
        <v/>
      </c>
      <c r="Z629">
        <f>IF(B629="","",IF(H629&lt;33.0,0,IF(H629&gt;=100*0.8,5,IF(H629&gt;=100*0.7,4,IF(H629&gt;=100*0.6,3.5,IF(H629&gt;=100*0.5,3,IF(H629&gt;=100*0.4,2,IF(H629&gt;=100*0.33,1,0))))))))</f>
        <v/>
      </c>
      <c r="AA629">
        <f>IF(B629="","",IF(I629&lt;33.0,0,IF(I629&gt;=100*0.8,5,IF(I629&gt;=100*0.7,4,IF(I629&gt;=100*0.6,3.5,IF(I629&gt;=100*0.5,3,IF(I629&gt;=100*0.4,2,IF(I629&gt;=100*0.33,1,0))))))))</f>
        <v/>
      </c>
      <c r="AB629">
        <f>IF(B629="","",IF(J629&lt;33.0,0,IF(J629&gt;=100*0.8,5,IF(J629&gt;=100*0.7,4,IF(J629&gt;=100*0.6,3.5,IF(J629&gt;=100*0.5,3,IF(J629&gt;=100*0.4,2,IF(J629&gt;=100*0.33,1,0))))))))</f>
        <v/>
      </c>
      <c r="AC629">
        <f>IF(B629="","",IF(K629&lt;33.0,0,IF(K629&gt;=100*0.8,5,IF(K629&gt;=100*0.7,4,IF(K629&gt;=100*0.6,3.5,IF(K629&gt;=100*0.5,3,IF(K629&gt;=100*0.4,2,IF(K629&gt;=100*0.33,1,0))))))))</f>
        <v/>
      </c>
      <c r="AD629">
        <f>IF(B629="","",IF(L629&lt;33.0,0,IF(L629&gt;=100*0.8,5,IF(L629&gt;=100*0.7,4,IF(L629&gt;=100*0.6,3.5,IF(L629&gt;=100*0.5,3,IF(L629&gt;=100*0.4,2,IF(L629&gt;=100*0.33,1,0))))))))</f>
        <v/>
      </c>
      <c r="AE629">
        <f>IF(B629="","",IF(M629&lt;33.0,0,IF(M629&gt;=100*0.8,5,IF(M629&gt;=100*0.7,4,IF(M629&gt;=100*0.6,3.5,IF(M629&gt;=100*0.5,3,IF(M629&gt;=100*0.4,2,IF(M629&gt;=100*0.33,1,0))))))))</f>
        <v/>
      </c>
      <c r="AF629">
        <f>IF(B629="","",IF(N629&lt;16.5,0,IF(N629&gt;=50*0.8,5,IF(N629&gt;=50*0.7,4,IF(N629&gt;=50*0.6,3.5,IF(N629&gt;=50*0.5,3,IF(N629&gt;=50*0.4,2,IF(N629&gt;=50*0.33,1,0))))))))</f>
        <v/>
      </c>
      <c r="AG629">
        <f>IF(B629="","",IF(O629&lt;33.0,0,IF(O629&gt;=100*0.8,5,IF(O629&gt;=100*0.7,4,IF(O629&gt;=100*0.6,3.5,IF(O629&gt;=100*0.5,3,IF(O629&gt;=100*0.4,2,IF(O629&gt;=100*0.33,1,0))))))))</f>
        <v/>
      </c>
      <c r="AH629">
        <f>IF(B629="","",IF(OR(U629=0,V629=0,W629=0,X629=0,Y629=0,Z629=0,AA629=0,AB629=0,AC629=0,AD629=0,AE629=0,AF629=0,AG629=0),1,0))</f>
        <v/>
      </c>
    </row>
    <row r="630">
      <c r="A630" s="3">
        <f>IF(B630="","",ROW()-2)</f>
        <v/>
      </c>
      <c r="P630" s="4">
        <f>IF(B630="","",SUM(C630:O630))</f>
        <v/>
      </c>
      <c r="Q630" s="5">
        <f>IF(B630="","",ROUND(P630/13,2))</f>
        <v/>
      </c>
      <c r="R630" s="5">
        <f>IF(B630="","",IF(AH630=1,0,MIN(5,ROUND((U630+V630+W630+X630+Y630+Z630+AA630+AB630+AC630+AD630+AE630+AF630+AG630)/13,2))))</f>
        <v/>
      </c>
      <c r="S630" s="3">
        <f>IF(B630="","",IF(R630&gt;=5,"A+",IF(R630&gt;=4,"A",IF(R630&gt;=3.5,"A-",IF(R630&gt;=3,"B",IF(R630&gt;=2,"C",IF(R630&gt;=1,"D","F")))))))</f>
        <v/>
      </c>
      <c r="T630" s="3">
        <f>IF(OR(B630="",S630="F"),"",COUNTIFS(P:P,"&gt;"&amp;P630,S:S,"&lt;&gt;F")+1)</f>
        <v/>
      </c>
      <c r="U630">
        <f>IF(B630="","",IF(C630&lt;33.0,0,IF(C630&gt;=100*0.8,5,IF(C630&gt;=100*0.7,4,IF(C630&gt;=100*0.6,3.5,IF(C630&gt;=100*0.5,3,IF(C630&gt;=100*0.4,2,IF(C630&gt;=100*0.33,1,0))))))))</f>
        <v/>
      </c>
      <c r="V630">
        <f>IF(B630="","",IF(D630&lt;33.0,0,IF(D630&gt;=100*0.8,5,IF(D630&gt;=100*0.7,4,IF(D630&gt;=100*0.6,3.5,IF(D630&gt;=100*0.5,3,IF(D630&gt;=100*0.4,2,IF(D630&gt;=100*0.33,1,0))))))))</f>
        <v/>
      </c>
      <c r="W630">
        <f>IF(B630="","",IF(E630&lt;16.5,0,IF(E630&gt;=50*0.8,5,IF(E630&gt;=50*0.7,4,IF(E630&gt;=50*0.6,3.5,IF(E630&gt;=50*0.5,3,IF(E630&gt;=50*0.4,2,IF(E630&gt;=50*0.33,1,0))))))))</f>
        <v/>
      </c>
      <c r="X630">
        <f>IF(B630="","",IF(F630&lt;33.0,0,IF(F630&gt;=100*0.8,5,IF(F630&gt;=100*0.7,4,IF(F630&gt;=100*0.6,3.5,IF(F630&gt;=100*0.5,3,IF(F630&gt;=100*0.4,2,IF(F630&gt;=100*0.33,1,0))))))))</f>
        <v/>
      </c>
      <c r="Y630">
        <f>IF(B630="","",IF(G630&lt;16.5,0,IF(G630&gt;=50*0.8,5,IF(G630&gt;=50*0.7,4,IF(G630&gt;=50*0.6,3.5,IF(G630&gt;=50*0.5,3,IF(G630&gt;=50*0.4,2,IF(G630&gt;=50*0.33,1,0))))))))</f>
        <v/>
      </c>
      <c r="Z630">
        <f>IF(B630="","",IF(H630&lt;33.0,0,IF(H630&gt;=100*0.8,5,IF(H630&gt;=100*0.7,4,IF(H630&gt;=100*0.6,3.5,IF(H630&gt;=100*0.5,3,IF(H630&gt;=100*0.4,2,IF(H630&gt;=100*0.33,1,0))))))))</f>
        <v/>
      </c>
      <c r="AA630">
        <f>IF(B630="","",IF(I630&lt;33.0,0,IF(I630&gt;=100*0.8,5,IF(I630&gt;=100*0.7,4,IF(I630&gt;=100*0.6,3.5,IF(I630&gt;=100*0.5,3,IF(I630&gt;=100*0.4,2,IF(I630&gt;=100*0.33,1,0))))))))</f>
        <v/>
      </c>
      <c r="AB630">
        <f>IF(B630="","",IF(J630&lt;33.0,0,IF(J630&gt;=100*0.8,5,IF(J630&gt;=100*0.7,4,IF(J630&gt;=100*0.6,3.5,IF(J630&gt;=100*0.5,3,IF(J630&gt;=100*0.4,2,IF(J630&gt;=100*0.33,1,0))))))))</f>
        <v/>
      </c>
      <c r="AC630">
        <f>IF(B630="","",IF(K630&lt;33.0,0,IF(K630&gt;=100*0.8,5,IF(K630&gt;=100*0.7,4,IF(K630&gt;=100*0.6,3.5,IF(K630&gt;=100*0.5,3,IF(K630&gt;=100*0.4,2,IF(K630&gt;=100*0.33,1,0))))))))</f>
        <v/>
      </c>
      <c r="AD630">
        <f>IF(B630="","",IF(L630&lt;33.0,0,IF(L630&gt;=100*0.8,5,IF(L630&gt;=100*0.7,4,IF(L630&gt;=100*0.6,3.5,IF(L630&gt;=100*0.5,3,IF(L630&gt;=100*0.4,2,IF(L630&gt;=100*0.33,1,0))))))))</f>
        <v/>
      </c>
      <c r="AE630">
        <f>IF(B630="","",IF(M630&lt;33.0,0,IF(M630&gt;=100*0.8,5,IF(M630&gt;=100*0.7,4,IF(M630&gt;=100*0.6,3.5,IF(M630&gt;=100*0.5,3,IF(M630&gt;=100*0.4,2,IF(M630&gt;=100*0.33,1,0))))))))</f>
        <v/>
      </c>
      <c r="AF630">
        <f>IF(B630="","",IF(N630&lt;16.5,0,IF(N630&gt;=50*0.8,5,IF(N630&gt;=50*0.7,4,IF(N630&gt;=50*0.6,3.5,IF(N630&gt;=50*0.5,3,IF(N630&gt;=50*0.4,2,IF(N630&gt;=50*0.33,1,0))))))))</f>
        <v/>
      </c>
      <c r="AG630">
        <f>IF(B630="","",IF(O630&lt;33.0,0,IF(O630&gt;=100*0.8,5,IF(O630&gt;=100*0.7,4,IF(O630&gt;=100*0.6,3.5,IF(O630&gt;=100*0.5,3,IF(O630&gt;=100*0.4,2,IF(O630&gt;=100*0.33,1,0))))))))</f>
        <v/>
      </c>
      <c r="AH630">
        <f>IF(B630="","",IF(OR(U630=0,V630=0,W630=0,X630=0,Y630=0,Z630=0,AA630=0,AB630=0,AC630=0,AD630=0,AE630=0,AF630=0,AG630=0),1,0))</f>
        <v/>
      </c>
    </row>
    <row r="631">
      <c r="A631" s="3">
        <f>IF(B631="","",ROW()-2)</f>
        <v/>
      </c>
      <c r="P631" s="4">
        <f>IF(B631="","",SUM(C631:O631))</f>
        <v/>
      </c>
      <c r="Q631" s="5">
        <f>IF(B631="","",ROUND(P631/13,2))</f>
        <v/>
      </c>
      <c r="R631" s="5">
        <f>IF(B631="","",IF(AH631=1,0,MIN(5,ROUND((U631+V631+W631+X631+Y631+Z631+AA631+AB631+AC631+AD631+AE631+AF631+AG631)/13,2))))</f>
        <v/>
      </c>
      <c r="S631" s="3">
        <f>IF(B631="","",IF(R631&gt;=5,"A+",IF(R631&gt;=4,"A",IF(R631&gt;=3.5,"A-",IF(R631&gt;=3,"B",IF(R631&gt;=2,"C",IF(R631&gt;=1,"D","F")))))))</f>
        <v/>
      </c>
      <c r="T631" s="3">
        <f>IF(OR(B631="",S631="F"),"",COUNTIFS(P:P,"&gt;"&amp;P631,S:S,"&lt;&gt;F")+1)</f>
        <v/>
      </c>
      <c r="U631">
        <f>IF(B631="","",IF(C631&lt;33.0,0,IF(C631&gt;=100*0.8,5,IF(C631&gt;=100*0.7,4,IF(C631&gt;=100*0.6,3.5,IF(C631&gt;=100*0.5,3,IF(C631&gt;=100*0.4,2,IF(C631&gt;=100*0.33,1,0))))))))</f>
        <v/>
      </c>
      <c r="V631">
        <f>IF(B631="","",IF(D631&lt;33.0,0,IF(D631&gt;=100*0.8,5,IF(D631&gt;=100*0.7,4,IF(D631&gt;=100*0.6,3.5,IF(D631&gt;=100*0.5,3,IF(D631&gt;=100*0.4,2,IF(D631&gt;=100*0.33,1,0))))))))</f>
        <v/>
      </c>
      <c r="W631">
        <f>IF(B631="","",IF(E631&lt;16.5,0,IF(E631&gt;=50*0.8,5,IF(E631&gt;=50*0.7,4,IF(E631&gt;=50*0.6,3.5,IF(E631&gt;=50*0.5,3,IF(E631&gt;=50*0.4,2,IF(E631&gt;=50*0.33,1,0))))))))</f>
        <v/>
      </c>
      <c r="X631">
        <f>IF(B631="","",IF(F631&lt;33.0,0,IF(F631&gt;=100*0.8,5,IF(F631&gt;=100*0.7,4,IF(F631&gt;=100*0.6,3.5,IF(F631&gt;=100*0.5,3,IF(F631&gt;=100*0.4,2,IF(F631&gt;=100*0.33,1,0))))))))</f>
        <v/>
      </c>
      <c r="Y631">
        <f>IF(B631="","",IF(G631&lt;16.5,0,IF(G631&gt;=50*0.8,5,IF(G631&gt;=50*0.7,4,IF(G631&gt;=50*0.6,3.5,IF(G631&gt;=50*0.5,3,IF(G631&gt;=50*0.4,2,IF(G631&gt;=50*0.33,1,0))))))))</f>
        <v/>
      </c>
      <c r="Z631">
        <f>IF(B631="","",IF(H631&lt;33.0,0,IF(H631&gt;=100*0.8,5,IF(H631&gt;=100*0.7,4,IF(H631&gt;=100*0.6,3.5,IF(H631&gt;=100*0.5,3,IF(H631&gt;=100*0.4,2,IF(H631&gt;=100*0.33,1,0))))))))</f>
        <v/>
      </c>
      <c r="AA631">
        <f>IF(B631="","",IF(I631&lt;33.0,0,IF(I631&gt;=100*0.8,5,IF(I631&gt;=100*0.7,4,IF(I631&gt;=100*0.6,3.5,IF(I631&gt;=100*0.5,3,IF(I631&gt;=100*0.4,2,IF(I631&gt;=100*0.33,1,0))))))))</f>
        <v/>
      </c>
      <c r="AB631">
        <f>IF(B631="","",IF(J631&lt;33.0,0,IF(J631&gt;=100*0.8,5,IF(J631&gt;=100*0.7,4,IF(J631&gt;=100*0.6,3.5,IF(J631&gt;=100*0.5,3,IF(J631&gt;=100*0.4,2,IF(J631&gt;=100*0.33,1,0))))))))</f>
        <v/>
      </c>
      <c r="AC631">
        <f>IF(B631="","",IF(K631&lt;33.0,0,IF(K631&gt;=100*0.8,5,IF(K631&gt;=100*0.7,4,IF(K631&gt;=100*0.6,3.5,IF(K631&gt;=100*0.5,3,IF(K631&gt;=100*0.4,2,IF(K631&gt;=100*0.33,1,0))))))))</f>
        <v/>
      </c>
      <c r="AD631">
        <f>IF(B631="","",IF(L631&lt;33.0,0,IF(L631&gt;=100*0.8,5,IF(L631&gt;=100*0.7,4,IF(L631&gt;=100*0.6,3.5,IF(L631&gt;=100*0.5,3,IF(L631&gt;=100*0.4,2,IF(L631&gt;=100*0.33,1,0))))))))</f>
        <v/>
      </c>
      <c r="AE631">
        <f>IF(B631="","",IF(M631&lt;33.0,0,IF(M631&gt;=100*0.8,5,IF(M631&gt;=100*0.7,4,IF(M631&gt;=100*0.6,3.5,IF(M631&gt;=100*0.5,3,IF(M631&gt;=100*0.4,2,IF(M631&gt;=100*0.33,1,0))))))))</f>
        <v/>
      </c>
      <c r="AF631">
        <f>IF(B631="","",IF(N631&lt;16.5,0,IF(N631&gt;=50*0.8,5,IF(N631&gt;=50*0.7,4,IF(N631&gt;=50*0.6,3.5,IF(N631&gt;=50*0.5,3,IF(N631&gt;=50*0.4,2,IF(N631&gt;=50*0.33,1,0))))))))</f>
        <v/>
      </c>
      <c r="AG631">
        <f>IF(B631="","",IF(O631&lt;33.0,0,IF(O631&gt;=100*0.8,5,IF(O631&gt;=100*0.7,4,IF(O631&gt;=100*0.6,3.5,IF(O631&gt;=100*0.5,3,IF(O631&gt;=100*0.4,2,IF(O631&gt;=100*0.33,1,0))))))))</f>
        <v/>
      </c>
      <c r="AH631">
        <f>IF(B631="","",IF(OR(U631=0,V631=0,W631=0,X631=0,Y631=0,Z631=0,AA631=0,AB631=0,AC631=0,AD631=0,AE631=0,AF631=0,AG631=0),1,0))</f>
        <v/>
      </c>
    </row>
    <row r="632">
      <c r="A632" s="3">
        <f>IF(B632="","",ROW()-2)</f>
        <v/>
      </c>
      <c r="P632" s="4">
        <f>IF(B632="","",SUM(C632:O632))</f>
        <v/>
      </c>
      <c r="Q632" s="5">
        <f>IF(B632="","",ROUND(P632/13,2))</f>
        <v/>
      </c>
      <c r="R632" s="5">
        <f>IF(B632="","",IF(AH632=1,0,MIN(5,ROUND((U632+V632+W632+X632+Y632+Z632+AA632+AB632+AC632+AD632+AE632+AF632+AG632)/13,2))))</f>
        <v/>
      </c>
      <c r="S632" s="3">
        <f>IF(B632="","",IF(R632&gt;=5,"A+",IF(R632&gt;=4,"A",IF(R632&gt;=3.5,"A-",IF(R632&gt;=3,"B",IF(R632&gt;=2,"C",IF(R632&gt;=1,"D","F")))))))</f>
        <v/>
      </c>
      <c r="T632" s="3">
        <f>IF(OR(B632="",S632="F"),"",COUNTIFS(P:P,"&gt;"&amp;P632,S:S,"&lt;&gt;F")+1)</f>
        <v/>
      </c>
      <c r="U632">
        <f>IF(B632="","",IF(C632&lt;33.0,0,IF(C632&gt;=100*0.8,5,IF(C632&gt;=100*0.7,4,IF(C632&gt;=100*0.6,3.5,IF(C632&gt;=100*0.5,3,IF(C632&gt;=100*0.4,2,IF(C632&gt;=100*0.33,1,0))))))))</f>
        <v/>
      </c>
      <c r="V632">
        <f>IF(B632="","",IF(D632&lt;33.0,0,IF(D632&gt;=100*0.8,5,IF(D632&gt;=100*0.7,4,IF(D632&gt;=100*0.6,3.5,IF(D632&gt;=100*0.5,3,IF(D632&gt;=100*0.4,2,IF(D632&gt;=100*0.33,1,0))))))))</f>
        <v/>
      </c>
      <c r="W632">
        <f>IF(B632="","",IF(E632&lt;16.5,0,IF(E632&gt;=50*0.8,5,IF(E632&gt;=50*0.7,4,IF(E632&gt;=50*0.6,3.5,IF(E632&gt;=50*0.5,3,IF(E632&gt;=50*0.4,2,IF(E632&gt;=50*0.33,1,0))))))))</f>
        <v/>
      </c>
      <c r="X632">
        <f>IF(B632="","",IF(F632&lt;33.0,0,IF(F632&gt;=100*0.8,5,IF(F632&gt;=100*0.7,4,IF(F632&gt;=100*0.6,3.5,IF(F632&gt;=100*0.5,3,IF(F632&gt;=100*0.4,2,IF(F632&gt;=100*0.33,1,0))))))))</f>
        <v/>
      </c>
      <c r="Y632">
        <f>IF(B632="","",IF(G632&lt;16.5,0,IF(G632&gt;=50*0.8,5,IF(G632&gt;=50*0.7,4,IF(G632&gt;=50*0.6,3.5,IF(G632&gt;=50*0.5,3,IF(G632&gt;=50*0.4,2,IF(G632&gt;=50*0.33,1,0))))))))</f>
        <v/>
      </c>
      <c r="Z632">
        <f>IF(B632="","",IF(H632&lt;33.0,0,IF(H632&gt;=100*0.8,5,IF(H632&gt;=100*0.7,4,IF(H632&gt;=100*0.6,3.5,IF(H632&gt;=100*0.5,3,IF(H632&gt;=100*0.4,2,IF(H632&gt;=100*0.33,1,0))))))))</f>
        <v/>
      </c>
      <c r="AA632">
        <f>IF(B632="","",IF(I632&lt;33.0,0,IF(I632&gt;=100*0.8,5,IF(I632&gt;=100*0.7,4,IF(I632&gt;=100*0.6,3.5,IF(I632&gt;=100*0.5,3,IF(I632&gt;=100*0.4,2,IF(I632&gt;=100*0.33,1,0))))))))</f>
        <v/>
      </c>
      <c r="AB632">
        <f>IF(B632="","",IF(J632&lt;33.0,0,IF(J632&gt;=100*0.8,5,IF(J632&gt;=100*0.7,4,IF(J632&gt;=100*0.6,3.5,IF(J632&gt;=100*0.5,3,IF(J632&gt;=100*0.4,2,IF(J632&gt;=100*0.33,1,0))))))))</f>
        <v/>
      </c>
      <c r="AC632">
        <f>IF(B632="","",IF(K632&lt;33.0,0,IF(K632&gt;=100*0.8,5,IF(K632&gt;=100*0.7,4,IF(K632&gt;=100*0.6,3.5,IF(K632&gt;=100*0.5,3,IF(K632&gt;=100*0.4,2,IF(K632&gt;=100*0.33,1,0))))))))</f>
        <v/>
      </c>
      <c r="AD632">
        <f>IF(B632="","",IF(L632&lt;33.0,0,IF(L632&gt;=100*0.8,5,IF(L632&gt;=100*0.7,4,IF(L632&gt;=100*0.6,3.5,IF(L632&gt;=100*0.5,3,IF(L632&gt;=100*0.4,2,IF(L632&gt;=100*0.33,1,0))))))))</f>
        <v/>
      </c>
      <c r="AE632">
        <f>IF(B632="","",IF(M632&lt;33.0,0,IF(M632&gt;=100*0.8,5,IF(M632&gt;=100*0.7,4,IF(M632&gt;=100*0.6,3.5,IF(M632&gt;=100*0.5,3,IF(M632&gt;=100*0.4,2,IF(M632&gt;=100*0.33,1,0))))))))</f>
        <v/>
      </c>
      <c r="AF632">
        <f>IF(B632="","",IF(N632&lt;16.5,0,IF(N632&gt;=50*0.8,5,IF(N632&gt;=50*0.7,4,IF(N632&gt;=50*0.6,3.5,IF(N632&gt;=50*0.5,3,IF(N632&gt;=50*0.4,2,IF(N632&gt;=50*0.33,1,0))))))))</f>
        <v/>
      </c>
      <c r="AG632">
        <f>IF(B632="","",IF(O632&lt;33.0,0,IF(O632&gt;=100*0.8,5,IF(O632&gt;=100*0.7,4,IF(O632&gt;=100*0.6,3.5,IF(O632&gt;=100*0.5,3,IF(O632&gt;=100*0.4,2,IF(O632&gt;=100*0.33,1,0))))))))</f>
        <v/>
      </c>
      <c r="AH632">
        <f>IF(B632="","",IF(OR(U632=0,V632=0,W632=0,X632=0,Y632=0,Z632=0,AA632=0,AB632=0,AC632=0,AD632=0,AE632=0,AF632=0,AG632=0),1,0))</f>
        <v/>
      </c>
    </row>
    <row r="633">
      <c r="A633" s="3">
        <f>IF(B633="","",ROW()-2)</f>
        <v/>
      </c>
      <c r="P633" s="4">
        <f>IF(B633="","",SUM(C633:O633))</f>
        <v/>
      </c>
      <c r="Q633" s="5">
        <f>IF(B633="","",ROUND(P633/13,2))</f>
        <v/>
      </c>
      <c r="R633" s="5">
        <f>IF(B633="","",IF(AH633=1,0,MIN(5,ROUND((U633+V633+W633+X633+Y633+Z633+AA633+AB633+AC633+AD633+AE633+AF633+AG633)/13,2))))</f>
        <v/>
      </c>
      <c r="S633" s="3">
        <f>IF(B633="","",IF(R633&gt;=5,"A+",IF(R633&gt;=4,"A",IF(R633&gt;=3.5,"A-",IF(R633&gt;=3,"B",IF(R633&gt;=2,"C",IF(R633&gt;=1,"D","F")))))))</f>
        <v/>
      </c>
      <c r="T633" s="3">
        <f>IF(OR(B633="",S633="F"),"",COUNTIFS(P:P,"&gt;"&amp;P633,S:S,"&lt;&gt;F")+1)</f>
        <v/>
      </c>
      <c r="U633">
        <f>IF(B633="","",IF(C633&lt;33.0,0,IF(C633&gt;=100*0.8,5,IF(C633&gt;=100*0.7,4,IF(C633&gt;=100*0.6,3.5,IF(C633&gt;=100*0.5,3,IF(C633&gt;=100*0.4,2,IF(C633&gt;=100*0.33,1,0))))))))</f>
        <v/>
      </c>
      <c r="V633">
        <f>IF(B633="","",IF(D633&lt;33.0,0,IF(D633&gt;=100*0.8,5,IF(D633&gt;=100*0.7,4,IF(D633&gt;=100*0.6,3.5,IF(D633&gt;=100*0.5,3,IF(D633&gt;=100*0.4,2,IF(D633&gt;=100*0.33,1,0))))))))</f>
        <v/>
      </c>
      <c r="W633">
        <f>IF(B633="","",IF(E633&lt;16.5,0,IF(E633&gt;=50*0.8,5,IF(E633&gt;=50*0.7,4,IF(E633&gt;=50*0.6,3.5,IF(E633&gt;=50*0.5,3,IF(E633&gt;=50*0.4,2,IF(E633&gt;=50*0.33,1,0))))))))</f>
        <v/>
      </c>
      <c r="X633">
        <f>IF(B633="","",IF(F633&lt;33.0,0,IF(F633&gt;=100*0.8,5,IF(F633&gt;=100*0.7,4,IF(F633&gt;=100*0.6,3.5,IF(F633&gt;=100*0.5,3,IF(F633&gt;=100*0.4,2,IF(F633&gt;=100*0.33,1,0))))))))</f>
        <v/>
      </c>
      <c r="Y633">
        <f>IF(B633="","",IF(G633&lt;16.5,0,IF(G633&gt;=50*0.8,5,IF(G633&gt;=50*0.7,4,IF(G633&gt;=50*0.6,3.5,IF(G633&gt;=50*0.5,3,IF(G633&gt;=50*0.4,2,IF(G633&gt;=50*0.33,1,0))))))))</f>
        <v/>
      </c>
      <c r="Z633">
        <f>IF(B633="","",IF(H633&lt;33.0,0,IF(H633&gt;=100*0.8,5,IF(H633&gt;=100*0.7,4,IF(H633&gt;=100*0.6,3.5,IF(H633&gt;=100*0.5,3,IF(H633&gt;=100*0.4,2,IF(H633&gt;=100*0.33,1,0))))))))</f>
        <v/>
      </c>
      <c r="AA633">
        <f>IF(B633="","",IF(I633&lt;33.0,0,IF(I633&gt;=100*0.8,5,IF(I633&gt;=100*0.7,4,IF(I633&gt;=100*0.6,3.5,IF(I633&gt;=100*0.5,3,IF(I633&gt;=100*0.4,2,IF(I633&gt;=100*0.33,1,0))))))))</f>
        <v/>
      </c>
      <c r="AB633">
        <f>IF(B633="","",IF(J633&lt;33.0,0,IF(J633&gt;=100*0.8,5,IF(J633&gt;=100*0.7,4,IF(J633&gt;=100*0.6,3.5,IF(J633&gt;=100*0.5,3,IF(J633&gt;=100*0.4,2,IF(J633&gt;=100*0.33,1,0))))))))</f>
        <v/>
      </c>
      <c r="AC633">
        <f>IF(B633="","",IF(K633&lt;33.0,0,IF(K633&gt;=100*0.8,5,IF(K633&gt;=100*0.7,4,IF(K633&gt;=100*0.6,3.5,IF(K633&gt;=100*0.5,3,IF(K633&gt;=100*0.4,2,IF(K633&gt;=100*0.33,1,0))))))))</f>
        <v/>
      </c>
      <c r="AD633">
        <f>IF(B633="","",IF(L633&lt;33.0,0,IF(L633&gt;=100*0.8,5,IF(L633&gt;=100*0.7,4,IF(L633&gt;=100*0.6,3.5,IF(L633&gt;=100*0.5,3,IF(L633&gt;=100*0.4,2,IF(L633&gt;=100*0.33,1,0))))))))</f>
        <v/>
      </c>
      <c r="AE633">
        <f>IF(B633="","",IF(M633&lt;33.0,0,IF(M633&gt;=100*0.8,5,IF(M633&gt;=100*0.7,4,IF(M633&gt;=100*0.6,3.5,IF(M633&gt;=100*0.5,3,IF(M633&gt;=100*0.4,2,IF(M633&gt;=100*0.33,1,0))))))))</f>
        <v/>
      </c>
      <c r="AF633">
        <f>IF(B633="","",IF(N633&lt;16.5,0,IF(N633&gt;=50*0.8,5,IF(N633&gt;=50*0.7,4,IF(N633&gt;=50*0.6,3.5,IF(N633&gt;=50*0.5,3,IF(N633&gt;=50*0.4,2,IF(N633&gt;=50*0.33,1,0))))))))</f>
        <v/>
      </c>
      <c r="AG633">
        <f>IF(B633="","",IF(O633&lt;33.0,0,IF(O633&gt;=100*0.8,5,IF(O633&gt;=100*0.7,4,IF(O633&gt;=100*0.6,3.5,IF(O633&gt;=100*0.5,3,IF(O633&gt;=100*0.4,2,IF(O633&gt;=100*0.33,1,0))))))))</f>
        <v/>
      </c>
      <c r="AH633">
        <f>IF(B633="","",IF(OR(U633=0,V633=0,W633=0,X633=0,Y633=0,Z633=0,AA633=0,AB633=0,AC633=0,AD633=0,AE633=0,AF633=0,AG633=0),1,0))</f>
        <v/>
      </c>
    </row>
    <row r="634">
      <c r="A634" s="3">
        <f>IF(B634="","",ROW()-2)</f>
        <v/>
      </c>
      <c r="P634" s="4">
        <f>IF(B634="","",SUM(C634:O634))</f>
        <v/>
      </c>
      <c r="Q634" s="5">
        <f>IF(B634="","",ROUND(P634/13,2))</f>
        <v/>
      </c>
      <c r="R634" s="5">
        <f>IF(B634="","",IF(AH634=1,0,MIN(5,ROUND((U634+V634+W634+X634+Y634+Z634+AA634+AB634+AC634+AD634+AE634+AF634+AG634)/13,2))))</f>
        <v/>
      </c>
      <c r="S634" s="3">
        <f>IF(B634="","",IF(R634&gt;=5,"A+",IF(R634&gt;=4,"A",IF(R634&gt;=3.5,"A-",IF(R634&gt;=3,"B",IF(R634&gt;=2,"C",IF(R634&gt;=1,"D","F")))))))</f>
        <v/>
      </c>
      <c r="T634" s="3">
        <f>IF(OR(B634="",S634="F"),"",COUNTIFS(P:P,"&gt;"&amp;P634,S:S,"&lt;&gt;F")+1)</f>
        <v/>
      </c>
      <c r="U634">
        <f>IF(B634="","",IF(C634&lt;33.0,0,IF(C634&gt;=100*0.8,5,IF(C634&gt;=100*0.7,4,IF(C634&gt;=100*0.6,3.5,IF(C634&gt;=100*0.5,3,IF(C634&gt;=100*0.4,2,IF(C634&gt;=100*0.33,1,0))))))))</f>
        <v/>
      </c>
      <c r="V634">
        <f>IF(B634="","",IF(D634&lt;33.0,0,IF(D634&gt;=100*0.8,5,IF(D634&gt;=100*0.7,4,IF(D634&gt;=100*0.6,3.5,IF(D634&gt;=100*0.5,3,IF(D634&gt;=100*0.4,2,IF(D634&gt;=100*0.33,1,0))))))))</f>
        <v/>
      </c>
      <c r="W634">
        <f>IF(B634="","",IF(E634&lt;16.5,0,IF(E634&gt;=50*0.8,5,IF(E634&gt;=50*0.7,4,IF(E634&gt;=50*0.6,3.5,IF(E634&gt;=50*0.5,3,IF(E634&gt;=50*0.4,2,IF(E634&gt;=50*0.33,1,0))))))))</f>
        <v/>
      </c>
      <c r="X634">
        <f>IF(B634="","",IF(F634&lt;33.0,0,IF(F634&gt;=100*0.8,5,IF(F634&gt;=100*0.7,4,IF(F634&gt;=100*0.6,3.5,IF(F634&gt;=100*0.5,3,IF(F634&gt;=100*0.4,2,IF(F634&gt;=100*0.33,1,0))))))))</f>
        <v/>
      </c>
      <c r="Y634">
        <f>IF(B634="","",IF(G634&lt;16.5,0,IF(G634&gt;=50*0.8,5,IF(G634&gt;=50*0.7,4,IF(G634&gt;=50*0.6,3.5,IF(G634&gt;=50*0.5,3,IF(G634&gt;=50*0.4,2,IF(G634&gt;=50*0.33,1,0))))))))</f>
        <v/>
      </c>
      <c r="Z634">
        <f>IF(B634="","",IF(H634&lt;33.0,0,IF(H634&gt;=100*0.8,5,IF(H634&gt;=100*0.7,4,IF(H634&gt;=100*0.6,3.5,IF(H634&gt;=100*0.5,3,IF(H634&gt;=100*0.4,2,IF(H634&gt;=100*0.33,1,0))))))))</f>
        <v/>
      </c>
      <c r="AA634">
        <f>IF(B634="","",IF(I634&lt;33.0,0,IF(I634&gt;=100*0.8,5,IF(I634&gt;=100*0.7,4,IF(I634&gt;=100*0.6,3.5,IF(I634&gt;=100*0.5,3,IF(I634&gt;=100*0.4,2,IF(I634&gt;=100*0.33,1,0))))))))</f>
        <v/>
      </c>
      <c r="AB634">
        <f>IF(B634="","",IF(J634&lt;33.0,0,IF(J634&gt;=100*0.8,5,IF(J634&gt;=100*0.7,4,IF(J634&gt;=100*0.6,3.5,IF(J634&gt;=100*0.5,3,IF(J634&gt;=100*0.4,2,IF(J634&gt;=100*0.33,1,0))))))))</f>
        <v/>
      </c>
      <c r="AC634">
        <f>IF(B634="","",IF(K634&lt;33.0,0,IF(K634&gt;=100*0.8,5,IF(K634&gt;=100*0.7,4,IF(K634&gt;=100*0.6,3.5,IF(K634&gt;=100*0.5,3,IF(K634&gt;=100*0.4,2,IF(K634&gt;=100*0.33,1,0))))))))</f>
        <v/>
      </c>
      <c r="AD634">
        <f>IF(B634="","",IF(L634&lt;33.0,0,IF(L634&gt;=100*0.8,5,IF(L634&gt;=100*0.7,4,IF(L634&gt;=100*0.6,3.5,IF(L634&gt;=100*0.5,3,IF(L634&gt;=100*0.4,2,IF(L634&gt;=100*0.33,1,0))))))))</f>
        <v/>
      </c>
      <c r="AE634">
        <f>IF(B634="","",IF(M634&lt;33.0,0,IF(M634&gt;=100*0.8,5,IF(M634&gt;=100*0.7,4,IF(M634&gt;=100*0.6,3.5,IF(M634&gt;=100*0.5,3,IF(M634&gt;=100*0.4,2,IF(M634&gt;=100*0.33,1,0))))))))</f>
        <v/>
      </c>
      <c r="AF634">
        <f>IF(B634="","",IF(N634&lt;16.5,0,IF(N634&gt;=50*0.8,5,IF(N634&gt;=50*0.7,4,IF(N634&gt;=50*0.6,3.5,IF(N634&gt;=50*0.5,3,IF(N634&gt;=50*0.4,2,IF(N634&gt;=50*0.33,1,0))))))))</f>
        <v/>
      </c>
      <c r="AG634">
        <f>IF(B634="","",IF(O634&lt;33.0,0,IF(O634&gt;=100*0.8,5,IF(O634&gt;=100*0.7,4,IF(O634&gt;=100*0.6,3.5,IF(O634&gt;=100*0.5,3,IF(O634&gt;=100*0.4,2,IF(O634&gt;=100*0.33,1,0))))))))</f>
        <v/>
      </c>
      <c r="AH634">
        <f>IF(B634="","",IF(OR(U634=0,V634=0,W634=0,X634=0,Y634=0,Z634=0,AA634=0,AB634=0,AC634=0,AD634=0,AE634=0,AF634=0,AG634=0),1,0))</f>
        <v/>
      </c>
    </row>
    <row r="635">
      <c r="A635" s="3">
        <f>IF(B635="","",ROW()-2)</f>
        <v/>
      </c>
      <c r="P635" s="4">
        <f>IF(B635="","",SUM(C635:O635))</f>
        <v/>
      </c>
      <c r="Q635" s="5">
        <f>IF(B635="","",ROUND(P635/13,2))</f>
        <v/>
      </c>
      <c r="R635" s="5">
        <f>IF(B635="","",IF(AH635=1,0,MIN(5,ROUND((U635+V635+W635+X635+Y635+Z635+AA635+AB635+AC635+AD635+AE635+AF635+AG635)/13,2))))</f>
        <v/>
      </c>
      <c r="S635" s="3">
        <f>IF(B635="","",IF(R635&gt;=5,"A+",IF(R635&gt;=4,"A",IF(R635&gt;=3.5,"A-",IF(R635&gt;=3,"B",IF(R635&gt;=2,"C",IF(R635&gt;=1,"D","F")))))))</f>
        <v/>
      </c>
      <c r="T635" s="3">
        <f>IF(OR(B635="",S635="F"),"",COUNTIFS(P:P,"&gt;"&amp;P635,S:S,"&lt;&gt;F")+1)</f>
        <v/>
      </c>
      <c r="U635">
        <f>IF(B635="","",IF(C635&lt;33.0,0,IF(C635&gt;=100*0.8,5,IF(C635&gt;=100*0.7,4,IF(C635&gt;=100*0.6,3.5,IF(C635&gt;=100*0.5,3,IF(C635&gt;=100*0.4,2,IF(C635&gt;=100*0.33,1,0))))))))</f>
        <v/>
      </c>
      <c r="V635">
        <f>IF(B635="","",IF(D635&lt;33.0,0,IF(D635&gt;=100*0.8,5,IF(D635&gt;=100*0.7,4,IF(D635&gt;=100*0.6,3.5,IF(D635&gt;=100*0.5,3,IF(D635&gt;=100*0.4,2,IF(D635&gt;=100*0.33,1,0))))))))</f>
        <v/>
      </c>
      <c r="W635">
        <f>IF(B635="","",IF(E635&lt;16.5,0,IF(E635&gt;=50*0.8,5,IF(E635&gt;=50*0.7,4,IF(E635&gt;=50*0.6,3.5,IF(E635&gt;=50*0.5,3,IF(E635&gt;=50*0.4,2,IF(E635&gt;=50*0.33,1,0))))))))</f>
        <v/>
      </c>
      <c r="X635">
        <f>IF(B635="","",IF(F635&lt;33.0,0,IF(F635&gt;=100*0.8,5,IF(F635&gt;=100*0.7,4,IF(F635&gt;=100*0.6,3.5,IF(F635&gt;=100*0.5,3,IF(F635&gt;=100*0.4,2,IF(F635&gt;=100*0.33,1,0))))))))</f>
        <v/>
      </c>
      <c r="Y635">
        <f>IF(B635="","",IF(G635&lt;16.5,0,IF(G635&gt;=50*0.8,5,IF(G635&gt;=50*0.7,4,IF(G635&gt;=50*0.6,3.5,IF(G635&gt;=50*0.5,3,IF(G635&gt;=50*0.4,2,IF(G635&gt;=50*0.33,1,0))))))))</f>
        <v/>
      </c>
      <c r="Z635">
        <f>IF(B635="","",IF(H635&lt;33.0,0,IF(H635&gt;=100*0.8,5,IF(H635&gt;=100*0.7,4,IF(H635&gt;=100*0.6,3.5,IF(H635&gt;=100*0.5,3,IF(H635&gt;=100*0.4,2,IF(H635&gt;=100*0.33,1,0))))))))</f>
        <v/>
      </c>
      <c r="AA635">
        <f>IF(B635="","",IF(I635&lt;33.0,0,IF(I635&gt;=100*0.8,5,IF(I635&gt;=100*0.7,4,IF(I635&gt;=100*0.6,3.5,IF(I635&gt;=100*0.5,3,IF(I635&gt;=100*0.4,2,IF(I635&gt;=100*0.33,1,0))))))))</f>
        <v/>
      </c>
      <c r="AB635">
        <f>IF(B635="","",IF(J635&lt;33.0,0,IF(J635&gt;=100*0.8,5,IF(J635&gt;=100*0.7,4,IF(J635&gt;=100*0.6,3.5,IF(J635&gt;=100*0.5,3,IF(J635&gt;=100*0.4,2,IF(J635&gt;=100*0.33,1,0))))))))</f>
        <v/>
      </c>
      <c r="AC635">
        <f>IF(B635="","",IF(K635&lt;33.0,0,IF(K635&gt;=100*0.8,5,IF(K635&gt;=100*0.7,4,IF(K635&gt;=100*0.6,3.5,IF(K635&gt;=100*0.5,3,IF(K635&gt;=100*0.4,2,IF(K635&gt;=100*0.33,1,0))))))))</f>
        <v/>
      </c>
      <c r="AD635">
        <f>IF(B635="","",IF(L635&lt;33.0,0,IF(L635&gt;=100*0.8,5,IF(L635&gt;=100*0.7,4,IF(L635&gt;=100*0.6,3.5,IF(L635&gt;=100*0.5,3,IF(L635&gt;=100*0.4,2,IF(L635&gt;=100*0.33,1,0))))))))</f>
        <v/>
      </c>
      <c r="AE635">
        <f>IF(B635="","",IF(M635&lt;33.0,0,IF(M635&gt;=100*0.8,5,IF(M635&gt;=100*0.7,4,IF(M635&gt;=100*0.6,3.5,IF(M635&gt;=100*0.5,3,IF(M635&gt;=100*0.4,2,IF(M635&gt;=100*0.33,1,0))))))))</f>
        <v/>
      </c>
      <c r="AF635">
        <f>IF(B635="","",IF(N635&lt;16.5,0,IF(N635&gt;=50*0.8,5,IF(N635&gt;=50*0.7,4,IF(N635&gt;=50*0.6,3.5,IF(N635&gt;=50*0.5,3,IF(N635&gt;=50*0.4,2,IF(N635&gt;=50*0.33,1,0))))))))</f>
        <v/>
      </c>
      <c r="AG635">
        <f>IF(B635="","",IF(O635&lt;33.0,0,IF(O635&gt;=100*0.8,5,IF(O635&gt;=100*0.7,4,IF(O635&gt;=100*0.6,3.5,IF(O635&gt;=100*0.5,3,IF(O635&gt;=100*0.4,2,IF(O635&gt;=100*0.33,1,0))))))))</f>
        <v/>
      </c>
      <c r="AH635">
        <f>IF(B635="","",IF(OR(U635=0,V635=0,W635=0,X635=0,Y635=0,Z635=0,AA635=0,AB635=0,AC635=0,AD635=0,AE635=0,AF635=0,AG635=0),1,0))</f>
        <v/>
      </c>
    </row>
    <row r="636">
      <c r="A636" s="3">
        <f>IF(B636="","",ROW()-2)</f>
        <v/>
      </c>
      <c r="P636" s="4">
        <f>IF(B636="","",SUM(C636:O636))</f>
        <v/>
      </c>
      <c r="Q636" s="5">
        <f>IF(B636="","",ROUND(P636/13,2))</f>
        <v/>
      </c>
      <c r="R636" s="5">
        <f>IF(B636="","",IF(AH636=1,0,MIN(5,ROUND((U636+V636+W636+X636+Y636+Z636+AA636+AB636+AC636+AD636+AE636+AF636+AG636)/13,2))))</f>
        <v/>
      </c>
      <c r="S636" s="3">
        <f>IF(B636="","",IF(R636&gt;=5,"A+",IF(R636&gt;=4,"A",IF(R636&gt;=3.5,"A-",IF(R636&gt;=3,"B",IF(R636&gt;=2,"C",IF(R636&gt;=1,"D","F")))))))</f>
        <v/>
      </c>
      <c r="T636" s="3">
        <f>IF(OR(B636="",S636="F"),"",COUNTIFS(P:P,"&gt;"&amp;P636,S:S,"&lt;&gt;F")+1)</f>
        <v/>
      </c>
      <c r="U636">
        <f>IF(B636="","",IF(C636&lt;33.0,0,IF(C636&gt;=100*0.8,5,IF(C636&gt;=100*0.7,4,IF(C636&gt;=100*0.6,3.5,IF(C636&gt;=100*0.5,3,IF(C636&gt;=100*0.4,2,IF(C636&gt;=100*0.33,1,0))))))))</f>
        <v/>
      </c>
      <c r="V636">
        <f>IF(B636="","",IF(D636&lt;33.0,0,IF(D636&gt;=100*0.8,5,IF(D636&gt;=100*0.7,4,IF(D636&gt;=100*0.6,3.5,IF(D636&gt;=100*0.5,3,IF(D636&gt;=100*0.4,2,IF(D636&gt;=100*0.33,1,0))))))))</f>
        <v/>
      </c>
      <c r="W636">
        <f>IF(B636="","",IF(E636&lt;16.5,0,IF(E636&gt;=50*0.8,5,IF(E636&gt;=50*0.7,4,IF(E636&gt;=50*0.6,3.5,IF(E636&gt;=50*0.5,3,IF(E636&gt;=50*0.4,2,IF(E636&gt;=50*0.33,1,0))))))))</f>
        <v/>
      </c>
      <c r="X636">
        <f>IF(B636="","",IF(F636&lt;33.0,0,IF(F636&gt;=100*0.8,5,IF(F636&gt;=100*0.7,4,IF(F636&gt;=100*0.6,3.5,IF(F636&gt;=100*0.5,3,IF(F636&gt;=100*0.4,2,IF(F636&gt;=100*0.33,1,0))))))))</f>
        <v/>
      </c>
      <c r="Y636">
        <f>IF(B636="","",IF(G636&lt;16.5,0,IF(G636&gt;=50*0.8,5,IF(G636&gt;=50*0.7,4,IF(G636&gt;=50*0.6,3.5,IF(G636&gt;=50*0.5,3,IF(G636&gt;=50*0.4,2,IF(G636&gt;=50*0.33,1,0))))))))</f>
        <v/>
      </c>
      <c r="Z636">
        <f>IF(B636="","",IF(H636&lt;33.0,0,IF(H636&gt;=100*0.8,5,IF(H636&gt;=100*0.7,4,IF(H636&gt;=100*0.6,3.5,IF(H636&gt;=100*0.5,3,IF(H636&gt;=100*0.4,2,IF(H636&gt;=100*0.33,1,0))))))))</f>
        <v/>
      </c>
      <c r="AA636">
        <f>IF(B636="","",IF(I636&lt;33.0,0,IF(I636&gt;=100*0.8,5,IF(I636&gt;=100*0.7,4,IF(I636&gt;=100*0.6,3.5,IF(I636&gt;=100*0.5,3,IF(I636&gt;=100*0.4,2,IF(I636&gt;=100*0.33,1,0))))))))</f>
        <v/>
      </c>
      <c r="AB636">
        <f>IF(B636="","",IF(J636&lt;33.0,0,IF(J636&gt;=100*0.8,5,IF(J636&gt;=100*0.7,4,IF(J636&gt;=100*0.6,3.5,IF(J636&gt;=100*0.5,3,IF(J636&gt;=100*0.4,2,IF(J636&gt;=100*0.33,1,0))))))))</f>
        <v/>
      </c>
      <c r="AC636">
        <f>IF(B636="","",IF(K636&lt;33.0,0,IF(K636&gt;=100*0.8,5,IF(K636&gt;=100*0.7,4,IF(K636&gt;=100*0.6,3.5,IF(K636&gt;=100*0.5,3,IF(K636&gt;=100*0.4,2,IF(K636&gt;=100*0.33,1,0))))))))</f>
        <v/>
      </c>
      <c r="AD636">
        <f>IF(B636="","",IF(L636&lt;33.0,0,IF(L636&gt;=100*0.8,5,IF(L636&gt;=100*0.7,4,IF(L636&gt;=100*0.6,3.5,IF(L636&gt;=100*0.5,3,IF(L636&gt;=100*0.4,2,IF(L636&gt;=100*0.33,1,0))))))))</f>
        <v/>
      </c>
      <c r="AE636">
        <f>IF(B636="","",IF(M636&lt;33.0,0,IF(M636&gt;=100*0.8,5,IF(M636&gt;=100*0.7,4,IF(M636&gt;=100*0.6,3.5,IF(M636&gt;=100*0.5,3,IF(M636&gt;=100*0.4,2,IF(M636&gt;=100*0.33,1,0))))))))</f>
        <v/>
      </c>
      <c r="AF636">
        <f>IF(B636="","",IF(N636&lt;16.5,0,IF(N636&gt;=50*0.8,5,IF(N636&gt;=50*0.7,4,IF(N636&gt;=50*0.6,3.5,IF(N636&gt;=50*0.5,3,IF(N636&gt;=50*0.4,2,IF(N636&gt;=50*0.33,1,0))))))))</f>
        <v/>
      </c>
      <c r="AG636">
        <f>IF(B636="","",IF(O636&lt;33.0,0,IF(O636&gt;=100*0.8,5,IF(O636&gt;=100*0.7,4,IF(O636&gt;=100*0.6,3.5,IF(O636&gt;=100*0.5,3,IF(O636&gt;=100*0.4,2,IF(O636&gt;=100*0.33,1,0))))))))</f>
        <v/>
      </c>
      <c r="AH636">
        <f>IF(B636="","",IF(OR(U636=0,V636=0,W636=0,X636=0,Y636=0,Z636=0,AA636=0,AB636=0,AC636=0,AD636=0,AE636=0,AF636=0,AG636=0),1,0))</f>
        <v/>
      </c>
    </row>
    <row r="637">
      <c r="A637" s="3">
        <f>IF(B637="","",ROW()-2)</f>
        <v/>
      </c>
      <c r="P637" s="4">
        <f>IF(B637="","",SUM(C637:O637))</f>
        <v/>
      </c>
      <c r="Q637" s="5">
        <f>IF(B637="","",ROUND(P637/13,2))</f>
        <v/>
      </c>
      <c r="R637" s="5">
        <f>IF(B637="","",IF(AH637=1,0,MIN(5,ROUND((U637+V637+W637+X637+Y637+Z637+AA637+AB637+AC637+AD637+AE637+AF637+AG637)/13,2))))</f>
        <v/>
      </c>
      <c r="S637" s="3">
        <f>IF(B637="","",IF(R637&gt;=5,"A+",IF(R637&gt;=4,"A",IF(R637&gt;=3.5,"A-",IF(R637&gt;=3,"B",IF(R637&gt;=2,"C",IF(R637&gt;=1,"D","F")))))))</f>
        <v/>
      </c>
      <c r="T637" s="3">
        <f>IF(OR(B637="",S637="F"),"",COUNTIFS(P:P,"&gt;"&amp;P637,S:S,"&lt;&gt;F")+1)</f>
        <v/>
      </c>
      <c r="U637">
        <f>IF(B637="","",IF(C637&lt;33.0,0,IF(C637&gt;=100*0.8,5,IF(C637&gt;=100*0.7,4,IF(C637&gt;=100*0.6,3.5,IF(C637&gt;=100*0.5,3,IF(C637&gt;=100*0.4,2,IF(C637&gt;=100*0.33,1,0))))))))</f>
        <v/>
      </c>
      <c r="V637">
        <f>IF(B637="","",IF(D637&lt;33.0,0,IF(D637&gt;=100*0.8,5,IF(D637&gt;=100*0.7,4,IF(D637&gt;=100*0.6,3.5,IF(D637&gt;=100*0.5,3,IF(D637&gt;=100*0.4,2,IF(D637&gt;=100*0.33,1,0))))))))</f>
        <v/>
      </c>
      <c r="W637">
        <f>IF(B637="","",IF(E637&lt;16.5,0,IF(E637&gt;=50*0.8,5,IF(E637&gt;=50*0.7,4,IF(E637&gt;=50*0.6,3.5,IF(E637&gt;=50*0.5,3,IF(E637&gt;=50*0.4,2,IF(E637&gt;=50*0.33,1,0))))))))</f>
        <v/>
      </c>
      <c r="X637">
        <f>IF(B637="","",IF(F637&lt;33.0,0,IF(F637&gt;=100*0.8,5,IF(F637&gt;=100*0.7,4,IF(F637&gt;=100*0.6,3.5,IF(F637&gt;=100*0.5,3,IF(F637&gt;=100*0.4,2,IF(F637&gt;=100*0.33,1,0))))))))</f>
        <v/>
      </c>
      <c r="Y637">
        <f>IF(B637="","",IF(G637&lt;16.5,0,IF(G637&gt;=50*0.8,5,IF(G637&gt;=50*0.7,4,IF(G637&gt;=50*0.6,3.5,IF(G637&gt;=50*0.5,3,IF(G637&gt;=50*0.4,2,IF(G637&gt;=50*0.33,1,0))))))))</f>
        <v/>
      </c>
      <c r="Z637">
        <f>IF(B637="","",IF(H637&lt;33.0,0,IF(H637&gt;=100*0.8,5,IF(H637&gt;=100*0.7,4,IF(H637&gt;=100*0.6,3.5,IF(H637&gt;=100*0.5,3,IF(H637&gt;=100*0.4,2,IF(H637&gt;=100*0.33,1,0))))))))</f>
        <v/>
      </c>
      <c r="AA637">
        <f>IF(B637="","",IF(I637&lt;33.0,0,IF(I637&gt;=100*0.8,5,IF(I637&gt;=100*0.7,4,IF(I637&gt;=100*0.6,3.5,IF(I637&gt;=100*0.5,3,IF(I637&gt;=100*0.4,2,IF(I637&gt;=100*0.33,1,0))))))))</f>
        <v/>
      </c>
      <c r="AB637">
        <f>IF(B637="","",IF(J637&lt;33.0,0,IF(J637&gt;=100*0.8,5,IF(J637&gt;=100*0.7,4,IF(J637&gt;=100*0.6,3.5,IF(J637&gt;=100*0.5,3,IF(J637&gt;=100*0.4,2,IF(J637&gt;=100*0.33,1,0))))))))</f>
        <v/>
      </c>
      <c r="AC637">
        <f>IF(B637="","",IF(K637&lt;33.0,0,IF(K637&gt;=100*0.8,5,IF(K637&gt;=100*0.7,4,IF(K637&gt;=100*0.6,3.5,IF(K637&gt;=100*0.5,3,IF(K637&gt;=100*0.4,2,IF(K637&gt;=100*0.33,1,0))))))))</f>
        <v/>
      </c>
      <c r="AD637">
        <f>IF(B637="","",IF(L637&lt;33.0,0,IF(L637&gt;=100*0.8,5,IF(L637&gt;=100*0.7,4,IF(L637&gt;=100*0.6,3.5,IF(L637&gt;=100*0.5,3,IF(L637&gt;=100*0.4,2,IF(L637&gt;=100*0.33,1,0))))))))</f>
        <v/>
      </c>
      <c r="AE637">
        <f>IF(B637="","",IF(M637&lt;33.0,0,IF(M637&gt;=100*0.8,5,IF(M637&gt;=100*0.7,4,IF(M637&gt;=100*0.6,3.5,IF(M637&gt;=100*0.5,3,IF(M637&gt;=100*0.4,2,IF(M637&gt;=100*0.33,1,0))))))))</f>
        <v/>
      </c>
      <c r="AF637">
        <f>IF(B637="","",IF(N637&lt;16.5,0,IF(N637&gt;=50*0.8,5,IF(N637&gt;=50*0.7,4,IF(N637&gt;=50*0.6,3.5,IF(N637&gt;=50*0.5,3,IF(N637&gt;=50*0.4,2,IF(N637&gt;=50*0.33,1,0))))))))</f>
        <v/>
      </c>
      <c r="AG637">
        <f>IF(B637="","",IF(O637&lt;33.0,0,IF(O637&gt;=100*0.8,5,IF(O637&gt;=100*0.7,4,IF(O637&gt;=100*0.6,3.5,IF(O637&gt;=100*0.5,3,IF(O637&gt;=100*0.4,2,IF(O637&gt;=100*0.33,1,0))))))))</f>
        <v/>
      </c>
      <c r="AH637">
        <f>IF(B637="","",IF(OR(U637=0,V637=0,W637=0,X637=0,Y637=0,Z637=0,AA637=0,AB637=0,AC637=0,AD637=0,AE637=0,AF637=0,AG637=0),1,0))</f>
        <v/>
      </c>
    </row>
    <row r="638">
      <c r="A638" s="3">
        <f>IF(B638="","",ROW()-2)</f>
        <v/>
      </c>
      <c r="P638" s="4">
        <f>IF(B638="","",SUM(C638:O638))</f>
        <v/>
      </c>
      <c r="Q638" s="5">
        <f>IF(B638="","",ROUND(P638/13,2))</f>
        <v/>
      </c>
      <c r="R638" s="5">
        <f>IF(B638="","",IF(AH638=1,0,MIN(5,ROUND((U638+V638+W638+X638+Y638+Z638+AA638+AB638+AC638+AD638+AE638+AF638+AG638)/13,2))))</f>
        <v/>
      </c>
      <c r="S638" s="3">
        <f>IF(B638="","",IF(R638&gt;=5,"A+",IF(R638&gt;=4,"A",IF(R638&gt;=3.5,"A-",IF(R638&gt;=3,"B",IF(R638&gt;=2,"C",IF(R638&gt;=1,"D","F")))))))</f>
        <v/>
      </c>
      <c r="T638" s="3">
        <f>IF(OR(B638="",S638="F"),"",COUNTIFS(P:P,"&gt;"&amp;P638,S:S,"&lt;&gt;F")+1)</f>
        <v/>
      </c>
      <c r="U638">
        <f>IF(B638="","",IF(C638&lt;33.0,0,IF(C638&gt;=100*0.8,5,IF(C638&gt;=100*0.7,4,IF(C638&gt;=100*0.6,3.5,IF(C638&gt;=100*0.5,3,IF(C638&gt;=100*0.4,2,IF(C638&gt;=100*0.33,1,0))))))))</f>
        <v/>
      </c>
      <c r="V638">
        <f>IF(B638="","",IF(D638&lt;33.0,0,IF(D638&gt;=100*0.8,5,IF(D638&gt;=100*0.7,4,IF(D638&gt;=100*0.6,3.5,IF(D638&gt;=100*0.5,3,IF(D638&gt;=100*0.4,2,IF(D638&gt;=100*0.33,1,0))))))))</f>
        <v/>
      </c>
      <c r="W638">
        <f>IF(B638="","",IF(E638&lt;16.5,0,IF(E638&gt;=50*0.8,5,IF(E638&gt;=50*0.7,4,IF(E638&gt;=50*0.6,3.5,IF(E638&gt;=50*0.5,3,IF(E638&gt;=50*0.4,2,IF(E638&gt;=50*0.33,1,0))))))))</f>
        <v/>
      </c>
      <c r="X638">
        <f>IF(B638="","",IF(F638&lt;33.0,0,IF(F638&gt;=100*0.8,5,IF(F638&gt;=100*0.7,4,IF(F638&gt;=100*0.6,3.5,IF(F638&gt;=100*0.5,3,IF(F638&gt;=100*0.4,2,IF(F638&gt;=100*0.33,1,0))))))))</f>
        <v/>
      </c>
      <c r="Y638">
        <f>IF(B638="","",IF(G638&lt;16.5,0,IF(G638&gt;=50*0.8,5,IF(G638&gt;=50*0.7,4,IF(G638&gt;=50*0.6,3.5,IF(G638&gt;=50*0.5,3,IF(G638&gt;=50*0.4,2,IF(G638&gt;=50*0.33,1,0))))))))</f>
        <v/>
      </c>
      <c r="Z638">
        <f>IF(B638="","",IF(H638&lt;33.0,0,IF(H638&gt;=100*0.8,5,IF(H638&gt;=100*0.7,4,IF(H638&gt;=100*0.6,3.5,IF(H638&gt;=100*0.5,3,IF(H638&gt;=100*0.4,2,IF(H638&gt;=100*0.33,1,0))))))))</f>
        <v/>
      </c>
      <c r="AA638">
        <f>IF(B638="","",IF(I638&lt;33.0,0,IF(I638&gt;=100*0.8,5,IF(I638&gt;=100*0.7,4,IF(I638&gt;=100*0.6,3.5,IF(I638&gt;=100*0.5,3,IF(I638&gt;=100*0.4,2,IF(I638&gt;=100*0.33,1,0))))))))</f>
        <v/>
      </c>
      <c r="AB638">
        <f>IF(B638="","",IF(J638&lt;33.0,0,IF(J638&gt;=100*0.8,5,IF(J638&gt;=100*0.7,4,IF(J638&gt;=100*0.6,3.5,IF(J638&gt;=100*0.5,3,IF(J638&gt;=100*0.4,2,IF(J638&gt;=100*0.33,1,0))))))))</f>
        <v/>
      </c>
      <c r="AC638">
        <f>IF(B638="","",IF(K638&lt;33.0,0,IF(K638&gt;=100*0.8,5,IF(K638&gt;=100*0.7,4,IF(K638&gt;=100*0.6,3.5,IF(K638&gt;=100*0.5,3,IF(K638&gt;=100*0.4,2,IF(K638&gt;=100*0.33,1,0))))))))</f>
        <v/>
      </c>
      <c r="AD638">
        <f>IF(B638="","",IF(L638&lt;33.0,0,IF(L638&gt;=100*0.8,5,IF(L638&gt;=100*0.7,4,IF(L638&gt;=100*0.6,3.5,IF(L638&gt;=100*0.5,3,IF(L638&gt;=100*0.4,2,IF(L638&gt;=100*0.33,1,0))))))))</f>
        <v/>
      </c>
      <c r="AE638">
        <f>IF(B638="","",IF(M638&lt;33.0,0,IF(M638&gt;=100*0.8,5,IF(M638&gt;=100*0.7,4,IF(M638&gt;=100*0.6,3.5,IF(M638&gt;=100*0.5,3,IF(M638&gt;=100*0.4,2,IF(M638&gt;=100*0.33,1,0))))))))</f>
        <v/>
      </c>
      <c r="AF638">
        <f>IF(B638="","",IF(N638&lt;16.5,0,IF(N638&gt;=50*0.8,5,IF(N638&gt;=50*0.7,4,IF(N638&gt;=50*0.6,3.5,IF(N638&gt;=50*0.5,3,IF(N638&gt;=50*0.4,2,IF(N638&gt;=50*0.33,1,0))))))))</f>
        <v/>
      </c>
      <c r="AG638">
        <f>IF(B638="","",IF(O638&lt;33.0,0,IF(O638&gt;=100*0.8,5,IF(O638&gt;=100*0.7,4,IF(O638&gt;=100*0.6,3.5,IF(O638&gt;=100*0.5,3,IF(O638&gt;=100*0.4,2,IF(O638&gt;=100*0.33,1,0))))))))</f>
        <v/>
      </c>
      <c r="AH638">
        <f>IF(B638="","",IF(OR(U638=0,V638=0,W638=0,X638=0,Y638=0,Z638=0,AA638=0,AB638=0,AC638=0,AD638=0,AE638=0,AF638=0,AG638=0),1,0))</f>
        <v/>
      </c>
    </row>
    <row r="639">
      <c r="A639" s="3">
        <f>IF(B639="","",ROW()-2)</f>
        <v/>
      </c>
      <c r="P639" s="4">
        <f>IF(B639="","",SUM(C639:O639))</f>
        <v/>
      </c>
      <c r="Q639" s="5">
        <f>IF(B639="","",ROUND(P639/13,2))</f>
        <v/>
      </c>
      <c r="R639" s="5">
        <f>IF(B639="","",IF(AH639=1,0,MIN(5,ROUND((U639+V639+W639+X639+Y639+Z639+AA639+AB639+AC639+AD639+AE639+AF639+AG639)/13,2))))</f>
        <v/>
      </c>
      <c r="S639" s="3">
        <f>IF(B639="","",IF(R639&gt;=5,"A+",IF(R639&gt;=4,"A",IF(R639&gt;=3.5,"A-",IF(R639&gt;=3,"B",IF(R639&gt;=2,"C",IF(R639&gt;=1,"D","F")))))))</f>
        <v/>
      </c>
      <c r="T639" s="3">
        <f>IF(OR(B639="",S639="F"),"",COUNTIFS(P:P,"&gt;"&amp;P639,S:S,"&lt;&gt;F")+1)</f>
        <v/>
      </c>
      <c r="U639">
        <f>IF(B639="","",IF(C639&lt;33.0,0,IF(C639&gt;=100*0.8,5,IF(C639&gt;=100*0.7,4,IF(C639&gt;=100*0.6,3.5,IF(C639&gt;=100*0.5,3,IF(C639&gt;=100*0.4,2,IF(C639&gt;=100*0.33,1,0))))))))</f>
        <v/>
      </c>
      <c r="V639">
        <f>IF(B639="","",IF(D639&lt;33.0,0,IF(D639&gt;=100*0.8,5,IF(D639&gt;=100*0.7,4,IF(D639&gt;=100*0.6,3.5,IF(D639&gt;=100*0.5,3,IF(D639&gt;=100*0.4,2,IF(D639&gt;=100*0.33,1,0))))))))</f>
        <v/>
      </c>
      <c r="W639">
        <f>IF(B639="","",IF(E639&lt;16.5,0,IF(E639&gt;=50*0.8,5,IF(E639&gt;=50*0.7,4,IF(E639&gt;=50*0.6,3.5,IF(E639&gt;=50*0.5,3,IF(E639&gt;=50*0.4,2,IF(E639&gt;=50*0.33,1,0))))))))</f>
        <v/>
      </c>
      <c r="X639">
        <f>IF(B639="","",IF(F639&lt;33.0,0,IF(F639&gt;=100*0.8,5,IF(F639&gt;=100*0.7,4,IF(F639&gt;=100*0.6,3.5,IF(F639&gt;=100*0.5,3,IF(F639&gt;=100*0.4,2,IF(F639&gt;=100*0.33,1,0))))))))</f>
        <v/>
      </c>
      <c r="Y639">
        <f>IF(B639="","",IF(G639&lt;16.5,0,IF(G639&gt;=50*0.8,5,IF(G639&gt;=50*0.7,4,IF(G639&gt;=50*0.6,3.5,IF(G639&gt;=50*0.5,3,IF(G639&gt;=50*0.4,2,IF(G639&gt;=50*0.33,1,0))))))))</f>
        <v/>
      </c>
      <c r="Z639">
        <f>IF(B639="","",IF(H639&lt;33.0,0,IF(H639&gt;=100*0.8,5,IF(H639&gt;=100*0.7,4,IF(H639&gt;=100*0.6,3.5,IF(H639&gt;=100*0.5,3,IF(H639&gt;=100*0.4,2,IF(H639&gt;=100*0.33,1,0))))))))</f>
        <v/>
      </c>
      <c r="AA639">
        <f>IF(B639="","",IF(I639&lt;33.0,0,IF(I639&gt;=100*0.8,5,IF(I639&gt;=100*0.7,4,IF(I639&gt;=100*0.6,3.5,IF(I639&gt;=100*0.5,3,IF(I639&gt;=100*0.4,2,IF(I639&gt;=100*0.33,1,0))))))))</f>
        <v/>
      </c>
      <c r="AB639">
        <f>IF(B639="","",IF(J639&lt;33.0,0,IF(J639&gt;=100*0.8,5,IF(J639&gt;=100*0.7,4,IF(J639&gt;=100*0.6,3.5,IF(J639&gt;=100*0.5,3,IF(J639&gt;=100*0.4,2,IF(J639&gt;=100*0.33,1,0))))))))</f>
        <v/>
      </c>
      <c r="AC639">
        <f>IF(B639="","",IF(K639&lt;33.0,0,IF(K639&gt;=100*0.8,5,IF(K639&gt;=100*0.7,4,IF(K639&gt;=100*0.6,3.5,IF(K639&gt;=100*0.5,3,IF(K639&gt;=100*0.4,2,IF(K639&gt;=100*0.33,1,0))))))))</f>
        <v/>
      </c>
      <c r="AD639">
        <f>IF(B639="","",IF(L639&lt;33.0,0,IF(L639&gt;=100*0.8,5,IF(L639&gt;=100*0.7,4,IF(L639&gt;=100*0.6,3.5,IF(L639&gt;=100*0.5,3,IF(L639&gt;=100*0.4,2,IF(L639&gt;=100*0.33,1,0))))))))</f>
        <v/>
      </c>
      <c r="AE639">
        <f>IF(B639="","",IF(M639&lt;33.0,0,IF(M639&gt;=100*0.8,5,IF(M639&gt;=100*0.7,4,IF(M639&gt;=100*0.6,3.5,IF(M639&gt;=100*0.5,3,IF(M639&gt;=100*0.4,2,IF(M639&gt;=100*0.33,1,0))))))))</f>
        <v/>
      </c>
      <c r="AF639">
        <f>IF(B639="","",IF(N639&lt;16.5,0,IF(N639&gt;=50*0.8,5,IF(N639&gt;=50*0.7,4,IF(N639&gt;=50*0.6,3.5,IF(N639&gt;=50*0.5,3,IF(N639&gt;=50*0.4,2,IF(N639&gt;=50*0.33,1,0))))))))</f>
        <v/>
      </c>
      <c r="AG639">
        <f>IF(B639="","",IF(O639&lt;33.0,0,IF(O639&gt;=100*0.8,5,IF(O639&gt;=100*0.7,4,IF(O639&gt;=100*0.6,3.5,IF(O639&gt;=100*0.5,3,IF(O639&gt;=100*0.4,2,IF(O639&gt;=100*0.33,1,0))))))))</f>
        <v/>
      </c>
      <c r="AH639">
        <f>IF(B639="","",IF(OR(U639=0,V639=0,W639=0,X639=0,Y639=0,Z639=0,AA639=0,AB639=0,AC639=0,AD639=0,AE639=0,AF639=0,AG639=0),1,0))</f>
        <v/>
      </c>
    </row>
    <row r="640">
      <c r="A640" s="3">
        <f>IF(B640="","",ROW()-2)</f>
        <v/>
      </c>
      <c r="P640" s="4">
        <f>IF(B640="","",SUM(C640:O640))</f>
        <v/>
      </c>
      <c r="Q640" s="5">
        <f>IF(B640="","",ROUND(P640/13,2))</f>
        <v/>
      </c>
      <c r="R640" s="5">
        <f>IF(B640="","",IF(AH640=1,0,MIN(5,ROUND((U640+V640+W640+X640+Y640+Z640+AA640+AB640+AC640+AD640+AE640+AF640+AG640)/13,2))))</f>
        <v/>
      </c>
      <c r="S640" s="3">
        <f>IF(B640="","",IF(R640&gt;=5,"A+",IF(R640&gt;=4,"A",IF(R640&gt;=3.5,"A-",IF(R640&gt;=3,"B",IF(R640&gt;=2,"C",IF(R640&gt;=1,"D","F")))))))</f>
        <v/>
      </c>
      <c r="T640" s="3">
        <f>IF(OR(B640="",S640="F"),"",COUNTIFS(P:P,"&gt;"&amp;P640,S:S,"&lt;&gt;F")+1)</f>
        <v/>
      </c>
      <c r="U640">
        <f>IF(B640="","",IF(C640&lt;33.0,0,IF(C640&gt;=100*0.8,5,IF(C640&gt;=100*0.7,4,IF(C640&gt;=100*0.6,3.5,IF(C640&gt;=100*0.5,3,IF(C640&gt;=100*0.4,2,IF(C640&gt;=100*0.33,1,0))))))))</f>
        <v/>
      </c>
      <c r="V640">
        <f>IF(B640="","",IF(D640&lt;33.0,0,IF(D640&gt;=100*0.8,5,IF(D640&gt;=100*0.7,4,IF(D640&gt;=100*0.6,3.5,IF(D640&gt;=100*0.5,3,IF(D640&gt;=100*0.4,2,IF(D640&gt;=100*0.33,1,0))))))))</f>
        <v/>
      </c>
      <c r="W640">
        <f>IF(B640="","",IF(E640&lt;16.5,0,IF(E640&gt;=50*0.8,5,IF(E640&gt;=50*0.7,4,IF(E640&gt;=50*0.6,3.5,IF(E640&gt;=50*0.5,3,IF(E640&gt;=50*0.4,2,IF(E640&gt;=50*0.33,1,0))))))))</f>
        <v/>
      </c>
      <c r="X640">
        <f>IF(B640="","",IF(F640&lt;33.0,0,IF(F640&gt;=100*0.8,5,IF(F640&gt;=100*0.7,4,IF(F640&gt;=100*0.6,3.5,IF(F640&gt;=100*0.5,3,IF(F640&gt;=100*0.4,2,IF(F640&gt;=100*0.33,1,0))))))))</f>
        <v/>
      </c>
      <c r="Y640">
        <f>IF(B640="","",IF(G640&lt;16.5,0,IF(G640&gt;=50*0.8,5,IF(G640&gt;=50*0.7,4,IF(G640&gt;=50*0.6,3.5,IF(G640&gt;=50*0.5,3,IF(G640&gt;=50*0.4,2,IF(G640&gt;=50*0.33,1,0))))))))</f>
        <v/>
      </c>
      <c r="Z640">
        <f>IF(B640="","",IF(H640&lt;33.0,0,IF(H640&gt;=100*0.8,5,IF(H640&gt;=100*0.7,4,IF(H640&gt;=100*0.6,3.5,IF(H640&gt;=100*0.5,3,IF(H640&gt;=100*0.4,2,IF(H640&gt;=100*0.33,1,0))))))))</f>
        <v/>
      </c>
      <c r="AA640">
        <f>IF(B640="","",IF(I640&lt;33.0,0,IF(I640&gt;=100*0.8,5,IF(I640&gt;=100*0.7,4,IF(I640&gt;=100*0.6,3.5,IF(I640&gt;=100*0.5,3,IF(I640&gt;=100*0.4,2,IF(I640&gt;=100*0.33,1,0))))))))</f>
        <v/>
      </c>
      <c r="AB640">
        <f>IF(B640="","",IF(J640&lt;33.0,0,IF(J640&gt;=100*0.8,5,IF(J640&gt;=100*0.7,4,IF(J640&gt;=100*0.6,3.5,IF(J640&gt;=100*0.5,3,IF(J640&gt;=100*0.4,2,IF(J640&gt;=100*0.33,1,0))))))))</f>
        <v/>
      </c>
      <c r="AC640">
        <f>IF(B640="","",IF(K640&lt;33.0,0,IF(K640&gt;=100*0.8,5,IF(K640&gt;=100*0.7,4,IF(K640&gt;=100*0.6,3.5,IF(K640&gt;=100*0.5,3,IF(K640&gt;=100*0.4,2,IF(K640&gt;=100*0.33,1,0))))))))</f>
        <v/>
      </c>
      <c r="AD640">
        <f>IF(B640="","",IF(L640&lt;33.0,0,IF(L640&gt;=100*0.8,5,IF(L640&gt;=100*0.7,4,IF(L640&gt;=100*0.6,3.5,IF(L640&gt;=100*0.5,3,IF(L640&gt;=100*0.4,2,IF(L640&gt;=100*0.33,1,0))))))))</f>
        <v/>
      </c>
      <c r="AE640">
        <f>IF(B640="","",IF(M640&lt;33.0,0,IF(M640&gt;=100*0.8,5,IF(M640&gt;=100*0.7,4,IF(M640&gt;=100*0.6,3.5,IF(M640&gt;=100*0.5,3,IF(M640&gt;=100*0.4,2,IF(M640&gt;=100*0.33,1,0))))))))</f>
        <v/>
      </c>
      <c r="AF640">
        <f>IF(B640="","",IF(N640&lt;16.5,0,IF(N640&gt;=50*0.8,5,IF(N640&gt;=50*0.7,4,IF(N640&gt;=50*0.6,3.5,IF(N640&gt;=50*0.5,3,IF(N640&gt;=50*0.4,2,IF(N640&gt;=50*0.33,1,0))))))))</f>
        <v/>
      </c>
      <c r="AG640">
        <f>IF(B640="","",IF(O640&lt;33.0,0,IF(O640&gt;=100*0.8,5,IF(O640&gt;=100*0.7,4,IF(O640&gt;=100*0.6,3.5,IF(O640&gt;=100*0.5,3,IF(O640&gt;=100*0.4,2,IF(O640&gt;=100*0.33,1,0))))))))</f>
        <v/>
      </c>
      <c r="AH640">
        <f>IF(B640="","",IF(OR(U640=0,V640=0,W640=0,X640=0,Y640=0,Z640=0,AA640=0,AB640=0,AC640=0,AD640=0,AE640=0,AF640=0,AG640=0),1,0))</f>
        <v/>
      </c>
    </row>
    <row r="641">
      <c r="A641" s="3">
        <f>IF(B641="","",ROW()-2)</f>
        <v/>
      </c>
      <c r="P641" s="4">
        <f>IF(B641="","",SUM(C641:O641))</f>
        <v/>
      </c>
      <c r="Q641" s="5">
        <f>IF(B641="","",ROUND(P641/13,2))</f>
        <v/>
      </c>
      <c r="R641" s="5">
        <f>IF(B641="","",IF(AH641=1,0,MIN(5,ROUND((U641+V641+W641+X641+Y641+Z641+AA641+AB641+AC641+AD641+AE641+AF641+AG641)/13,2))))</f>
        <v/>
      </c>
      <c r="S641" s="3">
        <f>IF(B641="","",IF(R641&gt;=5,"A+",IF(R641&gt;=4,"A",IF(R641&gt;=3.5,"A-",IF(R641&gt;=3,"B",IF(R641&gt;=2,"C",IF(R641&gt;=1,"D","F")))))))</f>
        <v/>
      </c>
      <c r="T641" s="3">
        <f>IF(OR(B641="",S641="F"),"",COUNTIFS(P:P,"&gt;"&amp;P641,S:S,"&lt;&gt;F")+1)</f>
        <v/>
      </c>
      <c r="U641">
        <f>IF(B641="","",IF(C641&lt;33.0,0,IF(C641&gt;=100*0.8,5,IF(C641&gt;=100*0.7,4,IF(C641&gt;=100*0.6,3.5,IF(C641&gt;=100*0.5,3,IF(C641&gt;=100*0.4,2,IF(C641&gt;=100*0.33,1,0))))))))</f>
        <v/>
      </c>
      <c r="V641">
        <f>IF(B641="","",IF(D641&lt;33.0,0,IF(D641&gt;=100*0.8,5,IF(D641&gt;=100*0.7,4,IF(D641&gt;=100*0.6,3.5,IF(D641&gt;=100*0.5,3,IF(D641&gt;=100*0.4,2,IF(D641&gt;=100*0.33,1,0))))))))</f>
        <v/>
      </c>
      <c r="W641">
        <f>IF(B641="","",IF(E641&lt;16.5,0,IF(E641&gt;=50*0.8,5,IF(E641&gt;=50*0.7,4,IF(E641&gt;=50*0.6,3.5,IF(E641&gt;=50*0.5,3,IF(E641&gt;=50*0.4,2,IF(E641&gt;=50*0.33,1,0))))))))</f>
        <v/>
      </c>
      <c r="X641">
        <f>IF(B641="","",IF(F641&lt;33.0,0,IF(F641&gt;=100*0.8,5,IF(F641&gt;=100*0.7,4,IF(F641&gt;=100*0.6,3.5,IF(F641&gt;=100*0.5,3,IF(F641&gt;=100*0.4,2,IF(F641&gt;=100*0.33,1,0))))))))</f>
        <v/>
      </c>
      <c r="Y641">
        <f>IF(B641="","",IF(G641&lt;16.5,0,IF(G641&gt;=50*0.8,5,IF(G641&gt;=50*0.7,4,IF(G641&gt;=50*0.6,3.5,IF(G641&gt;=50*0.5,3,IF(G641&gt;=50*0.4,2,IF(G641&gt;=50*0.33,1,0))))))))</f>
        <v/>
      </c>
      <c r="Z641">
        <f>IF(B641="","",IF(H641&lt;33.0,0,IF(H641&gt;=100*0.8,5,IF(H641&gt;=100*0.7,4,IF(H641&gt;=100*0.6,3.5,IF(H641&gt;=100*0.5,3,IF(H641&gt;=100*0.4,2,IF(H641&gt;=100*0.33,1,0))))))))</f>
        <v/>
      </c>
      <c r="AA641">
        <f>IF(B641="","",IF(I641&lt;33.0,0,IF(I641&gt;=100*0.8,5,IF(I641&gt;=100*0.7,4,IF(I641&gt;=100*0.6,3.5,IF(I641&gt;=100*0.5,3,IF(I641&gt;=100*0.4,2,IF(I641&gt;=100*0.33,1,0))))))))</f>
        <v/>
      </c>
      <c r="AB641">
        <f>IF(B641="","",IF(J641&lt;33.0,0,IF(J641&gt;=100*0.8,5,IF(J641&gt;=100*0.7,4,IF(J641&gt;=100*0.6,3.5,IF(J641&gt;=100*0.5,3,IF(J641&gt;=100*0.4,2,IF(J641&gt;=100*0.33,1,0))))))))</f>
        <v/>
      </c>
      <c r="AC641">
        <f>IF(B641="","",IF(K641&lt;33.0,0,IF(K641&gt;=100*0.8,5,IF(K641&gt;=100*0.7,4,IF(K641&gt;=100*0.6,3.5,IF(K641&gt;=100*0.5,3,IF(K641&gt;=100*0.4,2,IF(K641&gt;=100*0.33,1,0))))))))</f>
        <v/>
      </c>
      <c r="AD641">
        <f>IF(B641="","",IF(L641&lt;33.0,0,IF(L641&gt;=100*0.8,5,IF(L641&gt;=100*0.7,4,IF(L641&gt;=100*0.6,3.5,IF(L641&gt;=100*0.5,3,IF(L641&gt;=100*0.4,2,IF(L641&gt;=100*0.33,1,0))))))))</f>
        <v/>
      </c>
      <c r="AE641">
        <f>IF(B641="","",IF(M641&lt;33.0,0,IF(M641&gt;=100*0.8,5,IF(M641&gt;=100*0.7,4,IF(M641&gt;=100*0.6,3.5,IF(M641&gt;=100*0.5,3,IF(M641&gt;=100*0.4,2,IF(M641&gt;=100*0.33,1,0))))))))</f>
        <v/>
      </c>
      <c r="AF641">
        <f>IF(B641="","",IF(N641&lt;16.5,0,IF(N641&gt;=50*0.8,5,IF(N641&gt;=50*0.7,4,IF(N641&gt;=50*0.6,3.5,IF(N641&gt;=50*0.5,3,IF(N641&gt;=50*0.4,2,IF(N641&gt;=50*0.33,1,0))))))))</f>
        <v/>
      </c>
      <c r="AG641">
        <f>IF(B641="","",IF(O641&lt;33.0,0,IF(O641&gt;=100*0.8,5,IF(O641&gt;=100*0.7,4,IF(O641&gt;=100*0.6,3.5,IF(O641&gt;=100*0.5,3,IF(O641&gt;=100*0.4,2,IF(O641&gt;=100*0.33,1,0))))))))</f>
        <v/>
      </c>
      <c r="AH641">
        <f>IF(B641="","",IF(OR(U641=0,V641=0,W641=0,X641=0,Y641=0,Z641=0,AA641=0,AB641=0,AC641=0,AD641=0,AE641=0,AF641=0,AG641=0),1,0))</f>
        <v/>
      </c>
    </row>
    <row r="642">
      <c r="A642" s="3">
        <f>IF(B642="","",ROW()-2)</f>
        <v/>
      </c>
      <c r="P642" s="4">
        <f>IF(B642="","",SUM(C642:O642))</f>
        <v/>
      </c>
      <c r="Q642" s="5">
        <f>IF(B642="","",ROUND(P642/13,2))</f>
        <v/>
      </c>
      <c r="R642" s="5">
        <f>IF(B642="","",IF(AH642=1,0,MIN(5,ROUND((U642+V642+W642+X642+Y642+Z642+AA642+AB642+AC642+AD642+AE642+AF642+AG642)/13,2))))</f>
        <v/>
      </c>
      <c r="S642" s="3">
        <f>IF(B642="","",IF(R642&gt;=5,"A+",IF(R642&gt;=4,"A",IF(R642&gt;=3.5,"A-",IF(R642&gt;=3,"B",IF(R642&gt;=2,"C",IF(R642&gt;=1,"D","F")))))))</f>
        <v/>
      </c>
      <c r="T642" s="3">
        <f>IF(OR(B642="",S642="F"),"",COUNTIFS(P:P,"&gt;"&amp;P642,S:S,"&lt;&gt;F")+1)</f>
        <v/>
      </c>
      <c r="U642">
        <f>IF(B642="","",IF(C642&lt;33.0,0,IF(C642&gt;=100*0.8,5,IF(C642&gt;=100*0.7,4,IF(C642&gt;=100*0.6,3.5,IF(C642&gt;=100*0.5,3,IF(C642&gt;=100*0.4,2,IF(C642&gt;=100*0.33,1,0))))))))</f>
        <v/>
      </c>
      <c r="V642">
        <f>IF(B642="","",IF(D642&lt;33.0,0,IF(D642&gt;=100*0.8,5,IF(D642&gt;=100*0.7,4,IF(D642&gt;=100*0.6,3.5,IF(D642&gt;=100*0.5,3,IF(D642&gt;=100*0.4,2,IF(D642&gt;=100*0.33,1,0))))))))</f>
        <v/>
      </c>
      <c r="W642">
        <f>IF(B642="","",IF(E642&lt;16.5,0,IF(E642&gt;=50*0.8,5,IF(E642&gt;=50*0.7,4,IF(E642&gt;=50*0.6,3.5,IF(E642&gt;=50*0.5,3,IF(E642&gt;=50*0.4,2,IF(E642&gt;=50*0.33,1,0))))))))</f>
        <v/>
      </c>
      <c r="X642">
        <f>IF(B642="","",IF(F642&lt;33.0,0,IF(F642&gt;=100*0.8,5,IF(F642&gt;=100*0.7,4,IF(F642&gt;=100*0.6,3.5,IF(F642&gt;=100*0.5,3,IF(F642&gt;=100*0.4,2,IF(F642&gt;=100*0.33,1,0))))))))</f>
        <v/>
      </c>
      <c r="Y642">
        <f>IF(B642="","",IF(G642&lt;16.5,0,IF(G642&gt;=50*0.8,5,IF(G642&gt;=50*0.7,4,IF(G642&gt;=50*0.6,3.5,IF(G642&gt;=50*0.5,3,IF(G642&gt;=50*0.4,2,IF(G642&gt;=50*0.33,1,0))))))))</f>
        <v/>
      </c>
      <c r="Z642">
        <f>IF(B642="","",IF(H642&lt;33.0,0,IF(H642&gt;=100*0.8,5,IF(H642&gt;=100*0.7,4,IF(H642&gt;=100*0.6,3.5,IF(H642&gt;=100*0.5,3,IF(H642&gt;=100*0.4,2,IF(H642&gt;=100*0.33,1,0))))))))</f>
        <v/>
      </c>
      <c r="AA642">
        <f>IF(B642="","",IF(I642&lt;33.0,0,IF(I642&gt;=100*0.8,5,IF(I642&gt;=100*0.7,4,IF(I642&gt;=100*0.6,3.5,IF(I642&gt;=100*0.5,3,IF(I642&gt;=100*0.4,2,IF(I642&gt;=100*0.33,1,0))))))))</f>
        <v/>
      </c>
      <c r="AB642">
        <f>IF(B642="","",IF(J642&lt;33.0,0,IF(J642&gt;=100*0.8,5,IF(J642&gt;=100*0.7,4,IF(J642&gt;=100*0.6,3.5,IF(J642&gt;=100*0.5,3,IF(J642&gt;=100*0.4,2,IF(J642&gt;=100*0.33,1,0))))))))</f>
        <v/>
      </c>
      <c r="AC642">
        <f>IF(B642="","",IF(K642&lt;33.0,0,IF(K642&gt;=100*0.8,5,IF(K642&gt;=100*0.7,4,IF(K642&gt;=100*0.6,3.5,IF(K642&gt;=100*0.5,3,IF(K642&gt;=100*0.4,2,IF(K642&gt;=100*0.33,1,0))))))))</f>
        <v/>
      </c>
      <c r="AD642">
        <f>IF(B642="","",IF(L642&lt;33.0,0,IF(L642&gt;=100*0.8,5,IF(L642&gt;=100*0.7,4,IF(L642&gt;=100*0.6,3.5,IF(L642&gt;=100*0.5,3,IF(L642&gt;=100*0.4,2,IF(L642&gt;=100*0.33,1,0))))))))</f>
        <v/>
      </c>
      <c r="AE642">
        <f>IF(B642="","",IF(M642&lt;33.0,0,IF(M642&gt;=100*0.8,5,IF(M642&gt;=100*0.7,4,IF(M642&gt;=100*0.6,3.5,IF(M642&gt;=100*0.5,3,IF(M642&gt;=100*0.4,2,IF(M642&gt;=100*0.33,1,0))))))))</f>
        <v/>
      </c>
      <c r="AF642">
        <f>IF(B642="","",IF(N642&lt;16.5,0,IF(N642&gt;=50*0.8,5,IF(N642&gt;=50*0.7,4,IF(N642&gt;=50*0.6,3.5,IF(N642&gt;=50*0.5,3,IF(N642&gt;=50*0.4,2,IF(N642&gt;=50*0.33,1,0))))))))</f>
        <v/>
      </c>
      <c r="AG642">
        <f>IF(B642="","",IF(O642&lt;33.0,0,IF(O642&gt;=100*0.8,5,IF(O642&gt;=100*0.7,4,IF(O642&gt;=100*0.6,3.5,IF(O642&gt;=100*0.5,3,IF(O642&gt;=100*0.4,2,IF(O642&gt;=100*0.33,1,0))))))))</f>
        <v/>
      </c>
      <c r="AH642">
        <f>IF(B642="","",IF(OR(U642=0,V642=0,W642=0,X642=0,Y642=0,Z642=0,AA642=0,AB642=0,AC642=0,AD642=0,AE642=0,AF642=0,AG642=0),1,0))</f>
        <v/>
      </c>
    </row>
    <row r="643">
      <c r="A643" s="3">
        <f>IF(B643="","",ROW()-2)</f>
        <v/>
      </c>
      <c r="P643" s="4">
        <f>IF(B643="","",SUM(C643:O643))</f>
        <v/>
      </c>
      <c r="Q643" s="5">
        <f>IF(B643="","",ROUND(P643/13,2))</f>
        <v/>
      </c>
      <c r="R643" s="5">
        <f>IF(B643="","",IF(AH643=1,0,MIN(5,ROUND((U643+V643+W643+X643+Y643+Z643+AA643+AB643+AC643+AD643+AE643+AF643+AG643)/13,2))))</f>
        <v/>
      </c>
      <c r="S643" s="3">
        <f>IF(B643="","",IF(R643&gt;=5,"A+",IF(R643&gt;=4,"A",IF(R643&gt;=3.5,"A-",IF(R643&gt;=3,"B",IF(R643&gt;=2,"C",IF(R643&gt;=1,"D","F")))))))</f>
        <v/>
      </c>
      <c r="T643" s="3">
        <f>IF(OR(B643="",S643="F"),"",COUNTIFS(P:P,"&gt;"&amp;P643,S:S,"&lt;&gt;F")+1)</f>
        <v/>
      </c>
      <c r="U643">
        <f>IF(B643="","",IF(C643&lt;33.0,0,IF(C643&gt;=100*0.8,5,IF(C643&gt;=100*0.7,4,IF(C643&gt;=100*0.6,3.5,IF(C643&gt;=100*0.5,3,IF(C643&gt;=100*0.4,2,IF(C643&gt;=100*0.33,1,0))))))))</f>
        <v/>
      </c>
      <c r="V643">
        <f>IF(B643="","",IF(D643&lt;33.0,0,IF(D643&gt;=100*0.8,5,IF(D643&gt;=100*0.7,4,IF(D643&gt;=100*0.6,3.5,IF(D643&gt;=100*0.5,3,IF(D643&gt;=100*0.4,2,IF(D643&gt;=100*0.33,1,0))))))))</f>
        <v/>
      </c>
      <c r="W643">
        <f>IF(B643="","",IF(E643&lt;16.5,0,IF(E643&gt;=50*0.8,5,IF(E643&gt;=50*0.7,4,IF(E643&gt;=50*0.6,3.5,IF(E643&gt;=50*0.5,3,IF(E643&gt;=50*0.4,2,IF(E643&gt;=50*0.33,1,0))))))))</f>
        <v/>
      </c>
      <c r="X643">
        <f>IF(B643="","",IF(F643&lt;33.0,0,IF(F643&gt;=100*0.8,5,IF(F643&gt;=100*0.7,4,IF(F643&gt;=100*0.6,3.5,IF(F643&gt;=100*0.5,3,IF(F643&gt;=100*0.4,2,IF(F643&gt;=100*0.33,1,0))))))))</f>
        <v/>
      </c>
      <c r="Y643">
        <f>IF(B643="","",IF(G643&lt;16.5,0,IF(G643&gt;=50*0.8,5,IF(G643&gt;=50*0.7,4,IF(G643&gt;=50*0.6,3.5,IF(G643&gt;=50*0.5,3,IF(G643&gt;=50*0.4,2,IF(G643&gt;=50*0.33,1,0))))))))</f>
        <v/>
      </c>
      <c r="Z643">
        <f>IF(B643="","",IF(H643&lt;33.0,0,IF(H643&gt;=100*0.8,5,IF(H643&gt;=100*0.7,4,IF(H643&gt;=100*0.6,3.5,IF(H643&gt;=100*0.5,3,IF(H643&gt;=100*0.4,2,IF(H643&gt;=100*0.33,1,0))))))))</f>
        <v/>
      </c>
      <c r="AA643">
        <f>IF(B643="","",IF(I643&lt;33.0,0,IF(I643&gt;=100*0.8,5,IF(I643&gt;=100*0.7,4,IF(I643&gt;=100*0.6,3.5,IF(I643&gt;=100*0.5,3,IF(I643&gt;=100*0.4,2,IF(I643&gt;=100*0.33,1,0))))))))</f>
        <v/>
      </c>
      <c r="AB643">
        <f>IF(B643="","",IF(J643&lt;33.0,0,IF(J643&gt;=100*0.8,5,IF(J643&gt;=100*0.7,4,IF(J643&gt;=100*0.6,3.5,IF(J643&gt;=100*0.5,3,IF(J643&gt;=100*0.4,2,IF(J643&gt;=100*0.33,1,0))))))))</f>
        <v/>
      </c>
      <c r="AC643">
        <f>IF(B643="","",IF(K643&lt;33.0,0,IF(K643&gt;=100*0.8,5,IF(K643&gt;=100*0.7,4,IF(K643&gt;=100*0.6,3.5,IF(K643&gt;=100*0.5,3,IF(K643&gt;=100*0.4,2,IF(K643&gt;=100*0.33,1,0))))))))</f>
        <v/>
      </c>
      <c r="AD643">
        <f>IF(B643="","",IF(L643&lt;33.0,0,IF(L643&gt;=100*0.8,5,IF(L643&gt;=100*0.7,4,IF(L643&gt;=100*0.6,3.5,IF(L643&gt;=100*0.5,3,IF(L643&gt;=100*0.4,2,IF(L643&gt;=100*0.33,1,0))))))))</f>
        <v/>
      </c>
      <c r="AE643">
        <f>IF(B643="","",IF(M643&lt;33.0,0,IF(M643&gt;=100*0.8,5,IF(M643&gt;=100*0.7,4,IF(M643&gt;=100*0.6,3.5,IF(M643&gt;=100*0.5,3,IF(M643&gt;=100*0.4,2,IF(M643&gt;=100*0.33,1,0))))))))</f>
        <v/>
      </c>
      <c r="AF643">
        <f>IF(B643="","",IF(N643&lt;16.5,0,IF(N643&gt;=50*0.8,5,IF(N643&gt;=50*0.7,4,IF(N643&gt;=50*0.6,3.5,IF(N643&gt;=50*0.5,3,IF(N643&gt;=50*0.4,2,IF(N643&gt;=50*0.33,1,0))))))))</f>
        <v/>
      </c>
      <c r="AG643">
        <f>IF(B643="","",IF(O643&lt;33.0,0,IF(O643&gt;=100*0.8,5,IF(O643&gt;=100*0.7,4,IF(O643&gt;=100*0.6,3.5,IF(O643&gt;=100*0.5,3,IF(O643&gt;=100*0.4,2,IF(O643&gt;=100*0.33,1,0))))))))</f>
        <v/>
      </c>
      <c r="AH643">
        <f>IF(B643="","",IF(OR(U643=0,V643=0,W643=0,X643=0,Y643=0,Z643=0,AA643=0,AB643=0,AC643=0,AD643=0,AE643=0,AF643=0,AG643=0),1,0))</f>
        <v/>
      </c>
    </row>
    <row r="644">
      <c r="A644" s="3">
        <f>IF(B644="","",ROW()-2)</f>
        <v/>
      </c>
      <c r="P644" s="4">
        <f>IF(B644="","",SUM(C644:O644))</f>
        <v/>
      </c>
      <c r="Q644" s="5">
        <f>IF(B644="","",ROUND(P644/13,2))</f>
        <v/>
      </c>
      <c r="R644" s="5">
        <f>IF(B644="","",IF(AH644=1,0,MIN(5,ROUND((U644+V644+W644+X644+Y644+Z644+AA644+AB644+AC644+AD644+AE644+AF644+AG644)/13,2))))</f>
        <v/>
      </c>
      <c r="S644" s="3">
        <f>IF(B644="","",IF(R644&gt;=5,"A+",IF(R644&gt;=4,"A",IF(R644&gt;=3.5,"A-",IF(R644&gt;=3,"B",IF(R644&gt;=2,"C",IF(R644&gt;=1,"D","F")))))))</f>
        <v/>
      </c>
      <c r="T644" s="3">
        <f>IF(OR(B644="",S644="F"),"",COUNTIFS(P:P,"&gt;"&amp;P644,S:S,"&lt;&gt;F")+1)</f>
        <v/>
      </c>
      <c r="U644">
        <f>IF(B644="","",IF(C644&lt;33.0,0,IF(C644&gt;=100*0.8,5,IF(C644&gt;=100*0.7,4,IF(C644&gt;=100*0.6,3.5,IF(C644&gt;=100*0.5,3,IF(C644&gt;=100*0.4,2,IF(C644&gt;=100*0.33,1,0))))))))</f>
        <v/>
      </c>
      <c r="V644">
        <f>IF(B644="","",IF(D644&lt;33.0,0,IF(D644&gt;=100*0.8,5,IF(D644&gt;=100*0.7,4,IF(D644&gt;=100*0.6,3.5,IF(D644&gt;=100*0.5,3,IF(D644&gt;=100*0.4,2,IF(D644&gt;=100*0.33,1,0))))))))</f>
        <v/>
      </c>
      <c r="W644">
        <f>IF(B644="","",IF(E644&lt;16.5,0,IF(E644&gt;=50*0.8,5,IF(E644&gt;=50*0.7,4,IF(E644&gt;=50*0.6,3.5,IF(E644&gt;=50*0.5,3,IF(E644&gt;=50*0.4,2,IF(E644&gt;=50*0.33,1,0))))))))</f>
        <v/>
      </c>
      <c r="X644">
        <f>IF(B644="","",IF(F644&lt;33.0,0,IF(F644&gt;=100*0.8,5,IF(F644&gt;=100*0.7,4,IF(F644&gt;=100*0.6,3.5,IF(F644&gt;=100*0.5,3,IF(F644&gt;=100*0.4,2,IF(F644&gt;=100*0.33,1,0))))))))</f>
        <v/>
      </c>
      <c r="Y644">
        <f>IF(B644="","",IF(G644&lt;16.5,0,IF(G644&gt;=50*0.8,5,IF(G644&gt;=50*0.7,4,IF(G644&gt;=50*0.6,3.5,IF(G644&gt;=50*0.5,3,IF(G644&gt;=50*0.4,2,IF(G644&gt;=50*0.33,1,0))))))))</f>
        <v/>
      </c>
      <c r="Z644">
        <f>IF(B644="","",IF(H644&lt;33.0,0,IF(H644&gt;=100*0.8,5,IF(H644&gt;=100*0.7,4,IF(H644&gt;=100*0.6,3.5,IF(H644&gt;=100*0.5,3,IF(H644&gt;=100*0.4,2,IF(H644&gt;=100*0.33,1,0))))))))</f>
        <v/>
      </c>
      <c r="AA644">
        <f>IF(B644="","",IF(I644&lt;33.0,0,IF(I644&gt;=100*0.8,5,IF(I644&gt;=100*0.7,4,IF(I644&gt;=100*0.6,3.5,IF(I644&gt;=100*0.5,3,IF(I644&gt;=100*0.4,2,IF(I644&gt;=100*0.33,1,0))))))))</f>
        <v/>
      </c>
      <c r="AB644">
        <f>IF(B644="","",IF(J644&lt;33.0,0,IF(J644&gt;=100*0.8,5,IF(J644&gt;=100*0.7,4,IF(J644&gt;=100*0.6,3.5,IF(J644&gt;=100*0.5,3,IF(J644&gt;=100*0.4,2,IF(J644&gt;=100*0.33,1,0))))))))</f>
        <v/>
      </c>
      <c r="AC644">
        <f>IF(B644="","",IF(K644&lt;33.0,0,IF(K644&gt;=100*0.8,5,IF(K644&gt;=100*0.7,4,IF(K644&gt;=100*0.6,3.5,IF(K644&gt;=100*0.5,3,IF(K644&gt;=100*0.4,2,IF(K644&gt;=100*0.33,1,0))))))))</f>
        <v/>
      </c>
      <c r="AD644">
        <f>IF(B644="","",IF(L644&lt;33.0,0,IF(L644&gt;=100*0.8,5,IF(L644&gt;=100*0.7,4,IF(L644&gt;=100*0.6,3.5,IF(L644&gt;=100*0.5,3,IF(L644&gt;=100*0.4,2,IF(L644&gt;=100*0.33,1,0))))))))</f>
        <v/>
      </c>
      <c r="AE644">
        <f>IF(B644="","",IF(M644&lt;33.0,0,IF(M644&gt;=100*0.8,5,IF(M644&gt;=100*0.7,4,IF(M644&gt;=100*0.6,3.5,IF(M644&gt;=100*0.5,3,IF(M644&gt;=100*0.4,2,IF(M644&gt;=100*0.33,1,0))))))))</f>
        <v/>
      </c>
      <c r="AF644">
        <f>IF(B644="","",IF(N644&lt;16.5,0,IF(N644&gt;=50*0.8,5,IF(N644&gt;=50*0.7,4,IF(N644&gt;=50*0.6,3.5,IF(N644&gt;=50*0.5,3,IF(N644&gt;=50*0.4,2,IF(N644&gt;=50*0.33,1,0))))))))</f>
        <v/>
      </c>
      <c r="AG644">
        <f>IF(B644="","",IF(O644&lt;33.0,0,IF(O644&gt;=100*0.8,5,IF(O644&gt;=100*0.7,4,IF(O644&gt;=100*0.6,3.5,IF(O644&gt;=100*0.5,3,IF(O644&gt;=100*0.4,2,IF(O644&gt;=100*0.33,1,0))))))))</f>
        <v/>
      </c>
      <c r="AH644">
        <f>IF(B644="","",IF(OR(U644=0,V644=0,W644=0,X644=0,Y644=0,Z644=0,AA644=0,AB644=0,AC644=0,AD644=0,AE644=0,AF644=0,AG644=0),1,0))</f>
        <v/>
      </c>
    </row>
    <row r="645">
      <c r="A645" s="3">
        <f>IF(B645="","",ROW()-2)</f>
        <v/>
      </c>
      <c r="P645" s="4">
        <f>IF(B645="","",SUM(C645:O645))</f>
        <v/>
      </c>
      <c r="Q645" s="5">
        <f>IF(B645="","",ROUND(P645/13,2))</f>
        <v/>
      </c>
      <c r="R645" s="5">
        <f>IF(B645="","",IF(AH645=1,0,MIN(5,ROUND((U645+V645+W645+X645+Y645+Z645+AA645+AB645+AC645+AD645+AE645+AF645+AG645)/13,2))))</f>
        <v/>
      </c>
      <c r="S645" s="3">
        <f>IF(B645="","",IF(R645&gt;=5,"A+",IF(R645&gt;=4,"A",IF(R645&gt;=3.5,"A-",IF(R645&gt;=3,"B",IF(R645&gt;=2,"C",IF(R645&gt;=1,"D","F")))))))</f>
        <v/>
      </c>
      <c r="T645" s="3">
        <f>IF(OR(B645="",S645="F"),"",COUNTIFS(P:P,"&gt;"&amp;P645,S:S,"&lt;&gt;F")+1)</f>
        <v/>
      </c>
      <c r="U645">
        <f>IF(B645="","",IF(C645&lt;33.0,0,IF(C645&gt;=100*0.8,5,IF(C645&gt;=100*0.7,4,IF(C645&gt;=100*0.6,3.5,IF(C645&gt;=100*0.5,3,IF(C645&gt;=100*0.4,2,IF(C645&gt;=100*0.33,1,0))))))))</f>
        <v/>
      </c>
      <c r="V645">
        <f>IF(B645="","",IF(D645&lt;33.0,0,IF(D645&gt;=100*0.8,5,IF(D645&gt;=100*0.7,4,IF(D645&gt;=100*0.6,3.5,IF(D645&gt;=100*0.5,3,IF(D645&gt;=100*0.4,2,IF(D645&gt;=100*0.33,1,0))))))))</f>
        <v/>
      </c>
      <c r="W645">
        <f>IF(B645="","",IF(E645&lt;16.5,0,IF(E645&gt;=50*0.8,5,IF(E645&gt;=50*0.7,4,IF(E645&gt;=50*0.6,3.5,IF(E645&gt;=50*0.5,3,IF(E645&gt;=50*0.4,2,IF(E645&gt;=50*0.33,1,0))))))))</f>
        <v/>
      </c>
      <c r="X645">
        <f>IF(B645="","",IF(F645&lt;33.0,0,IF(F645&gt;=100*0.8,5,IF(F645&gt;=100*0.7,4,IF(F645&gt;=100*0.6,3.5,IF(F645&gt;=100*0.5,3,IF(F645&gt;=100*0.4,2,IF(F645&gt;=100*0.33,1,0))))))))</f>
        <v/>
      </c>
      <c r="Y645">
        <f>IF(B645="","",IF(G645&lt;16.5,0,IF(G645&gt;=50*0.8,5,IF(G645&gt;=50*0.7,4,IF(G645&gt;=50*0.6,3.5,IF(G645&gt;=50*0.5,3,IF(G645&gt;=50*0.4,2,IF(G645&gt;=50*0.33,1,0))))))))</f>
        <v/>
      </c>
      <c r="Z645">
        <f>IF(B645="","",IF(H645&lt;33.0,0,IF(H645&gt;=100*0.8,5,IF(H645&gt;=100*0.7,4,IF(H645&gt;=100*0.6,3.5,IF(H645&gt;=100*0.5,3,IF(H645&gt;=100*0.4,2,IF(H645&gt;=100*0.33,1,0))))))))</f>
        <v/>
      </c>
      <c r="AA645">
        <f>IF(B645="","",IF(I645&lt;33.0,0,IF(I645&gt;=100*0.8,5,IF(I645&gt;=100*0.7,4,IF(I645&gt;=100*0.6,3.5,IF(I645&gt;=100*0.5,3,IF(I645&gt;=100*0.4,2,IF(I645&gt;=100*0.33,1,0))))))))</f>
        <v/>
      </c>
      <c r="AB645">
        <f>IF(B645="","",IF(J645&lt;33.0,0,IF(J645&gt;=100*0.8,5,IF(J645&gt;=100*0.7,4,IF(J645&gt;=100*0.6,3.5,IF(J645&gt;=100*0.5,3,IF(J645&gt;=100*0.4,2,IF(J645&gt;=100*0.33,1,0))))))))</f>
        <v/>
      </c>
      <c r="AC645">
        <f>IF(B645="","",IF(K645&lt;33.0,0,IF(K645&gt;=100*0.8,5,IF(K645&gt;=100*0.7,4,IF(K645&gt;=100*0.6,3.5,IF(K645&gt;=100*0.5,3,IF(K645&gt;=100*0.4,2,IF(K645&gt;=100*0.33,1,0))))))))</f>
        <v/>
      </c>
      <c r="AD645">
        <f>IF(B645="","",IF(L645&lt;33.0,0,IF(L645&gt;=100*0.8,5,IF(L645&gt;=100*0.7,4,IF(L645&gt;=100*0.6,3.5,IF(L645&gt;=100*0.5,3,IF(L645&gt;=100*0.4,2,IF(L645&gt;=100*0.33,1,0))))))))</f>
        <v/>
      </c>
      <c r="AE645">
        <f>IF(B645="","",IF(M645&lt;33.0,0,IF(M645&gt;=100*0.8,5,IF(M645&gt;=100*0.7,4,IF(M645&gt;=100*0.6,3.5,IF(M645&gt;=100*0.5,3,IF(M645&gt;=100*0.4,2,IF(M645&gt;=100*0.33,1,0))))))))</f>
        <v/>
      </c>
      <c r="AF645">
        <f>IF(B645="","",IF(N645&lt;16.5,0,IF(N645&gt;=50*0.8,5,IF(N645&gt;=50*0.7,4,IF(N645&gt;=50*0.6,3.5,IF(N645&gt;=50*0.5,3,IF(N645&gt;=50*0.4,2,IF(N645&gt;=50*0.33,1,0))))))))</f>
        <v/>
      </c>
      <c r="AG645">
        <f>IF(B645="","",IF(O645&lt;33.0,0,IF(O645&gt;=100*0.8,5,IF(O645&gt;=100*0.7,4,IF(O645&gt;=100*0.6,3.5,IF(O645&gt;=100*0.5,3,IF(O645&gt;=100*0.4,2,IF(O645&gt;=100*0.33,1,0))))))))</f>
        <v/>
      </c>
      <c r="AH645">
        <f>IF(B645="","",IF(OR(U645=0,V645=0,W645=0,X645=0,Y645=0,Z645=0,AA645=0,AB645=0,AC645=0,AD645=0,AE645=0,AF645=0,AG645=0),1,0))</f>
        <v/>
      </c>
    </row>
    <row r="646">
      <c r="A646" s="3">
        <f>IF(B646="","",ROW()-2)</f>
        <v/>
      </c>
      <c r="P646" s="4">
        <f>IF(B646="","",SUM(C646:O646))</f>
        <v/>
      </c>
      <c r="Q646" s="5">
        <f>IF(B646="","",ROUND(P646/13,2))</f>
        <v/>
      </c>
      <c r="R646" s="5">
        <f>IF(B646="","",IF(AH646=1,0,MIN(5,ROUND((U646+V646+W646+X646+Y646+Z646+AA646+AB646+AC646+AD646+AE646+AF646+AG646)/13,2))))</f>
        <v/>
      </c>
      <c r="S646" s="3">
        <f>IF(B646="","",IF(R646&gt;=5,"A+",IF(R646&gt;=4,"A",IF(R646&gt;=3.5,"A-",IF(R646&gt;=3,"B",IF(R646&gt;=2,"C",IF(R646&gt;=1,"D","F")))))))</f>
        <v/>
      </c>
      <c r="T646" s="3">
        <f>IF(OR(B646="",S646="F"),"",COUNTIFS(P:P,"&gt;"&amp;P646,S:S,"&lt;&gt;F")+1)</f>
        <v/>
      </c>
      <c r="U646">
        <f>IF(B646="","",IF(C646&lt;33.0,0,IF(C646&gt;=100*0.8,5,IF(C646&gt;=100*0.7,4,IF(C646&gt;=100*0.6,3.5,IF(C646&gt;=100*0.5,3,IF(C646&gt;=100*0.4,2,IF(C646&gt;=100*0.33,1,0))))))))</f>
        <v/>
      </c>
      <c r="V646">
        <f>IF(B646="","",IF(D646&lt;33.0,0,IF(D646&gt;=100*0.8,5,IF(D646&gt;=100*0.7,4,IF(D646&gt;=100*0.6,3.5,IF(D646&gt;=100*0.5,3,IF(D646&gt;=100*0.4,2,IF(D646&gt;=100*0.33,1,0))))))))</f>
        <v/>
      </c>
      <c r="W646">
        <f>IF(B646="","",IF(E646&lt;16.5,0,IF(E646&gt;=50*0.8,5,IF(E646&gt;=50*0.7,4,IF(E646&gt;=50*0.6,3.5,IF(E646&gt;=50*0.5,3,IF(E646&gt;=50*0.4,2,IF(E646&gt;=50*0.33,1,0))))))))</f>
        <v/>
      </c>
      <c r="X646">
        <f>IF(B646="","",IF(F646&lt;33.0,0,IF(F646&gt;=100*0.8,5,IF(F646&gt;=100*0.7,4,IF(F646&gt;=100*0.6,3.5,IF(F646&gt;=100*0.5,3,IF(F646&gt;=100*0.4,2,IF(F646&gt;=100*0.33,1,0))))))))</f>
        <v/>
      </c>
      <c r="Y646">
        <f>IF(B646="","",IF(G646&lt;16.5,0,IF(G646&gt;=50*0.8,5,IF(G646&gt;=50*0.7,4,IF(G646&gt;=50*0.6,3.5,IF(G646&gt;=50*0.5,3,IF(G646&gt;=50*0.4,2,IF(G646&gt;=50*0.33,1,0))))))))</f>
        <v/>
      </c>
      <c r="Z646">
        <f>IF(B646="","",IF(H646&lt;33.0,0,IF(H646&gt;=100*0.8,5,IF(H646&gt;=100*0.7,4,IF(H646&gt;=100*0.6,3.5,IF(H646&gt;=100*0.5,3,IF(H646&gt;=100*0.4,2,IF(H646&gt;=100*0.33,1,0))))))))</f>
        <v/>
      </c>
      <c r="AA646">
        <f>IF(B646="","",IF(I646&lt;33.0,0,IF(I646&gt;=100*0.8,5,IF(I646&gt;=100*0.7,4,IF(I646&gt;=100*0.6,3.5,IF(I646&gt;=100*0.5,3,IF(I646&gt;=100*0.4,2,IF(I646&gt;=100*0.33,1,0))))))))</f>
        <v/>
      </c>
      <c r="AB646">
        <f>IF(B646="","",IF(J646&lt;33.0,0,IF(J646&gt;=100*0.8,5,IF(J646&gt;=100*0.7,4,IF(J646&gt;=100*0.6,3.5,IF(J646&gt;=100*0.5,3,IF(J646&gt;=100*0.4,2,IF(J646&gt;=100*0.33,1,0))))))))</f>
        <v/>
      </c>
      <c r="AC646">
        <f>IF(B646="","",IF(K646&lt;33.0,0,IF(K646&gt;=100*0.8,5,IF(K646&gt;=100*0.7,4,IF(K646&gt;=100*0.6,3.5,IF(K646&gt;=100*0.5,3,IF(K646&gt;=100*0.4,2,IF(K646&gt;=100*0.33,1,0))))))))</f>
        <v/>
      </c>
      <c r="AD646">
        <f>IF(B646="","",IF(L646&lt;33.0,0,IF(L646&gt;=100*0.8,5,IF(L646&gt;=100*0.7,4,IF(L646&gt;=100*0.6,3.5,IF(L646&gt;=100*0.5,3,IF(L646&gt;=100*0.4,2,IF(L646&gt;=100*0.33,1,0))))))))</f>
        <v/>
      </c>
      <c r="AE646">
        <f>IF(B646="","",IF(M646&lt;33.0,0,IF(M646&gt;=100*0.8,5,IF(M646&gt;=100*0.7,4,IF(M646&gt;=100*0.6,3.5,IF(M646&gt;=100*0.5,3,IF(M646&gt;=100*0.4,2,IF(M646&gt;=100*0.33,1,0))))))))</f>
        <v/>
      </c>
      <c r="AF646">
        <f>IF(B646="","",IF(N646&lt;16.5,0,IF(N646&gt;=50*0.8,5,IF(N646&gt;=50*0.7,4,IF(N646&gt;=50*0.6,3.5,IF(N646&gt;=50*0.5,3,IF(N646&gt;=50*0.4,2,IF(N646&gt;=50*0.33,1,0))))))))</f>
        <v/>
      </c>
      <c r="AG646">
        <f>IF(B646="","",IF(O646&lt;33.0,0,IF(O646&gt;=100*0.8,5,IF(O646&gt;=100*0.7,4,IF(O646&gt;=100*0.6,3.5,IF(O646&gt;=100*0.5,3,IF(O646&gt;=100*0.4,2,IF(O646&gt;=100*0.33,1,0))))))))</f>
        <v/>
      </c>
      <c r="AH646">
        <f>IF(B646="","",IF(OR(U646=0,V646=0,W646=0,X646=0,Y646=0,Z646=0,AA646=0,AB646=0,AC646=0,AD646=0,AE646=0,AF646=0,AG646=0),1,0))</f>
        <v/>
      </c>
    </row>
    <row r="647">
      <c r="A647" s="3">
        <f>IF(B647="","",ROW()-2)</f>
        <v/>
      </c>
      <c r="P647" s="4">
        <f>IF(B647="","",SUM(C647:O647))</f>
        <v/>
      </c>
      <c r="Q647" s="5">
        <f>IF(B647="","",ROUND(P647/13,2))</f>
        <v/>
      </c>
      <c r="R647" s="5">
        <f>IF(B647="","",IF(AH647=1,0,MIN(5,ROUND((U647+V647+W647+X647+Y647+Z647+AA647+AB647+AC647+AD647+AE647+AF647+AG647)/13,2))))</f>
        <v/>
      </c>
      <c r="S647" s="3">
        <f>IF(B647="","",IF(R647&gt;=5,"A+",IF(R647&gt;=4,"A",IF(R647&gt;=3.5,"A-",IF(R647&gt;=3,"B",IF(R647&gt;=2,"C",IF(R647&gt;=1,"D","F")))))))</f>
        <v/>
      </c>
      <c r="T647" s="3">
        <f>IF(OR(B647="",S647="F"),"",COUNTIFS(P:P,"&gt;"&amp;P647,S:S,"&lt;&gt;F")+1)</f>
        <v/>
      </c>
      <c r="U647">
        <f>IF(B647="","",IF(C647&lt;33.0,0,IF(C647&gt;=100*0.8,5,IF(C647&gt;=100*0.7,4,IF(C647&gt;=100*0.6,3.5,IF(C647&gt;=100*0.5,3,IF(C647&gt;=100*0.4,2,IF(C647&gt;=100*0.33,1,0))))))))</f>
        <v/>
      </c>
      <c r="V647">
        <f>IF(B647="","",IF(D647&lt;33.0,0,IF(D647&gt;=100*0.8,5,IF(D647&gt;=100*0.7,4,IF(D647&gt;=100*0.6,3.5,IF(D647&gt;=100*0.5,3,IF(D647&gt;=100*0.4,2,IF(D647&gt;=100*0.33,1,0))))))))</f>
        <v/>
      </c>
      <c r="W647">
        <f>IF(B647="","",IF(E647&lt;16.5,0,IF(E647&gt;=50*0.8,5,IF(E647&gt;=50*0.7,4,IF(E647&gt;=50*0.6,3.5,IF(E647&gt;=50*0.5,3,IF(E647&gt;=50*0.4,2,IF(E647&gt;=50*0.33,1,0))))))))</f>
        <v/>
      </c>
      <c r="X647">
        <f>IF(B647="","",IF(F647&lt;33.0,0,IF(F647&gt;=100*0.8,5,IF(F647&gt;=100*0.7,4,IF(F647&gt;=100*0.6,3.5,IF(F647&gt;=100*0.5,3,IF(F647&gt;=100*0.4,2,IF(F647&gt;=100*0.33,1,0))))))))</f>
        <v/>
      </c>
      <c r="Y647">
        <f>IF(B647="","",IF(G647&lt;16.5,0,IF(G647&gt;=50*0.8,5,IF(G647&gt;=50*0.7,4,IF(G647&gt;=50*0.6,3.5,IF(G647&gt;=50*0.5,3,IF(G647&gt;=50*0.4,2,IF(G647&gt;=50*0.33,1,0))))))))</f>
        <v/>
      </c>
      <c r="Z647">
        <f>IF(B647="","",IF(H647&lt;33.0,0,IF(H647&gt;=100*0.8,5,IF(H647&gt;=100*0.7,4,IF(H647&gt;=100*0.6,3.5,IF(H647&gt;=100*0.5,3,IF(H647&gt;=100*0.4,2,IF(H647&gt;=100*0.33,1,0))))))))</f>
        <v/>
      </c>
      <c r="AA647">
        <f>IF(B647="","",IF(I647&lt;33.0,0,IF(I647&gt;=100*0.8,5,IF(I647&gt;=100*0.7,4,IF(I647&gt;=100*0.6,3.5,IF(I647&gt;=100*0.5,3,IF(I647&gt;=100*0.4,2,IF(I647&gt;=100*0.33,1,0))))))))</f>
        <v/>
      </c>
      <c r="AB647">
        <f>IF(B647="","",IF(J647&lt;33.0,0,IF(J647&gt;=100*0.8,5,IF(J647&gt;=100*0.7,4,IF(J647&gt;=100*0.6,3.5,IF(J647&gt;=100*0.5,3,IF(J647&gt;=100*0.4,2,IF(J647&gt;=100*0.33,1,0))))))))</f>
        <v/>
      </c>
      <c r="AC647">
        <f>IF(B647="","",IF(K647&lt;33.0,0,IF(K647&gt;=100*0.8,5,IF(K647&gt;=100*0.7,4,IF(K647&gt;=100*0.6,3.5,IF(K647&gt;=100*0.5,3,IF(K647&gt;=100*0.4,2,IF(K647&gt;=100*0.33,1,0))))))))</f>
        <v/>
      </c>
      <c r="AD647">
        <f>IF(B647="","",IF(L647&lt;33.0,0,IF(L647&gt;=100*0.8,5,IF(L647&gt;=100*0.7,4,IF(L647&gt;=100*0.6,3.5,IF(L647&gt;=100*0.5,3,IF(L647&gt;=100*0.4,2,IF(L647&gt;=100*0.33,1,0))))))))</f>
        <v/>
      </c>
      <c r="AE647">
        <f>IF(B647="","",IF(M647&lt;33.0,0,IF(M647&gt;=100*0.8,5,IF(M647&gt;=100*0.7,4,IF(M647&gt;=100*0.6,3.5,IF(M647&gt;=100*0.5,3,IF(M647&gt;=100*0.4,2,IF(M647&gt;=100*0.33,1,0))))))))</f>
        <v/>
      </c>
      <c r="AF647">
        <f>IF(B647="","",IF(N647&lt;16.5,0,IF(N647&gt;=50*0.8,5,IF(N647&gt;=50*0.7,4,IF(N647&gt;=50*0.6,3.5,IF(N647&gt;=50*0.5,3,IF(N647&gt;=50*0.4,2,IF(N647&gt;=50*0.33,1,0))))))))</f>
        <v/>
      </c>
      <c r="AG647">
        <f>IF(B647="","",IF(O647&lt;33.0,0,IF(O647&gt;=100*0.8,5,IF(O647&gt;=100*0.7,4,IF(O647&gt;=100*0.6,3.5,IF(O647&gt;=100*0.5,3,IF(O647&gt;=100*0.4,2,IF(O647&gt;=100*0.33,1,0))))))))</f>
        <v/>
      </c>
      <c r="AH647">
        <f>IF(B647="","",IF(OR(U647=0,V647=0,W647=0,X647=0,Y647=0,Z647=0,AA647=0,AB647=0,AC647=0,AD647=0,AE647=0,AF647=0,AG647=0),1,0))</f>
        <v/>
      </c>
    </row>
    <row r="648">
      <c r="A648" s="3">
        <f>IF(B648="","",ROW()-2)</f>
        <v/>
      </c>
      <c r="P648" s="4">
        <f>IF(B648="","",SUM(C648:O648))</f>
        <v/>
      </c>
      <c r="Q648" s="5">
        <f>IF(B648="","",ROUND(P648/13,2))</f>
        <v/>
      </c>
      <c r="R648" s="5">
        <f>IF(B648="","",IF(AH648=1,0,MIN(5,ROUND((U648+V648+W648+X648+Y648+Z648+AA648+AB648+AC648+AD648+AE648+AF648+AG648)/13,2))))</f>
        <v/>
      </c>
      <c r="S648" s="3">
        <f>IF(B648="","",IF(R648&gt;=5,"A+",IF(R648&gt;=4,"A",IF(R648&gt;=3.5,"A-",IF(R648&gt;=3,"B",IF(R648&gt;=2,"C",IF(R648&gt;=1,"D","F")))))))</f>
        <v/>
      </c>
      <c r="T648" s="3">
        <f>IF(OR(B648="",S648="F"),"",COUNTIFS(P:P,"&gt;"&amp;P648,S:S,"&lt;&gt;F")+1)</f>
        <v/>
      </c>
      <c r="U648">
        <f>IF(B648="","",IF(C648&lt;33.0,0,IF(C648&gt;=100*0.8,5,IF(C648&gt;=100*0.7,4,IF(C648&gt;=100*0.6,3.5,IF(C648&gt;=100*0.5,3,IF(C648&gt;=100*0.4,2,IF(C648&gt;=100*0.33,1,0))))))))</f>
        <v/>
      </c>
      <c r="V648">
        <f>IF(B648="","",IF(D648&lt;33.0,0,IF(D648&gt;=100*0.8,5,IF(D648&gt;=100*0.7,4,IF(D648&gt;=100*0.6,3.5,IF(D648&gt;=100*0.5,3,IF(D648&gt;=100*0.4,2,IF(D648&gt;=100*0.33,1,0))))))))</f>
        <v/>
      </c>
      <c r="W648">
        <f>IF(B648="","",IF(E648&lt;16.5,0,IF(E648&gt;=50*0.8,5,IF(E648&gt;=50*0.7,4,IF(E648&gt;=50*0.6,3.5,IF(E648&gt;=50*0.5,3,IF(E648&gt;=50*0.4,2,IF(E648&gt;=50*0.33,1,0))))))))</f>
        <v/>
      </c>
      <c r="X648">
        <f>IF(B648="","",IF(F648&lt;33.0,0,IF(F648&gt;=100*0.8,5,IF(F648&gt;=100*0.7,4,IF(F648&gt;=100*0.6,3.5,IF(F648&gt;=100*0.5,3,IF(F648&gt;=100*0.4,2,IF(F648&gt;=100*0.33,1,0))))))))</f>
        <v/>
      </c>
      <c r="Y648">
        <f>IF(B648="","",IF(G648&lt;16.5,0,IF(G648&gt;=50*0.8,5,IF(G648&gt;=50*0.7,4,IF(G648&gt;=50*0.6,3.5,IF(G648&gt;=50*0.5,3,IF(G648&gt;=50*0.4,2,IF(G648&gt;=50*0.33,1,0))))))))</f>
        <v/>
      </c>
      <c r="Z648">
        <f>IF(B648="","",IF(H648&lt;33.0,0,IF(H648&gt;=100*0.8,5,IF(H648&gt;=100*0.7,4,IF(H648&gt;=100*0.6,3.5,IF(H648&gt;=100*0.5,3,IF(H648&gt;=100*0.4,2,IF(H648&gt;=100*0.33,1,0))))))))</f>
        <v/>
      </c>
      <c r="AA648">
        <f>IF(B648="","",IF(I648&lt;33.0,0,IF(I648&gt;=100*0.8,5,IF(I648&gt;=100*0.7,4,IF(I648&gt;=100*0.6,3.5,IF(I648&gt;=100*0.5,3,IF(I648&gt;=100*0.4,2,IF(I648&gt;=100*0.33,1,0))))))))</f>
        <v/>
      </c>
      <c r="AB648">
        <f>IF(B648="","",IF(J648&lt;33.0,0,IF(J648&gt;=100*0.8,5,IF(J648&gt;=100*0.7,4,IF(J648&gt;=100*0.6,3.5,IF(J648&gt;=100*0.5,3,IF(J648&gt;=100*0.4,2,IF(J648&gt;=100*0.33,1,0))))))))</f>
        <v/>
      </c>
      <c r="AC648">
        <f>IF(B648="","",IF(K648&lt;33.0,0,IF(K648&gt;=100*0.8,5,IF(K648&gt;=100*0.7,4,IF(K648&gt;=100*0.6,3.5,IF(K648&gt;=100*0.5,3,IF(K648&gt;=100*0.4,2,IF(K648&gt;=100*0.33,1,0))))))))</f>
        <v/>
      </c>
      <c r="AD648">
        <f>IF(B648="","",IF(L648&lt;33.0,0,IF(L648&gt;=100*0.8,5,IF(L648&gt;=100*0.7,4,IF(L648&gt;=100*0.6,3.5,IF(L648&gt;=100*0.5,3,IF(L648&gt;=100*0.4,2,IF(L648&gt;=100*0.33,1,0))))))))</f>
        <v/>
      </c>
      <c r="AE648">
        <f>IF(B648="","",IF(M648&lt;33.0,0,IF(M648&gt;=100*0.8,5,IF(M648&gt;=100*0.7,4,IF(M648&gt;=100*0.6,3.5,IF(M648&gt;=100*0.5,3,IF(M648&gt;=100*0.4,2,IF(M648&gt;=100*0.33,1,0))))))))</f>
        <v/>
      </c>
      <c r="AF648">
        <f>IF(B648="","",IF(N648&lt;16.5,0,IF(N648&gt;=50*0.8,5,IF(N648&gt;=50*0.7,4,IF(N648&gt;=50*0.6,3.5,IF(N648&gt;=50*0.5,3,IF(N648&gt;=50*0.4,2,IF(N648&gt;=50*0.33,1,0))))))))</f>
        <v/>
      </c>
      <c r="AG648">
        <f>IF(B648="","",IF(O648&lt;33.0,0,IF(O648&gt;=100*0.8,5,IF(O648&gt;=100*0.7,4,IF(O648&gt;=100*0.6,3.5,IF(O648&gt;=100*0.5,3,IF(O648&gt;=100*0.4,2,IF(O648&gt;=100*0.33,1,0))))))))</f>
        <v/>
      </c>
      <c r="AH648">
        <f>IF(B648="","",IF(OR(U648=0,V648=0,W648=0,X648=0,Y648=0,Z648=0,AA648=0,AB648=0,AC648=0,AD648=0,AE648=0,AF648=0,AG648=0),1,0))</f>
        <v/>
      </c>
    </row>
    <row r="649">
      <c r="A649" s="3">
        <f>IF(B649="","",ROW()-2)</f>
        <v/>
      </c>
      <c r="P649" s="4">
        <f>IF(B649="","",SUM(C649:O649))</f>
        <v/>
      </c>
      <c r="Q649" s="5">
        <f>IF(B649="","",ROUND(P649/13,2))</f>
        <v/>
      </c>
      <c r="R649" s="5">
        <f>IF(B649="","",IF(AH649=1,0,MIN(5,ROUND((U649+V649+W649+X649+Y649+Z649+AA649+AB649+AC649+AD649+AE649+AF649+AG649)/13,2))))</f>
        <v/>
      </c>
      <c r="S649" s="3">
        <f>IF(B649="","",IF(R649&gt;=5,"A+",IF(R649&gt;=4,"A",IF(R649&gt;=3.5,"A-",IF(R649&gt;=3,"B",IF(R649&gt;=2,"C",IF(R649&gt;=1,"D","F")))))))</f>
        <v/>
      </c>
      <c r="T649" s="3">
        <f>IF(OR(B649="",S649="F"),"",COUNTIFS(P:P,"&gt;"&amp;P649,S:S,"&lt;&gt;F")+1)</f>
        <v/>
      </c>
      <c r="U649">
        <f>IF(B649="","",IF(C649&lt;33.0,0,IF(C649&gt;=100*0.8,5,IF(C649&gt;=100*0.7,4,IF(C649&gt;=100*0.6,3.5,IF(C649&gt;=100*0.5,3,IF(C649&gt;=100*0.4,2,IF(C649&gt;=100*0.33,1,0))))))))</f>
        <v/>
      </c>
      <c r="V649">
        <f>IF(B649="","",IF(D649&lt;33.0,0,IF(D649&gt;=100*0.8,5,IF(D649&gt;=100*0.7,4,IF(D649&gt;=100*0.6,3.5,IF(D649&gt;=100*0.5,3,IF(D649&gt;=100*0.4,2,IF(D649&gt;=100*0.33,1,0))))))))</f>
        <v/>
      </c>
      <c r="W649">
        <f>IF(B649="","",IF(E649&lt;16.5,0,IF(E649&gt;=50*0.8,5,IF(E649&gt;=50*0.7,4,IF(E649&gt;=50*0.6,3.5,IF(E649&gt;=50*0.5,3,IF(E649&gt;=50*0.4,2,IF(E649&gt;=50*0.33,1,0))))))))</f>
        <v/>
      </c>
      <c r="X649">
        <f>IF(B649="","",IF(F649&lt;33.0,0,IF(F649&gt;=100*0.8,5,IF(F649&gt;=100*0.7,4,IF(F649&gt;=100*0.6,3.5,IF(F649&gt;=100*0.5,3,IF(F649&gt;=100*0.4,2,IF(F649&gt;=100*0.33,1,0))))))))</f>
        <v/>
      </c>
      <c r="Y649">
        <f>IF(B649="","",IF(G649&lt;16.5,0,IF(G649&gt;=50*0.8,5,IF(G649&gt;=50*0.7,4,IF(G649&gt;=50*0.6,3.5,IF(G649&gt;=50*0.5,3,IF(G649&gt;=50*0.4,2,IF(G649&gt;=50*0.33,1,0))))))))</f>
        <v/>
      </c>
      <c r="Z649">
        <f>IF(B649="","",IF(H649&lt;33.0,0,IF(H649&gt;=100*0.8,5,IF(H649&gt;=100*0.7,4,IF(H649&gt;=100*0.6,3.5,IF(H649&gt;=100*0.5,3,IF(H649&gt;=100*0.4,2,IF(H649&gt;=100*0.33,1,0))))))))</f>
        <v/>
      </c>
      <c r="AA649">
        <f>IF(B649="","",IF(I649&lt;33.0,0,IF(I649&gt;=100*0.8,5,IF(I649&gt;=100*0.7,4,IF(I649&gt;=100*0.6,3.5,IF(I649&gt;=100*0.5,3,IF(I649&gt;=100*0.4,2,IF(I649&gt;=100*0.33,1,0))))))))</f>
        <v/>
      </c>
      <c r="AB649">
        <f>IF(B649="","",IF(J649&lt;33.0,0,IF(J649&gt;=100*0.8,5,IF(J649&gt;=100*0.7,4,IF(J649&gt;=100*0.6,3.5,IF(J649&gt;=100*0.5,3,IF(J649&gt;=100*0.4,2,IF(J649&gt;=100*0.33,1,0))))))))</f>
        <v/>
      </c>
      <c r="AC649">
        <f>IF(B649="","",IF(K649&lt;33.0,0,IF(K649&gt;=100*0.8,5,IF(K649&gt;=100*0.7,4,IF(K649&gt;=100*0.6,3.5,IF(K649&gt;=100*0.5,3,IF(K649&gt;=100*0.4,2,IF(K649&gt;=100*0.33,1,0))))))))</f>
        <v/>
      </c>
      <c r="AD649">
        <f>IF(B649="","",IF(L649&lt;33.0,0,IF(L649&gt;=100*0.8,5,IF(L649&gt;=100*0.7,4,IF(L649&gt;=100*0.6,3.5,IF(L649&gt;=100*0.5,3,IF(L649&gt;=100*0.4,2,IF(L649&gt;=100*0.33,1,0))))))))</f>
        <v/>
      </c>
      <c r="AE649">
        <f>IF(B649="","",IF(M649&lt;33.0,0,IF(M649&gt;=100*0.8,5,IF(M649&gt;=100*0.7,4,IF(M649&gt;=100*0.6,3.5,IF(M649&gt;=100*0.5,3,IF(M649&gt;=100*0.4,2,IF(M649&gt;=100*0.33,1,0))))))))</f>
        <v/>
      </c>
      <c r="AF649">
        <f>IF(B649="","",IF(N649&lt;16.5,0,IF(N649&gt;=50*0.8,5,IF(N649&gt;=50*0.7,4,IF(N649&gt;=50*0.6,3.5,IF(N649&gt;=50*0.5,3,IF(N649&gt;=50*0.4,2,IF(N649&gt;=50*0.33,1,0))))))))</f>
        <v/>
      </c>
      <c r="AG649">
        <f>IF(B649="","",IF(O649&lt;33.0,0,IF(O649&gt;=100*0.8,5,IF(O649&gt;=100*0.7,4,IF(O649&gt;=100*0.6,3.5,IF(O649&gt;=100*0.5,3,IF(O649&gt;=100*0.4,2,IF(O649&gt;=100*0.33,1,0))))))))</f>
        <v/>
      </c>
      <c r="AH649">
        <f>IF(B649="","",IF(OR(U649=0,V649=0,W649=0,X649=0,Y649=0,Z649=0,AA649=0,AB649=0,AC649=0,AD649=0,AE649=0,AF649=0,AG649=0),1,0))</f>
        <v/>
      </c>
    </row>
    <row r="650">
      <c r="A650" s="3">
        <f>IF(B650="","",ROW()-2)</f>
        <v/>
      </c>
      <c r="P650" s="4">
        <f>IF(B650="","",SUM(C650:O650))</f>
        <v/>
      </c>
      <c r="Q650" s="5">
        <f>IF(B650="","",ROUND(P650/13,2))</f>
        <v/>
      </c>
      <c r="R650" s="5">
        <f>IF(B650="","",IF(AH650=1,0,MIN(5,ROUND((U650+V650+W650+X650+Y650+Z650+AA650+AB650+AC650+AD650+AE650+AF650+AG650)/13,2))))</f>
        <v/>
      </c>
      <c r="S650" s="3">
        <f>IF(B650="","",IF(R650&gt;=5,"A+",IF(R650&gt;=4,"A",IF(R650&gt;=3.5,"A-",IF(R650&gt;=3,"B",IF(R650&gt;=2,"C",IF(R650&gt;=1,"D","F")))))))</f>
        <v/>
      </c>
      <c r="T650" s="3">
        <f>IF(OR(B650="",S650="F"),"",COUNTIFS(P:P,"&gt;"&amp;P650,S:S,"&lt;&gt;F")+1)</f>
        <v/>
      </c>
      <c r="U650">
        <f>IF(B650="","",IF(C650&lt;33.0,0,IF(C650&gt;=100*0.8,5,IF(C650&gt;=100*0.7,4,IF(C650&gt;=100*0.6,3.5,IF(C650&gt;=100*0.5,3,IF(C650&gt;=100*0.4,2,IF(C650&gt;=100*0.33,1,0))))))))</f>
        <v/>
      </c>
      <c r="V650">
        <f>IF(B650="","",IF(D650&lt;33.0,0,IF(D650&gt;=100*0.8,5,IF(D650&gt;=100*0.7,4,IF(D650&gt;=100*0.6,3.5,IF(D650&gt;=100*0.5,3,IF(D650&gt;=100*0.4,2,IF(D650&gt;=100*0.33,1,0))))))))</f>
        <v/>
      </c>
      <c r="W650">
        <f>IF(B650="","",IF(E650&lt;16.5,0,IF(E650&gt;=50*0.8,5,IF(E650&gt;=50*0.7,4,IF(E650&gt;=50*0.6,3.5,IF(E650&gt;=50*0.5,3,IF(E650&gt;=50*0.4,2,IF(E650&gt;=50*0.33,1,0))))))))</f>
        <v/>
      </c>
      <c r="X650">
        <f>IF(B650="","",IF(F650&lt;33.0,0,IF(F650&gt;=100*0.8,5,IF(F650&gt;=100*0.7,4,IF(F650&gt;=100*0.6,3.5,IF(F650&gt;=100*0.5,3,IF(F650&gt;=100*0.4,2,IF(F650&gt;=100*0.33,1,0))))))))</f>
        <v/>
      </c>
      <c r="Y650">
        <f>IF(B650="","",IF(G650&lt;16.5,0,IF(G650&gt;=50*0.8,5,IF(G650&gt;=50*0.7,4,IF(G650&gt;=50*0.6,3.5,IF(G650&gt;=50*0.5,3,IF(G650&gt;=50*0.4,2,IF(G650&gt;=50*0.33,1,0))))))))</f>
        <v/>
      </c>
      <c r="Z650">
        <f>IF(B650="","",IF(H650&lt;33.0,0,IF(H650&gt;=100*0.8,5,IF(H650&gt;=100*0.7,4,IF(H650&gt;=100*0.6,3.5,IF(H650&gt;=100*0.5,3,IF(H650&gt;=100*0.4,2,IF(H650&gt;=100*0.33,1,0))))))))</f>
        <v/>
      </c>
      <c r="AA650">
        <f>IF(B650="","",IF(I650&lt;33.0,0,IF(I650&gt;=100*0.8,5,IF(I650&gt;=100*0.7,4,IF(I650&gt;=100*0.6,3.5,IF(I650&gt;=100*0.5,3,IF(I650&gt;=100*0.4,2,IF(I650&gt;=100*0.33,1,0))))))))</f>
        <v/>
      </c>
      <c r="AB650">
        <f>IF(B650="","",IF(J650&lt;33.0,0,IF(J650&gt;=100*0.8,5,IF(J650&gt;=100*0.7,4,IF(J650&gt;=100*0.6,3.5,IF(J650&gt;=100*0.5,3,IF(J650&gt;=100*0.4,2,IF(J650&gt;=100*0.33,1,0))))))))</f>
        <v/>
      </c>
      <c r="AC650">
        <f>IF(B650="","",IF(K650&lt;33.0,0,IF(K650&gt;=100*0.8,5,IF(K650&gt;=100*0.7,4,IF(K650&gt;=100*0.6,3.5,IF(K650&gt;=100*0.5,3,IF(K650&gt;=100*0.4,2,IF(K650&gt;=100*0.33,1,0))))))))</f>
        <v/>
      </c>
      <c r="AD650">
        <f>IF(B650="","",IF(L650&lt;33.0,0,IF(L650&gt;=100*0.8,5,IF(L650&gt;=100*0.7,4,IF(L650&gt;=100*0.6,3.5,IF(L650&gt;=100*0.5,3,IF(L650&gt;=100*0.4,2,IF(L650&gt;=100*0.33,1,0))))))))</f>
        <v/>
      </c>
      <c r="AE650">
        <f>IF(B650="","",IF(M650&lt;33.0,0,IF(M650&gt;=100*0.8,5,IF(M650&gt;=100*0.7,4,IF(M650&gt;=100*0.6,3.5,IF(M650&gt;=100*0.5,3,IF(M650&gt;=100*0.4,2,IF(M650&gt;=100*0.33,1,0))))))))</f>
        <v/>
      </c>
      <c r="AF650">
        <f>IF(B650="","",IF(N650&lt;16.5,0,IF(N650&gt;=50*0.8,5,IF(N650&gt;=50*0.7,4,IF(N650&gt;=50*0.6,3.5,IF(N650&gt;=50*0.5,3,IF(N650&gt;=50*0.4,2,IF(N650&gt;=50*0.33,1,0))))))))</f>
        <v/>
      </c>
      <c r="AG650">
        <f>IF(B650="","",IF(O650&lt;33.0,0,IF(O650&gt;=100*0.8,5,IF(O650&gt;=100*0.7,4,IF(O650&gt;=100*0.6,3.5,IF(O650&gt;=100*0.5,3,IF(O650&gt;=100*0.4,2,IF(O650&gt;=100*0.33,1,0))))))))</f>
        <v/>
      </c>
      <c r="AH650">
        <f>IF(B650="","",IF(OR(U650=0,V650=0,W650=0,X650=0,Y650=0,Z650=0,AA650=0,AB650=0,AC650=0,AD650=0,AE650=0,AF650=0,AG650=0),1,0))</f>
        <v/>
      </c>
    </row>
    <row r="651">
      <c r="A651" s="3">
        <f>IF(B651="","",ROW()-2)</f>
        <v/>
      </c>
      <c r="P651" s="4">
        <f>IF(B651="","",SUM(C651:O651))</f>
        <v/>
      </c>
      <c r="Q651" s="5">
        <f>IF(B651="","",ROUND(P651/13,2))</f>
        <v/>
      </c>
      <c r="R651" s="5">
        <f>IF(B651="","",IF(AH651=1,0,MIN(5,ROUND((U651+V651+W651+X651+Y651+Z651+AA651+AB651+AC651+AD651+AE651+AF651+AG651)/13,2))))</f>
        <v/>
      </c>
      <c r="S651" s="3">
        <f>IF(B651="","",IF(R651&gt;=5,"A+",IF(R651&gt;=4,"A",IF(R651&gt;=3.5,"A-",IF(R651&gt;=3,"B",IF(R651&gt;=2,"C",IF(R651&gt;=1,"D","F")))))))</f>
        <v/>
      </c>
      <c r="T651" s="3">
        <f>IF(OR(B651="",S651="F"),"",COUNTIFS(P:P,"&gt;"&amp;P651,S:S,"&lt;&gt;F")+1)</f>
        <v/>
      </c>
      <c r="U651">
        <f>IF(B651="","",IF(C651&lt;33.0,0,IF(C651&gt;=100*0.8,5,IF(C651&gt;=100*0.7,4,IF(C651&gt;=100*0.6,3.5,IF(C651&gt;=100*0.5,3,IF(C651&gt;=100*0.4,2,IF(C651&gt;=100*0.33,1,0))))))))</f>
        <v/>
      </c>
      <c r="V651">
        <f>IF(B651="","",IF(D651&lt;33.0,0,IF(D651&gt;=100*0.8,5,IF(D651&gt;=100*0.7,4,IF(D651&gt;=100*0.6,3.5,IF(D651&gt;=100*0.5,3,IF(D651&gt;=100*0.4,2,IF(D651&gt;=100*0.33,1,0))))))))</f>
        <v/>
      </c>
      <c r="W651">
        <f>IF(B651="","",IF(E651&lt;16.5,0,IF(E651&gt;=50*0.8,5,IF(E651&gt;=50*0.7,4,IF(E651&gt;=50*0.6,3.5,IF(E651&gt;=50*0.5,3,IF(E651&gt;=50*0.4,2,IF(E651&gt;=50*0.33,1,0))))))))</f>
        <v/>
      </c>
      <c r="X651">
        <f>IF(B651="","",IF(F651&lt;33.0,0,IF(F651&gt;=100*0.8,5,IF(F651&gt;=100*0.7,4,IF(F651&gt;=100*0.6,3.5,IF(F651&gt;=100*0.5,3,IF(F651&gt;=100*0.4,2,IF(F651&gt;=100*0.33,1,0))))))))</f>
        <v/>
      </c>
      <c r="Y651">
        <f>IF(B651="","",IF(G651&lt;16.5,0,IF(G651&gt;=50*0.8,5,IF(G651&gt;=50*0.7,4,IF(G651&gt;=50*0.6,3.5,IF(G651&gt;=50*0.5,3,IF(G651&gt;=50*0.4,2,IF(G651&gt;=50*0.33,1,0))))))))</f>
        <v/>
      </c>
      <c r="Z651">
        <f>IF(B651="","",IF(H651&lt;33.0,0,IF(H651&gt;=100*0.8,5,IF(H651&gt;=100*0.7,4,IF(H651&gt;=100*0.6,3.5,IF(H651&gt;=100*0.5,3,IF(H651&gt;=100*0.4,2,IF(H651&gt;=100*0.33,1,0))))))))</f>
        <v/>
      </c>
      <c r="AA651">
        <f>IF(B651="","",IF(I651&lt;33.0,0,IF(I651&gt;=100*0.8,5,IF(I651&gt;=100*0.7,4,IF(I651&gt;=100*0.6,3.5,IF(I651&gt;=100*0.5,3,IF(I651&gt;=100*0.4,2,IF(I651&gt;=100*0.33,1,0))))))))</f>
        <v/>
      </c>
      <c r="AB651">
        <f>IF(B651="","",IF(J651&lt;33.0,0,IF(J651&gt;=100*0.8,5,IF(J651&gt;=100*0.7,4,IF(J651&gt;=100*0.6,3.5,IF(J651&gt;=100*0.5,3,IF(J651&gt;=100*0.4,2,IF(J651&gt;=100*0.33,1,0))))))))</f>
        <v/>
      </c>
      <c r="AC651">
        <f>IF(B651="","",IF(K651&lt;33.0,0,IF(K651&gt;=100*0.8,5,IF(K651&gt;=100*0.7,4,IF(K651&gt;=100*0.6,3.5,IF(K651&gt;=100*0.5,3,IF(K651&gt;=100*0.4,2,IF(K651&gt;=100*0.33,1,0))))))))</f>
        <v/>
      </c>
      <c r="AD651">
        <f>IF(B651="","",IF(L651&lt;33.0,0,IF(L651&gt;=100*0.8,5,IF(L651&gt;=100*0.7,4,IF(L651&gt;=100*0.6,3.5,IF(L651&gt;=100*0.5,3,IF(L651&gt;=100*0.4,2,IF(L651&gt;=100*0.33,1,0))))))))</f>
        <v/>
      </c>
      <c r="AE651">
        <f>IF(B651="","",IF(M651&lt;33.0,0,IF(M651&gt;=100*0.8,5,IF(M651&gt;=100*0.7,4,IF(M651&gt;=100*0.6,3.5,IF(M651&gt;=100*0.5,3,IF(M651&gt;=100*0.4,2,IF(M651&gt;=100*0.33,1,0))))))))</f>
        <v/>
      </c>
      <c r="AF651">
        <f>IF(B651="","",IF(N651&lt;16.5,0,IF(N651&gt;=50*0.8,5,IF(N651&gt;=50*0.7,4,IF(N651&gt;=50*0.6,3.5,IF(N651&gt;=50*0.5,3,IF(N651&gt;=50*0.4,2,IF(N651&gt;=50*0.33,1,0))))))))</f>
        <v/>
      </c>
      <c r="AG651">
        <f>IF(B651="","",IF(O651&lt;33.0,0,IF(O651&gt;=100*0.8,5,IF(O651&gt;=100*0.7,4,IF(O651&gt;=100*0.6,3.5,IF(O651&gt;=100*0.5,3,IF(O651&gt;=100*0.4,2,IF(O651&gt;=100*0.33,1,0))))))))</f>
        <v/>
      </c>
      <c r="AH651">
        <f>IF(B651="","",IF(OR(U651=0,V651=0,W651=0,X651=0,Y651=0,Z651=0,AA651=0,AB651=0,AC651=0,AD651=0,AE651=0,AF651=0,AG651=0),1,0))</f>
        <v/>
      </c>
    </row>
    <row r="652">
      <c r="A652" s="3">
        <f>IF(B652="","",ROW()-2)</f>
        <v/>
      </c>
      <c r="P652" s="4">
        <f>IF(B652="","",SUM(C652:O652))</f>
        <v/>
      </c>
      <c r="Q652" s="5">
        <f>IF(B652="","",ROUND(P652/13,2))</f>
        <v/>
      </c>
      <c r="R652" s="5">
        <f>IF(B652="","",IF(AH652=1,0,MIN(5,ROUND((U652+V652+W652+X652+Y652+Z652+AA652+AB652+AC652+AD652+AE652+AF652+AG652)/13,2))))</f>
        <v/>
      </c>
      <c r="S652" s="3">
        <f>IF(B652="","",IF(R652&gt;=5,"A+",IF(R652&gt;=4,"A",IF(R652&gt;=3.5,"A-",IF(R652&gt;=3,"B",IF(R652&gt;=2,"C",IF(R652&gt;=1,"D","F")))))))</f>
        <v/>
      </c>
      <c r="T652" s="3">
        <f>IF(OR(B652="",S652="F"),"",COUNTIFS(P:P,"&gt;"&amp;P652,S:S,"&lt;&gt;F")+1)</f>
        <v/>
      </c>
      <c r="U652">
        <f>IF(B652="","",IF(C652&lt;33.0,0,IF(C652&gt;=100*0.8,5,IF(C652&gt;=100*0.7,4,IF(C652&gt;=100*0.6,3.5,IF(C652&gt;=100*0.5,3,IF(C652&gt;=100*0.4,2,IF(C652&gt;=100*0.33,1,0))))))))</f>
        <v/>
      </c>
      <c r="V652">
        <f>IF(B652="","",IF(D652&lt;33.0,0,IF(D652&gt;=100*0.8,5,IF(D652&gt;=100*0.7,4,IF(D652&gt;=100*0.6,3.5,IF(D652&gt;=100*0.5,3,IF(D652&gt;=100*0.4,2,IF(D652&gt;=100*0.33,1,0))))))))</f>
        <v/>
      </c>
      <c r="W652">
        <f>IF(B652="","",IF(E652&lt;16.5,0,IF(E652&gt;=50*0.8,5,IF(E652&gt;=50*0.7,4,IF(E652&gt;=50*0.6,3.5,IF(E652&gt;=50*0.5,3,IF(E652&gt;=50*0.4,2,IF(E652&gt;=50*0.33,1,0))))))))</f>
        <v/>
      </c>
      <c r="X652">
        <f>IF(B652="","",IF(F652&lt;33.0,0,IF(F652&gt;=100*0.8,5,IF(F652&gt;=100*0.7,4,IF(F652&gt;=100*0.6,3.5,IF(F652&gt;=100*0.5,3,IF(F652&gt;=100*0.4,2,IF(F652&gt;=100*0.33,1,0))))))))</f>
        <v/>
      </c>
      <c r="Y652">
        <f>IF(B652="","",IF(G652&lt;16.5,0,IF(G652&gt;=50*0.8,5,IF(G652&gt;=50*0.7,4,IF(G652&gt;=50*0.6,3.5,IF(G652&gt;=50*0.5,3,IF(G652&gt;=50*0.4,2,IF(G652&gt;=50*0.33,1,0))))))))</f>
        <v/>
      </c>
      <c r="Z652">
        <f>IF(B652="","",IF(H652&lt;33.0,0,IF(H652&gt;=100*0.8,5,IF(H652&gt;=100*0.7,4,IF(H652&gt;=100*0.6,3.5,IF(H652&gt;=100*0.5,3,IF(H652&gt;=100*0.4,2,IF(H652&gt;=100*0.33,1,0))))))))</f>
        <v/>
      </c>
      <c r="AA652">
        <f>IF(B652="","",IF(I652&lt;33.0,0,IF(I652&gt;=100*0.8,5,IF(I652&gt;=100*0.7,4,IF(I652&gt;=100*0.6,3.5,IF(I652&gt;=100*0.5,3,IF(I652&gt;=100*0.4,2,IF(I652&gt;=100*0.33,1,0))))))))</f>
        <v/>
      </c>
      <c r="AB652">
        <f>IF(B652="","",IF(J652&lt;33.0,0,IF(J652&gt;=100*0.8,5,IF(J652&gt;=100*0.7,4,IF(J652&gt;=100*0.6,3.5,IF(J652&gt;=100*0.5,3,IF(J652&gt;=100*0.4,2,IF(J652&gt;=100*0.33,1,0))))))))</f>
        <v/>
      </c>
      <c r="AC652">
        <f>IF(B652="","",IF(K652&lt;33.0,0,IF(K652&gt;=100*0.8,5,IF(K652&gt;=100*0.7,4,IF(K652&gt;=100*0.6,3.5,IF(K652&gt;=100*0.5,3,IF(K652&gt;=100*0.4,2,IF(K652&gt;=100*0.33,1,0))))))))</f>
        <v/>
      </c>
      <c r="AD652">
        <f>IF(B652="","",IF(L652&lt;33.0,0,IF(L652&gt;=100*0.8,5,IF(L652&gt;=100*0.7,4,IF(L652&gt;=100*0.6,3.5,IF(L652&gt;=100*0.5,3,IF(L652&gt;=100*0.4,2,IF(L652&gt;=100*0.33,1,0))))))))</f>
        <v/>
      </c>
      <c r="AE652">
        <f>IF(B652="","",IF(M652&lt;33.0,0,IF(M652&gt;=100*0.8,5,IF(M652&gt;=100*0.7,4,IF(M652&gt;=100*0.6,3.5,IF(M652&gt;=100*0.5,3,IF(M652&gt;=100*0.4,2,IF(M652&gt;=100*0.33,1,0))))))))</f>
        <v/>
      </c>
      <c r="AF652">
        <f>IF(B652="","",IF(N652&lt;16.5,0,IF(N652&gt;=50*0.8,5,IF(N652&gt;=50*0.7,4,IF(N652&gt;=50*0.6,3.5,IF(N652&gt;=50*0.5,3,IF(N652&gt;=50*0.4,2,IF(N652&gt;=50*0.33,1,0))))))))</f>
        <v/>
      </c>
      <c r="AG652">
        <f>IF(B652="","",IF(O652&lt;33.0,0,IF(O652&gt;=100*0.8,5,IF(O652&gt;=100*0.7,4,IF(O652&gt;=100*0.6,3.5,IF(O652&gt;=100*0.5,3,IF(O652&gt;=100*0.4,2,IF(O652&gt;=100*0.33,1,0))))))))</f>
        <v/>
      </c>
      <c r="AH652">
        <f>IF(B652="","",IF(OR(U652=0,V652=0,W652=0,X652=0,Y652=0,Z652=0,AA652=0,AB652=0,AC652=0,AD652=0,AE652=0,AF652=0,AG652=0),1,0))</f>
        <v/>
      </c>
    </row>
    <row r="653">
      <c r="A653" s="3">
        <f>IF(B653="","",ROW()-2)</f>
        <v/>
      </c>
      <c r="P653" s="4">
        <f>IF(B653="","",SUM(C653:O653))</f>
        <v/>
      </c>
      <c r="Q653" s="5">
        <f>IF(B653="","",ROUND(P653/13,2))</f>
        <v/>
      </c>
      <c r="R653" s="5">
        <f>IF(B653="","",IF(AH653=1,0,MIN(5,ROUND((U653+V653+W653+X653+Y653+Z653+AA653+AB653+AC653+AD653+AE653+AF653+AG653)/13,2))))</f>
        <v/>
      </c>
      <c r="S653" s="3">
        <f>IF(B653="","",IF(R653&gt;=5,"A+",IF(R653&gt;=4,"A",IF(R653&gt;=3.5,"A-",IF(R653&gt;=3,"B",IF(R653&gt;=2,"C",IF(R653&gt;=1,"D","F")))))))</f>
        <v/>
      </c>
      <c r="T653" s="3">
        <f>IF(OR(B653="",S653="F"),"",COUNTIFS(P:P,"&gt;"&amp;P653,S:S,"&lt;&gt;F")+1)</f>
        <v/>
      </c>
      <c r="U653">
        <f>IF(B653="","",IF(C653&lt;33.0,0,IF(C653&gt;=100*0.8,5,IF(C653&gt;=100*0.7,4,IF(C653&gt;=100*0.6,3.5,IF(C653&gt;=100*0.5,3,IF(C653&gt;=100*0.4,2,IF(C653&gt;=100*0.33,1,0))))))))</f>
        <v/>
      </c>
      <c r="V653">
        <f>IF(B653="","",IF(D653&lt;33.0,0,IF(D653&gt;=100*0.8,5,IF(D653&gt;=100*0.7,4,IF(D653&gt;=100*0.6,3.5,IF(D653&gt;=100*0.5,3,IF(D653&gt;=100*0.4,2,IF(D653&gt;=100*0.33,1,0))))))))</f>
        <v/>
      </c>
      <c r="W653">
        <f>IF(B653="","",IF(E653&lt;16.5,0,IF(E653&gt;=50*0.8,5,IF(E653&gt;=50*0.7,4,IF(E653&gt;=50*0.6,3.5,IF(E653&gt;=50*0.5,3,IF(E653&gt;=50*0.4,2,IF(E653&gt;=50*0.33,1,0))))))))</f>
        <v/>
      </c>
      <c r="X653">
        <f>IF(B653="","",IF(F653&lt;33.0,0,IF(F653&gt;=100*0.8,5,IF(F653&gt;=100*0.7,4,IF(F653&gt;=100*0.6,3.5,IF(F653&gt;=100*0.5,3,IF(F653&gt;=100*0.4,2,IF(F653&gt;=100*0.33,1,0))))))))</f>
        <v/>
      </c>
      <c r="Y653">
        <f>IF(B653="","",IF(G653&lt;16.5,0,IF(G653&gt;=50*0.8,5,IF(G653&gt;=50*0.7,4,IF(G653&gt;=50*0.6,3.5,IF(G653&gt;=50*0.5,3,IF(G653&gt;=50*0.4,2,IF(G653&gt;=50*0.33,1,0))))))))</f>
        <v/>
      </c>
      <c r="Z653">
        <f>IF(B653="","",IF(H653&lt;33.0,0,IF(H653&gt;=100*0.8,5,IF(H653&gt;=100*0.7,4,IF(H653&gt;=100*0.6,3.5,IF(H653&gt;=100*0.5,3,IF(H653&gt;=100*0.4,2,IF(H653&gt;=100*0.33,1,0))))))))</f>
        <v/>
      </c>
      <c r="AA653">
        <f>IF(B653="","",IF(I653&lt;33.0,0,IF(I653&gt;=100*0.8,5,IF(I653&gt;=100*0.7,4,IF(I653&gt;=100*0.6,3.5,IF(I653&gt;=100*0.5,3,IF(I653&gt;=100*0.4,2,IF(I653&gt;=100*0.33,1,0))))))))</f>
        <v/>
      </c>
      <c r="AB653">
        <f>IF(B653="","",IF(J653&lt;33.0,0,IF(J653&gt;=100*0.8,5,IF(J653&gt;=100*0.7,4,IF(J653&gt;=100*0.6,3.5,IF(J653&gt;=100*0.5,3,IF(J653&gt;=100*0.4,2,IF(J653&gt;=100*0.33,1,0))))))))</f>
        <v/>
      </c>
      <c r="AC653">
        <f>IF(B653="","",IF(K653&lt;33.0,0,IF(K653&gt;=100*0.8,5,IF(K653&gt;=100*0.7,4,IF(K653&gt;=100*0.6,3.5,IF(K653&gt;=100*0.5,3,IF(K653&gt;=100*0.4,2,IF(K653&gt;=100*0.33,1,0))))))))</f>
        <v/>
      </c>
      <c r="AD653">
        <f>IF(B653="","",IF(L653&lt;33.0,0,IF(L653&gt;=100*0.8,5,IF(L653&gt;=100*0.7,4,IF(L653&gt;=100*0.6,3.5,IF(L653&gt;=100*0.5,3,IF(L653&gt;=100*0.4,2,IF(L653&gt;=100*0.33,1,0))))))))</f>
        <v/>
      </c>
      <c r="AE653">
        <f>IF(B653="","",IF(M653&lt;33.0,0,IF(M653&gt;=100*0.8,5,IF(M653&gt;=100*0.7,4,IF(M653&gt;=100*0.6,3.5,IF(M653&gt;=100*0.5,3,IF(M653&gt;=100*0.4,2,IF(M653&gt;=100*0.33,1,0))))))))</f>
        <v/>
      </c>
      <c r="AF653">
        <f>IF(B653="","",IF(N653&lt;16.5,0,IF(N653&gt;=50*0.8,5,IF(N653&gt;=50*0.7,4,IF(N653&gt;=50*0.6,3.5,IF(N653&gt;=50*0.5,3,IF(N653&gt;=50*0.4,2,IF(N653&gt;=50*0.33,1,0))))))))</f>
        <v/>
      </c>
      <c r="AG653">
        <f>IF(B653="","",IF(O653&lt;33.0,0,IF(O653&gt;=100*0.8,5,IF(O653&gt;=100*0.7,4,IF(O653&gt;=100*0.6,3.5,IF(O653&gt;=100*0.5,3,IF(O653&gt;=100*0.4,2,IF(O653&gt;=100*0.33,1,0))))))))</f>
        <v/>
      </c>
      <c r="AH653">
        <f>IF(B653="","",IF(OR(U653=0,V653=0,W653=0,X653=0,Y653=0,Z653=0,AA653=0,AB653=0,AC653=0,AD653=0,AE653=0,AF653=0,AG653=0),1,0))</f>
        <v/>
      </c>
    </row>
    <row r="654">
      <c r="A654" s="3">
        <f>IF(B654="","",ROW()-2)</f>
        <v/>
      </c>
      <c r="P654" s="4">
        <f>IF(B654="","",SUM(C654:O654))</f>
        <v/>
      </c>
      <c r="Q654" s="5">
        <f>IF(B654="","",ROUND(P654/13,2))</f>
        <v/>
      </c>
      <c r="R654" s="5">
        <f>IF(B654="","",IF(AH654=1,0,MIN(5,ROUND((U654+V654+W654+X654+Y654+Z654+AA654+AB654+AC654+AD654+AE654+AF654+AG654)/13,2))))</f>
        <v/>
      </c>
      <c r="S654" s="3">
        <f>IF(B654="","",IF(R654&gt;=5,"A+",IF(R654&gt;=4,"A",IF(R654&gt;=3.5,"A-",IF(R654&gt;=3,"B",IF(R654&gt;=2,"C",IF(R654&gt;=1,"D","F")))))))</f>
        <v/>
      </c>
      <c r="T654" s="3">
        <f>IF(OR(B654="",S654="F"),"",COUNTIFS(P:P,"&gt;"&amp;P654,S:S,"&lt;&gt;F")+1)</f>
        <v/>
      </c>
      <c r="U654">
        <f>IF(B654="","",IF(C654&lt;33.0,0,IF(C654&gt;=100*0.8,5,IF(C654&gt;=100*0.7,4,IF(C654&gt;=100*0.6,3.5,IF(C654&gt;=100*0.5,3,IF(C654&gt;=100*0.4,2,IF(C654&gt;=100*0.33,1,0))))))))</f>
        <v/>
      </c>
      <c r="V654">
        <f>IF(B654="","",IF(D654&lt;33.0,0,IF(D654&gt;=100*0.8,5,IF(D654&gt;=100*0.7,4,IF(D654&gt;=100*0.6,3.5,IF(D654&gt;=100*0.5,3,IF(D654&gt;=100*0.4,2,IF(D654&gt;=100*0.33,1,0))))))))</f>
        <v/>
      </c>
      <c r="W654">
        <f>IF(B654="","",IF(E654&lt;16.5,0,IF(E654&gt;=50*0.8,5,IF(E654&gt;=50*0.7,4,IF(E654&gt;=50*0.6,3.5,IF(E654&gt;=50*0.5,3,IF(E654&gt;=50*0.4,2,IF(E654&gt;=50*0.33,1,0))))))))</f>
        <v/>
      </c>
      <c r="X654">
        <f>IF(B654="","",IF(F654&lt;33.0,0,IF(F654&gt;=100*0.8,5,IF(F654&gt;=100*0.7,4,IF(F654&gt;=100*0.6,3.5,IF(F654&gt;=100*0.5,3,IF(F654&gt;=100*0.4,2,IF(F654&gt;=100*0.33,1,0))))))))</f>
        <v/>
      </c>
      <c r="Y654">
        <f>IF(B654="","",IF(G654&lt;16.5,0,IF(G654&gt;=50*0.8,5,IF(G654&gt;=50*0.7,4,IF(G654&gt;=50*0.6,3.5,IF(G654&gt;=50*0.5,3,IF(G654&gt;=50*0.4,2,IF(G654&gt;=50*0.33,1,0))))))))</f>
        <v/>
      </c>
      <c r="Z654">
        <f>IF(B654="","",IF(H654&lt;33.0,0,IF(H654&gt;=100*0.8,5,IF(H654&gt;=100*0.7,4,IF(H654&gt;=100*0.6,3.5,IF(H654&gt;=100*0.5,3,IF(H654&gt;=100*0.4,2,IF(H654&gt;=100*0.33,1,0))))))))</f>
        <v/>
      </c>
      <c r="AA654">
        <f>IF(B654="","",IF(I654&lt;33.0,0,IF(I654&gt;=100*0.8,5,IF(I654&gt;=100*0.7,4,IF(I654&gt;=100*0.6,3.5,IF(I654&gt;=100*0.5,3,IF(I654&gt;=100*0.4,2,IF(I654&gt;=100*0.33,1,0))))))))</f>
        <v/>
      </c>
      <c r="AB654">
        <f>IF(B654="","",IF(J654&lt;33.0,0,IF(J654&gt;=100*0.8,5,IF(J654&gt;=100*0.7,4,IF(J654&gt;=100*0.6,3.5,IF(J654&gt;=100*0.5,3,IF(J654&gt;=100*0.4,2,IF(J654&gt;=100*0.33,1,0))))))))</f>
        <v/>
      </c>
      <c r="AC654">
        <f>IF(B654="","",IF(K654&lt;33.0,0,IF(K654&gt;=100*0.8,5,IF(K654&gt;=100*0.7,4,IF(K654&gt;=100*0.6,3.5,IF(K654&gt;=100*0.5,3,IF(K654&gt;=100*0.4,2,IF(K654&gt;=100*0.33,1,0))))))))</f>
        <v/>
      </c>
      <c r="AD654">
        <f>IF(B654="","",IF(L654&lt;33.0,0,IF(L654&gt;=100*0.8,5,IF(L654&gt;=100*0.7,4,IF(L654&gt;=100*0.6,3.5,IF(L654&gt;=100*0.5,3,IF(L654&gt;=100*0.4,2,IF(L654&gt;=100*0.33,1,0))))))))</f>
        <v/>
      </c>
      <c r="AE654">
        <f>IF(B654="","",IF(M654&lt;33.0,0,IF(M654&gt;=100*0.8,5,IF(M654&gt;=100*0.7,4,IF(M654&gt;=100*0.6,3.5,IF(M654&gt;=100*0.5,3,IF(M654&gt;=100*0.4,2,IF(M654&gt;=100*0.33,1,0))))))))</f>
        <v/>
      </c>
      <c r="AF654">
        <f>IF(B654="","",IF(N654&lt;16.5,0,IF(N654&gt;=50*0.8,5,IF(N654&gt;=50*0.7,4,IF(N654&gt;=50*0.6,3.5,IF(N654&gt;=50*0.5,3,IF(N654&gt;=50*0.4,2,IF(N654&gt;=50*0.33,1,0))))))))</f>
        <v/>
      </c>
      <c r="AG654">
        <f>IF(B654="","",IF(O654&lt;33.0,0,IF(O654&gt;=100*0.8,5,IF(O654&gt;=100*0.7,4,IF(O654&gt;=100*0.6,3.5,IF(O654&gt;=100*0.5,3,IF(O654&gt;=100*0.4,2,IF(O654&gt;=100*0.33,1,0))))))))</f>
        <v/>
      </c>
      <c r="AH654">
        <f>IF(B654="","",IF(OR(U654=0,V654=0,W654=0,X654=0,Y654=0,Z654=0,AA654=0,AB654=0,AC654=0,AD654=0,AE654=0,AF654=0,AG654=0),1,0))</f>
        <v/>
      </c>
    </row>
    <row r="655">
      <c r="A655" s="3">
        <f>IF(B655="","",ROW()-2)</f>
        <v/>
      </c>
      <c r="P655" s="4">
        <f>IF(B655="","",SUM(C655:O655))</f>
        <v/>
      </c>
      <c r="Q655" s="5">
        <f>IF(B655="","",ROUND(P655/13,2))</f>
        <v/>
      </c>
      <c r="R655" s="5">
        <f>IF(B655="","",IF(AH655=1,0,MIN(5,ROUND((U655+V655+W655+X655+Y655+Z655+AA655+AB655+AC655+AD655+AE655+AF655+AG655)/13,2))))</f>
        <v/>
      </c>
      <c r="S655" s="3">
        <f>IF(B655="","",IF(R655&gt;=5,"A+",IF(R655&gt;=4,"A",IF(R655&gt;=3.5,"A-",IF(R655&gt;=3,"B",IF(R655&gt;=2,"C",IF(R655&gt;=1,"D","F")))))))</f>
        <v/>
      </c>
      <c r="T655" s="3">
        <f>IF(OR(B655="",S655="F"),"",COUNTIFS(P:P,"&gt;"&amp;P655,S:S,"&lt;&gt;F")+1)</f>
        <v/>
      </c>
      <c r="U655">
        <f>IF(B655="","",IF(C655&lt;33.0,0,IF(C655&gt;=100*0.8,5,IF(C655&gt;=100*0.7,4,IF(C655&gt;=100*0.6,3.5,IF(C655&gt;=100*0.5,3,IF(C655&gt;=100*0.4,2,IF(C655&gt;=100*0.33,1,0))))))))</f>
        <v/>
      </c>
      <c r="V655">
        <f>IF(B655="","",IF(D655&lt;33.0,0,IF(D655&gt;=100*0.8,5,IF(D655&gt;=100*0.7,4,IF(D655&gt;=100*0.6,3.5,IF(D655&gt;=100*0.5,3,IF(D655&gt;=100*0.4,2,IF(D655&gt;=100*0.33,1,0))))))))</f>
        <v/>
      </c>
      <c r="W655">
        <f>IF(B655="","",IF(E655&lt;16.5,0,IF(E655&gt;=50*0.8,5,IF(E655&gt;=50*0.7,4,IF(E655&gt;=50*0.6,3.5,IF(E655&gt;=50*0.5,3,IF(E655&gt;=50*0.4,2,IF(E655&gt;=50*0.33,1,0))))))))</f>
        <v/>
      </c>
      <c r="X655">
        <f>IF(B655="","",IF(F655&lt;33.0,0,IF(F655&gt;=100*0.8,5,IF(F655&gt;=100*0.7,4,IF(F655&gt;=100*0.6,3.5,IF(F655&gt;=100*0.5,3,IF(F655&gt;=100*0.4,2,IF(F655&gt;=100*0.33,1,0))))))))</f>
        <v/>
      </c>
      <c r="Y655">
        <f>IF(B655="","",IF(G655&lt;16.5,0,IF(G655&gt;=50*0.8,5,IF(G655&gt;=50*0.7,4,IF(G655&gt;=50*0.6,3.5,IF(G655&gt;=50*0.5,3,IF(G655&gt;=50*0.4,2,IF(G655&gt;=50*0.33,1,0))))))))</f>
        <v/>
      </c>
      <c r="Z655">
        <f>IF(B655="","",IF(H655&lt;33.0,0,IF(H655&gt;=100*0.8,5,IF(H655&gt;=100*0.7,4,IF(H655&gt;=100*0.6,3.5,IF(H655&gt;=100*0.5,3,IF(H655&gt;=100*0.4,2,IF(H655&gt;=100*0.33,1,0))))))))</f>
        <v/>
      </c>
      <c r="AA655">
        <f>IF(B655="","",IF(I655&lt;33.0,0,IF(I655&gt;=100*0.8,5,IF(I655&gt;=100*0.7,4,IF(I655&gt;=100*0.6,3.5,IF(I655&gt;=100*0.5,3,IF(I655&gt;=100*0.4,2,IF(I655&gt;=100*0.33,1,0))))))))</f>
        <v/>
      </c>
      <c r="AB655">
        <f>IF(B655="","",IF(J655&lt;33.0,0,IF(J655&gt;=100*0.8,5,IF(J655&gt;=100*0.7,4,IF(J655&gt;=100*0.6,3.5,IF(J655&gt;=100*0.5,3,IF(J655&gt;=100*0.4,2,IF(J655&gt;=100*0.33,1,0))))))))</f>
        <v/>
      </c>
      <c r="AC655">
        <f>IF(B655="","",IF(K655&lt;33.0,0,IF(K655&gt;=100*0.8,5,IF(K655&gt;=100*0.7,4,IF(K655&gt;=100*0.6,3.5,IF(K655&gt;=100*0.5,3,IF(K655&gt;=100*0.4,2,IF(K655&gt;=100*0.33,1,0))))))))</f>
        <v/>
      </c>
      <c r="AD655">
        <f>IF(B655="","",IF(L655&lt;33.0,0,IF(L655&gt;=100*0.8,5,IF(L655&gt;=100*0.7,4,IF(L655&gt;=100*0.6,3.5,IF(L655&gt;=100*0.5,3,IF(L655&gt;=100*0.4,2,IF(L655&gt;=100*0.33,1,0))))))))</f>
        <v/>
      </c>
      <c r="AE655">
        <f>IF(B655="","",IF(M655&lt;33.0,0,IF(M655&gt;=100*0.8,5,IF(M655&gt;=100*0.7,4,IF(M655&gt;=100*0.6,3.5,IF(M655&gt;=100*0.5,3,IF(M655&gt;=100*0.4,2,IF(M655&gt;=100*0.33,1,0))))))))</f>
        <v/>
      </c>
      <c r="AF655">
        <f>IF(B655="","",IF(N655&lt;16.5,0,IF(N655&gt;=50*0.8,5,IF(N655&gt;=50*0.7,4,IF(N655&gt;=50*0.6,3.5,IF(N655&gt;=50*0.5,3,IF(N655&gt;=50*0.4,2,IF(N655&gt;=50*0.33,1,0))))))))</f>
        <v/>
      </c>
      <c r="AG655">
        <f>IF(B655="","",IF(O655&lt;33.0,0,IF(O655&gt;=100*0.8,5,IF(O655&gt;=100*0.7,4,IF(O655&gt;=100*0.6,3.5,IF(O655&gt;=100*0.5,3,IF(O655&gt;=100*0.4,2,IF(O655&gt;=100*0.33,1,0))))))))</f>
        <v/>
      </c>
      <c r="AH655">
        <f>IF(B655="","",IF(OR(U655=0,V655=0,W655=0,X655=0,Y655=0,Z655=0,AA655=0,AB655=0,AC655=0,AD655=0,AE655=0,AF655=0,AG655=0),1,0))</f>
        <v/>
      </c>
    </row>
    <row r="656">
      <c r="A656" s="3">
        <f>IF(B656="","",ROW()-2)</f>
        <v/>
      </c>
      <c r="P656" s="4">
        <f>IF(B656="","",SUM(C656:O656))</f>
        <v/>
      </c>
      <c r="Q656" s="5">
        <f>IF(B656="","",ROUND(P656/13,2))</f>
        <v/>
      </c>
      <c r="R656" s="5">
        <f>IF(B656="","",IF(AH656=1,0,MIN(5,ROUND((U656+V656+W656+X656+Y656+Z656+AA656+AB656+AC656+AD656+AE656+AF656+AG656)/13,2))))</f>
        <v/>
      </c>
      <c r="S656" s="3">
        <f>IF(B656="","",IF(R656&gt;=5,"A+",IF(R656&gt;=4,"A",IF(R656&gt;=3.5,"A-",IF(R656&gt;=3,"B",IF(R656&gt;=2,"C",IF(R656&gt;=1,"D","F")))))))</f>
        <v/>
      </c>
      <c r="T656" s="3">
        <f>IF(OR(B656="",S656="F"),"",COUNTIFS(P:P,"&gt;"&amp;P656,S:S,"&lt;&gt;F")+1)</f>
        <v/>
      </c>
      <c r="U656">
        <f>IF(B656="","",IF(C656&lt;33.0,0,IF(C656&gt;=100*0.8,5,IF(C656&gt;=100*0.7,4,IF(C656&gt;=100*0.6,3.5,IF(C656&gt;=100*0.5,3,IF(C656&gt;=100*0.4,2,IF(C656&gt;=100*0.33,1,0))))))))</f>
        <v/>
      </c>
      <c r="V656">
        <f>IF(B656="","",IF(D656&lt;33.0,0,IF(D656&gt;=100*0.8,5,IF(D656&gt;=100*0.7,4,IF(D656&gt;=100*0.6,3.5,IF(D656&gt;=100*0.5,3,IF(D656&gt;=100*0.4,2,IF(D656&gt;=100*0.33,1,0))))))))</f>
        <v/>
      </c>
      <c r="W656">
        <f>IF(B656="","",IF(E656&lt;16.5,0,IF(E656&gt;=50*0.8,5,IF(E656&gt;=50*0.7,4,IF(E656&gt;=50*0.6,3.5,IF(E656&gt;=50*0.5,3,IF(E656&gt;=50*0.4,2,IF(E656&gt;=50*0.33,1,0))))))))</f>
        <v/>
      </c>
      <c r="X656">
        <f>IF(B656="","",IF(F656&lt;33.0,0,IF(F656&gt;=100*0.8,5,IF(F656&gt;=100*0.7,4,IF(F656&gt;=100*0.6,3.5,IF(F656&gt;=100*0.5,3,IF(F656&gt;=100*0.4,2,IF(F656&gt;=100*0.33,1,0))))))))</f>
        <v/>
      </c>
      <c r="Y656">
        <f>IF(B656="","",IF(G656&lt;16.5,0,IF(G656&gt;=50*0.8,5,IF(G656&gt;=50*0.7,4,IF(G656&gt;=50*0.6,3.5,IF(G656&gt;=50*0.5,3,IF(G656&gt;=50*0.4,2,IF(G656&gt;=50*0.33,1,0))))))))</f>
        <v/>
      </c>
      <c r="Z656">
        <f>IF(B656="","",IF(H656&lt;33.0,0,IF(H656&gt;=100*0.8,5,IF(H656&gt;=100*0.7,4,IF(H656&gt;=100*0.6,3.5,IF(H656&gt;=100*0.5,3,IF(H656&gt;=100*0.4,2,IF(H656&gt;=100*0.33,1,0))))))))</f>
        <v/>
      </c>
      <c r="AA656">
        <f>IF(B656="","",IF(I656&lt;33.0,0,IF(I656&gt;=100*0.8,5,IF(I656&gt;=100*0.7,4,IF(I656&gt;=100*0.6,3.5,IF(I656&gt;=100*0.5,3,IF(I656&gt;=100*0.4,2,IF(I656&gt;=100*0.33,1,0))))))))</f>
        <v/>
      </c>
      <c r="AB656">
        <f>IF(B656="","",IF(J656&lt;33.0,0,IF(J656&gt;=100*0.8,5,IF(J656&gt;=100*0.7,4,IF(J656&gt;=100*0.6,3.5,IF(J656&gt;=100*0.5,3,IF(J656&gt;=100*0.4,2,IF(J656&gt;=100*0.33,1,0))))))))</f>
        <v/>
      </c>
      <c r="AC656">
        <f>IF(B656="","",IF(K656&lt;33.0,0,IF(K656&gt;=100*0.8,5,IF(K656&gt;=100*0.7,4,IF(K656&gt;=100*0.6,3.5,IF(K656&gt;=100*0.5,3,IF(K656&gt;=100*0.4,2,IF(K656&gt;=100*0.33,1,0))))))))</f>
        <v/>
      </c>
      <c r="AD656">
        <f>IF(B656="","",IF(L656&lt;33.0,0,IF(L656&gt;=100*0.8,5,IF(L656&gt;=100*0.7,4,IF(L656&gt;=100*0.6,3.5,IF(L656&gt;=100*0.5,3,IF(L656&gt;=100*0.4,2,IF(L656&gt;=100*0.33,1,0))))))))</f>
        <v/>
      </c>
      <c r="AE656">
        <f>IF(B656="","",IF(M656&lt;33.0,0,IF(M656&gt;=100*0.8,5,IF(M656&gt;=100*0.7,4,IF(M656&gt;=100*0.6,3.5,IF(M656&gt;=100*0.5,3,IF(M656&gt;=100*0.4,2,IF(M656&gt;=100*0.33,1,0))))))))</f>
        <v/>
      </c>
      <c r="AF656">
        <f>IF(B656="","",IF(N656&lt;16.5,0,IF(N656&gt;=50*0.8,5,IF(N656&gt;=50*0.7,4,IF(N656&gt;=50*0.6,3.5,IF(N656&gt;=50*0.5,3,IF(N656&gt;=50*0.4,2,IF(N656&gt;=50*0.33,1,0))))))))</f>
        <v/>
      </c>
      <c r="AG656">
        <f>IF(B656="","",IF(O656&lt;33.0,0,IF(O656&gt;=100*0.8,5,IF(O656&gt;=100*0.7,4,IF(O656&gt;=100*0.6,3.5,IF(O656&gt;=100*0.5,3,IF(O656&gt;=100*0.4,2,IF(O656&gt;=100*0.33,1,0))))))))</f>
        <v/>
      </c>
      <c r="AH656">
        <f>IF(B656="","",IF(OR(U656=0,V656=0,W656=0,X656=0,Y656=0,Z656=0,AA656=0,AB656=0,AC656=0,AD656=0,AE656=0,AF656=0,AG656=0),1,0))</f>
        <v/>
      </c>
    </row>
    <row r="657">
      <c r="A657" s="3">
        <f>IF(B657="","",ROW()-2)</f>
        <v/>
      </c>
      <c r="P657" s="4">
        <f>IF(B657="","",SUM(C657:O657))</f>
        <v/>
      </c>
      <c r="Q657" s="5">
        <f>IF(B657="","",ROUND(P657/13,2))</f>
        <v/>
      </c>
      <c r="R657" s="5">
        <f>IF(B657="","",IF(AH657=1,0,MIN(5,ROUND((U657+V657+W657+X657+Y657+Z657+AA657+AB657+AC657+AD657+AE657+AF657+AG657)/13,2))))</f>
        <v/>
      </c>
      <c r="S657" s="3">
        <f>IF(B657="","",IF(R657&gt;=5,"A+",IF(R657&gt;=4,"A",IF(R657&gt;=3.5,"A-",IF(R657&gt;=3,"B",IF(R657&gt;=2,"C",IF(R657&gt;=1,"D","F")))))))</f>
        <v/>
      </c>
      <c r="T657" s="3">
        <f>IF(OR(B657="",S657="F"),"",COUNTIFS(P:P,"&gt;"&amp;P657,S:S,"&lt;&gt;F")+1)</f>
        <v/>
      </c>
      <c r="U657">
        <f>IF(B657="","",IF(C657&lt;33.0,0,IF(C657&gt;=100*0.8,5,IF(C657&gt;=100*0.7,4,IF(C657&gt;=100*0.6,3.5,IF(C657&gt;=100*0.5,3,IF(C657&gt;=100*0.4,2,IF(C657&gt;=100*0.33,1,0))))))))</f>
        <v/>
      </c>
      <c r="V657">
        <f>IF(B657="","",IF(D657&lt;33.0,0,IF(D657&gt;=100*0.8,5,IF(D657&gt;=100*0.7,4,IF(D657&gt;=100*0.6,3.5,IF(D657&gt;=100*0.5,3,IF(D657&gt;=100*0.4,2,IF(D657&gt;=100*0.33,1,0))))))))</f>
        <v/>
      </c>
      <c r="W657">
        <f>IF(B657="","",IF(E657&lt;16.5,0,IF(E657&gt;=50*0.8,5,IF(E657&gt;=50*0.7,4,IF(E657&gt;=50*0.6,3.5,IF(E657&gt;=50*0.5,3,IF(E657&gt;=50*0.4,2,IF(E657&gt;=50*0.33,1,0))))))))</f>
        <v/>
      </c>
      <c r="X657">
        <f>IF(B657="","",IF(F657&lt;33.0,0,IF(F657&gt;=100*0.8,5,IF(F657&gt;=100*0.7,4,IF(F657&gt;=100*0.6,3.5,IF(F657&gt;=100*0.5,3,IF(F657&gt;=100*0.4,2,IF(F657&gt;=100*0.33,1,0))))))))</f>
        <v/>
      </c>
      <c r="Y657">
        <f>IF(B657="","",IF(G657&lt;16.5,0,IF(G657&gt;=50*0.8,5,IF(G657&gt;=50*0.7,4,IF(G657&gt;=50*0.6,3.5,IF(G657&gt;=50*0.5,3,IF(G657&gt;=50*0.4,2,IF(G657&gt;=50*0.33,1,0))))))))</f>
        <v/>
      </c>
      <c r="Z657">
        <f>IF(B657="","",IF(H657&lt;33.0,0,IF(H657&gt;=100*0.8,5,IF(H657&gt;=100*0.7,4,IF(H657&gt;=100*0.6,3.5,IF(H657&gt;=100*0.5,3,IF(H657&gt;=100*0.4,2,IF(H657&gt;=100*0.33,1,0))))))))</f>
        <v/>
      </c>
      <c r="AA657">
        <f>IF(B657="","",IF(I657&lt;33.0,0,IF(I657&gt;=100*0.8,5,IF(I657&gt;=100*0.7,4,IF(I657&gt;=100*0.6,3.5,IF(I657&gt;=100*0.5,3,IF(I657&gt;=100*0.4,2,IF(I657&gt;=100*0.33,1,0))))))))</f>
        <v/>
      </c>
      <c r="AB657">
        <f>IF(B657="","",IF(J657&lt;33.0,0,IF(J657&gt;=100*0.8,5,IF(J657&gt;=100*0.7,4,IF(J657&gt;=100*0.6,3.5,IF(J657&gt;=100*0.5,3,IF(J657&gt;=100*0.4,2,IF(J657&gt;=100*0.33,1,0))))))))</f>
        <v/>
      </c>
      <c r="AC657">
        <f>IF(B657="","",IF(K657&lt;33.0,0,IF(K657&gt;=100*0.8,5,IF(K657&gt;=100*0.7,4,IF(K657&gt;=100*0.6,3.5,IF(K657&gt;=100*0.5,3,IF(K657&gt;=100*0.4,2,IF(K657&gt;=100*0.33,1,0))))))))</f>
        <v/>
      </c>
      <c r="AD657">
        <f>IF(B657="","",IF(L657&lt;33.0,0,IF(L657&gt;=100*0.8,5,IF(L657&gt;=100*0.7,4,IF(L657&gt;=100*0.6,3.5,IF(L657&gt;=100*0.5,3,IF(L657&gt;=100*0.4,2,IF(L657&gt;=100*0.33,1,0))))))))</f>
        <v/>
      </c>
      <c r="AE657">
        <f>IF(B657="","",IF(M657&lt;33.0,0,IF(M657&gt;=100*0.8,5,IF(M657&gt;=100*0.7,4,IF(M657&gt;=100*0.6,3.5,IF(M657&gt;=100*0.5,3,IF(M657&gt;=100*0.4,2,IF(M657&gt;=100*0.33,1,0))))))))</f>
        <v/>
      </c>
      <c r="AF657">
        <f>IF(B657="","",IF(N657&lt;16.5,0,IF(N657&gt;=50*0.8,5,IF(N657&gt;=50*0.7,4,IF(N657&gt;=50*0.6,3.5,IF(N657&gt;=50*0.5,3,IF(N657&gt;=50*0.4,2,IF(N657&gt;=50*0.33,1,0))))))))</f>
        <v/>
      </c>
      <c r="AG657">
        <f>IF(B657="","",IF(O657&lt;33.0,0,IF(O657&gt;=100*0.8,5,IF(O657&gt;=100*0.7,4,IF(O657&gt;=100*0.6,3.5,IF(O657&gt;=100*0.5,3,IF(O657&gt;=100*0.4,2,IF(O657&gt;=100*0.33,1,0))))))))</f>
        <v/>
      </c>
      <c r="AH657">
        <f>IF(B657="","",IF(OR(U657=0,V657=0,W657=0,X657=0,Y657=0,Z657=0,AA657=0,AB657=0,AC657=0,AD657=0,AE657=0,AF657=0,AG657=0),1,0))</f>
        <v/>
      </c>
    </row>
    <row r="658">
      <c r="A658" s="3">
        <f>IF(B658="","",ROW()-2)</f>
        <v/>
      </c>
      <c r="P658" s="4">
        <f>IF(B658="","",SUM(C658:O658))</f>
        <v/>
      </c>
      <c r="Q658" s="5">
        <f>IF(B658="","",ROUND(P658/13,2))</f>
        <v/>
      </c>
      <c r="R658" s="5">
        <f>IF(B658="","",IF(AH658=1,0,MIN(5,ROUND((U658+V658+W658+X658+Y658+Z658+AA658+AB658+AC658+AD658+AE658+AF658+AG658)/13,2))))</f>
        <v/>
      </c>
      <c r="S658" s="3">
        <f>IF(B658="","",IF(R658&gt;=5,"A+",IF(R658&gt;=4,"A",IF(R658&gt;=3.5,"A-",IF(R658&gt;=3,"B",IF(R658&gt;=2,"C",IF(R658&gt;=1,"D","F")))))))</f>
        <v/>
      </c>
      <c r="T658" s="3">
        <f>IF(OR(B658="",S658="F"),"",COUNTIFS(P:P,"&gt;"&amp;P658,S:S,"&lt;&gt;F")+1)</f>
        <v/>
      </c>
      <c r="U658">
        <f>IF(B658="","",IF(C658&lt;33.0,0,IF(C658&gt;=100*0.8,5,IF(C658&gt;=100*0.7,4,IF(C658&gt;=100*0.6,3.5,IF(C658&gt;=100*0.5,3,IF(C658&gt;=100*0.4,2,IF(C658&gt;=100*0.33,1,0))))))))</f>
        <v/>
      </c>
      <c r="V658">
        <f>IF(B658="","",IF(D658&lt;33.0,0,IF(D658&gt;=100*0.8,5,IF(D658&gt;=100*0.7,4,IF(D658&gt;=100*0.6,3.5,IF(D658&gt;=100*0.5,3,IF(D658&gt;=100*0.4,2,IF(D658&gt;=100*0.33,1,0))))))))</f>
        <v/>
      </c>
      <c r="W658">
        <f>IF(B658="","",IF(E658&lt;16.5,0,IF(E658&gt;=50*0.8,5,IF(E658&gt;=50*0.7,4,IF(E658&gt;=50*0.6,3.5,IF(E658&gt;=50*0.5,3,IF(E658&gt;=50*0.4,2,IF(E658&gt;=50*0.33,1,0))))))))</f>
        <v/>
      </c>
      <c r="X658">
        <f>IF(B658="","",IF(F658&lt;33.0,0,IF(F658&gt;=100*0.8,5,IF(F658&gt;=100*0.7,4,IF(F658&gt;=100*0.6,3.5,IF(F658&gt;=100*0.5,3,IF(F658&gt;=100*0.4,2,IF(F658&gt;=100*0.33,1,0))))))))</f>
        <v/>
      </c>
      <c r="Y658">
        <f>IF(B658="","",IF(G658&lt;16.5,0,IF(G658&gt;=50*0.8,5,IF(G658&gt;=50*0.7,4,IF(G658&gt;=50*0.6,3.5,IF(G658&gt;=50*0.5,3,IF(G658&gt;=50*0.4,2,IF(G658&gt;=50*0.33,1,0))))))))</f>
        <v/>
      </c>
      <c r="Z658">
        <f>IF(B658="","",IF(H658&lt;33.0,0,IF(H658&gt;=100*0.8,5,IF(H658&gt;=100*0.7,4,IF(H658&gt;=100*0.6,3.5,IF(H658&gt;=100*0.5,3,IF(H658&gt;=100*0.4,2,IF(H658&gt;=100*0.33,1,0))))))))</f>
        <v/>
      </c>
      <c r="AA658">
        <f>IF(B658="","",IF(I658&lt;33.0,0,IF(I658&gt;=100*0.8,5,IF(I658&gt;=100*0.7,4,IF(I658&gt;=100*0.6,3.5,IF(I658&gt;=100*0.5,3,IF(I658&gt;=100*0.4,2,IF(I658&gt;=100*0.33,1,0))))))))</f>
        <v/>
      </c>
      <c r="AB658">
        <f>IF(B658="","",IF(J658&lt;33.0,0,IF(J658&gt;=100*0.8,5,IF(J658&gt;=100*0.7,4,IF(J658&gt;=100*0.6,3.5,IF(J658&gt;=100*0.5,3,IF(J658&gt;=100*0.4,2,IF(J658&gt;=100*0.33,1,0))))))))</f>
        <v/>
      </c>
      <c r="AC658">
        <f>IF(B658="","",IF(K658&lt;33.0,0,IF(K658&gt;=100*0.8,5,IF(K658&gt;=100*0.7,4,IF(K658&gt;=100*0.6,3.5,IF(K658&gt;=100*0.5,3,IF(K658&gt;=100*0.4,2,IF(K658&gt;=100*0.33,1,0))))))))</f>
        <v/>
      </c>
      <c r="AD658">
        <f>IF(B658="","",IF(L658&lt;33.0,0,IF(L658&gt;=100*0.8,5,IF(L658&gt;=100*0.7,4,IF(L658&gt;=100*0.6,3.5,IF(L658&gt;=100*0.5,3,IF(L658&gt;=100*0.4,2,IF(L658&gt;=100*0.33,1,0))))))))</f>
        <v/>
      </c>
      <c r="AE658">
        <f>IF(B658="","",IF(M658&lt;33.0,0,IF(M658&gt;=100*0.8,5,IF(M658&gt;=100*0.7,4,IF(M658&gt;=100*0.6,3.5,IF(M658&gt;=100*0.5,3,IF(M658&gt;=100*0.4,2,IF(M658&gt;=100*0.33,1,0))))))))</f>
        <v/>
      </c>
      <c r="AF658">
        <f>IF(B658="","",IF(N658&lt;16.5,0,IF(N658&gt;=50*0.8,5,IF(N658&gt;=50*0.7,4,IF(N658&gt;=50*0.6,3.5,IF(N658&gt;=50*0.5,3,IF(N658&gt;=50*0.4,2,IF(N658&gt;=50*0.33,1,0))))))))</f>
        <v/>
      </c>
      <c r="AG658">
        <f>IF(B658="","",IF(O658&lt;33.0,0,IF(O658&gt;=100*0.8,5,IF(O658&gt;=100*0.7,4,IF(O658&gt;=100*0.6,3.5,IF(O658&gt;=100*0.5,3,IF(O658&gt;=100*0.4,2,IF(O658&gt;=100*0.33,1,0))))))))</f>
        <v/>
      </c>
      <c r="AH658">
        <f>IF(B658="","",IF(OR(U658=0,V658=0,W658=0,X658=0,Y658=0,Z658=0,AA658=0,AB658=0,AC658=0,AD658=0,AE658=0,AF658=0,AG658=0),1,0))</f>
        <v/>
      </c>
    </row>
    <row r="659">
      <c r="A659" s="3">
        <f>IF(B659="","",ROW()-2)</f>
        <v/>
      </c>
      <c r="P659" s="4">
        <f>IF(B659="","",SUM(C659:O659))</f>
        <v/>
      </c>
      <c r="Q659" s="5">
        <f>IF(B659="","",ROUND(P659/13,2))</f>
        <v/>
      </c>
      <c r="R659" s="5">
        <f>IF(B659="","",IF(AH659=1,0,MIN(5,ROUND((U659+V659+W659+X659+Y659+Z659+AA659+AB659+AC659+AD659+AE659+AF659+AG659)/13,2))))</f>
        <v/>
      </c>
      <c r="S659" s="3">
        <f>IF(B659="","",IF(R659&gt;=5,"A+",IF(R659&gt;=4,"A",IF(R659&gt;=3.5,"A-",IF(R659&gt;=3,"B",IF(R659&gt;=2,"C",IF(R659&gt;=1,"D","F")))))))</f>
        <v/>
      </c>
      <c r="T659" s="3">
        <f>IF(OR(B659="",S659="F"),"",COUNTIFS(P:P,"&gt;"&amp;P659,S:S,"&lt;&gt;F")+1)</f>
        <v/>
      </c>
      <c r="U659">
        <f>IF(B659="","",IF(C659&lt;33.0,0,IF(C659&gt;=100*0.8,5,IF(C659&gt;=100*0.7,4,IF(C659&gt;=100*0.6,3.5,IF(C659&gt;=100*0.5,3,IF(C659&gt;=100*0.4,2,IF(C659&gt;=100*0.33,1,0))))))))</f>
        <v/>
      </c>
      <c r="V659">
        <f>IF(B659="","",IF(D659&lt;33.0,0,IF(D659&gt;=100*0.8,5,IF(D659&gt;=100*0.7,4,IF(D659&gt;=100*0.6,3.5,IF(D659&gt;=100*0.5,3,IF(D659&gt;=100*0.4,2,IF(D659&gt;=100*0.33,1,0))))))))</f>
        <v/>
      </c>
      <c r="W659">
        <f>IF(B659="","",IF(E659&lt;16.5,0,IF(E659&gt;=50*0.8,5,IF(E659&gt;=50*0.7,4,IF(E659&gt;=50*0.6,3.5,IF(E659&gt;=50*0.5,3,IF(E659&gt;=50*0.4,2,IF(E659&gt;=50*0.33,1,0))))))))</f>
        <v/>
      </c>
      <c r="X659">
        <f>IF(B659="","",IF(F659&lt;33.0,0,IF(F659&gt;=100*0.8,5,IF(F659&gt;=100*0.7,4,IF(F659&gt;=100*0.6,3.5,IF(F659&gt;=100*0.5,3,IF(F659&gt;=100*0.4,2,IF(F659&gt;=100*0.33,1,0))))))))</f>
        <v/>
      </c>
      <c r="Y659">
        <f>IF(B659="","",IF(G659&lt;16.5,0,IF(G659&gt;=50*0.8,5,IF(G659&gt;=50*0.7,4,IF(G659&gt;=50*0.6,3.5,IF(G659&gt;=50*0.5,3,IF(G659&gt;=50*0.4,2,IF(G659&gt;=50*0.33,1,0))))))))</f>
        <v/>
      </c>
      <c r="Z659">
        <f>IF(B659="","",IF(H659&lt;33.0,0,IF(H659&gt;=100*0.8,5,IF(H659&gt;=100*0.7,4,IF(H659&gt;=100*0.6,3.5,IF(H659&gt;=100*0.5,3,IF(H659&gt;=100*0.4,2,IF(H659&gt;=100*0.33,1,0))))))))</f>
        <v/>
      </c>
      <c r="AA659">
        <f>IF(B659="","",IF(I659&lt;33.0,0,IF(I659&gt;=100*0.8,5,IF(I659&gt;=100*0.7,4,IF(I659&gt;=100*0.6,3.5,IF(I659&gt;=100*0.5,3,IF(I659&gt;=100*0.4,2,IF(I659&gt;=100*0.33,1,0))))))))</f>
        <v/>
      </c>
      <c r="AB659">
        <f>IF(B659="","",IF(J659&lt;33.0,0,IF(J659&gt;=100*0.8,5,IF(J659&gt;=100*0.7,4,IF(J659&gt;=100*0.6,3.5,IF(J659&gt;=100*0.5,3,IF(J659&gt;=100*0.4,2,IF(J659&gt;=100*0.33,1,0))))))))</f>
        <v/>
      </c>
      <c r="AC659">
        <f>IF(B659="","",IF(K659&lt;33.0,0,IF(K659&gt;=100*0.8,5,IF(K659&gt;=100*0.7,4,IF(K659&gt;=100*0.6,3.5,IF(K659&gt;=100*0.5,3,IF(K659&gt;=100*0.4,2,IF(K659&gt;=100*0.33,1,0))))))))</f>
        <v/>
      </c>
      <c r="AD659">
        <f>IF(B659="","",IF(L659&lt;33.0,0,IF(L659&gt;=100*0.8,5,IF(L659&gt;=100*0.7,4,IF(L659&gt;=100*0.6,3.5,IF(L659&gt;=100*0.5,3,IF(L659&gt;=100*0.4,2,IF(L659&gt;=100*0.33,1,0))))))))</f>
        <v/>
      </c>
      <c r="AE659">
        <f>IF(B659="","",IF(M659&lt;33.0,0,IF(M659&gt;=100*0.8,5,IF(M659&gt;=100*0.7,4,IF(M659&gt;=100*0.6,3.5,IF(M659&gt;=100*0.5,3,IF(M659&gt;=100*0.4,2,IF(M659&gt;=100*0.33,1,0))))))))</f>
        <v/>
      </c>
      <c r="AF659">
        <f>IF(B659="","",IF(N659&lt;16.5,0,IF(N659&gt;=50*0.8,5,IF(N659&gt;=50*0.7,4,IF(N659&gt;=50*0.6,3.5,IF(N659&gt;=50*0.5,3,IF(N659&gt;=50*0.4,2,IF(N659&gt;=50*0.33,1,0))))))))</f>
        <v/>
      </c>
      <c r="AG659">
        <f>IF(B659="","",IF(O659&lt;33.0,0,IF(O659&gt;=100*0.8,5,IF(O659&gt;=100*0.7,4,IF(O659&gt;=100*0.6,3.5,IF(O659&gt;=100*0.5,3,IF(O659&gt;=100*0.4,2,IF(O659&gt;=100*0.33,1,0))))))))</f>
        <v/>
      </c>
      <c r="AH659">
        <f>IF(B659="","",IF(OR(U659=0,V659=0,W659=0,X659=0,Y659=0,Z659=0,AA659=0,AB659=0,AC659=0,AD659=0,AE659=0,AF659=0,AG659=0),1,0))</f>
        <v/>
      </c>
    </row>
    <row r="660">
      <c r="A660" s="3">
        <f>IF(B660="","",ROW()-2)</f>
        <v/>
      </c>
      <c r="P660" s="4">
        <f>IF(B660="","",SUM(C660:O660))</f>
        <v/>
      </c>
      <c r="Q660" s="5">
        <f>IF(B660="","",ROUND(P660/13,2))</f>
        <v/>
      </c>
      <c r="R660" s="5">
        <f>IF(B660="","",IF(AH660=1,0,MIN(5,ROUND((U660+V660+W660+X660+Y660+Z660+AA660+AB660+AC660+AD660+AE660+AF660+AG660)/13,2))))</f>
        <v/>
      </c>
      <c r="S660" s="3">
        <f>IF(B660="","",IF(R660&gt;=5,"A+",IF(R660&gt;=4,"A",IF(R660&gt;=3.5,"A-",IF(R660&gt;=3,"B",IF(R660&gt;=2,"C",IF(R660&gt;=1,"D","F")))))))</f>
        <v/>
      </c>
      <c r="T660" s="3">
        <f>IF(OR(B660="",S660="F"),"",COUNTIFS(P:P,"&gt;"&amp;P660,S:S,"&lt;&gt;F")+1)</f>
        <v/>
      </c>
      <c r="U660">
        <f>IF(B660="","",IF(C660&lt;33.0,0,IF(C660&gt;=100*0.8,5,IF(C660&gt;=100*0.7,4,IF(C660&gt;=100*0.6,3.5,IF(C660&gt;=100*0.5,3,IF(C660&gt;=100*0.4,2,IF(C660&gt;=100*0.33,1,0))))))))</f>
        <v/>
      </c>
      <c r="V660">
        <f>IF(B660="","",IF(D660&lt;33.0,0,IF(D660&gt;=100*0.8,5,IF(D660&gt;=100*0.7,4,IF(D660&gt;=100*0.6,3.5,IF(D660&gt;=100*0.5,3,IF(D660&gt;=100*0.4,2,IF(D660&gt;=100*0.33,1,0))))))))</f>
        <v/>
      </c>
      <c r="W660">
        <f>IF(B660="","",IF(E660&lt;16.5,0,IF(E660&gt;=50*0.8,5,IF(E660&gt;=50*0.7,4,IF(E660&gt;=50*0.6,3.5,IF(E660&gt;=50*0.5,3,IF(E660&gt;=50*0.4,2,IF(E660&gt;=50*0.33,1,0))))))))</f>
        <v/>
      </c>
      <c r="X660">
        <f>IF(B660="","",IF(F660&lt;33.0,0,IF(F660&gt;=100*0.8,5,IF(F660&gt;=100*0.7,4,IF(F660&gt;=100*0.6,3.5,IF(F660&gt;=100*0.5,3,IF(F660&gt;=100*0.4,2,IF(F660&gt;=100*0.33,1,0))))))))</f>
        <v/>
      </c>
      <c r="Y660">
        <f>IF(B660="","",IF(G660&lt;16.5,0,IF(G660&gt;=50*0.8,5,IF(G660&gt;=50*0.7,4,IF(G660&gt;=50*0.6,3.5,IF(G660&gt;=50*0.5,3,IF(G660&gt;=50*0.4,2,IF(G660&gt;=50*0.33,1,0))))))))</f>
        <v/>
      </c>
      <c r="Z660">
        <f>IF(B660="","",IF(H660&lt;33.0,0,IF(H660&gt;=100*0.8,5,IF(H660&gt;=100*0.7,4,IF(H660&gt;=100*0.6,3.5,IF(H660&gt;=100*0.5,3,IF(H660&gt;=100*0.4,2,IF(H660&gt;=100*0.33,1,0))))))))</f>
        <v/>
      </c>
      <c r="AA660">
        <f>IF(B660="","",IF(I660&lt;33.0,0,IF(I660&gt;=100*0.8,5,IF(I660&gt;=100*0.7,4,IF(I660&gt;=100*0.6,3.5,IF(I660&gt;=100*0.5,3,IF(I660&gt;=100*0.4,2,IF(I660&gt;=100*0.33,1,0))))))))</f>
        <v/>
      </c>
      <c r="AB660">
        <f>IF(B660="","",IF(J660&lt;33.0,0,IF(J660&gt;=100*0.8,5,IF(J660&gt;=100*0.7,4,IF(J660&gt;=100*0.6,3.5,IF(J660&gt;=100*0.5,3,IF(J660&gt;=100*0.4,2,IF(J660&gt;=100*0.33,1,0))))))))</f>
        <v/>
      </c>
      <c r="AC660">
        <f>IF(B660="","",IF(K660&lt;33.0,0,IF(K660&gt;=100*0.8,5,IF(K660&gt;=100*0.7,4,IF(K660&gt;=100*0.6,3.5,IF(K660&gt;=100*0.5,3,IF(K660&gt;=100*0.4,2,IF(K660&gt;=100*0.33,1,0))))))))</f>
        <v/>
      </c>
      <c r="AD660">
        <f>IF(B660="","",IF(L660&lt;33.0,0,IF(L660&gt;=100*0.8,5,IF(L660&gt;=100*0.7,4,IF(L660&gt;=100*0.6,3.5,IF(L660&gt;=100*0.5,3,IF(L660&gt;=100*0.4,2,IF(L660&gt;=100*0.33,1,0))))))))</f>
        <v/>
      </c>
      <c r="AE660">
        <f>IF(B660="","",IF(M660&lt;33.0,0,IF(M660&gt;=100*0.8,5,IF(M660&gt;=100*0.7,4,IF(M660&gt;=100*0.6,3.5,IF(M660&gt;=100*0.5,3,IF(M660&gt;=100*0.4,2,IF(M660&gt;=100*0.33,1,0))))))))</f>
        <v/>
      </c>
      <c r="AF660">
        <f>IF(B660="","",IF(N660&lt;16.5,0,IF(N660&gt;=50*0.8,5,IF(N660&gt;=50*0.7,4,IF(N660&gt;=50*0.6,3.5,IF(N660&gt;=50*0.5,3,IF(N660&gt;=50*0.4,2,IF(N660&gt;=50*0.33,1,0))))))))</f>
        <v/>
      </c>
      <c r="AG660">
        <f>IF(B660="","",IF(O660&lt;33.0,0,IF(O660&gt;=100*0.8,5,IF(O660&gt;=100*0.7,4,IF(O660&gt;=100*0.6,3.5,IF(O660&gt;=100*0.5,3,IF(O660&gt;=100*0.4,2,IF(O660&gt;=100*0.33,1,0))))))))</f>
        <v/>
      </c>
      <c r="AH660">
        <f>IF(B660="","",IF(OR(U660=0,V660=0,W660=0,X660=0,Y660=0,Z660=0,AA660=0,AB660=0,AC660=0,AD660=0,AE660=0,AF660=0,AG660=0),1,0))</f>
        <v/>
      </c>
    </row>
    <row r="661">
      <c r="A661" s="3">
        <f>IF(B661="","",ROW()-2)</f>
        <v/>
      </c>
      <c r="P661" s="4">
        <f>IF(B661="","",SUM(C661:O661))</f>
        <v/>
      </c>
      <c r="Q661" s="5">
        <f>IF(B661="","",ROUND(P661/13,2))</f>
        <v/>
      </c>
      <c r="R661" s="5">
        <f>IF(B661="","",IF(AH661=1,0,MIN(5,ROUND((U661+V661+W661+X661+Y661+Z661+AA661+AB661+AC661+AD661+AE661+AF661+AG661)/13,2))))</f>
        <v/>
      </c>
      <c r="S661" s="3">
        <f>IF(B661="","",IF(R661&gt;=5,"A+",IF(R661&gt;=4,"A",IF(R661&gt;=3.5,"A-",IF(R661&gt;=3,"B",IF(R661&gt;=2,"C",IF(R661&gt;=1,"D","F")))))))</f>
        <v/>
      </c>
      <c r="T661" s="3">
        <f>IF(OR(B661="",S661="F"),"",COUNTIFS(P:P,"&gt;"&amp;P661,S:S,"&lt;&gt;F")+1)</f>
        <v/>
      </c>
      <c r="U661">
        <f>IF(B661="","",IF(C661&lt;33.0,0,IF(C661&gt;=100*0.8,5,IF(C661&gt;=100*0.7,4,IF(C661&gt;=100*0.6,3.5,IF(C661&gt;=100*0.5,3,IF(C661&gt;=100*0.4,2,IF(C661&gt;=100*0.33,1,0))))))))</f>
        <v/>
      </c>
      <c r="V661">
        <f>IF(B661="","",IF(D661&lt;33.0,0,IF(D661&gt;=100*0.8,5,IF(D661&gt;=100*0.7,4,IF(D661&gt;=100*0.6,3.5,IF(D661&gt;=100*0.5,3,IF(D661&gt;=100*0.4,2,IF(D661&gt;=100*0.33,1,0))))))))</f>
        <v/>
      </c>
      <c r="W661">
        <f>IF(B661="","",IF(E661&lt;16.5,0,IF(E661&gt;=50*0.8,5,IF(E661&gt;=50*0.7,4,IF(E661&gt;=50*0.6,3.5,IF(E661&gt;=50*0.5,3,IF(E661&gt;=50*0.4,2,IF(E661&gt;=50*0.33,1,0))))))))</f>
        <v/>
      </c>
      <c r="X661">
        <f>IF(B661="","",IF(F661&lt;33.0,0,IF(F661&gt;=100*0.8,5,IF(F661&gt;=100*0.7,4,IF(F661&gt;=100*0.6,3.5,IF(F661&gt;=100*0.5,3,IF(F661&gt;=100*0.4,2,IF(F661&gt;=100*0.33,1,0))))))))</f>
        <v/>
      </c>
      <c r="Y661">
        <f>IF(B661="","",IF(G661&lt;16.5,0,IF(G661&gt;=50*0.8,5,IF(G661&gt;=50*0.7,4,IF(G661&gt;=50*0.6,3.5,IF(G661&gt;=50*0.5,3,IF(G661&gt;=50*0.4,2,IF(G661&gt;=50*0.33,1,0))))))))</f>
        <v/>
      </c>
      <c r="Z661">
        <f>IF(B661="","",IF(H661&lt;33.0,0,IF(H661&gt;=100*0.8,5,IF(H661&gt;=100*0.7,4,IF(H661&gt;=100*0.6,3.5,IF(H661&gt;=100*0.5,3,IF(H661&gt;=100*0.4,2,IF(H661&gt;=100*0.33,1,0))))))))</f>
        <v/>
      </c>
      <c r="AA661">
        <f>IF(B661="","",IF(I661&lt;33.0,0,IF(I661&gt;=100*0.8,5,IF(I661&gt;=100*0.7,4,IF(I661&gt;=100*0.6,3.5,IF(I661&gt;=100*0.5,3,IF(I661&gt;=100*0.4,2,IF(I661&gt;=100*0.33,1,0))))))))</f>
        <v/>
      </c>
      <c r="AB661">
        <f>IF(B661="","",IF(J661&lt;33.0,0,IF(J661&gt;=100*0.8,5,IF(J661&gt;=100*0.7,4,IF(J661&gt;=100*0.6,3.5,IF(J661&gt;=100*0.5,3,IF(J661&gt;=100*0.4,2,IF(J661&gt;=100*0.33,1,0))))))))</f>
        <v/>
      </c>
      <c r="AC661">
        <f>IF(B661="","",IF(K661&lt;33.0,0,IF(K661&gt;=100*0.8,5,IF(K661&gt;=100*0.7,4,IF(K661&gt;=100*0.6,3.5,IF(K661&gt;=100*0.5,3,IF(K661&gt;=100*0.4,2,IF(K661&gt;=100*0.33,1,0))))))))</f>
        <v/>
      </c>
      <c r="AD661">
        <f>IF(B661="","",IF(L661&lt;33.0,0,IF(L661&gt;=100*0.8,5,IF(L661&gt;=100*0.7,4,IF(L661&gt;=100*0.6,3.5,IF(L661&gt;=100*0.5,3,IF(L661&gt;=100*0.4,2,IF(L661&gt;=100*0.33,1,0))))))))</f>
        <v/>
      </c>
      <c r="AE661">
        <f>IF(B661="","",IF(M661&lt;33.0,0,IF(M661&gt;=100*0.8,5,IF(M661&gt;=100*0.7,4,IF(M661&gt;=100*0.6,3.5,IF(M661&gt;=100*0.5,3,IF(M661&gt;=100*0.4,2,IF(M661&gt;=100*0.33,1,0))))))))</f>
        <v/>
      </c>
      <c r="AF661">
        <f>IF(B661="","",IF(N661&lt;16.5,0,IF(N661&gt;=50*0.8,5,IF(N661&gt;=50*0.7,4,IF(N661&gt;=50*0.6,3.5,IF(N661&gt;=50*0.5,3,IF(N661&gt;=50*0.4,2,IF(N661&gt;=50*0.33,1,0))))))))</f>
        <v/>
      </c>
      <c r="AG661">
        <f>IF(B661="","",IF(O661&lt;33.0,0,IF(O661&gt;=100*0.8,5,IF(O661&gt;=100*0.7,4,IF(O661&gt;=100*0.6,3.5,IF(O661&gt;=100*0.5,3,IF(O661&gt;=100*0.4,2,IF(O661&gt;=100*0.33,1,0))))))))</f>
        <v/>
      </c>
      <c r="AH661">
        <f>IF(B661="","",IF(OR(U661=0,V661=0,W661=0,X661=0,Y661=0,Z661=0,AA661=0,AB661=0,AC661=0,AD661=0,AE661=0,AF661=0,AG661=0),1,0))</f>
        <v/>
      </c>
    </row>
    <row r="662">
      <c r="A662" s="3">
        <f>IF(B662="","",ROW()-2)</f>
        <v/>
      </c>
      <c r="P662" s="4">
        <f>IF(B662="","",SUM(C662:O662))</f>
        <v/>
      </c>
      <c r="Q662" s="5">
        <f>IF(B662="","",ROUND(P662/13,2))</f>
        <v/>
      </c>
      <c r="R662" s="5">
        <f>IF(B662="","",IF(AH662=1,0,MIN(5,ROUND((U662+V662+W662+X662+Y662+Z662+AA662+AB662+AC662+AD662+AE662+AF662+AG662)/13,2))))</f>
        <v/>
      </c>
      <c r="S662" s="3">
        <f>IF(B662="","",IF(R662&gt;=5,"A+",IF(R662&gt;=4,"A",IF(R662&gt;=3.5,"A-",IF(R662&gt;=3,"B",IF(R662&gt;=2,"C",IF(R662&gt;=1,"D","F")))))))</f>
        <v/>
      </c>
      <c r="T662" s="3">
        <f>IF(OR(B662="",S662="F"),"",COUNTIFS(P:P,"&gt;"&amp;P662,S:S,"&lt;&gt;F")+1)</f>
        <v/>
      </c>
      <c r="U662">
        <f>IF(B662="","",IF(C662&lt;33.0,0,IF(C662&gt;=100*0.8,5,IF(C662&gt;=100*0.7,4,IF(C662&gt;=100*0.6,3.5,IF(C662&gt;=100*0.5,3,IF(C662&gt;=100*0.4,2,IF(C662&gt;=100*0.33,1,0))))))))</f>
        <v/>
      </c>
      <c r="V662">
        <f>IF(B662="","",IF(D662&lt;33.0,0,IF(D662&gt;=100*0.8,5,IF(D662&gt;=100*0.7,4,IF(D662&gt;=100*0.6,3.5,IF(D662&gt;=100*0.5,3,IF(D662&gt;=100*0.4,2,IF(D662&gt;=100*0.33,1,0))))))))</f>
        <v/>
      </c>
      <c r="W662">
        <f>IF(B662="","",IF(E662&lt;16.5,0,IF(E662&gt;=50*0.8,5,IF(E662&gt;=50*0.7,4,IF(E662&gt;=50*0.6,3.5,IF(E662&gt;=50*0.5,3,IF(E662&gt;=50*0.4,2,IF(E662&gt;=50*0.33,1,0))))))))</f>
        <v/>
      </c>
      <c r="X662">
        <f>IF(B662="","",IF(F662&lt;33.0,0,IF(F662&gt;=100*0.8,5,IF(F662&gt;=100*0.7,4,IF(F662&gt;=100*0.6,3.5,IF(F662&gt;=100*0.5,3,IF(F662&gt;=100*0.4,2,IF(F662&gt;=100*0.33,1,0))))))))</f>
        <v/>
      </c>
      <c r="Y662">
        <f>IF(B662="","",IF(G662&lt;16.5,0,IF(G662&gt;=50*0.8,5,IF(G662&gt;=50*0.7,4,IF(G662&gt;=50*0.6,3.5,IF(G662&gt;=50*0.5,3,IF(G662&gt;=50*0.4,2,IF(G662&gt;=50*0.33,1,0))))))))</f>
        <v/>
      </c>
      <c r="Z662">
        <f>IF(B662="","",IF(H662&lt;33.0,0,IF(H662&gt;=100*0.8,5,IF(H662&gt;=100*0.7,4,IF(H662&gt;=100*0.6,3.5,IF(H662&gt;=100*0.5,3,IF(H662&gt;=100*0.4,2,IF(H662&gt;=100*0.33,1,0))))))))</f>
        <v/>
      </c>
      <c r="AA662">
        <f>IF(B662="","",IF(I662&lt;33.0,0,IF(I662&gt;=100*0.8,5,IF(I662&gt;=100*0.7,4,IF(I662&gt;=100*0.6,3.5,IF(I662&gt;=100*0.5,3,IF(I662&gt;=100*0.4,2,IF(I662&gt;=100*0.33,1,0))))))))</f>
        <v/>
      </c>
      <c r="AB662">
        <f>IF(B662="","",IF(J662&lt;33.0,0,IF(J662&gt;=100*0.8,5,IF(J662&gt;=100*0.7,4,IF(J662&gt;=100*0.6,3.5,IF(J662&gt;=100*0.5,3,IF(J662&gt;=100*0.4,2,IF(J662&gt;=100*0.33,1,0))))))))</f>
        <v/>
      </c>
      <c r="AC662">
        <f>IF(B662="","",IF(K662&lt;33.0,0,IF(K662&gt;=100*0.8,5,IF(K662&gt;=100*0.7,4,IF(K662&gt;=100*0.6,3.5,IF(K662&gt;=100*0.5,3,IF(K662&gt;=100*0.4,2,IF(K662&gt;=100*0.33,1,0))))))))</f>
        <v/>
      </c>
      <c r="AD662">
        <f>IF(B662="","",IF(L662&lt;33.0,0,IF(L662&gt;=100*0.8,5,IF(L662&gt;=100*0.7,4,IF(L662&gt;=100*0.6,3.5,IF(L662&gt;=100*0.5,3,IF(L662&gt;=100*0.4,2,IF(L662&gt;=100*0.33,1,0))))))))</f>
        <v/>
      </c>
      <c r="AE662">
        <f>IF(B662="","",IF(M662&lt;33.0,0,IF(M662&gt;=100*0.8,5,IF(M662&gt;=100*0.7,4,IF(M662&gt;=100*0.6,3.5,IF(M662&gt;=100*0.5,3,IF(M662&gt;=100*0.4,2,IF(M662&gt;=100*0.33,1,0))))))))</f>
        <v/>
      </c>
      <c r="AF662">
        <f>IF(B662="","",IF(N662&lt;16.5,0,IF(N662&gt;=50*0.8,5,IF(N662&gt;=50*0.7,4,IF(N662&gt;=50*0.6,3.5,IF(N662&gt;=50*0.5,3,IF(N662&gt;=50*0.4,2,IF(N662&gt;=50*0.33,1,0))))))))</f>
        <v/>
      </c>
      <c r="AG662">
        <f>IF(B662="","",IF(O662&lt;33.0,0,IF(O662&gt;=100*0.8,5,IF(O662&gt;=100*0.7,4,IF(O662&gt;=100*0.6,3.5,IF(O662&gt;=100*0.5,3,IF(O662&gt;=100*0.4,2,IF(O662&gt;=100*0.33,1,0))))))))</f>
        <v/>
      </c>
      <c r="AH662">
        <f>IF(B662="","",IF(OR(U662=0,V662=0,W662=0,X662=0,Y662=0,Z662=0,AA662=0,AB662=0,AC662=0,AD662=0,AE662=0,AF662=0,AG662=0),1,0))</f>
        <v/>
      </c>
    </row>
    <row r="663">
      <c r="A663" s="3">
        <f>IF(B663="","",ROW()-2)</f>
        <v/>
      </c>
      <c r="P663" s="4">
        <f>IF(B663="","",SUM(C663:O663))</f>
        <v/>
      </c>
      <c r="Q663" s="5">
        <f>IF(B663="","",ROUND(P663/13,2))</f>
        <v/>
      </c>
      <c r="R663" s="5">
        <f>IF(B663="","",IF(AH663=1,0,MIN(5,ROUND((U663+V663+W663+X663+Y663+Z663+AA663+AB663+AC663+AD663+AE663+AF663+AG663)/13,2))))</f>
        <v/>
      </c>
      <c r="S663" s="3">
        <f>IF(B663="","",IF(R663&gt;=5,"A+",IF(R663&gt;=4,"A",IF(R663&gt;=3.5,"A-",IF(R663&gt;=3,"B",IF(R663&gt;=2,"C",IF(R663&gt;=1,"D","F")))))))</f>
        <v/>
      </c>
      <c r="T663" s="3">
        <f>IF(OR(B663="",S663="F"),"",COUNTIFS(P:P,"&gt;"&amp;P663,S:S,"&lt;&gt;F")+1)</f>
        <v/>
      </c>
      <c r="U663">
        <f>IF(B663="","",IF(C663&lt;33.0,0,IF(C663&gt;=100*0.8,5,IF(C663&gt;=100*0.7,4,IF(C663&gt;=100*0.6,3.5,IF(C663&gt;=100*0.5,3,IF(C663&gt;=100*0.4,2,IF(C663&gt;=100*0.33,1,0))))))))</f>
        <v/>
      </c>
      <c r="V663">
        <f>IF(B663="","",IF(D663&lt;33.0,0,IF(D663&gt;=100*0.8,5,IF(D663&gt;=100*0.7,4,IF(D663&gt;=100*0.6,3.5,IF(D663&gt;=100*0.5,3,IF(D663&gt;=100*0.4,2,IF(D663&gt;=100*0.33,1,0))))))))</f>
        <v/>
      </c>
      <c r="W663">
        <f>IF(B663="","",IF(E663&lt;16.5,0,IF(E663&gt;=50*0.8,5,IF(E663&gt;=50*0.7,4,IF(E663&gt;=50*0.6,3.5,IF(E663&gt;=50*0.5,3,IF(E663&gt;=50*0.4,2,IF(E663&gt;=50*0.33,1,0))))))))</f>
        <v/>
      </c>
      <c r="X663">
        <f>IF(B663="","",IF(F663&lt;33.0,0,IF(F663&gt;=100*0.8,5,IF(F663&gt;=100*0.7,4,IF(F663&gt;=100*0.6,3.5,IF(F663&gt;=100*0.5,3,IF(F663&gt;=100*0.4,2,IF(F663&gt;=100*0.33,1,0))))))))</f>
        <v/>
      </c>
      <c r="Y663">
        <f>IF(B663="","",IF(G663&lt;16.5,0,IF(G663&gt;=50*0.8,5,IF(G663&gt;=50*0.7,4,IF(G663&gt;=50*0.6,3.5,IF(G663&gt;=50*0.5,3,IF(G663&gt;=50*0.4,2,IF(G663&gt;=50*0.33,1,0))))))))</f>
        <v/>
      </c>
      <c r="Z663">
        <f>IF(B663="","",IF(H663&lt;33.0,0,IF(H663&gt;=100*0.8,5,IF(H663&gt;=100*0.7,4,IF(H663&gt;=100*0.6,3.5,IF(H663&gt;=100*0.5,3,IF(H663&gt;=100*0.4,2,IF(H663&gt;=100*0.33,1,0))))))))</f>
        <v/>
      </c>
      <c r="AA663">
        <f>IF(B663="","",IF(I663&lt;33.0,0,IF(I663&gt;=100*0.8,5,IF(I663&gt;=100*0.7,4,IF(I663&gt;=100*0.6,3.5,IF(I663&gt;=100*0.5,3,IF(I663&gt;=100*0.4,2,IF(I663&gt;=100*0.33,1,0))))))))</f>
        <v/>
      </c>
      <c r="AB663">
        <f>IF(B663="","",IF(J663&lt;33.0,0,IF(J663&gt;=100*0.8,5,IF(J663&gt;=100*0.7,4,IF(J663&gt;=100*0.6,3.5,IF(J663&gt;=100*0.5,3,IF(J663&gt;=100*0.4,2,IF(J663&gt;=100*0.33,1,0))))))))</f>
        <v/>
      </c>
      <c r="AC663">
        <f>IF(B663="","",IF(K663&lt;33.0,0,IF(K663&gt;=100*0.8,5,IF(K663&gt;=100*0.7,4,IF(K663&gt;=100*0.6,3.5,IF(K663&gt;=100*0.5,3,IF(K663&gt;=100*0.4,2,IF(K663&gt;=100*0.33,1,0))))))))</f>
        <v/>
      </c>
      <c r="AD663">
        <f>IF(B663="","",IF(L663&lt;33.0,0,IF(L663&gt;=100*0.8,5,IF(L663&gt;=100*0.7,4,IF(L663&gt;=100*0.6,3.5,IF(L663&gt;=100*0.5,3,IF(L663&gt;=100*0.4,2,IF(L663&gt;=100*0.33,1,0))))))))</f>
        <v/>
      </c>
      <c r="AE663">
        <f>IF(B663="","",IF(M663&lt;33.0,0,IF(M663&gt;=100*0.8,5,IF(M663&gt;=100*0.7,4,IF(M663&gt;=100*0.6,3.5,IF(M663&gt;=100*0.5,3,IF(M663&gt;=100*0.4,2,IF(M663&gt;=100*0.33,1,0))))))))</f>
        <v/>
      </c>
      <c r="AF663">
        <f>IF(B663="","",IF(N663&lt;16.5,0,IF(N663&gt;=50*0.8,5,IF(N663&gt;=50*0.7,4,IF(N663&gt;=50*0.6,3.5,IF(N663&gt;=50*0.5,3,IF(N663&gt;=50*0.4,2,IF(N663&gt;=50*0.33,1,0))))))))</f>
        <v/>
      </c>
      <c r="AG663">
        <f>IF(B663="","",IF(O663&lt;33.0,0,IF(O663&gt;=100*0.8,5,IF(O663&gt;=100*0.7,4,IF(O663&gt;=100*0.6,3.5,IF(O663&gt;=100*0.5,3,IF(O663&gt;=100*0.4,2,IF(O663&gt;=100*0.33,1,0))))))))</f>
        <v/>
      </c>
      <c r="AH663">
        <f>IF(B663="","",IF(OR(U663=0,V663=0,W663=0,X663=0,Y663=0,Z663=0,AA663=0,AB663=0,AC663=0,AD663=0,AE663=0,AF663=0,AG663=0),1,0))</f>
        <v/>
      </c>
    </row>
    <row r="664">
      <c r="A664" s="3">
        <f>IF(B664="","",ROW()-2)</f>
        <v/>
      </c>
      <c r="P664" s="4">
        <f>IF(B664="","",SUM(C664:O664))</f>
        <v/>
      </c>
      <c r="Q664" s="5">
        <f>IF(B664="","",ROUND(P664/13,2))</f>
        <v/>
      </c>
      <c r="R664" s="5">
        <f>IF(B664="","",IF(AH664=1,0,MIN(5,ROUND((U664+V664+W664+X664+Y664+Z664+AA664+AB664+AC664+AD664+AE664+AF664+AG664)/13,2))))</f>
        <v/>
      </c>
      <c r="S664" s="3">
        <f>IF(B664="","",IF(R664&gt;=5,"A+",IF(R664&gt;=4,"A",IF(R664&gt;=3.5,"A-",IF(R664&gt;=3,"B",IF(R664&gt;=2,"C",IF(R664&gt;=1,"D","F")))))))</f>
        <v/>
      </c>
      <c r="T664" s="3">
        <f>IF(OR(B664="",S664="F"),"",COUNTIFS(P:P,"&gt;"&amp;P664,S:S,"&lt;&gt;F")+1)</f>
        <v/>
      </c>
      <c r="U664">
        <f>IF(B664="","",IF(C664&lt;33.0,0,IF(C664&gt;=100*0.8,5,IF(C664&gt;=100*0.7,4,IF(C664&gt;=100*0.6,3.5,IF(C664&gt;=100*0.5,3,IF(C664&gt;=100*0.4,2,IF(C664&gt;=100*0.33,1,0))))))))</f>
        <v/>
      </c>
      <c r="V664">
        <f>IF(B664="","",IF(D664&lt;33.0,0,IF(D664&gt;=100*0.8,5,IF(D664&gt;=100*0.7,4,IF(D664&gt;=100*0.6,3.5,IF(D664&gt;=100*0.5,3,IF(D664&gt;=100*0.4,2,IF(D664&gt;=100*0.33,1,0))))))))</f>
        <v/>
      </c>
      <c r="W664">
        <f>IF(B664="","",IF(E664&lt;16.5,0,IF(E664&gt;=50*0.8,5,IF(E664&gt;=50*0.7,4,IF(E664&gt;=50*0.6,3.5,IF(E664&gt;=50*0.5,3,IF(E664&gt;=50*0.4,2,IF(E664&gt;=50*0.33,1,0))))))))</f>
        <v/>
      </c>
      <c r="X664">
        <f>IF(B664="","",IF(F664&lt;33.0,0,IF(F664&gt;=100*0.8,5,IF(F664&gt;=100*0.7,4,IF(F664&gt;=100*0.6,3.5,IF(F664&gt;=100*0.5,3,IF(F664&gt;=100*0.4,2,IF(F664&gt;=100*0.33,1,0))))))))</f>
        <v/>
      </c>
      <c r="Y664">
        <f>IF(B664="","",IF(G664&lt;16.5,0,IF(G664&gt;=50*0.8,5,IF(G664&gt;=50*0.7,4,IF(G664&gt;=50*0.6,3.5,IF(G664&gt;=50*0.5,3,IF(G664&gt;=50*0.4,2,IF(G664&gt;=50*0.33,1,0))))))))</f>
        <v/>
      </c>
      <c r="Z664">
        <f>IF(B664="","",IF(H664&lt;33.0,0,IF(H664&gt;=100*0.8,5,IF(H664&gt;=100*0.7,4,IF(H664&gt;=100*0.6,3.5,IF(H664&gt;=100*0.5,3,IF(H664&gt;=100*0.4,2,IF(H664&gt;=100*0.33,1,0))))))))</f>
        <v/>
      </c>
      <c r="AA664">
        <f>IF(B664="","",IF(I664&lt;33.0,0,IF(I664&gt;=100*0.8,5,IF(I664&gt;=100*0.7,4,IF(I664&gt;=100*0.6,3.5,IF(I664&gt;=100*0.5,3,IF(I664&gt;=100*0.4,2,IF(I664&gt;=100*0.33,1,0))))))))</f>
        <v/>
      </c>
      <c r="AB664">
        <f>IF(B664="","",IF(J664&lt;33.0,0,IF(J664&gt;=100*0.8,5,IF(J664&gt;=100*0.7,4,IF(J664&gt;=100*0.6,3.5,IF(J664&gt;=100*0.5,3,IF(J664&gt;=100*0.4,2,IF(J664&gt;=100*0.33,1,0))))))))</f>
        <v/>
      </c>
      <c r="AC664">
        <f>IF(B664="","",IF(K664&lt;33.0,0,IF(K664&gt;=100*0.8,5,IF(K664&gt;=100*0.7,4,IF(K664&gt;=100*0.6,3.5,IF(K664&gt;=100*0.5,3,IF(K664&gt;=100*0.4,2,IF(K664&gt;=100*0.33,1,0))))))))</f>
        <v/>
      </c>
      <c r="AD664">
        <f>IF(B664="","",IF(L664&lt;33.0,0,IF(L664&gt;=100*0.8,5,IF(L664&gt;=100*0.7,4,IF(L664&gt;=100*0.6,3.5,IF(L664&gt;=100*0.5,3,IF(L664&gt;=100*0.4,2,IF(L664&gt;=100*0.33,1,0))))))))</f>
        <v/>
      </c>
      <c r="AE664">
        <f>IF(B664="","",IF(M664&lt;33.0,0,IF(M664&gt;=100*0.8,5,IF(M664&gt;=100*0.7,4,IF(M664&gt;=100*0.6,3.5,IF(M664&gt;=100*0.5,3,IF(M664&gt;=100*0.4,2,IF(M664&gt;=100*0.33,1,0))))))))</f>
        <v/>
      </c>
      <c r="AF664">
        <f>IF(B664="","",IF(N664&lt;16.5,0,IF(N664&gt;=50*0.8,5,IF(N664&gt;=50*0.7,4,IF(N664&gt;=50*0.6,3.5,IF(N664&gt;=50*0.5,3,IF(N664&gt;=50*0.4,2,IF(N664&gt;=50*0.33,1,0))))))))</f>
        <v/>
      </c>
      <c r="AG664">
        <f>IF(B664="","",IF(O664&lt;33.0,0,IF(O664&gt;=100*0.8,5,IF(O664&gt;=100*0.7,4,IF(O664&gt;=100*0.6,3.5,IF(O664&gt;=100*0.5,3,IF(O664&gt;=100*0.4,2,IF(O664&gt;=100*0.33,1,0))))))))</f>
        <v/>
      </c>
      <c r="AH664">
        <f>IF(B664="","",IF(OR(U664=0,V664=0,W664=0,X664=0,Y664=0,Z664=0,AA664=0,AB664=0,AC664=0,AD664=0,AE664=0,AF664=0,AG664=0),1,0))</f>
        <v/>
      </c>
    </row>
    <row r="665">
      <c r="A665" s="3">
        <f>IF(B665="","",ROW()-2)</f>
        <v/>
      </c>
      <c r="P665" s="4">
        <f>IF(B665="","",SUM(C665:O665))</f>
        <v/>
      </c>
      <c r="Q665" s="5">
        <f>IF(B665="","",ROUND(P665/13,2))</f>
        <v/>
      </c>
      <c r="R665" s="5">
        <f>IF(B665="","",IF(AH665=1,0,MIN(5,ROUND((U665+V665+W665+X665+Y665+Z665+AA665+AB665+AC665+AD665+AE665+AF665+AG665)/13,2))))</f>
        <v/>
      </c>
      <c r="S665" s="3">
        <f>IF(B665="","",IF(R665&gt;=5,"A+",IF(R665&gt;=4,"A",IF(R665&gt;=3.5,"A-",IF(R665&gt;=3,"B",IF(R665&gt;=2,"C",IF(R665&gt;=1,"D","F")))))))</f>
        <v/>
      </c>
      <c r="T665" s="3">
        <f>IF(OR(B665="",S665="F"),"",COUNTIFS(P:P,"&gt;"&amp;P665,S:S,"&lt;&gt;F")+1)</f>
        <v/>
      </c>
      <c r="U665">
        <f>IF(B665="","",IF(C665&lt;33.0,0,IF(C665&gt;=100*0.8,5,IF(C665&gt;=100*0.7,4,IF(C665&gt;=100*0.6,3.5,IF(C665&gt;=100*0.5,3,IF(C665&gt;=100*0.4,2,IF(C665&gt;=100*0.33,1,0))))))))</f>
        <v/>
      </c>
      <c r="V665">
        <f>IF(B665="","",IF(D665&lt;33.0,0,IF(D665&gt;=100*0.8,5,IF(D665&gt;=100*0.7,4,IF(D665&gt;=100*0.6,3.5,IF(D665&gt;=100*0.5,3,IF(D665&gt;=100*0.4,2,IF(D665&gt;=100*0.33,1,0))))))))</f>
        <v/>
      </c>
      <c r="W665">
        <f>IF(B665="","",IF(E665&lt;16.5,0,IF(E665&gt;=50*0.8,5,IF(E665&gt;=50*0.7,4,IF(E665&gt;=50*0.6,3.5,IF(E665&gt;=50*0.5,3,IF(E665&gt;=50*0.4,2,IF(E665&gt;=50*0.33,1,0))))))))</f>
        <v/>
      </c>
      <c r="X665">
        <f>IF(B665="","",IF(F665&lt;33.0,0,IF(F665&gt;=100*0.8,5,IF(F665&gt;=100*0.7,4,IF(F665&gt;=100*0.6,3.5,IF(F665&gt;=100*0.5,3,IF(F665&gt;=100*0.4,2,IF(F665&gt;=100*0.33,1,0))))))))</f>
        <v/>
      </c>
      <c r="Y665">
        <f>IF(B665="","",IF(G665&lt;16.5,0,IF(G665&gt;=50*0.8,5,IF(G665&gt;=50*0.7,4,IF(G665&gt;=50*0.6,3.5,IF(G665&gt;=50*0.5,3,IF(G665&gt;=50*0.4,2,IF(G665&gt;=50*0.33,1,0))))))))</f>
        <v/>
      </c>
      <c r="Z665">
        <f>IF(B665="","",IF(H665&lt;33.0,0,IF(H665&gt;=100*0.8,5,IF(H665&gt;=100*0.7,4,IF(H665&gt;=100*0.6,3.5,IF(H665&gt;=100*0.5,3,IF(H665&gt;=100*0.4,2,IF(H665&gt;=100*0.33,1,0))))))))</f>
        <v/>
      </c>
      <c r="AA665">
        <f>IF(B665="","",IF(I665&lt;33.0,0,IF(I665&gt;=100*0.8,5,IF(I665&gt;=100*0.7,4,IF(I665&gt;=100*0.6,3.5,IF(I665&gt;=100*0.5,3,IF(I665&gt;=100*0.4,2,IF(I665&gt;=100*0.33,1,0))))))))</f>
        <v/>
      </c>
      <c r="AB665">
        <f>IF(B665="","",IF(J665&lt;33.0,0,IF(J665&gt;=100*0.8,5,IF(J665&gt;=100*0.7,4,IF(J665&gt;=100*0.6,3.5,IF(J665&gt;=100*0.5,3,IF(J665&gt;=100*0.4,2,IF(J665&gt;=100*0.33,1,0))))))))</f>
        <v/>
      </c>
      <c r="AC665">
        <f>IF(B665="","",IF(K665&lt;33.0,0,IF(K665&gt;=100*0.8,5,IF(K665&gt;=100*0.7,4,IF(K665&gt;=100*0.6,3.5,IF(K665&gt;=100*0.5,3,IF(K665&gt;=100*0.4,2,IF(K665&gt;=100*0.33,1,0))))))))</f>
        <v/>
      </c>
      <c r="AD665">
        <f>IF(B665="","",IF(L665&lt;33.0,0,IF(L665&gt;=100*0.8,5,IF(L665&gt;=100*0.7,4,IF(L665&gt;=100*0.6,3.5,IF(L665&gt;=100*0.5,3,IF(L665&gt;=100*0.4,2,IF(L665&gt;=100*0.33,1,0))))))))</f>
        <v/>
      </c>
      <c r="AE665">
        <f>IF(B665="","",IF(M665&lt;33.0,0,IF(M665&gt;=100*0.8,5,IF(M665&gt;=100*0.7,4,IF(M665&gt;=100*0.6,3.5,IF(M665&gt;=100*0.5,3,IF(M665&gt;=100*0.4,2,IF(M665&gt;=100*0.33,1,0))))))))</f>
        <v/>
      </c>
      <c r="AF665">
        <f>IF(B665="","",IF(N665&lt;16.5,0,IF(N665&gt;=50*0.8,5,IF(N665&gt;=50*0.7,4,IF(N665&gt;=50*0.6,3.5,IF(N665&gt;=50*0.5,3,IF(N665&gt;=50*0.4,2,IF(N665&gt;=50*0.33,1,0))))))))</f>
        <v/>
      </c>
      <c r="AG665">
        <f>IF(B665="","",IF(O665&lt;33.0,0,IF(O665&gt;=100*0.8,5,IF(O665&gt;=100*0.7,4,IF(O665&gt;=100*0.6,3.5,IF(O665&gt;=100*0.5,3,IF(O665&gt;=100*0.4,2,IF(O665&gt;=100*0.33,1,0))))))))</f>
        <v/>
      </c>
      <c r="AH665">
        <f>IF(B665="","",IF(OR(U665=0,V665=0,W665=0,X665=0,Y665=0,Z665=0,AA665=0,AB665=0,AC665=0,AD665=0,AE665=0,AF665=0,AG665=0),1,0))</f>
        <v/>
      </c>
    </row>
    <row r="666">
      <c r="A666" s="3">
        <f>IF(B666="","",ROW()-2)</f>
        <v/>
      </c>
      <c r="P666" s="4">
        <f>IF(B666="","",SUM(C666:O666))</f>
        <v/>
      </c>
      <c r="Q666" s="5">
        <f>IF(B666="","",ROUND(P666/13,2))</f>
        <v/>
      </c>
      <c r="R666" s="5">
        <f>IF(B666="","",IF(AH666=1,0,MIN(5,ROUND((U666+V666+W666+X666+Y666+Z666+AA666+AB666+AC666+AD666+AE666+AF666+AG666)/13,2))))</f>
        <v/>
      </c>
      <c r="S666" s="3">
        <f>IF(B666="","",IF(R666&gt;=5,"A+",IF(R666&gt;=4,"A",IF(R666&gt;=3.5,"A-",IF(R666&gt;=3,"B",IF(R666&gt;=2,"C",IF(R666&gt;=1,"D","F")))))))</f>
        <v/>
      </c>
      <c r="T666" s="3">
        <f>IF(OR(B666="",S666="F"),"",COUNTIFS(P:P,"&gt;"&amp;P666,S:S,"&lt;&gt;F")+1)</f>
        <v/>
      </c>
      <c r="U666">
        <f>IF(B666="","",IF(C666&lt;33.0,0,IF(C666&gt;=100*0.8,5,IF(C666&gt;=100*0.7,4,IF(C666&gt;=100*0.6,3.5,IF(C666&gt;=100*0.5,3,IF(C666&gt;=100*0.4,2,IF(C666&gt;=100*0.33,1,0))))))))</f>
        <v/>
      </c>
      <c r="V666">
        <f>IF(B666="","",IF(D666&lt;33.0,0,IF(D666&gt;=100*0.8,5,IF(D666&gt;=100*0.7,4,IF(D666&gt;=100*0.6,3.5,IF(D666&gt;=100*0.5,3,IF(D666&gt;=100*0.4,2,IF(D666&gt;=100*0.33,1,0))))))))</f>
        <v/>
      </c>
      <c r="W666">
        <f>IF(B666="","",IF(E666&lt;16.5,0,IF(E666&gt;=50*0.8,5,IF(E666&gt;=50*0.7,4,IF(E666&gt;=50*0.6,3.5,IF(E666&gt;=50*0.5,3,IF(E666&gt;=50*0.4,2,IF(E666&gt;=50*0.33,1,0))))))))</f>
        <v/>
      </c>
      <c r="X666">
        <f>IF(B666="","",IF(F666&lt;33.0,0,IF(F666&gt;=100*0.8,5,IF(F666&gt;=100*0.7,4,IF(F666&gt;=100*0.6,3.5,IF(F666&gt;=100*0.5,3,IF(F666&gt;=100*0.4,2,IF(F666&gt;=100*0.33,1,0))))))))</f>
        <v/>
      </c>
      <c r="Y666">
        <f>IF(B666="","",IF(G666&lt;16.5,0,IF(G666&gt;=50*0.8,5,IF(G666&gt;=50*0.7,4,IF(G666&gt;=50*0.6,3.5,IF(G666&gt;=50*0.5,3,IF(G666&gt;=50*0.4,2,IF(G666&gt;=50*0.33,1,0))))))))</f>
        <v/>
      </c>
      <c r="Z666">
        <f>IF(B666="","",IF(H666&lt;33.0,0,IF(H666&gt;=100*0.8,5,IF(H666&gt;=100*0.7,4,IF(H666&gt;=100*0.6,3.5,IF(H666&gt;=100*0.5,3,IF(H666&gt;=100*0.4,2,IF(H666&gt;=100*0.33,1,0))))))))</f>
        <v/>
      </c>
      <c r="AA666">
        <f>IF(B666="","",IF(I666&lt;33.0,0,IF(I666&gt;=100*0.8,5,IF(I666&gt;=100*0.7,4,IF(I666&gt;=100*0.6,3.5,IF(I666&gt;=100*0.5,3,IF(I666&gt;=100*0.4,2,IF(I666&gt;=100*0.33,1,0))))))))</f>
        <v/>
      </c>
      <c r="AB666">
        <f>IF(B666="","",IF(J666&lt;33.0,0,IF(J666&gt;=100*0.8,5,IF(J666&gt;=100*0.7,4,IF(J666&gt;=100*0.6,3.5,IF(J666&gt;=100*0.5,3,IF(J666&gt;=100*0.4,2,IF(J666&gt;=100*0.33,1,0))))))))</f>
        <v/>
      </c>
      <c r="AC666">
        <f>IF(B666="","",IF(K666&lt;33.0,0,IF(K666&gt;=100*0.8,5,IF(K666&gt;=100*0.7,4,IF(K666&gt;=100*0.6,3.5,IF(K666&gt;=100*0.5,3,IF(K666&gt;=100*0.4,2,IF(K666&gt;=100*0.33,1,0))))))))</f>
        <v/>
      </c>
      <c r="AD666">
        <f>IF(B666="","",IF(L666&lt;33.0,0,IF(L666&gt;=100*0.8,5,IF(L666&gt;=100*0.7,4,IF(L666&gt;=100*0.6,3.5,IF(L666&gt;=100*0.5,3,IF(L666&gt;=100*0.4,2,IF(L666&gt;=100*0.33,1,0))))))))</f>
        <v/>
      </c>
      <c r="AE666">
        <f>IF(B666="","",IF(M666&lt;33.0,0,IF(M666&gt;=100*0.8,5,IF(M666&gt;=100*0.7,4,IF(M666&gt;=100*0.6,3.5,IF(M666&gt;=100*0.5,3,IF(M666&gt;=100*0.4,2,IF(M666&gt;=100*0.33,1,0))))))))</f>
        <v/>
      </c>
      <c r="AF666">
        <f>IF(B666="","",IF(N666&lt;16.5,0,IF(N666&gt;=50*0.8,5,IF(N666&gt;=50*0.7,4,IF(N666&gt;=50*0.6,3.5,IF(N666&gt;=50*0.5,3,IF(N666&gt;=50*0.4,2,IF(N666&gt;=50*0.33,1,0))))))))</f>
        <v/>
      </c>
      <c r="AG666">
        <f>IF(B666="","",IF(O666&lt;33.0,0,IF(O666&gt;=100*0.8,5,IF(O666&gt;=100*0.7,4,IF(O666&gt;=100*0.6,3.5,IF(O666&gt;=100*0.5,3,IF(O666&gt;=100*0.4,2,IF(O666&gt;=100*0.33,1,0))))))))</f>
        <v/>
      </c>
      <c r="AH666">
        <f>IF(B666="","",IF(OR(U666=0,V666=0,W666=0,X666=0,Y666=0,Z666=0,AA666=0,AB666=0,AC666=0,AD666=0,AE666=0,AF666=0,AG666=0),1,0))</f>
        <v/>
      </c>
    </row>
    <row r="667">
      <c r="A667" s="3">
        <f>IF(B667="","",ROW()-2)</f>
        <v/>
      </c>
      <c r="P667" s="4">
        <f>IF(B667="","",SUM(C667:O667))</f>
        <v/>
      </c>
      <c r="Q667" s="5">
        <f>IF(B667="","",ROUND(P667/13,2))</f>
        <v/>
      </c>
      <c r="R667" s="5">
        <f>IF(B667="","",IF(AH667=1,0,MIN(5,ROUND((U667+V667+W667+X667+Y667+Z667+AA667+AB667+AC667+AD667+AE667+AF667+AG667)/13,2))))</f>
        <v/>
      </c>
      <c r="S667" s="3">
        <f>IF(B667="","",IF(R667&gt;=5,"A+",IF(R667&gt;=4,"A",IF(R667&gt;=3.5,"A-",IF(R667&gt;=3,"B",IF(R667&gt;=2,"C",IF(R667&gt;=1,"D","F")))))))</f>
        <v/>
      </c>
      <c r="T667" s="3">
        <f>IF(OR(B667="",S667="F"),"",COUNTIFS(P:P,"&gt;"&amp;P667,S:S,"&lt;&gt;F")+1)</f>
        <v/>
      </c>
      <c r="U667">
        <f>IF(B667="","",IF(C667&lt;33.0,0,IF(C667&gt;=100*0.8,5,IF(C667&gt;=100*0.7,4,IF(C667&gt;=100*0.6,3.5,IF(C667&gt;=100*0.5,3,IF(C667&gt;=100*0.4,2,IF(C667&gt;=100*0.33,1,0))))))))</f>
        <v/>
      </c>
      <c r="V667">
        <f>IF(B667="","",IF(D667&lt;33.0,0,IF(D667&gt;=100*0.8,5,IF(D667&gt;=100*0.7,4,IF(D667&gt;=100*0.6,3.5,IF(D667&gt;=100*0.5,3,IF(D667&gt;=100*0.4,2,IF(D667&gt;=100*0.33,1,0))))))))</f>
        <v/>
      </c>
      <c r="W667">
        <f>IF(B667="","",IF(E667&lt;16.5,0,IF(E667&gt;=50*0.8,5,IF(E667&gt;=50*0.7,4,IF(E667&gt;=50*0.6,3.5,IF(E667&gt;=50*0.5,3,IF(E667&gt;=50*0.4,2,IF(E667&gt;=50*0.33,1,0))))))))</f>
        <v/>
      </c>
      <c r="X667">
        <f>IF(B667="","",IF(F667&lt;33.0,0,IF(F667&gt;=100*0.8,5,IF(F667&gt;=100*0.7,4,IF(F667&gt;=100*0.6,3.5,IF(F667&gt;=100*0.5,3,IF(F667&gt;=100*0.4,2,IF(F667&gt;=100*0.33,1,0))))))))</f>
        <v/>
      </c>
      <c r="Y667">
        <f>IF(B667="","",IF(G667&lt;16.5,0,IF(G667&gt;=50*0.8,5,IF(G667&gt;=50*0.7,4,IF(G667&gt;=50*0.6,3.5,IF(G667&gt;=50*0.5,3,IF(G667&gt;=50*0.4,2,IF(G667&gt;=50*0.33,1,0))))))))</f>
        <v/>
      </c>
      <c r="Z667">
        <f>IF(B667="","",IF(H667&lt;33.0,0,IF(H667&gt;=100*0.8,5,IF(H667&gt;=100*0.7,4,IF(H667&gt;=100*0.6,3.5,IF(H667&gt;=100*0.5,3,IF(H667&gt;=100*0.4,2,IF(H667&gt;=100*0.33,1,0))))))))</f>
        <v/>
      </c>
      <c r="AA667">
        <f>IF(B667="","",IF(I667&lt;33.0,0,IF(I667&gt;=100*0.8,5,IF(I667&gt;=100*0.7,4,IF(I667&gt;=100*0.6,3.5,IF(I667&gt;=100*0.5,3,IF(I667&gt;=100*0.4,2,IF(I667&gt;=100*0.33,1,0))))))))</f>
        <v/>
      </c>
      <c r="AB667">
        <f>IF(B667="","",IF(J667&lt;33.0,0,IF(J667&gt;=100*0.8,5,IF(J667&gt;=100*0.7,4,IF(J667&gt;=100*0.6,3.5,IF(J667&gt;=100*0.5,3,IF(J667&gt;=100*0.4,2,IF(J667&gt;=100*0.33,1,0))))))))</f>
        <v/>
      </c>
      <c r="AC667">
        <f>IF(B667="","",IF(K667&lt;33.0,0,IF(K667&gt;=100*0.8,5,IF(K667&gt;=100*0.7,4,IF(K667&gt;=100*0.6,3.5,IF(K667&gt;=100*0.5,3,IF(K667&gt;=100*0.4,2,IF(K667&gt;=100*0.33,1,0))))))))</f>
        <v/>
      </c>
      <c r="AD667">
        <f>IF(B667="","",IF(L667&lt;33.0,0,IF(L667&gt;=100*0.8,5,IF(L667&gt;=100*0.7,4,IF(L667&gt;=100*0.6,3.5,IF(L667&gt;=100*0.5,3,IF(L667&gt;=100*0.4,2,IF(L667&gt;=100*0.33,1,0))))))))</f>
        <v/>
      </c>
      <c r="AE667">
        <f>IF(B667="","",IF(M667&lt;33.0,0,IF(M667&gt;=100*0.8,5,IF(M667&gt;=100*0.7,4,IF(M667&gt;=100*0.6,3.5,IF(M667&gt;=100*0.5,3,IF(M667&gt;=100*0.4,2,IF(M667&gt;=100*0.33,1,0))))))))</f>
        <v/>
      </c>
      <c r="AF667">
        <f>IF(B667="","",IF(N667&lt;16.5,0,IF(N667&gt;=50*0.8,5,IF(N667&gt;=50*0.7,4,IF(N667&gt;=50*0.6,3.5,IF(N667&gt;=50*0.5,3,IF(N667&gt;=50*0.4,2,IF(N667&gt;=50*0.33,1,0))))))))</f>
        <v/>
      </c>
      <c r="AG667">
        <f>IF(B667="","",IF(O667&lt;33.0,0,IF(O667&gt;=100*0.8,5,IF(O667&gt;=100*0.7,4,IF(O667&gt;=100*0.6,3.5,IF(O667&gt;=100*0.5,3,IF(O667&gt;=100*0.4,2,IF(O667&gt;=100*0.33,1,0))))))))</f>
        <v/>
      </c>
      <c r="AH667">
        <f>IF(B667="","",IF(OR(U667=0,V667=0,W667=0,X667=0,Y667=0,Z667=0,AA667=0,AB667=0,AC667=0,AD667=0,AE667=0,AF667=0,AG667=0),1,0))</f>
        <v/>
      </c>
    </row>
    <row r="668">
      <c r="A668" s="3">
        <f>IF(B668="","",ROW()-2)</f>
        <v/>
      </c>
      <c r="P668" s="4">
        <f>IF(B668="","",SUM(C668:O668))</f>
        <v/>
      </c>
      <c r="Q668" s="5">
        <f>IF(B668="","",ROUND(P668/13,2))</f>
        <v/>
      </c>
      <c r="R668" s="5">
        <f>IF(B668="","",IF(AH668=1,0,MIN(5,ROUND((U668+V668+W668+X668+Y668+Z668+AA668+AB668+AC668+AD668+AE668+AF668+AG668)/13,2))))</f>
        <v/>
      </c>
      <c r="S668" s="3">
        <f>IF(B668="","",IF(R668&gt;=5,"A+",IF(R668&gt;=4,"A",IF(R668&gt;=3.5,"A-",IF(R668&gt;=3,"B",IF(R668&gt;=2,"C",IF(R668&gt;=1,"D","F")))))))</f>
        <v/>
      </c>
      <c r="T668" s="3">
        <f>IF(OR(B668="",S668="F"),"",COUNTIFS(P:P,"&gt;"&amp;P668,S:S,"&lt;&gt;F")+1)</f>
        <v/>
      </c>
      <c r="U668">
        <f>IF(B668="","",IF(C668&lt;33.0,0,IF(C668&gt;=100*0.8,5,IF(C668&gt;=100*0.7,4,IF(C668&gt;=100*0.6,3.5,IF(C668&gt;=100*0.5,3,IF(C668&gt;=100*0.4,2,IF(C668&gt;=100*0.33,1,0))))))))</f>
        <v/>
      </c>
      <c r="V668">
        <f>IF(B668="","",IF(D668&lt;33.0,0,IF(D668&gt;=100*0.8,5,IF(D668&gt;=100*0.7,4,IF(D668&gt;=100*0.6,3.5,IF(D668&gt;=100*0.5,3,IF(D668&gt;=100*0.4,2,IF(D668&gt;=100*0.33,1,0))))))))</f>
        <v/>
      </c>
      <c r="W668">
        <f>IF(B668="","",IF(E668&lt;16.5,0,IF(E668&gt;=50*0.8,5,IF(E668&gt;=50*0.7,4,IF(E668&gt;=50*0.6,3.5,IF(E668&gt;=50*0.5,3,IF(E668&gt;=50*0.4,2,IF(E668&gt;=50*0.33,1,0))))))))</f>
        <v/>
      </c>
      <c r="X668">
        <f>IF(B668="","",IF(F668&lt;33.0,0,IF(F668&gt;=100*0.8,5,IF(F668&gt;=100*0.7,4,IF(F668&gt;=100*0.6,3.5,IF(F668&gt;=100*0.5,3,IF(F668&gt;=100*0.4,2,IF(F668&gt;=100*0.33,1,0))))))))</f>
        <v/>
      </c>
      <c r="Y668">
        <f>IF(B668="","",IF(G668&lt;16.5,0,IF(G668&gt;=50*0.8,5,IF(G668&gt;=50*0.7,4,IF(G668&gt;=50*0.6,3.5,IF(G668&gt;=50*0.5,3,IF(G668&gt;=50*0.4,2,IF(G668&gt;=50*0.33,1,0))))))))</f>
        <v/>
      </c>
      <c r="Z668">
        <f>IF(B668="","",IF(H668&lt;33.0,0,IF(H668&gt;=100*0.8,5,IF(H668&gt;=100*0.7,4,IF(H668&gt;=100*0.6,3.5,IF(H668&gt;=100*0.5,3,IF(H668&gt;=100*0.4,2,IF(H668&gt;=100*0.33,1,0))))))))</f>
        <v/>
      </c>
      <c r="AA668">
        <f>IF(B668="","",IF(I668&lt;33.0,0,IF(I668&gt;=100*0.8,5,IF(I668&gt;=100*0.7,4,IF(I668&gt;=100*0.6,3.5,IF(I668&gt;=100*0.5,3,IF(I668&gt;=100*0.4,2,IF(I668&gt;=100*0.33,1,0))))))))</f>
        <v/>
      </c>
      <c r="AB668">
        <f>IF(B668="","",IF(J668&lt;33.0,0,IF(J668&gt;=100*0.8,5,IF(J668&gt;=100*0.7,4,IF(J668&gt;=100*0.6,3.5,IF(J668&gt;=100*0.5,3,IF(J668&gt;=100*0.4,2,IF(J668&gt;=100*0.33,1,0))))))))</f>
        <v/>
      </c>
      <c r="AC668">
        <f>IF(B668="","",IF(K668&lt;33.0,0,IF(K668&gt;=100*0.8,5,IF(K668&gt;=100*0.7,4,IF(K668&gt;=100*0.6,3.5,IF(K668&gt;=100*0.5,3,IF(K668&gt;=100*0.4,2,IF(K668&gt;=100*0.33,1,0))))))))</f>
        <v/>
      </c>
      <c r="AD668">
        <f>IF(B668="","",IF(L668&lt;33.0,0,IF(L668&gt;=100*0.8,5,IF(L668&gt;=100*0.7,4,IF(L668&gt;=100*0.6,3.5,IF(L668&gt;=100*0.5,3,IF(L668&gt;=100*0.4,2,IF(L668&gt;=100*0.33,1,0))))))))</f>
        <v/>
      </c>
      <c r="AE668">
        <f>IF(B668="","",IF(M668&lt;33.0,0,IF(M668&gt;=100*0.8,5,IF(M668&gt;=100*0.7,4,IF(M668&gt;=100*0.6,3.5,IF(M668&gt;=100*0.5,3,IF(M668&gt;=100*0.4,2,IF(M668&gt;=100*0.33,1,0))))))))</f>
        <v/>
      </c>
      <c r="AF668">
        <f>IF(B668="","",IF(N668&lt;16.5,0,IF(N668&gt;=50*0.8,5,IF(N668&gt;=50*0.7,4,IF(N668&gt;=50*0.6,3.5,IF(N668&gt;=50*0.5,3,IF(N668&gt;=50*0.4,2,IF(N668&gt;=50*0.33,1,0))))))))</f>
        <v/>
      </c>
      <c r="AG668">
        <f>IF(B668="","",IF(O668&lt;33.0,0,IF(O668&gt;=100*0.8,5,IF(O668&gt;=100*0.7,4,IF(O668&gt;=100*0.6,3.5,IF(O668&gt;=100*0.5,3,IF(O668&gt;=100*0.4,2,IF(O668&gt;=100*0.33,1,0))))))))</f>
        <v/>
      </c>
      <c r="AH668">
        <f>IF(B668="","",IF(OR(U668=0,V668=0,W668=0,X668=0,Y668=0,Z668=0,AA668=0,AB668=0,AC668=0,AD668=0,AE668=0,AF668=0,AG668=0),1,0))</f>
        <v/>
      </c>
    </row>
    <row r="669">
      <c r="A669" s="3">
        <f>IF(B669="","",ROW()-2)</f>
        <v/>
      </c>
      <c r="P669" s="4">
        <f>IF(B669="","",SUM(C669:O669))</f>
        <v/>
      </c>
      <c r="Q669" s="5">
        <f>IF(B669="","",ROUND(P669/13,2))</f>
        <v/>
      </c>
      <c r="R669" s="5">
        <f>IF(B669="","",IF(AH669=1,0,MIN(5,ROUND((U669+V669+W669+X669+Y669+Z669+AA669+AB669+AC669+AD669+AE669+AF669+AG669)/13,2))))</f>
        <v/>
      </c>
      <c r="S669" s="3">
        <f>IF(B669="","",IF(R669&gt;=5,"A+",IF(R669&gt;=4,"A",IF(R669&gt;=3.5,"A-",IF(R669&gt;=3,"B",IF(R669&gt;=2,"C",IF(R669&gt;=1,"D","F")))))))</f>
        <v/>
      </c>
      <c r="T669" s="3">
        <f>IF(OR(B669="",S669="F"),"",COUNTIFS(P:P,"&gt;"&amp;P669,S:S,"&lt;&gt;F")+1)</f>
        <v/>
      </c>
      <c r="U669">
        <f>IF(B669="","",IF(C669&lt;33.0,0,IF(C669&gt;=100*0.8,5,IF(C669&gt;=100*0.7,4,IF(C669&gt;=100*0.6,3.5,IF(C669&gt;=100*0.5,3,IF(C669&gt;=100*0.4,2,IF(C669&gt;=100*0.33,1,0))))))))</f>
        <v/>
      </c>
      <c r="V669">
        <f>IF(B669="","",IF(D669&lt;33.0,0,IF(D669&gt;=100*0.8,5,IF(D669&gt;=100*0.7,4,IF(D669&gt;=100*0.6,3.5,IF(D669&gt;=100*0.5,3,IF(D669&gt;=100*0.4,2,IF(D669&gt;=100*0.33,1,0))))))))</f>
        <v/>
      </c>
      <c r="W669">
        <f>IF(B669="","",IF(E669&lt;16.5,0,IF(E669&gt;=50*0.8,5,IF(E669&gt;=50*0.7,4,IF(E669&gt;=50*0.6,3.5,IF(E669&gt;=50*0.5,3,IF(E669&gt;=50*0.4,2,IF(E669&gt;=50*0.33,1,0))))))))</f>
        <v/>
      </c>
      <c r="X669">
        <f>IF(B669="","",IF(F669&lt;33.0,0,IF(F669&gt;=100*0.8,5,IF(F669&gt;=100*0.7,4,IF(F669&gt;=100*0.6,3.5,IF(F669&gt;=100*0.5,3,IF(F669&gt;=100*0.4,2,IF(F669&gt;=100*0.33,1,0))))))))</f>
        <v/>
      </c>
      <c r="Y669">
        <f>IF(B669="","",IF(G669&lt;16.5,0,IF(G669&gt;=50*0.8,5,IF(G669&gt;=50*0.7,4,IF(G669&gt;=50*0.6,3.5,IF(G669&gt;=50*0.5,3,IF(G669&gt;=50*0.4,2,IF(G669&gt;=50*0.33,1,0))))))))</f>
        <v/>
      </c>
      <c r="Z669">
        <f>IF(B669="","",IF(H669&lt;33.0,0,IF(H669&gt;=100*0.8,5,IF(H669&gt;=100*0.7,4,IF(H669&gt;=100*0.6,3.5,IF(H669&gt;=100*0.5,3,IF(H669&gt;=100*0.4,2,IF(H669&gt;=100*0.33,1,0))))))))</f>
        <v/>
      </c>
      <c r="AA669">
        <f>IF(B669="","",IF(I669&lt;33.0,0,IF(I669&gt;=100*0.8,5,IF(I669&gt;=100*0.7,4,IF(I669&gt;=100*0.6,3.5,IF(I669&gt;=100*0.5,3,IF(I669&gt;=100*0.4,2,IF(I669&gt;=100*0.33,1,0))))))))</f>
        <v/>
      </c>
      <c r="AB669">
        <f>IF(B669="","",IF(J669&lt;33.0,0,IF(J669&gt;=100*0.8,5,IF(J669&gt;=100*0.7,4,IF(J669&gt;=100*0.6,3.5,IF(J669&gt;=100*0.5,3,IF(J669&gt;=100*0.4,2,IF(J669&gt;=100*0.33,1,0))))))))</f>
        <v/>
      </c>
      <c r="AC669">
        <f>IF(B669="","",IF(K669&lt;33.0,0,IF(K669&gt;=100*0.8,5,IF(K669&gt;=100*0.7,4,IF(K669&gt;=100*0.6,3.5,IF(K669&gt;=100*0.5,3,IF(K669&gt;=100*0.4,2,IF(K669&gt;=100*0.33,1,0))))))))</f>
        <v/>
      </c>
      <c r="AD669">
        <f>IF(B669="","",IF(L669&lt;33.0,0,IF(L669&gt;=100*0.8,5,IF(L669&gt;=100*0.7,4,IF(L669&gt;=100*0.6,3.5,IF(L669&gt;=100*0.5,3,IF(L669&gt;=100*0.4,2,IF(L669&gt;=100*0.33,1,0))))))))</f>
        <v/>
      </c>
      <c r="AE669">
        <f>IF(B669="","",IF(M669&lt;33.0,0,IF(M669&gt;=100*0.8,5,IF(M669&gt;=100*0.7,4,IF(M669&gt;=100*0.6,3.5,IF(M669&gt;=100*0.5,3,IF(M669&gt;=100*0.4,2,IF(M669&gt;=100*0.33,1,0))))))))</f>
        <v/>
      </c>
      <c r="AF669">
        <f>IF(B669="","",IF(N669&lt;16.5,0,IF(N669&gt;=50*0.8,5,IF(N669&gt;=50*0.7,4,IF(N669&gt;=50*0.6,3.5,IF(N669&gt;=50*0.5,3,IF(N669&gt;=50*0.4,2,IF(N669&gt;=50*0.33,1,0))))))))</f>
        <v/>
      </c>
      <c r="AG669">
        <f>IF(B669="","",IF(O669&lt;33.0,0,IF(O669&gt;=100*0.8,5,IF(O669&gt;=100*0.7,4,IF(O669&gt;=100*0.6,3.5,IF(O669&gt;=100*0.5,3,IF(O669&gt;=100*0.4,2,IF(O669&gt;=100*0.33,1,0))))))))</f>
        <v/>
      </c>
      <c r="AH669">
        <f>IF(B669="","",IF(OR(U669=0,V669=0,W669=0,X669=0,Y669=0,Z669=0,AA669=0,AB669=0,AC669=0,AD669=0,AE669=0,AF669=0,AG669=0),1,0))</f>
        <v/>
      </c>
    </row>
    <row r="670">
      <c r="A670" s="3">
        <f>IF(B670="","",ROW()-2)</f>
        <v/>
      </c>
      <c r="P670" s="4">
        <f>IF(B670="","",SUM(C670:O670))</f>
        <v/>
      </c>
      <c r="Q670" s="5">
        <f>IF(B670="","",ROUND(P670/13,2))</f>
        <v/>
      </c>
      <c r="R670" s="5">
        <f>IF(B670="","",IF(AH670=1,0,MIN(5,ROUND((U670+V670+W670+X670+Y670+Z670+AA670+AB670+AC670+AD670+AE670+AF670+AG670)/13,2))))</f>
        <v/>
      </c>
      <c r="S670" s="3">
        <f>IF(B670="","",IF(R670&gt;=5,"A+",IF(R670&gt;=4,"A",IF(R670&gt;=3.5,"A-",IF(R670&gt;=3,"B",IF(R670&gt;=2,"C",IF(R670&gt;=1,"D","F")))))))</f>
        <v/>
      </c>
      <c r="T670" s="3">
        <f>IF(OR(B670="",S670="F"),"",COUNTIFS(P:P,"&gt;"&amp;P670,S:S,"&lt;&gt;F")+1)</f>
        <v/>
      </c>
      <c r="U670">
        <f>IF(B670="","",IF(C670&lt;33.0,0,IF(C670&gt;=100*0.8,5,IF(C670&gt;=100*0.7,4,IF(C670&gt;=100*0.6,3.5,IF(C670&gt;=100*0.5,3,IF(C670&gt;=100*0.4,2,IF(C670&gt;=100*0.33,1,0))))))))</f>
        <v/>
      </c>
      <c r="V670">
        <f>IF(B670="","",IF(D670&lt;33.0,0,IF(D670&gt;=100*0.8,5,IF(D670&gt;=100*0.7,4,IF(D670&gt;=100*0.6,3.5,IF(D670&gt;=100*0.5,3,IF(D670&gt;=100*0.4,2,IF(D670&gt;=100*0.33,1,0))))))))</f>
        <v/>
      </c>
      <c r="W670">
        <f>IF(B670="","",IF(E670&lt;16.5,0,IF(E670&gt;=50*0.8,5,IF(E670&gt;=50*0.7,4,IF(E670&gt;=50*0.6,3.5,IF(E670&gt;=50*0.5,3,IF(E670&gt;=50*0.4,2,IF(E670&gt;=50*0.33,1,0))))))))</f>
        <v/>
      </c>
      <c r="X670">
        <f>IF(B670="","",IF(F670&lt;33.0,0,IF(F670&gt;=100*0.8,5,IF(F670&gt;=100*0.7,4,IF(F670&gt;=100*0.6,3.5,IF(F670&gt;=100*0.5,3,IF(F670&gt;=100*0.4,2,IF(F670&gt;=100*0.33,1,0))))))))</f>
        <v/>
      </c>
      <c r="Y670">
        <f>IF(B670="","",IF(G670&lt;16.5,0,IF(G670&gt;=50*0.8,5,IF(G670&gt;=50*0.7,4,IF(G670&gt;=50*0.6,3.5,IF(G670&gt;=50*0.5,3,IF(G670&gt;=50*0.4,2,IF(G670&gt;=50*0.33,1,0))))))))</f>
        <v/>
      </c>
      <c r="Z670">
        <f>IF(B670="","",IF(H670&lt;33.0,0,IF(H670&gt;=100*0.8,5,IF(H670&gt;=100*0.7,4,IF(H670&gt;=100*0.6,3.5,IF(H670&gt;=100*0.5,3,IF(H670&gt;=100*0.4,2,IF(H670&gt;=100*0.33,1,0))))))))</f>
        <v/>
      </c>
      <c r="AA670">
        <f>IF(B670="","",IF(I670&lt;33.0,0,IF(I670&gt;=100*0.8,5,IF(I670&gt;=100*0.7,4,IF(I670&gt;=100*0.6,3.5,IF(I670&gt;=100*0.5,3,IF(I670&gt;=100*0.4,2,IF(I670&gt;=100*0.33,1,0))))))))</f>
        <v/>
      </c>
      <c r="AB670">
        <f>IF(B670="","",IF(J670&lt;33.0,0,IF(J670&gt;=100*0.8,5,IF(J670&gt;=100*0.7,4,IF(J670&gt;=100*0.6,3.5,IF(J670&gt;=100*0.5,3,IF(J670&gt;=100*0.4,2,IF(J670&gt;=100*0.33,1,0))))))))</f>
        <v/>
      </c>
      <c r="AC670">
        <f>IF(B670="","",IF(K670&lt;33.0,0,IF(K670&gt;=100*0.8,5,IF(K670&gt;=100*0.7,4,IF(K670&gt;=100*0.6,3.5,IF(K670&gt;=100*0.5,3,IF(K670&gt;=100*0.4,2,IF(K670&gt;=100*0.33,1,0))))))))</f>
        <v/>
      </c>
      <c r="AD670">
        <f>IF(B670="","",IF(L670&lt;33.0,0,IF(L670&gt;=100*0.8,5,IF(L670&gt;=100*0.7,4,IF(L670&gt;=100*0.6,3.5,IF(L670&gt;=100*0.5,3,IF(L670&gt;=100*0.4,2,IF(L670&gt;=100*0.33,1,0))))))))</f>
        <v/>
      </c>
      <c r="AE670">
        <f>IF(B670="","",IF(M670&lt;33.0,0,IF(M670&gt;=100*0.8,5,IF(M670&gt;=100*0.7,4,IF(M670&gt;=100*0.6,3.5,IF(M670&gt;=100*0.5,3,IF(M670&gt;=100*0.4,2,IF(M670&gt;=100*0.33,1,0))))))))</f>
        <v/>
      </c>
      <c r="AF670">
        <f>IF(B670="","",IF(N670&lt;16.5,0,IF(N670&gt;=50*0.8,5,IF(N670&gt;=50*0.7,4,IF(N670&gt;=50*0.6,3.5,IF(N670&gt;=50*0.5,3,IF(N670&gt;=50*0.4,2,IF(N670&gt;=50*0.33,1,0))))))))</f>
        <v/>
      </c>
      <c r="AG670">
        <f>IF(B670="","",IF(O670&lt;33.0,0,IF(O670&gt;=100*0.8,5,IF(O670&gt;=100*0.7,4,IF(O670&gt;=100*0.6,3.5,IF(O670&gt;=100*0.5,3,IF(O670&gt;=100*0.4,2,IF(O670&gt;=100*0.33,1,0))))))))</f>
        <v/>
      </c>
      <c r="AH670">
        <f>IF(B670="","",IF(OR(U670=0,V670=0,W670=0,X670=0,Y670=0,Z670=0,AA670=0,AB670=0,AC670=0,AD670=0,AE670=0,AF670=0,AG670=0),1,0))</f>
        <v/>
      </c>
    </row>
    <row r="671">
      <c r="A671" s="3">
        <f>IF(B671="","",ROW()-2)</f>
        <v/>
      </c>
      <c r="P671" s="4">
        <f>IF(B671="","",SUM(C671:O671))</f>
        <v/>
      </c>
      <c r="Q671" s="5">
        <f>IF(B671="","",ROUND(P671/13,2))</f>
        <v/>
      </c>
      <c r="R671" s="5">
        <f>IF(B671="","",IF(AH671=1,0,MIN(5,ROUND((U671+V671+W671+X671+Y671+Z671+AA671+AB671+AC671+AD671+AE671+AF671+AG671)/13,2))))</f>
        <v/>
      </c>
      <c r="S671" s="3">
        <f>IF(B671="","",IF(R671&gt;=5,"A+",IF(R671&gt;=4,"A",IF(R671&gt;=3.5,"A-",IF(R671&gt;=3,"B",IF(R671&gt;=2,"C",IF(R671&gt;=1,"D","F")))))))</f>
        <v/>
      </c>
      <c r="T671" s="3">
        <f>IF(OR(B671="",S671="F"),"",COUNTIFS(P:P,"&gt;"&amp;P671,S:S,"&lt;&gt;F")+1)</f>
        <v/>
      </c>
      <c r="U671">
        <f>IF(B671="","",IF(C671&lt;33.0,0,IF(C671&gt;=100*0.8,5,IF(C671&gt;=100*0.7,4,IF(C671&gt;=100*0.6,3.5,IF(C671&gt;=100*0.5,3,IF(C671&gt;=100*0.4,2,IF(C671&gt;=100*0.33,1,0))))))))</f>
        <v/>
      </c>
      <c r="V671">
        <f>IF(B671="","",IF(D671&lt;33.0,0,IF(D671&gt;=100*0.8,5,IF(D671&gt;=100*0.7,4,IF(D671&gt;=100*0.6,3.5,IF(D671&gt;=100*0.5,3,IF(D671&gt;=100*0.4,2,IF(D671&gt;=100*0.33,1,0))))))))</f>
        <v/>
      </c>
      <c r="W671">
        <f>IF(B671="","",IF(E671&lt;16.5,0,IF(E671&gt;=50*0.8,5,IF(E671&gt;=50*0.7,4,IF(E671&gt;=50*0.6,3.5,IF(E671&gt;=50*0.5,3,IF(E671&gt;=50*0.4,2,IF(E671&gt;=50*0.33,1,0))))))))</f>
        <v/>
      </c>
      <c r="X671">
        <f>IF(B671="","",IF(F671&lt;33.0,0,IF(F671&gt;=100*0.8,5,IF(F671&gt;=100*0.7,4,IF(F671&gt;=100*0.6,3.5,IF(F671&gt;=100*0.5,3,IF(F671&gt;=100*0.4,2,IF(F671&gt;=100*0.33,1,0))))))))</f>
        <v/>
      </c>
      <c r="Y671">
        <f>IF(B671="","",IF(G671&lt;16.5,0,IF(G671&gt;=50*0.8,5,IF(G671&gt;=50*0.7,4,IF(G671&gt;=50*0.6,3.5,IF(G671&gt;=50*0.5,3,IF(G671&gt;=50*0.4,2,IF(G671&gt;=50*0.33,1,0))))))))</f>
        <v/>
      </c>
      <c r="Z671">
        <f>IF(B671="","",IF(H671&lt;33.0,0,IF(H671&gt;=100*0.8,5,IF(H671&gt;=100*0.7,4,IF(H671&gt;=100*0.6,3.5,IF(H671&gt;=100*0.5,3,IF(H671&gt;=100*0.4,2,IF(H671&gt;=100*0.33,1,0))))))))</f>
        <v/>
      </c>
      <c r="AA671">
        <f>IF(B671="","",IF(I671&lt;33.0,0,IF(I671&gt;=100*0.8,5,IF(I671&gt;=100*0.7,4,IF(I671&gt;=100*0.6,3.5,IF(I671&gt;=100*0.5,3,IF(I671&gt;=100*0.4,2,IF(I671&gt;=100*0.33,1,0))))))))</f>
        <v/>
      </c>
      <c r="AB671">
        <f>IF(B671="","",IF(J671&lt;33.0,0,IF(J671&gt;=100*0.8,5,IF(J671&gt;=100*0.7,4,IF(J671&gt;=100*0.6,3.5,IF(J671&gt;=100*0.5,3,IF(J671&gt;=100*0.4,2,IF(J671&gt;=100*0.33,1,0))))))))</f>
        <v/>
      </c>
      <c r="AC671">
        <f>IF(B671="","",IF(K671&lt;33.0,0,IF(K671&gt;=100*0.8,5,IF(K671&gt;=100*0.7,4,IF(K671&gt;=100*0.6,3.5,IF(K671&gt;=100*0.5,3,IF(K671&gt;=100*0.4,2,IF(K671&gt;=100*0.33,1,0))))))))</f>
        <v/>
      </c>
      <c r="AD671">
        <f>IF(B671="","",IF(L671&lt;33.0,0,IF(L671&gt;=100*0.8,5,IF(L671&gt;=100*0.7,4,IF(L671&gt;=100*0.6,3.5,IF(L671&gt;=100*0.5,3,IF(L671&gt;=100*0.4,2,IF(L671&gt;=100*0.33,1,0))))))))</f>
        <v/>
      </c>
      <c r="AE671">
        <f>IF(B671="","",IF(M671&lt;33.0,0,IF(M671&gt;=100*0.8,5,IF(M671&gt;=100*0.7,4,IF(M671&gt;=100*0.6,3.5,IF(M671&gt;=100*0.5,3,IF(M671&gt;=100*0.4,2,IF(M671&gt;=100*0.33,1,0))))))))</f>
        <v/>
      </c>
      <c r="AF671">
        <f>IF(B671="","",IF(N671&lt;16.5,0,IF(N671&gt;=50*0.8,5,IF(N671&gt;=50*0.7,4,IF(N671&gt;=50*0.6,3.5,IF(N671&gt;=50*0.5,3,IF(N671&gt;=50*0.4,2,IF(N671&gt;=50*0.33,1,0))))))))</f>
        <v/>
      </c>
      <c r="AG671">
        <f>IF(B671="","",IF(O671&lt;33.0,0,IF(O671&gt;=100*0.8,5,IF(O671&gt;=100*0.7,4,IF(O671&gt;=100*0.6,3.5,IF(O671&gt;=100*0.5,3,IF(O671&gt;=100*0.4,2,IF(O671&gt;=100*0.33,1,0))))))))</f>
        <v/>
      </c>
      <c r="AH671">
        <f>IF(B671="","",IF(OR(U671=0,V671=0,W671=0,X671=0,Y671=0,Z671=0,AA671=0,AB671=0,AC671=0,AD671=0,AE671=0,AF671=0,AG671=0),1,0))</f>
        <v/>
      </c>
    </row>
    <row r="672">
      <c r="A672" s="3">
        <f>IF(B672="","",ROW()-2)</f>
        <v/>
      </c>
      <c r="P672" s="4">
        <f>IF(B672="","",SUM(C672:O672))</f>
        <v/>
      </c>
      <c r="Q672" s="5">
        <f>IF(B672="","",ROUND(P672/13,2))</f>
        <v/>
      </c>
      <c r="R672" s="5">
        <f>IF(B672="","",IF(AH672=1,0,MIN(5,ROUND((U672+V672+W672+X672+Y672+Z672+AA672+AB672+AC672+AD672+AE672+AF672+AG672)/13,2))))</f>
        <v/>
      </c>
      <c r="S672" s="3">
        <f>IF(B672="","",IF(R672&gt;=5,"A+",IF(R672&gt;=4,"A",IF(R672&gt;=3.5,"A-",IF(R672&gt;=3,"B",IF(R672&gt;=2,"C",IF(R672&gt;=1,"D","F")))))))</f>
        <v/>
      </c>
      <c r="T672" s="3">
        <f>IF(OR(B672="",S672="F"),"",COUNTIFS(P:P,"&gt;"&amp;P672,S:S,"&lt;&gt;F")+1)</f>
        <v/>
      </c>
      <c r="U672">
        <f>IF(B672="","",IF(C672&lt;33.0,0,IF(C672&gt;=100*0.8,5,IF(C672&gt;=100*0.7,4,IF(C672&gt;=100*0.6,3.5,IF(C672&gt;=100*0.5,3,IF(C672&gt;=100*0.4,2,IF(C672&gt;=100*0.33,1,0))))))))</f>
        <v/>
      </c>
      <c r="V672">
        <f>IF(B672="","",IF(D672&lt;33.0,0,IF(D672&gt;=100*0.8,5,IF(D672&gt;=100*0.7,4,IF(D672&gt;=100*0.6,3.5,IF(D672&gt;=100*0.5,3,IF(D672&gt;=100*0.4,2,IF(D672&gt;=100*0.33,1,0))))))))</f>
        <v/>
      </c>
      <c r="W672">
        <f>IF(B672="","",IF(E672&lt;16.5,0,IF(E672&gt;=50*0.8,5,IF(E672&gt;=50*0.7,4,IF(E672&gt;=50*0.6,3.5,IF(E672&gt;=50*0.5,3,IF(E672&gt;=50*0.4,2,IF(E672&gt;=50*0.33,1,0))))))))</f>
        <v/>
      </c>
      <c r="X672">
        <f>IF(B672="","",IF(F672&lt;33.0,0,IF(F672&gt;=100*0.8,5,IF(F672&gt;=100*0.7,4,IF(F672&gt;=100*0.6,3.5,IF(F672&gt;=100*0.5,3,IF(F672&gt;=100*0.4,2,IF(F672&gt;=100*0.33,1,0))))))))</f>
        <v/>
      </c>
      <c r="Y672">
        <f>IF(B672="","",IF(G672&lt;16.5,0,IF(G672&gt;=50*0.8,5,IF(G672&gt;=50*0.7,4,IF(G672&gt;=50*0.6,3.5,IF(G672&gt;=50*0.5,3,IF(G672&gt;=50*0.4,2,IF(G672&gt;=50*0.33,1,0))))))))</f>
        <v/>
      </c>
      <c r="Z672">
        <f>IF(B672="","",IF(H672&lt;33.0,0,IF(H672&gt;=100*0.8,5,IF(H672&gt;=100*0.7,4,IF(H672&gt;=100*0.6,3.5,IF(H672&gt;=100*0.5,3,IF(H672&gt;=100*0.4,2,IF(H672&gt;=100*0.33,1,0))))))))</f>
        <v/>
      </c>
      <c r="AA672">
        <f>IF(B672="","",IF(I672&lt;33.0,0,IF(I672&gt;=100*0.8,5,IF(I672&gt;=100*0.7,4,IF(I672&gt;=100*0.6,3.5,IF(I672&gt;=100*0.5,3,IF(I672&gt;=100*0.4,2,IF(I672&gt;=100*0.33,1,0))))))))</f>
        <v/>
      </c>
      <c r="AB672">
        <f>IF(B672="","",IF(J672&lt;33.0,0,IF(J672&gt;=100*0.8,5,IF(J672&gt;=100*0.7,4,IF(J672&gt;=100*0.6,3.5,IF(J672&gt;=100*0.5,3,IF(J672&gt;=100*0.4,2,IF(J672&gt;=100*0.33,1,0))))))))</f>
        <v/>
      </c>
      <c r="AC672">
        <f>IF(B672="","",IF(K672&lt;33.0,0,IF(K672&gt;=100*0.8,5,IF(K672&gt;=100*0.7,4,IF(K672&gt;=100*0.6,3.5,IF(K672&gt;=100*0.5,3,IF(K672&gt;=100*0.4,2,IF(K672&gt;=100*0.33,1,0))))))))</f>
        <v/>
      </c>
      <c r="AD672">
        <f>IF(B672="","",IF(L672&lt;33.0,0,IF(L672&gt;=100*0.8,5,IF(L672&gt;=100*0.7,4,IF(L672&gt;=100*0.6,3.5,IF(L672&gt;=100*0.5,3,IF(L672&gt;=100*0.4,2,IF(L672&gt;=100*0.33,1,0))))))))</f>
        <v/>
      </c>
      <c r="AE672">
        <f>IF(B672="","",IF(M672&lt;33.0,0,IF(M672&gt;=100*0.8,5,IF(M672&gt;=100*0.7,4,IF(M672&gt;=100*0.6,3.5,IF(M672&gt;=100*0.5,3,IF(M672&gt;=100*0.4,2,IF(M672&gt;=100*0.33,1,0))))))))</f>
        <v/>
      </c>
      <c r="AF672">
        <f>IF(B672="","",IF(N672&lt;16.5,0,IF(N672&gt;=50*0.8,5,IF(N672&gt;=50*0.7,4,IF(N672&gt;=50*0.6,3.5,IF(N672&gt;=50*0.5,3,IF(N672&gt;=50*0.4,2,IF(N672&gt;=50*0.33,1,0))))))))</f>
        <v/>
      </c>
      <c r="AG672">
        <f>IF(B672="","",IF(O672&lt;33.0,0,IF(O672&gt;=100*0.8,5,IF(O672&gt;=100*0.7,4,IF(O672&gt;=100*0.6,3.5,IF(O672&gt;=100*0.5,3,IF(O672&gt;=100*0.4,2,IF(O672&gt;=100*0.33,1,0))))))))</f>
        <v/>
      </c>
      <c r="AH672">
        <f>IF(B672="","",IF(OR(U672=0,V672=0,W672=0,X672=0,Y672=0,Z672=0,AA672=0,AB672=0,AC672=0,AD672=0,AE672=0,AF672=0,AG672=0),1,0))</f>
        <v/>
      </c>
    </row>
    <row r="673">
      <c r="A673" s="3">
        <f>IF(B673="","",ROW()-2)</f>
        <v/>
      </c>
      <c r="P673" s="4">
        <f>IF(B673="","",SUM(C673:O673))</f>
        <v/>
      </c>
      <c r="Q673" s="5">
        <f>IF(B673="","",ROUND(P673/13,2))</f>
        <v/>
      </c>
      <c r="R673" s="5">
        <f>IF(B673="","",IF(AH673=1,0,MIN(5,ROUND((U673+V673+W673+X673+Y673+Z673+AA673+AB673+AC673+AD673+AE673+AF673+AG673)/13,2))))</f>
        <v/>
      </c>
      <c r="S673" s="3">
        <f>IF(B673="","",IF(R673&gt;=5,"A+",IF(R673&gt;=4,"A",IF(R673&gt;=3.5,"A-",IF(R673&gt;=3,"B",IF(R673&gt;=2,"C",IF(R673&gt;=1,"D","F")))))))</f>
        <v/>
      </c>
      <c r="T673" s="3">
        <f>IF(OR(B673="",S673="F"),"",COUNTIFS(P:P,"&gt;"&amp;P673,S:S,"&lt;&gt;F")+1)</f>
        <v/>
      </c>
      <c r="U673">
        <f>IF(B673="","",IF(C673&lt;33.0,0,IF(C673&gt;=100*0.8,5,IF(C673&gt;=100*0.7,4,IF(C673&gt;=100*0.6,3.5,IF(C673&gt;=100*0.5,3,IF(C673&gt;=100*0.4,2,IF(C673&gt;=100*0.33,1,0))))))))</f>
        <v/>
      </c>
      <c r="V673">
        <f>IF(B673="","",IF(D673&lt;33.0,0,IF(D673&gt;=100*0.8,5,IF(D673&gt;=100*0.7,4,IF(D673&gt;=100*0.6,3.5,IF(D673&gt;=100*0.5,3,IF(D673&gt;=100*0.4,2,IF(D673&gt;=100*0.33,1,0))))))))</f>
        <v/>
      </c>
      <c r="W673">
        <f>IF(B673="","",IF(E673&lt;16.5,0,IF(E673&gt;=50*0.8,5,IF(E673&gt;=50*0.7,4,IF(E673&gt;=50*0.6,3.5,IF(E673&gt;=50*0.5,3,IF(E673&gt;=50*0.4,2,IF(E673&gt;=50*0.33,1,0))))))))</f>
        <v/>
      </c>
      <c r="X673">
        <f>IF(B673="","",IF(F673&lt;33.0,0,IF(F673&gt;=100*0.8,5,IF(F673&gt;=100*0.7,4,IF(F673&gt;=100*0.6,3.5,IF(F673&gt;=100*0.5,3,IF(F673&gt;=100*0.4,2,IF(F673&gt;=100*0.33,1,0))))))))</f>
        <v/>
      </c>
      <c r="Y673">
        <f>IF(B673="","",IF(G673&lt;16.5,0,IF(G673&gt;=50*0.8,5,IF(G673&gt;=50*0.7,4,IF(G673&gt;=50*0.6,3.5,IF(G673&gt;=50*0.5,3,IF(G673&gt;=50*0.4,2,IF(G673&gt;=50*0.33,1,0))))))))</f>
        <v/>
      </c>
      <c r="Z673">
        <f>IF(B673="","",IF(H673&lt;33.0,0,IF(H673&gt;=100*0.8,5,IF(H673&gt;=100*0.7,4,IF(H673&gt;=100*0.6,3.5,IF(H673&gt;=100*0.5,3,IF(H673&gt;=100*0.4,2,IF(H673&gt;=100*0.33,1,0))))))))</f>
        <v/>
      </c>
      <c r="AA673">
        <f>IF(B673="","",IF(I673&lt;33.0,0,IF(I673&gt;=100*0.8,5,IF(I673&gt;=100*0.7,4,IF(I673&gt;=100*0.6,3.5,IF(I673&gt;=100*0.5,3,IF(I673&gt;=100*0.4,2,IF(I673&gt;=100*0.33,1,0))))))))</f>
        <v/>
      </c>
      <c r="AB673">
        <f>IF(B673="","",IF(J673&lt;33.0,0,IF(J673&gt;=100*0.8,5,IF(J673&gt;=100*0.7,4,IF(J673&gt;=100*0.6,3.5,IF(J673&gt;=100*0.5,3,IF(J673&gt;=100*0.4,2,IF(J673&gt;=100*0.33,1,0))))))))</f>
        <v/>
      </c>
      <c r="AC673">
        <f>IF(B673="","",IF(K673&lt;33.0,0,IF(K673&gt;=100*0.8,5,IF(K673&gt;=100*0.7,4,IF(K673&gt;=100*0.6,3.5,IF(K673&gt;=100*0.5,3,IF(K673&gt;=100*0.4,2,IF(K673&gt;=100*0.33,1,0))))))))</f>
        <v/>
      </c>
      <c r="AD673">
        <f>IF(B673="","",IF(L673&lt;33.0,0,IF(L673&gt;=100*0.8,5,IF(L673&gt;=100*0.7,4,IF(L673&gt;=100*0.6,3.5,IF(L673&gt;=100*0.5,3,IF(L673&gt;=100*0.4,2,IF(L673&gt;=100*0.33,1,0))))))))</f>
        <v/>
      </c>
      <c r="AE673">
        <f>IF(B673="","",IF(M673&lt;33.0,0,IF(M673&gt;=100*0.8,5,IF(M673&gt;=100*0.7,4,IF(M673&gt;=100*0.6,3.5,IF(M673&gt;=100*0.5,3,IF(M673&gt;=100*0.4,2,IF(M673&gt;=100*0.33,1,0))))))))</f>
        <v/>
      </c>
      <c r="AF673">
        <f>IF(B673="","",IF(N673&lt;16.5,0,IF(N673&gt;=50*0.8,5,IF(N673&gt;=50*0.7,4,IF(N673&gt;=50*0.6,3.5,IF(N673&gt;=50*0.5,3,IF(N673&gt;=50*0.4,2,IF(N673&gt;=50*0.33,1,0))))))))</f>
        <v/>
      </c>
      <c r="AG673">
        <f>IF(B673="","",IF(O673&lt;33.0,0,IF(O673&gt;=100*0.8,5,IF(O673&gt;=100*0.7,4,IF(O673&gt;=100*0.6,3.5,IF(O673&gt;=100*0.5,3,IF(O673&gt;=100*0.4,2,IF(O673&gt;=100*0.33,1,0))))))))</f>
        <v/>
      </c>
      <c r="AH673">
        <f>IF(B673="","",IF(OR(U673=0,V673=0,W673=0,X673=0,Y673=0,Z673=0,AA673=0,AB673=0,AC673=0,AD673=0,AE673=0,AF673=0,AG673=0),1,0))</f>
        <v/>
      </c>
    </row>
    <row r="674">
      <c r="A674" s="3">
        <f>IF(B674="","",ROW()-2)</f>
        <v/>
      </c>
      <c r="P674" s="4">
        <f>IF(B674="","",SUM(C674:O674))</f>
        <v/>
      </c>
      <c r="Q674" s="5">
        <f>IF(B674="","",ROUND(P674/13,2))</f>
        <v/>
      </c>
      <c r="R674" s="5">
        <f>IF(B674="","",IF(AH674=1,0,MIN(5,ROUND((U674+V674+W674+X674+Y674+Z674+AA674+AB674+AC674+AD674+AE674+AF674+AG674)/13,2))))</f>
        <v/>
      </c>
      <c r="S674" s="3">
        <f>IF(B674="","",IF(R674&gt;=5,"A+",IF(R674&gt;=4,"A",IF(R674&gt;=3.5,"A-",IF(R674&gt;=3,"B",IF(R674&gt;=2,"C",IF(R674&gt;=1,"D","F")))))))</f>
        <v/>
      </c>
      <c r="T674" s="3">
        <f>IF(OR(B674="",S674="F"),"",COUNTIFS(P:P,"&gt;"&amp;P674,S:S,"&lt;&gt;F")+1)</f>
        <v/>
      </c>
      <c r="U674">
        <f>IF(B674="","",IF(C674&lt;33.0,0,IF(C674&gt;=100*0.8,5,IF(C674&gt;=100*0.7,4,IF(C674&gt;=100*0.6,3.5,IF(C674&gt;=100*0.5,3,IF(C674&gt;=100*0.4,2,IF(C674&gt;=100*0.33,1,0))))))))</f>
        <v/>
      </c>
      <c r="V674">
        <f>IF(B674="","",IF(D674&lt;33.0,0,IF(D674&gt;=100*0.8,5,IF(D674&gt;=100*0.7,4,IF(D674&gt;=100*0.6,3.5,IF(D674&gt;=100*0.5,3,IF(D674&gt;=100*0.4,2,IF(D674&gt;=100*0.33,1,0))))))))</f>
        <v/>
      </c>
      <c r="W674">
        <f>IF(B674="","",IF(E674&lt;16.5,0,IF(E674&gt;=50*0.8,5,IF(E674&gt;=50*0.7,4,IF(E674&gt;=50*0.6,3.5,IF(E674&gt;=50*0.5,3,IF(E674&gt;=50*0.4,2,IF(E674&gt;=50*0.33,1,0))))))))</f>
        <v/>
      </c>
      <c r="X674">
        <f>IF(B674="","",IF(F674&lt;33.0,0,IF(F674&gt;=100*0.8,5,IF(F674&gt;=100*0.7,4,IF(F674&gt;=100*0.6,3.5,IF(F674&gt;=100*0.5,3,IF(F674&gt;=100*0.4,2,IF(F674&gt;=100*0.33,1,0))))))))</f>
        <v/>
      </c>
      <c r="Y674">
        <f>IF(B674="","",IF(G674&lt;16.5,0,IF(G674&gt;=50*0.8,5,IF(G674&gt;=50*0.7,4,IF(G674&gt;=50*0.6,3.5,IF(G674&gt;=50*0.5,3,IF(G674&gt;=50*0.4,2,IF(G674&gt;=50*0.33,1,0))))))))</f>
        <v/>
      </c>
      <c r="Z674">
        <f>IF(B674="","",IF(H674&lt;33.0,0,IF(H674&gt;=100*0.8,5,IF(H674&gt;=100*0.7,4,IF(H674&gt;=100*0.6,3.5,IF(H674&gt;=100*0.5,3,IF(H674&gt;=100*0.4,2,IF(H674&gt;=100*0.33,1,0))))))))</f>
        <v/>
      </c>
      <c r="AA674">
        <f>IF(B674="","",IF(I674&lt;33.0,0,IF(I674&gt;=100*0.8,5,IF(I674&gt;=100*0.7,4,IF(I674&gt;=100*0.6,3.5,IF(I674&gt;=100*0.5,3,IF(I674&gt;=100*0.4,2,IF(I674&gt;=100*0.33,1,0))))))))</f>
        <v/>
      </c>
      <c r="AB674">
        <f>IF(B674="","",IF(J674&lt;33.0,0,IF(J674&gt;=100*0.8,5,IF(J674&gt;=100*0.7,4,IF(J674&gt;=100*0.6,3.5,IF(J674&gt;=100*0.5,3,IF(J674&gt;=100*0.4,2,IF(J674&gt;=100*0.33,1,0))))))))</f>
        <v/>
      </c>
      <c r="AC674">
        <f>IF(B674="","",IF(K674&lt;33.0,0,IF(K674&gt;=100*0.8,5,IF(K674&gt;=100*0.7,4,IF(K674&gt;=100*0.6,3.5,IF(K674&gt;=100*0.5,3,IF(K674&gt;=100*0.4,2,IF(K674&gt;=100*0.33,1,0))))))))</f>
        <v/>
      </c>
      <c r="AD674">
        <f>IF(B674="","",IF(L674&lt;33.0,0,IF(L674&gt;=100*0.8,5,IF(L674&gt;=100*0.7,4,IF(L674&gt;=100*0.6,3.5,IF(L674&gt;=100*0.5,3,IF(L674&gt;=100*0.4,2,IF(L674&gt;=100*0.33,1,0))))))))</f>
        <v/>
      </c>
      <c r="AE674">
        <f>IF(B674="","",IF(M674&lt;33.0,0,IF(M674&gt;=100*0.8,5,IF(M674&gt;=100*0.7,4,IF(M674&gt;=100*0.6,3.5,IF(M674&gt;=100*0.5,3,IF(M674&gt;=100*0.4,2,IF(M674&gt;=100*0.33,1,0))))))))</f>
        <v/>
      </c>
      <c r="AF674">
        <f>IF(B674="","",IF(N674&lt;16.5,0,IF(N674&gt;=50*0.8,5,IF(N674&gt;=50*0.7,4,IF(N674&gt;=50*0.6,3.5,IF(N674&gt;=50*0.5,3,IF(N674&gt;=50*0.4,2,IF(N674&gt;=50*0.33,1,0))))))))</f>
        <v/>
      </c>
      <c r="AG674">
        <f>IF(B674="","",IF(O674&lt;33.0,0,IF(O674&gt;=100*0.8,5,IF(O674&gt;=100*0.7,4,IF(O674&gt;=100*0.6,3.5,IF(O674&gt;=100*0.5,3,IF(O674&gt;=100*0.4,2,IF(O674&gt;=100*0.33,1,0))))))))</f>
        <v/>
      </c>
      <c r="AH674">
        <f>IF(B674="","",IF(OR(U674=0,V674=0,W674=0,X674=0,Y674=0,Z674=0,AA674=0,AB674=0,AC674=0,AD674=0,AE674=0,AF674=0,AG674=0),1,0))</f>
        <v/>
      </c>
    </row>
    <row r="675">
      <c r="A675" s="3">
        <f>IF(B675="","",ROW()-2)</f>
        <v/>
      </c>
      <c r="P675" s="4">
        <f>IF(B675="","",SUM(C675:O675))</f>
        <v/>
      </c>
      <c r="Q675" s="5">
        <f>IF(B675="","",ROUND(P675/13,2))</f>
        <v/>
      </c>
      <c r="R675" s="5">
        <f>IF(B675="","",IF(AH675=1,0,MIN(5,ROUND((U675+V675+W675+X675+Y675+Z675+AA675+AB675+AC675+AD675+AE675+AF675+AG675)/13,2))))</f>
        <v/>
      </c>
      <c r="S675" s="3">
        <f>IF(B675="","",IF(R675&gt;=5,"A+",IF(R675&gt;=4,"A",IF(R675&gt;=3.5,"A-",IF(R675&gt;=3,"B",IF(R675&gt;=2,"C",IF(R675&gt;=1,"D","F")))))))</f>
        <v/>
      </c>
      <c r="T675" s="3">
        <f>IF(OR(B675="",S675="F"),"",COUNTIFS(P:P,"&gt;"&amp;P675,S:S,"&lt;&gt;F")+1)</f>
        <v/>
      </c>
      <c r="U675">
        <f>IF(B675="","",IF(C675&lt;33.0,0,IF(C675&gt;=100*0.8,5,IF(C675&gt;=100*0.7,4,IF(C675&gt;=100*0.6,3.5,IF(C675&gt;=100*0.5,3,IF(C675&gt;=100*0.4,2,IF(C675&gt;=100*0.33,1,0))))))))</f>
        <v/>
      </c>
      <c r="V675">
        <f>IF(B675="","",IF(D675&lt;33.0,0,IF(D675&gt;=100*0.8,5,IF(D675&gt;=100*0.7,4,IF(D675&gt;=100*0.6,3.5,IF(D675&gt;=100*0.5,3,IF(D675&gt;=100*0.4,2,IF(D675&gt;=100*0.33,1,0))))))))</f>
        <v/>
      </c>
      <c r="W675">
        <f>IF(B675="","",IF(E675&lt;16.5,0,IF(E675&gt;=50*0.8,5,IF(E675&gt;=50*0.7,4,IF(E675&gt;=50*0.6,3.5,IF(E675&gt;=50*0.5,3,IF(E675&gt;=50*0.4,2,IF(E675&gt;=50*0.33,1,0))))))))</f>
        <v/>
      </c>
      <c r="X675">
        <f>IF(B675="","",IF(F675&lt;33.0,0,IF(F675&gt;=100*0.8,5,IF(F675&gt;=100*0.7,4,IF(F675&gt;=100*0.6,3.5,IF(F675&gt;=100*0.5,3,IF(F675&gt;=100*0.4,2,IF(F675&gt;=100*0.33,1,0))))))))</f>
        <v/>
      </c>
      <c r="Y675">
        <f>IF(B675="","",IF(G675&lt;16.5,0,IF(G675&gt;=50*0.8,5,IF(G675&gt;=50*0.7,4,IF(G675&gt;=50*0.6,3.5,IF(G675&gt;=50*0.5,3,IF(G675&gt;=50*0.4,2,IF(G675&gt;=50*0.33,1,0))))))))</f>
        <v/>
      </c>
      <c r="Z675">
        <f>IF(B675="","",IF(H675&lt;33.0,0,IF(H675&gt;=100*0.8,5,IF(H675&gt;=100*0.7,4,IF(H675&gt;=100*0.6,3.5,IF(H675&gt;=100*0.5,3,IF(H675&gt;=100*0.4,2,IF(H675&gt;=100*0.33,1,0))))))))</f>
        <v/>
      </c>
      <c r="AA675">
        <f>IF(B675="","",IF(I675&lt;33.0,0,IF(I675&gt;=100*0.8,5,IF(I675&gt;=100*0.7,4,IF(I675&gt;=100*0.6,3.5,IF(I675&gt;=100*0.5,3,IF(I675&gt;=100*0.4,2,IF(I675&gt;=100*0.33,1,0))))))))</f>
        <v/>
      </c>
      <c r="AB675">
        <f>IF(B675="","",IF(J675&lt;33.0,0,IF(J675&gt;=100*0.8,5,IF(J675&gt;=100*0.7,4,IF(J675&gt;=100*0.6,3.5,IF(J675&gt;=100*0.5,3,IF(J675&gt;=100*0.4,2,IF(J675&gt;=100*0.33,1,0))))))))</f>
        <v/>
      </c>
      <c r="AC675">
        <f>IF(B675="","",IF(K675&lt;33.0,0,IF(K675&gt;=100*0.8,5,IF(K675&gt;=100*0.7,4,IF(K675&gt;=100*0.6,3.5,IF(K675&gt;=100*0.5,3,IF(K675&gt;=100*0.4,2,IF(K675&gt;=100*0.33,1,0))))))))</f>
        <v/>
      </c>
      <c r="AD675">
        <f>IF(B675="","",IF(L675&lt;33.0,0,IF(L675&gt;=100*0.8,5,IF(L675&gt;=100*0.7,4,IF(L675&gt;=100*0.6,3.5,IF(L675&gt;=100*0.5,3,IF(L675&gt;=100*0.4,2,IF(L675&gt;=100*0.33,1,0))))))))</f>
        <v/>
      </c>
      <c r="AE675">
        <f>IF(B675="","",IF(M675&lt;33.0,0,IF(M675&gt;=100*0.8,5,IF(M675&gt;=100*0.7,4,IF(M675&gt;=100*0.6,3.5,IF(M675&gt;=100*0.5,3,IF(M675&gt;=100*0.4,2,IF(M675&gt;=100*0.33,1,0))))))))</f>
        <v/>
      </c>
      <c r="AF675">
        <f>IF(B675="","",IF(N675&lt;16.5,0,IF(N675&gt;=50*0.8,5,IF(N675&gt;=50*0.7,4,IF(N675&gt;=50*0.6,3.5,IF(N675&gt;=50*0.5,3,IF(N675&gt;=50*0.4,2,IF(N675&gt;=50*0.33,1,0))))))))</f>
        <v/>
      </c>
      <c r="AG675">
        <f>IF(B675="","",IF(O675&lt;33.0,0,IF(O675&gt;=100*0.8,5,IF(O675&gt;=100*0.7,4,IF(O675&gt;=100*0.6,3.5,IF(O675&gt;=100*0.5,3,IF(O675&gt;=100*0.4,2,IF(O675&gt;=100*0.33,1,0))))))))</f>
        <v/>
      </c>
      <c r="AH675">
        <f>IF(B675="","",IF(OR(U675=0,V675=0,W675=0,X675=0,Y675=0,Z675=0,AA675=0,AB675=0,AC675=0,AD675=0,AE675=0,AF675=0,AG675=0),1,0))</f>
        <v/>
      </c>
    </row>
    <row r="676">
      <c r="A676" s="3">
        <f>IF(B676="","",ROW()-2)</f>
        <v/>
      </c>
      <c r="P676" s="4">
        <f>IF(B676="","",SUM(C676:O676))</f>
        <v/>
      </c>
      <c r="Q676" s="5">
        <f>IF(B676="","",ROUND(P676/13,2))</f>
        <v/>
      </c>
      <c r="R676" s="5">
        <f>IF(B676="","",IF(AH676=1,0,MIN(5,ROUND((U676+V676+W676+X676+Y676+Z676+AA676+AB676+AC676+AD676+AE676+AF676+AG676)/13,2))))</f>
        <v/>
      </c>
      <c r="S676" s="3">
        <f>IF(B676="","",IF(R676&gt;=5,"A+",IF(R676&gt;=4,"A",IF(R676&gt;=3.5,"A-",IF(R676&gt;=3,"B",IF(R676&gt;=2,"C",IF(R676&gt;=1,"D","F")))))))</f>
        <v/>
      </c>
      <c r="T676" s="3">
        <f>IF(OR(B676="",S676="F"),"",COUNTIFS(P:P,"&gt;"&amp;P676,S:S,"&lt;&gt;F")+1)</f>
        <v/>
      </c>
      <c r="U676">
        <f>IF(B676="","",IF(C676&lt;33.0,0,IF(C676&gt;=100*0.8,5,IF(C676&gt;=100*0.7,4,IF(C676&gt;=100*0.6,3.5,IF(C676&gt;=100*0.5,3,IF(C676&gt;=100*0.4,2,IF(C676&gt;=100*0.33,1,0))))))))</f>
        <v/>
      </c>
      <c r="V676">
        <f>IF(B676="","",IF(D676&lt;33.0,0,IF(D676&gt;=100*0.8,5,IF(D676&gt;=100*0.7,4,IF(D676&gt;=100*0.6,3.5,IF(D676&gt;=100*0.5,3,IF(D676&gt;=100*0.4,2,IF(D676&gt;=100*0.33,1,0))))))))</f>
        <v/>
      </c>
      <c r="W676">
        <f>IF(B676="","",IF(E676&lt;16.5,0,IF(E676&gt;=50*0.8,5,IF(E676&gt;=50*0.7,4,IF(E676&gt;=50*0.6,3.5,IF(E676&gt;=50*0.5,3,IF(E676&gt;=50*0.4,2,IF(E676&gt;=50*0.33,1,0))))))))</f>
        <v/>
      </c>
      <c r="X676">
        <f>IF(B676="","",IF(F676&lt;33.0,0,IF(F676&gt;=100*0.8,5,IF(F676&gt;=100*0.7,4,IF(F676&gt;=100*0.6,3.5,IF(F676&gt;=100*0.5,3,IF(F676&gt;=100*0.4,2,IF(F676&gt;=100*0.33,1,0))))))))</f>
        <v/>
      </c>
      <c r="Y676">
        <f>IF(B676="","",IF(G676&lt;16.5,0,IF(G676&gt;=50*0.8,5,IF(G676&gt;=50*0.7,4,IF(G676&gt;=50*0.6,3.5,IF(G676&gt;=50*0.5,3,IF(G676&gt;=50*0.4,2,IF(G676&gt;=50*0.33,1,0))))))))</f>
        <v/>
      </c>
      <c r="Z676">
        <f>IF(B676="","",IF(H676&lt;33.0,0,IF(H676&gt;=100*0.8,5,IF(H676&gt;=100*0.7,4,IF(H676&gt;=100*0.6,3.5,IF(H676&gt;=100*0.5,3,IF(H676&gt;=100*0.4,2,IF(H676&gt;=100*0.33,1,0))))))))</f>
        <v/>
      </c>
      <c r="AA676">
        <f>IF(B676="","",IF(I676&lt;33.0,0,IF(I676&gt;=100*0.8,5,IF(I676&gt;=100*0.7,4,IF(I676&gt;=100*0.6,3.5,IF(I676&gt;=100*0.5,3,IF(I676&gt;=100*0.4,2,IF(I676&gt;=100*0.33,1,0))))))))</f>
        <v/>
      </c>
      <c r="AB676">
        <f>IF(B676="","",IF(J676&lt;33.0,0,IF(J676&gt;=100*0.8,5,IF(J676&gt;=100*0.7,4,IF(J676&gt;=100*0.6,3.5,IF(J676&gt;=100*0.5,3,IF(J676&gt;=100*0.4,2,IF(J676&gt;=100*0.33,1,0))))))))</f>
        <v/>
      </c>
      <c r="AC676">
        <f>IF(B676="","",IF(K676&lt;33.0,0,IF(K676&gt;=100*0.8,5,IF(K676&gt;=100*0.7,4,IF(K676&gt;=100*0.6,3.5,IF(K676&gt;=100*0.5,3,IF(K676&gt;=100*0.4,2,IF(K676&gt;=100*0.33,1,0))))))))</f>
        <v/>
      </c>
      <c r="AD676">
        <f>IF(B676="","",IF(L676&lt;33.0,0,IF(L676&gt;=100*0.8,5,IF(L676&gt;=100*0.7,4,IF(L676&gt;=100*0.6,3.5,IF(L676&gt;=100*0.5,3,IF(L676&gt;=100*0.4,2,IF(L676&gt;=100*0.33,1,0))))))))</f>
        <v/>
      </c>
      <c r="AE676">
        <f>IF(B676="","",IF(M676&lt;33.0,0,IF(M676&gt;=100*0.8,5,IF(M676&gt;=100*0.7,4,IF(M676&gt;=100*0.6,3.5,IF(M676&gt;=100*0.5,3,IF(M676&gt;=100*0.4,2,IF(M676&gt;=100*0.33,1,0))))))))</f>
        <v/>
      </c>
      <c r="AF676">
        <f>IF(B676="","",IF(N676&lt;16.5,0,IF(N676&gt;=50*0.8,5,IF(N676&gt;=50*0.7,4,IF(N676&gt;=50*0.6,3.5,IF(N676&gt;=50*0.5,3,IF(N676&gt;=50*0.4,2,IF(N676&gt;=50*0.33,1,0))))))))</f>
        <v/>
      </c>
      <c r="AG676">
        <f>IF(B676="","",IF(O676&lt;33.0,0,IF(O676&gt;=100*0.8,5,IF(O676&gt;=100*0.7,4,IF(O676&gt;=100*0.6,3.5,IF(O676&gt;=100*0.5,3,IF(O676&gt;=100*0.4,2,IF(O676&gt;=100*0.33,1,0))))))))</f>
        <v/>
      </c>
      <c r="AH676">
        <f>IF(B676="","",IF(OR(U676=0,V676=0,W676=0,X676=0,Y676=0,Z676=0,AA676=0,AB676=0,AC676=0,AD676=0,AE676=0,AF676=0,AG676=0),1,0))</f>
        <v/>
      </c>
    </row>
    <row r="677">
      <c r="A677" s="3">
        <f>IF(B677="","",ROW()-2)</f>
        <v/>
      </c>
      <c r="P677" s="4">
        <f>IF(B677="","",SUM(C677:O677))</f>
        <v/>
      </c>
      <c r="Q677" s="5">
        <f>IF(B677="","",ROUND(P677/13,2))</f>
        <v/>
      </c>
      <c r="R677" s="5">
        <f>IF(B677="","",IF(AH677=1,0,MIN(5,ROUND((U677+V677+W677+X677+Y677+Z677+AA677+AB677+AC677+AD677+AE677+AF677+AG677)/13,2))))</f>
        <v/>
      </c>
      <c r="S677" s="3">
        <f>IF(B677="","",IF(R677&gt;=5,"A+",IF(R677&gt;=4,"A",IF(R677&gt;=3.5,"A-",IF(R677&gt;=3,"B",IF(R677&gt;=2,"C",IF(R677&gt;=1,"D","F")))))))</f>
        <v/>
      </c>
      <c r="T677" s="3">
        <f>IF(OR(B677="",S677="F"),"",COUNTIFS(P:P,"&gt;"&amp;P677,S:S,"&lt;&gt;F")+1)</f>
        <v/>
      </c>
      <c r="U677">
        <f>IF(B677="","",IF(C677&lt;33.0,0,IF(C677&gt;=100*0.8,5,IF(C677&gt;=100*0.7,4,IF(C677&gt;=100*0.6,3.5,IF(C677&gt;=100*0.5,3,IF(C677&gt;=100*0.4,2,IF(C677&gt;=100*0.33,1,0))))))))</f>
        <v/>
      </c>
      <c r="V677">
        <f>IF(B677="","",IF(D677&lt;33.0,0,IF(D677&gt;=100*0.8,5,IF(D677&gt;=100*0.7,4,IF(D677&gt;=100*0.6,3.5,IF(D677&gt;=100*0.5,3,IF(D677&gt;=100*0.4,2,IF(D677&gt;=100*0.33,1,0))))))))</f>
        <v/>
      </c>
      <c r="W677">
        <f>IF(B677="","",IF(E677&lt;16.5,0,IF(E677&gt;=50*0.8,5,IF(E677&gt;=50*0.7,4,IF(E677&gt;=50*0.6,3.5,IF(E677&gt;=50*0.5,3,IF(E677&gt;=50*0.4,2,IF(E677&gt;=50*0.33,1,0))))))))</f>
        <v/>
      </c>
      <c r="X677">
        <f>IF(B677="","",IF(F677&lt;33.0,0,IF(F677&gt;=100*0.8,5,IF(F677&gt;=100*0.7,4,IF(F677&gt;=100*0.6,3.5,IF(F677&gt;=100*0.5,3,IF(F677&gt;=100*0.4,2,IF(F677&gt;=100*0.33,1,0))))))))</f>
        <v/>
      </c>
      <c r="Y677">
        <f>IF(B677="","",IF(G677&lt;16.5,0,IF(G677&gt;=50*0.8,5,IF(G677&gt;=50*0.7,4,IF(G677&gt;=50*0.6,3.5,IF(G677&gt;=50*0.5,3,IF(G677&gt;=50*0.4,2,IF(G677&gt;=50*0.33,1,0))))))))</f>
        <v/>
      </c>
      <c r="Z677">
        <f>IF(B677="","",IF(H677&lt;33.0,0,IF(H677&gt;=100*0.8,5,IF(H677&gt;=100*0.7,4,IF(H677&gt;=100*0.6,3.5,IF(H677&gt;=100*0.5,3,IF(H677&gt;=100*0.4,2,IF(H677&gt;=100*0.33,1,0))))))))</f>
        <v/>
      </c>
      <c r="AA677">
        <f>IF(B677="","",IF(I677&lt;33.0,0,IF(I677&gt;=100*0.8,5,IF(I677&gt;=100*0.7,4,IF(I677&gt;=100*0.6,3.5,IF(I677&gt;=100*0.5,3,IF(I677&gt;=100*0.4,2,IF(I677&gt;=100*0.33,1,0))))))))</f>
        <v/>
      </c>
      <c r="AB677">
        <f>IF(B677="","",IF(J677&lt;33.0,0,IF(J677&gt;=100*0.8,5,IF(J677&gt;=100*0.7,4,IF(J677&gt;=100*0.6,3.5,IF(J677&gt;=100*0.5,3,IF(J677&gt;=100*0.4,2,IF(J677&gt;=100*0.33,1,0))))))))</f>
        <v/>
      </c>
      <c r="AC677">
        <f>IF(B677="","",IF(K677&lt;33.0,0,IF(K677&gt;=100*0.8,5,IF(K677&gt;=100*0.7,4,IF(K677&gt;=100*0.6,3.5,IF(K677&gt;=100*0.5,3,IF(K677&gt;=100*0.4,2,IF(K677&gt;=100*0.33,1,0))))))))</f>
        <v/>
      </c>
      <c r="AD677">
        <f>IF(B677="","",IF(L677&lt;33.0,0,IF(L677&gt;=100*0.8,5,IF(L677&gt;=100*0.7,4,IF(L677&gt;=100*0.6,3.5,IF(L677&gt;=100*0.5,3,IF(L677&gt;=100*0.4,2,IF(L677&gt;=100*0.33,1,0))))))))</f>
        <v/>
      </c>
      <c r="AE677">
        <f>IF(B677="","",IF(M677&lt;33.0,0,IF(M677&gt;=100*0.8,5,IF(M677&gt;=100*0.7,4,IF(M677&gt;=100*0.6,3.5,IF(M677&gt;=100*0.5,3,IF(M677&gt;=100*0.4,2,IF(M677&gt;=100*0.33,1,0))))))))</f>
        <v/>
      </c>
      <c r="AF677">
        <f>IF(B677="","",IF(N677&lt;16.5,0,IF(N677&gt;=50*0.8,5,IF(N677&gt;=50*0.7,4,IF(N677&gt;=50*0.6,3.5,IF(N677&gt;=50*0.5,3,IF(N677&gt;=50*0.4,2,IF(N677&gt;=50*0.33,1,0))))))))</f>
        <v/>
      </c>
      <c r="AG677">
        <f>IF(B677="","",IF(O677&lt;33.0,0,IF(O677&gt;=100*0.8,5,IF(O677&gt;=100*0.7,4,IF(O677&gt;=100*0.6,3.5,IF(O677&gt;=100*0.5,3,IF(O677&gt;=100*0.4,2,IF(O677&gt;=100*0.33,1,0))))))))</f>
        <v/>
      </c>
      <c r="AH677">
        <f>IF(B677="","",IF(OR(U677=0,V677=0,W677=0,X677=0,Y677=0,Z677=0,AA677=0,AB677=0,AC677=0,AD677=0,AE677=0,AF677=0,AG677=0),1,0))</f>
        <v/>
      </c>
    </row>
    <row r="678">
      <c r="A678" s="3">
        <f>IF(B678="","",ROW()-2)</f>
        <v/>
      </c>
      <c r="P678" s="4">
        <f>IF(B678="","",SUM(C678:O678))</f>
        <v/>
      </c>
      <c r="Q678" s="5">
        <f>IF(B678="","",ROUND(P678/13,2))</f>
        <v/>
      </c>
      <c r="R678" s="5">
        <f>IF(B678="","",IF(AH678=1,0,MIN(5,ROUND((U678+V678+W678+X678+Y678+Z678+AA678+AB678+AC678+AD678+AE678+AF678+AG678)/13,2))))</f>
        <v/>
      </c>
      <c r="S678" s="3">
        <f>IF(B678="","",IF(R678&gt;=5,"A+",IF(R678&gt;=4,"A",IF(R678&gt;=3.5,"A-",IF(R678&gt;=3,"B",IF(R678&gt;=2,"C",IF(R678&gt;=1,"D","F")))))))</f>
        <v/>
      </c>
      <c r="T678" s="3">
        <f>IF(OR(B678="",S678="F"),"",COUNTIFS(P:P,"&gt;"&amp;P678,S:S,"&lt;&gt;F")+1)</f>
        <v/>
      </c>
      <c r="U678">
        <f>IF(B678="","",IF(C678&lt;33.0,0,IF(C678&gt;=100*0.8,5,IF(C678&gt;=100*0.7,4,IF(C678&gt;=100*0.6,3.5,IF(C678&gt;=100*0.5,3,IF(C678&gt;=100*0.4,2,IF(C678&gt;=100*0.33,1,0))))))))</f>
        <v/>
      </c>
      <c r="V678">
        <f>IF(B678="","",IF(D678&lt;33.0,0,IF(D678&gt;=100*0.8,5,IF(D678&gt;=100*0.7,4,IF(D678&gt;=100*0.6,3.5,IF(D678&gt;=100*0.5,3,IF(D678&gt;=100*0.4,2,IF(D678&gt;=100*0.33,1,0))))))))</f>
        <v/>
      </c>
      <c r="W678">
        <f>IF(B678="","",IF(E678&lt;16.5,0,IF(E678&gt;=50*0.8,5,IF(E678&gt;=50*0.7,4,IF(E678&gt;=50*0.6,3.5,IF(E678&gt;=50*0.5,3,IF(E678&gt;=50*0.4,2,IF(E678&gt;=50*0.33,1,0))))))))</f>
        <v/>
      </c>
      <c r="X678">
        <f>IF(B678="","",IF(F678&lt;33.0,0,IF(F678&gt;=100*0.8,5,IF(F678&gt;=100*0.7,4,IF(F678&gt;=100*0.6,3.5,IF(F678&gt;=100*0.5,3,IF(F678&gt;=100*0.4,2,IF(F678&gt;=100*0.33,1,0))))))))</f>
        <v/>
      </c>
      <c r="Y678">
        <f>IF(B678="","",IF(G678&lt;16.5,0,IF(G678&gt;=50*0.8,5,IF(G678&gt;=50*0.7,4,IF(G678&gt;=50*0.6,3.5,IF(G678&gt;=50*0.5,3,IF(G678&gt;=50*0.4,2,IF(G678&gt;=50*0.33,1,0))))))))</f>
        <v/>
      </c>
      <c r="Z678">
        <f>IF(B678="","",IF(H678&lt;33.0,0,IF(H678&gt;=100*0.8,5,IF(H678&gt;=100*0.7,4,IF(H678&gt;=100*0.6,3.5,IF(H678&gt;=100*0.5,3,IF(H678&gt;=100*0.4,2,IF(H678&gt;=100*0.33,1,0))))))))</f>
        <v/>
      </c>
      <c r="AA678">
        <f>IF(B678="","",IF(I678&lt;33.0,0,IF(I678&gt;=100*0.8,5,IF(I678&gt;=100*0.7,4,IF(I678&gt;=100*0.6,3.5,IF(I678&gt;=100*0.5,3,IF(I678&gt;=100*0.4,2,IF(I678&gt;=100*0.33,1,0))))))))</f>
        <v/>
      </c>
      <c r="AB678">
        <f>IF(B678="","",IF(J678&lt;33.0,0,IF(J678&gt;=100*0.8,5,IF(J678&gt;=100*0.7,4,IF(J678&gt;=100*0.6,3.5,IF(J678&gt;=100*0.5,3,IF(J678&gt;=100*0.4,2,IF(J678&gt;=100*0.33,1,0))))))))</f>
        <v/>
      </c>
      <c r="AC678">
        <f>IF(B678="","",IF(K678&lt;33.0,0,IF(K678&gt;=100*0.8,5,IF(K678&gt;=100*0.7,4,IF(K678&gt;=100*0.6,3.5,IF(K678&gt;=100*0.5,3,IF(K678&gt;=100*0.4,2,IF(K678&gt;=100*0.33,1,0))))))))</f>
        <v/>
      </c>
      <c r="AD678">
        <f>IF(B678="","",IF(L678&lt;33.0,0,IF(L678&gt;=100*0.8,5,IF(L678&gt;=100*0.7,4,IF(L678&gt;=100*0.6,3.5,IF(L678&gt;=100*0.5,3,IF(L678&gt;=100*0.4,2,IF(L678&gt;=100*0.33,1,0))))))))</f>
        <v/>
      </c>
      <c r="AE678">
        <f>IF(B678="","",IF(M678&lt;33.0,0,IF(M678&gt;=100*0.8,5,IF(M678&gt;=100*0.7,4,IF(M678&gt;=100*0.6,3.5,IF(M678&gt;=100*0.5,3,IF(M678&gt;=100*0.4,2,IF(M678&gt;=100*0.33,1,0))))))))</f>
        <v/>
      </c>
      <c r="AF678">
        <f>IF(B678="","",IF(N678&lt;16.5,0,IF(N678&gt;=50*0.8,5,IF(N678&gt;=50*0.7,4,IF(N678&gt;=50*0.6,3.5,IF(N678&gt;=50*0.5,3,IF(N678&gt;=50*0.4,2,IF(N678&gt;=50*0.33,1,0))))))))</f>
        <v/>
      </c>
      <c r="AG678">
        <f>IF(B678="","",IF(O678&lt;33.0,0,IF(O678&gt;=100*0.8,5,IF(O678&gt;=100*0.7,4,IF(O678&gt;=100*0.6,3.5,IF(O678&gt;=100*0.5,3,IF(O678&gt;=100*0.4,2,IF(O678&gt;=100*0.33,1,0))))))))</f>
        <v/>
      </c>
      <c r="AH678">
        <f>IF(B678="","",IF(OR(U678=0,V678=0,W678=0,X678=0,Y678=0,Z678=0,AA678=0,AB678=0,AC678=0,AD678=0,AE678=0,AF678=0,AG678=0),1,0))</f>
        <v/>
      </c>
    </row>
    <row r="679">
      <c r="A679" s="3">
        <f>IF(B679="","",ROW()-2)</f>
        <v/>
      </c>
      <c r="P679" s="4">
        <f>IF(B679="","",SUM(C679:O679))</f>
        <v/>
      </c>
      <c r="Q679" s="5">
        <f>IF(B679="","",ROUND(P679/13,2))</f>
        <v/>
      </c>
      <c r="R679" s="5">
        <f>IF(B679="","",IF(AH679=1,0,MIN(5,ROUND((U679+V679+W679+X679+Y679+Z679+AA679+AB679+AC679+AD679+AE679+AF679+AG679)/13,2))))</f>
        <v/>
      </c>
      <c r="S679" s="3">
        <f>IF(B679="","",IF(R679&gt;=5,"A+",IF(R679&gt;=4,"A",IF(R679&gt;=3.5,"A-",IF(R679&gt;=3,"B",IF(R679&gt;=2,"C",IF(R679&gt;=1,"D","F")))))))</f>
        <v/>
      </c>
      <c r="T679" s="3">
        <f>IF(OR(B679="",S679="F"),"",COUNTIFS(P:P,"&gt;"&amp;P679,S:S,"&lt;&gt;F")+1)</f>
        <v/>
      </c>
      <c r="U679">
        <f>IF(B679="","",IF(C679&lt;33.0,0,IF(C679&gt;=100*0.8,5,IF(C679&gt;=100*0.7,4,IF(C679&gt;=100*0.6,3.5,IF(C679&gt;=100*0.5,3,IF(C679&gt;=100*0.4,2,IF(C679&gt;=100*0.33,1,0))))))))</f>
        <v/>
      </c>
      <c r="V679">
        <f>IF(B679="","",IF(D679&lt;33.0,0,IF(D679&gt;=100*0.8,5,IF(D679&gt;=100*0.7,4,IF(D679&gt;=100*0.6,3.5,IF(D679&gt;=100*0.5,3,IF(D679&gt;=100*0.4,2,IF(D679&gt;=100*0.33,1,0))))))))</f>
        <v/>
      </c>
      <c r="W679">
        <f>IF(B679="","",IF(E679&lt;16.5,0,IF(E679&gt;=50*0.8,5,IF(E679&gt;=50*0.7,4,IF(E679&gt;=50*0.6,3.5,IF(E679&gt;=50*0.5,3,IF(E679&gt;=50*0.4,2,IF(E679&gt;=50*0.33,1,0))))))))</f>
        <v/>
      </c>
      <c r="X679">
        <f>IF(B679="","",IF(F679&lt;33.0,0,IF(F679&gt;=100*0.8,5,IF(F679&gt;=100*0.7,4,IF(F679&gt;=100*0.6,3.5,IF(F679&gt;=100*0.5,3,IF(F679&gt;=100*0.4,2,IF(F679&gt;=100*0.33,1,0))))))))</f>
        <v/>
      </c>
      <c r="Y679">
        <f>IF(B679="","",IF(G679&lt;16.5,0,IF(G679&gt;=50*0.8,5,IF(G679&gt;=50*0.7,4,IF(G679&gt;=50*0.6,3.5,IF(G679&gt;=50*0.5,3,IF(G679&gt;=50*0.4,2,IF(G679&gt;=50*0.33,1,0))))))))</f>
        <v/>
      </c>
      <c r="Z679">
        <f>IF(B679="","",IF(H679&lt;33.0,0,IF(H679&gt;=100*0.8,5,IF(H679&gt;=100*0.7,4,IF(H679&gt;=100*0.6,3.5,IF(H679&gt;=100*0.5,3,IF(H679&gt;=100*0.4,2,IF(H679&gt;=100*0.33,1,0))))))))</f>
        <v/>
      </c>
      <c r="AA679">
        <f>IF(B679="","",IF(I679&lt;33.0,0,IF(I679&gt;=100*0.8,5,IF(I679&gt;=100*0.7,4,IF(I679&gt;=100*0.6,3.5,IF(I679&gt;=100*0.5,3,IF(I679&gt;=100*0.4,2,IF(I679&gt;=100*0.33,1,0))))))))</f>
        <v/>
      </c>
      <c r="AB679">
        <f>IF(B679="","",IF(J679&lt;33.0,0,IF(J679&gt;=100*0.8,5,IF(J679&gt;=100*0.7,4,IF(J679&gt;=100*0.6,3.5,IF(J679&gt;=100*0.5,3,IF(J679&gt;=100*0.4,2,IF(J679&gt;=100*0.33,1,0))))))))</f>
        <v/>
      </c>
      <c r="AC679">
        <f>IF(B679="","",IF(K679&lt;33.0,0,IF(K679&gt;=100*0.8,5,IF(K679&gt;=100*0.7,4,IF(K679&gt;=100*0.6,3.5,IF(K679&gt;=100*0.5,3,IF(K679&gt;=100*0.4,2,IF(K679&gt;=100*0.33,1,0))))))))</f>
        <v/>
      </c>
      <c r="AD679">
        <f>IF(B679="","",IF(L679&lt;33.0,0,IF(L679&gt;=100*0.8,5,IF(L679&gt;=100*0.7,4,IF(L679&gt;=100*0.6,3.5,IF(L679&gt;=100*0.5,3,IF(L679&gt;=100*0.4,2,IF(L679&gt;=100*0.33,1,0))))))))</f>
        <v/>
      </c>
      <c r="AE679">
        <f>IF(B679="","",IF(M679&lt;33.0,0,IF(M679&gt;=100*0.8,5,IF(M679&gt;=100*0.7,4,IF(M679&gt;=100*0.6,3.5,IF(M679&gt;=100*0.5,3,IF(M679&gt;=100*0.4,2,IF(M679&gt;=100*0.33,1,0))))))))</f>
        <v/>
      </c>
      <c r="AF679">
        <f>IF(B679="","",IF(N679&lt;16.5,0,IF(N679&gt;=50*0.8,5,IF(N679&gt;=50*0.7,4,IF(N679&gt;=50*0.6,3.5,IF(N679&gt;=50*0.5,3,IF(N679&gt;=50*0.4,2,IF(N679&gt;=50*0.33,1,0))))))))</f>
        <v/>
      </c>
      <c r="AG679">
        <f>IF(B679="","",IF(O679&lt;33.0,0,IF(O679&gt;=100*0.8,5,IF(O679&gt;=100*0.7,4,IF(O679&gt;=100*0.6,3.5,IF(O679&gt;=100*0.5,3,IF(O679&gt;=100*0.4,2,IF(O679&gt;=100*0.33,1,0))))))))</f>
        <v/>
      </c>
      <c r="AH679">
        <f>IF(B679="","",IF(OR(U679=0,V679=0,W679=0,X679=0,Y679=0,Z679=0,AA679=0,AB679=0,AC679=0,AD679=0,AE679=0,AF679=0,AG679=0),1,0))</f>
        <v/>
      </c>
    </row>
    <row r="680">
      <c r="A680" s="3">
        <f>IF(B680="","",ROW()-2)</f>
        <v/>
      </c>
      <c r="P680" s="4">
        <f>IF(B680="","",SUM(C680:O680))</f>
        <v/>
      </c>
      <c r="Q680" s="5">
        <f>IF(B680="","",ROUND(P680/13,2))</f>
        <v/>
      </c>
      <c r="R680" s="5">
        <f>IF(B680="","",IF(AH680=1,0,MIN(5,ROUND((U680+V680+W680+X680+Y680+Z680+AA680+AB680+AC680+AD680+AE680+AF680+AG680)/13,2))))</f>
        <v/>
      </c>
      <c r="S680" s="3">
        <f>IF(B680="","",IF(R680&gt;=5,"A+",IF(R680&gt;=4,"A",IF(R680&gt;=3.5,"A-",IF(R680&gt;=3,"B",IF(R680&gt;=2,"C",IF(R680&gt;=1,"D","F")))))))</f>
        <v/>
      </c>
      <c r="T680" s="3">
        <f>IF(OR(B680="",S680="F"),"",COUNTIFS(P:P,"&gt;"&amp;P680,S:S,"&lt;&gt;F")+1)</f>
        <v/>
      </c>
      <c r="U680">
        <f>IF(B680="","",IF(C680&lt;33.0,0,IF(C680&gt;=100*0.8,5,IF(C680&gt;=100*0.7,4,IF(C680&gt;=100*0.6,3.5,IF(C680&gt;=100*0.5,3,IF(C680&gt;=100*0.4,2,IF(C680&gt;=100*0.33,1,0))))))))</f>
        <v/>
      </c>
      <c r="V680">
        <f>IF(B680="","",IF(D680&lt;33.0,0,IF(D680&gt;=100*0.8,5,IF(D680&gt;=100*0.7,4,IF(D680&gt;=100*0.6,3.5,IF(D680&gt;=100*0.5,3,IF(D680&gt;=100*0.4,2,IF(D680&gt;=100*0.33,1,0))))))))</f>
        <v/>
      </c>
      <c r="W680">
        <f>IF(B680="","",IF(E680&lt;16.5,0,IF(E680&gt;=50*0.8,5,IF(E680&gt;=50*0.7,4,IF(E680&gt;=50*0.6,3.5,IF(E680&gt;=50*0.5,3,IF(E680&gt;=50*0.4,2,IF(E680&gt;=50*0.33,1,0))))))))</f>
        <v/>
      </c>
      <c r="X680">
        <f>IF(B680="","",IF(F680&lt;33.0,0,IF(F680&gt;=100*0.8,5,IF(F680&gt;=100*0.7,4,IF(F680&gt;=100*0.6,3.5,IF(F680&gt;=100*0.5,3,IF(F680&gt;=100*0.4,2,IF(F680&gt;=100*0.33,1,0))))))))</f>
        <v/>
      </c>
      <c r="Y680">
        <f>IF(B680="","",IF(G680&lt;16.5,0,IF(G680&gt;=50*0.8,5,IF(G680&gt;=50*0.7,4,IF(G680&gt;=50*0.6,3.5,IF(G680&gt;=50*0.5,3,IF(G680&gt;=50*0.4,2,IF(G680&gt;=50*0.33,1,0))))))))</f>
        <v/>
      </c>
      <c r="Z680">
        <f>IF(B680="","",IF(H680&lt;33.0,0,IF(H680&gt;=100*0.8,5,IF(H680&gt;=100*0.7,4,IF(H680&gt;=100*0.6,3.5,IF(H680&gt;=100*0.5,3,IF(H680&gt;=100*0.4,2,IF(H680&gt;=100*0.33,1,0))))))))</f>
        <v/>
      </c>
      <c r="AA680">
        <f>IF(B680="","",IF(I680&lt;33.0,0,IF(I680&gt;=100*0.8,5,IF(I680&gt;=100*0.7,4,IF(I680&gt;=100*0.6,3.5,IF(I680&gt;=100*0.5,3,IF(I680&gt;=100*0.4,2,IF(I680&gt;=100*0.33,1,0))))))))</f>
        <v/>
      </c>
      <c r="AB680">
        <f>IF(B680="","",IF(J680&lt;33.0,0,IF(J680&gt;=100*0.8,5,IF(J680&gt;=100*0.7,4,IF(J680&gt;=100*0.6,3.5,IF(J680&gt;=100*0.5,3,IF(J680&gt;=100*0.4,2,IF(J680&gt;=100*0.33,1,0))))))))</f>
        <v/>
      </c>
      <c r="AC680">
        <f>IF(B680="","",IF(K680&lt;33.0,0,IF(K680&gt;=100*0.8,5,IF(K680&gt;=100*0.7,4,IF(K680&gt;=100*0.6,3.5,IF(K680&gt;=100*0.5,3,IF(K680&gt;=100*0.4,2,IF(K680&gt;=100*0.33,1,0))))))))</f>
        <v/>
      </c>
      <c r="AD680">
        <f>IF(B680="","",IF(L680&lt;33.0,0,IF(L680&gt;=100*0.8,5,IF(L680&gt;=100*0.7,4,IF(L680&gt;=100*0.6,3.5,IF(L680&gt;=100*0.5,3,IF(L680&gt;=100*0.4,2,IF(L680&gt;=100*0.33,1,0))))))))</f>
        <v/>
      </c>
      <c r="AE680">
        <f>IF(B680="","",IF(M680&lt;33.0,0,IF(M680&gt;=100*0.8,5,IF(M680&gt;=100*0.7,4,IF(M680&gt;=100*0.6,3.5,IF(M680&gt;=100*0.5,3,IF(M680&gt;=100*0.4,2,IF(M680&gt;=100*0.33,1,0))))))))</f>
        <v/>
      </c>
      <c r="AF680">
        <f>IF(B680="","",IF(N680&lt;16.5,0,IF(N680&gt;=50*0.8,5,IF(N680&gt;=50*0.7,4,IF(N680&gt;=50*0.6,3.5,IF(N680&gt;=50*0.5,3,IF(N680&gt;=50*0.4,2,IF(N680&gt;=50*0.33,1,0))))))))</f>
        <v/>
      </c>
      <c r="AG680">
        <f>IF(B680="","",IF(O680&lt;33.0,0,IF(O680&gt;=100*0.8,5,IF(O680&gt;=100*0.7,4,IF(O680&gt;=100*0.6,3.5,IF(O680&gt;=100*0.5,3,IF(O680&gt;=100*0.4,2,IF(O680&gt;=100*0.33,1,0))))))))</f>
        <v/>
      </c>
      <c r="AH680">
        <f>IF(B680="","",IF(OR(U680=0,V680=0,W680=0,X680=0,Y680=0,Z680=0,AA680=0,AB680=0,AC680=0,AD680=0,AE680=0,AF680=0,AG680=0),1,0))</f>
        <v/>
      </c>
    </row>
    <row r="681">
      <c r="A681" s="3">
        <f>IF(B681="","",ROW()-2)</f>
        <v/>
      </c>
      <c r="P681" s="4">
        <f>IF(B681="","",SUM(C681:O681))</f>
        <v/>
      </c>
      <c r="Q681" s="5">
        <f>IF(B681="","",ROUND(P681/13,2))</f>
        <v/>
      </c>
      <c r="R681" s="5">
        <f>IF(B681="","",IF(AH681=1,0,MIN(5,ROUND((U681+V681+W681+X681+Y681+Z681+AA681+AB681+AC681+AD681+AE681+AF681+AG681)/13,2))))</f>
        <v/>
      </c>
      <c r="S681" s="3">
        <f>IF(B681="","",IF(R681&gt;=5,"A+",IF(R681&gt;=4,"A",IF(R681&gt;=3.5,"A-",IF(R681&gt;=3,"B",IF(R681&gt;=2,"C",IF(R681&gt;=1,"D","F")))))))</f>
        <v/>
      </c>
      <c r="T681" s="3">
        <f>IF(OR(B681="",S681="F"),"",COUNTIFS(P:P,"&gt;"&amp;P681,S:S,"&lt;&gt;F")+1)</f>
        <v/>
      </c>
      <c r="U681">
        <f>IF(B681="","",IF(C681&lt;33.0,0,IF(C681&gt;=100*0.8,5,IF(C681&gt;=100*0.7,4,IF(C681&gt;=100*0.6,3.5,IF(C681&gt;=100*0.5,3,IF(C681&gt;=100*0.4,2,IF(C681&gt;=100*0.33,1,0))))))))</f>
        <v/>
      </c>
      <c r="V681">
        <f>IF(B681="","",IF(D681&lt;33.0,0,IF(D681&gt;=100*0.8,5,IF(D681&gt;=100*0.7,4,IF(D681&gt;=100*0.6,3.5,IF(D681&gt;=100*0.5,3,IF(D681&gt;=100*0.4,2,IF(D681&gt;=100*0.33,1,0))))))))</f>
        <v/>
      </c>
      <c r="W681">
        <f>IF(B681="","",IF(E681&lt;16.5,0,IF(E681&gt;=50*0.8,5,IF(E681&gt;=50*0.7,4,IF(E681&gt;=50*0.6,3.5,IF(E681&gt;=50*0.5,3,IF(E681&gt;=50*0.4,2,IF(E681&gt;=50*0.33,1,0))))))))</f>
        <v/>
      </c>
      <c r="X681">
        <f>IF(B681="","",IF(F681&lt;33.0,0,IF(F681&gt;=100*0.8,5,IF(F681&gt;=100*0.7,4,IF(F681&gt;=100*0.6,3.5,IF(F681&gt;=100*0.5,3,IF(F681&gt;=100*0.4,2,IF(F681&gt;=100*0.33,1,0))))))))</f>
        <v/>
      </c>
      <c r="Y681">
        <f>IF(B681="","",IF(G681&lt;16.5,0,IF(G681&gt;=50*0.8,5,IF(G681&gt;=50*0.7,4,IF(G681&gt;=50*0.6,3.5,IF(G681&gt;=50*0.5,3,IF(G681&gt;=50*0.4,2,IF(G681&gt;=50*0.33,1,0))))))))</f>
        <v/>
      </c>
      <c r="Z681">
        <f>IF(B681="","",IF(H681&lt;33.0,0,IF(H681&gt;=100*0.8,5,IF(H681&gt;=100*0.7,4,IF(H681&gt;=100*0.6,3.5,IF(H681&gt;=100*0.5,3,IF(H681&gt;=100*0.4,2,IF(H681&gt;=100*0.33,1,0))))))))</f>
        <v/>
      </c>
      <c r="AA681">
        <f>IF(B681="","",IF(I681&lt;33.0,0,IF(I681&gt;=100*0.8,5,IF(I681&gt;=100*0.7,4,IF(I681&gt;=100*0.6,3.5,IF(I681&gt;=100*0.5,3,IF(I681&gt;=100*0.4,2,IF(I681&gt;=100*0.33,1,0))))))))</f>
        <v/>
      </c>
      <c r="AB681">
        <f>IF(B681="","",IF(J681&lt;33.0,0,IF(J681&gt;=100*0.8,5,IF(J681&gt;=100*0.7,4,IF(J681&gt;=100*0.6,3.5,IF(J681&gt;=100*0.5,3,IF(J681&gt;=100*0.4,2,IF(J681&gt;=100*0.33,1,0))))))))</f>
        <v/>
      </c>
      <c r="AC681">
        <f>IF(B681="","",IF(K681&lt;33.0,0,IF(K681&gt;=100*0.8,5,IF(K681&gt;=100*0.7,4,IF(K681&gt;=100*0.6,3.5,IF(K681&gt;=100*0.5,3,IF(K681&gt;=100*0.4,2,IF(K681&gt;=100*0.33,1,0))))))))</f>
        <v/>
      </c>
      <c r="AD681">
        <f>IF(B681="","",IF(L681&lt;33.0,0,IF(L681&gt;=100*0.8,5,IF(L681&gt;=100*0.7,4,IF(L681&gt;=100*0.6,3.5,IF(L681&gt;=100*0.5,3,IF(L681&gt;=100*0.4,2,IF(L681&gt;=100*0.33,1,0))))))))</f>
        <v/>
      </c>
      <c r="AE681">
        <f>IF(B681="","",IF(M681&lt;33.0,0,IF(M681&gt;=100*0.8,5,IF(M681&gt;=100*0.7,4,IF(M681&gt;=100*0.6,3.5,IF(M681&gt;=100*0.5,3,IF(M681&gt;=100*0.4,2,IF(M681&gt;=100*0.33,1,0))))))))</f>
        <v/>
      </c>
      <c r="AF681">
        <f>IF(B681="","",IF(N681&lt;16.5,0,IF(N681&gt;=50*0.8,5,IF(N681&gt;=50*0.7,4,IF(N681&gt;=50*0.6,3.5,IF(N681&gt;=50*0.5,3,IF(N681&gt;=50*0.4,2,IF(N681&gt;=50*0.33,1,0))))))))</f>
        <v/>
      </c>
      <c r="AG681">
        <f>IF(B681="","",IF(O681&lt;33.0,0,IF(O681&gt;=100*0.8,5,IF(O681&gt;=100*0.7,4,IF(O681&gt;=100*0.6,3.5,IF(O681&gt;=100*0.5,3,IF(O681&gt;=100*0.4,2,IF(O681&gt;=100*0.33,1,0))))))))</f>
        <v/>
      </c>
      <c r="AH681">
        <f>IF(B681="","",IF(OR(U681=0,V681=0,W681=0,X681=0,Y681=0,Z681=0,AA681=0,AB681=0,AC681=0,AD681=0,AE681=0,AF681=0,AG681=0),1,0))</f>
        <v/>
      </c>
    </row>
    <row r="682">
      <c r="A682" s="3">
        <f>IF(B682="","",ROW()-2)</f>
        <v/>
      </c>
      <c r="P682" s="4">
        <f>IF(B682="","",SUM(C682:O682))</f>
        <v/>
      </c>
      <c r="Q682" s="5">
        <f>IF(B682="","",ROUND(P682/13,2))</f>
        <v/>
      </c>
      <c r="R682" s="5">
        <f>IF(B682="","",IF(AH682=1,0,MIN(5,ROUND((U682+V682+W682+X682+Y682+Z682+AA682+AB682+AC682+AD682+AE682+AF682+AG682)/13,2))))</f>
        <v/>
      </c>
      <c r="S682" s="3">
        <f>IF(B682="","",IF(R682&gt;=5,"A+",IF(R682&gt;=4,"A",IF(R682&gt;=3.5,"A-",IF(R682&gt;=3,"B",IF(R682&gt;=2,"C",IF(R682&gt;=1,"D","F")))))))</f>
        <v/>
      </c>
      <c r="T682" s="3">
        <f>IF(OR(B682="",S682="F"),"",COUNTIFS(P:P,"&gt;"&amp;P682,S:S,"&lt;&gt;F")+1)</f>
        <v/>
      </c>
      <c r="U682">
        <f>IF(B682="","",IF(C682&lt;33.0,0,IF(C682&gt;=100*0.8,5,IF(C682&gt;=100*0.7,4,IF(C682&gt;=100*0.6,3.5,IF(C682&gt;=100*0.5,3,IF(C682&gt;=100*0.4,2,IF(C682&gt;=100*0.33,1,0))))))))</f>
        <v/>
      </c>
      <c r="V682">
        <f>IF(B682="","",IF(D682&lt;33.0,0,IF(D682&gt;=100*0.8,5,IF(D682&gt;=100*0.7,4,IF(D682&gt;=100*0.6,3.5,IF(D682&gt;=100*0.5,3,IF(D682&gt;=100*0.4,2,IF(D682&gt;=100*0.33,1,0))))))))</f>
        <v/>
      </c>
      <c r="W682">
        <f>IF(B682="","",IF(E682&lt;16.5,0,IF(E682&gt;=50*0.8,5,IF(E682&gt;=50*0.7,4,IF(E682&gt;=50*0.6,3.5,IF(E682&gt;=50*0.5,3,IF(E682&gt;=50*0.4,2,IF(E682&gt;=50*0.33,1,0))))))))</f>
        <v/>
      </c>
      <c r="X682">
        <f>IF(B682="","",IF(F682&lt;33.0,0,IF(F682&gt;=100*0.8,5,IF(F682&gt;=100*0.7,4,IF(F682&gt;=100*0.6,3.5,IF(F682&gt;=100*0.5,3,IF(F682&gt;=100*0.4,2,IF(F682&gt;=100*0.33,1,0))))))))</f>
        <v/>
      </c>
      <c r="Y682">
        <f>IF(B682="","",IF(G682&lt;16.5,0,IF(G682&gt;=50*0.8,5,IF(G682&gt;=50*0.7,4,IF(G682&gt;=50*0.6,3.5,IF(G682&gt;=50*0.5,3,IF(G682&gt;=50*0.4,2,IF(G682&gt;=50*0.33,1,0))))))))</f>
        <v/>
      </c>
      <c r="Z682">
        <f>IF(B682="","",IF(H682&lt;33.0,0,IF(H682&gt;=100*0.8,5,IF(H682&gt;=100*0.7,4,IF(H682&gt;=100*0.6,3.5,IF(H682&gt;=100*0.5,3,IF(H682&gt;=100*0.4,2,IF(H682&gt;=100*0.33,1,0))))))))</f>
        <v/>
      </c>
      <c r="AA682">
        <f>IF(B682="","",IF(I682&lt;33.0,0,IF(I682&gt;=100*0.8,5,IF(I682&gt;=100*0.7,4,IF(I682&gt;=100*0.6,3.5,IF(I682&gt;=100*0.5,3,IF(I682&gt;=100*0.4,2,IF(I682&gt;=100*0.33,1,0))))))))</f>
        <v/>
      </c>
      <c r="AB682">
        <f>IF(B682="","",IF(J682&lt;33.0,0,IF(J682&gt;=100*0.8,5,IF(J682&gt;=100*0.7,4,IF(J682&gt;=100*0.6,3.5,IF(J682&gt;=100*0.5,3,IF(J682&gt;=100*0.4,2,IF(J682&gt;=100*0.33,1,0))))))))</f>
        <v/>
      </c>
      <c r="AC682">
        <f>IF(B682="","",IF(K682&lt;33.0,0,IF(K682&gt;=100*0.8,5,IF(K682&gt;=100*0.7,4,IF(K682&gt;=100*0.6,3.5,IF(K682&gt;=100*0.5,3,IF(K682&gt;=100*0.4,2,IF(K682&gt;=100*0.33,1,0))))))))</f>
        <v/>
      </c>
      <c r="AD682">
        <f>IF(B682="","",IF(L682&lt;33.0,0,IF(L682&gt;=100*0.8,5,IF(L682&gt;=100*0.7,4,IF(L682&gt;=100*0.6,3.5,IF(L682&gt;=100*0.5,3,IF(L682&gt;=100*0.4,2,IF(L682&gt;=100*0.33,1,0))))))))</f>
        <v/>
      </c>
      <c r="AE682">
        <f>IF(B682="","",IF(M682&lt;33.0,0,IF(M682&gt;=100*0.8,5,IF(M682&gt;=100*0.7,4,IF(M682&gt;=100*0.6,3.5,IF(M682&gt;=100*0.5,3,IF(M682&gt;=100*0.4,2,IF(M682&gt;=100*0.33,1,0))))))))</f>
        <v/>
      </c>
      <c r="AF682">
        <f>IF(B682="","",IF(N682&lt;16.5,0,IF(N682&gt;=50*0.8,5,IF(N682&gt;=50*0.7,4,IF(N682&gt;=50*0.6,3.5,IF(N682&gt;=50*0.5,3,IF(N682&gt;=50*0.4,2,IF(N682&gt;=50*0.33,1,0))))))))</f>
        <v/>
      </c>
      <c r="AG682">
        <f>IF(B682="","",IF(O682&lt;33.0,0,IF(O682&gt;=100*0.8,5,IF(O682&gt;=100*0.7,4,IF(O682&gt;=100*0.6,3.5,IF(O682&gt;=100*0.5,3,IF(O682&gt;=100*0.4,2,IF(O682&gt;=100*0.33,1,0))))))))</f>
        <v/>
      </c>
      <c r="AH682">
        <f>IF(B682="","",IF(OR(U682=0,V682=0,W682=0,X682=0,Y682=0,Z682=0,AA682=0,AB682=0,AC682=0,AD682=0,AE682=0,AF682=0,AG682=0),1,0))</f>
        <v/>
      </c>
    </row>
    <row r="683">
      <c r="A683" s="3">
        <f>IF(B683="","",ROW()-2)</f>
        <v/>
      </c>
      <c r="P683" s="4">
        <f>IF(B683="","",SUM(C683:O683))</f>
        <v/>
      </c>
      <c r="Q683" s="5">
        <f>IF(B683="","",ROUND(P683/13,2))</f>
        <v/>
      </c>
      <c r="R683" s="5">
        <f>IF(B683="","",IF(AH683=1,0,MIN(5,ROUND((U683+V683+W683+X683+Y683+Z683+AA683+AB683+AC683+AD683+AE683+AF683+AG683)/13,2))))</f>
        <v/>
      </c>
      <c r="S683" s="3">
        <f>IF(B683="","",IF(R683&gt;=5,"A+",IF(R683&gt;=4,"A",IF(R683&gt;=3.5,"A-",IF(R683&gt;=3,"B",IF(R683&gt;=2,"C",IF(R683&gt;=1,"D","F")))))))</f>
        <v/>
      </c>
      <c r="T683" s="3">
        <f>IF(OR(B683="",S683="F"),"",COUNTIFS(P:P,"&gt;"&amp;P683,S:S,"&lt;&gt;F")+1)</f>
        <v/>
      </c>
      <c r="U683">
        <f>IF(B683="","",IF(C683&lt;33.0,0,IF(C683&gt;=100*0.8,5,IF(C683&gt;=100*0.7,4,IF(C683&gt;=100*0.6,3.5,IF(C683&gt;=100*0.5,3,IF(C683&gt;=100*0.4,2,IF(C683&gt;=100*0.33,1,0))))))))</f>
        <v/>
      </c>
      <c r="V683">
        <f>IF(B683="","",IF(D683&lt;33.0,0,IF(D683&gt;=100*0.8,5,IF(D683&gt;=100*0.7,4,IF(D683&gt;=100*0.6,3.5,IF(D683&gt;=100*0.5,3,IF(D683&gt;=100*0.4,2,IF(D683&gt;=100*0.33,1,0))))))))</f>
        <v/>
      </c>
      <c r="W683">
        <f>IF(B683="","",IF(E683&lt;16.5,0,IF(E683&gt;=50*0.8,5,IF(E683&gt;=50*0.7,4,IF(E683&gt;=50*0.6,3.5,IF(E683&gt;=50*0.5,3,IF(E683&gt;=50*0.4,2,IF(E683&gt;=50*0.33,1,0))))))))</f>
        <v/>
      </c>
      <c r="X683">
        <f>IF(B683="","",IF(F683&lt;33.0,0,IF(F683&gt;=100*0.8,5,IF(F683&gt;=100*0.7,4,IF(F683&gt;=100*0.6,3.5,IF(F683&gt;=100*0.5,3,IF(F683&gt;=100*0.4,2,IF(F683&gt;=100*0.33,1,0))))))))</f>
        <v/>
      </c>
      <c r="Y683">
        <f>IF(B683="","",IF(G683&lt;16.5,0,IF(G683&gt;=50*0.8,5,IF(G683&gt;=50*0.7,4,IF(G683&gt;=50*0.6,3.5,IF(G683&gt;=50*0.5,3,IF(G683&gt;=50*0.4,2,IF(G683&gt;=50*0.33,1,0))))))))</f>
        <v/>
      </c>
      <c r="Z683">
        <f>IF(B683="","",IF(H683&lt;33.0,0,IF(H683&gt;=100*0.8,5,IF(H683&gt;=100*0.7,4,IF(H683&gt;=100*0.6,3.5,IF(H683&gt;=100*0.5,3,IF(H683&gt;=100*0.4,2,IF(H683&gt;=100*0.33,1,0))))))))</f>
        <v/>
      </c>
      <c r="AA683">
        <f>IF(B683="","",IF(I683&lt;33.0,0,IF(I683&gt;=100*0.8,5,IF(I683&gt;=100*0.7,4,IF(I683&gt;=100*0.6,3.5,IF(I683&gt;=100*0.5,3,IF(I683&gt;=100*0.4,2,IF(I683&gt;=100*0.33,1,0))))))))</f>
        <v/>
      </c>
      <c r="AB683">
        <f>IF(B683="","",IF(J683&lt;33.0,0,IF(J683&gt;=100*0.8,5,IF(J683&gt;=100*0.7,4,IF(J683&gt;=100*0.6,3.5,IF(J683&gt;=100*0.5,3,IF(J683&gt;=100*0.4,2,IF(J683&gt;=100*0.33,1,0))))))))</f>
        <v/>
      </c>
      <c r="AC683">
        <f>IF(B683="","",IF(K683&lt;33.0,0,IF(K683&gt;=100*0.8,5,IF(K683&gt;=100*0.7,4,IF(K683&gt;=100*0.6,3.5,IF(K683&gt;=100*0.5,3,IF(K683&gt;=100*0.4,2,IF(K683&gt;=100*0.33,1,0))))))))</f>
        <v/>
      </c>
      <c r="AD683">
        <f>IF(B683="","",IF(L683&lt;33.0,0,IF(L683&gt;=100*0.8,5,IF(L683&gt;=100*0.7,4,IF(L683&gt;=100*0.6,3.5,IF(L683&gt;=100*0.5,3,IF(L683&gt;=100*0.4,2,IF(L683&gt;=100*0.33,1,0))))))))</f>
        <v/>
      </c>
      <c r="AE683">
        <f>IF(B683="","",IF(M683&lt;33.0,0,IF(M683&gt;=100*0.8,5,IF(M683&gt;=100*0.7,4,IF(M683&gt;=100*0.6,3.5,IF(M683&gt;=100*0.5,3,IF(M683&gt;=100*0.4,2,IF(M683&gt;=100*0.33,1,0))))))))</f>
        <v/>
      </c>
      <c r="AF683">
        <f>IF(B683="","",IF(N683&lt;16.5,0,IF(N683&gt;=50*0.8,5,IF(N683&gt;=50*0.7,4,IF(N683&gt;=50*0.6,3.5,IF(N683&gt;=50*0.5,3,IF(N683&gt;=50*0.4,2,IF(N683&gt;=50*0.33,1,0))))))))</f>
        <v/>
      </c>
      <c r="AG683">
        <f>IF(B683="","",IF(O683&lt;33.0,0,IF(O683&gt;=100*0.8,5,IF(O683&gt;=100*0.7,4,IF(O683&gt;=100*0.6,3.5,IF(O683&gt;=100*0.5,3,IF(O683&gt;=100*0.4,2,IF(O683&gt;=100*0.33,1,0))))))))</f>
        <v/>
      </c>
      <c r="AH683">
        <f>IF(B683="","",IF(OR(U683=0,V683=0,W683=0,X683=0,Y683=0,Z683=0,AA683=0,AB683=0,AC683=0,AD683=0,AE683=0,AF683=0,AG683=0),1,0))</f>
        <v/>
      </c>
    </row>
    <row r="684">
      <c r="A684" s="3">
        <f>IF(B684="","",ROW()-2)</f>
        <v/>
      </c>
      <c r="P684" s="4">
        <f>IF(B684="","",SUM(C684:O684))</f>
        <v/>
      </c>
      <c r="Q684" s="5">
        <f>IF(B684="","",ROUND(P684/13,2))</f>
        <v/>
      </c>
      <c r="R684" s="5">
        <f>IF(B684="","",IF(AH684=1,0,MIN(5,ROUND((U684+V684+W684+X684+Y684+Z684+AA684+AB684+AC684+AD684+AE684+AF684+AG684)/13,2))))</f>
        <v/>
      </c>
      <c r="S684" s="3">
        <f>IF(B684="","",IF(R684&gt;=5,"A+",IF(R684&gt;=4,"A",IF(R684&gt;=3.5,"A-",IF(R684&gt;=3,"B",IF(R684&gt;=2,"C",IF(R684&gt;=1,"D","F")))))))</f>
        <v/>
      </c>
      <c r="T684" s="3">
        <f>IF(OR(B684="",S684="F"),"",COUNTIFS(P:P,"&gt;"&amp;P684,S:S,"&lt;&gt;F")+1)</f>
        <v/>
      </c>
      <c r="U684">
        <f>IF(B684="","",IF(C684&lt;33.0,0,IF(C684&gt;=100*0.8,5,IF(C684&gt;=100*0.7,4,IF(C684&gt;=100*0.6,3.5,IF(C684&gt;=100*0.5,3,IF(C684&gt;=100*0.4,2,IF(C684&gt;=100*0.33,1,0))))))))</f>
        <v/>
      </c>
      <c r="V684">
        <f>IF(B684="","",IF(D684&lt;33.0,0,IF(D684&gt;=100*0.8,5,IF(D684&gt;=100*0.7,4,IF(D684&gt;=100*0.6,3.5,IF(D684&gt;=100*0.5,3,IF(D684&gt;=100*0.4,2,IF(D684&gt;=100*0.33,1,0))))))))</f>
        <v/>
      </c>
      <c r="W684">
        <f>IF(B684="","",IF(E684&lt;16.5,0,IF(E684&gt;=50*0.8,5,IF(E684&gt;=50*0.7,4,IF(E684&gt;=50*0.6,3.5,IF(E684&gt;=50*0.5,3,IF(E684&gt;=50*0.4,2,IF(E684&gt;=50*0.33,1,0))))))))</f>
        <v/>
      </c>
      <c r="X684">
        <f>IF(B684="","",IF(F684&lt;33.0,0,IF(F684&gt;=100*0.8,5,IF(F684&gt;=100*0.7,4,IF(F684&gt;=100*0.6,3.5,IF(F684&gt;=100*0.5,3,IF(F684&gt;=100*0.4,2,IF(F684&gt;=100*0.33,1,0))))))))</f>
        <v/>
      </c>
      <c r="Y684">
        <f>IF(B684="","",IF(G684&lt;16.5,0,IF(G684&gt;=50*0.8,5,IF(G684&gt;=50*0.7,4,IF(G684&gt;=50*0.6,3.5,IF(G684&gt;=50*0.5,3,IF(G684&gt;=50*0.4,2,IF(G684&gt;=50*0.33,1,0))))))))</f>
        <v/>
      </c>
      <c r="Z684">
        <f>IF(B684="","",IF(H684&lt;33.0,0,IF(H684&gt;=100*0.8,5,IF(H684&gt;=100*0.7,4,IF(H684&gt;=100*0.6,3.5,IF(H684&gt;=100*0.5,3,IF(H684&gt;=100*0.4,2,IF(H684&gt;=100*0.33,1,0))))))))</f>
        <v/>
      </c>
      <c r="AA684">
        <f>IF(B684="","",IF(I684&lt;33.0,0,IF(I684&gt;=100*0.8,5,IF(I684&gt;=100*0.7,4,IF(I684&gt;=100*0.6,3.5,IF(I684&gt;=100*0.5,3,IF(I684&gt;=100*0.4,2,IF(I684&gt;=100*0.33,1,0))))))))</f>
        <v/>
      </c>
      <c r="AB684">
        <f>IF(B684="","",IF(J684&lt;33.0,0,IF(J684&gt;=100*0.8,5,IF(J684&gt;=100*0.7,4,IF(J684&gt;=100*0.6,3.5,IF(J684&gt;=100*0.5,3,IF(J684&gt;=100*0.4,2,IF(J684&gt;=100*0.33,1,0))))))))</f>
        <v/>
      </c>
      <c r="AC684">
        <f>IF(B684="","",IF(K684&lt;33.0,0,IF(K684&gt;=100*0.8,5,IF(K684&gt;=100*0.7,4,IF(K684&gt;=100*0.6,3.5,IF(K684&gt;=100*0.5,3,IF(K684&gt;=100*0.4,2,IF(K684&gt;=100*0.33,1,0))))))))</f>
        <v/>
      </c>
      <c r="AD684">
        <f>IF(B684="","",IF(L684&lt;33.0,0,IF(L684&gt;=100*0.8,5,IF(L684&gt;=100*0.7,4,IF(L684&gt;=100*0.6,3.5,IF(L684&gt;=100*0.5,3,IF(L684&gt;=100*0.4,2,IF(L684&gt;=100*0.33,1,0))))))))</f>
        <v/>
      </c>
      <c r="AE684">
        <f>IF(B684="","",IF(M684&lt;33.0,0,IF(M684&gt;=100*0.8,5,IF(M684&gt;=100*0.7,4,IF(M684&gt;=100*0.6,3.5,IF(M684&gt;=100*0.5,3,IF(M684&gt;=100*0.4,2,IF(M684&gt;=100*0.33,1,0))))))))</f>
        <v/>
      </c>
      <c r="AF684">
        <f>IF(B684="","",IF(N684&lt;16.5,0,IF(N684&gt;=50*0.8,5,IF(N684&gt;=50*0.7,4,IF(N684&gt;=50*0.6,3.5,IF(N684&gt;=50*0.5,3,IF(N684&gt;=50*0.4,2,IF(N684&gt;=50*0.33,1,0))))))))</f>
        <v/>
      </c>
      <c r="AG684">
        <f>IF(B684="","",IF(O684&lt;33.0,0,IF(O684&gt;=100*0.8,5,IF(O684&gt;=100*0.7,4,IF(O684&gt;=100*0.6,3.5,IF(O684&gt;=100*0.5,3,IF(O684&gt;=100*0.4,2,IF(O684&gt;=100*0.33,1,0))))))))</f>
        <v/>
      </c>
      <c r="AH684">
        <f>IF(B684="","",IF(OR(U684=0,V684=0,W684=0,X684=0,Y684=0,Z684=0,AA684=0,AB684=0,AC684=0,AD684=0,AE684=0,AF684=0,AG684=0),1,0))</f>
        <v/>
      </c>
    </row>
    <row r="685">
      <c r="A685" s="3">
        <f>IF(B685="","",ROW()-2)</f>
        <v/>
      </c>
      <c r="P685" s="4">
        <f>IF(B685="","",SUM(C685:O685))</f>
        <v/>
      </c>
      <c r="Q685" s="5">
        <f>IF(B685="","",ROUND(P685/13,2))</f>
        <v/>
      </c>
      <c r="R685" s="5">
        <f>IF(B685="","",IF(AH685=1,0,MIN(5,ROUND((U685+V685+W685+X685+Y685+Z685+AA685+AB685+AC685+AD685+AE685+AF685+AG685)/13,2))))</f>
        <v/>
      </c>
      <c r="S685" s="3">
        <f>IF(B685="","",IF(R685&gt;=5,"A+",IF(R685&gt;=4,"A",IF(R685&gt;=3.5,"A-",IF(R685&gt;=3,"B",IF(R685&gt;=2,"C",IF(R685&gt;=1,"D","F")))))))</f>
        <v/>
      </c>
      <c r="T685" s="3">
        <f>IF(OR(B685="",S685="F"),"",COUNTIFS(P:P,"&gt;"&amp;P685,S:S,"&lt;&gt;F")+1)</f>
        <v/>
      </c>
      <c r="U685">
        <f>IF(B685="","",IF(C685&lt;33.0,0,IF(C685&gt;=100*0.8,5,IF(C685&gt;=100*0.7,4,IF(C685&gt;=100*0.6,3.5,IF(C685&gt;=100*0.5,3,IF(C685&gt;=100*0.4,2,IF(C685&gt;=100*0.33,1,0))))))))</f>
        <v/>
      </c>
      <c r="V685">
        <f>IF(B685="","",IF(D685&lt;33.0,0,IF(D685&gt;=100*0.8,5,IF(D685&gt;=100*0.7,4,IF(D685&gt;=100*0.6,3.5,IF(D685&gt;=100*0.5,3,IF(D685&gt;=100*0.4,2,IF(D685&gt;=100*0.33,1,0))))))))</f>
        <v/>
      </c>
      <c r="W685">
        <f>IF(B685="","",IF(E685&lt;16.5,0,IF(E685&gt;=50*0.8,5,IF(E685&gt;=50*0.7,4,IF(E685&gt;=50*0.6,3.5,IF(E685&gt;=50*0.5,3,IF(E685&gt;=50*0.4,2,IF(E685&gt;=50*0.33,1,0))))))))</f>
        <v/>
      </c>
      <c r="X685">
        <f>IF(B685="","",IF(F685&lt;33.0,0,IF(F685&gt;=100*0.8,5,IF(F685&gt;=100*0.7,4,IF(F685&gt;=100*0.6,3.5,IF(F685&gt;=100*0.5,3,IF(F685&gt;=100*0.4,2,IF(F685&gt;=100*0.33,1,0))))))))</f>
        <v/>
      </c>
      <c r="Y685">
        <f>IF(B685="","",IF(G685&lt;16.5,0,IF(G685&gt;=50*0.8,5,IF(G685&gt;=50*0.7,4,IF(G685&gt;=50*0.6,3.5,IF(G685&gt;=50*0.5,3,IF(G685&gt;=50*0.4,2,IF(G685&gt;=50*0.33,1,0))))))))</f>
        <v/>
      </c>
      <c r="Z685">
        <f>IF(B685="","",IF(H685&lt;33.0,0,IF(H685&gt;=100*0.8,5,IF(H685&gt;=100*0.7,4,IF(H685&gt;=100*0.6,3.5,IF(H685&gt;=100*0.5,3,IF(H685&gt;=100*0.4,2,IF(H685&gt;=100*0.33,1,0))))))))</f>
        <v/>
      </c>
      <c r="AA685">
        <f>IF(B685="","",IF(I685&lt;33.0,0,IF(I685&gt;=100*0.8,5,IF(I685&gt;=100*0.7,4,IF(I685&gt;=100*0.6,3.5,IF(I685&gt;=100*0.5,3,IF(I685&gt;=100*0.4,2,IF(I685&gt;=100*0.33,1,0))))))))</f>
        <v/>
      </c>
      <c r="AB685">
        <f>IF(B685="","",IF(J685&lt;33.0,0,IF(J685&gt;=100*0.8,5,IF(J685&gt;=100*0.7,4,IF(J685&gt;=100*0.6,3.5,IF(J685&gt;=100*0.5,3,IF(J685&gt;=100*0.4,2,IF(J685&gt;=100*0.33,1,0))))))))</f>
        <v/>
      </c>
      <c r="AC685">
        <f>IF(B685="","",IF(K685&lt;33.0,0,IF(K685&gt;=100*0.8,5,IF(K685&gt;=100*0.7,4,IF(K685&gt;=100*0.6,3.5,IF(K685&gt;=100*0.5,3,IF(K685&gt;=100*0.4,2,IF(K685&gt;=100*0.33,1,0))))))))</f>
        <v/>
      </c>
      <c r="AD685">
        <f>IF(B685="","",IF(L685&lt;33.0,0,IF(L685&gt;=100*0.8,5,IF(L685&gt;=100*0.7,4,IF(L685&gt;=100*0.6,3.5,IF(L685&gt;=100*0.5,3,IF(L685&gt;=100*0.4,2,IF(L685&gt;=100*0.33,1,0))))))))</f>
        <v/>
      </c>
      <c r="AE685">
        <f>IF(B685="","",IF(M685&lt;33.0,0,IF(M685&gt;=100*0.8,5,IF(M685&gt;=100*0.7,4,IF(M685&gt;=100*0.6,3.5,IF(M685&gt;=100*0.5,3,IF(M685&gt;=100*0.4,2,IF(M685&gt;=100*0.33,1,0))))))))</f>
        <v/>
      </c>
      <c r="AF685">
        <f>IF(B685="","",IF(N685&lt;16.5,0,IF(N685&gt;=50*0.8,5,IF(N685&gt;=50*0.7,4,IF(N685&gt;=50*0.6,3.5,IF(N685&gt;=50*0.5,3,IF(N685&gt;=50*0.4,2,IF(N685&gt;=50*0.33,1,0))))))))</f>
        <v/>
      </c>
      <c r="AG685">
        <f>IF(B685="","",IF(O685&lt;33.0,0,IF(O685&gt;=100*0.8,5,IF(O685&gt;=100*0.7,4,IF(O685&gt;=100*0.6,3.5,IF(O685&gt;=100*0.5,3,IF(O685&gt;=100*0.4,2,IF(O685&gt;=100*0.33,1,0))))))))</f>
        <v/>
      </c>
      <c r="AH685">
        <f>IF(B685="","",IF(OR(U685=0,V685=0,W685=0,X685=0,Y685=0,Z685=0,AA685=0,AB685=0,AC685=0,AD685=0,AE685=0,AF685=0,AG685=0),1,0))</f>
        <v/>
      </c>
    </row>
    <row r="686">
      <c r="A686" s="3">
        <f>IF(B686="","",ROW()-2)</f>
        <v/>
      </c>
      <c r="P686" s="4">
        <f>IF(B686="","",SUM(C686:O686))</f>
        <v/>
      </c>
      <c r="Q686" s="5">
        <f>IF(B686="","",ROUND(P686/13,2))</f>
        <v/>
      </c>
      <c r="R686" s="5">
        <f>IF(B686="","",IF(AH686=1,0,MIN(5,ROUND((U686+V686+W686+X686+Y686+Z686+AA686+AB686+AC686+AD686+AE686+AF686+AG686)/13,2))))</f>
        <v/>
      </c>
      <c r="S686" s="3">
        <f>IF(B686="","",IF(R686&gt;=5,"A+",IF(R686&gt;=4,"A",IF(R686&gt;=3.5,"A-",IF(R686&gt;=3,"B",IF(R686&gt;=2,"C",IF(R686&gt;=1,"D","F")))))))</f>
        <v/>
      </c>
      <c r="T686" s="3">
        <f>IF(OR(B686="",S686="F"),"",COUNTIFS(P:P,"&gt;"&amp;P686,S:S,"&lt;&gt;F")+1)</f>
        <v/>
      </c>
      <c r="U686">
        <f>IF(B686="","",IF(C686&lt;33.0,0,IF(C686&gt;=100*0.8,5,IF(C686&gt;=100*0.7,4,IF(C686&gt;=100*0.6,3.5,IF(C686&gt;=100*0.5,3,IF(C686&gt;=100*0.4,2,IF(C686&gt;=100*0.33,1,0))))))))</f>
        <v/>
      </c>
      <c r="V686">
        <f>IF(B686="","",IF(D686&lt;33.0,0,IF(D686&gt;=100*0.8,5,IF(D686&gt;=100*0.7,4,IF(D686&gt;=100*0.6,3.5,IF(D686&gt;=100*0.5,3,IF(D686&gt;=100*0.4,2,IF(D686&gt;=100*0.33,1,0))))))))</f>
        <v/>
      </c>
      <c r="W686">
        <f>IF(B686="","",IF(E686&lt;16.5,0,IF(E686&gt;=50*0.8,5,IF(E686&gt;=50*0.7,4,IF(E686&gt;=50*0.6,3.5,IF(E686&gt;=50*0.5,3,IF(E686&gt;=50*0.4,2,IF(E686&gt;=50*0.33,1,0))))))))</f>
        <v/>
      </c>
      <c r="X686">
        <f>IF(B686="","",IF(F686&lt;33.0,0,IF(F686&gt;=100*0.8,5,IF(F686&gt;=100*0.7,4,IF(F686&gt;=100*0.6,3.5,IF(F686&gt;=100*0.5,3,IF(F686&gt;=100*0.4,2,IF(F686&gt;=100*0.33,1,0))))))))</f>
        <v/>
      </c>
      <c r="Y686">
        <f>IF(B686="","",IF(G686&lt;16.5,0,IF(G686&gt;=50*0.8,5,IF(G686&gt;=50*0.7,4,IF(G686&gt;=50*0.6,3.5,IF(G686&gt;=50*0.5,3,IF(G686&gt;=50*0.4,2,IF(G686&gt;=50*0.33,1,0))))))))</f>
        <v/>
      </c>
      <c r="Z686">
        <f>IF(B686="","",IF(H686&lt;33.0,0,IF(H686&gt;=100*0.8,5,IF(H686&gt;=100*0.7,4,IF(H686&gt;=100*0.6,3.5,IF(H686&gt;=100*0.5,3,IF(H686&gt;=100*0.4,2,IF(H686&gt;=100*0.33,1,0))))))))</f>
        <v/>
      </c>
      <c r="AA686">
        <f>IF(B686="","",IF(I686&lt;33.0,0,IF(I686&gt;=100*0.8,5,IF(I686&gt;=100*0.7,4,IF(I686&gt;=100*0.6,3.5,IF(I686&gt;=100*0.5,3,IF(I686&gt;=100*0.4,2,IF(I686&gt;=100*0.33,1,0))))))))</f>
        <v/>
      </c>
      <c r="AB686">
        <f>IF(B686="","",IF(J686&lt;33.0,0,IF(J686&gt;=100*0.8,5,IF(J686&gt;=100*0.7,4,IF(J686&gt;=100*0.6,3.5,IF(J686&gt;=100*0.5,3,IF(J686&gt;=100*0.4,2,IF(J686&gt;=100*0.33,1,0))))))))</f>
        <v/>
      </c>
      <c r="AC686">
        <f>IF(B686="","",IF(K686&lt;33.0,0,IF(K686&gt;=100*0.8,5,IF(K686&gt;=100*0.7,4,IF(K686&gt;=100*0.6,3.5,IF(K686&gt;=100*0.5,3,IF(K686&gt;=100*0.4,2,IF(K686&gt;=100*0.33,1,0))))))))</f>
        <v/>
      </c>
      <c r="AD686">
        <f>IF(B686="","",IF(L686&lt;33.0,0,IF(L686&gt;=100*0.8,5,IF(L686&gt;=100*0.7,4,IF(L686&gt;=100*0.6,3.5,IF(L686&gt;=100*0.5,3,IF(L686&gt;=100*0.4,2,IF(L686&gt;=100*0.33,1,0))))))))</f>
        <v/>
      </c>
      <c r="AE686">
        <f>IF(B686="","",IF(M686&lt;33.0,0,IF(M686&gt;=100*0.8,5,IF(M686&gt;=100*0.7,4,IF(M686&gt;=100*0.6,3.5,IF(M686&gt;=100*0.5,3,IF(M686&gt;=100*0.4,2,IF(M686&gt;=100*0.33,1,0))))))))</f>
        <v/>
      </c>
      <c r="AF686">
        <f>IF(B686="","",IF(N686&lt;16.5,0,IF(N686&gt;=50*0.8,5,IF(N686&gt;=50*0.7,4,IF(N686&gt;=50*0.6,3.5,IF(N686&gt;=50*0.5,3,IF(N686&gt;=50*0.4,2,IF(N686&gt;=50*0.33,1,0))))))))</f>
        <v/>
      </c>
      <c r="AG686">
        <f>IF(B686="","",IF(O686&lt;33.0,0,IF(O686&gt;=100*0.8,5,IF(O686&gt;=100*0.7,4,IF(O686&gt;=100*0.6,3.5,IF(O686&gt;=100*0.5,3,IF(O686&gt;=100*0.4,2,IF(O686&gt;=100*0.33,1,0))))))))</f>
        <v/>
      </c>
      <c r="AH686">
        <f>IF(B686="","",IF(OR(U686=0,V686=0,W686=0,X686=0,Y686=0,Z686=0,AA686=0,AB686=0,AC686=0,AD686=0,AE686=0,AF686=0,AG686=0),1,0))</f>
        <v/>
      </c>
    </row>
    <row r="687">
      <c r="A687" s="3">
        <f>IF(B687="","",ROW()-2)</f>
        <v/>
      </c>
      <c r="P687" s="4">
        <f>IF(B687="","",SUM(C687:O687))</f>
        <v/>
      </c>
      <c r="Q687" s="5">
        <f>IF(B687="","",ROUND(P687/13,2))</f>
        <v/>
      </c>
      <c r="R687" s="5">
        <f>IF(B687="","",IF(AH687=1,0,MIN(5,ROUND((U687+V687+W687+X687+Y687+Z687+AA687+AB687+AC687+AD687+AE687+AF687+AG687)/13,2))))</f>
        <v/>
      </c>
      <c r="S687" s="3">
        <f>IF(B687="","",IF(R687&gt;=5,"A+",IF(R687&gt;=4,"A",IF(R687&gt;=3.5,"A-",IF(R687&gt;=3,"B",IF(R687&gt;=2,"C",IF(R687&gt;=1,"D","F")))))))</f>
        <v/>
      </c>
      <c r="T687" s="3">
        <f>IF(OR(B687="",S687="F"),"",COUNTIFS(P:P,"&gt;"&amp;P687,S:S,"&lt;&gt;F")+1)</f>
        <v/>
      </c>
      <c r="U687">
        <f>IF(B687="","",IF(C687&lt;33.0,0,IF(C687&gt;=100*0.8,5,IF(C687&gt;=100*0.7,4,IF(C687&gt;=100*0.6,3.5,IF(C687&gt;=100*0.5,3,IF(C687&gt;=100*0.4,2,IF(C687&gt;=100*0.33,1,0))))))))</f>
        <v/>
      </c>
      <c r="V687">
        <f>IF(B687="","",IF(D687&lt;33.0,0,IF(D687&gt;=100*0.8,5,IF(D687&gt;=100*0.7,4,IF(D687&gt;=100*0.6,3.5,IF(D687&gt;=100*0.5,3,IF(D687&gt;=100*0.4,2,IF(D687&gt;=100*0.33,1,0))))))))</f>
        <v/>
      </c>
      <c r="W687">
        <f>IF(B687="","",IF(E687&lt;16.5,0,IF(E687&gt;=50*0.8,5,IF(E687&gt;=50*0.7,4,IF(E687&gt;=50*0.6,3.5,IF(E687&gt;=50*0.5,3,IF(E687&gt;=50*0.4,2,IF(E687&gt;=50*0.33,1,0))))))))</f>
        <v/>
      </c>
      <c r="X687">
        <f>IF(B687="","",IF(F687&lt;33.0,0,IF(F687&gt;=100*0.8,5,IF(F687&gt;=100*0.7,4,IF(F687&gt;=100*0.6,3.5,IF(F687&gt;=100*0.5,3,IF(F687&gt;=100*0.4,2,IF(F687&gt;=100*0.33,1,0))))))))</f>
        <v/>
      </c>
      <c r="Y687">
        <f>IF(B687="","",IF(G687&lt;16.5,0,IF(G687&gt;=50*0.8,5,IF(G687&gt;=50*0.7,4,IF(G687&gt;=50*0.6,3.5,IF(G687&gt;=50*0.5,3,IF(G687&gt;=50*0.4,2,IF(G687&gt;=50*0.33,1,0))))))))</f>
        <v/>
      </c>
      <c r="Z687">
        <f>IF(B687="","",IF(H687&lt;33.0,0,IF(H687&gt;=100*0.8,5,IF(H687&gt;=100*0.7,4,IF(H687&gt;=100*0.6,3.5,IF(H687&gt;=100*0.5,3,IF(H687&gt;=100*0.4,2,IF(H687&gt;=100*0.33,1,0))))))))</f>
        <v/>
      </c>
      <c r="AA687">
        <f>IF(B687="","",IF(I687&lt;33.0,0,IF(I687&gt;=100*0.8,5,IF(I687&gt;=100*0.7,4,IF(I687&gt;=100*0.6,3.5,IF(I687&gt;=100*0.5,3,IF(I687&gt;=100*0.4,2,IF(I687&gt;=100*0.33,1,0))))))))</f>
        <v/>
      </c>
      <c r="AB687">
        <f>IF(B687="","",IF(J687&lt;33.0,0,IF(J687&gt;=100*0.8,5,IF(J687&gt;=100*0.7,4,IF(J687&gt;=100*0.6,3.5,IF(J687&gt;=100*0.5,3,IF(J687&gt;=100*0.4,2,IF(J687&gt;=100*0.33,1,0))))))))</f>
        <v/>
      </c>
      <c r="AC687">
        <f>IF(B687="","",IF(K687&lt;33.0,0,IF(K687&gt;=100*0.8,5,IF(K687&gt;=100*0.7,4,IF(K687&gt;=100*0.6,3.5,IF(K687&gt;=100*0.5,3,IF(K687&gt;=100*0.4,2,IF(K687&gt;=100*0.33,1,0))))))))</f>
        <v/>
      </c>
      <c r="AD687">
        <f>IF(B687="","",IF(L687&lt;33.0,0,IF(L687&gt;=100*0.8,5,IF(L687&gt;=100*0.7,4,IF(L687&gt;=100*0.6,3.5,IF(L687&gt;=100*0.5,3,IF(L687&gt;=100*0.4,2,IF(L687&gt;=100*0.33,1,0))))))))</f>
        <v/>
      </c>
      <c r="AE687">
        <f>IF(B687="","",IF(M687&lt;33.0,0,IF(M687&gt;=100*0.8,5,IF(M687&gt;=100*0.7,4,IF(M687&gt;=100*0.6,3.5,IF(M687&gt;=100*0.5,3,IF(M687&gt;=100*0.4,2,IF(M687&gt;=100*0.33,1,0))))))))</f>
        <v/>
      </c>
      <c r="AF687">
        <f>IF(B687="","",IF(N687&lt;16.5,0,IF(N687&gt;=50*0.8,5,IF(N687&gt;=50*0.7,4,IF(N687&gt;=50*0.6,3.5,IF(N687&gt;=50*0.5,3,IF(N687&gt;=50*0.4,2,IF(N687&gt;=50*0.33,1,0))))))))</f>
        <v/>
      </c>
      <c r="AG687">
        <f>IF(B687="","",IF(O687&lt;33.0,0,IF(O687&gt;=100*0.8,5,IF(O687&gt;=100*0.7,4,IF(O687&gt;=100*0.6,3.5,IF(O687&gt;=100*0.5,3,IF(O687&gt;=100*0.4,2,IF(O687&gt;=100*0.33,1,0))))))))</f>
        <v/>
      </c>
      <c r="AH687">
        <f>IF(B687="","",IF(OR(U687=0,V687=0,W687=0,X687=0,Y687=0,Z687=0,AA687=0,AB687=0,AC687=0,AD687=0,AE687=0,AF687=0,AG687=0),1,0))</f>
        <v/>
      </c>
    </row>
    <row r="688">
      <c r="A688" s="3">
        <f>IF(B688="","",ROW()-2)</f>
        <v/>
      </c>
      <c r="P688" s="4">
        <f>IF(B688="","",SUM(C688:O688))</f>
        <v/>
      </c>
      <c r="Q688" s="5">
        <f>IF(B688="","",ROUND(P688/13,2))</f>
        <v/>
      </c>
      <c r="R688" s="5">
        <f>IF(B688="","",IF(AH688=1,0,MIN(5,ROUND((U688+V688+W688+X688+Y688+Z688+AA688+AB688+AC688+AD688+AE688+AF688+AG688)/13,2))))</f>
        <v/>
      </c>
      <c r="S688" s="3">
        <f>IF(B688="","",IF(R688&gt;=5,"A+",IF(R688&gt;=4,"A",IF(R688&gt;=3.5,"A-",IF(R688&gt;=3,"B",IF(R688&gt;=2,"C",IF(R688&gt;=1,"D","F")))))))</f>
        <v/>
      </c>
      <c r="T688" s="3">
        <f>IF(OR(B688="",S688="F"),"",COUNTIFS(P:P,"&gt;"&amp;P688,S:S,"&lt;&gt;F")+1)</f>
        <v/>
      </c>
      <c r="U688">
        <f>IF(B688="","",IF(C688&lt;33.0,0,IF(C688&gt;=100*0.8,5,IF(C688&gt;=100*0.7,4,IF(C688&gt;=100*0.6,3.5,IF(C688&gt;=100*0.5,3,IF(C688&gt;=100*0.4,2,IF(C688&gt;=100*0.33,1,0))))))))</f>
        <v/>
      </c>
      <c r="V688">
        <f>IF(B688="","",IF(D688&lt;33.0,0,IF(D688&gt;=100*0.8,5,IF(D688&gt;=100*0.7,4,IF(D688&gt;=100*0.6,3.5,IF(D688&gt;=100*0.5,3,IF(D688&gt;=100*0.4,2,IF(D688&gt;=100*0.33,1,0))))))))</f>
        <v/>
      </c>
      <c r="W688">
        <f>IF(B688="","",IF(E688&lt;16.5,0,IF(E688&gt;=50*0.8,5,IF(E688&gt;=50*0.7,4,IF(E688&gt;=50*0.6,3.5,IF(E688&gt;=50*0.5,3,IF(E688&gt;=50*0.4,2,IF(E688&gt;=50*0.33,1,0))))))))</f>
        <v/>
      </c>
      <c r="X688">
        <f>IF(B688="","",IF(F688&lt;33.0,0,IF(F688&gt;=100*0.8,5,IF(F688&gt;=100*0.7,4,IF(F688&gt;=100*0.6,3.5,IF(F688&gt;=100*0.5,3,IF(F688&gt;=100*0.4,2,IF(F688&gt;=100*0.33,1,0))))))))</f>
        <v/>
      </c>
      <c r="Y688">
        <f>IF(B688="","",IF(G688&lt;16.5,0,IF(G688&gt;=50*0.8,5,IF(G688&gt;=50*0.7,4,IF(G688&gt;=50*0.6,3.5,IF(G688&gt;=50*0.5,3,IF(G688&gt;=50*0.4,2,IF(G688&gt;=50*0.33,1,0))))))))</f>
        <v/>
      </c>
      <c r="Z688">
        <f>IF(B688="","",IF(H688&lt;33.0,0,IF(H688&gt;=100*0.8,5,IF(H688&gt;=100*0.7,4,IF(H688&gt;=100*0.6,3.5,IF(H688&gt;=100*0.5,3,IF(H688&gt;=100*0.4,2,IF(H688&gt;=100*0.33,1,0))))))))</f>
        <v/>
      </c>
      <c r="AA688">
        <f>IF(B688="","",IF(I688&lt;33.0,0,IF(I688&gt;=100*0.8,5,IF(I688&gt;=100*0.7,4,IF(I688&gt;=100*0.6,3.5,IF(I688&gt;=100*0.5,3,IF(I688&gt;=100*0.4,2,IF(I688&gt;=100*0.33,1,0))))))))</f>
        <v/>
      </c>
      <c r="AB688">
        <f>IF(B688="","",IF(J688&lt;33.0,0,IF(J688&gt;=100*0.8,5,IF(J688&gt;=100*0.7,4,IF(J688&gt;=100*0.6,3.5,IF(J688&gt;=100*0.5,3,IF(J688&gt;=100*0.4,2,IF(J688&gt;=100*0.33,1,0))))))))</f>
        <v/>
      </c>
      <c r="AC688">
        <f>IF(B688="","",IF(K688&lt;33.0,0,IF(K688&gt;=100*0.8,5,IF(K688&gt;=100*0.7,4,IF(K688&gt;=100*0.6,3.5,IF(K688&gt;=100*0.5,3,IF(K688&gt;=100*0.4,2,IF(K688&gt;=100*0.33,1,0))))))))</f>
        <v/>
      </c>
      <c r="AD688">
        <f>IF(B688="","",IF(L688&lt;33.0,0,IF(L688&gt;=100*0.8,5,IF(L688&gt;=100*0.7,4,IF(L688&gt;=100*0.6,3.5,IF(L688&gt;=100*0.5,3,IF(L688&gt;=100*0.4,2,IF(L688&gt;=100*0.33,1,0))))))))</f>
        <v/>
      </c>
      <c r="AE688">
        <f>IF(B688="","",IF(M688&lt;33.0,0,IF(M688&gt;=100*0.8,5,IF(M688&gt;=100*0.7,4,IF(M688&gt;=100*0.6,3.5,IF(M688&gt;=100*0.5,3,IF(M688&gt;=100*0.4,2,IF(M688&gt;=100*0.33,1,0))))))))</f>
        <v/>
      </c>
      <c r="AF688">
        <f>IF(B688="","",IF(N688&lt;16.5,0,IF(N688&gt;=50*0.8,5,IF(N688&gt;=50*0.7,4,IF(N688&gt;=50*0.6,3.5,IF(N688&gt;=50*0.5,3,IF(N688&gt;=50*0.4,2,IF(N688&gt;=50*0.33,1,0))))))))</f>
        <v/>
      </c>
      <c r="AG688">
        <f>IF(B688="","",IF(O688&lt;33.0,0,IF(O688&gt;=100*0.8,5,IF(O688&gt;=100*0.7,4,IF(O688&gt;=100*0.6,3.5,IF(O688&gt;=100*0.5,3,IF(O688&gt;=100*0.4,2,IF(O688&gt;=100*0.33,1,0))))))))</f>
        <v/>
      </c>
      <c r="AH688">
        <f>IF(B688="","",IF(OR(U688=0,V688=0,W688=0,X688=0,Y688=0,Z688=0,AA688=0,AB688=0,AC688=0,AD688=0,AE688=0,AF688=0,AG688=0),1,0))</f>
        <v/>
      </c>
    </row>
    <row r="689">
      <c r="A689" s="3">
        <f>IF(B689="","",ROW()-2)</f>
        <v/>
      </c>
      <c r="P689" s="4">
        <f>IF(B689="","",SUM(C689:O689))</f>
        <v/>
      </c>
      <c r="Q689" s="5">
        <f>IF(B689="","",ROUND(P689/13,2))</f>
        <v/>
      </c>
      <c r="R689" s="5">
        <f>IF(B689="","",IF(AH689=1,0,MIN(5,ROUND((U689+V689+W689+X689+Y689+Z689+AA689+AB689+AC689+AD689+AE689+AF689+AG689)/13,2))))</f>
        <v/>
      </c>
      <c r="S689" s="3">
        <f>IF(B689="","",IF(R689&gt;=5,"A+",IF(R689&gt;=4,"A",IF(R689&gt;=3.5,"A-",IF(R689&gt;=3,"B",IF(R689&gt;=2,"C",IF(R689&gt;=1,"D","F")))))))</f>
        <v/>
      </c>
      <c r="T689" s="3">
        <f>IF(OR(B689="",S689="F"),"",COUNTIFS(P:P,"&gt;"&amp;P689,S:S,"&lt;&gt;F")+1)</f>
        <v/>
      </c>
      <c r="U689">
        <f>IF(B689="","",IF(C689&lt;33.0,0,IF(C689&gt;=100*0.8,5,IF(C689&gt;=100*0.7,4,IF(C689&gt;=100*0.6,3.5,IF(C689&gt;=100*0.5,3,IF(C689&gt;=100*0.4,2,IF(C689&gt;=100*0.33,1,0))))))))</f>
        <v/>
      </c>
      <c r="V689">
        <f>IF(B689="","",IF(D689&lt;33.0,0,IF(D689&gt;=100*0.8,5,IF(D689&gt;=100*0.7,4,IF(D689&gt;=100*0.6,3.5,IF(D689&gt;=100*0.5,3,IF(D689&gt;=100*0.4,2,IF(D689&gt;=100*0.33,1,0))))))))</f>
        <v/>
      </c>
      <c r="W689">
        <f>IF(B689="","",IF(E689&lt;16.5,0,IF(E689&gt;=50*0.8,5,IF(E689&gt;=50*0.7,4,IF(E689&gt;=50*0.6,3.5,IF(E689&gt;=50*0.5,3,IF(E689&gt;=50*0.4,2,IF(E689&gt;=50*0.33,1,0))))))))</f>
        <v/>
      </c>
      <c r="X689">
        <f>IF(B689="","",IF(F689&lt;33.0,0,IF(F689&gt;=100*0.8,5,IF(F689&gt;=100*0.7,4,IF(F689&gt;=100*0.6,3.5,IF(F689&gt;=100*0.5,3,IF(F689&gt;=100*0.4,2,IF(F689&gt;=100*0.33,1,0))))))))</f>
        <v/>
      </c>
      <c r="Y689">
        <f>IF(B689="","",IF(G689&lt;16.5,0,IF(G689&gt;=50*0.8,5,IF(G689&gt;=50*0.7,4,IF(G689&gt;=50*0.6,3.5,IF(G689&gt;=50*0.5,3,IF(G689&gt;=50*0.4,2,IF(G689&gt;=50*0.33,1,0))))))))</f>
        <v/>
      </c>
      <c r="Z689">
        <f>IF(B689="","",IF(H689&lt;33.0,0,IF(H689&gt;=100*0.8,5,IF(H689&gt;=100*0.7,4,IF(H689&gt;=100*0.6,3.5,IF(H689&gt;=100*0.5,3,IF(H689&gt;=100*0.4,2,IF(H689&gt;=100*0.33,1,0))))))))</f>
        <v/>
      </c>
      <c r="AA689">
        <f>IF(B689="","",IF(I689&lt;33.0,0,IF(I689&gt;=100*0.8,5,IF(I689&gt;=100*0.7,4,IF(I689&gt;=100*0.6,3.5,IF(I689&gt;=100*0.5,3,IF(I689&gt;=100*0.4,2,IF(I689&gt;=100*0.33,1,0))))))))</f>
        <v/>
      </c>
      <c r="AB689">
        <f>IF(B689="","",IF(J689&lt;33.0,0,IF(J689&gt;=100*0.8,5,IF(J689&gt;=100*0.7,4,IF(J689&gt;=100*0.6,3.5,IF(J689&gt;=100*0.5,3,IF(J689&gt;=100*0.4,2,IF(J689&gt;=100*0.33,1,0))))))))</f>
        <v/>
      </c>
      <c r="AC689">
        <f>IF(B689="","",IF(K689&lt;33.0,0,IF(K689&gt;=100*0.8,5,IF(K689&gt;=100*0.7,4,IF(K689&gt;=100*0.6,3.5,IF(K689&gt;=100*0.5,3,IF(K689&gt;=100*0.4,2,IF(K689&gt;=100*0.33,1,0))))))))</f>
        <v/>
      </c>
      <c r="AD689">
        <f>IF(B689="","",IF(L689&lt;33.0,0,IF(L689&gt;=100*0.8,5,IF(L689&gt;=100*0.7,4,IF(L689&gt;=100*0.6,3.5,IF(L689&gt;=100*0.5,3,IF(L689&gt;=100*0.4,2,IF(L689&gt;=100*0.33,1,0))))))))</f>
        <v/>
      </c>
      <c r="AE689">
        <f>IF(B689="","",IF(M689&lt;33.0,0,IF(M689&gt;=100*0.8,5,IF(M689&gt;=100*0.7,4,IF(M689&gt;=100*0.6,3.5,IF(M689&gt;=100*0.5,3,IF(M689&gt;=100*0.4,2,IF(M689&gt;=100*0.33,1,0))))))))</f>
        <v/>
      </c>
      <c r="AF689">
        <f>IF(B689="","",IF(N689&lt;16.5,0,IF(N689&gt;=50*0.8,5,IF(N689&gt;=50*0.7,4,IF(N689&gt;=50*0.6,3.5,IF(N689&gt;=50*0.5,3,IF(N689&gt;=50*0.4,2,IF(N689&gt;=50*0.33,1,0))))))))</f>
        <v/>
      </c>
      <c r="AG689">
        <f>IF(B689="","",IF(O689&lt;33.0,0,IF(O689&gt;=100*0.8,5,IF(O689&gt;=100*0.7,4,IF(O689&gt;=100*0.6,3.5,IF(O689&gt;=100*0.5,3,IF(O689&gt;=100*0.4,2,IF(O689&gt;=100*0.33,1,0))))))))</f>
        <v/>
      </c>
      <c r="AH689">
        <f>IF(B689="","",IF(OR(U689=0,V689=0,W689=0,X689=0,Y689=0,Z689=0,AA689=0,AB689=0,AC689=0,AD689=0,AE689=0,AF689=0,AG689=0),1,0))</f>
        <v/>
      </c>
    </row>
    <row r="690">
      <c r="A690" s="3">
        <f>IF(B690="","",ROW()-2)</f>
        <v/>
      </c>
      <c r="P690" s="4">
        <f>IF(B690="","",SUM(C690:O690))</f>
        <v/>
      </c>
      <c r="Q690" s="5">
        <f>IF(B690="","",ROUND(P690/13,2))</f>
        <v/>
      </c>
      <c r="R690" s="5">
        <f>IF(B690="","",IF(AH690=1,0,MIN(5,ROUND((U690+V690+W690+X690+Y690+Z690+AA690+AB690+AC690+AD690+AE690+AF690+AG690)/13,2))))</f>
        <v/>
      </c>
      <c r="S690" s="3">
        <f>IF(B690="","",IF(R690&gt;=5,"A+",IF(R690&gt;=4,"A",IF(R690&gt;=3.5,"A-",IF(R690&gt;=3,"B",IF(R690&gt;=2,"C",IF(R690&gt;=1,"D","F")))))))</f>
        <v/>
      </c>
      <c r="T690" s="3">
        <f>IF(OR(B690="",S690="F"),"",COUNTIFS(P:P,"&gt;"&amp;P690,S:S,"&lt;&gt;F")+1)</f>
        <v/>
      </c>
      <c r="U690">
        <f>IF(B690="","",IF(C690&lt;33.0,0,IF(C690&gt;=100*0.8,5,IF(C690&gt;=100*0.7,4,IF(C690&gt;=100*0.6,3.5,IF(C690&gt;=100*0.5,3,IF(C690&gt;=100*0.4,2,IF(C690&gt;=100*0.33,1,0))))))))</f>
        <v/>
      </c>
      <c r="V690">
        <f>IF(B690="","",IF(D690&lt;33.0,0,IF(D690&gt;=100*0.8,5,IF(D690&gt;=100*0.7,4,IF(D690&gt;=100*0.6,3.5,IF(D690&gt;=100*0.5,3,IF(D690&gt;=100*0.4,2,IF(D690&gt;=100*0.33,1,0))))))))</f>
        <v/>
      </c>
      <c r="W690">
        <f>IF(B690="","",IF(E690&lt;16.5,0,IF(E690&gt;=50*0.8,5,IF(E690&gt;=50*0.7,4,IF(E690&gt;=50*0.6,3.5,IF(E690&gt;=50*0.5,3,IF(E690&gt;=50*0.4,2,IF(E690&gt;=50*0.33,1,0))))))))</f>
        <v/>
      </c>
      <c r="X690">
        <f>IF(B690="","",IF(F690&lt;33.0,0,IF(F690&gt;=100*0.8,5,IF(F690&gt;=100*0.7,4,IF(F690&gt;=100*0.6,3.5,IF(F690&gt;=100*0.5,3,IF(F690&gt;=100*0.4,2,IF(F690&gt;=100*0.33,1,0))))))))</f>
        <v/>
      </c>
      <c r="Y690">
        <f>IF(B690="","",IF(G690&lt;16.5,0,IF(G690&gt;=50*0.8,5,IF(G690&gt;=50*0.7,4,IF(G690&gt;=50*0.6,3.5,IF(G690&gt;=50*0.5,3,IF(G690&gt;=50*0.4,2,IF(G690&gt;=50*0.33,1,0))))))))</f>
        <v/>
      </c>
      <c r="Z690">
        <f>IF(B690="","",IF(H690&lt;33.0,0,IF(H690&gt;=100*0.8,5,IF(H690&gt;=100*0.7,4,IF(H690&gt;=100*0.6,3.5,IF(H690&gt;=100*0.5,3,IF(H690&gt;=100*0.4,2,IF(H690&gt;=100*0.33,1,0))))))))</f>
        <v/>
      </c>
      <c r="AA690">
        <f>IF(B690="","",IF(I690&lt;33.0,0,IF(I690&gt;=100*0.8,5,IF(I690&gt;=100*0.7,4,IF(I690&gt;=100*0.6,3.5,IF(I690&gt;=100*0.5,3,IF(I690&gt;=100*0.4,2,IF(I690&gt;=100*0.33,1,0))))))))</f>
        <v/>
      </c>
      <c r="AB690">
        <f>IF(B690="","",IF(J690&lt;33.0,0,IF(J690&gt;=100*0.8,5,IF(J690&gt;=100*0.7,4,IF(J690&gt;=100*0.6,3.5,IF(J690&gt;=100*0.5,3,IF(J690&gt;=100*0.4,2,IF(J690&gt;=100*0.33,1,0))))))))</f>
        <v/>
      </c>
      <c r="AC690">
        <f>IF(B690="","",IF(K690&lt;33.0,0,IF(K690&gt;=100*0.8,5,IF(K690&gt;=100*0.7,4,IF(K690&gt;=100*0.6,3.5,IF(K690&gt;=100*0.5,3,IF(K690&gt;=100*0.4,2,IF(K690&gt;=100*0.33,1,0))))))))</f>
        <v/>
      </c>
      <c r="AD690">
        <f>IF(B690="","",IF(L690&lt;33.0,0,IF(L690&gt;=100*0.8,5,IF(L690&gt;=100*0.7,4,IF(L690&gt;=100*0.6,3.5,IF(L690&gt;=100*0.5,3,IF(L690&gt;=100*0.4,2,IF(L690&gt;=100*0.33,1,0))))))))</f>
        <v/>
      </c>
      <c r="AE690">
        <f>IF(B690="","",IF(M690&lt;33.0,0,IF(M690&gt;=100*0.8,5,IF(M690&gt;=100*0.7,4,IF(M690&gt;=100*0.6,3.5,IF(M690&gt;=100*0.5,3,IF(M690&gt;=100*0.4,2,IF(M690&gt;=100*0.33,1,0))))))))</f>
        <v/>
      </c>
      <c r="AF690">
        <f>IF(B690="","",IF(N690&lt;16.5,0,IF(N690&gt;=50*0.8,5,IF(N690&gt;=50*0.7,4,IF(N690&gt;=50*0.6,3.5,IF(N690&gt;=50*0.5,3,IF(N690&gt;=50*0.4,2,IF(N690&gt;=50*0.33,1,0))))))))</f>
        <v/>
      </c>
      <c r="AG690">
        <f>IF(B690="","",IF(O690&lt;33.0,0,IF(O690&gt;=100*0.8,5,IF(O690&gt;=100*0.7,4,IF(O690&gt;=100*0.6,3.5,IF(O690&gt;=100*0.5,3,IF(O690&gt;=100*0.4,2,IF(O690&gt;=100*0.33,1,0))))))))</f>
        <v/>
      </c>
      <c r="AH690">
        <f>IF(B690="","",IF(OR(U690=0,V690=0,W690=0,X690=0,Y690=0,Z690=0,AA690=0,AB690=0,AC690=0,AD690=0,AE690=0,AF690=0,AG690=0),1,0))</f>
        <v/>
      </c>
    </row>
    <row r="691">
      <c r="A691" s="3">
        <f>IF(B691="","",ROW()-2)</f>
        <v/>
      </c>
      <c r="P691" s="4">
        <f>IF(B691="","",SUM(C691:O691))</f>
        <v/>
      </c>
      <c r="Q691" s="5">
        <f>IF(B691="","",ROUND(P691/13,2))</f>
        <v/>
      </c>
      <c r="R691" s="5">
        <f>IF(B691="","",IF(AH691=1,0,MIN(5,ROUND((U691+V691+W691+X691+Y691+Z691+AA691+AB691+AC691+AD691+AE691+AF691+AG691)/13,2))))</f>
        <v/>
      </c>
      <c r="S691" s="3">
        <f>IF(B691="","",IF(R691&gt;=5,"A+",IF(R691&gt;=4,"A",IF(R691&gt;=3.5,"A-",IF(R691&gt;=3,"B",IF(R691&gt;=2,"C",IF(R691&gt;=1,"D","F")))))))</f>
        <v/>
      </c>
      <c r="T691" s="3">
        <f>IF(OR(B691="",S691="F"),"",COUNTIFS(P:P,"&gt;"&amp;P691,S:S,"&lt;&gt;F")+1)</f>
        <v/>
      </c>
      <c r="U691">
        <f>IF(B691="","",IF(C691&lt;33.0,0,IF(C691&gt;=100*0.8,5,IF(C691&gt;=100*0.7,4,IF(C691&gt;=100*0.6,3.5,IF(C691&gt;=100*0.5,3,IF(C691&gt;=100*0.4,2,IF(C691&gt;=100*0.33,1,0))))))))</f>
        <v/>
      </c>
      <c r="V691">
        <f>IF(B691="","",IF(D691&lt;33.0,0,IF(D691&gt;=100*0.8,5,IF(D691&gt;=100*0.7,4,IF(D691&gt;=100*0.6,3.5,IF(D691&gt;=100*0.5,3,IF(D691&gt;=100*0.4,2,IF(D691&gt;=100*0.33,1,0))))))))</f>
        <v/>
      </c>
      <c r="W691">
        <f>IF(B691="","",IF(E691&lt;16.5,0,IF(E691&gt;=50*0.8,5,IF(E691&gt;=50*0.7,4,IF(E691&gt;=50*0.6,3.5,IF(E691&gt;=50*0.5,3,IF(E691&gt;=50*0.4,2,IF(E691&gt;=50*0.33,1,0))))))))</f>
        <v/>
      </c>
      <c r="X691">
        <f>IF(B691="","",IF(F691&lt;33.0,0,IF(F691&gt;=100*0.8,5,IF(F691&gt;=100*0.7,4,IF(F691&gt;=100*0.6,3.5,IF(F691&gt;=100*0.5,3,IF(F691&gt;=100*0.4,2,IF(F691&gt;=100*0.33,1,0))))))))</f>
        <v/>
      </c>
      <c r="Y691">
        <f>IF(B691="","",IF(G691&lt;16.5,0,IF(G691&gt;=50*0.8,5,IF(G691&gt;=50*0.7,4,IF(G691&gt;=50*0.6,3.5,IF(G691&gt;=50*0.5,3,IF(G691&gt;=50*0.4,2,IF(G691&gt;=50*0.33,1,0))))))))</f>
        <v/>
      </c>
      <c r="Z691">
        <f>IF(B691="","",IF(H691&lt;33.0,0,IF(H691&gt;=100*0.8,5,IF(H691&gt;=100*0.7,4,IF(H691&gt;=100*0.6,3.5,IF(H691&gt;=100*0.5,3,IF(H691&gt;=100*0.4,2,IF(H691&gt;=100*0.33,1,0))))))))</f>
        <v/>
      </c>
      <c r="AA691">
        <f>IF(B691="","",IF(I691&lt;33.0,0,IF(I691&gt;=100*0.8,5,IF(I691&gt;=100*0.7,4,IF(I691&gt;=100*0.6,3.5,IF(I691&gt;=100*0.5,3,IF(I691&gt;=100*0.4,2,IF(I691&gt;=100*0.33,1,0))))))))</f>
        <v/>
      </c>
      <c r="AB691">
        <f>IF(B691="","",IF(J691&lt;33.0,0,IF(J691&gt;=100*0.8,5,IF(J691&gt;=100*0.7,4,IF(J691&gt;=100*0.6,3.5,IF(J691&gt;=100*0.5,3,IF(J691&gt;=100*0.4,2,IF(J691&gt;=100*0.33,1,0))))))))</f>
        <v/>
      </c>
      <c r="AC691">
        <f>IF(B691="","",IF(K691&lt;33.0,0,IF(K691&gt;=100*0.8,5,IF(K691&gt;=100*0.7,4,IF(K691&gt;=100*0.6,3.5,IF(K691&gt;=100*0.5,3,IF(K691&gt;=100*0.4,2,IF(K691&gt;=100*0.33,1,0))))))))</f>
        <v/>
      </c>
      <c r="AD691">
        <f>IF(B691="","",IF(L691&lt;33.0,0,IF(L691&gt;=100*0.8,5,IF(L691&gt;=100*0.7,4,IF(L691&gt;=100*0.6,3.5,IF(L691&gt;=100*0.5,3,IF(L691&gt;=100*0.4,2,IF(L691&gt;=100*0.33,1,0))))))))</f>
        <v/>
      </c>
      <c r="AE691">
        <f>IF(B691="","",IF(M691&lt;33.0,0,IF(M691&gt;=100*0.8,5,IF(M691&gt;=100*0.7,4,IF(M691&gt;=100*0.6,3.5,IF(M691&gt;=100*0.5,3,IF(M691&gt;=100*0.4,2,IF(M691&gt;=100*0.33,1,0))))))))</f>
        <v/>
      </c>
      <c r="AF691">
        <f>IF(B691="","",IF(N691&lt;16.5,0,IF(N691&gt;=50*0.8,5,IF(N691&gt;=50*0.7,4,IF(N691&gt;=50*0.6,3.5,IF(N691&gt;=50*0.5,3,IF(N691&gt;=50*0.4,2,IF(N691&gt;=50*0.33,1,0))))))))</f>
        <v/>
      </c>
      <c r="AG691">
        <f>IF(B691="","",IF(O691&lt;33.0,0,IF(O691&gt;=100*0.8,5,IF(O691&gt;=100*0.7,4,IF(O691&gt;=100*0.6,3.5,IF(O691&gt;=100*0.5,3,IF(O691&gt;=100*0.4,2,IF(O691&gt;=100*0.33,1,0))))))))</f>
        <v/>
      </c>
      <c r="AH691">
        <f>IF(B691="","",IF(OR(U691=0,V691=0,W691=0,X691=0,Y691=0,Z691=0,AA691=0,AB691=0,AC691=0,AD691=0,AE691=0,AF691=0,AG691=0),1,0))</f>
        <v/>
      </c>
    </row>
    <row r="692">
      <c r="A692" s="3">
        <f>IF(B692="","",ROW()-2)</f>
        <v/>
      </c>
      <c r="P692" s="4">
        <f>IF(B692="","",SUM(C692:O692))</f>
        <v/>
      </c>
      <c r="Q692" s="5">
        <f>IF(B692="","",ROUND(P692/13,2))</f>
        <v/>
      </c>
      <c r="R692" s="5">
        <f>IF(B692="","",IF(AH692=1,0,MIN(5,ROUND((U692+V692+W692+X692+Y692+Z692+AA692+AB692+AC692+AD692+AE692+AF692+AG692)/13,2))))</f>
        <v/>
      </c>
      <c r="S692" s="3">
        <f>IF(B692="","",IF(R692&gt;=5,"A+",IF(R692&gt;=4,"A",IF(R692&gt;=3.5,"A-",IF(R692&gt;=3,"B",IF(R692&gt;=2,"C",IF(R692&gt;=1,"D","F")))))))</f>
        <v/>
      </c>
      <c r="T692" s="3">
        <f>IF(OR(B692="",S692="F"),"",COUNTIFS(P:P,"&gt;"&amp;P692,S:S,"&lt;&gt;F")+1)</f>
        <v/>
      </c>
      <c r="U692">
        <f>IF(B692="","",IF(C692&lt;33.0,0,IF(C692&gt;=100*0.8,5,IF(C692&gt;=100*0.7,4,IF(C692&gt;=100*0.6,3.5,IF(C692&gt;=100*0.5,3,IF(C692&gt;=100*0.4,2,IF(C692&gt;=100*0.33,1,0))))))))</f>
        <v/>
      </c>
      <c r="V692">
        <f>IF(B692="","",IF(D692&lt;33.0,0,IF(D692&gt;=100*0.8,5,IF(D692&gt;=100*0.7,4,IF(D692&gt;=100*0.6,3.5,IF(D692&gt;=100*0.5,3,IF(D692&gt;=100*0.4,2,IF(D692&gt;=100*0.33,1,0))))))))</f>
        <v/>
      </c>
      <c r="W692">
        <f>IF(B692="","",IF(E692&lt;16.5,0,IF(E692&gt;=50*0.8,5,IF(E692&gt;=50*0.7,4,IF(E692&gt;=50*0.6,3.5,IF(E692&gt;=50*0.5,3,IF(E692&gt;=50*0.4,2,IF(E692&gt;=50*0.33,1,0))))))))</f>
        <v/>
      </c>
      <c r="X692">
        <f>IF(B692="","",IF(F692&lt;33.0,0,IF(F692&gt;=100*0.8,5,IF(F692&gt;=100*0.7,4,IF(F692&gt;=100*0.6,3.5,IF(F692&gt;=100*0.5,3,IF(F692&gt;=100*0.4,2,IF(F692&gt;=100*0.33,1,0))))))))</f>
        <v/>
      </c>
      <c r="Y692">
        <f>IF(B692="","",IF(G692&lt;16.5,0,IF(G692&gt;=50*0.8,5,IF(G692&gt;=50*0.7,4,IF(G692&gt;=50*0.6,3.5,IF(G692&gt;=50*0.5,3,IF(G692&gt;=50*0.4,2,IF(G692&gt;=50*0.33,1,0))))))))</f>
        <v/>
      </c>
      <c r="Z692">
        <f>IF(B692="","",IF(H692&lt;33.0,0,IF(H692&gt;=100*0.8,5,IF(H692&gt;=100*0.7,4,IF(H692&gt;=100*0.6,3.5,IF(H692&gt;=100*0.5,3,IF(H692&gt;=100*0.4,2,IF(H692&gt;=100*0.33,1,0))))))))</f>
        <v/>
      </c>
      <c r="AA692">
        <f>IF(B692="","",IF(I692&lt;33.0,0,IF(I692&gt;=100*0.8,5,IF(I692&gt;=100*0.7,4,IF(I692&gt;=100*0.6,3.5,IF(I692&gt;=100*0.5,3,IF(I692&gt;=100*0.4,2,IF(I692&gt;=100*0.33,1,0))))))))</f>
        <v/>
      </c>
      <c r="AB692">
        <f>IF(B692="","",IF(J692&lt;33.0,0,IF(J692&gt;=100*0.8,5,IF(J692&gt;=100*0.7,4,IF(J692&gt;=100*0.6,3.5,IF(J692&gt;=100*0.5,3,IF(J692&gt;=100*0.4,2,IF(J692&gt;=100*0.33,1,0))))))))</f>
        <v/>
      </c>
      <c r="AC692">
        <f>IF(B692="","",IF(K692&lt;33.0,0,IF(K692&gt;=100*0.8,5,IF(K692&gt;=100*0.7,4,IF(K692&gt;=100*0.6,3.5,IF(K692&gt;=100*0.5,3,IF(K692&gt;=100*0.4,2,IF(K692&gt;=100*0.33,1,0))))))))</f>
        <v/>
      </c>
      <c r="AD692">
        <f>IF(B692="","",IF(L692&lt;33.0,0,IF(L692&gt;=100*0.8,5,IF(L692&gt;=100*0.7,4,IF(L692&gt;=100*0.6,3.5,IF(L692&gt;=100*0.5,3,IF(L692&gt;=100*0.4,2,IF(L692&gt;=100*0.33,1,0))))))))</f>
        <v/>
      </c>
      <c r="AE692">
        <f>IF(B692="","",IF(M692&lt;33.0,0,IF(M692&gt;=100*0.8,5,IF(M692&gt;=100*0.7,4,IF(M692&gt;=100*0.6,3.5,IF(M692&gt;=100*0.5,3,IF(M692&gt;=100*0.4,2,IF(M692&gt;=100*0.33,1,0))))))))</f>
        <v/>
      </c>
      <c r="AF692">
        <f>IF(B692="","",IF(N692&lt;16.5,0,IF(N692&gt;=50*0.8,5,IF(N692&gt;=50*0.7,4,IF(N692&gt;=50*0.6,3.5,IF(N692&gt;=50*0.5,3,IF(N692&gt;=50*0.4,2,IF(N692&gt;=50*0.33,1,0))))))))</f>
        <v/>
      </c>
      <c r="AG692">
        <f>IF(B692="","",IF(O692&lt;33.0,0,IF(O692&gt;=100*0.8,5,IF(O692&gt;=100*0.7,4,IF(O692&gt;=100*0.6,3.5,IF(O692&gt;=100*0.5,3,IF(O692&gt;=100*0.4,2,IF(O692&gt;=100*0.33,1,0))))))))</f>
        <v/>
      </c>
      <c r="AH692">
        <f>IF(B692="","",IF(OR(U692=0,V692=0,W692=0,X692=0,Y692=0,Z692=0,AA692=0,AB692=0,AC692=0,AD692=0,AE692=0,AF692=0,AG692=0),1,0))</f>
        <v/>
      </c>
    </row>
    <row r="693">
      <c r="A693" s="3">
        <f>IF(B693="","",ROW()-2)</f>
        <v/>
      </c>
      <c r="P693" s="4">
        <f>IF(B693="","",SUM(C693:O693))</f>
        <v/>
      </c>
      <c r="Q693" s="5">
        <f>IF(B693="","",ROUND(P693/13,2))</f>
        <v/>
      </c>
      <c r="R693" s="5">
        <f>IF(B693="","",IF(AH693=1,0,MIN(5,ROUND((U693+V693+W693+X693+Y693+Z693+AA693+AB693+AC693+AD693+AE693+AF693+AG693)/13,2))))</f>
        <v/>
      </c>
      <c r="S693" s="3">
        <f>IF(B693="","",IF(R693&gt;=5,"A+",IF(R693&gt;=4,"A",IF(R693&gt;=3.5,"A-",IF(R693&gt;=3,"B",IF(R693&gt;=2,"C",IF(R693&gt;=1,"D","F")))))))</f>
        <v/>
      </c>
      <c r="T693" s="3">
        <f>IF(OR(B693="",S693="F"),"",COUNTIFS(P:P,"&gt;"&amp;P693,S:S,"&lt;&gt;F")+1)</f>
        <v/>
      </c>
      <c r="U693">
        <f>IF(B693="","",IF(C693&lt;33.0,0,IF(C693&gt;=100*0.8,5,IF(C693&gt;=100*0.7,4,IF(C693&gt;=100*0.6,3.5,IF(C693&gt;=100*0.5,3,IF(C693&gt;=100*0.4,2,IF(C693&gt;=100*0.33,1,0))))))))</f>
        <v/>
      </c>
      <c r="V693">
        <f>IF(B693="","",IF(D693&lt;33.0,0,IF(D693&gt;=100*0.8,5,IF(D693&gt;=100*0.7,4,IF(D693&gt;=100*0.6,3.5,IF(D693&gt;=100*0.5,3,IF(D693&gt;=100*0.4,2,IF(D693&gt;=100*0.33,1,0))))))))</f>
        <v/>
      </c>
      <c r="W693">
        <f>IF(B693="","",IF(E693&lt;16.5,0,IF(E693&gt;=50*0.8,5,IF(E693&gt;=50*0.7,4,IF(E693&gt;=50*0.6,3.5,IF(E693&gt;=50*0.5,3,IF(E693&gt;=50*0.4,2,IF(E693&gt;=50*0.33,1,0))))))))</f>
        <v/>
      </c>
      <c r="X693">
        <f>IF(B693="","",IF(F693&lt;33.0,0,IF(F693&gt;=100*0.8,5,IF(F693&gt;=100*0.7,4,IF(F693&gt;=100*0.6,3.5,IF(F693&gt;=100*0.5,3,IF(F693&gt;=100*0.4,2,IF(F693&gt;=100*0.33,1,0))))))))</f>
        <v/>
      </c>
      <c r="Y693">
        <f>IF(B693="","",IF(G693&lt;16.5,0,IF(G693&gt;=50*0.8,5,IF(G693&gt;=50*0.7,4,IF(G693&gt;=50*0.6,3.5,IF(G693&gt;=50*0.5,3,IF(G693&gt;=50*0.4,2,IF(G693&gt;=50*0.33,1,0))))))))</f>
        <v/>
      </c>
      <c r="Z693">
        <f>IF(B693="","",IF(H693&lt;33.0,0,IF(H693&gt;=100*0.8,5,IF(H693&gt;=100*0.7,4,IF(H693&gt;=100*0.6,3.5,IF(H693&gt;=100*0.5,3,IF(H693&gt;=100*0.4,2,IF(H693&gt;=100*0.33,1,0))))))))</f>
        <v/>
      </c>
      <c r="AA693">
        <f>IF(B693="","",IF(I693&lt;33.0,0,IF(I693&gt;=100*0.8,5,IF(I693&gt;=100*0.7,4,IF(I693&gt;=100*0.6,3.5,IF(I693&gt;=100*0.5,3,IF(I693&gt;=100*0.4,2,IF(I693&gt;=100*0.33,1,0))))))))</f>
        <v/>
      </c>
      <c r="AB693">
        <f>IF(B693="","",IF(J693&lt;33.0,0,IF(J693&gt;=100*0.8,5,IF(J693&gt;=100*0.7,4,IF(J693&gt;=100*0.6,3.5,IF(J693&gt;=100*0.5,3,IF(J693&gt;=100*0.4,2,IF(J693&gt;=100*0.33,1,0))))))))</f>
        <v/>
      </c>
      <c r="AC693">
        <f>IF(B693="","",IF(K693&lt;33.0,0,IF(K693&gt;=100*0.8,5,IF(K693&gt;=100*0.7,4,IF(K693&gt;=100*0.6,3.5,IF(K693&gt;=100*0.5,3,IF(K693&gt;=100*0.4,2,IF(K693&gt;=100*0.33,1,0))))))))</f>
        <v/>
      </c>
      <c r="AD693">
        <f>IF(B693="","",IF(L693&lt;33.0,0,IF(L693&gt;=100*0.8,5,IF(L693&gt;=100*0.7,4,IF(L693&gt;=100*0.6,3.5,IF(L693&gt;=100*0.5,3,IF(L693&gt;=100*0.4,2,IF(L693&gt;=100*0.33,1,0))))))))</f>
        <v/>
      </c>
      <c r="AE693">
        <f>IF(B693="","",IF(M693&lt;33.0,0,IF(M693&gt;=100*0.8,5,IF(M693&gt;=100*0.7,4,IF(M693&gt;=100*0.6,3.5,IF(M693&gt;=100*0.5,3,IF(M693&gt;=100*0.4,2,IF(M693&gt;=100*0.33,1,0))))))))</f>
        <v/>
      </c>
      <c r="AF693">
        <f>IF(B693="","",IF(N693&lt;16.5,0,IF(N693&gt;=50*0.8,5,IF(N693&gt;=50*0.7,4,IF(N693&gt;=50*0.6,3.5,IF(N693&gt;=50*0.5,3,IF(N693&gt;=50*0.4,2,IF(N693&gt;=50*0.33,1,0))))))))</f>
        <v/>
      </c>
      <c r="AG693">
        <f>IF(B693="","",IF(O693&lt;33.0,0,IF(O693&gt;=100*0.8,5,IF(O693&gt;=100*0.7,4,IF(O693&gt;=100*0.6,3.5,IF(O693&gt;=100*0.5,3,IF(O693&gt;=100*0.4,2,IF(O693&gt;=100*0.33,1,0))))))))</f>
        <v/>
      </c>
      <c r="AH693">
        <f>IF(B693="","",IF(OR(U693=0,V693=0,W693=0,X693=0,Y693=0,Z693=0,AA693=0,AB693=0,AC693=0,AD693=0,AE693=0,AF693=0,AG693=0),1,0))</f>
        <v/>
      </c>
    </row>
    <row r="694">
      <c r="A694" s="3">
        <f>IF(B694="","",ROW()-2)</f>
        <v/>
      </c>
      <c r="P694" s="4">
        <f>IF(B694="","",SUM(C694:O694))</f>
        <v/>
      </c>
      <c r="Q694" s="5">
        <f>IF(B694="","",ROUND(P694/13,2))</f>
        <v/>
      </c>
      <c r="R694" s="5">
        <f>IF(B694="","",IF(AH694=1,0,MIN(5,ROUND((U694+V694+W694+X694+Y694+Z694+AA694+AB694+AC694+AD694+AE694+AF694+AG694)/13,2))))</f>
        <v/>
      </c>
      <c r="S694" s="3">
        <f>IF(B694="","",IF(R694&gt;=5,"A+",IF(R694&gt;=4,"A",IF(R694&gt;=3.5,"A-",IF(R694&gt;=3,"B",IF(R694&gt;=2,"C",IF(R694&gt;=1,"D","F")))))))</f>
        <v/>
      </c>
      <c r="T694" s="3">
        <f>IF(OR(B694="",S694="F"),"",COUNTIFS(P:P,"&gt;"&amp;P694,S:S,"&lt;&gt;F")+1)</f>
        <v/>
      </c>
      <c r="U694">
        <f>IF(B694="","",IF(C694&lt;33.0,0,IF(C694&gt;=100*0.8,5,IF(C694&gt;=100*0.7,4,IF(C694&gt;=100*0.6,3.5,IF(C694&gt;=100*0.5,3,IF(C694&gt;=100*0.4,2,IF(C694&gt;=100*0.33,1,0))))))))</f>
        <v/>
      </c>
      <c r="V694">
        <f>IF(B694="","",IF(D694&lt;33.0,0,IF(D694&gt;=100*0.8,5,IF(D694&gt;=100*0.7,4,IF(D694&gt;=100*0.6,3.5,IF(D694&gt;=100*0.5,3,IF(D694&gt;=100*0.4,2,IF(D694&gt;=100*0.33,1,0))))))))</f>
        <v/>
      </c>
      <c r="W694">
        <f>IF(B694="","",IF(E694&lt;16.5,0,IF(E694&gt;=50*0.8,5,IF(E694&gt;=50*0.7,4,IF(E694&gt;=50*0.6,3.5,IF(E694&gt;=50*0.5,3,IF(E694&gt;=50*0.4,2,IF(E694&gt;=50*0.33,1,0))))))))</f>
        <v/>
      </c>
      <c r="X694">
        <f>IF(B694="","",IF(F694&lt;33.0,0,IF(F694&gt;=100*0.8,5,IF(F694&gt;=100*0.7,4,IF(F694&gt;=100*0.6,3.5,IF(F694&gt;=100*0.5,3,IF(F694&gt;=100*0.4,2,IF(F694&gt;=100*0.33,1,0))))))))</f>
        <v/>
      </c>
      <c r="Y694">
        <f>IF(B694="","",IF(G694&lt;16.5,0,IF(G694&gt;=50*0.8,5,IF(G694&gt;=50*0.7,4,IF(G694&gt;=50*0.6,3.5,IF(G694&gt;=50*0.5,3,IF(G694&gt;=50*0.4,2,IF(G694&gt;=50*0.33,1,0))))))))</f>
        <v/>
      </c>
      <c r="Z694">
        <f>IF(B694="","",IF(H694&lt;33.0,0,IF(H694&gt;=100*0.8,5,IF(H694&gt;=100*0.7,4,IF(H694&gt;=100*0.6,3.5,IF(H694&gt;=100*0.5,3,IF(H694&gt;=100*0.4,2,IF(H694&gt;=100*0.33,1,0))))))))</f>
        <v/>
      </c>
      <c r="AA694">
        <f>IF(B694="","",IF(I694&lt;33.0,0,IF(I694&gt;=100*0.8,5,IF(I694&gt;=100*0.7,4,IF(I694&gt;=100*0.6,3.5,IF(I694&gt;=100*0.5,3,IF(I694&gt;=100*0.4,2,IF(I694&gt;=100*0.33,1,0))))))))</f>
        <v/>
      </c>
      <c r="AB694">
        <f>IF(B694="","",IF(J694&lt;33.0,0,IF(J694&gt;=100*0.8,5,IF(J694&gt;=100*0.7,4,IF(J694&gt;=100*0.6,3.5,IF(J694&gt;=100*0.5,3,IF(J694&gt;=100*0.4,2,IF(J694&gt;=100*0.33,1,0))))))))</f>
        <v/>
      </c>
      <c r="AC694">
        <f>IF(B694="","",IF(K694&lt;33.0,0,IF(K694&gt;=100*0.8,5,IF(K694&gt;=100*0.7,4,IF(K694&gt;=100*0.6,3.5,IF(K694&gt;=100*0.5,3,IF(K694&gt;=100*0.4,2,IF(K694&gt;=100*0.33,1,0))))))))</f>
        <v/>
      </c>
      <c r="AD694">
        <f>IF(B694="","",IF(L694&lt;33.0,0,IF(L694&gt;=100*0.8,5,IF(L694&gt;=100*0.7,4,IF(L694&gt;=100*0.6,3.5,IF(L694&gt;=100*0.5,3,IF(L694&gt;=100*0.4,2,IF(L694&gt;=100*0.33,1,0))))))))</f>
        <v/>
      </c>
      <c r="AE694">
        <f>IF(B694="","",IF(M694&lt;33.0,0,IF(M694&gt;=100*0.8,5,IF(M694&gt;=100*0.7,4,IF(M694&gt;=100*0.6,3.5,IF(M694&gt;=100*0.5,3,IF(M694&gt;=100*0.4,2,IF(M694&gt;=100*0.33,1,0))))))))</f>
        <v/>
      </c>
      <c r="AF694">
        <f>IF(B694="","",IF(N694&lt;16.5,0,IF(N694&gt;=50*0.8,5,IF(N694&gt;=50*0.7,4,IF(N694&gt;=50*0.6,3.5,IF(N694&gt;=50*0.5,3,IF(N694&gt;=50*0.4,2,IF(N694&gt;=50*0.33,1,0))))))))</f>
        <v/>
      </c>
      <c r="AG694">
        <f>IF(B694="","",IF(O694&lt;33.0,0,IF(O694&gt;=100*0.8,5,IF(O694&gt;=100*0.7,4,IF(O694&gt;=100*0.6,3.5,IF(O694&gt;=100*0.5,3,IF(O694&gt;=100*0.4,2,IF(O694&gt;=100*0.33,1,0))))))))</f>
        <v/>
      </c>
      <c r="AH694">
        <f>IF(B694="","",IF(OR(U694=0,V694=0,W694=0,X694=0,Y694=0,Z694=0,AA694=0,AB694=0,AC694=0,AD694=0,AE694=0,AF694=0,AG694=0),1,0))</f>
        <v/>
      </c>
    </row>
    <row r="695">
      <c r="A695" s="3">
        <f>IF(B695="","",ROW()-2)</f>
        <v/>
      </c>
      <c r="P695" s="4">
        <f>IF(B695="","",SUM(C695:O695))</f>
        <v/>
      </c>
      <c r="Q695" s="5">
        <f>IF(B695="","",ROUND(P695/13,2))</f>
        <v/>
      </c>
      <c r="R695" s="5">
        <f>IF(B695="","",IF(AH695=1,0,MIN(5,ROUND((U695+V695+W695+X695+Y695+Z695+AA695+AB695+AC695+AD695+AE695+AF695+AG695)/13,2))))</f>
        <v/>
      </c>
      <c r="S695" s="3">
        <f>IF(B695="","",IF(R695&gt;=5,"A+",IF(R695&gt;=4,"A",IF(R695&gt;=3.5,"A-",IF(R695&gt;=3,"B",IF(R695&gt;=2,"C",IF(R695&gt;=1,"D","F")))))))</f>
        <v/>
      </c>
      <c r="T695" s="3">
        <f>IF(OR(B695="",S695="F"),"",COUNTIFS(P:P,"&gt;"&amp;P695,S:S,"&lt;&gt;F")+1)</f>
        <v/>
      </c>
      <c r="U695">
        <f>IF(B695="","",IF(C695&lt;33.0,0,IF(C695&gt;=100*0.8,5,IF(C695&gt;=100*0.7,4,IF(C695&gt;=100*0.6,3.5,IF(C695&gt;=100*0.5,3,IF(C695&gt;=100*0.4,2,IF(C695&gt;=100*0.33,1,0))))))))</f>
        <v/>
      </c>
      <c r="V695">
        <f>IF(B695="","",IF(D695&lt;33.0,0,IF(D695&gt;=100*0.8,5,IF(D695&gt;=100*0.7,4,IF(D695&gt;=100*0.6,3.5,IF(D695&gt;=100*0.5,3,IF(D695&gt;=100*0.4,2,IF(D695&gt;=100*0.33,1,0))))))))</f>
        <v/>
      </c>
      <c r="W695">
        <f>IF(B695="","",IF(E695&lt;16.5,0,IF(E695&gt;=50*0.8,5,IF(E695&gt;=50*0.7,4,IF(E695&gt;=50*0.6,3.5,IF(E695&gt;=50*0.5,3,IF(E695&gt;=50*0.4,2,IF(E695&gt;=50*0.33,1,0))))))))</f>
        <v/>
      </c>
      <c r="X695">
        <f>IF(B695="","",IF(F695&lt;33.0,0,IF(F695&gt;=100*0.8,5,IF(F695&gt;=100*0.7,4,IF(F695&gt;=100*0.6,3.5,IF(F695&gt;=100*0.5,3,IF(F695&gt;=100*0.4,2,IF(F695&gt;=100*0.33,1,0))))))))</f>
        <v/>
      </c>
      <c r="Y695">
        <f>IF(B695="","",IF(G695&lt;16.5,0,IF(G695&gt;=50*0.8,5,IF(G695&gt;=50*0.7,4,IF(G695&gt;=50*0.6,3.5,IF(G695&gt;=50*0.5,3,IF(G695&gt;=50*0.4,2,IF(G695&gt;=50*0.33,1,0))))))))</f>
        <v/>
      </c>
      <c r="Z695">
        <f>IF(B695="","",IF(H695&lt;33.0,0,IF(H695&gt;=100*0.8,5,IF(H695&gt;=100*0.7,4,IF(H695&gt;=100*0.6,3.5,IF(H695&gt;=100*0.5,3,IF(H695&gt;=100*0.4,2,IF(H695&gt;=100*0.33,1,0))))))))</f>
        <v/>
      </c>
      <c r="AA695">
        <f>IF(B695="","",IF(I695&lt;33.0,0,IF(I695&gt;=100*0.8,5,IF(I695&gt;=100*0.7,4,IF(I695&gt;=100*0.6,3.5,IF(I695&gt;=100*0.5,3,IF(I695&gt;=100*0.4,2,IF(I695&gt;=100*0.33,1,0))))))))</f>
        <v/>
      </c>
      <c r="AB695">
        <f>IF(B695="","",IF(J695&lt;33.0,0,IF(J695&gt;=100*0.8,5,IF(J695&gt;=100*0.7,4,IF(J695&gt;=100*0.6,3.5,IF(J695&gt;=100*0.5,3,IF(J695&gt;=100*0.4,2,IF(J695&gt;=100*0.33,1,0))))))))</f>
        <v/>
      </c>
      <c r="AC695">
        <f>IF(B695="","",IF(K695&lt;33.0,0,IF(K695&gt;=100*0.8,5,IF(K695&gt;=100*0.7,4,IF(K695&gt;=100*0.6,3.5,IF(K695&gt;=100*0.5,3,IF(K695&gt;=100*0.4,2,IF(K695&gt;=100*0.33,1,0))))))))</f>
        <v/>
      </c>
      <c r="AD695">
        <f>IF(B695="","",IF(L695&lt;33.0,0,IF(L695&gt;=100*0.8,5,IF(L695&gt;=100*0.7,4,IF(L695&gt;=100*0.6,3.5,IF(L695&gt;=100*0.5,3,IF(L695&gt;=100*0.4,2,IF(L695&gt;=100*0.33,1,0))))))))</f>
        <v/>
      </c>
      <c r="AE695">
        <f>IF(B695="","",IF(M695&lt;33.0,0,IF(M695&gt;=100*0.8,5,IF(M695&gt;=100*0.7,4,IF(M695&gt;=100*0.6,3.5,IF(M695&gt;=100*0.5,3,IF(M695&gt;=100*0.4,2,IF(M695&gt;=100*0.33,1,0))))))))</f>
        <v/>
      </c>
      <c r="AF695">
        <f>IF(B695="","",IF(N695&lt;16.5,0,IF(N695&gt;=50*0.8,5,IF(N695&gt;=50*0.7,4,IF(N695&gt;=50*0.6,3.5,IF(N695&gt;=50*0.5,3,IF(N695&gt;=50*0.4,2,IF(N695&gt;=50*0.33,1,0))))))))</f>
        <v/>
      </c>
      <c r="AG695">
        <f>IF(B695="","",IF(O695&lt;33.0,0,IF(O695&gt;=100*0.8,5,IF(O695&gt;=100*0.7,4,IF(O695&gt;=100*0.6,3.5,IF(O695&gt;=100*0.5,3,IF(O695&gt;=100*0.4,2,IF(O695&gt;=100*0.33,1,0))))))))</f>
        <v/>
      </c>
      <c r="AH695">
        <f>IF(B695="","",IF(OR(U695=0,V695=0,W695=0,X695=0,Y695=0,Z695=0,AA695=0,AB695=0,AC695=0,AD695=0,AE695=0,AF695=0,AG695=0),1,0))</f>
        <v/>
      </c>
    </row>
    <row r="696">
      <c r="A696" s="3">
        <f>IF(B696="","",ROW()-2)</f>
        <v/>
      </c>
      <c r="P696" s="4">
        <f>IF(B696="","",SUM(C696:O696))</f>
        <v/>
      </c>
      <c r="Q696" s="5">
        <f>IF(B696="","",ROUND(P696/13,2))</f>
        <v/>
      </c>
      <c r="R696" s="5">
        <f>IF(B696="","",IF(AH696=1,0,MIN(5,ROUND((U696+V696+W696+X696+Y696+Z696+AA696+AB696+AC696+AD696+AE696+AF696+AG696)/13,2))))</f>
        <v/>
      </c>
      <c r="S696" s="3">
        <f>IF(B696="","",IF(R696&gt;=5,"A+",IF(R696&gt;=4,"A",IF(R696&gt;=3.5,"A-",IF(R696&gt;=3,"B",IF(R696&gt;=2,"C",IF(R696&gt;=1,"D","F")))))))</f>
        <v/>
      </c>
      <c r="T696" s="3">
        <f>IF(OR(B696="",S696="F"),"",COUNTIFS(P:P,"&gt;"&amp;P696,S:S,"&lt;&gt;F")+1)</f>
        <v/>
      </c>
      <c r="U696">
        <f>IF(B696="","",IF(C696&lt;33.0,0,IF(C696&gt;=100*0.8,5,IF(C696&gt;=100*0.7,4,IF(C696&gt;=100*0.6,3.5,IF(C696&gt;=100*0.5,3,IF(C696&gt;=100*0.4,2,IF(C696&gt;=100*0.33,1,0))))))))</f>
        <v/>
      </c>
      <c r="V696">
        <f>IF(B696="","",IF(D696&lt;33.0,0,IF(D696&gt;=100*0.8,5,IF(D696&gt;=100*0.7,4,IF(D696&gt;=100*0.6,3.5,IF(D696&gt;=100*0.5,3,IF(D696&gt;=100*0.4,2,IF(D696&gt;=100*0.33,1,0))))))))</f>
        <v/>
      </c>
      <c r="W696">
        <f>IF(B696="","",IF(E696&lt;16.5,0,IF(E696&gt;=50*0.8,5,IF(E696&gt;=50*0.7,4,IF(E696&gt;=50*0.6,3.5,IF(E696&gt;=50*0.5,3,IF(E696&gt;=50*0.4,2,IF(E696&gt;=50*0.33,1,0))))))))</f>
        <v/>
      </c>
      <c r="X696">
        <f>IF(B696="","",IF(F696&lt;33.0,0,IF(F696&gt;=100*0.8,5,IF(F696&gt;=100*0.7,4,IF(F696&gt;=100*0.6,3.5,IF(F696&gt;=100*0.5,3,IF(F696&gt;=100*0.4,2,IF(F696&gt;=100*0.33,1,0))))))))</f>
        <v/>
      </c>
      <c r="Y696">
        <f>IF(B696="","",IF(G696&lt;16.5,0,IF(G696&gt;=50*0.8,5,IF(G696&gt;=50*0.7,4,IF(G696&gt;=50*0.6,3.5,IF(G696&gt;=50*0.5,3,IF(G696&gt;=50*0.4,2,IF(G696&gt;=50*0.33,1,0))))))))</f>
        <v/>
      </c>
      <c r="Z696">
        <f>IF(B696="","",IF(H696&lt;33.0,0,IF(H696&gt;=100*0.8,5,IF(H696&gt;=100*0.7,4,IF(H696&gt;=100*0.6,3.5,IF(H696&gt;=100*0.5,3,IF(H696&gt;=100*0.4,2,IF(H696&gt;=100*0.33,1,0))))))))</f>
        <v/>
      </c>
      <c r="AA696">
        <f>IF(B696="","",IF(I696&lt;33.0,0,IF(I696&gt;=100*0.8,5,IF(I696&gt;=100*0.7,4,IF(I696&gt;=100*0.6,3.5,IF(I696&gt;=100*0.5,3,IF(I696&gt;=100*0.4,2,IF(I696&gt;=100*0.33,1,0))))))))</f>
        <v/>
      </c>
      <c r="AB696">
        <f>IF(B696="","",IF(J696&lt;33.0,0,IF(J696&gt;=100*0.8,5,IF(J696&gt;=100*0.7,4,IF(J696&gt;=100*0.6,3.5,IF(J696&gt;=100*0.5,3,IF(J696&gt;=100*0.4,2,IF(J696&gt;=100*0.33,1,0))))))))</f>
        <v/>
      </c>
      <c r="AC696">
        <f>IF(B696="","",IF(K696&lt;33.0,0,IF(K696&gt;=100*0.8,5,IF(K696&gt;=100*0.7,4,IF(K696&gt;=100*0.6,3.5,IF(K696&gt;=100*0.5,3,IF(K696&gt;=100*0.4,2,IF(K696&gt;=100*0.33,1,0))))))))</f>
        <v/>
      </c>
      <c r="AD696">
        <f>IF(B696="","",IF(L696&lt;33.0,0,IF(L696&gt;=100*0.8,5,IF(L696&gt;=100*0.7,4,IF(L696&gt;=100*0.6,3.5,IF(L696&gt;=100*0.5,3,IF(L696&gt;=100*0.4,2,IF(L696&gt;=100*0.33,1,0))))))))</f>
        <v/>
      </c>
      <c r="AE696">
        <f>IF(B696="","",IF(M696&lt;33.0,0,IF(M696&gt;=100*0.8,5,IF(M696&gt;=100*0.7,4,IF(M696&gt;=100*0.6,3.5,IF(M696&gt;=100*0.5,3,IF(M696&gt;=100*0.4,2,IF(M696&gt;=100*0.33,1,0))))))))</f>
        <v/>
      </c>
      <c r="AF696">
        <f>IF(B696="","",IF(N696&lt;16.5,0,IF(N696&gt;=50*0.8,5,IF(N696&gt;=50*0.7,4,IF(N696&gt;=50*0.6,3.5,IF(N696&gt;=50*0.5,3,IF(N696&gt;=50*0.4,2,IF(N696&gt;=50*0.33,1,0))))))))</f>
        <v/>
      </c>
      <c r="AG696">
        <f>IF(B696="","",IF(O696&lt;33.0,0,IF(O696&gt;=100*0.8,5,IF(O696&gt;=100*0.7,4,IF(O696&gt;=100*0.6,3.5,IF(O696&gt;=100*0.5,3,IF(O696&gt;=100*0.4,2,IF(O696&gt;=100*0.33,1,0))))))))</f>
        <v/>
      </c>
      <c r="AH696">
        <f>IF(B696="","",IF(OR(U696=0,V696=0,W696=0,X696=0,Y696=0,Z696=0,AA696=0,AB696=0,AC696=0,AD696=0,AE696=0,AF696=0,AG696=0),1,0))</f>
        <v/>
      </c>
    </row>
    <row r="697">
      <c r="A697" s="3">
        <f>IF(B697="","",ROW()-2)</f>
        <v/>
      </c>
      <c r="P697" s="4">
        <f>IF(B697="","",SUM(C697:O697))</f>
        <v/>
      </c>
      <c r="Q697" s="5">
        <f>IF(B697="","",ROUND(P697/13,2))</f>
        <v/>
      </c>
      <c r="R697" s="5">
        <f>IF(B697="","",IF(AH697=1,0,MIN(5,ROUND((U697+V697+W697+X697+Y697+Z697+AA697+AB697+AC697+AD697+AE697+AF697+AG697)/13,2))))</f>
        <v/>
      </c>
      <c r="S697" s="3">
        <f>IF(B697="","",IF(R697&gt;=5,"A+",IF(R697&gt;=4,"A",IF(R697&gt;=3.5,"A-",IF(R697&gt;=3,"B",IF(R697&gt;=2,"C",IF(R697&gt;=1,"D","F")))))))</f>
        <v/>
      </c>
      <c r="T697" s="3">
        <f>IF(OR(B697="",S697="F"),"",COUNTIFS(P:P,"&gt;"&amp;P697,S:S,"&lt;&gt;F")+1)</f>
        <v/>
      </c>
      <c r="U697">
        <f>IF(B697="","",IF(C697&lt;33.0,0,IF(C697&gt;=100*0.8,5,IF(C697&gt;=100*0.7,4,IF(C697&gt;=100*0.6,3.5,IF(C697&gt;=100*0.5,3,IF(C697&gt;=100*0.4,2,IF(C697&gt;=100*0.33,1,0))))))))</f>
        <v/>
      </c>
      <c r="V697">
        <f>IF(B697="","",IF(D697&lt;33.0,0,IF(D697&gt;=100*0.8,5,IF(D697&gt;=100*0.7,4,IF(D697&gt;=100*0.6,3.5,IF(D697&gt;=100*0.5,3,IF(D697&gt;=100*0.4,2,IF(D697&gt;=100*0.33,1,0))))))))</f>
        <v/>
      </c>
      <c r="W697">
        <f>IF(B697="","",IF(E697&lt;16.5,0,IF(E697&gt;=50*0.8,5,IF(E697&gt;=50*0.7,4,IF(E697&gt;=50*0.6,3.5,IF(E697&gt;=50*0.5,3,IF(E697&gt;=50*0.4,2,IF(E697&gt;=50*0.33,1,0))))))))</f>
        <v/>
      </c>
      <c r="X697">
        <f>IF(B697="","",IF(F697&lt;33.0,0,IF(F697&gt;=100*0.8,5,IF(F697&gt;=100*0.7,4,IF(F697&gt;=100*0.6,3.5,IF(F697&gt;=100*0.5,3,IF(F697&gt;=100*0.4,2,IF(F697&gt;=100*0.33,1,0))))))))</f>
        <v/>
      </c>
      <c r="Y697">
        <f>IF(B697="","",IF(G697&lt;16.5,0,IF(G697&gt;=50*0.8,5,IF(G697&gt;=50*0.7,4,IF(G697&gt;=50*0.6,3.5,IF(G697&gt;=50*0.5,3,IF(G697&gt;=50*0.4,2,IF(G697&gt;=50*0.33,1,0))))))))</f>
        <v/>
      </c>
      <c r="Z697">
        <f>IF(B697="","",IF(H697&lt;33.0,0,IF(H697&gt;=100*0.8,5,IF(H697&gt;=100*0.7,4,IF(H697&gt;=100*0.6,3.5,IF(H697&gt;=100*0.5,3,IF(H697&gt;=100*0.4,2,IF(H697&gt;=100*0.33,1,0))))))))</f>
        <v/>
      </c>
      <c r="AA697">
        <f>IF(B697="","",IF(I697&lt;33.0,0,IF(I697&gt;=100*0.8,5,IF(I697&gt;=100*0.7,4,IF(I697&gt;=100*0.6,3.5,IF(I697&gt;=100*0.5,3,IF(I697&gt;=100*0.4,2,IF(I697&gt;=100*0.33,1,0))))))))</f>
        <v/>
      </c>
      <c r="AB697">
        <f>IF(B697="","",IF(J697&lt;33.0,0,IF(J697&gt;=100*0.8,5,IF(J697&gt;=100*0.7,4,IF(J697&gt;=100*0.6,3.5,IF(J697&gt;=100*0.5,3,IF(J697&gt;=100*0.4,2,IF(J697&gt;=100*0.33,1,0))))))))</f>
        <v/>
      </c>
      <c r="AC697">
        <f>IF(B697="","",IF(K697&lt;33.0,0,IF(K697&gt;=100*0.8,5,IF(K697&gt;=100*0.7,4,IF(K697&gt;=100*0.6,3.5,IF(K697&gt;=100*0.5,3,IF(K697&gt;=100*0.4,2,IF(K697&gt;=100*0.33,1,0))))))))</f>
        <v/>
      </c>
      <c r="AD697">
        <f>IF(B697="","",IF(L697&lt;33.0,0,IF(L697&gt;=100*0.8,5,IF(L697&gt;=100*0.7,4,IF(L697&gt;=100*0.6,3.5,IF(L697&gt;=100*0.5,3,IF(L697&gt;=100*0.4,2,IF(L697&gt;=100*0.33,1,0))))))))</f>
        <v/>
      </c>
      <c r="AE697">
        <f>IF(B697="","",IF(M697&lt;33.0,0,IF(M697&gt;=100*0.8,5,IF(M697&gt;=100*0.7,4,IF(M697&gt;=100*0.6,3.5,IF(M697&gt;=100*0.5,3,IF(M697&gt;=100*0.4,2,IF(M697&gt;=100*0.33,1,0))))))))</f>
        <v/>
      </c>
      <c r="AF697">
        <f>IF(B697="","",IF(N697&lt;16.5,0,IF(N697&gt;=50*0.8,5,IF(N697&gt;=50*0.7,4,IF(N697&gt;=50*0.6,3.5,IF(N697&gt;=50*0.5,3,IF(N697&gt;=50*0.4,2,IF(N697&gt;=50*0.33,1,0))))))))</f>
        <v/>
      </c>
      <c r="AG697">
        <f>IF(B697="","",IF(O697&lt;33.0,0,IF(O697&gt;=100*0.8,5,IF(O697&gt;=100*0.7,4,IF(O697&gt;=100*0.6,3.5,IF(O697&gt;=100*0.5,3,IF(O697&gt;=100*0.4,2,IF(O697&gt;=100*0.33,1,0))))))))</f>
        <v/>
      </c>
      <c r="AH697">
        <f>IF(B697="","",IF(OR(U697=0,V697=0,W697=0,X697=0,Y697=0,Z697=0,AA697=0,AB697=0,AC697=0,AD697=0,AE697=0,AF697=0,AG697=0),1,0))</f>
        <v/>
      </c>
    </row>
    <row r="698">
      <c r="A698" s="3">
        <f>IF(B698="","",ROW()-2)</f>
        <v/>
      </c>
      <c r="P698" s="4">
        <f>IF(B698="","",SUM(C698:O698))</f>
        <v/>
      </c>
      <c r="Q698" s="5">
        <f>IF(B698="","",ROUND(P698/13,2))</f>
        <v/>
      </c>
      <c r="R698" s="5">
        <f>IF(B698="","",IF(AH698=1,0,MIN(5,ROUND((U698+V698+W698+X698+Y698+Z698+AA698+AB698+AC698+AD698+AE698+AF698+AG698)/13,2))))</f>
        <v/>
      </c>
      <c r="S698" s="3">
        <f>IF(B698="","",IF(R698&gt;=5,"A+",IF(R698&gt;=4,"A",IF(R698&gt;=3.5,"A-",IF(R698&gt;=3,"B",IF(R698&gt;=2,"C",IF(R698&gt;=1,"D","F")))))))</f>
        <v/>
      </c>
      <c r="T698" s="3">
        <f>IF(OR(B698="",S698="F"),"",COUNTIFS(P:P,"&gt;"&amp;P698,S:S,"&lt;&gt;F")+1)</f>
        <v/>
      </c>
      <c r="U698">
        <f>IF(B698="","",IF(C698&lt;33.0,0,IF(C698&gt;=100*0.8,5,IF(C698&gt;=100*0.7,4,IF(C698&gt;=100*0.6,3.5,IF(C698&gt;=100*0.5,3,IF(C698&gt;=100*0.4,2,IF(C698&gt;=100*0.33,1,0))))))))</f>
        <v/>
      </c>
      <c r="V698">
        <f>IF(B698="","",IF(D698&lt;33.0,0,IF(D698&gt;=100*0.8,5,IF(D698&gt;=100*0.7,4,IF(D698&gt;=100*0.6,3.5,IF(D698&gt;=100*0.5,3,IF(D698&gt;=100*0.4,2,IF(D698&gt;=100*0.33,1,0))))))))</f>
        <v/>
      </c>
      <c r="W698">
        <f>IF(B698="","",IF(E698&lt;16.5,0,IF(E698&gt;=50*0.8,5,IF(E698&gt;=50*0.7,4,IF(E698&gt;=50*0.6,3.5,IF(E698&gt;=50*0.5,3,IF(E698&gt;=50*0.4,2,IF(E698&gt;=50*0.33,1,0))))))))</f>
        <v/>
      </c>
      <c r="X698">
        <f>IF(B698="","",IF(F698&lt;33.0,0,IF(F698&gt;=100*0.8,5,IF(F698&gt;=100*0.7,4,IF(F698&gt;=100*0.6,3.5,IF(F698&gt;=100*0.5,3,IF(F698&gt;=100*0.4,2,IF(F698&gt;=100*0.33,1,0))))))))</f>
        <v/>
      </c>
      <c r="Y698">
        <f>IF(B698="","",IF(G698&lt;16.5,0,IF(G698&gt;=50*0.8,5,IF(G698&gt;=50*0.7,4,IF(G698&gt;=50*0.6,3.5,IF(G698&gt;=50*0.5,3,IF(G698&gt;=50*0.4,2,IF(G698&gt;=50*0.33,1,0))))))))</f>
        <v/>
      </c>
      <c r="Z698">
        <f>IF(B698="","",IF(H698&lt;33.0,0,IF(H698&gt;=100*0.8,5,IF(H698&gt;=100*0.7,4,IF(H698&gt;=100*0.6,3.5,IF(H698&gt;=100*0.5,3,IF(H698&gt;=100*0.4,2,IF(H698&gt;=100*0.33,1,0))))))))</f>
        <v/>
      </c>
      <c r="AA698">
        <f>IF(B698="","",IF(I698&lt;33.0,0,IF(I698&gt;=100*0.8,5,IF(I698&gt;=100*0.7,4,IF(I698&gt;=100*0.6,3.5,IF(I698&gt;=100*0.5,3,IF(I698&gt;=100*0.4,2,IF(I698&gt;=100*0.33,1,0))))))))</f>
        <v/>
      </c>
      <c r="AB698">
        <f>IF(B698="","",IF(J698&lt;33.0,0,IF(J698&gt;=100*0.8,5,IF(J698&gt;=100*0.7,4,IF(J698&gt;=100*0.6,3.5,IF(J698&gt;=100*0.5,3,IF(J698&gt;=100*0.4,2,IF(J698&gt;=100*0.33,1,0))))))))</f>
        <v/>
      </c>
      <c r="AC698">
        <f>IF(B698="","",IF(K698&lt;33.0,0,IF(K698&gt;=100*0.8,5,IF(K698&gt;=100*0.7,4,IF(K698&gt;=100*0.6,3.5,IF(K698&gt;=100*0.5,3,IF(K698&gt;=100*0.4,2,IF(K698&gt;=100*0.33,1,0))))))))</f>
        <v/>
      </c>
      <c r="AD698">
        <f>IF(B698="","",IF(L698&lt;33.0,0,IF(L698&gt;=100*0.8,5,IF(L698&gt;=100*0.7,4,IF(L698&gt;=100*0.6,3.5,IF(L698&gt;=100*0.5,3,IF(L698&gt;=100*0.4,2,IF(L698&gt;=100*0.33,1,0))))))))</f>
        <v/>
      </c>
      <c r="AE698">
        <f>IF(B698="","",IF(M698&lt;33.0,0,IF(M698&gt;=100*0.8,5,IF(M698&gt;=100*0.7,4,IF(M698&gt;=100*0.6,3.5,IF(M698&gt;=100*0.5,3,IF(M698&gt;=100*0.4,2,IF(M698&gt;=100*0.33,1,0))))))))</f>
        <v/>
      </c>
      <c r="AF698">
        <f>IF(B698="","",IF(N698&lt;16.5,0,IF(N698&gt;=50*0.8,5,IF(N698&gt;=50*0.7,4,IF(N698&gt;=50*0.6,3.5,IF(N698&gt;=50*0.5,3,IF(N698&gt;=50*0.4,2,IF(N698&gt;=50*0.33,1,0))))))))</f>
        <v/>
      </c>
      <c r="AG698">
        <f>IF(B698="","",IF(O698&lt;33.0,0,IF(O698&gt;=100*0.8,5,IF(O698&gt;=100*0.7,4,IF(O698&gt;=100*0.6,3.5,IF(O698&gt;=100*0.5,3,IF(O698&gt;=100*0.4,2,IF(O698&gt;=100*0.33,1,0))))))))</f>
        <v/>
      </c>
      <c r="AH698">
        <f>IF(B698="","",IF(OR(U698=0,V698=0,W698=0,X698=0,Y698=0,Z698=0,AA698=0,AB698=0,AC698=0,AD698=0,AE698=0,AF698=0,AG698=0),1,0))</f>
        <v/>
      </c>
    </row>
    <row r="699">
      <c r="A699" s="3">
        <f>IF(B699="","",ROW()-2)</f>
        <v/>
      </c>
      <c r="P699" s="4">
        <f>IF(B699="","",SUM(C699:O699))</f>
        <v/>
      </c>
      <c r="Q699" s="5">
        <f>IF(B699="","",ROUND(P699/13,2))</f>
        <v/>
      </c>
      <c r="R699" s="5">
        <f>IF(B699="","",IF(AH699=1,0,MIN(5,ROUND((U699+V699+W699+X699+Y699+Z699+AA699+AB699+AC699+AD699+AE699+AF699+AG699)/13,2))))</f>
        <v/>
      </c>
      <c r="S699" s="3">
        <f>IF(B699="","",IF(R699&gt;=5,"A+",IF(R699&gt;=4,"A",IF(R699&gt;=3.5,"A-",IF(R699&gt;=3,"B",IF(R699&gt;=2,"C",IF(R699&gt;=1,"D","F")))))))</f>
        <v/>
      </c>
      <c r="T699" s="3">
        <f>IF(OR(B699="",S699="F"),"",COUNTIFS(P:P,"&gt;"&amp;P699,S:S,"&lt;&gt;F")+1)</f>
        <v/>
      </c>
      <c r="U699">
        <f>IF(B699="","",IF(C699&lt;33.0,0,IF(C699&gt;=100*0.8,5,IF(C699&gt;=100*0.7,4,IF(C699&gt;=100*0.6,3.5,IF(C699&gt;=100*0.5,3,IF(C699&gt;=100*0.4,2,IF(C699&gt;=100*0.33,1,0))))))))</f>
        <v/>
      </c>
      <c r="V699">
        <f>IF(B699="","",IF(D699&lt;33.0,0,IF(D699&gt;=100*0.8,5,IF(D699&gt;=100*0.7,4,IF(D699&gt;=100*0.6,3.5,IF(D699&gt;=100*0.5,3,IF(D699&gt;=100*0.4,2,IF(D699&gt;=100*0.33,1,0))))))))</f>
        <v/>
      </c>
      <c r="W699">
        <f>IF(B699="","",IF(E699&lt;16.5,0,IF(E699&gt;=50*0.8,5,IF(E699&gt;=50*0.7,4,IF(E699&gt;=50*0.6,3.5,IF(E699&gt;=50*0.5,3,IF(E699&gt;=50*0.4,2,IF(E699&gt;=50*0.33,1,0))))))))</f>
        <v/>
      </c>
      <c r="X699">
        <f>IF(B699="","",IF(F699&lt;33.0,0,IF(F699&gt;=100*0.8,5,IF(F699&gt;=100*0.7,4,IF(F699&gt;=100*0.6,3.5,IF(F699&gt;=100*0.5,3,IF(F699&gt;=100*0.4,2,IF(F699&gt;=100*0.33,1,0))))))))</f>
        <v/>
      </c>
      <c r="Y699">
        <f>IF(B699="","",IF(G699&lt;16.5,0,IF(G699&gt;=50*0.8,5,IF(G699&gt;=50*0.7,4,IF(G699&gt;=50*0.6,3.5,IF(G699&gt;=50*0.5,3,IF(G699&gt;=50*0.4,2,IF(G699&gt;=50*0.33,1,0))))))))</f>
        <v/>
      </c>
      <c r="Z699">
        <f>IF(B699="","",IF(H699&lt;33.0,0,IF(H699&gt;=100*0.8,5,IF(H699&gt;=100*0.7,4,IF(H699&gt;=100*0.6,3.5,IF(H699&gt;=100*0.5,3,IF(H699&gt;=100*0.4,2,IF(H699&gt;=100*0.33,1,0))))))))</f>
        <v/>
      </c>
      <c r="AA699">
        <f>IF(B699="","",IF(I699&lt;33.0,0,IF(I699&gt;=100*0.8,5,IF(I699&gt;=100*0.7,4,IF(I699&gt;=100*0.6,3.5,IF(I699&gt;=100*0.5,3,IF(I699&gt;=100*0.4,2,IF(I699&gt;=100*0.33,1,0))))))))</f>
        <v/>
      </c>
      <c r="AB699">
        <f>IF(B699="","",IF(J699&lt;33.0,0,IF(J699&gt;=100*0.8,5,IF(J699&gt;=100*0.7,4,IF(J699&gt;=100*0.6,3.5,IF(J699&gt;=100*0.5,3,IF(J699&gt;=100*0.4,2,IF(J699&gt;=100*0.33,1,0))))))))</f>
        <v/>
      </c>
      <c r="AC699">
        <f>IF(B699="","",IF(K699&lt;33.0,0,IF(K699&gt;=100*0.8,5,IF(K699&gt;=100*0.7,4,IF(K699&gt;=100*0.6,3.5,IF(K699&gt;=100*0.5,3,IF(K699&gt;=100*0.4,2,IF(K699&gt;=100*0.33,1,0))))))))</f>
        <v/>
      </c>
      <c r="AD699">
        <f>IF(B699="","",IF(L699&lt;33.0,0,IF(L699&gt;=100*0.8,5,IF(L699&gt;=100*0.7,4,IF(L699&gt;=100*0.6,3.5,IF(L699&gt;=100*0.5,3,IF(L699&gt;=100*0.4,2,IF(L699&gt;=100*0.33,1,0))))))))</f>
        <v/>
      </c>
      <c r="AE699">
        <f>IF(B699="","",IF(M699&lt;33.0,0,IF(M699&gt;=100*0.8,5,IF(M699&gt;=100*0.7,4,IF(M699&gt;=100*0.6,3.5,IF(M699&gt;=100*0.5,3,IF(M699&gt;=100*0.4,2,IF(M699&gt;=100*0.33,1,0))))))))</f>
        <v/>
      </c>
      <c r="AF699">
        <f>IF(B699="","",IF(N699&lt;16.5,0,IF(N699&gt;=50*0.8,5,IF(N699&gt;=50*0.7,4,IF(N699&gt;=50*0.6,3.5,IF(N699&gt;=50*0.5,3,IF(N699&gt;=50*0.4,2,IF(N699&gt;=50*0.33,1,0))))))))</f>
        <v/>
      </c>
      <c r="AG699">
        <f>IF(B699="","",IF(O699&lt;33.0,0,IF(O699&gt;=100*0.8,5,IF(O699&gt;=100*0.7,4,IF(O699&gt;=100*0.6,3.5,IF(O699&gt;=100*0.5,3,IF(O699&gt;=100*0.4,2,IF(O699&gt;=100*0.33,1,0))))))))</f>
        <v/>
      </c>
      <c r="AH699">
        <f>IF(B699="","",IF(OR(U699=0,V699=0,W699=0,X699=0,Y699=0,Z699=0,AA699=0,AB699=0,AC699=0,AD699=0,AE699=0,AF699=0,AG699=0),1,0))</f>
        <v/>
      </c>
    </row>
    <row r="700">
      <c r="A700" s="3">
        <f>IF(B700="","",ROW()-2)</f>
        <v/>
      </c>
      <c r="P700" s="4">
        <f>IF(B700="","",SUM(C700:O700))</f>
        <v/>
      </c>
      <c r="Q700" s="5">
        <f>IF(B700="","",ROUND(P700/13,2))</f>
        <v/>
      </c>
      <c r="R700" s="5">
        <f>IF(B700="","",IF(AH700=1,0,MIN(5,ROUND((U700+V700+W700+X700+Y700+Z700+AA700+AB700+AC700+AD700+AE700+AF700+AG700)/13,2))))</f>
        <v/>
      </c>
      <c r="S700" s="3">
        <f>IF(B700="","",IF(R700&gt;=5,"A+",IF(R700&gt;=4,"A",IF(R700&gt;=3.5,"A-",IF(R700&gt;=3,"B",IF(R700&gt;=2,"C",IF(R700&gt;=1,"D","F")))))))</f>
        <v/>
      </c>
      <c r="T700" s="3">
        <f>IF(OR(B700="",S700="F"),"",COUNTIFS(P:P,"&gt;"&amp;P700,S:S,"&lt;&gt;F")+1)</f>
        <v/>
      </c>
      <c r="U700">
        <f>IF(B700="","",IF(C700&lt;33.0,0,IF(C700&gt;=100*0.8,5,IF(C700&gt;=100*0.7,4,IF(C700&gt;=100*0.6,3.5,IF(C700&gt;=100*0.5,3,IF(C700&gt;=100*0.4,2,IF(C700&gt;=100*0.33,1,0))))))))</f>
        <v/>
      </c>
      <c r="V700">
        <f>IF(B700="","",IF(D700&lt;33.0,0,IF(D700&gt;=100*0.8,5,IF(D700&gt;=100*0.7,4,IF(D700&gt;=100*0.6,3.5,IF(D700&gt;=100*0.5,3,IF(D700&gt;=100*0.4,2,IF(D700&gt;=100*0.33,1,0))))))))</f>
        <v/>
      </c>
      <c r="W700">
        <f>IF(B700="","",IF(E700&lt;16.5,0,IF(E700&gt;=50*0.8,5,IF(E700&gt;=50*0.7,4,IF(E700&gt;=50*0.6,3.5,IF(E700&gt;=50*0.5,3,IF(E700&gt;=50*0.4,2,IF(E700&gt;=50*0.33,1,0))))))))</f>
        <v/>
      </c>
      <c r="X700">
        <f>IF(B700="","",IF(F700&lt;33.0,0,IF(F700&gt;=100*0.8,5,IF(F700&gt;=100*0.7,4,IF(F700&gt;=100*0.6,3.5,IF(F700&gt;=100*0.5,3,IF(F700&gt;=100*0.4,2,IF(F700&gt;=100*0.33,1,0))))))))</f>
        <v/>
      </c>
      <c r="Y700">
        <f>IF(B700="","",IF(G700&lt;16.5,0,IF(G700&gt;=50*0.8,5,IF(G700&gt;=50*0.7,4,IF(G700&gt;=50*0.6,3.5,IF(G700&gt;=50*0.5,3,IF(G700&gt;=50*0.4,2,IF(G700&gt;=50*0.33,1,0))))))))</f>
        <v/>
      </c>
      <c r="Z700">
        <f>IF(B700="","",IF(H700&lt;33.0,0,IF(H700&gt;=100*0.8,5,IF(H700&gt;=100*0.7,4,IF(H700&gt;=100*0.6,3.5,IF(H700&gt;=100*0.5,3,IF(H700&gt;=100*0.4,2,IF(H700&gt;=100*0.33,1,0))))))))</f>
        <v/>
      </c>
      <c r="AA700">
        <f>IF(B700="","",IF(I700&lt;33.0,0,IF(I700&gt;=100*0.8,5,IF(I700&gt;=100*0.7,4,IF(I700&gt;=100*0.6,3.5,IF(I700&gt;=100*0.5,3,IF(I700&gt;=100*0.4,2,IF(I700&gt;=100*0.33,1,0))))))))</f>
        <v/>
      </c>
      <c r="AB700">
        <f>IF(B700="","",IF(J700&lt;33.0,0,IF(J700&gt;=100*0.8,5,IF(J700&gt;=100*0.7,4,IF(J700&gt;=100*0.6,3.5,IF(J700&gt;=100*0.5,3,IF(J700&gt;=100*0.4,2,IF(J700&gt;=100*0.33,1,0))))))))</f>
        <v/>
      </c>
      <c r="AC700">
        <f>IF(B700="","",IF(K700&lt;33.0,0,IF(K700&gt;=100*0.8,5,IF(K700&gt;=100*0.7,4,IF(K700&gt;=100*0.6,3.5,IF(K700&gt;=100*0.5,3,IF(K700&gt;=100*0.4,2,IF(K700&gt;=100*0.33,1,0))))))))</f>
        <v/>
      </c>
      <c r="AD700">
        <f>IF(B700="","",IF(L700&lt;33.0,0,IF(L700&gt;=100*0.8,5,IF(L700&gt;=100*0.7,4,IF(L700&gt;=100*0.6,3.5,IF(L700&gt;=100*0.5,3,IF(L700&gt;=100*0.4,2,IF(L700&gt;=100*0.33,1,0))))))))</f>
        <v/>
      </c>
      <c r="AE700">
        <f>IF(B700="","",IF(M700&lt;33.0,0,IF(M700&gt;=100*0.8,5,IF(M700&gt;=100*0.7,4,IF(M700&gt;=100*0.6,3.5,IF(M700&gt;=100*0.5,3,IF(M700&gt;=100*0.4,2,IF(M700&gt;=100*0.33,1,0))))))))</f>
        <v/>
      </c>
      <c r="AF700">
        <f>IF(B700="","",IF(N700&lt;16.5,0,IF(N700&gt;=50*0.8,5,IF(N700&gt;=50*0.7,4,IF(N700&gt;=50*0.6,3.5,IF(N700&gt;=50*0.5,3,IF(N700&gt;=50*0.4,2,IF(N700&gt;=50*0.33,1,0))))))))</f>
        <v/>
      </c>
      <c r="AG700">
        <f>IF(B700="","",IF(O700&lt;33.0,0,IF(O700&gt;=100*0.8,5,IF(O700&gt;=100*0.7,4,IF(O700&gt;=100*0.6,3.5,IF(O700&gt;=100*0.5,3,IF(O700&gt;=100*0.4,2,IF(O700&gt;=100*0.33,1,0))))))))</f>
        <v/>
      </c>
      <c r="AH700">
        <f>IF(B700="","",IF(OR(U700=0,V700=0,W700=0,X700=0,Y700=0,Z700=0,AA700=0,AB700=0,AC700=0,AD700=0,AE700=0,AF700=0,AG700=0),1,0))</f>
        <v/>
      </c>
    </row>
    <row r="701">
      <c r="A701" s="3">
        <f>IF(B701="","",ROW()-2)</f>
        <v/>
      </c>
      <c r="P701" s="4">
        <f>IF(B701="","",SUM(C701:O701))</f>
        <v/>
      </c>
      <c r="Q701" s="5">
        <f>IF(B701="","",ROUND(P701/13,2))</f>
        <v/>
      </c>
      <c r="R701" s="5">
        <f>IF(B701="","",IF(AH701=1,0,MIN(5,ROUND((U701+V701+W701+X701+Y701+Z701+AA701+AB701+AC701+AD701+AE701+AF701+AG701)/13,2))))</f>
        <v/>
      </c>
      <c r="S701" s="3">
        <f>IF(B701="","",IF(R701&gt;=5,"A+",IF(R701&gt;=4,"A",IF(R701&gt;=3.5,"A-",IF(R701&gt;=3,"B",IF(R701&gt;=2,"C",IF(R701&gt;=1,"D","F")))))))</f>
        <v/>
      </c>
      <c r="T701" s="3">
        <f>IF(OR(B701="",S701="F"),"",COUNTIFS(P:P,"&gt;"&amp;P701,S:S,"&lt;&gt;F")+1)</f>
        <v/>
      </c>
      <c r="U701">
        <f>IF(B701="","",IF(C701&lt;33.0,0,IF(C701&gt;=100*0.8,5,IF(C701&gt;=100*0.7,4,IF(C701&gt;=100*0.6,3.5,IF(C701&gt;=100*0.5,3,IF(C701&gt;=100*0.4,2,IF(C701&gt;=100*0.33,1,0))))))))</f>
        <v/>
      </c>
      <c r="V701">
        <f>IF(B701="","",IF(D701&lt;33.0,0,IF(D701&gt;=100*0.8,5,IF(D701&gt;=100*0.7,4,IF(D701&gt;=100*0.6,3.5,IF(D701&gt;=100*0.5,3,IF(D701&gt;=100*0.4,2,IF(D701&gt;=100*0.33,1,0))))))))</f>
        <v/>
      </c>
      <c r="W701">
        <f>IF(B701="","",IF(E701&lt;16.5,0,IF(E701&gt;=50*0.8,5,IF(E701&gt;=50*0.7,4,IF(E701&gt;=50*0.6,3.5,IF(E701&gt;=50*0.5,3,IF(E701&gt;=50*0.4,2,IF(E701&gt;=50*0.33,1,0))))))))</f>
        <v/>
      </c>
      <c r="X701">
        <f>IF(B701="","",IF(F701&lt;33.0,0,IF(F701&gt;=100*0.8,5,IF(F701&gt;=100*0.7,4,IF(F701&gt;=100*0.6,3.5,IF(F701&gt;=100*0.5,3,IF(F701&gt;=100*0.4,2,IF(F701&gt;=100*0.33,1,0))))))))</f>
        <v/>
      </c>
      <c r="Y701">
        <f>IF(B701="","",IF(G701&lt;16.5,0,IF(G701&gt;=50*0.8,5,IF(G701&gt;=50*0.7,4,IF(G701&gt;=50*0.6,3.5,IF(G701&gt;=50*0.5,3,IF(G701&gt;=50*0.4,2,IF(G701&gt;=50*0.33,1,0))))))))</f>
        <v/>
      </c>
      <c r="Z701">
        <f>IF(B701="","",IF(H701&lt;33.0,0,IF(H701&gt;=100*0.8,5,IF(H701&gt;=100*0.7,4,IF(H701&gt;=100*0.6,3.5,IF(H701&gt;=100*0.5,3,IF(H701&gt;=100*0.4,2,IF(H701&gt;=100*0.33,1,0))))))))</f>
        <v/>
      </c>
      <c r="AA701">
        <f>IF(B701="","",IF(I701&lt;33.0,0,IF(I701&gt;=100*0.8,5,IF(I701&gt;=100*0.7,4,IF(I701&gt;=100*0.6,3.5,IF(I701&gt;=100*0.5,3,IF(I701&gt;=100*0.4,2,IF(I701&gt;=100*0.33,1,0))))))))</f>
        <v/>
      </c>
      <c r="AB701">
        <f>IF(B701="","",IF(J701&lt;33.0,0,IF(J701&gt;=100*0.8,5,IF(J701&gt;=100*0.7,4,IF(J701&gt;=100*0.6,3.5,IF(J701&gt;=100*0.5,3,IF(J701&gt;=100*0.4,2,IF(J701&gt;=100*0.33,1,0))))))))</f>
        <v/>
      </c>
      <c r="AC701">
        <f>IF(B701="","",IF(K701&lt;33.0,0,IF(K701&gt;=100*0.8,5,IF(K701&gt;=100*0.7,4,IF(K701&gt;=100*0.6,3.5,IF(K701&gt;=100*0.5,3,IF(K701&gt;=100*0.4,2,IF(K701&gt;=100*0.33,1,0))))))))</f>
        <v/>
      </c>
      <c r="AD701">
        <f>IF(B701="","",IF(L701&lt;33.0,0,IF(L701&gt;=100*0.8,5,IF(L701&gt;=100*0.7,4,IF(L701&gt;=100*0.6,3.5,IF(L701&gt;=100*0.5,3,IF(L701&gt;=100*0.4,2,IF(L701&gt;=100*0.33,1,0))))))))</f>
        <v/>
      </c>
      <c r="AE701">
        <f>IF(B701="","",IF(M701&lt;33.0,0,IF(M701&gt;=100*0.8,5,IF(M701&gt;=100*0.7,4,IF(M701&gt;=100*0.6,3.5,IF(M701&gt;=100*0.5,3,IF(M701&gt;=100*0.4,2,IF(M701&gt;=100*0.33,1,0))))))))</f>
        <v/>
      </c>
      <c r="AF701">
        <f>IF(B701="","",IF(N701&lt;16.5,0,IF(N701&gt;=50*0.8,5,IF(N701&gt;=50*0.7,4,IF(N701&gt;=50*0.6,3.5,IF(N701&gt;=50*0.5,3,IF(N701&gt;=50*0.4,2,IF(N701&gt;=50*0.33,1,0))))))))</f>
        <v/>
      </c>
      <c r="AG701">
        <f>IF(B701="","",IF(O701&lt;33.0,0,IF(O701&gt;=100*0.8,5,IF(O701&gt;=100*0.7,4,IF(O701&gt;=100*0.6,3.5,IF(O701&gt;=100*0.5,3,IF(O701&gt;=100*0.4,2,IF(O701&gt;=100*0.33,1,0))))))))</f>
        <v/>
      </c>
      <c r="AH701">
        <f>IF(B701="","",IF(OR(U701=0,V701=0,W701=0,X701=0,Y701=0,Z701=0,AA701=0,AB701=0,AC701=0,AD701=0,AE701=0,AF701=0,AG701=0),1,0))</f>
        <v/>
      </c>
    </row>
    <row r="702">
      <c r="A702" s="3">
        <f>IF(B702="","",ROW()-2)</f>
        <v/>
      </c>
      <c r="P702" s="4">
        <f>IF(B702="","",SUM(C702:O702))</f>
        <v/>
      </c>
      <c r="Q702" s="5">
        <f>IF(B702="","",ROUND(P702/13,2))</f>
        <v/>
      </c>
      <c r="R702" s="5">
        <f>IF(B702="","",IF(AH702=1,0,MIN(5,ROUND((U702+V702+W702+X702+Y702+Z702+AA702+AB702+AC702+AD702+AE702+AF702+AG702)/13,2))))</f>
        <v/>
      </c>
      <c r="S702" s="3">
        <f>IF(B702="","",IF(R702&gt;=5,"A+",IF(R702&gt;=4,"A",IF(R702&gt;=3.5,"A-",IF(R702&gt;=3,"B",IF(R702&gt;=2,"C",IF(R702&gt;=1,"D","F")))))))</f>
        <v/>
      </c>
      <c r="T702" s="3">
        <f>IF(OR(B702="",S702="F"),"",COUNTIFS(P:P,"&gt;"&amp;P702,S:S,"&lt;&gt;F")+1)</f>
        <v/>
      </c>
      <c r="U702">
        <f>IF(B702="","",IF(C702&lt;33.0,0,IF(C702&gt;=100*0.8,5,IF(C702&gt;=100*0.7,4,IF(C702&gt;=100*0.6,3.5,IF(C702&gt;=100*0.5,3,IF(C702&gt;=100*0.4,2,IF(C702&gt;=100*0.33,1,0))))))))</f>
        <v/>
      </c>
      <c r="V702">
        <f>IF(B702="","",IF(D702&lt;33.0,0,IF(D702&gt;=100*0.8,5,IF(D702&gt;=100*0.7,4,IF(D702&gt;=100*0.6,3.5,IF(D702&gt;=100*0.5,3,IF(D702&gt;=100*0.4,2,IF(D702&gt;=100*0.33,1,0))))))))</f>
        <v/>
      </c>
      <c r="W702">
        <f>IF(B702="","",IF(E702&lt;16.5,0,IF(E702&gt;=50*0.8,5,IF(E702&gt;=50*0.7,4,IF(E702&gt;=50*0.6,3.5,IF(E702&gt;=50*0.5,3,IF(E702&gt;=50*0.4,2,IF(E702&gt;=50*0.33,1,0))))))))</f>
        <v/>
      </c>
      <c r="X702">
        <f>IF(B702="","",IF(F702&lt;33.0,0,IF(F702&gt;=100*0.8,5,IF(F702&gt;=100*0.7,4,IF(F702&gt;=100*0.6,3.5,IF(F702&gt;=100*0.5,3,IF(F702&gt;=100*0.4,2,IF(F702&gt;=100*0.33,1,0))))))))</f>
        <v/>
      </c>
      <c r="Y702">
        <f>IF(B702="","",IF(G702&lt;16.5,0,IF(G702&gt;=50*0.8,5,IF(G702&gt;=50*0.7,4,IF(G702&gt;=50*0.6,3.5,IF(G702&gt;=50*0.5,3,IF(G702&gt;=50*0.4,2,IF(G702&gt;=50*0.33,1,0))))))))</f>
        <v/>
      </c>
      <c r="Z702">
        <f>IF(B702="","",IF(H702&lt;33.0,0,IF(H702&gt;=100*0.8,5,IF(H702&gt;=100*0.7,4,IF(H702&gt;=100*0.6,3.5,IF(H702&gt;=100*0.5,3,IF(H702&gt;=100*0.4,2,IF(H702&gt;=100*0.33,1,0))))))))</f>
        <v/>
      </c>
      <c r="AA702">
        <f>IF(B702="","",IF(I702&lt;33.0,0,IF(I702&gt;=100*0.8,5,IF(I702&gt;=100*0.7,4,IF(I702&gt;=100*0.6,3.5,IF(I702&gt;=100*0.5,3,IF(I702&gt;=100*0.4,2,IF(I702&gt;=100*0.33,1,0))))))))</f>
        <v/>
      </c>
      <c r="AB702">
        <f>IF(B702="","",IF(J702&lt;33.0,0,IF(J702&gt;=100*0.8,5,IF(J702&gt;=100*0.7,4,IF(J702&gt;=100*0.6,3.5,IF(J702&gt;=100*0.5,3,IF(J702&gt;=100*0.4,2,IF(J702&gt;=100*0.33,1,0))))))))</f>
        <v/>
      </c>
      <c r="AC702">
        <f>IF(B702="","",IF(K702&lt;33.0,0,IF(K702&gt;=100*0.8,5,IF(K702&gt;=100*0.7,4,IF(K702&gt;=100*0.6,3.5,IF(K702&gt;=100*0.5,3,IF(K702&gt;=100*0.4,2,IF(K702&gt;=100*0.33,1,0))))))))</f>
        <v/>
      </c>
      <c r="AD702">
        <f>IF(B702="","",IF(L702&lt;33.0,0,IF(L702&gt;=100*0.8,5,IF(L702&gt;=100*0.7,4,IF(L702&gt;=100*0.6,3.5,IF(L702&gt;=100*0.5,3,IF(L702&gt;=100*0.4,2,IF(L702&gt;=100*0.33,1,0))))))))</f>
        <v/>
      </c>
      <c r="AE702">
        <f>IF(B702="","",IF(M702&lt;33.0,0,IF(M702&gt;=100*0.8,5,IF(M702&gt;=100*0.7,4,IF(M702&gt;=100*0.6,3.5,IF(M702&gt;=100*0.5,3,IF(M702&gt;=100*0.4,2,IF(M702&gt;=100*0.33,1,0))))))))</f>
        <v/>
      </c>
      <c r="AF702">
        <f>IF(B702="","",IF(N702&lt;16.5,0,IF(N702&gt;=50*0.8,5,IF(N702&gt;=50*0.7,4,IF(N702&gt;=50*0.6,3.5,IF(N702&gt;=50*0.5,3,IF(N702&gt;=50*0.4,2,IF(N702&gt;=50*0.33,1,0))))))))</f>
        <v/>
      </c>
      <c r="AG702">
        <f>IF(B702="","",IF(O702&lt;33.0,0,IF(O702&gt;=100*0.8,5,IF(O702&gt;=100*0.7,4,IF(O702&gt;=100*0.6,3.5,IF(O702&gt;=100*0.5,3,IF(O702&gt;=100*0.4,2,IF(O702&gt;=100*0.33,1,0))))))))</f>
        <v/>
      </c>
      <c r="AH702">
        <f>IF(B702="","",IF(OR(U702=0,V702=0,W702=0,X702=0,Y702=0,Z702=0,AA702=0,AB702=0,AC702=0,AD702=0,AE702=0,AF702=0,AG702=0),1,0))</f>
        <v/>
      </c>
    </row>
    <row r="703">
      <c r="A703" s="3">
        <f>IF(B703="","",ROW()-2)</f>
        <v/>
      </c>
      <c r="P703" s="4">
        <f>IF(B703="","",SUM(C703:O703))</f>
        <v/>
      </c>
      <c r="Q703" s="5">
        <f>IF(B703="","",ROUND(P703/13,2))</f>
        <v/>
      </c>
      <c r="R703" s="5">
        <f>IF(B703="","",IF(AH703=1,0,MIN(5,ROUND((U703+V703+W703+X703+Y703+Z703+AA703+AB703+AC703+AD703+AE703+AF703+AG703)/13,2))))</f>
        <v/>
      </c>
      <c r="S703" s="3">
        <f>IF(B703="","",IF(R703&gt;=5,"A+",IF(R703&gt;=4,"A",IF(R703&gt;=3.5,"A-",IF(R703&gt;=3,"B",IF(R703&gt;=2,"C",IF(R703&gt;=1,"D","F")))))))</f>
        <v/>
      </c>
      <c r="T703" s="3">
        <f>IF(OR(B703="",S703="F"),"",COUNTIFS(P:P,"&gt;"&amp;P703,S:S,"&lt;&gt;F")+1)</f>
        <v/>
      </c>
      <c r="U703">
        <f>IF(B703="","",IF(C703&lt;33.0,0,IF(C703&gt;=100*0.8,5,IF(C703&gt;=100*0.7,4,IF(C703&gt;=100*0.6,3.5,IF(C703&gt;=100*0.5,3,IF(C703&gt;=100*0.4,2,IF(C703&gt;=100*0.33,1,0))))))))</f>
        <v/>
      </c>
      <c r="V703">
        <f>IF(B703="","",IF(D703&lt;33.0,0,IF(D703&gt;=100*0.8,5,IF(D703&gt;=100*0.7,4,IF(D703&gt;=100*0.6,3.5,IF(D703&gt;=100*0.5,3,IF(D703&gt;=100*0.4,2,IF(D703&gt;=100*0.33,1,0))))))))</f>
        <v/>
      </c>
      <c r="W703">
        <f>IF(B703="","",IF(E703&lt;16.5,0,IF(E703&gt;=50*0.8,5,IF(E703&gt;=50*0.7,4,IF(E703&gt;=50*0.6,3.5,IF(E703&gt;=50*0.5,3,IF(E703&gt;=50*0.4,2,IF(E703&gt;=50*0.33,1,0))))))))</f>
        <v/>
      </c>
      <c r="X703">
        <f>IF(B703="","",IF(F703&lt;33.0,0,IF(F703&gt;=100*0.8,5,IF(F703&gt;=100*0.7,4,IF(F703&gt;=100*0.6,3.5,IF(F703&gt;=100*0.5,3,IF(F703&gt;=100*0.4,2,IF(F703&gt;=100*0.33,1,0))))))))</f>
        <v/>
      </c>
      <c r="Y703">
        <f>IF(B703="","",IF(G703&lt;16.5,0,IF(G703&gt;=50*0.8,5,IF(G703&gt;=50*0.7,4,IF(G703&gt;=50*0.6,3.5,IF(G703&gt;=50*0.5,3,IF(G703&gt;=50*0.4,2,IF(G703&gt;=50*0.33,1,0))))))))</f>
        <v/>
      </c>
      <c r="Z703">
        <f>IF(B703="","",IF(H703&lt;33.0,0,IF(H703&gt;=100*0.8,5,IF(H703&gt;=100*0.7,4,IF(H703&gt;=100*0.6,3.5,IF(H703&gt;=100*0.5,3,IF(H703&gt;=100*0.4,2,IF(H703&gt;=100*0.33,1,0))))))))</f>
        <v/>
      </c>
      <c r="AA703">
        <f>IF(B703="","",IF(I703&lt;33.0,0,IF(I703&gt;=100*0.8,5,IF(I703&gt;=100*0.7,4,IF(I703&gt;=100*0.6,3.5,IF(I703&gt;=100*0.5,3,IF(I703&gt;=100*0.4,2,IF(I703&gt;=100*0.33,1,0))))))))</f>
        <v/>
      </c>
      <c r="AB703">
        <f>IF(B703="","",IF(J703&lt;33.0,0,IF(J703&gt;=100*0.8,5,IF(J703&gt;=100*0.7,4,IF(J703&gt;=100*0.6,3.5,IF(J703&gt;=100*0.5,3,IF(J703&gt;=100*0.4,2,IF(J703&gt;=100*0.33,1,0))))))))</f>
        <v/>
      </c>
      <c r="AC703">
        <f>IF(B703="","",IF(K703&lt;33.0,0,IF(K703&gt;=100*0.8,5,IF(K703&gt;=100*0.7,4,IF(K703&gt;=100*0.6,3.5,IF(K703&gt;=100*0.5,3,IF(K703&gt;=100*0.4,2,IF(K703&gt;=100*0.33,1,0))))))))</f>
        <v/>
      </c>
      <c r="AD703">
        <f>IF(B703="","",IF(L703&lt;33.0,0,IF(L703&gt;=100*0.8,5,IF(L703&gt;=100*0.7,4,IF(L703&gt;=100*0.6,3.5,IF(L703&gt;=100*0.5,3,IF(L703&gt;=100*0.4,2,IF(L703&gt;=100*0.33,1,0))))))))</f>
        <v/>
      </c>
      <c r="AE703">
        <f>IF(B703="","",IF(M703&lt;33.0,0,IF(M703&gt;=100*0.8,5,IF(M703&gt;=100*0.7,4,IF(M703&gt;=100*0.6,3.5,IF(M703&gt;=100*0.5,3,IF(M703&gt;=100*0.4,2,IF(M703&gt;=100*0.33,1,0))))))))</f>
        <v/>
      </c>
      <c r="AF703">
        <f>IF(B703="","",IF(N703&lt;16.5,0,IF(N703&gt;=50*0.8,5,IF(N703&gt;=50*0.7,4,IF(N703&gt;=50*0.6,3.5,IF(N703&gt;=50*0.5,3,IF(N703&gt;=50*0.4,2,IF(N703&gt;=50*0.33,1,0))))))))</f>
        <v/>
      </c>
      <c r="AG703">
        <f>IF(B703="","",IF(O703&lt;33.0,0,IF(O703&gt;=100*0.8,5,IF(O703&gt;=100*0.7,4,IF(O703&gt;=100*0.6,3.5,IF(O703&gt;=100*0.5,3,IF(O703&gt;=100*0.4,2,IF(O703&gt;=100*0.33,1,0))))))))</f>
        <v/>
      </c>
      <c r="AH703">
        <f>IF(B703="","",IF(OR(U703=0,V703=0,W703=0,X703=0,Y703=0,Z703=0,AA703=0,AB703=0,AC703=0,AD703=0,AE703=0,AF703=0,AG703=0),1,0))</f>
        <v/>
      </c>
    </row>
    <row r="704">
      <c r="A704" s="3">
        <f>IF(B704="","",ROW()-2)</f>
        <v/>
      </c>
      <c r="P704" s="4">
        <f>IF(B704="","",SUM(C704:O704))</f>
        <v/>
      </c>
      <c r="Q704" s="5">
        <f>IF(B704="","",ROUND(P704/13,2))</f>
        <v/>
      </c>
      <c r="R704" s="5">
        <f>IF(B704="","",IF(AH704=1,0,MIN(5,ROUND((U704+V704+W704+X704+Y704+Z704+AA704+AB704+AC704+AD704+AE704+AF704+AG704)/13,2))))</f>
        <v/>
      </c>
      <c r="S704" s="3">
        <f>IF(B704="","",IF(R704&gt;=5,"A+",IF(R704&gt;=4,"A",IF(R704&gt;=3.5,"A-",IF(R704&gt;=3,"B",IF(R704&gt;=2,"C",IF(R704&gt;=1,"D","F")))))))</f>
        <v/>
      </c>
      <c r="T704" s="3">
        <f>IF(OR(B704="",S704="F"),"",COUNTIFS(P:P,"&gt;"&amp;P704,S:S,"&lt;&gt;F")+1)</f>
        <v/>
      </c>
      <c r="U704">
        <f>IF(B704="","",IF(C704&lt;33.0,0,IF(C704&gt;=100*0.8,5,IF(C704&gt;=100*0.7,4,IF(C704&gt;=100*0.6,3.5,IF(C704&gt;=100*0.5,3,IF(C704&gt;=100*0.4,2,IF(C704&gt;=100*0.33,1,0))))))))</f>
        <v/>
      </c>
      <c r="V704">
        <f>IF(B704="","",IF(D704&lt;33.0,0,IF(D704&gt;=100*0.8,5,IF(D704&gt;=100*0.7,4,IF(D704&gt;=100*0.6,3.5,IF(D704&gt;=100*0.5,3,IF(D704&gt;=100*0.4,2,IF(D704&gt;=100*0.33,1,0))))))))</f>
        <v/>
      </c>
      <c r="W704">
        <f>IF(B704="","",IF(E704&lt;16.5,0,IF(E704&gt;=50*0.8,5,IF(E704&gt;=50*0.7,4,IF(E704&gt;=50*0.6,3.5,IF(E704&gt;=50*0.5,3,IF(E704&gt;=50*0.4,2,IF(E704&gt;=50*0.33,1,0))))))))</f>
        <v/>
      </c>
      <c r="X704">
        <f>IF(B704="","",IF(F704&lt;33.0,0,IF(F704&gt;=100*0.8,5,IF(F704&gt;=100*0.7,4,IF(F704&gt;=100*0.6,3.5,IF(F704&gt;=100*0.5,3,IF(F704&gt;=100*0.4,2,IF(F704&gt;=100*0.33,1,0))))))))</f>
        <v/>
      </c>
      <c r="Y704">
        <f>IF(B704="","",IF(G704&lt;16.5,0,IF(G704&gt;=50*0.8,5,IF(G704&gt;=50*0.7,4,IF(G704&gt;=50*0.6,3.5,IF(G704&gt;=50*0.5,3,IF(G704&gt;=50*0.4,2,IF(G704&gt;=50*0.33,1,0))))))))</f>
        <v/>
      </c>
      <c r="Z704">
        <f>IF(B704="","",IF(H704&lt;33.0,0,IF(H704&gt;=100*0.8,5,IF(H704&gt;=100*0.7,4,IF(H704&gt;=100*0.6,3.5,IF(H704&gt;=100*0.5,3,IF(H704&gt;=100*0.4,2,IF(H704&gt;=100*0.33,1,0))))))))</f>
        <v/>
      </c>
      <c r="AA704">
        <f>IF(B704="","",IF(I704&lt;33.0,0,IF(I704&gt;=100*0.8,5,IF(I704&gt;=100*0.7,4,IF(I704&gt;=100*0.6,3.5,IF(I704&gt;=100*0.5,3,IF(I704&gt;=100*0.4,2,IF(I704&gt;=100*0.33,1,0))))))))</f>
        <v/>
      </c>
      <c r="AB704">
        <f>IF(B704="","",IF(J704&lt;33.0,0,IF(J704&gt;=100*0.8,5,IF(J704&gt;=100*0.7,4,IF(J704&gt;=100*0.6,3.5,IF(J704&gt;=100*0.5,3,IF(J704&gt;=100*0.4,2,IF(J704&gt;=100*0.33,1,0))))))))</f>
        <v/>
      </c>
      <c r="AC704">
        <f>IF(B704="","",IF(K704&lt;33.0,0,IF(K704&gt;=100*0.8,5,IF(K704&gt;=100*0.7,4,IF(K704&gt;=100*0.6,3.5,IF(K704&gt;=100*0.5,3,IF(K704&gt;=100*0.4,2,IF(K704&gt;=100*0.33,1,0))))))))</f>
        <v/>
      </c>
      <c r="AD704">
        <f>IF(B704="","",IF(L704&lt;33.0,0,IF(L704&gt;=100*0.8,5,IF(L704&gt;=100*0.7,4,IF(L704&gt;=100*0.6,3.5,IF(L704&gt;=100*0.5,3,IF(L704&gt;=100*0.4,2,IF(L704&gt;=100*0.33,1,0))))))))</f>
        <v/>
      </c>
      <c r="AE704">
        <f>IF(B704="","",IF(M704&lt;33.0,0,IF(M704&gt;=100*0.8,5,IF(M704&gt;=100*0.7,4,IF(M704&gt;=100*0.6,3.5,IF(M704&gt;=100*0.5,3,IF(M704&gt;=100*0.4,2,IF(M704&gt;=100*0.33,1,0))))))))</f>
        <v/>
      </c>
      <c r="AF704">
        <f>IF(B704="","",IF(N704&lt;16.5,0,IF(N704&gt;=50*0.8,5,IF(N704&gt;=50*0.7,4,IF(N704&gt;=50*0.6,3.5,IF(N704&gt;=50*0.5,3,IF(N704&gt;=50*0.4,2,IF(N704&gt;=50*0.33,1,0))))))))</f>
        <v/>
      </c>
      <c r="AG704">
        <f>IF(B704="","",IF(O704&lt;33.0,0,IF(O704&gt;=100*0.8,5,IF(O704&gt;=100*0.7,4,IF(O704&gt;=100*0.6,3.5,IF(O704&gt;=100*0.5,3,IF(O704&gt;=100*0.4,2,IF(O704&gt;=100*0.33,1,0))))))))</f>
        <v/>
      </c>
      <c r="AH704">
        <f>IF(B704="","",IF(OR(U704=0,V704=0,W704=0,X704=0,Y704=0,Z704=0,AA704=0,AB704=0,AC704=0,AD704=0,AE704=0,AF704=0,AG704=0),1,0))</f>
        <v/>
      </c>
    </row>
    <row r="705">
      <c r="A705" s="3">
        <f>IF(B705="","",ROW()-2)</f>
        <v/>
      </c>
      <c r="P705" s="4">
        <f>IF(B705="","",SUM(C705:O705))</f>
        <v/>
      </c>
      <c r="Q705" s="5">
        <f>IF(B705="","",ROUND(P705/13,2))</f>
        <v/>
      </c>
      <c r="R705" s="5">
        <f>IF(B705="","",IF(AH705=1,0,MIN(5,ROUND((U705+V705+W705+X705+Y705+Z705+AA705+AB705+AC705+AD705+AE705+AF705+AG705)/13,2))))</f>
        <v/>
      </c>
      <c r="S705" s="3">
        <f>IF(B705="","",IF(R705&gt;=5,"A+",IF(R705&gt;=4,"A",IF(R705&gt;=3.5,"A-",IF(R705&gt;=3,"B",IF(R705&gt;=2,"C",IF(R705&gt;=1,"D","F")))))))</f>
        <v/>
      </c>
      <c r="T705" s="3">
        <f>IF(OR(B705="",S705="F"),"",COUNTIFS(P:P,"&gt;"&amp;P705,S:S,"&lt;&gt;F")+1)</f>
        <v/>
      </c>
      <c r="U705">
        <f>IF(B705="","",IF(C705&lt;33.0,0,IF(C705&gt;=100*0.8,5,IF(C705&gt;=100*0.7,4,IF(C705&gt;=100*0.6,3.5,IF(C705&gt;=100*0.5,3,IF(C705&gt;=100*0.4,2,IF(C705&gt;=100*0.33,1,0))))))))</f>
        <v/>
      </c>
      <c r="V705">
        <f>IF(B705="","",IF(D705&lt;33.0,0,IF(D705&gt;=100*0.8,5,IF(D705&gt;=100*0.7,4,IF(D705&gt;=100*0.6,3.5,IF(D705&gt;=100*0.5,3,IF(D705&gt;=100*0.4,2,IF(D705&gt;=100*0.33,1,0))))))))</f>
        <v/>
      </c>
      <c r="W705">
        <f>IF(B705="","",IF(E705&lt;16.5,0,IF(E705&gt;=50*0.8,5,IF(E705&gt;=50*0.7,4,IF(E705&gt;=50*0.6,3.5,IF(E705&gt;=50*0.5,3,IF(E705&gt;=50*0.4,2,IF(E705&gt;=50*0.33,1,0))))))))</f>
        <v/>
      </c>
      <c r="X705">
        <f>IF(B705="","",IF(F705&lt;33.0,0,IF(F705&gt;=100*0.8,5,IF(F705&gt;=100*0.7,4,IF(F705&gt;=100*0.6,3.5,IF(F705&gt;=100*0.5,3,IF(F705&gt;=100*0.4,2,IF(F705&gt;=100*0.33,1,0))))))))</f>
        <v/>
      </c>
      <c r="Y705">
        <f>IF(B705="","",IF(G705&lt;16.5,0,IF(G705&gt;=50*0.8,5,IF(G705&gt;=50*0.7,4,IF(G705&gt;=50*0.6,3.5,IF(G705&gt;=50*0.5,3,IF(G705&gt;=50*0.4,2,IF(G705&gt;=50*0.33,1,0))))))))</f>
        <v/>
      </c>
      <c r="Z705">
        <f>IF(B705="","",IF(H705&lt;33.0,0,IF(H705&gt;=100*0.8,5,IF(H705&gt;=100*0.7,4,IF(H705&gt;=100*0.6,3.5,IF(H705&gt;=100*0.5,3,IF(H705&gt;=100*0.4,2,IF(H705&gt;=100*0.33,1,0))))))))</f>
        <v/>
      </c>
      <c r="AA705">
        <f>IF(B705="","",IF(I705&lt;33.0,0,IF(I705&gt;=100*0.8,5,IF(I705&gt;=100*0.7,4,IF(I705&gt;=100*0.6,3.5,IF(I705&gt;=100*0.5,3,IF(I705&gt;=100*0.4,2,IF(I705&gt;=100*0.33,1,0))))))))</f>
        <v/>
      </c>
      <c r="AB705">
        <f>IF(B705="","",IF(J705&lt;33.0,0,IF(J705&gt;=100*0.8,5,IF(J705&gt;=100*0.7,4,IF(J705&gt;=100*0.6,3.5,IF(J705&gt;=100*0.5,3,IF(J705&gt;=100*0.4,2,IF(J705&gt;=100*0.33,1,0))))))))</f>
        <v/>
      </c>
      <c r="AC705">
        <f>IF(B705="","",IF(K705&lt;33.0,0,IF(K705&gt;=100*0.8,5,IF(K705&gt;=100*0.7,4,IF(K705&gt;=100*0.6,3.5,IF(K705&gt;=100*0.5,3,IF(K705&gt;=100*0.4,2,IF(K705&gt;=100*0.33,1,0))))))))</f>
        <v/>
      </c>
      <c r="AD705">
        <f>IF(B705="","",IF(L705&lt;33.0,0,IF(L705&gt;=100*0.8,5,IF(L705&gt;=100*0.7,4,IF(L705&gt;=100*0.6,3.5,IF(L705&gt;=100*0.5,3,IF(L705&gt;=100*0.4,2,IF(L705&gt;=100*0.33,1,0))))))))</f>
        <v/>
      </c>
      <c r="AE705">
        <f>IF(B705="","",IF(M705&lt;33.0,0,IF(M705&gt;=100*0.8,5,IF(M705&gt;=100*0.7,4,IF(M705&gt;=100*0.6,3.5,IF(M705&gt;=100*0.5,3,IF(M705&gt;=100*0.4,2,IF(M705&gt;=100*0.33,1,0))))))))</f>
        <v/>
      </c>
      <c r="AF705">
        <f>IF(B705="","",IF(N705&lt;16.5,0,IF(N705&gt;=50*0.8,5,IF(N705&gt;=50*0.7,4,IF(N705&gt;=50*0.6,3.5,IF(N705&gt;=50*0.5,3,IF(N705&gt;=50*0.4,2,IF(N705&gt;=50*0.33,1,0))))))))</f>
        <v/>
      </c>
      <c r="AG705">
        <f>IF(B705="","",IF(O705&lt;33.0,0,IF(O705&gt;=100*0.8,5,IF(O705&gt;=100*0.7,4,IF(O705&gt;=100*0.6,3.5,IF(O705&gt;=100*0.5,3,IF(O705&gt;=100*0.4,2,IF(O705&gt;=100*0.33,1,0))))))))</f>
        <v/>
      </c>
      <c r="AH705">
        <f>IF(B705="","",IF(OR(U705=0,V705=0,W705=0,X705=0,Y705=0,Z705=0,AA705=0,AB705=0,AC705=0,AD705=0,AE705=0,AF705=0,AG705=0),1,0))</f>
        <v/>
      </c>
    </row>
    <row r="706">
      <c r="A706" s="3">
        <f>IF(B706="","",ROW()-2)</f>
        <v/>
      </c>
      <c r="P706" s="4">
        <f>IF(B706="","",SUM(C706:O706))</f>
        <v/>
      </c>
      <c r="Q706" s="5">
        <f>IF(B706="","",ROUND(P706/13,2))</f>
        <v/>
      </c>
      <c r="R706" s="5">
        <f>IF(B706="","",IF(AH706=1,0,MIN(5,ROUND((U706+V706+W706+X706+Y706+Z706+AA706+AB706+AC706+AD706+AE706+AF706+AG706)/13,2))))</f>
        <v/>
      </c>
      <c r="S706" s="3">
        <f>IF(B706="","",IF(R706&gt;=5,"A+",IF(R706&gt;=4,"A",IF(R706&gt;=3.5,"A-",IF(R706&gt;=3,"B",IF(R706&gt;=2,"C",IF(R706&gt;=1,"D","F")))))))</f>
        <v/>
      </c>
      <c r="T706" s="3">
        <f>IF(OR(B706="",S706="F"),"",COUNTIFS(P:P,"&gt;"&amp;P706,S:S,"&lt;&gt;F")+1)</f>
        <v/>
      </c>
      <c r="U706">
        <f>IF(B706="","",IF(C706&lt;33.0,0,IF(C706&gt;=100*0.8,5,IF(C706&gt;=100*0.7,4,IF(C706&gt;=100*0.6,3.5,IF(C706&gt;=100*0.5,3,IF(C706&gt;=100*0.4,2,IF(C706&gt;=100*0.33,1,0))))))))</f>
        <v/>
      </c>
      <c r="V706">
        <f>IF(B706="","",IF(D706&lt;33.0,0,IF(D706&gt;=100*0.8,5,IF(D706&gt;=100*0.7,4,IF(D706&gt;=100*0.6,3.5,IF(D706&gt;=100*0.5,3,IF(D706&gt;=100*0.4,2,IF(D706&gt;=100*0.33,1,0))))))))</f>
        <v/>
      </c>
      <c r="W706">
        <f>IF(B706="","",IF(E706&lt;16.5,0,IF(E706&gt;=50*0.8,5,IF(E706&gt;=50*0.7,4,IF(E706&gt;=50*0.6,3.5,IF(E706&gt;=50*0.5,3,IF(E706&gt;=50*0.4,2,IF(E706&gt;=50*0.33,1,0))))))))</f>
        <v/>
      </c>
      <c r="X706">
        <f>IF(B706="","",IF(F706&lt;33.0,0,IF(F706&gt;=100*0.8,5,IF(F706&gt;=100*0.7,4,IF(F706&gt;=100*0.6,3.5,IF(F706&gt;=100*0.5,3,IF(F706&gt;=100*0.4,2,IF(F706&gt;=100*0.33,1,0))))))))</f>
        <v/>
      </c>
      <c r="Y706">
        <f>IF(B706="","",IF(G706&lt;16.5,0,IF(G706&gt;=50*0.8,5,IF(G706&gt;=50*0.7,4,IF(G706&gt;=50*0.6,3.5,IF(G706&gt;=50*0.5,3,IF(G706&gt;=50*0.4,2,IF(G706&gt;=50*0.33,1,0))))))))</f>
        <v/>
      </c>
      <c r="Z706">
        <f>IF(B706="","",IF(H706&lt;33.0,0,IF(H706&gt;=100*0.8,5,IF(H706&gt;=100*0.7,4,IF(H706&gt;=100*0.6,3.5,IF(H706&gt;=100*0.5,3,IF(H706&gt;=100*0.4,2,IF(H706&gt;=100*0.33,1,0))))))))</f>
        <v/>
      </c>
      <c r="AA706">
        <f>IF(B706="","",IF(I706&lt;33.0,0,IF(I706&gt;=100*0.8,5,IF(I706&gt;=100*0.7,4,IF(I706&gt;=100*0.6,3.5,IF(I706&gt;=100*0.5,3,IF(I706&gt;=100*0.4,2,IF(I706&gt;=100*0.33,1,0))))))))</f>
        <v/>
      </c>
      <c r="AB706">
        <f>IF(B706="","",IF(J706&lt;33.0,0,IF(J706&gt;=100*0.8,5,IF(J706&gt;=100*0.7,4,IF(J706&gt;=100*0.6,3.5,IF(J706&gt;=100*0.5,3,IF(J706&gt;=100*0.4,2,IF(J706&gt;=100*0.33,1,0))))))))</f>
        <v/>
      </c>
      <c r="AC706">
        <f>IF(B706="","",IF(K706&lt;33.0,0,IF(K706&gt;=100*0.8,5,IF(K706&gt;=100*0.7,4,IF(K706&gt;=100*0.6,3.5,IF(K706&gt;=100*0.5,3,IF(K706&gt;=100*0.4,2,IF(K706&gt;=100*0.33,1,0))))))))</f>
        <v/>
      </c>
      <c r="AD706">
        <f>IF(B706="","",IF(L706&lt;33.0,0,IF(L706&gt;=100*0.8,5,IF(L706&gt;=100*0.7,4,IF(L706&gt;=100*0.6,3.5,IF(L706&gt;=100*0.5,3,IF(L706&gt;=100*0.4,2,IF(L706&gt;=100*0.33,1,0))))))))</f>
        <v/>
      </c>
      <c r="AE706">
        <f>IF(B706="","",IF(M706&lt;33.0,0,IF(M706&gt;=100*0.8,5,IF(M706&gt;=100*0.7,4,IF(M706&gt;=100*0.6,3.5,IF(M706&gt;=100*0.5,3,IF(M706&gt;=100*0.4,2,IF(M706&gt;=100*0.33,1,0))))))))</f>
        <v/>
      </c>
      <c r="AF706">
        <f>IF(B706="","",IF(N706&lt;16.5,0,IF(N706&gt;=50*0.8,5,IF(N706&gt;=50*0.7,4,IF(N706&gt;=50*0.6,3.5,IF(N706&gt;=50*0.5,3,IF(N706&gt;=50*0.4,2,IF(N706&gt;=50*0.33,1,0))))))))</f>
        <v/>
      </c>
      <c r="AG706">
        <f>IF(B706="","",IF(O706&lt;33.0,0,IF(O706&gt;=100*0.8,5,IF(O706&gt;=100*0.7,4,IF(O706&gt;=100*0.6,3.5,IF(O706&gt;=100*0.5,3,IF(O706&gt;=100*0.4,2,IF(O706&gt;=100*0.33,1,0))))))))</f>
        <v/>
      </c>
      <c r="AH706">
        <f>IF(B706="","",IF(OR(U706=0,V706=0,W706=0,X706=0,Y706=0,Z706=0,AA706=0,AB706=0,AC706=0,AD706=0,AE706=0,AF706=0,AG706=0),1,0))</f>
        <v/>
      </c>
    </row>
    <row r="707">
      <c r="A707" s="3">
        <f>IF(B707="","",ROW()-2)</f>
        <v/>
      </c>
      <c r="P707" s="4">
        <f>IF(B707="","",SUM(C707:O707))</f>
        <v/>
      </c>
      <c r="Q707" s="5">
        <f>IF(B707="","",ROUND(P707/13,2))</f>
        <v/>
      </c>
      <c r="R707" s="5">
        <f>IF(B707="","",IF(AH707=1,0,MIN(5,ROUND((U707+V707+W707+X707+Y707+Z707+AA707+AB707+AC707+AD707+AE707+AF707+AG707)/13,2))))</f>
        <v/>
      </c>
      <c r="S707" s="3">
        <f>IF(B707="","",IF(R707&gt;=5,"A+",IF(R707&gt;=4,"A",IF(R707&gt;=3.5,"A-",IF(R707&gt;=3,"B",IF(R707&gt;=2,"C",IF(R707&gt;=1,"D","F")))))))</f>
        <v/>
      </c>
      <c r="T707" s="3">
        <f>IF(OR(B707="",S707="F"),"",COUNTIFS(P:P,"&gt;"&amp;P707,S:S,"&lt;&gt;F")+1)</f>
        <v/>
      </c>
      <c r="U707">
        <f>IF(B707="","",IF(C707&lt;33.0,0,IF(C707&gt;=100*0.8,5,IF(C707&gt;=100*0.7,4,IF(C707&gt;=100*0.6,3.5,IF(C707&gt;=100*0.5,3,IF(C707&gt;=100*0.4,2,IF(C707&gt;=100*0.33,1,0))))))))</f>
        <v/>
      </c>
      <c r="V707">
        <f>IF(B707="","",IF(D707&lt;33.0,0,IF(D707&gt;=100*0.8,5,IF(D707&gt;=100*0.7,4,IF(D707&gt;=100*0.6,3.5,IF(D707&gt;=100*0.5,3,IF(D707&gt;=100*0.4,2,IF(D707&gt;=100*0.33,1,0))))))))</f>
        <v/>
      </c>
      <c r="W707">
        <f>IF(B707="","",IF(E707&lt;16.5,0,IF(E707&gt;=50*0.8,5,IF(E707&gt;=50*0.7,4,IF(E707&gt;=50*0.6,3.5,IF(E707&gt;=50*0.5,3,IF(E707&gt;=50*0.4,2,IF(E707&gt;=50*0.33,1,0))))))))</f>
        <v/>
      </c>
      <c r="X707">
        <f>IF(B707="","",IF(F707&lt;33.0,0,IF(F707&gt;=100*0.8,5,IF(F707&gt;=100*0.7,4,IF(F707&gt;=100*0.6,3.5,IF(F707&gt;=100*0.5,3,IF(F707&gt;=100*0.4,2,IF(F707&gt;=100*0.33,1,0))))))))</f>
        <v/>
      </c>
      <c r="Y707">
        <f>IF(B707="","",IF(G707&lt;16.5,0,IF(G707&gt;=50*0.8,5,IF(G707&gt;=50*0.7,4,IF(G707&gt;=50*0.6,3.5,IF(G707&gt;=50*0.5,3,IF(G707&gt;=50*0.4,2,IF(G707&gt;=50*0.33,1,0))))))))</f>
        <v/>
      </c>
      <c r="Z707">
        <f>IF(B707="","",IF(H707&lt;33.0,0,IF(H707&gt;=100*0.8,5,IF(H707&gt;=100*0.7,4,IF(H707&gt;=100*0.6,3.5,IF(H707&gt;=100*0.5,3,IF(H707&gt;=100*0.4,2,IF(H707&gt;=100*0.33,1,0))))))))</f>
        <v/>
      </c>
      <c r="AA707">
        <f>IF(B707="","",IF(I707&lt;33.0,0,IF(I707&gt;=100*0.8,5,IF(I707&gt;=100*0.7,4,IF(I707&gt;=100*0.6,3.5,IF(I707&gt;=100*0.5,3,IF(I707&gt;=100*0.4,2,IF(I707&gt;=100*0.33,1,0))))))))</f>
        <v/>
      </c>
      <c r="AB707">
        <f>IF(B707="","",IF(J707&lt;33.0,0,IF(J707&gt;=100*0.8,5,IF(J707&gt;=100*0.7,4,IF(J707&gt;=100*0.6,3.5,IF(J707&gt;=100*0.5,3,IF(J707&gt;=100*0.4,2,IF(J707&gt;=100*0.33,1,0))))))))</f>
        <v/>
      </c>
      <c r="AC707">
        <f>IF(B707="","",IF(K707&lt;33.0,0,IF(K707&gt;=100*0.8,5,IF(K707&gt;=100*0.7,4,IF(K707&gt;=100*0.6,3.5,IF(K707&gt;=100*0.5,3,IF(K707&gt;=100*0.4,2,IF(K707&gt;=100*0.33,1,0))))))))</f>
        <v/>
      </c>
      <c r="AD707">
        <f>IF(B707="","",IF(L707&lt;33.0,0,IF(L707&gt;=100*0.8,5,IF(L707&gt;=100*0.7,4,IF(L707&gt;=100*0.6,3.5,IF(L707&gt;=100*0.5,3,IF(L707&gt;=100*0.4,2,IF(L707&gt;=100*0.33,1,0))))))))</f>
        <v/>
      </c>
      <c r="AE707">
        <f>IF(B707="","",IF(M707&lt;33.0,0,IF(M707&gt;=100*0.8,5,IF(M707&gt;=100*0.7,4,IF(M707&gt;=100*0.6,3.5,IF(M707&gt;=100*0.5,3,IF(M707&gt;=100*0.4,2,IF(M707&gt;=100*0.33,1,0))))))))</f>
        <v/>
      </c>
      <c r="AF707">
        <f>IF(B707="","",IF(N707&lt;16.5,0,IF(N707&gt;=50*0.8,5,IF(N707&gt;=50*0.7,4,IF(N707&gt;=50*0.6,3.5,IF(N707&gt;=50*0.5,3,IF(N707&gt;=50*0.4,2,IF(N707&gt;=50*0.33,1,0))))))))</f>
        <v/>
      </c>
      <c r="AG707">
        <f>IF(B707="","",IF(O707&lt;33.0,0,IF(O707&gt;=100*0.8,5,IF(O707&gt;=100*0.7,4,IF(O707&gt;=100*0.6,3.5,IF(O707&gt;=100*0.5,3,IF(O707&gt;=100*0.4,2,IF(O707&gt;=100*0.33,1,0))))))))</f>
        <v/>
      </c>
      <c r="AH707">
        <f>IF(B707="","",IF(OR(U707=0,V707=0,W707=0,X707=0,Y707=0,Z707=0,AA707=0,AB707=0,AC707=0,AD707=0,AE707=0,AF707=0,AG707=0),1,0))</f>
        <v/>
      </c>
    </row>
    <row r="708">
      <c r="A708" s="3">
        <f>IF(B708="","",ROW()-2)</f>
        <v/>
      </c>
      <c r="P708" s="4">
        <f>IF(B708="","",SUM(C708:O708))</f>
        <v/>
      </c>
      <c r="Q708" s="5">
        <f>IF(B708="","",ROUND(P708/13,2))</f>
        <v/>
      </c>
      <c r="R708" s="5">
        <f>IF(B708="","",IF(AH708=1,0,MIN(5,ROUND((U708+V708+W708+X708+Y708+Z708+AA708+AB708+AC708+AD708+AE708+AF708+AG708)/13,2))))</f>
        <v/>
      </c>
      <c r="S708" s="3">
        <f>IF(B708="","",IF(R708&gt;=5,"A+",IF(R708&gt;=4,"A",IF(R708&gt;=3.5,"A-",IF(R708&gt;=3,"B",IF(R708&gt;=2,"C",IF(R708&gt;=1,"D","F")))))))</f>
        <v/>
      </c>
      <c r="T708" s="3">
        <f>IF(OR(B708="",S708="F"),"",COUNTIFS(P:P,"&gt;"&amp;P708,S:S,"&lt;&gt;F")+1)</f>
        <v/>
      </c>
      <c r="U708">
        <f>IF(B708="","",IF(C708&lt;33.0,0,IF(C708&gt;=100*0.8,5,IF(C708&gt;=100*0.7,4,IF(C708&gt;=100*0.6,3.5,IF(C708&gt;=100*0.5,3,IF(C708&gt;=100*0.4,2,IF(C708&gt;=100*0.33,1,0))))))))</f>
        <v/>
      </c>
      <c r="V708">
        <f>IF(B708="","",IF(D708&lt;33.0,0,IF(D708&gt;=100*0.8,5,IF(D708&gt;=100*0.7,4,IF(D708&gt;=100*0.6,3.5,IF(D708&gt;=100*0.5,3,IF(D708&gt;=100*0.4,2,IF(D708&gt;=100*0.33,1,0))))))))</f>
        <v/>
      </c>
      <c r="W708">
        <f>IF(B708="","",IF(E708&lt;16.5,0,IF(E708&gt;=50*0.8,5,IF(E708&gt;=50*0.7,4,IF(E708&gt;=50*0.6,3.5,IF(E708&gt;=50*0.5,3,IF(E708&gt;=50*0.4,2,IF(E708&gt;=50*0.33,1,0))))))))</f>
        <v/>
      </c>
      <c r="X708">
        <f>IF(B708="","",IF(F708&lt;33.0,0,IF(F708&gt;=100*0.8,5,IF(F708&gt;=100*0.7,4,IF(F708&gt;=100*0.6,3.5,IF(F708&gt;=100*0.5,3,IF(F708&gt;=100*0.4,2,IF(F708&gt;=100*0.33,1,0))))))))</f>
        <v/>
      </c>
      <c r="Y708">
        <f>IF(B708="","",IF(G708&lt;16.5,0,IF(G708&gt;=50*0.8,5,IF(G708&gt;=50*0.7,4,IF(G708&gt;=50*0.6,3.5,IF(G708&gt;=50*0.5,3,IF(G708&gt;=50*0.4,2,IF(G708&gt;=50*0.33,1,0))))))))</f>
        <v/>
      </c>
      <c r="Z708">
        <f>IF(B708="","",IF(H708&lt;33.0,0,IF(H708&gt;=100*0.8,5,IF(H708&gt;=100*0.7,4,IF(H708&gt;=100*0.6,3.5,IF(H708&gt;=100*0.5,3,IF(H708&gt;=100*0.4,2,IF(H708&gt;=100*0.33,1,0))))))))</f>
        <v/>
      </c>
      <c r="AA708">
        <f>IF(B708="","",IF(I708&lt;33.0,0,IF(I708&gt;=100*0.8,5,IF(I708&gt;=100*0.7,4,IF(I708&gt;=100*0.6,3.5,IF(I708&gt;=100*0.5,3,IF(I708&gt;=100*0.4,2,IF(I708&gt;=100*0.33,1,0))))))))</f>
        <v/>
      </c>
      <c r="AB708">
        <f>IF(B708="","",IF(J708&lt;33.0,0,IF(J708&gt;=100*0.8,5,IF(J708&gt;=100*0.7,4,IF(J708&gt;=100*0.6,3.5,IF(J708&gt;=100*0.5,3,IF(J708&gt;=100*0.4,2,IF(J708&gt;=100*0.33,1,0))))))))</f>
        <v/>
      </c>
      <c r="AC708">
        <f>IF(B708="","",IF(K708&lt;33.0,0,IF(K708&gt;=100*0.8,5,IF(K708&gt;=100*0.7,4,IF(K708&gt;=100*0.6,3.5,IF(K708&gt;=100*0.5,3,IF(K708&gt;=100*0.4,2,IF(K708&gt;=100*0.33,1,0))))))))</f>
        <v/>
      </c>
      <c r="AD708">
        <f>IF(B708="","",IF(L708&lt;33.0,0,IF(L708&gt;=100*0.8,5,IF(L708&gt;=100*0.7,4,IF(L708&gt;=100*0.6,3.5,IF(L708&gt;=100*0.5,3,IF(L708&gt;=100*0.4,2,IF(L708&gt;=100*0.33,1,0))))))))</f>
        <v/>
      </c>
      <c r="AE708">
        <f>IF(B708="","",IF(M708&lt;33.0,0,IF(M708&gt;=100*0.8,5,IF(M708&gt;=100*0.7,4,IF(M708&gt;=100*0.6,3.5,IF(M708&gt;=100*0.5,3,IF(M708&gt;=100*0.4,2,IF(M708&gt;=100*0.33,1,0))))))))</f>
        <v/>
      </c>
      <c r="AF708">
        <f>IF(B708="","",IF(N708&lt;16.5,0,IF(N708&gt;=50*0.8,5,IF(N708&gt;=50*0.7,4,IF(N708&gt;=50*0.6,3.5,IF(N708&gt;=50*0.5,3,IF(N708&gt;=50*0.4,2,IF(N708&gt;=50*0.33,1,0))))))))</f>
        <v/>
      </c>
      <c r="AG708">
        <f>IF(B708="","",IF(O708&lt;33.0,0,IF(O708&gt;=100*0.8,5,IF(O708&gt;=100*0.7,4,IF(O708&gt;=100*0.6,3.5,IF(O708&gt;=100*0.5,3,IF(O708&gt;=100*0.4,2,IF(O708&gt;=100*0.33,1,0))))))))</f>
        <v/>
      </c>
      <c r="AH708">
        <f>IF(B708="","",IF(OR(U708=0,V708=0,W708=0,X708=0,Y708=0,Z708=0,AA708=0,AB708=0,AC708=0,AD708=0,AE708=0,AF708=0,AG708=0),1,0))</f>
        <v/>
      </c>
    </row>
    <row r="709">
      <c r="A709" s="3">
        <f>IF(B709="","",ROW()-2)</f>
        <v/>
      </c>
      <c r="P709" s="4">
        <f>IF(B709="","",SUM(C709:O709))</f>
        <v/>
      </c>
      <c r="Q709" s="5">
        <f>IF(B709="","",ROUND(P709/13,2))</f>
        <v/>
      </c>
      <c r="R709" s="5">
        <f>IF(B709="","",IF(AH709=1,0,MIN(5,ROUND((U709+V709+W709+X709+Y709+Z709+AA709+AB709+AC709+AD709+AE709+AF709+AG709)/13,2))))</f>
        <v/>
      </c>
      <c r="S709" s="3">
        <f>IF(B709="","",IF(R709&gt;=5,"A+",IF(R709&gt;=4,"A",IF(R709&gt;=3.5,"A-",IF(R709&gt;=3,"B",IF(R709&gt;=2,"C",IF(R709&gt;=1,"D","F")))))))</f>
        <v/>
      </c>
      <c r="T709" s="3">
        <f>IF(OR(B709="",S709="F"),"",COUNTIFS(P:P,"&gt;"&amp;P709,S:S,"&lt;&gt;F")+1)</f>
        <v/>
      </c>
      <c r="U709">
        <f>IF(B709="","",IF(C709&lt;33.0,0,IF(C709&gt;=100*0.8,5,IF(C709&gt;=100*0.7,4,IF(C709&gt;=100*0.6,3.5,IF(C709&gt;=100*0.5,3,IF(C709&gt;=100*0.4,2,IF(C709&gt;=100*0.33,1,0))))))))</f>
        <v/>
      </c>
      <c r="V709">
        <f>IF(B709="","",IF(D709&lt;33.0,0,IF(D709&gt;=100*0.8,5,IF(D709&gt;=100*0.7,4,IF(D709&gt;=100*0.6,3.5,IF(D709&gt;=100*0.5,3,IF(D709&gt;=100*0.4,2,IF(D709&gt;=100*0.33,1,0))))))))</f>
        <v/>
      </c>
      <c r="W709">
        <f>IF(B709="","",IF(E709&lt;16.5,0,IF(E709&gt;=50*0.8,5,IF(E709&gt;=50*0.7,4,IF(E709&gt;=50*0.6,3.5,IF(E709&gt;=50*0.5,3,IF(E709&gt;=50*0.4,2,IF(E709&gt;=50*0.33,1,0))))))))</f>
        <v/>
      </c>
      <c r="X709">
        <f>IF(B709="","",IF(F709&lt;33.0,0,IF(F709&gt;=100*0.8,5,IF(F709&gt;=100*0.7,4,IF(F709&gt;=100*0.6,3.5,IF(F709&gt;=100*0.5,3,IF(F709&gt;=100*0.4,2,IF(F709&gt;=100*0.33,1,0))))))))</f>
        <v/>
      </c>
      <c r="Y709">
        <f>IF(B709="","",IF(G709&lt;16.5,0,IF(G709&gt;=50*0.8,5,IF(G709&gt;=50*0.7,4,IF(G709&gt;=50*0.6,3.5,IF(G709&gt;=50*0.5,3,IF(G709&gt;=50*0.4,2,IF(G709&gt;=50*0.33,1,0))))))))</f>
        <v/>
      </c>
      <c r="Z709">
        <f>IF(B709="","",IF(H709&lt;33.0,0,IF(H709&gt;=100*0.8,5,IF(H709&gt;=100*0.7,4,IF(H709&gt;=100*0.6,3.5,IF(H709&gt;=100*0.5,3,IF(H709&gt;=100*0.4,2,IF(H709&gt;=100*0.33,1,0))))))))</f>
        <v/>
      </c>
      <c r="AA709">
        <f>IF(B709="","",IF(I709&lt;33.0,0,IF(I709&gt;=100*0.8,5,IF(I709&gt;=100*0.7,4,IF(I709&gt;=100*0.6,3.5,IF(I709&gt;=100*0.5,3,IF(I709&gt;=100*0.4,2,IF(I709&gt;=100*0.33,1,0))))))))</f>
        <v/>
      </c>
      <c r="AB709">
        <f>IF(B709="","",IF(J709&lt;33.0,0,IF(J709&gt;=100*0.8,5,IF(J709&gt;=100*0.7,4,IF(J709&gt;=100*0.6,3.5,IF(J709&gt;=100*0.5,3,IF(J709&gt;=100*0.4,2,IF(J709&gt;=100*0.33,1,0))))))))</f>
        <v/>
      </c>
      <c r="AC709">
        <f>IF(B709="","",IF(K709&lt;33.0,0,IF(K709&gt;=100*0.8,5,IF(K709&gt;=100*0.7,4,IF(K709&gt;=100*0.6,3.5,IF(K709&gt;=100*0.5,3,IF(K709&gt;=100*0.4,2,IF(K709&gt;=100*0.33,1,0))))))))</f>
        <v/>
      </c>
      <c r="AD709">
        <f>IF(B709="","",IF(L709&lt;33.0,0,IF(L709&gt;=100*0.8,5,IF(L709&gt;=100*0.7,4,IF(L709&gt;=100*0.6,3.5,IF(L709&gt;=100*0.5,3,IF(L709&gt;=100*0.4,2,IF(L709&gt;=100*0.33,1,0))))))))</f>
        <v/>
      </c>
      <c r="AE709">
        <f>IF(B709="","",IF(M709&lt;33.0,0,IF(M709&gt;=100*0.8,5,IF(M709&gt;=100*0.7,4,IF(M709&gt;=100*0.6,3.5,IF(M709&gt;=100*0.5,3,IF(M709&gt;=100*0.4,2,IF(M709&gt;=100*0.33,1,0))))))))</f>
        <v/>
      </c>
      <c r="AF709">
        <f>IF(B709="","",IF(N709&lt;16.5,0,IF(N709&gt;=50*0.8,5,IF(N709&gt;=50*0.7,4,IF(N709&gt;=50*0.6,3.5,IF(N709&gt;=50*0.5,3,IF(N709&gt;=50*0.4,2,IF(N709&gt;=50*0.33,1,0))))))))</f>
        <v/>
      </c>
      <c r="AG709">
        <f>IF(B709="","",IF(O709&lt;33.0,0,IF(O709&gt;=100*0.8,5,IF(O709&gt;=100*0.7,4,IF(O709&gt;=100*0.6,3.5,IF(O709&gt;=100*0.5,3,IF(O709&gt;=100*0.4,2,IF(O709&gt;=100*0.33,1,0))))))))</f>
        <v/>
      </c>
      <c r="AH709">
        <f>IF(B709="","",IF(OR(U709=0,V709=0,W709=0,X709=0,Y709=0,Z709=0,AA709=0,AB709=0,AC709=0,AD709=0,AE709=0,AF709=0,AG709=0),1,0))</f>
        <v/>
      </c>
    </row>
    <row r="710">
      <c r="A710" s="3">
        <f>IF(B710="","",ROW()-2)</f>
        <v/>
      </c>
      <c r="P710" s="4">
        <f>IF(B710="","",SUM(C710:O710))</f>
        <v/>
      </c>
      <c r="Q710" s="5">
        <f>IF(B710="","",ROUND(P710/13,2))</f>
        <v/>
      </c>
      <c r="R710" s="5">
        <f>IF(B710="","",IF(AH710=1,0,MIN(5,ROUND((U710+V710+W710+X710+Y710+Z710+AA710+AB710+AC710+AD710+AE710+AF710+AG710)/13,2))))</f>
        <v/>
      </c>
      <c r="S710" s="3">
        <f>IF(B710="","",IF(R710&gt;=5,"A+",IF(R710&gt;=4,"A",IF(R710&gt;=3.5,"A-",IF(R710&gt;=3,"B",IF(R710&gt;=2,"C",IF(R710&gt;=1,"D","F")))))))</f>
        <v/>
      </c>
      <c r="T710" s="3">
        <f>IF(OR(B710="",S710="F"),"",COUNTIFS(P:P,"&gt;"&amp;P710,S:S,"&lt;&gt;F")+1)</f>
        <v/>
      </c>
      <c r="U710">
        <f>IF(B710="","",IF(C710&lt;33.0,0,IF(C710&gt;=100*0.8,5,IF(C710&gt;=100*0.7,4,IF(C710&gt;=100*0.6,3.5,IF(C710&gt;=100*0.5,3,IF(C710&gt;=100*0.4,2,IF(C710&gt;=100*0.33,1,0))))))))</f>
        <v/>
      </c>
      <c r="V710">
        <f>IF(B710="","",IF(D710&lt;33.0,0,IF(D710&gt;=100*0.8,5,IF(D710&gt;=100*0.7,4,IF(D710&gt;=100*0.6,3.5,IF(D710&gt;=100*0.5,3,IF(D710&gt;=100*0.4,2,IF(D710&gt;=100*0.33,1,0))))))))</f>
        <v/>
      </c>
      <c r="W710">
        <f>IF(B710="","",IF(E710&lt;16.5,0,IF(E710&gt;=50*0.8,5,IF(E710&gt;=50*0.7,4,IF(E710&gt;=50*0.6,3.5,IF(E710&gt;=50*0.5,3,IF(E710&gt;=50*0.4,2,IF(E710&gt;=50*0.33,1,0))))))))</f>
        <v/>
      </c>
      <c r="X710">
        <f>IF(B710="","",IF(F710&lt;33.0,0,IF(F710&gt;=100*0.8,5,IF(F710&gt;=100*0.7,4,IF(F710&gt;=100*0.6,3.5,IF(F710&gt;=100*0.5,3,IF(F710&gt;=100*0.4,2,IF(F710&gt;=100*0.33,1,0))))))))</f>
        <v/>
      </c>
      <c r="Y710">
        <f>IF(B710="","",IF(G710&lt;16.5,0,IF(G710&gt;=50*0.8,5,IF(G710&gt;=50*0.7,4,IF(G710&gt;=50*0.6,3.5,IF(G710&gt;=50*0.5,3,IF(G710&gt;=50*0.4,2,IF(G710&gt;=50*0.33,1,0))))))))</f>
        <v/>
      </c>
      <c r="Z710">
        <f>IF(B710="","",IF(H710&lt;33.0,0,IF(H710&gt;=100*0.8,5,IF(H710&gt;=100*0.7,4,IF(H710&gt;=100*0.6,3.5,IF(H710&gt;=100*0.5,3,IF(H710&gt;=100*0.4,2,IF(H710&gt;=100*0.33,1,0))))))))</f>
        <v/>
      </c>
      <c r="AA710">
        <f>IF(B710="","",IF(I710&lt;33.0,0,IF(I710&gt;=100*0.8,5,IF(I710&gt;=100*0.7,4,IF(I710&gt;=100*0.6,3.5,IF(I710&gt;=100*0.5,3,IF(I710&gt;=100*0.4,2,IF(I710&gt;=100*0.33,1,0))))))))</f>
        <v/>
      </c>
      <c r="AB710">
        <f>IF(B710="","",IF(J710&lt;33.0,0,IF(J710&gt;=100*0.8,5,IF(J710&gt;=100*0.7,4,IF(J710&gt;=100*0.6,3.5,IF(J710&gt;=100*0.5,3,IF(J710&gt;=100*0.4,2,IF(J710&gt;=100*0.33,1,0))))))))</f>
        <v/>
      </c>
      <c r="AC710">
        <f>IF(B710="","",IF(K710&lt;33.0,0,IF(K710&gt;=100*0.8,5,IF(K710&gt;=100*0.7,4,IF(K710&gt;=100*0.6,3.5,IF(K710&gt;=100*0.5,3,IF(K710&gt;=100*0.4,2,IF(K710&gt;=100*0.33,1,0))))))))</f>
        <v/>
      </c>
      <c r="AD710">
        <f>IF(B710="","",IF(L710&lt;33.0,0,IF(L710&gt;=100*0.8,5,IF(L710&gt;=100*0.7,4,IF(L710&gt;=100*0.6,3.5,IF(L710&gt;=100*0.5,3,IF(L710&gt;=100*0.4,2,IF(L710&gt;=100*0.33,1,0))))))))</f>
        <v/>
      </c>
      <c r="AE710">
        <f>IF(B710="","",IF(M710&lt;33.0,0,IF(M710&gt;=100*0.8,5,IF(M710&gt;=100*0.7,4,IF(M710&gt;=100*0.6,3.5,IF(M710&gt;=100*0.5,3,IF(M710&gt;=100*0.4,2,IF(M710&gt;=100*0.33,1,0))))))))</f>
        <v/>
      </c>
      <c r="AF710">
        <f>IF(B710="","",IF(N710&lt;16.5,0,IF(N710&gt;=50*0.8,5,IF(N710&gt;=50*0.7,4,IF(N710&gt;=50*0.6,3.5,IF(N710&gt;=50*0.5,3,IF(N710&gt;=50*0.4,2,IF(N710&gt;=50*0.33,1,0))))))))</f>
        <v/>
      </c>
      <c r="AG710">
        <f>IF(B710="","",IF(O710&lt;33.0,0,IF(O710&gt;=100*0.8,5,IF(O710&gt;=100*0.7,4,IF(O710&gt;=100*0.6,3.5,IF(O710&gt;=100*0.5,3,IF(O710&gt;=100*0.4,2,IF(O710&gt;=100*0.33,1,0))))))))</f>
        <v/>
      </c>
      <c r="AH710">
        <f>IF(B710="","",IF(OR(U710=0,V710=0,W710=0,X710=0,Y710=0,Z710=0,AA710=0,AB710=0,AC710=0,AD710=0,AE710=0,AF710=0,AG710=0),1,0))</f>
        <v/>
      </c>
    </row>
    <row r="711">
      <c r="A711" s="3">
        <f>IF(B711="","",ROW()-2)</f>
        <v/>
      </c>
      <c r="P711" s="4">
        <f>IF(B711="","",SUM(C711:O711))</f>
        <v/>
      </c>
      <c r="Q711" s="5">
        <f>IF(B711="","",ROUND(P711/13,2))</f>
        <v/>
      </c>
      <c r="R711" s="5">
        <f>IF(B711="","",IF(AH711=1,0,MIN(5,ROUND((U711+V711+W711+X711+Y711+Z711+AA711+AB711+AC711+AD711+AE711+AF711+AG711)/13,2))))</f>
        <v/>
      </c>
      <c r="S711" s="3">
        <f>IF(B711="","",IF(R711&gt;=5,"A+",IF(R711&gt;=4,"A",IF(R711&gt;=3.5,"A-",IF(R711&gt;=3,"B",IF(R711&gt;=2,"C",IF(R711&gt;=1,"D","F")))))))</f>
        <v/>
      </c>
      <c r="T711" s="3">
        <f>IF(OR(B711="",S711="F"),"",COUNTIFS(P:P,"&gt;"&amp;P711,S:S,"&lt;&gt;F")+1)</f>
        <v/>
      </c>
      <c r="U711">
        <f>IF(B711="","",IF(C711&lt;33.0,0,IF(C711&gt;=100*0.8,5,IF(C711&gt;=100*0.7,4,IF(C711&gt;=100*0.6,3.5,IF(C711&gt;=100*0.5,3,IF(C711&gt;=100*0.4,2,IF(C711&gt;=100*0.33,1,0))))))))</f>
        <v/>
      </c>
      <c r="V711">
        <f>IF(B711="","",IF(D711&lt;33.0,0,IF(D711&gt;=100*0.8,5,IF(D711&gt;=100*0.7,4,IF(D711&gt;=100*0.6,3.5,IF(D711&gt;=100*0.5,3,IF(D711&gt;=100*0.4,2,IF(D711&gt;=100*0.33,1,0))))))))</f>
        <v/>
      </c>
      <c r="W711">
        <f>IF(B711="","",IF(E711&lt;16.5,0,IF(E711&gt;=50*0.8,5,IF(E711&gt;=50*0.7,4,IF(E711&gt;=50*0.6,3.5,IF(E711&gt;=50*0.5,3,IF(E711&gt;=50*0.4,2,IF(E711&gt;=50*0.33,1,0))))))))</f>
        <v/>
      </c>
      <c r="X711">
        <f>IF(B711="","",IF(F711&lt;33.0,0,IF(F711&gt;=100*0.8,5,IF(F711&gt;=100*0.7,4,IF(F711&gt;=100*0.6,3.5,IF(F711&gt;=100*0.5,3,IF(F711&gt;=100*0.4,2,IF(F711&gt;=100*0.33,1,0))))))))</f>
        <v/>
      </c>
      <c r="Y711">
        <f>IF(B711="","",IF(G711&lt;16.5,0,IF(G711&gt;=50*0.8,5,IF(G711&gt;=50*0.7,4,IF(G711&gt;=50*0.6,3.5,IF(G711&gt;=50*0.5,3,IF(G711&gt;=50*0.4,2,IF(G711&gt;=50*0.33,1,0))))))))</f>
        <v/>
      </c>
      <c r="Z711">
        <f>IF(B711="","",IF(H711&lt;33.0,0,IF(H711&gt;=100*0.8,5,IF(H711&gt;=100*0.7,4,IF(H711&gt;=100*0.6,3.5,IF(H711&gt;=100*0.5,3,IF(H711&gt;=100*0.4,2,IF(H711&gt;=100*0.33,1,0))))))))</f>
        <v/>
      </c>
      <c r="AA711">
        <f>IF(B711="","",IF(I711&lt;33.0,0,IF(I711&gt;=100*0.8,5,IF(I711&gt;=100*0.7,4,IF(I711&gt;=100*0.6,3.5,IF(I711&gt;=100*0.5,3,IF(I711&gt;=100*0.4,2,IF(I711&gt;=100*0.33,1,0))))))))</f>
        <v/>
      </c>
      <c r="AB711">
        <f>IF(B711="","",IF(J711&lt;33.0,0,IF(J711&gt;=100*0.8,5,IF(J711&gt;=100*0.7,4,IF(J711&gt;=100*0.6,3.5,IF(J711&gt;=100*0.5,3,IF(J711&gt;=100*0.4,2,IF(J711&gt;=100*0.33,1,0))))))))</f>
        <v/>
      </c>
      <c r="AC711">
        <f>IF(B711="","",IF(K711&lt;33.0,0,IF(K711&gt;=100*0.8,5,IF(K711&gt;=100*0.7,4,IF(K711&gt;=100*0.6,3.5,IF(K711&gt;=100*0.5,3,IF(K711&gt;=100*0.4,2,IF(K711&gt;=100*0.33,1,0))))))))</f>
        <v/>
      </c>
      <c r="AD711">
        <f>IF(B711="","",IF(L711&lt;33.0,0,IF(L711&gt;=100*0.8,5,IF(L711&gt;=100*0.7,4,IF(L711&gt;=100*0.6,3.5,IF(L711&gt;=100*0.5,3,IF(L711&gt;=100*0.4,2,IF(L711&gt;=100*0.33,1,0))))))))</f>
        <v/>
      </c>
      <c r="AE711">
        <f>IF(B711="","",IF(M711&lt;33.0,0,IF(M711&gt;=100*0.8,5,IF(M711&gt;=100*0.7,4,IF(M711&gt;=100*0.6,3.5,IF(M711&gt;=100*0.5,3,IF(M711&gt;=100*0.4,2,IF(M711&gt;=100*0.33,1,0))))))))</f>
        <v/>
      </c>
      <c r="AF711">
        <f>IF(B711="","",IF(N711&lt;16.5,0,IF(N711&gt;=50*0.8,5,IF(N711&gt;=50*0.7,4,IF(N711&gt;=50*0.6,3.5,IF(N711&gt;=50*0.5,3,IF(N711&gt;=50*0.4,2,IF(N711&gt;=50*0.33,1,0))))))))</f>
        <v/>
      </c>
      <c r="AG711">
        <f>IF(B711="","",IF(O711&lt;33.0,0,IF(O711&gt;=100*0.8,5,IF(O711&gt;=100*0.7,4,IF(O711&gt;=100*0.6,3.5,IF(O711&gt;=100*0.5,3,IF(O711&gt;=100*0.4,2,IF(O711&gt;=100*0.33,1,0))))))))</f>
        <v/>
      </c>
      <c r="AH711">
        <f>IF(B711="","",IF(OR(U711=0,V711=0,W711=0,X711=0,Y711=0,Z711=0,AA711=0,AB711=0,AC711=0,AD711=0,AE711=0,AF711=0,AG711=0),1,0))</f>
        <v/>
      </c>
    </row>
    <row r="712">
      <c r="A712" s="3">
        <f>IF(B712="","",ROW()-2)</f>
        <v/>
      </c>
      <c r="P712" s="4">
        <f>IF(B712="","",SUM(C712:O712))</f>
        <v/>
      </c>
      <c r="Q712" s="5">
        <f>IF(B712="","",ROUND(P712/13,2))</f>
        <v/>
      </c>
      <c r="R712" s="5">
        <f>IF(B712="","",IF(AH712=1,0,MIN(5,ROUND((U712+V712+W712+X712+Y712+Z712+AA712+AB712+AC712+AD712+AE712+AF712+AG712)/13,2))))</f>
        <v/>
      </c>
      <c r="S712" s="3">
        <f>IF(B712="","",IF(R712&gt;=5,"A+",IF(R712&gt;=4,"A",IF(R712&gt;=3.5,"A-",IF(R712&gt;=3,"B",IF(R712&gt;=2,"C",IF(R712&gt;=1,"D","F")))))))</f>
        <v/>
      </c>
      <c r="T712" s="3">
        <f>IF(OR(B712="",S712="F"),"",COUNTIFS(P:P,"&gt;"&amp;P712,S:S,"&lt;&gt;F")+1)</f>
        <v/>
      </c>
      <c r="U712">
        <f>IF(B712="","",IF(C712&lt;33.0,0,IF(C712&gt;=100*0.8,5,IF(C712&gt;=100*0.7,4,IF(C712&gt;=100*0.6,3.5,IF(C712&gt;=100*0.5,3,IF(C712&gt;=100*0.4,2,IF(C712&gt;=100*0.33,1,0))))))))</f>
        <v/>
      </c>
      <c r="V712">
        <f>IF(B712="","",IF(D712&lt;33.0,0,IF(D712&gt;=100*0.8,5,IF(D712&gt;=100*0.7,4,IF(D712&gt;=100*0.6,3.5,IF(D712&gt;=100*0.5,3,IF(D712&gt;=100*0.4,2,IF(D712&gt;=100*0.33,1,0))))))))</f>
        <v/>
      </c>
      <c r="W712">
        <f>IF(B712="","",IF(E712&lt;16.5,0,IF(E712&gt;=50*0.8,5,IF(E712&gt;=50*0.7,4,IF(E712&gt;=50*0.6,3.5,IF(E712&gt;=50*0.5,3,IF(E712&gt;=50*0.4,2,IF(E712&gt;=50*0.33,1,0))))))))</f>
        <v/>
      </c>
      <c r="X712">
        <f>IF(B712="","",IF(F712&lt;33.0,0,IF(F712&gt;=100*0.8,5,IF(F712&gt;=100*0.7,4,IF(F712&gt;=100*0.6,3.5,IF(F712&gt;=100*0.5,3,IF(F712&gt;=100*0.4,2,IF(F712&gt;=100*0.33,1,0))))))))</f>
        <v/>
      </c>
      <c r="Y712">
        <f>IF(B712="","",IF(G712&lt;16.5,0,IF(G712&gt;=50*0.8,5,IF(G712&gt;=50*0.7,4,IF(G712&gt;=50*0.6,3.5,IF(G712&gt;=50*0.5,3,IF(G712&gt;=50*0.4,2,IF(G712&gt;=50*0.33,1,0))))))))</f>
        <v/>
      </c>
      <c r="Z712">
        <f>IF(B712="","",IF(H712&lt;33.0,0,IF(H712&gt;=100*0.8,5,IF(H712&gt;=100*0.7,4,IF(H712&gt;=100*0.6,3.5,IF(H712&gt;=100*0.5,3,IF(H712&gt;=100*0.4,2,IF(H712&gt;=100*0.33,1,0))))))))</f>
        <v/>
      </c>
      <c r="AA712">
        <f>IF(B712="","",IF(I712&lt;33.0,0,IF(I712&gt;=100*0.8,5,IF(I712&gt;=100*0.7,4,IF(I712&gt;=100*0.6,3.5,IF(I712&gt;=100*0.5,3,IF(I712&gt;=100*0.4,2,IF(I712&gt;=100*0.33,1,0))))))))</f>
        <v/>
      </c>
      <c r="AB712">
        <f>IF(B712="","",IF(J712&lt;33.0,0,IF(J712&gt;=100*0.8,5,IF(J712&gt;=100*0.7,4,IF(J712&gt;=100*0.6,3.5,IF(J712&gt;=100*0.5,3,IF(J712&gt;=100*0.4,2,IF(J712&gt;=100*0.33,1,0))))))))</f>
        <v/>
      </c>
      <c r="AC712">
        <f>IF(B712="","",IF(K712&lt;33.0,0,IF(K712&gt;=100*0.8,5,IF(K712&gt;=100*0.7,4,IF(K712&gt;=100*0.6,3.5,IF(K712&gt;=100*0.5,3,IF(K712&gt;=100*0.4,2,IF(K712&gt;=100*0.33,1,0))))))))</f>
        <v/>
      </c>
      <c r="AD712">
        <f>IF(B712="","",IF(L712&lt;33.0,0,IF(L712&gt;=100*0.8,5,IF(L712&gt;=100*0.7,4,IF(L712&gt;=100*0.6,3.5,IF(L712&gt;=100*0.5,3,IF(L712&gt;=100*0.4,2,IF(L712&gt;=100*0.33,1,0))))))))</f>
        <v/>
      </c>
      <c r="AE712">
        <f>IF(B712="","",IF(M712&lt;33.0,0,IF(M712&gt;=100*0.8,5,IF(M712&gt;=100*0.7,4,IF(M712&gt;=100*0.6,3.5,IF(M712&gt;=100*0.5,3,IF(M712&gt;=100*0.4,2,IF(M712&gt;=100*0.33,1,0))))))))</f>
        <v/>
      </c>
      <c r="AF712">
        <f>IF(B712="","",IF(N712&lt;16.5,0,IF(N712&gt;=50*0.8,5,IF(N712&gt;=50*0.7,4,IF(N712&gt;=50*0.6,3.5,IF(N712&gt;=50*0.5,3,IF(N712&gt;=50*0.4,2,IF(N712&gt;=50*0.33,1,0))))))))</f>
        <v/>
      </c>
      <c r="AG712">
        <f>IF(B712="","",IF(O712&lt;33.0,0,IF(O712&gt;=100*0.8,5,IF(O712&gt;=100*0.7,4,IF(O712&gt;=100*0.6,3.5,IF(O712&gt;=100*0.5,3,IF(O712&gt;=100*0.4,2,IF(O712&gt;=100*0.33,1,0))))))))</f>
        <v/>
      </c>
      <c r="AH712">
        <f>IF(B712="","",IF(OR(U712=0,V712=0,W712=0,X712=0,Y712=0,Z712=0,AA712=0,AB712=0,AC712=0,AD712=0,AE712=0,AF712=0,AG712=0),1,0))</f>
        <v/>
      </c>
    </row>
    <row r="713">
      <c r="A713" s="3">
        <f>IF(B713="","",ROW()-2)</f>
        <v/>
      </c>
      <c r="P713" s="4">
        <f>IF(B713="","",SUM(C713:O713))</f>
        <v/>
      </c>
      <c r="Q713" s="5">
        <f>IF(B713="","",ROUND(P713/13,2))</f>
        <v/>
      </c>
      <c r="R713" s="5">
        <f>IF(B713="","",IF(AH713=1,0,MIN(5,ROUND((U713+V713+W713+X713+Y713+Z713+AA713+AB713+AC713+AD713+AE713+AF713+AG713)/13,2))))</f>
        <v/>
      </c>
      <c r="S713" s="3">
        <f>IF(B713="","",IF(R713&gt;=5,"A+",IF(R713&gt;=4,"A",IF(R713&gt;=3.5,"A-",IF(R713&gt;=3,"B",IF(R713&gt;=2,"C",IF(R713&gt;=1,"D","F")))))))</f>
        <v/>
      </c>
      <c r="T713" s="3">
        <f>IF(OR(B713="",S713="F"),"",COUNTIFS(P:P,"&gt;"&amp;P713,S:S,"&lt;&gt;F")+1)</f>
        <v/>
      </c>
      <c r="U713">
        <f>IF(B713="","",IF(C713&lt;33.0,0,IF(C713&gt;=100*0.8,5,IF(C713&gt;=100*0.7,4,IF(C713&gt;=100*0.6,3.5,IF(C713&gt;=100*0.5,3,IF(C713&gt;=100*0.4,2,IF(C713&gt;=100*0.33,1,0))))))))</f>
        <v/>
      </c>
      <c r="V713">
        <f>IF(B713="","",IF(D713&lt;33.0,0,IF(D713&gt;=100*0.8,5,IF(D713&gt;=100*0.7,4,IF(D713&gt;=100*0.6,3.5,IF(D713&gt;=100*0.5,3,IF(D713&gt;=100*0.4,2,IF(D713&gt;=100*0.33,1,0))))))))</f>
        <v/>
      </c>
      <c r="W713">
        <f>IF(B713="","",IF(E713&lt;16.5,0,IF(E713&gt;=50*0.8,5,IF(E713&gt;=50*0.7,4,IF(E713&gt;=50*0.6,3.5,IF(E713&gt;=50*0.5,3,IF(E713&gt;=50*0.4,2,IF(E713&gt;=50*0.33,1,0))))))))</f>
        <v/>
      </c>
      <c r="X713">
        <f>IF(B713="","",IF(F713&lt;33.0,0,IF(F713&gt;=100*0.8,5,IF(F713&gt;=100*0.7,4,IF(F713&gt;=100*0.6,3.5,IF(F713&gt;=100*0.5,3,IF(F713&gt;=100*0.4,2,IF(F713&gt;=100*0.33,1,0))))))))</f>
        <v/>
      </c>
      <c r="Y713">
        <f>IF(B713="","",IF(G713&lt;16.5,0,IF(G713&gt;=50*0.8,5,IF(G713&gt;=50*0.7,4,IF(G713&gt;=50*0.6,3.5,IF(G713&gt;=50*0.5,3,IF(G713&gt;=50*0.4,2,IF(G713&gt;=50*0.33,1,0))))))))</f>
        <v/>
      </c>
      <c r="Z713">
        <f>IF(B713="","",IF(H713&lt;33.0,0,IF(H713&gt;=100*0.8,5,IF(H713&gt;=100*0.7,4,IF(H713&gt;=100*0.6,3.5,IF(H713&gt;=100*0.5,3,IF(H713&gt;=100*0.4,2,IF(H713&gt;=100*0.33,1,0))))))))</f>
        <v/>
      </c>
      <c r="AA713">
        <f>IF(B713="","",IF(I713&lt;33.0,0,IF(I713&gt;=100*0.8,5,IF(I713&gt;=100*0.7,4,IF(I713&gt;=100*0.6,3.5,IF(I713&gt;=100*0.5,3,IF(I713&gt;=100*0.4,2,IF(I713&gt;=100*0.33,1,0))))))))</f>
        <v/>
      </c>
      <c r="AB713">
        <f>IF(B713="","",IF(J713&lt;33.0,0,IF(J713&gt;=100*0.8,5,IF(J713&gt;=100*0.7,4,IF(J713&gt;=100*0.6,3.5,IF(J713&gt;=100*0.5,3,IF(J713&gt;=100*0.4,2,IF(J713&gt;=100*0.33,1,0))))))))</f>
        <v/>
      </c>
      <c r="AC713">
        <f>IF(B713="","",IF(K713&lt;33.0,0,IF(K713&gt;=100*0.8,5,IF(K713&gt;=100*0.7,4,IF(K713&gt;=100*0.6,3.5,IF(K713&gt;=100*0.5,3,IF(K713&gt;=100*0.4,2,IF(K713&gt;=100*0.33,1,0))))))))</f>
        <v/>
      </c>
      <c r="AD713">
        <f>IF(B713="","",IF(L713&lt;33.0,0,IF(L713&gt;=100*0.8,5,IF(L713&gt;=100*0.7,4,IF(L713&gt;=100*0.6,3.5,IF(L713&gt;=100*0.5,3,IF(L713&gt;=100*0.4,2,IF(L713&gt;=100*0.33,1,0))))))))</f>
        <v/>
      </c>
      <c r="AE713">
        <f>IF(B713="","",IF(M713&lt;33.0,0,IF(M713&gt;=100*0.8,5,IF(M713&gt;=100*0.7,4,IF(M713&gt;=100*0.6,3.5,IF(M713&gt;=100*0.5,3,IF(M713&gt;=100*0.4,2,IF(M713&gt;=100*0.33,1,0))))))))</f>
        <v/>
      </c>
      <c r="AF713">
        <f>IF(B713="","",IF(N713&lt;16.5,0,IF(N713&gt;=50*0.8,5,IF(N713&gt;=50*0.7,4,IF(N713&gt;=50*0.6,3.5,IF(N713&gt;=50*0.5,3,IF(N713&gt;=50*0.4,2,IF(N713&gt;=50*0.33,1,0))))))))</f>
        <v/>
      </c>
      <c r="AG713">
        <f>IF(B713="","",IF(O713&lt;33.0,0,IF(O713&gt;=100*0.8,5,IF(O713&gt;=100*0.7,4,IF(O713&gt;=100*0.6,3.5,IF(O713&gt;=100*0.5,3,IF(O713&gt;=100*0.4,2,IF(O713&gt;=100*0.33,1,0))))))))</f>
        <v/>
      </c>
      <c r="AH713">
        <f>IF(B713="","",IF(OR(U713=0,V713=0,W713=0,X713=0,Y713=0,Z713=0,AA713=0,AB713=0,AC713=0,AD713=0,AE713=0,AF713=0,AG713=0),1,0))</f>
        <v/>
      </c>
    </row>
    <row r="714">
      <c r="A714" s="3">
        <f>IF(B714="","",ROW()-2)</f>
        <v/>
      </c>
      <c r="P714" s="4">
        <f>IF(B714="","",SUM(C714:O714))</f>
        <v/>
      </c>
      <c r="Q714" s="5">
        <f>IF(B714="","",ROUND(P714/13,2))</f>
        <v/>
      </c>
      <c r="R714" s="5">
        <f>IF(B714="","",IF(AH714=1,0,MIN(5,ROUND((U714+V714+W714+X714+Y714+Z714+AA714+AB714+AC714+AD714+AE714+AF714+AG714)/13,2))))</f>
        <v/>
      </c>
      <c r="S714" s="3">
        <f>IF(B714="","",IF(R714&gt;=5,"A+",IF(R714&gt;=4,"A",IF(R714&gt;=3.5,"A-",IF(R714&gt;=3,"B",IF(R714&gt;=2,"C",IF(R714&gt;=1,"D","F")))))))</f>
        <v/>
      </c>
      <c r="T714" s="3">
        <f>IF(OR(B714="",S714="F"),"",COUNTIFS(P:P,"&gt;"&amp;P714,S:S,"&lt;&gt;F")+1)</f>
        <v/>
      </c>
      <c r="U714">
        <f>IF(B714="","",IF(C714&lt;33.0,0,IF(C714&gt;=100*0.8,5,IF(C714&gt;=100*0.7,4,IF(C714&gt;=100*0.6,3.5,IF(C714&gt;=100*0.5,3,IF(C714&gt;=100*0.4,2,IF(C714&gt;=100*0.33,1,0))))))))</f>
        <v/>
      </c>
      <c r="V714">
        <f>IF(B714="","",IF(D714&lt;33.0,0,IF(D714&gt;=100*0.8,5,IF(D714&gt;=100*0.7,4,IF(D714&gt;=100*0.6,3.5,IF(D714&gt;=100*0.5,3,IF(D714&gt;=100*0.4,2,IF(D714&gt;=100*0.33,1,0))))))))</f>
        <v/>
      </c>
      <c r="W714">
        <f>IF(B714="","",IF(E714&lt;16.5,0,IF(E714&gt;=50*0.8,5,IF(E714&gt;=50*0.7,4,IF(E714&gt;=50*0.6,3.5,IF(E714&gt;=50*0.5,3,IF(E714&gt;=50*0.4,2,IF(E714&gt;=50*0.33,1,0))))))))</f>
        <v/>
      </c>
      <c r="X714">
        <f>IF(B714="","",IF(F714&lt;33.0,0,IF(F714&gt;=100*0.8,5,IF(F714&gt;=100*0.7,4,IF(F714&gt;=100*0.6,3.5,IF(F714&gt;=100*0.5,3,IF(F714&gt;=100*0.4,2,IF(F714&gt;=100*0.33,1,0))))))))</f>
        <v/>
      </c>
      <c r="Y714">
        <f>IF(B714="","",IF(G714&lt;16.5,0,IF(G714&gt;=50*0.8,5,IF(G714&gt;=50*0.7,4,IF(G714&gt;=50*0.6,3.5,IF(G714&gt;=50*0.5,3,IF(G714&gt;=50*0.4,2,IF(G714&gt;=50*0.33,1,0))))))))</f>
        <v/>
      </c>
      <c r="Z714">
        <f>IF(B714="","",IF(H714&lt;33.0,0,IF(H714&gt;=100*0.8,5,IF(H714&gt;=100*0.7,4,IF(H714&gt;=100*0.6,3.5,IF(H714&gt;=100*0.5,3,IF(H714&gt;=100*0.4,2,IF(H714&gt;=100*0.33,1,0))))))))</f>
        <v/>
      </c>
      <c r="AA714">
        <f>IF(B714="","",IF(I714&lt;33.0,0,IF(I714&gt;=100*0.8,5,IF(I714&gt;=100*0.7,4,IF(I714&gt;=100*0.6,3.5,IF(I714&gt;=100*0.5,3,IF(I714&gt;=100*0.4,2,IF(I714&gt;=100*0.33,1,0))))))))</f>
        <v/>
      </c>
      <c r="AB714">
        <f>IF(B714="","",IF(J714&lt;33.0,0,IF(J714&gt;=100*0.8,5,IF(J714&gt;=100*0.7,4,IF(J714&gt;=100*0.6,3.5,IF(J714&gt;=100*0.5,3,IF(J714&gt;=100*0.4,2,IF(J714&gt;=100*0.33,1,0))))))))</f>
        <v/>
      </c>
      <c r="AC714">
        <f>IF(B714="","",IF(K714&lt;33.0,0,IF(K714&gt;=100*0.8,5,IF(K714&gt;=100*0.7,4,IF(K714&gt;=100*0.6,3.5,IF(K714&gt;=100*0.5,3,IF(K714&gt;=100*0.4,2,IF(K714&gt;=100*0.33,1,0))))))))</f>
        <v/>
      </c>
      <c r="AD714">
        <f>IF(B714="","",IF(L714&lt;33.0,0,IF(L714&gt;=100*0.8,5,IF(L714&gt;=100*0.7,4,IF(L714&gt;=100*0.6,3.5,IF(L714&gt;=100*0.5,3,IF(L714&gt;=100*0.4,2,IF(L714&gt;=100*0.33,1,0))))))))</f>
        <v/>
      </c>
      <c r="AE714">
        <f>IF(B714="","",IF(M714&lt;33.0,0,IF(M714&gt;=100*0.8,5,IF(M714&gt;=100*0.7,4,IF(M714&gt;=100*0.6,3.5,IF(M714&gt;=100*0.5,3,IF(M714&gt;=100*0.4,2,IF(M714&gt;=100*0.33,1,0))))))))</f>
        <v/>
      </c>
      <c r="AF714">
        <f>IF(B714="","",IF(N714&lt;16.5,0,IF(N714&gt;=50*0.8,5,IF(N714&gt;=50*0.7,4,IF(N714&gt;=50*0.6,3.5,IF(N714&gt;=50*0.5,3,IF(N714&gt;=50*0.4,2,IF(N714&gt;=50*0.33,1,0))))))))</f>
        <v/>
      </c>
      <c r="AG714">
        <f>IF(B714="","",IF(O714&lt;33.0,0,IF(O714&gt;=100*0.8,5,IF(O714&gt;=100*0.7,4,IF(O714&gt;=100*0.6,3.5,IF(O714&gt;=100*0.5,3,IF(O714&gt;=100*0.4,2,IF(O714&gt;=100*0.33,1,0))))))))</f>
        <v/>
      </c>
      <c r="AH714">
        <f>IF(B714="","",IF(OR(U714=0,V714=0,W714=0,X714=0,Y714=0,Z714=0,AA714=0,AB714=0,AC714=0,AD714=0,AE714=0,AF714=0,AG714=0),1,0))</f>
        <v/>
      </c>
    </row>
    <row r="715">
      <c r="A715" s="3">
        <f>IF(B715="","",ROW()-2)</f>
        <v/>
      </c>
      <c r="P715" s="4">
        <f>IF(B715="","",SUM(C715:O715))</f>
        <v/>
      </c>
      <c r="Q715" s="5">
        <f>IF(B715="","",ROUND(P715/13,2))</f>
        <v/>
      </c>
      <c r="R715" s="5">
        <f>IF(B715="","",IF(AH715=1,0,MIN(5,ROUND((U715+V715+W715+X715+Y715+Z715+AA715+AB715+AC715+AD715+AE715+AF715+AG715)/13,2))))</f>
        <v/>
      </c>
      <c r="S715" s="3">
        <f>IF(B715="","",IF(R715&gt;=5,"A+",IF(R715&gt;=4,"A",IF(R715&gt;=3.5,"A-",IF(R715&gt;=3,"B",IF(R715&gt;=2,"C",IF(R715&gt;=1,"D","F")))))))</f>
        <v/>
      </c>
      <c r="T715" s="3">
        <f>IF(OR(B715="",S715="F"),"",COUNTIFS(P:P,"&gt;"&amp;P715,S:S,"&lt;&gt;F")+1)</f>
        <v/>
      </c>
      <c r="U715">
        <f>IF(B715="","",IF(C715&lt;33.0,0,IF(C715&gt;=100*0.8,5,IF(C715&gt;=100*0.7,4,IF(C715&gt;=100*0.6,3.5,IF(C715&gt;=100*0.5,3,IF(C715&gt;=100*0.4,2,IF(C715&gt;=100*0.33,1,0))))))))</f>
        <v/>
      </c>
      <c r="V715">
        <f>IF(B715="","",IF(D715&lt;33.0,0,IF(D715&gt;=100*0.8,5,IF(D715&gt;=100*0.7,4,IF(D715&gt;=100*0.6,3.5,IF(D715&gt;=100*0.5,3,IF(D715&gt;=100*0.4,2,IF(D715&gt;=100*0.33,1,0))))))))</f>
        <v/>
      </c>
      <c r="W715">
        <f>IF(B715="","",IF(E715&lt;16.5,0,IF(E715&gt;=50*0.8,5,IF(E715&gt;=50*0.7,4,IF(E715&gt;=50*0.6,3.5,IF(E715&gt;=50*0.5,3,IF(E715&gt;=50*0.4,2,IF(E715&gt;=50*0.33,1,0))))))))</f>
        <v/>
      </c>
      <c r="X715">
        <f>IF(B715="","",IF(F715&lt;33.0,0,IF(F715&gt;=100*0.8,5,IF(F715&gt;=100*0.7,4,IF(F715&gt;=100*0.6,3.5,IF(F715&gt;=100*0.5,3,IF(F715&gt;=100*0.4,2,IF(F715&gt;=100*0.33,1,0))))))))</f>
        <v/>
      </c>
      <c r="Y715">
        <f>IF(B715="","",IF(G715&lt;16.5,0,IF(G715&gt;=50*0.8,5,IF(G715&gt;=50*0.7,4,IF(G715&gt;=50*0.6,3.5,IF(G715&gt;=50*0.5,3,IF(G715&gt;=50*0.4,2,IF(G715&gt;=50*0.33,1,0))))))))</f>
        <v/>
      </c>
      <c r="Z715">
        <f>IF(B715="","",IF(H715&lt;33.0,0,IF(H715&gt;=100*0.8,5,IF(H715&gt;=100*0.7,4,IF(H715&gt;=100*0.6,3.5,IF(H715&gt;=100*0.5,3,IF(H715&gt;=100*0.4,2,IF(H715&gt;=100*0.33,1,0))))))))</f>
        <v/>
      </c>
      <c r="AA715">
        <f>IF(B715="","",IF(I715&lt;33.0,0,IF(I715&gt;=100*0.8,5,IF(I715&gt;=100*0.7,4,IF(I715&gt;=100*0.6,3.5,IF(I715&gt;=100*0.5,3,IF(I715&gt;=100*0.4,2,IF(I715&gt;=100*0.33,1,0))))))))</f>
        <v/>
      </c>
      <c r="AB715">
        <f>IF(B715="","",IF(J715&lt;33.0,0,IF(J715&gt;=100*0.8,5,IF(J715&gt;=100*0.7,4,IF(J715&gt;=100*0.6,3.5,IF(J715&gt;=100*0.5,3,IF(J715&gt;=100*0.4,2,IF(J715&gt;=100*0.33,1,0))))))))</f>
        <v/>
      </c>
      <c r="AC715">
        <f>IF(B715="","",IF(K715&lt;33.0,0,IF(K715&gt;=100*0.8,5,IF(K715&gt;=100*0.7,4,IF(K715&gt;=100*0.6,3.5,IF(K715&gt;=100*0.5,3,IF(K715&gt;=100*0.4,2,IF(K715&gt;=100*0.33,1,0))))))))</f>
        <v/>
      </c>
      <c r="AD715">
        <f>IF(B715="","",IF(L715&lt;33.0,0,IF(L715&gt;=100*0.8,5,IF(L715&gt;=100*0.7,4,IF(L715&gt;=100*0.6,3.5,IF(L715&gt;=100*0.5,3,IF(L715&gt;=100*0.4,2,IF(L715&gt;=100*0.33,1,0))))))))</f>
        <v/>
      </c>
      <c r="AE715">
        <f>IF(B715="","",IF(M715&lt;33.0,0,IF(M715&gt;=100*0.8,5,IF(M715&gt;=100*0.7,4,IF(M715&gt;=100*0.6,3.5,IF(M715&gt;=100*0.5,3,IF(M715&gt;=100*0.4,2,IF(M715&gt;=100*0.33,1,0))))))))</f>
        <v/>
      </c>
      <c r="AF715">
        <f>IF(B715="","",IF(N715&lt;16.5,0,IF(N715&gt;=50*0.8,5,IF(N715&gt;=50*0.7,4,IF(N715&gt;=50*0.6,3.5,IF(N715&gt;=50*0.5,3,IF(N715&gt;=50*0.4,2,IF(N715&gt;=50*0.33,1,0))))))))</f>
        <v/>
      </c>
      <c r="AG715">
        <f>IF(B715="","",IF(O715&lt;33.0,0,IF(O715&gt;=100*0.8,5,IF(O715&gt;=100*0.7,4,IF(O715&gt;=100*0.6,3.5,IF(O715&gt;=100*0.5,3,IF(O715&gt;=100*0.4,2,IF(O715&gt;=100*0.33,1,0))))))))</f>
        <v/>
      </c>
      <c r="AH715">
        <f>IF(B715="","",IF(OR(U715=0,V715=0,W715=0,X715=0,Y715=0,Z715=0,AA715=0,AB715=0,AC715=0,AD715=0,AE715=0,AF715=0,AG715=0),1,0))</f>
        <v/>
      </c>
    </row>
    <row r="716">
      <c r="A716" s="3">
        <f>IF(B716="","",ROW()-2)</f>
        <v/>
      </c>
      <c r="P716" s="4">
        <f>IF(B716="","",SUM(C716:O716))</f>
        <v/>
      </c>
      <c r="Q716" s="5">
        <f>IF(B716="","",ROUND(P716/13,2))</f>
        <v/>
      </c>
      <c r="R716" s="5">
        <f>IF(B716="","",IF(AH716=1,0,MIN(5,ROUND((U716+V716+W716+X716+Y716+Z716+AA716+AB716+AC716+AD716+AE716+AF716+AG716)/13,2))))</f>
        <v/>
      </c>
      <c r="S716" s="3">
        <f>IF(B716="","",IF(R716&gt;=5,"A+",IF(R716&gt;=4,"A",IF(R716&gt;=3.5,"A-",IF(R716&gt;=3,"B",IF(R716&gt;=2,"C",IF(R716&gt;=1,"D","F")))))))</f>
        <v/>
      </c>
      <c r="T716" s="3">
        <f>IF(OR(B716="",S716="F"),"",COUNTIFS(P:P,"&gt;"&amp;P716,S:S,"&lt;&gt;F")+1)</f>
        <v/>
      </c>
      <c r="U716">
        <f>IF(B716="","",IF(C716&lt;33.0,0,IF(C716&gt;=100*0.8,5,IF(C716&gt;=100*0.7,4,IF(C716&gt;=100*0.6,3.5,IF(C716&gt;=100*0.5,3,IF(C716&gt;=100*0.4,2,IF(C716&gt;=100*0.33,1,0))))))))</f>
        <v/>
      </c>
      <c r="V716">
        <f>IF(B716="","",IF(D716&lt;33.0,0,IF(D716&gt;=100*0.8,5,IF(D716&gt;=100*0.7,4,IF(D716&gt;=100*0.6,3.5,IF(D716&gt;=100*0.5,3,IF(D716&gt;=100*0.4,2,IF(D716&gt;=100*0.33,1,0))))))))</f>
        <v/>
      </c>
      <c r="W716">
        <f>IF(B716="","",IF(E716&lt;16.5,0,IF(E716&gt;=50*0.8,5,IF(E716&gt;=50*0.7,4,IF(E716&gt;=50*0.6,3.5,IF(E716&gt;=50*0.5,3,IF(E716&gt;=50*0.4,2,IF(E716&gt;=50*0.33,1,0))))))))</f>
        <v/>
      </c>
      <c r="X716">
        <f>IF(B716="","",IF(F716&lt;33.0,0,IF(F716&gt;=100*0.8,5,IF(F716&gt;=100*0.7,4,IF(F716&gt;=100*0.6,3.5,IF(F716&gt;=100*0.5,3,IF(F716&gt;=100*0.4,2,IF(F716&gt;=100*0.33,1,0))))))))</f>
        <v/>
      </c>
      <c r="Y716">
        <f>IF(B716="","",IF(G716&lt;16.5,0,IF(G716&gt;=50*0.8,5,IF(G716&gt;=50*0.7,4,IF(G716&gt;=50*0.6,3.5,IF(G716&gt;=50*0.5,3,IF(G716&gt;=50*0.4,2,IF(G716&gt;=50*0.33,1,0))))))))</f>
        <v/>
      </c>
      <c r="Z716">
        <f>IF(B716="","",IF(H716&lt;33.0,0,IF(H716&gt;=100*0.8,5,IF(H716&gt;=100*0.7,4,IF(H716&gt;=100*0.6,3.5,IF(H716&gt;=100*0.5,3,IF(H716&gt;=100*0.4,2,IF(H716&gt;=100*0.33,1,0))))))))</f>
        <v/>
      </c>
      <c r="AA716">
        <f>IF(B716="","",IF(I716&lt;33.0,0,IF(I716&gt;=100*0.8,5,IF(I716&gt;=100*0.7,4,IF(I716&gt;=100*0.6,3.5,IF(I716&gt;=100*0.5,3,IF(I716&gt;=100*0.4,2,IF(I716&gt;=100*0.33,1,0))))))))</f>
        <v/>
      </c>
      <c r="AB716">
        <f>IF(B716="","",IF(J716&lt;33.0,0,IF(J716&gt;=100*0.8,5,IF(J716&gt;=100*0.7,4,IF(J716&gt;=100*0.6,3.5,IF(J716&gt;=100*0.5,3,IF(J716&gt;=100*0.4,2,IF(J716&gt;=100*0.33,1,0))))))))</f>
        <v/>
      </c>
      <c r="AC716">
        <f>IF(B716="","",IF(K716&lt;33.0,0,IF(K716&gt;=100*0.8,5,IF(K716&gt;=100*0.7,4,IF(K716&gt;=100*0.6,3.5,IF(K716&gt;=100*0.5,3,IF(K716&gt;=100*0.4,2,IF(K716&gt;=100*0.33,1,0))))))))</f>
        <v/>
      </c>
      <c r="AD716">
        <f>IF(B716="","",IF(L716&lt;33.0,0,IF(L716&gt;=100*0.8,5,IF(L716&gt;=100*0.7,4,IF(L716&gt;=100*0.6,3.5,IF(L716&gt;=100*0.5,3,IF(L716&gt;=100*0.4,2,IF(L716&gt;=100*0.33,1,0))))))))</f>
        <v/>
      </c>
      <c r="AE716">
        <f>IF(B716="","",IF(M716&lt;33.0,0,IF(M716&gt;=100*0.8,5,IF(M716&gt;=100*0.7,4,IF(M716&gt;=100*0.6,3.5,IF(M716&gt;=100*0.5,3,IF(M716&gt;=100*0.4,2,IF(M716&gt;=100*0.33,1,0))))))))</f>
        <v/>
      </c>
      <c r="AF716">
        <f>IF(B716="","",IF(N716&lt;16.5,0,IF(N716&gt;=50*0.8,5,IF(N716&gt;=50*0.7,4,IF(N716&gt;=50*0.6,3.5,IF(N716&gt;=50*0.5,3,IF(N716&gt;=50*0.4,2,IF(N716&gt;=50*0.33,1,0))))))))</f>
        <v/>
      </c>
      <c r="AG716">
        <f>IF(B716="","",IF(O716&lt;33.0,0,IF(O716&gt;=100*0.8,5,IF(O716&gt;=100*0.7,4,IF(O716&gt;=100*0.6,3.5,IF(O716&gt;=100*0.5,3,IF(O716&gt;=100*0.4,2,IF(O716&gt;=100*0.33,1,0))))))))</f>
        <v/>
      </c>
      <c r="AH716">
        <f>IF(B716="","",IF(OR(U716=0,V716=0,W716=0,X716=0,Y716=0,Z716=0,AA716=0,AB716=0,AC716=0,AD716=0,AE716=0,AF716=0,AG716=0),1,0))</f>
        <v/>
      </c>
    </row>
    <row r="717">
      <c r="A717" s="3">
        <f>IF(B717="","",ROW()-2)</f>
        <v/>
      </c>
      <c r="P717" s="4">
        <f>IF(B717="","",SUM(C717:O717))</f>
        <v/>
      </c>
      <c r="Q717" s="5">
        <f>IF(B717="","",ROUND(P717/13,2))</f>
        <v/>
      </c>
      <c r="R717" s="5">
        <f>IF(B717="","",IF(AH717=1,0,MIN(5,ROUND((U717+V717+W717+X717+Y717+Z717+AA717+AB717+AC717+AD717+AE717+AF717+AG717)/13,2))))</f>
        <v/>
      </c>
      <c r="S717" s="3">
        <f>IF(B717="","",IF(R717&gt;=5,"A+",IF(R717&gt;=4,"A",IF(R717&gt;=3.5,"A-",IF(R717&gt;=3,"B",IF(R717&gt;=2,"C",IF(R717&gt;=1,"D","F")))))))</f>
        <v/>
      </c>
      <c r="T717" s="3">
        <f>IF(OR(B717="",S717="F"),"",COUNTIFS(P:P,"&gt;"&amp;P717,S:S,"&lt;&gt;F")+1)</f>
        <v/>
      </c>
      <c r="U717">
        <f>IF(B717="","",IF(C717&lt;33.0,0,IF(C717&gt;=100*0.8,5,IF(C717&gt;=100*0.7,4,IF(C717&gt;=100*0.6,3.5,IF(C717&gt;=100*0.5,3,IF(C717&gt;=100*0.4,2,IF(C717&gt;=100*0.33,1,0))))))))</f>
        <v/>
      </c>
      <c r="V717">
        <f>IF(B717="","",IF(D717&lt;33.0,0,IF(D717&gt;=100*0.8,5,IF(D717&gt;=100*0.7,4,IF(D717&gt;=100*0.6,3.5,IF(D717&gt;=100*0.5,3,IF(D717&gt;=100*0.4,2,IF(D717&gt;=100*0.33,1,0))))))))</f>
        <v/>
      </c>
      <c r="W717">
        <f>IF(B717="","",IF(E717&lt;16.5,0,IF(E717&gt;=50*0.8,5,IF(E717&gt;=50*0.7,4,IF(E717&gt;=50*0.6,3.5,IF(E717&gt;=50*0.5,3,IF(E717&gt;=50*0.4,2,IF(E717&gt;=50*0.33,1,0))))))))</f>
        <v/>
      </c>
      <c r="X717">
        <f>IF(B717="","",IF(F717&lt;33.0,0,IF(F717&gt;=100*0.8,5,IF(F717&gt;=100*0.7,4,IF(F717&gt;=100*0.6,3.5,IF(F717&gt;=100*0.5,3,IF(F717&gt;=100*0.4,2,IF(F717&gt;=100*0.33,1,0))))))))</f>
        <v/>
      </c>
      <c r="Y717">
        <f>IF(B717="","",IF(G717&lt;16.5,0,IF(G717&gt;=50*0.8,5,IF(G717&gt;=50*0.7,4,IF(G717&gt;=50*0.6,3.5,IF(G717&gt;=50*0.5,3,IF(G717&gt;=50*0.4,2,IF(G717&gt;=50*0.33,1,0))))))))</f>
        <v/>
      </c>
      <c r="Z717">
        <f>IF(B717="","",IF(H717&lt;33.0,0,IF(H717&gt;=100*0.8,5,IF(H717&gt;=100*0.7,4,IF(H717&gt;=100*0.6,3.5,IF(H717&gt;=100*0.5,3,IF(H717&gt;=100*0.4,2,IF(H717&gt;=100*0.33,1,0))))))))</f>
        <v/>
      </c>
      <c r="AA717">
        <f>IF(B717="","",IF(I717&lt;33.0,0,IF(I717&gt;=100*0.8,5,IF(I717&gt;=100*0.7,4,IF(I717&gt;=100*0.6,3.5,IF(I717&gt;=100*0.5,3,IF(I717&gt;=100*0.4,2,IF(I717&gt;=100*0.33,1,0))))))))</f>
        <v/>
      </c>
      <c r="AB717">
        <f>IF(B717="","",IF(J717&lt;33.0,0,IF(J717&gt;=100*0.8,5,IF(J717&gt;=100*0.7,4,IF(J717&gt;=100*0.6,3.5,IF(J717&gt;=100*0.5,3,IF(J717&gt;=100*0.4,2,IF(J717&gt;=100*0.33,1,0))))))))</f>
        <v/>
      </c>
      <c r="AC717">
        <f>IF(B717="","",IF(K717&lt;33.0,0,IF(K717&gt;=100*0.8,5,IF(K717&gt;=100*0.7,4,IF(K717&gt;=100*0.6,3.5,IF(K717&gt;=100*0.5,3,IF(K717&gt;=100*0.4,2,IF(K717&gt;=100*0.33,1,0))))))))</f>
        <v/>
      </c>
      <c r="AD717">
        <f>IF(B717="","",IF(L717&lt;33.0,0,IF(L717&gt;=100*0.8,5,IF(L717&gt;=100*0.7,4,IF(L717&gt;=100*0.6,3.5,IF(L717&gt;=100*0.5,3,IF(L717&gt;=100*0.4,2,IF(L717&gt;=100*0.33,1,0))))))))</f>
        <v/>
      </c>
      <c r="AE717">
        <f>IF(B717="","",IF(M717&lt;33.0,0,IF(M717&gt;=100*0.8,5,IF(M717&gt;=100*0.7,4,IF(M717&gt;=100*0.6,3.5,IF(M717&gt;=100*0.5,3,IF(M717&gt;=100*0.4,2,IF(M717&gt;=100*0.33,1,0))))))))</f>
        <v/>
      </c>
      <c r="AF717">
        <f>IF(B717="","",IF(N717&lt;16.5,0,IF(N717&gt;=50*0.8,5,IF(N717&gt;=50*0.7,4,IF(N717&gt;=50*0.6,3.5,IF(N717&gt;=50*0.5,3,IF(N717&gt;=50*0.4,2,IF(N717&gt;=50*0.33,1,0))))))))</f>
        <v/>
      </c>
      <c r="AG717">
        <f>IF(B717="","",IF(O717&lt;33.0,0,IF(O717&gt;=100*0.8,5,IF(O717&gt;=100*0.7,4,IF(O717&gt;=100*0.6,3.5,IF(O717&gt;=100*0.5,3,IF(O717&gt;=100*0.4,2,IF(O717&gt;=100*0.33,1,0))))))))</f>
        <v/>
      </c>
      <c r="AH717">
        <f>IF(B717="","",IF(OR(U717=0,V717=0,W717=0,X717=0,Y717=0,Z717=0,AA717=0,AB717=0,AC717=0,AD717=0,AE717=0,AF717=0,AG717=0),1,0))</f>
        <v/>
      </c>
    </row>
    <row r="718">
      <c r="A718" s="3">
        <f>IF(B718="","",ROW()-2)</f>
        <v/>
      </c>
      <c r="P718" s="4">
        <f>IF(B718="","",SUM(C718:O718))</f>
        <v/>
      </c>
      <c r="Q718" s="5">
        <f>IF(B718="","",ROUND(P718/13,2))</f>
        <v/>
      </c>
      <c r="R718" s="5">
        <f>IF(B718="","",IF(AH718=1,0,MIN(5,ROUND((U718+V718+W718+X718+Y718+Z718+AA718+AB718+AC718+AD718+AE718+AF718+AG718)/13,2))))</f>
        <v/>
      </c>
      <c r="S718" s="3">
        <f>IF(B718="","",IF(R718&gt;=5,"A+",IF(R718&gt;=4,"A",IF(R718&gt;=3.5,"A-",IF(R718&gt;=3,"B",IF(R718&gt;=2,"C",IF(R718&gt;=1,"D","F")))))))</f>
        <v/>
      </c>
      <c r="T718" s="3">
        <f>IF(OR(B718="",S718="F"),"",COUNTIFS(P:P,"&gt;"&amp;P718,S:S,"&lt;&gt;F")+1)</f>
        <v/>
      </c>
      <c r="U718">
        <f>IF(B718="","",IF(C718&lt;33.0,0,IF(C718&gt;=100*0.8,5,IF(C718&gt;=100*0.7,4,IF(C718&gt;=100*0.6,3.5,IF(C718&gt;=100*0.5,3,IF(C718&gt;=100*0.4,2,IF(C718&gt;=100*0.33,1,0))))))))</f>
        <v/>
      </c>
      <c r="V718">
        <f>IF(B718="","",IF(D718&lt;33.0,0,IF(D718&gt;=100*0.8,5,IF(D718&gt;=100*0.7,4,IF(D718&gt;=100*0.6,3.5,IF(D718&gt;=100*0.5,3,IF(D718&gt;=100*0.4,2,IF(D718&gt;=100*0.33,1,0))))))))</f>
        <v/>
      </c>
      <c r="W718">
        <f>IF(B718="","",IF(E718&lt;16.5,0,IF(E718&gt;=50*0.8,5,IF(E718&gt;=50*0.7,4,IF(E718&gt;=50*0.6,3.5,IF(E718&gt;=50*0.5,3,IF(E718&gt;=50*0.4,2,IF(E718&gt;=50*0.33,1,0))))))))</f>
        <v/>
      </c>
      <c r="X718">
        <f>IF(B718="","",IF(F718&lt;33.0,0,IF(F718&gt;=100*0.8,5,IF(F718&gt;=100*0.7,4,IF(F718&gt;=100*0.6,3.5,IF(F718&gt;=100*0.5,3,IF(F718&gt;=100*0.4,2,IF(F718&gt;=100*0.33,1,0))))))))</f>
        <v/>
      </c>
      <c r="Y718">
        <f>IF(B718="","",IF(G718&lt;16.5,0,IF(G718&gt;=50*0.8,5,IF(G718&gt;=50*0.7,4,IF(G718&gt;=50*0.6,3.5,IF(G718&gt;=50*0.5,3,IF(G718&gt;=50*0.4,2,IF(G718&gt;=50*0.33,1,0))))))))</f>
        <v/>
      </c>
      <c r="Z718">
        <f>IF(B718="","",IF(H718&lt;33.0,0,IF(H718&gt;=100*0.8,5,IF(H718&gt;=100*0.7,4,IF(H718&gt;=100*0.6,3.5,IF(H718&gt;=100*0.5,3,IF(H718&gt;=100*0.4,2,IF(H718&gt;=100*0.33,1,0))))))))</f>
        <v/>
      </c>
      <c r="AA718">
        <f>IF(B718="","",IF(I718&lt;33.0,0,IF(I718&gt;=100*0.8,5,IF(I718&gt;=100*0.7,4,IF(I718&gt;=100*0.6,3.5,IF(I718&gt;=100*0.5,3,IF(I718&gt;=100*0.4,2,IF(I718&gt;=100*0.33,1,0))))))))</f>
        <v/>
      </c>
      <c r="AB718">
        <f>IF(B718="","",IF(J718&lt;33.0,0,IF(J718&gt;=100*0.8,5,IF(J718&gt;=100*0.7,4,IF(J718&gt;=100*0.6,3.5,IF(J718&gt;=100*0.5,3,IF(J718&gt;=100*0.4,2,IF(J718&gt;=100*0.33,1,0))))))))</f>
        <v/>
      </c>
      <c r="AC718">
        <f>IF(B718="","",IF(K718&lt;33.0,0,IF(K718&gt;=100*0.8,5,IF(K718&gt;=100*0.7,4,IF(K718&gt;=100*0.6,3.5,IF(K718&gt;=100*0.5,3,IF(K718&gt;=100*0.4,2,IF(K718&gt;=100*0.33,1,0))))))))</f>
        <v/>
      </c>
      <c r="AD718">
        <f>IF(B718="","",IF(L718&lt;33.0,0,IF(L718&gt;=100*0.8,5,IF(L718&gt;=100*0.7,4,IF(L718&gt;=100*0.6,3.5,IF(L718&gt;=100*0.5,3,IF(L718&gt;=100*0.4,2,IF(L718&gt;=100*0.33,1,0))))))))</f>
        <v/>
      </c>
      <c r="AE718">
        <f>IF(B718="","",IF(M718&lt;33.0,0,IF(M718&gt;=100*0.8,5,IF(M718&gt;=100*0.7,4,IF(M718&gt;=100*0.6,3.5,IF(M718&gt;=100*0.5,3,IF(M718&gt;=100*0.4,2,IF(M718&gt;=100*0.33,1,0))))))))</f>
        <v/>
      </c>
      <c r="AF718">
        <f>IF(B718="","",IF(N718&lt;16.5,0,IF(N718&gt;=50*0.8,5,IF(N718&gt;=50*0.7,4,IF(N718&gt;=50*0.6,3.5,IF(N718&gt;=50*0.5,3,IF(N718&gt;=50*0.4,2,IF(N718&gt;=50*0.33,1,0))))))))</f>
        <v/>
      </c>
      <c r="AG718">
        <f>IF(B718="","",IF(O718&lt;33.0,0,IF(O718&gt;=100*0.8,5,IF(O718&gt;=100*0.7,4,IF(O718&gt;=100*0.6,3.5,IF(O718&gt;=100*0.5,3,IF(O718&gt;=100*0.4,2,IF(O718&gt;=100*0.33,1,0))))))))</f>
        <v/>
      </c>
      <c r="AH718">
        <f>IF(B718="","",IF(OR(U718=0,V718=0,W718=0,X718=0,Y718=0,Z718=0,AA718=0,AB718=0,AC718=0,AD718=0,AE718=0,AF718=0,AG718=0),1,0))</f>
        <v/>
      </c>
    </row>
    <row r="719">
      <c r="A719" s="3">
        <f>IF(B719="","",ROW()-2)</f>
        <v/>
      </c>
      <c r="P719" s="4">
        <f>IF(B719="","",SUM(C719:O719))</f>
        <v/>
      </c>
      <c r="Q719" s="5">
        <f>IF(B719="","",ROUND(P719/13,2))</f>
        <v/>
      </c>
      <c r="R719" s="5">
        <f>IF(B719="","",IF(AH719=1,0,MIN(5,ROUND((U719+V719+W719+X719+Y719+Z719+AA719+AB719+AC719+AD719+AE719+AF719+AG719)/13,2))))</f>
        <v/>
      </c>
      <c r="S719" s="3">
        <f>IF(B719="","",IF(R719&gt;=5,"A+",IF(R719&gt;=4,"A",IF(R719&gt;=3.5,"A-",IF(R719&gt;=3,"B",IF(R719&gt;=2,"C",IF(R719&gt;=1,"D","F")))))))</f>
        <v/>
      </c>
      <c r="T719" s="3">
        <f>IF(OR(B719="",S719="F"),"",COUNTIFS(P:P,"&gt;"&amp;P719,S:S,"&lt;&gt;F")+1)</f>
        <v/>
      </c>
      <c r="U719">
        <f>IF(B719="","",IF(C719&lt;33.0,0,IF(C719&gt;=100*0.8,5,IF(C719&gt;=100*0.7,4,IF(C719&gt;=100*0.6,3.5,IF(C719&gt;=100*0.5,3,IF(C719&gt;=100*0.4,2,IF(C719&gt;=100*0.33,1,0))))))))</f>
        <v/>
      </c>
      <c r="V719">
        <f>IF(B719="","",IF(D719&lt;33.0,0,IF(D719&gt;=100*0.8,5,IF(D719&gt;=100*0.7,4,IF(D719&gt;=100*0.6,3.5,IF(D719&gt;=100*0.5,3,IF(D719&gt;=100*0.4,2,IF(D719&gt;=100*0.33,1,0))))))))</f>
        <v/>
      </c>
      <c r="W719">
        <f>IF(B719="","",IF(E719&lt;16.5,0,IF(E719&gt;=50*0.8,5,IF(E719&gt;=50*0.7,4,IF(E719&gt;=50*0.6,3.5,IF(E719&gt;=50*0.5,3,IF(E719&gt;=50*0.4,2,IF(E719&gt;=50*0.33,1,0))))))))</f>
        <v/>
      </c>
      <c r="X719">
        <f>IF(B719="","",IF(F719&lt;33.0,0,IF(F719&gt;=100*0.8,5,IF(F719&gt;=100*0.7,4,IF(F719&gt;=100*0.6,3.5,IF(F719&gt;=100*0.5,3,IF(F719&gt;=100*0.4,2,IF(F719&gt;=100*0.33,1,0))))))))</f>
        <v/>
      </c>
      <c r="Y719">
        <f>IF(B719="","",IF(G719&lt;16.5,0,IF(G719&gt;=50*0.8,5,IF(G719&gt;=50*0.7,4,IF(G719&gt;=50*0.6,3.5,IF(G719&gt;=50*0.5,3,IF(G719&gt;=50*0.4,2,IF(G719&gt;=50*0.33,1,0))))))))</f>
        <v/>
      </c>
      <c r="Z719">
        <f>IF(B719="","",IF(H719&lt;33.0,0,IF(H719&gt;=100*0.8,5,IF(H719&gt;=100*0.7,4,IF(H719&gt;=100*0.6,3.5,IF(H719&gt;=100*0.5,3,IF(H719&gt;=100*0.4,2,IF(H719&gt;=100*0.33,1,0))))))))</f>
        <v/>
      </c>
      <c r="AA719">
        <f>IF(B719="","",IF(I719&lt;33.0,0,IF(I719&gt;=100*0.8,5,IF(I719&gt;=100*0.7,4,IF(I719&gt;=100*0.6,3.5,IF(I719&gt;=100*0.5,3,IF(I719&gt;=100*0.4,2,IF(I719&gt;=100*0.33,1,0))))))))</f>
        <v/>
      </c>
      <c r="AB719">
        <f>IF(B719="","",IF(J719&lt;33.0,0,IF(J719&gt;=100*0.8,5,IF(J719&gt;=100*0.7,4,IF(J719&gt;=100*0.6,3.5,IF(J719&gt;=100*0.5,3,IF(J719&gt;=100*0.4,2,IF(J719&gt;=100*0.33,1,0))))))))</f>
        <v/>
      </c>
      <c r="AC719">
        <f>IF(B719="","",IF(K719&lt;33.0,0,IF(K719&gt;=100*0.8,5,IF(K719&gt;=100*0.7,4,IF(K719&gt;=100*0.6,3.5,IF(K719&gt;=100*0.5,3,IF(K719&gt;=100*0.4,2,IF(K719&gt;=100*0.33,1,0))))))))</f>
        <v/>
      </c>
      <c r="AD719">
        <f>IF(B719="","",IF(L719&lt;33.0,0,IF(L719&gt;=100*0.8,5,IF(L719&gt;=100*0.7,4,IF(L719&gt;=100*0.6,3.5,IF(L719&gt;=100*0.5,3,IF(L719&gt;=100*0.4,2,IF(L719&gt;=100*0.33,1,0))))))))</f>
        <v/>
      </c>
      <c r="AE719">
        <f>IF(B719="","",IF(M719&lt;33.0,0,IF(M719&gt;=100*0.8,5,IF(M719&gt;=100*0.7,4,IF(M719&gt;=100*0.6,3.5,IF(M719&gt;=100*0.5,3,IF(M719&gt;=100*0.4,2,IF(M719&gt;=100*0.33,1,0))))))))</f>
        <v/>
      </c>
      <c r="AF719">
        <f>IF(B719="","",IF(N719&lt;16.5,0,IF(N719&gt;=50*0.8,5,IF(N719&gt;=50*0.7,4,IF(N719&gt;=50*0.6,3.5,IF(N719&gt;=50*0.5,3,IF(N719&gt;=50*0.4,2,IF(N719&gt;=50*0.33,1,0))))))))</f>
        <v/>
      </c>
      <c r="AG719">
        <f>IF(B719="","",IF(O719&lt;33.0,0,IF(O719&gt;=100*0.8,5,IF(O719&gt;=100*0.7,4,IF(O719&gt;=100*0.6,3.5,IF(O719&gt;=100*0.5,3,IF(O719&gt;=100*0.4,2,IF(O719&gt;=100*0.33,1,0))))))))</f>
        <v/>
      </c>
      <c r="AH719">
        <f>IF(B719="","",IF(OR(U719=0,V719=0,W719=0,X719=0,Y719=0,Z719=0,AA719=0,AB719=0,AC719=0,AD719=0,AE719=0,AF719=0,AG719=0),1,0))</f>
        <v/>
      </c>
    </row>
    <row r="720">
      <c r="A720" s="3">
        <f>IF(B720="","",ROW()-2)</f>
        <v/>
      </c>
      <c r="P720" s="4">
        <f>IF(B720="","",SUM(C720:O720))</f>
        <v/>
      </c>
      <c r="Q720" s="5">
        <f>IF(B720="","",ROUND(P720/13,2))</f>
        <v/>
      </c>
      <c r="R720" s="5">
        <f>IF(B720="","",IF(AH720=1,0,MIN(5,ROUND((U720+V720+W720+X720+Y720+Z720+AA720+AB720+AC720+AD720+AE720+AF720+AG720)/13,2))))</f>
        <v/>
      </c>
      <c r="S720" s="3">
        <f>IF(B720="","",IF(R720&gt;=5,"A+",IF(R720&gt;=4,"A",IF(R720&gt;=3.5,"A-",IF(R720&gt;=3,"B",IF(R720&gt;=2,"C",IF(R720&gt;=1,"D","F")))))))</f>
        <v/>
      </c>
      <c r="T720" s="3">
        <f>IF(OR(B720="",S720="F"),"",COUNTIFS(P:P,"&gt;"&amp;P720,S:S,"&lt;&gt;F")+1)</f>
        <v/>
      </c>
      <c r="U720">
        <f>IF(B720="","",IF(C720&lt;33.0,0,IF(C720&gt;=100*0.8,5,IF(C720&gt;=100*0.7,4,IF(C720&gt;=100*0.6,3.5,IF(C720&gt;=100*0.5,3,IF(C720&gt;=100*0.4,2,IF(C720&gt;=100*0.33,1,0))))))))</f>
        <v/>
      </c>
      <c r="V720">
        <f>IF(B720="","",IF(D720&lt;33.0,0,IF(D720&gt;=100*0.8,5,IF(D720&gt;=100*0.7,4,IF(D720&gt;=100*0.6,3.5,IF(D720&gt;=100*0.5,3,IF(D720&gt;=100*0.4,2,IF(D720&gt;=100*0.33,1,0))))))))</f>
        <v/>
      </c>
      <c r="W720">
        <f>IF(B720="","",IF(E720&lt;16.5,0,IF(E720&gt;=50*0.8,5,IF(E720&gt;=50*0.7,4,IF(E720&gt;=50*0.6,3.5,IF(E720&gt;=50*0.5,3,IF(E720&gt;=50*0.4,2,IF(E720&gt;=50*0.33,1,0))))))))</f>
        <v/>
      </c>
      <c r="X720">
        <f>IF(B720="","",IF(F720&lt;33.0,0,IF(F720&gt;=100*0.8,5,IF(F720&gt;=100*0.7,4,IF(F720&gt;=100*0.6,3.5,IF(F720&gt;=100*0.5,3,IF(F720&gt;=100*0.4,2,IF(F720&gt;=100*0.33,1,0))))))))</f>
        <v/>
      </c>
      <c r="Y720">
        <f>IF(B720="","",IF(G720&lt;16.5,0,IF(G720&gt;=50*0.8,5,IF(G720&gt;=50*0.7,4,IF(G720&gt;=50*0.6,3.5,IF(G720&gt;=50*0.5,3,IF(G720&gt;=50*0.4,2,IF(G720&gt;=50*0.33,1,0))))))))</f>
        <v/>
      </c>
      <c r="Z720">
        <f>IF(B720="","",IF(H720&lt;33.0,0,IF(H720&gt;=100*0.8,5,IF(H720&gt;=100*0.7,4,IF(H720&gt;=100*0.6,3.5,IF(H720&gt;=100*0.5,3,IF(H720&gt;=100*0.4,2,IF(H720&gt;=100*0.33,1,0))))))))</f>
        <v/>
      </c>
      <c r="AA720">
        <f>IF(B720="","",IF(I720&lt;33.0,0,IF(I720&gt;=100*0.8,5,IF(I720&gt;=100*0.7,4,IF(I720&gt;=100*0.6,3.5,IF(I720&gt;=100*0.5,3,IF(I720&gt;=100*0.4,2,IF(I720&gt;=100*0.33,1,0))))))))</f>
        <v/>
      </c>
      <c r="AB720">
        <f>IF(B720="","",IF(J720&lt;33.0,0,IF(J720&gt;=100*0.8,5,IF(J720&gt;=100*0.7,4,IF(J720&gt;=100*0.6,3.5,IF(J720&gt;=100*0.5,3,IF(J720&gt;=100*0.4,2,IF(J720&gt;=100*0.33,1,0))))))))</f>
        <v/>
      </c>
      <c r="AC720">
        <f>IF(B720="","",IF(K720&lt;33.0,0,IF(K720&gt;=100*0.8,5,IF(K720&gt;=100*0.7,4,IF(K720&gt;=100*0.6,3.5,IF(K720&gt;=100*0.5,3,IF(K720&gt;=100*0.4,2,IF(K720&gt;=100*0.33,1,0))))))))</f>
        <v/>
      </c>
      <c r="AD720">
        <f>IF(B720="","",IF(L720&lt;33.0,0,IF(L720&gt;=100*0.8,5,IF(L720&gt;=100*0.7,4,IF(L720&gt;=100*0.6,3.5,IF(L720&gt;=100*0.5,3,IF(L720&gt;=100*0.4,2,IF(L720&gt;=100*0.33,1,0))))))))</f>
        <v/>
      </c>
      <c r="AE720">
        <f>IF(B720="","",IF(M720&lt;33.0,0,IF(M720&gt;=100*0.8,5,IF(M720&gt;=100*0.7,4,IF(M720&gt;=100*0.6,3.5,IF(M720&gt;=100*0.5,3,IF(M720&gt;=100*0.4,2,IF(M720&gt;=100*0.33,1,0))))))))</f>
        <v/>
      </c>
      <c r="AF720">
        <f>IF(B720="","",IF(N720&lt;16.5,0,IF(N720&gt;=50*0.8,5,IF(N720&gt;=50*0.7,4,IF(N720&gt;=50*0.6,3.5,IF(N720&gt;=50*0.5,3,IF(N720&gt;=50*0.4,2,IF(N720&gt;=50*0.33,1,0))))))))</f>
        <v/>
      </c>
      <c r="AG720">
        <f>IF(B720="","",IF(O720&lt;33.0,0,IF(O720&gt;=100*0.8,5,IF(O720&gt;=100*0.7,4,IF(O720&gt;=100*0.6,3.5,IF(O720&gt;=100*0.5,3,IF(O720&gt;=100*0.4,2,IF(O720&gt;=100*0.33,1,0))))))))</f>
        <v/>
      </c>
      <c r="AH720">
        <f>IF(B720="","",IF(OR(U720=0,V720=0,W720=0,X720=0,Y720=0,Z720=0,AA720=0,AB720=0,AC720=0,AD720=0,AE720=0,AF720=0,AG720=0),1,0))</f>
        <v/>
      </c>
    </row>
    <row r="721">
      <c r="A721" s="3">
        <f>IF(B721="","",ROW()-2)</f>
        <v/>
      </c>
      <c r="P721" s="4">
        <f>IF(B721="","",SUM(C721:O721))</f>
        <v/>
      </c>
      <c r="Q721" s="5">
        <f>IF(B721="","",ROUND(P721/13,2))</f>
        <v/>
      </c>
      <c r="R721" s="5">
        <f>IF(B721="","",IF(AH721=1,0,MIN(5,ROUND((U721+V721+W721+X721+Y721+Z721+AA721+AB721+AC721+AD721+AE721+AF721+AG721)/13,2))))</f>
        <v/>
      </c>
      <c r="S721" s="3">
        <f>IF(B721="","",IF(R721&gt;=5,"A+",IF(R721&gt;=4,"A",IF(R721&gt;=3.5,"A-",IF(R721&gt;=3,"B",IF(R721&gt;=2,"C",IF(R721&gt;=1,"D","F")))))))</f>
        <v/>
      </c>
      <c r="T721" s="3">
        <f>IF(OR(B721="",S721="F"),"",COUNTIFS(P:P,"&gt;"&amp;P721,S:S,"&lt;&gt;F")+1)</f>
        <v/>
      </c>
      <c r="U721">
        <f>IF(B721="","",IF(C721&lt;33.0,0,IF(C721&gt;=100*0.8,5,IF(C721&gt;=100*0.7,4,IF(C721&gt;=100*0.6,3.5,IF(C721&gt;=100*0.5,3,IF(C721&gt;=100*0.4,2,IF(C721&gt;=100*0.33,1,0))))))))</f>
        <v/>
      </c>
      <c r="V721">
        <f>IF(B721="","",IF(D721&lt;33.0,0,IF(D721&gt;=100*0.8,5,IF(D721&gt;=100*0.7,4,IF(D721&gt;=100*0.6,3.5,IF(D721&gt;=100*0.5,3,IF(D721&gt;=100*0.4,2,IF(D721&gt;=100*0.33,1,0))))))))</f>
        <v/>
      </c>
      <c r="W721">
        <f>IF(B721="","",IF(E721&lt;16.5,0,IF(E721&gt;=50*0.8,5,IF(E721&gt;=50*0.7,4,IF(E721&gt;=50*0.6,3.5,IF(E721&gt;=50*0.5,3,IF(E721&gt;=50*0.4,2,IF(E721&gt;=50*0.33,1,0))))))))</f>
        <v/>
      </c>
      <c r="X721">
        <f>IF(B721="","",IF(F721&lt;33.0,0,IF(F721&gt;=100*0.8,5,IF(F721&gt;=100*0.7,4,IF(F721&gt;=100*0.6,3.5,IF(F721&gt;=100*0.5,3,IF(F721&gt;=100*0.4,2,IF(F721&gt;=100*0.33,1,0))))))))</f>
        <v/>
      </c>
      <c r="Y721">
        <f>IF(B721="","",IF(G721&lt;16.5,0,IF(G721&gt;=50*0.8,5,IF(G721&gt;=50*0.7,4,IF(G721&gt;=50*0.6,3.5,IF(G721&gt;=50*0.5,3,IF(G721&gt;=50*0.4,2,IF(G721&gt;=50*0.33,1,0))))))))</f>
        <v/>
      </c>
      <c r="Z721">
        <f>IF(B721="","",IF(H721&lt;33.0,0,IF(H721&gt;=100*0.8,5,IF(H721&gt;=100*0.7,4,IF(H721&gt;=100*0.6,3.5,IF(H721&gt;=100*0.5,3,IF(H721&gt;=100*0.4,2,IF(H721&gt;=100*0.33,1,0))))))))</f>
        <v/>
      </c>
      <c r="AA721">
        <f>IF(B721="","",IF(I721&lt;33.0,0,IF(I721&gt;=100*0.8,5,IF(I721&gt;=100*0.7,4,IF(I721&gt;=100*0.6,3.5,IF(I721&gt;=100*0.5,3,IF(I721&gt;=100*0.4,2,IF(I721&gt;=100*0.33,1,0))))))))</f>
        <v/>
      </c>
      <c r="AB721">
        <f>IF(B721="","",IF(J721&lt;33.0,0,IF(J721&gt;=100*0.8,5,IF(J721&gt;=100*0.7,4,IF(J721&gt;=100*0.6,3.5,IF(J721&gt;=100*0.5,3,IF(J721&gt;=100*0.4,2,IF(J721&gt;=100*0.33,1,0))))))))</f>
        <v/>
      </c>
      <c r="AC721">
        <f>IF(B721="","",IF(K721&lt;33.0,0,IF(K721&gt;=100*0.8,5,IF(K721&gt;=100*0.7,4,IF(K721&gt;=100*0.6,3.5,IF(K721&gt;=100*0.5,3,IF(K721&gt;=100*0.4,2,IF(K721&gt;=100*0.33,1,0))))))))</f>
        <v/>
      </c>
      <c r="AD721">
        <f>IF(B721="","",IF(L721&lt;33.0,0,IF(L721&gt;=100*0.8,5,IF(L721&gt;=100*0.7,4,IF(L721&gt;=100*0.6,3.5,IF(L721&gt;=100*0.5,3,IF(L721&gt;=100*0.4,2,IF(L721&gt;=100*0.33,1,0))))))))</f>
        <v/>
      </c>
      <c r="AE721">
        <f>IF(B721="","",IF(M721&lt;33.0,0,IF(M721&gt;=100*0.8,5,IF(M721&gt;=100*0.7,4,IF(M721&gt;=100*0.6,3.5,IF(M721&gt;=100*0.5,3,IF(M721&gt;=100*0.4,2,IF(M721&gt;=100*0.33,1,0))))))))</f>
        <v/>
      </c>
      <c r="AF721">
        <f>IF(B721="","",IF(N721&lt;16.5,0,IF(N721&gt;=50*0.8,5,IF(N721&gt;=50*0.7,4,IF(N721&gt;=50*0.6,3.5,IF(N721&gt;=50*0.5,3,IF(N721&gt;=50*0.4,2,IF(N721&gt;=50*0.33,1,0))))))))</f>
        <v/>
      </c>
      <c r="AG721">
        <f>IF(B721="","",IF(O721&lt;33.0,0,IF(O721&gt;=100*0.8,5,IF(O721&gt;=100*0.7,4,IF(O721&gt;=100*0.6,3.5,IF(O721&gt;=100*0.5,3,IF(O721&gt;=100*0.4,2,IF(O721&gt;=100*0.33,1,0))))))))</f>
        <v/>
      </c>
      <c r="AH721">
        <f>IF(B721="","",IF(OR(U721=0,V721=0,W721=0,X721=0,Y721=0,Z721=0,AA721=0,AB721=0,AC721=0,AD721=0,AE721=0,AF721=0,AG721=0),1,0))</f>
        <v/>
      </c>
    </row>
    <row r="722">
      <c r="A722" s="3">
        <f>IF(B722="","",ROW()-2)</f>
        <v/>
      </c>
      <c r="P722" s="4">
        <f>IF(B722="","",SUM(C722:O722))</f>
        <v/>
      </c>
      <c r="Q722" s="5">
        <f>IF(B722="","",ROUND(P722/13,2))</f>
        <v/>
      </c>
      <c r="R722" s="5">
        <f>IF(B722="","",IF(AH722=1,0,MIN(5,ROUND((U722+V722+W722+X722+Y722+Z722+AA722+AB722+AC722+AD722+AE722+AF722+AG722)/13,2))))</f>
        <v/>
      </c>
      <c r="S722" s="3">
        <f>IF(B722="","",IF(R722&gt;=5,"A+",IF(R722&gt;=4,"A",IF(R722&gt;=3.5,"A-",IF(R722&gt;=3,"B",IF(R722&gt;=2,"C",IF(R722&gt;=1,"D","F")))))))</f>
        <v/>
      </c>
      <c r="T722" s="3">
        <f>IF(OR(B722="",S722="F"),"",COUNTIFS(P:P,"&gt;"&amp;P722,S:S,"&lt;&gt;F")+1)</f>
        <v/>
      </c>
      <c r="U722">
        <f>IF(B722="","",IF(C722&lt;33.0,0,IF(C722&gt;=100*0.8,5,IF(C722&gt;=100*0.7,4,IF(C722&gt;=100*0.6,3.5,IF(C722&gt;=100*0.5,3,IF(C722&gt;=100*0.4,2,IF(C722&gt;=100*0.33,1,0))))))))</f>
        <v/>
      </c>
      <c r="V722">
        <f>IF(B722="","",IF(D722&lt;33.0,0,IF(D722&gt;=100*0.8,5,IF(D722&gt;=100*0.7,4,IF(D722&gt;=100*0.6,3.5,IF(D722&gt;=100*0.5,3,IF(D722&gt;=100*0.4,2,IF(D722&gt;=100*0.33,1,0))))))))</f>
        <v/>
      </c>
      <c r="W722">
        <f>IF(B722="","",IF(E722&lt;16.5,0,IF(E722&gt;=50*0.8,5,IF(E722&gt;=50*0.7,4,IF(E722&gt;=50*0.6,3.5,IF(E722&gt;=50*0.5,3,IF(E722&gt;=50*0.4,2,IF(E722&gt;=50*0.33,1,0))))))))</f>
        <v/>
      </c>
      <c r="X722">
        <f>IF(B722="","",IF(F722&lt;33.0,0,IF(F722&gt;=100*0.8,5,IF(F722&gt;=100*0.7,4,IF(F722&gt;=100*0.6,3.5,IF(F722&gt;=100*0.5,3,IF(F722&gt;=100*0.4,2,IF(F722&gt;=100*0.33,1,0))))))))</f>
        <v/>
      </c>
      <c r="Y722">
        <f>IF(B722="","",IF(G722&lt;16.5,0,IF(G722&gt;=50*0.8,5,IF(G722&gt;=50*0.7,4,IF(G722&gt;=50*0.6,3.5,IF(G722&gt;=50*0.5,3,IF(G722&gt;=50*0.4,2,IF(G722&gt;=50*0.33,1,0))))))))</f>
        <v/>
      </c>
      <c r="Z722">
        <f>IF(B722="","",IF(H722&lt;33.0,0,IF(H722&gt;=100*0.8,5,IF(H722&gt;=100*0.7,4,IF(H722&gt;=100*0.6,3.5,IF(H722&gt;=100*0.5,3,IF(H722&gt;=100*0.4,2,IF(H722&gt;=100*0.33,1,0))))))))</f>
        <v/>
      </c>
      <c r="AA722">
        <f>IF(B722="","",IF(I722&lt;33.0,0,IF(I722&gt;=100*0.8,5,IF(I722&gt;=100*0.7,4,IF(I722&gt;=100*0.6,3.5,IF(I722&gt;=100*0.5,3,IF(I722&gt;=100*0.4,2,IF(I722&gt;=100*0.33,1,0))))))))</f>
        <v/>
      </c>
      <c r="AB722">
        <f>IF(B722="","",IF(J722&lt;33.0,0,IF(J722&gt;=100*0.8,5,IF(J722&gt;=100*0.7,4,IF(J722&gt;=100*0.6,3.5,IF(J722&gt;=100*0.5,3,IF(J722&gt;=100*0.4,2,IF(J722&gt;=100*0.33,1,0))))))))</f>
        <v/>
      </c>
      <c r="AC722">
        <f>IF(B722="","",IF(K722&lt;33.0,0,IF(K722&gt;=100*0.8,5,IF(K722&gt;=100*0.7,4,IF(K722&gt;=100*0.6,3.5,IF(K722&gt;=100*0.5,3,IF(K722&gt;=100*0.4,2,IF(K722&gt;=100*0.33,1,0))))))))</f>
        <v/>
      </c>
      <c r="AD722">
        <f>IF(B722="","",IF(L722&lt;33.0,0,IF(L722&gt;=100*0.8,5,IF(L722&gt;=100*0.7,4,IF(L722&gt;=100*0.6,3.5,IF(L722&gt;=100*0.5,3,IF(L722&gt;=100*0.4,2,IF(L722&gt;=100*0.33,1,0))))))))</f>
        <v/>
      </c>
      <c r="AE722">
        <f>IF(B722="","",IF(M722&lt;33.0,0,IF(M722&gt;=100*0.8,5,IF(M722&gt;=100*0.7,4,IF(M722&gt;=100*0.6,3.5,IF(M722&gt;=100*0.5,3,IF(M722&gt;=100*0.4,2,IF(M722&gt;=100*0.33,1,0))))))))</f>
        <v/>
      </c>
      <c r="AF722">
        <f>IF(B722="","",IF(N722&lt;16.5,0,IF(N722&gt;=50*0.8,5,IF(N722&gt;=50*0.7,4,IF(N722&gt;=50*0.6,3.5,IF(N722&gt;=50*0.5,3,IF(N722&gt;=50*0.4,2,IF(N722&gt;=50*0.33,1,0))))))))</f>
        <v/>
      </c>
      <c r="AG722">
        <f>IF(B722="","",IF(O722&lt;33.0,0,IF(O722&gt;=100*0.8,5,IF(O722&gt;=100*0.7,4,IF(O722&gt;=100*0.6,3.5,IF(O722&gt;=100*0.5,3,IF(O722&gt;=100*0.4,2,IF(O722&gt;=100*0.33,1,0))))))))</f>
        <v/>
      </c>
      <c r="AH722">
        <f>IF(B722="","",IF(OR(U722=0,V722=0,W722=0,X722=0,Y722=0,Z722=0,AA722=0,AB722=0,AC722=0,AD722=0,AE722=0,AF722=0,AG722=0),1,0))</f>
        <v/>
      </c>
    </row>
    <row r="723">
      <c r="A723" s="3">
        <f>IF(B723="","",ROW()-2)</f>
        <v/>
      </c>
      <c r="P723" s="4">
        <f>IF(B723="","",SUM(C723:O723))</f>
        <v/>
      </c>
      <c r="Q723" s="5">
        <f>IF(B723="","",ROUND(P723/13,2))</f>
        <v/>
      </c>
      <c r="R723" s="5">
        <f>IF(B723="","",IF(AH723=1,0,MIN(5,ROUND((U723+V723+W723+X723+Y723+Z723+AA723+AB723+AC723+AD723+AE723+AF723+AG723)/13,2))))</f>
        <v/>
      </c>
      <c r="S723" s="3">
        <f>IF(B723="","",IF(R723&gt;=5,"A+",IF(R723&gt;=4,"A",IF(R723&gt;=3.5,"A-",IF(R723&gt;=3,"B",IF(R723&gt;=2,"C",IF(R723&gt;=1,"D","F")))))))</f>
        <v/>
      </c>
      <c r="T723" s="3">
        <f>IF(OR(B723="",S723="F"),"",COUNTIFS(P:P,"&gt;"&amp;P723,S:S,"&lt;&gt;F")+1)</f>
        <v/>
      </c>
      <c r="U723">
        <f>IF(B723="","",IF(C723&lt;33.0,0,IF(C723&gt;=100*0.8,5,IF(C723&gt;=100*0.7,4,IF(C723&gt;=100*0.6,3.5,IF(C723&gt;=100*0.5,3,IF(C723&gt;=100*0.4,2,IF(C723&gt;=100*0.33,1,0))))))))</f>
        <v/>
      </c>
      <c r="V723">
        <f>IF(B723="","",IF(D723&lt;33.0,0,IF(D723&gt;=100*0.8,5,IF(D723&gt;=100*0.7,4,IF(D723&gt;=100*0.6,3.5,IF(D723&gt;=100*0.5,3,IF(D723&gt;=100*0.4,2,IF(D723&gt;=100*0.33,1,0))))))))</f>
        <v/>
      </c>
      <c r="W723">
        <f>IF(B723="","",IF(E723&lt;16.5,0,IF(E723&gt;=50*0.8,5,IF(E723&gt;=50*0.7,4,IF(E723&gt;=50*0.6,3.5,IF(E723&gt;=50*0.5,3,IF(E723&gt;=50*0.4,2,IF(E723&gt;=50*0.33,1,0))))))))</f>
        <v/>
      </c>
      <c r="X723">
        <f>IF(B723="","",IF(F723&lt;33.0,0,IF(F723&gt;=100*0.8,5,IF(F723&gt;=100*0.7,4,IF(F723&gt;=100*0.6,3.5,IF(F723&gt;=100*0.5,3,IF(F723&gt;=100*0.4,2,IF(F723&gt;=100*0.33,1,0))))))))</f>
        <v/>
      </c>
      <c r="Y723">
        <f>IF(B723="","",IF(G723&lt;16.5,0,IF(G723&gt;=50*0.8,5,IF(G723&gt;=50*0.7,4,IF(G723&gt;=50*0.6,3.5,IF(G723&gt;=50*0.5,3,IF(G723&gt;=50*0.4,2,IF(G723&gt;=50*0.33,1,0))))))))</f>
        <v/>
      </c>
      <c r="Z723">
        <f>IF(B723="","",IF(H723&lt;33.0,0,IF(H723&gt;=100*0.8,5,IF(H723&gt;=100*0.7,4,IF(H723&gt;=100*0.6,3.5,IF(H723&gt;=100*0.5,3,IF(H723&gt;=100*0.4,2,IF(H723&gt;=100*0.33,1,0))))))))</f>
        <v/>
      </c>
      <c r="AA723">
        <f>IF(B723="","",IF(I723&lt;33.0,0,IF(I723&gt;=100*0.8,5,IF(I723&gt;=100*0.7,4,IF(I723&gt;=100*0.6,3.5,IF(I723&gt;=100*0.5,3,IF(I723&gt;=100*0.4,2,IF(I723&gt;=100*0.33,1,0))))))))</f>
        <v/>
      </c>
      <c r="AB723">
        <f>IF(B723="","",IF(J723&lt;33.0,0,IF(J723&gt;=100*0.8,5,IF(J723&gt;=100*0.7,4,IF(J723&gt;=100*0.6,3.5,IF(J723&gt;=100*0.5,3,IF(J723&gt;=100*0.4,2,IF(J723&gt;=100*0.33,1,0))))))))</f>
        <v/>
      </c>
      <c r="AC723">
        <f>IF(B723="","",IF(K723&lt;33.0,0,IF(K723&gt;=100*0.8,5,IF(K723&gt;=100*0.7,4,IF(K723&gt;=100*0.6,3.5,IF(K723&gt;=100*0.5,3,IF(K723&gt;=100*0.4,2,IF(K723&gt;=100*0.33,1,0))))))))</f>
        <v/>
      </c>
      <c r="AD723">
        <f>IF(B723="","",IF(L723&lt;33.0,0,IF(L723&gt;=100*0.8,5,IF(L723&gt;=100*0.7,4,IF(L723&gt;=100*0.6,3.5,IF(L723&gt;=100*0.5,3,IF(L723&gt;=100*0.4,2,IF(L723&gt;=100*0.33,1,0))))))))</f>
        <v/>
      </c>
      <c r="AE723">
        <f>IF(B723="","",IF(M723&lt;33.0,0,IF(M723&gt;=100*0.8,5,IF(M723&gt;=100*0.7,4,IF(M723&gt;=100*0.6,3.5,IF(M723&gt;=100*0.5,3,IF(M723&gt;=100*0.4,2,IF(M723&gt;=100*0.33,1,0))))))))</f>
        <v/>
      </c>
      <c r="AF723">
        <f>IF(B723="","",IF(N723&lt;16.5,0,IF(N723&gt;=50*0.8,5,IF(N723&gt;=50*0.7,4,IF(N723&gt;=50*0.6,3.5,IF(N723&gt;=50*0.5,3,IF(N723&gt;=50*0.4,2,IF(N723&gt;=50*0.33,1,0))))))))</f>
        <v/>
      </c>
      <c r="AG723">
        <f>IF(B723="","",IF(O723&lt;33.0,0,IF(O723&gt;=100*0.8,5,IF(O723&gt;=100*0.7,4,IF(O723&gt;=100*0.6,3.5,IF(O723&gt;=100*0.5,3,IF(O723&gt;=100*0.4,2,IF(O723&gt;=100*0.33,1,0))))))))</f>
        <v/>
      </c>
      <c r="AH723">
        <f>IF(B723="","",IF(OR(U723=0,V723=0,W723=0,X723=0,Y723=0,Z723=0,AA723=0,AB723=0,AC723=0,AD723=0,AE723=0,AF723=0,AG723=0),1,0))</f>
        <v/>
      </c>
    </row>
    <row r="724">
      <c r="A724" s="3">
        <f>IF(B724="","",ROW()-2)</f>
        <v/>
      </c>
      <c r="P724" s="4">
        <f>IF(B724="","",SUM(C724:O724))</f>
        <v/>
      </c>
      <c r="Q724" s="5">
        <f>IF(B724="","",ROUND(P724/13,2))</f>
        <v/>
      </c>
      <c r="R724" s="5">
        <f>IF(B724="","",IF(AH724=1,0,MIN(5,ROUND((U724+V724+W724+X724+Y724+Z724+AA724+AB724+AC724+AD724+AE724+AF724+AG724)/13,2))))</f>
        <v/>
      </c>
      <c r="S724" s="3">
        <f>IF(B724="","",IF(R724&gt;=5,"A+",IF(R724&gt;=4,"A",IF(R724&gt;=3.5,"A-",IF(R724&gt;=3,"B",IF(R724&gt;=2,"C",IF(R724&gt;=1,"D","F")))))))</f>
        <v/>
      </c>
      <c r="T724" s="3">
        <f>IF(OR(B724="",S724="F"),"",COUNTIFS(P:P,"&gt;"&amp;P724,S:S,"&lt;&gt;F")+1)</f>
        <v/>
      </c>
      <c r="U724">
        <f>IF(B724="","",IF(C724&lt;33.0,0,IF(C724&gt;=100*0.8,5,IF(C724&gt;=100*0.7,4,IF(C724&gt;=100*0.6,3.5,IF(C724&gt;=100*0.5,3,IF(C724&gt;=100*0.4,2,IF(C724&gt;=100*0.33,1,0))))))))</f>
        <v/>
      </c>
      <c r="V724">
        <f>IF(B724="","",IF(D724&lt;33.0,0,IF(D724&gt;=100*0.8,5,IF(D724&gt;=100*0.7,4,IF(D724&gt;=100*0.6,3.5,IF(D724&gt;=100*0.5,3,IF(D724&gt;=100*0.4,2,IF(D724&gt;=100*0.33,1,0))))))))</f>
        <v/>
      </c>
      <c r="W724">
        <f>IF(B724="","",IF(E724&lt;16.5,0,IF(E724&gt;=50*0.8,5,IF(E724&gt;=50*0.7,4,IF(E724&gt;=50*0.6,3.5,IF(E724&gt;=50*0.5,3,IF(E724&gt;=50*0.4,2,IF(E724&gt;=50*0.33,1,0))))))))</f>
        <v/>
      </c>
      <c r="X724">
        <f>IF(B724="","",IF(F724&lt;33.0,0,IF(F724&gt;=100*0.8,5,IF(F724&gt;=100*0.7,4,IF(F724&gt;=100*0.6,3.5,IF(F724&gt;=100*0.5,3,IF(F724&gt;=100*0.4,2,IF(F724&gt;=100*0.33,1,0))))))))</f>
        <v/>
      </c>
      <c r="Y724">
        <f>IF(B724="","",IF(G724&lt;16.5,0,IF(G724&gt;=50*0.8,5,IF(G724&gt;=50*0.7,4,IF(G724&gt;=50*0.6,3.5,IF(G724&gt;=50*0.5,3,IF(G724&gt;=50*0.4,2,IF(G724&gt;=50*0.33,1,0))))))))</f>
        <v/>
      </c>
      <c r="Z724">
        <f>IF(B724="","",IF(H724&lt;33.0,0,IF(H724&gt;=100*0.8,5,IF(H724&gt;=100*0.7,4,IF(H724&gt;=100*0.6,3.5,IF(H724&gt;=100*0.5,3,IF(H724&gt;=100*0.4,2,IF(H724&gt;=100*0.33,1,0))))))))</f>
        <v/>
      </c>
      <c r="AA724">
        <f>IF(B724="","",IF(I724&lt;33.0,0,IF(I724&gt;=100*0.8,5,IF(I724&gt;=100*0.7,4,IF(I724&gt;=100*0.6,3.5,IF(I724&gt;=100*0.5,3,IF(I724&gt;=100*0.4,2,IF(I724&gt;=100*0.33,1,0))))))))</f>
        <v/>
      </c>
      <c r="AB724">
        <f>IF(B724="","",IF(J724&lt;33.0,0,IF(J724&gt;=100*0.8,5,IF(J724&gt;=100*0.7,4,IF(J724&gt;=100*0.6,3.5,IF(J724&gt;=100*0.5,3,IF(J724&gt;=100*0.4,2,IF(J724&gt;=100*0.33,1,0))))))))</f>
        <v/>
      </c>
      <c r="AC724">
        <f>IF(B724="","",IF(K724&lt;33.0,0,IF(K724&gt;=100*0.8,5,IF(K724&gt;=100*0.7,4,IF(K724&gt;=100*0.6,3.5,IF(K724&gt;=100*0.5,3,IF(K724&gt;=100*0.4,2,IF(K724&gt;=100*0.33,1,0))))))))</f>
        <v/>
      </c>
      <c r="AD724">
        <f>IF(B724="","",IF(L724&lt;33.0,0,IF(L724&gt;=100*0.8,5,IF(L724&gt;=100*0.7,4,IF(L724&gt;=100*0.6,3.5,IF(L724&gt;=100*0.5,3,IF(L724&gt;=100*0.4,2,IF(L724&gt;=100*0.33,1,0))))))))</f>
        <v/>
      </c>
      <c r="AE724">
        <f>IF(B724="","",IF(M724&lt;33.0,0,IF(M724&gt;=100*0.8,5,IF(M724&gt;=100*0.7,4,IF(M724&gt;=100*0.6,3.5,IF(M724&gt;=100*0.5,3,IF(M724&gt;=100*0.4,2,IF(M724&gt;=100*0.33,1,0))))))))</f>
        <v/>
      </c>
      <c r="AF724">
        <f>IF(B724="","",IF(N724&lt;16.5,0,IF(N724&gt;=50*0.8,5,IF(N724&gt;=50*0.7,4,IF(N724&gt;=50*0.6,3.5,IF(N724&gt;=50*0.5,3,IF(N724&gt;=50*0.4,2,IF(N724&gt;=50*0.33,1,0))))))))</f>
        <v/>
      </c>
      <c r="AG724">
        <f>IF(B724="","",IF(O724&lt;33.0,0,IF(O724&gt;=100*0.8,5,IF(O724&gt;=100*0.7,4,IF(O724&gt;=100*0.6,3.5,IF(O724&gt;=100*0.5,3,IF(O724&gt;=100*0.4,2,IF(O724&gt;=100*0.33,1,0))))))))</f>
        <v/>
      </c>
      <c r="AH724">
        <f>IF(B724="","",IF(OR(U724=0,V724=0,W724=0,X724=0,Y724=0,Z724=0,AA724=0,AB724=0,AC724=0,AD724=0,AE724=0,AF724=0,AG724=0),1,0))</f>
        <v/>
      </c>
    </row>
    <row r="725">
      <c r="A725" s="3">
        <f>IF(B725="","",ROW()-2)</f>
        <v/>
      </c>
      <c r="P725" s="4">
        <f>IF(B725="","",SUM(C725:O725))</f>
        <v/>
      </c>
      <c r="Q725" s="5">
        <f>IF(B725="","",ROUND(P725/13,2))</f>
        <v/>
      </c>
      <c r="R725" s="5">
        <f>IF(B725="","",IF(AH725=1,0,MIN(5,ROUND((U725+V725+W725+X725+Y725+Z725+AA725+AB725+AC725+AD725+AE725+AF725+AG725)/13,2))))</f>
        <v/>
      </c>
      <c r="S725" s="3">
        <f>IF(B725="","",IF(R725&gt;=5,"A+",IF(R725&gt;=4,"A",IF(R725&gt;=3.5,"A-",IF(R725&gt;=3,"B",IF(R725&gt;=2,"C",IF(R725&gt;=1,"D","F")))))))</f>
        <v/>
      </c>
      <c r="T725" s="3">
        <f>IF(OR(B725="",S725="F"),"",COUNTIFS(P:P,"&gt;"&amp;P725,S:S,"&lt;&gt;F")+1)</f>
        <v/>
      </c>
      <c r="U725">
        <f>IF(B725="","",IF(C725&lt;33.0,0,IF(C725&gt;=100*0.8,5,IF(C725&gt;=100*0.7,4,IF(C725&gt;=100*0.6,3.5,IF(C725&gt;=100*0.5,3,IF(C725&gt;=100*0.4,2,IF(C725&gt;=100*0.33,1,0))))))))</f>
        <v/>
      </c>
      <c r="V725">
        <f>IF(B725="","",IF(D725&lt;33.0,0,IF(D725&gt;=100*0.8,5,IF(D725&gt;=100*0.7,4,IF(D725&gt;=100*0.6,3.5,IF(D725&gt;=100*0.5,3,IF(D725&gt;=100*0.4,2,IF(D725&gt;=100*0.33,1,0))))))))</f>
        <v/>
      </c>
      <c r="W725">
        <f>IF(B725="","",IF(E725&lt;16.5,0,IF(E725&gt;=50*0.8,5,IF(E725&gt;=50*0.7,4,IF(E725&gt;=50*0.6,3.5,IF(E725&gt;=50*0.5,3,IF(E725&gt;=50*0.4,2,IF(E725&gt;=50*0.33,1,0))))))))</f>
        <v/>
      </c>
      <c r="X725">
        <f>IF(B725="","",IF(F725&lt;33.0,0,IF(F725&gt;=100*0.8,5,IF(F725&gt;=100*0.7,4,IF(F725&gt;=100*0.6,3.5,IF(F725&gt;=100*0.5,3,IF(F725&gt;=100*0.4,2,IF(F725&gt;=100*0.33,1,0))))))))</f>
        <v/>
      </c>
      <c r="Y725">
        <f>IF(B725="","",IF(G725&lt;16.5,0,IF(G725&gt;=50*0.8,5,IF(G725&gt;=50*0.7,4,IF(G725&gt;=50*0.6,3.5,IF(G725&gt;=50*0.5,3,IF(G725&gt;=50*0.4,2,IF(G725&gt;=50*0.33,1,0))))))))</f>
        <v/>
      </c>
      <c r="Z725">
        <f>IF(B725="","",IF(H725&lt;33.0,0,IF(H725&gt;=100*0.8,5,IF(H725&gt;=100*0.7,4,IF(H725&gt;=100*0.6,3.5,IF(H725&gt;=100*0.5,3,IF(H725&gt;=100*0.4,2,IF(H725&gt;=100*0.33,1,0))))))))</f>
        <v/>
      </c>
      <c r="AA725">
        <f>IF(B725="","",IF(I725&lt;33.0,0,IF(I725&gt;=100*0.8,5,IF(I725&gt;=100*0.7,4,IF(I725&gt;=100*0.6,3.5,IF(I725&gt;=100*0.5,3,IF(I725&gt;=100*0.4,2,IF(I725&gt;=100*0.33,1,0))))))))</f>
        <v/>
      </c>
      <c r="AB725">
        <f>IF(B725="","",IF(J725&lt;33.0,0,IF(J725&gt;=100*0.8,5,IF(J725&gt;=100*0.7,4,IF(J725&gt;=100*0.6,3.5,IF(J725&gt;=100*0.5,3,IF(J725&gt;=100*0.4,2,IF(J725&gt;=100*0.33,1,0))))))))</f>
        <v/>
      </c>
      <c r="AC725">
        <f>IF(B725="","",IF(K725&lt;33.0,0,IF(K725&gt;=100*0.8,5,IF(K725&gt;=100*0.7,4,IF(K725&gt;=100*0.6,3.5,IF(K725&gt;=100*0.5,3,IF(K725&gt;=100*0.4,2,IF(K725&gt;=100*0.33,1,0))))))))</f>
        <v/>
      </c>
      <c r="AD725">
        <f>IF(B725="","",IF(L725&lt;33.0,0,IF(L725&gt;=100*0.8,5,IF(L725&gt;=100*0.7,4,IF(L725&gt;=100*0.6,3.5,IF(L725&gt;=100*0.5,3,IF(L725&gt;=100*0.4,2,IF(L725&gt;=100*0.33,1,0))))))))</f>
        <v/>
      </c>
      <c r="AE725">
        <f>IF(B725="","",IF(M725&lt;33.0,0,IF(M725&gt;=100*0.8,5,IF(M725&gt;=100*0.7,4,IF(M725&gt;=100*0.6,3.5,IF(M725&gt;=100*0.5,3,IF(M725&gt;=100*0.4,2,IF(M725&gt;=100*0.33,1,0))))))))</f>
        <v/>
      </c>
      <c r="AF725">
        <f>IF(B725="","",IF(N725&lt;16.5,0,IF(N725&gt;=50*0.8,5,IF(N725&gt;=50*0.7,4,IF(N725&gt;=50*0.6,3.5,IF(N725&gt;=50*0.5,3,IF(N725&gt;=50*0.4,2,IF(N725&gt;=50*0.33,1,0))))))))</f>
        <v/>
      </c>
      <c r="AG725">
        <f>IF(B725="","",IF(O725&lt;33.0,0,IF(O725&gt;=100*0.8,5,IF(O725&gt;=100*0.7,4,IF(O725&gt;=100*0.6,3.5,IF(O725&gt;=100*0.5,3,IF(O725&gt;=100*0.4,2,IF(O725&gt;=100*0.33,1,0))))))))</f>
        <v/>
      </c>
      <c r="AH725">
        <f>IF(B725="","",IF(OR(U725=0,V725=0,W725=0,X725=0,Y725=0,Z725=0,AA725=0,AB725=0,AC725=0,AD725=0,AE725=0,AF725=0,AG725=0),1,0))</f>
        <v/>
      </c>
    </row>
    <row r="726">
      <c r="A726" s="3">
        <f>IF(B726="","",ROW()-2)</f>
        <v/>
      </c>
      <c r="P726" s="4">
        <f>IF(B726="","",SUM(C726:O726))</f>
        <v/>
      </c>
      <c r="Q726" s="5">
        <f>IF(B726="","",ROUND(P726/13,2))</f>
        <v/>
      </c>
      <c r="R726" s="5">
        <f>IF(B726="","",IF(AH726=1,0,MIN(5,ROUND((U726+V726+W726+X726+Y726+Z726+AA726+AB726+AC726+AD726+AE726+AF726+AG726)/13,2))))</f>
        <v/>
      </c>
      <c r="S726" s="3">
        <f>IF(B726="","",IF(R726&gt;=5,"A+",IF(R726&gt;=4,"A",IF(R726&gt;=3.5,"A-",IF(R726&gt;=3,"B",IF(R726&gt;=2,"C",IF(R726&gt;=1,"D","F")))))))</f>
        <v/>
      </c>
      <c r="T726" s="3">
        <f>IF(OR(B726="",S726="F"),"",COUNTIFS(P:P,"&gt;"&amp;P726,S:S,"&lt;&gt;F")+1)</f>
        <v/>
      </c>
      <c r="U726">
        <f>IF(B726="","",IF(C726&lt;33.0,0,IF(C726&gt;=100*0.8,5,IF(C726&gt;=100*0.7,4,IF(C726&gt;=100*0.6,3.5,IF(C726&gt;=100*0.5,3,IF(C726&gt;=100*0.4,2,IF(C726&gt;=100*0.33,1,0))))))))</f>
        <v/>
      </c>
      <c r="V726">
        <f>IF(B726="","",IF(D726&lt;33.0,0,IF(D726&gt;=100*0.8,5,IF(D726&gt;=100*0.7,4,IF(D726&gt;=100*0.6,3.5,IF(D726&gt;=100*0.5,3,IF(D726&gt;=100*0.4,2,IF(D726&gt;=100*0.33,1,0))))))))</f>
        <v/>
      </c>
      <c r="W726">
        <f>IF(B726="","",IF(E726&lt;16.5,0,IF(E726&gt;=50*0.8,5,IF(E726&gt;=50*0.7,4,IF(E726&gt;=50*0.6,3.5,IF(E726&gt;=50*0.5,3,IF(E726&gt;=50*0.4,2,IF(E726&gt;=50*0.33,1,0))))))))</f>
        <v/>
      </c>
      <c r="X726">
        <f>IF(B726="","",IF(F726&lt;33.0,0,IF(F726&gt;=100*0.8,5,IF(F726&gt;=100*0.7,4,IF(F726&gt;=100*0.6,3.5,IF(F726&gt;=100*0.5,3,IF(F726&gt;=100*0.4,2,IF(F726&gt;=100*0.33,1,0))))))))</f>
        <v/>
      </c>
      <c r="Y726">
        <f>IF(B726="","",IF(G726&lt;16.5,0,IF(G726&gt;=50*0.8,5,IF(G726&gt;=50*0.7,4,IF(G726&gt;=50*0.6,3.5,IF(G726&gt;=50*0.5,3,IF(G726&gt;=50*0.4,2,IF(G726&gt;=50*0.33,1,0))))))))</f>
        <v/>
      </c>
      <c r="Z726">
        <f>IF(B726="","",IF(H726&lt;33.0,0,IF(H726&gt;=100*0.8,5,IF(H726&gt;=100*0.7,4,IF(H726&gt;=100*0.6,3.5,IF(H726&gt;=100*0.5,3,IF(H726&gt;=100*0.4,2,IF(H726&gt;=100*0.33,1,0))))))))</f>
        <v/>
      </c>
      <c r="AA726">
        <f>IF(B726="","",IF(I726&lt;33.0,0,IF(I726&gt;=100*0.8,5,IF(I726&gt;=100*0.7,4,IF(I726&gt;=100*0.6,3.5,IF(I726&gt;=100*0.5,3,IF(I726&gt;=100*0.4,2,IF(I726&gt;=100*0.33,1,0))))))))</f>
        <v/>
      </c>
      <c r="AB726">
        <f>IF(B726="","",IF(J726&lt;33.0,0,IF(J726&gt;=100*0.8,5,IF(J726&gt;=100*0.7,4,IF(J726&gt;=100*0.6,3.5,IF(J726&gt;=100*0.5,3,IF(J726&gt;=100*0.4,2,IF(J726&gt;=100*0.33,1,0))))))))</f>
        <v/>
      </c>
      <c r="AC726">
        <f>IF(B726="","",IF(K726&lt;33.0,0,IF(K726&gt;=100*0.8,5,IF(K726&gt;=100*0.7,4,IF(K726&gt;=100*0.6,3.5,IF(K726&gt;=100*0.5,3,IF(K726&gt;=100*0.4,2,IF(K726&gt;=100*0.33,1,0))))))))</f>
        <v/>
      </c>
      <c r="AD726">
        <f>IF(B726="","",IF(L726&lt;33.0,0,IF(L726&gt;=100*0.8,5,IF(L726&gt;=100*0.7,4,IF(L726&gt;=100*0.6,3.5,IF(L726&gt;=100*0.5,3,IF(L726&gt;=100*0.4,2,IF(L726&gt;=100*0.33,1,0))))))))</f>
        <v/>
      </c>
      <c r="AE726">
        <f>IF(B726="","",IF(M726&lt;33.0,0,IF(M726&gt;=100*0.8,5,IF(M726&gt;=100*0.7,4,IF(M726&gt;=100*0.6,3.5,IF(M726&gt;=100*0.5,3,IF(M726&gt;=100*0.4,2,IF(M726&gt;=100*0.33,1,0))))))))</f>
        <v/>
      </c>
      <c r="AF726">
        <f>IF(B726="","",IF(N726&lt;16.5,0,IF(N726&gt;=50*0.8,5,IF(N726&gt;=50*0.7,4,IF(N726&gt;=50*0.6,3.5,IF(N726&gt;=50*0.5,3,IF(N726&gt;=50*0.4,2,IF(N726&gt;=50*0.33,1,0))))))))</f>
        <v/>
      </c>
      <c r="AG726">
        <f>IF(B726="","",IF(O726&lt;33.0,0,IF(O726&gt;=100*0.8,5,IF(O726&gt;=100*0.7,4,IF(O726&gt;=100*0.6,3.5,IF(O726&gt;=100*0.5,3,IF(O726&gt;=100*0.4,2,IF(O726&gt;=100*0.33,1,0))))))))</f>
        <v/>
      </c>
      <c r="AH726">
        <f>IF(B726="","",IF(OR(U726=0,V726=0,W726=0,X726=0,Y726=0,Z726=0,AA726=0,AB726=0,AC726=0,AD726=0,AE726=0,AF726=0,AG726=0),1,0))</f>
        <v/>
      </c>
    </row>
    <row r="727">
      <c r="A727" s="3">
        <f>IF(B727="","",ROW()-2)</f>
        <v/>
      </c>
      <c r="P727" s="4">
        <f>IF(B727="","",SUM(C727:O727))</f>
        <v/>
      </c>
      <c r="Q727" s="5">
        <f>IF(B727="","",ROUND(P727/13,2))</f>
        <v/>
      </c>
      <c r="R727" s="5">
        <f>IF(B727="","",IF(AH727=1,0,MIN(5,ROUND((U727+V727+W727+X727+Y727+Z727+AA727+AB727+AC727+AD727+AE727+AF727+AG727)/13,2))))</f>
        <v/>
      </c>
      <c r="S727" s="3">
        <f>IF(B727="","",IF(R727&gt;=5,"A+",IF(R727&gt;=4,"A",IF(R727&gt;=3.5,"A-",IF(R727&gt;=3,"B",IF(R727&gt;=2,"C",IF(R727&gt;=1,"D","F")))))))</f>
        <v/>
      </c>
      <c r="T727" s="3">
        <f>IF(OR(B727="",S727="F"),"",COUNTIFS(P:P,"&gt;"&amp;P727,S:S,"&lt;&gt;F")+1)</f>
        <v/>
      </c>
      <c r="U727">
        <f>IF(B727="","",IF(C727&lt;33.0,0,IF(C727&gt;=100*0.8,5,IF(C727&gt;=100*0.7,4,IF(C727&gt;=100*0.6,3.5,IF(C727&gt;=100*0.5,3,IF(C727&gt;=100*0.4,2,IF(C727&gt;=100*0.33,1,0))))))))</f>
        <v/>
      </c>
      <c r="V727">
        <f>IF(B727="","",IF(D727&lt;33.0,0,IF(D727&gt;=100*0.8,5,IF(D727&gt;=100*0.7,4,IF(D727&gt;=100*0.6,3.5,IF(D727&gt;=100*0.5,3,IF(D727&gt;=100*0.4,2,IF(D727&gt;=100*0.33,1,0))))))))</f>
        <v/>
      </c>
      <c r="W727">
        <f>IF(B727="","",IF(E727&lt;16.5,0,IF(E727&gt;=50*0.8,5,IF(E727&gt;=50*0.7,4,IF(E727&gt;=50*0.6,3.5,IF(E727&gt;=50*0.5,3,IF(E727&gt;=50*0.4,2,IF(E727&gt;=50*0.33,1,0))))))))</f>
        <v/>
      </c>
      <c r="X727">
        <f>IF(B727="","",IF(F727&lt;33.0,0,IF(F727&gt;=100*0.8,5,IF(F727&gt;=100*0.7,4,IF(F727&gt;=100*0.6,3.5,IF(F727&gt;=100*0.5,3,IF(F727&gt;=100*0.4,2,IF(F727&gt;=100*0.33,1,0))))))))</f>
        <v/>
      </c>
      <c r="Y727">
        <f>IF(B727="","",IF(G727&lt;16.5,0,IF(G727&gt;=50*0.8,5,IF(G727&gt;=50*0.7,4,IF(G727&gt;=50*0.6,3.5,IF(G727&gt;=50*0.5,3,IF(G727&gt;=50*0.4,2,IF(G727&gt;=50*0.33,1,0))))))))</f>
        <v/>
      </c>
      <c r="Z727">
        <f>IF(B727="","",IF(H727&lt;33.0,0,IF(H727&gt;=100*0.8,5,IF(H727&gt;=100*0.7,4,IF(H727&gt;=100*0.6,3.5,IF(H727&gt;=100*0.5,3,IF(H727&gt;=100*0.4,2,IF(H727&gt;=100*0.33,1,0))))))))</f>
        <v/>
      </c>
      <c r="AA727">
        <f>IF(B727="","",IF(I727&lt;33.0,0,IF(I727&gt;=100*0.8,5,IF(I727&gt;=100*0.7,4,IF(I727&gt;=100*0.6,3.5,IF(I727&gt;=100*0.5,3,IF(I727&gt;=100*0.4,2,IF(I727&gt;=100*0.33,1,0))))))))</f>
        <v/>
      </c>
      <c r="AB727">
        <f>IF(B727="","",IF(J727&lt;33.0,0,IF(J727&gt;=100*0.8,5,IF(J727&gt;=100*0.7,4,IF(J727&gt;=100*0.6,3.5,IF(J727&gt;=100*0.5,3,IF(J727&gt;=100*0.4,2,IF(J727&gt;=100*0.33,1,0))))))))</f>
        <v/>
      </c>
      <c r="AC727">
        <f>IF(B727="","",IF(K727&lt;33.0,0,IF(K727&gt;=100*0.8,5,IF(K727&gt;=100*0.7,4,IF(K727&gt;=100*0.6,3.5,IF(K727&gt;=100*0.5,3,IF(K727&gt;=100*0.4,2,IF(K727&gt;=100*0.33,1,0))))))))</f>
        <v/>
      </c>
      <c r="AD727">
        <f>IF(B727="","",IF(L727&lt;33.0,0,IF(L727&gt;=100*0.8,5,IF(L727&gt;=100*0.7,4,IF(L727&gt;=100*0.6,3.5,IF(L727&gt;=100*0.5,3,IF(L727&gt;=100*0.4,2,IF(L727&gt;=100*0.33,1,0))))))))</f>
        <v/>
      </c>
      <c r="AE727">
        <f>IF(B727="","",IF(M727&lt;33.0,0,IF(M727&gt;=100*0.8,5,IF(M727&gt;=100*0.7,4,IF(M727&gt;=100*0.6,3.5,IF(M727&gt;=100*0.5,3,IF(M727&gt;=100*0.4,2,IF(M727&gt;=100*0.33,1,0))))))))</f>
        <v/>
      </c>
      <c r="AF727">
        <f>IF(B727="","",IF(N727&lt;16.5,0,IF(N727&gt;=50*0.8,5,IF(N727&gt;=50*0.7,4,IF(N727&gt;=50*0.6,3.5,IF(N727&gt;=50*0.5,3,IF(N727&gt;=50*0.4,2,IF(N727&gt;=50*0.33,1,0))))))))</f>
        <v/>
      </c>
      <c r="AG727">
        <f>IF(B727="","",IF(O727&lt;33.0,0,IF(O727&gt;=100*0.8,5,IF(O727&gt;=100*0.7,4,IF(O727&gt;=100*0.6,3.5,IF(O727&gt;=100*0.5,3,IF(O727&gt;=100*0.4,2,IF(O727&gt;=100*0.33,1,0))))))))</f>
        <v/>
      </c>
      <c r="AH727">
        <f>IF(B727="","",IF(OR(U727=0,V727=0,W727=0,X727=0,Y727=0,Z727=0,AA727=0,AB727=0,AC727=0,AD727=0,AE727=0,AF727=0,AG727=0),1,0))</f>
        <v/>
      </c>
    </row>
    <row r="728">
      <c r="A728" s="3">
        <f>IF(B728="","",ROW()-2)</f>
        <v/>
      </c>
      <c r="P728" s="4">
        <f>IF(B728="","",SUM(C728:O728))</f>
        <v/>
      </c>
      <c r="Q728" s="5">
        <f>IF(B728="","",ROUND(P728/13,2))</f>
        <v/>
      </c>
      <c r="R728" s="5">
        <f>IF(B728="","",IF(AH728=1,0,MIN(5,ROUND((U728+V728+W728+X728+Y728+Z728+AA728+AB728+AC728+AD728+AE728+AF728+AG728)/13,2))))</f>
        <v/>
      </c>
      <c r="S728" s="3">
        <f>IF(B728="","",IF(R728&gt;=5,"A+",IF(R728&gt;=4,"A",IF(R728&gt;=3.5,"A-",IF(R728&gt;=3,"B",IF(R728&gt;=2,"C",IF(R728&gt;=1,"D","F")))))))</f>
        <v/>
      </c>
      <c r="T728" s="3">
        <f>IF(OR(B728="",S728="F"),"",COUNTIFS(P:P,"&gt;"&amp;P728,S:S,"&lt;&gt;F")+1)</f>
        <v/>
      </c>
      <c r="U728">
        <f>IF(B728="","",IF(C728&lt;33.0,0,IF(C728&gt;=100*0.8,5,IF(C728&gt;=100*0.7,4,IF(C728&gt;=100*0.6,3.5,IF(C728&gt;=100*0.5,3,IF(C728&gt;=100*0.4,2,IF(C728&gt;=100*0.33,1,0))))))))</f>
        <v/>
      </c>
      <c r="V728">
        <f>IF(B728="","",IF(D728&lt;33.0,0,IF(D728&gt;=100*0.8,5,IF(D728&gt;=100*0.7,4,IF(D728&gt;=100*0.6,3.5,IF(D728&gt;=100*0.5,3,IF(D728&gt;=100*0.4,2,IF(D728&gt;=100*0.33,1,0))))))))</f>
        <v/>
      </c>
      <c r="W728">
        <f>IF(B728="","",IF(E728&lt;16.5,0,IF(E728&gt;=50*0.8,5,IF(E728&gt;=50*0.7,4,IF(E728&gt;=50*0.6,3.5,IF(E728&gt;=50*0.5,3,IF(E728&gt;=50*0.4,2,IF(E728&gt;=50*0.33,1,0))))))))</f>
        <v/>
      </c>
      <c r="X728">
        <f>IF(B728="","",IF(F728&lt;33.0,0,IF(F728&gt;=100*0.8,5,IF(F728&gt;=100*0.7,4,IF(F728&gt;=100*0.6,3.5,IF(F728&gt;=100*0.5,3,IF(F728&gt;=100*0.4,2,IF(F728&gt;=100*0.33,1,0))))))))</f>
        <v/>
      </c>
      <c r="Y728">
        <f>IF(B728="","",IF(G728&lt;16.5,0,IF(G728&gt;=50*0.8,5,IF(G728&gt;=50*0.7,4,IF(G728&gt;=50*0.6,3.5,IF(G728&gt;=50*0.5,3,IF(G728&gt;=50*0.4,2,IF(G728&gt;=50*0.33,1,0))))))))</f>
        <v/>
      </c>
      <c r="Z728">
        <f>IF(B728="","",IF(H728&lt;33.0,0,IF(H728&gt;=100*0.8,5,IF(H728&gt;=100*0.7,4,IF(H728&gt;=100*0.6,3.5,IF(H728&gt;=100*0.5,3,IF(H728&gt;=100*0.4,2,IF(H728&gt;=100*0.33,1,0))))))))</f>
        <v/>
      </c>
      <c r="AA728">
        <f>IF(B728="","",IF(I728&lt;33.0,0,IF(I728&gt;=100*0.8,5,IF(I728&gt;=100*0.7,4,IF(I728&gt;=100*0.6,3.5,IF(I728&gt;=100*0.5,3,IF(I728&gt;=100*0.4,2,IF(I728&gt;=100*0.33,1,0))))))))</f>
        <v/>
      </c>
      <c r="AB728">
        <f>IF(B728="","",IF(J728&lt;33.0,0,IF(J728&gt;=100*0.8,5,IF(J728&gt;=100*0.7,4,IF(J728&gt;=100*0.6,3.5,IF(J728&gt;=100*0.5,3,IF(J728&gt;=100*0.4,2,IF(J728&gt;=100*0.33,1,0))))))))</f>
        <v/>
      </c>
      <c r="AC728">
        <f>IF(B728="","",IF(K728&lt;33.0,0,IF(K728&gt;=100*0.8,5,IF(K728&gt;=100*0.7,4,IF(K728&gt;=100*0.6,3.5,IF(K728&gt;=100*0.5,3,IF(K728&gt;=100*0.4,2,IF(K728&gt;=100*0.33,1,0))))))))</f>
        <v/>
      </c>
      <c r="AD728">
        <f>IF(B728="","",IF(L728&lt;33.0,0,IF(L728&gt;=100*0.8,5,IF(L728&gt;=100*0.7,4,IF(L728&gt;=100*0.6,3.5,IF(L728&gt;=100*0.5,3,IF(L728&gt;=100*0.4,2,IF(L728&gt;=100*0.33,1,0))))))))</f>
        <v/>
      </c>
      <c r="AE728">
        <f>IF(B728="","",IF(M728&lt;33.0,0,IF(M728&gt;=100*0.8,5,IF(M728&gt;=100*0.7,4,IF(M728&gt;=100*0.6,3.5,IF(M728&gt;=100*0.5,3,IF(M728&gt;=100*0.4,2,IF(M728&gt;=100*0.33,1,0))))))))</f>
        <v/>
      </c>
      <c r="AF728">
        <f>IF(B728="","",IF(N728&lt;16.5,0,IF(N728&gt;=50*0.8,5,IF(N728&gt;=50*0.7,4,IF(N728&gt;=50*0.6,3.5,IF(N728&gt;=50*0.5,3,IF(N728&gt;=50*0.4,2,IF(N728&gt;=50*0.33,1,0))))))))</f>
        <v/>
      </c>
      <c r="AG728">
        <f>IF(B728="","",IF(O728&lt;33.0,0,IF(O728&gt;=100*0.8,5,IF(O728&gt;=100*0.7,4,IF(O728&gt;=100*0.6,3.5,IF(O728&gt;=100*0.5,3,IF(O728&gt;=100*0.4,2,IF(O728&gt;=100*0.33,1,0))))))))</f>
        <v/>
      </c>
      <c r="AH728">
        <f>IF(B728="","",IF(OR(U728=0,V728=0,W728=0,X728=0,Y728=0,Z728=0,AA728=0,AB728=0,AC728=0,AD728=0,AE728=0,AF728=0,AG728=0),1,0))</f>
        <v/>
      </c>
    </row>
    <row r="729">
      <c r="A729" s="3">
        <f>IF(B729="","",ROW()-2)</f>
        <v/>
      </c>
      <c r="P729" s="4">
        <f>IF(B729="","",SUM(C729:O729))</f>
        <v/>
      </c>
      <c r="Q729" s="5">
        <f>IF(B729="","",ROUND(P729/13,2))</f>
        <v/>
      </c>
      <c r="R729" s="5">
        <f>IF(B729="","",IF(AH729=1,0,MIN(5,ROUND((U729+V729+W729+X729+Y729+Z729+AA729+AB729+AC729+AD729+AE729+AF729+AG729)/13,2))))</f>
        <v/>
      </c>
      <c r="S729" s="3">
        <f>IF(B729="","",IF(R729&gt;=5,"A+",IF(R729&gt;=4,"A",IF(R729&gt;=3.5,"A-",IF(R729&gt;=3,"B",IF(R729&gt;=2,"C",IF(R729&gt;=1,"D","F")))))))</f>
        <v/>
      </c>
      <c r="T729" s="3">
        <f>IF(OR(B729="",S729="F"),"",COUNTIFS(P:P,"&gt;"&amp;P729,S:S,"&lt;&gt;F")+1)</f>
        <v/>
      </c>
      <c r="U729">
        <f>IF(B729="","",IF(C729&lt;33.0,0,IF(C729&gt;=100*0.8,5,IF(C729&gt;=100*0.7,4,IF(C729&gt;=100*0.6,3.5,IF(C729&gt;=100*0.5,3,IF(C729&gt;=100*0.4,2,IF(C729&gt;=100*0.33,1,0))))))))</f>
        <v/>
      </c>
      <c r="V729">
        <f>IF(B729="","",IF(D729&lt;33.0,0,IF(D729&gt;=100*0.8,5,IF(D729&gt;=100*0.7,4,IF(D729&gt;=100*0.6,3.5,IF(D729&gt;=100*0.5,3,IF(D729&gt;=100*0.4,2,IF(D729&gt;=100*0.33,1,0))))))))</f>
        <v/>
      </c>
      <c r="W729">
        <f>IF(B729="","",IF(E729&lt;16.5,0,IF(E729&gt;=50*0.8,5,IF(E729&gt;=50*0.7,4,IF(E729&gt;=50*0.6,3.5,IF(E729&gt;=50*0.5,3,IF(E729&gt;=50*0.4,2,IF(E729&gt;=50*0.33,1,0))))))))</f>
        <v/>
      </c>
      <c r="X729">
        <f>IF(B729="","",IF(F729&lt;33.0,0,IF(F729&gt;=100*0.8,5,IF(F729&gt;=100*0.7,4,IF(F729&gt;=100*0.6,3.5,IF(F729&gt;=100*0.5,3,IF(F729&gt;=100*0.4,2,IF(F729&gt;=100*0.33,1,0))))))))</f>
        <v/>
      </c>
      <c r="Y729">
        <f>IF(B729="","",IF(G729&lt;16.5,0,IF(G729&gt;=50*0.8,5,IF(G729&gt;=50*0.7,4,IF(G729&gt;=50*0.6,3.5,IF(G729&gt;=50*0.5,3,IF(G729&gt;=50*0.4,2,IF(G729&gt;=50*0.33,1,0))))))))</f>
        <v/>
      </c>
      <c r="Z729">
        <f>IF(B729="","",IF(H729&lt;33.0,0,IF(H729&gt;=100*0.8,5,IF(H729&gt;=100*0.7,4,IF(H729&gt;=100*0.6,3.5,IF(H729&gt;=100*0.5,3,IF(H729&gt;=100*0.4,2,IF(H729&gt;=100*0.33,1,0))))))))</f>
        <v/>
      </c>
      <c r="AA729">
        <f>IF(B729="","",IF(I729&lt;33.0,0,IF(I729&gt;=100*0.8,5,IF(I729&gt;=100*0.7,4,IF(I729&gt;=100*0.6,3.5,IF(I729&gt;=100*0.5,3,IF(I729&gt;=100*0.4,2,IF(I729&gt;=100*0.33,1,0))))))))</f>
        <v/>
      </c>
      <c r="AB729">
        <f>IF(B729="","",IF(J729&lt;33.0,0,IF(J729&gt;=100*0.8,5,IF(J729&gt;=100*0.7,4,IF(J729&gt;=100*0.6,3.5,IF(J729&gt;=100*0.5,3,IF(J729&gt;=100*0.4,2,IF(J729&gt;=100*0.33,1,0))))))))</f>
        <v/>
      </c>
      <c r="AC729">
        <f>IF(B729="","",IF(K729&lt;33.0,0,IF(K729&gt;=100*0.8,5,IF(K729&gt;=100*0.7,4,IF(K729&gt;=100*0.6,3.5,IF(K729&gt;=100*0.5,3,IF(K729&gt;=100*0.4,2,IF(K729&gt;=100*0.33,1,0))))))))</f>
        <v/>
      </c>
      <c r="AD729">
        <f>IF(B729="","",IF(L729&lt;33.0,0,IF(L729&gt;=100*0.8,5,IF(L729&gt;=100*0.7,4,IF(L729&gt;=100*0.6,3.5,IF(L729&gt;=100*0.5,3,IF(L729&gt;=100*0.4,2,IF(L729&gt;=100*0.33,1,0))))))))</f>
        <v/>
      </c>
      <c r="AE729">
        <f>IF(B729="","",IF(M729&lt;33.0,0,IF(M729&gt;=100*0.8,5,IF(M729&gt;=100*0.7,4,IF(M729&gt;=100*0.6,3.5,IF(M729&gt;=100*0.5,3,IF(M729&gt;=100*0.4,2,IF(M729&gt;=100*0.33,1,0))))))))</f>
        <v/>
      </c>
      <c r="AF729">
        <f>IF(B729="","",IF(N729&lt;16.5,0,IF(N729&gt;=50*0.8,5,IF(N729&gt;=50*0.7,4,IF(N729&gt;=50*0.6,3.5,IF(N729&gt;=50*0.5,3,IF(N729&gt;=50*0.4,2,IF(N729&gt;=50*0.33,1,0))))))))</f>
        <v/>
      </c>
      <c r="AG729">
        <f>IF(B729="","",IF(O729&lt;33.0,0,IF(O729&gt;=100*0.8,5,IF(O729&gt;=100*0.7,4,IF(O729&gt;=100*0.6,3.5,IF(O729&gt;=100*0.5,3,IF(O729&gt;=100*0.4,2,IF(O729&gt;=100*0.33,1,0))))))))</f>
        <v/>
      </c>
      <c r="AH729">
        <f>IF(B729="","",IF(OR(U729=0,V729=0,W729=0,X729=0,Y729=0,Z729=0,AA729=0,AB729=0,AC729=0,AD729=0,AE729=0,AF729=0,AG729=0),1,0))</f>
        <v/>
      </c>
    </row>
    <row r="730">
      <c r="A730" s="3">
        <f>IF(B730="","",ROW()-2)</f>
        <v/>
      </c>
      <c r="P730" s="4">
        <f>IF(B730="","",SUM(C730:O730))</f>
        <v/>
      </c>
      <c r="Q730" s="5">
        <f>IF(B730="","",ROUND(P730/13,2))</f>
        <v/>
      </c>
      <c r="R730" s="5">
        <f>IF(B730="","",IF(AH730=1,0,MIN(5,ROUND((U730+V730+W730+X730+Y730+Z730+AA730+AB730+AC730+AD730+AE730+AF730+AG730)/13,2))))</f>
        <v/>
      </c>
      <c r="S730" s="3">
        <f>IF(B730="","",IF(R730&gt;=5,"A+",IF(R730&gt;=4,"A",IF(R730&gt;=3.5,"A-",IF(R730&gt;=3,"B",IF(R730&gt;=2,"C",IF(R730&gt;=1,"D","F")))))))</f>
        <v/>
      </c>
      <c r="T730" s="3">
        <f>IF(OR(B730="",S730="F"),"",COUNTIFS(P:P,"&gt;"&amp;P730,S:S,"&lt;&gt;F")+1)</f>
        <v/>
      </c>
      <c r="U730">
        <f>IF(B730="","",IF(C730&lt;33.0,0,IF(C730&gt;=100*0.8,5,IF(C730&gt;=100*0.7,4,IF(C730&gt;=100*0.6,3.5,IF(C730&gt;=100*0.5,3,IF(C730&gt;=100*0.4,2,IF(C730&gt;=100*0.33,1,0))))))))</f>
        <v/>
      </c>
      <c r="V730">
        <f>IF(B730="","",IF(D730&lt;33.0,0,IF(D730&gt;=100*0.8,5,IF(D730&gt;=100*0.7,4,IF(D730&gt;=100*0.6,3.5,IF(D730&gt;=100*0.5,3,IF(D730&gt;=100*0.4,2,IF(D730&gt;=100*0.33,1,0))))))))</f>
        <v/>
      </c>
      <c r="W730">
        <f>IF(B730="","",IF(E730&lt;16.5,0,IF(E730&gt;=50*0.8,5,IF(E730&gt;=50*0.7,4,IF(E730&gt;=50*0.6,3.5,IF(E730&gt;=50*0.5,3,IF(E730&gt;=50*0.4,2,IF(E730&gt;=50*0.33,1,0))))))))</f>
        <v/>
      </c>
      <c r="X730">
        <f>IF(B730="","",IF(F730&lt;33.0,0,IF(F730&gt;=100*0.8,5,IF(F730&gt;=100*0.7,4,IF(F730&gt;=100*0.6,3.5,IF(F730&gt;=100*0.5,3,IF(F730&gt;=100*0.4,2,IF(F730&gt;=100*0.33,1,0))))))))</f>
        <v/>
      </c>
      <c r="Y730">
        <f>IF(B730="","",IF(G730&lt;16.5,0,IF(G730&gt;=50*0.8,5,IF(G730&gt;=50*0.7,4,IF(G730&gt;=50*0.6,3.5,IF(G730&gt;=50*0.5,3,IF(G730&gt;=50*0.4,2,IF(G730&gt;=50*0.33,1,0))))))))</f>
        <v/>
      </c>
      <c r="Z730">
        <f>IF(B730="","",IF(H730&lt;33.0,0,IF(H730&gt;=100*0.8,5,IF(H730&gt;=100*0.7,4,IF(H730&gt;=100*0.6,3.5,IF(H730&gt;=100*0.5,3,IF(H730&gt;=100*0.4,2,IF(H730&gt;=100*0.33,1,0))))))))</f>
        <v/>
      </c>
      <c r="AA730">
        <f>IF(B730="","",IF(I730&lt;33.0,0,IF(I730&gt;=100*0.8,5,IF(I730&gt;=100*0.7,4,IF(I730&gt;=100*0.6,3.5,IF(I730&gt;=100*0.5,3,IF(I730&gt;=100*0.4,2,IF(I730&gt;=100*0.33,1,0))))))))</f>
        <v/>
      </c>
      <c r="AB730">
        <f>IF(B730="","",IF(J730&lt;33.0,0,IF(J730&gt;=100*0.8,5,IF(J730&gt;=100*0.7,4,IF(J730&gt;=100*0.6,3.5,IF(J730&gt;=100*0.5,3,IF(J730&gt;=100*0.4,2,IF(J730&gt;=100*0.33,1,0))))))))</f>
        <v/>
      </c>
      <c r="AC730">
        <f>IF(B730="","",IF(K730&lt;33.0,0,IF(K730&gt;=100*0.8,5,IF(K730&gt;=100*0.7,4,IF(K730&gt;=100*0.6,3.5,IF(K730&gt;=100*0.5,3,IF(K730&gt;=100*0.4,2,IF(K730&gt;=100*0.33,1,0))))))))</f>
        <v/>
      </c>
      <c r="AD730">
        <f>IF(B730="","",IF(L730&lt;33.0,0,IF(L730&gt;=100*0.8,5,IF(L730&gt;=100*0.7,4,IF(L730&gt;=100*0.6,3.5,IF(L730&gt;=100*0.5,3,IF(L730&gt;=100*0.4,2,IF(L730&gt;=100*0.33,1,0))))))))</f>
        <v/>
      </c>
      <c r="AE730">
        <f>IF(B730="","",IF(M730&lt;33.0,0,IF(M730&gt;=100*0.8,5,IF(M730&gt;=100*0.7,4,IF(M730&gt;=100*0.6,3.5,IF(M730&gt;=100*0.5,3,IF(M730&gt;=100*0.4,2,IF(M730&gt;=100*0.33,1,0))))))))</f>
        <v/>
      </c>
      <c r="AF730">
        <f>IF(B730="","",IF(N730&lt;16.5,0,IF(N730&gt;=50*0.8,5,IF(N730&gt;=50*0.7,4,IF(N730&gt;=50*0.6,3.5,IF(N730&gt;=50*0.5,3,IF(N730&gt;=50*0.4,2,IF(N730&gt;=50*0.33,1,0))))))))</f>
        <v/>
      </c>
      <c r="AG730">
        <f>IF(B730="","",IF(O730&lt;33.0,0,IF(O730&gt;=100*0.8,5,IF(O730&gt;=100*0.7,4,IF(O730&gt;=100*0.6,3.5,IF(O730&gt;=100*0.5,3,IF(O730&gt;=100*0.4,2,IF(O730&gt;=100*0.33,1,0))))))))</f>
        <v/>
      </c>
      <c r="AH730">
        <f>IF(B730="","",IF(OR(U730=0,V730=0,W730=0,X730=0,Y730=0,Z730=0,AA730=0,AB730=0,AC730=0,AD730=0,AE730=0,AF730=0,AG730=0),1,0))</f>
        <v/>
      </c>
    </row>
    <row r="731">
      <c r="A731" s="3">
        <f>IF(B731="","",ROW()-2)</f>
        <v/>
      </c>
      <c r="P731" s="4">
        <f>IF(B731="","",SUM(C731:O731))</f>
        <v/>
      </c>
      <c r="Q731" s="5">
        <f>IF(B731="","",ROUND(P731/13,2))</f>
        <v/>
      </c>
      <c r="R731" s="5">
        <f>IF(B731="","",IF(AH731=1,0,MIN(5,ROUND((U731+V731+W731+X731+Y731+Z731+AA731+AB731+AC731+AD731+AE731+AF731+AG731)/13,2))))</f>
        <v/>
      </c>
      <c r="S731" s="3">
        <f>IF(B731="","",IF(R731&gt;=5,"A+",IF(R731&gt;=4,"A",IF(R731&gt;=3.5,"A-",IF(R731&gt;=3,"B",IF(R731&gt;=2,"C",IF(R731&gt;=1,"D","F")))))))</f>
        <v/>
      </c>
      <c r="T731" s="3">
        <f>IF(OR(B731="",S731="F"),"",COUNTIFS(P:P,"&gt;"&amp;P731,S:S,"&lt;&gt;F")+1)</f>
        <v/>
      </c>
      <c r="U731">
        <f>IF(B731="","",IF(C731&lt;33.0,0,IF(C731&gt;=100*0.8,5,IF(C731&gt;=100*0.7,4,IF(C731&gt;=100*0.6,3.5,IF(C731&gt;=100*0.5,3,IF(C731&gt;=100*0.4,2,IF(C731&gt;=100*0.33,1,0))))))))</f>
        <v/>
      </c>
      <c r="V731">
        <f>IF(B731="","",IF(D731&lt;33.0,0,IF(D731&gt;=100*0.8,5,IF(D731&gt;=100*0.7,4,IF(D731&gt;=100*0.6,3.5,IF(D731&gt;=100*0.5,3,IF(D731&gt;=100*0.4,2,IF(D731&gt;=100*0.33,1,0))))))))</f>
        <v/>
      </c>
      <c r="W731">
        <f>IF(B731="","",IF(E731&lt;16.5,0,IF(E731&gt;=50*0.8,5,IF(E731&gt;=50*0.7,4,IF(E731&gt;=50*0.6,3.5,IF(E731&gt;=50*0.5,3,IF(E731&gt;=50*0.4,2,IF(E731&gt;=50*0.33,1,0))))))))</f>
        <v/>
      </c>
      <c r="X731">
        <f>IF(B731="","",IF(F731&lt;33.0,0,IF(F731&gt;=100*0.8,5,IF(F731&gt;=100*0.7,4,IF(F731&gt;=100*0.6,3.5,IF(F731&gt;=100*0.5,3,IF(F731&gt;=100*0.4,2,IF(F731&gt;=100*0.33,1,0))))))))</f>
        <v/>
      </c>
      <c r="Y731">
        <f>IF(B731="","",IF(G731&lt;16.5,0,IF(G731&gt;=50*0.8,5,IF(G731&gt;=50*0.7,4,IF(G731&gt;=50*0.6,3.5,IF(G731&gt;=50*0.5,3,IF(G731&gt;=50*0.4,2,IF(G731&gt;=50*0.33,1,0))))))))</f>
        <v/>
      </c>
      <c r="Z731">
        <f>IF(B731="","",IF(H731&lt;33.0,0,IF(H731&gt;=100*0.8,5,IF(H731&gt;=100*0.7,4,IF(H731&gt;=100*0.6,3.5,IF(H731&gt;=100*0.5,3,IF(H731&gt;=100*0.4,2,IF(H731&gt;=100*0.33,1,0))))))))</f>
        <v/>
      </c>
      <c r="AA731">
        <f>IF(B731="","",IF(I731&lt;33.0,0,IF(I731&gt;=100*0.8,5,IF(I731&gt;=100*0.7,4,IF(I731&gt;=100*0.6,3.5,IF(I731&gt;=100*0.5,3,IF(I731&gt;=100*0.4,2,IF(I731&gt;=100*0.33,1,0))))))))</f>
        <v/>
      </c>
      <c r="AB731">
        <f>IF(B731="","",IF(J731&lt;33.0,0,IF(J731&gt;=100*0.8,5,IF(J731&gt;=100*0.7,4,IF(J731&gt;=100*0.6,3.5,IF(J731&gt;=100*0.5,3,IF(J731&gt;=100*0.4,2,IF(J731&gt;=100*0.33,1,0))))))))</f>
        <v/>
      </c>
      <c r="AC731">
        <f>IF(B731="","",IF(K731&lt;33.0,0,IF(K731&gt;=100*0.8,5,IF(K731&gt;=100*0.7,4,IF(K731&gt;=100*0.6,3.5,IF(K731&gt;=100*0.5,3,IF(K731&gt;=100*0.4,2,IF(K731&gt;=100*0.33,1,0))))))))</f>
        <v/>
      </c>
      <c r="AD731">
        <f>IF(B731="","",IF(L731&lt;33.0,0,IF(L731&gt;=100*0.8,5,IF(L731&gt;=100*0.7,4,IF(L731&gt;=100*0.6,3.5,IF(L731&gt;=100*0.5,3,IF(L731&gt;=100*0.4,2,IF(L731&gt;=100*0.33,1,0))))))))</f>
        <v/>
      </c>
      <c r="AE731">
        <f>IF(B731="","",IF(M731&lt;33.0,0,IF(M731&gt;=100*0.8,5,IF(M731&gt;=100*0.7,4,IF(M731&gt;=100*0.6,3.5,IF(M731&gt;=100*0.5,3,IF(M731&gt;=100*0.4,2,IF(M731&gt;=100*0.33,1,0))))))))</f>
        <v/>
      </c>
      <c r="AF731">
        <f>IF(B731="","",IF(N731&lt;16.5,0,IF(N731&gt;=50*0.8,5,IF(N731&gt;=50*0.7,4,IF(N731&gt;=50*0.6,3.5,IF(N731&gt;=50*0.5,3,IF(N731&gt;=50*0.4,2,IF(N731&gt;=50*0.33,1,0))))))))</f>
        <v/>
      </c>
      <c r="AG731">
        <f>IF(B731="","",IF(O731&lt;33.0,0,IF(O731&gt;=100*0.8,5,IF(O731&gt;=100*0.7,4,IF(O731&gt;=100*0.6,3.5,IF(O731&gt;=100*0.5,3,IF(O731&gt;=100*0.4,2,IF(O731&gt;=100*0.33,1,0))))))))</f>
        <v/>
      </c>
      <c r="AH731">
        <f>IF(B731="","",IF(OR(U731=0,V731=0,W731=0,X731=0,Y731=0,Z731=0,AA731=0,AB731=0,AC731=0,AD731=0,AE731=0,AF731=0,AG731=0),1,0))</f>
        <v/>
      </c>
    </row>
    <row r="732">
      <c r="A732" s="3">
        <f>IF(B732="","",ROW()-2)</f>
        <v/>
      </c>
      <c r="P732" s="4">
        <f>IF(B732="","",SUM(C732:O732))</f>
        <v/>
      </c>
      <c r="Q732" s="5">
        <f>IF(B732="","",ROUND(P732/13,2))</f>
        <v/>
      </c>
      <c r="R732" s="5">
        <f>IF(B732="","",IF(AH732=1,0,MIN(5,ROUND((U732+V732+W732+X732+Y732+Z732+AA732+AB732+AC732+AD732+AE732+AF732+AG732)/13,2))))</f>
        <v/>
      </c>
      <c r="S732" s="3">
        <f>IF(B732="","",IF(R732&gt;=5,"A+",IF(R732&gt;=4,"A",IF(R732&gt;=3.5,"A-",IF(R732&gt;=3,"B",IF(R732&gt;=2,"C",IF(R732&gt;=1,"D","F")))))))</f>
        <v/>
      </c>
      <c r="T732" s="3">
        <f>IF(OR(B732="",S732="F"),"",COUNTIFS(P:P,"&gt;"&amp;P732,S:S,"&lt;&gt;F")+1)</f>
        <v/>
      </c>
      <c r="U732">
        <f>IF(B732="","",IF(C732&lt;33.0,0,IF(C732&gt;=100*0.8,5,IF(C732&gt;=100*0.7,4,IF(C732&gt;=100*0.6,3.5,IF(C732&gt;=100*0.5,3,IF(C732&gt;=100*0.4,2,IF(C732&gt;=100*0.33,1,0))))))))</f>
        <v/>
      </c>
      <c r="V732">
        <f>IF(B732="","",IF(D732&lt;33.0,0,IF(D732&gt;=100*0.8,5,IF(D732&gt;=100*0.7,4,IF(D732&gt;=100*0.6,3.5,IF(D732&gt;=100*0.5,3,IF(D732&gt;=100*0.4,2,IF(D732&gt;=100*0.33,1,0))))))))</f>
        <v/>
      </c>
      <c r="W732">
        <f>IF(B732="","",IF(E732&lt;16.5,0,IF(E732&gt;=50*0.8,5,IF(E732&gt;=50*0.7,4,IF(E732&gt;=50*0.6,3.5,IF(E732&gt;=50*0.5,3,IF(E732&gt;=50*0.4,2,IF(E732&gt;=50*0.33,1,0))))))))</f>
        <v/>
      </c>
      <c r="X732">
        <f>IF(B732="","",IF(F732&lt;33.0,0,IF(F732&gt;=100*0.8,5,IF(F732&gt;=100*0.7,4,IF(F732&gt;=100*0.6,3.5,IF(F732&gt;=100*0.5,3,IF(F732&gt;=100*0.4,2,IF(F732&gt;=100*0.33,1,0))))))))</f>
        <v/>
      </c>
      <c r="Y732">
        <f>IF(B732="","",IF(G732&lt;16.5,0,IF(G732&gt;=50*0.8,5,IF(G732&gt;=50*0.7,4,IF(G732&gt;=50*0.6,3.5,IF(G732&gt;=50*0.5,3,IF(G732&gt;=50*0.4,2,IF(G732&gt;=50*0.33,1,0))))))))</f>
        <v/>
      </c>
      <c r="Z732">
        <f>IF(B732="","",IF(H732&lt;33.0,0,IF(H732&gt;=100*0.8,5,IF(H732&gt;=100*0.7,4,IF(H732&gt;=100*0.6,3.5,IF(H732&gt;=100*0.5,3,IF(H732&gt;=100*0.4,2,IF(H732&gt;=100*0.33,1,0))))))))</f>
        <v/>
      </c>
      <c r="AA732">
        <f>IF(B732="","",IF(I732&lt;33.0,0,IF(I732&gt;=100*0.8,5,IF(I732&gt;=100*0.7,4,IF(I732&gt;=100*0.6,3.5,IF(I732&gt;=100*0.5,3,IF(I732&gt;=100*0.4,2,IF(I732&gt;=100*0.33,1,0))))))))</f>
        <v/>
      </c>
      <c r="AB732">
        <f>IF(B732="","",IF(J732&lt;33.0,0,IF(J732&gt;=100*0.8,5,IF(J732&gt;=100*0.7,4,IF(J732&gt;=100*0.6,3.5,IF(J732&gt;=100*0.5,3,IF(J732&gt;=100*0.4,2,IF(J732&gt;=100*0.33,1,0))))))))</f>
        <v/>
      </c>
      <c r="AC732">
        <f>IF(B732="","",IF(K732&lt;33.0,0,IF(K732&gt;=100*0.8,5,IF(K732&gt;=100*0.7,4,IF(K732&gt;=100*0.6,3.5,IF(K732&gt;=100*0.5,3,IF(K732&gt;=100*0.4,2,IF(K732&gt;=100*0.33,1,0))))))))</f>
        <v/>
      </c>
      <c r="AD732">
        <f>IF(B732="","",IF(L732&lt;33.0,0,IF(L732&gt;=100*0.8,5,IF(L732&gt;=100*0.7,4,IF(L732&gt;=100*0.6,3.5,IF(L732&gt;=100*0.5,3,IF(L732&gt;=100*0.4,2,IF(L732&gt;=100*0.33,1,0))))))))</f>
        <v/>
      </c>
      <c r="AE732">
        <f>IF(B732="","",IF(M732&lt;33.0,0,IF(M732&gt;=100*0.8,5,IF(M732&gt;=100*0.7,4,IF(M732&gt;=100*0.6,3.5,IF(M732&gt;=100*0.5,3,IF(M732&gt;=100*0.4,2,IF(M732&gt;=100*0.33,1,0))))))))</f>
        <v/>
      </c>
      <c r="AF732">
        <f>IF(B732="","",IF(N732&lt;16.5,0,IF(N732&gt;=50*0.8,5,IF(N732&gt;=50*0.7,4,IF(N732&gt;=50*0.6,3.5,IF(N732&gt;=50*0.5,3,IF(N732&gt;=50*0.4,2,IF(N732&gt;=50*0.33,1,0))))))))</f>
        <v/>
      </c>
      <c r="AG732">
        <f>IF(B732="","",IF(O732&lt;33.0,0,IF(O732&gt;=100*0.8,5,IF(O732&gt;=100*0.7,4,IF(O732&gt;=100*0.6,3.5,IF(O732&gt;=100*0.5,3,IF(O732&gt;=100*0.4,2,IF(O732&gt;=100*0.33,1,0))))))))</f>
        <v/>
      </c>
      <c r="AH732">
        <f>IF(B732="","",IF(OR(U732=0,V732=0,W732=0,X732=0,Y732=0,Z732=0,AA732=0,AB732=0,AC732=0,AD732=0,AE732=0,AF732=0,AG732=0),1,0))</f>
        <v/>
      </c>
    </row>
    <row r="733">
      <c r="A733" s="3">
        <f>IF(B733="","",ROW()-2)</f>
        <v/>
      </c>
      <c r="P733" s="4">
        <f>IF(B733="","",SUM(C733:O733))</f>
        <v/>
      </c>
      <c r="Q733" s="5">
        <f>IF(B733="","",ROUND(P733/13,2))</f>
        <v/>
      </c>
      <c r="R733" s="5">
        <f>IF(B733="","",IF(AH733=1,0,MIN(5,ROUND((U733+V733+W733+X733+Y733+Z733+AA733+AB733+AC733+AD733+AE733+AF733+AG733)/13,2))))</f>
        <v/>
      </c>
      <c r="S733" s="3">
        <f>IF(B733="","",IF(R733&gt;=5,"A+",IF(R733&gt;=4,"A",IF(R733&gt;=3.5,"A-",IF(R733&gt;=3,"B",IF(R733&gt;=2,"C",IF(R733&gt;=1,"D","F")))))))</f>
        <v/>
      </c>
      <c r="T733" s="3">
        <f>IF(OR(B733="",S733="F"),"",COUNTIFS(P:P,"&gt;"&amp;P733,S:S,"&lt;&gt;F")+1)</f>
        <v/>
      </c>
      <c r="U733">
        <f>IF(B733="","",IF(C733&lt;33.0,0,IF(C733&gt;=100*0.8,5,IF(C733&gt;=100*0.7,4,IF(C733&gt;=100*0.6,3.5,IF(C733&gt;=100*0.5,3,IF(C733&gt;=100*0.4,2,IF(C733&gt;=100*0.33,1,0))))))))</f>
        <v/>
      </c>
      <c r="V733">
        <f>IF(B733="","",IF(D733&lt;33.0,0,IF(D733&gt;=100*0.8,5,IF(D733&gt;=100*0.7,4,IF(D733&gt;=100*0.6,3.5,IF(D733&gt;=100*0.5,3,IF(D733&gt;=100*0.4,2,IF(D733&gt;=100*0.33,1,0))))))))</f>
        <v/>
      </c>
      <c r="W733">
        <f>IF(B733="","",IF(E733&lt;16.5,0,IF(E733&gt;=50*0.8,5,IF(E733&gt;=50*0.7,4,IF(E733&gt;=50*0.6,3.5,IF(E733&gt;=50*0.5,3,IF(E733&gt;=50*0.4,2,IF(E733&gt;=50*0.33,1,0))))))))</f>
        <v/>
      </c>
      <c r="X733">
        <f>IF(B733="","",IF(F733&lt;33.0,0,IF(F733&gt;=100*0.8,5,IF(F733&gt;=100*0.7,4,IF(F733&gt;=100*0.6,3.5,IF(F733&gt;=100*0.5,3,IF(F733&gt;=100*0.4,2,IF(F733&gt;=100*0.33,1,0))))))))</f>
        <v/>
      </c>
      <c r="Y733">
        <f>IF(B733="","",IF(G733&lt;16.5,0,IF(G733&gt;=50*0.8,5,IF(G733&gt;=50*0.7,4,IF(G733&gt;=50*0.6,3.5,IF(G733&gt;=50*0.5,3,IF(G733&gt;=50*0.4,2,IF(G733&gt;=50*0.33,1,0))))))))</f>
        <v/>
      </c>
      <c r="Z733">
        <f>IF(B733="","",IF(H733&lt;33.0,0,IF(H733&gt;=100*0.8,5,IF(H733&gt;=100*0.7,4,IF(H733&gt;=100*0.6,3.5,IF(H733&gt;=100*0.5,3,IF(H733&gt;=100*0.4,2,IF(H733&gt;=100*0.33,1,0))))))))</f>
        <v/>
      </c>
      <c r="AA733">
        <f>IF(B733="","",IF(I733&lt;33.0,0,IF(I733&gt;=100*0.8,5,IF(I733&gt;=100*0.7,4,IF(I733&gt;=100*0.6,3.5,IF(I733&gt;=100*0.5,3,IF(I733&gt;=100*0.4,2,IF(I733&gt;=100*0.33,1,0))))))))</f>
        <v/>
      </c>
      <c r="AB733">
        <f>IF(B733="","",IF(J733&lt;33.0,0,IF(J733&gt;=100*0.8,5,IF(J733&gt;=100*0.7,4,IF(J733&gt;=100*0.6,3.5,IF(J733&gt;=100*0.5,3,IF(J733&gt;=100*0.4,2,IF(J733&gt;=100*0.33,1,0))))))))</f>
        <v/>
      </c>
      <c r="AC733">
        <f>IF(B733="","",IF(K733&lt;33.0,0,IF(K733&gt;=100*0.8,5,IF(K733&gt;=100*0.7,4,IF(K733&gt;=100*0.6,3.5,IF(K733&gt;=100*0.5,3,IF(K733&gt;=100*0.4,2,IF(K733&gt;=100*0.33,1,0))))))))</f>
        <v/>
      </c>
      <c r="AD733">
        <f>IF(B733="","",IF(L733&lt;33.0,0,IF(L733&gt;=100*0.8,5,IF(L733&gt;=100*0.7,4,IF(L733&gt;=100*0.6,3.5,IF(L733&gt;=100*0.5,3,IF(L733&gt;=100*0.4,2,IF(L733&gt;=100*0.33,1,0))))))))</f>
        <v/>
      </c>
      <c r="AE733">
        <f>IF(B733="","",IF(M733&lt;33.0,0,IF(M733&gt;=100*0.8,5,IF(M733&gt;=100*0.7,4,IF(M733&gt;=100*0.6,3.5,IF(M733&gt;=100*0.5,3,IF(M733&gt;=100*0.4,2,IF(M733&gt;=100*0.33,1,0))))))))</f>
        <v/>
      </c>
      <c r="AF733">
        <f>IF(B733="","",IF(N733&lt;16.5,0,IF(N733&gt;=50*0.8,5,IF(N733&gt;=50*0.7,4,IF(N733&gt;=50*0.6,3.5,IF(N733&gt;=50*0.5,3,IF(N733&gt;=50*0.4,2,IF(N733&gt;=50*0.33,1,0))))))))</f>
        <v/>
      </c>
      <c r="AG733">
        <f>IF(B733="","",IF(O733&lt;33.0,0,IF(O733&gt;=100*0.8,5,IF(O733&gt;=100*0.7,4,IF(O733&gt;=100*0.6,3.5,IF(O733&gt;=100*0.5,3,IF(O733&gt;=100*0.4,2,IF(O733&gt;=100*0.33,1,0))))))))</f>
        <v/>
      </c>
      <c r="AH733">
        <f>IF(B733="","",IF(OR(U733=0,V733=0,W733=0,X733=0,Y733=0,Z733=0,AA733=0,AB733=0,AC733=0,AD733=0,AE733=0,AF733=0,AG733=0),1,0))</f>
        <v/>
      </c>
    </row>
    <row r="734">
      <c r="A734" s="3">
        <f>IF(B734="","",ROW()-2)</f>
        <v/>
      </c>
      <c r="P734" s="4">
        <f>IF(B734="","",SUM(C734:O734))</f>
        <v/>
      </c>
      <c r="Q734" s="5">
        <f>IF(B734="","",ROUND(P734/13,2))</f>
        <v/>
      </c>
      <c r="R734" s="5">
        <f>IF(B734="","",IF(AH734=1,0,MIN(5,ROUND((U734+V734+W734+X734+Y734+Z734+AA734+AB734+AC734+AD734+AE734+AF734+AG734)/13,2))))</f>
        <v/>
      </c>
      <c r="S734" s="3">
        <f>IF(B734="","",IF(R734&gt;=5,"A+",IF(R734&gt;=4,"A",IF(R734&gt;=3.5,"A-",IF(R734&gt;=3,"B",IF(R734&gt;=2,"C",IF(R734&gt;=1,"D","F")))))))</f>
        <v/>
      </c>
      <c r="T734" s="3">
        <f>IF(OR(B734="",S734="F"),"",COUNTIFS(P:P,"&gt;"&amp;P734,S:S,"&lt;&gt;F")+1)</f>
        <v/>
      </c>
      <c r="U734">
        <f>IF(B734="","",IF(C734&lt;33.0,0,IF(C734&gt;=100*0.8,5,IF(C734&gt;=100*0.7,4,IF(C734&gt;=100*0.6,3.5,IF(C734&gt;=100*0.5,3,IF(C734&gt;=100*0.4,2,IF(C734&gt;=100*0.33,1,0))))))))</f>
        <v/>
      </c>
      <c r="V734">
        <f>IF(B734="","",IF(D734&lt;33.0,0,IF(D734&gt;=100*0.8,5,IF(D734&gt;=100*0.7,4,IF(D734&gt;=100*0.6,3.5,IF(D734&gt;=100*0.5,3,IF(D734&gt;=100*0.4,2,IF(D734&gt;=100*0.33,1,0))))))))</f>
        <v/>
      </c>
      <c r="W734">
        <f>IF(B734="","",IF(E734&lt;16.5,0,IF(E734&gt;=50*0.8,5,IF(E734&gt;=50*0.7,4,IF(E734&gt;=50*0.6,3.5,IF(E734&gt;=50*0.5,3,IF(E734&gt;=50*0.4,2,IF(E734&gt;=50*0.33,1,0))))))))</f>
        <v/>
      </c>
      <c r="X734">
        <f>IF(B734="","",IF(F734&lt;33.0,0,IF(F734&gt;=100*0.8,5,IF(F734&gt;=100*0.7,4,IF(F734&gt;=100*0.6,3.5,IF(F734&gt;=100*0.5,3,IF(F734&gt;=100*0.4,2,IF(F734&gt;=100*0.33,1,0))))))))</f>
        <v/>
      </c>
      <c r="Y734">
        <f>IF(B734="","",IF(G734&lt;16.5,0,IF(G734&gt;=50*0.8,5,IF(G734&gt;=50*0.7,4,IF(G734&gt;=50*0.6,3.5,IF(G734&gt;=50*0.5,3,IF(G734&gt;=50*0.4,2,IF(G734&gt;=50*0.33,1,0))))))))</f>
        <v/>
      </c>
      <c r="Z734">
        <f>IF(B734="","",IF(H734&lt;33.0,0,IF(H734&gt;=100*0.8,5,IF(H734&gt;=100*0.7,4,IF(H734&gt;=100*0.6,3.5,IF(H734&gt;=100*0.5,3,IF(H734&gt;=100*0.4,2,IF(H734&gt;=100*0.33,1,0))))))))</f>
        <v/>
      </c>
      <c r="AA734">
        <f>IF(B734="","",IF(I734&lt;33.0,0,IF(I734&gt;=100*0.8,5,IF(I734&gt;=100*0.7,4,IF(I734&gt;=100*0.6,3.5,IF(I734&gt;=100*0.5,3,IF(I734&gt;=100*0.4,2,IF(I734&gt;=100*0.33,1,0))))))))</f>
        <v/>
      </c>
      <c r="AB734">
        <f>IF(B734="","",IF(J734&lt;33.0,0,IF(J734&gt;=100*0.8,5,IF(J734&gt;=100*0.7,4,IF(J734&gt;=100*0.6,3.5,IF(J734&gt;=100*0.5,3,IF(J734&gt;=100*0.4,2,IF(J734&gt;=100*0.33,1,0))))))))</f>
        <v/>
      </c>
      <c r="AC734">
        <f>IF(B734="","",IF(K734&lt;33.0,0,IF(K734&gt;=100*0.8,5,IF(K734&gt;=100*0.7,4,IF(K734&gt;=100*0.6,3.5,IF(K734&gt;=100*0.5,3,IF(K734&gt;=100*0.4,2,IF(K734&gt;=100*0.33,1,0))))))))</f>
        <v/>
      </c>
      <c r="AD734">
        <f>IF(B734="","",IF(L734&lt;33.0,0,IF(L734&gt;=100*0.8,5,IF(L734&gt;=100*0.7,4,IF(L734&gt;=100*0.6,3.5,IF(L734&gt;=100*0.5,3,IF(L734&gt;=100*0.4,2,IF(L734&gt;=100*0.33,1,0))))))))</f>
        <v/>
      </c>
      <c r="AE734">
        <f>IF(B734="","",IF(M734&lt;33.0,0,IF(M734&gt;=100*0.8,5,IF(M734&gt;=100*0.7,4,IF(M734&gt;=100*0.6,3.5,IF(M734&gt;=100*0.5,3,IF(M734&gt;=100*0.4,2,IF(M734&gt;=100*0.33,1,0))))))))</f>
        <v/>
      </c>
      <c r="AF734">
        <f>IF(B734="","",IF(N734&lt;16.5,0,IF(N734&gt;=50*0.8,5,IF(N734&gt;=50*0.7,4,IF(N734&gt;=50*0.6,3.5,IF(N734&gt;=50*0.5,3,IF(N734&gt;=50*0.4,2,IF(N734&gt;=50*0.33,1,0))))))))</f>
        <v/>
      </c>
      <c r="AG734">
        <f>IF(B734="","",IF(O734&lt;33.0,0,IF(O734&gt;=100*0.8,5,IF(O734&gt;=100*0.7,4,IF(O734&gt;=100*0.6,3.5,IF(O734&gt;=100*0.5,3,IF(O734&gt;=100*0.4,2,IF(O734&gt;=100*0.33,1,0))))))))</f>
        <v/>
      </c>
      <c r="AH734">
        <f>IF(B734="","",IF(OR(U734=0,V734=0,W734=0,X734=0,Y734=0,Z734=0,AA734=0,AB734=0,AC734=0,AD734=0,AE734=0,AF734=0,AG734=0),1,0))</f>
        <v/>
      </c>
    </row>
    <row r="735">
      <c r="A735" s="3">
        <f>IF(B735="","",ROW()-2)</f>
        <v/>
      </c>
      <c r="P735" s="4">
        <f>IF(B735="","",SUM(C735:O735))</f>
        <v/>
      </c>
      <c r="Q735" s="5">
        <f>IF(B735="","",ROUND(P735/13,2))</f>
        <v/>
      </c>
      <c r="R735" s="5">
        <f>IF(B735="","",IF(AH735=1,0,MIN(5,ROUND((U735+V735+W735+X735+Y735+Z735+AA735+AB735+AC735+AD735+AE735+AF735+AG735)/13,2))))</f>
        <v/>
      </c>
      <c r="S735" s="3">
        <f>IF(B735="","",IF(R735&gt;=5,"A+",IF(R735&gt;=4,"A",IF(R735&gt;=3.5,"A-",IF(R735&gt;=3,"B",IF(R735&gt;=2,"C",IF(R735&gt;=1,"D","F")))))))</f>
        <v/>
      </c>
      <c r="T735" s="3">
        <f>IF(OR(B735="",S735="F"),"",COUNTIFS(P:P,"&gt;"&amp;P735,S:S,"&lt;&gt;F")+1)</f>
        <v/>
      </c>
      <c r="U735">
        <f>IF(B735="","",IF(C735&lt;33.0,0,IF(C735&gt;=100*0.8,5,IF(C735&gt;=100*0.7,4,IF(C735&gt;=100*0.6,3.5,IF(C735&gt;=100*0.5,3,IF(C735&gt;=100*0.4,2,IF(C735&gt;=100*0.33,1,0))))))))</f>
        <v/>
      </c>
      <c r="V735">
        <f>IF(B735="","",IF(D735&lt;33.0,0,IF(D735&gt;=100*0.8,5,IF(D735&gt;=100*0.7,4,IF(D735&gt;=100*0.6,3.5,IF(D735&gt;=100*0.5,3,IF(D735&gt;=100*0.4,2,IF(D735&gt;=100*0.33,1,0))))))))</f>
        <v/>
      </c>
      <c r="W735">
        <f>IF(B735="","",IF(E735&lt;16.5,0,IF(E735&gt;=50*0.8,5,IF(E735&gt;=50*0.7,4,IF(E735&gt;=50*0.6,3.5,IF(E735&gt;=50*0.5,3,IF(E735&gt;=50*0.4,2,IF(E735&gt;=50*0.33,1,0))))))))</f>
        <v/>
      </c>
      <c r="X735">
        <f>IF(B735="","",IF(F735&lt;33.0,0,IF(F735&gt;=100*0.8,5,IF(F735&gt;=100*0.7,4,IF(F735&gt;=100*0.6,3.5,IF(F735&gt;=100*0.5,3,IF(F735&gt;=100*0.4,2,IF(F735&gt;=100*0.33,1,0))))))))</f>
        <v/>
      </c>
      <c r="Y735">
        <f>IF(B735="","",IF(G735&lt;16.5,0,IF(G735&gt;=50*0.8,5,IF(G735&gt;=50*0.7,4,IF(G735&gt;=50*0.6,3.5,IF(G735&gt;=50*0.5,3,IF(G735&gt;=50*0.4,2,IF(G735&gt;=50*0.33,1,0))))))))</f>
        <v/>
      </c>
      <c r="Z735">
        <f>IF(B735="","",IF(H735&lt;33.0,0,IF(H735&gt;=100*0.8,5,IF(H735&gt;=100*0.7,4,IF(H735&gt;=100*0.6,3.5,IF(H735&gt;=100*0.5,3,IF(H735&gt;=100*0.4,2,IF(H735&gt;=100*0.33,1,0))))))))</f>
        <v/>
      </c>
      <c r="AA735">
        <f>IF(B735="","",IF(I735&lt;33.0,0,IF(I735&gt;=100*0.8,5,IF(I735&gt;=100*0.7,4,IF(I735&gt;=100*0.6,3.5,IF(I735&gt;=100*0.5,3,IF(I735&gt;=100*0.4,2,IF(I735&gt;=100*0.33,1,0))))))))</f>
        <v/>
      </c>
      <c r="AB735">
        <f>IF(B735="","",IF(J735&lt;33.0,0,IF(J735&gt;=100*0.8,5,IF(J735&gt;=100*0.7,4,IF(J735&gt;=100*0.6,3.5,IF(J735&gt;=100*0.5,3,IF(J735&gt;=100*0.4,2,IF(J735&gt;=100*0.33,1,0))))))))</f>
        <v/>
      </c>
      <c r="AC735">
        <f>IF(B735="","",IF(K735&lt;33.0,0,IF(K735&gt;=100*0.8,5,IF(K735&gt;=100*0.7,4,IF(K735&gt;=100*0.6,3.5,IF(K735&gt;=100*0.5,3,IF(K735&gt;=100*0.4,2,IF(K735&gt;=100*0.33,1,0))))))))</f>
        <v/>
      </c>
      <c r="AD735">
        <f>IF(B735="","",IF(L735&lt;33.0,0,IF(L735&gt;=100*0.8,5,IF(L735&gt;=100*0.7,4,IF(L735&gt;=100*0.6,3.5,IF(L735&gt;=100*0.5,3,IF(L735&gt;=100*0.4,2,IF(L735&gt;=100*0.33,1,0))))))))</f>
        <v/>
      </c>
      <c r="AE735">
        <f>IF(B735="","",IF(M735&lt;33.0,0,IF(M735&gt;=100*0.8,5,IF(M735&gt;=100*0.7,4,IF(M735&gt;=100*0.6,3.5,IF(M735&gt;=100*0.5,3,IF(M735&gt;=100*0.4,2,IF(M735&gt;=100*0.33,1,0))))))))</f>
        <v/>
      </c>
      <c r="AF735">
        <f>IF(B735="","",IF(N735&lt;16.5,0,IF(N735&gt;=50*0.8,5,IF(N735&gt;=50*0.7,4,IF(N735&gt;=50*0.6,3.5,IF(N735&gt;=50*0.5,3,IF(N735&gt;=50*0.4,2,IF(N735&gt;=50*0.33,1,0))))))))</f>
        <v/>
      </c>
      <c r="AG735">
        <f>IF(B735="","",IF(O735&lt;33.0,0,IF(O735&gt;=100*0.8,5,IF(O735&gt;=100*0.7,4,IF(O735&gt;=100*0.6,3.5,IF(O735&gt;=100*0.5,3,IF(O735&gt;=100*0.4,2,IF(O735&gt;=100*0.33,1,0))))))))</f>
        <v/>
      </c>
      <c r="AH735">
        <f>IF(B735="","",IF(OR(U735=0,V735=0,W735=0,X735=0,Y735=0,Z735=0,AA735=0,AB735=0,AC735=0,AD735=0,AE735=0,AF735=0,AG735=0),1,0))</f>
        <v/>
      </c>
    </row>
    <row r="736">
      <c r="A736" s="3">
        <f>IF(B736="","",ROW()-2)</f>
        <v/>
      </c>
      <c r="P736" s="4">
        <f>IF(B736="","",SUM(C736:O736))</f>
        <v/>
      </c>
      <c r="Q736" s="5">
        <f>IF(B736="","",ROUND(P736/13,2))</f>
        <v/>
      </c>
      <c r="R736" s="5">
        <f>IF(B736="","",IF(AH736=1,0,MIN(5,ROUND((U736+V736+W736+X736+Y736+Z736+AA736+AB736+AC736+AD736+AE736+AF736+AG736)/13,2))))</f>
        <v/>
      </c>
      <c r="S736" s="3">
        <f>IF(B736="","",IF(R736&gt;=5,"A+",IF(R736&gt;=4,"A",IF(R736&gt;=3.5,"A-",IF(R736&gt;=3,"B",IF(R736&gt;=2,"C",IF(R736&gt;=1,"D","F")))))))</f>
        <v/>
      </c>
      <c r="T736" s="3">
        <f>IF(OR(B736="",S736="F"),"",COUNTIFS(P:P,"&gt;"&amp;P736,S:S,"&lt;&gt;F")+1)</f>
        <v/>
      </c>
      <c r="U736">
        <f>IF(B736="","",IF(C736&lt;33.0,0,IF(C736&gt;=100*0.8,5,IF(C736&gt;=100*0.7,4,IF(C736&gt;=100*0.6,3.5,IF(C736&gt;=100*0.5,3,IF(C736&gt;=100*0.4,2,IF(C736&gt;=100*0.33,1,0))))))))</f>
        <v/>
      </c>
      <c r="V736">
        <f>IF(B736="","",IF(D736&lt;33.0,0,IF(D736&gt;=100*0.8,5,IF(D736&gt;=100*0.7,4,IF(D736&gt;=100*0.6,3.5,IF(D736&gt;=100*0.5,3,IF(D736&gt;=100*0.4,2,IF(D736&gt;=100*0.33,1,0))))))))</f>
        <v/>
      </c>
      <c r="W736">
        <f>IF(B736="","",IF(E736&lt;16.5,0,IF(E736&gt;=50*0.8,5,IF(E736&gt;=50*0.7,4,IF(E736&gt;=50*0.6,3.5,IF(E736&gt;=50*0.5,3,IF(E736&gt;=50*0.4,2,IF(E736&gt;=50*0.33,1,0))))))))</f>
        <v/>
      </c>
      <c r="X736">
        <f>IF(B736="","",IF(F736&lt;33.0,0,IF(F736&gt;=100*0.8,5,IF(F736&gt;=100*0.7,4,IF(F736&gt;=100*0.6,3.5,IF(F736&gt;=100*0.5,3,IF(F736&gt;=100*0.4,2,IF(F736&gt;=100*0.33,1,0))))))))</f>
        <v/>
      </c>
      <c r="Y736">
        <f>IF(B736="","",IF(G736&lt;16.5,0,IF(G736&gt;=50*0.8,5,IF(G736&gt;=50*0.7,4,IF(G736&gt;=50*0.6,3.5,IF(G736&gt;=50*0.5,3,IF(G736&gt;=50*0.4,2,IF(G736&gt;=50*0.33,1,0))))))))</f>
        <v/>
      </c>
      <c r="Z736">
        <f>IF(B736="","",IF(H736&lt;33.0,0,IF(H736&gt;=100*0.8,5,IF(H736&gt;=100*0.7,4,IF(H736&gt;=100*0.6,3.5,IF(H736&gt;=100*0.5,3,IF(H736&gt;=100*0.4,2,IF(H736&gt;=100*0.33,1,0))))))))</f>
        <v/>
      </c>
      <c r="AA736">
        <f>IF(B736="","",IF(I736&lt;33.0,0,IF(I736&gt;=100*0.8,5,IF(I736&gt;=100*0.7,4,IF(I736&gt;=100*0.6,3.5,IF(I736&gt;=100*0.5,3,IF(I736&gt;=100*0.4,2,IF(I736&gt;=100*0.33,1,0))))))))</f>
        <v/>
      </c>
      <c r="AB736">
        <f>IF(B736="","",IF(J736&lt;33.0,0,IF(J736&gt;=100*0.8,5,IF(J736&gt;=100*0.7,4,IF(J736&gt;=100*0.6,3.5,IF(J736&gt;=100*0.5,3,IF(J736&gt;=100*0.4,2,IF(J736&gt;=100*0.33,1,0))))))))</f>
        <v/>
      </c>
      <c r="AC736">
        <f>IF(B736="","",IF(K736&lt;33.0,0,IF(K736&gt;=100*0.8,5,IF(K736&gt;=100*0.7,4,IF(K736&gt;=100*0.6,3.5,IF(K736&gt;=100*0.5,3,IF(K736&gt;=100*0.4,2,IF(K736&gt;=100*0.33,1,0))))))))</f>
        <v/>
      </c>
      <c r="AD736">
        <f>IF(B736="","",IF(L736&lt;33.0,0,IF(L736&gt;=100*0.8,5,IF(L736&gt;=100*0.7,4,IF(L736&gt;=100*0.6,3.5,IF(L736&gt;=100*0.5,3,IF(L736&gt;=100*0.4,2,IF(L736&gt;=100*0.33,1,0))))))))</f>
        <v/>
      </c>
      <c r="AE736">
        <f>IF(B736="","",IF(M736&lt;33.0,0,IF(M736&gt;=100*0.8,5,IF(M736&gt;=100*0.7,4,IF(M736&gt;=100*0.6,3.5,IF(M736&gt;=100*0.5,3,IF(M736&gt;=100*0.4,2,IF(M736&gt;=100*0.33,1,0))))))))</f>
        <v/>
      </c>
      <c r="AF736">
        <f>IF(B736="","",IF(N736&lt;16.5,0,IF(N736&gt;=50*0.8,5,IF(N736&gt;=50*0.7,4,IF(N736&gt;=50*0.6,3.5,IF(N736&gt;=50*0.5,3,IF(N736&gt;=50*0.4,2,IF(N736&gt;=50*0.33,1,0))))))))</f>
        <v/>
      </c>
      <c r="AG736">
        <f>IF(B736="","",IF(O736&lt;33.0,0,IF(O736&gt;=100*0.8,5,IF(O736&gt;=100*0.7,4,IF(O736&gt;=100*0.6,3.5,IF(O736&gt;=100*0.5,3,IF(O736&gt;=100*0.4,2,IF(O736&gt;=100*0.33,1,0))))))))</f>
        <v/>
      </c>
      <c r="AH736">
        <f>IF(B736="","",IF(OR(U736=0,V736=0,W736=0,X736=0,Y736=0,Z736=0,AA736=0,AB736=0,AC736=0,AD736=0,AE736=0,AF736=0,AG736=0),1,0))</f>
        <v/>
      </c>
    </row>
    <row r="737">
      <c r="A737" s="3">
        <f>IF(B737="","",ROW()-2)</f>
        <v/>
      </c>
      <c r="P737" s="4">
        <f>IF(B737="","",SUM(C737:O737))</f>
        <v/>
      </c>
      <c r="Q737" s="5">
        <f>IF(B737="","",ROUND(P737/13,2))</f>
        <v/>
      </c>
      <c r="R737" s="5">
        <f>IF(B737="","",IF(AH737=1,0,MIN(5,ROUND((U737+V737+W737+X737+Y737+Z737+AA737+AB737+AC737+AD737+AE737+AF737+AG737)/13,2))))</f>
        <v/>
      </c>
      <c r="S737" s="3">
        <f>IF(B737="","",IF(R737&gt;=5,"A+",IF(R737&gt;=4,"A",IF(R737&gt;=3.5,"A-",IF(R737&gt;=3,"B",IF(R737&gt;=2,"C",IF(R737&gt;=1,"D","F")))))))</f>
        <v/>
      </c>
      <c r="T737" s="3">
        <f>IF(OR(B737="",S737="F"),"",COUNTIFS(P:P,"&gt;"&amp;P737,S:S,"&lt;&gt;F")+1)</f>
        <v/>
      </c>
      <c r="U737">
        <f>IF(B737="","",IF(C737&lt;33.0,0,IF(C737&gt;=100*0.8,5,IF(C737&gt;=100*0.7,4,IF(C737&gt;=100*0.6,3.5,IF(C737&gt;=100*0.5,3,IF(C737&gt;=100*0.4,2,IF(C737&gt;=100*0.33,1,0))))))))</f>
        <v/>
      </c>
      <c r="V737">
        <f>IF(B737="","",IF(D737&lt;33.0,0,IF(D737&gt;=100*0.8,5,IF(D737&gt;=100*0.7,4,IF(D737&gt;=100*0.6,3.5,IF(D737&gt;=100*0.5,3,IF(D737&gt;=100*0.4,2,IF(D737&gt;=100*0.33,1,0))))))))</f>
        <v/>
      </c>
      <c r="W737">
        <f>IF(B737="","",IF(E737&lt;16.5,0,IF(E737&gt;=50*0.8,5,IF(E737&gt;=50*0.7,4,IF(E737&gt;=50*0.6,3.5,IF(E737&gt;=50*0.5,3,IF(E737&gt;=50*0.4,2,IF(E737&gt;=50*0.33,1,0))))))))</f>
        <v/>
      </c>
      <c r="X737">
        <f>IF(B737="","",IF(F737&lt;33.0,0,IF(F737&gt;=100*0.8,5,IF(F737&gt;=100*0.7,4,IF(F737&gt;=100*0.6,3.5,IF(F737&gt;=100*0.5,3,IF(F737&gt;=100*0.4,2,IF(F737&gt;=100*0.33,1,0))))))))</f>
        <v/>
      </c>
      <c r="Y737">
        <f>IF(B737="","",IF(G737&lt;16.5,0,IF(G737&gt;=50*0.8,5,IF(G737&gt;=50*0.7,4,IF(G737&gt;=50*0.6,3.5,IF(G737&gt;=50*0.5,3,IF(G737&gt;=50*0.4,2,IF(G737&gt;=50*0.33,1,0))))))))</f>
        <v/>
      </c>
      <c r="Z737">
        <f>IF(B737="","",IF(H737&lt;33.0,0,IF(H737&gt;=100*0.8,5,IF(H737&gt;=100*0.7,4,IF(H737&gt;=100*0.6,3.5,IF(H737&gt;=100*0.5,3,IF(H737&gt;=100*0.4,2,IF(H737&gt;=100*0.33,1,0))))))))</f>
        <v/>
      </c>
      <c r="AA737">
        <f>IF(B737="","",IF(I737&lt;33.0,0,IF(I737&gt;=100*0.8,5,IF(I737&gt;=100*0.7,4,IF(I737&gt;=100*0.6,3.5,IF(I737&gt;=100*0.5,3,IF(I737&gt;=100*0.4,2,IF(I737&gt;=100*0.33,1,0))))))))</f>
        <v/>
      </c>
      <c r="AB737">
        <f>IF(B737="","",IF(J737&lt;33.0,0,IF(J737&gt;=100*0.8,5,IF(J737&gt;=100*0.7,4,IF(J737&gt;=100*0.6,3.5,IF(J737&gt;=100*0.5,3,IF(J737&gt;=100*0.4,2,IF(J737&gt;=100*0.33,1,0))))))))</f>
        <v/>
      </c>
      <c r="AC737">
        <f>IF(B737="","",IF(K737&lt;33.0,0,IF(K737&gt;=100*0.8,5,IF(K737&gt;=100*0.7,4,IF(K737&gt;=100*0.6,3.5,IF(K737&gt;=100*0.5,3,IF(K737&gt;=100*0.4,2,IF(K737&gt;=100*0.33,1,0))))))))</f>
        <v/>
      </c>
      <c r="AD737">
        <f>IF(B737="","",IF(L737&lt;33.0,0,IF(L737&gt;=100*0.8,5,IF(L737&gt;=100*0.7,4,IF(L737&gt;=100*0.6,3.5,IF(L737&gt;=100*0.5,3,IF(L737&gt;=100*0.4,2,IF(L737&gt;=100*0.33,1,0))))))))</f>
        <v/>
      </c>
      <c r="AE737">
        <f>IF(B737="","",IF(M737&lt;33.0,0,IF(M737&gt;=100*0.8,5,IF(M737&gt;=100*0.7,4,IF(M737&gt;=100*0.6,3.5,IF(M737&gt;=100*0.5,3,IF(M737&gt;=100*0.4,2,IF(M737&gt;=100*0.33,1,0))))))))</f>
        <v/>
      </c>
      <c r="AF737">
        <f>IF(B737="","",IF(N737&lt;16.5,0,IF(N737&gt;=50*0.8,5,IF(N737&gt;=50*0.7,4,IF(N737&gt;=50*0.6,3.5,IF(N737&gt;=50*0.5,3,IF(N737&gt;=50*0.4,2,IF(N737&gt;=50*0.33,1,0))))))))</f>
        <v/>
      </c>
      <c r="AG737">
        <f>IF(B737="","",IF(O737&lt;33.0,0,IF(O737&gt;=100*0.8,5,IF(O737&gt;=100*0.7,4,IF(O737&gt;=100*0.6,3.5,IF(O737&gt;=100*0.5,3,IF(O737&gt;=100*0.4,2,IF(O737&gt;=100*0.33,1,0))))))))</f>
        <v/>
      </c>
      <c r="AH737">
        <f>IF(B737="","",IF(OR(U737=0,V737=0,W737=0,X737=0,Y737=0,Z737=0,AA737=0,AB737=0,AC737=0,AD737=0,AE737=0,AF737=0,AG737=0),1,0))</f>
        <v/>
      </c>
    </row>
    <row r="738">
      <c r="A738" s="3">
        <f>IF(B738="","",ROW()-2)</f>
        <v/>
      </c>
      <c r="P738" s="4">
        <f>IF(B738="","",SUM(C738:O738))</f>
        <v/>
      </c>
      <c r="Q738" s="5">
        <f>IF(B738="","",ROUND(P738/13,2))</f>
        <v/>
      </c>
      <c r="R738" s="5">
        <f>IF(B738="","",IF(AH738=1,0,MIN(5,ROUND((U738+V738+W738+X738+Y738+Z738+AA738+AB738+AC738+AD738+AE738+AF738+AG738)/13,2))))</f>
        <v/>
      </c>
      <c r="S738" s="3">
        <f>IF(B738="","",IF(R738&gt;=5,"A+",IF(R738&gt;=4,"A",IF(R738&gt;=3.5,"A-",IF(R738&gt;=3,"B",IF(R738&gt;=2,"C",IF(R738&gt;=1,"D","F")))))))</f>
        <v/>
      </c>
      <c r="T738" s="3">
        <f>IF(OR(B738="",S738="F"),"",COUNTIFS(P:P,"&gt;"&amp;P738,S:S,"&lt;&gt;F")+1)</f>
        <v/>
      </c>
      <c r="U738">
        <f>IF(B738="","",IF(C738&lt;33.0,0,IF(C738&gt;=100*0.8,5,IF(C738&gt;=100*0.7,4,IF(C738&gt;=100*0.6,3.5,IF(C738&gt;=100*0.5,3,IF(C738&gt;=100*0.4,2,IF(C738&gt;=100*0.33,1,0))))))))</f>
        <v/>
      </c>
      <c r="V738">
        <f>IF(B738="","",IF(D738&lt;33.0,0,IF(D738&gt;=100*0.8,5,IF(D738&gt;=100*0.7,4,IF(D738&gt;=100*0.6,3.5,IF(D738&gt;=100*0.5,3,IF(D738&gt;=100*0.4,2,IF(D738&gt;=100*0.33,1,0))))))))</f>
        <v/>
      </c>
      <c r="W738">
        <f>IF(B738="","",IF(E738&lt;16.5,0,IF(E738&gt;=50*0.8,5,IF(E738&gt;=50*0.7,4,IF(E738&gt;=50*0.6,3.5,IF(E738&gt;=50*0.5,3,IF(E738&gt;=50*0.4,2,IF(E738&gt;=50*0.33,1,0))))))))</f>
        <v/>
      </c>
      <c r="X738">
        <f>IF(B738="","",IF(F738&lt;33.0,0,IF(F738&gt;=100*0.8,5,IF(F738&gt;=100*0.7,4,IF(F738&gt;=100*0.6,3.5,IF(F738&gt;=100*0.5,3,IF(F738&gt;=100*0.4,2,IF(F738&gt;=100*0.33,1,0))))))))</f>
        <v/>
      </c>
      <c r="Y738">
        <f>IF(B738="","",IF(G738&lt;16.5,0,IF(G738&gt;=50*0.8,5,IF(G738&gt;=50*0.7,4,IF(G738&gt;=50*0.6,3.5,IF(G738&gt;=50*0.5,3,IF(G738&gt;=50*0.4,2,IF(G738&gt;=50*0.33,1,0))))))))</f>
        <v/>
      </c>
      <c r="Z738">
        <f>IF(B738="","",IF(H738&lt;33.0,0,IF(H738&gt;=100*0.8,5,IF(H738&gt;=100*0.7,4,IF(H738&gt;=100*0.6,3.5,IF(H738&gt;=100*0.5,3,IF(H738&gt;=100*0.4,2,IF(H738&gt;=100*0.33,1,0))))))))</f>
        <v/>
      </c>
      <c r="AA738">
        <f>IF(B738="","",IF(I738&lt;33.0,0,IF(I738&gt;=100*0.8,5,IF(I738&gt;=100*0.7,4,IF(I738&gt;=100*0.6,3.5,IF(I738&gt;=100*0.5,3,IF(I738&gt;=100*0.4,2,IF(I738&gt;=100*0.33,1,0))))))))</f>
        <v/>
      </c>
      <c r="AB738">
        <f>IF(B738="","",IF(J738&lt;33.0,0,IF(J738&gt;=100*0.8,5,IF(J738&gt;=100*0.7,4,IF(J738&gt;=100*0.6,3.5,IF(J738&gt;=100*0.5,3,IF(J738&gt;=100*0.4,2,IF(J738&gt;=100*0.33,1,0))))))))</f>
        <v/>
      </c>
      <c r="AC738">
        <f>IF(B738="","",IF(K738&lt;33.0,0,IF(K738&gt;=100*0.8,5,IF(K738&gt;=100*0.7,4,IF(K738&gt;=100*0.6,3.5,IF(K738&gt;=100*0.5,3,IF(K738&gt;=100*0.4,2,IF(K738&gt;=100*0.33,1,0))))))))</f>
        <v/>
      </c>
      <c r="AD738">
        <f>IF(B738="","",IF(L738&lt;33.0,0,IF(L738&gt;=100*0.8,5,IF(L738&gt;=100*0.7,4,IF(L738&gt;=100*0.6,3.5,IF(L738&gt;=100*0.5,3,IF(L738&gt;=100*0.4,2,IF(L738&gt;=100*0.33,1,0))))))))</f>
        <v/>
      </c>
      <c r="AE738">
        <f>IF(B738="","",IF(M738&lt;33.0,0,IF(M738&gt;=100*0.8,5,IF(M738&gt;=100*0.7,4,IF(M738&gt;=100*0.6,3.5,IF(M738&gt;=100*0.5,3,IF(M738&gt;=100*0.4,2,IF(M738&gt;=100*0.33,1,0))))))))</f>
        <v/>
      </c>
      <c r="AF738">
        <f>IF(B738="","",IF(N738&lt;16.5,0,IF(N738&gt;=50*0.8,5,IF(N738&gt;=50*0.7,4,IF(N738&gt;=50*0.6,3.5,IF(N738&gt;=50*0.5,3,IF(N738&gt;=50*0.4,2,IF(N738&gt;=50*0.33,1,0))))))))</f>
        <v/>
      </c>
      <c r="AG738">
        <f>IF(B738="","",IF(O738&lt;33.0,0,IF(O738&gt;=100*0.8,5,IF(O738&gt;=100*0.7,4,IF(O738&gt;=100*0.6,3.5,IF(O738&gt;=100*0.5,3,IF(O738&gt;=100*0.4,2,IF(O738&gt;=100*0.33,1,0))))))))</f>
        <v/>
      </c>
      <c r="AH738">
        <f>IF(B738="","",IF(OR(U738=0,V738=0,W738=0,X738=0,Y738=0,Z738=0,AA738=0,AB738=0,AC738=0,AD738=0,AE738=0,AF738=0,AG738=0),1,0))</f>
        <v/>
      </c>
    </row>
    <row r="739">
      <c r="A739" s="3">
        <f>IF(B739="","",ROW()-2)</f>
        <v/>
      </c>
      <c r="P739" s="4">
        <f>IF(B739="","",SUM(C739:O739))</f>
        <v/>
      </c>
      <c r="Q739" s="5">
        <f>IF(B739="","",ROUND(P739/13,2))</f>
        <v/>
      </c>
      <c r="R739" s="5">
        <f>IF(B739="","",IF(AH739=1,0,MIN(5,ROUND((U739+V739+W739+X739+Y739+Z739+AA739+AB739+AC739+AD739+AE739+AF739+AG739)/13,2))))</f>
        <v/>
      </c>
      <c r="S739" s="3">
        <f>IF(B739="","",IF(R739&gt;=5,"A+",IF(R739&gt;=4,"A",IF(R739&gt;=3.5,"A-",IF(R739&gt;=3,"B",IF(R739&gt;=2,"C",IF(R739&gt;=1,"D","F")))))))</f>
        <v/>
      </c>
      <c r="T739" s="3">
        <f>IF(OR(B739="",S739="F"),"",COUNTIFS(P:P,"&gt;"&amp;P739,S:S,"&lt;&gt;F")+1)</f>
        <v/>
      </c>
      <c r="U739">
        <f>IF(B739="","",IF(C739&lt;33.0,0,IF(C739&gt;=100*0.8,5,IF(C739&gt;=100*0.7,4,IF(C739&gt;=100*0.6,3.5,IF(C739&gt;=100*0.5,3,IF(C739&gt;=100*0.4,2,IF(C739&gt;=100*0.33,1,0))))))))</f>
        <v/>
      </c>
      <c r="V739">
        <f>IF(B739="","",IF(D739&lt;33.0,0,IF(D739&gt;=100*0.8,5,IF(D739&gt;=100*0.7,4,IF(D739&gt;=100*0.6,3.5,IF(D739&gt;=100*0.5,3,IF(D739&gt;=100*0.4,2,IF(D739&gt;=100*0.33,1,0))))))))</f>
        <v/>
      </c>
      <c r="W739">
        <f>IF(B739="","",IF(E739&lt;16.5,0,IF(E739&gt;=50*0.8,5,IF(E739&gt;=50*0.7,4,IF(E739&gt;=50*0.6,3.5,IF(E739&gt;=50*0.5,3,IF(E739&gt;=50*0.4,2,IF(E739&gt;=50*0.33,1,0))))))))</f>
        <v/>
      </c>
      <c r="X739">
        <f>IF(B739="","",IF(F739&lt;33.0,0,IF(F739&gt;=100*0.8,5,IF(F739&gt;=100*0.7,4,IF(F739&gt;=100*0.6,3.5,IF(F739&gt;=100*0.5,3,IF(F739&gt;=100*0.4,2,IF(F739&gt;=100*0.33,1,0))))))))</f>
        <v/>
      </c>
      <c r="Y739">
        <f>IF(B739="","",IF(G739&lt;16.5,0,IF(G739&gt;=50*0.8,5,IF(G739&gt;=50*0.7,4,IF(G739&gt;=50*0.6,3.5,IF(G739&gt;=50*0.5,3,IF(G739&gt;=50*0.4,2,IF(G739&gt;=50*0.33,1,0))))))))</f>
        <v/>
      </c>
      <c r="Z739">
        <f>IF(B739="","",IF(H739&lt;33.0,0,IF(H739&gt;=100*0.8,5,IF(H739&gt;=100*0.7,4,IF(H739&gt;=100*0.6,3.5,IF(H739&gt;=100*0.5,3,IF(H739&gt;=100*0.4,2,IF(H739&gt;=100*0.33,1,0))))))))</f>
        <v/>
      </c>
      <c r="AA739">
        <f>IF(B739="","",IF(I739&lt;33.0,0,IF(I739&gt;=100*0.8,5,IF(I739&gt;=100*0.7,4,IF(I739&gt;=100*0.6,3.5,IF(I739&gt;=100*0.5,3,IF(I739&gt;=100*0.4,2,IF(I739&gt;=100*0.33,1,0))))))))</f>
        <v/>
      </c>
      <c r="AB739">
        <f>IF(B739="","",IF(J739&lt;33.0,0,IF(J739&gt;=100*0.8,5,IF(J739&gt;=100*0.7,4,IF(J739&gt;=100*0.6,3.5,IF(J739&gt;=100*0.5,3,IF(J739&gt;=100*0.4,2,IF(J739&gt;=100*0.33,1,0))))))))</f>
        <v/>
      </c>
      <c r="AC739">
        <f>IF(B739="","",IF(K739&lt;33.0,0,IF(K739&gt;=100*0.8,5,IF(K739&gt;=100*0.7,4,IF(K739&gt;=100*0.6,3.5,IF(K739&gt;=100*0.5,3,IF(K739&gt;=100*0.4,2,IF(K739&gt;=100*0.33,1,0))))))))</f>
        <v/>
      </c>
      <c r="AD739">
        <f>IF(B739="","",IF(L739&lt;33.0,0,IF(L739&gt;=100*0.8,5,IF(L739&gt;=100*0.7,4,IF(L739&gt;=100*0.6,3.5,IF(L739&gt;=100*0.5,3,IF(L739&gt;=100*0.4,2,IF(L739&gt;=100*0.33,1,0))))))))</f>
        <v/>
      </c>
      <c r="AE739">
        <f>IF(B739="","",IF(M739&lt;33.0,0,IF(M739&gt;=100*0.8,5,IF(M739&gt;=100*0.7,4,IF(M739&gt;=100*0.6,3.5,IF(M739&gt;=100*0.5,3,IF(M739&gt;=100*0.4,2,IF(M739&gt;=100*0.33,1,0))))))))</f>
        <v/>
      </c>
      <c r="AF739">
        <f>IF(B739="","",IF(N739&lt;16.5,0,IF(N739&gt;=50*0.8,5,IF(N739&gt;=50*0.7,4,IF(N739&gt;=50*0.6,3.5,IF(N739&gt;=50*0.5,3,IF(N739&gt;=50*0.4,2,IF(N739&gt;=50*0.33,1,0))))))))</f>
        <v/>
      </c>
      <c r="AG739">
        <f>IF(B739="","",IF(O739&lt;33.0,0,IF(O739&gt;=100*0.8,5,IF(O739&gt;=100*0.7,4,IF(O739&gt;=100*0.6,3.5,IF(O739&gt;=100*0.5,3,IF(O739&gt;=100*0.4,2,IF(O739&gt;=100*0.33,1,0))))))))</f>
        <v/>
      </c>
      <c r="AH739">
        <f>IF(B739="","",IF(OR(U739=0,V739=0,W739=0,X739=0,Y739=0,Z739=0,AA739=0,AB739=0,AC739=0,AD739=0,AE739=0,AF739=0,AG739=0),1,0))</f>
        <v/>
      </c>
    </row>
    <row r="740">
      <c r="A740" s="3">
        <f>IF(B740="","",ROW()-2)</f>
        <v/>
      </c>
      <c r="P740" s="4">
        <f>IF(B740="","",SUM(C740:O740))</f>
        <v/>
      </c>
      <c r="Q740" s="5">
        <f>IF(B740="","",ROUND(P740/13,2))</f>
        <v/>
      </c>
      <c r="R740" s="5">
        <f>IF(B740="","",IF(AH740=1,0,MIN(5,ROUND((U740+V740+W740+X740+Y740+Z740+AA740+AB740+AC740+AD740+AE740+AF740+AG740)/13,2))))</f>
        <v/>
      </c>
      <c r="S740" s="3">
        <f>IF(B740="","",IF(R740&gt;=5,"A+",IF(R740&gt;=4,"A",IF(R740&gt;=3.5,"A-",IF(R740&gt;=3,"B",IF(R740&gt;=2,"C",IF(R740&gt;=1,"D","F")))))))</f>
        <v/>
      </c>
      <c r="T740" s="3">
        <f>IF(OR(B740="",S740="F"),"",COUNTIFS(P:P,"&gt;"&amp;P740,S:S,"&lt;&gt;F")+1)</f>
        <v/>
      </c>
      <c r="U740">
        <f>IF(B740="","",IF(C740&lt;33.0,0,IF(C740&gt;=100*0.8,5,IF(C740&gt;=100*0.7,4,IF(C740&gt;=100*0.6,3.5,IF(C740&gt;=100*0.5,3,IF(C740&gt;=100*0.4,2,IF(C740&gt;=100*0.33,1,0))))))))</f>
        <v/>
      </c>
      <c r="V740">
        <f>IF(B740="","",IF(D740&lt;33.0,0,IF(D740&gt;=100*0.8,5,IF(D740&gt;=100*0.7,4,IF(D740&gt;=100*0.6,3.5,IF(D740&gt;=100*0.5,3,IF(D740&gt;=100*0.4,2,IF(D740&gt;=100*0.33,1,0))))))))</f>
        <v/>
      </c>
      <c r="W740">
        <f>IF(B740="","",IF(E740&lt;16.5,0,IF(E740&gt;=50*0.8,5,IF(E740&gt;=50*0.7,4,IF(E740&gt;=50*0.6,3.5,IF(E740&gt;=50*0.5,3,IF(E740&gt;=50*0.4,2,IF(E740&gt;=50*0.33,1,0))))))))</f>
        <v/>
      </c>
      <c r="X740">
        <f>IF(B740="","",IF(F740&lt;33.0,0,IF(F740&gt;=100*0.8,5,IF(F740&gt;=100*0.7,4,IF(F740&gt;=100*0.6,3.5,IF(F740&gt;=100*0.5,3,IF(F740&gt;=100*0.4,2,IF(F740&gt;=100*0.33,1,0))))))))</f>
        <v/>
      </c>
      <c r="Y740">
        <f>IF(B740="","",IF(G740&lt;16.5,0,IF(G740&gt;=50*0.8,5,IF(G740&gt;=50*0.7,4,IF(G740&gt;=50*0.6,3.5,IF(G740&gt;=50*0.5,3,IF(G740&gt;=50*0.4,2,IF(G740&gt;=50*0.33,1,0))))))))</f>
        <v/>
      </c>
      <c r="Z740">
        <f>IF(B740="","",IF(H740&lt;33.0,0,IF(H740&gt;=100*0.8,5,IF(H740&gt;=100*0.7,4,IF(H740&gt;=100*0.6,3.5,IF(H740&gt;=100*0.5,3,IF(H740&gt;=100*0.4,2,IF(H740&gt;=100*0.33,1,0))))))))</f>
        <v/>
      </c>
      <c r="AA740">
        <f>IF(B740="","",IF(I740&lt;33.0,0,IF(I740&gt;=100*0.8,5,IF(I740&gt;=100*0.7,4,IF(I740&gt;=100*0.6,3.5,IF(I740&gt;=100*0.5,3,IF(I740&gt;=100*0.4,2,IF(I740&gt;=100*0.33,1,0))))))))</f>
        <v/>
      </c>
      <c r="AB740">
        <f>IF(B740="","",IF(J740&lt;33.0,0,IF(J740&gt;=100*0.8,5,IF(J740&gt;=100*0.7,4,IF(J740&gt;=100*0.6,3.5,IF(J740&gt;=100*0.5,3,IF(J740&gt;=100*0.4,2,IF(J740&gt;=100*0.33,1,0))))))))</f>
        <v/>
      </c>
      <c r="AC740">
        <f>IF(B740="","",IF(K740&lt;33.0,0,IF(K740&gt;=100*0.8,5,IF(K740&gt;=100*0.7,4,IF(K740&gt;=100*0.6,3.5,IF(K740&gt;=100*0.5,3,IF(K740&gt;=100*0.4,2,IF(K740&gt;=100*0.33,1,0))))))))</f>
        <v/>
      </c>
      <c r="AD740">
        <f>IF(B740="","",IF(L740&lt;33.0,0,IF(L740&gt;=100*0.8,5,IF(L740&gt;=100*0.7,4,IF(L740&gt;=100*0.6,3.5,IF(L740&gt;=100*0.5,3,IF(L740&gt;=100*0.4,2,IF(L740&gt;=100*0.33,1,0))))))))</f>
        <v/>
      </c>
      <c r="AE740">
        <f>IF(B740="","",IF(M740&lt;33.0,0,IF(M740&gt;=100*0.8,5,IF(M740&gt;=100*0.7,4,IF(M740&gt;=100*0.6,3.5,IF(M740&gt;=100*0.5,3,IF(M740&gt;=100*0.4,2,IF(M740&gt;=100*0.33,1,0))))))))</f>
        <v/>
      </c>
      <c r="AF740">
        <f>IF(B740="","",IF(N740&lt;16.5,0,IF(N740&gt;=50*0.8,5,IF(N740&gt;=50*0.7,4,IF(N740&gt;=50*0.6,3.5,IF(N740&gt;=50*0.5,3,IF(N740&gt;=50*0.4,2,IF(N740&gt;=50*0.33,1,0))))))))</f>
        <v/>
      </c>
      <c r="AG740">
        <f>IF(B740="","",IF(O740&lt;33.0,0,IF(O740&gt;=100*0.8,5,IF(O740&gt;=100*0.7,4,IF(O740&gt;=100*0.6,3.5,IF(O740&gt;=100*0.5,3,IF(O740&gt;=100*0.4,2,IF(O740&gt;=100*0.33,1,0))))))))</f>
        <v/>
      </c>
      <c r="AH740">
        <f>IF(B740="","",IF(OR(U740=0,V740=0,W740=0,X740=0,Y740=0,Z740=0,AA740=0,AB740=0,AC740=0,AD740=0,AE740=0,AF740=0,AG740=0),1,0))</f>
        <v/>
      </c>
    </row>
    <row r="741">
      <c r="A741" s="3">
        <f>IF(B741="","",ROW()-2)</f>
        <v/>
      </c>
      <c r="P741" s="4">
        <f>IF(B741="","",SUM(C741:O741))</f>
        <v/>
      </c>
      <c r="Q741" s="5">
        <f>IF(B741="","",ROUND(P741/13,2))</f>
        <v/>
      </c>
      <c r="R741" s="5">
        <f>IF(B741="","",IF(AH741=1,0,MIN(5,ROUND((U741+V741+W741+X741+Y741+Z741+AA741+AB741+AC741+AD741+AE741+AF741+AG741)/13,2))))</f>
        <v/>
      </c>
      <c r="S741" s="3">
        <f>IF(B741="","",IF(R741&gt;=5,"A+",IF(R741&gt;=4,"A",IF(R741&gt;=3.5,"A-",IF(R741&gt;=3,"B",IF(R741&gt;=2,"C",IF(R741&gt;=1,"D","F")))))))</f>
        <v/>
      </c>
      <c r="T741" s="3">
        <f>IF(OR(B741="",S741="F"),"",COUNTIFS(P:P,"&gt;"&amp;P741,S:S,"&lt;&gt;F")+1)</f>
        <v/>
      </c>
      <c r="U741">
        <f>IF(B741="","",IF(C741&lt;33.0,0,IF(C741&gt;=100*0.8,5,IF(C741&gt;=100*0.7,4,IF(C741&gt;=100*0.6,3.5,IF(C741&gt;=100*0.5,3,IF(C741&gt;=100*0.4,2,IF(C741&gt;=100*0.33,1,0))))))))</f>
        <v/>
      </c>
      <c r="V741">
        <f>IF(B741="","",IF(D741&lt;33.0,0,IF(D741&gt;=100*0.8,5,IF(D741&gt;=100*0.7,4,IF(D741&gt;=100*0.6,3.5,IF(D741&gt;=100*0.5,3,IF(D741&gt;=100*0.4,2,IF(D741&gt;=100*0.33,1,0))))))))</f>
        <v/>
      </c>
      <c r="W741">
        <f>IF(B741="","",IF(E741&lt;16.5,0,IF(E741&gt;=50*0.8,5,IF(E741&gt;=50*0.7,4,IF(E741&gt;=50*0.6,3.5,IF(E741&gt;=50*0.5,3,IF(E741&gt;=50*0.4,2,IF(E741&gt;=50*0.33,1,0))))))))</f>
        <v/>
      </c>
      <c r="X741">
        <f>IF(B741="","",IF(F741&lt;33.0,0,IF(F741&gt;=100*0.8,5,IF(F741&gt;=100*0.7,4,IF(F741&gt;=100*0.6,3.5,IF(F741&gt;=100*0.5,3,IF(F741&gt;=100*0.4,2,IF(F741&gt;=100*0.33,1,0))))))))</f>
        <v/>
      </c>
      <c r="Y741">
        <f>IF(B741="","",IF(G741&lt;16.5,0,IF(G741&gt;=50*0.8,5,IF(G741&gt;=50*0.7,4,IF(G741&gt;=50*0.6,3.5,IF(G741&gt;=50*0.5,3,IF(G741&gt;=50*0.4,2,IF(G741&gt;=50*0.33,1,0))))))))</f>
        <v/>
      </c>
      <c r="Z741">
        <f>IF(B741="","",IF(H741&lt;33.0,0,IF(H741&gt;=100*0.8,5,IF(H741&gt;=100*0.7,4,IF(H741&gt;=100*0.6,3.5,IF(H741&gt;=100*0.5,3,IF(H741&gt;=100*0.4,2,IF(H741&gt;=100*0.33,1,0))))))))</f>
        <v/>
      </c>
      <c r="AA741">
        <f>IF(B741="","",IF(I741&lt;33.0,0,IF(I741&gt;=100*0.8,5,IF(I741&gt;=100*0.7,4,IF(I741&gt;=100*0.6,3.5,IF(I741&gt;=100*0.5,3,IF(I741&gt;=100*0.4,2,IF(I741&gt;=100*0.33,1,0))))))))</f>
        <v/>
      </c>
      <c r="AB741">
        <f>IF(B741="","",IF(J741&lt;33.0,0,IF(J741&gt;=100*0.8,5,IF(J741&gt;=100*0.7,4,IF(J741&gt;=100*0.6,3.5,IF(J741&gt;=100*0.5,3,IF(J741&gt;=100*0.4,2,IF(J741&gt;=100*0.33,1,0))))))))</f>
        <v/>
      </c>
      <c r="AC741">
        <f>IF(B741="","",IF(K741&lt;33.0,0,IF(K741&gt;=100*0.8,5,IF(K741&gt;=100*0.7,4,IF(K741&gt;=100*0.6,3.5,IF(K741&gt;=100*0.5,3,IF(K741&gt;=100*0.4,2,IF(K741&gt;=100*0.33,1,0))))))))</f>
        <v/>
      </c>
      <c r="AD741">
        <f>IF(B741="","",IF(L741&lt;33.0,0,IF(L741&gt;=100*0.8,5,IF(L741&gt;=100*0.7,4,IF(L741&gt;=100*0.6,3.5,IF(L741&gt;=100*0.5,3,IF(L741&gt;=100*0.4,2,IF(L741&gt;=100*0.33,1,0))))))))</f>
        <v/>
      </c>
      <c r="AE741">
        <f>IF(B741="","",IF(M741&lt;33.0,0,IF(M741&gt;=100*0.8,5,IF(M741&gt;=100*0.7,4,IF(M741&gt;=100*0.6,3.5,IF(M741&gt;=100*0.5,3,IF(M741&gt;=100*0.4,2,IF(M741&gt;=100*0.33,1,0))))))))</f>
        <v/>
      </c>
      <c r="AF741">
        <f>IF(B741="","",IF(N741&lt;16.5,0,IF(N741&gt;=50*0.8,5,IF(N741&gt;=50*0.7,4,IF(N741&gt;=50*0.6,3.5,IF(N741&gt;=50*0.5,3,IF(N741&gt;=50*0.4,2,IF(N741&gt;=50*0.33,1,0))))))))</f>
        <v/>
      </c>
      <c r="AG741">
        <f>IF(B741="","",IF(O741&lt;33.0,0,IF(O741&gt;=100*0.8,5,IF(O741&gt;=100*0.7,4,IF(O741&gt;=100*0.6,3.5,IF(O741&gt;=100*0.5,3,IF(O741&gt;=100*0.4,2,IF(O741&gt;=100*0.33,1,0))))))))</f>
        <v/>
      </c>
      <c r="AH741">
        <f>IF(B741="","",IF(OR(U741=0,V741=0,W741=0,X741=0,Y741=0,Z741=0,AA741=0,AB741=0,AC741=0,AD741=0,AE741=0,AF741=0,AG741=0),1,0))</f>
        <v/>
      </c>
    </row>
    <row r="742">
      <c r="A742" s="3">
        <f>IF(B742="","",ROW()-2)</f>
        <v/>
      </c>
      <c r="P742" s="4">
        <f>IF(B742="","",SUM(C742:O742))</f>
        <v/>
      </c>
      <c r="Q742" s="5">
        <f>IF(B742="","",ROUND(P742/13,2))</f>
        <v/>
      </c>
      <c r="R742" s="5">
        <f>IF(B742="","",IF(AH742=1,0,MIN(5,ROUND((U742+V742+W742+X742+Y742+Z742+AA742+AB742+AC742+AD742+AE742+AF742+AG742)/13,2))))</f>
        <v/>
      </c>
      <c r="S742" s="3">
        <f>IF(B742="","",IF(R742&gt;=5,"A+",IF(R742&gt;=4,"A",IF(R742&gt;=3.5,"A-",IF(R742&gt;=3,"B",IF(R742&gt;=2,"C",IF(R742&gt;=1,"D","F")))))))</f>
        <v/>
      </c>
      <c r="T742" s="3">
        <f>IF(OR(B742="",S742="F"),"",COUNTIFS(P:P,"&gt;"&amp;P742,S:S,"&lt;&gt;F")+1)</f>
        <v/>
      </c>
      <c r="U742">
        <f>IF(B742="","",IF(C742&lt;33.0,0,IF(C742&gt;=100*0.8,5,IF(C742&gt;=100*0.7,4,IF(C742&gt;=100*0.6,3.5,IF(C742&gt;=100*0.5,3,IF(C742&gt;=100*0.4,2,IF(C742&gt;=100*0.33,1,0))))))))</f>
        <v/>
      </c>
      <c r="V742">
        <f>IF(B742="","",IF(D742&lt;33.0,0,IF(D742&gt;=100*0.8,5,IF(D742&gt;=100*0.7,4,IF(D742&gt;=100*0.6,3.5,IF(D742&gt;=100*0.5,3,IF(D742&gt;=100*0.4,2,IF(D742&gt;=100*0.33,1,0))))))))</f>
        <v/>
      </c>
      <c r="W742">
        <f>IF(B742="","",IF(E742&lt;16.5,0,IF(E742&gt;=50*0.8,5,IF(E742&gt;=50*0.7,4,IF(E742&gt;=50*0.6,3.5,IF(E742&gt;=50*0.5,3,IF(E742&gt;=50*0.4,2,IF(E742&gt;=50*0.33,1,0))))))))</f>
        <v/>
      </c>
      <c r="X742">
        <f>IF(B742="","",IF(F742&lt;33.0,0,IF(F742&gt;=100*0.8,5,IF(F742&gt;=100*0.7,4,IF(F742&gt;=100*0.6,3.5,IF(F742&gt;=100*0.5,3,IF(F742&gt;=100*0.4,2,IF(F742&gt;=100*0.33,1,0))))))))</f>
        <v/>
      </c>
      <c r="Y742">
        <f>IF(B742="","",IF(G742&lt;16.5,0,IF(G742&gt;=50*0.8,5,IF(G742&gt;=50*0.7,4,IF(G742&gt;=50*0.6,3.5,IF(G742&gt;=50*0.5,3,IF(G742&gt;=50*0.4,2,IF(G742&gt;=50*0.33,1,0))))))))</f>
        <v/>
      </c>
      <c r="Z742">
        <f>IF(B742="","",IF(H742&lt;33.0,0,IF(H742&gt;=100*0.8,5,IF(H742&gt;=100*0.7,4,IF(H742&gt;=100*0.6,3.5,IF(H742&gt;=100*0.5,3,IF(H742&gt;=100*0.4,2,IF(H742&gt;=100*0.33,1,0))))))))</f>
        <v/>
      </c>
      <c r="AA742">
        <f>IF(B742="","",IF(I742&lt;33.0,0,IF(I742&gt;=100*0.8,5,IF(I742&gt;=100*0.7,4,IF(I742&gt;=100*0.6,3.5,IF(I742&gt;=100*0.5,3,IF(I742&gt;=100*0.4,2,IF(I742&gt;=100*0.33,1,0))))))))</f>
        <v/>
      </c>
      <c r="AB742">
        <f>IF(B742="","",IF(J742&lt;33.0,0,IF(J742&gt;=100*0.8,5,IF(J742&gt;=100*0.7,4,IF(J742&gt;=100*0.6,3.5,IF(J742&gt;=100*0.5,3,IF(J742&gt;=100*0.4,2,IF(J742&gt;=100*0.33,1,0))))))))</f>
        <v/>
      </c>
      <c r="AC742">
        <f>IF(B742="","",IF(K742&lt;33.0,0,IF(K742&gt;=100*0.8,5,IF(K742&gt;=100*0.7,4,IF(K742&gt;=100*0.6,3.5,IF(K742&gt;=100*0.5,3,IF(K742&gt;=100*0.4,2,IF(K742&gt;=100*0.33,1,0))))))))</f>
        <v/>
      </c>
      <c r="AD742">
        <f>IF(B742="","",IF(L742&lt;33.0,0,IF(L742&gt;=100*0.8,5,IF(L742&gt;=100*0.7,4,IF(L742&gt;=100*0.6,3.5,IF(L742&gt;=100*0.5,3,IF(L742&gt;=100*0.4,2,IF(L742&gt;=100*0.33,1,0))))))))</f>
        <v/>
      </c>
      <c r="AE742">
        <f>IF(B742="","",IF(M742&lt;33.0,0,IF(M742&gt;=100*0.8,5,IF(M742&gt;=100*0.7,4,IF(M742&gt;=100*0.6,3.5,IF(M742&gt;=100*0.5,3,IF(M742&gt;=100*0.4,2,IF(M742&gt;=100*0.33,1,0))))))))</f>
        <v/>
      </c>
      <c r="AF742">
        <f>IF(B742="","",IF(N742&lt;16.5,0,IF(N742&gt;=50*0.8,5,IF(N742&gt;=50*0.7,4,IF(N742&gt;=50*0.6,3.5,IF(N742&gt;=50*0.5,3,IF(N742&gt;=50*0.4,2,IF(N742&gt;=50*0.33,1,0))))))))</f>
        <v/>
      </c>
      <c r="AG742">
        <f>IF(B742="","",IF(O742&lt;33.0,0,IF(O742&gt;=100*0.8,5,IF(O742&gt;=100*0.7,4,IF(O742&gt;=100*0.6,3.5,IF(O742&gt;=100*0.5,3,IF(O742&gt;=100*0.4,2,IF(O742&gt;=100*0.33,1,0))))))))</f>
        <v/>
      </c>
      <c r="AH742">
        <f>IF(B742="","",IF(OR(U742=0,V742=0,W742=0,X742=0,Y742=0,Z742=0,AA742=0,AB742=0,AC742=0,AD742=0,AE742=0,AF742=0,AG742=0),1,0))</f>
        <v/>
      </c>
    </row>
    <row r="743">
      <c r="A743" s="3">
        <f>IF(B743="","",ROW()-2)</f>
        <v/>
      </c>
      <c r="P743" s="4">
        <f>IF(B743="","",SUM(C743:O743))</f>
        <v/>
      </c>
      <c r="Q743" s="5">
        <f>IF(B743="","",ROUND(P743/13,2))</f>
        <v/>
      </c>
      <c r="R743" s="5">
        <f>IF(B743="","",IF(AH743=1,0,MIN(5,ROUND((U743+V743+W743+X743+Y743+Z743+AA743+AB743+AC743+AD743+AE743+AF743+AG743)/13,2))))</f>
        <v/>
      </c>
      <c r="S743" s="3">
        <f>IF(B743="","",IF(R743&gt;=5,"A+",IF(R743&gt;=4,"A",IF(R743&gt;=3.5,"A-",IF(R743&gt;=3,"B",IF(R743&gt;=2,"C",IF(R743&gt;=1,"D","F")))))))</f>
        <v/>
      </c>
      <c r="T743" s="3">
        <f>IF(OR(B743="",S743="F"),"",COUNTIFS(P:P,"&gt;"&amp;P743,S:S,"&lt;&gt;F")+1)</f>
        <v/>
      </c>
      <c r="U743">
        <f>IF(B743="","",IF(C743&lt;33.0,0,IF(C743&gt;=100*0.8,5,IF(C743&gt;=100*0.7,4,IF(C743&gt;=100*0.6,3.5,IF(C743&gt;=100*0.5,3,IF(C743&gt;=100*0.4,2,IF(C743&gt;=100*0.33,1,0))))))))</f>
        <v/>
      </c>
      <c r="V743">
        <f>IF(B743="","",IF(D743&lt;33.0,0,IF(D743&gt;=100*0.8,5,IF(D743&gt;=100*0.7,4,IF(D743&gt;=100*0.6,3.5,IF(D743&gt;=100*0.5,3,IF(D743&gt;=100*0.4,2,IF(D743&gt;=100*0.33,1,0))))))))</f>
        <v/>
      </c>
      <c r="W743">
        <f>IF(B743="","",IF(E743&lt;16.5,0,IF(E743&gt;=50*0.8,5,IF(E743&gt;=50*0.7,4,IF(E743&gt;=50*0.6,3.5,IF(E743&gt;=50*0.5,3,IF(E743&gt;=50*0.4,2,IF(E743&gt;=50*0.33,1,0))))))))</f>
        <v/>
      </c>
      <c r="X743">
        <f>IF(B743="","",IF(F743&lt;33.0,0,IF(F743&gt;=100*0.8,5,IF(F743&gt;=100*0.7,4,IF(F743&gt;=100*0.6,3.5,IF(F743&gt;=100*0.5,3,IF(F743&gt;=100*0.4,2,IF(F743&gt;=100*0.33,1,0))))))))</f>
        <v/>
      </c>
      <c r="Y743">
        <f>IF(B743="","",IF(G743&lt;16.5,0,IF(G743&gt;=50*0.8,5,IF(G743&gt;=50*0.7,4,IF(G743&gt;=50*0.6,3.5,IF(G743&gt;=50*0.5,3,IF(G743&gt;=50*0.4,2,IF(G743&gt;=50*0.33,1,0))))))))</f>
        <v/>
      </c>
      <c r="Z743">
        <f>IF(B743="","",IF(H743&lt;33.0,0,IF(H743&gt;=100*0.8,5,IF(H743&gt;=100*0.7,4,IF(H743&gt;=100*0.6,3.5,IF(H743&gt;=100*0.5,3,IF(H743&gt;=100*0.4,2,IF(H743&gt;=100*0.33,1,0))))))))</f>
        <v/>
      </c>
      <c r="AA743">
        <f>IF(B743="","",IF(I743&lt;33.0,0,IF(I743&gt;=100*0.8,5,IF(I743&gt;=100*0.7,4,IF(I743&gt;=100*0.6,3.5,IF(I743&gt;=100*0.5,3,IF(I743&gt;=100*0.4,2,IF(I743&gt;=100*0.33,1,0))))))))</f>
        <v/>
      </c>
      <c r="AB743">
        <f>IF(B743="","",IF(J743&lt;33.0,0,IF(J743&gt;=100*0.8,5,IF(J743&gt;=100*0.7,4,IF(J743&gt;=100*0.6,3.5,IF(J743&gt;=100*0.5,3,IF(J743&gt;=100*0.4,2,IF(J743&gt;=100*0.33,1,0))))))))</f>
        <v/>
      </c>
      <c r="AC743">
        <f>IF(B743="","",IF(K743&lt;33.0,0,IF(K743&gt;=100*0.8,5,IF(K743&gt;=100*0.7,4,IF(K743&gt;=100*0.6,3.5,IF(K743&gt;=100*0.5,3,IF(K743&gt;=100*0.4,2,IF(K743&gt;=100*0.33,1,0))))))))</f>
        <v/>
      </c>
      <c r="AD743">
        <f>IF(B743="","",IF(L743&lt;33.0,0,IF(L743&gt;=100*0.8,5,IF(L743&gt;=100*0.7,4,IF(L743&gt;=100*0.6,3.5,IF(L743&gt;=100*0.5,3,IF(L743&gt;=100*0.4,2,IF(L743&gt;=100*0.33,1,0))))))))</f>
        <v/>
      </c>
      <c r="AE743">
        <f>IF(B743="","",IF(M743&lt;33.0,0,IF(M743&gt;=100*0.8,5,IF(M743&gt;=100*0.7,4,IF(M743&gt;=100*0.6,3.5,IF(M743&gt;=100*0.5,3,IF(M743&gt;=100*0.4,2,IF(M743&gt;=100*0.33,1,0))))))))</f>
        <v/>
      </c>
      <c r="AF743">
        <f>IF(B743="","",IF(N743&lt;16.5,0,IF(N743&gt;=50*0.8,5,IF(N743&gt;=50*0.7,4,IF(N743&gt;=50*0.6,3.5,IF(N743&gt;=50*0.5,3,IF(N743&gt;=50*0.4,2,IF(N743&gt;=50*0.33,1,0))))))))</f>
        <v/>
      </c>
      <c r="AG743">
        <f>IF(B743="","",IF(O743&lt;33.0,0,IF(O743&gt;=100*0.8,5,IF(O743&gt;=100*0.7,4,IF(O743&gt;=100*0.6,3.5,IF(O743&gt;=100*0.5,3,IF(O743&gt;=100*0.4,2,IF(O743&gt;=100*0.33,1,0))))))))</f>
        <v/>
      </c>
      <c r="AH743">
        <f>IF(B743="","",IF(OR(U743=0,V743=0,W743=0,X743=0,Y743=0,Z743=0,AA743=0,AB743=0,AC743=0,AD743=0,AE743=0,AF743=0,AG743=0),1,0))</f>
        <v/>
      </c>
    </row>
    <row r="744">
      <c r="A744" s="3">
        <f>IF(B744="","",ROW()-2)</f>
        <v/>
      </c>
      <c r="P744" s="4">
        <f>IF(B744="","",SUM(C744:O744))</f>
        <v/>
      </c>
      <c r="Q744" s="5">
        <f>IF(B744="","",ROUND(P744/13,2))</f>
        <v/>
      </c>
      <c r="R744" s="5">
        <f>IF(B744="","",IF(AH744=1,0,MIN(5,ROUND((U744+V744+W744+X744+Y744+Z744+AA744+AB744+AC744+AD744+AE744+AF744+AG744)/13,2))))</f>
        <v/>
      </c>
      <c r="S744" s="3">
        <f>IF(B744="","",IF(R744&gt;=5,"A+",IF(R744&gt;=4,"A",IF(R744&gt;=3.5,"A-",IF(R744&gt;=3,"B",IF(R744&gt;=2,"C",IF(R744&gt;=1,"D","F")))))))</f>
        <v/>
      </c>
      <c r="T744" s="3">
        <f>IF(OR(B744="",S744="F"),"",COUNTIFS(P:P,"&gt;"&amp;P744,S:S,"&lt;&gt;F")+1)</f>
        <v/>
      </c>
      <c r="U744">
        <f>IF(B744="","",IF(C744&lt;33.0,0,IF(C744&gt;=100*0.8,5,IF(C744&gt;=100*0.7,4,IF(C744&gt;=100*0.6,3.5,IF(C744&gt;=100*0.5,3,IF(C744&gt;=100*0.4,2,IF(C744&gt;=100*0.33,1,0))))))))</f>
        <v/>
      </c>
      <c r="V744">
        <f>IF(B744="","",IF(D744&lt;33.0,0,IF(D744&gt;=100*0.8,5,IF(D744&gt;=100*0.7,4,IF(D744&gt;=100*0.6,3.5,IF(D744&gt;=100*0.5,3,IF(D744&gt;=100*0.4,2,IF(D744&gt;=100*0.33,1,0))))))))</f>
        <v/>
      </c>
      <c r="W744">
        <f>IF(B744="","",IF(E744&lt;16.5,0,IF(E744&gt;=50*0.8,5,IF(E744&gt;=50*0.7,4,IF(E744&gt;=50*0.6,3.5,IF(E744&gt;=50*0.5,3,IF(E744&gt;=50*0.4,2,IF(E744&gt;=50*0.33,1,0))))))))</f>
        <v/>
      </c>
      <c r="X744">
        <f>IF(B744="","",IF(F744&lt;33.0,0,IF(F744&gt;=100*0.8,5,IF(F744&gt;=100*0.7,4,IF(F744&gt;=100*0.6,3.5,IF(F744&gt;=100*0.5,3,IF(F744&gt;=100*0.4,2,IF(F744&gt;=100*0.33,1,0))))))))</f>
        <v/>
      </c>
      <c r="Y744">
        <f>IF(B744="","",IF(G744&lt;16.5,0,IF(G744&gt;=50*0.8,5,IF(G744&gt;=50*0.7,4,IF(G744&gt;=50*0.6,3.5,IF(G744&gt;=50*0.5,3,IF(G744&gt;=50*0.4,2,IF(G744&gt;=50*0.33,1,0))))))))</f>
        <v/>
      </c>
      <c r="Z744">
        <f>IF(B744="","",IF(H744&lt;33.0,0,IF(H744&gt;=100*0.8,5,IF(H744&gt;=100*0.7,4,IF(H744&gt;=100*0.6,3.5,IF(H744&gt;=100*0.5,3,IF(H744&gt;=100*0.4,2,IF(H744&gt;=100*0.33,1,0))))))))</f>
        <v/>
      </c>
      <c r="AA744">
        <f>IF(B744="","",IF(I744&lt;33.0,0,IF(I744&gt;=100*0.8,5,IF(I744&gt;=100*0.7,4,IF(I744&gt;=100*0.6,3.5,IF(I744&gt;=100*0.5,3,IF(I744&gt;=100*0.4,2,IF(I744&gt;=100*0.33,1,0))))))))</f>
        <v/>
      </c>
      <c r="AB744">
        <f>IF(B744="","",IF(J744&lt;33.0,0,IF(J744&gt;=100*0.8,5,IF(J744&gt;=100*0.7,4,IF(J744&gt;=100*0.6,3.5,IF(J744&gt;=100*0.5,3,IF(J744&gt;=100*0.4,2,IF(J744&gt;=100*0.33,1,0))))))))</f>
        <v/>
      </c>
      <c r="AC744">
        <f>IF(B744="","",IF(K744&lt;33.0,0,IF(K744&gt;=100*0.8,5,IF(K744&gt;=100*0.7,4,IF(K744&gt;=100*0.6,3.5,IF(K744&gt;=100*0.5,3,IF(K744&gt;=100*0.4,2,IF(K744&gt;=100*0.33,1,0))))))))</f>
        <v/>
      </c>
      <c r="AD744">
        <f>IF(B744="","",IF(L744&lt;33.0,0,IF(L744&gt;=100*0.8,5,IF(L744&gt;=100*0.7,4,IF(L744&gt;=100*0.6,3.5,IF(L744&gt;=100*0.5,3,IF(L744&gt;=100*0.4,2,IF(L744&gt;=100*0.33,1,0))))))))</f>
        <v/>
      </c>
      <c r="AE744">
        <f>IF(B744="","",IF(M744&lt;33.0,0,IF(M744&gt;=100*0.8,5,IF(M744&gt;=100*0.7,4,IF(M744&gt;=100*0.6,3.5,IF(M744&gt;=100*0.5,3,IF(M744&gt;=100*0.4,2,IF(M744&gt;=100*0.33,1,0))))))))</f>
        <v/>
      </c>
      <c r="AF744">
        <f>IF(B744="","",IF(N744&lt;16.5,0,IF(N744&gt;=50*0.8,5,IF(N744&gt;=50*0.7,4,IF(N744&gt;=50*0.6,3.5,IF(N744&gt;=50*0.5,3,IF(N744&gt;=50*0.4,2,IF(N744&gt;=50*0.33,1,0))))))))</f>
        <v/>
      </c>
      <c r="AG744">
        <f>IF(B744="","",IF(O744&lt;33.0,0,IF(O744&gt;=100*0.8,5,IF(O744&gt;=100*0.7,4,IF(O744&gt;=100*0.6,3.5,IF(O744&gt;=100*0.5,3,IF(O744&gt;=100*0.4,2,IF(O744&gt;=100*0.33,1,0))))))))</f>
        <v/>
      </c>
      <c r="AH744">
        <f>IF(B744="","",IF(OR(U744=0,V744=0,W744=0,X744=0,Y744=0,Z744=0,AA744=0,AB744=0,AC744=0,AD744=0,AE744=0,AF744=0,AG744=0),1,0))</f>
        <v/>
      </c>
    </row>
    <row r="745">
      <c r="A745" s="3">
        <f>IF(B745="","",ROW()-2)</f>
        <v/>
      </c>
      <c r="P745" s="4">
        <f>IF(B745="","",SUM(C745:O745))</f>
        <v/>
      </c>
      <c r="Q745" s="5">
        <f>IF(B745="","",ROUND(P745/13,2))</f>
        <v/>
      </c>
      <c r="R745" s="5">
        <f>IF(B745="","",IF(AH745=1,0,MIN(5,ROUND((U745+V745+W745+X745+Y745+Z745+AA745+AB745+AC745+AD745+AE745+AF745+AG745)/13,2))))</f>
        <v/>
      </c>
      <c r="S745" s="3">
        <f>IF(B745="","",IF(R745&gt;=5,"A+",IF(R745&gt;=4,"A",IF(R745&gt;=3.5,"A-",IF(R745&gt;=3,"B",IF(R745&gt;=2,"C",IF(R745&gt;=1,"D","F")))))))</f>
        <v/>
      </c>
      <c r="T745" s="3">
        <f>IF(OR(B745="",S745="F"),"",COUNTIFS(P:P,"&gt;"&amp;P745,S:S,"&lt;&gt;F")+1)</f>
        <v/>
      </c>
      <c r="U745">
        <f>IF(B745="","",IF(C745&lt;33.0,0,IF(C745&gt;=100*0.8,5,IF(C745&gt;=100*0.7,4,IF(C745&gt;=100*0.6,3.5,IF(C745&gt;=100*0.5,3,IF(C745&gt;=100*0.4,2,IF(C745&gt;=100*0.33,1,0))))))))</f>
        <v/>
      </c>
      <c r="V745">
        <f>IF(B745="","",IF(D745&lt;33.0,0,IF(D745&gt;=100*0.8,5,IF(D745&gt;=100*0.7,4,IF(D745&gt;=100*0.6,3.5,IF(D745&gt;=100*0.5,3,IF(D745&gt;=100*0.4,2,IF(D745&gt;=100*0.33,1,0))))))))</f>
        <v/>
      </c>
      <c r="W745">
        <f>IF(B745="","",IF(E745&lt;16.5,0,IF(E745&gt;=50*0.8,5,IF(E745&gt;=50*0.7,4,IF(E745&gt;=50*0.6,3.5,IF(E745&gt;=50*0.5,3,IF(E745&gt;=50*0.4,2,IF(E745&gt;=50*0.33,1,0))))))))</f>
        <v/>
      </c>
      <c r="X745">
        <f>IF(B745="","",IF(F745&lt;33.0,0,IF(F745&gt;=100*0.8,5,IF(F745&gt;=100*0.7,4,IF(F745&gt;=100*0.6,3.5,IF(F745&gt;=100*0.5,3,IF(F745&gt;=100*0.4,2,IF(F745&gt;=100*0.33,1,0))))))))</f>
        <v/>
      </c>
      <c r="Y745">
        <f>IF(B745="","",IF(G745&lt;16.5,0,IF(G745&gt;=50*0.8,5,IF(G745&gt;=50*0.7,4,IF(G745&gt;=50*0.6,3.5,IF(G745&gt;=50*0.5,3,IF(G745&gt;=50*0.4,2,IF(G745&gt;=50*0.33,1,0))))))))</f>
        <v/>
      </c>
      <c r="Z745">
        <f>IF(B745="","",IF(H745&lt;33.0,0,IF(H745&gt;=100*0.8,5,IF(H745&gt;=100*0.7,4,IF(H745&gt;=100*0.6,3.5,IF(H745&gt;=100*0.5,3,IF(H745&gt;=100*0.4,2,IF(H745&gt;=100*0.33,1,0))))))))</f>
        <v/>
      </c>
      <c r="AA745">
        <f>IF(B745="","",IF(I745&lt;33.0,0,IF(I745&gt;=100*0.8,5,IF(I745&gt;=100*0.7,4,IF(I745&gt;=100*0.6,3.5,IF(I745&gt;=100*0.5,3,IF(I745&gt;=100*0.4,2,IF(I745&gt;=100*0.33,1,0))))))))</f>
        <v/>
      </c>
      <c r="AB745">
        <f>IF(B745="","",IF(J745&lt;33.0,0,IF(J745&gt;=100*0.8,5,IF(J745&gt;=100*0.7,4,IF(J745&gt;=100*0.6,3.5,IF(J745&gt;=100*0.5,3,IF(J745&gt;=100*0.4,2,IF(J745&gt;=100*0.33,1,0))))))))</f>
        <v/>
      </c>
      <c r="AC745">
        <f>IF(B745="","",IF(K745&lt;33.0,0,IF(K745&gt;=100*0.8,5,IF(K745&gt;=100*0.7,4,IF(K745&gt;=100*0.6,3.5,IF(K745&gt;=100*0.5,3,IF(K745&gt;=100*0.4,2,IF(K745&gt;=100*0.33,1,0))))))))</f>
        <v/>
      </c>
      <c r="AD745">
        <f>IF(B745="","",IF(L745&lt;33.0,0,IF(L745&gt;=100*0.8,5,IF(L745&gt;=100*0.7,4,IF(L745&gt;=100*0.6,3.5,IF(L745&gt;=100*0.5,3,IF(L745&gt;=100*0.4,2,IF(L745&gt;=100*0.33,1,0))))))))</f>
        <v/>
      </c>
      <c r="AE745">
        <f>IF(B745="","",IF(M745&lt;33.0,0,IF(M745&gt;=100*0.8,5,IF(M745&gt;=100*0.7,4,IF(M745&gt;=100*0.6,3.5,IF(M745&gt;=100*0.5,3,IF(M745&gt;=100*0.4,2,IF(M745&gt;=100*0.33,1,0))))))))</f>
        <v/>
      </c>
      <c r="AF745">
        <f>IF(B745="","",IF(N745&lt;16.5,0,IF(N745&gt;=50*0.8,5,IF(N745&gt;=50*0.7,4,IF(N745&gt;=50*0.6,3.5,IF(N745&gt;=50*0.5,3,IF(N745&gt;=50*0.4,2,IF(N745&gt;=50*0.33,1,0))))))))</f>
        <v/>
      </c>
      <c r="AG745">
        <f>IF(B745="","",IF(O745&lt;33.0,0,IF(O745&gt;=100*0.8,5,IF(O745&gt;=100*0.7,4,IF(O745&gt;=100*0.6,3.5,IF(O745&gt;=100*0.5,3,IF(O745&gt;=100*0.4,2,IF(O745&gt;=100*0.33,1,0))))))))</f>
        <v/>
      </c>
      <c r="AH745">
        <f>IF(B745="","",IF(OR(U745=0,V745=0,W745=0,X745=0,Y745=0,Z745=0,AA745=0,AB745=0,AC745=0,AD745=0,AE745=0,AF745=0,AG745=0),1,0))</f>
        <v/>
      </c>
    </row>
    <row r="746">
      <c r="A746" s="3">
        <f>IF(B746="","",ROW()-2)</f>
        <v/>
      </c>
      <c r="P746" s="4">
        <f>IF(B746="","",SUM(C746:O746))</f>
        <v/>
      </c>
      <c r="Q746" s="5">
        <f>IF(B746="","",ROUND(P746/13,2))</f>
        <v/>
      </c>
      <c r="R746" s="5">
        <f>IF(B746="","",IF(AH746=1,0,MIN(5,ROUND((U746+V746+W746+X746+Y746+Z746+AA746+AB746+AC746+AD746+AE746+AF746+AG746)/13,2))))</f>
        <v/>
      </c>
      <c r="S746" s="3">
        <f>IF(B746="","",IF(R746&gt;=5,"A+",IF(R746&gt;=4,"A",IF(R746&gt;=3.5,"A-",IF(R746&gt;=3,"B",IF(R746&gt;=2,"C",IF(R746&gt;=1,"D","F")))))))</f>
        <v/>
      </c>
      <c r="T746" s="3">
        <f>IF(OR(B746="",S746="F"),"",COUNTIFS(P:P,"&gt;"&amp;P746,S:S,"&lt;&gt;F")+1)</f>
        <v/>
      </c>
      <c r="U746">
        <f>IF(B746="","",IF(C746&lt;33.0,0,IF(C746&gt;=100*0.8,5,IF(C746&gt;=100*0.7,4,IF(C746&gt;=100*0.6,3.5,IF(C746&gt;=100*0.5,3,IF(C746&gt;=100*0.4,2,IF(C746&gt;=100*0.33,1,0))))))))</f>
        <v/>
      </c>
      <c r="V746">
        <f>IF(B746="","",IF(D746&lt;33.0,0,IF(D746&gt;=100*0.8,5,IF(D746&gt;=100*0.7,4,IF(D746&gt;=100*0.6,3.5,IF(D746&gt;=100*0.5,3,IF(D746&gt;=100*0.4,2,IF(D746&gt;=100*0.33,1,0))))))))</f>
        <v/>
      </c>
      <c r="W746">
        <f>IF(B746="","",IF(E746&lt;16.5,0,IF(E746&gt;=50*0.8,5,IF(E746&gt;=50*0.7,4,IF(E746&gt;=50*0.6,3.5,IF(E746&gt;=50*0.5,3,IF(E746&gt;=50*0.4,2,IF(E746&gt;=50*0.33,1,0))))))))</f>
        <v/>
      </c>
      <c r="X746">
        <f>IF(B746="","",IF(F746&lt;33.0,0,IF(F746&gt;=100*0.8,5,IF(F746&gt;=100*0.7,4,IF(F746&gt;=100*0.6,3.5,IF(F746&gt;=100*0.5,3,IF(F746&gt;=100*0.4,2,IF(F746&gt;=100*0.33,1,0))))))))</f>
        <v/>
      </c>
      <c r="Y746">
        <f>IF(B746="","",IF(G746&lt;16.5,0,IF(G746&gt;=50*0.8,5,IF(G746&gt;=50*0.7,4,IF(G746&gt;=50*0.6,3.5,IF(G746&gt;=50*0.5,3,IF(G746&gt;=50*0.4,2,IF(G746&gt;=50*0.33,1,0))))))))</f>
        <v/>
      </c>
      <c r="Z746">
        <f>IF(B746="","",IF(H746&lt;33.0,0,IF(H746&gt;=100*0.8,5,IF(H746&gt;=100*0.7,4,IF(H746&gt;=100*0.6,3.5,IF(H746&gt;=100*0.5,3,IF(H746&gt;=100*0.4,2,IF(H746&gt;=100*0.33,1,0))))))))</f>
        <v/>
      </c>
      <c r="AA746">
        <f>IF(B746="","",IF(I746&lt;33.0,0,IF(I746&gt;=100*0.8,5,IF(I746&gt;=100*0.7,4,IF(I746&gt;=100*0.6,3.5,IF(I746&gt;=100*0.5,3,IF(I746&gt;=100*0.4,2,IF(I746&gt;=100*0.33,1,0))))))))</f>
        <v/>
      </c>
      <c r="AB746">
        <f>IF(B746="","",IF(J746&lt;33.0,0,IF(J746&gt;=100*0.8,5,IF(J746&gt;=100*0.7,4,IF(J746&gt;=100*0.6,3.5,IF(J746&gt;=100*0.5,3,IF(J746&gt;=100*0.4,2,IF(J746&gt;=100*0.33,1,0))))))))</f>
        <v/>
      </c>
      <c r="AC746">
        <f>IF(B746="","",IF(K746&lt;33.0,0,IF(K746&gt;=100*0.8,5,IF(K746&gt;=100*0.7,4,IF(K746&gt;=100*0.6,3.5,IF(K746&gt;=100*0.5,3,IF(K746&gt;=100*0.4,2,IF(K746&gt;=100*0.33,1,0))))))))</f>
        <v/>
      </c>
      <c r="AD746">
        <f>IF(B746="","",IF(L746&lt;33.0,0,IF(L746&gt;=100*0.8,5,IF(L746&gt;=100*0.7,4,IF(L746&gt;=100*0.6,3.5,IF(L746&gt;=100*0.5,3,IF(L746&gt;=100*0.4,2,IF(L746&gt;=100*0.33,1,0))))))))</f>
        <v/>
      </c>
      <c r="AE746">
        <f>IF(B746="","",IF(M746&lt;33.0,0,IF(M746&gt;=100*0.8,5,IF(M746&gt;=100*0.7,4,IF(M746&gt;=100*0.6,3.5,IF(M746&gt;=100*0.5,3,IF(M746&gt;=100*0.4,2,IF(M746&gt;=100*0.33,1,0))))))))</f>
        <v/>
      </c>
      <c r="AF746">
        <f>IF(B746="","",IF(N746&lt;16.5,0,IF(N746&gt;=50*0.8,5,IF(N746&gt;=50*0.7,4,IF(N746&gt;=50*0.6,3.5,IF(N746&gt;=50*0.5,3,IF(N746&gt;=50*0.4,2,IF(N746&gt;=50*0.33,1,0))))))))</f>
        <v/>
      </c>
      <c r="AG746">
        <f>IF(B746="","",IF(O746&lt;33.0,0,IF(O746&gt;=100*0.8,5,IF(O746&gt;=100*0.7,4,IF(O746&gt;=100*0.6,3.5,IF(O746&gt;=100*0.5,3,IF(O746&gt;=100*0.4,2,IF(O746&gt;=100*0.33,1,0))))))))</f>
        <v/>
      </c>
      <c r="AH746">
        <f>IF(B746="","",IF(OR(U746=0,V746=0,W746=0,X746=0,Y746=0,Z746=0,AA746=0,AB746=0,AC746=0,AD746=0,AE746=0,AF746=0,AG746=0),1,0))</f>
        <v/>
      </c>
    </row>
    <row r="747">
      <c r="A747" s="3">
        <f>IF(B747="","",ROW()-2)</f>
        <v/>
      </c>
      <c r="P747" s="4">
        <f>IF(B747="","",SUM(C747:O747))</f>
        <v/>
      </c>
      <c r="Q747" s="5">
        <f>IF(B747="","",ROUND(P747/13,2))</f>
        <v/>
      </c>
      <c r="R747" s="5">
        <f>IF(B747="","",IF(AH747=1,0,MIN(5,ROUND((U747+V747+W747+X747+Y747+Z747+AA747+AB747+AC747+AD747+AE747+AF747+AG747)/13,2))))</f>
        <v/>
      </c>
      <c r="S747" s="3">
        <f>IF(B747="","",IF(R747&gt;=5,"A+",IF(R747&gt;=4,"A",IF(R747&gt;=3.5,"A-",IF(R747&gt;=3,"B",IF(R747&gt;=2,"C",IF(R747&gt;=1,"D","F")))))))</f>
        <v/>
      </c>
      <c r="T747" s="3">
        <f>IF(OR(B747="",S747="F"),"",COUNTIFS(P:P,"&gt;"&amp;P747,S:S,"&lt;&gt;F")+1)</f>
        <v/>
      </c>
      <c r="U747">
        <f>IF(B747="","",IF(C747&lt;33.0,0,IF(C747&gt;=100*0.8,5,IF(C747&gt;=100*0.7,4,IF(C747&gt;=100*0.6,3.5,IF(C747&gt;=100*0.5,3,IF(C747&gt;=100*0.4,2,IF(C747&gt;=100*0.33,1,0))))))))</f>
        <v/>
      </c>
      <c r="V747">
        <f>IF(B747="","",IF(D747&lt;33.0,0,IF(D747&gt;=100*0.8,5,IF(D747&gt;=100*0.7,4,IF(D747&gt;=100*0.6,3.5,IF(D747&gt;=100*0.5,3,IF(D747&gt;=100*0.4,2,IF(D747&gt;=100*0.33,1,0))))))))</f>
        <v/>
      </c>
      <c r="W747">
        <f>IF(B747="","",IF(E747&lt;16.5,0,IF(E747&gt;=50*0.8,5,IF(E747&gt;=50*0.7,4,IF(E747&gt;=50*0.6,3.5,IF(E747&gt;=50*0.5,3,IF(E747&gt;=50*0.4,2,IF(E747&gt;=50*0.33,1,0))))))))</f>
        <v/>
      </c>
      <c r="X747">
        <f>IF(B747="","",IF(F747&lt;33.0,0,IF(F747&gt;=100*0.8,5,IF(F747&gt;=100*0.7,4,IF(F747&gt;=100*0.6,3.5,IF(F747&gt;=100*0.5,3,IF(F747&gt;=100*0.4,2,IF(F747&gt;=100*0.33,1,0))))))))</f>
        <v/>
      </c>
      <c r="Y747">
        <f>IF(B747="","",IF(G747&lt;16.5,0,IF(G747&gt;=50*0.8,5,IF(G747&gt;=50*0.7,4,IF(G747&gt;=50*0.6,3.5,IF(G747&gt;=50*0.5,3,IF(G747&gt;=50*0.4,2,IF(G747&gt;=50*0.33,1,0))))))))</f>
        <v/>
      </c>
      <c r="Z747">
        <f>IF(B747="","",IF(H747&lt;33.0,0,IF(H747&gt;=100*0.8,5,IF(H747&gt;=100*0.7,4,IF(H747&gt;=100*0.6,3.5,IF(H747&gt;=100*0.5,3,IF(H747&gt;=100*0.4,2,IF(H747&gt;=100*0.33,1,0))))))))</f>
        <v/>
      </c>
      <c r="AA747">
        <f>IF(B747="","",IF(I747&lt;33.0,0,IF(I747&gt;=100*0.8,5,IF(I747&gt;=100*0.7,4,IF(I747&gt;=100*0.6,3.5,IF(I747&gt;=100*0.5,3,IF(I747&gt;=100*0.4,2,IF(I747&gt;=100*0.33,1,0))))))))</f>
        <v/>
      </c>
      <c r="AB747">
        <f>IF(B747="","",IF(J747&lt;33.0,0,IF(J747&gt;=100*0.8,5,IF(J747&gt;=100*0.7,4,IF(J747&gt;=100*0.6,3.5,IF(J747&gt;=100*0.5,3,IF(J747&gt;=100*0.4,2,IF(J747&gt;=100*0.33,1,0))))))))</f>
        <v/>
      </c>
      <c r="AC747">
        <f>IF(B747="","",IF(K747&lt;33.0,0,IF(K747&gt;=100*0.8,5,IF(K747&gt;=100*0.7,4,IF(K747&gt;=100*0.6,3.5,IF(K747&gt;=100*0.5,3,IF(K747&gt;=100*0.4,2,IF(K747&gt;=100*0.33,1,0))))))))</f>
        <v/>
      </c>
      <c r="AD747">
        <f>IF(B747="","",IF(L747&lt;33.0,0,IF(L747&gt;=100*0.8,5,IF(L747&gt;=100*0.7,4,IF(L747&gt;=100*0.6,3.5,IF(L747&gt;=100*0.5,3,IF(L747&gt;=100*0.4,2,IF(L747&gt;=100*0.33,1,0))))))))</f>
        <v/>
      </c>
      <c r="AE747">
        <f>IF(B747="","",IF(M747&lt;33.0,0,IF(M747&gt;=100*0.8,5,IF(M747&gt;=100*0.7,4,IF(M747&gt;=100*0.6,3.5,IF(M747&gt;=100*0.5,3,IF(M747&gt;=100*0.4,2,IF(M747&gt;=100*0.33,1,0))))))))</f>
        <v/>
      </c>
      <c r="AF747">
        <f>IF(B747="","",IF(N747&lt;16.5,0,IF(N747&gt;=50*0.8,5,IF(N747&gt;=50*0.7,4,IF(N747&gt;=50*0.6,3.5,IF(N747&gt;=50*0.5,3,IF(N747&gt;=50*0.4,2,IF(N747&gt;=50*0.33,1,0))))))))</f>
        <v/>
      </c>
      <c r="AG747">
        <f>IF(B747="","",IF(O747&lt;33.0,0,IF(O747&gt;=100*0.8,5,IF(O747&gt;=100*0.7,4,IF(O747&gt;=100*0.6,3.5,IF(O747&gt;=100*0.5,3,IF(O747&gt;=100*0.4,2,IF(O747&gt;=100*0.33,1,0))))))))</f>
        <v/>
      </c>
      <c r="AH747">
        <f>IF(B747="","",IF(OR(U747=0,V747=0,W747=0,X747=0,Y747=0,Z747=0,AA747=0,AB747=0,AC747=0,AD747=0,AE747=0,AF747=0,AG747=0),1,0))</f>
        <v/>
      </c>
    </row>
    <row r="748">
      <c r="A748" s="3">
        <f>IF(B748="","",ROW()-2)</f>
        <v/>
      </c>
      <c r="P748" s="4">
        <f>IF(B748="","",SUM(C748:O748))</f>
        <v/>
      </c>
      <c r="Q748" s="5">
        <f>IF(B748="","",ROUND(P748/13,2))</f>
        <v/>
      </c>
      <c r="R748" s="5">
        <f>IF(B748="","",IF(AH748=1,0,MIN(5,ROUND((U748+V748+W748+X748+Y748+Z748+AA748+AB748+AC748+AD748+AE748+AF748+AG748)/13,2))))</f>
        <v/>
      </c>
      <c r="S748" s="3">
        <f>IF(B748="","",IF(R748&gt;=5,"A+",IF(R748&gt;=4,"A",IF(R748&gt;=3.5,"A-",IF(R748&gt;=3,"B",IF(R748&gt;=2,"C",IF(R748&gt;=1,"D","F")))))))</f>
        <v/>
      </c>
      <c r="T748" s="3">
        <f>IF(OR(B748="",S748="F"),"",COUNTIFS(P:P,"&gt;"&amp;P748,S:S,"&lt;&gt;F")+1)</f>
        <v/>
      </c>
      <c r="U748">
        <f>IF(B748="","",IF(C748&lt;33.0,0,IF(C748&gt;=100*0.8,5,IF(C748&gt;=100*0.7,4,IF(C748&gt;=100*0.6,3.5,IF(C748&gt;=100*0.5,3,IF(C748&gt;=100*0.4,2,IF(C748&gt;=100*0.33,1,0))))))))</f>
        <v/>
      </c>
      <c r="V748">
        <f>IF(B748="","",IF(D748&lt;33.0,0,IF(D748&gt;=100*0.8,5,IF(D748&gt;=100*0.7,4,IF(D748&gt;=100*0.6,3.5,IF(D748&gt;=100*0.5,3,IF(D748&gt;=100*0.4,2,IF(D748&gt;=100*0.33,1,0))))))))</f>
        <v/>
      </c>
      <c r="W748">
        <f>IF(B748="","",IF(E748&lt;16.5,0,IF(E748&gt;=50*0.8,5,IF(E748&gt;=50*0.7,4,IF(E748&gt;=50*0.6,3.5,IF(E748&gt;=50*0.5,3,IF(E748&gt;=50*0.4,2,IF(E748&gt;=50*0.33,1,0))))))))</f>
        <v/>
      </c>
      <c r="X748">
        <f>IF(B748="","",IF(F748&lt;33.0,0,IF(F748&gt;=100*0.8,5,IF(F748&gt;=100*0.7,4,IF(F748&gt;=100*0.6,3.5,IF(F748&gt;=100*0.5,3,IF(F748&gt;=100*0.4,2,IF(F748&gt;=100*0.33,1,0))))))))</f>
        <v/>
      </c>
      <c r="Y748">
        <f>IF(B748="","",IF(G748&lt;16.5,0,IF(G748&gt;=50*0.8,5,IF(G748&gt;=50*0.7,4,IF(G748&gt;=50*0.6,3.5,IF(G748&gt;=50*0.5,3,IF(G748&gt;=50*0.4,2,IF(G748&gt;=50*0.33,1,0))))))))</f>
        <v/>
      </c>
      <c r="Z748">
        <f>IF(B748="","",IF(H748&lt;33.0,0,IF(H748&gt;=100*0.8,5,IF(H748&gt;=100*0.7,4,IF(H748&gt;=100*0.6,3.5,IF(H748&gt;=100*0.5,3,IF(H748&gt;=100*0.4,2,IF(H748&gt;=100*0.33,1,0))))))))</f>
        <v/>
      </c>
      <c r="AA748">
        <f>IF(B748="","",IF(I748&lt;33.0,0,IF(I748&gt;=100*0.8,5,IF(I748&gt;=100*0.7,4,IF(I748&gt;=100*0.6,3.5,IF(I748&gt;=100*0.5,3,IF(I748&gt;=100*0.4,2,IF(I748&gt;=100*0.33,1,0))))))))</f>
        <v/>
      </c>
      <c r="AB748">
        <f>IF(B748="","",IF(J748&lt;33.0,0,IF(J748&gt;=100*0.8,5,IF(J748&gt;=100*0.7,4,IF(J748&gt;=100*0.6,3.5,IF(J748&gt;=100*0.5,3,IF(J748&gt;=100*0.4,2,IF(J748&gt;=100*0.33,1,0))))))))</f>
        <v/>
      </c>
      <c r="AC748">
        <f>IF(B748="","",IF(K748&lt;33.0,0,IF(K748&gt;=100*0.8,5,IF(K748&gt;=100*0.7,4,IF(K748&gt;=100*0.6,3.5,IF(K748&gt;=100*0.5,3,IF(K748&gt;=100*0.4,2,IF(K748&gt;=100*0.33,1,0))))))))</f>
        <v/>
      </c>
      <c r="AD748">
        <f>IF(B748="","",IF(L748&lt;33.0,0,IF(L748&gt;=100*0.8,5,IF(L748&gt;=100*0.7,4,IF(L748&gt;=100*0.6,3.5,IF(L748&gt;=100*0.5,3,IF(L748&gt;=100*0.4,2,IF(L748&gt;=100*0.33,1,0))))))))</f>
        <v/>
      </c>
      <c r="AE748">
        <f>IF(B748="","",IF(M748&lt;33.0,0,IF(M748&gt;=100*0.8,5,IF(M748&gt;=100*0.7,4,IF(M748&gt;=100*0.6,3.5,IF(M748&gt;=100*0.5,3,IF(M748&gt;=100*0.4,2,IF(M748&gt;=100*0.33,1,0))))))))</f>
        <v/>
      </c>
      <c r="AF748">
        <f>IF(B748="","",IF(N748&lt;16.5,0,IF(N748&gt;=50*0.8,5,IF(N748&gt;=50*0.7,4,IF(N748&gt;=50*0.6,3.5,IF(N748&gt;=50*0.5,3,IF(N748&gt;=50*0.4,2,IF(N748&gt;=50*0.33,1,0))))))))</f>
        <v/>
      </c>
      <c r="AG748">
        <f>IF(B748="","",IF(O748&lt;33.0,0,IF(O748&gt;=100*0.8,5,IF(O748&gt;=100*0.7,4,IF(O748&gt;=100*0.6,3.5,IF(O748&gt;=100*0.5,3,IF(O748&gt;=100*0.4,2,IF(O748&gt;=100*0.33,1,0))))))))</f>
        <v/>
      </c>
      <c r="AH748">
        <f>IF(B748="","",IF(OR(U748=0,V748=0,W748=0,X748=0,Y748=0,Z748=0,AA748=0,AB748=0,AC748=0,AD748=0,AE748=0,AF748=0,AG748=0),1,0))</f>
        <v/>
      </c>
    </row>
    <row r="749">
      <c r="A749" s="3">
        <f>IF(B749="","",ROW()-2)</f>
        <v/>
      </c>
      <c r="P749" s="4">
        <f>IF(B749="","",SUM(C749:O749))</f>
        <v/>
      </c>
      <c r="Q749" s="5">
        <f>IF(B749="","",ROUND(P749/13,2))</f>
        <v/>
      </c>
      <c r="R749" s="5">
        <f>IF(B749="","",IF(AH749=1,0,MIN(5,ROUND((U749+V749+W749+X749+Y749+Z749+AA749+AB749+AC749+AD749+AE749+AF749+AG749)/13,2))))</f>
        <v/>
      </c>
      <c r="S749" s="3">
        <f>IF(B749="","",IF(R749&gt;=5,"A+",IF(R749&gt;=4,"A",IF(R749&gt;=3.5,"A-",IF(R749&gt;=3,"B",IF(R749&gt;=2,"C",IF(R749&gt;=1,"D","F")))))))</f>
        <v/>
      </c>
      <c r="T749" s="3">
        <f>IF(OR(B749="",S749="F"),"",COUNTIFS(P:P,"&gt;"&amp;P749,S:S,"&lt;&gt;F")+1)</f>
        <v/>
      </c>
      <c r="U749">
        <f>IF(B749="","",IF(C749&lt;33.0,0,IF(C749&gt;=100*0.8,5,IF(C749&gt;=100*0.7,4,IF(C749&gt;=100*0.6,3.5,IF(C749&gt;=100*0.5,3,IF(C749&gt;=100*0.4,2,IF(C749&gt;=100*0.33,1,0))))))))</f>
        <v/>
      </c>
      <c r="V749">
        <f>IF(B749="","",IF(D749&lt;33.0,0,IF(D749&gt;=100*0.8,5,IF(D749&gt;=100*0.7,4,IF(D749&gt;=100*0.6,3.5,IF(D749&gt;=100*0.5,3,IF(D749&gt;=100*0.4,2,IF(D749&gt;=100*0.33,1,0))))))))</f>
        <v/>
      </c>
      <c r="W749">
        <f>IF(B749="","",IF(E749&lt;16.5,0,IF(E749&gt;=50*0.8,5,IF(E749&gt;=50*0.7,4,IF(E749&gt;=50*0.6,3.5,IF(E749&gt;=50*0.5,3,IF(E749&gt;=50*0.4,2,IF(E749&gt;=50*0.33,1,0))))))))</f>
        <v/>
      </c>
      <c r="X749">
        <f>IF(B749="","",IF(F749&lt;33.0,0,IF(F749&gt;=100*0.8,5,IF(F749&gt;=100*0.7,4,IF(F749&gt;=100*0.6,3.5,IF(F749&gt;=100*0.5,3,IF(F749&gt;=100*0.4,2,IF(F749&gt;=100*0.33,1,0))))))))</f>
        <v/>
      </c>
      <c r="Y749">
        <f>IF(B749="","",IF(G749&lt;16.5,0,IF(G749&gt;=50*0.8,5,IF(G749&gt;=50*0.7,4,IF(G749&gt;=50*0.6,3.5,IF(G749&gt;=50*0.5,3,IF(G749&gt;=50*0.4,2,IF(G749&gt;=50*0.33,1,0))))))))</f>
        <v/>
      </c>
      <c r="Z749">
        <f>IF(B749="","",IF(H749&lt;33.0,0,IF(H749&gt;=100*0.8,5,IF(H749&gt;=100*0.7,4,IF(H749&gt;=100*0.6,3.5,IF(H749&gt;=100*0.5,3,IF(H749&gt;=100*0.4,2,IF(H749&gt;=100*0.33,1,0))))))))</f>
        <v/>
      </c>
      <c r="AA749">
        <f>IF(B749="","",IF(I749&lt;33.0,0,IF(I749&gt;=100*0.8,5,IF(I749&gt;=100*0.7,4,IF(I749&gt;=100*0.6,3.5,IF(I749&gt;=100*0.5,3,IF(I749&gt;=100*0.4,2,IF(I749&gt;=100*0.33,1,0))))))))</f>
        <v/>
      </c>
      <c r="AB749">
        <f>IF(B749="","",IF(J749&lt;33.0,0,IF(J749&gt;=100*0.8,5,IF(J749&gt;=100*0.7,4,IF(J749&gt;=100*0.6,3.5,IF(J749&gt;=100*0.5,3,IF(J749&gt;=100*0.4,2,IF(J749&gt;=100*0.33,1,0))))))))</f>
        <v/>
      </c>
      <c r="AC749">
        <f>IF(B749="","",IF(K749&lt;33.0,0,IF(K749&gt;=100*0.8,5,IF(K749&gt;=100*0.7,4,IF(K749&gt;=100*0.6,3.5,IF(K749&gt;=100*0.5,3,IF(K749&gt;=100*0.4,2,IF(K749&gt;=100*0.33,1,0))))))))</f>
        <v/>
      </c>
      <c r="AD749">
        <f>IF(B749="","",IF(L749&lt;33.0,0,IF(L749&gt;=100*0.8,5,IF(L749&gt;=100*0.7,4,IF(L749&gt;=100*0.6,3.5,IF(L749&gt;=100*0.5,3,IF(L749&gt;=100*0.4,2,IF(L749&gt;=100*0.33,1,0))))))))</f>
        <v/>
      </c>
      <c r="AE749">
        <f>IF(B749="","",IF(M749&lt;33.0,0,IF(M749&gt;=100*0.8,5,IF(M749&gt;=100*0.7,4,IF(M749&gt;=100*0.6,3.5,IF(M749&gt;=100*0.5,3,IF(M749&gt;=100*0.4,2,IF(M749&gt;=100*0.33,1,0))))))))</f>
        <v/>
      </c>
      <c r="AF749">
        <f>IF(B749="","",IF(N749&lt;16.5,0,IF(N749&gt;=50*0.8,5,IF(N749&gt;=50*0.7,4,IF(N749&gt;=50*0.6,3.5,IF(N749&gt;=50*0.5,3,IF(N749&gt;=50*0.4,2,IF(N749&gt;=50*0.33,1,0))))))))</f>
        <v/>
      </c>
      <c r="AG749">
        <f>IF(B749="","",IF(O749&lt;33.0,0,IF(O749&gt;=100*0.8,5,IF(O749&gt;=100*0.7,4,IF(O749&gt;=100*0.6,3.5,IF(O749&gt;=100*0.5,3,IF(O749&gt;=100*0.4,2,IF(O749&gt;=100*0.33,1,0))))))))</f>
        <v/>
      </c>
      <c r="AH749">
        <f>IF(B749="","",IF(OR(U749=0,V749=0,W749=0,X749=0,Y749=0,Z749=0,AA749=0,AB749=0,AC749=0,AD749=0,AE749=0,AF749=0,AG749=0),1,0))</f>
        <v/>
      </c>
    </row>
    <row r="750">
      <c r="A750" s="3">
        <f>IF(B750="","",ROW()-2)</f>
        <v/>
      </c>
      <c r="P750" s="4">
        <f>IF(B750="","",SUM(C750:O750))</f>
        <v/>
      </c>
      <c r="Q750" s="5">
        <f>IF(B750="","",ROUND(P750/13,2))</f>
        <v/>
      </c>
      <c r="R750" s="5">
        <f>IF(B750="","",IF(AH750=1,0,MIN(5,ROUND((U750+V750+W750+X750+Y750+Z750+AA750+AB750+AC750+AD750+AE750+AF750+AG750)/13,2))))</f>
        <v/>
      </c>
      <c r="S750" s="3">
        <f>IF(B750="","",IF(R750&gt;=5,"A+",IF(R750&gt;=4,"A",IF(R750&gt;=3.5,"A-",IF(R750&gt;=3,"B",IF(R750&gt;=2,"C",IF(R750&gt;=1,"D","F")))))))</f>
        <v/>
      </c>
      <c r="T750" s="3">
        <f>IF(OR(B750="",S750="F"),"",COUNTIFS(P:P,"&gt;"&amp;P750,S:S,"&lt;&gt;F")+1)</f>
        <v/>
      </c>
      <c r="U750">
        <f>IF(B750="","",IF(C750&lt;33.0,0,IF(C750&gt;=100*0.8,5,IF(C750&gt;=100*0.7,4,IF(C750&gt;=100*0.6,3.5,IF(C750&gt;=100*0.5,3,IF(C750&gt;=100*0.4,2,IF(C750&gt;=100*0.33,1,0))))))))</f>
        <v/>
      </c>
      <c r="V750">
        <f>IF(B750="","",IF(D750&lt;33.0,0,IF(D750&gt;=100*0.8,5,IF(D750&gt;=100*0.7,4,IF(D750&gt;=100*0.6,3.5,IF(D750&gt;=100*0.5,3,IF(D750&gt;=100*0.4,2,IF(D750&gt;=100*0.33,1,0))))))))</f>
        <v/>
      </c>
      <c r="W750">
        <f>IF(B750="","",IF(E750&lt;16.5,0,IF(E750&gt;=50*0.8,5,IF(E750&gt;=50*0.7,4,IF(E750&gt;=50*0.6,3.5,IF(E750&gt;=50*0.5,3,IF(E750&gt;=50*0.4,2,IF(E750&gt;=50*0.33,1,0))))))))</f>
        <v/>
      </c>
      <c r="X750">
        <f>IF(B750="","",IF(F750&lt;33.0,0,IF(F750&gt;=100*0.8,5,IF(F750&gt;=100*0.7,4,IF(F750&gt;=100*0.6,3.5,IF(F750&gt;=100*0.5,3,IF(F750&gt;=100*0.4,2,IF(F750&gt;=100*0.33,1,0))))))))</f>
        <v/>
      </c>
      <c r="Y750">
        <f>IF(B750="","",IF(G750&lt;16.5,0,IF(G750&gt;=50*0.8,5,IF(G750&gt;=50*0.7,4,IF(G750&gt;=50*0.6,3.5,IF(G750&gt;=50*0.5,3,IF(G750&gt;=50*0.4,2,IF(G750&gt;=50*0.33,1,0))))))))</f>
        <v/>
      </c>
      <c r="Z750">
        <f>IF(B750="","",IF(H750&lt;33.0,0,IF(H750&gt;=100*0.8,5,IF(H750&gt;=100*0.7,4,IF(H750&gt;=100*0.6,3.5,IF(H750&gt;=100*0.5,3,IF(H750&gt;=100*0.4,2,IF(H750&gt;=100*0.33,1,0))))))))</f>
        <v/>
      </c>
      <c r="AA750">
        <f>IF(B750="","",IF(I750&lt;33.0,0,IF(I750&gt;=100*0.8,5,IF(I750&gt;=100*0.7,4,IF(I750&gt;=100*0.6,3.5,IF(I750&gt;=100*0.5,3,IF(I750&gt;=100*0.4,2,IF(I750&gt;=100*0.33,1,0))))))))</f>
        <v/>
      </c>
      <c r="AB750">
        <f>IF(B750="","",IF(J750&lt;33.0,0,IF(J750&gt;=100*0.8,5,IF(J750&gt;=100*0.7,4,IF(J750&gt;=100*0.6,3.5,IF(J750&gt;=100*0.5,3,IF(J750&gt;=100*0.4,2,IF(J750&gt;=100*0.33,1,0))))))))</f>
        <v/>
      </c>
      <c r="AC750">
        <f>IF(B750="","",IF(K750&lt;33.0,0,IF(K750&gt;=100*0.8,5,IF(K750&gt;=100*0.7,4,IF(K750&gt;=100*0.6,3.5,IF(K750&gt;=100*0.5,3,IF(K750&gt;=100*0.4,2,IF(K750&gt;=100*0.33,1,0))))))))</f>
        <v/>
      </c>
      <c r="AD750">
        <f>IF(B750="","",IF(L750&lt;33.0,0,IF(L750&gt;=100*0.8,5,IF(L750&gt;=100*0.7,4,IF(L750&gt;=100*0.6,3.5,IF(L750&gt;=100*0.5,3,IF(L750&gt;=100*0.4,2,IF(L750&gt;=100*0.33,1,0))))))))</f>
        <v/>
      </c>
      <c r="AE750">
        <f>IF(B750="","",IF(M750&lt;33.0,0,IF(M750&gt;=100*0.8,5,IF(M750&gt;=100*0.7,4,IF(M750&gt;=100*0.6,3.5,IF(M750&gt;=100*0.5,3,IF(M750&gt;=100*0.4,2,IF(M750&gt;=100*0.33,1,0))))))))</f>
        <v/>
      </c>
      <c r="AF750">
        <f>IF(B750="","",IF(N750&lt;16.5,0,IF(N750&gt;=50*0.8,5,IF(N750&gt;=50*0.7,4,IF(N750&gt;=50*0.6,3.5,IF(N750&gt;=50*0.5,3,IF(N750&gt;=50*0.4,2,IF(N750&gt;=50*0.33,1,0))))))))</f>
        <v/>
      </c>
      <c r="AG750">
        <f>IF(B750="","",IF(O750&lt;33.0,0,IF(O750&gt;=100*0.8,5,IF(O750&gt;=100*0.7,4,IF(O750&gt;=100*0.6,3.5,IF(O750&gt;=100*0.5,3,IF(O750&gt;=100*0.4,2,IF(O750&gt;=100*0.33,1,0))))))))</f>
        <v/>
      </c>
      <c r="AH750">
        <f>IF(B750="","",IF(OR(U750=0,V750=0,W750=0,X750=0,Y750=0,Z750=0,AA750=0,AB750=0,AC750=0,AD750=0,AE750=0,AF750=0,AG750=0),1,0))</f>
        <v/>
      </c>
    </row>
    <row r="751">
      <c r="A751" s="3">
        <f>IF(B751="","",ROW()-2)</f>
        <v/>
      </c>
      <c r="P751" s="4">
        <f>IF(B751="","",SUM(C751:O751))</f>
        <v/>
      </c>
      <c r="Q751" s="5">
        <f>IF(B751="","",ROUND(P751/13,2))</f>
        <v/>
      </c>
      <c r="R751" s="5">
        <f>IF(B751="","",IF(AH751=1,0,MIN(5,ROUND((U751+V751+W751+X751+Y751+Z751+AA751+AB751+AC751+AD751+AE751+AF751+AG751)/13,2))))</f>
        <v/>
      </c>
      <c r="S751" s="3">
        <f>IF(B751="","",IF(R751&gt;=5,"A+",IF(R751&gt;=4,"A",IF(R751&gt;=3.5,"A-",IF(R751&gt;=3,"B",IF(R751&gt;=2,"C",IF(R751&gt;=1,"D","F")))))))</f>
        <v/>
      </c>
      <c r="T751" s="3">
        <f>IF(OR(B751="",S751="F"),"",COUNTIFS(P:P,"&gt;"&amp;P751,S:S,"&lt;&gt;F")+1)</f>
        <v/>
      </c>
      <c r="U751">
        <f>IF(B751="","",IF(C751&lt;33.0,0,IF(C751&gt;=100*0.8,5,IF(C751&gt;=100*0.7,4,IF(C751&gt;=100*0.6,3.5,IF(C751&gt;=100*0.5,3,IF(C751&gt;=100*0.4,2,IF(C751&gt;=100*0.33,1,0))))))))</f>
        <v/>
      </c>
      <c r="V751">
        <f>IF(B751="","",IF(D751&lt;33.0,0,IF(D751&gt;=100*0.8,5,IF(D751&gt;=100*0.7,4,IF(D751&gt;=100*0.6,3.5,IF(D751&gt;=100*0.5,3,IF(D751&gt;=100*0.4,2,IF(D751&gt;=100*0.33,1,0))))))))</f>
        <v/>
      </c>
      <c r="W751">
        <f>IF(B751="","",IF(E751&lt;16.5,0,IF(E751&gt;=50*0.8,5,IF(E751&gt;=50*0.7,4,IF(E751&gt;=50*0.6,3.5,IF(E751&gt;=50*0.5,3,IF(E751&gt;=50*0.4,2,IF(E751&gt;=50*0.33,1,0))))))))</f>
        <v/>
      </c>
      <c r="X751">
        <f>IF(B751="","",IF(F751&lt;33.0,0,IF(F751&gt;=100*0.8,5,IF(F751&gt;=100*0.7,4,IF(F751&gt;=100*0.6,3.5,IF(F751&gt;=100*0.5,3,IF(F751&gt;=100*0.4,2,IF(F751&gt;=100*0.33,1,0))))))))</f>
        <v/>
      </c>
      <c r="Y751">
        <f>IF(B751="","",IF(G751&lt;16.5,0,IF(G751&gt;=50*0.8,5,IF(G751&gt;=50*0.7,4,IF(G751&gt;=50*0.6,3.5,IF(G751&gt;=50*0.5,3,IF(G751&gt;=50*0.4,2,IF(G751&gt;=50*0.33,1,0))))))))</f>
        <v/>
      </c>
      <c r="Z751">
        <f>IF(B751="","",IF(H751&lt;33.0,0,IF(H751&gt;=100*0.8,5,IF(H751&gt;=100*0.7,4,IF(H751&gt;=100*0.6,3.5,IF(H751&gt;=100*0.5,3,IF(H751&gt;=100*0.4,2,IF(H751&gt;=100*0.33,1,0))))))))</f>
        <v/>
      </c>
      <c r="AA751">
        <f>IF(B751="","",IF(I751&lt;33.0,0,IF(I751&gt;=100*0.8,5,IF(I751&gt;=100*0.7,4,IF(I751&gt;=100*0.6,3.5,IF(I751&gt;=100*0.5,3,IF(I751&gt;=100*0.4,2,IF(I751&gt;=100*0.33,1,0))))))))</f>
        <v/>
      </c>
      <c r="AB751">
        <f>IF(B751="","",IF(J751&lt;33.0,0,IF(J751&gt;=100*0.8,5,IF(J751&gt;=100*0.7,4,IF(J751&gt;=100*0.6,3.5,IF(J751&gt;=100*0.5,3,IF(J751&gt;=100*0.4,2,IF(J751&gt;=100*0.33,1,0))))))))</f>
        <v/>
      </c>
      <c r="AC751">
        <f>IF(B751="","",IF(K751&lt;33.0,0,IF(K751&gt;=100*0.8,5,IF(K751&gt;=100*0.7,4,IF(K751&gt;=100*0.6,3.5,IF(K751&gt;=100*0.5,3,IF(K751&gt;=100*0.4,2,IF(K751&gt;=100*0.33,1,0))))))))</f>
        <v/>
      </c>
      <c r="AD751">
        <f>IF(B751="","",IF(L751&lt;33.0,0,IF(L751&gt;=100*0.8,5,IF(L751&gt;=100*0.7,4,IF(L751&gt;=100*0.6,3.5,IF(L751&gt;=100*0.5,3,IF(L751&gt;=100*0.4,2,IF(L751&gt;=100*0.33,1,0))))))))</f>
        <v/>
      </c>
      <c r="AE751">
        <f>IF(B751="","",IF(M751&lt;33.0,0,IF(M751&gt;=100*0.8,5,IF(M751&gt;=100*0.7,4,IF(M751&gt;=100*0.6,3.5,IF(M751&gt;=100*0.5,3,IF(M751&gt;=100*0.4,2,IF(M751&gt;=100*0.33,1,0))))))))</f>
        <v/>
      </c>
      <c r="AF751">
        <f>IF(B751="","",IF(N751&lt;16.5,0,IF(N751&gt;=50*0.8,5,IF(N751&gt;=50*0.7,4,IF(N751&gt;=50*0.6,3.5,IF(N751&gt;=50*0.5,3,IF(N751&gt;=50*0.4,2,IF(N751&gt;=50*0.33,1,0))))))))</f>
        <v/>
      </c>
      <c r="AG751">
        <f>IF(B751="","",IF(O751&lt;33.0,0,IF(O751&gt;=100*0.8,5,IF(O751&gt;=100*0.7,4,IF(O751&gt;=100*0.6,3.5,IF(O751&gt;=100*0.5,3,IF(O751&gt;=100*0.4,2,IF(O751&gt;=100*0.33,1,0))))))))</f>
        <v/>
      </c>
      <c r="AH751">
        <f>IF(B751="","",IF(OR(U751=0,V751=0,W751=0,X751=0,Y751=0,Z751=0,AA751=0,AB751=0,AC751=0,AD751=0,AE751=0,AF751=0,AG751=0),1,0))</f>
        <v/>
      </c>
    </row>
    <row r="752">
      <c r="A752" s="3">
        <f>IF(B752="","",ROW()-2)</f>
        <v/>
      </c>
      <c r="P752" s="4">
        <f>IF(B752="","",SUM(C752:O752))</f>
        <v/>
      </c>
      <c r="Q752" s="5">
        <f>IF(B752="","",ROUND(P752/13,2))</f>
        <v/>
      </c>
      <c r="R752" s="5">
        <f>IF(B752="","",IF(AH752=1,0,MIN(5,ROUND((U752+V752+W752+X752+Y752+Z752+AA752+AB752+AC752+AD752+AE752+AF752+AG752)/13,2))))</f>
        <v/>
      </c>
      <c r="S752" s="3">
        <f>IF(B752="","",IF(R752&gt;=5,"A+",IF(R752&gt;=4,"A",IF(R752&gt;=3.5,"A-",IF(R752&gt;=3,"B",IF(R752&gt;=2,"C",IF(R752&gt;=1,"D","F")))))))</f>
        <v/>
      </c>
      <c r="T752" s="3">
        <f>IF(OR(B752="",S752="F"),"",COUNTIFS(P:P,"&gt;"&amp;P752,S:S,"&lt;&gt;F")+1)</f>
        <v/>
      </c>
      <c r="U752">
        <f>IF(B752="","",IF(C752&lt;33.0,0,IF(C752&gt;=100*0.8,5,IF(C752&gt;=100*0.7,4,IF(C752&gt;=100*0.6,3.5,IF(C752&gt;=100*0.5,3,IF(C752&gt;=100*0.4,2,IF(C752&gt;=100*0.33,1,0))))))))</f>
        <v/>
      </c>
      <c r="V752">
        <f>IF(B752="","",IF(D752&lt;33.0,0,IF(D752&gt;=100*0.8,5,IF(D752&gt;=100*0.7,4,IF(D752&gt;=100*0.6,3.5,IF(D752&gt;=100*0.5,3,IF(D752&gt;=100*0.4,2,IF(D752&gt;=100*0.33,1,0))))))))</f>
        <v/>
      </c>
      <c r="W752">
        <f>IF(B752="","",IF(E752&lt;16.5,0,IF(E752&gt;=50*0.8,5,IF(E752&gt;=50*0.7,4,IF(E752&gt;=50*0.6,3.5,IF(E752&gt;=50*0.5,3,IF(E752&gt;=50*0.4,2,IF(E752&gt;=50*0.33,1,0))))))))</f>
        <v/>
      </c>
      <c r="X752">
        <f>IF(B752="","",IF(F752&lt;33.0,0,IF(F752&gt;=100*0.8,5,IF(F752&gt;=100*0.7,4,IF(F752&gt;=100*0.6,3.5,IF(F752&gt;=100*0.5,3,IF(F752&gt;=100*0.4,2,IF(F752&gt;=100*0.33,1,0))))))))</f>
        <v/>
      </c>
      <c r="Y752">
        <f>IF(B752="","",IF(G752&lt;16.5,0,IF(G752&gt;=50*0.8,5,IF(G752&gt;=50*0.7,4,IF(G752&gt;=50*0.6,3.5,IF(G752&gt;=50*0.5,3,IF(G752&gt;=50*0.4,2,IF(G752&gt;=50*0.33,1,0))))))))</f>
        <v/>
      </c>
      <c r="Z752">
        <f>IF(B752="","",IF(H752&lt;33.0,0,IF(H752&gt;=100*0.8,5,IF(H752&gt;=100*0.7,4,IF(H752&gt;=100*0.6,3.5,IF(H752&gt;=100*0.5,3,IF(H752&gt;=100*0.4,2,IF(H752&gt;=100*0.33,1,0))))))))</f>
        <v/>
      </c>
      <c r="AA752">
        <f>IF(B752="","",IF(I752&lt;33.0,0,IF(I752&gt;=100*0.8,5,IF(I752&gt;=100*0.7,4,IF(I752&gt;=100*0.6,3.5,IF(I752&gt;=100*0.5,3,IF(I752&gt;=100*0.4,2,IF(I752&gt;=100*0.33,1,0))))))))</f>
        <v/>
      </c>
      <c r="AB752">
        <f>IF(B752="","",IF(J752&lt;33.0,0,IF(J752&gt;=100*0.8,5,IF(J752&gt;=100*0.7,4,IF(J752&gt;=100*0.6,3.5,IF(J752&gt;=100*0.5,3,IF(J752&gt;=100*0.4,2,IF(J752&gt;=100*0.33,1,0))))))))</f>
        <v/>
      </c>
      <c r="AC752">
        <f>IF(B752="","",IF(K752&lt;33.0,0,IF(K752&gt;=100*0.8,5,IF(K752&gt;=100*0.7,4,IF(K752&gt;=100*0.6,3.5,IF(K752&gt;=100*0.5,3,IF(K752&gt;=100*0.4,2,IF(K752&gt;=100*0.33,1,0))))))))</f>
        <v/>
      </c>
      <c r="AD752">
        <f>IF(B752="","",IF(L752&lt;33.0,0,IF(L752&gt;=100*0.8,5,IF(L752&gt;=100*0.7,4,IF(L752&gt;=100*0.6,3.5,IF(L752&gt;=100*0.5,3,IF(L752&gt;=100*0.4,2,IF(L752&gt;=100*0.33,1,0))))))))</f>
        <v/>
      </c>
      <c r="AE752">
        <f>IF(B752="","",IF(M752&lt;33.0,0,IF(M752&gt;=100*0.8,5,IF(M752&gt;=100*0.7,4,IF(M752&gt;=100*0.6,3.5,IF(M752&gt;=100*0.5,3,IF(M752&gt;=100*0.4,2,IF(M752&gt;=100*0.33,1,0))))))))</f>
        <v/>
      </c>
      <c r="AF752">
        <f>IF(B752="","",IF(N752&lt;16.5,0,IF(N752&gt;=50*0.8,5,IF(N752&gt;=50*0.7,4,IF(N752&gt;=50*0.6,3.5,IF(N752&gt;=50*0.5,3,IF(N752&gt;=50*0.4,2,IF(N752&gt;=50*0.33,1,0))))))))</f>
        <v/>
      </c>
      <c r="AG752">
        <f>IF(B752="","",IF(O752&lt;33.0,0,IF(O752&gt;=100*0.8,5,IF(O752&gt;=100*0.7,4,IF(O752&gt;=100*0.6,3.5,IF(O752&gt;=100*0.5,3,IF(O752&gt;=100*0.4,2,IF(O752&gt;=100*0.33,1,0))))))))</f>
        <v/>
      </c>
      <c r="AH752">
        <f>IF(B752="","",IF(OR(U752=0,V752=0,W752=0,X752=0,Y752=0,Z752=0,AA752=0,AB752=0,AC752=0,AD752=0,AE752=0,AF752=0,AG752=0),1,0))</f>
        <v/>
      </c>
    </row>
    <row r="753">
      <c r="A753" s="3">
        <f>IF(B753="","",ROW()-2)</f>
        <v/>
      </c>
      <c r="P753" s="4">
        <f>IF(B753="","",SUM(C753:O753))</f>
        <v/>
      </c>
      <c r="Q753" s="5">
        <f>IF(B753="","",ROUND(P753/13,2))</f>
        <v/>
      </c>
      <c r="R753" s="5">
        <f>IF(B753="","",IF(AH753=1,0,MIN(5,ROUND((U753+V753+W753+X753+Y753+Z753+AA753+AB753+AC753+AD753+AE753+AF753+AG753)/13,2))))</f>
        <v/>
      </c>
      <c r="S753" s="3">
        <f>IF(B753="","",IF(R753&gt;=5,"A+",IF(R753&gt;=4,"A",IF(R753&gt;=3.5,"A-",IF(R753&gt;=3,"B",IF(R753&gt;=2,"C",IF(R753&gt;=1,"D","F")))))))</f>
        <v/>
      </c>
      <c r="T753" s="3">
        <f>IF(OR(B753="",S753="F"),"",COUNTIFS(P:P,"&gt;"&amp;P753,S:S,"&lt;&gt;F")+1)</f>
        <v/>
      </c>
      <c r="U753">
        <f>IF(B753="","",IF(C753&lt;33.0,0,IF(C753&gt;=100*0.8,5,IF(C753&gt;=100*0.7,4,IF(C753&gt;=100*0.6,3.5,IF(C753&gt;=100*0.5,3,IF(C753&gt;=100*0.4,2,IF(C753&gt;=100*0.33,1,0))))))))</f>
        <v/>
      </c>
      <c r="V753">
        <f>IF(B753="","",IF(D753&lt;33.0,0,IF(D753&gt;=100*0.8,5,IF(D753&gt;=100*0.7,4,IF(D753&gt;=100*0.6,3.5,IF(D753&gt;=100*0.5,3,IF(D753&gt;=100*0.4,2,IF(D753&gt;=100*0.33,1,0))))))))</f>
        <v/>
      </c>
      <c r="W753">
        <f>IF(B753="","",IF(E753&lt;16.5,0,IF(E753&gt;=50*0.8,5,IF(E753&gt;=50*0.7,4,IF(E753&gt;=50*0.6,3.5,IF(E753&gt;=50*0.5,3,IF(E753&gt;=50*0.4,2,IF(E753&gt;=50*0.33,1,0))))))))</f>
        <v/>
      </c>
      <c r="X753">
        <f>IF(B753="","",IF(F753&lt;33.0,0,IF(F753&gt;=100*0.8,5,IF(F753&gt;=100*0.7,4,IF(F753&gt;=100*0.6,3.5,IF(F753&gt;=100*0.5,3,IF(F753&gt;=100*0.4,2,IF(F753&gt;=100*0.33,1,0))))))))</f>
        <v/>
      </c>
      <c r="Y753">
        <f>IF(B753="","",IF(G753&lt;16.5,0,IF(G753&gt;=50*0.8,5,IF(G753&gt;=50*0.7,4,IF(G753&gt;=50*0.6,3.5,IF(G753&gt;=50*0.5,3,IF(G753&gt;=50*0.4,2,IF(G753&gt;=50*0.33,1,0))))))))</f>
        <v/>
      </c>
      <c r="Z753">
        <f>IF(B753="","",IF(H753&lt;33.0,0,IF(H753&gt;=100*0.8,5,IF(H753&gt;=100*0.7,4,IF(H753&gt;=100*0.6,3.5,IF(H753&gt;=100*0.5,3,IF(H753&gt;=100*0.4,2,IF(H753&gt;=100*0.33,1,0))))))))</f>
        <v/>
      </c>
      <c r="AA753">
        <f>IF(B753="","",IF(I753&lt;33.0,0,IF(I753&gt;=100*0.8,5,IF(I753&gt;=100*0.7,4,IF(I753&gt;=100*0.6,3.5,IF(I753&gt;=100*0.5,3,IF(I753&gt;=100*0.4,2,IF(I753&gt;=100*0.33,1,0))))))))</f>
        <v/>
      </c>
      <c r="AB753">
        <f>IF(B753="","",IF(J753&lt;33.0,0,IF(J753&gt;=100*0.8,5,IF(J753&gt;=100*0.7,4,IF(J753&gt;=100*0.6,3.5,IF(J753&gt;=100*0.5,3,IF(J753&gt;=100*0.4,2,IF(J753&gt;=100*0.33,1,0))))))))</f>
        <v/>
      </c>
      <c r="AC753">
        <f>IF(B753="","",IF(K753&lt;33.0,0,IF(K753&gt;=100*0.8,5,IF(K753&gt;=100*0.7,4,IF(K753&gt;=100*0.6,3.5,IF(K753&gt;=100*0.5,3,IF(K753&gt;=100*0.4,2,IF(K753&gt;=100*0.33,1,0))))))))</f>
        <v/>
      </c>
      <c r="AD753">
        <f>IF(B753="","",IF(L753&lt;33.0,0,IF(L753&gt;=100*0.8,5,IF(L753&gt;=100*0.7,4,IF(L753&gt;=100*0.6,3.5,IF(L753&gt;=100*0.5,3,IF(L753&gt;=100*0.4,2,IF(L753&gt;=100*0.33,1,0))))))))</f>
        <v/>
      </c>
      <c r="AE753">
        <f>IF(B753="","",IF(M753&lt;33.0,0,IF(M753&gt;=100*0.8,5,IF(M753&gt;=100*0.7,4,IF(M753&gt;=100*0.6,3.5,IF(M753&gt;=100*0.5,3,IF(M753&gt;=100*0.4,2,IF(M753&gt;=100*0.33,1,0))))))))</f>
        <v/>
      </c>
      <c r="AF753">
        <f>IF(B753="","",IF(N753&lt;16.5,0,IF(N753&gt;=50*0.8,5,IF(N753&gt;=50*0.7,4,IF(N753&gt;=50*0.6,3.5,IF(N753&gt;=50*0.5,3,IF(N753&gt;=50*0.4,2,IF(N753&gt;=50*0.33,1,0))))))))</f>
        <v/>
      </c>
      <c r="AG753">
        <f>IF(B753="","",IF(O753&lt;33.0,0,IF(O753&gt;=100*0.8,5,IF(O753&gt;=100*0.7,4,IF(O753&gt;=100*0.6,3.5,IF(O753&gt;=100*0.5,3,IF(O753&gt;=100*0.4,2,IF(O753&gt;=100*0.33,1,0))))))))</f>
        <v/>
      </c>
      <c r="AH753">
        <f>IF(B753="","",IF(OR(U753=0,V753=0,W753=0,X753=0,Y753=0,Z753=0,AA753=0,AB753=0,AC753=0,AD753=0,AE753=0,AF753=0,AG753=0),1,0))</f>
        <v/>
      </c>
    </row>
    <row r="754">
      <c r="A754" s="3">
        <f>IF(B754="","",ROW()-2)</f>
        <v/>
      </c>
      <c r="P754" s="4">
        <f>IF(B754="","",SUM(C754:O754))</f>
        <v/>
      </c>
      <c r="Q754" s="5">
        <f>IF(B754="","",ROUND(P754/13,2))</f>
        <v/>
      </c>
      <c r="R754" s="5">
        <f>IF(B754="","",IF(AH754=1,0,MIN(5,ROUND((U754+V754+W754+X754+Y754+Z754+AA754+AB754+AC754+AD754+AE754+AF754+AG754)/13,2))))</f>
        <v/>
      </c>
      <c r="S754" s="3">
        <f>IF(B754="","",IF(R754&gt;=5,"A+",IF(R754&gt;=4,"A",IF(R754&gt;=3.5,"A-",IF(R754&gt;=3,"B",IF(R754&gt;=2,"C",IF(R754&gt;=1,"D","F")))))))</f>
        <v/>
      </c>
      <c r="T754" s="3">
        <f>IF(OR(B754="",S754="F"),"",COUNTIFS(P:P,"&gt;"&amp;P754,S:S,"&lt;&gt;F")+1)</f>
        <v/>
      </c>
      <c r="U754">
        <f>IF(B754="","",IF(C754&lt;33.0,0,IF(C754&gt;=100*0.8,5,IF(C754&gt;=100*0.7,4,IF(C754&gt;=100*0.6,3.5,IF(C754&gt;=100*0.5,3,IF(C754&gt;=100*0.4,2,IF(C754&gt;=100*0.33,1,0))))))))</f>
        <v/>
      </c>
      <c r="V754">
        <f>IF(B754="","",IF(D754&lt;33.0,0,IF(D754&gt;=100*0.8,5,IF(D754&gt;=100*0.7,4,IF(D754&gt;=100*0.6,3.5,IF(D754&gt;=100*0.5,3,IF(D754&gt;=100*0.4,2,IF(D754&gt;=100*0.33,1,0))))))))</f>
        <v/>
      </c>
      <c r="W754">
        <f>IF(B754="","",IF(E754&lt;16.5,0,IF(E754&gt;=50*0.8,5,IF(E754&gt;=50*0.7,4,IF(E754&gt;=50*0.6,3.5,IF(E754&gt;=50*0.5,3,IF(E754&gt;=50*0.4,2,IF(E754&gt;=50*0.33,1,0))))))))</f>
        <v/>
      </c>
      <c r="X754">
        <f>IF(B754="","",IF(F754&lt;33.0,0,IF(F754&gt;=100*0.8,5,IF(F754&gt;=100*0.7,4,IF(F754&gt;=100*0.6,3.5,IF(F754&gt;=100*0.5,3,IF(F754&gt;=100*0.4,2,IF(F754&gt;=100*0.33,1,0))))))))</f>
        <v/>
      </c>
      <c r="Y754">
        <f>IF(B754="","",IF(G754&lt;16.5,0,IF(G754&gt;=50*0.8,5,IF(G754&gt;=50*0.7,4,IF(G754&gt;=50*0.6,3.5,IF(G754&gt;=50*0.5,3,IF(G754&gt;=50*0.4,2,IF(G754&gt;=50*0.33,1,0))))))))</f>
        <v/>
      </c>
      <c r="Z754">
        <f>IF(B754="","",IF(H754&lt;33.0,0,IF(H754&gt;=100*0.8,5,IF(H754&gt;=100*0.7,4,IF(H754&gt;=100*0.6,3.5,IF(H754&gt;=100*0.5,3,IF(H754&gt;=100*0.4,2,IF(H754&gt;=100*0.33,1,0))))))))</f>
        <v/>
      </c>
      <c r="AA754">
        <f>IF(B754="","",IF(I754&lt;33.0,0,IF(I754&gt;=100*0.8,5,IF(I754&gt;=100*0.7,4,IF(I754&gt;=100*0.6,3.5,IF(I754&gt;=100*0.5,3,IF(I754&gt;=100*0.4,2,IF(I754&gt;=100*0.33,1,0))))))))</f>
        <v/>
      </c>
      <c r="AB754">
        <f>IF(B754="","",IF(J754&lt;33.0,0,IF(J754&gt;=100*0.8,5,IF(J754&gt;=100*0.7,4,IF(J754&gt;=100*0.6,3.5,IF(J754&gt;=100*0.5,3,IF(J754&gt;=100*0.4,2,IF(J754&gt;=100*0.33,1,0))))))))</f>
        <v/>
      </c>
      <c r="AC754">
        <f>IF(B754="","",IF(K754&lt;33.0,0,IF(K754&gt;=100*0.8,5,IF(K754&gt;=100*0.7,4,IF(K754&gt;=100*0.6,3.5,IF(K754&gt;=100*0.5,3,IF(K754&gt;=100*0.4,2,IF(K754&gt;=100*0.33,1,0))))))))</f>
        <v/>
      </c>
      <c r="AD754">
        <f>IF(B754="","",IF(L754&lt;33.0,0,IF(L754&gt;=100*0.8,5,IF(L754&gt;=100*0.7,4,IF(L754&gt;=100*0.6,3.5,IF(L754&gt;=100*0.5,3,IF(L754&gt;=100*0.4,2,IF(L754&gt;=100*0.33,1,0))))))))</f>
        <v/>
      </c>
      <c r="AE754">
        <f>IF(B754="","",IF(M754&lt;33.0,0,IF(M754&gt;=100*0.8,5,IF(M754&gt;=100*0.7,4,IF(M754&gt;=100*0.6,3.5,IF(M754&gt;=100*0.5,3,IF(M754&gt;=100*0.4,2,IF(M754&gt;=100*0.33,1,0))))))))</f>
        <v/>
      </c>
      <c r="AF754">
        <f>IF(B754="","",IF(N754&lt;16.5,0,IF(N754&gt;=50*0.8,5,IF(N754&gt;=50*0.7,4,IF(N754&gt;=50*0.6,3.5,IF(N754&gt;=50*0.5,3,IF(N754&gt;=50*0.4,2,IF(N754&gt;=50*0.33,1,0))))))))</f>
        <v/>
      </c>
      <c r="AG754">
        <f>IF(B754="","",IF(O754&lt;33.0,0,IF(O754&gt;=100*0.8,5,IF(O754&gt;=100*0.7,4,IF(O754&gt;=100*0.6,3.5,IF(O754&gt;=100*0.5,3,IF(O754&gt;=100*0.4,2,IF(O754&gt;=100*0.33,1,0))))))))</f>
        <v/>
      </c>
      <c r="AH754">
        <f>IF(B754="","",IF(OR(U754=0,V754=0,W754=0,X754=0,Y754=0,Z754=0,AA754=0,AB754=0,AC754=0,AD754=0,AE754=0,AF754=0,AG754=0),1,0))</f>
        <v/>
      </c>
    </row>
    <row r="755">
      <c r="A755" s="3">
        <f>IF(B755="","",ROW()-2)</f>
        <v/>
      </c>
      <c r="P755" s="4">
        <f>IF(B755="","",SUM(C755:O755))</f>
        <v/>
      </c>
      <c r="Q755" s="5">
        <f>IF(B755="","",ROUND(P755/13,2))</f>
        <v/>
      </c>
      <c r="R755" s="5">
        <f>IF(B755="","",IF(AH755=1,0,MIN(5,ROUND((U755+V755+W755+X755+Y755+Z755+AA755+AB755+AC755+AD755+AE755+AF755+AG755)/13,2))))</f>
        <v/>
      </c>
      <c r="S755" s="3">
        <f>IF(B755="","",IF(R755&gt;=5,"A+",IF(R755&gt;=4,"A",IF(R755&gt;=3.5,"A-",IF(R755&gt;=3,"B",IF(R755&gt;=2,"C",IF(R755&gt;=1,"D","F")))))))</f>
        <v/>
      </c>
      <c r="T755" s="3">
        <f>IF(OR(B755="",S755="F"),"",COUNTIFS(P:P,"&gt;"&amp;P755,S:S,"&lt;&gt;F")+1)</f>
        <v/>
      </c>
      <c r="U755">
        <f>IF(B755="","",IF(C755&lt;33.0,0,IF(C755&gt;=100*0.8,5,IF(C755&gt;=100*0.7,4,IF(C755&gt;=100*0.6,3.5,IF(C755&gt;=100*0.5,3,IF(C755&gt;=100*0.4,2,IF(C755&gt;=100*0.33,1,0))))))))</f>
        <v/>
      </c>
      <c r="V755">
        <f>IF(B755="","",IF(D755&lt;33.0,0,IF(D755&gt;=100*0.8,5,IF(D755&gt;=100*0.7,4,IF(D755&gt;=100*0.6,3.5,IF(D755&gt;=100*0.5,3,IF(D755&gt;=100*0.4,2,IF(D755&gt;=100*0.33,1,0))))))))</f>
        <v/>
      </c>
      <c r="W755">
        <f>IF(B755="","",IF(E755&lt;16.5,0,IF(E755&gt;=50*0.8,5,IF(E755&gt;=50*0.7,4,IF(E755&gt;=50*0.6,3.5,IF(E755&gt;=50*0.5,3,IF(E755&gt;=50*0.4,2,IF(E755&gt;=50*0.33,1,0))))))))</f>
        <v/>
      </c>
      <c r="X755">
        <f>IF(B755="","",IF(F755&lt;33.0,0,IF(F755&gt;=100*0.8,5,IF(F755&gt;=100*0.7,4,IF(F755&gt;=100*0.6,3.5,IF(F755&gt;=100*0.5,3,IF(F755&gt;=100*0.4,2,IF(F755&gt;=100*0.33,1,0))))))))</f>
        <v/>
      </c>
      <c r="Y755">
        <f>IF(B755="","",IF(G755&lt;16.5,0,IF(G755&gt;=50*0.8,5,IF(G755&gt;=50*0.7,4,IF(G755&gt;=50*0.6,3.5,IF(G755&gt;=50*0.5,3,IF(G755&gt;=50*0.4,2,IF(G755&gt;=50*0.33,1,0))))))))</f>
        <v/>
      </c>
      <c r="Z755">
        <f>IF(B755="","",IF(H755&lt;33.0,0,IF(H755&gt;=100*0.8,5,IF(H755&gt;=100*0.7,4,IF(H755&gt;=100*0.6,3.5,IF(H755&gt;=100*0.5,3,IF(H755&gt;=100*0.4,2,IF(H755&gt;=100*0.33,1,0))))))))</f>
        <v/>
      </c>
      <c r="AA755">
        <f>IF(B755="","",IF(I755&lt;33.0,0,IF(I755&gt;=100*0.8,5,IF(I755&gt;=100*0.7,4,IF(I755&gt;=100*0.6,3.5,IF(I755&gt;=100*0.5,3,IF(I755&gt;=100*0.4,2,IF(I755&gt;=100*0.33,1,0))))))))</f>
        <v/>
      </c>
      <c r="AB755">
        <f>IF(B755="","",IF(J755&lt;33.0,0,IF(J755&gt;=100*0.8,5,IF(J755&gt;=100*0.7,4,IF(J755&gt;=100*0.6,3.5,IF(J755&gt;=100*0.5,3,IF(J755&gt;=100*0.4,2,IF(J755&gt;=100*0.33,1,0))))))))</f>
        <v/>
      </c>
      <c r="AC755">
        <f>IF(B755="","",IF(K755&lt;33.0,0,IF(K755&gt;=100*0.8,5,IF(K755&gt;=100*0.7,4,IF(K755&gt;=100*0.6,3.5,IF(K755&gt;=100*0.5,3,IF(K755&gt;=100*0.4,2,IF(K755&gt;=100*0.33,1,0))))))))</f>
        <v/>
      </c>
      <c r="AD755">
        <f>IF(B755="","",IF(L755&lt;33.0,0,IF(L755&gt;=100*0.8,5,IF(L755&gt;=100*0.7,4,IF(L755&gt;=100*0.6,3.5,IF(L755&gt;=100*0.5,3,IF(L755&gt;=100*0.4,2,IF(L755&gt;=100*0.33,1,0))))))))</f>
        <v/>
      </c>
      <c r="AE755">
        <f>IF(B755="","",IF(M755&lt;33.0,0,IF(M755&gt;=100*0.8,5,IF(M755&gt;=100*0.7,4,IF(M755&gt;=100*0.6,3.5,IF(M755&gt;=100*0.5,3,IF(M755&gt;=100*0.4,2,IF(M755&gt;=100*0.33,1,0))))))))</f>
        <v/>
      </c>
      <c r="AF755">
        <f>IF(B755="","",IF(N755&lt;16.5,0,IF(N755&gt;=50*0.8,5,IF(N755&gt;=50*0.7,4,IF(N755&gt;=50*0.6,3.5,IF(N755&gt;=50*0.5,3,IF(N755&gt;=50*0.4,2,IF(N755&gt;=50*0.33,1,0))))))))</f>
        <v/>
      </c>
      <c r="AG755">
        <f>IF(B755="","",IF(O755&lt;33.0,0,IF(O755&gt;=100*0.8,5,IF(O755&gt;=100*0.7,4,IF(O755&gt;=100*0.6,3.5,IF(O755&gt;=100*0.5,3,IF(O755&gt;=100*0.4,2,IF(O755&gt;=100*0.33,1,0))))))))</f>
        <v/>
      </c>
      <c r="AH755">
        <f>IF(B755="","",IF(OR(U755=0,V755=0,W755=0,X755=0,Y755=0,Z755=0,AA755=0,AB755=0,AC755=0,AD755=0,AE755=0,AF755=0,AG755=0),1,0))</f>
        <v/>
      </c>
    </row>
    <row r="756">
      <c r="A756" s="3">
        <f>IF(B756="","",ROW()-2)</f>
        <v/>
      </c>
      <c r="P756" s="4">
        <f>IF(B756="","",SUM(C756:O756))</f>
        <v/>
      </c>
      <c r="Q756" s="5">
        <f>IF(B756="","",ROUND(P756/13,2))</f>
        <v/>
      </c>
      <c r="R756" s="5">
        <f>IF(B756="","",IF(AH756=1,0,MIN(5,ROUND((U756+V756+W756+X756+Y756+Z756+AA756+AB756+AC756+AD756+AE756+AF756+AG756)/13,2))))</f>
        <v/>
      </c>
      <c r="S756" s="3">
        <f>IF(B756="","",IF(R756&gt;=5,"A+",IF(R756&gt;=4,"A",IF(R756&gt;=3.5,"A-",IF(R756&gt;=3,"B",IF(R756&gt;=2,"C",IF(R756&gt;=1,"D","F")))))))</f>
        <v/>
      </c>
      <c r="T756" s="3">
        <f>IF(OR(B756="",S756="F"),"",COUNTIFS(P:P,"&gt;"&amp;P756,S:S,"&lt;&gt;F")+1)</f>
        <v/>
      </c>
      <c r="U756">
        <f>IF(B756="","",IF(C756&lt;33.0,0,IF(C756&gt;=100*0.8,5,IF(C756&gt;=100*0.7,4,IF(C756&gt;=100*0.6,3.5,IF(C756&gt;=100*0.5,3,IF(C756&gt;=100*0.4,2,IF(C756&gt;=100*0.33,1,0))))))))</f>
        <v/>
      </c>
      <c r="V756">
        <f>IF(B756="","",IF(D756&lt;33.0,0,IF(D756&gt;=100*0.8,5,IF(D756&gt;=100*0.7,4,IF(D756&gt;=100*0.6,3.5,IF(D756&gt;=100*0.5,3,IF(D756&gt;=100*0.4,2,IF(D756&gt;=100*0.33,1,0))))))))</f>
        <v/>
      </c>
      <c r="W756">
        <f>IF(B756="","",IF(E756&lt;16.5,0,IF(E756&gt;=50*0.8,5,IF(E756&gt;=50*0.7,4,IF(E756&gt;=50*0.6,3.5,IF(E756&gt;=50*0.5,3,IF(E756&gt;=50*0.4,2,IF(E756&gt;=50*0.33,1,0))))))))</f>
        <v/>
      </c>
      <c r="X756">
        <f>IF(B756="","",IF(F756&lt;33.0,0,IF(F756&gt;=100*0.8,5,IF(F756&gt;=100*0.7,4,IF(F756&gt;=100*0.6,3.5,IF(F756&gt;=100*0.5,3,IF(F756&gt;=100*0.4,2,IF(F756&gt;=100*0.33,1,0))))))))</f>
        <v/>
      </c>
      <c r="Y756">
        <f>IF(B756="","",IF(G756&lt;16.5,0,IF(G756&gt;=50*0.8,5,IF(G756&gt;=50*0.7,4,IF(G756&gt;=50*0.6,3.5,IF(G756&gt;=50*0.5,3,IF(G756&gt;=50*0.4,2,IF(G756&gt;=50*0.33,1,0))))))))</f>
        <v/>
      </c>
      <c r="Z756">
        <f>IF(B756="","",IF(H756&lt;33.0,0,IF(H756&gt;=100*0.8,5,IF(H756&gt;=100*0.7,4,IF(H756&gt;=100*0.6,3.5,IF(H756&gt;=100*0.5,3,IF(H756&gt;=100*0.4,2,IF(H756&gt;=100*0.33,1,0))))))))</f>
        <v/>
      </c>
      <c r="AA756">
        <f>IF(B756="","",IF(I756&lt;33.0,0,IF(I756&gt;=100*0.8,5,IF(I756&gt;=100*0.7,4,IF(I756&gt;=100*0.6,3.5,IF(I756&gt;=100*0.5,3,IF(I756&gt;=100*0.4,2,IF(I756&gt;=100*0.33,1,0))))))))</f>
        <v/>
      </c>
      <c r="AB756">
        <f>IF(B756="","",IF(J756&lt;33.0,0,IF(J756&gt;=100*0.8,5,IF(J756&gt;=100*0.7,4,IF(J756&gt;=100*0.6,3.5,IF(J756&gt;=100*0.5,3,IF(J756&gt;=100*0.4,2,IF(J756&gt;=100*0.33,1,0))))))))</f>
        <v/>
      </c>
      <c r="AC756">
        <f>IF(B756="","",IF(K756&lt;33.0,0,IF(K756&gt;=100*0.8,5,IF(K756&gt;=100*0.7,4,IF(K756&gt;=100*0.6,3.5,IF(K756&gt;=100*0.5,3,IF(K756&gt;=100*0.4,2,IF(K756&gt;=100*0.33,1,0))))))))</f>
        <v/>
      </c>
      <c r="AD756">
        <f>IF(B756="","",IF(L756&lt;33.0,0,IF(L756&gt;=100*0.8,5,IF(L756&gt;=100*0.7,4,IF(L756&gt;=100*0.6,3.5,IF(L756&gt;=100*0.5,3,IF(L756&gt;=100*0.4,2,IF(L756&gt;=100*0.33,1,0))))))))</f>
        <v/>
      </c>
      <c r="AE756">
        <f>IF(B756="","",IF(M756&lt;33.0,0,IF(M756&gt;=100*0.8,5,IF(M756&gt;=100*0.7,4,IF(M756&gt;=100*0.6,3.5,IF(M756&gt;=100*0.5,3,IF(M756&gt;=100*0.4,2,IF(M756&gt;=100*0.33,1,0))))))))</f>
        <v/>
      </c>
      <c r="AF756">
        <f>IF(B756="","",IF(N756&lt;16.5,0,IF(N756&gt;=50*0.8,5,IF(N756&gt;=50*0.7,4,IF(N756&gt;=50*0.6,3.5,IF(N756&gt;=50*0.5,3,IF(N756&gt;=50*0.4,2,IF(N756&gt;=50*0.33,1,0))))))))</f>
        <v/>
      </c>
      <c r="AG756">
        <f>IF(B756="","",IF(O756&lt;33.0,0,IF(O756&gt;=100*0.8,5,IF(O756&gt;=100*0.7,4,IF(O756&gt;=100*0.6,3.5,IF(O756&gt;=100*0.5,3,IF(O756&gt;=100*0.4,2,IF(O756&gt;=100*0.33,1,0))))))))</f>
        <v/>
      </c>
      <c r="AH756">
        <f>IF(B756="","",IF(OR(U756=0,V756=0,W756=0,X756=0,Y756=0,Z756=0,AA756=0,AB756=0,AC756=0,AD756=0,AE756=0,AF756=0,AG756=0),1,0))</f>
        <v/>
      </c>
    </row>
    <row r="757">
      <c r="A757" s="3">
        <f>IF(B757="","",ROW()-2)</f>
        <v/>
      </c>
      <c r="P757" s="4">
        <f>IF(B757="","",SUM(C757:O757))</f>
        <v/>
      </c>
      <c r="Q757" s="5">
        <f>IF(B757="","",ROUND(P757/13,2))</f>
        <v/>
      </c>
      <c r="R757" s="5">
        <f>IF(B757="","",IF(AH757=1,0,MIN(5,ROUND((U757+V757+W757+X757+Y757+Z757+AA757+AB757+AC757+AD757+AE757+AF757+AG757)/13,2))))</f>
        <v/>
      </c>
      <c r="S757" s="3">
        <f>IF(B757="","",IF(R757&gt;=5,"A+",IF(R757&gt;=4,"A",IF(R757&gt;=3.5,"A-",IF(R757&gt;=3,"B",IF(R757&gt;=2,"C",IF(R757&gt;=1,"D","F")))))))</f>
        <v/>
      </c>
      <c r="T757" s="3">
        <f>IF(OR(B757="",S757="F"),"",COUNTIFS(P:P,"&gt;"&amp;P757,S:S,"&lt;&gt;F")+1)</f>
        <v/>
      </c>
      <c r="U757">
        <f>IF(B757="","",IF(C757&lt;33.0,0,IF(C757&gt;=100*0.8,5,IF(C757&gt;=100*0.7,4,IF(C757&gt;=100*0.6,3.5,IF(C757&gt;=100*0.5,3,IF(C757&gt;=100*0.4,2,IF(C757&gt;=100*0.33,1,0))))))))</f>
        <v/>
      </c>
      <c r="V757">
        <f>IF(B757="","",IF(D757&lt;33.0,0,IF(D757&gt;=100*0.8,5,IF(D757&gt;=100*0.7,4,IF(D757&gt;=100*0.6,3.5,IF(D757&gt;=100*0.5,3,IF(D757&gt;=100*0.4,2,IF(D757&gt;=100*0.33,1,0))))))))</f>
        <v/>
      </c>
      <c r="W757">
        <f>IF(B757="","",IF(E757&lt;16.5,0,IF(E757&gt;=50*0.8,5,IF(E757&gt;=50*0.7,4,IF(E757&gt;=50*0.6,3.5,IF(E757&gt;=50*0.5,3,IF(E757&gt;=50*0.4,2,IF(E757&gt;=50*0.33,1,0))))))))</f>
        <v/>
      </c>
      <c r="X757">
        <f>IF(B757="","",IF(F757&lt;33.0,0,IF(F757&gt;=100*0.8,5,IF(F757&gt;=100*0.7,4,IF(F757&gt;=100*0.6,3.5,IF(F757&gt;=100*0.5,3,IF(F757&gt;=100*0.4,2,IF(F757&gt;=100*0.33,1,0))))))))</f>
        <v/>
      </c>
      <c r="Y757">
        <f>IF(B757="","",IF(G757&lt;16.5,0,IF(G757&gt;=50*0.8,5,IF(G757&gt;=50*0.7,4,IF(G757&gt;=50*0.6,3.5,IF(G757&gt;=50*0.5,3,IF(G757&gt;=50*0.4,2,IF(G757&gt;=50*0.33,1,0))))))))</f>
        <v/>
      </c>
      <c r="Z757">
        <f>IF(B757="","",IF(H757&lt;33.0,0,IF(H757&gt;=100*0.8,5,IF(H757&gt;=100*0.7,4,IF(H757&gt;=100*0.6,3.5,IF(H757&gt;=100*0.5,3,IF(H757&gt;=100*0.4,2,IF(H757&gt;=100*0.33,1,0))))))))</f>
        <v/>
      </c>
      <c r="AA757">
        <f>IF(B757="","",IF(I757&lt;33.0,0,IF(I757&gt;=100*0.8,5,IF(I757&gt;=100*0.7,4,IF(I757&gt;=100*0.6,3.5,IF(I757&gt;=100*0.5,3,IF(I757&gt;=100*0.4,2,IF(I757&gt;=100*0.33,1,0))))))))</f>
        <v/>
      </c>
      <c r="AB757">
        <f>IF(B757="","",IF(J757&lt;33.0,0,IF(J757&gt;=100*0.8,5,IF(J757&gt;=100*0.7,4,IF(J757&gt;=100*0.6,3.5,IF(J757&gt;=100*0.5,3,IF(J757&gt;=100*0.4,2,IF(J757&gt;=100*0.33,1,0))))))))</f>
        <v/>
      </c>
      <c r="AC757">
        <f>IF(B757="","",IF(K757&lt;33.0,0,IF(K757&gt;=100*0.8,5,IF(K757&gt;=100*0.7,4,IF(K757&gt;=100*0.6,3.5,IF(K757&gt;=100*0.5,3,IF(K757&gt;=100*0.4,2,IF(K757&gt;=100*0.33,1,0))))))))</f>
        <v/>
      </c>
      <c r="AD757">
        <f>IF(B757="","",IF(L757&lt;33.0,0,IF(L757&gt;=100*0.8,5,IF(L757&gt;=100*0.7,4,IF(L757&gt;=100*0.6,3.5,IF(L757&gt;=100*0.5,3,IF(L757&gt;=100*0.4,2,IF(L757&gt;=100*0.33,1,0))))))))</f>
        <v/>
      </c>
      <c r="AE757">
        <f>IF(B757="","",IF(M757&lt;33.0,0,IF(M757&gt;=100*0.8,5,IF(M757&gt;=100*0.7,4,IF(M757&gt;=100*0.6,3.5,IF(M757&gt;=100*0.5,3,IF(M757&gt;=100*0.4,2,IF(M757&gt;=100*0.33,1,0))))))))</f>
        <v/>
      </c>
      <c r="AF757">
        <f>IF(B757="","",IF(N757&lt;16.5,0,IF(N757&gt;=50*0.8,5,IF(N757&gt;=50*0.7,4,IF(N757&gt;=50*0.6,3.5,IF(N757&gt;=50*0.5,3,IF(N757&gt;=50*0.4,2,IF(N757&gt;=50*0.33,1,0))))))))</f>
        <v/>
      </c>
      <c r="AG757">
        <f>IF(B757="","",IF(O757&lt;33.0,0,IF(O757&gt;=100*0.8,5,IF(O757&gt;=100*0.7,4,IF(O757&gt;=100*0.6,3.5,IF(O757&gt;=100*0.5,3,IF(O757&gt;=100*0.4,2,IF(O757&gt;=100*0.33,1,0))))))))</f>
        <v/>
      </c>
      <c r="AH757">
        <f>IF(B757="","",IF(OR(U757=0,V757=0,W757=0,X757=0,Y757=0,Z757=0,AA757=0,AB757=0,AC757=0,AD757=0,AE757=0,AF757=0,AG757=0),1,0))</f>
        <v/>
      </c>
    </row>
    <row r="758">
      <c r="A758" s="3">
        <f>IF(B758="","",ROW()-2)</f>
        <v/>
      </c>
      <c r="P758" s="4">
        <f>IF(B758="","",SUM(C758:O758))</f>
        <v/>
      </c>
      <c r="Q758" s="5">
        <f>IF(B758="","",ROUND(P758/13,2))</f>
        <v/>
      </c>
      <c r="R758" s="5">
        <f>IF(B758="","",IF(AH758=1,0,MIN(5,ROUND((U758+V758+W758+X758+Y758+Z758+AA758+AB758+AC758+AD758+AE758+AF758+AG758)/13,2))))</f>
        <v/>
      </c>
      <c r="S758" s="3">
        <f>IF(B758="","",IF(R758&gt;=5,"A+",IF(R758&gt;=4,"A",IF(R758&gt;=3.5,"A-",IF(R758&gt;=3,"B",IF(R758&gt;=2,"C",IF(R758&gt;=1,"D","F")))))))</f>
        <v/>
      </c>
      <c r="T758" s="3">
        <f>IF(OR(B758="",S758="F"),"",COUNTIFS(P:P,"&gt;"&amp;P758,S:S,"&lt;&gt;F")+1)</f>
        <v/>
      </c>
      <c r="U758">
        <f>IF(B758="","",IF(C758&lt;33.0,0,IF(C758&gt;=100*0.8,5,IF(C758&gt;=100*0.7,4,IF(C758&gt;=100*0.6,3.5,IF(C758&gt;=100*0.5,3,IF(C758&gt;=100*0.4,2,IF(C758&gt;=100*0.33,1,0))))))))</f>
        <v/>
      </c>
      <c r="V758">
        <f>IF(B758="","",IF(D758&lt;33.0,0,IF(D758&gt;=100*0.8,5,IF(D758&gt;=100*0.7,4,IF(D758&gt;=100*0.6,3.5,IF(D758&gt;=100*0.5,3,IF(D758&gt;=100*0.4,2,IF(D758&gt;=100*0.33,1,0))))))))</f>
        <v/>
      </c>
      <c r="W758">
        <f>IF(B758="","",IF(E758&lt;16.5,0,IF(E758&gt;=50*0.8,5,IF(E758&gt;=50*0.7,4,IF(E758&gt;=50*0.6,3.5,IF(E758&gt;=50*0.5,3,IF(E758&gt;=50*0.4,2,IF(E758&gt;=50*0.33,1,0))))))))</f>
        <v/>
      </c>
      <c r="X758">
        <f>IF(B758="","",IF(F758&lt;33.0,0,IF(F758&gt;=100*0.8,5,IF(F758&gt;=100*0.7,4,IF(F758&gt;=100*0.6,3.5,IF(F758&gt;=100*0.5,3,IF(F758&gt;=100*0.4,2,IF(F758&gt;=100*0.33,1,0))))))))</f>
        <v/>
      </c>
      <c r="Y758">
        <f>IF(B758="","",IF(G758&lt;16.5,0,IF(G758&gt;=50*0.8,5,IF(G758&gt;=50*0.7,4,IF(G758&gt;=50*0.6,3.5,IF(G758&gt;=50*0.5,3,IF(G758&gt;=50*0.4,2,IF(G758&gt;=50*0.33,1,0))))))))</f>
        <v/>
      </c>
      <c r="Z758">
        <f>IF(B758="","",IF(H758&lt;33.0,0,IF(H758&gt;=100*0.8,5,IF(H758&gt;=100*0.7,4,IF(H758&gt;=100*0.6,3.5,IF(H758&gt;=100*0.5,3,IF(H758&gt;=100*0.4,2,IF(H758&gt;=100*0.33,1,0))))))))</f>
        <v/>
      </c>
      <c r="AA758">
        <f>IF(B758="","",IF(I758&lt;33.0,0,IF(I758&gt;=100*0.8,5,IF(I758&gt;=100*0.7,4,IF(I758&gt;=100*0.6,3.5,IF(I758&gt;=100*0.5,3,IF(I758&gt;=100*0.4,2,IF(I758&gt;=100*0.33,1,0))))))))</f>
        <v/>
      </c>
      <c r="AB758">
        <f>IF(B758="","",IF(J758&lt;33.0,0,IF(J758&gt;=100*0.8,5,IF(J758&gt;=100*0.7,4,IF(J758&gt;=100*0.6,3.5,IF(J758&gt;=100*0.5,3,IF(J758&gt;=100*0.4,2,IF(J758&gt;=100*0.33,1,0))))))))</f>
        <v/>
      </c>
      <c r="AC758">
        <f>IF(B758="","",IF(K758&lt;33.0,0,IF(K758&gt;=100*0.8,5,IF(K758&gt;=100*0.7,4,IF(K758&gt;=100*0.6,3.5,IF(K758&gt;=100*0.5,3,IF(K758&gt;=100*0.4,2,IF(K758&gt;=100*0.33,1,0))))))))</f>
        <v/>
      </c>
      <c r="AD758">
        <f>IF(B758="","",IF(L758&lt;33.0,0,IF(L758&gt;=100*0.8,5,IF(L758&gt;=100*0.7,4,IF(L758&gt;=100*0.6,3.5,IF(L758&gt;=100*0.5,3,IF(L758&gt;=100*0.4,2,IF(L758&gt;=100*0.33,1,0))))))))</f>
        <v/>
      </c>
      <c r="AE758">
        <f>IF(B758="","",IF(M758&lt;33.0,0,IF(M758&gt;=100*0.8,5,IF(M758&gt;=100*0.7,4,IF(M758&gt;=100*0.6,3.5,IF(M758&gt;=100*0.5,3,IF(M758&gt;=100*0.4,2,IF(M758&gt;=100*0.33,1,0))))))))</f>
        <v/>
      </c>
      <c r="AF758">
        <f>IF(B758="","",IF(N758&lt;16.5,0,IF(N758&gt;=50*0.8,5,IF(N758&gt;=50*0.7,4,IF(N758&gt;=50*0.6,3.5,IF(N758&gt;=50*0.5,3,IF(N758&gt;=50*0.4,2,IF(N758&gt;=50*0.33,1,0))))))))</f>
        <v/>
      </c>
      <c r="AG758">
        <f>IF(B758="","",IF(O758&lt;33.0,0,IF(O758&gt;=100*0.8,5,IF(O758&gt;=100*0.7,4,IF(O758&gt;=100*0.6,3.5,IF(O758&gt;=100*0.5,3,IF(O758&gt;=100*0.4,2,IF(O758&gt;=100*0.33,1,0))))))))</f>
        <v/>
      </c>
      <c r="AH758">
        <f>IF(B758="","",IF(OR(U758=0,V758=0,W758=0,X758=0,Y758=0,Z758=0,AA758=0,AB758=0,AC758=0,AD758=0,AE758=0,AF758=0,AG758=0),1,0))</f>
        <v/>
      </c>
    </row>
    <row r="759">
      <c r="A759" s="3">
        <f>IF(B759="","",ROW()-2)</f>
        <v/>
      </c>
      <c r="P759" s="4">
        <f>IF(B759="","",SUM(C759:O759))</f>
        <v/>
      </c>
      <c r="Q759" s="5">
        <f>IF(B759="","",ROUND(P759/13,2))</f>
        <v/>
      </c>
      <c r="R759" s="5">
        <f>IF(B759="","",IF(AH759=1,0,MIN(5,ROUND((U759+V759+W759+X759+Y759+Z759+AA759+AB759+AC759+AD759+AE759+AF759+AG759)/13,2))))</f>
        <v/>
      </c>
      <c r="S759" s="3">
        <f>IF(B759="","",IF(R759&gt;=5,"A+",IF(R759&gt;=4,"A",IF(R759&gt;=3.5,"A-",IF(R759&gt;=3,"B",IF(R759&gt;=2,"C",IF(R759&gt;=1,"D","F")))))))</f>
        <v/>
      </c>
      <c r="T759" s="3">
        <f>IF(OR(B759="",S759="F"),"",COUNTIFS(P:P,"&gt;"&amp;P759,S:S,"&lt;&gt;F")+1)</f>
        <v/>
      </c>
      <c r="U759">
        <f>IF(B759="","",IF(C759&lt;33.0,0,IF(C759&gt;=100*0.8,5,IF(C759&gt;=100*0.7,4,IF(C759&gt;=100*0.6,3.5,IF(C759&gt;=100*0.5,3,IF(C759&gt;=100*0.4,2,IF(C759&gt;=100*0.33,1,0))))))))</f>
        <v/>
      </c>
      <c r="V759">
        <f>IF(B759="","",IF(D759&lt;33.0,0,IF(D759&gt;=100*0.8,5,IF(D759&gt;=100*0.7,4,IF(D759&gt;=100*0.6,3.5,IF(D759&gt;=100*0.5,3,IF(D759&gt;=100*0.4,2,IF(D759&gt;=100*0.33,1,0))))))))</f>
        <v/>
      </c>
      <c r="W759">
        <f>IF(B759="","",IF(E759&lt;16.5,0,IF(E759&gt;=50*0.8,5,IF(E759&gt;=50*0.7,4,IF(E759&gt;=50*0.6,3.5,IF(E759&gt;=50*0.5,3,IF(E759&gt;=50*0.4,2,IF(E759&gt;=50*0.33,1,0))))))))</f>
        <v/>
      </c>
      <c r="X759">
        <f>IF(B759="","",IF(F759&lt;33.0,0,IF(F759&gt;=100*0.8,5,IF(F759&gt;=100*0.7,4,IF(F759&gt;=100*0.6,3.5,IF(F759&gt;=100*0.5,3,IF(F759&gt;=100*0.4,2,IF(F759&gt;=100*0.33,1,0))))))))</f>
        <v/>
      </c>
      <c r="Y759">
        <f>IF(B759="","",IF(G759&lt;16.5,0,IF(G759&gt;=50*0.8,5,IF(G759&gt;=50*0.7,4,IF(G759&gt;=50*0.6,3.5,IF(G759&gt;=50*0.5,3,IF(G759&gt;=50*0.4,2,IF(G759&gt;=50*0.33,1,0))))))))</f>
        <v/>
      </c>
      <c r="Z759">
        <f>IF(B759="","",IF(H759&lt;33.0,0,IF(H759&gt;=100*0.8,5,IF(H759&gt;=100*0.7,4,IF(H759&gt;=100*0.6,3.5,IF(H759&gt;=100*0.5,3,IF(H759&gt;=100*0.4,2,IF(H759&gt;=100*0.33,1,0))))))))</f>
        <v/>
      </c>
      <c r="AA759">
        <f>IF(B759="","",IF(I759&lt;33.0,0,IF(I759&gt;=100*0.8,5,IF(I759&gt;=100*0.7,4,IF(I759&gt;=100*0.6,3.5,IF(I759&gt;=100*0.5,3,IF(I759&gt;=100*0.4,2,IF(I759&gt;=100*0.33,1,0))))))))</f>
        <v/>
      </c>
      <c r="AB759">
        <f>IF(B759="","",IF(J759&lt;33.0,0,IF(J759&gt;=100*0.8,5,IF(J759&gt;=100*0.7,4,IF(J759&gt;=100*0.6,3.5,IF(J759&gt;=100*0.5,3,IF(J759&gt;=100*0.4,2,IF(J759&gt;=100*0.33,1,0))))))))</f>
        <v/>
      </c>
      <c r="AC759">
        <f>IF(B759="","",IF(K759&lt;33.0,0,IF(K759&gt;=100*0.8,5,IF(K759&gt;=100*0.7,4,IF(K759&gt;=100*0.6,3.5,IF(K759&gt;=100*0.5,3,IF(K759&gt;=100*0.4,2,IF(K759&gt;=100*0.33,1,0))))))))</f>
        <v/>
      </c>
      <c r="AD759">
        <f>IF(B759="","",IF(L759&lt;33.0,0,IF(L759&gt;=100*0.8,5,IF(L759&gt;=100*0.7,4,IF(L759&gt;=100*0.6,3.5,IF(L759&gt;=100*0.5,3,IF(L759&gt;=100*0.4,2,IF(L759&gt;=100*0.33,1,0))))))))</f>
        <v/>
      </c>
      <c r="AE759">
        <f>IF(B759="","",IF(M759&lt;33.0,0,IF(M759&gt;=100*0.8,5,IF(M759&gt;=100*0.7,4,IF(M759&gt;=100*0.6,3.5,IF(M759&gt;=100*0.5,3,IF(M759&gt;=100*0.4,2,IF(M759&gt;=100*0.33,1,0))))))))</f>
        <v/>
      </c>
      <c r="AF759">
        <f>IF(B759="","",IF(N759&lt;16.5,0,IF(N759&gt;=50*0.8,5,IF(N759&gt;=50*0.7,4,IF(N759&gt;=50*0.6,3.5,IF(N759&gt;=50*0.5,3,IF(N759&gt;=50*0.4,2,IF(N759&gt;=50*0.33,1,0))))))))</f>
        <v/>
      </c>
      <c r="AG759">
        <f>IF(B759="","",IF(O759&lt;33.0,0,IF(O759&gt;=100*0.8,5,IF(O759&gt;=100*0.7,4,IF(O759&gt;=100*0.6,3.5,IF(O759&gt;=100*0.5,3,IF(O759&gt;=100*0.4,2,IF(O759&gt;=100*0.33,1,0))))))))</f>
        <v/>
      </c>
      <c r="AH759">
        <f>IF(B759="","",IF(OR(U759=0,V759=0,W759=0,X759=0,Y759=0,Z759=0,AA759=0,AB759=0,AC759=0,AD759=0,AE759=0,AF759=0,AG759=0),1,0))</f>
        <v/>
      </c>
    </row>
    <row r="760">
      <c r="A760" s="3">
        <f>IF(B760="","",ROW()-2)</f>
        <v/>
      </c>
      <c r="P760" s="4">
        <f>IF(B760="","",SUM(C760:O760))</f>
        <v/>
      </c>
      <c r="Q760" s="5">
        <f>IF(B760="","",ROUND(P760/13,2))</f>
        <v/>
      </c>
      <c r="R760" s="5">
        <f>IF(B760="","",IF(AH760=1,0,MIN(5,ROUND((U760+V760+W760+X760+Y760+Z760+AA760+AB760+AC760+AD760+AE760+AF760+AG760)/13,2))))</f>
        <v/>
      </c>
      <c r="S760" s="3">
        <f>IF(B760="","",IF(R760&gt;=5,"A+",IF(R760&gt;=4,"A",IF(R760&gt;=3.5,"A-",IF(R760&gt;=3,"B",IF(R760&gt;=2,"C",IF(R760&gt;=1,"D","F")))))))</f>
        <v/>
      </c>
      <c r="T760" s="3">
        <f>IF(OR(B760="",S760="F"),"",COUNTIFS(P:P,"&gt;"&amp;P760,S:S,"&lt;&gt;F")+1)</f>
        <v/>
      </c>
      <c r="U760">
        <f>IF(B760="","",IF(C760&lt;33.0,0,IF(C760&gt;=100*0.8,5,IF(C760&gt;=100*0.7,4,IF(C760&gt;=100*0.6,3.5,IF(C760&gt;=100*0.5,3,IF(C760&gt;=100*0.4,2,IF(C760&gt;=100*0.33,1,0))))))))</f>
        <v/>
      </c>
      <c r="V760">
        <f>IF(B760="","",IF(D760&lt;33.0,0,IF(D760&gt;=100*0.8,5,IF(D760&gt;=100*0.7,4,IF(D760&gt;=100*0.6,3.5,IF(D760&gt;=100*0.5,3,IF(D760&gt;=100*0.4,2,IF(D760&gt;=100*0.33,1,0))))))))</f>
        <v/>
      </c>
      <c r="W760">
        <f>IF(B760="","",IF(E760&lt;16.5,0,IF(E760&gt;=50*0.8,5,IF(E760&gt;=50*0.7,4,IF(E760&gt;=50*0.6,3.5,IF(E760&gt;=50*0.5,3,IF(E760&gt;=50*0.4,2,IF(E760&gt;=50*0.33,1,0))))))))</f>
        <v/>
      </c>
      <c r="X760">
        <f>IF(B760="","",IF(F760&lt;33.0,0,IF(F760&gt;=100*0.8,5,IF(F760&gt;=100*0.7,4,IF(F760&gt;=100*0.6,3.5,IF(F760&gt;=100*0.5,3,IF(F760&gt;=100*0.4,2,IF(F760&gt;=100*0.33,1,0))))))))</f>
        <v/>
      </c>
      <c r="Y760">
        <f>IF(B760="","",IF(G760&lt;16.5,0,IF(G760&gt;=50*0.8,5,IF(G760&gt;=50*0.7,4,IF(G760&gt;=50*0.6,3.5,IF(G760&gt;=50*0.5,3,IF(G760&gt;=50*0.4,2,IF(G760&gt;=50*0.33,1,0))))))))</f>
        <v/>
      </c>
      <c r="Z760">
        <f>IF(B760="","",IF(H760&lt;33.0,0,IF(H760&gt;=100*0.8,5,IF(H760&gt;=100*0.7,4,IF(H760&gt;=100*0.6,3.5,IF(H760&gt;=100*0.5,3,IF(H760&gt;=100*0.4,2,IF(H760&gt;=100*0.33,1,0))))))))</f>
        <v/>
      </c>
      <c r="AA760">
        <f>IF(B760="","",IF(I760&lt;33.0,0,IF(I760&gt;=100*0.8,5,IF(I760&gt;=100*0.7,4,IF(I760&gt;=100*0.6,3.5,IF(I760&gt;=100*0.5,3,IF(I760&gt;=100*0.4,2,IF(I760&gt;=100*0.33,1,0))))))))</f>
        <v/>
      </c>
      <c r="AB760">
        <f>IF(B760="","",IF(J760&lt;33.0,0,IF(J760&gt;=100*0.8,5,IF(J760&gt;=100*0.7,4,IF(J760&gt;=100*0.6,3.5,IF(J760&gt;=100*0.5,3,IF(J760&gt;=100*0.4,2,IF(J760&gt;=100*0.33,1,0))))))))</f>
        <v/>
      </c>
      <c r="AC760">
        <f>IF(B760="","",IF(K760&lt;33.0,0,IF(K760&gt;=100*0.8,5,IF(K760&gt;=100*0.7,4,IF(K760&gt;=100*0.6,3.5,IF(K760&gt;=100*0.5,3,IF(K760&gt;=100*0.4,2,IF(K760&gt;=100*0.33,1,0))))))))</f>
        <v/>
      </c>
      <c r="AD760">
        <f>IF(B760="","",IF(L760&lt;33.0,0,IF(L760&gt;=100*0.8,5,IF(L760&gt;=100*0.7,4,IF(L760&gt;=100*0.6,3.5,IF(L760&gt;=100*0.5,3,IF(L760&gt;=100*0.4,2,IF(L760&gt;=100*0.33,1,0))))))))</f>
        <v/>
      </c>
      <c r="AE760">
        <f>IF(B760="","",IF(M760&lt;33.0,0,IF(M760&gt;=100*0.8,5,IF(M760&gt;=100*0.7,4,IF(M760&gt;=100*0.6,3.5,IF(M760&gt;=100*0.5,3,IF(M760&gt;=100*0.4,2,IF(M760&gt;=100*0.33,1,0))))))))</f>
        <v/>
      </c>
      <c r="AF760">
        <f>IF(B760="","",IF(N760&lt;16.5,0,IF(N760&gt;=50*0.8,5,IF(N760&gt;=50*0.7,4,IF(N760&gt;=50*0.6,3.5,IF(N760&gt;=50*0.5,3,IF(N760&gt;=50*0.4,2,IF(N760&gt;=50*0.33,1,0))))))))</f>
        <v/>
      </c>
      <c r="AG760">
        <f>IF(B760="","",IF(O760&lt;33.0,0,IF(O760&gt;=100*0.8,5,IF(O760&gt;=100*0.7,4,IF(O760&gt;=100*0.6,3.5,IF(O760&gt;=100*0.5,3,IF(O760&gt;=100*0.4,2,IF(O760&gt;=100*0.33,1,0))))))))</f>
        <v/>
      </c>
      <c r="AH760">
        <f>IF(B760="","",IF(OR(U760=0,V760=0,W760=0,X760=0,Y760=0,Z760=0,AA760=0,AB760=0,AC760=0,AD760=0,AE760=0,AF760=0,AG760=0),1,0))</f>
        <v/>
      </c>
    </row>
    <row r="761">
      <c r="A761" s="3">
        <f>IF(B761="","",ROW()-2)</f>
        <v/>
      </c>
      <c r="P761" s="4">
        <f>IF(B761="","",SUM(C761:O761))</f>
        <v/>
      </c>
      <c r="Q761" s="5">
        <f>IF(B761="","",ROUND(P761/13,2))</f>
        <v/>
      </c>
      <c r="R761" s="5">
        <f>IF(B761="","",IF(AH761=1,0,MIN(5,ROUND((U761+V761+W761+X761+Y761+Z761+AA761+AB761+AC761+AD761+AE761+AF761+AG761)/13,2))))</f>
        <v/>
      </c>
      <c r="S761" s="3">
        <f>IF(B761="","",IF(R761&gt;=5,"A+",IF(R761&gt;=4,"A",IF(R761&gt;=3.5,"A-",IF(R761&gt;=3,"B",IF(R761&gt;=2,"C",IF(R761&gt;=1,"D","F")))))))</f>
        <v/>
      </c>
      <c r="T761" s="3">
        <f>IF(OR(B761="",S761="F"),"",COUNTIFS(P:P,"&gt;"&amp;P761,S:S,"&lt;&gt;F")+1)</f>
        <v/>
      </c>
      <c r="U761">
        <f>IF(B761="","",IF(C761&lt;33.0,0,IF(C761&gt;=100*0.8,5,IF(C761&gt;=100*0.7,4,IF(C761&gt;=100*0.6,3.5,IF(C761&gt;=100*0.5,3,IF(C761&gt;=100*0.4,2,IF(C761&gt;=100*0.33,1,0))))))))</f>
        <v/>
      </c>
      <c r="V761">
        <f>IF(B761="","",IF(D761&lt;33.0,0,IF(D761&gt;=100*0.8,5,IF(D761&gt;=100*0.7,4,IF(D761&gt;=100*0.6,3.5,IF(D761&gt;=100*0.5,3,IF(D761&gt;=100*0.4,2,IF(D761&gt;=100*0.33,1,0))))))))</f>
        <v/>
      </c>
      <c r="W761">
        <f>IF(B761="","",IF(E761&lt;16.5,0,IF(E761&gt;=50*0.8,5,IF(E761&gt;=50*0.7,4,IF(E761&gt;=50*0.6,3.5,IF(E761&gt;=50*0.5,3,IF(E761&gt;=50*0.4,2,IF(E761&gt;=50*0.33,1,0))))))))</f>
        <v/>
      </c>
      <c r="X761">
        <f>IF(B761="","",IF(F761&lt;33.0,0,IF(F761&gt;=100*0.8,5,IF(F761&gt;=100*0.7,4,IF(F761&gt;=100*0.6,3.5,IF(F761&gt;=100*0.5,3,IF(F761&gt;=100*0.4,2,IF(F761&gt;=100*0.33,1,0))))))))</f>
        <v/>
      </c>
      <c r="Y761">
        <f>IF(B761="","",IF(G761&lt;16.5,0,IF(G761&gt;=50*0.8,5,IF(G761&gt;=50*0.7,4,IF(G761&gt;=50*0.6,3.5,IF(G761&gt;=50*0.5,3,IF(G761&gt;=50*0.4,2,IF(G761&gt;=50*0.33,1,0))))))))</f>
        <v/>
      </c>
      <c r="Z761">
        <f>IF(B761="","",IF(H761&lt;33.0,0,IF(H761&gt;=100*0.8,5,IF(H761&gt;=100*0.7,4,IF(H761&gt;=100*0.6,3.5,IF(H761&gt;=100*0.5,3,IF(H761&gt;=100*0.4,2,IF(H761&gt;=100*0.33,1,0))))))))</f>
        <v/>
      </c>
      <c r="AA761">
        <f>IF(B761="","",IF(I761&lt;33.0,0,IF(I761&gt;=100*0.8,5,IF(I761&gt;=100*0.7,4,IF(I761&gt;=100*0.6,3.5,IF(I761&gt;=100*0.5,3,IF(I761&gt;=100*0.4,2,IF(I761&gt;=100*0.33,1,0))))))))</f>
        <v/>
      </c>
      <c r="AB761">
        <f>IF(B761="","",IF(J761&lt;33.0,0,IF(J761&gt;=100*0.8,5,IF(J761&gt;=100*0.7,4,IF(J761&gt;=100*0.6,3.5,IF(J761&gt;=100*0.5,3,IF(J761&gt;=100*0.4,2,IF(J761&gt;=100*0.33,1,0))))))))</f>
        <v/>
      </c>
      <c r="AC761">
        <f>IF(B761="","",IF(K761&lt;33.0,0,IF(K761&gt;=100*0.8,5,IF(K761&gt;=100*0.7,4,IF(K761&gt;=100*0.6,3.5,IF(K761&gt;=100*0.5,3,IF(K761&gt;=100*0.4,2,IF(K761&gt;=100*0.33,1,0))))))))</f>
        <v/>
      </c>
      <c r="AD761">
        <f>IF(B761="","",IF(L761&lt;33.0,0,IF(L761&gt;=100*0.8,5,IF(L761&gt;=100*0.7,4,IF(L761&gt;=100*0.6,3.5,IF(L761&gt;=100*0.5,3,IF(L761&gt;=100*0.4,2,IF(L761&gt;=100*0.33,1,0))))))))</f>
        <v/>
      </c>
      <c r="AE761">
        <f>IF(B761="","",IF(M761&lt;33.0,0,IF(M761&gt;=100*0.8,5,IF(M761&gt;=100*0.7,4,IF(M761&gt;=100*0.6,3.5,IF(M761&gt;=100*0.5,3,IF(M761&gt;=100*0.4,2,IF(M761&gt;=100*0.33,1,0))))))))</f>
        <v/>
      </c>
      <c r="AF761">
        <f>IF(B761="","",IF(N761&lt;16.5,0,IF(N761&gt;=50*0.8,5,IF(N761&gt;=50*0.7,4,IF(N761&gt;=50*0.6,3.5,IF(N761&gt;=50*0.5,3,IF(N761&gt;=50*0.4,2,IF(N761&gt;=50*0.33,1,0))))))))</f>
        <v/>
      </c>
      <c r="AG761">
        <f>IF(B761="","",IF(O761&lt;33.0,0,IF(O761&gt;=100*0.8,5,IF(O761&gt;=100*0.7,4,IF(O761&gt;=100*0.6,3.5,IF(O761&gt;=100*0.5,3,IF(O761&gt;=100*0.4,2,IF(O761&gt;=100*0.33,1,0))))))))</f>
        <v/>
      </c>
      <c r="AH761">
        <f>IF(B761="","",IF(OR(U761=0,V761=0,W761=0,X761=0,Y761=0,Z761=0,AA761=0,AB761=0,AC761=0,AD761=0,AE761=0,AF761=0,AG761=0),1,0))</f>
        <v/>
      </c>
    </row>
    <row r="762">
      <c r="A762" s="3">
        <f>IF(B762="","",ROW()-2)</f>
        <v/>
      </c>
      <c r="P762" s="4">
        <f>IF(B762="","",SUM(C762:O762))</f>
        <v/>
      </c>
      <c r="Q762" s="5">
        <f>IF(B762="","",ROUND(P762/13,2))</f>
        <v/>
      </c>
      <c r="R762" s="5">
        <f>IF(B762="","",IF(AH762=1,0,MIN(5,ROUND((U762+V762+W762+X762+Y762+Z762+AA762+AB762+AC762+AD762+AE762+AF762+AG762)/13,2))))</f>
        <v/>
      </c>
      <c r="S762" s="3">
        <f>IF(B762="","",IF(R762&gt;=5,"A+",IF(R762&gt;=4,"A",IF(R762&gt;=3.5,"A-",IF(R762&gt;=3,"B",IF(R762&gt;=2,"C",IF(R762&gt;=1,"D","F")))))))</f>
        <v/>
      </c>
      <c r="T762" s="3">
        <f>IF(OR(B762="",S762="F"),"",COUNTIFS(P:P,"&gt;"&amp;P762,S:S,"&lt;&gt;F")+1)</f>
        <v/>
      </c>
      <c r="U762">
        <f>IF(B762="","",IF(C762&lt;33.0,0,IF(C762&gt;=100*0.8,5,IF(C762&gt;=100*0.7,4,IF(C762&gt;=100*0.6,3.5,IF(C762&gt;=100*0.5,3,IF(C762&gt;=100*0.4,2,IF(C762&gt;=100*0.33,1,0))))))))</f>
        <v/>
      </c>
      <c r="V762">
        <f>IF(B762="","",IF(D762&lt;33.0,0,IF(D762&gt;=100*0.8,5,IF(D762&gt;=100*0.7,4,IF(D762&gt;=100*0.6,3.5,IF(D762&gt;=100*0.5,3,IF(D762&gt;=100*0.4,2,IF(D762&gt;=100*0.33,1,0))))))))</f>
        <v/>
      </c>
      <c r="W762">
        <f>IF(B762="","",IF(E762&lt;16.5,0,IF(E762&gt;=50*0.8,5,IF(E762&gt;=50*0.7,4,IF(E762&gt;=50*0.6,3.5,IF(E762&gt;=50*0.5,3,IF(E762&gt;=50*0.4,2,IF(E762&gt;=50*0.33,1,0))))))))</f>
        <v/>
      </c>
      <c r="X762">
        <f>IF(B762="","",IF(F762&lt;33.0,0,IF(F762&gt;=100*0.8,5,IF(F762&gt;=100*0.7,4,IF(F762&gt;=100*0.6,3.5,IF(F762&gt;=100*0.5,3,IF(F762&gt;=100*0.4,2,IF(F762&gt;=100*0.33,1,0))))))))</f>
        <v/>
      </c>
      <c r="Y762">
        <f>IF(B762="","",IF(G762&lt;16.5,0,IF(G762&gt;=50*0.8,5,IF(G762&gt;=50*0.7,4,IF(G762&gt;=50*0.6,3.5,IF(G762&gt;=50*0.5,3,IF(G762&gt;=50*0.4,2,IF(G762&gt;=50*0.33,1,0))))))))</f>
        <v/>
      </c>
      <c r="Z762">
        <f>IF(B762="","",IF(H762&lt;33.0,0,IF(H762&gt;=100*0.8,5,IF(H762&gt;=100*0.7,4,IF(H762&gt;=100*0.6,3.5,IF(H762&gt;=100*0.5,3,IF(H762&gt;=100*0.4,2,IF(H762&gt;=100*0.33,1,0))))))))</f>
        <v/>
      </c>
      <c r="AA762">
        <f>IF(B762="","",IF(I762&lt;33.0,0,IF(I762&gt;=100*0.8,5,IF(I762&gt;=100*0.7,4,IF(I762&gt;=100*0.6,3.5,IF(I762&gt;=100*0.5,3,IF(I762&gt;=100*0.4,2,IF(I762&gt;=100*0.33,1,0))))))))</f>
        <v/>
      </c>
      <c r="AB762">
        <f>IF(B762="","",IF(J762&lt;33.0,0,IF(J762&gt;=100*0.8,5,IF(J762&gt;=100*0.7,4,IF(J762&gt;=100*0.6,3.5,IF(J762&gt;=100*0.5,3,IF(J762&gt;=100*0.4,2,IF(J762&gt;=100*0.33,1,0))))))))</f>
        <v/>
      </c>
      <c r="AC762">
        <f>IF(B762="","",IF(K762&lt;33.0,0,IF(K762&gt;=100*0.8,5,IF(K762&gt;=100*0.7,4,IF(K762&gt;=100*0.6,3.5,IF(K762&gt;=100*0.5,3,IF(K762&gt;=100*0.4,2,IF(K762&gt;=100*0.33,1,0))))))))</f>
        <v/>
      </c>
      <c r="AD762">
        <f>IF(B762="","",IF(L762&lt;33.0,0,IF(L762&gt;=100*0.8,5,IF(L762&gt;=100*0.7,4,IF(L762&gt;=100*0.6,3.5,IF(L762&gt;=100*0.5,3,IF(L762&gt;=100*0.4,2,IF(L762&gt;=100*0.33,1,0))))))))</f>
        <v/>
      </c>
      <c r="AE762">
        <f>IF(B762="","",IF(M762&lt;33.0,0,IF(M762&gt;=100*0.8,5,IF(M762&gt;=100*0.7,4,IF(M762&gt;=100*0.6,3.5,IF(M762&gt;=100*0.5,3,IF(M762&gt;=100*0.4,2,IF(M762&gt;=100*0.33,1,0))))))))</f>
        <v/>
      </c>
      <c r="AF762">
        <f>IF(B762="","",IF(N762&lt;16.5,0,IF(N762&gt;=50*0.8,5,IF(N762&gt;=50*0.7,4,IF(N762&gt;=50*0.6,3.5,IF(N762&gt;=50*0.5,3,IF(N762&gt;=50*0.4,2,IF(N762&gt;=50*0.33,1,0))))))))</f>
        <v/>
      </c>
      <c r="AG762">
        <f>IF(B762="","",IF(O762&lt;33.0,0,IF(O762&gt;=100*0.8,5,IF(O762&gt;=100*0.7,4,IF(O762&gt;=100*0.6,3.5,IF(O762&gt;=100*0.5,3,IF(O762&gt;=100*0.4,2,IF(O762&gt;=100*0.33,1,0))))))))</f>
        <v/>
      </c>
      <c r="AH762">
        <f>IF(B762="","",IF(OR(U762=0,V762=0,W762=0,X762=0,Y762=0,Z762=0,AA762=0,AB762=0,AC762=0,AD762=0,AE762=0,AF762=0,AG762=0),1,0))</f>
        <v/>
      </c>
    </row>
    <row r="763">
      <c r="A763" s="3">
        <f>IF(B763="","",ROW()-2)</f>
        <v/>
      </c>
      <c r="P763" s="4">
        <f>IF(B763="","",SUM(C763:O763))</f>
        <v/>
      </c>
      <c r="Q763" s="5">
        <f>IF(B763="","",ROUND(P763/13,2))</f>
        <v/>
      </c>
      <c r="R763" s="5">
        <f>IF(B763="","",IF(AH763=1,0,MIN(5,ROUND((U763+V763+W763+X763+Y763+Z763+AA763+AB763+AC763+AD763+AE763+AF763+AG763)/13,2))))</f>
        <v/>
      </c>
      <c r="S763" s="3">
        <f>IF(B763="","",IF(R763&gt;=5,"A+",IF(R763&gt;=4,"A",IF(R763&gt;=3.5,"A-",IF(R763&gt;=3,"B",IF(R763&gt;=2,"C",IF(R763&gt;=1,"D","F")))))))</f>
        <v/>
      </c>
      <c r="T763" s="3">
        <f>IF(OR(B763="",S763="F"),"",COUNTIFS(P:P,"&gt;"&amp;P763,S:S,"&lt;&gt;F")+1)</f>
        <v/>
      </c>
      <c r="U763">
        <f>IF(B763="","",IF(C763&lt;33.0,0,IF(C763&gt;=100*0.8,5,IF(C763&gt;=100*0.7,4,IF(C763&gt;=100*0.6,3.5,IF(C763&gt;=100*0.5,3,IF(C763&gt;=100*0.4,2,IF(C763&gt;=100*0.33,1,0))))))))</f>
        <v/>
      </c>
      <c r="V763">
        <f>IF(B763="","",IF(D763&lt;33.0,0,IF(D763&gt;=100*0.8,5,IF(D763&gt;=100*0.7,4,IF(D763&gt;=100*0.6,3.5,IF(D763&gt;=100*0.5,3,IF(D763&gt;=100*0.4,2,IF(D763&gt;=100*0.33,1,0))))))))</f>
        <v/>
      </c>
      <c r="W763">
        <f>IF(B763="","",IF(E763&lt;16.5,0,IF(E763&gt;=50*0.8,5,IF(E763&gt;=50*0.7,4,IF(E763&gt;=50*0.6,3.5,IF(E763&gt;=50*0.5,3,IF(E763&gt;=50*0.4,2,IF(E763&gt;=50*0.33,1,0))))))))</f>
        <v/>
      </c>
      <c r="X763">
        <f>IF(B763="","",IF(F763&lt;33.0,0,IF(F763&gt;=100*0.8,5,IF(F763&gt;=100*0.7,4,IF(F763&gt;=100*0.6,3.5,IF(F763&gt;=100*0.5,3,IF(F763&gt;=100*0.4,2,IF(F763&gt;=100*0.33,1,0))))))))</f>
        <v/>
      </c>
      <c r="Y763">
        <f>IF(B763="","",IF(G763&lt;16.5,0,IF(G763&gt;=50*0.8,5,IF(G763&gt;=50*0.7,4,IF(G763&gt;=50*0.6,3.5,IF(G763&gt;=50*0.5,3,IF(G763&gt;=50*0.4,2,IF(G763&gt;=50*0.33,1,0))))))))</f>
        <v/>
      </c>
      <c r="Z763">
        <f>IF(B763="","",IF(H763&lt;33.0,0,IF(H763&gt;=100*0.8,5,IF(H763&gt;=100*0.7,4,IF(H763&gt;=100*0.6,3.5,IF(H763&gt;=100*0.5,3,IF(H763&gt;=100*0.4,2,IF(H763&gt;=100*0.33,1,0))))))))</f>
        <v/>
      </c>
      <c r="AA763">
        <f>IF(B763="","",IF(I763&lt;33.0,0,IF(I763&gt;=100*0.8,5,IF(I763&gt;=100*0.7,4,IF(I763&gt;=100*0.6,3.5,IF(I763&gt;=100*0.5,3,IF(I763&gt;=100*0.4,2,IF(I763&gt;=100*0.33,1,0))))))))</f>
        <v/>
      </c>
      <c r="AB763">
        <f>IF(B763="","",IF(J763&lt;33.0,0,IF(J763&gt;=100*0.8,5,IF(J763&gt;=100*0.7,4,IF(J763&gt;=100*0.6,3.5,IF(J763&gt;=100*0.5,3,IF(J763&gt;=100*0.4,2,IF(J763&gt;=100*0.33,1,0))))))))</f>
        <v/>
      </c>
      <c r="AC763">
        <f>IF(B763="","",IF(K763&lt;33.0,0,IF(K763&gt;=100*0.8,5,IF(K763&gt;=100*0.7,4,IF(K763&gt;=100*0.6,3.5,IF(K763&gt;=100*0.5,3,IF(K763&gt;=100*0.4,2,IF(K763&gt;=100*0.33,1,0))))))))</f>
        <v/>
      </c>
      <c r="AD763">
        <f>IF(B763="","",IF(L763&lt;33.0,0,IF(L763&gt;=100*0.8,5,IF(L763&gt;=100*0.7,4,IF(L763&gt;=100*0.6,3.5,IF(L763&gt;=100*0.5,3,IF(L763&gt;=100*0.4,2,IF(L763&gt;=100*0.33,1,0))))))))</f>
        <v/>
      </c>
      <c r="AE763">
        <f>IF(B763="","",IF(M763&lt;33.0,0,IF(M763&gt;=100*0.8,5,IF(M763&gt;=100*0.7,4,IF(M763&gt;=100*0.6,3.5,IF(M763&gt;=100*0.5,3,IF(M763&gt;=100*0.4,2,IF(M763&gt;=100*0.33,1,0))))))))</f>
        <v/>
      </c>
      <c r="AF763">
        <f>IF(B763="","",IF(N763&lt;16.5,0,IF(N763&gt;=50*0.8,5,IF(N763&gt;=50*0.7,4,IF(N763&gt;=50*0.6,3.5,IF(N763&gt;=50*0.5,3,IF(N763&gt;=50*0.4,2,IF(N763&gt;=50*0.33,1,0))))))))</f>
        <v/>
      </c>
      <c r="AG763">
        <f>IF(B763="","",IF(O763&lt;33.0,0,IF(O763&gt;=100*0.8,5,IF(O763&gt;=100*0.7,4,IF(O763&gt;=100*0.6,3.5,IF(O763&gt;=100*0.5,3,IF(O763&gt;=100*0.4,2,IF(O763&gt;=100*0.33,1,0))))))))</f>
        <v/>
      </c>
      <c r="AH763">
        <f>IF(B763="","",IF(OR(U763=0,V763=0,W763=0,X763=0,Y763=0,Z763=0,AA763=0,AB763=0,AC763=0,AD763=0,AE763=0,AF763=0,AG763=0),1,0))</f>
        <v/>
      </c>
    </row>
    <row r="764">
      <c r="A764" s="3">
        <f>IF(B764="","",ROW()-2)</f>
        <v/>
      </c>
      <c r="P764" s="4">
        <f>IF(B764="","",SUM(C764:O764))</f>
        <v/>
      </c>
      <c r="Q764" s="5">
        <f>IF(B764="","",ROUND(P764/13,2))</f>
        <v/>
      </c>
      <c r="R764" s="5">
        <f>IF(B764="","",IF(AH764=1,0,MIN(5,ROUND((U764+V764+W764+X764+Y764+Z764+AA764+AB764+AC764+AD764+AE764+AF764+AG764)/13,2))))</f>
        <v/>
      </c>
      <c r="S764" s="3">
        <f>IF(B764="","",IF(R764&gt;=5,"A+",IF(R764&gt;=4,"A",IF(R764&gt;=3.5,"A-",IF(R764&gt;=3,"B",IF(R764&gt;=2,"C",IF(R764&gt;=1,"D","F")))))))</f>
        <v/>
      </c>
      <c r="T764" s="3">
        <f>IF(OR(B764="",S764="F"),"",COUNTIFS(P:P,"&gt;"&amp;P764,S:S,"&lt;&gt;F")+1)</f>
        <v/>
      </c>
      <c r="U764">
        <f>IF(B764="","",IF(C764&lt;33.0,0,IF(C764&gt;=100*0.8,5,IF(C764&gt;=100*0.7,4,IF(C764&gt;=100*0.6,3.5,IF(C764&gt;=100*0.5,3,IF(C764&gt;=100*0.4,2,IF(C764&gt;=100*0.33,1,0))))))))</f>
        <v/>
      </c>
      <c r="V764">
        <f>IF(B764="","",IF(D764&lt;33.0,0,IF(D764&gt;=100*0.8,5,IF(D764&gt;=100*0.7,4,IF(D764&gt;=100*0.6,3.5,IF(D764&gt;=100*0.5,3,IF(D764&gt;=100*0.4,2,IF(D764&gt;=100*0.33,1,0))))))))</f>
        <v/>
      </c>
      <c r="W764">
        <f>IF(B764="","",IF(E764&lt;16.5,0,IF(E764&gt;=50*0.8,5,IF(E764&gt;=50*0.7,4,IF(E764&gt;=50*0.6,3.5,IF(E764&gt;=50*0.5,3,IF(E764&gt;=50*0.4,2,IF(E764&gt;=50*0.33,1,0))))))))</f>
        <v/>
      </c>
      <c r="X764">
        <f>IF(B764="","",IF(F764&lt;33.0,0,IF(F764&gt;=100*0.8,5,IF(F764&gt;=100*0.7,4,IF(F764&gt;=100*0.6,3.5,IF(F764&gt;=100*0.5,3,IF(F764&gt;=100*0.4,2,IF(F764&gt;=100*0.33,1,0))))))))</f>
        <v/>
      </c>
      <c r="Y764">
        <f>IF(B764="","",IF(G764&lt;16.5,0,IF(G764&gt;=50*0.8,5,IF(G764&gt;=50*0.7,4,IF(G764&gt;=50*0.6,3.5,IF(G764&gt;=50*0.5,3,IF(G764&gt;=50*0.4,2,IF(G764&gt;=50*0.33,1,0))))))))</f>
        <v/>
      </c>
      <c r="Z764">
        <f>IF(B764="","",IF(H764&lt;33.0,0,IF(H764&gt;=100*0.8,5,IF(H764&gt;=100*0.7,4,IF(H764&gt;=100*0.6,3.5,IF(H764&gt;=100*0.5,3,IF(H764&gt;=100*0.4,2,IF(H764&gt;=100*0.33,1,0))))))))</f>
        <v/>
      </c>
      <c r="AA764">
        <f>IF(B764="","",IF(I764&lt;33.0,0,IF(I764&gt;=100*0.8,5,IF(I764&gt;=100*0.7,4,IF(I764&gt;=100*0.6,3.5,IF(I764&gt;=100*0.5,3,IF(I764&gt;=100*0.4,2,IF(I764&gt;=100*0.33,1,0))))))))</f>
        <v/>
      </c>
      <c r="AB764">
        <f>IF(B764="","",IF(J764&lt;33.0,0,IF(J764&gt;=100*0.8,5,IF(J764&gt;=100*0.7,4,IF(J764&gt;=100*0.6,3.5,IF(J764&gt;=100*0.5,3,IF(J764&gt;=100*0.4,2,IF(J764&gt;=100*0.33,1,0))))))))</f>
        <v/>
      </c>
      <c r="AC764">
        <f>IF(B764="","",IF(K764&lt;33.0,0,IF(K764&gt;=100*0.8,5,IF(K764&gt;=100*0.7,4,IF(K764&gt;=100*0.6,3.5,IF(K764&gt;=100*0.5,3,IF(K764&gt;=100*0.4,2,IF(K764&gt;=100*0.33,1,0))))))))</f>
        <v/>
      </c>
      <c r="AD764">
        <f>IF(B764="","",IF(L764&lt;33.0,0,IF(L764&gt;=100*0.8,5,IF(L764&gt;=100*0.7,4,IF(L764&gt;=100*0.6,3.5,IF(L764&gt;=100*0.5,3,IF(L764&gt;=100*0.4,2,IF(L764&gt;=100*0.33,1,0))))))))</f>
        <v/>
      </c>
      <c r="AE764">
        <f>IF(B764="","",IF(M764&lt;33.0,0,IF(M764&gt;=100*0.8,5,IF(M764&gt;=100*0.7,4,IF(M764&gt;=100*0.6,3.5,IF(M764&gt;=100*0.5,3,IF(M764&gt;=100*0.4,2,IF(M764&gt;=100*0.33,1,0))))))))</f>
        <v/>
      </c>
      <c r="AF764">
        <f>IF(B764="","",IF(N764&lt;16.5,0,IF(N764&gt;=50*0.8,5,IF(N764&gt;=50*0.7,4,IF(N764&gt;=50*0.6,3.5,IF(N764&gt;=50*0.5,3,IF(N764&gt;=50*0.4,2,IF(N764&gt;=50*0.33,1,0))))))))</f>
        <v/>
      </c>
      <c r="AG764">
        <f>IF(B764="","",IF(O764&lt;33.0,0,IF(O764&gt;=100*0.8,5,IF(O764&gt;=100*0.7,4,IF(O764&gt;=100*0.6,3.5,IF(O764&gt;=100*0.5,3,IF(O764&gt;=100*0.4,2,IF(O764&gt;=100*0.33,1,0))))))))</f>
        <v/>
      </c>
      <c r="AH764">
        <f>IF(B764="","",IF(OR(U764=0,V764=0,W764=0,X764=0,Y764=0,Z764=0,AA764=0,AB764=0,AC764=0,AD764=0,AE764=0,AF764=0,AG764=0),1,0))</f>
        <v/>
      </c>
    </row>
    <row r="765">
      <c r="A765" s="3">
        <f>IF(B765="","",ROW()-2)</f>
        <v/>
      </c>
      <c r="P765" s="4">
        <f>IF(B765="","",SUM(C765:O765))</f>
        <v/>
      </c>
      <c r="Q765" s="5">
        <f>IF(B765="","",ROUND(P765/13,2))</f>
        <v/>
      </c>
      <c r="R765" s="5">
        <f>IF(B765="","",IF(AH765=1,0,MIN(5,ROUND((U765+V765+W765+X765+Y765+Z765+AA765+AB765+AC765+AD765+AE765+AF765+AG765)/13,2))))</f>
        <v/>
      </c>
      <c r="S765" s="3">
        <f>IF(B765="","",IF(R765&gt;=5,"A+",IF(R765&gt;=4,"A",IF(R765&gt;=3.5,"A-",IF(R765&gt;=3,"B",IF(R765&gt;=2,"C",IF(R765&gt;=1,"D","F")))))))</f>
        <v/>
      </c>
      <c r="T765" s="3">
        <f>IF(OR(B765="",S765="F"),"",COUNTIFS(P:P,"&gt;"&amp;P765,S:S,"&lt;&gt;F")+1)</f>
        <v/>
      </c>
      <c r="U765">
        <f>IF(B765="","",IF(C765&lt;33.0,0,IF(C765&gt;=100*0.8,5,IF(C765&gt;=100*0.7,4,IF(C765&gt;=100*0.6,3.5,IF(C765&gt;=100*0.5,3,IF(C765&gt;=100*0.4,2,IF(C765&gt;=100*0.33,1,0))))))))</f>
        <v/>
      </c>
      <c r="V765">
        <f>IF(B765="","",IF(D765&lt;33.0,0,IF(D765&gt;=100*0.8,5,IF(D765&gt;=100*0.7,4,IF(D765&gt;=100*0.6,3.5,IF(D765&gt;=100*0.5,3,IF(D765&gt;=100*0.4,2,IF(D765&gt;=100*0.33,1,0))))))))</f>
        <v/>
      </c>
      <c r="W765">
        <f>IF(B765="","",IF(E765&lt;16.5,0,IF(E765&gt;=50*0.8,5,IF(E765&gt;=50*0.7,4,IF(E765&gt;=50*0.6,3.5,IF(E765&gt;=50*0.5,3,IF(E765&gt;=50*0.4,2,IF(E765&gt;=50*0.33,1,0))))))))</f>
        <v/>
      </c>
      <c r="X765">
        <f>IF(B765="","",IF(F765&lt;33.0,0,IF(F765&gt;=100*0.8,5,IF(F765&gt;=100*0.7,4,IF(F765&gt;=100*0.6,3.5,IF(F765&gt;=100*0.5,3,IF(F765&gt;=100*0.4,2,IF(F765&gt;=100*0.33,1,0))))))))</f>
        <v/>
      </c>
      <c r="Y765">
        <f>IF(B765="","",IF(G765&lt;16.5,0,IF(G765&gt;=50*0.8,5,IF(G765&gt;=50*0.7,4,IF(G765&gt;=50*0.6,3.5,IF(G765&gt;=50*0.5,3,IF(G765&gt;=50*0.4,2,IF(G765&gt;=50*0.33,1,0))))))))</f>
        <v/>
      </c>
      <c r="Z765">
        <f>IF(B765="","",IF(H765&lt;33.0,0,IF(H765&gt;=100*0.8,5,IF(H765&gt;=100*0.7,4,IF(H765&gt;=100*0.6,3.5,IF(H765&gt;=100*0.5,3,IF(H765&gt;=100*0.4,2,IF(H765&gt;=100*0.33,1,0))))))))</f>
        <v/>
      </c>
      <c r="AA765">
        <f>IF(B765="","",IF(I765&lt;33.0,0,IF(I765&gt;=100*0.8,5,IF(I765&gt;=100*0.7,4,IF(I765&gt;=100*0.6,3.5,IF(I765&gt;=100*0.5,3,IF(I765&gt;=100*0.4,2,IF(I765&gt;=100*0.33,1,0))))))))</f>
        <v/>
      </c>
      <c r="AB765">
        <f>IF(B765="","",IF(J765&lt;33.0,0,IF(J765&gt;=100*0.8,5,IF(J765&gt;=100*0.7,4,IF(J765&gt;=100*0.6,3.5,IF(J765&gt;=100*0.5,3,IF(J765&gt;=100*0.4,2,IF(J765&gt;=100*0.33,1,0))))))))</f>
        <v/>
      </c>
      <c r="AC765">
        <f>IF(B765="","",IF(K765&lt;33.0,0,IF(K765&gt;=100*0.8,5,IF(K765&gt;=100*0.7,4,IF(K765&gt;=100*0.6,3.5,IF(K765&gt;=100*0.5,3,IF(K765&gt;=100*0.4,2,IF(K765&gt;=100*0.33,1,0))))))))</f>
        <v/>
      </c>
      <c r="AD765">
        <f>IF(B765="","",IF(L765&lt;33.0,0,IF(L765&gt;=100*0.8,5,IF(L765&gt;=100*0.7,4,IF(L765&gt;=100*0.6,3.5,IF(L765&gt;=100*0.5,3,IF(L765&gt;=100*0.4,2,IF(L765&gt;=100*0.33,1,0))))))))</f>
        <v/>
      </c>
      <c r="AE765">
        <f>IF(B765="","",IF(M765&lt;33.0,0,IF(M765&gt;=100*0.8,5,IF(M765&gt;=100*0.7,4,IF(M765&gt;=100*0.6,3.5,IF(M765&gt;=100*0.5,3,IF(M765&gt;=100*0.4,2,IF(M765&gt;=100*0.33,1,0))))))))</f>
        <v/>
      </c>
      <c r="AF765">
        <f>IF(B765="","",IF(N765&lt;16.5,0,IF(N765&gt;=50*0.8,5,IF(N765&gt;=50*0.7,4,IF(N765&gt;=50*0.6,3.5,IF(N765&gt;=50*0.5,3,IF(N765&gt;=50*0.4,2,IF(N765&gt;=50*0.33,1,0))))))))</f>
        <v/>
      </c>
      <c r="AG765">
        <f>IF(B765="","",IF(O765&lt;33.0,0,IF(O765&gt;=100*0.8,5,IF(O765&gt;=100*0.7,4,IF(O765&gt;=100*0.6,3.5,IF(O765&gt;=100*0.5,3,IF(O765&gt;=100*0.4,2,IF(O765&gt;=100*0.33,1,0))))))))</f>
        <v/>
      </c>
      <c r="AH765">
        <f>IF(B765="","",IF(OR(U765=0,V765=0,W765=0,X765=0,Y765=0,Z765=0,AA765=0,AB765=0,AC765=0,AD765=0,AE765=0,AF765=0,AG765=0),1,0))</f>
        <v/>
      </c>
    </row>
    <row r="766">
      <c r="A766" s="3">
        <f>IF(B766="","",ROW()-2)</f>
        <v/>
      </c>
      <c r="P766" s="4">
        <f>IF(B766="","",SUM(C766:O766))</f>
        <v/>
      </c>
      <c r="Q766" s="5">
        <f>IF(B766="","",ROUND(P766/13,2))</f>
        <v/>
      </c>
      <c r="R766" s="5">
        <f>IF(B766="","",IF(AH766=1,0,MIN(5,ROUND((U766+V766+W766+X766+Y766+Z766+AA766+AB766+AC766+AD766+AE766+AF766+AG766)/13,2))))</f>
        <v/>
      </c>
      <c r="S766" s="3">
        <f>IF(B766="","",IF(R766&gt;=5,"A+",IF(R766&gt;=4,"A",IF(R766&gt;=3.5,"A-",IF(R766&gt;=3,"B",IF(R766&gt;=2,"C",IF(R766&gt;=1,"D","F")))))))</f>
        <v/>
      </c>
      <c r="T766" s="3">
        <f>IF(OR(B766="",S766="F"),"",COUNTIFS(P:P,"&gt;"&amp;P766,S:S,"&lt;&gt;F")+1)</f>
        <v/>
      </c>
      <c r="U766">
        <f>IF(B766="","",IF(C766&lt;33.0,0,IF(C766&gt;=100*0.8,5,IF(C766&gt;=100*0.7,4,IF(C766&gt;=100*0.6,3.5,IF(C766&gt;=100*0.5,3,IF(C766&gt;=100*0.4,2,IF(C766&gt;=100*0.33,1,0))))))))</f>
        <v/>
      </c>
      <c r="V766">
        <f>IF(B766="","",IF(D766&lt;33.0,0,IF(D766&gt;=100*0.8,5,IF(D766&gt;=100*0.7,4,IF(D766&gt;=100*0.6,3.5,IF(D766&gt;=100*0.5,3,IF(D766&gt;=100*0.4,2,IF(D766&gt;=100*0.33,1,0))))))))</f>
        <v/>
      </c>
      <c r="W766">
        <f>IF(B766="","",IF(E766&lt;16.5,0,IF(E766&gt;=50*0.8,5,IF(E766&gt;=50*0.7,4,IF(E766&gt;=50*0.6,3.5,IF(E766&gt;=50*0.5,3,IF(E766&gt;=50*0.4,2,IF(E766&gt;=50*0.33,1,0))))))))</f>
        <v/>
      </c>
      <c r="X766">
        <f>IF(B766="","",IF(F766&lt;33.0,0,IF(F766&gt;=100*0.8,5,IF(F766&gt;=100*0.7,4,IF(F766&gt;=100*0.6,3.5,IF(F766&gt;=100*0.5,3,IF(F766&gt;=100*0.4,2,IF(F766&gt;=100*0.33,1,0))))))))</f>
        <v/>
      </c>
      <c r="Y766">
        <f>IF(B766="","",IF(G766&lt;16.5,0,IF(G766&gt;=50*0.8,5,IF(G766&gt;=50*0.7,4,IF(G766&gt;=50*0.6,3.5,IF(G766&gt;=50*0.5,3,IF(G766&gt;=50*0.4,2,IF(G766&gt;=50*0.33,1,0))))))))</f>
        <v/>
      </c>
      <c r="Z766">
        <f>IF(B766="","",IF(H766&lt;33.0,0,IF(H766&gt;=100*0.8,5,IF(H766&gt;=100*0.7,4,IF(H766&gt;=100*0.6,3.5,IF(H766&gt;=100*0.5,3,IF(H766&gt;=100*0.4,2,IF(H766&gt;=100*0.33,1,0))))))))</f>
        <v/>
      </c>
      <c r="AA766">
        <f>IF(B766="","",IF(I766&lt;33.0,0,IF(I766&gt;=100*0.8,5,IF(I766&gt;=100*0.7,4,IF(I766&gt;=100*0.6,3.5,IF(I766&gt;=100*0.5,3,IF(I766&gt;=100*0.4,2,IF(I766&gt;=100*0.33,1,0))))))))</f>
        <v/>
      </c>
      <c r="AB766">
        <f>IF(B766="","",IF(J766&lt;33.0,0,IF(J766&gt;=100*0.8,5,IF(J766&gt;=100*0.7,4,IF(J766&gt;=100*0.6,3.5,IF(J766&gt;=100*0.5,3,IF(J766&gt;=100*0.4,2,IF(J766&gt;=100*0.33,1,0))))))))</f>
        <v/>
      </c>
      <c r="AC766">
        <f>IF(B766="","",IF(K766&lt;33.0,0,IF(K766&gt;=100*0.8,5,IF(K766&gt;=100*0.7,4,IF(K766&gt;=100*0.6,3.5,IF(K766&gt;=100*0.5,3,IF(K766&gt;=100*0.4,2,IF(K766&gt;=100*0.33,1,0))))))))</f>
        <v/>
      </c>
      <c r="AD766">
        <f>IF(B766="","",IF(L766&lt;33.0,0,IF(L766&gt;=100*0.8,5,IF(L766&gt;=100*0.7,4,IF(L766&gt;=100*0.6,3.5,IF(L766&gt;=100*0.5,3,IF(L766&gt;=100*0.4,2,IF(L766&gt;=100*0.33,1,0))))))))</f>
        <v/>
      </c>
      <c r="AE766">
        <f>IF(B766="","",IF(M766&lt;33.0,0,IF(M766&gt;=100*0.8,5,IF(M766&gt;=100*0.7,4,IF(M766&gt;=100*0.6,3.5,IF(M766&gt;=100*0.5,3,IF(M766&gt;=100*0.4,2,IF(M766&gt;=100*0.33,1,0))))))))</f>
        <v/>
      </c>
      <c r="AF766">
        <f>IF(B766="","",IF(N766&lt;16.5,0,IF(N766&gt;=50*0.8,5,IF(N766&gt;=50*0.7,4,IF(N766&gt;=50*0.6,3.5,IF(N766&gt;=50*0.5,3,IF(N766&gt;=50*0.4,2,IF(N766&gt;=50*0.33,1,0))))))))</f>
        <v/>
      </c>
      <c r="AG766">
        <f>IF(B766="","",IF(O766&lt;33.0,0,IF(O766&gt;=100*0.8,5,IF(O766&gt;=100*0.7,4,IF(O766&gt;=100*0.6,3.5,IF(O766&gt;=100*0.5,3,IF(O766&gt;=100*0.4,2,IF(O766&gt;=100*0.33,1,0))))))))</f>
        <v/>
      </c>
      <c r="AH766">
        <f>IF(B766="","",IF(OR(U766=0,V766=0,W766=0,X766=0,Y766=0,Z766=0,AA766=0,AB766=0,AC766=0,AD766=0,AE766=0,AF766=0,AG766=0),1,0))</f>
        <v/>
      </c>
    </row>
    <row r="767">
      <c r="A767" s="3">
        <f>IF(B767="","",ROW()-2)</f>
        <v/>
      </c>
      <c r="P767" s="4">
        <f>IF(B767="","",SUM(C767:O767))</f>
        <v/>
      </c>
      <c r="Q767" s="5">
        <f>IF(B767="","",ROUND(P767/13,2))</f>
        <v/>
      </c>
      <c r="R767" s="5">
        <f>IF(B767="","",IF(AH767=1,0,MIN(5,ROUND((U767+V767+W767+X767+Y767+Z767+AA767+AB767+AC767+AD767+AE767+AF767+AG767)/13,2))))</f>
        <v/>
      </c>
      <c r="S767" s="3">
        <f>IF(B767="","",IF(R767&gt;=5,"A+",IF(R767&gt;=4,"A",IF(R767&gt;=3.5,"A-",IF(R767&gt;=3,"B",IF(R767&gt;=2,"C",IF(R767&gt;=1,"D","F")))))))</f>
        <v/>
      </c>
      <c r="T767" s="3">
        <f>IF(OR(B767="",S767="F"),"",COUNTIFS(P:P,"&gt;"&amp;P767,S:S,"&lt;&gt;F")+1)</f>
        <v/>
      </c>
      <c r="U767">
        <f>IF(B767="","",IF(C767&lt;33.0,0,IF(C767&gt;=100*0.8,5,IF(C767&gt;=100*0.7,4,IF(C767&gt;=100*0.6,3.5,IF(C767&gt;=100*0.5,3,IF(C767&gt;=100*0.4,2,IF(C767&gt;=100*0.33,1,0))))))))</f>
        <v/>
      </c>
      <c r="V767">
        <f>IF(B767="","",IF(D767&lt;33.0,0,IF(D767&gt;=100*0.8,5,IF(D767&gt;=100*0.7,4,IF(D767&gt;=100*0.6,3.5,IF(D767&gt;=100*0.5,3,IF(D767&gt;=100*0.4,2,IF(D767&gt;=100*0.33,1,0))))))))</f>
        <v/>
      </c>
      <c r="W767">
        <f>IF(B767="","",IF(E767&lt;16.5,0,IF(E767&gt;=50*0.8,5,IF(E767&gt;=50*0.7,4,IF(E767&gt;=50*0.6,3.5,IF(E767&gt;=50*0.5,3,IF(E767&gt;=50*0.4,2,IF(E767&gt;=50*0.33,1,0))))))))</f>
        <v/>
      </c>
      <c r="X767">
        <f>IF(B767="","",IF(F767&lt;33.0,0,IF(F767&gt;=100*0.8,5,IF(F767&gt;=100*0.7,4,IF(F767&gt;=100*0.6,3.5,IF(F767&gt;=100*0.5,3,IF(F767&gt;=100*0.4,2,IF(F767&gt;=100*0.33,1,0))))))))</f>
        <v/>
      </c>
      <c r="Y767">
        <f>IF(B767="","",IF(G767&lt;16.5,0,IF(G767&gt;=50*0.8,5,IF(G767&gt;=50*0.7,4,IF(G767&gt;=50*0.6,3.5,IF(G767&gt;=50*0.5,3,IF(G767&gt;=50*0.4,2,IF(G767&gt;=50*0.33,1,0))))))))</f>
        <v/>
      </c>
      <c r="Z767">
        <f>IF(B767="","",IF(H767&lt;33.0,0,IF(H767&gt;=100*0.8,5,IF(H767&gt;=100*0.7,4,IF(H767&gt;=100*0.6,3.5,IF(H767&gt;=100*0.5,3,IF(H767&gt;=100*0.4,2,IF(H767&gt;=100*0.33,1,0))))))))</f>
        <v/>
      </c>
      <c r="AA767">
        <f>IF(B767="","",IF(I767&lt;33.0,0,IF(I767&gt;=100*0.8,5,IF(I767&gt;=100*0.7,4,IF(I767&gt;=100*0.6,3.5,IF(I767&gt;=100*0.5,3,IF(I767&gt;=100*0.4,2,IF(I767&gt;=100*0.33,1,0))))))))</f>
        <v/>
      </c>
      <c r="AB767">
        <f>IF(B767="","",IF(J767&lt;33.0,0,IF(J767&gt;=100*0.8,5,IF(J767&gt;=100*0.7,4,IF(J767&gt;=100*0.6,3.5,IF(J767&gt;=100*0.5,3,IF(J767&gt;=100*0.4,2,IF(J767&gt;=100*0.33,1,0))))))))</f>
        <v/>
      </c>
      <c r="AC767">
        <f>IF(B767="","",IF(K767&lt;33.0,0,IF(K767&gt;=100*0.8,5,IF(K767&gt;=100*0.7,4,IF(K767&gt;=100*0.6,3.5,IF(K767&gt;=100*0.5,3,IF(K767&gt;=100*0.4,2,IF(K767&gt;=100*0.33,1,0))))))))</f>
        <v/>
      </c>
      <c r="AD767">
        <f>IF(B767="","",IF(L767&lt;33.0,0,IF(L767&gt;=100*0.8,5,IF(L767&gt;=100*0.7,4,IF(L767&gt;=100*0.6,3.5,IF(L767&gt;=100*0.5,3,IF(L767&gt;=100*0.4,2,IF(L767&gt;=100*0.33,1,0))))))))</f>
        <v/>
      </c>
      <c r="AE767">
        <f>IF(B767="","",IF(M767&lt;33.0,0,IF(M767&gt;=100*0.8,5,IF(M767&gt;=100*0.7,4,IF(M767&gt;=100*0.6,3.5,IF(M767&gt;=100*0.5,3,IF(M767&gt;=100*0.4,2,IF(M767&gt;=100*0.33,1,0))))))))</f>
        <v/>
      </c>
      <c r="AF767">
        <f>IF(B767="","",IF(N767&lt;16.5,0,IF(N767&gt;=50*0.8,5,IF(N767&gt;=50*0.7,4,IF(N767&gt;=50*0.6,3.5,IF(N767&gt;=50*0.5,3,IF(N767&gt;=50*0.4,2,IF(N767&gt;=50*0.33,1,0))))))))</f>
        <v/>
      </c>
      <c r="AG767">
        <f>IF(B767="","",IF(O767&lt;33.0,0,IF(O767&gt;=100*0.8,5,IF(O767&gt;=100*0.7,4,IF(O767&gt;=100*0.6,3.5,IF(O767&gt;=100*0.5,3,IF(O767&gt;=100*0.4,2,IF(O767&gt;=100*0.33,1,0))))))))</f>
        <v/>
      </c>
      <c r="AH767">
        <f>IF(B767="","",IF(OR(U767=0,V767=0,W767=0,X767=0,Y767=0,Z767=0,AA767=0,AB767=0,AC767=0,AD767=0,AE767=0,AF767=0,AG767=0),1,0))</f>
        <v/>
      </c>
    </row>
    <row r="768">
      <c r="A768" s="3">
        <f>IF(B768="","",ROW()-2)</f>
        <v/>
      </c>
      <c r="P768" s="4">
        <f>IF(B768="","",SUM(C768:O768))</f>
        <v/>
      </c>
      <c r="Q768" s="5">
        <f>IF(B768="","",ROUND(P768/13,2))</f>
        <v/>
      </c>
      <c r="R768" s="5">
        <f>IF(B768="","",IF(AH768=1,0,MIN(5,ROUND((U768+V768+W768+X768+Y768+Z768+AA768+AB768+AC768+AD768+AE768+AF768+AG768)/13,2))))</f>
        <v/>
      </c>
      <c r="S768" s="3">
        <f>IF(B768="","",IF(R768&gt;=5,"A+",IF(R768&gt;=4,"A",IF(R768&gt;=3.5,"A-",IF(R768&gt;=3,"B",IF(R768&gt;=2,"C",IF(R768&gt;=1,"D","F")))))))</f>
        <v/>
      </c>
      <c r="T768" s="3">
        <f>IF(OR(B768="",S768="F"),"",COUNTIFS(P:P,"&gt;"&amp;P768,S:S,"&lt;&gt;F")+1)</f>
        <v/>
      </c>
      <c r="U768">
        <f>IF(B768="","",IF(C768&lt;33.0,0,IF(C768&gt;=100*0.8,5,IF(C768&gt;=100*0.7,4,IF(C768&gt;=100*0.6,3.5,IF(C768&gt;=100*0.5,3,IF(C768&gt;=100*0.4,2,IF(C768&gt;=100*0.33,1,0))))))))</f>
        <v/>
      </c>
      <c r="V768">
        <f>IF(B768="","",IF(D768&lt;33.0,0,IF(D768&gt;=100*0.8,5,IF(D768&gt;=100*0.7,4,IF(D768&gt;=100*0.6,3.5,IF(D768&gt;=100*0.5,3,IF(D768&gt;=100*0.4,2,IF(D768&gt;=100*0.33,1,0))))))))</f>
        <v/>
      </c>
      <c r="W768">
        <f>IF(B768="","",IF(E768&lt;16.5,0,IF(E768&gt;=50*0.8,5,IF(E768&gt;=50*0.7,4,IF(E768&gt;=50*0.6,3.5,IF(E768&gt;=50*0.5,3,IF(E768&gt;=50*0.4,2,IF(E768&gt;=50*0.33,1,0))))))))</f>
        <v/>
      </c>
      <c r="X768">
        <f>IF(B768="","",IF(F768&lt;33.0,0,IF(F768&gt;=100*0.8,5,IF(F768&gt;=100*0.7,4,IF(F768&gt;=100*0.6,3.5,IF(F768&gt;=100*0.5,3,IF(F768&gt;=100*0.4,2,IF(F768&gt;=100*0.33,1,0))))))))</f>
        <v/>
      </c>
      <c r="Y768">
        <f>IF(B768="","",IF(G768&lt;16.5,0,IF(G768&gt;=50*0.8,5,IF(G768&gt;=50*0.7,4,IF(G768&gt;=50*0.6,3.5,IF(G768&gt;=50*0.5,3,IF(G768&gt;=50*0.4,2,IF(G768&gt;=50*0.33,1,0))))))))</f>
        <v/>
      </c>
      <c r="Z768">
        <f>IF(B768="","",IF(H768&lt;33.0,0,IF(H768&gt;=100*0.8,5,IF(H768&gt;=100*0.7,4,IF(H768&gt;=100*0.6,3.5,IF(H768&gt;=100*0.5,3,IF(H768&gt;=100*0.4,2,IF(H768&gt;=100*0.33,1,0))))))))</f>
        <v/>
      </c>
      <c r="AA768">
        <f>IF(B768="","",IF(I768&lt;33.0,0,IF(I768&gt;=100*0.8,5,IF(I768&gt;=100*0.7,4,IF(I768&gt;=100*0.6,3.5,IF(I768&gt;=100*0.5,3,IF(I768&gt;=100*0.4,2,IF(I768&gt;=100*0.33,1,0))))))))</f>
        <v/>
      </c>
      <c r="AB768">
        <f>IF(B768="","",IF(J768&lt;33.0,0,IF(J768&gt;=100*0.8,5,IF(J768&gt;=100*0.7,4,IF(J768&gt;=100*0.6,3.5,IF(J768&gt;=100*0.5,3,IF(J768&gt;=100*0.4,2,IF(J768&gt;=100*0.33,1,0))))))))</f>
        <v/>
      </c>
      <c r="AC768">
        <f>IF(B768="","",IF(K768&lt;33.0,0,IF(K768&gt;=100*0.8,5,IF(K768&gt;=100*0.7,4,IF(K768&gt;=100*0.6,3.5,IF(K768&gt;=100*0.5,3,IF(K768&gt;=100*0.4,2,IF(K768&gt;=100*0.33,1,0))))))))</f>
        <v/>
      </c>
      <c r="AD768">
        <f>IF(B768="","",IF(L768&lt;33.0,0,IF(L768&gt;=100*0.8,5,IF(L768&gt;=100*0.7,4,IF(L768&gt;=100*0.6,3.5,IF(L768&gt;=100*0.5,3,IF(L768&gt;=100*0.4,2,IF(L768&gt;=100*0.33,1,0))))))))</f>
        <v/>
      </c>
      <c r="AE768">
        <f>IF(B768="","",IF(M768&lt;33.0,0,IF(M768&gt;=100*0.8,5,IF(M768&gt;=100*0.7,4,IF(M768&gt;=100*0.6,3.5,IF(M768&gt;=100*0.5,3,IF(M768&gt;=100*0.4,2,IF(M768&gt;=100*0.33,1,0))))))))</f>
        <v/>
      </c>
      <c r="AF768">
        <f>IF(B768="","",IF(N768&lt;16.5,0,IF(N768&gt;=50*0.8,5,IF(N768&gt;=50*0.7,4,IF(N768&gt;=50*0.6,3.5,IF(N768&gt;=50*0.5,3,IF(N768&gt;=50*0.4,2,IF(N768&gt;=50*0.33,1,0))))))))</f>
        <v/>
      </c>
      <c r="AG768">
        <f>IF(B768="","",IF(O768&lt;33.0,0,IF(O768&gt;=100*0.8,5,IF(O768&gt;=100*0.7,4,IF(O768&gt;=100*0.6,3.5,IF(O768&gt;=100*0.5,3,IF(O768&gt;=100*0.4,2,IF(O768&gt;=100*0.33,1,0))))))))</f>
        <v/>
      </c>
      <c r="AH768">
        <f>IF(B768="","",IF(OR(U768=0,V768=0,W768=0,X768=0,Y768=0,Z768=0,AA768=0,AB768=0,AC768=0,AD768=0,AE768=0,AF768=0,AG768=0),1,0))</f>
        <v/>
      </c>
    </row>
    <row r="769">
      <c r="A769" s="3">
        <f>IF(B769="","",ROW()-2)</f>
        <v/>
      </c>
      <c r="P769" s="4">
        <f>IF(B769="","",SUM(C769:O769))</f>
        <v/>
      </c>
      <c r="Q769" s="5">
        <f>IF(B769="","",ROUND(P769/13,2))</f>
        <v/>
      </c>
      <c r="R769" s="5">
        <f>IF(B769="","",IF(AH769=1,0,MIN(5,ROUND((U769+V769+W769+X769+Y769+Z769+AA769+AB769+AC769+AD769+AE769+AF769+AG769)/13,2))))</f>
        <v/>
      </c>
      <c r="S769" s="3">
        <f>IF(B769="","",IF(R769&gt;=5,"A+",IF(R769&gt;=4,"A",IF(R769&gt;=3.5,"A-",IF(R769&gt;=3,"B",IF(R769&gt;=2,"C",IF(R769&gt;=1,"D","F")))))))</f>
        <v/>
      </c>
      <c r="T769" s="3">
        <f>IF(OR(B769="",S769="F"),"",COUNTIFS(P:P,"&gt;"&amp;P769,S:S,"&lt;&gt;F")+1)</f>
        <v/>
      </c>
      <c r="U769">
        <f>IF(B769="","",IF(C769&lt;33.0,0,IF(C769&gt;=100*0.8,5,IF(C769&gt;=100*0.7,4,IF(C769&gt;=100*0.6,3.5,IF(C769&gt;=100*0.5,3,IF(C769&gt;=100*0.4,2,IF(C769&gt;=100*0.33,1,0))))))))</f>
        <v/>
      </c>
      <c r="V769">
        <f>IF(B769="","",IF(D769&lt;33.0,0,IF(D769&gt;=100*0.8,5,IF(D769&gt;=100*0.7,4,IF(D769&gt;=100*0.6,3.5,IF(D769&gt;=100*0.5,3,IF(D769&gt;=100*0.4,2,IF(D769&gt;=100*0.33,1,0))))))))</f>
        <v/>
      </c>
      <c r="W769">
        <f>IF(B769="","",IF(E769&lt;16.5,0,IF(E769&gt;=50*0.8,5,IF(E769&gt;=50*0.7,4,IF(E769&gt;=50*0.6,3.5,IF(E769&gt;=50*0.5,3,IF(E769&gt;=50*0.4,2,IF(E769&gt;=50*0.33,1,0))))))))</f>
        <v/>
      </c>
      <c r="X769">
        <f>IF(B769="","",IF(F769&lt;33.0,0,IF(F769&gt;=100*0.8,5,IF(F769&gt;=100*0.7,4,IF(F769&gt;=100*0.6,3.5,IF(F769&gt;=100*0.5,3,IF(F769&gt;=100*0.4,2,IF(F769&gt;=100*0.33,1,0))))))))</f>
        <v/>
      </c>
      <c r="Y769">
        <f>IF(B769="","",IF(G769&lt;16.5,0,IF(G769&gt;=50*0.8,5,IF(G769&gt;=50*0.7,4,IF(G769&gt;=50*0.6,3.5,IF(G769&gt;=50*0.5,3,IF(G769&gt;=50*0.4,2,IF(G769&gt;=50*0.33,1,0))))))))</f>
        <v/>
      </c>
      <c r="Z769">
        <f>IF(B769="","",IF(H769&lt;33.0,0,IF(H769&gt;=100*0.8,5,IF(H769&gt;=100*0.7,4,IF(H769&gt;=100*0.6,3.5,IF(H769&gt;=100*0.5,3,IF(H769&gt;=100*0.4,2,IF(H769&gt;=100*0.33,1,0))))))))</f>
        <v/>
      </c>
      <c r="AA769">
        <f>IF(B769="","",IF(I769&lt;33.0,0,IF(I769&gt;=100*0.8,5,IF(I769&gt;=100*0.7,4,IF(I769&gt;=100*0.6,3.5,IF(I769&gt;=100*0.5,3,IF(I769&gt;=100*0.4,2,IF(I769&gt;=100*0.33,1,0))))))))</f>
        <v/>
      </c>
      <c r="AB769">
        <f>IF(B769="","",IF(J769&lt;33.0,0,IF(J769&gt;=100*0.8,5,IF(J769&gt;=100*0.7,4,IF(J769&gt;=100*0.6,3.5,IF(J769&gt;=100*0.5,3,IF(J769&gt;=100*0.4,2,IF(J769&gt;=100*0.33,1,0))))))))</f>
        <v/>
      </c>
      <c r="AC769">
        <f>IF(B769="","",IF(K769&lt;33.0,0,IF(K769&gt;=100*0.8,5,IF(K769&gt;=100*0.7,4,IF(K769&gt;=100*0.6,3.5,IF(K769&gt;=100*0.5,3,IF(K769&gt;=100*0.4,2,IF(K769&gt;=100*0.33,1,0))))))))</f>
        <v/>
      </c>
      <c r="AD769">
        <f>IF(B769="","",IF(L769&lt;33.0,0,IF(L769&gt;=100*0.8,5,IF(L769&gt;=100*0.7,4,IF(L769&gt;=100*0.6,3.5,IF(L769&gt;=100*0.5,3,IF(L769&gt;=100*0.4,2,IF(L769&gt;=100*0.33,1,0))))))))</f>
        <v/>
      </c>
      <c r="AE769">
        <f>IF(B769="","",IF(M769&lt;33.0,0,IF(M769&gt;=100*0.8,5,IF(M769&gt;=100*0.7,4,IF(M769&gt;=100*0.6,3.5,IF(M769&gt;=100*0.5,3,IF(M769&gt;=100*0.4,2,IF(M769&gt;=100*0.33,1,0))))))))</f>
        <v/>
      </c>
      <c r="AF769">
        <f>IF(B769="","",IF(N769&lt;16.5,0,IF(N769&gt;=50*0.8,5,IF(N769&gt;=50*0.7,4,IF(N769&gt;=50*0.6,3.5,IF(N769&gt;=50*0.5,3,IF(N769&gt;=50*0.4,2,IF(N769&gt;=50*0.33,1,0))))))))</f>
        <v/>
      </c>
      <c r="AG769">
        <f>IF(B769="","",IF(O769&lt;33.0,0,IF(O769&gt;=100*0.8,5,IF(O769&gt;=100*0.7,4,IF(O769&gt;=100*0.6,3.5,IF(O769&gt;=100*0.5,3,IF(O769&gt;=100*0.4,2,IF(O769&gt;=100*0.33,1,0))))))))</f>
        <v/>
      </c>
      <c r="AH769">
        <f>IF(B769="","",IF(OR(U769=0,V769=0,W769=0,X769=0,Y769=0,Z769=0,AA769=0,AB769=0,AC769=0,AD769=0,AE769=0,AF769=0,AG769=0),1,0))</f>
        <v/>
      </c>
    </row>
    <row r="770">
      <c r="A770" s="3">
        <f>IF(B770="","",ROW()-2)</f>
        <v/>
      </c>
      <c r="P770" s="4">
        <f>IF(B770="","",SUM(C770:O770))</f>
        <v/>
      </c>
      <c r="Q770" s="5">
        <f>IF(B770="","",ROUND(P770/13,2))</f>
        <v/>
      </c>
      <c r="R770" s="5">
        <f>IF(B770="","",IF(AH770=1,0,MIN(5,ROUND((U770+V770+W770+X770+Y770+Z770+AA770+AB770+AC770+AD770+AE770+AF770+AG770)/13,2))))</f>
        <v/>
      </c>
      <c r="S770" s="3">
        <f>IF(B770="","",IF(R770&gt;=5,"A+",IF(R770&gt;=4,"A",IF(R770&gt;=3.5,"A-",IF(R770&gt;=3,"B",IF(R770&gt;=2,"C",IF(R770&gt;=1,"D","F")))))))</f>
        <v/>
      </c>
      <c r="T770" s="3">
        <f>IF(OR(B770="",S770="F"),"",COUNTIFS(P:P,"&gt;"&amp;P770,S:S,"&lt;&gt;F")+1)</f>
        <v/>
      </c>
      <c r="U770">
        <f>IF(B770="","",IF(C770&lt;33.0,0,IF(C770&gt;=100*0.8,5,IF(C770&gt;=100*0.7,4,IF(C770&gt;=100*0.6,3.5,IF(C770&gt;=100*0.5,3,IF(C770&gt;=100*0.4,2,IF(C770&gt;=100*0.33,1,0))))))))</f>
        <v/>
      </c>
      <c r="V770">
        <f>IF(B770="","",IF(D770&lt;33.0,0,IF(D770&gt;=100*0.8,5,IF(D770&gt;=100*0.7,4,IF(D770&gt;=100*0.6,3.5,IF(D770&gt;=100*0.5,3,IF(D770&gt;=100*0.4,2,IF(D770&gt;=100*0.33,1,0))))))))</f>
        <v/>
      </c>
      <c r="W770">
        <f>IF(B770="","",IF(E770&lt;16.5,0,IF(E770&gt;=50*0.8,5,IF(E770&gt;=50*0.7,4,IF(E770&gt;=50*0.6,3.5,IF(E770&gt;=50*0.5,3,IF(E770&gt;=50*0.4,2,IF(E770&gt;=50*0.33,1,0))))))))</f>
        <v/>
      </c>
      <c r="X770">
        <f>IF(B770="","",IF(F770&lt;33.0,0,IF(F770&gt;=100*0.8,5,IF(F770&gt;=100*0.7,4,IF(F770&gt;=100*0.6,3.5,IF(F770&gt;=100*0.5,3,IF(F770&gt;=100*0.4,2,IF(F770&gt;=100*0.33,1,0))))))))</f>
        <v/>
      </c>
      <c r="Y770">
        <f>IF(B770="","",IF(G770&lt;16.5,0,IF(G770&gt;=50*0.8,5,IF(G770&gt;=50*0.7,4,IF(G770&gt;=50*0.6,3.5,IF(G770&gt;=50*0.5,3,IF(G770&gt;=50*0.4,2,IF(G770&gt;=50*0.33,1,0))))))))</f>
        <v/>
      </c>
      <c r="Z770">
        <f>IF(B770="","",IF(H770&lt;33.0,0,IF(H770&gt;=100*0.8,5,IF(H770&gt;=100*0.7,4,IF(H770&gt;=100*0.6,3.5,IF(H770&gt;=100*0.5,3,IF(H770&gt;=100*0.4,2,IF(H770&gt;=100*0.33,1,0))))))))</f>
        <v/>
      </c>
      <c r="AA770">
        <f>IF(B770="","",IF(I770&lt;33.0,0,IF(I770&gt;=100*0.8,5,IF(I770&gt;=100*0.7,4,IF(I770&gt;=100*0.6,3.5,IF(I770&gt;=100*0.5,3,IF(I770&gt;=100*0.4,2,IF(I770&gt;=100*0.33,1,0))))))))</f>
        <v/>
      </c>
      <c r="AB770">
        <f>IF(B770="","",IF(J770&lt;33.0,0,IF(J770&gt;=100*0.8,5,IF(J770&gt;=100*0.7,4,IF(J770&gt;=100*0.6,3.5,IF(J770&gt;=100*0.5,3,IF(J770&gt;=100*0.4,2,IF(J770&gt;=100*0.33,1,0))))))))</f>
        <v/>
      </c>
      <c r="AC770">
        <f>IF(B770="","",IF(K770&lt;33.0,0,IF(K770&gt;=100*0.8,5,IF(K770&gt;=100*0.7,4,IF(K770&gt;=100*0.6,3.5,IF(K770&gt;=100*0.5,3,IF(K770&gt;=100*0.4,2,IF(K770&gt;=100*0.33,1,0))))))))</f>
        <v/>
      </c>
      <c r="AD770">
        <f>IF(B770="","",IF(L770&lt;33.0,0,IF(L770&gt;=100*0.8,5,IF(L770&gt;=100*0.7,4,IF(L770&gt;=100*0.6,3.5,IF(L770&gt;=100*0.5,3,IF(L770&gt;=100*0.4,2,IF(L770&gt;=100*0.33,1,0))))))))</f>
        <v/>
      </c>
      <c r="AE770">
        <f>IF(B770="","",IF(M770&lt;33.0,0,IF(M770&gt;=100*0.8,5,IF(M770&gt;=100*0.7,4,IF(M770&gt;=100*0.6,3.5,IF(M770&gt;=100*0.5,3,IF(M770&gt;=100*0.4,2,IF(M770&gt;=100*0.33,1,0))))))))</f>
        <v/>
      </c>
      <c r="AF770">
        <f>IF(B770="","",IF(N770&lt;16.5,0,IF(N770&gt;=50*0.8,5,IF(N770&gt;=50*0.7,4,IF(N770&gt;=50*0.6,3.5,IF(N770&gt;=50*0.5,3,IF(N770&gt;=50*0.4,2,IF(N770&gt;=50*0.33,1,0))))))))</f>
        <v/>
      </c>
      <c r="AG770">
        <f>IF(B770="","",IF(O770&lt;33.0,0,IF(O770&gt;=100*0.8,5,IF(O770&gt;=100*0.7,4,IF(O770&gt;=100*0.6,3.5,IF(O770&gt;=100*0.5,3,IF(O770&gt;=100*0.4,2,IF(O770&gt;=100*0.33,1,0))))))))</f>
        <v/>
      </c>
      <c r="AH770">
        <f>IF(B770="","",IF(OR(U770=0,V770=0,W770=0,X770=0,Y770=0,Z770=0,AA770=0,AB770=0,AC770=0,AD770=0,AE770=0,AF770=0,AG770=0),1,0))</f>
        <v/>
      </c>
    </row>
    <row r="771">
      <c r="A771" s="3">
        <f>IF(B771="","",ROW()-2)</f>
        <v/>
      </c>
      <c r="P771" s="4">
        <f>IF(B771="","",SUM(C771:O771))</f>
        <v/>
      </c>
      <c r="Q771" s="5">
        <f>IF(B771="","",ROUND(P771/13,2))</f>
        <v/>
      </c>
      <c r="R771" s="5">
        <f>IF(B771="","",IF(AH771=1,0,MIN(5,ROUND((U771+V771+W771+X771+Y771+Z771+AA771+AB771+AC771+AD771+AE771+AF771+AG771)/13,2))))</f>
        <v/>
      </c>
      <c r="S771" s="3">
        <f>IF(B771="","",IF(R771&gt;=5,"A+",IF(R771&gt;=4,"A",IF(R771&gt;=3.5,"A-",IF(R771&gt;=3,"B",IF(R771&gt;=2,"C",IF(R771&gt;=1,"D","F")))))))</f>
        <v/>
      </c>
      <c r="T771" s="3">
        <f>IF(OR(B771="",S771="F"),"",COUNTIFS(P:P,"&gt;"&amp;P771,S:S,"&lt;&gt;F")+1)</f>
        <v/>
      </c>
      <c r="U771">
        <f>IF(B771="","",IF(C771&lt;33.0,0,IF(C771&gt;=100*0.8,5,IF(C771&gt;=100*0.7,4,IF(C771&gt;=100*0.6,3.5,IF(C771&gt;=100*0.5,3,IF(C771&gt;=100*0.4,2,IF(C771&gt;=100*0.33,1,0))))))))</f>
        <v/>
      </c>
      <c r="V771">
        <f>IF(B771="","",IF(D771&lt;33.0,0,IF(D771&gt;=100*0.8,5,IF(D771&gt;=100*0.7,4,IF(D771&gt;=100*0.6,3.5,IF(D771&gt;=100*0.5,3,IF(D771&gt;=100*0.4,2,IF(D771&gt;=100*0.33,1,0))))))))</f>
        <v/>
      </c>
      <c r="W771">
        <f>IF(B771="","",IF(E771&lt;16.5,0,IF(E771&gt;=50*0.8,5,IF(E771&gt;=50*0.7,4,IF(E771&gt;=50*0.6,3.5,IF(E771&gt;=50*0.5,3,IF(E771&gt;=50*0.4,2,IF(E771&gt;=50*0.33,1,0))))))))</f>
        <v/>
      </c>
      <c r="X771">
        <f>IF(B771="","",IF(F771&lt;33.0,0,IF(F771&gt;=100*0.8,5,IF(F771&gt;=100*0.7,4,IF(F771&gt;=100*0.6,3.5,IF(F771&gt;=100*0.5,3,IF(F771&gt;=100*0.4,2,IF(F771&gt;=100*0.33,1,0))))))))</f>
        <v/>
      </c>
      <c r="Y771">
        <f>IF(B771="","",IF(G771&lt;16.5,0,IF(G771&gt;=50*0.8,5,IF(G771&gt;=50*0.7,4,IF(G771&gt;=50*0.6,3.5,IF(G771&gt;=50*0.5,3,IF(G771&gt;=50*0.4,2,IF(G771&gt;=50*0.33,1,0))))))))</f>
        <v/>
      </c>
      <c r="Z771">
        <f>IF(B771="","",IF(H771&lt;33.0,0,IF(H771&gt;=100*0.8,5,IF(H771&gt;=100*0.7,4,IF(H771&gt;=100*0.6,3.5,IF(H771&gt;=100*0.5,3,IF(H771&gt;=100*0.4,2,IF(H771&gt;=100*0.33,1,0))))))))</f>
        <v/>
      </c>
      <c r="AA771">
        <f>IF(B771="","",IF(I771&lt;33.0,0,IF(I771&gt;=100*0.8,5,IF(I771&gt;=100*0.7,4,IF(I771&gt;=100*0.6,3.5,IF(I771&gt;=100*0.5,3,IF(I771&gt;=100*0.4,2,IF(I771&gt;=100*0.33,1,0))))))))</f>
        <v/>
      </c>
      <c r="AB771">
        <f>IF(B771="","",IF(J771&lt;33.0,0,IF(J771&gt;=100*0.8,5,IF(J771&gt;=100*0.7,4,IF(J771&gt;=100*0.6,3.5,IF(J771&gt;=100*0.5,3,IF(J771&gt;=100*0.4,2,IF(J771&gt;=100*0.33,1,0))))))))</f>
        <v/>
      </c>
      <c r="AC771">
        <f>IF(B771="","",IF(K771&lt;33.0,0,IF(K771&gt;=100*0.8,5,IF(K771&gt;=100*0.7,4,IF(K771&gt;=100*0.6,3.5,IF(K771&gt;=100*0.5,3,IF(K771&gt;=100*0.4,2,IF(K771&gt;=100*0.33,1,0))))))))</f>
        <v/>
      </c>
      <c r="AD771">
        <f>IF(B771="","",IF(L771&lt;33.0,0,IF(L771&gt;=100*0.8,5,IF(L771&gt;=100*0.7,4,IF(L771&gt;=100*0.6,3.5,IF(L771&gt;=100*0.5,3,IF(L771&gt;=100*0.4,2,IF(L771&gt;=100*0.33,1,0))))))))</f>
        <v/>
      </c>
      <c r="AE771">
        <f>IF(B771="","",IF(M771&lt;33.0,0,IF(M771&gt;=100*0.8,5,IF(M771&gt;=100*0.7,4,IF(M771&gt;=100*0.6,3.5,IF(M771&gt;=100*0.5,3,IF(M771&gt;=100*0.4,2,IF(M771&gt;=100*0.33,1,0))))))))</f>
        <v/>
      </c>
      <c r="AF771">
        <f>IF(B771="","",IF(N771&lt;16.5,0,IF(N771&gt;=50*0.8,5,IF(N771&gt;=50*0.7,4,IF(N771&gt;=50*0.6,3.5,IF(N771&gt;=50*0.5,3,IF(N771&gt;=50*0.4,2,IF(N771&gt;=50*0.33,1,0))))))))</f>
        <v/>
      </c>
      <c r="AG771">
        <f>IF(B771="","",IF(O771&lt;33.0,0,IF(O771&gt;=100*0.8,5,IF(O771&gt;=100*0.7,4,IF(O771&gt;=100*0.6,3.5,IF(O771&gt;=100*0.5,3,IF(O771&gt;=100*0.4,2,IF(O771&gt;=100*0.33,1,0))))))))</f>
        <v/>
      </c>
      <c r="AH771">
        <f>IF(B771="","",IF(OR(U771=0,V771=0,W771=0,X771=0,Y771=0,Z771=0,AA771=0,AB771=0,AC771=0,AD771=0,AE771=0,AF771=0,AG771=0),1,0))</f>
        <v/>
      </c>
    </row>
    <row r="772">
      <c r="A772" s="3">
        <f>IF(B772="","",ROW()-2)</f>
        <v/>
      </c>
      <c r="P772" s="4">
        <f>IF(B772="","",SUM(C772:O772))</f>
        <v/>
      </c>
      <c r="Q772" s="5">
        <f>IF(B772="","",ROUND(P772/13,2))</f>
        <v/>
      </c>
      <c r="R772" s="5">
        <f>IF(B772="","",IF(AH772=1,0,MIN(5,ROUND((U772+V772+W772+X772+Y772+Z772+AA772+AB772+AC772+AD772+AE772+AF772+AG772)/13,2))))</f>
        <v/>
      </c>
      <c r="S772" s="3">
        <f>IF(B772="","",IF(R772&gt;=5,"A+",IF(R772&gt;=4,"A",IF(R772&gt;=3.5,"A-",IF(R772&gt;=3,"B",IF(R772&gt;=2,"C",IF(R772&gt;=1,"D","F")))))))</f>
        <v/>
      </c>
      <c r="T772" s="3">
        <f>IF(OR(B772="",S772="F"),"",COUNTIFS(P:P,"&gt;"&amp;P772,S:S,"&lt;&gt;F")+1)</f>
        <v/>
      </c>
      <c r="U772">
        <f>IF(B772="","",IF(C772&lt;33.0,0,IF(C772&gt;=100*0.8,5,IF(C772&gt;=100*0.7,4,IF(C772&gt;=100*0.6,3.5,IF(C772&gt;=100*0.5,3,IF(C772&gt;=100*0.4,2,IF(C772&gt;=100*0.33,1,0))))))))</f>
        <v/>
      </c>
      <c r="V772">
        <f>IF(B772="","",IF(D772&lt;33.0,0,IF(D772&gt;=100*0.8,5,IF(D772&gt;=100*0.7,4,IF(D772&gt;=100*0.6,3.5,IF(D772&gt;=100*0.5,3,IF(D772&gt;=100*0.4,2,IF(D772&gt;=100*0.33,1,0))))))))</f>
        <v/>
      </c>
      <c r="W772">
        <f>IF(B772="","",IF(E772&lt;16.5,0,IF(E772&gt;=50*0.8,5,IF(E772&gt;=50*0.7,4,IF(E772&gt;=50*0.6,3.5,IF(E772&gt;=50*0.5,3,IF(E772&gt;=50*0.4,2,IF(E772&gt;=50*0.33,1,0))))))))</f>
        <v/>
      </c>
      <c r="X772">
        <f>IF(B772="","",IF(F772&lt;33.0,0,IF(F772&gt;=100*0.8,5,IF(F772&gt;=100*0.7,4,IF(F772&gt;=100*0.6,3.5,IF(F772&gt;=100*0.5,3,IF(F772&gt;=100*0.4,2,IF(F772&gt;=100*0.33,1,0))))))))</f>
        <v/>
      </c>
      <c r="Y772">
        <f>IF(B772="","",IF(G772&lt;16.5,0,IF(G772&gt;=50*0.8,5,IF(G772&gt;=50*0.7,4,IF(G772&gt;=50*0.6,3.5,IF(G772&gt;=50*0.5,3,IF(G772&gt;=50*0.4,2,IF(G772&gt;=50*0.33,1,0))))))))</f>
        <v/>
      </c>
      <c r="Z772">
        <f>IF(B772="","",IF(H772&lt;33.0,0,IF(H772&gt;=100*0.8,5,IF(H772&gt;=100*0.7,4,IF(H772&gt;=100*0.6,3.5,IF(H772&gt;=100*0.5,3,IF(H772&gt;=100*0.4,2,IF(H772&gt;=100*0.33,1,0))))))))</f>
        <v/>
      </c>
      <c r="AA772">
        <f>IF(B772="","",IF(I772&lt;33.0,0,IF(I772&gt;=100*0.8,5,IF(I772&gt;=100*0.7,4,IF(I772&gt;=100*0.6,3.5,IF(I772&gt;=100*0.5,3,IF(I772&gt;=100*0.4,2,IF(I772&gt;=100*0.33,1,0))))))))</f>
        <v/>
      </c>
      <c r="AB772">
        <f>IF(B772="","",IF(J772&lt;33.0,0,IF(J772&gt;=100*0.8,5,IF(J772&gt;=100*0.7,4,IF(J772&gt;=100*0.6,3.5,IF(J772&gt;=100*0.5,3,IF(J772&gt;=100*0.4,2,IF(J772&gt;=100*0.33,1,0))))))))</f>
        <v/>
      </c>
      <c r="AC772">
        <f>IF(B772="","",IF(K772&lt;33.0,0,IF(K772&gt;=100*0.8,5,IF(K772&gt;=100*0.7,4,IF(K772&gt;=100*0.6,3.5,IF(K772&gt;=100*0.5,3,IF(K772&gt;=100*0.4,2,IF(K772&gt;=100*0.33,1,0))))))))</f>
        <v/>
      </c>
      <c r="AD772">
        <f>IF(B772="","",IF(L772&lt;33.0,0,IF(L772&gt;=100*0.8,5,IF(L772&gt;=100*0.7,4,IF(L772&gt;=100*0.6,3.5,IF(L772&gt;=100*0.5,3,IF(L772&gt;=100*0.4,2,IF(L772&gt;=100*0.33,1,0))))))))</f>
        <v/>
      </c>
      <c r="AE772">
        <f>IF(B772="","",IF(M772&lt;33.0,0,IF(M772&gt;=100*0.8,5,IF(M772&gt;=100*0.7,4,IF(M772&gt;=100*0.6,3.5,IF(M772&gt;=100*0.5,3,IF(M772&gt;=100*0.4,2,IF(M772&gt;=100*0.33,1,0))))))))</f>
        <v/>
      </c>
      <c r="AF772">
        <f>IF(B772="","",IF(N772&lt;16.5,0,IF(N772&gt;=50*0.8,5,IF(N772&gt;=50*0.7,4,IF(N772&gt;=50*0.6,3.5,IF(N772&gt;=50*0.5,3,IF(N772&gt;=50*0.4,2,IF(N772&gt;=50*0.33,1,0))))))))</f>
        <v/>
      </c>
      <c r="AG772">
        <f>IF(B772="","",IF(O772&lt;33.0,0,IF(O772&gt;=100*0.8,5,IF(O772&gt;=100*0.7,4,IF(O772&gt;=100*0.6,3.5,IF(O772&gt;=100*0.5,3,IF(O772&gt;=100*0.4,2,IF(O772&gt;=100*0.33,1,0))))))))</f>
        <v/>
      </c>
      <c r="AH772">
        <f>IF(B772="","",IF(OR(U772=0,V772=0,W772=0,X772=0,Y772=0,Z772=0,AA772=0,AB772=0,AC772=0,AD772=0,AE772=0,AF772=0,AG772=0),1,0))</f>
        <v/>
      </c>
    </row>
    <row r="773">
      <c r="A773" s="3">
        <f>IF(B773="","",ROW()-2)</f>
        <v/>
      </c>
      <c r="P773" s="4">
        <f>IF(B773="","",SUM(C773:O773))</f>
        <v/>
      </c>
      <c r="Q773" s="5">
        <f>IF(B773="","",ROUND(P773/13,2))</f>
        <v/>
      </c>
      <c r="R773" s="5">
        <f>IF(B773="","",IF(AH773=1,0,MIN(5,ROUND((U773+V773+W773+X773+Y773+Z773+AA773+AB773+AC773+AD773+AE773+AF773+AG773)/13,2))))</f>
        <v/>
      </c>
      <c r="S773" s="3">
        <f>IF(B773="","",IF(R773&gt;=5,"A+",IF(R773&gt;=4,"A",IF(R773&gt;=3.5,"A-",IF(R773&gt;=3,"B",IF(R773&gt;=2,"C",IF(R773&gt;=1,"D","F")))))))</f>
        <v/>
      </c>
      <c r="T773" s="3">
        <f>IF(OR(B773="",S773="F"),"",COUNTIFS(P:P,"&gt;"&amp;P773,S:S,"&lt;&gt;F")+1)</f>
        <v/>
      </c>
      <c r="U773">
        <f>IF(B773="","",IF(C773&lt;33.0,0,IF(C773&gt;=100*0.8,5,IF(C773&gt;=100*0.7,4,IF(C773&gt;=100*0.6,3.5,IF(C773&gt;=100*0.5,3,IF(C773&gt;=100*0.4,2,IF(C773&gt;=100*0.33,1,0))))))))</f>
        <v/>
      </c>
      <c r="V773">
        <f>IF(B773="","",IF(D773&lt;33.0,0,IF(D773&gt;=100*0.8,5,IF(D773&gt;=100*0.7,4,IF(D773&gt;=100*0.6,3.5,IF(D773&gt;=100*0.5,3,IF(D773&gt;=100*0.4,2,IF(D773&gt;=100*0.33,1,0))))))))</f>
        <v/>
      </c>
      <c r="W773">
        <f>IF(B773="","",IF(E773&lt;16.5,0,IF(E773&gt;=50*0.8,5,IF(E773&gt;=50*0.7,4,IF(E773&gt;=50*0.6,3.5,IF(E773&gt;=50*0.5,3,IF(E773&gt;=50*0.4,2,IF(E773&gt;=50*0.33,1,0))))))))</f>
        <v/>
      </c>
      <c r="X773">
        <f>IF(B773="","",IF(F773&lt;33.0,0,IF(F773&gt;=100*0.8,5,IF(F773&gt;=100*0.7,4,IF(F773&gt;=100*0.6,3.5,IF(F773&gt;=100*0.5,3,IF(F773&gt;=100*0.4,2,IF(F773&gt;=100*0.33,1,0))))))))</f>
        <v/>
      </c>
      <c r="Y773">
        <f>IF(B773="","",IF(G773&lt;16.5,0,IF(G773&gt;=50*0.8,5,IF(G773&gt;=50*0.7,4,IF(G773&gt;=50*0.6,3.5,IF(G773&gt;=50*0.5,3,IF(G773&gt;=50*0.4,2,IF(G773&gt;=50*0.33,1,0))))))))</f>
        <v/>
      </c>
      <c r="Z773">
        <f>IF(B773="","",IF(H773&lt;33.0,0,IF(H773&gt;=100*0.8,5,IF(H773&gt;=100*0.7,4,IF(H773&gt;=100*0.6,3.5,IF(H773&gt;=100*0.5,3,IF(H773&gt;=100*0.4,2,IF(H773&gt;=100*0.33,1,0))))))))</f>
        <v/>
      </c>
      <c r="AA773">
        <f>IF(B773="","",IF(I773&lt;33.0,0,IF(I773&gt;=100*0.8,5,IF(I773&gt;=100*0.7,4,IF(I773&gt;=100*0.6,3.5,IF(I773&gt;=100*0.5,3,IF(I773&gt;=100*0.4,2,IF(I773&gt;=100*0.33,1,0))))))))</f>
        <v/>
      </c>
      <c r="AB773">
        <f>IF(B773="","",IF(J773&lt;33.0,0,IF(J773&gt;=100*0.8,5,IF(J773&gt;=100*0.7,4,IF(J773&gt;=100*0.6,3.5,IF(J773&gt;=100*0.5,3,IF(J773&gt;=100*0.4,2,IF(J773&gt;=100*0.33,1,0))))))))</f>
        <v/>
      </c>
      <c r="AC773">
        <f>IF(B773="","",IF(K773&lt;33.0,0,IF(K773&gt;=100*0.8,5,IF(K773&gt;=100*0.7,4,IF(K773&gt;=100*0.6,3.5,IF(K773&gt;=100*0.5,3,IF(K773&gt;=100*0.4,2,IF(K773&gt;=100*0.33,1,0))))))))</f>
        <v/>
      </c>
      <c r="AD773">
        <f>IF(B773="","",IF(L773&lt;33.0,0,IF(L773&gt;=100*0.8,5,IF(L773&gt;=100*0.7,4,IF(L773&gt;=100*0.6,3.5,IF(L773&gt;=100*0.5,3,IF(L773&gt;=100*0.4,2,IF(L773&gt;=100*0.33,1,0))))))))</f>
        <v/>
      </c>
      <c r="AE773">
        <f>IF(B773="","",IF(M773&lt;33.0,0,IF(M773&gt;=100*0.8,5,IF(M773&gt;=100*0.7,4,IF(M773&gt;=100*0.6,3.5,IF(M773&gt;=100*0.5,3,IF(M773&gt;=100*0.4,2,IF(M773&gt;=100*0.33,1,0))))))))</f>
        <v/>
      </c>
      <c r="AF773">
        <f>IF(B773="","",IF(N773&lt;16.5,0,IF(N773&gt;=50*0.8,5,IF(N773&gt;=50*0.7,4,IF(N773&gt;=50*0.6,3.5,IF(N773&gt;=50*0.5,3,IF(N773&gt;=50*0.4,2,IF(N773&gt;=50*0.33,1,0))))))))</f>
        <v/>
      </c>
      <c r="AG773">
        <f>IF(B773="","",IF(O773&lt;33.0,0,IF(O773&gt;=100*0.8,5,IF(O773&gt;=100*0.7,4,IF(O773&gt;=100*0.6,3.5,IF(O773&gt;=100*0.5,3,IF(O773&gt;=100*0.4,2,IF(O773&gt;=100*0.33,1,0))))))))</f>
        <v/>
      </c>
      <c r="AH773">
        <f>IF(B773="","",IF(OR(U773=0,V773=0,W773=0,X773=0,Y773=0,Z773=0,AA773=0,AB773=0,AC773=0,AD773=0,AE773=0,AF773=0,AG773=0),1,0))</f>
        <v/>
      </c>
    </row>
    <row r="774">
      <c r="A774" s="3">
        <f>IF(B774="","",ROW()-2)</f>
        <v/>
      </c>
      <c r="P774" s="4">
        <f>IF(B774="","",SUM(C774:O774))</f>
        <v/>
      </c>
      <c r="Q774" s="5">
        <f>IF(B774="","",ROUND(P774/13,2))</f>
        <v/>
      </c>
      <c r="R774" s="5">
        <f>IF(B774="","",IF(AH774=1,0,MIN(5,ROUND((U774+V774+W774+X774+Y774+Z774+AA774+AB774+AC774+AD774+AE774+AF774+AG774)/13,2))))</f>
        <v/>
      </c>
      <c r="S774" s="3">
        <f>IF(B774="","",IF(R774&gt;=5,"A+",IF(R774&gt;=4,"A",IF(R774&gt;=3.5,"A-",IF(R774&gt;=3,"B",IF(R774&gt;=2,"C",IF(R774&gt;=1,"D","F")))))))</f>
        <v/>
      </c>
      <c r="T774" s="3">
        <f>IF(OR(B774="",S774="F"),"",COUNTIFS(P:P,"&gt;"&amp;P774,S:S,"&lt;&gt;F")+1)</f>
        <v/>
      </c>
      <c r="U774">
        <f>IF(B774="","",IF(C774&lt;33.0,0,IF(C774&gt;=100*0.8,5,IF(C774&gt;=100*0.7,4,IF(C774&gt;=100*0.6,3.5,IF(C774&gt;=100*0.5,3,IF(C774&gt;=100*0.4,2,IF(C774&gt;=100*0.33,1,0))))))))</f>
        <v/>
      </c>
      <c r="V774">
        <f>IF(B774="","",IF(D774&lt;33.0,0,IF(D774&gt;=100*0.8,5,IF(D774&gt;=100*0.7,4,IF(D774&gt;=100*0.6,3.5,IF(D774&gt;=100*0.5,3,IF(D774&gt;=100*0.4,2,IF(D774&gt;=100*0.33,1,0))))))))</f>
        <v/>
      </c>
      <c r="W774">
        <f>IF(B774="","",IF(E774&lt;16.5,0,IF(E774&gt;=50*0.8,5,IF(E774&gt;=50*0.7,4,IF(E774&gt;=50*0.6,3.5,IF(E774&gt;=50*0.5,3,IF(E774&gt;=50*0.4,2,IF(E774&gt;=50*0.33,1,0))))))))</f>
        <v/>
      </c>
      <c r="X774">
        <f>IF(B774="","",IF(F774&lt;33.0,0,IF(F774&gt;=100*0.8,5,IF(F774&gt;=100*0.7,4,IF(F774&gt;=100*0.6,3.5,IF(F774&gt;=100*0.5,3,IF(F774&gt;=100*0.4,2,IF(F774&gt;=100*0.33,1,0))))))))</f>
        <v/>
      </c>
      <c r="Y774">
        <f>IF(B774="","",IF(G774&lt;16.5,0,IF(G774&gt;=50*0.8,5,IF(G774&gt;=50*0.7,4,IF(G774&gt;=50*0.6,3.5,IF(G774&gt;=50*0.5,3,IF(G774&gt;=50*0.4,2,IF(G774&gt;=50*0.33,1,0))))))))</f>
        <v/>
      </c>
      <c r="Z774">
        <f>IF(B774="","",IF(H774&lt;33.0,0,IF(H774&gt;=100*0.8,5,IF(H774&gt;=100*0.7,4,IF(H774&gt;=100*0.6,3.5,IF(H774&gt;=100*0.5,3,IF(H774&gt;=100*0.4,2,IF(H774&gt;=100*0.33,1,0))))))))</f>
        <v/>
      </c>
      <c r="AA774">
        <f>IF(B774="","",IF(I774&lt;33.0,0,IF(I774&gt;=100*0.8,5,IF(I774&gt;=100*0.7,4,IF(I774&gt;=100*0.6,3.5,IF(I774&gt;=100*0.5,3,IF(I774&gt;=100*0.4,2,IF(I774&gt;=100*0.33,1,0))))))))</f>
        <v/>
      </c>
      <c r="AB774">
        <f>IF(B774="","",IF(J774&lt;33.0,0,IF(J774&gt;=100*0.8,5,IF(J774&gt;=100*0.7,4,IF(J774&gt;=100*0.6,3.5,IF(J774&gt;=100*0.5,3,IF(J774&gt;=100*0.4,2,IF(J774&gt;=100*0.33,1,0))))))))</f>
        <v/>
      </c>
      <c r="AC774">
        <f>IF(B774="","",IF(K774&lt;33.0,0,IF(K774&gt;=100*0.8,5,IF(K774&gt;=100*0.7,4,IF(K774&gt;=100*0.6,3.5,IF(K774&gt;=100*0.5,3,IF(K774&gt;=100*0.4,2,IF(K774&gt;=100*0.33,1,0))))))))</f>
        <v/>
      </c>
      <c r="AD774">
        <f>IF(B774="","",IF(L774&lt;33.0,0,IF(L774&gt;=100*0.8,5,IF(L774&gt;=100*0.7,4,IF(L774&gt;=100*0.6,3.5,IF(L774&gt;=100*0.5,3,IF(L774&gt;=100*0.4,2,IF(L774&gt;=100*0.33,1,0))))))))</f>
        <v/>
      </c>
      <c r="AE774">
        <f>IF(B774="","",IF(M774&lt;33.0,0,IF(M774&gt;=100*0.8,5,IF(M774&gt;=100*0.7,4,IF(M774&gt;=100*0.6,3.5,IF(M774&gt;=100*0.5,3,IF(M774&gt;=100*0.4,2,IF(M774&gt;=100*0.33,1,0))))))))</f>
        <v/>
      </c>
      <c r="AF774">
        <f>IF(B774="","",IF(N774&lt;16.5,0,IF(N774&gt;=50*0.8,5,IF(N774&gt;=50*0.7,4,IF(N774&gt;=50*0.6,3.5,IF(N774&gt;=50*0.5,3,IF(N774&gt;=50*0.4,2,IF(N774&gt;=50*0.33,1,0))))))))</f>
        <v/>
      </c>
      <c r="AG774">
        <f>IF(B774="","",IF(O774&lt;33.0,0,IF(O774&gt;=100*0.8,5,IF(O774&gt;=100*0.7,4,IF(O774&gt;=100*0.6,3.5,IF(O774&gt;=100*0.5,3,IF(O774&gt;=100*0.4,2,IF(O774&gt;=100*0.33,1,0))))))))</f>
        <v/>
      </c>
      <c r="AH774">
        <f>IF(B774="","",IF(OR(U774=0,V774=0,W774=0,X774=0,Y774=0,Z774=0,AA774=0,AB774=0,AC774=0,AD774=0,AE774=0,AF774=0,AG774=0),1,0))</f>
        <v/>
      </c>
    </row>
    <row r="775">
      <c r="A775" s="3">
        <f>IF(B775="","",ROW()-2)</f>
        <v/>
      </c>
      <c r="P775" s="4">
        <f>IF(B775="","",SUM(C775:O775))</f>
        <v/>
      </c>
      <c r="Q775" s="5">
        <f>IF(B775="","",ROUND(P775/13,2))</f>
        <v/>
      </c>
      <c r="R775" s="5">
        <f>IF(B775="","",IF(AH775=1,0,MIN(5,ROUND((U775+V775+W775+X775+Y775+Z775+AA775+AB775+AC775+AD775+AE775+AF775+AG775)/13,2))))</f>
        <v/>
      </c>
      <c r="S775" s="3">
        <f>IF(B775="","",IF(R775&gt;=5,"A+",IF(R775&gt;=4,"A",IF(R775&gt;=3.5,"A-",IF(R775&gt;=3,"B",IF(R775&gt;=2,"C",IF(R775&gt;=1,"D","F")))))))</f>
        <v/>
      </c>
      <c r="T775" s="3">
        <f>IF(OR(B775="",S775="F"),"",COUNTIFS(P:P,"&gt;"&amp;P775,S:S,"&lt;&gt;F")+1)</f>
        <v/>
      </c>
      <c r="U775">
        <f>IF(B775="","",IF(C775&lt;33.0,0,IF(C775&gt;=100*0.8,5,IF(C775&gt;=100*0.7,4,IF(C775&gt;=100*0.6,3.5,IF(C775&gt;=100*0.5,3,IF(C775&gt;=100*0.4,2,IF(C775&gt;=100*0.33,1,0))))))))</f>
        <v/>
      </c>
      <c r="V775">
        <f>IF(B775="","",IF(D775&lt;33.0,0,IF(D775&gt;=100*0.8,5,IF(D775&gt;=100*0.7,4,IF(D775&gt;=100*0.6,3.5,IF(D775&gt;=100*0.5,3,IF(D775&gt;=100*0.4,2,IF(D775&gt;=100*0.33,1,0))))))))</f>
        <v/>
      </c>
      <c r="W775">
        <f>IF(B775="","",IF(E775&lt;16.5,0,IF(E775&gt;=50*0.8,5,IF(E775&gt;=50*0.7,4,IF(E775&gt;=50*0.6,3.5,IF(E775&gt;=50*0.5,3,IF(E775&gt;=50*0.4,2,IF(E775&gt;=50*0.33,1,0))))))))</f>
        <v/>
      </c>
      <c r="X775">
        <f>IF(B775="","",IF(F775&lt;33.0,0,IF(F775&gt;=100*0.8,5,IF(F775&gt;=100*0.7,4,IF(F775&gt;=100*0.6,3.5,IF(F775&gt;=100*0.5,3,IF(F775&gt;=100*0.4,2,IF(F775&gt;=100*0.33,1,0))))))))</f>
        <v/>
      </c>
      <c r="Y775">
        <f>IF(B775="","",IF(G775&lt;16.5,0,IF(G775&gt;=50*0.8,5,IF(G775&gt;=50*0.7,4,IF(G775&gt;=50*0.6,3.5,IF(G775&gt;=50*0.5,3,IF(G775&gt;=50*0.4,2,IF(G775&gt;=50*0.33,1,0))))))))</f>
        <v/>
      </c>
      <c r="Z775">
        <f>IF(B775="","",IF(H775&lt;33.0,0,IF(H775&gt;=100*0.8,5,IF(H775&gt;=100*0.7,4,IF(H775&gt;=100*0.6,3.5,IF(H775&gt;=100*0.5,3,IF(H775&gt;=100*0.4,2,IF(H775&gt;=100*0.33,1,0))))))))</f>
        <v/>
      </c>
      <c r="AA775">
        <f>IF(B775="","",IF(I775&lt;33.0,0,IF(I775&gt;=100*0.8,5,IF(I775&gt;=100*0.7,4,IF(I775&gt;=100*0.6,3.5,IF(I775&gt;=100*0.5,3,IF(I775&gt;=100*0.4,2,IF(I775&gt;=100*0.33,1,0))))))))</f>
        <v/>
      </c>
      <c r="AB775">
        <f>IF(B775="","",IF(J775&lt;33.0,0,IF(J775&gt;=100*0.8,5,IF(J775&gt;=100*0.7,4,IF(J775&gt;=100*0.6,3.5,IF(J775&gt;=100*0.5,3,IF(J775&gt;=100*0.4,2,IF(J775&gt;=100*0.33,1,0))))))))</f>
        <v/>
      </c>
      <c r="AC775">
        <f>IF(B775="","",IF(K775&lt;33.0,0,IF(K775&gt;=100*0.8,5,IF(K775&gt;=100*0.7,4,IF(K775&gt;=100*0.6,3.5,IF(K775&gt;=100*0.5,3,IF(K775&gt;=100*0.4,2,IF(K775&gt;=100*0.33,1,0))))))))</f>
        <v/>
      </c>
      <c r="AD775">
        <f>IF(B775="","",IF(L775&lt;33.0,0,IF(L775&gt;=100*0.8,5,IF(L775&gt;=100*0.7,4,IF(L775&gt;=100*0.6,3.5,IF(L775&gt;=100*0.5,3,IF(L775&gt;=100*0.4,2,IF(L775&gt;=100*0.33,1,0))))))))</f>
        <v/>
      </c>
      <c r="AE775">
        <f>IF(B775="","",IF(M775&lt;33.0,0,IF(M775&gt;=100*0.8,5,IF(M775&gt;=100*0.7,4,IF(M775&gt;=100*0.6,3.5,IF(M775&gt;=100*0.5,3,IF(M775&gt;=100*0.4,2,IF(M775&gt;=100*0.33,1,0))))))))</f>
        <v/>
      </c>
      <c r="AF775">
        <f>IF(B775="","",IF(N775&lt;16.5,0,IF(N775&gt;=50*0.8,5,IF(N775&gt;=50*0.7,4,IF(N775&gt;=50*0.6,3.5,IF(N775&gt;=50*0.5,3,IF(N775&gt;=50*0.4,2,IF(N775&gt;=50*0.33,1,0))))))))</f>
        <v/>
      </c>
      <c r="AG775">
        <f>IF(B775="","",IF(O775&lt;33.0,0,IF(O775&gt;=100*0.8,5,IF(O775&gt;=100*0.7,4,IF(O775&gt;=100*0.6,3.5,IF(O775&gt;=100*0.5,3,IF(O775&gt;=100*0.4,2,IF(O775&gt;=100*0.33,1,0))))))))</f>
        <v/>
      </c>
      <c r="AH775">
        <f>IF(B775="","",IF(OR(U775=0,V775=0,W775=0,X775=0,Y775=0,Z775=0,AA775=0,AB775=0,AC775=0,AD775=0,AE775=0,AF775=0,AG775=0),1,0))</f>
        <v/>
      </c>
    </row>
    <row r="776">
      <c r="A776" s="3">
        <f>IF(B776="","",ROW()-2)</f>
        <v/>
      </c>
      <c r="P776" s="4">
        <f>IF(B776="","",SUM(C776:O776))</f>
        <v/>
      </c>
      <c r="Q776" s="5">
        <f>IF(B776="","",ROUND(P776/13,2))</f>
        <v/>
      </c>
      <c r="R776" s="5">
        <f>IF(B776="","",IF(AH776=1,0,MIN(5,ROUND((U776+V776+W776+X776+Y776+Z776+AA776+AB776+AC776+AD776+AE776+AF776+AG776)/13,2))))</f>
        <v/>
      </c>
      <c r="S776" s="3">
        <f>IF(B776="","",IF(R776&gt;=5,"A+",IF(R776&gt;=4,"A",IF(R776&gt;=3.5,"A-",IF(R776&gt;=3,"B",IF(R776&gt;=2,"C",IF(R776&gt;=1,"D","F")))))))</f>
        <v/>
      </c>
      <c r="T776" s="3">
        <f>IF(OR(B776="",S776="F"),"",COUNTIFS(P:P,"&gt;"&amp;P776,S:S,"&lt;&gt;F")+1)</f>
        <v/>
      </c>
      <c r="U776">
        <f>IF(B776="","",IF(C776&lt;33.0,0,IF(C776&gt;=100*0.8,5,IF(C776&gt;=100*0.7,4,IF(C776&gt;=100*0.6,3.5,IF(C776&gt;=100*0.5,3,IF(C776&gt;=100*0.4,2,IF(C776&gt;=100*0.33,1,0))))))))</f>
        <v/>
      </c>
      <c r="V776">
        <f>IF(B776="","",IF(D776&lt;33.0,0,IF(D776&gt;=100*0.8,5,IF(D776&gt;=100*0.7,4,IF(D776&gt;=100*0.6,3.5,IF(D776&gt;=100*0.5,3,IF(D776&gt;=100*0.4,2,IF(D776&gt;=100*0.33,1,0))))))))</f>
        <v/>
      </c>
      <c r="W776">
        <f>IF(B776="","",IF(E776&lt;16.5,0,IF(E776&gt;=50*0.8,5,IF(E776&gt;=50*0.7,4,IF(E776&gt;=50*0.6,3.5,IF(E776&gt;=50*0.5,3,IF(E776&gt;=50*0.4,2,IF(E776&gt;=50*0.33,1,0))))))))</f>
        <v/>
      </c>
      <c r="X776">
        <f>IF(B776="","",IF(F776&lt;33.0,0,IF(F776&gt;=100*0.8,5,IF(F776&gt;=100*0.7,4,IF(F776&gt;=100*0.6,3.5,IF(F776&gt;=100*0.5,3,IF(F776&gt;=100*0.4,2,IF(F776&gt;=100*0.33,1,0))))))))</f>
        <v/>
      </c>
      <c r="Y776">
        <f>IF(B776="","",IF(G776&lt;16.5,0,IF(G776&gt;=50*0.8,5,IF(G776&gt;=50*0.7,4,IF(G776&gt;=50*0.6,3.5,IF(G776&gt;=50*0.5,3,IF(G776&gt;=50*0.4,2,IF(G776&gt;=50*0.33,1,0))))))))</f>
        <v/>
      </c>
      <c r="Z776">
        <f>IF(B776="","",IF(H776&lt;33.0,0,IF(H776&gt;=100*0.8,5,IF(H776&gt;=100*0.7,4,IF(H776&gt;=100*0.6,3.5,IF(H776&gt;=100*0.5,3,IF(H776&gt;=100*0.4,2,IF(H776&gt;=100*0.33,1,0))))))))</f>
        <v/>
      </c>
      <c r="AA776">
        <f>IF(B776="","",IF(I776&lt;33.0,0,IF(I776&gt;=100*0.8,5,IF(I776&gt;=100*0.7,4,IF(I776&gt;=100*0.6,3.5,IF(I776&gt;=100*0.5,3,IF(I776&gt;=100*0.4,2,IF(I776&gt;=100*0.33,1,0))))))))</f>
        <v/>
      </c>
      <c r="AB776">
        <f>IF(B776="","",IF(J776&lt;33.0,0,IF(J776&gt;=100*0.8,5,IF(J776&gt;=100*0.7,4,IF(J776&gt;=100*0.6,3.5,IF(J776&gt;=100*0.5,3,IF(J776&gt;=100*0.4,2,IF(J776&gt;=100*0.33,1,0))))))))</f>
        <v/>
      </c>
      <c r="AC776">
        <f>IF(B776="","",IF(K776&lt;33.0,0,IF(K776&gt;=100*0.8,5,IF(K776&gt;=100*0.7,4,IF(K776&gt;=100*0.6,3.5,IF(K776&gt;=100*0.5,3,IF(K776&gt;=100*0.4,2,IF(K776&gt;=100*0.33,1,0))))))))</f>
        <v/>
      </c>
      <c r="AD776">
        <f>IF(B776="","",IF(L776&lt;33.0,0,IF(L776&gt;=100*0.8,5,IF(L776&gt;=100*0.7,4,IF(L776&gt;=100*0.6,3.5,IF(L776&gt;=100*0.5,3,IF(L776&gt;=100*0.4,2,IF(L776&gt;=100*0.33,1,0))))))))</f>
        <v/>
      </c>
      <c r="AE776">
        <f>IF(B776="","",IF(M776&lt;33.0,0,IF(M776&gt;=100*0.8,5,IF(M776&gt;=100*0.7,4,IF(M776&gt;=100*0.6,3.5,IF(M776&gt;=100*0.5,3,IF(M776&gt;=100*0.4,2,IF(M776&gt;=100*0.33,1,0))))))))</f>
        <v/>
      </c>
      <c r="AF776">
        <f>IF(B776="","",IF(N776&lt;16.5,0,IF(N776&gt;=50*0.8,5,IF(N776&gt;=50*0.7,4,IF(N776&gt;=50*0.6,3.5,IF(N776&gt;=50*0.5,3,IF(N776&gt;=50*0.4,2,IF(N776&gt;=50*0.33,1,0))))))))</f>
        <v/>
      </c>
      <c r="AG776">
        <f>IF(B776="","",IF(O776&lt;33.0,0,IF(O776&gt;=100*0.8,5,IF(O776&gt;=100*0.7,4,IF(O776&gt;=100*0.6,3.5,IF(O776&gt;=100*0.5,3,IF(O776&gt;=100*0.4,2,IF(O776&gt;=100*0.33,1,0))))))))</f>
        <v/>
      </c>
      <c r="AH776">
        <f>IF(B776="","",IF(OR(U776=0,V776=0,W776=0,X776=0,Y776=0,Z776=0,AA776=0,AB776=0,AC776=0,AD776=0,AE776=0,AF776=0,AG776=0),1,0))</f>
        <v/>
      </c>
    </row>
    <row r="777">
      <c r="A777" s="3">
        <f>IF(B777="","",ROW()-2)</f>
        <v/>
      </c>
      <c r="P777" s="4">
        <f>IF(B777="","",SUM(C777:O777))</f>
        <v/>
      </c>
      <c r="Q777" s="5">
        <f>IF(B777="","",ROUND(P777/13,2))</f>
        <v/>
      </c>
      <c r="R777" s="5">
        <f>IF(B777="","",IF(AH777=1,0,MIN(5,ROUND((U777+V777+W777+X777+Y777+Z777+AA777+AB777+AC777+AD777+AE777+AF777+AG777)/13,2))))</f>
        <v/>
      </c>
      <c r="S777" s="3">
        <f>IF(B777="","",IF(R777&gt;=5,"A+",IF(R777&gt;=4,"A",IF(R777&gt;=3.5,"A-",IF(R777&gt;=3,"B",IF(R777&gt;=2,"C",IF(R777&gt;=1,"D","F")))))))</f>
        <v/>
      </c>
      <c r="T777" s="3">
        <f>IF(OR(B777="",S777="F"),"",COUNTIFS(P:P,"&gt;"&amp;P777,S:S,"&lt;&gt;F")+1)</f>
        <v/>
      </c>
      <c r="U777">
        <f>IF(B777="","",IF(C777&lt;33.0,0,IF(C777&gt;=100*0.8,5,IF(C777&gt;=100*0.7,4,IF(C777&gt;=100*0.6,3.5,IF(C777&gt;=100*0.5,3,IF(C777&gt;=100*0.4,2,IF(C777&gt;=100*0.33,1,0))))))))</f>
        <v/>
      </c>
      <c r="V777">
        <f>IF(B777="","",IF(D777&lt;33.0,0,IF(D777&gt;=100*0.8,5,IF(D777&gt;=100*0.7,4,IF(D777&gt;=100*0.6,3.5,IF(D777&gt;=100*0.5,3,IF(D777&gt;=100*0.4,2,IF(D777&gt;=100*0.33,1,0))))))))</f>
        <v/>
      </c>
      <c r="W777">
        <f>IF(B777="","",IF(E777&lt;16.5,0,IF(E777&gt;=50*0.8,5,IF(E777&gt;=50*0.7,4,IF(E777&gt;=50*0.6,3.5,IF(E777&gt;=50*0.5,3,IF(E777&gt;=50*0.4,2,IF(E777&gt;=50*0.33,1,0))))))))</f>
        <v/>
      </c>
      <c r="X777">
        <f>IF(B777="","",IF(F777&lt;33.0,0,IF(F777&gt;=100*0.8,5,IF(F777&gt;=100*0.7,4,IF(F777&gt;=100*0.6,3.5,IF(F777&gt;=100*0.5,3,IF(F777&gt;=100*0.4,2,IF(F777&gt;=100*0.33,1,0))))))))</f>
        <v/>
      </c>
      <c r="Y777">
        <f>IF(B777="","",IF(G777&lt;16.5,0,IF(G777&gt;=50*0.8,5,IF(G777&gt;=50*0.7,4,IF(G777&gt;=50*0.6,3.5,IF(G777&gt;=50*0.5,3,IF(G777&gt;=50*0.4,2,IF(G777&gt;=50*0.33,1,0))))))))</f>
        <v/>
      </c>
      <c r="Z777">
        <f>IF(B777="","",IF(H777&lt;33.0,0,IF(H777&gt;=100*0.8,5,IF(H777&gt;=100*0.7,4,IF(H777&gt;=100*0.6,3.5,IF(H777&gt;=100*0.5,3,IF(H777&gt;=100*0.4,2,IF(H777&gt;=100*0.33,1,0))))))))</f>
        <v/>
      </c>
      <c r="AA777">
        <f>IF(B777="","",IF(I777&lt;33.0,0,IF(I777&gt;=100*0.8,5,IF(I777&gt;=100*0.7,4,IF(I777&gt;=100*0.6,3.5,IF(I777&gt;=100*0.5,3,IF(I777&gt;=100*0.4,2,IF(I777&gt;=100*0.33,1,0))))))))</f>
        <v/>
      </c>
      <c r="AB777">
        <f>IF(B777="","",IF(J777&lt;33.0,0,IF(J777&gt;=100*0.8,5,IF(J777&gt;=100*0.7,4,IF(J777&gt;=100*0.6,3.5,IF(J777&gt;=100*0.5,3,IF(J777&gt;=100*0.4,2,IF(J777&gt;=100*0.33,1,0))))))))</f>
        <v/>
      </c>
      <c r="AC777">
        <f>IF(B777="","",IF(K777&lt;33.0,0,IF(K777&gt;=100*0.8,5,IF(K777&gt;=100*0.7,4,IF(K777&gt;=100*0.6,3.5,IF(K777&gt;=100*0.5,3,IF(K777&gt;=100*0.4,2,IF(K777&gt;=100*0.33,1,0))))))))</f>
        <v/>
      </c>
      <c r="AD777">
        <f>IF(B777="","",IF(L777&lt;33.0,0,IF(L777&gt;=100*0.8,5,IF(L777&gt;=100*0.7,4,IF(L777&gt;=100*0.6,3.5,IF(L777&gt;=100*0.5,3,IF(L777&gt;=100*0.4,2,IF(L777&gt;=100*0.33,1,0))))))))</f>
        <v/>
      </c>
      <c r="AE777">
        <f>IF(B777="","",IF(M777&lt;33.0,0,IF(M777&gt;=100*0.8,5,IF(M777&gt;=100*0.7,4,IF(M777&gt;=100*0.6,3.5,IF(M777&gt;=100*0.5,3,IF(M777&gt;=100*0.4,2,IF(M777&gt;=100*0.33,1,0))))))))</f>
        <v/>
      </c>
      <c r="AF777">
        <f>IF(B777="","",IF(N777&lt;16.5,0,IF(N777&gt;=50*0.8,5,IF(N777&gt;=50*0.7,4,IF(N777&gt;=50*0.6,3.5,IF(N777&gt;=50*0.5,3,IF(N777&gt;=50*0.4,2,IF(N777&gt;=50*0.33,1,0))))))))</f>
        <v/>
      </c>
      <c r="AG777">
        <f>IF(B777="","",IF(O777&lt;33.0,0,IF(O777&gt;=100*0.8,5,IF(O777&gt;=100*0.7,4,IF(O777&gt;=100*0.6,3.5,IF(O777&gt;=100*0.5,3,IF(O777&gt;=100*0.4,2,IF(O777&gt;=100*0.33,1,0))))))))</f>
        <v/>
      </c>
      <c r="AH777">
        <f>IF(B777="","",IF(OR(U777=0,V777=0,W777=0,X777=0,Y777=0,Z777=0,AA777=0,AB777=0,AC777=0,AD777=0,AE777=0,AF777=0,AG777=0),1,0))</f>
        <v/>
      </c>
    </row>
    <row r="778">
      <c r="A778" s="3">
        <f>IF(B778="","",ROW()-2)</f>
        <v/>
      </c>
      <c r="P778" s="4">
        <f>IF(B778="","",SUM(C778:O778))</f>
        <v/>
      </c>
      <c r="Q778" s="5">
        <f>IF(B778="","",ROUND(P778/13,2))</f>
        <v/>
      </c>
      <c r="R778" s="5">
        <f>IF(B778="","",IF(AH778=1,0,MIN(5,ROUND((U778+V778+W778+X778+Y778+Z778+AA778+AB778+AC778+AD778+AE778+AF778+AG778)/13,2))))</f>
        <v/>
      </c>
      <c r="S778" s="3">
        <f>IF(B778="","",IF(R778&gt;=5,"A+",IF(R778&gt;=4,"A",IF(R778&gt;=3.5,"A-",IF(R778&gt;=3,"B",IF(R778&gt;=2,"C",IF(R778&gt;=1,"D","F")))))))</f>
        <v/>
      </c>
      <c r="T778" s="3">
        <f>IF(OR(B778="",S778="F"),"",COUNTIFS(P:P,"&gt;"&amp;P778,S:S,"&lt;&gt;F")+1)</f>
        <v/>
      </c>
      <c r="U778">
        <f>IF(B778="","",IF(C778&lt;33.0,0,IF(C778&gt;=100*0.8,5,IF(C778&gt;=100*0.7,4,IF(C778&gt;=100*0.6,3.5,IF(C778&gt;=100*0.5,3,IF(C778&gt;=100*0.4,2,IF(C778&gt;=100*0.33,1,0))))))))</f>
        <v/>
      </c>
      <c r="V778">
        <f>IF(B778="","",IF(D778&lt;33.0,0,IF(D778&gt;=100*0.8,5,IF(D778&gt;=100*0.7,4,IF(D778&gt;=100*0.6,3.5,IF(D778&gt;=100*0.5,3,IF(D778&gt;=100*0.4,2,IF(D778&gt;=100*0.33,1,0))))))))</f>
        <v/>
      </c>
      <c r="W778">
        <f>IF(B778="","",IF(E778&lt;16.5,0,IF(E778&gt;=50*0.8,5,IF(E778&gt;=50*0.7,4,IF(E778&gt;=50*0.6,3.5,IF(E778&gt;=50*0.5,3,IF(E778&gt;=50*0.4,2,IF(E778&gt;=50*0.33,1,0))))))))</f>
        <v/>
      </c>
      <c r="X778">
        <f>IF(B778="","",IF(F778&lt;33.0,0,IF(F778&gt;=100*0.8,5,IF(F778&gt;=100*0.7,4,IF(F778&gt;=100*0.6,3.5,IF(F778&gt;=100*0.5,3,IF(F778&gt;=100*0.4,2,IF(F778&gt;=100*0.33,1,0))))))))</f>
        <v/>
      </c>
      <c r="Y778">
        <f>IF(B778="","",IF(G778&lt;16.5,0,IF(G778&gt;=50*0.8,5,IF(G778&gt;=50*0.7,4,IF(G778&gt;=50*0.6,3.5,IF(G778&gt;=50*0.5,3,IF(G778&gt;=50*0.4,2,IF(G778&gt;=50*0.33,1,0))))))))</f>
        <v/>
      </c>
      <c r="Z778">
        <f>IF(B778="","",IF(H778&lt;33.0,0,IF(H778&gt;=100*0.8,5,IF(H778&gt;=100*0.7,4,IF(H778&gt;=100*0.6,3.5,IF(H778&gt;=100*0.5,3,IF(H778&gt;=100*0.4,2,IF(H778&gt;=100*0.33,1,0))))))))</f>
        <v/>
      </c>
      <c r="AA778">
        <f>IF(B778="","",IF(I778&lt;33.0,0,IF(I778&gt;=100*0.8,5,IF(I778&gt;=100*0.7,4,IF(I778&gt;=100*0.6,3.5,IF(I778&gt;=100*0.5,3,IF(I778&gt;=100*0.4,2,IF(I778&gt;=100*0.33,1,0))))))))</f>
        <v/>
      </c>
      <c r="AB778">
        <f>IF(B778="","",IF(J778&lt;33.0,0,IF(J778&gt;=100*0.8,5,IF(J778&gt;=100*0.7,4,IF(J778&gt;=100*0.6,3.5,IF(J778&gt;=100*0.5,3,IF(J778&gt;=100*0.4,2,IF(J778&gt;=100*0.33,1,0))))))))</f>
        <v/>
      </c>
      <c r="AC778">
        <f>IF(B778="","",IF(K778&lt;33.0,0,IF(K778&gt;=100*0.8,5,IF(K778&gt;=100*0.7,4,IF(K778&gt;=100*0.6,3.5,IF(K778&gt;=100*0.5,3,IF(K778&gt;=100*0.4,2,IF(K778&gt;=100*0.33,1,0))))))))</f>
        <v/>
      </c>
      <c r="AD778">
        <f>IF(B778="","",IF(L778&lt;33.0,0,IF(L778&gt;=100*0.8,5,IF(L778&gt;=100*0.7,4,IF(L778&gt;=100*0.6,3.5,IF(L778&gt;=100*0.5,3,IF(L778&gt;=100*0.4,2,IF(L778&gt;=100*0.33,1,0))))))))</f>
        <v/>
      </c>
      <c r="AE778">
        <f>IF(B778="","",IF(M778&lt;33.0,0,IF(M778&gt;=100*0.8,5,IF(M778&gt;=100*0.7,4,IF(M778&gt;=100*0.6,3.5,IF(M778&gt;=100*0.5,3,IF(M778&gt;=100*0.4,2,IF(M778&gt;=100*0.33,1,0))))))))</f>
        <v/>
      </c>
      <c r="AF778">
        <f>IF(B778="","",IF(N778&lt;16.5,0,IF(N778&gt;=50*0.8,5,IF(N778&gt;=50*0.7,4,IF(N778&gt;=50*0.6,3.5,IF(N778&gt;=50*0.5,3,IF(N778&gt;=50*0.4,2,IF(N778&gt;=50*0.33,1,0))))))))</f>
        <v/>
      </c>
      <c r="AG778">
        <f>IF(B778="","",IF(O778&lt;33.0,0,IF(O778&gt;=100*0.8,5,IF(O778&gt;=100*0.7,4,IF(O778&gt;=100*0.6,3.5,IF(O778&gt;=100*0.5,3,IF(O778&gt;=100*0.4,2,IF(O778&gt;=100*0.33,1,0))))))))</f>
        <v/>
      </c>
      <c r="AH778">
        <f>IF(B778="","",IF(OR(U778=0,V778=0,W778=0,X778=0,Y778=0,Z778=0,AA778=0,AB778=0,AC778=0,AD778=0,AE778=0,AF778=0,AG778=0),1,0))</f>
        <v/>
      </c>
    </row>
    <row r="779">
      <c r="A779" s="3">
        <f>IF(B779="","",ROW()-2)</f>
        <v/>
      </c>
      <c r="P779" s="4">
        <f>IF(B779="","",SUM(C779:O779))</f>
        <v/>
      </c>
      <c r="Q779" s="5">
        <f>IF(B779="","",ROUND(P779/13,2))</f>
        <v/>
      </c>
      <c r="R779" s="5">
        <f>IF(B779="","",IF(AH779=1,0,MIN(5,ROUND((U779+V779+W779+X779+Y779+Z779+AA779+AB779+AC779+AD779+AE779+AF779+AG779)/13,2))))</f>
        <v/>
      </c>
      <c r="S779" s="3">
        <f>IF(B779="","",IF(R779&gt;=5,"A+",IF(R779&gt;=4,"A",IF(R779&gt;=3.5,"A-",IF(R779&gt;=3,"B",IF(R779&gt;=2,"C",IF(R779&gt;=1,"D","F")))))))</f>
        <v/>
      </c>
      <c r="T779" s="3">
        <f>IF(OR(B779="",S779="F"),"",COUNTIFS(P:P,"&gt;"&amp;P779,S:S,"&lt;&gt;F")+1)</f>
        <v/>
      </c>
      <c r="U779">
        <f>IF(B779="","",IF(C779&lt;33.0,0,IF(C779&gt;=100*0.8,5,IF(C779&gt;=100*0.7,4,IF(C779&gt;=100*0.6,3.5,IF(C779&gt;=100*0.5,3,IF(C779&gt;=100*0.4,2,IF(C779&gt;=100*0.33,1,0))))))))</f>
        <v/>
      </c>
      <c r="V779">
        <f>IF(B779="","",IF(D779&lt;33.0,0,IF(D779&gt;=100*0.8,5,IF(D779&gt;=100*0.7,4,IF(D779&gt;=100*0.6,3.5,IF(D779&gt;=100*0.5,3,IF(D779&gt;=100*0.4,2,IF(D779&gt;=100*0.33,1,0))))))))</f>
        <v/>
      </c>
      <c r="W779">
        <f>IF(B779="","",IF(E779&lt;16.5,0,IF(E779&gt;=50*0.8,5,IF(E779&gt;=50*0.7,4,IF(E779&gt;=50*0.6,3.5,IF(E779&gt;=50*0.5,3,IF(E779&gt;=50*0.4,2,IF(E779&gt;=50*0.33,1,0))))))))</f>
        <v/>
      </c>
      <c r="X779">
        <f>IF(B779="","",IF(F779&lt;33.0,0,IF(F779&gt;=100*0.8,5,IF(F779&gt;=100*0.7,4,IF(F779&gt;=100*0.6,3.5,IF(F779&gt;=100*0.5,3,IF(F779&gt;=100*0.4,2,IF(F779&gt;=100*0.33,1,0))))))))</f>
        <v/>
      </c>
      <c r="Y779">
        <f>IF(B779="","",IF(G779&lt;16.5,0,IF(G779&gt;=50*0.8,5,IF(G779&gt;=50*0.7,4,IF(G779&gt;=50*0.6,3.5,IF(G779&gt;=50*0.5,3,IF(G779&gt;=50*0.4,2,IF(G779&gt;=50*0.33,1,0))))))))</f>
        <v/>
      </c>
      <c r="Z779">
        <f>IF(B779="","",IF(H779&lt;33.0,0,IF(H779&gt;=100*0.8,5,IF(H779&gt;=100*0.7,4,IF(H779&gt;=100*0.6,3.5,IF(H779&gt;=100*0.5,3,IF(H779&gt;=100*0.4,2,IF(H779&gt;=100*0.33,1,0))))))))</f>
        <v/>
      </c>
      <c r="AA779">
        <f>IF(B779="","",IF(I779&lt;33.0,0,IF(I779&gt;=100*0.8,5,IF(I779&gt;=100*0.7,4,IF(I779&gt;=100*0.6,3.5,IF(I779&gt;=100*0.5,3,IF(I779&gt;=100*0.4,2,IF(I779&gt;=100*0.33,1,0))))))))</f>
        <v/>
      </c>
      <c r="AB779">
        <f>IF(B779="","",IF(J779&lt;33.0,0,IF(J779&gt;=100*0.8,5,IF(J779&gt;=100*0.7,4,IF(J779&gt;=100*0.6,3.5,IF(J779&gt;=100*0.5,3,IF(J779&gt;=100*0.4,2,IF(J779&gt;=100*0.33,1,0))))))))</f>
        <v/>
      </c>
      <c r="AC779">
        <f>IF(B779="","",IF(K779&lt;33.0,0,IF(K779&gt;=100*0.8,5,IF(K779&gt;=100*0.7,4,IF(K779&gt;=100*0.6,3.5,IF(K779&gt;=100*0.5,3,IF(K779&gt;=100*0.4,2,IF(K779&gt;=100*0.33,1,0))))))))</f>
        <v/>
      </c>
      <c r="AD779">
        <f>IF(B779="","",IF(L779&lt;33.0,0,IF(L779&gt;=100*0.8,5,IF(L779&gt;=100*0.7,4,IF(L779&gt;=100*0.6,3.5,IF(L779&gt;=100*0.5,3,IF(L779&gt;=100*0.4,2,IF(L779&gt;=100*0.33,1,0))))))))</f>
        <v/>
      </c>
      <c r="AE779">
        <f>IF(B779="","",IF(M779&lt;33.0,0,IF(M779&gt;=100*0.8,5,IF(M779&gt;=100*0.7,4,IF(M779&gt;=100*0.6,3.5,IF(M779&gt;=100*0.5,3,IF(M779&gt;=100*0.4,2,IF(M779&gt;=100*0.33,1,0))))))))</f>
        <v/>
      </c>
      <c r="AF779">
        <f>IF(B779="","",IF(N779&lt;16.5,0,IF(N779&gt;=50*0.8,5,IF(N779&gt;=50*0.7,4,IF(N779&gt;=50*0.6,3.5,IF(N779&gt;=50*0.5,3,IF(N779&gt;=50*0.4,2,IF(N779&gt;=50*0.33,1,0))))))))</f>
        <v/>
      </c>
      <c r="AG779">
        <f>IF(B779="","",IF(O779&lt;33.0,0,IF(O779&gt;=100*0.8,5,IF(O779&gt;=100*0.7,4,IF(O779&gt;=100*0.6,3.5,IF(O779&gt;=100*0.5,3,IF(O779&gt;=100*0.4,2,IF(O779&gt;=100*0.33,1,0))))))))</f>
        <v/>
      </c>
      <c r="AH779">
        <f>IF(B779="","",IF(OR(U779=0,V779=0,W779=0,X779=0,Y779=0,Z779=0,AA779=0,AB779=0,AC779=0,AD779=0,AE779=0,AF779=0,AG779=0),1,0))</f>
        <v/>
      </c>
    </row>
    <row r="780">
      <c r="A780" s="3">
        <f>IF(B780="","",ROW()-2)</f>
        <v/>
      </c>
      <c r="P780" s="4">
        <f>IF(B780="","",SUM(C780:O780))</f>
        <v/>
      </c>
      <c r="Q780" s="5">
        <f>IF(B780="","",ROUND(P780/13,2))</f>
        <v/>
      </c>
      <c r="R780" s="5">
        <f>IF(B780="","",IF(AH780=1,0,MIN(5,ROUND((U780+V780+W780+X780+Y780+Z780+AA780+AB780+AC780+AD780+AE780+AF780+AG780)/13,2))))</f>
        <v/>
      </c>
      <c r="S780" s="3">
        <f>IF(B780="","",IF(R780&gt;=5,"A+",IF(R780&gt;=4,"A",IF(R780&gt;=3.5,"A-",IF(R780&gt;=3,"B",IF(R780&gt;=2,"C",IF(R780&gt;=1,"D","F")))))))</f>
        <v/>
      </c>
      <c r="T780" s="3">
        <f>IF(OR(B780="",S780="F"),"",COUNTIFS(P:P,"&gt;"&amp;P780,S:S,"&lt;&gt;F")+1)</f>
        <v/>
      </c>
      <c r="U780">
        <f>IF(B780="","",IF(C780&lt;33.0,0,IF(C780&gt;=100*0.8,5,IF(C780&gt;=100*0.7,4,IF(C780&gt;=100*0.6,3.5,IF(C780&gt;=100*0.5,3,IF(C780&gt;=100*0.4,2,IF(C780&gt;=100*0.33,1,0))))))))</f>
        <v/>
      </c>
      <c r="V780">
        <f>IF(B780="","",IF(D780&lt;33.0,0,IF(D780&gt;=100*0.8,5,IF(D780&gt;=100*0.7,4,IF(D780&gt;=100*0.6,3.5,IF(D780&gt;=100*0.5,3,IF(D780&gt;=100*0.4,2,IF(D780&gt;=100*0.33,1,0))))))))</f>
        <v/>
      </c>
      <c r="W780">
        <f>IF(B780="","",IF(E780&lt;16.5,0,IF(E780&gt;=50*0.8,5,IF(E780&gt;=50*0.7,4,IF(E780&gt;=50*0.6,3.5,IF(E780&gt;=50*0.5,3,IF(E780&gt;=50*0.4,2,IF(E780&gt;=50*0.33,1,0))))))))</f>
        <v/>
      </c>
      <c r="X780">
        <f>IF(B780="","",IF(F780&lt;33.0,0,IF(F780&gt;=100*0.8,5,IF(F780&gt;=100*0.7,4,IF(F780&gt;=100*0.6,3.5,IF(F780&gt;=100*0.5,3,IF(F780&gt;=100*0.4,2,IF(F780&gt;=100*0.33,1,0))))))))</f>
        <v/>
      </c>
      <c r="Y780">
        <f>IF(B780="","",IF(G780&lt;16.5,0,IF(G780&gt;=50*0.8,5,IF(G780&gt;=50*0.7,4,IF(G780&gt;=50*0.6,3.5,IF(G780&gt;=50*0.5,3,IF(G780&gt;=50*0.4,2,IF(G780&gt;=50*0.33,1,0))))))))</f>
        <v/>
      </c>
      <c r="Z780">
        <f>IF(B780="","",IF(H780&lt;33.0,0,IF(H780&gt;=100*0.8,5,IF(H780&gt;=100*0.7,4,IF(H780&gt;=100*0.6,3.5,IF(H780&gt;=100*0.5,3,IF(H780&gt;=100*0.4,2,IF(H780&gt;=100*0.33,1,0))))))))</f>
        <v/>
      </c>
      <c r="AA780">
        <f>IF(B780="","",IF(I780&lt;33.0,0,IF(I780&gt;=100*0.8,5,IF(I780&gt;=100*0.7,4,IF(I780&gt;=100*0.6,3.5,IF(I780&gt;=100*0.5,3,IF(I780&gt;=100*0.4,2,IF(I780&gt;=100*0.33,1,0))))))))</f>
        <v/>
      </c>
      <c r="AB780">
        <f>IF(B780="","",IF(J780&lt;33.0,0,IF(J780&gt;=100*0.8,5,IF(J780&gt;=100*0.7,4,IF(J780&gt;=100*0.6,3.5,IF(J780&gt;=100*0.5,3,IF(J780&gt;=100*0.4,2,IF(J780&gt;=100*0.33,1,0))))))))</f>
        <v/>
      </c>
      <c r="AC780">
        <f>IF(B780="","",IF(K780&lt;33.0,0,IF(K780&gt;=100*0.8,5,IF(K780&gt;=100*0.7,4,IF(K780&gt;=100*0.6,3.5,IF(K780&gt;=100*0.5,3,IF(K780&gt;=100*0.4,2,IF(K780&gt;=100*0.33,1,0))))))))</f>
        <v/>
      </c>
      <c r="AD780">
        <f>IF(B780="","",IF(L780&lt;33.0,0,IF(L780&gt;=100*0.8,5,IF(L780&gt;=100*0.7,4,IF(L780&gt;=100*0.6,3.5,IF(L780&gt;=100*0.5,3,IF(L780&gt;=100*0.4,2,IF(L780&gt;=100*0.33,1,0))))))))</f>
        <v/>
      </c>
      <c r="AE780">
        <f>IF(B780="","",IF(M780&lt;33.0,0,IF(M780&gt;=100*0.8,5,IF(M780&gt;=100*0.7,4,IF(M780&gt;=100*0.6,3.5,IF(M780&gt;=100*0.5,3,IF(M780&gt;=100*0.4,2,IF(M780&gt;=100*0.33,1,0))))))))</f>
        <v/>
      </c>
      <c r="AF780">
        <f>IF(B780="","",IF(N780&lt;16.5,0,IF(N780&gt;=50*0.8,5,IF(N780&gt;=50*0.7,4,IF(N780&gt;=50*0.6,3.5,IF(N780&gt;=50*0.5,3,IF(N780&gt;=50*0.4,2,IF(N780&gt;=50*0.33,1,0))))))))</f>
        <v/>
      </c>
      <c r="AG780">
        <f>IF(B780="","",IF(O780&lt;33.0,0,IF(O780&gt;=100*0.8,5,IF(O780&gt;=100*0.7,4,IF(O780&gt;=100*0.6,3.5,IF(O780&gt;=100*0.5,3,IF(O780&gt;=100*0.4,2,IF(O780&gt;=100*0.33,1,0))))))))</f>
        <v/>
      </c>
      <c r="AH780">
        <f>IF(B780="","",IF(OR(U780=0,V780=0,W780=0,X780=0,Y780=0,Z780=0,AA780=0,AB780=0,AC780=0,AD780=0,AE780=0,AF780=0,AG780=0),1,0))</f>
        <v/>
      </c>
    </row>
    <row r="781">
      <c r="A781" s="3">
        <f>IF(B781="","",ROW()-2)</f>
        <v/>
      </c>
      <c r="P781" s="4">
        <f>IF(B781="","",SUM(C781:O781))</f>
        <v/>
      </c>
      <c r="Q781" s="5">
        <f>IF(B781="","",ROUND(P781/13,2))</f>
        <v/>
      </c>
      <c r="R781" s="5">
        <f>IF(B781="","",IF(AH781=1,0,MIN(5,ROUND((U781+V781+W781+X781+Y781+Z781+AA781+AB781+AC781+AD781+AE781+AF781+AG781)/13,2))))</f>
        <v/>
      </c>
      <c r="S781" s="3">
        <f>IF(B781="","",IF(R781&gt;=5,"A+",IF(R781&gt;=4,"A",IF(R781&gt;=3.5,"A-",IF(R781&gt;=3,"B",IF(R781&gt;=2,"C",IF(R781&gt;=1,"D","F")))))))</f>
        <v/>
      </c>
      <c r="T781" s="3">
        <f>IF(OR(B781="",S781="F"),"",COUNTIFS(P:P,"&gt;"&amp;P781,S:S,"&lt;&gt;F")+1)</f>
        <v/>
      </c>
      <c r="U781">
        <f>IF(B781="","",IF(C781&lt;33.0,0,IF(C781&gt;=100*0.8,5,IF(C781&gt;=100*0.7,4,IF(C781&gt;=100*0.6,3.5,IF(C781&gt;=100*0.5,3,IF(C781&gt;=100*0.4,2,IF(C781&gt;=100*0.33,1,0))))))))</f>
        <v/>
      </c>
      <c r="V781">
        <f>IF(B781="","",IF(D781&lt;33.0,0,IF(D781&gt;=100*0.8,5,IF(D781&gt;=100*0.7,4,IF(D781&gt;=100*0.6,3.5,IF(D781&gt;=100*0.5,3,IF(D781&gt;=100*0.4,2,IF(D781&gt;=100*0.33,1,0))))))))</f>
        <v/>
      </c>
      <c r="W781">
        <f>IF(B781="","",IF(E781&lt;16.5,0,IF(E781&gt;=50*0.8,5,IF(E781&gt;=50*0.7,4,IF(E781&gt;=50*0.6,3.5,IF(E781&gt;=50*0.5,3,IF(E781&gt;=50*0.4,2,IF(E781&gt;=50*0.33,1,0))))))))</f>
        <v/>
      </c>
      <c r="X781">
        <f>IF(B781="","",IF(F781&lt;33.0,0,IF(F781&gt;=100*0.8,5,IF(F781&gt;=100*0.7,4,IF(F781&gt;=100*0.6,3.5,IF(F781&gt;=100*0.5,3,IF(F781&gt;=100*0.4,2,IF(F781&gt;=100*0.33,1,0))))))))</f>
        <v/>
      </c>
      <c r="Y781">
        <f>IF(B781="","",IF(G781&lt;16.5,0,IF(G781&gt;=50*0.8,5,IF(G781&gt;=50*0.7,4,IF(G781&gt;=50*0.6,3.5,IF(G781&gt;=50*0.5,3,IF(G781&gt;=50*0.4,2,IF(G781&gt;=50*0.33,1,0))))))))</f>
        <v/>
      </c>
      <c r="Z781">
        <f>IF(B781="","",IF(H781&lt;33.0,0,IF(H781&gt;=100*0.8,5,IF(H781&gt;=100*0.7,4,IF(H781&gt;=100*0.6,3.5,IF(H781&gt;=100*0.5,3,IF(H781&gt;=100*0.4,2,IF(H781&gt;=100*0.33,1,0))))))))</f>
        <v/>
      </c>
      <c r="AA781">
        <f>IF(B781="","",IF(I781&lt;33.0,0,IF(I781&gt;=100*0.8,5,IF(I781&gt;=100*0.7,4,IF(I781&gt;=100*0.6,3.5,IF(I781&gt;=100*0.5,3,IF(I781&gt;=100*0.4,2,IF(I781&gt;=100*0.33,1,0))))))))</f>
        <v/>
      </c>
      <c r="AB781">
        <f>IF(B781="","",IF(J781&lt;33.0,0,IF(J781&gt;=100*0.8,5,IF(J781&gt;=100*0.7,4,IF(J781&gt;=100*0.6,3.5,IF(J781&gt;=100*0.5,3,IF(J781&gt;=100*0.4,2,IF(J781&gt;=100*0.33,1,0))))))))</f>
        <v/>
      </c>
      <c r="AC781">
        <f>IF(B781="","",IF(K781&lt;33.0,0,IF(K781&gt;=100*0.8,5,IF(K781&gt;=100*0.7,4,IF(K781&gt;=100*0.6,3.5,IF(K781&gt;=100*0.5,3,IF(K781&gt;=100*0.4,2,IF(K781&gt;=100*0.33,1,0))))))))</f>
        <v/>
      </c>
      <c r="AD781">
        <f>IF(B781="","",IF(L781&lt;33.0,0,IF(L781&gt;=100*0.8,5,IF(L781&gt;=100*0.7,4,IF(L781&gt;=100*0.6,3.5,IF(L781&gt;=100*0.5,3,IF(L781&gt;=100*0.4,2,IF(L781&gt;=100*0.33,1,0))))))))</f>
        <v/>
      </c>
      <c r="AE781">
        <f>IF(B781="","",IF(M781&lt;33.0,0,IF(M781&gt;=100*0.8,5,IF(M781&gt;=100*0.7,4,IF(M781&gt;=100*0.6,3.5,IF(M781&gt;=100*0.5,3,IF(M781&gt;=100*0.4,2,IF(M781&gt;=100*0.33,1,0))))))))</f>
        <v/>
      </c>
      <c r="AF781">
        <f>IF(B781="","",IF(N781&lt;16.5,0,IF(N781&gt;=50*0.8,5,IF(N781&gt;=50*0.7,4,IF(N781&gt;=50*0.6,3.5,IF(N781&gt;=50*0.5,3,IF(N781&gt;=50*0.4,2,IF(N781&gt;=50*0.33,1,0))))))))</f>
        <v/>
      </c>
      <c r="AG781">
        <f>IF(B781="","",IF(O781&lt;33.0,0,IF(O781&gt;=100*0.8,5,IF(O781&gt;=100*0.7,4,IF(O781&gt;=100*0.6,3.5,IF(O781&gt;=100*0.5,3,IF(O781&gt;=100*0.4,2,IF(O781&gt;=100*0.33,1,0))))))))</f>
        <v/>
      </c>
      <c r="AH781">
        <f>IF(B781="","",IF(OR(U781=0,V781=0,W781=0,X781=0,Y781=0,Z781=0,AA781=0,AB781=0,AC781=0,AD781=0,AE781=0,AF781=0,AG781=0),1,0))</f>
        <v/>
      </c>
    </row>
    <row r="782">
      <c r="A782" s="3">
        <f>IF(B782="","",ROW()-2)</f>
        <v/>
      </c>
      <c r="P782" s="4">
        <f>IF(B782="","",SUM(C782:O782))</f>
        <v/>
      </c>
      <c r="Q782" s="5">
        <f>IF(B782="","",ROUND(P782/13,2))</f>
        <v/>
      </c>
      <c r="R782" s="5">
        <f>IF(B782="","",IF(AH782=1,0,MIN(5,ROUND((U782+V782+W782+X782+Y782+Z782+AA782+AB782+AC782+AD782+AE782+AF782+AG782)/13,2))))</f>
        <v/>
      </c>
      <c r="S782" s="3">
        <f>IF(B782="","",IF(R782&gt;=5,"A+",IF(R782&gt;=4,"A",IF(R782&gt;=3.5,"A-",IF(R782&gt;=3,"B",IF(R782&gt;=2,"C",IF(R782&gt;=1,"D","F")))))))</f>
        <v/>
      </c>
      <c r="T782" s="3">
        <f>IF(OR(B782="",S782="F"),"",COUNTIFS(P:P,"&gt;"&amp;P782,S:S,"&lt;&gt;F")+1)</f>
        <v/>
      </c>
      <c r="U782">
        <f>IF(B782="","",IF(C782&lt;33.0,0,IF(C782&gt;=100*0.8,5,IF(C782&gt;=100*0.7,4,IF(C782&gt;=100*0.6,3.5,IF(C782&gt;=100*0.5,3,IF(C782&gt;=100*0.4,2,IF(C782&gt;=100*0.33,1,0))))))))</f>
        <v/>
      </c>
      <c r="V782">
        <f>IF(B782="","",IF(D782&lt;33.0,0,IF(D782&gt;=100*0.8,5,IF(D782&gt;=100*0.7,4,IF(D782&gt;=100*0.6,3.5,IF(D782&gt;=100*0.5,3,IF(D782&gt;=100*0.4,2,IF(D782&gt;=100*0.33,1,0))))))))</f>
        <v/>
      </c>
      <c r="W782">
        <f>IF(B782="","",IF(E782&lt;16.5,0,IF(E782&gt;=50*0.8,5,IF(E782&gt;=50*0.7,4,IF(E782&gt;=50*0.6,3.5,IF(E782&gt;=50*0.5,3,IF(E782&gt;=50*0.4,2,IF(E782&gt;=50*0.33,1,0))))))))</f>
        <v/>
      </c>
      <c r="X782">
        <f>IF(B782="","",IF(F782&lt;33.0,0,IF(F782&gt;=100*0.8,5,IF(F782&gt;=100*0.7,4,IF(F782&gt;=100*0.6,3.5,IF(F782&gt;=100*0.5,3,IF(F782&gt;=100*0.4,2,IF(F782&gt;=100*0.33,1,0))))))))</f>
        <v/>
      </c>
      <c r="Y782">
        <f>IF(B782="","",IF(G782&lt;16.5,0,IF(G782&gt;=50*0.8,5,IF(G782&gt;=50*0.7,4,IF(G782&gt;=50*0.6,3.5,IF(G782&gt;=50*0.5,3,IF(G782&gt;=50*0.4,2,IF(G782&gt;=50*0.33,1,0))))))))</f>
        <v/>
      </c>
      <c r="Z782">
        <f>IF(B782="","",IF(H782&lt;33.0,0,IF(H782&gt;=100*0.8,5,IF(H782&gt;=100*0.7,4,IF(H782&gt;=100*0.6,3.5,IF(H782&gt;=100*0.5,3,IF(H782&gt;=100*0.4,2,IF(H782&gt;=100*0.33,1,0))))))))</f>
        <v/>
      </c>
      <c r="AA782">
        <f>IF(B782="","",IF(I782&lt;33.0,0,IF(I782&gt;=100*0.8,5,IF(I782&gt;=100*0.7,4,IF(I782&gt;=100*0.6,3.5,IF(I782&gt;=100*0.5,3,IF(I782&gt;=100*0.4,2,IF(I782&gt;=100*0.33,1,0))))))))</f>
        <v/>
      </c>
      <c r="AB782">
        <f>IF(B782="","",IF(J782&lt;33.0,0,IF(J782&gt;=100*0.8,5,IF(J782&gt;=100*0.7,4,IF(J782&gt;=100*0.6,3.5,IF(J782&gt;=100*0.5,3,IF(J782&gt;=100*0.4,2,IF(J782&gt;=100*0.33,1,0))))))))</f>
        <v/>
      </c>
      <c r="AC782">
        <f>IF(B782="","",IF(K782&lt;33.0,0,IF(K782&gt;=100*0.8,5,IF(K782&gt;=100*0.7,4,IF(K782&gt;=100*0.6,3.5,IF(K782&gt;=100*0.5,3,IF(K782&gt;=100*0.4,2,IF(K782&gt;=100*0.33,1,0))))))))</f>
        <v/>
      </c>
      <c r="AD782">
        <f>IF(B782="","",IF(L782&lt;33.0,0,IF(L782&gt;=100*0.8,5,IF(L782&gt;=100*0.7,4,IF(L782&gt;=100*0.6,3.5,IF(L782&gt;=100*0.5,3,IF(L782&gt;=100*0.4,2,IF(L782&gt;=100*0.33,1,0))))))))</f>
        <v/>
      </c>
      <c r="AE782">
        <f>IF(B782="","",IF(M782&lt;33.0,0,IF(M782&gt;=100*0.8,5,IF(M782&gt;=100*0.7,4,IF(M782&gt;=100*0.6,3.5,IF(M782&gt;=100*0.5,3,IF(M782&gt;=100*0.4,2,IF(M782&gt;=100*0.33,1,0))))))))</f>
        <v/>
      </c>
      <c r="AF782">
        <f>IF(B782="","",IF(N782&lt;16.5,0,IF(N782&gt;=50*0.8,5,IF(N782&gt;=50*0.7,4,IF(N782&gt;=50*0.6,3.5,IF(N782&gt;=50*0.5,3,IF(N782&gt;=50*0.4,2,IF(N782&gt;=50*0.33,1,0))))))))</f>
        <v/>
      </c>
      <c r="AG782">
        <f>IF(B782="","",IF(O782&lt;33.0,0,IF(O782&gt;=100*0.8,5,IF(O782&gt;=100*0.7,4,IF(O782&gt;=100*0.6,3.5,IF(O782&gt;=100*0.5,3,IF(O782&gt;=100*0.4,2,IF(O782&gt;=100*0.33,1,0))))))))</f>
        <v/>
      </c>
      <c r="AH782">
        <f>IF(B782="","",IF(OR(U782=0,V782=0,W782=0,X782=0,Y782=0,Z782=0,AA782=0,AB782=0,AC782=0,AD782=0,AE782=0,AF782=0,AG782=0),1,0))</f>
        <v/>
      </c>
    </row>
    <row r="783">
      <c r="A783" s="3">
        <f>IF(B783="","",ROW()-2)</f>
        <v/>
      </c>
      <c r="P783" s="4">
        <f>IF(B783="","",SUM(C783:O783))</f>
        <v/>
      </c>
      <c r="Q783" s="5">
        <f>IF(B783="","",ROUND(P783/13,2))</f>
        <v/>
      </c>
      <c r="R783" s="5">
        <f>IF(B783="","",IF(AH783=1,0,MIN(5,ROUND((U783+V783+W783+X783+Y783+Z783+AA783+AB783+AC783+AD783+AE783+AF783+AG783)/13,2))))</f>
        <v/>
      </c>
      <c r="S783" s="3">
        <f>IF(B783="","",IF(R783&gt;=5,"A+",IF(R783&gt;=4,"A",IF(R783&gt;=3.5,"A-",IF(R783&gt;=3,"B",IF(R783&gt;=2,"C",IF(R783&gt;=1,"D","F")))))))</f>
        <v/>
      </c>
      <c r="T783" s="3">
        <f>IF(OR(B783="",S783="F"),"",COUNTIFS(P:P,"&gt;"&amp;P783,S:S,"&lt;&gt;F")+1)</f>
        <v/>
      </c>
      <c r="U783">
        <f>IF(B783="","",IF(C783&lt;33.0,0,IF(C783&gt;=100*0.8,5,IF(C783&gt;=100*0.7,4,IF(C783&gt;=100*0.6,3.5,IF(C783&gt;=100*0.5,3,IF(C783&gt;=100*0.4,2,IF(C783&gt;=100*0.33,1,0))))))))</f>
        <v/>
      </c>
      <c r="V783">
        <f>IF(B783="","",IF(D783&lt;33.0,0,IF(D783&gt;=100*0.8,5,IF(D783&gt;=100*0.7,4,IF(D783&gt;=100*0.6,3.5,IF(D783&gt;=100*0.5,3,IF(D783&gt;=100*0.4,2,IF(D783&gt;=100*0.33,1,0))))))))</f>
        <v/>
      </c>
      <c r="W783">
        <f>IF(B783="","",IF(E783&lt;16.5,0,IF(E783&gt;=50*0.8,5,IF(E783&gt;=50*0.7,4,IF(E783&gt;=50*0.6,3.5,IF(E783&gt;=50*0.5,3,IF(E783&gt;=50*0.4,2,IF(E783&gt;=50*0.33,1,0))))))))</f>
        <v/>
      </c>
      <c r="X783">
        <f>IF(B783="","",IF(F783&lt;33.0,0,IF(F783&gt;=100*0.8,5,IF(F783&gt;=100*0.7,4,IF(F783&gt;=100*0.6,3.5,IF(F783&gt;=100*0.5,3,IF(F783&gt;=100*0.4,2,IF(F783&gt;=100*0.33,1,0))))))))</f>
        <v/>
      </c>
      <c r="Y783">
        <f>IF(B783="","",IF(G783&lt;16.5,0,IF(G783&gt;=50*0.8,5,IF(G783&gt;=50*0.7,4,IF(G783&gt;=50*0.6,3.5,IF(G783&gt;=50*0.5,3,IF(G783&gt;=50*0.4,2,IF(G783&gt;=50*0.33,1,0))))))))</f>
        <v/>
      </c>
      <c r="Z783">
        <f>IF(B783="","",IF(H783&lt;33.0,0,IF(H783&gt;=100*0.8,5,IF(H783&gt;=100*0.7,4,IF(H783&gt;=100*0.6,3.5,IF(H783&gt;=100*0.5,3,IF(H783&gt;=100*0.4,2,IF(H783&gt;=100*0.33,1,0))))))))</f>
        <v/>
      </c>
      <c r="AA783">
        <f>IF(B783="","",IF(I783&lt;33.0,0,IF(I783&gt;=100*0.8,5,IF(I783&gt;=100*0.7,4,IF(I783&gt;=100*0.6,3.5,IF(I783&gt;=100*0.5,3,IF(I783&gt;=100*0.4,2,IF(I783&gt;=100*0.33,1,0))))))))</f>
        <v/>
      </c>
      <c r="AB783">
        <f>IF(B783="","",IF(J783&lt;33.0,0,IF(J783&gt;=100*0.8,5,IF(J783&gt;=100*0.7,4,IF(J783&gt;=100*0.6,3.5,IF(J783&gt;=100*0.5,3,IF(J783&gt;=100*0.4,2,IF(J783&gt;=100*0.33,1,0))))))))</f>
        <v/>
      </c>
      <c r="AC783">
        <f>IF(B783="","",IF(K783&lt;33.0,0,IF(K783&gt;=100*0.8,5,IF(K783&gt;=100*0.7,4,IF(K783&gt;=100*0.6,3.5,IF(K783&gt;=100*0.5,3,IF(K783&gt;=100*0.4,2,IF(K783&gt;=100*0.33,1,0))))))))</f>
        <v/>
      </c>
      <c r="AD783">
        <f>IF(B783="","",IF(L783&lt;33.0,0,IF(L783&gt;=100*0.8,5,IF(L783&gt;=100*0.7,4,IF(L783&gt;=100*0.6,3.5,IF(L783&gt;=100*0.5,3,IF(L783&gt;=100*0.4,2,IF(L783&gt;=100*0.33,1,0))))))))</f>
        <v/>
      </c>
      <c r="AE783">
        <f>IF(B783="","",IF(M783&lt;33.0,0,IF(M783&gt;=100*0.8,5,IF(M783&gt;=100*0.7,4,IF(M783&gt;=100*0.6,3.5,IF(M783&gt;=100*0.5,3,IF(M783&gt;=100*0.4,2,IF(M783&gt;=100*0.33,1,0))))))))</f>
        <v/>
      </c>
      <c r="AF783">
        <f>IF(B783="","",IF(N783&lt;16.5,0,IF(N783&gt;=50*0.8,5,IF(N783&gt;=50*0.7,4,IF(N783&gt;=50*0.6,3.5,IF(N783&gt;=50*0.5,3,IF(N783&gt;=50*0.4,2,IF(N783&gt;=50*0.33,1,0))))))))</f>
        <v/>
      </c>
      <c r="AG783">
        <f>IF(B783="","",IF(O783&lt;33.0,0,IF(O783&gt;=100*0.8,5,IF(O783&gt;=100*0.7,4,IF(O783&gt;=100*0.6,3.5,IF(O783&gt;=100*0.5,3,IF(O783&gt;=100*0.4,2,IF(O783&gt;=100*0.33,1,0))))))))</f>
        <v/>
      </c>
      <c r="AH783">
        <f>IF(B783="","",IF(OR(U783=0,V783=0,W783=0,X783=0,Y783=0,Z783=0,AA783=0,AB783=0,AC783=0,AD783=0,AE783=0,AF783=0,AG783=0),1,0))</f>
        <v/>
      </c>
    </row>
    <row r="784">
      <c r="A784" s="3">
        <f>IF(B784="","",ROW()-2)</f>
        <v/>
      </c>
      <c r="P784" s="4">
        <f>IF(B784="","",SUM(C784:O784))</f>
        <v/>
      </c>
      <c r="Q784" s="5">
        <f>IF(B784="","",ROUND(P784/13,2))</f>
        <v/>
      </c>
      <c r="R784" s="5">
        <f>IF(B784="","",IF(AH784=1,0,MIN(5,ROUND((U784+V784+W784+X784+Y784+Z784+AA784+AB784+AC784+AD784+AE784+AF784+AG784)/13,2))))</f>
        <v/>
      </c>
      <c r="S784" s="3">
        <f>IF(B784="","",IF(R784&gt;=5,"A+",IF(R784&gt;=4,"A",IF(R784&gt;=3.5,"A-",IF(R784&gt;=3,"B",IF(R784&gt;=2,"C",IF(R784&gt;=1,"D","F")))))))</f>
        <v/>
      </c>
      <c r="T784" s="3">
        <f>IF(OR(B784="",S784="F"),"",COUNTIFS(P:P,"&gt;"&amp;P784,S:S,"&lt;&gt;F")+1)</f>
        <v/>
      </c>
      <c r="U784">
        <f>IF(B784="","",IF(C784&lt;33.0,0,IF(C784&gt;=100*0.8,5,IF(C784&gt;=100*0.7,4,IF(C784&gt;=100*0.6,3.5,IF(C784&gt;=100*0.5,3,IF(C784&gt;=100*0.4,2,IF(C784&gt;=100*0.33,1,0))))))))</f>
        <v/>
      </c>
      <c r="V784">
        <f>IF(B784="","",IF(D784&lt;33.0,0,IF(D784&gt;=100*0.8,5,IF(D784&gt;=100*0.7,4,IF(D784&gt;=100*0.6,3.5,IF(D784&gt;=100*0.5,3,IF(D784&gt;=100*0.4,2,IF(D784&gt;=100*0.33,1,0))))))))</f>
        <v/>
      </c>
      <c r="W784">
        <f>IF(B784="","",IF(E784&lt;16.5,0,IF(E784&gt;=50*0.8,5,IF(E784&gt;=50*0.7,4,IF(E784&gt;=50*0.6,3.5,IF(E784&gt;=50*0.5,3,IF(E784&gt;=50*0.4,2,IF(E784&gt;=50*0.33,1,0))))))))</f>
        <v/>
      </c>
      <c r="X784">
        <f>IF(B784="","",IF(F784&lt;33.0,0,IF(F784&gt;=100*0.8,5,IF(F784&gt;=100*0.7,4,IF(F784&gt;=100*0.6,3.5,IF(F784&gt;=100*0.5,3,IF(F784&gt;=100*0.4,2,IF(F784&gt;=100*0.33,1,0))))))))</f>
        <v/>
      </c>
      <c r="Y784">
        <f>IF(B784="","",IF(G784&lt;16.5,0,IF(G784&gt;=50*0.8,5,IF(G784&gt;=50*0.7,4,IF(G784&gt;=50*0.6,3.5,IF(G784&gt;=50*0.5,3,IF(G784&gt;=50*0.4,2,IF(G784&gt;=50*0.33,1,0))))))))</f>
        <v/>
      </c>
      <c r="Z784">
        <f>IF(B784="","",IF(H784&lt;33.0,0,IF(H784&gt;=100*0.8,5,IF(H784&gt;=100*0.7,4,IF(H784&gt;=100*0.6,3.5,IF(H784&gt;=100*0.5,3,IF(H784&gt;=100*0.4,2,IF(H784&gt;=100*0.33,1,0))))))))</f>
        <v/>
      </c>
      <c r="AA784">
        <f>IF(B784="","",IF(I784&lt;33.0,0,IF(I784&gt;=100*0.8,5,IF(I784&gt;=100*0.7,4,IF(I784&gt;=100*0.6,3.5,IF(I784&gt;=100*0.5,3,IF(I784&gt;=100*0.4,2,IF(I784&gt;=100*0.33,1,0))))))))</f>
        <v/>
      </c>
      <c r="AB784">
        <f>IF(B784="","",IF(J784&lt;33.0,0,IF(J784&gt;=100*0.8,5,IF(J784&gt;=100*0.7,4,IF(J784&gt;=100*0.6,3.5,IF(J784&gt;=100*0.5,3,IF(J784&gt;=100*0.4,2,IF(J784&gt;=100*0.33,1,0))))))))</f>
        <v/>
      </c>
      <c r="AC784">
        <f>IF(B784="","",IF(K784&lt;33.0,0,IF(K784&gt;=100*0.8,5,IF(K784&gt;=100*0.7,4,IF(K784&gt;=100*0.6,3.5,IF(K784&gt;=100*0.5,3,IF(K784&gt;=100*0.4,2,IF(K784&gt;=100*0.33,1,0))))))))</f>
        <v/>
      </c>
      <c r="AD784">
        <f>IF(B784="","",IF(L784&lt;33.0,0,IF(L784&gt;=100*0.8,5,IF(L784&gt;=100*0.7,4,IF(L784&gt;=100*0.6,3.5,IF(L784&gt;=100*0.5,3,IF(L784&gt;=100*0.4,2,IF(L784&gt;=100*0.33,1,0))))))))</f>
        <v/>
      </c>
      <c r="AE784">
        <f>IF(B784="","",IF(M784&lt;33.0,0,IF(M784&gt;=100*0.8,5,IF(M784&gt;=100*0.7,4,IF(M784&gt;=100*0.6,3.5,IF(M784&gt;=100*0.5,3,IF(M784&gt;=100*0.4,2,IF(M784&gt;=100*0.33,1,0))))))))</f>
        <v/>
      </c>
      <c r="AF784">
        <f>IF(B784="","",IF(N784&lt;16.5,0,IF(N784&gt;=50*0.8,5,IF(N784&gt;=50*0.7,4,IF(N784&gt;=50*0.6,3.5,IF(N784&gt;=50*0.5,3,IF(N784&gt;=50*0.4,2,IF(N784&gt;=50*0.33,1,0))))))))</f>
        <v/>
      </c>
      <c r="AG784">
        <f>IF(B784="","",IF(O784&lt;33.0,0,IF(O784&gt;=100*0.8,5,IF(O784&gt;=100*0.7,4,IF(O784&gt;=100*0.6,3.5,IF(O784&gt;=100*0.5,3,IF(O784&gt;=100*0.4,2,IF(O784&gt;=100*0.33,1,0))))))))</f>
        <v/>
      </c>
      <c r="AH784">
        <f>IF(B784="","",IF(OR(U784=0,V784=0,W784=0,X784=0,Y784=0,Z784=0,AA784=0,AB784=0,AC784=0,AD784=0,AE784=0,AF784=0,AG784=0),1,0))</f>
        <v/>
      </c>
    </row>
    <row r="785">
      <c r="A785" s="3">
        <f>IF(B785="","",ROW()-2)</f>
        <v/>
      </c>
      <c r="P785" s="4">
        <f>IF(B785="","",SUM(C785:O785))</f>
        <v/>
      </c>
      <c r="Q785" s="5">
        <f>IF(B785="","",ROUND(P785/13,2))</f>
        <v/>
      </c>
      <c r="R785" s="5">
        <f>IF(B785="","",IF(AH785=1,0,MIN(5,ROUND((U785+V785+W785+X785+Y785+Z785+AA785+AB785+AC785+AD785+AE785+AF785+AG785)/13,2))))</f>
        <v/>
      </c>
      <c r="S785" s="3">
        <f>IF(B785="","",IF(R785&gt;=5,"A+",IF(R785&gt;=4,"A",IF(R785&gt;=3.5,"A-",IF(R785&gt;=3,"B",IF(R785&gt;=2,"C",IF(R785&gt;=1,"D","F")))))))</f>
        <v/>
      </c>
      <c r="T785" s="3">
        <f>IF(OR(B785="",S785="F"),"",COUNTIFS(P:P,"&gt;"&amp;P785,S:S,"&lt;&gt;F")+1)</f>
        <v/>
      </c>
      <c r="U785">
        <f>IF(B785="","",IF(C785&lt;33.0,0,IF(C785&gt;=100*0.8,5,IF(C785&gt;=100*0.7,4,IF(C785&gt;=100*0.6,3.5,IF(C785&gt;=100*0.5,3,IF(C785&gt;=100*0.4,2,IF(C785&gt;=100*0.33,1,0))))))))</f>
        <v/>
      </c>
      <c r="V785">
        <f>IF(B785="","",IF(D785&lt;33.0,0,IF(D785&gt;=100*0.8,5,IF(D785&gt;=100*0.7,4,IF(D785&gt;=100*0.6,3.5,IF(D785&gt;=100*0.5,3,IF(D785&gt;=100*0.4,2,IF(D785&gt;=100*0.33,1,0))))))))</f>
        <v/>
      </c>
      <c r="W785">
        <f>IF(B785="","",IF(E785&lt;16.5,0,IF(E785&gt;=50*0.8,5,IF(E785&gt;=50*0.7,4,IF(E785&gt;=50*0.6,3.5,IF(E785&gt;=50*0.5,3,IF(E785&gt;=50*0.4,2,IF(E785&gt;=50*0.33,1,0))))))))</f>
        <v/>
      </c>
      <c r="X785">
        <f>IF(B785="","",IF(F785&lt;33.0,0,IF(F785&gt;=100*0.8,5,IF(F785&gt;=100*0.7,4,IF(F785&gt;=100*0.6,3.5,IF(F785&gt;=100*0.5,3,IF(F785&gt;=100*0.4,2,IF(F785&gt;=100*0.33,1,0))))))))</f>
        <v/>
      </c>
      <c r="Y785">
        <f>IF(B785="","",IF(G785&lt;16.5,0,IF(G785&gt;=50*0.8,5,IF(G785&gt;=50*0.7,4,IF(G785&gt;=50*0.6,3.5,IF(G785&gt;=50*0.5,3,IF(G785&gt;=50*0.4,2,IF(G785&gt;=50*0.33,1,0))))))))</f>
        <v/>
      </c>
      <c r="Z785">
        <f>IF(B785="","",IF(H785&lt;33.0,0,IF(H785&gt;=100*0.8,5,IF(H785&gt;=100*0.7,4,IF(H785&gt;=100*0.6,3.5,IF(H785&gt;=100*0.5,3,IF(H785&gt;=100*0.4,2,IF(H785&gt;=100*0.33,1,0))))))))</f>
        <v/>
      </c>
      <c r="AA785">
        <f>IF(B785="","",IF(I785&lt;33.0,0,IF(I785&gt;=100*0.8,5,IF(I785&gt;=100*0.7,4,IF(I785&gt;=100*0.6,3.5,IF(I785&gt;=100*0.5,3,IF(I785&gt;=100*0.4,2,IF(I785&gt;=100*0.33,1,0))))))))</f>
        <v/>
      </c>
      <c r="AB785">
        <f>IF(B785="","",IF(J785&lt;33.0,0,IF(J785&gt;=100*0.8,5,IF(J785&gt;=100*0.7,4,IF(J785&gt;=100*0.6,3.5,IF(J785&gt;=100*0.5,3,IF(J785&gt;=100*0.4,2,IF(J785&gt;=100*0.33,1,0))))))))</f>
        <v/>
      </c>
      <c r="AC785">
        <f>IF(B785="","",IF(K785&lt;33.0,0,IF(K785&gt;=100*0.8,5,IF(K785&gt;=100*0.7,4,IF(K785&gt;=100*0.6,3.5,IF(K785&gt;=100*0.5,3,IF(K785&gt;=100*0.4,2,IF(K785&gt;=100*0.33,1,0))))))))</f>
        <v/>
      </c>
      <c r="AD785">
        <f>IF(B785="","",IF(L785&lt;33.0,0,IF(L785&gt;=100*0.8,5,IF(L785&gt;=100*0.7,4,IF(L785&gt;=100*0.6,3.5,IF(L785&gt;=100*0.5,3,IF(L785&gt;=100*0.4,2,IF(L785&gt;=100*0.33,1,0))))))))</f>
        <v/>
      </c>
      <c r="AE785">
        <f>IF(B785="","",IF(M785&lt;33.0,0,IF(M785&gt;=100*0.8,5,IF(M785&gt;=100*0.7,4,IF(M785&gt;=100*0.6,3.5,IF(M785&gt;=100*0.5,3,IF(M785&gt;=100*0.4,2,IF(M785&gt;=100*0.33,1,0))))))))</f>
        <v/>
      </c>
      <c r="AF785">
        <f>IF(B785="","",IF(N785&lt;16.5,0,IF(N785&gt;=50*0.8,5,IF(N785&gt;=50*0.7,4,IF(N785&gt;=50*0.6,3.5,IF(N785&gt;=50*0.5,3,IF(N785&gt;=50*0.4,2,IF(N785&gt;=50*0.33,1,0))))))))</f>
        <v/>
      </c>
      <c r="AG785">
        <f>IF(B785="","",IF(O785&lt;33.0,0,IF(O785&gt;=100*0.8,5,IF(O785&gt;=100*0.7,4,IF(O785&gt;=100*0.6,3.5,IF(O785&gt;=100*0.5,3,IF(O785&gt;=100*0.4,2,IF(O785&gt;=100*0.33,1,0))))))))</f>
        <v/>
      </c>
      <c r="AH785">
        <f>IF(B785="","",IF(OR(U785=0,V785=0,W785=0,X785=0,Y785=0,Z785=0,AA785=0,AB785=0,AC785=0,AD785=0,AE785=0,AF785=0,AG785=0),1,0))</f>
        <v/>
      </c>
    </row>
    <row r="786">
      <c r="A786" s="3">
        <f>IF(B786="","",ROW()-2)</f>
        <v/>
      </c>
      <c r="P786" s="4">
        <f>IF(B786="","",SUM(C786:O786))</f>
        <v/>
      </c>
      <c r="Q786" s="5">
        <f>IF(B786="","",ROUND(P786/13,2))</f>
        <v/>
      </c>
      <c r="R786" s="5">
        <f>IF(B786="","",IF(AH786=1,0,MIN(5,ROUND((U786+V786+W786+X786+Y786+Z786+AA786+AB786+AC786+AD786+AE786+AF786+AG786)/13,2))))</f>
        <v/>
      </c>
      <c r="S786" s="3">
        <f>IF(B786="","",IF(R786&gt;=5,"A+",IF(R786&gt;=4,"A",IF(R786&gt;=3.5,"A-",IF(R786&gt;=3,"B",IF(R786&gt;=2,"C",IF(R786&gt;=1,"D","F")))))))</f>
        <v/>
      </c>
      <c r="T786" s="3">
        <f>IF(OR(B786="",S786="F"),"",COUNTIFS(P:P,"&gt;"&amp;P786,S:S,"&lt;&gt;F")+1)</f>
        <v/>
      </c>
      <c r="U786">
        <f>IF(B786="","",IF(C786&lt;33.0,0,IF(C786&gt;=100*0.8,5,IF(C786&gt;=100*0.7,4,IF(C786&gt;=100*0.6,3.5,IF(C786&gt;=100*0.5,3,IF(C786&gt;=100*0.4,2,IF(C786&gt;=100*0.33,1,0))))))))</f>
        <v/>
      </c>
      <c r="V786">
        <f>IF(B786="","",IF(D786&lt;33.0,0,IF(D786&gt;=100*0.8,5,IF(D786&gt;=100*0.7,4,IF(D786&gt;=100*0.6,3.5,IF(D786&gt;=100*0.5,3,IF(D786&gt;=100*0.4,2,IF(D786&gt;=100*0.33,1,0))))))))</f>
        <v/>
      </c>
      <c r="W786">
        <f>IF(B786="","",IF(E786&lt;16.5,0,IF(E786&gt;=50*0.8,5,IF(E786&gt;=50*0.7,4,IF(E786&gt;=50*0.6,3.5,IF(E786&gt;=50*0.5,3,IF(E786&gt;=50*0.4,2,IF(E786&gt;=50*0.33,1,0))))))))</f>
        <v/>
      </c>
      <c r="X786">
        <f>IF(B786="","",IF(F786&lt;33.0,0,IF(F786&gt;=100*0.8,5,IF(F786&gt;=100*0.7,4,IF(F786&gt;=100*0.6,3.5,IF(F786&gt;=100*0.5,3,IF(F786&gt;=100*0.4,2,IF(F786&gt;=100*0.33,1,0))))))))</f>
        <v/>
      </c>
      <c r="Y786">
        <f>IF(B786="","",IF(G786&lt;16.5,0,IF(G786&gt;=50*0.8,5,IF(G786&gt;=50*0.7,4,IF(G786&gt;=50*0.6,3.5,IF(G786&gt;=50*0.5,3,IF(G786&gt;=50*0.4,2,IF(G786&gt;=50*0.33,1,0))))))))</f>
        <v/>
      </c>
      <c r="Z786">
        <f>IF(B786="","",IF(H786&lt;33.0,0,IF(H786&gt;=100*0.8,5,IF(H786&gt;=100*0.7,4,IF(H786&gt;=100*0.6,3.5,IF(H786&gt;=100*0.5,3,IF(H786&gt;=100*0.4,2,IF(H786&gt;=100*0.33,1,0))))))))</f>
        <v/>
      </c>
      <c r="AA786">
        <f>IF(B786="","",IF(I786&lt;33.0,0,IF(I786&gt;=100*0.8,5,IF(I786&gt;=100*0.7,4,IF(I786&gt;=100*0.6,3.5,IF(I786&gt;=100*0.5,3,IF(I786&gt;=100*0.4,2,IF(I786&gt;=100*0.33,1,0))))))))</f>
        <v/>
      </c>
      <c r="AB786">
        <f>IF(B786="","",IF(J786&lt;33.0,0,IF(J786&gt;=100*0.8,5,IF(J786&gt;=100*0.7,4,IF(J786&gt;=100*0.6,3.5,IF(J786&gt;=100*0.5,3,IF(J786&gt;=100*0.4,2,IF(J786&gt;=100*0.33,1,0))))))))</f>
        <v/>
      </c>
      <c r="AC786">
        <f>IF(B786="","",IF(K786&lt;33.0,0,IF(K786&gt;=100*0.8,5,IF(K786&gt;=100*0.7,4,IF(K786&gt;=100*0.6,3.5,IF(K786&gt;=100*0.5,3,IF(K786&gt;=100*0.4,2,IF(K786&gt;=100*0.33,1,0))))))))</f>
        <v/>
      </c>
      <c r="AD786">
        <f>IF(B786="","",IF(L786&lt;33.0,0,IF(L786&gt;=100*0.8,5,IF(L786&gt;=100*0.7,4,IF(L786&gt;=100*0.6,3.5,IF(L786&gt;=100*0.5,3,IF(L786&gt;=100*0.4,2,IF(L786&gt;=100*0.33,1,0))))))))</f>
        <v/>
      </c>
      <c r="AE786">
        <f>IF(B786="","",IF(M786&lt;33.0,0,IF(M786&gt;=100*0.8,5,IF(M786&gt;=100*0.7,4,IF(M786&gt;=100*0.6,3.5,IF(M786&gt;=100*0.5,3,IF(M786&gt;=100*0.4,2,IF(M786&gt;=100*0.33,1,0))))))))</f>
        <v/>
      </c>
      <c r="AF786">
        <f>IF(B786="","",IF(N786&lt;16.5,0,IF(N786&gt;=50*0.8,5,IF(N786&gt;=50*0.7,4,IF(N786&gt;=50*0.6,3.5,IF(N786&gt;=50*0.5,3,IF(N786&gt;=50*0.4,2,IF(N786&gt;=50*0.33,1,0))))))))</f>
        <v/>
      </c>
      <c r="AG786">
        <f>IF(B786="","",IF(O786&lt;33.0,0,IF(O786&gt;=100*0.8,5,IF(O786&gt;=100*0.7,4,IF(O786&gt;=100*0.6,3.5,IF(O786&gt;=100*0.5,3,IF(O786&gt;=100*0.4,2,IF(O786&gt;=100*0.33,1,0))))))))</f>
        <v/>
      </c>
      <c r="AH786">
        <f>IF(B786="","",IF(OR(U786=0,V786=0,W786=0,X786=0,Y786=0,Z786=0,AA786=0,AB786=0,AC786=0,AD786=0,AE786=0,AF786=0,AG786=0),1,0))</f>
        <v/>
      </c>
    </row>
    <row r="787">
      <c r="A787" s="3">
        <f>IF(B787="","",ROW()-2)</f>
        <v/>
      </c>
      <c r="P787" s="4">
        <f>IF(B787="","",SUM(C787:O787))</f>
        <v/>
      </c>
      <c r="Q787" s="5">
        <f>IF(B787="","",ROUND(P787/13,2))</f>
        <v/>
      </c>
      <c r="R787" s="5">
        <f>IF(B787="","",IF(AH787=1,0,MIN(5,ROUND((U787+V787+W787+X787+Y787+Z787+AA787+AB787+AC787+AD787+AE787+AF787+AG787)/13,2))))</f>
        <v/>
      </c>
      <c r="S787" s="3">
        <f>IF(B787="","",IF(R787&gt;=5,"A+",IF(R787&gt;=4,"A",IF(R787&gt;=3.5,"A-",IF(R787&gt;=3,"B",IF(R787&gt;=2,"C",IF(R787&gt;=1,"D","F")))))))</f>
        <v/>
      </c>
      <c r="T787" s="3">
        <f>IF(OR(B787="",S787="F"),"",COUNTIFS(P:P,"&gt;"&amp;P787,S:S,"&lt;&gt;F")+1)</f>
        <v/>
      </c>
      <c r="U787">
        <f>IF(B787="","",IF(C787&lt;33.0,0,IF(C787&gt;=100*0.8,5,IF(C787&gt;=100*0.7,4,IF(C787&gt;=100*0.6,3.5,IF(C787&gt;=100*0.5,3,IF(C787&gt;=100*0.4,2,IF(C787&gt;=100*0.33,1,0))))))))</f>
        <v/>
      </c>
      <c r="V787">
        <f>IF(B787="","",IF(D787&lt;33.0,0,IF(D787&gt;=100*0.8,5,IF(D787&gt;=100*0.7,4,IF(D787&gt;=100*0.6,3.5,IF(D787&gt;=100*0.5,3,IF(D787&gt;=100*0.4,2,IF(D787&gt;=100*0.33,1,0))))))))</f>
        <v/>
      </c>
      <c r="W787">
        <f>IF(B787="","",IF(E787&lt;16.5,0,IF(E787&gt;=50*0.8,5,IF(E787&gt;=50*0.7,4,IF(E787&gt;=50*0.6,3.5,IF(E787&gt;=50*0.5,3,IF(E787&gt;=50*0.4,2,IF(E787&gt;=50*0.33,1,0))))))))</f>
        <v/>
      </c>
      <c r="X787">
        <f>IF(B787="","",IF(F787&lt;33.0,0,IF(F787&gt;=100*0.8,5,IF(F787&gt;=100*0.7,4,IF(F787&gt;=100*0.6,3.5,IF(F787&gt;=100*0.5,3,IF(F787&gt;=100*0.4,2,IF(F787&gt;=100*0.33,1,0))))))))</f>
        <v/>
      </c>
      <c r="Y787">
        <f>IF(B787="","",IF(G787&lt;16.5,0,IF(G787&gt;=50*0.8,5,IF(G787&gt;=50*0.7,4,IF(G787&gt;=50*0.6,3.5,IF(G787&gt;=50*0.5,3,IF(G787&gt;=50*0.4,2,IF(G787&gt;=50*0.33,1,0))))))))</f>
        <v/>
      </c>
      <c r="Z787">
        <f>IF(B787="","",IF(H787&lt;33.0,0,IF(H787&gt;=100*0.8,5,IF(H787&gt;=100*0.7,4,IF(H787&gt;=100*0.6,3.5,IF(H787&gt;=100*0.5,3,IF(H787&gt;=100*0.4,2,IF(H787&gt;=100*0.33,1,0))))))))</f>
        <v/>
      </c>
      <c r="AA787">
        <f>IF(B787="","",IF(I787&lt;33.0,0,IF(I787&gt;=100*0.8,5,IF(I787&gt;=100*0.7,4,IF(I787&gt;=100*0.6,3.5,IF(I787&gt;=100*0.5,3,IF(I787&gt;=100*0.4,2,IF(I787&gt;=100*0.33,1,0))))))))</f>
        <v/>
      </c>
      <c r="AB787">
        <f>IF(B787="","",IF(J787&lt;33.0,0,IF(J787&gt;=100*0.8,5,IF(J787&gt;=100*0.7,4,IF(J787&gt;=100*0.6,3.5,IF(J787&gt;=100*0.5,3,IF(J787&gt;=100*0.4,2,IF(J787&gt;=100*0.33,1,0))))))))</f>
        <v/>
      </c>
      <c r="AC787">
        <f>IF(B787="","",IF(K787&lt;33.0,0,IF(K787&gt;=100*0.8,5,IF(K787&gt;=100*0.7,4,IF(K787&gt;=100*0.6,3.5,IF(K787&gt;=100*0.5,3,IF(K787&gt;=100*0.4,2,IF(K787&gt;=100*0.33,1,0))))))))</f>
        <v/>
      </c>
      <c r="AD787">
        <f>IF(B787="","",IF(L787&lt;33.0,0,IF(L787&gt;=100*0.8,5,IF(L787&gt;=100*0.7,4,IF(L787&gt;=100*0.6,3.5,IF(L787&gt;=100*0.5,3,IF(L787&gt;=100*0.4,2,IF(L787&gt;=100*0.33,1,0))))))))</f>
        <v/>
      </c>
      <c r="AE787">
        <f>IF(B787="","",IF(M787&lt;33.0,0,IF(M787&gt;=100*0.8,5,IF(M787&gt;=100*0.7,4,IF(M787&gt;=100*0.6,3.5,IF(M787&gt;=100*0.5,3,IF(M787&gt;=100*0.4,2,IF(M787&gt;=100*0.33,1,0))))))))</f>
        <v/>
      </c>
      <c r="AF787">
        <f>IF(B787="","",IF(N787&lt;16.5,0,IF(N787&gt;=50*0.8,5,IF(N787&gt;=50*0.7,4,IF(N787&gt;=50*0.6,3.5,IF(N787&gt;=50*0.5,3,IF(N787&gt;=50*0.4,2,IF(N787&gt;=50*0.33,1,0))))))))</f>
        <v/>
      </c>
      <c r="AG787">
        <f>IF(B787="","",IF(O787&lt;33.0,0,IF(O787&gt;=100*0.8,5,IF(O787&gt;=100*0.7,4,IF(O787&gt;=100*0.6,3.5,IF(O787&gt;=100*0.5,3,IF(O787&gt;=100*0.4,2,IF(O787&gt;=100*0.33,1,0))))))))</f>
        <v/>
      </c>
      <c r="AH787">
        <f>IF(B787="","",IF(OR(U787=0,V787=0,W787=0,X787=0,Y787=0,Z787=0,AA787=0,AB787=0,AC787=0,AD787=0,AE787=0,AF787=0,AG787=0),1,0))</f>
        <v/>
      </c>
    </row>
    <row r="788">
      <c r="A788" s="3">
        <f>IF(B788="","",ROW()-2)</f>
        <v/>
      </c>
      <c r="P788" s="4">
        <f>IF(B788="","",SUM(C788:O788))</f>
        <v/>
      </c>
      <c r="Q788" s="5">
        <f>IF(B788="","",ROUND(P788/13,2))</f>
        <v/>
      </c>
      <c r="R788" s="5">
        <f>IF(B788="","",IF(AH788=1,0,MIN(5,ROUND((U788+V788+W788+X788+Y788+Z788+AA788+AB788+AC788+AD788+AE788+AF788+AG788)/13,2))))</f>
        <v/>
      </c>
      <c r="S788" s="3">
        <f>IF(B788="","",IF(R788&gt;=5,"A+",IF(R788&gt;=4,"A",IF(R788&gt;=3.5,"A-",IF(R788&gt;=3,"B",IF(R788&gt;=2,"C",IF(R788&gt;=1,"D","F")))))))</f>
        <v/>
      </c>
      <c r="T788" s="3">
        <f>IF(OR(B788="",S788="F"),"",COUNTIFS(P:P,"&gt;"&amp;P788,S:S,"&lt;&gt;F")+1)</f>
        <v/>
      </c>
      <c r="U788">
        <f>IF(B788="","",IF(C788&lt;33.0,0,IF(C788&gt;=100*0.8,5,IF(C788&gt;=100*0.7,4,IF(C788&gt;=100*0.6,3.5,IF(C788&gt;=100*0.5,3,IF(C788&gt;=100*0.4,2,IF(C788&gt;=100*0.33,1,0))))))))</f>
        <v/>
      </c>
      <c r="V788">
        <f>IF(B788="","",IF(D788&lt;33.0,0,IF(D788&gt;=100*0.8,5,IF(D788&gt;=100*0.7,4,IF(D788&gt;=100*0.6,3.5,IF(D788&gt;=100*0.5,3,IF(D788&gt;=100*0.4,2,IF(D788&gt;=100*0.33,1,0))))))))</f>
        <v/>
      </c>
      <c r="W788">
        <f>IF(B788="","",IF(E788&lt;16.5,0,IF(E788&gt;=50*0.8,5,IF(E788&gt;=50*0.7,4,IF(E788&gt;=50*0.6,3.5,IF(E788&gt;=50*0.5,3,IF(E788&gt;=50*0.4,2,IF(E788&gt;=50*0.33,1,0))))))))</f>
        <v/>
      </c>
      <c r="X788">
        <f>IF(B788="","",IF(F788&lt;33.0,0,IF(F788&gt;=100*0.8,5,IF(F788&gt;=100*0.7,4,IF(F788&gt;=100*0.6,3.5,IF(F788&gt;=100*0.5,3,IF(F788&gt;=100*0.4,2,IF(F788&gt;=100*0.33,1,0))))))))</f>
        <v/>
      </c>
      <c r="Y788">
        <f>IF(B788="","",IF(G788&lt;16.5,0,IF(G788&gt;=50*0.8,5,IF(G788&gt;=50*0.7,4,IF(G788&gt;=50*0.6,3.5,IF(G788&gt;=50*0.5,3,IF(G788&gt;=50*0.4,2,IF(G788&gt;=50*0.33,1,0))))))))</f>
        <v/>
      </c>
      <c r="Z788">
        <f>IF(B788="","",IF(H788&lt;33.0,0,IF(H788&gt;=100*0.8,5,IF(H788&gt;=100*0.7,4,IF(H788&gt;=100*0.6,3.5,IF(H788&gt;=100*0.5,3,IF(H788&gt;=100*0.4,2,IF(H788&gt;=100*0.33,1,0))))))))</f>
        <v/>
      </c>
      <c r="AA788">
        <f>IF(B788="","",IF(I788&lt;33.0,0,IF(I788&gt;=100*0.8,5,IF(I788&gt;=100*0.7,4,IF(I788&gt;=100*0.6,3.5,IF(I788&gt;=100*0.5,3,IF(I788&gt;=100*0.4,2,IF(I788&gt;=100*0.33,1,0))))))))</f>
        <v/>
      </c>
      <c r="AB788">
        <f>IF(B788="","",IF(J788&lt;33.0,0,IF(J788&gt;=100*0.8,5,IF(J788&gt;=100*0.7,4,IF(J788&gt;=100*0.6,3.5,IF(J788&gt;=100*0.5,3,IF(J788&gt;=100*0.4,2,IF(J788&gt;=100*0.33,1,0))))))))</f>
        <v/>
      </c>
      <c r="AC788">
        <f>IF(B788="","",IF(K788&lt;33.0,0,IF(K788&gt;=100*0.8,5,IF(K788&gt;=100*0.7,4,IF(K788&gt;=100*0.6,3.5,IF(K788&gt;=100*0.5,3,IF(K788&gt;=100*0.4,2,IF(K788&gt;=100*0.33,1,0))))))))</f>
        <v/>
      </c>
      <c r="AD788">
        <f>IF(B788="","",IF(L788&lt;33.0,0,IF(L788&gt;=100*0.8,5,IF(L788&gt;=100*0.7,4,IF(L788&gt;=100*0.6,3.5,IF(L788&gt;=100*0.5,3,IF(L788&gt;=100*0.4,2,IF(L788&gt;=100*0.33,1,0))))))))</f>
        <v/>
      </c>
      <c r="AE788">
        <f>IF(B788="","",IF(M788&lt;33.0,0,IF(M788&gt;=100*0.8,5,IF(M788&gt;=100*0.7,4,IF(M788&gt;=100*0.6,3.5,IF(M788&gt;=100*0.5,3,IF(M788&gt;=100*0.4,2,IF(M788&gt;=100*0.33,1,0))))))))</f>
        <v/>
      </c>
      <c r="AF788">
        <f>IF(B788="","",IF(N788&lt;16.5,0,IF(N788&gt;=50*0.8,5,IF(N788&gt;=50*0.7,4,IF(N788&gt;=50*0.6,3.5,IF(N788&gt;=50*0.5,3,IF(N788&gt;=50*0.4,2,IF(N788&gt;=50*0.33,1,0))))))))</f>
        <v/>
      </c>
      <c r="AG788">
        <f>IF(B788="","",IF(O788&lt;33.0,0,IF(O788&gt;=100*0.8,5,IF(O788&gt;=100*0.7,4,IF(O788&gt;=100*0.6,3.5,IF(O788&gt;=100*0.5,3,IF(O788&gt;=100*0.4,2,IF(O788&gt;=100*0.33,1,0))))))))</f>
        <v/>
      </c>
      <c r="AH788">
        <f>IF(B788="","",IF(OR(U788=0,V788=0,W788=0,X788=0,Y788=0,Z788=0,AA788=0,AB788=0,AC788=0,AD788=0,AE788=0,AF788=0,AG788=0),1,0))</f>
        <v/>
      </c>
    </row>
    <row r="789">
      <c r="A789" s="3">
        <f>IF(B789="","",ROW()-2)</f>
        <v/>
      </c>
      <c r="P789" s="4">
        <f>IF(B789="","",SUM(C789:O789))</f>
        <v/>
      </c>
      <c r="Q789" s="5">
        <f>IF(B789="","",ROUND(P789/13,2))</f>
        <v/>
      </c>
      <c r="R789" s="5">
        <f>IF(B789="","",IF(AH789=1,0,MIN(5,ROUND((U789+V789+W789+X789+Y789+Z789+AA789+AB789+AC789+AD789+AE789+AF789+AG789)/13,2))))</f>
        <v/>
      </c>
      <c r="S789" s="3">
        <f>IF(B789="","",IF(R789&gt;=5,"A+",IF(R789&gt;=4,"A",IF(R789&gt;=3.5,"A-",IF(R789&gt;=3,"B",IF(R789&gt;=2,"C",IF(R789&gt;=1,"D","F")))))))</f>
        <v/>
      </c>
      <c r="T789" s="3">
        <f>IF(OR(B789="",S789="F"),"",COUNTIFS(P:P,"&gt;"&amp;P789,S:S,"&lt;&gt;F")+1)</f>
        <v/>
      </c>
      <c r="U789">
        <f>IF(B789="","",IF(C789&lt;33.0,0,IF(C789&gt;=100*0.8,5,IF(C789&gt;=100*0.7,4,IF(C789&gt;=100*0.6,3.5,IF(C789&gt;=100*0.5,3,IF(C789&gt;=100*0.4,2,IF(C789&gt;=100*0.33,1,0))))))))</f>
        <v/>
      </c>
      <c r="V789">
        <f>IF(B789="","",IF(D789&lt;33.0,0,IF(D789&gt;=100*0.8,5,IF(D789&gt;=100*0.7,4,IF(D789&gt;=100*0.6,3.5,IF(D789&gt;=100*0.5,3,IF(D789&gt;=100*0.4,2,IF(D789&gt;=100*0.33,1,0))))))))</f>
        <v/>
      </c>
      <c r="W789">
        <f>IF(B789="","",IF(E789&lt;16.5,0,IF(E789&gt;=50*0.8,5,IF(E789&gt;=50*0.7,4,IF(E789&gt;=50*0.6,3.5,IF(E789&gt;=50*0.5,3,IF(E789&gt;=50*0.4,2,IF(E789&gt;=50*0.33,1,0))))))))</f>
        <v/>
      </c>
      <c r="X789">
        <f>IF(B789="","",IF(F789&lt;33.0,0,IF(F789&gt;=100*0.8,5,IF(F789&gt;=100*0.7,4,IF(F789&gt;=100*0.6,3.5,IF(F789&gt;=100*0.5,3,IF(F789&gt;=100*0.4,2,IF(F789&gt;=100*0.33,1,0))))))))</f>
        <v/>
      </c>
      <c r="Y789">
        <f>IF(B789="","",IF(G789&lt;16.5,0,IF(G789&gt;=50*0.8,5,IF(G789&gt;=50*0.7,4,IF(G789&gt;=50*0.6,3.5,IF(G789&gt;=50*0.5,3,IF(G789&gt;=50*0.4,2,IF(G789&gt;=50*0.33,1,0))))))))</f>
        <v/>
      </c>
      <c r="Z789">
        <f>IF(B789="","",IF(H789&lt;33.0,0,IF(H789&gt;=100*0.8,5,IF(H789&gt;=100*0.7,4,IF(H789&gt;=100*0.6,3.5,IF(H789&gt;=100*0.5,3,IF(H789&gt;=100*0.4,2,IF(H789&gt;=100*0.33,1,0))))))))</f>
        <v/>
      </c>
      <c r="AA789">
        <f>IF(B789="","",IF(I789&lt;33.0,0,IF(I789&gt;=100*0.8,5,IF(I789&gt;=100*0.7,4,IF(I789&gt;=100*0.6,3.5,IF(I789&gt;=100*0.5,3,IF(I789&gt;=100*0.4,2,IF(I789&gt;=100*0.33,1,0))))))))</f>
        <v/>
      </c>
      <c r="AB789">
        <f>IF(B789="","",IF(J789&lt;33.0,0,IF(J789&gt;=100*0.8,5,IF(J789&gt;=100*0.7,4,IF(J789&gt;=100*0.6,3.5,IF(J789&gt;=100*0.5,3,IF(J789&gt;=100*0.4,2,IF(J789&gt;=100*0.33,1,0))))))))</f>
        <v/>
      </c>
      <c r="AC789">
        <f>IF(B789="","",IF(K789&lt;33.0,0,IF(K789&gt;=100*0.8,5,IF(K789&gt;=100*0.7,4,IF(K789&gt;=100*0.6,3.5,IF(K789&gt;=100*0.5,3,IF(K789&gt;=100*0.4,2,IF(K789&gt;=100*0.33,1,0))))))))</f>
        <v/>
      </c>
      <c r="AD789">
        <f>IF(B789="","",IF(L789&lt;33.0,0,IF(L789&gt;=100*0.8,5,IF(L789&gt;=100*0.7,4,IF(L789&gt;=100*0.6,3.5,IF(L789&gt;=100*0.5,3,IF(L789&gt;=100*0.4,2,IF(L789&gt;=100*0.33,1,0))))))))</f>
        <v/>
      </c>
      <c r="AE789">
        <f>IF(B789="","",IF(M789&lt;33.0,0,IF(M789&gt;=100*0.8,5,IF(M789&gt;=100*0.7,4,IF(M789&gt;=100*0.6,3.5,IF(M789&gt;=100*0.5,3,IF(M789&gt;=100*0.4,2,IF(M789&gt;=100*0.33,1,0))))))))</f>
        <v/>
      </c>
      <c r="AF789">
        <f>IF(B789="","",IF(N789&lt;16.5,0,IF(N789&gt;=50*0.8,5,IF(N789&gt;=50*0.7,4,IF(N789&gt;=50*0.6,3.5,IF(N789&gt;=50*0.5,3,IF(N789&gt;=50*0.4,2,IF(N789&gt;=50*0.33,1,0))))))))</f>
        <v/>
      </c>
      <c r="AG789">
        <f>IF(B789="","",IF(O789&lt;33.0,0,IF(O789&gt;=100*0.8,5,IF(O789&gt;=100*0.7,4,IF(O789&gt;=100*0.6,3.5,IF(O789&gt;=100*0.5,3,IF(O789&gt;=100*0.4,2,IF(O789&gt;=100*0.33,1,0))))))))</f>
        <v/>
      </c>
      <c r="AH789">
        <f>IF(B789="","",IF(OR(U789=0,V789=0,W789=0,X789=0,Y789=0,Z789=0,AA789=0,AB789=0,AC789=0,AD789=0,AE789=0,AF789=0,AG789=0),1,0))</f>
        <v/>
      </c>
    </row>
    <row r="790">
      <c r="A790" s="3">
        <f>IF(B790="","",ROW()-2)</f>
        <v/>
      </c>
      <c r="P790" s="4">
        <f>IF(B790="","",SUM(C790:O790))</f>
        <v/>
      </c>
      <c r="Q790" s="5">
        <f>IF(B790="","",ROUND(P790/13,2))</f>
        <v/>
      </c>
      <c r="R790" s="5">
        <f>IF(B790="","",IF(AH790=1,0,MIN(5,ROUND((U790+V790+W790+X790+Y790+Z790+AA790+AB790+AC790+AD790+AE790+AF790+AG790)/13,2))))</f>
        <v/>
      </c>
      <c r="S790" s="3">
        <f>IF(B790="","",IF(R790&gt;=5,"A+",IF(R790&gt;=4,"A",IF(R790&gt;=3.5,"A-",IF(R790&gt;=3,"B",IF(R790&gt;=2,"C",IF(R790&gt;=1,"D","F")))))))</f>
        <v/>
      </c>
      <c r="T790" s="3">
        <f>IF(OR(B790="",S790="F"),"",COUNTIFS(P:P,"&gt;"&amp;P790,S:S,"&lt;&gt;F")+1)</f>
        <v/>
      </c>
      <c r="U790">
        <f>IF(B790="","",IF(C790&lt;33.0,0,IF(C790&gt;=100*0.8,5,IF(C790&gt;=100*0.7,4,IF(C790&gt;=100*0.6,3.5,IF(C790&gt;=100*0.5,3,IF(C790&gt;=100*0.4,2,IF(C790&gt;=100*0.33,1,0))))))))</f>
        <v/>
      </c>
      <c r="V790">
        <f>IF(B790="","",IF(D790&lt;33.0,0,IF(D790&gt;=100*0.8,5,IF(D790&gt;=100*0.7,4,IF(D790&gt;=100*0.6,3.5,IF(D790&gt;=100*0.5,3,IF(D790&gt;=100*0.4,2,IF(D790&gt;=100*0.33,1,0))))))))</f>
        <v/>
      </c>
      <c r="W790">
        <f>IF(B790="","",IF(E790&lt;16.5,0,IF(E790&gt;=50*0.8,5,IF(E790&gt;=50*0.7,4,IF(E790&gt;=50*0.6,3.5,IF(E790&gt;=50*0.5,3,IF(E790&gt;=50*0.4,2,IF(E790&gt;=50*0.33,1,0))))))))</f>
        <v/>
      </c>
      <c r="X790">
        <f>IF(B790="","",IF(F790&lt;33.0,0,IF(F790&gt;=100*0.8,5,IF(F790&gt;=100*0.7,4,IF(F790&gt;=100*0.6,3.5,IF(F790&gt;=100*0.5,3,IF(F790&gt;=100*0.4,2,IF(F790&gt;=100*0.33,1,0))))))))</f>
        <v/>
      </c>
      <c r="Y790">
        <f>IF(B790="","",IF(G790&lt;16.5,0,IF(G790&gt;=50*0.8,5,IF(G790&gt;=50*0.7,4,IF(G790&gt;=50*0.6,3.5,IF(G790&gt;=50*0.5,3,IF(G790&gt;=50*0.4,2,IF(G790&gt;=50*0.33,1,0))))))))</f>
        <v/>
      </c>
      <c r="Z790">
        <f>IF(B790="","",IF(H790&lt;33.0,0,IF(H790&gt;=100*0.8,5,IF(H790&gt;=100*0.7,4,IF(H790&gt;=100*0.6,3.5,IF(H790&gt;=100*0.5,3,IF(H790&gt;=100*0.4,2,IF(H790&gt;=100*0.33,1,0))))))))</f>
        <v/>
      </c>
      <c r="AA790">
        <f>IF(B790="","",IF(I790&lt;33.0,0,IF(I790&gt;=100*0.8,5,IF(I790&gt;=100*0.7,4,IF(I790&gt;=100*0.6,3.5,IF(I790&gt;=100*0.5,3,IF(I790&gt;=100*0.4,2,IF(I790&gt;=100*0.33,1,0))))))))</f>
        <v/>
      </c>
      <c r="AB790">
        <f>IF(B790="","",IF(J790&lt;33.0,0,IF(J790&gt;=100*0.8,5,IF(J790&gt;=100*0.7,4,IF(J790&gt;=100*0.6,3.5,IF(J790&gt;=100*0.5,3,IF(J790&gt;=100*0.4,2,IF(J790&gt;=100*0.33,1,0))))))))</f>
        <v/>
      </c>
      <c r="AC790">
        <f>IF(B790="","",IF(K790&lt;33.0,0,IF(K790&gt;=100*0.8,5,IF(K790&gt;=100*0.7,4,IF(K790&gt;=100*0.6,3.5,IF(K790&gt;=100*0.5,3,IF(K790&gt;=100*0.4,2,IF(K790&gt;=100*0.33,1,0))))))))</f>
        <v/>
      </c>
      <c r="AD790">
        <f>IF(B790="","",IF(L790&lt;33.0,0,IF(L790&gt;=100*0.8,5,IF(L790&gt;=100*0.7,4,IF(L790&gt;=100*0.6,3.5,IF(L790&gt;=100*0.5,3,IF(L790&gt;=100*0.4,2,IF(L790&gt;=100*0.33,1,0))))))))</f>
        <v/>
      </c>
      <c r="AE790">
        <f>IF(B790="","",IF(M790&lt;33.0,0,IF(M790&gt;=100*0.8,5,IF(M790&gt;=100*0.7,4,IF(M790&gt;=100*0.6,3.5,IF(M790&gt;=100*0.5,3,IF(M790&gt;=100*0.4,2,IF(M790&gt;=100*0.33,1,0))))))))</f>
        <v/>
      </c>
      <c r="AF790">
        <f>IF(B790="","",IF(N790&lt;16.5,0,IF(N790&gt;=50*0.8,5,IF(N790&gt;=50*0.7,4,IF(N790&gt;=50*0.6,3.5,IF(N790&gt;=50*0.5,3,IF(N790&gt;=50*0.4,2,IF(N790&gt;=50*0.33,1,0))))))))</f>
        <v/>
      </c>
      <c r="AG790">
        <f>IF(B790="","",IF(O790&lt;33.0,0,IF(O790&gt;=100*0.8,5,IF(O790&gt;=100*0.7,4,IF(O790&gt;=100*0.6,3.5,IF(O790&gt;=100*0.5,3,IF(O790&gt;=100*0.4,2,IF(O790&gt;=100*0.33,1,0))))))))</f>
        <v/>
      </c>
      <c r="AH790">
        <f>IF(B790="","",IF(OR(U790=0,V790=0,W790=0,X790=0,Y790=0,Z790=0,AA790=0,AB790=0,AC790=0,AD790=0,AE790=0,AF790=0,AG790=0),1,0))</f>
        <v/>
      </c>
    </row>
    <row r="791">
      <c r="A791" s="3">
        <f>IF(B791="","",ROW()-2)</f>
        <v/>
      </c>
      <c r="P791" s="4">
        <f>IF(B791="","",SUM(C791:O791))</f>
        <v/>
      </c>
      <c r="Q791" s="5">
        <f>IF(B791="","",ROUND(P791/13,2))</f>
        <v/>
      </c>
      <c r="R791" s="5">
        <f>IF(B791="","",IF(AH791=1,0,MIN(5,ROUND((U791+V791+W791+X791+Y791+Z791+AA791+AB791+AC791+AD791+AE791+AF791+AG791)/13,2))))</f>
        <v/>
      </c>
      <c r="S791" s="3">
        <f>IF(B791="","",IF(R791&gt;=5,"A+",IF(R791&gt;=4,"A",IF(R791&gt;=3.5,"A-",IF(R791&gt;=3,"B",IF(R791&gt;=2,"C",IF(R791&gt;=1,"D","F")))))))</f>
        <v/>
      </c>
      <c r="T791" s="3">
        <f>IF(OR(B791="",S791="F"),"",COUNTIFS(P:P,"&gt;"&amp;P791,S:S,"&lt;&gt;F")+1)</f>
        <v/>
      </c>
      <c r="U791">
        <f>IF(B791="","",IF(C791&lt;33.0,0,IF(C791&gt;=100*0.8,5,IF(C791&gt;=100*0.7,4,IF(C791&gt;=100*0.6,3.5,IF(C791&gt;=100*0.5,3,IF(C791&gt;=100*0.4,2,IF(C791&gt;=100*0.33,1,0))))))))</f>
        <v/>
      </c>
      <c r="V791">
        <f>IF(B791="","",IF(D791&lt;33.0,0,IF(D791&gt;=100*0.8,5,IF(D791&gt;=100*0.7,4,IF(D791&gt;=100*0.6,3.5,IF(D791&gt;=100*0.5,3,IF(D791&gt;=100*0.4,2,IF(D791&gt;=100*0.33,1,0))))))))</f>
        <v/>
      </c>
      <c r="W791">
        <f>IF(B791="","",IF(E791&lt;16.5,0,IF(E791&gt;=50*0.8,5,IF(E791&gt;=50*0.7,4,IF(E791&gt;=50*0.6,3.5,IF(E791&gt;=50*0.5,3,IF(E791&gt;=50*0.4,2,IF(E791&gt;=50*0.33,1,0))))))))</f>
        <v/>
      </c>
      <c r="X791">
        <f>IF(B791="","",IF(F791&lt;33.0,0,IF(F791&gt;=100*0.8,5,IF(F791&gt;=100*0.7,4,IF(F791&gt;=100*0.6,3.5,IF(F791&gt;=100*0.5,3,IF(F791&gt;=100*0.4,2,IF(F791&gt;=100*0.33,1,0))))))))</f>
        <v/>
      </c>
      <c r="Y791">
        <f>IF(B791="","",IF(G791&lt;16.5,0,IF(G791&gt;=50*0.8,5,IF(G791&gt;=50*0.7,4,IF(G791&gt;=50*0.6,3.5,IF(G791&gt;=50*0.5,3,IF(G791&gt;=50*0.4,2,IF(G791&gt;=50*0.33,1,0))))))))</f>
        <v/>
      </c>
      <c r="Z791">
        <f>IF(B791="","",IF(H791&lt;33.0,0,IF(H791&gt;=100*0.8,5,IF(H791&gt;=100*0.7,4,IF(H791&gt;=100*0.6,3.5,IF(H791&gt;=100*0.5,3,IF(H791&gt;=100*0.4,2,IF(H791&gt;=100*0.33,1,0))))))))</f>
        <v/>
      </c>
      <c r="AA791">
        <f>IF(B791="","",IF(I791&lt;33.0,0,IF(I791&gt;=100*0.8,5,IF(I791&gt;=100*0.7,4,IF(I791&gt;=100*0.6,3.5,IF(I791&gt;=100*0.5,3,IF(I791&gt;=100*0.4,2,IF(I791&gt;=100*0.33,1,0))))))))</f>
        <v/>
      </c>
      <c r="AB791">
        <f>IF(B791="","",IF(J791&lt;33.0,0,IF(J791&gt;=100*0.8,5,IF(J791&gt;=100*0.7,4,IF(J791&gt;=100*0.6,3.5,IF(J791&gt;=100*0.5,3,IF(J791&gt;=100*0.4,2,IF(J791&gt;=100*0.33,1,0))))))))</f>
        <v/>
      </c>
      <c r="AC791">
        <f>IF(B791="","",IF(K791&lt;33.0,0,IF(K791&gt;=100*0.8,5,IF(K791&gt;=100*0.7,4,IF(K791&gt;=100*0.6,3.5,IF(K791&gt;=100*0.5,3,IF(K791&gt;=100*0.4,2,IF(K791&gt;=100*0.33,1,0))))))))</f>
        <v/>
      </c>
      <c r="AD791">
        <f>IF(B791="","",IF(L791&lt;33.0,0,IF(L791&gt;=100*0.8,5,IF(L791&gt;=100*0.7,4,IF(L791&gt;=100*0.6,3.5,IF(L791&gt;=100*0.5,3,IF(L791&gt;=100*0.4,2,IF(L791&gt;=100*0.33,1,0))))))))</f>
        <v/>
      </c>
      <c r="AE791">
        <f>IF(B791="","",IF(M791&lt;33.0,0,IF(M791&gt;=100*0.8,5,IF(M791&gt;=100*0.7,4,IF(M791&gt;=100*0.6,3.5,IF(M791&gt;=100*0.5,3,IF(M791&gt;=100*0.4,2,IF(M791&gt;=100*0.33,1,0))))))))</f>
        <v/>
      </c>
      <c r="AF791">
        <f>IF(B791="","",IF(N791&lt;16.5,0,IF(N791&gt;=50*0.8,5,IF(N791&gt;=50*0.7,4,IF(N791&gt;=50*0.6,3.5,IF(N791&gt;=50*0.5,3,IF(N791&gt;=50*0.4,2,IF(N791&gt;=50*0.33,1,0))))))))</f>
        <v/>
      </c>
      <c r="AG791">
        <f>IF(B791="","",IF(O791&lt;33.0,0,IF(O791&gt;=100*0.8,5,IF(O791&gt;=100*0.7,4,IF(O791&gt;=100*0.6,3.5,IF(O791&gt;=100*0.5,3,IF(O791&gt;=100*0.4,2,IF(O791&gt;=100*0.33,1,0))))))))</f>
        <v/>
      </c>
      <c r="AH791">
        <f>IF(B791="","",IF(OR(U791=0,V791=0,W791=0,X791=0,Y791=0,Z791=0,AA791=0,AB791=0,AC791=0,AD791=0,AE791=0,AF791=0,AG791=0),1,0))</f>
        <v/>
      </c>
    </row>
    <row r="792">
      <c r="A792" s="3">
        <f>IF(B792="","",ROW()-2)</f>
        <v/>
      </c>
      <c r="P792" s="4">
        <f>IF(B792="","",SUM(C792:O792))</f>
        <v/>
      </c>
      <c r="Q792" s="5">
        <f>IF(B792="","",ROUND(P792/13,2))</f>
        <v/>
      </c>
      <c r="R792" s="5">
        <f>IF(B792="","",IF(AH792=1,0,MIN(5,ROUND((U792+V792+W792+X792+Y792+Z792+AA792+AB792+AC792+AD792+AE792+AF792+AG792)/13,2))))</f>
        <v/>
      </c>
      <c r="S792" s="3">
        <f>IF(B792="","",IF(R792&gt;=5,"A+",IF(R792&gt;=4,"A",IF(R792&gt;=3.5,"A-",IF(R792&gt;=3,"B",IF(R792&gt;=2,"C",IF(R792&gt;=1,"D","F")))))))</f>
        <v/>
      </c>
      <c r="T792" s="3">
        <f>IF(OR(B792="",S792="F"),"",COUNTIFS(P:P,"&gt;"&amp;P792,S:S,"&lt;&gt;F")+1)</f>
        <v/>
      </c>
      <c r="U792">
        <f>IF(B792="","",IF(C792&lt;33.0,0,IF(C792&gt;=100*0.8,5,IF(C792&gt;=100*0.7,4,IF(C792&gt;=100*0.6,3.5,IF(C792&gt;=100*0.5,3,IF(C792&gt;=100*0.4,2,IF(C792&gt;=100*0.33,1,0))))))))</f>
        <v/>
      </c>
      <c r="V792">
        <f>IF(B792="","",IF(D792&lt;33.0,0,IF(D792&gt;=100*0.8,5,IF(D792&gt;=100*0.7,4,IF(D792&gt;=100*0.6,3.5,IF(D792&gt;=100*0.5,3,IF(D792&gt;=100*0.4,2,IF(D792&gt;=100*0.33,1,0))))))))</f>
        <v/>
      </c>
      <c r="W792">
        <f>IF(B792="","",IF(E792&lt;16.5,0,IF(E792&gt;=50*0.8,5,IF(E792&gt;=50*0.7,4,IF(E792&gt;=50*0.6,3.5,IF(E792&gt;=50*0.5,3,IF(E792&gt;=50*0.4,2,IF(E792&gt;=50*0.33,1,0))))))))</f>
        <v/>
      </c>
      <c r="X792">
        <f>IF(B792="","",IF(F792&lt;33.0,0,IF(F792&gt;=100*0.8,5,IF(F792&gt;=100*0.7,4,IF(F792&gt;=100*0.6,3.5,IF(F792&gt;=100*0.5,3,IF(F792&gt;=100*0.4,2,IF(F792&gt;=100*0.33,1,0))))))))</f>
        <v/>
      </c>
      <c r="Y792">
        <f>IF(B792="","",IF(G792&lt;16.5,0,IF(G792&gt;=50*0.8,5,IF(G792&gt;=50*0.7,4,IF(G792&gt;=50*0.6,3.5,IF(G792&gt;=50*0.5,3,IF(G792&gt;=50*0.4,2,IF(G792&gt;=50*0.33,1,0))))))))</f>
        <v/>
      </c>
      <c r="Z792">
        <f>IF(B792="","",IF(H792&lt;33.0,0,IF(H792&gt;=100*0.8,5,IF(H792&gt;=100*0.7,4,IF(H792&gt;=100*0.6,3.5,IF(H792&gt;=100*0.5,3,IF(H792&gt;=100*0.4,2,IF(H792&gt;=100*0.33,1,0))))))))</f>
        <v/>
      </c>
      <c r="AA792">
        <f>IF(B792="","",IF(I792&lt;33.0,0,IF(I792&gt;=100*0.8,5,IF(I792&gt;=100*0.7,4,IF(I792&gt;=100*0.6,3.5,IF(I792&gt;=100*0.5,3,IF(I792&gt;=100*0.4,2,IF(I792&gt;=100*0.33,1,0))))))))</f>
        <v/>
      </c>
      <c r="AB792">
        <f>IF(B792="","",IF(J792&lt;33.0,0,IF(J792&gt;=100*0.8,5,IF(J792&gt;=100*0.7,4,IF(J792&gt;=100*0.6,3.5,IF(J792&gt;=100*0.5,3,IF(J792&gt;=100*0.4,2,IF(J792&gt;=100*0.33,1,0))))))))</f>
        <v/>
      </c>
      <c r="AC792">
        <f>IF(B792="","",IF(K792&lt;33.0,0,IF(K792&gt;=100*0.8,5,IF(K792&gt;=100*0.7,4,IF(K792&gt;=100*0.6,3.5,IF(K792&gt;=100*0.5,3,IF(K792&gt;=100*0.4,2,IF(K792&gt;=100*0.33,1,0))))))))</f>
        <v/>
      </c>
      <c r="AD792">
        <f>IF(B792="","",IF(L792&lt;33.0,0,IF(L792&gt;=100*0.8,5,IF(L792&gt;=100*0.7,4,IF(L792&gt;=100*0.6,3.5,IF(L792&gt;=100*0.5,3,IF(L792&gt;=100*0.4,2,IF(L792&gt;=100*0.33,1,0))))))))</f>
        <v/>
      </c>
      <c r="AE792">
        <f>IF(B792="","",IF(M792&lt;33.0,0,IF(M792&gt;=100*0.8,5,IF(M792&gt;=100*0.7,4,IF(M792&gt;=100*0.6,3.5,IF(M792&gt;=100*0.5,3,IF(M792&gt;=100*0.4,2,IF(M792&gt;=100*0.33,1,0))))))))</f>
        <v/>
      </c>
      <c r="AF792">
        <f>IF(B792="","",IF(N792&lt;16.5,0,IF(N792&gt;=50*0.8,5,IF(N792&gt;=50*0.7,4,IF(N792&gt;=50*0.6,3.5,IF(N792&gt;=50*0.5,3,IF(N792&gt;=50*0.4,2,IF(N792&gt;=50*0.33,1,0))))))))</f>
        <v/>
      </c>
      <c r="AG792">
        <f>IF(B792="","",IF(O792&lt;33.0,0,IF(O792&gt;=100*0.8,5,IF(O792&gt;=100*0.7,4,IF(O792&gt;=100*0.6,3.5,IF(O792&gt;=100*0.5,3,IF(O792&gt;=100*0.4,2,IF(O792&gt;=100*0.33,1,0))))))))</f>
        <v/>
      </c>
      <c r="AH792">
        <f>IF(B792="","",IF(OR(U792=0,V792=0,W792=0,X792=0,Y792=0,Z792=0,AA792=0,AB792=0,AC792=0,AD792=0,AE792=0,AF792=0,AG792=0),1,0))</f>
        <v/>
      </c>
    </row>
    <row r="793">
      <c r="A793" s="3">
        <f>IF(B793="","",ROW()-2)</f>
        <v/>
      </c>
      <c r="P793" s="4">
        <f>IF(B793="","",SUM(C793:O793))</f>
        <v/>
      </c>
      <c r="Q793" s="5">
        <f>IF(B793="","",ROUND(P793/13,2))</f>
        <v/>
      </c>
      <c r="R793" s="5">
        <f>IF(B793="","",IF(AH793=1,0,MIN(5,ROUND((U793+V793+W793+X793+Y793+Z793+AA793+AB793+AC793+AD793+AE793+AF793+AG793)/13,2))))</f>
        <v/>
      </c>
      <c r="S793" s="3">
        <f>IF(B793="","",IF(R793&gt;=5,"A+",IF(R793&gt;=4,"A",IF(R793&gt;=3.5,"A-",IF(R793&gt;=3,"B",IF(R793&gt;=2,"C",IF(R793&gt;=1,"D","F")))))))</f>
        <v/>
      </c>
      <c r="T793" s="3">
        <f>IF(OR(B793="",S793="F"),"",COUNTIFS(P:P,"&gt;"&amp;P793,S:S,"&lt;&gt;F")+1)</f>
        <v/>
      </c>
      <c r="U793">
        <f>IF(B793="","",IF(C793&lt;33.0,0,IF(C793&gt;=100*0.8,5,IF(C793&gt;=100*0.7,4,IF(C793&gt;=100*0.6,3.5,IF(C793&gt;=100*0.5,3,IF(C793&gt;=100*0.4,2,IF(C793&gt;=100*0.33,1,0))))))))</f>
        <v/>
      </c>
      <c r="V793">
        <f>IF(B793="","",IF(D793&lt;33.0,0,IF(D793&gt;=100*0.8,5,IF(D793&gt;=100*0.7,4,IF(D793&gt;=100*0.6,3.5,IF(D793&gt;=100*0.5,3,IF(D793&gt;=100*0.4,2,IF(D793&gt;=100*0.33,1,0))))))))</f>
        <v/>
      </c>
      <c r="W793">
        <f>IF(B793="","",IF(E793&lt;16.5,0,IF(E793&gt;=50*0.8,5,IF(E793&gt;=50*0.7,4,IF(E793&gt;=50*0.6,3.5,IF(E793&gt;=50*0.5,3,IF(E793&gt;=50*0.4,2,IF(E793&gt;=50*0.33,1,0))))))))</f>
        <v/>
      </c>
      <c r="X793">
        <f>IF(B793="","",IF(F793&lt;33.0,0,IF(F793&gt;=100*0.8,5,IF(F793&gt;=100*0.7,4,IF(F793&gt;=100*0.6,3.5,IF(F793&gt;=100*0.5,3,IF(F793&gt;=100*0.4,2,IF(F793&gt;=100*0.33,1,0))))))))</f>
        <v/>
      </c>
      <c r="Y793">
        <f>IF(B793="","",IF(G793&lt;16.5,0,IF(G793&gt;=50*0.8,5,IF(G793&gt;=50*0.7,4,IF(G793&gt;=50*0.6,3.5,IF(G793&gt;=50*0.5,3,IF(G793&gt;=50*0.4,2,IF(G793&gt;=50*0.33,1,0))))))))</f>
        <v/>
      </c>
      <c r="Z793">
        <f>IF(B793="","",IF(H793&lt;33.0,0,IF(H793&gt;=100*0.8,5,IF(H793&gt;=100*0.7,4,IF(H793&gt;=100*0.6,3.5,IF(H793&gt;=100*0.5,3,IF(H793&gt;=100*0.4,2,IF(H793&gt;=100*0.33,1,0))))))))</f>
        <v/>
      </c>
      <c r="AA793">
        <f>IF(B793="","",IF(I793&lt;33.0,0,IF(I793&gt;=100*0.8,5,IF(I793&gt;=100*0.7,4,IF(I793&gt;=100*0.6,3.5,IF(I793&gt;=100*0.5,3,IF(I793&gt;=100*0.4,2,IF(I793&gt;=100*0.33,1,0))))))))</f>
        <v/>
      </c>
      <c r="AB793">
        <f>IF(B793="","",IF(J793&lt;33.0,0,IF(J793&gt;=100*0.8,5,IF(J793&gt;=100*0.7,4,IF(J793&gt;=100*0.6,3.5,IF(J793&gt;=100*0.5,3,IF(J793&gt;=100*0.4,2,IF(J793&gt;=100*0.33,1,0))))))))</f>
        <v/>
      </c>
      <c r="AC793">
        <f>IF(B793="","",IF(K793&lt;33.0,0,IF(K793&gt;=100*0.8,5,IF(K793&gt;=100*0.7,4,IF(K793&gt;=100*0.6,3.5,IF(K793&gt;=100*0.5,3,IF(K793&gt;=100*0.4,2,IF(K793&gt;=100*0.33,1,0))))))))</f>
        <v/>
      </c>
      <c r="AD793">
        <f>IF(B793="","",IF(L793&lt;33.0,0,IF(L793&gt;=100*0.8,5,IF(L793&gt;=100*0.7,4,IF(L793&gt;=100*0.6,3.5,IF(L793&gt;=100*0.5,3,IF(L793&gt;=100*0.4,2,IF(L793&gt;=100*0.33,1,0))))))))</f>
        <v/>
      </c>
      <c r="AE793">
        <f>IF(B793="","",IF(M793&lt;33.0,0,IF(M793&gt;=100*0.8,5,IF(M793&gt;=100*0.7,4,IF(M793&gt;=100*0.6,3.5,IF(M793&gt;=100*0.5,3,IF(M793&gt;=100*0.4,2,IF(M793&gt;=100*0.33,1,0))))))))</f>
        <v/>
      </c>
      <c r="AF793">
        <f>IF(B793="","",IF(N793&lt;16.5,0,IF(N793&gt;=50*0.8,5,IF(N793&gt;=50*0.7,4,IF(N793&gt;=50*0.6,3.5,IF(N793&gt;=50*0.5,3,IF(N793&gt;=50*0.4,2,IF(N793&gt;=50*0.33,1,0))))))))</f>
        <v/>
      </c>
      <c r="AG793">
        <f>IF(B793="","",IF(O793&lt;33.0,0,IF(O793&gt;=100*0.8,5,IF(O793&gt;=100*0.7,4,IF(O793&gt;=100*0.6,3.5,IF(O793&gt;=100*0.5,3,IF(O793&gt;=100*0.4,2,IF(O793&gt;=100*0.33,1,0))))))))</f>
        <v/>
      </c>
      <c r="AH793">
        <f>IF(B793="","",IF(OR(U793=0,V793=0,W793=0,X793=0,Y793=0,Z793=0,AA793=0,AB793=0,AC793=0,AD793=0,AE793=0,AF793=0,AG793=0),1,0))</f>
        <v/>
      </c>
    </row>
    <row r="794">
      <c r="A794" s="3">
        <f>IF(B794="","",ROW()-2)</f>
        <v/>
      </c>
      <c r="P794" s="4">
        <f>IF(B794="","",SUM(C794:O794))</f>
        <v/>
      </c>
      <c r="Q794" s="5">
        <f>IF(B794="","",ROUND(P794/13,2))</f>
        <v/>
      </c>
      <c r="R794" s="5">
        <f>IF(B794="","",IF(AH794=1,0,MIN(5,ROUND((U794+V794+W794+X794+Y794+Z794+AA794+AB794+AC794+AD794+AE794+AF794+AG794)/13,2))))</f>
        <v/>
      </c>
      <c r="S794" s="3">
        <f>IF(B794="","",IF(R794&gt;=5,"A+",IF(R794&gt;=4,"A",IF(R794&gt;=3.5,"A-",IF(R794&gt;=3,"B",IF(R794&gt;=2,"C",IF(R794&gt;=1,"D","F")))))))</f>
        <v/>
      </c>
      <c r="T794" s="3">
        <f>IF(OR(B794="",S794="F"),"",COUNTIFS(P:P,"&gt;"&amp;P794,S:S,"&lt;&gt;F")+1)</f>
        <v/>
      </c>
      <c r="U794">
        <f>IF(B794="","",IF(C794&lt;33.0,0,IF(C794&gt;=100*0.8,5,IF(C794&gt;=100*0.7,4,IF(C794&gt;=100*0.6,3.5,IF(C794&gt;=100*0.5,3,IF(C794&gt;=100*0.4,2,IF(C794&gt;=100*0.33,1,0))))))))</f>
        <v/>
      </c>
      <c r="V794">
        <f>IF(B794="","",IF(D794&lt;33.0,0,IF(D794&gt;=100*0.8,5,IF(D794&gt;=100*0.7,4,IF(D794&gt;=100*0.6,3.5,IF(D794&gt;=100*0.5,3,IF(D794&gt;=100*0.4,2,IF(D794&gt;=100*0.33,1,0))))))))</f>
        <v/>
      </c>
      <c r="W794">
        <f>IF(B794="","",IF(E794&lt;16.5,0,IF(E794&gt;=50*0.8,5,IF(E794&gt;=50*0.7,4,IF(E794&gt;=50*0.6,3.5,IF(E794&gt;=50*0.5,3,IF(E794&gt;=50*0.4,2,IF(E794&gt;=50*0.33,1,0))))))))</f>
        <v/>
      </c>
      <c r="X794">
        <f>IF(B794="","",IF(F794&lt;33.0,0,IF(F794&gt;=100*0.8,5,IF(F794&gt;=100*0.7,4,IF(F794&gt;=100*0.6,3.5,IF(F794&gt;=100*0.5,3,IF(F794&gt;=100*0.4,2,IF(F794&gt;=100*0.33,1,0))))))))</f>
        <v/>
      </c>
      <c r="Y794">
        <f>IF(B794="","",IF(G794&lt;16.5,0,IF(G794&gt;=50*0.8,5,IF(G794&gt;=50*0.7,4,IF(G794&gt;=50*0.6,3.5,IF(G794&gt;=50*0.5,3,IF(G794&gt;=50*0.4,2,IF(G794&gt;=50*0.33,1,0))))))))</f>
        <v/>
      </c>
      <c r="Z794">
        <f>IF(B794="","",IF(H794&lt;33.0,0,IF(H794&gt;=100*0.8,5,IF(H794&gt;=100*0.7,4,IF(H794&gt;=100*0.6,3.5,IF(H794&gt;=100*0.5,3,IF(H794&gt;=100*0.4,2,IF(H794&gt;=100*0.33,1,0))))))))</f>
        <v/>
      </c>
      <c r="AA794">
        <f>IF(B794="","",IF(I794&lt;33.0,0,IF(I794&gt;=100*0.8,5,IF(I794&gt;=100*0.7,4,IF(I794&gt;=100*0.6,3.5,IF(I794&gt;=100*0.5,3,IF(I794&gt;=100*0.4,2,IF(I794&gt;=100*0.33,1,0))))))))</f>
        <v/>
      </c>
      <c r="AB794">
        <f>IF(B794="","",IF(J794&lt;33.0,0,IF(J794&gt;=100*0.8,5,IF(J794&gt;=100*0.7,4,IF(J794&gt;=100*0.6,3.5,IF(J794&gt;=100*0.5,3,IF(J794&gt;=100*0.4,2,IF(J794&gt;=100*0.33,1,0))))))))</f>
        <v/>
      </c>
      <c r="AC794">
        <f>IF(B794="","",IF(K794&lt;33.0,0,IF(K794&gt;=100*0.8,5,IF(K794&gt;=100*0.7,4,IF(K794&gt;=100*0.6,3.5,IF(K794&gt;=100*0.5,3,IF(K794&gt;=100*0.4,2,IF(K794&gt;=100*0.33,1,0))))))))</f>
        <v/>
      </c>
      <c r="AD794">
        <f>IF(B794="","",IF(L794&lt;33.0,0,IF(L794&gt;=100*0.8,5,IF(L794&gt;=100*0.7,4,IF(L794&gt;=100*0.6,3.5,IF(L794&gt;=100*0.5,3,IF(L794&gt;=100*0.4,2,IF(L794&gt;=100*0.33,1,0))))))))</f>
        <v/>
      </c>
      <c r="AE794">
        <f>IF(B794="","",IF(M794&lt;33.0,0,IF(M794&gt;=100*0.8,5,IF(M794&gt;=100*0.7,4,IF(M794&gt;=100*0.6,3.5,IF(M794&gt;=100*0.5,3,IF(M794&gt;=100*0.4,2,IF(M794&gt;=100*0.33,1,0))))))))</f>
        <v/>
      </c>
      <c r="AF794">
        <f>IF(B794="","",IF(N794&lt;16.5,0,IF(N794&gt;=50*0.8,5,IF(N794&gt;=50*0.7,4,IF(N794&gt;=50*0.6,3.5,IF(N794&gt;=50*0.5,3,IF(N794&gt;=50*0.4,2,IF(N794&gt;=50*0.33,1,0))))))))</f>
        <v/>
      </c>
      <c r="AG794">
        <f>IF(B794="","",IF(O794&lt;33.0,0,IF(O794&gt;=100*0.8,5,IF(O794&gt;=100*0.7,4,IF(O794&gt;=100*0.6,3.5,IF(O794&gt;=100*0.5,3,IF(O794&gt;=100*0.4,2,IF(O794&gt;=100*0.33,1,0))))))))</f>
        <v/>
      </c>
      <c r="AH794">
        <f>IF(B794="","",IF(OR(U794=0,V794=0,W794=0,X794=0,Y794=0,Z794=0,AA794=0,AB794=0,AC794=0,AD794=0,AE794=0,AF794=0,AG794=0),1,0))</f>
        <v/>
      </c>
    </row>
    <row r="795">
      <c r="A795" s="3">
        <f>IF(B795="","",ROW()-2)</f>
        <v/>
      </c>
      <c r="P795" s="4">
        <f>IF(B795="","",SUM(C795:O795))</f>
        <v/>
      </c>
      <c r="Q795" s="5">
        <f>IF(B795="","",ROUND(P795/13,2))</f>
        <v/>
      </c>
      <c r="R795" s="5">
        <f>IF(B795="","",IF(AH795=1,0,MIN(5,ROUND((U795+V795+W795+X795+Y795+Z795+AA795+AB795+AC795+AD795+AE795+AF795+AG795)/13,2))))</f>
        <v/>
      </c>
      <c r="S795" s="3">
        <f>IF(B795="","",IF(R795&gt;=5,"A+",IF(R795&gt;=4,"A",IF(R795&gt;=3.5,"A-",IF(R795&gt;=3,"B",IF(R795&gt;=2,"C",IF(R795&gt;=1,"D","F")))))))</f>
        <v/>
      </c>
      <c r="T795" s="3">
        <f>IF(OR(B795="",S795="F"),"",COUNTIFS(P:P,"&gt;"&amp;P795,S:S,"&lt;&gt;F")+1)</f>
        <v/>
      </c>
      <c r="U795">
        <f>IF(B795="","",IF(C795&lt;33.0,0,IF(C795&gt;=100*0.8,5,IF(C795&gt;=100*0.7,4,IF(C795&gt;=100*0.6,3.5,IF(C795&gt;=100*0.5,3,IF(C795&gt;=100*0.4,2,IF(C795&gt;=100*0.33,1,0))))))))</f>
        <v/>
      </c>
      <c r="V795">
        <f>IF(B795="","",IF(D795&lt;33.0,0,IF(D795&gt;=100*0.8,5,IF(D795&gt;=100*0.7,4,IF(D795&gt;=100*0.6,3.5,IF(D795&gt;=100*0.5,3,IF(D795&gt;=100*0.4,2,IF(D795&gt;=100*0.33,1,0))))))))</f>
        <v/>
      </c>
      <c r="W795">
        <f>IF(B795="","",IF(E795&lt;16.5,0,IF(E795&gt;=50*0.8,5,IF(E795&gt;=50*0.7,4,IF(E795&gt;=50*0.6,3.5,IF(E795&gt;=50*0.5,3,IF(E795&gt;=50*0.4,2,IF(E795&gt;=50*0.33,1,0))))))))</f>
        <v/>
      </c>
      <c r="X795">
        <f>IF(B795="","",IF(F795&lt;33.0,0,IF(F795&gt;=100*0.8,5,IF(F795&gt;=100*0.7,4,IF(F795&gt;=100*0.6,3.5,IF(F795&gt;=100*0.5,3,IF(F795&gt;=100*0.4,2,IF(F795&gt;=100*0.33,1,0))))))))</f>
        <v/>
      </c>
      <c r="Y795">
        <f>IF(B795="","",IF(G795&lt;16.5,0,IF(G795&gt;=50*0.8,5,IF(G795&gt;=50*0.7,4,IF(G795&gt;=50*0.6,3.5,IF(G795&gt;=50*0.5,3,IF(G795&gt;=50*0.4,2,IF(G795&gt;=50*0.33,1,0))))))))</f>
        <v/>
      </c>
      <c r="Z795">
        <f>IF(B795="","",IF(H795&lt;33.0,0,IF(H795&gt;=100*0.8,5,IF(H795&gt;=100*0.7,4,IF(H795&gt;=100*0.6,3.5,IF(H795&gt;=100*0.5,3,IF(H795&gt;=100*0.4,2,IF(H795&gt;=100*0.33,1,0))))))))</f>
        <v/>
      </c>
      <c r="AA795">
        <f>IF(B795="","",IF(I795&lt;33.0,0,IF(I795&gt;=100*0.8,5,IF(I795&gt;=100*0.7,4,IF(I795&gt;=100*0.6,3.5,IF(I795&gt;=100*0.5,3,IF(I795&gt;=100*0.4,2,IF(I795&gt;=100*0.33,1,0))))))))</f>
        <v/>
      </c>
      <c r="AB795">
        <f>IF(B795="","",IF(J795&lt;33.0,0,IF(J795&gt;=100*0.8,5,IF(J795&gt;=100*0.7,4,IF(J795&gt;=100*0.6,3.5,IF(J795&gt;=100*0.5,3,IF(J795&gt;=100*0.4,2,IF(J795&gt;=100*0.33,1,0))))))))</f>
        <v/>
      </c>
      <c r="AC795">
        <f>IF(B795="","",IF(K795&lt;33.0,0,IF(K795&gt;=100*0.8,5,IF(K795&gt;=100*0.7,4,IF(K795&gt;=100*0.6,3.5,IF(K795&gt;=100*0.5,3,IF(K795&gt;=100*0.4,2,IF(K795&gt;=100*0.33,1,0))))))))</f>
        <v/>
      </c>
      <c r="AD795">
        <f>IF(B795="","",IF(L795&lt;33.0,0,IF(L795&gt;=100*0.8,5,IF(L795&gt;=100*0.7,4,IF(L795&gt;=100*0.6,3.5,IF(L795&gt;=100*0.5,3,IF(L795&gt;=100*0.4,2,IF(L795&gt;=100*0.33,1,0))))))))</f>
        <v/>
      </c>
      <c r="AE795">
        <f>IF(B795="","",IF(M795&lt;33.0,0,IF(M795&gt;=100*0.8,5,IF(M795&gt;=100*0.7,4,IF(M795&gt;=100*0.6,3.5,IF(M795&gt;=100*0.5,3,IF(M795&gt;=100*0.4,2,IF(M795&gt;=100*0.33,1,0))))))))</f>
        <v/>
      </c>
      <c r="AF795">
        <f>IF(B795="","",IF(N795&lt;16.5,0,IF(N795&gt;=50*0.8,5,IF(N795&gt;=50*0.7,4,IF(N795&gt;=50*0.6,3.5,IF(N795&gt;=50*0.5,3,IF(N795&gt;=50*0.4,2,IF(N795&gt;=50*0.33,1,0))))))))</f>
        <v/>
      </c>
      <c r="AG795">
        <f>IF(B795="","",IF(O795&lt;33.0,0,IF(O795&gt;=100*0.8,5,IF(O795&gt;=100*0.7,4,IF(O795&gt;=100*0.6,3.5,IF(O795&gt;=100*0.5,3,IF(O795&gt;=100*0.4,2,IF(O795&gt;=100*0.33,1,0))))))))</f>
        <v/>
      </c>
      <c r="AH795">
        <f>IF(B795="","",IF(OR(U795=0,V795=0,W795=0,X795=0,Y795=0,Z795=0,AA795=0,AB795=0,AC795=0,AD795=0,AE795=0,AF795=0,AG795=0),1,0))</f>
        <v/>
      </c>
    </row>
    <row r="796">
      <c r="A796" s="3">
        <f>IF(B796="","",ROW()-2)</f>
        <v/>
      </c>
      <c r="P796" s="4">
        <f>IF(B796="","",SUM(C796:O796))</f>
        <v/>
      </c>
      <c r="Q796" s="5">
        <f>IF(B796="","",ROUND(P796/13,2))</f>
        <v/>
      </c>
      <c r="R796" s="5">
        <f>IF(B796="","",IF(AH796=1,0,MIN(5,ROUND((U796+V796+W796+X796+Y796+Z796+AA796+AB796+AC796+AD796+AE796+AF796+AG796)/13,2))))</f>
        <v/>
      </c>
      <c r="S796" s="3">
        <f>IF(B796="","",IF(R796&gt;=5,"A+",IF(R796&gt;=4,"A",IF(R796&gt;=3.5,"A-",IF(R796&gt;=3,"B",IF(R796&gt;=2,"C",IF(R796&gt;=1,"D","F")))))))</f>
        <v/>
      </c>
      <c r="T796" s="3">
        <f>IF(OR(B796="",S796="F"),"",COUNTIFS(P:P,"&gt;"&amp;P796,S:S,"&lt;&gt;F")+1)</f>
        <v/>
      </c>
      <c r="U796">
        <f>IF(B796="","",IF(C796&lt;33.0,0,IF(C796&gt;=100*0.8,5,IF(C796&gt;=100*0.7,4,IF(C796&gt;=100*0.6,3.5,IF(C796&gt;=100*0.5,3,IF(C796&gt;=100*0.4,2,IF(C796&gt;=100*0.33,1,0))))))))</f>
        <v/>
      </c>
      <c r="V796">
        <f>IF(B796="","",IF(D796&lt;33.0,0,IF(D796&gt;=100*0.8,5,IF(D796&gt;=100*0.7,4,IF(D796&gt;=100*0.6,3.5,IF(D796&gt;=100*0.5,3,IF(D796&gt;=100*0.4,2,IF(D796&gt;=100*0.33,1,0))))))))</f>
        <v/>
      </c>
      <c r="W796">
        <f>IF(B796="","",IF(E796&lt;16.5,0,IF(E796&gt;=50*0.8,5,IF(E796&gt;=50*0.7,4,IF(E796&gt;=50*0.6,3.5,IF(E796&gt;=50*0.5,3,IF(E796&gt;=50*0.4,2,IF(E796&gt;=50*0.33,1,0))))))))</f>
        <v/>
      </c>
      <c r="X796">
        <f>IF(B796="","",IF(F796&lt;33.0,0,IF(F796&gt;=100*0.8,5,IF(F796&gt;=100*0.7,4,IF(F796&gt;=100*0.6,3.5,IF(F796&gt;=100*0.5,3,IF(F796&gt;=100*0.4,2,IF(F796&gt;=100*0.33,1,0))))))))</f>
        <v/>
      </c>
      <c r="Y796">
        <f>IF(B796="","",IF(G796&lt;16.5,0,IF(G796&gt;=50*0.8,5,IF(G796&gt;=50*0.7,4,IF(G796&gt;=50*0.6,3.5,IF(G796&gt;=50*0.5,3,IF(G796&gt;=50*0.4,2,IF(G796&gt;=50*0.33,1,0))))))))</f>
        <v/>
      </c>
      <c r="Z796">
        <f>IF(B796="","",IF(H796&lt;33.0,0,IF(H796&gt;=100*0.8,5,IF(H796&gt;=100*0.7,4,IF(H796&gt;=100*0.6,3.5,IF(H796&gt;=100*0.5,3,IF(H796&gt;=100*0.4,2,IF(H796&gt;=100*0.33,1,0))))))))</f>
        <v/>
      </c>
      <c r="AA796">
        <f>IF(B796="","",IF(I796&lt;33.0,0,IF(I796&gt;=100*0.8,5,IF(I796&gt;=100*0.7,4,IF(I796&gt;=100*0.6,3.5,IF(I796&gt;=100*0.5,3,IF(I796&gt;=100*0.4,2,IF(I796&gt;=100*0.33,1,0))))))))</f>
        <v/>
      </c>
      <c r="AB796">
        <f>IF(B796="","",IF(J796&lt;33.0,0,IF(J796&gt;=100*0.8,5,IF(J796&gt;=100*0.7,4,IF(J796&gt;=100*0.6,3.5,IF(J796&gt;=100*0.5,3,IF(J796&gt;=100*0.4,2,IF(J796&gt;=100*0.33,1,0))))))))</f>
        <v/>
      </c>
      <c r="AC796">
        <f>IF(B796="","",IF(K796&lt;33.0,0,IF(K796&gt;=100*0.8,5,IF(K796&gt;=100*0.7,4,IF(K796&gt;=100*0.6,3.5,IF(K796&gt;=100*0.5,3,IF(K796&gt;=100*0.4,2,IF(K796&gt;=100*0.33,1,0))))))))</f>
        <v/>
      </c>
      <c r="AD796">
        <f>IF(B796="","",IF(L796&lt;33.0,0,IF(L796&gt;=100*0.8,5,IF(L796&gt;=100*0.7,4,IF(L796&gt;=100*0.6,3.5,IF(L796&gt;=100*0.5,3,IF(L796&gt;=100*0.4,2,IF(L796&gt;=100*0.33,1,0))))))))</f>
        <v/>
      </c>
      <c r="AE796">
        <f>IF(B796="","",IF(M796&lt;33.0,0,IF(M796&gt;=100*0.8,5,IF(M796&gt;=100*0.7,4,IF(M796&gt;=100*0.6,3.5,IF(M796&gt;=100*0.5,3,IF(M796&gt;=100*0.4,2,IF(M796&gt;=100*0.33,1,0))))))))</f>
        <v/>
      </c>
      <c r="AF796">
        <f>IF(B796="","",IF(N796&lt;16.5,0,IF(N796&gt;=50*0.8,5,IF(N796&gt;=50*0.7,4,IF(N796&gt;=50*0.6,3.5,IF(N796&gt;=50*0.5,3,IF(N796&gt;=50*0.4,2,IF(N796&gt;=50*0.33,1,0))))))))</f>
        <v/>
      </c>
      <c r="AG796">
        <f>IF(B796="","",IF(O796&lt;33.0,0,IF(O796&gt;=100*0.8,5,IF(O796&gt;=100*0.7,4,IF(O796&gt;=100*0.6,3.5,IF(O796&gt;=100*0.5,3,IF(O796&gt;=100*0.4,2,IF(O796&gt;=100*0.33,1,0))))))))</f>
        <v/>
      </c>
      <c r="AH796">
        <f>IF(B796="","",IF(OR(U796=0,V796=0,W796=0,X796=0,Y796=0,Z796=0,AA796=0,AB796=0,AC796=0,AD796=0,AE796=0,AF796=0,AG796=0),1,0))</f>
        <v/>
      </c>
    </row>
    <row r="797">
      <c r="A797" s="3">
        <f>IF(B797="","",ROW()-2)</f>
        <v/>
      </c>
      <c r="P797" s="4">
        <f>IF(B797="","",SUM(C797:O797))</f>
        <v/>
      </c>
      <c r="Q797" s="5">
        <f>IF(B797="","",ROUND(P797/13,2))</f>
        <v/>
      </c>
      <c r="R797" s="5">
        <f>IF(B797="","",IF(AH797=1,0,MIN(5,ROUND((U797+V797+W797+X797+Y797+Z797+AA797+AB797+AC797+AD797+AE797+AF797+AG797)/13,2))))</f>
        <v/>
      </c>
      <c r="S797" s="3">
        <f>IF(B797="","",IF(R797&gt;=5,"A+",IF(R797&gt;=4,"A",IF(R797&gt;=3.5,"A-",IF(R797&gt;=3,"B",IF(R797&gt;=2,"C",IF(R797&gt;=1,"D","F")))))))</f>
        <v/>
      </c>
      <c r="T797" s="3">
        <f>IF(OR(B797="",S797="F"),"",COUNTIFS(P:P,"&gt;"&amp;P797,S:S,"&lt;&gt;F")+1)</f>
        <v/>
      </c>
      <c r="U797">
        <f>IF(B797="","",IF(C797&lt;33.0,0,IF(C797&gt;=100*0.8,5,IF(C797&gt;=100*0.7,4,IF(C797&gt;=100*0.6,3.5,IF(C797&gt;=100*0.5,3,IF(C797&gt;=100*0.4,2,IF(C797&gt;=100*0.33,1,0))))))))</f>
        <v/>
      </c>
      <c r="V797">
        <f>IF(B797="","",IF(D797&lt;33.0,0,IF(D797&gt;=100*0.8,5,IF(D797&gt;=100*0.7,4,IF(D797&gt;=100*0.6,3.5,IF(D797&gt;=100*0.5,3,IF(D797&gt;=100*0.4,2,IF(D797&gt;=100*0.33,1,0))))))))</f>
        <v/>
      </c>
      <c r="W797">
        <f>IF(B797="","",IF(E797&lt;16.5,0,IF(E797&gt;=50*0.8,5,IF(E797&gt;=50*0.7,4,IF(E797&gt;=50*0.6,3.5,IF(E797&gt;=50*0.5,3,IF(E797&gt;=50*0.4,2,IF(E797&gt;=50*0.33,1,0))))))))</f>
        <v/>
      </c>
      <c r="X797">
        <f>IF(B797="","",IF(F797&lt;33.0,0,IF(F797&gt;=100*0.8,5,IF(F797&gt;=100*0.7,4,IF(F797&gt;=100*0.6,3.5,IF(F797&gt;=100*0.5,3,IF(F797&gt;=100*0.4,2,IF(F797&gt;=100*0.33,1,0))))))))</f>
        <v/>
      </c>
      <c r="Y797">
        <f>IF(B797="","",IF(G797&lt;16.5,0,IF(G797&gt;=50*0.8,5,IF(G797&gt;=50*0.7,4,IF(G797&gt;=50*0.6,3.5,IF(G797&gt;=50*0.5,3,IF(G797&gt;=50*0.4,2,IF(G797&gt;=50*0.33,1,0))))))))</f>
        <v/>
      </c>
      <c r="Z797">
        <f>IF(B797="","",IF(H797&lt;33.0,0,IF(H797&gt;=100*0.8,5,IF(H797&gt;=100*0.7,4,IF(H797&gt;=100*0.6,3.5,IF(H797&gt;=100*0.5,3,IF(H797&gt;=100*0.4,2,IF(H797&gt;=100*0.33,1,0))))))))</f>
        <v/>
      </c>
      <c r="AA797">
        <f>IF(B797="","",IF(I797&lt;33.0,0,IF(I797&gt;=100*0.8,5,IF(I797&gt;=100*0.7,4,IF(I797&gt;=100*0.6,3.5,IF(I797&gt;=100*0.5,3,IF(I797&gt;=100*0.4,2,IF(I797&gt;=100*0.33,1,0))))))))</f>
        <v/>
      </c>
      <c r="AB797">
        <f>IF(B797="","",IF(J797&lt;33.0,0,IF(J797&gt;=100*0.8,5,IF(J797&gt;=100*0.7,4,IF(J797&gt;=100*0.6,3.5,IF(J797&gt;=100*0.5,3,IF(J797&gt;=100*0.4,2,IF(J797&gt;=100*0.33,1,0))))))))</f>
        <v/>
      </c>
      <c r="AC797">
        <f>IF(B797="","",IF(K797&lt;33.0,0,IF(K797&gt;=100*0.8,5,IF(K797&gt;=100*0.7,4,IF(K797&gt;=100*0.6,3.5,IF(K797&gt;=100*0.5,3,IF(K797&gt;=100*0.4,2,IF(K797&gt;=100*0.33,1,0))))))))</f>
        <v/>
      </c>
      <c r="AD797">
        <f>IF(B797="","",IF(L797&lt;33.0,0,IF(L797&gt;=100*0.8,5,IF(L797&gt;=100*0.7,4,IF(L797&gt;=100*0.6,3.5,IF(L797&gt;=100*0.5,3,IF(L797&gt;=100*0.4,2,IF(L797&gt;=100*0.33,1,0))))))))</f>
        <v/>
      </c>
      <c r="AE797">
        <f>IF(B797="","",IF(M797&lt;33.0,0,IF(M797&gt;=100*0.8,5,IF(M797&gt;=100*0.7,4,IF(M797&gt;=100*0.6,3.5,IF(M797&gt;=100*0.5,3,IF(M797&gt;=100*0.4,2,IF(M797&gt;=100*0.33,1,0))))))))</f>
        <v/>
      </c>
      <c r="AF797">
        <f>IF(B797="","",IF(N797&lt;16.5,0,IF(N797&gt;=50*0.8,5,IF(N797&gt;=50*0.7,4,IF(N797&gt;=50*0.6,3.5,IF(N797&gt;=50*0.5,3,IF(N797&gt;=50*0.4,2,IF(N797&gt;=50*0.33,1,0))))))))</f>
        <v/>
      </c>
      <c r="AG797">
        <f>IF(B797="","",IF(O797&lt;33.0,0,IF(O797&gt;=100*0.8,5,IF(O797&gt;=100*0.7,4,IF(O797&gt;=100*0.6,3.5,IF(O797&gt;=100*0.5,3,IF(O797&gt;=100*0.4,2,IF(O797&gt;=100*0.33,1,0))))))))</f>
        <v/>
      </c>
      <c r="AH797">
        <f>IF(B797="","",IF(OR(U797=0,V797=0,W797=0,X797=0,Y797=0,Z797=0,AA797=0,AB797=0,AC797=0,AD797=0,AE797=0,AF797=0,AG797=0),1,0))</f>
        <v/>
      </c>
    </row>
    <row r="798">
      <c r="A798" s="3">
        <f>IF(B798="","",ROW()-2)</f>
        <v/>
      </c>
      <c r="P798" s="4">
        <f>IF(B798="","",SUM(C798:O798))</f>
        <v/>
      </c>
      <c r="Q798" s="5">
        <f>IF(B798="","",ROUND(P798/13,2))</f>
        <v/>
      </c>
      <c r="R798" s="5">
        <f>IF(B798="","",IF(AH798=1,0,MIN(5,ROUND((U798+V798+W798+X798+Y798+Z798+AA798+AB798+AC798+AD798+AE798+AF798+AG798)/13,2))))</f>
        <v/>
      </c>
      <c r="S798" s="3">
        <f>IF(B798="","",IF(R798&gt;=5,"A+",IF(R798&gt;=4,"A",IF(R798&gt;=3.5,"A-",IF(R798&gt;=3,"B",IF(R798&gt;=2,"C",IF(R798&gt;=1,"D","F")))))))</f>
        <v/>
      </c>
      <c r="T798" s="3">
        <f>IF(OR(B798="",S798="F"),"",COUNTIFS(P:P,"&gt;"&amp;P798,S:S,"&lt;&gt;F")+1)</f>
        <v/>
      </c>
      <c r="U798">
        <f>IF(B798="","",IF(C798&lt;33.0,0,IF(C798&gt;=100*0.8,5,IF(C798&gt;=100*0.7,4,IF(C798&gt;=100*0.6,3.5,IF(C798&gt;=100*0.5,3,IF(C798&gt;=100*0.4,2,IF(C798&gt;=100*0.33,1,0))))))))</f>
        <v/>
      </c>
      <c r="V798">
        <f>IF(B798="","",IF(D798&lt;33.0,0,IF(D798&gt;=100*0.8,5,IF(D798&gt;=100*0.7,4,IF(D798&gt;=100*0.6,3.5,IF(D798&gt;=100*0.5,3,IF(D798&gt;=100*0.4,2,IF(D798&gt;=100*0.33,1,0))))))))</f>
        <v/>
      </c>
      <c r="W798">
        <f>IF(B798="","",IF(E798&lt;16.5,0,IF(E798&gt;=50*0.8,5,IF(E798&gt;=50*0.7,4,IF(E798&gt;=50*0.6,3.5,IF(E798&gt;=50*0.5,3,IF(E798&gt;=50*0.4,2,IF(E798&gt;=50*0.33,1,0))))))))</f>
        <v/>
      </c>
      <c r="X798">
        <f>IF(B798="","",IF(F798&lt;33.0,0,IF(F798&gt;=100*0.8,5,IF(F798&gt;=100*0.7,4,IF(F798&gt;=100*0.6,3.5,IF(F798&gt;=100*0.5,3,IF(F798&gt;=100*0.4,2,IF(F798&gt;=100*0.33,1,0))))))))</f>
        <v/>
      </c>
      <c r="Y798">
        <f>IF(B798="","",IF(G798&lt;16.5,0,IF(G798&gt;=50*0.8,5,IF(G798&gt;=50*0.7,4,IF(G798&gt;=50*0.6,3.5,IF(G798&gt;=50*0.5,3,IF(G798&gt;=50*0.4,2,IF(G798&gt;=50*0.33,1,0))))))))</f>
        <v/>
      </c>
      <c r="Z798">
        <f>IF(B798="","",IF(H798&lt;33.0,0,IF(H798&gt;=100*0.8,5,IF(H798&gt;=100*0.7,4,IF(H798&gt;=100*0.6,3.5,IF(H798&gt;=100*0.5,3,IF(H798&gt;=100*0.4,2,IF(H798&gt;=100*0.33,1,0))))))))</f>
        <v/>
      </c>
      <c r="AA798">
        <f>IF(B798="","",IF(I798&lt;33.0,0,IF(I798&gt;=100*0.8,5,IF(I798&gt;=100*0.7,4,IF(I798&gt;=100*0.6,3.5,IF(I798&gt;=100*0.5,3,IF(I798&gt;=100*0.4,2,IF(I798&gt;=100*0.33,1,0))))))))</f>
        <v/>
      </c>
      <c r="AB798">
        <f>IF(B798="","",IF(J798&lt;33.0,0,IF(J798&gt;=100*0.8,5,IF(J798&gt;=100*0.7,4,IF(J798&gt;=100*0.6,3.5,IF(J798&gt;=100*0.5,3,IF(J798&gt;=100*0.4,2,IF(J798&gt;=100*0.33,1,0))))))))</f>
        <v/>
      </c>
      <c r="AC798">
        <f>IF(B798="","",IF(K798&lt;33.0,0,IF(K798&gt;=100*0.8,5,IF(K798&gt;=100*0.7,4,IF(K798&gt;=100*0.6,3.5,IF(K798&gt;=100*0.5,3,IF(K798&gt;=100*0.4,2,IF(K798&gt;=100*0.33,1,0))))))))</f>
        <v/>
      </c>
      <c r="AD798">
        <f>IF(B798="","",IF(L798&lt;33.0,0,IF(L798&gt;=100*0.8,5,IF(L798&gt;=100*0.7,4,IF(L798&gt;=100*0.6,3.5,IF(L798&gt;=100*0.5,3,IF(L798&gt;=100*0.4,2,IF(L798&gt;=100*0.33,1,0))))))))</f>
        <v/>
      </c>
      <c r="AE798">
        <f>IF(B798="","",IF(M798&lt;33.0,0,IF(M798&gt;=100*0.8,5,IF(M798&gt;=100*0.7,4,IF(M798&gt;=100*0.6,3.5,IF(M798&gt;=100*0.5,3,IF(M798&gt;=100*0.4,2,IF(M798&gt;=100*0.33,1,0))))))))</f>
        <v/>
      </c>
      <c r="AF798">
        <f>IF(B798="","",IF(N798&lt;16.5,0,IF(N798&gt;=50*0.8,5,IF(N798&gt;=50*0.7,4,IF(N798&gt;=50*0.6,3.5,IF(N798&gt;=50*0.5,3,IF(N798&gt;=50*0.4,2,IF(N798&gt;=50*0.33,1,0))))))))</f>
        <v/>
      </c>
      <c r="AG798">
        <f>IF(B798="","",IF(O798&lt;33.0,0,IF(O798&gt;=100*0.8,5,IF(O798&gt;=100*0.7,4,IF(O798&gt;=100*0.6,3.5,IF(O798&gt;=100*0.5,3,IF(O798&gt;=100*0.4,2,IF(O798&gt;=100*0.33,1,0))))))))</f>
        <v/>
      </c>
      <c r="AH798">
        <f>IF(B798="","",IF(OR(U798=0,V798=0,W798=0,X798=0,Y798=0,Z798=0,AA798=0,AB798=0,AC798=0,AD798=0,AE798=0,AF798=0,AG798=0),1,0))</f>
        <v/>
      </c>
    </row>
    <row r="799">
      <c r="A799" s="3">
        <f>IF(B799="","",ROW()-2)</f>
        <v/>
      </c>
      <c r="P799" s="4">
        <f>IF(B799="","",SUM(C799:O799))</f>
        <v/>
      </c>
      <c r="Q799" s="5">
        <f>IF(B799="","",ROUND(P799/13,2))</f>
        <v/>
      </c>
      <c r="R799" s="5">
        <f>IF(B799="","",IF(AH799=1,0,MIN(5,ROUND((U799+V799+W799+X799+Y799+Z799+AA799+AB799+AC799+AD799+AE799+AF799+AG799)/13,2))))</f>
        <v/>
      </c>
      <c r="S799" s="3">
        <f>IF(B799="","",IF(R799&gt;=5,"A+",IF(R799&gt;=4,"A",IF(R799&gt;=3.5,"A-",IF(R799&gt;=3,"B",IF(R799&gt;=2,"C",IF(R799&gt;=1,"D","F")))))))</f>
        <v/>
      </c>
      <c r="T799" s="3">
        <f>IF(OR(B799="",S799="F"),"",COUNTIFS(P:P,"&gt;"&amp;P799,S:S,"&lt;&gt;F")+1)</f>
        <v/>
      </c>
      <c r="U799">
        <f>IF(B799="","",IF(C799&lt;33.0,0,IF(C799&gt;=100*0.8,5,IF(C799&gt;=100*0.7,4,IF(C799&gt;=100*0.6,3.5,IF(C799&gt;=100*0.5,3,IF(C799&gt;=100*0.4,2,IF(C799&gt;=100*0.33,1,0))))))))</f>
        <v/>
      </c>
      <c r="V799">
        <f>IF(B799="","",IF(D799&lt;33.0,0,IF(D799&gt;=100*0.8,5,IF(D799&gt;=100*0.7,4,IF(D799&gt;=100*0.6,3.5,IF(D799&gt;=100*0.5,3,IF(D799&gt;=100*0.4,2,IF(D799&gt;=100*0.33,1,0))))))))</f>
        <v/>
      </c>
      <c r="W799">
        <f>IF(B799="","",IF(E799&lt;16.5,0,IF(E799&gt;=50*0.8,5,IF(E799&gt;=50*0.7,4,IF(E799&gt;=50*0.6,3.5,IF(E799&gt;=50*0.5,3,IF(E799&gt;=50*0.4,2,IF(E799&gt;=50*0.33,1,0))))))))</f>
        <v/>
      </c>
      <c r="X799">
        <f>IF(B799="","",IF(F799&lt;33.0,0,IF(F799&gt;=100*0.8,5,IF(F799&gt;=100*0.7,4,IF(F799&gt;=100*0.6,3.5,IF(F799&gt;=100*0.5,3,IF(F799&gt;=100*0.4,2,IF(F799&gt;=100*0.33,1,0))))))))</f>
        <v/>
      </c>
      <c r="Y799">
        <f>IF(B799="","",IF(G799&lt;16.5,0,IF(G799&gt;=50*0.8,5,IF(G799&gt;=50*0.7,4,IF(G799&gt;=50*0.6,3.5,IF(G799&gt;=50*0.5,3,IF(G799&gt;=50*0.4,2,IF(G799&gt;=50*0.33,1,0))))))))</f>
        <v/>
      </c>
      <c r="Z799">
        <f>IF(B799="","",IF(H799&lt;33.0,0,IF(H799&gt;=100*0.8,5,IF(H799&gt;=100*0.7,4,IF(H799&gt;=100*0.6,3.5,IF(H799&gt;=100*0.5,3,IF(H799&gt;=100*0.4,2,IF(H799&gt;=100*0.33,1,0))))))))</f>
        <v/>
      </c>
      <c r="AA799">
        <f>IF(B799="","",IF(I799&lt;33.0,0,IF(I799&gt;=100*0.8,5,IF(I799&gt;=100*0.7,4,IF(I799&gt;=100*0.6,3.5,IF(I799&gt;=100*0.5,3,IF(I799&gt;=100*0.4,2,IF(I799&gt;=100*0.33,1,0))))))))</f>
        <v/>
      </c>
      <c r="AB799">
        <f>IF(B799="","",IF(J799&lt;33.0,0,IF(J799&gt;=100*0.8,5,IF(J799&gt;=100*0.7,4,IF(J799&gt;=100*0.6,3.5,IF(J799&gt;=100*0.5,3,IF(J799&gt;=100*0.4,2,IF(J799&gt;=100*0.33,1,0))))))))</f>
        <v/>
      </c>
      <c r="AC799">
        <f>IF(B799="","",IF(K799&lt;33.0,0,IF(K799&gt;=100*0.8,5,IF(K799&gt;=100*0.7,4,IF(K799&gt;=100*0.6,3.5,IF(K799&gt;=100*0.5,3,IF(K799&gt;=100*0.4,2,IF(K799&gt;=100*0.33,1,0))))))))</f>
        <v/>
      </c>
      <c r="AD799">
        <f>IF(B799="","",IF(L799&lt;33.0,0,IF(L799&gt;=100*0.8,5,IF(L799&gt;=100*0.7,4,IF(L799&gt;=100*0.6,3.5,IF(L799&gt;=100*0.5,3,IF(L799&gt;=100*0.4,2,IF(L799&gt;=100*0.33,1,0))))))))</f>
        <v/>
      </c>
      <c r="AE799">
        <f>IF(B799="","",IF(M799&lt;33.0,0,IF(M799&gt;=100*0.8,5,IF(M799&gt;=100*0.7,4,IF(M799&gt;=100*0.6,3.5,IF(M799&gt;=100*0.5,3,IF(M799&gt;=100*0.4,2,IF(M799&gt;=100*0.33,1,0))))))))</f>
        <v/>
      </c>
      <c r="AF799">
        <f>IF(B799="","",IF(N799&lt;16.5,0,IF(N799&gt;=50*0.8,5,IF(N799&gt;=50*0.7,4,IF(N799&gt;=50*0.6,3.5,IF(N799&gt;=50*0.5,3,IF(N799&gt;=50*0.4,2,IF(N799&gt;=50*0.33,1,0))))))))</f>
        <v/>
      </c>
      <c r="AG799">
        <f>IF(B799="","",IF(O799&lt;33.0,0,IF(O799&gt;=100*0.8,5,IF(O799&gt;=100*0.7,4,IF(O799&gt;=100*0.6,3.5,IF(O799&gt;=100*0.5,3,IF(O799&gt;=100*0.4,2,IF(O799&gt;=100*0.33,1,0))))))))</f>
        <v/>
      </c>
      <c r="AH799">
        <f>IF(B799="","",IF(OR(U799=0,V799=0,W799=0,X799=0,Y799=0,Z799=0,AA799=0,AB799=0,AC799=0,AD799=0,AE799=0,AF799=0,AG799=0),1,0))</f>
        <v/>
      </c>
    </row>
    <row r="800">
      <c r="A800" s="3">
        <f>IF(B800="","",ROW()-2)</f>
        <v/>
      </c>
      <c r="P800" s="4">
        <f>IF(B800="","",SUM(C800:O800))</f>
        <v/>
      </c>
      <c r="Q800" s="5">
        <f>IF(B800="","",ROUND(P800/13,2))</f>
        <v/>
      </c>
      <c r="R800" s="5">
        <f>IF(B800="","",IF(AH800=1,0,MIN(5,ROUND((U800+V800+W800+X800+Y800+Z800+AA800+AB800+AC800+AD800+AE800+AF800+AG800)/13,2))))</f>
        <v/>
      </c>
      <c r="S800" s="3">
        <f>IF(B800="","",IF(R800&gt;=5,"A+",IF(R800&gt;=4,"A",IF(R800&gt;=3.5,"A-",IF(R800&gt;=3,"B",IF(R800&gt;=2,"C",IF(R800&gt;=1,"D","F")))))))</f>
        <v/>
      </c>
      <c r="T800" s="3">
        <f>IF(OR(B800="",S800="F"),"",COUNTIFS(P:P,"&gt;"&amp;P800,S:S,"&lt;&gt;F")+1)</f>
        <v/>
      </c>
      <c r="U800">
        <f>IF(B800="","",IF(C800&lt;33.0,0,IF(C800&gt;=100*0.8,5,IF(C800&gt;=100*0.7,4,IF(C800&gt;=100*0.6,3.5,IF(C800&gt;=100*0.5,3,IF(C800&gt;=100*0.4,2,IF(C800&gt;=100*0.33,1,0))))))))</f>
        <v/>
      </c>
      <c r="V800">
        <f>IF(B800="","",IF(D800&lt;33.0,0,IF(D800&gt;=100*0.8,5,IF(D800&gt;=100*0.7,4,IF(D800&gt;=100*0.6,3.5,IF(D800&gt;=100*0.5,3,IF(D800&gt;=100*0.4,2,IF(D800&gt;=100*0.33,1,0))))))))</f>
        <v/>
      </c>
      <c r="W800">
        <f>IF(B800="","",IF(E800&lt;16.5,0,IF(E800&gt;=50*0.8,5,IF(E800&gt;=50*0.7,4,IF(E800&gt;=50*0.6,3.5,IF(E800&gt;=50*0.5,3,IF(E800&gt;=50*0.4,2,IF(E800&gt;=50*0.33,1,0))))))))</f>
        <v/>
      </c>
      <c r="X800">
        <f>IF(B800="","",IF(F800&lt;33.0,0,IF(F800&gt;=100*0.8,5,IF(F800&gt;=100*0.7,4,IF(F800&gt;=100*0.6,3.5,IF(F800&gt;=100*0.5,3,IF(F800&gt;=100*0.4,2,IF(F800&gt;=100*0.33,1,0))))))))</f>
        <v/>
      </c>
      <c r="Y800">
        <f>IF(B800="","",IF(G800&lt;16.5,0,IF(G800&gt;=50*0.8,5,IF(G800&gt;=50*0.7,4,IF(G800&gt;=50*0.6,3.5,IF(G800&gt;=50*0.5,3,IF(G800&gt;=50*0.4,2,IF(G800&gt;=50*0.33,1,0))))))))</f>
        <v/>
      </c>
      <c r="Z800">
        <f>IF(B800="","",IF(H800&lt;33.0,0,IF(H800&gt;=100*0.8,5,IF(H800&gt;=100*0.7,4,IF(H800&gt;=100*0.6,3.5,IF(H800&gt;=100*0.5,3,IF(H800&gt;=100*0.4,2,IF(H800&gt;=100*0.33,1,0))))))))</f>
        <v/>
      </c>
      <c r="AA800">
        <f>IF(B800="","",IF(I800&lt;33.0,0,IF(I800&gt;=100*0.8,5,IF(I800&gt;=100*0.7,4,IF(I800&gt;=100*0.6,3.5,IF(I800&gt;=100*0.5,3,IF(I800&gt;=100*0.4,2,IF(I800&gt;=100*0.33,1,0))))))))</f>
        <v/>
      </c>
      <c r="AB800">
        <f>IF(B800="","",IF(J800&lt;33.0,0,IF(J800&gt;=100*0.8,5,IF(J800&gt;=100*0.7,4,IF(J800&gt;=100*0.6,3.5,IF(J800&gt;=100*0.5,3,IF(J800&gt;=100*0.4,2,IF(J800&gt;=100*0.33,1,0))))))))</f>
        <v/>
      </c>
      <c r="AC800">
        <f>IF(B800="","",IF(K800&lt;33.0,0,IF(K800&gt;=100*0.8,5,IF(K800&gt;=100*0.7,4,IF(K800&gt;=100*0.6,3.5,IF(K800&gt;=100*0.5,3,IF(K800&gt;=100*0.4,2,IF(K800&gt;=100*0.33,1,0))))))))</f>
        <v/>
      </c>
      <c r="AD800">
        <f>IF(B800="","",IF(L800&lt;33.0,0,IF(L800&gt;=100*0.8,5,IF(L800&gt;=100*0.7,4,IF(L800&gt;=100*0.6,3.5,IF(L800&gt;=100*0.5,3,IF(L800&gt;=100*0.4,2,IF(L800&gt;=100*0.33,1,0))))))))</f>
        <v/>
      </c>
      <c r="AE800">
        <f>IF(B800="","",IF(M800&lt;33.0,0,IF(M800&gt;=100*0.8,5,IF(M800&gt;=100*0.7,4,IF(M800&gt;=100*0.6,3.5,IF(M800&gt;=100*0.5,3,IF(M800&gt;=100*0.4,2,IF(M800&gt;=100*0.33,1,0))))))))</f>
        <v/>
      </c>
      <c r="AF800">
        <f>IF(B800="","",IF(N800&lt;16.5,0,IF(N800&gt;=50*0.8,5,IF(N800&gt;=50*0.7,4,IF(N800&gt;=50*0.6,3.5,IF(N800&gt;=50*0.5,3,IF(N800&gt;=50*0.4,2,IF(N800&gt;=50*0.33,1,0))))))))</f>
        <v/>
      </c>
      <c r="AG800">
        <f>IF(B800="","",IF(O800&lt;33.0,0,IF(O800&gt;=100*0.8,5,IF(O800&gt;=100*0.7,4,IF(O800&gt;=100*0.6,3.5,IF(O800&gt;=100*0.5,3,IF(O800&gt;=100*0.4,2,IF(O800&gt;=100*0.33,1,0))))))))</f>
        <v/>
      </c>
      <c r="AH800">
        <f>IF(B800="","",IF(OR(U800=0,V800=0,W800=0,X800=0,Y800=0,Z800=0,AA800=0,AB800=0,AC800=0,AD800=0,AE800=0,AF800=0,AG800=0),1,0))</f>
        <v/>
      </c>
    </row>
    <row r="801">
      <c r="A801" s="3">
        <f>IF(B801="","",ROW()-2)</f>
        <v/>
      </c>
      <c r="P801" s="4">
        <f>IF(B801="","",SUM(C801:O801))</f>
        <v/>
      </c>
      <c r="Q801" s="5">
        <f>IF(B801="","",ROUND(P801/13,2))</f>
        <v/>
      </c>
      <c r="R801" s="5">
        <f>IF(B801="","",IF(AH801=1,0,MIN(5,ROUND((U801+V801+W801+X801+Y801+Z801+AA801+AB801+AC801+AD801+AE801+AF801+AG801)/13,2))))</f>
        <v/>
      </c>
      <c r="S801" s="3">
        <f>IF(B801="","",IF(R801&gt;=5,"A+",IF(R801&gt;=4,"A",IF(R801&gt;=3.5,"A-",IF(R801&gt;=3,"B",IF(R801&gt;=2,"C",IF(R801&gt;=1,"D","F")))))))</f>
        <v/>
      </c>
      <c r="T801" s="3">
        <f>IF(OR(B801="",S801="F"),"",COUNTIFS(P:P,"&gt;"&amp;P801,S:S,"&lt;&gt;F")+1)</f>
        <v/>
      </c>
      <c r="U801">
        <f>IF(B801="","",IF(C801&lt;33.0,0,IF(C801&gt;=100*0.8,5,IF(C801&gt;=100*0.7,4,IF(C801&gt;=100*0.6,3.5,IF(C801&gt;=100*0.5,3,IF(C801&gt;=100*0.4,2,IF(C801&gt;=100*0.33,1,0))))))))</f>
        <v/>
      </c>
      <c r="V801">
        <f>IF(B801="","",IF(D801&lt;33.0,0,IF(D801&gt;=100*0.8,5,IF(D801&gt;=100*0.7,4,IF(D801&gt;=100*0.6,3.5,IF(D801&gt;=100*0.5,3,IF(D801&gt;=100*0.4,2,IF(D801&gt;=100*0.33,1,0))))))))</f>
        <v/>
      </c>
      <c r="W801">
        <f>IF(B801="","",IF(E801&lt;16.5,0,IF(E801&gt;=50*0.8,5,IF(E801&gt;=50*0.7,4,IF(E801&gt;=50*0.6,3.5,IF(E801&gt;=50*0.5,3,IF(E801&gt;=50*0.4,2,IF(E801&gt;=50*0.33,1,0))))))))</f>
        <v/>
      </c>
      <c r="X801">
        <f>IF(B801="","",IF(F801&lt;33.0,0,IF(F801&gt;=100*0.8,5,IF(F801&gt;=100*0.7,4,IF(F801&gt;=100*0.6,3.5,IF(F801&gt;=100*0.5,3,IF(F801&gt;=100*0.4,2,IF(F801&gt;=100*0.33,1,0))))))))</f>
        <v/>
      </c>
      <c r="Y801">
        <f>IF(B801="","",IF(G801&lt;16.5,0,IF(G801&gt;=50*0.8,5,IF(G801&gt;=50*0.7,4,IF(G801&gt;=50*0.6,3.5,IF(G801&gt;=50*0.5,3,IF(G801&gt;=50*0.4,2,IF(G801&gt;=50*0.33,1,0))))))))</f>
        <v/>
      </c>
      <c r="Z801">
        <f>IF(B801="","",IF(H801&lt;33.0,0,IF(H801&gt;=100*0.8,5,IF(H801&gt;=100*0.7,4,IF(H801&gt;=100*0.6,3.5,IF(H801&gt;=100*0.5,3,IF(H801&gt;=100*0.4,2,IF(H801&gt;=100*0.33,1,0))))))))</f>
        <v/>
      </c>
      <c r="AA801">
        <f>IF(B801="","",IF(I801&lt;33.0,0,IF(I801&gt;=100*0.8,5,IF(I801&gt;=100*0.7,4,IF(I801&gt;=100*0.6,3.5,IF(I801&gt;=100*0.5,3,IF(I801&gt;=100*0.4,2,IF(I801&gt;=100*0.33,1,0))))))))</f>
        <v/>
      </c>
      <c r="AB801">
        <f>IF(B801="","",IF(J801&lt;33.0,0,IF(J801&gt;=100*0.8,5,IF(J801&gt;=100*0.7,4,IF(J801&gt;=100*0.6,3.5,IF(J801&gt;=100*0.5,3,IF(J801&gt;=100*0.4,2,IF(J801&gt;=100*0.33,1,0))))))))</f>
        <v/>
      </c>
      <c r="AC801">
        <f>IF(B801="","",IF(K801&lt;33.0,0,IF(K801&gt;=100*0.8,5,IF(K801&gt;=100*0.7,4,IF(K801&gt;=100*0.6,3.5,IF(K801&gt;=100*0.5,3,IF(K801&gt;=100*0.4,2,IF(K801&gt;=100*0.33,1,0))))))))</f>
        <v/>
      </c>
      <c r="AD801">
        <f>IF(B801="","",IF(L801&lt;33.0,0,IF(L801&gt;=100*0.8,5,IF(L801&gt;=100*0.7,4,IF(L801&gt;=100*0.6,3.5,IF(L801&gt;=100*0.5,3,IF(L801&gt;=100*0.4,2,IF(L801&gt;=100*0.33,1,0))))))))</f>
        <v/>
      </c>
      <c r="AE801">
        <f>IF(B801="","",IF(M801&lt;33.0,0,IF(M801&gt;=100*0.8,5,IF(M801&gt;=100*0.7,4,IF(M801&gt;=100*0.6,3.5,IF(M801&gt;=100*0.5,3,IF(M801&gt;=100*0.4,2,IF(M801&gt;=100*0.33,1,0))))))))</f>
        <v/>
      </c>
      <c r="AF801">
        <f>IF(B801="","",IF(N801&lt;16.5,0,IF(N801&gt;=50*0.8,5,IF(N801&gt;=50*0.7,4,IF(N801&gt;=50*0.6,3.5,IF(N801&gt;=50*0.5,3,IF(N801&gt;=50*0.4,2,IF(N801&gt;=50*0.33,1,0))))))))</f>
        <v/>
      </c>
      <c r="AG801">
        <f>IF(B801="","",IF(O801&lt;33.0,0,IF(O801&gt;=100*0.8,5,IF(O801&gt;=100*0.7,4,IF(O801&gt;=100*0.6,3.5,IF(O801&gt;=100*0.5,3,IF(O801&gt;=100*0.4,2,IF(O801&gt;=100*0.33,1,0))))))))</f>
        <v/>
      </c>
      <c r="AH801">
        <f>IF(B801="","",IF(OR(U801=0,V801=0,W801=0,X801=0,Y801=0,Z801=0,AA801=0,AB801=0,AC801=0,AD801=0,AE801=0,AF801=0,AG801=0),1,0))</f>
        <v/>
      </c>
    </row>
    <row r="802">
      <c r="A802" s="3">
        <f>IF(B802="","",ROW()-2)</f>
        <v/>
      </c>
      <c r="P802" s="4">
        <f>IF(B802="","",SUM(C802:O802))</f>
        <v/>
      </c>
      <c r="Q802" s="5">
        <f>IF(B802="","",ROUND(P802/13,2))</f>
        <v/>
      </c>
      <c r="R802" s="5">
        <f>IF(B802="","",IF(AH802=1,0,MIN(5,ROUND((U802+V802+W802+X802+Y802+Z802+AA802+AB802+AC802+AD802+AE802+AF802+AG802)/13,2))))</f>
        <v/>
      </c>
      <c r="S802" s="3">
        <f>IF(B802="","",IF(R802&gt;=5,"A+",IF(R802&gt;=4,"A",IF(R802&gt;=3.5,"A-",IF(R802&gt;=3,"B",IF(R802&gt;=2,"C",IF(R802&gt;=1,"D","F")))))))</f>
        <v/>
      </c>
      <c r="T802" s="3">
        <f>IF(OR(B802="",S802="F"),"",COUNTIFS(P:P,"&gt;"&amp;P802,S:S,"&lt;&gt;F")+1)</f>
        <v/>
      </c>
      <c r="U802">
        <f>IF(B802="","",IF(C802&lt;33.0,0,IF(C802&gt;=100*0.8,5,IF(C802&gt;=100*0.7,4,IF(C802&gt;=100*0.6,3.5,IF(C802&gt;=100*0.5,3,IF(C802&gt;=100*0.4,2,IF(C802&gt;=100*0.33,1,0))))))))</f>
        <v/>
      </c>
      <c r="V802">
        <f>IF(B802="","",IF(D802&lt;33.0,0,IF(D802&gt;=100*0.8,5,IF(D802&gt;=100*0.7,4,IF(D802&gt;=100*0.6,3.5,IF(D802&gt;=100*0.5,3,IF(D802&gt;=100*0.4,2,IF(D802&gt;=100*0.33,1,0))))))))</f>
        <v/>
      </c>
      <c r="W802">
        <f>IF(B802="","",IF(E802&lt;16.5,0,IF(E802&gt;=50*0.8,5,IF(E802&gt;=50*0.7,4,IF(E802&gt;=50*0.6,3.5,IF(E802&gt;=50*0.5,3,IF(E802&gt;=50*0.4,2,IF(E802&gt;=50*0.33,1,0))))))))</f>
        <v/>
      </c>
      <c r="X802">
        <f>IF(B802="","",IF(F802&lt;33.0,0,IF(F802&gt;=100*0.8,5,IF(F802&gt;=100*0.7,4,IF(F802&gt;=100*0.6,3.5,IF(F802&gt;=100*0.5,3,IF(F802&gt;=100*0.4,2,IF(F802&gt;=100*0.33,1,0))))))))</f>
        <v/>
      </c>
      <c r="Y802">
        <f>IF(B802="","",IF(G802&lt;16.5,0,IF(G802&gt;=50*0.8,5,IF(G802&gt;=50*0.7,4,IF(G802&gt;=50*0.6,3.5,IF(G802&gt;=50*0.5,3,IF(G802&gt;=50*0.4,2,IF(G802&gt;=50*0.33,1,0))))))))</f>
        <v/>
      </c>
      <c r="Z802">
        <f>IF(B802="","",IF(H802&lt;33.0,0,IF(H802&gt;=100*0.8,5,IF(H802&gt;=100*0.7,4,IF(H802&gt;=100*0.6,3.5,IF(H802&gt;=100*0.5,3,IF(H802&gt;=100*0.4,2,IF(H802&gt;=100*0.33,1,0))))))))</f>
        <v/>
      </c>
      <c r="AA802">
        <f>IF(B802="","",IF(I802&lt;33.0,0,IF(I802&gt;=100*0.8,5,IF(I802&gt;=100*0.7,4,IF(I802&gt;=100*0.6,3.5,IF(I802&gt;=100*0.5,3,IF(I802&gt;=100*0.4,2,IF(I802&gt;=100*0.33,1,0))))))))</f>
        <v/>
      </c>
      <c r="AB802">
        <f>IF(B802="","",IF(J802&lt;33.0,0,IF(J802&gt;=100*0.8,5,IF(J802&gt;=100*0.7,4,IF(J802&gt;=100*0.6,3.5,IF(J802&gt;=100*0.5,3,IF(J802&gt;=100*0.4,2,IF(J802&gt;=100*0.33,1,0))))))))</f>
        <v/>
      </c>
      <c r="AC802">
        <f>IF(B802="","",IF(K802&lt;33.0,0,IF(K802&gt;=100*0.8,5,IF(K802&gt;=100*0.7,4,IF(K802&gt;=100*0.6,3.5,IF(K802&gt;=100*0.5,3,IF(K802&gt;=100*0.4,2,IF(K802&gt;=100*0.33,1,0))))))))</f>
        <v/>
      </c>
      <c r="AD802">
        <f>IF(B802="","",IF(L802&lt;33.0,0,IF(L802&gt;=100*0.8,5,IF(L802&gt;=100*0.7,4,IF(L802&gt;=100*0.6,3.5,IF(L802&gt;=100*0.5,3,IF(L802&gt;=100*0.4,2,IF(L802&gt;=100*0.33,1,0))))))))</f>
        <v/>
      </c>
      <c r="AE802">
        <f>IF(B802="","",IF(M802&lt;33.0,0,IF(M802&gt;=100*0.8,5,IF(M802&gt;=100*0.7,4,IF(M802&gt;=100*0.6,3.5,IF(M802&gt;=100*0.5,3,IF(M802&gt;=100*0.4,2,IF(M802&gt;=100*0.33,1,0))))))))</f>
        <v/>
      </c>
      <c r="AF802">
        <f>IF(B802="","",IF(N802&lt;16.5,0,IF(N802&gt;=50*0.8,5,IF(N802&gt;=50*0.7,4,IF(N802&gt;=50*0.6,3.5,IF(N802&gt;=50*0.5,3,IF(N802&gt;=50*0.4,2,IF(N802&gt;=50*0.33,1,0))))))))</f>
        <v/>
      </c>
      <c r="AG802">
        <f>IF(B802="","",IF(O802&lt;33.0,0,IF(O802&gt;=100*0.8,5,IF(O802&gt;=100*0.7,4,IF(O802&gt;=100*0.6,3.5,IF(O802&gt;=100*0.5,3,IF(O802&gt;=100*0.4,2,IF(O802&gt;=100*0.33,1,0))))))))</f>
        <v/>
      </c>
      <c r="AH802">
        <f>IF(B802="","",IF(OR(U802=0,V802=0,W802=0,X802=0,Y802=0,Z802=0,AA802=0,AB802=0,AC802=0,AD802=0,AE802=0,AF802=0,AG802=0),1,0))</f>
        <v/>
      </c>
    </row>
    <row r="803">
      <c r="A803" s="3">
        <f>IF(B803="","",ROW()-2)</f>
        <v/>
      </c>
      <c r="P803" s="4">
        <f>IF(B803="","",SUM(C803:O803))</f>
        <v/>
      </c>
      <c r="Q803" s="5">
        <f>IF(B803="","",ROUND(P803/13,2))</f>
        <v/>
      </c>
      <c r="R803" s="5">
        <f>IF(B803="","",IF(AH803=1,0,MIN(5,ROUND((U803+V803+W803+X803+Y803+Z803+AA803+AB803+AC803+AD803+AE803+AF803+AG803)/13,2))))</f>
        <v/>
      </c>
      <c r="S803" s="3">
        <f>IF(B803="","",IF(R803&gt;=5,"A+",IF(R803&gt;=4,"A",IF(R803&gt;=3.5,"A-",IF(R803&gt;=3,"B",IF(R803&gt;=2,"C",IF(R803&gt;=1,"D","F")))))))</f>
        <v/>
      </c>
      <c r="T803" s="3">
        <f>IF(OR(B803="",S803="F"),"",COUNTIFS(P:P,"&gt;"&amp;P803,S:S,"&lt;&gt;F")+1)</f>
        <v/>
      </c>
      <c r="U803">
        <f>IF(B803="","",IF(C803&lt;33.0,0,IF(C803&gt;=100*0.8,5,IF(C803&gt;=100*0.7,4,IF(C803&gt;=100*0.6,3.5,IF(C803&gt;=100*0.5,3,IF(C803&gt;=100*0.4,2,IF(C803&gt;=100*0.33,1,0))))))))</f>
        <v/>
      </c>
      <c r="V803">
        <f>IF(B803="","",IF(D803&lt;33.0,0,IF(D803&gt;=100*0.8,5,IF(D803&gt;=100*0.7,4,IF(D803&gt;=100*0.6,3.5,IF(D803&gt;=100*0.5,3,IF(D803&gt;=100*0.4,2,IF(D803&gt;=100*0.33,1,0))))))))</f>
        <v/>
      </c>
      <c r="W803">
        <f>IF(B803="","",IF(E803&lt;16.5,0,IF(E803&gt;=50*0.8,5,IF(E803&gt;=50*0.7,4,IF(E803&gt;=50*0.6,3.5,IF(E803&gt;=50*0.5,3,IF(E803&gt;=50*0.4,2,IF(E803&gt;=50*0.33,1,0))))))))</f>
        <v/>
      </c>
      <c r="X803">
        <f>IF(B803="","",IF(F803&lt;33.0,0,IF(F803&gt;=100*0.8,5,IF(F803&gt;=100*0.7,4,IF(F803&gt;=100*0.6,3.5,IF(F803&gt;=100*0.5,3,IF(F803&gt;=100*0.4,2,IF(F803&gt;=100*0.33,1,0))))))))</f>
        <v/>
      </c>
      <c r="Y803">
        <f>IF(B803="","",IF(G803&lt;16.5,0,IF(G803&gt;=50*0.8,5,IF(G803&gt;=50*0.7,4,IF(G803&gt;=50*0.6,3.5,IF(G803&gt;=50*0.5,3,IF(G803&gt;=50*0.4,2,IF(G803&gt;=50*0.33,1,0))))))))</f>
        <v/>
      </c>
      <c r="Z803">
        <f>IF(B803="","",IF(H803&lt;33.0,0,IF(H803&gt;=100*0.8,5,IF(H803&gt;=100*0.7,4,IF(H803&gt;=100*0.6,3.5,IF(H803&gt;=100*0.5,3,IF(H803&gt;=100*0.4,2,IF(H803&gt;=100*0.33,1,0))))))))</f>
        <v/>
      </c>
      <c r="AA803">
        <f>IF(B803="","",IF(I803&lt;33.0,0,IF(I803&gt;=100*0.8,5,IF(I803&gt;=100*0.7,4,IF(I803&gt;=100*0.6,3.5,IF(I803&gt;=100*0.5,3,IF(I803&gt;=100*0.4,2,IF(I803&gt;=100*0.33,1,0))))))))</f>
        <v/>
      </c>
      <c r="AB803">
        <f>IF(B803="","",IF(J803&lt;33.0,0,IF(J803&gt;=100*0.8,5,IF(J803&gt;=100*0.7,4,IF(J803&gt;=100*0.6,3.5,IF(J803&gt;=100*0.5,3,IF(J803&gt;=100*0.4,2,IF(J803&gt;=100*0.33,1,0))))))))</f>
        <v/>
      </c>
      <c r="AC803">
        <f>IF(B803="","",IF(K803&lt;33.0,0,IF(K803&gt;=100*0.8,5,IF(K803&gt;=100*0.7,4,IF(K803&gt;=100*0.6,3.5,IF(K803&gt;=100*0.5,3,IF(K803&gt;=100*0.4,2,IF(K803&gt;=100*0.33,1,0))))))))</f>
        <v/>
      </c>
      <c r="AD803">
        <f>IF(B803="","",IF(L803&lt;33.0,0,IF(L803&gt;=100*0.8,5,IF(L803&gt;=100*0.7,4,IF(L803&gt;=100*0.6,3.5,IF(L803&gt;=100*0.5,3,IF(L803&gt;=100*0.4,2,IF(L803&gt;=100*0.33,1,0))))))))</f>
        <v/>
      </c>
      <c r="AE803">
        <f>IF(B803="","",IF(M803&lt;33.0,0,IF(M803&gt;=100*0.8,5,IF(M803&gt;=100*0.7,4,IF(M803&gt;=100*0.6,3.5,IF(M803&gt;=100*0.5,3,IF(M803&gt;=100*0.4,2,IF(M803&gt;=100*0.33,1,0))))))))</f>
        <v/>
      </c>
      <c r="AF803">
        <f>IF(B803="","",IF(N803&lt;16.5,0,IF(N803&gt;=50*0.8,5,IF(N803&gt;=50*0.7,4,IF(N803&gt;=50*0.6,3.5,IF(N803&gt;=50*0.5,3,IF(N803&gt;=50*0.4,2,IF(N803&gt;=50*0.33,1,0))))))))</f>
        <v/>
      </c>
      <c r="AG803">
        <f>IF(B803="","",IF(O803&lt;33.0,0,IF(O803&gt;=100*0.8,5,IF(O803&gt;=100*0.7,4,IF(O803&gt;=100*0.6,3.5,IF(O803&gt;=100*0.5,3,IF(O803&gt;=100*0.4,2,IF(O803&gt;=100*0.33,1,0))))))))</f>
        <v/>
      </c>
      <c r="AH803">
        <f>IF(B803="","",IF(OR(U803=0,V803=0,W803=0,X803=0,Y803=0,Z803=0,AA803=0,AB803=0,AC803=0,AD803=0,AE803=0,AF803=0,AG803=0),1,0))</f>
        <v/>
      </c>
    </row>
    <row r="804">
      <c r="A804" s="3">
        <f>IF(B804="","",ROW()-2)</f>
        <v/>
      </c>
      <c r="P804" s="4">
        <f>IF(B804="","",SUM(C804:O804))</f>
        <v/>
      </c>
      <c r="Q804" s="5">
        <f>IF(B804="","",ROUND(P804/13,2))</f>
        <v/>
      </c>
      <c r="R804" s="5">
        <f>IF(B804="","",IF(AH804=1,0,MIN(5,ROUND((U804+V804+W804+X804+Y804+Z804+AA804+AB804+AC804+AD804+AE804+AF804+AG804)/13,2))))</f>
        <v/>
      </c>
      <c r="S804" s="3">
        <f>IF(B804="","",IF(R804&gt;=5,"A+",IF(R804&gt;=4,"A",IF(R804&gt;=3.5,"A-",IF(R804&gt;=3,"B",IF(R804&gt;=2,"C",IF(R804&gt;=1,"D","F")))))))</f>
        <v/>
      </c>
      <c r="T804" s="3">
        <f>IF(OR(B804="",S804="F"),"",COUNTIFS(P:P,"&gt;"&amp;P804,S:S,"&lt;&gt;F")+1)</f>
        <v/>
      </c>
      <c r="U804">
        <f>IF(B804="","",IF(C804&lt;33.0,0,IF(C804&gt;=100*0.8,5,IF(C804&gt;=100*0.7,4,IF(C804&gt;=100*0.6,3.5,IF(C804&gt;=100*0.5,3,IF(C804&gt;=100*0.4,2,IF(C804&gt;=100*0.33,1,0))))))))</f>
        <v/>
      </c>
      <c r="V804">
        <f>IF(B804="","",IF(D804&lt;33.0,0,IF(D804&gt;=100*0.8,5,IF(D804&gt;=100*0.7,4,IF(D804&gt;=100*0.6,3.5,IF(D804&gt;=100*0.5,3,IF(D804&gt;=100*0.4,2,IF(D804&gt;=100*0.33,1,0))))))))</f>
        <v/>
      </c>
      <c r="W804">
        <f>IF(B804="","",IF(E804&lt;16.5,0,IF(E804&gt;=50*0.8,5,IF(E804&gt;=50*0.7,4,IF(E804&gt;=50*0.6,3.5,IF(E804&gt;=50*0.5,3,IF(E804&gt;=50*0.4,2,IF(E804&gt;=50*0.33,1,0))))))))</f>
        <v/>
      </c>
      <c r="X804">
        <f>IF(B804="","",IF(F804&lt;33.0,0,IF(F804&gt;=100*0.8,5,IF(F804&gt;=100*0.7,4,IF(F804&gt;=100*0.6,3.5,IF(F804&gt;=100*0.5,3,IF(F804&gt;=100*0.4,2,IF(F804&gt;=100*0.33,1,0))))))))</f>
        <v/>
      </c>
      <c r="Y804">
        <f>IF(B804="","",IF(G804&lt;16.5,0,IF(G804&gt;=50*0.8,5,IF(G804&gt;=50*0.7,4,IF(G804&gt;=50*0.6,3.5,IF(G804&gt;=50*0.5,3,IF(G804&gt;=50*0.4,2,IF(G804&gt;=50*0.33,1,0))))))))</f>
        <v/>
      </c>
      <c r="Z804">
        <f>IF(B804="","",IF(H804&lt;33.0,0,IF(H804&gt;=100*0.8,5,IF(H804&gt;=100*0.7,4,IF(H804&gt;=100*0.6,3.5,IF(H804&gt;=100*0.5,3,IF(H804&gt;=100*0.4,2,IF(H804&gt;=100*0.33,1,0))))))))</f>
        <v/>
      </c>
      <c r="AA804">
        <f>IF(B804="","",IF(I804&lt;33.0,0,IF(I804&gt;=100*0.8,5,IF(I804&gt;=100*0.7,4,IF(I804&gt;=100*0.6,3.5,IF(I804&gt;=100*0.5,3,IF(I804&gt;=100*0.4,2,IF(I804&gt;=100*0.33,1,0))))))))</f>
        <v/>
      </c>
      <c r="AB804">
        <f>IF(B804="","",IF(J804&lt;33.0,0,IF(J804&gt;=100*0.8,5,IF(J804&gt;=100*0.7,4,IF(J804&gt;=100*0.6,3.5,IF(J804&gt;=100*0.5,3,IF(J804&gt;=100*0.4,2,IF(J804&gt;=100*0.33,1,0))))))))</f>
        <v/>
      </c>
      <c r="AC804">
        <f>IF(B804="","",IF(K804&lt;33.0,0,IF(K804&gt;=100*0.8,5,IF(K804&gt;=100*0.7,4,IF(K804&gt;=100*0.6,3.5,IF(K804&gt;=100*0.5,3,IF(K804&gt;=100*0.4,2,IF(K804&gt;=100*0.33,1,0))))))))</f>
        <v/>
      </c>
      <c r="AD804">
        <f>IF(B804="","",IF(L804&lt;33.0,0,IF(L804&gt;=100*0.8,5,IF(L804&gt;=100*0.7,4,IF(L804&gt;=100*0.6,3.5,IF(L804&gt;=100*0.5,3,IF(L804&gt;=100*0.4,2,IF(L804&gt;=100*0.33,1,0))))))))</f>
        <v/>
      </c>
      <c r="AE804">
        <f>IF(B804="","",IF(M804&lt;33.0,0,IF(M804&gt;=100*0.8,5,IF(M804&gt;=100*0.7,4,IF(M804&gt;=100*0.6,3.5,IF(M804&gt;=100*0.5,3,IF(M804&gt;=100*0.4,2,IF(M804&gt;=100*0.33,1,0))))))))</f>
        <v/>
      </c>
      <c r="AF804">
        <f>IF(B804="","",IF(N804&lt;16.5,0,IF(N804&gt;=50*0.8,5,IF(N804&gt;=50*0.7,4,IF(N804&gt;=50*0.6,3.5,IF(N804&gt;=50*0.5,3,IF(N804&gt;=50*0.4,2,IF(N804&gt;=50*0.33,1,0))))))))</f>
        <v/>
      </c>
      <c r="AG804">
        <f>IF(B804="","",IF(O804&lt;33.0,0,IF(O804&gt;=100*0.8,5,IF(O804&gt;=100*0.7,4,IF(O804&gt;=100*0.6,3.5,IF(O804&gt;=100*0.5,3,IF(O804&gt;=100*0.4,2,IF(O804&gt;=100*0.33,1,0))))))))</f>
        <v/>
      </c>
      <c r="AH804">
        <f>IF(B804="","",IF(OR(U804=0,V804=0,W804=0,X804=0,Y804=0,Z804=0,AA804=0,AB804=0,AC804=0,AD804=0,AE804=0,AF804=0,AG804=0),1,0))</f>
        <v/>
      </c>
    </row>
    <row r="805">
      <c r="A805" s="3">
        <f>IF(B805="","",ROW()-2)</f>
        <v/>
      </c>
      <c r="P805" s="4">
        <f>IF(B805="","",SUM(C805:O805))</f>
        <v/>
      </c>
      <c r="Q805" s="5">
        <f>IF(B805="","",ROUND(P805/13,2))</f>
        <v/>
      </c>
      <c r="R805" s="5">
        <f>IF(B805="","",IF(AH805=1,0,MIN(5,ROUND((U805+V805+W805+X805+Y805+Z805+AA805+AB805+AC805+AD805+AE805+AF805+AG805)/13,2))))</f>
        <v/>
      </c>
      <c r="S805" s="3">
        <f>IF(B805="","",IF(R805&gt;=5,"A+",IF(R805&gt;=4,"A",IF(R805&gt;=3.5,"A-",IF(R805&gt;=3,"B",IF(R805&gt;=2,"C",IF(R805&gt;=1,"D","F")))))))</f>
        <v/>
      </c>
      <c r="T805" s="3">
        <f>IF(OR(B805="",S805="F"),"",COUNTIFS(P:P,"&gt;"&amp;P805,S:S,"&lt;&gt;F")+1)</f>
        <v/>
      </c>
      <c r="U805">
        <f>IF(B805="","",IF(C805&lt;33.0,0,IF(C805&gt;=100*0.8,5,IF(C805&gt;=100*0.7,4,IF(C805&gt;=100*0.6,3.5,IF(C805&gt;=100*0.5,3,IF(C805&gt;=100*0.4,2,IF(C805&gt;=100*0.33,1,0))))))))</f>
        <v/>
      </c>
      <c r="V805">
        <f>IF(B805="","",IF(D805&lt;33.0,0,IF(D805&gt;=100*0.8,5,IF(D805&gt;=100*0.7,4,IF(D805&gt;=100*0.6,3.5,IF(D805&gt;=100*0.5,3,IF(D805&gt;=100*0.4,2,IF(D805&gt;=100*0.33,1,0))))))))</f>
        <v/>
      </c>
      <c r="W805">
        <f>IF(B805="","",IF(E805&lt;16.5,0,IF(E805&gt;=50*0.8,5,IF(E805&gt;=50*0.7,4,IF(E805&gt;=50*0.6,3.5,IF(E805&gt;=50*0.5,3,IF(E805&gt;=50*0.4,2,IF(E805&gt;=50*0.33,1,0))))))))</f>
        <v/>
      </c>
      <c r="X805">
        <f>IF(B805="","",IF(F805&lt;33.0,0,IF(F805&gt;=100*0.8,5,IF(F805&gt;=100*0.7,4,IF(F805&gt;=100*0.6,3.5,IF(F805&gt;=100*0.5,3,IF(F805&gt;=100*0.4,2,IF(F805&gt;=100*0.33,1,0))))))))</f>
        <v/>
      </c>
      <c r="Y805">
        <f>IF(B805="","",IF(G805&lt;16.5,0,IF(G805&gt;=50*0.8,5,IF(G805&gt;=50*0.7,4,IF(G805&gt;=50*0.6,3.5,IF(G805&gt;=50*0.5,3,IF(G805&gt;=50*0.4,2,IF(G805&gt;=50*0.33,1,0))))))))</f>
        <v/>
      </c>
      <c r="Z805">
        <f>IF(B805="","",IF(H805&lt;33.0,0,IF(H805&gt;=100*0.8,5,IF(H805&gt;=100*0.7,4,IF(H805&gt;=100*0.6,3.5,IF(H805&gt;=100*0.5,3,IF(H805&gt;=100*0.4,2,IF(H805&gt;=100*0.33,1,0))))))))</f>
        <v/>
      </c>
      <c r="AA805">
        <f>IF(B805="","",IF(I805&lt;33.0,0,IF(I805&gt;=100*0.8,5,IF(I805&gt;=100*0.7,4,IF(I805&gt;=100*0.6,3.5,IF(I805&gt;=100*0.5,3,IF(I805&gt;=100*0.4,2,IF(I805&gt;=100*0.33,1,0))))))))</f>
        <v/>
      </c>
      <c r="AB805">
        <f>IF(B805="","",IF(J805&lt;33.0,0,IF(J805&gt;=100*0.8,5,IF(J805&gt;=100*0.7,4,IF(J805&gt;=100*0.6,3.5,IF(J805&gt;=100*0.5,3,IF(J805&gt;=100*0.4,2,IF(J805&gt;=100*0.33,1,0))))))))</f>
        <v/>
      </c>
      <c r="AC805">
        <f>IF(B805="","",IF(K805&lt;33.0,0,IF(K805&gt;=100*0.8,5,IF(K805&gt;=100*0.7,4,IF(K805&gt;=100*0.6,3.5,IF(K805&gt;=100*0.5,3,IF(K805&gt;=100*0.4,2,IF(K805&gt;=100*0.33,1,0))))))))</f>
        <v/>
      </c>
      <c r="AD805">
        <f>IF(B805="","",IF(L805&lt;33.0,0,IF(L805&gt;=100*0.8,5,IF(L805&gt;=100*0.7,4,IF(L805&gt;=100*0.6,3.5,IF(L805&gt;=100*0.5,3,IF(L805&gt;=100*0.4,2,IF(L805&gt;=100*0.33,1,0))))))))</f>
        <v/>
      </c>
      <c r="AE805">
        <f>IF(B805="","",IF(M805&lt;33.0,0,IF(M805&gt;=100*0.8,5,IF(M805&gt;=100*0.7,4,IF(M805&gt;=100*0.6,3.5,IF(M805&gt;=100*0.5,3,IF(M805&gt;=100*0.4,2,IF(M805&gt;=100*0.33,1,0))))))))</f>
        <v/>
      </c>
      <c r="AF805">
        <f>IF(B805="","",IF(N805&lt;16.5,0,IF(N805&gt;=50*0.8,5,IF(N805&gt;=50*0.7,4,IF(N805&gt;=50*0.6,3.5,IF(N805&gt;=50*0.5,3,IF(N805&gt;=50*0.4,2,IF(N805&gt;=50*0.33,1,0))))))))</f>
        <v/>
      </c>
      <c r="AG805">
        <f>IF(B805="","",IF(O805&lt;33.0,0,IF(O805&gt;=100*0.8,5,IF(O805&gt;=100*0.7,4,IF(O805&gt;=100*0.6,3.5,IF(O805&gt;=100*0.5,3,IF(O805&gt;=100*0.4,2,IF(O805&gt;=100*0.33,1,0))))))))</f>
        <v/>
      </c>
      <c r="AH805">
        <f>IF(B805="","",IF(OR(U805=0,V805=0,W805=0,X805=0,Y805=0,Z805=0,AA805=0,AB805=0,AC805=0,AD805=0,AE805=0,AF805=0,AG805=0),1,0))</f>
        <v/>
      </c>
    </row>
    <row r="806">
      <c r="A806" s="3">
        <f>IF(B806="","",ROW()-2)</f>
        <v/>
      </c>
      <c r="P806" s="4">
        <f>IF(B806="","",SUM(C806:O806))</f>
        <v/>
      </c>
      <c r="Q806" s="5">
        <f>IF(B806="","",ROUND(P806/13,2))</f>
        <v/>
      </c>
      <c r="R806" s="5">
        <f>IF(B806="","",IF(AH806=1,0,MIN(5,ROUND((U806+V806+W806+X806+Y806+Z806+AA806+AB806+AC806+AD806+AE806+AF806+AG806)/13,2))))</f>
        <v/>
      </c>
      <c r="S806" s="3">
        <f>IF(B806="","",IF(R806&gt;=5,"A+",IF(R806&gt;=4,"A",IF(R806&gt;=3.5,"A-",IF(R806&gt;=3,"B",IF(R806&gt;=2,"C",IF(R806&gt;=1,"D","F")))))))</f>
        <v/>
      </c>
      <c r="T806" s="3">
        <f>IF(OR(B806="",S806="F"),"",COUNTIFS(P:P,"&gt;"&amp;P806,S:S,"&lt;&gt;F")+1)</f>
        <v/>
      </c>
      <c r="U806">
        <f>IF(B806="","",IF(C806&lt;33.0,0,IF(C806&gt;=100*0.8,5,IF(C806&gt;=100*0.7,4,IF(C806&gt;=100*0.6,3.5,IF(C806&gt;=100*0.5,3,IF(C806&gt;=100*0.4,2,IF(C806&gt;=100*0.33,1,0))))))))</f>
        <v/>
      </c>
      <c r="V806">
        <f>IF(B806="","",IF(D806&lt;33.0,0,IF(D806&gt;=100*0.8,5,IF(D806&gt;=100*0.7,4,IF(D806&gt;=100*0.6,3.5,IF(D806&gt;=100*0.5,3,IF(D806&gt;=100*0.4,2,IF(D806&gt;=100*0.33,1,0))))))))</f>
        <v/>
      </c>
      <c r="W806">
        <f>IF(B806="","",IF(E806&lt;16.5,0,IF(E806&gt;=50*0.8,5,IF(E806&gt;=50*0.7,4,IF(E806&gt;=50*0.6,3.5,IF(E806&gt;=50*0.5,3,IF(E806&gt;=50*0.4,2,IF(E806&gt;=50*0.33,1,0))))))))</f>
        <v/>
      </c>
      <c r="X806">
        <f>IF(B806="","",IF(F806&lt;33.0,0,IF(F806&gt;=100*0.8,5,IF(F806&gt;=100*0.7,4,IF(F806&gt;=100*0.6,3.5,IF(F806&gt;=100*0.5,3,IF(F806&gt;=100*0.4,2,IF(F806&gt;=100*0.33,1,0))))))))</f>
        <v/>
      </c>
      <c r="Y806">
        <f>IF(B806="","",IF(G806&lt;16.5,0,IF(G806&gt;=50*0.8,5,IF(G806&gt;=50*0.7,4,IF(G806&gt;=50*0.6,3.5,IF(G806&gt;=50*0.5,3,IF(G806&gt;=50*0.4,2,IF(G806&gt;=50*0.33,1,0))))))))</f>
        <v/>
      </c>
      <c r="Z806">
        <f>IF(B806="","",IF(H806&lt;33.0,0,IF(H806&gt;=100*0.8,5,IF(H806&gt;=100*0.7,4,IF(H806&gt;=100*0.6,3.5,IF(H806&gt;=100*0.5,3,IF(H806&gt;=100*0.4,2,IF(H806&gt;=100*0.33,1,0))))))))</f>
        <v/>
      </c>
      <c r="AA806">
        <f>IF(B806="","",IF(I806&lt;33.0,0,IF(I806&gt;=100*0.8,5,IF(I806&gt;=100*0.7,4,IF(I806&gt;=100*0.6,3.5,IF(I806&gt;=100*0.5,3,IF(I806&gt;=100*0.4,2,IF(I806&gt;=100*0.33,1,0))))))))</f>
        <v/>
      </c>
      <c r="AB806">
        <f>IF(B806="","",IF(J806&lt;33.0,0,IF(J806&gt;=100*0.8,5,IF(J806&gt;=100*0.7,4,IF(J806&gt;=100*0.6,3.5,IF(J806&gt;=100*0.5,3,IF(J806&gt;=100*0.4,2,IF(J806&gt;=100*0.33,1,0))))))))</f>
        <v/>
      </c>
      <c r="AC806">
        <f>IF(B806="","",IF(K806&lt;33.0,0,IF(K806&gt;=100*0.8,5,IF(K806&gt;=100*0.7,4,IF(K806&gt;=100*0.6,3.5,IF(K806&gt;=100*0.5,3,IF(K806&gt;=100*0.4,2,IF(K806&gt;=100*0.33,1,0))))))))</f>
        <v/>
      </c>
      <c r="AD806">
        <f>IF(B806="","",IF(L806&lt;33.0,0,IF(L806&gt;=100*0.8,5,IF(L806&gt;=100*0.7,4,IF(L806&gt;=100*0.6,3.5,IF(L806&gt;=100*0.5,3,IF(L806&gt;=100*0.4,2,IF(L806&gt;=100*0.33,1,0))))))))</f>
        <v/>
      </c>
      <c r="AE806">
        <f>IF(B806="","",IF(M806&lt;33.0,0,IF(M806&gt;=100*0.8,5,IF(M806&gt;=100*0.7,4,IF(M806&gt;=100*0.6,3.5,IF(M806&gt;=100*0.5,3,IF(M806&gt;=100*0.4,2,IF(M806&gt;=100*0.33,1,0))))))))</f>
        <v/>
      </c>
      <c r="AF806">
        <f>IF(B806="","",IF(N806&lt;16.5,0,IF(N806&gt;=50*0.8,5,IF(N806&gt;=50*0.7,4,IF(N806&gt;=50*0.6,3.5,IF(N806&gt;=50*0.5,3,IF(N806&gt;=50*0.4,2,IF(N806&gt;=50*0.33,1,0))))))))</f>
        <v/>
      </c>
      <c r="AG806">
        <f>IF(B806="","",IF(O806&lt;33.0,0,IF(O806&gt;=100*0.8,5,IF(O806&gt;=100*0.7,4,IF(O806&gt;=100*0.6,3.5,IF(O806&gt;=100*0.5,3,IF(O806&gt;=100*0.4,2,IF(O806&gt;=100*0.33,1,0))))))))</f>
        <v/>
      </c>
      <c r="AH806">
        <f>IF(B806="","",IF(OR(U806=0,V806=0,W806=0,X806=0,Y806=0,Z806=0,AA806=0,AB806=0,AC806=0,AD806=0,AE806=0,AF806=0,AG806=0),1,0))</f>
        <v/>
      </c>
    </row>
    <row r="807">
      <c r="A807" s="3">
        <f>IF(B807="","",ROW()-2)</f>
        <v/>
      </c>
      <c r="P807" s="4">
        <f>IF(B807="","",SUM(C807:O807))</f>
        <v/>
      </c>
      <c r="Q807" s="5">
        <f>IF(B807="","",ROUND(P807/13,2))</f>
        <v/>
      </c>
      <c r="R807" s="5">
        <f>IF(B807="","",IF(AH807=1,0,MIN(5,ROUND((U807+V807+W807+X807+Y807+Z807+AA807+AB807+AC807+AD807+AE807+AF807+AG807)/13,2))))</f>
        <v/>
      </c>
      <c r="S807" s="3">
        <f>IF(B807="","",IF(R807&gt;=5,"A+",IF(R807&gt;=4,"A",IF(R807&gt;=3.5,"A-",IF(R807&gt;=3,"B",IF(R807&gt;=2,"C",IF(R807&gt;=1,"D","F")))))))</f>
        <v/>
      </c>
      <c r="T807" s="3">
        <f>IF(OR(B807="",S807="F"),"",COUNTIFS(P:P,"&gt;"&amp;P807,S:S,"&lt;&gt;F")+1)</f>
        <v/>
      </c>
      <c r="U807">
        <f>IF(B807="","",IF(C807&lt;33.0,0,IF(C807&gt;=100*0.8,5,IF(C807&gt;=100*0.7,4,IF(C807&gt;=100*0.6,3.5,IF(C807&gt;=100*0.5,3,IF(C807&gt;=100*0.4,2,IF(C807&gt;=100*0.33,1,0))))))))</f>
        <v/>
      </c>
      <c r="V807">
        <f>IF(B807="","",IF(D807&lt;33.0,0,IF(D807&gt;=100*0.8,5,IF(D807&gt;=100*0.7,4,IF(D807&gt;=100*0.6,3.5,IF(D807&gt;=100*0.5,3,IF(D807&gt;=100*0.4,2,IF(D807&gt;=100*0.33,1,0))))))))</f>
        <v/>
      </c>
      <c r="W807">
        <f>IF(B807="","",IF(E807&lt;16.5,0,IF(E807&gt;=50*0.8,5,IF(E807&gt;=50*0.7,4,IF(E807&gt;=50*0.6,3.5,IF(E807&gt;=50*0.5,3,IF(E807&gt;=50*0.4,2,IF(E807&gt;=50*0.33,1,0))))))))</f>
        <v/>
      </c>
      <c r="X807">
        <f>IF(B807="","",IF(F807&lt;33.0,0,IF(F807&gt;=100*0.8,5,IF(F807&gt;=100*0.7,4,IF(F807&gt;=100*0.6,3.5,IF(F807&gt;=100*0.5,3,IF(F807&gt;=100*0.4,2,IF(F807&gt;=100*0.33,1,0))))))))</f>
        <v/>
      </c>
      <c r="Y807">
        <f>IF(B807="","",IF(G807&lt;16.5,0,IF(G807&gt;=50*0.8,5,IF(G807&gt;=50*0.7,4,IF(G807&gt;=50*0.6,3.5,IF(G807&gt;=50*0.5,3,IF(G807&gt;=50*0.4,2,IF(G807&gt;=50*0.33,1,0))))))))</f>
        <v/>
      </c>
      <c r="Z807">
        <f>IF(B807="","",IF(H807&lt;33.0,0,IF(H807&gt;=100*0.8,5,IF(H807&gt;=100*0.7,4,IF(H807&gt;=100*0.6,3.5,IF(H807&gt;=100*0.5,3,IF(H807&gt;=100*0.4,2,IF(H807&gt;=100*0.33,1,0))))))))</f>
        <v/>
      </c>
      <c r="AA807">
        <f>IF(B807="","",IF(I807&lt;33.0,0,IF(I807&gt;=100*0.8,5,IF(I807&gt;=100*0.7,4,IF(I807&gt;=100*0.6,3.5,IF(I807&gt;=100*0.5,3,IF(I807&gt;=100*0.4,2,IF(I807&gt;=100*0.33,1,0))))))))</f>
        <v/>
      </c>
      <c r="AB807">
        <f>IF(B807="","",IF(J807&lt;33.0,0,IF(J807&gt;=100*0.8,5,IF(J807&gt;=100*0.7,4,IF(J807&gt;=100*0.6,3.5,IF(J807&gt;=100*0.5,3,IF(J807&gt;=100*0.4,2,IF(J807&gt;=100*0.33,1,0))))))))</f>
        <v/>
      </c>
      <c r="AC807">
        <f>IF(B807="","",IF(K807&lt;33.0,0,IF(K807&gt;=100*0.8,5,IF(K807&gt;=100*0.7,4,IF(K807&gt;=100*0.6,3.5,IF(K807&gt;=100*0.5,3,IF(K807&gt;=100*0.4,2,IF(K807&gt;=100*0.33,1,0))))))))</f>
        <v/>
      </c>
      <c r="AD807">
        <f>IF(B807="","",IF(L807&lt;33.0,0,IF(L807&gt;=100*0.8,5,IF(L807&gt;=100*0.7,4,IF(L807&gt;=100*0.6,3.5,IF(L807&gt;=100*0.5,3,IF(L807&gt;=100*0.4,2,IF(L807&gt;=100*0.33,1,0))))))))</f>
        <v/>
      </c>
      <c r="AE807">
        <f>IF(B807="","",IF(M807&lt;33.0,0,IF(M807&gt;=100*0.8,5,IF(M807&gt;=100*0.7,4,IF(M807&gt;=100*0.6,3.5,IF(M807&gt;=100*0.5,3,IF(M807&gt;=100*0.4,2,IF(M807&gt;=100*0.33,1,0))))))))</f>
        <v/>
      </c>
      <c r="AF807">
        <f>IF(B807="","",IF(N807&lt;16.5,0,IF(N807&gt;=50*0.8,5,IF(N807&gt;=50*0.7,4,IF(N807&gt;=50*0.6,3.5,IF(N807&gt;=50*0.5,3,IF(N807&gt;=50*0.4,2,IF(N807&gt;=50*0.33,1,0))))))))</f>
        <v/>
      </c>
      <c r="AG807">
        <f>IF(B807="","",IF(O807&lt;33.0,0,IF(O807&gt;=100*0.8,5,IF(O807&gt;=100*0.7,4,IF(O807&gt;=100*0.6,3.5,IF(O807&gt;=100*0.5,3,IF(O807&gt;=100*0.4,2,IF(O807&gt;=100*0.33,1,0))))))))</f>
        <v/>
      </c>
      <c r="AH807">
        <f>IF(B807="","",IF(OR(U807=0,V807=0,W807=0,X807=0,Y807=0,Z807=0,AA807=0,AB807=0,AC807=0,AD807=0,AE807=0,AF807=0,AG807=0),1,0))</f>
        <v/>
      </c>
    </row>
    <row r="808">
      <c r="A808" s="3">
        <f>IF(B808="","",ROW()-2)</f>
        <v/>
      </c>
      <c r="P808" s="4">
        <f>IF(B808="","",SUM(C808:O808))</f>
        <v/>
      </c>
      <c r="Q808" s="5">
        <f>IF(B808="","",ROUND(P808/13,2))</f>
        <v/>
      </c>
      <c r="R808" s="5">
        <f>IF(B808="","",IF(AH808=1,0,MIN(5,ROUND((U808+V808+W808+X808+Y808+Z808+AA808+AB808+AC808+AD808+AE808+AF808+AG808)/13,2))))</f>
        <v/>
      </c>
      <c r="S808" s="3">
        <f>IF(B808="","",IF(R808&gt;=5,"A+",IF(R808&gt;=4,"A",IF(R808&gt;=3.5,"A-",IF(R808&gt;=3,"B",IF(R808&gt;=2,"C",IF(R808&gt;=1,"D","F")))))))</f>
        <v/>
      </c>
      <c r="T808" s="3">
        <f>IF(OR(B808="",S808="F"),"",COUNTIFS(P:P,"&gt;"&amp;P808,S:S,"&lt;&gt;F")+1)</f>
        <v/>
      </c>
      <c r="U808">
        <f>IF(B808="","",IF(C808&lt;33.0,0,IF(C808&gt;=100*0.8,5,IF(C808&gt;=100*0.7,4,IF(C808&gt;=100*0.6,3.5,IF(C808&gt;=100*0.5,3,IF(C808&gt;=100*0.4,2,IF(C808&gt;=100*0.33,1,0))))))))</f>
        <v/>
      </c>
      <c r="V808">
        <f>IF(B808="","",IF(D808&lt;33.0,0,IF(D808&gt;=100*0.8,5,IF(D808&gt;=100*0.7,4,IF(D808&gt;=100*0.6,3.5,IF(D808&gt;=100*0.5,3,IF(D808&gt;=100*0.4,2,IF(D808&gt;=100*0.33,1,0))))))))</f>
        <v/>
      </c>
      <c r="W808">
        <f>IF(B808="","",IF(E808&lt;16.5,0,IF(E808&gt;=50*0.8,5,IF(E808&gt;=50*0.7,4,IF(E808&gt;=50*0.6,3.5,IF(E808&gt;=50*0.5,3,IF(E808&gt;=50*0.4,2,IF(E808&gt;=50*0.33,1,0))))))))</f>
        <v/>
      </c>
      <c r="X808">
        <f>IF(B808="","",IF(F808&lt;33.0,0,IF(F808&gt;=100*0.8,5,IF(F808&gt;=100*0.7,4,IF(F808&gt;=100*0.6,3.5,IF(F808&gt;=100*0.5,3,IF(F808&gt;=100*0.4,2,IF(F808&gt;=100*0.33,1,0))))))))</f>
        <v/>
      </c>
      <c r="Y808">
        <f>IF(B808="","",IF(G808&lt;16.5,0,IF(G808&gt;=50*0.8,5,IF(G808&gt;=50*0.7,4,IF(G808&gt;=50*0.6,3.5,IF(G808&gt;=50*0.5,3,IF(G808&gt;=50*0.4,2,IF(G808&gt;=50*0.33,1,0))))))))</f>
        <v/>
      </c>
      <c r="Z808">
        <f>IF(B808="","",IF(H808&lt;33.0,0,IF(H808&gt;=100*0.8,5,IF(H808&gt;=100*0.7,4,IF(H808&gt;=100*0.6,3.5,IF(H808&gt;=100*0.5,3,IF(H808&gt;=100*0.4,2,IF(H808&gt;=100*0.33,1,0))))))))</f>
        <v/>
      </c>
      <c r="AA808">
        <f>IF(B808="","",IF(I808&lt;33.0,0,IF(I808&gt;=100*0.8,5,IF(I808&gt;=100*0.7,4,IF(I808&gt;=100*0.6,3.5,IF(I808&gt;=100*0.5,3,IF(I808&gt;=100*0.4,2,IF(I808&gt;=100*0.33,1,0))))))))</f>
        <v/>
      </c>
      <c r="AB808">
        <f>IF(B808="","",IF(J808&lt;33.0,0,IF(J808&gt;=100*0.8,5,IF(J808&gt;=100*0.7,4,IF(J808&gt;=100*0.6,3.5,IF(J808&gt;=100*0.5,3,IF(J808&gt;=100*0.4,2,IF(J808&gt;=100*0.33,1,0))))))))</f>
        <v/>
      </c>
      <c r="AC808">
        <f>IF(B808="","",IF(K808&lt;33.0,0,IF(K808&gt;=100*0.8,5,IF(K808&gt;=100*0.7,4,IF(K808&gt;=100*0.6,3.5,IF(K808&gt;=100*0.5,3,IF(K808&gt;=100*0.4,2,IF(K808&gt;=100*0.33,1,0))))))))</f>
        <v/>
      </c>
      <c r="AD808">
        <f>IF(B808="","",IF(L808&lt;33.0,0,IF(L808&gt;=100*0.8,5,IF(L808&gt;=100*0.7,4,IF(L808&gt;=100*0.6,3.5,IF(L808&gt;=100*0.5,3,IF(L808&gt;=100*0.4,2,IF(L808&gt;=100*0.33,1,0))))))))</f>
        <v/>
      </c>
      <c r="AE808">
        <f>IF(B808="","",IF(M808&lt;33.0,0,IF(M808&gt;=100*0.8,5,IF(M808&gt;=100*0.7,4,IF(M808&gt;=100*0.6,3.5,IF(M808&gt;=100*0.5,3,IF(M808&gt;=100*0.4,2,IF(M808&gt;=100*0.33,1,0))))))))</f>
        <v/>
      </c>
      <c r="AF808">
        <f>IF(B808="","",IF(N808&lt;16.5,0,IF(N808&gt;=50*0.8,5,IF(N808&gt;=50*0.7,4,IF(N808&gt;=50*0.6,3.5,IF(N808&gt;=50*0.5,3,IF(N808&gt;=50*0.4,2,IF(N808&gt;=50*0.33,1,0))))))))</f>
        <v/>
      </c>
      <c r="AG808">
        <f>IF(B808="","",IF(O808&lt;33.0,0,IF(O808&gt;=100*0.8,5,IF(O808&gt;=100*0.7,4,IF(O808&gt;=100*0.6,3.5,IF(O808&gt;=100*0.5,3,IF(O808&gt;=100*0.4,2,IF(O808&gt;=100*0.33,1,0))))))))</f>
        <v/>
      </c>
      <c r="AH808">
        <f>IF(B808="","",IF(OR(U808=0,V808=0,W808=0,X808=0,Y808=0,Z808=0,AA808=0,AB808=0,AC808=0,AD808=0,AE808=0,AF808=0,AG808=0),1,0))</f>
        <v/>
      </c>
    </row>
    <row r="809">
      <c r="A809" s="3">
        <f>IF(B809="","",ROW()-2)</f>
        <v/>
      </c>
      <c r="P809" s="4">
        <f>IF(B809="","",SUM(C809:O809))</f>
        <v/>
      </c>
      <c r="Q809" s="5">
        <f>IF(B809="","",ROUND(P809/13,2))</f>
        <v/>
      </c>
      <c r="R809" s="5">
        <f>IF(B809="","",IF(AH809=1,0,MIN(5,ROUND((U809+V809+W809+X809+Y809+Z809+AA809+AB809+AC809+AD809+AE809+AF809+AG809)/13,2))))</f>
        <v/>
      </c>
      <c r="S809" s="3">
        <f>IF(B809="","",IF(R809&gt;=5,"A+",IF(R809&gt;=4,"A",IF(R809&gt;=3.5,"A-",IF(R809&gt;=3,"B",IF(R809&gt;=2,"C",IF(R809&gt;=1,"D","F")))))))</f>
        <v/>
      </c>
      <c r="T809" s="3">
        <f>IF(OR(B809="",S809="F"),"",COUNTIFS(P:P,"&gt;"&amp;P809,S:S,"&lt;&gt;F")+1)</f>
        <v/>
      </c>
      <c r="U809">
        <f>IF(B809="","",IF(C809&lt;33.0,0,IF(C809&gt;=100*0.8,5,IF(C809&gt;=100*0.7,4,IF(C809&gt;=100*0.6,3.5,IF(C809&gt;=100*0.5,3,IF(C809&gt;=100*0.4,2,IF(C809&gt;=100*0.33,1,0))))))))</f>
        <v/>
      </c>
      <c r="V809">
        <f>IF(B809="","",IF(D809&lt;33.0,0,IF(D809&gt;=100*0.8,5,IF(D809&gt;=100*0.7,4,IF(D809&gt;=100*0.6,3.5,IF(D809&gt;=100*0.5,3,IF(D809&gt;=100*0.4,2,IF(D809&gt;=100*0.33,1,0))))))))</f>
        <v/>
      </c>
      <c r="W809">
        <f>IF(B809="","",IF(E809&lt;16.5,0,IF(E809&gt;=50*0.8,5,IF(E809&gt;=50*0.7,4,IF(E809&gt;=50*0.6,3.5,IF(E809&gt;=50*0.5,3,IF(E809&gt;=50*0.4,2,IF(E809&gt;=50*0.33,1,0))))))))</f>
        <v/>
      </c>
      <c r="X809">
        <f>IF(B809="","",IF(F809&lt;33.0,0,IF(F809&gt;=100*0.8,5,IF(F809&gt;=100*0.7,4,IF(F809&gt;=100*0.6,3.5,IF(F809&gt;=100*0.5,3,IF(F809&gt;=100*0.4,2,IF(F809&gt;=100*0.33,1,0))))))))</f>
        <v/>
      </c>
      <c r="Y809">
        <f>IF(B809="","",IF(G809&lt;16.5,0,IF(G809&gt;=50*0.8,5,IF(G809&gt;=50*0.7,4,IF(G809&gt;=50*0.6,3.5,IF(G809&gt;=50*0.5,3,IF(G809&gt;=50*0.4,2,IF(G809&gt;=50*0.33,1,0))))))))</f>
        <v/>
      </c>
      <c r="Z809">
        <f>IF(B809="","",IF(H809&lt;33.0,0,IF(H809&gt;=100*0.8,5,IF(H809&gt;=100*0.7,4,IF(H809&gt;=100*0.6,3.5,IF(H809&gt;=100*0.5,3,IF(H809&gt;=100*0.4,2,IF(H809&gt;=100*0.33,1,0))))))))</f>
        <v/>
      </c>
      <c r="AA809">
        <f>IF(B809="","",IF(I809&lt;33.0,0,IF(I809&gt;=100*0.8,5,IF(I809&gt;=100*0.7,4,IF(I809&gt;=100*0.6,3.5,IF(I809&gt;=100*0.5,3,IF(I809&gt;=100*0.4,2,IF(I809&gt;=100*0.33,1,0))))))))</f>
        <v/>
      </c>
      <c r="AB809">
        <f>IF(B809="","",IF(J809&lt;33.0,0,IF(J809&gt;=100*0.8,5,IF(J809&gt;=100*0.7,4,IF(J809&gt;=100*0.6,3.5,IF(J809&gt;=100*0.5,3,IF(J809&gt;=100*0.4,2,IF(J809&gt;=100*0.33,1,0))))))))</f>
        <v/>
      </c>
      <c r="AC809">
        <f>IF(B809="","",IF(K809&lt;33.0,0,IF(K809&gt;=100*0.8,5,IF(K809&gt;=100*0.7,4,IF(K809&gt;=100*0.6,3.5,IF(K809&gt;=100*0.5,3,IF(K809&gt;=100*0.4,2,IF(K809&gt;=100*0.33,1,0))))))))</f>
        <v/>
      </c>
      <c r="AD809">
        <f>IF(B809="","",IF(L809&lt;33.0,0,IF(L809&gt;=100*0.8,5,IF(L809&gt;=100*0.7,4,IF(L809&gt;=100*0.6,3.5,IF(L809&gt;=100*0.5,3,IF(L809&gt;=100*0.4,2,IF(L809&gt;=100*0.33,1,0))))))))</f>
        <v/>
      </c>
      <c r="AE809">
        <f>IF(B809="","",IF(M809&lt;33.0,0,IF(M809&gt;=100*0.8,5,IF(M809&gt;=100*0.7,4,IF(M809&gt;=100*0.6,3.5,IF(M809&gt;=100*0.5,3,IF(M809&gt;=100*0.4,2,IF(M809&gt;=100*0.33,1,0))))))))</f>
        <v/>
      </c>
      <c r="AF809">
        <f>IF(B809="","",IF(N809&lt;16.5,0,IF(N809&gt;=50*0.8,5,IF(N809&gt;=50*0.7,4,IF(N809&gt;=50*0.6,3.5,IF(N809&gt;=50*0.5,3,IF(N809&gt;=50*0.4,2,IF(N809&gt;=50*0.33,1,0))))))))</f>
        <v/>
      </c>
      <c r="AG809">
        <f>IF(B809="","",IF(O809&lt;33.0,0,IF(O809&gt;=100*0.8,5,IF(O809&gt;=100*0.7,4,IF(O809&gt;=100*0.6,3.5,IF(O809&gt;=100*0.5,3,IF(O809&gt;=100*0.4,2,IF(O809&gt;=100*0.33,1,0))))))))</f>
        <v/>
      </c>
      <c r="AH809">
        <f>IF(B809="","",IF(OR(U809=0,V809=0,W809=0,X809=0,Y809=0,Z809=0,AA809=0,AB809=0,AC809=0,AD809=0,AE809=0,AF809=0,AG809=0),1,0))</f>
        <v/>
      </c>
    </row>
    <row r="810">
      <c r="A810" s="3">
        <f>IF(B810="","",ROW()-2)</f>
        <v/>
      </c>
      <c r="P810" s="4">
        <f>IF(B810="","",SUM(C810:O810))</f>
        <v/>
      </c>
      <c r="Q810" s="5">
        <f>IF(B810="","",ROUND(P810/13,2))</f>
        <v/>
      </c>
      <c r="R810" s="5">
        <f>IF(B810="","",IF(AH810=1,0,MIN(5,ROUND((U810+V810+W810+X810+Y810+Z810+AA810+AB810+AC810+AD810+AE810+AF810+AG810)/13,2))))</f>
        <v/>
      </c>
      <c r="S810" s="3">
        <f>IF(B810="","",IF(R810&gt;=5,"A+",IF(R810&gt;=4,"A",IF(R810&gt;=3.5,"A-",IF(R810&gt;=3,"B",IF(R810&gt;=2,"C",IF(R810&gt;=1,"D","F")))))))</f>
        <v/>
      </c>
      <c r="T810" s="3">
        <f>IF(OR(B810="",S810="F"),"",COUNTIFS(P:P,"&gt;"&amp;P810,S:S,"&lt;&gt;F")+1)</f>
        <v/>
      </c>
      <c r="U810">
        <f>IF(B810="","",IF(C810&lt;33.0,0,IF(C810&gt;=100*0.8,5,IF(C810&gt;=100*0.7,4,IF(C810&gt;=100*0.6,3.5,IF(C810&gt;=100*0.5,3,IF(C810&gt;=100*0.4,2,IF(C810&gt;=100*0.33,1,0))))))))</f>
        <v/>
      </c>
      <c r="V810">
        <f>IF(B810="","",IF(D810&lt;33.0,0,IF(D810&gt;=100*0.8,5,IF(D810&gt;=100*0.7,4,IF(D810&gt;=100*0.6,3.5,IF(D810&gt;=100*0.5,3,IF(D810&gt;=100*0.4,2,IF(D810&gt;=100*0.33,1,0))))))))</f>
        <v/>
      </c>
      <c r="W810">
        <f>IF(B810="","",IF(E810&lt;16.5,0,IF(E810&gt;=50*0.8,5,IF(E810&gt;=50*0.7,4,IF(E810&gt;=50*0.6,3.5,IF(E810&gt;=50*0.5,3,IF(E810&gt;=50*0.4,2,IF(E810&gt;=50*0.33,1,0))))))))</f>
        <v/>
      </c>
      <c r="X810">
        <f>IF(B810="","",IF(F810&lt;33.0,0,IF(F810&gt;=100*0.8,5,IF(F810&gt;=100*0.7,4,IF(F810&gt;=100*0.6,3.5,IF(F810&gt;=100*0.5,3,IF(F810&gt;=100*0.4,2,IF(F810&gt;=100*0.33,1,0))))))))</f>
        <v/>
      </c>
      <c r="Y810">
        <f>IF(B810="","",IF(G810&lt;16.5,0,IF(G810&gt;=50*0.8,5,IF(G810&gt;=50*0.7,4,IF(G810&gt;=50*0.6,3.5,IF(G810&gt;=50*0.5,3,IF(G810&gt;=50*0.4,2,IF(G810&gt;=50*0.33,1,0))))))))</f>
        <v/>
      </c>
      <c r="Z810">
        <f>IF(B810="","",IF(H810&lt;33.0,0,IF(H810&gt;=100*0.8,5,IF(H810&gt;=100*0.7,4,IF(H810&gt;=100*0.6,3.5,IF(H810&gt;=100*0.5,3,IF(H810&gt;=100*0.4,2,IF(H810&gt;=100*0.33,1,0))))))))</f>
        <v/>
      </c>
      <c r="AA810">
        <f>IF(B810="","",IF(I810&lt;33.0,0,IF(I810&gt;=100*0.8,5,IF(I810&gt;=100*0.7,4,IF(I810&gt;=100*0.6,3.5,IF(I810&gt;=100*0.5,3,IF(I810&gt;=100*0.4,2,IF(I810&gt;=100*0.33,1,0))))))))</f>
        <v/>
      </c>
      <c r="AB810">
        <f>IF(B810="","",IF(J810&lt;33.0,0,IF(J810&gt;=100*0.8,5,IF(J810&gt;=100*0.7,4,IF(J810&gt;=100*0.6,3.5,IF(J810&gt;=100*0.5,3,IF(J810&gt;=100*0.4,2,IF(J810&gt;=100*0.33,1,0))))))))</f>
        <v/>
      </c>
      <c r="AC810">
        <f>IF(B810="","",IF(K810&lt;33.0,0,IF(K810&gt;=100*0.8,5,IF(K810&gt;=100*0.7,4,IF(K810&gt;=100*0.6,3.5,IF(K810&gt;=100*0.5,3,IF(K810&gt;=100*0.4,2,IF(K810&gt;=100*0.33,1,0))))))))</f>
        <v/>
      </c>
      <c r="AD810">
        <f>IF(B810="","",IF(L810&lt;33.0,0,IF(L810&gt;=100*0.8,5,IF(L810&gt;=100*0.7,4,IF(L810&gt;=100*0.6,3.5,IF(L810&gt;=100*0.5,3,IF(L810&gt;=100*0.4,2,IF(L810&gt;=100*0.33,1,0))))))))</f>
        <v/>
      </c>
      <c r="AE810">
        <f>IF(B810="","",IF(M810&lt;33.0,0,IF(M810&gt;=100*0.8,5,IF(M810&gt;=100*0.7,4,IF(M810&gt;=100*0.6,3.5,IF(M810&gt;=100*0.5,3,IF(M810&gt;=100*0.4,2,IF(M810&gt;=100*0.33,1,0))))))))</f>
        <v/>
      </c>
      <c r="AF810">
        <f>IF(B810="","",IF(N810&lt;16.5,0,IF(N810&gt;=50*0.8,5,IF(N810&gt;=50*0.7,4,IF(N810&gt;=50*0.6,3.5,IF(N810&gt;=50*0.5,3,IF(N810&gt;=50*0.4,2,IF(N810&gt;=50*0.33,1,0))))))))</f>
        <v/>
      </c>
      <c r="AG810">
        <f>IF(B810="","",IF(O810&lt;33.0,0,IF(O810&gt;=100*0.8,5,IF(O810&gt;=100*0.7,4,IF(O810&gt;=100*0.6,3.5,IF(O810&gt;=100*0.5,3,IF(O810&gt;=100*0.4,2,IF(O810&gt;=100*0.33,1,0))))))))</f>
        <v/>
      </c>
      <c r="AH810">
        <f>IF(B810="","",IF(OR(U810=0,V810=0,W810=0,X810=0,Y810=0,Z810=0,AA810=0,AB810=0,AC810=0,AD810=0,AE810=0,AF810=0,AG810=0),1,0))</f>
        <v/>
      </c>
    </row>
    <row r="811">
      <c r="A811" s="3">
        <f>IF(B811="","",ROW()-2)</f>
        <v/>
      </c>
      <c r="P811" s="4">
        <f>IF(B811="","",SUM(C811:O811))</f>
        <v/>
      </c>
      <c r="Q811" s="5">
        <f>IF(B811="","",ROUND(P811/13,2))</f>
        <v/>
      </c>
      <c r="R811" s="5">
        <f>IF(B811="","",IF(AH811=1,0,MIN(5,ROUND((U811+V811+W811+X811+Y811+Z811+AA811+AB811+AC811+AD811+AE811+AF811+AG811)/13,2))))</f>
        <v/>
      </c>
      <c r="S811" s="3">
        <f>IF(B811="","",IF(R811&gt;=5,"A+",IF(R811&gt;=4,"A",IF(R811&gt;=3.5,"A-",IF(R811&gt;=3,"B",IF(R811&gt;=2,"C",IF(R811&gt;=1,"D","F")))))))</f>
        <v/>
      </c>
      <c r="T811" s="3">
        <f>IF(OR(B811="",S811="F"),"",COUNTIFS(P:P,"&gt;"&amp;P811,S:S,"&lt;&gt;F")+1)</f>
        <v/>
      </c>
      <c r="U811">
        <f>IF(B811="","",IF(C811&lt;33.0,0,IF(C811&gt;=100*0.8,5,IF(C811&gt;=100*0.7,4,IF(C811&gt;=100*0.6,3.5,IF(C811&gt;=100*0.5,3,IF(C811&gt;=100*0.4,2,IF(C811&gt;=100*0.33,1,0))))))))</f>
        <v/>
      </c>
      <c r="V811">
        <f>IF(B811="","",IF(D811&lt;33.0,0,IF(D811&gt;=100*0.8,5,IF(D811&gt;=100*0.7,4,IF(D811&gt;=100*0.6,3.5,IF(D811&gt;=100*0.5,3,IF(D811&gt;=100*0.4,2,IF(D811&gt;=100*0.33,1,0))))))))</f>
        <v/>
      </c>
      <c r="W811">
        <f>IF(B811="","",IF(E811&lt;16.5,0,IF(E811&gt;=50*0.8,5,IF(E811&gt;=50*0.7,4,IF(E811&gt;=50*0.6,3.5,IF(E811&gt;=50*0.5,3,IF(E811&gt;=50*0.4,2,IF(E811&gt;=50*0.33,1,0))))))))</f>
        <v/>
      </c>
      <c r="X811">
        <f>IF(B811="","",IF(F811&lt;33.0,0,IF(F811&gt;=100*0.8,5,IF(F811&gt;=100*0.7,4,IF(F811&gt;=100*0.6,3.5,IF(F811&gt;=100*0.5,3,IF(F811&gt;=100*0.4,2,IF(F811&gt;=100*0.33,1,0))))))))</f>
        <v/>
      </c>
      <c r="Y811">
        <f>IF(B811="","",IF(G811&lt;16.5,0,IF(G811&gt;=50*0.8,5,IF(G811&gt;=50*0.7,4,IF(G811&gt;=50*0.6,3.5,IF(G811&gt;=50*0.5,3,IF(G811&gt;=50*0.4,2,IF(G811&gt;=50*0.33,1,0))))))))</f>
        <v/>
      </c>
      <c r="Z811">
        <f>IF(B811="","",IF(H811&lt;33.0,0,IF(H811&gt;=100*0.8,5,IF(H811&gt;=100*0.7,4,IF(H811&gt;=100*0.6,3.5,IF(H811&gt;=100*0.5,3,IF(H811&gt;=100*0.4,2,IF(H811&gt;=100*0.33,1,0))))))))</f>
        <v/>
      </c>
      <c r="AA811">
        <f>IF(B811="","",IF(I811&lt;33.0,0,IF(I811&gt;=100*0.8,5,IF(I811&gt;=100*0.7,4,IF(I811&gt;=100*0.6,3.5,IF(I811&gt;=100*0.5,3,IF(I811&gt;=100*0.4,2,IF(I811&gt;=100*0.33,1,0))))))))</f>
        <v/>
      </c>
      <c r="AB811">
        <f>IF(B811="","",IF(J811&lt;33.0,0,IF(J811&gt;=100*0.8,5,IF(J811&gt;=100*0.7,4,IF(J811&gt;=100*0.6,3.5,IF(J811&gt;=100*0.5,3,IF(J811&gt;=100*0.4,2,IF(J811&gt;=100*0.33,1,0))))))))</f>
        <v/>
      </c>
      <c r="AC811">
        <f>IF(B811="","",IF(K811&lt;33.0,0,IF(K811&gt;=100*0.8,5,IF(K811&gt;=100*0.7,4,IF(K811&gt;=100*0.6,3.5,IF(K811&gt;=100*0.5,3,IF(K811&gt;=100*0.4,2,IF(K811&gt;=100*0.33,1,0))))))))</f>
        <v/>
      </c>
      <c r="AD811">
        <f>IF(B811="","",IF(L811&lt;33.0,0,IF(L811&gt;=100*0.8,5,IF(L811&gt;=100*0.7,4,IF(L811&gt;=100*0.6,3.5,IF(L811&gt;=100*0.5,3,IF(L811&gt;=100*0.4,2,IF(L811&gt;=100*0.33,1,0))))))))</f>
        <v/>
      </c>
      <c r="AE811">
        <f>IF(B811="","",IF(M811&lt;33.0,0,IF(M811&gt;=100*0.8,5,IF(M811&gt;=100*0.7,4,IF(M811&gt;=100*0.6,3.5,IF(M811&gt;=100*0.5,3,IF(M811&gt;=100*0.4,2,IF(M811&gt;=100*0.33,1,0))))))))</f>
        <v/>
      </c>
      <c r="AF811">
        <f>IF(B811="","",IF(N811&lt;16.5,0,IF(N811&gt;=50*0.8,5,IF(N811&gt;=50*0.7,4,IF(N811&gt;=50*0.6,3.5,IF(N811&gt;=50*0.5,3,IF(N811&gt;=50*0.4,2,IF(N811&gt;=50*0.33,1,0))))))))</f>
        <v/>
      </c>
      <c r="AG811">
        <f>IF(B811="","",IF(O811&lt;33.0,0,IF(O811&gt;=100*0.8,5,IF(O811&gt;=100*0.7,4,IF(O811&gt;=100*0.6,3.5,IF(O811&gt;=100*0.5,3,IF(O811&gt;=100*0.4,2,IF(O811&gt;=100*0.33,1,0))))))))</f>
        <v/>
      </c>
      <c r="AH811">
        <f>IF(B811="","",IF(OR(U811=0,V811=0,W811=0,X811=0,Y811=0,Z811=0,AA811=0,AB811=0,AC811=0,AD811=0,AE811=0,AF811=0,AG811=0),1,0))</f>
        <v/>
      </c>
    </row>
    <row r="812">
      <c r="A812" s="3">
        <f>IF(B812="","",ROW()-2)</f>
        <v/>
      </c>
      <c r="P812" s="4">
        <f>IF(B812="","",SUM(C812:O812))</f>
        <v/>
      </c>
      <c r="Q812" s="5">
        <f>IF(B812="","",ROUND(P812/13,2))</f>
        <v/>
      </c>
      <c r="R812" s="5">
        <f>IF(B812="","",IF(AH812=1,0,MIN(5,ROUND((U812+V812+W812+X812+Y812+Z812+AA812+AB812+AC812+AD812+AE812+AF812+AG812)/13,2))))</f>
        <v/>
      </c>
      <c r="S812" s="3">
        <f>IF(B812="","",IF(R812&gt;=5,"A+",IF(R812&gt;=4,"A",IF(R812&gt;=3.5,"A-",IF(R812&gt;=3,"B",IF(R812&gt;=2,"C",IF(R812&gt;=1,"D","F")))))))</f>
        <v/>
      </c>
      <c r="T812" s="3">
        <f>IF(OR(B812="",S812="F"),"",COUNTIFS(P:P,"&gt;"&amp;P812,S:S,"&lt;&gt;F")+1)</f>
        <v/>
      </c>
      <c r="U812">
        <f>IF(B812="","",IF(C812&lt;33.0,0,IF(C812&gt;=100*0.8,5,IF(C812&gt;=100*0.7,4,IF(C812&gt;=100*0.6,3.5,IF(C812&gt;=100*0.5,3,IF(C812&gt;=100*0.4,2,IF(C812&gt;=100*0.33,1,0))))))))</f>
        <v/>
      </c>
      <c r="V812">
        <f>IF(B812="","",IF(D812&lt;33.0,0,IF(D812&gt;=100*0.8,5,IF(D812&gt;=100*0.7,4,IF(D812&gt;=100*0.6,3.5,IF(D812&gt;=100*0.5,3,IF(D812&gt;=100*0.4,2,IF(D812&gt;=100*0.33,1,0))))))))</f>
        <v/>
      </c>
      <c r="W812">
        <f>IF(B812="","",IF(E812&lt;16.5,0,IF(E812&gt;=50*0.8,5,IF(E812&gt;=50*0.7,4,IF(E812&gt;=50*0.6,3.5,IF(E812&gt;=50*0.5,3,IF(E812&gt;=50*0.4,2,IF(E812&gt;=50*0.33,1,0))))))))</f>
        <v/>
      </c>
      <c r="X812">
        <f>IF(B812="","",IF(F812&lt;33.0,0,IF(F812&gt;=100*0.8,5,IF(F812&gt;=100*0.7,4,IF(F812&gt;=100*0.6,3.5,IF(F812&gt;=100*0.5,3,IF(F812&gt;=100*0.4,2,IF(F812&gt;=100*0.33,1,0))))))))</f>
        <v/>
      </c>
      <c r="Y812">
        <f>IF(B812="","",IF(G812&lt;16.5,0,IF(G812&gt;=50*0.8,5,IF(G812&gt;=50*0.7,4,IF(G812&gt;=50*0.6,3.5,IF(G812&gt;=50*0.5,3,IF(G812&gt;=50*0.4,2,IF(G812&gt;=50*0.33,1,0))))))))</f>
        <v/>
      </c>
      <c r="Z812">
        <f>IF(B812="","",IF(H812&lt;33.0,0,IF(H812&gt;=100*0.8,5,IF(H812&gt;=100*0.7,4,IF(H812&gt;=100*0.6,3.5,IF(H812&gt;=100*0.5,3,IF(H812&gt;=100*0.4,2,IF(H812&gt;=100*0.33,1,0))))))))</f>
        <v/>
      </c>
      <c r="AA812">
        <f>IF(B812="","",IF(I812&lt;33.0,0,IF(I812&gt;=100*0.8,5,IF(I812&gt;=100*0.7,4,IF(I812&gt;=100*0.6,3.5,IF(I812&gt;=100*0.5,3,IF(I812&gt;=100*0.4,2,IF(I812&gt;=100*0.33,1,0))))))))</f>
        <v/>
      </c>
      <c r="AB812">
        <f>IF(B812="","",IF(J812&lt;33.0,0,IF(J812&gt;=100*0.8,5,IF(J812&gt;=100*0.7,4,IF(J812&gt;=100*0.6,3.5,IF(J812&gt;=100*0.5,3,IF(J812&gt;=100*0.4,2,IF(J812&gt;=100*0.33,1,0))))))))</f>
        <v/>
      </c>
      <c r="AC812">
        <f>IF(B812="","",IF(K812&lt;33.0,0,IF(K812&gt;=100*0.8,5,IF(K812&gt;=100*0.7,4,IF(K812&gt;=100*0.6,3.5,IF(K812&gt;=100*0.5,3,IF(K812&gt;=100*0.4,2,IF(K812&gt;=100*0.33,1,0))))))))</f>
        <v/>
      </c>
      <c r="AD812">
        <f>IF(B812="","",IF(L812&lt;33.0,0,IF(L812&gt;=100*0.8,5,IF(L812&gt;=100*0.7,4,IF(L812&gt;=100*0.6,3.5,IF(L812&gt;=100*0.5,3,IF(L812&gt;=100*0.4,2,IF(L812&gt;=100*0.33,1,0))))))))</f>
        <v/>
      </c>
      <c r="AE812">
        <f>IF(B812="","",IF(M812&lt;33.0,0,IF(M812&gt;=100*0.8,5,IF(M812&gt;=100*0.7,4,IF(M812&gt;=100*0.6,3.5,IF(M812&gt;=100*0.5,3,IF(M812&gt;=100*0.4,2,IF(M812&gt;=100*0.33,1,0))))))))</f>
        <v/>
      </c>
      <c r="AF812">
        <f>IF(B812="","",IF(N812&lt;16.5,0,IF(N812&gt;=50*0.8,5,IF(N812&gt;=50*0.7,4,IF(N812&gt;=50*0.6,3.5,IF(N812&gt;=50*0.5,3,IF(N812&gt;=50*0.4,2,IF(N812&gt;=50*0.33,1,0))))))))</f>
        <v/>
      </c>
      <c r="AG812">
        <f>IF(B812="","",IF(O812&lt;33.0,0,IF(O812&gt;=100*0.8,5,IF(O812&gt;=100*0.7,4,IF(O812&gt;=100*0.6,3.5,IF(O812&gt;=100*0.5,3,IF(O812&gt;=100*0.4,2,IF(O812&gt;=100*0.33,1,0))))))))</f>
        <v/>
      </c>
      <c r="AH812">
        <f>IF(B812="","",IF(OR(U812=0,V812=0,W812=0,X812=0,Y812=0,Z812=0,AA812=0,AB812=0,AC812=0,AD812=0,AE812=0,AF812=0,AG812=0),1,0))</f>
        <v/>
      </c>
    </row>
    <row r="813">
      <c r="A813" s="3">
        <f>IF(B813="","",ROW()-2)</f>
        <v/>
      </c>
      <c r="P813" s="4">
        <f>IF(B813="","",SUM(C813:O813))</f>
        <v/>
      </c>
      <c r="Q813" s="5">
        <f>IF(B813="","",ROUND(P813/13,2))</f>
        <v/>
      </c>
      <c r="R813" s="5">
        <f>IF(B813="","",IF(AH813=1,0,MIN(5,ROUND((U813+V813+W813+X813+Y813+Z813+AA813+AB813+AC813+AD813+AE813+AF813+AG813)/13,2))))</f>
        <v/>
      </c>
      <c r="S813" s="3">
        <f>IF(B813="","",IF(R813&gt;=5,"A+",IF(R813&gt;=4,"A",IF(R813&gt;=3.5,"A-",IF(R813&gt;=3,"B",IF(R813&gt;=2,"C",IF(R813&gt;=1,"D","F")))))))</f>
        <v/>
      </c>
      <c r="T813" s="3">
        <f>IF(OR(B813="",S813="F"),"",COUNTIFS(P:P,"&gt;"&amp;P813,S:S,"&lt;&gt;F")+1)</f>
        <v/>
      </c>
      <c r="U813">
        <f>IF(B813="","",IF(C813&lt;33.0,0,IF(C813&gt;=100*0.8,5,IF(C813&gt;=100*0.7,4,IF(C813&gt;=100*0.6,3.5,IF(C813&gt;=100*0.5,3,IF(C813&gt;=100*0.4,2,IF(C813&gt;=100*0.33,1,0))))))))</f>
        <v/>
      </c>
      <c r="V813">
        <f>IF(B813="","",IF(D813&lt;33.0,0,IF(D813&gt;=100*0.8,5,IF(D813&gt;=100*0.7,4,IF(D813&gt;=100*0.6,3.5,IF(D813&gt;=100*0.5,3,IF(D813&gt;=100*0.4,2,IF(D813&gt;=100*0.33,1,0))))))))</f>
        <v/>
      </c>
      <c r="W813">
        <f>IF(B813="","",IF(E813&lt;16.5,0,IF(E813&gt;=50*0.8,5,IF(E813&gt;=50*0.7,4,IF(E813&gt;=50*0.6,3.5,IF(E813&gt;=50*0.5,3,IF(E813&gt;=50*0.4,2,IF(E813&gt;=50*0.33,1,0))))))))</f>
        <v/>
      </c>
      <c r="X813">
        <f>IF(B813="","",IF(F813&lt;33.0,0,IF(F813&gt;=100*0.8,5,IF(F813&gt;=100*0.7,4,IF(F813&gt;=100*0.6,3.5,IF(F813&gt;=100*0.5,3,IF(F813&gt;=100*0.4,2,IF(F813&gt;=100*0.33,1,0))))))))</f>
        <v/>
      </c>
      <c r="Y813">
        <f>IF(B813="","",IF(G813&lt;16.5,0,IF(G813&gt;=50*0.8,5,IF(G813&gt;=50*0.7,4,IF(G813&gt;=50*0.6,3.5,IF(G813&gt;=50*0.5,3,IF(G813&gt;=50*0.4,2,IF(G813&gt;=50*0.33,1,0))))))))</f>
        <v/>
      </c>
      <c r="Z813">
        <f>IF(B813="","",IF(H813&lt;33.0,0,IF(H813&gt;=100*0.8,5,IF(H813&gt;=100*0.7,4,IF(H813&gt;=100*0.6,3.5,IF(H813&gt;=100*0.5,3,IF(H813&gt;=100*0.4,2,IF(H813&gt;=100*0.33,1,0))))))))</f>
        <v/>
      </c>
      <c r="AA813">
        <f>IF(B813="","",IF(I813&lt;33.0,0,IF(I813&gt;=100*0.8,5,IF(I813&gt;=100*0.7,4,IF(I813&gt;=100*0.6,3.5,IF(I813&gt;=100*0.5,3,IF(I813&gt;=100*0.4,2,IF(I813&gt;=100*0.33,1,0))))))))</f>
        <v/>
      </c>
      <c r="AB813">
        <f>IF(B813="","",IF(J813&lt;33.0,0,IF(J813&gt;=100*0.8,5,IF(J813&gt;=100*0.7,4,IF(J813&gt;=100*0.6,3.5,IF(J813&gt;=100*0.5,3,IF(J813&gt;=100*0.4,2,IF(J813&gt;=100*0.33,1,0))))))))</f>
        <v/>
      </c>
      <c r="AC813">
        <f>IF(B813="","",IF(K813&lt;33.0,0,IF(K813&gt;=100*0.8,5,IF(K813&gt;=100*0.7,4,IF(K813&gt;=100*0.6,3.5,IF(K813&gt;=100*0.5,3,IF(K813&gt;=100*0.4,2,IF(K813&gt;=100*0.33,1,0))))))))</f>
        <v/>
      </c>
      <c r="AD813">
        <f>IF(B813="","",IF(L813&lt;33.0,0,IF(L813&gt;=100*0.8,5,IF(L813&gt;=100*0.7,4,IF(L813&gt;=100*0.6,3.5,IF(L813&gt;=100*0.5,3,IF(L813&gt;=100*0.4,2,IF(L813&gt;=100*0.33,1,0))))))))</f>
        <v/>
      </c>
      <c r="AE813">
        <f>IF(B813="","",IF(M813&lt;33.0,0,IF(M813&gt;=100*0.8,5,IF(M813&gt;=100*0.7,4,IF(M813&gt;=100*0.6,3.5,IF(M813&gt;=100*0.5,3,IF(M813&gt;=100*0.4,2,IF(M813&gt;=100*0.33,1,0))))))))</f>
        <v/>
      </c>
      <c r="AF813">
        <f>IF(B813="","",IF(N813&lt;16.5,0,IF(N813&gt;=50*0.8,5,IF(N813&gt;=50*0.7,4,IF(N813&gt;=50*0.6,3.5,IF(N813&gt;=50*0.5,3,IF(N813&gt;=50*0.4,2,IF(N813&gt;=50*0.33,1,0))))))))</f>
        <v/>
      </c>
      <c r="AG813">
        <f>IF(B813="","",IF(O813&lt;33.0,0,IF(O813&gt;=100*0.8,5,IF(O813&gt;=100*0.7,4,IF(O813&gt;=100*0.6,3.5,IF(O813&gt;=100*0.5,3,IF(O813&gt;=100*0.4,2,IF(O813&gt;=100*0.33,1,0))))))))</f>
        <v/>
      </c>
      <c r="AH813">
        <f>IF(B813="","",IF(OR(U813=0,V813=0,W813=0,X813=0,Y813=0,Z813=0,AA813=0,AB813=0,AC813=0,AD813=0,AE813=0,AF813=0,AG813=0),1,0))</f>
        <v/>
      </c>
    </row>
    <row r="814">
      <c r="A814" s="3">
        <f>IF(B814="","",ROW()-2)</f>
        <v/>
      </c>
      <c r="P814" s="4">
        <f>IF(B814="","",SUM(C814:O814))</f>
        <v/>
      </c>
      <c r="Q814" s="5">
        <f>IF(B814="","",ROUND(P814/13,2))</f>
        <v/>
      </c>
      <c r="R814" s="5">
        <f>IF(B814="","",IF(AH814=1,0,MIN(5,ROUND((U814+V814+W814+X814+Y814+Z814+AA814+AB814+AC814+AD814+AE814+AF814+AG814)/13,2))))</f>
        <v/>
      </c>
      <c r="S814" s="3">
        <f>IF(B814="","",IF(R814&gt;=5,"A+",IF(R814&gt;=4,"A",IF(R814&gt;=3.5,"A-",IF(R814&gt;=3,"B",IF(R814&gt;=2,"C",IF(R814&gt;=1,"D","F")))))))</f>
        <v/>
      </c>
      <c r="T814" s="3">
        <f>IF(OR(B814="",S814="F"),"",COUNTIFS(P:P,"&gt;"&amp;P814,S:S,"&lt;&gt;F")+1)</f>
        <v/>
      </c>
      <c r="U814">
        <f>IF(B814="","",IF(C814&lt;33.0,0,IF(C814&gt;=100*0.8,5,IF(C814&gt;=100*0.7,4,IF(C814&gt;=100*0.6,3.5,IF(C814&gt;=100*0.5,3,IF(C814&gt;=100*0.4,2,IF(C814&gt;=100*0.33,1,0))))))))</f>
        <v/>
      </c>
      <c r="V814">
        <f>IF(B814="","",IF(D814&lt;33.0,0,IF(D814&gt;=100*0.8,5,IF(D814&gt;=100*0.7,4,IF(D814&gt;=100*0.6,3.5,IF(D814&gt;=100*0.5,3,IF(D814&gt;=100*0.4,2,IF(D814&gt;=100*0.33,1,0))))))))</f>
        <v/>
      </c>
      <c r="W814">
        <f>IF(B814="","",IF(E814&lt;16.5,0,IF(E814&gt;=50*0.8,5,IF(E814&gt;=50*0.7,4,IF(E814&gt;=50*0.6,3.5,IF(E814&gt;=50*0.5,3,IF(E814&gt;=50*0.4,2,IF(E814&gt;=50*0.33,1,0))))))))</f>
        <v/>
      </c>
      <c r="X814">
        <f>IF(B814="","",IF(F814&lt;33.0,0,IF(F814&gt;=100*0.8,5,IF(F814&gt;=100*0.7,4,IF(F814&gt;=100*0.6,3.5,IF(F814&gt;=100*0.5,3,IF(F814&gt;=100*0.4,2,IF(F814&gt;=100*0.33,1,0))))))))</f>
        <v/>
      </c>
      <c r="Y814">
        <f>IF(B814="","",IF(G814&lt;16.5,0,IF(G814&gt;=50*0.8,5,IF(G814&gt;=50*0.7,4,IF(G814&gt;=50*0.6,3.5,IF(G814&gt;=50*0.5,3,IF(G814&gt;=50*0.4,2,IF(G814&gt;=50*0.33,1,0))))))))</f>
        <v/>
      </c>
      <c r="Z814">
        <f>IF(B814="","",IF(H814&lt;33.0,0,IF(H814&gt;=100*0.8,5,IF(H814&gt;=100*0.7,4,IF(H814&gt;=100*0.6,3.5,IF(H814&gt;=100*0.5,3,IF(H814&gt;=100*0.4,2,IF(H814&gt;=100*0.33,1,0))))))))</f>
        <v/>
      </c>
      <c r="AA814">
        <f>IF(B814="","",IF(I814&lt;33.0,0,IF(I814&gt;=100*0.8,5,IF(I814&gt;=100*0.7,4,IF(I814&gt;=100*0.6,3.5,IF(I814&gt;=100*0.5,3,IF(I814&gt;=100*0.4,2,IF(I814&gt;=100*0.33,1,0))))))))</f>
        <v/>
      </c>
      <c r="AB814">
        <f>IF(B814="","",IF(J814&lt;33.0,0,IF(J814&gt;=100*0.8,5,IF(J814&gt;=100*0.7,4,IF(J814&gt;=100*0.6,3.5,IF(J814&gt;=100*0.5,3,IF(J814&gt;=100*0.4,2,IF(J814&gt;=100*0.33,1,0))))))))</f>
        <v/>
      </c>
      <c r="AC814">
        <f>IF(B814="","",IF(K814&lt;33.0,0,IF(K814&gt;=100*0.8,5,IF(K814&gt;=100*0.7,4,IF(K814&gt;=100*0.6,3.5,IF(K814&gt;=100*0.5,3,IF(K814&gt;=100*0.4,2,IF(K814&gt;=100*0.33,1,0))))))))</f>
        <v/>
      </c>
      <c r="AD814">
        <f>IF(B814="","",IF(L814&lt;33.0,0,IF(L814&gt;=100*0.8,5,IF(L814&gt;=100*0.7,4,IF(L814&gt;=100*0.6,3.5,IF(L814&gt;=100*0.5,3,IF(L814&gt;=100*0.4,2,IF(L814&gt;=100*0.33,1,0))))))))</f>
        <v/>
      </c>
      <c r="AE814">
        <f>IF(B814="","",IF(M814&lt;33.0,0,IF(M814&gt;=100*0.8,5,IF(M814&gt;=100*0.7,4,IF(M814&gt;=100*0.6,3.5,IF(M814&gt;=100*0.5,3,IF(M814&gt;=100*0.4,2,IF(M814&gt;=100*0.33,1,0))))))))</f>
        <v/>
      </c>
      <c r="AF814">
        <f>IF(B814="","",IF(N814&lt;16.5,0,IF(N814&gt;=50*0.8,5,IF(N814&gt;=50*0.7,4,IF(N814&gt;=50*0.6,3.5,IF(N814&gt;=50*0.5,3,IF(N814&gt;=50*0.4,2,IF(N814&gt;=50*0.33,1,0))))))))</f>
        <v/>
      </c>
      <c r="AG814">
        <f>IF(B814="","",IF(O814&lt;33.0,0,IF(O814&gt;=100*0.8,5,IF(O814&gt;=100*0.7,4,IF(O814&gt;=100*0.6,3.5,IF(O814&gt;=100*0.5,3,IF(O814&gt;=100*0.4,2,IF(O814&gt;=100*0.33,1,0))))))))</f>
        <v/>
      </c>
      <c r="AH814">
        <f>IF(B814="","",IF(OR(U814=0,V814=0,W814=0,X814=0,Y814=0,Z814=0,AA814=0,AB814=0,AC814=0,AD814=0,AE814=0,AF814=0,AG814=0),1,0))</f>
        <v/>
      </c>
    </row>
    <row r="815">
      <c r="A815" s="3">
        <f>IF(B815="","",ROW()-2)</f>
        <v/>
      </c>
      <c r="P815" s="4">
        <f>IF(B815="","",SUM(C815:O815))</f>
        <v/>
      </c>
      <c r="Q815" s="5">
        <f>IF(B815="","",ROUND(P815/13,2))</f>
        <v/>
      </c>
      <c r="R815" s="5">
        <f>IF(B815="","",IF(AH815=1,0,MIN(5,ROUND((U815+V815+W815+X815+Y815+Z815+AA815+AB815+AC815+AD815+AE815+AF815+AG815)/13,2))))</f>
        <v/>
      </c>
      <c r="S815" s="3">
        <f>IF(B815="","",IF(R815&gt;=5,"A+",IF(R815&gt;=4,"A",IF(R815&gt;=3.5,"A-",IF(R815&gt;=3,"B",IF(R815&gt;=2,"C",IF(R815&gt;=1,"D","F")))))))</f>
        <v/>
      </c>
      <c r="T815" s="3">
        <f>IF(OR(B815="",S815="F"),"",COUNTIFS(P:P,"&gt;"&amp;P815,S:S,"&lt;&gt;F")+1)</f>
        <v/>
      </c>
      <c r="U815">
        <f>IF(B815="","",IF(C815&lt;33.0,0,IF(C815&gt;=100*0.8,5,IF(C815&gt;=100*0.7,4,IF(C815&gt;=100*0.6,3.5,IF(C815&gt;=100*0.5,3,IF(C815&gt;=100*0.4,2,IF(C815&gt;=100*0.33,1,0))))))))</f>
        <v/>
      </c>
      <c r="V815">
        <f>IF(B815="","",IF(D815&lt;33.0,0,IF(D815&gt;=100*0.8,5,IF(D815&gt;=100*0.7,4,IF(D815&gt;=100*0.6,3.5,IF(D815&gt;=100*0.5,3,IF(D815&gt;=100*0.4,2,IF(D815&gt;=100*0.33,1,0))))))))</f>
        <v/>
      </c>
      <c r="W815">
        <f>IF(B815="","",IF(E815&lt;16.5,0,IF(E815&gt;=50*0.8,5,IF(E815&gt;=50*0.7,4,IF(E815&gt;=50*0.6,3.5,IF(E815&gt;=50*0.5,3,IF(E815&gt;=50*0.4,2,IF(E815&gt;=50*0.33,1,0))))))))</f>
        <v/>
      </c>
      <c r="X815">
        <f>IF(B815="","",IF(F815&lt;33.0,0,IF(F815&gt;=100*0.8,5,IF(F815&gt;=100*0.7,4,IF(F815&gt;=100*0.6,3.5,IF(F815&gt;=100*0.5,3,IF(F815&gt;=100*0.4,2,IF(F815&gt;=100*0.33,1,0))))))))</f>
        <v/>
      </c>
      <c r="Y815">
        <f>IF(B815="","",IF(G815&lt;16.5,0,IF(G815&gt;=50*0.8,5,IF(G815&gt;=50*0.7,4,IF(G815&gt;=50*0.6,3.5,IF(G815&gt;=50*0.5,3,IF(G815&gt;=50*0.4,2,IF(G815&gt;=50*0.33,1,0))))))))</f>
        <v/>
      </c>
      <c r="Z815">
        <f>IF(B815="","",IF(H815&lt;33.0,0,IF(H815&gt;=100*0.8,5,IF(H815&gt;=100*0.7,4,IF(H815&gt;=100*0.6,3.5,IF(H815&gt;=100*0.5,3,IF(H815&gt;=100*0.4,2,IF(H815&gt;=100*0.33,1,0))))))))</f>
        <v/>
      </c>
      <c r="AA815">
        <f>IF(B815="","",IF(I815&lt;33.0,0,IF(I815&gt;=100*0.8,5,IF(I815&gt;=100*0.7,4,IF(I815&gt;=100*0.6,3.5,IF(I815&gt;=100*0.5,3,IF(I815&gt;=100*0.4,2,IF(I815&gt;=100*0.33,1,0))))))))</f>
        <v/>
      </c>
      <c r="AB815">
        <f>IF(B815="","",IF(J815&lt;33.0,0,IF(J815&gt;=100*0.8,5,IF(J815&gt;=100*0.7,4,IF(J815&gt;=100*0.6,3.5,IF(J815&gt;=100*0.5,3,IF(J815&gt;=100*0.4,2,IF(J815&gt;=100*0.33,1,0))))))))</f>
        <v/>
      </c>
      <c r="AC815">
        <f>IF(B815="","",IF(K815&lt;33.0,0,IF(K815&gt;=100*0.8,5,IF(K815&gt;=100*0.7,4,IF(K815&gt;=100*0.6,3.5,IF(K815&gt;=100*0.5,3,IF(K815&gt;=100*0.4,2,IF(K815&gt;=100*0.33,1,0))))))))</f>
        <v/>
      </c>
      <c r="AD815">
        <f>IF(B815="","",IF(L815&lt;33.0,0,IF(L815&gt;=100*0.8,5,IF(L815&gt;=100*0.7,4,IF(L815&gt;=100*0.6,3.5,IF(L815&gt;=100*0.5,3,IF(L815&gt;=100*0.4,2,IF(L815&gt;=100*0.33,1,0))))))))</f>
        <v/>
      </c>
      <c r="AE815">
        <f>IF(B815="","",IF(M815&lt;33.0,0,IF(M815&gt;=100*0.8,5,IF(M815&gt;=100*0.7,4,IF(M815&gt;=100*0.6,3.5,IF(M815&gt;=100*0.5,3,IF(M815&gt;=100*0.4,2,IF(M815&gt;=100*0.33,1,0))))))))</f>
        <v/>
      </c>
      <c r="AF815">
        <f>IF(B815="","",IF(N815&lt;16.5,0,IF(N815&gt;=50*0.8,5,IF(N815&gt;=50*0.7,4,IF(N815&gt;=50*0.6,3.5,IF(N815&gt;=50*0.5,3,IF(N815&gt;=50*0.4,2,IF(N815&gt;=50*0.33,1,0))))))))</f>
        <v/>
      </c>
      <c r="AG815">
        <f>IF(B815="","",IF(O815&lt;33.0,0,IF(O815&gt;=100*0.8,5,IF(O815&gt;=100*0.7,4,IF(O815&gt;=100*0.6,3.5,IF(O815&gt;=100*0.5,3,IF(O815&gt;=100*0.4,2,IF(O815&gt;=100*0.33,1,0))))))))</f>
        <v/>
      </c>
      <c r="AH815">
        <f>IF(B815="","",IF(OR(U815=0,V815=0,W815=0,X815=0,Y815=0,Z815=0,AA815=0,AB815=0,AC815=0,AD815=0,AE815=0,AF815=0,AG815=0),1,0))</f>
        <v/>
      </c>
    </row>
    <row r="816">
      <c r="A816" s="3">
        <f>IF(B816="","",ROW()-2)</f>
        <v/>
      </c>
      <c r="P816" s="4">
        <f>IF(B816="","",SUM(C816:O816))</f>
        <v/>
      </c>
      <c r="Q816" s="5">
        <f>IF(B816="","",ROUND(P816/13,2))</f>
        <v/>
      </c>
      <c r="R816" s="5">
        <f>IF(B816="","",IF(AH816=1,0,MIN(5,ROUND((U816+V816+W816+X816+Y816+Z816+AA816+AB816+AC816+AD816+AE816+AF816+AG816)/13,2))))</f>
        <v/>
      </c>
      <c r="S816" s="3">
        <f>IF(B816="","",IF(R816&gt;=5,"A+",IF(R816&gt;=4,"A",IF(R816&gt;=3.5,"A-",IF(R816&gt;=3,"B",IF(R816&gt;=2,"C",IF(R816&gt;=1,"D","F")))))))</f>
        <v/>
      </c>
      <c r="T816" s="3">
        <f>IF(OR(B816="",S816="F"),"",COUNTIFS(P:P,"&gt;"&amp;P816,S:S,"&lt;&gt;F")+1)</f>
        <v/>
      </c>
      <c r="U816">
        <f>IF(B816="","",IF(C816&lt;33.0,0,IF(C816&gt;=100*0.8,5,IF(C816&gt;=100*0.7,4,IF(C816&gt;=100*0.6,3.5,IF(C816&gt;=100*0.5,3,IF(C816&gt;=100*0.4,2,IF(C816&gt;=100*0.33,1,0))))))))</f>
        <v/>
      </c>
      <c r="V816">
        <f>IF(B816="","",IF(D816&lt;33.0,0,IF(D816&gt;=100*0.8,5,IF(D816&gt;=100*0.7,4,IF(D816&gt;=100*0.6,3.5,IF(D816&gt;=100*0.5,3,IF(D816&gt;=100*0.4,2,IF(D816&gt;=100*0.33,1,0))))))))</f>
        <v/>
      </c>
      <c r="W816">
        <f>IF(B816="","",IF(E816&lt;16.5,0,IF(E816&gt;=50*0.8,5,IF(E816&gt;=50*0.7,4,IF(E816&gt;=50*0.6,3.5,IF(E816&gt;=50*0.5,3,IF(E816&gt;=50*0.4,2,IF(E816&gt;=50*0.33,1,0))))))))</f>
        <v/>
      </c>
      <c r="X816">
        <f>IF(B816="","",IF(F816&lt;33.0,0,IF(F816&gt;=100*0.8,5,IF(F816&gt;=100*0.7,4,IF(F816&gt;=100*0.6,3.5,IF(F816&gt;=100*0.5,3,IF(F816&gt;=100*0.4,2,IF(F816&gt;=100*0.33,1,0))))))))</f>
        <v/>
      </c>
      <c r="Y816">
        <f>IF(B816="","",IF(G816&lt;16.5,0,IF(G816&gt;=50*0.8,5,IF(G816&gt;=50*0.7,4,IF(G816&gt;=50*0.6,3.5,IF(G816&gt;=50*0.5,3,IF(G816&gt;=50*0.4,2,IF(G816&gt;=50*0.33,1,0))))))))</f>
        <v/>
      </c>
      <c r="Z816">
        <f>IF(B816="","",IF(H816&lt;33.0,0,IF(H816&gt;=100*0.8,5,IF(H816&gt;=100*0.7,4,IF(H816&gt;=100*0.6,3.5,IF(H816&gt;=100*0.5,3,IF(H816&gt;=100*0.4,2,IF(H816&gt;=100*0.33,1,0))))))))</f>
        <v/>
      </c>
      <c r="AA816">
        <f>IF(B816="","",IF(I816&lt;33.0,0,IF(I816&gt;=100*0.8,5,IF(I816&gt;=100*0.7,4,IF(I816&gt;=100*0.6,3.5,IF(I816&gt;=100*0.5,3,IF(I816&gt;=100*0.4,2,IF(I816&gt;=100*0.33,1,0))))))))</f>
        <v/>
      </c>
      <c r="AB816">
        <f>IF(B816="","",IF(J816&lt;33.0,0,IF(J816&gt;=100*0.8,5,IF(J816&gt;=100*0.7,4,IF(J816&gt;=100*0.6,3.5,IF(J816&gt;=100*0.5,3,IF(J816&gt;=100*0.4,2,IF(J816&gt;=100*0.33,1,0))))))))</f>
        <v/>
      </c>
      <c r="AC816">
        <f>IF(B816="","",IF(K816&lt;33.0,0,IF(K816&gt;=100*0.8,5,IF(K816&gt;=100*0.7,4,IF(K816&gt;=100*0.6,3.5,IF(K816&gt;=100*0.5,3,IF(K816&gt;=100*0.4,2,IF(K816&gt;=100*0.33,1,0))))))))</f>
        <v/>
      </c>
      <c r="AD816">
        <f>IF(B816="","",IF(L816&lt;33.0,0,IF(L816&gt;=100*0.8,5,IF(L816&gt;=100*0.7,4,IF(L816&gt;=100*0.6,3.5,IF(L816&gt;=100*0.5,3,IF(L816&gt;=100*0.4,2,IF(L816&gt;=100*0.33,1,0))))))))</f>
        <v/>
      </c>
      <c r="AE816">
        <f>IF(B816="","",IF(M816&lt;33.0,0,IF(M816&gt;=100*0.8,5,IF(M816&gt;=100*0.7,4,IF(M816&gt;=100*0.6,3.5,IF(M816&gt;=100*0.5,3,IF(M816&gt;=100*0.4,2,IF(M816&gt;=100*0.33,1,0))))))))</f>
        <v/>
      </c>
      <c r="AF816">
        <f>IF(B816="","",IF(N816&lt;16.5,0,IF(N816&gt;=50*0.8,5,IF(N816&gt;=50*0.7,4,IF(N816&gt;=50*0.6,3.5,IF(N816&gt;=50*0.5,3,IF(N816&gt;=50*0.4,2,IF(N816&gt;=50*0.33,1,0))))))))</f>
        <v/>
      </c>
      <c r="AG816">
        <f>IF(B816="","",IF(O816&lt;33.0,0,IF(O816&gt;=100*0.8,5,IF(O816&gt;=100*0.7,4,IF(O816&gt;=100*0.6,3.5,IF(O816&gt;=100*0.5,3,IF(O816&gt;=100*0.4,2,IF(O816&gt;=100*0.33,1,0))))))))</f>
        <v/>
      </c>
      <c r="AH816">
        <f>IF(B816="","",IF(OR(U816=0,V816=0,W816=0,X816=0,Y816=0,Z816=0,AA816=0,AB816=0,AC816=0,AD816=0,AE816=0,AF816=0,AG816=0),1,0))</f>
        <v/>
      </c>
    </row>
    <row r="817">
      <c r="A817" s="3">
        <f>IF(B817="","",ROW()-2)</f>
        <v/>
      </c>
      <c r="P817" s="4">
        <f>IF(B817="","",SUM(C817:O817))</f>
        <v/>
      </c>
      <c r="Q817" s="5">
        <f>IF(B817="","",ROUND(P817/13,2))</f>
        <v/>
      </c>
      <c r="R817" s="5">
        <f>IF(B817="","",IF(AH817=1,0,MIN(5,ROUND((U817+V817+W817+X817+Y817+Z817+AA817+AB817+AC817+AD817+AE817+AF817+AG817)/13,2))))</f>
        <v/>
      </c>
      <c r="S817" s="3">
        <f>IF(B817="","",IF(R817&gt;=5,"A+",IF(R817&gt;=4,"A",IF(R817&gt;=3.5,"A-",IF(R817&gt;=3,"B",IF(R817&gt;=2,"C",IF(R817&gt;=1,"D","F")))))))</f>
        <v/>
      </c>
      <c r="T817" s="3">
        <f>IF(OR(B817="",S817="F"),"",COUNTIFS(P:P,"&gt;"&amp;P817,S:S,"&lt;&gt;F")+1)</f>
        <v/>
      </c>
      <c r="U817">
        <f>IF(B817="","",IF(C817&lt;33.0,0,IF(C817&gt;=100*0.8,5,IF(C817&gt;=100*0.7,4,IF(C817&gt;=100*0.6,3.5,IF(C817&gt;=100*0.5,3,IF(C817&gt;=100*0.4,2,IF(C817&gt;=100*0.33,1,0))))))))</f>
        <v/>
      </c>
      <c r="V817">
        <f>IF(B817="","",IF(D817&lt;33.0,0,IF(D817&gt;=100*0.8,5,IF(D817&gt;=100*0.7,4,IF(D817&gt;=100*0.6,3.5,IF(D817&gt;=100*0.5,3,IF(D817&gt;=100*0.4,2,IF(D817&gt;=100*0.33,1,0))))))))</f>
        <v/>
      </c>
      <c r="W817">
        <f>IF(B817="","",IF(E817&lt;16.5,0,IF(E817&gt;=50*0.8,5,IF(E817&gt;=50*0.7,4,IF(E817&gt;=50*0.6,3.5,IF(E817&gt;=50*0.5,3,IF(E817&gt;=50*0.4,2,IF(E817&gt;=50*0.33,1,0))))))))</f>
        <v/>
      </c>
      <c r="X817">
        <f>IF(B817="","",IF(F817&lt;33.0,0,IF(F817&gt;=100*0.8,5,IF(F817&gt;=100*0.7,4,IF(F817&gt;=100*0.6,3.5,IF(F817&gt;=100*0.5,3,IF(F817&gt;=100*0.4,2,IF(F817&gt;=100*0.33,1,0))))))))</f>
        <v/>
      </c>
      <c r="Y817">
        <f>IF(B817="","",IF(G817&lt;16.5,0,IF(G817&gt;=50*0.8,5,IF(G817&gt;=50*0.7,4,IF(G817&gt;=50*0.6,3.5,IF(G817&gt;=50*0.5,3,IF(G817&gt;=50*0.4,2,IF(G817&gt;=50*0.33,1,0))))))))</f>
        <v/>
      </c>
      <c r="Z817">
        <f>IF(B817="","",IF(H817&lt;33.0,0,IF(H817&gt;=100*0.8,5,IF(H817&gt;=100*0.7,4,IF(H817&gt;=100*0.6,3.5,IF(H817&gt;=100*0.5,3,IF(H817&gt;=100*0.4,2,IF(H817&gt;=100*0.33,1,0))))))))</f>
        <v/>
      </c>
      <c r="AA817">
        <f>IF(B817="","",IF(I817&lt;33.0,0,IF(I817&gt;=100*0.8,5,IF(I817&gt;=100*0.7,4,IF(I817&gt;=100*0.6,3.5,IF(I817&gt;=100*0.5,3,IF(I817&gt;=100*0.4,2,IF(I817&gt;=100*0.33,1,0))))))))</f>
        <v/>
      </c>
      <c r="AB817">
        <f>IF(B817="","",IF(J817&lt;33.0,0,IF(J817&gt;=100*0.8,5,IF(J817&gt;=100*0.7,4,IF(J817&gt;=100*0.6,3.5,IF(J817&gt;=100*0.5,3,IF(J817&gt;=100*0.4,2,IF(J817&gt;=100*0.33,1,0))))))))</f>
        <v/>
      </c>
      <c r="AC817">
        <f>IF(B817="","",IF(K817&lt;33.0,0,IF(K817&gt;=100*0.8,5,IF(K817&gt;=100*0.7,4,IF(K817&gt;=100*0.6,3.5,IF(K817&gt;=100*0.5,3,IF(K817&gt;=100*0.4,2,IF(K817&gt;=100*0.33,1,0))))))))</f>
        <v/>
      </c>
      <c r="AD817">
        <f>IF(B817="","",IF(L817&lt;33.0,0,IF(L817&gt;=100*0.8,5,IF(L817&gt;=100*0.7,4,IF(L817&gt;=100*0.6,3.5,IF(L817&gt;=100*0.5,3,IF(L817&gt;=100*0.4,2,IF(L817&gt;=100*0.33,1,0))))))))</f>
        <v/>
      </c>
      <c r="AE817">
        <f>IF(B817="","",IF(M817&lt;33.0,0,IF(M817&gt;=100*0.8,5,IF(M817&gt;=100*0.7,4,IF(M817&gt;=100*0.6,3.5,IF(M817&gt;=100*0.5,3,IF(M817&gt;=100*0.4,2,IF(M817&gt;=100*0.33,1,0))))))))</f>
        <v/>
      </c>
      <c r="AF817">
        <f>IF(B817="","",IF(N817&lt;16.5,0,IF(N817&gt;=50*0.8,5,IF(N817&gt;=50*0.7,4,IF(N817&gt;=50*0.6,3.5,IF(N817&gt;=50*0.5,3,IF(N817&gt;=50*0.4,2,IF(N817&gt;=50*0.33,1,0))))))))</f>
        <v/>
      </c>
      <c r="AG817">
        <f>IF(B817="","",IF(O817&lt;33.0,0,IF(O817&gt;=100*0.8,5,IF(O817&gt;=100*0.7,4,IF(O817&gt;=100*0.6,3.5,IF(O817&gt;=100*0.5,3,IF(O817&gt;=100*0.4,2,IF(O817&gt;=100*0.33,1,0))))))))</f>
        <v/>
      </c>
      <c r="AH817">
        <f>IF(B817="","",IF(OR(U817=0,V817=0,W817=0,X817=0,Y817=0,Z817=0,AA817=0,AB817=0,AC817=0,AD817=0,AE817=0,AF817=0,AG817=0),1,0))</f>
        <v/>
      </c>
    </row>
    <row r="818">
      <c r="A818" s="3">
        <f>IF(B818="","",ROW()-2)</f>
        <v/>
      </c>
      <c r="P818" s="4">
        <f>IF(B818="","",SUM(C818:O818))</f>
        <v/>
      </c>
      <c r="Q818" s="5">
        <f>IF(B818="","",ROUND(P818/13,2))</f>
        <v/>
      </c>
      <c r="R818" s="5">
        <f>IF(B818="","",IF(AH818=1,0,MIN(5,ROUND((U818+V818+W818+X818+Y818+Z818+AA818+AB818+AC818+AD818+AE818+AF818+AG818)/13,2))))</f>
        <v/>
      </c>
      <c r="S818" s="3">
        <f>IF(B818="","",IF(R818&gt;=5,"A+",IF(R818&gt;=4,"A",IF(R818&gt;=3.5,"A-",IF(R818&gt;=3,"B",IF(R818&gt;=2,"C",IF(R818&gt;=1,"D","F")))))))</f>
        <v/>
      </c>
      <c r="T818" s="3">
        <f>IF(OR(B818="",S818="F"),"",COUNTIFS(P:P,"&gt;"&amp;P818,S:S,"&lt;&gt;F")+1)</f>
        <v/>
      </c>
      <c r="U818">
        <f>IF(B818="","",IF(C818&lt;33.0,0,IF(C818&gt;=100*0.8,5,IF(C818&gt;=100*0.7,4,IF(C818&gt;=100*0.6,3.5,IF(C818&gt;=100*0.5,3,IF(C818&gt;=100*0.4,2,IF(C818&gt;=100*0.33,1,0))))))))</f>
        <v/>
      </c>
      <c r="V818">
        <f>IF(B818="","",IF(D818&lt;33.0,0,IF(D818&gt;=100*0.8,5,IF(D818&gt;=100*0.7,4,IF(D818&gt;=100*0.6,3.5,IF(D818&gt;=100*0.5,3,IF(D818&gt;=100*0.4,2,IF(D818&gt;=100*0.33,1,0))))))))</f>
        <v/>
      </c>
      <c r="W818">
        <f>IF(B818="","",IF(E818&lt;16.5,0,IF(E818&gt;=50*0.8,5,IF(E818&gt;=50*0.7,4,IF(E818&gt;=50*0.6,3.5,IF(E818&gt;=50*0.5,3,IF(E818&gt;=50*0.4,2,IF(E818&gt;=50*0.33,1,0))))))))</f>
        <v/>
      </c>
      <c r="X818">
        <f>IF(B818="","",IF(F818&lt;33.0,0,IF(F818&gt;=100*0.8,5,IF(F818&gt;=100*0.7,4,IF(F818&gt;=100*0.6,3.5,IF(F818&gt;=100*0.5,3,IF(F818&gt;=100*0.4,2,IF(F818&gt;=100*0.33,1,0))))))))</f>
        <v/>
      </c>
      <c r="Y818">
        <f>IF(B818="","",IF(G818&lt;16.5,0,IF(G818&gt;=50*0.8,5,IF(G818&gt;=50*0.7,4,IF(G818&gt;=50*0.6,3.5,IF(G818&gt;=50*0.5,3,IF(G818&gt;=50*0.4,2,IF(G818&gt;=50*0.33,1,0))))))))</f>
        <v/>
      </c>
      <c r="Z818">
        <f>IF(B818="","",IF(H818&lt;33.0,0,IF(H818&gt;=100*0.8,5,IF(H818&gt;=100*0.7,4,IF(H818&gt;=100*0.6,3.5,IF(H818&gt;=100*0.5,3,IF(H818&gt;=100*0.4,2,IF(H818&gt;=100*0.33,1,0))))))))</f>
        <v/>
      </c>
      <c r="AA818">
        <f>IF(B818="","",IF(I818&lt;33.0,0,IF(I818&gt;=100*0.8,5,IF(I818&gt;=100*0.7,4,IF(I818&gt;=100*0.6,3.5,IF(I818&gt;=100*0.5,3,IF(I818&gt;=100*0.4,2,IF(I818&gt;=100*0.33,1,0))))))))</f>
        <v/>
      </c>
      <c r="AB818">
        <f>IF(B818="","",IF(J818&lt;33.0,0,IF(J818&gt;=100*0.8,5,IF(J818&gt;=100*0.7,4,IF(J818&gt;=100*0.6,3.5,IF(J818&gt;=100*0.5,3,IF(J818&gt;=100*0.4,2,IF(J818&gt;=100*0.33,1,0))))))))</f>
        <v/>
      </c>
      <c r="AC818">
        <f>IF(B818="","",IF(K818&lt;33.0,0,IF(K818&gt;=100*0.8,5,IF(K818&gt;=100*0.7,4,IF(K818&gt;=100*0.6,3.5,IF(K818&gt;=100*0.5,3,IF(K818&gt;=100*0.4,2,IF(K818&gt;=100*0.33,1,0))))))))</f>
        <v/>
      </c>
      <c r="AD818">
        <f>IF(B818="","",IF(L818&lt;33.0,0,IF(L818&gt;=100*0.8,5,IF(L818&gt;=100*0.7,4,IF(L818&gt;=100*0.6,3.5,IF(L818&gt;=100*0.5,3,IF(L818&gt;=100*0.4,2,IF(L818&gt;=100*0.33,1,0))))))))</f>
        <v/>
      </c>
      <c r="AE818">
        <f>IF(B818="","",IF(M818&lt;33.0,0,IF(M818&gt;=100*0.8,5,IF(M818&gt;=100*0.7,4,IF(M818&gt;=100*0.6,3.5,IF(M818&gt;=100*0.5,3,IF(M818&gt;=100*0.4,2,IF(M818&gt;=100*0.33,1,0))))))))</f>
        <v/>
      </c>
      <c r="AF818">
        <f>IF(B818="","",IF(N818&lt;16.5,0,IF(N818&gt;=50*0.8,5,IF(N818&gt;=50*0.7,4,IF(N818&gt;=50*0.6,3.5,IF(N818&gt;=50*0.5,3,IF(N818&gt;=50*0.4,2,IF(N818&gt;=50*0.33,1,0))))))))</f>
        <v/>
      </c>
      <c r="AG818">
        <f>IF(B818="","",IF(O818&lt;33.0,0,IF(O818&gt;=100*0.8,5,IF(O818&gt;=100*0.7,4,IF(O818&gt;=100*0.6,3.5,IF(O818&gt;=100*0.5,3,IF(O818&gt;=100*0.4,2,IF(O818&gt;=100*0.33,1,0))))))))</f>
        <v/>
      </c>
      <c r="AH818">
        <f>IF(B818="","",IF(OR(U818=0,V818=0,W818=0,X818=0,Y818=0,Z818=0,AA818=0,AB818=0,AC818=0,AD818=0,AE818=0,AF818=0,AG818=0),1,0))</f>
        <v/>
      </c>
    </row>
    <row r="819">
      <c r="A819" s="3">
        <f>IF(B819="","",ROW()-2)</f>
        <v/>
      </c>
      <c r="P819" s="4">
        <f>IF(B819="","",SUM(C819:O819))</f>
        <v/>
      </c>
      <c r="Q819" s="5">
        <f>IF(B819="","",ROUND(P819/13,2))</f>
        <v/>
      </c>
      <c r="R819" s="5">
        <f>IF(B819="","",IF(AH819=1,0,MIN(5,ROUND((U819+V819+W819+X819+Y819+Z819+AA819+AB819+AC819+AD819+AE819+AF819+AG819)/13,2))))</f>
        <v/>
      </c>
      <c r="S819" s="3">
        <f>IF(B819="","",IF(R819&gt;=5,"A+",IF(R819&gt;=4,"A",IF(R819&gt;=3.5,"A-",IF(R819&gt;=3,"B",IF(R819&gt;=2,"C",IF(R819&gt;=1,"D","F")))))))</f>
        <v/>
      </c>
      <c r="T819" s="3">
        <f>IF(OR(B819="",S819="F"),"",COUNTIFS(P:P,"&gt;"&amp;P819,S:S,"&lt;&gt;F")+1)</f>
        <v/>
      </c>
      <c r="U819">
        <f>IF(B819="","",IF(C819&lt;33.0,0,IF(C819&gt;=100*0.8,5,IF(C819&gt;=100*0.7,4,IF(C819&gt;=100*0.6,3.5,IF(C819&gt;=100*0.5,3,IF(C819&gt;=100*0.4,2,IF(C819&gt;=100*0.33,1,0))))))))</f>
        <v/>
      </c>
      <c r="V819">
        <f>IF(B819="","",IF(D819&lt;33.0,0,IF(D819&gt;=100*0.8,5,IF(D819&gt;=100*0.7,4,IF(D819&gt;=100*0.6,3.5,IF(D819&gt;=100*0.5,3,IF(D819&gt;=100*0.4,2,IF(D819&gt;=100*0.33,1,0))))))))</f>
        <v/>
      </c>
      <c r="W819">
        <f>IF(B819="","",IF(E819&lt;16.5,0,IF(E819&gt;=50*0.8,5,IF(E819&gt;=50*0.7,4,IF(E819&gt;=50*0.6,3.5,IF(E819&gt;=50*0.5,3,IF(E819&gt;=50*0.4,2,IF(E819&gt;=50*0.33,1,0))))))))</f>
        <v/>
      </c>
      <c r="X819">
        <f>IF(B819="","",IF(F819&lt;33.0,0,IF(F819&gt;=100*0.8,5,IF(F819&gt;=100*0.7,4,IF(F819&gt;=100*0.6,3.5,IF(F819&gt;=100*0.5,3,IF(F819&gt;=100*0.4,2,IF(F819&gt;=100*0.33,1,0))))))))</f>
        <v/>
      </c>
      <c r="Y819">
        <f>IF(B819="","",IF(G819&lt;16.5,0,IF(G819&gt;=50*0.8,5,IF(G819&gt;=50*0.7,4,IF(G819&gt;=50*0.6,3.5,IF(G819&gt;=50*0.5,3,IF(G819&gt;=50*0.4,2,IF(G819&gt;=50*0.33,1,0))))))))</f>
        <v/>
      </c>
      <c r="Z819">
        <f>IF(B819="","",IF(H819&lt;33.0,0,IF(H819&gt;=100*0.8,5,IF(H819&gt;=100*0.7,4,IF(H819&gt;=100*0.6,3.5,IF(H819&gt;=100*0.5,3,IF(H819&gt;=100*0.4,2,IF(H819&gt;=100*0.33,1,0))))))))</f>
        <v/>
      </c>
      <c r="AA819">
        <f>IF(B819="","",IF(I819&lt;33.0,0,IF(I819&gt;=100*0.8,5,IF(I819&gt;=100*0.7,4,IF(I819&gt;=100*0.6,3.5,IF(I819&gt;=100*0.5,3,IF(I819&gt;=100*0.4,2,IF(I819&gt;=100*0.33,1,0))))))))</f>
        <v/>
      </c>
      <c r="AB819">
        <f>IF(B819="","",IF(J819&lt;33.0,0,IF(J819&gt;=100*0.8,5,IF(J819&gt;=100*0.7,4,IF(J819&gt;=100*0.6,3.5,IF(J819&gt;=100*0.5,3,IF(J819&gt;=100*0.4,2,IF(J819&gt;=100*0.33,1,0))))))))</f>
        <v/>
      </c>
      <c r="AC819">
        <f>IF(B819="","",IF(K819&lt;33.0,0,IF(K819&gt;=100*0.8,5,IF(K819&gt;=100*0.7,4,IF(K819&gt;=100*0.6,3.5,IF(K819&gt;=100*0.5,3,IF(K819&gt;=100*0.4,2,IF(K819&gt;=100*0.33,1,0))))))))</f>
        <v/>
      </c>
      <c r="AD819">
        <f>IF(B819="","",IF(L819&lt;33.0,0,IF(L819&gt;=100*0.8,5,IF(L819&gt;=100*0.7,4,IF(L819&gt;=100*0.6,3.5,IF(L819&gt;=100*0.5,3,IF(L819&gt;=100*0.4,2,IF(L819&gt;=100*0.33,1,0))))))))</f>
        <v/>
      </c>
      <c r="AE819">
        <f>IF(B819="","",IF(M819&lt;33.0,0,IF(M819&gt;=100*0.8,5,IF(M819&gt;=100*0.7,4,IF(M819&gt;=100*0.6,3.5,IF(M819&gt;=100*0.5,3,IF(M819&gt;=100*0.4,2,IF(M819&gt;=100*0.33,1,0))))))))</f>
        <v/>
      </c>
      <c r="AF819">
        <f>IF(B819="","",IF(N819&lt;16.5,0,IF(N819&gt;=50*0.8,5,IF(N819&gt;=50*0.7,4,IF(N819&gt;=50*0.6,3.5,IF(N819&gt;=50*0.5,3,IF(N819&gt;=50*0.4,2,IF(N819&gt;=50*0.33,1,0))))))))</f>
        <v/>
      </c>
      <c r="AG819">
        <f>IF(B819="","",IF(O819&lt;33.0,0,IF(O819&gt;=100*0.8,5,IF(O819&gt;=100*0.7,4,IF(O819&gt;=100*0.6,3.5,IF(O819&gt;=100*0.5,3,IF(O819&gt;=100*0.4,2,IF(O819&gt;=100*0.33,1,0))))))))</f>
        <v/>
      </c>
      <c r="AH819">
        <f>IF(B819="","",IF(OR(U819=0,V819=0,W819=0,X819=0,Y819=0,Z819=0,AA819=0,AB819=0,AC819=0,AD819=0,AE819=0,AF819=0,AG819=0),1,0))</f>
        <v/>
      </c>
    </row>
    <row r="820">
      <c r="A820" s="3">
        <f>IF(B820="","",ROW()-2)</f>
        <v/>
      </c>
      <c r="P820" s="4">
        <f>IF(B820="","",SUM(C820:O820))</f>
        <v/>
      </c>
      <c r="Q820" s="5">
        <f>IF(B820="","",ROUND(P820/13,2))</f>
        <v/>
      </c>
      <c r="R820" s="5">
        <f>IF(B820="","",IF(AH820=1,0,MIN(5,ROUND((U820+V820+W820+X820+Y820+Z820+AA820+AB820+AC820+AD820+AE820+AF820+AG820)/13,2))))</f>
        <v/>
      </c>
      <c r="S820" s="3">
        <f>IF(B820="","",IF(R820&gt;=5,"A+",IF(R820&gt;=4,"A",IF(R820&gt;=3.5,"A-",IF(R820&gt;=3,"B",IF(R820&gt;=2,"C",IF(R820&gt;=1,"D","F")))))))</f>
        <v/>
      </c>
      <c r="T820" s="3">
        <f>IF(OR(B820="",S820="F"),"",COUNTIFS(P:P,"&gt;"&amp;P820,S:S,"&lt;&gt;F")+1)</f>
        <v/>
      </c>
      <c r="U820">
        <f>IF(B820="","",IF(C820&lt;33.0,0,IF(C820&gt;=100*0.8,5,IF(C820&gt;=100*0.7,4,IF(C820&gt;=100*0.6,3.5,IF(C820&gt;=100*0.5,3,IF(C820&gt;=100*0.4,2,IF(C820&gt;=100*0.33,1,0))))))))</f>
        <v/>
      </c>
      <c r="V820">
        <f>IF(B820="","",IF(D820&lt;33.0,0,IF(D820&gt;=100*0.8,5,IF(D820&gt;=100*0.7,4,IF(D820&gt;=100*0.6,3.5,IF(D820&gt;=100*0.5,3,IF(D820&gt;=100*0.4,2,IF(D820&gt;=100*0.33,1,0))))))))</f>
        <v/>
      </c>
      <c r="W820">
        <f>IF(B820="","",IF(E820&lt;16.5,0,IF(E820&gt;=50*0.8,5,IF(E820&gt;=50*0.7,4,IF(E820&gt;=50*0.6,3.5,IF(E820&gt;=50*0.5,3,IF(E820&gt;=50*0.4,2,IF(E820&gt;=50*0.33,1,0))))))))</f>
        <v/>
      </c>
      <c r="X820">
        <f>IF(B820="","",IF(F820&lt;33.0,0,IF(F820&gt;=100*0.8,5,IF(F820&gt;=100*0.7,4,IF(F820&gt;=100*0.6,3.5,IF(F820&gt;=100*0.5,3,IF(F820&gt;=100*0.4,2,IF(F820&gt;=100*0.33,1,0))))))))</f>
        <v/>
      </c>
      <c r="Y820">
        <f>IF(B820="","",IF(G820&lt;16.5,0,IF(G820&gt;=50*0.8,5,IF(G820&gt;=50*0.7,4,IF(G820&gt;=50*0.6,3.5,IF(G820&gt;=50*0.5,3,IF(G820&gt;=50*0.4,2,IF(G820&gt;=50*0.33,1,0))))))))</f>
        <v/>
      </c>
      <c r="Z820">
        <f>IF(B820="","",IF(H820&lt;33.0,0,IF(H820&gt;=100*0.8,5,IF(H820&gt;=100*0.7,4,IF(H820&gt;=100*0.6,3.5,IF(H820&gt;=100*0.5,3,IF(H820&gt;=100*0.4,2,IF(H820&gt;=100*0.33,1,0))))))))</f>
        <v/>
      </c>
      <c r="AA820">
        <f>IF(B820="","",IF(I820&lt;33.0,0,IF(I820&gt;=100*0.8,5,IF(I820&gt;=100*0.7,4,IF(I820&gt;=100*0.6,3.5,IF(I820&gt;=100*0.5,3,IF(I820&gt;=100*0.4,2,IF(I820&gt;=100*0.33,1,0))))))))</f>
        <v/>
      </c>
      <c r="AB820">
        <f>IF(B820="","",IF(J820&lt;33.0,0,IF(J820&gt;=100*0.8,5,IF(J820&gt;=100*0.7,4,IF(J820&gt;=100*0.6,3.5,IF(J820&gt;=100*0.5,3,IF(J820&gt;=100*0.4,2,IF(J820&gt;=100*0.33,1,0))))))))</f>
        <v/>
      </c>
      <c r="AC820">
        <f>IF(B820="","",IF(K820&lt;33.0,0,IF(K820&gt;=100*0.8,5,IF(K820&gt;=100*0.7,4,IF(K820&gt;=100*0.6,3.5,IF(K820&gt;=100*0.5,3,IF(K820&gt;=100*0.4,2,IF(K820&gt;=100*0.33,1,0))))))))</f>
        <v/>
      </c>
      <c r="AD820">
        <f>IF(B820="","",IF(L820&lt;33.0,0,IF(L820&gt;=100*0.8,5,IF(L820&gt;=100*0.7,4,IF(L820&gt;=100*0.6,3.5,IF(L820&gt;=100*0.5,3,IF(L820&gt;=100*0.4,2,IF(L820&gt;=100*0.33,1,0))))))))</f>
        <v/>
      </c>
      <c r="AE820">
        <f>IF(B820="","",IF(M820&lt;33.0,0,IF(M820&gt;=100*0.8,5,IF(M820&gt;=100*0.7,4,IF(M820&gt;=100*0.6,3.5,IF(M820&gt;=100*0.5,3,IF(M820&gt;=100*0.4,2,IF(M820&gt;=100*0.33,1,0))))))))</f>
        <v/>
      </c>
      <c r="AF820">
        <f>IF(B820="","",IF(N820&lt;16.5,0,IF(N820&gt;=50*0.8,5,IF(N820&gt;=50*0.7,4,IF(N820&gt;=50*0.6,3.5,IF(N820&gt;=50*0.5,3,IF(N820&gt;=50*0.4,2,IF(N820&gt;=50*0.33,1,0))))))))</f>
        <v/>
      </c>
      <c r="AG820">
        <f>IF(B820="","",IF(O820&lt;33.0,0,IF(O820&gt;=100*0.8,5,IF(O820&gt;=100*0.7,4,IF(O820&gt;=100*0.6,3.5,IF(O820&gt;=100*0.5,3,IF(O820&gt;=100*0.4,2,IF(O820&gt;=100*0.33,1,0))))))))</f>
        <v/>
      </c>
      <c r="AH820">
        <f>IF(B820="","",IF(OR(U820=0,V820=0,W820=0,X820=0,Y820=0,Z820=0,AA820=0,AB820=0,AC820=0,AD820=0,AE820=0,AF820=0,AG820=0),1,0))</f>
        <v/>
      </c>
    </row>
    <row r="821">
      <c r="A821" s="3">
        <f>IF(B821="","",ROW()-2)</f>
        <v/>
      </c>
      <c r="P821" s="4">
        <f>IF(B821="","",SUM(C821:O821))</f>
        <v/>
      </c>
      <c r="Q821" s="5">
        <f>IF(B821="","",ROUND(P821/13,2))</f>
        <v/>
      </c>
      <c r="R821" s="5">
        <f>IF(B821="","",IF(AH821=1,0,MIN(5,ROUND((U821+V821+W821+X821+Y821+Z821+AA821+AB821+AC821+AD821+AE821+AF821+AG821)/13,2))))</f>
        <v/>
      </c>
      <c r="S821" s="3">
        <f>IF(B821="","",IF(R821&gt;=5,"A+",IF(R821&gt;=4,"A",IF(R821&gt;=3.5,"A-",IF(R821&gt;=3,"B",IF(R821&gt;=2,"C",IF(R821&gt;=1,"D","F")))))))</f>
        <v/>
      </c>
      <c r="T821" s="3">
        <f>IF(OR(B821="",S821="F"),"",COUNTIFS(P:P,"&gt;"&amp;P821,S:S,"&lt;&gt;F")+1)</f>
        <v/>
      </c>
      <c r="U821">
        <f>IF(B821="","",IF(C821&lt;33.0,0,IF(C821&gt;=100*0.8,5,IF(C821&gt;=100*0.7,4,IF(C821&gt;=100*0.6,3.5,IF(C821&gt;=100*0.5,3,IF(C821&gt;=100*0.4,2,IF(C821&gt;=100*0.33,1,0))))))))</f>
        <v/>
      </c>
      <c r="V821">
        <f>IF(B821="","",IF(D821&lt;33.0,0,IF(D821&gt;=100*0.8,5,IF(D821&gt;=100*0.7,4,IF(D821&gt;=100*0.6,3.5,IF(D821&gt;=100*0.5,3,IF(D821&gt;=100*0.4,2,IF(D821&gt;=100*0.33,1,0))))))))</f>
        <v/>
      </c>
      <c r="W821">
        <f>IF(B821="","",IF(E821&lt;16.5,0,IF(E821&gt;=50*0.8,5,IF(E821&gt;=50*0.7,4,IF(E821&gt;=50*0.6,3.5,IF(E821&gt;=50*0.5,3,IF(E821&gt;=50*0.4,2,IF(E821&gt;=50*0.33,1,0))))))))</f>
        <v/>
      </c>
      <c r="X821">
        <f>IF(B821="","",IF(F821&lt;33.0,0,IF(F821&gt;=100*0.8,5,IF(F821&gt;=100*0.7,4,IF(F821&gt;=100*0.6,3.5,IF(F821&gt;=100*0.5,3,IF(F821&gt;=100*0.4,2,IF(F821&gt;=100*0.33,1,0))))))))</f>
        <v/>
      </c>
      <c r="Y821">
        <f>IF(B821="","",IF(G821&lt;16.5,0,IF(G821&gt;=50*0.8,5,IF(G821&gt;=50*0.7,4,IF(G821&gt;=50*0.6,3.5,IF(G821&gt;=50*0.5,3,IF(G821&gt;=50*0.4,2,IF(G821&gt;=50*0.33,1,0))))))))</f>
        <v/>
      </c>
      <c r="Z821">
        <f>IF(B821="","",IF(H821&lt;33.0,0,IF(H821&gt;=100*0.8,5,IF(H821&gt;=100*0.7,4,IF(H821&gt;=100*0.6,3.5,IF(H821&gt;=100*0.5,3,IF(H821&gt;=100*0.4,2,IF(H821&gt;=100*0.33,1,0))))))))</f>
        <v/>
      </c>
      <c r="AA821">
        <f>IF(B821="","",IF(I821&lt;33.0,0,IF(I821&gt;=100*0.8,5,IF(I821&gt;=100*0.7,4,IF(I821&gt;=100*0.6,3.5,IF(I821&gt;=100*0.5,3,IF(I821&gt;=100*0.4,2,IF(I821&gt;=100*0.33,1,0))))))))</f>
        <v/>
      </c>
      <c r="AB821">
        <f>IF(B821="","",IF(J821&lt;33.0,0,IF(J821&gt;=100*0.8,5,IF(J821&gt;=100*0.7,4,IF(J821&gt;=100*0.6,3.5,IF(J821&gt;=100*0.5,3,IF(J821&gt;=100*0.4,2,IF(J821&gt;=100*0.33,1,0))))))))</f>
        <v/>
      </c>
      <c r="AC821">
        <f>IF(B821="","",IF(K821&lt;33.0,0,IF(K821&gt;=100*0.8,5,IF(K821&gt;=100*0.7,4,IF(K821&gt;=100*0.6,3.5,IF(K821&gt;=100*0.5,3,IF(K821&gt;=100*0.4,2,IF(K821&gt;=100*0.33,1,0))))))))</f>
        <v/>
      </c>
      <c r="AD821">
        <f>IF(B821="","",IF(L821&lt;33.0,0,IF(L821&gt;=100*0.8,5,IF(L821&gt;=100*0.7,4,IF(L821&gt;=100*0.6,3.5,IF(L821&gt;=100*0.5,3,IF(L821&gt;=100*0.4,2,IF(L821&gt;=100*0.33,1,0))))))))</f>
        <v/>
      </c>
      <c r="AE821">
        <f>IF(B821="","",IF(M821&lt;33.0,0,IF(M821&gt;=100*0.8,5,IF(M821&gt;=100*0.7,4,IF(M821&gt;=100*0.6,3.5,IF(M821&gt;=100*0.5,3,IF(M821&gt;=100*0.4,2,IF(M821&gt;=100*0.33,1,0))))))))</f>
        <v/>
      </c>
      <c r="AF821">
        <f>IF(B821="","",IF(N821&lt;16.5,0,IF(N821&gt;=50*0.8,5,IF(N821&gt;=50*0.7,4,IF(N821&gt;=50*0.6,3.5,IF(N821&gt;=50*0.5,3,IF(N821&gt;=50*0.4,2,IF(N821&gt;=50*0.33,1,0))))))))</f>
        <v/>
      </c>
      <c r="AG821">
        <f>IF(B821="","",IF(O821&lt;33.0,0,IF(O821&gt;=100*0.8,5,IF(O821&gt;=100*0.7,4,IF(O821&gt;=100*0.6,3.5,IF(O821&gt;=100*0.5,3,IF(O821&gt;=100*0.4,2,IF(O821&gt;=100*0.33,1,0))))))))</f>
        <v/>
      </c>
      <c r="AH821">
        <f>IF(B821="","",IF(OR(U821=0,V821=0,W821=0,X821=0,Y821=0,Z821=0,AA821=0,AB821=0,AC821=0,AD821=0,AE821=0,AF821=0,AG821=0),1,0))</f>
        <v/>
      </c>
    </row>
    <row r="822">
      <c r="A822" s="3">
        <f>IF(B822="","",ROW()-2)</f>
        <v/>
      </c>
      <c r="P822" s="4">
        <f>IF(B822="","",SUM(C822:O822))</f>
        <v/>
      </c>
      <c r="Q822" s="5">
        <f>IF(B822="","",ROUND(P822/13,2))</f>
        <v/>
      </c>
      <c r="R822" s="5">
        <f>IF(B822="","",IF(AH822=1,0,MIN(5,ROUND((U822+V822+W822+X822+Y822+Z822+AA822+AB822+AC822+AD822+AE822+AF822+AG822)/13,2))))</f>
        <v/>
      </c>
      <c r="S822" s="3">
        <f>IF(B822="","",IF(R822&gt;=5,"A+",IF(R822&gt;=4,"A",IF(R822&gt;=3.5,"A-",IF(R822&gt;=3,"B",IF(R822&gt;=2,"C",IF(R822&gt;=1,"D","F")))))))</f>
        <v/>
      </c>
      <c r="T822" s="3">
        <f>IF(OR(B822="",S822="F"),"",COUNTIFS(P:P,"&gt;"&amp;P822,S:S,"&lt;&gt;F")+1)</f>
        <v/>
      </c>
      <c r="U822">
        <f>IF(B822="","",IF(C822&lt;33.0,0,IF(C822&gt;=100*0.8,5,IF(C822&gt;=100*0.7,4,IF(C822&gt;=100*0.6,3.5,IF(C822&gt;=100*0.5,3,IF(C822&gt;=100*0.4,2,IF(C822&gt;=100*0.33,1,0))))))))</f>
        <v/>
      </c>
      <c r="V822">
        <f>IF(B822="","",IF(D822&lt;33.0,0,IF(D822&gt;=100*0.8,5,IF(D822&gt;=100*0.7,4,IF(D822&gt;=100*0.6,3.5,IF(D822&gt;=100*0.5,3,IF(D822&gt;=100*0.4,2,IF(D822&gt;=100*0.33,1,0))))))))</f>
        <v/>
      </c>
      <c r="W822">
        <f>IF(B822="","",IF(E822&lt;16.5,0,IF(E822&gt;=50*0.8,5,IF(E822&gt;=50*0.7,4,IF(E822&gt;=50*0.6,3.5,IF(E822&gt;=50*0.5,3,IF(E822&gt;=50*0.4,2,IF(E822&gt;=50*0.33,1,0))))))))</f>
        <v/>
      </c>
      <c r="X822">
        <f>IF(B822="","",IF(F822&lt;33.0,0,IF(F822&gt;=100*0.8,5,IF(F822&gt;=100*0.7,4,IF(F822&gt;=100*0.6,3.5,IF(F822&gt;=100*0.5,3,IF(F822&gt;=100*0.4,2,IF(F822&gt;=100*0.33,1,0))))))))</f>
        <v/>
      </c>
      <c r="Y822">
        <f>IF(B822="","",IF(G822&lt;16.5,0,IF(G822&gt;=50*0.8,5,IF(G822&gt;=50*0.7,4,IF(G822&gt;=50*0.6,3.5,IF(G822&gt;=50*0.5,3,IF(G822&gt;=50*0.4,2,IF(G822&gt;=50*0.33,1,0))))))))</f>
        <v/>
      </c>
      <c r="Z822">
        <f>IF(B822="","",IF(H822&lt;33.0,0,IF(H822&gt;=100*0.8,5,IF(H822&gt;=100*0.7,4,IF(H822&gt;=100*0.6,3.5,IF(H822&gt;=100*0.5,3,IF(H822&gt;=100*0.4,2,IF(H822&gt;=100*0.33,1,0))))))))</f>
        <v/>
      </c>
      <c r="AA822">
        <f>IF(B822="","",IF(I822&lt;33.0,0,IF(I822&gt;=100*0.8,5,IF(I822&gt;=100*0.7,4,IF(I822&gt;=100*0.6,3.5,IF(I822&gt;=100*0.5,3,IF(I822&gt;=100*0.4,2,IF(I822&gt;=100*0.33,1,0))))))))</f>
        <v/>
      </c>
      <c r="AB822">
        <f>IF(B822="","",IF(J822&lt;33.0,0,IF(J822&gt;=100*0.8,5,IF(J822&gt;=100*0.7,4,IF(J822&gt;=100*0.6,3.5,IF(J822&gt;=100*0.5,3,IF(J822&gt;=100*0.4,2,IF(J822&gt;=100*0.33,1,0))))))))</f>
        <v/>
      </c>
      <c r="AC822">
        <f>IF(B822="","",IF(K822&lt;33.0,0,IF(K822&gt;=100*0.8,5,IF(K822&gt;=100*0.7,4,IF(K822&gt;=100*0.6,3.5,IF(K822&gt;=100*0.5,3,IF(K822&gt;=100*0.4,2,IF(K822&gt;=100*0.33,1,0))))))))</f>
        <v/>
      </c>
      <c r="AD822">
        <f>IF(B822="","",IF(L822&lt;33.0,0,IF(L822&gt;=100*0.8,5,IF(L822&gt;=100*0.7,4,IF(L822&gt;=100*0.6,3.5,IF(L822&gt;=100*0.5,3,IF(L822&gt;=100*0.4,2,IF(L822&gt;=100*0.33,1,0))))))))</f>
        <v/>
      </c>
      <c r="AE822">
        <f>IF(B822="","",IF(M822&lt;33.0,0,IF(M822&gt;=100*0.8,5,IF(M822&gt;=100*0.7,4,IF(M822&gt;=100*0.6,3.5,IF(M822&gt;=100*0.5,3,IF(M822&gt;=100*0.4,2,IF(M822&gt;=100*0.33,1,0))))))))</f>
        <v/>
      </c>
      <c r="AF822">
        <f>IF(B822="","",IF(N822&lt;16.5,0,IF(N822&gt;=50*0.8,5,IF(N822&gt;=50*0.7,4,IF(N822&gt;=50*0.6,3.5,IF(N822&gt;=50*0.5,3,IF(N822&gt;=50*0.4,2,IF(N822&gt;=50*0.33,1,0))))))))</f>
        <v/>
      </c>
      <c r="AG822">
        <f>IF(B822="","",IF(O822&lt;33.0,0,IF(O822&gt;=100*0.8,5,IF(O822&gt;=100*0.7,4,IF(O822&gt;=100*0.6,3.5,IF(O822&gt;=100*0.5,3,IF(O822&gt;=100*0.4,2,IF(O822&gt;=100*0.33,1,0))))))))</f>
        <v/>
      </c>
      <c r="AH822">
        <f>IF(B822="","",IF(OR(U822=0,V822=0,W822=0,X822=0,Y822=0,Z822=0,AA822=0,AB822=0,AC822=0,AD822=0,AE822=0,AF822=0,AG822=0),1,0))</f>
        <v/>
      </c>
    </row>
    <row r="823">
      <c r="A823" s="3">
        <f>IF(B823="","",ROW()-2)</f>
        <v/>
      </c>
      <c r="P823" s="4">
        <f>IF(B823="","",SUM(C823:O823))</f>
        <v/>
      </c>
      <c r="Q823" s="5">
        <f>IF(B823="","",ROUND(P823/13,2))</f>
        <v/>
      </c>
      <c r="R823" s="5">
        <f>IF(B823="","",IF(AH823=1,0,MIN(5,ROUND((U823+V823+W823+X823+Y823+Z823+AA823+AB823+AC823+AD823+AE823+AF823+AG823)/13,2))))</f>
        <v/>
      </c>
      <c r="S823" s="3">
        <f>IF(B823="","",IF(R823&gt;=5,"A+",IF(R823&gt;=4,"A",IF(R823&gt;=3.5,"A-",IF(R823&gt;=3,"B",IF(R823&gt;=2,"C",IF(R823&gt;=1,"D","F")))))))</f>
        <v/>
      </c>
      <c r="T823" s="3">
        <f>IF(OR(B823="",S823="F"),"",COUNTIFS(P:P,"&gt;"&amp;P823,S:S,"&lt;&gt;F")+1)</f>
        <v/>
      </c>
      <c r="U823">
        <f>IF(B823="","",IF(C823&lt;33.0,0,IF(C823&gt;=100*0.8,5,IF(C823&gt;=100*0.7,4,IF(C823&gt;=100*0.6,3.5,IF(C823&gt;=100*0.5,3,IF(C823&gt;=100*0.4,2,IF(C823&gt;=100*0.33,1,0))))))))</f>
        <v/>
      </c>
      <c r="V823">
        <f>IF(B823="","",IF(D823&lt;33.0,0,IF(D823&gt;=100*0.8,5,IF(D823&gt;=100*0.7,4,IF(D823&gt;=100*0.6,3.5,IF(D823&gt;=100*0.5,3,IF(D823&gt;=100*0.4,2,IF(D823&gt;=100*0.33,1,0))))))))</f>
        <v/>
      </c>
      <c r="W823">
        <f>IF(B823="","",IF(E823&lt;16.5,0,IF(E823&gt;=50*0.8,5,IF(E823&gt;=50*0.7,4,IF(E823&gt;=50*0.6,3.5,IF(E823&gt;=50*0.5,3,IF(E823&gt;=50*0.4,2,IF(E823&gt;=50*0.33,1,0))))))))</f>
        <v/>
      </c>
      <c r="X823">
        <f>IF(B823="","",IF(F823&lt;33.0,0,IF(F823&gt;=100*0.8,5,IF(F823&gt;=100*0.7,4,IF(F823&gt;=100*0.6,3.5,IF(F823&gt;=100*0.5,3,IF(F823&gt;=100*0.4,2,IF(F823&gt;=100*0.33,1,0))))))))</f>
        <v/>
      </c>
      <c r="Y823">
        <f>IF(B823="","",IF(G823&lt;16.5,0,IF(G823&gt;=50*0.8,5,IF(G823&gt;=50*0.7,4,IF(G823&gt;=50*0.6,3.5,IF(G823&gt;=50*0.5,3,IF(G823&gt;=50*0.4,2,IF(G823&gt;=50*0.33,1,0))))))))</f>
        <v/>
      </c>
      <c r="Z823">
        <f>IF(B823="","",IF(H823&lt;33.0,0,IF(H823&gt;=100*0.8,5,IF(H823&gt;=100*0.7,4,IF(H823&gt;=100*0.6,3.5,IF(H823&gt;=100*0.5,3,IF(H823&gt;=100*0.4,2,IF(H823&gt;=100*0.33,1,0))))))))</f>
        <v/>
      </c>
      <c r="AA823">
        <f>IF(B823="","",IF(I823&lt;33.0,0,IF(I823&gt;=100*0.8,5,IF(I823&gt;=100*0.7,4,IF(I823&gt;=100*0.6,3.5,IF(I823&gt;=100*0.5,3,IF(I823&gt;=100*0.4,2,IF(I823&gt;=100*0.33,1,0))))))))</f>
        <v/>
      </c>
      <c r="AB823">
        <f>IF(B823="","",IF(J823&lt;33.0,0,IF(J823&gt;=100*0.8,5,IF(J823&gt;=100*0.7,4,IF(J823&gt;=100*0.6,3.5,IF(J823&gt;=100*0.5,3,IF(J823&gt;=100*0.4,2,IF(J823&gt;=100*0.33,1,0))))))))</f>
        <v/>
      </c>
      <c r="AC823">
        <f>IF(B823="","",IF(K823&lt;33.0,0,IF(K823&gt;=100*0.8,5,IF(K823&gt;=100*0.7,4,IF(K823&gt;=100*0.6,3.5,IF(K823&gt;=100*0.5,3,IF(K823&gt;=100*0.4,2,IF(K823&gt;=100*0.33,1,0))))))))</f>
        <v/>
      </c>
      <c r="AD823">
        <f>IF(B823="","",IF(L823&lt;33.0,0,IF(L823&gt;=100*0.8,5,IF(L823&gt;=100*0.7,4,IF(L823&gt;=100*0.6,3.5,IF(L823&gt;=100*0.5,3,IF(L823&gt;=100*0.4,2,IF(L823&gt;=100*0.33,1,0))))))))</f>
        <v/>
      </c>
      <c r="AE823">
        <f>IF(B823="","",IF(M823&lt;33.0,0,IF(M823&gt;=100*0.8,5,IF(M823&gt;=100*0.7,4,IF(M823&gt;=100*0.6,3.5,IF(M823&gt;=100*0.5,3,IF(M823&gt;=100*0.4,2,IF(M823&gt;=100*0.33,1,0))))))))</f>
        <v/>
      </c>
      <c r="AF823">
        <f>IF(B823="","",IF(N823&lt;16.5,0,IF(N823&gt;=50*0.8,5,IF(N823&gt;=50*0.7,4,IF(N823&gt;=50*0.6,3.5,IF(N823&gt;=50*0.5,3,IF(N823&gt;=50*0.4,2,IF(N823&gt;=50*0.33,1,0))))))))</f>
        <v/>
      </c>
      <c r="AG823">
        <f>IF(B823="","",IF(O823&lt;33.0,0,IF(O823&gt;=100*0.8,5,IF(O823&gt;=100*0.7,4,IF(O823&gt;=100*0.6,3.5,IF(O823&gt;=100*0.5,3,IF(O823&gt;=100*0.4,2,IF(O823&gt;=100*0.33,1,0))))))))</f>
        <v/>
      </c>
      <c r="AH823">
        <f>IF(B823="","",IF(OR(U823=0,V823=0,W823=0,X823=0,Y823=0,Z823=0,AA823=0,AB823=0,AC823=0,AD823=0,AE823=0,AF823=0,AG823=0),1,0))</f>
        <v/>
      </c>
    </row>
    <row r="824">
      <c r="A824" s="3">
        <f>IF(B824="","",ROW()-2)</f>
        <v/>
      </c>
      <c r="P824" s="4">
        <f>IF(B824="","",SUM(C824:O824))</f>
        <v/>
      </c>
      <c r="Q824" s="5">
        <f>IF(B824="","",ROUND(P824/13,2))</f>
        <v/>
      </c>
      <c r="R824" s="5">
        <f>IF(B824="","",IF(AH824=1,0,MIN(5,ROUND((U824+V824+W824+X824+Y824+Z824+AA824+AB824+AC824+AD824+AE824+AF824+AG824)/13,2))))</f>
        <v/>
      </c>
      <c r="S824" s="3">
        <f>IF(B824="","",IF(R824&gt;=5,"A+",IF(R824&gt;=4,"A",IF(R824&gt;=3.5,"A-",IF(R824&gt;=3,"B",IF(R824&gt;=2,"C",IF(R824&gt;=1,"D","F")))))))</f>
        <v/>
      </c>
      <c r="T824" s="3">
        <f>IF(OR(B824="",S824="F"),"",COUNTIFS(P:P,"&gt;"&amp;P824,S:S,"&lt;&gt;F")+1)</f>
        <v/>
      </c>
      <c r="U824">
        <f>IF(B824="","",IF(C824&lt;33.0,0,IF(C824&gt;=100*0.8,5,IF(C824&gt;=100*0.7,4,IF(C824&gt;=100*0.6,3.5,IF(C824&gt;=100*0.5,3,IF(C824&gt;=100*0.4,2,IF(C824&gt;=100*0.33,1,0))))))))</f>
        <v/>
      </c>
      <c r="V824">
        <f>IF(B824="","",IF(D824&lt;33.0,0,IF(D824&gt;=100*0.8,5,IF(D824&gt;=100*0.7,4,IF(D824&gt;=100*0.6,3.5,IF(D824&gt;=100*0.5,3,IF(D824&gt;=100*0.4,2,IF(D824&gt;=100*0.33,1,0))))))))</f>
        <v/>
      </c>
      <c r="W824">
        <f>IF(B824="","",IF(E824&lt;16.5,0,IF(E824&gt;=50*0.8,5,IF(E824&gt;=50*0.7,4,IF(E824&gt;=50*0.6,3.5,IF(E824&gt;=50*0.5,3,IF(E824&gt;=50*0.4,2,IF(E824&gt;=50*0.33,1,0))))))))</f>
        <v/>
      </c>
      <c r="X824">
        <f>IF(B824="","",IF(F824&lt;33.0,0,IF(F824&gt;=100*0.8,5,IF(F824&gt;=100*0.7,4,IF(F824&gt;=100*0.6,3.5,IF(F824&gt;=100*0.5,3,IF(F824&gt;=100*0.4,2,IF(F824&gt;=100*0.33,1,0))))))))</f>
        <v/>
      </c>
      <c r="Y824">
        <f>IF(B824="","",IF(G824&lt;16.5,0,IF(G824&gt;=50*0.8,5,IF(G824&gt;=50*0.7,4,IF(G824&gt;=50*0.6,3.5,IF(G824&gt;=50*0.5,3,IF(G824&gt;=50*0.4,2,IF(G824&gt;=50*0.33,1,0))))))))</f>
        <v/>
      </c>
      <c r="Z824">
        <f>IF(B824="","",IF(H824&lt;33.0,0,IF(H824&gt;=100*0.8,5,IF(H824&gt;=100*0.7,4,IF(H824&gt;=100*0.6,3.5,IF(H824&gt;=100*0.5,3,IF(H824&gt;=100*0.4,2,IF(H824&gt;=100*0.33,1,0))))))))</f>
        <v/>
      </c>
      <c r="AA824">
        <f>IF(B824="","",IF(I824&lt;33.0,0,IF(I824&gt;=100*0.8,5,IF(I824&gt;=100*0.7,4,IF(I824&gt;=100*0.6,3.5,IF(I824&gt;=100*0.5,3,IF(I824&gt;=100*0.4,2,IF(I824&gt;=100*0.33,1,0))))))))</f>
        <v/>
      </c>
      <c r="AB824">
        <f>IF(B824="","",IF(J824&lt;33.0,0,IF(J824&gt;=100*0.8,5,IF(J824&gt;=100*0.7,4,IF(J824&gt;=100*0.6,3.5,IF(J824&gt;=100*0.5,3,IF(J824&gt;=100*0.4,2,IF(J824&gt;=100*0.33,1,0))))))))</f>
        <v/>
      </c>
      <c r="AC824">
        <f>IF(B824="","",IF(K824&lt;33.0,0,IF(K824&gt;=100*0.8,5,IF(K824&gt;=100*0.7,4,IF(K824&gt;=100*0.6,3.5,IF(K824&gt;=100*0.5,3,IF(K824&gt;=100*0.4,2,IF(K824&gt;=100*0.33,1,0))))))))</f>
        <v/>
      </c>
      <c r="AD824">
        <f>IF(B824="","",IF(L824&lt;33.0,0,IF(L824&gt;=100*0.8,5,IF(L824&gt;=100*0.7,4,IF(L824&gt;=100*0.6,3.5,IF(L824&gt;=100*0.5,3,IF(L824&gt;=100*0.4,2,IF(L824&gt;=100*0.33,1,0))))))))</f>
        <v/>
      </c>
      <c r="AE824">
        <f>IF(B824="","",IF(M824&lt;33.0,0,IF(M824&gt;=100*0.8,5,IF(M824&gt;=100*0.7,4,IF(M824&gt;=100*0.6,3.5,IF(M824&gt;=100*0.5,3,IF(M824&gt;=100*0.4,2,IF(M824&gt;=100*0.33,1,0))))))))</f>
        <v/>
      </c>
      <c r="AF824">
        <f>IF(B824="","",IF(N824&lt;16.5,0,IF(N824&gt;=50*0.8,5,IF(N824&gt;=50*0.7,4,IF(N824&gt;=50*0.6,3.5,IF(N824&gt;=50*0.5,3,IF(N824&gt;=50*0.4,2,IF(N824&gt;=50*0.33,1,0))))))))</f>
        <v/>
      </c>
      <c r="AG824">
        <f>IF(B824="","",IF(O824&lt;33.0,0,IF(O824&gt;=100*0.8,5,IF(O824&gt;=100*0.7,4,IF(O824&gt;=100*0.6,3.5,IF(O824&gt;=100*0.5,3,IF(O824&gt;=100*0.4,2,IF(O824&gt;=100*0.33,1,0))))))))</f>
        <v/>
      </c>
      <c r="AH824">
        <f>IF(B824="","",IF(OR(U824=0,V824=0,W824=0,X824=0,Y824=0,Z824=0,AA824=0,AB824=0,AC824=0,AD824=0,AE824=0,AF824=0,AG824=0),1,0))</f>
        <v/>
      </c>
    </row>
    <row r="825">
      <c r="A825" s="3">
        <f>IF(B825="","",ROW()-2)</f>
        <v/>
      </c>
      <c r="P825" s="4">
        <f>IF(B825="","",SUM(C825:O825))</f>
        <v/>
      </c>
      <c r="Q825" s="5">
        <f>IF(B825="","",ROUND(P825/13,2))</f>
        <v/>
      </c>
      <c r="R825" s="5">
        <f>IF(B825="","",IF(AH825=1,0,MIN(5,ROUND((U825+V825+W825+X825+Y825+Z825+AA825+AB825+AC825+AD825+AE825+AF825+AG825)/13,2))))</f>
        <v/>
      </c>
      <c r="S825" s="3">
        <f>IF(B825="","",IF(R825&gt;=5,"A+",IF(R825&gt;=4,"A",IF(R825&gt;=3.5,"A-",IF(R825&gt;=3,"B",IF(R825&gt;=2,"C",IF(R825&gt;=1,"D","F")))))))</f>
        <v/>
      </c>
      <c r="T825" s="3">
        <f>IF(OR(B825="",S825="F"),"",COUNTIFS(P:P,"&gt;"&amp;P825,S:S,"&lt;&gt;F")+1)</f>
        <v/>
      </c>
      <c r="U825">
        <f>IF(B825="","",IF(C825&lt;33.0,0,IF(C825&gt;=100*0.8,5,IF(C825&gt;=100*0.7,4,IF(C825&gt;=100*0.6,3.5,IF(C825&gt;=100*0.5,3,IF(C825&gt;=100*0.4,2,IF(C825&gt;=100*0.33,1,0))))))))</f>
        <v/>
      </c>
      <c r="V825">
        <f>IF(B825="","",IF(D825&lt;33.0,0,IF(D825&gt;=100*0.8,5,IF(D825&gt;=100*0.7,4,IF(D825&gt;=100*0.6,3.5,IF(D825&gt;=100*0.5,3,IF(D825&gt;=100*0.4,2,IF(D825&gt;=100*0.33,1,0))))))))</f>
        <v/>
      </c>
      <c r="W825">
        <f>IF(B825="","",IF(E825&lt;16.5,0,IF(E825&gt;=50*0.8,5,IF(E825&gt;=50*0.7,4,IF(E825&gt;=50*0.6,3.5,IF(E825&gt;=50*0.5,3,IF(E825&gt;=50*0.4,2,IF(E825&gt;=50*0.33,1,0))))))))</f>
        <v/>
      </c>
      <c r="X825">
        <f>IF(B825="","",IF(F825&lt;33.0,0,IF(F825&gt;=100*0.8,5,IF(F825&gt;=100*0.7,4,IF(F825&gt;=100*0.6,3.5,IF(F825&gt;=100*0.5,3,IF(F825&gt;=100*0.4,2,IF(F825&gt;=100*0.33,1,0))))))))</f>
        <v/>
      </c>
      <c r="Y825">
        <f>IF(B825="","",IF(G825&lt;16.5,0,IF(G825&gt;=50*0.8,5,IF(G825&gt;=50*0.7,4,IF(G825&gt;=50*0.6,3.5,IF(G825&gt;=50*0.5,3,IF(G825&gt;=50*0.4,2,IF(G825&gt;=50*0.33,1,0))))))))</f>
        <v/>
      </c>
      <c r="Z825">
        <f>IF(B825="","",IF(H825&lt;33.0,0,IF(H825&gt;=100*0.8,5,IF(H825&gt;=100*0.7,4,IF(H825&gt;=100*0.6,3.5,IF(H825&gt;=100*0.5,3,IF(H825&gt;=100*0.4,2,IF(H825&gt;=100*0.33,1,0))))))))</f>
        <v/>
      </c>
      <c r="AA825">
        <f>IF(B825="","",IF(I825&lt;33.0,0,IF(I825&gt;=100*0.8,5,IF(I825&gt;=100*0.7,4,IF(I825&gt;=100*0.6,3.5,IF(I825&gt;=100*0.5,3,IF(I825&gt;=100*0.4,2,IF(I825&gt;=100*0.33,1,0))))))))</f>
        <v/>
      </c>
      <c r="AB825">
        <f>IF(B825="","",IF(J825&lt;33.0,0,IF(J825&gt;=100*0.8,5,IF(J825&gt;=100*0.7,4,IF(J825&gt;=100*0.6,3.5,IF(J825&gt;=100*0.5,3,IF(J825&gt;=100*0.4,2,IF(J825&gt;=100*0.33,1,0))))))))</f>
        <v/>
      </c>
      <c r="AC825">
        <f>IF(B825="","",IF(K825&lt;33.0,0,IF(K825&gt;=100*0.8,5,IF(K825&gt;=100*0.7,4,IF(K825&gt;=100*0.6,3.5,IF(K825&gt;=100*0.5,3,IF(K825&gt;=100*0.4,2,IF(K825&gt;=100*0.33,1,0))))))))</f>
        <v/>
      </c>
      <c r="AD825">
        <f>IF(B825="","",IF(L825&lt;33.0,0,IF(L825&gt;=100*0.8,5,IF(L825&gt;=100*0.7,4,IF(L825&gt;=100*0.6,3.5,IF(L825&gt;=100*0.5,3,IF(L825&gt;=100*0.4,2,IF(L825&gt;=100*0.33,1,0))))))))</f>
        <v/>
      </c>
      <c r="AE825">
        <f>IF(B825="","",IF(M825&lt;33.0,0,IF(M825&gt;=100*0.8,5,IF(M825&gt;=100*0.7,4,IF(M825&gt;=100*0.6,3.5,IF(M825&gt;=100*0.5,3,IF(M825&gt;=100*0.4,2,IF(M825&gt;=100*0.33,1,0))))))))</f>
        <v/>
      </c>
      <c r="AF825">
        <f>IF(B825="","",IF(N825&lt;16.5,0,IF(N825&gt;=50*0.8,5,IF(N825&gt;=50*0.7,4,IF(N825&gt;=50*0.6,3.5,IF(N825&gt;=50*0.5,3,IF(N825&gt;=50*0.4,2,IF(N825&gt;=50*0.33,1,0))))))))</f>
        <v/>
      </c>
      <c r="AG825">
        <f>IF(B825="","",IF(O825&lt;33.0,0,IF(O825&gt;=100*0.8,5,IF(O825&gt;=100*0.7,4,IF(O825&gt;=100*0.6,3.5,IF(O825&gt;=100*0.5,3,IF(O825&gt;=100*0.4,2,IF(O825&gt;=100*0.33,1,0))))))))</f>
        <v/>
      </c>
      <c r="AH825">
        <f>IF(B825="","",IF(OR(U825=0,V825=0,W825=0,X825=0,Y825=0,Z825=0,AA825=0,AB825=0,AC825=0,AD825=0,AE825=0,AF825=0,AG825=0),1,0))</f>
        <v/>
      </c>
    </row>
    <row r="826">
      <c r="A826" s="3">
        <f>IF(B826="","",ROW()-2)</f>
        <v/>
      </c>
      <c r="P826" s="4">
        <f>IF(B826="","",SUM(C826:O826))</f>
        <v/>
      </c>
      <c r="Q826" s="5">
        <f>IF(B826="","",ROUND(P826/13,2))</f>
        <v/>
      </c>
      <c r="R826" s="5">
        <f>IF(B826="","",IF(AH826=1,0,MIN(5,ROUND((U826+V826+W826+X826+Y826+Z826+AA826+AB826+AC826+AD826+AE826+AF826+AG826)/13,2))))</f>
        <v/>
      </c>
      <c r="S826" s="3">
        <f>IF(B826="","",IF(R826&gt;=5,"A+",IF(R826&gt;=4,"A",IF(R826&gt;=3.5,"A-",IF(R826&gt;=3,"B",IF(R826&gt;=2,"C",IF(R826&gt;=1,"D","F")))))))</f>
        <v/>
      </c>
      <c r="T826" s="3">
        <f>IF(OR(B826="",S826="F"),"",COUNTIFS(P:P,"&gt;"&amp;P826,S:S,"&lt;&gt;F")+1)</f>
        <v/>
      </c>
      <c r="U826">
        <f>IF(B826="","",IF(C826&lt;33.0,0,IF(C826&gt;=100*0.8,5,IF(C826&gt;=100*0.7,4,IF(C826&gt;=100*0.6,3.5,IF(C826&gt;=100*0.5,3,IF(C826&gt;=100*0.4,2,IF(C826&gt;=100*0.33,1,0))))))))</f>
        <v/>
      </c>
      <c r="V826">
        <f>IF(B826="","",IF(D826&lt;33.0,0,IF(D826&gt;=100*0.8,5,IF(D826&gt;=100*0.7,4,IF(D826&gt;=100*0.6,3.5,IF(D826&gt;=100*0.5,3,IF(D826&gt;=100*0.4,2,IF(D826&gt;=100*0.33,1,0))))))))</f>
        <v/>
      </c>
      <c r="W826">
        <f>IF(B826="","",IF(E826&lt;16.5,0,IF(E826&gt;=50*0.8,5,IF(E826&gt;=50*0.7,4,IF(E826&gt;=50*0.6,3.5,IF(E826&gt;=50*0.5,3,IF(E826&gt;=50*0.4,2,IF(E826&gt;=50*0.33,1,0))))))))</f>
        <v/>
      </c>
      <c r="X826">
        <f>IF(B826="","",IF(F826&lt;33.0,0,IF(F826&gt;=100*0.8,5,IF(F826&gt;=100*0.7,4,IF(F826&gt;=100*0.6,3.5,IF(F826&gt;=100*0.5,3,IF(F826&gt;=100*0.4,2,IF(F826&gt;=100*0.33,1,0))))))))</f>
        <v/>
      </c>
      <c r="Y826">
        <f>IF(B826="","",IF(G826&lt;16.5,0,IF(G826&gt;=50*0.8,5,IF(G826&gt;=50*0.7,4,IF(G826&gt;=50*0.6,3.5,IF(G826&gt;=50*0.5,3,IF(G826&gt;=50*0.4,2,IF(G826&gt;=50*0.33,1,0))))))))</f>
        <v/>
      </c>
      <c r="Z826">
        <f>IF(B826="","",IF(H826&lt;33.0,0,IF(H826&gt;=100*0.8,5,IF(H826&gt;=100*0.7,4,IF(H826&gt;=100*0.6,3.5,IF(H826&gt;=100*0.5,3,IF(H826&gt;=100*0.4,2,IF(H826&gt;=100*0.33,1,0))))))))</f>
        <v/>
      </c>
      <c r="AA826">
        <f>IF(B826="","",IF(I826&lt;33.0,0,IF(I826&gt;=100*0.8,5,IF(I826&gt;=100*0.7,4,IF(I826&gt;=100*0.6,3.5,IF(I826&gt;=100*0.5,3,IF(I826&gt;=100*0.4,2,IF(I826&gt;=100*0.33,1,0))))))))</f>
        <v/>
      </c>
      <c r="AB826">
        <f>IF(B826="","",IF(J826&lt;33.0,0,IF(J826&gt;=100*0.8,5,IF(J826&gt;=100*0.7,4,IF(J826&gt;=100*0.6,3.5,IF(J826&gt;=100*0.5,3,IF(J826&gt;=100*0.4,2,IF(J826&gt;=100*0.33,1,0))))))))</f>
        <v/>
      </c>
      <c r="AC826">
        <f>IF(B826="","",IF(K826&lt;33.0,0,IF(K826&gt;=100*0.8,5,IF(K826&gt;=100*0.7,4,IF(K826&gt;=100*0.6,3.5,IF(K826&gt;=100*0.5,3,IF(K826&gt;=100*0.4,2,IF(K826&gt;=100*0.33,1,0))))))))</f>
        <v/>
      </c>
      <c r="AD826">
        <f>IF(B826="","",IF(L826&lt;33.0,0,IF(L826&gt;=100*0.8,5,IF(L826&gt;=100*0.7,4,IF(L826&gt;=100*0.6,3.5,IF(L826&gt;=100*0.5,3,IF(L826&gt;=100*0.4,2,IF(L826&gt;=100*0.33,1,0))))))))</f>
        <v/>
      </c>
      <c r="AE826">
        <f>IF(B826="","",IF(M826&lt;33.0,0,IF(M826&gt;=100*0.8,5,IF(M826&gt;=100*0.7,4,IF(M826&gt;=100*0.6,3.5,IF(M826&gt;=100*0.5,3,IF(M826&gt;=100*0.4,2,IF(M826&gt;=100*0.33,1,0))))))))</f>
        <v/>
      </c>
      <c r="AF826">
        <f>IF(B826="","",IF(N826&lt;16.5,0,IF(N826&gt;=50*0.8,5,IF(N826&gt;=50*0.7,4,IF(N826&gt;=50*0.6,3.5,IF(N826&gt;=50*0.5,3,IF(N826&gt;=50*0.4,2,IF(N826&gt;=50*0.33,1,0))))))))</f>
        <v/>
      </c>
      <c r="AG826">
        <f>IF(B826="","",IF(O826&lt;33.0,0,IF(O826&gt;=100*0.8,5,IF(O826&gt;=100*0.7,4,IF(O826&gt;=100*0.6,3.5,IF(O826&gt;=100*0.5,3,IF(O826&gt;=100*0.4,2,IF(O826&gt;=100*0.33,1,0))))))))</f>
        <v/>
      </c>
      <c r="AH826">
        <f>IF(B826="","",IF(OR(U826=0,V826=0,W826=0,X826=0,Y826=0,Z826=0,AA826=0,AB826=0,AC826=0,AD826=0,AE826=0,AF826=0,AG826=0),1,0))</f>
        <v/>
      </c>
    </row>
    <row r="827">
      <c r="A827" s="3">
        <f>IF(B827="","",ROW()-2)</f>
        <v/>
      </c>
      <c r="P827" s="4">
        <f>IF(B827="","",SUM(C827:O827))</f>
        <v/>
      </c>
      <c r="Q827" s="5">
        <f>IF(B827="","",ROUND(P827/13,2))</f>
        <v/>
      </c>
      <c r="R827" s="5">
        <f>IF(B827="","",IF(AH827=1,0,MIN(5,ROUND((U827+V827+W827+X827+Y827+Z827+AA827+AB827+AC827+AD827+AE827+AF827+AG827)/13,2))))</f>
        <v/>
      </c>
      <c r="S827" s="3">
        <f>IF(B827="","",IF(R827&gt;=5,"A+",IF(R827&gt;=4,"A",IF(R827&gt;=3.5,"A-",IF(R827&gt;=3,"B",IF(R827&gt;=2,"C",IF(R827&gt;=1,"D","F")))))))</f>
        <v/>
      </c>
      <c r="T827" s="3">
        <f>IF(OR(B827="",S827="F"),"",COUNTIFS(P:P,"&gt;"&amp;P827,S:S,"&lt;&gt;F")+1)</f>
        <v/>
      </c>
      <c r="U827">
        <f>IF(B827="","",IF(C827&lt;33.0,0,IF(C827&gt;=100*0.8,5,IF(C827&gt;=100*0.7,4,IF(C827&gt;=100*0.6,3.5,IF(C827&gt;=100*0.5,3,IF(C827&gt;=100*0.4,2,IF(C827&gt;=100*0.33,1,0))))))))</f>
        <v/>
      </c>
      <c r="V827">
        <f>IF(B827="","",IF(D827&lt;33.0,0,IF(D827&gt;=100*0.8,5,IF(D827&gt;=100*0.7,4,IF(D827&gt;=100*0.6,3.5,IF(D827&gt;=100*0.5,3,IF(D827&gt;=100*0.4,2,IF(D827&gt;=100*0.33,1,0))))))))</f>
        <v/>
      </c>
      <c r="W827">
        <f>IF(B827="","",IF(E827&lt;16.5,0,IF(E827&gt;=50*0.8,5,IF(E827&gt;=50*0.7,4,IF(E827&gt;=50*0.6,3.5,IF(E827&gt;=50*0.5,3,IF(E827&gt;=50*0.4,2,IF(E827&gt;=50*0.33,1,0))))))))</f>
        <v/>
      </c>
      <c r="X827">
        <f>IF(B827="","",IF(F827&lt;33.0,0,IF(F827&gt;=100*0.8,5,IF(F827&gt;=100*0.7,4,IF(F827&gt;=100*0.6,3.5,IF(F827&gt;=100*0.5,3,IF(F827&gt;=100*0.4,2,IF(F827&gt;=100*0.33,1,0))))))))</f>
        <v/>
      </c>
      <c r="Y827">
        <f>IF(B827="","",IF(G827&lt;16.5,0,IF(G827&gt;=50*0.8,5,IF(G827&gt;=50*0.7,4,IF(G827&gt;=50*0.6,3.5,IF(G827&gt;=50*0.5,3,IF(G827&gt;=50*0.4,2,IF(G827&gt;=50*0.33,1,0))))))))</f>
        <v/>
      </c>
      <c r="Z827">
        <f>IF(B827="","",IF(H827&lt;33.0,0,IF(H827&gt;=100*0.8,5,IF(H827&gt;=100*0.7,4,IF(H827&gt;=100*0.6,3.5,IF(H827&gt;=100*0.5,3,IF(H827&gt;=100*0.4,2,IF(H827&gt;=100*0.33,1,0))))))))</f>
        <v/>
      </c>
      <c r="AA827">
        <f>IF(B827="","",IF(I827&lt;33.0,0,IF(I827&gt;=100*0.8,5,IF(I827&gt;=100*0.7,4,IF(I827&gt;=100*0.6,3.5,IF(I827&gt;=100*0.5,3,IF(I827&gt;=100*0.4,2,IF(I827&gt;=100*0.33,1,0))))))))</f>
        <v/>
      </c>
      <c r="AB827">
        <f>IF(B827="","",IF(J827&lt;33.0,0,IF(J827&gt;=100*0.8,5,IF(J827&gt;=100*0.7,4,IF(J827&gt;=100*0.6,3.5,IF(J827&gt;=100*0.5,3,IF(J827&gt;=100*0.4,2,IF(J827&gt;=100*0.33,1,0))))))))</f>
        <v/>
      </c>
      <c r="AC827">
        <f>IF(B827="","",IF(K827&lt;33.0,0,IF(K827&gt;=100*0.8,5,IF(K827&gt;=100*0.7,4,IF(K827&gt;=100*0.6,3.5,IF(K827&gt;=100*0.5,3,IF(K827&gt;=100*0.4,2,IF(K827&gt;=100*0.33,1,0))))))))</f>
        <v/>
      </c>
      <c r="AD827">
        <f>IF(B827="","",IF(L827&lt;33.0,0,IF(L827&gt;=100*0.8,5,IF(L827&gt;=100*0.7,4,IF(L827&gt;=100*0.6,3.5,IF(L827&gt;=100*0.5,3,IF(L827&gt;=100*0.4,2,IF(L827&gt;=100*0.33,1,0))))))))</f>
        <v/>
      </c>
      <c r="AE827">
        <f>IF(B827="","",IF(M827&lt;33.0,0,IF(M827&gt;=100*0.8,5,IF(M827&gt;=100*0.7,4,IF(M827&gt;=100*0.6,3.5,IF(M827&gt;=100*0.5,3,IF(M827&gt;=100*0.4,2,IF(M827&gt;=100*0.33,1,0))))))))</f>
        <v/>
      </c>
      <c r="AF827">
        <f>IF(B827="","",IF(N827&lt;16.5,0,IF(N827&gt;=50*0.8,5,IF(N827&gt;=50*0.7,4,IF(N827&gt;=50*0.6,3.5,IF(N827&gt;=50*0.5,3,IF(N827&gt;=50*0.4,2,IF(N827&gt;=50*0.33,1,0))))))))</f>
        <v/>
      </c>
      <c r="AG827">
        <f>IF(B827="","",IF(O827&lt;33.0,0,IF(O827&gt;=100*0.8,5,IF(O827&gt;=100*0.7,4,IF(O827&gt;=100*0.6,3.5,IF(O827&gt;=100*0.5,3,IF(O827&gt;=100*0.4,2,IF(O827&gt;=100*0.33,1,0))))))))</f>
        <v/>
      </c>
      <c r="AH827">
        <f>IF(B827="","",IF(OR(U827=0,V827=0,W827=0,X827=0,Y827=0,Z827=0,AA827=0,AB827=0,AC827=0,AD827=0,AE827=0,AF827=0,AG827=0),1,0))</f>
        <v/>
      </c>
    </row>
    <row r="828">
      <c r="A828" s="3">
        <f>IF(B828="","",ROW()-2)</f>
        <v/>
      </c>
      <c r="P828" s="4">
        <f>IF(B828="","",SUM(C828:O828))</f>
        <v/>
      </c>
      <c r="Q828" s="5">
        <f>IF(B828="","",ROUND(P828/13,2))</f>
        <v/>
      </c>
      <c r="R828" s="5">
        <f>IF(B828="","",IF(AH828=1,0,MIN(5,ROUND((U828+V828+W828+X828+Y828+Z828+AA828+AB828+AC828+AD828+AE828+AF828+AG828)/13,2))))</f>
        <v/>
      </c>
      <c r="S828" s="3">
        <f>IF(B828="","",IF(R828&gt;=5,"A+",IF(R828&gt;=4,"A",IF(R828&gt;=3.5,"A-",IF(R828&gt;=3,"B",IF(R828&gt;=2,"C",IF(R828&gt;=1,"D","F")))))))</f>
        <v/>
      </c>
      <c r="T828" s="3">
        <f>IF(OR(B828="",S828="F"),"",COUNTIFS(P:P,"&gt;"&amp;P828,S:S,"&lt;&gt;F")+1)</f>
        <v/>
      </c>
      <c r="U828">
        <f>IF(B828="","",IF(C828&lt;33.0,0,IF(C828&gt;=100*0.8,5,IF(C828&gt;=100*0.7,4,IF(C828&gt;=100*0.6,3.5,IF(C828&gt;=100*0.5,3,IF(C828&gt;=100*0.4,2,IF(C828&gt;=100*0.33,1,0))))))))</f>
        <v/>
      </c>
      <c r="V828">
        <f>IF(B828="","",IF(D828&lt;33.0,0,IF(D828&gt;=100*0.8,5,IF(D828&gt;=100*0.7,4,IF(D828&gt;=100*0.6,3.5,IF(D828&gt;=100*0.5,3,IF(D828&gt;=100*0.4,2,IF(D828&gt;=100*0.33,1,0))))))))</f>
        <v/>
      </c>
      <c r="W828">
        <f>IF(B828="","",IF(E828&lt;16.5,0,IF(E828&gt;=50*0.8,5,IF(E828&gt;=50*0.7,4,IF(E828&gt;=50*0.6,3.5,IF(E828&gt;=50*0.5,3,IF(E828&gt;=50*0.4,2,IF(E828&gt;=50*0.33,1,0))))))))</f>
        <v/>
      </c>
      <c r="X828">
        <f>IF(B828="","",IF(F828&lt;33.0,0,IF(F828&gt;=100*0.8,5,IF(F828&gt;=100*0.7,4,IF(F828&gt;=100*0.6,3.5,IF(F828&gt;=100*0.5,3,IF(F828&gt;=100*0.4,2,IF(F828&gt;=100*0.33,1,0))))))))</f>
        <v/>
      </c>
      <c r="Y828">
        <f>IF(B828="","",IF(G828&lt;16.5,0,IF(G828&gt;=50*0.8,5,IF(G828&gt;=50*0.7,4,IF(G828&gt;=50*0.6,3.5,IF(G828&gt;=50*0.5,3,IF(G828&gt;=50*0.4,2,IF(G828&gt;=50*0.33,1,0))))))))</f>
        <v/>
      </c>
      <c r="Z828">
        <f>IF(B828="","",IF(H828&lt;33.0,0,IF(H828&gt;=100*0.8,5,IF(H828&gt;=100*0.7,4,IF(H828&gt;=100*0.6,3.5,IF(H828&gt;=100*0.5,3,IF(H828&gt;=100*0.4,2,IF(H828&gt;=100*0.33,1,0))))))))</f>
        <v/>
      </c>
      <c r="AA828">
        <f>IF(B828="","",IF(I828&lt;33.0,0,IF(I828&gt;=100*0.8,5,IF(I828&gt;=100*0.7,4,IF(I828&gt;=100*0.6,3.5,IF(I828&gt;=100*0.5,3,IF(I828&gt;=100*0.4,2,IF(I828&gt;=100*0.33,1,0))))))))</f>
        <v/>
      </c>
      <c r="AB828">
        <f>IF(B828="","",IF(J828&lt;33.0,0,IF(J828&gt;=100*0.8,5,IF(J828&gt;=100*0.7,4,IF(J828&gt;=100*0.6,3.5,IF(J828&gt;=100*0.5,3,IF(J828&gt;=100*0.4,2,IF(J828&gt;=100*0.33,1,0))))))))</f>
        <v/>
      </c>
      <c r="AC828">
        <f>IF(B828="","",IF(K828&lt;33.0,0,IF(K828&gt;=100*0.8,5,IF(K828&gt;=100*0.7,4,IF(K828&gt;=100*0.6,3.5,IF(K828&gt;=100*0.5,3,IF(K828&gt;=100*0.4,2,IF(K828&gt;=100*0.33,1,0))))))))</f>
        <v/>
      </c>
      <c r="AD828">
        <f>IF(B828="","",IF(L828&lt;33.0,0,IF(L828&gt;=100*0.8,5,IF(L828&gt;=100*0.7,4,IF(L828&gt;=100*0.6,3.5,IF(L828&gt;=100*0.5,3,IF(L828&gt;=100*0.4,2,IF(L828&gt;=100*0.33,1,0))))))))</f>
        <v/>
      </c>
      <c r="AE828">
        <f>IF(B828="","",IF(M828&lt;33.0,0,IF(M828&gt;=100*0.8,5,IF(M828&gt;=100*0.7,4,IF(M828&gt;=100*0.6,3.5,IF(M828&gt;=100*0.5,3,IF(M828&gt;=100*0.4,2,IF(M828&gt;=100*0.33,1,0))))))))</f>
        <v/>
      </c>
      <c r="AF828">
        <f>IF(B828="","",IF(N828&lt;16.5,0,IF(N828&gt;=50*0.8,5,IF(N828&gt;=50*0.7,4,IF(N828&gt;=50*0.6,3.5,IF(N828&gt;=50*0.5,3,IF(N828&gt;=50*0.4,2,IF(N828&gt;=50*0.33,1,0))))))))</f>
        <v/>
      </c>
      <c r="AG828">
        <f>IF(B828="","",IF(O828&lt;33.0,0,IF(O828&gt;=100*0.8,5,IF(O828&gt;=100*0.7,4,IF(O828&gt;=100*0.6,3.5,IF(O828&gt;=100*0.5,3,IF(O828&gt;=100*0.4,2,IF(O828&gt;=100*0.33,1,0))))))))</f>
        <v/>
      </c>
      <c r="AH828">
        <f>IF(B828="","",IF(OR(U828=0,V828=0,W828=0,X828=0,Y828=0,Z828=0,AA828=0,AB828=0,AC828=0,AD828=0,AE828=0,AF828=0,AG828=0),1,0))</f>
        <v/>
      </c>
    </row>
    <row r="829">
      <c r="A829" s="3">
        <f>IF(B829="","",ROW()-2)</f>
        <v/>
      </c>
      <c r="P829" s="4">
        <f>IF(B829="","",SUM(C829:O829))</f>
        <v/>
      </c>
      <c r="Q829" s="5">
        <f>IF(B829="","",ROUND(P829/13,2))</f>
        <v/>
      </c>
      <c r="R829" s="5">
        <f>IF(B829="","",IF(AH829=1,0,MIN(5,ROUND((U829+V829+W829+X829+Y829+Z829+AA829+AB829+AC829+AD829+AE829+AF829+AG829)/13,2))))</f>
        <v/>
      </c>
      <c r="S829" s="3">
        <f>IF(B829="","",IF(R829&gt;=5,"A+",IF(R829&gt;=4,"A",IF(R829&gt;=3.5,"A-",IF(R829&gt;=3,"B",IF(R829&gt;=2,"C",IF(R829&gt;=1,"D","F")))))))</f>
        <v/>
      </c>
      <c r="T829" s="3">
        <f>IF(OR(B829="",S829="F"),"",COUNTIFS(P:P,"&gt;"&amp;P829,S:S,"&lt;&gt;F")+1)</f>
        <v/>
      </c>
      <c r="U829">
        <f>IF(B829="","",IF(C829&lt;33.0,0,IF(C829&gt;=100*0.8,5,IF(C829&gt;=100*0.7,4,IF(C829&gt;=100*0.6,3.5,IF(C829&gt;=100*0.5,3,IF(C829&gt;=100*0.4,2,IF(C829&gt;=100*0.33,1,0))))))))</f>
        <v/>
      </c>
      <c r="V829">
        <f>IF(B829="","",IF(D829&lt;33.0,0,IF(D829&gt;=100*0.8,5,IF(D829&gt;=100*0.7,4,IF(D829&gt;=100*0.6,3.5,IF(D829&gt;=100*0.5,3,IF(D829&gt;=100*0.4,2,IF(D829&gt;=100*0.33,1,0))))))))</f>
        <v/>
      </c>
      <c r="W829">
        <f>IF(B829="","",IF(E829&lt;16.5,0,IF(E829&gt;=50*0.8,5,IF(E829&gt;=50*0.7,4,IF(E829&gt;=50*0.6,3.5,IF(E829&gt;=50*0.5,3,IF(E829&gt;=50*0.4,2,IF(E829&gt;=50*0.33,1,0))))))))</f>
        <v/>
      </c>
      <c r="X829">
        <f>IF(B829="","",IF(F829&lt;33.0,0,IF(F829&gt;=100*0.8,5,IF(F829&gt;=100*0.7,4,IF(F829&gt;=100*0.6,3.5,IF(F829&gt;=100*0.5,3,IF(F829&gt;=100*0.4,2,IF(F829&gt;=100*0.33,1,0))))))))</f>
        <v/>
      </c>
      <c r="Y829">
        <f>IF(B829="","",IF(G829&lt;16.5,0,IF(G829&gt;=50*0.8,5,IF(G829&gt;=50*0.7,4,IF(G829&gt;=50*0.6,3.5,IF(G829&gt;=50*0.5,3,IF(G829&gt;=50*0.4,2,IF(G829&gt;=50*0.33,1,0))))))))</f>
        <v/>
      </c>
      <c r="Z829">
        <f>IF(B829="","",IF(H829&lt;33.0,0,IF(H829&gt;=100*0.8,5,IF(H829&gt;=100*0.7,4,IF(H829&gt;=100*0.6,3.5,IF(H829&gt;=100*0.5,3,IF(H829&gt;=100*0.4,2,IF(H829&gt;=100*0.33,1,0))))))))</f>
        <v/>
      </c>
      <c r="AA829">
        <f>IF(B829="","",IF(I829&lt;33.0,0,IF(I829&gt;=100*0.8,5,IF(I829&gt;=100*0.7,4,IF(I829&gt;=100*0.6,3.5,IF(I829&gt;=100*0.5,3,IF(I829&gt;=100*0.4,2,IF(I829&gt;=100*0.33,1,0))))))))</f>
        <v/>
      </c>
      <c r="AB829">
        <f>IF(B829="","",IF(J829&lt;33.0,0,IF(J829&gt;=100*0.8,5,IF(J829&gt;=100*0.7,4,IF(J829&gt;=100*0.6,3.5,IF(J829&gt;=100*0.5,3,IF(J829&gt;=100*0.4,2,IF(J829&gt;=100*0.33,1,0))))))))</f>
        <v/>
      </c>
      <c r="AC829">
        <f>IF(B829="","",IF(K829&lt;33.0,0,IF(K829&gt;=100*0.8,5,IF(K829&gt;=100*0.7,4,IF(K829&gt;=100*0.6,3.5,IF(K829&gt;=100*0.5,3,IF(K829&gt;=100*0.4,2,IF(K829&gt;=100*0.33,1,0))))))))</f>
        <v/>
      </c>
      <c r="AD829">
        <f>IF(B829="","",IF(L829&lt;33.0,0,IF(L829&gt;=100*0.8,5,IF(L829&gt;=100*0.7,4,IF(L829&gt;=100*0.6,3.5,IF(L829&gt;=100*0.5,3,IF(L829&gt;=100*0.4,2,IF(L829&gt;=100*0.33,1,0))))))))</f>
        <v/>
      </c>
      <c r="AE829">
        <f>IF(B829="","",IF(M829&lt;33.0,0,IF(M829&gt;=100*0.8,5,IF(M829&gt;=100*0.7,4,IF(M829&gt;=100*0.6,3.5,IF(M829&gt;=100*0.5,3,IF(M829&gt;=100*0.4,2,IF(M829&gt;=100*0.33,1,0))))))))</f>
        <v/>
      </c>
      <c r="AF829">
        <f>IF(B829="","",IF(N829&lt;16.5,0,IF(N829&gt;=50*0.8,5,IF(N829&gt;=50*0.7,4,IF(N829&gt;=50*0.6,3.5,IF(N829&gt;=50*0.5,3,IF(N829&gt;=50*0.4,2,IF(N829&gt;=50*0.33,1,0))))))))</f>
        <v/>
      </c>
      <c r="AG829">
        <f>IF(B829="","",IF(O829&lt;33.0,0,IF(O829&gt;=100*0.8,5,IF(O829&gt;=100*0.7,4,IF(O829&gt;=100*0.6,3.5,IF(O829&gt;=100*0.5,3,IF(O829&gt;=100*0.4,2,IF(O829&gt;=100*0.33,1,0))))))))</f>
        <v/>
      </c>
      <c r="AH829">
        <f>IF(B829="","",IF(OR(U829=0,V829=0,W829=0,X829=0,Y829=0,Z829=0,AA829=0,AB829=0,AC829=0,AD829=0,AE829=0,AF829=0,AG829=0),1,0))</f>
        <v/>
      </c>
    </row>
    <row r="830">
      <c r="A830" s="3">
        <f>IF(B830="","",ROW()-2)</f>
        <v/>
      </c>
      <c r="P830" s="4">
        <f>IF(B830="","",SUM(C830:O830))</f>
        <v/>
      </c>
      <c r="Q830" s="5">
        <f>IF(B830="","",ROUND(P830/13,2))</f>
        <v/>
      </c>
      <c r="R830" s="5">
        <f>IF(B830="","",IF(AH830=1,0,MIN(5,ROUND((U830+V830+W830+X830+Y830+Z830+AA830+AB830+AC830+AD830+AE830+AF830+AG830)/13,2))))</f>
        <v/>
      </c>
      <c r="S830" s="3">
        <f>IF(B830="","",IF(R830&gt;=5,"A+",IF(R830&gt;=4,"A",IF(R830&gt;=3.5,"A-",IF(R830&gt;=3,"B",IF(R830&gt;=2,"C",IF(R830&gt;=1,"D","F")))))))</f>
        <v/>
      </c>
      <c r="T830" s="3">
        <f>IF(OR(B830="",S830="F"),"",COUNTIFS(P:P,"&gt;"&amp;P830,S:S,"&lt;&gt;F")+1)</f>
        <v/>
      </c>
      <c r="U830">
        <f>IF(B830="","",IF(C830&lt;33.0,0,IF(C830&gt;=100*0.8,5,IF(C830&gt;=100*0.7,4,IF(C830&gt;=100*0.6,3.5,IF(C830&gt;=100*0.5,3,IF(C830&gt;=100*0.4,2,IF(C830&gt;=100*0.33,1,0))))))))</f>
        <v/>
      </c>
      <c r="V830">
        <f>IF(B830="","",IF(D830&lt;33.0,0,IF(D830&gt;=100*0.8,5,IF(D830&gt;=100*0.7,4,IF(D830&gt;=100*0.6,3.5,IF(D830&gt;=100*0.5,3,IF(D830&gt;=100*0.4,2,IF(D830&gt;=100*0.33,1,0))))))))</f>
        <v/>
      </c>
      <c r="W830">
        <f>IF(B830="","",IF(E830&lt;16.5,0,IF(E830&gt;=50*0.8,5,IF(E830&gt;=50*0.7,4,IF(E830&gt;=50*0.6,3.5,IF(E830&gt;=50*0.5,3,IF(E830&gt;=50*0.4,2,IF(E830&gt;=50*0.33,1,0))))))))</f>
        <v/>
      </c>
      <c r="X830">
        <f>IF(B830="","",IF(F830&lt;33.0,0,IF(F830&gt;=100*0.8,5,IF(F830&gt;=100*0.7,4,IF(F830&gt;=100*0.6,3.5,IF(F830&gt;=100*0.5,3,IF(F830&gt;=100*0.4,2,IF(F830&gt;=100*0.33,1,0))))))))</f>
        <v/>
      </c>
      <c r="Y830">
        <f>IF(B830="","",IF(G830&lt;16.5,0,IF(G830&gt;=50*0.8,5,IF(G830&gt;=50*0.7,4,IF(G830&gt;=50*0.6,3.5,IF(G830&gt;=50*0.5,3,IF(G830&gt;=50*0.4,2,IF(G830&gt;=50*0.33,1,0))))))))</f>
        <v/>
      </c>
      <c r="Z830">
        <f>IF(B830="","",IF(H830&lt;33.0,0,IF(H830&gt;=100*0.8,5,IF(H830&gt;=100*0.7,4,IF(H830&gt;=100*0.6,3.5,IF(H830&gt;=100*0.5,3,IF(H830&gt;=100*0.4,2,IF(H830&gt;=100*0.33,1,0))))))))</f>
        <v/>
      </c>
      <c r="AA830">
        <f>IF(B830="","",IF(I830&lt;33.0,0,IF(I830&gt;=100*0.8,5,IF(I830&gt;=100*0.7,4,IF(I830&gt;=100*0.6,3.5,IF(I830&gt;=100*0.5,3,IF(I830&gt;=100*0.4,2,IF(I830&gt;=100*0.33,1,0))))))))</f>
        <v/>
      </c>
      <c r="AB830">
        <f>IF(B830="","",IF(J830&lt;33.0,0,IF(J830&gt;=100*0.8,5,IF(J830&gt;=100*0.7,4,IF(J830&gt;=100*0.6,3.5,IF(J830&gt;=100*0.5,3,IF(J830&gt;=100*0.4,2,IF(J830&gt;=100*0.33,1,0))))))))</f>
        <v/>
      </c>
      <c r="AC830">
        <f>IF(B830="","",IF(K830&lt;33.0,0,IF(K830&gt;=100*0.8,5,IF(K830&gt;=100*0.7,4,IF(K830&gt;=100*0.6,3.5,IF(K830&gt;=100*0.5,3,IF(K830&gt;=100*0.4,2,IF(K830&gt;=100*0.33,1,0))))))))</f>
        <v/>
      </c>
      <c r="AD830">
        <f>IF(B830="","",IF(L830&lt;33.0,0,IF(L830&gt;=100*0.8,5,IF(L830&gt;=100*0.7,4,IF(L830&gt;=100*0.6,3.5,IF(L830&gt;=100*0.5,3,IF(L830&gt;=100*0.4,2,IF(L830&gt;=100*0.33,1,0))))))))</f>
        <v/>
      </c>
      <c r="AE830">
        <f>IF(B830="","",IF(M830&lt;33.0,0,IF(M830&gt;=100*0.8,5,IF(M830&gt;=100*0.7,4,IF(M830&gt;=100*0.6,3.5,IF(M830&gt;=100*0.5,3,IF(M830&gt;=100*0.4,2,IF(M830&gt;=100*0.33,1,0))))))))</f>
        <v/>
      </c>
      <c r="AF830">
        <f>IF(B830="","",IF(N830&lt;16.5,0,IF(N830&gt;=50*0.8,5,IF(N830&gt;=50*0.7,4,IF(N830&gt;=50*0.6,3.5,IF(N830&gt;=50*0.5,3,IF(N830&gt;=50*0.4,2,IF(N830&gt;=50*0.33,1,0))))))))</f>
        <v/>
      </c>
      <c r="AG830">
        <f>IF(B830="","",IF(O830&lt;33.0,0,IF(O830&gt;=100*0.8,5,IF(O830&gt;=100*0.7,4,IF(O830&gt;=100*0.6,3.5,IF(O830&gt;=100*0.5,3,IF(O830&gt;=100*0.4,2,IF(O830&gt;=100*0.33,1,0))))))))</f>
        <v/>
      </c>
      <c r="AH830">
        <f>IF(B830="","",IF(OR(U830=0,V830=0,W830=0,X830=0,Y830=0,Z830=0,AA830=0,AB830=0,AC830=0,AD830=0,AE830=0,AF830=0,AG830=0),1,0))</f>
        <v/>
      </c>
    </row>
    <row r="831">
      <c r="A831" s="3">
        <f>IF(B831="","",ROW()-2)</f>
        <v/>
      </c>
      <c r="P831" s="4">
        <f>IF(B831="","",SUM(C831:O831))</f>
        <v/>
      </c>
      <c r="Q831" s="5">
        <f>IF(B831="","",ROUND(P831/13,2))</f>
        <v/>
      </c>
      <c r="R831" s="5">
        <f>IF(B831="","",IF(AH831=1,0,MIN(5,ROUND((U831+V831+W831+X831+Y831+Z831+AA831+AB831+AC831+AD831+AE831+AF831+AG831)/13,2))))</f>
        <v/>
      </c>
      <c r="S831" s="3">
        <f>IF(B831="","",IF(R831&gt;=5,"A+",IF(R831&gt;=4,"A",IF(R831&gt;=3.5,"A-",IF(R831&gt;=3,"B",IF(R831&gt;=2,"C",IF(R831&gt;=1,"D","F")))))))</f>
        <v/>
      </c>
      <c r="T831" s="3">
        <f>IF(OR(B831="",S831="F"),"",COUNTIFS(P:P,"&gt;"&amp;P831,S:S,"&lt;&gt;F")+1)</f>
        <v/>
      </c>
      <c r="U831">
        <f>IF(B831="","",IF(C831&lt;33.0,0,IF(C831&gt;=100*0.8,5,IF(C831&gt;=100*0.7,4,IF(C831&gt;=100*0.6,3.5,IF(C831&gt;=100*0.5,3,IF(C831&gt;=100*0.4,2,IF(C831&gt;=100*0.33,1,0))))))))</f>
        <v/>
      </c>
      <c r="V831">
        <f>IF(B831="","",IF(D831&lt;33.0,0,IF(D831&gt;=100*0.8,5,IF(D831&gt;=100*0.7,4,IF(D831&gt;=100*0.6,3.5,IF(D831&gt;=100*0.5,3,IF(D831&gt;=100*0.4,2,IF(D831&gt;=100*0.33,1,0))))))))</f>
        <v/>
      </c>
      <c r="W831">
        <f>IF(B831="","",IF(E831&lt;16.5,0,IF(E831&gt;=50*0.8,5,IF(E831&gt;=50*0.7,4,IF(E831&gt;=50*0.6,3.5,IF(E831&gt;=50*0.5,3,IF(E831&gt;=50*0.4,2,IF(E831&gt;=50*0.33,1,0))))))))</f>
        <v/>
      </c>
      <c r="X831">
        <f>IF(B831="","",IF(F831&lt;33.0,0,IF(F831&gt;=100*0.8,5,IF(F831&gt;=100*0.7,4,IF(F831&gt;=100*0.6,3.5,IF(F831&gt;=100*0.5,3,IF(F831&gt;=100*0.4,2,IF(F831&gt;=100*0.33,1,0))))))))</f>
        <v/>
      </c>
      <c r="Y831">
        <f>IF(B831="","",IF(G831&lt;16.5,0,IF(G831&gt;=50*0.8,5,IF(G831&gt;=50*0.7,4,IF(G831&gt;=50*0.6,3.5,IF(G831&gt;=50*0.5,3,IF(G831&gt;=50*0.4,2,IF(G831&gt;=50*0.33,1,0))))))))</f>
        <v/>
      </c>
      <c r="Z831">
        <f>IF(B831="","",IF(H831&lt;33.0,0,IF(H831&gt;=100*0.8,5,IF(H831&gt;=100*0.7,4,IF(H831&gt;=100*0.6,3.5,IF(H831&gt;=100*0.5,3,IF(H831&gt;=100*0.4,2,IF(H831&gt;=100*0.33,1,0))))))))</f>
        <v/>
      </c>
      <c r="AA831">
        <f>IF(B831="","",IF(I831&lt;33.0,0,IF(I831&gt;=100*0.8,5,IF(I831&gt;=100*0.7,4,IF(I831&gt;=100*0.6,3.5,IF(I831&gt;=100*0.5,3,IF(I831&gt;=100*0.4,2,IF(I831&gt;=100*0.33,1,0))))))))</f>
        <v/>
      </c>
      <c r="AB831">
        <f>IF(B831="","",IF(J831&lt;33.0,0,IF(J831&gt;=100*0.8,5,IF(J831&gt;=100*0.7,4,IF(J831&gt;=100*0.6,3.5,IF(J831&gt;=100*0.5,3,IF(J831&gt;=100*0.4,2,IF(J831&gt;=100*0.33,1,0))))))))</f>
        <v/>
      </c>
      <c r="AC831">
        <f>IF(B831="","",IF(K831&lt;33.0,0,IF(K831&gt;=100*0.8,5,IF(K831&gt;=100*0.7,4,IF(K831&gt;=100*0.6,3.5,IF(K831&gt;=100*0.5,3,IF(K831&gt;=100*0.4,2,IF(K831&gt;=100*0.33,1,0))))))))</f>
        <v/>
      </c>
      <c r="AD831">
        <f>IF(B831="","",IF(L831&lt;33.0,0,IF(L831&gt;=100*0.8,5,IF(L831&gt;=100*0.7,4,IF(L831&gt;=100*0.6,3.5,IF(L831&gt;=100*0.5,3,IF(L831&gt;=100*0.4,2,IF(L831&gt;=100*0.33,1,0))))))))</f>
        <v/>
      </c>
      <c r="AE831">
        <f>IF(B831="","",IF(M831&lt;33.0,0,IF(M831&gt;=100*0.8,5,IF(M831&gt;=100*0.7,4,IF(M831&gt;=100*0.6,3.5,IF(M831&gt;=100*0.5,3,IF(M831&gt;=100*0.4,2,IF(M831&gt;=100*0.33,1,0))))))))</f>
        <v/>
      </c>
      <c r="AF831">
        <f>IF(B831="","",IF(N831&lt;16.5,0,IF(N831&gt;=50*0.8,5,IF(N831&gt;=50*0.7,4,IF(N831&gt;=50*0.6,3.5,IF(N831&gt;=50*0.5,3,IF(N831&gt;=50*0.4,2,IF(N831&gt;=50*0.33,1,0))))))))</f>
        <v/>
      </c>
      <c r="AG831">
        <f>IF(B831="","",IF(O831&lt;33.0,0,IF(O831&gt;=100*0.8,5,IF(O831&gt;=100*0.7,4,IF(O831&gt;=100*0.6,3.5,IF(O831&gt;=100*0.5,3,IF(O831&gt;=100*0.4,2,IF(O831&gt;=100*0.33,1,0))))))))</f>
        <v/>
      </c>
      <c r="AH831">
        <f>IF(B831="","",IF(OR(U831=0,V831=0,W831=0,X831=0,Y831=0,Z831=0,AA831=0,AB831=0,AC831=0,AD831=0,AE831=0,AF831=0,AG831=0),1,0))</f>
        <v/>
      </c>
    </row>
    <row r="832">
      <c r="A832" s="3">
        <f>IF(B832="","",ROW()-2)</f>
        <v/>
      </c>
      <c r="P832" s="4">
        <f>IF(B832="","",SUM(C832:O832))</f>
        <v/>
      </c>
      <c r="Q832" s="5">
        <f>IF(B832="","",ROUND(P832/13,2))</f>
        <v/>
      </c>
      <c r="R832" s="5">
        <f>IF(B832="","",IF(AH832=1,0,MIN(5,ROUND((U832+V832+W832+X832+Y832+Z832+AA832+AB832+AC832+AD832+AE832+AF832+AG832)/13,2))))</f>
        <v/>
      </c>
      <c r="S832" s="3">
        <f>IF(B832="","",IF(R832&gt;=5,"A+",IF(R832&gt;=4,"A",IF(R832&gt;=3.5,"A-",IF(R832&gt;=3,"B",IF(R832&gt;=2,"C",IF(R832&gt;=1,"D","F")))))))</f>
        <v/>
      </c>
      <c r="T832" s="3">
        <f>IF(OR(B832="",S832="F"),"",COUNTIFS(P:P,"&gt;"&amp;P832,S:S,"&lt;&gt;F")+1)</f>
        <v/>
      </c>
      <c r="U832">
        <f>IF(B832="","",IF(C832&lt;33.0,0,IF(C832&gt;=100*0.8,5,IF(C832&gt;=100*0.7,4,IF(C832&gt;=100*0.6,3.5,IF(C832&gt;=100*0.5,3,IF(C832&gt;=100*0.4,2,IF(C832&gt;=100*0.33,1,0))))))))</f>
        <v/>
      </c>
      <c r="V832">
        <f>IF(B832="","",IF(D832&lt;33.0,0,IF(D832&gt;=100*0.8,5,IF(D832&gt;=100*0.7,4,IF(D832&gt;=100*0.6,3.5,IF(D832&gt;=100*0.5,3,IF(D832&gt;=100*0.4,2,IF(D832&gt;=100*0.33,1,0))))))))</f>
        <v/>
      </c>
      <c r="W832">
        <f>IF(B832="","",IF(E832&lt;16.5,0,IF(E832&gt;=50*0.8,5,IF(E832&gt;=50*0.7,4,IF(E832&gt;=50*0.6,3.5,IF(E832&gt;=50*0.5,3,IF(E832&gt;=50*0.4,2,IF(E832&gt;=50*0.33,1,0))))))))</f>
        <v/>
      </c>
      <c r="X832">
        <f>IF(B832="","",IF(F832&lt;33.0,0,IF(F832&gt;=100*0.8,5,IF(F832&gt;=100*0.7,4,IF(F832&gt;=100*0.6,3.5,IF(F832&gt;=100*0.5,3,IF(F832&gt;=100*0.4,2,IF(F832&gt;=100*0.33,1,0))))))))</f>
        <v/>
      </c>
      <c r="Y832">
        <f>IF(B832="","",IF(G832&lt;16.5,0,IF(G832&gt;=50*0.8,5,IF(G832&gt;=50*0.7,4,IF(G832&gt;=50*0.6,3.5,IF(G832&gt;=50*0.5,3,IF(G832&gt;=50*0.4,2,IF(G832&gt;=50*0.33,1,0))))))))</f>
        <v/>
      </c>
      <c r="Z832">
        <f>IF(B832="","",IF(H832&lt;33.0,0,IF(H832&gt;=100*0.8,5,IF(H832&gt;=100*0.7,4,IF(H832&gt;=100*0.6,3.5,IF(H832&gt;=100*0.5,3,IF(H832&gt;=100*0.4,2,IF(H832&gt;=100*0.33,1,0))))))))</f>
        <v/>
      </c>
      <c r="AA832">
        <f>IF(B832="","",IF(I832&lt;33.0,0,IF(I832&gt;=100*0.8,5,IF(I832&gt;=100*0.7,4,IF(I832&gt;=100*0.6,3.5,IF(I832&gt;=100*0.5,3,IF(I832&gt;=100*0.4,2,IF(I832&gt;=100*0.33,1,0))))))))</f>
        <v/>
      </c>
      <c r="AB832">
        <f>IF(B832="","",IF(J832&lt;33.0,0,IF(J832&gt;=100*0.8,5,IF(J832&gt;=100*0.7,4,IF(J832&gt;=100*0.6,3.5,IF(J832&gt;=100*0.5,3,IF(J832&gt;=100*0.4,2,IF(J832&gt;=100*0.33,1,0))))))))</f>
        <v/>
      </c>
      <c r="AC832">
        <f>IF(B832="","",IF(K832&lt;33.0,0,IF(K832&gt;=100*0.8,5,IF(K832&gt;=100*0.7,4,IF(K832&gt;=100*0.6,3.5,IF(K832&gt;=100*0.5,3,IF(K832&gt;=100*0.4,2,IF(K832&gt;=100*0.33,1,0))))))))</f>
        <v/>
      </c>
      <c r="AD832">
        <f>IF(B832="","",IF(L832&lt;33.0,0,IF(L832&gt;=100*0.8,5,IF(L832&gt;=100*0.7,4,IF(L832&gt;=100*0.6,3.5,IF(L832&gt;=100*0.5,3,IF(L832&gt;=100*0.4,2,IF(L832&gt;=100*0.33,1,0))))))))</f>
        <v/>
      </c>
      <c r="AE832">
        <f>IF(B832="","",IF(M832&lt;33.0,0,IF(M832&gt;=100*0.8,5,IF(M832&gt;=100*0.7,4,IF(M832&gt;=100*0.6,3.5,IF(M832&gt;=100*0.5,3,IF(M832&gt;=100*0.4,2,IF(M832&gt;=100*0.33,1,0))))))))</f>
        <v/>
      </c>
      <c r="AF832">
        <f>IF(B832="","",IF(N832&lt;16.5,0,IF(N832&gt;=50*0.8,5,IF(N832&gt;=50*0.7,4,IF(N832&gt;=50*0.6,3.5,IF(N832&gt;=50*0.5,3,IF(N832&gt;=50*0.4,2,IF(N832&gt;=50*0.33,1,0))))))))</f>
        <v/>
      </c>
      <c r="AG832">
        <f>IF(B832="","",IF(O832&lt;33.0,0,IF(O832&gt;=100*0.8,5,IF(O832&gt;=100*0.7,4,IF(O832&gt;=100*0.6,3.5,IF(O832&gt;=100*0.5,3,IF(O832&gt;=100*0.4,2,IF(O832&gt;=100*0.33,1,0))))))))</f>
        <v/>
      </c>
      <c r="AH832">
        <f>IF(B832="","",IF(OR(U832=0,V832=0,W832=0,X832=0,Y832=0,Z832=0,AA832=0,AB832=0,AC832=0,AD832=0,AE832=0,AF832=0,AG832=0),1,0))</f>
        <v/>
      </c>
    </row>
    <row r="833">
      <c r="A833" s="3">
        <f>IF(B833="","",ROW()-2)</f>
        <v/>
      </c>
      <c r="P833" s="4">
        <f>IF(B833="","",SUM(C833:O833))</f>
        <v/>
      </c>
      <c r="Q833" s="5">
        <f>IF(B833="","",ROUND(P833/13,2))</f>
        <v/>
      </c>
      <c r="R833" s="5">
        <f>IF(B833="","",IF(AH833=1,0,MIN(5,ROUND((U833+V833+W833+X833+Y833+Z833+AA833+AB833+AC833+AD833+AE833+AF833+AG833)/13,2))))</f>
        <v/>
      </c>
      <c r="S833" s="3">
        <f>IF(B833="","",IF(R833&gt;=5,"A+",IF(R833&gt;=4,"A",IF(R833&gt;=3.5,"A-",IF(R833&gt;=3,"B",IF(R833&gt;=2,"C",IF(R833&gt;=1,"D","F")))))))</f>
        <v/>
      </c>
      <c r="T833" s="3">
        <f>IF(OR(B833="",S833="F"),"",COUNTIFS(P:P,"&gt;"&amp;P833,S:S,"&lt;&gt;F")+1)</f>
        <v/>
      </c>
      <c r="U833">
        <f>IF(B833="","",IF(C833&lt;33.0,0,IF(C833&gt;=100*0.8,5,IF(C833&gt;=100*0.7,4,IF(C833&gt;=100*0.6,3.5,IF(C833&gt;=100*0.5,3,IF(C833&gt;=100*0.4,2,IF(C833&gt;=100*0.33,1,0))))))))</f>
        <v/>
      </c>
      <c r="V833">
        <f>IF(B833="","",IF(D833&lt;33.0,0,IF(D833&gt;=100*0.8,5,IF(D833&gt;=100*0.7,4,IF(D833&gt;=100*0.6,3.5,IF(D833&gt;=100*0.5,3,IF(D833&gt;=100*0.4,2,IF(D833&gt;=100*0.33,1,0))))))))</f>
        <v/>
      </c>
      <c r="W833">
        <f>IF(B833="","",IF(E833&lt;16.5,0,IF(E833&gt;=50*0.8,5,IF(E833&gt;=50*0.7,4,IF(E833&gt;=50*0.6,3.5,IF(E833&gt;=50*0.5,3,IF(E833&gt;=50*0.4,2,IF(E833&gt;=50*0.33,1,0))))))))</f>
        <v/>
      </c>
      <c r="X833">
        <f>IF(B833="","",IF(F833&lt;33.0,0,IF(F833&gt;=100*0.8,5,IF(F833&gt;=100*0.7,4,IF(F833&gt;=100*0.6,3.5,IF(F833&gt;=100*0.5,3,IF(F833&gt;=100*0.4,2,IF(F833&gt;=100*0.33,1,0))))))))</f>
        <v/>
      </c>
      <c r="Y833">
        <f>IF(B833="","",IF(G833&lt;16.5,0,IF(G833&gt;=50*0.8,5,IF(G833&gt;=50*0.7,4,IF(G833&gt;=50*0.6,3.5,IF(G833&gt;=50*0.5,3,IF(G833&gt;=50*0.4,2,IF(G833&gt;=50*0.33,1,0))))))))</f>
        <v/>
      </c>
      <c r="Z833">
        <f>IF(B833="","",IF(H833&lt;33.0,0,IF(H833&gt;=100*0.8,5,IF(H833&gt;=100*0.7,4,IF(H833&gt;=100*0.6,3.5,IF(H833&gt;=100*0.5,3,IF(H833&gt;=100*0.4,2,IF(H833&gt;=100*0.33,1,0))))))))</f>
        <v/>
      </c>
      <c r="AA833">
        <f>IF(B833="","",IF(I833&lt;33.0,0,IF(I833&gt;=100*0.8,5,IF(I833&gt;=100*0.7,4,IF(I833&gt;=100*0.6,3.5,IF(I833&gt;=100*0.5,3,IF(I833&gt;=100*0.4,2,IF(I833&gt;=100*0.33,1,0))))))))</f>
        <v/>
      </c>
      <c r="AB833">
        <f>IF(B833="","",IF(J833&lt;33.0,0,IF(J833&gt;=100*0.8,5,IF(J833&gt;=100*0.7,4,IF(J833&gt;=100*0.6,3.5,IF(J833&gt;=100*0.5,3,IF(J833&gt;=100*0.4,2,IF(J833&gt;=100*0.33,1,0))))))))</f>
        <v/>
      </c>
      <c r="AC833">
        <f>IF(B833="","",IF(K833&lt;33.0,0,IF(K833&gt;=100*0.8,5,IF(K833&gt;=100*0.7,4,IF(K833&gt;=100*0.6,3.5,IF(K833&gt;=100*0.5,3,IF(K833&gt;=100*0.4,2,IF(K833&gt;=100*0.33,1,0))))))))</f>
        <v/>
      </c>
      <c r="AD833">
        <f>IF(B833="","",IF(L833&lt;33.0,0,IF(L833&gt;=100*0.8,5,IF(L833&gt;=100*0.7,4,IF(L833&gt;=100*0.6,3.5,IF(L833&gt;=100*0.5,3,IF(L833&gt;=100*0.4,2,IF(L833&gt;=100*0.33,1,0))))))))</f>
        <v/>
      </c>
      <c r="AE833">
        <f>IF(B833="","",IF(M833&lt;33.0,0,IF(M833&gt;=100*0.8,5,IF(M833&gt;=100*0.7,4,IF(M833&gt;=100*0.6,3.5,IF(M833&gt;=100*0.5,3,IF(M833&gt;=100*0.4,2,IF(M833&gt;=100*0.33,1,0))))))))</f>
        <v/>
      </c>
      <c r="AF833">
        <f>IF(B833="","",IF(N833&lt;16.5,0,IF(N833&gt;=50*0.8,5,IF(N833&gt;=50*0.7,4,IF(N833&gt;=50*0.6,3.5,IF(N833&gt;=50*0.5,3,IF(N833&gt;=50*0.4,2,IF(N833&gt;=50*0.33,1,0))))))))</f>
        <v/>
      </c>
      <c r="AG833">
        <f>IF(B833="","",IF(O833&lt;33.0,0,IF(O833&gt;=100*0.8,5,IF(O833&gt;=100*0.7,4,IF(O833&gt;=100*0.6,3.5,IF(O833&gt;=100*0.5,3,IF(O833&gt;=100*0.4,2,IF(O833&gt;=100*0.33,1,0))))))))</f>
        <v/>
      </c>
      <c r="AH833">
        <f>IF(B833="","",IF(OR(U833=0,V833=0,W833=0,X833=0,Y833=0,Z833=0,AA833=0,AB833=0,AC833=0,AD833=0,AE833=0,AF833=0,AG833=0),1,0))</f>
        <v/>
      </c>
    </row>
    <row r="834">
      <c r="A834" s="3">
        <f>IF(B834="","",ROW()-2)</f>
        <v/>
      </c>
      <c r="P834" s="4">
        <f>IF(B834="","",SUM(C834:O834))</f>
        <v/>
      </c>
      <c r="Q834" s="5">
        <f>IF(B834="","",ROUND(P834/13,2))</f>
        <v/>
      </c>
      <c r="R834" s="5">
        <f>IF(B834="","",IF(AH834=1,0,MIN(5,ROUND((U834+V834+W834+X834+Y834+Z834+AA834+AB834+AC834+AD834+AE834+AF834+AG834)/13,2))))</f>
        <v/>
      </c>
      <c r="S834" s="3">
        <f>IF(B834="","",IF(R834&gt;=5,"A+",IF(R834&gt;=4,"A",IF(R834&gt;=3.5,"A-",IF(R834&gt;=3,"B",IF(R834&gt;=2,"C",IF(R834&gt;=1,"D","F")))))))</f>
        <v/>
      </c>
      <c r="T834" s="3">
        <f>IF(OR(B834="",S834="F"),"",COUNTIFS(P:P,"&gt;"&amp;P834,S:S,"&lt;&gt;F")+1)</f>
        <v/>
      </c>
      <c r="U834">
        <f>IF(B834="","",IF(C834&lt;33.0,0,IF(C834&gt;=100*0.8,5,IF(C834&gt;=100*0.7,4,IF(C834&gt;=100*0.6,3.5,IF(C834&gt;=100*0.5,3,IF(C834&gt;=100*0.4,2,IF(C834&gt;=100*0.33,1,0))))))))</f>
        <v/>
      </c>
      <c r="V834">
        <f>IF(B834="","",IF(D834&lt;33.0,0,IF(D834&gt;=100*0.8,5,IF(D834&gt;=100*0.7,4,IF(D834&gt;=100*0.6,3.5,IF(D834&gt;=100*0.5,3,IF(D834&gt;=100*0.4,2,IF(D834&gt;=100*0.33,1,0))))))))</f>
        <v/>
      </c>
      <c r="W834">
        <f>IF(B834="","",IF(E834&lt;16.5,0,IF(E834&gt;=50*0.8,5,IF(E834&gt;=50*0.7,4,IF(E834&gt;=50*0.6,3.5,IF(E834&gt;=50*0.5,3,IF(E834&gt;=50*0.4,2,IF(E834&gt;=50*0.33,1,0))))))))</f>
        <v/>
      </c>
      <c r="X834">
        <f>IF(B834="","",IF(F834&lt;33.0,0,IF(F834&gt;=100*0.8,5,IF(F834&gt;=100*0.7,4,IF(F834&gt;=100*0.6,3.5,IF(F834&gt;=100*0.5,3,IF(F834&gt;=100*0.4,2,IF(F834&gt;=100*0.33,1,0))))))))</f>
        <v/>
      </c>
      <c r="Y834">
        <f>IF(B834="","",IF(G834&lt;16.5,0,IF(G834&gt;=50*0.8,5,IF(G834&gt;=50*0.7,4,IF(G834&gt;=50*0.6,3.5,IF(G834&gt;=50*0.5,3,IF(G834&gt;=50*0.4,2,IF(G834&gt;=50*0.33,1,0))))))))</f>
        <v/>
      </c>
      <c r="Z834">
        <f>IF(B834="","",IF(H834&lt;33.0,0,IF(H834&gt;=100*0.8,5,IF(H834&gt;=100*0.7,4,IF(H834&gt;=100*0.6,3.5,IF(H834&gt;=100*0.5,3,IF(H834&gt;=100*0.4,2,IF(H834&gt;=100*0.33,1,0))))))))</f>
        <v/>
      </c>
      <c r="AA834">
        <f>IF(B834="","",IF(I834&lt;33.0,0,IF(I834&gt;=100*0.8,5,IF(I834&gt;=100*0.7,4,IF(I834&gt;=100*0.6,3.5,IF(I834&gt;=100*0.5,3,IF(I834&gt;=100*0.4,2,IF(I834&gt;=100*0.33,1,0))))))))</f>
        <v/>
      </c>
      <c r="AB834">
        <f>IF(B834="","",IF(J834&lt;33.0,0,IF(J834&gt;=100*0.8,5,IF(J834&gt;=100*0.7,4,IF(J834&gt;=100*0.6,3.5,IF(J834&gt;=100*0.5,3,IF(J834&gt;=100*0.4,2,IF(J834&gt;=100*0.33,1,0))))))))</f>
        <v/>
      </c>
      <c r="AC834">
        <f>IF(B834="","",IF(K834&lt;33.0,0,IF(K834&gt;=100*0.8,5,IF(K834&gt;=100*0.7,4,IF(K834&gt;=100*0.6,3.5,IF(K834&gt;=100*0.5,3,IF(K834&gt;=100*0.4,2,IF(K834&gt;=100*0.33,1,0))))))))</f>
        <v/>
      </c>
      <c r="AD834">
        <f>IF(B834="","",IF(L834&lt;33.0,0,IF(L834&gt;=100*0.8,5,IF(L834&gt;=100*0.7,4,IF(L834&gt;=100*0.6,3.5,IF(L834&gt;=100*0.5,3,IF(L834&gt;=100*0.4,2,IF(L834&gt;=100*0.33,1,0))))))))</f>
        <v/>
      </c>
      <c r="AE834">
        <f>IF(B834="","",IF(M834&lt;33.0,0,IF(M834&gt;=100*0.8,5,IF(M834&gt;=100*0.7,4,IF(M834&gt;=100*0.6,3.5,IF(M834&gt;=100*0.5,3,IF(M834&gt;=100*0.4,2,IF(M834&gt;=100*0.33,1,0))))))))</f>
        <v/>
      </c>
      <c r="AF834">
        <f>IF(B834="","",IF(N834&lt;16.5,0,IF(N834&gt;=50*0.8,5,IF(N834&gt;=50*0.7,4,IF(N834&gt;=50*0.6,3.5,IF(N834&gt;=50*0.5,3,IF(N834&gt;=50*0.4,2,IF(N834&gt;=50*0.33,1,0))))))))</f>
        <v/>
      </c>
      <c r="AG834">
        <f>IF(B834="","",IF(O834&lt;33.0,0,IF(O834&gt;=100*0.8,5,IF(O834&gt;=100*0.7,4,IF(O834&gt;=100*0.6,3.5,IF(O834&gt;=100*0.5,3,IF(O834&gt;=100*0.4,2,IF(O834&gt;=100*0.33,1,0))))))))</f>
        <v/>
      </c>
      <c r="AH834">
        <f>IF(B834="","",IF(OR(U834=0,V834=0,W834=0,X834=0,Y834=0,Z834=0,AA834=0,AB834=0,AC834=0,AD834=0,AE834=0,AF834=0,AG834=0),1,0))</f>
        <v/>
      </c>
    </row>
    <row r="835">
      <c r="A835" s="3">
        <f>IF(B835="","",ROW()-2)</f>
        <v/>
      </c>
      <c r="P835" s="4">
        <f>IF(B835="","",SUM(C835:O835))</f>
        <v/>
      </c>
      <c r="Q835" s="5">
        <f>IF(B835="","",ROUND(P835/13,2))</f>
        <v/>
      </c>
      <c r="R835" s="5">
        <f>IF(B835="","",IF(AH835=1,0,MIN(5,ROUND((U835+V835+W835+X835+Y835+Z835+AA835+AB835+AC835+AD835+AE835+AF835+AG835)/13,2))))</f>
        <v/>
      </c>
      <c r="S835" s="3">
        <f>IF(B835="","",IF(R835&gt;=5,"A+",IF(R835&gt;=4,"A",IF(R835&gt;=3.5,"A-",IF(R835&gt;=3,"B",IF(R835&gt;=2,"C",IF(R835&gt;=1,"D","F")))))))</f>
        <v/>
      </c>
      <c r="T835" s="3">
        <f>IF(OR(B835="",S835="F"),"",COUNTIFS(P:P,"&gt;"&amp;P835,S:S,"&lt;&gt;F")+1)</f>
        <v/>
      </c>
      <c r="U835">
        <f>IF(B835="","",IF(C835&lt;33.0,0,IF(C835&gt;=100*0.8,5,IF(C835&gt;=100*0.7,4,IF(C835&gt;=100*0.6,3.5,IF(C835&gt;=100*0.5,3,IF(C835&gt;=100*0.4,2,IF(C835&gt;=100*0.33,1,0))))))))</f>
        <v/>
      </c>
      <c r="V835">
        <f>IF(B835="","",IF(D835&lt;33.0,0,IF(D835&gt;=100*0.8,5,IF(D835&gt;=100*0.7,4,IF(D835&gt;=100*0.6,3.5,IF(D835&gt;=100*0.5,3,IF(D835&gt;=100*0.4,2,IF(D835&gt;=100*0.33,1,0))))))))</f>
        <v/>
      </c>
      <c r="W835">
        <f>IF(B835="","",IF(E835&lt;16.5,0,IF(E835&gt;=50*0.8,5,IF(E835&gt;=50*0.7,4,IF(E835&gt;=50*0.6,3.5,IF(E835&gt;=50*0.5,3,IF(E835&gt;=50*0.4,2,IF(E835&gt;=50*0.33,1,0))))))))</f>
        <v/>
      </c>
      <c r="X835">
        <f>IF(B835="","",IF(F835&lt;33.0,0,IF(F835&gt;=100*0.8,5,IF(F835&gt;=100*0.7,4,IF(F835&gt;=100*0.6,3.5,IF(F835&gt;=100*0.5,3,IF(F835&gt;=100*0.4,2,IF(F835&gt;=100*0.33,1,0))))))))</f>
        <v/>
      </c>
      <c r="Y835">
        <f>IF(B835="","",IF(G835&lt;16.5,0,IF(G835&gt;=50*0.8,5,IF(G835&gt;=50*0.7,4,IF(G835&gt;=50*0.6,3.5,IF(G835&gt;=50*0.5,3,IF(G835&gt;=50*0.4,2,IF(G835&gt;=50*0.33,1,0))))))))</f>
        <v/>
      </c>
      <c r="Z835">
        <f>IF(B835="","",IF(H835&lt;33.0,0,IF(H835&gt;=100*0.8,5,IF(H835&gt;=100*0.7,4,IF(H835&gt;=100*0.6,3.5,IF(H835&gt;=100*0.5,3,IF(H835&gt;=100*0.4,2,IF(H835&gt;=100*0.33,1,0))))))))</f>
        <v/>
      </c>
      <c r="AA835">
        <f>IF(B835="","",IF(I835&lt;33.0,0,IF(I835&gt;=100*0.8,5,IF(I835&gt;=100*0.7,4,IF(I835&gt;=100*0.6,3.5,IF(I835&gt;=100*0.5,3,IF(I835&gt;=100*0.4,2,IF(I835&gt;=100*0.33,1,0))))))))</f>
        <v/>
      </c>
      <c r="AB835">
        <f>IF(B835="","",IF(J835&lt;33.0,0,IF(J835&gt;=100*0.8,5,IF(J835&gt;=100*0.7,4,IF(J835&gt;=100*0.6,3.5,IF(J835&gt;=100*0.5,3,IF(J835&gt;=100*0.4,2,IF(J835&gt;=100*0.33,1,0))))))))</f>
        <v/>
      </c>
      <c r="AC835">
        <f>IF(B835="","",IF(K835&lt;33.0,0,IF(K835&gt;=100*0.8,5,IF(K835&gt;=100*0.7,4,IF(K835&gt;=100*0.6,3.5,IF(K835&gt;=100*0.5,3,IF(K835&gt;=100*0.4,2,IF(K835&gt;=100*0.33,1,0))))))))</f>
        <v/>
      </c>
      <c r="AD835">
        <f>IF(B835="","",IF(L835&lt;33.0,0,IF(L835&gt;=100*0.8,5,IF(L835&gt;=100*0.7,4,IF(L835&gt;=100*0.6,3.5,IF(L835&gt;=100*0.5,3,IF(L835&gt;=100*0.4,2,IF(L835&gt;=100*0.33,1,0))))))))</f>
        <v/>
      </c>
      <c r="AE835">
        <f>IF(B835="","",IF(M835&lt;33.0,0,IF(M835&gt;=100*0.8,5,IF(M835&gt;=100*0.7,4,IF(M835&gt;=100*0.6,3.5,IF(M835&gt;=100*0.5,3,IF(M835&gt;=100*0.4,2,IF(M835&gt;=100*0.33,1,0))))))))</f>
        <v/>
      </c>
      <c r="AF835">
        <f>IF(B835="","",IF(N835&lt;16.5,0,IF(N835&gt;=50*0.8,5,IF(N835&gt;=50*0.7,4,IF(N835&gt;=50*0.6,3.5,IF(N835&gt;=50*0.5,3,IF(N835&gt;=50*0.4,2,IF(N835&gt;=50*0.33,1,0))))))))</f>
        <v/>
      </c>
      <c r="AG835">
        <f>IF(B835="","",IF(O835&lt;33.0,0,IF(O835&gt;=100*0.8,5,IF(O835&gt;=100*0.7,4,IF(O835&gt;=100*0.6,3.5,IF(O835&gt;=100*0.5,3,IF(O835&gt;=100*0.4,2,IF(O835&gt;=100*0.33,1,0))))))))</f>
        <v/>
      </c>
      <c r="AH835">
        <f>IF(B835="","",IF(OR(U835=0,V835=0,W835=0,X835=0,Y835=0,Z835=0,AA835=0,AB835=0,AC835=0,AD835=0,AE835=0,AF835=0,AG835=0),1,0))</f>
        <v/>
      </c>
    </row>
    <row r="836">
      <c r="A836" s="3">
        <f>IF(B836="","",ROW()-2)</f>
        <v/>
      </c>
      <c r="P836" s="4">
        <f>IF(B836="","",SUM(C836:O836))</f>
        <v/>
      </c>
      <c r="Q836" s="5">
        <f>IF(B836="","",ROUND(P836/13,2))</f>
        <v/>
      </c>
      <c r="R836" s="5">
        <f>IF(B836="","",IF(AH836=1,0,MIN(5,ROUND((U836+V836+W836+X836+Y836+Z836+AA836+AB836+AC836+AD836+AE836+AF836+AG836)/13,2))))</f>
        <v/>
      </c>
      <c r="S836" s="3">
        <f>IF(B836="","",IF(R836&gt;=5,"A+",IF(R836&gt;=4,"A",IF(R836&gt;=3.5,"A-",IF(R836&gt;=3,"B",IF(R836&gt;=2,"C",IF(R836&gt;=1,"D","F")))))))</f>
        <v/>
      </c>
      <c r="T836" s="3">
        <f>IF(OR(B836="",S836="F"),"",COUNTIFS(P:P,"&gt;"&amp;P836,S:S,"&lt;&gt;F")+1)</f>
        <v/>
      </c>
      <c r="U836">
        <f>IF(B836="","",IF(C836&lt;33.0,0,IF(C836&gt;=100*0.8,5,IF(C836&gt;=100*0.7,4,IF(C836&gt;=100*0.6,3.5,IF(C836&gt;=100*0.5,3,IF(C836&gt;=100*0.4,2,IF(C836&gt;=100*0.33,1,0))))))))</f>
        <v/>
      </c>
      <c r="V836">
        <f>IF(B836="","",IF(D836&lt;33.0,0,IF(D836&gt;=100*0.8,5,IF(D836&gt;=100*0.7,4,IF(D836&gt;=100*0.6,3.5,IF(D836&gt;=100*0.5,3,IF(D836&gt;=100*0.4,2,IF(D836&gt;=100*0.33,1,0))))))))</f>
        <v/>
      </c>
      <c r="W836">
        <f>IF(B836="","",IF(E836&lt;16.5,0,IF(E836&gt;=50*0.8,5,IF(E836&gt;=50*0.7,4,IF(E836&gt;=50*0.6,3.5,IF(E836&gt;=50*0.5,3,IF(E836&gt;=50*0.4,2,IF(E836&gt;=50*0.33,1,0))))))))</f>
        <v/>
      </c>
      <c r="X836">
        <f>IF(B836="","",IF(F836&lt;33.0,0,IF(F836&gt;=100*0.8,5,IF(F836&gt;=100*0.7,4,IF(F836&gt;=100*0.6,3.5,IF(F836&gt;=100*0.5,3,IF(F836&gt;=100*0.4,2,IF(F836&gt;=100*0.33,1,0))))))))</f>
        <v/>
      </c>
      <c r="Y836">
        <f>IF(B836="","",IF(G836&lt;16.5,0,IF(G836&gt;=50*0.8,5,IF(G836&gt;=50*0.7,4,IF(G836&gt;=50*0.6,3.5,IF(G836&gt;=50*0.5,3,IF(G836&gt;=50*0.4,2,IF(G836&gt;=50*0.33,1,0))))))))</f>
        <v/>
      </c>
      <c r="Z836">
        <f>IF(B836="","",IF(H836&lt;33.0,0,IF(H836&gt;=100*0.8,5,IF(H836&gt;=100*0.7,4,IF(H836&gt;=100*0.6,3.5,IF(H836&gt;=100*0.5,3,IF(H836&gt;=100*0.4,2,IF(H836&gt;=100*0.33,1,0))))))))</f>
        <v/>
      </c>
      <c r="AA836">
        <f>IF(B836="","",IF(I836&lt;33.0,0,IF(I836&gt;=100*0.8,5,IF(I836&gt;=100*0.7,4,IF(I836&gt;=100*0.6,3.5,IF(I836&gt;=100*0.5,3,IF(I836&gt;=100*0.4,2,IF(I836&gt;=100*0.33,1,0))))))))</f>
        <v/>
      </c>
      <c r="AB836">
        <f>IF(B836="","",IF(J836&lt;33.0,0,IF(J836&gt;=100*0.8,5,IF(J836&gt;=100*0.7,4,IF(J836&gt;=100*0.6,3.5,IF(J836&gt;=100*0.5,3,IF(J836&gt;=100*0.4,2,IF(J836&gt;=100*0.33,1,0))))))))</f>
        <v/>
      </c>
      <c r="AC836">
        <f>IF(B836="","",IF(K836&lt;33.0,0,IF(K836&gt;=100*0.8,5,IF(K836&gt;=100*0.7,4,IF(K836&gt;=100*0.6,3.5,IF(K836&gt;=100*0.5,3,IF(K836&gt;=100*0.4,2,IF(K836&gt;=100*0.33,1,0))))))))</f>
        <v/>
      </c>
      <c r="AD836">
        <f>IF(B836="","",IF(L836&lt;33.0,0,IF(L836&gt;=100*0.8,5,IF(L836&gt;=100*0.7,4,IF(L836&gt;=100*0.6,3.5,IF(L836&gt;=100*0.5,3,IF(L836&gt;=100*0.4,2,IF(L836&gt;=100*0.33,1,0))))))))</f>
        <v/>
      </c>
      <c r="AE836">
        <f>IF(B836="","",IF(M836&lt;33.0,0,IF(M836&gt;=100*0.8,5,IF(M836&gt;=100*0.7,4,IF(M836&gt;=100*0.6,3.5,IF(M836&gt;=100*0.5,3,IF(M836&gt;=100*0.4,2,IF(M836&gt;=100*0.33,1,0))))))))</f>
        <v/>
      </c>
      <c r="AF836">
        <f>IF(B836="","",IF(N836&lt;16.5,0,IF(N836&gt;=50*0.8,5,IF(N836&gt;=50*0.7,4,IF(N836&gt;=50*0.6,3.5,IF(N836&gt;=50*0.5,3,IF(N836&gt;=50*0.4,2,IF(N836&gt;=50*0.33,1,0))))))))</f>
        <v/>
      </c>
      <c r="AG836">
        <f>IF(B836="","",IF(O836&lt;33.0,0,IF(O836&gt;=100*0.8,5,IF(O836&gt;=100*0.7,4,IF(O836&gt;=100*0.6,3.5,IF(O836&gt;=100*0.5,3,IF(O836&gt;=100*0.4,2,IF(O836&gt;=100*0.33,1,0))))))))</f>
        <v/>
      </c>
      <c r="AH836">
        <f>IF(B836="","",IF(OR(U836=0,V836=0,W836=0,X836=0,Y836=0,Z836=0,AA836=0,AB836=0,AC836=0,AD836=0,AE836=0,AF836=0,AG836=0),1,0))</f>
        <v/>
      </c>
    </row>
    <row r="837">
      <c r="A837" s="3">
        <f>IF(B837="","",ROW()-2)</f>
        <v/>
      </c>
      <c r="P837" s="4">
        <f>IF(B837="","",SUM(C837:O837))</f>
        <v/>
      </c>
      <c r="Q837" s="5">
        <f>IF(B837="","",ROUND(P837/13,2))</f>
        <v/>
      </c>
      <c r="R837" s="5">
        <f>IF(B837="","",IF(AH837=1,0,MIN(5,ROUND((U837+V837+W837+X837+Y837+Z837+AA837+AB837+AC837+AD837+AE837+AF837+AG837)/13,2))))</f>
        <v/>
      </c>
      <c r="S837" s="3">
        <f>IF(B837="","",IF(R837&gt;=5,"A+",IF(R837&gt;=4,"A",IF(R837&gt;=3.5,"A-",IF(R837&gt;=3,"B",IF(R837&gt;=2,"C",IF(R837&gt;=1,"D","F")))))))</f>
        <v/>
      </c>
      <c r="T837" s="3">
        <f>IF(OR(B837="",S837="F"),"",COUNTIFS(P:P,"&gt;"&amp;P837,S:S,"&lt;&gt;F")+1)</f>
        <v/>
      </c>
      <c r="U837">
        <f>IF(B837="","",IF(C837&lt;33.0,0,IF(C837&gt;=100*0.8,5,IF(C837&gt;=100*0.7,4,IF(C837&gt;=100*0.6,3.5,IF(C837&gt;=100*0.5,3,IF(C837&gt;=100*0.4,2,IF(C837&gt;=100*0.33,1,0))))))))</f>
        <v/>
      </c>
      <c r="V837">
        <f>IF(B837="","",IF(D837&lt;33.0,0,IF(D837&gt;=100*0.8,5,IF(D837&gt;=100*0.7,4,IF(D837&gt;=100*0.6,3.5,IF(D837&gt;=100*0.5,3,IF(D837&gt;=100*0.4,2,IF(D837&gt;=100*0.33,1,0))))))))</f>
        <v/>
      </c>
      <c r="W837">
        <f>IF(B837="","",IF(E837&lt;16.5,0,IF(E837&gt;=50*0.8,5,IF(E837&gt;=50*0.7,4,IF(E837&gt;=50*0.6,3.5,IF(E837&gt;=50*0.5,3,IF(E837&gt;=50*0.4,2,IF(E837&gt;=50*0.33,1,0))))))))</f>
        <v/>
      </c>
      <c r="X837">
        <f>IF(B837="","",IF(F837&lt;33.0,0,IF(F837&gt;=100*0.8,5,IF(F837&gt;=100*0.7,4,IF(F837&gt;=100*0.6,3.5,IF(F837&gt;=100*0.5,3,IF(F837&gt;=100*0.4,2,IF(F837&gt;=100*0.33,1,0))))))))</f>
        <v/>
      </c>
      <c r="Y837">
        <f>IF(B837="","",IF(G837&lt;16.5,0,IF(G837&gt;=50*0.8,5,IF(G837&gt;=50*0.7,4,IF(G837&gt;=50*0.6,3.5,IF(G837&gt;=50*0.5,3,IF(G837&gt;=50*0.4,2,IF(G837&gt;=50*0.33,1,0))))))))</f>
        <v/>
      </c>
      <c r="Z837">
        <f>IF(B837="","",IF(H837&lt;33.0,0,IF(H837&gt;=100*0.8,5,IF(H837&gt;=100*0.7,4,IF(H837&gt;=100*0.6,3.5,IF(H837&gt;=100*0.5,3,IF(H837&gt;=100*0.4,2,IF(H837&gt;=100*0.33,1,0))))))))</f>
        <v/>
      </c>
      <c r="AA837">
        <f>IF(B837="","",IF(I837&lt;33.0,0,IF(I837&gt;=100*0.8,5,IF(I837&gt;=100*0.7,4,IF(I837&gt;=100*0.6,3.5,IF(I837&gt;=100*0.5,3,IF(I837&gt;=100*0.4,2,IF(I837&gt;=100*0.33,1,0))))))))</f>
        <v/>
      </c>
      <c r="AB837">
        <f>IF(B837="","",IF(J837&lt;33.0,0,IF(J837&gt;=100*0.8,5,IF(J837&gt;=100*0.7,4,IF(J837&gt;=100*0.6,3.5,IF(J837&gt;=100*0.5,3,IF(J837&gt;=100*0.4,2,IF(J837&gt;=100*0.33,1,0))))))))</f>
        <v/>
      </c>
      <c r="AC837">
        <f>IF(B837="","",IF(K837&lt;33.0,0,IF(K837&gt;=100*0.8,5,IF(K837&gt;=100*0.7,4,IF(K837&gt;=100*0.6,3.5,IF(K837&gt;=100*0.5,3,IF(K837&gt;=100*0.4,2,IF(K837&gt;=100*0.33,1,0))))))))</f>
        <v/>
      </c>
      <c r="AD837">
        <f>IF(B837="","",IF(L837&lt;33.0,0,IF(L837&gt;=100*0.8,5,IF(L837&gt;=100*0.7,4,IF(L837&gt;=100*0.6,3.5,IF(L837&gt;=100*0.5,3,IF(L837&gt;=100*0.4,2,IF(L837&gt;=100*0.33,1,0))))))))</f>
        <v/>
      </c>
      <c r="AE837">
        <f>IF(B837="","",IF(M837&lt;33.0,0,IF(M837&gt;=100*0.8,5,IF(M837&gt;=100*0.7,4,IF(M837&gt;=100*0.6,3.5,IF(M837&gt;=100*0.5,3,IF(M837&gt;=100*0.4,2,IF(M837&gt;=100*0.33,1,0))))))))</f>
        <v/>
      </c>
      <c r="AF837">
        <f>IF(B837="","",IF(N837&lt;16.5,0,IF(N837&gt;=50*0.8,5,IF(N837&gt;=50*0.7,4,IF(N837&gt;=50*0.6,3.5,IF(N837&gt;=50*0.5,3,IF(N837&gt;=50*0.4,2,IF(N837&gt;=50*0.33,1,0))))))))</f>
        <v/>
      </c>
      <c r="AG837">
        <f>IF(B837="","",IF(O837&lt;33.0,0,IF(O837&gt;=100*0.8,5,IF(O837&gt;=100*0.7,4,IF(O837&gt;=100*0.6,3.5,IF(O837&gt;=100*0.5,3,IF(O837&gt;=100*0.4,2,IF(O837&gt;=100*0.33,1,0))))))))</f>
        <v/>
      </c>
      <c r="AH837">
        <f>IF(B837="","",IF(OR(U837=0,V837=0,W837=0,X837=0,Y837=0,Z837=0,AA837=0,AB837=0,AC837=0,AD837=0,AE837=0,AF837=0,AG837=0),1,0))</f>
        <v/>
      </c>
    </row>
    <row r="838">
      <c r="A838" s="3">
        <f>IF(B838="","",ROW()-2)</f>
        <v/>
      </c>
      <c r="P838" s="4">
        <f>IF(B838="","",SUM(C838:O838))</f>
        <v/>
      </c>
      <c r="Q838" s="5">
        <f>IF(B838="","",ROUND(P838/13,2))</f>
        <v/>
      </c>
      <c r="R838" s="5">
        <f>IF(B838="","",IF(AH838=1,0,MIN(5,ROUND((U838+V838+W838+X838+Y838+Z838+AA838+AB838+AC838+AD838+AE838+AF838+AG838)/13,2))))</f>
        <v/>
      </c>
      <c r="S838" s="3">
        <f>IF(B838="","",IF(R838&gt;=5,"A+",IF(R838&gt;=4,"A",IF(R838&gt;=3.5,"A-",IF(R838&gt;=3,"B",IF(R838&gt;=2,"C",IF(R838&gt;=1,"D","F")))))))</f>
        <v/>
      </c>
      <c r="T838" s="3">
        <f>IF(OR(B838="",S838="F"),"",COUNTIFS(P:P,"&gt;"&amp;P838,S:S,"&lt;&gt;F")+1)</f>
        <v/>
      </c>
      <c r="U838">
        <f>IF(B838="","",IF(C838&lt;33.0,0,IF(C838&gt;=100*0.8,5,IF(C838&gt;=100*0.7,4,IF(C838&gt;=100*0.6,3.5,IF(C838&gt;=100*0.5,3,IF(C838&gt;=100*0.4,2,IF(C838&gt;=100*0.33,1,0))))))))</f>
        <v/>
      </c>
      <c r="V838">
        <f>IF(B838="","",IF(D838&lt;33.0,0,IF(D838&gt;=100*0.8,5,IF(D838&gt;=100*0.7,4,IF(D838&gt;=100*0.6,3.5,IF(D838&gt;=100*0.5,3,IF(D838&gt;=100*0.4,2,IF(D838&gt;=100*0.33,1,0))))))))</f>
        <v/>
      </c>
      <c r="W838">
        <f>IF(B838="","",IF(E838&lt;16.5,0,IF(E838&gt;=50*0.8,5,IF(E838&gt;=50*0.7,4,IF(E838&gt;=50*0.6,3.5,IF(E838&gt;=50*0.5,3,IF(E838&gt;=50*0.4,2,IF(E838&gt;=50*0.33,1,0))))))))</f>
        <v/>
      </c>
      <c r="X838">
        <f>IF(B838="","",IF(F838&lt;33.0,0,IF(F838&gt;=100*0.8,5,IF(F838&gt;=100*0.7,4,IF(F838&gt;=100*0.6,3.5,IF(F838&gt;=100*0.5,3,IF(F838&gt;=100*0.4,2,IF(F838&gt;=100*0.33,1,0))))))))</f>
        <v/>
      </c>
      <c r="Y838">
        <f>IF(B838="","",IF(G838&lt;16.5,0,IF(G838&gt;=50*0.8,5,IF(G838&gt;=50*0.7,4,IF(G838&gt;=50*0.6,3.5,IF(G838&gt;=50*0.5,3,IF(G838&gt;=50*0.4,2,IF(G838&gt;=50*0.33,1,0))))))))</f>
        <v/>
      </c>
      <c r="Z838">
        <f>IF(B838="","",IF(H838&lt;33.0,0,IF(H838&gt;=100*0.8,5,IF(H838&gt;=100*0.7,4,IF(H838&gt;=100*0.6,3.5,IF(H838&gt;=100*0.5,3,IF(H838&gt;=100*0.4,2,IF(H838&gt;=100*0.33,1,0))))))))</f>
        <v/>
      </c>
      <c r="AA838">
        <f>IF(B838="","",IF(I838&lt;33.0,0,IF(I838&gt;=100*0.8,5,IF(I838&gt;=100*0.7,4,IF(I838&gt;=100*0.6,3.5,IF(I838&gt;=100*0.5,3,IF(I838&gt;=100*0.4,2,IF(I838&gt;=100*0.33,1,0))))))))</f>
        <v/>
      </c>
      <c r="AB838">
        <f>IF(B838="","",IF(J838&lt;33.0,0,IF(J838&gt;=100*0.8,5,IF(J838&gt;=100*0.7,4,IF(J838&gt;=100*0.6,3.5,IF(J838&gt;=100*0.5,3,IF(J838&gt;=100*0.4,2,IF(J838&gt;=100*0.33,1,0))))))))</f>
        <v/>
      </c>
      <c r="AC838">
        <f>IF(B838="","",IF(K838&lt;33.0,0,IF(K838&gt;=100*0.8,5,IF(K838&gt;=100*0.7,4,IF(K838&gt;=100*0.6,3.5,IF(K838&gt;=100*0.5,3,IF(K838&gt;=100*0.4,2,IF(K838&gt;=100*0.33,1,0))))))))</f>
        <v/>
      </c>
      <c r="AD838">
        <f>IF(B838="","",IF(L838&lt;33.0,0,IF(L838&gt;=100*0.8,5,IF(L838&gt;=100*0.7,4,IF(L838&gt;=100*0.6,3.5,IF(L838&gt;=100*0.5,3,IF(L838&gt;=100*0.4,2,IF(L838&gt;=100*0.33,1,0))))))))</f>
        <v/>
      </c>
      <c r="AE838">
        <f>IF(B838="","",IF(M838&lt;33.0,0,IF(M838&gt;=100*0.8,5,IF(M838&gt;=100*0.7,4,IF(M838&gt;=100*0.6,3.5,IF(M838&gt;=100*0.5,3,IF(M838&gt;=100*0.4,2,IF(M838&gt;=100*0.33,1,0))))))))</f>
        <v/>
      </c>
      <c r="AF838">
        <f>IF(B838="","",IF(N838&lt;16.5,0,IF(N838&gt;=50*0.8,5,IF(N838&gt;=50*0.7,4,IF(N838&gt;=50*0.6,3.5,IF(N838&gt;=50*0.5,3,IF(N838&gt;=50*0.4,2,IF(N838&gt;=50*0.33,1,0))))))))</f>
        <v/>
      </c>
      <c r="AG838">
        <f>IF(B838="","",IF(O838&lt;33.0,0,IF(O838&gt;=100*0.8,5,IF(O838&gt;=100*0.7,4,IF(O838&gt;=100*0.6,3.5,IF(O838&gt;=100*0.5,3,IF(O838&gt;=100*0.4,2,IF(O838&gt;=100*0.33,1,0))))))))</f>
        <v/>
      </c>
      <c r="AH838">
        <f>IF(B838="","",IF(OR(U838=0,V838=0,W838=0,X838=0,Y838=0,Z838=0,AA838=0,AB838=0,AC838=0,AD838=0,AE838=0,AF838=0,AG838=0),1,0))</f>
        <v/>
      </c>
    </row>
    <row r="839">
      <c r="A839" s="3">
        <f>IF(B839="","",ROW()-2)</f>
        <v/>
      </c>
      <c r="P839" s="4">
        <f>IF(B839="","",SUM(C839:O839))</f>
        <v/>
      </c>
      <c r="Q839" s="5">
        <f>IF(B839="","",ROUND(P839/13,2))</f>
        <v/>
      </c>
      <c r="R839" s="5">
        <f>IF(B839="","",IF(AH839=1,0,MIN(5,ROUND((U839+V839+W839+X839+Y839+Z839+AA839+AB839+AC839+AD839+AE839+AF839+AG839)/13,2))))</f>
        <v/>
      </c>
      <c r="S839" s="3">
        <f>IF(B839="","",IF(R839&gt;=5,"A+",IF(R839&gt;=4,"A",IF(R839&gt;=3.5,"A-",IF(R839&gt;=3,"B",IF(R839&gt;=2,"C",IF(R839&gt;=1,"D","F")))))))</f>
        <v/>
      </c>
      <c r="T839" s="3">
        <f>IF(OR(B839="",S839="F"),"",COUNTIFS(P:P,"&gt;"&amp;P839,S:S,"&lt;&gt;F")+1)</f>
        <v/>
      </c>
      <c r="U839">
        <f>IF(B839="","",IF(C839&lt;33.0,0,IF(C839&gt;=100*0.8,5,IF(C839&gt;=100*0.7,4,IF(C839&gt;=100*0.6,3.5,IF(C839&gt;=100*0.5,3,IF(C839&gt;=100*0.4,2,IF(C839&gt;=100*0.33,1,0))))))))</f>
        <v/>
      </c>
      <c r="V839">
        <f>IF(B839="","",IF(D839&lt;33.0,0,IF(D839&gt;=100*0.8,5,IF(D839&gt;=100*0.7,4,IF(D839&gt;=100*0.6,3.5,IF(D839&gt;=100*0.5,3,IF(D839&gt;=100*0.4,2,IF(D839&gt;=100*0.33,1,0))))))))</f>
        <v/>
      </c>
      <c r="W839">
        <f>IF(B839="","",IF(E839&lt;16.5,0,IF(E839&gt;=50*0.8,5,IF(E839&gt;=50*0.7,4,IF(E839&gt;=50*0.6,3.5,IF(E839&gt;=50*0.5,3,IF(E839&gt;=50*0.4,2,IF(E839&gt;=50*0.33,1,0))))))))</f>
        <v/>
      </c>
      <c r="X839">
        <f>IF(B839="","",IF(F839&lt;33.0,0,IF(F839&gt;=100*0.8,5,IF(F839&gt;=100*0.7,4,IF(F839&gt;=100*0.6,3.5,IF(F839&gt;=100*0.5,3,IF(F839&gt;=100*0.4,2,IF(F839&gt;=100*0.33,1,0))))))))</f>
        <v/>
      </c>
      <c r="Y839">
        <f>IF(B839="","",IF(G839&lt;16.5,0,IF(G839&gt;=50*0.8,5,IF(G839&gt;=50*0.7,4,IF(G839&gt;=50*0.6,3.5,IF(G839&gt;=50*0.5,3,IF(G839&gt;=50*0.4,2,IF(G839&gt;=50*0.33,1,0))))))))</f>
        <v/>
      </c>
      <c r="Z839">
        <f>IF(B839="","",IF(H839&lt;33.0,0,IF(H839&gt;=100*0.8,5,IF(H839&gt;=100*0.7,4,IF(H839&gt;=100*0.6,3.5,IF(H839&gt;=100*0.5,3,IF(H839&gt;=100*0.4,2,IF(H839&gt;=100*0.33,1,0))))))))</f>
        <v/>
      </c>
      <c r="AA839">
        <f>IF(B839="","",IF(I839&lt;33.0,0,IF(I839&gt;=100*0.8,5,IF(I839&gt;=100*0.7,4,IF(I839&gt;=100*0.6,3.5,IF(I839&gt;=100*0.5,3,IF(I839&gt;=100*0.4,2,IF(I839&gt;=100*0.33,1,0))))))))</f>
        <v/>
      </c>
      <c r="AB839">
        <f>IF(B839="","",IF(J839&lt;33.0,0,IF(J839&gt;=100*0.8,5,IF(J839&gt;=100*0.7,4,IF(J839&gt;=100*0.6,3.5,IF(J839&gt;=100*0.5,3,IF(J839&gt;=100*0.4,2,IF(J839&gt;=100*0.33,1,0))))))))</f>
        <v/>
      </c>
      <c r="AC839">
        <f>IF(B839="","",IF(K839&lt;33.0,0,IF(K839&gt;=100*0.8,5,IF(K839&gt;=100*0.7,4,IF(K839&gt;=100*0.6,3.5,IF(K839&gt;=100*0.5,3,IF(K839&gt;=100*0.4,2,IF(K839&gt;=100*0.33,1,0))))))))</f>
        <v/>
      </c>
      <c r="AD839">
        <f>IF(B839="","",IF(L839&lt;33.0,0,IF(L839&gt;=100*0.8,5,IF(L839&gt;=100*0.7,4,IF(L839&gt;=100*0.6,3.5,IF(L839&gt;=100*0.5,3,IF(L839&gt;=100*0.4,2,IF(L839&gt;=100*0.33,1,0))))))))</f>
        <v/>
      </c>
      <c r="AE839">
        <f>IF(B839="","",IF(M839&lt;33.0,0,IF(M839&gt;=100*0.8,5,IF(M839&gt;=100*0.7,4,IF(M839&gt;=100*0.6,3.5,IF(M839&gt;=100*0.5,3,IF(M839&gt;=100*0.4,2,IF(M839&gt;=100*0.33,1,0))))))))</f>
        <v/>
      </c>
      <c r="AF839">
        <f>IF(B839="","",IF(N839&lt;16.5,0,IF(N839&gt;=50*0.8,5,IF(N839&gt;=50*0.7,4,IF(N839&gt;=50*0.6,3.5,IF(N839&gt;=50*0.5,3,IF(N839&gt;=50*0.4,2,IF(N839&gt;=50*0.33,1,0))))))))</f>
        <v/>
      </c>
      <c r="AG839">
        <f>IF(B839="","",IF(O839&lt;33.0,0,IF(O839&gt;=100*0.8,5,IF(O839&gt;=100*0.7,4,IF(O839&gt;=100*0.6,3.5,IF(O839&gt;=100*0.5,3,IF(O839&gt;=100*0.4,2,IF(O839&gt;=100*0.33,1,0))))))))</f>
        <v/>
      </c>
      <c r="AH839">
        <f>IF(B839="","",IF(OR(U839=0,V839=0,W839=0,X839=0,Y839=0,Z839=0,AA839=0,AB839=0,AC839=0,AD839=0,AE839=0,AF839=0,AG839=0),1,0))</f>
        <v/>
      </c>
    </row>
    <row r="840">
      <c r="A840" s="3">
        <f>IF(B840="","",ROW()-2)</f>
        <v/>
      </c>
      <c r="P840" s="4">
        <f>IF(B840="","",SUM(C840:O840))</f>
        <v/>
      </c>
      <c r="Q840" s="5">
        <f>IF(B840="","",ROUND(P840/13,2))</f>
        <v/>
      </c>
      <c r="R840" s="5">
        <f>IF(B840="","",IF(AH840=1,0,MIN(5,ROUND((U840+V840+W840+X840+Y840+Z840+AA840+AB840+AC840+AD840+AE840+AF840+AG840)/13,2))))</f>
        <v/>
      </c>
      <c r="S840" s="3">
        <f>IF(B840="","",IF(R840&gt;=5,"A+",IF(R840&gt;=4,"A",IF(R840&gt;=3.5,"A-",IF(R840&gt;=3,"B",IF(R840&gt;=2,"C",IF(R840&gt;=1,"D","F")))))))</f>
        <v/>
      </c>
      <c r="T840" s="3">
        <f>IF(OR(B840="",S840="F"),"",COUNTIFS(P:P,"&gt;"&amp;P840,S:S,"&lt;&gt;F")+1)</f>
        <v/>
      </c>
      <c r="U840">
        <f>IF(B840="","",IF(C840&lt;33.0,0,IF(C840&gt;=100*0.8,5,IF(C840&gt;=100*0.7,4,IF(C840&gt;=100*0.6,3.5,IF(C840&gt;=100*0.5,3,IF(C840&gt;=100*0.4,2,IF(C840&gt;=100*0.33,1,0))))))))</f>
        <v/>
      </c>
      <c r="V840">
        <f>IF(B840="","",IF(D840&lt;33.0,0,IF(D840&gt;=100*0.8,5,IF(D840&gt;=100*0.7,4,IF(D840&gt;=100*0.6,3.5,IF(D840&gt;=100*0.5,3,IF(D840&gt;=100*0.4,2,IF(D840&gt;=100*0.33,1,0))))))))</f>
        <v/>
      </c>
      <c r="W840">
        <f>IF(B840="","",IF(E840&lt;16.5,0,IF(E840&gt;=50*0.8,5,IF(E840&gt;=50*0.7,4,IF(E840&gt;=50*0.6,3.5,IF(E840&gt;=50*0.5,3,IF(E840&gt;=50*0.4,2,IF(E840&gt;=50*0.33,1,0))))))))</f>
        <v/>
      </c>
      <c r="X840">
        <f>IF(B840="","",IF(F840&lt;33.0,0,IF(F840&gt;=100*0.8,5,IF(F840&gt;=100*0.7,4,IF(F840&gt;=100*0.6,3.5,IF(F840&gt;=100*0.5,3,IF(F840&gt;=100*0.4,2,IF(F840&gt;=100*0.33,1,0))))))))</f>
        <v/>
      </c>
      <c r="Y840">
        <f>IF(B840="","",IF(G840&lt;16.5,0,IF(G840&gt;=50*0.8,5,IF(G840&gt;=50*0.7,4,IF(G840&gt;=50*0.6,3.5,IF(G840&gt;=50*0.5,3,IF(G840&gt;=50*0.4,2,IF(G840&gt;=50*0.33,1,0))))))))</f>
        <v/>
      </c>
      <c r="Z840">
        <f>IF(B840="","",IF(H840&lt;33.0,0,IF(H840&gt;=100*0.8,5,IF(H840&gt;=100*0.7,4,IF(H840&gt;=100*0.6,3.5,IF(H840&gt;=100*0.5,3,IF(H840&gt;=100*0.4,2,IF(H840&gt;=100*0.33,1,0))))))))</f>
        <v/>
      </c>
      <c r="AA840">
        <f>IF(B840="","",IF(I840&lt;33.0,0,IF(I840&gt;=100*0.8,5,IF(I840&gt;=100*0.7,4,IF(I840&gt;=100*0.6,3.5,IF(I840&gt;=100*0.5,3,IF(I840&gt;=100*0.4,2,IF(I840&gt;=100*0.33,1,0))))))))</f>
        <v/>
      </c>
      <c r="AB840">
        <f>IF(B840="","",IF(J840&lt;33.0,0,IF(J840&gt;=100*0.8,5,IF(J840&gt;=100*0.7,4,IF(J840&gt;=100*0.6,3.5,IF(J840&gt;=100*0.5,3,IF(J840&gt;=100*0.4,2,IF(J840&gt;=100*0.33,1,0))))))))</f>
        <v/>
      </c>
      <c r="AC840">
        <f>IF(B840="","",IF(K840&lt;33.0,0,IF(K840&gt;=100*0.8,5,IF(K840&gt;=100*0.7,4,IF(K840&gt;=100*0.6,3.5,IF(K840&gt;=100*0.5,3,IF(K840&gt;=100*0.4,2,IF(K840&gt;=100*0.33,1,0))))))))</f>
        <v/>
      </c>
      <c r="AD840">
        <f>IF(B840="","",IF(L840&lt;33.0,0,IF(L840&gt;=100*0.8,5,IF(L840&gt;=100*0.7,4,IF(L840&gt;=100*0.6,3.5,IF(L840&gt;=100*0.5,3,IF(L840&gt;=100*0.4,2,IF(L840&gt;=100*0.33,1,0))))))))</f>
        <v/>
      </c>
      <c r="AE840">
        <f>IF(B840="","",IF(M840&lt;33.0,0,IF(M840&gt;=100*0.8,5,IF(M840&gt;=100*0.7,4,IF(M840&gt;=100*0.6,3.5,IF(M840&gt;=100*0.5,3,IF(M840&gt;=100*0.4,2,IF(M840&gt;=100*0.33,1,0))))))))</f>
        <v/>
      </c>
      <c r="AF840">
        <f>IF(B840="","",IF(N840&lt;16.5,0,IF(N840&gt;=50*0.8,5,IF(N840&gt;=50*0.7,4,IF(N840&gt;=50*0.6,3.5,IF(N840&gt;=50*0.5,3,IF(N840&gt;=50*0.4,2,IF(N840&gt;=50*0.33,1,0))))))))</f>
        <v/>
      </c>
      <c r="AG840">
        <f>IF(B840="","",IF(O840&lt;33.0,0,IF(O840&gt;=100*0.8,5,IF(O840&gt;=100*0.7,4,IF(O840&gt;=100*0.6,3.5,IF(O840&gt;=100*0.5,3,IF(O840&gt;=100*0.4,2,IF(O840&gt;=100*0.33,1,0))))))))</f>
        <v/>
      </c>
      <c r="AH840">
        <f>IF(B840="","",IF(OR(U840=0,V840=0,W840=0,X840=0,Y840=0,Z840=0,AA840=0,AB840=0,AC840=0,AD840=0,AE840=0,AF840=0,AG840=0),1,0))</f>
        <v/>
      </c>
    </row>
    <row r="841">
      <c r="A841" s="3">
        <f>IF(B841="","",ROW()-2)</f>
        <v/>
      </c>
      <c r="P841" s="4">
        <f>IF(B841="","",SUM(C841:O841))</f>
        <v/>
      </c>
      <c r="Q841" s="5">
        <f>IF(B841="","",ROUND(P841/13,2))</f>
        <v/>
      </c>
      <c r="R841" s="5">
        <f>IF(B841="","",IF(AH841=1,0,MIN(5,ROUND((U841+V841+W841+X841+Y841+Z841+AA841+AB841+AC841+AD841+AE841+AF841+AG841)/13,2))))</f>
        <v/>
      </c>
      <c r="S841" s="3">
        <f>IF(B841="","",IF(R841&gt;=5,"A+",IF(R841&gt;=4,"A",IF(R841&gt;=3.5,"A-",IF(R841&gt;=3,"B",IF(R841&gt;=2,"C",IF(R841&gt;=1,"D","F")))))))</f>
        <v/>
      </c>
      <c r="T841" s="3">
        <f>IF(OR(B841="",S841="F"),"",COUNTIFS(P:P,"&gt;"&amp;P841,S:S,"&lt;&gt;F")+1)</f>
        <v/>
      </c>
      <c r="U841">
        <f>IF(B841="","",IF(C841&lt;33.0,0,IF(C841&gt;=100*0.8,5,IF(C841&gt;=100*0.7,4,IF(C841&gt;=100*0.6,3.5,IF(C841&gt;=100*0.5,3,IF(C841&gt;=100*0.4,2,IF(C841&gt;=100*0.33,1,0))))))))</f>
        <v/>
      </c>
      <c r="V841">
        <f>IF(B841="","",IF(D841&lt;33.0,0,IF(D841&gt;=100*0.8,5,IF(D841&gt;=100*0.7,4,IF(D841&gt;=100*0.6,3.5,IF(D841&gt;=100*0.5,3,IF(D841&gt;=100*0.4,2,IF(D841&gt;=100*0.33,1,0))))))))</f>
        <v/>
      </c>
      <c r="W841">
        <f>IF(B841="","",IF(E841&lt;16.5,0,IF(E841&gt;=50*0.8,5,IF(E841&gt;=50*0.7,4,IF(E841&gt;=50*0.6,3.5,IF(E841&gt;=50*0.5,3,IF(E841&gt;=50*0.4,2,IF(E841&gt;=50*0.33,1,0))))))))</f>
        <v/>
      </c>
      <c r="X841">
        <f>IF(B841="","",IF(F841&lt;33.0,0,IF(F841&gt;=100*0.8,5,IF(F841&gt;=100*0.7,4,IF(F841&gt;=100*0.6,3.5,IF(F841&gt;=100*0.5,3,IF(F841&gt;=100*0.4,2,IF(F841&gt;=100*0.33,1,0))))))))</f>
        <v/>
      </c>
      <c r="Y841">
        <f>IF(B841="","",IF(G841&lt;16.5,0,IF(G841&gt;=50*0.8,5,IF(G841&gt;=50*0.7,4,IF(G841&gt;=50*0.6,3.5,IF(G841&gt;=50*0.5,3,IF(G841&gt;=50*0.4,2,IF(G841&gt;=50*0.33,1,0))))))))</f>
        <v/>
      </c>
      <c r="Z841">
        <f>IF(B841="","",IF(H841&lt;33.0,0,IF(H841&gt;=100*0.8,5,IF(H841&gt;=100*0.7,4,IF(H841&gt;=100*0.6,3.5,IF(H841&gt;=100*0.5,3,IF(H841&gt;=100*0.4,2,IF(H841&gt;=100*0.33,1,0))))))))</f>
        <v/>
      </c>
      <c r="AA841">
        <f>IF(B841="","",IF(I841&lt;33.0,0,IF(I841&gt;=100*0.8,5,IF(I841&gt;=100*0.7,4,IF(I841&gt;=100*0.6,3.5,IF(I841&gt;=100*0.5,3,IF(I841&gt;=100*0.4,2,IF(I841&gt;=100*0.33,1,0))))))))</f>
        <v/>
      </c>
      <c r="AB841">
        <f>IF(B841="","",IF(J841&lt;33.0,0,IF(J841&gt;=100*0.8,5,IF(J841&gt;=100*0.7,4,IF(J841&gt;=100*0.6,3.5,IF(J841&gt;=100*0.5,3,IF(J841&gt;=100*0.4,2,IF(J841&gt;=100*0.33,1,0))))))))</f>
        <v/>
      </c>
      <c r="AC841">
        <f>IF(B841="","",IF(K841&lt;33.0,0,IF(K841&gt;=100*0.8,5,IF(K841&gt;=100*0.7,4,IF(K841&gt;=100*0.6,3.5,IF(K841&gt;=100*0.5,3,IF(K841&gt;=100*0.4,2,IF(K841&gt;=100*0.33,1,0))))))))</f>
        <v/>
      </c>
      <c r="AD841">
        <f>IF(B841="","",IF(L841&lt;33.0,0,IF(L841&gt;=100*0.8,5,IF(L841&gt;=100*0.7,4,IF(L841&gt;=100*0.6,3.5,IF(L841&gt;=100*0.5,3,IF(L841&gt;=100*0.4,2,IF(L841&gt;=100*0.33,1,0))))))))</f>
        <v/>
      </c>
      <c r="AE841">
        <f>IF(B841="","",IF(M841&lt;33.0,0,IF(M841&gt;=100*0.8,5,IF(M841&gt;=100*0.7,4,IF(M841&gt;=100*0.6,3.5,IF(M841&gt;=100*0.5,3,IF(M841&gt;=100*0.4,2,IF(M841&gt;=100*0.33,1,0))))))))</f>
        <v/>
      </c>
      <c r="AF841">
        <f>IF(B841="","",IF(N841&lt;16.5,0,IF(N841&gt;=50*0.8,5,IF(N841&gt;=50*0.7,4,IF(N841&gt;=50*0.6,3.5,IF(N841&gt;=50*0.5,3,IF(N841&gt;=50*0.4,2,IF(N841&gt;=50*0.33,1,0))))))))</f>
        <v/>
      </c>
      <c r="AG841">
        <f>IF(B841="","",IF(O841&lt;33.0,0,IF(O841&gt;=100*0.8,5,IF(O841&gt;=100*0.7,4,IF(O841&gt;=100*0.6,3.5,IF(O841&gt;=100*0.5,3,IF(O841&gt;=100*0.4,2,IF(O841&gt;=100*0.33,1,0))))))))</f>
        <v/>
      </c>
      <c r="AH841">
        <f>IF(B841="","",IF(OR(U841=0,V841=0,W841=0,X841=0,Y841=0,Z841=0,AA841=0,AB841=0,AC841=0,AD841=0,AE841=0,AF841=0,AG841=0),1,0))</f>
        <v/>
      </c>
    </row>
    <row r="842">
      <c r="A842" s="3">
        <f>IF(B842="","",ROW()-2)</f>
        <v/>
      </c>
      <c r="P842" s="4">
        <f>IF(B842="","",SUM(C842:O842))</f>
        <v/>
      </c>
      <c r="Q842" s="5">
        <f>IF(B842="","",ROUND(P842/13,2))</f>
        <v/>
      </c>
      <c r="R842" s="5">
        <f>IF(B842="","",IF(AH842=1,0,MIN(5,ROUND((U842+V842+W842+X842+Y842+Z842+AA842+AB842+AC842+AD842+AE842+AF842+AG842)/13,2))))</f>
        <v/>
      </c>
      <c r="S842" s="3">
        <f>IF(B842="","",IF(R842&gt;=5,"A+",IF(R842&gt;=4,"A",IF(R842&gt;=3.5,"A-",IF(R842&gt;=3,"B",IF(R842&gt;=2,"C",IF(R842&gt;=1,"D","F")))))))</f>
        <v/>
      </c>
      <c r="T842" s="3">
        <f>IF(OR(B842="",S842="F"),"",COUNTIFS(P:P,"&gt;"&amp;P842,S:S,"&lt;&gt;F")+1)</f>
        <v/>
      </c>
      <c r="U842">
        <f>IF(B842="","",IF(C842&lt;33.0,0,IF(C842&gt;=100*0.8,5,IF(C842&gt;=100*0.7,4,IF(C842&gt;=100*0.6,3.5,IF(C842&gt;=100*0.5,3,IF(C842&gt;=100*0.4,2,IF(C842&gt;=100*0.33,1,0))))))))</f>
        <v/>
      </c>
      <c r="V842">
        <f>IF(B842="","",IF(D842&lt;33.0,0,IF(D842&gt;=100*0.8,5,IF(D842&gt;=100*0.7,4,IF(D842&gt;=100*0.6,3.5,IF(D842&gt;=100*0.5,3,IF(D842&gt;=100*0.4,2,IF(D842&gt;=100*0.33,1,0))))))))</f>
        <v/>
      </c>
      <c r="W842">
        <f>IF(B842="","",IF(E842&lt;16.5,0,IF(E842&gt;=50*0.8,5,IF(E842&gt;=50*0.7,4,IF(E842&gt;=50*0.6,3.5,IF(E842&gt;=50*0.5,3,IF(E842&gt;=50*0.4,2,IF(E842&gt;=50*0.33,1,0))))))))</f>
        <v/>
      </c>
      <c r="X842">
        <f>IF(B842="","",IF(F842&lt;33.0,0,IF(F842&gt;=100*0.8,5,IF(F842&gt;=100*0.7,4,IF(F842&gt;=100*0.6,3.5,IF(F842&gt;=100*0.5,3,IF(F842&gt;=100*0.4,2,IF(F842&gt;=100*0.33,1,0))))))))</f>
        <v/>
      </c>
      <c r="Y842">
        <f>IF(B842="","",IF(G842&lt;16.5,0,IF(G842&gt;=50*0.8,5,IF(G842&gt;=50*0.7,4,IF(G842&gt;=50*0.6,3.5,IF(G842&gt;=50*0.5,3,IF(G842&gt;=50*0.4,2,IF(G842&gt;=50*0.33,1,0))))))))</f>
        <v/>
      </c>
      <c r="Z842">
        <f>IF(B842="","",IF(H842&lt;33.0,0,IF(H842&gt;=100*0.8,5,IF(H842&gt;=100*0.7,4,IF(H842&gt;=100*0.6,3.5,IF(H842&gt;=100*0.5,3,IF(H842&gt;=100*0.4,2,IF(H842&gt;=100*0.33,1,0))))))))</f>
        <v/>
      </c>
      <c r="AA842">
        <f>IF(B842="","",IF(I842&lt;33.0,0,IF(I842&gt;=100*0.8,5,IF(I842&gt;=100*0.7,4,IF(I842&gt;=100*0.6,3.5,IF(I842&gt;=100*0.5,3,IF(I842&gt;=100*0.4,2,IF(I842&gt;=100*0.33,1,0))))))))</f>
        <v/>
      </c>
      <c r="AB842">
        <f>IF(B842="","",IF(J842&lt;33.0,0,IF(J842&gt;=100*0.8,5,IF(J842&gt;=100*0.7,4,IF(J842&gt;=100*0.6,3.5,IF(J842&gt;=100*0.5,3,IF(J842&gt;=100*0.4,2,IF(J842&gt;=100*0.33,1,0))))))))</f>
        <v/>
      </c>
      <c r="AC842">
        <f>IF(B842="","",IF(K842&lt;33.0,0,IF(K842&gt;=100*0.8,5,IF(K842&gt;=100*0.7,4,IF(K842&gt;=100*0.6,3.5,IF(K842&gt;=100*0.5,3,IF(K842&gt;=100*0.4,2,IF(K842&gt;=100*0.33,1,0))))))))</f>
        <v/>
      </c>
      <c r="AD842">
        <f>IF(B842="","",IF(L842&lt;33.0,0,IF(L842&gt;=100*0.8,5,IF(L842&gt;=100*0.7,4,IF(L842&gt;=100*0.6,3.5,IF(L842&gt;=100*0.5,3,IF(L842&gt;=100*0.4,2,IF(L842&gt;=100*0.33,1,0))))))))</f>
        <v/>
      </c>
      <c r="AE842">
        <f>IF(B842="","",IF(M842&lt;33.0,0,IF(M842&gt;=100*0.8,5,IF(M842&gt;=100*0.7,4,IF(M842&gt;=100*0.6,3.5,IF(M842&gt;=100*0.5,3,IF(M842&gt;=100*0.4,2,IF(M842&gt;=100*0.33,1,0))))))))</f>
        <v/>
      </c>
      <c r="AF842">
        <f>IF(B842="","",IF(N842&lt;16.5,0,IF(N842&gt;=50*0.8,5,IF(N842&gt;=50*0.7,4,IF(N842&gt;=50*0.6,3.5,IF(N842&gt;=50*0.5,3,IF(N842&gt;=50*0.4,2,IF(N842&gt;=50*0.33,1,0))))))))</f>
        <v/>
      </c>
      <c r="AG842">
        <f>IF(B842="","",IF(O842&lt;33.0,0,IF(O842&gt;=100*0.8,5,IF(O842&gt;=100*0.7,4,IF(O842&gt;=100*0.6,3.5,IF(O842&gt;=100*0.5,3,IF(O842&gt;=100*0.4,2,IF(O842&gt;=100*0.33,1,0))))))))</f>
        <v/>
      </c>
      <c r="AH842">
        <f>IF(B842="","",IF(OR(U842=0,V842=0,W842=0,X842=0,Y842=0,Z842=0,AA842=0,AB842=0,AC842=0,AD842=0,AE842=0,AF842=0,AG842=0),1,0))</f>
        <v/>
      </c>
    </row>
    <row r="843">
      <c r="A843" s="3">
        <f>IF(B843="","",ROW()-2)</f>
        <v/>
      </c>
      <c r="P843" s="4">
        <f>IF(B843="","",SUM(C843:O843))</f>
        <v/>
      </c>
      <c r="Q843" s="5">
        <f>IF(B843="","",ROUND(P843/13,2))</f>
        <v/>
      </c>
      <c r="R843" s="5">
        <f>IF(B843="","",IF(AH843=1,0,MIN(5,ROUND((U843+V843+W843+X843+Y843+Z843+AA843+AB843+AC843+AD843+AE843+AF843+AG843)/13,2))))</f>
        <v/>
      </c>
      <c r="S843" s="3">
        <f>IF(B843="","",IF(R843&gt;=5,"A+",IF(R843&gt;=4,"A",IF(R843&gt;=3.5,"A-",IF(R843&gt;=3,"B",IF(R843&gt;=2,"C",IF(R843&gt;=1,"D","F")))))))</f>
        <v/>
      </c>
      <c r="T843" s="3">
        <f>IF(OR(B843="",S843="F"),"",COUNTIFS(P:P,"&gt;"&amp;P843,S:S,"&lt;&gt;F")+1)</f>
        <v/>
      </c>
      <c r="U843">
        <f>IF(B843="","",IF(C843&lt;33.0,0,IF(C843&gt;=100*0.8,5,IF(C843&gt;=100*0.7,4,IF(C843&gt;=100*0.6,3.5,IF(C843&gt;=100*0.5,3,IF(C843&gt;=100*0.4,2,IF(C843&gt;=100*0.33,1,0))))))))</f>
        <v/>
      </c>
      <c r="V843">
        <f>IF(B843="","",IF(D843&lt;33.0,0,IF(D843&gt;=100*0.8,5,IF(D843&gt;=100*0.7,4,IF(D843&gt;=100*0.6,3.5,IF(D843&gt;=100*0.5,3,IF(D843&gt;=100*0.4,2,IF(D843&gt;=100*0.33,1,0))))))))</f>
        <v/>
      </c>
      <c r="W843">
        <f>IF(B843="","",IF(E843&lt;16.5,0,IF(E843&gt;=50*0.8,5,IF(E843&gt;=50*0.7,4,IF(E843&gt;=50*0.6,3.5,IF(E843&gt;=50*0.5,3,IF(E843&gt;=50*0.4,2,IF(E843&gt;=50*0.33,1,0))))))))</f>
        <v/>
      </c>
      <c r="X843">
        <f>IF(B843="","",IF(F843&lt;33.0,0,IF(F843&gt;=100*0.8,5,IF(F843&gt;=100*0.7,4,IF(F843&gt;=100*0.6,3.5,IF(F843&gt;=100*0.5,3,IF(F843&gt;=100*0.4,2,IF(F843&gt;=100*0.33,1,0))))))))</f>
        <v/>
      </c>
      <c r="Y843">
        <f>IF(B843="","",IF(G843&lt;16.5,0,IF(G843&gt;=50*0.8,5,IF(G843&gt;=50*0.7,4,IF(G843&gt;=50*0.6,3.5,IF(G843&gt;=50*0.5,3,IF(G843&gt;=50*0.4,2,IF(G843&gt;=50*0.33,1,0))))))))</f>
        <v/>
      </c>
      <c r="Z843">
        <f>IF(B843="","",IF(H843&lt;33.0,0,IF(H843&gt;=100*0.8,5,IF(H843&gt;=100*0.7,4,IF(H843&gt;=100*0.6,3.5,IF(H843&gt;=100*0.5,3,IF(H843&gt;=100*0.4,2,IF(H843&gt;=100*0.33,1,0))))))))</f>
        <v/>
      </c>
      <c r="AA843">
        <f>IF(B843="","",IF(I843&lt;33.0,0,IF(I843&gt;=100*0.8,5,IF(I843&gt;=100*0.7,4,IF(I843&gt;=100*0.6,3.5,IF(I843&gt;=100*0.5,3,IF(I843&gt;=100*0.4,2,IF(I843&gt;=100*0.33,1,0))))))))</f>
        <v/>
      </c>
      <c r="AB843">
        <f>IF(B843="","",IF(J843&lt;33.0,0,IF(J843&gt;=100*0.8,5,IF(J843&gt;=100*0.7,4,IF(J843&gt;=100*0.6,3.5,IF(J843&gt;=100*0.5,3,IF(J843&gt;=100*0.4,2,IF(J843&gt;=100*0.33,1,0))))))))</f>
        <v/>
      </c>
      <c r="AC843">
        <f>IF(B843="","",IF(K843&lt;33.0,0,IF(K843&gt;=100*0.8,5,IF(K843&gt;=100*0.7,4,IF(K843&gt;=100*0.6,3.5,IF(K843&gt;=100*0.5,3,IF(K843&gt;=100*0.4,2,IF(K843&gt;=100*0.33,1,0))))))))</f>
        <v/>
      </c>
      <c r="AD843">
        <f>IF(B843="","",IF(L843&lt;33.0,0,IF(L843&gt;=100*0.8,5,IF(L843&gt;=100*0.7,4,IF(L843&gt;=100*0.6,3.5,IF(L843&gt;=100*0.5,3,IF(L843&gt;=100*0.4,2,IF(L843&gt;=100*0.33,1,0))))))))</f>
        <v/>
      </c>
      <c r="AE843">
        <f>IF(B843="","",IF(M843&lt;33.0,0,IF(M843&gt;=100*0.8,5,IF(M843&gt;=100*0.7,4,IF(M843&gt;=100*0.6,3.5,IF(M843&gt;=100*0.5,3,IF(M843&gt;=100*0.4,2,IF(M843&gt;=100*0.33,1,0))))))))</f>
        <v/>
      </c>
      <c r="AF843">
        <f>IF(B843="","",IF(N843&lt;16.5,0,IF(N843&gt;=50*0.8,5,IF(N843&gt;=50*0.7,4,IF(N843&gt;=50*0.6,3.5,IF(N843&gt;=50*0.5,3,IF(N843&gt;=50*0.4,2,IF(N843&gt;=50*0.33,1,0))))))))</f>
        <v/>
      </c>
      <c r="AG843">
        <f>IF(B843="","",IF(O843&lt;33.0,0,IF(O843&gt;=100*0.8,5,IF(O843&gt;=100*0.7,4,IF(O843&gt;=100*0.6,3.5,IF(O843&gt;=100*0.5,3,IF(O843&gt;=100*0.4,2,IF(O843&gt;=100*0.33,1,0))))))))</f>
        <v/>
      </c>
      <c r="AH843">
        <f>IF(B843="","",IF(OR(U843=0,V843=0,W843=0,X843=0,Y843=0,Z843=0,AA843=0,AB843=0,AC843=0,AD843=0,AE843=0,AF843=0,AG843=0),1,0))</f>
        <v/>
      </c>
    </row>
    <row r="844">
      <c r="A844" s="3">
        <f>IF(B844="","",ROW()-2)</f>
        <v/>
      </c>
      <c r="P844" s="4">
        <f>IF(B844="","",SUM(C844:O844))</f>
        <v/>
      </c>
      <c r="Q844" s="5">
        <f>IF(B844="","",ROUND(P844/13,2))</f>
        <v/>
      </c>
      <c r="R844" s="5">
        <f>IF(B844="","",IF(AH844=1,0,MIN(5,ROUND((U844+V844+W844+X844+Y844+Z844+AA844+AB844+AC844+AD844+AE844+AF844+AG844)/13,2))))</f>
        <v/>
      </c>
      <c r="S844" s="3">
        <f>IF(B844="","",IF(R844&gt;=5,"A+",IF(R844&gt;=4,"A",IF(R844&gt;=3.5,"A-",IF(R844&gt;=3,"B",IF(R844&gt;=2,"C",IF(R844&gt;=1,"D","F")))))))</f>
        <v/>
      </c>
      <c r="T844" s="3">
        <f>IF(OR(B844="",S844="F"),"",COUNTIFS(P:P,"&gt;"&amp;P844,S:S,"&lt;&gt;F")+1)</f>
        <v/>
      </c>
      <c r="U844">
        <f>IF(B844="","",IF(C844&lt;33.0,0,IF(C844&gt;=100*0.8,5,IF(C844&gt;=100*0.7,4,IF(C844&gt;=100*0.6,3.5,IF(C844&gt;=100*0.5,3,IF(C844&gt;=100*0.4,2,IF(C844&gt;=100*0.33,1,0))))))))</f>
        <v/>
      </c>
      <c r="V844">
        <f>IF(B844="","",IF(D844&lt;33.0,0,IF(D844&gt;=100*0.8,5,IF(D844&gt;=100*0.7,4,IF(D844&gt;=100*0.6,3.5,IF(D844&gt;=100*0.5,3,IF(D844&gt;=100*0.4,2,IF(D844&gt;=100*0.33,1,0))))))))</f>
        <v/>
      </c>
      <c r="W844">
        <f>IF(B844="","",IF(E844&lt;16.5,0,IF(E844&gt;=50*0.8,5,IF(E844&gt;=50*0.7,4,IF(E844&gt;=50*0.6,3.5,IF(E844&gt;=50*0.5,3,IF(E844&gt;=50*0.4,2,IF(E844&gt;=50*0.33,1,0))))))))</f>
        <v/>
      </c>
      <c r="X844">
        <f>IF(B844="","",IF(F844&lt;33.0,0,IF(F844&gt;=100*0.8,5,IF(F844&gt;=100*0.7,4,IF(F844&gt;=100*0.6,3.5,IF(F844&gt;=100*0.5,3,IF(F844&gt;=100*0.4,2,IF(F844&gt;=100*0.33,1,0))))))))</f>
        <v/>
      </c>
      <c r="Y844">
        <f>IF(B844="","",IF(G844&lt;16.5,0,IF(G844&gt;=50*0.8,5,IF(G844&gt;=50*0.7,4,IF(G844&gt;=50*0.6,3.5,IF(G844&gt;=50*0.5,3,IF(G844&gt;=50*0.4,2,IF(G844&gt;=50*0.33,1,0))))))))</f>
        <v/>
      </c>
      <c r="Z844">
        <f>IF(B844="","",IF(H844&lt;33.0,0,IF(H844&gt;=100*0.8,5,IF(H844&gt;=100*0.7,4,IF(H844&gt;=100*0.6,3.5,IF(H844&gt;=100*0.5,3,IF(H844&gt;=100*0.4,2,IF(H844&gt;=100*0.33,1,0))))))))</f>
        <v/>
      </c>
      <c r="AA844">
        <f>IF(B844="","",IF(I844&lt;33.0,0,IF(I844&gt;=100*0.8,5,IF(I844&gt;=100*0.7,4,IF(I844&gt;=100*0.6,3.5,IF(I844&gt;=100*0.5,3,IF(I844&gt;=100*0.4,2,IF(I844&gt;=100*0.33,1,0))))))))</f>
        <v/>
      </c>
      <c r="AB844">
        <f>IF(B844="","",IF(J844&lt;33.0,0,IF(J844&gt;=100*0.8,5,IF(J844&gt;=100*0.7,4,IF(J844&gt;=100*0.6,3.5,IF(J844&gt;=100*0.5,3,IF(J844&gt;=100*0.4,2,IF(J844&gt;=100*0.33,1,0))))))))</f>
        <v/>
      </c>
      <c r="AC844">
        <f>IF(B844="","",IF(K844&lt;33.0,0,IF(K844&gt;=100*0.8,5,IF(K844&gt;=100*0.7,4,IF(K844&gt;=100*0.6,3.5,IF(K844&gt;=100*0.5,3,IF(K844&gt;=100*0.4,2,IF(K844&gt;=100*0.33,1,0))))))))</f>
        <v/>
      </c>
      <c r="AD844">
        <f>IF(B844="","",IF(L844&lt;33.0,0,IF(L844&gt;=100*0.8,5,IF(L844&gt;=100*0.7,4,IF(L844&gt;=100*0.6,3.5,IF(L844&gt;=100*0.5,3,IF(L844&gt;=100*0.4,2,IF(L844&gt;=100*0.33,1,0))))))))</f>
        <v/>
      </c>
      <c r="AE844">
        <f>IF(B844="","",IF(M844&lt;33.0,0,IF(M844&gt;=100*0.8,5,IF(M844&gt;=100*0.7,4,IF(M844&gt;=100*0.6,3.5,IF(M844&gt;=100*0.5,3,IF(M844&gt;=100*0.4,2,IF(M844&gt;=100*0.33,1,0))))))))</f>
        <v/>
      </c>
      <c r="AF844">
        <f>IF(B844="","",IF(N844&lt;16.5,0,IF(N844&gt;=50*0.8,5,IF(N844&gt;=50*0.7,4,IF(N844&gt;=50*0.6,3.5,IF(N844&gt;=50*0.5,3,IF(N844&gt;=50*0.4,2,IF(N844&gt;=50*0.33,1,0))))))))</f>
        <v/>
      </c>
      <c r="AG844">
        <f>IF(B844="","",IF(O844&lt;33.0,0,IF(O844&gt;=100*0.8,5,IF(O844&gt;=100*0.7,4,IF(O844&gt;=100*0.6,3.5,IF(O844&gt;=100*0.5,3,IF(O844&gt;=100*0.4,2,IF(O844&gt;=100*0.33,1,0))))))))</f>
        <v/>
      </c>
      <c r="AH844">
        <f>IF(B844="","",IF(OR(U844=0,V844=0,W844=0,X844=0,Y844=0,Z844=0,AA844=0,AB844=0,AC844=0,AD844=0,AE844=0,AF844=0,AG844=0),1,0))</f>
        <v/>
      </c>
    </row>
    <row r="845">
      <c r="A845" s="3">
        <f>IF(B845="","",ROW()-2)</f>
        <v/>
      </c>
      <c r="P845" s="4">
        <f>IF(B845="","",SUM(C845:O845))</f>
        <v/>
      </c>
      <c r="Q845" s="5">
        <f>IF(B845="","",ROUND(P845/13,2))</f>
        <v/>
      </c>
      <c r="R845" s="5">
        <f>IF(B845="","",IF(AH845=1,0,MIN(5,ROUND((U845+V845+W845+X845+Y845+Z845+AA845+AB845+AC845+AD845+AE845+AF845+AG845)/13,2))))</f>
        <v/>
      </c>
      <c r="S845" s="3">
        <f>IF(B845="","",IF(R845&gt;=5,"A+",IF(R845&gt;=4,"A",IF(R845&gt;=3.5,"A-",IF(R845&gt;=3,"B",IF(R845&gt;=2,"C",IF(R845&gt;=1,"D","F")))))))</f>
        <v/>
      </c>
      <c r="T845" s="3">
        <f>IF(OR(B845="",S845="F"),"",COUNTIFS(P:P,"&gt;"&amp;P845,S:S,"&lt;&gt;F")+1)</f>
        <v/>
      </c>
      <c r="U845">
        <f>IF(B845="","",IF(C845&lt;33.0,0,IF(C845&gt;=100*0.8,5,IF(C845&gt;=100*0.7,4,IF(C845&gt;=100*0.6,3.5,IF(C845&gt;=100*0.5,3,IF(C845&gt;=100*0.4,2,IF(C845&gt;=100*0.33,1,0))))))))</f>
        <v/>
      </c>
      <c r="V845">
        <f>IF(B845="","",IF(D845&lt;33.0,0,IF(D845&gt;=100*0.8,5,IF(D845&gt;=100*0.7,4,IF(D845&gt;=100*0.6,3.5,IF(D845&gt;=100*0.5,3,IF(D845&gt;=100*0.4,2,IF(D845&gt;=100*0.33,1,0))))))))</f>
        <v/>
      </c>
      <c r="W845">
        <f>IF(B845="","",IF(E845&lt;16.5,0,IF(E845&gt;=50*0.8,5,IF(E845&gt;=50*0.7,4,IF(E845&gt;=50*0.6,3.5,IF(E845&gt;=50*0.5,3,IF(E845&gt;=50*0.4,2,IF(E845&gt;=50*0.33,1,0))))))))</f>
        <v/>
      </c>
      <c r="X845">
        <f>IF(B845="","",IF(F845&lt;33.0,0,IF(F845&gt;=100*0.8,5,IF(F845&gt;=100*0.7,4,IF(F845&gt;=100*0.6,3.5,IF(F845&gt;=100*0.5,3,IF(F845&gt;=100*0.4,2,IF(F845&gt;=100*0.33,1,0))))))))</f>
        <v/>
      </c>
      <c r="Y845">
        <f>IF(B845="","",IF(G845&lt;16.5,0,IF(G845&gt;=50*0.8,5,IF(G845&gt;=50*0.7,4,IF(G845&gt;=50*0.6,3.5,IF(G845&gt;=50*0.5,3,IF(G845&gt;=50*0.4,2,IF(G845&gt;=50*0.33,1,0))))))))</f>
        <v/>
      </c>
      <c r="Z845">
        <f>IF(B845="","",IF(H845&lt;33.0,0,IF(H845&gt;=100*0.8,5,IF(H845&gt;=100*0.7,4,IF(H845&gt;=100*0.6,3.5,IF(H845&gt;=100*0.5,3,IF(H845&gt;=100*0.4,2,IF(H845&gt;=100*0.33,1,0))))))))</f>
        <v/>
      </c>
      <c r="AA845">
        <f>IF(B845="","",IF(I845&lt;33.0,0,IF(I845&gt;=100*0.8,5,IF(I845&gt;=100*0.7,4,IF(I845&gt;=100*0.6,3.5,IF(I845&gt;=100*0.5,3,IF(I845&gt;=100*0.4,2,IF(I845&gt;=100*0.33,1,0))))))))</f>
        <v/>
      </c>
      <c r="AB845">
        <f>IF(B845="","",IF(J845&lt;33.0,0,IF(J845&gt;=100*0.8,5,IF(J845&gt;=100*0.7,4,IF(J845&gt;=100*0.6,3.5,IF(J845&gt;=100*0.5,3,IF(J845&gt;=100*0.4,2,IF(J845&gt;=100*0.33,1,0))))))))</f>
        <v/>
      </c>
      <c r="AC845">
        <f>IF(B845="","",IF(K845&lt;33.0,0,IF(K845&gt;=100*0.8,5,IF(K845&gt;=100*0.7,4,IF(K845&gt;=100*0.6,3.5,IF(K845&gt;=100*0.5,3,IF(K845&gt;=100*0.4,2,IF(K845&gt;=100*0.33,1,0))))))))</f>
        <v/>
      </c>
      <c r="AD845">
        <f>IF(B845="","",IF(L845&lt;33.0,0,IF(L845&gt;=100*0.8,5,IF(L845&gt;=100*0.7,4,IF(L845&gt;=100*0.6,3.5,IF(L845&gt;=100*0.5,3,IF(L845&gt;=100*0.4,2,IF(L845&gt;=100*0.33,1,0))))))))</f>
        <v/>
      </c>
      <c r="AE845">
        <f>IF(B845="","",IF(M845&lt;33.0,0,IF(M845&gt;=100*0.8,5,IF(M845&gt;=100*0.7,4,IF(M845&gt;=100*0.6,3.5,IF(M845&gt;=100*0.5,3,IF(M845&gt;=100*0.4,2,IF(M845&gt;=100*0.33,1,0))))))))</f>
        <v/>
      </c>
      <c r="AF845">
        <f>IF(B845="","",IF(N845&lt;16.5,0,IF(N845&gt;=50*0.8,5,IF(N845&gt;=50*0.7,4,IF(N845&gt;=50*0.6,3.5,IF(N845&gt;=50*0.5,3,IF(N845&gt;=50*0.4,2,IF(N845&gt;=50*0.33,1,0))))))))</f>
        <v/>
      </c>
      <c r="AG845">
        <f>IF(B845="","",IF(O845&lt;33.0,0,IF(O845&gt;=100*0.8,5,IF(O845&gt;=100*0.7,4,IF(O845&gt;=100*0.6,3.5,IF(O845&gt;=100*0.5,3,IF(O845&gt;=100*0.4,2,IF(O845&gt;=100*0.33,1,0))))))))</f>
        <v/>
      </c>
      <c r="AH845">
        <f>IF(B845="","",IF(OR(U845=0,V845=0,W845=0,X845=0,Y845=0,Z845=0,AA845=0,AB845=0,AC845=0,AD845=0,AE845=0,AF845=0,AG845=0),1,0))</f>
        <v/>
      </c>
    </row>
    <row r="846">
      <c r="A846" s="3">
        <f>IF(B846="","",ROW()-2)</f>
        <v/>
      </c>
      <c r="P846" s="4">
        <f>IF(B846="","",SUM(C846:O846))</f>
        <v/>
      </c>
      <c r="Q846" s="5">
        <f>IF(B846="","",ROUND(P846/13,2))</f>
        <v/>
      </c>
      <c r="R846" s="5">
        <f>IF(B846="","",IF(AH846=1,0,MIN(5,ROUND((U846+V846+W846+X846+Y846+Z846+AA846+AB846+AC846+AD846+AE846+AF846+AG846)/13,2))))</f>
        <v/>
      </c>
      <c r="S846" s="3">
        <f>IF(B846="","",IF(R846&gt;=5,"A+",IF(R846&gt;=4,"A",IF(R846&gt;=3.5,"A-",IF(R846&gt;=3,"B",IF(R846&gt;=2,"C",IF(R846&gt;=1,"D","F")))))))</f>
        <v/>
      </c>
      <c r="T846" s="3">
        <f>IF(OR(B846="",S846="F"),"",COUNTIFS(P:P,"&gt;"&amp;P846,S:S,"&lt;&gt;F")+1)</f>
        <v/>
      </c>
      <c r="U846">
        <f>IF(B846="","",IF(C846&lt;33.0,0,IF(C846&gt;=100*0.8,5,IF(C846&gt;=100*0.7,4,IF(C846&gt;=100*0.6,3.5,IF(C846&gt;=100*0.5,3,IF(C846&gt;=100*0.4,2,IF(C846&gt;=100*0.33,1,0))))))))</f>
        <v/>
      </c>
      <c r="V846">
        <f>IF(B846="","",IF(D846&lt;33.0,0,IF(D846&gt;=100*0.8,5,IF(D846&gt;=100*0.7,4,IF(D846&gt;=100*0.6,3.5,IF(D846&gt;=100*0.5,3,IF(D846&gt;=100*0.4,2,IF(D846&gt;=100*0.33,1,0))))))))</f>
        <v/>
      </c>
      <c r="W846">
        <f>IF(B846="","",IF(E846&lt;16.5,0,IF(E846&gt;=50*0.8,5,IF(E846&gt;=50*0.7,4,IF(E846&gt;=50*0.6,3.5,IF(E846&gt;=50*0.5,3,IF(E846&gt;=50*0.4,2,IF(E846&gt;=50*0.33,1,0))))))))</f>
        <v/>
      </c>
      <c r="X846">
        <f>IF(B846="","",IF(F846&lt;33.0,0,IF(F846&gt;=100*0.8,5,IF(F846&gt;=100*0.7,4,IF(F846&gt;=100*0.6,3.5,IF(F846&gt;=100*0.5,3,IF(F846&gt;=100*0.4,2,IF(F846&gt;=100*0.33,1,0))))))))</f>
        <v/>
      </c>
      <c r="Y846">
        <f>IF(B846="","",IF(G846&lt;16.5,0,IF(G846&gt;=50*0.8,5,IF(G846&gt;=50*0.7,4,IF(G846&gt;=50*0.6,3.5,IF(G846&gt;=50*0.5,3,IF(G846&gt;=50*0.4,2,IF(G846&gt;=50*0.33,1,0))))))))</f>
        <v/>
      </c>
      <c r="Z846">
        <f>IF(B846="","",IF(H846&lt;33.0,0,IF(H846&gt;=100*0.8,5,IF(H846&gt;=100*0.7,4,IF(H846&gt;=100*0.6,3.5,IF(H846&gt;=100*0.5,3,IF(H846&gt;=100*0.4,2,IF(H846&gt;=100*0.33,1,0))))))))</f>
        <v/>
      </c>
      <c r="AA846">
        <f>IF(B846="","",IF(I846&lt;33.0,0,IF(I846&gt;=100*0.8,5,IF(I846&gt;=100*0.7,4,IF(I846&gt;=100*0.6,3.5,IF(I846&gt;=100*0.5,3,IF(I846&gt;=100*0.4,2,IF(I846&gt;=100*0.33,1,0))))))))</f>
        <v/>
      </c>
      <c r="AB846">
        <f>IF(B846="","",IF(J846&lt;33.0,0,IF(J846&gt;=100*0.8,5,IF(J846&gt;=100*0.7,4,IF(J846&gt;=100*0.6,3.5,IF(J846&gt;=100*0.5,3,IF(J846&gt;=100*0.4,2,IF(J846&gt;=100*0.33,1,0))))))))</f>
        <v/>
      </c>
      <c r="AC846">
        <f>IF(B846="","",IF(K846&lt;33.0,0,IF(K846&gt;=100*0.8,5,IF(K846&gt;=100*0.7,4,IF(K846&gt;=100*0.6,3.5,IF(K846&gt;=100*0.5,3,IF(K846&gt;=100*0.4,2,IF(K846&gt;=100*0.33,1,0))))))))</f>
        <v/>
      </c>
      <c r="AD846">
        <f>IF(B846="","",IF(L846&lt;33.0,0,IF(L846&gt;=100*0.8,5,IF(L846&gt;=100*0.7,4,IF(L846&gt;=100*0.6,3.5,IF(L846&gt;=100*0.5,3,IF(L846&gt;=100*0.4,2,IF(L846&gt;=100*0.33,1,0))))))))</f>
        <v/>
      </c>
      <c r="AE846">
        <f>IF(B846="","",IF(M846&lt;33.0,0,IF(M846&gt;=100*0.8,5,IF(M846&gt;=100*0.7,4,IF(M846&gt;=100*0.6,3.5,IF(M846&gt;=100*0.5,3,IF(M846&gt;=100*0.4,2,IF(M846&gt;=100*0.33,1,0))))))))</f>
        <v/>
      </c>
      <c r="AF846">
        <f>IF(B846="","",IF(N846&lt;16.5,0,IF(N846&gt;=50*0.8,5,IF(N846&gt;=50*0.7,4,IF(N846&gt;=50*0.6,3.5,IF(N846&gt;=50*0.5,3,IF(N846&gt;=50*0.4,2,IF(N846&gt;=50*0.33,1,0))))))))</f>
        <v/>
      </c>
      <c r="AG846">
        <f>IF(B846="","",IF(O846&lt;33.0,0,IF(O846&gt;=100*0.8,5,IF(O846&gt;=100*0.7,4,IF(O846&gt;=100*0.6,3.5,IF(O846&gt;=100*0.5,3,IF(O846&gt;=100*0.4,2,IF(O846&gt;=100*0.33,1,0))))))))</f>
        <v/>
      </c>
      <c r="AH846">
        <f>IF(B846="","",IF(OR(U846=0,V846=0,W846=0,X846=0,Y846=0,Z846=0,AA846=0,AB846=0,AC846=0,AD846=0,AE846=0,AF846=0,AG846=0),1,0))</f>
        <v/>
      </c>
    </row>
    <row r="847">
      <c r="A847" s="3">
        <f>IF(B847="","",ROW()-2)</f>
        <v/>
      </c>
      <c r="P847" s="4">
        <f>IF(B847="","",SUM(C847:O847))</f>
        <v/>
      </c>
      <c r="Q847" s="5">
        <f>IF(B847="","",ROUND(P847/13,2))</f>
        <v/>
      </c>
      <c r="R847" s="5">
        <f>IF(B847="","",IF(AH847=1,0,MIN(5,ROUND((U847+V847+W847+X847+Y847+Z847+AA847+AB847+AC847+AD847+AE847+AF847+AG847)/13,2))))</f>
        <v/>
      </c>
      <c r="S847" s="3">
        <f>IF(B847="","",IF(R847&gt;=5,"A+",IF(R847&gt;=4,"A",IF(R847&gt;=3.5,"A-",IF(R847&gt;=3,"B",IF(R847&gt;=2,"C",IF(R847&gt;=1,"D","F")))))))</f>
        <v/>
      </c>
      <c r="T847" s="3">
        <f>IF(OR(B847="",S847="F"),"",COUNTIFS(P:P,"&gt;"&amp;P847,S:S,"&lt;&gt;F")+1)</f>
        <v/>
      </c>
      <c r="U847">
        <f>IF(B847="","",IF(C847&lt;33.0,0,IF(C847&gt;=100*0.8,5,IF(C847&gt;=100*0.7,4,IF(C847&gt;=100*0.6,3.5,IF(C847&gt;=100*0.5,3,IF(C847&gt;=100*0.4,2,IF(C847&gt;=100*0.33,1,0))))))))</f>
        <v/>
      </c>
      <c r="V847">
        <f>IF(B847="","",IF(D847&lt;33.0,0,IF(D847&gt;=100*0.8,5,IF(D847&gt;=100*0.7,4,IF(D847&gt;=100*0.6,3.5,IF(D847&gt;=100*0.5,3,IF(D847&gt;=100*0.4,2,IF(D847&gt;=100*0.33,1,0))))))))</f>
        <v/>
      </c>
      <c r="W847">
        <f>IF(B847="","",IF(E847&lt;16.5,0,IF(E847&gt;=50*0.8,5,IF(E847&gt;=50*0.7,4,IF(E847&gt;=50*0.6,3.5,IF(E847&gt;=50*0.5,3,IF(E847&gt;=50*0.4,2,IF(E847&gt;=50*0.33,1,0))))))))</f>
        <v/>
      </c>
      <c r="X847">
        <f>IF(B847="","",IF(F847&lt;33.0,0,IF(F847&gt;=100*0.8,5,IF(F847&gt;=100*0.7,4,IF(F847&gt;=100*0.6,3.5,IF(F847&gt;=100*0.5,3,IF(F847&gt;=100*0.4,2,IF(F847&gt;=100*0.33,1,0))))))))</f>
        <v/>
      </c>
      <c r="Y847">
        <f>IF(B847="","",IF(G847&lt;16.5,0,IF(G847&gt;=50*0.8,5,IF(G847&gt;=50*0.7,4,IF(G847&gt;=50*0.6,3.5,IF(G847&gt;=50*0.5,3,IF(G847&gt;=50*0.4,2,IF(G847&gt;=50*0.33,1,0))))))))</f>
        <v/>
      </c>
      <c r="Z847">
        <f>IF(B847="","",IF(H847&lt;33.0,0,IF(H847&gt;=100*0.8,5,IF(H847&gt;=100*0.7,4,IF(H847&gt;=100*0.6,3.5,IF(H847&gt;=100*0.5,3,IF(H847&gt;=100*0.4,2,IF(H847&gt;=100*0.33,1,0))))))))</f>
        <v/>
      </c>
      <c r="AA847">
        <f>IF(B847="","",IF(I847&lt;33.0,0,IF(I847&gt;=100*0.8,5,IF(I847&gt;=100*0.7,4,IF(I847&gt;=100*0.6,3.5,IF(I847&gt;=100*0.5,3,IF(I847&gt;=100*0.4,2,IF(I847&gt;=100*0.33,1,0))))))))</f>
        <v/>
      </c>
      <c r="AB847">
        <f>IF(B847="","",IF(J847&lt;33.0,0,IF(J847&gt;=100*0.8,5,IF(J847&gt;=100*0.7,4,IF(J847&gt;=100*0.6,3.5,IF(J847&gt;=100*0.5,3,IF(J847&gt;=100*0.4,2,IF(J847&gt;=100*0.33,1,0))))))))</f>
        <v/>
      </c>
      <c r="AC847">
        <f>IF(B847="","",IF(K847&lt;33.0,0,IF(K847&gt;=100*0.8,5,IF(K847&gt;=100*0.7,4,IF(K847&gt;=100*0.6,3.5,IF(K847&gt;=100*0.5,3,IF(K847&gt;=100*0.4,2,IF(K847&gt;=100*0.33,1,0))))))))</f>
        <v/>
      </c>
      <c r="AD847">
        <f>IF(B847="","",IF(L847&lt;33.0,0,IF(L847&gt;=100*0.8,5,IF(L847&gt;=100*0.7,4,IF(L847&gt;=100*0.6,3.5,IF(L847&gt;=100*0.5,3,IF(L847&gt;=100*0.4,2,IF(L847&gt;=100*0.33,1,0))))))))</f>
        <v/>
      </c>
      <c r="AE847">
        <f>IF(B847="","",IF(M847&lt;33.0,0,IF(M847&gt;=100*0.8,5,IF(M847&gt;=100*0.7,4,IF(M847&gt;=100*0.6,3.5,IF(M847&gt;=100*0.5,3,IF(M847&gt;=100*0.4,2,IF(M847&gt;=100*0.33,1,0))))))))</f>
        <v/>
      </c>
      <c r="AF847">
        <f>IF(B847="","",IF(N847&lt;16.5,0,IF(N847&gt;=50*0.8,5,IF(N847&gt;=50*0.7,4,IF(N847&gt;=50*0.6,3.5,IF(N847&gt;=50*0.5,3,IF(N847&gt;=50*0.4,2,IF(N847&gt;=50*0.33,1,0))))))))</f>
        <v/>
      </c>
      <c r="AG847">
        <f>IF(B847="","",IF(O847&lt;33.0,0,IF(O847&gt;=100*0.8,5,IF(O847&gt;=100*0.7,4,IF(O847&gt;=100*0.6,3.5,IF(O847&gt;=100*0.5,3,IF(O847&gt;=100*0.4,2,IF(O847&gt;=100*0.33,1,0))))))))</f>
        <v/>
      </c>
      <c r="AH847">
        <f>IF(B847="","",IF(OR(U847=0,V847=0,W847=0,X847=0,Y847=0,Z847=0,AA847=0,AB847=0,AC847=0,AD847=0,AE847=0,AF847=0,AG847=0),1,0))</f>
        <v/>
      </c>
    </row>
    <row r="848">
      <c r="A848" s="3">
        <f>IF(B848="","",ROW()-2)</f>
        <v/>
      </c>
      <c r="P848" s="4">
        <f>IF(B848="","",SUM(C848:O848))</f>
        <v/>
      </c>
      <c r="Q848" s="5">
        <f>IF(B848="","",ROUND(P848/13,2))</f>
        <v/>
      </c>
      <c r="R848" s="5">
        <f>IF(B848="","",IF(AH848=1,0,MIN(5,ROUND((U848+V848+W848+X848+Y848+Z848+AA848+AB848+AC848+AD848+AE848+AF848+AG848)/13,2))))</f>
        <v/>
      </c>
      <c r="S848" s="3">
        <f>IF(B848="","",IF(R848&gt;=5,"A+",IF(R848&gt;=4,"A",IF(R848&gt;=3.5,"A-",IF(R848&gt;=3,"B",IF(R848&gt;=2,"C",IF(R848&gt;=1,"D","F")))))))</f>
        <v/>
      </c>
      <c r="T848" s="3">
        <f>IF(OR(B848="",S848="F"),"",COUNTIFS(P:P,"&gt;"&amp;P848,S:S,"&lt;&gt;F")+1)</f>
        <v/>
      </c>
      <c r="U848">
        <f>IF(B848="","",IF(C848&lt;33.0,0,IF(C848&gt;=100*0.8,5,IF(C848&gt;=100*0.7,4,IF(C848&gt;=100*0.6,3.5,IF(C848&gt;=100*0.5,3,IF(C848&gt;=100*0.4,2,IF(C848&gt;=100*0.33,1,0))))))))</f>
        <v/>
      </c>
      <c r="V848">
        <f>IF(B848="","",IF(D848&lt;33.0,0,IF(D848&gt;=100*0.8,5,IF(D848&gt;=100*0.7,4,IF(D848&gt;=100*0.6,3.5,IF(D848&gt;=100*0.5,3,IF(D848&gt;=100*0.4,2,IF(D848&gt;=100*0.33,1,0))))))))</f>
        <v/>
      </c>
      <c r="W848">
        <f>IF(B848="","",IF(E848&lt;16.5,0,IF(E848&gt;=50*0.8,5,IF(E848&gt;=50*0.7,4,IF(E848&gt;=50*0.6,3.5,IF(E848&gt;=50*0.5,3,IF(E848&gt;=50*0.4,2,IF(E848&gt;=50*0.33,1,0))))))))</f>
        <v/>
      </c>
      <c r="X848">
        <f>IF(B848="","",IF(F848&lt;33.0,0,IF(F848&gt;=100*0.8,5,IF(F848&gt;=100*0.7,4,IF(F848&gt;=100*0.6,3.5,IF(F848&gt;=100*0.5,3,IF(F848&gt;=100*0.4,2,IF(F848&gt;=100*0.33,1,0))))))))</f>
        <v/>
      </c>
      <c r="Y848">
        <f>IF(B848="","",IF(G848&lt;16.5,0,IF(G848&gt;=50*0.8,5,IF(G848&gt;=50*0.7,4,IF(G848&gt;=50*0.6,3.5,IF(G848&gt;=50*0.5,3,IF(G848&gt;=50*0.4,2,IF(G848&gt;=50*0.33,1,0))))))))</f>
        <v/>
      </c>
      <c r="Z848">
        <f>IF(B848="","",IF(H848&lt;33.0,0,IF(H848&gt;=100*0.8,5,IF(H848&gt;=100*0.7,4,IF(H848&gt;=100*0.6,3.5,IF(H848&gt;=100*0.5,3,IF(H848&gt;=100*0.4,2,IF(H848&gt;=100*0.33,1,0))))))))</f>
        <v/>
      </c>
      <c r="AA848">
        <f>IF(B848="","",IF(I848&lt;33.0,0,IF(I848&gt;=100*0.8,5,IF(I848&gt;=100*0.7,4,IF(I848&gt;=100*0.6,3.5,IF(I848&gt;=100*0.5,3,IF(I848&gt;=100*0.4,2,IF(I848&gt;=100*0.33,1,0))))))))</f>
        <v/>
      </c>
      <c r="AB848">
        <f>IF(B848="","",IF(J848&lt;33.0,0,IF(J848&gt;=100*0.8,5,IF(J848&gt;=100*0.7,4,IF(J848&gt;=100*0.6,3.5,IF(J848&gt;=100*0.5,3,IF(J848&gt;=100*0.4,2,IF(J848&gt;=100*0.33,1,0))))))))</f>
        <v/>
      </c>
      <c r="AC848">
        <f>IF(B848="","",IF(K848&lt;33.0,0,IF(K848&gt;=100*0.8,5,IF(K848&gt;=100*0.7,4,IF(K848&gt;=100*0.6,3.5,IF(K848&gt;=100*0.5,3,IF(K848&gt;=100*0.4,2,IF(K848&gt;=100*0.33,1,0))))))))</f>
        <v/>
      </c>
      <c r="AD848">
        <f>IF(B848="","",IF(L848&lt;33.0,0,IF(L848&gt;=100*0.8,5,IF(L848&gt;=100*0.7,4,IF(L848&gt;=100*0.6,3.5,IF(L848&gt;=100*0.5,3,IF(L848&gt;=100*0.4,2,IF(L848&gt;=100*0.33,1,0))))))))</f>
        <v/>
      </c>
      <c r="AE848">
        <f>IF(B848="","",IF(M848&lt;33.0,0,IF(M848&gt;=100*0.8,5,IF(M848&gt;=100*0.7,4,IF(M848&gt;=100*0.6,3.5,IF(M848&gt;=100*0.5,3,IF(M848&gt;=100*0.4,2,IF(M848&gt;=100*0.33,1,0))))))))</f>
        <v/>
      </c>
      <c r="AF848">
        <f>IF(B848="","",IF(N848&lt;16.5,0,IF(N848&gt;=50*0.8,5,IF(N848&gt;=50*0.7,4,IF(N848&gt;=50*0.6,3.5,IF(N848&gt;=50*0.5,3,IF(N848&gt;=50*0.4,2,IF(N848&gt;=50*0.33,1,0))))))))</f>
        <v/>
      </c>
      <c r="AG848">
        <f>IF(B848="","",IF(O848&lt;33.0,0,IF(O848&gt;=100*0.8,5,IF(O848&gt;=100*0.7,4,IF(O848&gt;=100*0.6,3.5,IF(O848&gt;=100*0.5,3,IF(O848&gt;=100*0.4,2,IF(O848&gt;=100*0.33,1,0))))))))</f>
        <v/>
      </c>
      <c r="AH848">
        <f>IF(B848="","",IF(OR(U848=0,V848=0,W848=0,X848=0,Y848=0,Z848=0,AA848=0,AB848=0,AC848=0,AD848=0,AE848=0,AF848=0,AG848=0),1,0))</f>
        <v/>
      </c>
    </row>
    <row r="849">
      <c r="A849" s="3">
        <f>IF(B849="","",ROW()-2)</f>
        <v/>
      </c>
      <c r="P849" s="4">
        <f>IF(B849="","",SUM(C849:O849))</f>
        <v/>
      </c>
      <c r="Q849" s="5">
        <f>IF(B849="","",ROUND(P849/13,2))</f>
        <v/>
      </c>
      <c r="R849" s="5">
        <f>IF(B849="","",IF(AH849=1,0,MIN(5,ROUND((U849+V849+W849+X849+Y849+Z849+AA849+AB849+AC849+AD849+AE849+AF849+AG849)/13,2))))</f>
        <v/>
      </c>
      <c r="S849" s="3">
        <f>IF(B849="","",IF(R849&gt;=5,"A+",IF(R849&gt;=4,"A",IF(R849&gt;=3.5,"A-",IF(R849&gt;=3,"B",IF(R849&gt;=2,"C",IF(R849&gt;=1,"D","F")))))))</f>
        <v/>
      </c>
      <c r="T849" s="3">
        <f>IF(OR(B849="",S849="F"),"",COUNTIFS(P:P,"&gt;"&amp;P849,S:S,"&lt;&gt;F")+1)</f>
        <v/>
      </c>
      <c r="U849">
        <f>IF(B849="","",IF(C849&lt;33.0,0,IF(C849&gt;=100*0.8,5,IF(C849&gt;=100*0.7,4,IF(C849&gt;=100*0.6,3.5,IF(C849&gt;=100*0.5,3,IF(C849&gt;=100*0.4,2,IF(C849&gt;=100*0.33,1,0))))))))</f>
        <v/>
      </c>
      <c r="V849">
        <f>IF(B849="","",IF(D849&lt;33.0,0,IF(D849&gt;=100*0.8,5,IF(D849&gt;=100*0.7,4,IF(D849&gt;=100*0.6,3.5,IF(D849&gt;=100*0.5,3,IF(D849&gt;=100*0.4,2,IF(D849&gt;=100*0.33,1,0))))))))</f>
        <v/>
      </c>
      <c r="W849">
        <f>IF(B849="","",IF(E849&lt;16.5,0,IF(E849&gt;=50*0.8,5,IF(E849&gt;=50*0.7,4,IF(E849&gt;=50*0.6,3.5,IF(E849&gt;=50*0.5,3,IF(E849&gt;=50*0.4,2,IF(E849&gt;=50*0.33,1,0))))))))</f>
        <v/>
      </c>
      <c r="X849">
        <f>IF(B849="","",IF(F849&lt;33.0,0,IF(F849&gt;=100*0.8,5,IF(F849&gt;=100*0.7,4,IF(F849&gt;=100*0.6,3.5,IF(F849&gt;=100*0.5,3,IF(F849&gt;=100*0.4,2,IF(F849&gt;=100*0.33,1,0))))))))</f>
        <v/>
      </c>
      <c r="Y849">
        <f>IF(B849="","",IF(G849&lt;16.5,0,IF(G849&gt;=50*0.8,5,IF(G849&gt;=50*0.7,4,IF(G849&gt;=50*0.6,3.5,IF(G849&gt;=50*0.5,3,IF(G849&gt;=50*0.4,2,IF(G849&gt;=50*0.33,1,0))))))))</f>
        <v/>
      </c>
      <c r="Z849">
        <f>IF(B849="","",IF(H849&lt;33.0,0,IF(H849&gt;=100*0.8,5,IF(H849&gt;=100*0.7,4,IF(H849&gt;=100*0.6,3.5,IF(H849&gt;=100*0.5,3,IF(H849&gt;=100*0.4,2,IF(H849&gt;=100*0.33,1,0))))))))</f>
        <v/>
      </c>
      <c r="AA849">
        <f>IF(B849="","",IF(I849&lt;33.0,0,IF(I849&gt;=100*0.8,5,IF(I849&gt;=100*0.7,4,IF(I849&gt;=100*0.6,3.5,IF(I849&gt;=100*0.5,3,IF(I849&gt;=100*0.4,2,IF(I849&gt;=100*0.33,1,0))))))))</f>
        <v/>
      </c>
      <c r="AB849">
        <f>IF(B849="","",IF(J849&lt;33.0,0,IF(J849&gt;=100*0.8,5,IF(J849&gt;=100*0.7,4,IF(J849&gt;=100*0.6,3.5,IF(J849&gt;=100*0.5,3,IF(J849&gt;=100*0.4,2,IF(J849&gt;=100*0.33,1,0))))))))</f>
        <v/>
      </c>
      <c r="AC849">
        <f>IF(B849="","",IF(K849&lt;33.0,0,IF(K849&gt;=100*0.8,5,IF(K849&gt;=100*0.7,4,IF(K849&gt;=100*0.6,3.5,IF(K849&gt;=100*0.5,3,IF(K849&gt;=100*0.4,2,IF(K849&gt;=100*0.33,1,0))))))))</f>
        <v/>
      </c>
      <c r="AD849">
        <f>IF(B849="","",IF(L849&lt;33.0,0,IF(L849&gt;=100*0.8,5,IF(L849&gt;=100*0.7,4,IF(L849&gt;=100*0.6,3.5,IF(L849&gt;=100*0.5,3,IF(L849&gt;=100*0.4,2,IF(L849&gt;=100*0.33,1,0))))))))</f>
        <v/>
      </c>
      <c r="AE849">
        <f>IF(B849="","",IF(M849&lt;33.0,0,IF(M849&gt;=100*0.8,5,IF(M849&gt;=100*0.7,4,IF(M849&gt;=100*0.6,3.5,IF(M849&gt;=100*0.5,3,IF(M849&gt;=100*0.4,2,IF(M849&gt;=100*0.33,1,0))))))))</f>
        <v/>
      </c>
      <c r="AF849">
        <f>IF(B849="","",IF(N849&lt;16.5,0,IF(N849&gt;=50*0.8,5,IF(N849&gt;=50*0.7,4,IF(N849&gt;=50*0.6,3.5,IF(N849&gt;=50*0.5,3,IF(N849&gt;=50*0.4,2,IF(N849&gt;=50*0.33,1,0))))))))</f>
        <v/>
      </c>
      <c r="AG849">
        <f>IF(B849="","",IF(O849&lt;33.0,0,IF(O849&gt;=100*0.8,5,IF(O849&gt;=100*0.7,4,IF(O849&gt;=100*0.6,3.5,IF(O849&gt;=100*0.5,3,IF(O849&gt;=100*0.4,2,IF(O849&gt;=100*0.33,1,0))))))))</f>
        <v/>
      </c>
      <c r="AH849">
        <f>IF(B849="","",IF(OR(U849=0,V849=0,W849=0,X849=0,Y849=0,Z849=0,AA849=0,AB849=0,AC849=0,AD849=0,AE849=0,AF849=0,AG849=0),1,0))</f>
        <v/>
      </c>
    </row>
    <row r="850">
      <c r="A850" s="3">
        <f>IF(B850="","",ROW()-2)</f>
        <v/>
      </c>
      <c r="P850" s="4">
        <f>IF(B850="","",SUM(C850:O850))</f>
        <v/>
      </c>
      <c r="Q850" s="5">
        <f>IF(B850="","",ROUND(P850/13,2))</f>
        <v/>
      </c>
      <c r="R850" s="5">
        <f>IF(B850="","",IF(AH850=1,0,MIN(5,ROUND((U850+V850+W850+X850+Y850+Z850+AA850+AB850+AC850+AD850+AE850+AF850+AG850)/13,2))))</f>
        <v/>
      </c>
      <c r="S850" s="3">
        <f>IF(B850="","",IF(R850&gt;=5,"A+",IF(R850&gt;=4,"A",IF(R850&gt;=3.5,"A-",IF(R850&gt;=3,"B",IF(R850&gt;=2,"C",IF(R850&gt;=1,"D","F")))))))</f>
        <v/>
      </c>
      <c r="T850" s="3">
        <f>IF(OR(B850="",S850="F"),"",COUNTIFS(P:P,"&gt;"&amp;P850,S:S,"&lt;&gt;F")+1)</f>
        <v/>
      </c>
      <c r="U850">
        <f>IF(B850="","",IF(C850&lt;33.0,0,IF(C850&gt;=100*0.8,5,IF(C850&gt;=100*0.7,4,IF(C850&gt;=100*0.6,3.5,IF(C850&gt;=100*0.5,3,IF(C850&gt;=100*0.4,2,IF(C850&gt;=100*0.33,1,0))))))))</f>
        <v/>
      </c>
      <c r="V850">
        <f>IF(B850="","",IF(D850&lt;33.0,0,IF(D850&gt;=100*0.8,5,IF(D850&gt;=100*0.7,4,IF(D850&gt;=100*0.6,3.5,IF(D850&gt;=100*0.5,3,IF(D850&gt;=100*0.4,2,IF(D850&gt;=100*0.33,1,0))))))))</f>
        <v/>
      </c>
      <c r="W850">
        <f>IF(B850="","",IF(E850&lt;16.5,0,IF(E850&gt;=50*0.8,5,IF(E850&gt;=50*0.7,4,IF(E850&gt;=50*0.6,3.5,IF(E850&gt;=50*0.5,3,IF(E850&gt;=50*0.4,2,IF(E850&gt;=50*0.33,1,0))))))))</f>
        <v/>
      </c>
      <c r="X850">
        <f>IF(B850="","",IF(F850&lt;33.0,0,IF(F850&gt;=100*0.8,5,IF(F850&gt;=100*0.7,4,IF(F850&gt;=100*0.6,3.5,IF(F850&gt;=100*0.5,3,IF(F850&gt;=100*0.4,2,IF(F850&gt;=100*0.33,1,0))))))))</f>
        <v/>
      </c>
      <c r="Y850">
        <f>IF(B850="","",IF(G850&lt;16.5,0,IF(G850&gt;=50*0.8,5,IF(G850&gt;=50*0.7,4,IF(G850&gt;=50*0.6,3.5,IF(G850&gt;=50*0.5,3,IF(G850&gt;=50*0.4,2,IF(G850&gt;=50*0.33,1,0))))))))</f>
        <v/>
      </c>
      <c r="Z850">
        <f>IF(B850="","",IF(H850&lt;33.0,0,IF(H850&gt;=100*0.8,5,IF(H850&gt;=100*0.7,4,IF(H850&gt;=100*0.6,3.5,IF(H850&gt;=100*0.5,3,IF(H850&gt;=100*0.4,2,IF(H850&gt;=100*0.33,1,0))))))))</f>
        <v/>
      </c>
      <c r="AA850">
        <f>IF(B850="","",IF(I850&lt;33.0,0,IF(I850&gt;=100*0.8,5,IF(I850&gt;=100*0.7,4,IF(I850&gt;=100*0.6,3.5,IF(I850&gt;=100*0.5,3,IF(I850&gt;=100*0.4,2,IF(I850&gt;=100*0.33,1,0))))))))</f>
        <v/>
      </c>
      <c r="AB850">
        <f>IF(B850="","",IF(J850&lt;33.0,0,IF(J850&gt;=100*0.8,5,IF(J850&gt;=100*0.7,4,IF(J850&gt;=100*0.6,3.5,IF(J850&gt;=100*0.5,3,IF(J850&gt;=100*0.4,2,IF(J850&gt;=100*0.33,1,0))))))))</f>
        <v/>
      </c>
      <c r="AC850">
        <f>IF(B850="","",IF(K850&lt;33.0,0,IF(K850&gt;=100*0.8,5,IF(K850&gt;=100*0.7,4,IF(K850&gt;=100*0.6,3.5,IF(K850&gt;=100*0.5,3,IF(K850&gt;=100*0.4,2,IF(K850&gt;=100*0.33,1,0))))))))</f>
        <v/>
      </c>
      <c r="AD850">
        <f>IF(B850="","",IF(L850&lt;33.0,0,IF(L850&gt;=100*0.8,5,IF(L850&gt;=100*0.7,4,IF(L850&gt;=100*0.6,3.5,IF(L850&gt;=100*0.5,3,IF(L850&gt;=100*0.4,2,IF(L850&gt;=100*0.33,1,0))))))))</f>
        <v/>
      </c>
      <c r="AE850">
        <f>IF(B850="","",IF(M850&lt;33.0,0,IF(M850&gt;=100*0.8,5,IF(M850&gt;=100*0.7,4,IF(M850&gt;=100*0.6,3.5,IF(M850&gt;=100*0.5,3,IF(M850&gt;=100*0.4,2,IF(M850&gt;=100*0.33,1,0))))))))</f>
        <v/>
      </c>
      <c r="AF850">
        <f>IF(B850="","",IF(N850&lt;16.5,0,IF(N850&gt;=50*0.8,5,IF(N850&gt;=50*0.7,4,IF(N850&gt;=50*0.6,3.5,IF(N850&gt;=50*0.5,3,IF(N850&gt;=50*0.4,2,IF(N850&gt;=50*0.33,1,0))))))))</f>
        <v/>
      </c>
      <c r="AG850">
        <f>IF(B850="","",IF(O850&lt;33.0,0,IF(O850&gt;=100*0.8,5,IF(O850&gt;=100*0.7,4,IF(O850&gt;=100*0.6,3.5,IF(O850&gt;=100*0.5,3,IF(O850&gt;=100*0.4,2,IF(O850&gt;=100*0.33,1,0))))))))</f>
        <v/>
      </c>
      <c r="AH850">
        <f>IF(B850="","",IF(OR(U850=0,V850=0,W850=0,X850=0,Y850=0,Z850=0,AA850=0,AB850=0,AC850=0,AD850=0,AE850=0,AF850=0,AG850=0),1,0))</f>
        <v/>
      </c>
    </row>
    <row r="851">
      <c r="A851" s="3">
        <f>IF(B851="","",ROW()-2)</f>
        <v/>
      </c>
      <c r="P851" s="4">
        <f>IF(B851="","",SUM(C851:O851))</f>
        <v/>
      </c>
      <c r="Q851" s="5">
        <f>IF(B851="","",ROUND(P851/13,2))</f>
        <v/>
      </c>
      <c r="R851" s="5">
        <f>IF(B851="","",IF(AH851=1,0,MIN(5,ROUND((U851+V851+W851+X851+Y851+Z851+AA851+AB851+AC851+AD851+AE851+AF851+AG851)/13,2))))</f>
        <v/>
      </c>
      <c r="S851" s="3">
        <f>IF(B851="","",IF(R851&gt;=5,"A+",IF(R851&gt;=4,"A",IF(R851&gt;=3.5,"A-",IF(R851&gt;=3,"B",IF(R851&gt;=2,"C",IF(R851&gt;=1,"D","F")))))))</f>
        <v/>
      </c>
      <c r="T851" s="3">
        <f>IF(OR(B851="",S851="F"),"",COUNTIFS(P:P,"&gt;"&amp;P851,S:S,"&lt;&gt;F")+1)</f>
        <v/>
      </c>
      <c r="U851">
        <f>IF(B851="","",IF(C851&lt;33.0,0,IF(C851&gt;=100*0.8,5,IF(C851&gt;=100*0.7,4,IF(C851&gt;=100*0.6,3.5,IF(C851&gt;=100*0.5,3,IF(C851&gt;=100*0.4,2,IF(C851&gt;=100*0.33,1,0))))))))</f>
        <v/>
      </c>
      <c r="V851">
        <f>IF(B851="","",IF(D851&lt;33.0,0,IF(D851&gt;=100*0.8,5,IF(D851&gt;=100*0.7,4,IF(D851&gt;=100*0.6,3.5,IF(D851&gt;=100*0.5,3,IF(D851&gt;=100*0.4,2,IF(D851&gt;=100*0.33,1,0))))))))</f>
        <v/>
      </c>
      <c r="W851">
        <f>IF(B851="","",IF(E851&lt;16.5,0,IF(E851&gt;=50*0.8,5,IF(E851&gt;=50*0.7,4,IF(E851&gt;=50*0.6,3.5,IF(E851&gt;=50*0.5,3,IF(E851&gt;=50*0.4,2,IF(E851&gt;=50*0.33,1,0))))))))</f>
        <v/>
      </c>
      <c r="X851">
        <f>IF(B851="","",IF(F851&lt;33.0,0,IF(F851&gt;=100*0.8,5,IF(F851&gt;=100*0.7,4,IF(F851&gt;=100*0.6,3.5,IF(F851&gt;=100*0.5,3,IF(F851&gt;=100*0.4,2,IF(F851&gt;=100*0.33,1,0))))))))</f>
        <v/>
      </c>
      <c r="Y851">
        <f>IF(B851="","",IF(G851&lt;16.5,0,IF(G851&gt;=50*0.8,5,IF(G851&gt;=50*0.7,4,IF(G851&gt;=50*0.6,3.5,IF(G851&gt;=50*0.5,3,IF(G851&gt;=50*0.4,2,IF(G851&gt;=50*0.33,1,0))))))))</f>
        <v/>
      </c>
      <c r="Z851">
        <f>IF(B851="","",IF(H851&lt;33.0,0,IF(H851&gt;=100*0.8,5,IF(H851&gt;=100*0.7,4,IF(H851&gt;=100*0.6,3.5,IF(H851&gt;=100*0.5,3,IF(H851&gt;=100*0.4,2,IF(H851&gt;=100*0.33,1,0))))))))</f>
        <v/>
      </c>
      <c r="AA851">
        <f>IF(B851="","",IF(I851&lt;33.0,0,IF(I851&gt;=100*0.8,5,IF(I851&gt;=100*0.7,4,IF(I851&gt;=100*0.6,3.5,IF(I851&gt;=100*0.5,3,IF(I851&gt;=100*0.4,2,IF(I851&gt;=100*0.33,1,0))))))))</f>
        <v/>
      </c>
      <c r="AB851">
        <f>IF(B851="","",IF(J851&lt;33.0,0,IF(J851&gt;=100*0.8,5,IF(J851&gt;=100*0.7,4,IF(J851&gt;=100*0.6,3.5,IF(J851&gt;=100*0.5,3,IF(J851&gt;=100*0.4,2,IF(J851&gt;=100*0.33,1,0))))))))</f>
        <v/>
      </c>
      <c r="AC851">
        <f>IF(B851="","",IF(K851&lt;33.0,0,IF(K851&gt;=100*0.8,5,IF(K851&gt;=100*0.7,4,IF(K851&gt;=100*0.6,3.5,IF(K851&gt;=100*0.5,3,IF(K851&gt;=100*0.4,2,IF(K851&gt;=100*0.33,1,0))))))))</f>
        <v/>
      </c>
      <c r="AD851">
        <f>IF(B851="","",IF(L851&lt;33.0,0,IF(L851&gt;=100*0.8,5,IF(L851&gt;=100*0.7,4,IF(L851&gt;=100*0.6,3.5,IF(L851&gt;=100*0.5,3,IF(L851&gt;=100*0.4,2,IF(L851&gt;=100*0.33,1,0))))))))</f>
        <v/>
      </c>
      <c r="AE851">
        <f>IF(B851="","",IF(M851&lt;33.0,0,IF(M851&gt;=100*0.8,5,IF(M851&gt;=100*0.7,4,IF(M851&gt;=100*0.6,3.5,IF(M851&gt;=100*0.5,3,IF(M851&gt;=100*0.4,2,IF(M851&gt;=100*0.33,1,0))))))))</f>
        <v/>
      </c>
      <c r="AF851">
        <f>IF(B851="","",IF(N851&lt;16.5,0,IF(N851&gt;=50*0.8,5,IF(N851&gt;=50*0.7,4,IF(N851&gt;=50*0.6,3.5,IF(N851&gt;=50*0.5,3,IF(N851&gt;=50*0.4,2,IF(N851&gt;=50*0.33,1,0))))))))</f>
        <v/>
      </c>
      <c r="AG851">
        <f>IF(B851="","",IF(O851&lt;33.0,0,IF(O851&gt;=100*0.8,5,IF(O851&gt;=100*0.7,4,IF(O851&gt;=100*0.6,3.5,IF(O851&gt;=100*0.5,3,IF(O851&gt;=100*0.4,2,IF(O851&gt;=100*0.33,1,0))))))))</f>
        <v/>
      </c>
      <c r="AH851">
        <f>IF(B851="","",IF(OR(U851=0,V851=0,W851=0,X851=0,Y851=0,Z851=0,AA851=0,AB851=0,AC851=0,AD851=0,AE851=0,AF851=0,AG851=0),1,0))</f>
        <v/>
      </c>
    </row>
    <row r="852">
      <c r="A852" s="3">
        <f>IF(B852="","",ROW()-2)</f>
        <v/>
      </c>
      <c r="P852" s="4">
        <f>IF(B852="","",SUM(C852:O852))</f>
        <v/>
      </c>
      <c r="Q852" s="5">
        <f>IF(B852="","",ROUND(P852/13,2))</f>
        <v/>
      </c>
      <c r="R852" s="5">
        <f>IF(B852="","",IF(AH852=1,0,MIN(5,ROUND((U852+V852+W852+X852+Y852+Z852+AA852+AB852+AC852+AD852+AE852+AF852+AG852)/13,2))))</f>
        <v/>
      </c>
      <c r="S852" s="3">
        <f>IF(B852="","",IF(R852&gt;=5,"A+",IF(R852&gt;=4,"A",IF(R852&gt;=3.5,"A-",IF(R852&gt;=3,"B",IF(R852&gt;=2,"C",IF(R852&gt;=1,"D","F")))))))</f>
        <v/>
      </c>
      <c r="T852" s="3">
        <f>IF(OR(B852="",S852="F"),"",COUNTIFS(P:P,"&gt;"&amp;P852,S:S,"&lt;&gt;F")+1)</f>
        <v/>
      </c>
      <c r="U852">
        <f>IF(B852="","",IF(C852&lt;33.0,0,IF(C852&gt;=100*0.8,5,IF(C852&gt;=100*0.7,4,IF(C852&gt;=100*0.6,3.5,IF(C852&gt;=100*0.5,3,IF(C852&gt;=100*0.4,2,IF(C852&gt;=100*0.33,1,0))))))))</f>
        <v/>
      </c>
      <c r="V852">
        <f>IF(B852="","",IF(D852&lt;33.0,0,IF(D852&gt;=100*0.8,5,IF(D852&gt;=100*0.7,4,IF(D852&gt;=100*0.6,3.5,IF(D852&gt;=100*0.5,3,IF(D852&gt;=100*0.4,2,IF(D852&gt;=100*0.33,1,0))))))))</f>
        <v/>
      </c>
      <c r="W852">
        <f>IF(B852="","",IF(E852&lt;16.5,0,IF(E852&gt;=50*0.8,5,IF(E852&gt;=50*0.7,4,IF(E852&gt;=50*0.6,3.5,IF(E852&gt;=50*0.5,3,IF(E852&gt;=50*0.4,2,IF(E852&gt;=50*0.33,1,0))))))))</f>
        <v/>
      </c>
      <c r="X852">
        <f>IF(B852="","",IF(F852&lt;33.0,0,IF(F852&gt;=100*0.8,5,IF(F852&gt;=100*0.7,4,IF(F852&gt;=100*0.6,3.5,IF(F852&gt;=100*0.5,3,IF(F852&gt;=100*0.4,2,IF(F852&gt;=100*0.33,1,0))))))))</f>
        <v/>
      </c>
      <c r="Y852">
        <f>IF(B852="","",IF(G852&lt;16.5,0,IF(G852&gt;=50*0.8,5,IF(G852&gt;=50*0.7,4,IF(G852&gt;=50*0.6,3.5,IF(G852&gt;=50*0.5,3,IF(G852&gt;=50*0.4,2,IF(G852&gt;=50*0.33,1,0))))))))</f>
        <v/>
      </c>
      <c r="Z852">
        <f>IF(B852="","",IF(H852&lt;33.0,0,IF(H852&gt;=100*0.8,5,IF(H852&gt;=100*0.7,4,IF(H852&gt;=100*0.6,3.5,IF(H852&gt;=100*0.5,3,IF(H852&gt;=100*0.4,2,IF(H852&gt;=100*0.33,1,0))))))))</f>
        <v/>
      </c>
      <c r="AA852">
        <f>IF(B852="","",IF(I852&lt;33.0,0,IF(I852&gt;=100*0.8,5,IF(I852&gt;=100*0.7,4,IF(I852&gt;=100*0.6,3.5,IF(I852&gt;=100*0.5,3,IF(I852&gt;=100*0.4,2,IF(I852&gt;=100*0.33,1,0))))))))</f>
        <v/>
      </c>
      <c r="AB852">
        <f>IF(B852="","",IF(J852&lt;33.0,0,IF(J852&gt;=100*0.8,5,IF(J852&gt;=100*0.7,4,IF(J852&gt;=100*0.6,3.5,IF(J852&gt;=100*0.5,3,IF(J852&gt;=100*0.4,2,IF(J852&gt;=100*0.33,1,0))))))))</f>
        <v/>
      </c>
      <c r="AC852">
        <f>IF(B852="","",IF(K852&lt;33.0,0,IF(K852&gt;=100*0.8,5,IF(K852&gt;=100*0.7,4,IF(K852&gt;=100*0.6,3.5,IF(K852&gt;=100*0.5,3,IF(K852&gt;=100*0.4,2,IF(K852&gt;=100*0.33,1,0))))))))</f>
        <v/>
      </c>
      <c r="AD852">
        <f>IF(B852="","",IF(L852&lt;33.0,0,IF(L852&gt;=100*0.8,5,IF(L852&gt;=100*0.7,4,IF(L852&gt;=100*0.6,3.5,IF(L852&gt;=100*0.5,3,IF(L852&gt;=100*0.4,2,IF(L852&gt;=100*0.33,1,0))))))))</f>
        <v/>
      </c>
      <c r="AE852">
        <f>IF(B852="","",IF(M852&lt;33.0,0,IF(M852&gt;=100*0.8,5,IF(M852&gt;=100*0.7,4,IF(M852&gt;=100*0.6,3.5,IF(M852&gt;=100*0.5,3,IF(M852&gt;=100*0.4,2,IF(M852&gt;=100*0.33,1,0))))))))</f>
        <v/>
      </c>
      <c r="AF852">
        <f>IF(B852="","",IF(N852&lt;16.5,0,IF(N852&gt;=50*0.8,5,IF(N852&gt;=50*0.7,4,IF(N852&gt;=50*0.6,3.5,IF(N852&gt;=50*0.5,3,IF(N852&gt;=50*0.4,2,IF(N852&gt;=50*0.33,1,0))))))))</f>
        <v/>
      </c>
      <c r="AG852">
        <f>IF(B852="","",IF(O852&lt;33.0,0,IF(O852&gt;=100*0.8,5,IF(O852&gt;=100*0.7,4,IF(O852&gt;=100*0.6,3.5,IF(O852&gt;=100*0.5,3,IF(O852&gt;=100*0.4,2,IF(O852&gt;=100*0.33,1,0))))))))</f>
        <v/>
      </c>
      <c r="AH852">
        <f>IF(B852="","",IF(OR(U852=0,V852=0,W852=0,X852=0,Y852=0,Z852=0,AA852=0,AB852=0,AC852=0,AD852=0,AE852=0,AF852=0,AG852=0),1,0))</f>
        <v/>
      </c>
    </row>
    <row r="853">
      <c r="A853" s="3">
        <f>IF(B853="","",ROW()-2)</f>
        <v/>
      </c>
      <c r="P853" s="4">
        <f>IF(B853="","",SUM(C853:O853))</f>
        <v/>
      </c>
      <c r="Q853" s="5">
        <f>IF(B853="","",ROUND(P853/13,2))</f>
        <v/>
      </c>
      <c r="R853" s="5">
        <f>IF(B853="","",IF(AH853=1,0,MIN(5,ROUND((U853+V853+W853+X853+Y853+Z853+AA853+AB853+AC853+AD853+AE853+AF853+AG853)/13,2))))</f>
        <v/>
      </c>
      <c r="S853" s="3">
        <f>IF(B853="","",IF(R853&gt;=5,"A+",IF(R853&gt;=4,"A",IF(R853&gt;=3.5,"A-",IF(R853&gt;=3,"B",IF(R853&gt;=2,"C",IF(R853&gt;=1,"D","F")))))))</f>
        <v/>
      </c>
      <c r="T853" s="3">
        <f>IF(OR(B853="",S853="F"),"",COUNTIFS(P:P,"&gt;"&amp;P853,S:S,"&lt;&gt;F")+1)</f>
        <v/>
      </c>
      <c r="U853">
        <f>IF(B853="","",IF(C853&lt;33.0,0,IF(C853&gt;=100*0.8,5,IF(C853&gt;=100*0.7,4,IF(C853&gt;=100*0.6,3.5,IF(C853&gt;=100*0.5,3,IF(C853&gt;=100*0.4,2,IF(C853&gt;=100*0.33,1,0))))))))</f>
        <v/>
      </c>
      <c r="V853">
        <f>IF(B853="","",IF(D853&lt;33.0,0,IF(D853&gt;=100*0.8,5,IF(D853&gt;=100*0.7,4,IF(D853&gt;=100*0.6,3.5,IF(D853&gt;=100*0.5,3,IF(D853&gt;=100*0.4,2,IF(D853&gt;=100*0.33,1,0))))))))</f>
        <v/>
      </c>
      <c r="W853">
        <f>IF(B853="","",IF(E853&lt;16.5,0,IF(E853&gt;=50*0.8,5,IF(E853&gt;=50*0.7,4,IF(E853&gt;=50*0.6,3.5,IF(E853&gt;=50*0.5,3,IF(E853&gt;=50*0.4,2,IF(E853&gt;=50*0.33,1,0))))))))</f>
        <v/>
      </c>
      <c r="X853">
        <f>IF(B853="","",IF(F853&lt;33.0,0,IF(F853&gt;=100*0.8,5,IF(F853&gt;=100*0.7,4,IF(F853&gt;=100*0.6,3.5,IF(F853&gt;=100*0.5,3,IF(F853&gt;=100*0.4,2,IF(F853&gt;=100*0.33,1,0))))))))</f>
        <v/>
      </c>
      <c r="Y853">
        <f>IF(B853="","",IF(G853&lt;16.5,0,IF(G853&gt;=50*0.8,5,IF(G853&gt;=50*0.7,4,IF(G853&gt;=50*0.6,3.5,IF(G853&gt;=50*0.5,3,IF(G853&gt;=50*0.4,2,IF(G853&gt;=50*0.33,1,0))))))))</f>
        <v/>
      </c>
      <c r="Z853">
        <f>IF(B853="","",IF(H853&lt;33.0,0,IF(H853&gt;=100*0.8,5,IF(H853&gt;=100*0.7,4,IF(H853&gt;=100*0.6,3.5,IF(H853&gt;=100*0.5,3,IF(H853&gt;=100*0.4,2,IF(H853&gt;=100*0.33,1,0))))))))</f>
        <v/>
      </c>
      <c r="AA853">
        <f>IF(B853="","",IF(I853&lt;33.0,0,IF(I853&gt;=100*0.8,5,IF(I853&gt;=100*0.7,4,IF(I853&gt;=100*0.6,3.5,IF(I853&gt;=100*0.5,3,IF(I853&gt;=100*0.4,2,IF(I853&gt;=100*0.33,1,0))))))))</f>
        <v/>
      </c>
      <c r="AB853">
        <f>IF(B853="","",IF(J853&lt;33.0,0,IF(J853&gt;=100*0.8,5,IF(J853&gt;=100*0.7,4,IF(J853&gt;=100*0.6,3.5,IF(J853&gt;=100*0.5,3,IF(J853&gt;=100*0.4,2,IF(J853&gt;=100*0.33,1,0))))))))</f>
        <v/>
      </c>
      <c r="AC853">
        <f>IF(B853="","",IF(K853&lt;33.0,0,IF(K853&gt;=100*0.8,5,IF(K853&gt;=100*0.7,4,IF(K853&gt;=100*0.6,3.5,IF(K853&gt;=100*0.5,3,IF(K853&gt;=100*0.4,2,IF(K853&gt;=100*0.33,1,0))))))))</f>
        <v/>
      </c>
      <c r="AD853">
        <f>IF(B853="","",IF(L853&lt;33.0,0,IF(L853&gt;=100*0.8,5,IF(L853&gt;=100*0.7,4,IF(L853&gt;=100*0.6,3.5,IF(L853&gt;=100*0.5,3,IF(L853&gt;=100*0.4,2,IF(L853&gt;=100*0.33,1,0))))))))</f>
        <v/>
      </c>
      <c r="AE853">
        <f>IF(B853="","",IF(M853&lt;33.0,0,IF(M853&gt;=100*0.8,5,IF(M853&gt;=100*0.7,4,IF(M853&gt;=100*0.6,3.5,IF(M853&gt;=100*0.5,3,IF(M853&gt;=100*0.4,2,IF(M853&gt;=100*0.33,1,0))))))))</f>
        <v/>
      </c>
      <c r="AF853">
        <f>IF(B853="","",IF(N853&lt;16.5,0,IF(N853&gt;=50*0.8,5,IF(N853&gt;=50*0.7,4,IF(N853&gt;=50*0.6,3.5,IF(N853&gt;=50*0.5,3,IF(N853&gt;=50*0.4,2,IF(N853&gt;=50*0.33,1,0))))))))</f>
        <v/>
      </c>
      <c r="AG853">
        <f>IF(B853="","",IF(O853&lt;33.0,0,IF(O853&gt;=100*0.8,5,IF(O853&gt;=100*0.7,4,IF(O853&gt;=100*0.6,3.5,IF(O853&gt;=100*0.5,3,IF(O853&gt;=100*0.4,2,IF(O853&gt;=100*0.33,1,0))))))))</f>
        <v/>
      </c>
      <c r="AH853">
        <f>IF(B853="","",IF(OR(U853=0,V853=0,W853=0,X853=0,Y853=0,Z853=0,AA853=0,AB853=0,AC853=0,AD853=0,AE853=0,AF853=0,AG853=0),1,0))</f>
        <v/>
      </c>
    </row>
    <row r="854">
      <c r="A854" s="3">
        <f>IF(B854="","",ROW()-2)</f>
        <v/>
      </c>
      <c r="P854" s="4">
        <f>IF(B854="","",SUM(C854:O854))</f>
        <v/>
      </c>
      <c r="Q854" s="5">
        <f>IF(B854="","",ROUND(P854/13,2))</f>
        <v/>
      </c>
      <c r="R854" s="5">
        <f>IF(B854="","",IF(AH854=1,0,MIN(5,ROUND((U854+V854+W854+X854+Y854+Z854+AA854+AB854+AC854+AD854+AE854+AF854+AG854)/13,2))))</f>
        <v/>
      </c>
      <c r="S854" s="3">
        <f>IF(B854="","",IF(R854&gt;=5,"A+",IF(R854&gt;=4,"A",IF(R854&gt;=3.5,"A-",IF(R854&gt;=3,"B",IF(R854&gt;=2,"C",IF(R854&gt;=1,"D","F")))))))</f>
        <v/>
      </c>
      <c r="T854" s="3">
        <f>IF(OR(B854="",S854="F"),"",COUNTIFS(P:P,"&gt;"&amp;P854,S:S,"&lt;&gt;F")+1)</f>
        <v/>
      </c>
      <c r="U854">
        <f>IF(B854="","",IF(C854&lt;33.0,0,IF(C854&gt;=100*0.8,5,IF(C854&gt;=100*0.7,4,IF(C854&gt;=100*0.6,3.5,IF(C854&gt;=100*0.5,3,IF(C854&gt;=100*0.4,2,IF(C854&gt;=100*0.33,1,0))))))))</f>
        <v/>
      </c>
      <c r="V854">
        <f>IF(B854="","",IF(D854&lt;33.0,0,IF(D854&gt;=100*0.8,5,IF(D854&gt;=100*0.7,4,IF(D854&gt;=100*0.6,3.5,IF(D854&gt;=100*0.5,3,IF(D854&gt;=100*0.4,2,IF(D854&gt;=100*0.33,1,0))))))))</f>
        <v/>
      </c>
      <c r="W854">
        <f>IF(B854="","",IF(E854&lt;16.5,0,IF(E854&gt;=50*0.8,5,IF(E854&gt;=50*0.7,4,IF(E854&gt;=50*0.6,3.5,IF(E854&gt;=50*0.5,3,IF(E854&gt;=50*0.4,2,IF(E854&gt;=50*0.33,1,0))))))))</f>
        <v/>
      </c>
      <c r="X854">
        <f>IF(B854="","",IF(F854&lt;33.0,0,IF(F854&gt;=100*0.8,5,IF(F854&gt;=100*0.7,4,IF(F854&gt;=100*0.6,3.5,IF(F854&gt;=100*0.5,3,IF(F854&gt;=100*0.4,2,IF(F854&gt;=100*0.33,1,0))))))))</f>
        <v/>
      </c>
      <c r="Y854">
        <f>IF(B854="","",IF(G854&lt;16.5,0,IF(G854&gt;=50*0.8,5,IF(G854&gt;=50*0.7,4,IF(G854&gt;=50*0.6,3.5,IF(G854&gt;=50*0.5,3,IF(G854&gt;=50*0.4,2,IF(G854&gt;=50*0.33,1,0))))))))</f>
        <v/>
      </c>
      <c r="Z854">
        <f>IF(B854="","",IF(H854&lt;33.0,0,IF(H854&gt;=100*0.8,5,IF(H854&gt;=100*0.7,4,IF(H854&gt;=100*0.6,3.5,IF(H854&gt;=100*0.5,3,IF(H854&gt;=100*0.4,2,IF(H854&gt;=100*0.33,1,0))))))))</f>
        <v/>
      </c>
      <c r="AA854">
        <f>IF(B854="","",IF(I854&lt;33.0,0,IF(I854&gt;=100*0.8,5,IF(I854&gt;=100*0.7,4,IF(I854&gt;=100*0.6,3.5,IF(I854&gt;=100*0.5,3,IF(I854&gt;=100*0.4,2,IF(I854&gt;=100*0.33,1,0))))))))</f>
        <v/>
      </c>
      <c r="AB854">
        <f>IF(B854="","",IF(J854&lt;33.0,0,IF(J854&gt;=100*0.8,5,IF(J854&gt;=100*0.7,4,IF(J854&gt;=100*0.6,3.5,IF(J854&gt;=100*0.5,3,IF(J854&gt;=100*0.4,2,IF(J854&gt;=100*0.33,1,0))))))))</f>
        <v/>
      </c>
      <c r="AC854">
        <f>IF(B854="","",IF(K854&lt;33.0,0,IF(K854&gt;=100*0.8,5,IF(K854&gt;=100*0.7,4,IF(K854&gt;=100*0.6,3.5,IF(K854&gt;=100*0.5,3,IF(K854&gt;=100*0.4,2,IF(K854&gt;=100*0.33,1,0))))))))</f>
        <v/>
      </c>
      <c r="AD854">
        <f>IF(B854="","",IF(L854&lt;33.0,0,IF(L854&gt;=100*0.8,5,IF(L854&gt;=100*0.7,4,IF(L854&gt;=100*0.6,3.5,IF(L854&gt;=100*0.5,3,IF(L854&gt;=100*0.4,2,IF(L854&gt;=100*0.33,1,0))))))))</f>
        <v/>
      </c>
      <c r="AE854">
        <f>IF(B854="","",IF(M854&lt;33.0,0,IF(M854&gt;=100*0.8,5,IF(M854&gt;=100*0.7,4,IF(M854&gt;=100*0.6,3.5,IF(M854&gt;=100*0.5,3,IF(M854&gt;=100*0.4,2,IF(M854&gt;=100*0.33,1,0))))))))</f>
        <v/>
      </c>
      <c r="AF854">
        <f>IF(B854="","",IF(N854&lt;16.5,0,IF(N854&gt;=50*0.8,5,IF(N854&gt;=50*0.7,4,IF(N854&gt;=50*0.6,3.5,IF(N854&gt;=50*0.5,3,IF(N854&gt;=50*0.4,2,IF(N854&gt;=50*0.33,1,0))))))))</f>
        <v/>
      </c>
      <c r="AG854">
        <f>IF(B854="","",IF(O854&lt;33.0,0,IF(O854&gt;=100*0.8,5,IF(O854&gt;=100*0.7,4,IF(O854&gt;=100*0.6,3.5,IF(O854&gt;=100*0.5,3,IF(O854&gt;=100*0.4,2,IF(O854&gt;=100*0.33,1,0))))))))</f>
        <v/>
      </c>
      <c r="AH854">
        <f>IF(B854="","",IF(OR(U854=0,V854=0,W854=0,X854=0,Y854=0,Z854=0,AA854=0,AB854=0,AC854=0,AD854=0,AE854=0,AF854=0,AG854=0),1,0))</f>
        <v/>
      </c>
    </row>
    <row r="855">
      <c r="A855" s="3">
        <f>IF(B855="","",ROW()-2)</f>
        <v/>
      </c>
      <c r="P855" s="4">
        <f>IF(B855="","",SUM(C855:O855))</f>
        <v/>
      </c>
      <c r="Q855" s="5">
        <f>IF(B855="","",ROUND(P855/13,2))</f>
        <v/>
      </c>
      <c r="R855" s="5">
        <f>IF(B855="","",IF(AH855=1,0,MIN(5,ROUND((U855+V855+W855+X855+Y855+Z855+AA855+AB855+AC855+AD855+AE855+AF855+AG855)/13,2))))</f>
        <v/>
      </c>
      <c r="S855" s="3">
        <f>IF(B855="","",IF(R855&gt;=5,"A+",IF(R855&gt;=4,"A",IF(R855&gt;=3.5,"A-",IF(R855&gt;=3,"B",IF(R855&gt;=2,"C",IF(R855&gt;=1,"D","F")))))))</f>
        <v/>
      </c>
      <c r="T855" s="3">
        <f>IF(OR(B855="",S855="F"),"",COUNTIFS(P:P,"&gt;"&amp;P855,S:S,"&lt;&gt;F")+1)</f>
        <v/>
      </c>
      <c r="U855">
        <f>IF(B855="","",IF(C855&lt;33.0,0,IF(C855&gt;=100*0.8,5,IF(C855&gt;=100*0.7,4,IF(C855&gt;=100*0.6,3.5,IF(C855&gt;=100*0.5,3,IF(C855&gt;=100*0.4,2,IF(C855&gt;=100*0.33,1,0))))))))</f>
        <v/>
      </c>
      <c r="V855">
        <f>IF(B855="","",IF(D855&lt;33.0,0,IF(D855&gt;=100*0.8,5,IF(D855&gt;=100*0.7,4,IF(D855&gt;=100*0.6,3.5,IF(D855&gt;=100*0.5,3,IF(D855&gt;=100*0.4,2,IF(D855&gt;=100*0.33,1,0))))))))</f>
        <v/>
      </c>
      <c r="W855">
        <f>IF(B855="","",IF(E855&lt;16.5,0,IF(E855&gt;=50*0.8,5,IF(E855&gt;=50*0.7,4,IF(E855&gt;=50*0.6,3.5,IF(E855&gt;=50*0.5,3,IF(E855&gt;=50*0.4,2,IF(E855&gt;=50*0.33,1,0))))))))</f>
        <v/>
      </c>
      <c r="X855">
        <f>IF(B855="","",IF(F855&lt;33.0,0,IF(F855&gt;=100*0.8,5,IF(F855&gt;=100*0.7,4,IF(F855&gt;=100*0.6,3.5,IF(F855&gt;=100*0.5,3,IF(F855&gt;=100*0.4,2,IF(F855&gt;=100*0.33,1,0))))))))</f>
        <v/>
      </c>
      <c r="Y855">
        <f>IF(B855="","",IF(G855&lt;16.5,0,IF(G855&gt;=50*0.8,5,IF(G855&gt;=50*0.7,4,IF(G855&gt;=50*0.6,3.5,IF(G855&gt;=50*0.5,3,IF(G855&gt;=50*0.4,2,IF(G855&gt;=50*0.33,1,0))))))))</f>
        <v/>
      </c>
      <c r="Z855">
        <f>IF(B855="","",IF(H855&lt;33.0,0,IF(H855&gt;=100*0.8,5,IF(H855&gt;=100*0.7,4,IF(H855&gt;=100*0.6,3.5,IF(H855&gt;=100*0.5,3,IF(H855&gt;=100*0.4,2,IF(H855&gt;=100*0.33,1,0))))))))</f>
        <v/>
      </c>
      <c r="AA855">
        <f>IF(B855="","",IF(I855&lt;33.0,0,IF(I855&gt;=100*0.8,5,IF(I855&gt;=100*0.7,4,IF(I855&gt;=100*0.6,3.5,IF(I855&gt;=100*0.5,3,IF(I855&gt;=100*0.4,2,IF(I855&gt;=100*0.33,1,0))))))))</f>
        <v/>
      </c>
      <c r="AB855">
        <f>IF(B855="","",IF(J855&lt;33.0,0,IF(J855&gt;=100*0.8,5,IF(J855&gt;=100*0.7,4,IF(J855&gt;=100*0.6,3.5,IF(J855&gt;=100*0.5,3,IF(J855&gt;=100*0.4,2,IF(J855&gt;=100*0.33,1,0))))))))</f>
        <v/>
      </c>
      <c r="AC855">
        <f>IF(B855="","",IF(K855&lt;33.0,0,IF(K855&gt;=100*0.8,5,IF(K855&gt;=100*0.7,4,IF(K855&gt;=100*0.6,3.5,IF(K855&gt;=100*0.5,3,IF(K855&gt;=100*0.4,2,IF(K855&gt;=100*0.33,1,0))))))))</f>
        <v/>
      </c>
      <c r="AD855">
        <f>IF(B855="","",IF(L855&lt;33.0,0,IF(L855&gt;=100*0.8,5,IF(L855&gt;=100*0.7,4,IF(L855&gt;=100*0.6,3.5,IF(L855&gt;=100*0.5,3,IF(L855&gt;=100*0.4,2,IF(L855&gt;=100*0.33,1,0))))))))</f>
        <v/>
      </c>
      <c r="AE855">
        <f>IF(B855="","",IF(M855&lt;33.0,0,IF(M855&gt;=100*0.8,5,IF(M855&gt;=100*0.7,4,IF(M855&gt;=100*0.6,3.5,IF(M855&gt;=100*0.5,3,IF(M855&gt;=100*0.4,2,IF(M855&gt;=100*0.33,1,0))))))))</f>
        <v/>
      </c>
      <c r="AF855">
        <f>IF(B855="","",IF(N855&lt;16.5,0,IF(N855&gt;=50*0.8,5,IF(N855&gt;=50*0.7,4,IF(N855&gt;=50*0.6,3.5,IF(N855&gt;=50*0.5,3,IF(N855&gt;=50*0.4,2,IF(N855&gt;=50*0.33,1,0))))))))</f>
        <v/>
      </c>
      <c r="AG855">
        <f>IF(B855="","",IF(O855&lt;33.0,0,IF(O855&gt;=100*0.8,5,IF(O855&gt;=100*0.7,4,IF(O855&gt;=100*0.6,3.5,IF(O855&gt;=100*0.5,3,IF(O855&gt;=100*0.4,2,IF(O855&gt;=100*0.33,1,0))))))))</f>
        <v/>
      </c>
      <c r="AH855">
        <f>IF(B855="","",IF(OR(U855=0,V855=0,W855=0,X855=0,Y855=0,Z855=0,AA855=0,AB855=0,AC855=0,AD855=0,AE855=0,AF855=0,AG855=0),1,0))</f>
        <v/>
      </c>
    </row>
    <row r="856">
      <c r="A856" s="3">
        <f>IF(B856="","",ROW()-2)</f>
        <v/>
      </c>
      <c r="P856" s="4">
        <f>IF(B856="","",SUM(C856:O856))</f>
        <v/>
      </c>
      <c r="Q856" s="5">
        <f>IF(B856="","",ROUND(P856/13,2))</f>
        <v/>
      </c>
      <c r="R856" s="5">
        <f>IF(B856="","",IF(AH856=1,0,MIN(5,ROUND((U856+V856+W856+X856+Y856+Z856+AA856+AB856+AC856+AD856+AE856+AF856+AG856)/13,2))))</f>
        <v/>
      </c>
      <c r="S856" s="3">
        <f>IF(B856="","",IF(R856&gt;=5,"A+",IF(R856&gt;=4,"A",IF(R856&gt;=3.5,"A-",IF(R856&gt;=3,"B",IF(R856&gt;=2,"C",IF(R856&gt;=1,"D","F")))))))</f>
        <v/>
      </c>
      <c r="T856" s="3">
        <f>IF(OR(B856="",S856="F"),"",COUNTIFS(P:P,"&gt;"&amp;P856,S:S,"&lt;&gt;F")+1)</f>
        <v/>
      </c>
      <c r="U856">
        <f>IF(B856="","",IF(C856&lt;33.0,0,IF(C856&gt;=100*0.8,5,IF(C856&gt;=100*0.7,4,IF(C856&gt;=100*0.6,3.5,IF(C856&gt;=100*0.5,3,IF(C856&gt;=100*0.4,2,IF(C856&gt;=100*0.33,1,0))))))))</f>
        <v/>
      </c>
      <c r="V856">
        <f>IF(B856="","",IF(D856&lt;33.0,0,IF(D856&gt;=100*0.8,5,IF(D856&gt;=100*0.7,4,IF(D856&gt;=100*0.6,3.5,IF(D856&gt;=100*0.5,3,IF(D856&gt;=100*0.4,2,IF(D856&gt;=100*0.33,1,0))))))))</f>
        <v/>
      </c>
      <c r="W856">
        <f>IF(B856="","",IF(E856&lt;16.5,0,IF(E856&gt;=50*0.8,5,IF(E856&gt;=50*0.7,4,IF(E856&gt;=50*0.6,3.5,IF(E856&gt;=50*0.5,3,IF(E856&gt;=50*0.4,2,IF(E856&gt;=50*0.33,1,0))))))))</f>
        <v/>
      </c>
      <c r="X856">
        <f>IF(B856="","",IF(F856&lt;33.0,0,IF(F856&gt;=100*0.8,5,IF(F856&gt;=100*0.7,4,IF(F856&gt;=100*0.6,3.5,IF(F856&gt;=100*0.5,3,IF(F856&gt;=100*0.4,2,IF(F856&gt;=100*0.33,1,0))))))))</f>
        <v/>
      </c>
      <c r="Y856">
        <f>IF(B856="","",IF(G856&lt;16.5,0,IF(G856&gt;=50*0.8,5,IF(G856&gt;=50*0.7,4,IF(G856&gt;=50*0.6,3.5,IF(G856&gt;=50*0.5,3,IF(G856&gt;=50*0.4,2,IF(G856&gt;=50*0.33,1,0))))))))</f>
        <v/>
      </c>
      <c r="Z856">
        <f>IF(B856="","",IF(H856&lt;33.0,0,IF(H856&gt;=100*0.8,5,IF(H856&gt;=100*0.7,4,IF(H856&gt;=100*0.6,3.5,IF(H856&gt;=100*0.5,3,IF(H856&gt;=100*0.4,2,IF(H856&gt;=100*0.33,1,0))))))))</f>
        <v/>
      </c>
      <c r="AA856">
        <f>IF(B856="","",IF(I856&lt;33.0,0,IF(I856&gt;=100*0.8,5,IF(I856&gt;=100*0.7,4,IF(I856&gt;=100*0.6,3.5,IF(I856&gt;=100*0.5,3,IF(I856&gt;=100*0.4,2,IF(I856&gt;=100*0.33,1,0))))))))</f>
        <v/>
      </c>
      <c r="AB856">
        <f>IF(B856="","",IF(J856&lt;33.0,0,IF(J856&gt;=100*0.8,5,IF(J856&gt;=100*0.7,4,IF(J856&gt;=100*0.6,3.5,IF(J856&gt;=100*0.5,3,IF(J856&gt;=100*0.4,2,IF(J856&gt;=100*0.33,1,0))))))))</f>
        <v/>
      </c>
      <c r="AC856">
        <f>IF(B856="","",IF(K856&lt;33.0,0,IF(K856&gt;=100*0.8,5,IF(K856&gt;=100*0.7,4,IF(K856&gt;=100*0.6,3.5,IF(K856&gt;=100*0.5,3,IF(K856&gt;=100*0.4,2,IF(K856&gt;=100*0.33,1,0))))))))</f>
        <v/>
      </c>
      <c r="AD856">
        <f>IF(B856="","",IF(L856&lt;33.0,0,IF(L856&gt;=100*0.8,5,IF(L856&gt;=100*0.7,4,IF(L856&gt;=100*0.6,3.5,IF(L856&gt;=100*0.5,3,IF(L856&gt;=100*0.4,2,IF(L856&gt;=100*0.33,1,0))))))))</f>
        <v/>
      </c>
      <c r="AE856">
        <f>IF(B856="","",IF(M856&lt;33.0,0,IF(M856&gt;=100*0.8,5,IF(M856&gt;=100*0.7,4,IF(M856&gt;=100*0.6,3.5,IF(M856&gt;=100*0.5,3,IF(M856&gt;=100*0.4,2,IF(M856&gt;=100*0.33,1,0))))))))</f>
        <v/>
      </c>
      <c r="AF856">
        <f>IF(B856="","",IF(N856&lt;16.5,0,IF(N856&gt;=50*0.8,5,IF(N856&gt;=50*0.7,4,IF(N856&gt;=50*0.6,3.5,IF(N856&gt;=50*0.5,3,IF(N856&gt;=50*0.4,2,IF(N856&gt;=50*0.33,1,0))))))))</f>
        <v/>
      </c>
      <c r="AG856">
        <f>IF(B856="","",IF(O856&lt;33.0,0,IF(O856&gt;=100*0.8,5,IF(O856&gt;=100*0.7,4,IF(O856&gt;=100*0.6,3.5,IF(O856&gt;=100*0.5,3,IF(O856&gt;=100*0.4,2,IF(O856&gt;=100*0.33,1,0))))))))</f>
        <v/>
      </c>
      <c r="AH856">
        <f>IF(B856="","",IF(OR(U856=0,V856=0,W856=0,X856=0,Y856=0,Z856=0,AA856=0,AB856=0,AC856=0,AD856=0,AE856=0,AF856=0,AG856=0),1,0))</f>
        <v/>
      </c>
    </row>
    <row r="857">
      <c r="A857" s="3">
        <f>IF(B857="","",ROW()-2)</f>
        <v/>
      </c>
      <c r="P857" s="4">
        <f>IF(B857="","",SUM(C857:O857))</f>
        <v/>
      </c>
      <c r="Q857" s="5">
        <f>IF(B857="","",ROUND(P857/13,2))</f>
        <v/>
      </c>
      <c r="R857" s="5">
        <f>IF(B857="","",IF(AH857=1,0,MIN(5,ROUND((U857+V857+W857+X857+Y857+Z857+AA857+AB857+AC857+AD857+AE857+AF857+AG857)/13,2))))</f>
        <v/>
      </c>
      <c r="S857" s="3">
        <f>IF(B857="","",IF(R857&gt;=5,"A+",IF(R857&gt;=4,"A",IF(R857&gt;=3.5,"A-",IF(R857&gt;=3,"B",IF(R857&gt;=2,"C",IF(R857&gt;=1,"D","F")))))))</f>
        <v/>
      </c>
      <c r="T857" s="3">
        <f>IF(OR(B857="",S857="F"),"",COUNTIFS(P:P,"&gt;"&amp;P857,S:S,"&lt;&gt;F")+1)</f>
        <v/>
      </c>
      <c r="U857">
        <f>IF(B857="","",IF(C857&lt;33.0,0,IF(C857&gt;=100*0.8,5,IF(C857&gt;=100*0.7,4,IF(C857&gt;=100*0.6,3.5,IF(C857&gt;=100*0.5,3,IF(C857&gt;=100*0.4,2,IF(C857&gt;=100*0.33,1,0))))))))</f>
        <v/>
      </c>
      <c r="V857">
        <f>IF(B857="","",IF(D857&lt;33.0,0,IF(D857&gt;=100*0.8,5,IF(D857&gt;=100*0.7,4,IF(D857&gt;=100*0.6,3.5,IF(D857&gt;=100*0.5,3,IF(D857&gt;=100*0.4,2,IF(D857&gt;=100*0.33,1,0))))))))</f>
        <v/>
      </c>
      <c r="W857">
        <f>IF(B857="","",IF(E857&lt;16.5,0,IF(E857&gt;=50*0.8,5,IF(E857&gt;=50*0.7,4,IF(E857&gt;=50*0.6,3.5,IF(E857&gt;=50*0.5,3,IF(E857&gt;=50*0.4,2,IF(E857&gt;=50*0.33,1,0))))))))</f>
        <v/>
      </c>
      <c r="X857">
        <f>IF(B857="","",IF(F857&lt;33.0,0,IF(F857&gt;=100*0.8,5,IF(F857&gt;=100*0.7,4,IF(F857&gt;=100*0.6,3.5,IF(F857&gt;=100*0.5,3,IF(F857&gt;=100*0.4,2,IF(F857&gt;=100*0.33,1,0))))))))</f>
        <v/>
      </c>
      <c r="Y857">
        <f>IF(B857="","",IF(G857&lt;16.5,0,IF(G857&gt;=50*0.8,5,IF(G857&gt;=50*0.7,4,IF(G857&gt;=50*0.6,3.5,IF(G857&gt;=50*0.5,3,IF(G857&gt;=50*0.4,2,IF(G857&gt;=50*0.33,1,0))))))))</f>
        <v/>
      </c>
      <c r="Z857">
        <f>IF(B857="","",IF(H857&lt;33.0,0,IF(H857&gt;=100*0.8,5,IF(H857&gt;=100*0.7,4,IF(H857&gt;=100*0.6,3.5,IF(H857&gt;=100*0.5,3,IF(H857&gt;=100*0.4,2,IF(H857&gt;=100*0.33,1,0))))))))</f>
        <v/>
      </c>
      <c r="AA857">
        <f>IF(B857="","",IF(I857&lt;33.0,0,IF(I857&gt;=100*0.8,5,IF(I857&gt;=100*0.7,4,IF(I857&gt;=100*0.6,3.5,IF(I857&gt;=100*0.5,3,IF(I857&gt;=100*0.4,2,IF(I857&gt;=100*0.33,1,0))))))))</f>
        <v/>
      </c>
      <c r="AB857">
        <f>IF(B857="","",IF(J857&lt;33.0,0,IF(J857&gt;=100*0.8,5,IF(J857&gt;=100*0.7,4,IF(J857&gt;=100*0.6,3.5,IF(J857&gt;=100*0.5,3,IF(J857&gt;=100*0.4,2,IF(J857&gt;=100*0.33,1,0))))))))</f>
        <v/>
      </c>
      <c r="AC857">
        <f>IF(B857="","",IF(K857&lt;33.0,0,IF(K857&gt;=100*0.8,5,IF(K857&gt;=100*0.7,4,IF(K857&gt;=100*0.6,3.5,IF(K857&gt;=100*0.5,3,IF(K857&gt;=100*0.4,2,IF(K857&gt;=100*0.33,1,0))))))))</f>
        <v/>
      </c>
      <c r="AD857">
        <f>IF(B857="","",IF(L857&lt;33.0,0,IF(L857&gt;=100*0.8,5,IF(L857&gt;=100*0.7,4,IF(L857&gt;=100*0.6,3.5,IF(L857&gt;=100*0.5,3,IF(L857&gt;=100*0.4,2,IF(L857&gt;=100*0.33,1,0))))))))</f>
        <v/>
      </c>
      <c r="AE857">
        <f>IF(B857="","",IF(M857&lt;33.0,0,IF(M857&gt;=100*0.8,5,IF(M857&gt;=100*0.7,4,IF(M857&gt;=100*0.6,3.5,IF(M857&gt;=100*0.5,3,IF(M857&gt;=100*0.4,2,IF(M857&gt;=100*0.33,1,0))))))))</f>
        <v/>
      </c>
      <c r="AF857">
        <f>IF(B857="","",IF(N857&lt;16.5,0,IF(N857&gt;=50*0.8,5,IF(N857&gt;=50*0.7,4,IF(N857&gt;=50*0.6,3.5,IF(N857&gt;=50*0.5,3,IF(N857&gt;=50*0.4,2,IF(N857&gt;=50*0.33,1,0))))))))</f>
        <v/>
      </c>
      <c r="AG857">
        <f>IF(B857="","",IF(O857&lt;33.0,0,IF(O857&gt;=100*0.8,5,IF(O857&gt;=100*0.7,4,IF(O857&gt;=100*0.6,3.5,IF(O857&gt;=100*0.5,3,IF(O857&gt;=100*0.4,2,IF(O857&gt;=100*0.33,1,0))))))))</f>
        <v/>
      </c>
      <c r="AH857">
        <f>IF(B857="","",IF(OR(U857=0,V857=0,W857=0,X857=0,Y857=0,Z857=0,AA857=0,AB857=0,AC857=0,AD857=0,AE857=0,AF857=0,AG857=0),1,0))</f>
        <v/>
      </c>
    </row>
    <row r="858">
      <c r="A858" s="3">
        <f>IF(B858="","",ROW()-2)</f>
        <v/>
      </c>
      <c r="P858" s="4">
        <f>IF(B858="","",SUM(C858:O858))</f>
        <v/>
      </c>
      <c r="Q858" s="5">
        <f>IF(B858="","",ROUND(P858/13,2))</f>
        <v/>
      </c>
      <c r="R858" s="5">
        <f>IF(B858="","",IF(AH858=1,0,MIN(5,ROUND((U858+V858+W858+X858+Y858+Z858+AA858+AB858+AC858+AD858+AE858+AF858+AG858)/13,2))))</f>
        <v/>
      </c>
      <c r="S858" s="3">
        <f>IF(B858="","",IF(R858&gt;=5,"A+",IF(R858&gt;=4,"A",IF(R858&gt;=3.5,"A-",IF(R858&gt;=3,"B",IF(R858&gt;=2,"C",IF(R858&gt;=1,"D","F")))))))</f>
        <v/>
      </c>
      <c r="T858" s="3">
        <f>IF(OR(B858="",S858="F"),"",COUNTIFS(P:P,"&gt;"&amp;P858,S:S,"&lt;&gt;F")+1)</f>
        <v/>
      </c>
      <c r="U858">
        <f>IF(B858="","",IF(C858&lt;33.0,0,IF(C858&gt;=100*0.8,5,IF(C858&gt;=100*0.7,4,IF(C858&gt;=100*0.6,3.5,IF(C858&gt;=100*0.5,3,IF(C858&gt;=100*0.4,2,IF(C858&gt;=100*0.33,1,0))))))))</f>
        <v/>
      </c>
      <c r="V858">
        <f>IF(B858="","",IF(D858&lt;33.0,0,IF(D858&gt;=100*0.8,5,IF(D858&gt;=100*0.7,4,IF(D858&gt;=100*0.6,3.5,IF(D858&gt;=100*0.5,3,IF(D858&gt;=100*0.4,2,IF(D858&gt;=100*0.33,1,0))))))))</f>
        <v/>
      </c>
      <c r="W858">
        <f>IF(B858="","",IF(E858&lt;16.5,0,IF(E858&gt;=50*0.8,5,IF(E858&gt;=50*0.7,4,IF(E858&gt;=50*0.6,3.5,IF(E858&gt;=50*0.5,3,IF(E858&gt;=50*0.4,2,IF(E858&gt;=50*0.33,1,0))))))))</f>
        <v/>
      </c>
      <c r="X858">
        <f>IF(B858="","",IF(F858&lt;33.0,0,IF(F858&gt;=100*0.8,5,IF(F858&gt;=100*0.7,4,IF(F858&gt;=100*0.6,3.5,IF(F858&gt;=100*0.5,3,IF(F858&gt;=100*0.4,2,IF(F858&gt;=100*0.33,1,0))))))))</f>
        <v/>
      </c>
      <c r="Y858">
        <f>IF(B858="","",IF(G858&lt;16.5,0,IF(G858&gt;=50*0.8,5,IF(G858&gt;=50*0.7,4,IF(G858&gt;=50*0.6,3.5,IF(G858&gt;=50*0.5,3,IF(G858&gt;=50*0.4,2,IF(G858&gt;=50*0.33,1,0))))))))</f>
        <v/>
      </c>
      <c r="Z858">
        <f>IF(B858="","",IF(H858&lt;33.0,0,IF(H858&gt;=100*0.8,5,IF(H858&gt;=100*0.7,4,IF(H858&gt;=100*0.6,3.5,IF(H858&gt;=100*0.5,3,IF(H858&gt;=100*0.4,2,IF(H858&gt;=100*0.33,1,0))))))))</f>
        <v/>
      </c>
      <c r="AA858">
        <f>IF(B858="","",IF(I858&lt;33.0,0,IF(I858&gt;=100*0.8,5,IF(I858&gt;=100*0.7,4,IF(I858&gt;=100*0.6,3.5,IF(I858&gt;=100*0.5,3,IF(I858&gt;=100*0.4,2,IF(I858&gt;=100*0.33,1,0))))))))</f>
        <v/>
      </c>
      <c r="AB858">
        <f>IF(B858="","",IF(J858&lt;33.0,0,IF(J858&gt;=100*0.8,5,IF(J858&gt;=100*0.7,4,IF(J858&gt;=100*0.6,3.5,IF(J858&gt;=100*0.5,3,IF(J858&gt;=100*0.4,2,IF(J858&gt;=100*0.33,1,0))))))))</f>
        <v/>
      </c>
      <c r="AC858">
        <f>IF(B858="","",IF(K858&lt;33.0,0,IF(K858&gt;=100*0.8,5,IF(K858&gt;=100*0.7,4,IF(K858&gt;=100*0.6,3.5,IF(K858&gt;=100*0.5,3,IF(K858&gt;=100*0.4,2,IF(K858&gt;=100*0.33,1,0))))))))</f>
        <v/>
      </c>
      <c r="AD858">
        <f>IF(B858="","",IF(L858&lt;33.0,0,IF(L858&gt;=100*0.8,5,IF(L858&gt;=100*0.7,4,IF(L858&gt;=100*0.6,3.5,IF(L858&gt;=100*0.5,3,IF(L858&gt;=100*0.4,2,IF(L858&gt;=100*0.33,1,0))))))))</f>
        <v/>
      </c>
      <c r="AE858">
        <f>IF(B858="","",IF(M858&lt;33.0,0,IF(M858&gt;=100*0.8,5,IF(M858&gt;=100*0.7,4,IF(M858&gt;=100*0.6,3.5,IF(M858&gt;=100*0.5,3,IF(M858&gt;=100*0.4,2,IF(M858&gt;=100*0.33,1,0))))))))</f>
        <v/>
      </c>
      <c r="AF858">
        <f>IF(B858="","",IF(N858&lt;16.5,0,IF(N858&gt;=50*0.8,5,IF(N858&gt;=50*0.7,4,IF(N858&gt;=50*0.6,3.5,IF(N858&gt;=50*0.5,3,IF(N858&gt;=50*0.4,2,IF(N858&gt;=50*0.33,1,0))))))))</f>
        <v/>
      </c>
      <c r="AG858">
        <f>IF(B858="","",IF(O858&lt;33.0,0,IF(O858&gt;=100*0.8,5,IF(O858&gt;=100*0.7,4,IF(O858&gt;=100*0.6,3.5,IF(O858&gt;=100*0.5,3,IF(O858&gt;=100*0.4,2,IF(O858&gt;=100*0.33,1,0))))))))</f>
        <v/>
      </c>
      <c r="AH858">
        <f>IF(B858="","",IF(OR(U858=0,V858=0,W858=0,X858=0,Y858=0,Z858=0,AA858=0,AB858=0,AC858=0,AD858=0,AE858=0,AF858=0,AG858=0),1,0))</f>
        <v/>
      </c>
    </row>
    <row r="859">
      <c r="A859" s="3">
        <f>IF(B859="","",ROW()-2)</f>
        <v/>
      </c>
      <c r="P859" s="4">
        <f>IF(B859="","",SUM(C859:O859))</f>
        <v/>
      </c>
      <c r="Q859" s="5">
        <f>IF(B859="","",ROUND(P859/13,2))</f>
        <v/>
      </c>
      <c r="R859" s="5">
        <f>IF(B859="","",IF(AH859=1,0,MIN(5,ROUND((U859+V859+W859+X859+Y859+Z859+AA859+AB859+AC859+AD859+AE859+AF859+AG859)/13,2))))</f>
        <v/>
      </c>
      <c r="S859" s="3">
        <f>IF(B859="","",IF(R859&gt;=5,"A+",IF(R859&gt;=4,"A",IF(R859&gt;=3.5,"A-",IF(R859&gt;=3,"B",IF(R859&gt;=2,"C",IF(R859&gt;=1,"D","F")))))))</f>
        <v/>
      </c>
      <c r="T859" s="3">
        <f>IF(OR(B859="",S859="F"),"",COUNTIFS(P:P,"&gt;"&amp;P859,S:S,"&lt;&gt;F")+1)</f>
        <v/>
      </c>
      <c r="U859">
        <f>IF(B859="","",IF(C859&lt;33.0,0,IF(C859&gt;=100*0.8,5,IF(C859&gt;=100*0.7,4,IF(C859&gt;=100*0.6,3.5,IF(C859&gt;=100*0.5,3,IF(C859&gt;=100*0.4,2,IF(C859&gt;=100*0.33,1,0))))))))</f>
        <v/>
      </c>
      <c r="V859">
        <f>IF(B859="","",IF(D859&lt;33.0,0,IF(D859&gt;=100*0.8,5,IF(D859&gt;=100*0.7,4,IF(D859&gt;=100*0.6,3.5,IF(D859&gt;=100*0.5,3,IF(D859&gt;=100*0.4,2,IF(D859&gt;=100*0.33,1,0))))))))</f>
        <v/>
      </c>
      <c r="W859">
        <f>IF(B859="","",IF(E859&lt;16.5,0,IF(E859&gt;=50*0.8,5,IF(E859&gt;=50*0.7,4,IF(E859&gt;=50*0.6,3.5,IF(E859&gt;=50*0.5,3,IF(E859&gt;=50*0.4,2,IF(E859&gt;=50*0.33,1,0))))))))</f>
        <v/>
      </c>
      <c r="X859">
        <f>IF(B859="","",IF(F859&lt;33.0,0,IF(F859&gt;=100*0.8,5,IF(F859&gt;=100*0.7,4,IF(F859&gt;=100*0.6,3.5,IF(F859&gt;=100*0.5,3,IF(F859&gt;=100*0.4,2,IF(F859&gt;=100*0.33,1,0))))))))</f>
        <v/>
      </c>
      <c r="Y859">
        <f>IF(B859="","",IF(G859&lt;16.5,0,IF(G859&gt;=50*0.8,5,IF(G859&gt;=50*0.7,4,IF(G859&gt;=50*0.6,3.5,IF(G859&gt;=50*0.5,3,IF(G859&gt;=50*0.4,2,IF(G859&gt;=50*0.33,1,0))))))))</f>
        <v/>
      </c>
      <c r="Z859">
        <f>IF(B859="","",IF(H859&lt;33.0,0,IF(H859&gt;=100*0.8,5,IF(H859&gt;=100*0.7,4,IF(H859&gt;=100*0.6,3.5,IF(H859&gt;=100*0.5,3,IF(H859&gt;=100*0.4,2,IF(H859&gt;=100*0.33,1,0))))))))</f>
        <v/>
      </c>
      <c r="AA859">
        <f>IF(B859="","",IF(I859&lt;33.0,0,IF(I859&gt;=100*0.8,5,IF(I859&gt;=100*0.7,4,IF(I859&gt;=100*0.6,3.5,IF(I859&gt;=100*0.5,3,IF(I859&gt;=100*0.4,2,IF(I859&gt;=100*0.33,1,0))))))))</f>
        <v/>
      </c>
      <c r="AB859">
        <f>IF(B859="","",IF(J859&lt;33.0,0,IF(J859&gt;=100*0.8,5,IF(J859&gt;=100*0.7,4,IF(J859&gt;=100*0.6,3.5,IF(J859&gt;=100*0.5,3,IF(J859&gt;=100*0.4,2,IF(J859&gt;=100*0.33,1,0))))))))</f>
        <v/>
      </c>
      <c r="AC859">
        <f>IF(B859="","",IF(K859&lt;33.0,0,IF(K859&gt;=100*0.8,5,IF(K859&gt;=100*0.7,4,IF(K859&gt;=100*0.6,3.5,IF(K859&gt;=100*0.5,3,IF(K859&gt;=100*0.4,2,IF(K859&gt;=100*0.33,1,0))))))))</f>
        <v/>
      </c>
      <c r="AD859">
        <f>IF(B859="","",IF(L859&lt;33.0,0,IF(L859&gt;=100*0.8,5,IF(L859&gt;=100*0.7,4,IF(L859&gt;=100*0.6,3.5,IF(L859&gt;=100*0.5,3,IF(L859&gt;=100*0.4,2,IF(L859&gt;=100*0.33,1,0))))))))</f>
        <v/>
      </c>
      <c r="AE859">
        <f>IF(B859="","",IF(M859&lt;33.0,0,IF(M859&gt;=100*0.8,5,IF(M859&gt;=100*0.7,4,IF(M859&gt;=100*0.6,3.5,IF(M859&gt;=100*0.5,3,IF(M859&gt;=100*0.4,2,IF(M859&gt;=100*0.33,1,0))))))))</f>
        <v/>
      </c>
      <c r="AF859">
        <f>IF(B859="","",IF(N859&lt;16.5,0,IF(N859&gt;=50*0.8,5,IF(N859&gt;=50*0.7,4,IF(N859&gt;=50*0.6,3.5,IF(N859&gt;=50*0.5,3,IF(N859&gt;=50*0.4,2,IF(N859&gt;=50*0.33,1,0))))))))</f>
        <v/>
      </c>
      <c r="AG859">
        <f>IF(B859="","",IF(O859&lt;33.0,0,IF(O859&gt;=100*0.8,5,IF(O859&gt;=100*0.7,4,IF(O859&gt;=100*0.6,3.5,IF(O859&gt;=100*0.5,3,IF(O859&gt;=100*0.4,2,IF(O859&gt;=100*0.33,1,0))))))))</f>
        <v/>
      </c>
      <c r="AH859">
        <f>IF(B859="","",IF(OR(U859=0,V859=0,W859=0,X859=0,Y859=0,Z859=0,AA859=0,AB859=0,AC859=0,AD859=0,AE859=0,AF859=0,AG859=0),1,0))</f>
        <v/>
      </c>
    </row>
    <row r="860">
      <c r="A860" s="3">
        <f>IF(B860="","",ROW()-2)</f>
        <v/>
      </c>
      <c r="P860" s="4">
        <f>IF(B860="","",SUM(C860:O860))</f>
        <v/>
      </c>
      <c r="Q860" s="5">
        <f>IF(B860="","",ROUND(P860/13,2))</f>
        <v/>
      </c>
      <c r="R860" s="5">
        <f>IF(B860="","",IF(AH860=1,0,MIN(5,ROUND((U860+V860+W860+X860+Y860+Z860+AA860+AB860+AC860+AD860+AE860+AF860+AG860)/13,2))))</f>
        <v/>
      </c>
      <c r="S860" s="3">
        <f>IF(B860="","",IF(R860&gt;=5,"A+",IF(R860&gt;=4,"A",IF(R860&gt;=3.5,"A-",IF(R860&gt;=3,"B",IF(R860&gt;=2,"C",IF(R860&gt;=1,"D","F")))))))</f>
        <v/>
      </c>
      <c r="T860" s="3">
        <f>IF(OR(B860="",S860="F"),"",COUNTIFS(P:P,"&gt;"&amp;P860,S:S,"&lt;&gt;F")+1)</f>
        <v/>
      </c>
      <c r="U860">
        <f>IF(B860="","",IF(C860&lt;33.0,0,IF(C860&gt;=100*0.8,5,IF(C860&gt;=100*0.7,4,IF(C860&gt;=100*0.6,3.5,IF(C860&gt;=100*0.5,3,IF(C860&gt;=100*0.4,2,IF(C860&gt;=100*0.33,1,0))))))))</f>
        <v/>
      </c>
      <c r="V860">
        <f>IF(B860="","",IF(D860&lt;33.0,0,IF(D860&gt;=100*0.8,5,IF(D860&gt;=100*0.7,4,IF(D860&gt;=100*0.6,3.5,IF(D860&gt;=100*0.5,3,IF(D860&gt;=100*0.4,2,IF(D860&gt;=100*0.33,1,0))))))))</f>
        <v/>
      </c>
      <c r="W860">
        <f>IF(B860="","",IF(E860&lt;16.5,0,IF(E860&gt;=50*0.8,5,IF(E860&gt;=50*0.7,4,IF(E860&gt;=50*0.6,3.5,IF(E860&gt;=50*0.5,3,IF(E860&gt;=50*0.4,2,IF(E860&gt;=50*0.33,1,0))))))))</f>
        <v/>
      </c>
      <c r="X860">
        <f>IF(B860="","",IF(F860&lt;33.0,0,IF(F860&gt;=100*0.8,5,IF(F860&gt;=100*0.7,4,IF(F860&gt;=100*0.6,3.5,IF(F860&gt;=100*0.5,3,IF(F860&gt;=100*0.4,2,IF(F860&gt;=100*0.33,1,0))))))))</f>
        <v/>
      </c>
      <c r="Y860">
        <f>IF(B860="","",IF(G860&lt;16.5,0,IF(G860&gt;=50*0.8,5,IF(G860&gt;=50*0.7,4,IF(G860&gt;=50*0.6,3.5,IF(G860&gt;=50*0.5,3,IF(G860&gt;=50*0.4,2,IF(G860&gt;=50*0.33,1,0))))))))</f>
        <v/>
      </c>
      <c r="Z860">
        <f>IF(B860="","",IF(H860&lt;33.0,0,IF(H860&gt;=100*0.8,5,IF(H860&gt;=100*0.7,4,IF(H860&gt;=100*0.6,3.5,IF(H860&gt;=100*0.5,3,IF(H860&gt;=100*0.4,2,IF(H860&gt;=100*0.33,1,0))))))))</f>
        <v/>
      </c>
      <c r="AA860">
        <f>IF(B860="","",IF(I860&lt;33.0,0,IF(I860&gt;=100*0.8,5,IF(I860&gt;=100*0.7,4,IF(I860&gt;=100*0.6,3.5,IF(I860&gt;=100*0.5,3,IF(I860&gt;=100*0.4,2,IF(I860&gt;=100*0.33,1,0))))))))</f>
        <v/>
      </c>
      <c r="AB860">
        <f>IF(B860="","",IF(J860&lt;33.0,0,IF(J860&gt;=100*0.8,5,IF(J860&gt;=100*0.7,4,IF(J860&gt;=100*0.6,3.5,IF(J860&gt;=100*0.5,3,IF(J860&gt;=100*0.4,2,IF(J860&gt;=100*0.33,1,0))))))))</f>
        <v/>
      </c>
      <c r="AC860">
        <f>IF(B860="","",IF(K860&lt;33.0,0,IF(K860&gt;=100*0.8,5,IF(K860&gt;=100*0.7,4,IF(K860&gt;=100*0.6,3.5,IF(K860&gt;=100*0.5,3,IF(K860&gt;=100*0.4,2,IF(K860&gt;=100*0.33,1,0))))))))</f>
        <v/>
      </c>
      <c r="AD860">
        <f>IF(B860="","",IF(L860&lt;33.0,0,IF(L860&gt;=100*0.8,5,IF(L860&gt;=100*0.7,4,IF(L860&gt;=100*0.6,3.5,IF(L860&gt;=100*0.5,3,IF(L860&gt;=100*0.4,2,IF(L860&gt;=100*0.33,1,0))))))))</f>
        <v/>
      </c>
      <c r="AE860">
        <f>IF(B860="","",IF(M860&lt;33.0,0,IF(M860&gt;=100*0.8,5,IF(M860&gt;=100*0.7,4,IF(M860&gt;=100*0.6,3.5,IF(M860&gt;=100*0.5,3,IF(M860&gt;=100*0.4,2,IF(M860&gt;=100*0.33,1,0))))))))</f>
        <v/>
      </c>
      <c r="AF860">
        <f>IF(B860="","",IF(N860&lt;16.5,0,IF(N860&gt;=50*0.8,5,IF(N860&gt;=50*0.7,4,IF(N860&gt;=50*0.6,3.5,IF(N860&gt;=50*0.5,3,IF(N860&gt;=50*0.4,2,IF(N860&gt;=50*0.33,1,0))))))))</f>
        <v/>
      </c>
      <c r="AG860">
        <f>IF(B860="","",IF(O860&lt;33.0,0,IF(O860&gt;=100*0.8,5,IF(O860&gt;=100*0.7,4,IF(O860&gt;=100*0.6,3.5,IF(O860&gt;=100*0.5,3,IF(O860&gt;=100*0.4,2,IF(O860&gt;=100*0.33,1,0))))))))</f>
        <v/>
      </c>
      <c r="AH860">
        <f>IF(B860="","",IF(OR(U860=0,V860=0,W860=0,X860=0,Y860=0,Z860=0,AA860=0,AB860=0,AC860=0,AD860=0,AE860=0,AF860=0,AG860=0),1,0))</f>
        <v/>
      </c>
    </row>
    <row r="861">
      <c r="A861" s="3">
        <f>IF(B861="","",ROW()-2)</f>
        <v/>
      </c>
      <c r="P861" s="4">
        <f>IF(B861="","",SUM(C861:O861))</f>
        <v/>
      </c>
      <c r="Q861" s="5">
        <f>IF(B861="","",ROUND(P861/13,2))</f>
        <v/>
      </c>
      <c r="R861" s="5">
        <f>IF(B861="","",IF(AH861=1,0,MIN(5,ROUND((U861+V861+W861+X861+Y861+Z861+AA861+AB861+AC861+AD861+AE861+AF861+AG861)/13,2))))</f>
        <v/>
      </c>
      <c r="S861" s="3">
        <f>IF(B861="","",IF(R861&gt;=5,"A+",IF(R861&gt;=4,"A",IF(R861&gt;=3.5,"A-",IF(R861&gt;=3,"B",IF(R861&gt;=2,"C",IF(R861&gt;=1,"D","F")))))))</f>
        <v/>
      </c>
      <c r="T861" s="3">
        <f>IF(OR(B861="",S861="F"),"",COUNTIFS(P:P,"&gt;"&amp;P861,S:S,"&lt;&gt;F")+1)</f>
        <v/>
      </c>
      <c r="U861">
        <f>IF(B861="","",IF(C861&lt;33.0,0,IF(C861&gt;=100*0.8,5,IF(C861&gt;=100*0.7,4,IF(C861&gt;=100*0.6,3.5,IF(C861&gt;=100*0.5,3,IF(C861&gt;=100*0.4,2,IF(C861&gt;=100*0.33,1,0))))))))</f>
        <v/>
      </c>
      <c r="V861">
        <f>IF(B861="","",IF(D861&lt;33.0,0,IF(D861&gt;=100*0.8,5,IF(D861&gt;=100*0.7,4,IF(D861&gt;=100*0.6,3.5,IF(D861&gt;=100*0.5,3,IF(D861&gt;=100*0.4,2,IF(D861&gt;=100*0.33,1,0))))))))</f>
        <v/>
      </c>
      <c r="W861">
        <f>IF(B861="","",IF(E861&lt;16.5,0,IF(E861&gt;=50*0.8,5,IF(E861&gt;=50*0.7,4,IF(E861&gt;=50*0.6,3.5,IF(E861&gt;=50*0.5,3,IF(E861&gt;=50*0.4,2,IF(E861&gt;=50*0.33,1,0))))))))</f>
        <v/>
      </c>
      <c r="X861">
        <f>IF(B861="","",IF(F861&lt;33.0,0,IF(F861&gt;=100*0.8,5,IF(F861&gt;=100*0.7,4,IF(F861&gt;=100*0.6,3.5,IF(F861&gt;=100*0.5,3,IF(F861&gt;=100*0.4,2,IF(F861&gt;=100*0.33,1,0))))))))</f>
        <v/>
      </c>
      <c r="Y861">
        <f>IF(B861="","",IF(G861&lt;16.5,0,IF(G861&gt;=50*0.8,5,IF(G861&gt;=50*0.7,4,IF(G861&gt;=50*0.6,3.5,IF(G861&gt;=50*0.5,3,IF(G861&gt;=50*0.4,2,IF(G861&gt;=50*0.33,1,0))))))))</f>
        <v/>
      </c>
      <c r="Z861">
        <f>IF(B861="","",IF(H861&lt;33.0,0,IF(H861&gt;=100*0.8,5,IF(H861&gt;=100*0.7,4,IF(H861&gt;=100*0.6,3.5,IF(H861&gt;=100*0.5,3,IF(H861&gt;=100*0.4,2,IF(H861&gt;=100*0.33,1,0))))))))</f>
        <v/>
      </c>
      <c r="AA861">
        <f>IF(B861="","",IF(I861&lt;33.0,0,IF(I861&gt;=100*0.8,5,IF(I861&gt;=100*0.7,4,IF(I861&gt;=100*0.6,3.5,IF(I861&gt;=100*0.5,3,IF(I861&gt;=100*0.4,2,IF(I861&gt;=100*0.33,1,0))))))))</f>
        <v/>
      </c>
      <c r="AB861">
        <f>IF(B861="","",IF(J861&lt;33.0,0,IF(J861&gt;=100*0.8,5,IF(J861&gt;=100*0.7,4,IF(J861&gt;=100*0.6,3.5,IF(J861&gt;=100*0.5,3,IF(J861&gt;=100*0.4,2,IF(J861&gt;=100*0.33,1,0))))))))</f>
        <v/>
      </c>
      <c r="AC861">
        <f>IF(B861="","",IF(K861&lt;33.0,0,IF(K861&gt;=100*0.8,5,IF(K861&gt;=100*0.7,4,IF(K861&gt;=100*0.6,3.5,IF(K861&gt;=100*0.5,3,IF(K861&gt;=100*0.4,2,IF(K861&gt;=100*0.33,1,0))))))))</f>
        <v/>
      </c>
      <c r="AD861">
        <f>IF(B861="","",IF(L861&lt;33.0,0,IF(L861&gt;=100*0.8,5,IF(L861&gt;=100*0.7,4,IF(L861&gt;=100*0.6,3.5,IF(L861&gt;=100*0.5,3,IF(L861&gt;=100*0.4,2,IF(L861&gt;=100*0.33,1,0))))))))</f>
        <v/>
      </c>
      <c r="AE861">
        <f>IF(B861="","",IF(M861&lt;33.0,0,IF(M861&gt;=100*0.8,5,IF(M861&gt;=100*0.7,4,IF(M861&gt;=100*0.6,3.5,IF(M861&gt;=100*0.5,3,IF(M861&gt;=100*0.4,2,IF(M861&gt;=100*0.33,1,0))))))))</f>
        <v/>
      </c>
      <c r="AF861">
        <f>IF(B861="","",IF(N861&lt;16.5,0,IF(N861&gt;=50*0.8,5,IF(N861&gt;=50*0.7,4,IF(N861&gt;=50*0.6,3.5,IF(N861&gt;=50*0.5,3,IF(N861&gt;=50*0.4,2,IF(N861&gt;=50*0.33,1,0))))))))</f>
        <v/>
      </c>
      <c r="AG861">
        <f>IF(B861="","",IF(O861&lt;33.0,0,IF(O861&gt;=100*0.8,5,IF(O861&gt;=100*0.7,4,IF(O861&gt;=100*0.6,3.5,IF(O861&gt;=100*0.5,3,IF(O861&gt;=100*0.4,2,IF(O861&gt;=100*0.33,1,0))))))))</f>
        <v/>
      </c>
      <c r="AH861">
        <f>IF(B861="","",IF(OR(U861=0,V861=0,W861=0,X861=0,Y861=0,Z861=0,AA861=0,AB861=0,AC861=0,AD861=0,AE861=0,AF861=0,AG861=0),1,0))</f>
        <v/>
      </c>
    </row>
    <row r="862">
      <c r="A862" s="3">
        <f>IF(B862="","",ROW()-2)</f>
        <v/>
      </c>
      <c r="P862" s="4">
        <f>IF(B862="","",SUM(C862:O862))</f>
        <v/>
      </c>
      <c r="Q862" s="5">
        <f>IF(B862="","",ROUND(P862/13,2))</f>
        <v/>
      </c>
      <c r="R862" s="5">
        <f>IF(B862="","",IF(AH862=1,0,MIN(5,ROUND((U862+V862+W862+X862+Y862+Z862+AA862+AB862+AC862+AD862+AE862+AF862+AG862)/13,2))))</f>
        <v/>
      </c>
      <c r="S862" s="3">
        <f>IF(B862="","",IF(R862&gt;=5,"A+",IF(R862&gt;=4,"A",IF(R862&gt;=3.5,"A-",IF(R862&gt;=3,"B",IF(R862&gt;=2,"C",IF(R862&gt;=1,"D","F")))))))</f>
        <v/>
      </c>
      <c r="T862" s="3">
        <f>IF(OR(B862="",S862="F"),"",COUNTIFS(P:P,"&gt;"&amp;P862,S:S,"&lt;&gt;F")+1)</f>
        <v/>
      </c>
      <c r="U862">
        <f>IF(B862="","",IF(C862&lt;33.0,0,IF(C862&gt;=100*0.8,5,IF(C862&gt;=100*0.7,4,IF(C862&gt;=100*0.6,3.5,IF(C862&gt;=100*0.5,3,IF(C862&gt;=100*0.4,2,IF(C862&gt;=100*0.33,1,0))))))))</f>
        <v/>
      </c>
      <c r="V862">
        <f>IF(B862="","",IF(D862&lt;33.0,0,IF(D862&gt;=100*0.8,5,IF(D862&gt;=100*0.7,4,IF(D862&gt;=100*0.6,3.5,IF(D862&gt;=100*0.5,3,IF(D862&gt;=100*0.4,2,IF(D862&gt;=100*0.33,1,0))))))))</f>
        <v/>
      </c>
      <c r="W862">
        <f>IF(B862="","",IF(E862&lt;16.5,0,IF(E862&gt;=50*0.8,5,IF(E862&gt;=50*0.7,4,IF(E862&gt;=50*0.6,3.5,IF(E862&gt;=50*0.5,3,IF(E862&gt;=50*0.4,2,IF(E862&gt;=50*0.33,1,0))))))))</f>
        <v/>
      </c>
      <c r="X862">
        <f>IF(B862="","",IF(F862&lt;33.0,0,IF(F862&gt;=100*0.8,5,IF(F862&gt;=100*0.7,4,IF(F862&gt;=100*0.6,3.5,IF(F862&gt;=100*0.5,3,IF(F862&gt;=100*0.4,2,IF(F862&gt;=100*0.33,1,0))))))))</f>
        <v/>
      </c>
      <c r="Y862">
        <f>IF(B862="","",IF(G862&lt;16.5,0,IF(G862&gt;=50*0.8,5,IF(G862&gt;=50*0.7,4,IF(G862&gt;=50*0.6,3.5,IF(G862&gt;=50*0.5,3,IF(G862&gt;=50*0.4,2,IF(G862&gt;=50*0.33,1,0))))))))</f>
        <v/>
      </c>
      <c r="Z862">
        <f>IF(B862="","",IF(H862&lt;33.0,0,IF(H862&gt;=100*0.8,5,IF(H862&gt;=100*0.7,4,IF(H862&gt;=100*0.6,3.5,IF(H862&gt;=100*0.5,3,IF(H862&gt;=100*0.4,2,IF(H862&gt;=100*0.33,1,0))))))))</f>
        <v/>
      </c>
      <c r="AA862">
        <f>IF(B862="","",IF(I862&lt;33.0,0,IF(I862&gt;=100*0.8,5,IF(I862&gt;=100*0.7,4,IF(I862&gt;=100*0.6,3.5,IF(I862&gt;=100*0.5,3,IF(I862&gt;=100*0.4,2,IF(I862&gt;=100*0.33,1,0))))))))</f>
        <v/>
      </c>
      <c r="AB862">
        <f>IF(B862="","",IF(J862&lt;33.0,0,IF(J862&gt;=100*0.8,5,IF(J862&gt;=100*0.7,4,IF(J862&gt;=100*0.6,3.5,IF(J862&gt;=100*0.5,3,IF(J862&gt;=100*0.4,2,IF(J862&gt;=100*0.33,1,0))))))))</f>
        <v/>
      </c>
      <c r="AC862">
        <f>IF(B862="","",IF(K862&lt;33.0,0,IF(K862&gt;=100*0.8,5,IF(K862&gt;=100*0.7,4,IF(K862&gt;=100*0.6,3.5,IF(K862&gt;=100*0.5,3,IF(K862&gt;=100*0.4,2,IF(K862&gt;=100*0.33,1,0))))))))</f>
        <v/>
      </c>
      <c r="AD862">
        <f>IF(B862="","",IF(L862&lt;33.0,0,IF(L862&gt;=100*0.8,5,IF(L862&gt;=100*0.7,4,IF(L862&gt;=100*0.6,3.5,IF(L862&gt;=100*0.5,3,IF(L862&gt;=100*0.4,2,IF(L862&gt;=100*0.33,1,0))))))))</f>
        <v/>
      </c>
      <c r="AE862">
        <f>IF(B862="","",IF(M862&lt;33.0,0,IF(M862&gt;=100*0.8,5,IF(M862&gt;=100*0.7,4,IF(M862&gt;=100*0.6,3.5,IF(M862&gt;=100*0.5,3,IF(M862&gt;=100*0.4,2,IF(M862&gt;=100*0.33,1,0))))))))</f>
        <v/>
      </c>
      <c r="AF862">
        <f>IF(B862="","",IF(N862&lt;16.5,0,IF(N862&gt;=50*0.8,5,IF(N862&gt;=50*0.7,4,IF(N862&gt;=50*0.6,3.5,IF(N862&gt;=50*0.5,3,IF(N862&gt;=50*0.4,2,IF(N862&gt;=50*0.33,1,0))))))))</f>
        <v/>
      </c>
      <c r="AG862">
        <f>IF(B862="","",IF(O862&lt;33.0,0,IF(O862&gt;=100*0.8,5,IF(O862&gt;=100*0.7,4,IF(O862&gt;=100*0.6,3.5,IF(O862&gt;=100*0.5,3,IF(O862&gt;=100*0.4,2,IF(O862&gt;=100*0.33,1,0))))))))</f>
        <v/>
      </c>
      <c r="AH862">
        <f>IF(B862="","",IF(OR(U862=0,V862=0,W862=0,X862=0,Y862=0,Z862=0,AA862=0,AB862=0,AC862=0,AD862=0,AE862=0,AF862=0,AG862=0),1,0))</f>
        <v/>
      </c>
    </row>
    <row r="863">
      <c r="A863" s="3">
        <f>IF(B863="","",ROW()-2)</f>
        <v/>
      </c>
      <c r="P863" s="4">
        <f>IF(B863="","",SUM(C863:O863))</f>
        <v/>
      </c>
      <c r="Q863" s="5">
        <f>IF(B863="","",ROUND(P863/13,2))</f>
        <v/>
      </c>
      <c r="R863" s="5">
        <f>IF(B863="","",IF(AH863=1,0,MIN(5,ROUND((U863+V863+W863+X863+Y863+Z863+AA863+AB863+AC863+AD863+AE863+AF863+AG863)/13,2))))</f>
        <v/>
      </c>
      <c r="S863" s="3">
        <f>IF(B863="","",IF(R863&gt;=5,"A+",IF(R863&gt;=4,"A",IF(R863&gt;=3.5,"A-",IF(R863&gt;=3,"B",IF(R863&gt;=2,"C",IF(R863&gt;=1,"D","F")))))))</f>
        <v/>
      </c>
      <c r="T863" s="3">
        <f>IF(OR(B863="",S863="F"),"",COUNTIFS(P:P,"&gt;"&amp;P863,S:S,"&lt;&gt;F")+1)</f>
        <v/>
      </c>
      <c r="U863">
        <f>IF(B863="","",IF(C863&lt;33.0,0,IF(C863&gt;=100*0.8,5,IF(C863&gt;=100*0.7,4,IF(C863&gt;=100*0.6,3.5,IF(C863&gt;=100*0.5,3,IF(C863&gt;=100*0.4,2,IF(C863&gt;=100*0.33,1,0))))))))</f>
        <v/>
      </c>
      <c r="V863">
        <f>IF(B863="","",IF(D863&lt;33.0,0,IF(D863&gt;=100*0.8,5,IF(D863&gt;=100*0.7,4,IF(D863&gt;=100*0.6,3.5,IF(D863&gt;=100*0.5,3,IF(D863&gt;=100*0.4,2,IF(D863&gt;=100*0.33,1,0))))))))</f>
        <v/>
      </c>
      <c r="W863">
        <f>IF(B863="","",IF(E863&lt;16.5,0,IF(E863&gt;=50*0.8,5,IF(E863&gt;=50*0.7,4,IF(E863&gt;=50*0.6,3.5,IF(E863&gt;=50*0.5,3,IF(E863&gt;=50*0.4,2,IF(E863&gt;=50*0.33,1,0))))))))</f>
        <v/>
      </c>
      <c r="X863">
        <f>IF(B863="","",IF(F863&lt;33.0,0,IF(F863&gt;=100*0.8,5,IF(F863&gt;=100*0.7,4,IF(F863&gt;=100*0.6,3.5,IF(F863&gt;=100*0.5,3,IF(F863&gt;=100*0.4,2,IF(F863&gt;=100*0.33,1,0))))))))</f>
        <v/>
      </c>
      <c r="Y863">
        <f>IF(B863="","",IF(G863&lt;16.5,0,IF(G863&gt;=50*0.8,5,IF(G863&gt;=50*0.7,4,IF(G863&gt;=50*0.6,3.5,IF(G863&gt;=50*0.5,3,IF(G863&gt;=50*0.4,2,IF(G863&gt;=50*0.33,1,0))))))))</f>
        <v/>
      </c>
      <c r="Z863">
        <f>IF(B863="","",IF(H863&lt;33.0,0,IF(H863&gt;=100*0.8,5,IF(H863&gt;=100*0.7,4,IF(H863&gt;=100*0.6,3.5,IF(H863&gt;=100*0.5,3,IF(H863&gt;=100*0.4,2,IF(H863&gt;=100*0.33,1,0))))))))</f>
        <v/>
      </c>
      <c r="AA863">
        <f>IF(B863="","",IF(I863&lt;33.0,0,IF(I863&gt;=100*0.8,5,IF(I863&gt;=100*0.7,4,IF(I863&gt;=100*0.6,3.5,IF(I863&gt;=100*0.5,3,IF(I863&gt;=100*0.4,2,IF(I863&gt;=100*0.33,1,0))))))))</f>
        <v/>
      </c>
      <c r="AB863">
        <f>IF(B863="","",IF(J863&lt;33.0,0,IF(J863&gt;=100*0.8,5,IF(J863&gt;=100*0.7,4,IF(J863&gt;=100*0.6,3.5,IF(J863&gt;=100*0.5,3,IF(J863&gt;=100*0.4,2,IF(J863&gt;=100*0.33,1,0))))))))</f>
        <v/>
      </c>
      <c r="AC863">
        <f>IF(B863="","",IF(K863&lt;33.0,0,IF(K863&gt;=100*0.8,5,IF(K863&gt;=100*0.7,4,IF(K863&gt;=100*0.6,3.5,IF(K863&gt;=100*0.5,3,IF(K863&gt;=100*0.4,2,IF(K863&gt;=100*0.33,1,0))))))))</f>
        <v/>
      </c>
      <c r="AD863">
        <f>IF(B863="","",IF(L863&lt;33.0,0,IF(L863&gt;=100*0.8,5,IF(L863&gt;=100*0.7,4,IF(L863&gt;=100*0.6,3.5,IF(L863&gt;=100*0.5,3,IF(L863&gt;=100*0.4,2,IF(L863&gt;=100*0.33,1,0))))))))</f>
        <v/>
      </c>
      <c r="AE863">
        <f>IF(B863="","",IF(M863&lt;33.0,0,IF(M863&gt;=100*0.8,5,IF(M863&gt;=100*0.7,4,IF(M863&gt;=100*0.6,3.5,IF(M863&gt;=100*0.5,3,IF(M863&gt;=100*0.4,2,IF(M863&gt;=100*0.33,1,0))))))))</f>
        <v/>
      </c>
      <c r="AF863">
        <f>IF(B863="","",IF(N863&lt;16.5,0,IF(N863&gt;=50*0.8,5,IF(N863&gt;=50*0.7,4,IF(N863&gt;=50*0.6,3.5,IF(N863&gt;=50*0.5,3,IF(N863&gt;=50*0.4,2,IF(N863&gt;=50*0.33,1,0))))))))</f>
        <v/>
      </c>
      <c r="AG863">
        <f>IF(B863="","",IF(O863&lt;33.0,0,IF(O863&gt;=100*0.8,5,IF(O863&gt;=100*0.7,4,IF(O863&gt;=100*0.6,3.5,IF(O863&gt;=100*0.5,3,IF(O863&gt;=100*0.4,2,IF(O863&gt;=100*0.33,1,0))))))))</f>
        <v/>
      </c>
      <c r="AH863">
        <f>IF(B863="","",IF(OR(U863=0,V863=0,W863=0,X863=0,Y863=0,Z863=0,AA863=0,AB863=0,AC863=0,AD863=0,AE863=0,AF863=0,AG863=0),1,0))</f>
        <v/>
      </c>
    </row>
    <row r="864">
      <c r="A864" s="3">
        <f>IF(B864="","",ROW()-2)</f>
        <v/>
      </c>
      <c r="P864" s="4">
        <f>IF(B864="","",SUM(C864:O864))</f>
        <v/>
      </c>
      <c r="Q864" s="5">
        <f>IF(B864="","",ROUND(P864/13,2))</f>
        <v/>
      </c>
      <c r="R864" s="5">
        <f>IF(B864="","",IF(AH864=1,0,MIN(5,ROUND((U864+V864+W864+X864+Y864+Z864+AA864+AB864+AC864+AD864+AE864+AF864+AG864)/13,2))))</f>
        <v/>
      </c>
      <c r="S864" s="3">
        <f>IF(B864="","",IF(R864&gt;=5,"A+",IF(R864&gt;=4,"A",IF(R864&gt;=3.5,"A-",IF(R864&gt;=3,"B",IF(R864&gt;=2,"C",IF(R864&gt;=1,"D","F")))))))</f>
        <v/>
      </c>
      <c r="T864" s="3">
        <f>IF(OR(B864="",S864="F"),"",COUNTIFS(P:P,"&gt;"&amp;P864,S:S,"&lt;&gt;F")+1)</f>
        <v/>
      </c>
      <c r="U864">
        <f>IF(B864="","",IF(C864&lt;33.0,0,IF(C864&gt;=100*0.8,5,IF(C864&gt;=100*0.7,4,IF(C864&gt;=100*0.6,3.5,IF(C864&gt;=100*0.5,3,IF(C864&gt;=100*0.4,2,IF(C864&gt;=100*0.33,1,0))))))))</f>
        <v/>
      </c>
      <c r="V864">
        <f>IF(B864="","",IF(D864&lt;33.0,0,IF(D864&gt;=100*0.8,5,IF(D864&gt;=100*0.7,4,IF(D864&gt;=100*0.6,3.5,IF(D864&gt;=100*0.5,3,IF(D864&gt;=100*0.4,2,IF(D864&gt;=100*0.33,1,0))))))))</f>
        <v/>
      </c>
      <c r="W864">
        <f>IF(B864="","",IF(E864&lt;16.5,0,IF(E864&gt;=50*0.8,5,IF(E864&gt;=50*0.7,4,IF(E864&gt;=50*0.6,3.5,IF(E864&gt;=50*0.5,3,IF(E864&gt;=50*0.4,2,IF(E864&gt;=50*0.33,1,0))))))))</f>
        <v/>
      </c>
      <c r="X864">
        <f>IF(B864="","",IF(F864&lt;33.0,0,IF(F864&gt;=100*0.8,5,IF(F864&gt;=100*0.7,4,IF(F864&gt;=100*0.6,3.5,IF(F864&gt;=100*0.5,3,IF(F864&gt;=100*0.4,2,IF(F864&gt;=100*0.33,1,0))))))))</f>
        <v/>
      </c>
      <c r="Y864">
        <f>IF(B864="","",IF(G864&lt;16.5,0,IF(G864&gt;=50*0.8,5,IF(G864&gt;=50*0.7,4,IF(G864&gt;=50*0.6,3.5,IF(G864&gt;=50*0.5,3,IF(G864&gt;=50*0.4,2,IF(G864&gt;=50*0.33,1,0))))))))</f>
        <v/>
      </c>
      <c r="Z864">
        <f>IF(B864="","",IF(H864&lt;33.0,0,IF(H864&gt;=100*0.8,5,IF(H864&gt;=100*0.7,4,IF(H864&gt;=100*0.6,3.5,IF(H864&gt;=100*0.5,3,IF(H864&gt;=100*0.4,2,IF(H864&gt;=100*0.33,1,0))))))))</f>
        <v/>
      </c>
      <c r="AA864">
        <f>IF(B864="","",IF(I864&lt;33.0,0,IF(I864&gt;=100*0.8,5,IF(I864&gt;=100*0.7,4,IF(I864&gt;=100*0.6,3.5,IF(I864&gt;=100*0.5,3,IF(I864&gt;=100*0.4,2,IF(I864&gt;=100*0.33,1,0))))))))</f>
        <v/>
      </c>
      <c r="AB864">
        <f>IF(B864="","",IF(J864&lt;33.0,0,IF(J864&gt;=100*0.8,5,IF(J864&gt;=100*0.7,4,IF(J864&gt;=100*0.6,3.5,IF(J864&gt;=100*0.5,3,IF(J864&gt;=100*0.4,2,IF(J864&gt;=100*0.33,1,0))))))))</f>
        <v/>
      </c>
      <c r="AC864">
        <f>IF(B864="","",IF(K864&lt;33.0,0,IF(K864&gt;=100*0.8,5,IF(K864&gt;=100*0.7,4,IF(K864&gt;=100*0.6,3.5,IF(K864&gt;=100*0.5,3,IF(K864&gt;=100*0.4,2,IF(K864&gt;=100*0.33,1,0))))))))</f>
        <v/>
      </c>
      <c r="AD864">
        <f>IF(B864="","",IF(L864&lt;33.0,0,IF(L864&gt;=100*0.8,5,IF(L864&gt;=100*0.7,4,IF(L864&gt;=100*0.6,3.5,IF(L864&gt;=100*0.5,3,IF(L864&gt;=100*0.4,2,IF(L864&gt;=100*0.33,1,0))))))))</f>
        <v/>
      </c>
      <c r="AE864">
        <f>IF(B864="","",IF(M864&lt;33.0,0,IF(M864&gt;=100*0.8,5,IF(M864&gt;=100*0.7,4,IF(M864&gt;=100*0.6,3.5,IF(M864&gt;=100*0.5,3,IF(M864&gt;=100*0.4,2,IF(M864&gt;=100*0.33,1,0))))))))</f>
        <v/>
      </c>
      <c r="AF864">
        <f>IF(B864="","",IF(N864&lt;16.5,0,IF(N864&gt;=50*0.8,5,IF(N864&gt;=50*0.7,4,IF(N864&gt;=50*0.6,3.5,IF(N864&gt;=50*0.5,3,IF(N864&gt;=50*0.4,2,IF(N864&gt;=50*0.33,1,0))))))))</f>
        <v/>
      </c>
      <c r="AG864">
        <f>IF(B864="","",IF(O864&lt;33.0,0,IF(O864&gt;=100*0.8,5,IF(O864&gt;=100*0.7,4,IF(O864&gt;=100*0.6,3.5,IF(O864&gt;=100*0.5,3,IF(O864&gt;=100*0.4,2,IF(O864&gt;=100*0.33,1,0))))))))</f>
        <v/>
      </c>
      <c r="AH864">
        <f>IF(B864="","",IF(OR(U864=0,V864=0,W864=0,X864=0,Y864=0,Z864=0,AA864=0,AB864=0,AC864=0,AD864=0,AE864=0,AF864=0,AG864=0),1,0))</f>
        <v/>
      </c>
    </row>
    <row r="865">
      <c r="A865" s="3">
        <f>IF(B865="","",ROW()-2)</f>
        <v/>
      </c>
      <c r="P865" s="4">
        <f>IF(B865="","",SUM(C865:O865))</f>
        <v/>
      </c>
      <c r="Q865" s="5">
        <f>IF(B865="","",ROUND(P865/13,2))</f>
        <v/>
      </c>
      <c r="R865" s="5">
        <f>IF(B865="","",IF(AH865=1,0,MIN(5,ROUND((U865+V865+W865+X865+Y865+Z865+AA865+AB865+AC865+AD865+AE865+AF865+AG865)/13,2))))</f>
        <v/>
      </c>
      <c r="S865" s="3">
        <f>IF(B865="","",IF(R865&gt;=5,"A+",IF(R865&gt;=4,"A",IF(R865&gt;=3.5,"A-",IF(R865&gt;=3,"B",IF(R865&gt;=2,"C",IF(R865&gt;=1,"D","F")))))))</f>
        <v/>
      </c>
      <c r="T865" s="3">
        <f>IF(OR(B865="",S865="F"),"",COUNTIFS(P:P,"&gt;"&amp;P865,S:S,"&lt;&gt;F")+1)</f>
        <v/>
      </c>
      <c r="U865">
        <f>IF(B865="","",IF(C865&lt;33.0,0,IF(C865&gt;=100*0.8,5,IF(C865&gt;=100*0.7,4,IF(C865&gt;=100*0.6,3.5,IF(C865&gt;=100*0.5,3,IF(C865&gt;=100*0.4,2,IF(C865&gt;=100*0.33,1,0))))))))</f>
        <v/>
      </c>
      <c r="V865">
        <f>IF(B865="","",IF(D865&lt;33.0,0,IF(D865&gt;=100*0.8,5,IF(D865&gt;=100*0.7,4,IF(D865&gt;=100*0.6,3.5,IF(D865&gt;=100*0.5,3,IF(D865&gt;=100*0.4,2,IF(D865&gt;=100*0.33,1,0))))))))</f>
        <v/>
      </c>
      <c r="W865">
        <f>IF(B865="","",IF(E865&lt;16.5,0,IF(E865&gt;=50*0.8,5,IF(E865&gt;=50*0.7,4,IF(E865&gt;=50*0.6,3.5,IF(E865&gt;=50*0.5,3,IF(E865&gt;=50*0.4,2,IF(E865&gt;=50*0.33,1,0))))))))</f>
        <v/>
      </c>
      <c r="X865">
        <f>IF(B865="","",IF(F865&lt;33.0,0,IF(F865&gt;=100*0.8,5,IF(F865&gt;=100*0.7,4,IF(F865&gt;=100*0.6,3.5,IF(F865&gt;=100*0.5,3,IF(F865&gt;=100*0.4,2,IF(F865&gt;=100*0.33,1,0))))))))</f>
        <v/>
      </c>
      <c r="Y865">
        <f>IF(B865="","",IF(G865&lt;16.5,0,IF(G865&gt;=50*0.8,5,IF(G865&gt;=50*0.7,4,IF(G865&gt;=50*0.6,3.5,IF(G865&gt;=50*0.5,3,IF(G865&gt;=50*0.4,2,IF(G865&gt;=50*0.33,1,0))))))))</f>
        <v/>
      </c>
      <c r="Z865">
        <f>IF(B865="","",IF(H865&lt;33.0,0,IF(H865&gt;=100*0.8,5,IF(H865&gt;=100*0.7,4,IF(H865&gt;=100*0.6,3.5,IF(H865&gt;=100*0.5,3,IF(H865&gt;=100*0.4,2,IF(H865&gt;=100*0.33,1,0))))))))</f>
        <v/>
      </c>
      <c r="AA865">
        <f>IF(B865="","",IF(I865&lt;33.0,0,IF(I865&gt;=100*0.8,5,IF(I865&gt;=100*0.7,4,IF(I865&gt;=100*0.6,3.5,IF(I865&gt;=100*0.5,3,IF(I865&gt;=100*0.4,2,IF(I865&gt;=100*0.33,1,0))))))))</f>
        <v/>
      </c>
      <c r="AB865">
        <f>IF(B865="","",IF(J865&lt;33.0,0,IF(J865&gt;=100*0.8,5,IF(J865&gt;=100*0.7,4,IF(J865&gt;=100*0.6,3.5,IF(J865&gt;=100*0.5,3,IF(J865&gt;=100*0.4,2,IF(J865&gt;=100*0.33,1,0))))))))</f>
        <v/>
      </c>
      <c r="AC865">
        <f>IF(B865="","",IF(K865&lt;33.0,0,IF(K865&gt;=100*0.8,5,IF(K865&gt;=100*0.7,4,IF(K865&gt;=100*0.6,3.5,IF(K865&gt;=100*0.5,3,IF(K865&gt;=100*0.4,2,IF(K865&gt;=100*0.33,1,0))))))))</f>
        <v/>
      </c>
      <c r="AD865">
        <f>IF(B865="","",IF(L865&lt;33.0,0,IF(L865&gt;=100*0.8,5,IF(L865&gt;=100*0.7,4,IF(L865&gt;=100*0.6,3.5,IF(L865&gt;=100*0.5,3,IF(L865&gt;=100*0.4,2,IF(L865&gt;=100*0.33,1,0))))))))</f>
        <v/>
      </c>
      <c r="AE865">
        <f>IF(B865="","",IF(M865&lt;33.0,0,IF(M865&gt;=100*0.8,5,IF(M865&gt;=100*0.7,4,IF(M865&gt;=100*0.6,3.5,IF(M865&gt;=100*0.5,3,IF(M865&gt;=100*0.4,2,IF(M865&gt;=100*0.33,1,0))))))))</f>
        <v/>
      </c>
      <c r="AF865">
        <f>IF(B865="","",IF(N865&lt;16.5,0,IF(N865&gt;=50*0.8,5,IF(N865&gt;=50*0.7,4,IF(N865&gt;=50*0.6,3.5,IF(N865&gt;=50*0.5,3,IF(N865&gt;=50*0.4,2,IF(N865&gt;=50*0.33,1,0))))))))</f>
        <v/>
      </c>
      <c r="AG865">
        <f>IF(B865="","",IF(O865&lt;33.0,0,IF(O865&gt;=100*0.8,5,IF(O865&gt;=100*0.7,4,IF(O865&gt;=100*0.6,3.5,IF(O865&gt;=100*0.5,3,IF(O865&gt;=100*0.4,2,IF(O865&gt;=100*0.33,1,0))))))))</f>
        <v/>
      </c>
      <c r="AH865">
        <f>IF(B865="","",IF(OR(U865=0,V865=0,W865=0,X865=0,Y865=0,Z865=0,AA865=0,AB865=0,AC865=0,AD865=0,AE865=0,AF865=0,AG865=0),1,0))</f>
        <v/>
      </c>
    </row>
    <row r="866">
      <c r="A866" s="3">
        <f>IF(B866="","",ROW()-2)</f>
        <v/>
      </c>
      <c r="P866" s="4">
        <f>IF(B866="","",SUM(C866:O866))</f>
        <v/>
      </c>
      <c r="Q866" s="5">
        <f>IF(B866="","",ROUND(P866/13,2))</f>
        <v/>
      </c>
      <c r="R866" s="5">
        <f>IF(B866="","",IF(AH866=1,0,MIN(5,ROUND((U866+V866+W866+X866+Y866+Z866+AA866+AB866+AC866+AD866+AE866+AF866+AG866)/13,2))))</f>
        <v/>
      </c>
      <c r="S866" s="3">
        <f>IF(B866="","",IF(R866&gt;=5,"A+",IF(R866&gt;=4,"A",IF(R866&gt;=3.5,"A-",IF(R866&gt;=3,"B",IF(R866&gt;=2,"C",IF(R866&gt;=1,"D","F")))))))</f>
        <v/>
      </c>
      <c r="T866" s="3">
        <f>IF(OR(B866="",S866="F"),"",COUNTIFS(P:P,"&gt;"&amp;P866,S:S,"&lt;&gt;F")+1)</f>
        <v/>
      </c>
      <c r="U866">
        <f>IF(B866="","",IF(C866&lt;33.0,0,IF(C866&gt;=100*0.8,5,IF(C866&gt;=100*0.7,4,IF(C866&gt;=100*0.6,3.5,IF(C866&gt;=100*0.5,3,IF(C866&gt;=100*0.4,2,IF(C866&gt;=100*0.33,1,0))))))))</f>
        <v/>
      </c>
      <c r="V866">
        <f>IF(B866="","",IF(D866&lt;33.0,0,IF(D866&gt;=100*0.8,5,IF(D866&gt;=100*0.7,4,IF(D866&gt;=100*0.6,3.5,IF(D866&gt;=100*0.5,3,IF(D866&gt;=100*0.4,2,IF(D866&gt;=100*0.33,1,0))))))))</f>
        <v/>
      </c>
      <c r="W866">
        <f>IF(B866="","",IF(E866&lt;16.5,0,IF(E866&gt;=50*0.8,5,IF(E866&gt;=50*0.7,4,IF(E866&gt;=50*0.6,3.5,IF(E866&gt;=50*0.5,3,IF(E866&gt;=50*0.4,2,IF(E866&gt;=50*0.33,1,0))))))))</f>
        <v/>
      </c>
      <c r="X866">
        <f>IF(B866="","",IF(F866&lt;33.0,0,IF(F866&gt;=100*0.8,5,IF(F866&gt;=100*0.7,4,IF(F866&gt;=100*0.6,3.5,IF(F866&gt;=100*0.5,3,IF(F866&gt;=100*0.4,2,IF(F866&gt;=100*0.33,1,0))))))))</f>
        <v/>
      </c>
      <c r="Y866">
        <f>IF(B866="","",IF(G866&lt;16.5,0,IF(G866&gt;=50*0.8,5,IF(G866&gt;=50*0.7,4,IF(G866&gt;=50*0.6,3.5,IF(G866&gt;=50*0.5,3,IF(G866&gt;=50*0.4,2,IF(G866&gt;=50*0.33,1,0))))))))</f>
        <v/>
      </c>
      <c r="Z866">
        <f>IF(B866="","",IF(H866&lt;33.0,0,IF(H866&gt;=100*0.8,5,IF(H866&gt;=100*0.7,4,IF(H866&gt;=100*0.6,3.5,IF(H866&gt;=100*0.5,3,IF(H866&gt;=100*0.4,2,IF(H866&gt;=100*0.33,1,0))))))))</f>
        <v/>
      </c>
      <c r="AA866">
        <f>IF(B866="","",IF(I866&lt;33.0,0,IF(I866&gt;=100*0.8,5,IF(I866&gt;=100*0.7,4,IF(I866&gt;=100*0.6,3.5,IF(I866&gt;=100*0.5,3,IF(I866&gt;=100*0.4,2,IF(I866&gt;=100*0.33,1,0))))))))</f>
        <v/>
      </c>
      <c r="AB866">
        <f>IF(B866="","",IF(J866&lt;33.0,0,IF(J866&gt;=100*0.8,5,IF(J866&gt;=100*0.7,4,IF(J866&gt;=100*0.6,3.5,IF(J866&gt;=100*0.5,3,IF(J866&gt;=100*0.4,2,IF(J866&gt;=100*0.33,1,0))))))))</f>
        <v/>
      </c>
      <c r="AC866">
        <f>IF(B866="","",IF(K866&lt;33.0,0,IF(K866&gt;=100*0.8,5,IF(K866&gt;=100*0.7,4,IF(K866&gt;=100*0.6,3.5,IF(K866&gt;=100*0.5,3,IF(K866&gt;=100*0.4,2,IF(K866&gt;=100*0.33,1,0))))))))</f>
        <v/>
      </c>
      <c r="AD866">
        <f>IF(B866="","",IF(L866&lt;33.0,0,IF(L866&gt;=100*0.8,5,IF(L866&gt;=100*0.7,4,IF(L866&gt;=100*0.6,3.5,IF(L866&gt;=100*0.5,3,IF(L866&gt;=100*0.4,2,IF(L866&gt;=100*0.33,1,0))))))))</f>
        <v/>
      </c>
      <c r="AE866">
        <f>IF(B866="","",IF(M866&lt;33.0,0,IF(M866&gt;=100*0.8,5,IF(M866&gt;=100*0.7,4,IF(M866&gt;=100*0.6,3.5,IF(M866&gt;=100*0.5,3,IF(M866&gt;=100*0.4,2,IF(M866&gt;=100*0.33,1,0))))))))</f>
        <v/>
      </c>
      <c r="AF866">
        <f>IF(B866="","",IF(N866&lt;16.5,0,IF(N866&gt;=50*0.8,5,IF(N866&gt;=50*0.7,4,IF(N866&gt;=50*0.6,3.5,IF(N866&gt;=50*0.5,3,IF(N866&gt;=50*0.4,2,IF(N866&gt;=50*0.33,1,0))))))))</f>
        <v/>
      </c>
      <c r="AG866">
        <f>IF(B866="","",IF(O866&lt;33.0,0,IF(O866&gt;=100*0.8,5,IF(O866&gt;=100*0.7,4,IF(O866&gt;=100*0.6,3.5,IF(O866&gt;=100*0.5,3,IF(O866&gt;=100*0.4,2,IF(O866&gt;=100*0.33,1,0))))))))</f>
        <v/>
      </c>
      <c r="AH866">
        <f>IF(B866="","",IF(OR(U866=0,V866=0,W866=0,X866=0,Y866=0,Z866=0,AA866=0,AB866=0,AC866=0,AD866=0,AE866=0,AF866=0,AG866=0),1,0))</f>
        <v/>
      </c>
    </row>
    <row r="867">
      <c r="A867" s="3">
        <f>IF(B867="","",ROW()-2)</f>
        <v/>
      </c>
      <c r="P867" s="4">
        <f>IF(B867="","",SUM(C867:O867))</f>
        <v/>
      </c>
      <c r="Q867" s="5">
        <f>IF(B867="","",ROUND(P867/13,2))</f>
        <v/>
      </c>
      <c r="R867" s="5">
        <f>IF(B867="","",IF(AH867=1,0,MIN(5,ROUND((U867+V867+W867+X867+Y867+Z867+AA867+AB867+AC867+AD867+AE867+AF867+AG867)/13,2))))</f>
        <v/>
      </c>
      <c r="S867" s="3">
        <f>IF(B867="","",IF(R867&gt;=5,"A+",IF(R867&gt;=4,"A",IF(R867&gt;=3.5,"A-",IF(R867&gt;=3,"B",IF(R867&gt;=2,"C",IF(R867&gt;=1,"D","F")))))))</f>
        <v/>
      </c>
      <c r="T867" s="3">
        <f>IF(OR(B867="",S867="F"),"",COUNTIFS(P:P,"&gt;"&amp;P867,S:S,"&lt;&gt;F")+1)</f>
        <v/>
      </c>
      <c r="U867">
        <f>IF(B867="","",IF(C867&lt;33.0,0,IF(C867&gt;=100*0.8,5,IF(C867&gt;=100*0.7,4,IF(C867&gt;=100*0.6,3.5,IF(C867&gt;=100*0.5,3,IF(C867&gt;=100*0.4,2,IF(C867&gt;=100*0.33,1,0))))))))</f>
        <v/>
      </c>
      <c r="V867">
        <f>IF(B867="","",IF(D867&lt;33.0,0,IF(D867&gt;=100*0.8,5,IF(D867&gt;=100*0.7,4,IF(D867&gt;=100*0.6,3.5,IF(D867&gt;=100*0.5,3,IF(D867&gt;=100*0.4,2,IF(D867&gt;=100*0.33,1,0))))))))</f>
        <v/>
      </c>
      <c r="W867">
        <f>IF(B867="","",IF(E867&lt;16.5,0,IF(E867&gt;=50*0.8,5,IF(E867&gt;=50*0.7,4,IF(E867&gt;=50*0.6,3.5,IF(E867&gt;=50*0.5,3,IF(E867&gt;=50*0.4,2,IF(E867&gt;=50*0.33,1,0))))))))</f>
        <v/>
      </c>
      <c r="X867">
        <f>IF(B867="","",IF(F867&lt;33.0,0,IF(F867&gt;=100*0.8,5,IF(F867&gt;=100*0.7,4,IF(F867&gt;=100*0.6,3.5,IF(F867&gt;=100*0.5,3,IF(F867&gt;=100*0.4,2,IF(F867&gt;=100*0.33,1,0))))))))</f>
        <v/>
      </c>
      <c r="Y867">
        <f>IF(B867="","",IF(G867&lt;16.5,0,IF(G867&gt;=50*0.8,5,IF(G867&gt;=50*0.7,4,IF(G867&gt;=50*0.6,3.5,IF(G867&gt;=50*0.5,3,IF(G867&gt;=50*0.4,2,IF(G867&gt;=50*0.33,1,0))))))))</f>
        <v/>
      </c>
      <c r="Z867">
        <f>IF(B867="","",IF(H867&lt;33.0,0,IF(H867&gt;=100*0.8,5,IF(H867&gt;=100*0.7,4,IF(H867&gt;=100*0.6,3.5,IF(H867&gt;=100*0.5,3,IF(H867&gt;=100*0.4,2,IF(H867&gt;=100*0.33,1,0))))))))</f>
        <v/>
      </c>
      <c r="AA867">
        <f>IF(B867="","",IF(I867&lt;33.0,0,IF(I867&gt;=100*0.8,5,IF(I867&gt;=100*0.7,4,IF(I867&gt;=100*0.6,3.5,IF(I867&gt;=100*0.5,3,IF(I867&gt;=100*0.4,2,IF(I867&gt;=100*0.33,1,0))))))))</f>
        <v/>
      </c>
      <c r="AB867">
        <f>IF(B867="","",IF(J867&lt;33.0,0,IF(J867&gt;=100*0.8,5,IF(J867&gt;=100*0.7,4,IF(J867&gt;=100*0.6,3.5,IF(J867&gt;=100*0.5,3,IF(J867&gt;=100*0.4,2,IF(J867&gt;=100*0.33,1,0))))))))</f>
        <v/>
      </c>
      <c r="AC867">
        <f>IF(B867="","",IF(K867&lt;33.0,0,IF(K867&gt;=100*0.8,5,IF(K867&gt;=100*0.7,4,IF(K867&gt;=100*0.6,3.5,IF(K867&gt;=100*0.5,3,IF(K867&gt;=100*0.4,2,IF(K867&gt;=100*0.33,1,0))))))))</f>
        <v/>
      </c>
      <c r="AD867">
        <f>IF(B867="","",IF(L867&lt;33.0,0,IF(L867&gt;=100*0.8,5,IF(L867&gt;=100*0.7,4,IF(L867&gt;=100*0.6,3.5,IF(L867&gt;=100*0.5,3,IF(L867&gt;=100*0.4,2,IF(L867&gt;=100*0.33,1,0))))))))</f>
        <v/>
      </c>
      <c r="AE867">
        <f>IF(B867="","",IF(M867&lt;33.0,0,IF(M867&gt;=100*0.8,5,IF(M867&gt;=100*0.7,4,IF(M867&gt;=100*0.6,3.5,IF(M867&gt;=100*0.5,3,IF(M867&gt;=100*0.4,2,IF(M867&gt;=100*0.33,1,0))))))))</f>
        <v/>
      </c>
      <c r="AF867">
        <f>IF(B867="","",IF(N867&lt;16.5,0,IF(N867&gt;=50*0.8,5,IF(N867&gt;=50*0.7,4,IF(N867&gt;=50*0.6,3.5,IF(N867&gt;=50*0.5,3,IF(N867&gt;=50*0.4,2,IF(N867&gt;=50*0.33,1,0))))))))</f>
        <v/>
      </c>
      <c r="AG867">
        <f>IF(B867="","",IF(O867&lt;33.0,0,IF(O867&gt;=100*0.8,5,IF(O867&gt;=100*0.7,4,IF(O867&gt;=100*0.6,3.5,IF(O867&gt;=100*0.5,3,IF(O867&gt;=100*0.4,2,IF(O867&gt;=100*0.33,1,0))))))))</f>
        <v/>
      </c>
      <c r="AH867">
        <f>IF(B867="","",IF(OR(U867=0,V867=0,W867=0,X867=0,Y867=0,Z867=0,AA867=0,AB867=0,AC867=0,AD867=0,AE867=0,AF867=0,AG867=0),1,0))</f>
        <v/>
      </c>
    </row>
    <row r="868">
      <c r="A868" s="3">
        <f>IF(B868="","",ROW()-2)</f>
        <v/>
      </c>
      <c r="P868" s="4">
        <f>IF(B868="","",SUM(C868:O868))</f>
        <v/>
      </c>
      <c r="Q868" s="5">
        <f>IF(B868="","",ROUND(P868/13,2))</f>
        <v/>
      </c>
      <c r="R868" s="5">
        <f>IF(B868="","",IF(AH868=1,0,MIN(5,ROUND((U868+V868+W868+X868+Y868+Z868+AA868+AB868+AC868+AD868+AE868+AF868+AG868)/13,2))))</f>
        <v/>
      </c>
      <c r="S868" s="3">
        <f>IF(B868="","",IF(R868&gt;=5,"A+",IF(R868&gt;=4,"A",IF(R868&gt;=3.5,"A-",IF(R868&gt;=3,"B",IF(R868&gt;=2,"C",IF(R868&gt;=1,"D","F")))))))</f>
        <v/>
      </c>
      <c r="T868" s="3">
        <f>IF(OR(B868="",S868="F"),"",COUNTIFS(P:P,"&gt;"&amp;P868,S:S,"&lt;&gt;F")+1)</f>
        <v/>
      </c>
      <c r="U868">
        <f>IF(B868="","",IF(C868&lt;33.0,0,IF(C868&gt;=100*0.8,5,IF(C868&gt;=100*0.7,4,IF(C868&gt;=100*0.6,3.5,IF(C868&gt;=100*0.5,3,IF(C868&gt;=100*0.4,2,IF(C868&gt;=100*0.33,1,0))))))))</f>
        <v/>
      </c>
      <c r="V868">
        <f>IF(B868="","",IF(D868&lt;33.0,0,IF(D868&gt;=100*0.8,5,IF(D868&gt;=100*0.7,4,IF(D868&gt;=100*0.6,3.5,IF(D868&gt;=100*0.5,3,IF(D868&gt;=100*0.4,2,IF(D868&gt;=100*0.33,1,0))))))))</f>
        <v/>
      </c>
      <c r="W868">
        <f>IF(B868="","",IF(E868&lt;16.5,0,IF(E868&gt;=50*0.8,5,IF(E868&gt;=50*0.7,4,IF(E868&gt;=50*0.6,3.5,IF(E868&gt;=50*0.5,3,IF(E868&gt;=50*0.4,2,IF(E868&gt;=50*0.33,1,0))))))))</f>
        <v/>
      </c>
      <c r="X868">
        <f>IF(B868="","",IF(F868&lt;33.0,0,IF(F868&gt;=100*0.8,5,IF(F868&gt;=100*0.7,4,IF(F868&gt;=100*0.6,3.5,IF(F868&gt;=100*0.5,3,IF(F868&gt;=100*0.4,2,IF(F868&gt;=100*0.33,1,0))))))))</f>
        <v/>
      </c>
      <c r="Y868">
        <f>IF(B868="","",IF(G868&lt;16.5,0,IF(G868&gt;=50*0.8,5,IF(G868&gt;=50*0.7,4,IF(G868&gt;=50*0.6,3.5,IF(G868&gt;=50*0.5,3,IF(G868&gt;=50*0.4,2,IF(G868&gt;=50*0.33,1,0))))))))</f>
        <v/>
      </c>
      <c r="Z868">
        <f>IF(B868="","",IF(H868&lt;33.0,0,IF(H868&gt;=100*0.8,5,IF(H868&gt;=100*0.7,4,IF(H868&gt;=100*0.6,3.5,IF(H868&gt;=100*0.5,3,IF(H868&gt;=100*0.4,2,IF(H868&gt;=100*0.33,1,0))))))))</f>
        <v/>
      </c>
      <c r="AA868">
        <f>IF(B868="","",IF(I868&lt;33.0,0,IF(I868&gt;=100*0.8,5,IF(I868&gt;=100*0.7,4,IF(I868&gt;=100*0.6,3.5,IF(I868&gt;=100*0.5,3,IF(I868&gt;=100*0.4,2,IF(I868&gt;=100*0.33,1,0))))))))</f>
        <v/>
      </c>
      <c r="AB868">
        <f>IF(B868="","",IF(J868&lt;33.0,0,IF(J868&gt;=100*0.8,5,IF(J868&gt;=100*0.7,4,IF(J868&gt;=100*0.6,3.5,IF(J868&gt;=100*0.5,3,IF(J868&gt;=100*0.4,2,IF(J868&gt;=100*0.33,1,0))))))))</f>
        <v/>
      </c>
      <c r="AC868">
        <f>IF(B868="","",IF(K868&lt;33.0,0,IF(K868&gt;=100*0.8,5,IF(K868&gt;=100*0.7,4,IF(K868&gt;=100*0.6,3.5,IF(K868&gt;=100*0.5,3,IF(K868&gt;=100*0.4,2,IF(K868&gt;=100*0.33,1,0))))))))</f>
        <v/>
      </c>
      <c r="AD868">
        <f>IF(B868="","",IF(L868&lt;33.0,0,IF(L868&gt;=100*0.8,5,IF(L868&gt;=100*0.7,4,IF(L868&gt;=100*0.6,3.5,IF(L868&gt;=100*0.5,3,IF(L868&gt;=100*0.4,2,IF(L868&gt;=100*0.33,1,0))))))))</f>
        <v/>
      </c>
      <c r="AE868">
        <f>IF(B868="","",IF(M868&lt;33.0,0,IF(M868&gt;=100*0.8,5,IF(M868&gt;=100*0.7,4,IF(M868&gt;=100*0.6,3.5,IF(M868&gt;=100*0.5,3,IF(M868&gt;=100*0.4,2,IF(M868&gt;=100*0.33,1,0))))))))</f>
        <v/>
      </c>
      <c r="AF868">
        <f>IF(B868="","",IF(N868&lt;16.5,0,IF(N868&gt;=50*0.8,5,IF(N868&gt;=50*0.7,4,IF(N868&gt;=50*0.6,3.5,IF(N868&gt;=50*0.5,3,IF(N868&gt;=50*0.4,2,IF(N868&gt;=50*0.33,1,0))))))))</f>
        <v/>
      </c>
      <c r="AG868">
        <f>IF(B868="","",IF(O868&lt;33.0,0,IF(O868&gt;=100*0.8,5,IF(O868&gt;=100*0.7,4,IF(O868&gt;=100*0.6,3.5,IF(O868&gt;=100*0.5,3,IF(O868&gt;=100*0.4,2,IF(O868&gt;=100*0.33,1,0))))))))</f>
        <v/>
      </c>
      <c r="AH868">
        <f>IF(B868="","",IF(OR(U868=0,V868=0,W868=0,X868=0,Y868=0,Z868=0,AA868=0,AB868=0,AC868=0,AD868=0,AE868=0,AF868=0,AG868=0),1,0))</f>
        <v/>
      </c>
    </row>
    <row r="869">
      <c r="A869" s="3">
        <f>IF(B869="","",ROW()-2)</f>
        <v/>
      </c>
      <c r="P869" s="4">
        <f>IF(B869="","",SUM(C869:O869))</f>
        <v/>
      </c>
      <c r="Q869" s="5">
        <f>IF(B869="","",ROUND(P869/13,2))</f>
        <v/>
      </c>
      <c r="R869" s="5">
        <f>IF(B869="","",IF(AH869=1,0,MIN(5,ROUND((U869+V869+W869+X869+Y869+Z869+AA869+AB869+AC869+AD869+AE869+AF869+AG869)/13,2))))</f>
        <v/>
      </c>
      <c r="S869" s="3">
        <f>IF(B869="","",IF(R869&gt;=5,"A+",IF(R869&gt;=4,"A",IF(R869&gt;=3.5,"A-",IF(R869&gt;=3,"B",IF(R869&gt;=2,"C",IF(R869&gt;=1,"D","F")))))))</f>
        <v/>
      </c>
      <c r="T869" s="3">
        <f>IF(OR(B869="",S869="F"),"",COUNTIFS(P:P,"&gt;"&amp;P869,S:S,"&lt;&gt;F")+1)</f>
        <v/>
      </c>
      <c r="U869">
        <f>IF(B869="","",IF(C869&lt;33.0,0,IF(C869&gt;=100*0.8,5,IF(C869&gt;=100*0.7,4,IF(C869&gt;=100*0.6,3.5,IF(C869&gt;=100*0.5,3,IF(C869&gt;=100*0.4,2,IF(C869&gt;=100*0.33,1,0))))))))</f>
        <v/>
      </c>
      <c r="V869">
        <f>IF(B869="","",IF(D869&lt;33.0,0,IF(D869&gt;=100*0.8,5,IF(D869&gt;=100*0.7,4,IF(D869&gt;=100*0.6,3.5,IF(D869&gt;=100*0.5,3,IF(D869&gt;=100*0.4,2,IF(D869&gt;=100*0.33,1,0))))))))</f>
        <v/>
      </c>
      <c r="W869">
        <f>IF(B869="","",IF(E869&lt;16.5,0,IF(E869&gt;=50*0.8,5,IF(E869&gt;=50*0.7,4,IF(E869&gt;=50*0.6,3.5,IF(E869&gt;=50*0.5,3,IF(E869&gt;=50*0.4,2,IF(E869&gt;=50*0.33,1,0))))))))</f>
        <v/>
      </c>
      <c r="X869">
        <f>IF(B869="","",IF(F869&lt;33.0,0,IF(F869&gt;=100*0.8,5,IF(F869&gt;=100*0.7,4,IF(F869&gt;=100*0.6,3.5,IF(F869&gt;=100*0.5,3,IF(F869&gt;=100*0.4,2,IF(F869&gt;=100*0.33,1,0))))))))</f>
        <v/>
      </c>
      <c r="Y869">
        <f>IF(B869="","",IF(G869&lt;16.5,0,IF(G869&gt;=50*0.8,5,IF(G869&gt;=50*0.7,4,IF(G869&gt;=50*0.6,3.5,IF(G869&gt;=50*0.5,3,IF(G869&gt;=50*0.4,2,IF(G869&gt;=50*0.33,1,0))))))))</f>
        <v/>
      </c>
      <c r="Z869">
        <f>IF(B869="","",IF(H869&lt;33.0,0,IF(H869&gt;=100*0.8,5,IF(H869&gt;=100*0.7,4,IF(H869&gt;=100*0.6,3.5,IF(H869&gt;=100*0.5,3,IF(H869&gt;=100*0.4,2,IF(H869&gt;=100*0.33,1,0))))))))</f>
        <v/>
      </c>
      <c r="AA869">
        <f>IF(B869="","",IF(I869&lt;33.0,0,IF(I869&gt;=100*0.8,5,IF(I869&gt;=100*0.7,4,IF(I869&gt;=100*0.6,3.5,IF(I869&gt;=100*0.5,3,IF(I869&gt;=100*0.4,2,IF(I869&gt;=100*0.33,1,0))))))))</f>
        <v/>
      </c>
      <c r="AB869">
        <f>IF(B869="","",IF(J869&lt;33.0,0,IF(J869&gt;=100*0.8,5,IF(J869&gt;=100*0.7,4,IF(J869&gt;=100*0.6,3.5,IF(J869&gt;=100*0.5,3,IF(J869&gt;=100*0.4,2,IF(J869&gt;=100*0.33,1,0))))))))</f>
        <v/>
      </c>
      <c r="AC869">
        <f>IF(B869="","",IF(K869&lt;33.0,0,IF(K869&gt;=100*0.8,5,IF(K869&gt;=100*0.7,4,IF(K869&gt;=100*0.6,3.5,IF(K869&gt;=100*0.5,3,IF(K869&gt;=100*0.4,2,IF(K869&gt;=100*0.33,1,0))))))))</f>
        <v/>
      </c>
      <c r="AD869">
        <f>IF(B869="","",IF(L869&lt;33.0,0,IF(L869&gt;=100*0.8,5,IF(L869&gt;=100*0.7,4,IF(L869&gt;=100*0.6,3.5,IF(L869&gt;=100*0.5,3,IF(L869&gt;=100*0.4,2,IF(L869&gt;=100*0.33,1,0))))))))</f>
        <v/>
      </c>
      <c r="AE869">
        <f>IF(B869="","",IF(M869&lt;33.0,0,IF(M869&gt;=100*0.8,5,IF(M869&gt;=100*0.7,4,IF(M869&gt;=100*0.6,3.5,IF(M869&gt;=100*0.5,3,IF(M869&gt;=100*0.4,2,IF(M869&gt;=100*0.33,1,0))))))))</f>
        <v/>
      </c>
      <c r="AF869">
        <f>IF(B869="","",IF(N869&lt;16.5,0,IF(N869&gt;=50*0.8,5,IF(N869&gt;=50*0.7,4,IF(N869&gt;=50*0.6,3.5,IF(N869&gt;=50*0.5,3,IF(N869&gt;=50*0.4,2,IF(N869&gt;=50*0.33,1,0))))))))</f>
        <v/>
      </c>
      <c r="AG869">
        <f>IF(B869="","",IF(O869&lt;33.0,0,IF(O869&gt;=100*0.8,5,IF(O869&gt;=100*0.7,4,IF(O869&gt;=100*0.6,3.5,IF(O869&gt;=100*0.5,3,IF(O869&gt;=100*0.4,2,IF(O869&gt;=100*0.33,1,0))))))))</f>
        <v/>
      </c>
      <c r="AH869">
        <f>IF(B869="","",IF(OR(U869=0,V869=0,W869=0,X869=0,Y869=0,Z869=0,AA869=0,AB869=0,AC869=0,AD869=0,AE869=0,AF869=0,AG869=0),1,0))</f>
        <v/>
      </c>
    </row>
    <row r="870">
      <c r="A870" s="3">
        <f>IF(B870="","",ROW()-2)</f>
        <v/>
      </c>
      <c r="P870" s="4">
        <f>IF(B870="","",SUM(C870:O870))</f>
        <v/>
      </c>
      <c r="Q870" s="5">
        <f>IF(B870="","",ROUND(P870/13,2))</f>
        <v/>
      </c>
      <c r="R870" s="5">
        <f>IF(B870="","",IF(AH870=1,0,MIN(5,ROUND((U870+V870+W870+X870+Y870+Z870+AA870+AB870+AC870+AD870+AE870+AF870+AG870)/13,2))))</f>
        <v/>
      </c>
      <c r="S870" s="3">
        <f>IF(B870="","",IF(R870&gt;=5,"A+",IF(R870&gt;=4,"A",IF(R870&gt;=3.5,"A-",IF(R870&gt;=3,"B",IF(R870&gt;=2,"C",IF(R870&gt;=1,"D","F")))))))</f>
        <v/>
      </c>
      <c r="T870" s="3">
        <f>IF(OR(B870="",S870="F"),"",COUNTIFS(P:P,"&gt;"&amp;P870,S:S,"&lt;&gt;F")+1)</f>
        <v/>
      </c>
      <c r="U870">
        <f>IF(B870="","",IF(C870&lt;33.0,0,IF(C870&gt;=100*0.8,5,IF(C870&gt;=100*0.7,4,IF(C870&gt;=100*0.6,3.5,IF(C870&gt;=100*0.5,3,IF(C870&gt;=100*0.4,2,IF(C870&gt;=100*0.33,1,0))))))))</f>
        <v/>
      </c>
      <c r="V870">
        <f>IF(B870="","",IF(D870&lt;33.0,0,IF(D870&gt;=100*0.8,5,IF(D870&gt;=100*0.7,4,IF(D870&gt;=100*0.6,3.5,IF(D870&gt;=100*0.5,3,IF(D870&gt;=100*0.4,2,IF(D870&gt;=100*0.33,1,0))))))))</f>
        <v/>
      </c>
      <c r="W870">
        <f>IF(B870="","",IF(E870&lt;16.5,0,IF(E870&gt;=50*0.8,5,IF(E870&gt;=50*0.7,4,IF(E870&gt;=50*0.6,3.5,IF(E870&gt;=50*0.5,3,IF(E870&gt;=50*0.4,2,IF(E870&gt;=50*0.33,1,0))))))))</f>
        <v/>
      </c>
      <c r="X870">
        <f>IF(B870="","",IF(F870&lt;33.0,0,IF(F870&gt;=100*0.8,5,IF(F870&gt;=100*0.7,4,IF(F870&gt;=100*0.6,3.5,IF(F870&gt;=100*0.5,3,IF(F870&gt;=100*0.4,2,IF(F870&gt;=100*0.33,1,0))))))))</f>
        <v/>
      </c>
      <c r="Y870">
        <f>IF(B870="","",IF(G870&lt;16.5,0,IF(G870&gt;=50*0.8,5,IF(G870&gt;=50*0.7,4,IF(G870&gt;=50*0.6,3.5,IF(G870&gt;=50*0.5,3,IF(G870&gt;=50*0.4,2,IF(G870&gt;=50*0.33,1,0))))))))</f>
        <v/>
      </c>
      <c r="Z870">
        <f>IF(B870="","",IF(H870&lt;33.0,0,IF(H870&gt;=100*0.8,5,IF(H870&gt;=100*0.7,4,IF(H870&gt;=100*0.6,3.5,IF(H870&gt;=100*0.5,3,IF(H870&gt;=100*0.4,2,IF(H870&gt;=100*0.33,1,0))))))))</f>
        <v/>
      </c>
      <c r="AA870">
        <f>IF(B870="","",IF(I870&lt;33.0,0,IF(I870&gt;=100*0.8,5,IF(I870&gt;=100*0.7,4,IF(I870&gt;=100*0.6,3.5,IF(I870&gt;=100*0.5,3,IF(I870&gt;=100*0.4,2,IF(I870&gt;=100*0.33,1,0))))))))</f>
        <v/>
      </c>
      <c r="AB870">
        <f>IF(B870="","",IF(J870&lt;33.0,0,IF(J870&gt;=100*0.8,5,IF(J870&gt;=100*0.7,4,IF(J870&gt;=100*0.6,3.5,IF(J870&gt;=100*0.5,3,IF(J870&gt;=100*0.4,2,IF(J870&gt;=100*0.33,1,0))))))))</f>
        <v/>
      </c>
      <c r="AC870">
        <f>IF(B870="","",IF(K870&lt;33.0,0,IF(K870&gt;=100*0.8,5,IF(K870&gt;=100*0.7,4,IF(K870&gt;=100*0.6,3.5,IF(K870&gt;=100*0.5,3,IF(K870&gt;=100*0.4,2,IF(K870&gt;=100*0.33,1,0))))))))</f>
        <v/>
      </c>
      <c r="AD870">
        <f>IF(B870="","",IF(L870&lt;33.0,0,IF(L870&gt;=100*0.8,5,IF(L870&gt;=100*0.7,4,IF(L870&gt;=100*0.6,3.5,IF(L870&gt;=100*0.5,3,IF(L870&gt;=100*0.4,2,IF(L870&gt;=100*0.33,1,0))))))))</f>
        <v/>
      </c>
      <c r="AE870">
        <f>IF(B870="","",IF(M870&lt;33.0,0,IF(M870&gt;=100*0.8,5,IF(M870&gt;=100*0.7,4,IF(M870&gt;=100*0.6,3.5,IF(M870&gt;=100*0.5,3,IF(M870&gt;=100*0.4,2,IF(M870&gt;=100*0.33,1,0))))))))</f>
        <v/>
      </c>
      <c r="AF870">
        <f>IF(B870="","",IF(N870&lt;16.5,0,IF(N870&gt;=50*0.8,5,IF(N870&gt;=50*0.7,4,IF(N870&gt;=50*0.6,3.5,IF(N870&gt;=50*0.5,3,IF(N870&gt;=50*0.4,2,IF(N870&gt;=50*0.33,1,0))))))))</f>
        <v/>
      </c>
      <c r="AG870">
        <f>IF(B870="","",IF(O870&lt;33.0,0,IF(O870&gt;=100*0.8,5,IF(O870&gt;=100*0.7,4,IF(O870&gt;=100*0.6,3.5,IF(O870&gt;=100*0.5,3,IF(O870&gt;=100*0.4,2,IF(O870&gt;=100*0.33,1,0))))))))</f>
        <v/>
      </c>
      <c r="AH870">
        <f>IF(B870="","",IF(OR(U870=0,V870=0,W870=0,X870=0,Y870=0,Z870=0,AA870=0,AB870=0,AC870=0,AD870=0,AE870=0,AF870=0,AG870=0),1,0))</f>
        <v/>
      </c>
    </row>
    <row r="871">
      <c r="A871" s="3">
        <f>IF(B871="","",ROW()-2)</f>
        <v/>
      </c>
      <c r="P871" s="4">
        <f>IF(B871="","",SUM(C871:O871))</f>
        <v/>
      </c>
      <c r="Q871" s="5">
        <f>IF(B871="","",ROUND(P871/13,2))</f>
        <v/>
      </c>
      <c r="R871" s="5">
        <f>IF(B871="","",IF(AH871=1,0,MIN(5,ROUND((U871+V871+W871+X871+Y871+Z871+AA871+AB871+AC871+AD871+AE871+AF871+AG871)/13,2))))</f>
        <v/>
      </c>
      <c r="S871" s="3">
        <f>IF(B871="","",IF(R871&gt;=5,"A+",IF(R871&gt;=4,"A",IF(R871&gt;=3.5,"A-",IF(R871&gt;=3,"B",IF(R871&gt;=2,"C",IF(R871&gt;=1,"D","F")))))))</f>
        <v/>
      </c>
      <c r="T871" s="3">
        <f>IF(OR(B871="",S871="F"),"",COUNTIFS(P:P,"&gt;"&amp;P871,S:S,"&lt;&gt;F")+1)</f>
        <v/>
      </c>
      <c r="U871">
        <f>IF(B871="","",IF(C871&lt;33.0,0,IF(C871&gt;=100*0.8,5,IF(C871&gt;=100*0.7,4,IF(C871&gt;=100*0.6,3.5,IF(C871&gt;=100*0.5,3,IF(C871&gt;=100*0.4,2,IF(C871&gt;=100*0.33,1,0))))))))</f>
        <v/>
      </c>
      <c r="V871">
        <f>IF(B871="","",IF(D871&lt;33.0,0,IF(D871&gt;=100*0.8,5,IF(D871&gt;=100*0.7,4,IF(D871&gt;=100*0.6,3.5,IF(D871&gt;=100*0.5,3,IF(D871&gt;=100*0.4,2,IF(D871&gt;=100*0.33,1,0))))))))</f>
        <v/>
      </c>
      <c r="W871">
        <f>IF(B871="","",IF(E871&lt;16.5,0,IF(E871&gt;=50*0.8,5,IF(E871&gt;=50*0.7,4,IF(E871&gt;=50*0.6,3.5,IF(E871&gt;=50*0.5,3,IF(E871&gt;=50*0.4,2,IF(E871&gt;=50*0.33,1,0))))))))</f>
        <v/>
      </c>
      <c r="X871">
        <f>IF(B871="","",IF(F871&lt;33.0,0,IF(F871&gt;=100*0.8,5,IF(F871&gt;=100*0.7,4,IF(F871&gt;=100*0.6,3.5,IF(F871&gt;=100*0.5,3,IF(F871&gt;=100*0.4,2,IF(F871&gt;=100*0.33,1,0))))))))</f>
        <v/>
      </c>
      <c r="Y871">
        <f>IF(B871="","",IF(G871&lt;16.5,0,IF(G871&gt;=50*0.8,5,IF(G871&gt;=50*0.7,4,IF(G871&gt;=50*0.6,3.5,IF(G871&gt;=50*0.5,3,IF(G871&gt;=50*0.4,2,IF(G871&gt;=50*0.33,1,0))))))))</f>
        <v/>
      </c>
      <c r="Z871">
        <f>IF(B871="","",IF(H871&lt;33.0,0,IF(H871&gt;=100*0.8,5,IF(H871&gt;=100*0.7,4,IF(H871&gt;=100*0.6,3.5,IF(H871&gt;=100*0.5,3,IF(H871&gt;=100*0.4,2,IF(H871&gt;=100*0.33,1,0))))))))</f>
        <v/>
      </c>
      <c r="AA871">
        <f>IF(B871="","",IF(I871&lt;33.0,0,IF(I871&gt;=100*0.8,5,IF(I871&gt;=100*0.7,4,IF(I871&gt;=100*0.6,3.5,IF(I871&gt;=100*0.5,3,IF(I871&gt;=100*0.4,2,IF(I871&gt;=100*0.33,1,0))))))))</f>
        <v/>
      </c>
      <c r="AB871">
        <f>IF(B871="","",IF(J871&lt;33.0,0,IF(J871&gt;=100*0.8,5,IF(J871&gt;=100*0.7,4,IF(J871&gt;=100*0.6,3.5,IF(J871&gt;=100*0.5,3,IF(J871&gt;=100*0.4,2,IF(J871&gt;=100*0.33,1,0))))))))</f>
        <v/>
      </c>
      <c r="AC871">
        <f>IF(B871="","",IF(K871&lt;33.0,0,IF(K871&gt;=100*0.8,5,IF(K871&gt;=100*0.7,4,IF(K871&gt;=100*0.6,3.5,IF(K871&gt;=100*0.5,3,IF(K871&gt;=100*0.4,2,IF(K871&gt;=100*0.33,1,0))))))))</f>
        <v/>
      </c>
      <c r="AD871">
        <f>IF(B871="","",IF(L871&lt;33.0,0,IF(L871&gt;=100*0.8,5,IF(L871&gt;=100*0.7,4,IF(L871&gt;=100*0.6,3.5,IF(L871&gt;=100*0.5,3,IF(L871&gt;=100*0.4,2,IF(L871&gt;=100*0.33,1,0))))))))</f>
        <v/>
      </c>
      <c r="AE871">
        <f>IF(B871="","",IF(M871&lt;33.0,0,IF(M871&gt;=100*0.8,5,IF(M871&gt;=100*0.7,4,IF(M871&gt;=100*0.6,3.5,IF(M871&gt;=100*0.5,3,IF(M871&gt;=100*0.4,2,IF(M871&gt;=100*0.33,1,0))))))))</f>
        <v/>
      </c>
      <c r="AF871">
        <f>IF(B871="","",IF(N871&lt;16.5,0,IF(N871&gt;=50*0.8,5,IF(N871&gt;=50*0.7,4,IF(N871&gt;=50*0.6,3.5,IF(N871&gt;=50*0.5,3,IF(N871&gt;=50*0.4,2,IF(N871&gt;=50*0.33,1,0))))))))</f>
        <v/>
      </c>
      <c r="AG871">
        <f>IF(B871="","",IF(O871&lt;33.0,0,IF(O871&gt;=100*0.8,5,IF(O871&gt;=100*0.7,4,IF(O871&gt;=100*0.6,3.5,IF(O871&gt;=100*0.5,3,IF(O871&gt;=100*0.4,2,IF(O871&gt;=100*0.33,1,0))))))))</f>
        <v/>
      </c>
      <c r="AH871">
        <f>IF(B871="","",IF(OR(U871=0,V871=0,W871=0,X871=0,Y871=0,Z871=0,AA871=0,AB871=0,AC871=0,AD871=0,AE871=0,AF871=0,AG871=0),1,0))</f>
        <v/>
      </c>
    </row>
    <row r="872">
      <c r="A872" s="3">
        <f>IF(B872="","",ROW()-2)</f>
        <v/>
      </c>
      <c r="P872" s="4">
        <f>IF(B872="","",SUM(C872:O872))</f>
        <v/>
      </c>
      <c r="Q872" s="5">
        <f>IF(B872="","",ROUND(P872/13,2))</f>
        <v/>
      </c>
      <c r="R872" s="5">
        <f>IF(B872="","",IF(AH872=1,0,MIN(5,ROUND((U872+V872+W872+X872+Y872+Z872+AA872+AB872+AC872+AD872+AE872+AF872+AG872)/13,2))))</f>
        <v/>
      </c>
      <c r="S872" s="3">
        <f>IF(B872="","",IF(R872&gt;=5,"A+",IF(R872&gt;=4,"A",IF(R872&gt;=3.5,"A-",IF(R872&gt;=3,"B",IF(R872&gt;=2,"C",IF(R872&gt;=1,"D","F")))))))</f>
        <v/>
      </c>
      <c r="T872" s="3">
        <f>IF(OR(B872="",S872="F"),"",COUNTIFS(P:P,"&gt;"&amp;P872,S:S,"&lt;&gt;F")+1)</f>
        <v/>
      </c>
      <c r="U872">
        <f>IF(B872="","",IF(C872&lt;33.0,0,IF(C872&gt;=100*0.8,5,IF(C872&gt;=100*0.7,4,IF(C872&gt;=100*0.6,3.5,IF(C872&gt;=100*0.5,3,IF(C872&gt;=100*0.4,2,IF(C872&gt;=100*0.33,1,0))))))))</f>
        <v/>
      </c>
      <c r="V872">
        <f>IF(B872="","",IF(D872&lt;33.0,0,IF(D872&gt;=100*0.8,5,IF(D872&gt;=100*0.7,4,IF(D872&gt;=100*0.6,3.5,IF(D872&gt;=100*0.5,3,IF(D872&gt;=100*0.4,2,IF(D872&gt;=100*0.33,1,0))))))))</f>
        <v/>
      </c>
      <c r="W872">
        <f>IF(B872="","",IF(E872&lt;16.5,0,IF(E872&gt;=50*0.8,5,IF(E872&gt;=50*0.7,4,IF(E872&gt;=50*0.6,3.5,IF(E872&gt;=50*0.5,3,IF(E872&gt;=50*0.4,2,IF(E872&gt;=50*0.33,1,0))))))))</f>
        <v/>
      </c>
      <c r="X872">
        <f>IF(B872="","",IF(F872&lt;33.0,0,IF(F872&gt;=100*0.8,5,IF(F872&gt;=100*0.7,4,IF(F872&gt;=100*0.6,3.5,IF(F872&gt;=100*0.5,3,IF(F872&gt;=100*0.4,2,IF(F872&gt;=100*0.33,1,0))))))))</f>
        <v/>
      </c>
      <c r="Y872">
        <f>IF(B872="","",IF(G872&lt;16.5,0,IF(G872&gt;=50*0.8,5,IF(G872&gt;=50*0.7,4,IF(G872&gt;=50*0.6,3.5,IF(G872&gt;=50*0.5,3,IF(G872&gt;=50*0.4,2,IF(G872&gt;=50*0.33,1,0))))))))</f>
        <v/>
      </c>
      <c r="Z872">
        <f>IF(B872="","",IF(H872&lt;33.0,0,IF(H872&gt;=100*0.8,5,IF(H872&gt;=100*0.7,4,IF(H872&gt;=100*0.6,3.5,IF(H872&gt;=100*0.5,3,IF(H872&gt;=100*0.4,2,IF(H872&gt;=100*0.33,1,0))))))))</f>
        <v/>
      </c>
      <c r="AA872">
        <f>IF(B872="","",IF(I872&lt;33.0,0,IF(I872&gt;=100*0.8,5,IF(I872&gt;=100*0.7,4,IF(I872&gt;=100*0.6,3.5,IF(I872&gt;=100*0.5,3,IF(I872&gt;=100*0.4,2,IF(I872&gt;=100*0.33,1,0))))))))</f>
        <v/>
      </c>
      <c r="AB872">
        <f>IF(B872="","",IF(J872&lt;33.0,0,IF(J872&gt;=100*0.8,5,IF(J872&gt;=100*0.7,4,IF(J872&gt;=100*0.6,3.5,IF(J872&gt;=100*0.5,3,IF(J872&gt;=100*0.4,2,IF(J872&gt;=100*0.33,1,0))))))))</f>
        <v/>
      </c>
      <c r="AC872">
        <f>IF(B872="","",IF(K872&lt;33.0,0,IF(K872&gt;=100*0.8,5,IF(K872&gt;=100*0.7,4,IF(K872&gt;=100*0.6,3.5,IF(K872&gt;=100*0.5,3,IF(K872&gt;=100*0.4,2,IF(K872&gt;=100*0.33,1,0))))))))</f>
        <v/>
      </c>
      <c r="AD872">
        <f>IF(B872="","",IF(L872&lt;33.0,0,IF(L872&gt;=100*0.8,5,IF(L872&gt;=100*0.7,4,IF(L872&gt;=100*0.6,3.5,IF(L872&gt;=100*0.5,3,IF(L872&gt;=100*0.4,2,IF(L872&gt;=100*0.33,1,0))))))))</f>
        <v/>
      </c>
      <c r="AE872">
        <f>IF(B872="","",IF(M872&lt;33.0,0,IF(M872&gt;=100*0.8,5,IF(M872&gt;=100*0.7,4,IF(M872&gt;=100*0.6,3.5,IF(M872&gt;=100*0.5,3,IF(M872&gt;=100*0.4,2,IF(M872&gt;=100*0.33,1,0))))))))</f>
        <v/>
      </c>
      <c r="AF872">
        <f>IF(B872="","",IF(N872&lt;16.5,0,IF(N872&gt;=50*0.8,5,IF(N872&gt;=50*0.7,4,IF(N872&gt;=50*0.6,3.5,IF(N872&gt;=50*0.5,3,IF(N872&gt;=50*0.4,2,IF(N872&gt;=50*0.33,1,0))))))))</f>
        <v/>
      </c>
      <c r="AG872">
        <f>IF(B872="","",IF(O872&lt;33.0,0,IF(O872&gt;=100*0.8,5,IF(O872&gt;=100*0.7,4,IF(O872&gt;=100*0.6,3.5,IF(O872&gt;=100*0.5,3,IF(O872&gt;=100*0.4,2,IF(O872&gt;=100*0.33,1,0))))))))</f>
        <v/>
      </c>
      <c r="AH872">
        <f>IF(B872="","",IF(OR(U872=0,V872=0,W872=0,X872=0,Y872=0,Z872=0,AA872=0,AB872=0,AC872=0,AD872=0,AE872=0,AF872=0,AG872=0),1,0))</f>
        <v/>
      </c>
    </row>
    <row r="873">
      <c r="A873" s="3">
        <f>IF(B873="","",ROW()-2)</f>
        <v/>
      </c>
      <c r="P873" s="4">
        <f>IF(B873="","",SUM(C873:O873))</f>
        <v/>
      </c>
      <c r="Q873" s="5">
        <f>IF(B873="","",ROUND(P873/13,2))</f>
        <v/>
      </c>
      <c r="R873" s="5">
        <f>IF(B873="","",IF(AH873=1,0,MIN(5,ROUND((U873+V873+W873+X873+Y873+Z873+AA873+AB873+AC873+AD873+AE873+AF873+AG873)/13,2))))</f>
        <v/>
      </c>
      <c r="S873" s="3">
        <f>IF(B873="","",IF(R873&gt;=5,"A+",IF(R873&gt;=4,"A",IF(R873&gt;=3.5,"A-",IF(R873&gt;=3,"B",IF(R873&gt;=2,"C",IF(R873&gt;=1,"D","F")))))))</f>
        <v/>
      </c>
      <c r="T873" s="3">
        <f>IF(OR(B873="",S873="F"),"",COUNTIFS(P:P,"&gt;"&amp;P873,S:S,"&lt;&gt;F")+1)</f>
        <v/>
      </c>
      <c r="U873">
        <f>IF(B873="","",IF(C873&lt;33.0,0,IF(C873&gt;=100*0.8,5,IF(C873&gt;=100*0.7,4,IF(C873&gt;=100*0.6,3.5,IF(C873&gt;=100*0.5,3,IF(C873&gt;=100*0.4,2,IF(C873&gt;=100*0.33,1,0))))))))</f>
        <v/>
      </c>
      <c r="V873">
        <f>IF(B873="","",IF(D873&lt;33.0,0,IF(D873&gt;=100*0.8,5,IF(D873&gt;=100*0.7,4,IF(D873&gt;=100*0.6,3.5,IF(D873&gt;=100*0.5,3,IF(D873&gt;=100*0.4,2,IF(D873&gt;=100*0.33,1,0))))))))</f>
        <v/>
      </c>
      <c r="W873">
        <f>IF(B873="","",IF(E873&lt;16.5,0,IF(E873&gt;=50*0.8,5,IF(E873&gt;=50*0.7,4,IF(E873&gt;=50*0.6,3.5,IF(E873&gt;=50*0.5,3,IF(E873&gt;=50*0.4,2,IF(E873&gt;=50*0.33,1,0))))))))</f>
        <v/>
      </c>
      <c r="X873">
        <f>IF(B873="","",IF(F873&lt;33.0,0,IF(F873&gt;=100*0.8,5,IF(F873&gt;=100*0.7,4,IF(F873&gt;=100*0.6,3.5,IF(F873&gt;=100*0.5,3,IF(F873&gt;=100*0.4,2,IF(F873&gt;=100*0.33,1,0))))))))</f>
        <v/>
      </c>
      <c r="Y873">
        <f>IF(B873="","",IF(G873&lt;16.5,0,IF(G873&gt;=50*0.8,5,IF(G873&gt;=50*0.7,4,IF(G873&gt;=50*0.6,3.5,IF(G873&gt;=50*0.5,3,IF(G873&gt;=50*0.4,2,IF(G873&gt;=50*0.33,1,0))))))))</f>
        <v/>
      </c>
      <c r="Z873">
        <f>IF(B873="","",IF(H873&lt;33.0,0,IF(H873&gt;=100*0.8,5,IF(H873&gt;=100*0.7,4,IF(H873&gt;=100*0.6,3.5,IF(H873&gt;=100*0.5,3,IF(H873&gt;=100*0.4,2,IF(H873&gt;=100*0.33,1,0))))))))</f>
        <v/>
      </c>
      <c r="AA873">
        <f>IF(B873="","",IF(I873&lt;33.0,0,IF(I873&gt;=100*0.8,5,IF(I873&gt;=100*0.7,4,IF(I873&gt;=100*0.6,3.5,IF(I873&gt;=100*0.5,3,IF(I873&gt;=100*0.4,2,IF(I873&gt;=100*0.33,1,0))))))))</f>
        <v/>
      </c>
      <c r="AB873">
        <f>IF(B873="","",IF(J873&lt;33.0,0,IF(J873&gt;=100*0.8,5,IF(J873&gt;=100*0.7,4,IF(J873&gt;=100*0.6,3.5,IF(J873&gt;=100*0.5,3,IF(J873&gt;=100*0.4,2,IF(J873&gt;=100*0.33,1,0))))))))</f>
        <v/>
      </c>
      <c r="AC873">
        <f>IF(B873="","",IF(K873&lt;33.0,0,IF(K873&gt;=100*0.8,5,IF(K873&gt;=100*0.7,4,IF(K873&gt;=100*0.6,3.5,IF(K873&gt;=100*0.5,3,IF(K873&gt;=100*0.4,2,IF(K873&gt;=100*0.33,1,0))))))))</f>
        <v/>
      </c>
      <c r="AD873">
        <f>IF(B873="","",IF(L873&lt;33.0,0,IF(L873&gt;=100*0.8,5,IF(L873&gt;=100*0.7,4,IF(L873&gt;=100*0.6,3.5,IF(L873&gt;=100*0.5,3,IF(L873&gt;=100*0.4,2,IF(L873&gt;=100*0.33,1,0))))))))</f>
        <v/>
      </c>
      <c r="AE873">
        <f>IF(B873="","",IF(M873&lt;33.0,0,IF(M873&gt;=100*0.8,5,IF(M873&gt;=100*0.7,4,IF(M873&gt;=100*0.6,3.5,IF(M873&gt;=100*0.5,3,IF(M873&gt;=100*0.4,2,IF(M873&gt;=100*0.33,1,0))))))))</f>
        <v/>
      </c>
      <c r="AF873">
        <f>IF(B873="","",IF(N873&lt;16.5,0,IF(N873&gt;=50*0.8,5,IF(N873&gt;=50*0.7,4,IF(N873&gt;=50*0.6,3.5,IF(N873&gt;=50*0.5,3,IF(N873&gt;=50*0.4,2,IF(N873&gt;=50*0.33,1,0))))))))</f>
        <v/>
      </c>
      <c r="AG873">
        <f>IF(B873="","",IF(O873&lt;33.0,0,IF(O873&gt;=100*0.8,5,IF(O873&gt;=100*0.7,4,IF(O873&gt;=100*0.6,3.5,IF(O873&gt;=100*0.5,3,IF(O873&gt;=100*0.4,2,IF(O873&gt;=100*0.33,1,0))))))))</f>
        <v/>
      </c>
      <c r="AH873">
        <f>IF(B873="","",IF(OR(U873=0,V873=0,W873=0,X873=0,Y873=0,Z873=0,AA873=0,AB873=0,AC873=0,AD873=0,AE873=0,AF873=0,AG873=0),1,0))</f>
        <v/>
      </c>
    </row>
    <row r="874">
      <c r="A874" s="3">
        <f>IF(B874="","",ROW()-2)</f>
        <v/>
      </c>
      <c r="P874" s="4">
        <f>IF(B874="","",SUM(C874:O874))</f>
        <v/>
      </c>
      <c r="Q874" s="5">
        <f>IF(B874="","",ROUND(P874/13,2))</f>
        <v/>
      </c>
      <c r="R874" s="5">
        <f>IF(B874="","",IF(AH874=1,0,MIN(5,ROUND((U874+V874+W874+X874+Y874+Z874+AA874+AB874+AC874+AD874+AE874+AF874+AG874)/13,2))))</f>
        <v/>
      </c>
      <c r="S874" s="3">
        <f>IF(B874="","",IF(R874&gt;=5,"A+",IF(R874&gt;=4,"A",IF(R874&gt;=3.5,"A-",IF(R874&gt;=3,"B",IF(R874&gt;=2,"C",IF(R874&gt;=1,"D","F")))))))</f>
        <v/>
      </c>
      <c r="T874" s="3">
        <f>IF(OR(B874="",S874="F"),"",COUNTIFS(P:P,"&gt;"&amp;P874,S:S,"&lt;&gt;F")+1)</f>
        <v/>
      </c>
      <c r="U874">
        <f>IF(B874="","",IF(C874&lt;33.0,0,IF(C874&gt;=100*0.8,5,IF(C874&gt;=100*0.7,4,IF(C874&gt;=100*0.6,3.5,IF(C874&gt;=100*0.5,3,IF(C874&gt;=100*0.4,2,IF(C874&gt;=100*0.33,1,0))))))))</f>
        <v/>
      </c>
      <c r="V874">
        <f>IF(B874="","",IF(D874&lt;33.0,0,IF(D874&gt;=100*0.8,5,IF(D874&gt;=100*0.7,4,IF(D874&gt;=100*0.6,3.5,IF(D874&gt;=100*0.5,3,IF(D874&gt;=100*0.4,2,IF(D874&gt;=100*0.33,1,0))))))))</f>
        <v/>
      </c>
      <c r="W874">
        <f>IF(B874="","",IF(E874&lt;16.5,0,IF(E874&gt;=50*0.8,5,IF(E874&gt;=50*0.7,4,IF(E874&gt;=50*0.6,3.5,IF(E874&gt;=50*0.5,3,IF(E874&gt;=50*0.4,2,IF(E874&gt;=50*0.33,1,0))))))))</f>
        <v/>
      </c>
      <c r="X874">
        <f>IF(B874="","",IF(F874&lt;33.0,0,IF(F874&gt;=100*0.8,5,IF(F874&gt;=100*0.7,4,IF(F874&gt;=100*0.6,3.5,IF(F874&gt;=100*0.5,3,IF(F874&gt;=100*0.4,2,IF(F874&gt;=100*0.33,1,0))))))))</f>
        <v/>
      </c>
      <c r="Y874">
        <f>IF(B874="","",IF(G874&lt;16.5,0,IF(G874&gt;=50*0.8,5,IF(G874&gt;=50*0.7,4,IF(G874&gt;=50*0.6,3.5,IF(G874&gt;=50*0.5,3,IF(G874&gt;=50*0.4,2,IF(G874&gt;=50*0.33,1,0))))))))</f>
        <v/>
      </c>
      <c r="Z874">
        <f>IF(B874="","",IF(H874&lt;33.0,0,IF(H874&gt;=100*0.8,5,IF(H874&gt;=100*0.7,4,IF(H874&gt;=100*0.6,3.5,IF(H874&gt;=100*0.5,3,IF(H874&gt;=100*0.4,2,IF(H874&gt;=100*0.33,1,0))))))))</f>
        <v/>
      </c>
      <c r="AA874">
        <f>IF(B874="","",IF(I874&lt;33.0,0,IF(I874&gt;=100*0.8,5,IF(I874&gt;=100*0.7,4,IF(I874&gt;=100*0.6,3.5,IF(I874&gt;=100*0.5,3,IF(I874&gt;=100*0.4,2,IF(I874&gt;=100*0.33,1,0))))))))</f>
        <v/>
      </c>
      <c r="AB874">
        <f>IF(B874="","",IF(J874&lt;33.0,0,IF(J874&gt;=100*0.8,5,IF(J874&gt;=100*0.7,4,IF(J874&gt;=100*0.6,3.5,IF(J874&gt;=100*0.5,3,IF(J874&gt;=100*0.4,2,IF(J874&gt;=100*0.33,1,0))))))))</f>
        <v/>
      </c>
      <c r="AC874">
        <f>IF(B874="","",IF(K874&lt;33.0,0,IF(K874&gt;=100*0.8,5,IF(K874&gt;=100*0.7,4,IF(K874&gt;=100*0.6,3.5,IF(K874&gt;=100*0.5,3,IF(K874&gt;=100*0.4,2,IF(K874&gt;=100*0.33,1,0))))))))</f>
        <v/>
      </c>
      <c r="AD874">
        <f>IF(B874="","",IF(L874&lt;33.0,0,IF(L874&gt;=100*0.8,5,IF(L874&gt;=100*0.7,4,IF(L874&gt;=100*0.6,3.5,IF(L874&gt;=100*0.5,3,IF(L874&gt;=100*0.4,2,IF(L874&gt;=100*0.33,1,0))))))))</f>
        <v/>
      </c>
      <c r="AE874">
        <f>IF(B874="","",IF(M874&lt;33.0,0,IF(M874&gt;=100*0.8,5,IF(M874&gt;=100*0.7,4,IF(M874&gt;=100*0.6,3.5,IF(M874&gt;=100*0.5,3,IF(M874&gt;=100*0.4,2,IF(M874&gt;=100*0.33,1,0))))))))</f>
        <v/>
      </c>
      <c r="AF874">
        <f>IF(B874="","",IF(N874&lt;16.5,0,IF(N874&gt;=50*0.8,5,IF(N874&gt;=50*0.7,4,IF(N874&gt;=50*0.6,3.5,IF(N874&gt;=50*0.5,3,IF(N874&gt;=50*0.4,2,IF(N874&gt;=50*0.33,1,0))))))))</f>
        <v/>
      </c>
      <c r="AG874">
        <f>IF(B874="","",IF(O874&lt;33.0,0,IF(O874&gt;=100*0.8,5,IF(O874&gt;=100*0.7,4,IF(O874&gt;=100*0.6,3.5,IF(O874&gt;=100*0.5,3,IF(O874&gt;=100*0.4,2,IF(O874&gt;=100*0.33,1,0))))))))</f>
        <v/>
      </c>
      <c r="AH874">
        <f>IF(B874="","",IF(OR(U874=0,V874=0,W874=0,X874=0,Y874=0,Z874=0,AA874=0,AB874=0,AC874=0,AD874=0,AE874=0,AF874=0,AG874=0),1,0))</f>
        <v/>
      </c>
    </row>
    <row r="875">
      <c r="A875" s="3">
        <f>IF(B875="","",ROW()-2)</f>
        <v/>
      </c>
      <c r="P875" s="4">
        <f>IF(B875="","",SUM(C875:O875))</f>
        <v/>
      </c>
      <c r="Q875" s="5">
        <f>IF(B875="","",ROUND(P875/13,2))</f>
        <v/>
      </c>
      <c r="R875" s="5">
        <f>IF(B875="","",IF(AH875=1,0,MIN(5,ROUND((U875+V875+W875+X875+Y875+Z875+AA875+AB875+AC875+AD875+AE875+AF875+AG875)/13,2))))</f>
        <v/>
      </c>
      <c r="S875" s="3">
        <f>IF(B875="","",IF(R875&gt;=5,"A+",IF(R875&gt;=4,"A",IF(R875&gt;=3.5,"A-",IF(R875&gt;=3,"B",IF(R875&gt;=2,"C",IF(R875&gt;=1,"D","F")))))))</f>
        <v/>
      </c>
      <c r="T875" s="3">
        <f>IF(OR(B875="",S875="F"),"",COUNTIFS(P:P,"&gt;"&amp;P875,S:S,"&lt;&gt;F")+1)</f>
        <v/>
      </c>
      <c r="U875">
        <f>IF(B875="","",IF(C875&lt;33.0,0,IF(C875&gt;=100*0.8,5,IF(C875&gt;=100*0.7,4,IF(C875&gt;=100*0.6,3.5,IF(C875&gt;=100*0.5,3,IF(C875&gt;=100*0.4,2,IF(C875&gt;=100*0.33,1,0))))))))</f>
        <v/>
      </c>
      <c r="V875">
        <f>IF(B875="","",IF(D875&lt;33.0,0,IF(D875&gt;=100*0.8,5,IF(D875&gt;=100*0.7,4,IF(D875&gt;=100*0.6,3.5,IF(D875&gt;=100*0.5,3,IF(D875&gt;=100*0.4,2,IF(D875&gt;=100*0.33,1,0))))))))</f>
        <v/>
      </c>
      <c r="W875">
        <f>IF(B875="","",IF(E875&lt;16.5,0,IF(E875&gt;=50*0.8,5,IF(E875&gt;=50*0.7,4,IF(E875&gt;=50*0.6,3.5,IF(E875&gt;=50*0.5,3,IF(E875&gt;=50*0.4,2,IF(E875&gt;=50*0.33,1,0))))))))</f>
        <v/>
      </c>
      <c r="X875">
        <f>IF(B875="","",IF(F875&lt;33.0,0,IF(F875&gt;=100*0.8,5,IF(F875&gt;=100*0.7,4,IF(F875&gt;=100*0.6,3.5,IF(F875&gt;=100*0.5,3,IF(F875&gt;=100*0.4,2,IF(F875&gt;=100*0.33,1,0))))))))</f>
        <v/>
      </c>
      <c r="Y875">
        <f>IF(B875="","",IF(G875&lt;16.5,0,IF(G875&gt;=50*0.8,5,IF(G875&gt;=50*0.7,4,IF(G875&gt;=50*0.6,3.5,IF(G875&gt;=50*0.5,3,IF(G875&gt;=50*0.4,2,IF(G875&gt;=50*0.33,1,0))))))))</f>
        <v/>
      </c>
      <c r="Z875">
        <f>IF(B875="","",IF(H875&lt;33.0,0,IF(H875&gt;=100*0.8,5,IF(H875&gt;=100*0.7,4,IF(H875&gt;=100*0.6,3.5,IF(H875&gt;=100*0.5,3,IF(H875&gt;=100*0.4,2,IF(H875&gt;=100*0.33,1,0))))))))</f>
        <v/>
      </c>
      <c r="AA875">
        <f>IF(B875="","",IF(I875&lt;33.0,0,IF(I875&gt;=100*0.8,5,IF(I875&gt;=100*0.7,4,IF(I875&gt;=100*0.6,3.5,IF(I875&gt;=100*0.5,3,IF(I875&gt;=100*0.4,2,IF(I875&gt;=100*0.33,1,0))))))))</f>
        <v/>
      </c>
      <c r="AB875">
        <f>IF(B875="","",IF(J875&lt;33.0,0,IF(J875&gt;=100*0.8,5,IF(J875&gt;=100*0.7,4,IF(J875&gt;=100*0.6,3.5,IF(J875&gt;=100*0.5,3,IF(J875&gt;=100*0.4,2,IF(J875&gt;=100*0.33,1,0))))))))</f>
        <v/>
      </c>
      <c r="AC875">
        <f>IF(B875="","",IF(K875&lt;33.0,0,IF(K875&gt;=100*0.8,5,IF(K875&gt;=100*0.7,4,IF(K875&gt;=100*0.6,3.5,IF(K875&gt;=100*0.5,3,IF(K875&gt;=100*0.4,2,IF(K875&gt;=100*0.33,1,0))))))))</f>
        <v/>
      </c>
      <c r="AD875">
        <f>IF(B875="","",IF(L875&lt;33.0,0,IF(L875&gt;=100*0.8,5,IF(L875&gt;=100*0.7,4,IF(L875&gt;=100*0.6,3.5,IF(L875&gt;=100*0.5,3,IF(L875&gt;=100*0.4,2,IF(L875&gt;=100*0.33,1,0))))))))</f>
        <v/>
      </c>
      <c r="AE875">
        <f>IF(B875="","",IF(M875&lt;33.0,0,IF(M875&gt;=100*0.8,5,IF(M875&gt;=100*0.7,4,IF(M875&gt;=100*0.6,3.5,IF(M875&gt;=100*0.5,3,IF(M875&gt;=100*0.4,2,IF(M875&gt;=100*0.33,1,0))))))))</f>
        <v/>
      </c>
      <c r="AF875">
        <f>IF(B875="","",IF(N875&lt;16.5,0,IF(N875&gt;=50*0.8,5,IF(N875&gt;=50*0.7,4,IF(N875&gt;=50*0.6,3.5,IF(N875&gt;=50*0.5,3,IF(N875&gt;=50*0.4,2,IF(N875&gt;=50*0.33,1,0))))))))</f>
        <v/>
      </c>
      <c r="AG875">
        <f>IF(B875="","",IF(O875&lt;33.0,0,IF(O875&gt;=100*0.8,5,IF(O875&gt;=100*0.7,4,IF(O875&gt;=100*0.6,3.5,IF(O875&gt;=100*0.5,3,IF(O875&gt;=100*0.4,2,IF(O875&gt;=100*0.33,1,0))))))))</f>
        <v/>
      </c>
      <c r="AH875">
        <f>IF(B875="","",IF(OR(U875=0,V875=0,W875=0,X875=0,Y875=0,Z875=0,AA875=0,AB875=0,AC875=0,AD875=0,AE875=0,AF875=0,AG875=0),1,0))</f>
        <v/>
      </c>
    </row>
    <row r="876">
      <c r="A876" s="3">
        <f>IF(B876="","",ROW()-2)</f>
        <v/>
      </c>
      <c r="P876" s="4">
        <f>IF(B876="","",SUM(C876:O876))</f>
        <v/>
      </c>
      <c r="Q876" s="5">
        <f>IF(B876="","",ROUND(P876/13,2))</f>
        <v/>
      </c>
      <c r="R876" s="5">
        <f>IF(B876="","",IF(AH876=1,0,MIN(5,ROUND((U876+V876+W876+X876+Y876+Z876+AA876+AB876+AC876+AD876+AE876+AF876+AG876)/13,2))))</f>
        <v/>
      </c>
      <c r="S876" s="3">
        <f>IF(B876="","",IF(R876&gt;=5,"A+",IF(R876&gt;=4,"A",IF(R876&gt;=3.5,"A-",IF(R876&gt;=3,"B",IF(R876&gt;=2,"C",IF(R876&gt;=1,"D","F")))))))</f>
        <v/>
      </c>
      <c r="T876" s="3">
        <f>IF(OR(B876="",S876="F"),"",COUNTIFS(P:P,"&gt;"&amp;P876,S:S,"&lt;&gt;F")+1)</f>
        <v/>
      </c>
      <c r="U876">
        <f>IF(B876="","",IF(C876&lt;33.0,0,IF(C876&gt;=100*0.8,5,IF(C876&gt;=100*0.7,4,IF(C876&gt;=100*0.6,3.5,IF(C876&gt;=100*0.5,3,IF(C876&gt;=100*0.4,2,IF(C876&gt;=100*0.33,1,0))))))))</f>
        <v/>
      </c>
      <c r="V876">
        <f>IF(B876="","",IF(D876&lt;33.0,0,IF(D876&gt;=100*0.8,5,IF(D876&gt;=100*0.7,4,IF(D876&gt;=100*0.6,3.5,IF(D876&gt;=100*0.5,3,IF(D876&gt;=100*0.4,2,IF(D876&gt;=100*0.33,1,0))))))))</f>
        <v/>
      </c>
      <c r="W876">
        <f>IF(B876="","",IF(E876&lt;16.5,0,IF(E876&gt;=50*0.8,5,IF(E876&gt;=50*0.7,4,IF(E876&gt;=50*0.6,3.5,IF(E876&gt;=50*0.5,3,IF(E876&gt;=50*0.4,2,IF(E876&gt;=50*0.33,1,0))))))))</f>
        <v/>
      </c>
      <c r="X876">
        <f>IF(B876="","",IF(F876&lt;33.0,0,IF(F876&gt;=100*0.8,5,IF(F876&gt;=100*0.7,4,IF(F876&gt;=100*0.6,3.5,IF(F876&gt;=100*0.5,3,IF(F876&gt;=100*0.4,2,IF(F876&gt;=100*0.33,1,0))))))))</f>
        <v/>
      </c>
      <c r="Y876">
        <f>IF(B876="","",IF(G876&lt;16.5,0,IF(G876&gt;=50*0.8,5,IF(G876&gt;=50*0.7,4,IF(G876&gt;=50*0.6,3.5,IF(G876&gt;=50*0.5,3,IF(G876&gt;=50*0.4,2,IF(G876&gt;=50*0.33,1,0))))))))</f>
        <v/>
      </c>
      <c r="Z876">
        <f>IF(B876="","",IF(H876&lt;33.0,0,IF(H876&gt;=100*0.8,5,IF(H876&gt;=100*0.7,4,IF(H876&gt;=100*0.6,3.5,IF(H876&gt;=100*0.5,3,IF(H876&gt;=100*0.4,2,IF(H876&gt;=100*0.33,1,0))))))))</f>
        <v/>
      </c>
      <c r="AA876">
        <f>IF(B876="","",IF(I876&lt;33.0,0,IF(I876&gt;=100*0.8,5,IF(I876&gt;=100*0.7,4,IF(I876&gt;=100*0.6,3.5,IF(I876&gt;=100*0.5,3,IF(I876&gt;=100*0.4,2,IF(I876&gt;=100*0.33,1,0))))))))</f>
        <v/>
      </c>
      <c r="AB876">
        <f>IF(B876="","",IF(J876&lt;33.0,0,IF(J876&gt;=100*0.8,5,IF(J876&gt;=100*0.7,4,IF(J876&gt;=100*0.6,3.5,IF(J876&gt;=100*0.5,3,IF(J876&gt;=100*0.4,2,IF(J876&gt;=100*0.33,1,0))))))))</f>
        <v/>
      </c>
      <c r="AC876">
        <f>IF(B876="","",IF(K876&lt;33.0,0,IF(K876&gt;=100*0.8,5,IF(K876&gt;=100*0.7,4,IF(K876&gt;=100*0.6,3.5,IF(K876&gt;=100*0.5,3,IF(K876&gt;=100*0.4,2,IF(K876&gt;=100*0.33,1,0))))))))</f>
        <v/>
      </c>
      <c r="AD876">
        <f>IF(B876="","",IF(L876&lt;33.0,0,IF(L876&gt;=100*0.8,5,IF(L876&gt;=100*0.7,4,IF(L876&gt;=100*0.6,3.5,IF(L876&gt;=100*0.5,3,IF(L876&gt;=100*0.4,2,IF(L876&gt;=100*0.33,1,0))))))))</f>
        <v/>
      </c>
      <c r="AE876">
        <f>IF(B876="","",IF(M876&lt;33.0,0,IF(M876&gt;=100*0.8,5,IF(M876&gt;=100*0.7,4,IF(M876&gt;=100*0.6,3.5,IF(M876&gt;=100*0.5,3,IF(M876&gt;=100*0.4,2,IF(M876&gt;=100*0.33,1,0))))))))</f>
        <v/>
      </c>
      <c r="AF876">
        <f>IF(B876="","",IF(N876&lt;16.5,0,IF(N876&gt;=50*0.8,5,IF(N876&gt;=50*0.7,4,IF(N876&gt;=50*0.6,3.5,IF(N876&gt;=50*0.5,3,IF(N876&gt;=50*0.4,2,IF(N876&gt;=50*0.33,1,0))))))))</f>
        <v/>
      </c>
      <c r="AG876">
        <f>IF(B876="","",IF(O876&lt;33.0,0,IF(O876&gt;=100*0.8,5,IF(O876&gt;=100*0.7,4,IF(O876&gt;=100*0.6,3.5,IF(O876&gt;=100*0.5,3,IF(O876&gt;=100*0.4,2,IF(O876&gt;=100*0.33,1,0))))))))</f>
        <v/>
      </c>
      <c r="AH876">
        <f>IF(B876="","",IF(OR(U876=0,V876=0,W876=0,X876=0,Y876=0,Z876=0,AA876=0,AB876=0,AC876=0,AD876=0,AE876=0,AF876=0,AG876=0),1,0))</f>
        <v/>
      </c>
    </row>
    <row r="877">
      <c r="A877" s="3">
        <f>IF(B877="","",ROW()-2)</f>
        <v/>
      </c>
      <c r="P877" s="4">
        <f>IF(B877="","",SUM(C877:O877))</f>
        <v/>
      </c>
      <c r="Q877" s="5">
        <f>IF(B877="","",ROUND(P877/13,2))</f>
        <v/>
      </c>
      <c r="R877" s="5">
        <f>IF(B877="","",IF(AH877=1,0,MIN(5,ROUND((U877+V877+W877+X877+Y877+Z877+AA877+AB877+AC877+AD877+AE877+AF877+AG877)/13,2))))</f>
        <v/>
      </c>
      <c r="S877" s="3">
        <f>IF(B877="","",IF(R877&gt;=5,"A+",IF(R877&gt;=4,"A",IF(R877&gt;=3.5,"A-",IF(R877&gt;=3,"B",IF(R877&gt;=2,"C",IF(R877&gt;=1,"D","F")))))))</f>
        <v/>
      </c>
      <c r="T877" s="3">
        <f>IF(OR(B877="",S877="F"),"",COUNTIFS(P:P,"&gt;"&amp;P877,S:S,"&lt;&gt;F")+1)</f>
        <v/>
      </c>
      <c r="U877">
        <f>IF(B877="","",IF(C877&lt;33.0,0,IF(C877&gt;=100*0.8,5,IF(C877&gt;=100*0.7,4,IF(C877&gt;=100*0.6,3.5,IF(C877&gt;=100*0.5,3,IF(C877&gt;=100*0.4,2,IF(C877&gt;=100*0.33,1,0))))))))</f>
        <v/>
      </c>
      <c r="V877">
        <f>IF(B877="","",IF(D877&lt;33.0,0,IF(D877&gt;=100*0.8,5,IF(D877&gt;=100*0.7,4,IF(D877&gt;=100*0.6,3.5,IF(D877&gt;=100*0.5,3,IF(D877&gt;=100*0.4,2,IF(D877&gt;=100*0.33,1,0))))))))</f>
        <v/>
      </c>
      <c r="W877">
        <f>IF(B877="","",IF(E877&lt;16.5,0,IF(E877&gt;=50*0.8,5,IF(E877&gt;=50*0.7,4,IF(E877&gt;=50*0.6,3.5,IF(E877&gt;=50*0.5,3,IF(E877&gt;=50*0.4,2,IF(E877&gt;=50*0.33,1,0))))))))</f>
        <v/>
      </c>
      <c r="X877">
        <f>IF(B877="","",IF(F877&lt;33.0,0,IF(F877&gt;=100*0.8,5,IF(F877&gt;=100*0.7,4,IF(F877&gt;=100*0.6,3.5,IF(F877&gt;=100*0.5,3,IF(F877&gt;=100*0.4,2,IF(F877&gt;=100*0.33,1,0))))))))</f>
        <v/>
      </c>
      <c r="Y877">
        <f>IF(B877="","",IF(G877&lt;16.5,0,IF(G877&gt;=50*0.8,5,IF(G877&gt;=50*0.7,4,IF(G877&gt;=50*0.6,3.5,IF(G877&gt;=50*0.5,3,IF(G877&gt;=50*0.4,2,IF(G877&gt;=50*0.33,1,0))))))))</f>
        <v/>
      </c>
      <c r="Z877">
        <f>IF(B877="","",IF(H877&lt;33.0,0,IF(H877&gt;=100*0.8,5,IF(H877&gt;=100*0.7,4,IF(H877&gt;=100*0.6,3.5,IF(H877&gt;=100*0.5,3,IF(H877&gt;=100*0.4,2,IF(H877&gt;=100*0.33,1,0))))))))</f>
        <v/>
      </c>
      <c r="AA877">
        <f>IF(B877="","",IF(I877&lt;33.0,0,IF(I877&gt;=100*0.8,5,IF(I877&gt;=100*0.7,4,IF(I877&gt;=100*0.6,3.5,IF(I877&gt;=100*0.5,3,IF(I877&gt;=100*0.4,2,IF(I877&gt;=100*0.33,1,0))))))))</f>
        <v/>
      </c>
      <c r="AB877">
        <f>IF(B877="","",IF(J877&lt;33.0,0,IF(J877&gt;=100*0.8,5,IF(J877&gt;=100*0.7,4,IF(J877&gt;=100*0.6,3.5,IF(J877&gt;=100*0.5,3,IF(J877&gt;=100*0.4,2,IF(J877&gt;=100*0.33,1,0))))))))</f>
        <v/>
      </c>
      <c r="AC877">
        <f>IF(B877="","",IF(K877&lt;33.0,0,IF(K877&gt;=100*0.8,5,IF(K877&gt;=100*0.7,4,IF(K877&gt;=100*0.6,3.5,IF(K877&gt;=100*0.5,3,IF(K877&gt;=100*0.4,2,IF(K877&gt;=100*0.33,1,0))))))))</f>
        <v/>
      </c>
      <c r="AD877">
        <f>IF(B877="","",IF(L877&lt;33.0,0,IF(L877&gt;=100*0.8,5,IF(L877&gt;=100*0.7,4,IF(L877&gt;=100*0.6,3.5,IF(L877&gt;=100*0.5,3,IF(L877&gt;=100*0.4,2,IF(L877&gt;=100*0.33,1,0))))))))</f>
        <v/>
      </c>
      <c r="AE877">
        <f>IF(B877="","",IF(M877&lt;33.0,0,IF(M877&gt;=100*0.8,5,IF(M877&gt;=100*0.7,4,IF(M877&gt;=100*0.6,3.5,IF(M877&gt;=100*0.5,3,IF(M877&gt;=100*0.4,2,IF(M877&gt;=100*0.33,1,0))))))))</f>
        <v/>
      </c>
      <c r="AF877">
        <f>IF(B877="","",IF(N877&lt;16.5,0,IF(N877&gt;=50*0.8,5,IF(N877&gt;=50*0.7,4,IF(N877&gt;=50*0.6,3.5,IF(N877&gt;=50*0.5,3,IF(N877&gt;=50*0.4,2,IF(N877&gt;=50*0.33,1,0))))))))</f>
        <v/>
      </c>
      <c r="AG877">
        <f>IF(B877="","",IF(O877&lt;33.0,0,IF(O877&gt;=100*0.8,5,IF(O877&gt;=100*0.7,4,IF(O877&gt;=100*0.6,3.5,IF(O877&gt;=100*0.5,3,IF(O877&gt;=100*0.4,2,IF(O877&gt;=100*0.33,1,0))))))))</f>
        <v/>
      </c>
      <c r="AH877">
        <f>IF(B877="","",IF(OR(U877=0,V877=0,W877=0,X877=0,Y877=0,Z877=0,AA877=0,AB877=0,AC877=0,AD877=0,AE877=0,AF877=0,AG877=0),1,0))</f>
        <v/>
      </c>
    </row>
    <row r="878">
      <c r="A878" s="3">
        <f>IF(B878="","",ROW()-2)</f>
        <v/>
      </c>
      <c r="P878" s="4">
        <f>IF(B878="","",SUM(C878:O878))</f>
        <v/>
      </c>
      <c r="Q878" s="5">
        <f>IF(B878="","",ROUND(P878/13,2))</f>
        <v/>
      </c>
      <c r="R878" s="5">
        <f>IF(B878="","",IF(AH878=1,0,MIN(5,ROUND((U878+V878+W878+X878+Y878+Z878+AA878+AB878+AC878+AD878+AE878+AF878+AG878)/13,2))))</f>
        <v/>
      </c>
      <c r="S878" s="3">
        <f>IF(B878="","",IF(R878&gt;=5,"A+",IF(R878&gt;=4,"A",IF(R878&gt;=3.5,"A-",IF(R878&gt;=3,"B",IF(R878&gt;=2,"C",IF(R878&gt;=1,"D","F")))))))</f>
        <v/>
      </c>
      <c r="T878" s="3">
        <f>IF(OR(B878="",S878="F"),"",COUNTIFS(P:P,"&gt;"&amp;P878,S:S,"&lt;&gt;F")+1)</f>
        <v/>
      </c>
      <c r="U878">
        <f>IF(B878="","",IF(C878&lt;33.0,0,IF(C878&gt;=100*0.8,5,IF(C878&gt;=100*0.7,4,IF(C878&gt;=100*0.6,3.5,IF(C878&gt;=100*0.5,3,IF(C878&gt;=100*0.4,2,IF(C878&gt;=100*0.33,1,0))))))))</f>
        <v/>
      </c>
      <c r="V878">
        <f>IF(B878="","",IF(D878&lt;33.0,0,IF(D878&gt;=100*0.8,5,IF(D878&gt;=100*0.7,4,IF(D878&gt;=100*0.6,3.5,IF(D878&gt;=100*0.5,3,IF(D878&gt;=100*0.4,2,IF(D878&gt;=100*0.33,1,0))))))))</f>
        <v/>
      </c>
      <c r="W878">
        <f>IF(B878="","",IF(E878&lt;16.5,0,IF(E878&gt;=50*0.8,5,IF(E878&gt;=50*0.7,4,IF(E878&gt;=50*0.6,3.5,IF(E878&gt;=50*0.5,3,IF(E878&gt;=50*0.4,2,IF(E878&gt;=50*0.33,1,0))))))))</f>
        <v/>
      </c>
      <c r="X878">
        <f>IF(B878="","",IF(F878&lt;33.0,0,IF(F878&gt;=100*0.8,5,IF(F878&gt;=100*0.7,4,IF(F878&gt;=100*0.6,3.5,IF(F878&gt;=100*0.5,3,IF(F878&gt;=100*0.4,2,IF(F878&gt;=100*0.33,1,0))))))))</f>
        <v/>
      </c>
      <c r="Y878">
        <f>IF(B878="","",IF(G878&lt;16.5,0,IF(G878&gt;=50*0.8,5,IF(G878&gt;=50*0.7,4,IF(G878&gt;=50*0.6,3.5,IF(G878&gt;=50*0.5,3,IF(G878&gt;=50*0.4,2,IF(G878&gt;=50*0.33,1,0))))))))</f>
        <v/>
      </c>
      <c r="Z878">
        <f>IF(B878="","",IF(H878&lt;33.0,0,IF(H878&gt;=100*0.8,5,IF(H878&gt;=100*0.7,4,IF(H878&gt;=100*0.6,3.5,IF(H878&gt;=100*0.5,3,IF(H878&gt;=100*0.4,2,IF(H878&gt;=100*0.33,1,0))))))))</f>
        <v/>
      </c>
      <c r="AA878">
        <f>IF(B878="","",IF(I878&lt;33.0,0,IF(I878&gt;=100*0.8,5,IF(I878&gt;=100*0.7,4,IF(I878&gt;=100*0.6,3.5,IF(I878&gt;=100*0.5,3,IF(I878&gt;=100*0.4,2,IF(I878&gt;=100*0.33,1,0))))))))</f>
        <v/>
      </c>
      <c r="AB878">
        <f>IF(B878="","",IF(J878&lt;33.0,0,IF(J878&gt;=100*0.8,5,IF(J878&gt;=100*0.7,4,IF(J878&gt;=100*0.6,3.5,IF(J878&gt;=100*0.5,3,IF(J878&gt;=100*0.4,2,IF(J878&gt;=100*0.33,1,0))))))))</f>
        <v/>
      </c>
      <c r="AC878">
        <f>IF(B878="","",IF(K878&lt;33.0,0,IF(K878&gt;=100*0.8,5,IF(K878&gt;=100*0.7,4,IF(K878&gt;=100*0.6,3.5,IF(K878&gt;=100*0.5,3,IF(K878&gt;=100*0.4,2,IF(K878&gt;=100*0.33,1,0))))))))</f>
        <v/>
      </c>
      <c r="AD878">
        <f>IF(B878="","",IF(L878&lt;33.0,0,IF(L878&gt;=100*0.8,5,IF(L878&gt;=100*0.7,4,IF(L878&gt;=100*0.6,3.5,IF(L878&gt;=100*0.5,3,IF(L878&gt;=100*0.4,2,IF(L878&gt;=100*0.33,1,0))))))))</f>
        <v/>
      </c>
      <c r="AE878">
        <f>IF(B878="","",IF(M878&lt;33.0,0,IF(M878&gt;=100*0.8,5,IF(M878&gt;=100*0.7,4,IF(M878&gt;=100*0.6,3.5,IF(M878&gt;=100*0.5,3,IF(M878&gt;=100*0.4,2,IF(M878&gt;=100*0.33,1,0))))))))</f>
        <v/>
      </c>
      <c r="AF878">
        <f>IF(B878="","",IF(N878&lt;16.5,0,IF(N878&gt;=50*0.8,5,IF(N878&gt;=50*0.7,4,IF(N878&gt;=50*0.6,3.5,IF(N878&gt;=50*0.5,3,IF(N878&gt;=50*0.4,2,IF(N878&gt;=50*0.33,1,0))))))))</f>
        <v/>
      </c>
      <c r="AG878">
        <f>IF(B878="","",IF(O878&lt;33.0,0,IF(O878&gt;=100*0.8,5,IF(O878&gt;=100*0.7,4,IF(O878&gt;=100*0.6,3.5,IF(O878&gt;=100*0.5,3,IF(O878&gt;=100*0.4,2,IF(O878&gt;=100*0.33,1,0))))))))</f>
        <v/>
      </c>
      <c r="AH878">
        <f>IF(B878="","",IF(OR(U878=0,V878=0,W878=0,X878=0,Y878=0,Z878=0,AA878=0,AB878=0,AC878=0,AD878=0,AE878=0,AF878=0,AG878=0),1,0))</f>
        <v/>
      </c>
    </row>
    <row r="879">
      <c r="A879" s="3">
        <f>IF(B879="","",ROW()-2)</f>
        <v/>
      </c>
      <c r="P879" s="4">
        <f>IF(B879="","",SUM(C879:O879))</f>
        <v/>
      </c>
      <c r="Q879" s="5">
        <f>IF(B879="","",ROUND(P879/13,2))</f>
        <v/>
      </c>
      <c r="R879" s="5">
        <f>IF(B879="","",IF(AH879=1,0,MIN(5,ROUND((U879+V879+W879+X879+Y879+Z879+AA879+AB879+AC879+AD879+AE879+AF879+AG879)/13,2))))</f>
        <v/>
      </c>
      <c r="S879" s="3">
        <f>IF(B879="","",IF(R879&gt;=5,"A+",IF(R879&gt;=4,"A",IF(R879&gt;=3.5,"A-",IF(R879&gt;=3,"B",IF(R879&gt;=2,"C",IF(R879&gt;=1,"D","F")))))))</f>
        <v/>
      </c>
      <c r="T879" s="3">
        <f>IF(OR(B879="",S879="F"),"",COUNTIFS(P:P,"&gt;"&amp;P879,S:S,"&lt;&gt;F")+1)</f>
        <v/>
      </c>
      <c r="U879">
        <f>IF(B879="","",IF(C879&lt;33.0,0,IF(C879&gt;=100*0.8,5,IF(C879&gt;=100*0.7,4,IF(C879&gt;=100*0.6,3.5,IF(C879&gt;=100*0.5,3,IF(C879&gt;=100*0.4,2,IF(C879&gt;=100*0.33,1,0))))))))</f>
        <v/>
      </c>
      <c r="V879">
        <f>IF(B879="","",IF(D879&lt;33.0,0,IF(D879&gt;=100*0.8,5,IF(D879&gt;=100*0.7,4,IF(D879&gt;=100*0.6,3.5,IF(D879&gt;=100*0.5,3,IF(D879&gt;=100*0.4,2,IF(D879&gt;=100*0.33,1,0))))))))</f>
        <v/>
      </c>
      <c r="W879">
        <f>IF(B879="","",IF(E879&lt;16.5,0,IF(E879&gt;=50*0.8,5,IF(E879&gt;=50*0.7,4,IF(E879&gt;=50*0.6,3.5,IF(E879&gt;=50*0.5,3,IF(E879&gt;=50*0.4,2,IF(E879&gt;=50*0.33,1,0))))))))</f>
        <v/>
      </c>
      <c r="X879">
        <f>IF(B879="","",IF(F879&lt;33.0,0,IF(F879&gt;=100*0.8,5,IF(F879&gt;=100*0.7,4,IF(F879&gt;=100*0.6,3.5,IF(F879&gt;=100*0.5,3,IF(F879&gt;=100*0.4,2,IF(F879&gt;=100*0.33,1,0))))))))</f>
        <v/>
      </c>
      <c r="Y879">
        <f>IF(B879="","",IF(G879&lt;16.5,0,IF(G879&gt;=50*0.8,5,IF(G879&gt;=50*0.7,4,IF(G879&gt;=50*0.6,3.5,IF(G879&gt;=50*0.5,3,IF(G879&gt;=50*0.4,2,IF(G879&gt;=50*0.33,1,0))))))))</f>
        <v/>
      </c>
      <c r="Z879">
        <f>IF(B879="","",IF(H879&lt;33.0,0,IF(H879&gt;=100*0.8,5,IF(H879&gt;=100*0.7,4,IF(H879&gt;=100*0.6,3.5,IF(H879&gt;=100*0.5,3,IF(H879&gt;=100*0.4,2,IF(H879&gt;=100*0.33,1,0))))))))</f>
        <v/>
      </c>
      <c r="AA879">
        <f>IF(B879="","",IF(I879&lt;33.0,0,IF(I879&gt;=100*0.8,5,IF(I879&gt;=100*0.7,4,IF(I879&gt;=100*0.6,3.5,IF(I879&gt;=100*0.5,3,IF(I879&gt;=100*0.4,2,IF(I879&gt;=100*0.33,1,0))))))))</f>
        <v/>
      </c>
      <c r="AB879">
        <f>IF(B879="","",IF(J879&lt;33.0,0,IF(J879&gt;=100*0.8,5,IF(J879&gt;=100*0.7,4,IF(J879&gt;=100*0.6,3.5,IF(J879&gt;=100*0.5,3,IF(J879&gt;=100*0.4,2,IF(J879&gt;=100*0.33,1,0))))))))</f>
        <v/>
      </c>
      <c r="AC879">
        <f>IF(B879="","",IF(K879&lt;33.0,0,IF(K879&gt;=100*0.8,5,IF(K879&gt;=100*0.7,4,IF(K879&gt;=100*0.6,3.5,IF(K879&gt;=100*0.5,3,IF(K879&gt;=100*0.4,2,IF(K879&gt;=100*0.33,1,0))))))))</f>
        <v/>
      </c>
      <c r="AD879">
        <f>IF(B879="","",IF(L879&lt;33.0,0,IF(L879&gt;=100*0.8,5,IF(L879&gt;=100*0.7,4,IF(L879&gt;=100*0.6,3.5,IF(L879&gt;=100*0.5,3,IF(L879&gt;=100*0.4,2,IF(L879&gt;=100*0.33,1,0))))))))</f>
        <v/>
      </c>
      <c r="AE879">
        <f>IF(B879="","",IF(M879&lt;33.0,0,IF(M879&gt;=100*0.8,5,IF(M879&gt;=100*0.7,4,IF(M879&gt;=100*0.6,3.5,IF(M879&gt;=100*0.5,3,IF(M879&gt;=100*0.4,2,IF(M879&gt;=100*0.33,1,0))))))))</f>
        <v/>
      </c>
      <c r="AF879">
        <f>IF(B879="","",IF(N879&lt;16.5,0,IF(N879&gt;=50*0.8,5,IF(N879&gt;=50*0.7,4,IF(N879&gt;=50*0.6,3.5,IF(N879&gt;=50*0.5,3,IF(N879&gt;=50*0.4,2,IF(N879&gt;=50*0.33,1,0))))))))</f>
        <v/>
      </c>
      <c r="AG879">
        <f>IF(B879="","",IF(O879&lt;33.0,0,IF(O879&gt;=100*0.8,5,IF(O879&gt;=100*0.7,4,IF(O879&gt;=100*0.6,3.5,IF(O879&gt;=100*0.5,3,IF(O879&gt;=100*0.4,2,IF(O879&gt;=100*0.33,1,0))))))))</f>
        <v/>
      </c>
      <c r="AH879">
        <f>IF(B879="","",IF(OR(U879=0,V879=0,W879=0,X879=0,Y879=0,Z879=0,AA879=0,AB879=0,AC879=0,AD879=0,AE879=0,AF879=0,AG879=0),1,0))</f>
        <v/>
      </c>
    </row>
    <row r="880">
      <c r="A880" s="3">
        <f>IF(B880="","",ROW()-2)</f>
        <v/>
      </c>
      <c r="P880" s="4">
        <f>IF(B880="","",SUM(C880:O880))</f>
        <v/>
      </c>
      <c r="Q880" s="5">
        <f>IF(B880="","",ROUND(P880/13,2))</f>
        <v/>
      </c>
      <c r="R880" s="5">
        <f>IF(B880="","",IF(AH880=1,0,MIN(5,ROUND((U880+V880+W880+X880+Y880+Z880+AA880+AB880+AC880+AD880+AE880+AF880+AG880)/13,2))))</f>
        <v/>
      </c>
      <c r="S880" s="3">
        <f>IF(B880="","",IF(R880&gt;=5,"A+",IF(R880&gt;=4,"A",IF(R880&gt;=3.5,"A-",IF(R880&gt;=3,"B",IF(R880&gt;=2,"C",IF(R880&gt;=1,"D","F")))))))</f>
        <v/>
      </c>
      <c r="T880" s="3">
        <f>IF(OR(B880="",S880="F"),"",COUNTIFS(P:P,"&gt;"&amp;P880,S:S,"&lt;&gt;F")+1)</f>
        <v/>
      </c>
      <c r="U880">
        <f>IF(B880="","",IF(C880&lt;33.0,0,IF(C880&gt;=100*0.8,5,IF(C880&gt;=100*0.7,4,IF(C880&gt;=100*0.6,3.5,IF(C880&gt;=100*0.5,3,IF(C880&gt;=100*0.4,2,IF(C880&gt;=100*0.33,1,0))))))))</f>
        <v/>
      </c>
      <c r="V880">
        <f>IF(B880="","",IF(D880&lt;33.0,0,IF(D880&gt;=100*0.8,5,IF(D880&gt;=100*0.7,4,IF(D880&gt;=100*0.6,3.5,IF(D880&gt;=100*0.5,3,IF(D880&gt;=100*0.4,2,IF(D880&gt;=100*0.33,1,0))))))))</f>
        <v/>
      </c>
      <c r="W880">
        <f>IF(B880="","",IF(E880&lt;16.5,0,IF(E880&gt;=50*0.8,5,IF(E880&gt;=50*0.7,4,IF(E880&gt;=50*0.6,3.5,IF(E880&gt;=50*0.5,3,IF(E880&gt;=50*0.4,2,IF(E880&gt;=50*0.33,1,0))))))))</f>
        <v/>
      </c>
      <c r="X880">
        <f>IF(B880="","",IF(F880&lt;33.0,0,IF(F880&gt;=100*0.8,5,IF(F880&gt;=100*0.7,4,IF(F880&gt;=100*0.6,3.5,IF(F880&gt;=100*0.5,3,IF(F880&gt;=100*0.4,2,IF(F880&gt;=100*0.33,1,0))))))))</f>
        <v/>
      </c>
      <c r="Y880">
        <f>IF(B880="","",IF(G880&lt;16.5,0,IF(G880&gt;=50*0.8,5,IF(G880&gt;=50*0.7,4,IF(G880&gt;=50*0.6,3.5,IF(G880&gt;=50*0.5,3,IF(G880&gt;=50*0.4,2,IF(G880&gt;=50*0.33,1,0))))))))</f>
        <v/>
      </c>
      <c r="Z880">
        <f>IF(B880="","",IF(H880&lt;33.0,0,IF(H880&gt;=100*0.8,5,IF(H880&gt;=100*0.7,4,IF(H880&gt;=100*0.6,3.5,IF(H880&gt;=100*0.5,3,IF(H880&gt;=100*0.4,2,IF(H880&gt;=100*0.33,1,0))))))))</f>
        <v/>
      </c>
      <c r="AA880">
        <f>IF(B880="","",IF(I880&lt;33.0,0,IF(I880&gt;=100*0.8,5,IF(I880&gt;=100*0.7,4,IF(I880&gt;=100*0.6,3.5,IF(I880&gt;=100*0.5,3,IF(I880&gt;=100*0.4,2,IF(I880&gt;=100*0.33,1,0))))))))</f>
        <v/>
      </c>
      <c r="AB880">
        <f>IF(B880="","",IF(J880&lt;33.0,0,IF(J880&gt;=100*0.8,5,IF(J880&gt;=100*0.7,4,IF(J880&gt;=100*0.6,3.5,IF(J880&gt;=100*0.5,3,IF(J880&gt;=100*0.4,2,IF(J880&gt;=100*0.33,1,0))))))))</f>
        <v/>
      </c>
      <c r="AC880">
        <f>IF(B880="","",IF(K880&lt;33.0,0,IF(K880&gt;=100*0.8,5,IF(K880&gt;=100*0.7,4,IF(K880&gt;=100*0.6,3.5,IF(K880&gt;=100*0.5,3,IF(K880&gt;=100*0.4,2,IF(K880&gt;=100*0.33,1,0))))))))</f>
        <v/>
      </c>
      <c r="AD880">
        <f>IF(B880="","",IF(L880&lt;33.0,0,IF(L880&gt;=100*0.8,5,IF(L880&gt;=100*0.7,4,IF(L880&gt;=100*0.6,3.5,IF(L880&gt;=100*0.5,3,IF(L880&gt;=100*0.4,2,IF(L880&gt;=100*0.33,1,0))))))))</f>
        <v/>
      </c>
      <c r="AE880">
        <f>IF(B880="","",IF(M880&lt;33.0,0,IF(M880&gt;=100*0.8,5,IF(M880&gt;=100*0.7,4,IF(M880&gt;=100*0.6,3.5,IF(M880&gt;=100*0.5,3,IF(M880&gt;=100*0.4,2,IF(M880&gt;=100*0.33,1,0))))))))</f>
        <v/>
      </c>
      <c r="AF880">
        <f>IF(B880="","",IF(N880&lt;16.5,0,IF(N880&gt;=50*0.8,5,IF(N880&gt;=50*0.7,4,IF(N880&gt;=50*0.6,3.5,IF(N880&gt;=50*0.5,3,IF(N880&gt;=50*0.4,2,IF(N880&gt;=50*0.33,1,0))))))))</f>
        <v/>
      </c>
      <c r="AG880">
        <f>IF(B880="","",IF(O880&lt;33.0,0,IF(O880&gt;=100*0.8,5,IF(O880&gt;=100*0.7,4,IF(O880&gt;=100*0.6,3.5,IF(O880&gt;=100*0.5,3,IF(O880&gt;=100*0.4,2,IF(O880&gt;=100*0.33,1,0))))))))</f>
        <v/>
      </c>
      <c r="AH880">
        <f>IF(B880="","",IF(OR(U880=0,V880=0,W880=0,X880=0,Y880=0,Z880=0,AA880=0,AB880=0,AC880=0,AD880=0,AE880=0,AF880=0,AG880=0),1,0))</f>
        <v/>
      </c>
    </row>
    <row r="881">
      <c r="A881" s="3">
        <f>IF(B881="","",ROW()-2)</f>
        <v/>
      </c>
      <c r="P881" s="4">
        <f>IF(B881="","",SUM(C881:O881))</f>
        <v/>
      </c>
      <c r="Q881" s="5">
        <f>IF(B881="","",ROUND(P881/13,2))</f>
        <v/>
      </c>
      <c r="R881" s="5">
        <f>IF(B881="","",IF(AH881=1,0,MIN(5,ROUND((U881+V881+W881+X881+Y881+Z881+AA881+AB881+AC881+AD881+AE881+AF881+AG881)/13,2))))</f>
        <v/>
      </c>
      <c r="S881" s="3">
        <f>IF(B881="","",IF(R881&gt;=5,"A+",IF(R881&gt;=4,"A",IF(R881&gt;=3.5,"A-",IF(R881&gt;=3,"B",IF(R881&gt;=2,"C",IF(R881&gt;=1,"D","F")))))))</f>
        <v/>
      </c>
      <c r="T881" s="3">
        <f>IF(OR(B881="",S881="F"),"",COUNTIFS(P:P,"&gt;"&amp;P881,S:S,"&lt;&gt;F")+1)</f>
        <v/>
      </c>
      <c r="U881">
        <f>IF(B881="","",IF(C881&lt;33.0,0,IF(C881&gt;=100*0.8,5,IF(C881&gt;=100*0.7,4,IF(C881&gt;=100*0.6,3.5,IF(C881&gt;=100*0.5,3,IF(C881&gt;=100*0.4,2,IF(C881&gt;=100*0.33,1,0))))))))</f>
        <v/>
      </c>
      <c r="V881">
        <f>IF(B881="","",IF(D881&lt;33.0,0,IF(D881&gt;=100*0.8,5,IF(D881&gt;=100*0.7,4,IF(D881&gt;=100*0.6,3.5,IF(D881&gt;=100*0.5,3,IF(D881&gt;=100*0.4,2,IF(D881&gt;=100*0.33,1,0))))))))</f>
        <v/>
      </c>
      <c r="W881">
        <f>IF(B881="","",IF(E881&lt;16.5,0,IF(E881&gt;=50*0.8,5,IF(E881&gt;=50*0.7,4,IF(E881&gt;=50*0.6,3.5,IF(E881&gt;=50*0.5,3,IF(E881&gt;=50*0.4,2,IF(E881&gt;=50*0.33,1,0))))))))</f>
        <v/>
      </c>
      <c r="X881">
        <f>IF(B881="","",IF(F881&lt;33.0,0,IF(F881&gt;=100*0.8,5,IF(F881&gt;=100*0.7,4,IF(F881&gt;=100*0.6,3.5,IF(F881&gt;=100*0.5,3,IF(F881&gt;=100*0.4,2,IF(F881&gt;=100*0.33,1,0))))))))</f>
        <v/>
      </c>
      <c r="Y881">
        <f>IF(B881="","",IF(G881&lt;16.5,0,IF(G881&gt;=50*0.8,5,IF(G881&gt;=50*0.7,4,IF(G881&gt;=50*0.6,3.5,IF(G881&gt;=50*0.5,3,IF(G881&gt;=50*0.4,2,IF(G881&gt;=50*0.33,1,0))))))))</f>
        <v/>
      </c>
      <c r="Z881">
        <f>IF(B881="","",IF(H881&lt;33.0,0,IF(H881&gt;=100*0.8,5,IF(H881&gt;=100*0.7,4,IF(H881&gt;=100*0.6,3.5,IF(H881&gt;=100*0.5,3,IF(H881&gt;=100*0.4,2,IF(H881&gt;=100*0.33,1,0))))))))</f>
        <v/>
      </c>
      <c r="AA881">
        <f>IF(B881="","",IF(I881&lt;33.0,0,IF(I881&gt;=100*0.8,5,IF(I881&gt;=100*0.7,4,IF(I881&gt;=100*0.6,3.5,IF(I881&gt;=100*0.5,3,IF(I881&gt;=100*0.4,2,IF(I881&gt;=100*0.33,1,0))))))))</f>
        <v/>
      </c>
      <c r="AB881">
        <f>IF(B881="","",IF(J881&lt;33.0,0,IF(J881&gt;=100*0.8,5,IF(J881&gt;=100*0.7,4,IF(J881&gt;=100*0.6,3.5,IF(J881&gt;=100*0.5,3,IF(J881&gt;=100*0.4,2,IF(J881&gt;=100*0.33,1,0))))))))</f>
        <v/>
      </c>
      <c r="AC881">
        <f>IF(B881="","",IF(K881&lt;33.0,0,IF(K881&gt;=100*0.8,5,IF(K881&gt;=100*0.7,4,IF(K881&gt;=100*0.6,3.5,IF(K881&gt;=100*0.5,3,IF(K881&gt;=100*0.4,2,IF(K881&gt;=100*0.33,1,0))))))))</f>
        <v/>
      </c>
      <c r="AD881">
        <f>IF(B881="","",IF(L881&lt;33.0,0,IF(L881&gt;=100*0.8,5,IF(L881&gt;=100*0.7,4,IF(L881&gt;=100*0.6,3.5,IF(L881&gt;=100*0.5,3,IF(L881&gt;=100*0.4,2,IF(L881&gt;=100*0.33,1,0))))))))</f>
        <v/>
      </c>
      <c r="AE881">
        <f>IF(B881="","",IF(M881&lt;33.0,0,IF(M881&gt;=100*0.8,5,IF(M881&gt;=100*0.7,4,IF(M881&gt;=100*0.6,3.5,IF(M881&gt;=100*0.5,3,IF(M881&gt;=100*0.4,2,IF(M881&gt;=100*0.33,1,0))))))))</f>
        <v/>
      </c>
      <c r="AF881">
        <f>IF(B881="","",IF(N881&lt;16.5,0,IF(N881&gt;=50*0.8,5,IF(N881&gt;=50*0.7,4,IF(N881&gt;=50*0.6,3.5,IF(N881&gt;=50*0.5,3,IF(N881&gt;=50*0.4,2,IF(N881&gt;=50*0.33,1,0))))))))</f>
        <v/>
      </c>
      <c r="AG881">
        <f>IF(B881="","",IF(O881&lt;33.0,0,IF(O881&gt;=100*0.8,5,IF(O881&gt;=100*0.7,4,IF(O881&gt;=100*0.6,3.5,IF(O881&gt;=100*0.5,3,IF(O881&gt;=100*0.4,2,IF(O881&gt;=100*0.33,1,0))))))))</f>
        <v/>
      </c>
      <c r="AH881">
        <f>IF(B881="","",IF(OR(U881=0,V881=0,W881=0,X881=0,Y881=0,Z881=0,AA881=0,AB881=0,AC881=0,AD881=0,AE881=0,AF881=0,AG881=0),1,0))</f>
        <v/>
      </c>
    </row>
    <row r="882">
      <c r="A882" s="3">
        <f>IF(B882="","",ROW()-2)</f>
        <v/>
      </c>
      <c r="P882" s="4">
        <f>IF(B882="","",SUM(C882:O882))</f>
        <v/>
      </c>
      <c r="Q882" s="5">
        <f>IF(B882="","",ROUND(P882/13,2))</f>
        <v/>
      </c>
      <c r="R882" s="5">
        <f>IF(B882="","",IF(AH882=1,0,MIN(5,ROUND((U882+V882+W882+X882+Y882+Z882+AA882+AB882+AC882+AD882+AE882+AF882+AG882)/13,2))))</f>
        <v/>
      </c>
      <c r="S882" s="3">
        <f>IF(B882="","",IF(R882&gt;=5,"A+",IF(R882&gt;=4,"A",IF(R882&gt;=3.5,"A-",IF(R882&gt;=3,"B",IF(R882&gt;=2,"C",IF(R882&gt;=1,"D","F")))))))</f>
        <v/>
      </c>
      <c r="T882" s="3">
        <f>IF(OR(B882="",S882="F"),"",COUNTIFS(P:P,"&gt;"&amp;P882,S:S,"&lt;&gt;F")+1)</f>
        <v/>
      </c>
      <c r="U882">
        <f>IF(B882="","",IF(C882&lt;33.0,0,IF(C882&gt;=100*0.8,5,IF(C882&gt;=100*0.7,4,IF(C882&gt;=100*0.6,3.5,IF(C882&gt;=100*0.5,3,IF(C882&gt;=100*0.4,2,IF(C882&gt;=100*0.33,1,0))))))))</f>
        <v/>
      </c>
      <c r="V882">
        <f>IF(B882="","",IF(D882&lt;33.0,0,IF(D882&gt;=100*0.8,5,IF(D882&gt;=100*0.7,4,IF(D882&gt;=100*0.6,3.5,IF(D882&gt;=100*0.5,3,IF(D882&gt;=100*0.4,2,IF(D882&gt;=100*0.33,1,0))))))))</f>
        <v/>
      </c>
      <c r="W882">
        <f>IF(B882="","",IF(E882&lt;16.5,0,IF(E882&gt;=50*0.8,5,IF(E882&gt;=50*0.7,4,IF(E882&gt;=50*0.6,3.5,IF(E882&gt;=50*0.5,3,IF(E882&gt;=50*0.4,2,IF(E882&gt;=50*0.33,1,0))))))))</f>
        <v/>
      </c>
      <c r="X882">
        <f>IF(B882="","",IF(F882&lt;33.0,0,IF(F882&gt;=100*0.8,5,IF(F882&gt;=100*0.7,4,IF(F882&gt;=100*0.6,3.5,IF(F882&gt;=100*0.5,3,IF(F882&gt;=100*0.4,2,IF(F882&gt;=100*0.33,1,0))))))))</f>
        <v/>
      </c>
      <c r="Y882">
        <f>IF(B882="","",IF(G882&lt;16.5,0,IF(G882&gt;=50*0.8,5,IF(G882&gt;=50*0.7,4,IF(G882&gt;=50*0.6,3.5,IF(G882&gt;=50*0.5,3,IF(G882&gt;=50*0.4,2,IF(G882&gt;=50*0.33,1,0))))))))</f>
        <v/>
      </c>
      <c r="Z882">
        <f>IF(B882="","",IF(H882&lt;33.0,0,IF(H882&gt;=100*0.8,5,IF(H882&gt;=100*0.7,4,IF(H882&gt;=100*0.6,3.5,IF(H882&gt;=100*0.5,3,IF(H882&gt;=100*0.4,2,IF(H882&gt;=100*0.33,1,0))))))))</f>
        <v/>
      </c>
      <c r="AA882">
        <f>IF(B882="","",IF(I882&lt;33.0,0,IF(I882&gt;=100*0.8,5,IF(I882&gt;=100*0.7,4,IF(I882&gt;=100*0.6,3.5,IF(I882&gt;=100*0.5,3,IF(I882&gt;=100*0.4,2,IF(I882&gt;=100*0.33,1,0))))))))</f>
        <v/>
      </c>
      <c r="AB882">
        <f>IF(B882="","",IF(J882&lt;33.0,0,IF(J882&gt;=100*0.8,5,IF(J882&gt;=100*0.7,4,IF(J882&gt;=100*0.6,3.5,IF(J882&gt;=100*0.5,3,IF(J882&gt;=100*0.4,2,IF(J882&gt;=100*0.33,1,0))))))))</f>
        <v/>
      </c>
      <c r="AC882">
        <f>IF(B882="","",IF(K882&lt;33.0,0,IF(K882&gt;=100*0.8,5,IF(K882&gt;=100*0.7,4,IF(K882&gt;=100*0.6,3.5,IF(K882&gt;=100*0.5,3,IF(K882&gt;=100*0.4,2,IF(K882&gt;=100*0.33,1,0))))))))</f>
        <v/>
      </c>
      <c r="AD882">
        <f>IF(B882="","",IF(L882&lt;33.0,0,IF(L882&gt;=100*0.8,5,IF(L882&gt;=100*0.7,4,IF(L882&gt;=100*0.6,3.5,IF(L882&gt;=100*0.5,3,IF(L882&gt;=100*0.4,2,IF(L882&gt;=100*0.33,1,0))))))))</f>
        <v/>
      </c>
      <c r="AE882">
        <f>IF(B882="","",IF(M882&lt;33.0,0,IF(M882&gt;=100*0.8,5,IF(M882&gt;=100*0.7,4,IF(M882&gt;=100*0.6,3.5,IF(M882&gt;=100*0.5,3,IF(M882&gt;=100*0.4,2,IF(M882&gt;=100*0.33,1,0))))))))</f>
        <v/>
      </c>
      <c r="AF882">
        <f>IF(B882="","",IF(N882&lt;16.5,0,IF(N882&gt;=50*0.8,5,IF(N882&gt;=50*0.7,4,IF(N882&gt;=50*0.6,3.5,IF(N882&gt;=50*0.5,3,IF(N882&gt;=50*0.4,2,IF(N882&gt;=50*0.33,1,0))))))))</f>
        <v/>
      </c>
      <c r="AG882">
        <f>IF(B882="","",IF(O882&lt;33.0,0,IF(O882&gt;=100*0.8,5,IF(O882&gt;=100*0.7,4,IF(O882&gt;=100*0.6,3.5,IF(O882&gt;=100*0.5,3,IF(O882&gt;=100*0.4,2,IF(O882&gt;=100*0.33,1,0))))))))</f>
        <v/>
      </c>
      <c r="AH882">
        <f>IF(B882="","",IF(OR(U882=0,V882=0,W882=0,X882=0,Y882=0,Z882=0,AA882=0,AB882=0,AC882=0,AD882=0,AE882=0,AF882=0,AG882=0),1,0))</f>
        <v/>
      </c>
    </row>
    <row r="883">
      <c r="A883" s="3">
        <f>IF(B883="","",ROW()-2)</f>
        <v/>
      </c>
      <c r="P883" s="4">
        <f>IF(B883="","",SUM(C883:O883))</f>
        <v/>
      </c>
      <c r="Q883" s="5">
        <f>IF(B883="","",ROUND(P883/13,2))</f>
        <v/>
      </c>
      <c r="R883" s="5">
        <f>IF(B883="","",IF(AH883=1,0,MIN(5,ROUND((U883+V883+W883+X883+Y883+Z883+AA883+AB883+AC883+AD883+AE883+AF883+AG883)/13,2))))</f>
        <v/>
      </c>
      <c r="S883" s="3">
        <f>IF(B883="","",IF(R883&gt;=5,"A+",IF(R883&gt;=4,"A",IF(R883&gt;=3.5,"A-",IF(R883&gt;=3,"B",IF(R883&gt;=2,"C",IF(R883&gt;=1,"D","F")))))))</f>
        <v/>
      </c>
      <c r="T883" s="3">
        <f>IF(OR(B883="",S883="F"),"",COUNTIFS(P:P,"&gt;"&amp;P883,S:S,"&lt;&gt;F")+1)</f>
        <v/>
      </c>
      <c r="U883">
        <f>IF(B883="","",IF(C883&lt;33.0,0,IF(C883&gt;=100*0.8,5,IF(C883&gt;=100*0.7,4,IF(C883&gt;=100*0.6,3.5,IF(C883&gt;=100*0.5,3,IF(C883&gt;=100*0.4,2,IF(C883&gt;=100*0.33,1,0))))))))</f>
        <v/>
      </c>
      <c r="V883">
        <f>IF(B883="","",IF(D883&lt;33.0,0,IF(D883&gt;=100*0.8,5,IF(D883&gt;=100*0.7,4,IF(D883&gt;=100*0.6,3.5,IF(D883&gt;=100*0.5,3,IF(D883&gt;=100*0.4,2,IF(D883&gt;=100*0.33,1,0))))))))</f>
        <v/>
      </c>
      <c r="W883">
        <f>IF(B883="","",IF(E883&lt;16.5,0,IF(E883&gt;=50*0.8,5,IF(E883&gt;=50*0.7,4,IF(E883&gt;=50*0.6,3.5,IF(E883&gt;=50*0.5,3,IF(E883&gt;=50*0.4,2,IF(E883&gt;=50*0.33,1,0))))))))</f>
        <v/>
      </c>
      <c r="X883">
        <f>IF(B883="","",IF(F883&lt;33.0,0,IF(F883&gt;=100*0.8,5,IF(F883&gt;=100*0.7,4,IF(F883&gt;=100*0.6,3.5,IF(F883&gt;=100*0.5,3,IF(F883&gt;=100*0.4,2,IF(F883&gt;=100*0.33,1,0))))))))</f>
        <v/>
      </c>
      <c r="Y883">
        <f>IF(B883="","",IF(G883&lt;16.5,0,IF(G883&gt;=50*0.8,5,IF(G883&gt;=50*0.7,4,IF(G883&gt;=50*0.6,3.5,IF(G883&gt;=50*0.5,3,IF(G883&gt;=50*0.4,2,IF(G883&gt;=50*0.33,1,0))))))))</f>
        <v/>
      </c>
      <c r="Z883">
        <f>IF(B883="","",IF(H883&lt;33.0,0,IF(H883&gt;=100*0.8,5,IF(H883&gt;=100*0.7,4,IF(H883&gt;=100*0.6,3.5,IF(H883&gt;=100*0.5,3,IF(H883&gt;=100*0.4,2,IF(H883&gt;=100*0.33,1,0))))))))</f>
        <v/>
      </c>
      <c r="AA883">
        <f>IF(B883="","",IF(I883&lt;33.0,0,IF(I883&gt;=100*0.8,5,IF(I883&gt;=100*0.7,4,IF(I883&gt;=100*0.6,3.5,IF(I883&gt;=100*0.5,3,IF(I883&gt;=100*0.4,2,IF(I883&gt;=100*0.33,1,0))))))))</f>
        <v/>
      </c>
      <c r="AB883">
        <f>IF(B883="","",IF(J883&lt;33.0,0,IF(J883&gt;=100*0.8,5,IF(J883&gt;=100*0.7,4,IF(J883&gt;=100*0.6,3.5,IF(J883&gt;=100*0.5,3,IF(J883&gt;=100*0.4,2,IF(J883&gt;=100*0.33,1,0))))))))</f>
        <v/>
      </c>
      <c r="AC883">
        <f>IF(B883="","",IF(K883&lt;33.0,0,IF(K883&gt;=100*0.8,5,IF(K883&gt;=100*0.7,4,IF(K883&gt;=100*0.6,3.5,IF(K883&gt;=100*0.5,3,IF(K883&gt;=100*0.4,2,IF(K883&gt;=100*0.33,1,0))))))))</f>
        <v/>
      </c>
      <c r="AD883">
        <f>IF(B883="","",IF(L883&lt;33.0,0,IF(L883&gt;=100*0.8,5,IF(L883&gt;=100*0.7,4,IF(L883&gt;=100*0.6,3.5,IF(L883&gt;=100*0.5,3,IF(L883&gt;=100*0.4,2,IF(L883&gt;=100*0.33,1,0))))))))</f>
        <v/>
      </c>
      <c r="AE883">
        <f>IF(B883="","",IF(M883&lt;33.0,0,IF(M883&gt;=100*0.8,5,IF(M883&gt;=100*0.7,4,IF(M883&gt;=100*0.6,3.5,IF(M883&gt;=100*0.5,3,IF(M883&gt;=100*0.4,2,IF(M883&gt;=100*0.33,1,0))))))))</f>
        <v/>
      </c>
      <c r="AF883">
        <f>IF(B883="","",IF(N883&lt;16.5,0,IF(N883&gt;=50*0.8,5,IF(N883&gt;=50*0.7,4,IF(N883&gt;=50*0.6,3.5,IF(N883&gt;=50*0.5,3,IF(N883&gt;=50*0.4,2,IF(N883&gt;=50*0.33,1,0))))))))</f>
        <v/>
      </c>
      <c r="AG883">
        <f>IF(B883="","",IF(O883&lt;33.0,0,IF(O883&gt;=100*0.8,5,IF(O883&gt;=100*0.7,4,IF(O883&gt;=100*0.6,3.5,IF(O883&gt;=100*0.5,3,IF(O883&gt;=100*0.4,2,IF(O883&gt;=100*0.33,1,0))))))))</f>
        <v/>
      </c>
      <c r="AH883">
        <f>IF(B883="","",IF(OR(U883=0,V883=0,W883=0,X883=0,Y883=0,Z883=0,AA883=0,AB883=0,AC883=0,AD883=0,AE883=0,AF883=0,AG883=0),1,0))</f>
        <v/>
      </c>
    </row>
    <row r="884">
      <c r="A884" s="3">
        <f>IF(B884="","",ROW()-2)</f>
        <v/>
      </c>
      <c r="P884" s="4">
        <f>IF(B884="","",SUM(C884:O884))</f>
        <v/>
      </c>
      <c r="Q884" s="5">
        <f>IF(B884="","",ROUND(P884/13,2))</f>
        <v/>
      </c>
      <c r="R884" s="5">
        <f>IF(B884="","",IF(AH884=1,0,MIN(5,ROUND((U884+V884+W884+X884+Y884+Z884+AA884+AB884+AC884+AD884+AE884+AF884+AG884)/13,2))))</f>
        <v/>
      </c>
      <c r="S884" s="3">
        <f>IF(B884="","",IF(R884&gt;=5,"A+",IF(R884&gt;=4,"A",IF(R884&gt;=3.5,"A-",IF(R884&gt;=3,"B",IF(R884&gt;=2,"C",IF(R884&gt;=1,"D","F")))))))</f>
        <v/>
      </c>
      <c r="T884" s="3">
        <f>IF(OR(B884="",S884="F"),"",COUNTIFS(P:P,"&gt;"&amp;P884,S:S,"&lt;&gt;F")+1)</f>
        <v/>
      </c>
      <c r="U884">
        <f>IF(B884="","",IF(C884&lt;33.0,0,IF(C884&gt;=100*0.8,5,IF(C884&gt;=100*0.7,4,IF(C884&gt;=100*0.6,3.5,IF(C884&gt;=100*0.5,3,IF(C884&gt;=100*0.4,2,IF(C884&gt;=100*0.33,1,0))))))))</f>
        <v/>
      </c>
      <c r="V884">
        <f>IF(B884="","",IF(D884&lt;33.0,0,IF(D884&gt;=100*0.8,5,IF(D884&gt;=100*0.7,4,IF(D884&gt;=100*0.6,3.5,IF(D884&gt;=100*0.5,3,IF(D884&gt;=100*0.4,2,IF(D884&gt;=100*0.33,1,0))))))))</f>
        <v/>
      </c>
      <c r="W884">
        <f>IF(B884="","",IF(E884&lt;16.5,0,IF(E884&gt;=50*0.8,5,IF(E884&gt;=50*0.7,4,IF(E884&gt;=50*0.6,3.5,IF(E884&gt;=50*0.5,3,IF(E884&gt;=50*0.4,2,IF(E884&gt;=50*0.33,1,0))))))))</f>
        <v/>
      </c>
      <c r="X884">
        <f>IF(B884="","",IF(F884&lt;33.0,0,IF(F884&gt;=100*0.8,5,IF(F884&gt;=100*0.7,4,IF(F884&gt;=100*0.6,3.5,IF(F884&gt;=100*0.5,3,IF(F884&gt;=100*0.4,2,IF(F884&gt;=100*0.33,1,0))))))))</f>
        <v/>
      </c>
      <c r="Y884">
        <f>IF(B884="","",IF(G884&lt;16.5,0,IF(G884&gt;=50*0.8,5,IF(G884&gt;=50*0.7,4,IF(G884&gt;=50*0.6,3.5,IF(G884&gt;=50*0.5,3,IF(G884&gt;=50*0.4,2,IF(G884&gt;=50*0.33,1,0))))))))</f>
        <v/>
      </c>
      <c r="Z884">
        <f>IF(B884="","",IF(H884&lt;33.0,0,IF(H884&gt;=100*0.8,5,IF(H884&gt;=100*0.7,4,IF(H884&gt;=100*0.6,3.5,IF(H884&gt;=100*0.5,3,IF(H884&gt;=100*0.4,2,IF(H884&gt;=100*0.33,1,0))))))))</f>
        <v/>
      </c>
      <c r="AA884">
        <f>IF(B884="","",IF(I884&lt;33.0,0,IF(I884&gt;=100*0.8,5,IF(I884&gt;=100*0.7,4,IF(I884&gt;=100*0.6,3.5,IF(I884&gt;=100*0.5,3,IF(I884&gt;=100*0.4,2,IF(I884&gt;=100*0.33,1,0))))))))</f>
        <v/>
      </c>
      <c r="AB884">
        <f>IF(B884="","",IF(J884&lt;33.0,0,IF(J884&gt;=100*0.8,5,IF(J884&gt;=100*0.7,4,IF(J884&gt;=100*0.6,3.5,IF(J884&gt;=100*0.5,3,IF(J884&gt;=100*0.4,2,IF(J884&gt;=100*0.33,1,0))))))))</f>
        <v/>
      </c>
      <c r="AC884">
        <f>IF(B884="","",IF(K884&lt;33.0,0,IF(K884&gt;=100*0.8,5,IF(K884&gt;=100*0.7,4,IF(K884&gt;=100*0.6,3.5,IF(K884&gt;=100*0.5,3,IF(K884&gt;=100*0.4,2,IF(K884&gt;=100*0.33,1,0))))))))</f>
        <v/>
      </c>
      <c r="AD884">
        <f>IF(B884="","",IF(L884&lt;33.0,0,IF(L884&gt;=100*0.8,5,IF(L884&gt;=100*0.7,4,IF(L884&gt;=100*0.6,3.5,IF(L884&gt;=100*0.5,3,IF(L884&gt;=100*0.4,2,IF(L884&gt;=100*0.33,1,0))))))))</f>
        <v/>
      </c>
      <c r="AE884">
        <f>IF(B884="","",IF(M884&lt;33.0,0,IF(M884&gt;=100*0.8,5,IF(M884&gt;=100*0.7,4,IF(M884&gt;=100*0.6,3.5,IF(M884&gt;=100*0.5,3,IF(M884&gt;=100*0.4,2,IF(M884&gt;=100*0.33,1,0))))))))</f>
        <v/>
      </c>
      <c r="AF884">
        <f>IF(B884="","",IF(N884&lt;16.5,0,IF(N884&gt;=50*0.8,5,IF(N884&gt;=50*0.7,4,IF(N884&gt;=50*0.6,3.5,IF(N884&gt;=50*0.5,3,IF(N884&gt;=50*0.4,2,IF(N884&gt;=50*0.33,1,0))))))))</f>
        <v/>
      </c>
      <c r="AG884">
        <f>IF(B884="","",IF(O884&lt;33.0,0,IF(O884&gt;=100*0.8,5,IF(O884&gt;=100*0.7,4,IF(O884&gt;=100*0.6,3.5,IF(O884&gt;=100*0.5,3,IF(O884&gt;=100*0.4,2,IF(O884&gt;=100*0.33,1,0))))))))</f>
        <v/>
      </c>
      <c r="AH884">
        <f>IF(B884="","",IF(OR(U884=0,V884=0,W884=0,X884=0,Y884=0,Z884=0,AA884=0,AB884=0,AC884=0,AD884=0,AE884=0,AF884=0,AG884=0),1,0))</f>
        <v/>
      </c>
    </row>
    <row r="885">
      <c r="A885" s="3">
        <f>IF(B885="","",ROW()-2)</f>
        <v/>
      </c>
      <c r="P885" s="4">
        <f>IF(B885="","",SUM(C885:O885))</f>
        <v/>
      </c>
      <c r="Q885" s="5">
        <f>IF(B885="","",ROUND(P885/13,2))</f>
        <v/>
      </c>
      <c r="R885" s="5">
        <f>IF(B885="","",IF(AH885=1,0,MIN(5,ROUND((U885+V885+W885+X885+Y885+Z885+AA885+AB885+AC885+AD885+AE885+AF885+AG885)/13,2))))</f>
        <v/>
      </c>
      <c r="S885" s="3">
        <f>IF(B885="","",IF(R885&gt;=5,"A+",IF(R885&gt;=4,"A",IF(R885&gt;=3.5,"A-",IF(R885&gt;=3,"B",IF(R885&gt;=2,"C",IF(R885&gt;=1,"D","F")))))))</f>
        <v/>
      </c>
      <c r="T885" s="3">
        <f>IF(OR(B885="",S885="F"),"",COUNTIFS(P:P,"&gt;"&amp;P885,S:S,"&lt;&gt;F")+1)</f>
        <v/>
      </c>
      <c r="U885">
        <f>IF(B885="","",IF(C885&lt;33.0,0,IF(C885&gt;=100*0.8,5,IF(C885&gt;=100*0.7,4,IF(C885&gt;=100*0.6,3.5,IF(C885&gt;=100*0.5,3,IF(C885&gt;=100*0.4,2,IF(C885&gt;=100*0.33,1,0))))))))</f>
        <v/>
      </c>
      <c r="V885">
        <f>IF(B885="","",IF(D885&lt;33.0,0,IF(D885&gt;=100*0.8,5,IF(D885&gt;=100*0.7,4,IF(D885&gt;=100*0.6,3.5,IF(D885&gt;=100*0.5,3,IF(D885&gt;=100*0.4,2,IF(D885&gt;=100*0.33,1,0))))))))</f>
        <v/>
      </c>
      <c r="W885">
        <f>IF(B885="","",IF(E885&lt;16.5,0,IF(E885&gt;=50*0.8,5,IF(E885&gt;=50*0.7,4,IF(E885&gt;=50*0.6,3.5,IF(E885&gt;=50*0.5,3,IF(E885&gt;=50*0.4,2,IF(E885&gt;=50*0.33,1,0))))))))</f>
        <v/>
      </c>
      <c r="X885">
        <f>IF(B885="","",IF(F885&lt;33.0,0,IF(F885&gt;=100*0.8,5,IF(F885&gt;=100*0.7,4,IF(F885&gt;=100*0.6,3.5,IF(F885&gt;=100*0.5,3,IF(F885&gt;=100*0.4,2,IF(F885&gt;=100*0.33,1,0))))))))</f>
        <v/>
      </c>
      <c r="Y885">
        <f>IF(B885="","",IF(G885&lt;16.5,0,IF(G885&gt;=50*0.8,5,IF(G885&gt;=50*0.7,4,IF(G885&gt;=50*0.6,3.5,IF(G885&gt;=50*0.5,3,IF(G885&gt;=50*0.4,2,IF(G885&gt;=50*0.33,1,0))))))))</f>
        <v/>
      </c>
      <c r="Z885">
        <f>IF(B885="","",IF(H885&lt;33.0,0,IF(H885&gt;=100*0.8,5,IF(H885&gt;=100*0.7,4,IF(H885&gt;=100*0.6,3.5,IF(H885&gt;=100*0.5,3,IF(H885&gt;=100*0.4,2,IF(H885&gt;=100*0.33,1,0))))))))</f>
        <v/>
      </c>
      <c r="AA885">
        <f>IF(B885="","",IF(I885&lt;33.0,0,IF(I885&gt;=100*0.8,5,IF(I885&gt;=100*0.7,4,IF(I885&gt;=100*0.6,3.5,IF(I885&gt;=100*0.5,3,IF(I885&gt;=100*0.4,2,IF(I885&gt;=100*0.33,1,0))))))))</f>
        <v/>
      </c>
      <c r="AB885">
        <f>IF(B885="","",IF(J885&lt;33.0,0,IF(J885&gt;=100*0.8,5,IF(J885&gt;=100*0.7,4,IF(J885&gt;=100*0.6,3.5,IF(J885&gt;=100*0.5,3,IF(J885&gt;=100*0.4,2,IF(J885&gt;=100*0.33,1,0))))))))</f>
        <v/>
      </c>
      <c r="AC885">
        <f>IF(B885="","",IF(K885&lt;33.0,0,IF(K885&gt;=100*0.8,5,IF(K885&gt;=100*0.7,4,IF(K885&gt;=100*0.6,3.5,IF(K885&gt;=100*0.5,3,IF(K885&gt;=100*0.4,2,IF(K885&gt;=100*0.33,1,0))))))))</f>
        <v/>
      </c>
      <c r="AD885">
        <f>IF(B885="","",IF(L885&lt;33.0,0,IF(L885&gt;=100*0.8,5,IF(L885&gt;=100*0.7,4,IF(L885&gt;=100*0.6,3.5,IF(L885&gt;=100*0.5,3,IF(L885&gt;=100*0.4,2,IF(L885&gt;=100*0.33,1,0))))))))</f>
        <v/>
      </c>
      <c r="AE885">
        <f>IF(B885="","",IF(M885&lt;33.0,0,IF(M885&gt;=100*0.8,5,IF(M885&gt;=100*0.7,4,IF(M885&gt;=100*0.6,3.5,IF(M885&gt;=100*0.5,3,IF(M885&gt;=100*0.4,2,IF(M885&gt;=100*0.33,1,0))))))))</f>
        <v/>
      </c>
      <c r="AF885">
        <f>IF(B885="","",IF(N885&lt;16.5,0,IF(N885&gt;=50*0.8,5,IF(N885&gt;=50*0.7,4,IF(N885&gt;=50*0.6,3.5,IF(N885&gt;=50*0.5,3,IF(N885&gt;=50*0.4,2,IF(N885&gt;=50*0.33,1,0))))))))</f>
        <v/>
      </c>
      <c r="AG885">
        <f>IF(B885="","",IF(O885&lt;33.0,0,IF(O885&gt;=100*0.8,5,IF(O885&gt;=100*0.7,4,IF(O885&gt;=100*0.6,3.5,IF(O885&gt;=100*0.5,3,IF(O885&gt;=100*0.4,2,IF(O885&gt;=100*0.33,1,0))))))))</f>
        <v/>
      </c>
      <c r="AH885">
        <f>IF(B885="","",IF(OR(U885=0,V885=0,W885=0,X885=0,Y885=0,Z885=0,AA885=0,AB885=0,AC885=0,AD885=0,AE885=0,AF885=0,AG885=0),1,0))</f>
        <v/>
      </c>
    </row>
    <row r="886">
      <c r="A886" s="3">
        <f>IF(B886="","",ROW()-2)</f>
        <v/>
      </c>
      <c r="P886" s="4">
        <f>IF(B886="","",SUM(C886:O886))</f>
        <v/>
      </c>
      <c r="Q886" s="5">
        <f>IF(B886="","",ROUND(P886/13,2))</f>
        <v/>
      </c>
      <c r="R886" s="5">
        <f>IF(B886="","",IF(AH886=1,0,MIN(5,ROUND((U886+V886+W886+X886+Y886+Z886+AA886+AB886+AC886+AD886+AE886+AF886+AG886)/13,2))))</f>
        <v/>
      </c>
      <c r="S886" s="3">
        <f>IF(B886="","",IF(R886&gt;=5,"A+",IF(R886&gt;=4,"A",IF(R886&gt;=3.5,"A-",IF(R886&gt;=3,"B",IF(R886&gt;=2,"C",IF(R886&gt;=1,"D","F")))))))</f>
        <v/>
      </c>
      <c r="T886" s="3">
        <f>IF(OR(B886="",S886="F"),"",COUNTIFS(P:P,"&gt;"&amp;P886,S:S,"&lt;&gt;F")+1)</f>
        <v/>
      </c>
      <c r="U886">
        <f>IF(B886="","",IF(C886&lt;33.0,0,IF(C886&gt;=100*0.8,5,IF(C886&gt;=100*0.7,4,IF(C886&gt;=100*0.6,3.5,IF(C886&gt;=100*0.5,3,IF(C886&gt;=100*0.4,2,IF(C886&gt;=100*0.33,1,0))))))))</f>
        <v/>
      </c>
      <c r="V886">
        <f>IF(B886="","",IF(D886&lt;33.0,0,IF(D886&gt;=100*0.8,5,IF(D886&gt;=100*0.7,4,IF(D886&gt;=100*0.6,3.5,IF(D886&gt;=100*0.5,3,IF(D886&gt;=100*0.4,2,IF(D886&gt;=100*0.33,1,0))))))))</f>
        <v/>
      </c>
      <c r="W886">
        <f>IF(B886="","",IF(E886&lt;16.5,0,IF(E886&gt;=50*0.8,5,IF(E886&gt;=50*0.7,4,IF(E886&gt;=50*0.6,3.5,IF(E886&gt;=50*0.5,3,IF(E886&gt;=50*0.4,2,IF(E886&gt;=50*0.33,1,0))))))))</f>
        <v/>
      </c>
      <c r="X886">
        <f>IF(B886="","",IF(F886&lt;33.0,0,IF(F886&gt;=100*0.8,5,IF(F886&gt;=100*0.7,4,IF(F886&gt;=100*0.6,3.5,IF(F886&gt;=100*0.5,3,IF(F886&gt;=100*0.4,2,IF(F886&gt;=100*0.33,1,0))))))))</f>
        <v/>
      </c>
      <c r="Y886">
        <f>IF(B886="","",IF(G886&lt;16.5,0,IF(G886&gt;=50*0.8,5,IF(G886&gt;=50*0.7,4,IF(G886&gt;=50*0.6,3.5,IF(G886&gt;=50*0.5,3,IF(G886&gt;=50*0.4,2,IF(G886&gt;=50*0.33,1,0))))))))</f>
        <v/>
      </c>
      <c r="Z886">
        <f>IF(B886="","",IF(H886&lt;33.0,0,IF(H886&gt;=100*0.8,5,IF(H886&gt;=100*0.7,4,IF(H886&gt;=100*0.6,3.5,IF(H886&gt;=100*0.5,3,IF(H886&gt;=100*0.4,2,IF(H886&gt;=100*0.33,1,0))))))))</f>
        <v/>
      </c>
      <c r="AA886">
        <f>IF(B886="","",IF(I886&lt;33.0,0,IF(I886&gt;=100*0.8,5,IF(I886&gt;=100*0.7,4,IF(I886&gt;=100*0.6,3.5,IF(I886&gt;=100*0.5,3,IF(I886&gt;=100*0.4,2,IF(I886&gt;=100*0.33,1,0))))))))</f>
        <v/>
      </c>
      <c r="AB886">
        <f>IF(B886="","",IF(J886&lt;33.0,0,IF(J886&gt;=100*0.8,5,IF(J886&gt;=100*0.7,4,IF(J886&gt;=100*0.6,3.5,IF(J886&gt;=100*0.5,3,IF(J886&gt;=100*0.4,2,IF(J886&gt;=100*0.33,1,0))))))))</f>
        <v/>
      </c>
      <c r="AC886">
        <f>IF(B886="","",IF(K886&lt;33.0,0,IF(K886&gt;=100*0.8,5,IF(K886&gt;=100*0.7,4,IF(K886&gt;=100*0.6,3.5,IF(K886&gt;=100*0.5,3,IF(K886&gt;=100*0.4,2,IF(K886&gt;=100*0.33,1,0))))))))</f>
        <v/>
      </c>
      <c r="AD886">
        <f>IF(B886="","",IF(L886&lt;33.0,0,IF(L886&gt;=100*0.8,5,IF(L886&gt;=100*0.7,4,IF(L886&gt;=100*0.6,3.5,IF(L886&gt;=100*0.5,3,IF(L886&gt;=100*0.4,2,IF(L886&gt;=100*0.33,1,0))))))))</f>
        <v/>
      </c>
      <c r="AE886">
        <f>IF(B886="","",IF(M886&lt;33.0,0,IF(M886&gt;=100*0.8,5,IF(M886&gt;=100*0.7,4,IF(M886&gt;=100*0.6,3.5,IF(M886&gt;=100*0.5,3,IF(M886&gt;=100*0.4,2,IF(M886&gt;=100*0.33,1,0))))))))</f>
        <v/>
      </c>
      <c r="AF886">
        <f>IF(B886="","",IF(N886&lt;16.5,0,IF(N886&gt;=50*0.8,5,IF(N886&gt;=50*0.7,4,IF(N886&gt;=50*0.6,3.5,IF(N886&gt;=50*0.5,3,IF(N886&gt;=50*0.4,2,IF(N886&gt;=50*0.33,1,0))))))))</f>
        <v/>
      </c>
      <c r="AG886">
        <f>IF(B886="","",IF(O886&lt;33.0,0,IF(O886&gt;=100*0.8,5,IF(O886&gt;=100*0.7,4,IF(O886&gt;=100*0.6,3.5,IF(O886&gt;=100*0.5,3,IF(O886&gt;=100*0.4,2,IF(O886&gt;=100*0.33,1,0))))))))</f>
        <v/>
      </c>
      <c r="AH886">
        <f>IF(B886="","",IF(OR(U886=0,V886=0,W886=0,X886=0,Y886=0,Z886=0,AA886=0,AB886=0,AC886=0,AD886=0,AE886=0,AF886=0,AG886=0),1,0))</f>
        <v/>
      </c>
    </row>
    <row r="887">
      <c r="A887" s="3">
        <f>IF(B887="","",ROW()-2)</f>
        <v/>
      </c>
      <c r="P887" s="4">
        <f>IF(B887="","",SUM(C887:O887))</f>
        <v/>
      </c>
      <c r="Q887" s="5">
        <f>IF(B887="","",ROUND(P887/13,2))</f>
        <v/>
      </c>
      <c r="R887" s="5">
        <f>IF(B887="","",IF(AH887=1,0,MIN(5,ROUND((U887+V887+W887+X887+Y887+Z887+AA887+AB887+AC887+AD887+AE887+AF887+AG887)/13,2))))</f>
        <v/>
      </c>
      <c r="S887" s="3">
        <f>IF(B887="","",IF(R887&gt;=5,"A+",IF(R887&gt;=4,"A",IF(R887&gt;=3.5,"A-",IF(R887&gt;=3,"B",IF(R887&gt;=2,"C",IF(R887&gt;=1,"D","F")))))))</f>
        <v/>
      </c>
      <c r="T887" s="3">
        <f>IF(OR(B887="",S887="F"),"",COUNTIFS(P:P,"&gt;"&amp;P887,S:S,"&lt;&gt;F")+1)</f>
        <v/>
      </c>
      <c r="U887">
        <f>IF(B887="","",IF(C887&lt;33.0,0,IF(C887&gt;=100*0.8,5,IF(C887&gt;=100*0.7,4,IF(C887&gt;=100*0.6,3.5,IF(C887&gt;=100*0.5,3,IF(C887&gt;=100*0.4,2,IF(C887&gt;=100*0.33,1,0))))))))</f>
        <v/>
      </c>
      <c r="V887">
        <f>IF(B887="","",IF(D887&lt;33.0,0,IF(D887&gt;=100*0.8,5,IF(D887&gt;=100*0.7,4,IF(D887&gt;=100*0.6,3.5,IF(D887&gt;=100*0.5,3,IF(D887&gt;=100*0.4,2,IF(D887&gt;=100*0.33,1,0))))))))</f>
        <v/>
      </c>
      <c r="W887">
        <f>IF(B887="","",IF(E887&lt;16.5,0,IF(E887&gt;=50*0.8,5,IF(E887&gt;=50*0.7,4,IF(E887&gt;=50*0.6,3.5,IF(E887&gt;=50*0.5,3,IF(E887&gt;=50*0.4,2,IF(E887&gt;=50*0.33,1,0))))))))</f>
        <v/>
      </c>
      <c r="X887">
        <f>IF(B887="","",IF(F887&lt;33.0,0,IF(F887&gt;=100*0.8,5,IF(F887&gt;=100*0.7,4,IF(F887&gt;=100*0.6,3.5,IF(F887&gt;=100*0.5,3,IF(F887&gt;=100*0.4,2,IF(F887&gt;=100*0.33,1,0))))))))</f>
        <v/>
      </c>
      <c r="Y887">
        <f>IF(B887="","",IF(G887&lt;16.5,0,IF(G887&gt;=50*0.8,5,IF(G887&gt;=50*0.7,4,IF(G887&gt;=50*0.6,3.5,IF(G887&gt;=50*0.5,3,IF(G887&gt;=50*0.4,2,IF(G887&gt;=50*0.33,1,0))))))))</f>
        <v/>
      </c>
      <c r="Z887">
        <f>IF(B887="","",IF(H887&lt;33.0,0,IF(H887&gt;=100*0.8,5,IF(H887&gt;=100*0.7,4,IF(H887&gt;=100*0.6,3.5,IF(H887&gt;=100*0.5,3,IF(H887&gt;=100*0.4,2,IF(H887&gt;=100*0.33,1,0))))))))</f>
        <v/>
      </c>
      <c r="AA887">
        <f>IF(B887="","",IF(I887&lt;33.0,0,IF(I887&gt;=100*0.8,5,IF(I887&gt;=100*0.7,4,IF(I887&gt;=100*0.6,3.5,IF(I887&gt;=100*0.5,3,IF(I887&gt;=100*0.4,2,IF(I887&gt;=100*0.33,1,0))))))))</f>
        <v/>
      </c>
      <c r="AB887">
        <f>IF(B887="","",IF(J887&lt;33.0,0,IF(J887&gt;=100*0.8,5,IF(J887&gt;=100*0.7,4,IF(J887&gt;=100*0.6,3.5,IF(J887&gt;=100*0.5,3,IF(J887&gt;=100*0.4,2,IF(J887&gt;=100*0.33,1,0))))))))</f>
        <v/>
      </c>
      <c r="AC887">
        <f>IF(B887="","",IF(K887&lt;33.0,0,IF(K887&gt;=100*0.8,5,IF(K887&gt;=100*0.7,4,IF(K887&gt;=100*0.6,3.5,IF(K887&gt;=100*0.5,3,IF(K887&gt;=100*0.4,2,IF(K887&gt;=100*0.33,1,0))))))))</f>
        <v/>
      </c>
      <c r="AD887">
        <f>IF(B887="","",IF(L887&lt;33.0,0,IF(L887&gt;=100*0.8,5,IF(L887&gt;=100*0.7,4,IF(L887&gt;=100*0.6,3.5,IF(L887&gt;=100*0.5,3,IF(L887&gt;=100*0.4,2,IF(L887&gt;=100*0.33,1,0))))))))</f>
        <v/>
      </c>
      <c r="AE887">
        <f>IF(B887="","",IF(M887&lt;33.0,0,IF(M887&gt;=100*0.8,5,IF(M887&gt;=100*0.7,4,IF(M887&gt;=100*0.6,3.5,IF(M887&gt;=100*0.5,3,IF(M887&gt;=100*0.4,2,IF(M887&gt;=100*0.33,1,0))))))))</f>
        <v/>
      </c>
      <c r="AF887">
        <f>IF(B887="","",IF(N887&lt;16.5,0,IF(N887&gt;=50*0.8,5,IF(N887&gt;=50*0.7,4,IF(N887&gt;=50*0.6,3.5,IF(N887&gt;=50*0.5,3,IF(N887&gt;=50*0.4,2,IF(N887&gt;=50*0.33,1,0))))))))</f>
        <v/>
      </c>
      <c r="AG887">
        <f>IF(B887="","",IF(O887&lt;33.0,0,IF(O887&gt;=100*0.8,5,IF(O887&gt;=100*0.7,4,IF(O887&gt;=100*0.6,3.5,IF(O887&gt;=100*0.5,3,IF(O887&gt;=100*0.4,2,IF(O887&gt;=100*0.33,1,0))))))))</f>
        <v/>
      </c>
      <c r="AH887">
        <f>IF(B887="","",IF(OR(U887=0,V887=0,W887=0,X887=0,Y887=0,Z887=0,AA887=0,AB887=0,AC887=0,AD887=0,AE887=0,AF887=0,AG887=0),1,0))</f>
        <v/>
      </c>
    </row>
    <row r="888">
      <c r="A888" s="3">
        <f>IF(B888="","",ROW()-2)</f>
        <v/>
      </c>
      <c r="P888" s="4">
        <f>IF(B888="","",SUM(C888:O888))</f>
        <v/>
      </c>
      <c r="Q888" s="5">
        <f>IF(B888="","",ROUND(P888/13,2))</f>
        <v/>
      </c>
      <c r="R888" s="5">
        <f>IF(B888="","",IF(AH888=1,0,MIN(5,ROUND((U888+V888+W888+X888+Y888+Z888+AA888+AB888+AC888+AD888+AE888+AF888+AG888)/13,2))))</f>
        <v/>
      </c>
      <c r="S888" s="3">
        <f>IF(B888="","",IF(R888&gt;=5,"A+",IF(R888&gt;=4,"A",IF(R888&gt;=3.5,"A-",IF(R888&gt;=3,"B",IF(R888&gt;=2,"C",IF(R888&gt;=1,"D","F")))))))</f>
        <v/>
      </c>
      <c r="T888" s="3">
        <f>IF(OR(B888="",S888="F"),"",COUNTIFS(P:P,"&gt;"&amp;P888,S:S,"&lt;&gt;F")+1)</f>
        <v/>
      </c>
      <c r="U888">
        <f>IF(B888="","",IF(C888&lt;33.0,0,IF(C888&gt;=100*0.8,5,IF(C888&gt;=100*0.7,4,IF(C888&gt;=100*0.6,3.5,IF(C888&gt;=100*0.5,3,IF(C888&gt;=100*0.4,2,IF(C888&gt;=100*0.33,1,0))))))))</f>
        <v/>
      </c>
      <c r="V888">
        <f>IF(B888="","",IF(D888&lt;33.0,0,IF(D888&gt;=100*0.8,5,IF(D888&gt;=100*0.7,4,IF(D888&gt;=100*0.6,3.5,IF(D888&gt;=100*0.5,3,IF(D888&gt;=100*0.4,2,IF(D888&gt;=100*0.33,1,0))))))))</f>
        <v/>
      </c>
      <c r="W888">
        <f>IF(B888="","",IF(E888&lt;16.5,0,IF(E888&gt;=50*0.8,5,IF(E888&gt;=50*0.7,4,IF(E888&gt;=50*0.6,3.5,IF(E888&gt;=50*0.5,3,IF(E888&gt;=50*0.4,2,IF(E888&gt;=50*0.33,1,0))))))))</f>
        <v/>
      </c>
      <c r="X888">
        <f>IF(B888="","",IF(F888&lt;33.0,0,IF(F888&gt;=100*0.8,5,IF(F888&gt;=100*0.7,4,IF(F888&gt;=100*0.6,3.5,IF(F888&gt;=100*0.5,3,IF(F888&gt;=100*0.4,2,IF(F888&gt;=100*0.33,1,0))))))))</f>
        <v/>
      </c>
      <c r="Y888">
        <f>IF(B888="","",IF(G888&lt;16.5,0,IF(G888&gt;=50*0.8,5,IF(G888&gt;=50*0.7,4,IF(G888&gt;=50*0.6,3.5,IF(G888&gt;=50*0.5,3,IF(G888&gt;=50*0.4,2,IF(G888&gt;=50*0.33,1,0))))))))</f>
        <v/>
      </c>
      <c r="Z888">
        <f>IF(B888="","",IF(H888&lt;33.0,0,IF(H888&gt;=100*0.8,5,IF(H888&gt;=100*0.7,4,IF(H888&gt;=100*0.6,3.5,IF(H888&gt;=100*0.5,3,IF(H888&gt;=100*0.4,2,IF(H888&gt;=100*0.33,1,0))))))))</f>
        <v/>
      </c>
      <c r="AA888">
        <f>IF(B888="","",IF(I888&lt;33.0,0,IF(I888&gt;=100*0.8,5,IF(I888&gt;=100*0.7,4,IF(I888&gt;=100*0.6,3.5,IF(I888&gt;=100*0.5,3,IF(I888&gt;=100*0.4,2,IF(I888&gt;=100*0.33,1,0))))))))</f>
        <v/>
      </c>
      <c r="AB888">
        <f>IF(B888="","",IF(J888&lt;33.0,0,IF(J888&gt;=100*0.8,5,IF(J888&gt;=100*0.7,4,IF(J888&gt;=100*0.6,3.5,IF(J888&gt;=100*0.5,3,IF(J888&gt;=100*0.4,2,IF(J888&gt;=100*0.33,1,0))))))))</f>
        <v/>
      </c>
      <c r="AC888">
        <f>IF(B888="","",IF(K888&lt;33.0,0,IF(K888&gt;=100*0.8,5,IF(K888&gt;=100*0.7,4,IF(K888&gt;=100*0.6,3.5,IF(K888&gt;=100*0.5,3,IF(K888&gt;=100*0.4,2,IF(K888&gt;=100*0.33,1,0))))))))</f>
        <v/>
      </c>
      <c r="AD888">
        <f>IF(B888="","",IF(L888&lt;33.0,0,IF(L888&gt;=100*0.8,5,IF(L888&gt;=100*0.7,4,IF(L888&gt;=100*0.6,3.5,IF(L888&gt;=100*0.5,3,IF(L888&gt;=100*0.4,2,IF(L888&gt;=100*0.33,1,0))))))))</f>
        <v/>
      </c>
      <c r="AE888">
        <f>IF(B888="","",IF(M888&lt;33.0,0,IF(M888&gt;=100*0.8,5,IF(M888&gt;=100*0.7,4,IF(M888&gt;=100*0.6,3.5,IF(M888&gt;=100*0.5,3,IF(M888&gt;=100*0.4,2,IF(M888&gt;=100*0.33,1,0))))))))</f>
        <v/>
      </c>
      <c r="AF888">
        <f>IF(B888="","",IF(N888&lt;16.5,0,IF(N888&gt;=50*0.8,5,IF(N888&gt;=50*0.7,4,IF(N888&gt;=50*0.6,3.5,IF(N888&gt;=50*0.5,3,IF(N888&gt;=50*0.4,2,IF(N888&gt;=50*0.33,1,0))))))))</f>
        <v/>
      </c>
      <c r="AG888">
        <f>IF(B888="","",IF(O888&lt;33.0,0,IF(O888&gt;=100*0.8,5,IF(O888&gt;=100*0.7,4,IF(O888&gt;=100*0.6,3.5,IF(O888&gt;=100*0.5,3,IF(O888&gt;=100*0.4,2,IF(O888&gt;=100*0.33,1,0))))))))</f>
        <v/>
      </c>
      <c r="AH888">
        <f>IF(B888="","",IF(OR(U888=0,V888=0,W888=0,X888=0,Y888=0,Z888=0,AA888=0,AB888=0,AC888=0,AD888=0,AE888=0,AF888=0,AG888=0),1,0))</f>
        <v/>
      </c>
    </row>
    <row r="889">
      <c r="A889" s="3">
        <f>IF(B889="","",ROW()-2)</f>
        <v/>
      </c>
      <c r="P889" s="4">
        <f>IF(B889="","",SUM(C889:O889))</f>
        <v/>
      </c>
      <c r="Q889" s="5">
        <f>IF(B889="","",ROUND(P889/13,2))</f>
        <v/>
      </c>
      <c r="R889" s="5">
        <f>IF(B889="","",IF(AH889=1,0,MIN(5,ROUND((U889+V889+W889+X889+Y889+Z889+AA889+AB889+AC889+AD889+AE889+AF889+AG889)/13,2))))</f>
        <v/>
      </c>
      <c r="S889" s="3">
        <f>IF(B889="","",IF(R889&gt;=5,"A+",IF(R889&gt;=4,"A",IF(R889&gt;=3.5,"A-",IF(R889&gt;=3,"B",IF(R889&gt;=2,"C",IF(R889&gt;=1,"D","F")))))))</f>
        <v/>
      </c>
      <c r="T889" s="3">
        <f>IF(OR(B889="",S889="F"),"",COUNTIFS(P:P,"&gt;"&amp;P889,S:S,"&lt;&gt;F")+1)</f>
        <v/>
      </c>
      <c r="U889">
        <f>IF(B889="","",IF(C889&lt;33.0,0,IF(C889&gt;=100*0.8,5,IF(C889&gt;=100*0.7,4,IF(C889&gt;=100*0.6,3.5,IF(C889&gt;=100*0.5,3,IF(C889&gt;=100*0.4,2,IF(C889&gt;=100*0.33,1,0))))))))</f>
        <v/>
      </c>
      <c r="V889">
        <f>IF(B889="","",IF(D889&lt;33.0,0,IF(D889&gt;=100*0.8,5,IF(D889&gt;=100*0.7,4,IF(D889&gt;=100*0.6,3.5,IF(D889&gt;=100*0.5,3,IF(D889&gt;=100*0.4,2,IF(D889&gt;=100*0.33,1,0))))))))</f>
        <v/>
      </c>
      <c r="W889">
        <f>IF(B889="","",IF(E889&lt;16.5,0,IF(E889&gt;=50*0.8,5,IF(E889&gt;=50*0.7,4,IF(E889&gt;=50*0.6,3.5,IF(E889&gt;=50*0.5,3,IF(E889&gt;=50*0.4,2,IF(E889&gt;=50*0.33,1,0))))))))</f>
        <v/>
      </c>
      <c r="X889">
        <f>IF(B889="","",IF(F889&lt;33.0,0,IF(F889&gt;=100*0.8,5,IF(F889&gt;=100*0.7,4,IF(F889&gt;=100*0.6,3.5,IF(F889&gt;=100*0.5,3,IF(F889&gt;=100*0.4,2,IF(F889&gt;=100*0.33,1,0))))))))</f>
        <v/>
      </c>
      <c r="Y889">
        <f>IF(B889="","",IF(G889&lt;16.5,0,IF(G889&gt;=50*0.8,5,IF(G889&gt;=50*0.7,4,IF(G889&gt;=50*0.6,3.5,IF(G889&gt;=50*0.5,3,IF(G889&gt;=50*0.4,2,IF(G889&gt;=50*0.33,1,0))))))))</f>
        <v/>
      </c>
      <c r="Z889">
        <f>IF(B889="","",IF(H889&lt;33.0,0,IF(H889&gt;=100*0.8,5,IF(H889&gt;=100*0.7,4,IF(H889&gt;=100*0.6,3.5,IF(H889&gt;=100*0.5,3,IF(H889&gt;=100*0.4,2,IF(H889&gt;=100*0.33,1,0))))))))</f>
        <v/>
      </c>
      <c r="AA889">
        <f>IF(B889="","",IF(I889&lt;33.0,0,IF(I889&gt;=100*0.8,5,IF(I889&gt;=100*0.7,4,IF(I889&gt;=100*0.6,3.5,IF(I889&gt;=100*0.5,3,IF(I889&gt;=100*0.4,2,IF(I889&gt;=100*0.33,1,0))))))))</f>
        <v/>
      </c>
      <c r="AB889">
        <f>IF(B889="","",IF(J889&lt;33.0,0,IF(J889&gt;=100*0.8,5,IF(J889&gt;=100*0.7,4,IF(J889&gt;=100*0.6,3.5,IF(J889&gt;=100*0.5,3,IF(J889&gt;=100*0.4,2,IF(J889&gt;=100*0.33,1,0))))))))</f>
        <v/>
      </c>
      <c r="AC889">
        <f>IF(B889="","",IF(K889&lt;33.0,0,IF(K889&gt;=100*0.8,5,IF(K889&gt;=100*0.7,4,IF(K889&gt;=100*0.6,3.5,IF(K889&gt;=100*0.5,3,IF(K889&gt;=100*0.4,2,IF(K889&gt;=100*0.33,1,0))))))))</f>
        <v/>
      </c>
      <c r="AD889">
        <f>IF(B889="","",IF(L889&lt;33.0,0,IF(L889&gt;=100*0.8,5,IF(L889&gt;=100*0.7,4,IF(L889&gt;=100*0.6,3.5,IF(L889&gt;=100*0.5,3,IF(L889&gt;=100*0.4,2,IF(L889&gt;=100*0.33,1,0))))))))</f>
        <v/>
      </c>
      <c r="AE889">
        <f>IF(B889="","",IF(M889&lt;33.0,0,IF(M889&gt;=100*0.8,5,IF(M889&gt;=100*0.7,4,IF(M889&gt;=100*0.6,3.5,IF(M889&gt;=100*0.5,3,IF(M889&gt;=100*0.4,2,IF(M889&gt;=100*0.33,1,0))))))))</f>
        <v/>
      </c>
      <c r="AF889">
        <f>IF(B889="","",IF(N889&lt;16.5,0,IF(N889&gt;=50*0.8,5,IF(N889&gt;=50*0.7,4,IF(N889&gt;=50*0.6,3.5,IF(N889&gt;=50*0.5,3,IF(N889&gt;=50*0.4,2,IF(N889&gt;=50*0.33,1,0))))))))</f>
        <v/>
      </c>
      <c r="AG889">
        <f>IF(B889="","",IF(O889&lt;33.0,0,IF(O889&gt;=100*0.8,5,IF(O889&gt;=100*0.7,4,IF(O889&gt;=100*0.6,3.5,IF(O889&gt;=100*0.5,3,IF(O889&gt;=100*0.4,2,IF(O889&gt;=100*0.33,1,0))))))))</f>
        <v/>
      </c>
      <c r="AH889">
        <f>IF(B889="","",IF(OR(U889=0,V889=0,W889=0,X889=0,Y889=0,Z889=0,AA889=0,AB889=0,AC889=0,AD889=0,AE889=0,AF889=0,AG889=0),1,0))</f>
        <v/>
      </c>
    </row>
    <row r="890">
      <c r="A890" s="3">
        <f>IF(B890="","",ROW()-2)</f>
        <v/>
      </c>
      <c r="P890" s="4">
        <f>IF(B890="","",SUM(C890:O890))</f>
        <v/>
      </c>
      <c r="Q890" s="5">
        <f>IF(B890="","",ROUND(P890/13,2))</f>
        <v/>
      </c>
      <c r="R890" s="5">
        <f>IF(B890="","",IF(AH890=1,0,MIN(5,ROUND((U890+V890+W890+X890+Y890+Z890+AA890+AB890+AC890+AD890+AE890+AF890+AG890)/13,2))))</f>
        <v/>
      </c>
      <c r="S890" s="3">
        <f>IF(B890="","",IF(R890&gt;=5,"A+",IF(R890&gt;=4,"A",IF(R890&gt;=3.5,"A-",IF(R890&gt;=3,"B",IF(R890&gt;=2,"C",IF(R890&gt;=1,"D","F")))))))</f>
        <v/>
      </c>
      <c r="T890" s="3">
        <f>IF(OR(B890="",S890="F"),"",COUNTIFS(P:P,"&gt;"&amp;P890,S:S,"&lt;&gt;F")+1)</f>
        <v/>
      </c>
      <c r="U890">
        <f>IF(B890="","",IF(C890&lt;33.0,0,IF(C890&gt;=100*0.8,5,IF(C890&gt;=100*0.7,4,IF(C890&gt;=100*0.6,3.5,IF(C890&gt;=100*0.5,3,IF(C890&gt;=100*0.4,2,IF(C890&gt;=100*0.33,1,0))))))))</f>
        <v/>
      </c>
      <c r="V890">
        <f>IF(B890="","",IF(D890&lt;33.0,0,IF(D890&gt;=100*0.8,5,IF(D890&gt;=100*0.7,4,IF(D890&gt;=100*0.6,3.5,IF(D890&gt;=100*0.5,3,IF(D890&gt;=100*0.4,2,IF(D890&gt;=100*0.33,1,0))))))))</f>
        <v/>
      </c>
      <c r="W890">
        <f>IF(B890="","",IF(E890&lt;16.5,0,IF(E890&gt;=50*0.8,5,IF(E890&gt;=50*0.7,4,IF(E890&gt;=50*0.6,3.5,IF(E890&gt;=50*0.5,3,IF(E890&gt;=50*0.4,2,IF(E890&gt;=50*0.33,1,0))))))))</f>
        <v/>
      </c>
      <c r="X890">
        <f>IF(B890="","",IF(F890&lt;33.0,0,IF(F890&gt;=100*0.8,5,IF(F890&gt;=100*0.7,4,IF(F890&gt;=100*0.6,3.5,IF(F890&gt;=100*0.5,3,IF(F890&gt;=100*0.4,2,IF(F890&gt;=100*0.33,1,0))))))))</f>
        <v/>
      </c>
      <c r="Y890">
        <f>IF(B890="","",IF(G890&lt;16.5,0,IF(G890&gt;=50*0.8,5,IF(G890&gt;=50*0.7,4,IF(G890&gt;=50*0.6,3.5,IF(G890&gt;=50*0.5,3,IF(G890&gt;=50*0.4,2,IF(G890&gt;=50*0.33,1,0))))))))</f>
        <v/>
      </c>
      <c r="Z890">
        <f>IF(B890="","",IF(H890&lt;33.0,0,IF(H890&gt;=100*0.8,5,IF(H890&gt;=100*0.7,4,IF(H890&gt;=100*0.6,3.5,IF(H890&gt;=100*0.5,3,IF(H890&gt;=100*0.4,2,IF(H890&gt;=100*0.33,1,0))))))))</f>
        <v/>
      </c>
      <c r="AA890">
        <f>IF(B890="","",IF(I890&lt;33.0,0,IF(I890&gt;=100*0.8,5,IF(I890&gt;=100*0.7,4,IF(I890&gt;=100*0.6,3.5,IF(I890&gt;=100*0.5,3,IF(I890&gt;=100*0.4,2,IF(I890&gt;=100*0.33,1,0))))))))</f>
        <v/>
      </c>
      <c r="AB890">
        <f>IF(B890="","",IF(J890&lt;33.0,0,IF(J890&gt;=100*0.8,5,IF(J890&gt;=100*0.7,4,IF(J890&gt;=100*0.6,3.5,IF(J890&gt;=100*0.5,3,IF(J890&gt;=100*0.4,2,IF(J890&gt;=100*0.33,1,0))))))))</f>
        <v/>
      </c>
      <c r="AC890">
        <f>IF(B890="","",IF(K890&lt;33.0,0,IF(K890&gt;=100*0.8,5,IF(K890&gt;=100*0.7,4,IF(K890&gt;=100*0.6,3.5,IF(K890&gt;=100*0.5,3,IF(K890&gt;=100*0.4,2,IF(K890&gt;=100*0.33,1,0))))))))</f>
        <v/>
      </c>
      <c r="AD890">
        <f>IF(B890="","",IF(L890&lt;33.0,0,IF(L890&gt;=100*0.8,5,IF(L890&gt;=100*0.7,4,IF(L890&gt;=100*0.6,3.5,IF(L890&gt;=100*0.5,3,IF(L890&gt;=100*0.4,2,IF(L890&gt;=100*0.33,1,0))))))))</f>
        <v/>
      </c>
      <c r="AE890">
        <f>IF(B890="","",IF(M890&lt;33.0,0,IF(M890&gt;=100*0.8,5,IF(M890&gt;=100*0.7,4,IF(M890&gt;=100*0.6,3.5,IF(M890&gt;=100*0.5,3,IF(M890&gt;=100*0.4,2,IF(M890&gt;=100*0.33,1,0))))))))</f>
        <v/>
      </c>
      <c r="AF890">
        <f>IF(B890="","",IF(N890&lt;16.5,0,IF(N890&gt;=50*0.8,5,IF(N890&gt;=50*0.7,4,IF(N890&gt;=50*0.6,3.5,IF(N890&gt;=50*0.5,3,IF(N890&gt;=50*0.4,2,IF(N890&gt;=50*0.33,1,0))))))))</f>
        <v/>
      </c>
      <c r="AG890">
        <f>IF(B890="","",IF(O890&lt;33.0,0,IF(O890&gt;=100*0.8,5,IF(O890&gt;=100*0.7,4,IF(O890&gt;=100*0.6,3.5,IF(O890&gt;=100*0.5,3,IF(O890&gt;=100*0.4,2,IF(O890&gt;=100*0.33,1,0))))))))</f>
        <v/>
      </c>
      <c r="AH890">
        <f>IF(B890="","",IF(OR(U890=0,V890=0,W890=0,X890=0,Y890=0,Z890=0,AA890=0,AB890=0,AC890=0,AD890=0,AE890=0,AF890=0,AG890=0),1,0))</f>
        <v/>
      </c>
    </row>
    <row r="891">
      <c r="A891" s="3">
        <f>IF(B891="","",ROW()-2)</f>
        <v/>
      </c>
      <c r="P891" s="4">
        <f>IF(B891="","",SUM(C891:O891))</f>
        <v/>
      </c>
      <c r="Q891" s="5">
        <f>IF(B891="","",ROUND(P891/13,2))</f>
        <v/>
      </c>
      <c r="R891" s="5">
        <f>IF(B891="","",IF(AH891=1,0,MIN(5,ROUND((U891+V891+W891+X891+Y891+Z891+AA891+AB891+AC891+AD891+AE891+AF891+AG891)/13,2))))</f>
        <v/>
      </c>
      <c r="S891" s="3">
        <f>IF(B891="","",IF(R891&gt;=5,"A+",IF(R891&gt;=4,"A",IF(R891&gt;=3.5,"A-",IF(R891&gt;=3,"B",IF(R891&gt;=2,"C",IF(R891&gt;=1,"D","F")))))))</f>
        <v/>
      </c>
      <c r="T891" s="3">
        <f>IF(OR(B891="",S891="F"),"",COUNTIFS(P:P,"&gt;"&amp;P891,S:S,"&lt;&gt;F")+1)</f>
        <v/>
      </c>
      <c r="U891">
        <f>IF(B891="","",IF(C891&lt;33.0,0,IF(C891&gt;=100*0.8,5,IF(C891&gt;=100*0.7,4,IF(C891&gt;=100*0.6,3.5,IF(C891&gt;=100*0.5,3,IF(C891&gt;=100*0.4,2,IF(C891&gt;=100*0.33,1,0))))))))</f>
        <v/>
      </c>
      <c r="V891">
        <f>IF(B891="","",IF(D891&lt;33.0,0,IF(D891&gt;=100*0.8,5,IF(D891&gt;=100*0.7,4,IF(D891&gt;=100*0.6,3.5,IF(D891&gt;=100*0.5,3,IF(D891&gt;=100*0.4,2,IF(D891&gt;=100*0.33,1,0))))))))</f>
        <v/>
      </c>
      <c r="W891">
        <f>IF(B891="","",IF(E891&lt;16.5,0,IF(E891&gt;=50*0.8,5,IF(E891&gt;=50*0.7,4,IF(E891&gt;=50*0.6,3.5,IF(E891&gt;=50*0.5,3,IF(E891&gt;=50*0.4,2,IF(E891&gt;=50*0.33,1,0))))))))</f>
        <v/>
      </c>
      <c r="X891">
        <f>IF(B891="","",IF(F891&lt;33.0,0,IF(F891&gt;=100*0.8,5,IF(F891&gt;=100*0.7,4,IF(F891&gt;=100*0.6,3.5,IF(F891&gt;=100*0.5,3,IF(F891&gt;=100*0.4,2,IF(F891&gt;=100*0.33,1,0))))))))</f>
        <v/>
      </c>
      <c r="Y891">
        <f>IF(B891="","",IF(G891&lt;16.5,0,IF(G891&gt;=50*0.8,5,IF(G891&gt;=50*0.7,4,IF(G891&gt;=50*0.6,3.5,IF(G891&gt;=50*0.5,3,IF(G891&gt;=50*0.4,2,IF(G891&gt;=50*0.33,1,0))))))))</f>
        <v/>
      </c>
      <c r="Z891">
        <f>IF(B891="","",IF(H891&lt;33.0,0,IF(H891&gt;=100*0.8,5,IF(H891&gt;=100*0.7,4,IF(H891&gt;=100*0.6,3.5,IF(H891&gt;=100*0.5,3,IF(H891&gt;=100*0.4,2,IF(H891&gt;=100*0.33,1,0))))))))</f>
        <v/>
      </c>
      <c r="AA891">
        <f>IF(B891="","",IF(I891&lt;33.0,0,IF(I891&gt;=100*0.8,5,IF(I891&gt;=100*0.7,4,IF(I891&gt;=100*0.6,3.5,IF(I891&gt;=100*0.5,3,IF(I891&gt;=100*0.4,2,IF(I891&gt;=100*0.33,1,0))))))))</f>
        <v/>
      </c>
      <c r="AB891">
        <f>IF(B891="","",IF(J891&lt;33.0,0,IF(J891&gt;=100*0.8,5,IF(J891&gt;=100*0.7,4,IF(J891&gt;=100*0.6,3.5,IF(J891&gt;=100*0.5,3,IF(J891&gt;=100*0.4,2,IF(J891&gt;=100*0.33,1,0))))))))</f>
        <v/>
      </c>
      <c r="AC891">
        <f>IF(B891="","",IF(K891&lt;33.0,0,IF(K891&gt;=100*0.8,5,IF(K891&gt;=100*0.7,4,IF(K891&gt;=100*0.6,3.5,IF(K891&gt;=100*0.5,3,IF(K891&gt;=100*0.4,2,IF(K891&gt;=100*0.33,1,0))))))))</f>
        <v/>
      </c>
      <c r="AD891">
        <f>IF(B891="","",IF(L891&lt;33.0,0,IF(L891&gt;=100*0.8,5,IF(L891&gt;=100*0.7,4,IF(L891&gt;=100*0.6,3.5,IF(L891&gt;=100*0.5,3,IF(L891&gt;=100*0.4,2,IF(L891&gt;=100*0.33,1,0))))))))</f>
        <v/>
      </c>
      <c r="AE891">
        <f>IF(B891="","",IF(M891&lt;33.0,0,IF(M891&gt;=100*0.8,5,IF(M891&gt;=100*0.7,4,IF(M891&gt;=100*0.6,3.5,IF(M891&gt;=100*0.5,3,IF(M891&gt;=100*0.4,2,IF(M891&gt;=100*0.33,1,0))))))))</f>
        <v/>
      </c>
      <c r="AF891">
        <f>IF(B891="","",IF(N891&lt;16.5,0,IF(N891&gt;=50*0.8,5,IF(N891&gt;=50*0.7,4,IF(N891&gt;=50*0.6,3.5,IF(N891&gt;=50*0.5,3,IF(N891&gt;=50*0.4,2,IF(N891&gt;=50*0.33,1,0))))))))</f>
        <v/>
      </c>
      <c r="AG891">
        <f>IF(B891="","",IF(O891&lt;33.0,0,IF(O891&gt;=100*0.8,5,IF(O891&gt;=100*0.7,4,IF(O891&gt;=100*0.6,3.5,IF(O891&gt;=100*0.5,3,IF(O891&gt;=100*0.4,2,IF(O891&gt;=100*0.33,1,0))))))))</f>
        <v/>
      </c>
      <c r="AH891">
        <f>IF(B891="","",IF(OR(U891=0,V891=0,W891=0,X891=0,Y891=0,Z891=0,AA891=0,AB891=0,AC891=0,AD891=0,AE891=0,AF891=0,AG891=0),1,0))</f>
        <v/>
      </c>
    </row>
    <row r="892">
      <c r="A892" s="3">
        <f>IF(B892="","",ROW()-2)</f>
        <v/>
      </c>
      <c r="P892" s="4">
        <f>IF(B892="","",SUM(C892:O892))</f>
        <v/>
      </c>
      <c r="Q892" s="5">
        <f>IF(B892="","",ROUND(P892/13,2))</f>
        <v/>
      </c>
      <c r="R892" s="5">
        <f>IF(B892="","",IF(AH892=1,0,MIN(5,ROUND((U892+V892+W892+X892+Y892+Z892+AA892+AB892+AC892+AD892+AE892+AF892+AG892)/13,2))))</f>
        <v/>
      </c>
      <c r="S892" s="3">
        <f>IF(B892="","",IF(R892&gt;=5,"A+",IF(R892&gt;=4,"A",IF(R892&gt;=3.5,"A-",IF(R892&gt;=3,"B",IF(R892&gt;=2,"C",IF(R892&gt;=1,"D","F")))))))</f>
        <v/>
      </c>
      <c r="T892" s="3">
        <f>IF(OR(B892="",S892="F"),"",COUNTIFS(P:P,"&gt;"&amp;P892,S:S,"&lt;&gt;F")+1)</f>
        <v/>
      </c>
      <c r="U892">
        <f>IF(B892="","",IF(C892&lt;33.0,0,IF(C892&gt;=100*0.8,5,IF(C892&gt;=100*0.7,4,IF(C892&gt;=100*0.6,3.5,IF(C892&gt;=100*0.5,3,IF(C892&gt;=100*0.4,2,IF(C892&gt;=100*0.33,1,0))))))))</f>
        <v/>
      </c>
      <c r="V892">
        <f>IF(B892="","",IF(D892&lt;33.0,0,IF(D892&gt;=100*0.8,5,IF(D892&gt;=100*0.7,4,IF(D892&gt;=100*0.6,3.5,IF(D892&gt;=100*0.5,3,IF(D892&gt;=100*0.4,2,IF(D892&gt;=100*0.33,1,0))))))))</f>
        <v/>
      </c>
      <c r="W892">
        <f>IF(B892="","",IF(E892&lt;16.5,0,IF(E892&gt;=50*0.8,5,IF(E892&gt;=50*0.7,4,IF(E892&gt;=50*0.6,3.5,IF(E892&gt;=50*0.5,3,IF(E892&gt;=50*0.4,2,IF(E892&gt;=50*0.33,1,0))))))))</f>
        <v/>
      </c>
      <c r="X892">
        <f>IF(B892="","",IF(F892&lt;33.0,0,IF(F892&gt;=100*0.8,5,IF(F892&gt;=100*0.7,4,IF(F892&gt;=100*0.6,3.5,IF(F892&gt;=100*0.5,3,IF(F892&gt;=100*0.4,2,IF(F892&gt;=100*0.33,1,0))))))))</f>
        <v/>
      </c>
      <c r="Y892">
        <f>IF(B892="","",IF(G892&lt;16.5,0,IF(G892&gt;=50*0.8,5,IF(G892&gt;=50*0.7,4,IF(G892&gt;=50*0.6,3.5,IF(G892&gt;=50*0.5,3,IF(G892&gt;=50*0.4,2,IF(G892&gt;=50*0.33,1,0))))))))</f>
        <v/>
      </c>
      <c r="Z892">
        <f>IF(B892="","",IF(H892&lt;33.0,0,IF(H892&gt;=100*0.8,5,IF(H892&gt;=100*0.7,4,IF(H892&gt;=100*0.6,3.5,IF(H892&gt;=100*0.5,3,IF(H892&gt;=100*0.4,2,IF(H892&gt;=100*0.33,1,0))))))))</f>
        <v/>
      </c>
      <c r="AA892">
        <f>IF(B892="","",IF(I892&lt;33.0,0,IF(I892&gt;=100*0.8,5,IF(I892&gt;=100*0.7,4,IF(I892&gt;=100*0.6,3.5,IF(I892&gt;=100*0.5,3,IF(I892&gt;=100*0.4,2,IF(I892&gt;=100*0.33,1,0))))))))</f>
        <v/>
      </c>
      <c r="AB892">
        <f>IF(B892="","",IF(J892&lt;33.0,0,IF(J892&gt;=100*0.8,5,IF(J892&gt;=100*0.7,4,IF(J892&gt;=100*0.6,3.5,IF(J892&gt;=100*0.5,3,IF(J892&gt;=100*0.4,2,IF(J892&gt;=100*0.33,1,0))))))))</f>
        <v/>
      </c>
      <c r="AC892">
        <f>IF(B892="","",IF(K892&lt;33.0,0,IF(K892&gt;=100*0.8,5,IF(K892&gt;=100*0.7,4,IF(K892&gt;=100*0.6,3.5,IF(K892&gt;=100*0.5,3,IF(K892&gt;=100*0.4,2,IF(K892&gt;=100*0.33,1,0))))))))</f>
        <v/>
      </c>
      <c r="AD892">
        <f>IF(B892="","",IF(L892&lt;33.0,0,IF(L892&gt;=100*0.8,5,IF(L892&gt;=100*0.7,4,IF(L892&gt;=100*0.6,3.5,IF(L892&gt;=100*0.5,3,IF(L892&gt;=100*0.4,2,IF(L892&gt;=100*0.33,1,0))))))))</f>
        <v/>
      </c>
      <c r="AE892">
        <f>IF(B892="","",IF(M892&lt;33.0,0,IF(M892&gt;=100*0.8,5,IF(M892&gt;=100*0.7,4,IF(M892&gt;=100*0.6,3.5,IF(M892&gt;=100*0.5,3,IF(M892&gt;=100*0.4,2,IF(M892&gt;=100*0.33,1,0))))))))</f>
        <v/>
      </c>
      <c r="AF892">
        <f>IF(B892="","",IF(N892&lt;16.5,0,IF(N892&gt;=50*0.8,5,IF(N892&gt;=50*0.7,4,IF(N892&gt;=50*0.6,3.5,IF(N892&gt;=50*0.5,3,IF(N892&gt;=50*0.4,2,IF(N892&gt;=50*0.33,1,0))))))))</f>
        <v/>
      </c>
      <c r="AG892">
        <f>IF(B892="","",IF(O892&lt;33.0,0,IF(O892&gt;=100*0.8,5,IF(O892&gt;=100*0.7,4,IF(O892&gt;=100*0.6,3.5,IF(O892&gt;=100*0.5,3,IF(O892&gt;=100*0.4,2,IF(O892&gt;=100*0.33,1,0))))))))</f>
        <v/>
      </c>
      <c r="AH892">
        <f>IF(B892="","",IF(OR(U892=0,V892=0,W892=0,X892=0,Y892=0,Z892=0,AA892=0,AB892=0,AC892=0,AD892=0,AE892=0,AF892=0,AG892=0),1,0))</f>
        <v/>
      </c>
    </row>
    <row r="893">
      <c r="A893" s="3">
        <f>IF(B893="","",ROW()-2)</f>
        <v/>
      </c>
      <c r="P893" s="4">
        <f>IF(B893="","",SUM(C893:O893))</f>
        <v/>
      </c>
      <c r="Q893" s="5">
        <f>IF(B893="","",ROUND(P893/13,2))</f>
        <v/>
      </c>
      <c r="R893" s="5">
        <f>IF(B893="","",IF(AH893=1,0,MIN(5,ROUND((U893+V893+W893+X893+Y893+Z893+AA893+AB893+AC893+AD893+AE893+AF893+AG893)/13,2))))</f>
        <v/>
      </c>
      <c r="S893" s="3">
        <f>IF(B893="","",IF(R893&gt;=5,"A+",IF(R893&gt;=4,"A",IF(R893&gt;=3.5,"A-",IF(R893&gt;=3,"B",IF(R893&gt;=2,"C",IF(R893&gt;=1,"D","F")))))))</f>
        <v/>
      </c>
      <c r="T893" s="3">
        <f>IF(OR(B893="",S893="F"),"",COUNTIFS(P:P,"&gt;"&amp;P893,S:S,"&lt;&gt;F")+1)</f>
        <v/>
      </c>
      <c r="U893">
        <f>IF(B893="","",IF(C893&lt;33.0,0,IF(C893&gt;=100*0.8,5,IF(C893&gt;=100*0.7,4,IF(C893&gt;=100*0.6,3.5,IF(C893&gt;=100*0.5,3,IF(C893&gt;=100*0.4,2,IF(C893&gt;=100*0.33,1,0))))))))</f>
        <v/>
      </c>
      <c r="V893">
        <f>IF(B893="","",IF(D893&lt;33.0,0,IF(D893&gt;=100*0.8,5,IF(D893&gt;=100*0.7,4,IF(D893&gt;=100*0.6,3.5,IF(D893&gt;=100*0.5,3,IF(D893&gt;=100*0.4,2,IF(D893&gt;=100*0.33,1,0))))))))</f>
        <v/>
      </c>
      <c r="W893">
        <f>IF(B893="","",IF(E893&lt;16.5,0,IF(E893&gt;=50*0.8,5,IF(E893&gt;=50*0.7,4,IF(E893&gt;=50*0.6,3.5,IF(E893&gt;=50*0.5,3,IF(E893&gt;=50*0.4,2,IF(E893&gt;=50*0.33,1,0))))))))</f>
        <v/>
      </c>
      <c r="X893">
        <f>IF(B893="","",IF(F893&lt;33.0,0,IF(F893&gt;=100*0.8,5,IF(F893&gt;=100*0.7,4,IF(F893&gt;=100*0.6,3.5,IF(F893&gt;=100*0.5,3,IF(F893&gt;=100*0.4,2,IF(F893&gt;=100*0.33,1,0))))))))</f>
        <v/>
      </c>
      <c r="Y893">
        <f>IF(B893="","",IF(G893&lt;16.5,0,IF(G893&gt;=50*0.8,5,IF(G893&gt;=50*0.7,4,IF(G893&gt;=50*0.6,3.5,IF(G893&gt;=50*0.5,3,IF(G893&gt;=50*0.4,2,IF(G893&gt;=50*0.33,1,0))))))))</f>
        <v/>
      </c>
      <c r="Z893">
        <f>IF(B893="","",IF(H893&lt;33.0,0,IF(H893&gt;=100*0.8,5,IF(H893&gt;=100*0.7,4,IF(H893&gt;=100*0.6,3.5,IF(H893&gt;=100*0.5,3,IF(H893&gt;=100*0.4,2,IF(H893&gt;=100*0.33,1,0))))))))</f>
        <v/>
      </c>
      <c r="AA893">
        <f>IF(B893="","",IF(I893&lt;33.0,0,IF(I893&gt;=100*0.8,5,IF(I893&gt;=100*0.7,4,IF(I893&gt;=100*0.6,3.5,IF(I893&gt;=100*0.5,3,IF(I893&gt;=100*0.4,2,IF(I893&gt;=100*0.33,1,0))))))))</f>
        <v/>
      </c>
      <c r="AB893">
        <f>IF(B893="","",IF(J893&lt;33.0,0,IF(J893&gt;=100*0.8,5,IF(J893&gt;=100*0.7,4,IF(J893&gt;=100*0.6,3.5,IF(J893&gt;=100*0.5,3,IF(J893&gt;=100*0.4,2,IF(J893&gt;=100*0.33,1,0))))))))</f>
        <v/>
      </c>
      <c r="AC893">
        <f>IF(B893="","",IF(K893&lt;33.0,0,IF(K893&gt;=100*0.8,5,IF(K893&gt;=100*0.7,4,IF(K893&gt;=100*0.6,3.5,IF(K893&gt;=100*0.5,3,IF(K893&gt;=100*0.4,2,IF(K893&gt;=100*0.33,1,0))))))))</f>
        <v/>
      </c>
      <c r="AD893">
        <f>IF(B893="","",IF(L893&lt;33.0,0,IF(L893&gt;=100*0.8,5,IF(L893&gt;=100*0.7,4,IF(L893&gt;=100*0.6,3.5,IF(L893&gt;=100*0.5,3,IF(L893&gt;=100*0.4,2,IF(L893&gt;=100*0.33,1,0))))))))</f>
        <v/>
      </c>
      <c r="AE893">
        <f>IF(B893="","",IF(M893&lt;33.0,0,IF(M893&gt;=100*0.8,5,IF(M893&gt;=100*0.7,4,IF(M893&gt;=100*0.6,3.5,IF(M893&gt;=100*0.5,3,IF(M893&gt;=100*0.4,2,IF(M893&gt;=100*0.33,1,0))))))))</f>
        <v/>
      </c>
      <c r="AF893">
        <f>IF(B893="","",IF(N893&lt;16.5,0,IF(N893&gt;=50*0.8,5,IF(N893&gt;=50*0.7,4,IF(N893&gt;=50*0.6,3.5,IF(N893&gt;=50*0.5,3,IF(N893&gt;=50*0.4,2,IF(N893&gt;=50*0.33,1,0))))))))</f>
        <v/>
      </c>
      <c r="AG893">
        <f>IF(B893="","",IF(O893&lt;33.0,0,IF(O893&gt;=100*0.8,5,IF(O893&gt;=100*0.7,4,IF(O893&gt;=100*0.6,3.5,IF(O893&gt;=100*0.5,3,IF(O893&gt;=100*0.4,2,IF(O893&gt;=100*0.33,1,0))))))))</f>
        <v/>
      </c>
      <c r="AH893">
        <f>IF(B893="","",IF(OR(U893=0,V893=0,W893=0,X893=0,Y893=0,Z893=0,AA893=0,AB893=0,AC893=0,AD893=0,AE893=0,AF893=0,AG893=0),1,0))</f>
        <v/>
      </c>
    </row>
    <row r="894">
      <c r="A894" s="3">
        <f>IF(B894="","",ROW()-2)</f>
        <v/>
      </c>
      <c r="P894" s="4">
        <f>IF(B894="","",SUM(C894:O894))</f>
        <v/>
      </c>
      <c r="Q894" s="5">
        <f>IF(B894="","",ROUND(P894/13,2))</f>
        <v/>
      </c>
      <c r="R894" s="5">
        <f>IF(B894="","",IF(AH894=1,0,MIN(5,ROUND((U894+V894+W894+X894+Y894+Z894+AA894+AB894+AC894+AD894+AE894+AF894+AG894)/13,2))))</f>
        <v/>
      </c>
      <c r="S894" s="3">
        <f>IF(B894="","",IF(R894&gt;=5,"A+",IF(R894&gt;=4,"A",IF(R894&gt;=3.5,"A-",IF(R894&gt;=3,"B",IF(R894&gt;=2,"C",IF(R894&gt;=1,"D","F")))))))</f>
        <v/>
      </c>
      <c r="T894" s="3">
        <f>IF(OR(B894="",S894="F"),"",COUNTIFS(P:P,"&gt;"&amp;P894,S:S,"&lt;&gt;F")+1)</f>
        <v/>
      </c>
      <c r="U894">
        <f>IF(B894="","",IF(C894&lt;33.0,0,IF(C894&gt;=100*0.8,5,IF(C894&gt;=100*0.7,4,IF(C894&gt;=100*0.6,3.5,IF(C894&gt;=100*0.5,3,IF(C894&gt;=100*0.4,2,IF(C894&gt;=100*0.33,1,0))))))))</f>
        <v/>
      </c>
      <c r="V894">
        <f>IF(B894="","",IF(D894&lt;33.0,0,IF(D894&gt;=100*0.8,5,IF(D894&gt;=100*0.7,4,IF(D894&gt;=100*0.6,3.5,IF(D894&gt;=100*0.5,3,IF(D894&gt;=100*0.4,2,IF(D894&gt;=100*0.33,1,0))))))))</f>
        <v/>
      </c>
      <c r="W894">
        <f>IF(B894="","",IF(E894&lt;16.5,0,IF(E894&gt;=50*0.8,5,IF(E894&gt;=50*0.7,4,IF(E894&gt;=50*0.6,3.5,IF(E894&gt;=50*0.5,3,IF(E894&gt;=50*0.4,2,IF(E894&gt;=50*0.33,1,0))))))))</f>
        <v/>
      </c>
      <c r="X894">
        <f>IF(B894="","",IF(F894&lt;33.0,0,IF(F894&gt;=100*0.8,5,IF(F894&gt;=100*0.7,4,IF(F894&gt;=100*0.6,3.5,IF(F894&gt;=100*0.5,3,IF(F894&gt;=100*0.4,2,IF(F894&gt;=100*0.33,1,0))))))))</f>
        <v/>
      </c>
      <c r="Y894">
        <f>IF(B894="","",IF(G894&lt;16.5,0,IF(G894&gt;=50*0.8,5,IF(G894&gt;=50*0.7,4,IF(G894&gt;=50*0.6,3.5,IF(G894&gt;=50*0.5,3,IF(G894&gt;=50*0.4,2,IF(G894&gt;=50*0.33,1,0))))))))</f>
        <v/>
      </c>
      <c r="Z894">
        <f>IF(B894="","",IF(H894&lt;33.0,0,IF(H894&gt;=100*0.8,5,IF(H894&gt;=100*0.7,4,IF(H894&gt;=100*0.6,3.5,IF(H894&gt;=100*0.5,3,IF(H894&gt;=100*0.4,2,IF(H894&gt;=100*0.33,1,0))))))))</f>
        <v/>
      </c>
      <c r="AA894">
        <f>IF(B894="","",IF(I894&lt;33.0,0,IF(I894&gt;=100*0.8,5,IF(I894&gt;=100*0.7,4,IF(I894&gt;=100*0.6,3.5,IF(I894&gt;=100*0.5,3,IF(I894&gt;=100*0.4,2,IF(I894&gt;=100*0.33,1,0))))))))</f>
        <v/>
      </c>
      <c r="AB894">
        <f>IF(B894="","",IF(J894&lt;33.0,0,IF(J894&gt;=100*0.8,5,IF(J894&gt;=100*0.7,4,IF(J894&gt;=100*0.6,3.5,IF(J894&gt;=100*0.5,3,IF(J894&gt;=100*0.4,2,IF(J894&gt;=100*0.33,1,0))))))))</f>
        <v/>
      </c>
      <c r="AC894">
        <f>IF(B894="","",IF(K894&lt;33.0,0,IF(K894&gt;=100*0.8,5,IF(K894&gt;=100*0.7,4,IF(K894&gt;=100*0.6,3.5,IF(K894&gt;=100*0.5,3,IF(K894&gt;=100*0.4,2,IF(K894&gt;=100*0.33,1,0))))))))</f>
        <v/>
      </c>
      <c r="AD894">
        <f>IF(B894="","",IF(L894&lt;33.0,0,IF(L894&gt;=100*0.8,5,IF(L894&gt;=100*0.7,4,IF(L894&gt;=100*0.6,3.5,IF(L894&gt;=100*0.5,3,IF(L894&gt;=100*0.4,2,IF(L894&gt;=100*0.33,1,0))))))))</f>
        <v/>
      </c>
      <c r="AE894">
        <f>IF(B894="","",IF(M894&lt;33.0,0,IF(M894&gt;=100*0.8,5,IF(M894&gt;=100*0.7,4,IF(M894&gt;=100*0.6,3.5,IF(M894&gt;=100*0.5,3,IF(M894&gt;=100*0.4,2,IF(M894&gt;=100*0.33,1,0))))))))</f>
        <v/>
      </c>
      <c r="AF894">
        <f>IF(B894="","",IF(N894&lt;16.5,0,IF(N894&gt;=50*0.8,5,IF(N894&gt;=50*0.7,4,IF(N894&gt;=50*0.6,3.5,IF(N894&gt;=50*0.5,3,IF(N894&gt;=50*0.4,2,IF(N894&gt;=50*0.33,1,0))))))))</f>
        <v/>
      </c>
      <c r="AG894">
        <f>IF(B894="","",IF(O894&lt;33.0,0,IF(O894&gt;=100*0.8,5,IF(O894&gt;=100*0.7,4,IF(O894&gt;=100*0.6,3.5,IF(O894&gt;=100*0.5,3,IF(O894&gt;=100*0.4,2,IF(O894&gt;=100*0.33,1,0))))))))</f>
        <v/>
      </c>
      <c r="AH894">
        <f>IF(B894="","",IF(OR(U894=0,V894=0,W894=0,X894=0,Y894=0,Z894=0,AA894=0,AB894=0,AC894=0,AD894=0,AE894=0,AF894=0,AG894=0),1,0))</f>
        <v/>
      </c>
    </row>
    <row r="895">
      <c r="A895" s="3">
        <f>IF(B895="","",ROW()-2)</f>
        <v/>
      </c>
      <c r="P895" s="4">
        <f>IF(B895="","",SUM(C895:O895))</f>
        <v/>
      </c>
      <c r="Q895" s="5">
        <f>IF(B895="","",ROUND(P895/13,2))</f>
        <v/>
      </c>
      <c r="R895" s="5">
        <f>IF(B895="","",IF(AH895=1,0,MIN(5,ROUND((U895+V895+W895+X895+Y895+Z895+AA895+AB895+AC895+AD895+AE895+AF895+AG895)/13,2))))</f>
        <v/>
      </c>
      <c r="S895" s="3">
        <f>IF(B895="","",IF(R895&gt;=5,"A+",IF(R895&gt;=4,"A",IF(R895&gt;=3.5,"A-",IF(R895&gt;=3,"B",IF(R895&gt;=2,"C",IF(R895&gt;=1,"D","F")))))))</f>
        <v/>
      </c>
      <c r="T895" s="3">
        <f>IF(OR(B895="",S895="F"),"",COUNTIFS(P:P,"&gt;"&amp;P895,S:S,"&lt;&gt;F")+1)</f>
        <v/>
      </c>
      <c r="U895">
        <f>IF(B895="","",IF(C895&lt;33.0,0,IF(C895&gt;=100*0.8,5,IF(C895&gt;=100*0.7,4,IF(C895&gt;=100*0.6,3.5,IF(C895&gt;=100*0.5,3,IF(C895&gt;=100*0.4,2,IF(C895&gt;=100*0.33,1,0))))))))</f>
        <v/>
      </c>
      <c r="V895">
        <f>IF(B895="","",IF(D895&lt;33.0,0,IF(D895&gt;=100*0.8,5,IF(D895&gt;=100*0.7,4,IF(D895&gt;=100*0.6,3.5,IF(D895&gt;=100*0.5,3,IF(D895&gt;=100*0.4,2,IF(D895&gt;=100*0.33,1,0))))))))</f>
        <v/>
      </c>
      <c r="W895">
        <f>IF(B895="","",IF(E895&lt;16.5,0,IF(E895&gt;=50*0.8,5,IF(E895&gt;=50*0.7,4,IF(E895&gt;=50*0.6,3.5,IF(E895&gt;=50*0.5,3,IF(E895&gt;=50*0.4,2,IF(E895&gt;=50*0.33,1,0))))))))</f>
        <v/>
      </c>
      <c r="X895">
        <f>IF(B895="","",IF(F895&lt;33.0,0,IF(F895&gt;=100*0.8,5,IF(F895&gt;=100*0.7,4,IF(F895&gt;=100*0.6,3.5,IF(F895&gt;=100*0.5,3,IF(F895&gt;=100*0.4,2,IF(F895&gt;=100*0.33,1,0))))))))</f>
        <v/>
      </c>
      <c r="Y895">
        <f>IF(B895="","",IF(G895&lt;16.5,0,IF(G895&gt;=50*0.8,5,IF(G895&gt;=50*0.7,4,IF(G895&gt;=50*0.6,3.5,IF(G895&gt;=50*0.5,3,IF(G895&gt;=50*0.4,2,IF(G895&gt;=50*0.33,1,0))))))))</f>
        <v/>
      </c>
      <c r="Z895">
        <f>IF(B895="","",IF(H895&lt;33.0,0,IF(H895&gt;=100*0.8,5,IF(H895&gt;=100*0.7,4,IF(H895&gt;=100*0.6,3.5,IF(H895&gt;=100*0.5,3,IF(H895&gt;=100*0.4,2,IF(H895&gt;=100*0.33,1,0))))))))</f>
        <v/>
      </c>
      <c r="AA895">
        <f>IF(B895="","",IF(I895&lt;33.0,0,IF(I895&gt;=100*0.8,5,IF(I895&gt;=100*0.7,4,IF(I895&gt;=100*0.6,3.5,IF(I895&gt;=100*0.5,3,IF(I895&gt;=100*0.4,2,IF(I895&gt;=100*0.33,1,0))))))))</f>
        <v/>
      </c>
      <c r="AB895">
        <f>IF(B895="","",IF(J895&lt;33.0,0,IF(J895&gt;=100*0.8,5,IF(J895&gt;=100*0.7,4,IF(J895&gt;=100*0.6,3.5,IF(J895&gt;=100*0.5,3,IF(J895&gt;=100*0.4,2,IF(J895&gt;=100*0.33,1,0))))))))</f>
        <v/>
      </c>
      <c r="AC895">
        <f>IF(B895="","",IF(K895&lt;33.0,0,IF(K895&gt;=100*0.8,5,IF(K895&gt;=100*0.7,4,IF(K895&gt;=100*0.6,3.5,IF(K895&gt;=100*0.5,3,IF(K895&gt;=100*0.4,2,IF(K895&gt;=100*0.33,1,0))))))))</f>
        <v/>
      </c>
      <c r="AD895">
        <f>IF(B895="","",IF(L895&lt;33.0,0,IF(L895&gt;=100*0.8,5,IF(L895&gt;=100*0.7,4,IF(L895&gt;=100*0.6,3.5,IF(L895&gt;=100*0.5,3,IF(L895&gt;=100*0.4,2,IF(L895&gt;=100*0.33,1,0))))))))</f>
        <v/>
      </c>
      <c r="AE895">
        <f>IF(B895="","",IF(M895&lt;33.0,0,IF(M895&gt;=100*0.8,5,IF(M895&gt;=100*0.7,4,IF(M895&gt;=100*0.6,3.5,IF(M895&gt;=100*0.5,3,IF(M895&gt;=100*0.4,2,IF(M895&gt;=100*0.33,1,0))))))))</f>
        <v/>
      </c>
      <c r="AF895">
        <f>IF(B895="","",IF(N895&lt;16.5,0,IF(N895&gt;=50*0.8,5,IF(N895&gt;=50*0.7,4,IF(N895&gt;=50*0.6,3.5,IF(N895&gt;=50*0.5,3,IF(N895&gt;=50*0.4,2,IF(N895&gt;=50*0.33,1,0))))))))</f>
        <v/>
      </c>
      <c r="AG895">
        <f>IF(B895="","",IF(O895&lt;33.0,0,IF(O895&gt;=100*0.8,5,IF(O895&gt;=100*0.7,4,IF(O895&gt;=100*0.6,3.5,IF(O895&gt;=100*0.5,3,IF(O895&gt;=100*0.4,2,IF(O895&gt;=100*0.33,1,0))))))))</f>
        <v/>
      </c>
      <c r="AH895">
        <f>IF(B895="","",IF(OR(U895=0,V895=0,W895=0,X895=0,Y895=0,Z895=0,AA895=0,AB895=0,AC895=0,AD895=0,AE895=0,AF895=0,AG895=0),1,0))</f>
        <v/>
      </c>
    </row>
    <row r="896">
      <c r="A896" s="3">
        <f>IF(B896="","",ROW()-2)</f>
        <v/>
      </c>
      <c r="P896" s="4">
        <f>IF(B896="","",SUM(C896:O896))</f>
        <v/>
      </c>
      <c r="Q896" s="5">
        <f>IF(B896="","",ROUND(P896/13,2))</f>
        <v/>
      </c>
      <c r="R896" s="5">
        <f>IF(B896="","",IF(AH896=1,0,MIN(5,ROUND((U896+V896+W896+X896+Y896+Z896+AA896+AB896+AC896+AD896+AE896+AF896+AG896)/13,2))))</f>
        <v/>
      </c>
      <c r="S896" s="3">
        <f>IF(B896="","",IF(R896&gt;=5,"A+",IF(R896&gt;=4,"A",IF(R896&gt;=3.5,"A-",IF(R896&gt;=3,"B",IF(R896&gt;=2,"C",IF(R896&gt;=1,"D","F")))))))</f>
        <v/>
      </c>
      <c r="T896" s="3">
        <f>IF(OR(B896="",S896="F"),"",COUNTIFS(P:P,"&gt;"&amp;P896,S:S,"&lt;&gt;F")+1)</f>
        <v/>
      </c>
      <c r="U896">
        <f>IF(B896="","",IF(C896&lt;33.0,0,IF(C896&gt;=100*0.8,5,IF(C896&gt;=100*0.7,4,IF(C896&gt;=100*0.6,3.5,IF(C896&gt;=100*0.5,3,IF(C896&gt;=100*0.4,2,IF(C896&gt;=100*0.33,1,0))))))))</f>
        <v/>
      </c>
      <c r="V896">
        <f>IF(B896="","",IF(D896&lt;33.0,0,IF(D896&gt;=100*0.8,5,IF(D896&gt;=100*0.7,4,IF(D896&gt;=100*0.6,3.5,IF(D896&gt;=100*0.5,3,IF(D896&gt;=100*0.4,2,IF(D896&gt;=100*0.33,1,0))))))))</f>
        <v/>
      </c>
      <c r="W896">
        <f>IF(B896="","",IF(E896&lt;16.5,0,IF(E896&gt;=50*0.8,5,IF(E896&gt;=50*0.7,4,IF(E896&gt;=50*0.6,3.5,IF(E896&gt;=50*0.5,3,IF(E896&gt;=50*0.4,2,IF(E896&gt;=50*0.33,1,0))))))))</f>
        <v/>
      </c>
      <c r="X896">
        <f>IF(B896="","",IF(F896&lt;33.0,0,IF(F896&gt;=100*0.8,5,IF(F896&gt;=100*0.7,4,IF(F896&gt;=100*0.6,3.5,IF(F896&gt;=100*0.5,3,IF(F896&gt;=100*0.4,2,IF(F896&gt;=100*0.33,1,0))))))))</f>
        <v/>
      </c>
      <c r="Y896">
        <f>IF(B896="","",IF(G896&lt;16.5,0,IF(G896&gt;=50*0.8,5,IF(G896&gt;=50*0.7,4,IF(G896&gt;=50*0.6,3.5,IF(G896&gt;=50*0.5,3,IF(G896&gt;=50*0.4,2,IF(G896&gt;=50*0.33,1,0))))))))</f>
        <v/>
      </c>
      <c r="Z896">
        <f>IF(B896="","",IF(H896&lt;33.0,0,IF(H896&gt;=100*0.8,5,IF(H896&gt;=100*0.7,4,IF(H896&gt;=100*0.6,3.5,IF(H896&gt;=100*0.5,3,IF(H896&gt;=100*0.4,2,IF(H896&gt;=100*0.33,1,0))))))))</f>
        <v/>
      </c>
      <c r="AA896">
        <f>IF(B896="","",IF(I896&lt;33.0,0,IF(I896&gt;=100*0.8,5,IF(I896&gt;=100*0.7,4,IF(I896&gt;=100*0.6,3.5,IF(I896&gt;=100*0.5,3,IF(I896&gt;=100*0.4,2,IF(I896&gt;=100*0.33,1,0))))))))</f>
        <v/>
      </c>
      <c r="AB896">
        <f>IF(B896="","",IF(J896&lt;33.0,0,IF(J896&gt;=100*0.8,5,IF(J896&gt;=100*0.7,4,IF(J896&gt;=100*0.6,3.5,IF(J896&gt;=100*0.5,3,IF(J896&gt;=100*0.4,2,IF(J896&gt;=100*0.33,1,0))))))))</f>
        <v/>
      </c>
      <c r="AC896">
        <f>IF(B896="","",IF(K896&lt;33.0,0,IF(K896&gt;=100*0.8,5,IF(K896&gt;=100*0.7,4,IF(K896&gt;=100*0.6,3.5,IF(K896&gt;=100*0.5,3,IF(K896&gt;=100*0.4,2,IF(K896&gt;=100*0.33,1,0))))))))</f>
        <v/>
      </c>
      <c r="AD896">
        <f>IF(B896="","",IF(L896&lt;33.0,0,IF(L896&gt;=100*0.8,5,IF(L896&gt;=100*0.7,4,IF(L896&gt;=100*0.6,3.5,IF(L896&gt;=100*0.5,3,IF(L896&gt;=100*0.4,2,IF(L896&gt;=100*0.33,1,0))))))))</f>
        <v/>
      </c>
      <c r="AE896">
        <f>IF(B896="","",IF(M896&lt;33.0,0,IF(M896&gt;=100*0.8,5,IF(M896&gt;=100*0.7,4,IF(M896&gt;=100*0.6,3.5,IF(M896&gt;=100*0.5,3,IF(M896&gt;=100*0.4,2,IF(M896&gt;=100*0.33,1,0))))))))</f>
        <v/>
      </c>
      <c r="AF896">
        <f>IF(B896="","",IF(N896&lt;16.5,0,IF(N896&gt;=50*0.8,5,IF(N896&gt;=50*0.7,4,IF(N896&gt;=50*0.6,3.5,IF(N896&gt;=50*0.5,3,IF(N896&gt;=50*0.4,2,IF(N896&gt;=50*0.33,1,0))))))))</f>
        <v/>
      </c>
      <c r="AG896">
        <f>IF(B896="","",IF(O896&lt;33.0,0,IF(O896&gt;=100*0.8,5,IF(O896&gt;=100*0.7,4,IF(O896&gt;=100*0.6,3.5,IF(O896&gt;=100*0.5,3,IF(O896&gt;=100*0.4,2,IF(O896&gt;=100*0.33,1,0))))))))</f>
        <v/>
      </c>
      <c r="AH896">
        <f>IF(B896="","",IF(OR(U896=0,V896=0,W896=0,X896=0,Y896=0,Z896=0,AA896=0,AB896=0,AC896=0,AD896=0,AE896=0,AF896=0,AG896=0),1,0))</f>
        <v/>
      </c>
    </row>
    <row r="897">
      <c r="A897" s="3">
        <f>IF(B897="","",ROW()-2)</f>
        <v/>
      </c>
      <c r="P897" s="4">
        <f>IF(B897="","",SUM(C897:O897))</f>
        <v/>
      </c>
      <c r="Q897" s="5">
        <f>IF(B897="","",ROUND(P897/13,2))</f>
        <v/>
      </c>
      <c r="R897" s="5">
        <f>IF(B897="","",IF(AH897=1,0,MIN(5,ROUND((U897+V897+W897+X897+Y897+Z897+AA897+AB897+AC897+AD897+AE897+AF897+AG897)/13,2))))</f>
        <v/>
      </c>
      <c r="S897" s="3">
        <f>IF(B897="","",IF(R897&gt;=5,"A+",IF(R897&gt;=4,"A",IF(R897&gt;=3.5,"A-",IF(R897&gt;=3,"B",IF(R897&gt;=2,"C",IF(R897&gt;=1,"D","F")))))))</f>
        <v/>
      </c>
      <c r="T897" s="3">
        <f>IF(OR(B897="",S897="F"),"",COUNTIFS(P:P,"&gt;"&amp;P897,S:S,"&lt;&gt;F")+1)</f>
        <v/>
      </c>
      <c r="U897">
        <f>IF(B897="","",IF(C897&lt;33.0,0,IF(C897&gt;=100*0.8,5,IF(C897&gt;=100*0.7,4,IF(C897&gt;=100*0.6,3.5,IF(C897&gt;=100*0.5,3,IF(C897&gt;=100*0.4,2,IF(C897&gt;=100*0.33,1,0))))))))</f>
        <v/>
      </c>
      <c r="V897">
        <f>IF(B897="","",IF(D897&lt;33.0,0,IF(D897&gt;=100*0.8,5,IF(D897&gt;=100*0.7,4,IF(D897&gt;=100*0.6,3.5,IF(D897&gt;=100*0.5,3,IF(D897&gt;=100*0.4,2,IF(D897&gt;=100*0.33,1,0))))))))</f>
        <v/>
      </c>
      <c r="W897">
        <f>IF(B897="","",IF(E897&lt;16.5,0,IF(E897&gt;=50*0.8,5,IF(E897&gt;=50*0.7,4,IF(E897&gt;=50*0.6,3.5,IF(E897&gt;=50*0.5,3,IF(E897&gt;=50*0.4,2,IF(E897&gt;=50*0.33,1,0))))))))</f>
        <v/>
      </c>
      <c r="X897">
        <f>IF(B897="","",IF(F897&lt;33.0,0,IF(F897&gt;=100*0.8,5,IF(F897&gt;=100*0.7,4,IF(F897&gt;=100*0.6,3.5,IF(F897&gt;=100*0.5,3,IF(F897&gt;=100*0.4,2,IF(F897&gt;=100*0.33,1,0))))))))</f>
        <v/>
      </c>
      <c r="Y897">
        <f>IF(B897="","",IF(G897&lt;16.5,0,IF(G897&gt;=50*0.8,5,IF(G897&gt;=50*0.7,4,IF(G897&gt;=50*0.6,3.5,IF(G897&gt;=50*0.5,3,IF(G897&gt;=50*0.4,2,IF(G897&gt;=50*0.33,1,0))))))))</f>
        <v/>
      </c>
      <c r="Z897">
        <f>IF(B897="","",IF(H897&lt;33.0,0,IF(H897&gt;=100*0.8,5,IF(H897&gt;=100*0.7,4,IF(H897&gt;=100*0.6,3.5,IF(H897&gt;=100*0.5,3,IF(H897&gt;=100*0.4,2,IF(H897&gt;=100*0.33,1,0))))))))</f>
        <v/>
      </c>
      <c r="AA897">
        <f>IF(B897="","",IF(I897&lt;33.0,0,IF(I897&gt;=100*0.8,5,IF(I897&gt;=100*0.7,4,IF(I897&gt;=100*0.6,3.5,IF(I897&gt;=100*0.5,3,IF(I897&gt;=100*0.4,2,IF(I897&gt;=100*0.33,1,0))))))))</f>
        <v/>
      </c>
      <c r="AB897">
        <f>IF(B897="","",IF(J897&lt;33.0,0,IF(J897&gt;=100*0.8,5,IF(J897&gt;=100*0.7,4,IF(J897&gt;=100*0.6,3.5,IF(J897&gt;=100*0.5,3,IF(J897&gt;=100*0.4,2,IF(J897&gt;=100*0.33,1,0))))))))</f>
        <v/>
      </c>
      <c r="AC897">
        <f>IF(B897="","",IF(K897&lt;33.0,0,IF(K897&gt;=100*0.8,5,IF(K897&gt;=100*0.7,4,IF(K897&gt;=100*0.6,3.5,IF(K897&gt;=100*0.5,3,IF(K897&gt;=100*0.4,2,IF(K897&gt;=100*0.33,1,0))))))))</f>
        <v/>
      </c>
      <c r="AD897">
        <f>IF(B897="","",IF(L897&lt;33.0,0,IF(L897&gt;=100*0.8,5,IF(L897&gt;=100*0.7,4,IF(L897&gt;=100*0.6,3.5,IF(L897&gt;=100*0.5,3,IF(L897&gt;=100*0.4,2,IF(L897&gt;=100*0.33,1,0))))))))</f>
        <v/>
      </c>
      <c r="AE897">
        <f>IF(B897="","",IF(M897&lt;33.0,0,IF(M897&gt;=100*0.8,5,IF(M897&gt;=100*0.7,4,IF(M897&gt;=100*0.6,3.5,IF(M897&gt;=100*0.5,3,IF(M897&gt;=100*0.4,2,IF(M897&gt;=100*0.33,1,0))))))))</f>
        <v/>
      </c>
      <c r="AF897">
        <f>IF(B897="","",IF(N897&lt;16.5,0,IF(N897&gt;=50*0.8,5,IF(N897&gt;=50*0.7,4,IF(N897&gt;=50*0.6,3.5,IF(N897&gt;=50*0.5,3,IF(N897&gt;=50*0.4,2,IF(N897&gt;=50*0.33,1,0))))))))</f>
        <v/>
      </c>
      <c r="AG897">
        <f>IF(B897="","",IF(O897&lt;33.0,0,IF(O897&gt;=100*0.8,5,IF(O897&gt;=100*0.7,4,IF(O897&gt;=100*0.6,3.5,IF(O897&gt;=100*0.5,3,IF(O897&gt;=100*0.4,2,IF(O897&gt;=100*0.33,1,0))))))))</f>
        <v/>
      </c>
      <c r="AH897">
        <f>IF(B897="","",IF(OR(U897=0,V897=0,W897=0,X897=0,Y897=0,Z897=0,AA897=0,AB897=0,AC897=0,AD897=0,AE897=0,AF897=0,AG897=0),1,0))</f>
        <v/>
      </c>
    </row>
    <row r="898">
      <c r="A898" s="3">
        <f>IF(B898="","",ROW()-2)</f>
        <v/>
      </c>
      <c r="P898" s="4">
        <f>IF(B898="","",SUM(C898:O898))</f>
        <v/>
      </c>
      <c r="Q898" s="5">
        <f>IF(B898="","",ROUND(P898/13,2))</f>
        <v/>
      </c>
      <c r="R898" s="5">
        <f>IF(B898="","",IF(AH898=1,0,MIN(5,ROUND((U898+V898+W898+X898+Y898+Z898+AA898+AB898+AC898+AD898+AE898+AF898+AG898)/13,2))))</f>
        <v/>
      </c>
      <c r="S898" s="3">
        <f>IF(B898="","",IF(R898&gt;=5,"A+",IF(R898&gt;=4,"A",IF(R898&gt;=3.5,"A-",IF(R898&gt;=3,"B",IF(R898&gt;=2,"C",IF(R898&gt;=1,"D","F")))))))</f>
        <v/>
      </c>
      <c r="T898" s="3">
        <f>IF(OR(B898="",S898="F"),"",COUNTIFS(P:P,"&gt;"&amp;P898,S:S,"&lt;&gt;F")+1)</f>
        <v/>
      </c>
      <c r="U898">
        <f>IF(B898="","",IF(C898&lt;33.0,0,IF(C898&gt;=100*0.8,5,IF(C898&gt;=100*0.7,4,IF(C898&gt;=100*0.6,3.5,IF(C898&gt;=100*0.5,3,IF(C898&gt;=100*0.4,2,IF(C898&gt;=100*0.33,1,0))))))))</f>
        <v/>
      </c>
      <c r="V898">
        <f>IF(B898="","",IF(D898&lt;33.0,0,IF(D898&gt;=100*0.8,5,IF(D898&gt;=100*0.7,4,IF(D898&gt;=100*0.6,3.5,IF(D898&gt;=100*0.5,3,IF(D898&gt;=100*0.4,2,IF(D898&gt;=100*0.33,1,0))))))))</f>
        <v/>
      </c>
      <c r="W898">
        <f>IF(B898="","",IF(E898&lt;16.5,0,IF(E898&gt;=50*0.8,5,IF(E898&gt;=50*0.7,4,IF(E898&gt;=50*0.6,3.5,IF(E898&gt;=50*0.5,3,IF(E898&gt;=50*0.4,2,IF(E898&gt;=50*0.33,1,0))))))))</f>
        <v/>
      </c>
      <c r="X898">
        <f>IF(B898="","",IF(F898&lt;33.0,0,IF(F898&gt;=100*0.8,5,IF(F898&gt;=100*0.7,4,IF(F898&gt;=100*0.6,3.5,IF(F898&gt;=100*0.5,3,IF(F898&gt;=100*0.4,2,IF(F898&gt;=100*0.33,1,0))))))))</f>
        <v/>
      </c>
      <c r="Y898">
        <f>IF(B898="","",IF(G898&lt;16.5,0,IF(G898&gt;=50*0.8,5,IF(G898&gt;=50*0.7,4,IF(G898&gt;=50*0.6,3.5,IF(G898&gt;=50*0.5,3,IF(G898&gt;=50*0.4,2,IF(G898&gt;=50*0.33,1,0))))))))</f>
        <v/>
      </c>
      <c r="Z898">
        <f>IF(B898="","",IF(H898&lt;33.0,0,IF(H898&gt;=100*0.8,5,IF(H898&gt;=100*0.7,4,IF(H898&gt;=100*0.6,3.5,IF(H898&gt;=100*0.5,3,IF(H898&gt;=100*0.4,2,IF(H898&gt;=100*0.33,1,0))))))))</f>
        <v/>
      </c>
      <c r="AA898">
        <f>IF(B898="","",IF(I898&lt;33.0,0,IF(I898&gt;=100*0.8,5,IF(I898&gt;=100*0.7,4,IF(I898&gt;=100*0.6,3.5,IF(I898&gt;=100*0.5,3,IF(I898&gt;=100*0.4,2,IF(I898&gt;=100*0.33,1,0))))))))</f>
        <v/>
      </c>
      <c r="AB898">
        <f>IF(B898="","",IF(J898&lt;33.0,0,IF(J898&gt;=100*0.8,5,IF(J898&gt;=100*0.7,4,IF(J898&gt;=100*0.6,3.5,IF(J898&gt;=100*0.5,3,IF(J898&gt;=100*0.4,2,IF(J898&gt;=100*0.33,1,0))))))))</f>
        <v/>
      </c>
      <c r="AC898">
        <f>IF(B898="","",IF(K898&lt;33.0,0,IF(K898&gt;=100*0.8,5,IF(K898&gt;=100*0.7,4,IF(K898&gt;=100*0.6,3.5,IF(K898&gt;=100*0.5,3,IF(K898&gt;=100*0.4,2,IF(K898&gt;=100*0.33,1,0))))))))</f>
        <v/>
      </c>
      <c r="AD898">
        <f>IF(B898="","",IF(L898&lt;33.0,0,IF(L898&gt;=100*0.8,5,IF(L898&gt;=100*0.7,4,IF(L898&gt;=100*0.6,3.5,IF(L898&gt;=100*0.5,3,IF(L898&gt;=100*0.4,2,IF(L898&gt;=100*0.33,1,0))))))))</f>
        <v/>
      </c>
      <c r="AE898">
        <f>IF(B898="","",IF(M898&lt;33.0,0,IF(M898&gt;=100*0.8,5,IF(M898&gt;=100*0.7,4,IF(M898&gt;=100*0.6,3.5,IF(M898&gt;=100*0.5,3,IF(M898&gt;=100*0.4,2,IF(M898&gt;=100*0.33,1,0))))))))</f>
        <v/>
      </c>
      <c r="AF898">
        <f>IF(B898="","",IF(N898&lt;16.5,0,IF(N898&gt;=50*0.8,5,IF(N898&gt;=50*0.7,4,IF(N898&gt;=50*0.6,3.5,IF(N898&gt;=50*0.5,3,IF(N898&gt;=50*0.4,2,IF(N898&gt;=50*0.33,1,0))))))))</f>
        <v/>
      </c>
      <c r="AG898">
        <f>IF(B898="","",IF(O898&lt;33.0,0,IF(O898&gt;=100*0.8,5,IF(O898&gt;=100*0.7,4,IF(O898&gt;=100*0.6,3.5,IF(O898&gt;=100*0.5,3,IF(O898&gt;=100*0.4,2,IF(O898&gt;=100*0.33,1,0))))))))</f>
        <v/>
      </c>
      <c r="AH898">
        <f>IF(B898="","",IF(OR(U898=0,V898=0,W898=0,X898=0,Y898=0,Z898=0,AA898=0,AB898=0,AC898=0,AD898=0,AE898=0,AF898=0,AG898=0),1,0))</f>
        <v/>
      </c>
    </row>
    <row r="899">
      <c r="A899" s="3">
        <f>IF(B899="","",ROW()-2)</f>
        <v/>
      </c>
      <c r="P899" s="4">
        <f>IF(B899="","",SUM(C899:O899))</f>
        <v/>
      </c>
      <c r="Q899" s="5">
        <f>IF(B899="","",ROUND(P899/13,2))</f>
        <v/>
      </c>
      <c r="R899" s="5">
        <f>IF(B899="","",IF(AH899=1,0,MIN(5,ROUND((U899+V899+W899+X899+Y899+Z899+AA899+AB899+AC899+AD899+AE899+AF899+AG899)/13,2))))</f>
        <v/>
      </c>
      <c r="S899" s="3">
        <f>IF(B899="","",IF(R899&gt;=5,"A+",IF(R899&gt;=4,"A",IF(R899&gt;=3.5,"A-",IF(R899&gt;=3,"B",IF(R899&gt;=2,"C",IF(R899&gt;=1,"D","F")))))))</f>
        <v/>
      </c>
      <c r="T899" s="3">
        <f>IF(OR(B899="",S899="F"),"",COUNTIFS(P:P,"&gt;"&amp;P899,S:S,"&lt;&gt;F")+1)</f>
        <v/>
      </c>
      <c r="U899">
        <f>IF(B899="","",IF(C899&lt;33.0,0,IF(C899&gt;=100*0.8,5,IF(C899&gt;=100*0.7,4,IF(C899&gt;=100*0.6,3.5,IF(C899&gt;=100*0.5,3,IF(C899&gt;=100*0.4,2,IF(C899&gt;=100*0.33,1,0))))))))</f>
        <v/>
      </c>
      <c r="V899">
        <f>IF(B899="","",IF(D899&lt;33.0,0,IF(D899&gt;=100*0.8,5,IF(D899&gt;=100*0.7,4,IF(D899&gt;=100*0.6,3.5,IF(D899&gt;=100*0.5,3,IF(D899&gt;=100*0.4,2,IF(D899&gt;=100*0.33,1,0))))))))</f>
        <v/>
      </c>
      <c r="W899">
        <f>IF(B899="","",IF(E899&lt;16.5,0,IF(E899&gt;=50*0.8,5,IF(E899&gt;=50*0.7,4,IF(E899&gt;=50*0.6,3.5,IF(E899&gt;=50*0.5,3,IF(E899&gt;=50*0.4,2,IF(E899&gt;=50*0.33,1,0))))))))</f>
        <v/>
      </c>
      <c r="X899">
        <f>IF(B899="","",IF(F899&lt;33.0,0,IF(F899&gt;=100*0.8,5,IF(F899&gt;=100*0.7,4,IF(F899&gt;=100*0.6,3.5,IF(F899&gt;=100*0.5,3,IF(F899&gt;=100*0.4,2,IF(F899&gt;=100*0.33,1,0))))))))</f>
        <v/>
      </c>
      <c r="Y899">
        <f>IF(B899="","",IF(G899&lt;16.5,0,IF(G899&gt;=50*0.8,5,IF(G899&gt;=50*0.7,4,IF(G899&gt;=50*0.6,3.5,IF(G899&gt;=50*0.5,3,IF(G899&gt;=50*0.4,2,IF(G899&gt;=50*0.33,1,0))))))))</f>
        <v/>
      </c>
      <c r="Z899">
        <f>IF(B899="","",IF(H899&lt;33.0,0,IF(H899&gt;=100*0.8,5,IF(H899&gt;=100*0.7,4,IF(H899&gt;=100*0.6,3.5,IF(H899&gt;=100*0.5,3,IF(H899&gt;=100*0.4,2,IF(H899&gt;=100*0.33,1,0))))))))</f>
        <v/>
      </c>
      <c r="AA899">
        <f>IF(B899="","",IF(I899&lt;33.0,0,IF(I899&gt;=100*0.8,5,IF(I899&gt;=100*0.7,4,IF(I899&gt;=100*0.6,3.5,IF(I899&gt;=100*0.5,3,IF(I899&gt;=100*0.4,2,IF(I899&gt;=100*0.33,1,0))))))))</f>
        <v/>
      </c>
      <c r="AB899">
        <f>IF(B899="","",IF(J899&lt;33.0,0,IF(J899&gt;=100*0.8,5,IF(J899&gt;=100*0.7,4,IF(J899&gt;=100*0.6,3.5,IF(J899&gt;=100*0.5,3,IF(J899&gt;=100*0.4,2,IF(J899&gt;=100*0.33,1,0))))))))</f>
        <v/>
      </c>
      <c r="AC899">
        <f>IF(B899="","",IF(K899&lt;33.0,0,IF(K899&gt;=100*0.8,5,IF(K899&gt;=100*0.7,4,IF(K899&gt;=100*0.6,3.5,IF(K899&gt;=100*0.5,3,IF(K899&gt;=100*0.4,2,IF(K899&gt;=100*0.33,1,0))))))))</f>
        <v/>
      </c>
      <c r="AD899">
        <f>IF(B899="","",IF(L899&lt;33.0,0,IF(L899&gt;=100*0.8,5,IF(L899&gt;=100*0.7,4,IF(L899&gt;=100*0.6,3.5,IF(L899&gt;=100*0.5,3,IF(L899&gt;=100*0.4,2,IF(L899&gt;=100*0.33,1,0))))))))</f>
        <v/>
      </c>
      <c r="AE899">
        <f>IF(B899="","",IF(M899&lt;33.0,0,IF(M899&gt;=100*0.8,5,IF(M899&gt;=100*0.7,4,IF(M899&gt;=100*0.6,3.5,IF(M899&gt;=100*0.5,3,IF(M899&gt;=100*0.4,2,IF(M899&gt;=100*0.33,1,0))))))))</f>
        <v/>
      </c>
      <c r="AF899">
        <f>IF(B899="","",IF(N899&lt;16.5,0,IF(N899&gt;=50*0.8,5,IF(N899&gt;=50*0.7,4,IF(N899&gt;=50*0.6,3.5,IF(N899&gt;=50*0.5,3,IF(N899&gt;=50*0.4,2,IF(N899&gt;=50*0.33,1,0))))))))</f>
        <v/>
      </c>
      <c r="AG899">
        <f>IF(B899="","",IF(O899&lt;33.0,0,IF(O899&gt;=100*0.8,5,IF(O899&gt;=100*0.7,4,IF(O899&gt;=100*0.6,3.5,IF(O899&gt;=100*0.5,3,IF(O899&gt;=100*0.4,2,IF(O899&gt;=100*0.33,1,0))))))))</f>
        <v/>
      </c>
      <c r="AH899">
        <f>IF(B899="","",IF(OR(U899=0,V899=0,W899=0,X899=0,Y899=0,Z899=0,AA899=0,AB899=0,AC899=0,AD899=0,AE899=0,AF899=0,AG899=0),1,0))</f>
        <v/>
      </c>
    </row>
    <row r="900">
      <c r="A900" s="3">
        <f>IF(B900="","",ROW()-2)</f>
        <v/>
      </c>
      <c r="P900" s="4">
        <f>IF(B900="","",SUM(C900:O900))</f>
        <v/>
      </c>
      <c r="Q900" s="5">
        <f>IF(B900="","",ROUND(P900/13,2))</f>
        <v/>
      </c>
      <c r="R900" s="5">
        <f>IF(B900="","",IF(AH900=1,0,MIN(5,ROUND((U900+V900+W900+X900+Y900+Z900+AA900+AB900+AC900+AD900+AE900+AF900+AG900)/13,2))))</f>
        <v/>
      </c>
      <c r="S900" s="3">
        <f>IF(B900="","",IF(R900&gt;=5,"A+",IF(R900&gt;=4,"A",IF(R900&gt;=3.5,"A-",IF(R900&gt;=3,"B",IF(R900&gt;=2,"C",IF(R900&gt;=1,"D","F")))))))</f>
        <v/>
      </c>
      <c r="T900" s="3">
        <f>IF(OR(B900="",S900="F"),"",COUNTIFS(P:P,"&gt;"&amp;P900,S:S,"&lt;&gt;F")+1)</f>
        <v/>
      </c>
      <c r="U900">
        <f>IF(B900="","",IF(C900&lt;33.0,0,IF(C900&gt;=100*0.8,5,IF(C900&gt;=100*0.7,4,IF(C900&gt;=100*0.6,3.5,IF(C900&gt;=100*0.5,3,IF(C900&gt;=100*0.4,2,IF(C900&gt;=100*0.33,1,0))))))))</f>
        <v/>
      </c>
      <c r="V900">
        <f>IF(B900="","",IF(D900&lt;33.0,0,IF(D900&gt;=100*0.8,5,IF(D900&gt;=100*0.7,4,IF(D900&gt;=100*0.6,3.5,IF(D900&gt;=100*0.5,3,IF(D900&gt;=100*0.4,2,IF(D900&gt;=100*0.33,1,0))))))))</f>
        <v/>
      </c>
      <c r="W900">
        <f>IF(B900="","",IF(E900&lt;16.5,0,IF(E900&gt;=50*0.8,5,IF(E900&gt;=50*0.7,4,IF(E900&gt;=50*0.6,3.5,IF(E900&gt;=50*0.5,3,IF(E900&gt;=50*0.4,2,IF(E900&gt;=50*0.33,1,0))))))))</f>
        <v/>
      </c>
      <c r="X900">
        <f>IF(B900="","",IF(F900&lt;33.0,0,IF(F900&gt;=100*0.8,5,IF(F900&gt;=100*0.7,4,IF(F900&gt;=100*0.6,3.5,IF(F900&gt;=100*0.5,3,IF(F900&gt;=100*0.4,2,IF(F900&gt;=100*0.33,1,0))))))))</f>
        <v/>
      </c>
      <c r="Y900">
        <f>IF(B900="","",IF(G900&lt;16.5,0,IF(G900&gt;=50*0.8,5,IF(G900&gt;=50*0.7,4,IF(G900&gt;=50*0.6,3.5,IF(G900&gt;=50*0.5,3,IF(G900&gt;=50*0.4,2,IF(G900&gt;=50*0.33,1,0))))))))</f>
        <v/>
      </c>
      <c r="Z900">
        <f>IF(B900="","",IF(H900&lt;33.0,0,IF(H900&gt;=100*0.8,5,IF(H900&gt;=100*0.7,4,IF(H900&gt;=100*0.6,3.5,IF(H900&gt;=100*0.5,3,IF(H900&gt;=100*0.4,2,IF(H900&gt;=100*0.33,1,0))))))))</f>
        <v/>
      </c>
      <c r="AA900">
        <f>IF(B900="","",IF(I900&lt;33.0,0,IF(I900&gt;=100*0.8,5,IF(I900&gt;=100*0.7,4,IF(I900&gt;=100*0.6,3.5,IF(I900&gt;=100*0.5,3,IF(I900&gt;=100*0.4,2,IF(I900&gt;=100*0.33,1,0))))))))</f>
        <v/>
      </c>
      <c r="AB900">
        <f>IF(B900="","",IF(J900&lt;33.0,0,IF(J900&gt;=100*0.8,5,IF(J900&gt;=100*0.7,4,IF(J900&gt;=100*0.6,3.5,IF(J900&gt;=100*0.5,3,IF(J900&gt;=100*0.4,2,IF(J900&gt;=100*0.33,1,0))))))))</f>
        <v/>
      </c>
      <c r="AC900">
        <f>IF(B900="","",IF(K900&lt;33.0,0,IF(K900&gt;=100*0.8,5,IF(K900&gt;=100*0.7,4,IF(K900&gt;=100*0.6,3.5,IF(K900&gt;=100*0.5,3,IF(K900&gt;=100*0.4,2,IF(K900&gt;=100*0.33,1,0))))))))</f>
        <v/>
      </c>
      <c r="AD900">
        <f>IF(B900="","",IF(L900&lt;33.0,0,IF(L900&gt;=100*0.8,5,IF(L900&gt;=100*0.7,4,IF(L900&gt;=100*0.6,3.5,IF(L900&gt;=100*0.5,3,IF(L900&gt;=100*0.4,2,IF(L900&gt;=100*0.33,1,0))))))))</f>
        <v/>
      </c>
      <c r="AE900">
        <f>IF(B900="","",IF(M900&lt;33.0,0,IF(M900&gt;=100*0.8,5,IF(M900&gt;=100*0.7,4,IF(M900&gt;=100*0.6,3.5,IF(M900&gt;=100*0.5,3,IF(M900&gt;=100*0.4,2,IF(M900&gt;=100*0.33,1,0))))))))</f>
        <v/>
      </c>
      <c r="AF900">
        <f>IF(B900="","",IF(N900&lt;16.5,0,IF(N900&gt;=50*0.8,5,IF(N900&gt;=50*0.7,4,IF(N900&gt;=50*0.6,3.5,IF(N900&gt;=50*0.5,3,IF(N900&gt;=50*0.4,2,IF(N900&gt;=50*0.33,1,0))))))))</f>
        <v/>
      </c>
      <c r="AG900">
        <f>IF(B900="","",IF(O900&lt;33.0,0,IF(O900&gt;=100*0.8,5,IF(O900&gt;=100*0.7,4,IF(O900&gt;=100*0.6,3.5,IF(O900&gt;=100*0.5,3,IF(O900&gt;=100*0.4,2,IF(O900&gt;=100*0.33,1,0))))))))</f>
        <v/>
      </c>
      <c r="AH900">
        <f>IF(B900="","",IF(OR(U900=0,V900=0,W900=0,X900=0,Y900=0,Z900=0,AA900=0,AB900=0,AC900=0,AD900=0,AE900=0,AF900=0,AG900=0),1,0))</f>
        <v/>
      </c>
    </row>
    <row r="901">
      <c r="A901" s="3">
        <f>IF(B901="","",ROW()-2)</f>
        <v/>
      </c>
      <c r="P901" s="4">
        <f>IF(B901="","",SUM(C901:O901))</f>
        <v/>
      </c>
      <c r="Q901" s="5">
        <f>IF(B901="","",ROUND(P901/13,2))</f>
        <v/>
      </c>
      <c r="R901" s="5">
        <f>IF(B901="","",IF(AH901=1,0,MIN(5,ROUND((U901+V901+W901+X901+Y901+Z901+AA901+AB901+AC901+AD901+AE901+AF901+AG901)/13,2))))</f>
        <v/>
      </c>
      <c r="S901" s="3">
        <f>IF(B901="","",IF(R901&gt;=5,"A+",IF(R901&gt;=4,"A",IF(R901&gt;=3.5,"A-",IF(R901&gt;=3,"B",IF(R901&gt;=2,"C",IF(R901&gt;=1,"D","F")))))))</f>
        <v/>
      </c>
      <c r="T901" s="3">
        <f>IF(OR(B901="",S901="F"),"",COUNTIFS(P:P,"&gt;"&amp;P901,S:S,"&lt;&gt;F")+1)</f>
        <v/>
      </c>
      <c r="U901">
        <f>IF(B901="","",IF(C901&lt;33.0,0,IF(C901&gt;=100*0.8,5,IF(C901&gt;=100*0.7,4,IF(C901&gt;=100*0.6,3.5,IF(C901&gt;=100*0.5,3,IF(C901&gt;=100*0.4,2,IF(C901&gt;=100*0.33,1,0))))))))</f>
        <v/>
      </c>
      <c r="V901">
        <f>IF(B901="","",IF(D901&lt;33.0,0,IF(D901&gt;=100*0.8,5,IF(D901&gt;=100*0.7,4,IF(D901&gt;=100*0.6,3.5,IF(D901&gt;=100*0.5,3,IF(D901&gt;=100*0.4,2,IF(D901&gt;=100*0.33,1,0))))))))</f>
        <v/>
      </c>
      <c r="W901">
        <f>IF(B901="","",IF(E901&lt;16.5,0,IF(E901&gt;=50*0.8,5,IF(E901&gt;=50*0.7,4,IF(E901&gt;=50*0.6,3.5,IF(E901&gt;=50*0.5,3,IF(E901&gt;=50*0.4,2,IF(E901&gt;=50*0.33,1,0))))))))</f>
        <v/>
      </c>
      <c r="X901">
        <f>IF(B901="","",IF(F901&lt;33.0,0,IF(F901&gt;=100*0.8,5,IF(F901&gt;=100*0.7,4,IF(F901&gt;=100*0.6,3.5,IF(F901&gt;=100*0.5,3,IF(F901&gt;=100*0.4,2,IF(F901&gt;=100*0.33,1,0))))))))</f>
        <v/>
      </c>
      <c r="Y901">
        <f>IF(B901="","",IF(G901&lt;16.5,0,IF(G901&gt;=50*0.8,5,IF(G901&gt;=50*0.7,4,IF(G901&gt;=50*0.6,3.5,IF(G901&gt;=50*0.5,3,IF(G901&gt;=50*0.4,2,IF(G901&gt;=50*0.33,1,0))))))))</f>
        <v/>
      </c>
      <c r="Z901">
        <f>IF(B901="","",IF(H901&lt;33.0,0,IF(H901&gt;=100*0.8,5,IF(H901&gt;=100*0.7,4,IF(H901&gt;=100*0.6,3.5,IF(H901&gt;=100*0.5,3,IF(H901&gt;=100*0.4,2,IF(H901&gt;=100*0.33,1,0))))))))</f>
        <v/>
      </c>
      <c r="AA901">
        <f>IF(B901="","",IF(I901&lt;33.0,0,IF(I901&gt;=100*0.8,5,IF(I901&gt;=100*0.7,4,IF(I901&gt;=100*0.6,3.5,IF(I901&gt;=100*0.5,3,IF(I901&gt;=100*0.4,2,IF(I901&gt;=100*0.33,1,0))))))))</f>
        <v/>
      </c>
      <c r="AB901">
        <f>IF(B901="","",IF(J901&lt;33.0,0,IF(J901&gt;=100*0.8,5,IF(J901&gt;=100*0.7,4,IF(J901&gt;=100*0.6,3.5,IF(J901&gt;=100*0.5,3,IF(J901&gt;=100*0.4,2,IF(J901&gt;=100*0.33,1,0))))))))</f>
        <v/>
      </c>
      <c r="AC901">
        <f>IF(B901="","",IF(K901&lt;33.0,0,IF(K901&gt;=100*0.8,5,IF(K901&gt;=100*0.7,4,IF(K901&gt;=100*0.6,3.5,IF(K901&gt;=100*0.5,3,IF(K901&gt;=100*0.4,2,IF(K901&gt;=100*0.33,1,0))))))))</f>
        <v/>
      </c>
      <c r="AD901">
        <f>IF(B901="","",IF(L901&lt;33.0,0,IF(L901&gt;=100*0.8,5,IF(L901&gt;=100*0.7,4,IF(L901&gt;=100*0.6,3.5,IF(L901&gt;=100*0.5,3,IF(L901&gt;=100*0.4,2,IF(L901&gt;=100*0.33,1,0))))))))</f>
        <v/>
      </c>
      <c r="AE901">
        <f>IF(B901="","",IF(M901&lt;33.0,0,IF(M901&gt;=100*0.8,5,IF(M901&gt;=100*0.7,4,IF(M901&gt;=100*0.6,3.5,IF(M901&gt;=100*0.5,3,IF(M901&gt;=100*0.4,2,IF(M901&gt;=100*0.33,1,0))))))))</f>
        <v/>
      </c>
      <c r="AF901">
        <f>IF(B901="","",IF(N901&lt;16.5,0,IF(N901&gt;=50*0.8,5,IF(N901&gt;=50*0.7,4,IF(N901&gt;=50*0.6,3.5,IF(N901&gt;=50*0.5,3,IF(N901&gt;=50*0.4,2,IF(N901&gt;=50*0.33,1,0))))))))</f>
        <v/>
      </c>
      <c r="AG901">
        <f>IF(B901="","",IF(O901&lt;33.0,0,IF(O901&gt;=100*0.8,5,IF(O901&gt;=100*0.7,4,IF(O901&gt;=100*0.6,3.5,IF(O901&gt;=100*0.5,3,IF(O901&gt;=100*0.4,2,IF(O901&gt;=100*0.33,1,0))))))))</f>
        <v/>
      </c>
      <c r="AH901">
        <f>IF(B901="","",IF(OR(U901=0,V901=0,W901=0,X901=0,Y901=0,Z901=0,AA901=0,AB901=0,AC901=0,AD901=0,AE901=0,AF901=0,AG901=0),1,0))</f>
        <v/>
      </c>
    </row>
    <row r="902">
      <c r="A902" s="3">
        <f>IF(B902="","",ROW()-2)</f>
        <v/>
      </c>
      <c r="P902" s="4">
        <f>IF(B902="","",SUM(C902:O902))</f>
        <v/>
      </c>
      <c r="Q902" s="5">
        <f>IF(B902="","",ROUND(P902/13,2))</f>
        <v/>
      </c>
      <c r="R902" s="5">
        <f>IF(B902="","",IF(AH902=1,0,MIN(5,ROUND((U902+V902+W902+X902+Y902+Z902+AA902+AB902+AC902+AD902+AE902+AF902+AG902)/13,2))))</f>
        <v/>
      </c>
      <c r="S902" s="3">
        <f>IF(B902="","",IF(R902&gt;=5,"A+",IF(R902&gt;=4,"A",IF(R902&gt;=3.5,"A-",IF(R902&gt;=3,"B",IF(R902&gt;=2,"C",IF(R902&gt;=1,"D","F")))))))</f>
        <v/>
      </c>
      <c r="T902" s="3">
        <f>IF(OR(B902="",S902="F"),"",COUNTIFS(P:P,"&gt;"&amp;P902,S:S,"&lt;&gt;F")+1)</f>
        <v/>
      </c>
      <c r="U902">
        <f>IF(B902="","",IF(C902&lt;33.0,0,IF(C902&gt;=100*0.8,5,IF(C902&gt;=100*0.7,4,IF(C902&gt;=100*0.6,3.5,IF(C902&gt;=100*0.5,3,IF(C902&gt;=100*0.4,2,IF(C902&gt;=100*0.33,1,0))))))))</f>
        <v/>
      </c>
      <c r="V902">
        <f>IF(B902="","",IF(D902&lt;33.0,0,IF(D902&gt;=100*0.8,5,IF(D902&gt;=100*0.7,4,IF(D902&gt;=100*0.6,3.5,IF(D902&gt;=100*0.5,3,IF(D902&gt;=100*0.4,2,IF(D902&gt;=100*0.33,1,0))))))))</f>
        <v/>
      </c>
      <c r="W902">
        <f>IF(B902="","",IF(E902&lt;16.5,0,IF(E902&gt;=50*0.8,5,IF(E902&gt;=50*0.7,4,IF(E902&gt;=50*0.6,3.5,IF(E902&gt;=50*0.5,3,IF(E902&gt;=50*0.4,2,IF(E902&gt;=50*0.33,1,0))))))))</f>
        <v/>
      </c>
      <c r="X902">
        <f>IF(B902="","",IF(F902&lt;33.0,0,IF(F902&gt;=100*0.8,5,IF(F902&gt;=100*0.7,4,IF(F902&gt;=100*0.6,3.5,IF(F902&gt;=100*0.5,3,IF(F902&gt;=100*0.4,2,IF(F902&gt;=100*0.33,1,0))))))))</f>
        <v/>
      </c>
      <c r="Y902">
        <f>IF(B902="","",IF(G902&lt;16.5,0,IF(G902&gt;=50*0.8,5,IF(G902&gt;=50*0.7,4,IF(G902&gt;=50*0.6,3.5,IF(G902&gt;=50*0.5,3,IF(G902&gt;=50*0.4,2,IF(G902&gt;=50*0.33,1,0))))))))</f>
        <v/>
      </c>
      <c r="Z902">
        <f>IF(B902="","",IF(H902&lt;33.0,0,IF(H902&gt;=100*0.8,5,IF(H902&gt;=100*0.7,4,IF(H902&gt;=100*0.6,3.5,IF(H902&gt;=100*0.5,3,IF(H902&gt;=100*0.4,2,IF(H902&gt;=100*0.33,1,0))))))))</f>
        <v/>
      </c>
      <c r="AA902">
        <f>IF(B902="","",IF(I902&lt;33.0,0,IF(I902&gt;=100*0.8,5,IF(I902&gt;=100*0.7,4,IF(I902&gt;=100*0.6,3.5,IF(I902&gt;=100*0.5,3,IF(I902&gt;=100*0.4,2,IF(I902&gt;=100*0.33,1,0))))))))</f>
        <v/>
      </c>
      <c r="AB902">
        <f>IF(B902="","",IF(J902&lt;33.0,0,IF(J902&gt;=100*0.8,5,IF(J902&gt;=100*0.7,4,IF(J902&gt;=100*0.6,3.5,IF(J902&gt;=100*0.5,3,IF(J902&gt;=100*0.4,2,IF(J902&gt;=100*0.33,1,0))))))))</f>
        <v/>
      </c>
      <c r="AC902">
        <f>IF(B902="","",IF(K902&lt;33.0,0,IF(K902&gt;=100*0.8,5,IF(K902&gt;=100*0.7,4,IF(K902&gt;=100*0.6,3.5,IF(K902&gt;=100*0.5,3,IF(K902&gt;=100*0.4,2,IF(K902&gt;=100*0.33,1,0))))))))</f>
        <v/>
      </c>
      <c r="AD902">
        <f>IF(B902="","",IF(L902&lt;33.0,0,IF(L902&gt;=100*0.8,5,IF(L902&gt;=100*0.7,4,IF(L902&gt;=100*0.6,3.5,IF(L902&gt;=100*0.5,3,IF(L902&gt;=100*0.4,2,IF(L902&gt;=100*0.33,1,0))))))))</f>
        <v/>
      </c>
      <c r="AE902">
        <f>IF(B902="","",IF(M902&lt;33.0,0,IF(M902&gt;=100*0.8,5,IF(M902&gt;=100*0.7,4,IF(M902&gt;=100*0.6,3.5,IF(M902&gt;=100*0.5,3,IF(M902&gt;=100*0.4,2,IF(M902&gt;=100*0.33,1,0))))))))</f>
        <v/>
      </c>
      <c r="AF902">
        <f>IF(B902="","",IF(N902&lt;16.5,0,IF(N902&gt;=50*0.8,5,IF(N902&gt;=50*0.7,4,IF(N902&gt;=50*0.6,3.5,IF(N902&gt;=50*0.5,3,IF(N902&gt;=50*0.4,2,IF(N902&gt;=50*0.33,1,0))))))))</f>
        <v/>
      </c>
      <c r="AG902">
        <f>IF(B902="","",IF(O902&lt;33.0,0,IF(O902&gt;=100*0.8,5,IF(O902&gt;=100*0.7,4,IF(O902&gt;=100*0.6,3.5,IF(O902&gt;=100*0.5,3,IF(O902&gt;=100*0.4,2,IF(O902&gt;=100*0.33,1,0))))))))</f>
        <v/>
      </c>
      <c r="AH902">
        <f>IF(B902="","",IF(OR(U902=0,V902=0,W902=0,X902=0,Y902=0,Z902=0,AA902=0,AB902=0,AC902=0,AD902=0,AE902=0,AF902=0,AG902=0),1,0))</f>
        <v/>
      </c>
    </row>
    <row r="903">
      <c r="A903" s="3">
        <f>IF(B903="","",ROW()-2)</f>
        <v/>
      </c>
      <c r="P903" s="4">
        <f>IF(B903="","",SUM(C903:O903))</f>
        <v/>
      </c>
      <c r="Q903" s="5">
        <f>IF(B903="","",ROUND(P903/13,2))</f>
        <v/>
      </c>
      <c r="R903" s="5">
        <f>IF(B903="","",IF(AH903=1,0,MIN(5,ROUND((U903+V903+W903+X903+Y903+Z903+AA903+AB903+AC903+AD903+AE903+AF903+AG903)/13,2))))</f>
        <v/>
      </c>
      <c r="S903" s="3">
        <f>IF(B903="","",IF(R903&gt;=5,"A+",IF(R903&gt;=4,"A",IF(R903&gt;=3.5,"A-",IF(R903&gt;=3,"B",IF(R903&gt;=2,"C",IF(R903&gt;=1,"D","F")))))))</f>
        <v/>
      </c>
      <c r="T903" s="3">
        <f>IF(OR(B903="",S903="F"),"",COUNTIFS(P:P,"&gt;"&amp;P903,S:S,"&lt;&gt;F")+1)</f>
        <v/>
      </c>
      <c r="U903">
        <f>IF(B903="","",IF(C903&lt;33.0,0,IF(C903&gt;=100*0.8,5,IF(C903&gt;=100*0.7,4,IF(C903&gt;=100*0.6,3.5,IF(C903&gt;=100*0.5,3,IF(C903&gt;=100*0.4,2,IF(C903&gt;=100*0.33,1,0))))))))</f>
        <v/>
      </c>
      <c r="V903">
        <f>IF(B903="","",IF(D903&lt;33.0,0,IF(D903&gt;=100*0.8,5,IF(D903&gt;=100*0.7,4,IF(D903&gt;=100*0.6,3.5,IF(D903&gt;=100*0.5,3,IF(D903&gt;=100*0.4,2,IF(D903&gt;=100*0.33,1,0))))))))</f>
        <v/>
      </c>
      <c r="W903">
        <f>IF(B903="","",IF(E903&lt;16.5,0,IF(E903&gt;=50*0.8,5,IF(E903&gt;=50*0.7,4,IF(E903&gt;=50*0.6,3.5,IF(E903&gt;=50*0.5,3,IF(E903&gt;=50*0.4,2,IF(E903&gt;=50*0.33,1,0))))))))</f>
        <v/>
      </c>
      <c r="X903">
        <f>IF(B903="","",IF(F903&lt;33.0,0,IF(F903&gt;=100*0.8,5,IF(F903&gt;=100*0.7,4,IF(F903&gt;=100*0.6,3.5,IF(F903&gt;=100*0.5,3,IF(F903&gt;=100*0.4,2,IF(F903&gt;=100*0.33,1,0))))))))</f>
        <v/>
      </c>
      <c r="Y903">
        <f>IF(B903="","",IF(G903&lt;16.5,0,IF(G903&gt;=50*0.8,5,IF(G903&gt;=50*0.7,4,IF(G903&gt;=50*0.6,3.5,IF(G903&gt;=50*0.5,3,IF(G903&gt;=50*0.4,2,IF(G903&gt;=50*0.33,1,0))))))))</f>
        <v/>
      </c>
      <c r="Z903">
        <f>IF(B903="","",IF(H903&lt;33.0,0,IF(H903&gt;=100*0.8,5,IF(H903&gt;=100*0.7,4,IF(H903&gt;=100*0.6,3.5,IF(H903&gt;=100*0.5,3,IF(H903&gt;=100*0.4,2,IF(H903&gt;=100*0.33,1,0))))))))</f>
        <v/>
      </c>
      <c r="AA903">
        <f>IF(B903="","",IF(I903&lt;33.0,0,IF(I903&gt;=100*0.8,5,IF(I903&gt;=100*0.7,4,IF(I903&gt;=100*0.6,3.5,IF(I903&gt;=100*0.5,3,IF(I903&gt;=100*0.4,2,IF(I903&gt;=100*0.33,1,0))))))))</f>
        <v/>
      </c>
      <c r="AB903">
        <f>IF(B903="","",IF(J903&lt;33.0,0,IF(J903&gt;=100*0.8,5,IF(J903&gt;=100*0.7,4,IF(J903&gt;=100*0.6,3.5,IF(J903&gt;=100*0.5,3,IF(J903&gt;=100*0.4,2,IF(J903&gt;=100*0.33,1,0))))))))</f>
        <v/>
      </c>
      <c r="AC903">
        <f>IF(B903="","",IF(K903&lt;33.0,0,IF(K903&gt;=100*0.8,5,IF(K903&gt;=100*0.7,4,IF(K903&gt;=100*0.6,3.5,IF(K903&gt;=100*0.5,3,IF(K903&gt;=100*0.4,2,IF(K903&gt;=100*0.33,1,0))))))))</f>
        <v/>
      </c>
      <c r="AD903">
        <f>IF(B903="","",IF(L903&lt;33.0,0,IF(L903&gt;=100*0.8,5,IF(L903&gt;=100*0.7,4,IF(L903&gt;=100*0.6,3.5,IF(L903&gt;=100*0.5,3,IF(L903&gt;=100*0.4,2,IF(L903&gt;=100*0.33,1,0))))))))</f>
        <v/>
      </c>
      <c r="AE903">
        <f>IF(B903="","",IF(M903&lt;33.0,0,IF(M903&gt;=100*0.8,5,IF(M903&gt;=100*0.7,4,IF(M903&gt;=100*0.6,3.5,IF(M903&gt;=100*0.5,3,IF(M903&gt;=100*0.4,2,IF(M903&gt;=100*0.33,1,0))))))))</f>
        <v/>
      </c>
      <c r="AF903">
        <f>IF(B903="","",IF(N903&lt;16.5,0,IF(N903&gt;=50*0.8,5,IF(N903&gt;=50*0.7,4,IF(N903&gt;=50*0.6,3.5,IF(N903&gt;=50*0.5,3,IF(N903&gt;=50*0.4,2,IF(N903&gt;=50*0.33,1,0))))))))</f>
        <v/>
      </c>
      <c r="AG903">
        <f>IF(B903="","",IF(O903&lt;33.0,0,IF(O903&gt;=100*0.8,5,IF(O903&gt;=100*0.7,4,IF(O903&gt;=100*0.6,3.5,IF(O903&gt;=100*0.5,3,IF(O903&gt;=100*0.4,2,IF(O903&gt;=100*0.33,1,0))))))))</f>
        <v/>
      </c>
      <c r="AH903">
        <f>IF(B903="","",IF(OR(U903=0,V903=0,W903=0,X903=0,Y903=0,Z903=0,AA903=0,AB903=0,AC903=0,AD903=0,AE903=0,AF903=0,AG903=0),1,0))</f>
        <v/>
      </c>
    </row>
    <row r="904">
      <c r="A904" s="3">
        <f>IF(B904="","",ROW()-2)</f>
        <v/>
      </c>
      <c r="P904" s="4">
        <f>IF(B904="","",SUM(C904:O904))</f>
        <v/>
      </c>
      <c r="Q904" s="5">
        <f>IF(B904="","",ROUND(P904/13,2))</f>
        <v/>
      </c>
      <c r="R904" s="5">
        <f>IF(B904="","",IF(AH904=1,0,MIN(5,ROUND((U904+V904+W904+X904+Y904+Z904+AA904+AB904+AC904+AD904+AE904+AF904+AG904)/13,2))))</f>
        <v/>
      </c>
      <c r="S904" s="3">
        <f>IF(B904="","",IF(R904&gt;=5,"A+",IF(R904&gt;=4,"A",IF(R904&gt;=3.5,"A-",IF(R904&gt;=3,"B",IF(R904&gt;=2,"C",IF(R904&gt;=1,"D","F")))))))</f>
        <v/>
      </c>
      <c r="T904" s="3">
        <f>IF(OR(B904="",S904="F"),"",COUNTIFS(P:P,"&gt;"&amp;P904,S:S,"&lt;&gt;F")+1)</f>
        <v/>
      </c>
      <c r="U904">
        <f>IF(B904="","",IF(C904&lt;33.0,0,IF(C904&gt;=100*0.8,5,IF(C904&gt;=100*0.7,4,IF(C904&gt;=100*0.6,3.5,IF(C904&gt;=100*0.5,3,IF(C904&gt;=100*0.4,2,IF(C904&gt;=100*0.33,1,0))))))))</f>
        <v/>
      </c>
      <c r="V904">
        <f>IF(B904="","",IF(D904&lt;33.0,0,IF(D904&gt;=100*0.8,5,IF(D904&gt;=100*0.7,4,IF(D904&gt;=100*0.6,3.5,IF(D904&gt;=100*0.5,3,IF(D904&gt;=100*0.4,2,IF(D904&gt;=100*0.33,1,0))))))))</f>
        <v/>
      </c>
      <c r="W904">
        <f>IF(B904="","",IF(E904&lt;16.5,0,IF(E904&gt;=50*0.8,5,IF(E904&gt;=50*0.7,4,IF(E904&gt;=50*0.6,3.5,IF(E904&gt;=50*0.5,3,IF(E904&gt;=50*0.4,2,IF(E904&gt;=50*0.33,1,0))))))))</f>
        <v/>
      </c>
      <c r="X904">
        <f>IF(B904="","",IF(F904&lt;33.0,0,IF(F904&gt;=100*0.8,5,IF(F904&gt;=100*0.7,4,IF(F904&gt;=100*0.6,3.5,IF(F904&gt;=100*0.5,3,IF(F904&gt;=100*0.4,2,IF(F904&gt;=100*0.33,1,0))))))))</f>
        <v/>
      </c>
      <c r="Y904">
        <f>IF(B904="","",IF(G904&lt;16.5,0,IF(G904&gt;=50*0.8,5,IF(G904&gt;=50*0.7,4,IF(G904&gt;=50*0.6,3.5,IF(G904&gt;=50*0.5,3,IF(G904&gt;=50*0.4,2,IF(G904&gt;=50*0.33,1,0))))))))</f>
        <v/>
      </c>
      <c r="Z904">
        <f>IF(B904="","",IF(H904&lt;33.0,0,IF(H904&gt;=100*0.8,5,IF(H904&gt;=100*0.7,4,IF(H904&gt;=100*0.6,3.5,IF(H904&gt;=100*0.5,3,IF(H904&gt;=100*0.4,2,IF(H904&gt;=100*0.33,1,0))))))))</f>
        <v/>
      </c>
      <c r="AA904">
        <f>IF(B904="","",IF(I904&lt;33.0,0,IF(I904&gt;=100*0.8,5,IF(I904&gt;=100*0.7,4,IF(I904&gt;=100*0.6,3.5,IF(I904&gt;=100*0.5,3,IF(I904&gt;=100*0.4,2,IF(I904&gt;=100*0.33,1,0))))))))</f>
        <v/>
      </c>
      <c r="AB904">
        <f>IF(B904="","",IF(J904&lt;33.0,0,IF(J904&gt;=100*0.8,5,IF(J904&gt;=100*0.7,4,IF(J904&gt;=100*0.6,3.5,IF(J904&gt;=100*0.5,3,IF(J904&gt;=100*0.4,2,IF(J904&gt;=100*0.33,1,0))))))))</f>
        <v/>
      </c>
      <c r="AC904">
        <f>IF(B904="","",IF(K904&lt;33.0,0,IF(K904&gt;=100*0.8,5,IF(K904&gt;=100*0.7,4,IF(K904&gt;=100*0.6,3.5,IF(K904&gt;=100*0.5,3,IF(K904&gt;=100*0.4,2,IF(K904&gt;=100*0.33,1,0))))))))</f>
        <v/>
      </c>
      <c r="AD904">
        <f>IF(B904="","",IF(L904&lt;33.0,0,IF(L904&gt;=100*0.8,5,IF(L904&gt;=100*0.7,4,IF(L904&gt;=100*0.6,3.5,IF(L904&gt;=100*0.5,3,IF(L904&gt;=100*0.4,2,IF(L904&gt;=100*0.33,1,0))))))))</f>
        <v/>
      </c>
      <c r="AE904">
        <f>IF(B904="","",IF(M904&lt;33.0,0,IF(M904&gt;=100*0.8,5,IF(M904&gt;=100*0.7,4,IF(M904&gt;=100*0.6,3.5,IF(M904&gt;=100*0.5,3,IF(M904&gt;=100*0.4,2,IF(M904&gt;=100*0.33,1,0))))))))</f>
        <v/>
      </c>
      <c r="AF904">
        <f>IF(B904="","",IF(N904&lt;16.5,0,IF(N904&gt;=50*0.8,5,IF(N904&gt;=50*0.7,4,IF(N904&gt;=50*0.6,3.5,IF(N904&gt;=50*0.5,3,IF(N904&gt;=50*0.4,2,IF(N904&gt;=50*0.33,1,0))))))))</f>
        <v/>
      </c>
      <c r="AG904">
        <f>IF(B904="","",IF(O904&lt;33.0,0,IF(O904&gt;=100*0.8,5,IF(O904&gt;=100*0.7,4,IF(O904&gt;=100*0.6,3.5,IF(O904&gt;=100*0.5,3,IF(O904&gt;=100*0.4,2,IF(O904&gt;=100*0.33,1,0))))))))</f>
        <v/>
      </c>
      <c r="AH904">
        <f>IF(B904="","",IF(OR(U904=0,V904=0,W904=0,X904=0,Y904=0,Z904=0,AA904=0,AB904=0,AC904=0,AD904=0,AE904=0,AF904=0,AG904=0),1,0))</f>
        <v/>
      </c>
    </row>
    <row r="905">
      <c r="A905" s="3">
        <f>IF(B905="","",ROW()-2)</f>
        <v/>
      </c>
      <c r="P905" s="4">
        <f>IF(B905="","",SUM(C905:O905))</f>
        <v/>
      </c>
      <c r="Q905" s="5">
        <f>IF(B905="","",ROUND(P905/13,2))</f>
        <v/>
      </c>
      <c r="R905" s="5">
        <f>IF(B905="","",IF(AH905=1,0,MIN(5,ROUND((U905+V905+W905+X905+Y905+Z905+AA905+AB905+AC905+AD905+AE905+AF905+AG905)/13,2))))</f>
        <v/>
      </c>
      <c r="S905" s="3">
        <f>IF(B905="","",IF(R905&gt;=5,"A+",IF(R905&gt;=4,"A",IF(R905&gt;=3.5,"A-",IF(R905&gt;=3,"B",IF(R905&gt;=2,"C",IF(R905&gt;=1,"D","F")))))))</f>
        <v/>
      </c>
      <c r="T905" s="3">
        <f>IF(OR(B905="",S905="F"),"",COUNTIFS(P:P,"&gt;"&amp;P905,S:S,"&lt;&gt;F")+1)</f>
        <v/>
      </c>
      <c r="U905">
        <f>IF(B905="","",IF(C905&lt;33.0,0,IF(C905&gt;=100*0.8,5,IF(C905&gt;=100*0.7,4,IF(C905&gt;=100*0.6,3.5,IF(C905&gt;=100*0.5,3,IF(C905&gt;=100*0.4,2,IF(C905&gt;=100*0.33,1,0))))))))</f>
        <v/>
      </c>
      <c r="V905">
        <f>IF(B905="","",IF(D905&lt;33.0,0,IF(D905&gt;=100*0.8,5,IF(D905&gt;=100*0.7,4,IF(D905&gt;=100*0.6,3.5,IF(D905&gt;=100*0.5,3,IF(D905&gt;=100*0.4,2,IF(D905&gt;=100*0.33,1,0))))))))</f>
        <v/>
      </c>
      <c r="W905">
        <f>IF(B905="","",IF(E905&lt;16.5,0,IF(E905&gt;=50*0.8,5,IF(E905&gt;=50*0.7,4,IF(E905&gt;=50*0.6,3.5,IF(E905&gt;=50*0.5,3,IF(E905&gt;=50*0.4,2,IF(E905&gt;=50*0.33,1,0))))))))</f>
        <v/>
      </c>
      <c r="X905">
        <f>IF(B905="","",IF(F905&lt;33.0,0,IF(F905&gt;=100*0.8,5,IF(F905&gt;=100*0.7,4,IF(F905&gt;=100*0.6,3.5,IF(F905&gt;=100*0.5,3,IF(F905&gt;=100*0.4,2,IF(F905&gt;=100*0.33,1,0))))))))</f>
        <v/>
      </c>
      <c r="Y905">
        <f>IF(B905="","",IF(G905&lt;16.5,0,IF(G905&gt;=50*0.8,5,IF(G905&gt;=50*0.7,4,IF(G905&gt;=50*0.6,3.5,IF(G905&gt;=50*0.5,3,IF(G905&gt;=50*0.4,2,IF(G905&gt;=50*0.33,1,0))))))))</f>
        <v/>
      </c>
      <c r="Z905">
        <f>IF(B905="","",IF(H905&lt;33.0,0,IF(H905&gt;=100*0.8,5,IF(H905&gt;=100*0.7,4,IF(H905&gt;=100*0.6,3.5,IF(H905&gt;=100*0.5,3,IF(H905&gt;=100*0.4,2,IF(H905&gt;=100*0.33,1,0))))))))</f>
        <v/>
      </c>
      <c r="AA905">
        <f>IF(B905="","",IF(I905&lt;33.0,0,IF(I905&gt;=100*0.8,5,IF(I905&gt;=100*0.7,4,IF(I905&gt;=100*0.6,3.5,IF(I905&gt;=100*0.5,3,IF(I905&gt;=100*0.4,2,IF(I905&gt;=100*0.33,1,0))))))))</f>
        <v/>
      </c>
      <c r="AB905">
        <f>IF(B905="","",IF(J905&lt;33.0,0,IF(J905&gt;=100*0.8,5,IF(J905&gt;=100*0.7,4,IF(J905&gt;=100*0.6,3.5,IF(J905&gt;=100*0.5,3,IF(J905&gt;=100*0.4,2,IF(J905&gt;=100*0.33,1,0))))))))</f>
        <v/>
      </c>
      <c r="AC905">
        <f>IF(B905="","",IF(K905&lt;33.0,0,IF(K905&gt;=100*0.8,5,IF(K905&gt;=100*0.7,4,IF(K905&gt;=100*0.6,3.5,IF(K905&gt;=100*0.5,3,IF(K905&gt;=100*0.4,2,IF(K905&gt;=100*0.33,1,0))))))))</f>
        <v/>
      </c>
      <c r="AD905">
        <f>IF(B905="","",IF(L905&lt;33.0,0,IF(L905&gt;=100*0.8,5,IF(L905&gt;=100*0.7,4,IF(L905&gt;=100*0.6,3.5,IF(L905&gt;=100*0.5,3,IF(L905&gt;=100*0.4,2,IF(L905&gt;=100*0.33,1,0))))))))</f>
        <v/>
      </c>
      <c r="AE905">
        <f>IF(B905="","",IF(M905&lt;33.0,0,IF(M905&gt;=100*0.8,5,IF(M905&gt;=100*0.7,4,IF(M905&gt;=100*0.6,3.5,IF(M905&gt;=100*0.5,3,IF(M905&gt;=100*0.4,2,IF(M905&gt;=100*0.33,1,0))))))))</f>
        <v/>
      </c>
      <c r="AF905">
        <f>IF(B905="","",IF(N905&lt;16.5,0,IF(N905&gt;=50*0.8,5,IF(N905&gt;=50*0.7,4,IF(N905&gt;=50*0.6,3.5,IF(N905&gt;=50*0.5,3,IF(N905&gt;=50*0.4,2,IF(N905&gt;=50*0.33,1,0))))))))</f>
        <v/>
      </c>
      <c r="AG905">
        <f>IF(B905="","",IF(O905&lt;33.0,0,IF(O905&gt;=100*0.8,5,IF(O905&gt;=100*0.7,4,IF(O905&gt;=100*0.6,3.5,IF(O905&gt;=100*0.5,3,IF(O905&gt;=100*0.4,2,IF(O905&gt;=100*0.33,1,0))))))))</f>
        <v/>
      </c>
      <c r="AH905">
        <f>IF(B905="","",IF(OR(U905=0,V905=0,W905=0,X905=0,Y905=0,Z905=0,AA905=0,AB905=0,AC905=0,AD905=0,AE905=0,AF905=0,AG905=0),1,0))</f>
        <v/>
      </c>
    </row>
    <row r="906">
      <c r="A906" s="3">
        <f>IF(B906="","",ROW()-2)</f>
        <v/>
      </c>
      <c r="P906" s="4">
        <f>IF(B906="","",SUM(C906:O906))</f>
        <v/>
      </c>
      <c r="Q906" s="5">
        <f>IF(B906="","",ROUND(P906/13,2))</f>
        <v/>
      </c>
      <c r="R906" s="5">
        <f>IF(B906="","",IF(AH906=1,0,MIN(5,ROUND((U906+V906+W906+X906+Y906+Z906+AA906+AB906+AC906+AD906+AE906+AF906+AG906)/13,2))))</f>
        <v/>
      </c>
      <c r="S906" s="3">
        <f>IF(B906="","",IF(R906&gt;=5,"A+",IF(R906&gt;=4,"A",IF(R906&gt;=3.5,"A-",IF(R906&gt;=3,"B",IF(R906&gt;=2,"C",IF(R906&gt;=1,"D","F")))))))</f>
        <v/>
      </c>
      <c r="T906" s="3">
        <f>IF(OR(B906="",S906="F"),"",COUNTIFS(P:P,"&gt;"&amp;P906,S:S,"&lt;&gt;F")+1)</f>
        <v/>
      </c>
      <c r="U906">
        <f>IF(B906="","",IF(C906&lt;33.0,0,IF(C906&gt;=100*0.8,5,IF(C906&gt;=100*0.7,4,IF(C906&gt;=100*0.6,3.5,IF(C906&gt;=100*0.5,3,IF(C906&gt;=100*0.4,2,IF(C906&gt;=100*0.33,1,0))))))))</f>
        <v/>
      </c>
      <c r="V906">
        <f>IF(B906="","",IF(D906&lt;33.0,0,IF(D906&gt;=100*0.8,5,IF(D906&gt;=100*0.7,4,IF(D906&gt;=100*0.6,3.5,IF(D906&gt;=100*0.5,3,IF(D906&gt;=100*0.4,2,IF(D906&gt;=100*0.33,1,0))))))))</f>
        <v/>
      </c>
      <c r="W906">
        <f>IF(B906="","",IF(E906&lt;16.5,0,IF(E906&gt;=50*0.8,5,IF(E906&gt;=50*0.7,4,IF(E906&gt;=50*0.6,3.5,IF(E906&gt;=50*0.5,3,IF(E906&gt;=50*0.4,2,IF(E906&gt;=50*0.33,1,0))))))))</f>
        <v/>
      </c>
      <c r="X906">
        <f>IF(B906="","",IF(F906&lt;33.0,0,IF(F906&gt;=100*0.8,5,IF(F906&gt;=100*0.7,4,IF(F906&gt;=100*0.6,3.5,IF(F906&gt;=100*0.5,3,IF(F906&gt;=100*0.4,2,IF(F906&gt;=100*0.33,1,0))))))))</f>
        <v/>
      </c>
      <c r="Y906">
        <f>IF(B906="","",IF(G906&lt;16.5,0,IF(G906&gt;=50*0.8,5,IF(G906&gt;=50*0.7,4,IF(G906&gt;=50*0.6,3.5,IF(G906&gt;=50*0.5,3,IF(G906&gt;=50*0.4,2,IF(G906&gt;=50*0.33,1,0))))))))</f>
        <v/>
      </c>
      <c r="Z906">
        <f>IF(B906="","",IF(H906&lt;33.0,0,IF(H906&gt;=100*0.8,5,IF(H906&gt;=100*0.7,4,IF(H906&gt;=100*0.6,3.5,IF(H906&gt;=100*0.5,3,IF(H906&gt;=100*0.4,2,IF(H906&gt;=100*0.33,1,0))))))))</f>
        <v/>
      </c>
      <c r="AA906">
        <f>IF(B906="","",IF(I906&lt;33.0,0,IF(I906&gt;=100*0.8,5,IF(I906&gt;=100*0.7,4,IF(I906&gt;=100*0.6,3.5,IF(I906&gt;=100*0.5,3,IF(I906&gt;=100*0.4,2,IF(I906&gt;=100*0.33,1,0))))))))</f>
        <v/>
      </c>
      <c r="AB906">
        <f>IF(B906="","",IF(J906&lt;33.0,0,IF(J906&gt;=100*0.8,5,IF(J906&gt;=100*0.7,4,IF(J906&gt;=100*0.6,3.5,IF(J906&gt;=100*0.5,3,IF(J906&gt;=100*0.4,2,IF(J906&gt;=100*0.33,1,0))))))))</f>
        <v/>
      </c>
      <c r="AC906">
        <f>IF(B906="","",IF(K906&lt;33.0,0,IF(K906&gt;=100*0.8,5,IF(K906&gt;=100*0.7,4,IF(K906&gt;=100*0.6,3.5,IF(K906&gt;=100*0.5,3,IF(K906&gt;=100*0.4,2,IF(K906&gt;=100*0.33,1,0))))))))</f>
        <v/>
      </c>
      <c r="AD906">
        <f>IF(B906="","",IF(L906&lt;33.0,0,IF(L906&gt;=100*0.8,5,IF(L906&gt;=100*0.7,4,IF(L906&gt;=100*0.6,3.5,IF(L906&gt;=100*0.5,3,IF(L906&gt;=100*0.4,2,IF(L906&gt;=100*0.33,1,0))))))))</f>
        <v/>
      </c>
      <c r="AE906">
        <f>IF(B906="","",IF(M906&lt;33.0,0,IF(M906&gt;=100*0.8,5,IF(M906&gt;=100*0.7,4,IF(M906&gt;=100*0.6,3.5,IF(M906&gt;=100*0.5,3,IF(M906&gt;=100*0.4,2,IF(M906&gt;=100*0.33,1,0))))))))</f>
        <v/>
      </c>
      <c r="AF906">
        <f>IF(B906="","",IF(N906&lt;16.5,0,IF(N906&gt;=50*0.8,5,IF(N906&gt;=50*0.7,4,IF(N906&gt;=50*0.6,3.5,IF(N906&gt;=50*0.5,3,IF(N906&gt;=50*0.4,2,IF(N906&gt;=50*0.33,1,0))))))))</f>
        <v/>
      </c>
      <c r="AG906">
        <f>IF(B906="","",IF(O906&lt;33.0,0,IF(O906&gt;=100*0.8,5,IF(O906&gt;=100*0.7,4,IF(O906&gt;=100*0.6,3.5,IF(O906&gt;=100*0.5,3,IF(O906&gt;=100*0.4,2,IF(O906&gt;=100*0.33,1,0))))))))</f>
        <v/>
      </c>
      <c r="AH906">
        <f>IF(B906="","",IF(OR(U906=0,V906=0,W906=0,X906=0,Y906=0,Z906=0,AA906=0,AB906=0,AC906=0,AD906=0,AE906=0,AF906=0,AG906=0),1,0))</f>
        <v/>
      </c>
    </row>
    <row r="907">
      <c r="A907" s="3">
        <f>IF(B907="","",ROW()-2)</f>
        <v/>
      </c>
      <c r="P907" s="4">
        <f>IF(B907="","",SUM(C907:O907))</f>
        <v/>
      </c>
      <c r="Q907" s="5">
        <f>IF(B907="","",ROUND(P907/13,2))</f>
        <v/>
      </c>
      <c r="R907" s="5">
        <f>IF(B907="","",IF(AH907=1,0,MIN(5,ROUND((U907+V907+W907+X907+Y907+Z907+AA907+AB907+AC907+AD907+AE907+AF907+AG907)/13,2))))</f>
        <v/>
      </c>
      <c r="S907" s="3">
        <f>IF(B907="","",IF(R907&gt;=5,"A+",IF(R907&gt;=4,"A",IF(R907&gt;=3.5,"A-",IF(R907&gt;=3,"B",IF(R907&gt;=2,"C",IF(R907&gt;=1,"D","F")))))))</f>
        <v/>
      </c>
      <c r="T907" s="3">
        <f>IF(OR(B907="",S907="F"),"",COUNTIFS(P:P,"&gt;"&amp;P907,S:S,"&lt;&gt;F")+1)</f>
        <v/>
      </c>
      <c r="U907">
        <f>IF(B907="","",IF(C907&lt;33.0,0,IF(C907&gt;=100*0.8,5,IF(C907&gt;=100*0.7,4,IF(C907&gt;=100*0.6,3.5,IF(C907&gt;=100*0.5,3,IF(C907&gt;=100*0.4,2,IF(C907&gt;=100*0.33,1,0))))))))</f>
        <v/>
      </c>
      <c r="V907">
        <f>IF(B907="","",IF(D907&lt;33.0,0,IF(D907&gt;=100*0.8,5,IF(D907&gt;=100*0.7,4,IF(D907&gt;=100*0.6,3.5,IF(D907&gt;=100*0.5,3,IF(D907&gt;=100*0.4,2,IF(D907&gt;=100*0.33,1,0))))))))</f>
        <v/>
      </c>
      <c r="W907">
        <f>IF(B907="","",IF(E907&lt;16.5,0,IF(E907&gt;=50*0.8,5,IF(E907&gt;=50*0.7,4,IF(E907&gt;=50*0.6,3.5,IF(E907&gt;=50*0.5,3,IF(E907&gt;=50*0.4,2,IF(E907&gt;=50*0.33,1,0))))))))</f>
        <v/>
      </c>
      <c r="X907">
        <f>IF(B907="","",IF(F907&lt;33.0,0,IF(F907&gt;=100*0.8,5,IF(F907&gt;=100*0.7,4,IF(F907&gt;=100*0.6,3.5,IF(F907&gt;=100*0.5,3,IF(F907&gt;=100*0.4,2,IF(F907&gt;=100*0.33,1,0))))))))</f>
        <v/>
      </c>
      <c r="Y907">
        <f>IF(B907="","",IF(G907&lt;16.5,0,IF(G907&gt;=50*0.8,5,IF(G907&gt;=50*0.7,4,IF(G907&gt;=50*0.6,3.5,IF(G907&gt;=50*0.5,3,IF(G907&gt;=50*0.4,2,IF(G907&gt;=50*0.33,1,0))))))))</f>
        <v/>
      </c>
      <c r="Z907">
        <f>IF(B907="","",IF(H907&lt;33.0,0,IF(H907&gt;=100*0.8,5,IF(H907&gt;=100*0.7,4,IF(H907&gt;=100*0.6,3.5,IF(H907&gt;=100*0.5,3,IF(H907&gt;=100*0.4,2,IF(H907&gt;=100*0.33,1,0))))))))</f>
        <v/>
      </c>
      <c r="AA907">
        <f>IF(B907="","",IF(I907&lt;33.0,0,IF(I907&gt;=100*0.8,5,IF(I907&gt;=100*0.7,4,IF(I907&gt;=100*0.6,3.5,IF(I907&gt;=100*0.5,3,IF(I907&gt;=100*0.4,2,IF(I907&gt;=100*0.33,1,0))))))))</f>
        <v/>
      </c>
      <c r="AB907">
        <f>IF(B907="","",IF(J907&lt;33.0,0,IF(J907&gt;=100*0.8,5,IF(J907&gt;=100*0.7,4,IF(J907&gt;=100*0.6,3.5,IF(J907&gt;=100*0.5,3,IF(J907&gt;=100*0.4,2,IF(J907&gt;=100*0.33,1,0))))))))</f>
        <v/>
      </c>
      <c r="AC907">
        <f>IF(B907="","",IF(K907&lt;33.0,0,IF(K907&gt;=100*0.8,5,IF(K907&gt;=100*0.7,4,IF(K907&gt;=100*0.6,3.5,IF(K907&gt;=100*0.5,3,IF(K907&gt;=100*0.4,2,IF(K907&gt;=100*0.33,1,0))))))))</f>
        <v/>
      </c>
      <c r="AD907">
        <f>IF(B907="","",IF(L907&lt;33.0,0,IF(L907&gt;=100*0.8,5,IF(L907&gt;=100*0.7,4,IF(L907&gt;=100*0.6,3.5,IF(L907&gt;=100*0.5,3,IF(L907&gt;=100*0.4,2,IF(L907&gt;=100*0.33,1,0))))))))</f>
        <v/>
      </c>
      <c r="AE907">
        <f>IF(B907="","",IF(M907&lt;33.0,0,IF(M907&gt;=100*0.8,5,IF(M907&gt;=100*0.7,4,IF(M907&gt;=100*0.6,3.5,IF(M907&gt;=100*0.5,3,IF(M907&gt;=100*0.4,2,IF(M907&gt;=100*0.33,1,0))))))))</f>
        <v/>
      </c>
      <c r="AF907">
        <f>IF(B907="","",IF(N907&lt;16.5,0,IF(N907&gt;=50*0.8,5,IF(N907&gt;=50*0.7,4,IF(N907&gt;=50*0.6,3.5,IF(N907&gt;=50*0.5,3,IF(N907&gt;=50*0.4,2,IF(N907&gt;=50*0.33,1,0))))))))</f>
        <v/>
      </c>
      <c r="AG907">
        <f>IF(B907="","",IF(O907&lt;33.0,0,IF(O907&gt;=100*0.8,5,IF(O907&gt;=100*0.7,4,IF(O907&gt;=100*0.6,3.5,IF(O907&gt;=100*0.5,3,IF(O907&gt;=100*0.4,2,IF(O907&gt;=100*0.33,1,0))))))))</f>
        <v/>
      </c>
      <c r="AH907">
        <f>IF(B907="","",IF(OR(U907=0,V907=0,W907=0,X907=0,Y907=0,Z907=0,AA907=0,AB907=0,AC907=0,AD907=0,AE907=0,AF907=0,AG907=0),1,0))</f>
        <v/>
      </c>
    </row>
    <row r="908">
      <c r="A908" s="3">
        <f>IF(B908="","",ROW()-2)</f>
        <v/>
      </c>
      <c r="P908" s="4">
        <f>IF(B908="","",SUM(C908:O908))</f>
        <v/>
      </c>
      <c r="Q908" s="5">
        <f>IF(B908="","",ROUND(P908/13,2))</f>
        <v/>
      </c>
      <c r="R908" s="5">
        <f>IF(B908="","",IF(AH908=1,0,MIN(5,ROUND((U908+V908+W908+X908+Y908+Z908+AA908+AB908+AC908+AD908+AE908+AF908+AG908)/13,2))))</f>
        <v/>
      </c>
      <c r="S908" s="3">
        <f>IF(B908="","",IF(R908&gt;=5,"A+",IF(R908&gt;=4,"A",IF(R908&gt;=3.5,"A-",IF(R908&gt;=3,"B",IF(R908&gt;=2,"C",IF(R908&gt;=1,"D","F")))))))</f>
        <v/>
      </c>
      <c r="T908" s="3">
        <f>IF(OR(B908="",S908="F"),"",COUNTIFS(P:P,"&gt;"&amp;P908,S:S,"&lt;&gt;F")+1)</f>
        <v/>
      </c>
      <c r="U908">
        <f>IF(B908="","",IF(C908&lt;33.0,0,IF(C908&gt;=100*0.8,5,IF(C908&gt;=100*0.7,4,IF(C908&gt;=100*0.6,3.5,IF(C908&gt;=100*0.5,3,IF(C908&gt;=100*0.4,2,IF(C908&gt;=100*0.33,1,0))))))))</f>
        <v/>
      </c>
      <c r="V908">
        <f>IF(B908="","",IF(D908&lt;33.0,0,IF(D908&gt;=100*0.8,5,IF(D908&gt;=100*0.7,4,IF(D908&gt;=100*0.6,3.5,IF(D908&gt;=100*0.5,3,IF(D908&gt;=100*0.4,2,IF(D908&gt;=100*0.33,1,0))))))))</f>
        <v/>
      </c>
      <c r="W908">
        <f>IF(B908="","",IF(E908&lt;16.5,0,IF(E908&gt;=50*0.8,5,IF(E908&gt;=50*0.7,4,IF(E908&gt;=50*0.6,3.5,IF(E908&gt;=50*0.5,3,IF(E908&gt;=50*0.4,2,IF(E908&gt;=50*0.33,1,0))))))))</f>
        <v/>
      </c>
      <c r="X908">
        <f>IF(B908="","",IF(F908&lt;33.0,0,IF(F908&gt;=100*0.8,5,IF(F908&gt;=100*0.7,4,IF(F908&gt;=100*0.6,3.5,IF(F908&gt;=100*0.5,3,IF(F908&gt;=100*0.4,2,IF(F908&gt;=100*0.33,1,0))))))))</f>
        <v/>
      </c>
      <c r="Y908">
        <f>IF(B908="","",IF(G908&lt;16.5,0,IF(G908&gt;=50*0.8,5,IF(G908&gt;=50*0.7,4,IF(G908&gt;=50*0.6,3.5,IF(G908&gt;=50*0.5,3,IF(G908&gt;=50*0.4,2,IF(G908&gt;=50*0.33,1,0))))))))</f>
        <v/>
      </c>
      <c r="Z908">
        <f>IF(B908="","",IF(H908&lt;33.0,0,IF(H908&gt;=100*0.8,5,IF(H908&gt;=100*0.7,4,IF(H908&gt;=100*0.6,3.5,IF(H908&gt;=100*0.5,3,IF(H908&gt;=100*0.4,2,IF(H908&gt;=100*0.33,1,0))))))))</f>
        <v/>
      </c>
      <c r="AA908">
        <f>IF(B908="","",IF(I908&lt;33.0,0,IF(I908&gt;=100*0.8,5,IF(I908&gt;=100*0.7,4,IF(I908&gt;=100*0.6,3.5,IF(I908&gt;=100*0.5,3,IF(I908&gt;=100*0.4,2,IF(I908&gt;=100*0.33,1,0))))))))</f>
        <v/>
      </c>
      <c r="AB908">
        <f>IF(B908="","",IF(J908&lt;33.0,0,IF(J908&gt;=100*0.8,5,IF(J908&gt;=100*0.7,4,IF(J908&gt;=100*0.6,3.5,IF(J908&gt;=100*0.5,3,IF(J908&gt;=100*0.4,2,IF(J908&gt;=100*0.33,1,0))))))))</f>
        <v/>
      </c>
      <c r="AC908">
        <f>IF(B908="","",IF(K908&lt;33.0,0,IF(K908&gt;=100*0.8,5,IF(K908&gt;=100*0.7,4,IF(K908&gt;=100*0.6,3.5,IF(K908&gt;=100*0.5,3,IF(K908&gt;=100*0.4,2,IF(K908&gt;=100*0.33,1,0))))))))</f>
        <v/>
      </c>
      <c r="AD908">
        <f>IF(B908="","",IF(L908&lt;33.0,0,IF(L908&gt;=100*0.8,5,IF(L908&gt;=100*0.7,4,IF(L908&gt;=100*0.6,3.5,IF(L908&gt;=100*0.5,3,IF(L908&gt;=100*0.4,2,IF(L908&gt;=100*0.33,1,0))))))))</f>
        <v/>
      </c>
      <c r="AE908">
        <f>IF(B908="","",IF(M908&lt;33.0,0,IF(M908&gt;=100*0.8,5,IF(M908&gt;=100*0.7,4,IF(M908&gt;=100*0.6,3.5,IF(M908&gt;=100*0.5,3,IF(M908&gt;=100*0.4,2,IF(M908&gt;=100*0.33,1,0))))))))</f>
        <v/>
      </c>
      <c r="AF908">
        <f>IF(B908="","",IF(N908&lt;16.5,0,IF(N908&gt;=50*0.8,5,IF(N908&gt;=50*0.7,4,IF(N908&gt;=50*0.6,3.5,IF(N908&gt;=50*0.5,3,IF(N908&gt;=50*0.4,2,IF(N908&gt;=50*0.33,1,0))))))))</f>
        <v/>
      </c>
      <c r="AG908">
        <f>IF(B908="","",IF(O908&lt;33.0,0,IF(O908&gt;=100*0.8,5,IF(O908&gt;=100*0.7,4,IF(O908&gt;=100*0.6,3.5,IF(O908&gt;=100*0.5,3,IF(O908&gt;=100*0.4,2,IF(O908&gt;=100*0.33,1,0))))))))</f>
        <v/>
      </c>
      <c r="AH908">
        <f>IF(B908="","",IF(OR(U908=0,V908=0,W908=0,X908=0,Y908=0,Z908=0,AA908=0,AB908=0,AC908=0,AD908=0,AE908=0,AF908=0,AG908=0),1,0))</f>
        <v/>
      </c>
    </row>
    <row r="909">
      <c r="A909" s="3">
        <f>IF(B909="","",ROW()-2)</f>
        <v/>
      </c>
      <c r="P909" s="4">
        <f>IF(B909="","",SUM(C909:O909))</f>
        <v/>
      </c>
      <c r="Q909" s="5">
        <f>IF(B909="","",ROUND(P909/13,2))</f>
        <v/>
      </c>
      <c r="R909" s="5">
        <f>IF(B909="","",IF(AH909=1,0,MIN(5,ROUND((U909+V909+W909+X909+Y909+Z909+AA909+AB909+AC909+AD909+AE909+AF909+AG909)/13,2))))</f>
        <v/>
      </c>
      <c r="S909" s="3">
        <f>IF(B909="","",IF(R909&gt;=5,"A+",IF(R909&gt;=4,"A",IF(R909&gt;=3.5,"A-",IF(R909&gt;=3,"B",IF(R909&gt;=2,"C",IF(R909&gt;=1,"D","F")))))))</f>
        <v/>
      </c>
      <c r="T909" s="3">
        <f>IF(OR(B909="",S909="F"),"",COUNTIFS(P:P,"&gt;"&amp;P909,S:S,"&lt;&gt;F")+1)</f>
        <v/>
      </c>
      <c r="U909">
        <f>IF(B909="","",IF(C909&lt;33.0,0,IF(C909&gt;=100*0.8,5,IF(C909&gt;=100*0.7,4,IF(C909&gt;=100*0.6,3.5,IF(C909&gt;=100*0.5,3,IF(C909&gt;=100*0.4,2,IF(C909&gt;=100*0.33,1,0))))))))</f>
        <v/>
      </c>
      <c r="V909">
        <f>IF(B909="","",IF(D909&lt;33.0,0,IF(D909&gt;=100*0.8,5,IF(D909&gt;=100*0.7,4,IF(D909&gt;=100*0.6,3.5,IF(D909&gt;=100*0.5,3,IF(D909&gt;=100*0.4,2,IF(D909&gt;=100*0.33,1,0))))))))</f>
        <v/>
      </c>
      <c r="W909">
        <f>IF(B909="","",IF(E909&lt;16.5,0,IF(E909&gt;=50*0.8,5,IF(E909&gt;=50*0.7,4,IF(E909&gt;=50*0.6,3.5,IF(E909&gt;=50*0.5,3,IF(E909&gt;=50*0.4,2,IF(E909&gt;=50*0.33,1,0))))))))</f>
        <v/>
      </c>
      <c r="X909">
        <f>IF(B909="","",IF(F909&lt;33.0,0,IF(F909&gt;=100*0.8,5,IF(F909&gt;=100*0.7,4,IF(F909&gt;=100*0.6,3.5,IF(F909&gt;=100*0.5,3,IF(F909&gt;=100*0.4,2,IF(F909&gt;=100*0.33,1,0))))))))</f>
        <v/>
      </c>
      <c r="Y909">
        <f>IF(B909="","",IF(G909&lt;16.5,0,IF(G909&gt;=50*0.8,5,IF(G909&gt;=50*0.7,4,IF(G909&gt;=50*0.6,3.5,IF(G909&gt;=50*0.5,3,IF(G909&gt;=50*0.4,2,IF(G909&gt;=50*0.33,1,0))))))))</f>
        <v/>
      </c>
      <c r="Z909">
        <f>IF(B909="","",IF(H909&lt;33.0,0,IF(H909&gt;=100*0.8,5,IF(H909&gt;=100*0.7,4,IF(H909&gt;=100*0.6,3.5,IF(H909&gt;=100*0.5,3,IF(H909&gt;=100*0.4,2,IF(H909&gt;=100*0.33,1,0))))))))</f>
        <v/>
      </c>
      <c r="AA909">
        <f>IF(B909="","",IF(I909&lt;33.0,0,IF(I909&gt;=100*0.8,5,IF(I909&gt;=100*0.7,4,IF(I909&gt;=100*0.6,3.5,IF(I909&gt;=100*0.5,3,IF(I909&gt;=100*0.4,2,IF(I909&gt;=100*0.33,1,0))))))))</f>
        <v/>
      </c>
      <c r="AB909">
        <f>IF(B909="","",IF(J909&lt;33.0,0,IF(J909&gt;=100*0.8,5,IF(J909&gt;=100*0.7,4,IF(J909&gt;=100*0.6,3.5,IF(J909&gt;=100*0.5,3,IF(J909&gt;=100*0.4,2,IF(J909&gt;=100*0.33,1,0))))))))</f>
        <v/>
      </c>
      <c r="AC909">
        <f>IF(B909="","",IF(K909&lt;33.0,0,IF(K909&gt;=100*0.8,5,IF(K909&gt;=100*0.7,4,IF(K909&gt;=100*0.6,3.5,IF(K909&gt;=100*0.5,3,IF(K909&gt;=100*0.4,2,IF(K909&gt;=100*0.33,1,0))))))))</f>
        <v/>
      </c>
      <c r="AD909">
        <f>IF(B909="","",IF(L909&lt;33.0,0,IF(L909&gt;=100*0.8,5,IF(L909&gt;=100*0.7,4,IF(L909&gt;=100*0.6,3.5,IF(L909&gt;=100*0.5,3,IF(L909&gt;=100*0.4,2,IF(L909&gt;=100*0.33,1,0))))))))</f>
        <v/>
      </c>
      <c r="AE909">
        <f>IF(B909="","",IF(M909&lt;33.0,0,IF(M909&gt;=100*0.8,5,IF(M909&gt;=100*0.7,4,IF(M909&gt;=100*0.6,3.5,IF(M909&gt;=100*0.5,3,IF(M909&gt;=100*0.4,2,IF(M909&gt;=100*0.33,1,0))))))))</f>
        <v/>
      </c>
      <c r="AF909">
        <f>IF(B909="","",IF(N909&lt;16.5,0,IF(N909&gt;=50*0.8,5,IF(N909&gt;=50*0.7,4,IF(N909&gt;=50*0.6,3.5,IF(N909&gt;=50*0.5,3,IF(N909&gt;=50*0.4,2,IF(N909&gt;=50*0.33,1,0))))))))</f>
        <v/>
      </c>
      <c r="AG909">
        <f>IF(B909="","",IF(O909&lt;33.0,0,IF(O909&gt;=100*0.8,5,IF(O909&gt;=100*0.7,4,IF(O909&gt;=100*0.6,3.5,IF(O909&gt;=100*0.5,3,IF(O909&gt;=100*0.4,2,IF(O909&gt;=100*0.33,1,0))))))))</f>
        <v/>
      </c>
      <c r="AH909">
        <f>IF(B909="","",IF(OR(U909=0,V909=0,W909=0,X909=0,Y909=0,Z909=0,AA909=0,AB909=0,AC909=0,AD909=0,AE909=0,AF909=0,AG909=0),1,0))</f>
        <v/>
      </c>
    </row>
    <row r="910">
      <c r="A910" s="3">
        <f>IF(B910="","",ROW()-2)</f>
        <v/>
      </c>
      <c r="P910" s="4">
        <f>IF(B910="","",SUM(C910:O910))</f>
        <v/>
      </c>
      <c r="Q910" s="5">
        <f>IF(B910="","",ROUND(P910/13,2))</f>
        <v/>
      </c>
      <c r="R910" s="5">
        <f>IF(B910="","",IF(AH910=1,0,MIN(5,ROUND((U910+V910+W910+X910+Y910+Z910+AA910+AB910+AC910+AD910+AE910+AF910+AG910)/13,2))))</f>
        <v/>
      </c>
      <c r="S910" s="3">
        <f>IF(B910="","",IF(R910&gt;=5,"A+",IF(R910&gt;=4,"A",IF(R910&gt;=3.5,"A-",IF(R910&gt;=3,"B",IF(R910&gt;=2,"C",IF(R910&gt;=1,"D","F")))))))</f>
        <v/>
      </c>
      <c r="T910" s="3">
        <f>IF(OR(B910="",S910="F"),"",COUNTIFS(P:P,"&gt;"&amp;P910,S:S,"&lt;&gt;F")+1)</f>
        <v/>
      </c>
      <c r="U910">
        <f>IF(B910="","",IF(C910&lt;33.0,0,IF(C910&gt;=100*0.8,5,IF(C910&gt;=100*0.7,4,IF(C910&gt;=100*0.6,3.5,IF(C910&gt;=100*0.5,3,IF(C910&gt;=100*0.4,2,IF(C910&gt;=100*0.33,1,0))))))))</f>
        <v/>
      </c>
      <c r="V910">
        <f>IF(B910="","",IF(D910&lt;33.0,0,IF(D910&gt;=100*0.8,5,IF(D910&gt;=100*0.7,4,IF(D910&gt;=100*0.6,3.5,IF(D910&gt;=100*0.5,3,IF(D910&gt;=100*0.4,2,IF(D910&gt;=100*0.33,1,0))))))))</f>
        <v/>
      </c>
      <c r="W910">
        <f>IF(B910="","",IF(E910&lt;16.5,0,IF(E910&gt;=50*0.8,5,IF(E910&gt;=50*0.7,4,IF(E910&gt;=50*0.6,3.5,IF(E910&gt;=50*0.5,3,IF(E910&gt;=50*0.4,2,IF(E910&gt;=50*0.33,1,0))))))))</f>
        <v/>
      </c>
      <c r="X910">
        <f>IF(B910="","",IF(F910&lt;33.0,0,IF(F910&gt;=100*0.8,5,IF(F910&gt;=100*0.7,4,IF(F910&gt;=100*0.6,3.5,IF(F910&gt;=100*0.5,3,IF(F910&gt;=100*0.4,2,IF(F910&gt;=100*0.33,1,0))))))))</f>
        <v/>
      </c>
      <c r="Y910">
        <f>IF(B910="","",IF(G910&lt;16.5,0,IF(G910&gt;=50*0.8,5,IF(G910&gt;=50*0.7,4,IF(G910&gt;=50*0.6,3.5,IF(G910&gt;=50*0.5,3,IF(G910&gt;=50*0.4,2,IF(G910&gt;=50*0.33,1,0))))))))</f>
        <v/>
      </c>
      <c r="Z910">
        <f>IF(B910="","",IF(H910&lt;33.0,0,IF(H910&gt;=100*0.8,5,IF(H910&gt;=100*0.7,4,IF(H910&gt;=100*0.6,3.5,IF(H910&gt;=100*0.5,3,IF(H910&gt;=100*0.4,2,IF(H910&gt;=100*0.33,1,0))))))))</f>
        <v/>
      </c>
      <c r="AA910">
        <f>IF(B910="","",IF(I910&lt;33.0,0,IF(I910&gt;=100*0.8,5,IF(I910&gt;=100*0.7,4,IF(I910&gt;=100*0.6,3.5,IF(I910&gt;=100*0.5,3,IF(I910&gt;=100*0.4,2,IF(I910&gt;=100*0.33,1,0))))))))</f>
        <v/>
      </c>
      <c r="AB910">
        <f>IF(B910="","",IF(J910&lt;33.0,0,IF(J910&gt;=100*0.8,5,IF(J910&gt;=100*0.7,4,IF(J910&gt;=100*0.6,3.5,IF(J910&gt;=100*0.5,3,IF(J910&gt;=100*0.4,2,IF(J910&gt;=100*0.33,1,0))))))))</f>
        <v/>
      </c>
      <c r="AC910">
        <f>IF(B910="","",IF(K910&lt;33.0,0,IF(K910&gt;=100*0.8,5,IF(K910&gt;=100*0.7,4,IF(K910&gt;=100*0.6,3.5,IF(K910&gt;=100*0.5,3,IF(K910&gt;=100*0.4,2,IF(K910&gt;=100*0.33,1,0))))))))</f>
        <v/>
      </c>
      <c r="AD910">
        <f>IF(B910="","",IF(L910&lt;33.0,0,IF(L910&gt;=100*0.8,5,IF(L910&gt;=100*0.7,4,IF(L910&gt;=100*0.6,3.5,IF(L910&gt;=100*0.5,3,IF(L910&gt;=100*0.4,2,IF(L910&gt;=100*0.33,1,0))))))))</f>
        <v/>
      </c>
      <c r="AE910">
        <f>IF(B910="","",IF(M910&lt;33.0,0,IF(M910&gt;=100*0.8,5,IF(M910&gt;=100*0.7,4,IF(M910&gt;=100*0.6,3.5,IF(M910&gt;=100*0.5,3,IF(M910&gt;=100*0.4,2,IF(M910&gt;=100*0.33,1,0))))))))</f>
        <v/>
      </c>
      <c r="AF910">
        <f>IF(B910="","",IF(N910&lt;16.5,0,IF(N910&gt;=50*0.8,5,IF(N910&gt;=50*0.7,4,IF(N910&gt;=50*0.6,3.5,IF(N910&gt;=50*0.5,3,IF(N910&gt;=50*0.4,2,IF(N910&gt;=50*0.33,1,0))))))))</f>
        <v/>
      </c>
      <c r="AG910">
        <f>IF(B910="","",IF(O910&lt;33.0,0,IF(O910&gt;=100*0.8,5,IF(O910&gt;=100*0.7,4,IF(O910&gt;=100*0.6,3.5,IF(O910&gt;=100*0.5,3,IF(O910&gt;=100*0.4,2,IF(O910&gt;=100*0.33,1,0))))))))</f>
        <v/>
      </c>
      <c r="AH910">
        <f>IF(B910="","",IF(OR(U910=0,V910=0,W910=0,X910=0,Y910=0,Z910=0,AA910=0,AB910=0,AC910=0,AD910=0,AE910=0,AF910=0,AG910=0),1,0))</f>
        <v/>
      </c>
    </row>
    <row r="911">
      <c r="A911" s="3">
        <f>IF(B911="","",ROW()-2)</f>
        <v/>
      </c>
      <c r="P911" s="4">
        <f>IF(B911="","",SUM(C911:O911))</f>
        <v/>
      </c>
      <c r="Q911" s="5">
        <f>IF(B911="","",ROUND(P911/13,2))</f>
        <v/>
      </c>
      <c r="R911" s="5">
        <f>IF(B911="","",IF(AH911=1,0,MIN(5,ROUND((U911+V911+W911+X911+Y911+Z911+AA911+AB911+AC911+AD911+AE911+AF911+AG911)/13,2))))</f>
        <v/>
      </c>
      <c r="S911" s="3">
        <f>IF(B911="","",IF(R911&gt;=5,"A+",IF(R911&gt;=4,"A",IF(R911&gt;=3.5,"A-",IF(R911&gt;=3,"B",IF(R911&gt;=2,"C",IF(R911&gt;=1,"D","F")))))))</f>
        <v/>
      </c>
      <c r="T911" s="3">
        <f>IF(OR(B911="",S911="F"),"",COUNTIFS(P:P,"&gt;"&amp;P911,S:S,"&lt;&gt;F")+1)</f>
        <v/>
      </c>
      <c r="U911">
        <f>IF(B911="","",IF(C911&lt;33.0,0,IF(C911&gt;=100*0.8,5,IF(C911&gt;=100*0.7,4,IF(C911&gt;=100*0.6,3.5,IF(C911&gt;=100*0.5,3,IF(C911&gt;=100*0.4,2,IF(C911&gt;=100*0.33,1,0))))))))</f>
        <v/>
      </c>
      <c r="V911">
        <f>IF(B911="","",IF(D911&lt;33.0,0,IF(D911&gt;=100*0.8,5,IF(D911&gt;=100*0.7,4,IF(D911&gt;=100*0.6,3.5,IF(D911&gt;=100*0.5,3,IF(D911&gt;=100*0.4,2,IF(D911&gt;=100*0.33,1,0))))))))</f>
        <v/>
      </c>
      <c r="W911">
        <f>IF(B911="","",IF(E911&lt;16.5,0,IF(E911&gt;=50*0.8,5,IF(E911&gt;=50*0.7,4,IF(E911&gt;=50*0.6,3.5,IF(E911&gt;=50*0.5,3,IF(E911&gt;=50*0.4,2,IF(E911&gt;=50*0.33,1,0))))))))</f>
        <v/>
      </c>
      <c r="X911">
        <f>IF(B911="","",IF(F911&lt;33.0,0,IF(F911&gt;=100*0.8,5,IF(F911&gt;=100*0.7,4,IF(F911&gt;=100*0.6,3.5,IF(F911&gt;=100*0.5,3,IF(F911&gt;=100*0.4,2,IF(F911&gt;=100*0.33,1,0))))))))</f>
        <v/>
      </c>
      <c r="Y911">
        <f>IF(B911="","",IF(G911&lt;16.5,0,IF(G911&gt;=50*0.8,5,IF(G911&gt;=50*0.7,4,IF(G911&gt;=50*0.6,3.5,IF(G911&gt;=50*0.5,3,IF(G911&gt;=50*0.4,2,IF(G911&gt;=50*0.33,1,0))))))))</f>
        <v/>
      </c>
      <c r="Z911">
        <f>IF(B911="","",IF(H911&lt;33.0,0,IF(H911&gt;=100*0.8,5,IF(H911&gt;=100*0.7,4,IF(H911&gt;=100*0.6,3.5,IF(H911&gt;=100*0.5,3,IF(H911&gt;=100*0.4,2,IF(H911&gt;=100*0.33,1,0))))))))</f>
        <v/>
      </c>
      <c r="AA911">
        <f>IF(B911="","",IF(I911&lt;33.0,0,IF(I911&gt;=100*0.8,5,IF(I911&gt;=100*0.7,4,IF(I911&gt;=100*0.6,3.5,IF(I911&gt;=100*0.5,3,IF(I911&gt;=100*0.4,2,IF(I911&gt;=100*0.33,1,0))))))))</f>
        <v/>
      </c>
      <c r="AB911">
        <f>IF(B911="","",IF(J911&lt;33.0,0,IF(J911&gt;=100*0.8,5,IF(J911&gt;=100*0.7,4,IF(J911&gt;=100*0.6,3.5,IF(J911&gt;=100*0.5,3,IF(J911&gt;=100*0.4,2,IF(J911&gt;=100*0.33,1,0))))))))</f>
        <v/>
      </c>
      <c r="AC911">
        <f>IF(B911="","",IF(K911&lt;33.0,0,IF(K911&gt;=100*0.8,5,IF(K911&gt;=100*0.7,4,IF(K911&gt;=100*0.6,3.5,IF(K911&gt;=100*0.5,3,IF(K911&gt;=100*0.4,2,IF(K911&gt;=100*0.33,1,0))))))))</f>
        <v/>
      </c>
      <c r="AD911">
        <f>IF(B911="","",IF(L911&lt;33.0,0,IF(L911&gt;=100*0.8,5,IF(L911&gt;=100*0.7,4,IF(L911&gt;=100*0.6,3.5,IF(L911&gt;=100*0.5,3,IF(L911&gt;=100*0.4,2,IF(L911&gt;=100*0.33,1,0))))))))</f>
        <v/>
      </c>
      <c r="AE911">
        <f>IF(B911="","",IF(M911&lt;33.0,0,IF(M911&gt;=100*0.8,5,IF(M911&gt;=100*0.7,4,IF(M911&gt;=100*0.6,3.5,IF(M911&gt;=100*0.5,3,IF(M911&gt;=100*0.4,2,IF(M911&gt;=100*0.33,1,0))))))))</f>
        <v/>
      </c>
      <c r="AF911">
        <f>IF(B911="","",IF(N911&lt;16.5,0,IF(N911&gt;=50*0.8,5,IF(N911&gt;=50*0.7,4,IF(N911&gt;=50*0.6,3.5,IF(N911&gt;=50*0.5,3,IF(N911&gt;=50*0.4,2,IF(N911&gt;=50*0.33,1,0))))))))</f>
        <v/>
      </c>
      <c r="AG911">
        <f>IF(B911="","",IF(O911&lt;33.0,0,IF(O911&gt;=100*0.8,5,IF(O911&gt;=100*0.7,4,IF(O911&gt;=100*0.6,3.5,IF(O911&gt;=100*0.5,3,IF(O911&gt;=100*0.4,2,IF(O911&gt;=100*0.33,1,0))))))))</f>
        <v/>
      </c>
      <c r="AH911">
        <f>IF(B911="","",IF(OR(U911=0,V911=0,W911=0,X911=0,Y911=0,Z911=0,AA911=0,AB911=0,AC911=0,AD911=0,AE911=0,AF911=0,AG911=0),1,0))</f>
        <v/>
      </c>
    </row>
    <row r="912">
      <c r="A912" s="3">
        <f>IF(B912="","",ROW()-2)</f>
        <v/>
      </c>
      <c r="P912" s="4">
        <f>IF(B912="","",SUM(C912:O912))</f>
        <v/>
      </c>
      <c r="Q912" s="5">
        <f>IF(B912="","",ROUND(P912/13,2))</f>
        <v/>
      </c>
      <c r="R912" s="5">
        <f>IF(B912="","",IF(AH912=1,0,MIN(5,ROUND((U912+V912+W912+X912+Y912+Z912+AA912+AB912+AC912+AD912+AE912+AF912+AG912)/13,2))))</f>
        <v/>
      </c>
      <c r="S912" s="3">
        <f>IF(B912="","",IF(R912&gt;=5,"A+",IF(R912&gt;=4,"A",IF(R912&gt;=3.5,"A-",IF(R912&gt;=3,"B",IF(R912&gt;=2,"C",IF(R912&gt;=1,"D","F")))))))</f>
        <v/>
      </c>
      <c r="T912" s="3">
        <f>IF(OR(B912="",S912="F"),"",COUNTIFS(P:P,"&gt;"&amp;P912,S:S,"&lt;&gt;F")+1)</f>
        <v/>
      </c>
      <c r="U912">
        <f>IF(B912="","",IF(C912&lt;33.0,0,IF(C912&gt;=100*0.8,5,IF(C912&gt;=100*0.7,4,IF(C912&gt;=100*0.6,3.5,IF(C912&gt;=100*0.5,3,IF(C912&gt;=100*0.4,2,IF(C912&gt;=100*0.33,1,0))))))))</f>
        <v/>
      </c>
      <c r="V912">
        <f>IF(B912="","",IF(D912&lt;33.0,0,IF(D912&gt;=100*0.8,5,IF(D912&gt;=100*0.7,4,IF(D912&gt;=100*0.6,3.5,IF(D912&gt;=100*0.5,3,IF(D912&gt;=100*0.4,2,IF(D912&gt;=100*0.33,1,0))))))))</f>
        <v/>
      </c>
      <c r="W912">
        <f>IF(B912="","",IF(E912&lt;16.5,0,IF(E912&gt;=50*0.8,5,IF(E912&gt;=50*0.7,4,IF(E912&gt;=50*0.6,3.5,IF(E912&gt;=50*0.5,3,IF(E912&gt;=50*0.4,2,IF(E912&gt;=50*0.33,1,0))))))))</f>
        <v/>
      </c>
      <c r="X912">
        <f>IF(B912="","",IF(F912&lt;33.0,0,IF(F912&gt;=100*0.8,5,IF(F912&gt;=100*0.7,4,IF(F912&gt;=100*0.6,3.5,IF(F912&gt;=100*0.5,3,IF(F912&gt;=100*0.4,2,IF(F912&gt;=100*0.33,1,0))))))))</f>
        <v/>
      </c>
      <c r="Y912">
        <f>IF(B912="","",IF(G912&lt;16.5,0,IF(G912&gt;=50*0.8,5,IF(G912&gt;=50*0.7,4,IF(G912&gt;=50*0.6,3.5,IF(G912&gt;=50*0.5,3,IF(G912&gt;=50*0.4,2,IF(G912&gt;=50*0.33,1,0))))))))</f>
        <v/>
      </c>
      <c r="Z912">
        <f>IF(B912="","",IF(H912&lt;33.0,0,IF(H912&gt;=100*0.8,5,IF(H912&gt;=100*0.7,4,IF(H912&gt;=100*0.6,3.5,IF(H912&gt;=100*0.5,3,IF(H912&gt;=100*0.4,2,IF(H912&gt;=100*0.33,1,0))))))))</f>
        <v/>
      </c>
      <c r="AA912">
        <f>IF(B912="","",IF(I912&lt;33.0,0,IF(I912&gt;=100*0.8,5,IF(I912&gt;=100*0.7,4,IF(I912&gt;=100*0.6,3.5,IF(I912&gt;=100*0.5,3,IF(I912&gt;=100*0.4,2,IF(I912&gt;=100*0.33,1,0))))))))</f>
        <v/>
      </c>
      <c r="AB912">
        <f>IF(B912="","",IF(J912&lt;33.0,0,IF(J912&gt;=100*0.8,5,IF(J912&gt;=100*0.7,4,IF(J912&gt;=100*0.6,3.5,IF(J912&gt;=100*0.5,3,IF(J912&gt;=100*0.4,2,IF(J912&gt;=100*0.33,1,0))))))))</f>
        <v/>
      </c>
      <c r="AC912">
        <f>IF(B912="","",IF(K912&lt;33.0,0,IF(K912&gt;=100*0.8,5,IF(K912&gt;=100*0.7,4,IF(K912&gt;=100*0.6,3.5,IF(K912&gt;=100*0.5,3,IF(K912&gt;=100*0.4,2,IF(K912&gt;=100*0.33,1,0))))))))</f>
        <v/>
      </c>
      <c r="AD912">
        <f>IF(B912="","",IF(L912&lt;33.0,0,IF(L912&gt;=100*0.8,5,IF(L912&gt;=100*0.7,4,IF(L912&gt;=100*0.6,3.5,IF(L912&gt;=100*0.5,3,IF(L912&gt;=100*0.4,2,IF(L912&gt;=100*0.33,1,0))))))))</f>
        <v/>
      </c>
      <c r="AE912">
        <f>IF(B912="","",IF(M912&lt;33.0,0,IF(M912&gt;=100*0.8,5,IF(M912&gt;=100*0.7,4,IF(M912&gt;=100*0.6,3.5,IF(M912&gt;=100*0.5,3,IF(M912&gt;=100*0.4,2,IF(M912&gt;=100*0.33,1,0))))))))</f>
        <v/>
      </c>
      <c r="AF912">
        <f>IF(B912="","",IF(N912&lt;16.5,0,IF(N912&gt;=50*0.8,5,IF(N912&gt;=50*0.7,4,IF(N912&gt;=50*0.6,3.5,IF(N912&gt;=50*0.5,3,IF(N912&gt;=50*0.4,2,IF(N912&gt;=50*0.33,1,0))))))))</f>
        <v/>
      </c>
      <c r="AG912">
        <f>IF(B912="","",IF(O912&lt;33.0,0,IF(O912&gt;=100*0.8,5,IF(O912&gt;=100*0.7,4,IF(O912&gt;=100*0.6,3.5,IF(O912&gt;=100*0.5,3,IF(O912&gt;=100*0.4,2,IF(O912&gt;=100*0.33,1,0))))))))</f>
        <v/>
      </c>
      <c r="AH912">
        <f>IF(B912="","",IF(OR(U912=0,V912=0,W912=0,X912=0,Y912=0,Z912=0,AA912=0,AB912=0,AC912=0,AD912=0,AE912=0,AF912=0,AG912=0),1,0))</f>
        <v/>
      </c>
    </row>
    <row r="913">
      <c r="A913" s="3">
        <f>IF(B913="","",ROW()-2)</f>
        <v/>
      </c>
      <c r="P913" s="4">
        <f>IF(B913="","",SUM(C913:O913))</f>
        <v/>
      </c>
      <c r="Q913" s="5">
        <f>IF(B913="","",ROUND(P913/13,2))</f>
        <v/>
      </c>
      <c r="R913" s="5">
        <f>IF(B913="","",IF(AH913=1,0,MIN(5,ROUND((U913+V913+W913+X913+Y913+Z913+AA913+AB913+AC913+AD913+AE913+AF913+AG913)/13,2))))</f>
        <v/>
      </c>
      <c r="S913" s="3">
        <f>IF(B913="","",IF(R913&gt;=5,"A+",IF(R913&gt;=4,"A",IF(R913&gt;=3.5,"A-",IF(R913&gt;=3,"B",IF(R913&gt;=2,"C",IF(R913&gt;=1,"D","F")))))))</f>
        <v/>
      </c>
      <c r="T913" s="3">
        <f>IF(OR(B913="",S913="F"),"",COUNTIFS(P:P,"&gt;"&amp;P913,S:S,"&lt;&gt;F")+1)</f>
        <v/>
      </c>
      <c r="U913">
        <f>IF(B913="","",IF(C913&lt;33.0,0,IF(C913&gt;=100*0.8,5,IF(C913&gt;=100*0.7,4,IF(C913&gt;=100*0.6,3.5,IF(C913&gt;=100*0.5,3,IF(C913&gt;=100*0.4,2,IF(C913&gt;=100*0.33,1,0))))))))</f>
        <v/>
      </c>
      <c r="V913">
        <f>IF(B913="","",IF(D913&lt;33.0,0,IF(D913&gt;=100*0.8,5,IF(D913&gt;=100*0.7,4,IF(D913&gt;=100*0.6,3.5,IF(D913&gt;=100*0.5,3,IF(D913&gt;=100*0.4,2,IF(D913&gt;=100*0.33,1,0))))))))</f>
        <v/>
      </c>
      <c r="W913">
        <f>IF(B913="","",IF(E913&lt;16.5,0,IF(E913&gt;=50*0.8,5,IF(E913&gt;=50*0.7,4,IF(E913&gt;=50*0.6,3.5,IF(E913&gt;=50*0.5,3,IF(E913&gt;=50*0.4,2,IF(E913&gt;=50*0.33,1,0))))))))</f>
        <v/>
      </c>
      <c r="X913">
        <f>IF(B913="","",IF(F913&lt;33.0,0,IF(F913&gt;=100*0.8,5,IF(F913&gt;=100*0.7,4,IF(F913&gt;=100*0.6,3.5,IF(F913&gt;=100*0.5,3,IF(F913&gt;=100*0.4,2,IF(F913&gt;=100*0.33,1,0))))))))</f>
        <v/>
      </c>
      <c r="Y913">
        <f>IF(B913="","",IF(G913&lt;16.5,0,IF(G913&gt;=50*0.8,5,IF(G913&gt;=50*0.7,4,IF(G913&gt;=50*0.6,3.5,IF(G913&gt;=50*0.5,3,IF(G913&gt;=50*0.4,2,IF(G913&gt;=50*0.33,1,0))))))))</f>
        <v/>
      </c>
      <c r="Z913">
        <f>IF(B913="","",IF(H913&lt;33.0,0,IF(H913&gt;=100*0.8,5,IF(H913&gt;=100*0.7,4,IF(H913&gt;=100*0.6,3.5,IF(H913&gt;=100*0.5,3,IF(H913&gt;=100*0.4,2,IF(H913&gt;=100*0.33,1,0))))))))</f>
        <v/>
      </c>
      <c r="AA913">
        <f>IF(B913="","",IF(I913&lt;33.0,0,IF(I913&gt;=100*0.8,5,IF(I913&gt;=100*0.7,4,IF(I913&gt;=100*0.6,3.5,IF(I913&gt;=100*0.5,3,IF(I913&gt;=100*0.4,2,IF(I913&gt;=100*0.33,1,0))))))))</f>
        <v/>
      </c>
      <c r="AB913">
        <f>IF(B913="","",IF(J913&lt;33.0,0,IF(J913&gt;=100*0.8,5,IF(J913&gt;=100*0.7,4,IF(J913&gt;=100*0.6,3.5,IF(J913&gt;=100*0.5,3,IF(J913&gt;=100*0.4,2,IF(J913&gt;=100*0.33,1,0))))))))</f>
        <v/>
      </c>
      <c r="AC913">
        <f>IF(B913="","",IF(K913&lt;33.0,0,IF(K913&gt;=100*0.8,5,IF(K913&gt;=100*0.7,4,IF(K913&gt;=100*0.6,3.5,IF(K913&gt;=100*0.5,3,IF(K913&gt;=100*0.4,2,IF(K913&gt;=100*0.33,1,0))))))))</f>
        <v/>
      </c>
      <c r="AD913">
        <f>IF(B913="","",IF(L913&lt;33.0,0,IF(L913&gt;=100*0.8,5,IF(L913&gt;=100*0.7,4,IF(L913&gt;=100*0.6,3.5,IF(L913&gt;=100*0.5,3,IF(L913&gt;=100*0.4,2,IF(L913&gt;=100*0.33,1,0))))))))</f>
        <v/>
      </c>
      <c r="AE913">
        <f>IF(B913="","",IF(M913&lt;33.0,0,IF(M913&gt;=100*0.8,5,IF(M913&gt;=100*0.7,4,IF(M913&gt;=100*0.6,3.5,IF(M913&gt;=100*0.5,3,IF(M913&gt;=100*0.4,2,IF(M913&gt;=100*0.33,1,0))))))))</f>
        <v/>
      </c>
      <c r="AF913">
        <f>IF(B913="","",IF(N913&lt;16.5,0,IF(N913&gt;=50*0.8,5,IF(N913&gt;=50*0.7,4,IF(N913&gt;=50*0.6,3.5,IF(N913&gt;=50*0.5,3,IF(N913&gt;=50*0.4,2,IF(N913&gt;=50*0.33,1,0))))))))</f>
        <v/>
      </c>
      <c r="AG913">
        <f>IF(B913="","",IF(O913&lt;33.0,0,IF(O913&gt;=100*0.8,5,IF(O913&gt;=100*0.7,4,IF(O913&gt;=100*0.6,3.5,IF(O913&gt;=100*0.5,3,IF(O913&gt;=100*0.4,2,IF(O913&gt;=100*0.33,1,0))))))))</f>
        <v/>
      </c>
      <c r="AH913">
        <f>IF(B913="","",IF(OR(U913=0,V913=0,W913=0,X913=0,Y913=0,Z913=0,AA913=0,AB913=0,AC913=0,AD913=0,AE913=0,AF913=0,AG913=0),1,0))</f>
        <v/>
      </c>
    </row>
    <row r="914">
      <c r="A914" s="3">
        <f>IF(B914="","",ROW()-2)</f>
        <v/>
      </c>
      <c r="P914" s="4">
        <f>IF(B914="","",SUM(C914:O914))</f>
        <v/>
      </c>
      <c r="Q914" s="5">
        <f>IF(B914="","",ROUND(P914/13,2))</f>
        <v/>
      </c>
      <c r="R914" s="5">
        <f>IF(B914="","",IF(AH914=1,0,MIN(5,ROUND((U914+V914+W914+X914+Y914+Z914+AA914+AB914+AC914+AD914+AE914+AF914+AG914)/13,2))))</f>
        <v/>
      </c>
      <c r="S914" s="3">
        <f>IF(B914="","",IF(R914&gt;=5,"A+",IF(R914&gt;=4,"A",IF(R914&gt;=3.5,"A-",IF(R914&gt;=3,"B",IF(R914&gt;=2,"C",IF(R914&gt;=1,"D","F")))))))</f>
        <v/>
      </c>
      <c r="T914" s="3">
        <f>IF(OR(B914="",S914="F"),"",COUNTIFS(P:P,"&gt;"&amp;P914,S:S,"&lt;&gt;F")+1)</f>
        <v/>
      </c>
      <c r="U914">
        <f>IF(B914="","",IF(C914&lt;33.0,0,IF(C914&gt;=100*0.8,5,IF(C914&gt;=100*0.7,4,IF(C914&gt;=100*0.6,3.5,IF(C914&gt;=100*0.5,3,IF(C914&gt;=100*0.4,2,IF(C914&gt;=100*0.33,1,0))))))))</f>
        <v/>
      </c>
      <c r="V914">
        <f>IF(B914="","",IF(D914&lt;33.0,0,IF(D914&gt;=100*0.8,5,IF(D914&gt;=100*0.7,4,IF(D914&gt;=100*0.6,3.5,IF(D914&gt;=100*0.5,3,IF(D914&gt;=100*0.4,2,IF(D914&gt;=100*0.33,1,0))))))))</f>
        <v/>
      </c>
      <c r="W914">
        <f>IF(B914="","",IF(E914&lt;16.5,0,IF(E914&gt;=50*0.8,5,IF(E914&gt;=50*0.7,4,IF(E914&gt;=50*0.6,3.5,IF(E914&gt;=50*0.5,3,IF(E914&gt;=50*0.4,2,IF(E914&gt;=50*0.33,1,0))))))))</f>
        <v/>
      </c>
      <c r="X914">
        <f>IF(B914="","",IF(F914&lt;33.0,0,IF(F914&gt;=100*0.8,5,IF(F914&gt;=100*0.7,4,IF(F914&gt;=100*0.6,3.5,IF(F914&gt;=100*0.5,3,IF(F914&gt;=100*0.4,2,IF(F914&gt;=100*0.33,1,0))))))))</f>
        <v/>
      </c>
      <c r="Y914">
        <f>IF(B914="","",IF(G914&lt;16.5,0,IF(G914&gt;=50*0.8,5,IF(G914&gt;=50*0.7,4,IF(G914&gt;=50*0.6,3.5,IF(G914&gt;=50*0.5,3,IF(G914&gt;=50*0.4,2,IF(G914&gt;=50*0.33,1,0))))))))</f>
        <v/>
      </c>
      <c r="Z914">
        <f>IF(B914="","",IF(H914&lt;33.0,0,IF(H914&gt;=100*0.8,5,IF(H914&gt;=100*0.7,4,IF(H914&gt;=100*0.6,3.5,IF(H914&gt;=100*0.5,3,IF(H914&gt;=100*0.4,2,IF(H914&gt;=100*0.33,1,0))))))))</f>
        <v/>
      </c>
      <c r="AA914">
        <f>IF(B914="","",IF(I914&lt;33.0,0,IF(I914&gt;=100*0.8,5,IF(I914&gt;=100*0.7,4,IF(I914&gt;=100*0.6,3.5,IF(I914&gt;=100*0.5,3,IF(I914&gt;=100*0.4,2,IF(I914&gt;=100*0.33,1,0))))))))</f>
        <v/>
      </c>
      <c r="AB914">
        <f>IF(B914="","",IF(J914&lt;33.0,0,IF(J914&gt;=100*0.8,5,IF(J914&gt;=100*0.7,4,IF(J914&gt;=100*0.6,3.5,IF(J914&gt;=100*0.5,3,IF(J914&gt;=100*0.4,2,IF(J914&gt;=100*0.33,1,0))))))))</f>
        <v/>
      </c>
      <c r="AC914">
        <f>IF(B914="","",IF(K914&lt;33.0,0,IF(K914&gt;=100*0.8,5,IF(K914&gt;=100*0.7,4,IF(K914&gt;=100*0.6,3.5,IF(K914&gt;=100*0.5,3,IF(K914&gt;=100*0.4,2,IF(K914&gt;=100*0.33,1,0))))))))</f>
        <v/>
      </c>
      <c r="AD914">
        <f>IF(B914="","",IF(L914&lt;33.0,0,IF(L914&gt;=100*0.8,5,IF(L914&gt;=100*0.7,4,IF(L914&gt;=100*0.6,3.5,IF(L914&gt;=100*0.5,3,IF(L914&gt;=100*0.4,2,IF(L914&gt;=100*0.33,1,0))))))))</f>
        <v/>
      </c>
      <c r="AE914">
        <f>IF(B914="","",IF(M914&lt;33.0,0,IF(M914&gt;=100*0.8,5,IF(M914&gt;=100*0.7,4,IF(M914&gt;=100*0.6,3.5,IF(M914&gt;=100*0.5,3,IF(M914&gt;=100*0.4,2,IF(M914&gt;=100*0.33,1,0))))))))</f>
        <v/>
      </c>
      <c r="AF914">
        <f>IF(B914="","",IF(N914&lt;16.5,0,IF(N914&gt;=50*0.8,5,IF(N914&gt;=50*0.7,4,IF(N914&gt;=50*0.6,3.5,IF(N914&gt;=50*0.5,3,IF(N914&gt;=50*0.4,2,IF(N914&gt;=50*0.33,1,0))))))))</f>
        <v/>
      </c>
      <c r="AG914">
        <f>IF(B914="","",IF(O914&lt;33.0,0,IF(O914&gt;=100*0.8,5,IF(O914&gt;=100*0.7,4,IF(O914&gt;=100*0.6,3.5,IF(O914&gt;=100*0.5,3,IF(O914&gt;=100*0.4,2,IF(O914&gt;=100*0.33,1,0))))))))</f>
        <v/>
      </c>
      <c r="AH914">
        <f>IF(B914="","",IF(OR(U914=0,V914=0,W914=0,X914=0,Y914=0,Z914=0,AA914=0,AB914=0,AC914=0,AD914=0,AE914=0,AF914=0,AG914=0),1,0))</f>
        <v/>
      </c>
    </row>
    <row r="915">
      <c r="A915" s="3">
        <f>IF(B915="","",ROW()-2)</f>
        <v/>
      </c>
      <c r="P915" s="4">
        <f>IF(B915="","",SUM(C915:O915))</f>
        <v/>
      </c>
      <c r="Q915" s="5">
        <f>IF(B915="","",ROUND(P915/13,2))</f>
        <v/>
      </c>
      <c r="R915" s="5">
        <f>IF(B915="","",IF(AH915=1,0,MIN(5,ROUND((U915+V915+W915+X915+Y915+Z915+AA915+AB915+AC915+AD915+AE915+AF915+AG915)/13,2))))</f>
        <v/>
      </c>
      <c r="S915" s="3">
        <f>IF(B915="","",IF(R915&gt;=5,"A+",IF(R915&gt;=4,"A",IF(R915&gt;=3.5,"A-",IF(R915&gt;=3,"B",IF(R915&gt;=2,"C",IF(R915&gt;=1,"D","F")))))))</f>
        <v/>
      </c>
      <c r="T915" s="3">
        <f>IF(OR(B915="",S915="F"),"",COUNTIFS(P:P,"&gt;"&amp;P915,S:S,"&lt;&gt;F")+1)</f>
        <v/>
      </c>
      <c r="U915">
        <f>IF(B915="","",IF(C915&lt;33.0,0,IF(C915&gt;=100*0.8,5,IF(C915&gt;=100*0.7,4,IF(C915&gt;=100*0.6,3.5,IF(C915&gt;=100*0.5,3,IF(C915&gt;=100*0.4,2,IF(C915&gt;=100*0.33,1,0))))))))</f>
        <v/>
      </c>
      <c r="V915">
        <f>IF(B915="","",IF(D915&lt;33.0,0,IF(D915&gt;=100*0.8,5,IF(D915&gt;=100*0.7,4,IF(D915&gt;=100*0.6,3.5,IF(D915&gt;=100*0.5,3,IF(D915&gt;=100*0.4,2,IF(D915&gt;=100*0.33,1,0))))))))</f>
        <v/>
      </c>
      <c r="W915">
        <f>IF(B915="","",IF(E915&lt;16.5,0,IF(E915&gt;=50*0.8,5,IF(E915&gt;=50*0.7,4,IF(E915&gt;=50*0.6,3.5,IF(E915&gt;=50*0.5,3,IF(E915&gt;=50*0.4,2,IF(E915&gt;=50*0.33,1,0))))))))</f>
        <v/>
      </c>
      <c r="X915">
        <f>IF(B915="","",IF(F915&lt;33.0,0,IF(F915&gt;=100*0.8,5,IF(F915&gt;=100*0.7,4,IF(F915&gt;=100*0.6,3.5,IF(F915&gt;=100*0.5,3,IF(F915&gt;=100*0.4,2,IF(F915&gt;=100*0.33,1,0))))))))</f>
        <v/>
      </c>
      <c r="Y915">
        <f>IF(B915="","",IF(G915&lt;16.5,0,IF(G915&gt;=50*0.8,5,IF(G915&gt;=50*0.7,4,IF(G915&gt;=50*0.6,3.5,IF(G915&gt;=50*0.5,3,IF(G915&gt;=50*0.4,2,IF(G915&gt;=50*0.33,1,0))))))))</f>
        <v/>
      </c>
      <c r="Z915">
        <f>IF(B915="","",IF(H915&lt;33.0,0,IF(H915&gt;=100*0.8,5,IF(H915&gt;=100*0.7,4,IF(H915&gt;=100*0.6,3.5,IF(H915&gt;=100*0.5,3,IF(H915&gt;=100*0.4,2,IF(H915&gt;=100*0.33,1,0))))))))</f>
        <v/>
      </c>
      <c r="AA915">
        <f>IF(B915="","",IF(I915&lt;33.0,0,IF(I915&gt;=100*0.8,5,IF(I915&gt;=100*0.7,4,IF(I915&gt;=100*0.6,3.5,IF(I915&gt;=100*0.5,3,IF(I915&gt;=100*0.4,2,IF(I915&gt;=100*0.33,1,0))))))))</f>
        <v/>
      </c>
      <c r="AB915">
        <f>IF(B915="","",IF(J915&lt;33.0,0,IF(J915&gt;=100*0.8,5,IF(J915&gt;=100*0.7,4,IF(J915&gt;=100*0.6,3.5,IF(J915&gt;=100*0.5,3,IF(J915&gt;=100*0.4,2,IF(J915&gt;=100*0.33,1,0))))))))</f>
        <v/>
      </c>
      <c r="AC915">
        <f>IF(B915="","",IF(K915&lt;33.0,0,IF(K915&gt;=100*0.8,5,IF(K915&gt;=100*0.7,4,IF(K915&gt;=100*0.6,3.5,IF(K915&gt;=100*0.5,3,IF(K915&gt;=100*0.4,2,IF(K915&gt;=100*0.33,1,0))))))))</f>
        <v/>
      </c>
      <c r="AD915">
        <f>IF(B915="","",IF(L915&lt;33.0,0,IF(L915&gt;=100*0.8,5,IF(L915&gt;=100*0.7,4,IF(L915&gt;=100*0.6,3.5,IF(L915&gt;=100*0.5,3,IF(L915&gt;=100*0.4,2,IF(L915&gt;=100*0.33,1,0))))))))</f>
        <v/>
      </c>
      <c r="AE915">
        <f>IF(B915="","",IF(M915&lt;33.0,0,IF(M915&gt;=100*0.8,5,IF(M915&gt;=100*0.7,4,IF(M915&gt;=100*0.6,3.5,IF(M915&gt;=100*0.5,3,IF(M915&gt;=100*0.4,2,IF(M915&gt;=100*0.33,1,0))))))))</f>
        <v/>
      </c>
      <c r="AF915">
        <f>IF(B915="","",IF(N915&lt;16.5,0,IF(N915&gt;=50*0.8,5,IF(N915&gt;=50*0.7,4,IF(N915&gt;=50*0.6,3.5,IF(N915&gt;=50*0.5,3,IF(N915&gt;=50*0.4,2,IF(N915&gt;=50*0.33,1,0))))))))</f>
        <v/>
      </c>
      <c r="AG915">
        <f>IF(B915="","",IF(O915&lt;33.0,0,IF(O915&gt;=100*0.8,5,IF(O915&gt;=100*0.7,4,IF(O915&gt;=100*0.6,3.5,IF(O915&gt;=100*0.5,3,IF(O915&gt;=100*0.4,2,IF(O915&gt;=100*0.33,1,0))))))))</f>
        <v/>
      </c>
      <c r="AH915">
        <f>IF(B915="","",IF(OR(U915=0,V915=0,W915=0,X915=0,Y915=0,Z915=0,AA915=0,AB915=0,AC915=0,AD915=0,AE915=0,AF915=0,AG915=0),1,0))</f>
        <v/>
      </c>
    </row>
    <row r="916">
      <c r="A916" s="3">
        <f>IF(B916="","",ROW()-2)</f>
        <v/>
      </c>
      <c r="P916" s="4">
        <f>IF(B916="","",SUM(C916:O916))</f>
        <v/>
      </c>
      <c r="Q916" s="5">
        <f>IF(B916="","",ROUND(P916/13,2))</f>
        <v/>
      </c>
      <c r="R916" s="5">
        <f>IF(B916="","",IF(AH916=1,0,MIN(5,ROUND((U916+V916+W916+X916+Y916+Z916+AA916+AB916+AC916+AD916+AE916+AF916+AG916)/13,2))))</f>
        <v/>
      </c>
      <c r="S916" s="3">
        <f>IF(B916="","",IF(R916&gt;=5,"A+",IF(R916&gt;=4,"A",IF(R916&gt;=3.5,"A-",IF(R916&gt;=3,"B",IF(R916&gt;=2,"C",IF(R916&gt;=1,"D","F")))))))</f>
        <v/>
      </c>
      <c r="T916" s="3">
        <f>IF(OR(B916="",S916="F"),"",COUNTIFS(P:P,"&gt;"&amp;P916,S:S,"&lt;&gt;F")+1)</f>
        <v/>
      </c>
      <c r="U916">
        <f>IF(B916="","",IF(C916&lt;33.0,0,IF(C916&gt;=100*0.8,5,IF(C916&gt;=100*0.7,4,IF(C916&gt;=100*0.6,3.5,IF(C916&gt;=100*0.5,3,IF(C916&gt;=100*0.4,2,IF(C916&gt;=100*0.33,1,0))))))))</f>
        <v/>
      </c>
      <c r="V916">
        <f>IF(B916="","",IF(D916&lt;33.0,0,IF(D916&gt;=100*0.8,5,IF(D916&gt;=100*0.7,4,IF(D916&gt;=100*0.6,3.5,IF(D916&gt;=100*0.5,3,IF(D916&gt;=100*0.4,2,IF(D916&gt;=100*0.33,1,0))))))))</f>
        <v/>
      </c>
      <c r="W916">
        <f>IF(B916="","",IF(E916&lt;16.5,0,IF(E916&gt;=50*0.8,5,IF(E916&gt;=50*0.7,4,IF(E916&gt;=50*0.6,3.5,IF(E916&gt;=50*0.5,3,IF(E916&gt;=50*0.4,2,IF(E916&gt;=50*0.33,1,0))))))))</f>
        <v/>
      </c>
      <c r="X916">
        <f>IF(B916="","",IF(F916&lt;33.0,0,IF(F916&gt;=100*0.8,5,IF(F916&gt;=100*0.7,4,IF(F916&gt;=100*0.6,3.5,IF(F916&gt;=100*0.5,3,IF(F916&gt;=100*0.4,2,IF(F916&gt;=100*0.33,1,0))))))))</f>
        <v/>
      </c>
      <c r="Y916">
        <f>IF(B916="","",IF(G916&lt;16.5,0,IF(G916&gt;=50*0.8,5,IF(G916&gt;=50*0.7,4,IF(G916&gt;=50*0.6,3.5,IF(G916&gt;=50*0.5,3,IF(G916&gt;=50*0.4,2,IF(G916&gt;=50*0.33,1,0))))))))</f>
        <v/>
      </c>
      <c r="Z916">
        <f>IF(B916="","",IF(H916&lt;33.0,0,IF(H916&gt;=100*0.8,5,IF(H916&gt;=100*0.7,4,IF(H916&gt;=100*0.6,3.5,IF(H916&gt;=100*0.5,3,IF(H916&gt;=100*0.4,2,IF(H916&gt;=100*0.33,1,0))))))))</f>
        <v/>
      </c>
      <c r="AA916">
        <f>IF(B916="","",IF(I916&lt;33.0,0,IF(I916&gt;=100*0.8,5,IF(I916&gt;=100*0.7,4,IF(I916&gt;=100*0.6,3.5,IF(I916&gt;=100*0.5,3,IF(I916&gt;=100*0.4,2,IF(I916&gt;=100*0.33,1,0))))))))</f>
        <v/>
      </c>
      <c r="AB916">
        <f>IF(B916="","",IF(J916&lt;33.0,0,IF(J916&gt;=100*0.8,5,IF(J916&gt;=100*0.7,4,IF(J916&gt;=100*0.6,3.5,IF(J916&gt;=100*0.5,3,IF(J916&gt;=100*0.4,2,IF(J916&gt;=100*0.33,1,0))))))))</f>
        <v/>
      </c>
      <c r="AC916">
        <f>IF(B916="","",IF(K916&lt;33.0,0,IF(K916&gt;=100*0.8,5,IF(K916&gt;=100*0.7,4,IF(K916&gt;=100*0.6,3.5,IF(K916&gt;=100*0.5,3,IF(K916&gt;=100*0.4,2,IF(K916&gt;=100*0.33,1,0))))))))</f>
        <v/>
      </c>
      <c r="AD916">
        <f>IF(B916="","",IF(L916&lt;33.0,0,IF(L916&gt;=100*0.8,5,IF(L916&gt;=100*0.7,4,IF(L916&gt;=100*0.6,3.5,IF(L916&gt;=100*0.5,3,IF(L916&gt;=100*0.4,2,IF(L916&gt;=100*0.33,1,0))))))))</f>
        <v/>
      </c>
      <c r="AE916">
        <f>IF(B916="","",IF(M916&lt;33.0,0,IF(M916&gt;=100*0.8,5,IF(M916&gt;=100*0.7,4,IF(M916&gt;=100*0.6,3.5,IF(M916&gt;=100*0.5,3,IF(M916&gt;=100*0.4,2,IF(M916&gt;=100*0.33,1,0))))))))</f>
        <v/>
      </c>
      <c r="AF916">
        <f>IF(B916="","",IF(N916&lt;16.5,0,IF(N916&gt;=50*0.8,5,IF(N916&gt;=50*0.7,4,IF(N916&gt;=50*0.6,3.5,IF(N916&gt;=50*0.5,3,IF(N916&gt;=50*0.4,2,IF(N916&gt;=50*0.33,1,0))))))))</f>
        <v/>
      </c>
      <c r="AG916">
        <f>IF(B916="","",IF(O916&lt;33.0,0,IF(O916&gt;=100*0.8,5,IF(O916&gt;=100*0.7,4,IF(O916&gt;=100*0.6,3.5,IF(O916&gt;=100*0.5,3,IF(O916&gt;=100*0.4,2,IF(O916&gt;=100*0.33,1,0))))))))</f>
        <v/>
      </c>
      <c r="AH916">
        <f>IF(B916="","",IF(OR(U916=0,V916=0,W916=0,X916=0,Y916=0,Z916=0,AA916=0,AB916=0,AC916=0,AD916=0,AE916=0,AF916=0,AG916=0),1,0))</f>
        <v/>
      </c>
    </row>
    <row r="917">
      <c r="A917" s="3">
        <f>IF(B917="","",ROW()-2)</f>
        <v/>
      </c>
      <c r="P917" s="4">
        <f>IF(B917="","",SUM(C917:O917))</f>
        <v/>
      </c>
      <c r="Q917" s="5">
        <f>IF(B917="","",ROUND(P917/13,2))</f>
        <v/>
      </c>
      <c r="R917" s="5">
        <f>IF(B917="","",IF(AH917=1,0,MIN(5,ROUND((U917+V917+W917+X917+Y917+Z917+AA917+AB917+AC917+AD917+AE917+AF917+AG917)/13,2))))</f>
        <v/>
      </c>
      <c r="S917" s="3">
        <f>IF(B917="","",IF(R917&gt;=5,"A+",IF(R917&gt;=4,"A",IF(R917&gt;=3.5,"A-",IF(R917&gt;=3,"B",IF(R917&gt;=2,"C",IF(R917&gt;=1,"D","F")))))))</f>
        <v/>
      </c>
      <c r="T917" s="3">
        <f>IF(OR(B917="",S917="F"),"",COUNTIFS(P:P,"&gt;"&amp;P917,S:S,"&lt;&gt;F")+1)</f>
        <v/>
      </c>
      <c r="U917">
        <f>IF(B917="","",IF(C917&lt;33.0,0,IF(C917&gt;=100*0.8,5,IF(C917&gt;=100*0.7,4,IF(C917&gt;=100*0.6,3.5,IF(C917&gt;=100*0.5,3,IF(C917&gt;=100*0.4,2,IF(C917&gt;=100*0.33,1,0))))))))</f>
        <v/>
      </c>
      <c r="V917">
        <f>IF(B917="","",IF(D917&lt;33.0,0,IF(D917&gt;=100*0.8,5,IF(D917&gt;=100*0.7,4,IF(D917&gt;=100*0.6,3.5,IF(D917&gt;=100*0.5,3,IF(D917&gt;=100*0.4,2,IF(D917&gt;=100*0.33,1,0))))))))</f>
        <v/>
      </c>
      <c r="W917">
        <f>IF(B917="","",IF(E917&lt;16.5,0,IF(E917&gt;=50*0.8,5,IF(E917&gt;=50*0.7,4,IF(E917&gt;=50*0.6,3.5,IF(E917&gt;=50*0.5,3,IF(E917&gt;=50*0.4,2,IF(E917&gt;=50*0.33,1,0))))))))</f>
        <v/>
      </c>
      <c r="X917">
        <f>IF(B917="","",IF(F917&lt;33.0,0,IF(F917&gt;=100*0.8,5,IF(F917&gt;=100*0.7,4,IF(F917&gt;=100*0.6,3.5,IF(F917&gt;=100*0.5,3,IF(F917&gt;=100*0.4,2,IF(F917&gt;=100*0.33,1,0))))))))</f>
        <v/>
      </c>
      <c r="Y917">
        <f>IF(B917="","",IF(G917&lt;16.5,0,IF(G917&gt;=50*0.8,5,IF(G917&gt;=50*0.7,4,IF(G917&gt;=50*0.6,3.5,IF(G917&gt;=50*0.5,3,IF(G917&gt;=50*0.4,2,IF(G917&gt;=50*0.33,1,0))))))))</f>
        <v/>
      </c>
      <c r="Z917">
        <f>IF(B917="","",IF(H917&lt;33.0,0,IF(H917&gt;=100*0.8,5,IF(H917&gt;=100*0.7,4,IF(H917&gt;=100*0.6,3.5,IF(H917&gt;=100*0.5,3,IF(H917&gt;=100*0.4,2,IF(H917&gt;=100*0.33,1,0))))))))</f>
        <v/>
      </c>
      <c r="AA917">
        <f>IF(B917="","",IF(I917&lt;33.0,0,IF(I917&gt;=100*0.8,5,IF(I917&gt;=100*0.7,4,IF(I917&gt;=100*0.6,3.5,IF(I917&gt;=100*0.5,3,IF(I917&gt;=100*0.4,2,IF(I917&gt;=100*0.33,1,0))))))))</f>
        <v/>
      </c>
      <c r="AB917">
        <f>IF(B917="","",IF(J917&lt;33.0,0,IF(J917&gt;=100*0.8,5,IF(J917&gt;=100*0.7,4,IF(J917&gt;=100*0.6,3.5,IF(J917&gt;=100*0.5,3,IF(J917&gt;=100*0.4,2,IF(J917&gt;=100*0.33,1,0))))))))</f>
        <v/>
      </c>
      <c r="AC917">
        <f>IF(B917="","",IF(K917&lt;33.0,0,IF(K917&gt;=100*0.8,5,IF(K917&gt;=100*0.7,4,IF(K917&gt;=100*0.6,3.5,IF(K917&gt;=100*0.5,3,IF(K917&gt;=100*0.4,2,IF(K917&gt;=100*0.33,1,0))))))))</f>
        <v/>
      </c>
      <c r="AD917">
        <f>IF(B917="","",IF(L917&lt;33.0,0,IF(L917&gt;=100*0.8,5,IF(L917&gt;=100*0.7,4,IF(L917&gt;=100*0.6,3.5,IF(L917&gt;=100*0.5,3,IF(L917&gt;=100*0.4,2,IF(L917&gt;=100*0.33,1,0))))))))</f>
        <v/>
      </c>
      <c r="AE917">
        <f>IF(B917="","",IF(M917&lt;33.0,0,IF(M917&gt;=100*0.8,5,IF(M917&gt;=100*0.7,4,IF(M917&gt;=100*0.6,3.5,IF(M917&gt;=100*0.5,3,IF(M917&gt;=100*0.4,2,IF(M917&gt;=100*0.33,1,0))))))))</f>
        <v/>
      </c>
      <c r="AF917">
        <f>IF(B917="","",IF(N917&lt;16.5,0,IF(N917&gt;=50*0.8,5,IF(N917&gt;=50*0.7,4,IF(N917&gt;=50*0.6,3.5,IF(N917&gt;=50*0.5,3,IF(N917&gt;=50*0.4,2,IF(N917&gt;=50*0.33,1,0))))))))</f>
        <v/>
      </c>
      <c r="AG917">
        <f>IF(B917="","",IF(O917&lt;33.0,0,IF(O917&gt;=100*0.8,5,IF(O917&gt;=100*0.7,4,IF(O917&gt;=100*0.6,3.5,IF(O917&gt;=100*0.5,3,IF(O917&gt;=100*0.4,2,IF(O917&gt;=100*0.33,1,0))))))))</f>
        <v/>
      </c>
      <c r="AH917">
        <f>IF(B917="","",IF(OR(U917=0,V917=0,W917=0,X917=0,Y917=0,Z917=0,AA917=0,AB917=0,AC917=0,AD917=0,AE917=0,AF917=0,AG917=0),1,0))</f>
        <v/>
      </c>
    </row>
    <row r="918">
      <c r="A918" s="3">
        <f>IF(B918="","",ROW()-2)</f>
        <v/>
      </c>
      <c r="P918" s="4">
        <f>IF(B918="","",SUM(C918:O918))</f>
        <v/>
      </c>
      <c r="Q918" s="5">
        <f>IF(B918="","",ROUND(P918/13,2))</f>
        <v/>
      </c>
      <c r="R918" s="5">
        <f>IF(B918="","",IF(AH918=1,0,MIN(5,ROUND((U918+V918+W918+X918+Y918+Z918+AA918+AB918+AC918+AD918+AE918+AF918+AG918)/13,2))))</f>
        <v/>
      </c>
      <c r="S918" s="3">
        <f>IF(B918="","",IF(R918&gt;=5,"A+",IF(R918&gt;=4,"A",IF(R918&gt;=3.5,"A-",IF(R918&gt;=3,"B",IF(R918&gt;=2,"C",IF(R918&gt;=1,"D","F")))))))</f>
        <v/>
      </c>
      <c r="T918" s="3">
        <f>IF(OR(B918="",S918="F"),"",COUNTIFS(P:P,"&gt;"&amp;P918,S:S,"&lt;&gt;F")+1)</f>
        <v/>
      </c>
      <c r="U918">
        <f>IF(B918="","",IF(C918&lt;33.0,0,IF(C918&gt;=100*0.8,5,IF(C918&gt;=100*0.7,4,IF(C918&gt;=100*0.6,3.5,IF(C918&gt;=100*0.5,3,IF(C918&gt;=100*0.4,2,IF(C918&gt;=100*0.33,1,0))))))))</f>
        <v/>
      </c>
      <c r="V918">
        <f>IF(B918="","",IF(D918&lt;33.0,0,IF(D918&gt;=100*0.8,5,IF(D918&gt;=100*0.7,4,IF(D918&gt;=100*0.6,3.5,IF(D918&gt;=100*0.5,3,IF(D918&gt;=100*0.4,2,IF(D918&gt;=100*0.33,1,0))))))))</f>
        <v/>
      </c>
      <c r="W918">
        <f>IF(B918="","",IF(E918&lt;16.5,0,IF(E918&gt;=50*0.8,5,IF(E918&gt;=50*0.7,4,IF(E918&gt;=50*0.6,3.5,IF(E918&gt;=50*0.5,3,IF(E918&gt;=50*0.4,2,IF(E918&gt;=50*0.33,1,0))))))))</f>
        <v/>
      </c>
      <c r="X918">
        <f>IF(B918="","",IF(F918&lt;33.0,0,IF(F918&gt;=100*0.8,5,IF(F918&gt;=100*0.7,4,IF(F918&gt;=100*0.6,3.5,IF(F918&gt;=100*0.5,3,IF(F918&gt;=100*0.4,2,IF(F918&gt;=100*0.33,1,0))))))))</f>
        <v/>
      </c>
      <c r="Y918">
        <f>IF(B918="","",IF(G918&lt;16.5,0,IF(G918&gt;=50*0.8,5,IF(G918&gt;=50*0.7,4,IF(G918&gt;=50*0.6,3.5,IF(G918&gt;=50*0.5,3,IF(G918&gt;=50*0.4,2,IF(G918&gt;=50*0.33,1,0))))))))</f>
        <v/>
      </c>
      <c r="Z918">
        <f>IF(B918="","",IF(H918&lt;33.0,0,IF(H918&gt;=100*0.8,5,IF(H918&gt;=100*0.7,4,IF(H918&gt;=100*0.6,3.5,IF(H918&gt;=100*0.5,3,IF(H918&gt;=100*0.4,2,IF(H918&gt;=100*0.33,1,0))))))))</f>
        <v/>
      </c>
      <c r="AA918">
        <f>IF(B918="","",IF(I918&lt;33.0,0,IF(I918&gt;=100*0.8,5,IF(I918&gt;=100*0.7,4,IF(I918&gt;=100*0.6,3.5,IF(I918&gt;=100*0.5,3,IF(I918&gt;=100*0.4,2,IF(I918&gt;=100*0.33,1,0))))))))</f>
        <v/>
      </c>
      <c r="AB918">
        <f>IF(B918="","",IF(J918&lt;33.0,0,IF(J918&gt;=100*0.8,5,IF(J918&gt;=100*0.7,4,IF(J918&gt;=100*0.6,3.5,IF(J918&gt;=100*0.5,3,IF(J918&gt;=100*0.4,2,IF(J918&gt;=100*0.33,1,0))))))))</f>
        <v/>
      </c>
      <c r="AC918">
        <f>IF(B918="","",IF(K918&lt;33.0,0,IF(K918&gt;=100*0.8,5,IF(K918&gt;=100*0.7,4,IF(K918&gt;=100*0.6,3.5,IF(K918&gt;=100*0.5,3,IF(K918&gt;=100*0.4,2,IF(K918&gt;=100*0.33,1,0))))))))</f>
        <v/>
      </c>
      <c r="AD918">
        <f>IF(B918="","",IF(L918&lt;33.0,0,IF(L918&gt;=100*0.8,5,IF(L918&gt;=100*0.7,4,IF(L918&gt;=100*0.6,3.5,IF(L918&gt;=100*0.5,3,IF(L918&gt;=100*0.4,2,IF(L918&gt;=100*0.33,1,0))))))))</f>
        <v/>
      </c>
      <c r="AE918">
        <f>IF(B918="","",IF(M918&lt;33.0,0,IF(M918&gt;=100*0.8,5,IF(M918&gt;=100*0.7,4,IF(M918&gt;=100*0.6,3.5,IF(M918&gt;=100*0.5,3,IF(M918&gt;=100*0.4,2,IF(M918&gt;=100*0.33,1,0))))))))</f>
        <v/>
      </c>
      <c r="AF918">
        <f>IF(B918="","",IF(N918&lt;16.5,0,IF(N918&gt;=50*0.8,5,IF(N918&gt;=50*0.7,4,IF(N918&gt;=50*0.6,3.5,IF(N918&gt;=50*0.5,3,IF(N918&gt;=50*0.4,2,IF(N918&gt;=50*0.33,1,0))))))))</f>
        <v/>
      </c>
      <c r="AG918">
        <f>IF(B918="","",IF(O918&lt;33.0,0,IF(O918&gt;=100*0.8,5,IF(O918&gt;=100*0.7,4,IF(O918&gt;=100*0.6,3.5,IF(O918&gt;=100*0.5,3,IF(O918&gt;=100*0.4,2,IF(O918&gt;=100*0.33,1,0))))))))</f>
        <v/>
      </c>
      <c r="AH918">
        <f>IF(B918="","",IF(OR(U918=0,V918=0,W918=0,X918=0,Y918=0,Z918=0,AA918=0,AB918=0,AC918=0,AD918=0,AE918=0,AF918=0,AG918=0),1,0))</f>
        <v/>
      </c>
    </row>
    <row r="919">
      <c r="A919" s="3">
        <f>IF(B919="","",ROW()-2)</f>
        <v/>
      </c>
      <c r="P919" s="4">
        <f>IF(B919="","",SUM(C919:O919))</f>
        <v/>
      </c>
      <c r="Q919" s="5">
        <f>IF(B919="","",ROUND(P919/13,2))</f>
        <v/>
      </c>
      <c r="R919" s="5">
        <f>IF(B919="","",IF(AH919=1,0,MIN(5,ROUND((U919+V919+W919+X919+Y919+Z919+AA919+AB919+AC919+AD919+AE919+AF919+AG919)/13,2))))</f>
        <v/>
      </c>
      <c r="S919" s="3">
        <f>IF(B919="","",IF(R919&gt;=5,"A+",IF(R919&gt;=4,"A",IF(R919&gt;=3.5,"A-",IF(R919&gt;=3,"B",IF(R919&gt;=2,"C",IF(R919&gt;=1,"D","F")))))))</f>
        <v/>
      </c>
      <c r="T919" s="3">
        <f>IF(OR(B919="",S919="F"),"",COUNTIFS(P:P,"&gt;"&amp;P919,S:S,"&lt;&gt;F")+1)</f>
        <v/>
      </c>
      <c r="U919">
        <f>IF(B919="","",IF(C919&lt;33.0,0,IF(C919&gt;=100*0.8,5,IF(C919&gt;=100*0.7,4,IF(C919&gt;=100*0.6,3.5,IF(C919&gt;=100*0.5,3,IF(C919&gt;=100*0.4,2,IF(C919&gt;=100*0.33,1,0))))))))</f>
        <v/>
      </c>
      <c r="V919">
        <f>IF(B919="","",IF(D919&lt;33.0,0,IF(D919&gt;=100*0.8,5,IF(D919&gt;=100*0.7,4,IF(D919&gt;=100*0.6,3.5,IF(D919&gt;=100*0.5,3,IF(D919&gt;=100*0.4,2,IF(D919&gt;=100*0.33,1,0))))))))</f>
        <v/>
      </c>
      <c r="W919">
        <f>IF(B919="","",IF(E919&lt;16.5,0,IF(E919&gt;=50*0.8,5,IF(E919&gt;=50*0.7,4,IF(E919&gt;=50*0.6,3.5,IF(E919&gt;=50*0.5,3,IF(E919&gt;=50*0.4,2,IF(E919&gt;=50*0.33,1,0))))))))</f>
        <v/>
      </c>
      <c r="X919">
        <f>IF(B919="","",IF(F919&lt;33.0,0,IF(F919&gt;=100*0.8,5,IF(F919&gt;=100*0.7,4,IF(F919&gt;=100*0.6,3.5,IF(F919&gt;=100*0.5,3,IF(F919&gt;=100*0.4,2,IF(F919&gt;=100*0.33,1,0))))))))</f>
        <v/>
      </c>
      <c r="Y919">
        <f>IF(B919="","",IF(G919&lt;16.5,0,IF(G919&gt;=50*0.8,5,IF(G919&gt;=50*0.7,4,IF(G919&gt;=50*0.6,3.5,IF(G919&gt;=50*0.5,3,IF(G919&gt;=50*0.4,2,IF(G919&gt;=50*0.33,1,0))))))))</f>
        <v/>
      </c>
      <c r="Z919">
        <f>IF(B919="","",IF(H919&lt;33.0,0,IF(H919&gt;=100*0.8,5,IF(H919&gt;=100*0.7,4,IF(H919&gt;=100*0.6,3.5,IF(H919&gt;=100*0.5,3,IF(H919&gt;=100*0.4,2,IF(H919&gt;=100*0.33,1,0))))))))</f>
        <v/>
      </c>
      <c r="AA919">
        <f>IF(B919="","",IF(I919&lt;33.0,0,IF(I919&gt;=100*0.8,5,IF(I919&gt;=100*0.7,4,IF(I919&gt;=100*0.6,3.5,IF(I919&gt;=100*0.5,3,IF(I919&gt;=100*0.4,2,IF(I919&gt;=100*0.33,1,0))))))))</f>
        <v/>
      </c>
      <c r="AB919">
        <f>IF(B919="","",IF(J919&lt;33.0,0,IF(J919&gt;=100*0.8,5,IF(J919&gt;=100*0.7,4,IF(J919&gt;=100*0.6,3.5,IF(J919&gt;=100*0.5,3,IF(J919&gt;=100*0.4,2,IF(J919&gt;=100*0.33,1,0))))))))</f>
        <v/>
      </c>
      <c r="AC919">
        <f>IF(B919="","",IF(K919&lt;33.0,0,IF(K919&gt;=100*0.8,5,IF(K919&gt;=100*0.7,4,IF(K919&gt;=100*0.6,3.5,IF(K919&gt;=100*0.5,3,IF(K919&gt;=100*0.4,2,IF(K919&gt;=100*0.33,1,0))))))))</f>
        <v/>
      </c>
      <c r="AD919">
        <f>IF(B919="","",IF(L919&lt;33.0,0,IF(L919&gt;=100*0.8,5,IF(L919&gt;=100*0.7,4,IF(L919&gt;=100*0.6,3.5,IF(L919&gt;=100*0.5,3,IF(L919&gt;=100*0.4,2,IF(L919&gt;=100*0.33,1,0))))))))</f>
        <v/>
      </c>
      <c r="AE919">
        <f>IF(B919="","",IF(M919&lt;33.0,0,IF(M919&gt;=100*0.8,5,IF(M919&gt;=100*0.7,4,IF(M919&gt;=100*0.6,3.5,IF(M919&gt;=100*0.5,3,IF(M919&gt;=100*0.4,2,IF(M919&gt;=100*0.33,1,0))))))))</f>
        <v/>
      </c>
      <c r="AF919">
        <f>IF(B919="","",IF(N919&lt;16.5,0,IF(N919&gt;=50*0.8,5,IF(N919&gt;=50*0.7,4,IF(N919&gt;=50*0.6,3.5,IF(N919&gt;=50*0.5,3,IF(N919&gt;=50*0.4,2,IF(N919&gt;=50*0.33,1,0))))))))</f>
        <v/>
      </c>
      <c r="AG919">
        <f>IF(B919="","",IF(O919&lt;33.0,0,IF(O919&gt;=100*0.8,5,IF(O919&gt;=100*0.7,4,IF(O919&gt;=100*0.6,3.5,IF(O919&gt;=100*0.5,3,IF(O919&gt;=100*0.4,2,IF(O919&gt;=100*0.33,1,0))))))))</f>
        <v/>
      </c>
      <c r="AH919">
        <f>IF(B919="","",IF(OR(U919=0,V919=0,W919=0,X919=0,Y919=0,Z919=0,AA919=0,AB919=0,AC919=0,AD919=0,AE919=0,AF919=0,AG919=0),1,0))</f>
        <v/>
      </c>
    </row>
    <row r="920">
      <c r="A920" s="3">
        <f>IF(B920="","",ROW()-2)</f>
        <v/>
      </c>
      <c r="P920" s="4">
        <f>IF(B920="","",SUM(C920:O920))</f>
        <v/>
      </c>
      <c r="Q920" s="5">
        <f>IF(B920="","",ROUND(P920/13,2))</f>
        <v/>
      </c>
      <c r="R920" s="5">
        <f>IF(B920="","",IF(AH920=1,0,MIN(5,ROUND((U920+V920+W920+X920+Y920+Z920+AA920+AB920+AC920+AD920+AE920+AF920+AG920)/13,2))))</f>
        <v/>
      </c>
      <c r="S920" s="3">
        <f>IF(B920="","",IF(R920&gt;=5,"A+",IF(R920&gt;=4,"A",IF(R920&gt;=3.5,"A-",IF(R920&gt;=3,"B",IF(R920&gt;=2,"C",IF(R920&gt;=1,"D","F")))))))</f>
        <v/>
      </c>
      <c r="T920" s="3">
        <f>IF(OR(B920="",S920="F"),"",COUNTIFS(P:P,"&gt;"&amp;P920,S:S,"&lt;&gt;F")+1)</f>
        <v/>
      </c>
      <c r="U920">
        <f>IF(B920="","",IF(C920&lt;33.0,0,IF(C920&gt;=100*0.8,5,IF(C920&gt;=100*0.7,4,IF(C920&gt;=100*0.6,3.5,IF(C920&gt;=100*0.5,3,IF(C920&gt;=100*0.4,2,IF(C920&gt;=100*0.33,1,0))))))))</f>
        <v/>
      </c>
      <c r="V920">
        <f>IF(B920="","",IF(D920&lt;33.0,0,IF(D920&gt;=100*0.8,5,IF(D920&gt;=100*0.7,4,IF(D920&gt;=100*0.6,3.5,IF(D920&gt;=100*0.5,3,IF(D920&gt;=100*0.4,2,IF(D920&gt;=100*0.33,1,0))))))))</f>
        <v/>
      </c>
      <c r="W920">
        <f>IF(B920="","",IF(E920&lt;16.5,0,IF(E920&gt;=50*0.8,5,IF(E920&gt;=50*0.7,4,IF(E920&gt;=50*0.6,3.5,IF(E920&gt;=50*0.5,3,IF(E920&gt;=50*0.4,2,IF(E920&gt;=50*0.33,1,0))))))))</f>
        <v/>
      </c>
      <c r="X920">
        <f>IF(B920="","",IF(F920&lt;33.0,0,IF(F920&gt;=100*0.8,5,IF(F920&gt;=100*0.7,4,IF(F920&gt;=100*0.6,3.5,IF(F920&gt;=100*0.5,3,IF(F920&gt;=100*0.4,2,IF(F920&gt;=100*0.33,1,0))))))))</f>
        <v/>
      </c>
      <c r="Y920">
        <f>IF(B920="","",IF(G920&lt;16.5,0,IF(G920&gt;=50*0.8,5,IF(G920&gt;=50*0.7,4,IF(G920&gt;=50*0.6,3.5,IF(G920&gt;=50*0.5,3,IF(G920&gt;=50*0.4,2,IF(G920&gt;=50*0.33,1,0))))))))</f>
        <v/>
      </c>
      <c r="Z920">
        <f>IF(B920="","",IF(H920&lt;33.0,0,IF(H920&gt;=100*0.8,5,IF(H920&gt;=100*0.7,4,IF(H920&gt;=100*0.6,3.5,IF(H920&gt;=100*0.5,3,IF(H920&gt;=100*0.4,2,IF(H920&gt;=100*0.33,1,0))))))))</f>
        <v/>
      </c>
      <c r="AA920">
        <f>IF(B920="","",IF(I920&lt;33.0,0,IF(I920&gt;=100*0.8,5,IF(I920&gt;=100*0.7,4,IF(I920&gt;=100*0.6,3.5,IF(I920&gt;=100*0.5,3,IF(I920&gt;=100*0.4,2,IF(I920&gt;=100*0.33,1,0))))))))</f>
        <v/>
      </c>
      <c r="AB920">
        <f>IF(B920="","",IF(J920&lt;33.0,0,IF(J920&gt;=100*0.8,5,IF(J920&gt;=100*0.7,4,IF(J920&gt;=100*0.6,3.5,IF(J920&gt;=100*0.5,3,IF(J920&gt;=100*0.4,2,IF(J920&gt;=100*0.33,1,0))))))))</f>
        <v/>
      </c>
      <c r="AC920">
        <f>IF(B920="","",IF(K920&lt;33.0,0,IF(K920&gt;=100*0.8,5,IF(K920&gt;=100*0.7,4,IF(K920&gt;=100*0.6,3.5,IF(K920&gt;=100*0.5,3,IF(K920&gt;=100*0.4,2,IF(K920&gt;=100*0.33,1,0))))))))</f>
        <v/>
      </c>
      <c r="AD920">
        <f>IF(B920="","",IF(L920&lt;33.0,0,IF(L920&gt;=100*0.8,5,IF(L920&gt;=100*0.7,4,IF(L920&gt;=100*0.6,3.5,IF(L920&gt;=100*0.5,3,IF(L920&gt;=100*0.4,2,IF(L920&gt;=100*0.33,1,0))))))))</f>
        <v/>
      </c>
      <c r="AE920">
        <f>IF(B920="","",IF(M920&lt;33.0,0,IF(M920&gt;=100*0.8,5,IF(M920&gt;=100*0.7,4,IF(M920&gt;=100*0.6,3.5,IF(M920&gt;=100*0.5,3,IF(M920&gt;=100*0.4,2,IF(M920&gt;=100*0.33,1,0))))))))</f>
        <v/>
      </c>
      <c r="AF920">
        <f>IF(B920="","",IF(N920&lt;16.5,0,IF(N920&gt;=50*0.8,5,IF(N920&gt;=50*0.7,4,IF(N920&gt;=50*0.6,3.5,IF(N920&gt;=50*0.5,3,IF(N920&gt;=50*0.4,2,IF(N920&gt;=50*0.33,1,0))))))))</f>
        <v/>
      </c>
      <c r="AG920">
        <f>IF(B920="","",IF(O920&lt;33.0,0,IF(O920&gt;=100*0.8,5,IF(O920&gt;=100*0.7,4,IF(O920&gt;=100*0.6,3.5,IF(O920&gt;=100*0.5,3,IF(O920&gt;=100*0.4,2,IF(O920&gt;=100*0.33,1,0))))))))</f>
        <v/>
      </c>
      <c r="AH920">
        <f>IF(B920="","",IF(OR(U920=0,V920=0,W920=0,X920=0,Y920=0,Z920=0,AA920=0,AB920=0,AC920=0,AD920=0,AE920=0,AF920=0,AG920=0),1,0))</f>
        <v/>
      </c>
    </row>
    <row r="921">
      <c r="A921" s="3">
        <f>IF(B921="","",ROW()-2)</f>
        <v/>
      </c>
      <c r="P921" s="4">
        <f>IF(B921="","",SUM(C921:O921))</f>
        <v/>
      </c>
      <c r="Q921" s="5">
        <f>IF(B921="","",ROUND(P921/13,2))</f>
        <v/>
      </c>
      <c r="R921" s="5">
        <f>IF(B921="","",IF(AH921=1,0,MIN(5,ROUND((U921+V921+W921+X921+Y921+Z921+AA921+AB921+AC921+AD921+AE921+AF921+AG921)/13,2))))</f>
        <v/>
      </c>
      <c r="S921" s="3">
        <f>IF(B921="","",IF(R921&gt;=5,"A+",IF(R921&gt;=4,"A",IF(R921&gt;=3.5,"A-",IF(R921&gt;=3,"B",IF(R921&gt;=2,"C",IF(R921&gt;=1,"D","F")))))))</f>
        <v/>
      </c>
      <c r="T921" s="3">
        <f>IF(OR(B921="",S921="F"),"",COUNTIFS(P:P,"&gt;"&amp;P921,S:S,"&lt;&gt;F")+1)</f>
        <v/>
      </c>
      <c r="U921">
        <f>IF(B921="","",IF(C921&lt;33.0,0,IF(C921&gt;=100*0.8,5,IF(C921&gt;=100*0.7,4,IF(C921&gt;=100*0.6,3.5,IF(C921&gt;=100*0.5,3,IF(C921&gt;=100*0.4,2,IF(C921&gt;=100*0.33,1,0))))))))</f>
        <v/>
      </c>
      <c r="V921">
        <f>IF(B921="","",IF(D921&lt;33.0,0,IF(D921&gt;=100*0.8,5,IF(D921&gt;=100*0.7,4,IF(D921&gt;=100*0.6,3.5,IF(D921&gt;=100*0.5,3,IF(D921&gt;=100*0.4,2,IF(D921&gt;=100*0.33,1,0))))))))</f>
        <v/>
      </c>
      <c r="W921">
        <f>IF(B921="","",IF(E921&lt;16.5,0,IF(E921&gt;=50*0.8,5,IF(E921&gt;=50*0.7,4,IF(E921&gt;=50*0.6,3.5,IF(E921&gt;=50*0.5,3,IF(E921&gt;=50*0.4,2,IF(E921&gt;=50*0.33,1,0))))))))</f>
        <v/>
      </c>
      <c r="X921">
        <f>IF(B921="","",IF(F921&lt;33.0,0,IF(F921&gt;=100*0.8,5,IF(F921&gt;=100*0.7,4,IF(F921&gt;=100*0.6,3.5,IF(F921&gt;=100*0.5,3,IF(F921&gt;=100*0.4,2,IF(F921&gt;=100*0.33,1,0))))))))</f>
        <v/>
      </c>
      <c r="Y921">
        <f>IF(B921="","",IF(G921&lt;16.5,0,IF(G921&gt;=50*0.8,5,IF(G921&gt;=50*0.7,4,IF(G921&gt;=50*0.6,3.5,IF(G921&gt;=50*0.5,3,IF(G921&gt;=50*0.4,2,IF(G921&gt;=50*0.33,1,0))))))))</f>
        <v/>
      </c>
      <c r="Z921">
        <f>IF(B921="","",IF(H921&lt;33.0,0,IF(H921&gt;=100*0.8,5,IF(H921&gt;=100*0.7,4,IF(H921&gt;=100*0.6,3.5,IF(H921&gt;=100*0.5,3,IF(H921&gt;=100*0.4,2,IF(H921&gt;=100*0.33,1,0))))))))</f>
        <v/>
      </c>
      <c r="AA921">
        <f>IF(B921="","",IF(I921&lt;33.0,0,IF(I921&gt;=100*0.8,5,IF(I921&gt;=100*0.7,4,IF(I921&gt;=100*0.6,3.5,IF(I921&gt;=100*0.5,3,IF(I921&gt;=100*0.4,2,IF(I921&gt;=100*0.33,1,0))))))))</f>
        <v/>
      </c>
      <c r="AB921">
        <f>IF(B921="","",IF(J921&lt;33.0,0,IF(J921&gt;=100*0.8,5,IF(J921&gt;=100*0.7,4,IF(J921&gt;=100*0.6,3.5,IF(J921&gt;=100*0.5,3,IF(J921&gt;=100*0.4,2,IF(J921&gt;=100*0.33,1,0))))))))</f>
        <v/>
      </c>
      <c r="AC921">
        <f>IF(B921="","",IF(K921&lt;33.0,0,IF(K921&gt;=100*0.8,5,IF(K921&gt;=100*0.7,4,IF(K921&gt;=100*0.6,3.5,IF(K921&gt;=100*0.5,3,IF(K921&gt;=100*0.4,2,IF(K921&gt;=100*0.33,1,0))))))))</f>
        <v/>
      </c>
      <c r="AD921">
        <f>IF(B921="","",IF(L921&lt;33.0,0,IF(L921&gt;=100*0.8,5,IF(L921&gt;=100*0.7,4,IF(L921&gt;=100*0.6,3.5,IF(L921&gt;=100*0.5,3,IF(L921&gt;=100*0.4,2,IF(L921&gt;=100*0.33,1,0))))))))</f>
        <v/>
      </c>
      <c r="AE921">
        <f>IF(B921="","",IF(M921&lt;33.0,0,IF(M921&gt;=100*0.8,5,IF(M921&gt;=100*0.7,4,IF(M921&gt;=100*0.6,3.5,IF(M921&gt;=100*0.5,3,IF(M921&gt;=100*0.4,2,IF(M921&gt;=100*0.33,1,0))))))))</f>
        <v/>
      </c>
      <c r="AF921">
        <f>IF(B921="","",IF(N921&lt;16.5,0,IF(N921&gt;=50*0.8,5,IF(N921&gt;=50*0.7,4,IF(N921&gt;=50*0.6,3.5,IF(N921&gt;=50*0.5,3,IF(N921&gt;=50*0.4,2,IF(N921&gt;=50*0.33,1,0))))))))</f>
        <v/>
      </c>
      <c r="AG921">
        <f>IF(B921="","",IF(O921&lt;33.0,0,IF(O921&gt;=100*0.8,5,IF(O921&gt;=100*0.7,4,IF(O921&gt;=100*0.6,3.5,IF(O921&gt;=100*0.5,3,IF(O921&gt;=100*0.4,2,IF(O921&gt;=100*0.33,1,0))))))))</f>
        <v/>
      </c>
      <c r="AH921">
        <f>IF(B921="","",IF(OR(U921=0,V921=0,W921=0,X921=0,Y921=0,Z921=0,AA921=0,AB921=0,AC921=0,AD921=0,AE921=0,AF921=0,AG921=0),1,0))</f>
        <v/>
      </c>
    </row>
    <row r="922">
      <c r="A922" s="3">
        <f>IF(B922="","",ROW()-2)</f>
        <v/>
      </c>
      <c r="P922" s="4">
        <f>IF(B922="","",SUM(C922:O922))</f>
        <v/>
      </c>
      <c r="Q922" s="5">
        <f>IF(B922="","",ROUND(P922/13,2))</f>
        <v/>
      </c>
      <c r="R922" s="5">
        <f>IF(B922="","",IF(AH922=1,0,MIN(5,ROUND((U922+V922+W922+X922+Y922+Z922+AA922+AB922+AC922+AD922+AE922+AF922+AG922)/13,2))))</f>
        <v/>
      </c>
      <c r="S922" s="3">
        <f>IF(B922="","",IF(R922&gt;=5,"A+",IF(R922&gt;=4,"A",IF(R922&gt;=3.5,"A-",IF(R922&gt;=3,"B",IF(R922&gt;=2,"C",IF(R922&gt;=1,"D","F")))))))</f>
        <v/>
      </c>
      <c r="T922" s="3">
        <f>IF(OR(B922="",S922="F"),"",COUNTIFS(P:P,"&gt;"&amp;P922,S:S,"&lt;&gt;F")+1)</f>
        <v/>
      </c>
      <c r="U922">
        <f>IF(B922="","",IF(C922&lt;33.0,0,IF(C922&gt;=100*0.8,5,IF(C922&gt;=100*0.7,4,IF(C922&gt;=100*0.6,3.5,IF(C922&gt;=100*0.5,3,IF(C922&gt;=100*0.4,2,IF(C922&gt;=100*0.33,1,0))))))))</f>
        <v/>
      </c>
      <c r="V922">
        <f>IF(B922="","",IF(D922&lt;33.0,0,IF(D922&gt;=100*0.8,5,IF(D922&gt;=100*0.7,4,IF(D922&gt;=100*0.6,3.5,IF(D922&gt;=100*0.5,3,IF(D922&gt;=100*0.4,2,IF(D922&gt;=100*0.33,1,0))))))))</f>
        <v/>
      </c>
      <c r="W922">
        <f>IF(B922="","",IF(E922&lt;16.5,0,IF(E922&gt;=50*0.8,5,IF(E922&gt;=50*0.7,4,IF(E922&gt;=50*0.6,3.5,IF(E922&gt;=50*0.5,3,IF(E922&gt;=50*0.4,2,IF(E922&gt;=50*0.33,1,0))))))))</f>
        <v/>
      </c>
      <c r="X922">
        <f>IF(B922="","",IF(F922&lt;33.0,0,IF(F922&gt;=100*0.8,5,IF(F922&gt;=100*0.7,4,IF(F922&gt;=100*0.6,3.5,IF(F922&gt;=100*0.5,3,IF(F922&gt;=100*0.4,2,IF(F922&gt;=100*0.33,1,0))))))))</f>
        <v/>
      </c>
      <c r="Y922">
        <f>IF(B922="","",IF(G922&lt;16.5,0,IF(G922&gt;=50*0.8,5,IF(G922&gt;=50*0.7,4,IF(G922&gt;=50*0.6,3.5,IF(G922&gt;=50*0.5,3,IF(G922&gt;=50*0.4,2,IF(G922&gt;=50*0.33,1,0))))))))</f>
        <v/>
      </c>
      <c r="Z922">
        <f>IF(B922="","",IF(H922&lt;33.0,0,IF(H922&gt;=100*0.8,5,IF(H922&gt;=100*0.7,4,IF(H922&gt;=100*0.6,3.5,IF(H922&gt;=100*0.5,3,IF(H922&gt;=100*0.4,2,IF(H922&gt;=100*0.33,1,0))))))))</f>
        <v/>
      </c>
      <c r="AA922">
        <f>IF(B922="","",IF(I922&lt;33.0,0,IF(I922&gt;=100*0.8,5,IF(I922&gt;=100*0.7,4,IF(I922&gt;=100*0.6,3.5,IF(I922&gt;=100*0.5,3,IF(I922&gt;=100*0.4,2,IF(I922&gt;=100*0.33,1,0))))))))</f>
        <v/>
      </c>
      <c r="AB922">
        <f>IF(B922="","",IF(J922&lt;33.0,0,IF(J922&gt;=100*0.8,5,IF(J922&gt;=100*0.7,4,IF(J922&gt;=100*0.6,3.5,IF(J922&gt;=100*0.5,3,IF(J922&gt;=100*0.4,2,IF(J922&gt;=100*0.33,1,0))))))))</f>
        <v/>
      </c>
      <c r="AC922">
        <f>IF(B922="","",IF(K922&lt;33.0,0,IF(K922&gt;=100*0.8,5,IF(K922&gt;=100*0.7,4,IF(K922&gt;=100*0.6,3.5,IF(K922&gt;=100*0.5,3,IF(K922&gt;=100*0.4,2,IF(K922&gt;=100*0.33,1,0))))))))</f>
        <v/>
      </c>
      <c r="AD922">
        <f>IF(B922="","",IF(L922&lt;33.0,0,IF(L922&gt;=100*0.8,5,IF(L922&gt;=100*0.7,4,IF(L922&gt;=100*0.6,3.5,IF(L922&gt;=100*0.5,3,IF(L922&gt;=100*0.4,2,IF(L922&gt;=100*0.33,1,0))))))))</f>
        <v/>
      </c>
      <c r="AE922">
        <f>IF(B922="","",IF(M922&lt;33.0,0,IF(M922&gt;=100*0.8,5,IF(M922&gt;=100*0.7,4,IF(M922&gt;=100*0.6,3.5,IF(M922&gt;=100*0.5,3,IF(M922&gt;=100*0.4,2,IF(M922&gt;=100*0.33,1,0))))))))</f>
        <v/>
      </c>
      <c r="AF922">
        <f>IF(B922="","",IF(N922&lt;16.5,0,IF(N922&gt;=50*0.8,5,IF(N922&gt;=50*0.7,4,IF(N922&gt;=50*0.6,3.5,IF(N922&gt;=50*0.5,3,IF(N922&gt;=50*0.4,2,IF(N922&gt;=50*0.33,1,0))))))))</f>
        <v/>
      </c>
      <c r="AG922">
        <f>IF(B922="","",IF(O922&lt;33.0,0,IF(O922&gt;=100*0.8,5,IF(O922&gt;=100*0.7,4,IF(O922&gt;=100*0.6,3.5,IF(O922&gt;=100*0.5,3,IF(O922&gt;=100*0.4,2,IF(O922&gt;=100*0.33,1,0))))))))</f>
        <v/>
      </c>
      <c r="AH922">
        <f>IF(B922="","",IF(OR(U922=0,V922=0,W922=0,X922=0,Y922=0,Z922=0,AA922=0,AB922=0,AC922=0,AD922=0,AE922=0,AF922=0,AG922=0),1,0))</f>
        <v/>
      </c>
    </row>
    <row r="923">
      <c r="A923" s="3">
        <f>IF(B923="","",ROW()-2)</f>
        <v/>
      </c>
      <c r="P923" s="4">
        <f>IF(B923="","",SUM(C923:O923))</f>
        <v/>
      </c>
      <c r="Q923" s="5">
        <f>IF(B923="","",ROUND(P923/13,2))</f>
        <v/>
      </c>
      <c r="R923" s="5">
        <f>IF(B923="","",IF(AH923=1,0,MIN(5,ROUND((U923+V923+W923+X923+Y923+Z923+AA923+AB923+AC923+AD923+AE923+AF923+AG923)/13,2))))</f>
        <v/>
      </c>
      <c r="S923" s="3">
        <f>IF(B923="","",IF(R923&gt;=5,"A+",IF(R923&gt;=4,"A",IF(R923&gt;=3.5,"A-",IF(R923&gt;=3,"B",IF(R923&gt;=2,"C",IF(R923&gt;=1,"D","F")))))))</f>
        <v/>
      </c>
      <c r="T923" s="3">
        <f>IF(OR(B923="",S923="F"),"",COUNTIFS(P:P,"&gt;"&amp;P923,S:S,"&lt;&gt;F")+1)</f>
        <v/>
      </c>
      <c r="U923">
        <f>IF(B923="","",IF(C923&lt;33.0,0,IF(C923&gt;=100*0.8,5,IF(C923&gt;=100*0.7,4,IF(C923&gt;=100*0.6,3.5,IF(C923&gt;=100*0.5,3,IF(C923&gt;=100*0.4,2,IF(C923&gt;=100*0.33,1,0))))))))</f>
        <v/>
      </c>
      <c r="V923">
        <f>IF(B923="","",IF(D923&lt;33.0,0,IF(D923&gt;=100*0.8,5,IF(D923&gt;=100*0.7,4,IF(D923&gt;=100*0.6,3.5,IF(D923&gt;=100*0.5,3,IF(D923&gt;=100*0.4,2,IF(D923&gt;=100*0.33,1,0))))))))</f>
        <v/>
      </c>
      <c r="W923">
        <f>IF(B923="","",IF(E923&lt;16.5,0,IF(E923&gt;=50*0.8,5,IF(E923&gt;=50*0.7,4,IF(E923&gt;=50*0.6,3.5,IF(E923&gt;=50*0.5,3,IF(E923&gt;=50*0.4,2,IF(E923&gt;=50*0.33,1,0))))))))</f>
        <v/>
      </c>
      <c r="X923">
        <f>IF(B923="","",IF(F923&lt;33.0,0,IF(F923&gt;=100*0.8,5,IF(F923&gt;=100*0.7,4,IF(F923&gt;=100*0.6,3.5,IF(F923&gt;=100*0.5,3,IF(F923&gt;=100*0.4,2,IF(F923&gt;=100*0.33,1,0))))))))</f>
        <v/>
      </c>
      <c r="Y923">
        <f>IF(B923="","",IF(G923&lt;16.5,0,IF(G923&gt;=50*0.8,5,IF(G923&gt;=50*0.7,4,IF(G923&gt;=50*0.6,3.5,IF(G923&gt;=50*0.5,3,IF(G923&gt;=50*0.4,2,IF(G923&gt;=50*0.33,1,0))))))))</f>
        <v/>
      </c>
      <c r="Z923">
        <f>IF(B923="","",IF(H923&lt;33.0,0,IF(H923&gt;=100*0.8,5,IF(H923&gt;=100*0.7,4,IF(H923&gt;=100*0.6,3.5,IF(H923&gt;=100*0.5,3,IF(H923&gt;=100*0.4,2,IF(H923&gt;=100*0.33,1,0))))))))</f>
        <v/>
      </c>
      <c r="AA923">
        <f>IF(B923="","",IF(I923&lt;33.0,0,IF(I923&gt;=100*0.8,5,IF(I923&gt;=100*0.7,4,IF(I923&gt;=100*0.6,3.5,IF(I923&gt;=100*0.5,3,IF(I923&gt;=100*0.4,2,IF(I923&gt;=100*0.33,1,0))))))))</f>
        <v/>
      </c>
      <c r="AB923">
        <f>IF(B923="","",IF(J923&lt;33.0,0,IF(J923&gt;=100*0.8,5,IF(J923&gt;=100*0.7,4,IF(J923&gt;=100*0.6,3.5,IF(J923&gt;=100*0.5,3,IF(J923&gt;=100*0.4,2,IF(J923&gt;=100*0.33,1,0))))))))</f>
        <v/>
      </c>
      <c r="AC923">
        <f>IF(B923="","",IF(K923&lt;33.0,0,IF(K923&gt;=100*0.8,5,IF(K923&gt;=100*0.7,4,IF(K923&gt;=100*0.6,3.5,IF(K923&gt;=100*0.5,3,IF(K923&gt;=100*0.4,2,IF(K923&gt;=100*0.33,1,0))))))))</f>
        <v/>
      </c>
      <c r="AD923">
        <f>IF(B923="","",IF(L923&lt;33.0,0,IF(L923&gt;=100*0.8,5,IF(L923&gt;=100*0.7,4,IF(L923&gt;=100*0.6,3.5,IF(L923&gt;=100*0.5,3,IF(L923&gt;=100*0.4,2,IF(L923&gt;=100*0.33,1,0))))))))</f>
        <v/>
      </c>
      <c r="AE923">
        <f>IF(B923="","",IF(M923&lt;33.0,0,IF(M923&gt;=100*0.8,5,IF(M923&gt;=100*0.7,4,IF(M923&gt;=100*0.6,3.5,IF(M923&gt;=100*0.5,3,IF(M923&gt;=100*0.4,2,IF(M923&gt;=100*0.33,1,0))))))))</f>
        <v/>
      </c>
      <c r="AF923">
        <f>IF(B923="","",IF(N923&lt;16.5,0,IF(N923&gt;=50*0.8,5,IF(N923&gt;=50*0.7,4,IF(N923&gt;=50*0.6,3.5,IF(N923&gt;=50*0.5,3,IF(N923&gt;=50*0.4,2,IF(N923&gt;=50*0.33,1,0))))))))</f>
        <v/>
      </c>
      <c r="AG923">
        <f>IF(B923="","",IF(O923&lt;33.0,0,IF(O923&gt;=100*0.8,5,IF(O923&gt;=100*0.7,4,IF(O923&gt;=100*0.6,3.5,IF(O923&gt;=100*0.5,3,IF(O923&gt;=100*0.4,2,IF(O923&gt;=100*0.33,1,0))))))))</f>
        <v/>
      </c>
      <c r="AH923">
        <f>IF(B923="","",IF(OR(U923=0,V923=0,W923=0,X923=0,Y923=0,Z923=0,AA923=0,AB923=0,AC923=0,AD923=0,AE923=0,AF923=0,AG923=0),1,0))</f>
        <v/>
      </c>
    </row>
    <row r="924">
      <c r="A924" s="3">
        <f>IF(B924="","",ROW()-2)</f>
        <v/>
      </c>
      <c r="P924" s="4">
        <f>IF(B924="","",SUM(C924:O924))</f>
        <v/>
      </c>
      <c r="Q924" s="5">
        <f>IF(B924="","",ROUND(P924/13,2))</f>
        <v/>
      </c>
      <c r="R924" s="5">
        <f>IF(B924="","",IF(AH924=1,0,MIN(5,ROUND((U924+V924+W924+X924+Y924+Z924+AA924+AB924+AC924+AD924+AE924+AF924+AG924)/13,2))))</f>
        <v/>
      </c>
      <c r="S924" s="3">
        <f>IF(B924="","",IF(R924&gt;=5,"A+",IF(R924&gt;=4,"A",IF(R924&gt;=3.5,"A-",IF(R924&gt;=3,"B",IF(R924&gt;=2,"C",IF(R924&gt;=1,"D","F")))))))</f>
        <v/>
      </c>
      <c r="T924" s="3">
        <f>IF(OR(B924="",S924="F"),"",COUNTIFS(P:P,"&gt;"&amp;P924,S:S,"&lt;&gt;F")+1)</f>
        <v/>
      </c>
      <c r="U924">
        <f>IF(B924="","",IF(C924&lt;33.0,0,IF(C924&gt;=100*0.8,5,IF(C924&gt;=100*0.7,4,IF(C924&gt;=100*0.6,3.5,IF(C924&gt;=100*0.5,3,IF(C924&gt;=100*0.4,2,IF(C924&gt;=100*0.33,1,0))))))))</f>
        <v/>
      </c>
      <c r="V924">
        <f>IF(B924="","",IF(D924&lt;33.0,0,IF(D924&gt;=100*0.8,5,IF(D924&gt;=100*0.7,4,IF(D924&gt;=100*0.6,3.5,IF(D924&gt;=100*0.5,3,IF(D924&gt;=100*0.4,2,IF(D924&gt;=100*0.33,1,0))))))))</f>
        <v/>
      </c>
      <c r="W924">
        <f>IF(B924="","",IF(E924&lt;16.5,0,IF(E924&gt;=50*0.8,5,IF(E924&gt;=50*0.7,4,IF(E924&gt;=50*0.6,3.5,IF(E924&gt;=50*0.5,3,IF(E924&gt;=50*0.4,2,IF(E924&gt;=50*0.33,1,0))))))))</f>
        <v/>
      </c>
      <c r="X924">
        <f>IF(B924="","",IF(F924&lt;33.0,0,IF(F924&gt;=100*0.8,5,IF(F924&gt;=100*0.7,4,IF(F924&gt;=100*0.6,3.5,IF(F924&gt;=100*0.5,3,IF(F924&gt;=100*0.4,2,IF(F924&gt;=100*0.33,1,0))))))))</f>
        <v/>
      </c>
      <c r="Y924">
        <f>IF(B924="","",IF(G924&lt;16.5,0,IF(G924&gt;=50*0.8,5,IF(G924&gt;=50*0.7,4,IF(G924&gt;=50*0.6,3.5,IF(G924&gt;=50*0.5,3,IF(G924&gt;=50*0.4,2,IF(G924&gt;=50*0.33,1,0))))))))</f>
        <v/>
      </c>
      <c r="Z924">
        <f>IF(B924="","",IF(H924&lt;33.0,0,IF(H924&gt;=100*0.8,5,IF(H924&gt;=100*0.7,4,IF(H924&gt;=100*0.6,3.5,IF(H924&gt;=100*0.5,3,IF(H924&gt;=100*0.4,2,IF(H924&gt;=100*0.33,1,0))))))))</f>
        <v/>
      </c>
      <c r="AA924">
        <f>IF(B924="","",IF(I924&lt;33.0,0,IF(I924&gt;=100*0.8,5,IF(I924&gt;=100*0.7,4,IF(I924&gt;=100*0.6,3.5,IF(I924&gt;=100*0.5,3,IF(I924&gt;=100*0.4,2,IF(I924&gt;=100*0.33,1,0))))))))</f>
        <v/>
      </c>
      <c r="AB924">
        <f>IF(B924="","",IF(J924&lt;33.0,0,IF(J924&gt;=100*0.8,5,IF(J924&gt;=100*0.7,4,IF(J924&gt;=100*0.6,3.5,IF(J924&gt;=100*0.5,3,IF(J924&gt;=100*0.4,2,IF(J924&gt;=100*0.33,1,0))))))))</f>
        <v/>
      </c>
      <c r="AC924">
        <f>IF(B924="","",IF(K924&lt;33.0,0,IF(K924&gt;=100*0.8,5,IF(K924&gt;=100*0.7,4,IF(K924&gt;=100*0.6,3.5,IF(K924&gt;=100*0.5,3,IF(K924&gt;=100*0.4,2,IF(K924&gt;=100*0.33,1,0))))))))</f>
        <v/>
      </c>
      <c r="AD924">
        <f>IF(B924="","",IF(L924&lt;33.0,0,IF(L924&gt;=100*0.8,5,IF(L924&gt;=100*0.7,4,IF(L924&gt;=100*0.6,3.5,IF(L924&gt;=100*0.5,3,IF(L924&gt;=100*0.4,2,IF(L924&gt;=100*0.33,1,0))))))))</f>
        <v/>
      </c>
      <c r="AE924">
        <f>IF(B924="","",IF(M924&lt;33.0,0,IF(M924&gt;=100*0.8,5,IF(M924&gt;=100*0.7,4,IF(M924&gt;=100*0.6,3.5,IF(M924&gt;=100*0.5,3,IF(M924&gt;=100*0.4,2,IF(M924&gt;=100*0.33,1,0))))))))</f>
        <v/>
      </c>
      <c r="AF924">
        <f>IF(B924="","",IF(N924&lt;16.5,0,IF(N924&gt;=50*0.8,5,IF(N924&gt;=50*0.7,4,IF(N924&gt;=50*0.6,3.5,IF(N924&gt;=50*0.5,3,IF(N924&gt;=50*0.4,2,IF(N924&gt;=50*0.33,1,0))))))))</f>
        <v/>
      </c>
      <c r="AG924">
        <f>IF(B924="","",IF(O924&lt;33.0,0,IF(O924&gt;=100*0.8,5,IF(O924&gt;=100*0.7,4,IF(O924&gt;=100*0.6,3.5,IF(O924&gt;=100*0.5,3,IF(O924&gt;=100*0.4,2,IF(O924&gt;=100*0.33,1,0))))))))</f>
        <v/>
      </c>
      <c r="AH924">
        <f>IF(B924="","",IF(OR(U924=0,V924=0,W924=0,X924=0,Y924=0,Z924=0,AA924=0,AB924=0,AC924=0,AD924=0,AE924=0,AF924=0,AG924=0),1,0))</f>
        <v/>
      </c>
    </row>
    <row r="925">
      <c r="A925" s="3">
        <f>IF(B925="","",ROW()-2)</f>
        <v/>
      </c>
      <c r="P925" s="4">
        <f>IF(B925="","",SUM(C925:O925))</f>
        <v/>
      </c>
      <c r="Q925" s="5">
        <f>IF(B925="","",ROUND(P925/13,2))</f>
        <v/>
      </c>
      <c r="R925" s="5">
        <f>IF(B925="","",IF(AH925=1,0,MIN(5,ROUND((U925+V925+W925+X925+Y925+Z925+AA925+AB925+AC925+AD925+AE925+AF925+AG925)/13,2))))</f>
        <v/>
      </c>
      <c r="S925" s="3">
        <f>IF(B925="","",IF(R925&gt;=5,"A+",IF(R925&gt;=4,"A",IF(R925&gt;=3.5,"A-",IF(R925&gt;=3,"B",IF(R925&gt;=2,"C",IF(R925&gt;=1,"D","F")))))))</f>
        <v/>
      </c>
      <c r="T925" s="3">
        <f>IF(OR(B925="",S925="F"),"",COUNTIFS(P:P,"&gt;"&amp;P925,S:S,"&lt;&gt;F")+1)</f>
        <v/>
      </c>
      <c r="U925">
        <f>IF(B925="","",IF(C925&lt;33.0,0,IF(C925&gt;=100*0.8,5,IF(C925&gt;=100*0.7,4,IF(C925&gt;=100*0.6,3.5,IF(C925&gt;=100*0.5,3,IF(C925&gt;=100*0.4,2,IF(C925&gt;=100*0.33,1,0))))))))</f>
        <v/>
      </c>
      <c r="V925">
        <f>IF(B925="","",IF(D925&lt;33.0,0,IF(D925&gt;=100*0.8,5,IF(D925&gt;=100*0.7,4,IF(D925&gt;=100*0.6,3.5,IF(D925&gt;=100*0.5,3,IF(D925&gt;=100*0.4,2,IF(D925&gt;=100*0.33,1,0))))))))</f>
        <v/>
      </c>
      <c r="W925">
        <f>IF(B925="","",IF(E925&lt;16.5,0,IF(E925&gt;=50*0.8,5,IF(E925&gt;=50*0.7,4,IF(E925&gt;=50*0.6,3.5,IF(E925&gt;=50*0.5,3,IF(E925&gt;=50*0.4,2,IF(E925&gt;=50*0.33,1,0))))))))</f>
        <v/>
      </c>
      <c r="X925">
        <f>IF(B925="","",IF(F925&lt;33.0,0,IF(F925&gt;=100*0.8,5,IF(F925&gt;=100*0.7,4,IF(F925&gt;=100*0.6,3.5,IF(F925&gt;=100*0.5,3,IF(F925&gt;=100*0.4,2,IF(F925&gt;=100*0.33,1,0))))))))</f>
        <v/>
      </c>
      <c r="Y925">
        <f>IF(B925="","",IF(G925&lt;16.5,0,IF(G925&gt;=50*0.8,5,IF(G925&gt;=50*0.7,4,IF(G925&gt;=50*0.6,3.5,IF(G925&gt;=50*0.5,3,IF(G925&gt;=50*0.4,2,IF(G925&gt;=50*0.33,1,0))))))))</f>
        <v/>
      </c>
      <c r="Z925">
        <f>IF(B925="","",IF(H925&lt;33.0,0,IF(H925&gt;=100*0.8,5,IF(H925&gt;=100*0.7,4,IF(H925&gt;=100*0.6,3.5,IF(H925&gt;=100*0.5,3,IF(H925&gt;=100*0.4,2,IF(H925&gt;=100*0.33,1,0))))))))</f>
        <v/>
      </c>
      <c r="AA925">
        <f>IF(B925="","",IF(I925&lt;33.0,0,IF(I925&gt;=100*0.8,5,IF(I925&gt;=100*0.7,4,IF(I925&gt;=100*0.6,3.5,IF(I925&gt;=100*0.5,3,IF(I925&gt;=100*0.4,2,IF(I925&gt;=100*0.33,1,0))))))))</f>
        <v/>
      </c>
      <c r="AB925">
        <f>IF(B925="","",IF(J925&lt;33.0,0,IF(J925&gt;=100*0.8,5,IF(J925&gt;=100*0.7,4,IF(J925&gt;=100*0.6,3.5,IF(J925&gt;=100*0.5,3,IF(J925&gt;=100*0.4,2,IF(J925&gt;=100*0.33,1,0))))))))</f>
        <v/>
      </c>
      <c r="AC925">
        <f>IF(B925="","",IF(K925&lt;33.0,0,IF(K925&gt;=100*0.8,5,IF(K925&gt;=100*0.7,4,IF(K925&gt;=100*0.6,3.5,IF(K925&gt;=100*0.5,3,IF(K925&gt;=100*0.4,2,IF(K925&gt;=100*0.33,1,0))))))))</f>
        <v/>
      </c>
      <c r="AD925">
        <f>IF(B925="","",IF(L925&lt;33.0,0,IF(L925&gt;=100*0.8,5,IF(L925&gt;=100*0.7,4,IF(L925&gt;=100*0.6,3.5,IF(L925&gt;=100*0.5,3,IF(L925&gt;=100*0.4,2,IF(L925&gt;=100*0.33,1,0))))))))</f>
        <v/>
      </c>
      <c r="AE925">
        <f>IF(B925="","",IF(M925&lt;33.0,0,IF(M925&gt;=100*0.8,5,IF(M925&gt;=100*0.7,4,IF(M925&gt;=100*0.6,3.5,IF(M925&gt;=100*0.5,3,IF(M925&gt;=100*0.4,2,IF(M925&gt;=100*0.33,1,0))))))))</f>
        <v/>
      </c>
      <c r="AF925">
        <f>IF(B925="","",IF(N925&lt;16.5,0,IF(N925&gt;=50*0.8,5,IF(N925&gt;=50*0.7,4,IF(N925&gt;=50*0.6,3.5,IF(N925&gt;=50*0.5,3,IF(N925&gt;=50*0.4,2,IF(N925&gt;=50*0.33,1,0))))))))</f>
        <v/>
      </c>
      <c r="AG925">
        <f>IF(B925="","",IF(O925&lt;33.0,0,IF(O925&gt;=100*0.8,5,IF(O925&gt;=100*0.7,4,IF(O925&gt;=100*0.6,3.5,IF(O925&gt;=100*0.5,3,IF(O925&gt;=100*0.4,2,IF(O925&gt;=100*0.33,1,0))))))))</f>
        <v/>
      </c>
      <c r="AH925">
        <f>IF(B925="","",IF(OR(U925=0,V925=0,W925=0,X925=0,Y925=0,Z925=0,AA925=0,AB925=0,AC925=0,AD925=0,AE925=0,AF925=0,AG925=0),1,0))</f>
        <v/>
      </c>
    </row>
    <row r="926">
      <c r="A926" s="3">
        <f>IF(B926="","",ROW()-2)</f>
        <v/>
      </c>
      <c r="P926" s="4">
        <f>IF(B926="","",SUM(C926:O926))</f>
        <v/>
      </c>
      <c r="Q926" s="5">
        <f>IF(B926="","",ROUND(P926/13,2))</f>
        <v/>
      </c>
      <c r="R926" s="5">
        <f>IF(B926="","",IF(AH926=1,0,MIN(5,ROUND((U926+V926+W926+X926+Y926+Z926+AA926+AB926+AC926+AD926+AE926+AF926+AG926)/13,2))))</f>
        <v/>
      </c>
      <c r="S926" s="3">
        <f>IF(B926="","",IF(R926&gt;=5,"A+",IF(R926&gt;=4,"A",IF(R926&gt;=3.5,"A-",IF(R926&gt;=3,"B",IF(R926&gt;=2,"C",IF(R926&gt;=1,"D","F")))))))</f>
        <v/>
      </c>
      <c r="T926" s="3">
        <f>IF(OR(B926="",S926="F"),"",COUNTIFS(P:P,"&gt;"&amp;P926,S:S,"&lt;&gt;F")+1)</f>
        <v/>
      </c>
      <c r="U926">
        <f>IF(B926="","",IF(C926&lt;33.0,0,IF(C926&gt;=100*0.8,5,IF(C926&gt;=100*0.7,4,IF(C926&gt;=100*0.6,3.5,IF(C926&gt;=100*0.5,3,IF(C926&gt;=100*0.4,2,IF(C926&gt;=100*0.33,1,0))))))))</f>
        <v/>
      </c>
      <c r="V926">
        <f>IF(B926="","",IF(D926&lt;33.0,0,IF(D926&gt;=100*0.8,5,IF(D926&gt;=100*0.7,4,IF(D926&gt;=100*0.6,3.5,IF(D926&gt;=100*0.5,3,IF(D926&gt;=100*0.4,2,IF(D926&gt;=100*0.33,1,0))))))))</f>
        <v/>
      </c>
      <c r="W926">
        <f>IF(B926="","",IF(E926&lt;16.5,0,IF(E926&gt;=50*0.8,5,IF(E926&gt;=50*0.7,4,IF(E926&gt;=50*0.6,3.5,IF(E926&gt;=50*0.5,3,IF(E926&gt;=50*0.4,2,IF(E926&gt;=50*0.33,1,0))))))))</f>
        <v/>
      </c>
      <c r="X926">
        <f>IF(B926="","",IF(F926&lt;33.0,0,IF(F926&gt;=100*0.8,5,IF(F926&gt;=100*0.7,4,IF(F926&gt;=100*0.6,3.5,IF(F926&gt;=100*0.5,3,IF(F926&gt;=100*0.4,2,IF(F926&gt;=100*0.33,1,0))))))))</f>
        <v/>
      </c>
      <c r="Y926">
        <f>IF(B926="","",IF(G926&lt;16.5,0,IF(G926&gt;=50*0.8,5,IF(G926&gt;=50*0.7,4,IF(G926&gt;=50*0.6,3.5,IF(G926&gt;=50*0.5,3,IF(G926&gt;=50*0.4,2,IF(G926&gt;=50*0.33,1,0))))))))</f>
        <v/>
      </c>
      <c r="Z926">
        <f>IF(B926="","",IF(H926&lt;33.0,0,IF(H926&gt;=100*0.8,5,IF(H926&gt;=100*0.7,4,IF(H926&gt;=100*0.6,3.5,IF(H926&gt;=100*0.5,3,IF(H926&gt;=100*0.4,2,IF(H926&gt;=100*0.33,1,0))))))))</f>
        <v/>
      </c>
      <c r="AA926">
        <f>IF(B926="","",IF(I926&lt;33.0,0,IF(I926&gt;=100*0.8,5,IF(I926&gt;=100*0.7,4,IF(I926&gt;=100*0.6,3.5,IF(I926&gt;=100*0.5,3,IF(I926&gt;=100*0.4,2,IF(I926&gt;=100*0.33,1,0))))))))</f>
        <v/>
      </c>
      <c r="AB926">
        <f>IF(B926="","",IF(J926&lt;33.0,0,IF(J926&gt;=100*0.8,5,IF(J926&gt;=100*0.7,4,IF(J926&gt;=100*0.6,3.5,IF(J926&gt;=100*0.5,3,IF(J926&gt;=100*0.4,2,IF(J926&gt;=100*0.33,1,0))))))))</f>
        <v/>
      </c>
      <c r="AC926">
        <f>IF(B926="","",IF(K926&lt;33.0,0,IF(K926&gt;=100*0.8,5,IF(K926&gt;=100*0.7,4,IF(K926&gt;=100*0.6,3.5,IF(K926&gt;=100*0.5,3,IF(K926&gt;=100*0.4,2,IF(K926&gt;=100*0.33,1,0))))))))</f>
        <v/>
      </c>
      <c r="AD926">
        <f>IF(B926="","",IF(L926&lt;33.0,0,IF(L926&gt;=100*0.8,5,IF(L926&gt;=100*0.7,4,IF(L926&gt;=100*0.6,3.5,IF(L926&gt;=100*0.5,3,IF(L926&gt;=100*0.4,2,IF(L926&gt;=100*0.33,1,0))))))))</f>
        <v/>
      </c>
      <c r="AE926">
        <f>IF(B926="","",IF(M926&lt;33.0,0,IF(M926&gt;=100*0.8,5,IF(M926&gt;=100*0.7,4,IF(M926&gt;=100*0.6,3.5,IF(M926&gt;=100*0.5,3,IF(M926&gt;=100*0.4,2,IF(M926&gt;=100*0.33,1,0))))))))</f>
        <v/>
      </c>
      <c r="AF926">
        <f>IF(B926="","",IF(N926&lt;16.5,0,IF(N926&gt;=50*0.8,5,IF(N926&gt;=50*0.7,4,IF(N926&gt;=50*0.6,3.5,IF(N926&gt;=50*0.5,3,IF(N926&gt;=50*0.4,2,IF(N926&gt;=50*0.33,1,0))))))))</f>
        <v/>
      </c>
      <c r="AG926">
        <f>IF(B926="","",IF(O926&lt;33.0,0,IF(O926&gt;=100*0.8,5,IF(O926&gt;=100*0.7,4,IF(O926&gt;=100*0.6,3.5,IF(O926&gt;=100*0.5,3,IF(O926&gt;=100*0.4,2,IF(O926&gt;=100*0.33,1,0))))))))</f>
        <v/>
      </c>
      <c r="AH926">
        <f>IF(B926="","",IF(OR(U926=0,V926=0,W926=0,X926=0,Y926=0,Z926=0,AA926=0,AB926=0,AC926=0,AD926=0,AE926=0,AF926=0,AG926=0),1,0))</f>
        <v/>
      </c>
    </row>
    <row r="927">
      <c r="A927" s="3">
        <f>IF(B927="","",ROW()-2)</f>
        <v/>
      </c>
      <c r="P927" s="4">
        <f>IF(B927="","",SUM(C927:O927))</f>
        <v/>
      </c>
      <c r="Q927" s="5">
        <f>IF(B927="","",ROUND(P927/13,2))</f>
        <v/>
      </c>
      <c r="R927" s="5">
        <f>IF(B927="","",IF(AH927=1,0,MIN(5,ROUND((U927+V927+W927+X927+Y927+Z927+AA927+AB927+AC927+AD927+AE927+AF927+AG927)/13,2))))</f>
        <v/>
      </c>
      <c r="S927" s="3">
        <f>IF(B927="","",IF(R927&gt;=5,"A+",IF(R927&gt;=4,"A",IF(R927&gt;=3.5,"A-",IF(R927&gt;=3,"B",IF(R927&gt;=2,"C",IF(R927&gt;=1,"D","F")))))))</f>
        <v/>
      </c>
      <c r="T927" s="3">
        <f>IF(OR(B927="",S927="F"),"",COUNTIFS(P:P,"&gt;"&amp;P927,S:S,"&lt;&gt;F")+1)</f>
        <v/>
      </c>
      <c r="U927">
        <f>IF(B927="","",IF(C927&lt;33.0,0,IF(C927&gt;=100*0.8,5,IF(C927&gt;=100*0.7,4,IF(C927&gt;=100*0.6,3.5,IF(C927&gt;=100*0.5,3,IF(C927&gt;=100*0.4,2,IF(C927&gt;=100*0.33,1,0))))))))</f>
        <v/>
      </c>
      <c r="V927">
        <f>IF(B927="","",IF(D927&lt;33.0,0,IF(D927&gt;=100*0.8,5,IF(D927&gt;=100*0.7,4,IF(D927&gt;=100*0.6,3.5,IF(D927&gt;=100*0.5,3,IF(D927&gt;=100*0.4,2,IF(D927&gt;=100*0.33,1,0))))))))</f>
        <v/>
      </c>
      <c r="W927">
        <f>IF(B927="","",IF(E927&lt;16.5,0,IF(E927&gt;=50*0.8,5,IF(E927&gt;=50*0.7,4,IF(E927&gt;=50*0.6,3.5,IF(E927&gt;=50*0.5,3,IF(E927&gt;=50*0.4,2,IF(E927&gt;=50*0.33,1,0))))))))</f>
        <v/>
      </c>
      <c r="X927">
        <f>IF(B927="","",IF(F927&lt;33.0,0,IF(F927&gt;=100*0.8,5,IF(F927&gt;=100*0.7,4,IF(F927&gt;=100*0.6,3.5,IF(F927&gt;=100*0.5,3,IF(F927&gt;=100*0.4,2,IF(F927&gt;=100*0.33,1,0))))))))</f>
        <v/>
      </c>
      <c r="Y927">
        <f>IF(B927="","",IF(G927&lt;16.5,0,IF(G927&gt;=50*0.8,5,IF(G927&gt;=50*0.7,4,IF(G927&gt;=50*0.6,3.5,IF(G927&gt;=50*0.5,3,IF(G927&gt;=50*0.4,2,IF(G927&gt;=50*0.33,1,0))))))))</f>
        <v/>
      </c>
      <c r="Z927">
        <f>IF(B927="","",IF(H927&lt;33.0,0,IF(H927&gt;=100*0.8,5,IF(H927&gt;=100*0.7,4,IF(H927&gt;=100*0.6,3.5,IF(H927&gt;=100*0.5,3,IF(H927&gt;=100*0.4,2,IF(H927&gt;=100*0.33,1,0))))))))</f>
        <v/>
      </c>
      <c r="AA927">
        <f>IF(B927="","",IF(I927&lt;33.0,0,IF(I927&gt;=100*0.8,5,IF(I927&gt;=100*0.7,4,IF(I927&gt;=100*0.6,3.5,IF(I927&gt;=100*0.5,3,IF(I927&gt;=100*0.4,2,IF(I927&gt;=100*0.33,1,0))))))))</f>
        <v/>
      </c>
      <c r="AB927">
        <f>IF(B927="","",IF(J927&lt;33.0,0,IF(J927&gt;=100*0.8,5,IF(J927&gt;=100*0.7,4,IF(J927&gt;=100*0.6,3.5,IF(J927&gt;=100*0.5,3,IF(J927&gt;=100*0.4,2,IF(J927&gt;=100*0.33,1,0))))))))</f>
        <v/>
      </c>
      <c r="AC927">
        <f>IF(B927="","",IF(K927&lt;33.0,0,IF(K927&gt;=100*0.8,5,IF(K927&gt;=100*0.7,4,IF(K927&gt;=100*0.6,3.5,IF(K927&gt;=100*0.5,3,IF(K927&gt;=100*0.4,2,IF(K927&gt;=100*0.33,1,0))))))))</f>
        <v/>
      </c>
      <c r="AD927">
        <f>IF(B927="","",IF(L927&lt;33.0,0,IF(L927&gt;=100*0.8,5,IF(L927&gt;=100*0.7,4,IF(L927&gt;=100*0.6,3.5,IF(L927&gt;=100*0.5,3,IF(L927&gt;=100*0.4,2,IF(L927&gt;=100*0.33,1,0))))))))</f>
        <v/>
      </c>
      <c r="AE927">
        <f>IF(B927="","",IF(M927&lt;33.0,0,IF(M927&gt;=100*0.8,5,IF(M927&gt;=100*0.7,4,IF(M927&gt;=100*0.6,3.5,IF(M927&gt;=100*0.5,3,IF(M927&gt;=100*0.4,2,IF(M927&gt;=100*0.33,1,0))))))))</f>
        <v/>
      </c>
      <c r="AF927">
        <f>IF(B927="","",IF(N927&lt;16.5,0,IF(N927&gt;=50*0.8,5,IF(N927&gt;=50*0.7,4,IF(N927&gt;=50*0.6,3.5,IF(N927&gt;=50*0.5,3,IF(N927&gt;=50*0.4,2,IF(N927&gt;=50*0.33,1,0))))))))</f>
        <v/>
      </c>
      <c r="AG927">
        <f>IF(B927="","",IF(O927&lt;33.0,0,IF(O927&gt;=100*0.8,5,IF(O927&gt;=100*0.7,4,IF(O927&gt;=100*0.6,3.5,IF(O927&gt;=100*0.5,3,IF(O927&gt;=100*0.4,2,IF(O927&gt;=100*0.33,1,0))))))))</f>
        <v/>
      </c>
      <c r="AH927">
        <f>IF(B927="","",IF(OR(U927=0,V927=0,W927=0,X927=0,Y927=0,Z927=0,AA927=0,AB927=0,AC927=0,AD927=0,AE927=0,AF927=0,AG927=0),1,0))</f>
        <v/>
      </c>
    </row>
    <row r="928">
      <c r="A928" s="3">
        <f>IF(B928="","",ROW()-2)</f>
        <v/>
      </c>
      <c r="P928" s="4">
        <f>IF(B928="","",SUM(C928:O928))</f>
        <v/>
      </c>
      <c r="Q928" s="5">
        <f>IF(B928="","",ROUND(P928/13,2))</f>
        <v/>
      </c>
      <c r="R928" s="5">
        <f>IF(B928="","",IF(AH928=1,0,MIN(5,ROUND((U928+V928+W928+X928+Y928+Z928+AA928+AB928+AC928+AD928+AE928+AF928+AG928)/13,2))))</f>
        <v/>
      </c>
      <c r="S928" s="3">
        <f>IF(B928="","",IF(R928&gt;=5,"A+",IF(R928&gt;=4,"A",IF(R928&gt;=3.5,"A-",IF(R928&gt;=3,"B",IF(R928&gt;=2,"C",IF(R928&gt;=1,"D","F")))))))</f>
        <v/>
      </c>
      <c r="T928" s="3">
        <f>IF(OR(B928="",S928="F"),"",COUNTIFS(P:P,"&gt;"&amp;P928,S:S,"&lt;&gt;F")+1)</f>
        <v/>
      </c>
      <c r="U928">
        <f>IF(B928="","",IF(C928&lt;33.0,0,IF(C928&gt;=100*0.8,5,IF(C928&gt;=100*0.7,4,IF(C928&gt;=100*0.6,3.5,IF(C928&gt;=100*0.5,3,IF(C928&gt;=100*0.4,2,IF(C928&gt;=100*0.33,1,0))))))))</f>
        <v/>
      </c>
      <c r="V928">
        <f>IF(B928="","",IF(D928&lt;33.0,0,IF(D928&gt;=100*0.8,5,IF(D928&gt;=100*0.7,4,IF(D928&gt;=100*0.6,3.5,IF(D928&gt;=100*0.5,3,IF(D928&gt;=100*0.4,2,IF(D928&gt;=100*0.33,1,0))))))))</f>
        <v/>
      </c>
      <c r="W928">
        <f>IF(B928="","",IF(E928&lt;16.5,0,IF(E928&gt;=50*0.8,5,IF(E928&gt;=50*0.7,4,IF(E928&gt;=50*0.6,3.5,IF(E928&gt;=50*0.5,3,IF(E928&gt;=50*0.4,2,IF(E928&gt;=50*0.33,1,0))))))))</f>
        <v/>
      </c>
      <c r="X928">
        <f>IF(B928="","",IF(F928&lt;33.0,0,IF(F928&gt;=100*0.8,5,IF(F928&gt;=100*0.7,4,IF(F928&gt;=100*0.6,3.5,IF(F928&gt;=100*0.5,3,IF(F928&gt;=100*0.4,2,IF(F928&gt;=100*0.33,1,0))))))))</f>
        <v/>
      </c>
      <c r="Y928">
        <f>IF(B928="","",IF(G928&lt;16.5,0,IF(G928&gt;=50*0.8,5,IF(G928&gt;=50*0.7,4,IF(G928&gt;=50*0.6,3.5,IF(G928&gt;=50*0.5,3,IF(G928&gt;=50*0.4,2,IF(G928&gt;=50*0.33,1,0))))))))</f>
        <v/>
      </c>
      <c r="Z928">
        <f>IF(B928="","",IF(H928&lt;33.0,0,IF(H928&gt;=100*0.8,5,IF(H928&gt;=100*0.7,4,IF(H928&gt;=100*0.6,3.5,IF(H928&gt;=100*0.5,3,IF(H928&gt;=100*0.4,2,IF(H928&gt;=100*0.33,1,0))))))))</f>
        <v/>
      </c>
      <c r="AA928">
        <f>IF(B928="","",IF(I928&lt;33.0,0,IF(I928&gt;=100*0.8,5,IF(I928&gt;=100*0.7,4,IF(I928&gt;=100*0.6,3.5,IF(I928&gt;=100*0.5,3,IF(I928&gt;=100*0.4,2,IF(I928&gt;=100*0.33,1,0))))))))</f>
        <v/>
      </c>
      <c r="AB928">
        <f>IF(B928="","",IF(J928&lt;33.0,0,IF(J928&gt;=100*0.8,5,IF(J928&gt;=100*0.7,4,IF(J928&gt;=100*0.6,3.5,IF(J928&gt;=100*0.5,3,IF(J928&gt;=100*0.4,2,IF(J928&gt;=100*0.33,1,0))))))))</f>
        <v/>
      </c>
      <c r="AC928">
        <f>IF(B928="","",IF(K928&lt;33.0,0,IF(K928&gt;=100*0.8,5,IF(K928&gt;=100*0.7,4,IF(K928&gt;=100*0.6,3.5,IF(K928&gt;=100*0.5,3,IF(K928&gt;=100*0.4,2,IF(K928&gt;=100*0.33,1,0))))))))</f>
        <v/>
      </c>
      <c r="AD928">
        <f>IF(B928="","",IF(L928&lt;33.0,0,IF(L928&gt;=100*0.8,5,IF(L928&gt;=100*0.7,4,IF(L928&gt;=100*0.6,3.5,IF(L928&gt;=100*0.5,3,IF(L928&gt;=100*0.4,2,IF(L928&gt;=100*0.33,1,0))))))))</f>
        <v/>
      </c>
      <c r="AE928">
        <f>IF(B928="","",IF(M928&lt;33.0,0,IF(M928&gt;=100*0.8,5,IF(M928&gt;=100*0.7,4,IF(M928&gt;=100*0.6,3.5,IF(M928&gt;=100*0.5,3,IF(M928&gt;=100*0.4,2,IF(M928&gt;=100*0.33,1,0))))))))</f>
        <v/>
      </c>
      <c r="AF928">
        <f>IF(B928="","",IF(N928&lt;16.5,0,IF(N928&gt;=50*0.8,5,IF(N928&gt;=50*0.7,4,IF(N928&gt;=50*0.6,3.5,IF(N928&gt;=50*0.5,3,IF(N928&gt;=50*0.4,2,IF(N928&gt;=50*0.33,1,0))))))))</f>
        <v/>
      </c>
      <c r="AG928">
        <f>IF(B928="","",IF(O928&lt;33.0,0,IF(O928&gt;=100*0.8,5,IF(O928&gt;=100*0.7,4,IF(O928&gt;=100*0.6,3.5,IF(O928&gt;=100*0.5,3,IF(O928&gt;=100*0.4,2,IF(O928&gt;=100*0.33,1,0))))))))</f>
        <v/>
      </c>
      <c r="AH928">
        <f>IF(B928="","",IF(OR(U928=0,V928=0,W928=0,X928=0,Y928=0,Z928=0,AA928=0,AB928=0,AC928=0,AD928=0,AE928=0,AF928=0,AG928=0),1,0))</f>
        <v/>
      </c>
    </row>
    <row r="929">
      <c r="A929" s="3">
        <f>IF(B929="","",ROW()-2)</f>
        <v/>
      </c>
      <c r="P929" s="4">
        <f>IF(B929="","",SUM(C929:O929))</f>
        <v/>
      </c>
      <c r="Q929" s="5">
        <f>IF(B929="","",ROUND(P929/13,2))</f>
        <v/>
      </c>
      <c r="R929" s="5">
        <f>IF(B929="","",IF(AH929=1,0,MIN(5,ROUND((U929+V929+W929+X929+Y929+Z929+AA929+AB929+AC929+AD929+AE929+AF929+AG929)/13,2))))</f>
        <v/>
      </c>
      <c r="S929" s="3">
        <f>IF(B929="","",IF(R929&gt;=5,"A+",IF(R929&gt;=4,"A",IF(R929&gt;=3.5,"A-",IF(R929&gt;=3,"B",IF(R929&gt;=2,"C",IF(R929&gt;=1,"D","F")))))))</f>
        <v/>
      </c>
      <c r="T929" s="3">
        <f>IF(OR(B929="",S929="F"),"",COUNTIFS(P:P,"&gt;"&amp;P929,S:S,"&lt;&gt;F")+1)</f>
        <v/>
      </c>
      <c r="U929">
        <f>IF(B929="","",IF(C929&lt;33.0,0,IF(C929&gt;=100*0.8,5,IF(C929&gt;=100*0.7,4,IF(C929&gt;=100*0.6,3.5,IF(C929&gt;=100*0.5,3,IF(C929&gt;=100*0.4,2,IF(C929&gt;=100*0.33,1,0))))))))</f>
        <v/>
      </c>
      <c r="V929">
        <f>IF(B929="","",IF(D929&lt;33.0,0,IF(D929&gt;=100*0.8,5,IF(D929&gt;=100*0.7,4,IF(D929&gt;=100*0.6,3.5,IF(D929&gt;=100*0.5,3,IF(D929&gt;=100*0.4,2,IF(D929&gt;=100*0.33,1,0))))))))</f>
        <v/>
      </c>
      <c r="W929">
        <f>IF(B929="","",IF(E929&lt;16.5,0,IF(E929&gt;=50*0.8,5,IF(E929&gt;=50*0.7,4,IF(E929&gt;=50*0.6,3.5,IF(E929&gt;=50*0.5,3,IF(E929&gt;=50*0.4,2,IF(E929&gt;=50*0.33,1,0))))))))</f>
        <v/>
      </c>
      <c r="X929">
        <f>IF(B929="","",IF(F929&lt;33.0,0,IF(F929&gt;=100*0.8,5,IF(F929&gt;=100*0.7,4,IF(F929&gt;=100*0.6,3.5,IF(F929&gt;=100*0.5,3,IF(F929&gt;=100*0.4,2,IF(F929&gt;=100*0.33,1,0))))))))</f>
        <v/>
      </c>
      <c r="Y929">
        <f>IF(B929="","",IF(G929&lt;16.5,0,IF(G929&gt;=50*0.8,5,IF(G929&gt;=50*0.7,4,IF(G929&gt;=50*0.6,3.5,IF(G929&gt;=50*0.5,3,IF(G929&gt;=50*0.4,2,IF(G929&gt;=50*0.33,1,0))))))))</f>
        <v/>
      </c>
      <c r="Z929">
        <f>IF(B929="","",IF(H929&lt;33.0,0,IF(H929&gt;=100*0.8,5,IF(H929&gt;=100*0.7,4,IF(H929&gt;=100*0.6,3.5,IF(H929&gt;=100*0.5,3,IF(H929&gt;=100*0.4,2,IF(H929&gt;=100*0.33,1,0))))))))</f>
        <v/>
      </c>
      <c r="AA929">
        <f>IF(B929="","",IF(I929&lt;33.0,0,IF(I929&gt;=100*0.8,5,IF(I929&gt;=100*0.7,4,IF(I929&gt;=100*0.6,3.5,IF(I929&gt;=100*0.5,3,IF(I929&gt;=100*0.4,2,IF(I929&gt;=100*0.33,1,0))))))))</f>
        <v/>
      </c>
      <c r="AB929">
        <f>IF(B929="","",IF(J929&lt;33.0,0,IF(J929&gt;=100*0.8,5,IF(J929&gt;=100*0.7,4,IF(J929&gt;=100*0.6,3.5,IF(J929&gt;=100*0.5,3,IF(J929&gt;=100*0.4,2,IF(J929&gt;=100*0.33,1,0))))))))</f>
        <v/>
      </c>
      <c r="AC929">
        <f>IF(B929="","",IF(K929&lt;33.0,0,IF(K929&gt;=100*0.8,5,IF(K929&gt;=100*0.7,4,IF(K929&gt;=100*0.6,3.5,IF(K929&gt;=100*0.5,3,IF(K929&gt;=100*0.4,2,IF(K929&gt;=100*0.33,1,0))))))))</f>
        <v/>
      </c>
      <c r="AD929">
        <f>IF(B929="","",IF(L929&lt;33.0,0,IF(L929&gt;=100*0.8,5,IF(L929&gt;=100*0.7,4,IF(L929&gt;=100*0.6,3.5,IF(L929&gt;=100*0.5,3,IF(L929&gt;=100*0.4,2,IF(L929&gt;=100*0.33,1,0))))))))</f>
        <v/>
      </c>
      <c r="AE929">
        <f>IF(B929="","",IF(M929&lt;33.0,0,IF(M929&gt;=100*0.8,5,IF(M929&gt;=100*0.7,4,IF(M929&gt;=100*0.6,3.5,IF(M929&gt;=100*0.5,3,IF(M929&gt;=100*0.4,2,IF(M929&gt;=100*0.33,1,0))))))))</f>
        <v/>
      </c>
      <c r="AF929">
        <f>IF(B929="","",IF(N929&lt;16.5,0,IF(N929&gt;=50*0.8,5,IF(N929&gt;=50*0.7,4,IF(N929&gt;=50*0.6,3.5,IF(N929&gt;=50*0.5,3,IF(N929&gt;=50*0.4,2,IF(N929&gt;=50*0.33,1,0))))))))</f>
        <v/>
      </c>
      <c r="AG929">
        <f>IF(B929="","",IF(O929&lt;33.0,0,IF(O929&gt;=100*0.8,5,IF(O929&gt;=100*0.7,4,IF(O929&gt;=100*0.6,3.5,IF(O929&gt;=100*0.5,3,IF(O929&gt;=100*0.4,2,IF(O929&gt;=100*0.33,1,0))))))))</f>
        <v/>
      </c>
      <c r="AH929">
        <f>IF(B929="","",IF(OR(U929=0,V929=0,W929=0,X929=0,Y929=0,Z929=0,AA929=0,AB929=0,AC929=0,AD929=0,AE929=0,AF929=0,AG929=0),1,0))</f>
        <v/>
      </c>
    </row>
    <row r="930">
      <c r="A930" s="3">
        <f>IF(B930="","",ROW()-2)</f>
        <v/>
      </c>
      <c r="P930" s="4">
        <f>IF(B930="","",SUM(C930:O930))</f>
        <v/>
      </c>
      <c r="Q930" s="5">
        <f>IF(B930="","",ROUND(P930/13,2))</f>
        <v/>
      </c>
      <c r="R930" s="5">
        <f>IF(B930="","",IF(AH930=1,0,MIN(5,ROUND((U930+V930+W930+X930+Y930+Z930+AA930+AB930+AC930+AD930+AE930+AF930+AG930)/13,2))))</f>
        <v/>
      </c>
      <c r="S930" s="3">
        <f>IF(B930="","",IF(R930&gt;=5,"A+",IF(R930&gt;=4,"A",IF(R930&gt;=3.5,"A-",IF(R930&gt;=3,"B",IF(R930&gt;=2,"C",IF(R930&gt;=1,"D","F")))))))</f>
        <v/>
      </c>
      <c r="T930" s="3">
        <f>IF(OR(B930="",S930="F"),"",COUNTIFS(P:P,"&gt;"&amp;P930,S:S,"&lt;&gt;F")+1)</f>
        <v/>
      </c>
      <c r="U930">
        <f>IF(B930="","",IF(C930&lt;33.0,0,IF(C930&gt;=100*0.8,5,IF(C930&gt;=100*0.7,4,IF(C930&gt;=100*0.6,3.5,IF(C930&gt;=100*0.5,3,IF(C930&gt;=100*0.4,2,IF(C930&gt;=100*0.33,1,0))))))))</f>
        <v/>
      </c>
      <c r="V930">
        <f>IF(B930="","",IF(D930&lt;33.0,0,IF(D930&gt;=100*0.8,5,IF(D930&gt;=100*0.7,4,IF(D930&gt;=100*0.6,3.5,IF(D930&gt;=100*0.5,3,IF(D930&gt;=100*0.4,2,IF(D930&gt;=100*0.33,1,0))))))))</f>
        <v/>
      </c>
      <c r="W930">
        <f>IF(B930="","",IF(E930&lt;16.5,0,IF(E930&gt;=50*0.8,5,IF(E930&gt;=50*0.7,4,IF(E930&gt;=50*0.6,3.5,IF(E930&gt;=50*0.5,3,IF(E930&gt;=50*0.4,2,IF(E930&gt;=50*0.33,1,0))))))))</f>
        <v/>
      </c>
      <c r="X930">
        <f>IF(B930="","",IF(F930&lt;33.0,0,IF(F930&gt;=100*0.8,5,IF(F930&gt;=100*0.7,4,IF(F930&gt;=100*0.6,3.5,IF(F930&gt;=100*0.5,3,IF(F930&gt;=100*0.4,2,IF(F930&gt;=100*0.33,1,0))))))))</f>
        <v/>
      </c>
      <c r="Y930">
        <f>IF(B930="","",IF(G930&lt;16.5,0,IF(G930&gt;=50*0.8,5,IF(G930&gt;=50*0.7,4,IF(G930&gt;=50*0.6,3.5,IF(G930&gt;=50*0.5,3,IF(G930&gt;=50*0.4,2,IF(G930&gt;=50*0.33,1,0))))))))</f>
        <v/>
      </c>
      <c r="Z930">
        <f>IF(B930="","",IF(H930&lt;33.0,0,IF(H930&gt;=100*0.8,5,IF(H930&gt;=100*0.7,4,IF(H930&gt;=100*0.6,3.5,IF(H930&gt;=100*0.5,3,IF(H930&gt;=100*0.4,2,IF(H930&gt;=100*0.33,1,0))))))))</f>
        <v/>
      </c>
      <c r="AA930">
        <f>IF(B930="","",IF(I930&lt;33.0,0,IF(I930&gt;=100*0.8,5,IF(I930&gt;=100*0.7,4,IF(I930&gt;=100*0.6,3.5,IF(I930&gt;=100*0.5,3,IF(I930&gt;=100*0.4,2,IF(I930&gt;=100*0.33,1,0))))))))</f>
        <v/>
      </c>
      <c r="AB930">
        <f>IF(B930="","",IF(J930&lt;33.0,0,IF(J930&gt;=100*0.8,5,IF(J930&gt;=100*0.7,4,IF(J930&gt;=100*0.6,3.5,IF(J930&gt;=100*0.5,3,IF(J930&gt;=100*0.4,2,IF(J930&gt;=100*0.33,1,0))))))))</f>
        <v/>
      </c>
      <c r="AC930">
        <f>IF(B930="","",IF(K930&lt;33.0,0,IF(K930&gt;=100*0.8,5,IF(K930&gt;=100*0.7,4,IF(K930&gt;=100*0.6,3.5,IF(K930&gt;=100*0.5,3,IF(K930&gt;=100*0.4,2,IF(K930&gt;=100*0.33,1,0))))))))</f>
        <v/>
      </c>
      <c r="AD930">
        <f>IF(B930="","",IF(L930&lt;33.0,0,IF(L930&gt;=100*0.8,5,IF(L930&gt;=100*0.7,4,IF(L930&gt;=100*0.6,3.5,IF(L930&gt;=100*0.5,3,IF(L930&gt;=100*0.4,2,IF(L930&gt;=100*0.33,1,0))))))))</f>
        <v/>
      </c>
      <c r="AE930">
        <f>IF(B930="","",IF(M930&lt;33.0,0,IF(M930&gt;=100*0.8,5,IF(M930&gt;=100*0.7,4,IF(M930&gt;=100*0.6,3.5,IF(M930&gt;=100*0.5,3,IF(M930&gt;=100*0.4,2,IF(M930&gt;=100*0.33,1,0))))))))</f>
        <v/>
      </c>
      <c r="AF930">
        <f>IF(B930="","",IF(N930&lt;16.5,0,IF(N930&gt;=50*0.8,5,IF(N930&gt;=50*0.7,4,IF(N930&gt;=50*0.6,3.5,IF(N930&gt;=50*0.5,3,IF(N930&gt;=50*0.4,2,IF(N930&gt;=50*0.33,1,0))))))))</f>
        <v/>
      </c>
      <c r="AG930">
        <f>IF(B930="","",IF(O930&lt;33.0,0,IF(O930&gt;=100*0.8,5,IF(O930&gt;=100*0.7,4,IF(O930&gt;=100*0.6,3.5,IF(O930&gt;=100*0.5,3,IF(O930&gt;=100*0.4,2,IF(O930&gt;=100*0.33,1,0))))))))</f>
        <v/>
      </c>
      <c r="AH930">
        <f>IF(B930="","",IF(OR(U930=0,V930=0,W930=0,X930=0,Y930=0,Z930=0,AA930=0,AB930=0,AC930=0,AD930=0,AE930=0,AF930=0,AG930=0),1,0))</f>
        <v/>
      </c>
    </row>
    <row r="931">
      <c r="A931" s="3">
        <f>IF(B931="","",ROW()-2)</f>
        <v/>
      </c>
      <c r="P931" s="4">
        <f>IF(B931="","",SUM(C931:O931))</f>
        <v/>
      </c>
      <c r="Q931" s="5">
        <f>IF(B931="","",ROUND(P931/13,2))</f>
        <v/>
      </c>
      <c r="R931" s="5">
        <f>IF(B931="","",IF(AH931=1,0,MIN(5,ROUND((U931+V931+W931+X931+Y931+Z931+AA931+AB931+AC931+AD931+AE931+AF931+AG931)/13,2))))</f>
        <v/>
      </c>
      <c r="S931" s="3">
        <f>IF(B931="","",IF(R931&gt;=5,"A+",IF(R931&gt;=4,"A",IF(R931&gt;=3.5,"A-",IF(R931&gt;=3,"B",IF(R931&gt;=2,"C",IF(R931&gt;=1,"D","F")))))))</f>
        <v/>
      </c>
      <c r="T931" s="3">
        <f>IF(OR(B931="",S931="F"),"",COUNTIFS(P:P,"&gt;"&amp;P931,S:S,"&lt;&gt;F")+1)</f>
        <v/>
      </c>
      <c r="U931">
        <f>IF(B931="","",IF(C931&lt;33.0,0,IF(C931&gt;=100*0.8,5,IF(C931&gt;=100*0.7,4,IF(C931&gt;=100*0.6,3.5,IF(C931&gt;=100*0.5,3,IF(C931&gt;=100*0.4,2,IF(C931&gt;=100*0.33,1,0))))))))</f>
        <v/>
      </c>
      <c r="V931">
        <f>IF(B931="","",IF(D931&lt;33.0,0,IF(D931&gt;=100*0.8,5,IF(D931&gt;=100*0.7,4,IF(D931&gt;=100*0.6,3.5,IF(D931&gt;=100*0.5,3,IF(D931&gt;=100*0.4,2,IF(D931&gt;=100*0.33,1,0))))))))</f>
        <v/>
      </c>
      <c r="W931">
        <f>IF(B931="","",IF(E931&lt;16.5,0,IF(E931&gt;=50*0.8,5,IF(E931&gt;=50*0.7,4,IF(E931&gt;=50*0.6,3.5,IF(E931&gt;=50*0.5,3,IF(E931&gt;=50*0.4,2,IF(E931&gt;=50*0.33,1,0))))))))</f>
        <v/>
      </c>
      <c r="X931">
        <f>IF(B931="","",IF(F931&lt;33.0,0,IF(F931&gt;=100*0.8,5,IF(F931&gt;=100*0.7,4,IF(F931&gt;=100*0.6,3.5,IF(F931&gt;=100*0.5,3,IF(F931&gt;=100*0.4,2,IF(F931&gt;=100*0.33,1,0))))))))</f>
        <v/>
      </c>
      <c r="Y931">
        <f>IF(B931="","",IF(G931&lt;16.5,0,IF(G931&gt;=50*0.8,5,IF(G931&gt;=50*0.7,4,IF(G931&gt;=50*0.6,3.5,IF(G931&gt;=50*0.5,3,IF(G931&gt;=50*0.4,2,IF(G931&gt;=50*0.33,1,0))))))))</f>
        <v/>
      </c>
      <c r="Z931">
        <f>IF(B931="","",IF(H931&lt;33.0,0,IF(H931&gt;=100*0.8,5,IF(H931&gt;=100*0.7,4,IF(H931&gt;=100*0.6,3.5,IF(H931&gt;=100*0.5,3,IF(H931&gt;=100*0.4,2,IF(H931&gt;=100*0.33,1,0))))))))</f>
        <v/>
      </c>
      <c r="AA931">
        <f>IF(B931="","",IF(I931&lt;33.0,0,IF(I931&gt;=100*0.8,5,IF(I931&gt;=100*0.7,4,IF(I931&gt;=100*0.6,3.5,IF(I931&gt;=100*0.5,3,IF(I931&gt;=100*0.4,2,IF(I931&gt;=100*0.33,1,0))))))))</f>
        <v/>
      </c>
      <c r="AB931">
        <f>IF(B931="","",IF(J931&lt;33.0,0,IF(J931&gt;=100*0.8,5,IF(J931&gt;=100*0.7,4,IF(J931&gt;=100*0.6,3.5,IF(J931&gt;=100*0.5,3,IF(J931&gt;=100*0.4,2,IF(J931&gt;=100*0.33,1,0))))))))</f>
        <v/>
      </c>
      <c r="AC931">
        <f>IF(B931="","",IF(K931&lt;33.0,0,IF(K931&gt;=100*0.8,5,IF(K931&gt;=100*0.7,4,IF(K931&gt;=100*0.6,3.5,IF(K931&gt;=100*0.5,3,IF(K931&gt;=100*0.4,2,IF(K931&gt;=100*0.33,1,0))))))))</f>
        <v/>
      </c>
      <c r="AD931">
        <f>IF(B931="","",IF(L931&lt;33.0,0,IF(L931&gt;=100*0.8,5,IF(L931&gt;=100*0.7,4,IF(L931&gt;=100*0.6,3.5,IF(L931&gt;=100*0.5,3,IF(L931&gt;=100*0.4,2,IF(L931&gt;=100*0.33,1,0))))))))</f>
        <v/>
      </c>
      <c r="AE931">
        <f>IF(B931="","",IF(M931&lt;33.0,0,IF(M931&gt;=100*0.8,5,IF(M931&gt;=100*0.7,4,IF(M931&gt;=100*0.6,3.5,IF(M931&gt;=100*0.5,3,IF(M931&gt;=100*0.4,2,IF(M931&gt;=100*0.33,1,0))))))))</f>
        <v/>
      </c>
      <c r="AF931">
        <f>IF(B931="","",IF(N931&lt;16.5,0,IF(N931&gt;=50*0.8,5,IF(N931&gt;=50*0.7,4,IF(N931&gt;=50*0.6,3.5,IF(N931&gt;=50*0.5,3,IF(N931&gt;=50*0.4,2,IF(N931&gt;=50*0.33,1,0))))))))</f>
        <v/>
      </c>
      <c r="AG931">
        <f>IF(B931="","",IF(O931&lt;33.0,0,IF(O931&gt;=100*0.8,5,IF(O931&gt;=100*0.7,4,IF(O931&gt;=100*0.6,3.5,IF(O931&gt;=100*0.5,3,IF(O931&gt;=100*0.4,2,IF(O931&gt;=100*0.33,1,0))))))))</f>
        <v/>
      </c>
      <c r="AH931">
        <f>IF(B931="","",IF(OR(U931=0,V931=0,W931=0,X931=0,Y931=0,Z931=0,AA931=0,AB931=0,AC931=0,AD931=0,AE931=0,AF931=0,AG931=0),1,0))</f>
        <v/>
      </c>
    </row>
    <row r="932">
      <c r="A932" s="3">
        <f>IF(B932="","",ROW()-2)</f>
        <v/>
      </c>
      <c r="P932" s="4">
        <f>IF(B932="","",SUM(C932:O932))</f>
        <v/>
      </c>
      <c r="Q932" s="5">
        <f>IF(B932="","",ROUND(P932/13,2))</f>
        <v/>
      </c>
      <c r="R932" s="5">
        <f>IF(B932="","",IF(AH932=1,0,MIN(5,ROUND((U932+V932+W932+X932+Y932+Z932+AA932+AB932+AC932+AD932+AE932+AF932+AG932)/13,2))))</f>
        <v/>
      </c>
      <c r="S932" s="3">
        <f>IF(B932="","",IF(R932&gt;=5,"A+",IF(R932&gt;=4,"A",IF(R932&gt;=3.5,"A-",IF(R932&gt;=3,"B",IF(R932&gt;=2,"C",IF(R932&gt;=1,"D","F")))))))</f>
        <v/>
      </c>
      <c r="T932" s="3">
        <f>IF(OR(B932="",S932="F"),"",COUNTIFS(P:P,"&gt;"&amp;P932,S:S,"&lt;&gt;F")+1)</f>
        <v/>
      </c>
      <c r="U932">
        <f>IF(B932="","",IF(C932&lt;33.0,0,IF(C932&gt;=100*0.8,5,IF(C932&gt;=100*0.7,4,IF(C932&gt;=100*0.6,3.5,IF(C932&gt;=100*0.5,3,IF(C932&gt;=100*0.4,2,IF(C932&gt;=100*0.33,1,0))))))))</f>
        <v/>
      </c>
      <c r="V932">
        <f>IF(B932="","",IF(D932&lt;33.0,0,IF(D932&gt;=100*0.8,5,IF(D932&gt;=100*0.7,4,IF(D932&gt;=100*0.6,3.5,IF(D932&gt;=100*0.5,3,IF(D932&gt;=100*0.4,2,IF(D932&gt;=100*0.33,1,0))))))))</f>
        <v/>
      </c>
      <c r="W932">
        <f>IF(B932="","",IF(E932&lt;16.5,0,IF(E932&gt;=50*0.8,5,IF(E932&gt;=50*0.7,4,IF(E932&gt;=50*0.6,3.5,IF(E932&gt;=50*0.5,3,IF(E932&gt;=50*0.4,2,IF(E932&gt;=50*0.33,1,0))))))))</f>
        <v/>
      </c>
      <c r="X932">
        <f>IF(B932="","",IF(F932&lt;33.0,0,IF(F932&gt;=100*0.8,5,IF(F932&gt;=100*0.7,4,IF(F932&gt;=100*0.6,3.5,IF(F932&gt;=100*0.5,3,IF(F932&gt;=100*0.4,2,IF(F932&gt;=100*0.33,1,0))))))))</f>
        <v/>
      </c>
      <c r="Y932">
        <f>IF(B932="","",IF(G932&lt;16.5,0,IF(G932&gt;=50*0.8,5,IF(G932&gt;=50*0.7,4,IF(G932&gt;=50*0.6,3.5,IF(G932&gt;=50*0.5,3,IF(G932&gt;=50*0.4,2,IF(G932&gt;=50*0.33,1,0))))))))</f>
        <v/>
      </c>
      <c r="Z932">
        <f>IF(B932="","",IF(H932&lt;33.0,0,IF(H932&gt;=100*0.8,5,IF(H932&gt;=100*0.7,4,IF(H932&gt;=100*0.6,3.5,IF(H932&gt;=100*0.5,3,IF(H932&gt;=100*0.4,2,IF(H932&gt;=100*0.33,1,0))))))))</f>
        <v/>
      </c>
      <c r="AA932">
        <f>IF(B932="","",IF(I932&lt;33.0,0,IF(I932&gt;=100*0.8,5,IF(I932&gt;=100*0.7,4,IF(I932&gt;=100*0.6,3.5,IF(I932&gt;=100*0.5,3,IF(I932&gt;=100*0.4,2,IF(I932&gt;=100*0.33,1,0))))))))</f>
        <v/>
      </c>
      <c r="AB932">
        <f>IF(B932="","",IF(J932&lt;33.0,0,IF(J932&gt;=100*0.8,5,IF(J932&gt;=100*0.7,4,IF(J932&gt;=100*0.6,3.5,IF(J932&gt;=100*0.5,3,IF(J932&gt;=100*0.4,2,IF(J932&gt;=100*0.33,1,0))))))))</f>
        <v/>
      </c>
      <c r="AC932">
        <f>IF(B932="","",IF(K932&lt;33.0,0,IF(K932&gt;=100*0.8,5,IF(K932&gt;=100*0.7,4,IF(K932&gt;=100*0.6,3.5,IF(K932&gt;=100*0.5,3,IF(K932&gt;=100*0.4,2,IF(K932&gt;=100*0.33,1,0))))))))</f>
        <v/>
      </c>
      <c r="AD932">
        <f>IF(B932="","",IF(L932&lt;33.0,0,IF(L932&gt;=100*0.8,5,IF(L932&gt;=100*0.7,4,IF(L932&gt;=100*0.6,3.5,IF(L932&gt;=100*0.5,3,IF(L932&gt;=100*0.4,2,IF(L932&gt;=100*0.33,1,0))))))))</f>
        <v/>
      </c>
      <c r="AE932">
        <f>IF(B932="","",IF(M932&lt;33.0,0,IF(M932&gt;=100*0.8,5,IF(M932&gt;=100*0.7,4,IF(M932&gt;=100*0.6,3.5,IF(M932&gt;=100*0.5,3,IF(M932&gt;=100*0.4,2,IF(M932&gt;=100*0.33,1,0))))))))</f>
        <v/>
      </c>
      <c r="AF932">
        <f>IF(B932="","",IF(N932&lt;16.5,0,IF(N932&gt;=50*0.8,5,IF(N932&gt;=50*0.7,4,IF(N932&gt;=50*0.6,3.5,IF(N932&gt;=50*0.5,3,IF(N932&gt;=50*0.4,2,IF(N932&gt;=50*0.33,1,0))))))))</f>
        <v/>
      </c>
      <c r="AG932">
        <f>IF(B932="","",IF(O932&lt;33.0,0,IF(O932&gt;=100*0.8,5,IF(O932&gt;=100*0.7,4,IF(O932&gt;=100*0.6,3.5,IF(O932&gt;=100*0.5,3,IF(O932&gt;=100*0.4,2,IF(O932&gt;=100*0.33,1,0))))))))</f>
        <v/>
      </c>
      <c r="AH932">
        <f>IF(B932="","",IF(OR(U932=0,V932=0,W932=0,X932=0,Y932=0,Z932=0,AA932=0,AB932=0,AC932=0,AD932=0,AE932=0,AF932=0,AG932=0),1,0))</f>
        <v/>
      </c>
    </row>
    <row r="933">
      <c r="A933" s="3">
        <f>IF(B933="","",ROW()-2)</f>
        <v/>
      </c>
      <c r="P933" s="4">
        <f>IF(B933="","",SUM(C933:O933))</f>
        <v/>
      </c>
      <c r="Q933" s="5">
        <f>IF(B933="","",ROUND(P933/13,2))</f>
        <v/>
      </c>
      <c r="R933" s="5">
        <f>IF(B933="","",IF(AH933=1,0,MIN(5,ROUND((U933+V933+W933+X933+Y933+Z933+AA933+AB933+AC933+AD933+AE933+AF933+AG933)/13,2))))</f>
        <v/>
      </c>
      <c r="S933" s="3">
        <f>IF(B933="","",IF(R933&gt;=5,"A+",IF(R933&gt;=4,"A",IF(R933&gt;=3.5,"A-",IF(R933&gt;=3,"B",IF(R933&gt;=2,"C",IF(R933&gt;=1,"D","F")))))))</f>
        <v/>
      </c>
      <c r="T933" s="3">
        <f>IF(OR(B933="",S933="F"),"",COUNTIFS(P:P,"&gt;"&amp;P933,S:S,"&lt;&gt;F")+1)</f>
        <v/>
      </c>
      <c r="U933">
        <f>IF(B933="","",IF(C933&lt;33.0,0,IF(C933&gt;=100*0.8,5,IF(C933&gt;=100*0.7,4,IF(C933&gt;=100*0.6,3.5,IF(C933&gt;=100*0.5,3,IF(C933&gt;=100*0.4,2,IF(C933&gt;=100*0.33,1,0))))))))</f>
        <v/>
      </c>
      <c r="V933">
        <f>IF(B933="","",IF(D933&lt;33.0,0,IF(D933&gt;=100*0.8,5,IF(D933&gt;=100*0.7,4,IF(D933&gt;=100*0.6,3.5,IF(D933&gt;=100*0.5,3,IF(D933&gt;=100*0.4,2,IF(D933&gt;=100*0.33,1,0))))))))</f>
        <v/>
      </c>
      <c r="W933">
        <f>IF(B933="","",IF(E933&lt;16.5,0,IF(E933&gt;=50*0.8,5,IF(E933&gt;=50*0.7,4,IF(E933&gt;=50*0.6,3.5,IF(E933&gt;=50*0.5,3,IF(E933&gt;=50*0.4,2,IF(E933&gt;=50*0.33,1,0))))))))</f>
        <v/>
      </c>
      <c r="X933">
        <f>IF(B933="","",IF(F933&lt;33.0,0,IF(F933&gt;=100*0.8,5,IF(F933&gt;=100*0.7,4,IF(F933&gt;=100*0.6,3.5,IF(F933&gt;=100*0.5,3,IF(F933&gt;=100*0.4,2,IF(F933&gt;=100*0.33,1,0))))))))</f>
        <v/>
      </c>
      <c r="Y933">
        <f>IF(B933="","",IF(G933&lt;16.5,0,IF(G933&gt;=50*0.8,5,IF(G933&gt;=50*0.7,4,IF(G933&gt;=50*0.6,3.5,IF(G933&gt;=50*0.5,3,IF(G933&gt;=50*0.4,2,IF(G933&gt;=50*0.33,1,0))))))))</f>
        <v/>
      </c>
      <c r="Z933">
        <f>IF(B933="","",IF(H933&lt;33.0,0,IF(H933&gt;=100*0.8,5,IF(H933&gt;=100*0.7,4,IF(H933&gt;=100*0.6,3.5,IF(H933&gt;=100*0.5,3,IF(H933&gt;=100*0.4,2,IF(H933&gt;=100*0.33,1,0))))))))</f>
        <v/>
      </c>
      <c r="AA933">
        <f>IF(B933="","",IF(I933&lt;33.0,0,IF(I933&gt;=100*0.8,5,IF(I933&gt;=100*0.7,4,IF(I933&gt;=100*0.6,3.5,IF(I933&gt;=100*0.5,3,IF(I933&gt;=100*0.4,2,IF(I933&gt;=100*0.33,1,0))))))))</f>
        <v/>
      </c>
      <c r="AB933">
        <f>IF(B933="","",IF(J933&lt;33.0,0,IF(J933&gt;=100*0.8,5,IF(J933&gt;=100*0.7,4,IF(J933&gt;=100*0.6,3.5,IF(J933&gt;=100*0.5,3,IF(J933&gt;=100*0.4,2,IF(J933&gt;=100*0.33,1,0))))))))</f>
        <v/>
      </c>
      <c r="AC933">
        <f>IF(B933="","",IF(K933&lt;33.0,0,IF(K933&gt;=100*0.8,5,IF(K933&gt;=100*0.7,4,IF(K933&gt;=100*0.6,3.5,IF(K933&gt;=100*0.5,3,IF(K933&gt;=100*0.4,2,IF(K933&gt;=100*0.33,1,0))))))))</f>
        <v/>
      </c>
      <c r="AD933">
        <f>IF(B933="","",IF(L933&lt;33.0,0,IF(L933&gt;=100*0.8,5,IF(L933&gt;=100*0.7,4,IF(L933&gt;=100*0.6,3.5,IF(L933&gt;=100*0.5,3,IF(L933&gt;=100*0.4,2,IF(L933&gt;=100*0.33,1,0))))))))</f>
        <v/>
      </c>
      <c r="AE933">
        <f>IF(B933="","",IF(M933&lt;33.0,0,IF(M933&gt;=100*0.8,5,IF(M933&gt;=100*0.7,4,IF(M933&gt;=100*0.6,3.5,IF(M933&gt;=100*0.5,3,IF(M933&gt;=100*0.4,2,IF(M933&gt;=100*0.33,1,0))))))))</f>
        <v/>
      </c>
      <c r="AF933">
        <f>IF(B933="","",IF(N933&lt;16.5,0,IF(N933&gt;=50*0.8,5,IF(N933&gt;=50*0.7,4,IF(N933&gt;=50*0.6,3.5,IF(N933&gt;=50*0.5,3,IF(N933&gt;=50*0.4,2,IF(N933&gt;=50*0.33,1,0))))))))</f>
        <v/>
      </c>
      <c r="AG933">
        <f>IF(B933="","",IF(O933&lt;33.0,0,IF(O933&gt;=100*0.8,5,IF(O933&gt;=100*0.7,4,IF(O933&gt;=100*0.6,3.5,IF(O933&gt;=100*0.5,3,IF(O933&gt;=100*0.4,2,IF(O933&gt;=100*0.33,1,0))))))))</f>
        <v/>
      </c>
      <c r="AH933">
        <f>IF(B933="","",IF(OR(U933=0,V933=0,W933=0,X933=0,Y933=0,Z933=0,AA933=0,AB933=0,AC933=0,AD933=0,AE933=0,AF933=0,AG933=0),1,0))</f>
        <v/>
      </c>
    </row>
    <row r="934">
      <c r="A934" s="3">
        <f>IF(B934="","",ROW()-2)</f>
        <v/>
      </c>
      <c r="P934" s="4">
        <f>IF(B934="","",SUM(C934:O934))</f>
        <v/>
      </c>
      <c r="Q934" s="5">
        <f>IF(B934="","",ROUND(P934/13,2))</f>
        <v/>
      </c>
      <c r="R934" s="5">
        <f>IF(B934="","",IF(AH934=1,0,MIN(5,ROUND((U934+V934+W934+X934+Y934+Z934+AA934+AB934+AC934+AD934+AE934+AF934+AG934)/13,2))))</f>
        <v/>
      </c>
      <c r="S934" s="3">
        <f>IF(B934="","",IF(R934&gt;=5,"A+",IF(R934&gt;=4,"A",IF(R934&gt;=3.5,"A-",IF(R934&gt;=3,"B",IF(R934&gt;=2,"C",IF(R934&gt;=1,"D","F")))))))</f>
        <v/>
      </c>
      <c r="T934" s="3">
        <f>IF(OR(B934="",S934="F"),"",COUNTIFS(P:P,"&gt;"&amp;P934,S:S,"&lt;&gt;F")+1)</f>
        <v/>
      </c>
      <c r="U934">
        <f>IF(B934="","",IF(C934&lt;33.0,0,IF(C934&gt;=100*0.8,5,IF(C934&gt;=100*0.7,4,IF(C934&gt;=100*0.6,3.5,IF(C934&gt;=100*0.5,3,IF(C934&gt;=100*0.4,2,IF(C934&gt;=100*0.33,1,0))))))))</f>
        <v/>
      </c>
      <c r="V934">
        <f>IF(B934="","",IF(D934&lt;33.0,0,IF(D934&gt;=100*0.8,5,IF(D934&gt;=100*0.7,4,IF(D934&gt;=100*0.6,3.5,IF(D934&gt;=100*0.5,3,IF(D934&gt;=100*0.4,2,IF(D934&gt;=100*0.33,1,0))))))))</f>
        <v/>
      </c>
      <c r="W934">
        <f>IF(B934="","",IF(E934&lt;16.5,0,IF(E934&gt;=50*0.8,5,IF(E934&gt;=50*0.7,4,IF(E934&gt;=50*0.6,3.5,IF(E934&gt;=50*0.5,3,IF(E934&gt;=50*0.4,2,IF(E934&gt;=50*0.33,1,0))))))))</f>
        <v/>
      </c>
      <c r="X934">
        <f>IF(B934="","",IF(F934&lt;33.0,0,IF(F934&gt;=100*0.8,5,IF(F934&gt;=100*0.7,4,IF(F934&gt;=100*0.6,3.5,IF(F934&gt;=100*0.5,3,IF(F934&gt;=100*0.4,2,IF(F934&gt;=100*0.33,1,0))))))))</f>
        <v/>
      </c>
      <c r="Y934">
        <f>IF(B934="","",IF(G934&lt;16.5,0,IF(G934&gt;=50*0.8,5,IF(G934&gt;=50*0.7,4,IF(G934&gt;=50*0.6,3.5,IF(G934&gt;=50*0.5,3,IF(G934&gt;=50*0.4,2,IF(G934&gt;=50*0.33,1,0))))))))</f>
        <v/>
      </c>
      <c r="Z934">
        <f>IF(B934="","",IF(H934&lt;33.0,0,IF(H934&gt;=100*0.8,5,IF(H934&gt;=100*0.7,4,IF(H934&gt;=100*0.6,3.5,IF(H934&gt;=100*0.5,3,IF(H934&gt;=100*0.4,2,IF(H934&gt;=100*0.33,1,0))))))))</f>
        <v/>
      </c>
      <c r="AA934">
        <f>IF(B934="","",IF(I934&lt;33.0,0,IF(I934&gt;=100*0.8,5,IF(I934&gt;=100*0.7,4,IF(I934&gt;=100*0.6,3.5,IF(I934&gt;=100*0.5,3,IF(I934&gt;=100*0.4,2,IF(I934&gt;=100*0.33,1,0))))))))</f>
        <v/>
      </c>
      <c r="AB934">
        <f>IF(B934="","",IF(J934&lt;33.0,0,IF(J934&gt;=100*0.8,5,IF(J934&gt;=100*0.7,4,IF(J934&gt;=100*0.6,3.5,IF(J934&gt;=100*0.5,3,IF(J934&gt;=100*0.4,2,IF(J934&gt;=100*0.33,1,0))))))))</f>
        <v/>
      </c>
      <c r="AC934">
        <f>IF(B934="","",IF(K934&lt;33.0,0,IF(K934&gt;=100*0.8,5,IF(K934&gt;=100*0.7,4,IF(K934&gt;=100*0.6,3.5,IF(K934&gt;=100*0.5,3,IF(K934&gt;=100*0.4,2,IF(K934&gt;=100*0.33,1,0))))))))</f>
        <v/>
      </c>
      <c r="AD934">
        <f>IF(B934="","",IF(L934&lt;33.0,0,IF(L934&gt;=100*0.8,5,IF(L934&gt;=100*0.7,4,IF(L934&gt;=100*0.6,3.5,IF(L934&gt;=100*0.5,3,IF(L934&gt;=100*0.4,2,IF(L934&gt;=100*0.33,1,0))))))))</f>
        <v/>
      </c>
      <c r="AE934">
        <f>IF(B934="","",IF(M934&lt;33.0,0,IF(M934&gt;=100*0.8,5,IF(M934&gt;=100*0.7,4,IF(M934&gt;=100*0.6,3.5,IF(M934&gt;=100*0.5,3,IF(M934&gt;=100*0.4,2,IF(M934&gt;=100*0.33,1,0))))))))</f>
        <v/>
      </c>
      <c r="AF934">
        <f>IF(B934="","",IF(N934&lt;16.5,0,IF(N934&gt;=50*0.8,5,IF(N934&gt;=50*0.7,4,IF(N934&gt;=50*0.6,3.5,IF(N934&gt;=50*0.5,3,IF(N934&gt;=50*0.4,2,IF(N934&gt;=50*0.33,1,0))))))))</f>
        <v/>
      </c>
      <c r="AG934">
        <f>IF(B934="","",IF(O934&lt;33.0,0,IF(O934&gt;=100*0.8,5,IF(O934&gt;=100*0.7,4,IF(O934&gt;=100*0.6,3.5,IF(O934&gt;=100*0.5,3,IF(O934&gt;=100*0.4,2,IF(O934&gt;=100*0.33,1,0))))))))</f>
        <v/>
      </c>
      <c r="AH934">
        <f>IF(B934="","",IF(OR(U934=0,V934=0,W934=0,X934=0,Y934=0,Z934=0,AA934=0,AB934=0,AC934=0,AD934=0,AE934=0,AF934=0,AG934=0),1,0))</f>
        <v/>
      </c>
    </row>
    <row r="935">
      <c r="A935" s="3">
        <f>IF(B935="","",ROW()-2)</f>
        <v/>
      </c>
      <c r="P935" s="4">
        <f>IF(B935="","",SUM(C935:O935))</f>
        <v/>
      </c>
      <c r="Q935" s="5">
        <f>IF(B935="","",ROUND(P935/13,2))</f>
        <v/>
      </c>
      <c r="R935" s="5">
        <f>IF(B935="","",IF(AH935=1,0,MIN(5,ROUND((U935+V935+W935+X935+Y935+Z935+AA935+AB935+AC935+AD935+AE935+AF935+AG935)/13,2))))</f>
        <v/>
      </c>
      <c r="S935" s="3">
        <f>IF(B935="","",IF(R935&gt;=5,"A+",IF(R935&gt;=4,"A",IF(R935&gt;=3.5,"A-",IF(R935&gt;=3,"B",IF(R935&gt;=2,"C",IF(R935&gt;=1,"D","F")))))))</f>
        <v/>
      </c>
      <c r="T935" s="3">
        <f>IF(OR(B935="",S935="F"),"",COUNTIFS(P:P,"&gt;"&amp;P935,S:S,"&lt;&gt;F")+1)</f>
        <v/>
      </c>
      <c r="U935">
        <f>IF(B935="","",IF(C935&lt;33.0,0,IF(C935&gt;=100*0.8,5,IF(C935&gt;=100*0.7,4,IF(C935&gt;=100*0.6,3.5,IF(C935&gt;=100*0.5,3,IF(C935&gt;=100*0.4,2,IF(C935&gt;=100*0.33,1,0))))))))</f>
        <v/>
      </c>
      <c r="V935">
        <f>IF(B935="","",IF(D935&lt;33.0,0,IF(D935&gt;=100*0.8,5,IF(D935&gt;=100*0.7,4,IF(D935&gt;=100*0.6,3.5,IF(D935&gt;=100*0.5,3,IF(D935&gt;=100*0.4,2,IF(D935&gt;=100*0.33,1,0))))))))</f>
        <v/>
      </c>
      <c r="W935">
        <f>IF(B935="","",IF(E935&lt;16.5,0,IF(E935&gt;=50*0.8,5,IF(E935&gt;=50*0.7,4,IF(E935&gt;=50*0.6,3.5,IF(E935&gt;=50*0.5,3,IF(E935&gt;=50*0.4,2,IF(E935&gt;=50*0.33,1,0))))))))</f>
        <v/>
      </c>
      <c r="X935">
        <f>IF(B935="","",IF(F935&lt;33.0,0,IF(F935&gt;=100*0.8,5,IF(F935&gt;=100*0.7,4,IF(F935&gt;=100*0.6,3.5,IF(F935&gt;=100*0.5,3,IF(F935&gt;=100*0.4,2,IF(F935&gt;=100*0.33,1,0))))))))</f>
        <v/>
      </c>
      <c r="Y935">
        <f>IF(B935="","",IF(G935&lt;16.5,0,IF(G935&gt;=50*0.8,5,IF(G935&gt;=50*0.7,4,IF(G935&gt;=50*0.6,3.5,IF(G935&gt;=50*0.5,3,IF(G935&gt;=50*0.4,2,IF(G935&gt;=50*0.33,1,0))))))))</f>
        <v/>
      </c>
      <c r="Z935">
        <f>IF(B935="","",IF(H935&lt;33.0,0,IF(H935&gt;=100*0.8,5,IF(H935&gt;=100*0.7,4,IF(H935&gt;=100*0.6,3.5,IF(H935&gt;=100*0.5,3,IF(H935&gt;=100*0.4,2,IF(H935&gt;=100*0.33,1,0))))))))</f>
        <v/>
      </c>
      <c r="AA935">
        <f>IF(B935="","",IF(I935&lt;33.0,0,IF(I935&gt;=100*0.8,5,IF(I935&gt;=100*0.7,4,IF(I935&gt;=100*0.6,3.5,IF(I935&gt;=100*0.5,3,IF(I935&gt;=100*0.4,2,IF(I935&gt;=100*0.33,1,0))))))))</f>
        <v/>
      </c>
      <c r="AB935">
        <f>IF(B935="","",IF(J935&lt;33.0,0,IF(J935&gt;=100*0.8,5,IF(J935&gt;=100*0.7,4,IF(J935&gt;=100*0.6,3.5,IF(J935&gt;=100*0.5,3,IF(J935&gt;=100*0.4,2,IF(J935&gt;=100*0.33,1,0))))))))</f>
        <v/>
      </c>
      <c r="AC935">
        <f>IF(B935="","",IF(K935&lt;33.0,0,IF(K935&gt;=100*0.8,5,IF(K935&gt;=100*0.7,4,IF(K935&gt;=100*0.6,3.5,IF(K935&gt;=100*0.5,3,IF(K935&gt;=100*0.4,2,IF(K935&gt;=100*0.33,1,0))))))))</f>
        <v/>
      </c>
      <c r="AD935">
        <f>IF(B935="","",IF(L935&lt;33.0,0,IF(L935&gt;=100*0.8,5,IF(L935&gt;=100*0.7,4,IF(L935&gt;=100*0.6,3.5,IF(L935&gt;=100*0.5,3,IF(L935&gt;=100*0.4,2,IF(L935&gt;=100*0.33,1,0))))))))</f>
        <v/>
      </c>
      <c r="AE935">
        <f>IF(B935="","",IF(M935&lt;33.0,0,IF(M935&gt;=100*0.8,5,IF(M935&gt;=100*0.7,4,IF(M935&gt;=100*0.6,3.5,IF(M935&gt;=100*0.5,3,IF(M935&gt;=100*0.4,2,IF(M935&gt;=100*0.33,1,0))))))))</f>
        <v/>
      </c>
      <c r="AF935">
        <f>IF(B935="","",IF(N935&lt;16.5,0,IF(N935&gt;=50*0.8,5,IF(N935&gt;=50*0.7,4,IF(N935&gt;=50*0.6,3.5,IF(N935&gt;=50*0.5,3,IF(N935&gt;=50*0.4,2,IF(N935&gt;=50*0.33,1,0))))))))</f>
        <v/>
      </c>
      <c r="AG935">
        <f>IF(B935="","",IF(O935&lt;33.0,0,IF(O935&gt;=100*0.8,5,IF(O935&gt;=100*0.7,4,IF(O935&gt;=100*0.6,3.5,IF(O935&gt;=100*0.5,3,IF(O935&gt;=100*0.4,2,IF(O935&gt;=100*0.33,1,0))))))))</f>
        <v/>
      </c>
      <c r="AH935">
        <f>IF(B935="","",IF(OR(U935=0,V935=0,W935=0,X935=0,Y935=0,Z935=0,AA935=0,AB935=0,AC935=0,AD935=0,AE935=0,AF935=0,AG935=0),1,0))</f>
        <v/>
      </c>
    </row>
    <row r="936">
      <c r="A936" s="3">
        <f>IF(B936="","",ROW()-2)</f>
        <v/>
      </c>
      <c r="P936" s="4">
        <f>IF(B936="","",SUM(C936:O936))</f>
        <v/>
      </c>
      <c r="Q936" s="5">
        <f>IF(B936="","",ROUND(P936/13,2))</f>
        <v/>
      </c>
      <c r="R936" s="5">
        <f>IF(B936="","",IF(AH936=1,0,MIN(5,ROUND((U936+V936+W936+X936+Y936+Z936+AA936+AB936+AC936+AD936+AE936+AF936+AG936)/13,2))))</f>
        <v/>
      </c>
      <c r="S936" s="3">
        <f>IF(B936="","",IF(R936&gt;=5,"A+",IF(R936&gt;=4,"A",IF(R936&gt;=3.5,"A-",IF(R936&gt;=3,"B",IF(R936&gt;=2,"C",IF(R936&gt;=1,"D","F")))))))</f>
        <v/>
      </c>
      <c r="T936" s="3">
        <f>IF(OR(B936="",S936="F"),"",COUNTIFS(P:P,"&gt;"&amp;P936,S:S,"&lt;&gt;F")+1)</f>
        <v/>
      </c>
      <c r="U936">
        <f>IF(B936="","",IF(C936&lt;33.0,0,IF(C936&gt;=100*0.8,5,IF(C936&gt;=100*0.7,4,IF(C936&gt;=100*0.6,3.5,IF(C936&gt;=100*0.5,3,IF(C936&gt;=100*0.4,2,IF(C936&gt;=100*0.33,1,0))))))))</f>
        <v/>
      </c>
      <c r="V936">
        <f>IF(B936="","",IF(D936&lt;33.0,0,IF(D936&gt;=100*0.8,5,IF(D936&gt;=100*0.7,4,IF(D936&gt;=100*0.6,3.5,IF(D936&gt;=100*0.5,3,IF(D936&gt;=100*0.4,2,IF(D936&gt;=100*0.33,1,0))))))))</f>
        <v/>
      </c>
      <c r="W936">
        <f>IF(B936="","",IF(E936&lt;16.5,0,IF(E936&gt;=50*0.8,5,IF(E936&gt;=50*0.7,4,IF(E936&gt;=50*0.6,3.5,IF(E936&gt;=50*0.5,3,IF(E936&gt;=50*0.4,2,IF(E936&gt;=50*0.33,1,0))))))))</f>
        <v/>
      </c>
      <c r="X936">
        <f>IF(B936="","",IF(F936&lt;33.0,0,IF(F936&gt;=100*0.8,5,IF(F936&gt;=100*0.7,4,IF(F936&gt;=100*0.6,3.5,IF(F936&gt;=100*0.5,3,IF(F936&gt;=100*0.4,2,IF(F936&gt;=100*0.33,1,0))))))))</f>
        <v/>
      </c>
      <c r="Y936">
        <f>IF(B936="","",IF(G936&lt;16.5,0,IF(G936&gt;=50*0.8,5,IF(G936&gt;=50*0.7,4,IF(G936&gt;=50*0.6,3.5,IF(G936&gt;=50*0.5,3,IF(G936&gt;=50*0.4,2,IF(G936&gt;=50*0.33,1,0))))))))</f>
        <v/>
      </c>
      <c r="Z936">
        <f>IF(B936="","",IF(H936&lt;33.0,0,IF(H936&gt;=100*0.8,5,IF(H936&gt;=100*0.7,4,IF(H936&gt;=100*0.6,3.5,IF(H936&gt;=100*0.5,3,IF(H936&gt;=100*0.4,2,IF(H936&gt;=100*0.33,1,0))))))))</f>
        <v/>
      </c>
      <c r="AA936">
        <f>IF(B936="","",IF(I936&lt;33.0,0,IF(I936&gt;=100*0.8,5,IF(I936&gt;=100*0.7,4,IF(I936&gt;=100*0.6,3.5,IF(I936&gt;=100*0.5,3,IF(I936&gt;=100*0.4,2,IF(I936&gt;=100*0.33,1,0))))))))</f>
        <v/>
      </c>
      <c r="AB936">
        <f>IF(B936="","",IF(J936&lt;33.0,0,IF(J936&gt;=100*0.8,5,IF(J936&gt;=100*0.7,4,IF(J936&gt;=100*0.6,3.5,IF(J936&gt;=100*0.5,3,IF(J936&gt;=100*0.4,2,IF(J936&gt;=100*0.33,1,0))))))))</f>
        <v/>
      </c>
      <c r="AC936">
        <f>IF(B936="","",IF(K936&lt;33.0,0,IF(K936&gt;=100*0.8,5,IF(K936&gt;=100*0.7,4,IF(K936&gt;=100*0.6,3.5,IF(K936&gt;=100*0.5,3,IF(K936&gt;=100*0.4,2,IF(K936&gt;=100*0.33,1,0))))))))</f>
        <v/>
      </c>
      <c r="AD936">
        <f>IF(B936="","",IF(L936&lt;33.0,0,IF(L936&gt;=100*0.8,5,IF(L936&gt;=100*0.7,4,IF(L936&gt;=100*0.6,3.5,IF(L936&gt;=100*0.5,3,IF(L936&gt;=100*0.4,2,IF(L936&gt;=100*0.33,1,0))))))))</f>
        <v/>
      </c>
      <c r="AE936">
        <f>IF(B936="","",IF(M936&lt;33.0,0,IF(M936&gt;=100*0.8,5,IF(M936&gt;=100*0.7,4,IF(M936&gt;=100*0.6,3.5,IF(M936&gt;=100*0.5,3,IF(M936&gt;=100*0.4,2,IF(M936&gt;=100*0.33,1,0))))))))</f>
        <v/>
      </c>
      <c r="AF936">
        <f>IF(B936="","",IF(N936&lt;16.5,0,IF(N936&gt;=50*0.8,5,IF(N936&gt;=50*0.7,4,IF(N936&gt;=50*0.6,3.5,IF(N936&gt;=50*0.5,3,IF(N936&gt;=50*0.4,2,IF(N936&gt;=50*0.33,1,0))))))))</f>
        <v/>
      </c>
      <c r="AG936">
        <f>IF(B936="","",IF(O936&lt;33.0,0,IF(O936&gt;=100*0.8,5,IF(O936&gt;=100*0.7,4,IF(O936&gt;=100*0.6,3.5,IF(O936&gt;=100*0.5,3,IF(O936&gt;=100*0.4,2,IF(O936&gt;=100*0.33,1,0))))))))</f>
        <v/>
      </c>
      <c r="AH936">
        <f>IF(B936="","",IF(OR(U936=0,V936=0,W936=0,X936=0,Y936=0,Z936=0,AA936=0,AB936=0,AC936=0,AD936=0,AE936=0,AF936=0,AG936=0),1,0))</f>
        <v/>
      </c>
    </row>
    <row r="937">
      <c r="A937" s="3">
        <f>IF(B937="","",ROW()-2)</f>
        <v/>
      </c>
      <c r="P937" s="4">
        <f>IF(B937="","",SUM(C937:O937))</f>
        <v/>
      </c>
      <c r="Q937" s="5">
        <f>IF(B937="","",ROUND(P937/13,2))</f>
        <v/>
      </c>
      <c r="R937" s="5">
        <f>IF(B937="","",IF(AH937=1,0,MIN(5,ROUND((U937+V937+W937+X937+Y937+Z937+AA937+AB937+AC937+AD937+AE937+AF937+AG937)/13,2))))</f>
        <v/>
      </c>
      <c r="S937" s="3">
        <f>IF(B937="","",IF(R937&gt;=5,"A+",IF(R937&gt;=4,"A",IF(R937&gt;=3.5,"A-",IF(R937&gt;=3,"B",IF(R937&gt;=2,"C",IF(R937&gt;=1,"D","F")))))))</f>
        <v/>
      </c>
      <c r="T937" s="3">
        <f>IF(OR(B937="",S937="F"),"",COUNTIFS(P:P,"&gt;"&amp;P937,S:S,"&lt;&gt;F")+1)</f>
        <v/>
      </c>
      <c r="U937">
        <f>IF(B937="","",IF(C937&lt;33.0,0,IF(C937&gt;=100*0.8,5,IF(C937&gt;=100*0.7,4,IF(C937&gt;=100*0.6,3.5,IF(C937&gt;=100*0.5,3,IF(C937&gt;=100*0.4,2,IF(C937&gt;=100*0.33,1,0))))))))</f>
        <v/>
      </c>
      <c r="V937">
        <f>IF(B937="","",IF(D937&lt;33.0,0,IF(D937&gt;=100*0.8,5,IF(D937&gt;=100*0.7,4,IF(D937&gt;=100*0.6,3.5,IF(D937&gt;=100*0.5,3,IF(D937&gt;=100*0.4,2,IF(D937&gt;=100*0.33,1,0))))))))</f>
        <v/>
      </c>
      <c r="W937">
        <f>IF(B937="","",IF(E937&lt;16.5,0,IF(E937&gt;=50*0.8,5,IF(E937&gt;=50*0.7,4,IF(E937&gt;=50*0.6,3.5,IF(E937&gt;=50*0.5,3,IF(E937&gt;=50*0.4,2,IF(E937&gt;=50*0.33,1,0))))))))</f>
        <v/>
      </c>
      <c r="X937">
        <f>IF(B937="","",IF(F937&lt;33.0,0,IF(F937&gt;=100*0.8,5,IF(F937&gt;=100*0.7,4,IF(F937&gt;=100*0.6,3.5,IF(F937&gt;=100*0.5,3,IF(F937&gt;=100*0.4,2,IF(F937&gt;=100*0.33,1,0))))))))</f>
        <v/>
      </c>
      <c r="Y937">
        <f>IF(B937="","",IF(G937&lt;16.5,0,IF(G937&gt;=50*0.8,5,IF(G937&gt;=50*0.7,4,IF(G937&gt;=50*0.6,3.5,IF(G937&gt;=50*0.5,3,IF(G937&gt;=50*0.4,2,IF(G937&gt;=50*0.33,1,0))))))))</f>
        <v/>
      </c>
      <c r="Z937">
        <f>IF(B937="","",IF(H937&lt;33.0,0,IF(H937&gt;=100*0.8,5,IF(H937&gt;=100*0.7,4,IF(H937&gt;=100*0.6,3.5,IF(H937&gt;=100*0.5,3,IF(H937&gt;=100*0.4,2,IF(H937&gt;=100*0.33,1,0))))))))</f>
        <v/>
      </c>
      <c r="AA937">
        <f>IF(B937="","",IF(I937&lt;33.0,0,IF(I937&gt;=100*0.8,5,IF(I937&gt;=100*0.7,4,IF(I937&gt;=100*0.6,3.5,IF(I937&gt;=100*0.5,3,IF(I937&gt;=100*0.4,2,IF(I937&gt;=100*0.33,1,0))))))))</f>
        <v/>
      </c>
      <c r="AB937">
        <f>IF(B937="","",IF(J937&lt;33.0,0,IF(J937&gt;=100*0.8,5,IF(J937&gt;=100*0.7,4,IF(J937&gt;=100*0.6,3.5,IF(J937&gt;=100*0.5,3,IF(J937&gt;=100*0.4,2,IF(J937&gt;=100*0.33,1,0))))))))</f>
        <v/>
      </c>
      <c r="AC937">
        <f>IF(B937="","",IF(K937&lt;33.0,0,IF(K937&gt;=100*0.8,5,IF(K937&gt;=100*0.7,4,IF(K937&gt;=100*0.6,3.5,IF(K937&gt;=100*0.5,3,IF(K937&gt;=100*0.4,2,IF(K937&gt;=100*0.33,1,0))))))))</f>
        <v/>
      </c>
      <c r="AD937">
        <f>IF(B937="","",IF(L937&lt;33.0,0,IF(L937&gt;=100*0.8,5,IF(L937&gt;=100*0.7,4,IF(L937&gt;=100*0.6,3.5,IF(L937&gt;=100*0.5,3,IF(L937&gt;=100*0.4,2,IF(L937&gt;=100*0.33,1,0))))))))</f>
        <v/>
      </c>
      <c r="AE937">
        <f>IF(B937="","",IF(M937&lt;33.0,0,IF(M937&gt;=100*0.8,5,IF(M937&gt;=100*0.7,4,IF(M937&gt;=100*0.6,3.5,IF(M937&gt;=100*0.5,3,IF(M937&gt;=100*0.4,2,IF(M937&gt;=100*0.33,1,0))))))))</f>
        <v/>
      </c>
      <c r="AF937">
        <f>IF(B937="","",IF(N937&lt;16.5,0,IF(N937&gt;=50*0.8,5,IF(N937&gt;=50*0.7,4,IF(N937&gt;=50*0.6,3.5,IF(N937&gt;=50*0.5,3,IF(N937&gt;=50*0.4,2,IF(N937&gt;=50*0.33,1,0))))))))</f>
        <v/>
      </c>
      <c r="AG937">
        <f>IF(B937="","",IF(O937&lt;33.0,0,IF(O937&gt;=100*0.8,5,IF(O937&gt;=100*0.7,4,IF(O937&gt;=100*0.6,3.5,IF(O937&gt;=100*0.5,3,IF(O937&gt;=100*0.4,2,IF(O937&gt;=100*0.33,1,0))))))))</f>
        <v/>
      </c>
      <c r="AH937">
        <f>IF(B937="","",IF(OR(U937=0,V937=0,W937=0,X937=0,Y937=0,Z937=0,AA937=0,AB937=0,AC937=0,AD937=0,AE937=0,AF937=0,AG937=0),1,0))</f>
        <v/>
      </c>
    </row>
    <row r="938">
      <c r="A938" s="3">
        <f>IF(B938="","",ROW()-2)</f>
        <v/>
      </c>
      <c r="P938" s="4">
        <f>IF(B938="","",SUM(C938:O938))</f>
        <v/>
      </c>
      <c r="Q938" s="5">
        <f>IF(B938="","",ROUND(P938/13,2))</f>
        <v/>
      </c>
      <c r="R938" s="5">
        <f>IF(B938="","",IF(AH938=1,0,MIN(5,ROUND((U938+V938+W938+X938+Y938+Z938+AA938+AB938+AC938+AD938+AE938+AF938+AG938)/13,2))))</f>
        <v/>
      </c>
      <c r="S938" s="3">
        <f>IF(B938="","",IF(R938&gt;=5,"A+",IF(R938&gt;=4,"A",IF(R938&gt;=3.5,"A-",IF(R938&gt;=3,"B",IF(R938&gt;=2,"C",IF(R938&gt;=1,"D","F")))))))</f>
        <v/>
      </c>
      <c r="T938" s="3">
        <f>IF(OR(B938="",S938="F"),"",COUNTIFS(P:P,"&gt;"&amp;P938,S:S,"&lt;&gt;F")+1)</f>
        <v/>
      </c>
      <c r="U938">
        <f>IF(B938="","",IF(C938&lt;33.0,0,IF(C938&gt;=100*0.8,5,IF(C938&gt;=100*0.7,4,IF(C938&gt;=100*0.6,3.5,IF(C938&gt;=100*0.5,3,IF(C938&gt;=100*0.4,2,IF(C938&gt;=100*0.33,1,0))))))))</f>
        <v/>
      </c>
      <c r="V938">
        <f>IF(B938="","",IF(D938&lt;33.0,0,IF(D938&gt;=100*0.8,5,IF(D938&gt;=100*0.7,4,IF(D938&gt;=100*0.6,3.5,IF(D938&gt;=100*0.5,3,IF(D938&gt;=100*0.4,2,IF(D938&gt;=100*0.33,1,0))))))))</f>
        <v/>
      </c>
      <c r="W938">
        <f>IF(B938="","",IF(E938&lt;16.5,0,IF(E938&gt;=50*0.8,5,IF(E938&gt;=50*0.7,4,IF(E938&gt;=50*0.6,3.5,IF(E938&gt;=50*0.5,3,IF(E938&gt;=50*0.4,2,IF(E938&gt;=50*0.33,1,0))))))))</f>
        <v/>
      </c>
      <c r="X938">
        <f>IF(B938="","",IF(F938&lt;33.0,0,IF(F938&gt;=100*0.8,5,IF(F938&gt;=100*0.7,4,IF(F938&gt;=100*0.6,3.5,IF(F938&gt;=100*0.5,3,IF(F938&gt;=100*0.4,2,IF(F938&gt;=100*0.33,1,0))))))))</f>
        <v/>
      </c>
      <c r="Y938">
        <f>IF(B938="","",IF(G938&lt;16.5,0,IF(G938&gt;=50*0.8,5,IF(G938&gt;=50*0.7,4,IF(G938&gt;=50*0.6,3.5,IF(G938&gt;=50*0.5,3,IF(G938&gt;=50*0.4,2,IF(G938&gt;=50*0.33,1,0))))))))</f>
        <v/>
      </c>
      <c r="Z938">
        <f>IF(B938="","",IF(H938&lt;33.0,0,IF(H938&gt;=100*0.8,5,IF(H938&gt;=100*0.7,4,IF(H938&gt;=100*0.6,3.5,IF(H938&gt;=100*0.5,3,IF(H938&gt;=100*0.4,2,IF(H938&gt;=100*0.33,1,0))))))))</f>
        <v/>
      </c>
      <c r="AA938">
        <f>IF(B938="","",IF(I938&lt;33.0,0,IF(I938&gt;=100*0.8,5,IF(I938&gt;=100*0.7,4,IF(I938&gt;=100*0.6,3.5,IF(I938&gt;=100*0.5,3,IF(I938&gt;=100*0.4,2,IF(I938&gt;=100*0.33,1,0))))))))</f>
        <v/>
      </c>
      <c r="AB938">
        <f>IF(B938="","",IF(J938&lt;33.0,0,IF(J938&gt;=100*0.8,5,IF(J938&gt;=100*0.7,4,IF(J938&gt;=100*0.6,3.5,IF(J938&gt;=100*0.5,3,IF(J938&gt;=100*0.4,2,IF(J938&gt;=100*0.33,1,0))))))))</f>
        <v/>
      </c>
      <c r="AC938">
        <f>IF(B938="","",IF(K938&lt;33.0,0,IF(K938&gt;=100*0.8,5,IF(K938&gt;=100*0.7,4,IF(K938&gt;=100*0.6,3.5,IF(K938&gt;=100*0.5,3,IF(K938&gt;=100*0.4,2,IF(K938&gt;=100*0.33,1,0))))))))</f>
        <v/>
      </c>
      <c r="AD938">
        <f>IF(B938="","",IF(L938&lt;33.0,0,IF(L938&gt;=100*0.8,5,IF(L938&gt;=100*0.7,4,IF(L938&gt;=100*0.6,3.5,IF(L938&gt;=100*0.5,3,IF(L938&gt;=100*0.4,2,IF(L938&gt;=100*0.33,1,0))))))))</f>
        <v/>
      </c>
      <c r="AE938">
        <f>IF(B938="","",IF(M938&lt;33.0,0,IF(M938&gt;=100*0.8,5,IF(M938&gt;=100*0.7,4,IF(M938&gt;=100*0.6,3.5,IF(M938&gt;=100*0.5,3,IF(M938&gt;=100*0.4,2,IF(M938&gt;=100*0.33,1,0))))))))</f>
        <v/>
      </c>
      <c r="AF938">
        <f>IF(B938="","",IF(N938&lt;16.5,0,IF(N938&gt;=50*0.8,5,IF(N938&gt;=50*0.7,4,IF(N938&gt;=50*0.6,3.5,IF(N938&gt;=50*0.5,3,IF(N938&gt;=50*0.4,2,IF(N938&gt;=50*0.33,1,0))))))))</f>
        <v/>
      </c>
      <c r="AG938">
        <f>IF(B938="","",IF(O938&lt;33.0,0,IF(O938&gt;=100*0.8,5,IF(O938&gt;=100*0.7,4,IF(O938&gt;=100*0.6,3.5,IF(O938&gt;=100*0.5,3,IF(O938&gt;=100*0.4,2,IF(O938&gt;=100*0.33,1,0))))))))</f>
        <v/>
      </c>
      <c r="AH938">
        <f>IF(B938="","",IF(OR(U938=0,V938=0,W938=0,X938=0,Y938=0,Z938=0,AA938=0,AB938=0,AC938=0,AD938=0,AE938=0,AF938=0,AG938=0),1,0))</f>
        <v/>
      </c>
    </row>
    <row r="939">
      <c r="A939" s="3">
        <f>IF(B939="","",ROW()-2)</f>
        <v/>
      </c>
      <c r="P939" s="4">
        <f>IF(B939="","",SUM(C939:O939))</f>
        <v/>
      </c>
      <c r="Q939" s="5">
        <f>IF(B939="","",ROUND(P939/13,2))</f>
        <v/>
      </c>
      <c r="R939" s="5">
        <f>IF(B939="","",IF(AH939=1,0,MIN(5,ROUND((U939+V939+W939+X939+Y939+Z939+AA939+AB939+AC939+AD939+AE939+AF939+AG939)/13,2))))</f>
        <v/>
      </c>
      <c r="S939" s="3">
        <f>IF(B939="","",IF(R939&gt;=5,"A+",IF(R939&gt;=4,"A",IF(R939&gt;=3.5,"A-",IF(R939&gt;=3,"B",IF(R939&gt;=2,"C",IF(R939&gt;=1,"D","F")))))))</f>
        <v/>
      </c>
      <c r="T939" s="3">
        <f>IF(OR(B939="",S939="F"),"",COUNTIFS(P:P,"&gt;"&amp;P939,S:S,"&lt;&gt;F")+1)</f>
        <v/>
      </c>
      <c r="U939">
        <f>IF(B939="","",IF(C939&lt;33.0,0,IF(C939&gt;=100*0.8,5,IF(C939&gt;=100*0.7,4,IF(C939&gt;=100*0.6,3.5,IF(C939&gt;=100*0.5,3,IF(C939&gt;=100*0.4,2,IF(C939&gt;=100*0.33,1,0))))))))</f>
        <v/>
      </c>
      <c r="V939">
        <f>IF(B939="","",IF(D939&lt;33.0,0,IF(D939&gt;=100*0.8,5,IF(D939&gt;=100*0.7,4,IF(D939&gt;=100*0.6,3.5,IF(D939&gt;=100*0.5,3,IF(D939&gt;=100*0.4,2,IF(D939&gt;=100*0.33,1,0))))))))</f>
        <v/>
      </c>
      <c r="W939">
        <f>IF(B939="","",IF(E939&lt;16.5,0,IF(E939&gt;=50*0.8,5,IF(E939&gt;=50*0.7,4,IF(E939&gt;=50*0.6,3.5,IF(E939&gt;=50*0.5,3,IF(E939&gt;=50*0.4,2,IF(E939&gt;=50*0.33,1,0))))))))</f>
        <v/>
      </c>
      <c r="X939">
        <f>IF(B939="","",IF(F939&lt;33.0,0,IF(F939&gt;=100*0.8,5,IF(F939&gt;=100*0.7,4,IF(F939&gt;=100*0.6,3.5,IF(F939&gt;=100*0.5,3,IF(F939&gt;=100*0.4,2,IF(F939&gt;=100*0.33,1,0))))))))</f>
        <v/>
      </c>
      <c r="Y939">
        <f>IF(B939="","",IF(G939&lt;16.5,0,IF(G939&gt;=50*0.8,5,IF(G939&gt;=50*0.7,4,IF(G939&gt;=50*0.6,3.5,IF(G939&gt;=50*0.5,3,IF(G939&gt;=50*0.4,2,IF(G939&gt;=50*0.33,1,0))))))))</f>
        <v/>
      </c>
      <c r="Z939">
        <f>IF(B939="","",IF(H939&lt;33.0,0,IF(H939&gt;=100*0.8,5,IF(H939&gt;=100*0.7,4,IF(H939&gt;=100*0.6,3.5,IF(H939&gt;=100*0.5,3,IF(H939&gt;=100*0.4,2,IF(H939&gt;=100*0.33,1,0))))))))</f>
        <v/>
      </c>
      <c r="AA939">
        <f>IF(B939="","",IF(I939&lt;33.0,0,IF(I939&gt;=100*0.8,5,IF(I939&gt;=100*0.7,4,IF(I939&gt;=100*0.6,3.5,IF(I939&gt;=100*0.5,3,IF(I939&gt;=100*0.4,2,IF(I939&gt;=100*0.33,1,0))))))))</f>
        <v/>
      </c>
      <c r="AB939">
        <f>IF(B939="","",IF(J939&lt;33.0,0,IF(J939&gt;=100*0.8,5,IF(J939&gt;=100*0.7,4,IF(J939&gt;=100*0.6,3.5,IF(J939&gt;=100*0.5,3,IF(J939&gt;=100*0.4,2,IF(J939&gt;=100*0.33,1,0))))))))</f>
        <v/>
      </c>
      <c r="AC939">
        <f>IF(B939="","",IF(K939&lt;33.0,0,IF(K939&gt;=100*0.8,5,IF(K939&gt;=100*0.7,4,IF(K939&gt;=100*0.6,3.5,IF(K939&gt;=100*0.5,3,IF(K939&gt;=100*0.4,2,IF(K939&gt;=100*0.33,1,0))))))))</f>
        <v/>
      </c>
      <c r="AD939">
        <f>IF(B939="","",IF(L939&lt;33.0,0,IF(L939&gt;=100*0.8,5,IF(L939&gt;=100*0.7,4,IF(L939&gt;=100*0.6,3.5,IF(L939&gt;=100*0.5,3,IF(L939&gt;=100*0.4,2,IF(L939&gt;=100*0.33,1,0))))))))</f>
        <v/>
      </c>
      <c r="AE939">
        <f>IF(B939="","",IF(M939&lt;33.0,0,IF(M939&gt;=100*0.8,5,IF(M939&gt;=100*0.7,4,IF(M939&gt;=100*0.6,3.5,IF(M939&gt;=100*0.5,3,IF(M939&gt;=100*0.4,2,IF(M939&gt;=100*0.33,1,0))))))))</f>
        <v/>
      </c>
      <c r="AF939">
        <f>IF(B939="","",IF(N939&lt;16.5,0,IF(N939&gt;=50*0.8,5,IF(N939&gt;=50*0.7,4,IF(N939&gt;=50*0.6,3.5,IF(N939&gt;=50*0.5,3,IF(N939&gt;=50*0.4,2,IF(N939&gt;=50*0.33,1,0))))))))</f>
        <v/>
      </c>
      <c r="AG939">
        <f>IF(B939="","",IF(O939&lt;33.0,0,IF(O939&gt;=100*0.8,5,IF(O939&gt;=100*0.7,4,IF(O939&gt;=100*0.6,3.5,IF(O939&gt;=100*0.5,3,IF(O939&gt;=100*0.4,2,IF(O939&gt;=100*0.33,1,0))))))))</f>
        <v/>
      </c>
      <c r="AH939">
        <f>IF(B939="","",IF(OR(U939=0,V939=0,W939=0,X939=0,Y939=0,Z939=0,AA939=0,AB939=0,AC939=0,AD939=0,AE939=0,AF939=0,AG939=0),1,0))</f>
        <v/>
      </c>
    </row>
    <row r="940">
      <c r="A940" s="3">
        <f>IF(B940="","",ROW()-2)</f>
        <v/>
      </c>
      <c r="P940" s="4">
        <f>IF(B940="","",SUM(C940:O940))</f>
        <v/>
      </c>
      <c r="Q940" s="5">
        <f>IF(B940="","",ROUND(P940/13,2))</f>
        <v/>
      </c>
      <c r="R940" s="5">
        <f>IF(B940="","",IF(AH940=1,0,MIN(5,ROUND((U940+V940+W940+X940+Y940+Z940+AA940+AB940+AC940+AD940+AE940+AF940+AG940)/13,2))))</f>
        <v/>
      </c>
      <c r="S940" s="3">
        <f>IF(B940="","",IF(R940&gt;=5,"A+",IF(R940&gt;=4,"A",IF(R940&gt;=3.5,"A-",IF(R940&gt;=3,"B",IF(R940&gt;=2,"C",IF(R940&gt;=1,"D","F")))))))</f>
        <v/>
      </c>
      <c r="T940" s="3">
        <f>IF(OR(B940="",S940="F"),"",COUNTIFS(P:P,"&gt;"&amp;P940,S:S,"&lt;&gt;F")+1)</f>
        <v/>
      </c>
      <c r="U940">
        <f>IF(B940="","",IF(C940&lt;33.0,0,IF(C940&gt;=100*0.8,5,IF(C940&gt;=100*0.7,4,IF(C940&gt;=100*0.6,3.5,IF(C940&gt;=100*0.5,3,IF(C940&gt;=100*0.4,2,IF(C940&gt;=100*0.33,1,0))))))))</f>
        <v/>
      </c>
      <c r="V940">
        <f>IF(B940="","",IF(D940&lt;33.0,0,IF(D940&gt;=100*0.8,5,IF(D940&gt;=100*0.7,4,IF(D940&gt;=100*0.6,3.5,IF(D940&gt;=100*0.5,3,IF(D940&gt;=100*0.4,2,IF(D940&gt;=100*0.33,1,0))))))))</f>
        <v/>
      </c>
      <c r="W940">
        <f>IF(B940="","",IF(E940&lt;16.5,0,IF(E940&gt;=50*0.8,5,IF(E940&gt;=50*0.7,4,IF(E940&gt;=50*0.6,3.5,IF(E940&gt;=50*0.5,3,IF(E940&gt;=50*0.4,2,IF(E940&gt;=50*0.33,1,0))))))))</f>
        <v/>
      </c>
      <c r="X940">
        <f>IF(B940="","",IF(F940&lt;33.0,0,IF(F940&gt;=100*0.8,5,IF(F940&gt;=100*0.7,4,IF(F940&gt;=100*0.6,3.5,IF(F940&gt;=100*0.5,3,IF(F940&gt;=100*0.4,2,IF(F940&gt;=100*0.33,1,0))))))))</f>
        <v/>
      </c>
      <c r="Y940">
        <f>IF(B940="","",IF(G940&lt;16.5,0,IF(G940&gt;=50*0.8,5,IF(G940&gt;=50*0.7,4,IF(G940&gt;=50*0.6,3.5,IF(G940&gt;=50*0.5,3,IF(G940&gt;=50*0.4,2,IF(G940&gt;=50*0.33,1,0))))))))</f>
        <v/>
      </c>
      <c r="Z940">
        <f>IF(B940="","",IF(H940&lt;33.0,0,IF(H940&gt;=100*0.8,5,IF(H940&gt;=100*0.7,4,IF(H940&gt;=100*0.6,3.5,IF(H940&gt;=100*0.5,3,IF(H940&gt;=100*0.4,2,IF(H940&gt;=100*0.33,1,0))))))))</f>
        <v/>
      </c>
      <c r="AA940">
        <f>IF(B940="","",IF(I940&lt;33.0,0,IF(I940&gt;=100*0.8,5,IF(I940&gt;=100*0.7,4,IF(I940&gt;=100*0.6,3.5,IF(I940&gt;=100*0.5,3,IF(I940&gt;=100*0.4,2,IF(I940&gt;=100*0.33,1,0))))))))</f>
        <v/>
      </c>
      <c r="AB940">
        <f>IF(B940="","",IF(J940&lt;33.0,0,IF(J940&gt;=100*0.8,5,IF(J940&gt;=100*0.7,4,IF(J940&gt;=100*0.6,3.5,IF(J940&gt;=100*0.5,3,IF(J940&gt;=100*0.4,2,IF(J940&gt;=100*0.33,1,0))))))))</f>
        <v/>
      </c>
      <c r="AC940">
        <f>IF(B940="","",IF(K940&lt;33.0,0,IF(K940&gt;=100*0.8,5,IF(K940&gt;=100*0.7,4,IF(K940&gt;=100*0.6,3.5,IF(K940&gt;=100*0.5,3,IF(K940&gt;=100*0.4,2,IF(K940&gt;=100*0.33,1,0))))))))</f>
        <v/>
      </c>
      <c r="AD940">
        <f>IF(B940="","",IF(L940&lt;33.0,0,IF(L940&gt;=100*0.8,5,IF(L940&gt;=100*0.7,4,IF(L940&gt;=100*0.6,3.5,IF(L940&gt;=100*0.5,3,IF(L940&gt;=100*0.4,2,IF(L940&gt;=100*0.33,1,0))))))))</f>
        <v/>
      </c>
      <c r="AE940">
        <f>IF(B940="","",IF(M940&lt;33.0,0,IF(M940&gt;=100*0.8,5,IF(M940&gt;=100*0.7,4,IF(M940&gt;=100*0.6,3.5,IF(M940&gt;=100*0.5,3,IF(M940&gt;=100*0.4,2,IF(M940&gt;=100*0.33,1,0))))))))</f>
        <v/>
      </c>
      <c r="AF940">
        <f>IF(B940="","",IF(N940&lt;16.5,0,IF(N940&gt;=50*0.8,5,IF(N940&gt;=50*0.7,4,IF(N940&gt;=50*0.6,3.5,IF(N940&gt;=50*0.5,3,IF(N940&gt;=50*0.4,2,IF(N940&gt;=50*0.33,1,0))))))))</f>
        <v/>
      </c>
      <c r="AG940">
        <f>IF(B940="","",IF(O940&lt;33.0,0,IF(O940&gt;=100*0.8,5,IF(O940&gt;=100*0.7,4,IF(O940&gt;=100*0.6,3.5,IF(O940&gt;=100*0.5,3,IF(O940&gt;=100*0.4,2,IF(O940&gt;=100*0.33,1,0))))))))</f>
        <v/>
      </c>
      <c r="AH940">
        <f>IF(B940="","",IF(OR(U940=0,V940=0,W940=0,X940=0,Y940=0,Z940=0,AA940=0,AB940=0,AC940=0,AD940=0,AE940=0,AF940=0,AG940=0),1,0))</f>
        <v/>
      </c>
    </row>
    <row r="941">
      <c r="A941" s="3">
        <f>IF(B941="","",ROW()-2)</f>
        <v/>
      </c>
      <c r="P941" s="4">
        <f>IF(B941="","",SUM(C941:O941))</f>
        <v/>
      </c>
      <c r="Q941" s="5">
        <f>IF(B941="","",ROUND(P941/13,2))</f>
        <v/>
      </c>
      <c r="R941" s="5">
        <f>IF(B941="","",IF(AH941=1,0,MIN(5,ROUND((U941+V941+W941+X941+Y941+Z941+AA941+AB941+AC941+AD941+AE941+AF941+AG941)/13,2))))</f>
        <v/>
      </c>
      <c r="S941" s="3">
        <f>IF(B941="","",IF(R941&gt;=5,"A+",IF(R941&gt;=4,"A",IF(R941&gt;=3.5,"A-",IF(R941&gt;=3,"B",IF(R941&gt;=2,"C",IF(R941&gt;=1,"D","F")))))))</f>
        <v/>
      </c>
      <c r="T941" s="3">
        <f>IF(OR(B941="",S941="F"),"",COUNTIFS(P:P,"&gt;"&amp;P941,S:S,"&lt;&gt;F")+1)</f>
        <v/>
      </c>
      <c r="U941">
        <f>IF(B941="","",IF(C941&lt;33.0,0,IF(C941&gt;=100*0.8,5,IF(C941&gt;=100*0.7,4,IF(C941&gt;=100*0.6,3.5,IF(C941&gt;=100*0.5,3,IF(C941&gt;=100*0.4,2,IF(C941&gt;=100*0.33,1,0))))))))</f>
        <v/>
      </c>
      <c r="V941">
        <f>IF(B941="","",IF(D941&lt;33.0,0,IF(D941&gt;=100*0.8,5,IF(D941&gt;=100*0.7,4,IF(D941&gt;=100*0.6,3.5,IF(D941&gt;=100*0.5,3,IF(D941&gt;=100*0.4,2,IF(D941&gt;=100*0.33,1,0))))))))</f>
        <v/>
      </c>
      <c r="W941">
        <f>IF(B941="","",IF(E941&lt;16.5,0,IF(E941&gt;=50*0.8,5,IF(E941&gt;=50*0.7,4,IF(E941&gt;=50*0.6,3.5,IF(E941&gt;=50*0.5,3,IF(E941&gt;=50*0.4,2,IF(E941&gt;=50*0.33,1,0))))))))</f>
        <v/>
      </c>
      <c r="X941">
        <f>IF(B941="","",IF(F941&lt;33.0,0,IF(F941&gt;=100*0.8,5,IF(F941&gt;=100*0.7,4,IF(F941&gt;=100*0.6,3.5,IF(F941&gt;=100*0.5,3,IF(F941&gt;=100*0.4,2,IF(F941&gt;=100*0.33,1,0))))))))</f>
        <v/>
      </c>
      <c r="Y941">
        <f>IF(B941="","",IF(G941&lt;16.5,0,IF(G941&gt;=50*0.8,5,IF(G941&gt;=50*0.7,4,IF(G941&gt;=50*0.6,3.5,IF(G941&gt;=50*0.5,3,IF(G941&gt;=50*0.4,2,IF(G941&gt;=50*0.33,1,0))))))))</f>
        <v/>
      </c>
      <c r="Z941">
        <f>IF(B941="","",IF(H941&lt;33.0,0,IF(H941&gt;=100*0.8,5,IF(H941&gt;=100*0.7,4,IF(H941&gt;=100*0.6,3.5,IF(H941&gt;=100*0.5,3,IF(H941&gt;=100*0.4,2,IF(H941&gt;=100*0.33,1,0))))))))</f>
        <v/>
      </c>
      <c r="AA941">
        <f>IF(B941="","",IF(I941&lt;33.0,0,IF(I941&gt;=100*0.8,5,IF(I941&gt;=100*0.7,4,IF(I941&gt;=100*0.6,3.5,IF(I941&gt;=100*0.5,3,IF(I941&gt;=100*0.4,2,IF(I941&gt;=100*0.33,1,0))))))))</f>
        <v/>
      </c>
      <c r="AB941">
        <f>IF(B941="","",IF(J941&lt;33.0,0,IF(J941&gt;=100*0.8,5,IF(J941&gt;=100*0.7,4,IF(J941&gt;=100*0.6,3.5,IF(J941&gt;=100*0.5,3,IF(J941&gt;=100*0.4,2,IF(J941&gt;=100*0.33,1,0))))))))</f>
        <v/>
      </c>
      <c r="AC941">
        <f>IF(B941="","",IF(K941&lt;33.0,0,IF(K941&gt;=100*0.8,5,IF(K941&gt;=100*0.7,4,IF(K941&gt;=100*0.6,3.5,IF(K941&gt;=100*0.5,3,IF(K941&gt;=100*0.4,2,IF(K941&gt;=100*0.33,1,0))))))))</f>
        <v/>
      </c>
      <c r="AD941">
        <f>IF(B941="","",IF(L941&lt;33.0,0,IF(L941&gt;=100*0.8,5,IF(L941&gt;=100*0.7,4,IF(L941&gt;=100*0.6,3.5,IF(L941&gt;=100*0.5,3,IF(L941&gt;=100*0.4,2,IF(L941&gt;=100*0.33,1,0))))))))</f>
        <v/>
      </c>
      <c r="AE941">
        <f>IF(B941="","",IF(M941&lt;33.0,0,IF(M941&gt;=100*0.8,5,IF(M941&gt;=100*0.7,4,IF(M941&gt;=100*0.6,3.5,IF(M941&gt;=100*0.5,3,IF(M941&gt;=100*0.4,2,IF(M941&gt;=100*0.33,1,0))))))))</f>
        <v/>
      </c>
      <c r="AF941">
        <f>IF(B941="","",IF(N941&lt;16.5,0,IF(N941&gt;=50*0.8,5,IF(N941&gt;=50*0.7,4,IF(N941&gt;=50*0.6,3.5,IF(N941&gt;=50*0.5,3,IF(N941&gt;=50*0.4,2,IF(N941&gt;=50*0.33,1,0))))))))</f>
        <v/>
      </c>
      <c r="AG941">
        <f>IF(B941="","",IF(O941&lt;33.0,0,IF(O941&gt;=100*0.8,5,IF(O941&gt;=100*0.7,4,IF(O941&gt;=100*0.6,3.5,IF(O941&gt;=100*0.5,3,IF(O941&gt;=100*0.4,2,IF(O941&gt;=100*0.33,1,0))))))))</f>
        <v/>
      </c>
      <c r="AH941">
        <f>IF(B941="","",IF(OR(U941=0,V941=0,W941=0,X941=0,Y941=0,Z941=0,AA941=0,AB941=0,AC941=0,AD941=0,AE941=0,AF941=0,AG941=0),1,0))</f>
        <v/>
      </c>
    </row>
    <row r="942">
      <c r="A942" s="3">
        <f>IF(B942="","",ROW()-2)</f>
        <v/>
      </c>
      <c r="P942" s="4">
        <f>IF(B942="","",SUM(C942:O942))</f>
        <v/>
      </c>
      <c r="Q942" s="5">
        <f>IF(B942="","",ROUND(P942/13,2))</f>
        <v/>
      </c>
      <c r="R942" s="5">
        <f>IF(B942="","",IF(AH942=1,0,MIN(5,ROUND((U942+V942+W942+X942+Y942+Z942+AA942+AB942+AC942+AD942+AE942+AF942+AG942)/13,2))))</f>
        <v/>
      </c>
      <c r="S942" s="3">
        <f>IF(B942="","",IF(R942&gt;=5,"A+",IF(R942&gt;=4,"A",IF(R942&gt;=3.5,"A-",IF(R942&gt;=3,"B",IF(R942&gt;=2,"C",IF(R942&gt;=1,"D","F")))))))</f>
        <v/>
      </c>
      <c r="T942" s="3">
        <f>IF(OR(B942="",S942="F"),"",COUNTIFS(P:P,"&gt;"&amp;P942,S:S,"&lt;&gt;F")+1)</f>
        <v/>
      </c>
      <c r="U942">
        <f>IF(B942="","",IF(C942&lt;33.0,0,IF(C942&gt;=100*0.8,5,IF(C942&gt;=100*0.7,4,IF(C942&gt;=100*0.6,3.5,IF(C942&gt;=100*0.5,3,IF(C942&gt;=100*0.4,2,IF(C942&gt;=100*0.33,1,0))))))))</f>
        <v/>
      </c>
      <c r="V942">
        <f>IF(B942="","",IF(D942&lt;33.0,0,IF(D942&gt;=100*0.8,5,IF(D942&gt;=100*0.7,4,IF(D942&gt;=100*0.6,3.5,IF(D942&gt;=100*0.5,3,IF(D942&gt;=100*0.4,2,IF(D942&gt;=100*0.33,1,0))))))))</f>
        <v/>
      </c>
      <c r="W942">
        <f>IF(B942="","",IF(E942&lt;16.5,0,IF(E942&gt;=50*0.8,5,IF(E942&gt;=50*0.7,4,IF(E942&gt;=50*0.6,3.5,IF(E942&gt;=50*0.5,3,IF(E942&gt;=50*0.4,2,IF(E942&gt;=50*0.33,1,0))))))))</f>
        <v/>
      </c>
      <c r="X942">
        <f>IF(B942="","",IF(F942&lt;33.0,0,IF(F942&gt;=100*0.8,5,IF(F942&gt;=100*0.7,4,IF(F942&gt;=100*0.6,3.5,IF(F942&gt;=100*0.5,3,IF(F942&gt;=100*0.4,2,IF(F942&gt;=100*0.33,1,0))))))))</f>
        <v/>
      </c>
      <c r="Y942">
        <f>IF(B942="","",IF(G942&lt;16.5,0,IF(G942&gt;=50*0.8,5,IF(G942&gt;=50*0.7,4,IF(G942&gt;=50*0.6,3.5,IF(G942&gt;=50*0.5,3,IF(G942&gt;=50*0.4,2,IF(G942&gt;=50*0.33,1,0))))))))</f>
        <v/>
      </c>
      <c r="Z942">
        <f>IF(B942="","",IF(H942&lt;33.0,0,IF(H942&gt;=100*0.8,5,IF(H942&gt;=100*0.7,4,IF(H942&gt;=100*0.6,3.5,IF(H942&gt;=100*0.5,3,IF(H942&gt;=100*0.4,2,IF(H942&gt;=100*0.33,1,0))))))))</f>
        <v/>
      </c>
      <c r="AA942">
        <f>IF(B942="","",IF(I942&lt;33.0,0,IF(I942&gt;=100*0.8,5,IF(I942&gt;=100*0.7,4,IF(I942&gt;=100*0.6,3.5,IF(I942&gt;=100*0.5,3,IF(I942&gt;=100*0.4,2,IF(I942&gt;=100*0.33,1,0))))))))</f>
        <v/>
      </c>
      <c r="AB942">
        <f>IF(B942="","",IF(J942&lt;33.0,0,IF(J942&gt;=100*0.8,5,IF(J942&gt;=100*0.7,4,IF(J942&gt;=100*0.6,3.5,IF(J942&gt;=100*0.5,3,IF(J942&gt;=100*0.4,2,IF(J942&gt;=100*0.33,1,0))))))))</f>
        <v/>
      </c>
      <c r="AC942">
        <f>IF(B942="","",IF(K942&lt;33.0,0,IF(K942&gt;=100*0.8,5,IF(K942&gt;=100*0.7,4,IF(K942&gt;=100*0.6,3.5,IF(K942&gt;=100*0.5,3,IF(K942&gt;=100*0.4,2,IF(K942&gt;=100*0.33,1,0))))))))</f>
        <v/>
      </c>
      <c r="AD942">
        <f>IF(B942="","",IF(L942&lt;33.0,0,IF(L942&gt;=100*0.8,5,IF(L942&gt;=100*0.7,4,IF(L942&gt;=100*0.6,3.5,IF(L942&gt;=100*0.5,3,IF(L942&gt;=100*0.4,2,IF(L942&gt;=100*0.33,1,0))))))))</f>
        <v/>
      </c>
      <c r="AE942">
        <f>IF(B942="","",IF(M942&lt;33.0,0,IF(M942&gt;=100*0.8,5,IF(M942&gt;=100*0.7,4,IF(M942&gt;=100*0.6,3.5,IF(M942&gt;=100*0.5,3,IF(M942&gt;=100*0.4,2,IF(M942&gt;=100*0.33,1,0))))))))</f>
        <v/>
      </c>
      <c r="AF942">
        <f>IF(B942="","",IF(N942&lt;16.5,0,IF(N942&gt;=50*0.8,5,IF(N942&gt;=50*0.7,4,IF(N942&gt;=50*0.6,3.5,IF(N942&gt;=50*0.5,3,IF(N942&gt;=50*0.4,2,IF(N942&gt;=50*0.33,1,0))))))))</f>
        <v/>
      </c>
      <c r="AG942">
        <f>IF(B942="","",IF(O942&lt;33.0,0,IF(O942&gt;=100*0.8,5,IF(O942&gt;=100*0.7,4,IF(O942&gt;=100*0.6,3.5,IF(O942&gt;=100*0.5,3,IF(O942&gt;=100*0.4,2,IF(O942&gt;=100*0.33,1,0))))))))</f>
        <v/>
      </c>
      <c r="AH942">
        <f>IF(B942="","",IF(OR(U942=0,V942=0,W942=0,X942=0,Y942=0,Z942=0,AA942=0,AB942=0,AC942=0,AD942=0,AE942=0,AF942=0,AG942=0),1,0))</f>
        <v/>
      </c>
    </row>
    <row r="943">
      <c r="A943" s="3">
        <f>IF(B943="","",ROW()-2)</f>
        <v/>
      </c>
      <c r="P943" s="4">
        <f>IF(B943="","",SUM(C943:O943))</f>
        <v/>
      </c>
      <c r="Q943" s="5">
        <f>IF(B943="","",ROUND(P943/13,2))</f>
        <v/>
      </c>
      <c r="R943" s="5">
        <f>IF(B943="","",IF(AH943=1,0,MIN(5,ROUND((U943+V943+W943+X943+Y943+Z943+AA943+AB943+AC943+AD943+AE943+AF943+AG943)/13,2))))</f>
        <v/>
      </c>
      <c r="S943" s="3">
        <f>IF(B943="","",IF(R943&gt;=5,"A+",IF(R943&gt;=4,"A",IF(R943&gt;=3.5,"A-",IF(R943&gt;=3,"B",IF(R943&gt;=2,"C",IF(R943&gt;=1,"D","F")))))))</f>
        <v/>
      </c>
      <c r="T943" s="3">
        <f>IF(OR(B943="",S943="F"),"",COUNTIFS(P:P,"&gt;"&amp;P943,S:S,"&lt;&gt;F")+1)</f>
        <v/>
      </c>
      <c r="U943">
        <f>IF(B943="","",IF(C943&lt;33.0,0,IF(C943&gt;=100*0.8,5,IF(C943&gt;=100*0.7,4,IF(C943&gt;=100*0.6,3.5,IF(C943&gt;=100*0.5,3,IF(C943&gt;=100*0.4,2,IF(C943&gt;=100*0.33,1,0))))))))</f>
        <v/>
      </c>
      <c r="V943">
        <f>IF(B943="","",IF(D943&lt;33.0,0,IF(D943&gt;=100*0.8,5,IF(D943&gt;=100*0.7,4,IF(D943&gt;=100*0.6,3.5,IF(D943&gt;=100*0.5,3,IF(D943&gt;=100*0.4,2,IF(D943&gt;=100*0.33,1,0))))))))</f>
        <v/>
      </c>
      <c r="W943">
        <f>IF(B943="","",IF(E943&lt;16.5,0,IF(E943&gt;=50*0.8,5,IF(E943&gt;=50*0.7,4,IF(E943&gt;=50*0.6,3.5,IF(E943&gt;=50*0.5,3,IF(E943&gt;=50*0.4,2,IF(E943&gt;=50*0.33,1,0))))))))</f>
        <v/>
      </c>
      <c r="X943">
        <f>IF(B943="","",IF(F943&lt;33.0,0,IF(F943&gt;=100*0.8,5,IF(F943&gt;=100*0.7,4,IF(F943&gt;=100*0.6,3.5,IF(F943&gt;=100*0.5,3,IF(F943&gt;=100*0.4,2,IF(F943&gt;=100*0.33,1,0))))))))</f>
        <v/>
      </c>
      <c r="Y943">
        <f>IF(B943="","",IF(G943&lt;16.5,0,IF(G943&gt;=50*0.8,5,IF(G943&gt;=50*0.7,4,IF(G943&gt;=50*0.6,3.5,IF(G943&gt;=50*0.5,3,IF(G943&gt;=50*0.4,2,IF(G943&gt;=50*0.33,1,0))))))))</f>
        <v/>
      </c>
      <c r="Z943">
        <f>IF(B943="","",IF(H943&lt;33.0,0,IF(H943&gt;=100*0.8,5,IF(H943&gt;=100*0.7,4,IF(H943&gt;=100*0.6,3.5,IF(H943&gt;=100*0.5,3,IF(H943&gt;=100*0.4,2,IF(H943&gt;=100*0.33,1,0))))))))</f>
        <v/>
      </c>
      <c r="AA943">
        <f>IF(B943="","",IF(I943&lt;33.0,0,IF(I943&gt;=100*0.8,5,IF(I943&gt;=100*0.7,4,IF(I943&gt;=100*0.6,3.5,IF(I943&gt;=100*0.5,3,IF(I943&gt;=100*0.4,2,IF(I943&gt;=100*0.33,1,0))))))))</f>
        <v/>
      </c>
      <c r="AB943">
        <f>IF(B943="","",IF(J943&lt;33.0,0,IF(J943&gt;=100*0.8,5,IF(J943&gt;=100*0.7,4,IF(J943&gt;=100*0.6,3.5,IF(J943&gt;=100*0.5,3,IF(J943&gt;=100*0.4,2,IF(J943&gt;=100*0.33,1,0))))))))</f>
        <v/>
      </c>
      <c r="AC943">
        <f>IF(B943="","",IF(K943&lt;33.0,0,IF(K943&gt;=100*0.8,5,IF(K943&gt;=100*0.7,4,IF(K943&gt;=100*0.6,3.5,IF(K943&gt;=100*0.5,3,IF(K943&gt;=100*0.4,2,IF(K943&gt;=100*0.33,1,0))))))))</f>
        <v/>
      </c>
      <c r="AD943">
        <f>IF(B943="","",IF(L943&lt;33.0,0,IF(L943&gt;=100*0.8,5,IF(L943&gt;=100*0.7,4,IF(L943&gt;=100*0.6,3.5,IF(L943&gt;=100*0.5,3,IF(L943&gt;=100*0.4,2,IF(L943&gt;=100*0.33,1,0))))))))</f>
        <v/>
      </c>
      <c r="AE943">
        <f>IF(B943="","",IF(M943&lt;33.0,0,IF(M943&gt;=100*0.8,5,IF(M943&gt;=100*0.7,4,IF(M943&gt;=100*0.6,3.5,IF(M943&gt;=100*0.5,3,IF(M943&gt;=100*0.4,2,IF(M943&gt;=100*0.33,1,0))))))))</f>
        <v/>
      </c>
      <c r="AF943">
        <f>IF(B943="","",IF(N943&lt;16.5,0,IF(N943&gt;=50*0.8,5,IF(N943&gt;=50*0.7,4,IF(N943&gt;=50*0.6,3.5,IF(N943&gt;=50*0.5,3,IF(N943&gt;=50*0.4,2,IF(N943&gt;=50*0.33,1,0))))))))</f>
        <v/>
      </c>
      <c r="AG943">
        <f>IF(B943="","",IF(O943&lt;33.0,0,IF(O943&gt;=100*0.8,5,IF(O943&gt;=100*0.7,4,IF(O943&gt;=100*0.6,3.5,IF(O943&gt;=100*0.5,3,IF(O943&gt;=100*0.4,2,IF(O943&gt;=100*0.33,1,0))))))))</f>
        <v/>
      </c>
      <c r="AH943">
        <f>IF(B943="","",IF(OR(U943=0,V943=0,W943=0,X943=0,Y943=0,Z943=0,AA943=0,AB943=0,AC943=0,AD943=0,AE943=0,AF943=0,AG943=0),1,0))</f>
        <v/>
      </c>
    </row>
    <row r="944">
      <c r="A944" s="3">
        <f>IF(B944="","",ROW()-2)</f>
        <v/>
      </c>
      <c r="P944" s="4">
        <f>IF(B944="","",SUM(C944:O944))</f>
        <v/>
      </c>
      <c r="Q944" s="5">
        <f>IF(B944="","",ROUND(P944/13,2))</f>
        <v/>
      </c>
      <c r="R944" s="5">
        <f>IF(B944="","",IF(AH944=1,0,MIN(5,ROUND((U944+V944+W944+X944+Y944+Z944+AA944+AB944+AC944+AD944+AE944+AF944+AG944)/13,2))))</f>
        <v/>
      </c>
      <c r="S944" s="3">
        <f>IF(B944="","",IF(R944&gt;=5,"A+",IF(R944&gt;=4,"A",IF(R944&gt;=3.5,"A-",IF(R944&gt;=3,"B",IF(R944&gt;=2,"C",IF(R944&gt;=1,"D","F")))))))</f>
        <v/>
      </c>
      <c r="T944" s="3">
        <f>IF(OR(B944="",S944="F"),"",COUNTIFS(P:P,"&gt;"&amp;P944,S:S,"&lt;&gt;F")+1)</f>
        <v/>
      </c>
      <c r="U944">
        <f>IF(B944="","",IF(C944&lt;33.0,0,IF(C944&gt;=100*0.8,5,IF(C944&gt;=100*0.7,4,IF(C944&gt;=100*0.6,3.5,IF(C944&gt;=100*0.5,3,IF(C944&gt;=100*0.4,2,IF(C944&gt;=100*0.33,1,0))))))))</f>
        <v/>
      </c>
      <c r="V944">
        <f>IF(B944="","",IF(D944&lt;33.0,0,IF(D944&gt;=100*0.8,5,IF(D944&gt;=100*0.7,4,IF(D944&gt;=100*0.6,3.5,IF(D944&gt;=100*0.5,3,IF(D944&gt;=100*0.4,2,IF(D944&gt;=100*0.33,1,0))))))))</f>
        <v/>
      </c>
      <c r="W944">
        <f>IF(B944="","",IF(E944&lt;16.5,0,IF(E944&gt;=50*0.8,5,IF(E944&gt;=50*0.7,4,IF(E944&gt;=50*0.6,3.5,IF(E944&gt;=50*0.5,3,IF(E944&gt;=50*0.4,2,IF(E944&gt;=50*0.33,1,0))))))))</f>
        <v/>
      </c>
      <c r="X944">
        <f>IF(B944="","",IF(F944&lt;33.0,0,IF(F944&gt;=100*0.8,5,IF(F944&gt;=100*0.7,4,IF(F944&gt;=100*0.6,3.5,IF(F944&gt;=100*0.5,3,IF(F944&gt;=100*0.4,2,IF(F944&gt;=100*0.33,1,0))))))))</f>
        <v/>
      </c>
      <c r="Y944">
        <f>IF(B944="","",IF(G944&lt;16.5,0,IF(G944&gt;=50*0.8,5,IF(G944&gt;=50*0.7,4,IF(G944&gt;=50*0.6,3.5,IF(G944&gt;=50*0.5,3,IF(G944&gt;=50*0.4,2,IF(G944&gt;=50*0.33,1,0))))))))</f>
        <v/>
      </c>
      <c r="Z944">
        <f>IF(B944="","",IF(H944&lt;33.0,0,IF(H944&gt;=100*0.8,5,IF(H944&gt;=100*0.7,4,IF(H944&gt;=100*0.6,3.5,IF(H944&gt;=100*0.5,3,IF(H944&gt;=100*0.4,2,IF(H944&gt;=100*0.33,1,0))))))))</f>
        <v/>
      </c>
      <c r="AA944">
        <f>IF(B944="","",IF(I944&lt;33.0,0,IF(I944&gt;=100*0.8,5,IF(I944&gt;=100*0.7,4,IF(I944&gt;=100*0.6,3.5,IF(I944&gt;=100*0.5,3,IF(I944&gt;=100*0.4,2,IF(I944&gt;=100*0.33,1,0))))))))</f>
        <v/>
      </c>
      <c r="AB944">
        <f>IF(B944="","",IF(J944&lt;33.0,0,IF(J944&gt;=100*0.8,5,IF(J944&gt;=100*0.7,4,IF(J944&gt;=100*0.6,3.5,IF(J944&gt;=100*0.5,3,IF(J944&gt;=100*0.4,2,IF(J944&gt;=100*0.33,1,0))))))))</f>
        <v/>
      </c>
      <c r="AC944">
        <f>IF(B944="","",IF(K944&lt;33.0,0,IF(K944&gt;=100*0.8,5,IF(K944&gt;=100*0.7,4,IF(K944&gt;=100*0.6,3.5,IF(K944&gt;=100*0.5,3,IF(K944&gt;=100*0.4,2,IF(K944&gt;=100*0.33,1,0))))))))</f>
        <v/>
      </c>
      <c r="AD944">
        <f>IF(B944="","",IF(L944&lt;33.0,0,IF(L944&gt;=100*0.8,5,IF(L944&gt;=100*0.7,4,IF(L944&gt;=100*0.6,3.5,IF(L944&gt;=100*0.5,3,IF(L944&gt;=100*0.4,2,IF(L944&gt;=100*0.33,1,0))))))))</f>
        <v/>
      </c>
      <c r="AE944">
        <f>IF(B944="","",IF(M944&lt;33.0,0,IF(M944&gt;=100*0.8,5,IF(M944&gt;=100*0.7,4,IF(M944&gt;=100*0.6,3.5,IF(M944&gt;=100*0.5,3,IF(M944&gt;=100*0.4,2,IF(M944&gt;=100*0.33,1,0))))))))</f>
        <v/>
      </c>
      <c r="AF944">
        <f>IF(B944="","",IF(N944&lt;16.5,0,IF(N944&gt;=50*0.8,5,IF(N944&gt;=50*0.7,4,IF(N944&gt;=50*0.6,3.5,IF(N944&gt;=50*0.5,3,IF(N944&gt;=50*0.4,2,IF(N944&gt;=50*0.33,1,0))))))))</f>
        <v/>
      </c>
      <c r="AG944">
        <f>IF(B944="","",IF(O944&lt;33.0,0,IF(O944&gt;=100*0.8,5,IF(O944&gt;=100*0.7,4,IF(O944&gt;=100*0.6,3.5,IF(O944&gt;=100*0.5,3,IF(O944&gt;=100*0.4,2,IF(O944&gt;=100*0.33,1,0))))))))</f>
        <v/>
      </c>
      <c r="AH944">
        <f>IF(B944="","",IF(OR(U944=0,V944=0,W944=0,X944=0,Y944=0,Z944=0,AA944=0,AB944=0,AC944=0,AD944=0,AE944=0,AF944=0,AG944=0),1,0))</f>
        <v/>
      </c>
    </row>
    <row r="945">
      <c r="A945" s="3">
        <f>IF(B945="","",ROW()-2)</f>
        <v/>
      </c>
      <c r="P945" s="4">
        <f>IF(B945="","",SUM(C945:O945))</f>
        <v/>
      </c>
      <c r="Q945" s="5">
        <f>IF(B945="","",ROUND(P945/13,2))</f>
        <v/>
      </c>
      <c r="R945" s="5">
        <f>IF(B945="","",IF(AH945=1,0,MIN(5,ROUND((U945+V945+W945+X945+Y945+Z945+AA945+AB945+AC945+AD945+AE945+AF945+AG945)/13,2))))</f>
        <v/>
      </c>
      <c r="S945" s="3">
        <f>IF(B945="","",IF(R945&gt;=5,"A+",IF(R945&gt;=4,"A",IF(R945&gt;=3.5,"A-",IF(R945&gt;=3,"B",IF(R945&gt;=2,"C",IF(R945&gt;=1,"D","F")))))))</f>
        <v/>
      </c>
      <c r="T945" s="3">
        <f>IF(OR(B945="",S945="F"),"",COUNTIFS(P:P,"&gt;"&amp;P945,S:S,"&lt;&gt;F")+1)</f>
        <v/>
      </c>
      <c r="U945">
        <f>IF(B945="","",IF(C945&lt;33.0,0,IF(C945&gt;=100*0.8,5,IF(C945&gt;=100*0.7,4,IF(C945&gt;=100*0.6,3.5,IF(C945&gt;=100*0.5,3,IF(C945&gt;=100*0.4,2,IF(C945&gt;=100*0.33,1,0))))))))</f>
        <v/>
      </c>
      <c r="V945">
        <f>IF(B945="","",IF(D945&lt;33.0,0,IF(D945&gt;=100*0.8,5,IF(D945&gt;=100*0.7,4,IF(D945&gt;=100*0.6,3.5,IF(D945&gt;=100*0.5,3,IF(D945&gt;=100*0.4,2,IF(D945&gt;=100*0.33,1,0))))))))</f>
        <v/>
      </c>
      <c r="W945">
        <f>IF(B945="","",IF(E945&lt;16.5,0,IF(E945&gt;=50*0.8,5,IF(E945&gt;=50*0.7,4,IF(E945&gt;=50*0.6,3.5,IF(E945&gt;=50*0.5,3,IF(E945&gt;=50*0.4,2,IF(E945&gt;=50*0.33,1,0))))))))</f>
        <v/>
      </c>
      <c r="X945">
        <f>IF(B945="","",IF(F945&lt;33.0,0,IF(F945&gt;=100*0.8,5,IF(F945&gt;=100*0.7,4,IF(F945&gt;=100*0.6,3.5,IF(F945&gt;=100*0.5,3,IF(F945&gt;=100*0.4,2,IF(F945&gt;=100*0.33,1,0))))))))</f>
        <v/>
      </c>
      <c r="Y945">
        <f>IF(B945="","",IF(G945&lt;16.5,0,IF(G945&gt;=50*0.8,5,IF(G945&gt;=50*0.7,4,IF(G945&gt;=50*0.6,3.5,IF(G945&gt;=50*0.5,3,IF(G945&gt;=50*0.4,2,IF(G945&gt;=50*0.33,1,0))))))))</f>
        <v/>
      </c>
      <c r="Z945">
        <f>IF(B945="","",IF(H945&lt;33.0,0,IF(H945&gt;=100*0.8,5,IF(H945&gt;=100*0.7,4,IF(H945&gt;=100*0.6,3.5,IF(H945&gt;=100*0.5,3,IF(H945&gt;=100*0.4,2,IF(H945&gt;=100*0.33,1,0))))))))</f>
        <v/>
      </c>
      <c r="AA945">
        <f>IF(B945="","",IF(I945&lt;33.0,0,IF(I945&gt;=100*0.8,5,IF(I945&gt;=100*0.7,4,IF(I945&gt;=100*0.6,3.5,IF(I945&gt;=100*0.5,3,IF(I945&gt;=100*0.4,2,IF(I945&gt;=100*0.33,1,0))))))))</f>
        <v/>
      </c>
      <c r="AB945">
        <f>IF(B945="","",IF(J945&lt;33.0,0,IF(J945&gt;=100*0.8,5,IF(J945&gt;=100*0.7,4,IF(J945&gt;=100*0.6,3.5,IF(J945&gt;=100*0.5,3,IF(J945&gt;=100*0.4,2,IF(J945&gt;=100*0.33,1,0))))))))</f>
        <v/>
      </c>
      <c r="AC945">
        <f>IF(B945="","",IF(K945&lt;33.0,0,IF(K945&gt;=100*0.8,5,IF(K945&gt;=100*0.7,4,IF(K945&gt;=100*0.6,3.5,IF(K945&gt;=100*0.5,3,IF(K945&gt;=100*0.4,2,IF(K945&gt;=100*0.33,1,0))))))))</f>
        <v/>
      </c>
      <c r="AD945">
        <f>IF(B945="","",IF(L945&lt;33.0,0,IF(L945&gt;=100*0.8,5,IF(L945&gt;=100*0.7,4,IF(L945&gt;=100*0.6,3.5,IF(L945&gt;=100*0.5,3,IF(L945&gt;=100*0.4,2,IF(L945&gt;=100*0.33,1,0))))))))</f>
        <v/>
      </c>
      <c r="AE945">
        <f>IF(B945="","",IF(M945&lt;33.0,0,IF(M945&gt;=100*0.8,5,IF(M945&gt;=100*0.7,4,IF(M945&gt;=100*0.6,3.5,IF(M945&gt;=100*0.5,3,IF(M945&gt;=100*0.4,2,IF(M945&gt;=100*0.33,1,0))))))))</f>
        <v/>
      </c>
      <c r="AF945">
        <f>IF(B945="","",IF(N945&lt;16.5,0,IF(N945&gt;=50*0.8,5,IF(N945&gt;=50*0.7,4,IF(N945&gt;=50*0.6,3.5,IF(N945&gt;=50*0.5,3,IF(N945&gt;=50*0.4,2,IF(N945&gt;=50*0.33,1,0))))))))</f>
        <v/>
      </c>
      <c r="AG945">
        <f>IF(B945="","",IF(O945&lt;33.0,0,IF(O945&gt;=100*0.8,5,IF(O945&gt;=100*0.7,4,IF(O945&gt;=100*0.6,3.5,IF(O945&gt;=100*0.5,3,IF(O945&gt;=100*0.4,2,IF(O945&gt;=100*0.33,1,0))))))))</f>
        <v/>
      </c>
      <c r="AH945">
        <f>IF(B945="","",IF(OR(U945=0,V945=0,W945=0,X945=0,Y945=0,Z945=0,AA945=0,AB945=0,AC945=0,AD945=0,AE945=0,AF945=0,AG945=0),1,0))</f>
        <v/>
      </c>
    </row>
    <row r="946">
      <c r="A946" s="3">
        <f>IF(B946="","",ROW()-2)</f>
        <v/>
      </c>
      <c r="P946" s="4">
        <f>IF(B946="","",SUM(C946:O946))</f>
        <v/>
      </c>
      <c r="Q946" s="5">
        <f>IF(B946="","",ROUND(P946/13,2))</f>
        <v/>
      </c>
      <c r="R946" s="5">
        <f>IF(B946="","",IF(AH946=1,0,MIN(5,ROUND((U946+V946+W946+X946+Y946+Z946+AA946+AB946+AC946+AD946+AE946+AF946+AG946)/13,2))))</f>
        <v/>
      </c>
      <c r="S946" s="3">
        <f>IF(B946="","",IF(R946&gt;=5,"A+",IF(R946&gt;=4,"A",IF(R946&gt;=3.5,"A-",IF(R946&gt;=3,"B",IF(R946&gt;=2,"C",IF(R946&gt;=1,"D","F")))))))</f>
        <v/>
      </c>
      <c r="T946" s="3">
        <f>IF(OR(B946="",S946="F"),"",COUNTIFS(P:P,"&gt;"&amp;P946,S:S,"&lt;&gt;F")+1)</f>
        <v/>
      </c>
      <c r="U946">
        <f>IF(B946="","",IF(C946&lt;33.0,0,IF(C946&gt;=100*0.8,5,IF(C946&gt;=100*0.7,4,IF(C946&gt;=100*0.6,3.5,IF(C946&gt;=100*0.5,3,IF(C946&gt;=100*0.4,2,IF(C946&gt;=100*0.33,1,0))))))))</f>
        <v/>
      </c>
      <c r="V946">
        <f>IF(B946="","",IF(D946&lt;33.0,0,IF(D946&gt;=100*0.8,5,IF(D946&gt;=100*0.7,4,IF(D946&gt;=100*0.6,3.5,IF(D946&gt;=100*0.5,3,IF(D946&gt;=100*0.4,2,IF(D946&gt;=100*0.33,1,0))))))))</f>
        <v/>
      </c>
      <c r="W946">
        <f>IF(B946="","",IF(E946&lt;16.5,0,IF(E946&gt;=50*0.8,5,IF(E946&gt;=50*0.7,4,IF(E946&gt;=50*0.6,3.5,IF(E946&gt;=50*0.5,3,IF(E946&gt;=50*0.4,2,IF(E946&gt;=50*0.33,1,0))))))))</f>
        <v/>
      </c>
      <c r="X946">
        <f>IF(B946="","",IF(F946&lt;33.0,0,IF(F946&gt;=100*0.8,5,IF(F946&gt;=100*0.7,4,IF(F946&gt;=100*0.6,3.5,IF(F946&gt;=100*0.5,3,IF(F946&gt;=100*0.4,2,IF(F946&gt;=100*0.33,1,0))))))))</f>
        <v/>
      </c>
      <c r="Y946">
        <f>IF(B946="","",IF(G946&lt;16.5,0,IF(G946&gt;=50*0.8,5,IF(G946&gt;=50*0.7,4,IF(G946&gt;=50*0.6,3.5,IF(G946&gt;=50*0.5,3,IF(G946&gt;=50*0.4,2,IF(G946&gt;=50*0.33,1,0))))))))</f>
        <v/>
      </c>
      <c r="Z946">
        <f>IF(B946="","",IF(H946&lt;33.0,0,IF(H946&gt;=100*0.8,5,IF(H946&gt;=100*0.7,4,IF(H946&gt;=100*0.6,3.5,IF(H946&gt;=100*0.5,3,IF(H946&gt;=100*0.4,2,IF(H946&gt;=100*0.33,1,0))))))))</f>
        <v/>
      </c>
      <c r="AA946">
        <f>IF(B946="","",IF(I946&lt;33.0,0,IF(I946&gt;=100*0.8,5,IF(I946&gt;=100*0.7,4,IF(I946&gt;=100*0.6,3.5,IF(I946&gt;=100*0.5,3,IF(I946&gt;=100*0.4,2,IF(I946&gt;=100*0.33,1,0))))))))</f>
        <v/>
      </c>
      <c r="AB946">
        <f>IF(B946="","",IF(J946&lt;33.0,0,IF(J946&gt;=100*0.8,5,IF(J946&gt;=100*0.7,4,IF(J946&gt;=100*0.6,3.5,IF(J946&gt;=100*0.5,3,IF(J946&gt;=100*0.4,2,IF(J946&gt;=100*0.33,1,0))))))))</f>
        <v/>
      </c>
      <c r="AC946">
        <f>IF(B946="","",IF(K946&lt;33.0,0,IF(K946&gt;=100*0.8,5,IF(K946&gt;=100*0.7,4,IF(K946&gt;=100*0.6,3.5,IF(K946&gt;=100*0.5,3,IF(K946&gt;=100*0.4,2,IF(K946&gt;=100*0.33,1,0))))))))</f>
        <v/>
      </c>
      <c r="AD946">
        <f>IF(B946="","",IF(L946&lt;33.0,0,IF(L946&gt;=100*0.8,5,IF(L946&gt;=100*0.7,4,IF(L946&gt;=100*0.6,3.5,IF(L946&gt;=100*0.5,3,IF(L946&gt;=100*0.4,2,IF(L946&gt;=100*0.33,1,0))))))))</f>
        <v/>
      </c>
      <c r="AE946">
        <f>IF(B946="","",IF(M946&lt;33.0,0,IF(M946&gt;=100*0.8,5,IF(M946&gt;=100*0.7,4,IF(M946&gt;=100*0.6,3.5,IF(M946&gt;=100*0.5,3,IF(M946&gt;=100*0.4,2,IF(M946&gt;=100*0.33,1,0))))))))</f>
        <v/>
      </c>
      <c r="AF946">
        <f>IF(B946="","",IF(N946&lt;16.5,0,IF(N946&gt;=50*0.8,5,IF(N946&gt;=50*0.7,4,IF(N946&gt;=50*0.6,3.5,IF(N946&gt;=50*0.5,3,IF(N946&gt;=50*0.4,2,IF(N946&gt;=50*0.33,1,0))))))))</f>
        <v/>
      </c>
      <c r="AG946">
        <f>IF(B946="","",IF(O946&lt;33.0,0,IF(O946&gt;=100*0.8,5,IF(O946&gt;=100*0.7,4,IF(O946&gt;=100*0.6,3.5,IF(O946&gt;=100*0.5,3,IF(O946&gt;=100*0.4,2,IF(O946&gt;=100*0.33,1,0))))))))</f>
        <v/>
      </c>
      <c r="AH946">
        <f>IF(B946="","",IF(OR(U946=0,V946=0,W946=0,X946=0,Y946=0,Z946=0,AA946=0,AB946=0,AC946=0,AD946=0,AE946=0,AF946=0,AG946=0),1,0))</f>
        <v/>
      </c>
    </row>
    <row r="947">
      <c r="A947" s="3">
        <f>IF(B947="","",ROW()-2)</f>
        <v/>
      </c>
      <c r="P947" s="4">
        <f>IF(B947="","",SUM(C947:O947))</f>
        <v/>
      </c>
      <c r="Q947" s="5">
        <f>IF(B947="","",ROUND(P947/13,2))</f>
        <v/>
      </c>
      <c r="R947" s="5">
        <f>IF(B947="","",IF(AH947=1,0,MIN(5,ROUND((U947+V947+W947+X947+Y947+Z947+AA947+AB947+AC947+AD947+AE947+AF947+AG947)/13,2))))</f>
        <v/>
      </c>
      <c r="S947" s="3">
        <f>IF(B947="","",IF(R947&gt;=5,"A+",IF(R947&gt;=4,"A",IF(R947&gt;=3.5,"A-",IF(R947&gt;=3,"B",IF(R947&gt;=2,"C",IF(R947&gt;=1,"D","F")))))))</f>
        <v/>
      </c>
      <c r="T947" s="3">
        <f>IF(OR(B947="",S947="F"),"",COUNTIFS(P:P,"&gt;"&amp;P947,S:S,"&lt;&gt;F")+1)</f>
        <v/>
      </c>
      <c r="U947">
        <f>IF(B947="","",IF(C947&lt;33.0,0,IF(C947&gt;=100*0.8,5,IF(C947&gt;=100*0.7,4,IF(C947&gt;=100*0.6,3.5,IF(C947&gt;=100*0.5,3,IF(C947&gt;=100*0.4,2,IF(C947&gt;=100*0.33,1,0))))))))</f>
        <v/>
      </c>
      <c r="V947">
        <f>IF(B947="","",IF(D947&lt;33.0,0,IF(D947&gt;=100*0.8,5,IF(D947&gt;=100*0.7,4,IF(D947&gt;=100*0.6,3.5,IF(D947&gt;=100*0.5,3,IF(D947&gt;=100*0.4,2,IF(D947&gt;=100*0.33,1,0))))))))</f>
        <v/>
      </c>
      <c r="W947">
        <f>IF(B947="","",IF(E947&lt;16.5,0,IF(E947&gt;=50*0.8,5,IF(E947&gt;=50*0.7,4,IF(E947&gt;=50*0.6,3.5,IF(E947&gt;=50*0.5,3,IF(E947&gt;=50*0.4,2,IF(E947&gt;=50*0.33,1,0))))))))</f>
        <v/>
      </c>
      <c r="X947">
        <f>IF(B947="","",IF(F947&lt;33.0,0,IF(F947&gt;=100*0.8,5,IF(F947&gt;=100*0.7,4,IF(F947&gt;=100*0.6,3.5,IF(F947&gt;=100*0.5,3,IF(F947&gt;=100*0.4,2,IF(F947&gt;=100*0.33,1,0))))))))</f>
        <v/>
      </c>
      <c r="Y947">
        <f>IF(B947="","",IF(G947&lt;16.5,0,IF(G947&gt;=50*0.8,5,IF(G947&gt;=50*0.7,4,IF(G947&gt;=50*0.6,3.5,IF(G947&gt;=50*0.5,3,IF(G947&gt;=50*0.4,2,IF(G947&gt;=50*0.33,1,0))))))))</f>
        <v/>
      </c>
      <c r="Z947">
        <f>IF(B947="","",IF(H947&lt;33.0,0,IF(H947&gt;=100*0.8,5,IF(H947&gt;=100*0.7,4,IF(H947&gt;=100*0.6,3.5,IF(H947&gt;=100*0.5,3,IF(H947&gt;=100*0.4,2,IF(H947&gt;=100*0.33,1,0))))))))</f>
        <v/>
      </c>
      <c r="AA947">
        <f>IF(B947="","",IF(I947&lt;33.0,0,IF(I947&gt;=100*0.8,5,IF(I947&gt;=100*0.7,4,IF(I947&gt;=100*0.6,3.5,IF(I947&gt;=100*0.5,3,IF(I947&gt;=100*0.4,2,IF(I947&gt;=100*0.33,1,0))))))))</f>
        <v/>
      </c>
      <c r="AB947">
        <f>IF(B947="","",IF(J947&lt;33.0,0,IF(J947&gt;=100*0.8,5,IF(J947&gt;=100*0.7,4,IF(J947&gt;=100*0.6,3.5,IF(J947&gt;=100*0.5,3,IF(J947&gt;=100*0.4,2,IF(J947&gt;=100*0.33,1,0))))))))</f>
        <v/>
      </c>
      <c r="AC947">
        <f>IF(B947="","",IF(K947&lt;33.0,0,IF(K947&gt;=100*0.8,5,IF(K947&gt;=100*0.7,4,IF(K947&gt;=100*0.6,3.5,IF(K947&gt;=100*0.5,3,IF(K947&gt;=100*0.4,2,IF(K947&gt;=100*0.33,1,0))))))))</f>
        <v/>
      </c>
      <c r="AD947">
        <f>IF(B947="","",IF(L947&lt;33.0,0,IF(L947&gt;=100*0.8,5,IF(L947&gt;=100*0.7,4,IF(L947&gt;=100*0.6,3.5,IF(L947&gt;=100*0.5,3,IF(L947&gt;=100*0.4,2,IF(L947&gt;=100*0.33,1,0))))))))</f>
        <v/>
      </c>
      <c r="AE947">
        <f>IF(B947="","",IF(M947&lt;33.0,0,IF(M947&gt;=100*0.8,5,IF(M947&gt;=100*0.7,4,IF(M947&gt;=100*0.6,3.5,IF(M947&gt;=100*0.5,3,IF(M947&gt;=100*0.4,2,IF(M947&gt;=100*0.33,1,0))))))))</f>
        <v/>
      </c>
      <c r="AF947">
        <f>IF(B947="","",IF(N947&lt;16.5,0,IF(N947&gt;=50*0.8,5,IF(N947&gt;=50*0.7,4,IF(N947&gt;=50*0.6,3.5,IF(N947&gt;=50*0.5,3,IF(N947&gt;=50*0.4,2,IF(N947&gt;=50*0.33,1,0))))))))</f>
        <v/>
      </c>
      <c r="AG947">
        <f>IF(B947="","",IF(O947&lt;33.0,0,IF(O947&gt;=100*0.8,5,IF(O947&gt;=100*0.7,4,IF(O947&gt;=100*0.6,3.5,IF(O947&gt;=100*0.5,3,IF(O947&gt;=100*0.4,2,IF(O947&gt;=100*0.33,1,0))))))))</f>
        <v/>
      </c>
      <c r="AH947">
        <f>IF(B947="","",IF(OR(U947=0,V947=0,W947=0,X947=0,Y947=0,Z947=0,AA947=0,AB947=0,AC947=0,AD947=0,AE947=0,AF947=0,AG947=0),1,0))</f>
        <v/>
      </c>
    </row>
    <row r="948">
      <c r="A948" s="3">
        <f>IF(B948="","",ROW()-2)</f>
        <v/>
      </c>
      <c r="P948" s="4">
        <f>IF(B948="","",SUM(C948:O948))</f>
        <v/>
      </c>
      <c r="Q948" s="5">
        <f>IF(B948="","",ROUND(P948/13,2))</f>
        <v/>
      </c>
      <c r="R948" s="5">
        <f>IF(B948="","",IF(AH948=1,0,MIN(5,ROUND((U948+V948+W948+X948+Y948+Z948+AA948+AB948+AC948+AD948+AE948+AF948+AG948)/13,2))))</f>
        <v/>
      </c>
      <c r="S948" s="3">
        <f>IF(B948="","",IF(R948&gt;=5,"A+",IF(R948&gt;=4,"A",IF(R948&gt;=3.5,"A-",IF(R948&gt;=3,"B",IF(R948&gt;=2,"C",IF(R948&gt;=1,"D","F")))))))</f>
        <v/>
      </c>
      <c r="T948" s="3">
        <f>IF(OR(B948="",S948="F"),"",COUNTIFS(P:P,"&gt;"&amp;P948,S:S,"&lt;&gt;F")+1)</f>
        <v/>
      </c>
      <c r="U948">
        <f>IF(B948="","",IF(C948&lt;33.0,0,IF(C948&gt;=100*0.8,5,IF(C948&gt;=100*0.7,4,IF(C948&gt;=100*0.6,3.5,IF(C948&gt;=100*0.5,3,IF(C948&gt;=100*0.4,2,IF(C948&gt;=100*0.33,1,0))))))))</f>
        <v/>
      </c>
      <c r="V948">
        <f>IF(B948="","",IF(D948&lt;33.0,0,IF(D948&gt;=100*0.8,5,IF(D948&gt;=100*0.7,4,IF(D948&gt;=100*0.6,3.5,IF(D948&gt;=100*0.5,3,IF(D948&gt;=100*0.4,2,IF(D948&gt;=100*0.33,1,0))))))))</f>
        <v/>
      </c>
      <c r="W948">
        <f>IF(B948="","",IF(E948&lt;16.5,0,IF(E948&gt;=50*0.8,5,IF(E948&gt;=50*0.7,4,IF(E948&gt;=50*0.6,3.5,IF(E948&gt;=50*0.5,3,IF(E948&gt;=50*0.4,2,IF(E948&gt;=50*0.33,1,0))))))))</f>
        <v/>
      </c>
      <c r="X948">
        <f>IF(B948="","",IF(F948&lt;33.0,0,IF(F948&gt;=100*0.8,5,IF(F948&gt;=100*0.7,4,IF(F948&gt;=100*0.6,3.5,IF(F948&gt;=100*0.5,3,IF(F948&gt;=100*0.4,2,IF(F948&gt;=100*0.33,1,0))))))))</f>
        <v/>
      </c>
      <c r="Y948">
        <f>IF(B948="","",IF(G948&lt;16.5,0,IF(G948&gt;=50*0.8,5,IF(G948&gt;=50*0.7,4,IF(G948&gt;=50*0.6,3.5,IF(G948&gt;=50*0.5,3,IF(G948&gt;=50*0.4,2,IF(G948&gt;=50*0.33,1,0))))))))</f>
        <v/>
      </c>
      <c r="Z948">
        <f>IF(B948="","",IF(H948&lt;33.0,0,IF(H948&gt;=100*0.8,5,IF(H948&gt;=100*0.7,4,IF(H948&gt;=100*0.6,3.5,IF(H948&gt;=100*0.5,3,IF(H948&gt;=100*0.4,2,IF(H948&gt;=100*0.33,1,0))))))))</f>
        <v/>
      </c>
      <c r="AA948">
        <f>IF(B948="","",IF(I948&lt;33.0,0,IF(I948&gt;=100*0.8,5,IF(I948&gt;=100*0.7,4,IF(I948&gt;=100*0.6,3.5,IF(I948&gt;=100*0.5,3,IF(I948&gt;=100*0.4,2,IF(I948&gt;=100*0.33,1,0))))))))</f>
        <v/>
      </c>
      <c r="AB948">
        <f>IF(B948="","",IF(J948&lt;33.0,0,IF(J948&gt;=100*0.8,5,IF(J948&gt;=100*0.7,4,IF(J948&gt;=100*0.6,3.5,IF(J948&gt;=100*0.5,3,IF(J948&gt;=100*0.4,2,IF(J948&gt;=100*0.33,1,0))))))))</f>
        <v/>
      </c>
      <c r="AC948">
        <f>IF(B948="","",IF(K948&lt;33.0,0,IF(K948&gt;=100*0.8,5,IF(K948&gt;=100*0.7,4,IF(K948&gt;=100*0.6,3.5,IF(K948&gt;=100*0.5,3,IF(K948&gt;=100*0.4,2,IF(K948&gt;=100*0.33,1,0))))))))</f>
        <v/>
      </c>
      <c r="AD948">
        <f>IF(B948="","",IF(L948&lt;33.0,0,IF(L948&gt;=100*0.8,5,IF(L948&gt;=100*0.7,4,IF(L948&gt;=100*0.6,3.5,IF(L948&gt;=100*0.5,3,IF(L948&gt;=100*0.4,2,IF(L948&gt;=100*0.33,1,0))))))))</f>
        <v/>
      </c>
      <c r="AE948">
        <f>IF(B948="","",IF(M948&lt;33.0,0,IF(M948&gt;=100*0.8,5,IF(M948&gt;=100*0.7,4,IF(M948&gt;=100*0.6,3.5,IF(M948&gt;=100*0.5,3,IF(M948&gt;=100*0.4,2,IF(M948&gt;=100*0.33,1,0))))))))</f>
        <v/>
      </c>
      <c r="AF948">
        <f>IF(B948="","",IF(N948&lt;16.5,0,IF(N948&gt;=50*0.8,5,IF(N948&gt;=50*0.7,4,IF(N948&gt;=50*0.6,3.5,IF(N948&gt;=50*0.5,3,IF(N948&gt;=50*0.4,2,IF(N948&gt;=50*0.33,1,0))))))))</f>
        <v/>
      </c>
      <c r="AG948">
        <f>IF(B948="","",IF(O948&lt;33.0,0,IF(O948&gt;=100*0.8,5,IF(O948&gt;=100*0.7,4,IF(O948&gt;=100*0.6,3.5,IF(O948&gt;=100*0.5,3,IF(O948&gt;=100*0.4,2,IF(O948&gt;=100*0.33,1,0))))))))</f>
        <v/>
      </c>
      <c r="AH948">
        <f>IF(B948="","",IF(OR(U948=0,V948=0,W948=0,X948=0,Y948=0,Z948=0,AA948=0,AB948=0,AC948=0,AD948=0,AE948=0,AF948=0,AG948=0),1,0))</f>
        <v/>
      </c>
    </row>
    <row r="949">
      <c r="A949" s="3">
        <f>IF(B949="","",ROW()-2)</f>
        <v/>
      </c>
      <c r="P949" s="4">
        <f>IF(B949="","",SUM(C949:O949))</f>
        <v/>
      </c>
      <c r="Q949" s="5">
        <f>IF(B949="","",ROUND(P949/13,2))</f>
        <v/>
      </c>
      <c r="R949" s="5">
        <f>IF(B949="","",IF(AH949=1,0,MIN(5,ROUND((U949+V949+W949+X949+Y949+Z949+AA949+AB949+AC949+AD949+AE949+AF949+AG949)/13,2))))</f>
        <v/>
      </c>
      <c r="S949" s="3">
        <f>IF(B949="","",IF(R949&gt;=5,"A+",IF(R949&gt;=4,"A",IF(R949&gt;=3.5,"A-",IF(R949&gt;=3,"B",IF(R949&gt;=2,"C",IF(R949&gt;=1,"D","F")))))))</f>
        <v/>
      </c>
      <c r="T949" s="3">
        <f>IF(OR(B949="",S949="F"),"",COUNTIFS(P:P,"&gt;"&amp;P949,S:S,"&lt;&gt;F")+1)</f>
        <v/>
      </c>
      <c r="U949">
        <f>IF(B949="","",IF(C949&lt;33.0,0,IF(C949&gt;=100*0.8,5,IF(C949&gt;=100*0.7,4,IF(C949&gt;=100*0.6,3.5,IF(C949&gt;=100*0.5,3,IF(C949&gt;=100*0.4,2,IF(C949&gt;=100*0.33,1,0))))))))</f>
        <v/>
      </c>
      <c r="V949">
        <f>IF(B949="","",IF(D949&lt;33.0,0,IF(D949&gt;=100*0.8,5,IF(D949&gt;=100*0.7,4,IF(D949&gt;=100*0.6,3.5,IF(D949&gt;=100*0.5,3,IF(D949&gt;=100*0.4,2,IF(D949&gt;=100*0.33,1,0))))))))</f>
        <v/>
      </c>
      <c r="W949">
        <f>IF(B949="","",IF(E949&lt;16.5,0,IF(E949&gt;=50*0.8,5,IF(E949&gt;=50*0.7,4,IF(E949&gt;=50*0.6,3.5,IF(E949&gt;=50*0.5,3,IF(E949&gt;=50*0.4,2,IF(E949&gt;=50*0.33,1,0))))))))</f>
        <v/>
      </c>
      <c r="X949">
        <f>IF(B949="","",IF(F949&lt;33.0,0,IF(F949&gt;=100*0.8,5,IF(F949&gt;=100*0.7,4,IF(F949&gt;=100*0.6,3.5,IF(F949&gt;=100*0.5,3,IF(F949&gt;=100*0.4,2,IF(F949&gt;=100*0.33,1,0))))))))</f>
        <v/>
      </c>
      <c r="Y949">
        <f>IF(B949="","",IF(G949&lt;16.5,0,IF(G949&gt;=50*0.8,5,IF(G949&gt;=50*0.7,4,IF(G949&gt;=50*0.6,3.5,IF(G949&gt;=50*0.5,3,IF(G949&gt;=50*0.4,2,IF(G949&gt;=50*0.33,1,0))))))))</f>
        <v/>
      </c>
      <c r="Z949">
        <f>IF(B949="","",IF(H949&lt;33.0,0,IF(H949&gt;=100*0.8,5,IF(H949&gt;=100*0.7,4,IF(H949&gt;=100*0.6,3.5,IF(H949&gt;=100*0.5,3,IF(H949&gt;=100*0.4,2,IF(H949&gt;=100*0.33,1,0))))))))</f>
        <v/>
      </c>
      <c r="AA949">
        <f>IF(B949="","",IF(I949&lt;33.0,0,IF(I949&gt;=100*0.8,5,IF(I949&gt;=100*0.7,4,IF(I949&gt;=100*0.6,3.5,IF(I949&gt;=100*0.5,3,IF(I949&gt;=100*0.4,2,IF(I949&gt;=100*0.33,1,0))))))))</f>
        <v/>
      </c>
      <c r="AB949">
        <f>IF(B949="","",IF(J949&lt;33.0,0,IF(J949&gt;=100*0.8,5,IF(J949&gt;=100*0.7,4,IF(J949&gt;=100*0.6,3.5,IF(J949&gt;=100*0.5,3,IF(J949&gt;=100*0.4,2,IF(J949&gt;=100*0.33,1,0))))))))</f>
        <v/>
      </c>
      <c r="AC949">
        <f>IF(B949="","",IF(K949&lt;33.0,0,IF(K949&gt;=100*0.8,5,IF(K949&gt;=100*0.7,4,IF(K949&gt;=100*0.6,3.5,IF(K949&gt;=100*0.5,3,IF(K949&gt;=100*0.4,2,IF(K949&gt;=100*0.33,1,0))))))))</f>
        <v/>
      </c>
      <c r="AD949">
        <f>IF(B949="","",IF(L949&lt;33.0,0,IF(L949&gt;=100*0.8,5,IF(L949&gt;=100*0.7,4,IF(L949&gt;=100*0.6,3.5,IF(L949&gt;=100*0.5,3,IF(L949&gt;=100*0.4,2,IF(L949&gt;=100*0.33,1,0))))))))</f>
        <v/>
      </c>
      <c r="AE949">
        <f>IF(B949="","",IF(M949&lt;33.0,0,IF(M949&gt;=100*0.8,5,IF(M949&gt;=100*0.7,4,IF(M949&gt;=100*0.6,3.5,IF(M949&gt;=100*0.5,3,IF(M949&gt;=100*0.4,2,IF(M949&gt;=100*0.33,1,0))))))))</f>
        <v/>
      </c>
      <c r="AF949">
        <f>IF(B949="","",IF(N949&lt;16.5,0,IF(N949&gt;=50*0.8,5,IF(N949&gt;=50*0.7,4,IF(N949&gt;=50*0.6,3.5,IF(N949&gt;=50*0.5,3,IF(N949&gt;=50*0.4,2,IF(N949&gt;=50*0.33,1,0))))))))</f>
        <v/>
      </c>
      <c r="AG949">
        <f>IF(B949="","",IF(O949&lt;33.0,0,IF(O949&gt;=100*0.8,5,IF(O949&gt;=100*0.7,4,IF(O949&gt;=100*0.6,3.5,IF(O949&gt;=100*0.5,3,IF(O949&gt;=100*0.4,2,IF(O949&gt;=100*0.33,1,0))))))))</f>
        <v/>
      </c>
      <c r="AH949">
        <f>IF(B949="","",IF(OR(U949=0,V949=0,W949=0,X949=0,Y949=0,Z949=0,AA949=0,AB949=0,AC949=0,AD949=0,AE949=0,AF949=0,AG949=0),1,0))</f>
        <v/>
      </c>
    </row>
    <row r="950">
      <c r="A950" s="3">
        <f>IF(B950="","",ROW()-2)</f>
        <v/>
      </c>
      <c r="P950" s="4">
        <f>IF(B950="","",SUM(C950:O950))</f>
        <v/>
      </c>
      <c r="Q950" s="5">
        <f>IF(B950="","",ROUND(P950/13,2))</f>
        <v/>
      </c>
      <c r="R950" s="5">
        <f>IF(B950="","",IF(AH950=1,0,MIN(5,ROUND((U950+V950+W950+X950+Y950+Z950+AA950+AB950+AC950+AD950+AE950+AF950+AG950)/13,2))))</f>
        <v/>
      </c>
      <c r="S950" s="3">
        <f>IF(B950="","",IF(R950&gt;=5,"A+",IF(R950&gt;=4,"A",IF(R950&gt;=3.5,"A-",IF(R950&gt;=3,"B",IF(R950&gt;=2,"C",IF(R950&gt;=1,"D","F")))))))</f>
        <v/>
      </c>
      <c r="T950" s="3">
        <f>IF(OR(B950="",S950="F"),"",COUNTIFS(P:P,"&gt;"&amp;P950,S:S,"&lt;&gt;F")+1)</f>
        <v/>
      </c>
      <c r="U950">
        <f>IF(B950="","",IF(C950&lt;33.0,0,IF(C950&gt;=100*0.8,5,IF(C950&gt;=100*0.7,4,IF(C950&gt;=100*0.6,3.5,IF(C950&gt;=100*0.5,3,IF(C950&gt;=100*0.4,2,IF(C950&gt;=100*0.33,1,0))))))))</f>
        <v/>
      </c>
      <c r="V950">
        <f>IF(B950="","",IF(D950&lt;33.0,0,IF(D950&gt;=100*0.8,5,IF(D950&gt;=100*0.7,4,IF(D950&gt;=100*0.6,3.5,IF(D950&gt;=100*0.5,3,IF(D950&gt;=100*0.4,2,IF(D950&gt;=100*0.33,1,0))))))))</f>
        <v/>
      </c>
      <c r="W950">
        <f>IF(B950="","",IF(E950&lt;16.5,0,IF(E950&gt;=50*0.8,5,IF(E950&gt;=50*0.7,4,IF(E950&gt;=50*0.6,3.5,IF(E950&gt;=50*0.5,3,IF(E950&gt;=50*0.4,2,IF(E950&gt;=50*0.33,1,0))))))))</f>
        <v/>
      </c>
      <c r="X950">
        <f>IF(B950="","",IF(F950&lt;33.0,0,IF(F950&gt;=100*0.8,5,IF(F950&gt;=100*0.7,4,IF(F950&gt;=100*0.6,3.5,IF(F950&gt;=100*0.5,3,IF(F950&gt;=100*0.4,2,IF(F950&gt;=100*0.33,1,0))))))))</f>
        <v/>
      </c>
      <c r="Y950">
        <f>IF(B950="","",IF(G950&lt;16.5,0,IF(G950&gt;=50*0.8,5,IF(G950&gt;=50*0.7,4,IF(G950&gt;=50*0.6,3.5,IF(G950&gt;=50*0.5,3,IF(G950&gt;=50*0.4,2,IF(G950&gt;=50*0.33,1,0))))))))</f>
        <v/>
      </c>
      <c r="Z950">
        <f>IF(B950="","",IF(H950&lt;33.0,0,IF(H950&gt;=100*0.8,5,IF(H950&gt;=100*0.7,4,IF(H950&gt;=100*0.6,3.5,IF(H950&gt;=100*0.5,3,IF(H950&gt;=100*0.4,2,IF(H950&gt;=100*0.33,1,0))))))))</f>
        <v/>
      </c>
      <c r="AA950">
        <f>IF(B950="","",IF(I950&lt;33.0,0,IF(I950&gt;=100*0.8,5,IF(I950&gt;=100*0.7,4,IF(I950&gt;=100*0.6,3.5,IF(I950&gt;=100*0.5,3,IF(I950&gt;=100*0.4,2,IF(I950&gt;=100*0.33,1,0))))))))</f>
        <v/>
      </c>
      <c r="AB950">
        <f>IF(B950="","",IF(J950&lt;33.0,0,IF(J950&gt;=100*0.8,5,IF(J950&gt;=100*0.7,4,IF(J950&gt;=100*0.6,3.5,IF(J950&gt;=100*0.5,3,IF(J950&gt;=100*0.4,2,IF(J950&gt;=100*0.33,1,0))))))))</f>
        <v/>
      </c>
      <c r="AC950">
        <f>IF(B950="","",IF(K950&lt;33.0,0,IF(K950&gt;=100*0.8,5,IF(K950&gt;=100*0.7,4,IF(K950&gt;=100*0.6,3.5,IF(K950&gt;=100*0.5,3,IF(K950&gt;=100*0.4,2,IF(K950&gt;=100*0.33,1,0))))))))</f>
        <v/>
      </c>
      <c r="AD950">
        <f>IF(B950="","",IF(L950&lt;33.0,0,IF(L950&gt;=100*0.8,5,IF(L950&gt;=100*0.7,4,IF(L950&gt;=100*0.6,3.5,IF(L950&gt;=100*0.5,3,IF(L950&gt;=100*0.4,2,IF(L950&gt;=100*0.33,1,0))))))))</f>
        <v/>
      </c>
      <c r="AE950">
        <f>IF(B950="","",IF(M950&lt;33.0,0,IF(M950&gt;=100*0.8,5,IF(M950&gt;=100*0.7,4,IF(M950&gt;=100*0.6,3.5,IF(M950&gt;=100*0.5,3,IF(M950&gt;=100*0.4,2,IF(M950&gt;=100*0.33,1,0))))))))</f>
        <v/>
      </c>
      <c r="AF950">
        <f>IF(B950="","",IF(N950&lt;16.5,0,IF(N950&gt;=50*0.8,5,IF(N950&gt;=50*0.7,4,IF(N950&gt;=50*0.6,3.5,IF(N950&gt;=50*0.5,3,IF(N950&gt;=50*0.4,2,IF(N950&gt;=50*0.33,1,0))))))))</f>
        <v/>
      </c>
      <c r="AG950">
        <f>IF(B950="","",IF(O950&lt;33.0,0,IF(O950&gt;=100*0.8,5,IF(O950&gt;=100*0.7,4,IF(O950&gt;=100*0.6,3.5,IF(O950&gt;=100*0.5,3,IF(O950&gt;=100*0.4,2,IF(O950&gt;=100*0.33,1,0))))))))</f>
        <v/>
      </c>
      <c r="AH950">
        <f>IF(B950="","",IF(OR(U950=0,V950=0,W950=0,X950=0,Y950=0,Z950=0,AA950=0,AB950=0,AC950=0,AD950=0,AE950=0,AF950=0,AG950=0),1,0))</f>
        <v/>
      </c>
    </row>
    <row r="951">
      <c r="A951" s="3">
        <f>IF(B951="","",ROW()-2)</f>
        <v/>
      </c>
      <c r="P951" s="4">
        <f>IF(B951="","",SUM(C951:O951))</f>
        <v/>
      </c>
      <c r="Q951" s="5">
        <f>IF(B951="","",ROUND(P951/13,2))</f>
        <v/>
      </c>
      <c r="R951" s="5">
        <f>IF(B951="","",IF(AH951=1,0,MIN(5,ROUND((U951+V951+W951+X951+Y951+Z951+AA951+AB951+AC951+AD951+AE951+AF951+AG951)/13,2))))</f>
        <v/>
      </c>
      <c r="S951" s="3">
        <f>IF(B951="","",IF(R951&gt;=5,"A+",IF(R951&gt;=4,"A",IF(R951&gt;=3.5,"A-",IF(R951&gt;=3,"B",IF(R951&gt;=2,"C",IF(R951&gt;=1,"D","F")))))))</f>
        <v/>
      </c>
      <c r="T951" s="3">
        <f>IF(OR(B951="",S951="F"),"",COUNTIFS(P:P,"&gt;"&amp;P951,S:S,"&lt;&gt;F")+1)</f>
        <v/>
      </c>
      <c r="U951">
        <f>IF(B951="","",IF(C951&lt;33.0,0,IF(C951&gt;=100*0.8,5,IF(C951&gt;=100*0.7,4,IF(C951&gt;=100*0.6,3.5,IF(C951&gt;=100*0.5,3,IF(C951&gt;=100*0.4,2,IF(C951&gt;=100*0.33,1,0))))))))</f>
        <v/>
      </c>
      <c r="V951">
        <f>IF(B951="","",IF(D951&lt;33.0,0,IF(D951&gt;=100*0.8,5,IF(D951&gt;=100*0.7,4,IF(D951&gt;=100*0.6,3.5,IF(D951&gt;=100*0.5,3,IF(D951&gt;=100*0.4,2,IF(D951&gt;=100*0.33,1,0))))))))</f>
        <v/>
      </c>
      <c r="W951">
        <f>IF(B951="","",IF(E951&lt;16.5,0,IF(E951&gt;=50*0.8,5,IF(E951&gt;=50*0.7,4,IF(E951&gt;=50*0.6,3.5,IF(E951&gt;=50*0.5,3,IF(E951&gt;=50*0.4,2,IF(E951&gt;=50*0.33,1,0))))))))</f>
        <v/>
      </c>
      <c r="X951">
        <f>IF(B951="","",IF(F951&lt;33.0,0,IF(F951&gt;=100*0.8,5,IF(F951&gt;=100*0.7,4,IF(F951&gt;=100*0.6,3.5,IF(F951&gt;=100*0.5,3,IF(F951&gt;=100*0.4,2,IF(F951&gt;=100*0.33,1,0))))))))</f>
        <v/>
      </c>
      <c r="Y951">
        <f>IF(B951="","",IF(G951&lt;16.5,0,IF(G951&gt;=50*0.8,5,IF(G951&gt;=50*0.7,4,IF(G951&gt;=50*0.6,3.5,IF(G951&gt;=50*0.5,3,IF(G951&gt;=50*0.4,2,IF(G951&gt;=50*0.33,1,0))))))))</f>
        <v/>
      </c>
      <c r="Z951">
        <f>IF(B951="","",IF(H951&lt;33.0,0,IF(H951&gt;=100*0.8,5,IF(H951&gt;=100*0.7,4,IF(H951&gt;=100*0.6,3.5,IF(H951&gt;=100*0.5,3,IF(H951&gt;=100*0.4,2,IF(H951&gt;=100*0.33,1,0))))))))</f>
        <v/>
      </c>
      <c r="AA951">
        <f>IF(B951="","",IF(I951&lt;33.0,0,IF(I951&gt;=100*0.8,5,IF(I951&gt;=100*0.7,4,IF(I951&gt;=100*0.6,3.5,IF(I951&gt;=100*0.5,3,IF(I951&gt;=100*0.4,2,IF(I951&gt;=100*0.33,1,0))))))))</f>
        <v/>
      </c>
      <c r="AB951">
        <f>IF(B951="","",IF(J951&lt;33.0,0,IF(J951&gt;=100*0.8,5,IF(J951&gt;=100*0.7,4,IF(J951&gt;=100*0.6,3.5,IF(J951&gt;=100*0.5,3,IF(J951&gt;=100*0.4,2,IF(J951&gt;=100*0.33,1,0))))))))</f>
        <v/>
      </c>
      <c r="AC951">
        <f>IF(B951="","",IF(K951&lt;33.0,0,IF(K951&gt;=100*0.8,5,IF(K951&gt;=100*0.7,4,IF(K951&gt;=100*0.6,3.5,IF(K951&gt;=100*0.5,3,IF(K951&gt;=100*0.4,2,IF(K951&gt;=100*0.33,1,0))))))))</f>
        <v/>
      </c>
      <c r="AD951">
        <f>IF(B951="","",IF(L951&lt;33.0,0,IF(L951&gt;=100*0.8,5,IF(L951&gt;=100*0.7,4,IF(L951&gt;=100*0.6,3.5,IF(L951&gt;=100*0.5,3,IF(L951&gt;=100*0.4,2,IF(L951&gt;=100*0.33,1,0))))))))</f>
        <v/>
      </c>
      <c r="AE951">
        <f>IF(B951="","",IF(M951&lt;33.0,0,IF(M951&gt;=100*0.8,5,IF(M951&gt;=100*0.7,4,IF(M951&gt;=100*0.6,3.5,IF(M951&gt;=100*0.5,3,IF(M951&gt;=100*0.4,2,IF(M951&gt;=100*0.33,1,0))))))))</f>
        <v/>
      </c>
      <c r="AF951">
        <f>IF(B951="","",IF(N951&lt;16.5,0,IF(N951&gt;=50*0.8,5,IF(N951&gt;=50*0.7,4,IF(N951&gt;=50*0.6,3.5,IF(N951&gt;=50*0.5,3,IF(N951&gt;=50*0.4,2,IF(N951&gt;=50*0.33,1,0))))))))</f>
        <v/>
      </c>
      <c r="AG951">
        <f>IF(B951="","",IF(O951&lt;33.0,0,IF(O951&gt;=100*0.8,5,IF(O951&gt;=100*0.7,4,IF(O951&gt;=100*0.6,3.5,IF(O951&gt;=100*0.5,3,IF(O951&gt;=100*0.4,2,IF(O951&gt;=100*0.33,1,0))))))))</f>
        <v/>
      </c>
      <c r="AH951">
        <f>IF(B951="","",IF(OR(U951=0,V951=0,W951=0,X951=0,Y951=0,Z951=0,AA951=0,AB951=0,AC951=0,AD951=0,AE951=0,AF951=0,AG951=0),1,0))</f>
        <v/>
      </c>
    </row>
    <row r="952">
      <c r="A952" s="3">
        <f>IF(B952="","",ROW()-2)</f>
        <v/>
      </c>
      <c r="P952" s="4">
        <f>IF(B952="","",SUM(C952:O952))</f>
        <v/>
      </c>
      <c r="Q952" s="5">
        <f>IF(B952="","",ROUND(P952/13,2))</f>
        <v/>
      </c>
      <c r="R952" s="5">
        <f>IF(B952="","",IF(AH952=1,0,MIN(5,ROUND((U952+V952+W952+X952+Y952+Z952+AA952+AB952+AC952+AD952+AE952+AF952+AG952)/13,2))))</f>
        <v/>
      </c>
      <c r="S952" s="3">
        <f>IF(B952="","",IF(R952&gt;=5,"A+",IF(R952&gt;=4,"A",IF(R952&gt;=3.5,"A-",IF(R952&gt;=3,"B",IF(R952&gt;=2,"C",IF(R952&gt;=1,"D","F")))))))</f>
        <v/>
      </c>
      <c r="T952" s="3">
        <f>IF(OR(B952="",S952="F"),"",COUNTIFS(P:P,"&gt;"&amp;P952,S:S,"&lt;&gt;F")+1)</f>
        <v/>
      </c>
      <c r="U952">
        <f>IF(B952="","",IF(C952&lt;33.0,0,IF(C952&gt;=100*0.8,5,IF(C952&gt;=100*0.7,4,IF(C952&gt;=100*0.6,3.5,IF(C952&gt;=100*0.5,3,IF(C952&gt;=100*0.4,2,IF(C952&gt;=100*0.33,1,0))))))))</f>
        <v/>
      </c>
      <c r="V952">
        <f>IF(B952="","",IF(D952&lt;33.0,0,IF(D952&gt;=100*0.8,5,IF(D952&gt;=100*0.7,4,IF(D952&gt;=100*0.6,3.5,IF(D952&gt;=100*0.5,3,IF(D952&gt;=100*0.4,2,IF(D952&gt;=100*0.33,1,0))))))))</f>
        <v/>
      </c>
      <c r="W952">
        <f>IF(B952="","",IF(E952&lt;16.5,0,IF(E952&gt;=50*0.8,5,IF(E952&gt;=50*0.7,4,IF(E952&gt;=50*0.6,3.5,IF(E952&gt;=50*0.5,3,IF(E952&gt;=50*0.4,2,IF(E952&gt;=50*0.33,1,0))))))))</f>
        <v/>
      </c>
      <c r="X952">
        <f>IF(B952="","",IF(F952&lt;33.0,0,IF(F952&gt;=100*0.8,5,IF(F952&gt;=100*0.7,4,IF(F952&gt;=100*0.6,3.5,IF(F952&gt;=100*0.5,3,IF(F952&gt;=100*0.4,2,IF(F952&gt;=100*0.33,1,0))))))))</f>
        <v/>
      </c>
      <c r="Y952">
        <f>IF(B952="","",IF(G952&lt;16.5,0,IF(G952&gt;=50*0.8,5,IF(G952&gt;=50*0.7,4,IF(G952&gt;=50*0.6,3.5,IF(G952&gt;=50*0.5,3,IF(G952&gt;=50*0.4,2,IF(G952&gt;=50*0.33,1,0))))))))</f>
        <v/>
      </c>
      <c r="Z952">
        <f>IF(B952="","",IF(H952&lt;33.0,0,IF(H952&gt;=100*0.8,5,IF(H952&gt;=100*0.7,4,IF(H952&gt;=100*0.6,3.5,IF(H952&gt;=100*0.5,3,IF(H952&gt;=100*0.4,2,IF(H952&gt;=100*0.33,1,0))))))))</f>
        <v/>
      </c>
      <c r="AA952">
        <f>IF(B952="","",IF(I952&lt;33.0,0,IF(I952&gt;=100*0.8,5,IF(I952&gt;=100*0.7,4,IF(I952&gt;=100*0.6,3.5,IF(I952&gt;=100*0.5,3,IF(I952&gt;=100*0.4,2,IF(I952&gt;=100*0.33,1,0))))))))</f>
        <v/>
      </c>
      <c r="AB952">
        <f>IF(B952="","",IF(J952&lt;33.0,0,IF(J952&gt;=100*0.8,5,IF(J952&gt;=100*0.7,4,IF(J952&gt;=100*0.6,3.5,IF(J952&gt;=100*0.5,3,IF(J952&gt;=100*0.4,2,IF(J952&gt;=100*0.33,1,0))))))))</f>
        <v/>
      </c>
      <c r="AC952">
        <f>IF(B952="","",IF(K952&lt;33.0,0,IF(K952&gt;=100*0.8,5,IF(K952&gt;=100*0.7,4,IF(K952&gt;=100*0.6,3.5,IF(K952&gt;=100*0.5,3,IF(K952&gt;=100*0.4,2,IF(K952&gt;=100*0.33,1,0))))))))</f>
        <v/>
      </c>
      <c r="AD952">
        <f>IF(B952="","",IF(L952&lt;33.0,0,IF(L952&gt;=100*0.8,5,IF(L952&gt;=100*0.7,4,IF(L952&gt;=100*0.6,3.5,IF(L952&gt;=100*0.5,3,IF(L952&gt;=100*0.4,2,IF(L952&gt;=100*0.33,1,0))))))))</f>
        <v/>
      </c>
      <c r="AE952">
        <f>IF(B952="","",IF(M952&lt;33.0,0,IF(M952&gt;=100*0.8,5,IF(M952&gt;=100*0.7,4,IF(M952&gt;=100*0.6,3.5,IF(M952&gt;=100*0.5,3,IF(M952&gt;=100*0.4,2,IF(M952&gt;=100*0.33,1,0))))))))</f>
        <v/>
      </c>
      <c r="AF952">
        <f>IF(B952="","",IF(N952&lt;16.5,0,IF(N952&gt;=50*0.8,5,IF(N952&gt;=50*0.7,4,IF(N952&gt;=50*0.6,3.5,IF(N952&gt;=50*0.5,3,IF(N952&gt;=50*0.4,2,IF(N952&gt;=50*0.33,1,0))))))))</f>
        <v/>
      </c>
      <c r="AG952">
        <f>IF(B952="","",IF(O952&lt;33.0,0,IF(O952&gt;=100*0.8,5,IF(O952&gt;=100*0.7,4,IF(O952&gt;=100*0.6,3.5,IF(O952&gt;=100*0.5,3,IF(O952&gt;=100*0.4,2,IF(O952&gt;=100*0.33,1,0))))))))</f>
        <v/>
      </c>
      <c r="AH952">
        <f>IF(B952="","",IF(OR(U952=0,V952=0,W952=0,X952=0,Y952=0,Z952=0,AA952=0,AB952=0,AC952=0,AD952=0,AE952=0,AF952=0,AG952=0),1,0))</f>
        <v/>
      </c>
    </row>
    <row r="953">
      <c r="A953" s="3">
        <f>IF(B953="","",ROW()-2)</f>
        <v/>
      </c>
      <c r="P953" s="4">
        <f>IF(B953="","",SUM(C953:O953))</f>
        <v/>
      </c>
      <c r="Q953" s="5">
        <f>IF(B953="","",ROUND(P953/13,2))</f>
        <v/>
      </c>
      <c r="R953" s="5">
        <f>IF(B953="","",IF(AH953=1,0,MIN(5,ROUND((U953+V953+W953+X953+Y953+Z953+AA953+AB953+AC953+AD953+AE953+AF953+AG953)/13,2))))</f>
        <v/>
      </c>
      <c r="S953" s="3">
        <f>IF(B953="","",IF(R953&gt;=5,"A+",IF(R953&gt;=4,"A",IF(R953&gt;=3.5,"A-",IF(R953&gt;=3,"B",IF(R953&gt;=2,"C",IF(R953&gt;=1,"D","F")))))))</f>
        <v/>
      </c>
      <c r="T953" s="3">
        <f>IF(OR(B953="",S953="F"),"",COUNTIFS(P:P,"&gt;"&amp;P953,S:S,"&lt;&gt;F")+1)</f>
        <v/>
      </c>
      <c r="U953">
        <f>IF(B953="","",IF(C953&lt;33.0,0,IF(C953&gt;=100*0.8,5,IF(C953&gt;=100*0.7,4,IF(C953&gt;=100*0.6,3.5,IF(C953&gt;=100*0.5,3,IF(C953&gt;=100*0.4,2,IF(C953&gt;=100*0.33,1,0))))))))</f>
        <v/>
      </c>
      <c r="V953">
        <f>IF(B953="","",IF(D953&lt;33.0,0,IF(D953&gt;=100*0.8,5,IF(D953&gt;=100*0.7,4,IF(D953&gt;=100*0.6,3.5,IF(D953&gt;=100*0.5,3,IF(D953&gt;=100*0.4,2,IF(D953&gt;=100*0.33,1,0))))))))</f>
        <v/>
      </c>
      <c r="W953">
        <f>IF(B953="","",IF(E953&lt;16.5,0,IF(E953&gt;=50*0.8,5,IF(E953&gt;=50*0.7,4,IF(E953&gt;=50*0.6,3.5,IF(E953&gt;=50*0.5,3,IF(E953&gt;=50*0.4,2,IF(E953&gt;=50*0.33,1,0))))))))</f>
        <v/>
      </c>
      <c r="X953">
        <f>IF(B953="","",IF(F953&lt;33.0,0,IF(F953&gt;=100*0.8,5,IF(F953&gt;=100*0.7,4,IF(F953&gt;=100*0.6,3.5,IF(F953&gt;=100*0.5,3,IF(F953&gt;=100*0.4,2,IF(F953&gt;=100*0.33,1,0))))))))</f>
        <v/>
      </c>
      <c r="Y953">
        <f>IF(B953="","",IF(G953&lt;16.5,0,IF(G953&gt;=50*0.8,5,IF(G953&gt;=50*0.7,4,IF(G953&gt;=50*0.6,3.5,IF(G953&gt;=50*0.5,3,IF(G953&gt;=50*0.4,2,IF(G953&gt;=50*0.33,1,0))))))))</f>
        <v/>
      </c>
      <c r="Z953">
        <f>IF(B953="","",IF(H953&lt;33.0,0,IF(H953&gt;=100*0.8,5,IF(H953&gt;=100*0.7,4,IF(H953&gt;=100*0.6,3.5,IF(H953&gt;=100*0.5,3,IF(H953&gt;=100*0.4,2,IF(H953&gt;=100*0.33,1,0))))))))</f>
        <v/>
      </c>
      <c r="AA953">
        <f>IF(B953="","",IF(I953&lt;33.0,0,IF(I953&gt;=100*0.8,5,IF(I953&gt;=100*0.7,4,IF(I953&gt;=100*0.6,3.5,IF(I953&gt;=100*0.5,3,IF(I953&gt;=100*0.4,2,IF(I953&gt;=100*0.33,1,0))))))))</f>
        <v/>
      </c>
      <c r="AB953">
        <f>IF(B953="","",IF(J953&lt;33.0,0,IF(J953&gt;=100*0.8,5,IF(J953&gt;=100*0.7,4,IF(J953&gt;=100*0.6,3.5,IF(J953&gt;=100*0.5,3,IF(J953&gt;=100*0.4,2,IF(J953&gt;=100*0.33,1,0))))))))</f>
        <v/>
      </c>
      <c r="AC953">
        <f>IF(B953="","",IF(K953&lt;33.0,0,IF(K953&gt;=100*0.8,5,IF(K953&gt;=100*0.7,4,IF(K953&gt;=100*0.6,3.5,IF(K953&gt;=100*0.5,3,IF(K953&gt;=100*0.4,2,IF(K953&gt;=100*0.33,1,0))))))))</f>
        <v/>
      </c>
      <c r="AD953">
        <f>IF(B953="","",IF(L953&lt;33.0,0,IF(L953&gt;=100*0.8,5,IF(L953&gt;=100*0.7,4,IF(L953&gt;=100*0.6,3.5,IF(L953&gt;=100*0.5,3,IF(L953&gt;=100*0.4,2,IF(L953&gt;=100*0.33,1,0))))))))</f>
        <v/>
      </c>
      <c r="AE953">
        <f>IF(B953="","",IF(M953&lt;33.0,0,IF(M953&gt;=100*0.8,5,IF(M953&gt;=100*0.7,4,IF(M953&gt;=100*0.6,3.5,IF(M953&gt;=100*0.5,3,IF(M953&gt;=100*0.4,2,IF(M953&gt;=100*0.33,1,0))))))))</f>
        <v/>
      </c>
      <c r="AF953">
        <f>IF(B953="","",IF(N953&lt;16.5,0,IF(N953&gt;=50*0.8,5,IF(N953&gt;=50*0.7,4,IF(N953&gt;=50*0.6,3.5,IF(N953&gt;=50*0.5,3,IF(N953&gt;=50*0.4,2,IF(N953&gt;=50*0.33,1,0))))))))</f>
        <v/>
      </c>
      <c r="AG953">
        <f>IF(B953="","",IF(O953&lt;33.0,0,IF(O953&gt;=100*0.8,5,IF(O953&gt;=100*0.7,4,IF(O953&gt;=100*0.6,3.5,IF(O953&gt;=100*0.5,3,IF(O953&gt;=100*0.4,2,IF(O953&gt;=100*0.33,1,0))))))))</f>
        <v/>
      </c>
      <c r="AH953">
        <f>IF(B953="","",IF(OR(U953=0,V953=0,W953=0,X953=0,Y953=0,Z953=0,AA953=0,AB953=0,AC953=0,AD953=0,AE953=0,AF953=0,AG953=0),1,0))</f>
        <v/>
      </c>
    </row>
    <row r="954">
      <c r="A954" s="3">
        <f>IF(B954="","",ROW()-2)</f>
        <v/>
      </c>
      <c r="P954" s="4">
        <f>IF(B954="","",SUM(C954:O954))</f>
        <v/>
      </c>
      <c r="Q954" s="5">
        <f>IF(B954="","",ROUND(P954/13,2))</f>
        <v/>
      </c>
      <c r="R954" s="5">
        <f>IF(B954="","",IF(AH954=1,0,MIN(5,ROUND((U954+V954+W954+X954+Y954+Z954+AA954+AB954+AC954+AD954+AE954+AF954+AG954)/13,2))))</f>
        <v/>
      </c>
      <c r="S954" s="3">
        <f>IF(B954="","",IF(R954&gt;=5,"A+",IF(R954&gt;=4,"A",IF(R954&gt;=3.5,"A-",IF(R954&gt;=3,"B",IF(R954&gt;=2,"C",IF(R954&gt;=1,"D","F")))))))</f>
        <v/>
      </c>
      <c r="T954" s="3">
        <f>IF(OR(B954="",S954="F"),"",COUNTIFS(P:P,"&gt;"&amp;P954,S:S,"&lt;&gt;F")+1)</f>
        <v/>
      </c>
      <c r="U954">
        <f>IF(B954="","",IF(C954&lt;33.0,0,IF(C954&gt;=100*0.8,5,IF(C954&gt;=100*0.7,4,IF(C954&gt;=100*0.6,3.5,IF(C954&gt;=100*0.5,3,IF(C954&gt;=100*0.4,2,IF(C954&gt;=100*0.33,1,0))))))))</f>
        <v/>
      </c>
      <c r="V954">
        <f>IF(B954="","",IF(D954&lt;33.0,0,IF(D954&gt;=100*0.8,5,IF(D954&gt;=100*0.7,4,IF(D954&gt;=100*0.6,3.5,IF(D954&gt;=100*0.5,3,IF(D954&gt;=100*0.4,2,IF(D954&gt;=100*0.33,1,0))))))))</f>
        <v/>
      </c>
      <c r="W954">
        <f>IF(B954="","",IF(E954&lt;16.5,0,IF(E954&gt;=50*0.8,5,IF(E954&gt;=50*0.7,4,IF(E954&gt;=50*0.6,3.5,IF(E954&gt;=50*0.5,3,IF(E954&gt;=50*0.4,2,IF(E954&gt;=50*0.33,1,0))))))))</f>
        <v/>
      </c>
      <c r="X954">
        <f>IF(B954="","",IF(F954&lt;33.0,0,IF(F954&gt;=100*0.8,5,IF(F954&gt;=100*0.7,4,IF(F954&gt;=100*0.6,3.5,IF(F954&gt;=100*0.5,3,IF(F954&gt;=100*0.4,2,IF(F954&gt;=100*0.33,1,0))))))))</f>
        <v/>
      </c>
      <c r="Y954">
        <f>IF(B954="","",IF(G954&lt;16.5,0,IF(G954&gt;=50*0.8,5,IF(G954&gt;=50*0.7,4,IF(G954&gt;=50*0.6,3.5,IF(G954&gt;=50*0.5,3,IF(G954&gt;=50*0.4,2,IF(G954&gt;=50*0.33,1,0))))))))</f>
        <v/>
      </c>
      <c r="Z954">
        <f>IF(B954="","",IF(H954&lt;33.0,0,IF(H954&gt;=100*0.8,5,IF(H954&gt;=100*0.7,4,IF(H954&gt;=100*0.6,3.5,IF(H954&gt;=100*0.5,3,IF(H954&gt;=100*0.4,2,IF(H954&gt;=100*0.33,1,0))))))))</f>
        <v/>
      </c>
      <c r="AA954">
        <f>IF(B954="","",IF(I954&lt;33.0,0,IF(I954&gt;=100*0.8,5,IF(I954&gt;=100*0.7,4,IF(I954&gt;=100*0.6,3.5,IF(I954&gt;=100*0.5,3,IF(I954&gt;=100*0.4,2,IF(I954&gt;=100*0.33,1,0))))))))</f>
        <v/>
      </c>
      <c r="AB954">
        <f>IF(B954="","",IF(J954&lt;33.0,0,IF(J954&gt;=100*0.8,5,IF(J954&gt;=100*0.7,4,IF(J954&gt;=100*0.6,3.5,IF(J954&gt;=100*0.5,3,IF(J954&gt;=100*0.4,2,IF(J954&gt;=100*0.33,1,0))))))))</f>
        <v/>
      </c>
      <c r="AC954">
        <f>IF(B954="","",IF(K954&lt;33.0,0,IF(K954&gt;=100*0.8,5,IF(K954&gt;=100*0.7,4,IF(K954&gt;=100*0.6,3.5,IF(K954&gt;=100*0.5,3,IF(K954&gt;=100*0.4,2,IF(K954&gt;=100*0.33,1,0))))))))</f>
        <v/>
      </c>
      <c r="AD954">
        <f>IF(B954="","",IF(L954&lt;33.0,0,IF(L954&gt;=100*0.8,5,IF(L954&gt;=100*0.7,4,IF(L954&gt;=100*0.6,3.5,IF(L954&gt;=100*0.5,3,IF(L954&gt;=100*0.4,2,IF(L954&gt;=100*0.33,1,0))))))))</f>
        <v/>
      </c>
      <c r="AE954">
        <f>IF(B954="","",IF(M954&lt;33.0,0,IF(M954&gt;=100*0.8,5,IF(M954&gt;=100*0.7,4,IF(M954&gt;=100*0.6,3.5,IF(M954&gt;=100*0.5,3,IF(M954&gt;=100*0.4,2,IF(M954&gt;=100*0.33,1,0))))))))</f>
        <v/>
      </c>
      <c r="AF954">
        <f>IF(B954="","",IF(N954&lt;16.5,0,IF(N954&gt;=50*0.8,5,IF(N954&gt;=50*0.7,4,IF(N954&gt;=50*0.6,3.5,IF(N954&gt;=50*0.5,3,IF(N954&gt;=50*0.4,2,IF(N954&gt;=50*0.33,1,0))))))))</f>
        <v/>
      </c>
      <c r="AG954">
        <f>IF(B954="","",IF(O954&lt;33.0,0,IF(O954&gt;=100*0.8,5,IF(O954&gt;=100*0.7,4,IF(O954&gt;=100*0.6,3.5,IF(O954&gt;=100*0.5,3,IF(O954&gt;=100*0.4,2,IF(O954&gt;=100*0.33,1,0))))))))</f>
        <v/>
      </c>
      <c r="AH954">
        <f>IF(B954="","",IF(OR(U954=0,V954=0,W954=0,X954=0,Y954=0,Z954=0,AA954=0,AB954=0,AC954=0,AD954=0,AE954=0,AF954=0,AG954=0),1,0))</f>
        <v/>
      </c>
    </row>
    <row r="955">
      <c r="A955" s="3">
        <f>IF(B955="","",ROW()-2)</f>
        <v/>
      </c>
      <c r="P955" s="4">
        <f>IF(B955="","",SUM(C955:O955))</f>
        <v/>
      </c>
      <c r="Q955" s="5">
        <f>IF(B955="","",ROUND(P955/13,2))</f>
        <v/>
      </c>
      <c r="R955" s="5">
        <f>IF(B955="","",IF(AH955=1,0,MIN(5,ROUND((U955+V955+W955+X955+Y955+Z955+AA955+AB955+AC955+AD955+AE955+AF955+AG955)/13,2))))</f>
        <v/>
      </c>
      <c r="S955" s="3">
        <f>IF(B955="","",IF(R955&gt;=5,"A+",IF(R955&gt;=4,"A",IF(R955&gt;=3.5,"A-",IF(R955&gt;=3,"B",IF(R955&gt;=2,"C",IF(R955&gt;=1,"D","F")))))))</f>
        <v/>
      </c>
      <c r="T955" s="3">
        <f>IF(OR(B955="",S955="F"),"",COUNTIFS(P:P,"&gt;"&amp;P955,S:S,"&lt;&gt;F")+1)</f>
        <v/>
      </c>
      <c r="U955">
        <f>IF(B955="","",IF(C955&lt;33.0,0,IF(C955&gt;=100*0.8,5,IF(C955&gt;=100*0.7,4,IF(C955&gt;=100*0.6,3.5,IF(C955&gt;=100*0.5,3,IF(C955&gt;=100*0.4,2,IF(C955&gt;=100*0.33,1,0))))))))</f>
        <v/>
      </c>
      <c r="V955">
        <f>IF(B955="","",IF(D955&lt;33.0,0,IF(D955&gt;=100*0.8,5,IF(D955&gt;=100*0.7,4,IF(D955&gt;=100*0.6,3.5,IF(D955&gt;=100*0.5,3,IF(D955&gt;=100*0.4,2,IF(D955&gt;=100*0.33,1,0))))))))</f>
        <v/>
      </c>
      <c r="W955">
        <f>IF(B955="","",IF(E955&lt;16.5,0,IF(E955&gt;=50*0.8,5,IF(E955&gt;=50*0.7,4,IF(E955&gt;=50*0.6,3.5,IF(E955&gt;=50*0.5,3,IF(E955&gt;=50*0.4,2,IF(E955&gt;=50*0.33,1,0))))))))</f>
        <v/>
      </c>
      <c r="X955">
        <f>IF(B955="","",IF(F955&lt;33.0,0,IF(F955&gt;=100*0.8,5,IF(F955&gt;=100*0.7,4,IF(F955&gt;=100*0.6,3.5,IF(F955&gt;=100*0.5,3,IF(F955&gt;=100*0.4,2,IF(F955&gt;=100*0.33,1,0))))))))</f>
        <v/>
      </c>
      <c r="Y955">
        <f>IF(B955="","",IF(G955&lt;16.5,0,IF(G955&gt;=50*0.8,5,IF(G955&gt;=50*0.7,4,IF(G955&gt;=50*0.6,3.5,IF(G955&gt;=50*0.5,3,IF(G955&gt;=50*0.4,2,IF(G955&gt;=50*0.33,1,0))))))))</f>
        <v/>
      </c>
      <c r="Z955">
        <f>IF(B955="","",IF(H955&lt;33.0,0,IF(H955&gt;=100*0.8,5,IF(H955&gt;=100*0.7,4,IF(H955&gt;=100*0.6,3.5,IF(H955&gt;=100*0.5,3,IF(H955&gt;=100*0.4,2,IF(H955&gt;=100*0.33,1,0))))))))</f>
        <v/>
      </c>
      <c r="AA955">
        <f>IF(B955="","",IF(I955&lt;33.0,0,IF(I955&gt;=100*0.8,5,IF(I955&gt;=100*0.7,4,IF(I955&gt;=100*0.6,3.5,IF(I955&gt;=100*0.5,3,IF(I955&gt;=100*0.4,2,IF(I955&gt;=100*0.33,1,0))))))))</f>
        <v/>
      </c>
      <c r="AB955">
        <f>IF(B955="","",IF(J955&lt;33.0,0,IF(J955&gt;=100*0.8,5,IF(J955&gt;=100*0.7,4,IF(J955&gt;=100*0.6,3.5,IF(J955&gt;=100*0.5,3,IF(J955&gt;=100*0.4,2,IF(J955&gt;=100*0.33,1,0))))))))</f>
        <v/>
      </c>
      <c r="AC955">
        <f>IF(B955="","",IF(K955&lt;33.0,0,IF(K955&gt;=100*0.8,5,IF(K955&gt;=100*0.7,4,IF(K955&gt;=100*0.6,3.5,IF(K955&gt;=100*0.5,3,IF(K955&gt;=100*0.4,2,IF(K955&gt;=100*0.33,1,0))))))))</f>
        <v/>
      </c>
      <c r="AD955">
        <f>IF(B955="","",IF(L955&lt;33.0,0,IF(L955&gt;=100*0.8,5,IF(L955&gt;=100*0.7,4,IF(L955&gt;=100*0.6,3.5,IF(L955&gt;=100*0.5,3,IF(L955&gt;=100*0.4,2,IF(L955&gt;=100*0.33,1,0))))))))</f>
        <v/>
      </c>
      <c r="AE955">
        <f>IF(B955="","",IF(M955&lt;33.0,0,IF(M955&gt;=100*0.8,5,IF(M955&gt;=100*0.7,4,IF(M955&gt;=100*0.6,3.5,IF(M955&gt;=100*0.5,3,IF(M955&gt;=100*0.4,2,IF(M955&gt;=100*0.33,1,0))))))))</f>
        <v/>
      </c>
      <c r="AF955">
        <f>IF(B955="","",IF(N955&lt;16.5,0,IF(N955&gt;=50*0.8,5,IF(N955&gt;=50*0.7,4,IF(N955&gt;=50*0.6,3.5,IF(N955&gt;=50*0.5,3,IF(N955&gt;=50*0.4,2,IF(N955&gt;=50*0.33,1,0))))))))</f>
        <v/>
      </c>
      <c r="AG955">
        <f>IF(B955="","",IF(O955&lt;33.0,0,IF(O955&gt;=100*0.8,5,IF(O955&gt;=100*0.7,4,IF(O955&gt;=100*0.6,3.5,IF(O955&gt;=100*0.5,3,IF(O955&gt;=100*0.4,2,IF(O955&gt;=100*0.33,1,0))))))))</f>
        <v/>
      </c>
      <c r="AH955">
        <f>IF(B955="","",IF(OR(U955=0,V955=0,W955=0,X955=0,Y955=0,Z955=0,AA955=0,AB955=0,AC955=0,AD955=0,AE955=0,AF955=0,AG955=0),1,0))</f>
        <v/>
      </c>
    </row>
    <row r="956">
      <c r="A956" s="3">
        <f>IF(B956="","",ROW()-2)</f>
        <v/>
      </c>
      <c r="P956" s="4">
        <f>IF(B956="","",SUM(C956:O956))</f>
        <v/>
      </c>
      <c r="Q956" s="5">
        <f>IF(B956="","",ROUND(P956/13,2))</f>
        <v/>
      </c>
      <c r="R956" s="5">
        <f>IF(B956="","",IF(AH956=1,0,MIN(5,ROUND((U956+V956+W956+X956+Y956+Z956+AA956+AB956+AC956+AD956+AE956+AF956+AG956)/13,2))))</f>
        <v/>
      </c>
      <c r="S956" s="3">
        <f>IF(B956="","",IF(R956&gt;=5,"A+",IF(R956&gt;=4,"A",IF(R956&gt;=3.5,"A-",IF(R956&gt;=3,"B",IF(R956&gt;=2,"C",IF(R956&gt;=1,"D","F")))))))</f>
        <v/>
      </c>
      <c r="T956" s="3">
        <f>IF(OR(B956="",S956="F"),"",COUNTIFS(P:P,"&gt;"&amp;P956,S:S,"&lt;&gt;F")+1)</f>
        <v/>
      </c>
      <c r="U956">
        <f>IF(B956="","",IF(C956&lt;33.0,0,IF(C956&gt;=100*0.8,5,IF(C956&gt;=100*0.7,4,IF(C956&gt;=100*0.6,3.5,IF(C956&gt;=100*0.5,3,IF(C956&gt;=100*0.4,2,IF(C956&gt;=100*0.33,1,0))))))))</f>
        <v/>
      </c>
      <c r="V956">
        <f>IF(B956="","",IF(D956&lt;33.0,0,IF(D956&gt;=100*0.8,5,IF(D956&gt;=100*0.7,4,IF(D956&gt;=100*0.6,3.5,IF(D956&gt;=100*0.5,3,IF(D956&gt;=100*0.4,2,IF(D956&gt;=100*0.33,1,0))))))))</f>
        <v/>
      </c>
      <c r="W956">
        <f>IF(B956="","",IF(E956&lt;16.5,0,IF(E956&gt;=50*0.8,5,IF(E956&gt;=50*0.7,4,IF(E956&gt;=50*0.6,3.5,IF(E956&gt;=50*0.5,3,IF(E956&gt;=50*0.4,2,IF(E956&gt;=50*0.33,1,0))))))))</f>
        <v/>
      </c>
      <c r="X956">
        <f>IF(B956="","",IF(F956&lt;33.0,0,IF(F956&gt;=100*0.8,5,IF(F956&gt;=100*0.7,4,IF(F956&gt;=100*0.6,3.5,IF(F956&gt;=100*0.5,3,IF(F956&gt;=100*0.4,2,IF(F956&gt;=100*0.33,1,0))))))))</f>
        <v/>
      </c>
      <c r="Y956">
        <f>IF(B956="","",IF(G956&lt;16.5,0,IF(G956&gt;=50*0.8,5,IF(G956&gt;=50*0.7,4,IF(G956&gt;=50*0.6,3.5,IF(G956&gt;=50*0.5,3,IF(G956&gt;=50*0.4,2,IF(G956&gt;=50*0.33,1,0))))))))</f>
        <v/>
      </c>
      <c r="Z956">
        <f>IF(B956="","",IF(H956&lt;33.0,0,IF(H956&gt;=100*0.8,5,IF(H956&gt;=100*0.7,4,IF(H956&gt;=100*0.6,3.5,IF(H956&gt;=100*0.5,3,IF(H956&gt;=100*0.4,2,IF(H956&gt;=100*0.33,1,0))))))))</f>
        <v/>
      </c>
      <c r="AA956">
        <f>IF(B956="","",IF(I956&lt;33.0,0,IF(I956&gt;=100*0.8,5,IF(I956&gt;=100*0.7,4,IF(I956&gt;=100*0.6,3.5,IF(I956&gt;=100*0.5,3,IF(I956&gt;=100*0.4,2,IF(I956&gt;=100*0.33,1,0))))))))</f>
        <v/>
      </c>
      <c r="AB956">
        <f>IF(B956="","",IF(J956&lt;33.0,0,IF(J956&gt;=100*0.8,5,IF(J956&gt;=100*0.7,4,IF(J956&gt;=100*0.6,3.5,IF(J956&gt;=100*0.5,3,IF(J956&gt;=100*0.4,2,IF(J956&gt;=100*0.33,1,0))))))))</f>
        <v/>
      </c>
      <c r="AC956">
        <f>IF(B956="","",IF(K956&lt;33.0,0,IF(K956&gt;=100*0.8,5,IF(K956&gt;=100*0.7,4,IF(K956&gt;=100*0.6,3.5,IF(K956&gt;=100*0.5,3,IF(K956&gt;=100*0.4,2,IF(K956&gt;=100*0.33,1,0))))))))</f>
        <v/>
      </c>
      <c r="AD956">
        <f>IF(B956="","",IF(L956&lt;33.0,0,IF(L956&gt;=100*0.8,5,IF(L956&gt;=100*0.7,4,IF(L956&gt;=100*0.6,3.5,IF(L956&gt;=100*0.5,3,IF(L956&gt;=100*0.4,2,IF(L956&gt;=100*0.33,1,0))))))))</f>
        <v/>
      </c>
      <c r="AE956">
        <f>IF(B956="","",IF(M956&lt;33.0,0,IF(M956&gt;=100*0.8,5,IF(M956&gt;=100*0.7,4,IF(M956&gt;=100*0.6,3.5,IF(M956&gt;=100*0.5,3,IF(M956&gt;=100*0.4,2,IF(M956&gt;=100*0.33,1,0))))))))</f>
        <v/>
      </c>
      <c r="AF956">
        <f>IF(B956="","",IF(N956&lt;16.5,0,IF(N956&gt;=50*0.8,5,IF(N956&gt;=50*0.7,4,IF(N956&gt;=50*0.6,3.5,IF(N956&gt;=50*0.5,3,IF(N956&gt;=50*0.4,2,IF(N956&gt;=50*0.33,1,0))))))))</f>
        <v/>
      </c>
      <c r="AG956">
        <f>IF(B956="","",IF(O956&lt;33.0,0,IF(O956&gt;=100*0.8,5,IF(O956&gt;=100*0.7,4,IF(O956&gt;=100*0.6,3.5,IF(O956&gt;=100*0.5,3,IF(O956&gt;=100*0.4,2,IF(O956&gt;=100*0.33,1,0))))))))</f>
        <v/>
      </c>
      <c r="AH956">
        <f>IF(B956="","",IF(OR(U956=0,V956=0,W956=0,X956=0,Y956=0,Z956=0,AA956=0,AB956=0,AC956=0,AD956=0,AE956=0,AF956=0,AG956=0),1,0))</f>
        <v/>
      </c>
    </row>
    <row r="957">
      <c r="A957" s="3">
        <f>IF(B957="","",ROW()-2)</f>
        <v/>
      </c>
      <c r="P957" s="4">
        <f>IF(B957="","",SUM(C957:O957))</f>
        <v/>
      </c>
      <c r="Q957" s="5">
        <f>IF(B957="","",ROUND(P957/13,2))</f>
        <v/>
      </c>
      <c r="R957" s="5">
        <f>IF(B957="","",IF(AH957=1,0,MIN(5,ROUND((U957+V957+W957+X957+Y957+Z957+AA957+AB957+AC957+AD957+AE957+AF957+AG957)/13,2))))</f>
        <v/>
      </c>
      <c r="S957" s="3">
        <f>IF(B957="","",IF(R957&gt;=5,"A+",IF(R957&gt;=4,"A",IF(R957&gt;=3.5,"A-",IF(R957&gt;=3,"B",IF(R957&gt;=2,"C",IF(R957&gt;=1,"D","F")))))))</f>
        <v/>
      </c>
      <c r="T957" s="3">
        <f>IF(OR(B957="",S957="F"),"",COUNTIFS(P:P,"&gt;"&amp;P957,S:S,"&lt;&gt;F")+1)</f>
        <v/>
      </c>
      <c r="U957">
        <f>IF(B957="","",IF(C957&lt;33.0,0,IF(C957&gt;=100*0.8,5,IF(C957&gt;=100*0.7,4,IF(C957&gt;=100*0.6,3.5,IF(C957&gt;=100*0.5,3,IF(C957&gt;=100*0.4,2,IF(C957&gt;=100*0.33,1,0))))))))</f>
        <v/>
      </c>
      <c r="V957">
        <f>IF(B957="","",IF(D957&lt;33.0,0,IF(D957&gt;=100*0.8,5,IF(D957&gt;=100*0.7,4,IF(D957&gt;=100*0.6,3.5,IF(D957&gt;=100*0.5,3,IF(D957&gt;=100*0.4,2,IF(D957&gt;=100*0.33,1,0))))))))</f>
        <v/>
      </c>
      <c r="W957">
        <f>IF(B957="","",IF(E957&lt;16.5,0,IF(E957&gt;=50*0.8,5,IF(E957&gt;=50*0.7,4,IF(E957&gt;=50*0.6,3.5,IF(E957&gt;=50*0.5,3,IF(E957&gt;=50*0.4,2,IF(E957&gt;=50*0.33,1,0))))))))</f>
        <v/>
      </c>
      <c r="X957">
        <f>IF(B957="","",IF(F957&lt;33.0,0,IF(F957&gt;=100*0.8,5,IF(F957&gt;=100*0.7,4,IF(F957&gt;=100*0.6,3.5,IF(F957&gt;=100*0.5,3,IF(F957&gt;=100*0.4,2,IF(F957&gt;=100*0.33,1,0))))))))</f>
        <v/>
      </c>
      <c r="Y957">
        <f>IF(B957="","",IF(G957&lt;16.5,0,IF(G957&gt;=50*0.8,5,IF(G957&gt;=50*0.7,4,IF(G957&gt;=50*0.6,3.5,IF(G957&gt;=50*0.5,3,IF(G957&gt;=50*0.4,2,IF(G957&gt;=50*0.33,1,0))))))))</f>
        <v/>
      </c>
      <c r="Z957">
        <f>IF(B957="","",IF(H957&lt;33.0,0,IF(H957&gt;=100*0.8,5,IF(H957&gt;=100*0.7,4,IF(H957&gt;=100*0.6,3.5,IF(H957&gt;=100*0.5,3,IF(H957&gt;=100*0.4,2,IF(H957&gt;=100*0.33,1,0))))))))</f>
        <v/>
      </c>
      <c r="AA957">
        <f>IF(B957="","",IF(I957&lt;33.0,0,IF(I957&gt;=100*0.8,5,IF(I957&gt;=100*0.7,4,IF(I957&gt;=100*0.6,3.5,IF(I957&gt;=100*0.5,3,IF(I957&gt;=100*0.4,2,IF(I957&gt;=100*0.33,1,0))))))))</f>
        <v/>
      </c>
      <c r="AB957">
        <f>IF(B957="","",IF(J957&lt;33.0,0,IF(J957&gt;=100*0.8,5,IF(J957&gt;=100*0.7,4,IF(J957&gt;=100*0.6,3.5,IF(J957&gt;=100*0.5,3,IF(J957&gt;=100*0.4,2,IF(J957&gt;=100*0.33,1,0))))))))</f>
        <v/>
      </c>
      <c r="AC957">
        <f>IF(B957="","",IF(K957&lt;33.0,0,IF(K957&gt;=100*0.8,5,IF(K957&gt;=100*0.7,4,IF(K957&gt;=100*0.6,3.5,IF(K957&gt;=100*0.5,3,IF(K957&gt;=100*0.4,2,IF(K957&gt;=100*0.33,1,0))))))))</f>
        <v/>
      </c>
      <c r="AD957">
        <f>IF(B957="","",IF(L957&lt;33.0,0,IF(L957&gt;=100*0.8,5,IF(L957&gt;=100*0.7,4,IF(L957&gt;=100*0.6,3.5,IF(L957&gt;=100*0.5,3,IF(L957&gt;=100*0.4,2,IF(L957&gt;=100*0.33,1,0))))))))</f>
        <v/>
      </c>
      <c r="AE957">
        <f>IF(B957="","",IF(M957&lt;33.0,0,IF(M957&gt;=100*0.8,5,IF(M957&gt;=100*0.7,4,IF(M957&gt;=100*0.6,3.5,IF(M957&gt;=100*0.5,3,IF(M957&gt;=100*0.4,2,IF(M957&gt;=100*0.33,1,0))))))))</f>
        <v/>
      </c>
      <c r="AF957">
        <f>IF(B957="","",IF(N957&lt;16.5,0,IF(N957&gt;=50*0.8,5,IF(N957&gt;=50*0.7,4,IF(N957&gt;=50*0.6,3.5,IF(N957&gt;=50*0.5,3,IF(N957&gt;=50*0.4,2,IF(N957&gt;=50*0.33,1,0))))))))</f>
        <v/>
      </c>
      <c r="AG957">
        <f>IF(B957="","",IF(O957&lt;33.0,0,IF(O957&gt;=100*0.8,5,IF(O957&gt;=100*0.7,4,IF(O957&gt;=100*0.6,3.5,IF(O957&gt;=100*0.5,3,IF(O957&gt;=100*0.4,2,IF(O957&gt;=100*0.33,1,0))))))))</f>
        <v/>
      </c>
      <c r="AH957">
        <f>IF(B957="","",IF(OR(U957=0,V957=0,W957=0,X957=0,Y957=0,Z957=0,AA957=0,AB957=0,AC957=0,AD957=0,AE957=0,AF957=0,AG957=0),1,0))</f>
        <v/>
      </c>
    </row>
    <row r="958">
      <c r="A958" s="3">
        <f>IF(B958="","",ROW()-2)</f>
        <v/>
      </c>
      <c r="P958" s="4">
        <f>IF(B958="","",SUM(C958:O958))</f>
        <v/>
      </c>
      <c r="Q958" s="5">
        <f>IF(B958="","",ROUND(P958/13,2))</f>
        <v/>
      </c>
      <c r="R958" s="5">
        <f>IF(B958="","",IF(AH958=1,0,MIN(5,ROUND((U958+V958+W958+X958+Y958+Z958+AA958+AB958+AC958+AD958+AE958+AF958+AG958)/13,2))))</f>
        <v/>
      </c>
      <c r="S958" s="3">
        <f>IF(B958="","",IF(R958&gt;=5,"A+",IF(R958&gt;=4,"A",IF(R958&gt;=3.5,"A-",IF(R958&gt;=3,"B",IF(R958&gt;=2,"C",IF(R958&gt;=1,"D","F")))))))</f>
        <v/>
      </c>
      <c r="T958" s="3">
        <f>IF(OR(B958="",S958="F"),"",COUNTIFS(P:P,"&gt;"&amp;P958,S:S,"&lt;&gt;F")+1)</f>
        <v/>
      </c>
      <c r="U958">
        <f>IF(B958="","",IF(C958&lt;33.0,0,IF(C958&gt;=100*0.8,5,IF(C958&gt;=100*0.7,4,IF(C958&gt;=100*0.6,3.5,IF(C958&gt;=100*0.5,3,IF(C958&gt;=100*0.4,2,IF(C958&gt;=100*0.33,1,0))))))))</f>
        <v/>
      </c>
      <c r="V958">
        <f>IF(B958="","",IF(D958&lt;33.0,0,IF(D958&gt;=100*0.8,5,IF(D958&gt;=100*0.7,4,IF(D958&gt;=100*0.6,3.5,IF(D958&gt;=100*0.5,3,IF(D958&gt;=100*0.4,2,IF(D958&gt;=100*0.33,1,0))))))))</f>
        <v/>
      </c>
      <c r="W958">
        <f>IF(B958="","",IF(E958&lt;16.5,0,IF(E958&gt;=50*0.8,5,IF(E958&gt;=50*0.7,4,IF(E958&gt;=50*0.6,3.5,IF(E958&gt;=50*0.5,3,IF(E958&gt;=50*0.4,2,IF(E958&gt;=50*0.33,1,0))))))))</f>
        <v/>
      </c>
      <c r="X958">
        <f>IF(B958="","",IF(F958&lt;33.0,0,IF(F958&gt;=100*0.8,5,IF(F958&gt;=100*0.7,4,IF(F958&gt;=100*0.6,3.5,IF(F958&gt;=100*0.5,3,IF(F958&gt;=100*0.4,2,IF(F958&gt;=100*0.33,1,0))))))))</f>
        <v/>
      </c>
      <c r="Y958">
        <f>IF(B958="","",IF(G958&lt;16.5,0,IF(G958&gt;=50*0.8,5,IF(G958&gt;=50*0.7,4,IF(G958&gt;=50*0.6,3.5,IF(G958&gt;=50*0.5,3,IF(G958&gt;=50*0.4,2,IF(G958&gt;=50*0.33,1,0))))))))</f>
        <v/>
      </c>
      <c r="Z958">
        <f>IF(B958="","",IF(H958&lt;33.0,0,IF(H958&gt;=100*0.8,5,IF(H958&gt;=100*0.7,4,IF(H958&gt;=100*0.6,3.5,IF(H958&gt;=100*0.5,3,IF(H958&gt;=100*0.4,2,IF(H958&gt;=100*0.33,1,0))))))))</f>
        <v/>
      </c>
      <c r="AA958">
        <f>IF(B958="","",IF(I958&lt;33.0,0,IF(I958&gt;=100*0.8,5,IF(I958&gt;=100*0.7,4,IF(I958&gt;=100*0.6,3.5,IF(I958&gt;=100*0.5,3,IF(I958&gt;=100*0.4,2,IF(I958&gt;=100*0.33,1,0))))))))</f>
        <v/>
      </c>
      <c r="AB958">
        <f>IF(B958="","",IF(J958&lt;33.0,0,IF(J958&gt;=100*0.8,5,IF(J958&gt;=100*0.7,4,IF(J958&gt;=100*0.6,3.5,IF(J958&gt;=100*0.5,3,IF(J958&gt;=100*0.4,2,IF(J958&gt;=100*0.33,1,0))))))))</f>
        <v/>
      </c>
      <c r="AC958">
        <f>IF(B958="","",IF(K958&lt;33.0,0,IF(K958&gt;=100*0.8,5,IF(K958&gt;=100*0.7,4,IF(K958&gt;=100*0.6,3.5,IF(K958&gt;=100*0.5,3,IF(K958&gt;=100*0.4,2,IF(K958&gt;=100*0.33,1,0))))))))</f>
        <v/>
      </c>
      <c r="AD958">
        <f>IF(B958="","",IF(L958&lt;33.0,0,IF(L958&gt;=100*0.8,5,IF(L958&gt;=100*0.7,4,IF(L958&gt;=100*0.6,3.5,IF(L958&gt;=100*0.5,3,IF(L958&gt;=100*0.4,2,IF(L958&gt;=100*0.33,1,0))))))))</f>
        <v/>
      </c>
      <c r="AE958">
        <f>IF(B958="","",IF(M958&lt;33.0,0,IF(M958&gt;=100*0.8,5,IF(M958&gt;=100*0.7,4,IF(M958&gt;=100*0.6,3.5,IF(M958&gt;=100*0.5,3,IF(M958&gt;=100*0.4,2,IF(M958&gt;=100*0.33,1,0))))))))</f>
        <v/>
      </c>
      <c r="AF958">
        <f>IF(B958="","",IF(N958&lt;16.5,0,IF(N958&gt;=50*0.8,5,IF(N958&gt;=50*0.7,4,IF(N958&gt;=50*0.6,3.5,IF(N958&gt;=50*0.5,3,IF(N958&gt;=50*0.4,2,IF(N958&gt;=50*0.33,1,0))))))))</f>
        <v/>
      </c>
      <c r="AG958">
        <f>IF(B958="","",IF(O958&lt;33.0,0,IF(O958&gt;=100*0.8,5,IF(O958&gt;=100*0.7,4,IF(O958&gt;=100*0.6,3.5,IF(O958&gt;=100*0.5,3,IF(O958&gt;=100*0.4,2,IF(O958&gt;=100*0.33,1,0))))))))</f>
        <v/>
      </c>
      <c r="AH958">
        <f>IF(B958="","",IF(OR(U958=0,V958=0,W958=0,X958=0,Y958=0,Z958=0,AA958=0,AB958=0,AC958=0,AD958=0,AE958=0,AF958=0,AG958=0),1,0))</f>
        <v/>
      </c>
    </row>
    <row r="959">
      <c r="A959" s="3">
        <f>IF(B959="","",ROW()-2)</f>
        <v/>
      </c>
      <c r="P959" s="4">
        <f>IF(B959="","",SUM(C959:O959))</f>
        <v/>
      </c>
      <c r="Q959" s="5">
        <f>IF(B959="","",ROUND(P959/13,2))</f>
        <v/>
      </c>
      <c r="R959" s="5">
        <f>IF(B959="","",IF(AH959=1,0,MIN(5,ROUND((U959+V959+W959+X959+Y959+Z959+AA959+AB959+AC959+AD959+AE959+AF959+AG959)/13,2))))</f>
        <v/>
      </c>
      <c r="S959" s="3">
        <f>IF(B959="","",IF(R959&gt;=5,"A+",IF(R959&gt;=4,"A",IF(R959&gt;=3.5,"A-",IF(R959&gt;=3,"B",IF(R959&gt;=2,"C",IF(R959&gt;=1,"D","F")))))))</f>
        <v/>
      </c>
      <c r="T959" s="3">
        <f>IF(OR(B959="",S959="F"),"",COUNTIFS(P:P,"&gt;"&amp;P959,S:S,"&lt;&gt;F")+1)</f>
        <v/>
      </c>
      <c r="U959">
        <f>IF(B959="","",IF(C959&lt;33.0,0,IF(C959&gt;=100*0.8,5,IF(C959&gt;=100*0.7,4,IF(C959&gt;=100*0.6,3.5,IF(C959&gt;=100*0.5,3,IF(C959&gt;=100*0.4,2,IF(C959&gt;=100*0.33,1,0))))))))</f>
        <v/>
      </c>
      <c r="V959">
        <f>IF(B959="","",IF(D959&lt;33.0,0,IF(D959&gt;=100*0.8,5,IF(D959&gt;=100*0.7,4,IF(D959&gt;=100*0.6,3.5,IF(D959&gt;=100*0.5,3,IF(D959&gt;=100*0.4,2,IF(D959&gt;=100*0.33,1,0))))))))</f>
        <v/>
      </c>
      <c r="W959">
        <f>IF(B959="","",IF(E959&lt;16.5,0,IF(E959&gt;=50*0.8,5,IF(E959&gt;=50*0.7,4,IF(E959&gt;=50*0.6,3.5,IF(E959&gt;=50*0.5,3,IF(E959&gt;=50*0.4,2,IF(E959&gt;=50*0.33,1,0))))))))</f>
        <v/>
      </c>
      <c r="X959">
        <f>IF(B959="","",IF(F959&lt;33.0,0,IF(F959&gt;=100*0.8,5,IF(F959&gt;=100*0.7,4,IF(F959&gt;=100*0.6,3.5,IF(F959&gt;=100*0.5,3,IF(F959&gt;=100*0.4,2,IF(F959&gt;=100*0.33,1,0))))))))</f>
        <v/>
      </c>
      <c r="Y959">
        <f>IF(B959="","",IF(G959&lt;16.5,0,IF(G959&gt;=50*0.8,5,IF(G959&gt;=50*0.7,4,IF(G959&gt;=50*0.6,3.5,IF(G959&gt;=50*0.5,3,IF(G959&gt;=50*0.4,2,IF(G959&gt;=50*0.33,1,0))))))))</f>
        <v/>
      </c>
      <c r="Z959">
        <f>IF(B959="","",IF(H959&lt;33.0,0,IF(H959&gt;=100*0.8,5,IF(H959&gt;=100*0.7,4,IF(H959&gt;=100*0.6,3.5,IF(H959&gt;=100*0.5,3,IF(H959&gt;=100*0.4,2,IF(H959&gt;=100*0.33,1,0))))))))</f>
        <v/>
      </c>
      <c r="AA959">
        <f>IF(B959="","",IF(I959&lt;33.0,0,IF(I959&gt;=100*0.8,5,IF(I959&gt;=100*0.7,4,IF(I959&gt;=100*0.6,3.5,IF(I959&gt;=100*0.5,3,IF(I959&gt;=100*0.4,2,IF(I959&gt;=100*0.33,1,0))))))))</f>
        <v/>
      </c>
      <c r="AB959">
        <f>IF(B959="","",IF(J959&lt;33.0,0,IF(J959&gt;=100*0.8,5,IF(J959&gt;=100*0.7,4,IF(J959&gt;=100*0.6,3.5,IF(J959&gt;=100*0.5,3,IF(J959&gt;=100*0.4,2,IF(J959&gt;=100*0.33,1,0))))))))</f>
        <v/>
      </c>
      <c r="AC959">
        <f>IF(B959="","",IF(K959&lt;33.0,0,IF(K959&gt;=100*0.8,5,IF(K959&gt;=100*0.7,4,IF(K959&gt;=100*0.6,3.5,IF(K959&gt;=100*0.5,3,IF(K959&gt;=100*0.4,2,IF(K959&gt;=100*0.33,1,0))))))))</f>
        <v/>
      </c>
      <c r="AD959">
        <f>IF(B959="","",IF(L959&lt;33.0,0,IF(L959&gt;=100*0.8,5,IF(L959&gt;=100*0.7,4,IF(L959&gt;=100*0.6,3.5,IF(L959&gt;=100*0.5,3,IF(L959&gt;=100*0.4,2,IF(L959&gt;=100*0.33,1,0))))))))</f>
        <v/>
      </c>
      <c r="AE959">
        <f>IF(B959="","",IF(M959&lt;33.0,0,IF(M959&gt;=100*0.8,5,IF(M959&gt;=100*0.7,4,IF(M959&gt;=100*0.6,3.5,IF(M959&gt;=100*0.5,3,IF(M959&gt;=100*0.4,2,IF(M959&gt;=100*0.33,1,0))))))))</f>
        <v/>
      </c>
      <c r="AF959">
        <f>IF(B959="","",IF(N959&lt;16.5,0,IF(N959&gt;=50*0.8,5,IF(N959&gt;=50*0.7,4,IF(N959&gt;=50*0.6,3.5,IF(N959&gt;=50*0.5,3,IF(N959&gt;=50*0.4,2,IF(N959&gt;=50*0.33,1,0))))))))</f>
        <v/>
      </c>
      <c r="AG959">
        <f>IF(B959="","",IF(O959&lt;33.0,0,IF(O959&gt;=100*0.8,5,IF(O959&gt;=100*0.7,4,IF(O959&gt;=100*0.6,3.5,IF(O959&gt;=100*0.5,3,IF(O959&gt;=100*0.4,2,IF(O959&gt;=100*0.33,1,0))))))))</f>
        <v/>
      </c>
      <c r="AH959">
        <f>IF(B959="","",IF(OR(U959=0,V959=0,W959=0,X959=0,Y959=0,Z959=0,AA959=0,AB959=0,AC959=0,AD959=0,AE959=0,AF959=0,AG959=0),1,0))</f>
        <v/>
      </c>
    </row>
    <row r="960">
      <c r="A960" s="3">
        <f>IF(B960="","",ROW()-2)</f>
        <v/>
      </c>
      <c r="P960" s="4">
        <f>IF(B960="","",SUM(C960:O960))</f>
        <v/>
      </c>
      <c r="Q960" s="5">
        <f>IF(B960="","",ROUND(P960/13,2))</f>
        <v/>
      </c>
      <c r="R960" s="5">
        <f>IF(B960="","",IF(AH960=1,0,MIN(5,ROUND((U960+V960+W960+X960+Y960+Z960+AA960+AB960+AC960+AD960+AE960+AF960+AG960)/13,2))))</f>
        <v/>
      </c>
      <c r="S960" s="3">
        <f>IF(B960="","",IF(R960&gt;=5,"A+",IF(R960&gt;=4,"A",IF(R960&gt;=3.5,"A-",IF(R960&gt;=3,"B",IF(R960&gt;=2,"C",IF(R960&gt;=1,"D","F")))))))</f>
        <v/>
      </c>
      <c r="T960" s="3">
        <f>IF(OR(B960="",S960="F"),"",COUNTIFS(P:P,"&gt;"&amp;P960,S:S,"&lt;&gt;F")+1)</f>
        <v/>
      </c>
      <c r="U960">
        <f>IF(B960="","",IF(C960&lt;33.0,0,IF(C960&gt;=100*0.8,5,IF(C960&gt;=100*0.7,4,IF(C960&gt;=100*0.6,3.5,IF(C960&gt;=100*0.5,3,IF(C960&gt;=100*0.4,2,IF(C960&gt;=100*0.33,1,0))))))))</f>
        <v/>
      </c>
      <c r="V960">
        <f>IF(B960="","",IF(D960&lt;33.0,0,IF(D960&gt;=100*0.8,5,IF(D960&gt;=100*0.7,4,IF(D960&gt;=100*0.6,3.5,IF(D960&gt;=100*0.5,3,IF(D960&gt;=100*0.4,2,IF(D960&gt;=100*0.33,1,0))))))))</f>
        <v/>
      </c>
      <c r="W960">
        <f>IF(B960="","",IF(E960&lt;16.5,0,IF(E960&gt;=50*0.8,5,IF(E960&gt;=50*0.7,4,IF(E960&gt;=50*0.6,3.5,IF(E960&gt;=50*0.5,3,IF(E960&gt;=50*0.4,2,IF(E960&gt;=50*0.33,1,0))))))))</f>
        <v/>
      </c>
      <c r="X960">
        <f>IF(B960="","",IF(F960&lt;33.0,0,IF(F960&gt;=100*0.8,5,IF(F960&gt;=100*0.7,4,IF(F960&gt;=100*0.6,3.5,IF(F960&gt;=100*0.5,3,IF(F960&gt;=100*0.4,2,IF(F960&gt;=100*0.33,1,0))))))))</f>
        <v/>
      </c>
      <c r="Y960">
        <f>IF(B960="","",IF(G960&lt;16.5,0,IF(G960&gt;=50*0.8,5,IF(G960&gt;=50*0.7,4,IF(G960&gt;=50*0.6,3.5,IF(G960&gt;=50*0.5,3,IF(G960&gt;=50*0.4,2,IF(G960&gt;=50*0.33,1,0))))))))</f>
        <v/>
      </c>
      <c r="Z960">
        <f>IF(B960="","",IF(H960&lt;33.0,0,IF(H960&gt;=100*0.8,5,IF(H960&gt;=100*0.7,4,IF(H960&gt;=100*0.6,3.5,IF(H960&gt;=100*0.5,3,IF(H960&gt;=100*0.4,2,IF(H960&gt;=100*0.33,1,0))))))))</f>
        <v/>
      </c>
      <c r="AA960">
        <f>IF(B960="","",IF(I960&lt;33.0,0,IF(I960&gt;=100*0.8,5,IF(I960&gt;=100*0.7,4,IF(I960&gt;=100*0.6,3.5,IF(I960&gt;=100*0.5,3,IF(I960&gt;=100*0.4,2,IF(I960&gt;=100*0.33,1,0))))))))</f>
        <v/>
      </c>
      <c r="AB960">
        <f>IF(B960="","",IF(J960&lt;33.0,0,IF(J960&gt;=100*0.8,5,IF(J960&gt;=100*0.7,4,IF(J960&gt;=100*0.6,3.5,IF(J960&gt;=100*0.5,3,IF(J960&gt;=100*0.4,2,IF(J960&gt;=100*0.33,1,0))))))))</f>
        <v/>
      </c>
      <c r="AC960">
        <f>IF(B960="","",IF(K960&lt;33.0,0,IF(K960&gt;=100*0.8,5,IF(K960&gt;=100*0.7,4,IF(K960&gt;=100*0.6,3.5,IF(K960&gt;=100*0.5,3,IF(K960&gt;=100*0.4,2,IF(K960&gt;=100*0.33,1,0))))))))</f>
        <v/>
      </c>
      <c r="AD960">
        <f>IF(B960="","",IF(L960&lt;33.0,0,IF(L960&gt;=100*0.8,5,IF(L960&gt;=100*0.7,4,IF(L960&gt;=100*0.6,3.5,IF(L960&gt;=100*0.5,3,IF(L960&gt;=100*0.4,2,IF(L960&gt;=100*0.33,1,0))))))))</f>
        <v/>
      </c>
      <c r="AE960">
        <f>IF(B960="","",IF(M960&lt;33.0,0,IF(M960&gt;=100*0.8,5,IF(M960&gt;=100*0.7,4,IF(M960&gt;=100*0.6,3.5,IF(M960&gt;=100*0.5,3,IF(M960&gt;=100*0.4,2,IF(M960&gt;=100*0.33,1,0))))))))</f>
        <v/>
      </c>
      <c r="AF960">
        <f>IF(B960="","",IF(N960&lt;16.5,0,IF(N960&gt;=50*0.8,5,IF(N960&gt;=50*0.7,4,IF(N960&gt;=50*0.6,3.5,IF(N960&gt;=50*0.5,3,IF(N960&gt;=50*0.4,2,IF(N960&gt;=50*0.33,1,0))))))))</f>
        <v/>
      </c>
      <c r="AG960">
        <f>IF(B960="","",IF(O960&lt;33.0,0,IF(O960&gt;=100*0.8,5,IF(O960&gt;=100*0.7,4,IF(O960&gt;=100*0.6,3.5,IF(O960&gt;=100*0.5,3,IF(O960&gt;=100*0.4,2,IF(O960&gt;=100*0.33,1,0))))))))</f>
        <v/>
      </c>
      <c r="AH960">
        <f>IF(B960="","",IF(OR(U960=0,V960=0,W960=0,X960=0,Y960=0,Z960=0,AA960=0,AB960=0,AC960=0,AD960=0,AE960=0,AF960=0,AG960=0),1,0))</f>
        <v/>
      </c>
    </row>
    <row r="961">
      <c r="A961" s="3">
        <f>IF(B961="","",ROW()-2)</f>
        <v/>
      </c>
      <c r="P961" s="4">
        <f>IF(B961="","",SUM(C961:O961))</f>
        <v/>
      </c>
      <c r="Q961" s="5">
        <f>IF(B961="","",ROUND(P961/13,2))</f>
        <v/>
      </c>
      <c r="R961" s="5">
        <f>IF(B961="","",IF(AH961=1,0,MIN(5,ROUND((U961+V961+W961+X961+Y961+Z961+AA961+AB961+AC961+AD961+AE961+AF961+AG961)/13,2))))</f>
        <v/>
      </c>
      <c r="S961" s="3">
        <f>IF(B961="","",IF(R961&gt;=5,"A+",IF(R961&gt;=4,"A",IF(R961&gt;=3.5,"A-",IF(R961&gt;=3,"B",IF(R961&gt;=2,"C",IF(R961&gt;=1,"D","F")))))))</f>
        <v/>
      </c>
      <c r="T961" s="3">
        <f>IF(OR(B961="",S961="F"),"",COUNTIFS(P:P,"&gt;"&amp;P961,S:S,"&lt;&gt;F")+1)</f>
        <v/>
      </c>
      <c r="U961">
        <f>IF(B961="","",IF(C961&lt;33.0,0,IF(C961&gt;=100*0.8,5,IF(C961&gt;=100*0.7,4,IF(C961&gt;=100*0.6,3.5,IF(C961&gt;=100*0.5,3,IF(C961&gt;=100*0.4,2,IF(C961&gt;=100*0.33,1,0))))))))</f>
        <v/>
      </c>
      <c r="V961">
        <f>IF(B961="","",IF(D961&lt;33.0,0,IF(D961&gt;=100*0.8,5,IF(D961&gt;=100*0.7,4,IF(D961&gt;=100*0.6,3.5,IF(D961&gt;=100*0.5,3,IF(D961&gt;=100*0.4,2,IF(D961&gt;=100*0.33,1,0))))))))</f>
        <v/>
      </c>
      <c r="W961">
        <f>IF(B961="","",IF(E961&lt;16.5,0,IF(E961&gt;=50*0.8,5,IF(E961&gt;=50*0.7,4,IF(E961&gt;=50*0.6,3.5,IF(E961&gt;=50*0.5,3,IF(E961&gt;=50*0.4,2,IF(E961&gt;=50*0.33,1,0))))))))</f>
        <v/>
      </c>
      <c r="X961">
        <f>IF(B961="","",IF(F961&lt;33.0,0,IF(F961&gt;=100*0.8,5,IF(F961&gt;=100*0.7,4,IF(F961&gt;=100*0.6,3.5,IF(F961&gt;=100*0.5,3,IF(F961&gt;=100*0.4,2,IF(F961&gt;=100*0.33,1,0))))))))</f>
        <v/>
      </c>
      <c r="Y961">
        <f>IF(B961="","",IF(G961&lt;16.5,0,IF(G961&gt;=50*0.8,5,IF(G961&gt;=50*0.7,4,IF(G961&gt;=50*0.6,3.5,IF(G961&gt;=50*0.5,3,IF(G961&gt;=50*0.4,2,IF(G961&gt;=50*0.33,1,0))))))))</f>
        <v/>
      </c>
      <c r="Z961">
        <f>IF(B961="","",IF(H961&lt;33.0,0,IF(H961&gt;=100*0.8,5,IF(H961&gt;=100*0.7,4,IF(H961&gt;=100*0.6,3.5,IF(H961&gt;=100*0.5,3,IF(H961&gt;=100*0.4,2,IF(H961&gt;=100*0.33,1,0))))))))</f>
        <v/>
      </c>
      <c r="AA961">
        <f>IF(B961="","",IF(I961&lt;33.0,0,IF(I961&gt;=100*0.8,5,IF(I961&gt;=100*0.7,4,IF(I961&gt;=100*0.6,3.5,IF(I961&gt;=100*0.5,3,IF(I961&gt;=100*0.4,2,IF(I961&gt;=100*0.33,1,0))))))))</f>
        <v/>
      </c>
      <c r="AB961">
        <f>IF(B961="","",IF(J961&lt;33.0,0,IF(J961&gt;=100*0.8,5,IF(J961&gt;=100*0.7,4,IF(J961&gt;=100*0.6,3.5,IF(J961&gt;=100*0.5,3,IF(J961&gt;=100*0.4,2,IF(J961&gt;=100*0.33,1,0))))))))</f>
        <v/>
      </c>
      <c r="AC961">
        <f>IF(B961="","",IF(K961&lt;33.0,0,IF(K961&gt;=100*0.8,5,IF(K961&gt;=100*0.7,4,IF(K961&gt;=100*0.6,3.5,IF(K961&gt;=100*0.5,3,IF(K961&gt;=100*0.4,2,IF(K961&gt;=100*0.33,1,0))))))))</f>
        <v/>
      </c>
      <c r="AD961">
        <f>IF(B961="","",IF(L961&lt;33.0,0,IF(L961&gt;=100*0.8,5,IF(L961&gt;=100*0.7,4,IF(L961&gt;=100*0.6,3.5,IF(L961&gt;=100*0.5,3,IF(L961&gt;=100*0.4,2,IF(L961&gt;=100*0.33,1,0))))))))</f>
        <v/>
      </c>
      <c r="AE961">
        <f>IF(B961="","",IF(M961&lt;33.0,0,IF(M961&gt;=100*0.8,5,IF(M961&gt;=100*0.7,4,IF(M961&gt;=100*0.6,3.5,IF(M961&gt;=100*0.5,3,IF(M961&gt;=100*0.4,2,IF(M961&gt;=100*0.33,1,0))))))))</f>
        <v/>
      </c>
      <c r="AF961">
        <f>IF(B961="","",IF(N961&lt;16.5,0,IF(N961&gt;=50*0.8,5,IF(N961&gt;=50*0.7,4,IF(N961&gt;=50*0.6,3.5,IF(N961&gt;=50*0.5,3,IF(N961&gt;=50*0.4,2,IF(N961&gt;=50*0.33,1,0))))))))</f>
        <v/>
      </c>
      <c r="AG961">
        <f>IF(B961="","",IF(O961&lt;33.0,0,IF(O961&gt;=100*0.8,5,IF(O961&gt;=100*0.7,4,IF(O961&gt;=100*0.6,3.5,IF(O961&gt;=100*0.5,3,IF(O961&gt;=100*0.4,2,IF(O961&gt;=100*0.33,1,0))))))))</f>
        <v/>
      </c>
      <c r="AH961">
        <f>IF(B961="","",IF(OR(U961=0,V961=0,W961=0,X961=0,Y961=0,Z961=0,AA961=0,AB961=0,AC961=0,AD961=0,AE961=0,AF961=0,AG961=0),1,0))</f>
        <v/>
      </c>
    </row>
    <row r="962">
      <c r="A962" s="3">
        <f>IF(B962="","",ROW()-2)</f>
        <v/>
      </c>
      <c r="P962" s="4">
        <f>IF(B962="","",SUM(C962:O962))</f>
        <v/>
      </c>
      <c r="Q962" s="5">
        <f>IF(B962="","",ROUND(P962/13,2))</f>
        <v/>
      </c>
      <c r="R962" s="5">
        <f>IF(B962="","",IF(AH962=1,0,MIN(5,ROUND((U962+V962+W962+X962+Y962+Z962+AA962+AB962+AC962+AD962+AE962+AF962+AG962)/13,2))))</f>
        <v/>
      </c>
      <c r="S962" s="3">
        <f>IF(B962="","",IF(R962&gt;=5,"A+",IF(R962&gt;=4,"A",IF(R962&gt;=3.5,"A-",IF(R962&gt;=3,"B",IF(R962&gt;=2,"C",IF(R962&gt;=1,"D","F")))))))</f>
        <v/>
      </c>
      <c r="T962" s="3">
        <f>IF(OR(B962="",S962="F"),"",COUNTIFS(P:P,"&gt;"&amp;P962,S:S,"&lt;&gt;F")+1)</f>
        <v/>
      </c>
      <c r="U962">
        <f>IF(B962="","",IF(C962&lt;33.0,0,IF(C962&gt;=100*0.8,5,IF(C962&gt;=100*0.7,4,IF(C962&gt;=100*0.6,3.5,IF(C962&gt;=100*0.5,3,IF(C962&gt;=100*0.4,2,IF(C962&gt;=100*0.33,1,0))))))))</f>
        <v/>
      </c>
      <c r="V962">
        <f>IF(B962="","",IF(D962&lt;33.0,0,IF(D962&gt;=100*0.8,5,IF(D962&gt;=100*0.7,4,IF(D962&gt;=100*0.6,3.5,IF(D962&gt;=100*0.5,3,IF(D962&gt;=100*0.4,2,IF(D962&gt;=100*0.33,1,0))))))))</f>
        <v/>
      </c>
      <c r="W962">
        <f>IF(B962="","",IF(E962&lt;16.5,0,IF(E962&gt;=50*0.8,5,IF(E962&gt;=50*0.7,4,IF(E962&gt;=50*0.6,3.5,IF(E962&gt;=50*0.5,3,IF(E962&gt;=50*0.4,2,IF(E962&gt;=50*0.33,1,0))))))))</f>
        <v/>
      </c>
      <c r="X962">
        <f>IF(B962="","",IF(F962&lt;33.0,0,IF(F962&gt;=100*0.8,5,IF(F962&gt;=100*0.7,4,IF(F962&gt;=100*0.6,3.5,IF(F962&gt;=100*0.5,3,IF(F962&gt;=100*0.4,2,IF(F962&gt;=100*0.33,1,0))))))))</f>
        <v/>
      </c>
      <c r="Y962">
        <f>IF(B962="","",IF(G962&lt;16.5,0,IF(G962&gt;=50*0.8,5,IF(G962&gt;=50*0.7,4,IF(G962&gt;=50*0.6,3.5,IF(G962&gt;=50*0.5,3,IF(G962&gt;=50*0.4,2,IF(G962&gt;=50*0.33,1,0))))))))</f>
        <v/>
      </c>
      <c r="Z962">
        <f>IF(B962="","",IF(H962&lt;33.0,0,IF(H962&gt;=100*0.8,5,IF(H962&gt;=100*0.7,4,IF(H962&gt;=100*0.6,3.5,IF(H962&gt;=100*0.5,3,IF(H962&gt;=100*0.4,2,IF(H962&gt;=100*0.33,1,0))))))))</f>
        <v/>
      </c>
      <c r="AA962">
        <f>IF(B962="","",IF(I962&lt;33.0,0,IF(I962&gt;=100*0.8,5,IF(I962&gt;=100*0.7,4,IF(I962&gt;=100*0.6,3.5,IF(I962&gt;=100*0.5,3,IF(I962&gt;=100*0.4,2,IF(I962&gt;=100*0.33,1,0))))))))</f>
        <v/>
      </c>
      <c r="AB962">
        <f>IF(B962="","",IF(J962&lt;33.0,0,IF(J962&gt;=100*0.8,5,IF(J962&gt;=100*0.7,4,IF(J962&gt;=100*0.6,3.5,IF(J962&gt;=100*0.5,3,IF(J962&gt;=100*0.4,2,IF(J962&gt;=100*0.33,1,0))))))))</f>
        <v/>
      </c>
      <c r="AC962">
        <f>IF(B962="","",IF(K962&lt;33.0,0,IF(K962&gt;=100*0.8,5,IF(K962&gt;=100*0.7,4,IF(K962&gt;=100*0.6,3.5,IF(K962&gt;=100*0.5,3,IF(K962&gt;=100*0.4,2,IF(K962&gt;=100*0.33,1,0))))))))</f>
        <v/>
      </c>
      <c r="AD962">
        <f>IF(B962="","",IF(L962&lt;33.0,0,IF(L962&gt;=100*0.8,5,IF(L962&gt;=100*0.7,4,IF(L962&gt;=100*0.6,3.5,IF(L962&gt;=100*0.5,3,IF(L962&gt;=100*0.4,2,IF(L962&gt;=100*0.33,1,0))))))))</f>
        <v/>
      </c>
      <c r="AE962">
        <f>IF(B962="","",IF(M962&lt;33.0,0,IF(M962&gt;=100*0.8,5,IF(M962&gt;=100*0.7,4,IF(M962&gt;=100*0.6,3.5,IF(M962&gt;=100*0.5,3,IF(M962&gt;=100*0.4,2,IF(M962&gt;=100*0.33,1,0))))))))</f>
        <v/>
      </c>
      <c r="AF962">
        <f>IF(B962="","",IF(N962&lt;16.5,0,IF(N962&gt;=50*0.8,5,IF(N962&gt;=50*0.7,4,IF(N962&gt;=50*0.6,3.5,IF(N962&gt;=50*0.5,3,IF(N962&gt;=50*0.4,2,IF(N962&gt;=50*0.33,1,0))))))))</f>
        <v/>
      </c>
      <c r="AG962">
        <f>IF(B962="","",IF(O962&lt;33.0,0,IF(O962&gt;=100*0.8,5,IF(O962&gt;=100*0.7,4,IF(O962&gt;=100*0.6,3.5,IF(O962&gt;=100*0.5,3,IF(O962&gt;=100*0.4,2,IF(O962&gt;=100*0.33,1,0))))))))</f>
        <v/>
      </c>
      <c r="AH962">
        <f>IF(B962="","",IF(OR(U962=0,V962=0,W962=0,X962=0,Y962=0,Z962=0,AA962=0,AB962=0,AC962=0,AD962=0,AE962=0,AF962=0,AG962=0),1,0))</f>
        <v/>
      </c>
    </row>
    <row r="963">
      <c r="A963" s="3">
        <f>IF(B963="","",ROW()-2)</f>
        <v/>
      </c>
      <c r="P963" s="4">
        <f>IF(B963="","",SUM(C963:O963))</f>
        <v/>
      </c>
      <c r="Q963" s="5">
        <f>IF(B963="","",ROUND(P963/13,2))</f>
        <v/>
      </c>
      <c r="R963" s="5">
        <f>IF(B963="","",IF(AH963=1,0,MIN(5,ROUND((U963+V963+W963+X963+Y963+Z963+AA963+AB963+AC963+AD963+AE963+AF963+AG963)/13,2))))</f>
        <v/>
      </c>
      <c r="S963" s="3">
        <f>IF(B963="","",IF(R963&gt;=5,"A+",IF(R963&gt;=4,"A",IF(R963&gt;=3.5,"A-",IF(R963&gt;=3,"B",IF(R963&gt;=2,"C",IF(R963&gt;=1,"D","F")))))))</f>
        <v/>
      </c>
      <c r="T963" s="3">
        <f>IF(OR(B963="",S963="F"),"",COUNTIFS(P:P,"&gt;"&amp;P963,S:S,"&lt;&gt;F")+1)</f>
        <v/>
      </c>
      <c r="U963">
        <f>IF(B963="","",IF(C963&lt;33.0,0,IF(C963&gt;=100*0.8,5,IF(C963&gt;=100*0.7,4,IF(C963&gt;=100*0.6,3.5,IF(C963&gt;=100*0.5,3,IF(C963&gt;=100*0.4,2,IF(C963&gt;=100*0.33,1,0))))))))</f>
        <v/>
      </c>
      <c r="V963">
        <f>IF(B963="","",IF(D963&lt;33.0,0,IF(D963&gt;=100*0.8,5,IF(D963&gt;=100*0.7,4,IF(D963&gt;=100*0.6,3.5,IF(D963&gt;=100*0.5,3,IF(D963&gt;=100*0.4,2,IF(D963&gt;=100*0.33,1,0))))))))</f>
        <v/>
      </c>
      <c r="W963">
        <f>IF(B963="","",IF(E963&lt;16.5,0,IF(E963&gt;=50*0.8,5,IF(E963&gt;=50*0.7,4,IF(E963&gt;=50*0.6,3.5,IF(E963&gt;=50*0.5,3,IF(E963&gt;=50*0.4,2,IF(E963&gt;=50*0.33,1,0))))))))</f>
        <v/>
      </c>
      <c r="X963">
        <f>IF(B963="","",IF(F963&lt;33.0,0,IF(F963&gt;=100*0.8,5,IF(F963&gt;=100*0.7,4,IF(F963&gt;=100*0.6,3.5,IF(F963&gt;=100*0.5,3,IF(F963&gt;=100*0.4,2,IF(F963&gt;=100*0.33,1,0))))))))</f>
        <v/>
      </c>
      <c r="Y963">
        <f>IF(B963="","",IF(G963&lt;16.5,0,IF(G963&gt;=50*0.8,5,IF(G963&gt;=50*0.7,4,IF(G963&gt;=50*0.6,3.5,IF(G963&gt;=50*0.5,3,IF(G963&gt;=50*0.4,2,IF(G963&gt;=50*0.33,1,0))))))))</f>
        <v/>
      </c>
      <c r="Z963">
        <f>IF(B963="","",IF(H963&lt;33.0,0,IF(H963&gt;=100*0.8,5,IF(H963&gt;=100*0.7,4,IF(H963&gt;=100*0.6,3.5,IF(H963&gt;=100*0.5,3,IF(H963&gt;=100*0.4,2,IF(H963&gt;=100*0.33,1,0))))))))</f>
        <v/>
      </c>
      <c r="AA963">
        <f>IF(B963="","",IF(I963&lt;33.0,0,IF(I963&gt;=100*0.8,5,IF(I963&gt;=100*0.7,4,IF(I963&gt;=100*0.6,3.5,IF(I963&gt;=100*0.5,3,IF(I963&gt;=100*0.4,2,IF(I963&gt;=100*0.33,1,0))))))))</f>
        <v/>
      </c>
      <c r="AB963">
        <f>IF(B963="","",IF(J963&lt;33.0,0,IF(J963&gt;=100*0.8,5,IF(J963&gt;=100*0.7,4,IF(J963&gt;=100*0.6,3.5,IF(J963&gt;=100*0.5,3,IF(J963&gt;=100*0.4,2,IF(J963&gt;=100*0.33,1,0))))))))</f>
        <v/>
      </c>
      <c r="AC963">
        <f>IF(B963="","",IF(K963&lt;33.0,0,IF(K963&gt;=100*0.8,5,IF(K963&gt;=100*0.7,4,IF(K963&gt;=100*0.6,3.5,IF(K963&gt;=100*0.5,3,IF(K963&gt;=100*0.4,2,IF(K963&gt;=100*0.33,1,0))))))))</f>
        <v/>
      </c>
      <c r="AD963">
        <f>IF(B963="","",IF(L963&lt;33.0,0,IF(L963&gt;=100*0.8,5,IF(L963&gt;=100*0.7,4,IF(L963&gt;=100*0.6,3.5,IF(L963&gt;=100*0.5,3,IF(L963&gt;=100*0.4,2,IF(L963&gt;=100*0.33,1,0))))))))</f>
        <v/>
      </c>
      <c r="AE963">
        <f>IF(B963="","",IF(M963&lt;33.0,0,IF(M963&gt;=100*0.8,5,IF(M963&gt;=100*0.7,4,IF(M963&gt;=100*0.6,3.5,IF(M963&gt;=100*0.5,3,IF(M963&gt;=100*0.4,2,IF(M963&gt;=100*0.33,1,0))))))))</f>
        <v/>
      </c>
      <c r="AF963">
        <f>IF(B963="","",IF(N963&lt;16.5,0,IF(N963&gt;=50*0.8,5,IF(N963&gt;=50*0.7,4,IF(N963&gt;=50*0.6,3.5,IF(N963&gt;=50*0.5,3,IF(N963&gt;=50*0.4,2,IF(N963&gt;=50*0.33,1,0))))))))</f>
        <v/>
      </c>
      <c r="AG963">
        <f>IF(B963="","",IF(O963&lt;33.0,0,IF(O963&gt;=100*0.8,5,IF(O963&gt;=100*0.7,4,IF(O963&gt;=100*0.6,3.5,IF(O963&gt;=100*0.5,3,IF(O963&gt;=100*0.4,2,IF(O963&gt;=100*0.33,1,0))))))))</f>
        <v/>
      </c>
      <c r="AH963">
        <f>IF(B963="","",IF(OR(U963=0,V963=0,W963=0,X963=0,Y963=0,Z963=0,AA963=0,AB963=0,AC963=0,AD963=0,AE963=0,AF963=0,AG963=0),1,0))</f>
        <v/>
      </c>
    </row>
    <row r="964">
      <c r="A964" s="3">
        <f>IF(B964="","",ROW()-2)</f>
        <v/>
      </c>
      <c r="P964" s="4">
        <f>IF(B964="","",SUM(C964:O964))</f>
        <v/>
      </c>
      <c r="Q964" s="5">
        <f>IF(B964="","",ROUND(P964/13,2))</f>
        <v/>
      </c>
      <c r="R964" s="5">
        <f>IF(B964="","",IF(AH964=1,0,MIN(5,ROUND((U964+V964+W964+X964+Y964+Z964+AA964+AB964+AC964+AD964+AE964+AF964+AG964)/13,2))))</f>
        <v/>
      </c>
      <c r="S964" s="3">
        <f>IF(B964="","",IF(R964&gt;=5,"A+",IF(R964&gt;=4,"A",IF(R964&gt;=3.5,"A-",IF(R964&gt;=3,"B",IF(R964&gt;=2,"C",IF(R964&gt;=1,"D","F")))))))</f>
        <v/>
      </c>
      <c r="T964" s="3">
        <f>IF(OR(B964="",S964="F"),"",COUNTIFS(P:P,"&gt;"&amp;P964,S:S,"&lt;&gt;F")+1)</f>
        <v/>
      </c>
      <c r="U964">
        <f>IF(B964="","",IF(C964&lt;33.0,0,IF(C964&gt;=100*0.8,5,IF(C964&gt;=100*0.7,4,IF(C964&gt;=100*0.6,3.5,IF(C964&gt;=100*0.5,3,IF(C964&gt;=100*0.4,2,IF(C964&gt;=100*0.33,1,0))))))))</f>
        <v/>
      </c>
      <c r="V964">
        <f>IF(B964="","",IF(D964&lt;33.0,0,IF(D964&gt;=100*0.8,5,IF(D964&gt;=100*0.7,4,IF(D964&gt;=100*0.6,3.5,IF(D964&gt;=100*0.5,3,IF(D964&gt;=100*0.4,2,IF(D964&gt;=100*0.33,1,0))))))))</f>
        <v/>
      </c>
      <c r="W964">
        <f>IF(B964="","",IF(E964&lt;16.5,0,IF(E964&gt;=50*0.8,5,IF(E964&gt;=50*0.7,4,IF(E964&gt;=50*0.6,3.5,IF(E964&gt;=50*0.5,3,IF(E964&gt;=50*0.4,2,IF(E964&gt;=50*0.33,1,0))))))))</f>
        <v/>
      </c>
      <c r="X964">
        <f>IF(B964="","",IF(F964&lt;33.0,0,IF(F964&gt;=100*0.8,5,IF(F964&gt;=100*0.7,4,IF(F964&gt;=100*0.6,3.5,IF(F964&gt;=100*0.5,3,IF(F964&gt;=100*0.4,2,IF(F964&gt;=100*0.33,1,0))))))))</f>
        <v/>
      </c>
      <c r="Y964">
        <f>IF(B964="","",IF(G964&lt;16.5,0,IF(G964&gt;=50*0.8,5,IF(G964&gt;=50*0.7,4,IF(G964&gt;=50*0.6,3.5,IF(G964&gt;=50*0.5,3,IF(G964&gt;=50*0.4,2,IF(G964&gt;=50*0.33,1,0))))))))</f>
        <v/>
      </c>
      <c r="Z964">
        <f>IF(B964="","",IF(H964&lt;33.0,0,IF(H964&gt;=100*0.8,5,IF(H964&gt;=100*0.7,4,IF(H964&gt;=100*0.6,3.5,IF(H964&gt;=100*0.5,3,IF(H964&gt;=100*0.4,2,IF(H964&gt;=100*0.33,1,0))))))))</f>
        <v/>
      </c>
      <c r="AA964">
        <f>IF(B964="","",IF(I964&lt;33.0,0,IF(I964&gt;=100*0.8,5,IF(I964&gt;=100*0.7,4,IF(I964&gt;=100*0.6,3.5,IF(I964&gt;=100*0.5,3,IF(I964&gt;=100*0.4,2,IF(I964&gt;=100*0.33,1,0))))))))</f>
        <v/>
      </c>
      <c r="AB964">
        <f>IF(B964="","",IF(J964&lt;33.0,0,IF(J964&gt;=100*0.8,5,IF(J964&gt;=100*0.7,4,IF(J964&gt;=100*0.6,3.5,IF(J964&gt;=100*0.5,3,IF(J964&gt;=100*0.4,2,IF(J964&gt;=100*0.33,1,0))))))))</f>
        <v/>
      </c>
      <c r="AC964">
        <f>IF(B964="","",IF(K964&lt;33.0,0,IF(K964&gt;=100*0.8,5,IF(K964&gt;=100*0.7,4,IF(K964&gt;=100*0.6,3.5,IF(K964&gt;=100*0.5,3,IF(K964&gt;=100*0.4,2,IF(K964&gt;=100*0.33,1,0))))))))</f>
        <v/>
      </c>
      <c r="AD964">
        <f>IF(B964="","",IF(L964&lt;33.0,0,IF(L964&gt;=100*0.8,5,IF(L964&gt;=100*0.7,4,IF(L964&gt;=100*0.6,3.5,IF(L964&gt;=100*0.5,3,IF(L964&gt;=100*0.4,2,IF(L964&gt;=100*0.33,1,0))))))))</f>
        <v/>
      </c>
      <c r="AE964">
        <f>IF(B964="","",IF(M964&lt;33.0,0,IF(M964&gt;=100*0.8,5,IF(M964&gt;=100*0.7,4,IF(M964&gt;=100*0.6,3.5,IF(M964&gt;=100*0.5,3,IF(M964&gt;=100*0.4,2,IF(M964&gt;=100*0.33,1,0))))))))</f>
        <v/>
      </c>
      <c r="AF964">
        <f>IF(B964="","",IF(N964&lt;16.5,0,IF(N964&gt;=50*0.8,5,IF(N964&gt;=50*0.7,4,IF(N964&gt;=50*0.6,3.5,IF(N964&gt;=50*0.5,3,IF(N964&gt;=50*0.4,2,IF(N964&gt;=50*0.33,1,0))))))))</f>
        <v/>
      </c>
      <c r="AG964">
        <f>IF(B964="","",IF(O964&lt;33.0,0,IF(O964&gt;=100*0.8,5,IF(O964&gt;=100*0.7,4,IF(O964&gt;=100*0.6,3.5,IF(O964&gt;=100*0.5,3,IF(O964&gt;=100*0.4,2,IF(O964&gt;=100*0.33,1,0))))))))</f>
        <v/>
      </c>
      <c r="AH964">
        <f>IF(B964="","",IF(OR(U964=0,V964=0,W964=0,X964=0,Y964=0,Z964=0,AA964=0,AB964=0,AC964=0,AD964=0,AE964=0,AF964=0,AG964=0),1,0))</f>
        <v/>
      </c>
    </row>
    <row r="965">
      <c r="A965" s="3">
        <f>IF(B965="","",ROW()-2)</f>
        <v/>
      </c>
      <c r="P965" s="4">
        <f>IF(B965="","",SUM(C965:O965))</f>
        <v/>
      </c>
      <c r="Q965" s="5">
        <f>IF(B965="","",ROUND(P965/13,2))</f>
        <v/>
      </c>
      <c r="R965" s="5">
        <f>IF(B965="","",IF(AH965=1,0,MIN(5,ROUND((U965+V965+W965+X965+Y965+Z965+AA965+AB965+AC965+AD965+AE965+AF965+AG965)/13,2))))</f>
        <v/>
      </c>
      <c r="S965" s="3">
        <f>IF(B965="","",IF(R965&gt;=5,"A+",IF(R965&gt;=4,"A",IF(R965&gt;=3.5,"A-",IF(R965&gt;=3,"B",IF(R965&gt;=2,"C",IF(R965&gt;=1,"D","F")))))))</f>
        <v/>
      </c>
      <c r="T965" s="3">
        <f>IF(OR(B965="",S965="F"),"",COUNTIFS(P:P,"&gt;"&amp;P965,S:S,"&lt;&gt;F")+1)</f>
        <v/>
      </c>
      <c r="U965">
        <f>IF(B965="","",IF(C965&lt;33.0,0,IF(C965&gt;=100*0.8,5,IF(C965&gt;=100*0.7,4,IF(C965&gt;=100*0.6,3.5,IF(C965&gt;=100*0.5,3,IF(C965&gt;=100*0.4,2,IF(C965&gt;=100*0.33,1,0))))))))</f>
        <v/>
      </c>
      <c r="V965">
        <f>IF(B965="","",IF(D965&lt;33.0,0,IF(D965&gt;=100*0.8,5,IF(D965&gt;=100*0.7,4,IF(D965&gt;=100*0.6,3.5,IF(D965&gt;=100*0.5,3,IF(D965&gt;=100*0.4,2,IF(D965&gt;=100*0.33,1,0))))))))</f>
        <v/>
      </c>
      <c r="W965">
        <f>IF(B965="","",IF(E965&lt;16.5,0,IF(E965&gt;=50*0.8,5,IF(E965&gt;=50*0.7,4,IF(E965&gt;=50*0.6,3.5,IF(E965&gt;=50*0.5,3,IF(E965&gt;=50*0.4,2,IF(E965&gt;=50*0.33,1,0))))))))</f>
        <v/>
      </c>
      <c r="X965">
        <f>IF(B965="","",IF(F965&lt;33.0,0,IF(F965&gt;=100*0.8,5,IF(F965&gt;=100*0.7,4,IF(F965&gt;=100*0.6,3.5,IF(F965&gt;=100*0.5,3,IF(F965&gt;=100*0.4,2,IF(F965&gt;=100*0.33,1,0))))))))</f>
        <v/>
      </c>
      <c r="Y965">
        <f>IF(B965="","",IF(G965&lt;16.5,0,IF(G965&gt;=50*0.8,5,IF(G965&gt;=50*0.7,4,IF(G965&gt;=50*0.6,3.5,IF(G965&gt;=50*0.5,3,IF(G965&gt;=50*0.4,2,IF(G965&gt;=50*0.33,1,0))))))))</f>
        <v/>
      </c>
      <c r="Z965">
        <f>IF(B965="","",IF(H965&lt;33.0,0,IF(H965&gt;=100*0.8,5,IF(H965&gt;=100*0.7,4,IF(H965&gt;=100*0.6,3.5,IF(H965&gt;=100*0.5,3,IF(H965&gt;=100*0.4,2,IF(H965&gt;=100*0.33,1,0))))))))</f>
        <v/>
      </c>
      <c r="AA965">
        <f>IF(B965="","",IF(I965&lt;33.0,0,IF(I965&gt;=100*0.8,5,IF(I965&gt;=100*0.7,4,IF(I965&gt;=100*0.6,3.5,IF(I965&gt;=100*0.5,3,IF(I965&gt;=100*0.4,2,IF(I965&gt;=100*0.33,1,0))))))))</f>
        <v/>
      </c>
      <c r="AB965">
        <f>IF(B965="","",IF(J965&lt;33.0,0,IF(J965&gt;=100*0.8,5,IF(J965&gt;=100*0.7,4,IF(J965&gt;=100*0.6,3.5,IF(J965&gt;=100*0.5,3,IF(J965&gt;=100*0.4,2,IF(J965&gt;=100*0.33,1,0))))))))</f>
        <v/>
      </c>
      <c r="AC965">
        <f>IF(B965="","",IF(K965&lt;33.0,0,IF(K965&gt;=100*0.8,5,IF(K965&gt;=100*0.7,4,IF(K965&gt;=100*0.6,3.5,IF(K965&gt;=100*0.5,3,IF(K965&gt;=100*0.4,2,IF(K965&gt;=100*0.33,1,0))))))))</f>
        <v/>
      </c>
      <c r="AD965">
        <f>IF(B965="","",IF(L965&lt;33.0,0,IF(L965&gt;=100*0.8,5,IF(L965&gt;=100*0.7,4,IF(L965&gt;=100*0.6,3.5,IF(L965&gt;=100*0.5,3,IF(L965&gt;=100*0.4,2,IF(L965&gt;=100*0.33,1,0))))))))</f>
        <v/>
      </c>
      <c r="AE965">
        <f>IF(B965="","",IF(M965&lt;33.0,0,IF(M965&gt;=100*0.8,5,IF(M965&gt;=100*0.7,4,IF(M965&gt;=100*0.6,3.5,IF(M965&gt;=100*0.5,3,IF(M965&gt;=100*0.4,2,IF(M965&gt;=100*0.33,1,0))))))))</f>
        <v/>
      </c>
      <c r="AF965">
        <f>IF(B965="","",IF(N965&lt;16.5,0,IF(N965&gt;=50*0.8,5,IF(N965&gt;=50*0.7,4,IF(N965&gt;=50*0.6,3.5,IF(N965&gt;=50*0.5,3,IF(N965&gt;=50*0.4,2,IF(N965&gt;=50*0.33,1,0))))))))</f>
        <v/>
      </c>
      <c r="AG965">
        <f>IF(B965="","",IF(O965&lt;33.0,0,IF(O965&gt;=100*0.8,5,IF(O965&gt;=100*0.7,4,IF(O965&gt;=100*0.6,3.5,IF(O965&gt;=100*0.5,3,IF(O965&gt;=100*0.4,2,IF(O965&gt;=100*0.33,1,0))))))))</f>
        <v/>
      </c>
      <c r="AH965">
        <f>IF(B965="","",IF(OR(U965=0,V965=0,W965=0,X965=0,Y965=0,Z965=0,AA965=0,AB965=0,AC965=0,AD965=0,AE965=0,AF965=0,AG965=0),1,0))</f>
        <v/>
      </c>
    </row>
    <row r="966">
      <c r="A966" s="3">
        <f>IF(B966="","",ROW()-2)</f>
        <v/>
      </c>
      <c r="P966" s="4">
        <f>IF(B966="","",SUM(C966:O966))</f>
        <v/>
      </c>
      <c r="Q966" s="5">
        <f>IF(B966="","",ROUND(P966/13,2))</f>
        <v/>
      </c>
      <c r="R966" s="5">
        <f>IF(B966="","",IF(AH966=1,0,MIN(5,ROUND((U966+V966+W966+X966+Y966+Z966+AA966+AB966+AC966+AD966+AE966+AF966+AG966)/13,2))))</f>
        <v/>
      </c>
      <c r="S966" s="3">
        <f>IF(B966="","",IF(R966&gt;=5,"A+",IF(R966&gt;=4,"A",IF(R966&gt;=3.5,"A-",IF(R966&gt;=3,"B",IF(R966&gt;=2,"C",IF(R966&gt;=1,"D","F")))))))</f>
        <v/>
      </c>
      <c r="T966" s="3">
        <f>IF(OR(B966="",S966="F"),"",COUNTIFS(P:P,"&gt;"&amp;P966,S:S,"&lt;&gt;F")+1)</f>
        <v/>
      </c>
      <c r="U966">
        <f>IF(B966="","",IF(C966&lt;33.0,0,IF(C966&gt;=100*0.8,5,IF(C966&gt;=100*0.7,4,IF(C966&gt;=100*0.6,3.5,IF(C966&gt;=100*0.5,3,IF(C966&gt;=100*0.4,2,IF(C966&gt;=100*0.33,1,0))))))))</f>
        <v/>
      </c>
      <c r="V966">
        <f>IF(B966="","",IF(D966&lt;33.0,0,IF(D966&gt;=100*0.8,5,IF(D966&gt;=100*0.7,4,IF(D966&gt;=100*0.6,3.5,IF(D966&gt;=100*0.5,3,IF(D966&gt;=100*0.4,2,IF(D966&gt;=100*0.33,1,0))))))))</f>
        <v/>
      </c>
      <c r="W966">
        <f>IF(B966="","",IF(E966&lt;16.5,0,IF(E966&gt;=50*0.8,5,IF(E966&gt;=50*0.7,4,IF(E966&gt;=50*0.6,3.5,IF(E966&gt;=50*0.5,3,IF(E966&gt;=50*0.4,2,IF(E966&gt;=50*0.33,1,0))))))))</f>
        <v/>
      </c>
      <c r="X966">
        <f>IF(B966="","",IF(F966&lt;33.0,0,IF(F966&gt;=100*0.8,5,IF(F966&gt;=100*0.7,4,IF(F966&gt;=100*0.6,3.5,IF(F966&gt;=100*0.5,3,IF(F966&gt;=100*0.4,2,IF(F966&gt;=100*0.33,1,0))))))))</f>
        <v/>
      </c>
      <c r="Y966">
        <f>IF(B966="","",IF(G966&lt;16.5,0,IF(G966&gt;=50*0.8,5,IF(G966&gt;=50*0.7,4,IF(G966&gt;=50*0.6,3.5,IF(G966&gt;=50*0.5,3,IF(G966&gt;=50*0.4,2,IF(G966&gt;=50*0.33,1,0))))))))</f>
        <v/>
      </c>
      <c r="Z966">
        <f>IF(B966="","",IF(H966&lt;33.0,0,IF(H966&gt;=100*0.8,5,IF(H966&gt;=100*0.7,4,IF(H966&gt;=100*0.6,3.5,IF(H966&gt;=100*0.5,3,IF(H966&gt;=100*0.4,2,IF(H966&gt;=100*0.33,1,0))))))))</f>
        <v/>
      </c>
      <c r="AA966">
        <f>IF(B966="","",IF(I966&lt;33.0,0,IF(I966&gt;=100*0.8,5,IF(I966&gt;=100*0.7,4,IF(I966&gt;=100*0.6,3.5,IF(I966&gt;=100*0.5,3,IF(I966&gt;=100*0.4,2,IF(I966&gt;=100*0.33,1,0))))))))</f>
        <v/>
      </c>
      <c r="AB966">
        <f>IF(B966="","",IF(J966&lt;33.0,0,IF(J966&gt;=100*0.8,5,IF(J966&gt;=100*0.7,4,IF(J966&gt;=100*0.6,3.5,IF(J966&gt;=100*0.5,3,IF(J966&gt;=100*0.4,2,IF(J966&gt;=100*0.33,1,0))))))))</f>
        <v/>
      </c>
      <c r="AC966">
        <f>IF(B966="","",IF(K966&lt;33.0,0,IF(K966&gt;=100*0.8,5,IF(K966&gt;=100*0.7,4,IF(K966&gt;=100*0.6,3.5,IF(K966&gt;=100*0.5,3,IF(K966&gt;=100*0.4,2,IF(K966&gt;=100*0.33,1,0))))))))</f>
        <v/>
      </c>
      <c r="AD966">
        <f>IF(B966="","",IF(L966&lt;33.0,0,IF(L966&gt;=100*0.8,5,IF(L966&gt;=100*0.7,4,IF(L966&gt;=100*0.6,3.5,IF(L966&gt;=100*0.5,3,IF(L966&gt;=100*0.4,2,IF(L966&gt;=100*0.33,1,0))))))))</f>
        <v/>
      </c>
      <c r="AE966">
        <f>IF(B966="","",IF(M966&lt;33.0,0,IF(M966&gt;=100*0.8,5,IF(M966&gt;=100*0.7,4,IF(M966&gt;=100*0.6,3.5,IF(M966&gt;=100*0.5,3,IF(M966&gt;=100*0.4,2,IF(M966&gt;=100*0.33,1,0))))))))</f>
        <v/>
      </c>
      <c r="AF966">
        <f>IF(B966="","",IF(N966&lt;16.5,0,IF(N966&gt;=50*0.8,5,IF(N966&gt;=50*0.7,4,IF(N966&gt;=50*0.6,3.5,IF(N966&gt;=50*0.5,3,IF(N966&gt;=50*0.4,2,IF(N966&gt;=50*0.33,1,0))))))))</f>
        <v/>
      </c>
      <c r="AG966">
        <f>IF(B966="","",IF(O966&lt;33.0,0,IF(O966&gt;=100*0.8,5,IF(O966&gt;=100*0.7,4,IF(O966&gt;=100*0.6,3.5,IF(O966&gt;=100*0.5,3,IF(O966&gt;=100*0.4,2,IF(O966&gt;=100*0.33,1,0))))))))</f>
        <v/>
      </c>
      <c r="AH966">
        <f>IF(B966="","",IF(OR(U966=0,V966=0,W966=0,X966=0,Y966=0,Z966=0,AA966=0,AB966=0,AC966=0,AD966=0,AE966=0,AF966=0,AG966=0),1,0))</f>
        <v/>
      </c>
    </row>
    <row r="967">
      <c r="A967" s="3">
        <f>IF(B967="","",ROW()-2)</f>
        <v/>
      </c>
      <c r="P967" s="4">
        <f>IF(B967="","",SUM(C967:O967))</f>
        <v/>
      </c>
      <c r="Q967" s="5">
        <f>IF(B967="","",ROUND(P967/13,2))</f>
        <v/>
      </c>
      <c r="R967" s="5">
        <f>IF(B967="","",IF(AH967=1,0,MIN(5,ROUND((U967+V967+W967+X967+Y967+Z967+AA967+AB967+AC967+AD967+AE967+AF967+AG967)/13,2))))</f>
        <v/>
      </c>
      <c r="S967" s="3">
        <f>IF(B967="","",IF(R967&gt;=5,"A+",IF(R967&gt;=4,"A",IF(R967&gt;=3.5,"A-",IF(R967&gt;=3,"B",IF(R967&gt;=2,"C",IF(R967&gt;=1,"D","F")))))))</f>
        <v/>
      </c>
      <c r="T967" s="3">
        <f>IF(OR(B967="",S967="F"),"",COUNTIFS(P:P,"&gt;"&amp;P967,S:S,"&lt;&gt;F")+1)</f>
        <v/>
      </c>
      <c r="U967">
        <f>IF(B967="","",IF(C967&lt;33.0,0,IF(C967&gt;=100*0.8,5,IF(C967&gt;=100*0.7,4,IF(C967&gt;=100*0.6,3.5,IF(C967&gt;=100*0.5,3,IF(C967&gt;=100*0.4,2,IF(C967&gt;=100*0.33,1,0))))))))</f>
        <v/>
      </c>
      <c r="V967">
        <f>IF(B967="","",IF(D967&lt;33.0,0,IF(D967&gt;=100*0.8,5,IF(D967&gt;=100*0.7,4,IF(D967&gt;=100*0.6,3.5,IF(D967&gt;=100*0.5,3,IF(D967&gt;=100*0.4,2,IF(D967&gt;=100*0.33,1,0))))))))</f>
        <v/>
      </c>
      <c r="W967">
        <f>IF(B967="","",IF(E967&lt;16.5,0,IF(E967&gt;=50*0.8,5,IF(E967&gt;=50*0.7,4,IF(E967&gt;=50*0.6,3.5,IF(E967&gt;=50*0.5,3,IF(E967&gt;=50*0.4,2,IF(E967&gt;=50*0.33,1,0))))))))</f>
        <v/>
      </c>
      <c r="X967">
        <f>IF(B967="","",IF(F967&lt;33.0,0,IF(F967&gt;=100*0.8,5,IF(F967&gt;=100*0.7,4,IF(F967&gt;=100*0.6,3.5,IF(F967&gt;=100*0.5,3,IF(F967&gt;=100*0.4,2,IF(F967&gt;=100*0.33,1,0))))))))</f>
        <v/>
      </c>
      <c r="Y967">
        <f>IF(B967="","",IF(G967&lt;16.5,0,IF(G967&gt;=50*0.8,5,IF(G967&gt;=50*0.7,4,IF(G967&gt;=50*0.6,3.5,IF(G967&gt;=50*0.5,3,IF(G967&gt;=50*0.4,2,IF(G967&gt;=50*0.33,1,0))))))))</f>
        <v/>
      </c>
      <c r="Z967">
        <f>IF(B967="","",IF(H967&lt;33.0,0,IF(H967&gt;=100*0.8,5,IF(H967&gt;=100*0.7,4,IF(H967&gt;=100*0.6,3.5,IF(H967&gt;=100*0.5,3,IF(H967&gt;=100*0.4,2,IF(H967&gt;=100*0.33,1,0))))))))</f>
        <v/>
      </c>
      <c r="AA967">
        <f>IF(B967="","",IF(I967&lt;33.0,0,IF(I967&gt;=100*0.8,5,IF(I967&gt;=100*0.7,4,IF(I967&gt;=100*0.6,3.5,IF(I967&gt;=100*0.5,3,IF(I967&gt;=100*0.4,2,IF(I967&gt;=100*0.33,1,0))))))))</f>
        <v/>
      </c>
      <c r="AB967">
        <f>IF(B967="","",IF(J967&lt;33.0,0,IF(J967&gt;=100*0.8,5,IF(J967&gt;=100*0.7,4,IF(J967&gt;=100*0.6,3.5,IF(J967&gt;=100*0.5,3,IF(J967&gt;=100*0.4,2,IF(J967&gt;=100*0.33,1,0))))))))</f>
        <v/>
      </c>
      <c r="AC967">
        <f>IF(B967="","",IF(K967&lt;33.0,0,IF(K967&gt;=100*0.8,5,IF(K967&gt;=100*0.7,4,IF(K967&gt;=100*0.6,3.5,IF(K967&gt;=100*0.5,3,IF(K967&gt;=100*0.4,2,IF(K967&gt;=100*0.33,1,0))))))))</f>
        <v/>
      </c>
      <c r="AD967">
        <f>IF(B967="","",IF(L967&lt;33.0,0,IF(L967&gt;=100*0.8,5,IF(L967&gt;=100*0.7,4,IF(L967&gt;=100*0.6,3.5,IF(L967&gt;=100*0.5,3,IF(L967&gt;=100*0.4,2,IF(L967&gt;=100*0.33,1,0))))))))</f>
        <v/>
      </c>
      <c r="AE967">
        <f>IF(B967="","",IF(M967&lt;33.0,0,IF(M967&gt;=100*0.8,5,IF(M967&gt;=100*0.7,4,IF(M967&gt;=100*0.6,3.5,IF(M967&gt;=100*0.5,3,IF(M967&gt;=100*0.4,2,IF(M967&gt;=100*0.33,1,0))))))))</f>
        <v/>
      </c>
      <c r="AF967">
        <f>IF(B967="","",IF(N967&lt;16.5,0,IF(N967&gt;=50*0.8,5,IF(N967&gt;=50*0.7,4,IF(N967&gt;=50*0.6,3.5,IF(N967&gt;=50*0.5,3,IF(N967&gt;=50*0.4,2,IF(N967&gt;=50*0.33,1,0))))))))</f>
        <v/>
      </c>
      <c r="AG967">
        <f>IF(B967="","",IF(O967&lt;33.0,0,IF(O967&gt;=100*0.8,5,IF(O967&gt;=100*0.7,4,IF(O967&gt;=100*0.6,3.5,IF(O967&gt;=100*0.5,3,IF(O967&gt;=100*0.4,2,IF(O967&gt;=100*0.33,1,0))))))))</f>
        <v/>
      </c>
      <c r="AH967">
        <f>IF(B967="","",IF(OR(U967=0,V967=0,W967=0,X967=0,Y967=0,Z967=0,AA967=0,AB967=0,AC967=0,AD967=0,AE967=0,AF967=0,AG967=0),1,0))</f>
        <v/>
      </c>
    </row>
    <row r="968">
      <c r="A968" s="3">
        <f>IF(B968="","",ROW()-2)</f>
        <v/>
      </c>
      <c r="P968" s="4">
        <f>IF(B968="","",SUM(C968:O968))</f>
        <v/>
      </c>
      <c r="Q968" s="5">
        <f>IF(B968="","",ROUND(P968/13,2))</f>
        <v/>
      </c>
      <c r="R968" s="5">
        <f>IF(B968="","",IF(AH968=1,0,MIN(5,ROUND((U968+V968+W968+X968+Y968+Z968+AA968+AB968+AC968+AD968+AE968+AF968+AG968)/13,2))))</f>
        <v/>
      </c>
      <c r="S968" s="3">
        <f>IF(B968="","",IF(R968&gt;=5,"A+",IF(R968&gt;=4,"A",IF(R968&gt;=3.5,"A-",IF(R968&gt;=3,"B",IF(R968&gt;=2,"C",IF(R968&gt;=1,"D","F")))))))</f>
        <v/>
      </c>
      <c r="T968" s="3">
        <f>IF(OR(B968="",S968="F"),"",COUNTIFS(P:P,"&gt;"&amp;P968,S:S,"&lt;&gt;F")+1)</f>
        <v/>
      </c>
      <c r="U968">
        <f>IF(B968="","",IF(C968&lt;33.0,0,IF(C968&gt;=100*0.8,5,IF(C968&gt;=100*0.7,4,IF(C968&gt;=100*0.6,3.5,IF(C968&gt;=100*0.5,3,IF(C968&gt;=100*0.4,2,IF(C968&gt;=100*0.33,1,0))))))))</f>
        <v/>
      </c>
      <c r="V968">
        <f>IF(B968="","",IF(D968&lt;33.0,0,IF(D968&gt;=100*0.8,5,IF(D968&gt;=100*0.7,4,IF(D968&gt;=100*0.6,3.5,IF(D968&gt;=100*0.5,3,IF(D968&gt;=100*0.4,2,IF(D968&gt;=100*0.33,1,0))))))))</f>
        <v/>
      </c>
      <c r="W968">
        <f>IF(B968="","",IF(E968&lt;16.5,0,IF(E968&gt;=50*0.8,5,IF(E968&gt;=50*0.7,4,IF(E968&gt;=50*0.6,3.5,IF(E968&gt;=50*0.5,3,IF(E968&gt;=50*0.4,2,IF(E968&gt;=50*0.33,1,0))))))))</f>
        <v/>
      </c>
      <c r="X968">
        <f>IF(B968="","",IF(F968&lt;33.0,0,IF(F968&gt;=100*0.8,5,IF(F968&gt;=100*0.7,4,IF(F968&gt;=100*0.6,3.5,IF(F968&gt;=100*0.5,3,IF(F968&gt;=100*0.4,2,IF(F968&gt;=100*0.33,1,0))))))))</f>
        <v/>
      </c>
      <c r="Y968">
        <f>IF(B968="","",IF(G968&lt;16.5,0,IF(G968&gt;=50*0.8,5,IF(G968&gt;=50*0.7,4,IF(G968&gt;=50*0.6,3.5,IF(G968&gt;=50*0.5,3,IF(G968&gt;=50*0.4,2,IF(G968&gt;=50*0.33,1,0))))))))</f>
        <v/>
      </c>
      <c r="Z968">
        <f>IF(B968="","",IF(H968&lt;33.0,0,IF(H968&gt;=100*0.8,5,IF(H968&gt;=100*0.7,4,IF(H968&gt;=100*0.6,3.5,IF(H968&gt;=100*0.5,3,IF(H968&gt;=100*0.4,2,IF(H968&gt;=100*0.33,1,0))))))))</f>
        <v/>
      </c>
      <c r="AA968">
        <f>IF(B968="","",IF(I968&lt;33.0,0,IF(I968&gt;=100*0.8,5,IF(I968&gt;=100*0.7,4,IF(I968&gt;=100*0.6,3.5,IF(I968&gt;=100*0.5,3,IF(I968&gt;=100*0.4,2,IF(I968&gt;=100*0.33,1,0))))))))</f>
        <v/>
      </c>
      <c r="AB968">
        <f>IF(B968="","",IF(J968&lt;33.0,0,IF(J968&gt;=100*0.8,5,IF(J968&gt;=100*0.7,4,IF(J968&gt;=100*0.6,3.5,IF(J968&gt;=100*0.5,3,IF(J968&gt;=100*0.4,2,IF(J968&gt;=100*0.33,1,0))))))))</f>
        <v/>
      </c>
      <c r="AC968">
        <f>IF(B968="","",IF(K968&lt;33.0,0,IF(K968&gt;=100*0.8,5,IF(K968&gt;=100*0.7,4,IF(K968&gt;=100*0.6,3.5,IF(K968&gt;=100*0.5,3,IF(K968&gt;=100*0.4,2,IF(K968&gt;=100*0.33,1,0))))))))</f>
        <v/>
      </c>
      <c r="AD968">
        <f>IF(B968="","",IF(L968&lt;33.0,0,IF(L968&gt;=100*0.8,5,IF(L968&gt;=100*0.7,4,IF(L968&gt;=100*0.6,3.5,IF(L968&gt;=100*0.5,3,IF(L968&gt;=100*0.4,2,IF(L968&gt;=100*0.33,1,0))))))))</f>
        <v/>
      </c>
      <c r="AE968">
        <f>IF(B968="","",IF(M968&lt;33.0,0,IF(M968&gt;=100*0.8,5,IF(M968&gt;=100*0.7,4,IF(M968&gt;=100*0.6,3.5,IF(M968&gt;=100*0.5,3,IF(M968&gt;=100*0.4,2,IF(M968&gt;=100*0.33,1,0))))))))</f>
        <v/>
      </c>
      <c r="AF968">
        <f>IF(B968="","",IF(N968&lt;16.5,0,IF(N968&gt;=50*0.8,5,IF(N968&gt;=50*0.7,4,IF(N968&gt;=50*0.6,3.5,IF(N968&gt;=50*0.5,3,IF(N968&gt;=50*0.4,2,IF(N968&gt;=50*0.33,1,0))))))))</f>
        <v/>
      </c>
      <c r="AG968">
        <f>IF(B968="","",IF(O968&lt;33.0,0,IF(O968&gt;=100*0.8,5,IF(O968&gt;=100*0.7,4,IF(O968&gt;=100*0.6,3.5,IF(O968&gt;=100*0.5,3,IF(O968&gt;=100*0.4,2,IF(O968&gt;=100*0.33,1,0))))))))</f>
        <v/>
      </c>
      <c r="AH968">
        <f>IF(B968="","",IF(OR(U968=0,V968=0,W968=0,X968=0,Y968=0,Z968=0,AA968=0,AB968=0,AC968=0,AD968=0,AE968=0,AF968=0,AG968=0),1,0))</f>
        <v/>
      </c>
    </row>
    <row r="969">
      <c r="A969" s="3">
        <f>IF(B969="","",ROW()-2)</f>
        <v/>
      </c>
      <c r="P969" s="4">
        <f>IF(B969="","",SUM(C969:O969))</f>
        <v/>
      </c>
      <c r="Q969" s="5">
        <f>IF(B969="","",ROUND(P969/13,2))</f>
        <v/>
      </c>
      <c r="R969" s="5">
        <f>IF(B969="","",IF(AH969=1,0,MIN(5,ROUND((U969+V969+W969+X969+Y969+Z969+AA969+AB969+AC969+AD969+AE969+AF969+AG969)/13,2))))</f>
        <v/>
      </c>
      <c r="S969" s="3">
        <f>IF(B969="","",IF(R969&gt;=5,"A+",IF(R969&gt;=4,"A",IF(R969&gt;=3.5,"A-",IF(R969&gt;=3,"B",IF(R969&gt;=2,"C",IF(R969&gt;=1,"D","F")))))))</f>
        <v/>
      </c>
      <c r="T969" s="3">
        <f>IF(OR(B969="",S969="F"),"",COUNTIFS(P:P,"&gt;"&amp;P969,S:S,"&lt;&gt;F")+1)</f>
        <v/>
      </c>
      <c r="U969">
        <f>IF(B969="","",IF(C969&lt;33.0,0,IF(C969&gt;=100*0.8,5,IF(C969&gt;=100*0.7,4,IF(C969&gt;=100*0.6,3.5,IF(C969&gt;=100*0.5,3,IF(C969&gt;=100*0.4,2,IF(C969&gt;=100*0.33,1,0))))))))</f>
        <v/>
      </c>
      <c r="V969">
        <f>IF(B969="","",IF(D969&lt;33.0,0,IF(D969&gt;=100*0.8,5,IF(D969&gt;=100*0.7,4,IF(D969&gt;=100*0.6,3.5,IF(D969&gt;=100*0.5,3,IF(D969&gt;=100*0.4,2,IF(D969&gt;=100*0.33,1,0))))))))</f>
        <v/>
      </c>
      <c r="W969">
        <f>IF(B969="","",IF(E969&lt;16.5,0,IF(E969&gt;=50*0.8,5,IF(E969&gt;=50*0.7,4,IF(E969&gt;=50*0.6,3.5,IF(E969&gt;=50*0.5,3,IF(E969&gt;=50*0.4,2,IF(E969&gt;=50*0.33,1,0))))))))</f>
        <v/>
      </c>
      <c r="X969">
        <f>IF(B969="","",IF(F969&lt;33.0,0,IF(F969&gt;=100*0.8,5,IF(F969&gt;=100*0.7,4,IF(F969&gt;=100*0.6,3.5,IF(F969&gt;=100*0.5,3,IF(F969&gt;=100*0.4,2,IF(F969&gt;=100*0.33,1,0))))))))</f>
        <v/>
      </c>
      <c r="Y969">
        <f>IF(B969="","",IF(G969&lt;16.5,0,IF(G969&gt;=50*0.8,5,IF(G969&gt;=50*0.7,4,IF(G969&gt;=50*0.6,3.5,IF(G969&gt;=50*0.5,3,IF(G969&gt;=50*0.4,2,IF(G969&gt;=50*0.33,1,0))))))))</f>
        <v/>
      </c>
      <c r="Z969">
        <f>IF(B969="","",IF(H969&lt;33.0,0,IF(H969&gt;=100*0.8,5,IF(H969&gt;=100*0.7,4,IF(H969&gt;=100*0.6,3.5,IF(H969&gt;=100*0.5,3,IF(H969&gt;=100*0.4,2,IF(H969&gt;=100*0.33,1,0))))))))</f>
        <v/>
      </c>
      <c r="AA969">
        <f>IF(B969="","",IF(I969&lt;33.0,0,IF(I969&gt;=100*0.8,5,IF(I969&gt;=100*0.7,4,IF(I969&gt;=100*0.6,3.5,IF(I969&gt;=100*0.5,3,IF(I969&gt;=100*0.4,2,IF(I969&gt;=100*0.33,1,0))))))))</f>
        <v/>
      </c>
      <c r="AB969">
        <f>IF(B969="","",IF(J969&lt;33.0,0,IF(J969&gt;=100*0.8,5,IF(J969&gt;=100*0.7,4,IF(J969&gt;=100*0.6,3.5,IF(J969&gt;=100*0.5,3,IF(J969&gt;=100*0.4,2,IF(J969&gt;=100*0.33,1,0))))))))</f>
        <v/>
      </c>
      <c r="AC969">
        <f>IF(B969="","",IF(K969&lt;33.0,0,IF(K969&gt;=100*0.8,5,IF(K969&gt;=100*0.7,4,IF(K969&gt;=100*0.6,3.5,IF(K969&gt;=100*0.5,3,IF(K969&gt;=100*0.4,2,IF(K969&gt;=100*0.33,1,0))))))))</f>
        <v/>
      </c>
      <c r="AD969">
        <f>IF(B969="","",IF(L969&lt;33.0,0,IF(L969&gt;=100*0.8,5,IF(L969&gt;=100*0.7,4,IF(L969&gt;=100*0.6,3.5,IF(L969&gt;=100*0.5,3,IF(L969&gt;=100*0.4,2,IF(L969&gt;=100*0.33,1,0))))))))</f>
        <v/>
      </c>
      <c r="AE969">
        <f>IF(B969="","",IF(M969&lt;33.0,0,IF(M969&gt;=100*0.8,5,IF(M969&gt;=100*0.7,4,IF(M969&gt;=100*0.6,3.5,IF(M969&gt;=100*0.5,3,IF(M969&gt;=100*0.4,2,IF(M969&gt;=100*0.33,1,0))))))))</f>
        <v/>
      </c>
      <c r="AF969">
        <f>IF(B969="","",IF(N969&lt;16.5,0,IF(N969&gt;=50*0.8,5,IF(N969&gt;=50*0.7,4,IF(N969&gt;=50*0.6,3.5,IF(N969&gt;=50*0.5,3,IF(N969&gt;=50*0.4,2,IF(N969&gt;=50*0.33,1,0))))))))</f>
        <v/>
      </c>
      <c r="AG969">
        <f>IF(B969="","",IF(O969&lt;33.0,0,IF(O969&gt;=100*0.8,5,IF(O969&gt;=100*0.7,4,IF(O969&gt;=100*0.6,3.5,IF(O969&gt;=100*0.5,3,IF(O969&gt;=100*0.4,2,IF(O969&gt;=100*0.33,1,0))))))))</f>
        <v/>
      </c>
      <c r="AH969">
        <f>IF(B969="","",IF(OR(U969=0,V969=0,W969=0,X969=0,Y969=0,Z969=0,AA969=0,AB969=0,AC969=0,AD969=0,AE969=0,AF969=0,AG969=0),1,0))</f>
        <v/>
      </c>
    </row>
    <row r="970">
      <c r="A970" s="3">
        <f>IF(B970="","",ROW()-2)</f>
        <v/>
      </c>
      <c r="P970" s="4">
        <f>IF(B970="","",SUM(C970:O970))</f>
        <v/>
      </c>
      <c r="Q970" s="5">
        <f>IF(B970="","",ROUND(P970/13,2))</f>
        <v/>
      </c>
      <c r="R970" s="5">
        <f>IF(B970="","",IF(AH970=1,0,MIN(5,ROUND((U970+V970+W970+X970+Y970+Z970+AA970+AB970+AC970+AD970+AE970+AF970+AG970)/13,2))))</f>
        <v/>
      </c>
      <c r="S970" s="3">
        <f>IF(B970="","",IF(R970&gt;=5,"A+",IF(R970&gt;=4,"A",IF(R970&gt;=3.5,"A-",IF(R970&gt;=3,"B",IF(R970&gt;=2,"C",IF(R970&gt;=1,"D","F")))))))</f>
        <v/>
      </c>
      <c r="T970" s="3">
        <f>IF(OR(B970="",S970="F"),"",COUNTIFS(P:P,"&gt;"&amp;P970,S:S,"&lt;&gt;F")+1)</f>
        <v/>
      </c>
      <c r="U970">
        <f>IF(B970="","",IF(C970&lt;33.0,0,IF(C970&gt;=100*0.8,5,IF(C970&gt;=100*0.7,4,IF(C970&gt;=100*0.6,3.5,IF(C970&gt;=100*0.5,3,IF(C970&gt;=100*0.4,2,IF(C970&gt;=100*0.33,1,0))))))))</f>
        <v/>
      </c>
      <c r="V970">
        <f>IF(B970="","",IF(D970&lt;33.0,0,IF(D970&gt;=100*0.8,5,IF(D970&gt;=100*0.7,4,IF(D970&gt;=100*0.6,3.5,IF(D970&gt;=100*0.5,3,IF(D970&gt;=100*0.4,2,IF(D970&gt;=100*0.33,1,0))))))))</f>
        <v/>
      </c>
      <c r="W970">
        <f>IF(B970="","",IF(E970&lt;16.5,0,IF(E970&gt;=50*0.8,5,IF(E970&gt;=50*0.7,4,IF(E970&gt;=50*0.6,3.5,IF(E970&gt;=50*0.5,3,IF(E970&gt;=50*0.4,2,IF(E970&gt;=50*0.33,1,0))))))))</f>
        <v/>
      </c>
      <c r="X970">
        <f>IF(B970="","",IF(F970&lt;33.0,0,IF(F970&gt;=100*0.8,5,IF(F970&gt;=100*0.7,4,IF(F970&gt;=100*0.6,3.5,IF(F970&gt;=100*0.5,3,IF(F970&gt;=100*0.4,2,IF(F970&gt;=100*0.33,1,0))))))))</f>
        <v/>
      </c>
      <c r="Y970">
        <f>IF(B970="","",IF(G970&lt;16.5,0,IF(G970&gt;=50*0.8,5,IF(G970&gt;=50*0.7,4,IF(G970&gt;=50*0.6,3.5,IF(G970&gt;=50*0.5,3,IF(G970&gt;=50*0.4,2,IF(G970&gt;=50*0.33,1,0))))))))</f>
        <v/>
      </c>
      <c r="Z970">
        <f>IF(B970="","",IF(H970&lt;33.0,0,IF(H970&gt;=100*0.8,5,IF(H970&gt;=100*0.7,4,IF(H970&gt;=100*0.6,3.5,IF(H970&gt;=100*0.5,3,IF(H970&gt;=100*0.4,2,IF(H970&gt;=100*0.33,1,0))))))))</f>
        <v/>
      </c>
      <c r="AA970">
        <f>IF(B970="","",IF(I970&lt;33.0,0,IF(I970&gt;=100*0.8,5,IF(I970&gt;=100*0.7,4,IF(I970&gt;=100*0.6,3.5,IF(I970&gt;=100*0.5,3,IF(I970&gt;=100*0.4,2,IF(I970&gt;=100*0.33,1,0))))))))</f>
        <v/>
      </c>
      <c r="AB970">
        <f>IF(B970="","",IF(J970&lt;33.0,0,IF(J970&gt;=100*0.8,5,IF(J970&gt;=100*0.7,4,IF(J970&gt;=100*0.6,3.5,IF(J970&gt;=100*0.5,3,IF(J970&gt;=100*0.4,2,IF(J970&gt;=100*0.33,1,0))))))))</f>
        <v/>
      </c>
      <c r="AC970">
        <f>IF(B970="","",IF(K970&lt;33.0,0,IF(K970&gt;=100*0.8,5,IF(K970&gt;=100*0.7,4,IF(K970&gt;=100*0.6,3.5,IF(K970&gt;=100*0.5,3,IF(K970&gt;=100*0.4,2,IF(K970&gt;=100*0.33,1,0))))))))</f>
        <v/>
      </c>
      <c r="AD970">
        <f>IF(B970="","",IF(L970&lt;33.0,0,IF(L970&gt;=100*0.8,5,IF(L970&gt;=100*0.7,4,IF(L970&gt;=100*0.6,3.5,IF(L970&gt;=100*0.5,3,IF(L970&gt;=100*0.4,2,IF(L970&gt;=100*0.33,1,0))))))))</f>
        <v/>
      </c>
      <c r="AE970">
        <f>IF(B970="","",IF(M970&lt;33.0,0,IF(M970&gt;=100*0.8,5,IF(M970&gt;=100*0.7,4,IF(M970&gt;=100*0.6,3.5,IF(M970&gt;=100*0.5,3,IF(M970&gt;=100*0.4,2,IF(M970&gt;=100*0.33,1,0))))))))</f>
        <v/>
      </c>
      <c r="AF970">
        <f>IF(B970="","",IF(N970&lt;16.5,0,IF(N970&gt;=50*0.8,5,IF(N970&gt;=50*0.7,4,IF(N970&gt;=50*0.6,3.5,IF(N970&gt;=50*0.5,3,IF(N970&gt;=50*0.4,2,IF(N970&gt;=50*0.33,1,0))))))))</f>
        <v/>
      </c>
      <c r="AG970">
        <f>IF(B970="","",IF(O970&lt;33.0,0,IF(O970&gt;=100*0.8,5,IF(O970&gt;=100*0.7,4,IF(O970&gt;=100*0.6,3.5,IF(O970&gt;=100*0.5,3,IF(O970&gt;=100*0.4,2,IF(O970&gt;=100*0.33,1,0))))))))</f>
        <v/>
      </c>
      <c r="AH970">
        <f>IF(B970="","",IF(OR(U970=0,V970=0,W970=0,X970=0,Y970=0,Z970=0,AA970=0,AB970=0,AC970=0,AD970=0,AE970=0,AF970=0,AG970=0),1,0))</f>
        <v/>
      </c>
    </row>
    <row r="971">
      <c r="A971" s="3">
        <f>IF(B971="","",ROW()-2)</f>
        <v/>
      </c>
      <c r="P971" s="4">
        <f>IF(B971="","",SUM(C971:O971))</f>
        <v/>
      </c>
      <c r="Q971" s="5">
        <f>IF(B971="","",ROUND(P971/13,2))</f>
        <v/>
      </c>
      <c r="R971" s="5">
        <f>IF(B971="","",IF(AH971=1,0,MIN(5,ROUND((U971+V971+W971+X971+Y971+Z971+AA971+AB971+AC971+AD971+AE971+AF971+AG971)/13,2))))</f>
        <v/>
      </c>
      <c r="S971" s="3">
        <f>IF(B971="","",IF(R971&gt;=5,"A+",IF(R971&gt;=4,"A",IF(R971&gt;=3.5,"A-",IF(R971&gt;=3,"B",IF(R971&gt;=2,"C",IF(R971&gt;=1,"D","F")))))))</f>
        <v/>
      </c>
      <c r="T971" s="3">
        <f>IF(OR(B971="",S971="F"),"",COUNTIFS(P:P,"&gt;"&amp;P971,S:S,"&lt;&gt;F")+1)</f>
        <v/>
      </c>
      <c r="U971">
        <f>IF(B971="","",IF(C971&lt;33.0,0,IF(C971&gt;=100*0.8,5,IF(C971&gt;=100*0.7,4,IF(C971&gt;=100*0.6,3.5,IF(C971&gt;=100*0.5,3,IF(C971&gt;=100*0.4,2,IF(C971&gt;=100*0.33,1,0))))))))</f>
        <v/>
      </c>
      <c r="V971">
        <f>IF(B971="","",IF(D971&lt;33.0,0,IF(D971&gt;=100*0.8,5,IF(D971&gt;=100*0.7,4,IF(D971&gt;=100*0.6,3.5,IF(D971&gt;=100*0.5,3,IF(D971&gt;=100*0.4,2,IF(D971&gt;=100*0.33,1,0))))))))</f>
        <v/>
      </c>
      <c r="W971">
        <f>IF(B971="","",IF(E971&lt;16.5,0,IF(E971&gt;=50*0.8,5,IF(E971&gt;=50*0.7,4,IF(E971&gt;=50*0.6,3.5,IF(E971&gt;=50*0.5,3,IF(E971&gt;=50*0.4,2,IF(E971&gt;=50*0.33,1,0))))))))</f>
        <v/>
      </c>
      <c r="X971">
        <f>IF(B971="","",IF(F971&lt;33.0,0,IF(F971&gt;=100*0.8,5,IF(F971&gt;=100*0.7,4,IF(F971&gt;=100*0.6,3.5,IF(F971&gt;=100*0.5,3,IF(F971&gt;=100*0.4,2,IF(F971&gt;=100*0.33,1,0))))))))</f>
        <v/>
      </c>
      <c r="Y971">
        <f>IF(B971="","",IF(G971&lt;16.5,0,IF(G971&gt;=50*0.8,5,IF(G971&gt;=50*0.7,4,IF(G971&gt;=50*0.6,3.5,IF(G971&gt;=50*0.5,3,IF(G971&gt;=50*0.4,2,IF(G971&gt;=50*0.33,1,0))))))))</f>
        <v/>
      </c>
      <c r="Z971">
        <f>IF(B971="","",IF(H971&lt;33.0,0,IF(H971&gt;=100*0.8,5,IF(H971&gt;=100*0.7,4,IF(H971&gt;=100*0.6,3.5,IF(H971&gt;=100*0.5,3,IF(H971&gt;=100*0.4,2,IF(H971&gt;=100*0.33,1,0))))))))</f>
        <v/>
      </c>
      <c r="AA971">
        <f>IF(B971="","",IF(I971&lt;33.0,0,IF(I971&gt;=100*0.8,5,IF(I971&gt;=100*0.7,4,IF(I971&gt;=100*0.6,3.5,IF(I971&gt;=100*0.5,3,IF(I971&gt;=100*0.4,2,IF(I971&gt;=100*0.33,1,0))))))))</f>
        <v/>
      </c>
      <c r="AB971">
        <f>IF(B971="","",IF(J971&lt;33.0,0,IF(J971&gt;=100*0.8,5,IF(J971&gt;=100*0.7,4,IF(J971&gt;=100*0.6,3.5,IF(J971&gt;=100*0.5,3,IF(J971&gt;=100*0.4,2,IF(J971&gt;=100*0.33,1,0))))))))</f>
        <v/>
      </c>
      <c r="AC971">
        <f>IF(B971="","",IF(K971&lt;33.0,0,IF(K971&gt;=100*0.8,5,IF(K971&gt;=100*0.7,4,IF(K971&gt;=100*0.6,3.5,IF(K971&gt;=100*0.5,3,IF(K971&gt;=100*0.4,2,IF(K971&gt;=100*0.33,1,0))))))))</f>
        <v/>
      </c>
      <c r="AD971">
        <f>IF(B971="","",IF(L971&lt;33.0,0,IF(L971&gt;=100*0.8,5,IF(L971&gt;=100*0.7,4,IF(L971&gt;=100*0.6,3.5,IF(L971&gt;=100*0.5,3,IF(L971&gt;=100*0.4,2,IF(L971&gt;=100*0.33,1,0))))))))</f>
        <v/>
      </c>
      <c r="AE971">
        <f>IF(B971="","",IF(M971&lt;33.0,0,IF(M971&gt;=100*0.8,5,IF(M971&gt;=100*0.7,4,IF(M971&gt;=100*0.6,3.5,IF(M971&gt;=100*0.5,3,IF(M971&gt;=100*0.4,2,IF(M971&gt;=100*0.33,1,0))))))))</f>
        <v/>
      </c>
      <c r="AF971">
        <f>IF(B971="","",IF(N971&lt;16.5,0,IF(N971&gt;=50*0.8,5,IF(N971&gt;=50*0.7,4,IF(N971&gt;=50*0.6,3.5,IF(N971&gt;=50*0.5,3,IF(N971&gt;=50*0.4,2,IF(N971&gt;=50*0.33,1,0))))))))</f>
        <v/>
      </c>
      <c r="AG971">
        <f>IF(B971="","",IF(O971&lt;33.0,0,IF(O971&gt;=100*0.8,5,IF(O971&gt;=100*0.7,4,IF(O971&gt;=100*0.6,3.5,IF(O971&gt;=100*0.5,3,IF(O971&gt;=100*0.4,2,IF(O971&gt;=100*0.33,1,0))))))))</f>
        <v/>
      </c>
      <c r="AH971">
        <f>IF(B971="","",IF(OR(U971=0,V971=0,W971=0,X971=0,Y971=0,Z971=0,AA971=0,AB971=0,AC971=0,AD971=0,AE971=0,AF971=0,AG971=0),1,0))</f>
        <v/>
      </c>
    </row>
    <row r="972">
      <c r="A972" s="3">
        <f>IF(B972="","",ROW()-2)</f>
        <v/>
      </c>
      <c r="P972" s="4">
        <f>IF(B972="","",SUM(C972:O972))</f>
        <v/>
      </c>
      <c r="Q972" s="5">
        <f>IF(B972="","",ROUND(P972/13,2))</f>
        <v/>
      </c>
      <c r="R972" s="5">
        <f>IF(B972="","",IF(AH972=1,0,MIN(5,ROUND((U972+V972+W972+X972+Y972+Z972+AA972+AB972+AC972+AD972+AE972+AF972+AG972)/13,2))))</f>
        <v/>
      </c>
      <c r="S972" s="3">
        <f>IF(B972="","",IF(R972&gt;=5,"A+",IF(R972&gt;=4,"A",IF(R972&gt;=3.5,"A-",IF(R972&gt;=3,"B",IF(R972&gt;=2,"C",IF(R972&gt;=1,"D","F")))))))</f>
        <v/>
      </c>
      <c r="T972" s="3">
        <f>IF(OR(B972="",S972="F"),"",COUNTIFS(P:P,"&gt;"&amp;P972,S:S,"&lt;&gt;F")+1)</f>
        <v/>
      </c>
      <c r="U972">
        <f>IF(B972="","",IF(C972&lt;33.0,0,IF(C972&gt;=100*0.8,5,IF(C972&gt;=100*0.7,4,IF(C972&gt;=100*0.6,3.5,IF(C972&gt;=100*0.5,3,IF(C972&gt;=100*0.4,2,IF(C972&gt;=100*0.33,1,0))))))))</f>
        <v/>
      </c>
      <c r="V972">
        <f>IF(B972="","",IF(D972&lt;33.0,0,IF(D972&gt;=100*0.8,5,IF(D972&gt;=100*0.7,4,IF(D972&gt;=100*0.6,3.5,IF(D972&gt;=100*0.5,3,IF(D972&gt;=100*0.4,2,IF(D972&gt;=100*0.33,1,0))))))))</f>
        <v/>
      </c>
      <c r="W972">
        <f>IF(B972="","",IF(E972&lt;16.5,0,IF(E972&gt;=50*0.8,5,IF(E972&gt;=50*0.7,4,IF(E972&gt;=50*0.6,3.5,IF(E972&gt;=50*0.5,3,IF(E972&gt;=50*0.4,2,IF(E972&gt;=50*0.33,1,0))))))))</f>
        <v/>
      </c>
      <c r="X972">
        <f>IF(B972="","",IF(F972&lt;33.0,0,IF(F972&gt;=100*0.8,5,IF(F972&gt;=100*0.7,4,IF(F972&gt;=100*0.6,3.5,IF(F972&gt;=100*0.5,3,IF(F972&gt;=100*0.4,2,IF(F972&gt;=100*0.33,1,0))))))))</f>
        <v/>
      </c>
      <c r="Y972">
        <f>IF(B972="","",IF(G972&lt;16.5,0,IF(G972&gt;=50*0.8,5,IF(G972&gt;=50*0.7,4,IF(G972&gt;=50*0.6,3.5,IF(G972&gt;=50*0.5,3,IF(G972&gt;=50*0.4,2,IF(G972&gt;=50*0.33,1,0))))))))</f>
        <v/>
      </c>
      <c r="Z972">
        <f>IF(B972="","",IF(H972&lt;33.0,0,IF(H972&gt;=100*0.8,5,IF(H972&gt;=100*0.7,4,IF(H972&gt;=100*0.6,3.5,IF(H972&gt;=100*0.5,3,IF(H972&gt;=100*0.4,2,IF(H972&gt;=100*0.33,1,0))))))))</f>
        <v/>
      </c>
      <c r="AA972">
        <f>IF(B972="","",IF(I972&lt;33.0,0,IF(I972&gt;=100*0.8,5,IF(I972&gt;=100*0.7,4,IF(I972&gt;=100*0.6,3.5,IF(I972&gt;=100*0.5,3,IF(I972&gt;=100*0.4,2,IF(I972&gt;=100*0.33,1,0))))))))</f>
        <v/>
      </c>
      <c r="AB972">
        <f>IF(B972="","",IF(J972&lt;33.0,0,IF(J972&gt;=100*0.8,5,IF(J972&gt;=100*0.7,4,IF(J972&gt;=100*0.6,3.5,IF(J972&gt;=100*0.5,3,IF(J972&gt;=100*0.4,2,IF(J972&gt;=100*0.33,1,0))))))))</f>
        <v/>
      </c>
      <c r="AC972">
        <f>IF(B972="","",IF(K972&lt;33.0,0,IF(K972&gt;=100*0.8,5,IF(K972&gt;=100*0.7,4,IF(K972&gt;=100*0.6,3.5,IF(K972&gt;=100*0.5,3,IF(K972&gt;=100*0.4,2,IF(K972&gt;=100*0.33,1,0))))))))</f>
        <v/>
      </c>
      <c r="AD972">
        <f>IF(B972="","",IF(L972&lt;33.0,0,IF(L972&gt;=100*0.8,5,IF(L972&gt;=100*0.7,4,IF(L972&gt;=100*0.6,3.5,IF(L972&gt;=100*0.5,3,IF(L972&gt;=100*0.4,2,IF(L972&gt;=100*0.33,1,0))))))))</f>
        <v/>
      </c>
      <c r="AE972">
        <f>IF(B972="","",IF(M972&lt;33.0,0,IF(M972&gt;=100*0.8,5,IF(M972&gt;=100*0.7,4,IF(M972&gt;=100*0.6,3.5,IF(M972&gt;=100*0.5,3,IF(M972&gt;=100*0.4,2,IF(M972&gt;=100*0.33,1,0))))))))</f>
        <v/>
      </c>
      <c r="AF972">
        <f>IF(B972="","",IF(N972&lt;16.5,0,IF(N972&gt;=50*0.8,5,IF(N972&gt;=50*0.7,4,IF(N972&gt;=50*0.6,3.5,IF(N972&gt;=50*0.5,3,IF(N972&gt;=50*0.4,2,IF(N972&gt;=50*0.33,1,0))))))))</f>
        <v/>
      </c>
      <c r="AG972">
        <f>IF(B972="","",IF(O972&lt;33.0,0,IF(O972&gt;=100*0.8,5,IF(O972&gt;=100*0.7,4,IF(O972&gt;=100*0.6,3.5,IF(O972&gt;=100*0.5,3,IF(O972&gt;=100*0.4,2,IF(O972&gt;=100*0.33,1,0))))))))</f>
        <v/>
      </c>
      <c r="AH972">
        <f>IF(B972="","",IF(OR(U972=0,V972=0,W972=0,X972=0,Y972=0,Z972=0,AA972=0,AB972=0,AC972=0,AD972=0,AE972=0,AF972=0,AG972=0),1,0))</f>
        <v/>
      </c>
    </row>
    <row r="973">
      <c r="A973" s="3">
        <f>IF(B973="","",ROW()-2)</f>
        <v/>
      </c>
      <c r="P973" s="4">
        <f>IF(B973="","",SUM(C973:O973))</f>
        <v/>
      </c>
      <c r="Q973" s="5">
        <f>IF(B973="","",ROUND(P973/13,2))</f>
        <v/>
      </c>
      <c r="R973" s="5">
        <f>IF(B973="","",IF(AH973=1,0,MIN(5,ROUND((U973+V973+W973+X973+Y973+Z973+AA973+AB973+AC973+AD973+AE973+AF973+AG973)/13,2))))</f>
        <v/>
      </c>
      <c r="S973" s="3">
        <f>IF(B973="","",IF(R973&gt;=5,"A+",IF(R973&gt;=4,"A",IF(R973&gt;=3.5,"A-",IF(R973&gt;=3,"B",IF(R973&gt;=2,"C",IF(R973&gt;=1,"D","F")))))))</f>
        <v/>
      </c>
      <c r="T973" s="3">
        <f>IF(OR(B973="",S973="F"),"",COUNTIFS(P:P,"&gt;"&amp;P973,S:S,"&lt;&gt;F")+1)</f>
        <v/>
      </c>
      <c r="U973">
        <f>IF(B973="","",IF(C973&lt;33.0,0,IF(C973&gt;=100*0.8,5,IF(C973&gt;=100*0.7,4,IF(C973&gt;=100*0.6,3.5,IF(C973&gt;=100*0.5,3,IF(C973&gt;=100*0.4,2,IF(C973&gt;=100*0.33,1,0))))))))</f>
        <v/>
      </c>
      <c r="V973">
        <f>IF(B973="","",IF(D973&lt;33.0,0,IF(D973&gt;=100*0.8,5,IF(D973&gt;=100*0.7,4,IF(D973&gt;=100*0.6,3.5,IF(D973&gt;=100*0.5,3,IF(D973&gt;=100*0.4,2,IF(D973&gt;=100*0.33,1,0))))))))</f>
        <v/>
      </c>
      <c r="W973">
        <f>IF(B973="","",IF(E973&lt;16.5,0,IF(E973&gt;=50*0.8,5,IF(E973&gt;=50*0.7,4,IF(E973&gt;=50*0.6,3.5,IF(E973&gt;=50*0.5,3,IF(E973&gt;=50*0.4,2,IF(E973&gt;=50*0.33,1,0))))))))</f>
        <v/>
      </c>
      <c r="X973">
        <f>IF(B973="","",IF(F973&lt;33.0,0,IF(F973&gt;=100*0.8,5,IF(F973&gt;=100*0.7,4,IF(F973&gt;=100*0.6,3.5,IF(F973&gt;=100*0.5,3,IF(F973&gt;=100*0.4,2,IF(F973&gt;=100*0.33,1,0))))))))</f>
        <v/>
      </c>
      <c r="Y973">
        <f>IF(B973="","",IF(G973&lt;16.5,0,IF(G973&gt;=50*0.8,5,IF(G973&gt;=50*0.7,4,IF(G973&gt;=50*0.6,3.5,IF(G973&gt;=50*0.5,3,IF(G973&gt;=50*0.4,2,IF(G973&gt;=50*0.33,1,0))))))))</f>
        <v/>
      </c>
      <c r="Z973">
        <f>IF(B973="","",IF(H973&lt;33.0,0,IF(H973&gt;=100*0.8,5,IF(H973&gt;=100*0.7,4,IF(H973&gt;=100*0.6,3.5,IF(H973&gt;=100*0.5,3,IF(H973&gt;=100*0.4,2,IF(H973&gt;=100*0.33,1,0))))))))</f>
        <v/>
      </c>
      <c r="AA973">
        <f>IF(B973="","",IF(I973&lt;33.0,0,IF(I973&gt;=100*0.8,5,IF(I973&gt;=100*0.7,4,IF(I973&gt;=100*0.6,3.5,IF(I973&gt;=100*0.5,3,IF(I973&gt;=100*0.4,2,IF(I973&gt;=100*0.33,1,0))))))))</f>
        <v/>
      </c>
      <c r="AB973">
        <f>IF(B973="","",IF(J973&lt;33.0,0,IF(J973&gt;=100*0.8,5,IF(J973&gt;=100*0.7,4,IF(J973&gt;=100*0.6,3.5,IF(J973&gt;=100*0.5,3,IF(J973&gt;=100*0.4,2,IF(J973&gt;=100*0.33,1,0))))))))</f>
        <v/>
      </c>
      <c r="AC973">
        <f>IF(B973="","",IF(K973&lt;33.0,0,IF(K973&gt;=100*0.8,5,IF(K973&gt;=100*0.7,4,IF(K973&gt;=100*0.6,3.5,IF(K973&gt;=100*0.5,3,IF(K973&gt;=100*0.4,2,IF(K973&gt;=100*0.33,1,0))))))))</f>
        <v/>
      </c>
      <c r="AD973">
        <f>IF(B973="","",IF(L973&lt;33.0,0,IF(L973&gt;=100*0.8,5,IF(L973&gt;=100*0.7,4,IF(L973&gt;=100*0.6,3.5,IF(L973&gt;=100*0.5,3,IF(L973&gt;=100*0.4,2,IF(L973&gt;=100*0.33,1,0))))))))</f>
        <v/>
      </c>
      <c r="AE973">
        <f>IF(B973="","",IF(M973&lt;33.0,0,IF(M973&gt;=100*0.8,5,IF(M973&gt;=100*0.7,4,IF(M973&gt;=100*0.6,3.5,IF(M973&gt;=100*0.5,3,IF(M973&gt;=100*0.4,2,IF(M973&gt;=100*0.33,1,0))))))))</f>
        <v/>
      </c>
      <c r="AF973">
        <f>IF(B973="","",IF(N973&lt;16.5,0,IF(N973&gt;=50*0.8,5,IF(N973&gt;=50*0.7,4,IF(N973&gt;=50*0.6,3.5,IF(N973&gt;=50*0.5,3,IF(N973&gt;=50*0.4,2,IF(N973&gt;=50*0.33,1,0))))))))</f>
        <v/>
      </c>
      <c r="AG973">
        <f>IF(B973="","",IF(O973&lt;33.0,0,IF(O973&gt;=100*0.8,5,IF(O973&gt;=100*0.7,4,IF(O973&gt;=100*0.6,3.5,IF(O973&gt;=100*0.5,3,IF(O973&gt;=100*0.4,2,IF(O973&gt;=100*0.33,1,0))))))))</f>
        <v/>
      </c>
      <c r="AH973">
        <f>IF(B973="","",IF(OR(U973=0,V973=0,W973=0,X973=0,Y973=0,Z973=0,AA973=0,AB973=0,AC973=0,AD973=0,AE973=0,AF973=0,AG973=0),1,0))</f>
        <v/>
      </c>
    </row>
    <row r="974">
      <c r="A974" s="3">
        <f>IF(B974="","",ROW()-2)</f>
        <v/>
      </c>
      <c r="P974" s="4">
        <f>IF(B974="","",SUM(C974:O974))</f>
        <v/>
      </c>
      <c r="Q974" s="5">
        <f>IF(B974="","",ROUND(P974/13,2))</f>
        <v/>
      </c>
      <c r="R974" s="5">
        <f>IF(B974="","",IF(AH974=1,0,MIN(5,ROUND((U974+V974+W974+X974+Y974+Z974+AA974+AB974+AC974+AD974+AE974+AF974+AG974)/13,2))))</f>
        <v/>
      </c>
      <c r="S974" s="3">
        <f>IF(B974="","",IF(R974&gt;=5,"A+",IF(R974&gt;=4,"A",IF(R974&gt;=3.5,"A-",IF(R974&gt;=3,"B",IF(R974&gt;=2,"C",IF(R974&gt;=1,"D","F")))))))</f>
        <v/>
      </c>
      <c r="T974" s="3">
        <f>IF(OR(B974="",S974="F"),"",COUNTIFS(P:P,"&gt;"&amp;P974,S:S,"&lt;&gt;F")+1)</f>
        <v/>
      </c>
      <c r="U974">
        <f>IF(B974="","",IF(C974&lt;33.0,0,IF(C974&gt;=100*0.8,5,IF(C974&gt;=100*0.7,4,IF(C974&gt;=100*0.6,3.5,IF(C974&gt;=100*0.5,3,IF(C974&gt;=100*0.4,2,IF(C974&gt;=100*0.33,1,0))))))))</f>
        <v/>
      </c>
      <c r="V974">
        <f>IF(B974="","",IF(D974&lt;33.0,0,IF(D974&gt;=100*0.8,5,IF(D974&gt;=100*0.7,4,IF(D974&gt;=100*0.6,3.5,IF(D974&gt;=100*0.5,3,IF(D974&gt;=100*0.4,2,IF(D974&gt;=100*0.33,1,0))))))))</f>
        <v/>
      </c>
      <c r="W974">
        <f>IF(B974="","",IF(E974&lt;16.5,0,IF(E974&gt;=50*0.8,5,IF(E974&gt;=50*0.7,4,IF(E974&gt;=50*0.6,3.5,IF(E974&gt;=50*0.5,3,IF(E974&gt;=50*0.4,2,IF(E974&gt;=50*0.33,1,0))))))))</f>
        <v/>
      </c>
      <c r="X974">
        <f>IF(B974="","",IF(F974&lt;33.0,0,IF(F974&gt;=100*0.8,5,IF(F974&gt;=100*0.7,4,IF(F974&gt;=100*0.6,3.5,IF(F974&gt;=100*0.5,3,IF(F974&gt;=100*0.4,2,IF(F974&gt;=100*0.33,1,0))))))))</f>
        <v/>
      </c>
      <c r="Y974">
        <f>IF(B974="","",IF(G974&lt;16.5,0,IF(G974&gt;=50*0.8,5,IF(G974&gt;=50*0.7,4,IF(G974&gt;=50*0.6,3.5,IF(G974&gt;=50*0.5,3,IF(G974&gt;=50*0.4,2,IF(G974&gt;=50*0.33,1,0))))))))</f>
        <v/>
      </c>
      <c r="Z974">
        <f>IF(B974="","",IF(H974&lt;33.0,0,IF(H974&gt;=100*0.8,5,IF(H974&gt;=100*0.7,4,IF(H974&gt;=100*0.6,3.5,IF(H974&gt;=100*0.5,3,IF(H974&gt;=100*0.4,2,IF(H974&gt;=100*0.33,1,0))))))))</f>
        <v/>
      </c>
      <c r="AA974">
        <f>IF(B974="","",IF(I974&lt;33.0,0,IF(I974&gt;=100*0.8,5,IF(I974&gt;=100*0.7,4,IF(I974&gt;=100*0.6,3.5,IF(I974&gt;=100*0.5,3,IF(I974&gt;=100*0.4,2,IF(I974&gt;=100*0.33,1,0))))))))</f>
        <v/>
      </c>
      <c r="AB974">
        <f>IF(B974="","",IF(J974&lt;33.0,0,IF(J974&gt;=100*0.8,5,IF(J974&gt;=100*0.7,4,IF(J974&gt;=100*0.6,3.5,IF(J974&gt;=100*0.5,3,IF(J974&gt;=100*0.4,2,IF(J974&gt;=100*0.33,1,0))))))))</f>
        <v/>
      </c>
      <c r="AC974">
        <f>IF(B974="","",IF(K974&lt;33.0,0,IF(K974&gt;=100*0.8,5,IF(K974&gt;=100*0.7,4,IF(K974&gt;=100*0.6,3.5,IF(K974&gt;=100*0.5,3,IF(K974&gt;=100*0.4,2,IF(K974&gt;=100*0.33,1,0))))))))</f>
        <v/>
      </c>
      <c r="AD974">
        <f>IF(B974="","",IF(L974&lt;33.0,0,IF(L974&gt;=100*0.8,5,IF(L974&gt;=100*0.7,4,IF(L974&gt;=100*0.6,3.5,IF(L974&gt;=100*0.5,3,IF(L974&gt;=100*0.4,2,IF(L974&gt;=100*0.33,1,0))))))))</f>
        <v/>
      </c>
      <c r="AE974">
        <f>IF(B974="","",IF(M974&lt;33.0,0,IF(M974&gt;=100*0.8,5,IF(M974&gt;=100*0.7,4,IF(M974&gt;=100*0.6,3.5,IF(M974&gt;=100*0.5,3,IF(M974&gt;=100*0.4,2,IF(M974&gt;=100*0.33,1,0))))))))</f>
        <v/>
      </c>
      <c r="AF974">
        <f>IF(B974="","",IF(N974&lt;16.5,0,IF(N974&gt;=50*0.8,5,IF(N974&gt;=50*0.7,4,IF(N974&gt;=50*0.6,3.5,IF(N974&gt;=50*0.5,3,IF(N974&gt;=50*0.4,2,IF(N974&gt;=50*0.33,1,0))))))))</f>
        <v/>
      </c>
      <c r="AG974">
        <f>IF(B974="","",IF(O974&lt;33.0,0,IF(O974&gt;=100*0.8,5,IF(O974&gt;=100*0.7,4,IF(O974&gt;=100*0.6,3.5,IF(O974&gt;=100*0.5,3,IF(O974&gt;=100*0.4,2,IF(O974&gt;=100*0.33,1,0))))))))</f>
        <v/>
      </c>
      <c r="AH974">
        <f>IF(B974="","",IF(OR(U974=0,V974=0,W974=0,X974=0,Y974=0,Z974=0,AA974=0,AB974=0,AC974=0,AD974=0,AE974=0,AF974=0,AG974=0),1,0))</f>
        <v/>
      </c>
    </row>
    <row r="975">
      <c r="A975" s="3">
        <f>IF(B975="","",ROW()-2)</f>
        <v/>
      </c>
      <c r="P975" s="4">
        <f>IF(B975="","",SUM(C975:O975))</f>
        <v/>
      </c>
      <c r="Q975" s="5">
        <f>IF(B975="","",ROUND(P975/13,2))</f>
        <v/>
      </c>
      <c r="R975" s="5">
        <f>IF(B975="","",IF(AH975=1,0,MIN(5,ROUND((U975+V975+W975+X975+Y975+Z975+AA975+AB975+AC975+AD975+AE975+AF975+AG975)/13,2))))</f>
        <v/>
      </c>
      <c r="S975" s="3">
        <f>IF(B975="","",IF(R975&gt;=5,"A+",IF(R975&gt;=4,"A",IF(R975&gt;=3.5,"A-",IF(R975&gt;=3,"B",IF(R975&gt;=2,"C",IF(R975&gt;=1,"D","F")))))))</f>
        <v/>
      </c>
      <c r="T975" s="3">
        <f>IF(OR(B975="",S975="F"),"",COUNTIFS(P:P,"&gt;"&amp;P975,S:S,"&lt;&gt;F")+1)</f>
        <v/>
      </c>
      <c r="U975">
        <f>IF(B975="","",IF(C975&lt;33.0,0,IF(C975&gt;=100*0.8,5,IF(C975&gt;=100*0.7,4,IF(C975&gt;=100*0.6,3.5,IF(C975&gt;=100*0.5,3,IF(C975&gt;=100*0.4,2,IF(C975&gt;=100*0.33,1,0))))))))</f>
        <v/>
      </c>
      <c r="V975">
        <f>IF(B975="","",IF(D975&lt;33.0,0,IF(D975&gt;=100*0.8,5,IF(D975&gt;=100*0.7,4,IF(D975&gt;=100*0.6,3.5,IF(D975&gt;=100*0.5,3,IF(D975&gt;=100*0.4,2,IF(D975&gt;=100*0.33,1,0))))))))</f>
        <v/>
      </c>
      <c r="W975">
        <f>IF(B975="","",IF(E975&lt;16.5,0,IF(E975&gt;=50*0.8,5,IF(E975&gt;=50*0.7,4,IF(E975&gt;=50*0.6,3.5,IF(E975&gt;=50*0.5,3,IF(E975&gt;=50*0.4,2,IF(E975&gt;=50*0.33,1,0))))))))</f>
        <v/>
      </c>
      <c r="X975">
        <f>IF(B975="","",IF(F975&lt;33.0,0,IF(F975&gt;=100*0.8,5,IF(F975&gt;=100*0.7,4,IF(F975&gt;=100*0.6,3.5,IF(F975&gt;=100*0.5,3,IF(F975&gt;=100*0.4,2,IF(F975&gt;=100*0.33,1,0))))))))</f>
        <v/>
      </c>
      <c r="Y975">
        <f>IF(B975="","",IF(G975&lt;16.5,0,IF(G975&gt;=50*0.8,5,IF(G975&gt;=50*0.7,4,IF(G975&gt;=50*0.6,3.5,IF(G975&gt;=50*0.5,3,IF(G975&gt;=50*0.4,2,IF(G975&gt;=50*0.33,1,0))))))))</f>
        <v/>
      </c>
      <c r="Z975">
        <f>IF(B975="","",IF(H975&lt;33.0,0,IF(H975&gt;=100*0.8,5,IF(H975&gt;=100*0.7,4,IF(H975&gt;=100*0.6,3.5,IF(H975&gt;=100*0.5,3,IF(H975&gt;=100*0.4,2,IF(H975&gt;=100*0.33,1,0))))))))</f>
        <v/>
      </c>
      <c r="AA975">
        <f>IF(B975="","",IF(I975&lt;33.0,0,IF(I975&gt;=100*0.8,5,IF(I975&gt;=100*0.7,4,IF(I975&gt;=100*0.6,3.5,IF(I975&gt;=100*0.5,3,IF(I975&gt;=100*0.4,2,IF(I975&gt;=100*0.33,1,0))))))))</f>
        <v/>
      </c>
      <c r="AB975">
        <f>IF(B975="","",IF(J975&lt;33.0,0,IF(J975&gt;=100*0.8,5,IF(J975&gt;=100*0.7,4,IF(J975&gt;=100*0.6,3.5,IF(J975&gt;=100*0.5,3,IF(J975&gt;=100*0.4,2,IF(J975&gt;=100*0.33,1,0))))))))</f>
        <v/>
      </c>
      <c r="AC975">
        <f>IF(B975="","",IF(K975&lt;33.0,0,IF(K975&gt;=100*0.8,5,IF(K975&gt;=100*0.7,4,IF(K975&gt;=100*0.6,3.5,IF(K975&gt;=100*0.5,3,IF(K975&gt;=100*0.4,2,IF(K975&gt;=100*0.33,1,0))))))))</f>
        <v/>
      </c>
      <c r="AD975">
        <f>IF(B975="","",IF(L975&lt;33.0,0,IF(L975&gt;=100*0.8,5,IF(L975&gt;=100*0.7,4,IF(L975&gt;=100*0.6,3.5,IF(L975&gt;=100*0.5,3,IF(L975&gt;=100*0.4,2,IF(L975&gt;=100*0.33,1,0))))))))</f>
        <v/>
      </c>
      <c r="AE975">
        <f>IF(B975="","",IF(M975&lt;33.0,0,IF(M975&gt;=100*0.8,5,IF(M975&gt;=100*0.7,4,IF(M975&gt;=100*0.6,3.5,IF(M975&gt;=100*0.5,3,IF(M975&gt;=100*0.4,2,IF(M975&gt;=100*0.33,1,0))))))))</f>
        <v/>
      </c>
      <c r="AF975">
        <f>IF(B975="","",IF(N975&lt;16.5,0,IF(N975&gt;=50*0.8,5,IF(N975&gt;=50*0.7,4,IF(N975&gt;=50*0.6,3.5,IF(N975&gt;=50*0.5,3,IF(N975&gt;=50*0.4,2,IF(N975&gt;=50*0.33,1,0))))))))</f>
        <v/>
      </c>
      <c r="AG975">
        <f>IF(B975="","",IF(O975&lt;33.0,0,IF(O975&gt;=100*0.8,5,IF(O975&gt;=100*0.7,4,IF(O975&gt;=100*0.6,3.5,IF(O975&gt;=100*0.5,3,IF(O975&gt;=100*0.4,2,IF(O975&gt;=100*0.33,1,0))))))))</f>
        <v/>
      </c>
      <c r="AH975">
        <f>IF(B975="","",IF(OR(U975=0,V975=0,W975=0,X975=0,Y975=0,Z975=0,AA975=0,AB975=0,AC975=0,AD975=0,AE975=0,AF975=0,AG975=0),1,0))</f>
        <v/>
      </c>
    </row>
    <row r="976">
      <c r="A976" s="3">
        <f>IF(B976="","",ROW()-2)</f>
        <v/>
      </c>
      <c r="P976" s="4">
        <f>IF(B976="","",SUM(C976:O976))</f>
        <v/>
      </c>
      <c r="Q976" s="5">
        <f>IF(B976="","",ROUND(P976/13,2))</f>
        <v/>
      </c>
      <c r="R976" s="5">
        <f>IF(B976="","",IF(AH976=1,0,MIN(5,ROUND((U976+V976+W976+X976+Y976+Z976+AA976+AB976+AC976+AD976+AE976+AF976+AG976)/13,2))))</f>
        <v/>
      </c>
      <c r="S976" s="3">
        <f>IF(B976="","",IF(R976&gt;=5,"A+",IF(R976&gt;=4,"A",IF(R976&gt;=3.5,"A-",IF(R976&gt;=3,"B",IF(R976&gt;=2,"C",IF(R976&gt;=1,"D","F")))))))</f>
        <v/>
      </c>
      <c r="T976" s="3">
        <f>IF(OR(B976="",S976="F"),"",COUNTIFS(P:P,"&gt;"&amp;P976,S:S,"&lt;&gt;F")+1)</f>
        <v/>
      </c>
      <c r="U976">
        <f>IF(B976="","",IF(C976&lt;33.0,0,IF(C976&gt;=100*0.8,5,IF(C976&gt;=100*0.7,4,IF(C976&gt;=100*0.6,3.5,IF(C976&gt;=100*0.5,3,IF(C976&gt;=100*0.4,2,IF(C976&gt;=100*0.33,1,0))))))))</f>
        <v/>
      </c>
      <c r="V976">
        <f>IF(B976="","",IF(D976&lt;33.0,0,IF(D976&gt;=100*0.8,5,IF(D976&gt;=100*0.7,4,IF(D976&gt;=100*0.6,3.5,IF(D976&gt;=100*0.5,3,IF(D976&gt;=100*0.4,2,IF(D976&gt;=100*0.33,1,0))))))))</f>
        <v/>
      </c>
      <c r="W976">
        <f>IF(B976="","",IF(E976&lt;16.5,0,IF(E976&gt;=50*0.8,5,IF(E976&gt;=50*0.7,4,IF(E976&gt;=50*0.6,3.5,IF(E976&gt;=50*0.5,3,IF(E976&gt;=50*0.4,2,IF(E976&gt;=50*0.33,1,0))))))))</f>
        <v/>
      </c>
      <c r="X976">
        <f>IF(B976="","",IF(F976&lt;33.0,0,IF(F976&gt;=100*0.8,5,IF(F976&gt;=100*0.7,4,IF(F976&gt;=100*0.6,3.5,IF(F976&gt;=100*0.5,3,IF(F976&gt;=100*0.4,2,IF(F976&gt;=100*0.33,1,0))))))))</f>
        <v/>
      </c>
      <c r="Y976">
        <f>IF(B976="","",IF(G976&lt;16.5,0,IF(G976&gt;=50*0.8,5,IF(G976&gt;=50*0.7,4,IF(G976&gt;=50*0.6,3.5,IF(G976&gt;=50*0.5,3,IF(G976&gt;=50*0.4,2,IF(G976&gt;=50*0.33,1,0))))))))</f>
        <v/>
      </c>
      <c r="Z976">
        <f>IF(B976="","",IF(H976&lt;33.0,0,IF(H976&gt;=100*0.8,5,IF(H976&gt;=100*0.7,4,IF(H976&gt;=100*0.6,3.5,IF(H976&gt;=100*0.5,3,IF(H976&gt;=100*0.4,2,IF(H976&gt;=100*0.33,1,0))))))))</f>
        <v/>
      </c>
      <c r="AA976">
        <f>IF(B976="","",IF(I976&lt;33.0,0,IF(I976&gt;=100*0.8,5,IF(I976&gt;=100*0.7,4,IF(I976&gt;=100*0.6,3.5,IF(I976&gt;=100*0.5,3,IF(I976&gt;=100*0.4,2,IF(I976&gt;=100*0.33,1,0))))))))</f>
        <v/>
      </c>
      <c r="AB976">
        <f>IF(B976="","",IF(J976&lt;33.0,0,IF(J976&gt;=100*0.8,5,IF(J976&gt;=100*0.7,4,IF(J976&gt;=100*0.6,3.5,IF(J976&gt;=100*0.5,3,IF(J976&gt;=100*0.4,2,IF(J976&gt;=100*0.33,1,0))))))))</f>
        <v/>
      </c>
      <c r="AC976">
        <f>IF(B976="","",IF(K976&lt;33.0,0,IF(K976&gt;=100*0.8,5,IF(K976&gt;=100*0.7,4,IF(K976&gt;=100*0.6,3.5,IF(K976&gt;=100*0.5,3,IF(K976&gt;=100*0.4,2,IF(K976&gt;=100*0.33,1,0))))))))</f>
        <v/>
      </c>
      <c r="AD976">
        <f>IF(B976="","",IF(L976&lt;33.0,0,IF(L976&gt;=100*0.8,5,IF(L976&gt;=100*0.7,4,IF(L976&gt;=100*0.6,3.5,IF(L976&gt;=100*0.5,3,IF(L976&gt;=100*0.4,2,IF(L976&gt;=100*0.33,1,0))))))))</f>
        <v/>
      </c>
      <c r="AE976">
        <f>IF(B976="","",IF(M976&lt;33.0,0,IF(M976&gt;=100*0.8,5,IF(M976&gt;=100*0.7,4,IF(M976&gt;=100*0.6,3.5,IF(M976&gt;=100*0.5,3,IF(M976&gt;=100*0.4,2,IF(M976&gt;=100*0.33,1,0))))))))</f>
        <v/>
      </c>
      <c r="AF976">
        <f>IF(B976="","",IF(N976&lt;16.5,0,IF(N976&gt;=50*0.8,5,IF(N976&gt;=50*0.7,4,IF(N976&gt;=50*0.6,3.5,IF(N976&gt;=50*0.5,3,IF(N976&gt;=50*0.4,2,IF(N976&gt;=50*0.33,1,0))))))))</f>
        <v/>
      </c>
      <c r="AG976">
        <f>IF(B976="","",IF(O976&lt;33.0,0,IF(O976&gt;=100*0.8,5,IF(O976&gt;=100*0.7,4,IF(O976&gt;=100*0.6,3.5,IF(O976&gt;=100*0.5,3,IF(O976&gt;=100*0.4,2,IF(O976&gt;=100*0.33,1,0))))))))</f>
        <v/>
      </c>
      <c r="AH976">
        <f>IF(B976="","",IF(OR(U976=0,V976=0,W976=0,X976=0,Y976=0,Z976=0,AA976=0,AB976=0,AC976=0,AD976=0,AE976=0,AF976=0,AG976=0),1,0))</f>
        <v/>
      </c>
    </row>
    <row r="977">
      <c r="A977" s="3">
        <f>IF(B977="","",ROW()-2)</f>
        <v/>
      </c>
      <c r="P977" s="4">
        <f>IF(B977="","",SUM(C977:O977))</f>
        <v/>
      </c>
      <c r="Q977" s="5">
        <f>IF(B977="","",ROUND(P977/13,2))</f>
        <v/>
      </c>
      <c r="R977" s="5">
        <f>IF(B977="","",IF(AH977=1,0,MIN(5,ROUND((U977+V977+W977+X977+Y977+Z977+AA977+AB977+AC977+AD977+AE977+AF977+AG977)/13,2))))</f>
        <v/>
      </c>
      <c r="S977" s="3">
        <f>IF(B977="","",IF(R977&gt;=5,"A+",IF(R977&gt;=4,"A",IF(R977&gt;=3.5,"A-",IF(R977&gt;=3,"B",IF(R977&gt;=2,"C",IF(R977&gt;=1,"D","F")))))))</f>
        <v/>
      </c>
      <c r="T977" s="3">
        <f>IF(OR(B977="",S977="F"),"",COUNTIFS(P:P,"&gt;"&amp;P977,S:S,"&lt;&gt;F")+1)</f>
        <v/>
      </c>
      <c r="U977">
        <f>IF(B977="","",IF(C977&lt;33.0,0,IF(C977&gt;=100*0.8,5,IF(C977&gt;=100*0.7,4,IF(C977&gt;=100*0.6,3.5,IF(C977&gt;=100*0.5,3,IF(C977&gt;=100*0.4,2,IF(C977&gt;=100*0.33,1,0))))))))</f>
        <v/>
      </c>
      <c r="V977">
        <f>IF(B977="","",IF(D977&lt;33.0,0,IF(D977&gt;=100*0.8,5,IF(D977&gt;=100*0.7,4,IF(D977&gt;=100*0.6,3.5,IF(D977&gt;=100*0.5,3,IF(D977&gt;=100*0.4,2,IF(D977&gt;=100*0.33,1,0))))))))</f>
        <v/>
      </c>
      <c r="W977">
        <f>IF(B977="","",IF(E977&lt;16.5,0,IF(E977&gt;=50*0.8,5,IF(E977&gt;=50*0.7,4,IF(E977&gt;=50*0.6,3.5,IF(E977&gt;=50*0.5,3,IF(E977&gt;=50*0.4,2,IF(E977&gt;=50*0.33,1,0))))))))</f>
        <v/>
      </c>
      <c r="X977">
        <f>IF(B977="","",IF(F977&lt;33.0,0,IF(F977&gt;=100*0.8,5,IF(F977&gt;=100*0.7,4,IF(F977&gt;=100*0.6,3.5,IF(F977&gt;=100*0.5,3,IF(F977&gt;=100*0.4,2,IF(F977&gt;=100*0.33,1,0))))))))</f>
        <v/>
      </c>
      <c r="Y977">
        <f>IF(B977="","",IF(G977&lt;16.5,0,IF(G977&gt;=50*0.8,5,IF(G977&gt;=50*0.7,4,IF(G977&gt;=50*0.6,3.5,IF(G977&gt;=50*0.5,3,IF(G977&gt;=50*0.4,2,IF(G977&gt;=50*0.33,1,0))))))))</f>
        <v/>
      </c>
      <c r="Z977">
        <f>IF(B977="","",IF(H977&lt;33.0,0,IF(H977&gt;=100*0.8,5,IF(H977&gt;=100*0.7,4,IF(H977&gt;=100*0.6,3.5,IF(H977&gt;=100*0.5,3,IF(H977&gt;=100*0.4,2,IF(H977&gt;=100*0.33,1,0))))))))</f>
        <v/>
      </c>
      <c r="AA977">
        <f>IF(B977="","",IF(I977&lt;33.0,0,IF(I977&gt;=100*0.8,5,IF(I977&gt;=100*0.7,4,IF(I977&gt;=100*0.6,3.5,IF(I977&gt;=100*0.5,3,IF(I977&gt;=100*0.4,2,IF(I977&gt;=100*0.33,1,0))))))))</f>
        <v/>
      </c>
      <c r="AB977">
        <f>IF(B977="","",IF(J977&lt;33.0,0,IF(J977&gt;=100*0.8,5,IF(J977&gt;=100*0.7,4,IF(J977&gt;=100*0.6,3.5,IF(J977&gt;=100*0.5,3,IF(J977&gt;=100*0.4,2,IF(J977&gt;=100*0.33,1,0))))))))</f>
        <v/>
      </c>
      <c r="AC977">
        <f>IF(B977="","",IF(K977&lt;33.0,0,IF(K977&gt;=100*0.8,5,IF(K977&gt;=100*0.7,4,IF(K977&gt;=100*0.6,3.5,IF(K977&gt;=100*0.5,3,IF(K977&gt;=100*0.4,2,IF(K977&gt;=100*0.33,1,0))))))))</f>
        <v/>
      </c>
      <c r="AD977">
        <f>IF(B977="","",IF(L977&lt;33.0,0,IF(L977&gt;=100*0.8,5,IF(L977&gt;=100*0.7,4,IF(L977&gt;=100*0.6,3.5,IF(L977&gt;=100*0.5,3,IF(L977&gt;=100*0.4,2,IF(L977&gt;=100*0.33,1,0))))))))</f>
        <v/>
      </c>
      <c r="AE977">
        <f>IF(B977="","",IF(M977&lt;33.0,0,IF(M977&gt;=100*0.8,5,IF(M977&gt;=100*0.7,4,IF(M977&gt;=100*0.6,3.5,IF(M977&gt;=100*0.5,3,IF(M977&gt;=100*0.4,2,IF(M977&gt;=100*0.33,1,0))))))))</f>
        <v/>
      </c>
      <c r="AF977">
        <f>IF(B977="","",IF(N977&lt;16.5,0,IF(N977&gt;=50*0.8,5,IF(N977&gt;=50*0.7,4,IF(N977&gt;=50*0.6,3.5,IF(N977&gt;=50*0.5,3,IF(N977&gt;=50*0.4,2,IF(N977&gt;=50*0.33,1,0))))))))</f>
        <v/>
      </c>
      <c r="AG977">
        <f>IF(B977="","",IF(O977&lt;33.0,0,IF(O977&gt;=100*0.8,5,IF(O977&gt;=100*0.7,4,IF(O977&gt;=100*0.6,3.5,IF(O977&gt;=100*0.5,3,IF(O977&gt;=100*0.4,2,IF(O977&gt;=100*0.33,1,0))))))))</f>
        <v/>
      </c>
      <c r="AH977">
        <f>IF(B977="","",IF(OR(U977=0,V977=0,W977=0,X977=0,Y977=0,Z977=0,AA977=0,AB977=0,AC977=0,AD977=0,AE977=0,AF977=0,AG977=0),1,0))</f>
        <v/>
      </c>
    </row>
    <row r="978">
      <c r="A978" s="3">
        <f>IF(B978="","",ROW()-2)</f>
        <v/>
      </c>
      <c r="P978" s="4">
        <f>IF(B978="","",SUM(C978:O978))</f>
        <v/>
      </c>
      <c r="Q978" s="5">
        <f>IF(B978="","",ROUND(P978/13,2))</f>
        <v/>
      </c>
      <c r="R978" s="5">
        <f>IF(B978="","",IF(AH978=1,0,MIN(5,ROUND((U978+V978+W978+X978+Y978+Z978+AA978+AB978+AC978+AD978+AE978+AF978+AG978)/13,2))))</f>
        <v/>
      </c>
      <c r="S978" s="3">
        <f>IF(B978="","",IF(R978&gt;=5,"A+",IF(R978&gt;=4,"A",IF(R978&gt;=3.5,"A-",IF(R978&gt;=3,"B",IF(R978&gt;=2,"C",IF(R978&gt;=1,"D","F")))))))</f>
        <v/>
      </c>
      <c r="T978" s="3">
        <f>IF(OR(B978="",S978="F"),"",COUNTIFS(P:P,"&gt;"&amp;P978,S:S,"&lt;&gt;F")+1)</f>
        <v/>
      </c>
      <c r="U978">
        <f>IF(B978="","",IF(C978&lt;33.0,0,IF(C978&gt;=100*0.8,5,IF(C978&gt;=100*0.7,4,IF(C978&gt;=100*0.6,3.5,IF(C978&gt;=100*0.5,3,IF(C978&gt;=100*0.4,2,IF(C978&gt;=100*0.33,1,0))))))))</f>
        <v/>
      </c>
      <c r="V978">
        <f>IF(B978="","",IF(D978&lt;33.0,0,IF(D978&gt;=100*0.8,5,IF(D978&gt;=100*0.7,4,IF(D978&gt;=100*0.6,3.5,IF(D978&gt;=100*0.5,3,IF(D978&gt;=100*0.4,2,IF(D978&gt;=100*0.33,1,0))))))))</f>
        <v/>
      </c>
      <c r="W978">
        <f>IF(B978="","",IF(E978&lt;16.5,0,IF(E978&gt;=50*0.8,5,IF(E978&gt;=50*0.7,4,IF(E978&gt;=50*0.6,3.5,IF(E978&gt;=50*0.5,3,IF(E978&gt;=50*0.4,2,IF(E978&gt;=50*0.33,1,0))))))))</f>
        <v/>
      </c>
      <c r="X978">
        <f>IF(B978="","",IF(F978&lt;33.0,0,IF(F978&gt;=100*0.8,5,IF(F978&gt;=100*0.7,4,IF(F978&gt;=100*0.6,3.5,IF(F978&gt;=100*0.5,3,IF(F978&gt;=100*0.4,2,IF(F978&gt;=100*0.33,1,0))))))))</f>
        <v/>
      </c>
      <c r="Y978">
        <f>IF(B978="","",IF(G978&lt;16.5,0,IF(G978&gt;=50*0.8,5,IF(G978&gt;=50*0.7,4,IF(G978&gt;=50*0.6,3.5,IF(G978&gt;=50*0.5,3,IF(G978&gt;=50*0.4,2,IF(G978&gt;=50*0.33,1,0))))))))</f>
        <v/>
      </c>
      <c r="Z978">
        <f>IF(B978="","",IF(H978&lt;33.0,0,IF(H978&gt;=100*0.8,5,IF(H978&gt;=100*0.7,4,IF(H978&gt;=100*0.6,3.5,IF(H978&gt;=100*0.5,3,IF(H978&gt;=100*0.4,2,IF(H978&gt;=100*0.33,1,0))))))))</f>
        <v/>
      </c>
      <c r="AA978">
        <f>IF(B978="","",IF(I978&lt;33.0,0,IF(I978&gt;=100*0.8,5,IF(I978&gt;=100*0.7,4,IF(I978&gt;=100*0.6,3.5,IF(I978&gt;=100*0.5,3,IF(I978&gt;=100*0.4,2,IF(I978&gt;=100*0.33,1,0))))))))</f>
        <v/>
      </c>
      <c r="AB978">
        <f>IF(B978="","",IF(J978&lt;33.0,0,IF(J978&gt;=100*0.8,5,IF(J978&gt;=100*0.7,4,IF(J978&gt;=100*0.6,3.5,IF(J978&gt;=100*0.5,3,IF(J978&gt;=100*0.4,2,IF(J978&gt;=100*0.33,1,0))))))))</f>
        <v/>
      </c>
      <c r="AC978">
        <f>IF(B978="","",IF(K978&lt;33.0,0,IF(K978&gt;=100*0.8,5,IF(K978&gt;=100*0.7,4,IF(K978&gt;=100*0.6,3.5,IF(K978&gt;=100*0.5,3,IF(K978&gt;=100*0.4,2,IF(K978&gt;=100*0.33,1,0))))))))</f>
        <v/>
      </c>
      <c r="AD978">
        <f>IF(B978="","",IF(L978&lt;33.0,0,IF(L978&gt;=100*0.8,5,IF(L978&gt;=100*0.7,4,IF(L978&gt;=100*0.6,3.5,IF(L978&gt;=100*0.5,3,IF(L978&gt;=100*0.4,2,IF(L978&gt;=100*0.33,1,0))))))))</f>
        <v/>
      </c>
      <c r="AE978">
        <f>IF(B978="","",IF(M978&lt;33.0,0,IF(M978&gt;=100*0.8,5,IF(M978&gt;=100*0.7,4,IF(M978&gt;=100*0.6,3.5,IF(M978&gt;=100*0.5,3,IF(M978&gt;=100*0.4,2,IF(M978&gt;=100*0.33,1,0))))))))</f>
        <v/>
      </c>
      <c r="AF978">
        <f>IF(B978="","",IF(N978&lt;16.5,0,IF(N978&gt;=50*0.8,5,IF(N978&gt;=50*0.7,4,IF(N978&gt;=50*0.6,3.5,IF(N978&gt;=50*0.5,3,IF(N978&gt;=50*0.4,2,IF(N978&gt;=50*0.33,1,0))))))))</f>
        <v/>
      </c>
      <c r="AG978">
        <f>IF(B978="","",IF(O978&lt;33.0,0,IF(O978&gt;=100*0.8,5,IF(O978&gt;=100*0.7,4,IF(O978&gt;=100*0.6,3.5,IF(O978&gt;=100*0.5,3,IF(O978&gt;=100*0.4,2,IF(O978&gt;=100*0.33,1,0))))))))</f>
        <v/>
      </c>
      <c r="AH978">
        <f>IF(B978="","",IF(OR(U978=0,V978=0,W978=0,X978=0,Y978=0,Z978=0,AA978=0,AB978=0,AC978=0,AD978=0,AE978=0,AF978=0,AG978=0),1,0))</f>
        <v/>
      </c>
    </row>
    <row r="979">
      <c r="A979" s="3">
        <f>IF(B979="","",ROW()-2)</f>
        <v/>
      </c>
      <c r="P979" s="4">
        <f>IF(B979="","",SUM(C979:O979))</f>
        <v/>
      </c>
      <c r="Q979" s="5">
        <f>IF(B979="","",ROUND(P979/13,2))</f>
        <v/>
      </c>
      <c r="R979" s="5">
        <f>IF(B979="","",IF(AH979=1,0,MIN(5,ROUND((U979+V979+W979+X979+Y979+Z979+AA979+AB979+AC979+AD979+AE979+AF979+AG979)/13,2))))</f>
        <v/>
      </c>
      <c r="S979" s="3">
        <f>IF(B979="","",IF(R979&gt;=5,"A+",IF(R979&gt;=4,"A",IF(R979&gt;=3.5,"A-",IF(R979&gt;=3,"B",IF(R979&gt;=2,"C",IF(R979&gt;=1,"D","F")))))))</f>
        <v/>
      </c>
      <c r="T979" s="3">
        <f>IF(OR(B979="",S979="F"),"",COUNTIFS(P:P,"&gt;"&amp;P979,S:S,"&lt;&gt;F")+1)</f>
        <v/>
      </c>
      <c r="U979">
        <f>IF(B979="","",IF(C979&lt;33.0,0,IF(C979&gt;=100*0.8,5,IF(C979&gt;=100*0.7,4,IF(C979&gt;=100*0.6,3.5,IF(C979&gt;=100*0.5,3,IF(C979&gt;=100*0.4,2,IF(C979&gt;=100*0.33,1,0))))))))</f>
        <v/>
      </c>
      <c r="V979">
        <f>IF(B979="","",IF(D979&lt;33.0,0,IF(D979&gt;=100*0.8,5,IF(D979&gt;=100*0.7,4,IF(D979&gt;=100*0.6,3.5,IF(D979&gt;=100*0.5,3,IF(D979&gt;=100*0.4,2,IF(D979&gt;=100*0.33,1,0))))))))</f>
        <v/>
      </c>
      <c r="W979">
        <f>IF(B979="","",IF(E979&lt;16.5,0,IF(E979&gt;=50*0.8,5,IF(E979&gt;=50*0.7,4,IF(E979&gt;=50*0.6,3.5,IF(E979&gt;=50*0.5,3,IF(E979&gt;=50*0.4,2,IF(E979&gt;=50*0.33,1,0))))))))</f>
        <v/>
      </c>
      <c r="X979">
        <f>IF(B979="","",IF(F979&lt;33.0,0,IF(F979&gt;=100*0.8,5,IF(F979&gt;=100*0.7,4,IF(F979&gt;=100*0.6,3.5,IF(F979&gt;=100*0.5,3,IF(F979&gt;=100*0.4,2,IF(F979&gt;=100*0.33,1,0))))))))</f>
        <v/>
      </c>
      <c r="Y979">
        <f>IF(B979="","",IF(G979&lt;16.5,0,IF(G979&gt;=50*0.8,5,IF(G979&gt;=50*0.7,4,IF(G979&gt;=50*0.6,3.5,IF(G979&gt;=50*0.5,3,IF(G979&gt;=50*0.4,2,IF(G979&gt;=50*0.33,1,0))))))))</f>
        <v/>
      </c>
      <c r="Z979">
        <f>IF(B979="","",IF(H979&lt;33.0,0,IF(H979&gt;=100*0.8,5,IF(H979&gt;=100*0.7,4,IF(H979&gt;=100*0.6,3.5,IF(H979&gt;=100*0.5,3,IF(H979&gt;=100*0.4,2,IF(H979&gt;=100*0.33,1,0))))))))</f>
        <v/>
      </c>
      <c r="AA979">
        <f>IF(B979="","",IF(I979&lt;33.0,0,IF(I979&gt;=100*0.8,5,IF(I979&gt;=100*0.7,4,IF(I979&gt;=100*0.6,3.5,IF(I979&gt;=100*0.5,3,IF(I979&gt;=100*0.4,2,IF(I979&gt;=100*0.33,1,0))))))))</f>
        <v/>
      </c>
      <c r="AB979">
        <f>IF(B979="","",IF(J979&lt;33.0,0,IF(J979&gt;=100*0.8,5,IF(J979&gt;=100*0.7,4,IF(J979&gt;=100*0.6,3.5,IF(J979&gt;=100*0.5,3,IF(J979&gt;=100*0.4,2,IF(J979&gt;=100*0.33,1,0))))))))</f>
        <v/>
      </c>
      <c r="AC979">
        <f>IF(B979="","",IF(K979&lt;33.0,0,IF(K979&gt;=100*0.8,5,IF(K979&gt;=100*0.7,4,IF(K979&gt;=100*0.6,3.5,IF(K979&gt;=100*0.5,3,IF(K979&gt;=100*0.4,2,IF(K979&gt;=100*0.33,1,0))))))))</f>
        <v/>
      </c>
      <c r="AD979">
        <f>IF(B979="","",IF(L979&lt;33.0,0,IF(L979&gt;=100*0.8,5,IF(L979&gt;=100*0.7,4,IF(L979&gt;=100*0.6,3.5,IF(L979&gt;=100*0.5,3,IF(L979&gt;=100*0.4,2,IF(L979&gt;=100*0.33,1,0))))))))</f>
        <v/>
      </c>
      <c r="AE979">
        <f>IF(B979="","",IF(M979&lt;33.0,0,IF(M979&gt;=100*0.8,5,IF(M979&gt;=100*0.7,4,IF(M979&gt;=100*0.6,3.5,IF(M979&gt;=100*0.5,3,IF(M979&gt;=100*0.4,2,IF(M979&gt;=100*0.33,1,0))))))))</f>
        <v/>
      </c>
      <c r="AF979">
        <f>IF(B979="","",IF(N979&lt;16.5,0,IF(N979&gt;=50*0.8,5,IF(N979&gt;=50*0.7,4,IF(N979&gt;=50*0.6,3.5,IF(N979&gt;=50*0.5,3,IF(N979&gt;=50*0.4,2,IF(N979&gt;=50*0.33,1,0))))))))</f>
        <v/>
      </c>
      <c r="AG979">
        <f>IF(B979="","",IF(O979&lt;33.0,0,IF(O979&gt;=100*0.8,5,IF(O979&gt;=100*0.7,4,IF(O979&gt;=100*0.6,3.5,IF(O979&gt;=100*0.5,3,IF(O979&gt;=100*0.4,2,IF(O979&gt;=100*0.33,1,0))))))))</f>
        <v/>
      </c>
      <c r="AH979">
        <f>IF(B979="","",IF(OR(U979=0,V979=0,W979=0,X979=0,Y979=0,Z979=0,AA979=0,AB979=0,AC979=0,AD979=0,AE979=0,AF979=0,AG979=0),1,0))</f>
        <v/>
      </c>
    </row>
    <row r="980">
      <c r="A980" s="3">
        <f>IF(B980="","",ROW()-2)</f>
        <v/>
      </c>
      <c r="P980" s="4">
        <f>IF(B980="","",SUM(C980:O980))</f>
        <v/>
      </c>
      <c r="Q980" s="5">
        <f>IF(B980="","",ROUND(P980/13,2))</f>
        <v/>
      </c>
      <c r="R980" s="5">
        <f>IF(B980="","",IF(AH980=1,0,MIN(5,ROUND((U980+V980+W980+X980+Y980+Z980+AA980+AB980+AC980+AD980+AE980+AF980+AG980)/13,2))))</f>
        <v/>
      </c>
      <c r="S980" s="3">
        <f>IF(B980="","",IF(R980&gt;=5,"A+",IF(R980&gt;=4,"A",IF(R980&gt;=3.5,"A-",IF(R980&gt;=3,"B",IF(R980&gt;=2,"C",IF(R980&gt;=1,"D","F")))))))</f>
        <v/>
      </c>
      <c r="T980" s="3">
        <f>IF(OR(B980="",S980="F"),"",COUNTIFS(P:P,"&gt;"&amp;P980,S:S,"&lt;&gt;F")+1)</f>
        <v/>
      </c>
      <c r="U980">
        <f>IF(B980="","",IF(C980&lt;33.0,0,IF(C980&gt;=100*0.8,5,IF(C980&gt;=100*0.7,4,IF(C980&gt;=100*0.6,3.5,IF(C980&gt;=100*0.5,3,IF(C980&gt;=100*0.4,2,IF(C980&gt;=100*0.33,1,0))))))))</f>
        <v/>
      </c>
      <c r="V980">
        <f>IF(B980="","",IF(D980&lt;33.0,0,IF(D980&gt;=100*0.8,5,IF(D980&gt;=100*0.7,4,IF(D980&gt;=100*0.6,3.5,IF(D980&gt;=100*0.5,3,IF(D980&gt;=100*0.4,2,IF(D980&gt;=100*0.33,1,0))))))))</f>
        <v/>
      </c>
      <c r="W980">
        <f>IF(B980="","",IF(E980&lt;16.5,0,IF(E980&gt;=50*0.8,5,IF(E980&gt;=50*0.7,4,IF(E980&gt;=50*0.6,3.5,IF(E980&gt;=50*0.5,3,IF(E980&gt;=50*0.4,2,IF(E980&gt;=50*0.33,1,0))))))))</f>
        <v/>
      </c>
      <c r="X980">
        <f>IF(B980="","",IF(F980&lt;33.0,0,IF(F980&gt;=100*0.8,5,IF(F980&gt;=100*0.7,4,IF(F980&gt;=100*0.6,3.5,IF(F980&gt;=100*0.5,3,IF(F980&gt;=100*0.4,2,IF(F980&gt;=100*0.33,1,0))))))))</f>
        <v/>
      </c>
      <c r="Y980">
        <f>IF(B980="","",IF(G980&lt;16.5,0,IF(G980&gt;=50*0.8,5,IF(G980&gt;=50*0.7,4,IF(G980&gt;=50*0.6,3.5,IF(G980&gt;=50*0.5,3,IF(G980&gt;=50*0.4,2,IF(G980&gt;=50*0.33,1,0))))))))</f>
        <v/>
      </c>
      <c r="Z980">
        <f>IF(B980="","",IF(H980&lt;33.0,0,IF(H980&gt;=100*0.8,5,IF(H980&gt;=100*0.7,4,IF(H980&gt;=100*0.6,3.5,IF(H980&gt;=100*0.5,3,IF(H980&gt;=100*0.4,2,IF(H980&gt;=100*0.33,1,0))))))))</f>
        <v/>
      </c>
      <c r="AA980">
        <f>IF(B980="","",IF(I980&lt;33.0,0,IF(I980&gt;=100*0.8,5,IF(I980&gt;=100*0.7,4,IF(I980&gt;=100*0.6,3.5,IF(I980&gt;=100*0.5,3,IF(I980&gt;=100*0.4,2,IF(I980&gt;=100*0.33,1,0))))))))</f>
        <v/>
      </c>
      <c r="AB980">
        <f>IF(B980="","",IF(J980&lt;33.0,0,IF(J980&gt;=100*0.8,5,IF(J980&gt;=100*0.7,4,IF(J980&gt;=100*0.6,3.5,IF(J980&gt;=100*0.5,3,IF(J980&gt;=100*0.4,2,IF(J980&gt;=100*0.33,1,0))))))))</f>
        <v/>
      </c>
      <c r="AC980">
        <f>IF(B980="","",IF(K980&lt;33.0,0,IF(K980&gt;=100*0.8,5,IF(K980&gt;=100*0.7,4,IF(K980&gt;=100*0.6,3.5,IF(K980&gt;=100*0.5,3,IF(K980&gt;=100*0.4,2,IF(K980&gt;=100*0.33,1,0))))))))</f>
        <v/>
      </c>
      <c r="AD980">
        <f>IF(B980="","",IF(L980&lt;33.0,0,IF(L980&gt;=100*0.8,5,IF(L980&gt;=100*0.7,4,IF(L980&gt;=100*0.6,3.5,IF(L980&gt;=100*0.5,3,IF(L980&gt;=100*0.4,2,IF(L980&gt;=100*0.33,1,0))))))))</f>
        <v/>
      </c>
      <c r="AE980">
        <f>IF(B980="","",IF(M980&lt;33.0,0,IF(M980&gt;=100*0.8,5,IF(M980&gt;=100*0.7,4,IF(M980&gt;=100*0.6,3.5,IF(M980&gt;=100*0.5,3,IF(M980&gt;=100*0.4,2,IF(M980&gt;=100*0.33,1,0))))))))</f>
        <v/>
      </c>
      <c r="AF980">
        <f>IF(B980="","",IF(N980&lt;16.5,0,IF(N980&gt;=50*0.8,5,IF(N980&gt;=50*0.7,4,IF(N980&gt;=50*0.6,3.5,IF(N980&gt;=50*0.5,3,IF(N980&gt;=50*0.4,2,IF(N980&gt;=50*0.33,1,0))))))))</f>
        <v/>
      </c>
      <c r="AG980">
        <f>IF(B980="","",IF(O980&lt;33.0,0,IF(O980&gt;=100*0.8,5,IF(O980&gt;=100*0.7,4,IF(O980&gt;=100*0.6,3.5,IF(O980&gt;=100*0.5,3,IF(O980&gt;=100*0.4,2,IF(O980&gt;=100*0.33,1,0))))))))</f>
        <v/>
      </c>
      <c r="AH980">
        <f>IF(B980="","",IF(OR(U980=0,V980=0,W980=0,X980=0,Y980=0,Z980=0,AA980=0,AB980=0,AC980=0,AD980=0,AE980=0,AF980=0,AG980=0),1,0))</f>
        <v/>
      </c>
    </row>
    <row r="981">
      <c r="A981" s="3">
        <f>IF(B981="","",ROW()-2)</f>
        <v/>
      </c>
      <c r="P981" s="4">
        <f>IF(B981="","",SUM(C981:O981))</f>
        <v/>
      </c>
      <c r="Q981" s="5">
        <f>IF(B981="","",ROUND(P981/13,2))</f>
        <v/>
      </c>
      <c r="R981" s="5">
        <f>IF(B981="","",IF(AH981=1,0,MIN(5,ROUND((U981+V981+W981+X981+Y981+Z981+AA981+AB981+AC981+AD981+AE981+AF981+AG981)/13,2))))</f>
        <v/>
      </c>
      <c r="S981" s="3">
        <f>IF(B981="","",IF(R981&gt;=5,"A+",IF(R981&gt;=4,"A",IF(R981&gt;=3.5,"A-",IF(R981&gt;=3,"B",IF(R981&gt;=2,"C",IF(R981&gt;=1,"D","F")))))))</f>
        <v/>
      </c>
      <c r="T981" s="3">
        <f>IF(OR(B981="",S981="F"),"",COUNTIFS(P:P,"&gt;"&amp;P981,S:S,"&lt;&gt;F")+1)</f>
        <v/>
      </c>
      <c r="U981">
        <f>IF(B981="","",IF(C981&lt;33.0,0,IF(C981&gt;=100*0.8,5,IF(C981&gt;=100*0.7,4,IF(C981&gt;=100*0.6,3.5,IF(C981&gt;=100*0.5,3,IF(C981&gt;=100*0.4,2,IF(C981&gt;=100*0.33,1,0))))))))</f>
        <v/>
      </c>
      <c r="V981">
        <f>IF(B981="","",IF(D981&lt;33.0,0,IF(D981&gt;=100*0.8,5,IF(D981&gt;=100*0.7,4,IF(D981&gt;=100*0.6,3.5,IF(D981&gt;=100*0.5,3,IF(D981&gt;=100*0.4,2,IF(D981&gt;=100*0.33,1,0))))))))</f>
        <v/>
      </c>
      <c r="W981">
        <f>IF(B981="","",IF(E981&lt;16.5,0,IF(E981&gt;=50*0.8,5,IF(E981&gt;=50*0.7,4,IF(E981&gt;=50*0.6,3.5,IF(E981&gt;=50*0.5,3,IF(E981&gt;=50*0.4,2,IF(E981&gt;=50*0.33,1,0))))))))</f>
        <v/>
      </c>
      <c r="X981">
        <f>IF(B981="","",IF(F981&lt;33.0,0,IF(F981&gt;=100*0.8,5,IF(F981&gt;=100*0.7,4,IF(F981&gt;=100*0.6,3.5,IF(F981&gt;=100*0.5,3,IF(F981&gt;=100*0.4,2,IF(F981&gt;=100*0.33,1,0))))))))</f>
        <v/>
      </c>
      <c r="Y981">
        <f>IF(B981="","",IF(G981&lt;16.5,0,IF(G981&gt;=50*0.8,5,IF(G981&gt;=50*0.7,4,IF(G981&gt;=50*0.6,3.5,IF(G981&gt;=50*0.5,3,IF(G981&gt;=50*0.4,2,IF(G981&gt;=50*0.33,1,0))))))))</f>
        <v/>
      </c>
      <c r="Z981">
        <f>IF(B981="","",IF(H981&lt;33.0,0,IF(H981&gt;=100*0.8,5,IF(H981&gt;=100*0.7,4,IF(H981&gt;=100*0.6,3.5,IF(H981&gt;=100*0.5,3,IF(H981&gt;=100*0.4,2,IF(H981&gt;=100*0.33,1,0))))))))</f>
        <v/>
      </c>
      <c r="AA981">
        <f>IF(B981="","",IF(I981&lt;33.0,0,IF(I981&gt;=100*0.8,5,IF(I981&gt;=100*0.7,4,IF(I981&gt;=100*0.6,3.5,IF(I981&gt;=100*0.5,3,IF(I981&gt;=100*0.4,2,IF(I981&gt;=100*0.33,1,0))))))))</f>
        <v/>
      </c>
      <c r="AB981">
        <f>IF(B981="","",IF(J981&lt;33.0,0,IF(J981&gt;=100*0.8,5,IF(J981&gt;=100*0.7,4,IF(J981&gt;=100*0.6,3.5,IF(J981&gt;=100*0.5,3,IF(J981&gt;=100*0.4,2,IF(J981&gt;=100*0.33,1,0))))))))</f>
        <v/>
      </c>
      <c r="AC981">
        <f>IF(B981="","",IF(K981&lt;33.0,0,IF(K981&gt;=100*0.8,5,IF(K981&gt;=100*0.7,4,IF(K981&gt;=100*0.6,3.5,IF(K981&gt;=100*0.5,3,IF(K981&gt;=100*0.4,2,IF(K981&gt;=100*0.33,1,0))))))))</f>
        <v/>
      </c>
      <c r="AD981">
        <f>IF(B981="","",IF(L981&lt;33.0,0,IF(L981&gt;=100*0.8,5,IF(L981&gt;=100*0.7,4,IF(L981&gt;=100*0.6,3.5,IF(L981&gt;=100*0.5,3,IF(L981&gt;=100*0.4,2,IF(L981&gt;=100*0.33,1,0))))))))</f>
        <v/>
      </c>
      <c r="AE981">
        <f>IF(B981="","",IF(M981&lt;33.0,0,IF(M981&gt;=100*0.8,5,IF(M981&gt;=100*0.7,4,IF(M981&gt;=100*0.6,3.5,IF(M981&gt;=100*0.5,3,IF(M981&gt;=100*0.4,2,IF(M981&gt;=100*0.33,1,0))))))))</f>
        <v/>
      </c>
      <c r="AF981">
        <f>IF(B981="","",IF(N981&lt;16.5,0,IF(N981&gt;=50*0.8,5,IF(N981&gt;=50*0.7,4,IF(N981&gt;=50*0.6,3.5,IF(N981&gt;=50*0.5,3,IF(N981&gt;=50*0.4,2,IF(N981&gt;=50*0.33,1,0))))))))</f>
        <v/>
      </c>
      <c r="AG981">
        <f>IF(B981="","",IF(O981&lt;33.0,0,IF(O981&gt;=100*0.8,5,IF(O981&gt;=100*0.7,4,IF(O981&gt;=100*0.6,3.5,IF(O981&gt;=100*0.5,3,IF(O981&gt;=100*0.4,2,IF(O981&gt;=100*0.33,1,0))))))))</f>
        <v/>
      </c>
      <c r="AH981">
        <f>IF(B981="","",IF(OR(U981=0,V981=0,W981=0,X981=0,Y981=0,Z981=0,AA981=0,AB981=0,AC981=0,AD981=0,AE981=0,AF981=0,AG981=0),1,0))</f>
        <v/>
      </c>
    </row>
    <row r="982">
      <c r="A982" s="3">
        <f>IF(B982="","",ROW()-2)</f>
        <v/>
      </c>
      <c r="P982" s="4">
        <f>IF(B982="","",SUM(C982:O982))</f>
        <v/>
      </c>
      <c r="Q982" s="5">
        <f>IF(B982="","",ROUND(P982/13,2))</f>
        <v/>
      </c>
      <c r="R982" s="5">
        <f>IF(B982="","",IF(AH982=1,0,MIN(5,ROUND((U982+V982+W982+X982+Y982+Z982+AA982+AB982+AC982+AD982+AE982+AF982+AG982)/13,2))))</f>
        <v/>
      </c>
      <c r="S982" s="3">
        <f>IF(B982="","",IF(R982&gt;=5,"A+",IF(R982&gt;=4,"A",IF(R982&gt;=3.5,"A-",IF(R982&gt;=3,"B",IF(R982&gt;=2,"C",IF(R982&gt;=1,"D","F")))))))</f>
        <v/>
      </c>
      <c r="T982" s="3">
        <f>IF(OR(B982="",S982="F"),"",COUNTIFS(P:P,"&gt;"&amp;P982,S:S,"&lt;&gt;F")+1)</f>
        <v/>
      </c>
      <c r="U982">
        <f>IF(B982="","",IF(C982&lt;33.0,0,IF(C982&gt;=100*0.8,5,IF(C982&gt;=100*0.7,4,IF(C982&gt;=100*0.6,3.5,IF(C982&gt;=100*0.5,3,IF(C982&gt;=100*0.4,2,IF(C982&gt;=100*0.33,1,0))))))))</f>
        <v/>
      </c>
      <c r="V982">
        <f>IF(B982="","",IF(D982&lt;33.0,0,IF(D982&gt;=100*0.8,5,IF(D982&gt;=100*0.7,4,IF(D982&gt;=100*0.6,3.5,IF(D982&gt;=100*0.5,3,IF(D982&gt;=100*0.4,2,IF(D982&gt;=100*0.33,1,0))))))))</f>
        <v/>
      </c>
      <c r="W982">
        <f>IF(B982="","",IF(E982&lt;16.5,0,IF(E982&gt;=50*0.8,5,IF(E982&gt;=50*0.7,4,IF(E982&gt;=50*0.6,3.5,IF(E982&gt;=50*0.5,3,IF(E982&gt;=50*0.4,2,IF(E982&gt;=50*0.33,1,0))))))))</f>
        <v/>
      </c>
      <c r="X982">
        <f>IF(B982="","",IF(F982&lt;33.0,0,IF(F982&gt;=100*0.8,5,IF(F982&gt;=100*0.7,4,IF(F982&gt;=100*0.6,3.5,IF(F982&gt;=100*0.5,3,IF(F982&gt;=100*0.4,2,IF(F982&gt;=100*0.33,1,0))))))))</f>
        <v/>
      </c>
      <c r="Y982">
        <f>IF(B982="","",IF(G982&lt;16.5,0,IF(G982&gt;=50*0.8,5,IF(G982&gt;=50*0.7,4,IF(G982&gt;=50*0.6,3.5,IF(G982&gt;=50*0.5,3,IF(G982&gt;=50*0.4,2,IF(G982&gt;=50*0.33,1,0))))))))</f>
        <v/>
      </c>
      <c r="Z982">
        <f>IF(B982="","",IF(H982&lt;33.0,0,IF(H982&gt;=100*0.8,5,IF(H982&gt;=100*0.7,4,IF(H982&gt;=100*0.6,3.5,IF(H982&gt;=100*0.5,3,IF(H982&gt;=100*0.4,2,IF(H982&gt;=100*0.33,1,0))))))))</f>
        <v/>
      </c>
      <c r="AA982">
        <f>IF(B982="","",IF(I982&lt;33.0,0,IF(I982&gt;=100*0.8,5,IF(I982&gt;=100*0.7,4,IF(I982&gt;=100*0.6,3.5,IF(I982&gt;=100*0.5,3,IF(I982&gt;=100*0.4,2,IF(I982&gt;=100*0.33,1,0))))))))</f>
        <v/>
      </c>
      <c r="AB982">
        <f>IF(B982="","",IF(J982&lt;33.0,0,IF(J982&gt;=100*0.8,5,IF(J982&gt;=100*0.7,4,IF(J982&gt;=100*0.6,3.5,IF(J982&gt;=100*0.5,3,IF(J982&gt;=100*0.4,2,IF(J982&gt;=100*0.33,1,0))))))))</f>
        <v/>
      </c>
      <c r="AC982">
        <f>IF(B982="","",IF(K982&lt;33.0,0,IF(K982&gt;=100*0.8,5,IF(K982&gt;=100*0.7,4,IF(K982&gt;=100*0.6,3.5,IF(K982&gt;=100*0.5,3,IF(K982&gt;=100*0.4,2,IF(K982&gt;=100*0.33,1,0))))))))</f>
        <v/>
      </c>
      <c r="AD982">
        <f>IF(B982="","",IF(L982&lt;33.0,0,IF(L982&gt;=100*0.8,5,IF(L982&gt;=100*0.7,4,IF(L982&gt;=100*0.6,3.5,IF(L982&gt;=100*0.5,3,IF(L982&gt;=100*0.4,2,IF(L982&gt;=100*0.33,1,0))))))))</f>
        <v/>
      </c>
      <c r="AE982">
        <f>IF(B982="","",IF(M982&lt;33.0,0,IF(M982&gt;=100*0.8,5,IF(M982&gt;=100*0.7,4,IF(M982&gt;=100*0.6,3.5,IF(M982&gt;=100*0.5,3,IF(M982&gt;=100*0.4,2,IF(M982&gt;=100*0.33,1,0))))))))</f>
        <v/>
      </c>
      <c r="AF982">
        <f>IF(B982="","",IF(N982&lt;16.5,0,IF(N982&gt;=50*0.8,5,IF(N982&gt;=50*0.7,4,IF(N982&gt;=50*0.6,3.5,IF(N982&gt;=50*0.5,3,IF(N982&gt;=50*0.4,2,IF(N982&gt;=50*0.33,1,0))))))))</f>
        <v/>
      </c>
      <c r="AG982">
        <f>IF(B982="","",IF(O982&lt;33.0,0,IF(O982&gt;=100*0.8,5,IF(O982&gt;=100*0.7,4,IF(O982&gt;=100*0.6,3.5,IF(O982&gt;=100*0.5,3,IF(O982&gt;=100*0.4,2,IF(O982&gt;=100*0.33,1,0))))))))</f>
        <v/>
      </c>
      <c r="AH982">
        <f>IF(B982="","",IF(OR(U982=0,V982=0,W982=0,X982=0,Y982=0,Z982=0,AA982=0,AB982=0,AC982=0,AD982=0,AE982=0,AF982=0,AG982=0),1,0))</f>
        <v/>
      </c>
    </row>
    <row r="983">
      <c r="A983" s="3">
        <f>IF(B983="","",ROW()-2)</f>
        <v/>
      </c>
      <c r="P983" s="4">
        <f>IF(B983="","",SUM(C983:O983))</f>
        <v/>
      </c>
      <c r="Q983" s="5">
        <f>IF(B983="","",ROUND(P983/13,2))</f>
        <v/>
      </c>
      <c r="R983" s="5">
        <f>IF(B983="","",IF(AH983=1,0,MIN(5,ROUND((U983+V983+W983+X983+Y983+Z983+AA983+AB983+AC983+AD983+AE983+AF983+AG983)/13,2))))</f>
        <v/>
      </c>
      <c r="S983" s="3">
        <f>IF(B983="","",IF(R983&gt;=5,"A+",IF(R983&gt;=4,"A",IF(R983&gt;=3.5,"A-",IF(R983&gt;=3,"B",IF(R983&gt;=2,"C",IF(R983&gt;=1,"D","F")))))))</f>
        <v/>
      </c>
      <c r="T983" s="3">
        <f>IF(OR(B983="",S983="F"),"",COUNTIFS(P:P,"&gt;"&amp;P983,S:S,"&lt;&gt;F")+1)</f>
        <v/>
      </c>
      <c r="U983">
        <f>IF(B983="","",IF(C983&lt;33.0,0,IF(C983&gt;=100*0.8,5,IF(C983&gt;=100*0.7,4,IF(C983&gt;=100*0.6,3.5,IF(C983&gt;=100*0.5,3,IF(C983&gt;=100*0.4,2,IF(C983&gt;=100*0.33,1,0))))))))</f>
        <v/>
      </c>
      <c r="V983">
        <f>IF(B983="","",IF(D983&lt;33.0,0,IF(D983&gt;=100*0.8,5,IF(D983&gt;=100*0.7,4,IF(D983&gt;=100*0.6,3.5,IF(D983&gt;=100*0.5,3,IF(D983&gt;=100*0.4,2,IF(D983&gt;=100*0.33,1,0))))))))</f>
        <v/>
      </c>
      <c r="W983">
        <f>IF(B983="","",IF(E983&lt;16.5,0,IF(E983&gt;=50*0.8,5,IF(E983&gt;=50*0.7,4,IF(E983&gt;=50*0.6,3.5,IF(E983&gt;=50*0.5,3,IF(E983&gt;=50*0.4,2,IF(E983&gt;=50*0.33,1,0))))))))</f>
        <v/>
      </c>
      <c r="X983">
        <f>IF(B983="","",IF(F983&lt;33.0,0,IF(F983&gt;=100*0.8,5,IF(F983&gt;=100*0.7,4,IF(F983&gt;=100*0.6,3.5,IF(F983&gt;=100*0.5,3,IF(F983&gt;=100*0.4,2,IF(F983&gt;=100*0.33,1,0))))))))</f>
        <v/>
      </c>
      <c r="Y983">
        <f>IF(B983="","",IF(G983&lt;16.5,0,IF(G983&gt;=50*0.8,5,IF(G983&gt;=50*0.7,4,IF(G983&gt;=50*0.6,3.5,IF(G983&gt;=50*0.5,3,IF(G983&gt;=50*0.4,2,IF(G983&gt;=50*0.33,1,0))))))))</f>
        <v/>
      </c>
      <c r="Z983">
        <f>IF(B983="","",IF(H983&lt;33.0,0,IF(H983&gt;=100*0.8,5,IF(H983&gt;=100*0.7,4,IF(H983&gt;=100*0.6,3.5,IF(H983&gt;=100*0.5,3,IF(H983&gt;=100*0.4,2,IF(H983&gt;=100*0.33,1,0))))))))</f>
        <v/>
      </c>
      <c r="AA983">
        <f>IF(B983="","",IF(I983&lt;33.0,0,IF(I983&gt;=100*0.8,5,IF(I983&gt;=100*0.7,4,IF(I983&gt;=100*0.6,3.5,IF(I983&gt;=100*0.5,3,IF(I983&gt;=100*0.4,2,IF(I983&gt;=100*0.33,1,0))))))))</f>
        <v/>
      </c>
      <c r="AB983">
        <f>IF(B983="","",IF(J983&lt;33.0,0,IF(J983&gt;=100*0.8,5,IF(J983&gt;=100*0.7,4,IF(J983&gt;=100*0.6,3.5,IF(J983&gt;=100*0.5,3,IF(J983&gt;=100*0.4,2,IF(J983&gt;=100*0.33,1,0))))))))</f>
        <v/>
      </c>
      <c r="AC983">
        <f>IF(B983="","",IF(K983&lt;33.0,0,IF(K983&gt;=100*0.8,5,IF(K983&gt;=100*0.7,4,IF(K983&gt;=100*0.6,3.5,IF(K983&gt;=100*0.5,3,IF(K983&gt;=100*0.4,2,IF(K983&gt;=100*0.33,1,0))))))))</f>
        <v/>
      </c>
      <c r="AD983">
        <f>IF(B983="","",IF(L983&lt;33.0,0,IF(L983&gt;=100*0.8,5,IF(L983&gt;=100*0.7,4,IF(L983&gt;=100*0.6,3.5,IF(L983&gt;=100*0.5,3,IF(L983&gt;=100*0.4,2,IF(L983&gt;=100*0.33,1,0))))))))</f>
        <v/>
      </c>
      <c r="AE983">
        <f>IF(B983="","",IF(M983&lt;33.0,0,IF(M983&gt;=100*0.8,5,IF(M983&gt;=100*0.7,4,IF(M983&gt;=100*0.6,3.5,IF(M983&gt;=100*0.5,3,IF(M983&gt;=100*0.4,2,IF(M983&gt;=100*0.33,1,0))))))))</f>
        <v/>
      </c>
      <c r="AF983">
        <f>IF(B983="","",IF(N983&lt;16.5,0,IF(N983&gt;=50*0.8,5,IF(N983&gt;=50*0.7,4,IF(N983&gt;=50*0.6,3.5,IF(N983&gt;=50*0.5,3,IF(N983&gt;=50*0.4,2,IF(N983&gt;=50*0.33,1,0))))))))</f>
        <v/>
      </c>
      <c r="AG983">
        <f>IF(B983="","",IF(O983&lt;33.0,0,IF(O983&gt;=100*0.8,5,IF(O983&gt;=100*0.7,4,IF(O983&gt;=100*0.6,3.5,IF(O983&gt;=100*0.5,3,IF(O983&gt;=100*0.4,2,IF(O983&gt;=100*0.33,1,0))))))))</f>
        <v/>
      </c>
      <c r="AH983">
        <f>IF(B983="","",IF(OR(U983=0,V983=0,W983=0,X983=0,Y983=0,Z983=0,AA983=0,AB983=0,AC983=0,AD983=0,AE983=0,AF983=0,AG983=0),1,0))</f>
        <v/>
      </c>
    </row>
    <row r="984">
      <c r="A984" s="3">
        <f>IF(B984="","",ROW()-2)</f>
        <v/>
      </c>
      <c r="P984" s="4">
        <f>IF(B984="","",SUM(C984:O984))</f>
        <v/>
      </c>
      <c r="Q984" s="5">
        <f>IF(B984="","",ROUND(P984/13,2))</f>
        <v/>
      </c>
      <c r="R984" s="5">
        <f>IF(B984="","",IF(AH984=1,0,MIN(5,ROUND((U984+V984+W984+X984+Y984+Z984+AA984+AB984+AC984+AD984+AE984+AF984+AG984)/13,2))))</f>
        <v/>
      </c>
      <c r="S984" s="3">
        <f>IF(B984="","",IF(R984&gt;=5,"A+",IF(R984&gt;=4,"A",IF(R984&gt;=3.5,"A-",IF(R984&gt;=3,"B",IF(R984&gt;=2,"C",IF(R984&gt;=1,"D","F")))))))</f>
        <v/>
      </c>
      <c r="T984" s="3">
        <f>IF(OR(B984="",S984="F"),"",COUNTIFS(P:P,"&gt;"&amp;P984,S:S,"&lt;&gt;F")+1)</f>
        <v/>
      </c>
      <c r="U984">
        <f>IF(B984="","",IF(C984&lt;33.0,0,IF(C984&gt;=100*0.8,5,IF(C984&gt;=100*0.7,4,IF(C984&gt;=100*0.6,3.5,IF(C984&gt;=100*0.5,3,IF(C984&gt;=100*0.4,2,IF(C984&gt;=100*0.33,1,0))))))))</f>
        <v/>
      </c>
      <c r="V984">
        <f>IF(B984="","",IF(D984&lt;33.0,0,IF(D984&gt;=100*0.8,5,IF(D984&gt;=100*0.7,4,IF(D984&gt;=100*0.6,3.5,IF(D984&gt;=100*0.5,3,IF(D984&gt;=100*0.4,2,IF(D984&gt;=100*0.33,1,0))))))))</f>
        <v/>
      </c>
      <c r="W984">
        <f>IF(B984="","",IF(E984&lt;16.5,0,IF(E984&gt;=50*0.8,5,IF(E984&gt;=50*0.7,4,IF(E984&gt;=50*0.6,3.5,IF(E984&gt;=50*0.5,3,IF(E984&gt;=50*0.4,2,IF(E984&gt;=50*0.33,1,0))))))))</f>
        <v/>
      </c>
      <c r="X984">
        <f>IF(B984="","",IF(F984&lt;33.0,0,IF(F984&gt;=100*0.8,5,IF(F984&gt;=100*0.7,4,IF(F984&gt;=100*0.6,3.5,IF(F984&gt;=100*0.5,3,IF(F984&gt;=100*0.4,2,IF(F984&gt;=100*0.33,1,0))))))))</f>
        <v/>
      </c>
      <c r="Y984">
        <f>IF(B984="","",IF(G984&lt;16.5,0,IF(G984&gt;=50*0.8,5,IF(G984&gt;=50*0.7,4,IF(G984&gt;=50*0.6,3.5,IF(G984&gt;=50*0.5,3,IF(G984&gt;=50*0.4,2,IF(G984&gt;=50*0.33,1,0))))))))</f>
        <v/>
      </c>
      <c r="Z984">
        <f>IF(B984="","",IF(H984&lt;33.0,0,IF(H984&gt;=100*0.8,5,IF(H984&gt;=100*0.7,4,IF(H984&gt;=100*0.6,3.5,IF(H984&gt;=100*0.5,3,IF(H984&gt;=100*0.4,2,IF(H984&gt;=100*0.33,1,0))))))))</f>
        <v/>
      </c>
      <c r="AA984">
        <f>IF(B984="","",IF(I984&lt;33.0,0,IF(I984&gt;=100*0.8,5,IF(I984&gt;=100*0.7,4,IF(I984&gt;=100*0.6,3.5,IF(I984&gt;=100*0.5,3,IF(I984&gt;=100*0.4,2,IF(I984&gt;=100*0.33,1,0))))))))</f>
        <v/>
      </c>
      <c r="AB984">
        <f>IF(B984="","",IF(J984&lt;33.0,0,IF(J984&gt;=100*0.8,5,IF(J984&gt;=100*0.7,4,IF(J984&gt;=100*0.6,3.5,IF(J984&gt;=100*0.5,3,IF(J984&gt;=100*0.4,2,IF(J984&gt;=100*0.33,1,0))))))))</f>
        <v/>
      </c>
      <c r="AC984">
        <f>IF(B984="","",IF(K984&lt;33.0,0,IF(K984&gt;=100*0.8,5,IF(K984&gt;=100*0.7,4,IF(K984&gt;=100*0.6,3.5,IF(K984&gt;=100*0.5,3,IF(K984&gt;=100*0.4,2,IF(K984&gt;=100*0.33,1,0))))))))</f>
        <v/>
      </c>
      <c r="AD984">
        <f>IF(B984="","",IF(L984&lt;33.0,0,IF(L984&gt;=100*0.8,5,IF(L984&gt;=100*0.7,4,IF(L984&gt;=100*0.6,3.5,IF(L984&gt;=100*0.5,3,IF(L984&gt;=100*0.4,2,IF(L984&gt;=100*0.33,1,0))))))))</f>
        <v/>
      </c>
      <c r="AE984">
        <f>IF(B984="","",IF(M984&lt;33.0,0,IF(M984&gt;=100*0.8,5,IF(M984&gt;=100*0.7,4,IF(M984&gt;=100*0.6,3.5,IF(M984&gt;=100*0.5,3,IF(M984&gt;=100*0.4,2,IF(M984&gt;=100*0.33,1,0))))))))</f>
        <v/>
      </c>
      <c r="AF984">
        <f>IF(B984="","",IF(N984&lt;16.5,0,IF(N984&gt;=50*0.8,5,IF(N984&gt;=50*0.7,4,IF(N984&gt;=50*0.6,3.5,IF(N984&gt;=50*0.5,3,IF(N984&gt;=50*0.4,2,IF(N984&gt;=50*0.33,1,0))))))))</f>
        <v/>
      </c>
      <c r="AG984">
        <f>IF(B984="","",IF(O984&lt;33.0,0,IF(O984&gt;=100*0.8,5,IF(O984&gt;=100*0.7,4,IF(O984&gt;=100*0.6,3.5,IF(O984&gt;=100*0.5,3,IF(O984&gt;=100*0.4,2,IF(O984&gt;=100*0.33,1,0))))))))</f>
        <v/>
      </c>
      <c r="AH984">
        <f>IF(B984="","",IF(OR(U984=0,V984=0,W984=0,X984=0,Y984=0,Z984=0,AA984=0,AB984=0,AC984=0,AD984=0,AE984=0,AF984=0,AG984=0),1,0))</f>
        <v/>
      </c>
    </row>
    <row r="985">
      <c r="A985" s="3">
        <f>IF(B985="","",ROW()-2)</f>
        <v/>
      </c>
      <c r="P985" s="4">
        <f>IF(B985="","",SUM(C985:O985))</f>
        <v/>
      </c>
      <c r="Q985" s="5">
        <f>IF(B985="","",ROUND(P985/13,2))</f>
        <v/>
      </c>
      <c r="R985" s="5">
        <f>IF(B985="","",IF(AH985=1,0,MIN(5,ROUND((U985+V985+W985+X985+Y985+Z985+AA985+AB985+AC985+AD985+AE985+AF985+AG985)/13,2))))</f>
        <v/>
      </c>
      <c r="S985" s="3">
        <f>IF(B985="","",IF(R985&gt;=5,"A+",IF(R985&gt;=4,"A",IF(R985&gt;=3.5,"A-",IF(R985&gt;=3,"B",IF(R985&gt;=2,"C",IF(R985&gt;=1,"D","F")))))))</f>
        <v/>
      </c>
      <c r="T985" s="3">
        <f>IF(OR(B985="",S985="F"),"",COUNTIFS(P:P,"&gt;"&amp;P985,S:S,"&lt;&gt;F")+1)</f>
        <v/>
      </c>
      <c r="U985">
        <f>IF(B985="","",IF(C985&lt;33.0,0,IF(C985&gt;=100*0.8,5,IF(C985&gt;=100*0.7,4,IF(C985&gt;=100*0.6,3.5,IF(C985&gt;=100*0.5,3,IF(C985&gt;=100*0.4,2,IF(C985&gt;=100*0.33,1,0))))))))</f>
        <v/>
      </c>
      <c r="V985">
        <f>IF(B985="","",IF(D985&lt;33.0,0,IF(D985&gt;=100*0.8,5,IF(D985&gt;=100*0.7,4,IF(D985&gt;=100*0.6,3.5,IF(D985&gt;=100*0.5,3,IF(D985&gt;=100*0.4,2,IF(D985&gt;=100*0.33,1,0))))))))</f>
        <v/>
      </c>
      <c r="W985">
        <f>IF(B985="","",IF(E985&lt;16.5,0,IF(E985&gt;=50*0.8,5,IF(E985&gt;=50*0.7,4,IF(E985&gt;=50*0.6,3.5,IF(E985&gt;=50*0.5,3,IF(E985&gt;=50*0.4,2,IF(E985&gt;=50*0.33,1,0))))))))</f>
        <v/>
      </c>
      <c r="X985">
        <f>IF(B985="","",IF(F985&lt;33.0,0,IF(F985&gt;=100*0.8,5,IF(F985&gt;=100*0.7,4,IF(F985&gt;=100*0.6,3.5,IF(F985&gt;=100*0.5,3,IF(F985&gt;=100*0.4,2,IF(F985&gt;=100*0.33,1,0))))))))</f>
        <v/>
      </c>
      <c r="Y985">
        <f>IF(B985="","",IF(G985&lt;16.5,0,IF(G985&gt;=50*0.8,5,IF(G985&gt;=50*0.7,4,IF(G985&gt;=50*0.6,3.5,IF(G985&gt;=50*0.5,3,IF(G985&gt;=50*0.4,2,IF(G985&gt;=50*0.33,1,0))))))))</f>
        <v/>
      </c>
      <c r="Z985">
        <f>IF(B985="","",IF(H985&lt;33.0,0,IF(H985&gt;=100*0.8,5,IF(H985&gt;=100*0.7,4,IF(H985&gt;=100*0.6,3.5,IF(H985&gt;=100*0.5,3,IF(H985&gt;=100*0.4,2,IF(H985&gt;=100*0.33,1,0))))))))</f>
        <v/>
      </c>
      <c r="AA985">
        <f>IF(B985="","",IF(I985&lt;33.0,0,IF(I985&gt;=100*0.8,5,IF(I985&gt;=100*0.7,4,IF(I985&gt;=100*0.6,3.5,IF(I985&gt;=100*0.5,3,IF(I985&gt;=100*0.4,2,IF(I985&gt;=100*0.33,1,0))))))))</f>
        <v/>
      </c>
      <c r="AB985">
        <f>IF(B985="","",IF(J985&lt;33.0,0,IF(J985&gt;=100*0.8,5,IF(J985&gt;=100*0.7,4,IF(J985&gt;=100*0.6,3.5,IF(J985&gt;=100*0.5,3,IF(J985&gt;=100*0.4,2,IF(J985&gt;=100*0.33,1,0))))))))</f>
        <v/>
      </c>
      <c r="AC985">
        <f>IF(B985="","",IF(K985&lt;33.0,0,IF(K985&gt;=100*0.8,5,IF(K985&gt;=100*0.7,4,IF(K985&gt;=100*0.6,3.5,IF(K985&gt;=100*0.5,3,IF(K985&gt;=100*0.4,2,IF(K985&gt;=100*0.33,1,0))))))))</f>
        <v/>
      </c>
      <c r="AD985">
        <f>IF(B985="","",IF(L985&lt;33.0,0,IF(L985&gt;=100*0.8,5,IF(L985&gt;=100*0.7,4,IF(L985&gt;=100*0.6,3.5,IF(L985&gt;=100*0.5,3,IF(L985&gt;=100*0.4,2,IF(L985&gt;=100*0.33,1,0))))))))</f>
        <v/>
      </c>
      <c r="AE985">
        <f>IF(B985="","",IF(M985&lt;33.0,0,IF(M985&gt;=100*0.8,5,IF(M985&gt;=100*0.7,4,IF(M985&gt;=100*0.6,3.5,IF(M985&gt;=100*0.5,3,IF(M985&gt;=100*0.4,2,IF(M985&gt;=100*0.33,1,0))))))))</f>
        <v/>
      </c>
      <c r="AF985">
        <f>IF(B985="","",IF(N985&lt;16.5,0,IF(N985&gt;=50*0.8,5,IF(N985&gt;=50*0.7,4,IF(N985&gt;=50*0.6,3.5,IF(N985&gt;=50*0.5,3,IF(N985&gt;=50*0.4,2,IF(N985&gt;=50*0.33,1,0))))))))</f>
        <v/>
      </c>
      <c r="AG985">
        <f>IF(B985="","",IF(O985&lt;33.0,0,IF(O985&gt;=100*0.8,5,IF(O985&gt;=100*0.7,4,IF(O985&gt;=100*0.6,3.5,IF(O985&gt;=100*0.5,3,IF(O985&gt;=100*0.4,2,IF(O985&gt;=100*0.33,1,0))))))))</f>
        <v/>
      </c>
      <c r="AH985">
        <f>IF(B985="","",IF(OR(U985=0,V985=0,W985=0,X985=0,Y985=0,Z985=0,AA985=0,AB985=0,AC985=0,AD985=0,AE985=0,AF985=0,AG985=0),1,0))</f>
        <v/>
      </c>
    </row>
    <row r="986">
      <c r="A986" s="3">
        <f>IF(B986="","",ROW()-2)</f>
        <v/>
      </c>
      <c r="P986" s="4">
        <f>IF(B986="","",SUM(C986:O986))</f>
        <v/>
      </c>
      <c r="Q986" s="5">
        <f>IF(B986="","",ROUND(P986/13,2))</f>
        <v/>
      </c>
      <c r="R986" s="5">
        <f>IF(B986="","",IF(AH986=1,0,MIN(5,ROUND((U986+V986+W986+X986+Y986+Z986+AA986+AB986+AC986+AD986+AE986+AF986+AG986)/13,2))))</f>
        <v/>
      </c>
      <c r="S986" s="3">
        <f>IF(B986="","",IF(R986&gt;=5,"A+",IF(R986&gt;=4,"A",IF(R986&gt;=3.5,"A-",IF(R986&gt;=3,"B",IF(R986&gt;=2,"C",IF(R986&gt;=1,"D","F")))))))</f>
        <v/>
      </c>
      <c r="T986" s="3">
        <f>IF(OR(B986="",S986="F"),"",COUNTIFS(P:P,"&gt;"&amp;P986,S:S,"&lt;&gt;F")+1)</f>
        <v/>
      </c>
      <c r="U986">
        <f>IF(B986="","",IF(C986&lt;33.0,0,IF(C986&gt;=100*0.8,5,IF(C986&gt;=100*0.7,4,IF(C986&gt;=100*0.6,3.5,IF(C986&gt;=100*0.5,3,IF(C986&gt;=100*0.4,2,IF(C986&gt;=100*0.33,1,0))))))))</f>
        <v/>
      </c>
      <c r="V986">
        <f>IF(B986="","",IF(D986&lt;33.0,0,IF(D986&gt;=100*0.8,5,IF(D986&gt;=100*0.7,4,IF(D986&gt;=100*0.6,3.5,IF(D986&gt;=100*0.5,3,IF(D986&gt;=100*0.4,2,IF(D986&gt;=100*0.33,1,0))))))))</f>
        <v/>
      </c>
      <c r="W986">
        <f>IF(B986="","",IF(E986&lt;16.5,0,IF(E986&gt;=50*0.8,5,IF(E986&gt;=50*0.7,4,IF(E986&gt;=50*0.6,3.5,IF(E986&gt;=50*0.5,3,IF(E986&gt;=50*0.4,2,IF(E986&gt;=50*0.33,1,0))))))))</f>
        <v/>
      </c>
      <c r="X986">
        <f>IF(B986="","",IF(F986&lt;33.0,0,IF(F986&gt;=100*0.8,5,IF(F986&gt;=100*0.7,4,IF(F986&gt;=100*0.6,3.5,IF(F986&gt;=100*0.5,3,IF(F986&gt;=100*0.4,2,IF(F986&gt;=100*0.33,1,0))))))))</f>
        <v/>
      </c>
      <c r="Y986">
        <f>IF(B986="","",IF(G986&lt;16.5,0,IF(G986&gt;=50*0.8,5,IF(G986&gt;=50*0.7,4,IF(G986&gt;=50*0.6,3.5,IF(G986&gt;=50*0.5,3,IF(G986&gt;=50*0.4,2,IF(G986&gt;=50*0.33,1,0))))))))</f>
        <v/>
      </c>
      <c r="Z986">
        <f>IF(B986="","",IF(H986&lt;33.0,0,IF(H986&gt;=100*0.8,5,IF(H986&gt;=100*0.7,4,IF(H986&gt;=100*0.6,3.5,IF(H986&gt;=100*0.5,3,IF(H986&gt;=100*0.4,2,IF(H986&gt;=100*0.33,1,0))))))))</f>
        <v/>
      </c>
      <c r="AA986">
        <f>IF(B986="","",IF(I986&lt;33.0,0,IF(I986&gt;=100*0.8,5,IF(I986&gt;=100*0.7,4,IF(I986&gt;=100*0.6,3.5,IF(I986&gt;=100*0.5,3,IF(I986&gt;=100*0.4,2,IF(I986&gt;=100*0.33,1,0))))))))</f>
        <v/>
      </c>
      <c r="AB986">
        <f>IF(B986="","",IF(J986&lt;33.0,0,IF(J986&gt;=100*0.8,5,IF(J986&gt;=100*0.7,4,IF(J986&gt;=100*0.6,3.5,IF(J986&gt;=100*0.5,3,IF(J986&gt;=100*0.4,2,IF(J986&gt;=100*0.33,1,0))))))))</f>
        <v/>
      </c>
      <c r="AC986">
        <f>IF(B986="","",IF(K986&lt;33.0,0,IF(K986&gt;=100*0.8,5,IF(K986&gt;=100*0.7,4,IF(K986&gt;=100*0.6,3.5,IF(K986&gt;=100*0.5,3,IF(K986&gt;=100*0.4,2,IF(K986&gt;=100*0.33,1,0))))))))</f>
        <v/>
      </c>
      <c r="AD986">
        <f>IF(B986="","",IF(L986&lt;33.0,0,IF(L986&gt;=100*0.8,5,IF(L986&gt;=100*0.7,4,IF(L986&gt;=100*0.6,3.5,IF(L986&gt;=100*0.5,3,IF(L986&gt;=100*0.4,2,IF(L986&gt;=100*0.33,1,0))))))))</f>
        <v/>
      </c>
      <c r="AE986">
        <f>IF(B986="","",IF(M986&lt;33.0,0,IF(M986&gt;=100*0.8,5,IF(M986&gt;=100*0.7,4,IF(M986&gt;=100*0.6,3.5,IF(M986&gt;=100*0.5,3,IF(M986&gt;=100*0.4,2,IF(M986&gt;=100*0.33,1,0))))))))</f>
        <v/>
      </c>
      <c r="AF986">
        <f>IF(B986="","",IF(N986&lt;16.5,0,IF(N986&gt;=50*0.8,5,IF(N986&gt;=50*0.7,4,IF(N986&gt;=50*0.6,3.5,IF(N986&gt;=50*0.5,3,IF(N986&gt;=50*0.4,2,IF(N986&gt;=50*0.33,1,0))))))))</f>
        <v/>
      </c>
      <c r="AG986">
        <f>IF(B986="","",IF(O986&lt;33.0,0,IF(O986&gt;=100*0.8,5,IF(O986&gt;=100*0.7,4,IF(O986&gt;=100*0.6,3.5,IF(O986&gt;=100*0.5,3,IF(O986&gt;=100*0.4,2,IF(O986&gt;=100*0.33,1,0))))))))</f>
        <v/>
      </c>
      <c r="AH986">
        <f>IF(B986="","",IF(OR(U986=0,V986=0,W986=0,X986=0,Y986=0,Z986=0,AA986=0,AB986=0,AC986=0,AD986=0,AE986=0,AF986=0,AG986=0),1,0))</f>
        <v/>
      </c>
    </row>
    <row r="987">
      <c r="A987" s="3">
        <f>IF(B987="","",ROW()-2)</f>
        <v/>
      </c>
      <c r="P987" s="4">
        <f>IF(B987="","",SUM(C987:O987))</f>
        <v/>
      </c>
      <c r="Q987" s="5">
        <f>IF(B987="","",ROUND(P987/13,2))</f>
        <v/>
      </c>
      <c r="R987" s="5">
        <f>IF(B987="","",IF(AH987=1,0,MIN(5,ROUND((U987+V987+W987+X987+Y987+Z987+AA987+AB987+AC987+AD987+AE987+AF987+AG987)/13,2))))</f>
        <v/>
      </c>
      <c r="S987" s="3">
        <f>IF(B987="","",IF(R987&gt;=5,"A+",IF(R987&gt;=4,"A",IF(R987&gt;=3.5,"A-",IF(R987&gt;=3,"B",IF(R987&gt;=2,"C",IF(R987&gt;=1,"D","F")))))))</f>
        <v/>
      </c>
      <c r="T987" s="3">
        <f>IF(OR(B987="",S987="F"),"",COUNTIFS(P:P,"&gt;"&amp;P987,S:S,"&lt;&gt;F")+1)</f>
        <v/>
      </c>
      <c r="U987">
        <f>IF(B987="","",IF(C987&lt;33.0,0,IF(C987&gt;=100*0.8,5,IF(C987&gt;=100*0.7,4,IF(C987&gt;=100*0.6,3.5,IF(C987&gt;=100*0.5,3,IF(C987&gt;=100*0.4,2,IF(C987&gt;=100*0.33,1,0))))))))</f>
        <v/>
      </c>
      <c r="V987">
        <f>IF(B987="","",IF(D987&lt;33.0,0,IF(D987&gt;=100*0.8,5,IF(D987&gt;=100*0.7,4,IF(D987&gt;=100*0.6,3.5,IF(D987&gt;=100*0.5,3,IF(D987&gt;=100*0.4,2,IF(D987&gt;=100*0.33,1,0))))))))</f>
        <v/>
      </c>
      <c r="W987">
        <f>IF(B987="","",IF(E987&lt;16.5,0,IF(E987&gt;=50*0.8,5,IF(E987&gt;=50*0.7,4,IF(E987&gt;=50*0.6,3.5,IF(E987&gt;=50*0.5,3,IF(E987&gt;=50*0.4,2,IF(E987&gt;=50*0.33,1,0))))))))</f>
        <v/>
      </c>
      <c r="X987">
        <f>IF(B987="","",IF(F987&lt;33.0,0,IF(F987&gt;=100*0.8,5,IF(F987&gt;=100*0.7,4,IF(F987&gt;=100*0.6,3.5,IF(F987&gt;=100*0.5,3,IF(F987&gt;=100*0.4,2,IF(F987&gt;=100*0.33,1,0))))))))</f>
        <v/>
      </c>
      <c r="Y987">
        <f>IF(B987="","",IF(G987&lt;16.5,0,IF(G987&gt;=50*0.8,5,IF(G987&gt;=50*0.7,4,IF(G987&gt;=50*0.6,3.5,IF(G987&gt;=50*0.5,3,IF(G987&gt;=50*0.4,2,IF(G987&gt;=50*0.33,1,0))))))))</f>
        <v/>
      </c>
      <c r="Z987">
        <f>IF(B987="","",IF(H987&lt;33.0,0,IF(H987&gt;=100*0.8,5,IF(H987&gt;=100*0.7,4,IF(H987&gt;=100*0.6,3.5,IF(H987&gt;=100*0.5,3,IF(H987&gt;=100*0.4,2,IF(H987&gt;=100*0.33,1,0))))))))</f>
        <v/>
      </c>
      <c r="AA987">
        <f>IF(B987="","",IF(I987&lt;33.0,0,IF(I987&gt;=100*0.8,5,IF(I987&gt;=100*0.7,4,IF(I987&gt;=100*0.6,3.5,IF(I987&gt;=100*0.5,3,IF(I987&gt;=100*0.4,2,IF(I987&gt;=100*0.33,1,0))))))))</f>
        <v/>
      </c>
      <c r="AB987">
        <f>IF(B987="","",IF(J987&lt;33.0,0,IF(J987&gt;=100*0.8,5,IF(J987&gt;=100*0.7,4,IF(J987&gt;=100*0.6,3.5,IF(J987&gt;=100*0.5,3,IF(J987&gt;=100*0.4,2,IF(J987&gt;=100*0.33,1,0))))))))</f>
        <v/>
      </c>
      <c r="AC987">
        <f>IF(B987="","",IF(K987&lt;33.0,0,IF(K987&gt;=100*0.8,5,IF(K987&gt;=100*0.7,4,IF(K987&gt;=100*0.6,3.5,IF(K987&gt;=100*0.5,3,IF(K987&gt;=100*0.4,2,IF(K987&gt;=100*0.33,1,0))))))))</f>
        <v/>
      </c>
      <c r="AD987">
        <f>IF(B987="","",IF(L987&lt;33.0,0,IF(L987&gt;=100*0.8,5,IF(L987&gt;=100*0.7,4,IF(L987&gt;=100*0.6,3.5,IF(L987&gt;=100*0.5,3,IF(L987&gt;=100*0.4,2,IF(L987&gt;=100*0.33,1,0))))))))</f>
        <v/>
      </c>
      <c r="AE987">
        <f>IF(B987="","",IF(M987&lt;33.0,0,IF(M987&gt;=100*0.8,5,IF(M987&gt;=100*0.7,4,IF(M987&gt;=100*0.6,3.5,IF(M987&gt;=100*0.5,3,IF(M987&gt;=100*0.4,2,IF(M987&gt;=100*0.33,1,0))))))))</f>
        <v/>
      </c>
      <c r="AF987">
        <f>IF(B987="","",IF(N987&lt;16.5,0,IF(N987&gt;=50*0.8,5,IF(N987&gt;=50*0.7,4,IF(N987&gt;=50*0.6,3.5,IF(N987&gt;=50*0.5,3,IF(N987&gt;=50*0.4,2,IF(N987&gt;=50*0.33,1,0))))))))</f>
        <v/>
      </c>
      <c r="AG987">
        <f>IF(B987="","",IF(O987&lt;33.0,0,IF(O987&gt;=100*0.8,5,IF(O987&gt;=100*0.7,4,IF(O987&gt;=100*0.6,3.5,IF(O987&gt;=100*0.5,3,IF(O987&gt;=100*0.4,2,IF(O987&gt;=100*0.33,1,0))))))))</f>
        <v/>
      </c>
      <c r="AH987">
        <f>IF(B987="","",IF(OR(U987=0,V987=0,W987=0,X987=0,Y987=0,Z987=0,AA987=0,AB987=0,AC987=0,AD987=0,AE987=0,AF987=0,AG987=0),1,0))</f>
        <v/>
      </c>
    </row>
    <row r="988">
      <c r="A988" s="3">
        <f>IF(B988="","",ROW()-2)</f>
        <v/>
      </c>
      <c r="P988" s="4">
        <f>IF(B988="","",SUM(C988:O988))</f>
        <v/>
      </c>
      <c r="Q988" s="5">
        <f>IF(B988="","",ROUND(P988/13,2))</f>
        <v/>
      </c>
      <c r="R988" s="5">
        <f>IF(B988="","",IF(AH988=1,0,MIN(5,ROUND((U988+V988+W988+X988+Y988+Z988+AA988+AB988+AC988+AD988+AE988+AF988+AG988)/13,2))))</f>
        <v/>
      </c>
      <c r="S988" s="3">
        <f>IF(B988="","",IF(R988&gt;=5,"A+",IF(R988&gt;=4,"A",IF(R988&gt;=3.5,"A-",IF(R988&gt;=3,"B",IF(R988&gt;=2,"C",IF(R988&gt;=1,"D","F")))))))</f>
        <v/>
      </c>
      <c r="T988" s="3">
        <f>IF(OR(B988="",S988="F"),"",COUNTIFS(P:P,"&gt;"&amp;P988,S:S,"&lt;&gt;F")+1)</f>
        <v/>
      </c>
      <c r="U988">
        <f>IF(B988="","",IF(C988&lt;33.0,0,IF(C988&gt;=100*0.8,5,IF(C988&gt;=100*0.7,4,IF(C988&gt;=100*0.6,3.5,IF(C988&gt;=100*0.5,3,IF(C988&gt;=100*0.4,2,IF(C988&gt;=100*0.33,1,0))))))))</f>
        <v/>
      </c>
      <c r="V988">
        <f>IF(B988="","",IF(D988&lt;33.0,0,IF(D988&gt;=100*0.8,5,IF(D988&gt;=100*0.7,4,IF(D988&gt;=100*0.6,3.5,IF(D988&gt;=100*0.5,3,IF(D988&gt;=100*0.4,2,IF(D988&gt;=100*0.33,1,0))))))))</f>
        <v/>
      </c>
      <c r="W988">
        <f>IF(B988="","",IF(E988&lt;16.5,0,IF(E988&gt;=50*0.8,5,IF(E988&gt;=50*0.7,4,IF(E988&gt;=50*0.6,3.5,IF(E988&gt;=50*0.5,3,IF(E988&gt;=50*0.4,2,IF(E988&gt;=50*0.33,1,0))))))))</f>
        <v/>
      </c>
      <c r="X988">
        <f>IF(B988="","",IF(F988&lt;33.0,0,IF(F988&gt;=100*0.8,5,IF(F988&gt;=100*0.7,4,IF(F988&gt;=100*0.6,3.5,IF(F988&gt;=100*0.5,3,IF(F988&gt;=100*0.4,2,IF(F988&gt;=100*0.33,1,0))))))))</f>
        <v/>
      </c>
      <c r="Y988">
        <f>IF(B988="","",IF(G988&lt;16.5,0,IF(G988&gt;=50*0.8,5,IF(G988&gt;=50*0.7,4,IF(G988&gt;=50*0.6,3.5,IF(G988&gt;=50*0.5,3,IF(G988&gt;=50*0.4,2,IF(G988&gt;=50*0.33,1,0))))))))</f>
        <v/>
      </c>
      <c r="Z988">
        <f>IF(B988="","",IF(H988&lt;33.0,0,IF(H988&gt;=100*0.8,5,IF(H988&gt;=100*0.7,4,IF(H988&gt;=100*0.6,3.5,IF(H988&gt;=100*0.5,3,IF(H988&gt;=100*0.4,2,IF(H988&gt;=100*0.33,1,0))))))))</f>
        <v/>
      </c>
      <c r="AA988">
        <f>IF(B988="","",IF(I988&lt;33.0,0,IF(I988&gt;=100*0.8,5,IF(I988&gt;=100*0.7,4,IF(I988&gt;=100*0.6,3.5,IF(I988&gt;=100*0.5,3,IF(I988&gt;=100*0.4,2,IF(I988&gt;=100*0.33,1,0))))))))</f>
        <v/>
      </c>
      <c r="AB988">
        <f>IF(B988="","",IF(J988&lt;33.0,0,IF(J988&gt;=100*0.8,5,IF(J988&gt;=100*0.7,4,IF(J988&gt;=100*0.6,3.5,IF(J988&gt;=100*0.5,3,IF(J988&gt;=100*0.4,2,IF(J988&gt;=100*0.33,1,0))))))))</f>
        <v/>
      </c>
      <c r="AC988">
        <f>IF(B988="","",IF(K988&lt;33.0,0,IF(K988&gt;=100*0.8,5,IF(K988&gt;=100*0.7,4,IF(K988&gt;=100*0.6,3.5,IF(K988&gt;=100*0.5,3,IF(K988&gt;=100*0.4,2,IF(K988&gt;=100*0.33,1,0))))))))</f>
        <v/>
      </c>
      <c r="AD988">
        <f>IF(B988="","",IF(L988&lt;33.0,0,IF(L988&gt;=100*0.8,5,IF(L988&gt;=100*0.7,4,IF(L988&gt;=100*0.6,3.5,IF(L988&gt;=100*0.5,3,IF(L988&gt;=100*0.4,2,IF(L988&gt;=100*0.33,1,0))))))))</f>
        <v/>
      </c>
      <c r="AE988">
        <f>IF(B988="","",IF(M988&lt;33.0,0,IF(M988&gt;=100*0.8,5,IF(M988&gt;=100*0.7,4,IF(M988&gt;=100*0.6,3.5,IF(M988&gt;=100*0.5,3,IF(M988&gt;=100*0.4,2,IF(M988&gt;=100*0.33,1,0))))))))</f>
        <v/>
      </c>
      <c r="AF988">
        <f>IF(B988="","",IF(N988&lt;16.5,0,IF(N988&gt;=50*0.8,5,IF(N988&gt;=50*0.7,4,IF(N988&gt;=50*0.6,3.5,IF(N988&gt;=50*0.5,3,IF(N988&gt;=50*0.4,2,IF(N988&gt;=50*0.33,1,0))))))))</f>
        <v/>
      </c>
      <c r="AG988">
        <f>IF(B988="","",IF(O988&lt;33.0,0,IF(O988&gt;=100*0.8,5,IF(O988&gt;=100*0.7,4,IF(O988&gt;=100*0.6,3.5,IF(O988&gt;=100*0.5,3,IF(O988&gt;=100*0.4,2,IF(O988&gt;=100*0.33,1,0))))))))</f>
        <v/>
      </c>
      <c r="AH988">
        <f>IF(B988="","",IF(OR(U988=0,V988=0,W988=0,X988=0,Y988=0,Z988=0,AA988=0,AB988=0,AC988=0,AD988=0,AE988=0,AF988=0,AG988=0),1,0))</f>
        <v/>
      </c>
    </row>
    <row r="989">
      <c r="A989" s="3">
        <f>IF(B989="","",ROW()-2)</f>
        <v/>
      </c>
      <c r="P989" s="4">
        <f>IF(B989="","",SUM(C989:O989))</f>
        <v/>
      </c>
      <c r="Q989" s="5">
        <f>IF(B989="","",ROUND(P989/13,2))</f>
        <v/>
      </c>
      <c r="R989" s="5">
        <f>IF(B989="","",IF(AH989=1,0,MIN(5,ROUND((U989+V989+W989+X989+Y989+Z989+AA989+AB989+AC989+AD989+AE989+AF989+AG989)/13,2))))</f>
        <v/>
      </c>
      <c r="S989" s="3">
        <f>IF(B989="","",IF(R989&gt;=5,"A+",IF(R989&gt;=4,"A",IF(R989&gt;=3.5,"A-",IF(R989&gt;=3,"B",IF(R989&gt;=2,"C",IF(R989&gt;=1,"D","F")))))))</f>
        <v/>
      </c>
      <c r="T989" s="3">
        <f>IF(OR(B989="",S989="F"),"",COUNTIFS(P:P,"&gt;"&amp;P989,S:S,"&lt;&gt;F")+1)</f>
        <v/>
      </c>
      <c r="U989">
        <f>IF(B989="","",IF(C989&lt;33.0,0,IF(C989&gt;=100*0.8,5,IF(C989&gt;=100*0.7,4,IF(C989&gt;=100*0.6,3.5,IF(C989&gt;=100*0.5,3,IF(C989&gt;=100*0.4,2,IF(C989&gt;=100*0.33,1,0))))))))</f>
        <v/>
      </c>
      <c r="V989">
        <f>IF(B989="","",IF(D989&lt;33.0,0,IF(D989&gt;=100*0.8,5,IF(D989&gt;=100*0.7,4,IF(D989&gt;=100*0.6,3.5,IF(D989&gt;=100*0.5,3,IF(D989&gt;=100*0.4,2,IF(D989&gt;=100*0.33,1,0))))))))</f>
        <v/>
      </c>
      <c r="W989">
        <f>IF(B989="","",IF(E989&lt;16.5,0,IF(E989&gt;=50*0.8,5,IF(E989&gt;=50*0.7,4,IF(E989&gt;=50*0.6,3.5,IF(E989&gt;=50*0.5,3,IF(E989&gt;=50*0.4,2,IF(E989&gt;=50*0.33,1,0))))))))</f>
        <v/>
      </c>
      <c r="X989">
        <f>IF(B989="","",IF(F989&lt;33.0,0,IF(F989&gt;=100*0.8,5,IF(F989&gt;=100*0.7,4,IF(F989&gt;=100*0.6,3.5,IF(F989&gt;=100*0.5,3,IF(F989&gt;=100*0.4,2,IF(F989&gt;=100*0.33,1,0))))))))</f>
        <v/>
      </c>
      <c r="Y989">
        <f>IF(B989="","",IF(G989&lt;16.5,0,IF(G989&gt;=50*0.8,5,IF(G989&gt;=50*0.7,4,IF(G989&gt;=50*0.6,3.5,IF(G989&gt;=50*0.5,3,IF(G989&gt;=50*0.4,2,IF(G989&gt;=50*0.33,1,0))))))))</f>
        <v/>
      </c>
      <c r="Z989">
        <f>IF(B989="","",IF(H989&lt;33.0,0,IF(H989&gt;=100*0.8,5,IF(H989&gt;=100*0.7,4,IF(H989&gt;=100*0.6,3.5,IF(H989&gt;=100*0.5,3,IF(H989&gt;=100*0.4,2,IF(H989&gt;=100*0.33,1,0))))))))</f>
        <v/>
      </c>
      <c r="AA989">
        <f>IF(B989="","",IF(I989&lt;33.0,0,IF(I989&gt;=100*0.8,5,IF(I989&gt;=100*0.7,4,IF(I989&gt;=100*0.6,3.5,IF(I989&gt;=100*0.5,3,IF(I989&gt;=100*0.4,2,IF(I989&gt;=100*0.33,1,0))))))))</f>
        <v/>
      </c>
      <c r="AB989">
        <f>IF(B989="","",IF(J989&lt;33.0,0,IF(J989&gt;=100*0.8,5,IF(J989&gt;=100*0.7,4,IF(J989&gt;=100*0.6,3.5,IF(J989&gt;=100*0.5,3,IF(J989&gt;=100*0.4,2,IF(J989&gt;=100*0.33,1,0))))))))</f>
        <v/>
      </c>
      <c r="AC989">
        <f>IF(B989="","",IF(K989&lt;33.0,0,IF(K989&gt;=100*0.8,5,IF(K989&gt;=100*0.7,4,IF(K989&gt;=100*0.6,3.5,IF(K989&gt;=100*0.5,3,IF(K989&gt;=100*0.4,2,IF(K989&gt;=100*0.33,1,0))))))))</f>
        <v/>
      </c>
      <c r="AD989">
        <f>IF(B989="","",IF(L989&lt;33.0,0,IF(L989&gt;=100*0.8,5,IF(L989&gt;=100*0.7,4,IF(L989&gt;=100*0.6,3.5,IF(L989&gt;=100*0.5,3,IF(L989&gt;=100*0.4,2,IF(L989&gt;=100*0.33,1,0))))))))</f>
        <v/>
      </c>
      <c r="AE989">
        <f>IF(B989="","",IF(M989&lt;33.0,0,IF(M989&gt;=100*0.8,5,IF(M989&gt;=100*0.7,4,IF(M989&gt;=100*0.6,3.5,IF(M989&gt;=100*0.5,3,IF(M989&gt;=100*0.4,2,IF(M989&gt;=100*0.33,1,0))))))))</f>
        <v/>
      </c>
      <c r="AF989">
        <f>IF(B989="","",IF(N989&lt;16.5,0,IF(N989&gt;=50*0.8,5,IF(N989&gt;=50*0.7,4,IF(N989&gt;=50*0.6,3.5,IF(N989&gt;=50*0.5,3,IF(N989&gt;=50*0.4,2,IF(N989&gt;=50*0.33,1,0))))))))</f>
        <v/>
      </c>
      <c r="AG989">
        <f>IF(B989="","",IF(O989&lt;33.0,0,IF(O989&gt;=100*0.8,5,IF(O989&gt;=100*0.7,4,IF(O989&gt;=100*0.6,3.5,IF(O989&gt;=100*0.5,3,IF(O989&gt;=100*0.4,2,IF(O989&gt;=100*0.33,1,0))))))))</f>
        <v/>
      </c>
      <c r="AH989">
        <f>IF(B989="","",IF(OR(U989=0,V989=0,W989=0,X989=0,Y989=0,Z989=0,AA989=0,AB989=0,AC989=0,AD989=0,AE989=0,AF989=0,AG989=0),1,0))</f>
        <v/>
      </c>
    </row>
    <row r="990">
      <c r="A990" s="3">
        <f>IF(B990="","",ROW()-2)</f>
        <v/>
      </c>
      <c r="P990" s="4">
        <f>IF(B990="","",SUM(C990:O990))</f>
        <v/>
      </c>
      <c r="Q990" s="5">
        <f>IF(B990="","",ROUND(P990/13,2))</f>
        <v/>
      </c>
      <c r="R990" s="5">
        <f>IF(B990="","",IF(AH990=1,0,MIN(5,ROUND((U990+V990+W990+X990+Y990+Z990+AA990+AB990+AC990+AD990+AE990+AF990+AG990)/13,2))))</f>
        <v/>
      </c>
      <c r="S990" s="3">
        <f>IF(B990="","",IF(R990&gt;=5,"A+",IF(R990&gt;=4,"A",IF(R990&gt;=3.5,"A-",IF(R990&gt;=3,"B",IF(R990&gt;=2,"C",IF(R990&gt;=1,"D","F")))))))</f>
        <v/>
      </c>
      <c r="T990" s="3">
        <f>IF(OR(B990="",S990="F"),"",COUNTIFS(P:P,"&gt;"&amp;P990,S:S,"&lt;&gt;F")+1)</f>
        <v/>
      </c>
      <c r="U990">
        <f>IF(B990="","",IF(C990&lt;33.0,0,IF(C990&gt;=100*0.8,5,IF(C990&gt;=100*0.7,4,IF(C990&gt;=100*0.6,3.5,IF(C990&gt;=100*0.5,3,IF(C990&gt;=100*0.4,2,IF(C990&gt;=100*0.33,1,0))))))))</f>
        <v/>
      </c>
      <c r="V990">
        <f>IF(B990="","",IF(D990&lt;33.0,0,IF(D990&gt;=100*0.8,5,IF(D990&gt;=100*0.7,4,IF(D990&gt;=100*0.6,3.5,IF(D990&gt;=100*0.5,3,IF(D990&gt;=100*0.4,2,IF(D990&gt;=100*0.33,1,0))))))))</f>
        <v/>
      </c>
      <c r="W990">
        <f>IF(B990="","",IF(E990&lt;16.5,0,IF(E990&gt;=50*0.8,5,IF(E990&gt;=50*0.7,4,IF(E990&gt;=50*0.6,3.5,IF(E990&gt;=50*0.5,3,IF(E990&gt;=50*0.4,2,IF(E990&gt;=50*0.33,1,0))))))))</f>
        <v/>
      </c>
      <c r="X990">
        <f>IF(B990="","",IF(F990&lt;33.0,0,IF(F990&gt;=100*0.8,5,IF(F990&gt;=100*0.7,4,IF(F990&gt;=100*0.6,3.5,IF(F990&gt;=100*0.5,3,IF(F990&gt;=100*0.4,2,IF(F990&gt;=100*0.33,1,0))))))))</f>
        <v/>
      </c>
      <c r="Y990">
        <f>IF(B990="","",IF(G990&lt;16.5,0,IF(G990&gt;=50*0.8,5,IF(G990&gt;=50*0.7,4,IF(G990&gt;=50*0.6,3.5,IF(G990&gt;=50*0.5,3,IF(G990&gt;=50*0.4,2,IF(G990&gt;=50*0.33,1,0))))))))</f>
        <v/>
      </c>
      <c r="Z990">
        <f>IF(B990="","",IF(H990&lt;33.0,0,IF(H990&gt;=100*0.8,5,IF(H990&gt;=100*0.7,4,IF(H990&gt;=100*0.6,3.5,IF(H990&gt;=100*0.5,3,IF(H990&gt;=100*0.4,2,IF(H990&gt;=100*0.33,1,0))))))))</f>
        <v/>
      </c>
      <c r="AA990">
        <f>IF(B990="","",IF(I990&lt;33.0,0,IF(I990&gt;=100*0.8,5,IF(I990&gt;=100*0.7,4,IF(I990&gt;=100*0.6,3.5,IF(I990&gt;=100*0.5,3,IF(I990&gt;=100*0.4,2,IF(I990&gt;=100*0.33,1,0))))))))</f>
        <v/>
      </c>
      <c r="AB990">
        <f>IF(B990="","",IF(J990&lt;33.0,0,IF(J990&gt;=100*0.8,5,IF(J990&gt;=100*0.7,4,IF(J990&gt;=100*0.6,3.5,IF(J990&gt;=100*0.5,3,IF(J990&gt;=100*0.4,2,IF(J990&gt;=100*0.33,1,0))))))))</f>
        <v/>
      </c>
      <c r="AC990">
        <f>IF(B990="","",IF(K990&lt;33.0,0,IF(K990&gt;=100*0.8,5,IF(K990&gt;=100*0.7,4,IF(K990&gt;=100*0.6,3.5,IF(K990&gt;=100*0.5,3,IF(K990&gt;=100*0.4,2,IF(K990&gt;=100*0.33,1,0))))))))</f>
        <v/>
      </c>
      <c r="AD990">
        <f>IF(B990="","",IF(L990&lt;33.0,0,IF(L990&gt;=100*0.8,5,IF(L990&gt;=100*0.7,4,IF(L990&gt;=100*0.6,3.5,IF(L990&gt;=100*0.5,3,IF(L990&gt;=100*0.4,2,IF(L990&gt;=100*0.33,1,0))))))))</f>
        <v/>
      </c>
      <c r="AE990">
        <f>IF(B990="","",IF(M990&lt;33.0,0,IF(M990&gt;=100*0.8,5,IF(M990&gt;=100*0.7,4,IF(M990&gt;=100*0.6,3.5,IF(M990&gt;=100*0.5,3,IF(M990&gt;=100*0.4,2,IF(M990&gt;=100*0.33,1,0))))))))</f>
        <v/>
      </c>
      <c r="AF990">
        <f>IF(B990="","",IF(N990&lt;16.5,0,IF(N990&gt;=50*0.8,5,IF(N990&gt;=50*0.7,4,IF(N990&gt;=50*0.6,3.5,IF(N990&gt;=50*0.5,3,IF(N990&gt;=50*0.4,2,IF(N990&gt;=50*0.33,1,0))))))))</f>
        <v/>
      </c>
      <c r="AG990">
        <f>IF(B990="","",IF(O990&lt;33.0,0,IF(O990&gt;=100*0.8,5,IF(O990&gt;=100*0.7,4,IF(O990&gt;=100*0.6,3.5,IF(O990&gt;=100*0.5,3,IF(O990&gt;=100*0.4,2,IF(O990&gt;=100*0.33,1,0))))))))</f>
        <v/>
      </c>
      <c r="AH990">
        <f>IF(B990="","",IF(OR(U990=0,V990=0,W990=0,X990=0,Y990=0,Z990=0,AA990=0,AB990=0,AC990=0,AD990=0,AE990=0,AF990=0,AG990=0),1,0))</f>
        <v/>
      </c>
    </row>
    <row r="991">
      <c r="A991" s="3">
        <f>IF(B991="","",ROW()-2)</f>
        <v/>
      </c>
      <c r="P991" s="4">
        <f>IF(B991="","",SUM(C991:O991))</f>
        <v/>
      </c>
      <c r="Q991" s="5">
        <f>IF(B991="","",ROUND(P991/13,2))</f>
        <v/>
      </c>
      <c r="R991" s="5">
        <f>IF(B991="","",IF(AH991=1,0,MIN(5,ROUND((U991+V991+W991+X991+Y991+Z991+AA991+AB991+AC991+AD991+AE991+AF991+AG991)/13,2))))</f>
        <v/>
      </c>
      <c r="S991" s="3">
        <f>IF(B991="","",IF(R991&gt;=5,"A+",IF(R991&gt;=4,"A",IF(R991&gt;=3.5,"A-",IF(R991&gt;=3,"B",IF(R991&gt;=2,"C",IF(R991&gt;=1,"D","F")))))))</f>
        <v/>
      </c>
      <c r="T991" s="3">
        <f>IF(OR(B991="",S991="F"),"",COUNTIFS(P:P,"&gt;"&amp;P991,S:S,"&lt;&gt;F")+1)</f>
        <v/>
      </c>
      <c r="U991">
        <f>IF(B991="","",IF(C991&lt;33.0,0,IF(C991&gt;=100*0.8,5,IF(C991&gt;=100*0.7,4,IF(C991&gt;=100*0.6,3.5,IF(C991&gt;=100*0.5,3,IF(C991&gt;=100*0.4,2,IF(C991&gt;=100*0.33,1,0))))))))</f>
        <v/>
      </c>
      <c r="V991">
        <f>IF(B991="","",IF(D991&lt;33.0,0,IF(D991&gt;=100*0.8,5,IF(D991&gt;=100*0.7,4,IF(D991&gt;=100*0.6,3.5,IF(D991&gt;=100*0.5,3,IF(D991&gt;=100*0.4,2,IF(D991&gt;=100*0.33,1,0))))))))</f>
        <v/>
      </c>
      <c r="W991">
        <f>IF(B991="","",IF(E991&lt;16.5,0,IF(E991&gt;=50*0.8,5,IF(E991&gt;=50*0.7,4,IF(E991&gt;=50*0.6,3.5,IF(E991&gt;=50*0.5,3,IF(E991&gt;=50*0.4,2,IF(E991&gt;=50*0.33,1,0))))))))</f>
        <v/>
      </c>
      <c r="X991">
        <f>IF(B991="","",IF(F991&lt;33.0,0,IF(F991&gt;=100*0.8,5,IF(F991&gt;=100*0.7,4,IF(F991&gt;=100*0.6,3.5,IF(F991&gt;=100*0.5,3,IF(F991&gt;=100*0.4,2,IF(F991&gt;=100*0.33,1,0))))))))</f>
        <v/>
      </c>
      <c r="Y991">
        <f>IF(B991="","",IF(G991&lt;16.5,0,IF(G991&gt;=50*0.8,5,IF(G991&gt;=50*0.7,4,IF(G991&gt;=50*0.6,3.5,IF(G991&gt;=50*0.5,3,IF(G991&gt;=50*0.4,2,IF(G991&gt;=50*0.33,1,0))))))))</f>
        <v/>
      </c>
      <c r="Z991">
        <f>IF(B991="","",IF(H991&lt;33.0,0,IF(H991&gt;=100*0.8,5,IF(H991&gt;=100*0.7,4,IF(H991&gt;=100*0.6,3.5,IF(H991&gt;=100*0.5,3,IF(H991&gt;=100*0.4,2,IF(H991&gt;=100*0.33,1,0))))))))</f>
        <v/>
      </c>
      <c r="AA991">
        <f>IF(B991="","",IF(I991&lt;33.0,0,IF(I991&gt;=100*0.8,5,IF(I991&gt;=100*0.7,4,IF(I991&gt;=100*0.6,3.5,IF(I991&gt;=100*0.5,3,IF(I991&gt;=100*0.4,2,IF(I991&gt;=100*0.33,1,0))))))))</f>
        <v/>
      </c>
      <c r="AB991">
        <f>IF(B991="","",IF(J991&lt;33.0,0,IF(J991&gt;=100*0.8,5,IF(J991&gt;=100*0.7,4,IF(J991&gt;=100*0.6,3.5,IF(J991&gt;=100*0.5,3,IF(J991&gt;=100*0.4,2,IF(J991&gt;=100*0.33,1,0))))))))</f>
        <v/>
      </c>
      <c r="AC991">
        <f>IF(B991="","",IF(K991&lt;33.0,0,IF(K991&gt;=100*0.8,5,IF(K991&gt;=100*0.7,4,IF(K991&gt;=100*0.6,3.5,IF(K991&gt;=100*0.5,3,IF(K991&gt;=100*0.4,2,IF(K991&gt;=100*0.33,1,0))))))))</f>
        <v/>
      </c>
      <c r="AD991">
        <f>IF(B991="","",IF(L991&lt;33.0,0,IF(L991&gt;=100*0.8,5,IF(L991&gt;=100*0.7,4,IF(L991&gt;=100*0.6,3.5,IF(L991&gt;=100*0.5,3,IF(L991&gt;=100*0.4,2,IF(L991&gt;=100*0.33,1,0))))))))</f>
        <v/>
      </c>
      <c r="AE991">
        <f>IF(B991="","",IF(M991&lt;33.0,0,IF(M991&gt;=100*0.8,5,IF(M991&gt;=100*0.7,4,IF(M991&gt;=100*0.6,3.5,IF(M991&gt;=100*0.5,3,IF(M991&gt;=100*0.4,2,IF(M991&gt;=100*0.33,1,0))))))))</f>
        <v/>
      </c>
      <c r="AF991">
        <f>IF(B991="","",IF(N991&lt;16.5,0,IF(N991&gt;=50*0.8,5,IF(N991&gt;=50*0.7,4,IF(N991&gt;=50*0.6,3.5,IF(N991&gt;=50*0.5,3,IF(N991&gt;=50*0.4,2,IF(N991&gt;=50*0.33,1,0))))))))</f>
        <v/>
      </c>
      <c r="AG991">
        <f>IF(B991="","",IF(O991&lt;33.0,0,IF(O991&gt;=100*0.8,5,IF(O991&gt;=100*0.7,4,IF(O991&gt;=100*0.6,3.5,IF(O991&gt;=100*0.5,3,IF(O991&gt;=100*0.4,2,IF(O991&gt;=100*0.33,1,0))))))))</f>
        <v/>
      </c>
      <c r="AH991">
        <f>IF(B991="","",IF(OR(U991=0,V991=0,W991=0,X991=0,Y991=0,Z991=0,AA991=0,AB991=0,AC991=0,AD991=0,AE991=0,AF991=0,AG991=0),1,0))</f>
        <v/>
      </c>
    </row>
    <row r="992">
      <c r="A992" s="3">
        <f>IF(B992="","",ROW()-2)</f>
        <v/>
      </c>
      <c r="P992" s="4">
        <f>IF(B992="","",SUM(C992:O992))</f>
        <v/>
      </c>
      <c r="Q992" s="5">
        <f>IF(B992="","",ROUND(P992/13,2))</f>
        <v/>
      </c>
      <c r="R992" s="5">
        <f>IF(B992="","",IF(AH992=1,0,MIN(5,ROUND((U992+V992+W992+X992+Y992+Z992+AA992+AB992+AC992+AD992+AE992+AF992+AG992)/13,2))))</f>
        <v/>
      </c>
      <c r="S992" s="3">
        <f>IF(B992="","",IF(R992&gt;=5,"A+",IF(R992&gt;=4,"A",IF(R992&gt;=3.5,"A-",IF(R992&gt;=3,"B",IF(R992&gt;=2,"C",IF(R992&gt;=1,"D","F")))))))</f>
        <v/>
      </c>
      <c r="T992" s="3">
        <f>IF(OR(B992="",S992="F"),"",COUNTIFS(P:P,"&gt;"&amp;P992,S:S,"&lt;&gt;F")+1)</f>
        <v/>
      </c>
      <c r="U992">
        <f>IF(B992="","",IF(C992&lt;33.0,0,IF(C992&gt;=100*0.8,5,IF(C992&gt;=100*0.7,4,IF(C992&gt;=100*0.6,3.5,IF(C992&gt;=100*0.5,3,IF(C992&gt;=100*0.4,2,IF(C992&gt;=100*0.33,1,0))))))))</f>
        <v/>
      </c>
      <c r="V992">
        <f>IF(B992="","",IF(D992&lt;33.0,0,IF(D992&gt;=100*0.8,5,IF(D992&gt;=100*0.7,4,IF(D992&gt;=100*0.6,3.5,IF(D992&gt;=100*0.5,3,IF(D992&gt;=100*0.4,2,IF(D992&gt;=100*0.33,1,0))))))))</f>
        <v/>
      </c>
      <c r="W992">
        <f>IF(B992="","",IF(E992&lt;16.5,0,IF(E992&gt;=50*0.8,5,IF(E992&gt;=50*0.7,4,IF(E992&gt;=50*0.6,3.5,IF(E992&gt;=50*0.5,3,IF(E992&gt;=50*0.4,2,IF(E992&gt;=50*0.33,1,0))))))))</f>
        <v/>
      </c>
      <c r="X992">
        <f>IF(B992="","",IF(F992&lt;33.0,0,IF(F992&gt;=100*0.8,5,IF(F992&gt;=100*0.7,4,IF(F992&gt;=100*0.6,3.5,IF(F992&gt;=100*0.5,3,IF(F992&gt;=100*0.4,2,IF(F992&gt;=100*0.33,1,0))))))))</f>
        <v/>
      </c>
      <c r="Y992">
        <f>IF(B992="","",IF(G992&lt;16.5,0,IF(G992&gt;=50*0.8,5,IF(G992&gt;=50*0.7,4,IF(G992&gt;=50*0.6,3.5,IF(G992&gt;=50*0.5,3,IF(G992&gt;=50*0.4,2,IF(G992&gt;=50*0.33,1,0))))))))</f>
        <v/>
      </c>
      <c r="Z992">
        <f>IF(B992="","",IF(H992&lt;33.0,0,IF(H992&gt;=100*0.8,5,IF(H992&gt;=100*0.7,4,IF(H992&gt;=100*0.6,3.5,IF(H992&gt;=100*0.5,3,IF(H992&gt;=100*0.4,2,IF(H992&gt;=100*0.33,1,0))))))))</f>
        <v/>
      </c>
      <c r="AA992">
        <f>IF(B992="","",IF(I992&lt;33.0,0,IF(I992&gt;=100*0.8,5,IF(I992&gt;=100*0.7,4,IF(I992&gt;=100*0.6,3.5,IF(I992&gt;=100*0.5,3,IF(I992&gt;=100*0.4,2,IF(I992&gt;=100*0.33,1,0))))))))</f>
        <v/>
      </c>
      <c r="AB992">
        <f>IF(B992="","",IF(J992&lt;33.0,0,IF(J992&gt;=100*0.8,5,IF(J992&gt;=100*0.7,4,IF(J992&gt;=100*0.6,3.5,IF(J992&gt;=100*0.5,3,IF(J992&gt;=100*0.4,2,IF(J992&gt;=100*0.33,1,0))))))))</f>
        <v/>
      </c>
      <c r="AC992">
        <f>IF(B992="","",IF(K992&lt;33.0,0,IF(K992&gt;=100*0.8,5,IF(K992&gt;=100*0.7,4,IF(K992&gt;=100*0.6,3.5,IF(K992&gt;=100*0.5,3,IF(K992&gt;=100*0.4,2,IF(K992&gt;=100*0.33,1,0))))))))</f>
        <v/>
      </c>
      <c r="AD992">
        <f>IF(B992="","",IF(L992&lt;33.0,0,IF(L992&gt;=100*0.8,5,IF(L992&gt;=100*0.7,4,IF(L992&gt;=100*0.6,3.5,IF(L992&gt;=100*0.5,3,IF(L992&gt;=100*0.4,2,IF(L992&gt;=100*0.33,1,0))))))))</f>
        <v/>
      </c>
      <c r="AE992">
        <f>IF(B992="","",IF(M992&lt;33.0,0,IF(M992&gt;=100*0.8,5,IF(M992&gt;=100*0.7,4,IF(M992&gt;=100*0.6,3.5,IF(M992&gt;=100*0.5,3,IF(M992&gt;=100*0.4,2,IF(M992&gt;=100*0.33,1,0))))))))</f>
        <v/>
      </c>
      <c r="AF992">
        <f>IF(B992="","",IF(N992&lt;16.5,0,IF(N992&gt;=50*0.8,5,IF(N992&gt;=50*0.7,4,IF(N992&gt;=50*0.6,3.5,IF(N992&gt;=50*0.5,3,IF(N992&gt;=50*0.4,2,IF(N992&gt;=50*0.33,1,0))))))))</f>
        <v/>
      </c>
      <c r="AG992">
        <f>IF(B992="","",IF(O992&lt;33.0,0,IF(O992&gt;=100*0.8,5,IF(O992&gt;=100*0.7,4,IF(O992&gt;=100*0.6,3.5,IF(O992&gt;=100*0.5,3,IF(O992&gt;=100*0.4,2,IF(O992&gt;=100*0.33,1,0))))))))</f>
        <v/>
      </c>
      <c r="AH992">
        <f>IF(B992="","",IF(OR(U992=0,V992=0,W992=0,X992=0,Y992=0,Z992=0,AA992=0,AB992=0,AC992=0,AD992=0,AE992=0,AF992=0,AG992=0),1,0))</f>
        <v/>
      </c>
    </row>
    <row r="993">
      <c r="A993" s="3">
        <f>IF(B993="","",ROW()-2)</f>
        <v/>
      </c>
      <c r="P993" s="4">
        <f>IF(B993="","",SUM(C993:O993))</f>
        <v/>
      </c>
      <c r="Q993" s="5">
        <f>IF(B993="","",ROUND(P993/13,2))</f>
        <v/>
      </c>
      <c r="R993" s="5">
        <f>IF(B993="","",IF(AH993=1,0,MIN(5,ROUND((U993+V993+W993+X993+Y993+Z993+AA993+AB993+AC993+AD993+AE993+AF993+AG993)/13,2))))</f>
        <v/>
      </c>
      <c r="S993" s="3">
        <f>IF(B993="","",IF(R993&gt;=5,"A+",IF(R993&gt;=4,"A",IF(R993&gt;=3.5,"A-",IF(R993&gt;=3,"B",IF(R993&gt;=2,"C",IF(R993&gt;=1,"D","F")))))))</f>
        <v/>
      </c>
      <c r="T993" s="3">
        <f>IF(OR(B993="",S993="F"),"",COUNTIFS(P:P,"&gt;"&amp;P993,S:S,"&lt;&gt;F")+1)</f>
        <v/>
      </c>
      <c r="U993">
        <f>IF(B993="","",IF(C993&lt;33.0,0,IF(C993&gt;=100*0.8,5,IF(C993&gt;=100*0.7,4,IF(C993&gt;=100*0.6,3.5,IF(C993&gt;=100*0.5,3,IF(C993&gt;=100*0.4,2,IF(C993&gt;=100*0.33,1,0))))))))</f>
        <v/>
      </c>
      <c r="V993">
        <f>IF(B993="","",IF(D993&lt;33.0,0,IF(D993&gt;=100*0.8,5,IF(D993&gt;=100*0.7,4,IF(D993&gt;=100*0.6,3.5,IF(D993&gt;=100*0.5,3,IF(D993&gt;=100*0.4,2,IF(D993&gt;=100*0.33,1,0))))))))</f>
        <v/>
      </c>
      <c r="W993">
        <f>IF(B993="","",IF(E993&lt;16.5,0,IF(E993&gt;=50*0.8,5,IF(E993&gt;=50*0.7,4,IF(E993&gt;=50*0.6,3.5,IF(E993&gt;=50*0.5,3,IF(E993&gt;=50*0.4,2,IF(E993&gt;=50*0.33,1,0))))))))</f>
        <v/>
      </c>
      <c r="X993">
        <f>IF(B993="","",IF(F993&lt;33.0,0,IF(F993&gt;=100*0.8,5,IF(F993&gt;=100*0.7,4,IF(F993&gt;=100*0.6,3.5,IF(F993&gt;=100*0.5,3,IF(F993&gt;=100*0.4,2,IF(F993&gt;=100*0.33,1,0))))))))</f>
        <v/>
      </c>
      <c r="Y993">
        <f>IF(B993="","",IF(G993&lt;16.5,0,IF(G993&gt;=50*0.8,5,IF(G993&gt;=50*0.7,4,IF(G993&gt;=50*0.6,3.5,IF(G993&gt;=50*0.5,3,IF(G993&gt;=50*0.4,2,IF(G993&gt;=50*0.33,1,0))))))))</f>
        <v/>
      </c>
      <c r="Z993">
        <f>IF(B993="","",IF(H993&lt;33.0,0,IF(H993&gt;=100*0.8,5,IF(H993&gt;=100*0.7,4,IF(H993&gt;=100*0.6,3.5,IF(H993&gt;=100*0.5,3,IF(H993&gt;=100*0.4,2,IF(H993&gt;=100*0.33,1,0))))))))</f>
        <v/>
      </c>
      <c r="AA993">
        <f>IF(B993="","",IF(I993&lt;33.0,0,IF(I993&gt;=100*0.8,5,IF(I993&gt;=100*0.7,4,IF(I993&gt;=100*0.6,3.5,IF(I993&gt;=100*0.5,3,IF(I993&gt;=100*0.4,2,IF(I993&gt;=100*0.33,1,0))))))))</f>
        <v/>
      </c>
      <c r="AB993">
        <f>IF(B993="","",IF(J993&lt;33.0,0,IF(J993&gt;=100*0.8,5,IF(J993&gt;=100*0.7,4,IF(J993&gt;=100*0.6,3.5,IF(J993&gt;=100*0.5,3,IF(J993&gt;=100*0.4,2,IF(J993&gt;=100*0.33,1,0))))))))</f>
        <v/>
      </c>
      <c r="AC993">
        <f>IF(B993="","",IF(K993&lt;33.0,0,IF(K993&gt;=100*0.8,5,IF(K993&gt;=100*0.7,4,IF(K993&gt;=100*0.6,3.5,IF(K993&gt;=100*0.5,3,IF(K993&gt;=100*0.4,2,IF(K993&gt;=100*0.33,1,0))))))))</f>
        <v/>
      </c>
      <c r="AD993">
        <f>IF(B993="","",IF(L993&lt;33.0,0,IF(L993&gt;=100*0.8,5,IF(L993&gt;=100*0.7,4,IF(L993&gt;=100*0.6,3.5,IF(L993&gt;=100*0.5,3,IF(L993&gt;=100*0.4,2,IF(L993&gt;=100*0.33,1,0))))))))</f>
        <v/>
      </c>
      <c r="AE993">
        <f>IF(B993="","",IF(M993&lt;33.0,0,IF(M993&gt;=100*0.8,5,IF(M993&gt;=100*0.7,4,IF(M993&gt;=100*0.6,3.5,IF(M993&gt;=100*0.5,3,IF(M993&gt;=100*0.4,2,IF(M993&gt;=100*0.33,1,0))))))))</f>
        <v/>
      </c>
      <c r="AF993">
        <f>IF(B993="","",IF(N993&lt;16.5,0,IF(N993&gt;=50*0.8,5,IF(N993&gt;=50*0.7,4,IF(N993&gt;=50*0.6,3.5,IF(N993&gt;=50*0.5,3,IF(N993&gt;=50*0.4,2,IF(N993&gt;=50*0.33,1,0))))))))</f>
        <v/>
      </c>
      <c r="AG993">
        <f>IF(B993="","",IF(O993&lt;33.0,0,IF(O993&gt;=100*0.8,5,IF(O993&gt;=100*0.7,4,IF(O993&gt;=100*0.6,3.5,IF(O993&gt;=100*0.5,3,IF(O993&gt;=100*0.4,2,IF(O993&gt;=100*0.33,1,0))))))))</f>
        <v/>
      </c>
      <c r="AH993">
        <f>IF(B993="","",IF(OR(U993=0,V993=0,W993=0,X993=0,Y993=0,Z993=0,AA993=0,AB993=0,AC993=0,AD993=0,AE993=0,AF993=0,AG993=0),1,0))</f>
        <v/>
      </c>
    </row>
    <row r="994">
      <c r="A994" s="3">
        <f>IF(B994="","",ROW()-2)</f>
        <v/>
      </c>
      <c r="P994" s="4">
        <f>IF(B994="","",SUM(C994:O994))</f>
        <v/>
      </c>
      <c r="Q994" s="5">
        <f>IF(B994="","",ROUND(P994/13,2))</f>
        <v/>
      </c>
      <c r="R994" s="5">
        <f>IF(B994="","",IF(AH994=1,0,MIN(5,ROUND((U994+V994+W994+X994+Y994+Z994+AA994+AB994+AC994+AD994+AE994+AF994+AG994)/13,2))))</f>
        <v/>
      </c>
      <c r="S994" s="3">
        <f>IF(B994="","",IF(R994&gt;=5,"A+",IF(R994&gt;=4,"A",IF(R994&gt;=3.5,"A-",IF(R994&gt;=3,"B",IF(R994&gt;=2,"C",IF(R994&gt;=1,"D","F")))))))</f>
        <v/>
      </c>
      <c r="T994" s="3">
        <f>IF(OR(B994="",S994="F"),"",COUNTIFS(P:P,"&gt;"&amp;P994,S:S,"&lt;&gt;F")+1)</f>
        <v/>
      </c>
      <c r="U994">
        <f>IF(B994="","",IF(C994&lt;33.0,0,IF(C994&gt;=100*0.8,5,IF(C994&gt;=100*0.7,4,IF(C994&gt;=100*0.6,3.5,IF(C994&gt;=100*0.5,3,IF(C994&gt;=100*0.4,2,IF(C994&gt;=100*0.33,1,0))))))))</f>
        <v/>
      </c>
      <c r="V994">
        <f>IF(B994="","",IF(D994&lt;33.0,0,IF(D994&gt;=100*0.8,5,IF(D994&gt;=100*0.7,4,IF(D994&gt;=100*0.6,3.5,IF(D994&gt;=100*0.5,3,IF(D994&gt;=100*0.4,2,IF(D994&gt;=100*0.33,1,0))))))))</f>
        <v/>
      </c>
      <c r="W994">
        <f>IF(B994="","",IF(E994&lt;16.5,0,IF(E994&gt;=50*0.8,5,IF(E994&gt;=50*0.7,4,IF(E994&gt;=50*0.6,3.5,IF(E994&gt;=50*0.5,3,IF(E994&gt;=50*0.4,2,IF(E994&gt;=50*0.33,1,0))))))))</f>
        <v/>
      </c>
      <c r="X994">
        <f>IF(B994="","",IF(F994&lt;33.0,0,IF(F994&gt;=100*0.8,5,IF(F994&gt;=100*0.7,4,IF(F994&gt;=100*0.6,3.5,IF(F994&gt;=100*0.5,3,IF(F994&gt;=100*0.4,2,IF(F994&gt;=100*0.33,1,0))))))))</f>
        <v/>
      </c>
      <c r="Y994">
        <f>IF(B994="","",IF(G994&lt;16.5,0,IF(G994&gt;=50*0.8,5,IF(G994&gt;=50*0.7,4,IF(G994&gt;=50*0.6,3.5,IF(G994&gt;=50*0.5,3,IF(G994&gt;=50*0.4,2,IF(G994&gt;=50*0.33,1,0))))))))</f>
        <v/>
      </c>
      <c r="Z994">
        <f>IF(B994="","",IF(H994&lt;33.0,0,IF(H994&gt;=100*0.8,5,IF(H994&gt;=100*0.7,4,IF(H994&gt;=100*0.6,3.5,IF(H994&gt;=100*0.5,3,IF(H994&gt;=100*0.4,2,IF(H994&gt;=100*0.33,1,0))))))))</f>
        <v/>
      </c>
      <c r="AA994">
        <f>IF(B994="","",IF(I994&lt;33.0,0,IF(I994&gt;=100*0.8,5,IF(I994&gt;=100*0.7,4,IF(I994&gt;=100*0.6,3.5,IF(I994&gt;=100*0.5,3,IF(I994&gt;=100*0.4,2,IF(I994&gt;=100*0.33,1,0))))))))</f>
        <v/>
      </c>
      <c r="AB994">
        <f>IF(B994="","",IF(J994&lt;33.0,0,IF(J994&gt;=100*0.8,5,IF(J994&gt;=100*0.7,4,IF(J994&gt;=100*0.6,3.5,IF(J994&gt;=100*0.5,3,IF(J994&gt;=100*0.4,2,IF(J994&gt;=100*0.33,1,0))))))))</f>
        <v/>
      </c>
      <c r="AC994">
        <f>IF(B994="","",IF(K994&lt;33.0,0,IF(K994&gt;=100*0.8,5,IF(K994&gt;=100*0.7,4,IF(K994&gt;=100*0.6,3.5,IF(K994&gt;=100*0.5,3,IF(K994&gt;=100*0.4,2,IF(K994&gt;=100*0.33,1,0))))))))</f>
        <v/>
      </c>
      <c r="AD994">
        <f>IF(B994="","",IF(L994&lt;33.0,0,IF(L994&gt;=100*0.8,5,IF(L994&gt;=100*0.7,4,IF(L994&gt;=100*0.6,3.5,IF(L994&gt;=100*0.5,3,IF(L994&gt;=100*0.4,2,IF(L994&gt;=100*0.33,1,0))))))))</f>
        <v/>
      </c>
      <c r="AE994">
        <f>IF(B994="","",IF(M994&lt;33.0,0,IF(M994&gt;=100*0.8,5,IF(M994&gt;=100*0.7,4,IF(M994&gt;=100*0.6,3.5,IF(M994&gt;=100*0.5,3,IF(M994&gt;=100*0.4,2,IF(M994&gt;=100*0.33,1,0))))))))</f>
        <v/>
      </c>
      <c r="AF994">
        <f>IF(B994="","",IF(N994&lt;16.5,0,IF(N994&gt;=50*0.8,5,IF(N994&gt;=50*0.7,4,IF(N994&gt;=50*0.6,3.5,IF(N994&gt;=50*0.5,3,IF(N994&gt;=50*0.4,2,IF(N994&gt;=50*0.33,1,0))))))))</f>
        <v/>
      </c>
      <c r="AG994">
        <f>IF(B994="","",IF(O994&lt;33.0,0,IF(O994&gt;=100*0.8,5,IF(O994&gt;=100*0.7,4,IF(O994&gt;=100*0.6,3.5,IF(O994&gt;=100*0.5,3,IF(O994&gt;=100*0.4,2,IF(O994&gt;=100*0.33,1,0))))))))</f>
        <v/>
      </c>
      <c r="AH994">
        <f>IF(B994="","",IF(OR(U994=0,V994=0,W994=0,X994=0,Y994=0,Z994=0,AA994=0,AB994=0,AC994=0,AD994=0,AE994=0,AF994=0,AG994=0),1,0))</f>
        <v/>
      </c>
    </row>
    <row r="995">
      <c r="A995" s="3">
        <f>IF(B995="","",ROW()-2)</f>
        <v/>
      </c>
      <c r="P995" s="4">
        <f>IF(B995="","",SUM(C995:O995))</f>
        <v/>
      </c>
      <c r="Q995" s="5">
        <f>IF(B995="","",ROUND(P995/13,2))</f>
        <v/>
      </c>
      <c r="R995" s="5">
        <f>IF(B995="","",IF(AH995=1,0,MIN(5,ROUND((U995+V995+W995+X995+Y995+Z995+AA995+AB995+AC995+AD995+AE995+AF995+AG995)/13,2))))</f>
        <v/>
      </c>
      <c r="S995" s="3">
        <f>IF(B995="","",IF(R995&gt;=5,"A+",IF(R995&gt;=4,"A",IF(R995&gt;=3.5,"A-",IF(R995&gt;=3,"B",IF(R995&gt;=2,"C",IF(R995&gt;=1,"D","F")))))))</f>
        <v/>
      </c>
      <c r="T995" s="3">
        <f>IF(OR(B995="",S995="F"),"",COUNTIFS(P:P,"&gt;"&amp;P995,S:S,"&lt;&gt;F")+1)</f>
        <v/>
      </c>
      <c r="U995">
        <f>IF(B995="","",IF(C995&lt;33.0,0,IF(C995&gt;=100*0.8,5,IF(C995&gt;=100*0.7,4,IF(C995&gt;=100*0.6,3.5,IF(C995&gt;=100*0.5,3,IF(C995&gt;=100*0.4,2,IF(C995&gt;=100*0.33,1,0))))))))</f>
        <v/>
      </c>
      <c r="V995">
        <f>IF(B995="","",IF(D995&lt;33.0,0,IF(D995&gt;=100*0.8,5,IF(D995&gt;=100*0.7,4,IF(D995&gt;=100*0.6,3.5,IF(D995&gt;=100*0.5,3,IF(D995&gt;=100*0.4,2,IF(D995&gt;=100*0.33,1,0))))))))</f>
        <v/>
      </c>
      <c r="W995">
        <f>IF(B995="","",IF(E995&lt;16.5,0,IF(E995&gt;=50*0.8,5,IF(E995&gt;=50*0.7,4,IF(E995&gt;=50*0.6,3.5,IF(E995&gt;=50*0.5,3,IF(E995&gt;=50*0.4,2,IF(E995&gt;=50*0.33,1,0))))))))</f>
        <v/>
      </c>
      <c r="X995">
        <f>IF(B995="","",IF(F995&lt;33.0,0,IF(F995&gt;=100*0.8,5,IF(F995&gt;=100*0.7,4,IF(F995&gt;=100*0.6,3.5,IF(F995&gt;=100*0.5,3,IF(F995&gt;=100*0.4,2,IF(F995&gt;=100*0.33,1,0))))))))</f>
        <v/>
      </c>
      <c r="Y995">
        <f>IF(B995="","",IF(G995&lt;16.5,0,IF(G995&gt;=50*0.8,5,IF(G995&gt;=50*0.7,4,IF(G995&gt;=50*0.6,3.5,IF(G995&gt;=50*0.5,3,IF(G995&gt;=50*0.4,2,IF(G995&gt;=50*0.33,1,0))))))))</f>
        <v/>
      </c>
      <c r="Z995">
        <f>IF(B995="","",IF(H995&lt;33.0,0,IF(H995&gt;=100*0.8,5,IF(H995&gt;=100*0.7,4,IF(H995&gt;=100*0.6,3.5,IF(H995&gt;=100*0.5,3,IF(H995&gt;=100*0.4,2,IF(H995&gt;=100*0.33,1,0))))))))</f>
        <v/>
      </c>
      <c r="AA995">
        <f>IF(B995="","",IF(I995&lt;33.0,0,IF(I995&gt;=100*0.8,5,IF(I995&gt;=100*0.7,4,IF(I995&gt;=100*0.6,3.5,IF(I995&gt;=100*0.5,3,IF(I995&gt;=100*0.4,2,IF(I995&gt;=100*0.33,1,0))))))))</f>
        <v/>
      </c>
      <c r="AB995">
        <f>IF(B995="","",IF(J995&lt;33.0,0,IF(J995&gt;=100*0.8,5,IF(J995&gt;=100*0.7,4,IF(J995&gt;=100*0.6,3.5,IF(J995&gt;=100*0.5,3,IF(J995&gt;=100*0.4,2,IF(J995&gt;=100*0.33,1,0))))))))</f>
        <v/>
      </c>
      <c r="AC995">
        <f>IF(B995="","",IF(K995&lt;33.0,0,IF(K995&gt;=100*0.8,5,IF(K995&gt;=100*0.7,4,IF(K995&gt;=100*0.6,3.5,IF(K995&gt;=100*0.5,3,IF(K995&gt;=100*0.4,2,IF(K995&gt;=100*0.33,1,0))))))))</f>
        <v/>
      </c>
      <c r="AD995">
        <f>IF(B995="","",IF(L995&lt;33.0,0,IF(L995&gt;=100*0.8,5,IF(L995&gt;=100*0.7,4,IF(L995&gt;=100*0.6,3.5,IF(L995&gt;=100*0.5,3,IF(L995&gt;=100*0.4,2,IF(L995&gt;=100*0.33,1,0))))))))</f>
        <v/>
      </c>
      <c r="AE995">
        <f>IF(B995="","",IF(M995&lt;33.0,0,IF(M995&gt;=100*0.8,5,IF(M995&gt;=100*0.7,4,IF(M995&gt;=100*0.6,3.5,IF(M995&gt;=100*0.5,3,IF(M995&gt;=100*0.4,2,IF(M995&gt;=100*0.33,1,0))))))))</f>
        <v/>
      </c>
      <c r="AF995">
        <f>IF(B995="","",IF(N995&lt;16.5,0,IF(N995&gt;=50*0.8,5,IF(N995&gt;=50*0.7,4,IF(N995&gt;=50*0.6,3.5,IF(N995&gt;=50*0.5,3,IF(N995&gt;=50*0.4,2,IF(N995&gt;=50*0.33,1,0))))))))</f>
        <v/>
      </c>
      <c r="AG995">
        <f>IF(B995="","",IF(O995&lt;33.0,0,IF(O995&gt;=100*0.8,5,IF(O995&gt;=100*0.7,4,IF(O995&gt;=100*0.6,3.5,IF(O995&gt;=100*0.5,3,IF(O995&gt;=100*0.4,2,IF(O995&gt;=100*0.33,1,0))))))))</f>
        <v/>
      </c>
      <c r="AH995">
        <f>IF(B995="","",IF(OR(U995=0,V995=0,W995=0,X995=0,Y995=0,Z995=0,AA995=0,AB995=0,AC995=0,AD995=0,AE995=0,AF995=0,AG995=0),1,0))</f>
        <v/>
      </c>
    </row>
    <row r="996">
      <c r="A996" s="3">
        <f>IF(B996="","",ROW()-2)</f>
        <v/>
      </c>
      <c r="P996" s="4">
        <f>IF(B996="","",SUM(C996:O996))</f>
        <v/>
      </c>
      <c r="Q996" s="5">
        <f>IF(B996="","",ROUND(P996/13,2))</f>
        <v/>
      </c>
      <c r="R996" s="5">
        <f>IF(B996="","",IF(AH996=1,0,MIN(5,ROUND((U996+V996+W996+X996+Y996+Z996+AA996+AB996+AC996+AD996+AE996+AF996+AG996)/13,2))))</f>
        <v/>
      </c>
      <c r="S996" s="3">
        <f>IF(B996="","",IF(R996&gt;=5,"A+",IF(R996&gt;=4,"A",IF(R996&gt;=3.5,"A-",IF(R996&gt;=3,"B",IF(R996&gt;=2,"C",IF(R996&gt;=1,"D","F")))))))</f>
        <v/>
      </c>
      <c r="T996" s="3">
        <f>IF(OR(B996="",S996="F"),"",COUNTIFS(P:P,"&gt;"&amp;P996,S:S,"&lt;&gt;F")+1)</f>
        <v/>
      </c>
      <c r="U996">
        <f>IF(B996="","",IF(C996&lt;33.0,0,IF(C996&gt;=100*0.8,5,IF(C996&gt;=100*0.7,4,IF(C996&gt;=100*0.6,3.5,IF(C996&gt;=100*0.5,3,IF(C996&gt;=100*0.4,2,IF(C996&gt;=100*0.33,1,0))))))))</f>
        <v/>
      </c>
      <c r="V996">
        <f>IF(B996="","",IF(D996&lt;33.0,0,IF(D996&gt;=100*0.8,5,IF(D996&gt;=100*0.7,4,IF(D996&gt;=100*0.6,3.5,IF(D996&gt;=100*0.5,3,IF(D996&gt;=100*0.4,2,IF(D996&gt;=100*0.33,1,0))))))))</f>
        <v/>
      </c>
      <c r="W996">
        <f>IF(B996="","",IF(E996&lt;16.5,0,IF(E996&gt;=50*0.8,5,IF(E996&gt;=50*0.7,4,IF(E996&gt;=50*0.6,3.5,IF(E996&gt;=50*0.5,3,IF(E996&gt;=50*0.4,2,IF(E996&gt;=50*0.33,1,0))))))))</f>
        <v/>
      </c>
      <c r="X996">
        <f>IF(B996="","",IF(F996&lt;33.0,0,IF(F996&gt;=100*0.8,5,IF(F996&gt;=100*0.7,4,IF(F996&gt;=100*0.6,3.5,IF(F996&gt;=100*0.5,3,IF(F996&gt;=100*0.4,2,IF(F996&gt;=100*0.33,1,0))))))))</f>
        <v/>
      </c>
      <c r="Y996">
        <f>IF(B996="","",IF(G996&lt;16.5,0,IF(G996&gt;=50*0.8,5,IF(G996&gt;=50*0.7,4,IF(G996&gt;=50*0.6,3.5,IF(G996&gt;=50*0.5,3,IF(G996&gt;=50*0.4,2,IF(G996&gt;=50*0.33,1,0))))))))</f>
        <v/>
      </c>
      <c r="Z996">
        <f>IF(B996="","",IF(H996&lt;33.0,0,IF(H996&gt;=100*0.8,5,IF(H996&gt;=100*0.7,4,IF(H996&gt;=100*0.6,3.5,IF(H996&gt;=100*0.5,3,IF(H996&gt;=100*0.4,2,IF(H996&gt;=100*0.33,1,0))))))))</f>
        <v/>
      </c>
      <c r="AA996">
        <f>IF(B996="","",IF(I996&lt;33.0,0,IF(I996&gt;=100*0.8,5,IF(I996&gt;=100*0.7,4,IF(I996&gt;=100*0.6,3.5,IF(I996&gt;=100*0.5,3,IF(I996&gt;=100*0.4,2,IF(I996&gt;=100*0.33,1,0))))))))</f>
        <v/>
      </c>
      <c r="AB996">
        <f>IF(B996="","",IF(J996&lt;33.0,0,IF(J996&gt;=100*0.8,5,IF(J996&gt;=100*0.7,4,IF(J996&gt;=100*0.6,3.5,IF(J996&gt;=100*0.5,3,IF(J996&gt;=100*0.4,2,IF(J996&gt;=100*0.33,1,0))))))))</f>
        <v/>
      </c>
      <c r="AC996">
        <f>IF(B996="","",IF(K996&lt;33.0,0,IF(K996&gt;=100*0.8,5,IF(K996&gt;=100*0.7,4,IF(K996&gt;=100*0.6,3.5,IF(K996&gt;=100*0.5,3,IF(K996&gt;=100*0.4,2,IF(K996&gt;=100*0.33,1,0))))))))</f>
        <v/>
      </c>
      <c r="AD996">
        <f>IF(B996="","",IF(L996&lt;33.0,0,IF(L996&gt;=100*0.8,5,IF(L996&gt;=100*0.7,4,IF(L996&gt;=100*0.6,3.5,IF(L996&gt;=100*0.5,3,IF(L996&gt;=100*0.4,2,IF(L996&gt;=100*0.33,1,0))))))))</f>
        <v/>
      </c>
      <c r="AE996">
        <f>IF(B996="","",IF(M996&lt;33.0,0,IF(M996&gt;=100*0.8,5,IF(M996&gt;=100*0.7,4,IF(M996&gt;=100*0.6,3.5,IF(M996&gt;=100*0.5,3,IF(M996&gt;=100*0.4,2,IF(M996&gt;=100*0.33,1,0))))))))</f>
        <v/>
      </c>
      <c r="AF996">
        <f>IF(B996="","",IF(N996&lt;16.5,0,IF(N996&gt;=50*0.8,5,IF(N996&gt;=50*0.7,4,IF(N996&gt;=50*0.6,3.5,IF(N996&gt;=50*0.5,3,IF(N996&gt;=50*0.4,2,IF(N996&gt;=50*0.33,1,0))))))))</f>
        <v/>
      </c>
      <c r="AG996">
        <f>IF(B996="","",IF(O996&lt;33.0,0,IF(O996&gt;=100*0.8,5,IF(O996&gt;=100*0.7,4,IF(O996&gt;=100*0.6,3.5,IF(O996&gt;=100*0.5,3,IF(O996&gt;=100*0.4,2,IF(O996&gt;=100*0.33,1,0))))))))</f>
        <v/>
      </c>
      <c r="AH996">
        <f>IF(B996="","",IF(OR(U996=0,V996=0,W996=0,X996=0,Y996=0,Z996=0,AA996=0,AB996=0,AC996=0,AD996=0,AE996=0,AF996=0,AG996=0),1,0))</f>
        <v/>
      </c>
    </row>
    <row r="997">
      <c r="A997" s="3">
        <f>IF(B997="","",ROW()-2)</f>
        <v/>
      </c>
      <c r="P997" s="4">
        <f>IF(B997="","",SUM(C997:O997))</f>
        <v/>
      </c>
      <c r="Q997" s="5">
        <f>IF(B997="","",ROUND(P997/13,2))</f>
        <v/>
      </c>
      <c r="R997" s="5">
        <f>IF(B997="","",IF(AH997=1,0,MIN(5,ROUND((U997+V997+W997+X997+Y997+Z997+AA997+AB997+AC997+AD997+AE997+AF997+AG997)/13,2))))</f>
        <v/>
      </c>
      <c r="S997" s="3">
        <f>IF(B997="","",IF(R997&gt;=5,"A+",IF(R997&gt;=4,"A",IF(R997&gt;=3.5,"A-",IF(R997&gt;=3,"B",IF(R997&gt;=2,"C",IF(R997&gt;=1,"D","F")))))))</f>
        <v/>
      </c>
      <c r="T997" s="3">
        <f>IF(OR(B997="",S997="F"),"",COUNTIFS(P:P,"&gt;"&amp;P997,S:S,"&lt;&gt;F")+1)</f>
        <v/>
      </c>
      <c r="U997">
        <f>IF(B997="","",IF(C997&lt;33.0,0,IF(C997&gt;=100*0.8,5,IF(C997&gt;=100*0.7,4,IF(C997&gt;=100*0.6,3.5,IF(C997&gt;=100*0.5,3,IF(C997&gt;=100*0.4,2,IF(C997&gt;=100*0.33,1,0))))))))</f>
        <v/>
      </c>
      <c r="V997">
        <f>IF(B997="","",IF(D997&lt;33.0,0,IF(D997&gt;=100*0.8,5,IF(D997&gt;=100*0.7,4,IF(D997&gt;=100*0.6,3.5,IF(D997&gt;=100*0.5,3,IF(D997&gt;=100*0.4,2,IF(D997&gt;=100*0.33,1,0))))))))</f>
        <v/>
      </c>
      <c r="W997">
        <f>IF(B997="","",IF(E997&lt;16.5,0,IF(E997&gt;=50*0.8,5,IF(E997&gt;=50*0.7,4,IF(E997&gt;=50*0.6,3.5,IF(E997&gt;=50*0.5,3,IF(E997&gt;=50*0.4,2,IF(E997&gt;=50*0.33,1,0))))))))</f>
        <v/>
      </c>
      <c r="X997">
        <f>IF(B997="","",IF(F997&lt;33.0,0,IF(F997&gt;=100*0.8,5,IF(F997&gt;=100*0.7,4,IF(F997&gt;=100*0.6,3.5,IF(F997&gt;=100*0.5,3,IF(F997&gt;=100*0.4,2,IF(F997&gt;=100*0.33,1,0))))))))</f>
        <v/>
      </c>
      <c r="Y997">
        <f>IF(B997="","",IF(G997&lt;16.5,0,IF(G997&gt;=50*0.8,5,IF(G997&gt;=50*0.7,4,IF(G997&gt;=50*0.6,3.5,IF(G997&gt;=50*0.5,3,IF(G997&gt;=50*0.4,2,IF(G997&gt;=50*0.33,1,0))))))))</f>
        <v/>
      </c>
      <c r="Z997">
        <f>IF(B997="","",IF(H997&lt;33.0,0,IF(H997&gt;=100*0.8,5,IF(H997&gt;=100*0.7,4,IF(H997&gt;=100*0.6,3.5,IF(H997&gt;=100*0.5,3,IF(H997&gt;=100*0.4,2,IF(H997&gt;=100*0.33,1,0))))))))</f>
        <v/>
      </c>
      <c r="AA997">
        <f>IF(B997="","",IF(I997&lt;33.0,0,IF(I997&gt;=100*0.8,5,IF(I997&gt;=100*0.7,4,IF(I997&gt;=100*0.6,3.5,IF(I997&gt;=100*0.5,3,IF(I997&gt;=100*0.4,2,IF(I997&gt;=100*0.33,1,0))))))))</f>
        <v/>
      </c>
      <c r="AB997">
        <f>IF(B997="","",IF(J997&lt;33.0,0,IF(J997&gt;=100*0.8,5,IF(J997&gt;=100*0.7,4,IF(J997&gt;=100*0.6,3.5,IF(J997&gt;=100*0.5,3,IF(J997&gt;=100*0.4,2,IF(J997&gt;=100*0.33,1,0))))))))</f>
        <v/>
      </c>
      <c r="AC997">
        <f>IF(B997="","",IF(K997&lt;33.0,0,IF(K997&gt;=100*0.8,5,IF(K997&gt;=100*0.7,4,IF(K997&gt;=100*0.6,3.5,IF(K997&gt;=100*0.5,3,IF(K997&gt;=100*0.4,2,IF(K997&gt;=100*0.33,1,0))))))))</f>
        <v/>
      </c>
      <c r="AD997">
        <f>IF(B997="","",IF(L997&lt;33.0,0,IF(L997&gt;=100*0.8,5,IF(L997&gt;=100*0.7,4,IF(L997&gt;=100*0.6,3.5,IF(L997&gt;=100*0.5,3,IF(L997&gt;=100*0.4,2,IF(L997&gt;=100*0.33,1,0))))))))</f>
        <v/>
      </c>
      <c r="AE997">
        <f>IF(B997="","",IF(M997&lt;33.0,0,IF(M997&gt;=100*0.8,5,IF(M997&gt;=100*0.7,4,IF(M997&gt;=100*0.6,3.5,IF(M997&gt;=100*0.5,3,IF(M997&gt;=100*0.4,2,IF(M997&gt;=100*0.33,1,0))))))))</f>
        <v/>
      </c>
      <c r="AF997">
        <f>IF(B997="","",IF(N997&lt;16.5,0,IF(N997&gt;=50*0.8,5,IF(N997&gt;=50*0.7,4,IF(N997&gt;=50*0.6,3.5,IF(N997&gt;=50*0.5,3,IF(N997&gt;=50*0.4,2,IF(N997&gt;=50*0.33,1,0))))))))</f>
        <v/>
      </c>
      <c r="AG997">
        <f>IF(B997="","",IF(O997&lt;33.0,0,IF(O997&gt;=100*0.8,5,IF(O997&gt;=100*0.7,4,IF(O997&gt;=100*0.6,3.5,IF(O997&gt;=100*0.5,3,IF(O997&gt;=100*0.4,2,IF(O997&gt;=100*0.33,1,0))))))))</f>
        <v/>
      </c>
      <c r="AH997">
        <f>IF(B997="","",IF(OR(U997=0,V997=0,W997=0,X997=0,Y997=0,Z997=0,AA997=0,AB997=0,AC997=0,AD997=0,AE997=0,AF997=0,AG997=0),1,0))</f>
        <v/>
      </c>
    </row>
    <row r="998">
      <c r="A998" s="3">
        <f>IF(B998="","",ROW()-2)</f>
        <v/>
      </c>
      <c r="P998" s="4">
        <f>IF(B998="","",SUM(C998:O998))</f>
        <v/>
      </c>
      <c r="Q998" s="5">
        <f>IF(B998="","",ROUND(P998/13,2))</f>
        <v/>
      </c>
      <c r="R998" s="5">
        <f>IF(B998="","",IF(AH998=1,0,MIN(5,ROUND((U998+V998+W998+X998+Y998+Z998+AA998+AB998+AC998+AD998+AE998+AF998+AG998)/13,2))))</f>
        <v/>
      </c>
      <c r="S998" s="3">
        <f>IF(B998="","",IF(R998&gt;=5,"A+",IF(R998&gt;=4,"A",IF(R998&gt;=3.5,"A-",IF(R998&gt;=3,"B",IF(R998&gt;=2,"C",IF(R998&gt;=1,"D","F")))))))</f>
        <v/>
      </c>
      <c r="T998" s="3">
        <f>IF(OR(B998="",S998="F"),"",COUNTIFS(P:P,"&gt;"&amp;P998,S:S,"&lt;&gt;F")+1)</f>
        <v/>
      </c>
      <c r="U998">
        <f>IF(B998="","",IF(C998&lt;33.0,0,IF(C998&gt;=100*0.8,5,IF(C998&gt;=100*0.7,4,IF(C998&gt;=100*0.6,3.5,IF(C998&gt;=100*0.5,3,IF(C998&gt;=100*0.4,2,IF(C998&gt;=100*0.33,1,0))))))))</f>
        <v/>
      </c>
      <c r="V998">
        <f>IF(B998="","",IF(D998&lt;33.0,0,IF(D998&gt;=100*0.8,5,IF(D998&gt;=100*0.7,4,IF(D998&gt;=100*0.6,3.5,IF(D998&gt;=100*0.5,3,IF(D998&gt;=100*0.4,2,IF(D998&gt;=100*0.33,1,0))))))))</f>
        <v/>
      </c>
      <c r="W998">
        <f>IF(B998="","",IF(E998&lt;16.5,0,IF(E998&gt;=50*0.8,5,IF(E998&gt;=50*0.7,4,IF(E998&gt;=50*0.6,3.5,IF(E998&gt;=50*0.5,3,IF(E998&gt;=50*0.4,2,IF(E998&gt;=50*0.33,1,0))))))))</f>
        <v/>
      </c>
      <c r="X998">
        <f>IF(B998="","",IF(F998&lt;33.0,0,IF(F998&gt;=100*0.8,5,IF(F998&gt;=100*0.7,4,IF(F998&gt;=100*0.6,3.5,IF(F998&gt;=100*0.5,3,IF(F998&gt;=100*0.4,2,IF(F998&gt;=100*0.33,1,0))))))))</f>
        <v/>
      </c>
      <c r="Y998">
        <f>IF(B998="","",IF(G998&lt;16.5,0,IF(G998&gt;=50*0.8,5,IF(G998&gt;=50*0.7,4,IF(G998&gt;=50*0.6,3.5,IF(G998&gt;=50*0.5,3,IF(G998&gt;=50*0.4,2,IF(G998&gt;=50*0.33,1,0))))))))</f>
        <v/>
      </c>
      <c r="Z998">
        <f>IF(B998="","",IF(H998&lt;33.0,0,IF(H998&gt;=100*0.8,5,IF(H998&gt;=100*0.7,4,IF(H998&gt;=100*0.6,3.5,IF(H998&gt;=100*0.5,3,IF(H998&gt;=100*0.4,2,IF(H998&gt;=100*0.33,1,0))))))))</f>
        <v/>
      </c>
      <c r="AA998">
        <f>IF(B998="","",IF(I998&lt;33.0,0,IF(I998&gt;=100*0.8,5,IF(I998&gt;=100*0.7,4,IF(I998&gt;=100*0.6,3.5,IF(I998&gt;=100*0.5,3,IF(I998&gt;=100*0.4,2,IF(I998&gt;=100*0.33,1,0))))))))</f>
        <v/>
      </c>
      <c r="AB998">
        <f>IF(B998="","",IF(J998&lt;33.0,0,IF(J998&gt;=100*0.8,5,IF(J998&gt;=100*0.7,4,IF(J998&gt;=100*0.6,3.5,IF(J998&gt;=100*0.5,3,IF(J998&gt;=100*0.4,2,IF(J998&gt;=100*0.33,1,0))))))))</f>
        <v/>
      </c>
      <c r="AC998">
        <f>IF(B998="","",IF(K998&lt;33.0,0,IF(K998&gt;=100*0.8,5,IF(K998&gt;=100*0.7,4,IF(K998&gt;=100*0.6,3.5,IF(K998&gt;=100*0.5,3,IF(K998&gt;=100*0.4,2,IF(K998&gt;=100*0.33,1,0))))))))</f>
        <v/>
      </c>
      <c r="AD998">
        <f>IF(B998="","",IF(L998&lt;33.0,0,IF(L998&gt;=100*0.8,5,IF(L998&gt;=100*0.7,4,IF(L998&gt;=100*0.6,3.5,IF(L998&gt;=100*0.5,3,IF(L998&gt;=100*0.4,2,IF(L998&gt;=100*0.33,1,0))))))))</f>
        <v/>
      </c>
      <c r="AE998">
        <f>IF(B998="","",IF(M998&lt;33.0,0,IF(M998&gt;=100*0.8,5,IF(M998&gt;=100*0.7,4,IF(M998&gt;=100*0.6,3.5,IF(M998&gt;=100*0.5,3,IF(M998&gt;=100*0.4,2,IF(M998&gt;=100*0.33,1,0))))))))</f>
        <v/>
      </c>
      <c r="AF998">
        <f>IF(B998="","",IF(N998&lt;16.5,0,IF(N998&gt;=50*0.8,5,IF(N998&gt;=50*0.7,4,IF(N998&gt;=50*0.6,3.5,IF(N998&gt;=50*0.5,3,IF(N998&gt;=50*0.4,2,IF(N998&gt;=50*0.33,1,0))))))))</f>
        <v/>
      </c>
      <c r="AG998">
        <f>IF(B998="","",IF(O998&lt;33.0,0,IF(O998&gt;=100*0.8,5,IF(O998&gt;=100*0.7,4,IF(O998&gt;=100*0.6,3.5,IF(O998&gt;=100*0.5,3,IF(O998&gt;=100*0.4,2,IF(O998&gt;=100*0.33,1,0))))))))</f>
        <v/>
      </c>
      <c r="AH998">
        <f>IF(B998="","",IF(OR(U998=0,V998=0,W998=0,X998=0,Y998=0,Z998=0,AA998=0,AB998=0,AC998=0,AD998=0,AE998=0,AF998=0,AG998=0),1,0))</f>
        <v/>
      </c>
    </row>
    <row r="999">
      <c r="A999" s="3">
        <f>IF(B999="","",ROW()-2)</f>
        <v/>
      </c>
      <c r="P999" s="4">
        <f>IF(B999="","",SUM(C999:O999))</f>
        <v/>
      </c>
      <c r="Q999" s="5">
        <f>IF(B999="","",ROUND(P999/13,2))</f>
        <v/>
      </c>
      <c r="R999" s="5">
        <f>IF(B999="","",IF(AH999=1,0,MIN(5,ROUND((U999+V999+W999+X999+Y999+Z999+AA999+AB999+AC999+AD999+AE999+AF999+AG999)/13,2))))</f>
        <v/>
      </c>
      <c r="S999" s="3">
        <f>IF(B999="","",IF(R999&gt;=5,"A+",IF(R999&gt;=4,"A",IF(R999&gt;=3.5,"A-",IF(R999&gt;=3,"B",IF(R999&gt;=2,"C",IF(R999&gt;=1,"D","F")))))))</f>
        <v/>
      </c>
      <c r="T999" s="3">
        <f>IF(OR(B999="",S999="F"),"",COUNTIFS(P:P,"&gt;"&amp;P999,S:S,"&lt;&gt;F")+1)</f>
        <v/>
      </c>
      <c r="U999">
        <f>IF(B999="","",IF(C999&lt;33.0,0,IF(C999&gt;=100*0.8,5,IF(C999&gt;=100*0.7,4,IF(C999&gt;=100*0.6,3.5,IF(C999&gt;=100*0.5,3,IF(C999&gt;=100*0.4,2,IF(C999&gt;=100*0.33,1,0))))))))</f>
        <v/>
      </c>
      <c r="V999">
        <f>IF(B999="","",IF(D999&lt;33.0,0,IF(D999&gt;=100*0.8,5,IF(D999&gt;=100*0.7,4,IF(D999&gt;=100*0.6,3.5,IF(D999&gt;=100*0.5,3,IF(D999&gt;=100*0.4,2,IF(D999&gt;=100*0.33,1,0))))))))</f>
        <v/>
      </c>
      <c r="W999">
        <f>IF(B999="","",IF(E999&lt;16.5,0,IF(E999&gt;=50*0.8,5,IF(E999&gt;=50*0.7,4,IF(E999&gt;=50*0.6,3.5,IF(E999&gt;=50*0.5,3,IF(E999&gt;=50*0.4,2,IF(E999&gt;=50*0.33,1,0))))))))</f>
        <v/>
      </c>
      <c r="X999">
        <f>IF(B999="","",IF(F999&lt;33.0,0,IF(F999&gt;=100*0.8,5,IF(F999&gt;=100*0.7,4,IF(F999&gt;=100*0.6,3.5,IF(F999&gt;=100*0.5,3,IF(F999&gt;=100*0.4,2,IF(F999&gt;=100*0.33,1,0))))))))</f>
        <v/>
      </c>
      <c r="Y999">
        <f>IF(B999="","",IF(G999&lt;16.5,0,IF(G999&gt;=50*0.8,5,IF(G999&gt;=50*0.7,4,IF(G999&gt;=50*0.6,3.5,IF(G999&gt;=50*0.5,3,IF(G999&gt;=50*0.4,2,IF(G999&gt;=50*0.33,1,0))))))))</f>
        <v/>
      </c>
      <c r="Z999">
        <f>IF(B999="","",IF(H999&lt;33.0,0,IF(H999&gt;=100*0.8,5,IF(H999&gt;=100*0.7,4,IF(H999&gt;=100*0.6,3.5,IF(H999&gt;=100*0.5,3,IF(H999&gt;=100*0.4,2,IF(H999&gt;=100*0.33,1,0))))))))</f>
        <v/>
      </c>
      <c r="AA999">
        <f>IF(B999="","",IF(I999&lt;33.0,0,IF(I999&gt;=100*0.8,5,IF(I999&gt;=100*0.7,4,IF(I999&gt;=100*0.6,3.5,IF(I999&gt;=100*0.5,3,IF(I999&gt;=100*0.4,2,IF(I999&gt;=100*0.33,1,0))))))))</f>
        <v/>
      </c>
      <c r="AB999">
        <f>IF(B999="","",IF(J999&lt;33.0,0,IF(J999&gt;=100*0.8,5,IF(J999&gt;=100*0.7,4,IF(J999&gt;=100*0.6,3.5,IF(J999&gt;=100*0.5,3,IF(J999&gt;=100*0.4,2,IF(J999&gt;=100*0.33,1,0))))))))</f>
        <v/>
      </c>
      <c r="AC999">
        <f>IF(B999="","",IF(K999&lt;33.0,0,IF(K999&gt;=100*0.8,5,IF(K999&gt;=100*0.7,4,IF(K999&gt;=100*0.6,3.5,IF(K999&gt;=100*0.5,3,IF(K999&gt;=100*0.4,2,IF(K999&gt;=100*0.33,1,0))))))))</f>
        <v/>
      </c>
      <c r="AD999">
        <f>IF(B999="","",IF(L999&lt;33.0,0,IF(L999&gt;=100*0.8,5,IF(L999&gt;=100*0.7,4,IF(L999&gt;=100*0.6,3.5,IF(L999&gt;=100*0.5,3,IF(L999&gt;=100*0.4,2,IF(L999&gt;=100*0.33,1,0))))))))</f>
        <v/>
      </c>
      <c r="AE999">
        <f>IF(B999="","",IF(M999&lt;33.0,0,IF(M999&gt;=100*0.8,5,IF(M999&gt;=100*0.7,4,IF(M999&gt;=100*0.6,3.5,IF(M999&gt;=100*0.5,3,IF(M999&gt;=100*0.4,2,IF(M999&gt;=100*0.33,1,0))))))))</f>
        <v/>
      </c>
      <c r="AF999">
        <f>IF(B999="","",IF(N999&lt;16.5,0,IF(N999&gt;=50*0.8,5,IF(N999&gt;=50*0.7,4,IF(N999&gt;=50*0.6,3.5,IF(N999&gt;=50*0.5,3,IF(N999&gt;=50*0.4,2,IF(N999&gt;=50*0.33,1,0))))))))</f>
        <v/>
      </c>
      <c r="AG999">
        <f>IF(B999="","",IF(O999&lt;33.0,0,IF(O999&gt;=100*0.8,5,IF(O999&gt;=100*0.7,4,IF(O999&gt;=100*0.6,3.5,IF(O999&gt;=100*0.5,3,IF(O999&gt;=100*0.4,2,IF(O999&gt;=100*0.33,1,0))))))))</f>
        <v/>
      </c>
      <c r="AH999">
        <f>IF(B999="","",IF(OR(U999=0,V999=0,W999=0,X999=0,Y999=0,Z999=0,AA999=0,AB999=0,AC999=0,AD999=0,AE999=0,AF999=0,AG999=0),1,0))</f>
        <v/>
      </c>
    </row>
    <row r="1000">
      <c r="A1000" s="3">
        <f>IF(B1000="","",ROW()-2)</f>
        <v/>
      </c>
      <c r="P1000" s="4">
        <f>IF(B1000="","",SUM(C1000:O1000))</f>
        <v/>
      </c>
      <c r="Q1000" s="5">
        <f>IF(B1000="","",ROUND(P1000/13,2))</f>
        <v/>
      </c>
      <c r="R1000" s="5">
        <f>IF(B1000="","",IF(AH1000=1,0,MIN(5,ROUND((U1000+V1000+W1000+X1000+Y1000+Z1000+AA1000+AB1000+AC1000+AD1000+AE1000+AF1000+AG1000)/13,2))))</f>
        <v/>
      </c>
      <c r="S1000" s="3">
        <f>IF(B1000="","",IF(R1000&gt;=5,"A+",IF(R1000&gt;=4,"A",IF(R1000&gt;=3.5,"A-",IF(R1000&gt;=3,"B",IF(R1000&gt;=2,"C",IF(R1000&gt;=1,"D","F")))))))</f>
        <v/>
      </c>
      <c r="T1000" s="3">
        <f>IF(OR(B1000="",S1000="F"),"",COUNTIFS(P:P,"&gt;"&amp;P1000,S:S,"&lt;&gt;F")+1)</f>
        <v/>
      </c>
      <c r="U1000">
        <f>IF(B1000="","",IF(C1000&lt;33.0,0,IF(C1000&gt;=100*0.8,5,IF(C1000&gt;=100*0.7,4,IF(C1000&gt;=100*0.6,3.5,IF(C1000&gt;=100*0.5,3,IF(C1000&gt;=100*0.4,2,IF(C1000&gt;=100*0.33,1,0))))))))</f>
        <v/>
      </c>
      <c r="V1000">
        <f>IF(B1000="","",IF(D1000&lt;33.0,0,IF(D1000&gt;=100*0.8,5,IF(D1000&gt;=100*0.7,4,IF(D1000&gt;=100*0.6,3.5,IF(D1000&gt;=100*0.5,3,IF(D1000&gt;=100*0.4,2,IF(D1000&gt;=100*0.33,1,0))))))))</f>
        <v/>
      </c>
      <c r="W1000">
        <f>IF(B1000="","",IF(E1000&lt;16.5,0,IF(E1000&gt;=50*0.8,5,IF(E1000&gt;=50*0.7,4,IF(E1000&gt;=50*0.6,3.5,IF(E1000&gt;=50*0.5,3,IF(E1000&gt;=50*0.4,2,IF(E1000&gt;=50*0.33,1,0))))))))</f>
        <v/>
      </c>
      <c r="X1000">
        <f>IF(B1000="","",IF(F1000&lt;33.0,0,IF(F1000&gt;=100*0.8,5,IF(F1000&gt;=100*0.7,4,IF(F1000&gt;=100*0.6,3.5,IF(F1000&gt;=100*0.5,3,IF(F1000&gt;=100*0.4,2,IF(F1000&gt;=100*0.33,1,0))))))))</f>
        <v/>
      </c>
      <c r="Y1000">
        <f>IF(B1000="","",IF(G1000&lt;16.5,0,IF(G1000&gt;=50*0.8,5,IF(G1000&gt;=50*0.7,4,IF(G1000&gt;=50*0.6,3.5,IF(G1000&gt;=50*0.5,3,IF(G1000&gt;=50*0.4,2,IF(G1000&gt;=50*0.33,1,0))))))))</f>
        <v/>
      </c>
      <c r="Z1000">
        <f>IF(B1000="","",IF(H1000&lt;33.0,0,IF(H1000&gt;=100*0.8,5,IF(H1000&gt;=100*0.7,4,IF(H1000&gt;=100*0.6,3.5,IF(H1000&gt;=100*0.5,3,IF(H1000&gt;=100*0.4,2,IF(H1000&gt;=100*0.33,1,0))))))))</f>
        <v/>
      </c>
      <c r="AA1000">
        <f>IF(B1000="","",IF(I1000&lt;33.0,0,IF(I1000&gt;=100*0.8,5,IF(I1000&gt;=100*0.7,4,IF(I1000&gt;=100*0.6,3.5,IF(I1000&gt;=100*0.5,3,IF(I1000&gt;=100*0.4,2,IF(I1000&gt;=100*0.33,1,0))))))))</f>
        <v/>
      </c>
      <c r="AB1000">
        <f>IF(B1000="","",IF(J1000&lt;33.0,0,IF(J1000&gt;=100*0.8,5,IF(J1000&gt;=100*0.7,4,IF(J1000&gt;=100*0.6,3.5,IF(J1000&gt;=100*0.5,3,IF(J1000&gt;=100*0.4,2,IF(J1000&gt;=100*0.33,1,0))))))))</f>
        <v/>
      </c>
      <c r="AC1000">
        <f>IF(B1000="","",IF(K1000&lt;33.0,0,IF(K1000&gt;=100*0.8,5,IF(K1000&gt;=100*0.7,4,IF(K1000&gt;=100*0.6,3.5,IF(K1000&gt;=100*0.5,3,IF(K1000&gt;=100*0.4,2,IF(K1000&gt;=100*0.33,1,0))))))))</f>
        <v/>
      </c>
      <c r="AD1000">
        <f>IF(B1000="","",IF(L1000&lt;33.0,0,IF(L1000&gt;=100*0.8,5,IF(L1000&gt;=100*0.7,4,IF(L1000&gt;=100*0.6,3.5,IF(L1000&gt;=100*0.5,3,IF(L1000&gt;=100*0.4,2,IF(L1000&gt;=100*0.33,1,0))))))))</f>
        <v/>
      </c>
      <c r="AE1000">
        <f>IF(B1000="","",IF(M1000&lt;33.0,0,IF(M1000&gt;=100*0.8,5,IF(M1000&gt;=100*0.7,4,IF(M1000&gt;=100*0.6,3.5,IF(M1000&gt;=100*0.5,3,IF(M1000&gt;=100*0.4,2,IF(M1000&gt;=100*0.33,1,0))))))))</f>
        <v/>
      </c>
      <c r="AF1000">
        <f>IF(B1000="","",IF(N1000&lt;16.5,0,IF(N1000&gt;=50*0.8,5,IF(N1000&gt;=50*0.7,4,IF(N1000&gt;=50*0.6,3.5,IF(N1000&gt;=50*0.5,3,IF(N1000&gt;=50*0.4,2,IF(N1000&gt;=50*0.33,1,0))))))))</f>
        <v/>
      </c>
      <c r="AG1000">
        <f>IF(B1000="","",IF(O1000&lt;33.0,0,IF(O1000&gt;=100*0.8,5,IF(O1000&gt;=100*0.7,4,IF(O1000&gt;=100*0.6,3.5,IF(O1000&gt;=100*0.5,3,IF(O1000&gt;=100*0.4,2,IF(O1000&gt;=100*0.33,1,0))))))))</f>
        <v/>
      </c>
      <c r="AH1000">
        <f>IF(B1000="","",IF(OR(U1000=0,V1000=0,W1000=0,X1000=0,Y1000=0,Z1000=0,AA1000=0,AB1000=0,AC1000=0,AD1000=0,AE1000=0,AF1000=0,AG1000=0),1,0))</f>
        <v/>
      </c>
    </row>
    <row r="1001">
      <c r="A1001" s="3">
        <f>IF(B1001="","",ROW()-2)</f>
        <v/>
      </c>
      <c r="P1001" s="4">
        <f>IF(B1001="","",SUM(C1001:O1001))</f>
        <v/>
      </c>
      <c r="Q1001" s="5">
        <f>IF(B1001="","",ROUND(P1001/13,2))</f>
        <v/>
      </c>
      <c r="R1001" s="5">
        <f>IF(B1001="","",IF(AH1001=1,0,MIN(5,ROUND((U1001+V1001+W1001+X1001+Y1001+Z1001+AA1001+AB1001+AC1001+AD1001+AE1001+AF1001+AG1001)/13,2))))</f>
        <v/>
      </c>
      <c r="S1001" s="3">
        <f>IF(B1001="","",IF(R1001&gt;=5,"A+",IF(R1001&gt;=4,"A",IF(R1001&gt;=3.5,"A-",IF(R1001&gt;=3,"B",IF(R1001&gt;=2,"C",IF(R1001&gt;=1,"D","F")))))))</f>
        <v/>
      </c>
      <c r="T1001" s="3">
        <f>IF(OR(B1001="",S1001="F"),"",COUNTIFS(P:P,"&gt;"&amp;P1001,S:S,"&lt;&gt;F")+1)</f>
        <v/>
      </c>
      <c r="U1001">
        <f>IF(B1001="","",IF(C1001&lt;33.0,0,IF(C1001&gt;=100*0.8,5,IF(C1001&gt;=100*0.7,4,IF(C1001&gt;=100*0.6,3.5,IF(C1001&gt;=100*0.5,3,IF(C1001&gt;=100*0.4,2,IF(C1001&gt;=100*0.33,1,0))))))))</f>
        <v/>
      </c>
      <c r="V1001">
        <f>IF(B1001="","",IF(D1001&lt;33.0,0,IF(D1001&gt;=100*0.8,5,IF(D1001&gt;=100*0.7,4,IF(D1001&gt;=100*0.6,3.5,IF(D1001&gt;=100*0.5,3,IF(D1001&gt;=100*0.4,2,IF(D1001&gt;=100*0.33,1,0))))))))</f>
        <v/>
      </c>
      <c r="W1001">
        <f>IF(B1001="","",IF(E1001&lt;16.5,0,IF(E1001&gt;=50*0.8,5,IF(E1001&gt;=50*0.7,4,IF(E1001&gt;=50*0.6,3.5,IF(E1001&gt;=50*0.5,3,IF(E1001&gt;=50*0.4,2,IF(E1001&gt;=50*0.33,1,0))))))))</f>
        <v/>
      </c>
      <c r="X1001">
        <f>IF(B1001="","",IF(F1001&lt;33.0,0,IF(F1001&gt;=100*0.8,5,IF(F1001&gt;=100*0.7,4,IF(F1001&gt;=100*0.6,3.5,IF(F1001&gt;=100*0.5,3,IF(F1001&gt;=100*0.4,2,IF(F1001&gt;=100*0.33,1,0))))))))</f>
        <v/>
      </c>
      <c r="Y1001">
        <f>IF(B1001="","",IF(G1001&lt;16.5,0,IF(G1001&gt;=50*0.8,5,IF(G1001&gt;=50*0.7,4,IF(G1001&gt;=50*0.6,3.5,IF(G1001&gt;=50*0.5,3,IF(G1001&gt;=50*0.4,2,IF(G1001&gt;=50*0.33,1,0))))))))</f>
        <v/>
      </c>
      <c r="Z1001">
        <f>IF(B1001="","",IF(H1001&lt;33.0,0,IF(H1001&gt;=100*0.8,5,IF(H1001&gt;=100*0.7,4,IF(H1001&gt;=100*0.6,3.5,IF(H1001&gt;=100*0.5,3,IF(H1001&gt;=100*0.4,2,IF(H1001&gt;=100*0.33,1,0))))))))</f>
        <v/>
      </c>
      <c r="AA1001">
        <f>IF(B1001="","",IF(I1001&lt;33.0,0,IF(I1001&gt;=100*0.8,5,IF(I1001&gt;=100*0.7,4,IF(I1001&gt;=100*0.6,3.5,IF(I1001&gt;=100*0.5,3,IF(I1001&gt;=100*0.4,2,IF(I1001&gt;=100*0.33,1,0))))))))</f>
        <v/>
      </c>
      <c r="AB1001">
        <f>IF(B1001="","",IF(J1001&lt;33.0,0,IF(J1001&gt;=100*0.8,5,IF(J1001&gt;=100*0.7,4,IF(J1001&gt;=100*0.6,3.5,IF(J1001&gt;=100*0.5,3,IF(J1001&gt;=100*0.4,2,IF(J1001&gt;=100*0.33,1,0))))))))</f>
        <v/>
      </c>
      <c r="AC1001">
        <f>IF(B1001="","",IF(K1001&lt;33.0,0,IF(K1001&gt;=100*0.8,5,IF(K1001&gt;=100*0.7,4,IF(K1001&gt;=100*0.6,3.5,IF(K1001&gt;=100*0.5,3,IF(K1001&gt;=100*0.4,2,IF(K1001&gt;=100*0.33,1,0))))))))</f>
        <v/>
      </c>
      <c r="AD1001">
        <f>IF(B1001="","",IF(L1001&lt;33.0,0,IF(L1001&gt;=100*0.8,5,IF(L1001&gt;=100*0.7,4,IF(L1001&gt;=100*0.6,3.5,IF(L1001&gt;=100*0.5,3,IF(L1001&gt;=100*0.4,2,IF(L1001&gt;=100*0.33,1,0))))))))</f>
        <v/>
      </c>
      <c r="AE1001">
        <f>IF(B1001="","",IF(M1001&lt;33.0,0,IF(M1001&gt;=100*0.8,5,IF(M1001&gt;=100*0.7,4,IF(M1001&gt;=100*0.6,3.5,IF(M1001&gt;=100*0.5,3,IF(M1001&gt;=100*0.4,2,IF(M1001&gt;=100*0.33,1,0))))))))</f>
        <v/>
      </c>
      <c r="AF1001">
        <f>IF(B1001="","",IF(N1001&lt;16.5,0,IF(N1001&gt;=50*0.8,5,IF(N1001&gt;=50*0.7,4,IF(N1001&gt;=50*0.6,3.5,IF(N1001&gt;=50*0.5,3,IF(N1001&gt;=50*0.4,2,IF(N1001&gt;=50*0.33,1,0))))))))</f>
        <v/>
      </c>
      <c r="AG1001">
        <f>IF(B1001="","",IF(O1001&lt;33.0,0,IF(O1001&gt;=100*0.8,5,IF(O1001&gt;=100*0.7,4,IF(O1001&gt;=100*0.6,3.5,IF(O1001&gt;=100*0.5,3,IF(O1001&gt;=100*0.4,2,IF(O1001&gt;=100*0.33,1,0))))))))</f>
        <v/>
      </c>
      <c r="AH1001">
        <f>IF(B1001="","",IF(OR(U1001=0,V1001=0,W1001=0,X1001=0,Y1001=0,Z1001=0,AA1001=0,AB1001=0,AC1001=0,AD1001=0,AE1001=0,AF1001=0,AG1001=0),1,0))</f>
        <v/>
      </c>
    </row>
    <row r="1002">
      <c r="A1002" s="3">
        <f>IF(B1002="","",ROW()-2)</f>
        <v/>
      </c>
      <c r="P1002" s="4">
        <f>IF(B1002="","",SUM(C1002:O1002))</f>
        <v/>
      </c>
      <c r="Q1002" s="5">
        <f>IF(B1002="","",ROUND(P1002/13,2))</f>
        <v/>
      </c>
      <c r="R1002" s="5">
        <f>IF(B1002="","",IF(AH1002=1,0,MIN(5,ROUND((U1002+V1002+W1002+X1002+Y1002+Z1002+AA1002+AB1002+AC1002+AD1002+AE1002+AF1002+AG1002)/13,2))))</f>
        <v/>
      </c>
      <c r="S1002" s="3">
        <f>IF(B1002="","",IF(R1002&gt;=5,"A+",IF(R1002&gt;=4,"A",IF(R1002&gt;=3.5,"A-",IF(R1002&gt;=3,"B",IF(R1002&gt;=2,"C",IF(R1002&gt;=1,"D","F")))))))</f>
        <v/>
      </c>
      <c r="T1002" s="3">
        <f>IF(OR(B1002="",S1002="F"),"",COUNTIFS(P:P,"&gt;"&amp;P1002,S:S,"&lt;&gt;F")+1)</f>
        <v/>
      </c>
      <c r="U1002">
        <f>IF(B1002="","",IF(C1002&lt;33.0,0,IF(C1002&gt;=100*0.8,5,IF(C1002&gt;=100*0.7,4,IF(C1002&gt;=100*0.6,3.5,IF(C1002&gt;=100*0.5,3,IF(C1002&gt;=100*0.4,2,IF(C1002&gt;=100*0.33,1,0))))))))</f>
        <v/>
      </c>
      <c r="V1002">
        <f>IF(B1002="","",IF(D1002&lt;33.0,0,IF(D1002&gt;=100*0.8,5,IF(D1002&gt;=100*0.7,4,IF(D1002&gt;=100*0.6,3.5,IF(D1002&gt;=100*0.5,3,IF(D1002&gt;=100*0.4,2,IF(D1002&gt;=100*0.33,1,0))))))))</f>
        <v/>
      </c>
      <c r="W1002">
        <f>IF(B1002="","",IF(E1002&lt;16.5,0,IF(E1002&gt;=50*0.8,5,IF(E1002&gt;=50*0.7,4,IF(E1002&gt;=50*0.6,3.5,IF(E1002&gt;=50*0.5,3,IF(E1002&gt;=50*0.4,2,IF(E1002&gt;=50*0.33,1,0))))))))</f>
        <v/>
      </c>
      <c r="X1002">
        <f>IF(B1002="","",IF(F1002&lt;33.0,0,IF(F1002&gt;=100*0.8,5,IF(F1002&gt;=100*0.7,4,IF(F1002&gt;=100*0.6,3.5,IF(F1002&gt;=100*0.5,3,IF(F1002&gt;=100*0.4,2,IF(F1002&gt;=100*0.33,1,0))))))))</f>
        <v/>
      </c>
      <c r="Y1002">
        <f>IF(B1002="","",IF(G1002&lt;16.5,0,IF(G1002&gt;=50*0.8,5,IF(G1002&gt;=50*0.7,4,IF(G1002&gt;=50*0.6,3.5,IF(G1002&gt;=50*0.5,3,IF(G1002&gt;=50*0.4,2,IF(G1002&gt;=50*0.33,1,0))))))))</f>
        <v/>
      </c>
      <c r="Z1002">
        <f>IF(B1002="","",IF(H1002&lt;33.0,0,IF(H1002&gt;=100*0.8,5,IF(H1002&gt;=100*0.7,4,IF(H1002&gt;=100*0.6,3.5,IF(H1002&gt;=100*0.5,3,IF(H1002&gt;=100*0.4,2,IF(H1002&gt;=100*0.33,1,0))))))))</f>
        <v/>
      </c>
      <c r="AA1002">
        <f>IF(B1002="","",IF(I1002&lt;33.0,0,IF(I1002&gt;=100*0.8,5,IF(I1002&gt;=100*0.7,4,IF(I1002&gt;=100*0.6,3.5,IF(I1002&gt;=100*0.5,3,IF(I1002&gt;=100*0.4,2,IF(I1002&gt;=100*0.33,1,0))))))))</f>
        <v/>
      </c>
      <c r="AB1002">
        <f>IF(B1002="","",IF(J1002&lt;33.0,0,IF(J1002&gt;=100*0.8,5,IF(J1002&gt;=100*0.7,4,IF(J1002&gt;=100*0.6,3.5,IF(J1002&gt;=100*0.5,3,IF(J1002&gt;=100*0.4,2,IF(J1002&gt;=100*0.33,1,0))))))))</f>
        <v/>
      </c>
      <c r="AC1002">
        <f>IF(B1002="","",IF(K1002&lt;33.0,0,IF(K1002&gt;=100*0.8,5,IF(K1002&gt;=100*0.7,4,IF(K1002&gt;=100*0.6,3.5,IF(K1002&gt;=100*0.5,3,IF(K1002&gt;=100*0.4,2,IF(K1002&gt;=100*0.33,1,0))))))))</f>
        <v/>
      </c>
      <c r="AD1002">
        <f>IF(B1002="","",IF(L1002&lt;33.0,0,IF(L1002&gt;=100*0.8,5,IF(L1002&gt;=100*0.7,4,IF(L1002&gt;=100*0.6,3.5,IF(L1002&gt;=100*0.5,3,IF(L1002&gt;=100*0.4,2,IF(L1002&gt;=100*0.33,1,0))))))))</f>
        <v/>
      </c>
      <c r="AE1002">
        <f>IF(B1002="","",IF(M1002&lt;33.0,0,IF(M1002&gt;=100*0.8,5,IF(M1002&gt;=100*0.7,4,IF(M1002&gt;=100*0.6,3.5,IF(M1002&gt;=100*0.5,3,IF(M1002&gt;=100*0.4,2,IF(M1002&gt;=100*0.33,1,0))))))))</f>
        <v/>
      </c>
      <c r="AF1002">
        <f>IF(B1002="","",IF(N1002&lt;16.5,0,IF(N1002&gt;=50*0.8,5,IF(N1002&gt;=50*0.7,4,IF(N1002&gt;=50*0.6,3.5,IF(N1002&gt;=50*0.5,3,IF(N1002&gt;=50*0.4,2,IF(N1002&gt;=50*0.33,1,0))))))))</f>
        <v/>
      </c>
      <c r="AG1002">
        <f>IF(B1002="","",IF(O1002&lt;33.0,0,IF(O1002&gt;=100*0.8,5,IF(O1002&gt;=100*0.7,4,IF(O1002&gt;=100*0.6,3.5,IF(O1002&gt;=100*0.5,3,IF(O1002&gt;=100*0.4,2,IF(O1002&gt;=100*0.33,1,0))))))))</f>
        <v/>
      </c>
      <c r="AH1002">
        <f>IF(B1002="","",IF(OR(U1002=0,V1002=0,W1002=0,X1002=0,Y1002=0,Z1002=0,AA1002=0,AB1002=0,AC1002=0,AD1002=0,AE1002=0,AF1002=0,AG1002=0),1,0))</f>
        <v/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4" max="4"/>
    <col width="20" customWidth="1" min="5" max="5"/>
    <col width="12" customWidth="1" min="6" max="6"/>
  </cols>
  <sheetData>
    <row r="1" ht="35" customHeight="1">
      <c r="A1" s="6" t="inlineStr">
        <is>
          <t>CLASS 8 - ACADEMIC DASHBOARD</t>
        </is>
      </c>
    </row>
    <row r="3">
      <c r="A3" s="7" t="inlineStr">
        <is>
          <t>GRADE DISTRIBUTION</t>
        </is>
      </c>
      <c r="D3" s="7" t="inlineStr">
        <is>
          <t>TOP 5 STUDENTS (BY TOTAL MARKS)</t>
        </is>
      </c>
    </row>
    <row r="4">
      <c r="A4" s="3" t="inlineStr">
        <is>
          <t>A+</t>
        </is>
      </c>
      <c r="B4" s="3">
        <f>COUNTIF('Data Source'!S:S,"A+")</f>
        <v/>
      </c>
      <c r="D4" s="8" t="inlineStr">
        <is>
          <t>Rank</t>
        </is>
      </c>
      <c r="E4" s="8" t="inlineStr">
        <is>
          <t>Name</t>
        </is>
      </c>
      <c r="F4" s="8" t="inlineStr">
        <is>
          <t>Total Marks</t>
        </is>
      </c>
    </row>
    <row r="5">
      <c r="A5" s="3" t="inlineStr">
        <is>
          <t>A</t>
        </is>
      </c>
      <c r="B5" s="3">
        <f>COUNTIF('Data Source'!S:S,"A")</f>
        <v/>
      </c>
      <c r="D5" s="3" t="n">
        <v>1</v>
      </c>
      <c r="E5">
        <f>IFERROR(INDEX('Data Source'!$B:$B,MATCH(F5,'Data Source'!$P:$P,0)),"")</f>
        <v/>
      </c>
      <c r="F5" s="3">
        <f>IFERROR(LARGE('Data Source'!$P:$P,1),"")</f>
        <v/>
      </c>
    </row>
    <row r="6">
      <c r="A6" s="3" t="inlineStr">
        <is>
          <t>A-</t>
        </is>
      </c>
      <c r="B6" s="3">
        <f>COUNTIF('Data Source'!S:S,"A-")</f>
        <v/>
      </c>
      <c r="D6" s="3" t="n">
        <v>2</v>
      </c>
      <c r="E6">
        <f>IFERROR(INDEX('Data Source'!$B:$B,MATCH(F6,'Data Source'!$P:$P,0)),"")</f>
        <v/>
      </c>
      <c r="F6" s="3">
        <f>IFERROR(LARGE('Data Source'!$P:$P,2),"")</f>
        <v/>
      </c>
    </row>
    <row r="7">
      <c r="A7" s="3" t="inlineStr">
        <is>
          <t>B</t>
        </is>
      </c>
      <c r="B7" s="3">
        <f>COUNTIF('Data Source'!S:S,"B")</f>
        <v/>
      </c>
      <c r="D7" s="3" t="n">
        <v>3</v>
      </c>
      <c r="E7">
        <f>IFERROR(INDEX('Data Source'!$B:$B,MATCH(F7,'Data Source'!$P:$P,0)),"")</f>
        <v/>
      </c>
      <c r="F7" s="3">
        <f>IFERROR(LARGE('Data Source'!$P:$P,3),"")</f>
        <v/>
      </c>
    </row>
    <row r="8">
      <c r="A8" s="3" t="inlineStr">
        <is>
          <t>C</t>
        </is>
      </c>
      <c r="B8" s="3">
        <f>COUNTIF('Data Source'!S:S,"C")</f>
        <v/>
      </c>
      <c r="D8" s="3" t="n">
        <v>4</v>
      </c>
      <c r="E8">
        <f>IFERROR(INDEX('Data Source'!$B:$B,MATCH(F8,'Data Source'!$P:$P,0)),"")</f>
        <v/>
      </c>
      <c r="F8" s="3">
        <f>IFERROR(LARGE('Data Source'!$P:$P,4),"")</f>
        <v/>
      </c>
    </row>
    <row r="9">
      <c r="A9" s="3" t="inlineStr">
        <is>
          <t>D</t>
        </is>
      </c>
      <c r="B9" s="3">
        <f>COUNTIF('Data Source'!S:S,"D")</f>
        <v/>
      </c>
      <c r="D9" s="3" t="n">
        <v>5</v>
      </c>
      <c r="E9">
        <f>IFERROR(INDEX('Data Source'!$B:$B,MATCH(F9,'Data Source'!$P:$P,0)),"")</f>
        <v/>
      </c>
      <c r="F9" s="3">
        <f>IFERROR(LARGE('Data Source'!$P:$P,5),"")</f>
        <v/>
      </c>
    </row>
    <row r="10">
      <c r="A10" s="3" t="inlineStr">
        <is>
          <t>F</t>
        </is>
      </c>
      <c r="B10" s="3">
        <f>COUNTIF('Data Source'!S:S,"F")</f>
        <v/>
      </c>
    </row>
    <row r="12">
      <c r="A12" s="7" t="inlineStr">
        <is>
          <t>STATISTICS</t>
        </is>
      </c>
    </row>
    <row r="13">
      <c r="A13" t="inlineStr">
        <is>
          <t>Total Students</t>
        </is>
      </c>
      <c r="B13" s="3">
        <f>COUNTA('Data Source'!B3:B1002)</f>
        <v/>
      </c>
    </row>
    <row r="14">
      <c r="A14" t="inlineStr">
        <is>
          <t>Pass Students</t>
        </is>
      </c>
      <c r="B14" s="3">
        <f>SUMPRODUCT(--('Data Source'!S3:S1002&lt;&gt;"F"),--('Data Source'!S3:S1002&lt;&gt;""))</f>
        <v/>
      </c>
    </row>
    <row r="15">
      <c r="A15" t="inlineStr">
        <is>
          <t>Fail Students</t>
        </is>
      </c>
      <c r="B15" s="3">
        <f>COUNTIF('Data Source'!S3:S1002,"F")</f>
        <v/>
      </c>
    </row>
    <row r="16">
      <c r="A16" t="inlineStr">
        <is>
          <t>Pass Rate %</t>
        </is>
      </c>
      <c r="B16" s="3">
        <f>IF(B13=0,0,ROUND(B14/B13*100,2))</f>
        <v/>
      </c>
    </row>
    <row r="17">
      <c r="A17" t="inlineStr">
        <is>
          <t>Average GPA</t>
        </is>
      </c>
      <c r="B17" s="3">
        <f>ROUND(AVERAGEIF('Data Source'!R3:R1002,"&gt;0"),2)</f>
        <v/>
      </c>
    </row>
    <row r="18">
      <c r="A18" t="inlineStr">
        <is>
          <t>Highest Total</t>
        </is>
      </c>
      <c r="B18" s="3">
        <f>MAX('Data Source'!P3:P1002)</f>
        <v/>
      </c>
    </row>
    <row r="19">
      <c r="A19" t="inlineStr">
        <is>
          <t>Lowest Total</t>
        </is>
      </c>
      <c r="B19" s="3">
        <f>MIN('Data Source'!P3:P1002)</f>
        <v/>
      </c>
    </row>
  </sheetData>
  <mergeCells count="4">
    <mergeCell ref="A3:B3"/>
    <mergeCell ref="A12:B12"/>
    <mergeCell ref="D3:F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 ht="30" customHeight="1">
      <c r="A1" s="1" t="inlineStr">
        <is>
          <t>SUBJECT-WISE GPA</t>
        </is>
      </c>
    </row>
    <row r="2">
      <c r="A2" s="2" t="inlineStr">
        <is>
          <t>SL</t>
        </is>
      </c>
      <c r="B2" s="2" t="inlineStr">
        <is>
          <t>Name</t>
        </is>
      </c>
      <c r="C2" s="2" t="inlineStr">
        <is>
          <t>Quran</t>
        </is>
      </c>
      <c r="D2" s="2" t="inlineStr">
        <is>
          <t>English I</t>
        </is>
      </c>
      <c r="E2" s="2" t="inlineStr">
        <is>
          <t>English II</t>
        </is>
      </c>
      <c r="F2" s="2" t="inlineStr">
        <is>
          <t>Bangla I</t>
        </is>
      </c>
      <c r="G2" s="2" t="inlineStr">
        <is>
          <t>Bangla II</t>
        </is>
      </c>
      <c r="H2" s="2" t="inlineStr">
        <is>
          <t>Science</t>
        </is>
      </c>
      <c r="I2" s="2" t="inlineStr">
        <is>
          <t>Mathematics</t>
        </is>
      </c>
      <c r="J2" s="2" t="inlineStr">
        <is>
          <t>General Knowledge</t>
        </is>
      </c>
      <c r="K2" s="2" t="inlineStr">
        <is>
          <t>Arabic I</t>
        </is>
      </c>
      <c r="L2" s="2" t="inlineStr">
        <is>
          <t>Arabic II</t>
        </is>
      </c>
      <c r="M2" s="2" t="inlineStr">
        <is>
          <t>Aqaid</t>
        </is>
      </c>
      <c r="N2" s="2" t="inlineStr">
        <is>
          <t>ICT</t>
        </is>
      </c>
      <c r="O2" s="2" t="inlineStr">
        <is>
          <t>Bangladesh and Global Studies</t>
        </is>
      </c>
      <c r="P2" s="2" t="inlineStr">
        <is>
          <t>Overall GPA</t>
        </is>
      </c>
      <c r="Q2" s="2" t="inlineStr">
        <is>
          <t>Grade</t>
        </is>
      </c>
    </row>
    <row r="3">
      <c r="A3" s="3">
        <f>IF('Data Source'!B3="","",'Data Source'!A3)</f>
        <v/>
      </c>
      <c r="B3">
        <f>IF('Data Source'!B3="","",'Data Source'!B3)</f>
        <v/>
      </c>
      <c r="C3" s="9">
        <f>IF('Data Source'!B3="","",'Data Source'!U3)</f>
        <v/>
      </c>
      <c r="D3" s="9">
        <f>IF('Data Source'!B3="","",'Data Source'!V3)</f>
        <v/>
      </c>
      <c r="E3" s="9">
        <f>IF('Data Source'!B3="","",'Data Source'!W3)</f>
        <v/>
      </c>
      <c r="F3" s="9">
        <f>IF('Data Source'!B3="","",'Data Source'!X3)</f>
        <v/>
      </c>
      <c r="G3" s="9">
        <f>IF('Data Source'!B3="","",'Data Source'!Y3)</f>
        <v/>
      </c>
      <c r="H3" s="9">
        <f>IF('Data Source'!B3="","",'Data Source'!Z3)</f>
        <v/>
      </c>
      <c r="I3" s="9">
        <f>IF('Data Source'!B3="","",'Data Source'!AA3)</f>
        <v/>
      </c>
      <c r="J3" s="9">
        <f>IF('Data Source'!B3="","",'Data Source'!AB3)</f>
        <v/>
      </c>
      <c r="K3" s="9">
        <f>IF('Data Source'!B3="","",'Data Source'!AC3)</f>
        <v/>
      </c>
      <c r="L3" s="9">
        <f>IF('Data Source'!B3="","",'Data Source'!AD3)</f>
        <v/>
      </c>
      <c r="M3" s="9">
        <f>IF('Data Source'!B3="","",'Data Source'!AE3)</f>
        <v/>
      </c>
      <c r="N3" s="9">
        <f>IF('Data Source'!B3="","",'Data Source'!AF3)</f>
        <v/>
      </c>
      <c r="O3" s="9">
        <f>IF('Data Source'!B3="","",'Data Source'!AG3)</f>
        <v/>
      </c>
      <c r="P3" s="5">
        <f>IF('Data Source'!B3="","",'Data Source'!R3)</f>
        <v/>
      </c>
      <c r="Q3" s="3">
        <f>IF('Data Source'!B3="","",'Data Source'!S3)</f>
        <v/>
      </c>
    </row>
    <row r="4">
      <c r="A4" s="3">
        <f>IF('Data Source'!B4="","",'Data Source'!A4)</f>
        <v/>
      </c>
      <c r="B4">
        <f>IF('Data Source'!B4="","",'Data Source'!B4)</f>
        <v/>
      </c>
      <c r="C4" s="9">
        <f>IF('Data Source'!B4="","",'Data Source'!U4)</f>
        <v/>
      </c>
      <c r="D4" s="9">
        <f>IF('Data Source'!B4="","",'Data Source'!V4)</f>
        <v/>
      </c>
      <c r="E4" s="9">
        <f>IF('Data Source'!B4="","",'Data Source'!W4)</f>
        <v/>
      </c>
      <c r="F4" s="9">
        <f>IF('Data Source'!B4="","",'Data Source'!X4)</f>
        <v/>
      </c>
      <c r="G4" s="9">
        <f>IF('Data Source'!B4="","",'Data Source'!Y4)</f>
        <v/>
      </c>
      <c r="H4" s="9">
        <f>IF('Data Source'!B4="","",'Data Source'!Z4)</f>
        <v/>
      </c>
      <c r="I4" s="9">
        <f>IF('Data Source'!B4="","",'Data Source'!AA4)</f>
        <v/>
      </c>
      <c r="J4" s="9">
        <f>IF('Data Source'!B4="","",'Data Source'!AB4)</f>
        <v/>
      </c>
      <c r="K4" s="9">
        <f>IF('Data Source'!B4="","",'Data Source'!AC4)</f>
        <v/>
      </c>
      <c r="L4" s="9">
        <f>IF('Data Source'!B4="","",'Data Source'!AD4)</f>
        <v/>
      </c>
      <c r="M4" s="9">
        <f>IF('Data Source'!B4="","",'Data Source'!AE4)</f>
        <v/>
      </c>
      <c r="N4" s="9">
        <f>IF('Data Source'!B4="","",'Data Source'!AF4)</f>
        <v/>
      </c>
      <c r="O4" s="9">
        <f>IF('Data Source'!B4="","",'Data Source'!AG4)</f>
        <v/>
      </c>
      <c r="P4" s="5">
        <f>IF('Data Source'!B4="","",'Data Source'!R4)</f>
        <v/>
      </c>
      <c r="Q4" s="3">
        <f>IF('Data Source'!B4="","",'Data Source'!S4)</f>
        <v/>
      </c>
    </row>
    <row r="5">
      <c r="A5" s="3">
        <f>IF('Data Source'!B5="","",'Data Source'!A5)</f>
        <v/>
      </c>
      <c r="B5">
        <f>IF('Data Source'!B5="","",'Data Source'!B5)</f>
        <v/>
      </c>
      <c r="C5" s="9">
        <f>IF('Data Source'!B5="","",'Data Source'!U5)</f>
        <v/>
      </c>
      <c r="D5" s="9">
        <f>IF('Data Source'!B5="","",'Data Source'!V5)</f>
        <v/>
      </c>
      <c r="E5" s="9">
        <f>IF('Data Source'!B5="","",'Data Source'!W5)</f>
        <v/>
      </c>
      <c r="F5" s="9">
        <f>IF('Data Source'!B5="","",'Data Source'!X5)</f>
        <v/>
      </c>
      <c r="G5" s="9">
        <f>IF('Data Source'!B5="","",'Data Source'!Y5)</f>
        <v/>
      </c>
      <c r="H5" s="9">
        <f>IF('Data Source'!B5="","",'Data Source'!Z5)</f>
        <v/>
      </c>
      <c r="I5" s="9">
        <f>IF('Data Source'!B5="","",'Data Source'!AA5)</f>
        <v/>
      </c>
      <c r="J5" s="9">
        <f>IF('Data Source'!B5="","",'Data Source'!AB5)</f>
        <v/>
      </c>
      <c r="K5" s="9">
        <f>IF('Data Source'!B5="","",'Data Source'!AC5)</f>
        <v/>
      </c>
      <c r="L5" s="9">
        <f>IF('Data Source'!B5="","",'Data Source'!AD5)</f>
        <v/>
      </c>
      <c r="M5" s="9">
        <f>IF('Data Source'!B5="","",'Data Source'!AE5)</f>
        <v/>
      </c>
      <c r="N5" s="9">
        <f>IF('Data Source'!B5="","",'Data Source'!AF5)</f>
        <v/>
      </c>
      <c r="O5" s="9">
        <f>IF('Data Source'!B5="","",'Data Source'!AG5)</f>
        <v/>
      </c>
      <c r="P5" s="5">
        <f>IF('Data Source'!B5="","",'Data Source'!R5)</f>
        <v/>
      </c>
      <c r="Q5" s="3">
        <f>IF('Data Source'!B5="","",'Data Source'!S5)</f>
        <v/>
      </c>
    </row>
    <row r="6">
      <c r="A6" s="3">
        <f>IF('Data Source'!B6="","",'Data Source'!A6)</f>
        <v/>
      </c>
      <c r="B6">
        <f>IF('Data Source'!B6="","",'Data Source'!B6)</f>
        <v/>
      </c>
      <c r="C6" s="9">
        <f>IF('Data Source'!B6="","",'Data Source'!U6)</f>
        <v/>
      </c>
      <c r="D6" s="9">
        <f>IF('Data Source'!B6="","",'Data Source'!V6)</f>
        <v/>
      </c>
      <c r="E6" s="9">
        <f>IF('Data Source'!B6="","",'Data Source'!W6)</f>
        <v/>
      </c>
      <c r="F6" s="9">
        <f>IF('Data Source'!B6="","",'Data Source'!X6)</f>
        <v/>
      </c>
      <c r="G6" s="9">
        <f>IF('Data Source'!B6="","",'Data Source'!Y6)</f>
        <v/>
      </c>
      <c r="H6" s="9">
        <f>IF('Data Source'!B6="","",'Data Source'!Z6)</f>
        <v/>
      </c>
      <c r="I6" s="9">
        <f>IF('Data Source'!B6="","",'Data Source'!AA6)</f>
        <v/>
      </c>
      <c r="J6" s="9">
        <f>IF('Data Source'!B6="","",'Data Source'!AB6)</f>
        <v/>
      </c>
      <c r="K6" s="9">
        <f>IF('Data Source'!B6="","",'Data Source'!AC6)</f>
        <v/>
      </c>
      <c r="L6" s="9">
        <f>IF('Data Source'!B6="","",'Data Source'!AD6)</f>
        <v/>
      </c>
      <c r="M6" s="9">
        <f>IF('Data Source'!B6="","",'Data Source'!AE6)</f>
        <v/>
      </c>
      <c r="N6" s="9">
        <f>IF('Data Source'!B6="","",'Data Source'!AF6)</f>
        <v/>
      </c>
      <c r="O6" s="9">
        <f>IF('Data Source'!B6="","",'Data Source'!AG6)</f>
        <v/>
      </c>
      <c r="P6" s="5">
        <f>IF('Data Source'!B6="","",'Data Source'!R6)</f>
        <v/>
      </c>
      <c r="Q6" s="3">
        <f>IF('Data Source'!B6="","",'Data Source'!S6)</f>
        <v/>
      </c>
    </row>
    <row r="7">
      <c r="A7" s="3">
        <f>IF('Data Source'!B7="","",'Data Source'!A7)</f>
        <v/>
      </c>
      <c r="B7">
        <f>IF('Data Source'!B7="","",'Data Source'!B7)</f>
        <v/>
      </c>
      <c r="C7" s="9">
        <f>IF('Data Source'!B7="","",'Data Source'!U7)</f>
        <v/>
      </c>
      <c r="D7" s="9">
        <f>IF('Data Source'!B7="","",'Data Source'!V7)</f>
        <v/>
      </c>
      <c r="E7" s="9">
        <f>IF('Data Source'!B7="","",'Data Source'!W7)</f>
        <v/>
      </c>
      <c r="F7" s="9">
        <f>IF('Data Source'!B7="","",'Data Source'!X7)</f>
        <v/>
      </c>
      <c r="G7" s="9">
        <f>IF('Data Source'!B7="","",'Data Source'!Y7)</f>
        <v/>
      </c>
      <c r="H7" s="9">
        <f>IF('Data Source'!B7="","",'Data Source'!Z7)</f>
        <v/>
      </c>
      <c r="I7" s="9">
        <f>IF('Data Source'!B7="","",'Data Source'!AA7)</f>
        <v/>
      </c>
      <c r="J7" s="9">
        <f>IF('Data Source'!B7="","",'Data Source'!AB7)</f>
        <v/>
      </c>
      <c r="K7" s="9">
        <f>IF('Data Source'!B7="","",'Data Source'!AC7)</f>
        <v/>
      </c>
      <c r="L7" s="9">
        <f>IF('Data Source'!B7="","",'Data Source'!AD7)</f>
        <v/>
      </c>
      <c r="M7" s="9">
        <f>IF('Data Source'!B7="","",'Data Source'!AE7)</f>
        <v/>
      </c>
      <c r="N7" s="9">
        <f>IF('Data Source'!B7="","",'Data Source'!AF7)</f>
        <v/>
      </c>
      <c r="O7" s="9">
        <f>IF('Data Source'!B7="","",'Data Source'!AG7)</f>
        <v/>
      </c>
      <c r="P7" s="5">
        <f>IF('Data Source'!B7="","",'Data Source'!R7)</f>
        <v/>
      </c>
      <c r="Q7" s="3">
        <f>IF('Data Source'!B7="","",'Data Source'!S7)</f>
        <v/>
      </c>
    </row>
    <row r="8">
      <c r="A8" s="3">
        <f>IF('Data Source'!B8="","",'Data Source'!A8)</f>
        <v/>
      </c>
      <c r="B8">
        <f>IF('Data Source'!B8="","",'Data Source'!B8)</f>
        <v/>
      </c>
      <c r="C8" s="9">
        <f>IF('Data Source'!B8="","",'Data Source'!U8)</f>
        <v/>
      </c>
      <c r="D8" s="9">
        <f>IF('Data Source'!B8="","",'Data Source'!V8)</f>
        <v/>
      </c>
      <c r="E8" s="9">
        <f>IF('Data Source'!B8="","",'Data Source'!W8)</f>
        <v/>
      </c>
      <c r="F8" s="9">
        <f>IF('Data Source'!B8="","",'Data Source'!X8)</f>
        <v/>
      </c>
      <c r="G8" s="9">
        <f>IF('Data Source'!B8="","",'Data Source'!Y8)</f>
        <v/>
      </c>
      <c r="H8" s="9">
        <f>IF('Data Source'!B8="","",'Data Source'!Z8)</f>
        <v/>
      </c>
      <c r="I8" s="9">
        <f>IF('Data Source'!B8="","",'Data Source'!AA8)</f>
        <v/>
      </c>
      <c r="J8" s="9">
        <f>IF('Data Source'!B8="","",'Data Source'!AB8)</f>
        <v/>
      </c>
      <c r="K8" s="9">
        <f>IF('Data Source'!B8="","",'Data Source'!AC8)</f>
        <v/>
      </c>
      <c r="L8" s="9">
        <f>IF('Data Source'!B8="","",'Data Source'!AD8)</f>
        <v/>
      </c>
      <c r="M8" s="9">
        <f>IF('Data Source'!B8="","",'Data Source'!AE8)</f>
        <v/>
      </c>
      <c r="N8" s="9">
        <f>IF('Data Source'!B8="","",'Data Source'!AF8)</f>
        <v/>
      </c>
      <c r="O8" s="9">
        <f>IF('Data Source'!B8="","",'Data Source'!AG8)</f>
        <v/>
      </c>
      <c r="P8" s="5">
        <f>IF('Data Source'!B8="","",'Data Source'!R8)</f>
        <v/>
      </c>
      <c r="Q8" s="3">
        <f>IF('Data Source'!B8="","",'Data Source'!S8)</f>
        <v/>
      </c>
    </row>
    <row r="9">
      <c r="A9" s="3">
        <f>IF('Data Source'!B9="","",'Data Source'!A9)</f>
        <v/>
      </c>
      <c r="B9">
        <f>IF('Data Source'!B9="","",'Data Source'!B9)</f>
        <v/>
      </c>
      <c r="C9" s="9">
        <f>IF('Data Source'!B9="","",'Data Source'!U9)</f>
        <v/>
      </c>
      <c r="D9" s="9">
        <f>IF('Data Source'!B9="","",'Data Source'!V9)</f>
        <v/>
      </c>
      <c r="E9" s="9">
        <f>IF('Data Source'!B9="","",'Data Source'!W9)</f>
        <v/>
      </c>
      <c r="F9" s="9">
        <f>IF('Data Source'!B9="","",'Data Source'!X9)</f>
        <v/>
      </c>
      <c r="G9" s="9">
        <f>IF('Data Source'!B9="","",'Data Source'!Y9)</f>
        <v/>
      </c>
      <c r="H9" s="9">
        <f>IF('Data Source'!B9="","",'Data Source'!Z9)</f>
        <v/>
      </c>
      <c r="I9" s="9">
        <f>IF('Data Source'!B9="","",'Data Source'!AA9)</f>
        <v/>
      </c>
      <c r="J9" s="9">
        <f>IF('Data Source'!B9="","",'Data Source'!AB9)</f>
        <v/>
      </c>
      <c r="K9" s="9">
        <f>IF('Data Source'!B9="","",'Data Source'!AC9)</f>
        <v/>
      </c>
      <c r="L9" s="9">
        <f>IF('Data Source'!B9="","",'Data Source'!AD9)</f>
        <v/>
      </c>
      <c r="M9" s="9">
        <f>IF('Data Source'!B9="","",'Data Source'!AE9)</f>
        <v/>
      </c>
      <c r="N9" s="9">
        <f>IF('Data Source'!B9="","",'Data Source'!AF9)</f>
        <v/>
      </c>
      <c r="O9" s="9">
        <f>IF('Data Source'!B9="","",'Data Source'!AG9)</f>
        <v/>
      </c>
      <c r="P9" s="5">
        <f>IF('Data Source'!B9="","",'Data Source'!R9)</f>
        <v/>
      </c>
      <c r="Q9" s="3">
        <f>IF('Data Source'!B9="","",'Data Source'!S9)</f>
        <v/>
      </c>
    </row>
    <row r="10">
      <c r="A10" s="3">
        <f>IF('Data Source'!B10="","",'Data Source'!A10)</f>
        <v/>
      </c>
      <c r="B10">
        <f>IF('Data Source'!B10="","",'Data Source'!B10)</f>
        <v/>
      </c>
      <c r="C10" s="9">
        <f>IF('Data Source'!B10="","",'Data Source'!U10)</f>
        <v/>
      </c>
      <c r="D10" s="9">
        <f>IF('Data Source'!B10="","",'Data Source'!V10)</f>
        <v/>
      </c>
      <c r="E10" s="9">
        <f>IF('Data Source'!B10="","",'Data Source'!W10)</f>
        <v/>
      </c>
      <c r="F10" s="9">
        <f>IF('Data Source'!B10="","",'Data Source'!X10)</f>
        <v/>
      </c>
      <c r="G10" s="9">
        <f>IF('Data Source'!B10="","",'Data Source'!Y10)</f>
        <v/>
      </c>
      <c r="H10" s="9">
        <f>IF('Data Source'!B10="","",'Data Source'!Z10)</f>
        <v/>
      </c>
      <c r="I10" s="9">
        <f>IF('Data Source'!B10="","",'Data Source'!AA10)</f>
        <v/>
      </c>
      <c r="J10" s="9">
        <f>IF('Data Source'!B10="","",'Data Source'!AB10)</f>
        <v/>
      </c>
      <c r="K10" s="9">
        <f>IF('Data Source'!B10="","",'Data Source'!AC10)</f>
        <v/>
      </c>
      <c r="L10" s="9">
        <f>IF('Data Source'!B10="","",'Data Source'!AD10)</f>
        <v/>
      </c>
      <c r="M10" s="9">
        <f>IF('Data Source'!B10="","",'Data Source'!AE10)</f>
        <v/>
      </c>
      <c r="N10" s="9">
        <f>IF('Data Source'!B10="","",'Data Source'!AF10)</f>
        <v/>
      </c>
      <c r="O10" s="9">
        <f>IF('Data Source'!B10="","",'Data Source'!AG10)</f>
        <v/>
      </c>
      <c r="P10" s="5">
        <f>IF('Data Source'!B10="","",'Data Source'!R10)</f>
        <v/>
      </c>
      <c r="Q10" s="3">
        <f>IF('Data Source'!B10="","",'Data Source'!S10)</f>
        <v/>
      </c>
    </row>
    <row r="11">
      <c r="A11" s="3">
        <f>IF('Data Source'!B11="","",'Data Source'!A11)</f>
        <v/>
      </c>
      <c r="B11">
        <f>IF('Data Source'!B11="","",'Data Source'!B11)</f>
        <v/>
      </c>
      <c r="C11" s="9">
        <f>IF('Data Source'!B11="","",'Data Source'!U11)</f>
        <v/>
      </c>
      <c r="D11" s="9">
        <f>IF('Data Source'!B11="","",'Data Source'!V11)</f>
        <v/>
      </c>
      <c r="E11" s="9">
        <f>IF('Data Source'!B11="","",'Data Source'!W11)</f>
        <v/>
      </c>
      <c r="F11" s="9">
        <f>IF('Data Source'!B11="","",'Data Source'!X11)</f>
        <v/>
      </c>
      <c r="G11" s="9">
        <f>IF('Data Source'!B11="","",'Data Source'!Y11)</f>
        <v/>
      </c>
      <c r="H11" s="9">
        <f>IF('Data Source'!B11="","",'Data Source'!Z11)</f>
        <v/>
      </c>
      <c r="I11" s="9">
        <f>IF('Data Source'!B11="","",'Data Source'!AA11)</f>
        <v/>
      </c>
      <c r="J11" s="9">
        <f>IF('Data Source'!B11="","",'Data Source'!AB11)</f>
        <v/>
      </c>
      <c r="K11" s="9">
        <f>IF('Data Source'!B11="","",'Data Source'!AC11)</f>
        <v/>
      </c>
      <c r="L11" s="9">
        <f>IF('Data Source'!B11="","",'Data Source'!AD11)</f>
        <v/>
      </c>
      <c r="M11" s="9">
        <f>IF('Data Source'!B11="","",'Data Source'!AE11)</f>
        <v/>
      </c>
      <c r="N11" s="9">
        <f>IF('Data Source'!B11="","",'Data Source'!AF11)</f>
        <v/>
      </c>
      <c r="O11" s="9">
        <f>IF('Data Source'!B11="","",'Data Source'!AG11)</f>
        <v/>
      </c>
      <c r="P11" s="5">
        <f>IF('Data Source'!B11="","",'Data Source'!R11)</f>
        <v/>
      </c>
      <c r="Q11" s="3">
        <f>IF('Data Source'!B11="","",'Data Source'!S11)</f>
        <v/>
      </c>
    </row>
    <row r="12">
      <c r="A12" s="3">
        <f>IF('Data Source'!B12="","",'Data Source'!A12)</f>
        <v/>
      </c>
      <c r="B12">
        <f>IF('Data Source'!B12="","",'Data Source'!B12)</f>
        <v/>
      </c>
      <c r="C12" s="9">
        <f>IF('Data Source'!B12="","",'Data Source'!U12)</f>
        <v/>
      </c>
      <c r="D12" s="9">
        <f>IF('Data Source'!B12="","",'Data Source'!V12)</f>
        <v/>
      </c>
      <c r="E12" s="9">
        <f>IF('Data Source'!B12="","",'Data Source'!W12)</f>
        <v/>
      </c>
      <c r="F12" s="9">
        <f>IF('Data Source'!B12="","",'Data Source'!X12)</f>
        <v/>
      </c>
      <c r="G12" s="9">
        <f>IF('Data Source'!B12="","",'Data Source'!Y12)</f>
        <v/>
      </c>
      <c r="H12" s="9">
        <f>IF('Data Source'!B12="","",'Data Source'!Z12)</f>
        <v/>
      </c>
      <c r="I12" s="9">
        <f>IF('Data Source'!B12="","",'Data Source'!AA12)</f>
        <v/>
      </c>
      <c r="J12" s="9">
        <f>IF('Data Source'!B12="","",'Data Source'!AB12)</f>
        <v/>
      </c>
      <c r="K12" s="9">
        <f>IF('Data Source'!B12="","",'Data Source'!AC12)</f>
        <v/>
      </c>
      <c r="L12" s="9">
        <f>IF('Data Source'!B12="","",'Data Source'!AD12)</f>
        <v/>
      </c>
      <c r="M12" s="9">
        <f>IF('Data Source'!B12="","",'Data Source'!AE12)</f>
        <v/>
      </c>
      <c r="N12" s="9">
        <f>IF('Data Source'!B12="","",'Data Source'!AF12)</f>
        <v/>
      </c>
      <c r="O12" s="9">
        <f>IF('Data Source'!B12="","",'Data Source'!AG12)</f>
        <v/>
      </c>
      <c r="P12" s="5">
        <f>IF('Data Source'!B12="","",'Data Source'!R12)</f>
        <v/>
      </c>
      <c r="Q12" s="3">
        <f>IF('Data Source'!B12="","",'Data Source'!S12)</f>
        <v/>
      </c>
    </row>
    <row r="13">
      <c r="A13" s="3">
        <f>IF('Data Source'!B13="","",'Data Source'!A13)</f>
        <v/>
      </c>
      <c r="B13">
        <f>IF('Data Source'!B13="","",'Data Source'!B13)</f>
        <v/>
      </c>
      <c r="C13" s="9">
        <f>IF('Data Source'!B13="","",'Data Source'!U13)</f>
        <v/>
      </c>
      <c r="D13" s="9">
        <f>IF('Data Source'!B13="","",'Data Source'!V13)</f>
        <v/>
      </c>
      <c r="E13" s="9">
        <f>IF('Data Source'!B13="","",'Data Source'!W13)</f>
        <v/>
      </c>
      <c r="F13" s="9">
        <f>IF('Data Source'!B13="","",'Data Source'!X13)</f>
        <v/>
      </c>
      <c r="G13" s="9">
        <f>IF('Data Source'!B13="","",'Data Source'!Y13)</f>
        <v/>
      </c>
      <c r="H13" s="9">
        <f>IF('Data Source'!B13="","",'Data Source'!Z13)</f>
        <v/>
      </c>
      <c r="I13" s="9">
        <f>IF('Data Source'!B13="","",'Data Source'!AA13)</f>
        <v/>
      </c>
      <c r="J13" s="9">
        <f>IF('Data Source'!B13="","",'Data Source'!AB13)</f>
        <v/>
      </c>
      <c r="K13" s="9">
        <f>IF('Data Source'!B13="","",'Data Source'!AC13)</f>
        <v/>
      </c>
      <c r="L13" s="9">
        <f>IF('Data Source'!B13="","",'Data Source'!AD13)</f>
        <v/>
      </c>
      <c r="M13" s="9">
        <f>IF('Data Source'!B13="","",'Data Source'!AE13)</f>
        <v/>
      </c>
      <c r="N13" s="9">
        <f>IF('Data Source'!B13="","",'Data Source'!AF13)</f>
        <v/>
      </c>
      <c r="O13" s="9">
        <f>IF('Data Source'!B13="","",'Data Source'!AG13)</f>
        <v/>
      </c>
      <c r="P13" s="5">
        <f>IF('Data Source'!B13="","",'Data Source'!R13)</f>
        <v/>
      </c>
      <c r="Q13" s="3">
        <f>IF('Data Source'!B13="","",'Data Source'!S13)</f>
        <v/>
      </c>
    </row>
    <row r="14">
      <c r="A14" s="3">
        <f>IF('Data Source'!B14="","",'Data Source'!A14)</f>
        <v/>
      </c>
      <c r="B14">
        <f>IF('Data Source'!B14="","",'Data Source'!B14)</f>
        <v/>
      </c>
      <c r="C14" s="9">
        <f>IF('Data Source'!B14="","",'Data Source'!U14)</f>
        <v/>
      </c>
      <c r="D14" s="9">
        <f>IF('Data Source'!B14="","",'Data Source'!V14)</f>
        <v/>
      </c>
      <c r="E14" s="9">
        <f>IF('Data Source'!B14="","",'Data Source'!W14)</f>
        <v/>
      </c>
      <c r="F14" s="9">
        <f>IF('Data Source'!B14="","",'Data Source'!X14)</f>
        <v/>
      </c>
      <c r="G14" s="9">
        <f>IF('Data Source'!B14="","",'Data Source'!Y14)</f>
        <v/>
      </c>
      <c r="H14" s="9">
        <f>IF('Data Source'!B14="","",'Data Source'!Z14)</f>
        <v/>
      </c>
      <c r="I14" s="9">
        <f>IF('Data Source'!B14="","",'Data Source'!AA14)</f>
        <v/>
      </c>
      <c r="J14" s="9">
        <f>IF('Data Source'!B14="","",'Data Source'!AB14)</f>
        <v/>
      </c>
      <c r="K14" s="9">
        <f>IF('Data Source'!B14="","",'Data Source'!AC14)</f>
        <v/>
      </c>
      <c r="L14" s="9">
        <f>IF('Data Source'!B14="","",'Data Source'!AD14)</f>
        <v/>
      </c>
      <c r="M14" s="9">
        <f>IF('Data Source'!B14="","",'Data Source'!AE14)</f>
        <v/>
      </c>
      <c r="N14" s="9">
        <f>IF('Data Source'!B14="","",'Data Source'!AF14)</f>
        <v/>
      </c>
      <c r="O14" s="9">
        <f>IF('Data Source'!B14="","",'Data Source'!AG14)</f>
        <v/>
      </c>
      <c r="P14" s="5">
        <f>IF('Data Source'!B14="","",'Data Source'!R14)</f>
        <v/>
      </c>
      <c r="Q14" s="3">
        <f>IF('Data Source'!B14="","",'Data Source'!S14)</f>
        <v/>
      </c>
    </row>
    <row r="15">
      <c r="A15" s="3">
        <f>IF('Data Source'!B15="","",'Data Source'!A15)</f>
        <v/>
      </c>
      <c r="B15">
        <f>IF('Data Source'!B15="","",'Data Source'!B15)</f>
        <v/>
      </c>
      <c r="C15" s="9">
        <f>IF('Data Source'!B15="","",'Data Source'!U15)</f>
        <v/>
      </c>
      <c r="D15" s="9">
        <f>IF('Data Source'!B15="","",'Data Source'!V15)</f>
        <v/>
      </c>
      <c r="E15" s="9">
        <f>IF('Data Source'!B15="","",'Data Source'!W15)</f>
        <v/>
      </c>
      <c r="F15" s="9">
        <f>IF('Data Source'!B15="","",'Data Source'!X15)</f>
        <v/>
      </c>
      <c r="G15" s="9">
        <f>IF('Data Source'!B15="","",'Data Source'!Y15)</f>
        <v/>
      </c>
      <c r="H15" s="9">
        <f>IF('Data Source'!B15="","",'Data Source'!Z15)</f>
        <v/>
      </c>
      <c r="I15" s="9">
        <f>IF('Data Source'!B15="","",'Data Source'!AA15)</f>
        <v/>
      </c>
      <c r="J15" s="9">
        <f>IF('Data Source'!B15="","",'Data Source'!AB15)</f>
        <v/>
      </c>
      <c r="K15" s="9">
        <f>IF('Data Source'!B15="","",'Data Source'!AC15)</f>
        <v/>
      </c>
      <c r="L15" s="9">
        <f>IF('Data Source'!B15="","",'Data Source'!AD15)</f>
        <v/>
      </c>
      <c r="M15" s="9">
        <f>IF('Data Source'!B15="","",'Data Source'!AE15)</f>
        <v/>
      </c>
      <c r="N15" s="9">
        <f>IF('Data Source'!B15="","",'Data Source'!AF15)</f>
        <v/>
      </c>
      <c r="O15" s="9">
        <f>IF('Data Source'!B15="","",'Data Source'!AG15)</f>
        <v/>
      </c>
      <c r="P15" s="5">
        <f>IF('Data Source'!B15="","",'Data Source'!R15)</f>
        <v/>
      </c>
      <c r="Q15" s="3">
        <f>IF('Data Source'!B15="","",'Data Source'!S15)</f>
        <v/>
      </c>
    </row>
    <row r="16">
      <c r="A16" s="3">
        <f>IF('Data Source'!B16="","",'Data Source'!A16)</f>
        <v/>
      </c>
      <c r="B16">
        <f>IF('Data Source'!B16="","",'Data Source'!B16)</f>
        <v/>
      </c>
      <c r="C16" s="9">
        <f>IF('Data Source'!B16="","",'Data Source'!U16)</f>
        <v/>
      </c>
      <c r="D16" s="9">
        <f>IF('Data Source'!B16="","",'Data Source'!V16)</f>
        <v/>
      </c>
      <c r="E16" s="9">
        <f>IF('Data Source'!B16="","",'Data Source'!W16)</f>
        <v/>
      </c>
      <c r="F16" s="9">
        <f>IF('Data Source'!B16="","",'Data Source'!X16)</f>
        <v/>
      </c>
      <c r="G16" s="9">
        <f>IF('Data Source'!B16="","",'Data Source'!Y16)</f>
        <v/>
      </c>
      <c r="H16" s="9">
        <f>IF('Data Source'!B16="","",'Data Source'!Z16)</f>
        <v/>
      </c>
      <c r="I16" s="9">
        <f>IF('Data Source'!B16="","",'Data Source'!AA16)</f>
        <v/>
      </c>
      <c r="J16" s="9">
        <f>IF('Data Source'!B16="","",'Data Source'!AB16)</f>
        <v/>
      </c>
      <c r="K16" s="9">
        <f>IF('Data Source'!B16="","",'Data Source'!AC16)</f>
        <v/>
      </c>
      <c r="L16" s="9">
        <f>IF('Data Source'!B16="","",'Data Source'!AD16)</f>
        <v/>
      </c>
      <c r="M16" s="9">
        <f>IF('Data Source'!B16="","",'Data Source'!AE16)</f>
        <v/>
      </c>
      <c r="N16" s="9">
        <f>IF('Data Source'!B16="","",'Data Source'!AF16)</f>
        <v/>
      </c>
      <c r="O16" s="9">
        <f>IF('Data Source'!B16="","",'Data Source'!AG16)</f>
        <v/>
      </c>
      <c r="P16" s="5">
        <f>IF('Data Source'!B16="","",'Data Source'!R16)</f>
        <v/>
      </c>
      <c r="Q16" s="3">
        <f>IF('Data Source'!B16="","",'Data Source'!S16)</f>
        <v/>
      </c>
    </row>
    <row r="17">
      <c r="A17" s="3">
        <f>IF('Data Source'!B17="","",'Data Source'!A17)</f>
        <v/>
      </c>
      <c r="B17">
        <f>IF('Data Source'!B17="","",'Data Source'!B17)</f>
        <v/>
      </c>
      <c r="C17" s="9">
        <f>IF('Data Source'!B17="","",'Data Source'!U17)</f>
        <v/>
      </c>
      <c r="D17" s="9">
        <f>IF('Data Source'!B17="","",'Data Source'!V17)</f>
        <v/>
      </c>
      <c r="E17" s="9">
        <f>IF('Data Source'!B17="","",'Data Source'!W17)</f>
        <v/>
      </c>
      <c r="F17" s="9">
        <f>IF('Data Source'!B17="","",'Data Source'!X17)</f>
        <v/>
      </c>
      <c r="G17" s="9">
        <f>IF('Data Source'!B17="","",'Data Source'!Y17)</f>
        <v/>
      </c>
      <c r="H17" s="9">
        <f>IF('Data Source'!B17="","",'Data Source'!Z17)</f>
        <v/>
      </c>
      <c r="I17" s="9">
        <f>IF('Data Source'!B17="","",'Data Source'!AA17)</f>
        <v/>
      </c>
      <c r="J17" s="9">
        <f>IF('Data Source'!B17="","",'Data Source'!AB17)</f>
        <v/>
      </c>
      <c r="K17" s="9">
        <f>IF('Data Source'!B17="","",'Data Source'!AC17)</f>
        <v/>
      </c>
      <c r="L17" s="9">
        <f>IF('Data Source'!B17="","",'Data Source'!AD17)</f>
        <v/>
      </c>
      <c r="M17" s="9">
        <f>IF('Data Source'!B17="","",'Data Source'!AE17)</f>
        <v/>
      </c>
      <c r="N17" s="9">
        <f>IF('Data Source'!B17="","",'Data Source'!AF17)</f>
        <v/>
      </c>
      <c r="O17" s="9">
        <f>IF('Data Source'!B17="","",'Data Source'!AG17)</f>
        <v/>
      </c>
      <c r="P17" s="5">
        <f>IF('Data Source'!B17="","",'Data Source'!R17)</f>
        <v/>
      </c>
      <c r="Q17" s="3">
        <f>IF('Data Source'!B17="","",'Data Source'!S17)</f>
        <v/>
      </c>
    </row>
    <row r="18">
      <c r="A18" s="3">
        <f>IF('Data Source'!B18="","",'Data Source'!A18)</f>
        <v/>
      </c>
      <c r="B18">
        <f>IF('Data Source'!B18="","",'Data Source'!B18)</f>
        <v/>
      </c>
      <c r="C18" s="9">
        <f>IF('Data Source'!B18="","",'Data Source'!U18)</f>
        <v/>
      </c>
      <c r="D18" s="9">
        <f>IF('Data Source'!B18="","",'Data Source'!V18)</f>
        <v/>
      </c>
      <c r="E18" s="9">
        <f>IF('Data Source'!B18="","",'Data Source'!W18)</f>
        <v/>
      </c>
      <c r="F18" s="9">
        <f>IF('Data Source'!B18="","",'Data Source'!X18)</f>
        <v/>
      </c>
      <c r="G18" s="9">
        <f>IF('Data Source'!B18="","",'Data Source'!Y18)</f>
        <v/>
      </c>
      <c r="H18" s="9">
        <f>IF('Data Source'!B18="","",'Data Source'!Z18)</f>
        <v/>
      </c>
      <c r="I18" s="9">
        <f>IF('Data Source'!B18="","",'Data Source'!AA18)</f>
        <v/>
      </c>
      <c r="J18" s="9">
        <f>IF('Data Source'!B18="","",'Data Source'!AB18)</f>
        <v/>
      </c>
      <c r="K18" s="9">
        <f>IF('Data Source'!B18="","",'Data Source'!AC18)</f>
        <v/>
      </c>
      <c r="L18" s="9">
        <f>IF('Data Source'!B18="","",'Data Source'!AD18)</f>
        <v/>
      </c>
      <c r="M18" s="9">
        <f>IF('Data Source'!B18="","",'Data Source'!AE18)</f>
        <v/>
      </c>
      <c r="N18" s="9">
        <f>IF('Data Source'!B18="","",'Data Source'!AF18)</f>
        <v/>
      </c>
      <c r="O18" s="9">
        <f>IF('Data Source'!B18="","",'Data Source'!AG18)</f>
        <v/>
      </c>
      <c r="P18" s="5">
        <f>IF('Data Source'!B18="","",'Data Source'!R18)</f>
        <v/>
      </c>
      <c r="Q18" s="3">
        <f>IF('Data Source'!B18="","",'Data Source'!S18)</f>
        <v/>
      </c>
    </row>
    <row r="19">
      <c r="A19" s="3">
        <f>IF('Data Source'!B19="","",'Data Source'!A19)</f>
        <v/>
      </c>
      <c r="B19">
        <f>IF('Data Source'!B19="","",'Data Source'!B19)</f>
        <v/>
      </c>
      <c r="C19" s="9">
        <f>IF('Data Source'!B19="","",'Data Source'!U19)</f>
        <v/>
      </c>
      <c r="D19" s="9">
        <f>IF('Data Source'!B19="","",'Data Source'!V19)</f>
        <v/>
      </c>
      <c r="E19" s="9">
        <f>IF('Data Source'!B19="","",'Data Source'!W19)</f>
        <v/>
      </c>
      <c r="F19" s="9">
        <f>IF('Data Source'!B19="","",'Data Source'!X19)</f>
        <v/>
      </c>
      <c r="G19" s="9">
        <f>IF('Data Source'!B19="","",'Data Source'!Y19)</f>
        <v/>
      </c>
      <c r="H19" s="9">
        <f>IF('Data Source'!B19="","",'Data Source'!Z19)</f>
        <v/>
      </c>
      <c r="I19" s="9">
        <f>IF('Data Source'!B19="","",'Data Source'!AA19)</f>
        <v/>
      </c>
      <c r="J19" s="9">
        <f>IF('Data Source'!B19="","",'Data Source'!AB19)</f>
        <v/>
      </c>
      <c r="K19" s="9">
        <f>IF('Data Source'!B19="","",'Data Source'!AC19)</f>
        <v/>
      </c>
      <c r="L19" s="9">
        <f>IF('Data Source'!B19="","",'Data Source'!AD19)</f>
        <v/>
      </c>
      <c r="M19" s="9">
        <f>IF('Data Source'!B19="","",'Data Source'!AE19)</f>
        <v/>
      </c>
      <c r="N19" s="9">
        <f>IF('Data Source'!B19="","",'Data Source'!AF19)</f>
        <v/>
      </c>
      <c r="O19" s="9">
        <f>IF('Data Source'!B19="","",'Data Source'!AG19)</f>
        <v/>
      </c>
      <c r="P19" s="5">
        <f>IF('Data Source'!B19="","",'Data Source'!R19)</f>
        <v/>
      </c>
      <c r="Q19" s="3">
        <f>IF('Data Source'!B19="","",'Data Source'!S19)</f>
        <v/>
      </c>
    </row>
    <row r="20">
      <c r="A20" s="3">
        <f>IF('Data Source'!B20="","",'Data Source'!A20)</f>
        <v/>
      </c>
      <c r="B20">
        <f>IF('Data Source'!B20="","",'Data Source'!B20)</f>
        <v/>
      </c>
      <c r="C20" s="9">
        <f>IF('Data Source'!B20="","",'Data Source'!U20)</f>
        <v/>
      </c>
      <c r="D20" s="9">
        <f>IF('Data Source'!B20="","",'Data Source'!V20)</f>
        <v/>
      </c>
      <c r="E20" s="9">
        <f>IF('Data Source'!B20="","",'Data Source'!W20)</f>
        <v/>
      </c>
      <c r="F20" s="9">
        <f>IF('Data Source'!B20="","",'Data Source'!X20)</f>
        <v/>
      </c>
      <c r="G20" s="9">
        <f>IF('Data Source'!B20="","",'Data Source'!Y20)</f>
        <v/>
      </c>
      <c r="H20" s="9">
        <f>IF('Data Source'!B20="","",'Data Source'!Z20)</f>
        <v/>
      </c>
      <c r="I20" s="9">
        <f>IF('Data Source'!B20="","",'Data Source'!AA20)</f>
        <v/>
      </c>
      <c r="J20" s="9">
        <f>IF('Data Source'!B20="","",'Data Source'!AB20)</f>
        <v/>
      </c>
      <c r="K20" s="9">
        <f>IF('Data Source'!B20="","",'Data Source'!AC20)</f>
        <v/>
      </c>
      <c r="L20" s="9">
        <f>IF('Data Source'!B20="","",'Data Source'!AD20)</f>
        <v/>
      </c>
      <c r="M20" s="9">
        <f>IF('Data Source'!B20="","",'Data Source'!AE20)</f>
        <v/>
      </c>
      <c r="N20" s="9">
        <f>IF('Data Source'!B20="","",'Data Source'!AF20)</f>
        <v/>
      </c>
      <c r="O20" s="9">
        <f>IF('Data Source'!B20="","",'Data Source'!AG20)</f>
        <v/>
      </c>
      <c r="P20" s="5">
        <f>IF('Data Source'!B20="","",'Data Source'!R20)</f>
        <v/>
      </c>
      <c r="Q20" s="3">
        <f>IF('Data Source'!B20="","",'Data Source'!S20)</f>
        <v/>
      </c>
    </row>
    <row r="21">
      <c r="A21" s="3">
        <f>IF('Data Source'!B21="","",'Data Source'!A21)</f>
        <v/>
      </c>
      <c r="B21">
        <f>IF('Data Source'!B21="","",'Data Source'!B21)</f>
        <v/>
      </c>
      <c r="C21" s="9">
        <f>IF('Data Source'!B21="","",'Data Source'!U21)</f>
        <v/>
      </c>
      <c r="D21" s="9">
        <f>IF('Data Source'!B21="","",'Data Source'!V21)</f>
        <v/>
      </c>
      <c r="E21" s="9">
        <f>IF('Data Source'!B21="","",'Data Source'!W21)</f>
        <v/>
      </c>
      <c r="F21" s="9">
        <f>IF('Data Source'!B21="","",'Data Source'!X21)</f>
        <v/>
      </c>
      <c r="G21" s="9">
        <f>IF('Data Source'!B21="","",'Data Source'!Y21)</f>
        <v/>
      </c>
      <c r="H21" s="9">
        <f>IF('Data Source'!B21="","",'Data Source'!Z21)</f>
        <v/>
      </c>
      <c r="I21" s="9">
        <f>IF('Data Source'!B21="","",'Data Source'!AA21)</f>
        <v/>
      </c>
      <c r="J21" s="9">
        <f>IF('Data Source'!B21="","",'Data Source'!AB21)</f>
        <v/>
      </c>
      <c r="K21" s="9">
        <f>IF('Data Source'!B21="","",'Data Source'!AC21)</f>
        <v/>
      </c>
      <c r="L21" s="9">
        <f>IF('Data Source'!B21="","",'Data Source'!AD21)</f>
        <v/>
      </c>
      <c r="M21" s="9">
        <f>IF('Data Source'!B21="","",'Data Source'!AE21)</f>
        <v/>
      </c>
      <c r="N21" s="9">
        <f>IF('Data Source'!B21="","",'Data Source'!AF21)</f>
        <v/>
      </c>
      <c r="O21" s="9">
        <f>IF('Data Source'!B21="","",'Data Source'!AG21)</f>
        <v/>
      </c>
      <c r="P21" s="5">
        <f>IF('Data Source'!B21="","",'Data Source'!R21)</f>
        <v/>
      </c>
      <c r="Q21" s="3">
        <f>IF('Data Source'!B21="","",'Data Source'!S21)</f>
        <v/>
      </c>
    </row>
    <row r="22">
      <c r="A22" s="3">
        <f>IF('Data Source'!B22="","",'Data Source'!A22)</f>
        <v/>
      </c>
      <c r="B22">
        <f>IF('Data Source'!B22="","",'Data Source'!B22)</f>
        <v/>
      </c>
      <c r="C22" s="9">
        <f>IF('Data Source'!B22="","",'Data Source'!U22)</f>
        <v/>
      </c>
      <c r="D22" s="9">
        <f>IF('Data Source'!B22="","",'Data Source'!V22)</f>
        <v/>
      </c>
      <c r="E22" s="9">
        <f>IF('Data Source'!B22="","",'Data Source'!W22)</f>
        <v/>
      </c>
      <c r="F22" s="9">
        <f>IF('Data Source'!B22="","",'Data Source'!X22)</f>
        <v/>
      </c>
      <c r="G22" s="9">
        <f>IF('Data Source'!B22="","",'Data Source'!Y22)</f>
        <v/>
      </c>
      <c r="H22" s="9">
        <f>IF('Data Source'!B22="","",'Data Source'!Z22)</f>
        <v/>
      </c>
      <c r="I22" s="9">
        <f>IF('Data Source'!B22="","",'Data Source'!AA22)</f>
        <v/>
      </c>
      <c r="J22" s="9">
        <f>IF('Data Source'!B22="","",'Data Source'!AB22)</f>
        <v/>
      </c>
      <c r="K22" s="9">
        <f>IF('Data Source'!B22="","",'Data Source'!AC22)</f>
        <v/>
      </c>
      <c r="L22" s="9">
        <f>IF('Data Source'!B22="","",'Data Source'!AD22)</f>
        <v/>
      </c>
      <c r="M22" s="9">
        <f>IF('Data Source'!B22="","",'Data Source'!AE22)</f>
        <v/>
      </c>
      <c r="N22" s="9">
        <f>IF('Data Source'!B22="","",'Data Source'!AF22)</f>
        <v/>
      </c>
      <c r="O22" s="9">
        <f>IF('Data Source'!B22="","",'Data Source'!AG22)</f>
        <v/>
      </c>
      <c r="P22" s="5">
        <f>IF('Data Source'!B22="","",'Data Source'!R22)</f>
        <v/>
      </c>
      <c r="Q22" s="3">
        <f>IF('Data Source'!B22="","",'Data Source'!S22)</f>
        <v/>
      </c>
    </row>
    <row r="23">
      <c r="A23" s="3">
        <f>IF('Data Source'!B23="","",'Data Source'!A23)</f>
        <v/>
      </c>
      <c r="B23">
        <f>IF('Data Source'!B23="","",'Data Source'!B23)</f>
        <v/>
      </c>
      <c r="C23" s="9">
        <f>IF('Data Source'!B23="","",'Data Source'!U23)</f>
        <v/>
      </c>
      <c r="D23" s="9">
        <f>IF('Data Source'!B23="","",'Data Source'!V23)</f>
        <v/>
      </c>
      <c r="E23" s="9">
        <f>IF('Data Source'!B23="","",'Data Source'!W23)</f>
        <v/>
      </c>
      <c r="F23" s="9">
        <f>IF('Data Source'!B23="","",'Data Source'!X23)</f>
        <v/>
      </c>
      <c r="G23" s="9">
        <f>IF('Data Source'!B23="","",'Data Source'!Y23)</f>
        <v/>
      </c>
      <c r="H23" s="9">
        <f>IF('Data Source'!B23="","",'Data Source'!Z23)</f>
        <v/>
      </c>
      <c r="I23" s="9">
        <f>IF('Data Source'!B23="","",'Data Source'!AA23)</f>
        <v/>
      </c>
      <c r="J23" s="9">
        <f>IF('Data Source'!B23="","",'Data Source'!AB23)</f>
        <v/>
      </c>
      <c r="K23" s="9">
        <f>IF('Data Source'!B23="","",'Data Source'!AC23)</f>
        <v/>
      </c>
      <c r="L23" s="9">
        <f>IF('Data Source'!B23="","",'Data Source'!AD23)</f>
        <v/>
      </c>
      <c r="M23" s="9">
        <f>IF('Data Source'!B23="","",'Data Source'!AE23)</f>
        <v/>
      </c>
      <c r="N23" s="9">
        <f>IF('Data Source'!B23="","",'Data Source'!AF23)</f>
        <v/>
      </c>
      <c r="O23" s="9">
        <f>IF('Data Source'!B23="","",'Data Source'!AG23)</f>
        <v/>
      </c>
      <c r="P23" s="5">
        <f>IF('Data Source'!B23="","",'Data Source'!R23)</f>
        <v/>
      </c>
      <c r="Q23" s="3">
        <f>IF('Data Source'!B23="","",'Data Source'!S23)</f>
        <v/>
      </c>
    </row>
    <row r="24">
      <c r="A24" s="3">
        <f>IF('Data Source'!B24="","",'Data Source'!A24)</f>
        <v/>
      </c>
      <c r="B24">
        <f>IF('Data Source'!B24="","",'Data Source'!B24)</f>
        <v/>
      </c>
      <c r="C24" s="9">
        <f>IF('Data Source'!B24="","",'Data Source'!U24)</f>
        <v/>
      </c>
      <c r="D24" s="9">
        <f>IF('Data Source'!B24="","",'Data Source'!V24)</f>
        <v/>
      </c>
      <c r="E24" s="9">
        <f>IF('Data Source'!B24="","",'Data Source'!W24)</f>
        <v/>
      </c>
      <c r="F24" s="9">
        <f>IF('Data Source'!B24="","",'Data Source'!X24)</f>
        <v/>
      </c>
      <c r="G24" s="9">
        <f>IF('Data Source'!B24="","",'Data Source'!Y24)</f>
        <v/>
      </c>
      <c r="H24" s="9">
        <f>IF('Data Source'!B24="","",'Data Source'!Z24)</f>
        <v/>
      </c>
      <c r="I24" s="9">
        <f>IF('Data Source'!B24="","",'Data Source'!AA24)</f>
        <v/>
      </c>
      <c r="J24" s="9">
        <f>IF('Data Source'!B24="","",'Data Source'!AB24)</f>
        <v/>
      </c>
      <c r="K24" s="9">
        <f>IF('Data Source'!B24="","",'Data Source'!AC24)</f>
        <v/>
      </c>
      <c r="L24" s="9">
        <f>IF('Data Source'!B24="","",'Data Source'!AD24)</f>
        <v/>
      </c>
      <c r="M24" s="9">
        <f>IF('Data Source'!B24="","",'Data Source'!AE24)</f>
        <v/>
      </c>
      <c r="N24" s="9">
        <f>IF('Data Source'!B24="","",'Data Source'!AF24)</f>
        <v/>
      </c>
      <c r="O24" s="9">
        <f>IF('Data Source'!B24="","",'Data Source'!AG24)</f>
        <v/>
      </c>
      <c r="P24" s="5">
        <f>IF('Data Source'!B24="","",'Data Source'!R24)</f>
        <v/>
      </c>
      <c r="Q24" s="3">
        <f>IF('Data Source'!B24="","",'Data Source'!S24)</f>
        <v/>
      </c>
    </row>
    <row r="25">
      <c r="A25" s="3">
        <f>IF('Data Source'!B25="","",'Data Source'!A25)</f>
        <v/>
      </c>
      <c r="B25">
        <f>IF('Data Source'!B25="","",'Data Source'!B25)</f>
        <v/>
      </c>
      <c r="C25" s="9">
        <f>IF('Data Source'!B25="","",'Data Source'!U25)</f>
        <v/>
      </c>
      <c r="D25" s="9">
        <f>IF('Data Source'!B25="","",'Data Source'!V25)</f>
        <v/>
      </c>
      <c r="E25" s="9">
        <f>IF('Data Source'!B25="","",'Data Source'!W25)</f>
        <v/>
      </c>
      <c r="F25" s="9">
        <f>IF('Data Source'!B25="","",'Data Source'!X25)</f>
        <v/>
      </c>
      <c r="G25" s="9">
        <f>IF('Data Source'!B25="","",'Data Source'!Y25)</f>
        <v/>
      </c>
      <c r="H25" s="9">
        <f>IF('Data Source'!B25="","",'Data Source'!Z25)</f>
        <v/>
      </c>
      <c r="I25" s="9">
        <f>IF('Data Source'!B25="","",'Data Source'!AA25)</f>
        <v/>
      </c>
      <c r="J25" s="9">
        <f>IF('Data Source'!B25="","",'Data Source'!AB25)</f>
        <v/>
      </c>
      <c r="K25" s="9">
        <f>IF('Data Source'!B25="","",'Data Source'!AC25)</f>
        <v/>
      </c>
      <c r="L25" s="9">
        <f>IF('Data Source'!B25="","",'Data Source'!AD25)</f>
        <v/>
      </c>
      <c r="M25" s="9">
        <f>IF('Data Source'!B25="","",'Data Source'!AE25)</f>
        <v/>
      </c>
      <c r="N25" s="9">
        <f>IF('Data Source'!B25="","",'Data Source'!AF25)</f>
        <v/>
      </c>
      <c r="O25" s="9">
        <f>IF('Data Source'!B25="","",'Data Source'!AG25)</f>
        <v/>
      </c>
      <c r="P25" s="5">
        <f>IF('Data Source'!B25="","",'Data Source'!R25)</f>
        <v/>
      </c>
      <c r="Q25" s="3">
        <f>IF('Data Source'!B25="","",'Data Source'!S25)</f>
        <v/>
      </c>
    </row>
    <row r="26">
      <c r="A26" s="3">
        <f>IF('Data Source'!B26="","",'Data Source'!A26)</f>
        <v/>
      </c>
      <c r="B26">
        <f>IF('Data Source'!B26="","",'Data Source'!B26)</f>
        <v/>
      </c>
      <c r="C26" s="9">
        <f>IF('Data Source'!B26="","",'Data Source'!U26)</f>
        <v/>
      </c>
      <c r="D26" s="9">
        <f>IF('Data Source'!B26="","",'Data Source'!V26)</f>
        <v/>
      </c>
      <c r="E26" s="9">
        <f>IF('Data Source'!B26="","",'Data Source'!W26)</f>
        <v/>
      </c>
      <c r="F26" s="9">
        <f>IF('Data Source'!B26="","",'Data Source'!X26)</f>
        <v/>
      </c>
      <c r="G26" s="9">
        <f>IF('Data Source'!B26="","",'Data Source'!Y26)</f>
        <v/>
      </c>
      <c r="H26" s="9">
        <f>IF('Data Source'!B26="","",'Data Source'!Z26)</f>
        <v/>
      </c>
      <c r="I26" s="9">
        <f>IF('Data Source'!B26="","",'Data Source'!AA26)</f>
        <v/>
      </c>
      <c r="J26" s="9">
        <f>IF('Data Source'!B26="","",'Data Source'!AB26)</f>
        <v/>
      </c>
      <c r="K26" s="9">
        <f>IF('Data Source'!B26="","",'Data Source'!AC26)</f>
        <v/>
      </c>
      <c r="L26" s="9">
        <f>IF('Data Source'!B26="","",'Data Source'!AD26)</f>
        <v/>
      </c>
      <c r="M26" s="9">
        <f>IF('Data Source'!B26="","",'Data Source'!AE26)</f>
        <v/>
      </c>
      <c r="N26" s="9">
        <f>IF('Data Source'!B26="","",'Data Source'!AF26)</f>
        <v/>
      </c>
      <c r="O26" s="9">
        <f>IF('Data Source'!B26="","",'Data Source'!AG26)</f>
        <v/>
      </c>
      <c r="P26" s="5">
        <f>IF('Data Source'!B26="","",'Data Source'!R26)</f>
        <v/>
      </c>
      <c r="Q26" s="3">
        <f>IF('Data Source'!B26="","",'Data Source'!S26)</f>
        <v/>
      </c>
    </row>
    <row r="27">
      <c r="A27" s="3">
        <f>IF('Data Source'!B27="","",'Data Source'!A27)</f>
        <v/>
      </c>
      <c r="B27">
        <f>IF('Data Source'!B27="","",'Data Source'!B27)</f>
        <v/>
      </c>
      <c r="C27" s="9">
        <f>IF('Data Source'!B27="","",'Data Source'!U27)</f>
        <v/>
      </c>
      <c r="D27" s="9">
        <f>IF('Data Source'!B27="","",'Data Source'!V27)</f>
        <v/>
      </c>
      <c r="E27" s="9">
        <f>IF('Data Source'!B27="","",'Data Source'!W27)</f>
        <v/>
      </c>
      <c r="F27" s="9">
        <f>IF('Data Source'!B27="","",'Data Source'!X27)</f>
        <v/>
      </c>
      <c r="G27" s="9">
        <f>IF('Data Source'!B27="","",'Data Source'!Y27)</f>
        <v/>
      </c>
      <c r="H27" s="9">
        <f>IF('Data Source'!B27="","",'Data Source'!Z27)</f>
        <v/>
      </c>
      <c r="I27" s="9">
        <f>IF('Data Source'!B27="","",'Data Source'!AA27)</f>
        <v/>
      </c>
      <c r="J27" s="9">
        <f>IF('Data Source'!B27="","",'Data Source'!AB27)</f>
        <v/>
      </c>
      <c r="K27" s="9">
        <f>IF('Data Source'!B27="","",'Data Source'!AC27)</f>
        <v/>
      </c>
      <c r="L27" s="9">
        <f>IF('Data Source'!B27="","",'Data Source'!AD27)</f>
        <v/>
      </c>
      <c r="M27" s="9">
        <f>IF('Data Source'!B27="","",'Data Source'!AE27)</f>
        <v/>
      </c>
      <c r="N27" s="9">
        <f>IF('Data Source'!B27="","",'Data Source'!AF27)</f>
        <v/>
      </c>
      <c r="O27" s="9">
        <f>IF('Data Source'!B27="","",'Data Source'!AG27)</f>
        <v/>
      </c>
      <c r="P27" s="5">
        <f>IF('Data Source'!B27="","",'Data Source'!R27)</f>
        <v/>
      </c>
      <c r="Q27" s="3">
        <f>IF('Data Source'!B27="","",'Data Source'!S27)</f>
        <v/>
      </c>
    </row>
    <row r="28">
      <c r="A28" s="3">
        <f>IF('Data Source'!B28="","",'Data Source'!A28)</f>
        <v/>
      </c>
      <c r="B28">
        <f>IF('Data Source'!B28="","",'Data Source'!B28)</f>
        <v/>
      </c>
      <c r="C28" s="9">
        <f>IF('Data Source'!B28="","",'Data Source'!U28)</f>
        <v/>
      </c>
      <c r="D28" s="9">
        <f>IF('Data Source'!B28="","",'Data Source'!V28)</f>
        <v/>
      </c>
      <c r="E28" s="9">
        <f>IF('Data Source'!B28="","",'Data Source'!W28)</f>
        <v/>
      </c>
      <c r="F28" s="9">
        <f>IF('Data Source'!B28="","",'Data Source'!X28)</f>
        <v/>
      </c>
      <c r="G28" s="9">
        <f>IF('Data Source'!B28="","",'Data Source'!Y28)</f>
        <v/>
      </c>
      <c r="H28" s="9">
        <f>IF('Data Source'!B28="","",'Data Source'!Z28)</f>
        <v/>
      </c>
      <c r="I28" s="9">
        <f>IF('Data Source'!B28="","",'Data Source'!AA28)</f>
        <v/>
      </c>
      <c r="J28" s="9">
        <f>IF('Data Source'!B28="","",'Data Source'!AB28)</f>
        <v/>
      </c>
      <c r="K28" s="9">
        <f>IF('Data Source'!B28="","",'Data Source'!AC28)</f>
        <v/>
      </c>
      <c r="L28" s="9">
        <f>IF('Data Source'!B28="","",'Data Source'!AD28)</f>
        <v/>
      </c>
      <c r="M28" s="9">
        <f>IF('Data Source'!B28="","",'Data Source'!AE28)</f>
        <v/>
      </c>
      <c r="N28" s="9">
        <f>IF('Data Source'!B28="","",'Data Source'!AF28)</f>
        <v/>
      </c>
      <c r="O28" s="9">
        <f>IF('Data Source'!B28="","",'Data Source'!AG28)</f>
        <v/>
      </c>
      <c r="P28" s="5">
        <f>IF('Data Source'!B28="","",'Data Source'!R28)</f>
        <v/>
      </c>
      <c r="Q28" s="3">
        <f>IF('Data Source'!B28="","",'Data Source'!S28)</f>
        <v/>
      </c>
    </row>
    <row r="29">
      <c r="A29" s="3">
        <f>IF('Data Source'!B29="","",'Data Source'!A29)</f>
        <v/>
      </c>
      <c r="B29">
        <f>IF('Data Source'!B29="","",'Data Source'!B29)</f>
        <v/>
      </c>
      <c r="C29" s="9">
        <f>IF('Data Source'!B29="","",'Data Source'!U29)</f>
        <v/>
      </c>
      <c r="D29" s="9">
        <f>IF('Data Source'!B29="","",'Data Source'!V29)</f>
        <v/>
      </c>
      <c r="E29" s="9">
        <f>IF('Data Source'!B29="","",'Data Source'!W29)</f>
        <v/>
      </c>
      <c r="F29" s="9">
        <f>IF('Data Source'!B29="","",'Data Source'!X29)</f>
        <v/>
      </c>
      <c r="G29" s="9">
        <f>IF('Data Source'!B29="","",'Data Source'!Y29)</f>
        <v/>
      </c>
      <c r="H29" s="9">
        <f>IF('Data Source'!B29="","",'Data Source'!Z29)</f>
        <v/>
      </c>
      <c r="I29" s="9">
        <f>IF('Data Source'!B29="","",'Data Source'!AA29)</f>
        <v/>
      </c>
      <c r="J29" s="9">
        <f>IF('Data Source'!B29="","",'Data Source'!AB29)</f>
        <v/>
      </c>
      <c r="K29" s="9">
        <f>IF('Data Source'!B29="","",'Data Source'!AC29)</f>
        <v/>
      </c>
      <c r="L29" s="9">
        <f>IF('Data Source'!B29="","",'Data Source'!AD29)</f>
        <v/>
      </c>
      <c r="M29" s="9">
        <f>IF('Data Source'!B29="","",'Data Source'!AE29)</f>
        <v/>
      </c>
      <c r="N29" s="9">
        <f>IF('Data Source'!B29="","",'Data Source'!AF29)</f>
        <v/>
      </c>
      <c r="O29" s="9">
        <f>IF('Data Source'!B29="","",'Data Source'!AG29)</f>
        <v/>
      </c>
      <c r="P29" s="5">
        <f>IF('Data Source'!B29="","",'Data Source'!R29)</f>
        <v/>
      </c>
      <c r="Q29" s="3">
        <f>IF('Data Source'!B29="","",'Data Source'!S29)</f>
        <v/>
      </c>
    </row>
    <row r="30">
      <c r="A30" s="3">
        <f>IF('Data Source'!B30="","",'Data Source'!A30)</f>
        <v/>
      </c>
      <c r="B30">
        <f>IF('Data Source'!B30="","",'Data Source'!B30)</f>
        <v/>
      </c>
      <c r="C30" s="9">
        <f>IF('Data Source'!B30="","",'Data Source'!U30)</f>
        <v/>
      </c>
      <c r="D30" s="9">
        <f>IF('Data Source'!B30="","",'Data Source'!V30)</f>
        <v/>
      </c>
      <c r="E30" s="9">
        <f>IF('Data Source'!B30="","",'Data Source'!W30)</f>
        <v/>
      </c>
      <c r="F30" s="9">
        <f>IF('Data Source'!B30="","",'Data Source'!X30)</f>
        <v/>
      </c>
      <c r="G30" s="9">
        <f>IF('Data Source'!B30="","",'Data Source'!Y30)</f>
        <v/>
      </c>
      <c r="H30" s="9">
        <f>IF('Data Source'!B30="","",'Data Source'!Z30)</f>
        <v/>
      </c>
      <c r="I30" s="9">
        <f>IF('Data Source'!B30="","",'Data Source'!AA30)</f>
        <v/>
      </c>
      <c r="J30" s="9">
        <f>IF('Data Source'!B30="","",'Data Source'!AB30)</f>
        <v/>
      </c>
      <c r="K30" s="9">
        <f>IF('Data Source'!B30="","",'Data Source'!AC30)</f>
        <v/>
      </c>
      <c r="L30" s="9">
        <f>IF('Data Source'!B30="","",'Data Source'!AD30)</f>
        <v/>
      </c>
      <c r="M30" s="9">
        <f>IF('Data Source'!B30="","",'Data Source'!AE30)</f>
        <v/>
      </c>
      <c r="N30" s="9">
        <f>IF('Data Source'!B30="","",'Data Source'!AF30)</f>
        <v/>
      </c>
      <c r="O30" s="9">
        <f>IF('Data Source'!B30="","",'Data Source'!AG30)</f>
        <v/>
      </c>
      <c r="P30" s="5">
        <f>IF('Data Source'!B30="","",'Data Source'!R30)</f>
        <v/>
      </c>
      <c r="Q30" s="3">
        <f>IF('Data Source'!B30="","",'Data Source'!S30)</f>
        <v/>
      </c>
    </row>
    <row r="31">
      <c r="A31" s="3">
        <f>IF('Data Source'!B31="","",'Data Source'!A31)</f>
        <v/>
      </c>
      <c r="B31">
        <f>IF('Data Source'!B31="","",'Data Source'!B31)</f>
        <v/>
      </c>
      <c r="C31" s="9">
        <f>IF('Data Source'!B31="","",'Data Source'!U31)</f>
        <v/>
      </c>
      <c r="D31" s="9">
        <f>IF('Data Source'!B31="","",'Data Source'!V31)</f>
        <v/>
      </c>
      <c r="E31" s="9">
        <f>IF('Data Source'!B31="","",'Data Source'!W31)</f>
        <v/>
      </c>
      <c r="F31" s="9">
        <f>IF('Data Source'!B31="","",'Data Source'!X31)</f>
        <v/>
      </c>
      <c r="G31" s="9">
        <f>IF('Data Source'!B31="","",'Data Source'!Y31)</f>
        <v/>
      </c>
      <c r="H31" s="9">
        <f>IF('Data Source'!B31="","",'Data Source'!Z31)</f>
        <v/>
      </c>
      <c r="I31" s="9">
        <f>IF('Data Source'!B31="","",'Data Source'!AA31)</f>
        <v/>
      </c>
      <c r="J31" s="9">
        <f>IF('Data Source'!B31="","",'Data Source'!AB31)</f>
        <v/>
      </c>
      <c r="K31" s="9">
        <f>IF('Data Source'!B31="","",'Data Source'!AC31)</f>
        <v/>
      </c>
      <c r="L31" s="9">
        <f>IF('Data Source'!B31="","",'Data Source'!AD31)</f>
        <v/>
      </c>
      <c r="M31" s="9">
        <f>IF('Data Source'!B31="","",'Data Source'!AE31)</f>
        <v/>
      </c>
      <c r="N31" s="9">
        <f>IF('Data Source'!B31="","",'Data Source'!AF31)</f>
        <v/>
      </c>
      <c r="O31" s="9">
        <f>IF('Data Source'!B31="","",'Data Source'!AG31)</f>
        <v/>
      </c>
      <c r="P31" s="5">
        <f>IF('Data Source'!B31="","",'Data Source'!R31)</f>
        <v/>
      </c>
      <c r="Q31" s="3">
        <f>IF('Data Source'!B31="","",'Data Source'!S31)</f>
        <v/>
      </c>
    </row>
    <row r="32">
      <c r="A32" s="3">
        <f>IF('Data Source'!B32="","",'Data Source'!A32)</f>
        <v/>
      </c>
      <c r="B32">
        <f>IF('Data Source'!B32="","",'Data Source'!B32)</f>
        <v/>
      </c>
      <c r="C32" s="9">
        <f>IF('Data Source'!B32="","",'Data Source'!U32)</f>
        <v/>
      </c>
      <c r="D32" s="9">
        <f>IF('Data Source'!B32="","",'Data Source'!V32)</f>
        <v/>
      </c>
      <c r="E32" s="9">
        <f>IF('Data Source'!B32="","",'Data Source'!W32)</f>
        <v/>
      </c>
      <c r="F32" s="9">
        <f>IF('Data Source'!B32="","",'Data Source'!X32)</f>
        <v/>
      </c>
      <c r="G32" s="9">
        <f>IF('Data Source'!B32="","",'Data Source'!Y32)</f>
        <v/>
      </c>
      <c r="H32" s="9">
        <f>IF('Data Source'!B32="","",'Data Source'!Z32)</f>
        <v/>
      </c>
      <c r="I32" s="9">
        <f>IF('Data Source'!B32="","",'Data Source'!AA32)</f>
        <v/>
      </c>
      <c r="J32" s="9">
        <f>IF('Data Source'!B32="","",'Data Source'!AB32)</f>
        <v/>
      </c>
      <c r="K32" s="9">
        <f>IF('Data Source'!B32="","",'Data Source'!AC32)</f>
        <v/>
      </c>
      <c r="L32" s="9">
        <f>IF('Data Source'!B32="","",'Data Source'!AD32)</f>
        <v/>
      </c>
      <c r="M32" s="9">
        <f>IF('Data Source'!B32="","",'Data Source'!AE32)</f>
        <v/>
      </c>
      <c r="N32" s="9">
        <f>IF('Data Source'!B32="","",'Data Source'!AF32)</f>
        <v/>
      </c>
      <c r="O32" s="9">
        <f>IF('Data Source'!B32="","",'Data Source'!AG32)</f>
        <v/>
      </c>
      <c r="P32" s="5">
        <f>IF('Data Source'!B32="","",'Data Source'!R32)</f>
        <v/>
      </c>
      <c r="Q32" s="3">
        <f>IF('Data Source'!B32="","",'Data Source'!S32)</f>
        <v/>
      </c>
    </row>
    <row r="33">
      <c r="A33" s="3">
        <f>IF('Data Source'!B33="","",'Data Source'!A33)</f>
        <v/>
      </c>
      <c r="B33">
        <f>IF('Data Source'!B33="","",'Data Source'!B33)</f>
        <v/>
      </c>
      <c r="C33" s="9">
        <f>IF('Data Source'!B33="","",'Data Source'!U33)</f>
        <v/>
      </c>
      <c r="D33" s="9">
        <f>IF('Data Source'!B33="","",'Data Source'!V33)</f>
        <v/>
      </c>
      <c r="E33" s="9">
        <f>IF('Data Source'!B33="","",'Data Source'!W33)</f>
        <v/>
      </c>
      <c r="F33" s="9">
        <f>IF('Data Source'!B33="","",'Data Source'!X33)</f>
        <v/>
      </c>
      <c r="G33" s="9">
        <f>IF('Data Source'!B33="","",'Data Source'!Y33)</f>
        <v/>
      </c>
      <c r="H33" s="9">
        <f>IF('Data Source'!B33="","",'Data Source'!Z33)</f>
        <v/>
      </c>
      <c r="I33" s="9">
        <f>IF('Data Source'!B33="","",'Data Source'!AA33)</f>
        <v/>
      </c>
      <c r="J33" s="9">
        <f>IF('Data Source'!B33="","",'Data Source'!AB33)</f>
        <v/>
      </c>
      <c r="K33" s="9">
        <f>IF('Data Source'!B33="","",'Data Source'!AC33)</f>
        <v/>
      </c>
      <c r="L33" s="9">
        <f>IF('Data Source'!B33="","",'Data Source'!AD33)</f>
        <v/>
      </c>
      <c r="M33" s="9">
        <f>IF('Data Source'!B33="","",'Data Source'!AE33)</f>
        <v/>
      </c>
      <c r="N33" s="9">
        <f>IF('Data Source'!B33="","",'Data Source'!AF33)</f>
        <v/>
      </c>
      <c r="O33" s="9">
        <f>IF('Data Source'!B33="","",'Data Source'!AG33)</f>
        <v/>
      </c>
      <c r="P33" s="5">
        <f>IF('Data Source'!B33="","",'Data Source'!R33)</f>
        <v/>
      </c>
      <c r="Q33" s="3">
        <f>IF('Data Source'!B33="","",'Data Source'!S33)</f>
        <v/>
      </c>
    </row>
    <row r="34">
      <c r="A34" s="3">
        <f>IF('Data Source'!B34="","",'Data Source'!A34)</f>
        <v/>
      </c>
      <c r="B34">
        <f>IF('Data Source'!B34="","",'Data Source'!B34)</f>
        <v/>
      </c>
      <c r="C34" s="9">
        <f>IF('Data Source'!B34="","",'Data Source'!U34)</f>
        <v/>
      </c>
      <c r="D34" s="9">
        <f>IF('Data Source'!B34="","",'Data Source'!V34)</f>
        <v/>
      </c>
      <c r="E34" s="9">
        <f>IF('Data Source'!B34="","",'Data Source'!W34)</f>
        <v/>
      </c>
      <c r="F34" s="9">
        <f>IF('Data Source'!B34="","",'Data Source'!X34)</f>
        <v/>
      </c>
      <c r="G34" s="9">
        <f>IF('Data Source'!B34="","",'Data Source'!Y34)</f>
        <v/>
      </c>
      <c r="H34" s="9">
        <f>IF('Data Source'!B34="","",'Data Source'!Z34)</f>
        <v/>
      </c>
      <c r="I34" s="9">
        <f>IF('Data Source'!B34="","",'Data Source'!AA34)</f>
        <v/>
      </c>
      <c r="J34" s="9">
        <f>IF('Data Source'!B34="","",'Data Source'!AB34)</f>
        <v/>
      </c>
      <c r="K34" s="9">
        <f>IF('Data Source'!B34="","",'Data Source'!AC34)</f>
        <v/>
      </c>
      <c r="L34" s="9">
        <f>IF('Data Source'!B34="","",'Data Source'!AD34)</f>
        <v/>
      </c>
      <c r="M34" s="9">
        <f>IF('Data Source'!B34="","",'Data Source'!AE34)</f>
        <v/>
      </c>
      <c r="N34" s="9">
        <f>IF('Data Source'!B34="","",'Data Source'!AF34)</f>
        <v/>
      </c>
      <c r="O34" s="9">
        <f>IF('Data Source'!B34="","",'Data Source'!AG34)</f>
        <v/>
      </c>
      <c r="P34" s="5">
        <f>IF('Data Source'!B34="","",'Data Source'!R34)</f>
        <v/>
      </c>
      <c r="Q34" s="3">
        <f>IF('Data Source'!B34="","",'Data Source'!S34)</f>
        <v/>
      </c>
    </row>
    <row r="35">
      <c r="A35" s="3">
        <f>IF('Data Source'!B35="","",'Data Source'!A35)</f>
        <v/>
      </c>
      <c r="B35">
        <f>IF('Data Source'!B35="","",'Data Source'!B35)</f>
        <v/>
      </c>
      <c r="C35" s="9">
        <f>IF('Data Source'!B35="","",'Data Source'!U35)</f>
        <v/>
      </c>
      <c r="D35" s="9">
        <f>IF('Data Source'!B35="","",'Data Source'!V35)</f>
        <v/>
      </c>
      <c r="E35" s="9">
        <f>IF('Data Source'!B35="","",'Data Source'!W35)</f>
        <v/>
      </c>
      <c r="F35" s="9">
        <f>IF('Data Source'!B35="","",'Data Source'!X35)</f>
        <v/>
      </c>
      <c r="G35" s="9">
        <f>IF('Data Source'!B35="","",'Data Source'!Y35)</f>
        <v/>
      </c>
      <c r="H35" s="9">
        <f>IF('Data Source'!B35="","",'Data Source'!Z35)</f>
        <v/>
      </c>
      <c r="I35" s="9">
        <f>IF('Data Source'!B35="","",'Data Source'!AA35)</f>
        <v/>
      </c>
      <c r="J35" s="9">
        <f>IF('Data Source'!B35="","",'Data Source'!AB35)</f>
        <v/>
      </c>
      <c r="K35" s="9">
        <f>IF('Data Source'!B35="","",'Data Source'!AC35)</f>
        <v/>
      </c>
      <c r="L35" s="9">
        <f>IF('Data Source'!B35="","",'Data Source'!AD35)</f>
        <v/>
      </c>
      <c r="M35" s="9">
        <f>IF('Data Source'!B35="","",'Data Source'!AE35)</f>
        <v/>
      </c>
      <c r="N35" s="9">
        <f>IF('Data Source'!B35="","",'Data Source'!AF35)</f>
        <v/>
      </c>
      <c r="O35" s="9">
        <f>IF('Data Source'!B35="","",'Data Source'!AG35)</f>
        <v/>
      </c>
      <c r="P35" s="5">
        <f>IF('Data Source'!B35="","",'Data Source'!R35)</f>
        <v/>
      </c>
      <c r="Q35" s="3">
        <f>IF('Data Source'!B35="","",'Data Source'!S35)</f>
        <v/>
      </c>
    </row>
    <row r="36">
      <c r="A36" s="3">
        <f>IF('Data Source'!B36="","",'Data Source'!A36)</f>
        <v/>
      </c>
      <c r="B36">
        <f>IF('Data Source'!B36="","",'Data Source'!B36)</f>
        <v/>
      </c>
      <c r="C36" s="9">
        <f>IF('Data Source'!B36="","",'Data Source'!U36)</f>
        <v/>
      </c>
      <c r="D36" s="9">
        <f>IF('Data Source'!B36="","",'Data Source'!V36)</f>
        <v/>
      </c>
      <c r="E36" s="9">
        <f>IF('Data Source'!B36="","",'Data Source'!W36)</f>
        <v/>
      </c>
      <c r="F36" s="9">
        <f>IF('Data Source'!B36="","",'Data Source'!X36)</f>
        <v/>
      </c>
      <c r="G36" s="9">
        <f>IF('Data Source'!B36="","",'Data Source'!Y36)</f>
        <v/>
      </c>
      <c r="H36" s="9">
        <f>IF('Data Source'!B36="","",'Data Source'!Z36)</f>
        <v/>
      </c>
      <c r="I36" s="9">
        <f>IF('Data Source'!B36="","",'Data Source'!AA36)</f>
        <v/>
      </c>
      <c r="J36" s="9">
        <f>IF('Data Source'!B36="","",'Data Source'!AB36)</f>
        <v/>
      </c>
      <c r="K36" s="9">
        <f>IF('Data Source'!B36="","",'Data Source'!AC36)</f>
        <v/>
      </c>
      <c r="L36" s="9">
        <f>IF('Data Source'!B36="","",'Data Source'!AD36)</f>
        <v/>
      </c>
      <c r="M36" s="9">
        <f>IF('Data Source'!B36="","",'Data Source'!AE36)</f>
        <v/>
      </c>
      <c r="N36" s="9">
        <f>IF('Data Source'!B36="","",'Data Source'!AF36)</f>
        <v/>
      </c>
      <c r="O36" s="9">
        <f>IF('Data Source'!B36="","",'Data Source'!AG36)</f>
        <v/>
      </c>
      <c r="P36" s="5">
        <f>IF('Data Source'!B36="","",'Data Source'!R36)</f>
        <v/>
      </c>
      <c r="Q36" s="3">
        <f>IF('Data Source'!B36="","",'Data Source'!S36)</f>
        <v/>
      </c>
    </row>
    <row r="37">
      <c r="A37" s="3">
        <f>IF('Data Source'!B37="","",'Data Source'!A37)</f>
        <v/>
      </c>
      <c r="B37">
        <f>IF('Data Source'!B37="","",'Data Source'!B37)</f>
        <v/>
      </c>
      <c r="C37" s="9">
        <f>IF('Data Source'!B37="","",'Data Source'!U37)</f>
        <v/>
      </c>
      <c r="D37" s="9">
        <f>IF('Data Source'!B37="","",'Data Source'!V37)</f>
        <v/>
      </c>
      <c r="E37" s="9">
        <f>IF('Data Source'!B37="","",'Data Source'!W37)</f>
        <v/>
      </c>
      <c r="F37" s="9">
        <f>IF('Data Source'!B37="","",'Data Source'!X37)</f>
        <v/>
      </c>
      <c r="G37" s="9">
        <f>IF('Data Source'!B37="","",'Data Source'!Y37)</f>
        <v/>
      </c>
      <c r="H37" s="9">
        <f>IF('Data Source'!B37="","",'Data Source'!Z37)</f>
        <v/>
      </c>
      <c r="I37" s="9">
        <f>IF('Data Source'!B37="","",'Data Source'!AA37)</f>
        <v/>
      </c>
      <c r="J37" s="9">
        <f>IF('Data Source'!B37="","",'Data Source'!AB37)</f>
        <v/>
      </c>
      <c r="K37" s="9">
        <f>IF('Data Source'!B37="","",'Data Source'!AC37)</f>
        <v/>
      </c>
      <c r="L37" s="9">
        <f>IF('Data Source'!B37="","",'Data Source'!AD37)</f>
        <v/>
      </c>
      <c r="M37" s="9">
        <f>IF('Data Source'!B37="","",'Data Source'!AE37)</f>
        <v/>
      </c>
      <c r="N37" s="9">
        <f>IF('Data Source'!B37="","",'Data Source'!AF37)</f>
        <v/>
      </c>
      <c r="O37" s="9">
        <f>IF('Data Source'!B37="","",'Data Source'!AG37)</f>
        <v/>
      </c>
      <c r="P37" s="5">
        <f>IF('Data Source'!B37="","",'Data Source'!R37)</f>
        <v/>
      </c>
      <c r="Q37" s="3">
        <f>IF('Data Source'!B37="","",'Data Source'!S37)</f>
        <v/>
      </c>
    </row>
    <row r="38">
      <c r="A38" s="3">
        <f>IF('Data Source'!B38="","",'Data Source'!A38)</f>
        <v/>
      </c>
      <c r="B38">
        <f>IF('Data Source'!B38="","",'Data Source'!B38)</f>
        <v/>
      </c>
      <c r="C38" s="9">
        <f>IF('Data Source'!B38="","",'Data Source'!U38)</f>
        <v/>
      </c>
      <c r="D38" s="9">
        <f>IF('Data Source'!B38="","",'Data Source'!V38)</f>
        <v/>
      </c>
      <c r="E38" s="9">
        <f>IF('Data Source'!B38="","",'Data Source'!W38)</f>
        <v/>
      </c>
      <c r="F38" s="9">
        <f>IF('Data Source'!B38="","",'Data Source'!X38)</f>
        <v/>
      </c>
      <c r="G38" s="9">
        <f>IF('Data Source'!B38="","",'Data Source'!Y38)</f>
        <v/>
      </c>
      <c r="H38" s="9">
        <f>IF('Data Source'!B38="","",'Data Source'!Z38)</f>
        <v/>
      </c>
      <c r="I38" s="9">
        <f>IF('Data Source'!B38="","",'Data Source'!AA38)</f>
        <v/>
      </c>
      <c r="J38" s="9">
        <f>IF('Data Source'!B38="","",'Data Source'!AB38)</f>
        <v/>
      </c>
      <c r="K38" s="9">
        <f>IF('Data Source'!B38="","",'Data Source'!AC38)</f>
        <v/>
      </c>
      <c r="L38" s="9">
        <f>IF('Data Source'!B38="","",'Data Source'!AD38)</f>
        <v/>
      </c>
      <c r="M38" s="9">
        <f>IF('Data Source'!B38="","",'Data Source'!AE38)</f>
        <v/>
      </c>
      <c r="N38" s="9">
        <f>IF('Data Source'!B38="","",'Data Source'!AF38)</f>
        <v/>
      </c>
      <c r="O38" s="9">
        <f>IF('Data Source'!B38="","",'Data Source'!AG38)</f>
        <v/>
      </c>
      <c r="P38" s="5">
        <f>IF('Data Source'!B38="","",'Data Source'!R38)</f>
        <v/>
      </c>
      <c r="Q38" s="3">
        <f>IF('Data Source'!B38="","",'Data Source'!S38)</f>
        <v/>
      </c>
    </row>
    <row r="39">
      <c r="A39" s="3">
        <f>IF('Data Source'!B39="","",'Data Source'!A39)</f>
        <v/>
      </c>
      <c r="B39">
        <f>IF('Data Source'!B39="","",'Data Source'!B39)</f>
        <v/>
      </c>
      <c r="C39" s="9">
        <f>IF('Data Source'!B39="","",'Data Source'!U39)</f>
        <v/>
      </c>
      <c r="D39" s="9">
        <f>IF('Data Source'!B39="","",'Data Source'!V39)</f>
        <v/>
      </c>
      <c r="E39" s="9">
        <f>IF('Data Source'!B39="","",'Data Source'!W39)</f>
        <v/>
      </c>
      <c r="F39" s="9">
        <f>IF('Data Source'!B39="","",'Data Source'!X39)</f>
        <v/>
      </c>
      <c r="G39" s="9">
        <f>IF('Data Source'!B39="","",'Data Source'!Y39)</f>
        <v/>
      </c>
      <c r="H39" s="9">
        <f>IF('Data Source'!B39="","",'Data Source'!Z39)</f>
        <v/>
      </c>
      <c r="I39" s="9">
        <f>IF('Data Source'!B39="","",'Data Source'!AA39)</f>
        <v/>
      </c>
      <c r="J39" s="9">
        <f>IF('Data Source'!B39="","",'Data Source'!AB39)</f>
        <v/>
      </c>
      <c r="K39" s="9">
        <f>IF('Data Source'!B39="","",'Data Source'!AC39)</f>
        <v/>
      </c>
      <c r="L39" s="9">
        <f>IF('Data Source'!B39="","",'Data Source'!AD39)</f>
        <v/>
      </c>
      <c r="M39" s="9">
        <f>IF('Data Source'!B39="","",'Data Source'!AE39)</f>
        <v/>
      </c>
      <c r="N39" s="9">
        <f>IF('Data Source'!B39="","",'Data Source'!AF39)</f>
        <v/>
      </c>
      <c r="O39" s="9">
        <f>IF('Data Source'!B39="","",'Data Source'!AG39)</f>
        <v/>
      </c>
      <c r="P39" s="5">
        <f>IF('Data Source'!B39="","",'Data Source'!R39)</f>
        <v/>
      </c>
      <c r="Q39" s="3">
        <f>IF('Data Source'!B39="","",'Data Source'!S39)</f>
        <v/>
      </c>
    </row>
    <row r="40">
      <c r="A40" s="3">
        <f>IF('Data Source'!B40="","",'Data Source'!A40)</f>
        <v/>
      </c>
      <c r="B40">
        <f>IF('Data Source'!B40="","",'Data Source'!B40)</f>
        <v/>
      </c>
      <c r="C40" s="9">
        <f>IF('Data Source'!B40="","",'Data Source'!U40)</f>
        <v/>
      </c>
      <c r="D40" s="9">
        <f>IF('Data Source'!B40="","",'Data Source'!V40)</f>
        <v/>
      </c>
      <c r="E40" s="9">
        <f>IF('Data Source'!B40="","",'Data Source'!W40)</f>
        <v/>
      </c>
      <c r="F40" s="9">
        <f>IF('Data Source'!B40="","",'Data Source'!X40)</f>
        <v/>
      </c>
      <c r="G40" s="9">
        <f>IF('Data Source'!B40="","",'Data Source'!Y40)</f>
        <v/>
      </c>
      <c r="H40" s="9">
        <f>IF('Data Source'!B40="","",'Data Source'!Z40)</f>
        <v/>
      </c>
      <c r="I40" s="9">
        <f>IF('Data Source'!B40="","",'Data Source'!AA40)</f>
        <v/>
      </c>
      <c r="J40" s="9">
        <f>IF('Data Source'!B40="","",'Data Source'!AB40)</f>
        <v/>
      </c>
      <c r="K40" s="9">
        <f>IF('Data Source'!B40="","",'Data Source'!AC40)</f>
        <v/>
      </c>
      <c r="L40" s="9">
        <f>IF('Data Source'!B40="","",'Data Source'!AD40)</f>
        <v/>
      </c>
      <c r="M40" s="9">
        <f>IF('Data Source'!B40="","",'Data Source'!AE40)</f>
        <v/>
      </c>
      <c r="N40" s="9">
        <f>IF('Data Source'!B40="","",'Data Source'!AF40)</f>
        <v/>
      </c>
      <c r="O40" s="9">
        <f>IF('Data Source'!B40="","",'Data Source'!AG40)</f>
        <v/>
      </c>
      <c r="P40" s="5">
        <f>IF('Data Source'!B40="","",'Data Source'!R40)</f>
        <v/>
      </c>
      <c r="Q40" s="3">
        <f>IF('Data Source'!B40="","",'Data Source'!S40)</f>
        <v/>
      </c>
    </row>
    <row r="41">
      <c r="A41" s="3">
        <f>IF('Data Source'!B41="","",'Data Source'!A41)</f>
        <v/>
      </c>
      <c r="B41">
        <f>IF('Data Source'!B41="","",'Data Source'!B41)</f>
        <v/>
      </c>
      <c r="C41" s="9">
        <f>IF('Data Source'!B41="","",'Data Source'!U41)</f>
        <v/>
      </c>
      <c r="D41" s="9">
        <f>IF('Data Source'!B41="","",'Data Source'!V41)</f>
        <v/>
      </c>
      <c r="E41" s="9">
        <f>IF('Data Source'!B41="","",'Data Source'!W41)</f>
        <v/>
      </c>
      <c r="F41" s="9">
        <f>IF('Data Source'!B41="","",'Data Source'!X41)</f>
        <v/>
      </c>
      <c r="G41" s="9">
        <f>IF('Data Source'!B41="","",'Data Source'!Y41)</f>
        <v/>
      </c>
      <c r="H41" s="9">
        <f>IF('Data Source'!B41="","",'Data Source'!Z41)</f>
        <v/>
      </c>
      <c r="I41" s="9">
        <f>IF('Data Source'!B41="","",'Data Source'!AA41)</f>
        <v/>
      </c>
      <c r="J41" s="9">
        <f>IF('Data Source'!B41="","",'Data Source'!AB41)</f>
        <v/>
      </c>
      <c r="K41" s="9">
        <f>IF('Data Source'!B41="","",'Data Source'!AC41)</f>
        <v/>
      </c>
      <c r="L41" s="9">
        <f>IF('Data Source'!B41="","",'Data Source'!AD41)</f>
        <v/>
      </c>
      <c r="M41" s="9">
        <f>IF('Data Source'!B41="","",'Data Source'!AE41)</f>
        <v/>
      </c>
      <c r="N41" s="9">
        <f>IF('Data Source'!B41="","",'Data Source'!AF41)</f>
        <v/>
      </c>
      <c r="O41" s="9">
        <f>IF('Data Source'!B41="","",'Data Source'!AG41)</f>
        <v/>
      </c>
      <c r="P41" s="5">
        <f>IF('Data Source'!B41="","",'Data Source'!R41)</f>
        <v/>
      </c>
      <c r="Q41" s="3">
        <f>IF('Data Source'!B41="","",'Data Source'!S41)</f>
        <v/>
      </c>
    </row>
    <row r="42">
      <c r="A42" s="3">
        <f>IF('Data Source'!B42="","",'Data Source'!A42)</f>
        <v/>
      </c>
      <c r="B42">
        <f>IF('Data Source'!B42="","",'Data Source'!B42)</f>
        <v/>
      </c>
      <c r="C42" s="9">
        <f>IF('Data Source'!B42="","",'Data Source'!U42)</f>
        <v/>
      </c>
      <c r="D42" s="9">
        <f>IF('Data Source'!B42="","",'Data Source'!V42)</f>
        <v/>
      </c>
      <c r="E42" s="9">
        <f>IF('Data Source'!B42="","",'Data Source'!W42)</f>
        <v/>
      </c>
      <c r="F42" s="9">
        <f>IF('Data Source'!B42="","",'Data Source'!X42)</f>
        <v/>
      </c>
      <c r="G42" s="9">
        <f>IF('Data Source'!B42="","",'Data Source'!Y42)</f>
        <v/>
      </c>
      <c r="H42" s="9">
        <f>IF('Data Source'!B42="","",'Data Source'!Z42)</f>
        <v/>
      </c>
      <c r="I42" s="9">
        <f>IF('Data Source'!B42="","",'Data Source'!AA42)</f>
        <v/>
      </c>
      <c r="J42" s="9">
        <f>IF('Data Source'!B42="","",'Data Source'!AB42)</f>
        <v/>
      </c>
      <c r="K42" s="9">
        <f>IF('Data Source'!B42="","",'Data Source'!AC42)</f>
        <v/>
      </c>
      <c r="L42" s="9">
        <f>IF('Data Source'!B42="","",'Data Source'!AD42)</f>
        <v/>
      </c>
      <c r="M42" s="9">
        <f>IF('Data Source'!B42="","",'Data Source'!AE42)</f>
        <v/>
      </c>
      <c r="N42" s="9">
        <f>IF('Data Source'!B42="","",'Data Source'!AF42)</f>
        <v/>
      </c>
      <c r="O42" s="9">
        <f>IF('Data Source'!B42="","",'Data Source'!AG42)</f>
        <v/>
      </c>
      <c r="P42" s="5">
        <f>IF('Data Source'!B42="","",'Data Source'!R42)</f>
        <v/>
      </c>
      <c r="Q42" s="3">
        <f>IF('Data Source'!B42="","",'Data Source'!S42)</f>
        <v/>
      </c>
    </row>
    <row r="43">
      <c r="A43" s="3">
        <f>IF('Data Source'!B43="","",'Data Source'!A43)</f>
        <v/>
      </c>
      <c r="B43">
        <f>IF('Data Source'!B43="","",'Data Source'!B43)</f>
        <v/>
      </c>
      <c r="C43" s="9">
        <f>IF('Data Source'!B43="","",'Data Source'!U43)</f>
        <v/>
      </c>
      <c r="D43" s="9">
        <f>IF('Data Source'!B43="","",'Data Source'!V43)</f>
        <v/>
      </c>
      <c r="E43" s="9">
        <f>IF('Data Source'!B43="","",'Data Source'!W43)</f>
        <v/>
      </c>
      <c r="F43" s="9">
        <f>IF('Data Source'!B43="","",'Data Source'!X43)</f>
        <v/>
      </c>
      <c r="G43" s="9">
        <f>IF('Data Source'!B43="","",'Data Source'!Y43)</f>
        <v/>
      </c>
      <c r="H43" s="9">
        <f>IF('Data Source'!B43="","",'Data Source'!Z43)</f>
        <v/>
      </c>
      <c r="I43" s="9">
        <f>IF('Data Source'!B43="","",'Data Source'!AA43)</f>
        <v/>
      </c>
      <c r="J43" s="9">
        <f>IF('Data Source'!B43="","",'Data Source'!AB43)</f>
        <v/>
      </c>
      <c r="K43" s="9">
        <f>IF('Data Source'!B43="","",'Data Source'!AC43)</f>
        <v/>
      </c>
      <c r="L43" s="9">
        <f>IF('Data Source'!B43="","",'Data Source'!AD43)</f>
        <v/>
      </c>
      <c r="M43" s="9">
        <f>IF('Data Source'!B43="","",'Data Source'!AE43)</f>
        <v/>
      </c>
      <c r="N43" s="9">
        <f>IF('Data Source'!B43="","",'Data Source'!AF43)</f>
        <v/>
      </c>
      <c r="O43" s="9">
        <f>IF('Data Source'!B43="","",'Data Source'!AG43)</f>
        <v/>
      </c>
      <c r="P43" s="5">
        <f>IF('Data Source'!B43="","",'Data Source'!R43)</f>
        <v/>
      </c>
      <c r="Q43" s="3">
        <f>IF('Data Source'!B43="","",'Data Source'!S43)</f>
        <v/>
      </c>
    </row>
    <row r="44">
      <c r="A44" s="3">
        <f>IF('Data Source'!B44="","",'Data Source'!A44)</f>
        <v/>
      </c>
      <c r="B44">
        <f>IF('Data Source'!B44="","",'Data Source'!B44)</f>
        <v/>
      </c>
      <c r="C44" s="9">
        <f>IF('Data Source'!B44="","",'Data Source'!U44)</f>
        <v/>
      </c>
      <c r="D44" s="9">
        <f>IF('Data Source'!B44="","",'Data Source'!V44)</f>
        <v/>
      </c>
      <c r="E44" s="9">
        <f>IF('Data Source'!B44="","",'Data Source'!W44)</f>
        <v/>
      </c>
      <c r="F44" s="9">
        <f>IF('Data Source'!B44="","",'Data Source'!X44)</f>
        <v/>
      </c>
      <c r="G44" s="9">
        <f>IF('Data Source'!B44="","",'Data Source'!Y44)</f>
        <v/>
      </c>
      <c r="H44" s="9">
        <f>IF('Data Source'!B44="","",'Data Source'!Z44)</f>
        <v/>
      </c>
      <c r="I44" s="9">
        <f>IF('Data Source'!B44="","",'Data Source'!AA44)</f>
        <v/>
      </c>
      <c r="J44" s="9">
        <f>IF('Data Source'!B44="","",'Data Source'!AB44)</f>
        <v/>
      </c>
      <c r="K44" s="9">
        <f>IF('Data Source'!B44="","",'Data Source'!AC44)</f>
        <v/>
      </c>
      <c r="L44" s="9">
        <f>IF('Data Source'!B44="","",'Data Source'!AD44)</f>
        <v/>
      </c>
      <c r="M44" s="9">
        <f>IF('Data Source'!B44="","",'Data Source'!AE44)</f>
        <v/>
      </c>
      <c r="N44" s="9">
        <f>IF('Data Source'!B44="","",'Data Source'!AF44)</f>
        <v/>
      </c>
      <c r="O44" s="9">
        <f>IF('Data Source'!B44="","",'Data Source'!AG44)</f>
        <v/>
      </c>
      <c r="P44" s="5">
        <f>IF('Data Source'!B44="","",'Data Source'!R44)</f>
        <v/>
      </c>
      <c r="Q44" s="3">
        <f>IF('Data Source'!B44="","",'Data Source'!S44)</f>
        <v/>
      </c>
    </row>
    <row r="45">
      <c r="A45" s="3">
        <f>IF('Data Source'!B45="","",'Data Source'!A45)</f>
        <v/>
      </c>
      <c r="B45">
        <f>IF('Data Source'!B45="","",'Data Source'!B45)</f>
        <v/>
      </c>
      <c r="C45" s="9">
        <f>IF('Data Source'!B45="","",'Data Source'!U45)</f>
        <v/>
      </c>
      <c r="D45" s="9">
        <f>IF('Data Source'!B45="","",'Data Source'!V45)</f>
        <v/>
      </c>
      <c r="E45" s="9">
        <f>IF('Data Source'!B45="","",'Data Source'!W45)</f>
        <v/>
      </c>
      <c r="F45" s="9">
        <f>IF('Data Source'!B45="","",'Data Source'!X45)</f>
        <v/>
      </c>
      <c r="G45" s="9">
        <f>IF('Data Source'!B45="","",'Data Source'!Y45)</f>
        <v/>
      </c>
      <c r="H45" s="9">
        <f>IF('Data Source'!B45="","",'Data Source'!Z45)</f>
        <v/>
      </c>
      <c r="I45" s="9">
        <f>IF('Data Source'!B45="","",'Data Source'!AA45)</f>
        <v/>
      </c>
      <c r="J45" s="9">
        <f>IF('Data Source'!B45="","",'Data Source'!AB45)</f>
        <v/>
      </c>
      <c r="K45" s="9">
        <f>IF('Data Source'!B45="","",'Data Source'!AC45)</f>
        <v/>
      </c>
      <c r="L45" s="9">
        <f>IF('Data Source'!B45="","",'Data Source'!AD45)</f>
        <v/>
      </c>
      <c r="M45" s="9">
        <f>IF('Data Source'!B45="","",'Data Source'!AE45)</f>
        <v/>
      </c>
      <c r="N45" s="9">
        <f>IF('Data Source'!B45="","",'Data Source'!AF45)</f>
        <v/>
      </c>
      <c r="O45" s="9">
        <f>IF('Data Source'!B45="","",'Data Source'!AG45)</f>
        <v/>
      </c>
      <c r="P45" s="5">
        <f>IF('Data Source'!B45="","",'Data Source'!R45)</f>
        <v/>
      </c>
      <c r="Q45" s="3">
        <f>IF('Data Source'!B45="","",'Data Source'!S45)</f>
        <v/>
      </c>
    </row>
    <row r="46">
      <c r="A46" s="3">
        <f>IF('Data Source'!B46="","",'Data Source'!A46)</f>
        <v/>
      </c>
      <c r="B46">
        <f>IF('Data Source'!B46="","",'Data Source'!B46)</f>
        <v/>
      </c>
      <c r="C46" s="9">
        <f>IF('Data Source'!B46="","",'Data Source'!U46)</f>
        <v/>
      </c>
      <c r="D46" s="9">
        <f>IF('Data Source'!B46="","",'Data Source'!V46)</f>
        <v/>
      </c>
      <c r="E46" s="9">
        <f>IF('Data Source'!B46="","",'Data Source'!W46)</f>
        <v/>
      </c>
      <c r="F46" s="9">
        <f>IF('Data Source'!B46="","",'Data Source'!X46)</f>
        <v/>
      </c>
      <c r="G46" s="9">
        <f>IF('Data Source'!B46="","",'Data Source'!Y46)</f>
        <v/>
      </c>
      <c r="H46" s="9">
        <f>IF('Data Source'!B46="","",'Data Source'!Z46)</f>
        <v/>
      </c>
      <c r="I46" s="9">
        <f>IF('Data Source'!B46="","",'Data Source'!AA46)</f>
        <v/>
      </c>
      <c r="J46" s="9">
        <f>IF('Data Source'!B46="","",'Data Source'!AB46)</f>
        <v/>
      </c>
      <c r="K46" s="9">
        <f>IF('Data Source'!B46="","",'Data Source'!AC46)</f>
        <v/>
      </c>
      <c r="L46" s="9">
        <f>IF('Data Source'!B46="","",'Data Source'!AD46)</f>
        <v/>
      </c>
      <c r="M46" s="9">
        <f>IF('Data Source'!B46="","",'Data Source'!AE46)</f>
        <v/>
      </c>
      <c r="N46" s="9">
        <f>IF('Data Source'!B46="","",'Data Source'!AF46)</f>
        <v/>
      </c>
      <c r="O46" s="9">
        <f>IF('Data Source'!B46="","",'Data Source'!AG46)</f>
        <v/>
      </c>
      <c r="P46" s="5">
        <f>IF('Data Source'!B46="","",'Data Source'!R46)</f>
        <v/>
      </c>
      <c r="Q46" s="3">
        <f>IF('Data Source'!B46="","",'Data Source'!S46)</f>
        <v/>
      </c>
    </row>
    <row r="47">
      <c r="A47" s="3">
        <f>IF('Data Source'!B47="","",'Data Source'!A47)</f>
        <v/>
      </c>
      <c r="B47">
        <f>IF('Data Source'!B47="","",'Data Source'!B47)</f>
        <v/>
      </c>
      <c r="C47" s="9">
        <f>IF('Data Source'!B47="","",'Data Source'!U47)</f>
        <v/>
      </c>
      <c r="D47" s="9">
        <f>IF('Data Source'!B47="","",'Data Source'!V47)</f>
        <v/>
      </c>
      <c r="E47" s="9">
        <f>IF('Data Source'!B47="","",'Data Source'!W47)</f>
        <v/>
      </c>
      <c r="F47" s="9">
        <f>IF('Data Source'!B47="","",'Data Source'!X47)</f>
        <v/>
      </c>
      <c r="G47" s="9">
        <f>IF('Data Source'!B47="","",'Data Source'!Y47)</f>
        <v/>
      </c>
      <c r="H47" s="9">
        <f>IF('Data Source'!B47="","",'Data Source'!Z47)</f>
        <v/>
      </c>
      <c r="I47" s="9">
        <f>IF('Data Source'!B47="","",'Data Source'!AA47)</f>
        <v/>
      </c>
      <c r="J47" s="9">
        <f>IF('Data Source'!B47="","",'Data Source'!AB47)</f>
        <v/>
      </c>
      <c r="K47" s="9">
        <f>IF('Data Source'!B47="","",'Data Source'!AC47)</f>
        <v/>
      </c>
      <c r="L47" s="9">
        <f>IF('Data Source'!B47="","",'Data Source'!AD47)</f>
        <v/>
      </c>
      <c r="M47" s="9">
        <f>IF('Data Source'!B47="","",'Data Source'!AE47)</f>
        <v/>
      </c>
      <c r="N47" s="9">
        <f>IF('Data Source'!B47="","",'Data Source'!AF47)</f>
        <v/>
      </c>
      <c r="O47" s="9">
        <f>IF('Data Source'!B47="","",'Data Source'!AG47)</f>
        <v/>
      </c>
      <c r="P47" s="5">
        <f>IF('Data Source'!B47="","",'Data Source'!R47)</f>
        <v/>
      </c>
      <c r="Q47" s="3">
        <f>IF('Data Source'!B47="","",'Data Source'!S47)</f>
        <v/>
      </c>
    </row>
    <row r="48">
      <c r="A48" s="3">
        <f>IF('Data Source'!B48="","",'Data Source'!A48)</f>
        <v/>
      </c>
      <c r="B48">
        <f>IF('Data Source'!B48="","",'Data Source'!B48)</f>
        <v/>
      </c>
      <c r="C48" s="9">
        <f>IF('Data Source'!B48="","",'Data Source'!U48)</f>
        <v/>
      </c>
      <c r="D48" s="9">
        <f>IF('Data Source'!B48="","",'Data Source'!V48)</f>
        <v/>
      </c>
      <c r="E48" s="9">
        <f>IF('Data Source'!B48="","",'Data Source'!W48)</f>
        <v/>
      </c>
      <c r="F48" s="9">
        <f>IF('Data Source'!B48="","",'Data Source'!X48)</f>
        <v/>
      </c>
      <c r="G48" s="9">
        <f>IF('Data Source'!B48="","",'Data Source'!Y48)</f>
        <v/>
      </c>
      <c r="H48" s="9">
        <f>IF('Data Source'!B48="","",'Data Source'!Z48)</f>
        <v/>
      </c>
      <c r="I48" s="9">
        <f>IF('Data Source'!B48="","",'Data Source'!AA48)</f>
        <v/>
      </c>
      <c r="J48" s="9">
        <f>IF('Data Source'!B48="","",'Data Source'!AB48)</f>
        <v/>
      </c>
      <c r="K48" s="9">
        <f>IF('Data Source'!B48="","",'Data Source'!AC48)</f>
        <v/>
      </c>
      <c r="L48" s="9">
        <f>IF('Data Source'!B48="","",'Data Source'!AD48)</f>
        <v/>
      </c>
      <c r="M48" s="9">
        <f>IF('Data Source'!B48="","",'Data Source'!AE48)</f>
        <v/>
      </c>
      <c r="N48" s="9">
        <f>IF('Data Source'!B48="","",'Data Source'!AF48)</f>
        <v/>
      </c>
      <c r="O48" s="9">
        <f>IF('Data Source'!B48="","",'Data Source'!AG48)</f>
        <v/>
      </c>
      <c r="P48" s="5">
        <f>IF('Data Source'!B48="","",'Data Source'!R48)</f>
        <v/>
      </c>
      <c r="Q48" s="3">
        <f>IF('Data Source'!B48="","",'Data Source'!S48)</f>
        <v/>
      </c>
    </row>
    <row r="49">
      <c r="A49" s="3">
        <f>IF('Data Source'!B49="","",'Data Source'!A49)</f>
        <v/>
      </c>
      <c r="B49">
        <f>IF('Data Source'!B49="","",'Data Source'!B49)</f>
        <v/>
      </c>
      <c r="C49" s="9">
        <f>IF('Data Source'!B49="","",'Data Source'!U49)</f>
        <v/>
      </c>
      <c r="D49" s="9">
        <f>IF('Data Source'!B49="","",'Data Source'!V49)</f>
        <v/>
      </c>
      <c r="E49" s="9">
        <f>IF('Data Source'!B49="","",'Data Source'!W49)</f>
        <v/>
      </c>
      <c r="F49" s="9">
        <f>IF('Data Source'!B49="","",'Data Source'!X49)</f>
        <v/>
      </c>
      <c r="G49" s="9">
        <f>IF('Data Source'!B49="","",'Data Source'!Y49)</f>
        <v/>
      </c>
      <c r="H49" s="9">
        <f>IF('Data Source'!B49="","",'Data Source'!Z49)</f>
        <v/>
      </c>
      <c r="I49" s="9">
        <f>IF('Data Source'!B49="","",'Data Source'!AA49)</f>
        <v/>
      </c>
      <c r="J49" s="9">
        <f>IF('Data Source'!B49="","",'Data Source'!AB49)</f>
        <v/>
      </c>
      <c r="K49" s="9">
        <f>IF('Data Source'!B49="","",'Data Source'!AC49)</f>
        <v/>
      </c>
      <c r="L49" s="9">
        <f>IF('Data Source'!B49="","",'Data Source'!AD49)</f>
        <v/>
      </c>
      <c r="M49" s="9">
        <f>IF('Data Source'!B49="","",'Data Source'!AE49)</f>
        <v/>
      </c>
      <c r="N49" s="9">
        <f>IF('Data Source'!B49="","",'Data Source'!AF49)</f>
        <v/>
      </c>
      <c r="O49" s="9">
        <f>IF('Data Source'!B49="","",'Data Source'!AG49)</f>
        <v/>
      </c>
      <c r="P49" s="5">
        <f>IF('Data Source'!B49="","",'Data Source'!R49)</f>
        <v/>
      </c>
      <c r="Q49" s="3">
        <f>IF('Data Source'!B49="","",'Data Source'!S49)</f>
        <v/>
      </c>
    </row>
    <row r="50">
      <c r="A50" s="3">
        <f>IF('Data Source'!B50="","",'Data Source'!A50)</f>
        <v/>
      </c>
      <c r="B50">
        <f>IF('Data Source'!B50="","",'Data Source'!B50)</f>
        <v/>
      </c>
      <c r="C50" s="9">
        <f>IF('Data Source'!B50="","",'Data Source'!U50)</f>
        <v/>
      </c>
      <c r="D50" s="9">
        <f>IF('Data Source'!B50="","",'Data Source'!V50)</f>
        <v/>
      </c>
      <c r="E50" s="9">
        <f>IF('Data Source'!B50="","",'Data Source'!W50)</f>
        <v/>
      </c>
      <c r="F50" s="9">
        <f>IF('Data Source'!B50="","",'Data Source'!X50)</f>
        <v/>
      </c>
      <c r="G50" s="9">
        <f>IF('Data Source'!B50="","",'Data Source'!Y50)</f>
        <v/>
      </c>
      <c r="H50" s="9">
        <f>IF('Data Source'!B50="","",'Data Source'!Z50)</f>
        <v/>
      </c>
      <c r="I50" s="9">
        <f>IF('Data Source'!B50="","",'Data Source'!AA50)</f>
        <v/>
      </c>
      <c r="J50" s="9">
        <f>IF('Data Source'!B50="","",'Data Source'!AB50)</f>
        <v/>
      </c>
      <c r="K50" s="9">
        <f>IF('Data Source'!B50="","",'Data Source'!AC50)</f>
        <v/>
      </c>
      <c r="L50" s="9">
        <f>IF('Data Source'!B50="","",'Data Source'!AD50)</f>
        <v/>
      </c>
      <c r="M50" s="9">
        <f>IF('Data Source'!B50="","",'Data Source'!AE50)</f>
        <v/>
      </c>
      <c r="N50" s="9">
        <f>IF('Data Source'!B50="","",'Data Source'!AF50)</f>
        <v/>
      </c>
      <c r="O50" s="9">
        <f>IF('Data Source'!B50="","",'Data Source'!AG50)</f>
        <v/>
      </c>
      <c r="P50" s="5">
        <f>IF('Data Source'!B50="","",'Data Source'!R50)</f>
        <v/>
      </c>
      <c r="Q50" s="3">
        <f>IF('Data Source'!B50="","",'Data Source'!S50)</f>
        <v/>
      </c>
    </row>
    <row r="51">
      <c r="A51" s="3">
        <f>IF('Data Source'!B51="","",'Data Source'!A51)</f>
        <v/>
      </c>
      <c r="B51">
        <f>IF('Data Source'!B51="","",'Data Source'!B51)</f>
        <v/>
      </c>
      <c r="C51" s="9">
        <f>IF('Data Source'!B51="","",'Data Source'!U51)</f>
        <v/>
      </c>
      <c r="D51" s="9">
        <f>IF('Data Source'!B51="","",'Data Source'!V51)</f>
        <v/>
      </c>
      <c r="E51" s="9">
        <f>IF('Data Source'!B51="","",'Data Source'!W51)</f>
        <v/>
      </c>
      <c r="F51" s="9">
        <f>IF('Data Source'!B51="","",'Data Source'!X51)</f>
        <v/>
      </c>
      <c r="G51" s="9">
        <f>IF('Data Source'!B51="","",'Data Source'!Y51)</f>
        <v/>
      </c>
      <c r="H51" s="9">
        <f>IF('Data Source'!B51="","",'Data Source'!Z51)</f>
        <v/>
      </c>
      <c r="I51" s="9">
        <f>IF('Data Source'!B51="","",'Data Source'!AA51)</f>
        <v/>
      </c>
      <c r="J51" s="9">
        <f>IF('Data Source'!B51="","",'Data Source'!AB51)</f>
        <v/>
      </c>
      <c r="K51" s="9">
        <f>IF('Data Source'!B51="","",'Data Source'!AC51)</f>
        <v/>
      </c>
      <c r="L51" s="9">
        <f>IF('Data Source'!B51="","",'Data Source'!AD51)</f>
        <v/>
      </c>
      <c r="M51" s="9">
        <f>IF('Data Source'!B51="","",'Data Source'!AE51)</f>
        <v/>
      </c>
      <c r="N51" s="9">
        <f>IF('Data Source'!B51="","",'Data Source'!AF51)</f>
        <v/>
      </c>
      <c r="O51" s="9">
        <f>IF('Data Source'!B51="","",'Data Source'!AG51)</f>
        <v/>
      </c>
      <c r="P51" s="5">
        <f>IF('Data Source'!B51="","",'Data Source'!R51)</f>
        <v/>
      </c>
      <c r="Q51" s="3">
        <f>IF('Data Source'!B51="","",'Data Source'!S51)</f>
        <v/>
      </c>
    </row>
    <row r="52">
      <c r="A52" s="3">
        <f>IF('Data Source'!B52="","",'Data Source'!A52)</f>
        <v/>
      </c>
      <c r="B52">
        <f>IF('Data Source'!B52="","",'Data Source'!B52)</f>
        <v/>
      </c>
      <c r="C52" s="9">
        <f>IF('Data Source'!B52="","",'Data Source'!U52)</f>
        <v/>
      </c>
      <c r="D52" s="9">
        <f>IF('Data Source'!B52="","",'Data Source'!V52)</f>
        <v/>
      </c>
      <c r="E52" s="9">
        <f>IF('Data Source'!B52="","",'Data Source'!W52)</f>
        <v/>
      </c>
      <c r="F52" s="9">
        <f>IF('Data Source'!B52="","",'Data Source'!X52)</f>
        <v/>
      </c>
      <c r="G52" s="9">
        <f>IF('Data Source'!B52="","",'Data Source'!Y52)</f>
        <v/>
      </c>
      <c r="H52" s="9">
        <f>IF('Data Source'!B52="","",'Data Source'!Z52)</f>
        <v/>
      </c>
      <c r="I52" s="9">
        <f>IF('Data Source'!B52="","",'Data Source'!AA52)</f>
        <v/>
      </c>
      <c r="J52" s="9">
        <f>IF('Data Source'!B52="","",'Data Source'!AB52)</f>
        <v/>
      </c>
      <c r="K52" s="9">
        <f>IF('Data Source'!B52="","",'Data Source'!AC52)</f>
        <v/>
      </c>
      <c r="L52" s="9">
        <f>IF('Data Source'!B52="","",'Data Source'!AD52)</f>
        <v/>
      </c>
      <c r="M52" s="9">
        <f>IF('Data Source'!B52="","",'Data Source'!AE52)</f>
        <v/>
      </c>
      <c r="N52" s="9">
        <f>IF('Data Source'!B52="","",'Data Source'!AF52)</f>
        <v/>
      </c>
      <c r="O52" s="9">
        <f>IF('Data Source'!B52="","",'Data Source'!AG52)</f>
        <v/>
      </c>
      <c r="P52" s="5">
        <f>IF('Data Source'!B52="","",'Data Source'!R52)</f>
        <v/>
      </c>
      <c r="Q52" s="3">
        <f>IF('Data Source'!B52="","",'Data Source'!S52)</f>
        <v/>
      </c>
    </row>
    <row r="53">
      <c r="A53" s="3">
        <f>IF('Data Source'!B53="","",'Data Source'!A53)</f>
        <v/>
      </c>
      <c r="B53">
        <f>IF('Data Source'!B53="","",'Data Source'!B53)</f>
        <v/>
      </c>
      <c r="C53" s="9">
        <f>IF('Data Source'!B53="","",'Data Source'!U53)</f>
        <v/>
      </c>
      <c r="D53" s="9">
        <f>IF('Data Source'!B53="","",'Data Source'!V53)</f>
        <v/>
      </c>
      <c r="E53" s="9">
        <f>IF('Data Source'!B53="","",'Data Source'!W53)</f>
        <v/>
      </c>
      <c r="F53" s="9">
        <f>IF('Data Source'!B53="","",'Data Source'!X53)</f>
        <v/>
      </c>
      <c r="G53" s="9">
        <f>IF('Data Source'!B53="","",'Data Source'!Y53)</f>
        <v/>
      </c>
      <c r="H53" s="9">
        <f>IF('Data Source'!B53="","",'Data Source'!Z53)</f>
        <v/>
      </c>
      <c r="I53" s="9">
        <f>IF('Data Source'!B53="","",'Data Source'!AA53)</f>
        <v/>
      </c>
      <c r="J53" s="9">
        <f>IF('Data Source'!B53="","",'Data Source'!AB53)</f>
        <v/>
      </c>
      <c r="K53" s="9">
        <f>IF('Data Source'!B53="","",'Data Source'!AC53)</f>
        <v/>
      </c>
      <c r="L53" s="9">
        <f>IF('Data Source'!B53="","",'Data Source'!AD53)</f>
        <v/>
      </c>
      <c r="M53" s="9">
        <f>IF('Data Source'!B53="","",'Data Source'!AE53)</f>
        <v/>
      </c>
      <c r="N53" s="9">
        <f>IF('Data Source'!B53="","",'Data Source'!AF53)</f>
        <v/>
      </c>
      <c r="O53" s="9">
        <f>IF('Data Source'!B53="","",'Data Source'!AG53)</f>
        <v/>
      </c>
      <c r="P53" s="5">
        <f>IF('Data Source'!B53="","",'Data Source'!R53)</f>
        <v/>
      </c>
      <c r="Q53" s="3">
        <f>IF('Data Source'!B53="","",'Data Source'!S53)</f>
        <v/>
      </c>
    </row>
    <row r="54">
      <c r="A54" s="3">
        <f>IF('Data Source'!B54="","",'Data Source'!A54)</f>
        <v/>
      </c>
      <c r="B54">
        <f>IF('Data Source'!B54="","",'Data Source'!B54)</f>
        <v/>
      </c>
      <c r="C54" s="9">
        <f>IF('Data Source'!B54="","",'Data Source'!U54)</f>
        <v/>
      </c>
      <c r="D54" s="9">
        <f>IF('Data Source'!B54="","",'Data Source'!V54)</f>
        <v/>
      </c>
      <c r="E54" s="9">
        <f>IF('Data Source'!B54="","",'Data Source'!W54)</f>
        <v/>
      </c>
      <c r="F54" s="9">
        <f>IF('Data Source'!B54="","",'Data Source'!X54)</f>
        <v/>
      </c>
      <c r="G54" s="9">
        <f>IF('Data Source'!B54="","",'Data Source'!Y54)</f>
        <v/>
      </c>
      <c r="H54" s="9">
        <f>IF('Data Source'!B54="","",'Data Source'!Z54)</f>
        <v/>
      </c>
      <c r="I54" s="9">
        <f>IF('Data Source'!B54="","",'Data Source'!AA54)</f>
        <v/>
      </c>
      <c r="J54" s="9">
        <f>IF('Data Source'!B54="","",'Data Source'!AB54)</f>
        <v/>
      </c>
      <c r="K54" s="9">
        <f>IF('Data Source'!B54="","",'Data Source'!AC54)</f>
        <v/>
      </c>
      <c r="L54" s="9">
        <f>IF('Data Source'!B54="","",'Data Source'!AD54)</f>
        <v/>
      </c>
      <c r="M54" s="9">
        <f>IF('Data Source'!B54="","",'Data Source'!AE54)</f>
        <v/>
      </c>
      <c r="N54" s="9">
        <f>IF('Data Source'!B54="","",'Data Source'!AF54)</f>
        <v/>
      </c>
      <c r="O54" s="9">
        <f>IF('Data Source'!B54="","",'Data Source'!AG54)</f>
        <v/>
      </c>
      <c r="P54" s="5">
        <f>IF('Data Source'!B54="","",'Data Source'!R54)</f>
        <v/>
      </c>
      <c r="Q54" s="3">
        <f>IF('Data Source'!B54="","",'Data Source'!S54)</f>
        <v/>
      </c>
    </row>
    <row r="55">
      <c r="A55" s="3">
        <f>IF('Data Source'!B55="","",'Data Source'!A55)</f>
        <v/>
      </c>
      <c r="B55">
        <f>IF('Data Source'!B55="","",'Data Source'!B55)</f>
        <v/>
      </c>
      <c r="C55" s="9">
        <f>IF('Data Source'!B55="","",'Data Source'!U55)</f>
        <v/>
      </c>
      <c r="D55" s="9">
        <f>IF('Data Source'!B55="","",'Data Source'!V55)</f>
        <v/>
      </c>
      <c r="E55" s="9">
        <f>IF('Data Source'!B55="","",'Data Source'!W55)</f>
        <v/>
      </c>
      <c r="F55" s="9">
        <f>IF('Data Source'!B55="","",'Data Source'!X55)</f>
        <v/>
      </c>
      <c r="G55" s="9">
        <f>IF('Data Source'!B55="","",'Data Source'!Y55)</f>
        <v/>
      </c>
      <c r="H55" s="9">
        <f>IF('Data Source'!B55="","",'Data Source'!Z55)</f>
        <v/>
      </c>
      <c r="I55" s="9">
        <f>IF('Data Source'!B55="","",'Data Source'!AA55)</f>
        <v/>
      </c>
      <c r="J55" s="9">
        <f>IF('Data Source'!B55="","",'Data Source'!AB55)</f>
        <v/>
      </c>
      <c r="K55" s="9">
        <f>IF('Data Source'!B55="","",'Data Source'!AC55)</f>
        <v/>
      </c>
      <c r="L55" s="9">
        <f>IF('Data Source'!B55="","",'Data Source'!AD55)</f>
        <v/>
      </c>
      <c r="M55" s="9">
        <f>IF('Data Source'!B55="","",'Data Source'!AE55)</f>
        <v/>
      </c>
      <c r="N55" s="9">
        <f>IF('Data Source'!B55="","",'Data Source'!AF55)</f>
        <v/>
      </c>
      <c r="O55" s="9">
        <f>IF('Data Source'!B55="","",'Data Source'!AG55)</f>
        <v/>
      </c>
      <c r="P55" s="5">
        <f>IF('Data Source'!B55="","",'Data Source'!R55)</f>
        <v/>
      </c>
      <c r="Q55" s="3">
        <f>IF('Data Source'!B55="","",'Data Source'!S55)</f>
        <v/>
      </c>
    </row>
    <row r="56">
      <c r="A56" s="3">
        <f>IF('Data Source'!B56="","",'Data Source'!A56)</f>
        <v/>
      </c>
      <c r="B56">
        <f>IF('Data Source'!B56="","",'Data Source'!B56)</f>
        <v/>
      </c>
      <c r="C56" s="9">
        <f>IF('Data Source'!B56="","",'Data Source'!U56)</f>
        <v/>
      </c>
      <c r="D56" s="9">
        <f>IF('Data Source'!B56="","",'Data Source'!V56)</f>
        <v/>
      </c>
      <c r="E56" s="9">
        <f>IF('Data Source'!B56="","",'Data Source'!W56)</f>
        <v/>
      </c>
      <c r="F56" s="9">
        <f>IF('Data Source'!B56="","",'Data Source'!X56)</f>
        <v/>
      </c>
      <c r="G56" s="9">
        <f>IF('Data Source'!B56="","",'Data Source'!Y56)</f>
        <v/>
      </c>
      <c r="H56" s="9">
        <f>IF('Data Source'!B56="","",'Data Source'!Z56)</f>
        <v/>
      </c>
      <c r="I56" s="9">
        <f>IF('Data Source'!B56="","",'Data Source'!AA56)</f>
        <v/>
      </c>
      <c r="J56" s="9">
        <f>IF('Data Source'!B56="","",'Data Source'!AB56)</f>
        <v/>
      </c>
      <c r="K56" s="9">
        <f>IF('Data Source'!B56="","",'Data Source'!AC56)</f>
        <v/>
      </c>
      <c r="L56" s="9">
        <f>IF('Data Source'!B56="","",'Data Source'!AD56)</f>
        <v/>
      </c>
      <c r="M56" s="9">
        <f>IF('Data Source'!B56="","",'Data Source'!AE56)</f>
        <v/>
      </c>
      <c r="N56" s="9">
        <f>IF('Data Source'!B56="","",'Data Source'!AF56)</f>
        <v/>
      </c>
      <c r="O56" s="9">
        <f>IF('Data Source'!B56="","",'Data Source'!AG56)</f>
        <v/>
      </c>
      <c r="P56" s="5">
        <f>IF('Data Source'!B56="","",'Data Source'!R56)</f>
        <v/>
      </c>
      <c r="Q56" s="3">
        <f>IF('Data Source'!B56="","",'Data Source'!S56)</f>
        <v/>
      </c>
    </row>
    <row r="57">
      <c r="A57" s="3">
        <f>IF('Data Source'!B57="","",'Data Source'!A57)</f>
        <v/>
      </c>
      <c r="B57">
        <f>IF('Data Source'!B57="","",'Data Source'!B57)</f>
        <v/>
      </c>
      <c r="C57" s="9">
        <f>IF('Data Source'!B57="","",'Data Source'!U57)</f>
        <v/>
      </c>
      <c r="D57" s="9">
        <f>IF('Data Source'!B57="","",'Data Source'!V57)</f>
        <v/>
      </c>
      <c r="E57" s="9">
        <f>IF('Data Source'!B57="","",'Data Source'!W57)</f>
        <v/>
      </c>
      <c r="F57" s="9">
        <f>IF('Data Source'!B57="","",'Data Source'!X57)</f>
        <v/>
      </c>
      <c r="G57" s="9">
        <f>IF('Data Source'!B57="","",'Data Source'!Y57)</f>
        <v/>
      </c>
      <c r="H57" s="9">
        <f>IF('Data Source'!B57="","",'Data Source'!Z57)</f>
        <v/>
      </c>
      <c r="I57" s="9">
        <f>IF('Data Source'!B57="","",'Data Source'!AA57)</f>
        <v/>
      </c>
      <c r="J57" s="9">
        <f>IF('Data Source'!B57="","",'Data Source'!AB57)</f>
        <v/>
      </c>
      <c r="K57" s="9">
        <f>IF('Data Source'!B57="","",'Data Source'!AC57)</f>
        <v/>
      </c>
      <c r="L57" s="9">
        <f>IF('Data Source'!B57="","",'Data Source'!AD57)</f>
        <v/>
      </c>
      <c r="M57" s="9">
        <f>IF('Data Source'!B57="","",'Data Source'!AE57)</f>
        <v/>
      </c>
      <c r="N57" s="9">
        <f>IF('Data Source'!B57="","",'Data Source'!AF57)</f>
        <v/>
      </c>
      <c r="O57" s="9">
        <f>IF('Data Source'!B57="","",'Data Source'!AG57)</f>
        <v/>
      </c>
      <c r="P57" s="5">
        <f>IF('Data Source'!B57="","",'Data Source'!R57)</f>
        <v/>
      </c>
      <c r="Q57" s="3">
        <f>IF('Data Source'!B57="","",'Data Source'!S57)</f>
        <v/>
      </c>
    </row>
    <row r="58">
      <c r="A58" s="3">
        <f>IF('Data Source'!B58="","",'Data Source'!A58)</f>
        <v/>
      </c>
      <c r="B58">
        <f>IF('Data Source'!B58="","",'Data Source'!B58)</f>
        <v/>
      </c>
      <c r="C58" s="9">
        <f>IF('Data Source'!B58="","",'Data Source'!U58)</f>
        <v/>
      </c>
      <c r="D58" s="9">
        <f>IF('Data Source'!B58="","",'Data Source'!V58)</f>
        <v/>
      </c>
      <c r="E58" s="9">
        <f>IF('Data Source'!B58="","",'Data Source'!W58)</f>
        <v/>
      </c>
      <c r="F58" s="9">
        <f>IF('Data Source'!B58="","",'Data Source'!X58)</f>
        <v/>
      </c>
      <c r="G58" s="9">
        <f>IF('Data Source'!B58="","",'Data Source'!Y58)</f>
        <v/>
      </c>
      <c r="H58" s="9">
        <f>IF('Data Source'!B58="","",'Data Source'!Z58)</f>
        <v/>
      </c>
      <c r="I58" s="9">
        <f>IF('Data Source'!B58="","",'Data Source'!AA58)</f>
        <v/>
      </c>
      <c r="J58" s="9">
        <f>IF('Data Source'!B58="","",'Data Source'!AB58)</f>
        <v/>
      </c>
      <c r="K58" s="9">
        <f>IF('Data Source'!B58="","",'Data Source'!AC58)</f>
        <v/>
      </c>
      <c r="L58" s="9">
        <f>IF('Data Source'!B58="","",'Data Source'!AD58)</f>
        <v/>
      </c>
      <c r="M58" s="9">
        <f>IF('Data Source'!B58="","",'Data Source'!AE58)</f>
        <v/>
      </c>
      <c r="N58" s="9">
        <f>IF('Data Source'!B58="","",'Data Source'!AF58)</f>
        <v/>
      </c>
      <c r="O58" s="9">
        <f>IF('Data Source'!B58="","",'Data Source'!AG58)</f>
        <v/>
      </c>
      <c r="P58" s="5">
        <f>IF('Data Source'!B58="","",'Data Source'!R58)</f>
        <v/>
      </c>
      <c r="Q58" s="3">
        <f>IF('Data Source'!B58="","",'Data Source'!S58)</f>
        <v/>
      </c>
    </row>
    <row r="59">
      <c r="A59" s="3">
        <f>IF('Data Source'!B59="","",'Data Source'!A59)</f>
        <v/>
      </c>
      <c r="B59">
        <f>IF('Data Source'!B59="","",'Data Source'!B59)</f>
        <v/>
      </c>
      <c r="C59" s="9">
        <f>IF('Data Source'!B59="","",'Data Source'!U59)</f>
        <v/>
      </c>
      <c r="D59" s="9">
        <f>IF('Data Source'!B59="","",'Data Source'!V59)</f>
        <v/>
      </c>
      <c r="E59" s="9">
        <f>IF('Data Source'!B59="","",'Data Source'!W59)</f>
        <v/>
      </c>
      <c r="F59" s="9">
        <f>IF('Data Source'!B59="","",'Data Source'!X59)</f>
        <v/>
      </c>
      <c r="G59" s="9">
        <f>IF('Data Source'!B59="","",'Data Source'!Y59)</f>
        <v/>
      </c>
      <c r="H59" s="9">
        <f>IF('Data Source'!B59="","",'Data Source'!Z59)</f>
        <v/>
      </c>
      <c r="I59" s="9">
        <f>IF('Data Source'!B59="","",'Data Source'!AA59)</f>
        <v/>
      </c>
      <c r="J59" s="9">
        <f>IF('Data Source'!B59="","",'Data Source'!AB59)</f>
        <v/>
      </c>
      <c r="K59" s="9">
        <f>IF('Data Source'!B59="","",'Data Source'!AC59)</f>
        <v/>
      </c>
      <c r="L59" s="9">
        <f>IF('Data Source'!B59="","",'Data Source'!AD59)</f>
        <v/>
      </c>
      <c r="M59" s="9">
        <f>IF('Data Source'!B59="","",'Data Source'!AE59)</f>
        <v/>
      </c>
      <c r="N59" s="9">
        <f>IF('Data Source'!B59="","",'Data Source'!AF59)</f>
        <v/>
      </c>
      <c r="O59" s="9">
        <f>IF('Data Source'!B59="","",'Data Source'!AG59)</f>
        <v/>
      </c>
      <c r="P59" s="5">
        <f>IF('Data Source'!B59="","",'Data Source'!R59)</f>
        <v/>
      </c>
      <c r="Q59" s="3">
        <f>IF('Data Source'!B59="","",'Data Source'!S59)</f>
        <v/>
      </c>
    </row>
    <row r="60">
      <c r="A60" s="3">
        <f>IF('Data Source'!B60="","",'Data Source'!A60)</f>
        <v/>
      </c>
      <c r="B60">
        <f>IF('Data Source'!B60="","",'Data Source'!B60)</f>
        <v/>
      </c>
      <c r="C60" s="9">
        <f>IF('Data Source'!B60="","",'Data Source'!U60)</f>
        <v/>
      </c>
      <c r="D60" s="9">
        <f>IF('Data Source'!B60="","",'Data Source'!V60)</f>
        <v/>
      </c>
      <c r="E60" s="9">
        <f>IF('Data Source'!B60="","",'Data Source'!W60)</f>
        <v/>
      </c>
      <c r="F60" s="9">
        <f>IF('Data Source'!B60="","",'Data Source'!X60)</f>
        <v/>
      </c>
      <c r="G60" s="9">
        <f>IF('Data Source'!B60="","",'Data Source'!Y60)</f>
        <v/>
      </c>
      <c r="H60" s="9">
        <f>IF('Data Source'!B60="","",'Data Source'!Z60)</f>
        <v/>
      </c>
      <c r="I60" s="9">
        <f>IF('Data Source'!B60="","",'Data Source'!AA60)</f>
        <v/>
      </c>
      <c r="J60" s="9">
        <f>IF('Data Source'!B60="","",'Data Source'!AB60)</f>
        <v/>
      </c>
      <c r="K60" s="9">
        <f>IF('Data Source'!B60="","",'Data Source'!AC60)</f>
        <v/>
      </c>
      <c r="L60" s="9">
        <f>IF('Data Source'!B60="","",'Data Source'!AD60)</f>
        <v/>
      </c>
      <c r="M60" s="9">
        <f>IF('Data Source'!B60="","",'Data Source'!AE60)</f>
        <v/>
      </c>
      <c r="N60" s="9">
        <f>IF('Data Source'!B60="","",'Data Source'!AF60)</f>
        <v/>
      </c>
      <c r="O60" s="9">
        <f>IF('Data Source'!B60="","",'Data Source'!AG60)</f>
        <v/>
      </c>
      <c r="P60" s="5">
        <f>IF('Data Source'!B60="","",'Data Source'!R60)</f>
        <v/>
      </c>
      <c r="Q60" s="3">
        <f>IF('Data Source'!B60="","",'Data Source'!S60)</f>
        <v/>
      </c>
    </row>
    <row r="61">
      <c r="A61" s="3">
        <f>IF('Data Source'!B61="","",'Data Source'!A61)</f>
        <v/>
      </c>
      <c r="B61">
        <f>IF('Data Source'!B61="","",'Data Source'!B61)</f>
        <v/>
      </c>
      <c r="C61" s="9">
        <f>IF('Data Source'!B61="","",'Data Source'!U61)</f>
        <v/>
      </c>
      <c r="D61" s="9">
        <f>IF('Data Source'!B61="","",'Data Source'!V61)</f>
        <v/>
      </c>
      <c r="E61" s="9">
        <f>IF('Data Source'!B61="","",'Data Source'!W61)</f>
        <v/>
      </c>
      <c r="F61" s="9">
        <f>IF('Data Source'!B61="","",'Data Source'!X61)</f>
        <v/>
      </c>
      <c r="G61" s="9">
        <f>IF('Data Source'!B61="","",'Data Source'!Y61)</f>
        <v/>
      </c>
      <c r="H61" s="9">
        <f>IF('Data Source'!B61="","",'Data Source'!Z61)</f>
        <v/>
      </c>
      <c r="I61" s="9">
        <f>IF('Data Source'!B61="","",'Data Source'!AA61)</f>
        <v/>
      </c>
      <c r="J61" s="9">
        <f>IF('Data Source'!B61="","",'Data Source'!AB61)</f>
        <v/>
      </c>
      <c r="K61" s="9">
        <f>IF('Data Source'!B61="","",'Data Source'!AC61)</f>
        <v/>
      </c>
      <c r="L61" s="9">
        <f>IF('Data Source'!B61="","",'Data Source'!AD61)</f>
        <v/>
      </c>
      <c r="M61" s="9">
        <f>IF('Data Source'!B61="","",'Data Source'!AE61)</f>
        <v/>
      </c>
      <c r="N61" s="9">
        <f>IF('Data Source'!B61="","",'Data Source'!AF61)</f>
        <v/>
      </c>
      <c r="O61" s="9">
        <f>IF('Data Source'!B61="","",'Data Source'!AG61)</f>
        <v/>
      </c>
      <c r="P61" s="5">
        <f>IF('Data Source'!B61="","",'Data Source'!R61)</f>
        <v/>
      </c>
      <c r="Q61" s="3">
        <f>IF('Data Source'!B61="","",'Data Source'!S61)</f>
        <v/>
      </c>
    </row>
    <row r="62">
      <c r="A62" s="3">
        <f>IF('Data Source'!B62="","",'Data Source'!A62)</f>
        <v/>
      </c>
      <c r="B62">
        <f>IF('Data Source'!B62="","",'Data Source'!B62)</f>
        <v/>
      </c>
      <c r="C62" s="9">
        <f>IF('Data Source'!B62="","",'Data Source'!U62)</f>
        <v/>
      </c>
      <c r="D62" s="9">
        <f>IF('Data Source'!B62="","",'Data Source'!V62)</f>
        <v/>
      </c>
      <c r="E62" s="9">
        <f>IF('Data Source'!B62="","",'Data Source'!W62)</f>
        <v/>
      </c>
      <c r="F62" s="9">
        <f>IF('Data Source'!B62="","",'Data Source'!X62)</f>
        <v/>
      </c>
      <c r="G62" s="9">
        <f>IF('Data Source'!B62="","",'Data Source'!Y62)</f>
        <v/>
      </c>
      <c r="H62" s="9">
        <f>IF('Data Source'!B62="","",'Data Source'!Z62)</f>
        <v/>
      </c>
      <c r="I62" s="9">
        <f>IF('Data Source'!B62="","",'Data Source'!AA62)</f>
        <v/>
      </c>
      <c r="J62" s="9">
        <f>IF('Data Source'!B62="","",'Data Source'!AB62)</f>
        <v/>
      </c>
      <c r="K62" s="9">
        <f>IF('Data Source'!B62="","",'Data Source'!AC62)</f>
        <v/>
      </c>
      <c r="L62" s="9">
        <f>IF('Data Source'!B62="","",'Data Source'!AD62)</f>
        <v/>
      </c>
      <c r="M62" s="9">
        <f>IF('Data Source'!B62="","",'Data Source'!AE62)</f>
        <v/>
      </c>
      <c r="N62" s="9">
        <f>IF('Data Source'!B62="","",'Data Source'!AF62)</f>
        <v/>
      </c>
      <c r="O62" s="9">
        <f>IF('Data Source'!B62="","",'Data Source'!AG62)</f>
        <v/>
      </c>
      <c r="P62" s="5">
        <f>IF('Data Source'!B62="","",'Data Source'!R62)</f>
        <v/>
      </c>
      <c r="Q62" s="3">
        <f>IF('Data Source'!B62="","",'Data Source'!S62)</f>
        <v/>
      </c>
    </row>
    <row r="63">
      <c r="A63" s="3">
        <f>IF('Data Source'!B63="","",'Data Source'!A63)</f>
        <v/>
      </c>
      <c r="B63">
        <f>IF('Data Source'!B63="","",'Data Source'!B63)</f>
        <v/>
      </c>
      <c r="C63" s="9">
        <f>IF('Data Source'!B63="","",'Data Source'!U63)</f>
        <v/>
      </c>
      <c r="D63" s="9">
        <f>IF('Data Source'!B63="","",'Data Source'!V63)</f>
        <v/>
      </c>
      <c r="E63" s="9">
        <f>IF('Data Source'!B63="","",'Data Source'!W63)</f>
        <v/>
      </c>
      <c r="F63" s="9">
        <f>IF('Data Source'!B63="","",'Data Source'!X63)</f>
        <v/>
      </c>
      <c r="G63" s="9">
        <f>IF('Data Source'!B63="","",'Data Source'!Y63)</f>
        <v/>
      </c>
      <c r="H63" s="9">
        <f>IF('Data Source'!B63="","",'Data Source'!Z63)</f>
        <v/>
      </c>
      <c r="I63" s="9">
        <f>IF('Data Source'!B63="","",'Data Source'!AA63)</f>
        <v/>
      </c>
      <c r="J63" s="9">
        <f>IF('Data Source'!B63="","",'Data Source'!AB63)</f>
        <v/>
      </c>
      <c r="K63" s="9">
        <f>IF('Data Source'!B63="","",'Data Source'!AC63)</f>
        <v/>
      </c>
      <c r="L63" s="9">
        <f>IF('Data Source'!B63="","",'Data Source'!AD63)</f>
        <v/>
      </c>
      <c r="M63" s="9">
        <f>IF('Data Source'!B63="","",'Data Source'!AE63)</f>
        <v/>
      </c>
      <c r="N63" s="9">
        <f>IF('Data Source'!B63="","",'Data Source'!AF63)</f>
        <v/>
      </c>
      <c r="O63" s="9">
        <f>IF('Data Source'!B63="","",'Data Source'!AG63)</f>
        <v/>
      </c>
      <c r="P63" s="5">
        <f>IF('Data Source'!B63="","",'Data Source'!R63)</f>
        <v/>
      </c>
      <c r="Q63" s="3">
        <f>IF('Data Source'!B63="","",'Data Source'!S63)</f>
        <v/>
      </c>
    </row>
    <row r="64">
      <c r="A64" s="3">
        <f>IF('Data Source'!B64="","",'Data Source'!A64)</f>
        <v/>
      </c>
      <c r="B64">
        <f>IF('Data Source'!B64="","",'Data Source'!B64)</f>
        <v/>
      </c>
      <c r="C64" s="9">
        <f>IF('Data Source'!B64="","",'Data Source'!U64)</f>
        <v/>
      </c>
      <c r="D64" s="9">
        <f>IF('Data Source'!B64="","",'Data Source'!V64)</f>
        <v/>
      </c>
      <c r="E64" s="9">
        <f>IF('Data Source'!B64="","",'Data Source'!W64)</f>
        <v/>
      </c>
      <c r="F64" s="9">
        <f>IF('Data Source'!B64="","",'Data Source'!X64)</f>
        <v/>
      </c>
      <c r="G64" s="9">
        <f>IF('Data Source'!B64="","",'Data Source'!Y64)</f>
        <v/>
      </c>
      <c r="H64" s="9">
        <f>IF('Data Source'!B64="","",'Data Source'!Z64)</f>
        <v/>
      </c>
      <c r="I64" s="9">
        <f>IF('Data Source'!B64="","",'Data Source'!AA64)</f>
        <v/>
      </c>
      <c r="J64" s="9">
        <f>IF('Data Source'!B64="","",'Data Source'!AB64)</f>
        <v/>
      </c>
      <c r="K64" s="9">
        <f>IF('Data Source'!B64="","",'Data Source'!AC64)</f>
        <v/>
      </c>
      <c r="L64" s="9">
        <f>IF('Data Source'!B64="","",'Data Source'!AD64)</f>
        <v/>
      </c>
      <c r="M64" s="9">
        <f>IF('Data Source'!B64="","",'Data Source'!AE64)</f>
        <v/>
      </c>
      <c r="N64" s="9">
        <f>IF('Data Source'!B64="","",'Data Source'!AF64)</f>
        <v/>
      </c>
      <c r="O64" s="9">
        <f>IF('Data Source'!B64="","",'Data Source'!AG64)</f>
        <v/>
      </c>
      <c r="P64" s="5">
        <f>IF('Data Source'!B64="","",'Data Source'!R64)</f>
        <v/>
      </c>
      <c r="Q64" s="3">
        <f>IF('Data Source'!B64="","",'Data Source'!S64)</f>
        <v/>
      </c>
    </row>
    <row r="65">
      <c r="A65" s="3">
        <f>IF('Data Source'!B65="","",'Data Source'!A65)</f>
        <v/>
      </c>
      <c r="B65">
        <f>IF('Data Source'!B65="","",'Data Source'!B65)</f>
        <v/>
      </c>
      <c r="C65" s="9">
        <f>IF('Data Source'!B65="","",'Data Source'!U65)</f>
        <v/>
      </c>
      <c r="D65" s="9">
        <f>IF('Data Source'!B65="","",'Data Source'!V65)</f>
        <v/>
      </c>
      <c r="E65" s="9">
        <f>IF('Data Source'!B65="","",'Data Source'!W65)</f>
        <v/>
      </c>
      <c r="F65" s="9">
        <f>IF('Data Source'!B65="","",'Data Source'!X65)</f>
        <v/>
      </c>
      <c r="G65" s="9">
        <f>IF('Data Source'!B65="","",'Data Source'!Y65)</f>
        <v/>
      </c>
      <c r="H65" s="9">
        <f>IF('Data Source'!B65="","",'Data Source'!Z65)</f>
        <v/>
      </c>
      <c r="I65" s="9">
        <f>IF('Data Source'!B65="","",'Data Source'!AA65)</f>
        <v/>
      </c>
      <c r="J65" s="9">
        <f>IF('Data Source'!B65="","",'Data Source'!AB65)</f>
        <v/>
      </c>
      <c r="K65" s="9">
        <f>IF('Data Source'!B65="","",'Data Source'!AC65)</f>
        <v/>
      </c>
      <c r="L65" s="9">
        <f>IF('Data Source'!B65="","",'Data Source'!AD65)</f>
        <v/>
      </c>
      <c r="M65" s="9">
        <f>IF('Data Source'!B65="","",'Data Source'!AE65)</f>
        <v/>
      </c>
      <c r="N65" s="9">
        <f>IF('Data Source'!B65="","",'Data Source'!AF65)</f>
        <v/>
      </c>
      <c r="O65" s="9">
        <f>IF('Data Source'!B65="","",'Data Source'!AG65)</f>
        <v/>
      </c>
      <c r="P65" s="5">
        <f>IF('Data Source'!B65="","",'Data Source'!R65)</f>
        <v/>
      </c>
      <c r="Q65" s="3">
        <f>IF('Data Source'!B65="","",'Data Source'!S65)</f>
        <v/>
      </c>
    </row>
    <row r="66">
      <c r="A66" s="3">
        <f>IF('Data Source'!B66="","",'Data Source'!A66)</f>
        <v/>
      </c>
      <c r="B66">
        <f>IF('Data Source'!B66="","",'Data Source'!B66)</f>
        <v/>
      </c>
      <c r="C66" s="9">
        <f>IF('Data Source'!B66="","",'Data Source'!U66)</f>
        <v/>
      </c>
      <c r="D66" s="9">
        <f>IF('Data Source'!B66="","",'Data Source'!V66)</f>
        <v/>
      </c>
      <c r="E66" s="9">
        <f>IF('Data Source'!B66="","",'Data Source'!W66)</f>
        <v/>
      </c>
      <c r="F66" s="9">
        <f>IF('Data Source'!B66="","",'Data Source'!X66)</f>
        <v/>
      </c>
      <c r="G66" s="9">
        <f>IF('Data Source'!B66="","",'Data Source'!Y66)</f>
        <v/>
      </c>
      <c r="H66" s="9">
        <f>IF('Data Source'!B66="","",'Data Source'!Z66)</f>
        <v/>
      </c>
      <c r="I66" s="9">
        <f>IF('Data Source'!B66="","",'Data Source'!AA66)</f>
        <v/>
      </c>
      <c r="J66" s="9">
        <f>IF('Data Source'!B66="","",'Data Source'!AB66)</f>
        <v/>
      </c>
      <c r="K66" s="9">
        <f>IF('Data Source'!B66="","",'Data Source'!AC66)</f>
        <v/>
      </c>
      <c r="L66" s="9">
        <f>IF('Data Source'!B66="","",'Data Source'!AD66)</f>
        <v/>
      </c>
      <c r="M66" s="9">
        <f>IF('Data Source'!B66="","",'Data Source'!AE66)</f>
        <v/>
      </c>
      <c r="N66" s="9">
        <f>IF('Data Source'!B66="","",'Data Source'!AF66)</f>
        <v/>
      </c>
      <c r="O66" s="9">
        <f>IF('Data Source'!B66="","",'Data Source'!AG66)</f>
        <v/>
      </c>
      <c r="P66" s="5">
        <f>IF('Data Source'!B66="","",'Data Source'!R66)</f>
        <v/>
      </c>
      <c r="Q66" s="3">
        <f>IF('Data Source'!B66="","",'Data Source'!S66)</f>
        <v/>
      </c>
    </row>
    <row r="67">
      <c r="A67" s="3">
        <f>IF('Data Source'!B67="","",'Data Source'!A67)</f>
        <v/>
      </c>
      <c r="B67">
        <f>IF('Data Source'!B67="","",'Data Source'!B67)</f>
        <v/>
      </c>
      <c r="C67" s="9">
        <f>IF('Data Source'!B67="","",'Data Source'!U67)</f>
        <v/>
      </c>
      <c r="D67" s="9">
        <f>IF('Data Source'!B67="","",'Data Source'!V67)</f>
        <v/>
      </c>
      <c r="E67" s="9">
        <f>IF('Data Source'!B67="","",'Data Source'!W67)</f>
        <v/>
      </c>
      <c r="F67" s="9">
        <f>IF('Data Source'!B67="","",'Data Source'!X67)</f>
        <v/>
      </c>
      <c r="G67" s="9">
        <f>IF('Data Source'!B67="","",'Data Source'!Y67)</f>
        <v/>
      </c>
      <c r="H67" s="9">
        <f>IF('Data Source'!B67="","",'Data Source'!Z67)</f>
        <v/>
      </c>
      <c r="I67" s="9">
        <f>IF('Data Source'!B67="","",'Data Source'!AA67)</f>
        <v/>
      </c>
      <c r="J67" s="9">
        <f>IF('Data Source'!B67="","",'Data Source'!AB67)</f>
        <v/>
      </c>
      <c r="K67" s="9">
        <f>IF('Data Source'!B67="","",'Data Source'!AC67)</f>
        <v/>
      </c>
      <c r="L67" s="9">
        <f>IF('Data Source'!B67="","",'Data Source'!AD67)</f>
        <v/>
      </c>
      <c r="M67" s="9">
        <f>IF('Data Source'!B67="","",'Data Source'!AE67)</f>
        <v/>
      </c>
      <c r="N67" s="9">
        <f>IF('Data Source'!B67="","",'Data Source'!AF67)</f>
        <v/>
      </c>
      <c r="O67" s="9">
        <f>IF('Data Source'!B67="","",'Data Source'!AG67)</f>
        <v/>
      </c>
      <c r="P67" s="5">
        <f>IF('Data Source'!B67="","",'Data Source'!R67)</f>
        <v/>
      </c>
      <c r="Q67" s="3">
        <f>IF('Data Source'!B67="","",'Data Source'!S67)</f>
        <v/>
      </c>
    </row>
    <row r="68">
      <c r="A68" s="3">
        <f>IF('Data Source'!B68="","",'Data Source'!A68)</f>
        <v/>
      </c>
      <c r="B68">
        <f>IF('Data Source'!B68="","",'Data Source'!B68)</f>
        <v/>
      </c>
      <c r="C68" s="9">
        <f>IF('Data Source'!B68="","",'Data Source'!U68)</f>
        <v/>
      </c>
      <c r="D68" s="9">
        <f>IF('Data Source'!B68="","",'Data Source'!V68)</f>
        <v/>
      </c>
      <c r="E68" s="9">
        <f>IF('Data Source'!B68="","",'Data Source'!W68)</f>
        <v/>
      </c>
      <c r="F68" s="9">
        <f>IF('Data Source'!B68="","",'Data Source'!X68)</f>
        <v/>
      </c>
      <c r="G68" s="9">
        <f>IF('Data Source'!B68="","",'Data Source'!Y68)</f>
        <v/>
      </c>
      <c r="H68" s="9">
        <f>IF('Data Source'!B68="","",'Data Source'!Z68)</f>
        <v/>
      </c>
      <c r="I68" s="9">
        <f>IF('Data Source'!B68="","",'Data Source'!AA68)</f>
        <v/>
      </c>
      <c r="J68" s="9">
        <f>IF('Data Source'!B68="","",'Data Source'!AB68)</f>
        <v/>
      </c>
      <c r="K68" s="9">
        <f>IF('Data Source'!B68="","",'Data Source'!AC68)</f>
        <v/>
      </c>
      <c r="L68" s="9">
        <f>IF('Data Source'!B68="","",'Data Source'!AD68)</f>
        <v/>
      </c>
      <c r="M68" s="9">
        <f>IF('Data Source'!B68="","",'Data Source'!AE68)</f>
        <v/>
      </c>
      <c r="N68" s="9">
        <f>IF('Data Source'!B68="","",'Data Source'!AF68)</f>
        <v/>
      </c>
      <c r="O68" s="9">
        <f>IF('Data Source'!B68="","",'Data Source'!AG68)</f>
        <v/>
      </c>
      <c r="P68" s="5">
        <f>IF('Data Source'!B68="","",'Data Source'!R68)</f>
        <v/>
      </c>
      <c r="Q68" s="3">
        <f>IF('Data Source'!B68="","",'Data Source'!S68)</f>
        <v/>
      </c>
    </row>
    <row r="69">
      <c r="A69" s="3">
        <f>IF('Data Source'!B69="","",'Data Source'!A69)</f>
        <v/>
      </c>
      <c r="B69">
        <f>IF('Data Source'!B69="","",'Data Source'!B69)</f>
        <v/>
      </c>
      <c r="C69" s="9">
        <f>IF('Data Source'!B69="","",'Data Source'!U69)</f>
        <v/>
      </c>
      <c r="D69" s="9">
        <f>IF('Data Source'!B69="","",'Data Source'!V69)</f>
        <v/>
      </c>
      <c r="E69" s="9">
        <f>IF('Data Source'!B69="","",'Data Source'!W69)</f>
        <v/>
      </c>
      <c r="F69" s="9">
        <f>IF('Data Source'!B69="","",'Data Source'!X69)</f>
        <v/>
      </c>
      <c r="G69" s="9">
        <f>IF('Data Source'!B69="","",'Data Source'!Y69)</f>
        <v/>
      </c>
      <c r="H69" s="9">
        <f>IF('Data Source'!B69="","",'Data Source'!Z69)</f>
        <v/>
      </c>
      <c r="I69" s="9">
        <f>IF('Data Source'!B69="","",'Data Source'!AA69)</f>
        <v/>
      </c>
      <c r="J69" s="9">
        <f>IF('Data Source'!B69="","",'Data Source'!AB69)</f>
        <v/>
      </c>
      <c r="K69" s="9">
        <f>IF('Data Source'!B69="","",'Data Source'!AC69)</f>
        <v/>
      </c>
      <c r="L69" s="9">
        <f>IF('Data Source'!B69="","",'Data Source'!AD69)</f>
        <v/>
      </c>
      <c r="M69" s="9">
        <f>IF('Data Source'!B69="","",'Data Source'!AE69)</f>
        <v/>
      </c>
      <c r="N69" s="9">
        <f>IF('Data Source'!B69="","",'Data Source'!AF69)</f>
        <v/>
      </c>
      <c r="O69" s="9">
        <f>IF('Data Source'!B69="","",'Data Source'!AG69)</f>
        <v/>
      </c>
      <c r="P69" s="5">
        <f>IF('Data Source'!B69="","",'Data Source'!R69)</f>
        <v/>
      </c>
      <c r="Q69" s="3">
        <f>IF('Data Source'!B69="","",'Data Source'!S69)</f>
        <v/>
      </c>
    </row>
    <row r="70">
      <c r="A70" s="3">
        <f>IF('Data Source'!B70="","",'Data Source'!A70)</f>
        <v/>
      </c>
      <c r="B70">
        <f>IF('Data Source'!B70="","",'Data Source'!B70)</f>
        <v/>
      </c>
      <c r="C70" s="9">
        <f>IF('Data Source'!B70="","",'Data Source'!U70)</f>
        <v/>
      </c>
      <c r="D70" s="9">
        <f>IF('Data Source'!B70="","",'Data Source'!V70)</f>
        <v/>
      </c>
      <c r="E70" s="9">
        <f>IF('Data Source'!B70="","",'Data Source'!W70)</f>
        <v/>
      </c>
      <c r="F70" s="9">
        <f>IF('Data Source'!B70="","",'Data Source'!X70)</f>
        <v/>
      </c>
      <c r="G70" s="9">
        <f>IF('Data Source'!B70="","",'Data Source'!Y70)</f>
        <v/>
      </c>
      <c r="H70" s="9">
        <f>IF('Data Source'!B70="","",'Data Source'!Z70)</f>
        <v/>
      </c>
      <c r="I70" s="9">
        <f>IF('Data Source'!B70="","",'Data Source'!AA70)</f>
        <v/>
      </c>
      <c r="J70" s="9">
        <f>IF('Data Source'!B70="","",'Data Source'!AB70)</f>
        <v/>
      </c>
      <c r="K70" s="9">
        <f>IF('Data Source'!B70="","",'Data Source'!AC70)</f>
        <v/>
      </c>
      <c r="L70" s="9">
        <f>IF('Data Source'!B70="","",'Data Source'!AD70)</f>
        <v/>
      </c>
      <c r="M70" s="9">
        <f>IF('Data Source'!B70="","",'Data Source'!AE70)</f>
        <v/>
      </c>
      <c r="N70" s="9">
        <f>IF('Data Source'!B70="","",'Data Source'!AF70)</f>
        <v/>
      </c>
      <c r="O70" s="9">
        <f>IF('Data Source'!B70="","",'Data Source'!AG70)</f>
        <v/>
      </c>
      <c r="P70" s="5">
        <f>IF('Data Source'!B70="","",'Data Source'!R70)</f>
        <v/>
      </c>
      <c r="Q70" s="3">
        <f>IF('Data Source'!B70="","",'Data Source'!S70)</f>
        <v/>
      </c>
    </row>
    <row r="71">
      <c r="A71" s="3">
        <f>IF('Data Source'!B71="","",'Data Source'!A71)</f>
        <v/>
      </c>
      <c r="B71">
        <f>IF('Data Source'!B71="","",'Data Source'!B71)</f>
        <v/>
      </c>
      <c r="C71" s="9">
        <f>IF('Data Source'!B71="","",'Data Source'!U71)</f>
        <v/>
      </c>
      <c r="D71" s="9">
        <f>IF('Data Source'!B71="","",'Data Source'!V71)</f>
        <v/>
      </c>
      <c r="E71" s="9">
        <f>IF('Data Source'!B71="","",'Data Source'!W71)</f>
        <v/>
      </c>
      <c r="F71" s="9">
        <f>IF('Data Source'!B71="","",'Data Source'!X71)</f>
        <v/>
      </c>
      <c r="G71" s="9">
        <f>IF('Data Source'!B71="","",'Data Source'!Y71)</f>
        <v/>
      </c>
      <c r="H71" s="9">
        <f>IF('Data Source'!B71="","",'Data Source'!Z71)</f>
        <v/>
      </c>
      <c r="I71" s="9">
        <f>IF('Data Source'!B71="","",'Data Source'!AA71)</f>
        <v/>
      </c>
      <c r="J71" s="9">
        <f>IF('Data Source'!B71="","",'Data Source'!AB71)</f>
        <v/>
      </c>
      <c r="K71" s="9">
        <f>IF('Data Source'!B71="","",'Data Source'!AC71)</f>
        <v/>
      </c>
      <c r="L71" s="9">
        <f>IF('Data Source'!B71="","",'Data Source'!AD71)</f>
        <v/>
      </c>
      <c r="M71" s="9">
        <f>IF('Data Source'!B71="","",'Data Source'!AE71)</f>
        <v/>
      </c>
      <c r="N71" s="9">
        <f>IF('Data Source'!B71="","",'Data Source'!AF71)</f>
        <v/>
      </c>
      <c r="O71" s="9">
        <f>IF('Data Source'!B71="","",'Data Source'!AG71)</f>
        <v/>
      </c>
      <c r="P71" s="5">
        <f>IF('Data Source'!B71="","",'Data Source'!R71)</f>
        <v/>
      </c>
      <c r="Q71" s="3">
        <f>IF('Data Source'!B71="","",'Data Source'!S71)</f>
        <v/>
      </c>
    </row>
    <row r="72">
      <c r="A72" s="3">
        <f>IF('Data Source'!B72="","",'Data Source'!A72)</f>
        <v/>
      </c>
      <c r="B72">
        <f>IF('Data Source'!B72="","",'Data Source'!B72)</f>
        <v/>
      </c>
      <c r="C72" s="9">
        <f>IF('Data Source'!B72="","",'Data Source'!U72)</f>
        <v/>
      </c>
      <c r="D72" s="9">
        <f>IF('Data Source'!B72="","",'Data Source'!V72)</f>
        <v/>
      </c>
      <c r="E72" s="9">
        <f>IF('Data Source'!B72="","",'Data Source'!W72)</f>
        <v/>
      </c>
      <c r="F72" s="9">
        <f>IF('Data Source'!B72="","",'Data Source'!X72)</f>
        <v/>
      </c>
      <c r="G72" s="9">
        <f>IF('Data Source'!B72="","",'Data Source'!Y72)</f>
        <v/>
      </c>
      <c r="H72" s="9">
        <f>IF('Data Source'!B72="","",'Data Source'!Z72)</f>
        <v/>
      </c>
      <c r="I72" s="9">
        <f>IF('Data Source'!B72="","",'Data Source'!AA72)</f>
        <v/>
      </c>
      <c r="J72" s="9">
        <f>IF('Data Source'!B72="","",'Data Source'!AB72)</f>
        <v/>
      </c>
      <c r="K72" s="9">
        <f>IF('Data Source'!B72="","",'Data Source'!AC72)</f>
        <v/>
      </c>
      <c r="L72" s="9">
        <f>IF('Data Source'!B72="","",'Data Source'!AD72)</f>
        <v/>
      </c>
      <c r="M72" s="9">
        <f>IF('Data Source'!B72="","",'Data Source'!AE72)</f>
        <v/>
      </c>
      <c r="N72" s="9">
        <f>IF('Data Source'!B72="","",'Data Source'!AF72)</f>
        <v/>
      </c>
      <c r="O72" s="9">
        <f>IF('Data Source'!B72="","",'Data Source'!AG72)</f>
        <v/>
      </c>
      <c r="P72" s="5">
        <f>IF('Data Source'!B72="","",'Data Source'!R72)</f>
        <v/>
      </c>
      <c r="Q72" s="3">
        <f>IF('Data Source'!B72="","",'Data Source'!S72)</f>
        <v/>
      </c>
    </row>
    <row r="73">
      <c r="A73" s="3">
        <f>IF('Data Source'!B73="","",'Data Source'!A73)</f>
        <v/>
      </c>
      <c r="B73">
        <f>IF('Data Source'!B73="","",'Data Source'!B73)</f>
        <v/>
      </c>
      <c r="C73" s="9">
        <f>IF('Data Source'!B73="","",'Data Source'!U73)</f>
        <v/>
      </c>
      <c r="D73" s="9">
        <f>IF('Data Source'!B73="","",'Data Source'!V73)</f>
        <v/>
      </c>
      <c r="E73" s="9">
        <f>IF('Data Source'!B73="","",'Data Source'!W73)</f>
        <v/>
      </c>
      <c r="F73" s="9">
        <f>IF('Data Source'!B73="","",'Data Source'!X73)</f>
        <v/>
      </c>
      <c r="G73" s="9">
        <f>IF('Data Source'!B73="","",'Data Source'!Y73)</f>
        <v/>
      </c>
      <c r="H73" s="9">
        <f>IF('Data Source'!B73="","",'Data Source'!Z73)</f>
        <v/>
      </c>
      <c r="I73" s="9">
        <f>IF('Data Source'!B73="","",'Data Source'!AA73)</f>
        <v/>
      </c>
      <c r="J73" s="9">
        <f>IF('Data Source'!B73="","",'Data Source'!AB73)</f>
        <v/>
      </c>
      <c r="K73" s="9">
        <f>IF('Data Source'!B73="","",'Data Source'!AC73)</f>
        <v/>
      </c>
      <c r="L73" s="9">
        <f>IF('Data Source'!B73="","",'Data Source'!AD73)</f>
        <v/>
      </c>
      <c r="M73" s="9">
        <f>IF('Data Source'!B73="","",'Data Source'!AE73)</f>
        <v/>
      </c>
      <c r="N73" s="9">
        <f>IF('Data Source'!B73="","",'Data Source'!AF73)</f>
        <v/>
      </c>
      <c r="O73" s="9">
        <f>IF('Data Source'!B73="","",'Data Source'!AG73)</f>
        <v/>
      </c>
      <c r="P73" s="5">
        <f>IF('Data Source'!B73="","",'Data Source'!R73)</f>
        <v/>
      </c>
      <c r="Q73" s="3">
        <f>IF('Data Source'!B73="","",'Data Source'!S73)</f>
        <v/>
      </c>
    </row>
    <row r="74">
      <c r="A74" s="3">
        <f>IF('Data Source'!B74="","",'Data Source'!A74)</f>
        <v/>
      </c>
      <c r="B74">
        <f>IF('Data Source'!B74="","",'Data Source'!B74)</f>
        <v/>
      </c>
      <c r="C74" s="9">
        <f>IF('Data Source'!B74="","",'Data Source'!U74)</f>
        <v/>
      </c>
      <c r="D74" s="9">
        <f>IF('Data Source'!B74="","",'Data Source'!V74)</f>
        <v/>
      </c>
      <c r="E74" s="9">
        <f>IF('Data Source'!B74="","",'Data Source'!W74)</f>
        <v/>
      </c>
      <c r="F74" s="9">
        <f>IF('Data Source'!B74="","",'Data Source'!X74)</f>
        <v/>
      </c>
      <c r="G74" s="9">
        <f>IF('Data Source'!B74="","",'Data Source'!Y74)</f>
        <v/>
      </c>
      <c r="H74" s="9">
        <f>IF('Data Source'!B74="","",'Data Source'!Z74)</f>
        <v/>
      </c>
      <c r="I74" s="9">
        <f>IF('Data Source'!B74="","",'Data Source'!AA74)</f>
        <v/>
      </c>
      <c r="J74" s="9">
        <f>IF('Data Source'!B74="","",'Data Source'!AB74)</f>
        <v/>
      </c>
      <c r="K74" s="9">
        <f>IF('Data Source'!B74="","",'Data Source'!AC74)</f>
        <v/>
      </c>
      <c r="L74" s="9">
        <f>IF('Data Source'!B74="","",'Data Source'!AD74)</f>
        <v/>
      </c>
      <c r="M74" s="9">
        <f>IF('Data Source'!B74="","",'Data Source'!AE74)</f>
        <v/>
      </c>
      <c r="N74" s="9">
        <f>IF('Data Source'!B74="","",'Data Source'!AF74)</f>
        <v/>
      </c>
      <c r="O74" s="9">
        <f>IF('Data Source'!B74="","",'Data Source'!AG74)</f>
        <v/>
      </c>
      <c r="P74" s="5">
        <f>IF('Data Source'!B74="","",'Data Source'!R74)</f>
        <v/>
      </c>
      <c r="Q74" s="3">
        <f>IF('Data Source'!B74="","",'Data Source'!S74)</f>
        <v/>
      </c>
    </row>
    <row r="75">
      <c r="A75" s="3">
        <f>IF('Data Source'!B75="","",'Data Source'!A75)</f>
        <v/>
      </c>
      <c r="B75">
        <f>IF('Data Source'!B75="","",'Data Source'!B75)</f>
        <v/>
      </c>
      <c r="C75" s="9">
        <f>IF('Data Source'!B75="","",'Data Source'!U75)</f>
        <v/>
      </c>
      <c r="D75" s="9">
        <f>IF('Data Source'!B75="","",'Data Source'!V75)</f>
        <v/>
      </c>
      <c r="E75" s="9">
        <f>IF('Data Source'!B75="","",'Data Source'!W75)</f>
        <v/>
      </c>
      <c r="F75" s="9">
        <f>IF('Data Source'!B75="","",'Data Source'!X75)</f>
        <v/>
      </c>
      <c r="G75" s="9">
        <f>IF('Data Source'!B75="","",'Data Source'!Y75)</f>
        <v/>
      </c>
      <c r="H75" s="9">
        <f>IF('Data Source'!B75="","",'Data Source'!Z75)</f>
        <v/>
      </c>
      <c r="I75" s="9">
        <f>IF('Data Source'!B75="","",'Data Source'!AA75)</f>
        <v/>
      </c>
      <c r="J75" s="9">
        <f>IF('Data Source'!B75="","",'Data Source'!AB75)</f>
        <v/>
      </c>
      <c r="K75" s="9">
        <f>IF('Data Source'!B75="","",'Data Source'!AC75)</f>
        <v/>
      </c>
      <c r="L75" s="9">
        <f>IF('Data Source'!B75="","",'Data Source'!AD75)</f>
        <v/>
      </c>
      <c r="M75" s="9">
        <f>IF('Data Source'!B75="","",'Data Source'!AE75)</f>
        <v/>
      </c>
      <c r="N75" s="9">
        <f>IF('Data Source'!B75="","",'Data Source'!AF75)</f>
        <v/>
      </c>
      <c r="O75" s="9">
        <f>IF('Data Source'!B75="","",'Data Source'!AG75)</f>
        <v/>
      </c>
      <c r="P75" s="5">
        <f>IF('Data Source'!B75="","",'Data Source'!R75)</f>
        <v/>
      </c>
      <c r="Q75" s="3">
        <f>IF('Data Source'!B75="","",'Data Source'!S75)</f>
        <v/>
      </c>
    </row>
    <row r="76">
      <c r="A76" s="3">
        <f>IF('Data Source'!B76="","",'Data Source'!A76)</f>
        <v/>
      </c>
      <c r="B76">
        <f>IF('Data Source'!B76="","",'Data Source'!B76)</f>
        <v/>
      </c>
      <c r="C76" s="9">
        <f>IF('Data Source'!B76="","",'Data Source'!U76)</f>
        <v/>
      </c>
      <c r="D76" s="9">
        <f>IF('Data Source'!B76="","",'Data Source'!V76)</f>
        <v/>
      </c>
      <c r="E76" s="9">
        <f>IF('Data Source'!B76="","",'Data Source'!W76)</f>
        <v/>
      </c>
      <c r="F76" s="9">
        <f>IF('Data Source'!B76="","",'Data Source'!X76)</f>
        <v/>
      </c>
      <c r="G76" s="9">
        <f>IF('Data Source'!B76="","",'Data Source'!Y76)</f>
        <v/>
      </c>
      <c r="H76" s="9">
        <f>IF('Data Source'!B76="","",'Data Source'!Z76)</f>
        <v/>
      </c>
      <c r="I76" s="9">
        <f>IF('Data Source'!B76="","",'Data Source'!AA76)</f>
        <v/>
      </c>
      <c r="J76" s="9">
        <f>IF('Data Source'!B76="","",'Data Source'!AB76)</f>
        <v/>
      </c>
      <c r="K76" s="9">
        <f>IF('Data Source'!B76="","",'Data Source'!AC76)</f>
        <v/>
      </c>
      <c r="L76" s="9">
        <f>IF('Data Source'!B76="","",'Data Source'!AD76)</f>
        <v/>
      </c>
      <c r="M76" s="9">
        <f>IF('Data Source'!B76="","",'Data Source'!AE76)</f>
        <v/>
      </c>
      <c r="N76" s="9">
        <f>IF('Data Source'!B76="","",'Data Source'!AF76)</f>
        <v/>
      </c>
      <c r="O76" s="9">
        <f>IF('Data Source'!B76="","",'Data Source'!AG76)</f>
        <v/>
      </c>
      <c r="P76" s="5">
        <f>IF('Data Source'!B76="","",'Data Source'!R76)</f>
        <v/>
      </c>
      <c r="Q76" s="3">
        <f>IF('Data Source'!B76="","",'Data Source'!S76)</f>
        <v/>
      </c>
    </row>
    <row r="77">
      <c r="A77" s="3">
        <f>IF('Data Source'!B77="","",'Data Source'!A77)</f>
        <v/>
      </c>
      <c r="B77">
        <f>IF('Data Source'!B77="","",'Data Source'!B77)</f>
        <v/>
      </c>
      <c r="C77" s="9">
        <f>IF('Data Source'!B77="","",'Data Source'!U77)</f>
        <v/>
      </c>
      <c r="D77" s="9">
        <f>IF('Data Source'!B77="","",'Data Source'!V77)</f>
        <v/>
      </c>
      <c r="E77" s="9">
        <f>IF('Data Source'!B77="","",'Data Source'!W77)</f>
        <v/>
      </c>
      <c r="F77" s="9">
        <f>IF('Data Source'!B77="","",'Data Source'!X77)</f>
        <v/>
      </c>
      <c r="G77" s="9">
        <f>IF('Data Source'!B77="","",'Data Source'!Y77)</f>
        <v/>
      </c>
      <c r="H77" s="9">
        <f>IF('Data Source'!B77="","",'Data Source'!Z77)</f>
        <v/>
      </c>
      <c r="I77" s="9">
        <f>IF('Data Source'!B77="","",'Data Source'!AA77)</f>
        <v/>
      </c>
      <c r="J77" s="9">
        <f>IF('Data Source'!B77="","",'Data Source'!AB77)</f>
        <v/>
      </c>
      <c r="K77" s="9">
        <f>IF('Data Source'!B77="","",'Data Source'!AC77)</f>
        <v/>
      </c>
      <c r="L77" s="9">
        <f>IF('Data Source'!B77="","",'Data Source'!AD77)</f>
        <v/>
      </c>
      <c r="M77" s="9">
        <f>IF('Data Source'!B77="","",'Data Source'!AE77)</f>
        <v/>
      </c>
      <c r="N77" s="9">
        <f>IF('Data Source'!B77="","",'Data Source'!AF77)</f>
        <v/>
      </c>
      <c r="O77" s="9">
        <f>IF('Data Source'!B77="","",'Data Source'!AG77)</f>
        <v/>
      </c>
      <c r="P77" s="5">
        <f>IF('Data Source'!B77="","",'Data Source'!R77)</f>
        <v/>
      </c>
      <c r="Q77" s="3">
        <f>IF('Data Source'!B77="","",'Data Source'!S77)</f>
        <v/>
      </c>
    </row>
    <row r="78">
      <c r="A78" s="3">
        <f>IF('Data Source'!B78="","",'Data Source'!A78)</f>
        <v/>
      </c>
      <c r="B78">
        <f>IF('Data Source'!B78="","",'Data Source'!B78)</f>
        <v/>
      </c>
      <c r="C78" s="9">
        <f>IF('Data Source'!B78="","",'Data Source'!U78)</f>
        <v/>
      </c>
      <c r="D78" s="9">
        <f>IF('Data Source'!B78="","",'Data Source'!V78)</f>
        <v/>
      </c>
      <c r="E78" s="9">
        <f>IF('Data Source'!B78="","",'Data Source'!W78)</f>
        <v/>
      </c>
      <c r="F78" s="9">
        <f>IF('Data Source'!B78="","",'Data Source'!X78)</f>
        <v/>
      </c>
      <c r="G78" s="9">
        <f>IF('Data Source'!B78="","",'Data Source'!Y78)</f>
        <v/>
      </c>
      <c r="H78" s="9">
        <f>IF('Data Source'!B78="","",'Data Source'!Z78)</f>
        <v/>
      </c>
      <c r="I78" s="9">
        <f>IF('Data Source'!B78="","",'Data Source'!AA78)</f>
        <v/>
      </c>
      <c r="J78" s="9">
        <f>IF('Data Source'!B78="","",'Data Source'!AB78)</f>
        <v/>
      </c>
      <c r="K78" s="9">
        <f>IF('Data Source'!B78="","",'Data Source'!AC78)</f>
        <v/>
      </c>
      <c r="L78" s="9">
        <f>IF('Data Source'!B78="","",'Data Source'!AD78)</f>
        <v/>
      </c>
      <c r="M78" s="9">
        <f>IF('Data Source'!B78="","",'Data Source'!AE78)</f>
        <v/>
      </c>
      <c r="N78" s="9">
        <f>IF('Data Source'!B78="","",'Data Source'!AF78)</f>
        <v/>
      </c>
      <c r="O78" s="9">
        <f>IF('Data Source'!B78="","",'Data Source'!AG78)</f>
        <v/>
      </c>
      <c r="P78" s="5">
        <f>IF('Data Source'!B78="","",'Data Source'!R78)</f>
        <v/>
      </c>
      <c r="Q78" s="3">
        <f>IF('Data Source'!B78="","",'Data Source'!S78)</f>
        <v/>
      </c>
    </row>
    <row r="79">
      <c r="A79" s="3">
        <f>IF('Data Source'!B79="","",'Data Source'!A79)</f>
        <v/>
      </c>
      <c r="B79">
        <f>IF('Data Source'!B79="","",'Data Source'!B79)</f>
        <v/>
      </c>
      <c r="C79" s="9">
        <f>IF('Data Source'!B79="","",'Data Source'!U79)</f>
        <v/>
      </c>
      <c r="D79" s="9">
        <f>IF('Data Source'!B79="","",'Data Source'!V79)</f>
        <v/>
      </c>
      <c r="E79" s="9">
        <f>IF('Data Source'!B79="","",'Data Source'!W79)</f>
        <v/>
      </c>
      <c r="F79" s="9">
        <f>IF('Data Source'!B79="","",'Data Source'!X79)</f>
        <v/>
      </c>
      <c r="G79" s="9">
        <f>IF('Data Source'!B79="","",'Data Source'!Y79)</f>
        <v/>
      </c>
      <c r="H79" s="9">
        <f>IF('Data Source'!B79="","",'Data Source'!Z79)</f>
        <v/>
      </c>
      <c r="I79" s="9">
        <f>IF('Data Source'!B79="","",'Data Source'!AA79)</f>
        <v/>
      </c>
      <c r="J79" s="9">
        <f>IF('Data Source'!B79="","",'Data Source'!AB79)</f>
        <v/>
      </c>
      <c r="K79" s="9">
        <f>IF('Data Source'!B79="","",'Data Source'!AC79)</f>
        <v/>
      </c>
      <c r="L79" s="9">
        <f>IF('Data Source'!B79="","",'Data Source'!AD79)</f>
        <v/>
      </c>
      <c r="M79" s="9">
        <f>IF('Data Source'!B79="","",'Data Source'!AE79)</f>
        <v/>
      </c>
      <c r="N79" s="9">
        <f>IF('Data Source'!B79="","",'Data Source'!AF79)</f>
        <v/>
      </c>
      <c r="O79" s="9">
        <f>IF('Data Source'!B79="","",'Data Source'!AG79)</f>
        <v/>
      </c>
      <c r="P79" s="5">
        <f>IF('Data Source'!B79="","",'Data Source'!R79)</f>
        <v/>
      </c>
      <c r="Q79" s="3">
        <f>IF('Data Source'!B79="","",'Data Source'!S79)</f>
        <v/>
      </c>
    </row>
    <row r="80">
      <c r="A80" s="3">
        <f>IF('Data Source'!B80="","",'Data Source'!A80)</f>
        <v/>
      </c>
      <c r="B80">
        <f>IF('Data Source'!B80="","",'Data Source'!B80)</f>
        <v/>
      </c>
      <c r="C80" s="9">
        <f>IF('Data Source'!B80="","",'Data Source'!U80)</f>
        <v/>
      </c>
      <c r="D80" s="9">
        <f>IF('Data Source'!B80="","",'Data Source'!V80)</f>
        <v/>
      </c>
      <c r="E80" s="9">
        <f>IF('Data Source'!B80="","",'Data Source'!W80)</f>
        <v/>
      </c>
      <c r="F80" s="9">
        <f>IF('Data Source'!B80="","",'Data Source'!X80)</f>
        <v/>
      </c>
      <c r="G80" s="9">
        <f>IF('Data Source'!B80="","",'Data Source'!Y80)</f>
        <v/>
      </c>
      <c r="H80" s="9">
        <f>IF('Data Source'!B80="","",'Data Source'!Z80)</f>
        <v/>
      </c>
      <c r="I80" s="9">
        <f>IF('Data Source'!B80="","",'Data Source'!AA80)</f>
        <v/>
      </c>
      <c r="J80" s="9">
        <f>IF('Data Source'!B80="","",'Data Source'!AB80)</f>
        <v/>
      </c>
      <c r="K80" s="9">
        <f>IF('Data Source'!B80="","",'Data Source'!AC80)</f>
        <v/>
      </c>
      <c r="L80" s="9">
        <f>IF('Data Source'!B80="","",'Data Source'!AD80)</f>
        <v/>
      </c>
      <c r="M80" s="9">
        <f>IF('Data Source'!B80="","",'Data Source'!AE80)</f>
        <v/>
      </c>
      <c r="N80" s="9">
        <f>IF('Data Source'!B80="","",'Data Source'!AF80)</f>
        <v/>
      </c>
      <c r="O80" s="9">
        <f>IF('Data Source'!B80="","",'Data Source'!AG80)</f>
        <v/>
      </c>
      <c r="P80" s="5">
        <f>IF('Data Source'!B80="","",'Data Source'!R80)</f>
        <v/>
      </c>
      <c r="Q80" s="3">
        <f>IF('Data Source'!B80="","",'Data Source'!S80)</f>
        <v/>
      </c>
    </row>
    <row r="81">
      <c r="A81" s="3">
        <f>IF('Data Source'!B81="","",'Data Source'!A81)</f>
        <v/>
      </c>
      <c r="B81">
        <f>IF('Data Source'!B81="","",'Data Source'!B81)</f>
        <v/>
      </c>
      <c r="C81" s="9">
        <f>IF('Data Source'!B81="","",'Data Source'!U81)</f>
        <v/>
      </c>
      <c r="D81" s="9">
        <f>IF('Data Source'!B81="","",'Data Source'!V81)</f>
        <v/>
      </c>
      <c r="E81" s="9">
        <f>IF('Data Source'!B81="","",'Data Source'!W81)</f>
        <v/>
      </c>
      <c r="F81" s="9">
        <f>IF('Data Source'!B81="","",'Data Source'!X81)</f>
        <v/>
      </c>
      <c r="G81" s="9">
        <f>IF('Data Source'!B81="","",'Data Source'!Y81)</f>
        <v/>
      </c>
      <c r="H81" s="9">
        <f>IF('Data Source'!B81="","",'Data Source'!Z81)</f>
        <v/>
      </c>
      <c r="I81" s="9">
        <f>IF('Data Source'!B81="","",'Data Source'!AA81)</f>
        <v/>
      </c>
      <c r="J81" s="9">
        <f>IF('Data Source'!B81="","",'Data Source'!AB81)</f>
        <v/>
      </c>
      <c r="K81" s="9">
        <f>IF('Data Source'!B81="","",'Data Source'!AC81)</f>
        <v/>
      </c>
      <c r="L81" s="9">
        <f>IF('Data Source'!B81="","",'Data Source'!AD81)</f>
        <v/>
      </c>
      <c r="M81" s="9">
        <f>IF('Data Source'!B81="","",'Data Source'!AE81)</f>
        <v/>
      </c>
      <c r="N81" s="9">
        <f>IF('Data Source'!B81="","",'Data Source'!AF81)</f>
        <v/>
      </c>
      <c r="O81" s="9">
        <f>IF('Data Source'!B81="","",'Data Source'!AG81)</f>
        <v/>
      </c>
      <c r="P81" s="5">
        <f>IF('Data Source'!B81="","",'Data Source'!R81)</f>
        <v/>
      </c>
      <c r="Q81" s="3">
        <f>IF('Data Source'!B81="","",'Data Source'!S81)</f>
        <v/>
      </c>
    </row>
    <row r="82">
      <c r="A82" s="3">
        <f>IF('Data Source'!B82="","",'Data Source'!A82)</f>
        <v/>
      </c>
      <c r="B82">
        <f>IF('Data Source'!B82="","",'Data Source'!B82)</f>
        <v/>
      </c>
      <c r="C82" s="9">
        <f>IF('Data Source'!B82="","",'Data Source'!U82)</f>
        <v/>
      </c>
      <c r="D82" s="9">
        <f>IF('Data Source'!B82="","",'Data Source'!V82)</f>
        <v/>
      </c>
      <c r="E82" s="9">
        <f>IF('Data Source'!B82="","",'Data Source'!W82)</f>
        <v/>
      </c>
      <c r="F82" s="9">
        <f>IF('Data Source'!B82="","",'Data Source'!X82)</f>
        <v/>
      </c>
      <c r="G82" s="9">
        <f>IF('Data Source'!B82="","",'Data Source'!Y82)</f>
        <v/>
      </c>
      <c r="H82" s="9">
        <f>IF('Data Source'!B82="","",'Data Source'!Z82)</f>
        <v/>
      </c>
      <c r="I82" s="9">
        <f>IF('Data Source'!B82="","",'Data Source'!AA82)</f>
        <v/>
      </c>
      <c r="J82" s="9">
        <f>IF('Data Source'!B82="","",'Data Source'!AB82)</f>
        <v/>
      </c>
      <c r="K82" s="9">
        <f>IF('Data Source'!B82="","",'Data Source'!AC82)</f>
        <v/>
      </c>
      <c r="L82" s="9">
        <f>IF('Data Source'!B82="","",'Data Source'!AD82)</f>
        <v/>
      </c>
      <c r="M82" s="9">
        <f>IF('Data Source'!B82="","",'Data Source'!AE82)</f>
        <v/>
      </c>
      <c r="N82" s="9">
        <f>IF('Data Source'!B82="","",'Data Source'!AF82)</f>
        <v/>
      </c>
      <c r="O82" s="9">
        <f>IF('Data Source'!B82="","",'Data Source'!AG82)</f>
        <v/>
      </c>
      <c r="P82" s="5">
        <f>IF('Data Source'!B82="","",'Data Source'!R82)</f>
        <v/>
      </c>
      <c r="Q82" s="3">
        <f>IF('Data Source'!B82="","",'Data Source'!S82)</f>
        <v/>
      </c>
    </row>
    <row r="83">
      <c r="A83" s="3">
        <f>IF('Data Source'!B83="","",'Data Source'!A83)</f>
        <v/>
      </c>
      <c r="B83">
        <f>IF('Data Source'!B83="","",'Data Source'!B83)</f>
        <v/>
      </c>
      <c r="C83" s="9">
        <f>IF('Data Source'!B83="","",'Data Source'!U83)</f>
        <v/>
      </c>
      <c r="D83" s="9">
        <f>IF('Data Source'!B83="","",'Data Source'!V83)</f>
        <v/>
      </c>
      <c r="E83" s="9">
        <f>IF('Data Source'!B83="","",'Data Source'!W83)</f>
        <v/>
      </c>
      <c r="F83" s="9">
        <f>IF('Data Source'!B83="","",'Data Source'!X83)</f>
        <v/>
      </c>
      <c r="G83" s="9">
        <f>IF('Data Source'!B83="","",'Data Source'!Y83)</f>
        <v/>
      </c>
      <c r="H83" s="9">
        <f>IF('Data Source'!B83="","",'Data Source'!Z83)</f>
        <v/>
      </c>
      <c r="I83" s="9">
        <f>IF('Data Source'!B83="","",'Data Source'!AA83)</f>
        <v/>
      </c>
      <c r="J83" s="9">
        <f>IF('Data Source'!B83="","",'Data Source'!AB83)</f>
        <v/>
      </c>
      <c r="K83" s="9">
        <f>IF('Data Source'!B83="","",'Data Source'!AC83)</f>
        <v/>
      </c>
      <c r="L83" s="9">
        <f>IF('Data Source'!B83="","",'Data Source'!AD83)</f>
        <v/>
      </c>
      <c r="M83" s="9">
        <f>IF('Data Source'!B83="","",'Data Source'!AE83)</f>
        <v/>
      </c>
      <c r="N83" s="9">
        <f>IF('Data Source'!B83="","",'Data Source'!AF83)</f>
        <v/>
      </c>
      <c r="O83" s="9">
        <f>IF('Data Source'!B83="","",'Data Source'!AG83)</f>
        <v/>
      </c>
      <c r="P83" s="5">
        <f>IF('Data Source'!B83="","",'Data Source'!R83)</f>
        <v/>
      </c>
      <c r="Q83" s="3">
        <f>IF('Data Source'!B83="","",'Data Source'!S83)</f>
        <v/>
      </c>
    </row>
    <row r="84">
      <c r="A84" s="3">
        <f>IF('Data Source'!B84="","",'Data Source'!A84)</f>
        <v/>
      </c>
      <c r="B84">
        <f>IF('Data Source'!B84="","",'Data Source'!B84)</f>
        <v/>
      </c>
      <c r="C84" s="9">
        <f>IF('Data Source'!B84="","",'Data Source'!U84)</f>
        <v/>
      </c>
      <c r="D84" s="9">
        <f>IF('Data Source'!B84="","",'Data Source'!V84)</f>
        <v/>
      </c>
      <c r="E84" s="9">
        <f>IF('Data Source'!B84="","",'Data Source'!W84)</f>
        <v/>
      </c>
      <c r="F84" s="9">
        <f>IF('Data Source'!B84="","",'Data Source'!X84)</f>
        <v/>
      </c>
      <c r="G84" s="9">
        <f>IF('Data Source'!B84="","",'Data Source'!Y84)</f>
        <v/>
      </c>
      <c r="H84" s="9">
        <f>IF('Data Source'!B84="","",'Data Source'!Z84)</f>
        <v/>
      </c>
      <c r="I84" s="9">
        <f>IF('Data Source'!B84="","",'Data Source'!AA84)</f>
        <v/>
      </c>
      <c r="J84" s="9">
        <f>IF('Data Source'!B84="","",'Data Source'!AB84)</f>
        <v/>
      </c>
      <c r="K84" s="9">
        <f>IF('Data Source'!B84="","",'Data Source'!AC84)</f>
        <v/>
      </c>
      <c r="L84" s="9">
        <f>IF('Data Source'!B84="","",'Data Source'!AD84)</f>
        <v/>
      </c>
      <c r="M84" s="9">
        <f>IF('Data Source'!B84="","",'Data Source'!AE84)</f>
        <v/>
      </c>
      <c r="N84" s="9">
        <f>IF('Data Source'!B84="","",'Data Source'!AF84)</f>
        <v/>
      </c>
      <c r="O84" s="9">
        <f>IF('Data Source'!B84="","",'Data Source'!AG84)</f>
        <v/>
      </c>
      <c r="P84" s="5">
        <f>IF('Data Source'!B84="","",'Data Source'!R84)</f>
        <v/>
      </c>
      <c r="Q84" s="3">
        <f>IF('Data Source'!B84="","",'Data Source'!S84)</f>
        <v/>
      </c>
    </row>
    <row r="85">
      <c r="A85" s="3">
        <f>IF('Data Source'!B85="","",'Data Source'!A85)</f>
        <v/>
      </c>
      <c r="B85">
        <f>IF('Data Source'!B85="","",'Data Source'!B85)</f>
        <v/>
      </c>
      <c r="C85" s="9">
        <f>IF('Data Source'!B85="","",'Data Source'!U85)</f>
        <v/>
      </c>
      <c r="D85" s="9">
        <f>IF('Data Source'!B85="","",'Data Source'!V85)</f>
        <v/>
      </c>
      <c r="E85" s="9">
        <f>IF('Data Source'!B85="","",'Data Source'!W85)</f>
        <v/>
      </c>
      <c r="F85" s="9">
        <f>IF('Data Source'!B85="","",'Data Source'!X85)</f>
        <v/>
      </c>
      <c r="G85" s="9">
        <f>IF('Data Source'!B85="","",'Data Source'!Y85)</f>
        <v/>
      </c>
      <c r="H85" s="9">
        <f>IF('Data Source'!B85="","",'Data Source'!Z85)</f>
        <v/>
      </c>
      <c r="I85" s="9">
        <f>IF('Data Source'!B85="","",'Data Source'!AA85)</f>
        <v/>
      </c>
      <c r="J85" s="9">
        <f>IF('Data Source'!B85="","",'Data Source'!AB85)</f>
        <v/>
      </c>
      <c r="K85" s="9">
        <f>IF('Data Source'!B85="","",'Data Source'!AC85)</f>
        <v/>
      </c>
      <c r="L85" s="9">
        <f>IF('Data Source'!B85="","",'Data Source'!AD85)</f>
        <v/>
      </c>
      <c r="M85" s="9">
        <f>IF('Data Source'!B85="","",'Data Source'!AE85)</f>
        <v/>
      </c>
      <c r="N85" s="9">
        <f>IF('Data Source'!B85="","",'Data Source'!AF85)</f>
        <v/>
      </c>
      <c r="O85" s="9">
        <f>IF('Data Source'!B85="","",'Data Source'!AG85)</f>
        <v/>
      </c>
      <c r="P85" s="5">
        <f>IF('Data Source'!B85="","",'Data Source'!R85)</f>
        <v/>
      </c>
      <c r="Q85" s="3">
        <f>IF('Data Source'!B85="","",'Data Source'!S85)</f>
        <v/>
      </c>
    </row>
    <row r="86">
      <c r="A86" s="3">
        <f>IF('Data Source'!B86="","",'Data Source'!A86)</f>
        <v/>
      </c>
      <c r="B86">
        <f>IF('Data Source'!B86="","",'Data Source'!B86)</f>
        <v/>
      </c>
      <c r="C86" s="9">
        <f>IF('Data Source'!B86="","",'Data Source'!U86)</f>
        <v/>
      </c>
      <c r="D86" s="9">
        <f>IF('Data Source'!B86="","",'Data Source'!V86)</f>
        <v/>
      </c>
      <c r="E86" s="9">
        <f>IF('Data Source'!B86="","",'Data Source'!W86)</f>
        <v/>
      </c>
      <c r="F86" s="9">
        <f>IF('Data Source'!B86="","",'Data Source'!X86)</f>
        <v/>
      </c>
      <c r="G86" s="9">
        <f>IF('Data Source'!B86="","",'Data Source'!Y86)</f>
        <v/>
      </c>
      <c r="H86" s="9">
        <f>IF('Data Source'!B86="","",'Data Source'!Z86)</f>
        <v/>
      </c>
      <c r="I86" s="9">
        <f>IF('Data Source'!B86="","",'Data Source'!AA86)</f>
        <v/>
      </c>
      <c r="J86" s="9">
        <f>IF('Data Source'!B86="","",'Data Source'!AB86)</f>
        <v/>
      </c>
      <c r="K86" s="9">
        <f>IF('Data Source'!B86="","",'Data Source'!AC86)</f>
        <v/>
      </c>
      <c r="L86" s="9">
        <f>IF('Data Source'!B86="","",'Data Source'!AD86)</f>
        <v/>
      </c>
      <c r="M86" s="9">
        <f>IF('Data Source'!B86="","",'Data Source'!AE86)</f>
        <v/>
      </c>
      <c r="N86" s="9">
        <f>IF('Data Source'!B86="","",'Data Source'!AF86)</f>
        <v/>
      </c>
      <c r="O86" s="9">
        <f>IF('Data Source'!B86="","",'Data Source'!AG86)</f>
        <v/>
      </c>
      <c r="P86" s="5">
        <f>IF('Data Source'!B86="","",'Data Source'!R86)</f>
        <v/>
      </c>
      <c r="Q86" s="3">
        <f>IF('Data Source'!B86="","",'Data Source'!S86)</f>
        <v/>
      </c>
    </row>
    <row r="87">
      <c r="A87" s="3">
        <f>IF('Data Source'!B87="","",'Data Source'!A87)</f>
        <v/>
      </c>
      <c r="B87">
        <f>IF('Data Source'!B87="","",'Data Source'!B87)</f>
        <v/>
      </c>
      <c r="C87" s="9">
        <f>IF('Data Source'!B87="","",'Data Source'!U87)</f>
        <v/>
      </c>
      <c r="D87" s="9">
        <f>IF('Data Source'!B87="","",'Data Source'!V87)</f>
        <v/>
      </c>
      <c r="E87" s="9">
        <f>IF('Data Source'!B87="","",'Data Source'!W87)</f>
        <v/>
      </c>
      <c r="F87" s="9">
        <f>IF('Data Source'!B87="","",'Data Source'!X87)</f>
        <v/>
      </c>
      <c r="G87" s="9">
        <f>IF('Data Source'!B87="","",'Data Source'!Y87)</f>
        <v/>
      </c>
      <c r="H87" s="9">
        <f>IF('Data Source'!B87="","",'Data Source'!Z87)</f>
        <v/>
      </c>
      <c r="I87" s="9">
        <f>IF('Data Source'!B87="","",'Data Source'!AA87)</f>
        <v/>
      </c>
      <c r="J87" s="9">
        <f>IF('Data Source'!B87="","",'Data Source'!AB87)</f>
        <v/>
      </c>
      <c r="K87" s="9">
        <f>IF('Data Source'!B87="","",'Data Source'!AC87)</f>
        <v/>
      </c>
      <c r="L87" s="9">
        <f>IF('Data Source'!B87="","",'Data Source'!AD87)</f>
        <v/>
      </c>
      <c r="M87" s="9">
        <f>IF('Data Source'!B87="","",'Data Source'!AE87)</f>
        <v/>
      </c>
      <c r="N87" s="9">
        <f>IF('Data Source'!B87="","",'Data Source'!AF87)</f>
        <v/>
      </c>
      <c r="O87" s="9">
        <f>IF('Data Source'!B87="","",'Data Source'!AG87)</f>
        <v/>
      </c>
      <c r="P87" s="5">
        <f>IF('Data Source'!B87="","",'Data Source'!R87)</f>
        <v/>
      </c>
      <c r="Q87" s="3">
        <f>IF('Data Source'!B87="","",'Data Source'!S87)</f>
        <v/>
      </c>
    </row>
    <row r="88">
      <c r="A88" s="3">
        <f>IF('Data Source'!B88="","",'Data Source'!A88)</f>
        <v/>
      </c>
      <c r="B88">
        <f>IF('Data Source'!B88="","",'Data Source'!B88)</f>
        <v/>
      </c>
      <c r="C88" s="9">
        <f>IF('Data Source'!B88="","",'Data Source'!U88)</f>
        <v/>
      </c>
      <c r="D88" s="9">
        <f>IF('Data Source'!B88="","",'Data Source'!V88)</f>
        <v/>
      </c>
      <c r="E88" s="9">
        <f>IF('Data Source'!B88="","",'Data Source'!W88)</f>
        <v/>
      </c>
      <c r="F88" s="9">
        <f>IF('Data Source'!B88="","",'Data Source'!X88)</f>
        <v/>
      </c>
      <c r="G88" s="9">
        <f>IF('Data Source'!B88="","",'Data Source'!Y88)</f>
        <v/>
      </c>
      <c r="H88" s="9">
        <f>IF('Data Source'!B88="","",'Data Source'!Z88)</f>
        <v/>
      </c>
      <c r="I88" s="9">
        <f>IF('Data Source'!B88="","",'Data Source'!AA88)</f>
        <v/>
      </c>
      <c r="J88" s="9">
        <f>IF('Data Source'!B88="","",'Data Source'!AB88)</f>
        <v/>
      </c>
      <c r="K88" s="9">
        <f>IF('Data Source'!B88="","",'Data Source'!AC88)</f>
        <v/>
      </c>
      <c r="L88" s="9">
        <f>IF('Data Source'!B88="","",'Data Source'!AD88)</f>
        <v/>
      </c>
      <c r="M88" s="9">
        <f>IF('Data Source'!B88="","",'Data Source'!AE88)</f>
        <v/>
      </c>
      <c r="N88" s="9">
        <f>IF('Data Source'!B88="","",'Data Source'!AF88)</f>
        <v/>
      </c>
      <c r="O88" s="9">
        <f>IF('Data Source'!B88="","",'Data Source'!AG88)</f>
        <v/>
      </c>
      <c r="P88" s="5">
        <f>IF('Data Source'!B88="","",'Data Source'!R88)</f>
        <v/>
      </c>
      <c r="Q88" s="3">
        <f>IF('Data Source'!B88="","",'Data Source'!S88)</f>
        <v/>
      </c>
    </row>
    <row r="89">
      <c r="A89" s="3">
        <f>IF('Data Source'!B89="","",'Data Source'!A89)</f>
        <v/>
      </c>
      <c r="B89">
        <f>IF('Data Source'!B89="","",'Data Source'!B89)</f>
        <v/>
      </c>
      <c r="C89" s="9">
        <f>IF('Data Source'!B89="","",'Data Source'!U89)</f>
        <v/>
      </c>
      <c r="D89" s="9">
        <f>IF('Data Source'!B89="","",'Data Source'!V89)</f>
        <v/>
      </c>
      <c r="E89" s="9">
        <f>IF('Data Source'!B89="","",'Data Source'!W89)</f>
        <v/>
      </c>
      <c r="F89" s="9">
        <f>IF('Data Source'!B89="","",'Data Source'!X89)</f>
        <v/>
      </c>
      <c r="G89" s="9">
        <f>IF('Data Source'!B89="","",'Data Source'!Y89)</f>
        <v/>
      </c>
      <c r="H89" s="9">
        <f>IF('Data Source'!B89="","",'Data Source'!Z89)</f>
        <v/>
      </c>
      <c r="I89" s="9">
        <f>IF('Data Source'!B89="","",'Data Source'!AA89)</f>
        <v/>
      </c>
      <c r="J89" s="9">
        <f>IF('Data Source'!B89="","",'Data Source'!AB89)</f>
        <v/>
      </c>
      <c r="K89" s="9">
        <f>IF('Data Source'!B89="","",'Data Source'!AC89)</f>
        <v/>
      </c>
      <c r="L89" s="9">
        <f>IF('Data Source'!B89="","",'Data Source'!AD89)</f>
        <v/>
      </c>
      <c r="M89" s="9">
        <f>IF('Data Source'!B89="","",'Data Source'!AE89)</f>
        <v/>
      </c>
      <c r="N89" s="9">
        <f>IF('Data Source'!B89="","",'Data Source'!AF89)</f>
        <v/>
      </c>
      <c r="O89" s="9">
        <f>IF('Data Source'!B89="","",'Data Source'!AG89)</f>
        <v/>
      </c>
      <c r="P89" s="5">
        <f>IF('Data Source'!B89="","",'Data Source'!R89)</f>
        <v/>
      </c>
      <c r="Q89" s="3">
        <f>IF('Data Source'!B89="","",'Data Source'!S89)</f>
        <v/>
      </c>
    </row>
    <row r="90">
      <c r="A90" s="3">
        <f>IF('Data Source'!B90="","",'Data Source'!A90)</f>
        <v/>
      </c>
      <c r="B90">
        <f>IF('Data Source'!B90="","",'Data Source'!B90)</f>
        <v/>
      </c>
      <c r="C90" s="9">
        <f>IF('Data Source'!B90="","",'Data Source'!U90)</f>
        <v/>
      </c>
      <c r="D90" s="9">
        <f>IF('Data Source'!B90="","",'Data Source'!V90)</f>
        <v/>
      </c>
      <c r="E90" s="9">
        <f>IF('Data Source'!B90="","",'Data Source'!W90)</f>
        <v/>
      </c>
      <c r="F90" s="9">
        <f>IF('Data Source'!B90="","",'Data Source'!X90)</f>
        <v/>
      </c>
      <c r="G90" s="9">
        <f>IF('Data Source'!B90="","",'Data Source'!Y90)</f>
        <v/>
      </c>
      <c r="H90" s="9">
        <f>IF('Data Source'!B90="","",'Data Source'!Z90)</f>
        <v/>
      </c>
      <c r="I90" s="9">
        <f>IF('Data Source'!B90="","",'Data Source'!AA90)</f>
        <v/>
      </c>
      <c r="J90" s="9">
        <f>IF('Data Source'!B90="","",'Data Source'!AB90)</f>
        <v/>
      </c>
      <c r="K90" s="9">
        <f>IF('Data Source'!B90="","",'Data Source'!AC90)</f>
        <v/>
      </c>
      <c r="L90" s="9">
        <f>IF('Data Source'!B90="","",'Data Source'!AD90)</f>
        <v/>
      </c>
      <c r="M90" s="9">
        <f>IF('Data Source'!B90="","",'Data Source'!AE90)</f>
        <v/>
      </c>
      <c r="N90" s="9">
        <f>IF('Data Source'!B90="","",'Data Source'!AF90)</f>
        <v/>
      </c>
      <c r="O90" s="9">
        <f>IF('Data Source'!B90="","",'Data Source'!AG90)</f>
        <v/>
      </c>
      <c r="P90" s="5">
        <f>IF('Data Source'!B90="","",'Data Source'!R90)</f>
        <v/>
      </c>
      <c r="Q90" s="3">
        <f>IF('Data Source'!B90="","",'Data Source'!S90)</f>
        <v/>
      </c>
    </row>
    <row r="91">
      <c r="A91" s="3">
        <f>IF('Data Source'!B91="","",'Data Source'!A91)</f>
        <v/>
      </c>
      <c r="B91">
        <f>IF('Data Source'!B91="","",'Data Source'!B91)</f>
        <v/>
      </c>
      <c r="C91" s="9">
        <f>IF('Data Source'!B91="","",'Data Source'!U91)</f>
        <v/>
      </c>
      <c r="D91" s="9">
        <f>IF('Data Source'!B91="","",'Data Source'!V91)</f>
        <v/>
      </c>
      <c r="E91" s="9">
        <f>IF('Data Source'!B91="","",'Data Source'!W91)</f>
        <v/>
      </c>
      <c r="F91" s="9">
        <f>IF('Data Source'!B91="","",'Data Source'!X91)</f>
        <v/>
      </c>
      <c r="G91" s="9">
        <f>IF('Data Source'!B91="","",'Data Source'!Y91)</f>
        <v/>
      </c>
      <c r="H91" s="9">
        <f>IF('Data Source'!B91="","",'Data Source'!Z91)</f>
        <v/>
      </c>
      <c r="I91" s="9">
        <f>IF('Data Source'!B91="","",'Data Source'!AA91)</f>
        <v/>
      </c>
      <c r="J91" s="9">
        <f>IF('Data Source'!B91="","",'Data Source'!AB91)</f>
        <v/>
      </c>
      <c r="K91" s="9">
        <f>IF('Data Source'!B91="","",'Data Source'!AC91)</f>
        <v/>
      </c>
      <c r="L91" s="9">
        <f>IF('Data Source'!B91="","",'Data Source'!AD91)</f>
        <v/>
      </c>
      <c r="M91" s="9">
        <f>IF('Data Source'!B91="","",'Data Source'!AE91)</f>
        <v/>
      </c>
      <c r="N91" s="9">
        <f>IF('Data Source'!B91="","",'Data Source'!AF91)</f>
        <v/>
      </c>
      <c r="O91" s="9">
        <f>IF('Data Source'!B91="","",'Data Source'!AG91)</f>
        <v/>
      </c>
      <c r="P91" s="5">
        <f>IF('Data Source'!B91="","",'Data Source'!R91)</f>
        <v/>
      </c>
      <c r="Q91" s="3">
        <f>IF('Data Source'!B91="","",'Data Source'!S91)</f>
        <v/>
      </c>
    </row>
    <row r="92">
      <c r="A92" s="3">
        <f>IF('Data Source'!B92="","",'Data Source'!A92)</f>
        <v/>
      </c>
      <c r="B92">
        <f>IF('Data Source'!B92="","",'Data Source'!B92)</f>
        <v/>
      </c>
      <c r="C92" s="9">
        <f>IF('Data Source'!B92="","",'Data Source'!U92)</f>
        <v/>
      </c>
      <c r="D92" s="9">
        <f>IF('Data Source'!B92="","",'Data Source'!V92)</f>
        <v/>
      </c>
      <c r="E92" s="9">
        <f>IF('Data Source'!B92="","",'Data Source'!W92)</f>
        <v/>
      </c>
      <c r="F92" s="9">
        <f>IF('Data Source'!B92="","",'Data Source'!X92)</f>
        <v/>
      </c>
      <c r="G92" s="9">
        <f>IF('Data Source'!B92="","",'Data Source'!Y92)</f>
        <v/>
      </c>
      <c r="H92" s="9">
        <f>IF('Data Source'!B92="","",'Data Source'!Z92)</f>
        <v/>
      </c>
      <c r="I92" s="9">
        <f>IF('Data Source'!B92="","",'Data Source'!AA92)</f>
        <v/>
      </c>
      <c r="J92" s="9">
        <f>IF('Data Source'!B92="","",'Data Source'!AB92)</f>
        <v/>
      </c>
      <c r="K92" s="9">
        <f>IF('Data Source'!B92="","",'Data Source'!AC92)</f>
        <v/>
      </c>
      <c r="L92" s="9">
        <f>IF('Data Source'!B92="","",'Data Source'!AD92)</f>
        <v/>
      </c>
      <c r="M92" s="9">
        <f>IF('Data Source'!B92="","",'Data Source'!AE92)</f>
        <v/>
      </c>
      <c r="N92" s="9">
        <f>IF('Data Source'!B92="","",'Data Source'!AF92)</f>
        <v/>
      </c>
      <c r="O92" s="9">
        <f>IF('Data Source'!B92="","",'Data Source'!AG92)</f>
        <v/>
      </c>
      <c r="P92" s="5">
        <f>IF('Data Source'!B92="","",'Data Source'!R92)</f>
        <v/>
      </c>
      <c r="Q92" s="3">
        <f>IF('Data Source'!B92="","",'Data Source'!S92)</f>
        <v/>
      </c>
    </row>
    <row r="93">
      <c r="A93" s="3">
        <f>IF('Data Source'!B93="","",'Data Source'!A93)</f>
        <v/>
      </c>
      <c r="B93">
        <f>IF('Data Source'!B93="","",'Data Source'!B93)</f>
        <v/>
      </c>
      <c r="C93" s="9">
        <f>IF('Data Source'!B93="","",'Data Source'!U93)</f>
        <v/>
      </c>
      <c r="D93" s="9">
        <f>IF('Data Source'!B93="","",'Data Source'!V93)</f>
        <v/>
      </c>
      <c r="E93" s="9">
        <f>IF('Data Source'!B93="","",'Data Source'!W93)</f>
        <v/>
      </c>
      <c r="F93" s="9">
        <f>IF('Data Source'!B93="","",'Data Source'!X93)</f>
        <v/>
      </c>
      <c r="G93" s="9">
        <f>IF('Data Source'!B93="","",'Data Source'!Y93)</f>
        <v/>
      </c>
      <c r="H93" s="9">
        <f>IF('Data Source'!B93="","",'Data Source'!Z93)</f>
        <v/>
      </c>
      <c r="I93" s="9">
        <f>IF('Data Source'!B93="","",'Data Source'!AA93)</f>
        <v/>
      </c>
      <c r="J93" s="9">
        <f>IF('Data Source'!B93="","",'Data Source'!AB93)</f>
        <v/>
      </c>
      <c r="K93" s="9">
        <f>IF('Data Source'!B93="","",'Data Source'!AC93)</f>
        <v/>
      </c>
      <c r="L93" s="9">
        <f>IF('Data Source'!B93="","",'Data Source'!AD93)</f>
        <v/>
      </c>
      <c r="M93" s="9">
        <f>IF('Data Source'!B93="","",'Data Source'!AE93)</f>
        <v/>
      </c>
      <c r="N93" s="9">
        <f>IF('Data Source'!B93="","",'Data Source'!AF93)</f>
        <v/>
      </c>
      <c r="O93" s="9">
        <f>IF('Data Source'!B93="","",'Data Source'!AG93)</f>
        <v/>
      </c>
      <c r="P93" s="5">
        <f>IF('Data Source'!B93="","",'Data Source'!R93)</f>
        <v/>
      </c>
      <c r="Q93" s="3">
        <f>IF('Data Source'!B93="","",'Data Source'!S93)</f>
        <v/>
      </c>
    </row>
    <row r="94">
      <c r="A94" s="3">
        <f>IF('Data Source'!B94="","",'Data Source'!A94)</f>
        <v/>
      </c>
      <c r="B94">
        <f>IF('Data Source'!B94="","",'Data Source'!B94)</f>
        <v/>
      </c>
      <c r="C94" s="9">
        <f>IF('Data Source'!B94="","",'Data Source'!U94)</f>
        <v/>
      </c>
      <c r="D94" s="9">
        <f>IF('Data Source'!B94="","",'Data Source'!V94)</f>
        <v/>
      </c>
      <c r="E94" s="9">
        <f>IF('Data Source'!B94="","",'Data Source'!W94)</f>
        <v/>
      </c>
      <c r="F94" s="9">
        <f>IF('Data Source'!B94="","",'Data Source'!X94)</f>
        <v/>
      </c>
      <c r="G94" s="9">
        <f>IF('Data Source'!B94="","",'Data Source'!Y94)</f>
        <v/>
      </c>
      <c r="H94" s="9">
        <f>IF('Data Source'!B94="","",'Data Source'!Z94)</f>
        <v/>
      </c>
      <c r="I94" s="9">
        <f>IF('Data Source'!B94="","",'Data Source'!AA94)</f>
        <v/>
      </c>
      <c r="J94" s="9">
        <f>IF('Data Source'!B94="","",'Data Source'!AB94)</f>
        <v/>
      </c>
      <c r="K94" s="9">
        <f>IF('Data Source'!B94="","",'Data Source'!AC94)</f>
        <v/>
      </c>
      <c r="L94" s="9">
        <f>IF('Data Source'!B94="","",'Data Source'!AD94)</f>
        <v/>
      </c>
      <c r="M94" s="9">
        <f>IF('Data Source'!B94="","",'Data Source'!AE94)</f>
        <v/>
      </c>
      <c r="N94" s="9">
        <f>IF('Data Source'!B94="","",'Data Source'!AF94)</f>
        <v/>
      </c>
      <c r="O94" s="9">
        <f>IF('Data Source'!B94="","",'Data Source'!AG94)</f>
        <v/>
      </c>
      <c r="P94" s="5">
        <f>IF('Data Source'!B94="","",'Data Source'!R94)</f>
        <v/>
      </c>
      <c r="Q94" s="3">
        <f>IF('Data Source'!B94="","",'Data Source'!S94)</f>
        <v/>
      </c>
    </row>
    <row r="95">
      <c r="A95" s="3">
        <f>IF('Data Source'!B95="","",'Data Source'!A95)</f>
        <v/>
      </c>
      <c r="B95">
        <f>IF('Data Source'!B95="","",'Data Source'!B95)</f>
        <v/>
      </c>
      <c r="C95" s="9">
        <f>IF('Data Source'!B95="","",'Data Source'!U95)</f>
        <v/>
      </c>
      <c r="D95" s="9">
        <f>IF('Data Source'!B95="","",'Data Source'!V95)</f>
        <v/>
      </c>
      <c r="E95" s="9">
        <f>IF('Data Source'!B95="","",'Data Source'!W95)</f>
        <v/>
      </c>
      <c r="F95" s="9">
        <f>IF('Data Source'!B95="","",'Data Source'!X95)</f>
        <v/>
      </c>
      <c r="G95" s="9">
        <f>IF('Data Source'!B95="","",'Data Source'!Y95)</f>
        <v/>
      </c>
      <c r="H95" s="9">
        <f>IF('Data Source'!B95="","",'Data Source'!Z95)</f>
        <v/>
      </c>
      <c r="I95" s="9">
        <f>IF('Data Source'!B95="","",'Data Source'!AA95)</f>
        <v/>
      </c>
      <c r="J95" s="9">
        <f>IF('Data Source'!B95="","",'Data Source'!AB95)</f>
        <v/>
      </c>
      <c r="K95" s="9">
        <f>IF('Data Source'!B95="","",'Data Source'!AC95)</f>
        <v/>
      </c>
      <c r="L95" s="9">
        <f>IF('Data Source'!B95="","",'Data Source'!AD95)</f>
        <v/>
      </c>
      <c r="M95" s="9">
        <f>IF('Data Source'!B95="","",'Data Source'!AE95)</f>
        <v/>
      </c>
      <c r="N95" s="9">
        <f>IF('Data Source'!B95="","",'Data Source'!AF95)</f>
        <v/>
      </c>
      <c r="O95" s="9">
        <f>IF('Data Source'!B95="","",'Data Source'!AG95)</f>
        <v/>
      </c>
      <c r="P95" s="5">
        <f>IF('Data Source'!B95="","",'Data Source'!R95)</f>
        <v/>
      </c>
      <c r="Q95" s="3">
        <f>IF('Data Source'!B95="","",'Data Source'!S95)</f>
        <v/>
      </c>
    </row>
    <row r="96">
      <c r="A96" s="3">
        <f>IF('Data Source'!B96="","",'Data Source'!A96)</f>
        <v/>
      </c>
      <c r="B96">
        <f>IF('Data Source'!B96="","",'Data Source'!B96)</f>
        <v/>
      </c>
      <c r="C96" s="9">
        <f>IF('Data Source'!B96="","",'Data Source'!U96)</f>
        <v/>
      </c>
      <c r="D96" s="9">
        <f>IF('Data Source'!B96="","",'Data Source'!V96)</f>
        <v/>
      </c>
      <c r="E96" s="9">
        <f>IF('Data Source'!B96="","",'Data Source'!W96)</f>
        <v/>
      </c>
      <c r="F96" s="9">
        <f>IF('Data Source'!B96="","",'Data Source'!X96)</f>
        <v/>
      </c>
      <c r="G96" s="9">
        <f>IF('Data Source'!B96="","",'Data Source'!Y96)</f>
        <v/>
      </c>
      <c r="H96" s="9">
        <f>IF('Data Source'!B96="","",'Data Source'!Z96)</f>
        <v/>
      </c>
      <c r="I96" s="9">
        <f>IF('Data Source'!B96="","",'Data Source'!AA96)</f>
        <v/>
      </c>
      <c r="J96" s="9">
        <f>IF('Data Source'!B96="","",'Data Source'!AB96)</f>
        <v/>
      </c>
      <c r="K96" s="9">
        <f>IF('Data Source'!B96="","",'Data Source'!AC96)</f>
        <v/>
      </c>
      <c r="L96" s="9">
        <f>IF('Data Source'!B96="","",'Data Source'!AD96)</f>
        <v/>
      </c>
      <c r="M96" s="9">
        <f>IF('Data Source'!B96="","",'Data Source'!AE96)</f>
        <v/>
      </c>
      <c r="N96" s="9">
        <f>IF('Data Source'!B96="","",'Data Source'!AF96)</f>
        <v/>
      </c>
      <c r="O96" s="9">
        <f>IF('Data Source'!B96="","",'Data Source'!AG96)</f>
        <v/>
      </c>
      <c r="P96" s="5">
        <f>IF('Data Source'!B96="","",'Data Source'!R96)</f>
        <v/>
      </c>
      <c r="Q96" s="3">
        <f>IF('Data Source'!B96="","",'Data Source'!S96)</f>
        <v/>
      </c>
    </row>
    <row r="97">
      <c r="A97" s="3">
        <f>IF('Data Source'!B97="","",'Data Source'!A97)</f>
        <v/>
      </c>
      <c r="B97">
        <f>IF('Data Source'!B97="","",'Data Source'!B97)</f>
        <v/>
      </c>
      <c r="C97" s="9">
        <f>IF('Data Source'!B97="","",'Data Source'!U97)</f>
        <v/>
      </c>
      <c r="D97" s="9">
        <f>IF('Data Source'!B97="","",'Data Source'!V97)</f>
        <v/>
      </c>
      <c r="E97" s="9">
        <f>IF('Data Source'!B97="","",'Data Source'!W97)</f>
        <v/>
      </c>
      <c r="F97" s="9">
        <f>IF('Data Source'!B97="","",'Data Source'!X97)</f>
        <v/>
      </c>
      <c r="G97" s="9">
        <f>IF('Data Source'!B97="","",'Data Source'!Y97)</f>
        <v/>
      </c>
      <c r="H97" s="9">
        <f>IF('Data Source'!B97="","",'Data Source'!Z97)</f>
        <v/>
      </c>
      <c r="I97" s="9">
        <f>IF('Data Source'!B97="","",'Data Source'!AA97)</f>
        <v/>
      </c>
      <c r="J97" s="9">
        <f>IF('Data Source'!B97="","",'Data Source'!AB97)</f>
        <v/>
      </c>
      <c r="K97" s="9">
        <f>IF('Data Source'!B97="","",'Data Source'!AC97)</f>
        <v/>
      </c>
      <c r="L97" s="9">
        <f>IF('Data Source'!B97="","",'Data Source'!AD97)</f>
        <v/>
      </c>
      <c r="M97" s="9">
        <f>IF('Data Source'!B97="","",'Data Source'!AE97)</f>
        <v/>
      </c>
      <c r="N97" s="9">
        <f>IF('Data Source'!B97="","",'Data Source'!AF97)</f>
        <v/>
      </c>
      <c r="O97" s="9">
        <f>IF('Data Source'!B97="","",'Data Source'!AG97)</f>
        <v/>
      </c>
      <c r="P97" s="5">
        <f>IF('Data Source'!B97="","",'Data Source'!R97)</f>
        <v/>
      </c>
      <c r="Q97" s="3">
        <f>IF('Data Source'!B97="","",'Data Source'!S97)</f>
        <v/>
      </c>
    </row>
    <row r="98">
      <c r="A98" s="3">
        <f>IF('Data Source'!B98="","",'Data Source'!A98)</f>
        <v/>
      </c>
      <c r="B98">
        <f>IF('Data Source'!B98="","",'Data Source'!B98)</f>
        <v/>
      </c>
      <c r="C98" s="9">
        <f>IF('Data Source'!B98="","",'Data Source'!U98)</f>
        <v/>
      </c>
      <c r="D98" s="9">
        <f>IF('Data Source'!B98="","",'Data Source'!V98)</f>
        <v/>
      </c>
      <c r="E98" s="9">
        <f>IF('Data Source'!B98="","",'Data Source'!W98)</f>
        <v/>
      </c>
      <c r="F98" s="9">
        <f>IF('Data Source'!B98="","",'Data Source'!X98)</f>
        <v/>
      </c>
      <c r="G98" s="9">
        <f>IF('Data Source'!B98="","",'Data Source'!Y98)</f>
        <v/>
      </c>
      <c r="H98" s="9">
        <f>IF('Data Source'!B98="","",'Data Source'!Z98)</f>
        <v/>
      </c>
      <c r="I98" s="9">
        <f>IF('Data Source'!B98="","",'Data Source'!AA98)</f>
        <v/>
      </c>
      <c r="J98" s="9">
        <f>IF('Data Source'!B98="","",'Data Source'!AB98)</f>
        <v/>
      </c>
      <c r="K98" s="9">
        <f>IF('Data Source'!B98="","",'Data Source'!AC98)</f>
        <v/>
      </c>
      <c r="L98" s="9">
        <f>IF('Data Source'!B98="","",'Data Source'!AD98)</f>
        <v/>
      </c>
      <c r="M98" s="9">
        <f>IF('Data Source'!B98="","",'Data Source'!AE98)</f>
        <v/>
      </c>
      <c r="N98" s="9">
        <f>IF('Data Source'!B98="","",'Data Source'!AF98)</f>
        <v/>
      </c>
      <c r="O98" s="9">
        <f>IF('Data Source'!B98="","",'Data Source'!AG98)</f>
        <v/>
      </c>
      <c r="P98" s="5">
        <f>IF('Data Source'!B98="","",'Data Source'!R98)</f>
        <v/>
      </c>
      <c r="Q98" s="3">
        <f>IF('Data Source'!B98="","",'Data Source'!S98)</f>
        <v/>
      </c>
    </row>
    <row r="99">
      <c r="A99" s="3">
        <f>IF('Data Source'!B99="","",'Data Source'!A99)</f>
        <v/>
      </c>
      <c r="B99">
        <f>IF('Data Source'!B99="","",'Data Source'!B99)</f>
        <v/>
      </c>
      <c r="C99" s="9">
        <f>IF('Data Source'!B99="","",'Data Source'!U99)</f>
        <v/>
      </c>
      <c r="D99" s="9">
        <f>IF('Data Source'!B99="","",'Data Source'!V99)</f>
        <v/>
      </c>
      <c r="E99" s="9">
        <f>IF('Data Source'!B99="","",'Data Source'!W99)</f>
        <v/>
      </c>
      <c r="F99" s="9">
        <f>IF('Data Source'!B99="","",'Data Source'!X99)</f>
        <v/>
      </c>
      <c r="G99" s="9">
        <f>IF('Data Source'!B99="","",'Data Source'!Y99)</f>
        <v/>
      </c>
      <c r="H99" s="9">
        <f>IF('Data Source'!B99="","",'Data Source'!Z99)</f>
        <v/>
      </c>
      <c r="I99" s="9">
        <f>IF('Data Source'!B99="","",'Data Source'!AA99)</f>
        <v/>
      </c>
      <c r="J99" s="9">
        <f>IF('Data Source'!B99="","",'Data Source'!AB99)</f>
        <v/>
      </c>
      <c r="K99" s="9">
        <f>IF('Data Source'!B99="","",'Data Source'!AC99)</f>
        <v/>
      </c>
      <c r="L99" s="9">
        <f>IF('Data Source'!B99="","",'Data Source'!AD99)</f>
        <v/>
      </c>
      <c r="M99" s="9">
        <f>IF('Data Source'!B99="","",'Data Source'!AE99)</f>
        <v/>
      </c>
      <c r="N99" s="9">
        <f>IF('Data Source'!B99="","",'Data Source'!AF99)</f>
        <v/>
      </c>
      <c r="O99" s="9">
        <f>IF('Data Source'!B99="","",'Data Source'!AG99)</f>
        <v/>
      </c>
      <c r="P99" s="5">
        <f>IF('Data Source'!B99="","",'Data Source'!R99)</f>
        <v/>
      </c>
      <c r="Q99" s="3">
        <f>IF('Data Source'!B99="","",'Data Source'!S99)</f>
        <v/>
      </c>
    </row>
    <row r="100">
      <c r="A100" s="3">
        <f>IF('Data Source'!B100="","",'Data Source'!A100)</f>
        <v/>
      </c>
      <c r="B100">
        <f>IF('Data Source'!B100="","",'Data Source'!B100)</f>
        <v/>
      </c>
      <c r="C100" s="9">
        <f>IF('Data Source'!B100="","",'Data Source'!U100)</f>
        <v/>
      </c>
      <c r="D100" s="9">
        <f>IF('Data Source'!B100="","",'Data Source'!V100)</f>
        <v/>
      </c>
      <c r="E100" s="9">
        <f>IF('Data Source'!B100="","",'Data Source'!W100)</f>
        <v/>
      </c>
      <c r="F100" s="9">
        <f>IF('Data Source'!B100="","",'Data Source'!X100)</f>
        <v/>
      </c>
      <c r="G100" s="9">
        <f>IF('Data Source'!B100="","",'Data Source'!Y100)</f>
        <v/>
      </c>
      <c r="H100" s="9">
        <f>IF('Data Source'!B100="","",'Data Source'!Z100)</f>
        <v/>
      </c>
      <c r="I100" s="9">
        <f>IF('Data Source'!B100="","",'Data Source'!AA100)</f>
        <v/>
      </c>
      <c r="J100" s="9">
        <f>IF('Data Source'!B100="","",'Data Source'!AB100)</f>
        <v/>
      </c>
      <c r="K100" s="9">
        <f>IF('Data Source'!B100="","",'Data Source'!AC100)</f>
        <v/>
      </c>
      <c r="L100" s="9">
        <f>IF('Data Source'!B100="","",'Data Source'!AD100)</f>
        <v/>
      </c>
      <c r="M100" s="9">
        <f>IF('Data Source'!B100="","",'Data Source'!AE100)</f>
        <v/>
      </c>
      <c r="N100" s="9">
        <f>IF('Data Source'!B100="","",'Data Source'!AF100)</f>
        <v/>
      </c>
      <c r="O100" s="9">
        <f>IF('Data Source'!B100="","",'Data Source'!AG100)</f>
        <v/>
      </c>
      <c r="P100" s="5">
        <f>IF('Data Source'!B100="","",'Data Source'!R100)</f>
        <v/>
      </c>
      <c r="Q100" s="3">
        <f>IF('Data Source'!B100="","",'Data Source'!S100)</f>
        <v/>
      </c>
    </row>
    <row r="101">
      <c r="A101" s="3">
        <f>IF('Data Source'!B101="","",'Data Source'!A101)</f>
        <v/>
      </c>
      <c r="B101">
        <f>IF('Data Source'!B101="","",'Data Source'!B101)</f>
        <v/>
      </c>
      <c r="C101" s="9">
        <f>IF('Data Source'!B101="","",'Data Source'!U101)</f>
        <v/>
      </c>
      <c r="D101" s="9">
        <f>IF('Data Source'!B101="","",'Data Source'!V101)</f>
        <v/>
      </c>
      <c r="E101" s="9">
        <f>IF('Data Source'!B101="","",'Data Source'!W101)</f>
        <v/>
      </c>
      <c r="F101" s="9">
        <f>IF('Data Source'!B101="","",'Data Source'!X101)</f>
        <v/>
      </c>
      <c r="G101" s="9">
        <f>IF('Data Source'!B101="","",'Data Source'!Y101)</f>
        <v/>
      </c>
      <c r="H101" s="9">
        <f>IF('Data Source'!B101="","",'Data Source'!Z101)</f>
        <v/>
      </c>
      <c r="I101" s="9">
        <f>IF('Data Source'!B101="","",'Data Source'!AA101)</f>
        <v/>
      </c>
      <c r="J101" s="9">
        <f>IF('Data Source'!B101="","",'Data Source'!AB101)</f>
        <v/>
      </c>
      <c r="K101" s="9">
        <f>IF('Data Source'!B101="","",'Data Source'!AC101)</f>
        <v/>
      </c>
      <c r="L101" s="9">
        <f>IF('Data Source'!B101="","",'Data Source'!AD101)</f>
        <v/>
      </c>
      <c r="M101" s="9">
        <f>IF('Data Source'!B101="","",'Data Source'!AE101)</f>
        <v/>
      </c>
      <c r="N101" s="9">
        <f>IF('Data Source'!B101="","",'Data Source'!AF101)</f>
        <v/>
      </c>
      <c r="O101" s="9">
        <f>IF('Data Source'!B101="","",'Data Source'!AG101)</f>
        <v/>
      </c>
      <c r="P101" s="5">
        <f>IF('Data Source'!B101="","",'Data Source'!R101)</f>
        <v/>
      </c>
      <c r="Q101" s="3">
        <f>IF('Data Source'!B101="","",'Data Source'!S101)</f>
        <v/>
      </c>
    </row>
    <row r="102">
      <c r="A102" s="3">
        <f>IF('Data Source'!B102="","",'Data Source'!A102)</f>
        <v/>
      </c>
      <c r="B102">
        <f>IF('Data Source'!B102="","",'Data Source'!B102)</f>
        <v/>
      </c>
      <c r="C102" s="9">
        <f>IF('Data Source'!B102="","",'Data Source'!U102)</f>
        <v/>
      </c>
      <c r="D102" s="9">
        <f>IF('Data Source'!B102="","",'Data Source'!V102)</f>
        <v/>
      </c>
      <c r="E102" s="9">
        <f>IF('Data Source'!B102="","",'Data Source'!W102)</f>
        <v/>
      </c>
      <c r="F102" s="9">
        <f>IF('Data Source'!B102="","",'Data Source'!X102)</f>
        <v/>
      </c>
      <c r="G102" s="9">
        <f>IF('Data Source'!B102="","",'Data Source'!Y102)</f>
        <v/>
      </c>
      <c r="H102" s="9">
        <f>IF('Data Source'!B102="","",'Data Source'!Z102)</f>
        <v/>
      </c>
      <c r="I102" s="9">
        <f>IF('Data Source'!B102="","",'Data Source'!AA102)</f>
        <v/>
      </c>
      <c r="J102" s="9">
        <f>IF('Data Source'!B102="","",'Data Source'!AB102)</f>
        <v/>
      </c>
      <c r="K102" s="9">
        <f>IF('Data Source'!B102="","",'Data Source'!AC102)</f>
        <v/>
      </c>
      <c r="L102" s="9">
        <f>IF('Data Source'!B102="","",'Data Source'!AD102)</f>
        <v/>
      </c>
      <c r="M102" s="9">
        <f>IF('Data Source'!B102="","",'Data Source'!AE102)</f>
        <v/>
      </c>
      <c r="N102" s="9">
        <f>IF('Data Source'!B102="","",'Data Source'!AF102)</f>
        <v/>
      </c>
      <c r="O102" s="9">
        <f>IF('Data Source'!B102="","",'Data Source'!AG102)</f>
        <v/>
      </c>
      <c r="P102" s="5">
        <f>IF('Data Source'!B102="","",'Data Source'!R102)</f>
        <v/>
      </c>
      <c r="Q102" s="3">
        <f>IF('Data Source'!B102="","",'Data Source'!S102)</f>
        <v/>
      </c>
    </row>
    <row r="103">
      <c r="A103" s="3">
        <f>IF('Data Source'!B103="","",'Data Source'!A103)</f>
        <v/>
      </c>
      <c r="B103">
        <f>IF('Data Source'!B103="","",'Data Source'!B103)</f>
        <v/>
      </c>
      <c r="C103" s="9">
        <f>IF('Data Source'!B103="","",'Data Source'!U103)</f>
        <v/>
      </c>
      <c r="D103" s="9">
        <f>IF('Data Source'!B103="","",'Data Source'!V103)</f>
        <v/>
      </c>
      <c r="E103" s="9">
        <f>IF('Data Source'!B103="","",'Data Source'!W103)</f>
        <v/>
      </c>
      <c r="F103" s="9">
        <f>IF('Data Source'!B103="","",'Data Source'!X103)</f>
        <v/>
      </c>
      <c r="G103" s="9">
        <f>IF('Data Source'!B103="","",'Data Source'!Y103)</f>
        <v/>
      </c>
      <c r="H103" s="9">
        <f>IF('Data Source'!B103="","",'Data Source'!Z103)</f>
        <v/>
      </c>
      <c r="I103" s="9">
        <f>IF('Data Source'!B103="","",'Data Source'!AA103)</f>
        <v/>
      </c>
      <c r="J103" s="9">
        <f>IF('Data Source'!B103="","",'Data Source'!AB103)</f>
        <v/>
      </c>
      <c r="K103" s="9">
        <f>IF('Data Source'!B103="","",'Data Source'!AC103)</f>
        <v/>
      </c>
      <c r="L103" s="9">
        <f>IF('Data Source'!B103="","",'Data Source'!AD103)</f>
        <v/>
      </c>
      <c r="M103" s="9">
        <f>IF('Data Source'!B103="","",'Data Source'!AE103)</f>
        <v/>
      </c>
      <c r="N103" s="9">
        <f>IF('Data Source'!B103="","",'Data Source'!AF103)</f>
        <v/>
      </c>
      <c r="O103" s="9">
        <f>IF('Data Source'!B103="","",'Data Source'!AG103)</f>
        <v/>
      </c>
      <c r="P103" s="5">
        <f>IF('Data Source'!B103="","",'Data Source'!R103)</f>
        <v/>
      </c>
      <c r="Q103" s="3">
        <f>IF('Data Source'!B103="","",'Data Source'!S103)</f>
        <v/>
      </c>
    </row>
    <row r="104">
      <c r="A104" s="3">
        <f>IF('Data Source'!B104="","",'Data Source'!A104)</f>
        <v/>
      </c>
      <c r="B104">
        <f>IF('Data Source'!B104="","",'Data Source'!B104)</f>
        <v/>
      </c>
      <c r="C104" s="9">
        <f>IF('Data Source'!B104="","",'Data Source'!U104)</f>
        <v/>
      </c>
      <c r="D104" s="9">
        <f>IF('Data Source'!B104="","",'Data Source'!V104)</f>
        <v/>
      </c>
      <c r="E104" s="9">
        <f>IF('Data Source'!B104="","",'Data Source'!W104)</f>
        <v/>
      </c>
      <c r="F104" s="9">
        <f>IF('Data Source'!B104="","",'Data Source'!X104)</f>
        <v/>
      </c>
      <c r="G104" s="9">
        <f>IF('Data Source'!B104="","",'Data Source'!Y104)</f>
        <v/>
      </c>
      <c r="H104" s="9">
        <f>IF('Data Source'!B104="","",'Data Source'!Z104)</f>
        <v/>
      </c>
      <c r="I104" s="9">
        <f>IF('Data Source'!B104="","",'Data Source'!AA104)</f>
        <v/>
      </c>
      <c r="J104" s="9">
        <f>IF('Data Source'!B104="","",'Data Source'!AB104)</f>
        <v/>
      </c>
      <c r="K104" s="9">
        <f>IF('Data Source'!B104="","",'Data Source'!AC104)</f>
        <v/>
      </c>
      <c r="L104" s="9">
        <f>IF('Data Source'!B104="","",'Data Source'!AD104)</f>
        <v/>
      </c>
      <c r="M104" s="9">
        <f>IF('Data Source'!B104="","",'Data Source'!AE104)</f>
        <v/>
      </c>
      <c r="N104" s="9">
        <f>IF('Data Source'!B104="","",'Data Source'!AF104)</f>
        <v/>
      </c>
      <c r="O104" s="9">
        <f>IF('Data Source'!B104="","",'Data Source'!AG104)</f>
        <v/>
      </c>
      <c r="P104" s="5">
        <f>IF('Data Source'!B104="","",'Data Source'!R104)</f>
        <v/>
      </c>
      <c r="Q104" s="3">
        <f>IF('Data Source'!B104="","",'Data Source'!S104)</f>
        <v/>
      </c>
    </row>
    <row r="105">
      <c r="A105" s="3">
        <f>IF('Data Source'!B105="","",'Data Source'!A105)</f>
        <v/>
      </c>
      <c r="B105">
        <f>IF('Data Source'!B105="","",'Data Source'!B105)</f>
        <v/>
      </c>
      <c r="C105" s="9">
        <f>IF('Data Source'!B105="","",'Data Source'!U105)</f>
        <v/>
      </c>
      <c r="D105" s="9">
        <f>IF('Data Source'!B105="","",'Data Source'!V105)</f>
        <v/>
      </c>
      <c r="E105" s="9">
        <f>IF('Data Source'!B105="","",'Data Source'!W105)</f>
        <v/>
      </c>
      <c r="F105" s="9">
        <f>IF('Data Source'!B105="","",'Data Source'!X105)</f>
        <v/>
      </c>
      <c r="G105" s="9">
        <f>IF('Data Source'!B105="","",'Data Source'!Y105)</f>
        <v/>
      </c>
      <c r="H105" s="9">
        <f>IF('Data Source'!B105="","",'Data Source'!Z105)</f>
        <v/>
      </c>
      <c r="I105" s="9">
        <f>IF('Data Source'!B105="","",'Data Source'!AA105)</f>
        <v/>
      </c>
      <c r="J105" s="9">
        <f>IF('Data Source'!B105="","",'Data Source'!AB105)</f>
        <v/>
      </c>
      <c r="K105" s="9">
        <f>IF('Data Source'!B105="","",'Data Source'!AC105)</f>
        <v/>
      </c>
      <c r="L105" s="9">
        <f>IF('Data Source'!B105="","",'Data Source'!AD105)</f>
        <v/>
      </c>
      <c r="M105" s="9">
        <f>IF('Data Source'!B105="","",'Data Source'!AE105)</f>
        <v/>
      </c>
      <c r="N105" s="9">
        <f>IF('Data Source'!B105="","",'Data Source'!AF105)</f>
        <v/>
      </c>
      <c r="O105" s="9">
        <f>IF('Data Source'!B105="","",'Data Source'!AG105)</f>
        <v/>
      </c>
      <c r="P105" s="5">
        <f>IF('Data Source'!B105="","",'Data Source'!R105)</f>
        <v/>
      </c>
      <c r="Q105" s="3">
        <f>IF('Data Source'!B105="","",'Data Source'!S105)</f>
        <v/>
      </c>
    </row>
    <row r="106">
      <c r="A106" s="3">
        <f>IF('Data Source'!B106="","",'Data Source'!A106)</f>
        <v/>
      </c>
      <c r="B106">
        <f>IF('Data Source'!B106="","",'Data Source'!B106)</f>
        <v/>
      </c>
      <c r="C106" s="9">
        <f>IF('Data Source'!B106="","",'Data Source'!U106)</f>
        <v/>
      </c>
      <c r="D106" s="9">
        <f>IF('Data Source'!B106="","",'Data Source'!V106)</f>
        <v/>
      </c>
      <c r="E106" s="9">
        <f>IF('Data Source'!B106="","",'Data Source'!W106)</f>
        <v/>
      </c>
      <c r="F106" s="9">
        <f>IF('Data Source'!B106="","",'Data Source'!X106)</f>
        <v/>
      </c>
      <c r="G106" s="9">
        <f>IF('Data Source'!B106="","",'Data Source'!Y106)</f>
        <v/>
      </c>
      <c r="H106" s="9">
        <f>IF('Data Source'!B106="","",'Data Source'!Z106)</f>
        <v/>
      </c>
      <c r="I106" s="9">
        <f>IF('Data Source'!B106="","",'Data Source'!AA106)</f>
        <v/>
      </c>
      <c r="J106" s="9">
        <f>IF('Data Source'!B106="","",'Data Source'!AB106)</f>
        <v/>
      </c>
      <c r="K106" s="9">
        <f>IF('Data Source'!B106="","",'Data Source'!AC106)</f>
        <v/>
      </c>
      <c r="L106" s="9">
        <f>IF('Data Source'!B106="","",'Data Source'!AD106)</f>
        <v/>
      </c>
      <c r="M106" s="9">
        <f>IF('Data Source'!B106="","",'Data Source'!AE106)</f>
        <v/>
      </c>
      <c r="N106" s="9">
        <f>IF('Data Source'!B106="","",'Data Source'!AF106)</f>
        <v/>
      </c>
      <c r="O106" s="9">
        <f>IF('Data Source'!B106="","",'Data Source'!AG106)</f>
        <v/>
      </c>
      <c r="P106" s="5">
        <f>IF('Data Source'!B106="","",'Data Source'!R106)</f>
        <v/>
      </c>
      <c r="Q106" s="3">
        <f>IF('Data Source'!B106="","",'Data Source'!S106)</f>
        <v/>
      </c>
    </row>
    <row r="107">
      <c r="A107" s="3">
        <f>IF('Data Source'!B107="","",'Data Source'!A107)</f>
        <v/>
      </c>
      <c r="B107">
        <f>IF('Data Source'!B107="","",'Data Source'!B107)</f>
        <v/>
      </c>
      <c r="C107" s="9">
        <f>IF('Data Source'!B107="","",'Data Source'!U107)</f>
        <v/>
      </c>
      <c r="D107" s="9">
        <f>IF('Data Source'!B107="","",'Data Source'!V107)</f>
        <v/>
      </c>
      <c r="E107" s="9">
        <f>IF('Data Source'!B107="","",'Data Source'!W107)</f>
        <v/>
      </c>
      <c r="F107" s="9">
        <f>IF('Data Source'!B107="","",'Data Source'!X107)</f>
        <v/>
      </c>
      <c r="G107" s="9">
        <f>IF('Data Source'!B107="","",'Data Source'!Y107)</f>
        <v/>
      </c>
      <c r="H107" s="9">
        <f>IF('Data Source'!B107="","",'Data Source'!Z107)</f>
        <v/>
      </c>
      <c r="I107" s="9">
        <f>IF('Data Source'!B107="","",'Data Source'!AA107)</f>
        <v/>
      </c>
      <c r="J107" s="9">
        <f>IF('Data Source'!B107="","",'Data Source'!AB107)</f>
        <v/>
      </c>
      <c r="K107" s="9">
        <f>IF('Data Source'!B107="","",'Data Source'!AC107)</f>
        <v/>
      </c>
      <c r="L107" s="9">
        <f>IF('Data Source'!B107="","",'Data Source'!AD107)</f>
        <v/>
      </c>
      <c r="M107" s="9">
        <f>IF('Data Source'!B107="","",'Data Source'!AE107)</f>
        <v/>
      </c>
      <c r="N107" s="9">
        <f>IF('Data Source'!B107="","",'Data Source'!AF107)</f>
        <v/>
      </c>
      <c r="O107" s="9">
        <f>IF('Data Source'!B107="","",'Data Source'!AG107)</f>
        <v/>
      </c>
      <c r="P107" s="5">
        <f>IF('Data Source'!B107="","",'Data Source'!R107)</f>
        <v/>
      </c>
      <c r="Q107" s="3">
        <f>IF('Data Source'!B107="","",'Data Source'!S107)</f>
        <v/>
      </c>
    </row>
    <row r="108">
      <c r="A108" s="3">
        <f>IF('Data Source'!B108="","",'Data Source'!A108)</f>
        <v/>
      </c>
      <c r="B108">
        <f>IF('Data Source'!B108="","",'Data Source'!B108)</f>
        <v/>
      </c>
      <c r="C108" s="9">
        <f>IF('Data Source'!B108="","",'Data Source'!U108)</f>
        <v/>
      </c>
      <c r="D108" s="9">
        <f>IF('Data Source'!B108="","",'Data Source'!V108)</f>
        <v/>
      </c>
      <c r="E108" s="9">
        <f>IF('Data Source'!B108="","",'Data Source'!W108)</f>
        <v/>
      </c>
      <c r="F108" s="9">
        <f>IF('Data Source'!B108="","",'Data Source'!X108)</f>
        <v/>
      </c>
      <c r="G108" s="9">
        <f>IF('Data Source'!B108="","",'Data Source'!Y108)</f>
        <v/>
      </c>
      <c r="H108" s="9">
        <f>IF('Data Source'!B108="","",'Data Source'!Z108)</f>
        <v/>
      </c>
      <c r="I108" s="9">
        <f>IF('Data Source'!B108="","",'Data Source'!AA108)</f>
        <v/>
      </c>
      <c r="J108" s="9">
        <f>IF('Data Source'!B108="","",'Data Source'!AB108)</f>
        <v/>
      </c>
      <c r="K108" s="9">
        <f>IF('Data Source'!B108="","",'Data Source'!AC108)</f>
        <v/>
      </c>
      <c r="L108" s="9">
        <f>IF('Data Source'!B108="","",'Data Source'!AD108)</f>
        <v/>
      </c>
      <c r="M108" s="9">
        <f>IF('Data Source'!B108="","",'Data Source'!AE108)</f>
        <v/>
      </c>
      <c r="N108" s="9">
        <f>IF('Data Source'!B108="","",'Data Source'!AF108)</f>
        <v/>
      </c>
      <c r="O108" s="9">
        <f>IF('Data Source'!B108="","",'Data Source'!AG108)</f>
        <v/>
      </c>
      <c r="P108" s="5">
        <f>IF('Data Source'!B108="","",'Data Source'!R108)</f>
        <v/>
      </c>
      <c r="Q108" s="3">
        <f>IF('Data Source'!B108="","",'Data Source'!S108)</f>
        <v/>
      </c>
    </row>
    <row r="109">
      <c r="A109" s="3">
        <f>IF('Data Source'!B109="","",'Data Source'!A109)</f>
        <v/>
      </c>
      <c r="B109">
        <f>IF('Data Source'!B109="","",'Data Source'!B109)</f>
        <v/>
      </c>
      <c r="C109" s="9">
        <f>IF('Data Source'!B109="","",'Data Source'!U109)</f>
        <v/>
      </c>
      <c r="D109" s="9">
        <f>IF('Data Source'!B109="","",'Data Source'!V109)</f>
        <v/>
      </c>
      <c r="E109" s="9">
        <f>IF('Data Source'!B109="","",'Data Source'!W109)</f>
        <v/>
      </c>
      <c r="F109" s="9">
        <f>IF('Data Source'!B109="","",'Data Source'!X109)</f>
        <v/>
      </c>
      <c r="G109" s="9">
        <f>IF('Data Source'!B109="","",'Data Source'!Y109)</f>
        <v/>
      </c>
      <c r="H109" s="9">
        <f>IF('Data Source'!B109="","",'Data Source'!Z109)</f>
        <v/>
      </c>
      <c r="I109" s="9">
        <f>IF('Data Source'!B109="","",'Data Source'!AA109)</f>
        <v/>
      </c>
      <c r="J109" s="9">
        <f>IF('Data Source'!B109="","",'Data Source'!AB109)</f>
        <v/>
      </c>
      <c r="K109" s="9">
        <f>IF('Data Source'!B109="","",'Data Source'!AC109)</f>
        <v/>
      </c>
      <c r="L109" s="9">
        <f>IF('Data Source'!B109="","",'Data Source'!AD109)</f>
        <v/>
      </c>
      <c r="M109" s="9">
        <f>IF('Data Source'!B109="","",'Data Source'!AE109)</f>
        <v/>
      </c>
      <c r="N109" s="9">
        <f>IF('Data Source'!B109="","",'Data Source'!AF109)</f>
        <v/>
      </c>
      <c r="O109" s="9">
        <f>IF('Data Source'!B109="","",'Data Source'!AG109)</f>
        <v/>
      </c>
      <c r="P109" s="5">
        <f>IF('Data Source'!B109="","",'Data Source'!R109)</f>
        <v/>
      </c>
      <c r="Q109" s="3">
        <f>IF('Data Source'!B109="","",'Data Source'!S109)</f>
        <v/>
      </c>
    </row>
    <row r="110">
      <c r="A110" s="3">
        <f>IF('Data Source'!B110="","",'Data Source'!A110)</f>
        <v/>
      </c>
      <c r="B110">
        <f>IF('Data Source'!B110="","",'Data Source'!B110)</f>
        <v/>
      </c>
      <c r="C110" s="9">
        <f>IF('Data Source'!B110="","",'Data Source'!U110)</f>
        <v/>
      </c>
      <c r="D110" s="9">
        <f>IF('Data Source'!B110="","",'Data Source'!V110)</f>
        <v/>
      </c>
      <c r="E110" s="9">
        <f>IF('Data Source'!B110="","",'Data Source'!W110)</f>
        <v/>
      </c>
      <c r="F110" s="9">
        <f>IF('Data Source'!B110="","",'Data Source'!X110)</f>
        <v/>
      </c>
      <c r="G110" s="9">
        <f>IF('Data Source'!B110="","",'Data Source'!Y110)</f>
        <v/>
      </c>
      <c r="H110" s="9">
        <f>IF('Data Source'!B110="","",'Data Source'!Z110)</f>
        <v/>
      </c>
      <c r="I110" s="9">
        <f>IF('Data Source'!B110="","",'Data Source'!AA110)</f>
        <v/>
      </c>
      <c r="J110" s="9">
        <f>IF('Data Source'!B110="","",'Data Source'!AB110)</f>
        <v/>
      </c>
      <c r="K110" s="9">
        <f>IF('Data Source'!B110="","",'Data Source'!AC110)</f>
        <v/>
      </c>
      <c r="L110" s="9">
        <f>IF('Data Source'!B110="","",'Data Source'!AD110)</f>
        <v/>
      </c>
      <c r="M110" s="9">
        <f>IF('Data Source'!B110="","",'Data Source'!AE110)</f>
        <v/>
      </c>
      <c r="N110" s="9">
        <f>IF('Data Source'!B110="","",'Data Source'!AF110)</f>
        <v/>
      </c>
      <c r="O110" s="9">
        <f>IF('Data Source'!B110="","",'Data Source'!AG110)</f>
        <v/>
      </c>
      <c r="P110" s="5">
        <f>IF('Data Source'!B110="","",'Data Source'!R110)</f>
        <v/>
      </c>
      <c r="Q110" s="3">
        <f>IF('Data Source'!B110="","",'Data Source'!S110)</f>
        <v/>
      </c>
    </row>
    <row r="111">
      <c r="A111" s="3">
        <f>IF('Data Source'!B111="","",'Data Source'!A111)</f>
        <v/>
      </c>
      <c r="B111">
        <f>IF('Data Source'!B111="","",'Data Source'!B111)</f>
        <v/>
      </c>
      <c r="C111" s="9">
        <f>IF('Data Source'!B111="","",'Data Source'!U111)</f>
        <v/>
      </c>
      <c r="D111" s="9">
        <f>IF('Data Source'!B111="","",'Data Source'!V111)</f>
        <v/>
      </c>
      <c r="E111" s="9">
        <f>IF('Data Source'!B111="","",'Data Source'!W111)</f>
        <v/>
      </c>
      <c r="F111" s="9">
        <f>IF('Data Source'!B111="","",'Data Source'!X111)</f>
        <v/>
      </c>
      <c r="G111" s="9">
        <f>IF('Data Source'!B111="","",'Data Source'!Y111)</f>
        <v/>
      </c>
      <c r="H111" s="9">
        <f>IF('Data Source'!B111="","",'Data Source'!Z111)</f>
        <v/>
      </c>
      <c r="I111" s="9">
        <f>IF('Data Source'!B111="","",'Data Source'!AA111)</f>
        <v/>
      </c>
      <c r="J111" s="9">
        <f>IF('Data Source'!B111="","",'Data Source'!AB111)</f>
        <v/>
      </c>
      <c r="K111" s="9">
        <f>IF('Data Source'!B111="","",'Data Source'!AC111)</f>
        <v/>
      </c>
      <c r="L111" s="9">
        <f>IF('Data Source'!B111="","",'Data Source'!AD111)</f>
        <v/>
      </c>
      <c r="M111" s="9">
        <f>IF('Data Source'!B111="","",'Data Source'!AE111)</f>
        <v/>
      </c>
      <c r="N111" s="9">
        <f>IF('Data Source'!B111="","",'Data Source'!AF111)</f>
        <v/>
      </c>
      <c r="O111" s="9">
        <f>IF('Data Source'!B111="","",'Data Source'!AG111)</f>
        <v/>
      </c>
      <c r="P111" s="5">
        <f>IF('Data Source'!B111="","",'Data Source'!R111)</f>
        <v/>
      </c>
      <c r="Q111" s="3">
        <f>IF('Data Source'!B111="","",'Data Source'!S111)</f>
        <v/>
      </c>
    </row>
    <row r="112">
      <c r="A112" s="3">
        <f>IF('Data Source'!B112="","",'Data Source'!A112)</f>
        <v/>
      </c>
      <c r="B112">
        <f>IF('Data Source'!B112="","",'Data Source'!B112)</f>
        <v/>
      </c>
      <c r="C112" s="9">
        <f>IF('Data Source'!B112="","",'Data Source'!U112)</f>
        <v/>
      </c>
      <c r="D112" s="9">
        <f>IF('Data Source'!B112="","",'Data Source'!V112)</f>
        <v/>
      </c>
      <c r="E112" s="9">
        <f>IF('Data Source'!B112="","",'Data Source'!W112)</f>
        <v/>
      </c>
      <c r="F112" s="9">
        <f>IF('Data Source'!B112="","",'Data Source'!X112)</f>
        <v/>
      </c>
      <c r="G112" s="9">
        <f>IF('Data Source'!B112="","",'Data Source'!Y112)</f>
        <v/>
      </c>
      <c r="H112" s="9">
        <f>IF('Data Source'!B112="","",'Data Source'!Z112)</f>
        <v/>
      </c>
      <c r="I112" s="9">
        <f>IF('Data Source'!B112="","",'Data Source'!AA112)</f>
        <v/>
      </c>
      <c r="J112" s="9">
        <f>IF('Data Source'!B112="","",'Data Source'!AB112)</f>
        <v/>
      </c>
      <c r="K112" s="9">
        <f>IF('Data Source'!B112="","",'Data Source'!AC112)</f>
        <v/>
      </c>
      <c r="L112" s="9">
        <f>IF('Data Source'!B112="","",'Data Source'!AD112)</f>
        <v/>
      </c>
      <c r="M112" s="9">
        <f>IF('Data Source'!B112="","",'Data Source'!AE112)</f>
        <v/>
      </c>
      <c r="N112" s="9">
        <f>IF('Data Source'!B112="","",'Data Source'!AF112)</f>
        <v/>
      </c>
      <c r="O112" s="9">
        <f>IF('Data Source'!B112="","",'Data Source'!AG112)</f>
        <v/>
      </c>
      <c r="P112" s="5">
        <f>IF('Data Source'!B112="","",'Data Source'!R112)</f>
        <v/>
      </c>
      <c r="Q112" s="3">
        <f>IF('Data Source'!B112="","",'Data Source'!S112)</f>
        <v/>
      </c>
    </row>
    <row r="113">
      <c r="A113" s="3">
        <f>IF('Data Source'!B113="","",'Data Source'!A113)</f>
        <v/>
      </c>
      <c r="B113">
        <f>IF('Data Source'!B113="","",'Data Source'!B113)</f>
        <v/>
      </c>
      <c r="C113" s="9">
        <f>IF('Data Source'!B113="","",'Data Source'!U113)</f>
        <v/>
      </c>
      <c r="D113" s="9">
        <f>IF('Data Source'!B113="","",'Data Source'!V113)</f>
        <v/>
      </c>
      <c r="E113" s="9">
        <f>IF('Data Source'!B113="","",'Data Source'!W113)</f>
        <v/>
      </c>
      <c r="F113" s="9">
        <f>IF('Data Source'!B113="","",'Data Source'!X113)</f>
        <v/>
      </c>
      <c r="G113" s="9">
        <f>IF('Data Source'!B113="","",'Data Source'!Y113)</f>
        <v/>
      </c>
      <c r="H113" s="9">
        <f>IF('Data Source'!B113="","",'Data Source'!Z113)</f>
        <v/>
      </c>
      <c r="I113" s="9">
        <f>IF('Data Source'!B113="","",'Data Source'!AA113)</f>
        <v/>
      </c>
      <c r="J113" s="9">
        <f>IF('Data Source'!B113="","",'Data Source'!AB113)</f>
        <v/>
      </c>
      <c r="K113" s="9">
        <f>IF('Data Source'!B113="","",'Data Source'!AC113)</f>
        <v/>
      </c>
      <c r="L113" s="9">
        <f>IF('Data Source'!B113="","",'Data Source'!AD113)</f>
        <v/>
      </c>
      <c r="M113" s="9">
        <f>IF('Data Source'!B113="","",'Data Source'!AE113)</f>
        <v/>
      </c>
      <c r="N113" s="9">
        <f>IF('Data Source'!B113="","",'Data Source'!AF113)</f>
        <v/>
      </c>
      <c r="O113" s="9">
        <f>IF('Data Source'!B113="","",'Data Source'!AG113)</f>
        <v/>
      </c>
      <c r="P113" s="5">
        <f>IF('Data Source'!B113="","",'Data Source'!R113)</f>
        <v/>
      </c>
      <c r="Q113" s="3">
        <f>IF('Data Source'!B113="","",'Data Source'!S113)</f>
        <v/>
      </c>
    </row>
    <row r="114">
      <c r="A114" s="3">
        <f>IF('Data Source'!B114="","",'Data Source'!A114)</f>
        <v/>
      </c>
      <c r="B114">
        <f>IF('Data Source'!B114="","",'Data Source'!B114)</f>
        <v/>
      </c>
      <c r="C114" s="9">
        <f>IF('Data Source'!B114="","",'Data Source'!U114)</f>
        <v/>
      </c>
      <c r="D114" s="9">
        <f>IF('Data Source'!B114="","",'Data Source'!V114)</f>
        <v/>
      </c>
      <c r="E114" s="9">
        <f>IF('Data Source'!B114="","",'Data Source'!W114)</f>
        <v/>
      </c>
      <c r="F114" s="9">
        <f>IF('Data Source'!B114="","",'Data Source'!X114)</f>
        <v/>
      </c>
      <c r="G114" s="9">
        <f>IF('Data Source'!B114="","",'Data Source'!Y114)</f>
        <v/>
      </c>
      <c r="H114" s="9">
        <f>IF('Data Source'!B114="","",'Data Source'!Z114)</f>
        <v/>
      </c>
      <c r="I114" s="9">
        <f>IF('Data Source'!B114="","",'Data Source'!AA114)</f>
        <v/>
      </c>
      <c r="J114" s="9">
        <f>IF('Data Source'!B114="","",'Data Source'!AB114)</f>
        <v/>
      </c>
      <c r="K114" s="9">
        <f>IF('Data Source'!B114="","",'Data Source'!AC114)</f>
        <v/>
      </c>
      <c r="L114" s="9">
        <f>IF('Data Source'!B114="","",'Data Source'!AD114)</f>
        <v/>
      </c>
      <c r="M114" s="9">
        <f>IF('Data Source'!B114="","",'Data Source'!AE114)</f>
        <v/>
      </c>
      <c r="N114" s="9">
        <f>IF('Data Source'!B114="","",'Data Source'!AF114)</f>
        <v/>
      </c>
      <c r="O114" s="9">
        <f>IF('Data Source'!B114="","",'Data Source'!AG114)</f>
        <v/>
      </c>
      <c r="P114" s="5">
        <f>IF('Data Source'!B114="","",'Data Source'!R114)</f>
        <v/>
      </c>
      <c r="Q114" s="3">
        <f>IF('Data Source'!B114="","",'Data Source'!S114)</f>
        <v/>
      </c>
    </row>
    <row r="115">
      <c r="A115" s="3">
        <f>IF('Data Source'!B115="","",'Data Source'!A115)</f>
        <v/>
      </c>
      <c r="B115">
        <f>IF('Data Source'!B115="","",'Data Source'!B115)</f>
        <v/>
      </c>
      <c r="C115" s="9">
        <f>IF('Data Source'!B115="","",'Data Source'!U115)</f>
        <v/>
      </c>
      <c r="D115" s="9">
        <f>IF('Data Source'!B115="","",'Data Source'!V115)</f>
        <v/>
      </c>
      <c r="E115" s="9">
        <f>IF('Data Source'!B115="","",'Data Source'!W115)</f>
        <v/>
      </c>
      <c r="F115" s="9">
        <f>IF('Data Source'!B115="","",'Data Source'!X115)</f>
        <v/>
      </c>
      <c r="G115" s="9">
        <f>IF('Data Source'!B115="","",'Data Source'!Y115)</f>
        <v/>
      </c>
      <c r="H115" s="9">
        <f>IF('Data Source'!B115="","",'Data Source'!Z115)</f>
        <v/>
      </c>
      <c r="I115" s="9">
        <f>IF('Data Source'!B115="","",'Data Source'!AA115)</f>
        <v/>
      </c>
      <c r="J115" s="9">
        <f>IF('Data Source'!B115="","",'Data Source'!AB115)</f>
        <v/>
      </c>
      <c r="K115" s="9">
        <f>IF('Data Source'!B115="","",'Data Source'!AC115)</f>
        <v/>
      </c>
      <c r="L115" s="9">
        <f>IF('Data Source'!B115="","",'Data Source'!AD115)</f>
        <v/>
      </c>
      <c r="M115" s="9">
        <f>IF('Data Source'!B115="","",'Data Source'!AE115)</f>
        <v/>
      </c>
      <c r="N115" s="9">
        <f>IF('Data Source'!B115="","",'Data Source'!AF115)</f>
        <v/>
      </c>
      <c r="O115" s="9">
        <f>IF('Data Source'!B115="","",'Data Source'!AG115)</f>
        <v/>
      </c>
      <c r="P115" s="5">
        <f>IF('Data Source'!B115="","",'Data Source'!R115)</f>
        <v/>
      </c>
      <c r="Q115" s="3">
        <f>IF('Data Source'!B115="","",'Data Source'!S115)</f>
        <v/>
      </c>
    </row>
    <row r="116">
      <c r="A116" s="3">
        <f>IF('Data Source'!B116="","",'Data Source'!A116)</f>
        <v/>
      </c>
      <c r="B116">
        <f>IF('Data Source'!B116="","",'Data Source'!B116)</f>
        <v/>
      </c>
      <c r="C116" s="9">
        <f>IF('Data Source'!B116="","",'Data Source'!U116)</f>
        <v/>
      </c>
      <c r="D116" s="9">
        <f>IF('Data Source'!B116="","",'Data Source'!V116)</f>
        <v/>
      </c>
      <c r="E116" s="9">
        <f>IF('Data Source'!B116="","",'Data Source'!W116)</f>
        <v/>
      </c>
      <c r="F116" s="9">
        <f>IF('Data Source'!B116="","",'Data Source'!X116)</f>
        <v/>
      </c>
      <c r="G116" s="9">
        <f>IF('Data Source'!B116="","",'Data Source'!Y116)</f>
        <v/>
      </c>
      <c r="H116" s="9">
        <f>IF('Data Source'!B116="","",'Data Source'!Z116)</f>
        <v/>
      </c>
      <c r="I116" s="9">
        <f>IF('Data Source'!B116="","",'Data Source'!AA116)</f>
        <v/>
      </c>
      <c r="J116" s="9">
        <f>IF('Data Source'!B116="","",'Data Source'!AB116)</f>
        <v/>
      </c>
      <c r="K116" s="9">
        <f>IF('Data Source'!B116="","",'Data Source'!AC116)</f>
        <v/>
      </c>
      <c r="L116" s="9">
        <f>IF('Data Source'!B116="","",'Data Source'!AD116)</f>
        <v/>
      </c>
      <c r="M116" s="9">
        <f>IF('Data Source'!B116="","",'Data Source'!AE116)</f>
        <v/>
      </c>
      <c r="N116" s="9">
        <f>IF('Data Source'!B116="","",'Data Source'!AF116)</f>
        <v/>
      </c>
      <c r="O116" s="9">
        <f>IF('Data Source'!B116="","",'Data Source'!AG116)</f>
        <v/>
      </c>
      <c r="P116" s="5">
        <f>IF('Data Source'!B116="","",'Data Source'!R116)</f>
        <v/>
      </c>
      <c r="Q116" s="3">
        <f>IF('Data Source'!B116="","",'Data Source'!S116)</f>
        <v/>
      </c>
    </row>
    <row r="117">
      <c r="A117" s="3">
        <f>IF('Data Source'!B117="","",'Data Source'!A117)</f>
        <v/>
      </c>
      <c r="B117">
        <f>IF('Data Source'!B117="","",'Data Source'!B117)</f>
        <v/>
      </c>
      <c r="C117" s="9">
        <f>IF('Data Source'!B117="","",'Data Source'!U117)</f>
        <v/>
      </c>
      <c r="D117" s="9">
        <f>IF('Data Source'!B117="","",'Data Source'!V117)</f>
        <v/>
      </c>
      <c r="E117" s="9">
        <f>IF('Data Source'!B117="","",'Data Source'!W117)</f>
        <v/>
      </c>
      <c r="F117" s="9">
        <f>IF('Data Source'!B117="","",'Data Source'!X117)</f>
        <v/>
      </c>
      <c r="G117" s="9">
        <f>IF('Data Source'!B117="","",'Data Source'!Y117)</f>
        <v/>
      </c>
      <c r="H117" s="9">
        <f>IF('Data Source'!B117="","",'Data Source'!Z117)</f>
        <v/>
      </c>
      <c r="I117" s="9">
        <f>IF('Data Source'!B117="","",'Data Source'!AA117)</f>
        <v/>
      </c>
      <c r="J117" s="9">
        <f>IF('Data Source'!B117="","",'Data Source'!AB117)</f>
        <v/>
      </c>
      <c r="K117" s="9">
        <f>IF('Data Source'!B117="","",'Data Source'!AC117)</f>
        <v/>
      </c>
      <c r="L117" s="9">
        <f>IF('Data Source'!B117="","",'Data Source'!AD117)</f>
        <v/>
      </c>
      <c r="M117" s="9">
        <f>IF('Data Source'!B117="","",'Data Source'!AE117)</f>
        <v/>
      </c>
      <c r="N117" s="9">
        <f>IF('Data Source'!B117="","",'Data Source'!AF117)</f>
        <v/>
      </c>
      <c r="O117" s="9">
        <f>IF('Data Source'!B117="","",'Data Source'!AG117)</f>
        <v/>
      </c>
      <c r="P117" s="5">
        <f>IF('Data Source'!B117="","",'Data Source'!R117)</f>
        <v/>
      </c>
      <c r="Q117" s="3">
        <f>IF('Data Source'!B117="","",'Data Source'!S117)</f>
        <v/>
      </c>
    </row>
    <row r="118">
      <c r="A118" s="3">
        <f>IF('Data Source'!B118="","",'Data Source'!A118)</f>
        <v/>
      </c>
      <c r="B118">
        <f>IF('Data Source'!B118="","",'Data Source'!B118)</f>
        <v/>
      </c>
      <c r="C118" s="9">
        <f>IF('Data Source'!B118="","",'Data Source'!U118)</f>
        <v/>
      </c>
      <c r="D118" s="9">
        <f>IF('Data Source'!B118="","",'Data Source'!V118)</f>
        <v/>
      </c>
      <c r="E118" s="9">
        <f>IF('Data Source'!B118="","",'Data Source'!W118)</f>
        <v/>
      </c>
      <c r="F118" s="9">
        <f>IF('Data Source'!B118="","",'Data Source'!X118)</f>
        <v/>
      </c>
      <c r="G118" s="9">
        <f>IF('Data Source'!B118="","",'Data Source'!Y118)</f>
        <v/>
      </c>
      <c r="H118" s="9">
        <f>IF('Data Source'!B118="","",'Data Source'!Z118)</f>
        <v/>
      </c>
      <c r="I118" s="9">
        <f>IF('Data Source'!B118="","",'Data Source'!AA118)</f>
        <v/>
      </c>
      <c r="J118" s="9">
        <f>IF('Data Source'!B118="","",'Data Source'!AB118)</f>
        <v/>
      </c>
      <c r="K118" s="9">
        <f>IF('Data Source'!B118="","",'Data Source'!AC118)</f>
        <v/>
      </c>
      <c r="L118" s="9">
        <f>IF('Data Source'!B118="","",'Data Source'!AD118)</f>
        <v/>
      </c>
      <c r="M118" s="9">
        <f>IF('Data Source'!B118="","",'Data Source'!AE118)</f>
        <v/>
      </c>
      <c r="N118" s="9">
        <f>IF('Data Source'!B118="","",'Data Source'!AF118)</f>
        <v/>
      </c>
      <c r="O118" s="9">
        <f>IF('Data Source'!B118="","",'Data Source'!AG118)</f>
        <v/>
      </c>
      <c r="P118" s="5">
        <f>IF('Data Source'!B118="","",'Data Source'!R118)</f>
        <v/>
      </c>
      <c r="Q118" s="3">
        <f>IF('Data Source'!B118="","",'Data Source'!S118)</f>
        <v/>
      </c>
    </row>
    <row r="119">
      <c r="A119" s="3">
        <f>IF('Data Source'!B119="","",'Data Source'!A119)</f>
        <v/>
      </c>
      <c r="B119">
        <f>IF('Data Source'!B119="","",'Data Source'!B119)</f>
        <v/>
      </c>
      <c r="C119" s="9">
        <f>IF('Data Source'!B119="","",'Data Source'!U119)</f>
        <v/>
      </c>
      <c r="D119" s="9">
        <f>IF('Data Source'!B119="","",'Data Source'!V119)</f>
        <v/>
      </c>
      <c r="E119" s="9">
        <f>IF('Data Source'!B119="","",'Data Source'!W119)</f>
        <v/>
      </c>
      <c r="F119" s="9">
        <f>IF('Data Source'!B119="","",'Data Source'!X119)</f>
        <v/>
      </c>
      <c r="G119" s="9">
        <f>IF('Data Source'!B119="","",'Data Source'!Y119)</f>
        <v/>
      </c>
      <c r="H119" s="9">
        <f>IF('Data Source'!B119="","",'Data Source'!Z119)</f>
        <v/>
      </c>
      <c r="I119" s="9">
        <f>IF('Data Source'!B119="","",'Data Source'!AA119)</f>
        <v/>
      </c>
      <c r="J119" s="9">
        <f>IF('Data Source'!B119="","",'Data Source'!AB119)</f>
        <v/>
      </c>
      <c r="K119" s="9">
        <f>IF('Data Source'!B119="","",'Data Source'!AC119)</f>
        <v/>
      </c>
      <c r="L119" s="9">
        <f>IF('Data Source'!B119="","",'Data Source'!AD119)</f>
        <v/>
      </c>
      <c r="M119" s="9">
        <f>IF('Data Source'!B119="","",'Data Source'!AE119)</f>
        <v/>
      </c>
      <c r="N119" s="9">
        <f>IF('Data Source'!B119="","",'Data Source'!AF119)</f>
        <v/>
      </c>
      <c r="O119" s="9">
        <f>IF('Data Source'!B119="","",'Data Source'!AG119)</f>
        <v/>
      </c>
      <c r="P119" s="5">
        <f>IF('Data Source'!B119="","",'Data Source'!R119)</f>
        <v/>
      </c>
      <c r="Q119" s="3">
        <f>IF('Data Source'!B119="","",'Data Source'!S119)</f>
        <v/>
      </c>
    </row>
    <row r="120">
      <c r="A120" s="3">
        <f>IF('Data Source'!B120="","",'Data Source'!A120)</f>
        <v/>
      </c>
      <c r="B120">
        <f>IF('Data Source'!B120="","",'Data Source'!B120)</f>
        <v/>
      </c>
      <c r="C120" s="9">
        <f>IF('Data Source'!B120="","",'Data Source'!U120)</f>
        <v/>
      </c>
      <c r="D120" s="9">
        <f>IF('Data Source'!B120="","",'Data Source'!V120)</f>
        <v/>
      </c>
      <c r="E120" s="9">
        <f>IF('Data Source'!B120="","",'Data Source'!W120)</f>
        <v/>
      </c>
      <c r="F120" s="9">
        <f>IF('Data Source'!B120="","",'Data Source'!X120)</f>
        <v/>
      </c>
      <c r="G120" s="9">
        <f>IF('Data Source'!B120="","",'Data Source'!Y120)</f>
        <v/>
      </c>
      <c r="H120" s="9">
        <f>IF('Data Source'!B120="","",'Data Source'!Z120)</f>
        <v/>
      </c>
      <c r="I120" s="9">
        <f>IF('Data Source'!B120="","",'Data Source'!AA120)</f>
        <v/>
      </c>
      <c r="J120" s="9">
        <f>IF('Data Source'!B120="","",'Data Source'!AB120)</f>
        <v/>
      </c>
      <c r="K120" s="9">
        <f>IF('Data Source'!B120="","",'Data Source'!AC120)</f>
        <v/>
      </c>
      <c r="L120" s="9">
        <f>IF('Data Source'!B120="","",'Data Source'!AD120)</f>
        <v/>
      </c>
      <c r="M120" s="9">
        <f>IF('Data Source'!B120="","",'Data Source'!AE120)</f>
        <v/>
      </c>
      <c r="N120" s="9">
        <f>IF('Data Source'!B120="","",'Data Source'!AF120)</f>
        <v/>
      </c>
      <c r="O120" s="9">
        <f>IF('Data Source'!B120="","",'Data Source'!AG120)</f>
        <v/>
      </c>
      <c r="P120" s="5">
        <f>IF('Data Source'!B120="","",'Data Source'!R120)</f>
        <v/>
      </c>
      <c r="Q120" s="3">
        <f>IF('Data Source'!B120="","",'Data Source'!S120)</f>
        <v/>
      </c>
    </row>
    <row r="121">
      <c r="A121" s="3">
        <f>IF('Data Source'!B121="","",'Data Source'!A121)</f>
        <v/>
      </c>
      <c r="B121">
        <f>IF('Data Source'!B121="","",'Data Source'!B121)</f>
        <v/>
      </c>
      <c r="C121" s="9">
        <f>IF('Data Source'!B121="","",'Data Source'!U121)</f>
        <v/>
      </c>
      <c r="D121" s="9">
        <f>IF('Data Source'!B121="","",'Data Source'!V121)</f>
        <v/>
      </c>
      <c r="E121" s="9">
        <f>IF('Data Source'!B121="","",'Data Source'!W121)</f>
        <v/>
      </c>
      <c r="F121" s="9">
        <f>IF('Data Source'!B121="","",'Data Source'!X121)</f>
        <v/>
      </c>
      <c r="G121" s="9">
        <f>IF('Data Source'!B121="","",'Data Source'!Y121)</f>
        <v/>
      </c>
      <c r="H121" s="9">
        <f>IF('Data Source'!B121="","",'Data Source'!Z121)</f>
        <v/>
      </c>
      <c r="I121" s="9">
        <f>IF('Data Source'!B121="","",'Data Source'!AA121)</f>
        <v/>
      </c>
      <c r="J121" s="9">
        <f>IF('Data Source'!B121="","",'Data Source'!AB121)</f>
        <v/>
      </c>
      <c r="K121" s="9">
        <f>IF('Data Source'!B121="","",'Data Source'!AC121)</f>
        <v/>
      </c>
      <c r="L121" s="9">
        <f>IF('Data Source'!B121="","",'Data Source'!AD121)</f>
        <v/>
      </c>
      <c r="M121" s="9">
        <f>IF('Data Source'!B121="","",'Data Source'!AE121)</f>
        <v/>
      </c>
      <c r="N121" s="9">
        <f>IF('Data Source'!B121="","",'Data Source'!AF121)</f>
        <v/>
      </c>
      <c r="O121" s="9">
        <f>IF('Data Source'!B121="","",'Data Source'!AG121)</f>
        <v/>
      </c>
      <c r="P121" s="5">
        <f>IF('Data Source'!B121="","",'Data Source'!R121)</f>
        <v/>
      </c>
      <c r="Q121" s="3">
        <f>IF('Data Source'!B121="","",'Data Source'!S121)</f>
        <v/>
      </c>
    </row>
    <row r="122">
      <c r="A122" s="3">
        <f>IF('Data Source'!B122="","",'Data Source'!A122)</f>
        <v/>
      </c>
      <c r="B122">
        <f>IF('Data Source'!B122="","",'Data Source'!B122)</f>
        <v/>
      </c>
      <c r="C122" s="9">
        <f>IF('Data Source'!B122="","",'Data Source'!U122)</f>
        <v/>
      </c>
      <c r="D122" s="9">
        <f>IF('Data Source'!B122="","",'Data Source'!V122)</f>
        <v/>
      </c>
      <c r="E122" s="9">
        <f>IF('Data Source'!B122="","",'Data Source'!W122)</f>
        <v/>
      </c>
      <c r="F122" s="9">
        <f>IF('Data Source'!B122="","",'Data Source'!X122)</f>
        <v/>
      </c>
      <c r="G122" s="9">
        <f>IF('Data Source'!B122="","",'Data Source'!Y122)</f>
        <v/>
      </c>
      <c r="H122" s="9">
        <f>IF('Data Source'!B122="","",'Data Source'!Z122)</f>
        <v/>
      </c>
      <c r="I122" s="9">
        <f>IF('Data Source'!B122="","",'Data Source'!AA122)</f>
        <v/>
      </c>
      <c r="J122" s="9">
        <f>IF('Data Source'!B122="","",'Data Source'!AB122)</f>
        <v/>
      </c>
      <c r="K122" s="9">
        <f>IF('Data Source'!B122="","",'Data Source'!AC122)</f>
        <v/>
      </c>
      <c r="L122" s="9">
        <f>IF('Data Source'!B122="","",'Data Source'!AD122)</f>
        <v/>
      </c>
      <c r="M122" s="9">
        <f>IF('Data Source'!B122="","",'Data Source'!AE122)</f>
        <v/>
      </c>
      <c r="N122" s="9">
        <f>IF('Data Source'!B122="","",'Data Source'!AF122)</f>
        <v/>
      </c>
      <c r="O122" s="9">
        <f>IF('Data Source'!B122="","",'Data Source'!AG122)</f>
        <v/>
      </c>
      <c r="P122" s="5">
        <f>IF('Data Source'!B122="","",'Data Source'!R122)</f>
        <v/>
      </c>
      <c r="Q122" s="3">
        <f>IF('Data Source'!B122="","",'Data Source'!S122)</f>
        <v/>
      </c>
    </row>
    <row r="123">
      <c r="A123" s="3">
        <f>IF('Data Source'!B123="","",'Data Source'!A123)</f>
        <v/>
      </c>
      <c r="B123">
        <f>IF('Data Source'!B123="","",'Data Source'!B123)</f>
        <v/>
      </c>
      <c r="C123" s="9">
        <f>IF('Data Source'!B123="","",'Data Source'!U123)</f>
        <v/>
      </c>
      <c r="D123" s="9">
        <f>IF('Data Source'!B123="","",'Data Source'!V123)</f>
        <v/>
      </c>
      <c r="E123" s="9">
        <f>IF('Data Source'!B123="","",'Data Source'!W123)</f>
        <v/>
      </c>
      <c r="F123" s="9">
        <f>IF('Data Source'!B123="","",'Data Source'!X123)</f>
        <v/>
      </c>
      <c r="G123" s="9">
        <f>IF('Data Source'!B123="","",'Data Source'!Y123)</f>
        <v/>
      </c>
      <c r="H123" s="9">
        <f>IF('Data Source'!B123="","",'Data Source'!Z123)</f>
        <v/>
      </c>
      <c r="I123" s="9">
        <f>IF('Data Source'!B123="","",'Data Source'!AA123)</f>
        <v/>
      </c>
      <c r="J123" s="9">
        <f>IF('Data Source'!B123="","",'Data Source'!AB123)</f>
        <v/>
      </c>
      <c r="K123" s="9">
        <f>IF('Data Source'!B123="","",'Data Source'!AC123)</f>
        <v/>
      </c>
      <c r="L123" s="9">
        <f>IF('Data Source'!B123="","",'Data Source'!AD123)</f>
        <v/>
      </c>
      <c r="M123" s="9">
        <f>IF('Data Source'!B123="","",'Data Source'!AE123)</f>
        <v/>
      </c>
      <c r="N123" s="9">
        <f>IF('Data Source'!B123="","",'Data Source'!AF123)</f>
        <v/>
      </c>
      <c r="O123" s="9">
        <f>IF('Data Source'!B123="","",'Data Source'!AG123)</f>
        <v/>
      </c>
      <c r="P123" s="5">
        <f>IF('Data Source'!B123="","",'Data Source'!R123)</f>
        <v/>
      </c>
      <c r="Q123" s="3">
        <f>IF('Data Source'!B123="","",'Data Source'!S123)</f>
        <v/>
      </c>
    </row>
    <row r="124">
      <c r="A124" s="3">
        <f>IF('Data Source'!B124="","",'Data Source'!A124)</f>
        <v/>
      </c>
      <c r="B124">
        <f>IF('Data Source'!B124="","",'Data Source'!B124)</f>
        <v/>
      </c>
      <c r="C124" s="9">
        <f>IF('Data Source'!B124="","",'Data Source'!U124)</f>
        <v/>
      </c>
      <c r="D124" s="9">
        <f>IF('Data Source'!B124="","",'Data Source'!V124)</f>
        <v/>
      </c>
      <c r="E124" s="9">
        <f>IF('Data Source'!B124="","",'Data Source'!W124)</f>
        <v/>
      </c>
      <c r="F124" s="9">
        <f>IF('Data Source'!B124="","",'Data Source'!X124)</f>
        <v/>
      </c>
      <c r="G124" s="9">
        <f>IF('Data Source'!B124="","",'Data Source'!Y124)</f>
        <v/>
      </c>
      <c r="H124" s="9">
        <f>IF('Data Source'!B124="","",'Data Source'!Z124)</f>
        <v/>
      </c>
      <c r="I124" s="9">
        <f>IF('Data Source'!B124="","",'Data Source'!AA124)</f>
        <v/>
      </c>
      <c r="J124" s="9">
        <f>IF('Data Source'!B124="","",'Data Source'!AB124)</f>
        <v/>
      </c>
      <c r="K124" s="9">
        <f>IF('Data Source'!B124="","",'Data Source'!AC124)</f>
        <v/>
      </c>
      <c r="L124" s="9">
        <f>IF('Data Source'!B124="","",'Data Source'!AD124)</f>
        <v/>
      </c>
      <c r="M124" s="9">
        <f>IF('Data Source'!B124="","",'Data Source'!AE124)</f>
        <v/>
      </c>
      <c r="N124" s="9">
        <f>IF('Data Source'!B124="","",'Data Source'!AF124)</f>
        <v/>
      </c>
      <c r="O124" s="9">
        <f>IF('Data Source'!B124="","",'Data Source'!AG124)</f>
        <v/>
      </c>
      <c r="P124" s="5">
        <f>IF('Data Source'!B124="","",'Data Source'!R124)</f>
        <v/>
      </c>
      <c r="Q124" s="3">
        <f>IF('Data Source'!B124="","",'Data Source'!S124)</f>
        <v/>
      </c>
    </row>
    <row r="125">
      <c r="A125" s="3">
        <f>IF('Data Source'!B125="","",'Data Source'!A125)</f>
        <v/>
      </c>
      <c r="B125">
        <f>IF('Data Source'!B125="","",'Data Source'!B125)</f>
        <v/>
      </c>
      <c r="C125" s="9">
        <f>IF('Data Source'!B125="","",'Data Source'!U125)</f>
        <v/>
      </c>
      <c r="D125" s="9">
        <f>IF('Data Source'!B125="","",'Data Source'!V125)</f>
        <v/>
      </c>
      <c r="E125" s="9">
        <f>IF('Data Source'!B125="","",'Data Source'!W125)</f>
        <v/>
      </c>
      <c r="F125" s="9">
        <f>IF('Data Source'!B125="","",'Data Source'!X125)</f>
        <v/>
      </c>
      <c r="G125" s="9">
        <f>IF('Data Source'!B125="","",'Data Source'!Y125)</f>
        <v/>
      </c>
      <c r="H125" s="9">
        <f>IF('Data Source'!B125="","",'Data Source'!Z125)</f>
        <v/>
      </c>
      <c r="I125" s="9">
        <f>IF('Data Source'!B125="","",'Data Source'!AA125)</f>
        <v/>
      </c>
      <c r="J125" s="9">
        <f>IF('Data Source'!B125="","",'Data Source'!AB125)</f>
        <v/>
      </c>
      <c r="K125" s="9">
        <f>IF('Data Source'!B125="","",'Data Source'!AC125)</f>
        <v/>
      </c>
      <c r="L125" s="9">
        <f>IF('Data Source'!B125="","",'Data Source'!AD125)</f>
        <v/>
      </c>
      <c r="M125" s="9">
        <f>IF('Data Source'!B125="","",'Data Source'!AE125)</f>
        <v/>
      </c>
      <c r="N125" s="9">
        <f>IF('Data Source'!B125="","",'Data Source'!AF125)</f>
        <v/>
      </c>
      <c r="O125" s="9">
        <f>IF('Data Source'!B125="","",'Data Source'!AG125)</f>
        <v/>
      </c>
      <c r="P125" s="5">
        <f>IF('Data Source'!B125="","",'Data Source'!R125)</f>
        <v/>
      </c>
      <c r="Q125" s="3">
        <f>IF('Data Source'!B125="","",'Data Source'!S125)</f>
        <v/>
      </c>
    </row>
    <row r="126">
      <c r="A126" s="3">
        <f>IF('Data Source'!B126="","",'Data Source'!A126)</f>
        <v/>
      </c>
      <c r="B126">
        <f>IF('Data Source'!B126="","",'Data Source'!B126)</f>
        <v/>
      </c>
      <c r="C126" s="9">
        <f>IF('Data Source'!B126="","",'Data Source'!U126)</f>
        <v/>
      </c>
      <c r="D126" s="9">
        <f>IF('Data Source'!B126="","",'Data Source'!V126)</f>
        <v/>
      </c>
      <c r="E126" s="9">
        <f>IF('Data Source'!B126="","",'Data Source'!W126)</f>
        <v/>
      </c>
      <c r="F126" s="9">
        <f>IF('Data Source'!B126="","",'Data Source'!X126)</f>
        <v/>
      </c>
      <c r="G126" s="9">
        <f>IF('Data Source'!B126="","",'Data Source'!Y126)</f>
        <v/>
      </c>
      <c r="H126" s="9">
        <f>IF('Data Source'!B126="","",'Data Source'!Z126)</f>
        <v/>
      </c>
      <c r="I126" s="9">
        <f>IF('Data Source'!B126="","",'Data Source'!AA126)</f>
        <v/>
      </c>
      <c r="J126" s="9">
        <f>IF('Data Source'!B126="","",'Data Source'!AB126)</f>
        <v/>
      </c>
      <c r="K126" s="9">
        <f>IF('Data Source'!B126="","",'Data Source'!AC126)</f>
        <v/>
      </c>
      <c r="L126" s="9">
        <f>IF('Data Source'!B126="","",'Data Source'!AD126)</f>
        <v/>
      </c>
      <c r="M126" s="9">
        <f>IF('Data Source'!B126="","",'Data Source'!AE126)</f>
        <v/>
      </c>
      <c r="N126" s="9">
        <f>IF('Data Source'!B126="","",'Data Source'!AF126)</f>
        <v/>
      </c>
      <c r="O126" s="9">
        <f>IF('Data Source'!B126="","",'Data Source'!AG126)</f>
        <v/>
      </c>
      <c r="P126" s="5">
        <f>IF('Data Source'!B126="","",'Data Source'!R126)</f>
        <v/>
      </c>
      <c r="Q126" s="3">
        <f>IF('Data Source'!B126="","",'Data Source'!S126)</f>
        <v/>
      </c>
    </row>
    <row r="127">
      <c r="A127" s="3">
        <f>IF('Data Source'!B127="","",'Data Source'!A127)</f>
        <v/>
      </c>
      <c r="B127">
        <f>IF('Data Source'!B127="","",'Data Source'!B127)</f>
        <v/>
      </c>
      <c r="C127" s="9">
        <f>IF('Data Source'!B127="","",'Data Source'!U127)</f>
        <v/>
      </c>
      <c r="D127" s="9">
        <f>IF('Data Source'!B127="","",'Data Source'!V127)</f>
        <v/>
      </c>
      <c r="E127" s="9">
        <f>IF('Data Source'!B127="","",'Data Source'!W127)</f>
        <v/>
      </c>
      <c r="F127" s="9">
        <f>IF('Data Source'!B127="","",'Data Source'!X127)</f>
        <v/>
      </c>
      <c r="G127" s="9">
        <f>IF('Data Source'!B127="","",'Data Source'!Y127)</f>
        <v/>
      </c>
      <c r="H127" s="9">
        <f>IF('Data Source'!B127="","",'Data Source'!Z127)</f>
        <v/>
      </c>
      <c r="I127" s="9">
        <f>IF('Data Source'!B127="","",'Data Source'!AA127)</f>
        <v/>
      </c>
      <c r="J127" s="9">
        <f>IF('Data Source'!B127="","",'Data Source'!AB127)</f>
        <v/>
      </c>
      <c r="K127" s="9">
        <f>IF('Data Source'!B127="","",'Data Source'!AC127)</f>
        <v/>
      </c>
      <c r="L127" s="9">
        <f>IF('Data Source'!B127="","",'Data Source'!AD127)</f>
        <v/>
      </c>
      <c r="M127" s="9">
        <f>IF('Data Source'!B127="","",'Data Source'!AE127)</f>
        <v/>
      </c>
      <c r="N127" s="9">
        <f>IF('Data Source'!B127="","",'Data Source'!AF127)</f>
        <v/>
      </c>
      <c r="O127" s="9">
        <f>IF('Data Source'!B127="","",'Data Source'!AG127)</f>
        <v/>
      </c>
      <c r="P127" s="5">
        <f>IF('Data Source'!B127="","",'Data Source'!R127)</f>
        <v/>
      </c>
      <c r="Q127" s="3">
        <f>IF('Data Source'!B127="","",'Data Source'!S127)</f>
        <v/>
      </c>
    </row>
    <row r="128">
      <c r="A128" s="3">
        <f>IF('Data Source'!B128="","",'Data Source'!A128)</f>
        <v/>
      </c>
      <c r="B128">
        <f>IF('Data Source'!B128="","",'Data Source'!B128)</f>
        <v/>
      </c>
      <c r="C128" s="9">
        <f>IF('Data Source'!B128="","",'Data Source'!U128)</f>
        <v/>
      </c>
      <c r="D128" s="9">
        <f>IF('Data Source'!B128="","",'Data Source'!V128)</f>
        <v/>
      </c>
      <c r="E128" s="9">
        <f>IF('Data Source'!B128="","",'Data Source'!W128)</f>
        <v/>
      </c>
      <c r="F128" s="9">
        <f>IF('Data Source'!B128="","",'Data Source'!X128)</f>
        <v/>
      </c>
      <c r="G128" s="9">
        <f>IF('Data Source'!B128="","",'Data Source'!Y128)</f>
        <v/>
      </c>
      <c r="H128" s="9">
        <f>IF('Data Source'!B128="","",'Data Source'!Z128)</f>
        <v/>
      </c>
      <c r="I128" s="9">
        <f>IF('Data Source'!B128="","",'Data Source'!AA128)</f>
        <v/>
      </c>
      <c r="J128" s="9">
        <f>IF('Data Source'!B128="","",'Data Source'!AB128)</f>
        <v/>
      </c>
      <c r="K128" s="9">
        <f>IF('Data Source'!B128="","",'Data Source'!AC128)</f>
        <v/>
      </c>
      <c r="L128" s="9">
        <f>IF('Data Source'!B128="","",'Data Source'!AD128)</f>
        <v/>
      </c>
      <c r="M128" s="9">
        <f>IF('Data Source'!B128="","",'Data Source'!AE128)</f>
        <v/>
      </c>
      <c r="N128" s="9">
        <f>IF('Data Source'!B128="","",'Data Source'!AF128)</f>
        <v/>
      </c>
      <c r="O128" s="9">
        <f>IF('Data Source'!B128="","",'Data Source'!AG128)</f>
        <v/>
      </c>
      <c r="P128" s="5">
        <f>IF('Data Source'!B128="","",'Data Source'!R128)</f>
        <v/>
      </c>
      <c r="Q128" s="3">
        <f>IF('Data Source'!B128="","",'Data Source'!S128)</f>
        <v/>
      </c>
    </row>
    <row r="129">
      <c r="A129" s="3">
        <f>IF('Data Source'!B129="","",'Data Source'!A129)</f>
        <v/>
      </c>
      <c r="B129">
        <f>IF('Data Source'!B129="","",'Data Source'!B129)</f>
        <v/>
      </c>
      <c r="C129" s="9">
        <f>IF('Data Source'!B129="","",'Data Source'!U129)</f>
        <v/>
      </c>
      <c r="D129" s="9">
        <f>IF('Data Source'!B129="","",'Data Source'!V129)</f>
        <v/>
      </c>
      <c r="E129" s="9">
        <f>IF('Data Source'!B129="","",'Data Source'!W129)</f>
        <v/>
      </c>
      <c r="F129" s="9">
        <f>IF('Data Source'!B129="","",'Data Source'!X129)</f>
        <v/>
      </c>
      <c r="G129" s="9">
        <f>IF('Data Source'!B129="","",'Data Source'!Y129)</f>
        <v/>
      </c>
      <c r="H129" s="9">
        <f>IF('Data Source'!B129="","",'Data Source'!Z129)</f>
        <v/>
      </c>
      <c r="I129" s="9">
        <f>IF('Data Source'!B129="","",'Data Source'!AA129)</f>
        <v/>
      </c>
      <c r="J129" s="9">
        <f>IF('Data Source'!B129="","",'Data Source'!AB129)</f>
        <v/>
      </c>
      <c r="K129" s="9">
        <f>IF('Data Source'!B129="","",'Data Source'!AC129)</f>
        <v/>
      </c>
      <c r="L129" s="9">
        <f>IF('Data Source'!B129="","",'Data Source'!AD129)</f>
        <v/>
      </c>
      <c r="M129" s="9">
        <f>IF('Data Source'!B129="","",'Data Source'!AE129)</f>
        <v/>
      </c>
      <c r="N129" s="9">
        <f>IF('Data Source'!B129="","",'Data Source'!AF129)</f>
        <v/>
      </c>
      <c r="O129" s="9">
        <f>IF('Data Source'!B129="","",'Data Source'!AG129)</f>
        <v/>
      </c>
      <c r="P129" s="5">
        <f>IF('Data Source'!B129="","",'Data Source'!R129)</f>
        <v/>
      </c>
      <c r="Q129" s="3">
        <f>IF('Data Source'!B129="","",'Data Source'!S129)</f>
        <v/>
      </c>
    </row>
    <row r="130">
      <c r="A130" s="3">
        <f>IF('Data Source'!B130="","",'Data Source'!A130)</f>
        <v/>
      </c>
      <c r="B130">
        <f>IF('Data Source'!B130="","",'Data Source'!B130)</f>
        <v/>
      </c>
      <c r="C130" s="9">
        <f>IF('Data Source'!B130="","",'Data Source'!U130)</f>
        <v/>
      </c>
      <c r="D130" s="9">
        <f>IF('Data Source'!B130="","",'Data Source'!V130)</f>
        <v/>
      </c>
      <c r="E130" s="9">
        <f>IF('Data Source'!B130="","",'Data Source'!W130)</f>
        <v/>
      </c>
      <c r="F130" s="9">
        <f>IF('Data Source'!B130="","",'Data Source'!X130)</f>
        <v/>
      </c>
      <c r="G130" s="9">
        <f>IF('Data Source'!B130="","",'Data Source'!Y130)</f>
        <v/>
      </c>
      <c r="H130" s="9">
        <f>IF('Data Source'!B130="","",'Data Source'!Z130)</f>
        <v/>
      </c>
      <c r="I130" s="9">
        <f>IF('Data Source'!B130="","",'Data Source'!AA130)</f>
        <v/>
      </c>
      <c r="J130" s="9">
        <f>IF('Data Source'!B130="","",'Data Source'!AB130)</f>
        <v/>
      </c>
      <c r="K130" s="9">
        <f>IF('Data Source'!B130="","",'Data Source'!AC130)</f>
        <v/>
      </c>
      <c r="L130" s="9">
        <f>IF('Data Source'!B130="","",'Data Source'!AD130)</f>
        <v/>
      </c>
      <c r="M130" s="9">
        <f>IF('Data Source'!B130="","",'Data Source'!AE130)</f>
        <v/>
      </c>
      <c r="N130" s="9">
        <f>IF('Data Source'!B130="","",'Data Source'!AF130)</f>
        <v/>
      </c>
      <c r="O130" s="9">
        <f>IF('Data Source'!B130="","",'Data Source'!AG130)</f>
        <v/>
      </c>
      <c r="P130" s="5">
        <f>IF('Data Source'!B130="","",'Data Source'!R130)</f>
        <v/>
      </c>
      <c r="Q130" s="3">
        <f>IF('Data Source'!B130="","",'Data Source'!S130)</f>
        <v/>
      </c>
    </row>
    <row r="131">
      <c r="A131" s="3">
        <f>IF('Data Source'!B131="","",'Data Source'!A131)</f>
        <v/>
      </c>
      <c r="B131">
        <f>IF('Data Source'!B131="","",'Data Source'!B131)</f>
        <v/>
      </c>
      <c r="C131" s="9">
        <f>IF('Data Source'!B131="","",'Data Source'!U131)</f>
        <v/>
      </c>
      <c r="D131" s="9">
        <f>IF('Data Source'!B131="","",'Data Source'!V131)</f>
        <v/>
      </c>
      <c r="E131" s="9">
        <f>IF('Data Source'!B131="","",'Data Source'!W131)</f>
        <v/>
      </c>
      <c r="F131" s="9">
        <f>IF('Data Source'!B131="","",'Data Source'!X131)</f>
        <v/>
      </c>
      <c r="G131" s="9">
        <f>IF('Data Source'!B131="","",'Data Source'!Y131)</f>
        <v/>
      </c>
      <c r="H131" s="9">
        <f>IF('Data Source'!B131="","",'Data Source'!Z131)</f>
        <v/>
      </c>
      <c r="I131" s="9">
        <f>IF('Data Source'!B131="","",'Data Source'!AA131)</f>
        <v/>
      </c>
      <c r="J131" s="9">
        <f>IF('Data Source'!B131="","",'Data Source'!AB131)</f>
        <v/>
      </c>
      <c r="K131" s="9">
        <f>IF('Data Source'!B131="","",'Data Source'!AC131)</f>
        <v/>
      </c>
      <c r="L131" s="9">
        <f>IF('Data Source'!B131="","",'Data Source'!AD131)</f>
        <v/>
      </c>
      <c r="M131" s="9">
        <f>IF('Data Source'!B131="","",'Data Source'!AE131)</f>
        <v/>
      </c>
      <c r="N131" s="9">
        <f>IF('Data Source'!B131="","",'Data Source'!AF131)</f>
        <v/>
      </c>
      <c r="O131" s="9">
        <f>IF('Data Source'!B131="","",'Data Source'!AG131)</f>
        <v/>
      </c>
      <c r="P131" s="5">
        <f>IF('Data Source'!B131="","",'Data Source'!R131)</f>
        <v/>
      </c>
      <c r="Q131" s="3">
        <f>IF('Data Source'!B131="","",'Data Source'!S131)</f>
        <v/>
      </c>
    </row>
    <row r="132">
      <c r="A132" s="3">
        <f>IF('Data Source'!B132="","",'Data Source'!A132)</f>
        <v/>
      </c>
      <c r="B132">
        <f>IF('Data Source'!B132="","",'Data Source'!B132)</f>
        <v/>
      </c>
      <c r="C132" s="9">
        <f>IF('Data Source'!B132="","",'Data Source'!U132)</f>
        <v/>
      </c>
      <c r="D132" s="9">
        <f>IF('Data Source'!B132="","",'Data Source'!V132)</f>
        <v/>
      </c>
      <c r="E132" s="9">
        <f>IF('Data Source'!B132="","",'Data Source'!W132)</f>
        <v/>
      </c>
      <c r="F132" s="9">
        <f>IF('Data Source'!B132="","",'Data Source'!X132)</f>
        <v/>
      </c>
      <c r="G132" s="9">
        <f>IF('Data Source'!B132="","",'Data Source'!Y132)</f>
        <v/>
      </c>
      <c r="H132" s="9">
        <f>IF('Data Source'!B132="","",'Data Source'!Z132)</f>
        <v/>
      </c>
      <c r="I132" s="9">
        <f>IF('Data Source'!B132="","",'Data Source'!AA132)</f>
        <v/>
      </c>
      <c r="J132" s="9">
        <f>IF('Data Source'!B132="","",'Data Source'!AB132)</f>
        <v/>
      </c>
      <c r="K132" s="9">
        <f>IF('Data Source'!B132="","",'Data Source'!AC132)</f>
        <v/>
      </c>
      <c r="L132" s="9">
        <f>IF('Data Source'!B132="","",'Data Source'!AD132)</f>
        <v/>
      </c>
      <c r="M132" s="9">
        <f>IF('Data Source'!B132="","",'Data Source'!AE132)</f>
        <v/>
      </c>
      <c r="N132" s="9">
        <f>IF('Data Source'!B132="","",'Data Source'!AF132)</f>
        <v/>
      </c>
      <c r="O132" s="9">
        <f>IF('Data Source'!B132="","",'Data Source'!AG132)</f>
        <v/>
      </c>
      <c r="P132" s="5">
        <f>IF('Data Source'!B132="","",'Data Source'!R132)</f>
        <v/>
      </c>
      <c r="Q132" s="3">
        <f>IF('Data Source'!B132="","",'Data Source'!S132)</f>
        <v/>
      </c>
    </row>
    <row r="133">
      <c r="A133" s="3">
        <f>IF('Data Source'!B133="","",'Data Source'!A133)</f>
        <v/>
      </c>
      <c r="B133">
        <f>IF('Data Source'!B133="","",'Data Source'!B133)</f>
        <v/>
      </c>
      <c r="C133" s="9">
        <f>IF('Data Source'!B133="","",'Data Source'!U133)</f>
        <v/>
      </c>
      <c r="D133" s="9">
        <f>IF('Data Source'!B133="","",'Data Source'!V133)</f>
        <v/>
      </c>
      <c r="E133" s="9">
        <f>IF('Data Source'!B133="","",'Data Source'!W133)</f>
        <v/>
      </c>
      <c r="F133" s="9">
        <f>IF('Data Source'!B133="","",'Data Source'!X133)</f>
        <v/>
      </c>
      <c r="G133" s="9">
        <f>IF('Data Source'!B133="","",'Data Source'!Y133)</f>
        <v/>
      </c>
      <c r="H133" s="9">
        <f>IF('Data Source'!B133="","",'Data Source'!Z133)</f>
        <v/>
      </c>
      <c r="I133" s="9">
        <f>IF('Data Source'!B133="","",'Data Source'!AA133)</f>
        <v/>
      </c>
      <c r="J133" s="9">
        <f>IF('Data Source'!B133="","",'Data Source'!AB133)</f>
        <v/>
      </c>
      <c r="K133" s="9">
        <f>IF('Data Source'!B133="","",'Data Source'!AC133)</f>
        <v/>
      </c>
      <c r="L133" s="9">
        <f>IF('Data Source'!B133="","",'Data Source'!AD133)</f>
        <v/>
      </c>
      <c r="M133" s="9">
        <f>IF('Data Source'!B133="","",'Data Source'!AE133)</f>
        <v/>
      </c>
      <c r="N133" s="9">
        <f>IF('Data Source'!B133="","",'Data Source'!AF133)</f>
        <v/>
      </c>
      <c r="O133" s="9">
        <f>IF('Data Source'!B133="","",'Data Source'!AG133)</f>
        <v/>
      </c>
      <c r="P133" s="5">
        <f>IF('Data Source'!B133="","",'Data Source'!R133)</f>
        <v/>
      </c>
      <c r="Q133" s="3">
        <f>IF('Data Source'!B133="","",'Data Source'!S133)</f>
        <v/>
      </c>
    </row>
    <row r="134">
      <c r="A134" s="3">
        <f>IF('Data Source'!B134="","",'Data Source'!A134)</f>
        <v/>
      </c>
      <c r="B134">
        <f>IF('Data Source'!B134="","",'Data Source'!B134)</f>
        <v/>
      </c>
      <c r="C134" s="9">
        <f>IF('Data Source'!B134="","",'Data Source'!U134)</f>
        <v/>
      </c>
      <c r="D134" s="9">
        <f>IF('Data Source'!B134="","",'Data Source'!V134)</f>
        <v/>
      </c>
      <c r="E134" s="9">
        <f>IF('Data Source'!B134="","",'Data Source'!W134)</f>
        <v/>
      </c>
      <c r="F134" s="9">
        <f>IF('Data Source'!B134="","",'Data Source'!X134)</f>
        <v/>
      </c>
      <c r="G134" s="9">
        <f>IF('Data Source'!B134="","",'Data Source'!Y134)</f>
        <v/>
      </c>
      <c r="H134" s="9">
        <f>IF('Data Source'!B134="","",'Data Source'!Z134)</f>
        <v/>
      </c>
      <c r="I134" s="9">
        <f>IF('Data Source'!B134="","",'Data Source'!AA134)</f>
        <v/>
      </c>
      <c r="J134" s="9">
        <f>IF('Data Source'!B134="","",'Data Source'!AB134)</f>
        <v/>
      </c>
      <c r="K134" s="9">
        <f>IF('Data Source'!B134="","",'Data Source'!AC134)</f>
        <v/>
      </c>
      <c r="L134" s="9">
        <f>IF('Data Source'!B134="","",'Data Source'!AD134)</f>
        <v/>
      </c>
      <c r="M134" s="9">
        <f>IF('Data Source'!B134="","",'Data Source'!AE134)</f>
        <v/>
      </c>
      <c r="N134" s="9">
        <f>IF('Data Source'!B134="","",'Data Source'!AF134)</f>
        <v/>
      </c>
      <c r="O134" s="9">
        <f>IF('Data Source'!B134="","",'Data Source'!AG134)</f>
        <v/>
      </c>
      <c r="P134" s="5">
        <f>IF('Data Source'!B134="","",'Data Source'!R134)</f>
        <v/>
      </c>
      <c r="Q134" s="3">
        <f>IF('Data Source'!B134="","",'Data Source'!S134)</f>
        <v/>
      </c>
    </row>
    <row r="135">
      <c r="A135" s="3">
        <f>IF('Data Source'!B135="","",'Data Source'!A135)</f>
        <v/>
      </c>
      <c r="B135">
        <f>IF('Data Source'!B135="","",'Data Source'!B135)</f>
        <v/>
      </c>
      <c r="C135" s="9">
        <f>IF('Data Source'!B135="","",'Data Source'!U135)</f>
        <v/>
      </c>
      <c r="D135" s="9">
        <f>IF('Data Source'!B135="","",'Data Source'!V135)</f>
        <v/>
      </c>
      <c r="E135" s="9">
        <f>IF('Data Source'!B135="","",'Data Source'!W135)</f>
        <v/>
      </c>
      <c r="F135" s="9">
        <f>IF('Data Source'!B135="","",'Data Source'!X135)</f>
        <v/>
      </c>
      <c r="G135" s="9">
        <f>IF('Data Source'!B135="","",'Data Source'!Y135)</f>
        <v/>
      </c>
      <c r="H135" s="9">
        <f>IF('Data Source'!B135="","",'Data Source'!Z135)</f>
        <v/>
      </c>
      <c r="I135" s="9">
        <f>IF('Data Source'!B135="","",'Data Source'!AA135)</f>
        <v/>
      </c>
      <c r="J135" s="9">
        <f>IF('Data Source'!B135="","",'Data Source'!AB135)</f>
        <v/>
      </c>
      <c r="K135" s="9">
        <f>IF('Data Source'!B135="","",'Data Source'!AC135)</f>
        <v/>
      </c>
      <c r="L135" s="9">
        <f>IF('Data Source'!B135="","",'Data Source'!AD135)</f>
        <v/>
      </c>
      <c r="M135" s="9">
        <f>IF('Data Source'!B135="","",'Data Source'!AE135)</f>
        <v/>
      </c>
      <c r="N135" s="9">
        <f>IF('Data Source'!B135="","",'Data Source'!AF135)</f>
        <v/>
      </c>
      <c r="O135" s="9">
        <f>IF('Data Source'!B135="","",'Data Source'!AG135)</f>
        <v/>
      </c>
      <c r="P135" s="5">
        <f>IF('Data Source'!B135="","",'Data Source'!R135)</f>
        <v/>
      </c>
      <c r="Q135" s="3">
        <f>IF('Data Source'!B135="","",'Data Source'!S135)</f>
        <v/>
      </c>
    </row>
    <row r="136">
      <c r="A136" s="3">
        <f>IF('Data Source'!B136="","",'Data Source'!A136)</f>
        <v/>
      </c>
      <c r="B136">
        <f>IF('Data Source'!B136="","",'Data Source'!B136)</f>
        <v/>
      </c>
      <c r="C136" s="9">
        <f>IF('Data Source'!B136="","",'Data Source'!U136)</f>
        <v/>
      </c>
      <c r="D136" s="9">
        <f>IF('Data Source'!B136="","",'Data Source'!V136)</f>
        <v/>
      </c>
      <c r="E136" s="9">
        <f>IF('Data Source'!B136="","",'Data Source'!W136)</f>
        <v/>
      </c>
      <c r="F136" s="9">
        <f>IF('Data Source'!B136="","",'Data Source'!X136)</f>
        <v/>
      </c>
      <c r="G136" s="9">
        <f>IF('Data Source'!B136="","",'Data Source'!Y136)</f>
        <v/>
      </c>
      <c r="H136" s="9">
        <f>IF('Data Source'!B136="","",'Data Source'!Z136)</f>
        <v/>
      </c>
      <c r="I136" s="9">
        <f>IF('Data Source'!B136="","",'Data Source'!AA136)</f>
        <v/>
      </c>
      <c r="J136" s="9">
        <f>IF('Data Source'!B136="","",'Data Source'!AB136)</f>
        <v/>
      </c>
      <c r="K136" s="9">
        <f>IF('Data Source'!B136="","",'Data Source'!AC136)</f>
        <v/>
      </c>
      <c r="L136" s="9">
        <f>IF('Data Source'!B136="","",'Data Source'!AD136)</f>
        <v/>
      </c>
      <c r="M136" s="9">
        <f>IF('Data Source'!B136="","",'Data Source'!AE136)</f>
        <v/>
      </c>
      <c r="N136" s="9">
        <f>IF('Data Source'!B136="","",'Data Source'!AF136)</f>
        <v/>
      </c>
      <c r="O136" s="9">
        <f>IF('Data Source'!B136="","",'Data Source'!AG136)</f>
        <v/>
      </c>
      <c r="P136" s="5">
        <f>IF('Data Source'!B136="","",'Data Source'!R136)</f>
        <v/>
      </c>
      <c r="Q136" s="3">
        <f>IF('Data Source'!B136="","",'Data Source'!S136)</f>
        <v/>
      </c>
    </row>
    <row r="137">
      <c r="A137" s="3">
        <f>IF('Data Source'!B137="","",'Data Source'!A137)</f>
        <v/>
      </c>
      <c r="B137">
        <f>IF('Data Source'!B137="","",'Data Source'!B137)</f>
        <v/>
      </c>
      <c r="C137" s="9">
        <f>IF('Data Source'!B137="","",'Data Source'!U137)</f>
        <v/>
      </c>
      <c r="D137" s="9">
        <f>IF('Data Source'!B137="","",'Data Source'!V137)</f>
        <v/>
      </c>
      <c r="E137" s="9">
        <f>IF('Data Source'!B137="","",'Data Source'!W137)</f>
        <v/>
      </c>
      <c r="F137" s="9">
        <f>IF('Data Source'!B137="","",'Data Source'!X137)</f>
        <v/>
      </c>
      <c r="G137" s="9">
        <f>IF('Data Source'!B137="","",'Data Source'!Y137)</f>
        <v/>
      </c>
      <c r="H137" s="9">
        <f>IF('Data Source'!B137="","",'Data Source'!Z137)</f>
        <v/>
      </c>
      <c r="I137" s="9">
        <f>IF('Data Source'!B137="","",'Data Source'!AA137)</f>
        <v/>
      </c>
      <c r="J137" s="9">
        <f>IF('Data Source'!B137="","",'Data Source'!AB137)</f>
        <v/>
      </c>
      <c r="K137" s="9">
        <f>IF('Data Source'!B137="","",'Data Source'!AC137)</f>
        <v/>
      </c>
      <c r="L137" s="9">
        <f>IF('Data Source'!B137="","",'Data Source'!AD137)</f>
        <v/>
      </c>
      <c r="M137" s="9">
        <f>IF('Data Source'!B137="","",'Data Source'!AE137)</f>
        <v/>
      </c>
      <c r="N137" s="9">
        <f>IF('Data Source'!B137="","",'Data Source'!AF137)</f>
        <v/>
      </c>
      <c r="O137" s="9">
        <f>IF('Data Source'!B137="","",'Data Source'!AG137)</f>
        <v/>
      </c>
      <c r="P137" s="5">
        <f>IF('Data Source'!B137="","",'Data Source'!R137)</f>
        <v/>
      </c>
      <c r="Q137" s="3">
        <f>IF('Data Source'!B137="","",'Data Source'!S137)</f>
        <v/>
      </c>
    </row>
    <row r="138">
      <c r="A138" s="3">
        <f>IF('Data Source'!B138="","",'Data Source'!A138)</f>
        <v/>
      </c>
      <c r="B138">
        <f>IF('Data Source'!B138="","",'Data Source'!B138)</f>
        <v/>
      </c>
      <c r="C138" s="9">
        <f>IF('Data Source'!B138="","",'Data Source'!U138)</f>
        <v/>
      </c>
      <c r="D138" s="9">
        <f>IF('Data Source'!B138="","",'Data Source'!V138)</f>
        <v/>
      </c>
      <c r="E138" s="9">
        <f>IF('Data Source'!B138="","",'Data Source'!W138)</f>
        <v/>
      </c>
      <c r="F138" s="9">
        <f>IF('Data Source'!B138="","",'Data Source'!X138)</f>
        <v/>
      </c>
      <c r="G138" s="9">
        <f>IF('Data Source'!B138="","",'Data Source'!Y138)</f>
        <v/>
      </c>
      <c r="H138" s="9">
        <f>IF('Data Source'!B138="","",'Data Source'!Z138)</f>
        <v/>
      </c>
      <c r="I138" s="9">
        <f>IF('Data Source'!B138="","",'Data Source'!AA138)</f>
        <v/>
      </c>
      <c r="J138" s="9">
        <f>IF('Data Source'!B138="","",'Data Source'!AB138)</f>
        <v/>
      </c>
      <c r="K138" s="9">
        <f>IF('Data Source'!B138="","",'Data Source'!AC138)</f>
        <v/>
      </c>
      <c r="L138" s="9">
        <f>IF('Data Source'!B138="","",'Data Source'!AD138)</f>
        <v/>
      </c>
      <c r="M138" s="9">
        <f>IF('Data Source'!B138="","",'Data Source'!AE138)</f>
        <v/>
      </c>
      <c r="N138" s="9">
        <f>IF('Data Source'!B138="","",'Data Source'!AF138)</f>
        <v/>
      </c>
      <c r="O138" s="9">
        <f>IF('Data Source'!B138="","",'Data Source'!AG138)</f>
        <v/>
      </c>
      <c r="P138" s="5">
        <f>IF('Data Source'!B138="","",'Data Source'!R138)</f>
        <v/>
      </c>
      <c r="Q138" s="3">
        <f>IF('Data Source'!B138="","",'Data Source'!S138)</f>
        <v/>
      </c>
    </row>
    <row r="139">
      <c r="A139" s="3">
        <f>IF('Data Source'!B139="","",'Data Source'!A139)</f>
        <v/>
      </c>
      <c r="B139">
        <f>IF('Data Source'!B139="","",'Data Source'!B139)</f>
        <v/>
      </c>
      <c r="C139" s="9">
        <f>IF('Data Source'!B139="","",'Data Source'!U139)</f>
        <v/>
      </c>
      <c r="D139" s="9">
        <f>IF('Data Source'!B139="","",'Data Source'!V139)</f>
        <v/>
      </c>
      <c r="E139" s="9">
        <f>IF('Data Source'!B139="","",'Data Source'!W139)</f>
        <v/>
      </c>
      <c r="F139" s="9">
        <f>IF('Data Source'!B139="","",'Data Source'!X139)</f>
        <v/>
      </c>
      <c r="G139" s="9">
        <f>IF('Data Source'!B139="","",'Data Source'!Y139)</f>
        <v/>
      </c>
      <c r="H139" s="9">
        <f>IF('Data Source'!B139="","",'Data Source'!Z139)</f>
        <v/>
      </c>
      <c r="I139" s="9">
        <f>IF('Data Source'!B139="","",'Data Source'!AA139)</f>
        <v/>
      </c>
      <c r="J139" s="9">
        <f>IF('Data Source'!B139="","",'Data Source'!AB139)</f>
        <v/>
      </c>
      <c r="K139" s="9">
        <f>IF('Data Source'!B139="","",'Data Source'!AC139)</f>
        <v/>
      </c>
      <c r="L139" s="9">
        <f>IF('Data Source'!B139="","",'Data Source'!AD139)</f>
        <v/>
      </c>
      <c r="M139" s="9">
        <f>IF('Data Source'!B139="","",'Data Source'!AE139)</f>
        <v/>
      </c>
      <c r="N139" s="9">
        <f>IF('Data Source'!B139="","",'Data Source'!AF139)</f>
        <v/>
      </c>
      <c r="O139" s="9">
        <f>IF('Data Source'!B139="","",'Data Source'!AG139)</f>
        <v/>
      </c>
      <c r="P139" s="5">
        <f>IF('Data Source'!B139="","",'Data Source'!R139)</f>
        <v/>
      </c>
      <c r="Q139" s="3">
        <f>IF('Data Source'!B139="","",'Data Source'!S139)</f>
        <v/>
      </c>
    </row>
    <row r="140">
      <c r="A140" s="3">
        <f>IF('Data Source'!B140="","",'Data Source'!A140)</f>
        <v/>
      </c>
      <c r="B140">
        <f>IF('Data Source'!B140="","",'Data Source'!B140)</f>
        <v/>
      </c>
      <c r="C140" s="9">
        <f>IF('Data Source'!B140="","",'Data Source'!U140)</f>
        <v/>
      </c>
      <c r="D140" s="9">
        <f>IF('Data Source'!B140="","",'Data Source'!V140)</f>
        <v/>
      </c>
      <c r="E140" s="9">
        <f>IF('Data Source'!B140="","",'Data Source'!W140)</f>
        <v/>
      </c>
      <c r="F140" s="9">
        <f>IF('Data Source'!B140="","",'Data Source'!X140)</f>
        <v/>
      </c>
      <c r="G140" s="9">
        <f>IF('Data Source'!B140="","",'Data Source'!Y140)</f>
        <v/>
      </c>
      <c r="H140" s="9">
        <f>IF('Data Source'!B140="","",'Data Source'!Z140)</f>
        <v/>
      </c>
      <c r="I140" s="9">
        <f>IF('Data Source'!B140="","",'Data Source'!AA140)</f>
        <v/>
      </c>
      <c r="J140" s="9">
        <f>IF('Data Source'!B140="","",'Data Source'!AB140)</f>
        <v/>
      </c>
      <c r="K140" s="9">
        <f>IF('Data Source'!B140="","",'Data Source'!AC140)</f>
        <v/>
      </c>
      <c r="L140" s="9">
        <f>IF('Data Source'!B140="","",'Data Source'!AD140)</f>
        <v/>
      </c>
      <c r="M140" s="9">
        <f>IF('Data Source'!B140="","",'Data Source'!AE140)</f>
        <v/>
      </c>
      <c r="N140" s="9">
        <f>IF('Data Source'!B140="","",'Data Source'!AF140)</f>
        <v/>
      </c>
      <c r="O140" s="9">
        <f>IF('Data Source'!B140="","",'Data Source'!AG140)</f>
        <v/>
      </c>
      <c r="P140" s="5">
        <f>IF('Data Source'!B140="","",'Data Source'!R140)</f>
        <v/>
      </c>
      <c r="Q140" s="3">
        <f>IF('Data Source'!B140="","",'Data Source'!S140)</f>
        <v/>
      </c>
    </row>
    <row r="141">
      <c r="A141" s="3">
        <f>IF('Data Source'!B141="","",'Data Source'!A141)</f>
        <v/>
      </c>
      <c r="B141">
        <f>IF('Data Source'!B141="","",'Data Source'!B141)</f>
        <v/>
      </c>
      <c r="C141" s="9">
        <f>IF('Data Source'!B141="","",'Data Source'!U141)</f>
        <v/>
      </c>
      <c r="D141" s="9">
        <f>IF('Data Source'!B141="","",'Data Source'!V141)</f>
        <v/>
      </c>
      <c r="E141" s="9">
        <f>IF('Data Source'!B141="","",'Data Source'!W141)</f>
        <v/>
      </c>
      <c r="F141" s="9">
        <f>IF('Data Source'!B141="","",'Data Source'!X141)</f>
        <v/>
      </c>
      <c r="G141" s="9">
        <f>IF('Data Source'!B141="","",'Data Source'!Y141)</f>
        <v/>
      </c>
      <c r="H141" s="9">
        <f>IF('Data Source'!B141="","",'Data Source'!Z141)</f>
        <v/>
      </c>
      <c r="I141" s="9">
        <f>IF('Data Source'!B141="","",'Data Source'!AA141)</f>
        <v/>
      </c>
      <c r="J141" s="9">
        <f>IF('Data Source'!B141="","",'Data Source'!AB141)</f>
        <v/>
      </c>
      <c r="K141" s="9">
        <f>IF('Data Source'!B141="","",'Data Source'!AC141)</f>
        <v/>
      </c>
      <c r="L141" s="9">
        <f>IF('Data Source'!B141="","",'Data Source'!AD141)</f>
        <v/>
      </c>
      <c r="M141" s="9">
        <f>IF('Data Source'!B141="","",'Data Source'!AE141)</f>
        <v/>
      </c>
      <c r="N141" s="9">
        <f>IF('Data Source'!B141="","",'Data Source'!AF141)</f>
        <v/>
      </c>
      <c r="O141" s="9">
        <f>IF('Data Source'!B141="","",'Data Source'!AG141)</f>
        <v/>
      </c>
      <c r="P141" s="5">
        <f>IF('Data Source'!B141="","",'Data Source'!R141)</f>
        <v/>
      </c>
      <c r="Q141" s="3">
        <f>IF('Data Source'!B141="","",'Data Source'!S141)</f>
        <v/>
      </c>
    </row>
    <row r="142">
      <c r="A142" s="3">
        <f>IF('Data Source'!B142="","",'Data Source'!A142)</f>
        <v/>
      </c>
      <c r="B142">
        <f>IF('Data Source'!B142="","",'Data Source'!B142)</f>
        <v/>
      </c>
      <c r="C142" s="9">
        <f>IF('Data Source'!B142="","",'Data Source'!U142)</f>
        <v/>
      </c>
      <c r="D142" s="9">
        <f>IF('Data Source'!B142="","",'Data Source'!V142)</f>
        <v/>
      </c>
      <c r="E142" s="9">
        <f>IF('Data Source'!B142="","",'Data Source'!W142)</f>
        <v/>
      </c>
      <c r="F142" s="9">
        <f>IF('Data Source'!B142="","",'Data Source'!X142)</f>
        <v/>
      </c>
      <c r="G142" s="9">
        <f>IF('Data Source'!B142="","",'Data Source'!Y142)</f>
        <v/>
      </c>
      <c r="H142" s="9">
        <f>IF('Data Source'!B142="","",'Data Source'!Z142)</f>
        <v/>
      </c>
      <c r="I142" s="9">
        <f>IF('Data Source'!B142="","",'Data Source'!AA142)</f>
        <v/>
      </c>
      <c r="J142" s="9">
        <f>IF('Data Source'!B142="","",'Data Source'!AB142)</f>
        <v/>
      </c>
      <c r="K142" s="9">
        <f>IF('Data Source'!B142="","",'Data Source'!AC142)</f>
        <v/>
      </c>
      <c r="L142" s="9">
        <f>IF('Data Source'!B142="","",'Data Source'!AD142)</f>
        <v/>
      </c>
      <c r="M142" s="9">
        <f>IF('Data Source'!B142="","",'Data Source'!AE142)</f>
        <v/>
      </c>
      <c r="N142" s="9">
        <f>IF('Data Source'!B142="","",'Data Source'!AF142)</f>
        <v/>
      </c>
      <c r="O142" s="9">
        <f>IF('Data Source'!B142="","",'Data Source'!AG142)</f>
        <v/>
      </c>
      <c r="P142" s="5">
        <f>IF('Data Source'!B142="","",'Data Source'!R142)</f>
        <v/>
      </c>
      <c r="Q142" s="3">
        <f>IF('Data Source'!B142="","",'Data Source'!S142)</f>
        <v/>
      </c>
    </row>
    <row r="143">
      <c r="A143" s="3">
        <f>IF('Data Source'!B143="","",'Data Source'!A143)</f>
        <v/>
      </c>
      <c r="B143">
        <f>IF('Data Source'!B143="","",'Data Source'!B143)</f>
        <v/>
      </c>
      <c r="C143" s="9">
        <f>IF('Data Source'!B143="","",'Data Source'!U143)</f>
        <v/>
      </c>
      <c r="D143" s="9">
        <f>IF('Data Source'!B143="","",'Data Source'!V143)</f>
        <v/>
      </c>
      <c r="E143" s="9">
        <f>IF('Data Source'!B143="","",'Data Source'!W143)</f>
        <v/>
      </c>
      <c r="F143" s="9">
        <f>IF('Data Source'!B143="","",'Data Source'!X143)</f>
        <v/>
      </c>
      <c r="G143" s="9">
        <f>IF('Data Source'!B143="","",'Data Source'!Y143)</f>
        <v/>
      </c>
      <c r="H143" s="9">
        <f>IF('Data Source'!B143="","",'Data Source'!Z143)</f>
        <v/>
      </c>
      <c r="I143" s="9">
        <f>IF('Data Source'!B143="","",'Data Source'!AA143)</f>
        <v/>
      </c>
      <c r="J143" s="9">
        <f>IF('Data Source'!B143="","",'Data Source'!AB143)</f>
        <v/>
      </c>
      <c r="K143" s="9">
        <f>IF('Data Source'!B143="","",'Data Source'!AC143)</f>
        <v/>
      </c>
      <c r="L143" s="9">
        <f>IF('Data Source'!B143="","",'Data Source'!AD143)</f>
        <v/>
      </c>
      <c r="M143" s="9">
        <f>IF('Data Source'!B143="","",'Data Source'!AE143)</f>
        <v/>
      </c>
      <c r="N143" s="9">
        <f>IF('Data Source'!B143="","",'Data Source'!AF143)</f>
        <v/>
      </c>
      <c r="O143" s="9">
        <f>IF('Data Source'!B143="","",'Data Source'!AG143)</f>
        <v/>
      </c>
      <c r="P143" s="5">
        <f>IF('Data Source'!B143="","",'Data Source'!R143)</f>
        <v/>
      </c>
      <c r="Q143" s="3">
        <f>IF('Data Source'!B143="","",'Data Source'!S143)</f>
        <v/>
      </c>
    </row>
    <row r="144">
      <c r="A144" s="3">
        <f>IF('Data Source'!B144="","",'Data Source'!A144)</f>
        <v/>
      </c>
      <c r="B144">
        <f>IF('Data Source'!B144="","",'Data Source'!B144)</f>
        <v/>
      </c>
      <c r="C144" s="9">
        <f>IF('Data Source'!B144="","",'Data Source'!U144)</f>
        <v/>
      </c>
      <c r="D144" s="9">
        <f>IF('Data Source'!B144="","",'Data Source'!V144)</f>
        <v/>
      </c>
      <c r="E144" s="9">
        <f>IF('Data Source'!B144="","",'Data Source'!W144)</f>
        <v/>
      </c>
      <c r="F144" s="9">
        <f>IF('Data Source'!B144="","",'Data Source'!X144)</f>
        <v/>
      </c>
      <c r="G144" s="9">
        <f>IF('Data Source'!B144="","",'Data Source'!Y144)</f>
        <v/>
      </c>
      <c r="H144" s="9">
        <f>IF('Data Source'!B144="","",'Data Source'!Z144)</f>
        <v/>
      </c>
      <c r="I144" s="9">
        <f>IF('Data Source'!B144="","",'Data Source'!AA144)</f>
        <v/>
      </c>
      <c r="J144" s="9">
        <f>IF('Data Source'!B144="","",'Data Source'!AB144)</f>
        <v/>
      </c>
      <c r="K144" s="9">
        <f>IF('Data Source'!B144="","",'Data Source'!AC144)</f>
        <v/>
      </c>
      <c r="L144" s="9">
        <f>IF('Data Source'!B144="","",'Data Source'!AD144)</f>
        <v/>
      </c>
      <c r="M144" s="9">
        <f>IF('Data Source'!B144="","",'Data Source'!AE144)</f>
        <v/>
      </c>
      <c r="N144" s="9">
        <f>IF('Data Source'!B144="","",'Data Source'!AF144)</f>
        <v/>
      </c>
      <c r="O144" s="9">
        <f>IF('Data Source'!B144="","",'Data Source'!AG144)</f>
        <v/>
      </c>
      <c r="P144" s="5">
        <f>IF('Data Source'!B144="","",'Data Source'!R144)</f>
        <v/>
      </c>
      <c r="Q144" s="3">
        <f>IF('Data Source'!B144="","",'Data Source'!S144)</f>
        <v/>
      </c>
    </row>
    <row r="145">
      <c r="A145" s="3">
        <f>IF('Data Source'!B145="","",'Data Source'!A145)</f>
        <v/>
      </c>
      <c r="B145">
        <f>IF('Data Source'!B145="","",'Data Source'!B145)</f>
        <v/>
      </c>
      <c r="C145" s="9">
        <f>IF('Data Source'!B145="","",'Data Source'!U145)</f>
        <v/>
      </c>
      <c r="D145" s="9">
        <f>IF('Data Source'!B145="","",'Data Source'!V145)</f>
        <v/>
      </c>
      <c r="E145" s="9">
        <f>IF('Data Source'!B145="","",'Data Source'!W145)</f>
        <v/>
      </c>
      <c r="F145" s="9">
        <f>IF('Data Source'!B145="","",'Data Source'!X145)</f>
        <v/>
      </c>
      <c r="G145" s="9">
        <f>IF('Data Source'!B145="","",'Data Source'!Y145)</f>
        <v/>
      </c>
      <c r="H145" s="9">
        <f>IF('Data Source'!B145="","",'Data Source'!Z145)</f>
        <v/>
      </c>
      <c r="I145" s="9">
        <f>IF('Data Source'!B145="","",'Data Source'!AA145)</f>
        <v/>
      </c>
      <c r="J145" s="9">
        <f>IF('Data Source'!B145="","",'Data Source'!AB145)</f>
        <v/>
      </c>
      <c r="K145" s="9">
        <f>IF('Data Source'!B145="","",'Data Source'!AC145)</f>
        <v/>
      </c>
      <c r="L145" s="9">
        <f>IF('Data Source'!B145="","",'Data Source'!AD145)</f>
        <v/>
      </c>
      <c r="M145" s="9">
        <f>IF('Data Source'!B145="","",'Data Source'!AE145)</f>
        <v/>
      </c>
      <c r="N145" s="9">
        <f>IF('Data Source'!B145="","",'Data Source'!AF145)</f>
        <v/>
      </c>
      <c r="O145" s="9">
        <f>IF('Data Source'!B145="","",'Data Source'!AG145)</f>
        <v/>
      </c>
      <c r="P145" s="5">
        <f>IF('Data Source'!B145="","",'Data Source'!R145)</f>
        <v/>
      </c>
      <c r="Q145" s="3">
        <f>IF('Data Source'!B145="","",'Data Source'!S145)</f>
        <v/>
      </c>
    </row>
    <row r="146">
      <c r="A146" s="3">
        <f>IF('Data Source'!B146="","",'Data Source'!A146)</f>
        <v/>
      </c>
      <c r="B146">
        <f>IF('Data Source'!B146="","",'Data Source'!B146)</f>
        <v/>
      </c>
      <c r="C146" s="9">
        <f>IF('Data Source'!B146="","",'Data Source'!U146)</f>
        <v/>
      </c>
      <c r="D146" s="9">
        <f>IF('Data Source'!B146="","",'Data Source'!V146)</f>
        <v/>
      </c>
      <c r="E146" s="9">
        <f>IF('Data Source'!B146="","",'Data Source'!W146)</f>
        <v/>
      </c>
      <c r="F146" s="9">
        <f>IF('Data Source'!B146="","",'Data Source'!X146)</f>
        <v/>
      </c>
      <c r="G146" s="9">
        <f>IF('Data Source'!B146="","",'Data Source'!Y146)</f>
        <v/>
      </c>
      <c r="H146" s="9">
        <f>IF('Data Source'!B146="","",'Data Source'!Z146)</f>
        <v/>
      </c>
      <c r="I146" s="9">
        <f>IF('Data Source'!B146="","",'Data Source'!AA146)</f>
        <v/>
      </c>
      <c r="J146" s="9">
        <f>IF('Data Source'!B146="","",'Data Source'!AB146)</f>
        <v/>
      </c>
      <c r="K146" s="9">
        <f>IF('Data Source'!B146="","",'Data Source'!AC146)</f>
        <v/>
      </c>
      <c r="L146" s="9">
        <f>IF('Data Source'!B146="","",'Data Source'!AD146)</f>
        <v/>
      </c>
      <c r="M146" s="9">
        <f>IF('Data Source'!B146="","",'Data Source'!AE146)</f>
        <v/>
      </c>
      <c r="N146" s="9">
        <f>IF('Data Source'!B146="","",'Data Source'!AF146)</f>
        <v/>
      </c>
      <c r="O146" s="9">
        <f>IF('Data Source'!B146="","",'Data Source'!AG146)</f>
        <v/>
      </c>
      <c r="P146" s="5">
        <f>IF('Data Source'!B146="","",'Data Source'!R146)</f>
        <v/>
      </c>
      <c r="Q146" s="3">
        <f>IF('Data Source'!B146="","",'Data Source'!S146)</f>
        <v/>
      </c>
    </row>
    <row r="147">
      <c r="A147" s="3">
        <f>IF('Data Source'!B147="","",'Data Source'!A147)</f>
        <v/>
      </c>
      <c r="B147">
        <f>IF('Data Source'!B147="","",'Data Source'!B147)</f>
        <v/>
      </c>
      <c r="C147" s="9">
        <f>IF('Data Source'!B147="","",'Data Source'!U147)</f>
        <v/>
      </c>
      <c r="D147" s="9">
        <f>IF('Data Source'!B147="","",'Data Source'!V147)</f>
        <v/>
      </c>
      <c r="E147" s="9">
        <f>IF('Data Source'!B147="","",'Data Source'!W147)</f>
        <v/>
      </c>
      <c r="F147" s="9">
        <f>IF('Data Source'!B147="","",'Data Source'!X147)</f>
        <v/>
      </c>
      <c r="G147" s="9">
        <f>IF('Data Source'!B147="","",'Data Source'!Y147)</f>
        <v/>
      </c>
      <c r="H147" s="9">
        <f>IF('Data Source'!B147="","",'Data Source'!Z147)</f>
        <v/>
      </c>
      <c r="I147" s="9">
        <f>IF('Data Source'!B147="","",'Data Source'!AA147)</f>
        <v/>
      </c>
      <c r="J147" s="9">
        <f>IF('Data Source'!B147="","",'Data Source'!AB147)</f>
        <v/>
      </c>
      <c r="K147" s="9">
        <f>IF('Data Source'!B147="","",'Data Source'!AC147)</f>
        <v/>
      </c>
      <c r="L147" s="9">
        <f>IF('Data Source'!B147="","",'Data Source'!AD147)</f>
        <v/>
      </c>
      <c r="M147" s="9">
        <f>IF('Data Source'!B147="","",'Data Source'!AE147)</f>
        <v/>
      </c>
      <c r="N147" s="9">
        <f>IF('Data Source'!B147="","",'Data Source'!AF147)</f>
        <v/>
      </c>
      <c r="O147" s="9">
        <f>IF('Data Source'!B147="","",'Data Source'!AG147)</f>
        <v/>
      </c>
      <c r="P147" s="5">
        <f>IF('Data Source'!B147="","",'Data Source'!R147)</f>
        <v/>
      </c>
      <c r="Q147" s="3">
        <f>IF('Data Source'!B147="","",'Data Source'!S147)</f>
        <v/>
      </c>
    </row>
    <row r="148">
      <c r="A148" s="3">
        <f>IF('Data Source'!B148="","",'Data Source'!A148)</f>
        <v/>
      </c>
      <c r="B148">
        <f>IF('Data Source'!B148="","",'Data Source'!B148)</f>
        <v/>
      </c>
      <c r="C148" s="9">
        <f>IF('Data Source'!B148="","",'Data Source'!U148)</f>
        <v/>
      </c>
      <c r="D148" s="9">
        <f>IF('Data Source'!B148="","",'Data Source'!V148)</f>
        <v/>
      </c>
      <c r="E148" s="9">
        <f>IF('Data Source'!B148="","",'Data Source'!W148)</f>
        <v/>
      </c>
      <c r="F148" s="9">
        <f>IF('Data Source'!B148="","",'Data Source'!X148)</f>
        <v/>
      </c>
      <c r="G148" s="9">
        <f>IF('Data Source'!B148="","",'Data Source'!Y148)</f>
        <v/>
      </c>
      <c r="H148" s="9">
        <f>IF('Data Source'!B148="","",'Data Source'!Z148)</f>
        <v/>
      </c>
      <c r="I148" s="9">
        <f>IF('Data Source'!B148="","",'Data Source'!AA148)</f>
        <v/>
      </c>
      <c r="J148" s="9">
        <f>IF('Data Source'!B148="","",'Data Source'!AB148)</f>
        <v/>
      </c>
      <c r="K148" s="9">
        <f>IF('Data Source'!B148="","",'Data Source'!AC148)</f>
        <v/>
      </c>
      <c r="L148" s="9">
        <f>IF('Data Source'!B148="","",'Data Source'!AD148)</f>
        <v/>
      </c>
      <c r="M148" s="9">
        <f>IF('Data Source'!B148="","",'Data Source'!AE148)</f>
        <v/>
      </c>
      <c r="N148" s="9">
        <f>IF('Data Source'!B148="","",'Data Source'!AF148)</f>
        <v/>
      </c>
      <c r="O148" s="9">
        <f>IF('Data Source'!B148="","",'Data Source'!AG148)</f>
        <v/>
      </c>
      <c r="P148" s="5">
        <f>IF('Data Source'!B148="","",'Data Source'!R148)</f>
        <v/>
      </c>
      <c r="Q148" s="3">
        <f>IF('Data Source'!B148="","",'Data Source'!S148)</f>
        <v/>
      </c>
    </row>
    <row r="149">
      <c r="A149" s="3">
        <f>IF('Data Source'!B149="","",'Data Source'!A149)</f>
        <v/>
      </c>
      <c r="B149">
        <f>IF('Data Source'!B149="","",'Data Source'!B149)</f>
        <v/>
      </c>
      <c r="C149" s="9">
        <f>IF('Data Source'!B149="","",'Data Source'!U149)</f>
        <v/>
      </c>
      <c r="D149" s="9">
        <f>IF('Data Source'!B149="","",'Data Source'!V149)</f>
        <v/>
      </c>
      <c r="E149" s="9">
        <f>IF('Data Source'!B149="","",'Data Source'!W149)</f>
        <v/>
      </c>
      <c r="F149" s="9">
        <f>IF('Data Source'!B149="","",'Data Source'!X149)</f>
        <v/>
      </c>
      <c r="G149" s="9">
        <f>IF('Data Source'!B149="","",'Data Source'!Y149)</f>
        <v/>
      </c>
      <c r="H149" s="9">
        <f>IF('Data Source'!B149="","",'Data Source'!Z149)</f>
        <v/>
      </c>
      <c r="I149" s="9">
        <f>IF('Data Source'!B149="","",'Data Source'!AA149)</f>
        <v/>
      </c>
      <c r="J149" s="9">
        <f>IF('Data Source'!B149="","",'Data Source'!AB149)</f>
        <v/>
      </c>
      <c r="K149" s="9">
        <f>IF('Data Source'!B149="","",'Data Source'!AC149)</f>
        <v/>
      </c>
      <c r="L149" s="9">
        <f>IF('Data Source'!B149="","",'Data Source'!AD149)</f>
        <v/>
      </c>
      <c r="M149" s="9">
        <f>IF('Data Source'!B149="","",'Data Source'!AE149)</f>
        <v/>
      </c>
      <c r="N149" s="9">
        <f>IF('Data Source'!B149="","",'Data Source'!AF149)</f>
        <v/>
      </c>
      <c r="O149" s="9">
        <f>IF('Data Source'!B149="","",'Data Source'!AG149)</f>
        <v/>
      </c>
      <c r="P149" s="5">
        <f>IF('Data Source'!B149="","",'Data Source'!R149)</f>
        <v/>
      </c>
      <c r="Q149" s="3">
        <f>IF('Data Source'!B149="","",'Data Source'!S149)</f>
        <v/>
      </c>
    </row>
    <row r="150">
      <c r="A150" s="3">
        <f>IF('Data Source'!B150="","",'Data Source'!A150)</f>
        <v/>
      </c>
      <c r="B150">
        <f>IF('Data Source'!B150="","",'Data Source'!B150)</f>
        <v/>
      </c>
      <c r="C150" s="9">
        <f>IF('Data Source'!B150="","",'Data Source'!U150)</f>
        <v/>
      </c>
      <c r="D150" s="9">
        <f>IF('Data Source'!B150="","",'Data Source'!V150)</f>
        <v/>
      </c>
      <c r="E150" s="9">
        <f>IF('Data Source'!B150="","",'Data Source'!W150)</f>
        <v/>
      </c>
      <c r="F150" s="9">
        <f>IF('Data Source'!B150="","",'Data Source'!X150)</f>
        <v/>
      </c>
      <c r="G150" s="9">
        <f>IF('Data Source'!B150="","",'Data Source'!Y150)</f>
        <v/>
      </c>
      <c r="H150" s="9">
        <f>IF('Data Source'!B150="","",'Data Source'!Z150)</f>
        <v/>
      </c>
      <c r="I150" s="9">
        <f>IF('Data Source'!B150="","",'Data Source'!AA150)</f>
        <v/>
      </c>
      <c r="J150" s="9">
        <f>IF('Data Source'!B150="","",'Data Source'!AB150)</f>
        <v/>
      </c>
      <c r="K150" s="9">
        <f>IF('Data Source'!B150="","",'Data Source'!AC150)</f>
        <v/>
      </c>
      <c r="L150" s="9">
        <f>IF('Data Source'!B150="","",'Data Source'!AD150)</f>
        <v/>
      </c>
      <c r="M150" s="9">
        <f>IF('Data Source'!B150="","",'Data Source'!AE150)</f>
        <v/>
      </c>
      <c r="N150" s="9">
        <f>IF('Data Source'!B150="","",'Data Source'!AF150)</f>
        <v/>
      </c>
      <c r="O150" s="9">
        <f>IF('Data Source'!B150="","",'Data Source'!AG150)</f>
        <v/>
      </c>
      <c r="P150" s="5">
        <f>IF('Data Source'!B150="","",'Data Source'!R150)</f>
        <v/>
      </c>
      <c r="Q150" s="3">
        <f>IF('Data Source'!B150="","",'Data Source'!S150)</f>
        <v/>
      </c>
    </row>
    <row r="151">
      <c r="A151" s="3">
        <f>IF('Data Source'!B151="","",'Data Source'!A151)</f>
        <v/>
      </c>
      <c r="B151">
        <f>IF('Data Source'!B151="","",'Data Source'!B151)</f>
        <v/>
      </c>
      <c r="C151" s="9">
        <f>IF('Data Source'!B151="","",'Data Source'!U151)</f>
        <v/>
      </c>
      <c r="D151" s="9">
        <f>IF('Data Source'!B151="","",'Data Source'!V151)</f>
        <v/>
      </c>
      <c r="E151" s="9">
        <f>IF('Data Source'!B151="","",'Data Source'!W151)</f>
        <v/>
      </c>
      <c r="F151" s="9">
        <f>IF('Data Source'!B151="","",'Data Source'!X151)</f>
        <v/>
      </c>
      <c r="G151" s="9">
        <f>IF('Data Source'!B151="","",'Data Source'!Y151)</f>
        <v/>
      </c>
      <c r="H151" s="9">
        <f>IF('Data Source'!B151="","",'Data Source'!Z151)</f>
        <v/>
      </c>
      <c r="I151" s="9">
        <f>IF('Data Source'!B151="","",'Data Source'!AA151)</f>
        <v/>
      </c>
      <c r="J151" s="9">
        <f>IF('Data Source'!B151="","",'Data Source'!AB151)</f>
        <v/>
      </c>
      <c r="K151" s="9">
        <f>IF('Data Source'!B151="","",'Data Source'!AC151)</f>
        <v/>
      </c>
      <c r="L151" s="9">
        <f>IF('Data Source'!B151="","",'Data Source'!AD151)</f>
        <v/>
      </c>
      <c r="M151" s="9">
        <f>IF('Data Source'!B151="","",'Data Source'!AE151)</f>
        <v/>
      </c>
      <c r="N151" s="9">
        <f>IF('Data Source'!B151="","",'Data Source'!AF151)</f>
        <v/>
      </c>
      <c r="O151" s="9">
        <f>IF('Data Source'!B151="","",'Data Source'!AG151)</f>
        <v/>
      </c>
      <c r="P151" s="5">
        <f>IF('Data Source'!B151="","",'Data Source'!R151)</f>
        <v/>
      </c>
      <c r="Q151" s="3">
        <f>IF('Data Source'!B151="","",'Data Source'!S151)</f>
        <v/>
      </c>
    </row>
    <row r="152">
      <c r="A152" s="3">
        <f>IF('Data Source'!B152="","",'Data Source'!A152)</f>
        <v/>
      </c>
      <c r="B152">
        <f>IF('Data Source'!B152="","",'Data Source'!B152)</f>
        <v/>
      </c>
      <c r="C152" s="9">
        <f>IF('Data Source'!B152="","",'Data Source'!U152)</f>
        <v/>
      </c>
      <c r="D152" s="9">
        <f>IF('Data Source'!B152="","",'Data Source'!V152)</f>
        <v/>
      </c>
      <c r="E152" s="9">
        <f>IF('Data Source'!B152="","",'Data Source'!W152)</f>
        <v/>
      </c>
      <c r="F152" s="9">
        <f>IF('Data Source'!B152="","",'Data Source'!X152)</f>
        <v/>
      </c>
      <c r="G152" s="9">
        <f>IF('Data Source'!B152="","",'Data Source'!Y152)</f>
        <v/>
      </c>
      <c r="H152" s="9">
        <f>IF('Data Source'!B152="","",'Data Source'!Z152)</f>
        <v/>
      </c>
      <c r="I152" s="9">
        <f>IF('Data Source'!B152="","",'Data Source'!AA152)</f>
        <v/>
      </c>
      <c r="J152" s="9">
        <f>IF('Data Source'!B152="","",'Data Source'!AB152)</f>
        <v/>
      </c>
      <c r="K152" s="9">
        <f>IF('Data Source'!B152="","",'Data Source'!AC152)</f>
        <v/>
      </c>
      <c r="L152" s="9">
        <f>IF('Data Source'!B152="","",'Data Source'!AD152)</f>
        <v/>
      </c>
      <c r="M152" s="9">
        <f>IF('Data Source'!B152="","",'Data Source'!AE152)</f>
        <v/>
      </c>
      <c r="N152" s="9">
        <f>IF('Data Source'!B152="","",'Data Source'!AF152)</f>
        <v/>
      </c>
      <c r="O152" s="9">
        <f>IF('Data Source'!B152="","",'Data Source'!AG152)</f>
        <v/>
      </c>
      <c r="P152" s="5">
        <f>IF('Data Source'!B152="","",'Data Source'!R152)</f>
        <v/>
      </c>
      <c r="Q152" s="3">
        <f>IF('Data Source'!B152="","",'Data Source'!S152)</f>
        <v/>
      </c>
    </row>
    <row r="153">
      <c r="A153" s="3">
        <f>IF('Data Source'!B153="","",'Data Source'!A153)</f>
        <v/>
      </c>
      <c r="B153">
        <f>IF('Data Source'!B153="","",'Data Source'!B153)</f>
        <v/>
      </c>
      <c r="C153" s="9">
        <f>IF('Data Source'!B153="","",'Data Source'!U153)</f>
        <v/>
      </c>
      <c r="D153" s="9">
        <f>IF('Data Source'!B153="","",'Data Source'!V153)</f>
        <v/>
      </c>
      <c r="E153" s="9">
        <f>IF('Data Source'!B153="","",'Data Source'!W153)</f>
        <v/>
      </c>
      <c r="F153" s="9">
        <f>IF('Data Source'!B153="","",'Data Source'!X153)</f>
        <v/>
      </c>
      <c r="G153" s="9">
        <f>IF('Data Source'!B153="","",'Data Source'!Y153)</f>
        <v/>
      </c>
      <c r="H153" s="9">
        <f>IF('Data Source'!B153="","",'Data Source'!Z153)</f>
        <v/>
      </c>
      <c r="I153" s="9">
        <f>IF('Data Source'!B153="","",'Data Source'!AA153)</f>
        <v/>
      </c>
      <c r="J153" s="9">
        <f>IF('Data Source'!B153="","",'Data Source'!AB153)</f>
        <v/>
      </c>
      <c r="K153" s="9">
        <f>IF('Data Source'!B153="","",'Data Source'!AC153)</f>
        <v/>
      </c>
      <c r="L153" s="9">
        <f>IF('Data Source'!B153="","",'Data Source'!AD153)</f>
        <v/>
      </c>
      <c r="M153" s="9">
        <f>IF('Data Source'!B153="","",'Data Source'!AE153)</f>
        <v/>
      </c>
      <c r="N153" s="9">
        <f>IF('Data Source'!B153="","",'Data Source'!AF153)</f>
        <v/>
      </c>
      <c r="O153" s="9">
        <f>IF('Data Source'!B153="","",'Data Source'!AG153)</f>
        <v/>
      </c>
      <c r="P153" s="5">
        <f>IF('Data Source'!B153="","",'Data Source'!R153)</f>
        <v/>
      </c>
      <c r="Q153" s="3">
        <f>IF('Data Source'!B153="","",'Data Source'!S153)</f>
        <v/>
      </c>
    </row>
    <row r="154">
      <c r="A154" s="3">
        <f>IF('Data Source'!B154="","",'Data Source'!A154)</f>
        <v/>
      </c>
      <c r="B154">
        <f>IF('Data Source'!B154="","",'Data Source'!B154)</f>
        <v/>
      </c>
      <c r="C154" s="9">
        <f>IF('Data Source'!B154="","",'Data Source'!U154)</f>
        <v/>
      </c>
      <c r="D154" s="9">
        <f>IF('Data Source'!B154="","",'Data Source'!V154)</f>
        <v/>
      </c>
      <c r="E154" s="9">
        <f>IF('Data Source'!B154="","",'Data Source'!W154)</f>
        <v/>
      </c>
      <c r="F154" s="9">
        <f>IF('Data Source'!B154="","",'Data Source'!X154)</f>
        <v/>
      </c>
      <c r="G154" s="9">
        <f>IF('Data Source'!B154="","",'Data Source'!Y154)</f>
        <v/>
      </c>
      <c r="H154" s="9">
        <f>IF('Data Source'!B154="","",'Data Source'!Z154)</f>
        <v/>
      </c>
      <c r="I154" s="9">
        <f>IF('Data Source'!B154="","",'Data Source'!AA154)</f>
        <v/>
      </c>
      <c r="J154" s="9">
        <f>IF('Data Source'!B154="","",'Data Source'!AB154)</f>
        <v/>
      </c>
      <c r="K154" s="9">
        <f>IF('Data Source'!B154="","",'Data Source'!AC154)</f>
        <v/>
      </c>
      <c r="L154" s="9">
        <f>IF('Data Source'!B154="","",'Data Source'!AD154)</f>
        <v/>
      </c>
      <c r="M154" s="9">
        <f>IF('Data Source'!B154="","",'Data Source'!AE154)</f>
        <v/>
      </c>
      <c r="N154" s="9">
        <f>IF('Data Source'!B154="","",'Data Source'!AF154)</f>
        <v/>
      </c>
      <c r="O154" s="9">
        <f>IF('Data Source'!B154="","",'Data Source'!AG154)</f>
        <v/>
      </c>
      <c r="P154" s="5">
        <f>IF('Data Source'!B154="","",'Data Source'!R154)</f>
        <v/>
      </c>
      <c r="Q154" s="3">
        <f>IF('Data Source'!B154="","",'Data Source'!S154)</f>
        <v/>
      </c>
    </row>
    <row r="155">
      <c r="A155" s="3">
        <f>IF('Data Source'!B155="","",'Data Source'!A155)</f>
        <v/>
      </c>
      <c r="B155">
        <f>IF('Data Source'!B155="","",'Data Source'!B155)</f>
        <v/>
      </c>
      <c r="C155" s="9">
        <f>IF('Data Source'!B155="","",'Data Source'!U155)</f>
        <v/>
      </c>
      <c r="D155" s="9">
        <f>IF('Data Source'!B155="","",'Data Source'!V155)</f>
        <v/>
      </c>
      <c r="E155" s="9">
        <f>IF('Data Source'!B155="","",'Data Source'!W155)</f>
        <v/>
      </c>
      <c r="F155" s="9">
        <f>IF('Data Source'!B155="","",'Data Source'!X155)</f>
        <v/>
      </c>
      <c r="G155" s="9">
        <f>IF('Data Source'!B155="","",'Data Source'!Y155)</f>
        <v/>
      </c>
      <c r="H155" s="9">
        <f>IF('Data Source'!B155="","",'Data Source'!Z155)</f>
        <v/>
      </c>
      <c r="I155" s="9">
        <f>IF('Data Source'!B155="","",'Data Source'!AA155)</f>
        <v/>
      </c>
      <c r="J155" s="9">
        <f>IF('Data Source'!B155="","",'Data Source'!AB155)</f>
        <v/>
      </c>
      <c r="K155" s="9">
        <f>IF('Data Source'!B155="","",'Data Source'!AC155)</f>
        <v/>
      </c>
      <c r="L155" s="9">
        <f>IF('Data Source'!B155="","",'Data Source'!AD155)</f>
        <v/>
      </c>
      <c r="M155" s="9">
        <f>IF('Data Source'!B155="","",'Data Source'!AE155)</f>
        <v/>
      </c>
      <c r="N155" s="9">
        <f>IF('Data Source'!B155="","",'Data Source'!AF155)</f>
        <v/>
      </c>
      <c r="O155" s="9">
        <f>IF('Data Source'!B155="","",'Data Source'!AG155)</f>
        <v/>
      </c>
      <c r="P155" s="5">
        <f>IF('Data Source'!B155="","",'Data Source'!R155)</f>
        <v/>
      </c>
      <c r="Q155" s="3">
        <f>IF('Data Source'!B155="","",'Data Source'!S155)</f>
        <v/>
      </c>
    </row>
    <row r="156">
      <c r="A156" s="3">
        <f>IF('Data Source'!B156="","",'Data Source'!A156)</f>
        <v/>
      </c>
      <c r="B156">
        <f>IF('Data Source'!B156="","",'Data Source'!B156)</f>
        <v/>
      </c>
      <c r="C156" s="9">
        <f>IF('Data Source'!B156="","",'Data Source'!U156)</f>
        <v/>
      </c>
      <c r="D156" s="9">
        <f>IF('Data Source'!B156="","",'Data Source'!V156)</f>
        <v/>
      </c>
      <c r="E156" s="9">
        <f>IF('Data Source'!B156="","",'Data Source'!W156)</f>
        <v/>
      </c>
      <c r="F156" s="9">
        <f>IF('Data Source'!B156="","",'Data Source'!X156)</f>
        <v/>
      </c>
      <c r="G156" s="9">
        <f>IF('Data Source'!B156="","",'Data Source'!Y156)</f>
        <v/>
      </c>
      <c r="H156" s="9">
        <f>IF('Data Source'!B156="","",'Data Source'!Z156)</f>
        <v/>
      </c>
      <c r="I156" s="9">
        <f>IF('Data Source'!B156="","",'Data Source'!AA156)</f>
        <v/>
      </c>
      <c r="J156" s="9">
        <f>IF('Data Source'!B156="","",'Data Source'!AB156)</f>
        <v/>
      </c>
      <c r="K156" s="9">
        <f>IF('Data Source'!B156="","",'Data Source'!AC156)</f>
        <v/>
      </c>
      <c r="L156" s="9">
        <f>IF('Data Source'!B156="","",'Data Source'!AD156)</f>
        <v/>
      </c>
      <c r="M156" s="9">
        <f>IF('Data Source'!B156="","",'Data Source'!AE156)</f>
        <v/>
      </c>
      <c r="N156" s="9">
        <f>IF('Data Source'!B156="","",'Data Source'!AF156)</f>
        <v/>
      </c>
      <c r="O156" s="9">
        <f>IF('Data Source'!B156="","",'Data Source'!AG156)</f>
        <v/>
      </c>
      <c r="P156" s="5">
        <f>IF('Data Source'!B156="","",'Data Source'!R156)</f>
        <v/>
      </c>
      <c r="Q156" s="3">
        <f>IF('Data Source'!B156="","",'Data Source'!S156)</f>
        <v/>
      </c>
    </row>
    <row r="157">
      <c r="A157" s="3">
        <f>IF('Data Source'!B157="","",'Data Source'!A157)</f>
        <v/>
      </c>
      <c r="B157">
        <f>IF('Data Source'!B157="","",'Data Source'!B157)</f>
        <v/>
      </c>
      <c r="C157" s="9">
        <f>IF('Data Source'!B157="","",'Data Source'!U157)</f>
        <v/>
      </c>
      <c r="D157" s="9">
        <f>IF('Data Source'!B157="","",'Data Source'!V157)</f>
        <v/>
      </c>
      <c r="E157" s="9">
        <f>IF('Data Source'!B157="","",'Data Source'!W157)</f>
        <v/>
      </c>
      <c r="F157" s="9">
        <f>IF('Data Source'!B157="","",'Data Source'!X157)</f>
        <v/>
      </c>
      <c r="G157" s="9">
        <f>IF('Data Source'!B157="","",'Data Source'!Y157)</f>
        <v/>
      </c>
      <c r="H157" s="9">
        <f>IF('Data Source'!B157="","",'Data Source'!Z157)</f>
        <v/>
      </c>
      <c r="I157" s="9">
        <f>IF('Data Source'!B157="","",'Data Source'!AA157)</f>
        <v/>
      </c>
      <c r="J157" s="9">
        <f>IF('Data Source'!B157="","",'Data Source'!AB157)</f>
        <v/>
      </c>
      <c r="K157" s="9">
        <f>IF('Data Source'!B157="","",'Data Source'!AC157)</f>
        <v/>
      </c>
      <c r="L157" s="9">
        <f>IF('Data Source'!B157="","",'Data Source'!AD157)</f>
        <v/>
      </c>
      <c r="M157" s="9">
        <f>IF('Data Source'!B157="","",'Data Source'!AE157)</f>
        <v/>
      </c>
      <c r="N157" s="9">
        <f>IF('Data Source'!B157="","",'Data Source'!AF157)</f>
        <v/>
      </c>
      <c r="O157" s="9">
        <f>IF('Data Source'!B157="","",'Data Source'!AG157)</f>
        <v/>
      </c>
      <c r="P157" s="5">
        <f>IF('Data Source'!B157="","",'Data Source'!R157)</f>
        <v/>
      </c>
      <c r="Q157" s="3">
        <f>IF('Data Source'!B157="","",'Data Source'!S157)</f>
        <v/>
      </c>
    </row>
    <row r="158">
      <c r="A158" s="3">
        <f>IF('Data Source'!B158="","",'Data Source'!A158)</f>
        <v/>
      </c>
      <c r="B158">
        <f>IF('Data Source'!B158="","",'Data Source'!B158)</f>
        <v/>
      </c>
      <c r="C158" s="9">
        <f>IF('Data Source'!B158="","",'Data Source'!U158)</f>
        <v/>
      </c>
      <c r="D158" s="9">
        <f>IF('Data Source'!B158="","",'Data Source'!V158)</f>
        <v/>
      </c>
      <c r="E158" s="9">
        <f>IF('Data Source'!B158="","",'Data Source'!W158)</f>
        <v/>
      </c>
      <c r="F158" s="9">
        <f>IF('Data Source'!B158="","",'Data Source'!X158)</f>
        <v/>
      </c>
      <c r="G158" s="9">
        <f>IF('Data Source'!B158="","",'Data Source'!Y158)</f>
        <v/>
      </c>
      <c r="H158" s="9">
        <f>IF('Data Source'!B158="","",'Data Source'!Z158)</f>
        <v/>
      </c>
      <c r="I158" s="9">
        <f>IF('Data Source'!B158="","",'Data Source'!AA158)</f>
        <v/>
      </c>
      <c r="J158" s="9">
        <f>IF('Data Source'!B158="","",'Data Source'!AB158)</f>
        <v/>
      </c>
      <c r="K158" s="9">
        <f>IF('Data Source'!B158="","",'Data Source'!AC158)</f>
        <v/>
      </c>
      <c r="L158" s="9">
        <f>IF('Data Source'!B158="","",'Data Source'!AD158)</f>
        <v/>
      </c>
      <c r="M158" s="9">
        <f>IF('Data Source'!B158="","",'Data Source'!AE158)</f>
        <v/>
      </c>
      <c r="N158" s="9">
        <f>IF('Data Source'!B158="","",'Data Source'!AF158)</f>
        <v/>
      </c>
      <c r="O158" s="9">
        <f>IF('Data Source'!B158="","",'Data Source'!AG158)</f>
        <v/>
      </c>
      <c r="P158" s="5">
        <f>IF('Data Source'!B158="","",'Data Source'!R158)</f>
        <v/>
      </c>
      <c r="Q158" s="3">
        <f>IF('Data Source'!B158="","",'Data Source'!S158)</f>
        <v/>
      </c>
    </row>
    <row r="159">
      <c r="A159" s="3">
        <f>IF('Data Source'!B159="","",'Data Source'!A159)</f>
        <v/>
      </c>
      <c r="B159">
        <f>IF('Data Source'!B159="","",'Data Source'!B159)</f>
        <v/>
      </c>
      <c r="C159" s="9">
        <f>IF('Data Source'!B159="","",'Data Source'!U159)</f>
        <v/>
      </c>
      <c r="D159" s="9">
        <f>IF('Data Source'!B159="","",'Data Source'!V159)</f>
        <v/>
      </c>
      <c r="E159" s="9">
        <f>IF('Data Source'!B159="","",'Data Source'!W159)</f>
        <v/>
      </c>
      <c r="F159" s="9">
        <f>IF('Data Source'!B159="","",'Data Source'!X159)</f>
        <v/>
      </c>
      <c r="G159" s="9">
        <f>IF('Data Source'!B159="","",'Data Source'!Y159)</f>
        <v/>
      </c>
      <c r="H159" s="9">
        <f>IF('Data Source'!B159="","",'Data Source'!Z159)</f>
        <v/>
      </c>
      <c r="I159" s="9">
        <f>IF('Data Source'!B159="","",'Data Source'!AA159)</f>
        <v/>
      </c>
      <c r="J159" s="9">
        <f>IF('Data Source'!B159="","",'Data Source'!AB159)</f>
        <v/>
      </c>
      <c r="K159" s="9">
        <f>IF('Data Source'!B159="","",'Data Source'!AC159)</f>
        <v/>
      </c>
      <c r="L159" s="9">
        <f>IF('Data Source'!B159="","",'Data Source'!AD159)</f>
        <v/>
      </c>
      <c r="M159" s="9">
        <f>IF('Data Source'!B159="","",'Data Source'!AE159)</f>
        <v/>
      </c>
      <c r="N159" s="9">
        <f>IF('Data Source'!B159="","",'Data Source'!AF159)</f>
        <v/>
      </c>
      <c r="O159" s="9">
        <f>IF('Data Source'!B159="","",'Data Source'!AG159)</f>
        <v/>
      </c>
      <c r="P159" s="5">
        <f>IF('Data Source'!B159="","",'Data Source'!R159)</f>
        <v/>
      </c>
      <c r="Q159" s="3">
        <f>IF('Data Source'!B159="","",'Data Source'!S159)</f>
        <v/>
      </c>
    </row>
    <row r="160">
      <c r="A160" s="3">
        <f>IF('Data Source'!B160="","",'Data Source'!A160)</f>
        <v/>
      </c>
      <c r="B160">
        <f>IF('Data Source'!B160="","",'Data Source'!B160)</f>
        <v/>
      </c>
      <c r="C160" s="9">
        <f>IF('Data Source'!B160="","",'Data Source'!U160)</f>
        <v/>
      </c>
      <c r="D160" s="9">
        <f>IF('Data Source'!B160="","",'Data Source'!V160)</f>
        <v/>
      </c>
      <c r="E160" s="9">
        <f>IF('Data Source'!B160="","",'Data Source'!W160)</f>
        <v/>
      </c>
      <c r="F160" s="9">
        <f>IF('Data Source'!B160="","",'Data Source'!X160)</f>
        <v/>
      </c>
      <c r="G160" s="9">
        <f>IF('Data Source'!B160="","",'Data Source'!Y160)</f>
        <v/>
      </c>
      <c r="H160" s="9">
        <f>IF('Data Source'!B160="","",'Data Source'!Z160)</f>
        <v/>
      </c>
      <c r="I160" s="9">
        <f>IF('Data Source'!B160="","",'Data Source'!AA160)</f>
        <v/>
      </c>
      <c r="J160" s="9">
        <f>IF('Data Source'!B160="","",'Data Source'!AB160)</f>
        <v/>
      </c>
      <c r="K160" s="9">
        <f>IF('Data Source'!B160="","",'Data Source'!AC160)</f>
        <v/>
      </c>
      <c r="L160" s="9">
        <f>IF('Data Source'!B160="","",'Data Source'!AD160)</f>
        <v/>
      </c>
      <c r="M160" s="9">
        <f>IF('Data Source'!B160="","",'Data Source'!AE160)</f>
        <v/>
      </c>
      <c r="N160" s="9">
        <f>IF('Data Source'!B160="","",'Data Source'!AF160)</f>
        <v/>
      </c>
      <c r="O160" s="9">
        <f>IF('Data Source'!B160="","",'Data Source'!AG160)</f>
        <v/>
      </c>
      <c r="P160" s="5">
        <f>IF('Data Source'!B160="","",'Data Source'!R160)</f>
        <v/>
      </c>
      <c r="Q160" s="3">
        <f>IF('Data Source'!B160="","",'Data Source'!S160)</f>
        <v/>
      </c>
    </row>
    <row r="161">
      <c r="A161" s="3">
        <f>IF('Data Source'!B161="","",'Data Source'!A161)</f>
        <v/>
      </c>
      <c r="B161">
        <f>IF('Data Source'!B161="","",'Data Source'!B161)</f>
        <v/>
      </c>
      <c r="C161" s="9">
        <f>IF('Data Source'!B161="","",'Data Source'!U161)</f>
        <v/>
      </c>
      <c r="D161" s="9">
        <f>IF('Data Source'!B161="","",'Data Source'!V161)</f>
        <v/>
      </c>
      <c r="E161" s="9">
        <f>IF('Data Source'!B161="","",'Data Source'!W161)</f>
        <v/>
      </c>
      <c r="F161" s="9">
        <f>IF('Data Source'!B161="","",'Data Source'!X161)</f>
        <v/>
      </c>
      <c r="G161" s="9">
        <f>IF('Data Source'!B161="","",'Data Source'!Y161)</f>
        <v/>
      </c>
      <c r="H161" s="9">
        <f>IF('Data Source'!B161="","",'Data Source'!Z161)</f>
        <v/>
      </c>
      <c r="I161" s="9">
        <f>IF('Data Source'!B161="","",'Data Source'!AA161)</f>
        <v/>
      </c>
      <c r="J161" s="9">
        <f>IF('Data Source'!B161="","",'Data Source'!AB161)</f>
        <v/>
      </c>
      <c r="K161" s="9">
        <f>IF('Data Source'!B161="","",'Data Source'!AC161)</f>
        <v/>
      </c>
      <c r="L161" s="9">
        <f>IF('Data Source'!B161="","",'Data Source'!AD161)</f>
        <v/>
      </c>
      <c r="M161" s="9">
        <f>IF('Data Source'!B161="","",'Data Source'!AE161)</f>
        <v/>
      </c>
      <c r="N161" s="9">
        <f>IF('Data Source'!B161="","",'Data Source'!AF161)</f>
        <v/>
      </c>
      <c r="O161" s="9">
        <f>IF('Data Source'!B161="","",'Data Source'!AG161)</f>
        <v/>
      </c>
      <c r="P161" s="5">
        <f>IF('Data Source'!B161="","",'Data Source'!R161)</f>
        <v/>
      </c>
      <c r="Q161" s="3">
        <f>IF('Data Source'!B161="","",'Data Source'!S161)</f>
        <v/>
      </c>
    </row>
    <row r="162">
      <c r="A162" s="3">
        <f>IF('Data Source'!B162="","",'Data Source'!A162)</f>
        <v/>
      </c>
      <c r="B162">
        <f>IF('Data Source'!B162="","",'Data Source'!B162)</f>
        <v/>
      </c>
      <c r="C162" s="9">
        <f>IF('Data Source'!B162="","",'Data Source'!U162)</f>
        <v/>
      </c>
      <c r="D162" s="9">
        <f>IF('Data Source'!B162="","",'Data Source'!V162)</f>
        <v/>
      </c>
      <c r="E162" s="9">
        <f>IF('Data Source'!B162="","",'Data Source'!W162)</f>
        <v/>
      </c>
      <c r="F162" s="9">
        <f>IF('Data Source'!B162="","",'Data Source'!X162)</f>
        <v/>
      </c>
      <c r="G162" s="9">
        <f>IF('Data Source'!B162="","",'Data Source'!Y162)</f>
        <v/>
      </c>
      <c r="H162" s="9">
        <f>IF('Data Source'!B162="","",'Data Source'!Z162)</f>
        <v/>
      </c>
      <c r="I162" s="9">
        <f>IF('Data Source'!B162="","",'Data Source'!AA162)</f>
        <v/>
      </c>
      <c r="J162" s="9">
        <f>IF('Data Source'!B162="","",'Data Source'!AB162)</f>
        <v/>
      </c>
      <c r="K162" s="9">
        <f>IF('Data Source'!B162="","",'Data Source'!AC162)</f>
        <v/>
      </c>
      <c r="L162" s="9">
        <f>IF('Data Source'!B162="","",'Data Source'!AD162)</f>
        <v/>
      </c>
      <c r="M162" s="9">
        <f>IF('Data Source'!B162="","",'Data Source'!AE162)</f>
        <v/>
      </c>
      <c r="N162" s="9">
        <f>IF('Data Source'!B162="","",'Data Source'!AF162)</f>
        <v/>
      </c>
      <c r="O162" s="9">
        <f>IF('Data Source'!B162="","",'Data Source'!AG162)</f>
        <v/>
      </c>
      <c r="P162" s="5">
        <f>IF('Data Source'!B162="","",'Data Source'!R162)</f>
        <v/>
      </c>
      <c r="Q162" s="3">
        <f>IF('Data Source'!B162="","",'Data Source'!S162)</f>
        <v/>
      </c>
    </row>
    <row r="163">
      <c r="A163" s="3">
        <f>IF('Data Source'!B163="","",'Data Source'!A163)</f>
        <v/>
      </c>
      <c r="B163">
        <f>IF('Data Source'!B163="","",'Data Source'!B163)</f>
        <v/>
      </c>
      <c r="C163" s="9">
        <f>IF('Data Source'!B163="","",'Data Source'!U163)</f>
        <v/>
      </c>
      <c r="D163" s="9">
        <f>IF('Data Source'!B163="","",'Data Source'!V163)</f>
        <v/>
      </c>
      <c r="E163" s="9">
        <f>IF('Data Source'!B163="","",'Data Source'!W163)</f>
        <v/>
      </c>
      <c r="F163" s="9">
        <f>IF('Data Source'!B163="","",'Data Source'!X163)</f>
        <v/>
      </c>
      <c r="G163" s="9">
        <f>IF('Data Source'!B163="","",'Data Source'!Y163)</f>
        <v/>
      </c>
      <c r="H163" s="9">
        <f>IF('Data Source'!B163="","",'Data Source'!Z163)</f>
        <v/>
      </c>
      <c r="I163" s="9">
        <f>IF('Data Source'!B163="","",'Data Source'!AA163)</f>
        <v/>
      </c>
      <c r="J163" s="9">
        <f>IF('Data Source'!B163="","",'Data Source'!AB163)</f>
        <v/>
      </c>
      <c r="K163" s="9">
        <f>IF('Data Source'!B163="","",'Data Source'!AC163)</f>
        <v/>
      </c>
      <c r="L163" s="9">
        <f>IF('Data Source'!B163="","",'Data Source'!AD163)</f>
        <v/>
      </c>
      <c r="M163" s="9">
        <f>IF('Data Source'!B163="","",'Data Source'!AE163)</f>
        <v/>
      </c>
      <c r="N163" s="9">
        <f>IF('Data Source'!B163="","",'Data Source'!AF163)</f>
        <v/>
      </c>
      <c r="O163" s="9">
        <f>IF('Data Source'!B163="","",'Data Source'!AG163)</f>
        <v/>
      </c>
      <c r="P163" s="5">
        <f>IF('Data Source'!B163="","",'Data Source'!R163)</f>
        <v/>
      </c>
      <c r="Q163" s="3">
        <f>IF('Data Source'!B163="","",'Data Source'!S163)</f>
        <v/>
      </c>
    </row>
    <row r="164">
      <c r="A164" s="3">
        <f>IF('Data Source'!B164="","",'Data Source'!A164)</f>
        <v/>
      </c>
      <c r="B164">
        <f>IF('Data Source'!B164="","",'Data Source'!B164)</f>
        <v/>
      </c>
      <c r="C164" s="9">
        <f>IF('Data Source'!B164="","",'Data Source'!U164)</f>
        <v/>
      </c>
      <c r="D164" s="9">
        <f>IF('Data Source'!B164="","",'Data Source'!V164)</f>
        <v/>
      </c>
      <c r="E164" s="9">
        <f>IF('Data Source'!B164="","",'Data Source'!W164)</f>
        <v/>
      </c>
      <c r="F164" s="9">
        <f>IF('Data Source'!B164="","",'Data Source'!X164)</f>
        <v/>
      </c>
      <c r="G164" s="9">
        <f>IF('Data Source'!B164="","",'Data Source'!Y164)</f>
        <v/>
      </c>
      <c r="H164" s="9">
        <f>IF('Data Source'!B164="","",'Data Source'!Z164)</f>
        <v/>
      </c>
      <c r="I164" s="9">
        <f>IF('Data Source'!B164="","",'Data Source'!AA164)</f>
        <v/>
      </c>
      <c r="J164" s="9">
        <f>IF('Data Source'!B164="","",'Data Source'!AB164)</f>
        <v/>
      </c>
      <c r="K164" s="9">
        <f>IF('Data Source'!B164="","",'Data Source'!AC164)</f>
        <v/>
      </c>
      <c r="L164" s="9">
        <f>IF('Data Source'!B164="","",'Data Source'!AD164)</f>
        <v/>
      </c>
      <c r="M164" s="9">
        <f>IF('Data Source'!B164="","",'Data Source'!AE164)</f>
        <v/>
      </c>
      <c r="N164" s="9">
        <f>IF('Data Source'!B164="","",'Data Source'!AF164)</f>
        <v/>
      </c>
      <c r="O164" s="9">
        <f>IF('Data Source'!B164="","",'Data Source'!AG164)</f>
        <v/>
      </c>
      <c r="P164" s="5">
        <f>IF('Data Source'!B164="","",'Data Source'!R164)</f>
        <v/>
      </c>
      <c r="Q164" s="3">
        <f>IF('Data Source'!B164="","",'Data Source'!S164)</f>
        <v/>
      </c>
    </row>
    <row r="165">
      <c r="A165" s="3">
        <f>IF('Data Source'!B165="","",'Data Source'!A165)</f>
        <v/>
      </c>
      <c r="B165">
        <f>IF('Data Source'!B165="","",'Data Source'!B165)</f>
        <v/>
      </c>
      <c r="C165" s="9">
        <f>IF('Data Source'!B165="","",'Data Source'!U165)</f>
        <v/>
      </c>
      <c r="D165" s="9">
        <f>IF('Data Source'!B165="","",'Data Source'!V165)</f>
        <v/>
      </c>
      <c r="E165" s="9">
        <f>IF('Data Source'!B165="","",'Data Source'!W165)</f>
        <v/>
      </c>
      <c r="F165" s="9">
        <f>IF('Data Source'!B165="","",'Data Source'!X165)</f>
        <v/>
      </c>
      <c r="G165" s="9">
        <f>IF('Data Source'!B165="","",'Data Source'!Y165)</f>
        <v/>
      </c>
      <c r="H165" s="9">
        <f>IF('Data Source'!B165="","",'Data Source'!Z165)</f>
        <v/>
      </c>
      <c r="I165" s="9">
        <f>IF('Data Source'!B165="","",'Data Source'!AA165)</f>
        <v/>
      </c>
      <c r="J165" s="9">
        <f>IF('Data Source'!B165="","",'Data Source'!AB165)</f>
        <v/>
      </c>
      <c r="K165" s="9">
        <f>IF('Data Source'!B165="","",'Data Source'!AC165)</f>
        <v/>
      </c>
      <c r="L165" s="9">
        <f>IF('Data Source'!B165="","",'Data Source'!AD165)</f>
        <v/>
      </c>
      <c r="M165" s="9">
        <f>IF('Data Source'!B165="","",'Data Source'!AE165)</f>
        <v/>
      </c>
      <c r="N165" s="9">
        <f>IF('Data Source'!B165="","",'Data Source'!AF165)</f>
        <v/>
      </c>
      <c r="O165" s="9">
        <f>IF('Data Source'!B165="","",'Data Source'!AG165)</f>
        <v/>
      </c>
      <c r="P165" s="5">
        <f>IF('Data Source'!B165="","",'Data Source'!R165)</f>
        <v/>
      </c>
      <c r="Q165" s="3">
        <f>IF('Data Source'!B165="","",'Data Source'!S165)</f>
        <v/>
      </c>
    </row>
    <row r="166">
      <c r="A166" s="3">
        <f>IF('Data Source'!B166="","",'Data Source'!A166)</f>
        <v/>
      </c>
      <c r="B166">
        <f>IF('Data Source'!B166="","",'Data Source'!B166)</f>
        <v/>
      </c>
      <c r="C166" s="9">
        <f>IF('Data Source'!B166="","",'Data Source'!U166)</f>
        <v/>
      </c>
      <c r="D166" s="9">
        <f>IF('Data Source'!B166="","",'Data Source'!V166)</f>
        <v/>
      </c>
      <c r="E166" s="9">
        <f>IF('Data Source'!B166="","",'Data Source'!W166)</f>
        <v/>
      </c>
      <c r="F166" s="9">
        <f>IF('Data Source'!B166="","",'Data Source'!X166)</f>
        <v/>
      </c>
      <c r="G166" s="9">
        <f>IF('Data Source'!B166="","",'Data Source'!Y166)</f>
        <v/>
      </c>
      <c r="H166" s="9">
        <f>IF('Data Source'!B166="","",'Data Source'!Z166)</f>
        <v/>
      </c>
      <c r="I166" s="9">
        <f>IF('Data Source'!B166="","",'Data Source'!AA166)</f>
        <v/>
      </c>
      <c r="J166" s="9">
        <f>IF('Data Source'!B166="","",'Data Source'!AB166)</f>
        <v/>
      </c>
      <c r="K166" s="9">
        <f>IF('Data Source'!B166="","",'Data Source'!AC166)</f>
        <v/>
      </c>
      <c r="L166" s="9">
        <f>IF('Data Source'!B166="","",'Data Source'!AD166)</f>
        <v/>
      </c>
      <c r="M166" s="9">
        <f>IF('Data Source'!B166="","",'Data Source'!AE166)</f>
        <v/>
      </c>
      <c r="N166" s="9">
        <f>IF('Data Source'!B166="","",'Data Source'!AF166)</f>
        <v/>
      </c>
      <c r="O166" s="9">
        <f>IF('Data Source'!B166="","",'Data Source'!AG166)</f>
        <v/>
      </c>
      <c r="P166" s="5">
        <f>IF('Data Source'!B166="","",'Data Source'!R166)</f>
        <v/>
      </c>
      <c r="Q166" s="3">
        <f>IF('Data Source'!B166="","",'Data Source'!S166)</f>
        <v/>
      </c>
    </row>
    <row r="167">
      <c r="A167" s="3">
        <f>IF('Data Source'!B167="","",'Data Source'!A167)</f>
        <v/>
      </c>
      <c r="B167">
        <f>IF('Data Source'!B167="","",'Data Source'!B167)</f>
        <v/>
      </c>
      <c r="C167" s="9">
        <f>IF('Data Source'!B167="","",'Data Source'!U167)</f>
        <v/>
      </c>
      <c r="D167" s="9">
        <f>IF('Data Source'!B167="","",'Data Source'!V167)</f>
        <v/>
      </c>
      <c r="E167" s="9">
        <f>IF('Data Source'!B167="","",'Data Source'!W167)</f>
        <v/>
      </c>
      <c r="F167" s="9">
        <f>IF('Data Source'!B167="","",'Data Source'!X167)</f>
        <v/>
      </c>
      <c r="G167" s="9">
        <f>IF('Data Source'!B167="","",'Data Source'!Y167)</f>
        <v/>
      </c>
      <c r="H167" s="9">
        <f>IF('Data Source'!B167="","",'Data Source'!Z167)</f>
        <v/>
      </c>
      <c r="I167" s="9">
        <f>IF('Data Source'!B167="","",'Data Source'!AA167)</f>
        <v/>
      </c>
      <c r="J167" s="9">
        <f>IF('Data Source'!B167="","",'Data Source'!AB167)</f>
        <v/>
      </c>
      <c r="K167" s="9">
        <f>IF('Data Source'!B167="","",'Data Source'!AC167)</f>
        <v/>
      </c>
      <c r="L167" s="9">
        <f>IF('Data Source'!B167="","",'Data Source'!AD167)</f>
        <v/>
      </c>
      <c r="M167" s="9">
        <f>IF('Data Source'!B167="","",'Data Source'!AE167)</f>
        <v/>
      </c>
      <c r="N167" s="9">
        <f>IF('Data Source'!B167="","",'Data Source'!AF167)</f>
        <v/>
      </c>
      <c r="O167" s="9">
        <f>IF('Data Source'!B167="","",'Data Source'!AG167)</f>
        <v/>
      </c>
      <c r="P167" s="5">
        <f>IF('Data Source'!B167="","",'Data Source'!R167)</f>
        <v/>
      </c>
      <c r="Q167" s="3">
        <f>IF('Data Source'!B167="","",'Data Source'!S167)</f>
        <v/>
      </c>
    </row>
    <row r="168">
      <c r="A168" s="3">
        <f>IF('Data Source'!B168="","",'Data Source'!A168)</f>
        <v/>
      </c>
      <c r="B168">
        <f>IF('Data Source'!B168="","",'Data Source'!B168)</f>
        <v/>
      </c>
      <c r="C168" s="9">
        <f>IF('Data Source'!B168="","",'Data Source'!U168)</f>
        <v/>
      </c>
      <c r="D168" s="9">
        <f>IF('Data Source'!B168="","",'Data Source'!V168)</f>
        <v/>
      </c>
      <c r="E168" s="9">
        <f>IF('Data Source'!B168="","",'Data Source'!W168)</f>
        <v/>
      </c>
      <c r="F168" s="9">
        <f>IF('Data Source'!B168="","",'Data Source'!X168)</f>
        <v/>
      </c>
      <c r="G168" s="9">
        <f>IF('Data Source'!B168="","",'Data Source'!Y168)</f>
        <v/>
      </c>
      <c r="H168" s="9">
        <f>IF('Data Source'!B168="","",'Data Source'!Z168)</f>
        <v/>
      </c>
      <c r="I168" s="9">
        <f>IF('Data Source'!B168="","",'Data Source'!AA168)</f>
        <v/>
      </c>
      <c r="J168" s="9">
        <f>IF('Data Source'!B168="","",'Data Source'!AB168)</f>
        <v/>
      </c>
      <c r="K168" s="9">
        <f>IF('Data Source'!B168="","",'Data Source'!AC168)</f>
        <v/>
      </c>
      <c r="L168" s="9">
        <f>IF('Data Source'!B168="","",'Data Source'!AD168)</f>
        <v/>
      </c>
      <c r="M168" s="9">
        <f>IF('Data Source'!B168="","",'Data Source'!AE168)</f>
        <v/>
      </c>
      <c r="N168" s="9">
        <f>IF('Data Source'!B168="","",'Data Source'!AF168)</f>
        <v/>
      </c>
      <c r="O168" s="9">
        <f>IF('Data Source'!B168="","",'Data Source'!AG168)</f>
        <v/>
      </c>
      <c r="P168" s="5">
        <f>IF('Data Source'!B168="","",'Data Source'!R168)</f>
        <v/>
      </c>
      <c r="Q168" s="3">
        <f>IF('Data Source'!B168="","",'Data Source'!S168)</f>
        <v/>
      </c>
    </row>
    <row r="169">
      <c r="A169" s="3">
        <f>IF('Data Source'!B169="","",'Data Source'!A169)</f>
        <v/>
      </c>
      <c r="B169">
        <f>IF('Data Source'!B169="","",'Data Source'!B169)</f>
        <v/>
      </c>
      <c r="C169" s="9">
        <f>IF('Data Source'!B169="","",'Data Source'!U169)</f>
        <v/>
      </c>
      <c r="D169" s="9">
        <f>IF('Data Source'!B169="","",'Data Source'!V169)</f>
        <v/>
      </c>
      <c r="E169" s="9">
        <f>IF('Data Source'!B169="","",'Data Source'!W169)</f>
        <v/>
      </c>
      <c r="F169" s="9">
        <f>IF('Data Source'!B169="","",'Data Source'!X169)</f>
        <v/>
      </c>
      <c r="G169" s="9">
        <f>IF('Data Source'!B169="","",'Data Source'!Y169)</f>
        <v/>
      </c>
      <c r="H169" s="9">
        <f>IF('Data Source'!B169="","",'Data Source'!Z169)</f>
        <v/>
      </c>
      <c r="I169" s="9">
        <f>IF('Data Source'!B169="","",'Data Source'!AA169)</f>
        <v/>
      </c>
      <c r="J169" s="9">
        <f>IF('Data Source'!B169="","",'Data Source'!AB169)</f>
        <v/>
      </c>
      <c r="K169" s="9">
        <f>IF('Data Source'!B169="","",'Data Source'!AC169)</f>
        <v/>
      </c>
      <c r="L169" s="9">
        <f>IF('Data Source'!B169="","",'Data Source'!AD169)</f>
        <v/>
      </c>
      <c r="M169" s="9">
        <f>IF('Data Source'!B169="","",'Data Source'!AE169)</f>
        <v/>
      </c>
      <c r="N169" s="9">
        <f>IF('Data Source'!B169="","",'Data Source'!AF169)</f>
        <v/>
      </c>
      <c r="O169" s="9">
        <f>IF('Data Source'!B169="","",'Data Source'!AG169)</f>
        <v/>
      </c>
      <c r="P169" s="5">
        <f>IF('Data Source'!B169="","",'Data Source'!R169)</f>
        <v/>
      </c>
      <c r="Q169" s="3">
        <f>IF('Data Source'!B169="","",'Data Source'!S169)</f>
        <v/>
      </c>
    </row>
    <row r="170">
      <c r="A170" s="3">
        <f>IF('Data Source'!B170="","",'Data Source'!A170)</f>
        <v/>
      </c>
      <c r="B170">
        <f>IF('Data Source'!B170="","",'Data Source'!B170)</f>
        <v/>
      </c>
      <c r="C170" s="9">
        <f>IF('Data Source'!B170="","",'Data Source'!U170)</f>
        <v/>
      </c>
      <c r="D170" s="9">
        <f>IF('Data Source'!B170="","",'Data Source'!V170)</f>
        <v/>
      </c>
      <c r="E170" s="9">
        <f>IF('Data Source'!B170="","",'Data Source'!W170)</f>
        <v/>
      </c>
      <c r="F170" s="9">
        <f>IF('Data Source'!B170="","",'Data Source'!X170)</f>
        <v/>
      </c>
      <c r="G170" s="9">
        <f>IF('Data Source'!B170="","",'Data Source'!Y170)</f>
        <v/>
      </c>
      <c r="H170" s="9">
        <f>IF('Data Source'!B170="","",'Data Source'!Z170)</f>
        <v/>
      </c>
      <c r="I170" s="9">
        <f>IF('Data Source'!B170="","",'Data Source'!AA170)</f>
        <v/>
      </c>
      <c r="J170" s="9">
        <f>IF('Data Source'!B170="","",'Data Source'!AB170)</f>
        <v/>
      </c>
      <c r="K170" s="9">
        <f>IF('Data Source'!B170="","",'Data Source'!AC170)</f>
        <v/>
      </c>
      <c r="L170" s="9">
        <f>IF('Data Source'!B170="","",'Data Source'!AD170)</f>
        <v/>
      </c>
      <c r="M170" s="9">
        <f>IF('Data Source'!B170="","",'Data Source'!AE170)</f>
        <v/>
      </c>
      <c r="N170" s="9">
        <f>IF('Data Source'!B170="","",'Data Source'!AF170)</f>
        <v/>
      </c>
      <c r="O170" s="9">
        <f>IF('Data Source'!B170="","",'Data Source'!AG170)</f>
        <v/>
      </c>
      <c r="P170" s="5">
        <f>IF('Data Source'!B170="","",'Data Source'!R170)</f>
        <v/>
      </c>
      <c r="Q170" s="3">
        <f>IF('Data Source'!B170="","",'Data Source'!S170)</f>
        <v/>
      </c>
    </row>
    <row r="171">
      <c r="A171" s="3">
        <f>IF('Data Source'!B171="","",'Data Source'!A171)</f>
        <v/>
      </c>
      <c r="B171">
        <f>IF('Data Source'!B171="","",'Data Source'!B171)</f>
        <v/>
      </c>
      <c r="C171" s="9">
        <f>IF('Data Source'!B171="","",'Data Source'!U171)</f>
        <v/>
      </c>
      <c r="D171" s="9">
        <f>IF('Data Source'!B171="","",'Data Source'!V171)</f>
        <v/>
      </c>
      <c r="E171" s="9">
        <f>IF('Data Source'!B171="","",'Data Source'!W171)</f>
        <v/>
      </c>
      <c r="F171" s="9">
        <f>IF('Data Source'!B171="","",'Data Source'!X171)</f>
        <v/>
      </c>
      <c r="G171" s="9">
        <f>IF('Data Source'!B171="","",'Data Source'!Y171)</f>
        <v/>
      </c>
      <c r="H171" s="9">
        <f>IF('Data Source'!B171="","",'Data Source'!Z171)</f>
        <v/>
      </c>
      <c r="I171" s="9">
        <f>IF('Data Source'!B171="","",'Data Source'!AA171)</f>
        <v/>
      </c>
      <c r="J171" s="9">
        <f>IF('Data Source'!B171="","",'Data Source'!AB171)</f>
        <v/>
      </c>
      <c r="K171" s="9">
        <f>IF('Data Source'!B171="","",'Data Source'!AC171)</f>
        <v/>
      </c>
      <c r="L171" s="9">
        <f>IF('Data Source'!B171="","",'Data Source'!AD171)</f>
        <v/>
      </c>
      <c r="M171" s="9">
        <f>IF('Data Source'!B171="","",'Data Source'!AE171)</f>
        <v/>
      </c>
      <c r="N171" s="9">
        <f>IF('Data Source'!B171="","",'Data Source'!AF171)</f>
        <v/>
      </c>
      <c r="O171" s="9">
        <f>IF('Data Source'!B171="","",'Data Source'!AG171)</f>
        <v/>
      </c>
      <c r="P171" s="5">
        <f>IF('Data Source'!B171="","",'Data Source'!R171)</f>
        <v/>
      </c>
      <c r="Q171" s="3">
        <f>IF('Data Source'!B171="","",'Data Source'!S171)</f>
        <v/>
      </c>
    </row>
    <row r="172">
      <c r="A172" s="3">
        <f>IF('Data Source'!B172="","",'Data Source'!A172)</f>
        <v/>
      </c>
      <c r="B172">
        <f>IF('Data Source'!B172="","",'Data Source'!B172)</f>
        <v/>
      </c>
      <c r="C172" s="9">
        <f>IF('Data Source'!B172="","",'Data Source'!U172)</f>
        <v/>
      </c>
      <c r="D172" s="9">
        <f>IF('Data Source'!B172="","",'Data Source'!V172)</f>
        <v/>
      </c>
      <c r="E172" s="9">
        <f>IF('Data Source'!B172="","",'Data Source'!W172)</f>
        <v/>
      </c>
      <c r="F172" s="9">
        <f>IF('Data Source'!B172="","",'Data Source'!X172)</f>
        <v/>
      </c>
      <c r="G172" s="9">
        <f>IF('Data Source'!B172="","",'Data Source'!Y172)</f>
        <v/>
      </c>
      <c r="H172" s="9">
        <f>IF('Data Source'!B172="","",'Data Source'!Z172)</f>
        <v/>
      </c>
      <c r="I172" s="9">
        <f>IF('Data Source'!B172="","",'Data Source'!AA172)</f>
        <v/>
      </c>
      <c r="J172" s="9">
        <f>IF('Data Source'!B172="","",'Data Source'!AB172)</f>
        <v/>
      </c>
      <c r="K172" s="9">
        <f>IF('Data Source'!B172="","",'Data Source'!AC172)</f>
        <v/>
      </c>
      <c r="L172" s="9">
        <f>IF('Data Source'!B172="","",'Data Source'!AD172)</f>
        <v/>
      </c>
      <c r="M172" s="9">
        <f>IF('Data Source'!B172="","",'Data Source'!AE172)</f>
        <v/>
      </c>
      <c r="N172" s="9">
        <f>IF('Data Source'!B172="","",'Data Source'!AF172)</f>
        <v/>
      </c>
      <c r="O172" s="9">
        <f>IF('Data Source'!B172="","",'Data Source'!AG172)</f>
        <v/>
      </c>
      <c r="P172" s="5">
        <f>IF('Data Source'!B172="","",'Data Source'!R172)</f>
        <v/>
      </c>
      <c r="Q172" s="3">
        <f>IF('Data Source'!B172="","",'Data Source'!S172)</f>
        <v/>
      </c>
    </row>
    <row r="173">
      <c r="A173" s="3">
        <f>IF('Data Source'!B173="","",'Data Source'!A173)</f>
        <v/>
      </c>
      <c r="B173">
        <f>IF('Data Source'!B173="","",'Data Source'!B173)</f>
        <v/>
      </c>
      <c r="C173" s="9">
        <f>IF('Data Source'!B173="","",'Data Source'!U173)</f>
        <v/>
      </c>
      <c r="D173" s="9">
        <f>IF('Data Source'!B173="","",'Data Source'!V173)</f>
        <v/>
      </c>
      <c r="E173" s="9">
        <f>IF('Data Source'!B173="","",'Data Source'!W173)</f>
        <v/>
      </c>
      <c r="F173" s="9">
        <f>IF('Data Source'!B173="","",'Data Source'!X173)</f>
        <v/>
      </c>
      <c r="G173" s="9">
        <f>IF('Data Source'!B173="","",'Data Source'!Y173)</f>
        <v/>
      </c>
      <c r="H173" s="9">
        <f>IF('Data Source'!B173="","",'Data Source'!Z173)</f>
        <v/>
      </c>
      <c r="I173" s="9">
        <f>IF('Data Source'!B173="","",'Data Source'!AA173)</f>
        <v/>
      </c>
      <c r="J173" s="9">
        <f>IF('Data Source'!B173="","",'Data Source'!AB173)</f>
        <v/>
      </c>
      <c r="K173" s="9">
        <f>IF('Data Source'!B173="","",'Data Source'!AC173)</f>
        <v/>
      </c>
      <c r="L173" s="9">
        <f>IF('Data Source'!B173="","",'Data Source'!AD173)</f>
        <v/>
      </c>
      <c r="M173" s="9">
        <f>IF('Data Source'!B173="","",'Data Source'!AE173)</f>
        <v/>
      </c>
      <c r="N173" s="9">
        <f>IF('Data Source'!B173="","",'Data Source'!AF173)</f>
        <v/>
      </c>
      <c r="O173" s="9">
        <f>IF('Data Source'!B173="","",'Data Source'!AG173)</f>
        <v/>
      </c>
      <c r="P173" s="5">
        <f>IF('Data Source'!B173="","",'Data Source'!R173)</f>
        <v/>
      </c>
      <c r="Q173" s="3">
        <f>IF('Data Source'!B173="","",'Data Source'!S173)</f>
        <v/>
      </c>
    </row>
    <row r="174">
      <c r="A174" s="3">
        <f>IF('Data Source'!B174="","",'Data Source'!A174)</f>
        <v/>
      </c>
      <c r="B174">
        <f>IF('Data Source'!B174="","",'Data Source'!B174)</f>
        <v/>
      </c>
      <c r="C174" s="9">
        <f>IF('Data Source'!B174="","",'Data Source'!U174)</f>
        <v/>
      </c>
      <c r="D174" s="9">
        <f>IF('Data Source'!B174="","",'Data Source'!V174)</f>
        <v/>
      </c>
      <c r="E174" s="9">
        <f>IF('Data Source'!B174="","",'Data Source'!W174)</f>
        <v/>
      </c>
      <c r="F174" s="9">
        <f>IF('Data Source'!B174="","",'Data Source'!X174)</f>
        <v/>
      </c>
      <c r="G174" s="9">
        <f>IF('Data Source'!B174="","",'Data Source'!Y174)</f>
        <v/>
      </c>
      <c r="H174" s="9">
        <f>IF('Data Source'!B174="","",'Data Source'!Z174)</f>
        <v/>
      </c>
      <c r="I174" s="9">
        <f>IF('Data Source'!B174="","",'Data Source'!AA174)</f>
        <v/>
      </c>
      <c r="J174" s="9">
        <f>IF('Data Source'!B174="","",'Data Source'!AB174)</f>
        <v/>
      </c>
      <c r="K174" s="9">
        <f>IF('Data Source'!B174="","",'Data Source'!AC174)</f>
        <v/>
      </c>
      <c r="L174" s="9">
        <f>IF('Data Source'!B174="","",'Data Source'!AD174)</f>
        <v/>
      </c>
      <c r="M174" s="9">
        <f>IF('Data Source'!B174="","",'Data Source'!AE174)</f>
        <v/>
      </c>
      <c r="N174" s="9">
        <f>IF('Data Source'!B174="","",'Data Source'!AF174)</f>
        <v/>
      </c>
      <c r="O174" s="9">
        <f>IF('Data Source'!B174="","",'Data Source'!AG174)</f>
        <v/>
      </c>
      <c r="P174" s="5">
        <f>IF('Data Source'!B174="","",'Data Source'!R174)</f>
        <v/>
      </c>
      <c r="Q174" s="3">
        <f>IF('Data Source'!B174="","",'Data Source'!S174)</f>
        <v/>
      </c>
    </row>
    <row r="175">
      <c r="A175" s="3">
        <f>IF('Data Source'!B175="","",'Data Source'!A175)</f>
        <v/>
      </c>
      <c r="B175">
        <f>IF('Data Source'!B175="","",'Data Source'!B175)</f>
        <v/>
      </c>
      <c r="C175" s="9">
        <f>IF('Data Source'!B175="","",'Data Source'!U175)</f>
        <v/>
      </c>
      <c r="D175" s="9">
        <f>IF('Data Source'!B175="","",'Data Source'!V175)</f>
        <v/>
      </c>
      <c r="E175" s="9">
        <f>IF('Data Source'!B175="","",'Data Source'!W175)</f>
        <v/>
      </c>
      <c r="F175" s="9">
        <f>IF('Data Source'!B175="","",'Data Source'!X175)</f>
        <v/>
      </c>
      <c r="G175" s="9">
        <f>IF('Data Source'!B175="","",'Data Source'!Y175)</f>
        <v/>
      </c>
      <c r="H175" s="9">
        <f>IF('Data Source'!B175="","",'Data Source'!Z175)</f>
        <v/>
      </c>
      <c r="I175" s="9">
        <f>IF('Data Source'!B175="","",'Data Source'!AA175)</f>
        <v/>
      </c>
      <c r="J175" s="9">
        <f>IF('Data Source'!B175="","",'Data Source'!AB175)</f>
        <v/>
      </c>
      <c r="K175" s="9">
        <f>IF('Data Source'!B175="","",'Data Source'!AC175)</f>
        <v/>
      </c>
      <c r="L175" s="9">
        <f>IF('Data Source'!B175="","",'Data Source'!AD175)</f>
        <v/>
      </c>
      <c r="M175" s="9">
        <f>IF('Data Source'!B175="","",'Data Source'!AE175)</f>
        <v/>
      </c>
      <c r="N175" s="9">
        <f>IF('Data Source'!B175="","",'Data Source'!AF175)</f>
        <v/>
      </c>
      <c r="O175" s="9">
        <f>IF('Data Source'!B175="","",'Data Source'!AG175)</f>
        <v/>
      </c>
      <c r="P175" s="5">
        <f>IF('Data Source'!B175="","",'Data Source'!R175)</f>
        <v/>
      </c>
      <c r="Q175" s="3">
        <f>IF('Data Source'!B175="","",'Data Source'!S175)</f>
        <v/>
      </c>
    </row>
    <row r="176">
      <c r="A176" s="3">
        <f>IF('Data Source'!B176="","",'Data Source'!A176)</f>
        <v/>
      </c>
      <c r="B176">
        <f>IF('Data Source'!B176="","",'Data Source'!B176)</f>
        <v/>
      </c>
      <c r="C176" s="9">
        <f>IF('Data Source'!B176="","",'Data Source'!U176)</f>
        <v/>
      </c>
      <c r="D176" s="9">
        <f>IF('Data Source'!B176="","",'Data Source'!V176)</f>
        <v/>
      </c>
      <c r="E176" s="9">
        <f>IF('Data Source'!B176="","",'Data Source'!W176)</f>
        <v/>
      </c>
      <c r="F176" s="9">
        <f>IF('Data Source'!B176="","",'Data Source'!X176)</f>
        <v/>
      </c>
      <c r="G176" s="9">
        <f>IF('Data Source'!B176="","",'Data Source'!Y176)</f>
        <v/>
      </c>
      <c r="H176" s="9">
        <f>IF('Data Source'!B176="","",'Data Source'!Z176)</f>
        <v/>
      </c>
      <c r="I176" s="9">
        <f>IF('Data Source'!B176="","",'Data Source'!AA176)</f>
        <v/>
      </c>
      <c r="J176" s="9">
        <f>IF('Data Source'!B176="","",'Data Source'!AB176)</f>
        <v/>
      </c>
      <c r="K176" s="9">
        <f>IF('Data Source'!B176="","",'Data Source'!AC176)</f>
        <v/>
      </c>
      <c r="L176" s="9">
        <f>IF('Data Source'!B176="","",'Data Source'!AD176)</f>
        <v/>
      </c>
      <c r="M176" s="9">
        <f>IF('Data Source'!B176="","",'Data Source'!AE176)</f>
        <v/>
      </c>
      <c r="N176" s="9">
        <f>IF('Data Source'!B176="","",'Data Source'!AF176)</f>
        <v/>
      </c>
      <c r="O176" s="9">
        <f>IF('Data Source'!B176="","",'Data Source'!AG176)</f>
        <v/>
      </c>
      <c r="P176" s="5">
        <f>IF('Data Source'!B176="","",'Data Source'!R176)</f>
        <v/>
      </c>
      <c r="Q176" s="3">
        <f>IF('Data Source'!B176="","",'Data Source'!S176)</f>
        <v/>
      </c>
    </row>
    <row r="177">
      <c r="A177" s="3">
        <f>IF('Data Source'!B177="","",'Data Source'!A177)</f>
        <v/>
      </c>
      <c r="B177">
        <f>IF('Data Source'!B177="","",'Data Source'!B177)</f>
        <v/>
      </c>
      <c r="C177" s="9">
        <f>IF('Data Source'!B177="","",'Data Source'!U177)</f>
        <v/>
      </c>
      <c r="D177" s="9">
        <f>IF('Data Source'!B177="","",'Data Source'!V177)</f>
        <v/>
      </c>
      <c r="E177" s="9">
        <f>IF('Data Source'!B177="","",'Data Source'!W177)</f>
        <v/>
      </c>
      <c r="F177" s="9">
        <f>IF('Data Source'!B177="","",'Data Source'!X177)</f>
        <v/>
      </c>
      <c r="G177" s="9">
        <f>IF('Data Source'!B177="","",'Data Source'!Y177)</f>
        <v/>
      </c>
      <c r="H177" s="9">
        <f>IF('Data Source'!B177="","",'Data Source'!Z177)</f>
        <v/>
      </c>
      <c r="I177" s="9">
        <f>IF('Data Source'!B177="","",'Data Source'!AA177)</f>
        <v/>
      </c>
      <c r="J177" s="9">
        <f>IF('Data Source'!B177="","",'Data Source'!AB177)</f>
        <v/>
      </c>
      <c r="K177" s="9">
        <f>IF('Data Source'!B177="","",'Data Source'!AC177)</f>
        <v/>
      </c>
      <c r="L177" s="9">
        <f>IF('Data Source'!B177="","",'Data Source'!AD177)</f>
        <v/>
      </c>
      <c r="M177" s="9">
        <f>IF('Data Source'!B177="","",'Data Source'!AE177)</f>
        <v/>
      </c>
      <c r="N177" s="9">
        <f>IF('Data Source'!B177="","",'Data Source'!AF177)</f>
        <v/>
      </c>
      <c r="O177" s="9">
        <f>IF('Data Source'!B177="","",'Data Source'!AG177)</f>
        <v/>
      </c>
      <c r="P177" s="5">
        <f>IF('Data Source'!B177="","",'Data Source'!R177)</f>
        <v/>
      </c>
      <c r="Q177" s="3">
        <f>IF('Data Source'!B177="","",'Data Source'!S177)</f>
        <v/>
      </c>
    </row>
    <row r="178">
      <c r="A178" s="3">
        <f>IF('Data Source'!B178="","",'Data Source'!A178)</f>
        <v/>
      </c>
      <c r="B178">
        <f>IF('Data Source'!B178="","",'Data Source'!B178)</f>
        <v/>
      </c>
      <c r="C178" s="9">
        <f>IF('Data Source'!B178="","",'Data Source'!U178)</f>
        <v/>
      </c>
      <c r="D178" s="9">
        <f>IF('Data Source'!B178="","",'Data Source'!V178)</f>
        <v/>
      </c>
      <c r="E178" s="9">
        <f>IF('Data Source'!B178="","",'Data Source'!W178)</f>
        <v/>
      </c>
      <c r="F178" s="9">
        <f>IF('Data Source'!B178="","",'Data Source'!X178)</f>
        <v/>
      </c>
      <c r="G178" s="9">
        <f>IF('Data Source'!B178="","",'Data Source'!Y178)</f>
        <v/>
      </c>
      <c r="H178" s="9">
        <f>IF('Data Source'!B178="","",'Data Source'!Z178)</f>
        <v/>
      </c>
      <c r="I178" s="9">
        <f>IF('Data Source'!B178="","",'Data Source'!AA178)</f>
        <v/>
      </c>
      <c r="J178" s="9">
        <f>IF('Data Source'!B178="","",'Data Source'!AB178)</f>
        <v/>
      </c>
      <c r="K178" s="9">
        <f>IF('Data Source'!B178="","",'Data Source'!AC178)</f>
        <v/>
      </c>
      <c r="L178" s="9">
        <f>IF('Data Source'!B178="","",'Data Source'!AD178)</f>
        <v/>
      </c>
      <c r="M178" s="9">
        <f>IF('Data Source'!B178="","",'Data Source'!AE178)</f>
        <v/>
      </c>
      <c r="N178" s="9">
        <f>IF('Data Source'!B178="","",'Data Source'!AF178)</f>
        <v/>
      </c>
      <c r="O178" s="9">
        <f>IF('Data Source'!B178="","",'Data Source'!AG178)</f>
        <v/>
      </c>
      <c r="P178" s="5">
        <f>IF('Data Source'!B178="","",'Data Source'!R178)</f>
        <v/>
      </c>
      <c r="Q178" s="3">
        <f>IF('Data Source'!B178="","",'Data Source'!S178)</f>
        <v/>
      </c>
    </row>
    <row r="179">
      <c r="A179" s="3">
        <f>IF('Data Source'!B179="","",'Data Source'!A179)</f>
        <v/>
      </c>
      <c r="B179">
        <f>IF('Data Source'!B179="","",'Data Source'!B179)</f>
        <v/>
      </c>
      <c r="C179" s="9">
        <f>IF('Data Source'!B179="","",'Data Source'!U179)</f>
        <v/>
      </c>
      <c r="D179" s="9">
        <f>IF('Data Source'!B179="","",'Data Source'!V179)</f>
        <v/>
      </c>
      <c r="E179" s="9">
        <f>IF('Data Source'!B179="","",'Data Source'!W179)</f>
        <v/>
      </c>
      <c r="F179" s="9">
        <f>IF('Data Source'!B179="","",'Data Source'!X179)</f>
        <v/>
      </c>
      <c r="G179" s="9">
        <f>IF('Data Source'!B179="","",'Data Source'!Y179)</f>
        <v/>
      </c>
      <c r="H179" s="9">
        <f>IF('Data Source'!B179="","",'Data Source'!Z179)</f>
        <v/>
      </c>
      <c r="I179" s="9">
        <f>IF('Data Source'!B179="","",'Data Source'!AA179)</f>
        <v/>
      </c>
      <c r="J179" s="9">
        <f>IF('Data Source'!B179="","",'Data Source'!AB179)</f>
        <v/>
      </c>
      <c r="K179" s="9">
        <f>IF('Data Source'!B179="","",'Data Source'!AC179)</f>
        <v/>
      </c>
      <c r="L179" s="9">
        <f>IF('Data Source'!B179="","",'Data Source'!AD179)</f>
        <v/>
      </c>
      <c r="M179" s="9">
        <f>IF('Data Source'!B179="","",'Data Source'!AE179)</f>
        <v/>
      </c>
      <c r="N179" s="9">
        <f>IF('Data Source'!B179="","",'Data Source'!AF179)</f>
        <v/>
      </c>
      <c r="O179" s="9">
        <f>IF('Data Source'!B179="","",'Data Source'!AG179)</f>
        <v/>
      </c>
      <c r="P179" s="5">
        <f>IF('Data Source'!B179="","",'Data Source'!R179)</f>
        <v/>
      </c>
      <c r="Q179" s="3">
        <f>IF('Data Source'!B179="","",'Data Source'!S179)</f>
        <v/>
      </c>
    </row>
    <row r="180">
      <c r="A180" s="3">
        <f>IF('Data Source'!B180="","",'Data Source'!A180)</f>
        <v/>
      </c>
      <c r="B180">
        <f>IF('Data Source'!B180="","",'Data Source'!B180)</f>
        <v/>
      </c>
      <c r="C180" s="9">
        <f>IF('Data Source'!B180="","",'Data Source'!U180)</f>
        <v/>
      </c>
      <c r="D180" s="9">
        <f>IF('Data Source'!B180="","",'Data Source'!V180)</f>
        <v/>
      </c>
      <c r="E180" s="9">
        <f>IF('Data Source'!B180="","",'Data Source'!W180)</f>
        <v/>
      </c>
      <c r="F180" s="9">
        <f>IF('Data Source'!B180="","",'Data Source'!X180)</f>
        <v/>
      </c>
      <c r="G180" s="9">
        <f>IF('Data Source'!B180="","",'Data Source'!Y180)</f>
        <v/>
      </c>
      <c r="H180" s="9">
        <f>IF('Data Source'!B180="","",'Data Source'!Z180)</f>
        <v/>
      </c>
      <c r="I180" s="9">
        <f>IF('Data Source'!B180="","",'Data Source'!AA180)</f>
        <v/>
      </c>
      <c r="J180" s="9">
        <f>IF('Data Source'!B180="","",'Data Source'!AB180)</f>
        <v/>
      </c>
      <c r="K180" s="9">
        <f>IF('Data Source'!B180="","",'Data Source'!AC180)</f>
        <v/>
      </c>
      <c r="L180" s="9">
        <f>IF('Data Source'!B180="","",'Data Source'!AD180)</f>
        <v/>
      </c>
      <c r="M180" s="9">
        <f>IF('Data Source'!B180="","",'Data Source'!AE180)</f>
        <v/>
      </c>
      <c r="N180" s="9">
        <f>IF('Data Source'!B180="","",'Data Source'!AF180)</f>
        <v/>
      </c>
      <c r="O180" s="9">
        <f>IF('Data Source'!B180="","",'Data Source'!AG180)</f>
        <v/>
      </c>
      <c r="P180" s="5">
        <f>IF('Data Source'!B180="","",'Data Source'!R180)</f>
        <v/>
      </c>
      <c r="Q180" s="3">
        <f>IF('Data Source'!B180="","",'Data Source'!S180)</f>
        <v/>
      </c>
    </row>
    <row r="181">
      <c r="A181" s="3">
        <f>IF('Data Source'!B181="","",'Data Source'!A181)</f>
        <v/>
      </c>
      <c r="B181">
        <f>IF('Data Source'!B181="","",'Data Source'!B181)</f>
        <v/>
      </c>
      <c r="C181" s="9">
        <f>IF('Data Source'!B181="","",'Data Source'!U181)</f>
        <v/>
      </c>
      <c r="D181" s="9">
        <f>IF('Data Source'!B181="","",'Data Source'!V181)</f>
        <v/>
      </c>
      <c r="E181" s="9">
        <f>IF('Data Source'!B181="","",'Data Source'!W181)</f>
        <v/>
      </c>
      <c r="F181" s="9">
        <f>IF('Data Source'!B181="","",'Data Source'!X181)</f>
        <v/>
      </c>
      <c r="G181" s="9">
        <f>IF('Data Source'!B181="","",'Data Source'!Y181)</f>
        <v/>
      </c>
      <c r="H181" s="9">
        <f>IF('Data Source'!B181="","",'Data Source'!Z181)</f>
        <v/>
      </c>
      <c r="I181" s="9">
        <f>IF('Data Source'!B181="","",'Data Source'!AA181)</f>
        <v/>
      </c>
      <c r="J181" s="9">
        <f>IF('Data Source'!B181="","",'Data Source'!AB181)</f>
        <v/>
      </c>
      <c r="K181" s="9">
        <f>IF('Data Source'!B181="","",'Data Source'!AC181)</f>
        <v/>
      </c>
      <c r="L181" s="9">
        <f>IF('Data Source'!B181="","",'Data Source'!AD181)</f>
        <v/>
      </c>
      <c r="M181" s="9">
        <f>IF('Data Source'!B181="","",'Data Source'!AE181)</f>
        <v/>
      </c>
      <c r="N181" s="9">
        <f>IF('Data Source'!B181="","",'Data Source'!AF181)</f>
        <v/>
      </c>
      <c r="O181" s="9">
        <f>IF('Data Source'!B181="","",'Data Source'!AG181)</f>
        <v/>
      </c>
      <c r="P181" s="5">
        <f>IF('Data Source'!B181="","",'Data Source'!R181)</f>
        <v/>
      </c>
      <c r="Q181" s="3">
        <f>IF('Data Source'!B181="","",'Data Source'!S181)</f>
        <v/>
      </c>
    </row>
    <row r="182">
      <c r="A182" s="3">
        <f>IF('Data Source'!B182="","",'Data Source'!A182)</f>
        <v/>
      </c>
      <c r="B182">
        <f>IF('Data Source'!B182="","",'Data Source'!B182)</f>
        <v/>
      </c>
      <c r="C182" s="9">
        <f>IF('Data Source'!B182="","",'Data Source'!U182)</f>
        <v/>
      </c>
      <c r="D182" s="9">
        <f>IF('Data Source'!B182="","",'Data Source'!V182)</f>
        <v/>
      </c>
      <c r="E182" s="9">
        <f>IF('Data Source'!B182="","",'Data Source'!W182)</f>
        <v/>
      </c>
      <c r="F182" s="9">
        <f>IF('Data Source'!B182="","",'Data Source'!X182)</f>
        <v/>
      </c>
      <c r="G182" s="9">
        <f>IF('Data Source'!B182="","",'Data Source'!Y182)</f>
        <v/>
      </c>
      <c r="H182" s="9">
        <f>IF('Data Source'!B182="","",'Data Source'!Z182)</f>
        <v/>
      </c>
      <c r="I182" s="9">
        <f>IF('Data Source'!B182="","",'Data Source'!AA182)</f>
        <v/>
      </c>
      <c r="J182" s="9">
        <f>IF('Data Source'!B182="","",'Data Source'!AB182)</f>
        <v/>
      </c>
      <c r="K182" s="9">
        <f>IF('Data Source'!B182="","",'Data Source'!AC182)</f>
        <v/>
      </c>
      <c r="L182" s="9">
        <f>IF('Data Source'!B182="","",'Data Source'!AD182)</f>
        <v/>
      </c>
      <c r="M182" s="9">
        <f>IF('Data Source'!B182="","",'Data Source'!AE182)</f>
        <v/>
      </c>
      <c r="N182" s="9">
        <f>IF('Data Source'!B182="","",'Data Source'!AF182)</f>
        <v/>
      </c>
      <c r="O182" s="9">
        <f>IF('Data Source'!B182="","",'Data Source'!AG182)</f>
        <v/>
      </c>
      <c r="P182" s="5">
        <f>IF('Data Source'!B182="","",'Data Source'!R182)</f>
        <v/>
      </c>
      <c r="Q182" s="3">
        <f>IF('Data Source'!B182="","",'Data Source'!S182)</f>
        <v/>
      </c>
    </row>
    <row r="183">
      <c r="A183" s="3">
        <f>IF('Data Source'!B183="","",'Data Source'!A183)</f>
        <v/>
      </c>
      <c r="B183">
        <f>IF('Data Source'!B183="","",'Data Source'!B183)</f>
        <v/>
      </c>
      <c r="C183" s="9">
        <f>IF('Data Source'!B183="","",'Data Source'!U183)</f>
        <v/>
      </c>
      <c r="D183" s="9">
        <f>IF('Data Source'!B183="","",'Data Source'!V183)</f>
        <v/>
      </c>
      <c r="E183" s="9">
        <f>IF('Data Source'!B183="","",'Data Source'!W183)</f>
        <v/>
      </c>
      <c r="F183" s="9">
        <f>IF('Data Source'!B183="","",'Data Source'!X183)</f>
        <v/>
      </c>
      <c r="G183" s="9">
        <f>IF('Data Source'!B183="","",'Data Source'!Y183)</f>
        <v/>
      </c>
      <c r="H183" s="9">
        <f>IF('Data Source'!B183="","",'Data Source'!Z183)</f>
        <v/>
      </c>
      <c r="I183" s="9">
        <f>IF('Data Source'!B183="","",'Data Source'!AA183)</f>
        <v/>
      </c>
      <c r="J183" s="9">
        <f>IF('Data Source'!B183="","",'Data Source'!AB183)</f>
        <v/>
      </c>
      <c r="K183" s="9">
        <f>IF('Data Source'!B183="","",'Data Source'!AC183)</f>
        <v/>
      </c>
      <c r="L183" s="9">
        <f>IF('Data Source'!B183="","",'Data Source'!AD183)</f>
        <v/>
      </c>
      <c r="M183" s="9">
        <f>IF('Data Source'!B183="","",'Data Source'!AE183)</f>
        <v/>
      </c>
      <c r="N183" s="9">
        <f>IF('Data Source'!B183="","",'Data Source'!AF183)</f>
        <v/>
      </c>
      <c r="O183" s="9">
        <f>IF('Data Source'!B183="","",'Data Source'!AG183)</f>
        <v/>
      </c>
      <c r="P183" s="5">
        <f>IF('Data Source'!B183="","",'Data Source'!R183)</f>
        <v/>
      </c>
      <c r="Q183" s="3">
        <f>IF('Data Source'!B183="","",'Data Source'!S183)</f>
        <v/>
      </c>
    </row>
    <row r="184">
      <c r="A184" s="3">
        <f>IF('Data Source'!B184="","",'Data Source'!A184)</f>
        <v/>
      </c>
      <c r="B184">
        <f>IF('Data Source'!B184="","",'Data Source'!B184)</f>
        <v/>
      </c>
      <c r="C184" s="9">
        <f>IF('Data Source'!B184="","",'Data Source'!U184)</f>
        <v/>
      </c>
      <c r="D184" s="9">
        <f>IF('Data Source'!B184="","",'Data Source'!V184)</f>
        <v/>
      </c>
      <c r="E184" s="9">
        <f>IF('Data Source'!B184="","",'Data Source'!W184)</f>
        <v/>
      </c>
      <c r="F184" s="9">
        <f>IF('Data Source'!B184="","",'Data Source'!X184)</f>
        <v/>
      </c>
      <c r="G184" s="9">
        <f>IF('Data Source'!B184="","",'Data Source'!Y184)</f>
        <v/>
      </c>
      <c r="H184" s="9">
        <f>IF('Data Source'!B184="","",'Data Source'!Z184)</f>
        <v/>
      </c>
      <c r="I184" s="9">
        <f>IF('Data Source'!B184="","",'Data Source'!AA184)</f>
        <v/>
      </c>
      <c r="J184" s="9">
        <f>IF('Data Source'!B184="","",'Data Source'!AB184)</f>
        <v/>
      </c>
      <c r="K184" s="9">
        <f>IF('Data Source'!B184="","",'Data Source'!AC184)</f>
        <v/>
      </c>
      <c r="L184" s="9">
        <f>IF('Data Source'!B184="","",'Data Source'!AD184)</f>
        <v/>
      </c>
      <c r="M184" s="9">
        <f>IF('Data Source'!B184="","",'Data Source'!AE184)</f>
        <v/>
      </c>
      <c r="N184" s="9">
        <f>IF('Data Source'!B184="","",'Data Source'!AF184)</f>
        <v/>
      </c>
      <c r="O184" s="9">
        <f>IF('Data Source'!B184="","",'Data Source'!AG184)</f>
        <v/>
      </c>
      <c r="P184" s="5">
        <f>IF('Data Source'!B184="","",'Data Source'!R184)</f>
        <v/>
      </c>
      <c r="Q184" s="3">
        <f>IF('Data Source'!B184="","",'Data Source'!S184)</f>
        <v/>
      </c>
    </row>
    <row r="185">
      <c r="A185" s="3">
        <f>IF('Data Source'!B185="","",'Data Source'!A185)</f>
        <v/>
      </c>
      <c r="B185">
        <f>IF('Data Source'!B185="","",'Data Source'!B185)</f>
        <v/>
      </c>
      <c r="C185" s="9">
        <f>IF('Data Source'!B185="","",'Data Source'!U185)</f>
        <v/>
      </c>
      <c r="D185" s="9">
        <f>IF('Data Source'!B185="","",'Data Source'!V185)</f>
        <v/>
      </c>
      <c r="E185" s="9">
        <f>IF('Data Source'!B185="","",'Data Source'!W185)</f>
        <v/>
      </c>
      <c r="F185" s="9">
        <f>IF('Data Source'!B185="","",'Data Source'!X185)</f>
        <v/>
      </c>
      <c r="G185" s="9">
        <f>IF('Data Source'!B185="","",'Data Source'!Y185)</f>
        <v/>
      </c>
      <c r="H185" s="9">
        <f>IF('Data Source'!B185="","",'Data Source'!Z185)</f>
        <v/>
      </c>
      <c r="I185" s="9">
        <f>IF('Data Source'!B185="","",'Data Source'!AA185)</f>
        <v/>
      </c>
      <c r="J185" s="9">
        <f>IF('Data Source'!B185="","",'Data Source'!AB185)</f>
        <v/>
      </c>
      <c r="K185" s="9">
        <f>IF('Data Source'!B185="","",'Data Source'!AC185)</f>
        <v/>
      </c>
      <c r="L185" s="9">
        <f>IF('Data Source'!B185="","",'Data Source'!AD185)</f>
        <v/>
      </c>
      <c r="M185" s="9">
        <f>IF('Data Source'!B185="","",'Data Source'!AE185)</f>
        <v/>
      </c>
      <c r="N185" s="9">
        <f>IF('Data Source'!B185="","",'Data Source'!AF185)</f>
        <v/>
      </c>
      <c r="O185" s="9">
        <f>IF('Data Source'!B185="","",'Data Source'!AG185)</f>
        <v/>
      </c>
      <c r="P185" s="5">
        <f>IF('Data Source'!B185="","",'Data Source'!R185)</f>
        <v/>
      </c>
      <c r="Q185" s="3">
        <f>IF('Data Source'!B185="","",'Data Source'!S185)</f>
        <v/>
      </c>
    </row>
    <row r="186">
      <c r="A186" s="3">
        <f>IF('Data Source'!B186="","",'Data Source'!A186)</f>
        <v/>
      </c>
      <c r="B186">
        <f>IF('Data Source'!B186="","",'Data Source'!B186)</f>
        <v/>
      </c>
      <c r="C186" s="9">
        <f>IF('Data Source'!B186="","",'Data Source'!U186)</f>
        <v/>
      </c>
      <c r="D186" s="9">
        <f>IF('Data Source'!B186="","",'Data Source'!V186)</f>
        <v/>
      </c>
      <c r="E186" s="9">
        <f>IF('Data Source'!B186="","",'Data Source'!W186)</f>
        <v/>
      </c>
      <c r="F186" s="9">
        <f>IF('Data Source'!B186="","",'Data Source'!X186)</f>
        <v/>
      </c>
      <c r="G186" s="9">
        <f>IF('Data Source'!B186="","",'Data Source'!Y186)</f>
        <v/>
      </c>
      <c r="H186" s="9">
        <f>IF('Data Source'!B186="","",'Data Source'!Z186)</f>
        <v/>
      </c>
      <c r="I186" s="9">
        <f>IF('Data Source'!B186="","",'Data Source'!AA186)</f>
        <v/>
      </c>
      <c r="J186" s="9">
        <f>IF('Data Source'!B186="","",'Data Source'!AB186)</f>
        <v/>
      </c>
      <c r="K186" s="9">
        <f>IF('Data Source'!B186="","",'Data Source'!AC186)</f>
        <v/>
      </c>
      <c r="L186" s="9">
        <f>IF('Data Source'!B186="","",'Data Source'!AD186)</f>
        <v/>
      </c>
      <c r="M186" s="9">
        <f>IF('Data Source'!B186="","",'Data Source'!AE186)</f>
        <v/>
      </c>
      <c r="N186" s="9">
        <f>IF('Data Source'!B186="","",'Data Source'!AF186)</f>
        <v/>
      </c>
      <c r="O186" s="9">
        <f>IF('Data Source'!B186="","",'Data Source'!AG186)</f>
        <v/>
      </c>
      <c r="P186" s="5">
        <f>IF('Data Source'!B186="","",'Data Source'!R186)</f>
        <v/>
      </c>
      <c r="Q186" s="3">
        <f>IF('Data Source'!B186="","",'Data Source'!S186)</f>
        <v/>
      </c>
    </row>
    <row r="187">
      <c r="A187" s="3">
        <f>IF('Data Source'!B187="","",'Data Source'!A187)</f>
        <v/>
      </c>
      <c r="B187">
        <f>IF('Data Source'!B187="","",'Data Source'!B187)</f>
        <v/>
      </c>
      <c r="C187" s="9">
        <f>IF('Data Source'!B187="","",'Data Source'!U187)</f>
        <v/>
      </c>
      <c r="D187" s="9">
        <f>IF('Data Source'!B187="","",'Data Source'!V187)</f>
        <v/>
      </c>
      <c r="E187" s="9">
        <f>IF('Data Source'!B187="","",'Data Source'!W187)</f>
        <v/>
      </c>
      <c r="F187" s="9">
        <f>IF('Data Source'!B187="","",'Data Source'!X187)</f>
        <v/>
      </c>
      <c r="G187" s="9">
        <f>IF('Data Source'!B187="","",'Data Source'!Y187)</f>
        <v/>
      </c>
      <c r="H187" s="9">
        <f>IF('Data Source'!B187="","",'Data Source'!Z187)</f>
        <v/>
      </c>
      <c r="I187" s="9">
        <f>IF('Data Source'!B187="","",'Data Source'!AA187)</f>
        <v/>
      </c>
      <c r="J187" s="9">
        <f>IF('Data Source'!B187="","",'Data Source'!AB187)</f>
        <v/>
      </c>
      <c r="K187" s="9">
        <f>IF('Data Source'!B187="","",'Data Source'!AC187)</f>
        <v/>
      </c>
      <c r="L187" s="9">
        <f>IF('Data Source'!B187="","",'Data Source'!AD187)</f>
        <v/>
      </c>
      <c r="M187" s="9">
        <f>IF('Data Source'!B187="","",'Data Source'!AE187)</f>
        <v/>
      </c>
      <c r="N187" s="9">
        <f>IF('Data Source'!B187="","",'Data Source'!AF187)</f>
        <v/>
      </c>
      <c r="O187" s="9">
        <f>IF('Data Source'!B187="","",'Data Source'!AG187)</f>
        <v/>
      </c>
      <c r="P187" s="5">
        <f>IF('Data Source'!B187="","",'Data Source'!R187)</f>
        <v/>
      </c>
      <c r="Q187" s="3">
        <f>IF('Data Source'!B187="","",'Data Source'!S187)</f>
        <v/>
      </c>
    </row>
    <row r="188">
      <c r="A188" s="3">
        <f>IF('Data Source'!B188="","",'Data Source'!A188)</f>
        <v/>
      </c>
      <c r="B188">
        <f>IF('Data Source'!B188="","",'Data Source'!B188)</f>
        <v/>
      </c>
      <c r="C188" s="9">
        <f>IF('Data Source'!B188="","",'Data Source'!U188)</f>
        <v/>
      </c>
      <c r="D188" s="9">
        <f>IF('Data Source'!B188="","",'Data Source'!V188)</f>
        <v/>
      </c>
      <c r="E188" s="9">
        <f>IF('Data Source'!B188="","",'Data Source'!W188)</f>
        <v/>
      </c>
      <c r="F188" s="9">
        <f>IF('Data Source'!B188="","",'Data Source'!X188)</f>
        <v/>
      </c>
      <c r="G188" s="9">
        <f>IF('Data Source'!B188="","",'Data Source'!Y188)</f>
        <v/>
      </c>
      <c r="H188" s="9">
        <f>IF('Data Source'!B188="","",'Data Source'!Z188)</f>
        <v/>
      </c>
      <c r="I188" s="9">
        <f>IF('Data Source'!B188="","",'Data Source'!AA188)</f>
        <v/>
      </c>
      <c r="J188" s="9">
        <f>IF('Data Source'!B188="","",'Data Source'!AB188)</f>
        <v/>
      </c>
      <c r="K188" s="9">
        <f>IF('Data Source'!B188="","",'Data Source'!AC188)</f>
        <v/>
      </c>
      <c r="L188" s="9">
        <f>IF('Data Source'!B188="","",'Data Source'!AD188)</f>
        <v/>
      </c>
      <c r="M188" s="9">
        <f>IF('Data Source'!B188="","",'Data Source'!AE188)</f>
        <v/>
      </c>
      <c r="N188" s="9">
        <f>IF('Data Source'!B188="","",'Data Source'!AF188)</f>
        <v/>
      </c>
      <c r="O188" s="9">
        <f>IF('Data Source'!B188="","",'Data Source'!AG188)</f>
        <v/>
      </c>
      <c r="P188" s="5">
        <f>IF('Data Source'!B188="","",'Data Source'!R188)</f>
        <v/>
      </c>
      <c r="Q188" s="3">
        <f>IF('Data Source'!B188="","",'Data Source'!S188)</f>
        <v/>
      </c>
    </row>
    <row r="189">
      <c r="A189" s="3">
        <f>IF('Data Source'!B189="","",'Data Source'!A189)</f>
        <v/>
      </c>
      <c r="B189">
        <f>IF('Data Source'!B189="","",'Data Source'!B189)</f>
        <v/>
      </c>
      <c r="C189" s="9">
        <f>IF('Data Source'!B189="","",'Data Source'!U189)</f>
        <v/>
      </c>
      <c r="D189" s="9">
        <f>IF('Data Source'!B189="","",'Data Source'!V189)</f>
        <v/>
      </c>
      <c r="E189" s="9">
        <f>IF('Data Source'!B189="","",'Data Source'!W189)</f>
        <v/>
      </c>
      <c r="F189" s="9">
        <f>IF('Data Source'!B189="","",'Data Source'!X189)</f>
        <v/>
      </c>
      <c r="G189" s="9">
        <f>IF('Data Source'!B189="","",'Data Source'!Y189)</f>
        <v/>
      </c>
      <c r="H189" s="9">
        <f>IF('Data Source'!B189="","",'Data Source'!Z189)</f>
        <v/>
      </c>
      <c r="I189" s="9">
        <f>IF('Data Source'!B189="","",'Data Source'!AA189)</f>
        <v/>
      </c>
      <c r="J189" s="9">
        <f>IF('Data Source'!B189="","",'Data Source'!AB189)</f>
        <v/>
      </c>
      <c r="K189" s="9">
        <f>IF('Data Source'!B189="","",'Data Source'!AC189)</f>
        <v/>
      </c>
      <c r="L189" s="9">
        <f>IF('Data Source'!B189="","",'Data Source'!AD189)</f>
        <v/>
      </c>
      <c r="M189" s="9">
        <f>IF('Data Source'!B189="","",'Data Source'!AE189)</f>
        <v/>
      </c>
      <c r="N189" s="9">
        <f>IF('Data Source'!B189="","",'Data Source'!AF189)</f>
        <v/>
      </c>
      <c r="O189" s="9">
        <f>IF('Data Source'!B189="","",'Data Source'!AG189)</f>
        <v/>
      </c>
      <c r="P189" s="5">
        <f>IF('Data Source'!B189="","",'Data Source'!R189)</f>
        <v/>
      </c>
      <c r="Q189" s="3">
        <f>IF('Data Source'!B189="","",'Data Source'!S189)</f>
        <v/>
      </c>
    </row>
    <row r="190">
      <c r="A190" s="3">
        <f>IF('Data Source'!B190="","",'Data Source'!A190)</f>
        <v/>
      </c>
      <c r="B190">
        <f>IF('Data Source'!B190="","",'Data Source'!B190)</f>
        <v/>
      </c>
      <c r="C190" s="9">
        <f>IF('Data Source'!B190="","",'Data Source'!U190)</f>
        <v/>
      </c>
      <c r="D190" s="9">
        <f>IF('Data Source'!B190="","",'Data Source'!V190)</f>
        <v/>
      </c>
      <c r="E190" s="9">
        <f>IF('Data Source'!B190="","",'Data Source'!W190)</f>
        <v/>
      </c>
      <c r="F190" s="9">
        <f>IF('Data Source'!B190="","",'Data Source'!X190)</f>
        <v/>
      </c>
      <c r="G190" s="9">
        <f>IF('Data Source'!B190="","",'Data Source'!Y190)</f>
        <v/>
      </c>
      <c r="H190" s="9">
        <f>IF('Data Source'!B190="","",'Data Source'!Z190)</f>
        <v/>
      </c>
      <c r="I190" s="9">
        <f>IF('Data Source'!B190="","",'Data Source'!AA190)</f>
        <v/>
      </c>
      <c r="J190" s="9">
        <f>IF('Data Source'!B190="","",'Data Source'!AB190)</f>
        <v/>
      </c>
      <c r="K190" s="9">
        <f>IF('Data Source'!B190="","",'Data Source'!AC190)</f>
        <v/>
      </c>
      <c r="L190" s="9">
        <f>IF('Data Source'!B190="","",'Data Source'!AD190)</f>
        <v/>
      </c>
      <c r="M190" s="9">
        <f>IF('Data Source'!B190="","",'Data Source'!AE190)</f>
        <v/>
      </c>
      <c r="N190" s="9">
        <f>IF('Data Source'!B190="","",'Data Source'!AF190)</f>
        <v/>
      </c>
      <c r="O190" s="9">
        <f>IF('Data Source'!B190="","",'Data Source'!AG190)</f>
        <v/>
      </c>
      <c r="P190" s="5">
        <f>IF('Data Source'!B190="","",'Data Source'!R190)</f>
        <v/>
      </c>
      <c r="Q190" s="3">
        <f>IF('Data Source'!B190="","",'Data Source'!S190)</f>
        <v/>
      </c>
    </row>
    <row r="191">
      <c r="A191" s="3">
        <f>IF('Data Source'!B191="","",'Data Source'!A191)</f>
        <v/>
      </c>
      <c r="B191">
        <f>IF('Data Source'!B191="","",'Data Source'!B191)</f>
        <v/>
      </c>
      <c r="C191" s="9">
        <f>IF('Data Source'!B191="","",'Data Source'!U191)</f>
        <v/>
      </c>
      <c r="D191" s="9">
        <f>IF('Data Source'!B191="","",'Data Source'!V191)</f>
        <v/>
      </c>
      <c r="E191" s="9">
        <f>IF('Data Source'!B191="","",'Data Source'!W191)</f>
        <v/>
      </c>
      <c r="F191" s="9">
        <f>IF('Data Source'!B191="","",'Data Source'!X191)</f>
        <v/>
      </c>
      <c r="G191" s="9">
        <f>IF('Data Source'!B191="","",'Data Source'!Y191)</f>
        <v/>
      </c>
      <c r="H191" s="9">
        <f>IF('Data Source'!B191="","",'Data Source'!Z191)</f>
        <v/>
      </c>
      <c r="I191" s="9">
        <f>IF('Data Source'!B191="","",'Data Source'!AA191)</f>
        <v/>
      </c>
      <c r="J191" s="9">
        <f>IF('Data Source'!B191="","",'Data Source'!AB191)</f>
        <v/>
      </c>
      <c r="K191" s="9">
        <f>IF('Data Source'!B191="","",'Data Source'!AC191)</f>
        <v/>
      </c>
      <c r="L191" s="9">
        <f>IF('Data Source'!B191="","",'Data Source'!AD191)</f>
        <v/>
      </c>
      <c r="M191" s="9">
        <f>IF('Data Source'!B191="","",'Data Source'!AE191)</f>
        <v/>
      </c>
      <c r="N191" s="9">
        <f>IF('Data Source'!B191="","",'Data Source'!AF191)</f>
        <v/>
      </c>
      <c r="O191" s="9">
        <f>IF('Data Source'!B191="","",'Data Source'!AG191)</f>
        <v/>
      </c>
      <c r="P191" s="5">
        <f>IF('Data Source'!B191="","",'Data Source'!R191)</f>
        <v/>
      </c>
      <c r="Q191" s="3">
        <f>IF('Data Source'!B191="","",'Data Source'!S191)</f>
        <v/>
      </c>
    </row>
    <row r="192">
      <c r="A192" s="3">
        <f>IF('Data Source'!B192="","",'Data Source'!A192)</f>
        <v/>
      </c>
      <c r="B192">
        <f>IF('Data Source'!B192="","",'Data Source'!B192)</f>
        <v/>
      </c>
      <c r="C192" s="9">
        <f>IF('Data Source'!B192="","",'Data Source'!U192)</f>
        <v/>
      </c>
      <c r="D192" s="9">
        <f>IF('Data Source'!B192="","",'Data Source'!V192)</f>
        <v/>
      </c>
      <c r="E192" s="9">
        <f>IF('Data Source'!B192="","",'Data Source'!W192)</f>
        <v/>
      </c>
      <c r="F192" s="9">
        <f>IF('Data Source'!B192="","",'Data Source'!X192)</f>
        <v/>
      </c>
      <c r="G192" s="9">
        <f>IF('Data Source'!B192="","",'Data Source'!Y192)</f>
        <v/>
      </c>
      <c r="H192" s="9">
        <f>IF('Data Source'!B192="","",'Data Source'!Z192)</f>
        <v/>
      </c>
      <c r="I192" s="9">
        <f>IF('Data Source'!B192="","",'Data Source'!AA192)</f>
        <v/>
      </c>
      <c r="J192" s="9">
        <f>IF('Data Source'!B192="","",'Data Source'!AB192)</f>
        <v/>
      </c>
      <c r="K192" s="9">
        <f>IF('Data Source'!B192="","",'Data Source'!AC192)</f>
        <v/>
      </c>
      <c r="L192" s="9">
        <f>IF('Data Source'!B192="","",'Data Source'!AD192)</f>
        <v/>
      </c>
      <c r="M192" s="9">
        <f>IF('Data Source'!B192="","",'Data Source'!AE192)</f>
        <v/>
      </c>
      <c r="N192" s="9">
        <f>IF('Data Source'!B192="","",'Data Source'!AF192)</f>
        <v/>
      </c>
      <c r="O192" s="9">
        <f>IF('Data Source'!B192="","",'Data Source'!AG192)</f>
        <v/>
      </c>
      <c r="P192" s="5">
        <f>IF('Data Source'!B192="","",'Data Source'!R192)</f>
        <v/>
      </c>
      <c r="Q192" s="3">
        <f>IF('Data Source'!B192="","",'Data Source'!S192)</f>
        <v/>
      </c>
    </row>
    <row r="193">
      <c r="A193" s="3">
        <f>IF('Data Source'!B193="","",'Data Source'!A193)</f>
        <v/>
      </c>
      <c r="B193">
        <f>IF('Data Source'!B193="","",'Data Source'!B193)</f>
        <v/>
      </c>
      <c r="C193" s="9">
        <f>IF('Data Source'!B193="","",'Data Source'!U193)</f>
        <v/>
      </c>
      <c r="D193" s="9">
        <f>IF('Data Source'!B193="","",'Data Source'!V193)</f>
        <v/>
      </c>
      <c r="E193" s="9">
        <f>IF('Data Source'!B193="","",'Data Source'!W193)</f>
        <v/>
      </c>
      <c r="F193" s="9">
        <f>IF('Data Source'!B193="","",'Data Source'!X193)</f>
        <v/>
      </c>
      <c r="G193" s="9">
        <f>IF('Data Source'!B193="","",'Data Source'!Y193)</f>
        <v/>
      </c>
      <c r="H193" s="9">
        <f>IF('Data Source'!B193="","",'Data Source'!Z193)</f>
        <v/>
      </c>
      <c r="I193" s="9">
        <f>IF('Data Source'!B193="","",'Data Source'!AA193)</f>
        <v/>
      </c>
      <c r="J193" s="9">
        <f>IF('Data Source'!B193="","",'Data Source'!AB193)</f>
        <v/>
      </c>
      <c r="K193" s="9">
        <f>IF('Data Source'!B193="","",'Data Source'!AC193)</f>
        <v/>
      </c>
      <c r="L193" s="9">
        <f>IF('Data Source'!B193="","",'Data Source'!AD193)</f>
        <v/>
      </c>
      <c r="M193" s="9">
        <f>IF('Data Source'!B193="","",'Data Source'!AE193)</f>
        <v/>
      </c>
      <c r="N193" s="9">
        <f>IF('Data Source'!B193="","",'Data Source'!AF193)</f>
        <v/>
      </c>
      <c r="O193" s="9">
        <f>IF('Data Source'!B193="","",'Data Source'!AG193)</f>
        <v/>
      </c>
      <c r="P193" s="5">
        <f>IF('Data Source'!B193="","",'Data Source'!R193)</f>
        <v/>
      </c>
      <c r="Q193" s="3">
        <f>IF('Data Source'!B193="","",'Data Source'!S193)</f>
        <v/>
      </c>
    </row>
    <row r="194">
      <c r="A194" s="3">
        <f>IF('Data Source'!B194="","",'Data Source'!A194)</f>
        <v/>
      </c>
      <c r="B194">
        <f>IF('Data Source'!B194="","",'Data Source'!B194)</f>
        <v/>
      </c>
      <c r="C194" s="9">
        <f>IF('Data Source'!B194="","",'Data Source'!U194)</f>
        <v/>
      </c>
      <c r="D194" s="9">
        <f>IF('Data Source'!B194="","",'Data Source'!V194)</f>
        <v/>
      </c>
      <c r="E194" s="9">
        <f>IF('Data Source'!B194="","",'Data Source'!W194)</f>
        <v/>
      </c>
      <c r="F194" s="9">
        <f>IF('Data Source'!B194="","",'Data Source'!X194)</f>
        <v/>
      </c>
      <c r="G194" s="9">
        <f>IF('Data Source'!B194="","",'Data Source'!Y194)</f>
        <v/>
      </c>
      <c r="H194" s="9">
        <f>IF('Data Source'!B194="","",'Data Source'!Z194)</f>
        <v/>
      </c>
      <c r="I194" s="9">
        <f>IF('Data Source'!B194="","",'Data Source'!AA194)</f>
        <v/>
      </c>
      <c r="J194" s="9">
        <f>IF('Data Source'!B194="","",'Data Source'!AB194)</f>
        <v/>
      </c>
      <c r="K194" s="9">
        <f>IF('Data Source'!B194="","",'Data Source'!AC194)</f>
        <v/>
      </c>
      <c r="L194" s="9">
        <f>IF('Data Source'!B194="","",'Data Source'!AD194)</f>
        <v/>
      </c>
      <c r="M194" s="9">
        <f>IF('Data Source'!B194="","",'Data Source'!AE194)</f>
        <v/>
      </c>
      <c r="N194" s="9">
        <f>IF('Data Source'!B194="","",'Data Source'!AF194)</f>
        <v/>
      </c>
      <c r="O194" s="9">
        <f>IF('Data Source'!B194="","",'Data Source'!AG194)</f>
        <v/>
      </c>
      <c r="P194" s="5">
        <f>IF('Data Source'!B194="","",'Data Source'!R194)</f>
        <v/>
      </c>
      <c r="Q194" s="3">
        <f>IF('Data Source'!B194="","",'Data Source'!S194)</f>
        <v/>
      </c>
    </row>
    <row r="195">
      <c r="A195" s="3">
        <f>IF('Data Source'!B195="","",'Data Source'!A195)</f>
        <v/>
      </c>
      <c r="B195">
        <f>IF('Data Source'!B195="","",'Data Source'!B195)</f>
        <v/>
      </c>
      <c r="C195" s="9">
        <f>IF('Data Source'!B195="","",'Data Source'!U195)</f>
        <v/>
      </c>
      <c r="D195" s="9">
        <f>IF('Data Source'!B195="","",'Data Source'!V195)</f>
        <v/>
      </c>
      <c r="E195" s="9">
        <f>IF('Data Source'!B195="","",'Data Source'!W195)</f>
        <v/>
      </c>
      <c r="F195" s="9">
        <f>IF('Data Source'!B195="","",'Data Source'!X195)</f>
        <v/>
      </c>
      <c r="G195" s="9">
        <f>IF('Data Source'!B195="","",'Data Source'!Y195)</f>
        <v/>
      </c>
      <c r="H195" s="9">
        <f>IF('Data Source'!B195="","",'Data Source'!Z195)</f>
        <v/>
      </c>
      <c r="I195" s="9">
        <f>IF('Data Source'!B195="","",'Data Source'!AA195)</f>
        <v/>
      </c>
      <c r="J195" s="9">
        <f>IF('Data Source'!B195="","",'Data Source'!AB195)</f>
        <v/>
      </c>
      <c r="K195" s="9">
        <f>IF('Data Source'!B195="","",'Data Source'!AC195)</f>
        <v/>
      </c>
      <c r="L195" s="9">
        <f>IF('Data Source'!B195="","",'Data Source'!AD195)</f>
        <v/>
      </c>
      <c r="M195" s="9">
        <f>IF('Data Source'!B195="","",'Data Source'!AE195)</f>
        <v/>
      </c>
      <c r="N195" s="9">
        <f>IF('Data Source'!B195="","",'Data Source'!AF195)</f>
        <v/>
      </c>
      <c r="O195" s="9">
        <f>IF('Data Source'!B195="","",'Data Source'!AG195)</f>
        <v/>
      </c>
      <c r="P195" s="5">
        <f>IF('Data Source'!B195="","",'Data Source'!R195)</f>
        <v/>
      </c>
      <c r="Q195" s="3">
        <f>IF('Data Source'!B195="","",'Data Source'!S195)</f>
        <v/>
      </c>
    </row>
    <row r="196">
      <c r="A196" s="3">
        <f>IF('Data Source'!B196="","",'Data Source'!A196)</f>
        <v/>
      </c>
      <c r="B196">
        <f>IF('Data Source'!B196="","",'Data Source'!B196)</f>
        <v/>
      </c>
      <c r="C196" s="9">
        <f>IF('Data Source'!B196="","",'Data Source'!U196)</f>
        <v/>
      </c>
      <c r="D196" s="9">
        <f>IF('Data Source'!B196="","",'Data Source'!V196)</f>
        <v/>
      </c>
      <c r="E196" s="9">
        <f>IF('Data Source'!B196="","",'Data Source'!W196)</f>
        <v/>
      </c>
      <c r="F196" s="9">
        <f>IF('Data Source'!B196="","",'Data Source'!X196)</f>
        <v/>
      </c>
      <c r="G196" s="9">
        <f>IF('Data Source'!B196="","",'Data Source'!Y196)</f>
        <v/>
      </c>
      <c r="H196" s="9">
        <f>IF('Data Source'!B196="","",'Data Source'!Z196)</f>
        <v/>
      </c>
      <c r="I196" s="9">
        <f>IF('Data Source'!B196="","",'Data Source'!AA196)</f>
        <v/>
      </c>
      <c r="J196" s="9">
        <f>IF('Data Source'!B196="","",'Data Source'!AB196)</f>
        <v/>
      </c>
      <c r="K196" s="9">
        <f>IF('Data Source'!B196="","",'Data Source'!AC196)</f>
        <v/>
      </c>
      <c r="L196" s="9">
        <f>IF('Data Source'!B196="","",'Data Source'!AD196)</f>
        <v/>
      </c>
      <c r="M196" s="9">
        <f>IF('Data Source'!B196="","",'Data Source'!AE196)</f>
        <v/>
      </c>
      <c r="N196" s="9">
        <f>IF('Data Source'!B196="","",'Data Source'!AF196)</f>
        <v/>
      </c>
      <c r="O196" s="9">
        <f>IF('Data Source'!B196="","",'Data Source'!AG196)</f>
        <v/>
      </c>
      <c r="P196" s="5">
        <f>IF('Data Source'!B196="","",'Data Source'!R196)</f>
        <v/>
      </c>
      <c r="Q196" s="3">
        <f>IF('Data Source'!B196="","",'Data Source'!S196)</f>
        <v/>
      </c>
    </row>
    <row r="197">
      <c r="A197" s="3">
        <f>IF('Data Source'!B197="","",'Data Source'!A197)</f>
        <v/>
      </c>
      <c r="B197">
        <f>IF('Data Source'!B197="","",'Data Source'!B197)</f>
        <v/>
      </c>
      <c r="C197" s="9">
        <f>IF('Data Source'!B197="","",'Data Source'!U197)</f>
        <v/>
      </c>
      <c r="D197" s="9">
        <f>IF('Data Source'!B197="","",'Data Source'!V197)</f>
        <v/>
      </c>
      <c r="E197" s="9">
        <f>IF('Data Source'!B197="","",'Data Source'!W197)</f>
        <v/>
      </c>
      <c r="F197" s="9">
        <f>IF('Data Source'!B197="","",'Data Source'!X197)</f>
        <v/>
      </c>
      <c r="G197" s="9">
        <f>IF('Data Source'!B197="","",'Data Source'!Y197)</f>
        <v/>
      </c>
      <c r="H197" s="9">
        <f>IF('Data Source'!B197="","",'Data Source'!Z197)</f>
        <v/>
      </c>
      <c r="I197" s="9">
        <f>IF('Data Source'!B197="","",'Data Source'!AA197)</f>
        <v/>
      </c>
      <c r="J197" s="9">
        <f>IF('Data Source'!B197="","",'Data Source'!AB197)</f>
        <v/>
      </c>
      <c r="K197" s="9">
        <f>IF('Data Source'!B197="","",'Data Source'!AC197)</f>
        <v/>
      </c>
      <c r="L197" s="9">
        <f>IF('Data Source'!B197="","",'Data Source'!AD197)</f>
        <v/>
      </c>
      <c r="M197" s="9">
        <f>IF('Data Source'!B197="","",'Data Source'!AE197)</f>
        <v/>
      </c>
      <c r="N197" s="9">
        <f>IF('Data Source'!B197="","",'Data Source'!AF197)</f>
        <v/>
      </c>
      <c r="O197" s="9">
        <f>IF('Data Source'!B197="","",'Data Source'!AG197)</f>
        <v/>
      </c>
      <c r="P197" s="5">
        <f>IF('Data Source'!B197="","",'Data Source'!R197)</f>
        <v/>
      </c>
      <c r="Q197" s="3">
        <f>IF('Data Source'!B197="","",'Data Source'!S197)</f>
        <v/>
      </c>
    </row>
    <row r="198">
      <c r="A198" s="3">
        <f>IF('Data Source'!B198="","",'Data Source'!A198)</f>
        <v/>
      </c>
      <c r="B198">
        <f>IF('Data Source'!B198="","",'Data Source'!B198)</f>
        <v/>
      </c>
      <c r="C198" s="9">
        <f>IF('Data Source'!B198="","",'Data Source'!U198)</f>
        <v/>
      </c>
      <c r="D198" s="9">
        <f>IF('Data Source'!B198="","",'Data Source'!V198)</f>
        <v/>
      </c>
      <c r="E198" s="9">
        <f>IF('Data Source'!B198="","",'Data Source'!W198)</f>
        <v/>
      </c>
      <c r="F198" s="9">
        <f>IF('Data Source'!B198="","",'Data Source'!X198)</f>
        <v/>
      </c>
      <c r="G198" s="9">
        <f>IF('Data Source'!B198="","",'Data Source'!Y198)</f>
        <v/>
      </c>
      <c r="H198" s="9">
        <f>IF('Data Source'!B198="","",'Data Source'!Z198)</f>
        <v/>
      </c>
      <c r="I198" s="9">
        <f>IF('Data Source'!B198="","",'Data Source'!AA198)</f>
        <v/>
      </c>
      <c r="J198" s="9">
        <f>IF('Data Source'!B198="","",'Data Source'!AB198)</f>
        <v/>
      </c>
      <c r="K198" s="9">
        <f>IF('Data Source'!B198="","",'Data Source'!AC198)</f>
        <v/>
      </c>
      <c r="L198" s="9">
        <f>IF('Data Source'!B198="","",'Data Source'!AD198)</f>
        <v/>
      </c>
      <c r="M198" s="9">
        <f>IF('Data Source'!B198="","",'Data Source'!AE198)</f>
        <v/>
      </c>
      <c r="N198" s="9">
        <f>IF('Data Source'!B198="","",'Data Source'!AF198)</f>
        <v/>
      </c>
      <c r="O198" s="9">
        <f>IF('Data Source'!B198="","",'Data Source'!AG198)</f>
        <v/>
      </c>
      <c r="P198" s="5">
        <f>IF('Data Source'!B198="","",'Data Source'!R198)</f>
        <v/>
      </c>
      <c r="Q198" s="3">
        <f>IF('Data Source'!B198="","",'Data Source'!S198)</f>
        <v/>
      </c>
    </row>
    <row r="199">
      <c r="A199" s="3">
        <f>IF('Data Source'!B199="","",'Data Source'!A199)</f>
        <v/>
      </c>
      <c r="B199">
        <f>IF('Data Source'!B199="","",'Data Source'!B199)</f>
        <v/>
      </c>
      <c r="C199" s="9">
        <f>IF('Data Source'!B199="","",'Data Source'!U199)</f>
        <v/>
      </c>
      <c r="D199" s="9">
        <f>IF('Data Source'!B199="","",'Data Source'!V199)</f>
        <v/>
      </c>
      <c r="E199" s="9">
        <f>IF('Data Source'!B199="","",'Data Source'!W199)</f>
        <v/>
      </c>
      <c r="F199" s="9">
        <f>IF('Data Source'!B199="","",'Data Source'!X199)</f>
        <v/>
      </c>
      <c r="G199" s="9">
        <f>IF('Data Source'!B199="","",'Data Source'!Y199)</f>
        <v/>
      </c>
      <c r="H199" s="9">
        <f>IF('Data Source'!B199="","",'Data Source'!Z199)</f>
        <v/>
      </c>
      <c r="I199" s="9">
        <f>IF('Data Source'!B199="","",'Data Source'!AA199)</f>
        <v/>
      </c>
      <c r="J199" s="9">
        <f>IF('Data Source'!B199="","",'Data Source'!AB199)</f>
        <v/>
      </c>
      <c r="K199" s="9">
        <f>IF('Data Source'!B199="","",'Data Source'!AC199)</f>
        <v/>
      </c>
      <c r="L199" s="9">
        <f>IF('Data Source'!B199="","",'Data Source'!AD199)</f>
        <v/>
      </c>
      <c r="M199" s="9">
        <f>IF('Data Source'!B199="","",'Data Source'!AE199)</f>
        <v/>
      </c>
      <c r="N199" s="9">
        <f>IF('Data Source'!B199="","",'Data Source'!AF199)</f>
        <v/>
      </c>
      <c r="O199" s="9">
        <f>IF('Data Source'!B199="","",'Data Source'!AG199)</f>
        <v/>
      </c>
      <c r="P199" s="5">
        <f>IF('Data Source'!B199="","",'Data Source'!R199)</f>
        <v/>
      </c>
      <c r="Q199" s="3">
        <f>IF('Data Source'!B199="","",'Data Source'!S199)</f>
        <v/>
      </c>
    </row>
    <row r="200">
      <c r="A200" s="3">
        <f>IF('Data Source'!B200="","",'Data Source'!A200)</f>
        <v/>
      </c>
      <c r="B200">
        <f>IF('Data Source'!B200="","",'Data Source'!B200)</f>
        <v/>
      </c>
      <c r="C200" s="9">
        <f>IF('Data Source'!B200="","",'Data Source'!U200)</f>
        <v/>
      </c>
      <c r="D200" s="9">
        <f>IF('Data Source'!B200="","",'Data Source'!V200)</f>
        <v/>
      </c>
      <c r="E200" s="9">
        <f>IF('Data Source'!B200="","",'Data Source'!W200)</f>
        <v/>
      </c>
      <c r="F200" s="9">
        <f>IF('Data Source'!B200="","",'Data Source'!X200)</f>
        <v/>
      </c>
      <c r="G200" s="9">
        <f>IF('Data Source'!B200="","",'Data Source'!Y200)</f>
        <v/>
      </c>
      <c r="H200" s="9">
        <f>IF('Data Source'!B200="","",'Data Source'!Z200)</f>
        <v/>
      </c>
      <c r="I200" s="9">
        <f>IF('Data Source'!B200="","",'Data Source'!AA200)</f>
        <v/>
      </c>
      <c r="J200" s="9">
        <f>IF('Data Source'!B200="","",'Data Source'!AB200)</f>
        <v/>
      </c>
      <c r="K200" s="9">
        <f>IF('Data Source'!B200="","",'Data Source'!AC200)</f>
        <v/>
      </c>
      <c r="L200" s="9">
        <f>IF('Data Source'!B200="","",'Data Source'!AD200)</f>
        <v/>
      </c>
      <c r="M200" s="9">
        <f>IF('Data Source'!B200="","",'Data Source'!AE200)</f>
        <v/>
      </c>
      <c r="N200" s="9">
        <f>IF('Data Source'!B200="","",'Data Source'!AF200)</f>
        <v/>
      </c>
      <c r="O200" s="9">
        <f>IF('Data Source'!B200="","",'Data Source'!AG200)</f>
        <v/>
      </c>
      <c r="P200" s="5">
        <f>IF('Data Source'!B200="","",'Data Source'!R200)</f>
        <v/>
      </c>
      <c r="Q200" s="3">
        <f>IF('Data Source'!B200="","",'Data Source'!S200)</f>
        <v/>
      </c>
    </row>
    <row r="201">
      <c r="A201" s="3">
        <f>IF('Data Source'!B201="","",'Data Source'!A201)</f>
        <v/>
      </c>
      <c r="B201">
        <f>IF('Data Source'!B201="","",'Data Source'!B201)</f>
        <v/>
      </c>
      <c r="C201" s="9">
        <f>IF('Data Source'!B201="","",'Data Source'!U201)</f>
        <v/>
      </c>
      <c r="D201" s="9">
        <f>IF('Data Source'!B201="","",'Data Source'!V201)</f>
        <v/>
      </c>
      <c r="E201" s="9">
        <f>IF('Data Source'!B201="","",'Data Source'!W201)</f>
        <v/>
      </c>
      <c r="F201" s="9">
        <f>IF('Data Source'!B201="","",'Data Source'!X201)</f>
        <v/>
      </c>
      <c r="G201" s="9">
        <f>IF('Data Source'!B201="","",'Data Source'!Y201)</f>
        <v/>
      </c>
      <c r="H201" s="9">
        <f>IF('Data Source'!B201="","",'Data Source'!Z201)</f>
        <v/>
      </c>
      <c r="I201" s="9">
        <f>IF('Data Source'!B201="","",'Data Source'!AA201)</f>
        <v/>
      </c>
      <c r="J201" s="9">
        <f>IF('Data Source'!B201="","",'Data Source'!AB201)</f>
        <v/>
      </c>
      <c r="K201" s="9">
        <f>IF('Data Source'!B201="","",'Data Source'!AC201)</f>
        <v/>
      </c>
      <c r="L201" s="9">
        <f>IF('Data Source'!B201="","",'Data Source'!AD201)</f>
        <v/>
      </c>
      <c r="M201" s="9">
        <f>IF('Data Source'!B201="","",'Data Source'!AE201)</f>
        <v/>
      </c>
      <c r="N201" s="9">
        <f>IF('Data Source'!B201="","",'Data Source'!AF201)</f>
        <v/>
      </c>
      <c r="O201" s="9">
        <f>IF('Data Source'!B201="","",'Data Source'!AG201)</f>
        <v/>
      </c>
      <c r="P201" s="5">
        <f>IF('Data Source'!B201="","",'Data Source'!R201)</f>
        <v/>
      </c>
      <c r="Q201" s="3">
        <f>IF('Data Source'!B201="","",'Data Source'!S201)</f>
        <v/>
      </c>
    </row>
    <row r="202">
      <c r="A202" s="3">
        <f>IF('Data Source'!B202="","",'Data Source'!A202)</f>
        <v/>
      </c>
      <c r="B202">
        <f>IF('Data Source'!B202="","",'Data Source'!B202)</f>
        <v/>
      </c>
      <c r="C202" s="9">
        <f>IF('Data Source'!B202="","",'Data Source'!U202)</f>
        <v/>
      </c>
      <c r="D202" s="9">
        <f>IF('Data Source'!B202="","",'Data Source'!V202)</f>
        <v/>
      </c>
      <c r="E202" s="9">
        <f>IF('Data Source'!B202="","",'Data Source'!W202)</f>
        <v/>
      </c>
      <c r="F202" s="9">
        <f>IF('Data Source'!B202="","",'Data Source'!X202)</f>
        <v/>
      </c>
      <c r="G202" s="9">
        <f>IF('Data Source'!B202="","",'Data Source'!Y202)</f>
        <v/>
      </c>
      <c r="H202" s="9">
        <f>IF('Data Source'!B202="","",'Data Source'!Z202)</f>
        <v/>
      </c>
      <c r="I202" s="9">
        <f>IF('Data Source'!B202="","",'Data Source'!AA202)</f>
        <v/>
      </c>
      <c r="J202" s="9">
        <f>IF('Data Source'!B202="","",'Data Source'!AB202)</f>
        <v/>
      </c>
      <c r="K202" s="9">
        <f>IF('Data Source'!B202="","",'Data Source'!AC202)</f>
        <v/>
      </c>
      <c r="L202" s="9">
        <f>IF('Data Source'!B202="","",'Data Source'!AD202)</f>
        <v/>
      </c>
      <c r="M202" s="9">
        <f>IF('Data Source'!B202="","",'Data Source'!AE202)</f>
        <v/>
      </c>
      <c r="N202" s="9">
        <f>IF('Data Source'!B202="","",'Data Source'!AF202)</f>
        <v/>
      </c>
      <c r="O202" s="9">
        <f>IF('Data Source'!B202="","",'Data Source'!AG202)</f>
        <v/>
      </c>
      <c r="P202" s="5">
        <f>IF('Data Source'!B202="","",'Data Source'!R202)</f>
        <v/>
      </c>
      <c r="Q202" s="3">
        <f>IF('Data Source'!B202="","",'Data Source'!S202)</f>
        <v/>
      </c>
    </row>
    <row r="203">
      <c r="A203" s="3">
        <f>IF('Data Source'!B203="","",'Data Source'!A203)</f>
        <v/>
      </c>
      <c r="B203">
        <f>IF('Data Source'!B203="","",'Data Source'!B203)</f>
        <v/>
      </c>
      <c r="C203" s="9">
        <f>IF('Data Source'!B203="","",'Data Source'!U203)</f>
        <v/>
      </c>
      <c r="D203" s="9">
        <f>IF('Data Source'!B203="","",'Data Source'!V203)</f>
        <v/>
      </c>
      <c r="E203" s="9">
        <f>IF('Data Source'!B203="","",'Data Source'!W203)</f>
        <v/>
      </c>
      <c r="F203" s="9">
        <f>IF('Data Source'!B203="","",'Data Source'!X203)</f>
        <v/>
      </c>
      <c r="G203" s="9">
        <f>IF('Data Source'!B203="","",'Data Source'!Y203)</f>
        <v/>
      </c>
      <c r="H203" s="9">
        <f>IF('Data Source'!B203="","",'Data Source'!Z203)</f>
        <v/>
      </c>
      <c r="I203" s="9">
        <f>IF('Data Source'!B203="","",'Data Source'!AA203)</f>
        <v/>
      </c>
      <c r="J203" s="9">
        <f>IF('Data Source'!B203="","",'Data Source'!AB203)</f>
        <v/>
      </c>
      <c r="K203" s="9">
        <f>IF('Data Source'!B203="","",'Data Source'!AC203)</f>
        <v/>
      </c>
      <c r="L203" s="9">
        <f>IF('Data Source'!B203="","",'Data Source'!AD203)</f>
        <v/>
      </c>
      <c r="M203" s="9">
        <f>IF('Data Source'!B203="","",'Data Source'!AE203)</f>
        <v/>
      </c>
      <c r="N203" s="9">
        <f>IF('Data Source'!B203="","",'Data Source'!AF203)</f>
        <v/>
      </c>
      <c r="O203" s="9">
        <f>IF('Data Source'!B203="","",'Data Source'!AG203)</f>
        <v/>
      </c>
      <c r="P203" s="5">
        <f>IF('Data Source'!B203="","",'Data Source'!R203)</f>
        <v/>
      </c>
      <c r="Q203" s="3">
        <f>IF('Data Source'!B203="","",'Data Source'!S203)</f>
        <v/>
      </c>
    </row>
    <row r="204">
      <c r="A204" s="3">
        <f>IF('Data Source'!B204="","",'Data Source'!A204)</f>
        <v/>
      </c>
      <c r="B204">
        <f>IF('Data Source'!B204="","",'Data Source'!B204)</f>
        <v/>
      </c>
      <c r="C204" s="9">
        <f>IF('Data Source'!B204="","",'Data Source'!U204)</f>
        <v/>
      </c>
      <c r="D204" s="9">
        <f>IF('Data Source'!B204="","",'Data Source'!V204)</f>
        <v/>
      </c>
      <c r="E204" s="9">
        <f>IF('Data Source'!B204="","",'Data Source'!W204)</f>
        <v/>
      </c>
      <c r="F204" s="9">
        <f>IF('Data Source'!B204="","",'Data Source'!X204)</f>
        <v/>
      </c>
      <c r="G204" s="9">
        <f>IF('Data Source'!B204="","",'Data Source'!Y204)</f>
        <v/>
      </c>
      <c r="H204" s="9">
        <f>IF('Data Source'!B204="","",'Data Source'!Z204)</f>
        <v/>
      </c>
      <c r="I204" s="9">
        <f>IF('Data Source'!B204="","",'Data Source'!AA204)</f>
        <v/>
      </c>
      <c r="J204" s="9">
        <f>IF('Data Source'!B204="","",'Data Source'!AB204)</f>
        <v/>
      </c>
      <c r="K204" s="9">
        <f>IF('Data Source'!B204="","",'Data Source'!AC204)</f>
        <v/>
      </c>
      <c r="L204" s="9">
        <f>IF('Data Source'!B204="","",'Data Source'!AD204)</f>
        <v/>
      </c>
      <c r="M204" s="9">
        <f>IF('Data Source'!B204="","",'Data Source'!AE204)</f>
        <v/>
      </c>
      <c r="N204" s="9">
        <f>IF('Data Source'!B204="","",'Data Source'!AF204)</f>
        <v/>
      </c>
      <c r="O204" s="9">
        <f>IF('Data Source'!B204="","",'Data Source'!AG204)</f>
        <v/>
      </c>
      <c r="P204" s="5">
        <f>IF('Data Source'!B204="","",'Data Source'!R204)</f>
        <v/>
      </c>
      <c r="Q204" s="3">
        <f>IF('Data Source'!B204="","",'Data Source'!S204)</f>
        <v/>
      </c>
    </row>
    <row r="205">
      <c r="A205" s="3">
        <f>IF('Data Source'!B205="","",'Data Source'!A205)</f>
        <v/>
      </c>
      <c r="B205">
        <f>IF('Data Source'!B205="","",'Data Source'!B205)</f>
        <v/>
      </c>
      <c r="C205" s="9">
        <f>IF('Data Source'!B205="","",'Data Source'!U205)</f>
        <v/>
      </c>
      <c r="D205" s="9">
        <f>IF('Data Source'!B205="","",'Data Source'!V205)</f>
        <v/>
      </c>
      <c r="E205" s="9">
        <f>IF('Data Source'!B205="","",'Data Source'!W205)</f>
        <v/>
      </c>
      <c r="F205" s="9">
        <f>IF('Data Source'!B205="","",'Data Source'!X205)</f>
        <v/>
      </c>
      <c r="G205" s="9">
        <f>IF('Data Source'!B205="","",'Data Source'!Y205)</f>
        <v/>
      </c>
      <c r="H205" s="9">
        <f>IF('Data Source'!B205="","",'Data Source'!Z205)</f>
        <v/>
      </c>
      <c r="I205" s="9">
        <f>IF('Data Source'!B205="","",'Data Source'!AA205)</f>
        <v/>
      </c>
      <c r="J205" s="9">
        <f>IF('Data Source'!B205="","",'Data Source'!AB205)</f>
        <v/>
      </c>
      <c r="K205" s="9">
        <f>IF('Data Source'!B205="","",'Data Source'!AC205)</f>
        <v/>
      </c>
      <c r="L205" s="9">
        <f>IF('Data Source'!B205="","",'Data Source'!AD205)</f>
        <v/>
      </c>
      <c r="M205" s="9">
        <f>IF('Data Source'!B205="","",'Data Source'!AE205)</f>
        <v/>
      </c>
      <c r="N205" s="9">
        <f>IF('Data Source'!B205="","",'Data Source'!AF205)</f>
        <v/>
      </c>
      <c r="O205" s="9">
        <f>IF('Data Source'!B205="","",'Data Source'!AG205)</f>
        <v/>
      </c>
      <c r="P205" s="5">
        <f>IF('Data Source'!B205="","",'Data Source'!R205)</f>
        <v/>
      </c>
      <c r="Q205" s="3">
        <f>IF('Data Source'!B205="","",'Data Source'!S205)</f>
        <v/>
      </c>
    </row>
    <row r="206">
      <c r="A206" s="3">
        <f>IF('Data Source'!B206="","",'Data Source'!A206)</f>
        <v/>
      </c>
      <c r="B206">
        <f>IF('Data Source'!B206="","",'Data Source'!B206)</f>
        <v/>
      </c>
      <c r="C206" s="9">
        <f>IF('Data Source'!B206="","",'Data Source'!U206)</f>
        <v/>
      </c>
      <c r="D206" s="9">
        <f>IF('Data Source'!B206="","",'Data Source'!V206)</f>
        <v/>
      </c>
      <c r="E206" s="9">
        <f>IF('Data Source'!B206="","",'Data Source'!W206)</f>
        <v/>
      </c>
      <c r="F206" s="9">
        <f>IF('Data Source'!B206="","",'Data Source'!X206)</f>
        <v/>
      </c>
      <c r="G206" s="9">
        <f>IF('Data Source'!B206="","",'Data Source'!Y206)</f>
        <v/>
      </c>
      <c r="H206" s="9">
        <f>IF('Data Source'!B206="","",'Data Source'!Z206)</f>
        <v/>
      </c>
      <c r="I206" s="9">
        <f>IF('Data Source'!B206="","",'Data Source'!AA206)</f>
        <v/>
      </c>
      <c r="J206" s="9">
        <f>IF('Data Source'!B206="","",'Data Source'!AB206)</f>
        <v/>
      </c>
      <c r="K206" s="9">
        <f>IF('Data Source'!B206="","",'Data Source'!AC206)</f>
        <v/>
      </c>
      <c r="L206" s="9">
        <f>IF('Data Source'!B206="","",'Data Source'!AD206)</f>
        <v/>
      </c>
      <c r="M206" s="9">
        <f>IF('Data Source'!B206="","",'Data Source'!AE206)</f>
        <v/>
      </c>
      <c r="N206" s="9">
        <f>IF('Data Source'!B206="","",'Data Source'!AF206)</f>
        <v/>
      </c>
      <c r="O206" s="9">
        <f>IF('Data Source'!B206="","",'Data Source'!AG206)</f>
        <v/>
      </c>
      <c r="P206" s="5">
        <f>IF('Data Source'!B206="","",'Data Source'!R206)</f>
        <v/>
      </c>
      <c r="Q206" s="3">
        <f>IF('Data Source'!B206="","",'Data Source'!S206)</f>
        <v/>
      </c>
    </row>
    <row r="207">
      <c r="A207" s="3">
        <f>IF('Data Source'!B207="","",'Data Source'!A207)</f>
        <v/>
      </c>
      <c r="B207">
        <f>IF('Data Source'!B207="","",'Data Source'!B207)</f>
        <v/>
      </c>
      <c r="C207" s="9">
        <f>IF('Data Source'!B207="","",'Data Source'!U207)</f>
        <v/>
      </c>
      <c r="D207" s="9">
        <f>IF('Data Source'!B207="","",'Data Source'!V207)</f>
        <v/>
      </c>
      <c r="E207" s="9">
        <f>IF('Data Source'!B207="","",'Data Source'!W207)</f>
        <v/>
      </c>
      <c r="F207" s="9">
        <f>IF('Data Source'!B207="","",'Data Source'!X207)</f>
        <v/>
      </c>
      <c r="G207" s="9">
        <f>IF('Data Source'!B207="","",'Data Source'!Y207)</f>
        <v/>
      </c>
      <c r="H207" s="9">
        <f>IF('Data Source'!B207="","",'Data Source'!Z207)</f>
        <v/>
      </c>
      <c r="I207" s="9">
        <f>IF('Data Source'!B207="","",'Data Source'!AA207)</f>
        <v/>
      </c>
      <c r="J207" s="9">
        <f>IF('Data Source'!B207="","",'Data Source'!AB207)</f>
        <v/>
      </c>
      <c r="K207" s="9">
        <f>IF('Data Source'!B207="","",'Data Source'!AC207)</f>
        <v/>
      </c>
      <c r="L207" s="9">
        <f>IF('Data Source'!B207="","",'Data Source'!AD207)</f>
        <v/>
      </c>
      <c r="M207" s="9">
        <f>IF('Data Source'!B207="","",'Data Source'!AE207)</f>
        <v/>
      </c>
      <c r="N207" s="9">
        <f>IF('Data Source'!B207="","",'Data Source'!AF207)</f>
        <v/>
      </c>
      <c r="O207" s="9">
        <f>IF('Data Source'!B207="","",'Data Source'!AG207)</f>
        <v/>
      </c>
      <c r="P207" s="5">
        <f>IF('Data Source'!B207="","",'Data Source'!R207)</f>
        <v/>
      </c>
      <c r="Q207" s="3">
        <f>IF('Data Source'!B207="","",'Data Source'!S207)</f>
        <v/>
      </c>
    </row>
    <row r="208">
      <c r="A208" s="3">
        <f>IF('Data Source'!B208="","",'Data Source'!A208)</f>
        <v/>
      </c>
      <c r="B208">
        <f>IF('Data Source'!B208="","",'Data Source'!B208)</f>
        <v/>
      </c>
      <c r="C208" s="9">
        <f>IF('Data Source'!B208="","",'Data Source'!U208)</f>
        <v/>
      </c>
      <c r="D208" s="9">
        <f>IF('Data Source'!B208="","",'Data Source'!V208)</f>
        <v/>
      </c>
      <c r="E208" s="9">
        <f>IF('Data Source'!B208="","",'Data Source'!W208)</f>
        <v/>
      </c>
      <c r="F208" s="9">
        <f>IF('Data Source'!B208="","",'Data Source'!X208)</f>
        <v/>
      </c>
      <c r="G208" s="9">
        <f>IF('Data Source'!B208="","",'Data Source'!Y208)</f>
        <v/>
      </c>
      <c r="H208" s="9">
        <f>IF('Data Source'!B208="","",'Data Source'!Z208)</f>
        <v/>
      </c>
      <c r="I208" s="9">
        <f>IF('Data Source'!B208="","",'Data Source'!AA208)</f>
        <v/>
      </c>
      <c r="J208" s="9">
        <f>IF('Data Source'!B208="","",'Data Source'!AB208)</f>
        <v/>
      </c>
      <c r="K208" s="9">
        <f>IF('Data Source'!B208="","",'Data Source'!AC208)</f>
        <v/>
      </c>
      <c r="L208" s="9">
        <f>IF('Data Source'!B208="","",'Data Source'!AD208)</f>
        <v/>
      </c>
      <c r="M208" s="9">
        <f>IF('Data Source'!B208="","",'Data Source'!AE208)</f>
        <v/>
      </c>
      <c r="N208" s="9">
        <f>IF('Data Source'!B208="","",'Data Source'!AF208)</f>
        <v/>
      </c>
      <c r="O208" s="9">
        <f>IF('Data Source'!B208="","",'Data Source'!AG208)</f>
        <v/>
      </c>
      <c r="P208" s="5">
        <f>IF('Data Source'!B208="","",'Data Source'!R208)</f>
        <v/>
      </c>
      <c r="Q208" s="3">
        <f>IF('Data Source'!B208="","",'Data Source'!S208)</f>
        <v/>
      </c>
    </row>
    <row r="209">
      <c r="A209" s="3">
        <f>IF('Data Source'!B209="","",'Data Source'!A209)</f>
        <v/>
      </c>
      <c r="B209">
        <f>IF('Data Source'!B209="","",'Data Source'!B209)</f>
        <v/>
      </c>
      <c r="C209" s="9">
        <f>IF('Data Source'!B209="","",'Data Source'!U209)</f>
        <v/>
      </c>
      <c r="D209" s="9">
        <f>IF('Data Source'!B209="","",'Data Source'!V209)</f>
        <v/>
      </c>
      <c r="E209" s="9">
        <f>IF('Data Source'!B209="","",'Data Source'!W209)</f>
        <v/>
      </c>
      <c r="F209" s="9">
        <f>IF('Data Source'!B209="","",'Data Source'!X209)</f>
        <v/>
      </c>
      <c r="G209" s="9">
        <f>IF('Data Source'!B209="","",'Data Source'!Y209)</f>
        <v/>
      </c>
      <c r="H209" s="9">
        <f>IF('Data Source'!B209="","",'Data Source'!Z209)</f>
        <v/>
      </c>
      <c r="I209" s="9">
        <f>IF('Data Source'!B209="","",'Data Source'!AA209)</f>
        <v/>
      </c>
      <c r="J209" s="9">
        <f>IF('Data Source'!B209="","",'Data Source'!AB209)</f>
        <v/>
      </c>
      <c r="K209" s="9">
        <f>IF('Data Source'!B209="","",'Data Source'!AC209)</f>
        <v/>
      </c>
      <c r="L209" s="9">
        <f>IF('Data Source'!B209="","",'Data Source'!AD209)</f>
        <v/>
      </c>
      <c r="M209" s="9">
        <f>IF('Data Source'!B209="","",'Data Source'!AE209)</f>
        <v/>
      </c>
      <c r="N209" s="9">
        <f>IF('Data Source'!B209="","",'Data Source'!AF209)</f>
        <v/>
      </c>
      <c r="O209" s="9">
        <f>IF('Data Source'!B209="","",'Data Source'!AG209)</f>
        <v/>
      </c>
      <c r="P209" s="5">
        <f>IF('Data Source'!B209="","",'Data Source'!R209)</f>
        <v/>
      </c>
      <c r="Q209" s="3">
        <f>IF('Data Source'!B209="","",'Data Source'!S209)</f>
        <v/>
      </c>
    </row>
    <row r="210">
      <c r="A210" s="3">
        <f>IF('Data Source'!B210="","",'Data Source'!A210)</f>
        <v/>
      </c>
      <c r="B210">
        <f>IF('Data Source'!B210="","",'Data Source'!B210)</f>
        <v/>
      </c>
      <c r="C210" s="9">
        <f>IF('Data Source'!B210="","",'Data Source'!U210)</f>
        <v/>
      </c>
      <c r="D210" s="9">
        <f>IF('Data Source'!B210="","",'Data Source'!V210)</f>
        <v/>
      </c>
      <c r="E210" s="9">
        <f>IF('Data Source'!B210="","",'Data Source'!W210)</f>
        <v/>
      </c>
      <c r="F210" s="9">
        <f>IF('Data Source'!B210="","",'Data Source'!X210)</f>
        <v/>
      </c>
      <c r="G210" s="9">
        <f>IF('Data Source'!B210="","",'Data Source'!Y210)</f>
        <v/>
      </c>
      <c r="H210" s="9">
        <f>IF('Data Source'!B210="","",'Data Source'!Z210)</f>
        <v/>
      </c>
      <c r="I210" s="9">
        <f>IF('Data Source'!B210="","",'Data Source'!AA210)</f>
        <v/>
      </c>
      <c r="J210" s="9">
        <f>IF('Data Source'!B210="","",'Data Source'!AB210)</f>
        <v/>
      </c>
      <c r="K210" s="9">
        <f>IF('Data Source'!B210="","",'Data Source'!AC210)</f>
        <v/>
      </c>
      <c r="L210" s="9">
        <f>IF('Data Source'!B210="","",'Data Source'!AD210)</f>
        <v/>
      </c>
      <c r="M210" s="9">
        <f>IF('Data Source'!B210="","",'Data Source'!AE210)</f>
        <v/>
      </c>
      <c r="N210" s="9">
        <f>IF('Data Source'!B210="","",'Data Source'!AF210)</f>
        <v/>
      </c>
      <c r="O210" s="9">
        <f>IF('Data Source'!B210="","",'Data Source'!AG210)</f>
        <v/>
      </c>
      <c r="P210" s="5">
        <f>IF('Data Source'!B210="","",'Data Source'!R210)</f>
        <v/>
      </c>
      <c r="Q210" s="3">
        <f>IF('Data Source'!B210="","",'Data Source'!S210)</f>
        <v/>
      </c>
    </row>
    <row r="211">
      <c r="A211" s="3">
        <f>IF('Data Source'!B211="","",'Data Source'!A211)</f>
        <v/>
      </c>
      <c r="B211">
        <f>IF('Data Source'!B211="","",'Data Source'!B211)</f>
        <v/>
      </c>
      <c r="C211" s="9">
        <f>IF('Data Source'!B211="","",'Data Source'!U211)</f>
        <v/>
      </c>
      <c r="D211" s="9">
        <f>IF('Data Source'!B211="","",'Data Source'!V211)</f>
        <v/>
      </c>
      <c r="E211" s="9">
        <f>IF('Data Source'!B211="","",'Data Source'!W211)</f>
        <v/>
      </c>
      <c r="F211" s="9">
        <f>IF('Data Source'!B211="","",'Data Source'!X211)</f>
        <v/>
      </c>
      <c r="G211" s="9">
        <f>IF('Data Source'!B211="","",'Data Source'!Y211)</f>
        <v/>
      </c>
      <c r="H211" s="9">
        <f>IF('Data Source'!B211="","",'Data Source'!Z211)</f>
        <v/>
      </c>
      <c r="I211" s="9">
        <f>IF('Data Source'!B211="","",'Data Source'!AA211)</f>
        <v/>
      </c>
      <c r="J211" s="9">
        <f>IF('Data Source'!B211="","",'Data Source'!AB211)</f>
        <v/>
      </c>
      <c r="K211" s="9">
        <f>IF('Data Source'!B211="","",'Data Source'!AC211)</f>
        <v/>
      </c>
      <c r="L211" s="9">
        <f>IF('Data Source'!B211="","",'Data Source'!AD211)</f>
        <v/>
      </c>
      <c r="M211" s="9">
        <f>IF('Data Source'!B211="","",'Data Source'!AE211)</f>
        <v/>
      </c>
      <c r="N211" s="9">
        <f>IF('Data Source'!B211="","",'Data Source'!AF211)</f>
        <v/>
      </c>
      <c r="O211" s="9">
        <f>IF('Data Source'!B211="","",'Data Source'!AG211)</f>
        <v/>
      </c>
      <c r="P211" s="5">
        <f>IF('Data Source'!B211="","",'Data Source'!R211)</f>
        <v/>
      </c>
      <c r="Q211" s="3">
        <f>IF('Data Source'!B211="","",'Data Source'!S211)</f>
        <v/>
      </c>
    </row>
    <row r="212">
      <c r="A212" s="3">
        <f>IF('Data Source'!B212="","",'Data Source'!A212)</f>
        <v/>
      </c>
      <c r="B212">
        <f>IF('Data Source'!B212="","",'Data Source'!B212)</f>
        <v/>
      </c>
      <c r="C212" s="9">
        <f>IF('Data Source'!B212="","",'Data Source'!U212)</f>
        <v/>
      </c>
      <c r="D212" s="9">
        <f>IF('Data Source'!B212="","",'Data Source'!V212)</f>
        <v/>
      </c>
      <c r="E212" s="9">
        <f>IF('Data Source'!B212="","",'Data Source'!W212)</f>
        <v/>
      </c>
      <c r="F212" s="9">
        <f>IF('Data Source'!B212="","",'Data Source'!X212)</f>
        <v/>
      </c>
      <c r="G212" s="9">
        <f>IF('Data Source'!B212="","",'Data Source'!Y212)</f>
        <v/>
      </c>
      <c r="H212" s="9">
        <f>IF('Data Source'!B212="","",'Data Source'!Z212)</f>
        <v/>
      </c>
      <c r="I212" s="9">
        <f>IF('Data Source'!B212="","",'Data Source'!AA212)</f>
        <v/>
      </c>
      <c r="J212" s="9">
        <f>IF('Data Source'!B212="","",'Data Source'!AB212)</f>
        <v/>
      </c>
      <c r="K212" s="9">
        <f>IF('Data Source'!B212="","",'Data Source'!AC212)</f>
        <v/>
      </c>
      <c r="L212" s="9">
        <f>IF('Data Source'!B212="","",'Data Source'!AD212)</f>
        <v/>
      </c>
      <c r="M212" s="9">
        <f>IF('Data Source'!B212="","",'Data Source'!AE212)</f>
        <v/>
      </c>
      <c r="N212" s="9">
        <f>IF('Data Source'!B212="","",'Data Source'!AF212)</f>
        <v/>
      </c>
      <c r="O212" s="9">
        <f>IF('Data Source'!B212="","",'Data Source'!AG212)</f>
        <v/>
      </c>
      <c r="P212" s="5">
        <f>IF('Data Source'!B212="","",'Data Source'!R212)</f>
        <v/>
      </c>
      <c r="Q212" s="3">
        <f>IF('Data Source'!B212="","",'Data Source'!S212)</f>
        <v/>
      </c>
    </row>
    <row r="213">
      <c r="A213" s="3">
        <f>IF('Data Source'!B213="","",'Data Source'!A213)</f>
        <v/>
      </c>
      <c r="B213">
        <f>IF('Data Source'!B213="","",'Data Source'!B213)</f>
        <v/>
      </c>
      <c r="C213" s="9">
        <f>IF('Data Source'!B213="","",'Data Source'!U213)</f>
        <v/>
      </c>
      <c r="D213" s="9">
        <f>IF('Data Source'!B213="","",'Data Source'!V213)</f>
        <v/>
      </c>
      <c r="E213" s="9">
        <f>IF('Data Source'!B213="","",'Data Source'!W213)</f>
        <v/>
      </c>
      <c r="F213" s="9">
        <f>IF('Data Source'!B213="","",'Data Source'!X213)</f>
        <v/>
      </c>
      <c r="G213" s="9">
        <f>IF('Data Source'!B213="","",'Data Source'!Y213)</f>
        <v/>
      </c>
      <c r="H213" s="9">
        <f>IF('Data Source'!B213="","",'Data Source'!Z213)</f>
        <v/>
      </c>
      <c r="I213" s="9">
        <f>IF('Data Source'!B213="","",'Data Source'!AA213)</f>
        <v/>
      </c>
      <c r="J213" s="9">
        <f>IF('Data Source'!B213="","",'Data Source'!AB213)</f>
        <v/>
      </c>
      <c r="K213" s="9">
        <f>IF('Data Source'!B213="","",'Data Source'!AC213)</f>
        <v/>
      </c>
      <c r="L213" s="9">
        <f>IF('Data Source'!B213="","",'Data Source'!AD213)</f>
        <v/>
      </c>
      <c r="M213" s="9">
        <f>IF('Data Source'!B213="","",'Data Source'!AE213)</f>
        <v/>
      </c>
      <c r="N213" s="9">
        <f>IF('Data Source'!B213="","",'Data Source'!AF213)</f>
        <v/>
      </c>
      <c r="O213" s="9">
        <f>IF('Data Source'!B213="","",'Data Source'!AG213)</f>
        <v/>
      </c>
      <c r="P213" s="5">
        <f>IF('Data Source'!B213="","",'Data Source'!R213)</f>
        <v/>
      </c>
      <c r="Q213" s="3">
        <f>IF('Data Source'!B213="","",'Data Source'!S213)</f>
        <v/>
      </c>
    </row>
    <row r="214">
      <c r="A214" s="3">
        <f>IF('Data Source'!B214="","",'Data Source'!A214)</f>
        <v/>
      </c>
      <c r="B214">
        <f>IF('Data Source'!B214="","",'Data Source'!B214)</f>
        <v/>
      </c>
      <c r="C214" s="9">
        <f>IF('Data Source'!B214="","",'Data Source'!U214)</f>
        <v/>
      </c>
      <c r="D214" s="9">
        <f>IF('Data Source'!B214="","",'Data Source'!V214)</f>
        <v/>
      </c>
      <c r="E214" s="9">
        <f>IF('Data Source'!B214="","",'Data Source'!W214)</f>
        <v/>
      </c>
      <c r="F214" s="9">
        <f>IF('Data Source'!B214="","",'Data Source'!X214)</f>
        <v/>
      </c>
      <c r="G214" s="9">
        <f>IF('Data Source'!B214="","",'Data Source'!Y214)</f>
        <v/>
      </c>
      <c r="H214" s="9">
        <f>IF('Data Source'!B214="","",'Data Source'!Z214)</f>
        <v/>
      </c>
      <c r="I214" s="9">
        <f>IF('Data Source'!B214="","",'Data Source'!AA214)</f>
        <v/>
      </c>
      <c r="J214" s="9">
        <f>IF('Data Source'!B214="","",'Data Source'!AB214)</f>
        <v/>
      </c>
      <c r="K214" s="9">
        <f>IF('Data Source'!B214="","",'Data Source'!AC214)</f>
        <v/>
      </c>
      <c r="L214" s="9">
        <f>IF('Data Source'!B214="","",'Data Source'!AD214)</f>
        <v/>
      </c>
      <c r="M214" s="9">
        <f>IF('Data Source'!B214="","",'Data Source'!AE214)</f>
        <v/>
      </c>
      <c r="N214" s="9">
        <f>IF('Data Source'!B214="","",'Data Source'!AF214)</f>
        <v/>
      </c>
      <c r="O214" s="9">
        <f>IF('Data Source'!B214="","",'Data Source'!AG214)</f>
        <v/>
      </c>
      <c r="P214" s="5">
        <f>IF('Data Source'!B214="","",'Data Source'!R214)</f>
        <v/>
      </c>
      <c r="Q214" s="3">
        <f>IF('Data Source'!B214="","",'Data Source'!S214)</f>
        <v/>
      </c>
    </row>
    <row r="215">
      <c r="A215" s="3">
        <f>IF('Data Source'!B215="","",'Data Source'!A215)</f>
        <v/>
      </c>
      <c r="B215">
        <f>IF('Data Source'!B215="","",'Data Source'!B215)</f>
        <v/>
      </c>
      <c r="C215" s="9">
        <f>IF('Data Source'!B215="","",'Data Source'!U215)</f>
        <v/>
      </c>
      <c r="D215" s="9">
        <f>IF('Data Source'!B215="","",'Data Source'!V215)</f>
        <v/>
      </c>
      <c r="E215" s="9">
        <f>IF('Data Source'!B215="","",'Data Source'!W215)</f>
        <v/>
      </c>
      <c r="F215" s="9">
        <f>IF('Data Source'!B215="","",'Data Source'!X215)</f>
        <v/>
      </c>
      <c r="G215" s="9">
        <f>IF('Data Source'!B215="","",'Data Source'!Y215)</f>
        <v/>
      </c>
      <c r="H215" s="9">
        <f>IF('Data Source'!B215="","",'Data Source'!Z215)</f>
        <v/>
      </c>
      <c r="I215" s="9">
        <f>IF('Data Source'!B215="","",'Data Source'!AA215)</f>
        <v/>
      </c>
      <c r="J215" s="9">
        <f>IF('Data Source'!B215="","",'Data Source'!AB215)</f>
        <v/>
      </c>
      <c r="K215" s="9">
        <f>IF('Data Source'!B215="","",'Data Source'!AC215)</f>
        <v/>
      </c>
      <c r="L215" s="9">
        <f>IF('Data Source'!B215="","",'Data Source'!AD215)</f>
        <v/>
      </c>
      <c r="M215" s="9">
        <f>IF('Data Source'!B215="","",'Data Source'!AE215)</f>
        <v/>
      </c>
      <c r="N215" s="9">
        <f>IF('Data Source'!B215="","",'Data Source'!AF215)</f>
        <v/>
      </c>
      <c r="O215" s="9">
        <f>IF('Data Source'!B215="","",'Data Source'!AG215)</f>
        <v/>
      </c>
      <c r="P215" s="5">
        <f>IF('Data Source'!B215="","",'Data Source'!R215)</f>
        <v/>
      </c>
      <c r="Q215" s="3">
        <f>IF('Data Source'!B215="","",'Data Source'!S215)</f>
        <v/>
      </c>
    </row>
    <row r="216">
      <c r="A216" s="3">
        <f>IF('Data Source'!B216="","",'Data Source'!A216)</f>
        <v/>
      </c>
      <c r="B216">
        <f>IF('Data Source'!B216="","",'Data Source'!B216)</f>
        <v/>
      </c>
      <c r="C216" s="9">
        <f>IF('Data Source'!B216="","",'Data Source'!U216)</f>
        <v/>
      </c>
      <c r="D216" s="9">
        <f>IF('Data Source'!B216="","",'Data Source'!V216)</f>
        <v/>
      </c>
      <c r="E216" s="9">
        <f>IF('Data Source'!B216="","",'Data Source'!W216)</f>
        <v/>
      </c>
      <c r="F216" s="9">
        <f>IF('Data Source'!B216="","",'Data Source'!X216)</f>
        <v/>
      </c>
      <c r="G216" s="9">
        <f>IF('Data Source'!B216="","",'Data Source'!Y216)</f>
        <v/>
      </c>
      <c r="H216" s="9">
        <f>IF('Data Source'!B216="","",'Data Source'!Z216)</f>
        <v/>
      </c>
      <c r="I216" s="9">
        <f>IF('Data Source'!B216="","",'Data Source'!AA216)</f>
        <v/>
      </c>
      <c r="J216" s="9">
        <f>IF('Data Source'!B216="","",'Data Source'!AB216)</f>
        <v/>
      </c>
      <c r="K216" s="9">
        <f>IF('Data Source'!B216="","",'Data Source'!AC216)</f>
        <v/>
      </c>
      <c r="L216" s="9">
        <f>IF('Data Source'!B216="","",'Data Source'!AD216)</f>
        <v/>
      </c>
      <c r="M216" s="9">
        <f>IF('Data Source'!B216="","",'Data Source'!AE216)</f>
        <v/>
      </c>
      <c r="N216" s="9">
        <f>IF('Data Source'!B216="","",'Data Source'!AF216)</f>
        <v/>
      </c>
      <c r="O216" s="9">
        <f>IF('Data Source'!B216="","",'Data Source'!AG216)</f>
        <v/>
      </c>
      <c r="P216" s="5">
        <f>IF('Data Source'!B216="","",'Data Source'!R216)</f>
        <v/>
      </c>
      <c r="Q216" s="3">
        <f>IF('Data Source'!B216="","",'Data Source'!S216)</f>
        <v/>
      </c>
    </row>
    <row r="217">
      <c r="A217" s="3">
        <f>IF('Data Source'!B217="","",'Data Source'!A217)</f>
        <v/>
      </c>
      <c r="B217">
        <f>IF('Data Source'!B217="","",'Data Source'!B217)</f>
        <v/>
      </c>
      <c r="C217" s="9">
        <f>IF('Data Source'!B217="","",'Data Source'!U217)</f>
        <v/>
      </c>
      <c r="D217" s="9">
        <f>IF('Data Source'!B217="","",'Data Source'!V217)</f>
        <v/>
      </c>
      <c r="E217" s="9">
        <f>IF('Data Source'!B217="","",'Data Source'!W217)</f>
        <v/>
      </c>
      <c r="F217" s="9">
        <f>IF('Data Source'!B217="","",'Data Source'!X217)</f>
        <v/>
      </c>
      <c r="G217" s="9">
        <f>IF('Data Source'!B217="","",'Data Source'!Y217)</f>
        <v/>
      </c>
      <c r="H217" s="9">
        <f>IF('Data Source'!B217="","",'Data Source'!Z217)</f>
        <v/>
      </c>
      <c r="I217" s="9">
        <f>IF('Data Source'!B217="","",'Data Source'!AA217)</f>
        <v/>
      </c>
      <c r="J217" s="9">
        <f>IF('Data Source'!B217="","",'Data Source'!AB217)</f>
        <v/>
      </c>
      <c r="K217" s="9">
        <f>IF('Data Source'!B217="","",'Data Source'!AC217)</f>
        <v/>
      </c>
      <c r="L217" s="9">
        <f>IF('Data Source'!B217="","",'Data Source'!AD217)</f>
        <v/>
      </c>
      <c r="M217" s="9">
        <f>IF('Data Source'!B217="","",'Data Source'!AE217)</f>
        <v/>
      </c>
      <c r="N217" s="9">
        <f>IF('Data Source'!B217="","",'Data Source'!AF217)</f>
        <v/>
      </c>
      <c r="O217" s="9">
        <f>IF('Data Source'!B217="","",'Data Source'!AG217)</f>
        <v/>
      </c>
      <c r="P217" s="5">
        <f>IF('Data Source'!B217="","",'Data Source'!R217)</f>
        <v/>
      </c>
      <c r="Q217" s="3">
        <f>IF('Data Source'!B217="","",'Data Source'!S217)</f>
        <v/>
      </c>
    </row>
    <row r="218">
      <c r="A218" s="3">
        <f>IF('Data Source'!B218="","",'Data Source'!A218)</f>
        <v/>
      </c>
      <c r="B218">
        <f>IF('Data Source'!B218="","",'Data Source'!B218)</f>
        <v/>
      </c>
      <c r="C218" s="9">
        <f>IF('Data Source'!B218="","",'Data Source'!U218)</f>
        <v/>
      </c>
      <c r="D218" s="9">
        <f>IF('Data Source'!B218="","",'Data Source'!V218)</f>
        <v/>
      </c>
      <c r="E218" s="9">
        <f>IF('Data Source'!B218="","",'Data Source'!W218)</f>
        <v/>
      </c>
      <c r="F218" s="9">
        <f>IF('Data Source'!B218="","",'Data Source'!X218)</f>
        <v/>
      </c>
      <c r="G218" s="9">
        <f>IF('Data Source'!B218="","",'Data Source'!Y218)</f>
        <v/>
      </c>
      <c r="H218" s="9">
        <f>IF('Data Source'!B218="","",'Data Source'!Z218)</f>
        <v/>
      </c>
      <c r="I218" s="9">
        <f>IF('Data Source'!B218="","",'Data Source'!AA218)</f>
        <v/>
      </c>
      <c r="J218" s="9">
        <f>IF('Data Source'!B218="","",'Data Source'!AB218)</f>
        <v/>
      </c>
      <c r="K218" s="9">
        <f>IF('Data Source'!B218="","",'Data Source'!AC218)</f>
        <v/>
      </c>
      <c r="L218" s="9">
        <f>IF('Data Source'!B218="","",'Data Source'!AD218)</f>
        <v/>
      </c>
      <c r="M218" s="9">
        <f>IF('Data Source'!B218="","",'Data Source'!AE218)</f>
        <v/>
      </c>
      <c r="N218" s="9">
        <f>IF('Data Source'!B218="","",'Data Source'!AF218)</f>
        <v/>
      </c>
      <c r="O218" s="9">
        <f>IF('Data Source'!B218="","",'Data Source'!AG218)</f>
        <v/>
      </c>
      <c r="P218" s="5">
        <f>IF('Data Source'!B218="","",'Data Source'!R218)</f>
        <v/>
      </c>
      <c r="Q218" s="3">
        <f>IF('Data Source'!B218="","",'Data Source'!S218)</f>
        <v/>
      </c>
    </row>
    <row r="219">
      <c r="A219" s="3">
        <f>IF('Data Source'!B219="","",'Data Source'!A219)</f>
        <v/>
      </c>
      <c r="B219">
        <f>IF('Data Source'!B219="","",'Data Source'!B219)</f>
        <v/>
      </c>
      <c r="C219" s="9">
        <f>IF('Data Source'!B219="","",'Data Source'!U219)</f>
        <v/>
      </c>
      <c r="D219" s="9">
        <f>IF('Data Source'!B219="","",'Data Source'!V219)</f>
        <v/>
      </c>
      <c r="E219" s="9">
        <f>IF('Data Source'!B219="","",'Data Source'!W219)</f>
        <v/>
      </c>
      <c r="F219" s="9">
        <f>IF('Data Source'!B219="","",'Data Source'!X219)</f>
        <v/>
      </c>
      <c r="G219" s="9">
        <f>IF('Data Source'!B219="","",'Data Source'!Y219)</f>
        <v/>
      </c>
      <c r="H219" s="9">
        <f>IF('Data Source'!B219="","",'Data Source'!Z219)</f>
        <v/>
      </c>
      <c r="I219" s="9">
        <f>IF('Data Source'!B219="","",'Data Source'!AA219)</f>
        <v/>
      </c>
      <c r="J219" s="9">
        <f>IF('Data Source'!B219="","",'Data Source'!AB219)</f>
        <v/>
      </c>
      <c r="K219" s="9">
        <f>IF('Data Source'!B219="","",'Data Source'!AC219)</f>
        <v/>
      </c>
      <c r="L219" s="9">
        <f>IF('Data Source'!B219="","",'Data Source'!AD219)</f>
        <v/>
      </c>
      <c r="M219" s="9">
        <f>IF('Data Source'!B219="","",'Data Source'!AE219)</f>
        <v/>
      </c>
      <c r="N219" s="9">
        <f>IF('Data Source'!B219="","",'Data Source'!AF219)</f>
        <v/>
      </c>
      <c r="O219" s="9">
        <f>IF('Data Source'!B219="","",'Data Source'!AG219)</f>
        <v/>
      </c>
      <c r="P219" s="5">
        <f>IF('Data Source'!B219="","",'Data Source'!R219)</f>
        <v/>
      </c>
      <c r="Q219" s="3">
        <f>IF('Data Source'!B219="","",'Data Source'!S219)</f>
        <v/>
      </c>
    </row>
    <row r="220">
      <c r="A220" s="3">
        <f>IF('Data Source'!B220="","",'Data Source'!A220)</f>
        <v/>
      </c>
      <c r="B220">
        <f>IF('Data Source'!B220="","",'Data Source'!B220)</f>
        <v/>
      </c>
      <c r="C220" s="9">
        <f>IF('Data Source'!B220="","",'Data Source'!U220)</f>
        <v/>
      </c>
      <c r="D220" s="9">
        <f>IF('Data Source'!B220="","",'Data Source'!V220)</f>
        <v/>
      </c>
      <c r="E220" s="9">
        <f>IF('Data Source'!B220="","",'Data Source'!W220)</f>
        <v/>
      </c>
      <c r="F220" s="9">
        <f>IF('Data Source'!B220="","",'Data Source'!X220)</f>
        <v/>
      </c>
      <c r="G220" s="9">
        <f>IF('Data Source'!B220="","",'Data Source'!Y220)</f>
        <v/>
      </c>
      <c r="H220" s="9">
        <f>IF('Data Source'!B220="","",'Data Source'!Z220)</f>
        <v/>
      </c>
      <c r="I220" s="9">
        <f>IF('Data Source'!B220="","",'Data Source'!AA220)</f>
        <v/>
      </c>
      <c r="J220" s="9">
        <f>IF('Data Source'!B220="","",'Data Source'!AB220)</f>
        <v/>
      </c>
      <c r="K220" s="9">
        <f>IF('Data Source'!B220="","",'Data Source'!AC220)</f>
        <v/>
      </c>
      <c r="L220" s="9">
        <f>IF('Data Source'!B220="","",'Data Source'!AD220)</f>
        <v/>
      </c>
      <c r="M220" s="9">
        <f>IF('Data Source'!B220="","",'Data Source'!AE220)</f>
        <v/>
      </c>
      <c r="N220" s="9">
        <f>IF('Data Source'!B220="","",'Data Source'!AF220)</f>
        <v/>
      </c>
      <c r="O220" s="9">
        <f>IF('Data Source'!B220="","",'Data Source'!AG220)</f>
        <v/>
      </c>
      <c r="P220" s="5">
        <f>IF('Data Source'!B220="","",'Data Source'!R220)</f>
        <v/>
      </c>
      <c r="Q220" s="3">
        <f>IF('Data Source'!B220="","",'Data Source'!S220)</f>
        <v/>
      </c>
    </row>
    <row r="221">
      <c r="A221" s="3">
        <f>IF('Data Source'!B221="","",'Data Source'!A221)</f>
        <v/>
      </c>
      <c r="B221">
        <f>IF('Data Source'!B221="","",'Data Source'!B221)</f>
        <v/>
      </c>
      <c r="C221" s="9">
        <f>IF('Data Source'!B221="","",'Data Source'!U221)</f>
        <v/>
      </c>
      <c r="D221" s="9">
        <f>IF('Data Source'!B221="","",'Data Source'!V221)</f>
        <v/>
      </c>
      <c r="E221" s="9">
        <f>IF('Data Source'!B221="","",'Data Source'!W221)</f>
        <v/>
      </c>
      <c r="F221" s="9">
        <f>IF('Data Source'!B221="","",'Data Source'!X221)</f>
        <v/>
      </c>
      <c r="G221" s="9">
        <f>IF('Data Source'!B221="","",'Data Source'!Y221)</f>
        <v/>
      </c>
      <c r="H221" s="9">
        <f>IF('Data Source'!B221="","",'Data Source'!Z221)</f>
        <v/>
      </c>
      <c r="I221" s="9">
        <f>IF('Data Source'!B221="","",'Data Source'!AA221)</f>
        <v/>
      </c>
      <c r="J221" s="9">
        <f>IF('Data Source'!B221="","",'Data Source'!AB221)</f>
        <v/>
      </c>
      <c r="K221" s="9">
        <f>IF('Data Source'!B221="","",'Data Source'!AC221)</f>
        <v/>
      </c>
      <c r="L221" s="9">
        <f>IF('Data Source'!B221="","",'Data Source'!AD221)</f>
        <v/>
      </c>
      <c r="M221" s="9">
        <f>IF('Data Source'!B221="","",'Data Source'!AE221)</f>
        <v/>
      </c>
      <c r="N221" s="9">
        <f>IF('Data Source'!B221="","",'Data Source'!AF221)</f>
        <v/>
      </c>
      <c r="O221" s="9">
        <f>IF('Data Source'!B221="","",'Data Source'!AG221)</f>
        <v/>
      </c>
      <c r="P221" s="5">
        <f>IF('Data Source'!B221="","",'Data Source'!R221)</f>
        <v/>
      </c>
      <c r="Q221" s="3">
        <f>IF('Data Source'!B221="","",'Data Source'!S221)</f>
        <v/>
      </c>
    </row>
    <row r="222">
      <c r="A222" s="3">
        <f>IF('Data Source'!B222="","",'Data Source'!A222)</f>
        <v/>
      </c>
      <c r="B222">
        <f>IF('Data Source'!B222="","",'Data Source'!B222)</f>
        <v/>
      </c>
      <c r="C222" s="9">
        <f>IF('Data Source'!B222="","",'Data Source'!U222)</f>
        <v/>
      </c>
      <c r="D222" s="9">
        <f>IF('Data Source'!B222="","",'Data Source'!V222)</f>
        <v/>
      </c>
      <c r="E222" s="9">
        <f>IF('Data Source'!B222="","",'Data Source'!W222)</f>
        <v/>
      </c>
      <c r="F222" s="9">
        <f>IF('Data Source'!B222="","",'Data Source'!X222)</f>
        <v/>
      </c>
      <c r="G222" s="9">
        <f>IF('Data Source'!B222="","",'Data Source'!Y222)</f>
        <v/>
      </c>
      <c r="H222" s="9">
        <f>IF('Data Source'!B222="","",'Data Source'!Z222)</f>
        <v/>
      </c>
      <c r="I222" s="9">
        <f>IF('Data Source'!B222="","",'Data Source'!AA222)</f>
        <v/>
      </c>
      <c r="J222" s="9">
        <f>IF('Data Source'!B222="","",'Data Source'!AB222)</f>
        <v/>
      </c>
      <c r="K222" s="9">
        <f>IF('Data Source'!B222="","",'Data Source'!AC222)</f>
        <v/>
      </c>
      <c r="L222" s="9">
        <f>IF('Data Source'!B222="","",'Data Source'!AD222)</f>
        <v/>
      </c>
      <c r="M222" s="9">
        <f>IF('Data Source'!B222="","",'Data Source'!AE222)</f>
        <v/>
      </c>
      <c r="N222" s="9">
        <f>IF('Data Source'!B222="","",'Data Source'!AF222)</f>
        <v/>
      </c>
      <c r="O222" s="9">
        <f>IF('Data Source'!B222="","",'Data Source'!AG222)</f>
        <v/>
      </c>
      <c r="P222" s="5">
        <f>IF('Data Source'!B222="","",'Data Source'!R222)</f>
        <v/>
      </c>
      <c r="Q222" s="3">
        <f>IF('Data Source'!B222="","",'Data Source'!S222)</f>
        <v/>
      </c>
    </row>
    <row r="223">
      <c r="A223" s="3">
        <f>IF('Data Source'!B223="","",'Data Source'!A223)</f>
        <v/>
      </c>
      <c r="B223">
        <f>IF('Data Source'!B223="","",'Data Source'!B223)</f>
        <v/>
      </c>
      <c r="C223" s="9">
        <f>IF('Data Source'!B223="","",'Data Source'!U223)</f>
        <v/>
      </c>
      <c r="D223" s="9">
        <f>IF('Data Source'!B223="","",'Data Source'!V223)</f>
        <v/>
      </c>
      <c r="E223" s="9">
        <f>IF('Data Source'!B223="","",'Data Source'!W223)</f>
        <v/>
      </c>
      <c r="F223" s="9">
        <f>IF('Data Source'!B223="","",'Data Source'!X223)</f>
        <v/>
      </c>
      <c r="G223" s="9">
        <f>IF('Data Source'!B223="","",'Data Source'!Y223)</f>
        <v/>
      </c>
      <c r="H223" s="9">
        <f>IF('Data Source'!B223="","",'Data Source'!Z223)</f>
        <v/>
      </c>
      <c r="I223" s="9">
        <f>IF('Data Source'!B223="","",'Data Source'!AA223)</f>
        <v/>
      </c>
      <c r="J223" s="9">
        <f>IF('Data Source'!B223="","",'Data Source'!AB223)</f>
        <v/>
      </c>
      <c r="K223" s="9">
        <f>IF('Data Source'!B223="","",'Data Source'!AC223)</f>
        <v/>
      </c>
      <c r="L223" s="9">
        <f>IF('Data Source'!B223="","",'Data Source'!AD223)</f>
        <v/>
      </c>
      <c r="M223" s="9">
        <f>IF('Data Source'!B223="","",'Data Source'!AE223)</f>
        <v/>
      </c>
      <c r="N223" s="9">
        <f>IF('Data Source'!B223="","",'Data Source'!AF223)</f>
        <v/>
      </c>
      <c r="O223" s="9">
        <f>IF('Data Source'!B223="","",'Data Source'!AG223)</f>
        <v/>
      </c>
      <c r="P223" s="5">
        <f>IF('Data Source'!B223="","",'Data Source'!R223)</f>
        <v/>
      </c>
      <c r="Q223" s="3">
        <f>IF('Data Source'!B223="","",'Data Source'!S223)</f>
        <v/>
      </c>
    </row>
    <row r="224">
      <c r="A224" s="3">
        <f>IF('Data Source'!B224="","",'Data Source'!A224)</f>
        <v/>
      </c>
      <c r="B224">
        <f>IF('Data Source'!B224="","",'Data Source'!B224)</f>
        <v/>
      </c>
      <c r="C224" s="9">
        <f>IF('Data Source'!B224="","",'Data Source'!U224)</f>
        <v/>
      </c>
      <c r="D224" s="9">
        <f>IF('Data Source'!B224="","",'Data Source'!V224)</f>
        <v/>
      </c>
      <c r="E224" s="9">
        <f>IF('Data Source'!B224="","",'Data Source'!W224)</f>
        <v/>
      </c>
      <c r="F224" s="9">
        <f>IF('Data Source'!B224="","",'Data Source'!X224)</f>
        <v/>
      </c>
      <c r="G224" s="9">
        <f>IF('Data Source'!B224="","",'Data Source'!Y224)</f>
        <v/>
      </c>
      <c r="H224" s="9">
        <f>IF('Data Source'!B224="","",'Data Source'!Z224)</f>
        <v/>
      </c>
      <c r="I224" s="9">
        <f>IF('Data Source'!B224="","",'Data Source'!AA224)</f>
        <v/>
      </c>
      <c r="J224" s="9">
        <f>IF('Data Source'!B224="","",'Data Source'!AB224)</f>
        <v/>
      </c>
      <c r="K224" s="9">
        <f>IF('Data Source'!B224="","",'Data Source'!AC224)</f>
        <v/>
      </c>
      <c r="L224" s="9">
        <f>IF('Data Source'!B224="","",'Data Source'!AD224)</f>
        <v/>
      </c>
      <c r="M224" s="9">
        <f>IF('Data Source'!B224="","",'Data Source'!AE224)</f>
        <v/>
      </c>
      <c r="N224" s="9">
        <f>IF('Data Source'!B224="","",'Data Source'!AF224)</f>
        <v/>
      </c>
      <c r="O224" s="9">
        <f>IF('Data Source'!B224="","",'Data Source'!AG224)</f>
        <v/>
      </c>
      <c r="P224" s="5">
        <f>IF('Data Source'!B224="","",'Data Source'!R224)</f>
        <v/>
      </c>
      <c r="Q224" s="3">
        <f>IF('Data Source'!B224="","",'Data Source'!S224)</f>
        <v/>
      </c>
    </row>
    <row r="225">
      <c r="A225" s="3">
        <f>IF('Data Source'!B225="","",'Data Source'!A225)</f>
        <v/>
      </c>
      <c r="B225">
        <f>IF('Data Source'!B225="","",'Data Source'!B225)</f>
        <v/>
      </c>
      <c r="C225" s="9">
        <f>IF('Data Source'!B225="","",'Data Source'!U225)</f>
        <v/>
      </c>
      <c r="D225" s="9">
        <f>IF('Data Source'!B225="","",'Data Source'!V225)</f>
        <v/>
      </c>
      <c r="E225" s="9">
        <f>IF('Data Source'!B225="","",'Data Source'!W225)</f>
        <v/>
      </c>
      <c r="F225" s="9">
        <f>IF('Data Source'!B225="","",'Data Source'!X225)</f>
        <v/>
      </c>
      <c r="G225" s="9">
        <f>IF('Data Source'!B225="","",'Data Source'!Y225)</f>
        <v/>
      </c>
      <c r="H225" s="9">
        <f>IF('Data Source'!B225="","",'Data Source'!Z225)</f>
        <v/>
      </c>
      <c r="I225" s="9">
        <f>IF('Data Source'!B225="","",'Data Source'!AA225)</f>
        <v/>
      </c>
      <c r="J225" s="9">
        <f>IF('Data Source'!B225="","",'Data Source'!AB225)</f>
        <v/>
      </c>
      <c r="K225" s="9">
        <f>IF('Data Source'!B225="","",'Data Source'!AC225)</f>
        <v/>
      </c>
      <c r="L225" s="9">
        <f>IF('Data Source'!B225="","",'Data Source'!AD225)</f>
        <v/>
      </c>
      <c r="M225" s="9">
        <f>IF('Data Source'!B225="","",'Data Source'!AE225)</f>
        <v/>
      </c>
      <c r="N225" s="9">
        <f>IF('Data Source'!B225="","",'Data Source'!AF225)</f>
        <v/>
      </c>
      <c r="O225" s="9">
        <f>IF('Data Source'!B225="","",'Data Source'!AG225)</f>
        <v/>
      </c>
      <c r="P225" s="5">
        <f>IF('Data Source'!B225="","",'Data Source'!R225)</f>
        <v/>
      </c>
      <c r="Q225" s="3">
        <f>IF('Data Source'!B225="","",'Data Source'!S225)</f>
        <v/>
      </c>
    </row>
    <row r="226">
      <c r="A226" s="3">
        <f>IF('Data Source'!B226="","",'Data Source'!A226)</f>
        <v/>
      </c>
      <c r="B226">
        <f>IF('Data Source'!B226="","",'Data Source'!B226)</f>
        <v/>
      </c>
      <c r="C226" s="9">
        <f>IF('Data Source'!B226="","",'Data Source'!U226)</f>
        <v/>
      </c>
      <c r="D226" s="9">
        <f>IF('Data Source'!B226="","",'Data Source'!V226)</f>
        <v/>
      </c>
      <c r="E226" s="9">
        <f>IF('Data Source'!B226="","",'Data Source'!W226)</f>
        <v/>
      </c>
      <c r="F226" s="9">
        <f>IF('Data Source'!B226="","",'Data Source'!X226)</f>
        <v/>
      </c>
      <c r="G226" s="9">
        <f>IF('Data Source'!B226="","",'Data Source'!Y226)</f>
        <v/>
      </c>
      <c r="H226" s="9">
        <f>IF('Data Source'!B226="","",'Data Source'!Z226)</f>
        <v/>
      </c>
      <c r="I226" s="9">
        <f>IF('Data Source'!B226="","",'Data Source'!AA226)</f>
        <v/>
      </c>
      <c r="J226" s="9">
        <f>IF('Data Source'!B226="","",'Data Source'!AB226)</f>
        <v/>
      </c>
      <c r="K226" s="9">
        <f>IF('Data Source'!B226="","",'Data Source'!AC226)</f>
        <v/>
      </c>
      <c r="L226" s="9">
        <f>IF('Data Source'!B226="","",'Data Source'!AD226)</f>
        <v/>
      </c>
      <c r="M226" s="9">
        <f>IF('Data Source'!B226="","",'Data Source'!AE226)</f>
        <v/>
      </c>
      <c r="N226" s="9">
        <f>IF('Data Source'!B226="","",'Data Source'!AF226)</f>
        <v/>
      </c>
      <c r="O226" s="9">
        <f>IF('Data Source'!B226="","",'Data Source'!AG226)</f>
        <v/>
      </c>
      <c r="P226" s="5">
        <f>IF('Data Source'!B226="","",'Data Source'!R226)</f>
        <v/>
      </c>
      <c r="Q226" s="3">
        <f>IF('Data Source'!B226="","",'Data Source'!S226)</f>
        <v/>
      </c>
    </row>
    <row r="227">
      <c r="A227" s="3">
        <f>IF('Data Source'!B227="","",'Data Source'!A227)</f>
        <v/>
      </c>
      <c r="B227">
        <f>IF('Data Source'!B227="","",'Data Source'!B227)</f>
        <v/>
      </c>
      <c r="C227" s="9">
        <f>IF('Data Source'!B227="","",'Data Source'!U227)</f>
        <v/>
      </c>
      <c r="D227" s="9">
        <f>IF('Data Source'!B227="","",'Data Source'!V227)</f>
        <v/>
      </c>
      <c r="E227" s="9">
        <f>IF('Data Source'!B227="","",'Data Source'!W227)</f>
        <v/>
      </c>
      <c r="F227" s="9">
        <f>IF('Data Source'!B227="","",'Data Source'!X227)</f>
        <v/>
      </c>
      <c r="G227" s="9">
        <f>IF('Data Source'!B227="","",'Data Source'!Y227)</f>
        <v/>
      </c>
      <c r="H227" s="9">
        <f>IF('Data Source'!B227="","",'Data Source'!Z227)</f>
        <v/>
      </c>
      <c r="I227" s="9">
        <f>IF('Data Source'!B227="","",'Data Source'!AA227)</f>
        <v/>
      </c>
      <c r="J227" s="9">
        <f>IF('Data Source'!B227="","",'Data Source'!AB227)</f>
        <v/>
      </c>
      <c r="K227" s="9">
        <f>IF('Data Source'!B227="","",'Data Source'!AC227)</f>
        <v/>
      </c>
      <c r="L227" s="9">
        <f>IF('Data Source'!B227="","",'Data Source'!AD227)</f>
        <v/>
      </c>
      <c r="M227" s="9">
        <f>IF('Data Source'!B227="","",'Data Source'!AE227)</f>
        <v/>
      </c>
      <c r="N227" s="9">
        <f>IF('Data Source'!B227="","",'Data Source'!AF227)</f>
        <v/>
      </c>
      <c r="O227" s="9">
        <f>IF('Data Source'!B227="","",'Data Source'!AG227)</f>
        <v/>
      </c>
      <c r="P227" s="5">
        <f>IF('Data Source'!B227="","",'Data Source'!R227)</f>
        <v/>
      </c>
      <c r="Q227" s="3">
        <f>IF('Data Source'!B227="","",'Data Source'!S227)</f>
        <v/>
      </c>
    </row>
    <row r="228">
      <c r="A228" s="3">
        <f>IF('Data Source'!B228="","",'Data Source'!A228)</f>
        <v/>
      </c>
      <c r="B228">
        <f>IF('Data Source'!B228="","",'Data Source'!B228)</f>
        <v/>
      </c>
      <c r="C228" s="9">
        <f>IF('Data Source'!B228="","",'Data Source'!U228)</f>
        <v/>
      </c>
      <c r="D228" s="9">
        <f>IF('Data Source'!B228="","",'Data Source'!V228)</f>
        <v/>
      </c>
      <c r="E228" s="9">
        <f>IF('Data Source'!B228="","",'Data Source'!W228)</f>
        <v/>
      </c>
      <c r="F228" s="9">
        <f>IF('Data Source'!B228="","",'Data Source'!X228)</f>
        <v/>
      </c>
      <c r="G228" s="9">
        <f>IF('Data Source'!B228="","",'Data Source'!Y228)</f>
        <v/>
      </c>
      <c r="H228" s="9">
        <f>IF('Data Source'!B228="","",'Data Source'!Z228)</f>
        <v/>
      </c>
      <c r="I228" s="9">
        <f>IF('Data Source'!B228="","",'Data Source'!AA228)</f>
        <v/>
      </c>
      <c r="J228" s="9">
        <f>IF('Data Source'!B228="","",'Data Source'!AB228)</f>
        <v/>
      </c>
      <c r="K228" s="9">
        <f>IF('Data Source'!B228="","",'Data Source'!AC228)</f>
        <v/>
      </c>
      <c r="L228" s="9">
        <f>IF('Data Source'!B228="","",'Data Source'!AD228)</f>
        <v/>
      </c>
      <c r="M228" s="9">
        <f>IF('Data Source'!B228="","",'Data Source'!AE228)</f>
        <v/>
      </c>
      <c r="N228" s="9">
        <f>IF('Data Source'!B228="","",'Data Source'!AF228)</f>
        <v/>
      </c>
      <c r="O228" s="9">
        <f>IF('Data Source'!B228="","",'Data Source'!AG228)</f>
        <v/>
      </c>
      <c r="P228" s="5">
        <f>IF('Data Source'!B228="","",'Data Source'!R228)</f>
        <v/>
      </c>
      <c r="Q228" s="3">
        <f>IF('Data Source'!B228="","",'Data Source'!S228)</f>
        <v/>
      </c>
    </row>
    <row r="229">
      <c r="A229" s="3">
        <f>IF('Data Source'!B229="","",'Data Source'!A229)</f>
        <v/>
      </c>
      <c r="B229">
        <f>IF('Data Source'!B229="","",'Data Source'!B229)</f>
        <v/>
      </c>
      <c r="C229" s="9">
        <f>IF('Data Source'!B229="","",'Data Source'!U229)</f>
        <v/>
      </c>
      <c r="D229" s="9">
        <f>IF('Data Source'!B229="","",'Data Source'!V229)</f>
        <v/>
      </c>
      <c r="E229" s="9">
        <f>IF('Data Source'!B229="","",'Data Source'!W229)</f>
        <v/>
      </c>
      <c r="F229" s="9">
        <f>IF('Data Source'!B229="","",'Data Source'!X229)</f>
        <v/>
      </c>
      <c r="G229" s="9">
        <f>IF('Data Source'!B229="","",'Data Source'!Y229)</f>
        <v/>
      </c>
      <c r="H229" s="9">
        <f>IF('Data Source'!B229="","",'Data Source'!Z229)</f>
        <v/>
      </c>
      <c r="I229" s="9">
        <f>IF('Data Source'!B229="","",'Data Source'!AA229)</f>
        <v/>
      </c>
      <c r="J229" s="9">
        <f>IF('Data Source'!B229="","",'Data Source'!AB229)</f>
        <v/>
      </c>
      <c r="K229" s="9">
        <f>IF('Data Source'!B229="","",'Data Source'!AC229)</f>
        <v/>
      </c>
      <c r="L229" s="9">
        <f>IF('Data Source'!B229="","",'Data Source'!AD229)</f>
        <v/>
      </c>
      <c r="M229" s="9">
        <f>IF('Data Source'!B229="","",'Data Source'!AE229)</f>
        <v/>
      </c>
      <c r="N229" s="9">
        <f>IF('Data Source'!B229="","",'Data Source'!AF229)</f>
        <v/>
      </c>
      <c r="O229" s="9">
        <f>IF('Data Source'!B229="","",'Data Source'!AG229)</f>
        <v/>
      </c>
      <c r="P229" s="5">
        <f>IF('Data Source'!B229="","",'Data Source'!R229)</f>
        <v/>
      </c>
      <c r="Q229" s="3">
        <f>IF('Data Source'!B229="","",'Data Source'!S229)</f>
        <v/>
      </c>
    </row>
    <row r="230">
      <c r="A230" s="3">
        <f>IF('Data Source'!B230="","",'Data Source'!A230)</f>
        <v/>
      </c>
      <c r="B230">
        <f>IF('Data Source'!B230="","",'Data Source'!B230)</f>
        <v/>
      </c>
      <c r="C230" s="9">
        <f>IF('Data Source'!B230="","",'Data Source'!U230)</f>
        <v/>
      </c>
      <c r="D230" s="9">
        <f>IF('Data Source'!B230="","",'Data Source'!V230)</f>
        <v/>
      </c>
      <c r="E230" s="9">
        <f>IF('Data Source'!B230="","",'Data Source'!W230)</f>
        <v/>
      </c>
      <c r="F230" s="9">
        <f>IF('Data Source'!B230="","",'Data Source'!X230)</f>
        <v/>
      </c>
      <c r="G230" s="9">
        <f>IF('Data Source'!B230="","",'Data Source'!Y230)</f>
        <v/>
      </c>
      <c r="H230" s="9">
        <f>IF('Data Source'!B230="","",'Data Source'!Z230)</f>
        <v/>
      </c>
      <c r="I230" s="9">
        <f>IF('Data Source'!B230="","",'Data Source'!AA230)</f>
        <v/>
      </c>
      <c r="J230" s="9">
        <f>IF('Data Source'!B230="","",'Data Source'!AB230)</f>
        <v/>
      </c>
      <c r="K230" s="9">
        <f>IF('Data Source'!B230="","",'Data Source'!AC230)</f>
        <v/>
      </c>
      <c r="L230" s="9">
        <f>IF('Data Source'!B230="","",'Data Source'!AD230)</f>
        <v/>
      </c>
      <c r="M230" s="9">
        <f>IF('Data Source'!B230="","",'Data Source'!AE230)</f>
        <v/>
      </c>
      <c r="N230" s="9">
        <f>IF('Data Source'!B230="","",'Data Source'!AF230)</f>
        <v/>
      </c>
      <c r="O230" s="9">
        <f>IF('Data Source'!B230="","",'Data Source'!AG230)</f>
        <v/>
      </c>
      <c r="P230" s="5">
        <f>IF('Data Source'!B230="","",'Data Source'!R230)</f>
        <v/>
      </c>
      <c r="Q230" s="3">
        <f>IF('Data Source'!B230="","",'Data Source'!S230)</f>
        <v/>
      </c>
    </row>
    <row r="231">
      <c r="A231" s="3">
        <f>IF('Data Source'!B231="","",'Data Source'!A231)</f>
        <v/>
      </c>
      <c r="B231">
        <f>IF('Data Source'!B231="","",'Data Source'!B231)</f>
        <v/>
      </c>
      <c r="C231" s="9">
        <f>IF('Data Source'!B231="","",'Data Source'!U231)</f>
        <v/>
      </c>
      <c r="D231" s="9">
        <f>IF('Data Source'!B231="","",'Data Source'!V231)</f>
        <v/>
      </c>
      <c r="E231" s="9">
        <f>IF('Data Source'!B231="","",'Data Source'!W231)</f>
        <v/>
      </c>
      <c r="F231" s="9">
        <f>IF('Data Source'!B231="","",'Data Source'!X231)</f>
        <v/>
      </c>
      <c r="G231" s="9">
        <f>IF('Data Source'!B231="","",'Data Source'!Y231)</f>
        <v/>
      </c>
      <c r="H231" s="9">
        <f>IF('Data Source'!B231="","",'Data Source'!Z231)</f>
        <v/>
      </c>
      <c r="I231" s="9">
        <f>IF('Data Source'!B231="","",'Data Source'!AA231)</f>
        <v/>
      </c>
      <c r="J231" s="9">
        <f>IF('Data Source'!B231="","",'Data Source'!AB231)</f>
        <v/>
      </c>
      <c r="K231" s="9">
        <f>IF('Data Source'!B231="","",'Data Source'!AC231)</f>
        <v/>
      </c>
      <c r="L231" s="9">
        <f>IF('Data Source'!B231="","",'Data Source'!AD231)</f>
        <v/>
      </c>
      <c r="M231" s="9">
        <f>IF('Data Source'!B231="","",'Data Source'!AE231)</f>
        <v/>
      </c>
      <c r="N231" s="9">
        <f>IF('Data Source'!B231="","",'Data Source'!AF231)</f>
        <v/>
      </c>
      <c r="O231" s="9">
        <f>IF('Data Source'!B231="","",'Data Source'!AG231)</f>
        <v/>
      </c>
      <c r="P231" s="5">
        <f>IF('Data Source'!B231="","",'Data Source'!R231)</f>
        <v/>
      </c>
      <c r="Q231" s="3">
        <f>IF('Data Source'!B231="","",'Data Source'!S231)</f>
        <v/>
      </c>
    </row>
    <row r="232">
      <c r="A232" s="3">
        <f>IF('Data Source'!B232="","",'Data Source'!A232)</f>
        <v/>
      </c>
      <c r="B232">
        <f>IF('Data Source'!B232="","",'Data Source'!B232)</f>
        <v/>
      </c>
      <c r="C232" s="9">
        <f>IF('Data Source'!B232="","",'Data Source'!U232)</f>
        <v/>
      </c>
      <c r="D232" s="9">
        <f>IF('Data Source'!B232="","",'Data Source'!V232)</f>
        <v/>
      </c>
      <c r="E232" s="9">
        <f>IF('Data Source'!B232="","",'Data Source'!W232)</f>
        <v/>
      </c>
      <c r="F232" s="9">
        <f>IF('Data Source'!B232="","",'Data Source'!X232)</f>
        <v/>
      </c>
      <c r="G232" s="9">
        <f>IF('Data Source'!B232="","",'Data Source'!Y232)</f>
        <v/>
      </c>
      <c r="H232" s="9">
        <f>IF('Data Source'!B232="","",'Data Source'!Z232)</f>
        <v/>
      </c>
      <c r="I232" s="9">
        <f>IF('Data Source'!B232="","",'Data Source'!AA232)</f>
        <v/>
      </c>
      <c r="J232" s="9">
        <f>IF('Data Source'!B232="","",'Data Source'!AB232)</f>
        <v/>
      </c>
      <c r="K232" s="9">
        <f>IF('Data Source'!B232="","",'Data Source'!AC232)</f>
        <v/>
      </c>
      <c r="L232" s="9">
        <f>IF('Data Source'!B232="","",'Data Source'!AD232)</f>
        <v/>
      </c>
      <c r="M232" s="9">
        <f>IF('Data Source'!B232="","",'Data Source'!AE232)</f>
        <v/>
      </c>
      <c r="N232" s="9">
        <f>IF('Data Source'!B232="","",'Data Source'!AF232)</f>
        <v/>
      </c>
      <c r="O232" s="9">
        <f>IF('Data Source'!B232="","",'Data Source'!AG232)</f>
        <v/>
      </c>
      <c r="P232" s="5">
        <f>IF('Data Source'!B232="","",'Data Source'!R232)</f>
        <v/>
      </c>
      <c r="Q232" s="3">
        <f>IF('Data Source'!B232="","",'Data Source'!S232)</f>
        <v/>
      </c>
    </row>
    <row r="233">
      <c r="A233" s="3">
        <f>IF('Data Source'!B233="","",'Data Source'!A233)</f>
        <v/>
      </c>
      <c r="B233">
        <f>IF('Data Source'!B233="","",'Data Source'!B233)</f>
        <v/>
      </c>
      <c r="C233" s="9">
        <f>IF('Data Source'!B233="","",'Data Source'!U233)</f>
        <v/>
      </c>
      <c r="D233" s="9">
        <f>IF('Data Source'!B233="","",'Data Source'!V233)</f>
        <v/>
      </c>
      <c r="E233" s="9">
        <f>IF('Data Source'!B233="","",'Data Source'!W233)</f>
        <v/>
      </c>
      <c r="F233" s="9">
        <f>IF('Data Source'!B233="","",'Data Source'!X233)</f>
        <v/>
      </c>
      <c r="G233" s="9">
        <f>IF('Data Source'!B233="","",'Data Source'!Y233)</f>
        <v/>
      </c>
      <c r="H233" s="9">
        <f>IF('Data Source'!B233="","",'Data Source'!Z233)</f>
        <v/>
      </c>
      <c r="I233" s="9">
        <f>IF('Data Source'!B233="","",'Data Source'!AA233)</f>
        <v/>
      </c>
      <c r="J233" s="9">
        <f>IF('Data Source'!B233="","",'Data Source'!AB233)</f>
        <v/>
      </c>
      <c r="K233" s="9">
        <f>IF('Data Source'!B233="","",'Data Source'!AC233)</f>
        <v/>
      </c>
      <c r="L233" s="9">
        <f>IF('Data Source'!B233="","",'Data Source'!AD233)</f>
        <v/>
      </c>
      <c r="M233" s="9">
        <f>IF('Data Source'!B233="","",'Data Source'!AE233)</f>
        <v/>
      </c>
      <c r="N233" s="9">
        <f>IF('Data Source'!B233="","",'Data Source'!AF233)</f>
        <v/>
      </c>
      <c r="O233" s="9">
        <f>IF('Data Source'!B233="","",'Data Source'!AG233)</f>
        <v/>
      </c>
      <c r="P233" s="5">
        <f>IF('Data Source'!B233="","",'Data Source'!R233)</f>
        <v/>
      </c>
      <c r="Q233" s="3">
        <f>IF('Data Source'!B233="","",'Data Source'!S233)</f>
        <v/>
      </c>
    </row>
    <row r="234">
      <c r="A234" s="3">
        <f>IF('Data Source'!B234="","",'Data Source'!A234)</f>
        <v/>
      </c>
      <c r="B234">
        <f>IF('Data Source'!B234="","",'Data Source'!B234)</f>
        <v/>
      </c>
      <c r="C234" s="9">
        <f>IF('Data Source'!B234="","",'Data Source'!U234)</f>
        <v/>
      </c>
      <c r="D234" s="9">
        <f>IF('Data Source'!B234="","",'Data Source'!V234)</f>
        <v/>
      </c>
      <c r="E234" s="9">
        <f>IF('Data Source'!B234="","",'Data Source'!W234)</f>
        <v/>
      </c>
      <c r="F234" s="9">
        <f>IF('Data Source'!B234="","",'Data Source'!X234)</f>
        <v/>
      </c>
      <c r="G234" s="9">
        <f>IF('Data Source'!B234="","",'Data Source'!Y234)</f>
        <v/>
      </c>
      <c r="H234" s="9">
        <f>IF('Data Source'!B234="","",'Data Source'!Z234)</f>
        <v/>
      </c>
      <c r="I234" s="9">
        <f>IF('Data Source'!B234="","",'Data Source'!AA234)</f>
        <v/>
      </c>
      <c r="J234" s="9">
        <f>IF('Data Source'!B234="","",'Data Source'!AB234)</f>
        <v/>
      </c>
      <c r="K234" s="9">
        <f>IF('Data Source'!B234="","",'Data Source'!AC234)</f>
        <v/>
      </c>
      <c r="L234" s="9">
        <f>IF('Data Source'!B234="","",'Data Source'!AD234)</f>
        <v/>
      </c>
      <c r="M234" s="9">
        <f>IF('Data Source'!B234="","",'Data Source'!AE234)</f>
        <v/>
      </c>
      <c r="N234" s="9">
        <f>IF('Data Source'!B234="","",'Data Source'!AF234)</f>
        <v/>
      </c>
      <c r="O234" s="9">
        <f>IF('Data Source'!B234="","",'Data Source'!AG234)</f>
        <v/>
      </c>
      <c r="P234" s="5">
        <f>IF('Data Source'!B234="","",'Data Source'!R234)</f>
        <v/>
      </c>
      <c r="Q234" s="3">
        <f>IF('Data Source'!B234="","",'Data Source'!S234)</f>
        <v/>
      </c>
    </row>
    <row r="235">
      <c r="A235" s="3">
        <f>IF('Data Source'!B235="","",'Data Source'!A235)</f>
        <v/>
      </c>
      <c r="B235">
        <f>IF('Data Source'!B235="","",'Data Source'!B235)</f>
        <v/>
      </c>
      <c r="C235" s="9">
        <f>IF('Data Source'!B235="","",'Data Source'!U235)</f>
        <v/>
      </c>
      <c r="D235" s="9">
        <f>IF('Data Source'!B235="","",'Data Source'!V235)</f>
        <v/>
      </c>
      <c r="E235" s="9">
        <f>IF('Data Source'!B235="","",'Data Source'!W235)</f>
        <v/>
      </c>
      <c r="F235" s="9">
        <f>IF('Data Source'!B235="","",'Data Source'!X235)</f>
        <v/>
      </c>
      <c r="G235" s="9">
        <f>IF('Data Source'!B235="","",'Data Source'!Y235)</f>
        <v/>
      </c>
      <c r="H235" s="9">
        <f>IF('Data Source'!B235="","",'Data Source'!Z235)</f>
        <v/>
      </c>
      <c r="I235" s="9">
        <f>IF('Data Source'!B235="","",'Data Source'!AA235)</f>
        <v/>
      </c>
      <c r="J235" s="9">
        <f>IF('Data Source'!B235="","",'Data Source'!AB235)</f>
        <v/>
      </c>
      <c r="K235" s="9">
        <f>IF('Data Source'!B235="","",'Data Source'!AC235)</f>
        <v/>
      </c>
      <c r="L235" s="9">
        <f>IF('Data Source'!B235="","",'Data Source'!AD235)</f>
        <v/>
      </c>
      <c r="M235" s="9">
        <f>IF('Data Source'!B235="","",'Data Source'!AE235)</f>
        <v/>
      </c>
      <c r="N235" s="9">
        <f>IF('Data Source'!B235="","",'Data Source'!AF235)</f>
        <v/>
      </c>
      <c r="O235" s="9">
        <f>IF('Data Source'!B235="","",'Data Source'!AG235)</f>
        <v/>
      </c>
      <c r="P235" s="5">
        <f>IF('Data Source'!B235="","",'Data Source'!R235)</f>
        <v/>
      </c>
      <c r="Q235" s="3">
        <f>IF('Data Source'!B235="","",'Data Source'!S235)</f>
        <v/>
      </c>
    </row>
    <row r="236">
      <c r="A236" s="3">
        <f>IF('Data Source'!B236="","",'Data Source'!A236)</f>
        <v/>
      </c>
      <c r="B236">
        <f>IF('Data Source'!B236="","",'Data Source'!B236)</f>
        <v/>
      </c>
      <c r="C236" s="9">
        <f>IF('Data Source'!B236="","",'Data Source'!U236)</f>
        <v/>
      </c>
      <c r="D236" s="9">
        <f>IF('Data Source'!B236="","",'Data Source'!V236)</f>
        <v/>
      </c>
      <c r="E236" s="9">
        <f>IF('Data Source'!B236="","",'Data Source'!W236)</f>
        <v/>
      </c>
      <c r="F236" s="9">
        <f>IF('Data Source'!B236="","",'Data Source'!X236)</f>
        <v/>
      </c>
      <c r="G236" s="9">
        <f>IF('Data Source'!B236="","",'Data Source'!Y236)</f>
        <v/>
      </c>
      <c r="H236" s="9">
        <f>IF('Data Source'!B236="","",'Data Source'!Z236)</f>
        <v/>
      </c>
      <c r="I236" s="9">
        <f>IF('Data Source'!B236="","",'Data Source'!AA236)</f>
        <v/>
      </c>
      <c r="J236" s="9">
        <f>IF('Data Source'!B236="","",'Data Source'!AB236)</f>
        <v/>
      </c>
      <c r="K236" s="9">
        <f>IF('Data Source'!B236="","",'Data Source'!AC236)</f>
        <v/>
      </c>
      <c r="L236" s="9">
        <f>IF('Data Source'!B236="","",'Data Source'!AD236)</f>
        <v/>
      </c>
      <c r="M236" s="9">
        <f>IF('Data Source'!B236="","",'Data Source'!AE236)</f>
        <v/>
      </c>
      <c r="N236" s="9">
        <f>IF('Data Source'!B236="","",'Data Source'!AF236)</f>
        <v/>
      </c>
      <c r="O236" s="9">
        <f>IF('Data Source'!B236="","",'Data Source'!AG236)</f>
        <v/>
      </c>
      <c r="P236" s="5">
        <f>IF('Data Source'!B236="","",'Data Source'!R236)</f>
        <v/>
      </c>
      <c r="Q236" s="3">
        <f>IF('Data Source'!B236="","",'Data Source'!S236)</f>
        <v/>
      </c>
    </row>
    <row r="237">
      <c r="A237" s="3">
        <f>IF('Data Source'!B237="","",'Data Source'!A237)</f>
        <v/>
      </c>
      <c r="B237">
        <f>IF('Data Source'!B237="","",'Data Source'!B237)</f>
        <v/>
      </c>
      <c r="C237" s="9">
        <f>IF('Data Source'!B237="","",'Data Source'!U237)</f>
        <v/>
      </c>
      <c r="D237" s="9">
        <f>IF('Data Source'!B237="","",'Data Source'!V237)</f>
        <v/>
      </c>
      <c r="E237" s="9">
        <f>IF('Data Source'!B237="","",'Data Source'!W237)</f>
        <v/>
      </c>
      <c r="F237" s="9">
        <f>IF('Data Source'!B237="","",'Data Source'!X237)</f>
        <v/>
      </c>
      <c r="G237" s="9">
        <f>IF('Data Source'!B237="","",'Data Source'!Y237)</f>
        <v/>
      </c>
      <c r="H237" s="9">
        <f>IF('Data Source'!B237="","",'Data Source'!Z237)</f>
        <v/>
      </c>
      <c r="I237" s="9">
        <f>IF('Data Source'!B237="","",'Data Source'!AA237)</f>
        <v/>
      </c>
      <c r="J237" s="9">
        <f>IF('Data Source'!B237="","",'Data Source'!AB237)</f>
        <v/>
      </c>
      <c r="K237" s="9">
        <f>IF('Data Source'!B237="","",'Data Source'!AC237)</f>
        <v/>
      </c>
      <c r="L237" s="9">
        <f>IF('Data Source'!B237="","",'Data Source'!AD237)</f>
        <v/>
      </c>
      <c r="M237" s="9">
        <f>IF('Data Source'!B237="","",'Data Source'!AE237)</f>
        <v/>
      </c>
      <c r="N237" s="9">
        <f>IF('Data Source'!B237="","",'Data Source'!AF237)</f>
        <v/>
      </c>
      <c r="O237" s="9">
        <f>IF('Data Source'!B237="","",'Data Source'!AG237)</f>
        <v/>
      </c>
      <c r="P237" s="5">
        <f>IF('Data Source'!B237="","",'Data Source'!R237)</f>
        <v/>
      </c>
      <c r="Q237" s="3">
        <f>IF('Data Source'!B237="","",'Data Source'!S237)</f>
        <v/>
      </c>
    </row>
    <row r="238">
      <c r="A238" s="3">
        <f>IF('Data Source'!B238="","",'Data Source'!A238)</f>
        <v/>
      </c>
      <c r="B238">
        <f>IF('Data Source'!B238="","",'Data Source'!B238)</f>
        <v/>
      </c>
      <c r="C238" s="9">
        <f>IF('Data Source'!B238="","",'Data Source'!U238)</f>
        <v/>
      </c>
      <c r="D238" s="9">
        <f>IF('Data Source'!B238="","",'Data Source'!V238)</f>
        <v/>
      </c>
      <c r="E238" s="9">
        <f>IF('Data Source'!B238="","",'Data Source'!W238)</f>
        <v/>
      </c>
      <c r="F238" s="9">
        <f>IF('Data Source'!B238="","",'Data Source'!X238)</f>
        <v/>
      </c>
      <c r="G238" s="9">
        <f>IF('Data Source'!B238="","",'Data Source'!Y238)</f>
        <v/>
      </c>
      <c r="H238" s="9">
        <f>IF('Data Source'!B238="","",'Data Source'!Z238)</f>
        <v/>
      </c>
      <c r="I238" s="9">
        <f>IF('Data Source'!B238="","",'Data Source'!AA238)</f>
        <v/>
      </c>
      <c r="J238" s="9">
        <f>IF('Data Source'!B238="","",'Data Source'!AB238)</f>
        <v/>
      </c>
      <c r="K238" s="9">
        <f>IF('Data Source'!B238="","",'Data Source'!AC238)</f>
        <v/>
      </c>
      <c r="L238" s="9">
        <f>IF('Data Source'!B238="","",'Data Source'!AD238)</f>
        <v/>
      </c>
      <c r="M238" s="9">
        <f>IF('Data Source'!B238="","",'Data Source'!AE238)</f>
        <v/>
      </c>
      <c r="N238" s="9">
        <f>IF('Data Source'!B238="","",'Data Source'!AF238)</f>
        <v/>
      </c>
      <c r="O238" s="9">
        <f>IF('Data Source'!B238="","",'Data Source'!AG238)</f>
        <v/>
      </c>
      <c r="P238" s="5">
        <f>IF('Data Source'!B238="","",'Data Source'!R238)</f>
        <v/>
      </c>
      <c r="Q238" s="3">
        <f>IF('Data Source'!B238="","",'Data Source'!S238)</f>
        <v/>
      </c>
    </row>
    <row r="239">
      <c r="A239" s="3">
        <f>IF('Data Source'!B239="","",'Data Source'!A239)</f>
        <v/>
      </c>
      <c r="B239">
        <f>IF('Data Source'!B239="","",'Data Source'!B239)</f>
        <v/>
      </c>
      <c r="C239" s="9">
        <f>IF('Data Source'!B239="","",'Data Source'!U239)</f>
        <v/>
      </c>
      <c r="D239" s="9">
        <f>IF('Data Source'!B239="","",'Data Source'!V239)</f>
        <v/>
      </c>
      <c r="E239" s="9">
        <f>IF('Data Source'!B239="","",'Data Source'!W239)</f>
        <v/>
      </c>
      <c r="F239" s="9">
        <f>IF('Data Source'!B239="","",'Data Source'!X239)</f>
        <v/>
      </c>
      <c r="G239" s="9">
        <f>IF('Data Source'!B239="","",'Data Source'!Y239)</f>
        <v/>
      </c>
      <c r="H239" s="9">
        <f>IF('Data Source'!B239="","",'Data Source'!Z239)</f>
        <v/>
      </c>
      <c r="I239" s="9">
        <f>IF('Data Source'!B239="","",'Data Source'!AA239)</f>
        <v/>
      </c>
      <c r="J239" s="9">
        <f>IF('Data Source'!B239="","",'Data Source'!AB239)</f>
        <v/>
      </c>
      <c r="K239" s="9">
        <f>IF('Data Source'!B239="","",'Data Source'!AC239)</f>
        <v/>
      </c>
      <c r="L239" s="9">
        <f>IF('Data Source'!B239="","",'Data Source'!AD239)</f>
        <v/>
      </c>
      <c r="M239" s="9">
        <f>IF('Data Source'!B239="","",'Data Source'!AE239)</f>
        <v/>
      </c>
      <c r="N239" s="9">
        <f>IF('Data Source'!B239="","",'Data Source'!AF239)</f>
        <v/>
      </c>
      <c r="O239" s="9">
        <f>IF('Data Source'!B239="","",'Data Source'!AG239)</f>
        <v/>
      </c>
      <c r="P239" s="5">
        <f>IF('Data Source'!B239="","",'Data Source'!R239)</f>
        <v/>
      </c>
      <c r="Q239" s="3">
        <f>IF('Data Source'!B239="","",'Data Source'!S239)</f>
        <v/>
      </c>
    </row>
    <row r="240">
      <c r="A240" s="3">
        <f>IF('Data Source'!B240="","",'Data Source'!A240)</f>
        <v/>
      </c>
      <c r="B240">
        <f>IF('Data Source'!B240="","",'Data Source'!B240)</f>
        <v/>
      </c>
      <c r="C240" s="9">
        <f>IF('Data Source'!B240="","",'Data Source'!U240)</f>
        <v/>
      </c>
      <c r="D240" s="9">
        <f>IF('Data Source'!B240="","",'Data Source'!V240)</f>
        <v/>
      </c>
      <c r="E240" s="9">
        <f>IF('Data Source'!B240="","",'Data Source'!W240)</f>
        <v/>
      </c>
      <c r="F240" s="9">
        <f>IF('Data Source'!B240="","",'Data Source'!X240)</f>
        <v/>
      </c>
      <c r="G240" s="9">
        <f>IF('Data Source'!B240="","",'Data Source'!Y240)</f>
        <v/>
      </c>
      <c r="H240" s="9">
        <f>IF('Data Source'!B240="","",'Data Source'!Z240)</f>
        <v/>
      </c>
      <c r="I240" s="9">
        <f>IF('Data Source'!B240="","",'Data Source'!AA240)</f>
        <v/>
      </c>
      <c r="J240" s="9">
        <f>IF('Data Source'!B240="","",'Data Source'!AB240)</f>
        <v/>
      </c>
      <c r="K240" s="9">
        <f>IF('Data Source'!B240="","",'Data Source'!AC240)</f>
        <v/>
      </c>
      <c r="L240" s="9">
        <f>IF('Data Source'!B240="","",'Data Source'!AD240)</f>
        <v/>
      </c>
      <c r="M240" s="9">
        <f>IF('Data Source'!B240="","",'Data Source'!AE240)</f>
        <v/>
      </c>
      <c r="N240" s="9">
        <f>IF('Data Source'!B240="","",'Data Source'!AF240)</f>
        <v/>
      </c>
      <c r="O240" s="9">
        <f>IF('Data Source'!B240="","",'Data Source'!AG240)</f>
        <v/>
      </c>
      <c r="P240" s="5">
        <f>IF('Data Source'!B240="","",'Data Source'!R240)</f>
        <v/>
      </c>
      <c r="Q240" s="3">
        <f>IF('Data Source'!B240="","",'Data Source'!S240)</f>
        <v/>
      </c>
    </row>
    <row r="241">
      <c r="A241" s="3">
        <f>IF('Data Source'!B241="","",'Data Source'!A241)</f>
        <v/>
      </c>
      <c r="B241">
        <f>IF('Data Source'!B241="","",'Data Source'!B241)</f>
        <v/>
      </c>
      <c r="C241" s="9">
        <f>IF('Data Source'!B241="","",'Data Source'!U241)</f>
        <v/>
      </c>
      <c r="D241" s="9">
        <f>IF('Data Source'!B241="","",'Data Source'!V241)</f>
        <v/>
      </c>
      <c r="E241" s="9">
        <f>IF('Data Source'!B241="","",'Data Source'!W241)</f>
        <v/>
      </c>
      <c r="F241" s="9">
        <f>IF('Data Source'!B241="","",'Data Source'!X241)</f>
        <v/>
      </c>
      <c r="G241" s="9">
        <f>IF('Data Source'!B241="","",'Data Source'!Y241)</f>
        <v/>
      </c>
      <c r="H241" s="9">
        <f>IF('Data Source'!B241="","",'Data Source'!Z241)</f>
        <v/>
      </c>
      <c r="I241" s="9">
        <f>IF('Data Source'!B241="","",'Data Source'!AA241)</f>
        <v/>
      </c>
      <c r="J241" s="9">
        <f>IF('Data Source'!B241="","",'Data Source'!AB241)</f>
        <v/>
      </c>
      <c r="K241" s="9">
        <f>IF('Data Source'!B241="","",'Data Source'!AC241)</f>
        <v/>
      </c>
      <c r="L241" s="9">
        <f>IF('Data Source'!B241="","",'Data Source'!AD241)</f>
        <v/>
      </c>
      <c r="M241" s="9">
        <f>IF('Data Source'!B241="","",'Data Source'!AE241)</f>
        <v/>
      </c>
      <c r="N241" s="9">
        <f>IF('Data Source'!B241="","",'Data Source'!AF241)</f>
        <v/>
      </c>
      <c r="O241" s="9">
        <f>IF('Data Source'!B241="","",'Data Source'!AG241)</f>
        <v/>
      </c>
      <c r="P241" s="5">
        <f>IF('Data Source'!B241="","",'Data Source'!R241)</f>
        <v/>
      </c>
      <c r="Q241" s="3">
        <f>IF('Data Source'!B241="","",'Data Source'!S241)</f>
        <v/>
      </c>
    </row>
    <row r="242">
      <c r="A242" s="3">
        <f>IF('Data Source'!B242="","",'Data Source'!A242)</f>
        <v/>
      </c>
      <c r="B242">
        <f>IF('Data Source'!B242="","",'Data Source'!B242)</f>
        <v/>
      </c>
      <c r="C242" s="9">
        <f>IF('Data Source'!B242="","",'Data Source'!U242)</f>
        <v/>
      </c>
      <c r="D242" s="9">
        <f>IF('Data Source'!B242="","",'Data Source'!V242)</f>
        <v/>
      </c>
      <c r="E242" s="9">
        <f>IF('Data Source'!B242="","",'Data Source'!W242)</f>
        <v/>
      </c>
      <c r="F242" s="9">
        <f>IF('Data Source'!B242="","",'Data Source'!X242)</f>
        <v/>
      </c>
      <c r="G242" s="9">
        <f>IF('Data Source'!B242="","",'Data Source'!Y242)</f>
        <v/>
      </c>
      <c r="H242" s="9">
        <f>IF('Data Source'!B242="","",'Data Source'!Z242)</f>
        <v/>
      </c>
      <c r="I242" s="9">
        <f>IF('Data Source'!B242="","",'Data Source'!AA242)</f>
        <v/>
      </c>
      <c r="J242" s="9">
        <f>IF('Data Source'!B242="","",'Data Source'!AB242)</f>
        <v/>
      </c>
      <c r="K242" s="9">
        <f>IF('Data Source'!B242="","",'Data Source'!AC242)</f>
        <v/>
      </c>
      <c r="L242" s="9">
        <f>IF('Data Source'!B242="","",'Data Source'!AD242)</f>
        <v/>
      </c>
      <c r="M242" s="9">
        <f>IF('Data Source'!B242="","",'Data Source'!AE242)</f>
        <v/>
      </c>
      <c r="N242" s="9">
        <f>IF('Data Source'!B242="","",'Data Source'!AF242)</f>
        <v/>
      </c>
      <c r="O242" s="9">
        <f>IF('Data Source'!B242="","",'Data Source'!AG242)</f>
        <v/>
      </c>
      <c r="P242" s="5">
        <f>IF('Data Source'!B242="","",'Data Source'!R242)</f>
        <v/>
      </c>
      <c r="Q242" s="3">
        <f>IF('Data Source'!B242="","",'Data Source'!S242)</f>
        <v/>
      </c>
    </row>
    <row r="243">
      <c r="A243" s="3">
        <f>IF('Data Source'!B243="","",'Data Source'!A243)</f>
        <v/>
      </c>
      <c r="B243">
        <f>IF('Data Source'!B243="","",'Data Source'!B243)</f>
        <v/>
      </c>
      <c r="C243" s="9">
        <f>IF('Data Source'!B243="","",'Data Source'!U243)</f>
        <v/>
      </c>
      <c r="D243" s="9">
        <f>IF('Data Source'!B243="","",'Data Source'!V243)</f>
        <v/>
      </c>
      <c r="E243" s="9">
        <f>IF('Data Source'!B243="","",'Data Source'!W243)</f>
        <v/>
      </c>
      <c r="F243" s="9">
        <f>IF('Data Source'!B243="","",'Data Source'!X243)</f>
        <v/>
      </c>
      <c r="G243" s="9">
        <f>IF('Data Source'!B243="","",'Data Source'!Y243)</f>
        <v/>
      </c>
      <c r="H243" s="9">
        <f>IF('Data Source'!B243="","",'Data Source'!Z243)</f>
        <v/>
      </c>
      <c r="I243" s="9">
        <f>IF('Data Source'!B243="","",'Data Source'!AA243)</f>
        <v/>
      </c>
      <c r="J243" s="9">
        <f>IF('Data Source'!B243="","",'Data Source'!AB243)</f>
        <v/>
      </c>
      <c r="K243" s="9">
        <f>IF('Data Source'!B243="","",'Data Source'!AC243)</f>
        <v/>
      </c>
      <c r="L243" s="9">
        <f>IF('Data Source'!B243="","",'Data Source'!AD243)</f>
        <v/>
      </c>
      <c r="M243" s="9">
        <f>IF('Data Source'!B243="","",'Data Source'!AE243)</f>
        <v/>
      </c>
      <c r="N243" s="9">
        <f>IF('Data Source'!B243="","",'Data Source'!AF243)</f>
        <v/>
      </c>
      <c r="O243" s="9">
        <f>IF('Data Source'!B243="","",'Data Source'!AG243)</f>
        <v/>
      </c>
      <c r="P243" s="5">
        <f>IF('Data Source'!B243="","",'Data Source'!R243)</f>
        <v/>
      </c>
      <c r="Q243" s="3">
        <f>IF('Data Source'!B243="","",'Data Source'!S243)</f>
        <v/>
      </c>
    </row>
    <row r="244">
      <c r="A244" s="3">
        <f>IF('Data Source'!B244="","",'Data Source'!A244)</f>
        <v/>
      </c>
      <c r="B244">
        <f>IF('Data Source'!B244="","",'Data Source'!B244)</f>
        <v/>
      </c>
      <c r="C244" s="9">
        <f>IF('Data Source'!B244="","",'Data Source'!U244)</f>
        <v/>
      </c>
      <c r="D244" s="9">
        <f>IF('Data Source'!B244="","",'Data Source'!V244)</f>
        <v/>
      </c>
      <c r="E244" s="9">
        <f>IF('Data Source'!B244="","",'Data Source'!W244)</f>
        <v/>
      </c>
      <c r="F244" s="9">
        <f>IF('Data Source'!B244="","",'Data Source'!X244)</f>
        <v/>
      </c>
      <c r="G244" s="9">
        <f>IF('Data Source'!B244="","",'Data Source'!Y244)</f>
        <v/>
      </c>
      <c r="H244" s="9">
        <f>IF('Data Source'!B244="","",'Data Source'!Z244)</f>
        <v/>
      </c>
      <c r="I244" s="9">
        <f>IF('Data Source'!B244="","",'Data Source'!AA244)</f>
        <v/>
      </c>
      <c r="J244" s="9">
        <f>IF('Data Source'!B244="","",'Data Source'!AB244)</f>
        <v/>
      </c>
      <c r="K244" s="9">
        <f>IF('Data Source'!B244="","",'Data Source'!AC244)</f>
        <v/>
      </c>
      <c r="L244" s="9">
        <f>IF('Data Source'!B244="","",'Data Source'!AD244)</f>
        <v/>
      </c>
      <c r="M244" s="9">
        <f>IF('Data Source'!B244="","",'Data Source'!AE244)</f>
        <v/>
      </c>
      <c r="N244" s="9">
        <f>IF('Data Source'!B244="","",'Data Source'!AF244)</f>
        <v/>
      </c>
      <c r="O244" s="9">
        <f>IF('Data Source'!B244="","",'Data Source'!AG244)</f>
        <v/>
      </c>
      <c r="P244" s="5">
        <f>IF('Data Source'!B244="","",'Data Source'!R244)</f>
        <v/>
      </c>
      <c r="Q244" s="3">
        <f>IF('Data Source'!B244="","",'Data Source'!S244)</f>
        <v/>
      </c>
    </row>
    <row r="245">
      <c r="A245" s="3">
        <f>IF('Data Source'!B245="","",'Data Source'!A245)</f>
        <v/>
      </c>
      <c r="B245">
        <f>IF('Data Source'!B245="","",'Data Source'!B245)</f>
        <v/>
      </c>
      <c r="C245" s="9">
        <f>IF('Data Source'!B245="","",'Data Source'!U245)</f>
        <v/>
      </c>
      <c r="D245" s="9">
        <f>IF('Data Source'!B245="","",'Data Source'!V245)</f>
        <v/>
      </c>
      <c r="E245" s="9">
        <f>IF('Data Source'!B245="","",'Data Source'!W245)</f>
        <v/>
      </c>
      <c r="F245" s="9">
        <f>IF('Data Source'!B245="","",'Data Source'!X245)</f>
        <v/>
      </c>
      <c r="G245" s="9">
        <f>IF('Data Source'!B245="","",'Data Source'!Y245)</f>
        <v/>
      </c>
      <c r="H245" s="9">
        <f>IF('Data Source'!B245="","",'Data Source'!Z245)</f>
        <v/>
      </c>
      <c r="I245" s="9">
        <f>IF('Data Source'!B245="","",'Data Source'!AA245)</f>
        <v/>
      </c>
      <c r="J245" s="9">
        <f>IF('Data Source'!B245="","",'Data Source'!AB245)</f>
        <v/>
      </c>
      <c r="K245" s="9">
        <f>IF('Data Source'!B245="","",'Data Source'!AC245)</f>
        <v/>
      </c>
      <c r="L245" s="9">
        <f>IF('Data Source'!B245="","",'Data Source'!AD245)</f>
        <v/>
      </c>
      <c r="M245" s="9">
        <f>IF('Data Source'!B245="","",'Data Source'!AE245)</f>
        <v/>
      </c>
      <c r="N245" s="9">
        <f>IF('Data Source'!B245="","",'Data Source'!AF245)</f>
        <v/>
      </c>
      <c r="O245" s="9">
        <f>IF('Data Source'!B245="","",'Data Source'!AG245)</f>
        <v/>
      </c>
      <c r="P245" s="5">
        <f>IF('Data Source'!B245="","",'Data Source'!R245)</f>
        <v/>
      </c>
      <c r="Q245" s="3">
        <f>IF('Data Source'!B245="","",'Data Source'!S245)</f>
        <v/>
      </c>
    </row>
    <row r="246">
      <c r="A246" s="3">
        <f>IF('Data Source'!B246="","",'Data Source'!A246)</f>
        <v/>
      </c>
      <c r="B246">
        <f>IF('Data Source'!B246="","",'Data Source'!B246)</f>
        <v/>
      </c>
      <c r="C246" s="9">
        <f>IF('Data Source'!B246="","",'Data Source'!U246)</f>
        <v/>
      </c>
      <c r="D246" s="9">
        <f>IF('Data Source'!B246="","",'Data Source'!V246)</f>
        <v/>
      </c>
      <c r="E246" s="9">
        <f>IF('Data Source'!B246="","",'Data Source'!W246)</f>
        <v/>
      </c>
      <c r="F246" s="9">
        <f>IF('Data Source'!B246="","",'Data Source'!X246)</f>
        <v/>
      </c>
      <c r="G246" s="9">
        <f>IF('Data Source'!B246="","",'Data Source'!Y246)</f>
        <v/>
      </c>
      <c r="H246" s="9">
        <f>IF('Data Source'!B246="","",'Data Source'!Z246)</f>
        <v/>
      </c>
      <c r="I246" s="9">
        <f>IF('Data Source'!B246="","",'Data Source'!AA246)</f>
        <v/>
      </c>
      <c r="J246" s="9">
        <f>IF('Data Source'!B246="","",'Data Source'!AB246)</f>
        <v/>
      </c>
      <c r="K246" s="9">
        <f>IF('Data Source'!B246="","",'Data Source'!AC246)</f>
        <v/>
      </c>
      <c r="L246" s="9">
        <f>IF('Data Source'!B246="","",'Data Source'!AD246)</f>
        <v/>
      </c>
      <c r="M246" s="9">
        <f>IF('Data Source'!B246="","",'Data Source'!AE246)</f>
        <v/>
      </c>
      <c r="N246" s="9">
        <f>IF('Data Source'!B246="","",'Data Source'!AF246)</f>
        <v/>
      </c>
      <c r="O246" s="9">
        <f>IF('Data Source'!B246="","",'Data Source'!AG246)</f>
        <v/>
      </c>
      <c r="P246" s="5">
        <f>IF('Data Source'!B246="","",'Data Source'!R246)</f>
        <v/>
      </c>
      <c r="Q246" s="3">
        <f>IF('Data Source'!B246="","",'Data Source'!S246)</f>
        <v/>
      </c>
    </row>
    <row r="247">
      <c r="A247" s="3">
        <f>IF('Data Source'!B247="","",'Data Source'!A247)</f>
        <v/>
      </c>
      <c r="B247">
        <f>IF('Data Source'!B247="","",'Data Source'!B247)</f>
        <v/>
      </c>
      <c r="C247" s="9">
        <f>IF('Data Source'!B247="","",'Data Source'!U247)</f>
        <v/>
      </c>
      <c r="D247" s="9">
        <f>IF('Data Source'!B247="","",'Data Source'!V247)</f>
        <v/>
      </c>
      <c r="E247" s="9">
        <f>IF('Data Source'!B247="","",'Data Source'!W247)</f>
        <v/>
      </c>
      <c r="F247" s="9">
        <f>IF('Data Source'!B247="","",'Data Source'!X247)</f>
        <v/>
      </c>
      <c r="G247" s="9">
        <f>IF('Data Source'!B247="","",'Data Source'!Y247)</f>
        <v/>
      </c>
      <c r="H247" s="9">
        <f>IF('Data Source'!B247="","",'Data Source'!Z247)</f>
        <v/>
      </c>
      <c r="I247" s="9">
        <f>IF('Data Source'!B247="","",'Data Source'!AA247)</f>
        <v/>
      </c>
      <c r="J247" s="9">
        <f>IF('Data Source'!B247="","",'Data Source'!AB247)</f>
        <v/>
      </c>
      <c r="K247" s="9">
        <f>IF('Data Source'!B247="","",'Data Source'!AC247)</f>
        <v/>
      </c>
      <c r="L247" s="9">
        <f>IF('Data Source'!B247="","",'Data Source'!AD247)</f>
        <v/>
      </c>
      <c r="M247" s="9">
        <f>IF('Data Source'!B247="","",'Data Source'!AE247)</f>
        <v/>
      </c>
      <c r="N247" s="9">
        <f>IF('Data Source'!B247="","",'Data Source'!AF247)</f>
        <v/>
      </c>
      <c r="O247" s="9">
        <f>IF('Data Source'!B247="","",'Data Source'!AG247)</f>
        <v/>
      </c>
      <c r="P247" s="5">
        <f>IF('Data Source'!B247="","",'Data Source'!R247)</f>
        <v/>
      </c>
      <c r="Q247" s="3">
        <f>IF('Data Source'!B247="","",'Data Source'!S247)</f>
        <v/>
      </c>
    </row>
    <row r="248">
      <c r="A248" s="3">
        <f>IF('Data Source'!B248="","",'Data Source'!A248)</f>
        <v/>
      </c>
      <c r="B248">
        <f>IF('Data Source'!B248="","",'Data Source'!B248)</f>
        <v/>
      </c>
      <c r="C248" s="9">
        <f>IF('Data Source'!B248="","",'Data Source'!U248)</f>
        <v/>
      </c>
      <c r="D248" s="9">
        <f>IF('Data Source'!B248="","",'Data Source'!V248)</f>
        <v/>
      </c>
      <c r="E248" s="9">
        <f>IF('Data Source'!B248="","",'Data Source'!W248)</f>
        <v/>
      </c>
      <c r="F248" s="9">
        <f>IF('Data Source'!B248="","",'Data Source'!X248)</f>
        <v/>
      </c>
      <c r="G248" s="9">
        <f>IF('Data Source'!B248="","",'Data Source'!Y248)</f>
        <v/>
      </c>
      <c r="H248" s="9">
        <f>IF('Data Source'!B248="","",'Data Source'!Z248)</f>
        <v/>
      </c>
      <c r="I248" s="9">
        <f>IF('Data Source'!B248="","",'Data Source'!AA248)</f>
        <v/>
      </c>
      <c r="J248" s="9">
        <f>IF('Data Source'!B248="","",'Data Source'!AB248)</f>
        <v/>
      </c>
      <c r="K248" s="9">
        <f>IF('Data Source'!B248="","",'Data Source'!AC248)</f>
        <v/>
      </c>
      <c r="L248" s="9">
        <f>IF('Data Source'!B248="","",'Data Source'!AD248)</f>
        <v/>
      </c>
      <c r="M248" s="9">
        <f>IF('Data Source'!B248="","",'Data Source'!AE248)</f>
        <v/>
      </c>
      <c r="N248" s="9">
        <f>IF('Data Source'!B248="","",'Data Source'!AF248)</f>
        <v/>
      </c>
      <c r="O248" s="9">
        <f>IF('Data Source'!B248="","",'Data Source'!AG248)</f>
        <v/>
      </c>
      <c r="P248" s="5">
        <f>IF('Data Source'!B248="","",'Data Source'!R248)</f>
        <v/>
      </c>
      <c r="Q248" s="3">
        <f>IF('Data Source'!B248="","",'Data Source'!S248)</f>
        <v/>
      </c>
    </row>
    <row r="249">
      <c r="A249" s="3">
        <f>IF('Data Source'!B249="","",'Data Source'!A249)</f>
        <v/>
      </c>
      <c r="B249">
        <f>IF('Data Source'!B249="","",'Data Source'!B249)</f>
        <v/>
      </c>
      <c r="C249" s="9">
        <f>IF('Data Source'!B249="","",'Data Source'!U249)</f>
        <v/>
      </c>
      <c r="D249" s="9">
        <f>IF('Data Source'!B249="","",'Data Source'!V249)</f>
        <v/>
      </c>
      <c r="E249" s="9">
        <f>IF('Data Source'!B249="","",'Data Source'!W249)</f>
        <v/>
      </c>
      <c r="F249" s="9">
        <f>IF('Data Source'!B249="","",'Data Source'!X249)</f>
        <v/>
      </c>
      <c r="G249" s="9">
        <f>IF('Data Source'!B249="","",'Data Source'!Y249)</f>
        <v/>
      </c>
      <c r="H249" s="9">
        <f>IF('Data Source'!B249="","",'Data Source'!Z249)</f>
        <v/>
      </c>
      <c r="I249" s="9">
        <f>IF('Data Source'!B249="","",'Data Source'!AA249)</f>
        <v/>
      </c>
      <c r="J249" s="9">
        <f>IF('Data Source'!B249="","",'Data Source'!AB249)</f>
        <v/>
      </c>
      <c r="K249" s="9">
        <f>IF('Data Source'!B249="","",'Data Source'!AC249)</f>
        <v/>
      </c>
      <c r="L249" s="9">
        <f>IF('Data Source'!B249="","",'Data Source'!AD249)</f>
        <v/>
      </c>
      <c r="M249" s="9">
        <f>IF('Data Source'!B249="","",'Data Source'!AE249)</f>
        <v/>
      </c>
      <c r="N249" s="9">
        <f>IF('Data Source'!B249="","",'Data Source'!AF249)</f>
        <v/>
      </c>
      <c r="O249" s="9">
        <f>IF('Data Source'!B249="","",'Data Source'!AG249)</f>
        <v/>
      </c>
      <c r="P249" s="5">
        <f>IF('Data Source'!B249="","",'Data Source'!R249)</f>
        <v/>
      </c>
      <c r="Q249" s="3">
        <f>IF('Data Source'!B249="","",'Data Source'!S249)</f>
        <v/>
      </c>
    </row>
    <row r="250">
      <c r="A250" s="3">
        <f>IF('Data Source'!B250="","",'Data Source'!A250)</f>
        <v/>
      </c>
      <c r="B250">
        <f>IF('Data Source'!B250="","",'Data Source'!B250)</f>
        <v/>
      </c>
      <c r="C250" s="9">
        <f>IF('Data Source'!B250="","",'Data Source'!U250)</f>
        <v/>
      </c>
      <c r="D250" s="9">
        <f>IF('Data Source'!B250="","",'Data Source'!V250)</f>
        <v/>
      </c>
      <c r="E250" s="9">
        <f>IF('Data Source'!B250="","",'Data Source'!W250)</f>
        <v/>
      </c>
      <c r="F250" s="9">
        <f>IF('Data Source'!B250="","",'Data Source'!X250)</f>
        <v/>
      </c>
      <c r="G250" s="9">
        <f>IF('Data Source'!B250="","",'Data Source'!Y250)</f>
        <v/>
      </c>
      <c r="H250" s="9">
        <f>IF('Data Source'!B250="","",'Data Source'!Z250)</f>
        <v/>
      </c>
      <c r="I250" s="9">
        <f>IF('Data Source'!B250="","",'Data Source'!AA250)</f>
        <v/>
      </c>
      <c r="J250" s="9">
        <f>IF('Data Source'!B250="","",'Data Source'!AB250)</f>
        <v/>
      </c>
      <c r="K250" s="9">
        <f>IF('Data Source'!B250="","",'Data Source'!AC250)</f>
        <v/>
      </c>
      <c r="L250" s="9">
        <f>IF('Data Source'!B250="","",'Data Source'!AD250)</f>
        <v/>
      </c>
      <c r="M250" s="9">
        <f>IF('Data Source'!B250="","",'Data Source'!AE250)</f>
        <v/>
      </c>
      <c r="N250" s="9">
        <f>IF('Data Source'!B250="","",'Data Source'!AF250)</f>
        <v/>
      </c>
      <c r="O250" s="9">
        <f>IF('Data Source'!B250="","",'Data Source'!AG250)</f>
        <v/>
      </c>
      <c r="P250" s="5">
        <f>IF('Data Source'!B250="","",'Data Source'!R250)</f>
        <v/>
      </c>
      <c r="Q250" s="3">
        <f>IF('Data Source'!B250="","",'Data Source'!S250)</f>
        <v/>
      </c>
    </row>
    <row r="251">
      <c r="A251" s="3">
        <f>IF('Data Source'!B251="","",'Data Source'!A251)</f>
        <v/>
      </c>
      <c r="B251">
        <f>IF('Data Source'!B251="","",'Data Source'!B251)</f>
        <v/>
      </c>
      <c r="C251" s="9">
        <f>IF('Data Source'!B251="","",'Data Source'!U251)</f>
        <v/>
      </c>
      <c r="D251" s="9">
        <f>IF('Data Source'!B251="","",'Data Source'!V251)</f>
        <v/>
      </c>
      <c r="E251" s="9">
        <f>IF('Data Source'!B251="","",'Data Source'!W251)</f>
        <v/>
      </c>
      <c r="F251" s="9">
        <f>IF('Data Source'!B251="","",'Data Source'!X251)</f>
        <v/>
      </c>
      <c r="G251" s="9">
        <f>IF('Data Source'!B251="","",'Data Source'!Y251)</f>
        <v/>
      </c>
      <c r="H251" s="9">
        <f>IF('Data Source'!B251="","",'Data Source'!Z251)</f>
        <v/>
      </c>
      <c r="I251" s="9">
        <f>IF('Data Source'!B251="","",'Data Source'!AA251)</f>
        <v/>
      </c>
      <c r="J251" s="9">
        <f>IF('Data Source'!B251="","",'Data Source'!AB251)</f>
        <v/>
      </c>
      <c r="K251" s="9">
        <f>IF('Data Source'!B251="","",'Data Source'!AC251)</f>
        <v/>
      </c>
      <c r="L251" s="9">
        <f>IF('Data Source'!B251="","",'Data Source'!AD251)</f>
        <v/>
      </c>
      <c r="M251" s="9">
        <f>IF('Data Source'!B251="","",'Data Source'!AE251)</f>
        <v/>
      </c>
      <c r="N251" s="9">
        <f>IF('Data Source'!B251="","",'Data Source'!AF251)</f>
        <v/>
      </c>
      <c r="O251" s="9">
        <f>IF('Data Source'!B251="","",'Data Source'!AG251)</f>
        <v/>
      </c>
      <c r="P251" s="5">
        <f>IF('Data Source'!B251="","",'Data Source'!R251)</f>
        <v/>
      </c>
      <c r="Q251" s="3">
        <f>IF('Data Source'!B251="","",'Data Source'!S251)</f>
        <v/>
      </c>
    </row>
    <row r="252">
      <c r="A252" s="3">
        <f>IF('Data Source'!B252="","",'Data Source'!A252)</f>
        <v/>
      </c>
      <c r="B252">
        <f>IF('Data Source'!B252="","",'Data Source'!B252)</f>
        <v/>
      </c>
      <c r="C252" s="9">
        <f>IF('Data Source'!B252="","",'Data Source'!U252)</f>
        <v/>
      </c>
      <c r="D252" s="9">
        <f>IF('Data Source'!B252="","",'Data Source'!V252)</f>
        <v/>
      </c>
      <c r="E252" s="9">
        <f>IF('Data Source'!B252="","",'Data Source'!W252)</f>
        <v/>
      </c>
      <c r="F252" s="9">
        <f>IF('Data Source'!B252="","",'Data Source'!X252)</f>
        <v/>
      </c>
      <c r="G252" s="9">
        <f>IF('Data Source'!B252="","",'Data Source'!Y252)</f>
        <v/>
      </c>
      <c r="H252" s="9">
        <f>IF('Data Source'!B252="","",'Data Source'!Z252)</f>
        <v/>
      </c>
      <c r="I252" s="9">
        <f>IF('Data Source'!B252="","",'Data Source'!AA252)</f>
        <v/>
      </c>
      <c r="J252" s="9">
        <f>IF('Data Source'!B252="","",'Data Source'!AB252)</f>
        <v/>
      </c>
      <c r="K252" s="9">
        <f>IF('Data Source'!B252="","",'Data Source'!AC252)</f>
        <v/>
      </c>
      <c r="L252" s="9">
        <f>IF('Data Source'!B252="","",'Data Source'!AD252)</f>
        <v/>
      </c>
      <c r="M252" s="9">
        <f>IF('Data Source'!B252="","",'Data Source'!AE252)</f>
        <v/>
      </c>
      <c r="N252" s="9">
        <f>IF('Data Source'!B252="","",'Data Source'!AF252)</f>
        <v/>
      </c>
      <c r="O252" s="9">
        <f>IF('Data Source'!B252="","",'Data Source'!AG252)</f>
        <v/>
      </c>
      <c r="P252" s="5">
        <f>IF('Data Source'!B252="","",'Data Source'!R252)</f>
        <v/>
      </c>
      <c r="Q252" s="3">
        <f>IF('Data Source'!B252="","",'Data Source'!S252)</f>
        <v/>
      </c>
    </row>
    <row r="253">
      <c r="A253" s="3">
        <f>IF('Data Source'!B253="","",'Data Source'!A253)</f>
        <v/>
      </c>
      <c r="B253">
        <f>IF('Data Source'!B253="","",'Data Source'!B253)</f>
        <v/>
      </c>
      <c r="C253" s="9">
        <f>IF('Data Source'!B253="","",'Data Source'!U253)</f>
        <v/>
      </c>
      <c r="D253" s="9">
        <f>IF('Data Source'!B253="","",'Data Source'!V253)</f>
        <v/>
      </c>
      <c r="E253" s="9">
        <f>IF('Data Source'!B253="","",'Data Source'!W253)</f>
        <v/>
      </c>
      <c r="F253" s="9">
        <f>IF('Data Source'!B253="","",'Data Source'!X253)</f>
        <v/>
      </c>
      <c r="G253" s="9">
        <f>IF('Data Source'!B253="","",'Data Source'!Y253)</f>
        <v/>
      </c>
      <c r="H253" s="9">
        <f>IF('Data Source'!B253="","",'Data Source'!Z253)</f>
        <v/>
      </c>
      <c r="I253" s="9">
        <f>IF('Data Source'!B253="","",'Data Source'!AA253)</f>
        <v/>
      </c>
      <c r="J253" s="9">
        <f>IF('Data Source'!B253="","",'Data Source'!AB253)</f>
        <v/>
      </c>
      <c r="K253" s="9">
        <f>IF('Data Source'!B253="","",'Data Source'!AC253)</f>
        <v/>
      </c>
      <c r="L253" s="9">
        <f>IF('Data Source'!B253="","",'Data Source'!AD253)</f>
        <v/>
      </c>
      <c r="M253" s="9">
        <f>IF('Data Source'!B253="","",'Data Source'!AE253)</f>
        <v/>
      </c>
      <c r="N253" s="9">
        <f>IF('Data Source'!B253="","",'Data Source'!AF253)</f>
        <v/>
      </c>
      <c r="O253" s="9">
        <f>IF('Data Source'!B253="","",'Data Source'!AG253)</f>
        <v/>
      </c>
      <c r="P253" s="5">
        <f>IF('Data Source'!B253="","",'Data Source'!R253)</f>
        <v/>
      </c>
      <c r="Q253" s="3">
        <f>IF('Data Source'!B253="","",'Data Source'!S253)</f>
        <v/>
      </c>
    </row>
    <row r="254">
      <c r="A254" s="3">
        <f>IF('Data Source'!B254="","",'Data Source'!A254)</f>
        <v/>
      </c>
      <c r="B254">
        <f>IF('Data Source'!B254="","",'Data Source'!B254)</f>
        <v/>
      </c>
      <c r="C254" s="9">
        <f>IF('Data Source'!B254="","",'Data Source'!U254)</f>
        <v/>
      </c>
      <c r="D254" s="9">
        <f>IF('Data Source'!B254="","",'Data Source'!V254)</f>
        <v/>
      </c>
      <c r="E254" s="9">
        <f>IF('Data Source'!B254="","",'Data Source'!W254)</f>
        <v/>
      </c>
      <c r="F254" s="9">
        <f>IF('Data Source'!B254="","",'Data Source'!X254)</f>
        <v/>
      </c>
      <c r="G254" s="9">
        <f>IF('Data Source'!B254="","",'Data Source'!Y254)</f>
        <v/>
      </c>
      <c r="H254" s="9">
        <f>IF('Data Source'!B254="","",'Data Source'!Z254)</f>
        <v/>
      </c>
      <c r="I254" s="9">
        <f>IF('Data Source'!B254="","",'Data Source'!AA254)</f>
        <v/>
      </c>
      <c r="J254" s="9">
        <f>IF('Data Source'!B254="","",'Data Source'!AB254)</f>
        <v/>
      </c>
      <c r="K254" s="9">
        <f>IF('Data Source'!B254="","",'Data Source'!AC254)</f>
        <v/>
      </c>
      <c r="L254" s="9">
        <f>IF('Data Source'!B254="","",'Data Source'!AD254)</f>
        <v/>
      </c>
      <c r="M254" s="9">
        <f>IF('Data Source'!B254="","",'Data Source'!AE254)</f>
        <v/>
      </c>
      <c r="N254" s="9">
        <f>IF('Data Source'!B254="","",'Data Source'!AF254)</f>
        <v/>
      </c>
      <c r="O254" s="9">
        <f>IF('Data Source'!B254="","",'Data Source'!AG254)</f>
        <v/>
      </c>
      <c r="P254" s="5">
        <f>IF('Data Source'!B254="","",'Data Source'!R254)</f>
        <v/>
      </c>
      <c r="Q254" s="3">
        <f>IF('Data Source'!B254="","",'Data Source'!S254)</f>
        <v/>
      </c>
    </row>
    <row r="255">
      <c r="A255" s="3">
        <f>IF('Data Source'!B255="","",'Data Source'!A255)</f>
        <v/>
      </c>
      <c r="B255">
        <f>IF('Data Source'!B255="","",'Data Source'!B255)</f>
        <v/>
      </c>
      <c r="C255" s="9">
        <f>IF('Data Source'!B255="","",'Data Source'!U255)</f>
        <v/>
      </c>
      <c r="D255" s="9">
        <f>IF('Data Source'!B255="","",'Data Source'!V255)</f>
        <v/>
      </c>
      <c r="E255" s="9">
        <f>IF('Data Source'!B255="","",'Data Source'!W255)</f>
        <v/>
      </c>
      <c r="F255" s="9">
        <f>IF('Data Source'!B255="","",'Data Source'!X255)</f>
        <v/>
      </c>
      <c r="G255" s="9">
        <f>IF('Data Source'!B255="","",'Data Source'!Y255)</f>
        <v/>
      </c>
      <c r="H255" s="9">
        <f>IF('Data Source'!B255="","",'Data Source'!Z255)</f>
        <v/>
      </c>
      <c r="I255" s="9">
        <f>IF('Data Source'!B255="","",'Data Source'!AA255)</f>
        <v/>
      </c>
      <c r="J255" s="9">
        <f>IF('Data Source'!B255="","",'Data Source'!AB255)</f>
        <v/>
      </c>
      <c r="K255" s="9">
        <f>IF('Data Source'!B255="","",'Data Source'!AC255)</f>
        <v/>
      </c>
      <c r="L255" s="9">
        <f>IF('Data Source'!B255="","",'Data Source'!AD255)</f>
        <v/>
      </c>
      <c r="M255" s="9">
        <f>IF('Data Source'!B255="","",'Data Source'!AE255)</f>
        <v/>
      </c>
      <c r="N255" s="9">
        <f>IF('Data Source'!B255="","",'Data Source'!AF255)</f>
        <v/>
      </c>
      <c r="O255" s="9">
        <f>IF('Data Source'!B255="","",'Data Source'!AG255)</f>
        <v/>
      </c>
      <c r="P255" s="5">
        <f>IF('Data Source'!B255="","",'Data Source'!R255)</f>
        <v/>
      </c>
      <c r="Q255" s="3">
        <f>IF('Data Source'!B255="","",'Data Source'!S255)</f>
        <v/>
      </c>
    </row>
    <row r="256">
      <c r="A256" s="3">
        <f>IF('Data Source'!B256="","",'Data Source'!A256)</f>
        <v/>
      </c>
      <c r="B256">
        <f>IF('Data Source'!B256="","",'Data Source'!B256)</f>
        <v/>
      </c>
      <c r="C256" s="9">
        <f>IF('Data Source'!B256="","",'Data Source'!U256)</f>
        <v/>
      </c>
      <c r="D256" s="9">
        <f>IF('Data Source'!B256="","",'Data Source'!V256)</f>
        <v/>
      </c>
      <c r="E256" s="9">
        <f>IF('Data Source'!B256="","",'Data Source'!W256)</f>
        <v/>
      </c>
      <c r="F256" s="9">
        <f>IF('Data Source'!B256="","",'Data Source'!X256)</f>
        <v/>
      </c>
      <c r="G256" s="9">
        <f>IF('Data Source'!B256="","",'Data Source'!Y256)</f>
        <v/>
      </c>
      <c r="H256" s="9">
        <f>IF('Data Source'!B256="","",'Data Source'!Z256)</f>
        <v/>
      </c>
      <c r="I256" s="9">
        <f>IF('Data Source'!B256="","",'Data Source'!AA256)</f>
        <v/>
      </c>
      <c r="J256" s="9">
        <f>IF('Data Source'!B256="","",'Data Source'!AB256)</f>
        <v/>
      </c>
      <c r="K256" s="9">
        <f>IF('Data Source'!B256="","",'Data Source'!AC256)</f>
        <v/>
      </c>
      <c r="L256" s="9">
        <f>IF('Data Source'!B256="","",'Data Source'!AD256)</f>
        <v/>
      </c>
      <c r="M256" s="9">
        <f>IF('Data Source'!B256="","",'Data Source'!AE256)</f>
        <v/>
      </c>
      <c r="N256" s="9">
        <f>IF('Data Source'!B256="","",'Data Source'!AF256)</f>
        <v/>
      </c>
      <c r="O256" s="9">
        <f>IF('Data Source'!B256="","",'Data Source'!AG256)</f>
        <v/>
      </c>
      <c r="P256" s="5">
        <f>IF('Data Source'!B256="","",'Data Source'!R256)</f>
        <v/>
      </c>
      <c r="Q256" s="3">
        <f>IF('Data Source'!B256="","",'Data Source'!S256)</f>
        <v/>
      </c>
    </row>
    <row r="257">
      <c r="A257" s="3">
        <f>IF('Data Source'!B257="","",'Data Source'!A257)</f>
        <v/>
      </c>
      <c r="B257">
        <f>IF('Data Source'!B257="","",'Data Source'!B257)</f>
        <v/>
      </c>
      <c r="C257" s="9">
        <f>IF('Data Source'!B257="","",'Data Source'!U257)</f>
        <v/>
      </c>
      <c r="D257" s="9">
        <f>IF('Data Source'!B257="","",'Data Source'!V257)</f>
        <v/>
      </c>
      <c r="E257" s="9">
        <f>IF('Data Source'!B257="","",'Data Source'!W257)</f>
        <v/>
      </c>
      <c r="F257" s="9">
        <f>IF('Data Source'!B257="","",'Data Source'!X257)</f>
        <v/>
      </c>
      <c r="G257" s="9">
        <f>IF('Data Source'!B257="","",'Data Source'!Y257)</f>
        <v/>
      </c>
      <c r="H257" s="9">
        <f>IF('Data Source'!B257="","",'Data Source'!Z257)</f>
        <v/>
      </c>
      <c r="I257" s="9">
        <f>IF('Data Source'!B257="","",'Data Source'!AA257)</f>
        <v/>
      </c>
      <c r="J257" s="9">
        <f>IF('Data Source'!B257="","",'Data Source'!AB257)</f>
        <v/>
      </c>
      <c r="K257" s="9">
        <f>IF('Data Source'!B257="","",'Data Source'!AC257)</f>
        <v/>
      </c>
      <c r="L257" s="9">
        <f>IF('Data Source'!B257="","",'Data Source'!AD257)</f>
        <v/>
      </c>
      <c r="M257" s="9">
        <f>IF('Data Source'!B257="","",'Data Source'!AE257)</f>
        <v/>
      </c>
      <c r="N257" s="9">
        <f>IF('Data Source'!B257="","",'Data Source'!AF257)</f>
        <v/>
      </c>
      <c r="O257" s="9">
        <f>IF('Data Source'!B257="","",'Data Source'!AG257)</f>
        <v/>
      </c>
      <c r="P257" s="5">
        <f>IF('Data Source'!B257="","",'Data Source'!R257)</f>
        <v/>
      </c>
      <c r="Q257" s="3">
        <f>IF('Data Source'!B257="","",'Data Source'!S257)</f>
        <v/>
      </c>
    </row>
    <row r="258">
      <c r="A258" s="3">
        <f>IF('Data Source'!B258="","",'Data Source'!A258)</f>
        <v/>
      </c>
      <c r="B258">
        <f>IF('Data Source'!B258="","",'Data Source'!B258)</f>
        <v/>
      </c>
      <c r="C258" s="9">
        <f>IF('Data Source'!B258="","",'Data Source'!U258)</f>
        <v/>
      </c>
      <c r="D258" s="9">
        <f>IF('Data Source'!B258="","",'Data Source'!V258)</f>
        <v/>
      </c>
      <c r="E258" s="9">
        <f>IF('Data Source'!B258="","",'Data Source'!W258)</f>
        <v/>
      </c>
      <c r="F258" s="9">
        <f>IF('Data Source'!B258="","",'Data Source'!X258)</f>
        <v/>
      </c>
      <c r="G258" s="9">
        <f>IF('Data Source'!B258="","",'Data Source'!Y258)</f>
        <v/>
      </c>
      <c r="H258" s="9">
        <f>IF('Data Source'!B258="","",'Data Source'!Z258)</f>
        <v/>
      </c>
      <c r="I258" s="9">
        <f>IF('Data Source'!B258="","",'Data Source'!AA258)</f>
        <v/>
      </c>
      <c r="J258" s="9">
        <f>IF('Data Source'!B258="","",'Data Source'!AB258)</f>
        <v/>
      </c>
      <c r="K258" s="9">
        <f>IF('Data Source'!B258="","",'Data Source'!AC258)</f>
        <v/>
      </c>
      <c r="L258" s="9">
        <f>IF('Data Source'!B258="","",'Data Source'!AD258)</f>
        <v/>
      </c>
      <c r="M258" s="9">
        <f>IF('Data Source'!B258="","",'Data Source'!AE258)</f>
        <v/>
      </c>
      <c r="N258" s="9">
        <f>IF('Data Source'!B258="","",'Data Source'!AF258)</f>
        <v/>
      </c>
      <c r="O258" s="9">
        <f>IF('Data Source'!B258="","",'Data Source'!AG258)</f>
        <v/>
      </c>
      <c r="P258" s="5">
        <f>IF('Data Source'!B258="","",'Data Source'!R258)</f>
        <v/>
      </c>
      <c r="Q258" s="3">
        <f>IF('Data Source'!B258="","",'Data Source'!S258)</f>
        <v/>
      </c>
    </row>
    <row r="259">
      <c r="A259" s="3">
        <f>IF('Data Source'!B259="","",'Data Source'!A259)</f>
        <v/>
      </c>
      <c r="B259">
        <f>IF('Data Source'!B259="","",'Data Source'!B259)</f>
        <v/>
      </c>
      <c r="C259" s="9">
        <f>IF('Data Source'!B259="","",'Data Source'!U259)</f>
        <v/>
      </c>
      <c r="D259" s="9">
        <f>IF('Data Source'!B259="","",'Data Source'!V259)</f>
        <v/>
      </c>
      <c r="E259" s="9">
        <f>IF('Data Source'!B259="","",'Data Source'!W259)</f>
        <v/>
      </c>
      <c r="F259" s="9">
        <f>IF('Data Source'!B259="","",'Data Source'!X259)</f>
        <v/>
      </c>
      <c r="G259" s="9">
        <f>IF('Data Source'!B259="","",'Data Source'!Y259)</f>
        <v/>
      </c>
      <c r="H259" s="9">
        <f>IF('Data Source'!B259="","",'Data Source'!Z259)</f>
        <v/>
      </c>
      <c r="I259" s="9">
        <f>IF('Data Source'!B259="","",'Data Source'!AA259)</f>
        <v/>
      </c>
      <c r="J259" s="9">
        <f>IF('Data Source'!B259="","",'Data Source'!AB259)</f>
        <v/>
      </c>
      <c r="K259" s="9">
        <f>IF('Data Source'!B259="","",'Data Source'!AC259)</f>
        <v/>
      </c>
      <c r="L259" s="9">
        <f>IF('Data Source'!B259="","",'Data Source'!AD259)</f>
        <v/>
      </c>
      <c r="M259" s="9">
        <f>IF('Data Source'!B259="","",'Data Source'!AE259)</f>
        <v/>
      </c>
      <c r="N259" s="9">
        <f>IF('Data Source'!B259="","",'Data Source'!AF259)</f>
        <v/>
      </c>
      <c r="O259" s="9">
        <f>IF('Data Source'!B259="","",'Data Source'!AG259)</f>
        <v/>
      </c>
      <c r="P259" s="5">
        <f>IF('Data Source'!B259="","",'Data Source'!R259)</f>
        <v/>
      </c>
      <c r="Q259" s="3">
        <f>IF('Data Source'!B259="","",'Data Source'!S259)</f>
        <v/>
      </c>
    </row>
    <row r="260">
      <c r="A260" s="3">
        <f>IF('Data Source'!B260="","",'Data Source'!A260)</f>
        <v/>
      </c>
      <c r="B260">
        <f>IF('Data Source'!B260="","",'Data Source'!B260)</f>
        <v/>
      </c>
      <c r="C260" s="9">
        <f>IF('Data Source'!B260="","",'Data Source'!U260)</f>
        <v/>
      </c>
      <c r="D260" s="9">
        <f>IF('Data Source'!B260="","",'Data Source'!V260)</f>
        <v/>
      </c>
      <c r="E260" s="9">
        <f>IF('Data Source'!B260="","",'Data Source'!W260)</f>
        <v/>
      </c>
      <c r="F260" s="9">
        <f>IF('Data Source'!B260="","",'Data Source'!X260)</f>
        <v/>
      </c>
      <c r="G260" s="9">
        <f>IF('Data Source'!B260="","",'Data Source'!Y260)</f>
        <v/>
      </c>
      <c r="H260" s="9">
        <f>IF('Data Source'!B260="","",'Data Source'!Z260)</f>
        <v/>
      </c>
      <c r="I260" s="9">
        <f>IF('Data Source'!B260="","",'Data Source'!AA260)</f>
        <v/>
      </c>
      <c r="J260" s="9">
        <f>IF('Data Source'!B260="","",'Data Source'!AB260)</f>
        <v/>
      </c>
      <c r="K260" s="9">
        <f>IF('Data Source'!B260="","",'Data Source'!AC260)</f>
        <v/>
      </c>
      <c r="L260" s="9">
        <f>IF('Data Source'!B260="","",'Data Source'!AD260)</f>
        <v/>
      </c>
      <c r="M260" s="9">
        <f>IF('Data Source'!B260="","",'Data Source'!AE260)</f>
        <v/>
      </c>
      <c r="N260" s="9">
        <f>IF('Data Source'!B260="","",'Data Source'!AF260)</f>
        <v/>
      </c>
      <c r="O260" s="9">
        <f>IF('Data Source'!B260="","",'Data Source'!AG260)</f>
        <v/>
      </c>
      <c r="P260" s="5">
        <f>IF('Data Source'!B260="","",'Data Source'!R260)</f>
        <v/>
      </c>
      <c r="Q260" s="3">
        <f>IF('Data Source'!B260="","",'Data Source'!S260)</f>
        <v/>
      </c>
    </row>
    <row r="261">
      <c r="A261" s="3">
        <f>IF('Data Source'!B261="","",'Data Source'!A261)</f>
        <v/>
      </c>
      <c r="B261">
        <f>IF('Data Source'!B261="","",'Data Source'!B261)</f>
        <v/>
      </c>
      <c r="C261" s="9">
        <f>IF('Data Source'!B261="","",'Data Source'!U261)</f>
        <v/>
      </c>
      <c r="D261" s="9">
        <f>IF('Data Source'!B261="","",'Data Source'!V261)</f>
        <v/>
      </c>
      <c r="E261" s="9">
        <f>IF('Data Source'!B261="","",'Data Source'!W261)</f>
        <v/>
      </c>
      <c r="F261" s="9">
        <f>IF('Data Source'!B261="","",'Data Source'!X261)</f>
        <v/>
      </c>
      <c r="G261" s="9">
        <f>IF('Data Source'!B261="","",'Data Source'!Y261)</f>
        <v/>
      </c>
      <c r="H261" s="9">
        <f>IF('Data Source'!B261="","",'Data Source'!Z261)</f>
        <v/>
      </c>
      <c r="I261" s="9">
        <f>IF('Data Source'!B261="","",'Data Source'!AA261)</f>
        <v/>
      </c>
      <c r="J261" s="9">
        <f>IF('Data Source'!B261="","",'Data Source'!AB261)</f>
        <v/>
      </c>
      <c r="K261" s="9">
        <f>IF('Data Source'!B261="","",'Data Source'!AC261)</f>
        <v/>
      </c>
      <c r="L261" s="9">
        <f>IF('Data Source'!B261="","",'Data Source'!AD261)</f>
        <v/>
      </c>
      <c r="M261" s="9">
        <f>IF('Data Source'!B261="","",'Data Source'!AE261)</f>
        <v/>
      </c>
      <c r="N261" s="9">
        <f>IF('Data Source'!B261="","",'Data Source'!AF261)</f>
        <v/>
      </c>
      <c r="O261" s="9">
        <f>IF('Data Source'!B261="","",'Data Source'!AG261)</f>
        <v/>
      </c>
      <c r="P261" s="5">
        <f>IF('Data Source'!B261="","",'Data Source'!R261)</f>
        <v/>
      </c>
      <c r="Q261" s="3">
        <f>IF('Data Source'!B261="","",'Data Source'!S261)</f>
        <v/>
      </c>
    </row>
    <row r="262">
      <c r="A262" s="3">
        <f>IF('Data Source'!B262="","",'Data Source'!A262)</f>
        <v/>
      </c>
      <c r="B262">
        <f>IF('Data Source'!B262="","",'Data Source'!B262)</f>
        <v/>
      </c>
      <c r="C262" s="9">
        <f>IF('Data Source'!B262="","",'Data Source'!U262)</f>
        <v/>
      </c>
      <c r="D262" s="9">
        <f>IF('Data Source'!B262="","",'Data Source'!V262)</f>
        <v/>
      </c>
      <c r="E262" s="9">
        <f>IF('Data Source'!B262="","",'Data Source'!W262)</f>
        <v/>
      </c>
      <c r="F262" s="9">
        <f>IF('Data Source'!B262="","",'Data Source'!X262)</f>
        <v/>
      </c>
      <c r="G262" s="9">
        <f>IF('Data Source'!B262="","",'Data Source'!Y262)</f>
        <v/>
      </c>
      <c r="H262" s="9">
        <f>IF('Data Source'!B262="","",'Data Source'!Z262)</f>
        <v/>
      </c>
      <c r="I262" s="9">
        <f>IF('Data Source'!B262="","",'Data Source'!AA262)</f>
        <v/>
      </c>
      <c r="J262" s="9">
        <f>IF('Data Source'!B262="","",'Data Source'!AB262)</f>
        <v/>
      </c>
      <c r="K262" s="9">
        <f>IF('Data Source'!B262="","",'Data Source'!AC262)</f>
        <v/>
      </c>
      <c r="L262" s="9">
        <f>IF('Data Source'!B262="","",'Data Source'!AD262)</f>
        <v/>
      </c>
      <c r="M262" s="9">
        <f>IF('Data Source'!B262="","",'Data Source'!AE262)</f>
        <v/>
      </c>
      <c r="N262" s="9">
        <f>IF('Data Source'!B262="","",'Data Source'!AF262)</f>
        <v/>
      </c>
      <c r="O262" s="9">
        <f>IF('Data Source'!B262="","",'Data Source'!AG262)</f>
        <v/>
      </c>
      <c r="P262" s="5">
        <f>IF('Data Source'!B262="","",'Data Source'!R262)</f>
        <v/>
      </c>
      <c r="Q262" s="3">
        <f>IF('Data Source'!B262="","",'Data Source'!S262)</f>
        <v/>
      </c>
    </row>
    <row r="263">
      <c r="A263" s="3">
        <f>IF('Data Source'!B263="","",'Data Source'!A263)</f>
        <v/>
      </c>
      <c r="B263">
        <f>IF('Data Source'!B263="","",'Data Source'!B263)</f>
        <v/>
      </c>
      <c r="C263" s="9">
        <f>IF('Data Source'!B263="","",'Data Source'!U263)</f>
        <v/>
      </c>
      <c r="D263" s="9">
        <f>IF('Data Source'!B263="","",'Data Source'!V263)</f>
        <v/>
      </c>
      <c r="E263" s="9">
        <f>IF('Data Source'!B263="","",'Data Source'!W263)</f>
        <v/>
      </c>
      <c r="F263" s="9">
        <f>IF('Data Source'!B263="","",'Data Source'!X263)</f>
        <v/>
      </c>
      <c r="G263" s="9">
        <f>IF('Data Source'!B263="","",'Data Source'!Y263)</f>
        <v/>
      </c>
      <c r="H263" s="9">
        <f>IF('Data Source'!B263="","",'Data Source'!Z263)</f>
        <v/>
      </c>
      <c r="I263" s="9">
        <f>IF('Data Source'!B263="","",'Data Source'!AA263)</f>
        <v/>
      </c>
      <c r="J263" s="9">
        <f>IF('Data Source'!B263="","",'Data Source'!AB263)</f>
        <v/>
      </c>
      <c r="K263" s="9">
        <f>IF('Data Source'!B263="","",'Data Source'!AC263)</f>
        <v/>
      </c>
      <c r="L263" s="9">
        <f>IF('Data Source'!B263="","",'Data Source'!AD263)</f>
        <v/>
      </c>
      <c r="M263" s="9">
        <f>IF('Data Source'!B263="","",'Data Source'!AE263)</f>
        <v/>
      </c>
      <c r="N263" s="9">
        <f>IF('Data Source'!B263="","",'Data Source'!AF263)</f>
        <v/>
      </c>
      <c r="O263" s="9">
        <f>IF('Data Source'!B263="","",'Data Source'!AG263)</f>
        <v/>
      </c>
      <c r="P263" s="5">
        <f>IF('Data Source'!B263="","",'Data Source'!R263)</f>
        <v/>
      </c>
      <c r="Q263" s="3">
        <f>IF('Data Source'!B263="","",'Data Source'!S263)</f>
        <v/>
      </c>
    </row>
    <row r="264">
      <c r="A264" s="3">
        <f>IF('Data Source'!B264="","",'Data Source'!A264)</f>
        <v/>
      </c>
      <c r="B264">
        <f>IF('Data Source'!B264="","",'Data Source'!B264)</f>
        <v/>
      </c>
      <c r="C264" s="9">
        <f>IF('Data Source'!B264="","",'Data Source'!U264)</f>
        <v/>
      </c>
      <c r="D264" s="9">
        <f>IF('Data Source'!B264="","",'Data Source'!V264)</f>
        <v/>
      </c>
      <c r="E264" s="9">
        <f>IF('Data Source'!B264="","",'Data Source'!W264)</f>
        <v/>
      </c>
      <c r="F264" s="9">
        <f>IF('Data Source'!B264="","",'Data Source'!X264)</f>
        <v/>
      </c>
      <c r="G264" s="9">
        <f>IF('Data Source'!B264="","",'Data Source'!Y264)</f>
        <v/>
      </c>
      <c r="H264" s="9">
        <f>IF('Data Source'!B264="","",'Data Source'!Z264)</f>
        <v/>
      </c>
      <c r="I264" s="9">
        <f>IF('Data Source'!B264="","",'Data Source'!AA264)</f>
        <v/>
      </c>
      <c r="J264" s="9">
        <f>IF('Data Source'!B264="","",'Data Source'!AB264)</f>
        <v/>
      </c>
      <c r="K264" s="9">
        <f>IF('Data Source'!B264="","",'Data Source'!AC264)</f>
        <v/>
      </c>
      <c r="L264" s="9">
        <f>IF('Data Source'!B264="","",'Data Source'!AD264)</f>
        <v/>
      </c>
      <c r="M264" s="9">
        <f>IF('Data Source'!B264="","",'Data Source'!AE264)</f>
        <v/>
      </c>
      <c r="N264" s="9">
        <f>IF('Data Source'!B264="","",'Data Source'!AF264)</f>
        <v/>
      </c>
      <c r="O264" s="9">
        <f>IF('Data Source'!B264="","",'Data Source'!AG264)</f>
        <v/>
      </c>
      <c r="P264" s="5">
        <f>IF('Data Source'!B264="","",'Data Source'!R264)</f>
        <v/>
      </c>
      <c r="Q264" s="3">
        <f>IF('Data Source'!B264="","",'Data Source'!S264)</f>
        <v/>
      </c>
    </row>
    <row r="265">
      <c r="A265" s="3">
        <f>IF('Data Source'!B265="","",'Data Source'!A265)</f>
        <v/>
      </c>
      <c r="B265">
        <f>IF('Data Source'!B265="","",'Data Source'!B265)</f>
        <v/>
      </c>
      <c r="C265" s="9">
        <f>IF('Data Source'!B265="","",'Data Source'!U265)</f>
        <v/>
      </c>
      <c r="D265" s="9">
        <f>IF('Data Source'!B265="","",'Data Source'!V265)</f>
        <v/>
      </c>
      <c r="E265" s="9">
        <f>IF('Data Source'!B265="","",'Data Source'!W265)</f>
        <v/>
      </c>
      <c r="F265" s="9">
        <f>IF('Data Source'!B265="","",'Data Source'!X265)</f>
        <v/>
      </c>
      <c r="G265" s="9">
        <f>IF('Data Source'!B265="","",'Data Source'!Y265)</f>
        <v/>
      </c>
      <c r="H265" s="9">
        <f>IF('Data Source'!B265="","",'Data Source'!Z265)</f>
        <v/>
      </c>
      <c r="I265" s="9">
        <f>IF('Data Source'!B265="","",'Data Source'!AA265)</f>
        <v/>
      </c>
      <c r="J265" s="9">
        <f>IF('Data Source'!B265="","",'Data Source'!AB265)</f>
        <v/>
      </c>
      <c r="K265" s="9">
        <f>IF('Data Source'!B265="","",'Data Source'!AC265)</f>
        <v/>
      </c>
      <c r="L265" s="9">
        <f>IF('Data Source'!B265="","",'Data Source'!AD265)</f>
        <v/>
      </c>
      <c r="M265" s="9">
        <f>IF('Data Source'!B265="","",'Data Source'!AE265)</f>
        <v/>
      </c>
      <c r="N265" s="9">
        <f>IF('Data Source'!B265="","",'Data Source'!AF265)</f>
        <v/>
      </c>
      <c r="O265" s="9">
        <f>IF('Data Source'!B265="","",'Data Source'!AG265)</f>
        <v/>
      </c>
      <c r="P265" s="5">
        <f>IF('Data Source'!B265="","",'Data Source'!R265)</f>
        <v/>
      </c>
      <c r="Q265" s="3">
        <f>IF('Data Source'!B265="","",'Data Source'!S265)</f>
        <v/>
      </c>
    </row>
    <row r="266">
      <c r="A266" s="3">
        <f>IF('Data Source'!B266="","",'Data Source'!A266)</f>
        <v/>
      </c>
      <c r="B266">
        <f>IF('Data Source'!B266="","",'Data Source'!B266)</f>
        <v/>
      </c>
      <c r="C266" s="9">
        <f>IF('Data Source'!B266="","",'Data Source'!U266)</f>
        <v/>
      </c>
      <c r="D266" s="9">
        <f>IF('Data Source'!B266="","",'Data Source'!V266)</f>
        <v/>
      </c>
      <c r="E266" s="9">
        <f>IF('Data Source'!B266="","",'Data Source'!W266)</f>
        <v/>
      </c>
      <c r="F266" s="9">
        <f>IF('Data Source'!B266="","",'Data Source'!X266)</f>
        <v/>
      </c>
      <c r="G266" s="9">
        <f>IF('Data Source'!B266="","",'Data Source'!Y266)</f>
        <v/>
      </c>
      <c r="H266" s="9">
        <f>IF('Data Source'!B266="","",'Data Source'!Z266)</f>
        <v/>
      </c>
      <c r="I266" s="9">
        <f>IF('Data Source'!B266="","",'Data Source'!AA266)</f>
        <v/>
      </c>
      <c r="J266" s="9">
        <f>IF('Data Source'!B266="","",'Data Source'!AB266)</f>
        <v/>
      </c>
      <c r="K266" s="9">
        <f>IF('Data Source'!B266="","",'Data Source'!AC266)</f>
        <v/>
      </c>
      <c r="L266" s="9">
        <f>IF('Data Source'!B266="","",'Data Source'!AD266)</f>
        <v/>
      </c>
      <c r="M266" s="9">
        <f>IF('Data Source'!B266="","",'Data Source'!AE266)</f>
        <v/>
      </c>
      <c r="N266" s="9">
        <f>IF('Data Source'!B266="","",'Data Source'!AF266)</f>
        <v/>
      </c>
      <c r="O266" s="9">
        <f>IF('Data Source'!B266="","",'Data Source'!AG266)</f>
        <v/>
      </c>
      <c r="P266" s="5">
        <f>IF('Data Source'!B266="","",'Data Source'!R266)</f>
        <v/>
      </c>
      <c r="Q266" s="3">
        <f>IF('Data Source'!B266="","",'Data Source'!S266)</f>
        <v/>
      </c>
    </row>
    <row r="267">
      <c r="A267" s="3">
        <f>IF('Data Source'!B267="","",'Data Source'!A267)</f>
        <v/>
      </c>
      <c r="B267">
        <f>IF('Data Source'!B267="","",'Data Source'!B267)</f>
        <v/>
      </c>
      <c r="C267" s="9">
        <f>IF('Data Source'!B267="","",'Data Source'!U267)</f>
        <v/>
      </c>
      <c r="D267" s="9">
        <f>IF('Data Source'!B267="","",'Data Source'!V267)</f>
        <v/>
      </c>
      <c r="E267" s="9">
        <f>IF('Data Source'!B267="","",'Data Source'!W267)</f>
        <v/>
      </c>
      <c r="F267" s="9">
        <f>IF('Data Source'!B267="","",'Data Source'!X267)</f>
        <v/>
      </c>
      <c r="G267" s="9">
        <f>IF('Data Source'!B267="","",'Data Source'!Y267)</f>
        <v/>
      </c>
      <c r="H267" s="9">
        <f>IF('Data Source'!B267="","",'Data Source'!Z267)</f>
        <v/>
      </c>
      <c r="I267" s="9">
        <f>IF('Data Source'!B267="","",'Data Source'!AA267)</f>
        <v/>
      </c>
      <c r="J267" s="9">
        <f>IF('Data Source'!B267="","",'Data Source'!AB267)</f>
        <v/>
      </c>
      <c r="K267" s="9">
        <f>IF('Data Source'!B267="","",'Data Source'!AC267)</f>
        <v/>
      </c>
      <c r="L267" s="9">
        <f>IF('Data Source'!B267="","",'Data Source'!AD267)</f>
        <v/>
      </c>
      <c r="M267" s="9">
        <f>IF('Data Source'!B267="","",'Data Source'!AE267)</f>
        <v/>
      </c>
      <c r="N267" s="9">
        <f>IF('Data Source'!B267="","",'Data Source'!AF267)</f>
        <v/>
      </c>
      <c r="O267" s="9">
        <f>IF('Data Source'!B267="","",'Data Source'!AG267)</f>
        <v/>
      </c>
      <c r="P267" s="5">
        <f>IF('Data Source'!B267="","",'Data Source'!R267)</f>
        <v/>
      </c>
      <c r="Q267" s="3">
        <f>IF('Data Source'!B267="","",'Data Source'!S267)</f>
        <v/>
      </c>
    </row>
    <row r="268">
      <c r="A268" s="3">
        <f>IF('Data Source'!B268="","",'Data Source'!A268)</f>
        <v/>
      </c>
      <c r="B268">
        <f>IF('Data Source'!B268="","",'Data Source'!B268)</f>
        <v/>
      </c>
      <c r="C268" s="9">
        <f>IF('Data Source'!B268="","",'Data Source'!U268)</f>
        <v/>
      </c>
      <c r="D268" s="9">
        <f>IF('Data Source'!B268="","",'Data Source'!V268)</f>
        <v/>
      </c>
      <c r="E268" s="9">
        <f>IF('Data Source'!B268="","",'Data Source'!W268)</f>
        <v/>
      </c>
      <c r="F268" s="9">
        <f>IF('Data Source'!B268="","",'Data Source'!X268)</f>
        <v/>
      </c>
      <c r="G268" s="9">
        <f>IF('Data Source'!B268="","",'Data Source'!Y268)</f>
        <v/>
      </c>
      <c r="H268" s="9">
        <f>IF('Data Source'!B268="","",'Data Source'!Z268)</f>
        <v/>
      </c>
      <c r="I268" s="9">
        <f>IF('Data Source'!B268="","",'Data Source'!AA268)</f>
        <v/>
      </c>
      <c r="J268" s="9">
        <f>IF('Data Source'!B268="","",'Data Source'!AB268)</f>
        <v/>
      </c>
      <c r="K268" s="9">
        <f>IF('Data Source'!B268="","",'Data Source'!AC268)</f>
        <v/>
      </c>
      <c r="L268" s="9">
        <f>IF('Data Source'!B268="","",'Data Source'!AD268)</f>
        <v/>
      </c>
      <c r="M268" s="9">
        <f>IF('Data Source'!B268="","",'Data Source'!AE268)</f>
        <v/>
      </c>
      <c r="N268" s="9">
        <f>IF('Data Source'!B268="","",'Data Source'!AF268)</f>
        <v/>
      </c>
      <c r="O268" s="9">
        <f>IF('Data Source'!B268="","",'Data Source'!AG268)</f>
        <v/>
      </c>
      <c r="P268" s="5">
        <f>IF('Data Source'!B268="","",'Data Source'!R268)</f>
        <v/>
      </c>
      <c r="Q268" s="3">
        <f>IF('Data Source'!B268="","",'Data Source'!S268)</f>
        <v/>
      </c>
    </row>
    <row r="269">
      <c r="A269" s="3">
        <f>IF('Data Source'!B269="","",'Data Source'!A269)</f>
        <v/>
      </c>
      <c r="B269">
        <f>IF('Data Source'!B269="","",'Data Source'!B269)</f>
        <v/>
      </c>
      <c r="C269" s="9">
        <f>IF('Data Source'!B269="","",'Data Source'!U269)</f>
        <v/>
      </c>
      <c r="D269" s="9">
        <f>IF('Data Source'!B269="","",'Data Source'!V269)</f>
        <v/>
      </c>
      <c r="E269" s="9">
        <f>IF('Data Source'!B269="","",'Data Source'!W269)</f>
        <v/>
      </c>
      <c r="F269" s="9">
        <f>IF('Data Source'!B269="","",'Data Source'!X269)</f>
        <v/>
      </c>
      <c r="G269" s="9">
        <f>IF('Data Source'!B269="","",'Data Source'!Y269)</f>
        <v/>
      </c>
      <c r="H269" s="9">
        <f>IF('Data Source'!B269="","",'Data Source'!Z269)</f>
        <v/>
      </c>
      <c r="I269" s="9">
        <f>IF('Data Source'!B269="","",'Data Source'!AA269)</f>
        <v/>
      </c>
      <c r="J269" s="9">
        <f>IF('Data Source'!B269="","",'Data Source'!AB269)</f>
        <v/>
      </c>
      <c r="K269" s="9">
        <f>IF('Data Source'!B269="","",'Data Source'!AC269)</f>
        <v/>
      </c>
      <c r="L269" s="9">
        <f>IF('Data Source'!B269="","",'Data Source'!AD269)</f>
        <v/>
      </c>
      <c r="M269" s="9">
        <f>IF('Data Source'!B269="","",'Data Source'!AE269)</f>
        <v/>
      </c>
      <c r="N269" s="9">
        <f>IF('Data Source'!B269="","",'Data Source'!AF269)</f>
        <v/>
      </c>
      <c r="O269" s="9">
        <f>IF('Data Source'!B269="","",'Data Source'!AG269)</f>
        <v/>
      </c>
      <c r="P269" s="5">
        <f>IF('Data Source'!B269="","",'Data Source'!R269)</f>
        <v/>
      </c>
      <c r="Q269" s="3">
        <f>IF('Data Source'!B269="","",'Data Source'!S269)</f>
        <v/>
      </c>
    </row>
    <row r="270">
      <c r="A270" s="3">
        <f>IF('Data Source'!B270="","",'Data Source'!A270)</f>
        <v/>
      </c>
      <c r="B270">
        <f>IF('Data Source'!B270="","",'Data Source'!B270)</f>
        <v/>
      </c>
      <c r="C270" s="9">
        <f>IF('Data Source'!B270="","",'Data Source'!U270)</f>
        <v/>
      </c>
      <c r="D270" s="9">
        <f>IF('Data Source'!B270="","",'Data Source'!V270)</f>
        <v/>
      </c>
      <c r="E270" s="9">
        <f>IF('Data Source'!B270="","",'Data Source'!W270)</f>
        <v/>
      </c>
      <c r="F270" s="9">
        <f>IF('Data Source'!B270="","",'Data Source'!X270)</f>
        <v/>
      </c>
      <c r="G270" s="9">
        <f>IF('Data Source'!B270="","",'Data Source'!Y270)</f>
        <v/>
      </c>
      <c r="H270" s="9">
        <f>IF('Data Source'!B270="","",'Data Source'!Z270)</f>
        <v/>
      </c>
      <c r="I270" s="9">
        <f>IF('Data Source'!B270="","",'Data Source'!AA270)</f>
        <v/>
      </c>
      <c r="J270" s="9">
        <f>IF('Data Source'!B270="","",'Data Source'!AB270)</f>
        <v/>
      </c>
      <c r="K270" s="9">
        <f>IF('Data Source'!B270="","",'Data Source'!AC270)</f>
        <v/>
      </c>
      <c r="L270" s="9">
        <f>IF('Data Source'!B270="","",'Data Source'!AD270)</f>
        <v/>
      </c>
      <c r="M270" s="9">
        <f>IF('Data Source'!B270="","",'Data Source'!AE270)</f>
        <v/>
      </c>
      <c r="N270" s="9">
        <f>IF('Data Source'!B270="","",'Data Source'!AF270)</f>
        <v/>
      </c>
      <c r="O270" s="9">
        <f>IF('Data Source'!B270="","",'Data Source'!AG270)</f>
        <v/>
      </c>
      <c r="P270" s="5">
        <f>IF('Data Source'!B270="","",'Data Source'!R270)</f>
        <v/>
      </c>
      <c r="Q270" s="3">
        <f>IF('Data Source'!B270="","",'Data Source'!S270)</f>
        <v/>
      </c>
    </row>
    <row r="271">
      <c r="A271" s="3">
        <f>IF('Data Source'!B271="","",'Data Source'!A271)</f>
        <v/>
      </c>
      <c r="B271">
        <f>IF('Data Source'!B271="","",'Data Source'!B271)</f>
        <v/>
      </c>
      <c r="C271" s="9">
        <f>IF('Data Source'!B271="","",'Data Source'!U271)</f>
        <v/>
      </c>
      <c r="D271" s="9">
        <f>IF('Data Source'!B271="","",'Data Source'!V271)</f>
        <v/>
      </c>
      <c r="E271" s="9">
        <f>IF('Data Source'!B271="","",'Data Source'!W271)</f>
        <v/>
      </c>
      <c r="F271" s="9">
        <f>IF('Data Source'!B271="","",'Data Source'!X271)</f>
        <v/>
      </c>
      <c r="G271" s="9">
        <f>IF('Data Source'!B271="","",'Data Source'!Y271)</f>
        <v/>
      </c>
      <c r="H271" s="9">
        <f>IF('Data Source'!B271="","",'Data Source'!Z271)</f>
        <v/>
      </c>
      <c r="I271" s="9">
        <f>IF('Data Source'!B271="","",'Data Source'!AA271)</f>
        <v/>
      </c>
      <c r="J271" s="9">
        <f>IF('Data Source'!B271="","",'Data Source'!AB271)</f>
        <v/>
      </c>
      <c r="K271" s="9">
        <f>IF('Data Source'!B271="","",'Data Source'!AC271)</f>
        <v/>
      </c>
      <c r="L271" s="9">
        <f>IF('Data Source'!B271="","",'Data Source'!AD271)</f>
        <v/>
      </c>
      <c r="M271" s="9">
        <f>IF('Data Source'!B271="","",'Data Source'!AE271)</f>
        <v/>
      </c>
      <c r="N271" s="9">
        <f>IF('Data Source'!B271="","",'Data Source'!AF271)</f>
        <v/>
      </c>
      <c r="O271" s="9">
        <f>IF('Data Source'!B271="","",'Data Source'!AG271)</f>
        <v/>
      </c>
      <c r="P271" s="5">
        <f>IF('Data Source'!B271="","",'Data Source'!R271)</f>
        <v/>
      </c>
      <c r="Q271" s="3">
        <f>IF('Data Source'!B271="","",'Data Source'!S271)</f>
        <v/>
      </c>
    </row>
    <row r="272">
      <c r="A272" s="3">
        <f>IF('Data Source'!B272="","",'Data Source'!A272)</f>
        <v/>
      </c>
      <c r="B272">
        <f>IF('Data Source'!B272="","",'Data Source'!B272)</f>
        <v/>
      </c>
      <c r="C272" s="9">
        <f>IF('Data Source'!B272="","",'Data Source'!U272)</f>
        <v/>
      </c>
      <c r="D272" s="9">
        <f>IF('Data Source'!B272="","",'Data Source'!V272)</f>
        <v/>
      </c>
      <c r="E272" s="9">
        <f>IF('Data Source'!B272="","",'Data Source'!W272)</f>
        <v/>
      </c>
      <c r="F272" s="9">
        <f>IF('Data Source'!B272="","",'Data Source'!X272)</f>
        <v/>
      </c>
      <c r="G272" s="9">
        <f>IF('Data Source'!B272="","",'Data Source'!Y272)</f>
        <v/>
      </c>
      <c r="H272" s="9">
        <f>IF('Data Source'!B272="","",'Data Source'!Z272)</f>
        <v/>
      </c>
      <c r="I272" s="9">
        <f>IF('Data Source'!B272="","",'Data Source'!AA272)</f>
        <v/>
      </c>
      <c r="J272" s="9">
        <f>IF('Data Source'!B272="","",'Data Source'!AB272)</f>
        <v/>
      </c>
      <c r="K272" s="9">
        <f>IF('Data Source'!B272="","",'Data Source'!AC272)</f>
        <v/>
      </c>
      <c r="L272" s="9">
        <f>IF('Data Source'!B272="","",'Data Source'!AD272)</f>
        <v/>
      </c>
      <c r="M272" s="9">
        <f>IF('Data Source'!B272="","",'Data Source'!AE272)</f>
        <v/>
      </c>
      <c r="N272" s="9">
        <f>IF('Data Source'!B272="","",'Data Source'!AF272)</f>
        <v/>
      </c>
      <c r="O272" s="9">
        <f>IF('Data Source'!B272="","",'Data Source'!AG272)</f>
        <v/>
      </c>
      <c r="P272" s="5">
        <f>IF('Data Source'!B272="","",'Data Source'!R272)</f>
        <v/>
      </c>
      <c r="Q272" s="3">
        <f>IF('Data Source'!B272="","",'Data Source'!S272)</f>
        <v/>
      </c>
    </row>
    <row r="273">
      <c r="A273" s="3">
        <f>IF('Data Source'!B273="","",'Data Source'!A273)</f>
        <v/>
      </c>
      <c r="B273">
        <f>IF('Data Source'!B273="","",'Data Source'!B273)</f>
        <v/>
      </c>
      <c r="C273" s="9">
        <f>IF('Data Source'!B273="","",'Data Source'!U273)</f>
        <v/>
      </c>
      <c r="D273" s="9">
        <f>IF('Data Source'!B273="","",'Data Source'!V273)</f>
        <v/>
      </c>
      <c r="E273" s="9">
        <f>IF('Data Source'!B273="","",'Data Source'!W273)</f>
        <v/>
      </c>
      <c r="F273" s="9">
        <f>IF('Data Source'!B273="","",'Data Source'!X273)</f>
        <v/>
      </c>
      <c r="G273" s="9">
        <f>IF('Data Source'!B273="","",'Data Source'!Y273)</f>
        <v/>
      </c>
      <c r="H273" s="9">
        <f>IF('Data Source'!B273="","",'Data Source'!Z273)</f>
        <v/>
      </c>
      <c r="I273" s="9">
        <f>IF('Data Source'!B273="","",'Data Source'!AA273)</f>
        <v/>
      </c>
      <c r="J273" s="9">
        <f>IF('Data Source'!B273="","",'Data Source'!AB273)</f>
        <v/>
      </c>
      <c r="K273" s="9">
        <f>IF('Data Source'!B273="","",'Data Source'!AC273)</f>
        <v/>
      </c>
      <c r="L273" s="9">
        <f>IF('Data Source'!B273="","",'Data Source'!AD273)</f>
        <v/>
      </c>
      <c r="M273" s="9">
        <f>IF('Data Source'!B273="","",'Data Source'!AE273)</f>
        <v/>
      </c>
      <c r="N273" s="9">
        <f>IF('Data Source'!B273="","",'Data Source'!AF273)</f>
        <v/>
      </c>
      <c r="O273" s="9">
        <f>IF('Data Source'!B273="","",'Data Source'!AG273)</f>
        <v/>
      </c>
      <c r="P273" s="5">
        <f>IF('Data Source'!B273="","",'Data Source'!R273)</f>
        <v/>
      </c>
      <c r="Q273" s="3">
        <f>IF('Data Source'!B273="","",'Data Source'!S273)</f>
        <v/>
      </c>
    </row>
    <row r="274">
      <c r="A274" s="3">
        <f>IF('Data Source'!B274="","",'Data Source'!A274)</f>
        <v/>
      </c>
      <c r="B274">
        <f>IF('Data Source'!B274="","",'Data Source'!B274)</f>
        <v/>
      </c>
      <c r="C274" s="9">
        <f>IF('Data Source'!B274="","",'Data Source'!U274)</f>
        <v/>
      </c>
      <c r="D274" s="9">
        <f>IF('Data Source'!B274="","",'Data Source'!V274)</f>
        <v/>
      </c>
      <c r="E274" s="9">
        <f>IF('Data Source'!B274="","",'Data Source'!W274)</f>
        <v/>
      </c>
      <c r="F274" s="9">
        <f>IF('Data Source'!B274="","",'Data Source'!X274)</f>
        <v/>
      </c>
      <c r="G274" s="9">
        <f>IF('Data Source'!B274="","",'Data Source'!Y274)</f>
        <v/>
      </c>
      <c r="H274" s="9">
        <f>IF('Data Source'!B274="","",'Data Source'!Z274)</f>
        <v/>
      </c>
      <c r="I274" s="9">
        <f>IF('Data Source'!B274="","",'Data Source'!AA274)</f>
        <v/>
      </c>
      <c r="J274" s="9">
        <f>IF('Data Source'!B274="","",'Data Source'!AB274)</f>
        <v/>
      </c>
      <c r="K274" s="9">
        <f>IF('Data Source'!B274="","",'Data Source'!AC274)</f>
        <v/>
      </c>
      <c r="L274" s="9">
        <f>IF('Data Source'!B274="","",'Data Source'!AD274)</f>
        <v/>
      </c>
      <c r="M274" s="9">
        <f>IF('Data Source'!B274="","",'Data Source'!AE274)</f>
        <v/>
      </c>
      <c r="N274" s="9">
        <f>IF('Data Source'!B274="","",'Data Source'!AF274)</f>
        <v/>
      </c>
      <c r="O274" s="9">
        <f>IF('Data Source'!B274="","",'Data Source'!AG274)</f>
        <v/>
      </c>
      <c r="P274" s="5">
        <f>IF('Data Source'!B274="","",'Data Source'!R274)</f>
        <v/>
      </c>
      <c r="Q274" s="3">
        <f>IF('Data Source'!B274="","",'Data Source'!S274)</f>
        <v/>
      </c>
    </row>
    <row r="275">
      <c r="A275" s="3">
        <f>IF('Data Source'!B275="","",'Data Source'!A275)</f>
        <v/>
      </c>
      <c r="B275">
        <f>IF('Data Source'!B275="","",'Data Source'!B275)</f>
        <v/>
      </c>
      <c r="C275" s="9">
        <f>IF('Data Source'!B275="","",'Data Source'!U275)</f>
        <v/>
      </c>
      <c r="D275" s="9">
        <f>IF('Data Source'!B275="","",'Data Source'!V275)</f>
        <v/>
      </c>
      <c r="E275" s="9">
        <f>IF('Data Source'!B275="","",'Data Source'!W275)</f>
        <v/>
      </c>
      <c r="F275" s="9">
        <f>IF('Data Source'!B275="","",'Data Source'!X275)</f>
        <v/>
      </c>
      <c r="G275" s="9">
        <f>IF('Data Source'!B275="","",'Data Source'!Y275)</f>
        <v/>
      </c>
      <c r="H275" s="9">
        <f>IF('Data Source'!B275="","",'Data Source'!Z275)</f>
        <v/>
      </c>
      <c r="I275" s="9">
        <f>IF('Data Source'!B275="","",'Data Source'!AA275)</f>
        <v/>
      </c>
      <c r="J275" s="9">
        <f>IF('Data Source'!B275="","",'Data Source'!AB275)</f>
        <v/>
      </c>
      <c r="K275" s="9">
        <f>IF('Data Source'!B275="","",'Data Source'!AC275)</f>
        <v/>
      </c>
      <c r="L275" s="9">
        <f>IF('Data Source'!B275="","",'Data Source'!AD275)</f>
        <v/>
      </c>
      <c r="M275" s="9">
        <f>IF('Data Source'!B275="","",'Data Source'!AE275)</f>
        <v/>
      </c>
      <c r="N275" s="9">
        <f>IF('Data Source'!B275="","",'Data Source'!AF275)</f>
        <v/>
      </c>
      <c r="O275" s="9">
        <f>IF('Data Source'!B275="","",'Data Source'!AG275)</f>
        <v/>
      </c>
      <c r="P275" s="5">
        <f>IF('Data Source'!B275="","",'Data Source'!R275)</f>
        <v/>
      </c>
      <c r="Q275" s="3">
        <f>IF('Data Source'!B275="","",'Data Source'!S275)</f>
        <v/>
      </c>
    </row>
    <row r="276">
      <c r="A276" s="3">
        <f>IF('Data Source'!B276="","",'Data Source'!A276)</f>
        <v/>
      </c>
      <c r="B276">
        <f>IF('Data Source'!B276="","",'Data Source'!B276)</f>
        <v/>
      </c>
      <c r="C276" s="9">
        <f>IF('Data Source'!B276="","",'Data Source'!U276)</f>
        <v/>
      </c>
      <c r="D276" s="9">
        <f>IF('Data Source'!B276="","",'Data Source'!V276)</f>
        <v/>
      </c>
      <c r="E276" s="9">
        <f>IF('Data Source'!B276="","",'Data Source'!W276)</f>
        <v/>
      </c>
      <c r="F276" s="9">
        <f>IF('Data Source'!B276="","",'Data Source'!X276)</f>
        <v/>
      </c>
      <c r="G276" s="9">
        <f>IF('Data Source'!B276="","",'Data Source'!Y276)</f>
        <v/>
      </c>
      <c r="H276" s="9">
        <f>IF('Data Source'!B276="","",'Data Source'!Z276)</f>
        <v/>
      </c>
      <c r="I276" s="9">
        <f>IF('Data Source'!B276="","",'Data Source'!AA276)</f>
        <v/>
      </c>
      <c r="J276" s="9">
        <f>IF('Data Source'!B276="","",'Data Source'!AB276)</f>
        <v/>
      </c>
      <c r="K276" s="9">
        <f>IF('Data Source'!B276="","",'Data Source'!AC276)</f>
        <v/>
      </c>
      <c r="L276" s="9">
        <f>IF('Data Source'!B276="","",'Data Source'!AD276)</f>
        <v/>
      </c>
      <c r="M276" s="9">
        <f>IF('Data Source'!B276="","",'Data Source'!AE276)</f>
        <v/>
      </c>
      <c r="N276" s="9">
        <f>IF('Data Source'!B276="","",'Data Source'!AF276)</f>
        <v/>
      </c>
      <c r="O276" s="9">
        <f>IF('Data Source'!B276="","",'Data Source'!AG276)</f>
        <v/>
      </c>
      <c r="P276" s="5">
        <f>IF('Data Source'!B276="","",'Data Source'!R276)</f>
        <v/>
      </c>
      <c r="Q276" s="3">
        <f>IF('Data Source'!B276="","",'Data Source'!S276)</f>
        <v/>
      </c>
    </row>
    <row r="277">
      <c r="A277" s="3">
        <f>IF('Data Source'!B277="","",'Data Source'!A277)</f>
        <v/>
      </c>
      <c r="B277">
        <f>IF('Data Source'!B277="","",'Data Source'!B277)</f>
        <v/>
      </c>
      <c r="C277" s="9">
        <f>IF('Data Source'!B277="","",'Data Source'!U277)</f>
        <v/>
      </c>
      <c r="D277" s="9">
        <f>IF('Data Source'!B277="","",'Data Source'!V277)</f>
        <v/>
      </c>
      <c r="E277" s="9">
        <f>IF('Data Source'!B277="","",'Data Source'!W277)</f>
        <v/>
      </c>
      <c r="F277" s="9">
        <f>IF('Data Source'!B277="","",'Data Source'!X277)</f>
        <v/>
      </c>
      <c r="G277" s="9">
        <f>IF('Data Source'!B277="","",'Data Source'!Y277)</f>
        <v/>
      </c>
      <c r="H277" s="9">
        <f>IF('Data Source'!B277="","",'Data Source'!Z277)</f>
        <v/>
      </c>
      <c r="I277" s="9">
        <f>IF('Data Source'!B277="","",'Data Source'!AA277)</f>
        <v/>
      </c>
      <c r="J277" s="9">
        <f>IF('Data Source'!B277="","",'Data Source'!AB277)</f>
        <v/>
      </c>
      <c r="K277" s="9">
        <f>IF('Data Source'!B277="","",'Data Source'!AC277)</f>
        <v/>
      </c>
      <c r="L277" s="9">
        <f>IF('Data Source'!B277="","",'Data Source'!AD277)</f>
        <v/>
      </c>
      <c r="M277" s="9">
        <f>IF('Data Source'!B277="","",'Data Source'!AE277)</f>
        <v/>
      </c>
      <c r="N277" s="9">
        <f>IF('Data Source'!B277="","",'Data Source'!AF277)</f>
        <v/>
      </c>
      <c r="O277" s="9">
        <f>IF('Data Source'!B277="","",'Data Source'!AG277)</f>
        <v/>
      </c>
      <c r="P277" s="5">
        <f>IF('Data Source'!B277="","",'Data Source'!R277)</f>
        <v/>
      </c>
      <c r="Q277" s="3">
        <f>IF('Data Source'!B277="","",'Data Source'!S277)</f>
        <v/>
      </c>
    </row>
    <row r="278">
      <c r="A278" s="3">
        <f>IF('Data Source'!B278="","",'Data Source'!A278)</f>
        <v/>
      </c>
      <c r="B278">
        <f>IF('Data Source'!B278="","",'Data Source'!B278)</f>
        <v/>
      </c>
      <c r="C278" s="9">
        <f>IF('Data Source'!B278="","",'Data Source'!U278)</f>
        <v/>
      </c>
      <c r="D278" s="9">
        <f>IF('Data Source'!B278="","",'Data Source'!V278)</f>
        <v/>
      </c>
      <c r="E278" s="9">
        <f>IF('Data Source'!B278="","",'Data Source'!W278)</f>
        <v/>
      </c>
      <c r="F278" s="9">
        <f>IF('Data Source'!B278="","",'Data Source'!X278)</f>
        <v/>
      </c>
      <c r="G278" s="9">
        <f>IF('Data Source'!B278="","",'Data Source'!Y278)</f>
        <v/>
      </c>
      <c r="H278" s="9">
        <f>IF('Data Source'!B278="","",'Data Source'!Z278)</f>
        <v/>
      </c>
      <c r="I278" s="9">
        <f>IF('Data Source'!B278="","",'Data Source'!AA278)</f>
        <v/>
      </c>
      <c r="J278" s="9">
        <f>IF('Data Source'!B278="","",'Data Source'!AB278)</f>
        <v/>
      </c>
      <c r="K278" s="9">
        <f>IF('Data Source'!B278="","",'Data Source'!AC278)</f>
        <v/>
      </c>
      <c r="L278" s="9">
        <f>IF('Data Source'!B278="","",'Data Source'!AD278)</f>
        <v/>
      </c>
      <c r="M278" s="9">
        <f>IF('Data Source'!B278="","",'Data Source'!AE278)</f>
        <v/>
      </c>
      <c r="N278" s="9">
        <f>IF('Data Source'!B278="","",'Data Source'!AF278)</f>
        <v/>
      </c>
      <c r="O278" s="9">
        <f>IF('Data Source'!B278="","",'Data Source'!AG278)</f>
        <v/>
      </c>
      <c r="P278" s="5">
        <f>IF('Data Source'!B278="","",'Data Source'!R278)</f>
        <v/>
      </c>
      <c r="Q278" s="3">
        <f>IF('Data Source'!B278="","",'Data Source'!S278)</f>
        <v/>
      </c>
    </row>
    <row r="279">
      <c r="A279" s="3">
        <f>IF('Data Source'!B279="","",'Data Source'!A279)</f>
        <v/>
      </c>
      <c r="B279">
        <f>IF('Data Source'!B279="","",'Data Source'!B279)</f>
        <v/>
      </c>
      <c r="C279" s="9">
        <f>IF('Data Source'!B279="","",'Data Source'!U279)</f>
        <v/>
      </c>
      <c r="D279" s="9">
        <f>IF('Data Source'!B279="","",'Data Source'!V279)</f>
        <v/>
      </c>
      <c r="E279" s="9">
        <f>IF('Data Source'!B279="","",'Data Source'!W279)</f>
        <v/>
      </c>
      <c r="F279" s="9">
        <f>IF('Data Source'!B279="","",'Data Source'!X279)</f>
        <v/>
      </c>
      <c r="G279" s="9">
        <f>IF('Data Source'!B279="","",'Data Source'!Y279)</f>
        <v/>
      </c>
      <c r="H279" s="9">
        <f>IF('Data Source'!B279="","",'Data Source'!Z279)</f>
        <v/>
      </c>
      <c r="I279" s="9">
        <f>IF('Data Source'!B279="","",'Data Source'!AA279)</f>
        <v/>
      </c>
      <c r="J279" s="9">
        <f>IF('Data Source'!B279="","",'Data Source'!AB279)</f>
        <v/>
      </c>
      <c r="K279" s="9">
        <f>IF('Data Source'!B279="","",'Data Source'!AC279)</f>
        <v/>
      </c>
      <c r="L279" s="9">
        <f>IF('Data Source'!B279="","",'Data Source'!AD279)</f>
        <v/>
      </c>
      <c r="M279" s="9">
        <f>IF('Data Source'!B279="","",'Data Source'!AE279)</f>
        <v/>
      </c>
      <c r="N279" s="9">
        <f>IF('Data Source'!B279="","",'Data Source'!AF279)</f>
        <v/>
      </c>
      <c r="O279" s="9">
        <f>IF('Data Source'!B279="","",'Data Source'!AG279)</f>
        <v/>
      </c>
      <c r="P279" s="5">
        <f>IF('Data Source'!B279="","",'Data Source'!R279)</f>
        <v/>
      </c>
      <c r="Q279" s="3">
        <f>IF('Data Source'!B279="","",'Data Source'!S279)</f>
        <v/>
      </c>
    </row>
    <row r="280">
      <c r="A280" s="3">
        <f>IF('Data Source'!B280="","",'Data Source'!A280)</f>
        <v/>
      </c>
      <c r="B280">
        <f>IF('Data Source'!B280="","",'Data Source'!B280)</f>
        <v/>
      </c>
      <c r="C280" s="9">
        <f>IF('Data Source'!B280="","",'Data Source'!U280)</f>
        <v/>
      </c>
      <c r="D280" s="9">
        <f>IF('Data Source'!B280="","",'Data Source'!V280)</f>
        <v/>
      </c>
      <c r="E280" s="9">
        <f>IF('Data Source'!B280="","",'Data Source'!W280)</f>
        <v/>
      </c>
      <c r="F280" s="9">
        <f>IF('Data Source'!B280="","",'Data Source'!X280)</f>
        <v/>
      </c>
      <c r="G280" s="9">
        <f>IF('Data Source'!B280="","",'Data Source'!Y280)</f>
        <v/>
      </c>
      <c r="H280" s="9">
        <f>IF('Data Source'!B280="","",'Data Source'!Z280)</f>
        <v/>
      </c>
      <c r="I280" s="9">
        <f>IF('Data Source'!B280="","",'Data Source'!AA280)</f>
        <v/>
      </c>
      <c r="J280" s="9">
        <f>IF('Data Source'!B280="","",'Data Source'!AB280)</f>
        <v/>
      </c>
      <c r="K280" s="9">
        <f>IF('Data Source'!B280="","",'Data Source'!AC280)</f>
        <v/>
      </c>
      <c r="L280" s="9">
        <f>IF('Data Source'!B280="","",'Data Source'!AD280)</f>
        <v/>
      </c>
      <c r="M280" s="9">
        <f>IF('Data Source'!B280="","",'Data Source'!AE280)</f>
        <v/>
      </c>
      <c r="N280" s="9">
        <f>IF('Data Source'!B280="","",'Data Source'!AF280)</f>
        <v/>
      </c>
      <c r="O280" s="9">
        <f>IF('Data Source'!B280="","",'Data Source'!AG280)</f>
        <v/>
      </c>
      <c r="P280" s="5">
        <f>IF('Data Source'!B280="","",'Data Source'!R280)</f>
        <v/>
      </c>
      <c r="Q280" s="3">
        <f>IF('Data Source'!B280="","",'Data Source'!S280)</f>
        <v/>
      </c>
    </row>
    <row r="281">
      <c r="A281" s="3">
        <f>IF('Data Source'!B281="","",'Data Source'!A281)</f>
        <v/>
      </c>
      <c r="B281">
        <f>IF('Data Source'!B281="","",'Data Source'!B281)</f>
        <v/>
      </c>
      <c r="C281" s="9">
        <f>IF('Data Source'!B281="","",'Data Source'!U281)</f>
        <v/>
      </c>
      <c r="D281" s="9">
        <f>IF('Data Source'!B281="","",'Data Source'!V281)</f>
        <v/>
      </c>
      <c r="E281" s="9">
        <f>IF('Data Source'!B281="","",'Data Source'!W281)</f>
        <v/>
      </c>
      <c r="F281" s="9">
        <f>IF('Data Source'!B281="","",'Data Source'!X281)</f>
        <v/>
      </c>
      <c r="G281" s="9">
        <f>IF('Data Source'!B281="","",'Data Source'!Y281)</f>
        <v/>
      </c>
      <c r="H281" s="9">
        <f>IF('Data Source'!B281="","",'Data Source'!Z281)</f>
        <v/>
      </c>
      <c r="I281" s="9">
        <f>IF('Data Source'!B281="","",'Data Source'!AA281)</f>
        <v/>
      </c>
      <c r="J281" s="9">
        <f>IF('Data Source'!B281="","",'Data Source'!AB281)</f>
        <v/>
      </c>
      <c r="K281" s="9">
        <f>IF('Data Source'!B281="","",'Data Source'!AC281)</f>
        <v/>
      </c>
      <c r="L281" s="9">
        <f>IF('Data Source'!B281="","",'Data Source'!AD281)</f>
        <v/>
      </c>
      <c r="M281" s="9">
        <f>IF('Data Source'!B281="","",'Data Source'!AE281)</f>
        <v/>
      </c>
      <c r="N281" s="9">
        <f>IF('Data Source'!B281="","",'Data Source'!AF281)</f>
        <v/>
      </c>
      <c r="O281" s="9">
        <f>IF('Data Source'!B281="","",'Data Source'!AG281)</f>
        <v/>
      </c>
      <c r="P281" s="5">
        <f>IF('Data Source'!B281="","",'Data Source'!R281)</f>
        <v/>
      </c>
      <c r="Q281" s="3">
        <f>IF('Data Source'!B281="","",'Data Source'!S281)</f>
        <v/>
      </c>
    </row>
    <row r="282">
      <c r="A282" s="3">
        <f>IF('Data Source'!B282="","",'Data Source'!A282)</f>
        <v/>
      </c>
      <c r="B282">
        <f>IF('Data Source'!B282="","",'Data Source'!B282)</f>
        <v/>
      </c>
      <c r="C282" s="9">
        <f>IF('Data Source'!B282="","",'Data Source'!U282)</f>
        <v/>
      </c>
      <c r="D282" s="9">
        <f>IF('Data Source'!B282="","",'Data Source'!V282)</f>
        <v/>
      </c>
      <c r="E282" s="9">
        <f>IF('Data Source'!B282="","",'Data Source'!W282)</f>
        <v/>
      </c>
      <c r="F282" s="9">
        <f>IF('Data Source'!B282="","",'Data Source'!X282)</f>
        <v/>
      </c>
      <c r="G282" s="9">
        <f>IF('Data Source'!B282="","",'Data Source'!Y282)</f>
        <v/>
      </c>
      <c r="H282" s="9">
        <f>IF('Data Source'!B282="","",'Data Source'!Z282)</f>
        <v/>
      </c>
      <c r="I282" s="9">
        <f>IF('Data Source'!B282="","",'Data Source'!AA282)</f>
        <v/>
      </c>
      <c r="J282" s="9">
        <f>IF('Data Source'!B282="","",'Data Source'!AB282)</f>
        <v/>
      </c>
      <c r="K282" s="9">
        <f>IF('Data Source'!B282="","",'Data Source'!AC282)</f>
        <v/>
      </c>
      <c r="L282" s="9">
        <f>IF('Data Source'!B282="","",'Data Source'!AD282)</f>
        <v/>
      </c>
      <c r="M282" s="9">
        <f>IF('Data Source'!B282="","",'Data Source'!AE282)</f>
        <v/>
      </c>
      <c r="N282" s="9">
        <f>IF('Data Source'!B282="","",'Data Source'!AF282)</f>
        <v/>
      </c>
      <c r="O282" s="9">
        <f>IF('Data Source'!B282="","",'Data Source'!AG282)</f>
        <v/>
      </c>
      <c r="P282" s="5">
        <f>IF('Data Source'!B282="","",'Data Source'!R282)</f>
        <v/>
      </c>
      <c r="Q282" s="3">
        <f>IF('Data Source'!B282="","",'Data Source'!S282)</f>
        <v/>
      </c>
    </row>
    <row r="283">
      <c r="A283" s="3">
        <f>IF('Data Source'!B283="","",'Data Source'!A283)</f>
        <v/>
      </c>
      <c r="B283">
        <f>IF('Data Source'!B283="","",'Data Source'!B283)</f>
        <v/>
      </c>
      <c r="C283" s="9">
        <f>IF('Data Source'!B283="","",'Data Source'!U283)</f>
        <v/>
      </c>
      <c r="D283" s="9">
        <f>IF('Data Source'!B283="","",'Data Source'!V283)</f>
        <v/>
      </c>
      <c r="E283" s="9">
        <f>IF('Data Source'!B283="","",'Data Source'!W283)</f>
        <v/>
      </c>
      <c r="F283" s="9">
        <f>IF('Data Source'!B283="","",'Data Source'!X283)</f>
        <v/>
      </c>
      <c r="G283" s="9">
        <f>IF('Data Source'!B283="","",'Data Source'!Y283)</f>
        <v/>
      </c>
      <c r="H283" s="9">
        <f>IF('Data Source'!B283="","",'Data Source'!Z283)</f>
        <v/>
      </c>
      <c r="I283" s="9">
        <f>IF('Data Source'!B283="","",'Data Source'!AA283)</f>
        <v/>
      </c>
      <c r="J283" s="9">
        <f>IF('Data Source'!B283="","",'Data Source'!AB283)</f>
        <v/>
      </c>
      <c r="K283" s="9">
        <f>IF('Data Source'!B283="","",'Data Source'!AC283)</f>
        <v/>
      </c>
      <c r="L283" s="9">
        <f>IF('Data Source'!B283="","",'Data Source'!AD283)</f>
        <v/>
      </c>
      <c r="M283" s="9">
        <f>IF('Data Source'!B283="","",'Data Source'!AE283)</f>
        <v/>
      </c>
      <c r="N283" s="9">
        <f>IF('Data Source'!B283="","",'Data Source'!AF283)</f>
        <v/>
      </c>
      <c r="O283" s="9">
        <f>IF('Data Source'!B283="","",'Data Source'!AG283)</f>
        <v/>
      </c>
      <c r="P283" s="5">
        <f>IF('Data Source'!B283="","",'Data Source'!R283)</f>
        <v/>
      </c>
      <c r="Q283" s="3">
        <f>IF('Data Source'!B283="","",'Data Source'!S283)</f>
        <v/>
      </c>
    </row>
    <row r="284">
      <c r="A284" s="3">
        <f>IF('Data Source'!B284="","",'Data Source'!A284)</f>
        <v/>
      </c>
      <c r="B284">
        <f>IF('Data Source'!B284="","",'Data Source'!B284)</f>
        <v/>
      </c>
      <c r="C284" s="9">
        <f>IF('Data Source'!B284="","",'Data Source'!U284)</f>
        <v/>
      </c>
      <c r="D284" s="9">
        <f>IF('Data Source'!B284="","",'Data Source'!V284)</f>
        <v/>
      </c>
      <c r="E284" s="9">
        <f>IF('Data Source'!B284="","",'Data Source'!W284)</f>
        <v/>
      </c>
      <c r="F284" s="9">
        <f>IF('Data Source'!B284="","",'Data Source'!X284)</f>
        <v/>
      </c>
      <c r="G284" s="9">
        <f>IF('Data Source'!B284="","",'Data Source'!Y284)</f>
        <v/>
      </c>
      <c r="H284" s="9">
        <f>IF('Data Source'!B284="","",'Data Source'!Z284)</f>
        <v/>
      </c>
      <c r="I284" s="9">
        <f>IF('Data Source'!B284="","",'Data Source'!AA284)</f>
        <v/>
      </c>
      <c r="J284" s="9">
        <f>IF('Data Source'!B284="","",'Data Source'!AB284)</f>
        <v/>
      </c>
      <c r="K284" s="9">
        <f>IF('Data Source'!B284="","",'Data Source'!AC284)</f>
        <v/>
      </c>
      <c r="L284" s="9">
        <f>IF('Data Source'!B284="","",'Data Source'!AD284)</f>
        <v/>
      </c>
      <c r="M284" s="9">
        <f>IF('Data Source'!B284="","",'Data Source'!AE284)</f>
        <v/>
      </c>
      <c r="N284" s="9">
        <f>IF('Data Source'!B284="","",'Data Source'!AF284)</f>
        <v/>
      </c>
      <c r="O284" s="9">
        <f>IF('Data Source'!B284="","",'Data Source'!AG284)</f>
        <v/>
      </c>
      <c r="P284" s="5">
        <f>IF('Data Source'!B284="","",'Data Source'!R284)</f>
        <v/>
      </c>
      <c r="Q284" s="3">
        <f>IF('Data Source'!B284="","",'Data Source'!S284)</f>
        <v/>
      </c>
    </row>
    <row r="285">
      <c r="A285" s="3">
        <f>IF('Data Source'!B285="","",'Data Source'!A285)</f>
        <v/>
      </c>
      <c r="B285">
        <f>IF('Data Source'!B285="","",'Data Source'!B285)</f>
        <v/>
      </c>
      <c r="C285" s="9">
        <f>IF('Data Source'!B285="","",'Data Source'!U285)</f>
        <v/>
      </c>
      <c r="D285" s="9">
        <f>IF('Data Source'!B285="","",'Data Source'!V285)</f>
        <v/>
      </c>
      <c r="E285" s="9">
        <f>IF('Data Source'!B285="","",'Data Source'!W285)</f>
        <v/>
      </c>
      <c r="F285" s="9">
        <f>IF('Data Source'!B285="","",'Data Source'!X285)</f>
        <v/>
      </c>
      <c r="G285" s="9">
        <f>IF('Data Source'!B285="","",'Data Source'!Y285)</f>
        <v/>
      </c>
      <c r="H285" s="9">
        <f>IF('Data Source'!B285="","",'Data Source'!Z285)</f>
        <v/>
      </c>
      <c r="I285" s="9">
        <f>IF('Data Source'!B285="","",'Data Source'!AA285)</f>
        <v/>
      </c>
      <c r="J285" s="9">
        <f>IF('Data Source'!B285="","",'Data Source'!AB285)</f>
        <v/>
      </c>
      <c r="K285" s="9">
        <f>IF('Data Source'!B285="","",'Data Source'!AC285)</f>
        <v/>
      </c>
      <c r="L285" s="9">
        <f>IF('Data Source'!B285="","",'Data Source'!AD285)</f>
        <v/>
      </c>
      <c r="M285" s="9">
        <f>IF('Data Source'!B285="","",'Data Source'!AE285)</f>
        <v/>
      </c>
      <c r="N285" s="9">
        <f>IF('Data Source'!B285="","",'Data Source'!AF285)</f>
        <v/>
      </c>
      <c r="O285" s="9">
        <f>IF('Data Source'!B285="","",'Data Source'!AG285)</f>
        <v/>
      </c>
      <c r="P285" s="5">
        <f>IF('Data Source'!B285="","",'Data Source'!R285)</f>
        <v/>
      </c>
      <c r="Q285" s="3">
        <f>IF('Data Source'!B285="","",'Data Source'!S285)</f>
        <v/>
      </c>
    </row>
    <row r="286">
      <c r="A286" s="3">
        <f>IF('Data Source'!B286="","",'Data Source'!A286)</f>
        <v/>
      </c>
      <c r="B286">
        <f>IF('Data Source'!B286="","",'Data Source'!B286)</f>
        <v/>
      </c>
      <c r="C286" s="9">
        <f>IF('Data Source'!B286="","",'Data Source'!U286)</f>
        <v/>
      </c>
      <c r="D286" s="9">
        <f>IF('Data Source'!B286="","",'Data Source'!V286)</f>
        <v/>
      </c>
      <c r="E286" s="9">
        <f>IF('Data Source'!B286="","",'Data Source'!W286)</f>
        <v/>
      </c>
      <c r="F286" s="9">
        <f>IF('Data Source'!B286="","",'Data Source'!X286)</f>
        <v/>
      </c>
      <c r="G286" s="9">
        <f>IF('Data Source'!B286="","",'Data Source'!Y286)</f>
        <v/>
      </c>
      <c r="H286" s="9">
        <f>IF('Data Source'!B286="","",'Data Source'!Z286)</f>
        <v/>
      </c>
      <c r="I286" s="9">
        <f>IF('Data Source'!B286="","",'Data Source'!AA286)</f>
        <v/>
      </c>
      <c r="J286" s="9">
        <f>IF('Data Source'!B286="","",'Data Source'!AB286)</f>
        <v/>
      </c>
      <c r="K286" s="9">
        <f>IF('Data Source'!B286="","",'Data Source'!AC286)</f>
        <v/>
      </c>
      <c r="L286" s="9">
        <f>IF('Data Source'!B286="","",'Data Source'!AD286)</f>
        <v/>
      </c>
      <c r="M286" s="9">
        <f>IF('Data Source'!B286="","",'Data Source'!AE286)</f>
        <v/>
      </c>
      <c r="N286" s="9">
        <f>IF('Data Source'!B286="","",'Data Source'!AF286)</f>
        <v/>
      </c>
      <c r="O286" s="9">
        <f>IF('Data Source'!B286="","",'Data Source'!AG286)</f>
        <v/>
      </c>
      <c r="P286" s="5">
        <f>IF('Data Source'!B286="","",'Data Source'!R286)</f>
        <v/>
      </c>
      <c r="Q286" s="3">
        <f>IF('Data Source'!B286="","",'Data Source'!S286)</f>
        <v/>
      </c>
    </row>
    <row r="287">
      <c r="A287" s="3">
        <f>IF('Data Source'!B287="","",'Data Source'!A287)</f>
        <v/>
      </c>
      <c r="B287">
        <f>IF('Data Source'!B287="","",'Data Source'!B287)</f>
        <v/>
      </c>
      <c r="C287" s="9">
        <f>IF('Data Source'!B287="","",'Data Source'!U287)</f>
        <v/>
      </c>
      <c r="D287" s="9">
        <f>IF('Data Source'!B287="","",'Data Source'!V287)</f>
        <v/>
      </c>
      <c r="E287" s="9">
        <f>IF('Data Source'!B287="","",'Data Source'!W287)</f>
        <v/>
      </c>
      <c r="F287" s="9">
        <f>IF('Data Source'!B287="","",'Data Source'!X287)</f>
        <v/>
      </c>
      <c r="G287" s="9">
        <f>IF('Data Source'!B287="","",'Data Source'!Y287)</f>
        <v/>
      </c>
      <c r="H287" s="9">
        <f>IF('Data Source'!B287="","",'Data Source'!Z287)</f>
        <v/>
      </c>
      <c r="I287" s="9">
        <f>IF('Data Source'!B287="","",'Data Source'!AA287)</f>
        <v/>
      </c>
      <c r="J287" s="9">
        <f>IF('Data Source'!B287="","",'Data Source'!AB287)</f>
        <v/>
      </c>
      <c r="K287" s="9">
        <f>IF('Data Source'!B287="","",'Data Source'!AC287)</f>
        <v/>
      </c>
      <c r="L287" s="9">
        <f>IF('Data Source'!B287="","",'Data Source'!AD287)</f>
        <v/>
      </c>
      <c r="M287" s="9">
        <f>IF('Data Source'!B287="","",'Data Source'!AE287)</f>
        <v/>
      </c>
      <c r="N287" s="9">
        <f>IF('Data Source'!B287="","",'Data Source'!AF287)</f>
        <v/>
      </c>
      <c r="O287" s="9">
        <f>IF('Data Source'!B287="","",'Data Source'!AG287)</f>
        <v/>
      </c>
      <c r="P287" s="5">
        <f>IF('Data Source'!B287="","",'Data Source'!R287)</f>
        <v/>
      </c>
      <c r="Q287" s="3">
        <f>IF('Data Source'!B287="","",'Data Source'!S287)</f>
        <v/>
      </c>
    </row>
    <row r="288">
      <c r="A288" s="3">
        <f>IF('Data Source'!B288="","",'Data Source'!A288)</f>
        <v/>
      </c>
      <c r="B288">
        <f>IF('Data Source'!B288="","",'Data Source'!B288)</f>
        <v/>
      </c>
      <c r="C288" s="9">
        <f>IF('Data Source'!B288="","",'Data Source'!U288)</f>
        <v/>
      </c>
      <c r="D288" s="9">
        <f>IF('Data Source'!B288="","",'Data Source'!V288)</f>
        <v/>
      </c>
      <c r="E288" s="9">
        <f>IF('Data Source'!B288="","",'Data Source'!W288)</f>
        <v/>
      </c>
      <c r="F288" s="9">
        <f>IF('Data Source'!B288="","",'Data Source'!X288)</f>
        <v/>
      </c>
      <c r="G288" s="9">
        <f>IF('Data Source'!B288="","",'Data Source'!Y288)</f>
        <v/>
      </c>
      <c r="H288" s="9">
        <f>IF('Data Source'!B288="","",'Data Source'!Z288)</f>
        <v/>
      </c>
      <c r="I288" s="9">
        <f>IF('Data Source'!B288="","",'Data Source'!AA288)</f>
        <v/>
      </c>
      <c r="J288" s="9">
        <f>IF('Data Source'!B288="","",'Data Source'!AB288)</f>
        <v/>
      </c>
      <c r="K288" s="9">
        <f>IF('Data Source'!B288="","",'Data Source'!AC288)</f>
        <v/>
      </c>
      <c r="L288" s="9">
        <f>IF('Data Source'!B288="","",'Data Source'!AD288)</f>
        <v/>
      </c>
      <c r="M288" s="9">
        <f>IF('Data Source'!B288="","",'Data Source'!AE288)</f>
        <v/>
      </c>
      <c r="N288" s="9">
        <f>IF('Data Source'!B288="","",'Data Source'!AF288)</f>
        <v/>
      </c>
      <c r="O288" s="9">
        <f>IF('Data Source'!B288="","",'Data Source'!AG288)</f>
        <v/>
      </c>
      <c r="P288" s="5">
        <f>IF('Data Source'!B288="","",'Data Source'!R288)</f>
        <v/>
      </c>
      <c r="Q288" s="3">
        <f>IF('Data Source'!B288="","",'Data Source'!S288)</f>
        <v/>
      </c>
    </row>
    <row r="289">
      <c r="A289" s="3">
        <f>IF('Data Source'!B289="","",'Data Source'!A289)</f>
        <v/>
      </c>
      <c r="B289">
        <f>IF('Data Source'!B289="","",'Data Source'!B289)</f>
        <v/>
      </c>
      <c r="C289" s="9">
        <f>IF('Data Source'!B289="","",'Data Source'!U289)</f>
        <v/>
      </c>
      <c r="D289" s="9">
        <f>IF('Data Source'!B289="","",'Data Source'!V289)</f>
        <v/>
      </c>
      <c r="E289" s="9">
        <f>IF('Data Source'!B289="","",'Data Source'!W289)</f>
        <v/>
      </c>
      <c r="F289" s="9">
        <f>IF('Data Source'!B289="","",'Data Source'!X289)</f>
        <v/>
      </c>
      <c r="G289" s="9">
        <f>IF('Data Source'!B289="","",'Data Source'!Y289)</f>
        <v/>
      </c>
      <c r="H289" s="9">
        <f>IF('Data Source'!B289="","",'Data Source'!Z289)</f>
        <v/>
      </c>
      <c r="I289" s="9">
        <f>IF('Data Source'!B289="","",'Data Source'!AA289)</f>
        <v/>
      </c>
      <c r="J289" s="9">
        <f>IF('Data Source'!B289="","",'Data Source'!AB289)</f>
        <v/>
      </c>
      <c r="K289" s="9">
        <f>IF('Data Source'!B289="","",'Data Source'!AC289)</f>
        <v/>
      </c>
      <c r="L289" s="9">
        <f>IF('Data Source'!B289="","",'Data Source'!AD289)</f>
        <v/>
      </c>
      <c r="M289" s="9">
        <f>IF('Data Source'!B289="","",'Data Source'!AE289)</f>
        <v/>
      </c>
      <c r="N289" s="9">
        <f>IF('Data Source'!B289="","",'Data Source'!AF289)</f>
        <v/>
      </c>
      <c r="O289" s="9">
        <f>IF('Data Source'!B289="","",'Data Source'!AG289)</f>
        <v/>
      </c>
      <c r="P289" s="5">
        <f>IF('Data Source'!B289="","",'Data Source'!R289)</f>
        <v/>
      </c>
      <c r="Q289" s="3">
        <f>IF('Data Source'!B289="","",'Data Source'!S289)</f>
        <v/>
      </c>
    </row>
    <row r="290">
      <c r="A290" s="3">
        <f>IF('Data Source'!B290="","",'Data Source'!A290)</f>
        <v/>
      </c>
      <c r="B290">
        <f>IF('Data Source'!B290="","",'Data Source'!B290)</f>
        <v/>
      </c>
      <c r="C290" s="9">
        <f>IF('Data Source'!B290="","",'Data Source'!U290)</f>
        <v/>
      </c>
      <c r="D290" s="9">
        <f>IF('Data Source'!B290="","",'Data Source'!V290)</f>
        <v/>
      </c>
      <c r="E290" s="9">
        <f>IF('Data Source'!B290="","",'Data Source'!W290)</f>
        <v/>
      </c>
      <c r="F290" s="9">
        <f>IF('Data Source'!B290="","",'Data Source'!X290)</f>
        <v/>
      </c>
      <c r="G290" s="9">
        <f>IF('Data Source'!B290="","",'Data Source'!Y290)</f>
        <v/>
      </c>
      <c r="H290" s="9">
        <f>IF('Data Source'!B290="","",'Data Source'!Z290)</f>
        <v/>
      </c>
      <c r="I290" s="9">
        <f>IF('Data Source'!B290="","",'Data Source'!AA290)</f>
        <v/>
      </c>
      <c r="J290" s="9">
        <f>IF('Data Source'!B290="","",'Data Source'!AB290)</f>
        <v/>
      </c>
      <c r="K290" s="9">
        <f>IF('Data Source'!B290="","",'Data Source'!AC290)</f>
        <v/>
      </c>
      <c r="L290" s="9">
        <f>IF('Data Source'!B290="","",'Data Source'!AD290)</f>
        <v/>
      </c>
      <c r="M290" s="9">
        <f>IF('Data Source'!B290="","",'Data Source'!AE290)</f>
        <v/>
      </c>
      <c r="N290" s="9">
        <f>IF('Data Source'!B290="","",'Data Source'!AF290)</f>
        <v/>
      </c>
      <c r="O290" s="9">
        <f>IF('Data Source'!B290="","",'Data Source'!AG290)</f>
        <v/>
      </c>
      <c r="P290" s="5">
        <f>IF('Data Source'!B290="","",'Data Source'!R290)</f>
        <v/>
      </c>
      <c r="Q290" s="3">
        <f>IF('Data Source'!B290="","",'Data Source'!S290)</f>
        <v/>
      </c>
    </row>
    <row r="291">
      <c r="A291" s="3">
        <f>IF('Data Source'!B291="","",'Data Source'!A291)</f>
        <v/>
      </c>
      <c r="B291">
        <f>IF('Data Source'!B291="","",'Data Source'!B291)</f>
        <v/>
      </c>
      <c r="C291" s="9">
        <f>IF('Data Source'!B291="","",'Data Source'!U291)</f>
        <v/>
      </c>
      <c r="D291" s="9">
        <f>IF('Data Source'!B291="","",'Data Source'!V291)</f>
        <v/>
      </c>
      <c r="E291" s="9">
        <f>IF('Data Source'!B291="","",'Data Source'!W291)</f>
        <v/>
      </c>
      <c r="F291" s="9">
        <f>IF('Data Source'!B291="","",'Data Source'!X291)</f>
        <v/>
      </c>
      <c r="G291" s="9">
        <f>IF('Data Source'!B291="","",'Data Source'!Y291)</f>
        <v/>
      </c>
      <c r="H291" s="9">
        <f>IF('Data Source'!B291="","",'Data Source'!Z291)</f>
        <v/>
      </c>
      <c r="I291" s="9">
        <f>IF('Data Source'!B291="","",'Data Source'!AA291)</f>
        <v/>
      </c>
      <c r="J291" s="9">
        <f>IF('Data Source'!B291="","",'Data Source'!AB291)</f>
        <v/>
      </c>
      <c r="K291" s="9">
        <f>IF('Data Source'!B291="","",'Data Source'!AC291)</f>
        <v/>
      </c>
      <c r="L291" s="9">
        <f>IF('Data Source'!B291="","",'Data Source'!AD291)</f>
        <v/>
      </c>
      <c r="M291" s="9">
        <f>IF('Data Source'!B291="","",'Data Source'!AE291)</f>
        <v/>
      </c>
      <c r="N291" s="9">
        <f>IF('Data Source'!B291="","",'Data Source'!AF291)</f>
        <v/>
      </c>
      <c r="O291" s="9">
        <f>IF('Data Source'!B291="","",'Data Source'!AG291)</f>
        <v/>
      </c>
      <c r="P291" s="5">
        <f>IF('Data Source'!B291="","",'Data Source'!R291)</f>
        <v/>
      </c>
      <c r="Q291" s="3">
        <f>IF('Data Source'!B291="","",'Data Source'!S291)</f>
        <v/>
      </c>
    </row>
    <row r="292">
      <c r="A292" s="3">
        <f>IF('Data Source'!B292="","",'Data Source'!A292)</f>
        <v/>
      </c>
      <c r="B292">
        <f>IF('Data Source'!B292="","",'Data Source'!B292)</f>
        <v/>
      </c>
      <c r="C292" s="9">
        <f>IF('Data Source'!B292="","",'Data Source'!U292)</f>
        <v/>
      </c>
      <c r="D292" s="9">
        <f>IF('Data Source'!B292="","",'Data Source'!V292)</f>
        <v/>
      </c>
      <c r="E292" s="9">
        <f>IF('Data Source'!B292="","",'Data Source'!W292)</f>
        <v/>
      </c>
      <c r="F292" s="9">
        <f>IF('Data Source'!B292="","",'Data Source'!X292)</f>
        <v/>
      </c>
      <c r="G292" s="9">
        <f>IF('Data Source'!B292="","",'Data Source'!Y292)</f>
        <v/>
      </c>
      <c r="H292" s="9">
        <f>IF('Data Source'!B292="","",'Data Source'!Z292)</f>
        <v/>
      </c>
      <c r="I292" s="9">
        <f>IF('Data Source'!B292="","",'Data Source'!AA292)</f>
        <v/>
      </c>
      <c r="J292" s="9">
        <f>IF('Data Source'!B292="","",'Data Source'!AB292)</f>
        <v/>
      </c>
      <c r="K292" s="9">
        <f>IF('Data Source'!B292="","",'Data Source'!AC292)</f>
        <v/>
      </c>
      <c r="L292" s="9">
        <f>IF('Data Source'!B292="","",'Data Source'!AD292)</f>
        <v/>
      </c>
      <c r="M292" s="9">
        <f>IF('Data Source'!B292="","",'Data Source'!AE292)</f>
        <v/>
      </c>
      <c r="N292" s="9">
        <f>IF('Data Source'!B292="","",'Data Source'!AF292)</f>
        <v/>
      </c>
      <c r="O292" s="9">
        <f>IF('Data Source'!B292="","",'Data Source'!AG292)</f>
        <v/>
      </c>
      <c r="P292" s="5">
        <f>IF('Data Source'!B292="","",'Data Source'!R292)</f>
        <v/>
      </c>
      <c r="Q292" s="3">
        <f>IF('Data Source'!B292="","",'Data Source'!S292)</f>
        <v/>
      </c>
    </row>
    <row r="293">
      <c r="A293" s="3">
        <f>IF('Data Source'!B293="","",'Data Source'!A293)</f>
        <v/>
      </c>
      <c r="B293">
        <f>IF('Data Source'!B293="","",'Data Source'!B293)</f>
        <v/>
      </c>
      <c r="C293" s="9">
        <f>IF('Data Source'!B293="","",'Data Source'!U293)</f>
        <v/>
      </c>
      <c r="D293" s="9">
        <f>IF('Data Source'!B293="","",'Data Source'!V293)</f>
        <v/>
      </c>
      <c r="E293" s="9">
        <f>IF('Data Source'!B293="","",'Data Source'!W293)</f>
        <v/>
      </c>
      <c r="F293" s="9">
        <f>IF('Data Source'!B293="","",'Data Source'!X293)</f>
        <v/>
      </c>
      <c r="G293" s="9">
        <f>IF('Data Source'!B293="","",'Data Source'!Y293)</f>
        <v/>
      </c>
      <c r="H293" s="9">
        <f>IF('Data Source'!B293="","",'Data Source'!Z293)</f>
        <v/>
      </c>
      <c r="I293" s="9">
        <f>IF('Data Source'!B293="","",'Data Source'!AA293)</f>
        <v/>
      </c>
      <c r="J293" s="9">
        <f>IF('Data Source'!B293="","",'Data Source'!AB293)</f>
        <v/>
      </c>
      <c r="K293" s="9">
        <f>IF('Data Source'!B293="","",'Data Source'!AC293)</f>
        <v/>
      </c>
      <c r="L293" s="9">
        <f>IF('Data Source'!B293="","",'Data Source'!AD293)</f>
        <v/>
      </c>
      <c r="M293" s="9">
        <f>IF('Data Source'!B293="","",'Data Source'!AE293)</f>
        <v/>
      </c>
      <c r="N293" s="9">
        <f>IF('Data Source'!B293="","",'Data Source'!AF293)</f>
        <v/>
      </c>
      <c r="O293" s="9">
        <f>IF('Data Source'!B293="","",'Data Source'!AG293)</f>
        <v/>
      </c>
      <c r="P293" s="5">
        <f>IF('Data Source'!B293="","",'Data Source'!R293)</f>
        <v/>
      </c>
      <c r="Q293" s="3">
        <f>IF('Data Source'!B293="","",'Data Source'!S293)</f>
        <v/>
      </c>
    </row>
    <row r="294">
      <c r="A294" s="3">
        <f>IF('Data Source'!B294="","",'Data Source'!A294)</f>
        <v/>
      </c>
      <c r="B294">
        <f>IF('Data Source'!B294="","",'Data Source'!B294)</f>
        <v/>
      </c>
      <c r="C294" s="9">
        <f>IF('Data Source'!B294="","",'Data Source'!U294)</f>
        <v/>
      </c>
      <c r="D294" s="9">
        <f>IF('Data Source'!B294="","",'Data Source'!V294)</f>
        <v/>
      </c>
      <c r="E294" s="9">
        <f>IF('Data Source'!B294="","",'Data Source'!W294)</f>
        <v/>
      </c>
      <c r="F294" s="9">
        <f>IF('Data Source'!B294="","",'Data Source'!X294)</f>
        <v/>
      </c>
      <c r="G294" s="9">
        <f>IF('Data Source'!B294="","",'Data Source'!Y294)</f>
        <v/>
      </c>
      <c r="H294" s="9">
        <f>IF('Data Source'!B294="","",'Data Source'!Z294)</f>
        <v/>
      </c>
      <c r="I294" s="9">
        <f>IF('Data Source'!B294="","",'Data Source'!AA294)</f>
        <v/>
      </c>
      <c r="J294" s="9">
        <f>IF('Data Source'!B294="","",'Data Source'!AB294)</f>
        <v/>
      </c>
      <c r="K294" s="9">
        <f>IF('Data Source'!B294="","",'Data Source'!AC294)</f>
        <v/>
      </c>
      <c r="L294" s="9">
        <f>IF('Data Source'!B294="","",'Data Source'!AD294)</f>
        <v/>
      </c>
      <c r="M294" s="9">
        <f>IF('Data Source'!B294="","",'Data Source'!AE294)</f>
        <v/>
      </c>
      <c r="N294" s="9">
        <f>IF('Data Source'!B294="","",'Data Source'!AF294)</f>
        <v/>
      </c>
      <c r="O294" s="9">
        <f>IF('Data Source'!B294="","",'Data Source'!AG294)</f>
        <v/>
      </c>
      <c r="P294" s="5">
        <f>IF('Data Source'!B294="","",'Data Source'!R294)</f>
        <v/>
      </c>
      <c r="Q294" s="3">
        <f>IF('Data Source'!B294="","",'Data Source'!S294)</f>
        <v/>
      </c>
    </row>
    <row r="295">
      <c r="A295" s="3">
        <f>IF('Data Source'!B295="","",'Data Source'!A295)</f>
        <v/>
      </c>
      <c r="B295">
        <f>IF('Data Source'!B295="","",'Data Source'!B295)</f>
        <v/>
      </c>
      <c r="C295" s="9">
        <f>IF('Data Source'!B295="","",'Data Source'!U295)</f>
        <v/>
      </c>
      <c r="D295" s="9">
        <f>IF('Data Source'!B295="","",'Data Source'!V295)</f>
        <v/>
      </c>
      <c r="E295" s="9">
        <f>IF('Data Source'!B295="","",'Data Source'!W295)</f>
        <v/>
      </c>
      <c r="F295" s="9">
        <f>IF('Data Source'!B295="","",'Data Source'!X295)</f>
        <v/>
      </c>
      <c r="G295" s="9">
        <f>IF('Data Source'!B295="","",'Data Source'!Y295)</f>
        <v/>
      </c>
      <c r="H295" s="9">
        <f>IF('Data Source'!B295="","",'Data Source'!Z295)</f>
        <v/>
      </c>
      <c r="I295" s="9">
        <f>IF('Data Source'!B295="","",'Data Source'!AA295)</f>
        <v/>
      </c>
      <c r="J295" s="9">
        <f>IF('Data Source'!B295="","",'Data Source'!AB295)</f>
        <v/>
      </c>
      <c r="K295" s="9">
        <f>IF('Data Source'!B295="","",'Data Source'!AC295)</f>
        <v/>
      </c>
      <c r="L295" s="9">
        <f>IF('Data Source'!B295="","",'Data Source'!AD295)</f>
        <v/>
      </c>
      <c r="M295" s="9">
        <f>IF('Data Source'!B295="","",'Data Source'!AE295)</f>
        <v/>
      </c>
      <c r="N295" s="9">
        <f>IF('Data Source'!B295="","",'Data Source'!AF295)</f>
        <v/>
      </c>
      <c r="O295" s="9">
        <f>IF('Data Source'!B295="","",'Data Source'!AG295)</f>
        <v/>
      </c>
      <c r="P295" s="5">
        <f>IF('Data Source'!B295="","",'Data Source'!R295)</f>
        <v/>
      </c>
      <c r="Q295" s="3">
        <f>IF('Data Source'!B295="","",'Data Source'!S295)</f>
        <v/>
      </c>
    </row>
    <row r="296">
      <c r="A296" s="3">
        <f>IF('Data Source'!B296="","",'Data Source'!A296)</f>
        <v/>
      </c>
      <c r="B296">
        <f>IF('Data Source'!B296="","",'Data Source'!B296)</f>
        <v/>
      </c>
      <c r="C296" s="9">
        <f>IF('Data Source'!B296="","",'Data Source'!U296)</f>
        <v/>
      </c>
      <c r="D296" s="9">
        <f>IF('Data Source'!B296="","",'Data Source'!V296)</f>
        <v/>
      </c>
      <c r="E296" s="9">
        <f>IF('Data Source'!B296="","",'Data Source'!W296)</f>
        <v/>
      </c>
      <c r="F296" s="9">
        <f>IF('Data Source'!B296="","",'Data Source'!X296)</f>
        <v/>
      </c>
      <c r="G296" s="9">
        <f>IF('Data Source'!B296="","",'Data Source'!Y296)</f>
        <v/>
      </c>
      <c r="H296" s="9">
        <f>IF('Data Source'!B296="","",'Data Source'!Z296)</f>
        <v/>
      </c>
      <c r="I296" s="9">
        <f>IF('Data Source'!B296="","",'Data Source'!AA296)</f>
        <v/>
      </c>
      <c r="J296" s="9">
        <f>IF('Data Source'!B296="","",'Data Source'!AB296)</f>
        <v/>
      </c>
      <c r="K296" s="9">
        <f>IF('Data Source'!B296="","",'Data Source'!AC296)</f>
        <v/>
      </c>
      <c r="L296" s="9">
        <f>IF('Data Source'!B296="","",'Data Source'!AD296)</f>
        <v/>
      </c>
      <c r="M296" s="9">
        <f>IF('Data Source'!B296="","",'Data Source'!AE296)</f>
        <v/>
      </c>
      <c r="N296" s="9">
        <f>IF('Data Source'!B296="","",'Data Source'!AF296)</f>
        <v/>
      </c>
      <c r="O296" s="9">
        <f>IF('Data Source'!B296="","",'Data Source'!AG296)</f>
        <v/>
      </c>
      <c r="P296" s="5">
        <f>IF('Data Source'!B296="","",'Data Source'!R296)</f>
        <v/>
      </c>
      <c r="Q296" s="3">
        <f>IF('Data Source'!B296="","",'Data Source'!S296)</f>
        <v/>
      </c>
    </row>
    <row r="297">
      <c r="A297" s="3">
        <f>IF('Data Source'!B297="","",'Data Source'!A297)</f>
        <v/>
      </c>
      <c r="B297">
        <f>IF('Data Source'!B297="","",'Data Source'!B297)</f>
        <v/>
      </c>
      <c r="C297" s="9">
        <f>IF('Data Source'!B297="","",'Data Source'!U297)</f>
        <v/>
      </c>
      <c r="D297" s="9">
        <f>IF('Data Source'!B297="","",'Data Source'!V297)</f>
        <v/>
      </c>
      <c r="E297" s="9">
        <f>IF('Data Source'!B297="","",'Data Source'!W297)</f>
        <v/>
      </c>
      <c r="F297" s="9">
        <f>IF('Data Source'!B297="","",'Data Source'!X297)</f>
        <v/>
      </c>
      <c r="G297" s="9">
        <f>IF('Data Source'!B297="","",'Data Source'!Y297)</f>
        <v/>
      </c>
      <c r="H297" s="9">
        <f>IF('Data Source'!B297="","",'Data Source'!Z297)</f>
        <v/>
      </c>
      <c r="I297" s="9">
        <f>IF('Data Source'!B297="","",'Data Source'!AA297)</f>
        <v/>
      </c>
      <c r="J297" s="9">
        <f>IF('Data Source'!B297="","",'Data Source'!AB297)</f>
        <v/>
      </c>
      <c r="K297" s="9">
        <f>IF('Data Source'!B297="","",'Data Source'!AC297)</f>
        <v/>
      </c>
      <c r="L297" s="9">
        <f>IF('Data Source'!B297="","",'Data Source'!AD297)</f>
        <v/>
      </c>
      <c r="M297" s="9">
        <f>IF('Data Source'!B297="","",'Data Source'!AE297)</f>
        <v/>
      </c>
      <c r="N297" s="9">
        <f>IF('Data Source'!B297="","",'Data Source'!AF297)</f>
        <v/>
      </c>
      <c r="O297" s="9">
        <f>IF('Data Source'!B297="","",'Data Source'!AG297)</f>
        <v/>
      </c>
      <c r="P297" s="5">
        <f>IF('Data Source'!B297="","",'Data Source'!R297)</f>
        <v/>
      </c>
      <c r="Q297" s="3">
        <f>IF('Data Source'!B297="","",'Data Source'!S297)</f>
        <v/>
      </c>
    </row>
    <row r="298">
      <c r="A298" s="3">
        <f>IF('Data Source'!B298="","",'Data Source'!A298)</f>
        <v/>
      </c>
      <c r="B298">
        <f>IF('Data Source'!B298="","",'Data Source'!B298)</f>
        <v/>
      </c>
      <c r="C298" s="9">
        <f>IF('Data Source'!B298="","",'Data Source'!U298)</f>
        <v/>
      </c>
      <c r="D298" s="9">
        <f>IF('Data Source'!B298="","",'Data Source'!V298)</f>
        <v/>
      </c>
      <c r="E298" s="9">
        <f>IF('Data Source'!B298="","",'Data Source'!W298)</f>
        <v/>
      </c>
      <c r="F298" s="9">
        <f>IF('Data Source'!B298="","",'Data Source'!X298)</f>
        <v/>
      </c>
      <c r="G298" s="9">
        <f>IF('Data Source'!B298="","",'Data Source'!Y298)</f>
        <v/>
      </c>
      <c r="H298" s="9">
        <f>IF('Data Source'!B298="","",'Data Source'!Z298)</f>
        <v/>
      </c>
      <c r="I298" s="9">
        <f>IF('Data Source'!B298="","",'Data Source'!AA298)</f>
        <v/>
      </c>
      <c r="J298" s="9">
        <f>IF('Data Source'!B298="","",'Data Source'!AB298)</f>
        <v/>
      </c>
      <c r="K298" s="9">
        <f>IF('Data Source'!B298="","",'Data Source'!AC298)</f>
        <v/>
      </c>
      <c r="L298" s="9">
        <f>IF('Data Source'!B298="","",'Data Source'!AD298)</f>
        <v/>
      </c>
      <c r="M298" s="9">
        <f>IF('Data Source'!B298="","",'Data Source'!AE298)</f>
        <v/>
      </c>
      <c r="N298" s="9">
        <f>IF('Data Source'!B298="","",'Data Source'!AF298)</f>
        <v/>
      </c>
      <c r="O298" s="9">
        <f>IF('Data Source'!B298="","",'Data Source'!AG298)</f>
        <v/>
      </c>
      <c r="P298" s="5">
        <f>IF('Data Source'!B298="","",'Data Source'!R298)</f>
        <v/>
      </c>
      <c r="Q298" s="3">
        <f>IF('Data Source'!B298="","",'Data Source'!S298)</f>
        <v/>
      </c>
    </row>
    <row r="299">
      <c r="A299" s="3">
        <f>IF('Data Source'!B299="","",'Data Source'!A299)</f>
        <v/>
      </c>
      <c r="B299">
        <f>IF('Data Source'!B299="","",'Data Source'!B299)</f>
        <v/>
      </c>
      <c r="C299" s="9">
        <f>IF('Data Source'!B299="","",'Data Source'!U299)</f>
        <v/>
      </c>
      <c r="D299" s="9">
        <f>IF('Data Source'!B299="","",'Data Source'!V299)</f>
        <v/>
      </c>
      <c r="E299" s="9">
        <f>IF('Data Source'!B299="","",'Data Source'!W299)</f>
        <v/>
      </c>
      <c r="F299" s="9">
        <f>IF('Data Source'!B299="","",'Data Source'!X299)</f>
        <v/>
      </c>
      <c r="G299" s="9">
        <f>IF('Data Source'!B299="","",'Data Source'!Y299)</f>
        <v/>
      </c>
      <c r="H299" s="9">
        <f>IF('Data Source'!B299="","",'Data Source'!Z299)</f>
        <v/>
      </c>
      <c r="I299" s="9">
        <f>IF('Data Source'!B299="","",'Data Source'!AA299)</f>
        <v/>
      </c>
      <c r="J299" s="9">
        <f>IF('Data Source'!B299="","",'Data Source'!AB299)</f>
        <v/>
      </c>
      <c r="K299" s="9">
        <f>IF('Data Source'!B299="","",'Data Source'!AC299)</f>
        <v/>
      </c>
      <c r="L299" s="9">
        <f>IF('Data Source'!B299="","",'Data Source'!AD299)</f>
        <v/>
      </c>
      <c r="M299" s="9">
        <f>IF('Data Source'!B299="","",'Data Source'!AE299)</f>
        <v/>
      </c>
      <c r="N299" s="9">
        <f>IF('Data Source'!B299="","",'Data Source'!AF299)</f>
        <v/>
      </c>
      <c r="O299" s="9">
        <f>IF('Data Source'!B299="","",'Data Source'!AG299)</f>
        <v/>
      </c>
      <c r="P299" s="5">
        <f>IF('Data Source'!B299="","",'Data Source'!R299)</f>
        <v/>
      </c>
      <c r="Q299" s="3">
        <f>IF('Data Source'!B299="","",'Data Source'!S299)</f>
        <v/>
      </c>
    </row>
    <row r="300">
      <c r="A300" s="3">
        <f>IF('Data Source'!B300="","",'Data Source'!A300)</f>
        <v/>
      </c>
      <c r="B300">
        <f>IF('Data Source'!B300="","",'Data Source'!B300)</f>
        <v/>
      </c>
      <c r="C300" s="9">
        <f>IF('Data Source'!B300="","",'Data Source'!U300)</f>
        <v/>
      </c>
      <c r="D300" s="9">
        <f>IF('Data Source'!B300="","",'Data Source'!V300)</f>
        <v/>
      </c>
      <c r="E300" s="9">
        <f>IF('Data Source'!B300="","",'Data Source'!W300)</f>
        <v/>
      </c>
      <c r="F300" s="9">
        <f>IF('Data Source'!B300="","",'Data Source'!X300)</f>
        <v/>
      </c>
      <c r="G300" s="9">
        <f>IF('Data Source'!B300="","",'Data Source'!Y300)</f>
        <v/>
      </c>
      <c r="H300" s="9">
        <f>IF('Data Source'!B300="","",'Data Source'!Z300)</f>
        <v/>
      </c>
      <c r="I300" s="9">
        <f>IF('Data Source'!B300="","",'Data Source'!AA300)</f>
        <v/>
      </c>
      <c r="J300" s="9">
        <f>IF('Data Source'!B300="","",'Data Source'!AB300)</f>
        <v/>
      </c>
      <c r="K300" s="9">
        <f>IF('Data Source'!B300="","",'Data Source'!AC300)</f>
        <v/>
      </c>
      <c r="L300" s="9">
        <f>IF('Data Source'!B300="","",'Data Source'!AD300)</f>
        <v/>
      </c>
      <c r="M300" s="9">
        <f>IF('Data Source'!B300="","",'Data Source'!AE300)</f>
        <v/>
      </c>
      <c r="N300" s="9">
        <f>IF('Data Source'!B300="","",'Data Source'!AF300)</f>
        <v/>
      </c>
      <c r="O300" s="9">
        <f>IF('Data Source'!B300="","",'Data Source'!AG300)</f>
        <v/>
      </c>
      <c r="P300" s="5">
        <f>IF('Data Source'!B300="","",'Data Source'!R300)</f>
        <v/>
      </c>
      <c r="Q300" s="3">
        <f>IF('Data Source'!B300="","",'Data Source'!S300)</f>
        <v/>
      </c>
    </row>
    <row r="301">
      <c r="A301" s="3">
        <f>IF('Data Source'!B301="","",'Data Source'!A301)</f>
        <v/>
      </c>
      <c r="B301">
        <f>IF('Data Source'!B301="","",'Data Source'!B301)</f>
        <v/>
      </c>
      <c r="C301" s="9">
        <f>IF('Data Source'!B301="","",'Data Source'!U301)</f>
        <v/>
      </c>
      <c r="D301" s="9">
        <f>IF('Data Source'!B301="","",'Data Source'!V301)</f>
        <v/>
      </c>
      <c r="E301" s="9">
        <f>IF('Data Source'!B301="","",'Data Source'!W301)</f>
        <v/>
      </c>
      <c r="F301" s="9">
        <f>IF('Data Source'!B301="","",'Data Source'!X301)</f>
        <v/>
      </c>
      <c r="G301" s="9">
        <f>IF('Data Source'!B301="","",'Data Source'!Y301)</f>
        <v/>
      </c>
      <c r="H301" s="9">
        <f>IF('Data Source'!B301="","",'Data Source'!Z301)</f>
        <v/>
      </c>
      <c r="I301" s="9">
        <f>IF('Data Source'!B301="","",'Data Source'!AA301)</f>
        <v/>
      </c>
      <c r="J301" s="9">
        <f>IF('Data Source'!B301="","",'Data Source'!AB301)</f>
        <v/>
      </c>
      <c r="K301" s="9">
        <f>IF('Data Source'!B301="","",'Data Source'!AC301)</f>
        <v/>
      </c>
      <c r="L301" s="9">
        <f>IF('Data Source'!B301="","",'Data Source'!AD301)</f>
        <v/>
      </c>
      <c r="M301" s="9">
        <f>IF('Data Source'!B301="","",'Data Source'!AE301)</f>
        <v/>
      </c>
      <c r="N301" s="9">
        <f>IF('Data Source'!B301="","",'Data Source'!AF301)</f>
        <v/>
      </c>
      <c r="O301" s="9">
        <f>IF('Data Source'!B301="","",'Data Source'!AG301)</f>
        <v/>
      </c>
      <c r="P301" s="5">
        <f>IF('Data Source'!B301="","",'Data Source'!R301)</f>
        <v/>
      </c>
      <c r="Q301" s="3">
        <f>IF('Data Source'!B301="","",'Data Source'!S301)</f>
        <v/>
      </c>
    </row>
    <row r="302">
      <c r="A302" s="3">
        <f>IF('Data Source'!B302="","",'Data Source'!A302)</f>
        <v/>
      </c>
      <c r="B302">
        <f>IF('Data Source'!B302="","",'Data Source'!B302)</f>
        <v/>
      </c>
      <c r="C302" s="9">
        <f>IF('Data Source'!B302="","",'Data Source'!U302)</f>
        <v/>
      </c>
      <c r="D302" s="9">
        <f>IF('Data Source'!B302="","",'Data Source'!V302)</f>
        <v/>
      </c>
      <c r="E302" s="9">
        <f>IF('Data Source'!B302="","",'Data Source'!W302)</f>
        <v/>
      </c>
      <c r="F302" s="9">
        <f>IF('Data Source'!B302="","",'Data Source'!X302)</f>
        <v/>
      </c>
      <c r="G302" s="9">
        <f>IF('Data Source'!B302="","",'Data Source'!Y302)</f>
        <v/>
      </c>
      <c r="H302" s="9">
        <f>IF('Data Source'!B302="","",'Data Source'!Z302)</f>
        <v/>
      </c>
      <c r="I302" s="9">
        <f>IF('Data Source'!B302="","",'Data Source'!AA302)</f>
        <v/>
      </c>
      <c r="J302" s="9">
        <f>IF('Data Source'!B302="","",'Data Source'!AB302)</f>
        <v/>
      </c>
      <c r="K302" s="9">
        <f>IF('Data Source'!B302="","",'Data Source'!AC302)</f>
        <v/>
      </c>
      <c r="L302" s="9">
        <f>IF('Data Source'!B302="","",'Data Source'!AD302)</f>
        <v/>
      </c>
      <c r="M302" s="9">
        <f>IF('Data Source'!B302="","",'Data Source'!AE302)</f>
        <v/>
      </c>
      <c r="N302" s="9">
        <f>IF('Data Source'!B302="","",'Data Source'!AF302)</f>
        <v/>
      </c>
      <c r="O302" s="9">
        <f>IF('Data Source'!B302="","",'Data Source'!AG302)</f>
        <v/>
      </c>
      <c r="P302" s="5">
        <f>IF('Data Source'!B302="","",'Data Source'!R302)</f>
        <v/>
      </c>
      <c r="Q302" s="3">
        <f>IF('Data Source'!B302="","",'Data Source'!S302)</f>
        <v/>
      </c>
    </row>
    <row r="303">
      <c r="A303" s="3">
        <f>IF('Data Source'!B303="","",'Data Source'!A303)</f>
        <v/>
      </c>
      <c r="B303">
        <f>IF('Data Source'!B303="","",'Data Source'!B303)</f>
        <v/>
      </c>
      <c r="C303" s="9">
        <f>IF('Data Source'!B303="","",'Data Source'!U303)</f>
        <v/>
      </c>
      <c r="D303" s="9">
        <f>IF('Data Source'!B303="","",'Data Source'!V303)</f>
        <v/>
      </c>
      <c r="E303" s="9">
        <f>IF('Data Source'!B303="","",'Data Source'!W303)</f>
        <v/>
      </c>
      <c r="F303" s="9">
        <f>IF('Data Source'!B303="","",'Data Source'!X303)</f>
        <v/>
      </c>
      <c r="G303" s="9">
        <f>IF('Data Source'!B303="","",'Data Source'!Y303)</f>
        <v/>
      </c>
      <c r="H303" s="9">
        <f>IF('Data Source'!B303="","",'Data Source'!Z303)</f>
        <v/>
      </c>
      <c r="I303" s="9">
        <f>IF('Data Source'!B303="","",'Data Source'!AA303)</f>
        <v/>
      </c>
      <c r="J303" s="9">
        <f>IF('Data Source'!B303="","",'Data Source'!AB303)</f>
        <v/>
      </c>
      <c r="K303" s="9">
        <f>IF('Data Source'!B303="","",'Data Source'!AC303)</f>
        <v/>
      </c>
      <c r="L303" s="9">
        <f>IF('Data Source'!B303="","",'Data Source'!AD303)</f>
        <v/>
      </c>
      <c r="M303" s="9">
        <f>IF('Data Source'!B303="","",'Data Source'!AE303)</f>
        <v/>
      </c>
      <c r="N303" s="9">
        <f>IF('Data Source'!B303="","",'Data Source'!AF303)</f>
        <v/>
      </c>
      <c r="O303" s="9">
        <f>IF('Data Source'!B303="","",'Data Source'!AG303)</f>
        <v/>
      </c>
      <c r="P303" s="5">
        <f>IF('Data Source'!B303="","",'Data Source'!R303)</f>
        <v/>
      </c>
      <c r="Q303" s="3">
        <f>IF('Data Source'!B303="","",'Data Source'!S303)</f>
        <v/>
      </c>
    </row>
    <row r="304">
      <c r="A304" s="3">
        <f>IF('Data Source'!B304="","",'Data Source'!A304)</f>
        <v/>
      </c>
      <c r="B304">
        <f>IF('Data Source'!B304="","",'Data Source'!B304)</f>
        <v/>
      </c>
      <c r="C304" s="9">
        <f>IF('Data Source'!B304="","",'Data Source'!U304)</f>
        <v/>
      </c>
      <c r="D304" s="9">
        <f>IF('Data Source'!B304="","",'Data Source'!V304)</f>
        <v/>
      </c>
      <c r="E304" s="9">
        <f>IF('Data Source'!B304="","",'Data Source'!W304)</f>
        <v/>
      </c>
      <c r="F304" s="9">
        <f>IF('Data Source'!B304="","",'Data Source'!X304)</f>
        <v/>
      </c>
      <c r="G304" s="9">
        <f>IF('Data Source'!B304="","",'Data Source'!Y304)</f>
        <v/>
      </c>
      <c r="H304" s="9">
        <f>IF('Data Source'!B304="","",'Data Source'!Z304)</f>
        <v/>
      </c>
      <c r="I304" s="9">
        <f>IF('Data Source'!B304="","",'Data Source'!AA304)</f>
        <v/>
      </c>
      <c r="J304" s="9">
        <f>IF('Data Source'!B304="","",'Data Source'!AB304)</f>
        <v/>
      </c>
      <c r="K304" s="9">
        <f>IF('Data Source'!B304="","",'Data Source'!AC304)</f>
        <v/>
      </c>
      <c r="L304" s="9">
        <f>IF('Data Source'!B304="","",'Data Source'!AD304)</f>
        <v/>
      </c>
      <c r="M304" s="9">
        <f>IF('Data Source'!B304="","",'Data Source'!AE304)</f>
        <v/>
      </c>
      <c r="N304" s="9">
        <f>IF('Data Source'!B304="","",'Data Source'!AF304)</f>
        <v/>
      </c>
      <c r="O304" s="9">
        <f>IF('Data Source'!B304="","",'Data Source'!AG304)</f>
        <v/>
      </c>
      <c r="P304" s="5">
        <f>IF('Data Source'!B304="","",'Data Source'!R304)</f>
        <v/>
      </c>
      <c r="Q304" s="3">
        <f>IF('Data Source'!B304="","",'Data Source'!S304)</f>
        <v/>
      </c>
    </row>
    <row r="305">
      <c r="A305" s="3">
        <f>IF('Data Source'!B305="","",'Data Source'!A305)</f>
        <v/>
      </c>
      <c r="B305">
        <f>IF('Data Source'!B305="","",'Data Source'!B305)</f>
        <v/>
      </c>
      <c r="C305" s="9">
        <f>IF('Data Source'!B305="","",'Data Source'!U305)</f>
        <v/>
      </c>
      <c r="D305" s="9">
        <f>IF('Data Source'!B305="","",'Data Source'!V305)</f>
        <v/>
      </c>
      <c r="E305" s="9">
        <f>IF('Data Source'!B305="","",'Data Source'!W305)</f>
        <v/>
      </c>
      <c r="F305" s="9">
        <f>IF('Data Source'!B305="","",'Data Source'!X305)</f>
        <v/>
      </c>
      <c r="G305" s="9">
        <f>IF('Data Source'!B305="","",'Data Source'!Y305)</f>
        <v/>
      </c>
      <c r="H305" s="9">
        <f>IF('Data Source'!B305="","",'Data Source'!Z305)</f>
        <v/>
      </c>
      <c r="I305" s="9">
        <f>IF('Data Source'!B305="","",'Data Source'!AA305)</f>
        <v/>
      </c>
      <c r="J305" s="9">
        <f>IF('Data Source'!B305="","",'Data Source'!AB305)</f>
        <v/>
      </c>
      <c r="K305" s="9">
        <f>IF('Data Source'!B305="","",'Data Source'!AC305)</f>
        <v/>
      </c>
      <c r="L305" s="9">
        <f>IF('Data Source'!B305="","",'Data Source'!AD305)</f>
        <v/>
      </c>
      <c r="M305" s="9">
        <f>IF('Data Source'!B305="","",'Data Source'!AE305)</f>
        <v/>
      </c>
      <c r="N305" s="9">
        <f>IF('Data Source'!B305="","",'Data Source'!AF305)</f>
        <v/>
      </c>
      <c r="O305" s="9">
        <f>IF('Data Source'!B305="","",'Data Source'!AG305)</f>
        <v/>
      </c>
      <c r="P305" s="5">
        <f>IF('Data Source'!B305="","",'Data Source'!R305)</f>
        <v/>
      </c>
      <c r="Q305" s="3">
        <f>IF('Data Source'!B305="","",'Data Source'!S305)</f>
        <v/>
      </c>
    </row>
    <row r="306">
      <c r="A306" s="3">
        <f>IF('Data Source'!B306="","",'Data Source'!A306)</f>
        <v/>
      </c>
      <c r="B306">
        <f>IF('Data Source'!B306="","",'Data Source'!B306)</f>
        <v/>
      </c>
      <c r="C306" s="9">
        <f>IF('Data Source'!B306="","",'Data Source'!U306)</f>
        <v/>
      </c>
      <c r="D306" s="9">
        <f>IF('Data Source'!B306="","",'Data Source'!V306)</f>
        <v/>
      </c>
      <c r="E306" s="9">
        <f>IF('Data Source'!B306="","",'Data Source'!W306)</f>
        <v/>
      </c>
      <c r="F306" s="9">
        <f>IF('Data Source'!B306="","",'Data Source'!X306)</f>
        <v/>
      </c>
      <c r="G306" s="9">
        <f>IF('Data Source'!B306="","",'Data Source'!Y306)</f>
        <v/>
      </c>
      <c r="H306" s="9">
        <f>IF('Data Source'!B306="","",'Data Source'!Z306)</f>
        <v/>
      </c>
      <c r="I306" s="9">
        <f>IF('Data Source'!B306="","",'Data Source'!AA306)</f>
        <v/>
      </c>
      <c r="J306" s="9">
        <f>IF('Data Source'!B306="","",'Data Source'!AB306)</f>
        <v/>
      </c>
      <c r="K306" s="9">
        <f>IF('Data Source'!B306="","",'Data Source'!AC306)</f>
        <v/>
      </c>
      <c r="L306" s="9">
        <f>IF('Data Source'!B306="","",'Data Source'!AD306)</f>
        <v/>
      </c>
      <c r="M306" s="9">
        <f>IF('Data Source'!B306="","",'Data Source'!AE306)</f>
        <v/>
      </c>
      <c r="N306" s="9">
        <f>IF('Data Source'!B306="","",'Data Source'!AF306)</f>
        <v/>
      </c>
      <c r="O306" s="9">
        <f>IF('Data Source'!B306="","",'Data Source'!AG306)</f>
        <v/>
      </c>
      <c r="P306" s="5">
        <f>IF('Data Source'!B306="","",'Data Source'!R306)</f>
        <v/>
      </c>
      <c r="Q306" s="3">
        <f>IF('Data Source'!B306="","",'Data Source'!S306)</f>
        <v/>
      </c>
    </row>
    <row r="307">
      <c r="A307" s="3">
        <f>IF('Data Source'!B307="","",'Data Source'!A307)</f>
        <v/>
      </c>
      <c r="B307">
        <f>IF('Data Source'!B307="","",'Data Source'!B307)</f>
        <v/>
      </c>
      <c r="C307" s="9">
        <f>IF('Data Source'!B307="","",'Data Source'!U307)</f>
        <v/>
      </c>
      <c r="D307" s="9">
        <f>IF('Data Source'!B307="","",'Data Source'!V307)</f>
        <v/>
      </c>
      <c r="E307" s="9">
        <f>IF('Data Source'!B307="","",'Data Source'!W307)</f>
        <v/>
      </c>
      <c r="F307" s="9">
        <f>IF('Data Source'!B307="","",'Data Source'!X307)</f>
        <v/>
      </c>
      <c r="G307" s="9">
        <f>IF('Data Source'!B307="","",'Data Source'!Y307)</f>
        <v/>
      </c>
      <c r="H307" s="9">
        <f>IF('Data Source'!B307="","",'Data Source'!Z307)</f>
        <v/>
      </c>
      <c r="I307" s="9">
        <f>IF('Data Source'!B307="","",'Data Source'!AA307)</f>
        <v/>
      </c>
      <c r="J307" s="9">
        <f>IF('Data Source'!B307="","",'Data Source'!AB307)</f>
        <v/>
      </c>
      <c r="K307" s="9">
        <f>IF('Data Source'!B307="","",'Data Source'!AC307)</f>
        <v/>
      </c>
      <c r="L307" s="9">
        <f>IF('Data Source'!B307="","",'Data Source'!AD307)</f>
        <v/>
      </c>
      <c r="M307" s="9">
        <f>IF('Data Source'!B307="","",'Data Source'!AE307)</f>
        <v/>
      </c>
      <c r="N307" s="9">
        <f>IF('Data Source'!B307="","",'Data Source'!AF307)</f>
        <v/>
      </c>
      <c r="O307" s="9">
        <f>IF('Data Source'!B307="","",'Data Source'!AG307)</f>
        <v/>
      </c>
      <c r="P307" s="5">
        <f>IF('Data Source'!B307="","",'Data Source'!R307)</f>
        <v/>
      </c>
      <c r="Q307" s="3">
        <f>IF('Data Source'!B307="","",'Data Source'!S307)</f>
        <v/>
      </c>
    </row>
    <row r="308">
      <c r="A308" s="3">
        <f>IF('Data Source'!B308="","",'Data Source'!A308)</f>
        <v/>
      </c>
      <c r="B308">
        <f>IF('Data Source'!B308="","",'Data Source'!B308)</f>
        <v/>
      </c>
      <c r="C308" s="9">
        <f>IF('Data Source'!B308="","",'Data Source'!U308)</f>
        <v/>
      </c>
      <c r="D308" s="9">
        <f>IF('Data Source'!B308="","",'Data Source'!V308)</f>
        <v/>
      </c>
      <c r="E308" s="9">
        <f>IF('Data Source'!B308="","",'Data Source'!W308)</f>
        <v/>
      </c>
      <c r="F308" s="9">
        <f>IF('Data Source'!B308="","",'Data Source'!X308)</f>
        <v/>
      </c>
      <c r="G308" s="9">
        <f>IF('Data Source'!B308="","",'Data Source'!Y308)</f>
        <v/>
      </c>
      <c r="H308" s="9">
        <f>IF('Data Source'!B308="","",'Data Source'!Z308)</f>
        <v/>
      </c>
      <c r="I308" s="9">
        <f>IF('Data Source'!B308="","",'Data Source'!AA308)</f>
        <v/>
      </c>
      <c r="J308" s="9">
        <f>IF('Data Source'!B308="","",'Data Source'!AB308)</f>
        <v/>
      </c>
      <c r="K308" s="9">
        <f>IF('Data Source'!B308="","",'Data Source'!AC308)</f>
        <v/>
      </c>
      <c r="L308" s="9">
        <f>IF('Data Source'!B308="","",'Data Source'!AD308)</f>
        <v/>
      </c>
      <c r="M308" s="9">
        <f>IF('Data Source'!B308="","",'Data Source'!AE308)</f>
        <v/>
      </c>
      <c r="N308" s="9">
        <f>IF('Data Source'!B308="","",'Data Source'!AF308)</f>
        <v/>
      </c>
      <c r="O308" s="9">
        <f>IF('Data Source'!B308="","",'Data Source'!AG308)</f>
        <v/>
      </c>
      <c r="P308" s="5">
        <f>IF('Data Source'!B308="","",'Data Source'!R308)</f>
        <v/>
      </c>
      <c r="Q308" s="3">
        <f>IF('Data Source'!B308="","",'Data Source'!S308)</f>
        <v/>
      </c>
    </row>
    <row r="309">
      <c r="A309" s="3">
        <f>IF('Data Source'!B309="","",'Data Source'!A309)</f>
        <v/>
      </c>
      <c r="B309">
        <f>IF('Data Source'!B309="","",'Data Source'!B309)</f>
        <v/>
      </c>
      <c r="C309" s="9">
        <f>IF('Data Source'!B309="","",'Data Source'!U309)</f>
        <v/>
      </c>
      <c r="D309" s="9">
        <f>IF('Data Source'!B309="","",'Data Source'!V309)</f>
        <v/>
      </c>
      <c r="E309" s="9">
        <f>IF('Data Source'!B309="","",'Data Source'!W309)</f>
        <v/>
      </c>
      <c r="F309" s="9">
        <f>IF('Data Source'!B309="","",'Data Source'!X309)</f>
        <v/>
      </c>
      <c r="G309" s="9">
        <f>IF('Data Source'!B309="","",'Data Source'!Y309)</f>
        <v/>
      </c>
      <c r="H309" s="9">
        <f>IF('Data Source'!B309="","",'Data Source'!Z309)</f>
        <v/>
      </c>
      <c r="I309" s="9">
        <f>IF('Data Source'!B309="","",'Data Source'!AA309)</f>
        <v/>
      </c>
      <c r="J309" s="9">
        <f>IF('Data Source'!B309="","",'Data Source'!AB309)</f>
        <v/>
      </c>
      <c r="K309" s="9">
        <f>IF('Data Source'!B309="","",'Data Source'!AC309)</f>
        <v/>
      </c>
      <c r="L309" s="9">
        <f>IF('Data Source'!B309="","",'Data Source'!AD309)</f>
        <v/>
      </c>
      <c r="M309" s="9">
        <f>IF('Data Source'!B309="","",'Data Source'!AE309)</f>
        <v/>
      </c>
      <c r="N309" s="9">
        <f>IF('Data Source'!B309="","",'Data Source'!AF309)</f>
        <v/>
      </c>
      <c r="O309" s="9">
        <f>IF('Data Source'!B309="","",'Data Source'!AG309)</f>
        <v/>
      </c>
      <c r="P309" s="5">
        <f>IF('Data Source'!B309="","",'Data Source'!R309)</f>
        <v/>
      </c>
      <c r="Q309" s="3">
        <f>IF('Data Source'!B309="","",'Data Source'!S309)</f>
        <v/>
      </c>
    </row>
    <row r="310">
      <c r="A310" s="3">
        <f>IF('Data Source'!B310="","",'Data Source'!A310)</f>
        <v/>
      </c>
      <c r="B310">
        <f>IF('Data Source'!B310="","",'Data Source'!B310)</f>
        <v/>
      </c>
      <c r="C310" s="9">
        <f>IF('Data Source'!B310="","",'Data Source'!U310)</f>
        <v/>
      </c>
      <c r="D310" s="9">
        <f>IF('Data Source'!B310="","",'Data Source'!V310)</f>
        <v/>
      </c>
      <c r="E310" s="9">
        <f>IF('Data Source'!B310="","",'Data Source'!W310)</f>
        <v/>
      </c>
      <c r="F310" s="9">
        <f>IF('Data Source'!B310="","",'Data Source'!X310)</f>
        <v/>
      </c>
      <c r="G310" s="9">
        <f>IF('Data Source'!B310="","",'Data Source'!Y310)</f>
        <v/>
      </c>
      <c r="H310" s="9">
        <f>IF('Data Source'!B310="","",'Data Source'!Z310)</f>
        <v/>
      </c>
      <c r="I310" s="9">
        <f>IF('Data Source'!B310="","",'Data Source'!AA310)</f>
        <v/>
      </c>
      <c r="J310" s="9">
        <f>IF('Data Source'!B310="","",'Data Source'!AB310)</f>
        <v/>
      </c>
      <c r="K310" s="9">
        <f>IF('Data Source'!B310="","",'Data Source'!AC310)</f>
        <v/>
      </c>
      <c r="L310" s="9">
        <f>IF('Data Source'!B310="","",'Data Source'!AD310)</f>
        <v/>
      </c>
      <c r="M310" s="9">
        <f>IF('Data Source'!B310="","",'Data Source'!AE310)</f>
        <v/>
      </c>
      <c r="N310" s="9">
        <f>IF('Data Source'!B310="","",'Data Source'!AF310)</f>
        <v/>
      </c>
      <c r="O310" s="9">
        <f>IF('Data Source'!B310="","",'Data Source'!AG310)</f>
        <v/>
      </c>
      <c r="P310" s="5">
        <f>IF('Data Source'!B310="","",'Data Source'!R310)</f>
        <v/>
      </c>
      <c r="Q310" s="3">
        <f>IF('Data Source'!B310="","",'Data Source'!S310)</f>
        <v/>
      </c>
    </row>
    <row r="311">
      <c r="A311" s="3">
        <f>IF('Data Source'!B311="","",'Data Source'!A311)</f>
        <v/>
      </c>
      <c r="B311">
        <f>IF('Data Source'!B311="","",'Data Source'!B311)</f>
        <v/>
      </c>
      <c r="C311" s="9">
        <f>IF('Data Source'!B311="","",'Data Source'!U311)</f>
        <v/>
      </c>
      <c r="D311" s="9">
        <f>IF('Data Source'!B311="","",'Data Source'!V311)</f>
        <v/>
      </c>
      <c r="E311" s="9">
        <f>IF('Data Source'!B311="","",'Data Source'!W311)</f>
        <v/>
      </c>
      <c r="F311" s="9">
        <f>IF('Data Source'!B311="","",'Data Source'!X311)</f>
        <v/>
      </c>
      <c r="G311" s="9">
        <f>IF('Data Source'!B311="","",'Data Source'!Y311)</f>
        <v/>
      </c>
      <c r="H311" s="9">
        <f>IF('Data Source'!B311="","",'Data Source'!Z311)</f>
        <v/>
      </c>
      <c r="I311" s="9">
        <f>IF('Data Source'!B311="","",'Data Source'!AA311)</f>
        <v/>
      </c>
      <c r="J311" s="9">
        <f>IF('Data Source'!B311="","",'Data Source'!AB311)</f>
        <v/>
      </c>
      <c r="K311" s="9">
        <f>IF('Data Source'!B311="","",'Data Source'!AC311)</f>
        <v/>
      </c>
      <c r="L311" s="9">
        <f>IF('Data Source'!B311="","",'Data Source'!AD311)</f>
        <v/>
      </c>
      <c r="M311" s="9">
        <f>IF('Data Source'!B311="","",'Data Source'!AE311)</f>
        <v/>
      </c>
      <c r="N311" s="9">
        <f>IF('Data Source'!B311="","",'Data Source'!AF311)</f>
        <v/>
      </c>
      <c r="O311" s="9">
        <f>IF('Data Source'!B311="","",'Data Source'!AG311)</f>
        <v/>
      </c>
      <c r="P311" s="5">
        <f>IF('Data Source'!B311="","",'Data Source'!R311)</f>
        <v/>
      </c>
      <c r="Q311" s="3">
        <f>IF('Data Source'!B311="","",'Data Source'!S311)</f>
        <v/>
      </c>
    </row>
    <row r="312">
      <c r="A312" s="3">
        <f>IF('Data Source'!B312="","",'Data Source'!A312)</f>
        <v/>
      </c>
      <c r="B312">
        <f>IF('Data Source'!B312="","",'Data Source'!B312)</f>
        <v/>
      </c>
      <c r="C312" s="9">
        <f>IF('Data Source'!B312="","",'Data Source'!U312)</f>
        <v/>
      </c>
      <c r="D312" s="9">
        <f>IF('Data Source'!B312="","",'Data Source'!V312)</f>
        <v/>
      </c>
      <c r="E312" s="9">
        <f>IF('Data Source'!B312="","",'Data Source'!W312)</f>
        <v/>
      </c>
      <c r="F312" s="9">
        <f>IF('Data Source'!B312="","",'Data Source'!X312)</f>
        <v/>
      </c>
      <c r="G312" s="9">
        <f>IF('Data Source'!B312="","",'Data Source'!Y312)</f>
        <v/>
      </c>
      <c r="H312" s="9">
        <f>IF('Data Source'!B312="","",'Data Source'!Z312)</f>
        <v/>
      </c>
      <c r="I312" s="9">
        <f>IF('Data Source'!B312="","",'Data Source'!AA312)</f>
        <v/>
      </c>
      <c r="J312" s="9">
        <f>IF('Data Source'!B312="","",'Data Source'!AB312)</f>
        <v/>
      </c>
      <c r="K312" s="9">
        <f>IF('Data Source'!B312="","",'Data Source'!AC312)</f>
        <v/>
      </c>
      <c r="L312" s="9">
        <f>IF('Data Source'!B312="","",'Data Source'!AD312)</f>
        <v/>
      </c>
      <c r="M312" s="9">
        <f>IF('Data Source'!B312="","",'Data Source'!AE312)</f>
        <v/>
      </c>
      <c r="N312" s="9">
        <f>IF('Data Source'!B312="","",'Data Source'!AF312)</f>
        <v/>
      </c>
      <c r="O312" s="9">
        <f>IF('Data Source'!B312="","",'Data Source'!AG312)</f>
        <v/>
      </c>
      <c r="P312" s="5">
        <f>IF('Data Source'!B312="","",'Data Source'!R312)</f>
        <v/>
      </c>
      <c r="Q312" s="3">
        <f>IF('Data Source'!B312="","",'Data Source'!S312)</f>
        <v/>
      </c>
    </row>
    <row r="313">
      <c r="A313" s="3">
        <f>IF('Data Source'!B313="","",'Data Source'!A313)</f>
        <v/>
      </c>
      <c r="B313">
        <f>IF('Data Source'!B313="","",'Data Source'!B313)</f>
        <v/>
      </c>
      <c r="C313" s="9">
        <f>IF('Data Source'!B313="","",'Data Source'!U313)</f>
        <v/>
      </c>
      <c r="D313" s="9">
        <f>IF('Data Source'!B313="","",'Data Source'!V313)</f>
        <v/>
      </c>
      <c r="E313" s="9">
        <f>IF('Data Source'!B313="","",'Data Source'!W313)</f>
        <v/>
      </c>
      <c r="F313" s="9">
        <f>IF('Data Source'!B313="","",'Data Source'!X313)</f>
        <v/>
      </c>
      <c r="G313" s="9">
        <f>IF('Data Source'!B313="","",'Data Source'!Y313)</f>
        <v/>
      </c>
      <c r="H313" s="9">
        <f>IF('Data Source'!B313="","",'Data Source'!Z313)</f>
        <v/>
      </c>
      <c r="I313" s="9">
        <f>IF('Data Source'!B313="","",'Data Source'!AA313)</f>
        <v/>
      </c>
      <c r="J313" s="9">
        <f>IF('Data Source'!B313="","",'Data Source'!AB313)</f>
        <v/>
      </c>
      <c r="K313" s="9">
        <f>IF('Data Source'!B313="","",'Data Source'!AC313)</f>
        <v/>
      </c>
      <c r="L313" s="9">
        <f>IF('Data Source'!B313="","",'Data Source'!AD313)</f>
        <v/>
      </c>
      <c r="M313" s="9">
        <f>IF('Data Source'!B313="","",'Data Source'!AE313)</f>
        <v/>
      </c>
      <c r="N313" s="9">
        <f>IF('Data Source'!B313="","",'Data Source'!AF313)</f>
        <v/>
      </c>
      <c r="O313" s="9">
        <f>IF('Data Source'!B313="","",'Data Source'!AG313)</f>
        <v/>
      </c>
      <c r="P313" s="5">
        <f>IF('Data Source'!B313="","",'Data Source'!R313)</f>
        <v/>
      </c>
      <c r="Q313" s="3">
        <f>IF('Data Source'!B313="","",'Data Source'!S313)</f>
        <v/>
      </c>
    </row>
    <row r="314">
      <c r="A314" s="3">
        <f>IF('Data Source'!B314="","",'Data Source'!A314)</f>
        <v/>
      </c>
      <c r="B314">
        <f>IF('Data Source'!B314="","",'Data Source'!B314)</f>
        <v/>
      </c>
      <c r="C314" s="9">
        <f>IF('Data Source'!B314="","",'Data Source'!U314)</f>
        <v/>
      </c>
      <c r="D314" s="9">
        <f>IF('Data Source'!B314="","",'Data Source'!V314)</f>
        <v/>
      </c>
      <c r="E314" s="9">
        <f>IF('Data Source'!B314="","",'Data Source'!W314)</f>
        <v/>
      </c>
      <c r="F314" s="9">
        <f>IF('Data Source'!B314="","",'Data Source'!X314)</f>
        <v/>
      </c>
      <c r="G314" s="9">
        <f>IF('Data Source'!B314="","",'Data Source'!Y314)</f>
        <v/>
      </c>
      <c r="H314" s="9">
        <f>IF('Data Source'!B314="","",'Data Source'!Z314)</f>
        <v/>
      </c>
      <c r="I314" s="9">
        <f>IF('Data Source'!B314="","",'Data Source'!AA314)</f>
        <v/>
      </c>
      <c r="J314" s="9">
        <f>IF('Data Source'!B314="","",'Data Source'!AB314)</f>
        <v/>
      </c>
      <c r="K314" s="9">
        <f>IF('Data Source'!B314="","",'Data Source'!AC314)</f>
        <v/>
      </c>
      <c r="L314" s="9">
        <f>IF('Data Source'!B314="","",'Data Source'!AD314)</f>
        <v/>
      </c>
      <c r="M314" s="9">
        <f>IF('Data Source'!B314="","",'Data Source'!AE314)</f>
        <v/>
      </c>
      <c r="N314" s="9">
        <f>IF('Data Source'!B314="","",'Data Source'!AF314)</f>
        <v/>
      </c>
      <c r="O314" s="9">
        <f>IF('Data Source'!B314="","",'Data Source'!AG314)</f>
        <v/>
      </c>
      <c r="P314" s="5">
        <f>IF('Data Source'!B314="","",'Data Source'!R314)</f>
        <v/>
      </c>
      <c r="Q314" s="3">
        <f>IF('Data Source'!B314="","",'Data Source'!S314)</f>
        <v/>
      </c>
    </row>
    <row r="315">
      <c r="A315" s="3">
        <f>IF('Data Source'!B315="","",'Data Source'!A315)</f>
        <v/>
      </c>
      <c r="B315">
        <f>IF('Data Source'!B315="","",'Data Source'!B315)</f>
        <v/>
      </c>
      <c r="C315" s="9">
        <f>IF('Data Source'!B315="","",'Data Source'!U315)</f>
        <v/>
      </c>
      <c r="D315" s="9">
        <f>IF('Data Source'!B315="","",'Data Source'!V315)</f>
        <v/>
      </c>
      <c r="E315" s="9">
        <f>IF('Data Source'!B315="","",'Data Source'!W315)</f>
        <v/>
      </c>
      <c r="F315" s="9">
        <f>IF('Data Source'!B315="","",'Data Source'!X315)</f>
        <v/>
      </c>
      <c r="G315" s="9">
        <f>IF('Data Source'!B315="","",'Data Source'!Y315)</f>
        <v/>
      </c>
      <c r="H315" s="9">
        <f>IF('Data Source'!B315="","",'Data Source'!Z315)</f>
        <v/>
      </c>
      <c r="I315" s="9">
        <f>IF('Data Source'!B315="","",'Data Source'!AA315)</f>
        <v/>
      </c>
      <c r="J315" s="9">
        <f>IF('Data Source'!B315="","",'Data Source'!AB315)</f>
        <v/>
      </c>
      <c r="K315" s="9">
        <f>IF('Data Source'!B315="","",'Data Source'!AC315)</f>
        <v/>
      </c>
      <c r="L315" s="9">
        <f>IF('Data Source'!B315="","",'Data Source'!AD315)</f>
        <v/>
      </c>
      <c r="M315" s="9">
        <f>IF('Data Source'!B315="","",'Data Source'!AE315)</f>
        <v/>
      </c>
      <c r="N315" s="9">
        <f>IF('Data Source'!B315="","",'Data Source'!AF315)</f>
        <v/>
      </c>
      <c r="O315" s="9">
        <f>IF('Data Source'!B315="","",'Data Source'!AG315)</f>
        <v/>
      </c>
      <c r="P315" s="5">
        <f>IF('Data Source'!B315="","",'Data Source'!R315)</f>
        <v/>
      </c>
      <c r="Q315" s="3">
        <f>IF('Data Source'!B315="","",'Data Source'!S315)</f>
        <v/>
      </c>
    </row>
    <row r="316">
      <c r="A316" s="3">
        <f>IF('Data Source'!B316="","",'Data Source'!A316)</f>
        <v/>
      </c>
      <c r="B316">
        <f>IF('Data Source'!B316="","",'Data Source'!B316)</f>
        <v/>
      </c>
      <c r="C316" s="9">
        <f>IF('Data Source'!B316="","",'Data Source'!U316)</f>
        <v/>
      </c>
      <c r="D316" s="9">
        <f>IF('Data Source'!B316="","",'Data Source'!V316)</f>
        <v/>
      </c>
      <c r="E316" s="9">
        <f>IF('Data Source'!B316="","",'Data Source'!W316)</f>
        <v/>
      </c>
      <c r="F316" s="9">
        <f>IF('Data Source'!B316="","",'Data Source'!X316)</f>
        <v/>
      </c>
      <c r="G316" s="9">
        <f>IF('Data Source'!B316="","",'Data Source'!Y316)</f>
        <v/>
      </c>
      <c r="H316" s="9">
        <f>IF('Data Source'!B316="","",'Data Source'!Z316)</f>
        <v/>
      </c>
      <c r="I316" s="9">
        <f>IF('Data Source'!B316="","",'Data Source'!AA316)</f>
        <v/>
      </c>
      <c r="J316" s="9">
        <f>IF('Data Source'!B316="","",'Data Source'!AB316)</f>
        <v/>
      </c>
      <c r="K316" s="9">
        <f>IF('Data Source'!B316="","",'Data Source'!AC316)</f>
        <v/>
      </c>
      <c r="L316" s="9">
        <f>IF('Data Source'!B316="","",'Data Source'!AD316)</f>
        <v/>
      </c>
      <c r="M316" s="9">
        <f>IF('Data Source'!B316="","",'Data Source'!AE316)</f>
        <v/>
      </c>
      <c r="N316" s="9">
        <f>IF('Data Source'!B316="","",'Data Source'!AF316)</f>
        <v/>
      </c>
      <c r="O316" s="9">
        <f>IF('Data Source'!B316="","",'Data Source'!AG316)</f>
        <v/>
      </c>
      <c r="P316" s="5">
        <f>IF('Data Source'!B316="","",'Data Source'!R316)</f>
        <v/>
      </c>
      <c r="Q316" s="3">
        <f>IF('Data Source'!B316="","",'Data Source'!S316)</f>
        <v/>
      </c>
    </row>
    <row r="317">
      <c r="A317" s="3">
        <f>IF('Data Source'!B317="","",'Data Source'!A317)</f>
        <v/>
      </c>
      <c r="B317">
        <f>IF('Data Source'!B317="","",'Data Source'!B317)</f>
        <v/>
      </c>
      <c r="C317" s="9">
        <f>IF('Data Source'!B317="","",'Data Source'!U317)</f>
        <v/>
      </c>
      <c r="D317" s="9">
        <f>IF('Data Source'!B317="","",'Data Source'!V317)</f>
        <v/>
      </c>
      <c r="E317" s="9">
        <f>IF('Data Source'!B317="","",'Data Source'!W317)</f>
        <v/>
      </c>
      <c r="F317" s="9">
        <f>IF('Data Source'!B317="","",'Data Source'!X317)</f>
        <v/>
      </c>
      <c r="G317" s="9">
        <f>IF('Data Source'!B317="","",'Data Source'!Y317)</f>
        <v/>
      </c>
      <c r="H317" s="9">
        <f>IF('Data Source'!B317="","",'Data Source'!Z317)</f>
        <v/>
      </c>
      <c r="I317" s="9">
        <f>IF('Data Source'!B317="","",'Data Source'!AA317)</f>
        <v/>
      </c>
      <c r="J317" s="9">
        <f>IF('Data Source'!B317="","",'Data Source'!AB317)</f>
        <v/>
      </c>
      <c r="K317" s="9">
        <f>IF('Data Source'!B317="","",'Data Source'!AC317)</f>
        <v/>
      </c>
      <c r="L317" s="9">
        <f>IF('Data Source'!B317="","",'Data Source'!AD317)</f>
        <v/>
      </c>
      <c r="M317" s="9">
        <f>IF('Data Source'!B317="","",'Data Source'!AE317)</f>
        <v/>
      </c>
      <c r="N317" s="9">
        <f>IF('Data Source'!B317="","",'Data Source'!AF317)</f>
        <v/>
      </c>
      <c r="O317" s="9">
        <f>IF('Data Source'!B317="","",'Data Source'!AG317)</f>
        <v/>
      </c>
      <c r="P317" s="5">
        <f>IF('Data Source'!B317="","",'Data Source'!R317)</f>
        <v/>
      </c>
      <c r="Q317" s="3">
        <f>IF('Data Source'!B317="","",'Data Source'!S317)</f>
        <v/>
      </c>
    </row>
    <row r="318">
      <c r="A318" s="3">
        <f>IF('Data Source'!B318="","",'Data Source'!A318)</f>
        <v/>
      </c>
      <c r="B318">
        <f>IF('Data Source'!B318="","",'Data Source'!B318)</f>
        <v/>
      </c>
      <c r="C318" s="9">
        <f>IF('Data Source'!B318="","",'Data Source'!U318)</f>
        <v/>
      </c>
      <c r="D318" s="9">
        <f>IF('Data Source'!B318="","",'Data Source'!V318)</f>
        <v/>
      </c>
      <c r="E318" s="9">
        <f>IF('Data Source'!B318="","",'Data Source'!W318)</f>
        <v/>
      </c>
      <c r="F318" s="9">
        <f>IF('Data Source'!B318="","",'Data Source'!X318)</f>
        <v/>
      </c>
      <c r="G318" s="9">
        <f>IF('Data Source'!B318="","",'Data Source'!Y318)</f>
        <v/>
      </c>
      <c r="H318" s="9">
        <f>IF('Data Source'!B318="","",'Data Source'!Z318)</f>
        <v/>
      </c>
      <c r="I318" s="9">
        <f>IF('Data Source'!B318="","",'Data Source'!AA318)</f>
        <v/>
      </c>
      <c r="J318" s="9">
        <f>IF('Data Source'!B318="","",'Data Source'!AB318)</f>
        <v/>
      </c>
      <c r="K318" s="9">
        <f>IF('Data Source'!B318="","",'Data Source'!AC318)</f>
        <v/>
      </c>
      <c r="L318" s="9">
        <f>IF('Data Source'!B318="","",'Data Source'!AD318)</f>
        <v/>
      </c>
      <c r="M318" s="9">
        <f>IF('Data Source'!B318="","",'Data Source'!AE318)</f>
        <v/>
      </c>
      <c r="N318" s="9">
        <f>IF('Data Source'!B318="","",'Data Source'!AF318)</f>
        <v/>
      </c>
      <c r="O318" s="9">
        <f>IF('Data Source'!B318="","",'Data Source'!AG318)</f>
        <v/>
      </c>
      <c r="P318" s="5">
        <f>IF('Data Source'!B318="","",'Data Source'!R318)</f>
        <v/>
      </c>
      <c r="Q318" s="3">
        <f>IF('Data Source'!B318="","",'Data Source'!S318)</f>
        <v/>
      </c>
    </row>
    <row r="319">
      <c r="A319" s="3">
        <f>IF('Data Source'!B319="","",'Data Source'!A319)</f>
        <v/>
      </c>
      <c r="B319">
        <f>IF('Data Source'!B319="","",'Data Source'!B319)</f>
        <v/>
      </c>
      <c r="C319" s="9">
        <f>IF('Data Source'!B319="","",'Data Source'!U319)</f>
        <v/>
      </c>
      <c r="D319" s="9">
        <f>IF('Data Source'!B319="","",'Data Source'!V319)</f>
        <v/>
      </c>
      <c r="E319" s="9">
        <f>IF('Data Source'!B319="","",'Data Source'!W319)</f>
        <v/>
      </c>
      <c r="F319" s="9">
        <f>IF('Data Source'!B319="","",'Data Source'!X319)</f>
        <v/>
      </c>
      <c r="G319" s="9">
        <f>IF('Data Source'!B319="","",'Data Source'!Y319)</f>
        <v/>
      </c>
      <c r="H319" s="9">
        <f>IF('Data Source'!B319="","",'Data Source'!Z319)</f>
        <v/>
      </c>
      <c r="I319" s="9">
        <f>IF('Data Source'!B319="","",'Data Source'!AA319)</f>
        <v/>
      </c>
      <c r="J319" s="9">
        <f>IF('Data Source'!B319="","",'Data Source'!AB319)</f>
        <v/>
      </c>
      <c r="K319" s="9">
        <f>IF('Data Source'!B319="","",'Data Source'!AC319)</f>
        <v/>
      </c>
      <c r="L319" s="9">
        <f>IF('Data Source'!B319="","",'Data Source'!AD319)</f>
        <v/>
      </c>
      <c r="M319" s="9">
        <f>IF('Data Source'!B319="","",'Data Source'!AE319)</f>
        <v/>
      </c>
      <c r="N319" s="9">
        <f>IF('Data Source'!B319="","",'Data Source'!AF319)</f>
        <v/>
      </c>
      <c r="O319" s="9">
        <f>IF('Data Source'!B319="","",'Data Source'!AG319)</f>
        <v/>
      </c>
      <c r="P319" s="5">
        <f>IF('Data Source'!B319="","",'Data Source'!R319)</f>
        <v/>
      </c>
      <c r="Q319" s="3">
        <f>IF('Data Source'!B319="","",'Data Source'!S319)</f>
        <v/>
      </c>
    </row>
    <row r="320">
      <c r="A320" s="3">
        <f>IF('Data Source'!B320="","",'Data Source'!A320)</f>
        <v/>
      </c>
      <c r="B320">
        <f>IF('Data Source'!B320="","",'Data Source'!B320)</f>
        <v/>
      </c>
      <c r="C320" s="9">
        <f>IF('Data Source'!B320="","",'Data Source'!U320)</f>
        <v/>
      </c>
      <c r="D320" s="9">
        <f>IF('Data Source'!B320="","",'Data Source'!V320)</f>
        <v/>
      </c>
      <c r="E320" s="9">
        <f>IF('Data Source'!B320="","",'Data Source'!W320)</f>
        <v/>
      </c>
      <c r="F320" s="9">
        <f>IF('Data Source'!B320="","",'Data Source'!X320)</f>
        <v/>
      </c>
      <c r="G320" s="9">
        <f>IF('Data Source'!B320="","",'Data Source'!Y320)</f>
        <v/>
      </c>
      <c r="H320" s="9">
        <f>IF('Data Source'!B320="","",'Data Source'!Z320)</f>
        <v/>
      </c>
      <c r="I320" s="9">
        <f>IF('Data Source'!B320="","",'Data Source'!AA320)</f>
        <v/>
      </c>
      <c r="J320" s="9">
        <f>IF('Data Source'!B320="","",'Data Source'!AB320)</f>
        <v/>
      </c>
      <c r="K320" s="9">
        <f>IF('Data Source'!B320="","",'Data Source'!AC320)</f>
        <v/>
      </c>
      <c r="L320" s="9">
        <f>IF('Data Source'!B320="","",'Data Source'!AD320)</f>
        <v/>
      </c>
      <c r="M320" s="9">
        <f>IF('Data Source'!B320="","",'Data Source'!AE320)</f>
        <v/>
      </c>
      <c r="N320" s="9">
        <f>IF('Data Source'!B320="","",'Data Source'!AF320)</f>
        <v/>
      </c>
      <c r="O320" s="9">
        <f>IF('Data Source'!B320="","",'Data Source'!AG320)</f>
        <v/>
      </c>
      <c r="P320" s="5">
        <f>IF('Data Source'!B320="","",'Data Source'!R320)</f>
        <v/>
      </c>
      <c r="Q320" s="3">
        <f>IF('Data Source'!B320="","",'Data Source'!S320)</f>
        <v/>
      </c>
    </row>
    <row r="321">
      <c r="A321" s="3">
        <f>IF('Data Source'!B321="","",'Data Source'!A321)</f>
        <v/>
      </c>
      <c r="B321">
        <f>IF('Data Source'!B321="","",'Data Source'!B321)</f>
        <v/>
      </c>
      <c r="C321" s="9">
        <f>IF('Data Source'!B321="","",'Data Source'!U321)</f>
        <v/>
      </c>
      <c r="D321" s="9">
        <f>IF('Data Source'!B321="","",'Data Source'!V321)</f>
        <v/>
      </c>
      <c r="E321" s="9">
        <f>IF('Data Source'!B321="","",'Data Source'!W321)</f>
        <v/>
      </c>
      <c r="F321" s="9">
        <f>IF('Data Source'!B321="","",'Data Source'!X321)</f>
        <v/>
      </c>
      <c r="G321" s="9">
        <f>IF('Data Source'!B321="","",'Data Source'!Y321)</f>
        <v/>
      </c>
      <c r="H321" s="9">
        <f>IF('Data Source'!B321="","",'Data Source'!Z321)</f>
        <v/>
      </c>
      <c r="I321" s="9">
        <f>IF('Data Source'!B321="","",'Data Source'!AA321)</f>
        <v/>
      </c>
      <c r="J321" s="9">
        <f>IF('Data Source'!B321="","",'Data Source'!AB321)</f>
        <v/>
      </c>
      <c r="K321" s="9">
        <f>IF('Data Source'!B321="","",'Data Source'!AC321)</f>
        <v/>
      </c>
      <c r="L321" s="9">
        <f>IF('Data Source'!B321="","",'Data Source'!AD321)</f>
        <v/>
      </c>
      <c r="M321" s="9">
        <f>IF('Data Source'!B321="","",'Data Source'!AE321)</f>
        <v/>
      </c>
      <c r="N321" s="9">
        <f>IF('Data Source'!B321="","",'Data Source'!AF321)</f>
        <v/>
      </c>
      <c r="O321" s="9">
        <f>IF('Data Source'!B321="","",'Data Source'!AG321)</f>
        <v/>
      </c>
      <c r="P321" s="5">
        <f>IF('Data Source'!B321="","",'Data Source'!R321)</f>
        <v/>
      </c>
      <c r="Q321" s="3">
        <f>IF('Data Source'!B321="","",'Data Source'!S321)</f>
        <v/>
      </c>
    </row>
    <row r="322">
      <c r="A322" s="3">
        <f>IF('Data Source'!B322="","",'Data Source'!A322)</f>
        <v/>
      </c>
      <c r="B322">
        <f>IF('Data Source'!B322="","",'Data Source'!B322)</f>
        <v/>
      </c>
      <c r="C322" s="9">
        <f>IF('Data Source'!B322="","",'Data Source'!U322)</f>
        <v/>
      </c>
      <c r="D322" s="9">
        <f>IF('Data Source'!B322="","",'Data Source'!V322)</f>
        <v/>
      </c>
      <c r="E322" s="9">
        <f>IF('Data Source'!B322="","",'Data Source'!W322)</f>
        <v/>
      </c>
      <c r="F322" s="9">
        <f>IF('Data Source'!B322="","",'Data Source'!X322)</f>
        <v/>
      </c>
      <c r="G322" s="9">
        <f>IF('Data Source'!B322="","",'Data Source'!Y322)</f>
        <v/>
      </c>
      <c r="H322" s="9">
        <f>IF('Data Source'!B322="","",'Data Source'!Z322)</f>
        <v/>
      </c>
      <c r="I322" s="9">
        <f>IF('Data Source'!B322="","",'Data Source'!AA322)</f>
        <v/>
      </c>
      <c r="J322" s="9">
        <f>IF('Data Source'!B322="","",'Data Source'!AB322)</f>
        <v/>
      </c>
      <c r="K322" s="9">
        <f>IF('Data Source'!B322="","",'Data Source'!AC322)</f>
        <v/>
      </c>
      <c r="L322" s="9">
        <f>IF('Data Source'!B322="","",'Data Source'!AD322)</f>
        <v/>
      </c>
      <c r="M322" s="9">
        <f>IF('Data Source'!B322="","",'Data Source'!AE322)</f>
        <v/>
      </c>
      <c r="N322" s="9">
        <f>IF('Data Source'!B322="","",'Data Source'!AF322)</f>
        <v/>
      </c>
      <c r="O322" s="9">
        <f>IF('Data Source'!B322="","",'Data Source'!AG322)</f>
        <v/>
      </c>
      <c r="P322" s="5">
        <f>IF('Data Source'!B322="","",'Data Source'!R322)</f>
        <v/>
      </c>
      <c r="Q322" s="3">
        <f>IF('Data Source'!B322="","",'Data Source'!S322)</f>
        <v/>
      </c>
    </row>
    <row r="323">
      <c r="A323" s="3">
        <f>IF('Data Source'!B323="","",'Data Source'!A323)</f>
        <v/>
      </c>
      <c r="B323">
        <f>IF('Data Source'!B323="","",'Data Source'!B323)</f>
        <v/>
      </c>
      <c r="C323" s="9">
        <f>IF('Data Source'!B323="","",'Data Source'!U323)</f>
        <v/>
      </c>
      <c r="D323" s="9">
        <f>IF('Data Source'!B323="","",'Data Source'!V323)</f>
        <v/>
      </c>
      <c r="E323" s="9">
        <f>IF('Data Source'!B323="","",'Data Source'!W323)</f>
        <v/>
      </c>
      <c r="F323" s="9">
        <f>IF('Data Source'!B323="","",'Data Source'!X323)</f>
        <v/>
      </c>
      <c r="G323" s="9">
        <f>IF('Data Source'!B323="","",'Data Source'!Y323)</f>
        <v/>
      </c>
      <c r="H323" s="9">
        <f>IF('Data Source'!B323="","",'Data Source'!Z323)</f>
        <v/>
      </c>
      <c r="I323" s="9">
        <f>IF('Data Source'!B323="","",'Data Source'!AA323)</f>
        <v/>
      </c>
      <c r="J323" s="9">
        <f>IF('Data Source'!B323="","",'Data Source'!AB323)</f>
        <v/>
      </c>
      <c r="K323" s="9">
        <f>IF('Data Source'!B323="","",'Data Source'!AC323)</f>
        <v/>
      </c>
      <c r="L323" s="9">
        <f>IF('Data Source'!B323="","",'Data Source'!AD323)</f>
        <v/>
      </c>
      <c r="M323" s="9">
        <f>IF('Data Source'!B323="","",'Data Source'!AE323)</f>
        <v/>
      </c>
      <c r="N323" s="9">
        <f>IF('Data Source'!B323="","",'Data Source'!AF323)</f>
        <v/>
      </c>
      <c r="O323" s="9">
        <f>IF('Data Source'!B323="","",'Data Source'!AG323)</f>
        <v/>
      </c>
      <c r="P323" s="5">
        <f>IF('Data Source'!B323="","",'Data Source'!R323)</f>
        <v/>
      </c>
      <c r="Q323" s="3">
        <f>IF('Data Source'!B323="","",'Data Source'!S323)</f>
        <v/>
      </c>
    </row>
    <row r="324">
      <c r="A324" s="3">
        <f>IF('Data Source'!B324="","",'Data Source'!A324)</f>
        <v/>
      </c>
      <c r="B324">
        <f>IF('Data Source'!B324="","",'Data Source'!B324)</f>
        <v/>
      </c>
      <c r="C324" s="9">
        <f>IF('Data Source'!B324="","",'Data Source'!U324)</f>
        <v/>
      </c>
      <c r="D324" s="9">
        <f>IF('Data Source'!B324="","",'Data Source'!V324)</f>
        <v/>
      </c>
      <c r="E324" s="9">
        <f>IF('Data Source'!B324="","",'Data Source'!W324)</f>
        <v/>
      </c>
      <c r="F324" s="9">
        <f>IF('Data Source'!B324="","",'Data Source'!X324)</f>
        <v/>
      </c>
      <c r="G324" s="9">
        <f>IF('Data Source'!B324="","",'Data Source'!Y324)</f>
        <v/>
      </c>
      <c r="H324" s="9">
        <f>IF('Data Source'!B324="","",'Data Source'!Z324)</f>
        <v/>
      </c>
      <c r="I324" s="9">
        <f>IF('Data Source'!B324="","",'Data Source'!AA324)</f>
        <v/>
      </c>
      <c r="J324" s="9">
        <f>IF('Data Source'!B324="","",'Data Source'!AB324)</f>
        <v/>
      </c>
      <c r="K324" s="9">
        <f>IF('Data Source'!B324="","",'Data Source'!AC324)</f>
        <v/>
      </c>
      <c r="L324" s="9">
        <f>IF('Data Source'!B324="","",'Data Source'!AD324)</f>
        <v/>
      </c>
      <c r="M324" s="9">
        <f>IF('Data Source'!B324="","",'Data Source'!AE324)</f>
        <v/>
      </c>
      <c r="N324" s="9">
        <f>IF('Data Source'!B324="","",'Data Source'!AF324)</f>
        <v/>
      </c>
      <c r="O324" s="9">
        <f>IF('Data Source'!B324="","",'Data Source'!AG324)</f>
        <v/>
      </c>
      <c r="P324" s="5">
        <f>IF('Data Source'!B324="","",'Data Source'!R324)</f>
        <v/>
      </c>
      <c r="Q324" s="3">
        <f>IF('Data Source'!B324="","",'Data Source'!S324)</f>
        <v/>
      </c>
    </row>
    <row r="325">
      <c r="A325" s="3">
        <f>IF('Data Source'!B325="","",'Data Source'!A325)</f>
        <v/>
      </c>
      <c r="B325">
        <f>IF('Data Source'!B325="","",'Data Source'!B325)</f>
        <v/>
      </c>
      <c r="C325" s="9">
        <f>IF('Data Source'!B325="","",'Data Source'!U325)</f>
        <v/>
      </c>
      <c r="D325" s="9">
        <f>IF('Data Source'!B325="","",'Data Source'!V325)</f>
        <v/>
      </c>
      <c r="E325" s="9">
        <f>IF('Data Source'!B325="","",'Data Source'!W325)</f>
        <v/>
      </c>
      <c r="F325" s="9">
        <f>IF('Data Source'!B325="","",'Data Source'!X325)</f>
        <v/>
      </c>
      <c r="G325" s="9">
        <f>IF('Data Source'!B325="","",'Data Source'!Y325)</f>
        <v/>
      </c>
      <c r="H325" s="9">
        <f>IF('Data Source'!B325="","",'Data Source'!Z325)</f>
        <v/>
      </c>
      <c r="I325" s="9">
        <f>IF('Data Source'!B325="","",'Data Source'!AA325)</f>
        <v/>
      </c>
      <c r="J325" s="9">
        <f>IF('Data Source'!B325="","",'Data Source'!AB325)</f>
        <v/>
      </c>
      <c r="K325" s="9">
        <f>IF('Data Source'!B325="","",'Data Source'!AC325)</f>
        <v/>
      </c>
      <c r="L325" s="9">
        <f>IF('Data Source'!B325="","",'Data Source'!AD325)</f>
        <v/>
      </c>
      <c r="M325" s="9">
        <f>IF('Data Source'!B325="","",'Data Source'!AE325)</f>
        <v/>
      </c>
      <c r="N325" s="9">
        <f>IF('Data Source'!B325="","",'Data Source'!AF325)</f>
        <v/>
      </c>
      <c r="O325" s="9">
        <f>IF('Data Source'!B325="","",'Data Source'!AG325)</f>
        <v/>
      </c>
      <c r="P325" s="5">
        <f>IF('Data Source'!B325="","",'Data Source'!R325)</f>
        <v/>
      </c>
      <c r="Q325" s="3">
        <f>IF('Data Source'!B325="","",'Data Source'!S325)</f>
        <v/>
      </c>
    </row>
    <row r="326">
      <c r="A326" s="3">
        <f>IF('Data Source'!B326="","",'Data Source'!A326)</f>
        <v/>
      </c>
      <c r="B326">
        <f>IF('Data Source'!B326="","",'Data Source'!B326)</f>
        <v/>
      </c>
      <c r="C326" s="9">
        <f>IF('Data Source'!B326="","",'Data Source'!U326)</f>
        <v/>
      </c>
      <c r="D326" s="9">
        <f>IF('Data Source'!B326="","",'Data Source'!V326)</f>
        <v/>
      </c>
      <c r="E326" s="9">
        <f>IF('Data Source'!B326="","",'Data Source'!W326)</f>
        <v/>
      </c>
      <c r="F326" s="9">
        <f>IF('Data Source'!B326="","",'Data Source'!X326)</f>
        <v/>
      </c>
      <c r="G326" s="9">
        <f>IF('Data Source'!B326="","",'Data Source'!Y326)</f>
        <v/>
      </c>
      <c r="H326" s="9">
        <f>IF('Data Source'!B326="","",'Data Source'!Z326)</f>
        <v/>
      </c>
      <c r="I326" s="9">
        <f>IF('Data Source'!B326="","",'Data Source'!AA326)</f>
        <v/>
      </c>
      <c r="J326" s="9">
        <f>IF('Data Source'!B326="","",'Data Source'!AB326)</f>
        <v/>
      </c>
      <c r="K326" s="9">
        <f>IF('Data Source'!B326="","",'Data Source'!AC326)</f>
        <v/>
      </c>
      <c r="L326" s="9">
        <f>IF('Data Source'!B326="","",'Data Source'!AD326)</f>
        <v/>
      </c>
      <c r="M326" s="9">
        <f>IF('Data Source'!B326="","",'Data Source'!AE326)</f>
        <v/>
      </c>
      <c r="N326" s="9">
        <f>IF('Data Source'!B326="","",'Data Source'!AF326)</f>
        <v/>
      </c>
      <c r="O326" s="9">
        <f>IF('Data Source'!B326="","",'Data Source'!AG326)</f>
        <v/>
      </c>
      <c r="P326" s="5">
        <f>IF('Data Source'!B326="","",'Data Source'!R326)</f>
        <v/>
      </c>
      <c r="Q326" s="3">
        <f>IF('Data Source'!B326="","",'Data Source'!S326)</f>
        <v/>
      </c>
    </row>
    <row r="327">
      <c r="A327" s="3">
        <f>IF('Data Source'!B327="","",'Data Source'!A327)</f>
        <v/>
      </c>
      <c r="B327">
        <f>IF('Data Source'!B327="","",'Data Source'!B327)</f>
        <v/>
      </c>
      <c r="C327" s="9">
        <f>IF('Data Source'!B327="","",'Data Source'!U327)</f>
        <v/>
      </c>
      <c r="D327" s="9">
        <f>IF('Data Source'!B327="","",'Data Source'!V327)</f>
        <v/>
      </c>
      <c r="E327" s="9">
        <f>IF('Data Source'!B327="","",'Data Source'!W327)</f>
        <v/>
      </c>
      <c r="F327" s="9">
        <f>IF('Data Source'!B327="","",'Data Source'!X327)</f>
        <v/>
      </c>
      <c r="G327" s="9">
        <f>IF('Data Source'!B327="","",'Data Source'!Y327)</f>
        <v/>
      </c>
      <c r="H327" s="9">
        <f>IF('Data Source'!B327="","",'Data Source'!Z327)</f>
        <v/>
      </c>
      <c r="I327" s="9">
        <f>IF('Data Source'!B327="","",'Data Source'!AA327)</f>
        <v/>
      </c>
      <c r="J327" s="9">
        <f>IF('Data Source'!B327="","",'Data Source'!AB327)</f>
        <v/>
      </c>
      <c r="K327" s="9">
        <f>IF('Data Source'!B327="","",'Data Source'!AC327)</f>
        <v/>
      </c>
      <c r="L327" s="9">
        <f>IF('Data Source'!B327="","",'Data Source'!AD327)</f>
        <v/>
      </c>
      <c r="M327" s="9">
        <f>IF('Data Source'!B327="","",'Data Source'!AE327)</f>
        <v/>
      </c>
      <c r="N327" s="9">
        <f>IF('Data Source'!B327="","",'Data Source'!AF327)</f>
        <v/>
      </c>
      <c r="O327" s="9">
        <f>IF('Data Source'!B327="","",'Data Source'!AG327)</f>
        <v/>
      </c>
      <c r="P327" s="5">
        <f>IF('Data Source'!B327="","",'Data Source'!R327)</f>
        <v/>
      </c>
      <c r="Q327" s="3">
        <f>IF('Data Source'!B327="","",'Data Source'!S327)</f>
        <v/>
      </c>
    </row>
    <row r="328">
      <c r="A328" s="3">
        <f>IF('Data Source'!B328="","",'Data Source'!A328)</f>
        <v/>
      </c>
      <c r="B328">
        <f>IF('Data Source'!B328="","",'Data Source'!B328)</f>
        <v/>
      </c>
      <c r="C328" s="9">
        <f>IF('Data Source'!B328="","",'Data Source'!U328)</f>
        <v/>
      </c>
      <c r="D328" s="9">
        <f>IF('Data Source'!B328="","",'Data Source'!V328)</f>
        <v/>
      </c>
      <c r="E328" s="9">
        <f>IF('Data Source'!B328="","",'Data Source'!W328)</f>
        <v/>
      </c>
      <c r="F328" s="9">
        <f>IF('Data Source'!B328="","",'Data Source'!X328)</f>
        <v/>
      </c>
      <c r="G328" s="9">
        <f>IF('Data Source'!B328="","",'Data Source'!Y328)</f>
        <v/>
      </c>
      <c r="H328" s="9">
        <f>IF('Data Source'!B328="","",'Data Source'!Z328)</f>
        <v/>
      </c>
      <c r="I328" s="9">
        <f>IF('Data Source'!B328="","",'Data Source'!AA328)</f>
        <v/>
      </c>
      <c r="J328" s="9">
        <f>IF('Data Source'!B328="","",'Data Source'!AB328)</f>
        <v/>
      </c>
      <c r="K328" s="9">
        <f>IF('Data Source'!B328="","",'Data Source'!AC328)</f>
        <v/>
      </c>
      <c r="L328" s="9">
        <f>IF('Data Source'!B328="","",'Data Source'!AD328)</f>
        <v/>
      </c>
      <c r="M328" s="9">
        <f>IF('Data Source'!B328="","",'Data Source'!AE328)</f>
        <v/>
      </c>
      <c r="N328" s="9">
        <f>IF('Data Source'!B328="","",'Data Source'!AF328)</f>
        <v/>
      </c>
      <c r="O328" s="9">
        <f>IF('Data Source'!B328="","",'Data Source'!AG328)</f>
        <v/>
      </c>
      <c r="P328" s="5">
        <f>IF('Data Source'!B328="","",'Data Source'!R328)</f>
        <v/>
      </c>
      <c r="Q328" s="3">
        <f>IF('Data Source'!B328="","",'Data Source'!S328)</f>
        <v/>
      </c>
    </row>
    <row r="329">
      <c r="A329" s="3">
        <f>IF('Data Source'!B329="","",'Data Source'!A329)</f>
        <v/>
      </c>
      <c r="B329">
        <f>IF('Data Source'!B329="","",'Data Source'!B329)</f>
        <v/>
      </c>
      <c r="C329" s="9">
        <f>IF('Data Source'!B329="","",'Data Source'!U329)</f>
        <v/>
      </c>
      <c r="D329" s="9">
        <f>IF('Data Source'!B329="","",'Data Source'!V329)</f>
        <v/>
      </c>
      <c r="E329" s="9">
        <f>IF('Data Source'!B329="","",'Data Source'!W329)</f>
        <v/>
      </c>
      <c r="F329" s="9">
        <f>IF('Data Source'!B329="","",'Data Source'!X329)</f>
        <v/>
      </c>
      <c r="G329" s="9">
        <f>IF('Data Source'!B329="","",'Data Source'!Y329)</f>
        <v/>
      </c>
      <c r="H329" s="9">
        <f>IF('Data Source'!B329="","",'Data Source'!Z329)</f>
        <v/>
      </c>
      <c r="I329" s="9">
        <f>IF('Data Source'!B329="","",'Data Source'!AA329)</f>
        <v/>
      </c>
      <c r="J329" s="9">
        <f>IF('Data Source'!B329="","",'Data Source'!AB329)</f>
        <v/>
      </c>
      <c r="K329" s="9">
        <f>IF('Data Source'!B329="","",'Data Source'!AC329)</f>
        <v/>
      </c>
      <c r="L329" s="9">
        <f>IF('Data Source'!B329="","",'Data Source'!AD329)</f>
        <v/>
      </c>
      <c r="M329" s="9">
        <f>IF('Data Source'!B329="","",'Data Source'!AE329)</f>
        <v/>
      </c>
      <c r="N329" s="9">
        <f>IF('Data Source'!B329="","",'Data Source'!AF329)</f>
        <v/>
      </c>
      <c r="O329" s="9">
        <f>IF('Data Source'!B329="","",'Data Source'!AG329)</f>
        <v/>
      </c>
      <c r="P329" s="5">
        <f>IF('Data Source'!B329="","",'Data Source'!R329)</f>
        <v/>
      </c>
      <c r="Q329" s="3">
        <f>IF('Data Source'!B329="","",'Data Source'!S329)</f>
        <v/>
      </c>
    </row>
    <row r="330">
      <c r="A330" s="3">
        <f>IF('Data Source'!B330="","",'Data Source'!A330)</f>
        <v/>
      </c>
      <c r="B330">
        <f>IF('Data Source'!B330="","",'Data Source'!B330)</f>
        <v/>
      </c>
      <c r="C330" s="9">
        <f>IF('Data Source'!B330="","",'Data Source'!U330)</f>
        <v/>
      </c>
      <c r="D330" s="9">
        <f>IF('Data Source'!B330="","",'Data Source'!V330)</f>
        <v/>
      </c>
      <c r="E330" s="9">
        <f>IF('Data Source'!B330="","",'Data Source'!W330)</f>
        <v/>
      </c>
      <c r="F330" s="9">
        <f>IF('Data Source'!B330="","",'Data Source'!X330)</f>
        <v/>
      </c>
      <c r="G330" s="9">
        <f>IF('Data Source'!B330="","",'Data Source'!Y330)</f>
        <v/>
      </c>
      <c r="H330" s="9">
        <f>IF('Data Source'!B330="","",'Data Source'!Z330)</f>
        <v/>
      </c>
      <c r="I330" s="9">
        <f>IF('Data Source'!B330="","",'Data Source'!AA330)</f>
        <v/>
      </c>
      <c r="J330" s="9">
        <f>IF('Data Source'!B330="","",'Data Source'!AB330)</f>
        <v/>
      </c>
      <c r="K330" s="9">
        <f>IF('Data Source'!B330="","",'Data Source'!AC330)</f>
        <v/>
      </c>
      <c r="L330" s="9">
        <f>IF('Data Source'!B330="","",'Data Source'!AD330)</f>
        <v/>
      </c>
      <c r="M330" s="9">
        <f>IF('Data Source'!B330="","",'Data Source'!AE330)</f>
        <v/>
      </c>
      <c r="N330" s="9">
        <f>IF('Data Source'!B330="","",'Data Source'!AF330)</f>
        <v/>
      </c>
      <c r="O330" s="9">
        <f>IF('Data Source'!B330="","",'Data Source'!AG330)</f>
        <v/>
      </c>
      <c r="P330" s="5">
        <f>IF('Data Source'!B330="","",'Data Source'!R330)</f>
        <v/>
      </c>
      <c r="Q330" s="3">
        <f>IF('Data Source'!B330="","",'Data Source'!S330)</f>
        <v/>
      </c>
    </row>
    <row r="331">
      <c r="A331" s="3">
        <f>IF('Data Source'!B331="","",'Data Source'!A331)</f>
        <v/>
      </c>
      <c r="B331">
        <f>IF('Data Source'!B331="","",'Data Source'!B331)</f>
        <v/>
      </c>
      <c r="C331" s="9">
        <f>IF('Data Source'!B331="","",'Data Source'!U331)</f>
        <v/>
      </c>
      <c r="D331" s="9">
        <f>IF('Data Source'!B331="","",'Data Source'!V331)</f>
        <v/>
      </c>
      <c r="E331" s="9">
        <f>IF('Data Source'!B331="","",'Data Source'!W331)</f>
        <v/>
      </c>
      <c r="F331" s="9">
        <f>IF('Data Source'!B331="","",'Data Source'!X331)</f>
        <v/>
      </c>
      <c r="G331" s="9">
        <f>IF('Data Source'!B331="","",'Data Source'!Y331)</f>
        <v/>
      </c>
      <c r="H331" s="9">
        <f>IF('Data Source'!B331="","",'Data Source'!Z331)</f>
        <v/>
      </c>
      <c r="I331" s="9">
        <f>IF('Data Source'!B331="","",'Data Source'!AA331)</f>
        <v/>
      </c>
      <c r="J331" s="9">
        <f>IF('Data Source'!B331="","",'Data Source'!AB331)</f>
        <v/>
      </c>
      <c r="K331" s="9">
        <f>IF('Data Source'!B331="","",'Data Source'!AC331)</f>
        <v/>
      </c>
      <c r="L331" s="9">
        <f>IF('Data Source'!B331="","",'Data Source'!AD331)</f>
        <v/>
      </c>
      <c r="M331" s="9">
        <f>IF('Data Source'!B331="","",'Data Source'!AE331)</f>
        <v/>
      </c>
      <c r="N331" s="9">
        <f>IF('Data Source'!B331="","",'Data Source'!AF331)</f>
        <v/>
      </c>
      <c r="O331" s="9">
        <f>IF('Data Source'!B331="","",'Data Source'!AG331)</f>
        <v/>
      </c>
      <c r="P331" s="5">
        <f>IF('Data Source'!B331="","",'Data Source'!R331)</f>
        <v/>
      </c>
      <c r="Q331" s="3">
        <f>IF('Data Source'!B331="","",'Data Source'!S331)</f>
        <v/>
      </c>
    </row>
    <row r="332">
      <c r="A332" s="3">
        <f>IF('Data Source'!B332="","",'Data Source'!A332)</f>
        <v/>
      </c>
      <c r="B332">
        <f>IF('Data Source'!B332="","",'Data Source'!B332)</f>
        <v/>
      </c>
      <c r="C332" s="9">
        <f>IF('Data Source'!B332="","",'Data Source'!U332)</f>
        <v/>
      </c>
      <c r="D332" s="9">
        <f>IF('Data Source'!B332="","",'Data Source'!V332)</f>
        <v/>
      </c>
      <c r="E332" s="9">
        <f>IF('Data Source'!B332="","",'Data Source'!W332)</f>
        <v/>
      </c>
      <c r="F332" s="9">
        <f>IF('Data Source'!B332="","",'Data Source'!X332)</f>
        <v/>
      </c>
      <c r="G332" s="9">
        <f>IF('Data Source'!B332="","",'Data Source'!Y332)</f>
        <v/>
      </c>
      <c r="H332" s="9">
        <f>IF('Data Source'!B332="","",'Data Source'!Z332)</f>
        <v/>
      </c>
      <c r="I332" s="9">
        <f>IF('Data Source'!B332="","",'Data Source'!AA332)</f>
        <v/>
      </c>
      <c r="J332" s="9">
        <f>IF('Data Source'!B332="","",'Data Source'!AB332)</f>
        <v/>
      </c>
      <c r="K332" s="9">
        <f>IF('Data Source'!B332="","",'Data Source'!AC332)</f>
        <v/>
      </c>
      <c r="L332" s="9">
        <f>IF('Data Source'!B332="","",'Data Source'!AD332)</f>
        <v/>
      </c>
      <c r="M332" s="9">
        <f>IF('Data Source'!B332="","",'Data Source'!AE332)</f>
        <v/>
      </c>
      <c r="N332" s="9">
        <f>IF('Data Source'!B332="","",'Data Source'!AF332)</f>
        <v/>
      </c>
      <c r="O332" s="9">
        <f>IF('Data Source'!B332="","",'Data Source'!AG332)</f>
        <v/>
      </c>
      <c r="P332" s="5">
        <f>IF('Data Source'!B332="","",'Data Source'!R332)</f>
        <v/>
      </c>
      <c r="Q332" s="3">
        <f>IF('Data Source'!B332="","",'Data Source'!S332)</f>
        <v/>
      </c>
    </row>
    <row r="333">
      <c r="A333" s="3">
        <f>IF('Data Source'!B333="","",'Data Source'!A333)</f>
        <v/>
      </c>
      <c r="B333">
        <f>IF('Data Source'!B333="","",'Data Source'!B333)</f>
        <v/>
      </c>
      <c r="C333" s="9">
        <f>IF('Data Source'!B333="","",'Data Source'!U333)</f>
        <v/>
      </c>
      <c r="D333" s="9">
        <f>IF('Data Source'!B333="","",'Data Source'!V333)</f>
        <v/>
      </c>
      <c r="E333" s="9">
        <f>IF('Data Source'!B333="","",'Data Source'!W333)</f>
        <v/>
      </c>
      <c r="F333" s="9">
        <f>IF('Data Source'!B333="","",'Data Source'!X333)</f>
        <v/>
      </c>
      <c r="G333" s="9">
        <f>IF('Data Source'!B333="","",'Data Source'!Y333)</f>
        <v/>
      </c>
      <c r="H333" s="9">
        <f>IF('Data Source'!B333="","",'Data Source'!Z333)</f>
        <v/>
      </c>
      <c r="I333" s="9">
        <f>IF('Data Source'!B333="","",'Data Source'!AA333)</f>
        <v/>
      </c>
      <c r="J333" s="9">
        <f>IF('Data Source'!B333="","",'Data Source'!AB333)</f>
        <v/>
      </c>
      <c r="K333" s="9">
        <f>IF('Data Source'!B333="","",'Data Source'!AC333)</f>
        <v/>
      </c>
      <c r="L333" s="9">
        <f>IF('Data Source'!B333="","",'Data Source'!AD333)</f>
        <v/>
      </c>
      <c r="M333" s="9">
        <f>IF('Data Source'!B333="","",'Data Source'!AE333)</f>
        <v/>
      </c>
      <c r="N333" s="9">
        <f>IF('Data Source'!B333="","",'Data Source'!AF333)</f>
        <v/>
      </c>
      <c r="O333" s="9">
        <f>IF('Data Source'!B333="","",'Data Source'!AG333)</f>
        <v/>
      </c>
      <c r="P333" s="5">
        <f>IF('Data Source'!B333="","",'Data Source'!R333)</f>
        <v/>
      </c>
      <c r="Q333" s="3">
        <f>IF('Data Source'!B333="","",'Data Source'!S333)</f>
        <v/>
      </c>
    </row>
    <row r="334">
      <c r="A334" s="3">
        <f>IF('Data Source'!B334="","",'Data Source'!A334)</f>
        <v/>
      </c>
      <c r="B334">
        <f>IF('Data Source'!B334="","",'Data Source'!B334)</f>
        <v/>
      </c>
      <c r="C334" s="9">
        <f>IF('Data Source'!B334="","",'Data Source'!U334)</f>
        <v/>
      </c>
      <c r="D334" s="9">
        <f>IF('Data Source'!B334="","",'Data Source'!V334)</f>
        <v/>
      </c>
      <c r="E334" s="9">
        <f>IF('Data Source'!B334="","",'Data Source'!W334)</f>
        <v/>
      </c>
      <c r="F334" s="9">
        <f>IF('Data Source'!B334="","",'Data Source'!X334)</f>
        <v/>
      </c>
      <c r="G334" s="9">
        <f>IF('Data Source'!B334="","",'Data Source'!Y334)</f>
        <v/>
      </c>
      <c r="H334" s="9">
        <f>IF('Data Source'!B334="","",'Data Source'!Z334)</f>
        <v/>
      </c>
      <c r="I334" s="9">
        <f>IF('Data Source'!B334="","",'Data Source'!AA334)</f>
        <v/>
      </c>
      <c r="J334" s="9">
        <f>IF('Data Source'!B334="","",'Data Source'!AB334)</f>
        <v/>
      </c>
      <c r="K334" s="9">
        <f>IF('Data Source'!B334="","",'Data Source'!AC334)</f>
        <v/>
      </c>
      <c r="L334" s="9">
        <f>IF('Data Source'!B334="","",'Data Source'!AD334)</f>
        <v/>
      </c>
      <c r="M334" s="9">
        <f>IF('Data Source'!B334="","",'Data Source'!AE334)</f>
        <v/>
      </c>
      <c r="N334" s="9">
        <f>IF('Data Source'!B334="","",'Data Source'!AF334)</f>
        <v/>
      </c>
      <c r="O334" s="9">
        <f>IF('Data Source'!B334="","",'Data Source'!AG334)</f>
        <v/>
      </c>
      <c r="P334" s="5">
        <f>IF('Data Source'!B334="","",'Data Source'!R334)</f>
        <v/>
      </c>
      <c r="Q334" s="3">
        <f>IF('Data Source'!B334="","",'Data Source'!S334)</f>
        <v/>
      </c>
    </row>
    <row r="335">
      <c r="A335" s="3">
        <f>IF('Data Source'!B335="","",'Data Source'!A335)</f>
        <v/>
      </c>
      <c r="B335">
        <f>IF('Data Source'!B335="","",'Data Source'!B335)</f>
        <v/>
      </c>
      <c r="C335" s="9">
        <f>IF('Data Source'!B335="","",'Data Source'!U335)</f>
        <v/>
      </c>
      <c r="D335" s="9">
        <f>IF('Data Source'!B335="","",'Data Source'!V335)</f>
        <v/>
      </c>
      <c r="E335" s="9">
        <f>IF('Data Source'!B335="","",'Data Source'!W335)</f>
        <v/>
      </c>
      <c r="F335" s="9">
        <f>IF('Data Source'!B335="","",'Data Source'!X335)</f>
        <v/>
      </c>
      <c r="G335" s="9">
        <f>IF('Data Source'!B335="","",'Data Source'!Y335)</f>
        <v/>
      </c>
      <c r="H335" s="9">
        <f>IF('Data Source'!B335="","",'Data Source'!Z335)</f>
        <v/>
      </c>
      <c r="I335" s="9">
        <f>IF('Data Source'!B335="","",'Data Source'!AA335)</f>
        <v/>
      </c>
      <c r="J335" s="9">
        <f>IF('Data Source'!B335="","",'Data Source'!AB335)</f>
        <v/>
      </c>
      <c r="K335" s="9">
        <f>IF('Data Source'!B335="","",'Data Source'!AC335)</f>
        <v/>
      </c>
      <c r="L335" s="9">
        <f>IF('Data Source'!B335="","",'Data Source'!AD335)</f>
        <v/>
      </c>
      <c r="M335" s="9">
        <f>IF('Data Source'!B335="","",'Data Source'!AE335)</f>
        <v/>
      </c>
      <c r="N335" s="9">
        <f>IF('Data Source'!B335="","",'Data Source'!AF335)</f>
        <v/>
      </c>
      <c r="O335" s="9">
        <f>IF('Data Source'!B335="","",'Data Source'!AG335)</f>
        <v/>
      </c>
      <c r="P335" s="5">
        <f>IF('Data Source'!B335="","",'Data Source'!R335)</f>
        <v/>
      </c>
      <c r="Q335" s="3">
        <f>IF('Data Source'!B335="","",'Data Source'!S335)</f>
        <v/>
      </c>
    </row>
    <row r="336">
      <c r="A336" s="3">
        <f>IF('Data Source'!B336="","",'Data Source'!A336)</f>
        <v/>
      </c>
      <c r="B336">
        <f>IF('Data Source'!B336="","",'Data Source'!B336)</f>
        <v/>
      </c>
      <c r="C336" s="9">
        <f>IF('Data Source'!B336="","",'Data Source'!U336)</f>
        <v/>
      </c>
      <c r="D336" s="9">
        <f>IF('Data Source'!B336="","",'Data Source'!V336)</f>
        <v/>
      </c>
      <c r="E336" s="9">
        <f>IF('Data Source'!B336="","",'Data Source'!W336)</f>
        <v/>
      </c>
      <c r="F336" s="9">
        <f>IF('Data Source'!B336="","",'Data Source'!X336)</f>
        <v/>
      </c>
      <c r="G336" s="9">
        <f>IF('Data Source'!B336="","",'Data Source'!Y336)</f>
        <v/>
      </c>
      <c r="H336" s="9">
        <f>IF('Data Source'!B336="","",'Data Source'!Z336)</f>
        <v/>
      </c>
      <c r="I336" s="9">
        <f>IF('Data Source'!B336="","",'Data Source'!AA336)</f>
        <v/>
      </c>
      <c r="J336" s="9">
        <f>IF('Data Source'!B336="","",'Data Source'!AB336)</f>
        <v/>
      </c>
      <c r="K336" s="9">
        <f>IF('Data Source'!B336="","",'Data Source'!AC336)</f>
        <v/>
      </c>
      <c r="L336" s="9">
        <f>IF('Data Source'!B336="","",'Data Source'!AD336)</f>
        <v/>
      </c>
      <c r="M336" s="9">
        <f>IF('Data Source'!B336="","",'Data Source'!AE336)</f>
        <v/>
      </c>
      <c r="N336" s="9">
        <f>IF('Data Source'!B336="","",'Data Source'!AF336)</f>
        <v/>
      </c>
      <c r="O336" s="9">
        <f>IF('Data Source'!B336="","",'Data Source'!AG336)</f>
        <v/>
      </c>
      <c r="P336" s="5">
        <f>IF('Data Source'!B336="","",'Data Source'!R336)</f>
        <v/>
      </c>
      <c r="Q336" s="3">
        <f>IF('Data Source'!B336="","",'Data Source'!S336)</f>
        <v/>
      </c>
    </row>
    <row r="337">
      <c r="A337" s="3">
        <f>IF('Data Source'!B337="","",'Data Source'!A337)</f>
        <v/>
      </c>
      <c r="B337">
        <f>IF('Data Source'!B337="","",'Data Source'!B337)</f>
        <v/>
      </c>
      <c r="C337" s="9">
        <f>IF('Data Source'!B337="","",'Data Source'!U337)</f>
        <v/>
      </c>
      <c r="D337" s="9">
        <f>IF('Data Source'!B337="","",'Data Source'!V337)</f>
        <v/>
      </c>
      <c r="E337" s="9">
        <f>IF('Data Source'!B337="","",'Data Source'!W337)</f>
        <v/>
      </c>
      <c r="F337" s="9">
        <f>IF('Data Source'!B337="","",'Data Source'!X337)</f>
        <v/>
      </c>
      <c r="G337" s="9">
        <f>IF('Data Source'!B337="","",'Data Source'!Y337)</f>
        <v/>
      </c>
      <c r="H337" s="9">
        <f>IF('Data Source'!B337="","",'Data Source'!Z337)</f>
        <v/>
      </c>
      <c r="I337" s="9">
        <f>IF('Data Source'!B337="","",'Data Source'!AA337)</f>
        <v/>
      </c>
      <c r="J337" s="9">
        <f>IF('Data Source'!B337="","",'Data Source'!AB337)</f>
        <v/>
      </c>
      <c r="K337" s="9">
        <f>IF('Data Source'!B337="","",'Data Source'!AC337)</f>
        <v/>
      </c>
      <c r="L337" s="9">
        <f>IF('Data Source'!B337="","",'Data Source'!AD337)</f>
        <v/>
      </c>
      <c r="M337" s="9">
        <f>IF('Data Source'!B337="","",'Data Source'!AE337)</f>
        <v/>
      </c>
      <c r="N337" s="9">
        <f>IF('Data Source'!B337="","",'Data Source'!AF337)</f>
        <v/>
      </c>
      <c r="O337" s="9">
        <f>IF('Data Source'!B337="","",'Data Source'!AG337)</f>
        <v/>
      </c>
      <c r="P337" s="5">
        <f>IF('Data Source'!B337="","",'Data Source'!R337)</f>
        <v/>
      </c>
      <c r="Q337" s="3">
        <f>IF('Data Source'!B337="","",'Data Source'!S337)</f>
        <v/>
      </c>
    </row>
    <row r="338">
      <c r="A338" s="3">
        <f>IF('Data Source'!B338="","",'Data Source'!A338)</f>
        <v/>
      </c>
      <c r="B338">
        <f>IF('Data Source'!B338="","",'Data Source'!B338)</f>
        <v/>
      </c>
      <c r="C338" s="9">
        <f>IF('Data Source'!B338="","",'Data Source'!U338)</f>
        <v/>
      </c>
      <c r="D338" s="9">
        <f>IF('Data Source'!B338="","",'Data Source'!V338)</f>
        <v/>
      </c>
      <c r="E338" s="9">
        <f>IF('Data Source'!B338="","",'Data Source'!W338)</f>
        <v/>
      </c>
      <c r="F338" s="9">
        <f>IF('Data Source'!B338="","",'Data Source'!X338)</f>
        <v/>
      </c>
      <c r="G338" s="9">
        <f>IF('Data Source'!B338="","",'Data Source'!Y338)</f>
        <v/>
      </c>
      <c r="H338" s="9">
        <f>IF('Data Source'!B338="","",'Data Source'!Z338)</f>
        <v/>
      </c>
      <c r="I338" s="9">
        <f>IF('Data Source'!B338="","",'Data Source'!AA338)</f>
        <v/>
      </c>
      <c r="J338" s="9">
        <f>IF('Data Source'!B338="","",'Data Source'!AB338)</f>
        <v/>
      </c>
      <c r="K338" s="9">
        <f>IF('Data Source'!B338="","",'Data Source'!AC338)</f>
        <v/>
      </c>
      <c r="L338" s="9">
        <f>IF('Data Source'!B338="","",'Data Source'!AD338)</f>
        <v/>
      </c>
      <c r="M338" s="9">
        <f>IF('Data Source'!B338="","",'Data Source'!AE338)</f>
        <v/>
      </c>
      <c r="N338" s="9">
        <f>IF('Data Source'!B338="","",'Data Source'!AF338)</f>
        <v/>
      </c>
      <c r="O338" s="9">
        <f>IF('Data Source'!B338="","",'Data Source'!AG338)</f>
        <v/>
      </c>
      <c r="P338" s="5">
        <f>IF('Data Source'!B338="","",'Data Source'!R338)</f>
        <v/>
      </c>
      <c r="Q338" s="3">
        <f>IF('Data Source'!B338="","",'Data Source'!S338)</f>
        <v/>
      </c>
    </row>
    <row r="339">
      <c r="A339" s="3">
        <f>IF('Data Source'!B339="","",'Data Source'!A339)</f>
        <v/>
      </c>
      <c r="B339">
        <f>IF('Data Source'!B339="","",'Data Source'!B339)</f>
        <v/>
      </c>
      <c r="C339" s="9">
        <f>IF('Data Source'!B339="","",'Data Source'!U339)</f>
        <v/>
      </c>
      <c r="D339" s="9">
        <f>IF('Data Source'!B339="","",'Data Source'!V339)</f>
        <v/>
      </c>
      <c r="E339" s="9">
        <f>IF('Data Source'!B339="","",'Data Source'!W339)</f>
        <v/>
      </c>
      <c r="F339" s="9">
        <f>IF('Data Source'!B339="","",'Data Source'!X339)</f>
        <v/>
      </c>
      <c r="G339" s="9">
        <f>IF('Data Source'!B339="","",'Data Source'!Y339)</f>
        <v/>
      </c>
      <c r="H339" s="9">
        <f>IF('Data Source'!B339="","",'Data Source'!Z339)</f>
        <v/>
      </c>
      <c r="I339" s="9">
        <f>IF('Data Source'!B339="","",'Data Source'!AA339)</f>
        <v/>
      </c>
      <c r="J339" s="9">
        <f>IF('Data Source'!B339="","",'Data Source'!AB339)</f>
        <v/>
      </c>
      <c r="K339" s="9">
        <f>IF('Data Source'!B339="","",'Data Source'!AC339)</f>
        <v/>
      </c>
      <c r="L339" s="9">
        <f>IF('Data Source'!B339="","",'Data Source'!AD339)</f>
        <v/>
      </c>
      <c r="M339" s="9">
        <f>IF('Data Source'!B339="","",'Data Source'!AE339)</f>
        <v/>
      </c>
      <c r="N339" s="9">
        <f>IF('Data Source'!B339="","",'Data Source'!AF339)</f>
        <v/>
      </c>
      <c r="O339" s="9">
        <f>IF('Data Source'!B339="","",'Data Source'!AG339)</f>
        <v/>
      </c>
      <c r="P339" s="5">
        <f>IF('Data Source'!B339="","",'Data Source'!R339)</f>
        <v/>
      </c>
      <c r="Q339" s="3">
        <f>IF('Data Source'!B339="","",'Data Source'!S339)</f>
        <v/>
      </c>
    </row>
    <row r="340">
      <c r="A340" s="3">
        <f>IF('Data Source'!B340="","",'Data Source'!A340)</f>
        <v/>
      </c>
      <c r="B340">
        <f>IF('Data Source'!B340="","",'Data Source'!B340)</f>
        <v/>
      </c>
      <c r="C340" s="9">
        <f>IF('Data Source'!B340="","",'Data Source'!U340)</f>
        <v/>
      </c>
      <c r="D340" s="9">
        <f>IF('Data Source'!B340="","",'Data Source'!V340)</f>
        <v/>
      </c>
      <c r="E340" s="9">
        <f>IF('Data Source'!B340="","",'Data Source'!W340)</f>
        <v/>
      </c>
      <c r="F340" s="9">
        <f>IF('Data Source'!B340="","",'Data Source'!X340)</f>
        <v/>
      </c>
      <c r="G340" s="9">
        <f>IF('Data Source'!B340="","",'Data Source'!Y340)</f>
        <v/>
      </c>
      <c r="H340" s="9">
        <f>IF('Data Source'!B340="","",'Data Source'!Z340)</f>
        <v/>
      </c>
      <c r="I340" s="9">
        <f>IF('Data Source'!B340="","",'Data Source'!AA340)</f>
        <v/>
      </c>
      <c r="J340" s="9">
        <f>IF('Data Source'!B340="","",'Data Source'!AB340)</f>
        <v/>
      </c>
      <c r="K340" s="9">
        <f>IF('Data Source'!B340="","",'Data Source'!AC340)</f>
        <v/>
      </c>
      <c r="L340" s="9">
        <f>IF('Data Source'!B340="","",'Data Source'!AD340)</f>
        <v/>
      </c>
      <c r="M340" s="9">
        <f>IF('Data Source'!B340="","",'Data Source'!AE340)</f>
        <v/>
      </c>
      <c r="N340" s="9">
        <f>IF('Data Source'!B340="","",'Data Source'!AF340)</f>
        <v/>
      </c>
      <c r="O340" s="9">
        <f>IF('Data Source'!B340="","",'Data Source'!AG340)</f>
        <v/>
      </c>
      <c r="P340" s="5">
        <f>IF('Data Source'!B340="","",'Data Source'!R340)</f>
        <v/>
      </c>
      <c r="Q340" s="3">
        <f>IF('Data Source'!B340="","",'Data Source'!S340)</f>
        <v/>
      </c>
    </row>
    <row r="341">
      <c r="A341" s="3">
        <f>IF('Data Source'!B341="","",'Data Source'!A341)</f>
        <v/>
      </c>
      <c r="B341">
        <f>IF('Data Source'!B341="","",'Data Source'!B341)</f>
        <v/>
      </c>
      <c r="C341" s="9">
        <f>IF('Data Source'!B341="","",'Data Source'!U341)</f>
        <v/>
      </c>
      <c r="D341" s="9">
        <f>IF('Data Source'!B341="","",'Data Source'!V341)</f>
        <v/>
      </c>
      <c r="E341" s="9">
        <f>IF('Data Source'!B341="","",'Data Source'!W341)</f>
        <v/>
      </c>
      <c r="F341" s="9">
        <f>IF('Data Source'!B341="","",'Data Source'!X341)</f>
        <v/>
      </c>
      <c r="G341" s="9">
        <f>IF('Data Source'!B341="","",'Data Source'!Y341)</f>
        <v/>
      </c>
      <c r="H341" s="9">
        <f>IF('Data Source'!B341="","",'Data Source'!Z341)</f>
        <v/>
      </c>
      <c r="I341" s="9">
        <f>IF('Data Source'!B341="","",'Data Source'!AA341)</f>
        <v/>
      </c>
      <c r="J341" s="9">
        <f>IF('Data Source'!B341="","",'Data Source'!AB341)</f>
        <v/>
      </c>
      <c r="K341" s="9">
        <f>IF('Data Source'!B341="","",'Data Source'!AC341)</f>
        <v/>
      </c>
      <c r="L341" s="9">
        <f>IF('Data Source'!B341="","",'Data Source'!AD341)</f>
        <v/>
      </c>
      <c r="M341" s="9">
        <f>IF('Data Source'!B341="","",'Data Source'!AE341)</f>
        <v/>
      </c>
      <c r="N341" s="9">
        <f>IF('Data Source'!B341="","",'Data Source'!AF341)</f>
        <v/>
      </c>
      <c r="O341" s="9">
        <f>IF('Data Source'!B341="","",'Data Source'!AG341)</f>
        <v/>
      </c>
      <c r="P341" s="5">
        <f>IF('Data Source'!B341="","",'Data Source'!R341)</f>
        <v/>
      </c>
      <c r="Q341" s="3">
        <f>IF('Data Source'!B341="","",'Data Source'!S341)</f>
        <v/>
      </c>
    </row>
    <row r="342">
      <c r="A342" s="3">
        <f>IF('Data Source'!B342="","",'Data Source'!A342)</f>
        <v/>
      </c>
      <c r="B342">
        <f>IF('Data Source'!B342="","",'Data Source'!B342)</f>
        <v/>
      </c>
      <c r="C342" s="9">
        <f>IF('Data Source'!B342="","",'Data Source'!U342)</f>
        <v/>
      </c>
      <c r="D342" s="9">
        <f>IF('Data Source'!B342="","",'Data Source'!V342)</f>
        <v/>
      </c>
      <c r="E342" s="9">
        <f>IF('Data Source'!B342="","",'Data Source'!W342)</f>
        <v/>
      </c>
      <c r="F342" s="9">
        <f>IF('Data Source'!B342="","",'Data Source'!X342)</f>
        <v/>
      </c>
      <c r="G342" s="9">
        <f>IF('Data Source'!B342="","",'Data Source'!Y342)</f>
        <v/>
      </c>
      <c r="H342" s="9">
        <f>IF('Data Source'!B342="","",'Data Source'!Z342)</f>
        <v/>
      </c>
      <c r="I342" s="9">
        <f>IF('Data Source'!B342="","",'Data Source'!AA342)</f>
        <v/>
      </c>
      <c r="J342" s="9">
        <f>IF('Data Source'!B342="","",'Data Source'!AB342)</f>
        <v/>
      </c>
      <c r="K342" s="9">
        <f>IF('Data Source'!B342="","",'Data Source'!AC342)</f>
        <v/>
      </c>
      <c r="L342" s="9">
        <f>IF('Data Source'!B342="","",'Data Source'!AD342)</f>
        <v/>
      </c>
      <c r="M342" s="9">
        <f>IF('Data Source'!B342="","",'Data Source'!AE342)</f>
        <v/>
      </c>
      <c r="N342" s="9">
        <f>IF('Data Source'!B342="","",'Data Source'!AF342)</f>
        <v/>
      </c>
      <c r="O342" s="9">
        <f>IF('Data Source'!B342="","",'Data Source'!AG342)</f>
        <v/>
      </c>
      <c r="P342" s="5">
        <f>IF('Data Source'!B342="","",'Data Source'!R342)</f>
        <v/>
      </c>
      <c r="Q342" s="3">
        <f>IF('Data Source'!B342="","",'Data Source'!S342)</f>
        <v/>
      </c>
    </row>
    <row r="343">
      <c r="A343" s="3">
        <f>IF('Data Source'!B343="","",'Data Source'!A343)</f>
        <v/>
      </c>
      <c r="B343">
        <f>IF('Data Source'!B343="","",'Data Source'!B343)</f>
        <v/>
      </c>
      <c r="C343" s="9">
        <f>IF('Data Source'!B343="","",'Data Source'!U343)</f>
        <v/>
      </c>
      <c r="D343" s="9">
        <f>IF('Data Source'!B343="","",'Data Source'!V343)</f>
        <v/>
      </c>
      <c r="E343" s="9">
        <f>IF('Data Source'!B343="","",'Data Source'!W343)</f>
        <v/>
      </c>
      <c r="F343" s="9">
        <f>IF('Data Source'!B343="","",'Data Source'!X343)</f>
        <v/>
      </c>
      <c r="G343" s="9">
        <f>IF('Data Source'!B343="","",'Data Source'!Y343)</f>
        <v/>
      </c>
      <c r="H343" s="9">
        <f>IF('Data Source'!B343="","",'Data Source'!Z343)</f>
        <v/>
      </c>
      <c r="I343" s="9">
        <f>IF('Data Source'!B343="","",'Data Source'!AA343)</f>
        <v/>
      </c>
      <c r="J343" s="9">
        <f>IF('Data Source'!B343="","",'Data Source'!AB343)</f>
        <v/>
      </c>
      <c r="K343" s="9">
        <f>IF('Data Source'!B343="","",'Data Source'!AC343)</f>
        <v/>
      </c>
      <c r="L343" s="9">
        <f>IF('Data Source'!B343="","",'Data Source'!AD343)</f>
        <v/>
      </c>
      <c r="M343" s="9">
        <f>IF('Data Source'!B343="","",'Data Source'!AE343)</f>
        <v/>
      </c>
      <c r="N343" s="9">
        <f>IF('Data Source'!B343="","",'Data Source'!AF343)</f>
        <v/>
      </c>
      <c r="O343" s="9">
        <f>IF('Data Source'!B343="","",'Data Source'!AG343)</f>
        <v/>
      </c>
      <c r="P343" s="5">
        <f>IF('Data Source'!B343="","",'Data Source'!R343)</f>
        <v/>
      </c>
      <c r="Q343" s="3">
        <f>IF('Data Source'!B343="","",'Data Source'!S343)</f>
        <v/>
      </c>
    </row>
    <row r="344">
      <c r="A344" s="3">
        <f>IF('Data Source'!B344="","",'Data Source'!A344)</f>
        <v/>
      </c>
      <c r="B344">
        <f>IF('Data Source'!B344="","",'Data Source'!B344)</f>
        <v/>
      </c>
      <c r="C344" s="9">
        <f>IF('Data Source'!B344="","",'Data Source'!U344)</f>
        <v/>
      </c>
      <c r="D344" s="9">
        <f>IF('Data Source'!B344="","",'Data Source'!V344)</f>
        <v/>
      </c>
      <c r="E344" s="9">
        <f>IF('Data Source'!B344="","",'Data Source'!W344)</f>
        <v/>
      </c>
      <c r="F344" s="9">
        <f>IF('Data Source'!B344="","",'Data Source'!X344)</f>
        <v/>
      </c>
      <c r="G344" s="9">
        <f>IF('Data Source'!B344="","",'Data Source'!Y344)</f>
        <v/>
      </c>
      <c r="H344" s="9">
        <f>IF('Data Source'!B344="","",'Data Source'!Z344)</f>
        <v/>
      </c>
      <c r="I344" s="9">
        <f>IF('Data Source'!B344="","",'Data Source'!AA344)</f>
        <v/>
      </c>
      <c r="J344" s="9">
        <f>IF('Data Source'!B344="","",'Data Source'!AB344)</f>
        <v/>
      </c>
      <c r="K344" s="9">
        <f>IF('Data Source'!B344="","",'Data Source'!AC344)</f>
        <v/>
      </c>
      <c r="L344" s="9">
        <f>IF('Data Source'!B344="","",'Data Source'!AD344)</f>
        <v/>
      </c>
      <c r="M344" s="9">
        <f>IF('Data Source'!B344="","",'Data Source'!AE344)</f>
        <v/>
      </c>
      <c r="N344" s="9">
        <f>IF('Data Source'!B344="","",'Data Source'!AF344)</f>
        <v/>
      </c>
      <c r="O344" s="9">
        <f>IF('Data Source'!B344="","",'Data Source'!AG344)</f>
        <v/>
      </c>
      <c r="P344" s="5">
        <f>IF('Data Source'!B344="","",'Data Source'!R344)</f>
        <v/>
      </c>
      <c r="Q344" s="3">
        <f>IF('Data Source'!B344="","",'Data Source'!S344)</f>
        <v/>
      </c>
    </row>
    <row r="345">
      <c r="A345" s="3">
        <f>IF('Data Source'!B345="","",'Data Source'!A345)</f>
        <v/>
      </c>
      <c r="B345">
        <f>IF('Data Source'!B345="","",'Data Source'!B345)</f>
        <v/>
      </c>
      <c r="C345" s="9">
        <f>IF('Data Source'!B345="","",'Data Source'!U345)</f>
        <v/>
      </c>
      <c r="D345" s="9">
        <f>IF('Data Source'!B345="","",'Data Source'!V345)</f>
        <v/>
      </c>
      <c r="E345" s="9">
        <f>IF('Data Source'!B345="","",'Data Source'!W345)</f>
        <v/>
      </c>
      <c r="F345" s="9">
        <f>IF('Data Source'!B345="","",'Data Source'!X345)</f>
        <v/>
      </c>
      <c r="G345" s="9">
        <f>IF('Data Source'!B345="","",'Data Source'!Y345)</f>
        <v/>
      </c>
      <c r="H345" s="9">
        <f>IF('Data Source'!B345="","",'Data Source'!Z345)</f>
        <v/>
      </c>
      <c r="I345" s="9">
        <f>IF('Data Source'!B345="","",'Data Source'!AA345)</f>
        <v/>
      </c>
      <c r="J345" s="9">
        <f>IF('Data Source'!B345="","",'Data Source'!AB345)</f>
        <v/>
      </c>
      <c r="K345" s="9">
        <f>IF('Data Source'!B345="","",'Data Source'!AC345)</f>
        <v/>
      </c>
      <c r="L345" s="9">
        <f>IF('Data Source'!B345="","",'Data Source'!AD345)</f>
        <v/>
      </c>
      <c r="M345" s="9">
        <f>IF('Data Source'!B345="","",'Data Source'!AE345)</f>
        <v/>
      </c>
      <c r="N345" s="9">
        <f>IF('Data Source'!B345="","",'Data Source'!AF345)</f>
        <v/>
      </c>
      <c r="O345" s="9">
        <f>IF('Data Source'!B345="","",'Data Source'!AG345)</f>
        <v/>
      </c>
      <c r="P345" s="5">
        <f>IF('Data Source'!B345="","",'Data Source'!R345)</f>
        <v/>
      </c>
      <c r="Q345" s="3">
        <f>IF('Data Source'!B345="","",'Data Source'!S345)</f>
        <v/>
      </c>
    </row>
    <row r="346">
      <c r="A346" s="3">
        <f>IF('Data Source'!B346="","",'Data Source'!A346)</f>
        <v/>
      </c>
      <c r="B346">
        <f>IF('Data Source'!B346="","",'Data Source'!B346)</f>
        <v/>
      </c>
      <c r="C346" s="9">
        <f>IF('Data Source'!B346="","",'Data Source'!U346)</f>
        <v/>
      </c>
      <c r="D346" s="9">
        <f>IF('Data Source'!B346="","",'Data Source'!V346)</f>
        <v/>
      </c>
      <c r="E346" s="9">
        <f>IF('Data Source'!B346="","",'Data Source'!W346)</f>
        <v/>
      </c>
      <c r="F346" s="9">
        <f>IF('Data Source'!B346="","",'Data Source'!X346)</f>
        <v/>
      </c>
      <c r="G346" s="9">
        <f>IF('Data Source'!B346="","",'Data Source'!Y346)</f>
        <v/>
      </c>
      <c r="H346" s="9">
        <f>IF('Data Source'!B346="","",'Data Source'!Z346)</f>
        <v/>
      </c>
      <c r="I346" s="9">
        <f>IF('Data Source'!B346="","",'Data Source'!AA346)</f>
        <v/>
      </c>
      <c r="J346" s="9">
        <f>IF('Data Source'!B346="","",'Data Source'!AB346)</f>
        <v/>
      </c>
      <c r="K346" s="9">
        <f>IF('Data Source'!B346="","",'Data Source'!AC346)</f>
        <v/>
      </c>
      <c r="L346" s="9">
        <f>IF('Data Source'!B346="","",'Data Source'!AD346)</f>
        <v/>
      </c>
      <c r="M346" s="9">
        <f>IF('Data Source'!B346="","",'Data Source'!AE346)</f>
        <v/>
      </c>
      <c r="N346" s="9">
        <f>IF('Data Source'!B346="","",'Data Source'!AF346)</f>
        <v/>
      </c>
      <c r="O346" s="9">
        <f>IF('Data Source'!B346="","",'Data Source'!AG346)</f>
        <v/>
      </c>
      <c r="P346" s="5">
        <f>IF('Data Source'!B346="","",'Data Source'!R346)</f>
        <v/>
      </c>
      <c r="Q346" s="3">
        <f>IF('Data Source'!B346="","",'Data Source'!S346)</f>
        <v/>
      </c>
    </row>
    <row r="347">
      <c r="A347" s="3">
        <f>IF('Data Source'!B347="","",'Data Source'!A347)</f>
        <v/>
      </c>
      <c r="B347">
        <f>IF('Data Source'!B347="","",'Data Source'!B347)</f>
        <v/>
      </c>
      <c r="C347" s="9">
        <f>IF('Data Source'!B347="","",'Data Source'!U347)</f>
        <v/>
      </c>
      <c r="D347" s="9">
        <f>IF('Data Source'!B347="","",'Data Source'!V347)</f>
        <v/>
      </c>
      <c r="E347" s="9">
        <f>IF('Data Source'!B347="","",'Data Source'!W347)</f>
        <v/>
      </c>
      <c r="F347" s="9">
        <f>IF('Data Source'!B347="","",'Data Source'!X347)</f>
        <v/>
      </c>
      <c r="G347" s="9">
        <f>IF('Data Source'!B347="","",'Data Source'!Y347)</f>
        <v/>
      </c>
      <c r="H347" s="9">
        <f>IF('Data Source'!B347="","",'Data Source'!Z347)</f>
        <v/>
      </c>
      <c r="I347" s="9">
        <f>IF('Data Source'!B347="","",'Data Source'!AA347)</f>
        <v/>
      </c>
      <c r="J347" s="9">
        <f>IF('Data Source'!B347="","",'Data Source'!AB347)</f>
        <v/>
      </c>
      <c r="K347" s="9">
        <f>IF('Data Source'!B347="","",'Data Source'!AC347)</f>
        <v/>
      </c>
      <c r="L347" s="9">
        <f>IF('Data Source'!B347="","",'Data Source'!AD347)</f>
        <v/>
      </c>
      <c r="M347" s="9">
        <f>IF('Data Source'!B347="","",'Data Source'!AE347)</f>
        <v/>
      </c>
      <c r="N347" s="9">
        <f>IF('Data Source'!B347="","",'Data Source'!AF347)</f>
        <v/>
      </c>
      <c r="O347" s="9">
        <f>IF('Data Source'!B347="","",'Data Source'!AG347)</f>
        <v/>
      </c>
      <c r="P347" s="5">
        <f>IF('Data Source'!B347="","",'Data Source'!R347)</f>
        <v/>
      </c>
      <c r="Q347" s="3">
        <f>IF('Data Source'!B347="","",'Data Source'!S347)</f>
        <v/>
      </c>
    </row>
    <row r="348">
      <c r="A348" s="3">
        <f>IF('Data Source'!B348="","",'Data Source'!A348)</f>
        <v/>
      </c>
      <c r="B348">
        <f>IF('Data Source'!B348="","",'Data Source'!B348)</f>
        <v/>
      </c>
      <c r="C348" s="9">
        <f>IF('Data Source'!B348="","",'Data Source'!U348)</f>
        <v/>
      </c>
      <c r="D348" s="9">
        <f>IF('Data Source'!B348="","",'Data Source'!V348)</f>
        <v/>
      </c>
      <c r="E348" s="9">
        <f>IF('Data Source'!B348="","",'Data Source'!W348)</f>
        <v/>
      </c>
      <c r="F348" s="9">
        <f>IF('Data Source'!B348="","",'Data Source'!X348)</f>
        <v/>
      </c>
      <c r="G348" s="9">
        <f>IF('Data Source'!B348="","",'Data Source'!Y348)</f>
        <v/>
      </c>
      <c r="H348" s="9">
        <f>IF('Data Source'!B348="","",'Data Source'!Z348)</f>
        <v/>
      </c>
      <c r="I348" s="9">
        <f>IF('Data Source'!B348="","",'Data Source'!AA348)</f>
        <v/>
      </c>
      <c r="J348" s="9">
        <f>IF('Data Source'!B348="","",'Data Source'!AB348)</f>
        <v/>
      </c>
      <c r="K348" s="9">
        <f>IF('Data Source'!B348="","",'Data Source'!AC348)</f>
        <v/>
      </c>
      <c r="L348" s="9">
        <f>IF('Data Source'!B348="","",'Data Source'!AD348)</f>
        <v/>
      </c>
      <c r="M348" s="9">
        <f>IF('Data Source'!B348="","",'Data Source'!AE348)</f>
        <v/>
      </c>
      <c r="N348" s="9">
        <f>IF('Data Source'!B348="","",'Data Source'!AF348)</f>
        <v/>
      </c>
      <c r="O348" s="9">
        <f>IF('Data Source'!B348="","",'Data Source'!AG348)</f>
        <v/>
      </c>
      <c r="P348" s="5">
        <f>IF('Data Source'!B348="","",'Data Source'!R348)</f>
        <v/>
      </c>
      <c r="Q348" s="3">
        <f>IF('Data Source'!B348="","",'Data Source'!S348)</f>
        <v/>
      </c>
    </row>
    <row r="349">
      <c r="A349" s="3">
        <f>IF('Data Source'!B349="","",'Data Source'!A349)</f>
        <v/>
      </c>
      <c r="B349">
        <f>IF('Data Source'!B349="","",'Data Source'!B349)</f>
        <v/>
      </c>
      <c r="C349" s="9">
        <f>IF('Data Source'!B349="","",'Data Source'!U349)</f>
        <v/>
      </c>
      <c r="D349" s="9">
        <f>IF('Data Source'!B349="","",'Data Source'!V349)</f>
        <v/>
      </c>
      <c r="E349" s="9">
        <f>IF('Data Source'!B349="","",'Data Source'!W349)</f>
        <v/>
      </c>
      <c r="F349" s="9">
        <f>IF('Data Source'!B349="","",'Data Source'!X349)</f>
        <v/>
      </c>
      <c r="G349" s="9">
        <f>IF('Data Source'!B349="","",'Data Source'!Y349)</f>
        <v/>
      </c>
      <c r="H349" s="9">
        <f>IF('Data Source'!B349="","",'Data Source'!Z349)</f>
        <v/>
      </c>
      <c r="I349" s="9">
        <f>IF('Data Source'!B349="","",'Data Source'!AA349)</f>
        <v/>
      </c>
      <c r="J349" s="9">
        <f>IF('Data Source'!B349="","",'Data Source'!AB349)</f>
        <v/>
      </c>
      <c r="K349" s="9">
        <f>IF('Data Source'!B349="","",'Data Source'!AC349)</f>
        <v/>
      </c>
      <c r="L349" s="9">
        <f>IF('Data Source'!B349="","",'Data Source'!AD349)</f>
        <v/>
      </c>
      <c r="M349" s="9">
        <f>IF('Data Source'!B349="","",'Data Source'!AE349)</f>
        <v/>
      </c>
      <c r="N349" s="9">
        <f>IF('Data Source'!B349="","",'Data Source'!AF349)</f>
        <v/>
      </c>
      <c r="O349" s="9">
        <f>IF('Data Source'!B349="","",'Data Source'!AG349)</f>
        <v/>
      </c>
      <c r="P349" s="5">
        <f>IF('Data Source'!B349="","",'Data Source'!R349)</f>
        <v/>
      </c>
      <c r="Q349" s="3">
        <f>IF('Data Source'!B349="","",'Data Source'!S349)</f>
        <v/>
      </c>
    </row>
    <row r="350">
      <c r="A350" s="3">
        <f>IF('Data Source'!B350="","",'Data Source'!A350)</f>
        <v/>
      </c>
      <c r="B350">
        <f>IF('Data Source'!B350="","",'Data Source'!B350)</f>
        <v/>
      </c>
      <c r="C350" s="9">
        <f>IF('Data Source'!B350="","",'Data Source'!U350)</f>
        <v/>
      </c>
      <c r="D350" s="9">
        <f>IF('Data Source'!B350="","",'Data Source'!V350)</f>
        <v/>
      </c>
      <c r="E350" s="9">
        <f>IF('Data Source'!B350="","",'Data Source'!W350)</f>
        <v/>
      </c>
      <c r="F350" s="9">
        <f>IF('Data Source'!B350="","",'Data Source'!X350)</f>
        <v/>
      </c>
      <c r="G350" s="9">
        <f>IF('Data Source'!B350="","",'Data Source'!Y350)</f>
        <v/>
      </c>
      <c r="H350" s="9">
        <f>IF('Data Source'!B350="","",'Data Source'!Z350)</f>
        <v/>
      </c>
      <c r="I350" s="9">
        <f>IF('Data Source'!B350="","",'Data Source'!AA350)</f>
        <v/>
      </c>
      <c r="J350" s="9">
        <f>IF('Data Source'!B350="","",'Data Source'!AB350)</f>
        <v/>
      </c>
      <c r="K350" s="9">
        <f>IF('Data Source'!B350="","",'Data Source'!AC350)</f>
        <v/>
      </c>
      <c r="L350" s="9">
        <f>IF('Data Source'!B350="","",'Data Source'!AD350)</f>
        <v/>
      </c>
      <c r="M350" s="9">
        <f>IF('Data Source'!B350="","",'Data Source'!AE350)</f>
        <v/>
      </c>
      <c r="N350" s="9">
        <f>IF('Data Source'!B350="","",'Data Source'!AF350)</f>
        <v/>
      </c>
      <c r="O350" s="9">
        <f>IF('Data Source'!B350="","",'Data Source'!AG350)</f>
        <v/>
      </c>
      <c r="P350" s="5">
        <f>IF('Data Source'!B350="","",'Data Source'!R350)</f>
        <v/>
      </c>
      <c r="Q350" s="3">
        <f>IF('Data Source'!B350="","",'Data Source'!S350)</f>
        <v/>
      </c>
    </row>
    <row r="351">
      <c r="A351" s="3">
        <f>IF('Data Source'!B351="","",'Data Source'!A351)</f>
        <v/>
      </c>
      <c r="B351">
        <f>IF('Data Source'!B351="","",'Data Source'!B351)</f>
        <v/>
      </c>
      <c r="C351" s="9">
        <f>IF('Data Source'!B351="","",'Data Source'!U351)</f>
        <v/>
      </c>
      <c r="D351" s="9">
        <f>IF('Data Source'!B351="","",'Data Source'!V351)</f>
        <v/>
      </c>
      <c r="E351" s="9">
        <f>IF('Data Source'!B351="","",'Data Source'!W351)</f>
        <v/>
      </c>
      <c r="F351" s="9">
        <f>IF('Data Source'!B351="","",'Data Source'!X351)</f>
        <v/>
      </c>
      <c r="G351" s="9">
        <f>IF('Data Source'!B351="","",'Data Source'!Y351)</f>
        <v/>
      </c>
      <c r="H351" s="9">
        <f>IF('Data Source'!B351="","",'Data Source'!Z351)</f>
        <v/>
      </c>
      <c r="I351" s="9">
        <f>IF('Data Source'!B351="","",'Data Source'!AA351)</f>
        <v/>
      </c>
      <c r="J351" s="9">
        <f>IF('Data Source'!B351="","",'Data Source'!AB351)</f>
        <v/>
      </c>
      <c r="K351" s="9">
        <f>IF('Data Source'!B351="","",'Data Source'!AC351)</f>
        <v/>
      </c>
      <c r="L351" s="9">
        <f>IF('Data Source'!B351="","",'Data Source'!AD351)</f>
        <v/>
      </c>
      <c r="M351" s="9">
        <f>IF('Data Source'!B351="","",'Data Source'!AE351)</f>
        <v/>
      </c>
      <c r="N351" s="9">
        <f>IF('Data Source'!B351="","",'Data Source'!AF351)</f>
        <v/>
      </c>
      <c r="O351" s="9">
        <f>IF('Data Source'!B351="","",'Data Source'!AG351)</f>
        <v/>
      </c>
      <c r="P351" s="5">
        <f>IF('Data Source'!B351="","",'Data Source'!R351)</f>
        <v/>
      </c>
      <c r="Q351" s="3">
        <f>IF('Data Source'!B351="","",'Data Source'!S351)</f>
        <v/>
      </c>
    </row>
    <row r="352">
      <c r="A352" s="3">
        <f>IF('Data Source'!B352="","",'Data Source'!A352)</f>
        <v/>
      </c>
      <c r="B352">
        <f>IF('Data Source'!B352="","",'Data Source'!B352)</f>
        <v/>
      </c>
      <c r="C352" s="9">
        <f>IF('Data Source'!B352="","",'Data Source'!U352)</f>
        <v/>
      </c>
      <c r="D352" s="9">
        <f>IF('Data Source'!B352="","",'Data Source'!V352)</f>
        <v/>
      </c>
      <c r="E352" s="9">
        <f>IF('Data Source'!B352="","",'Data Source'!W352)</f>
        <v/>
      </c>
      <c r="F352" s="9">
        <f>IF('Data Source'!B352="","",'Data Source'!X352)</f>
        <v/>
      </c>
      <c r="G352" s="9">
        <f>IF('Data Source'!B352="","",'Data Source'!Y352)</f>
        <v/>
      </c>
      <c r="H352" s="9">
        <f>IF('Data Source'!B352="","",'Data Source'!Z352)</f>
        <v/>
      </c>
      <c r="I352" s="9">
        <f>IF('Data Source'!B352="","",'Data Source'!AA352)</f>
        <v/>
      </c>
      <c r="J352" s="9">
        <f>IF('Data Source'!B352="","",'Data Source'!AB352)</f>
        <v/>
      </c>
      <c r="K352" s="9">
        <f>IF('Data Source'!B352="","",'Data Source'!AC352)</f>
        <v/>
      </c>
      <c r="L352" s="9">
        <f>IF('Data Source'!B352="","",'Data Source'!AD352)</f>
        <v/>
      </c>
      <c r="M352" s="9">
        <f>IF('Data Source'!B352="","",'Data Source'!AE352)</f>
        <v/>
      </c>
      <c r="N352" s="9">
        <f>IF('Data Source'!B352="","",'Data Source'!AF352)</f>
        <v/>
      </c>
      <c r="O352" s="9">
        <f>IF('Data Source'!B352="","",'Data Source'!AG352)</f>
        <v/>
      </c>
      <c r="P352" s="5">
        <f>IF('Data Source'!B352="","",'Data Source'!R352)</f>
        <v/>
      </c>
      <c r="Q352" s="3">
        <f>IF('Data Source'!B352="","",'Data Source'!S352)</f>
        <v/>
      </c>
    </row>
    <row r="353">
      <c r="A353" s="3">
        <f>IF('Data Source'!B353="","",'Data Source'!A353)</f>
        <v/>
      </c>
      <c r="B353">
        <f>IF('Data Source'!B353="","",'Data Source'!B353)</f>
        <v/>
      </c>
      <c r="C353" s="9">
        <f>IF('Data Source'!B353="","",'Data Source'!U353)</f>
        <v/>
      </c>
      <c r="D353" s="9">
        <f>IF('Data Source'!B353="","",'Data Source'!V353)</f>
        <v/>
      </c>
      <c r="E353" s="9">
        <f>IF('Data Source'!B353="","",'Data Source'!W353)</f>
        <v/>
      </c>
      <c r="F353" s="9">
        <f>IF('Data Source'!B353="","",'Data Source'!X353)</f>
        <v/>
      </c>
      <c r="G353" s="9">
        <f>IF('Data Source'!B353="","",'Data Source'!Y353)</f>
        <v/>
      </c>
      <c r="H353" s="9">
        <f>IF('Data Source'!B353="","",'Data Source'!Z353)</f>
        <v/>
      </c>
      <c r="I353" s="9">
        <f>IF('Data Source'!B353="","",'Data Source'!AA353)</f>
        <v/>
      </c>
      <c r="J353" s="9">
        <f>IF('Data Source'!B353="","",'Data Source'!AB353)</f>
        <v/>
      </c>
      <c r="K353" s="9">
        <f>IF('Data Source'!B353="","",'Data Source'!AC353)</f>
        <v/>
      </c>
      <c r="L353" s="9">
        <f>IF('Data Source'!B353="","",'Data Source'!AD353)</f>
        <v/>
      </c>
      <c r="M353" s="9">
        <f>IF('Data Source'!B353="","",'Data Source'!AE353)</f>
        <v/>
      </c>
      <c r="N353" s="9">
        <f>IF('Data Source'!B353="","",'Data Source'!AF353)</f>
        <v/>
      </c>
      <c r="O353" s="9">
        <f>IF('Data Source'!B353="","",'Data Source'!AG353)</f>
        <v/>
      </c>
      <c r="P353" s="5">
        <f>IF('Data Source'!B353="","",'Data Source'!R353)</f>
        <v/>
      </c>
      <c r="Q353" s="3">
        <f>IF('Data Source'!B353="","",'Data Source'!S353)</f>
        <v/>
      </c>
    </row>
    <row r="354">
      <c r="A354" s="3">
        <f>IF('Data Source'!B354="","",'Data Source'!A354)</f>
        <v/>
      </c>
      <c r="B354">
        <f>IF('Data Source'!B354="","",'Data Source'!B354)</f>
        <v/>
      </c>
      <c r="C354" s="9">
        <f>IF('Data Source'!B354="","",'Data Source'!U354)</f>
        <v/>
      </c>
      <c r="D354" s="9">
        <f>IF('Data Source'!B354="","",'Data Source'!V354)</f>
        <v/>
      </c>
      <c r="E354" s="9">
        <f>IF('Data Source'!B354="","",'Data Source'!W354)</f>
        <v/>
      </c>
      <c r="F354" s="9">
        <f>IF('Data Source'!B354="","",'Data Source'!X354)</f>
        <v/>
      </c>
      <c r="G354" s="9">
        <f>IF('Data Source'!B354="","",'Data Source'!Y354)</f>
        <v/>
      </c>
      <c r="H354" s="9">
        <f>IF('Data Source'!B354="","",'Data Source'!Z354)</f>
        <v/>
      </c>
      <c r="I354" s="9">
        <f>IF('Data Source'!B354="","",'Data Source'!AA354)</f>
        <v/>
      </c>
      <c r="J354" s="9">
        <f>IF('Data Source'!B354="","",'Data Source'!AB354)</f>
        <v/>
      </c>
      <c r="K354" s="9">
        <f>IF('Data Source'!B354="","",'Data Source'!AC354)</f>
        <v/>
      </c>
      <c r="L354" s="9">
        <f>IF('Data Source'!B354="","",'Data Source'!AD354)</f>
        <v/>
      </c>
      <c r="M354" s="9">
        <f>IF('Data Source'!B354="","",'Data Source'!AE354)</f>
        <v/>
      </c>
      <c r="N354" s="9">
        <f>IF('Data Source'!B354="","",'Data Source'!AF354)</f>
        <v/>
      </c>
      <c r="O354" s="9">
        <f>IF('Data Source'!B354="","",'Data Source'!AG354)</f>
        <v/>
      </c>
      <c r="P354" s="5">
        <f>IF('Data Source'!B354="","",'Data Source'!R354)</f>
        <v/>
      </c>
      <c r="Q354" s="3">
        <f>IF('Data Source'!B354="","",'Data Source'!S354)</f>
        <v/>
      </c>
    </row>
    <row r="355">
      <c r="A355" s="3">
        <f>IF('Data Source'!B355="","",'Data Source'!A355)</f>
        <v/>
      </c>
      <c r="B355">
        <f>IF('Data Source'!B355="","",'Data Source'!B355)</f>
        <v/>
      </c>
      <c r="C355" s="9">
        <f>IF('Data Source'!B355="","",'Data Source'!U355)</f>
        <v/>
      </c>
      <c r="D355" s="9">
        <f>IF('Data Source'!B355="","",'Data Source'!V355)</f>
        <v/>
      </c>
      <c r="E355" s="9">
        <f>IF('Data Source'!B355="","",'Data Source'!W355)</f>
        <v/>
      </c>
      <c r="F355" s="9">
        <f>IF('Data Source'!B355="","",'Data Source'!X355)</f>
        <v/>
      </c>
      <c r="G355" s="9">
        <f>IF('Data Source'!B355="","",'Data Source'!Y355)</f>
        <v/>
      </c>
      <c r="H355" s="9">
        <f>IF('Data Source'!B355="","",'Data Source'!Z355)</f>
        <v/>
      </c>
      <c r="I355" s="9">
        <f>IF('Data Source'!B355="","",'Data Source'!AA355)</f>
        <v/>
      </c>
      <c r="J355" s="9">
        <f>IF('Data Source'!B355="","",'Data Source'!AB355)</f>
        <v/>
      </c>
      <c r="K355" s="9">
        <f>IF('Data Source'!B355="","",'Data Source'!AC355)</f>
        <v/>
      </c>
      <c r="L355" s="9">
        <f>IF('Data Source'!B355="","",'Data Source'!AD355)</f>
        <v/>
      </c>
      <c r="M355" s="9">
        <f>IF('Data Source'!B355="","",'Data Source'!AE355)</f>
        <v/>
      </c>
      <c r="N355" s="9">
        <f>IF('Data Source'!B355="","",'Data Source'!AF355)</f>
        <v/>
      </c>
      <c r="O355" s="9">
        <f>IF('Data Source'!B355="","",'Data Source'!AG355)</f>
        <v/>
      </c>
      <c r="P355" s="5">
        <f>IF('Data Source'!B355="","",'Data Source'!R355)</f>
        <v/>
      </c>
      <c r="Q355" s="3">
        <f>IF('Data Source'!B355="","",'Data Source'!S355)</f>
        <v/>
      </c>
    </row>
    <row r="356">
      <c r="A356" s="3">
        <f>IF('Data Source'!B356="","",'Data Source'!A356)</f>
        <v/>
      </c>
      <c r="B356">
        <f>IF('Data Source'!B356="","",'Data Source'!B356)</f>
        <v/>
      </c>
      <c r="C356" s="9">
        <f>IF('Data Source'!B356="","",'Data Source'!U356)</f>
        <v/>
      </c>
      <c r="D356" s="9">
        <f>IF('Data Source'!B356="","",'Data Source'!V356)</f>
        <v/>
      </c>
      <c r="E356" s="9">
        <f>IF('Data Source'!B356="","",'Data Source'!W356)</f>
        <v/>
      </c>
      <c r="F356" s="9">
        <f>IF('Data Source'!B356="","",'Data Source'!X356)</f>
        <v/>
      </c>
      <c r="G356" s="9">
        <f>IF('Data Source'!B356="","",'Data Source'!Y356)</f>
        <v/>
      </c>
      <c r="H356" s="9">
        <f>IF('Data Source'!B356="","",'Data Source'!Z356)</f>
        <v/>
      </c>
      <c r="I356" s="9">
        <f>IF('Data Source'!B356="","",'Data Source'!AA356)</f>
        <v/>
      </c>
      <c r="J356" s="9">
        <f>IF('Data Source'!B356="","",'Data Source'!AB356)</f>
        <v/>
      </c>
      <c r="K356" s="9">
        <f>IF('Data Source'!B356="","",'Data Source'!AC356)</f>
        <v/>
      </c>
      <c r="L356" s="9">
        <f>IF('Data Source'!B356="","",'Data Source'!AD356)</f>
        <v/>
      </c>
      <c r="M356" s="9">
        <f>IF('Data Source'!B356="","",'Data Source'!AE356)</f>
        <v/>
      </c>
      <c r="N356" s="9">
        <f>IF('Data Source'!B356="","",'Data Source'!AF356)</f>
        <v/>
      </c>
      <c r="O356" s="9">
        <f>IF('Data Source'!B356="","",'Data Source'!AG356)</f>
        <v/>
      </c>
      <c r="P356" s="5">
        <f>IF('Data Source'!B356="","",'Data Source'!R356)</f>
        <v/>
      </c>
      <c r="Q356" s="3">
        <f>IF('Data Source'!B356="","",'Data Source'!S356)</f>
        <v/>
      </c>
    </row>
    <row r="357">
      <c r="A357" s="3">
        <f>IF('Data Source'!B357="","",'Data Source'!A357)</f>
        <v/>
      </c>
      <c r="B357">
        <f>IF('Data Source'!B357="","",'Data Source'!B357)</f>
        <v/>
      </c>
      <c r="C357" s="9">
        <f>IF('Data Source'!B357="","",'Data Source'!U357)</f>
        <v/>
      </c>
      <c r="D357" s="9">
        <f>IF('Data Source'!B357="","",'Data Source'!V357)</f>
        <v/>
      </c>
      <c r="E357" s="9">
        <f>IF('Data Source'!B357="","",'Data Source'!W357)</f>
        <v/>
      </c>
      <c r="F357" s="9">
        <f>IF('Data Source'!B357="","",'Data Source'!X357)</f>
        <v/>
      </c>
      <c r="G357" s="9">
        <f>IF('Data Source'!B357="","",'Data Source'!Y357)</f>
        <v/>
      </c>
      <c r="H357" s="9">
        <f>IF('Data Source'!B357="","",'Data Source'!Z357)</f>
        <v/>
      </c>
      <c r="I357" s="9">
        <f>IF('Data Source'!B357="","",'Data Source'!AA357)</f>
        <v/>
      </c>
      <c r="J357" s="9">
        <f>IF('Data Source'!B357="","",'Data Source'!AB357)</f>
        <v/>
      </c>
      <c r="K357" s="9">
        <f>IF('Data Source'!B357="","",'Data Source'!AC357)</f>
        <v/>
      </c>
      <c r="L357" s="9">
        <f>IF('Data Source'!B357="","",'Data Source'!AD357)</f>
        <v/>
      </c>
      <c r="M357" s="9">
        <f>IF('Data Source'!B357="","",'Data Source'!AE357)</f>
        <v/>
      </c>
      <c r="N357" s="9">
        <f>IF('Data Source'!B357="","",'Data Source'!AF357)</f>
        <v/>
      </c>
      <c r="O357" s="9">
        <f>IF('Data Source'!B357="","",'Data Source'!AG357)</f>
        <v/>
      </c>
      <c r="P357" s="5">
        <f>IF('Data Source'!B357="","",'Data Source'!R357)</f>
        <v/>
      </c>
      <c r="Q357" s="3">
        <f>IF('Data Source'!B357="","",'Data Source'!S357)</f>
        <v/>
      </c>
    </row>
    <row r="358">
      <c r="A358" s="3">
        <f>IF('Data Source'!B358="","",'Data Source'!A358)</f>
        <v/>
      </c>
      <c r="B358">
        <f>IF('Data Source'!B358="","",'Data Source'!B358)</f>
        <v/>
      </c>
      <c r="C358" s="9">
        <f>IF('Data Source'!B358="","",'Data Source'!U358)</f>
        <v/>
      </c>
      <c r="D358" s="9">
        <f>IF('Data Source'!B358="","",'Data Source'!V358)</f>
        <v/>
      </c>
      <c r="E358" s="9">
        <f>IF('Data Source'!B358="","",'Data Source'!W358)</f>
        <v/>
      </c>
      <c r="F358" s="9">
        <f>IF('Data Source'!B358="","",'Data Source'!X358)</f>
        <v/>
      </c>
      <c r="G358" s="9">
        <f>IF('Data Source'!B358="","",'Data Source'!Y358)</f>
        <v/>
      </c>
      <c r="H358" s="9">
        <f>IF('Data Source'!B358="","",'Data Source'!Z358)</f>
        <v/>
      </c>
      <c r="I358" s="9">
        <f>IF('Data Source'!B358="","",'Data Source'!AA358)</f>
        <v/>
      </c>
      <c r="J358" s="9">
        <f>IF('Data Source'!B358="","",'Data Source'!AB358)</f>
        <v/>
      </c>
      <c r="K358" s="9">
        <f>IF('Data Source'!B358="","",'Data Source'!AC358)</f>
        <v/>
      </c>
      <c r="L358" s="9">
        <f>IF('Data Source'!B358="","",'Data Source'!AD358)</f>
        <v/>
      </c>
      <c r="M358" s="9">
        <f>IF('Data Source'!B358="","",'Data Source'!AE358)</f>
        <v/>
      </c>
      <c r="N358" s="9">
        <f>IF('Data Source'!B358="","",'Data Source'!AF358)</f>
        <v/>
      </c>
      <c r="O358" s="9">
        <f>IF('Data Source'!B358="","",'Data Source'!AG358)</f>
        <v/>
      </c>
      <c r="P358" s="5">
        <f>IF('Data Source'!B358="","",'Data Source'!R358)</f>
        <v/>
      </c>
      <c r="Q358" s="3">
        <f>IF('Data Source'!B358="","",'Data Source'!S358)</f>
        <v/>
      </c>
    </row>
    <row r="359">
      <c r="A359" s="3">
        <f>IF('Data Source'!B359="","",'Data Source'!A359)</f>
        <v/>
      </c>
      <c r="B359">
        <f>IF('Data Source'!B359="","",'Data Source'!B359)</f>
        <v/>
      </c>
      <c r="C359" s="9">
        <f>IF('Data Source'!B359="","",'Data Source'!U359)</f>
        <v/>
      </c>
      <c r="D359" s="9">
        <f>IF('Data Source'!B359="","",'Data Source'!V359)</f>
        <v/>
      </c>
      <c r="E359" s="9">
        <f>IF('Data Source'!B359="","",'Data Source'!W359)</f>
        <v/>
      </c>
      <c r="F359" s="9">
        <f>IF('Data Source'!B359="","",'Data Source'!X359)</f>
        <v/>
      </c>
      <c r="G359" s="9">
        <f>IF('Data Source'!B359="","",'Data Source'!Y359)</f>
        <v/>
      </c>
      <c r="H359" s="9">
        <f>IF('Data Source'!B359="","",'Data Source'!Z359)</f>
        <v/>
      </c>
      <c r="I359" s="9">
        <f>IF('Data Source'!B359="","",'Data Source'!AA359)</f>
        <v/>
      </c>
      <c r="J359" s="9">
        <f>IF('Data Source'!B359="","",'Data Source'!AB359)</f>
        <v/>
      </c>
      <c r="K359" s="9">
        <f>IF('Data Source'!B359="","",'Data Source'!AC359)</f>
        <v/>
      </c>
      <c r="L359" s="9">
        <f>IF('Data Source'!B359="","",'Data Source'!AD359)</f>
        <v/>
      </c>
      <c r="M359" s="9">
        <f>IF('Data Source'!B359="","",'Data Source'!AE359)</f>
        <v/>
      </c>
      <c r="N359" s="9">
        <f>IF('Data Source'!B359="","",'Data Source'!AF359)</f>
        <v/>
      </c>
      <c r="O359" s="9">
        <f>IF('Data Source'!B359="","",'Data Source'!AG359)</f>
        <v/>
      </c>
      <c r="P359" s="5">
        <f>IF('Data Source'!B359="","",'Data Source'!R359)</f>
        <v/>
      </c>
      <c r="Q359" s="3">
        <f>IF('Data Source'!B359="","",'Data Source'!S359)</f>
        <v/>
      </c>
    </row>
    <row r="360">
      <c r="A360" s="3">
        <f>IF('Data Source'!B360="","",'Data Source'!A360)</f>
        <v/>
      </c>
      <c r="B360">
        <f>IF('Data Source'!B360="","",'Data Source'!B360)</f>
        <v/>
      </c>
      <c r="C360" s="9">
        <f>IF('Data Source'!B360="","",'Data Source'!U360)</f>
        <v/>
      </c>
      <c r="D360" s="9">
        <f>IF('Data Source'!B360="","",'Data Source'!V360)</f>
        <v/>
      </c>
      <c r="E360" s="9">
        <f>IF('Data Source'!B360="","",'Data Source'!W360)</f>
        <v/>
      </c>
      <c r="F360" s="9">
        <f>IF('Data Source'!B360="","",'Data Source'!X360)</f>
        <v/>
      </c>
      <c r="G360" s="9">
        <f>IF('Data Source'!B360="","",'Data Source'!Y360)</f>
        <v/>
      </c>
      <c r="H360" s="9">
        <f>IF('Data Source'!B360="","",'Data Source'!Z360)</f>
        <v/>
      </c>
      <c r="I360" s="9">
        <f>IF('Data Source'!B360="","",'Data Source'!AA360)</f>
        <v/>
      </c>
      <c r="J360" s="9">
        <f>IF('Data Source'!B360="","",'Data Source'!AB360)</f>
        <v/>
      </c>
      <c r="K360" s="9">
        <f>IF('Data Source'!B360="","",'Data Source'!AC360)</f>
        <v/>
      </c>
      <c r="L360" s="9">
        <f>IF('Data Source'!B360="","",'Data Source'!AD360)</f>
        <v/>
      </c>
      <c r="M360" s="9">
        <f>IF('Data Source'!B360="","",'Data Source'!AE360)</f>
        <v/>
      </c>
      <c r="N360" s="9">
        <f>IF('Data Source'!B360="","",'Data Source'!AF360)</f>
        <v/>
      </c>
      <c r="O360" s="9">
        <f>IF('Data Source'!B360="","",'Data Source'!AG360)</f>
        <v/>
      </c>
      <c r="P360" s="5">
        <f>IF('Data Source'!B360="","",'Data Source'!R360)</f>
        <v/>
      </c>
      <c r="Q360" s="3">
        <f>IF('Data Source'!B360="","",'Data Source'!S360)</f>
        <v/>
      </c>
    </row>
    <row r="361">
      <c r="A361" s="3">
        <f>IF('Data Source'!B361="","",'Data Source'!A361)</f>
        <v/>
      </c>
      <c r="B361">
        <f>IF('Data Source'!B361="","",'Data Source'!B361)</f>
        <v/>
      </c>
      <c r="C361" s="9">
        <f>IF('Data Source'!B361="","",'Data Source'!U361)</f>
        <v/>
      </c>
      <c r="D361" s="9">
        <f>IF('Data Source'!B361="","",'Data Source'!V361)</f>
        <v/>
      </c>
      <c r="E361" s="9">
        <f>IF('Data Source'!B361="","",'Data Source'!W361)</f>
        <v/>
      </c>
      <c r="F361" s="9">
        <f>IF('Data Source'!B361="","",'Data Source'!X361)</f>
        <v/>
      </c>
      <c r="G361" s="9">
        <f>IF('Data Source'!B361="","",'Data Source'!Y361)</f>
        <v/>
      </c>
      <c r="H361" s="9">
        <f>IF('Data Source'!B361="","",'Data Source'!Z361)</f>
        <v/>
      </c>
      <c r="I361" s="9">
        <f>IF('Data Source'!B361="","",'Data Source'!AA361)</f>
        <v/>
      </c>
      <c r="J361" s="9">
        <f>IF('Data Source'!B361="","",'Data Source'!AB361)</f>
        <v/>
      </c>
      <c r="K361" s="9">
        <f>IF('Data Source'!B361="","",'Data Source'!AC361)</f>
        <v/>
      </c>
      <c r="L361" s="9">
        <f>IF('Data Source'!B361="","",'Data Source'!AD361)</f>
        <v/>
      </c>
      <c r="M361" s="9">
        <f>IF('Data Source'!B361="","",'Data Source'!AE361)</f>
        <v/>
      </c>
      <c r="N361" s="9">
        <f>IF('Data Source'!B361="","",'Data Source'!AF361)</f>
        <v/>
      </c>
      <c r="O361" s="9">
        <f>IF('Data Source'!B361="","",'Data Source'!AG361)</f>
        <v/>
      </c>
      <c r="P361" s="5">
        <f>IF('Data Source'!B361="","",'Data Source'!R361)</f>
        <v/>
      </c>
      <c r="Q361" s="3">
        <f>IF('Data Source'!B361="","",'Data Source'!S361)</f>
        <v/>
      </c>
    </row>
    <row r="362">
      <c r="A362" s="3">
        <f>IF('Data Source'!B362="","",'Data Source'!A362)</f>
        <v/>
      </c>
      <c r="B362">
        <f>IF('Data Source'!B362="","",'Data Source'!B362)</f>
        <v/>
      </c>
      <c r="C362" s="9">
        <f>IF('Data Source'!B362="","",'Data Source'!U362)</f>
        <v/>
      </c>
      <c r="D362" s="9">
        <f>IF('Data Source'!B362="","",'Data Source'!V362)</f>
        <v/>
      </c>
      <c r="E362" s="9">
        <f>IF('Data Source'!B362="","",'Data Source'!W362)</f>
        <v/>
      </c>
      <c r="F362" s="9">
        <f>IF('Data Source'!B362="","",'Data Source'!X362)</f>
        <v/>
      </c>
      <c r="G362" s="9">
        <f>IF('Data Source'!B362="","",'Data Source'!Y362)</f>
        <v/>
      </c>
      <c r="H362" s="9">
        <f>IF('Data Source'!B362="","",'Data Source'!Z362)</f>
        <v/>
      </c>
      <c r="I362" s="9">
        <f>IF('Data Source'!B362="","",'Data Source'!AA362)</f>
        <v/>
      </c>
      <c r="J362" s="9">
        <f>IF('Data Source'!B362="","",'Data Source'!AB362)</f>
        <v/>
      </c>
      <c r="K362" s="9">
        <f>IF('Data Source'!B362="","",'Data Source'!AC362)</f>
        <v/>
      </c>
      <c r="L362" s="9">
        <f>IF('Data Source'!B362="","",'Data Source'!AD362)</f>
        <v/>
      </c>
      <c r="M362" s="9">
        <f>IF('Data Source'!B362="","",'Data Source'!AE362)</f>
        <v/>
      </c>
      <c r="N362" s="9">
        <f>IF('Data Source'!B362="","",'Data Source'!AF362)</f>
        <v/>
      </c>
      <c r="O362" s="9">
        <f>IF('Data Source'!B362="","",'Data Source'!AG362)</f>
        <v/>
      </c>
      <c r="P362" s="5">
        <f>IF('Data Source'!B362="","",'Data Source'!R362)</f>
        <v/>
      </c>
      <c r="Q362" s="3">
        <f>IF('Data Source'!B362="","",'Data Source'!S362)</f>
        <v/>
      </c>
    </row>
    <row r="363">
      <c r="A363" s="3">
        <f>IF('Data Source'!B363="","",'Data Source'!A363)</f>
        <v/>
      </c>
      <c r="B363">
        <f>IF('Data Source'!B363="","",'Data Source'!B363)</f>
        <v/>
      </c>
      <c r="C363" s="9">
        <f>IF('Data Source'!B363="","",'Data Source'!U363)</f>
        <v/>
      </c>
      <c r="D363" s="9">
        <f>IF('Data Source'!B363="","",'Data Source'!V363)</f>
        <v/>
      </c>
      <c r="E363" s="9">
        <f>IF('Data Source'!B363="","",'Data Source'!W363)</f>
        <v/>
      </c>
      <c r="F363" s="9">
        <f>IF('Data Source'!B363="","",'Data Source'!X363)</f>
        <v/>
      </c>
      <c r="G363" s="9">
        <f>IF('Data Source'!B363="","",'Data Source'!Y363)</f>
        <v/>
      </c>
      <c r="H363" s="9">
        <f>IF('Data Source'!B363="","",'Data Source'!Z363)</f>
        <v/>
      </c>
      <c r="I363" s="9">
        <f>IF('Data Source'!B363="","",'Data Source'!AA363)</f>
        <v/>
      </c>
      <c r="J363" s="9">
        <f>IF('Data Source'!B363="","",'Data Source'!AB363)</f>
        <v/>
      </c>
      <c r="K363" s="9">
        <f>IF('Data Source'!B363="","",'Data Source'!AC363)</f>
        <v/>
      </c>
      <c r="L363" s="9">
        <f>IF('Data Source'!B363="","",'Data Source'!AD363)</f>
        <v/>
      </c>
      <c r="M363" s="9">
        <f>IF('Data Source'!B363="","",'Data Source'!AE363)</f>
        <v/>
      </c>
      <c r="N363" s="9">
        <f>IF('Data Source'!B363="","",'Data Source'!AF363)</f>
        <v/>
      </c>
      <c r="O363" s="9">
        <f>IF('Data Source'!B363="","",'Data Source'!AG363)</f>
        <v/>
      </c>
      <c r="P363" s="5">
        <f>IF('Data Source'!B363="","",'Data Source'!R363)</f>
        <v/>
      </c>
      <c r="Q363" s="3">
        <f>IF('Data Source'!B363="","",'Data Source'!S363)</f>
        <v/>
      </c>
    </row>
    <row r="364">
      <c r="A364" s="3">
        <f>IF('Data Source'!B364="","",'Data Source'!A364)</f>
        <v/>
      </c>
      <c r="B364">
        <f>IF('Data Source'!B364="","",'Data Source'!B364)</f>
        <v/>
      </c>
      <c r="C364" s="9">
        <f>IF('Data Source'!B364="","",'Data Source'!U364)</f>
        <v/>
      </c>
      <c r="D364" s="9">
        <f>IF('Data Source'!B364="","",'Data Source'!V364)</f>
        <v/>
      </c>
      <c r="E364" s="9">
        <f>IF('Data Source'!B364="","",'Data Source'!W364)</f>
        <v/>
      </c>
      <c r="F364" s="9">
        <f>IF('Data Source'!B364="","",'Data Source'!X364)</f>
        <v/>
      </c>
      <c r="G364" s="9">
        <f>IF('Data Source'!B364="","",'Data Source'!Y364)</f>
        <v/>
      </c>
      <c r="H364" s="9">
        <f>IF('Data Source'!B364="","",'Data Source'!Z364)</f>
        <v/>
      </c>
      <c r="I364" s="9">
        <f>IF('Data Source'!B364="","",'Data Source'!AA364)</f>
        <v/>
      </c>
      <c r="J364" s="9">
        <f>IF('Data Source'!B364="","",'Data Source'!AB364)</f>
        <v/>
      </c>
      <c r="K364" s="9">
        <f>IF('Data Source'!B364="","",'Data Source'!AC364)</f>
        <v/>
      </c>
      <c r="L364" s="9">
        <f>IF('Data Source'!B364="","",'Data Source'!AD364)</f>
        <v/>
      </c>
      <c r="M364" s="9">
        <f>IF('Data Source'!B364="","",'Data Source'!AE364)</f>
        <v/>
      </c>
      <c r="N364" s="9">
        <f>IF('Data Source'!B364="","",'Data Source'!AF364)</f>
        <v/>
      </c>
      <c r="O364" s="9">
        <f>IF('Data Source'!B364="","",'Data Source'!AG364)</f>
        <v/>
      </c>
      <c r="P364" s="5">
        <f>IF('Data Source'!B364="","",'Data Source'!R364)</f>
        <v/>
      </c>
      <c r="Q364" s="3">
        <f>IF('Data Source'!B364="","",'Data Source'!S364)</f>
        <v/>
      </c>
    </row>
    <row r="365">
      <c r="A365" s="3">
        <f>IF('Data Source'!B365="","",'Data Source'!A365)</f>
        <v/>
      </c>
      <c r="B365">
        <f>IF('Data Source'!B365="","",'Data Source'!B365)</f>
        <v/>
      </c>
      <c r="C365" s="9">
        <f>IF('Data Source'!B365="","",'Data Source'!U365)</f>
        <v/>
      </c>
      <c r="D365" s="9">
        <f>IF('Data Source'!B365="","",'Data Source'!V365)</f>
        <v/>
      </c>
      <c r="E365" s="9">
        <f>IF('Data Source'!B365="","",'Data Source'!W365)</f>
        <v/>
      </c>
      <c r="F365" s="9">
        <f>IF('Data Source'!B365="","",'Data Source'!X365)</f>
        <v/>
      </c>
      <c r="G365" s="9">
        <f>IF('Data Source'!B365="","",'Data Source'!Y365)</f>
        <v/>
      </c>
      <c r="H365" s="9">
        <f>IF('Data Source'!B365="","",'Data Source'!Z365)</f>
        <v/>
      </c>
      <c r="I365" s="9">
        <f>IF('Data Source'!B365="","",'Data Source'!AA365)</f>
        <v/>
      </c>
      <c r="J365" s="9">
        <f>IF('Data Source'!B365="","",'Data Source'!AB365)</f>
        <v/>
      </c>
      <c r="K365" s="9">
        <f>IF('Data Source'!B365="","",'Data Source'!AC365)</f>
        <v/>
      </c>
      <c r="L365" s="9">
        <f>IF('Data Source'!B365="","",'Data Source'!AD365)</f>
        <v/>
      </c>
      <c r="M365" s="9">
        <f>IF('Data Source'!B365="","",'Data Source'!AE365)</f>
        <v/>
      </c>
      <c r="N365" s="9">
        <f>IF('Data Source'!B365="","",'Data Source'!AF365)</f>
        <v/>
      </c>
      <c r="O365" s="9">
        <f>IF('Data Source'!B365="","",'Data Source'!AG365)</f>
        <v/>
      </c>
      <c r="P365" s="5">
        <f>IF('Data Source'!B365="","",'Data Source'!R365)</f>
        <v/>
      </c>
      <c r="Q365" s="3">
        <f>IF('Data Source'!B365="","",'Data Source'!S365)</f>
        <v/>
      </c>
    </row>
    <row r="366">
      <c r="A366" s="3">
        <f>IF('Data Source'!B366="","",'Data Source'!A366)</f>
        <v/>
      </c>
      <c r="B366">
        <f>IF('Data Source'!B366="","",'Data Source'!B366)</f>
        <v/>
      </c>
      <c r="C366" s="9">
        <f>IF('Data Source'!B366="","",'Data Source'!U366)</f>
        <v/>
      </c>
      <c r="D366" s="9">
        <f>IF('Data Source'!B366="","",'Data Source'!V366)</f>
        <v/>
      </c>
      <c r="E366" s="9">
        <f>IF('Data Source'!B366="","",'Data Source'!W366)</f>
        <v/>
      </c>
      <c r="F366" s="9">
        <f>IF('Data Source'!B366="","",'Data Source'!X366)</f>
        <v/>
      </c>
      <c r="G366" s="9">
        <f>IF('Data Source'!B366="","",'Data Source'!Y366)</f>
        <v/>
      </c>
      <c r="H366" s="9">
        <f>IF('Data Source'!B366="","",'Data Source'!Z366)</f>
        <v/>
      </c>
      <c r="I366" s="9">
        <f>IF('Data Source'!B366="","",'Data Source'!AA366)</f>
        <v/>
      </c>
      <c r="J366" s="9">
        <f>IF('Data Source'!B366="","",'Data Source'!AB366)</f>
        <v/>
      </c>
      <c r="K366" s="9">
        <f>IF('Data Source'!B366="","",'Data Source'!AC366)</f>
        <v/>
      </c>
      <c r="L366" s="9">
        <f>IF('Data Source'!B366="","",'Data Source'!AD366)</f>
        <v/>
      </c>
      <c r="M366" s="9">
        <f>IF('Data Source'!B366="","",'Data Source'!AE366)</f>
        <v/>
      </c>
      <c r="N366" s="9">
        <f>IF('Data Source'!B366="","",'Data Source'!AF366)</f>
        <v/>
      </c>
      <c r="O366" s="9">
        <f>IF('Data Source'!B366="","",'Data Source'!AG366)</f>
        <v/>
      </c>
      <c r="P366" s="5">
        <f>IF('Data Source'!B366="","",'Data Source'!R366)</f>
        <v/>
      </c>
      <c r="Q366" s="3">
        <f>IF('Data Source'!B366="","",'Data Source'!S366)</f>
        <v/>
      </c>
    </row>
    <row r="367">
      <c r="A367" s="3">
        <f>IF('Data Source'!B367="","",'Data Source'!A367)</f>
        <v/>
      </c>
      <c r="B367">
        <f>IF('Data Source'!B367="","",'Data Source'!B367)</f>
        <v/>
      </c>
      <c r="C367" s="9">
        <f>IF('Data Source'!B367="","",'Data Source'!U367)</f>
        <v/>
      </c>
      <c r="D367" s="9">
        <f>IF('Data Source'!B367="","",'Data Source'!V367)</f>
        <v/>
      </c>
      <c r="E367" s="9">
        <f>IF('Data Source'!B367="","",'Data Source'!W367)</f>
        <v/>
      </c>
      <c r="F367" s="9">
        <f>IF('Data Source'!B367="","",'Data Source'!X367)</f>
        <v/>
      </c>
      <c r="G367" s="9">
        <f>IF('Data Source'!B367="","",'Data Source'!Y367)</f>
        <v/>
      </c>
      <c r="H367" s="9">
        <f>IF('Data Source'!B367="","",'Data Source'!Z367)</f>
        <v/>
      </c>
      <c r="I367" s="9">
        <f>IF('Data Source'!B367="","",'Data Source'!AA367)</f>
        <v/>
      </c>
      <c r="J367" s="9">
        <f>IF('Data Source'!B367="","",'Data Source'!AB367)</f>
        <v/>
      </c>
      <c r="K367" s="9">
        <f>IF('Data Source'!B367="","",'Data Source'!AC367)</f>
        <v/>
      </c>
      <c r="L367" s="9">
        <f>IF('Data Source'!B367="","",'Data Source'!AD367)</f>
        <v/>
      </c>
      <c r="M367" s="9">
        <f>IF('Data Source'!B367="","",'Data Source'!AE367)</f>
        <v/>
      </c>
      <c r="N367" s="9">
        <f>IF('Data Source'!B367="","",'Data Source'!AF367)</f>
        <v/>
      </c>
      <c r="O367" s="9">
        <f>IF('Data Source'!B367="","",'Data Source'!AG367)</f>
        <v/>
      </c>
      <c r="P367" s="5">
        <f>IF('Data Source'!B367="","",'Data Source'!R367)</f>
        <v/>
      </c>
      <c r="Q367" s="3">
        <f>IF('Data Source'!B367="","",'Data Source'!S367)</f>
        <v/>
      </c>
    </row>
    <row r="368">
      <c r="A368" s="3">
        <f>IF('Data Source'!B368="","",'Data Source'!A368)</f>
        <v/>
      </c>
      <c r="B368">
        <f>IF('Data Source'!B368="","",'Data Source'!B368)</f>
        <v/>
      </c>
      <c r="C368" s="9">
        <f>IF('Data Source'!B368="","",'Data Source'!U368)</f>
        <v/>
      </c>
      <c r="D368" s="9">
        <f>IF('Data Source'!B368="","",'Data Source'!V368)</f>
        <v/>
      </c>
      <c r="E368" s="9">
        <f>IF('Data Source'!B368="","",'Data Source'!W368)</f>
        <v/>
      </c>
      <c r="F368" s="9">
        <f>IF('Data Source'!B368="","",'Data Source'!X368)</f>
        <v/>
      </c>
      <c r="G368" s="9">
        <f>IF('Data Source'!B368="","",'Data Source'!Y368)</f>
        <v/>
      </c>
      <c r="H368" s="9">
        <f>IF('Data Source'!B368="","",'Data Source'!Z368)</f>
        <v/>
      </c>
      <c r="I368" s="9">
        <f>IF('Data Source'!B368="","",'Data Source'!AA368)</f>
        <v/>
      </c>
      <c r="J368" s="9">
        <f>IF('Data Source'!B368="","",'Data Source'!AB368)</f>
        <v/>
      </c>
      <c r="K368" s="9">
        <f>IF('Data Source'!B368="","",'Data Source'!AC368)</f>
        <v/>
      </c>
      <c r="L368" s="9">
        <f>IF('Data Source'!B368="","",'Data Source'!AD368)</f>
        <v/>
      </c>
      <c r="M368" s="9">
        <f>IF('Data Source'!B368="","",'Data Source'!AE368)</f>
        <v/>
      </c>
      <c r="N368" s="9">
        <f>IF('Data Source'!B368="","",'Data Source'!AF368)</f>
        <v/>
      </c>
      <c r="O368" s="9">
        <f>IF('Data Source'!B368="","",'Data Source'!AG368)</f>
        <v/>
      </c>
      <c r="P368" s="5">
        <f>IF('Data Source'!B368="","",'Data Source'!R368)</f>
        <v/>
      </c>
      <c r="Q368" s="3">
        <f>IF('Data Source'!B368="","",'Data Source'!S368)</f>
        <v/>
      </c>
    </row>
    <row r="369">
      <c r="A369" s="3">
        <f>IF('Data Source'!B369="","",'Data Source'!A369)</f>
        <v/>
      </c>
      <c r="B369">
        <f>IF('Data Source'!B369="","",'Data Source'!B369)</f>
        <v/>
      </c>
      <c r="C369" s="9">
        <f>IF('Data Source'!B369="","",'Data Source'!U369)</f>
        <v/>
      </c>
      <c r="D369" s="9">
        <f>IF('Data Source'!B369="","",'Data Source'!V369)</f>
        <v/>
      </c>
      <c r="E369" s="9">
        <f>IF('Data Source'!B369="","",'Data Source'!W369)</f>
        <v/>
      </c>
      <c r="F369" s="9">
        <f>IF('Data Source'!B369="","",'Data Source'!X369)</f>
        <v/>
      </c>
      <c r="G369" s="9">
        <f>IF('Data Source'!B369="","",'Data Source'!Y369)</f>
        <v/>
      </c>
      <c r="H369" s="9">
        <f>IF('Data Source'!B369="","",'Data Source'!Z369)</f>
        <v/>
      </c>
      <c r="I369" s="9">
        <f>IF('Data Source'!B369="","",'Data Source'!AA369)</f>
        <v/>
      </c>
      <c r="J369" s="9">
        <f>IF('Data Source'!B369="","",'Data Source'!AB369)</f>
        <v/>
      </c>
      <c r="K369" s="9">
        <f>IF('Data Source'!B369="","",'Data Source'!AC369)</f>
        <v/>
      </c>
      <c r="L369" s="9">
        <f>IF('Data Source'!B369="","",'Data Source'!AD369)</f>
        <v/>
      </c>
      <c r="M369" s="9">
        <f>IF('Data Source'!B369="","",'Data Source'!AE369)</f>
        <v/>
      </c>
      <c r="N369" s="9">
        <f>IF('Data Source'!B369="","",'Data Source'!AF369)</f>
        <v/>
      </c>
      <c r="O369" s="9">
        <f>IF('Data Source'!B369="","",'Data Source'!AG369)</f>
        <v/>
      </c>
      <c r="P369" s="5">
        <f>IF('Data Source'!B369="","",'Data Source'!R369)</f>
        <v/>
      </c>
      <c r="Q369" s="3">
        <f>IF('Data Source'!B369="","",'Data Source'!S369)</f>
        <v/>
      </c>
    </row>
    <row r="370">
      <c r="A370" s="3">
        <f>IF('Data Source'!B370="","",'Data Source'!A370)</f>
        <v/>
      </c>
      <c r="B370">
        <f>IF('Data Source'!B370="","",'Data Source'!B370)</f>
        <v/>
      </c>
      <c r="C370" s="9">
        <f>IF('Data Source'!B370="","",'Data Source'!U370)</f>
        <v/>
      </c>
      <c r="D370" s="9">
        <f>IF('Data Source'!B370="","",'Data Source'!V370)</f>
        <v/>
      </c>
      <c r="E370" s="9">
        <f>IF('Data Source'!B370="","",'Data Source'!W370)</f>
        <v/>
      </c>
      <c r="F370" s="9">
        <f>IF('Data Source'!B370="","",'Data Source'!X370)</f>
        <v/>
      </c>
      <c r="G370" s="9">
        <f>IF('Data Source'!B370="","",'Data Source'!Y370)</f>
        <v/>
      </c>
      <c r="H370" s="9">
        <f>IF('Data Source'!B370="","",'Data Source'!Z370)</f>
        <v/>
      </c>
      <c r="I370" s="9">
        <f>IF('Data Source'!B370="","",'Data Source'!AA370)</f>
        <v/>
      </c>
      <c r="J370" s="9">
        <f>IF('Data Source'!B370="","",'Data Source'!AB370)</f>
        <v/>
      </c>
      <c r="K370" s="9">
        <f>IF('Data Source'!B370="","",'Data Source'!AC370)</f>
        <v/>
      </c>
      <c r="L370" s="9">
        <f>IF('Data Source'!B370="","",'Data Source'!AD370)</f>
        <v/>
      </c>
      <c r="M370" s="9">
        <f>IF('Data Source'!B370="","",'Data Source'!AE370)</f>
        <v/>
      </c>
      <c r="N370" s="9">
        <f>IF('Data Source'!B370="","",'Data Source'!AF370)</f>
        <v/>
      </c>
      <c r="O370" s="9">
        <f>IF('Data Source'!B370="","",'Data Source'!AG370)</f>
        <v/>
      </c>
      <c r="P370" s="5">
        <f>IF('Data Source'!B370="","",'Data Source'!R370)</f>
        <v/>
      </c>
      <c r="Q370" s="3">
        <f>IF('Data Source'!B370="","",'Data Source'!S370)</f>
        <v/>
      </c>
    </row>
    <row r="371">
      <c r="A371" s="3">
        <f>IF('Data Source'!B371="","",'Data Source'!A371)</f>
        <v/>
      </c>
      <c r="B371">
        <f>IF('Data Source'!B371="","",'Data Source'!B371)</f>
        <v/>
      </c>
      <c r="C371" s="9">
        <f>IF('Data Source'!B371="","",'Data Source'!U371)</f>
        <v/>
      </c>
      <c r="D371" s="9">
        <f>IF('Data Source'!B371="","",'Data Source'!V371)</f>
        <v/>
      </c>
      <c r="E371" s="9">
        <f>IF('Data Source'!B371="","",'Data Source'!W371)</f>
        <v/>
      </c>
      <c r="F371" s="9">
        <f>IF('Data Source'!B371="","",'Data Source'!X371)</f>
        <v/>
      </c>
      <c r="G371" s="9">
        <f>IF('Data Source'!B371="","",'Data Source'!Y371)</f>
        <v/>
      </c>
      <c r="H371" s="9">
        <f>IF('Data Source'!B371="","",'Data Source'!Z371)</f>
        <v/>
      </c>
      <c r="I371" s="9">
        <f>IF('Data Source'!B371="","",'Data Source'!AA371)</f>
        <v/>
      </c>
      <c r="J371" s="9">
        <f>IF('Data Source'!B371="","",'Data Source'!AB371)</f>
        <v/>
      </c>
      <c r="K371" s="9">
        <f>IF('Data Source'!B371="","",'Data Source'!AC371)</f>
        <v/>
      </c>
      <c r="L371" s="9">
        <f>IF('Data Source'!B371="","",'Data Source'!AD371)</f>
        <v/>
      </c>
      <c r="M371" s="9">
        <f>IF('Data Source'!B371="","",'Data Source'!AE371)</f>
        <v/>
      </c>
      <c r="N371" s="9">
        <f>IF('Data Source'!B371="","",'Data Source'!AF371)</f>
        <v/>
      </c>
      <c r="O371" s="9">
        <f>IF('Data Source'!B371="","",'Data Source'!AG371)</f>
        <v/>
      </c>
      <c r="P371" s="5">
        <f>IF('Data Source'!B371="","",'Data Source'!R371)</f>
        <v/>
      </c>
      <c r="Q371" s="3">
        <f>IF('Data Source'!B371="","",'Data Source'!S371)</f>
        <v/>
      </c>
    </row>
    <row r="372">
      <c r="A372" s="3">
        <f>IF('Data Source'!B372="","",'Data Source'!A372)</f>
        <v/>
      </c>
      <c r="B372">
        <f>IF('Data Source'!B372="","",'Data Source'!B372)</f>
        <v/>
      </c>
      <c r="C372" s="9">
        <f>IF('Data Source'!B372="","",'Data Source'!U372)</f>
        <v/>
      </c>
      <c r="D372" s="9">
        <f>IF('Data Source'!B372="","",'Data Source'!V372)</f>
        <v/>
      </c>
      <c r="E372" s="9">
        <f>IF('Data Source'!B372="","",'Data Source'!W372)</f>
        <v/>
      </c>
      <c r="F372" s="9">
        <f>IF('Data Source'!B372="","",'Data Source'!X372)</f>
        <v/>
      </c>
      <c r="G372" s="9">
        <f>IF('Data Source'!B372="","",'Data Source'!Y372)</f>
        <v/>
      </c>
      <c r="H372" s="9">
        <f>IF('Data Source'!B372="","",'Data Source'!Z372)</f>
        <v/>
      </c>
      <c r="I372" s="9">
        <f>IF('Data Source'!B372="","",'Data Source'!AA372)</f>
        <v/>
      </c>
      <c r="J372" s="9">
        <f>IF('Data Source'!B372="","",'Data Source'!AB372)</f>
        <v/>
      </c>
      <c r="K372" s="9">
        <f>IF('Data Source'!B372="","",'Data Source'!AC372)</f>
        <v/>
      </c>
      <c r="L372" s="9">
        <f>IF('Data Source'!B372="","",'Data Source'!AD372)</f>
        <v/>
      </c>
      <c r="M372" s="9">
        <f>IF('Data Source'!B372="","",'Data Source'!AE372)</f>
        <v/>
      </c>
      <c r="N372" s="9">
        <f>IF('Data Source'!B372="","",'Data Source'!AF372)</f>
        <v/>
      </c>
      <c r="O372" s="9">
        <f>IF('Data Source'!B372="","",'Data Source'!AG372)</f>
        <v/>
      </c>
      <c r="P372" s="5">
        <f>IF('Data Source'!B372="","",'Data Source'!R372)</f>
        <v/>
      </c>
      <c r="Q372" s="3">
        <f>IF('Data Source'!B372="","",'Data Source'!S372)</f>
        <v/>
      </c>
    </row>
    <row r="373">
      <c r="A373" s="3">
        <f>IF('Data Source'!B373="","",'Data Source'!A373)</f>
        <v/>
      </c>
      <c r="B373">
        <f>IF('Data Source'!B373="","",'Data Source'!B373)</f>
        <v/>
      </c>
      <c r="C373" s="9">
        <f>IF('Data Source'!B373="","",'Data Source'!U373)</f>
        <v/>
      </c>
      <c r="D373" s="9">
        <f>IF('Data Source'!B373="","",'Data Source'!V373)</f>
        <v/>
      </c>
      <c r="E373" s="9">
        <f>IF('Data Source'!B373="","",'Data Source'!W373)</f>
        <v/>
      </c>
      <c r="F373" s="9">
        <f>IF('Data Source'!B373="","",'Data Source'!X373)</f>
        <v/>
      </c>
      <c r="G373" s="9">
        <f>IF('Data Source'!B373="","",'Data Source'!Y373)</f>
        <v/>
      </c>
      <c r="H373" s="9">
        <f>IF('Data Source'!B373="","",'Data Source'!Z373)</f>
        <v/>
      </c>
      <c r="I373" s="9">
        <f>IF('Data Source'!B373="","",'Data Source'!AA373)</f>
        <v/>
      </c>
      <c r="J373" s="9">
        <f>IF('Data Source'!B373="","",'Data Source'!AB373)</f>
        <v/>
      </c>
      <c r="K373" s="9">
        <f>IF('Data Source'!B373="","",'Data Source'!AC373)</f>
        <v/>
      </c>
      <c r="L373" s="9">
        <f>IF('Data Source'!B373="","",'Data Source'!AD373)</f>
        <v/>
      </c>
      <c r="M373" s="9">
        <f>IF('Data Source'!B373="","",'Data Source'!AE373)</f>
        <v/>
      </c>
      <c r="N373" s="9">
        <f>IF('Data Source'!B373="","",'Data Source'!AF373)</f>
        <v/>
      </c>
      <c r="O373" s="9">
        <f>IF('Data Source'!B373="","",'Data Source'!AG373)</f>
        <v/>
      </c>
      <c r="P373" s="5">
        <f>IF('Data Source'!B373="","",'Data Source'!R373)</f>
        <v/>
      </c>
      <c r="Q373" s="3">
        <f>IF('Data Source'!B373="","",'Data Source'!S373)</f>
        <v/>
      </c>
    </row>
    <row r="374">
      <c r="A374" s="3">
        <f>IF('Data Source'!B374="","",'Data Source'!A374)</f>
        <v/>
      </c>
      <c r="B374">
        <f>IF('Data Source'!B374="","",'Data Source'!B374)</f>
        <v/>
      </c>
      <c r="C374" s="9">
        <f>IF('Data Source'!B374="","",'Data Source'!U374)</f>
        <v/>
      </c>
      <c r="D374" s="9">
        <f>IF('Data Source'!B374="","",'Data Source'!V374)</f>
        <v/>
      </c>
      <c r="E374" s="9">
        <f>IF('Data Source'!B374="","",'Data Source'!W374)</f>
        <v/>
      </c>
      <c r="F374" s="9">
        <f>IF('Data Source'!B374="","",'Data Source'!X374)</f>
        <v/>
      </c>
      <c r="G374" s="9">
        <f>IF('Data Source'!B374="","",'Data Source'!Y374)</f>
        <v/>
      </c>
      <c r="H374" s="9">
        <f>IF('Data Source'!B374="","",'Data Source'!Z374)</f>
        <v/>
      </c>
      <c r="I374" s="9">
        <f>IF('Data Source'!B374="","",'Data Source'!AA374)</f>
        <v/>
      </c>
      <c r="J374" s="9">
        <f>IF('Data Source'!B374="","",'Data Source'!AB374)</f>
        <v/>
      </c>
      <c r="K374" s="9">
        <f>IF('Data Source'!B374="","",'Data Source'!AC374)</f>
        <v/>
      </c>
      <c r="L374" s="9">
        <f>IF('Data Source'!B374="","",'Data Source'!AD374)</f>
        <v/>
      </c>
      <c r="M374" s="9">
        <f>IF('Data Source'!B374="","",'Data Source'!AE374)</f>
        <v/>
      </c>
      <c r="N374" s="9">
        <f>IF('Data Source'!B374="","",'Data Source'!AF374)</f>
        <v/>
      </c>
      <c r="O374" s="9">
        <f>IF('Data Source'!B374="","",'Data Source'!AG374)</f>
        <v/>
      </c>
      <c r="P374" s="5">
        <f>IF('Data Source'!B374="","",'Data Source'!R374)</f>
        <v/>
      </c>
      <c r="Q374" s="3">
        <f>IF('Data Source'!B374="","",'Data Source'!S374)</f>
        <v/>
      </c>
    </row>
    <row r="375">
      <c r="A375" s="3">
        <f>IF('Data Source'!B375="","",'Data Source'!A375)</f>
        <v/>
      </c>
      <c r="B375">
        <f>IF('Data Source'!B375="","",'Data Source'!B375)</f>
        <v/>
      </c>
      <c r="C375" s="9">
        <f>IF('Data Source'!B375="","",'Data Source'!U375)</f>
        <v/>
      </c>
      <c r="D375" s="9">
        <f>IF('Data Source'!B375="","",'Data Source'!V375)</f>
        <v/>
      </c>
      <c r="E375" s="9">
        <f>IF('Data Source'!B375="","",'Data Source'!W375)</f>
        <v/>
      </c>
      <c r="F375" s="9">
        <f>IF('Data Source'!B375="","",'Data Source'!X375)</f>
        <v/>
      </c>
      <c r="G375" s="9">
        <f>IF('Data Source'!B375="","",'Data Source'!Y375)</f>
        <v/>
      </c>
      <c r="H375" s="9">
        <f>IF('Data Source'!B375="","",'Data Source'!Z375)</f>
        <v/>
      </c>
      <c r="I375" s="9">
        <f>IF('Data Source'!B375="","",'Data Source'!AA375)</f>
        <v/>
      </c>
      <c r="J375" s="9">
        <f>IF('Data Source'!B375="","",'Data Source'!AB375)</f>
        <v/>
      </c>
      <c r="K375" s="9">
        <f>IF('Data Source'!B375="","",'Data Source'!AC375)</f>
        <v/>
      </c>
      <c r="L375" s="9">
        <f>IF('Data Source'!B375="","",'Data Source'!AD375)</f>
        <v/>
      </c>
      <c r="M375" s="9">
        <f>IF('Data Source'!B375="","",'Data Source'!AE375)</f>
        <v/>
      </c>
      <c r="N375" s="9">
        <f>IF('Data Source'!B375="","",'Data Source'!AF375)</f>
        <v/>
      </c>
      <c r="O375" s="9">
        <f>IF('Data Source'!B375="","",'Data Source'!AG375)</f>
        <v/>
      </c>
      <c r="P375" s="5">
        <f>IF('Data Source'!B375="","",'Data Source'!R375)</f>
        <v/>
      </c>
      <c r="Q375" s="3">
        <f>IF('Data Source'!B375="","",'Data Source'!S375)</f>
        <v/>
      </c>
    </row>
    <row r="376">
      <c r="A376" s="3">
        <f>IF('Data Source'!B376="","",'Data Source'!A376)</f>
        <v/>
      </c>
      <c r="B376">
        <f>IF('Data Source'!B376="","",'Data Source'!B376)</f>
        <v/>
      </c>
      <c r="C376" s="9">
        <f>IF('Data Source'!B376="","",'Data Source'!U376)</f>
        <v/>
      </c>
      <c r="D376" s="9">
        <f>IF('Data Source'!B376="","",'Data Source'!V376)</f>
        <v/>
      </c>
      <c r="E376" s="9">
        <f>IF('Data Source'!B376="","",'Data Source'!W376)</f>
        <v/>
      </c>
      <c r="F376" s="9">
        <f>IF('Data Source'!B376="","",'Data Source'!X376)</f>
        <v/>
      </c>
      <c r="G376" s="9">
        <f>IF('Data Source'!B376="","",'Data Source'!Y376)</f>
        <v/>
      </c>
      <c r="H376" s="9">
        <f>IF('Data Source'!B376="","",'Data Source'!Z376)</f>
        <v/>
      </c>
      <c r="I376" s="9">
        <f>IF('Data Source'!B376="","",'Data Source'!AA376)</f>
        <v/>
      </c>
      <c r="J376" s="9">
        <f>IF('Data Source'!B376="","",'Data Source'!AB376)</f>
        <v/>
      </c>
      <c r="K376" s="9">
        <f>IF('Data Source'!B376="","",'Data Source'!AC376)</f>
        <v/>
      </c>
      <c r="L376" s="9">
        <f>IF('Data Source'!B376="","",'Data Source'!AD376)</f>
        <v/>
      </c>
      <c r="M376" s="9">
        <f>IF('Data Source'!B376="","",'Data Source'!AE376)</f>
        <v/>
      </c>
      <c r="N376" s="9">
        <f>IF('Data Source'!B376="","",'Data Source'!AF376)</f>
        <v/>
      </c>
      <c r="O376" s="9">
        <f>IF('Data Source'!B376="","",'Data Source'!AG376)</f>
        <v/>
      </c>
      <c r="P376" s="5">
        <f>IF('Data Source'!B376="","",'Data Source'!R376)</f>
        <v/>
      </c>
      <c r="Q376" s="3">
        <f>IF('Data Source'!B376="","",'Data Source'!S376)</f>
        <v/>
      </c>
    </row>
    <row r="377">
      <c r="A377" s="3">
        <f>IF('Data Source'!B377="","",'Data Source'!A377)</f>
        <v/>
      </c>
      <c r="B377">
        <f>IF('Data Source'!B377="","",'Data Source'!B377)</f>
        <v/>
      </c>
      <c r="C377" s="9">
        <f>IF('Data Source'!B377="","",'Data Source'!U377)</f>
        <v/>
      </c>
      <c r="D377" s="9">
        <f>IF('Data Source'!B377="","",'Data Source'!V377)</f>
        <v/>
      </c>
      <c r="E377" s="9">
        <f>IF('Data Source'!B377="","",'Data Source'!W377)</f>
        <v/>
      </c>
      <c r="F377" s="9">
        <f>IF('Data Source'!B377="","",'Data Source'!X377)</f>
        <v/>
      </c>
      <c r="G377" s="9">
        <f>IF('Data Source'!B377="","",'Data Source'!Y377)</f>
        <v/>
      </c>
      <c r="H377" s="9">
        <f>IF('Data Source'!B377="","",'Data Source'!Z377)</f>
        <v/>
      </c>
      <c r="I377" s="9">
        <f>IF('Data Source'!B377="","",'Data Source'!AA377)</f>
        <v/>
      </c>
      <c r="J377" s="9">
        <f>IF('Data Source'!B377="","",'Data Source'!AB377)</f>
        <v/>
      </c>
      <c r="K377" s="9">
        <f>IF('Data Source'!B377="","",'Data Source'!AC377)</f>
        <v/>
      </c>
      <c r="L377" s="9">
        <f>IF('Data Source'!B377="","",'Data Source'!AD377)</f>
        <v/>
      </c>
      <c r="M377" s="9">
        <f>IF('Data Source'!B377="","",'Data Source'!AE377)</f>
        <v/>
      </c>
      <c r="N377" s="9">
        <f>IF('Data Source'!B377="","",'Data Source'!AF377)</f>
        <v/>
      </c>
      <c r="O377" s="9">
        <f>IF('Data Source'!B377="","",'Data Source'!AG377)</f>
        <v/>
      </c>
      <c r="P377" s="5">
        <f>IF('Data Source'!B377="","",'Data Source'!R377)</f>
        <v/>
      </c>
      <c r="Q377" s="3">
        <f>IF('Data Source'!B377="","",'Data Source'!S377)</f>
        <v/>
      </c>
    </row>
    <row r="378">
      <c r="A378" s="3">
        <f>IF('Data Source'!B378="","",'Data Source'!A378)</f>
        <v/>
      </c>
      <c r="B378">
        <f>IF('Data Source'!B378="","",'Data Source'!B378)</f>
        <v/>
      </c>
      <c r="C378" s="9">
        <f>IF('Data Source'!B378="","",'Data Source'!U378)</f>
        <v/>
      </c>
      <c r="D378" s="9">
        <f>IF('Data Source'!B378="","",'Data Source'!V378)</f>
        <v/>
      </c>
      <c r="E378" s="9">
        <f>IF('Data Source'!B378="","",'Data Source'!W378)</f>
        <v/>
      </c>
      <c r="F378" s="9">
        <f>IF('Data Source'!B378="","",'Data Source'!X378)</f>
        <v/>
      </c>
      <c r="G378" s="9">
        <f>IF('Data Source'!B378="","",'Data Source'!Y378)</f>
        <v/>
      </c>
      <c r="H378" s="9">
        <f>IF('Data Source'!B378="","",'Data Source'!Z378)</f>
        <v/>
      </c>
      <c r="I378" s="9">
        <f>IF('Data Source'!B378="","",'Data Source'!AA378)</f>
        <v/>
      </c>
      <c r="J378" s="9">
        <f>IF('Data Source'!B378="","",'Data Source'!AB378)</f>
        <v/>
      </c>
      <c r="K378" s="9">
        <f>IF('Data Source'!B378="","",'Data Source'!AC378)</f>
        <v/>
      </c>
      <c r="L378" s="9">
        <f>IF('Data Source'!B378="","",'Data Source'!AD378)</f>
        <v/>
      </c>
      <c r="M378" s="9">
        <f>IF('Data Source'!B378="","",'Data Source'!AE378)</f>
        <v/>
      </c>
      <c r="N378" s="9">
        <f>IF('Data Source'!B378="","",'Data Source'!AF378)</f>
        <v/>
      </c>
      <c r="O378" s="9">
        <f>IF('Data Source'!B378="","",'Data Source'!AG378)</f>
        <v/>
      </c>
      <c r="P378" s="5">
        <f>IF('Data Source'!B378="","",'Data Source'!R378)</f>
        <v/>
      </c>
      <c r="Q378" s="3">
        <f>IF('Data Source'!B378="","",'Data Source'!S378)</f>
        <v/>
      </c>
    </row>
    <row r="379">
      <c r="A379" s="3">
        <f>IF('Data Source'!B379="","",'Data Source'!A379)</f>
        <v/>
      </c>
      <c r="B379">
        <f>IF('Data Source'!B379="","",'Data Source'!B379)</f>
        <v/>
      </c>
      <c r="C379" s="9">
        <f>IF('Data Source'!B379="","",'Data Source'!U379)</f>
        <v/>
      </c>
      <c r="D379" s="9">
        <f>IF('Data Source'!B379="","",'Data Source'!V379)</f>
        <v/>
      </c>
      <c r="E379" s="9">
        <f>IF('Data Source'!B379="","",'Data Source'!W379)</f>
        <v/>
      </c>
      <c r="F379" s="9">
        <f>IF('Data Source'!B379="","",'Data Source'!X379)</f>
        <v/>
      </c>
      <c r="G379" s="9">
        <f>IF('Data Source'!B379="","",'Data Source'!Y379)</f>
        <v/>
      </c>
      <c r="H379" s="9">
        <f>IF('Data Source'!B379="","",'Data Source'!Z379)</f>
        <v/>
      </c>
      <c r="I379" s="9">
        <f>IF('Data Source'!B379="","",'Data Source'!AA379)</f>
        <v/>
      </c>
      <c r="J379" s="9">
        <f>IF('Data Source'!B379="","",'Data Source'!AB379)</f>
        <v/>
      </c>
      <c r="K379" s="9">
        <f>IF('Data Source'!B379="","",'Data Source'!AC379)</f>
        <v/>
      </c>
      <c r="L379" s="9">
        <f>IF('Data Source'!B379="","",'Data Source'!AD379)</f>
        <v/>
      </c>
      <c r="M379" s="9">
        <f>IF('Data Source'!B379="","",'Data Source'!AE379)</f>
        <v/>
      </c>
      <c r="N379" s="9">
        <f>IF('Data Source'!B379="","",'Data Source'!AF379)</f>
        <v/>
      </c>
      <c r="O379" s="9">
        <f>IF('Data Source'!B379="","",'Data Source'!AG379)</f>
        <v/>
      </c>
      <c r="P379" s="5">
        <f>IF('Data Source'!B379="","",'Data Source'!R379)</f>
        <v/>
      </c>
      <c r="Q379" s="3">
        <f>IF('Data Source'!B379="","",'Data Source'!S379)</f>
        <v/>
      </c>
    </row>
    <row r="380">
      <c r="A380" s="3">
        <f>IF('Data Source'!B380="","",'Data Source'!A380)</f>
        <v/>
      </c>
      <c r="B380">
        <f>IF('Data Source'!B380="","",'Data Source'!B380)</f>
        <v/>
      </c>
      <c r="C380" s="9">
        <f>IF('Data Source'!B380="","",'Data Source'!U380)</f>
        <v/>
      </c>
      <c r="D380" s="9">
        <f>IF('Data Source'!B380="","",'Data Source'!V380)</f>
        <v/>
      </c>
      <c r="E380" s="9">
        <f>IF('Data Source'!B380="","",'Data Source'!W380)</f>
        <v/>
      </c>
      <c r="F380" s="9">
        <f>IF('Data Source'!B380="","",'Data Source'!X380)</f>
        <v/>
      </c>
      <c r="G380" s="9">
        <f>IF('Data Source'!B380="","",'Data Source'!Y380)</f>
        <v/>
      </c>
      <c r="H380" s="9">
        <f>IF('Data Source'!B380="","",'Data Source'!Z380)</f>
        <v/>
      </c>
      <c r="I380" s="9">
        <f>IF('Data Source'!B380="","",'Data Source'!AA380)</f>
        <v/>
      </c>
      <c r="J380" s="9">
        <f>IF('Data Source'!B380="","",'Data Source'!AB380)</f>
        <v/>
      </c>
      <c r="K380" s="9">
        <f>IF('Data Source'!B380="","",'Data Source'!AC380)</f>
        <v/>
      </c>
      <c r="L380" s="9">
        <f>IF('Data Source'!B380="","",'Data Source'!AD380)</f>
        <v/>
      </c>
      <c r="M380" s="9">
        <f>IF('Data Source'!B380="","",'Data Source'!AE380)</f>
        <v/>
      </c>
      <c r="N380" s="9">
        <f>IF('Data Source'!B380="","",'Data Source'!AF380)</f>
        <v/>
      </c>
      <c r="O380" s="9">
        <f>IF('Data Source'!B380="","",'Data Source'!AG380)</f>
        <v/>
      </c>
      <c r="P380" s="5">
        <f>IF('Data Source'!B380="","",'Data Source'!R380)</f>
        <v/>
      </c>
      <c r="Q380" s="3">
        <f>IF('Data Source'!B380="","",'Data Source'!S380)</f>
        <v/>
      </c>
    </row>
    <row r="381">
      <c r="A381" s="3">
        <f>IF('Data Source'!B381="","",'Data Source'!A381)</f>
        <v/>
      </c>
      <c r="B381">
        <f>IF('Data Source'!B381="","",'Data Source'!B381)</f>
        <v/>
      </c>
      <c r="C381" s="9">
        <f>IF('Data Source'!B381="","",'Data Source'!U381)</f>
        <v/>
      </c>
      <c r="D381" s="9">
        <f>IF('Data Source'!B381="","",'Data Source'!V381)</f>
        <v/>
      </c>
      <c r="E381" s="9">
        <f>IF('Data Source'!B381="","",'Data Source'!W381)</f>
        <v/>
      </c>
      <c r="F381" s="9">
        <f>IF('Data Source'!B381="","",'Data Source'!X381)</f>
        <v/>
      </c>
      <c r="G381" s="9">
        <f>IF('Data Source'!B381="","",'Data Source'!Y381)</f>
        <v/>
      </c>
      <c r="H381" s="9">
        <f>IF('Data Source'!B381="","",'Data Source'!Z381)</f>
        <v/>
      </c>
      <c r="I381" s="9">
        <f>IF('Data Source'!B381="","",'Data Source'!AA381)</f>
        <v/>
      </c>
      <c r="J381" s="9">
        <f>IF('Data Source'!B381="","",'Data Source'!AB381)</f>
        <v/>
      </c>
      <c r="K381" s="9">
        <f>IF('Data Source'!B381="","",'Data Source'!AC381)</f>
        <v/>
      </c>
      <c r="L381" s="9">
        <f>IF('Data Source'!B381="","",'Data Source'!AD381)</f>
        <v/>
      </c>
      <c r="M381" s="9">
        <f>IF('Data Source'!B381="","",'Data Source'!AE381)</f>
        <v/>
      </c>
      <c r="N381" s="9">
        <f>IF('Data Source'!B381="","",'Data Source'!AF381)</f>
        <v/>
      </c>
      <c r="O381" s="9">
        <f>IF('Data Source'!B381="","",'Data Source'!AG381)</f>
        <v/>
      </c>
      <c r="P381" s="5">
        <f>IF('Data Source'!B381="","",'Data Source'!R381)</f>
        <v/>
      </c>
      <c r="Q381" s="3">
        <f>IF('Data Source'!B381="","",'Data Source'!S381)</f>
        <v/>
      </c>
    </row>
    <row r="382">
      <c r="A382" s="3">
        <f>IF('Data Source'!B382="","",'Data Source'!A382)</f>
        <v/>
      </c>
      <c r="B382">
        <f>IF('Data Source'!B382="","",'Data Source'!B382)</f>
        <v/>
      </c>
      <c r="C382" s="9">
        <f>IF('Data Source'!B382="","",'Data Source'!U382)</f>
        <v/>
      </c>
      <c r="D382" s="9">
        <f>IF('Data Source'!B382="","",'Data Source'!V382)</f>
        <v/>
      </c>
      <c r="E382" s="9">
        <f>IF('Data Source'!B382="","",'Data Source'!W382)</f>
        <v/>
      </c>
      <c r="F382" s="9">
        <f>IF('Data Source'!B382="","",'Data Source'!X382)</f>
        <v/>
      </c>
      <c r="G382" s="9">
        <f>IF('Data Source'!B382="","",'Data Source'!Y382)</f>
        <v/>
      </c>
      <c r="H382" s="9">
        <f>IF('Data Source'!B382="","",'Data Source'!Z382)</f>
        <v/>
      </c>
      <c r="I382" s="9">
        <f>IF('Data Source'!B382="","",'Data Source'!AA382)</f>
        <v/>
      </c>
      <c r="J382" s="9">
        <f>IF('Data Source'!B382="","",'Data Source'!AB382)</f>
        <v/>
      </c>
      <c r="K382" s="9">
        <f>IF('Data Source'!B382="","",'Data Source'!AC382)</f>
        <v/>
      </c>
      <c r="L382" s="9">
        <f>IF('Data Source'!B382="","",'Data Source'!AD382)</f>
        <v/>
      </c>
      <c r="M382" s="9">
        <f>IF('Data Source'!B382="","",'Data Source'!AE382)</f>
        <v/>
      </c>
      <c r="N382" s="9">
        <f>IF('Data Source'!B382="","",'Data Source'!AF382)</f>
        <v/>
      </c>
      <c r="O382" s="9">
        <f>IF('Data Source'!B382="","",'Data Source'!AG382)</f>
        <v/>
      </c>
      <c r="P382" s="5">
        <f>IF('Data Source'!B382="","",'Data Source'!R382)</f>
        <v/>
      </c>
      <c r="Q382" s="3">
        <f>IF('Data Source'!B382="","",'Data Source'!S382)</f>
        <v/>
      </c>
    </row>
    <row r="383">
      <c r="A383" s="3">
        <f>IF('Data Source'!B383="","",'Data Source'!A383)</f>
        <v/>
      </c>
      <c r="B383">
        <f>IF('Data Source'!B383="","",'Data Source'!B383)</f>
        <v/>
      </c>
      <c r="C383" s="9">
        <f>IF('Data Source'!B383="","",'Data Source'!U383)</f>
        <v/>
      </c>
      <c r="D383" s="9">
        <f>IF('Data Source'!B383="","",'Data Source'!V383)</f>
        <v/>
      </c>
      <c r="E383" s="9">
        <f>IF('Data Source'!B383="","",'Data Source'!W383)</f>
        <v/>
      </c>
      <c r="F383" s="9">
        <f>IF('Data Source'!B383="","",'Data Source'!X383)</f>
        <v/>
      </c>
      <c r="G383" s="9">
        <f>IF('Data Source'!B383="","",'Data Source'!Y383)</f>
        <v/>
      </c>
      <c r="H383" s="9">
        <f>IF('Data Source'!B383="","",'Data Source'!Z383)</f>
        <v/>
      </c>
      <c r="I383" s="9">
        <f>IF('Data Source'!B383="","",'Data Source'!AA383)</f>
        <v/>
      </c>
      <c r="J383" s="9">
        <f>IF('Data Source'!B383="","",'Data Source'!AB383)</f>
        <v/>
      </c>
      <c r="K383" s="9">
        <f>IF('Data Source'!B383="","",'Data Source'!AC383)</f>
        <v/>
      </c>
      <c r="L383" s="9">
        <f>IF('Data Source'!B383="","",'Data Source'!AD383)</f>
        <v/>
      </c>
      <c r="M383" s="9">
        <f>IF('Data Source'!B383="","",'Data Source'!AE383)</f>
        <v/>
      </c>
      <c r="N383" s="9">
        <f>IF('Data Source'!B383="","",'Data Source'!AF383)</f>
        <v/>
      </c>
      <c r="O383" s="9">
        <f>IF('Data Source'!B383="","",'Data Source'!AG383)</f>
        <v/>
      </c>
      <c r="P383" s="5">
        <f>IF('Data Source'!B383="","",'Data Source'!R383)</f>
        <v/>
      </c>
      <c r="Q383" s="3">
        <f>IF('Data Source'!B383="","",'Data Source'!S383)</f>
        <v/>
      </c>
    </row>
    <row r="384">
      <c r="A384" s="3">
        <f>IF('Data Source'!B384="","",'Data Source'!A384)</f>
        <v/>
      </c>
      <c r="B384">
        <f>IF('Data Source'!B384="","",'Data Source'!B384)</f>
        <v/>
      </c>
      <c r="C384" s="9">
        <f>IF('Data Source'!B384="","",'Data Source'!U384)</f>
        <v/>
      </c>
      <c r="D384" s="9">
        <f>IF('Data Source'!B384="","",'Data Source'!V384)</f>
        <v/>
      </c>
      <c r="E384" s="9">
        <f>IF('Data Source'!B384="","",'Data Source'!W384)</f>
        <v/>
      </c>
      <c r="F384" s="9">
        <f>IF('Data Source'!B384="","",'Data Source'!X384)</f>
        <v/>
      </c>
      <c r="G384" s="9">
        <f>IF('Data Source'!B384="","",'Data Source'!Y384)</f>
        <v/>
      </c>
      <c r="H384" s="9">
        <f>IF('Data Source'!B384="","",'Data Source'!Z384)</f>
        <v/>
      </c>
      <c r="I384" s="9">
        <f>IF('Data Source'!B384="","",'Data Source'!AA384)</f>
        <v/>
      </c>
      <c r="J384" s="9">
        <f>IF('Data Source'!B384="","",'Data Source'!AB384)</f>
        <v/>
      </c>
      <c r="K384" s="9">
        <f>IF('Data Source'!B384="","",'Data Source'!AC384)</f>
        <v/>
      </c>
      <c r="L384" s="9">
        <f>IF('Data Source'!B384="","",'Data Source'!AD384)</f>
        <v/>
      </c>
      <c r="M384" s="9">
        <f>IF('Data Source'!B384="","",'Data Source'!AE384)</f>
        <v/>
      </c>
      <c r="N384" s="9">
        <f>IF('Data Source'!B384="","",'Data Source'!AF384)</f>
        <v/>
      </c>
      <c r="O384" s="9">
        <f>IF('Data Source'!B384="","",'Data Source'!AG384)</f>
        <v/>
      </c>
      <c r="P384" s="5">
        <f>IF('Data Source'!B384="","",'Data Source'!R384)</f>
        <v/>
      </c>
      <c r="Q384" s="3">
        <f>IF('Data Source'!B384="","",'Data Source'!S384)</f>
        <v/>
      </c>
    </row>
    <row r="385">
      <c r="A385" s="3">
        <f>IF('Data Source'!B385="","",'Data Source'!A385)</f>
        <v/>
      </c>
      <c r="B385">
        <f>IF('Data Source'!B385="","",'Data Source'!B385)</f>
        <v/>
      </c>
      <c r="C385" s="9">
        <f>IF('Data Source'!B385="","",'Data Source'!U385)</f>
        <v/>
      </c>
      <c r="D385" s="9">
        <f>IF('Data Source'!B385="","",'Data Source'!V385)</f>
        <v/>
      </c>
      <c r="E385" s="9">
        <f>IF('Data Source'!B385="","",'Data Source'!W385)</f>
        <v/>
      </c>
      <c r="F385" s="9">
        <f>IF('Data Source'!B385="","",'Data Source'!X385)</f>
        <v/>
      </c>
      <c r="G385" s="9">
        <f>IF('Data Source'!B385="","",'Data Source'!Y385)</f>
        <v/>
      </c>
      <c r="H385" s="9">
        <f>IF('Data Source'!B385="","",'Data Source'!Z385)</f>
        <v/>
      </c>
      <c r="I385" s="9">
        <f>IF('Data Source'!B385="","",'Data Source'!AA385)</f>
        <v/>
      </c>
      <c r="J385" s="9">
        <f>IF('Data Source'!B385="","",'Data Source'!AB385)</f>
        <v/>
      </c>
      <c r="K385" s="9">
        <f>IF('Data Source'!B385="","",'Data Source'!AC385)</f>
        <v/>
      </c>
      <c r="L385" s="9">
        <f>IF('Data Source'!B385="","",'Data Source'!AD385)</f>
        <v/>
      </c>
      <c r="M385" s="9">
        <f>IF('Data Source'!B385="","",'Data Source'!AE385)</f>
        <v/>
      </c>
      <c r="N385" s="9">
        <f>IF('Data Source'!B385="","",'Data Source'!AF385)</f>
        <v/>
      </c>
      <c r="O385" s="9">
        <f>IF('Data Source'!B385="","",'Data Source'!AG385)</f>
        <v/>
      </c>
      <c r="P385" s="5">
        <f>IF('Data Source'!B385="","",'Data Source'!R385)</f>
        <v/>
      </c>
      <c r="Q385" s="3">
        <f>IF('Data Source'!B385="","",'Data Source'!S385)</f>
        <v/>
      </c>
    </row>
    <row r="386">
      <c r="A386" s="3">
        <f>IF('Data Source'!B386="","",'Data Source'!A386)</f>
        <v/>
      </c>
      <c r="B386">
        <f>IF('Data Source'!B386="","",'Data Source'!B386)</f>
        <v/>
      </c>
      <c r="C386" s="9">
        <f>IF('Data Source'!B386="","",'Data Source'!U386)</f>
        <v/>
      </c>
      <c r="D386" s="9">
        <f>IF('Data Source'!B386="","",'Data Source'!V386)</f>
        <v/>
      </c>
      <c r="E386" s="9">
        <f>IF('Data Source'!B386="","",'Data Source'!W386)</f>
        <v/>
      </c>
      <c r="F386" s="9">
        <f>IF('Data Source'!B386="","",'Data Source'!X386)</f>
        <v/>
      </c>
      <c r="G386" s="9">
        <f>IF('Data Source'!B386="","",'Data Source'!Y386)</f>
        <v/>
      </c>
      <c r="H386" s="9">
        <f>IF('Data Source'!B386="","",'Data Source'!Z386)</f>
        <v/>
      </c>
      <c r="I386" s="9">
        <f>IF('Data Source'!B386="","",'Data Source'!AA386)</f>
        <v/>
      </c>
      <c r="J386" s="9">
        <f>IF('Data Source'!B386="","",'Data Source'!AB386)</f>
        <v/>
      </c>
      <c r="K386" s="9">
        <f>IF('Data Source'!B386="","",'Data Source'!AC386)</f>
        <v/>
      </c>
      <c r="L386" s="9">
        <f>IF('Data Source'!B386="","",'Data Source'!AD386)</f>
        <v/>
      </c>
      <c r="M386" s="9">
        <f>IF('Data Source'!B386="","",'Data Source'!AE386)</f>
        <v/>
      </c>
      <c r="N386" s="9">
        <f>IF('Data Source'!B386="","",'Data Source'!AF386)</f>
        <v/>
      </c>
      <c r="O386" s="9">
        <f>IF('Data Source'!B386="","",'Data Source'!AG386)</f>
        <v/>
      </c>
      <c r="P386" s="5">
        <f>IF('Data Source'!B386="","",'Data Source'!R386)</f>
        <v/>
      </c>
      <c r="Q386" s="3">
        <f>IF('Data Source'!B386="","",'Data Source'!S386)</f>
        <v/>
      </c>
    </row>
    <row r="387">
      <c r="A387" s="3">
        <f>IF('Data Source'!B387="","",'Data Source'!A387)</f>
        <v/>
      </c>
      <c r="B387">
        <f>IF('Data Source'!B387="","",'Data Source'!B387)</f>
        <v/>
      </c>
      <c r="C387" s="9">
        <f>IF('Data Source'!B387="","",'Data Source'!U387)</f>
        <v/>
      </c>
      <c r="D387" s="9">
        <f>IF('Data Source'!B387="","",'Data Source'!V387)</f>
        <v/>
      </c>
      <c r="E387" s="9">
        <f>IF('Data Source'!B387="","",'Data Source'!W387)</f>
        <v/>
      </c>
      <c r="F387" s="9">
        <f>IF('Data Source'!B387="","",'Data Source'!X387)</f>
        <v/>
      </c>
      <c r="G387" s="9">
        <f>IF('Data Source'!B387="","",'Data Source'!Y387)</f>
        <v/>
      </c>
      <c r="H387" s="9">
        <f>IF('Data Source'!B387="","",'Data Source'!Z387)</f>
        <v/>
      </c>
      <c r="I387" s="9">
        <f>IF('Data Source'!B387="","",'Data Source'!AA387)</f>
        <v/>
      </c>
      <c r="J387" s="9">
        <f>IF('Data Source'!B387="","",'Data Source'!AB387)</f>
        <v/>
      </c>
      <c r="K387" s="9">
        <f>IF('Data Source'!B387="","",'Data Source'!AC387)</f>
        <v/>
      </c>
      <c r="L387" s="9">
        <f>IF('Data Source'!B387="","",'Data Source'!AD387)</f>
        <v/>
      </c>
      <c r="M387" s="9">
        <f>IF('Data Source'!B387="","",'Data Source'!AE387)</f>
        <v/>
      </c>
      <c r="N387" s="9">
        <f>IF('Data Source'!B387="","",'Data Source'!AF387)</f>
        <v/>
      </c>
      <c r="O387" s="9">
        <f>IF('Data Source'!B387="","",'Data Source'!AG387)</f>
        <v/>
      </c>
      <c r="P387" s="5">
        <f>IF('Data Source'!B387="","",'Data Source'!R387)</f>
        <v/>
      </c>
      <c r="Q387" s="3">
        <f>IF('Data Source'!B387="","",'Data Source'!S387)</f>
        <v/>
      </c>
    </row>
    <row r="388">
      <c r="A388" s="3">
        <f>IF('Data Source'!B388="","",'Data Source'!A388)</f>
        <v/>
      </c>
      <c r="B388">
        <f>IF('Data Source'!B388="","",'Data Source'!B388)</f>
        <v/>
      </c>
      <c r="C388" s="9">
        <f>IF('Data Source'!B388="","",'Data Source'!U388)</f>
        <v/>
      </c>
      <c r="D388" s="9">
        <f>IF('Data Source'!B388="","",'Data Source'!V388)</f>
        <v/>
      </c>
      <c r="E388" s="9">
        <f>IF('Data Source'!B388="","",'Data Source'!W388)</f>
        <v/>
      </c>
      <c r="F388" s="9">
        <f>IF('Data Source'!B388="","",'Data Source'!X388)</f>
        <v/>
      </c>
      <c r="G388" s="9">
        <f>IF('Data Source'!B388="","",'Data Source'!Y388)</f>
        <v/>
      </c>
      <c r="H388" s="9">
        <f>IF('Data Source'!B388="","",'Data Source'!Z388)</f>
        <v/>
      </c>
      <c r="I388" s="9">
        <f>IF('Data Source'!B388="","",'Data Source'!AA388)</f>
        <v/>
      </c>
      <c r="J388" s="9">
        <f>IF('Data Source'!B388="","",'Data Source'!AB388)</f>
        <v/>
      </c>
      <c r="K388" s="9">
        <f>IF('Data Source'!B388="","",'Data Source'!AC388)</f>
        <v/>
      </c>
      <c r="L388" s="9">
        <f>IF('Data Source'!B388="","",'Data Source'!AD388)</f>
        <v/>
      </c>
      <c r="M388" s="9">
        <f>IF('Data Source'!B388="","",'Data Source'!AE388)</f>
        <v/>
      </c>
      <c r="N388" s="9">
        <f>IF('Data Source'!B388="","",'Data Source'!AF388)</f>
        <v/>
      </c>
      <c r="O388" s="9">
        <f>IF('Data Source'!B388="","",'Data Source'!AG388)</f>
        <v/>
      </c>
      <c r="P388" s="5">
        <f>IF('Data Source'!B388="","",'Data Source'!R388)</f>
        <v/>
      </c>
      <c r="Q388" s="3">
        <f>IF('Data Source'!B388="","",'Data Source'!S388)</f>
        <v/>
      </c>
    </row>
    <row r="389">
      <c r="A389" s="3">
        <f>IF('Data Source'!B389="","",'Data Source'!A389)</f>
        <v/>
      </c>
      <c r="B389">
        <f>IF('Data Source'!B389="","",'Data Source'!B389)</f>
        <v/>
      </c>
      <c r="C389" s="9">
        <f>IF('Data Source'!B389="","",'Data Source'!U389)</f>
        <v/>
      </c>
      <c r="D389" s="9">
        <f>IF('Data Source'!B389="","",'Data Source'!V389)</f>
        <v/>
      </c>
      <c r="E389" s="9">
        <f>IF('Data Source'!B389="","",'Data Source'!W389)</f>
        <v/>
      </c>
      <c r="F389" s="9">
        <f>IF('Data Source'!B389="","",'Data Source'!X389)</f>
        <v/>
      </c>
      <c r="G389" s="9">
        <f>IF('Data Source'!B389="","",'Data Source'!Y389)</f>
        <v/>
      </c>
      <c r="H389" s="9">
        <f>IF('Data Source'!B389="","",'Data Source'!Z389)</f>
        <v/>
      </c>
      <c r="I389" s="9">
        <f>IF('Data Source'!B389="","",'Data Source'!AA389)</f>
        <v/>
      </c>
      <c r="J389" s="9">
        <f>IF('Data Source'!B389="","",'Data Source'!AB389)</f>
        <v/>
      </c>
      <c r="K389" s="9">
        <f>IF('Data Source'!B389="","",'Data Source'!AC389)</f>
        <v/>
      </c>
      <c r="L389" s="9">
        <f>IF('Data Source'!B389="","",'Data Source'!AD389)</f>
        <v/>
      </c>
      <c r="M389" s="9">
        <f>IF('Data Source'!B389="","",'Data Source'!AE389)</f>
        <v/>
      </c>
      <c r="N389" s="9">
        <f>IF('Data Source'!B389="","",'Data Source'!AF389)</f>
        <v/>
      </c>
      <c r="O389" s="9">
        <f>IF('Data Source'!B389="","",'Data Source'!AG389)</f>
        <v/>
      </c>
      <c r="P389" s="5">
        <f>IF('Data Source'!B389="","",'Data Source'!R389)</f>
        <v/>
      </c>
      <c r="Q389" s="3">
        <f>IF('Data Source'!B389="","",'Data Source'!S389)</f>
        <v/>
      </c>
    </row>
    <row r="390">
      <c r="A390" s="3">
        <f>IF('Data Source'!B390="","",'Data Source'!A390)</f>
        <v/>
      </c>
      <c r="B390">
        <f>IF('Data Source'!B390="","",'Data Source'!B390)</f>
        <v/>
      </c>
      <c r="C390" s="9">
        <f>IF('Data Source'!B390="","",'Data Source'!U390)</f>
        <v/>
      </c>
      <c r="D390" s="9">
        <f>IF('Data Source'!B390="","",'Data Source'!V390)</f>
        <v/>
      </c>
      <c r="E390" s="9">
        <f>IF('Data Source'!B390="","",'Data Source'!W390)</f>
        <v/>
      </c>
      <c r="F390" s="9">
        <f>IF('Data Source'!B390="","",'Data Source'!X390)</f>
        <v/>
      </c>
      <c r="G390" s="9">
        <f>IF('Data Source'!B390="","",'Data Source'!Y390)</f>
        <v/>
      </c>
      <c r="H390" s="9">
        <f>IF('Data Source'!B390="","",'Data Source'!Z390)</f>
        <v/>
      </c>
      <c r="I390" s="9">
        <f>IF('Data Source'!B390="","",'Data Source'!AA390)</f>
        <v/>
      </c>
      <c r="J390" s="9">
        <f>IF('Data Source'!B390="","",'Data Source'!AB390)</f>
        <v/>
      </c>
      <c r="K390" s="9">
        <f>IF('Data Source'!B390="","",'Data Source'!AC390)</f>
        <v/>
      </c>
      <c r="L390" s="9">
        <f>IF('Data Source'!B390="","",'Data Source'!AD390)</f>
        <v/>
      </c>
      <c r="M390" s="9">
        <f>IF('Data Source'!B390="","",'Data Source'!AE390)</f>
        <v/>
      </c>
      <c r="N390" s="9">
        <f>IF('Data Source'!B390="","",'Data Source'!AF390)</f>
        <v/>
      </c>
      <c r="O390" s="9">
        <f>IF('Data Source'!B390="","",'Data Source'!AG390)</f>
        <v/>
      </c>
      <c r="P390" s="5">
        <f>IF('Data Source'!B390="","",'Data Source'!R390)</f>
        <v/>
      </c>
      <c r="Q390" s="3">
        <f>IF('Data Source'!B390="","",'Data Source'!S390)</f>
        <v/>
      </c>
    </row>
    <row r="391">
      <c r="A391" s="3">
        <f>IF('Data Source'!B391="","",'Data Source'!A391)</f>
        <v/>
      </c>
      <c r="B391">
        <f>IF('Data Source'!B391="","",'Data Source'!B391)</f>
        <v/>
      </c>
      <c r="C391" s="9">
        <f>IF('Data Source'!B391="","",'Data Source'!U391)</f>
        <v/>
      </c>
      <c r="D391" s="9">
        <f>IF('Data Source'!B391="","",'Data Source'!V391)</f>
        <v/>
      </c>
      <c r="E391" s="9">
        <f>IF('Data Source'!B391="","",'Data Source'!W391)</f>
        <v/>
      </c>
      <c r="F391" s="9">
        <f>IF('Data Source'!B391="","",'Data Source'!X391)</f>
        <v/>
      </c>
      <c r="G391" s="9">
        <f>IF('Data Source'!B391="","",'Data Source'!Y391)</f>
        <v/>
      </c>
      <c r="H391" s="9">
        <f>IF('Data Source'!B391="","",'Data Source'!Z391)</f>
        <v/>
      </c>
      <c r="I391" s="9">
        <f>IF('Data Source'!B391="","",'Data Source'!AA391)</f>
        <v/>
      </c>
      <c r="J391" s="9">
        <f>IF('Data Source'!B391="","",'Data Source'!AB391)</f>
        <v/>
      </c>
      <c r="K391" s="9">
        <f>IF('Data Source'!B391="","",'Data Source'!AC391)</f>
        <v/>
      </c>
      <c r="L391" s="9">
        <f>IF('Data Source'!B391="","",'Data Source'!AD391)</f>
        <v/>
      </c>
      <c r="M391" s="9">
        <f>IF('Data Source'!B391="","",'Data Source'!AE391)</f>
        <v/>
      </c>
      <c r="N391" s="9">
        <f>IF('Data Source'!B391="","",'Data Source'!AF391)</f>
        <v/>
      </c>
      <c r="O391" s="9">
        <f>IF('Data Source'!B391="","",'Data Source'!AG391)</f>
        <v/>
      </c>
      <c r="P391" s="5">
        <f>IF('Data Source'!B391="","",'Data Source'!R391)</f>
        <v/>
      </c>
      <c r="Q391" s="3">
        <f>IF('Data Source'!B391="","",'Data Source'!S391)</f>
        <v/>
      </c>
    </row>
    <row r="392">
      <c r="A392" s="3">
        <f>IF('Data Source'!B392="","",'Data Source'!A392)</f>
        <v/>
      </c>
      <c r="B392">
        <f>IF('Data Source'!B392="","",'Data Source'!B392)</f>
        <v/>
      </c>
      <c r="C392" s="9">
        <f>IF('Data Source'!B392="","",'Data Source'!U392)</f>
        <v/>
      </c>
      <c r="D392" s="9">
        <f>IF('Data Source'!B392="","",'Data Source'!V392)</f>
        <v/>
      </c>
      <c r="E392" s="9">
        <f>IF('Data Source'!B392="","",'Data Source'!W392)</f>
        <v/>
      </c>
      <c r="F392" s="9">
        <f>IF('Data Source'!B392="","",'Data Source'!X392)</f>
        <v/>
      </c>
      <c r="G392" s="9">
        <f>IF('Data Source'!B392="","",'Data Source'!Y392)</f>
        <v/>
      </c>
      <c r="H392" s="9">
        <f>IF('Data Source'!B392="","",'Data Source'!Z392)</f>
        <v/>
      </c>
      <c r="I392" s="9">
        <f>IF('Data Source'!B392="","",'Data Source'!AA392)</f>
        <v/>
      </c>
      <c r="J392" s="9">
        <f>IF('Data Source'!B392="","",'Data Source'!AB392)</f>
        <v/>
      </c>
      <c r="K392" s="9">
        <f>IF('Data Source'!B392="","",'Data Source'!AC392)</f>
        <v/>
      </c>
      <c r="L392" s="9">
        <f>IF('Data Source'!B392="","",'Data Source'!AD392)</f>
        <v/>
      </c>
      <c r="M392" s="9">
        <f>IF('Data Source'!B392="","",'Data Source'!AE392)</f>
        <v/>
      </c>
      <c r="N392" s="9">
        <f>IF('Data Source'!B392="","",'Data Source'!AF392)</f>
        <v/>
      </c>
      <c r="O392" s="9">
        <f>IF('Data Source'!B392="","",'Data Source'!AG392)</f>
        <v/>
      </c>
      <c r="P392" s="5">
        <f>IF('Data Source'!B392="","",'Data Source'!R392)</f>
        <v/>
      </c>
      <c r="Q392" s="3">
        <f>IF('Data Source'!B392="","",'Data Source'!S392)</f>
        <v/>
      </c>
    </row>
    <row r="393">
      <c r="A393" s="3">
        <f>IF('Data Source'!B393="","",'Data Source'!A393)</f>
        <v/>
      </c>
      <c r="B393">
        <f>IF('Data Source'!B393="","",'Data Source'!B393)</f>
        <v/>
      </c>
      <c r="C393" s="9">
        <f>IF('Data Source'!B393="","",'Data Source'!U393)</f>
        <v/>
      </c>
      <c r="D393" s="9">
        <f>IF('Data Source'!B393="","",'Data Source'!V393)</f>
        <v/>
      </c>
      <c r="E393" s="9">
        <f>IF('Data Source'!B393="","",'Data Source'!W393)</f>
        <v/>
      </c>
      <c r="F393" s="9">
        <f>IF('Data Source'!B393="","",'Data Source'!X393)</f>
        <v/>
      </c>
      <c r="G393" s="9">
        <f>IF('Data Source'!B393="","",'Data Source'!Y393)</f>
        <v/>
      </c>
      <c r="H393" s="9">
        <f>IF('Data Source'!B393="","",'Data Source'!Z393)</f>
        <v/>
      </c>
      <c r="I393" s="9">
        <f>IF('Data Source'!B393="","",'Data Source'!AA393)</f>
        <v/>
      </c>
      <c r="J393" s="9">
        <f>IF('Data Source'!B393="","",'Data Source'!AB393)</f>
        <v/>
      </c>
      <c r="K393" s="9">
        <f>IF('Data Source'!B393="","",'Data Source'!AC393)</f>
        <v/>
      </c>
      <c r="L393" s="9">
        <f>IF('Data Source'!B393="","",'Data Source'!AD393)</f>
        <v/>
      </c>
      <c r="M393" s="9">
        <f>IF('Data Source'!B393="","",'Data Source'!AE393)</f>
        <v/>
      </c>
      <c r="N393" s="9">
        <f>IF('Data Source'!B393="","",'Data Source'!AF393)</f>
        <v/>
      </c>
      <c r="O393" s="9">
        <f>IF('Data Source'!B393="","",'Data Source'!AG393)</f>
        <v/>
      </c>
      <c r="P393" s="5">
        <f>IF('Data Source'!B393="","",'Data Source'!R393)</f>
        <v/>
      </c>
      <c r="Q393" s="3">
        <f>IF('Data Source'!B393="","",'Data Source'!S393)</f>
        <v/>
      </c>
    </row>
    <row r="394">
      <c r="A394" s="3">
        <f>IF('Data Source'!B394="","",'Data Source'!A394)</f>
        <v/>
      </c>
      <c r="B394">
        <f>IF('Data Source'!B394="","",'Data Source'!B394)</f>
        <v/>
      </c>
      <c r="C394" s="9">
        <f>IF('Data Source'!B394="","",'Data Source'!U394)</f>
        <v/>
      </c>
      <c r="D394" s="9">
        <f>IF('Data Source'!B394="","",'Data Source'!V394)</f>
        <v/>
      </c>
      <c r="E394" s="9">
        <f>IF('Data Source'!B394="","",'Data Source'!W394)</f>
        <v/>
      </c>
      <c r="F394" s="9">
        <f>IF('Data Source'!B394="","",'Data Source'!X394)</f>
        <v/>
      </c>
      <c r="G394" s="9">
        <f>IF('Data Source'!B394="","",'Data Source'!Y394)</f>
        <v/>
      </c>
      <c r="H394" s="9">
        <f>IF('Data Source'!B394="","",'Data Source'!Z394)</f>
        <v/>
      </c>
      <c r="I394" s="9">
        <f>IF('Data Source'!B394="","",'Data Source'!AA394)</f>
        <v/>
      </c>
      <c r="J394" s="9">
        <f>IF('Data Source'!B394="","",'Data Source'!AB394)</f>
        <v/>
      </c>
      <c r="K394" s="9">
        <f>IF('Data Source'!B394="","",'Data Source'!AC394)</f>
        <v/>
      </c>
      <c r="L394" s="9">
        <f>IF('Data Source'!B394="","",'Data Source'!AD394)</f>
        <v/>
      </c>
      <c r="M394" s="9">
        <f>IF('Data Source'!B394="","",'Data Source'!AE394)</f>
        <v/>
      </c>
      <c r="N394" s="9">
        <f>IF('Data Source'!B394="","",'Data Source'!AF394)</f>
        <v/>
      </c>
      <c r="O394" s="9">
        <f>IF('Data Source'!B394="","",'Data Source'!AG394)</f>
        <v/>
      </c>
      <c r="P394" s="5">
        <f>IF('Data Source'!B394="","",'Data Source'!R394)</f>
        <v/>
      </c>
      <c r="Q394" s="3">
        <f>IF('Data Source'!B394="","",'Data Source'!S394)</f>
        <v/>
      </c>
    </row>
    <row r="395">
      <c r="A395" s="3">
        <f>IF('Data Source'!B395="","",'Data Source'!A395)</f>
        <v/>
      </c>
      <c r="B395">
        <f>IF('Data Source'!B395="","",'Data Source'!B395)</f>
        <v/>
      </c>
      <c r="C395" s="9">
        <f>IF('Data Source'!B395="","",'Data Source'!U395)</f>
        <v/>
      </c>
      <c r="D395" s="9">
        <f>IF('Data Source'!B395="","",'Data Source'!V395)</f>
        <v/>
      </c>
      <c r="E395" s="9">
        <f>IF('Data Source'!B395="","",'Data Source'!W395)</f>
        <v/>
      </c>
      <c r="F395" s="9">
        <f>IF('Data Source'!B395="","",'Data Source'!X395)</f>
        <v/>
      </c>
      <c r="G395" s="9">
        <f>IF('Data Source'!B395="","",'Data Source'!Y395)</f>
        <v/>
      </c>
      <c r="H395" s="9">
        <f>IF('Data Source'!B395="","",'Data Source'!Z395)</f>
        <v/>
      </c>
      <c r="I395" s="9">
        <f>IF('Data Source'!B395="","",'Data Source'!AA395)</f>
        <v/>
      </c>
      <c r="J395" s="9">
        <f>IF('Data Source'!B395="","",'Data Source'!AB395)</f>
        <v/>
      </c>
      <c r="K395" s="9">
        <f>IF('Data Source'!B395="","",'Data Source'!AC395)</f>
        <v/>
      </c>
      <c r="L395" s="9">
        <f>IF('Data Source'!B395="","",'Data Source'!AD395)</f>
        <v/>
      </c>
      <c r="M395" s="9">
        <f>IF('Data Source'!B395="","",'Data Source'!AE395)</f>
        <v/>
      </c>
      <c r="N395" s="9">
        <f>IF('Data Source'!B395="","",'Data Source'!AF395)</f>
        <v/>
      </c>
      <c r="O395" s="9">
        <f>IF('Data Source'!B395="","",'Data Source'!AG395)</f>
        <v/>
      </c>
      <c r="P395" s="5">
        <f>IF('Data Source'!B395="","",'Data Source'!R395)</f>
        <v/>
      </c>
      <c r="Q395" s="3">
        <f>IF('Data Source'!B395="","",'Data Source'!S395)</f>
        <v/>
      </c>
    </row>
    <row r="396">
      <c r="A396" s="3">
        <f>IF('Data Source'!B396="","",'Data Source'!A396)</f>
        <v/>
      </c>
      <c r="B396">
        <f>IF('Data Source'!B396="","",'Data Source'!B396)</f>
        <v/>
      </c>
      <c r="C396" s="9">
        <f>IF('Data Source'!B396="","",'Data Source'!U396)</f>
        <v/>
      </c>
      <c r="D396" s="9">
        <f>IF('Data Source'!B396="","",'Data Source'!V396)</f>
        <v/>
      </c>
      <c r="E396" s="9">
        <f>IF('Data Source'!B396="","",'Data Source'!W396)</f>
        <v/>
      </c>
      <c r="F396" s="9">
        <f>IF('Data Source'!B396="","",'Data Source'!X396)</f>
        <v/>
      </c>
      <c r="G396" s="9">
        <f>IF('Data Source'!B396="","",'Data Source'!Y396)</f>
        <v/>
      </c>
      <c r="H396" s="9">
        <f>IF('Data Source'!B396="","",'Data Source'!Z396)</f>
        <v/>
      </c>
      <c r="I396" s="9">
        <f>IF('Data Source'!B396="","",'Data Source'!AA396)</f>
        <v/>
      </c>
      <c r="J396" s="9">
        <f>IF('Data Source'!B396="","",'Data Source'!AB396)</f>
        <v/>
      </c>
      <c r="K396" s="9">
        <f>IF('Data Source'!B396="","",'Data Source'!AC396)</f>
        <v/>
      </c>
      <c r="L396" s="9">
        <f>IF('Data Source'!B396="","",'Data Source'!AD396)</f>
        <v/>
      </c>
      <c r="M396" s="9">
        <f>IF('Data Source'!B396="","",'Data Source'!AE396)</f>
        <v/>
      </c>
      <c r="N396" s="9">
        <f>IF('Data Source'!B396="","",'Data Source'!AF396)</f>
        <v/>
      </c>
      <c r="O396" s="9">
        <f>IF('Data Source'!B396="","",'Data Source'!AG396)</f>
        <v/>
      </c>
      <c r="P396" s="5">
        <f>IF('Data Source'!B396="","",'Data Source'!R396)</f>
        <v/>
      </c>
      <c r="Q396" s="3">
        <f>IF('Data Source'!B396="","",'Data Source'!S396)</f>
        <v/>
      </c>
    </row>
    <row r="397">
      <c r="A397" s="3">
        <f>IF('Data Source'!B397="","",'Data Source'!A397)</f>
        <v/>
      </c>
      <c r="B397">
        <f>IF('Data Source'!B397="","",'Data Source'!B397)</f>
        <v/>
      </c>
      <c r="C397" s="9">
        <f>IF('Data Source'!B397="","",'Data Source'!U397)</f>
        <v/>
      </c>
      <c r="D397" s="9">
        <f>IF('Data Source'!B397="","",'Data Source'!V397)</f>
        <v/>
      </c>
      <c r="E397" s="9">
        <f>IF('Data Source'!B397="","",'Data Source'!W397)</f>
        <v/>
      </c>
      <c r="F397" s="9">
        <f>IF('Data Source'!B397="","",'Data Source'!X397)</f>
        <v/>
      </c>
      <c r="G397" s="9">
        <f>IF('Data Source'!B397="","",'Data Source'!Y397)</f>
        <v/>
      </c>
      <c r="H397" s="9">
        <f>IF('Data Source'!B397="","",'Data Source'!Z397)</f>
        <v/>
      </c>
      <c r="I397" s="9">
        <f>IF('Data Source'!B397="","",'Data Source'!AA397)</f>
        <v/>
      </c>
      <c r="J397" s="9">
        <f>IF('Data Source'!B397="","",'Data Source'!AB397)</f>
        <v/>
      </c>
      <c r="K397" s="9">
        <f>IF('Data Source'!B397="","",'Data Source'!AC397)</f>
        <v/>
      </c>
      <c r="L397" s="9">
        <f>IF('Data Source'!B397="","",'Data Source'!AD397)</f>
        <v/>
      </c>
      <c r="M397" s="9">
        <f>IF('Data Source'!B397="","",'Data Source'!AE397)</f>
        <v/>
      </c>
      <c r="N397" s="9">
        <f>IF('Data Source'!B397="","",'Data Source'!AF397)</f>
        <v/>
      </c>
      <c r="O397" s="9">
        <f>IF('Data Source'!B397="","",'Data Source'!AG397)</f>
        <v/>
      </c>
      <c r="P397" s="5">
        <f>IF('Data Source'!B397="","",'Data Source'!R397)</f>
        <v/>
      </c>
      <c r="Q397" s="3">
        <f>IF('Data Source'!B397="","",'Data Source'!S397)</f>
        <v/>
      </c>
    </row>
    <row r="398">
      <c r="A398" s="3">
        <f>IF('Data Source'!B398="","",'Data Source'!A398)</f>
        <v/>
      </c>
      <c r="B398">
        <f>IF('Data Source'!B398="","",'Data Source'!B398)</f>
        <v/>
      </c>
      <c r="C398" s="9">
        <f>IF('Data Source'!B398="","",'Data Source'!U398)</f>
        <v/>
      </c>
      <c r="D398" s="9">
        <f>IF('Data Source'!B398="","",'Data Source'!V398)</f>
        <v/>
      </c>
      <c r="E398" s="9">
        <f>IF('Data Source'!B398="","",'Data Source'!W398)</f>
        <v/>
      </c>
      <c r="F398" s="9">
        <f>IF('Data Source'!B398="","",'Data Source'!X398)</f>
        <v/>
      </c>
      <c r="G398" s="9">
        <f>IF('Data Source'!B398="","",'Data Source'!Y398)</f>
        <v/>
      </c>
      <c r="H398" s="9">
        <f>IF('Data Source'!B398="","",'Data Source'!Z398)</f>
        <v/>
      </c>
      <c r="I398" s="9">
        <f>IF('Data Source'!B398="","",'Data Source'!AA398)</f>
        <v/>
      </c>
      <c r="J398" s="9">
        <f>IF('Data Source'!B398="","",'Data Source'!AB398)</f>
        <v/>
      </c>
      <c r="K398" s="9">
        <f>IF('Data Source'!B398="","",'Data Source'!AC398)</f>
        <v/>
      </c>
      <c r="L398" s="9">
        <f>IF('Data Source'!B398="","",'Data Source'!AD398)</f>
        <v/>
      </c>
      <c r="M398" s="9">
        <f>IF('Data Source'!B398="","",'Data Source'!AE398)</f>
        <v/>
      </c>
      <c r="N398" s="9">
        <f>IF('Data Source'!B398="","",'Data Source'!AF398)</f>
        <v/>
      </c>
      <c r="O398" s="9">
        <f>IF('Data Source'!B398="","",'Data Source'!AG398)</f>
        <v/>
      </c>
      <c r="P398" s="5">
        <f>IF('Data Source'!B398="","",'Data Source'!R398)</f>
        <v/>
      </c>
      <c r="Q398" s="3">
        <f>IF('Data Source'!B398="","",'Data Source'!S398)</f>
        <v/>
      </c>
    </row>
    <row r="399">
      <c r="A399" s="3">
        <f>IF('Data Source'!B399="","",'Data Source'!A399)</f>
        <v/>
      </c>
      <c r="B399">
        <f>IF('Data Source'!B399="","",'Data Source'!B399)</f>
        <v/>
      </c>
      <c r="C399" s="9">
        <f>IF('Data Source'!B399="","",'Data Source'!U399)</f>
        <v/>
      </c>
      <c r="D399" s="9">
        <f>IF('Data Source'!B399="","",'Data Source'!V399)</f>
        <v/>
      </c>
      <c r="E399" s="9">
        <f>IF('Data Source'!B399="","",'Data Source'!W399)</f>
        <v/>
      </c>
      <c r="F399" s="9">
        <f>IF('Data Source'!B399="","",'Data Source'!X399)</f>
        <v/>
      </c>
      <c r="G399" s="9">
        <f>IF('Data Source'!B399="","",'Data Source'!Y399)</f>
        <v/>
      </c>
      <c r="H399" s="9">
        <f>IF('Data Source'!B399="","",'Data Source'!Z399)</f>
        <v/>
      </c>
      <c r="I399" s="9">
        <f>IF('Data Source'!B399="","",'Data Source'!AA399)</f>
        <v/>
      </c>
      <c r="J399" s="9">
        <f>IF('Data Source'!B399="","",'Data Source'!AB399)</f>
        <v/>
      </c>
      <c r="K399" s="9">
        <f>IF('Data Source'!B399="","",'Data Source'!AC399)</f>
        <v/>
      </c>
      <c r="L399" s="9">
        <f>IF('Data Source'!B399="","",'Data Source'!AD399)</f>
        <v/>
      </c>
      <c r="M399" s="9">
        <f>IF('Data Source'!B399="","",'Data Source'!AE399)</f>
        <v/>
      </c>
      <c r="N399" s="9">
        <f>IF('Data Source'!B399="","",'Data Source'!AF399)</f>
        <v/>
      </c>
      <c r="O399" s="9">
        <f>IF('Data Source'!B399="","",'Data Source'!AG399)</f>
        <v/>
      </c>
      <c r="P399" s="5">
        <f>IF('Data Source'!B399="","",'Data Source'!R399)</f>
        <v/>
      </c>
      <c r="Q399" s="3">
        <f>IF('Data Source'!B399="","",'Data Source'!S399)</f>
        <v/>
      </c>
    </row>
    <row r="400">
      <c r="A400" s="3">
        <f>IF('Data Source'!B400="","",'Data Source'!A400)</f>
        <v/>
      </c>
      <c r="B400">
        <f>IF('Data Source'!B400="","",'Data Source'!B400)</f>
        <v/>
      </c>
      <c r="C400" s="9">
        <f>IF('Data Source'!B400="","",'Data Source'!U400)</f>
        <v/>
      </c>
      <c r="D400" s="9">
        <f>IF('Data Source'!B400="","",'Data Source'!V400)</f>
        <v/>
      </c>
      <c r="E400" s="9">
        <f>IF('Data Source'!B400="","",'Data Source'!W400)</f>
        <v/>
      </c>
      <c r="F400" s="9">
        <f>IF('Data Source'!B400="","",'Data Source'!X400)</f>
        <v/>
      </c>
      <c r="G400" s="9">
        <f>IF('Data Source'!B400="","",'Data Source'!Y400)</f>
        <v/>
      </c>
      <c r="H400" s="9">
        <f>IF('Data Source'!B400="","",'Data Source'!Z400)</f>
        <v/>
      </c>
      <c r="I400" s="9">
        <f>IF('Data Source'!B400="","",'Data Source'!AA400)</f>
        <v/>
      </c>
      <c r="J400" s="9">
        <f>IF('Data Source'!B400="","",'Data Source'!AB400)</f>
        <v/>
      </c>
      <c r="K400" s="9">
        <f>IF('Data Source'!B400="","",'Data Source'!AC400)</f>
        <v/>
      </c>
      <c r="L400" s="9">
        <f>IF('Data Source'!B400="","",'Data Source'!AD400)</f>
        <v/>
      </c>
      <c r="M400" s="9">
        <f>IF('Data Source'!B400="","",'Data Source'!AE400)</f>
        <v/>
      </c>
      <c r="N400" s="9">
        <f>IF('Data Source'!B400="","",'Data Source'!AF400)</f>
        <v/>
      </c>
      <c r="O400" s="9">
        <f>IF('Data Source'!B400="","",'Data Source'!AG400)</f>
        <v/>
      </c>
      <c r="P400" s="5">
        <f>IF('Data Source'!B400="","",'Data Source'!R400)</f>
        <v/>
      </c>
      <c r="Q400" s="3">
        <f>IF('Data Source'!B400="","",'Data Source'!S400)</f>
        <v/>
      </c>
    </row>
    <row r="401">
      <c r="A401" s="3">
        <f>IF('Data Source'!B401="","",'Data Source'!A401)</f>
        <v/>
      </c>
      <c r="B401">
        <f>IF('Data Source'!B401="","",'Data Source'!B401)</f>
        <v/>
      </c>
      <c r="C401" s="9">
        <f>IF('Data Source'!B401="","",'Data Source'!U401)</f>
        <v/>
      </c>
      <c r="D401" s="9">
        <f>IF('Data Source'!B401="","",'Data Source'!V401)</f>
        <v/>
      </c>
      <c r="E401" s="9">
        <f>IF('Data Source'!B401="","",'Data Source'!W401)</f>
        <v/>
      </c>
      <c r="F401" s="9">
        <f>IF('Data Source'!B401="","",'Data Source'!X401)</f>
        <v/>
      </c>
      <c r="G401" s="9">
        <f>IF('Data Source'!B401="","",'Data Source'!Y401)</f>
        <v/>
      </c>
      <c r="H401" s="9">
        <f>IF('Data Source'!B401="","",'Data Source'!Z401)</f>
        <v/>
      </c>
      <c r="I401" s="9">
        <f>IF('Data Source'!B401="","",'Data Source'!AA401)</f>
        <v/>
      </c>
      <c r="J401" s="9">
        <f>IF('Data Source'!B401="","",'Data Source'!AB401)</f>
        <v/>
      </c>
      <c r="K401" s="9">
        <f>IF('Data Source'!B401="","",'Data Source'!AC401)</f>
        <v/>
      </c>
      <c r="L401" s="9">
        <f>IF('Data Source'!B401="","",'Data Source'!AD401)</f>
        <v/>
      </c>
      <c r="M401" s="9">
        <f>IF('Data Source'!B401="","",'Data Source'!AE401)</f>
        <v/>
      </c>
      <c r="N401" s="9">
        <f>IF('Data Source'!B401="","",'Data Source'!AF401)</f>
        <v/>
      </c>
      <c r="O401" s="9">
        <f>IF('Data Source'!B401="","",'Data Source'!AG401)</f>
        <v/>
      </c>
      <c r="P401" s="5">
        <f>IF('Data Source'!B401="","",'Data Source'!R401)</f>
        <v/>
      </c>
      <c r="Q401" s="3">
        <f>IF('Data Source'!B401="","",'Data Source'!S401)</f>
        <v/>
      </c>
    </row>
    <row r="402">
      <c r="A402" s="3">
        <f>IF('Data Source'!B402="","",'Data Source'!A402)</f>
        <v/>
      </c>
      <c r="B402">
        <f>IF('Data Source'!B402="","",'Data Source'!B402)</f>
        <v/>
      </c>
      <c r="C402" s="9">
        <f>IF('Data Source'!B402="","",'Data Source'!U402)</f>
        <v/>
      </c>
      <c r="D402" s="9">
        <f>IF('Data Source'!B402="","",'Data Source'!V402)</f>
        <v/>
      </c>
      <c r="E402" s="9">
        <f>IF('Data Source'!B402="","",'Data Source'!W402)</f>
        <v/>
      </c>
      <c r="F402" s="9">
        <f>IF('Data Source'!B402="","",'Data Source'!X402)</f>
        <v/>
      </c>
      <c r="G402" s="9">
        <f>IF('Data Source'!B402="","",'Data Source'!Y402)</f>
        <v/>
      </c>
      <c r="H402" s="9">
        <f>IF('Data Source'!B402="","",'Data Source'!Z402)</f>
        <v/>
      </c>
      <c r="I402" s="9">
        <f>IF('Data Source'!B402="","",'Data Source'!AA402)</f>
        <v/>
      </c>
      <c r="J402" s="9">
        <f>IF('Data Source'!B402="","",'Data Source'!AB402)</f>
        <v/>
      </c>
      <c r="K402" s="9">
        <f>IF('Data Source'!B402="","",'Data Source'!AC402)</f>
        <v/>
      </c>
      <c r="L402" s="9">
        <f>IF('Data Source'!B402="","",'Data Source'!AD402)</f>
        <v/>
      </c>
      <c r="M402" s="9">
        <f>IF('Data Source'!B402="","",'Data Source'!AE402)</f>
        <v/>
      </c>
      <c r="N402" s="9">
        <f>IF('Data Source'!B402="","",'Data Source'!AF402)</f>
        <v/>
      </c>
      <c r="O402" s="9">
        <f>IF('Data Source'!B402="","",'Data Source'!AG402)</f>
        <v/>
      </c>
      <c r="P402" s="5">
        <f>IF('Data Source'!B402="","",'Data Source'!R402)</f>
        <v/>
      </c>
      <c r="Q402" s="3">
        <f>IF('Data Source'!B402="","",'Data Source'!S402)</f>
        <v/>
      </c>
    </row>
    <row r="403">
      <c r="A403" s="3">
        <f>IF('Data Source'!B403="","",'Data Source'!A403)</f>
        <v/>
      </c>
      <c r="B403">
        <f>IF('Data Source'!B403="","",'Data Source'!B403)</f>
        <v/>
      </c>
      <c r="C403" s="9">
        <f>IF('Data Source'!B403="","",'Data Source'!U403)</f>
        <v/>
      </c>
      <c r="D403" s="9">
        <f>IF('Data Source'!B403="","",'Data Source'!V403)</f>
        <v/>
      </c>
      <c r="E403" s="9">
        <f>IF('Data Source'!B403="","",'Data Source'!W403)</f>
        <v/>
      </c>
      <c r="F403" s="9">
        <f>IF('Data Source'!B403="","",'Data Source'!X403)</f>
        <v/>
      </c>
      <c r="G403" s="9">
        <f>IF('Data Source'!B403="","",'Data Source'!Y403)</f>
        <v/>
      </c>
      <c r="H403" s="9">
        <f>IF('Data Source'!B403="","",'Data Source'!Z403)</f>
        <v/>
      </c>
      <c r="I403" s="9">
        <f>IF('Data Source'!B403="","",'Data Source'!AA403)</f>
        <v/>
      </c>
      <c r="J403" s="9">
        <f>IF('Data Source'!B403="","",'Data Source'!AB403)</f>
        <v/>
      </c>
      <c r="K403" s="9">
        <f>IF('Data Source'!B403="","",'Data Source'!AC403)</f>
        <v/>
      </c>
      <c r="L403" s="9">
        <f>IF('Data Source'!B403="","",'Data Source'!AD403)</f>
        <v/>
      </c>
      <c r="M403" s="9">
        <f>IF('Data Source'!B403="","",'Data Source'!AE403)</f>
        <v/>
      </c>
      <c r="N403" s="9">
        <f>IF('Data Source'!B403="","",'Data Source'!AF403)</f>
        <v/>
      </c>
      <c r="O403" s="9">
        <f>IF('Data Source'!B403="","",'Data Source'!AG403)</f>
        <v/>
      </c>
      <c r="P403" s="5">
        <f>IF('Data Source'!B403="","",'Data Source'!R403)</f>
        <v/>
      </c>
      <c r="Q403" s="3">
        <f>IF('Data Source'!B403="","",'Data Source'!S403)</f>
        <v/>
      </c>
    </row>
    <row r="404">
      <c r="A404" s="3">
        <f>IF('Data Source'!B404="","",'Data Source'!A404)</f>
        <v/>
      </c>
      <c r="B404">
        <f>IF('Data Source'!B404="","",'Data Source'!B404)</f>
        <v/>
      </c>
      <c r="C404" s="9">
        <f>IF('Data Source'!B404="","",'Data Source'!U404)</f>
        <v/>
      </c>
      <c r="D404" s="9">
        <f>IF('Data Source'!B404="","",'Data Source'!V404)</f>
        <v/>
      </c>
      <c r="E404" s="9">
        <f>IF('Data Source'!B404="","",'Data Source'!W404)</f>
        <v/>
      </c>
      <c r="F404" s="9">
        <f>IF('Data Source'!B404="","",'Data Source'!X404)</f>
        <v/>
      </c>
      <c r="G404" s="9">
        <f>IF('Data Source'!B404="","",'Data Source'!Y404)</f>
        <v/>
      </c>
      <c r="H404" s="9">
        <f>IF('Data Source'!B404="","",'Data Source'!Z404)</f>
        <v/>
      </c>
      <c r="I404" s="9">
        <f>IF('Data Source'!B404="","",'Data Source'!AA404)</f>
        <v/>
      </c>
      <c r="J404" s="9">
        <f>IF('Data Source'!B404="","",'Data Source'!AB404)</f>
        <v/>
      </c>
      <c r="K404" s="9">
        <f>IF('Data Source'!B404="","",'Data Source'!AC404)</f>
        <v/>
      </c>
      <c r="L404" s="9">
        <f>IF('Data Source'!B404="","",'Data Source'!AD404)</f>
        <v/>
      </c>
      <c r="M404" s="9">
        <f>IF('Data Source'!B404="","",'Data Source'!AE404)</f>
        <v/>
      </c>
      <c r="N404" s="9">
        <f>IF('Data Source'!B404="","",'Data Source'!AF404)</f>
        <v/>
      </c>
      <c r="O404" s="9">
        <f>IF('Data Source'!B404="","",'Data Source'!AG404)</f>
        <v/>
      </c>
      <c r="P404" s="5">
        <f>IF('Data Source'!B404="","",'Data Source'!R404)</f>
        <v/>
      </c>
      <c r="Q404" s="3">
        <f>IF('Data Source'!B404="","",'Data Source'!S404)</f>
        <v/>
      </c>
    </row>
    <row r="405">
      <c r="A405" s="3">
        <f>IF('Data Source'!B405="","",'Data Source'!A405)</f>
        <v/>
      </c>
      <c r="B405">
        <f>IF('Data Source'!B405="","",'Data Source'!B405)</f>
        <v/>
      </c>
      <c r="C405" s="9">
        <f>IF('Data Source'!B405="","",'Data Source'!U405)</f>
        <v/>
      </c>
      <c r="D405" s="9">
        <f>IF('Data Source'!B405="","",'Data Source'!V405)</f>
        <v/>
      </c>
      <c r="E405" s="9">
        <f>IF('Data Source'!B405="","",'Data Source'!W405)</f>
        <v/>
      </c>
      <c r="F405" s="9">
        <f>IF('Data Source'!B405="","",'Data Source'!X405)</f>
        <v/>
      </c>
      <c r="G405" s="9">
        <f>IF('Data Source'!B405="","",'Data Source'!Y405)</f>
        <v/>
      </c>
      <c r="H405" s="9">
        <f>IF('Data Source'!B405="","",'Data Source'!Z405)</f>
        <v/>
      </c>
      <c r="I405" s="9">
        <f>IF('Data Source'!B405="","",'Data Source'!AA405)</f>
        <v/>
      </c>
      <c r="J405" s="9">
        <f>IF('Data Source'!B405="","",'Data Source'!AB405)</f>
        <v/>
      </c>
      <c r="K405" s="9">
        <f>IF('Data Source'!B405="","",'Data Source'!AC405)</f>
        <v/>
      </c>
      <c r="L405" s="9">
        <f>IF('Data Source'!B405="","",'Data Source'!AD405)</f>
        <v/>
      </c>
      <c r="M405" s="9">
        <f>IF('Data Source'!B405="","",'Data Source'!AE405)</f>
        <v/>
      </c>
      <c r="N405" s="9">
        <f>IF('Data Source'!B405="","",'Data Source'!AF405)</f>
        <v/>
      </c>
      <c r="O405" s="9">
        <f>IF('Data Source'!B405="","",'Data Source'!AG405)</f>
        <v/>
      </c>
      <c r="P405" s="5">
        <f>IF('Data Source'!B405="","",'Data Source'!R405)</f>
        <v/>
      </c>
      <c r="Q405" s="3">
        <f>IF('Data Source'!B405="","",'Data Source'!S405)</f>
        <v/>
      </c>
    </row>
    <row r="406">
      <c r="A406" s="3">
        <f>IF('Data Source'!B406="","",'Data Source'!A406)</f>
        <v/>
      </c>
      <c r="B406">
        <f>IF('Data Source'!B406="","",'Data Source'!B406)</f>
        <v/>
      </c>
      <c r="C406" s="9">
        <f>IF('Data Source'!B406="","",'Data Source'!U406)</f>
        <v/>
      </c>
      <c r="D406" s="9">
        <f>IF('Data Source'!B406="","",'Data Source'!V406)</f>
        <v/>
      </c>
      <c r="E406" s="9">
        <f>IF('Data Source'!B406="","",'Data Source'!W406)</f>
        <v/>
      </c>
      <c r="F406" s="9">
        <f>IF('Data Source'!B406="","",'Data Source'!X406)</f>
        <v/>
      </c>
      <c r="G406" s="9">
        <f>IF('Data Source'!B406="","",'Data Source'!Y406)</f>
        <v/>
      </c>
      <c r="H406" s="9">
        <f>IF('Data Source'!B406="","",'Data Source'!Z406)</f>
        <v/>
      </c>
      <c r="I406" s="9">
        <f>IF('Data Source'!B406="","",'Data Source'!AA406)</f>
        <v/>
      </c>
      <c r="J406" s="9">
        <f>IF('Data Source'!B406="","",'Data Source'!AB406)</f>
        <v/>
      </c>
      <c r="K406" s="9">
        <f>IF('Data Source'!B406="","",'Data Source'!AC406)</f>
        <v/>
      </c>
      <c r="L406" s="9">
        <f>IF('Data Source'!B406="","",'Data Source'!AD406)</f>
        <v/>
      </c>
      <c r="M406" s="9">
        <f>IF('Data Source'!B406="","",'Data Source'!AE406)</f>
        <v/>
      </c>
      <c r="N406" s="9">
        <f>IF('Data Source'!B406="","",'Data Source'!AF406)</f>
        <v/>
      </c>
      <c r="O406" s="9">
        <f>IF('Data Source'!B406="","",'Data Source'!AG406)</f>
        <v/>
      </c>
      <c r="P406" s="5">
        <f>IF('Data Source'!B406="","",'Data Source'!R406)</f>
        <v/>
      </c>
      <c r="Q406" s="3">
        <f>IF('Data Source'!B406="","",'Data Source'!S406)</f>
        <v/>
      </c>
    </row>
    <row r="407">
      <c r="A407" s="3">
        <f>IF('Data Source'!B407="","",'Data Source'!A407)</f>
        <v/>
      </c>
      <c r="B407">
        <f>IF('Data Source'!B407="","",'Data Source'!B407)</f>
        <v/>
      </c>
      <c r="C407" s="9">
        <f>IF('Data Source'!B407="","",'Data Source'!U407)</f>
        <v/>
      </c>
      <c r="D407" s="9">
        <f>IF('Data Source'!B407="","",'Data Source'!V407)</f>
        <v/>
      </c>
      <c r="E407" s="9">
        <f>IF('Data Source'!B407="","",'Data Source'!W407)</f>
        <v/>
      </c>
      <c r="F407" s="9">
        <f>IF('Data Source'!B407="","",'Data Source'!X407)</f>
        <v/>
      </c>
      <c r="G407" s="9">
        <f>IF('Data Source'!B407="","",'Data Source'!Y407)</f>
        <v/>
      </c>
      <c r="H407" s="9">
        <f>IF('Data Source'!B407="","",'Data Source'!Z407)</f>
        <v/>
      </c>
      <c r="I407" s="9">
        <f>IF('Data Source'!B407="","",'Data Source'!AA407)</f>
        <v/>
      </c>
      <c r="J407" s="9">
        <f>IF('Data Source'!B407="","",'Data Source'!AB407)</f>
        <v/>
      </c>
      <c r="K407" s="9">
        <f>IF('Data Source'!B407="","",'Data Source'!AC407)</f>
        <v/>
      </c>
      <c r="L407" s="9">
        <f>IF('Data Source'!B407="","",'Data Source'!AD407)</f>
        <v/>
      </c>
      <c r="M407" s="9">
        <f>IF('Data Source'!B407="","",'Data Source'!AE407)</f>
        <v/>
      </c>
      <c r="N407" s="9">
        <f>IF('Data Source'!B407="","",'Data Source'!AF407)</f>
        <v/>
      </c>
      <c r="O407" s="9">
        <f>IF('Data Source'!B407="","",'Data Source'!AG407)</f>
        <v/>
      </c>
      <c r="P407" s="5">
        <f>IF('Data Source'!B407="","",'Data Source'!R407)</f>
        <v/>
      </c>
      <c r="Q407" s="3">
        <f>IF('Data Source'!B407="","",'Data Source'!S407)</f>
        <v/>
      </c>
    </row>
    <row r="408">
      <c r="A408" s="3">
        <f>IF('Data Source'!B408="","",'Data Source'!A408)</f>
        <v/>
      </c>
      <c r="B408">
        <f>IF('Data Source'!B408="","",'Data Source'!B408)</f>
        <v/>
      </c>
      <c r="C408" s="9">
        <f>IF('Data Source'!B408="","",'Data Source'!U408)</f>
        <v/>
      </c>
      <c r="D408" s="9">
        <f>IF('Data Source'!B408="","",'Data Source'!V408)</f>
        <v/>
      </c>
      <c r="E408" s="9">
        <f>IF('Data Source'!B408="","",'Data Source'!W408)</f>
        <v/>
      </c>
      <c r="F408" s="9">
        <f>IF('Data Source'!B408="","",'Data Source'!X408)</f>
        <v/>
      </c>
      <c r="G408" s="9">
        <f>IF('Data Source'!B408="","",'Data Source'!Y408)</f>
        <v/>
      </c>
      <c r="H408" s="9">
        <f>IF('Data Source'!B408="","",'Data Source'!Z408)</f>
        <v/>
      </c>
      <c r="I408" s="9">
        <f>IF('Data Source'!B408="","",'Data Source'!AA408)</f>
        <v/>
      </c>
      <c r="J408" s="9">
        <f>IF('Data Source'!B408="","",'Data Source'!AB408)</f>
        <v/>
      </c>
      <c r="K408" s="9">
        <f>IF('Data Source'!B408="","",'Data Source'!AC408)</f>
        <v/>
      </c>
      <c r="L408" s="9">
        <f>IF('Data Source'!B408="","",'Data Source'!AD408)</f>
        <v/>
      </c>
      <c r="M408" s="9">
        <f>IF('Data Source'!B408="","",'Data Source'!AE408)</f>
        <v/>
      </c>
      <c r="N408" s="9">
        <f>IF('Data Source'!B408="","",'Data Source'!AF408)</f>
        <v/>
      </c>
      <c r="O408" s="9">
        <f>IF('Data Source'!B408="","",'Data Source'!AG408)</f>
        <v/>
      </c>
      <c r="P408" s="5">
        <f>IF('Data Source'!B408="","",'Data Source'!R408)</f>
        <v/>
      </c>
      <c r="Q408" s="3">
        <f>IF('Data Source'!B408="","",'Data Source'!S408)</f>
        <v/>
      </c>
    </row>
    <row r="409">
      <c r="A409" s="3">
        <f>IF('Data Source'!B409="","",'Data Source'!A409)</f>
        <v/>
      </c>
      <c r="B409">
        <f>IF('Data Source'!B409="","",'Data Source'!B409)</f>
        <v/>
      </c>
      <c r="C409" s="9">
        <f>IF('Data Source'!B409="","",'Data Source'!U409)</f>
        <v/>
      </c>
      <c r="D409" s="9">
        <f>IF('Data Source'!B409="","",'Data Source'!V409)</f>
        <v/>
      </c>
      <c r="E409" s="9">
        <f>IF('Data Source'!B409="","",'Data Source'!W409)</f>
        <v/>
      </c>
      <c r="F409" s="9">
        <f>IF('Data Source'!B409="","",'Data Source'!X409)</f>
        <v/>
      </c>
      <c r="G409" s="9">
        <f>IF('Data Source'!B409="","",'Data Source'!Y409)</f>
        <v/>
      </c>
      <c r="H409" s="9">
        <f>IF('Data Source'!B409="","",'Data Source'!Z409)</f>
        <v/>
      </c>
      <c r="I409" s="9">
        <f>IF('Data Source'!B409="","",'Data Source'!AA409)</f>
        <v/>
      </c>
      <c r="J409" s="9">
        <f>IF('Data Source'!B409="","",'Data Source'!AB409)</f>
        <v/>
      </c>
      <c r="K409" s="9">
        <f>IF('Data Source'!B409="","",'Data Source'!AC409)</f>
        <v/>
      </c>
      <c r="L409" s="9">
        <f>IF('Data Source'!B409="","",'Data Source'!AD409)</f>
        <v/>
      </c>
      <c r="M409" s="9">
        <f>IF('Data Source'!B409="","",'Data Source'!AE409)</f>
        <v/>
      </c>
      <c r="N409" s="9">
        <f>IF('Data Source'!B409="","",'Data Source'!AF409)</f>
        <v/>
      </c>
      <c r="O409" s="9">
        <f>IF('Data Source'!B409="","",'Data Source'!AG409)</f>
        <v/>
      </c>
      <c r="P409" s="5">
        <f>IF('Data Source'!B409="","",'Data Source'!R409)</f>
        <v/>
      </c>
      <c r="Q409" s="3">
        <f>IF('Data Source'!B409="","",'Data Source'!S409)</f>
        <v/>
      </c>
    </row>
    <row r="410">
      <c r="A410" s="3">
        <f>IF('Data Source'!B410="","",'Data Source'!A410)</f>
        <v/>
      </c>
      <c r="B410">
        <f>IF('Data Source'!B410="","",'Data Source'!B410)</f>
        <v/>
      </c>
      <c r="C410" s="9">
        <f>IF('Data Source'!B410="","",'Data Source'!U410)</f>
        <v/>
      </c>
      <c r="D410" s="9">
        <f>IF('Data Source'!B410="","",'Data Source'!V410)</f>
        <v/>
      </c>
      <c r="E410" s="9">
        <f>IF('Data Source'!B410="","",'Data Source'!W410)</f>
        <v/>
      </c>
      <c r="F410" s="9">
        <f>IF('Data Source'!B410="","",'Data Source'!X410)</f>
        <v/>
      </c>
      <c r="G410" s="9">
        <f>IF('Data Source'!B410="","",'Data Source'!Y410)</f>
        <v/>
      </c>
      <c r="H410" s="9">
        <f>IF('Data Source'!B410="","",'Data Source'!Z410)</f>
        <v/>
      </c>
      <c r="I410" s="9">
        <f>IF('Data Source'!B410="","",'Data Source'!AA410)</f>
        <v/>
      </c>
      <c r="J410" s="9">
        <f>IF('Data Source'!B410="","",'Data Source'!AB410)</f>
        <v/>
      </c>
      <c r="K410" s="9">
        <f>IF('Data Source'!B410="","",'Data Source'!AC410)</f>
        <v/>
      </c>
      <c r="L410" s="9">
        <f>IF('Data Source'!B410="","",'Data Source'!AD410)</f>
        <v/>
      </c>
      <c r="M410" s="9">
        <f>IF('Data Source'!B410="","",'Data Source'!AE410)</f>
        <v/>
      </c>
      <c r="N410" s="9">
        <f>IF('Data Source'!B410="","",'Data Source'!AF410)</f>
        <v/>
      </c>
      <c r="O410" s="9">
        <f>IF('Data Source'!B410="","",'Data Source'!AG410)</f>
        <v/>
      </c>
      <c r="P410" s="5">
        <f>IF('Data Source'!B410="","",'Data Source'!R410)</f>
        <v/>
      </c>
      <c r="Q410" s="3">
        <f>IF('Data Source'!B410="","",'Data Source'!S410)</f>
        <v/>
      </c>
    </row>
    <row r="411">
      <c r="A411" s="3">
        <f>IF('Data Source'!B411="","",'Data Source'!A411)</f>
        <v/>
      </c>
      <c r="B411">
        <f>IF('Data Source'!B411="","",'Data Source'!B411)</f>
        <v/>
      </c>
      <c r="C411" s="9">
        <f>IF('Data Source'!B411="","",'Data Source'!U411)</f>
        <v/>
      </c>
      <c r="D411" s="9">
        <f>IF('Data Source'!B411="","",'Data Source'!V411)</f>
        <v/>
      </c>
      <c r="E411" s="9">
        <f>IF('Data Source'!B411="","",'Data Source'!W411)</f>
        <v/>
      </c>
      <c r="F411" s="9">
        <f>IF('Data Source'!B411="","",'Data Source'!X411)</f>
        <v/>
      </c>
      <c r="G411" s="9">
        <f>IF('Data Source'!B411="","",'Data Source'!Y411)</f>
        <v/>
      </c>
      <c r="H411" s="9">
        <f>IF('Data Source'!B411="","",'Data Source'!Z411)</f>
        <v/>
      </c>
      <c r="I411" s="9">
        <f>IF('Data Source'!B411="","",'Data Source'!AA411)</f>
        <v/>
      </c>
      <c r="J411" s="9">
        <f>IF('Data Source'!B411="","",'Data Source'!AB411)</f>
        <v/>
      </c>
      <c r="K411" s="9">
        <f>IF('Data Source'!B411="","",'Data Source'!AC411)</f>
        <v/>
      </c>
      <c r="L411" s="9">
        <f>IF('Data Source'!B411="","",'Data Source'!AD411)</f>
        <v/>
      </c>
      <c r="M411" s="9">
        <f>IF('Data Source'!B411="","",'Data Source'!AE411)</f>
        <v/>
      </c>
      <c r="N411" s="9">
        <f>IF('Data Source'!B411="","",'Data Source'!AF411)</f>
        <v/>
      </c>
      <c r="O411" s="9">
        <f>IF('Data Source'!B411="","",'Data Source'!AG411)</f>
        <v/>
      </c>
      <c r="P411" s="5">
        <f>IF('Data Source'!B411="","",'Data Source'!R411)</f>
        <v/>
      </c>
      <c r="Q411" s="3">
        <f>IF('Data Source'!B411="","",'Data Source'!S411)</f>
        <v/>
      </c>
    </row>
    <row r="412">
      <c r="A412" s="3">
        <f>IF('Data Source'!B412="","",'Data Source'!A412)</f>
        <v/>
      </c>
      <c r="B412">
        <f>IF('Data Source'!B412="","",'Data Source'!B412)</f>
        <v/>
      </c>
      <c r="C412" s="9">
        <f>IF('Data Source'!B412="","",'Data Source'!U412)</f>
        <v/>
      </c>
      <c r="D412" s="9">
        <f>IF('Data Source'!B412="","",'Data Source'!V412)</f>
        <v/>
      </c>
      <c r="E412" s="9">
        <f>IF('Data Source'!B412="","",'Data Source'!W412)</f>
        <v/>
      </c>
      <c r="F412" s="9">
        <f>IF('Data Source'!B412="","",'Data Source'!X412)</f>
        <v/>
      </c>
      <c r="G412" s="9">
        <f>IF('Data Source'!B412="","",'Data Source'!Y412)</f>
        <v/>
      </c>
      <c r="H412" s="9">
        <f>IF('Data Source'!B412="","",'Data Source'!Z412)</f>
        <v/>
      </c>
      <c r="I412" s="9">
        <f>IF('Data Source'!B412="","",'Data Source'!AA412)</f>
        <v/>
      </c>
      <c r="J412" s="9">
        <f>IF('Data Source'!B412="","",'Data Source'!AB412)</f>
        <v/>
      </c>
      <c r="K412" s="9">
        <f>IF('Data Source'!B412="","",'Data Source'!AC412)</f>
        <v/>
      </c>
      <c r="L412" s="9">
        <f>IF('Data Source'!B412="","",'Data Source'!AD412)</f>
        <v/>
      </c>
      <c r="M412" s="9">
        <f>IF('Data Source'!B412="","",'Data Source'!AE412)</f>
        <v/>
      </c>
      <c r="N412" s="9">
        <f>IF('Data Source'!B412="","",'Data Source'!AF412)</f>
        <v/>
      </c>
      <c r="O412" s="9">
        <f>IF('Data Source'!B412="","",'Data Source'!AG412)</f>
        <v/>
      </c>
      <c r="P412" s="5">
        <f>IF('Data Source'!B412="","",'Data Source'!R412)</f>
        <v/>
      </c>
      <c r="Q412" s="3">
        <f>IF('Data Source'!B412="","",'Data Source'!S412)</f>
        <v/>
      </c>
    </row>
    <row r="413">
      <c r="A413" s="3">
        <f>IF('Data Source'!B413="","",'Data Source'!A413)</f>
        <v/>
      </c>
      <c r="B413">
        <f>IF('Data Source'!B413="","",'Data Source'!B413)</f>
        <v/>
      </c>
      <c r="C413" s="9">
        <f>IF('Data Source'!B413="","",'Data Source'!U413)</f>
        <v/>
      </c>
      <c r="D413" s="9">
        <f>IF('Data Source'!B413="","",'Data Source'!V413)</f>
        <v/>
      </c>
      <c r="E413" s="9">
        <f>IF('Data Source'!B413="","",'Data Source'!W413)</f>
        <v/>
      </c>
      <c r="F413" s="9">
        <f>IF('Data Source'!B413="","",'Data Source'!X413)</f>
        <v/>
      </c>
      <c r="G413" s="9">
        <f>IF('Data Source'!B413="","",'Data Source'!Y413)</f>
        <v/>
      </c>
      <c r="H413" s="9">
        <f>IF('Data Source'!B413="","",'Data Source'!Z413)</f>
        <v/>
      </c>
      <c r="I413" s="9">
        <f>IF('Data Source'!B413="","",'Data Source'!AA413)</f>
        <v/>
      </c>
      <c r="J413" s="9">
        <f>IF('Data Source'!B413="","",'Data Source'!AB413)</f>
        <v/>
      </c>
      <c r="K413" s="9">
        <f>IF('Data Source'!B413="","",'Data Source'!AC413)</f>
        <v/>
      </c>
      <c r="L413" s="9">
        <f>IF('Data Source'!B413="","",'Data Source'!AD413)</f>
        <v/>
      </c>
      <c r="M413" s="9">
        <f>IF('Data Source'!B413="","",'Data Source'!AE413)</f>
        <v/>
      </c>
      <c r="N413" s="9">
        <f>IF('Data Source'!B413="","",'Data Source'!AF413)</f>
        <v/>
      </c>
      <c r="O413" s="9">
        <f>IF('Data Source'!B413="","",'Data Source'!AG413)</f>
        <v/>
      </c>
      <c r="P413" s="5">
        <f>IF('Data Source'!B413="","",'Data Source'!R413)</f>
        <v/>
      </c>
      <c r="Q413" s="3">
        <f>IF('Data Source'!B413="","",'Data Source'!S413)</f>
        <v/>
      </c>
    </row>
    <row r="414">
      <c r="A414" s="3">
        <f>IF('Data Source'!B414="","",'Data Source'!A414)</f>
        <v/>
      </c>
      <c r="B414">
        <f>IF('Data Source'!B414="","",'Data Source'!B414)</f>
        <v/>
      </c>
      <c r="C414" s="9">
        <f>IF('Data Source'!B414="","",'Data Source'!U414)</f>
        <v/>
      </c>
      <c r="D414" s="9">
        <f>IF('Data Source'!B414="","",'Data Source'!V414)</f>
        <v/>
      </c>
      <c r="E414" s="9">
        <f>IF('Data Source'!B414="","",'Data Source'!W414)</f>
        <v/>
      </c>
      <c r="F414" s="9">
        <f>IF('Data Source'!B414="","",'Data Source'!X414)</f>
        <v/>
      </c>
      <c r="G414" s="9">
        <f>IF('Data Source'!B414="","",'Data Source'!Y414)</f>
        <v/>
      </c>
      <c r="H414" s="9">
        <f>IF('Data Source'!B414="","",'Data Source'!Z414)</f>
        <v/>
      </c>
      <c r="I414" s="9">
        <f>IF('Data Source'!B414="","",'Data Source'!AA414)</f>
        <v/>
      </c>
      <c r="J414" s="9">
        <f>IF('Data Source'!B414="","",'Data Source'!AB414)</f>
        <v/>
      </c>
      <c r="K414" s="9">
        <f>IF('Data Source'!B414="","",'Data Source'!AC414)</f>
        <v/>
      </c>
      <c r="L414" s="9">
        <f>IF('Data Source'!B414="","",'Data Source'!AD414)</f>
        <v/>
      </c>
      <c r="M414" s="9">
        <f>IF('Data Source'!B414="","",'Data Source'!AE414)</f>
        <v/>
      </c>
      <c r="N414" s="9">
        <f>IF('Data Source'!B414="","",'Data Source'!AF414)</f>
        <v/>
      </c>
      <c r="O414" s="9">
        <f>IF('Data Source'!B414="","",'Data Source'!AG414)</f>
        <v/>
      </c>
      <c r="P414" s="5">
        <f>IF('Data Source'!B414="","",'Data Source'!R414)</f>
        <v/>
      </c>
      <c r="Q414" s="3">
        <f>IF('Data Source'!B414="","",'Data Source'!S414)</f>
        <v/>
      </c>
    </row>
    <row r="415">
      <c r="A415" s="3">
        <f>IF('Data Source'!B415="","",'Data Source'!A415)</f>
        <v/>
      </c>
      <c r="B415">
        <f>IF('Data Source'!B415="","",'Data Source'!B415)</f>
        <v/>
      </c>
      <c r="C415" s="9">
        <f>IF('Data Source'!B415="","",'Data Source'!U415)</f>
        <v/>
      </c>
      <c r="D415" s="9">
        <f>IF('Data Source'!B415="","",'Data Source'!V415)</f>
        <v/>
      </c>
      <c r="E415" s="9">
        <f>IF('Data Source'!B415="","",'Data Source'!W415)</f>
        <v/>
      </c>
      <c r="F415" s="9">
        <f>IF('Data Source'!B415="","",'Data Source'!X415)</f>
        <v/>
      </c>
      <c r="G415" s="9">
        <f>IF('Data Source'!B415="","",'Data Source'!Y415)</f>
        <v/>
      </c>
      <c r="H415" s="9">
        <f>IF('Data Source'!B415="","",'Data Source'!Z415)</f>
        <v/>
      </c>
      <c r="I415" s="9">
        <f>IF('Data Source'!B415="","",'Data Source'!AA415)</f>
        <v/>
      </c>
      <c r="J415" s="9">
        <f>IF('Data Source'!B415="","",'Data Source'!AB415)</f>
        <v/>
      </c>
      <c r="K415" s="9">
        <f>IF('Data Source'!B415="","",'Data Source'!AC415)</f>
        <v/>
      </c>
      <c r="L415" s="9">
        <f>IF('Data Source'!B415="","",'Data Source'!AD415)</f>
        <v/>
      </c>
      <c r="M415" s="9">
        <f>IF('Data Source'!B415="","",'Data Source'!AE415)</f>
        <v/>
      </c>
      <c r="N415" s="9">
        <f>IF('Data Source'!B415="","",'Data Source'!AF415)</f>
        <v/>
      </c>
      <c r="O415" s="9">
        <f>IF('Data Source'!B415="","",'Data Source'!AG415)</f>
        <v/>
      </c>
      <c r="P415" s="5">
        <f>IF('Data Source'!B415="","",'Data Source'!R415)</f>
        <v/>
      </c>
      <c r="Q415" s="3">
        <f>IF('Data Source'!B415="","",'Data Source'!S415)</f>
        <v/>
      </c>
    </row>
    <row r="416">
      <c r="A416" s="3">
        <f>IF('Data Source'!B416="","",'Data Source'!A416)</f>
        <v/>
      </c>
      <c r="B416">
        <f>IF('Data Source'!B416="","",'Data Source'!B416)</f>
        <v/>
      </c>
      <c r="C416" s="9">
        <f>IF('Data Source'!B416="","",'Data Source'!U416)</f>
        <v/>
      </c>
      <c r="D416" s="9">
        <f>IF('Data Source'!B416="","",'Data Source'!V416)</f>
        <v/>
      </c>
      <c r="E416" s="9">
        <f>IF('Data Source'!B416="","",'Data Source'!W416)</f>
        <v/>
      </c>
      <c r="F416" s="9">
        <f>IF('Data Source'!B416="","",'Data Source'!X416)</f>
        <v/>
      </c>
      <c r="G416" s="9">
        <f>IF('Data Source'!B416="","",'Data Source'!Y416)</f>
        <v/>
      </c>
      <c r="H416" s="9">
        <f>IF('Data Source'!B416="","",'Data Source'!Z416)</f>
        <v/>
      </c>
      <c r="I416" s="9">
        <f>IF('Data Source'!B416="","",'Data Source'!AA416)</f>
        <v/>
      </c>
      <c r="J416" s="9">
        <f>IF('Data Source'!B416="","",'Data Source'!AB416)</f>
        <v/>
      </c>
      <c r="K416" s="9">
        <f>IF('Data Source'!B416="","",'Data Source'!AC416)</f>
        <v/>
      </c>
      <c r="L416" s="9">
        <f>IF('Data Source'!B416="","",'Data Source'!AD416)</f>
        <v/>
      </c>
      <c r="M416" s="9">
        <f>IF('Data Source'!B416="","",'Data Source'!AE416)</f>
        <v/>
      </c>
      <c r="N416" s="9">
        <f>IF('Data Source'!B416="","",'Data Source'!AF416)</f>
        <v/>
      </c>
      <c r="O416" s="9">
        <f>IF('Data Source'!B416="","",'Data Source'!AG416)</f>
        <v/>
      </c>
      <c r="P416" s="5">
        <f>IF('Data Source'!B416="","",'Data Source'!R416)</f>
        <v/>
      </c>
      <c r="Q416" s="3">
        <f>IF('Data Source'!B416="","",'Data Source'!S416)</f>
        <v/>
      </c>
    </row>
    <row r="417">
      <c r="A417" s="3">
        <f>IF('Data Source'!B417="","",'Data Source'!A417)</f>
        <v/>
      </c>
      <c r="B417">
        <f>IF('Data Source'!B417="","",'Data Source'!B417)</f>
        <v/>
      </c>
      <c r="C417" s="9">
        <f>IF('Data Source'!B417="","",'Data Source'!U417)</f>
        <v/>
      </c>
      <c r="D417" s="9">
        <f>IF('Data Source'!B417="","",'Data Source'!V417)</f>
        <v/>
      </c>
      <c r="E417" s="9">
        <f>IF('Data Source'!B417="","",'Data Source'!W417)</f>
        <v/>
      </c>
      <c r="F417" s="9">
        <f>IF('Data Source'!B417="","",'Data Source'!X417)</f>
        <v/>
      </c>
      <c r="G417" s="9">
        <f>IF('Data Source'!B417="","",'Data Source'!Y417)</f>
        <v/>
      </c>
      <c r="H417" s="9">
        <f>IF('Data Source'!B417="","",'Data Source'!Z417)</f>
        <v/>
      </c>
      <c r="I417" s="9">
        <f>IF('Data Source'!B417="","",'Data Source'!AA417)</f>
        <v/>
      </c>
      <c r="J417" s="9">
        <f>IF('Data Source'!B417="","",'Data Source'!AB417)</f>
        <v/>
      </c>
      <c r="K417" s="9">
        <f>IF('Data Source'!B417="","",'Data Source'!AC417)</f>
        <v/>
      </c>
      <c r="L417" s="9">
        <f>IF('Data Source'!B417="","",'Data Source'!AD417)</f>
        <v/>
      </c>
      <c r="M417" s="9">
        <f>IF('Data Source'!B417="","",'Data Source'!AE417)</f>
        <v/>
      </c>
      <c r="N417" s="9">
        <f>IF('Data Source'!B417="","",'Data Source'!AF417)</f>
        <v/>
      </c>
      <c r="O417" s="9">
        <f>IF('Data Source'!B417="","",'Data Source'!AG417)</f>
        <v/>
      </c>
      <c r="P417" s="5">
        <f>IF('Data Source'!B417="","",'Data Source'!R417)</f>
        <v/>
      </c>
      <c r="Q417" s="3">
        <f>IF('Data Source'!B417="","",'Data Source'!S417)</f>
        <v/>
      </c>
    </row>
    <row r="418">
      <c r="A418" s="3">
        <f>IF('Data Source'!B418="","",'Data Source'!A418)</f>
        <v/>
      </c>
      <c r="B418">
        <f>IF('Data Source'!B418="","",'Data Source'!B418)</f>
        <v/>
      </c>
      <c r="C418" s="9">
        <f>IF('Data Source'!B418="","",'Data Source'!U418)</f>
        <v/>
      </c>
      <c r="D418" s="9">
        <f>IF('Data Source'!B418="","",'Data Source'!V418)</f>
        <v/>
      </c>
      <c r="E418" s="9">
        <f>IF('Data Source'!B418="","",'Data Source'!W418)</f>
        <v/>
      </c>
      <c r="F418" s="9">
        <f>IF('Data Source'!B418="","",'Data Source'!X418)</f>
        <v/>
      </c>
      <c r="G418" s="9">
        <f>IF('Data Source'!B418="","",'Data Source'!Y418)</f>
        <v/>
      </c>
      <c r="H418" s="9">
        <f>IF('Data Source'!B418="","",'Data Source'!Z418)</f>
        <v/>
      </c>
      <c r="I418" s="9">
        <f>IF('Data Source'!B418="","",'Data Source'!AA418)</f>
        <v/>
      </c>
      <c r="J418" s="9">
        <f>IF('Data Source'!B418="","",'Data Source'!AB418)</f>
        <v/>
      </c>
      <c r="K418" s="9">
        <f>IF('Data Source'!B418="","",'Data Source'!AC418)</f>
        <v/>
      </c>
      <c r="L418" s="9">
        <f>IF('Data Source'!B418="","",'Data Source'!AD418)</f>
        <v/>
      </c>
      <c r="M418" s="9">
        <f>IF('Data Source'!B418="","",'Data Source'!AE418)</f>
        <v/>
      </c>
      <c r="N418" s="9">
        <f>IF('Data Source'!B418="","",'Data Source'!AF418)</f>
        <v/>
      </c>
      <c r="O418" s="9">
        <f>IF('Data Source'!B418="","",'Data Source'!AG418)</f>
        <v/>
      </c>
      <c r="P418" s="5">
        <f>IF('Data Source'!B418="","",'Data Source'!R418)</f>
        <v/>
      </c>
      <c r="Q418" s="3">
        <f>IF('Data Source'!B418="","",'Data Source'!S418)</f>
        <v/>
      </c>
    </row>
    <row r="419">
      <c r="A419" s="3">
        <f>IF('Data Source'!B419="","",'Data Source'!A419)</f>
        <v/>
      </c>
      <c r="B419">
        <f>IF('Data Source'!B419="","",'Data Source'!B419)</f>
        <v/>
      </c>
      <c r="C419" s="9">
        <f>IF('Data Source'!B419="","",'Data Source'!U419)</f>
        <v/>
      </c>
      <c r="D419" s="9">
        <f>IF('Data Source'!B419="","",'Data Source'!V419)</f>
        <v/>
      </c>
      <c r="E419" s="9">
        <f>IF('Data Source'!B419="","",'Data Source'!W419)</f>
        <v/>
      </c>
      <c r="F419" s="9">
        <f>IF('Data Source'!B419="","",'Data Source'!X419)</f>
        <v/>
      </c>
      <c r="G419" s="9">
        <f>IF('Data Source'!B419="","",'Data Source'!Y419)</f>
        <v/>
      </c>
      <c r="H419" s="9">
        <f>IF('Data Source'!B419="","",'Data Source'!Z419)</f>
        <v/>
      </c>
      <c r="I419" s="9">
        <f>IF('Data Source'!B419="","",'Data Source'!AA419)</f>
        <v/>
      </c>
      <c r="J419" s="9">
        <f>IF('Data Source'!B419="","",'Data Source'!AB419)</f>
        <v/>
      </c>
      <c r="K419" s="9">
        <f>IF('Data Source'!B419="","",'Data Source'!AC419)</f>
        <v/>
      </c>
      <c r="L419" s="9">
        <f>IF('Data Source'!B419="","",'Data Source'!AD419)</f>
        <v/>
      </c>
      <c r="M419" s="9">
        <f>IF('Data Source'!B419="","",'Data Source'!AE419)</f>
        <v/>
      </c>
      <c r="N419" s="9">
        <f>IF('Data Source'!B419="","",'Data Source'!AF419)</f>
        <v/>
      </c>
      <c r="O419" s="9">
        <f>IF('Data Source'!B419="","",'Data Source'!AG419)</f>
        <v/>
      </c>
      <c r="P419" s="5">
        <f>IF('Data Source'!B419="","",'Data Source'!R419)</f>
        <v/>
      </c>
      <c r="Q419" s="3">
        <f>IF('Data Source'!B419="","",'Data Source'!S419)</f>
        <v/>
      </c>
    </row>
    <row r="420">
      <c r="A420" s="3">
        <f>IF('Data Source'!B420="","",'Data Source'!A420)</f>
        <v/>
      </c>
      <c r="B420">
        <f>IF('Data Source'!B420="","",'Data Source'!B420)</f>
        <v/>
      </c>
      <c r="C420" s="9">
        <f>IF('Data Source'!B420="","",'Data Source'!U420)</f>
        <v/>
      </c>
      <c r="D420" s="9">
        <f>IF('Data Source'!B420="","",'Data Source'!V420)</f>
        <v/>
      </c>
      <c r="E420" s="9">
        <f>IF('Data Source'!B420="","",'Data Source'!W420)</f>
        <v/>
      </c>
      <c r="F420" s="9">
        <f>IF('Data Source'!B420="","",'Data Source'!X420)</f>
        <v/>
      </c>
      <c r="G420" s="9">
        <f>IF('Data Source'!B420="","",'Data Source'!Y420)</f>
        <v/>
      </c>
      <c r="H420" s="9">
        <f>IF('Data Source'!B420="","",'Data Source'!Z420)</f>
        <v/>
      </c>
      <c r="I420" s="9">
        <f>IF('Data Source'!B420="","",'Data Source'!AA420)</f>
        <v/>
      </c>
      <c r="J420" s="9">
        <f>IF('Data Source'!B420="","",'Data Source'!AB420)</f>
        <v/>
      </c>
      <c r="K420" s="9">
        <f>IF('Data Source'!B420="","",'Data Source'!AC420)</f>
        <v/>
      </c>
      <c r="L420" s="9">
        <f>IF('Data Source'!B420="","",'Data Source'!AD420)</f>
        <v/>
      </c>
      <c r="M420" s="9">
        <f>IF('Data Source'!B420="","",'Data Source'!AE420)</f>
        <v/>
      </c>
      <c r="N420" s="9">
        <f>IF('Data Source'!B420="","",'Data Source'!AF420)</f>
        <v/>
      </c>
      <c r="O420" s="9">
        <f>IF('Data Source'!B420="","",'Data Source'!AG420)</f>
        <v/>
      </c>
      <c r="P420" s="5">
        <f>IF('Data Source'!B420="","",'Data Source'!R420)</f>
        <v/>
      </c>
      <c r="Q420" s="3">
        <f>IF('Data Source'!B420="","",'Data Source'!S420)</f>
        <v/>
      </c>
    </row>
    <row r="421">
      <c r="A421" s="3">
        <f>IF('Data Source'!B421="","",'Data Source'!A421)</f>
        <v/>
      </c>
      <c r="B421">
        <f>IF('Data Source'!B421="","",'Data Source'!B421)</f>
        <v/>
      </c>
      <c r="C421" s="9">
        <f>IF('Data Source'!B421="","",'Data Source'!U421)</f>
        <v/>
      </c>
      <c r="D421" s="9">
        <f>IF('Data Source'!B421="","",'Data Source'!V421)</f>
        <v/>
      </c>
      <c r="E421" s="9">
        <f>IF('Data Source'!B421="","",'Data Source'!W421)</f>
        <v/>
      </c>
      <c r="F421" s="9">
        <f>IF('Data Source'!B421="","",'Data Source'!X421)</f>
        <v/>
      </c>
      <c r="G421" s="9">
        <f>IF('Data Source'!B421="","",'Data Source'!Y421)</f>
        <v/>
      </c>
      <c r="H421" s="9">
        <f>IF('Data Source'!B421="","",'Data Source'!Z421)</f>
        <v/>
      </c>
      <c r="I421" s="9">
        <f>IF('Data Source'!B421="","",'Data Source'!AA421)</f>
        <v/>
      </c>
      <c r="J421" s="9">
        <f>IF('Data Source'!B421="","",'Data Source'!AB421)</f>
        <v/>
      </c>
      <c r="K421" s="9">
        <f>IF('Data Source'!B421="","",'Data Source'!AC421)</f>
        <v/>
      </c>
      <c r="L421" s="9">
        <f>IF('Data Source'!B421="","",'Data Source'!AD421)</f>
        <v/>
      </c>
      <c r="M421" s="9">
        <f>IF('Data Source'!B421="","",'Data Source'!AE421)</f>
        <v/>
      </c>
      <c r="N421" s="9">
        <f>IF('Data Source'!B421="","",'Data Source'!AF421)</f>
        <v/>
      </c>
      <c r="O421" s="9">
        <f>IF('Data Source'!B421="","",'Data Source'!AG421)</f>
        <v/>
      </c>
      <c r="P421" s="5">
        <f>IF('Data Source'!B421="","",'Data Source'!R421)</f>
        <v/>
      </c>
      <c r="Q421" s="3">
        <f>IF('Data Source'!B421="","",'Data Source'!S421)</f>
        <v/>
      </c>
    </row>
    <row r="422">
      <c r="A422" s="3">
        <f>IF('Data Source'!B422="","",'Data Source'!A422)</f>
        <v/>
      </c>
      <c r="B422">
        <f>IF('Data Source'!B422="","",'Data Source'!B422)</f>
        <v/>
      </c>
      <c r="C422" s="9">
        <f>IF('Data Source'!B422="","",'Data Source'!U422)</f>
        <v/>
      </c>
      <c r="D422" s="9">
        <f>IF('Data Source'!B422="","",'Data Source'!V422)</f>
        <v/>
      </c>
      <c r="E422" s="9">
        <f>IF('Data Source'!B422="","",'Data Source'!W422)</f>
        <v/>
      </c>
      <c r="F422" s="9">
        <f>IF('Data Source'!B422="","",'Data Source'!X422)</f>
        <v/>
      </c>
      <c r="G422" s="9">
        <f>IF('Data Source'!B422="","",'Data Source'!Y422)</f>
        <v/>
      </c>
      <c r="H422" s="9">
        <f>IF('Data Source'!B422="","",'Data Source'!Z422)</f>
        <v/>
      </c>
      <c r="I422" s="9">
        <f>IF('Data Source'!B422="","",'Data Source'!AA422)</f>
        <v/>
      </c>
      <c r="J422" s="9">
        <f>IF('Data Source'!B422="","",'Data Source'!AB422)</f>
        <v/>
      </c>
      <c r="K422" s="9">
        <f>IF('Data Source'!B422="","",'Data Source'!AC422)</f>
        <v/>
      </c>
      <c r="L422" s="9">
        <f>IF('Data Source'!B422="","",'Data Source'!AD422)</f>
        <v/>
      </c>
      <c r="M422" s="9">
        <f>IF('Data Source'!B422="","",'Data Source'!AE422)</f>
        <v/>
      </c>
      <c r="N422" s="9">
        <f>IF('Data Source'!B422="","",'Data Source'!AF422)</f>
        <v/>
      </c>
      <c r="O422" s="9">
        <f>IF('Data Source'!B422="","",'Data Source'!AG422)</f>
        <v/>
      </c>
      <c r="P422" s="5">
        <f>IF('Data Source'!B422="","",'Data Source'!R422)</f>
        <v/>
      </c>
      <c r="Q422" s="3">
        <f>IF('Data Source'!B422="","",'Data Source'!S422)</f>
        <v/>
      </c>
    </row>
    <row r="423">
      <c r="A423" s="3">
        <f>IF('Data Source'!B423="","",'Data Source'!A423)</f>
        <v/>
      </c>
      <c r="B423">
        <f>IF('Data Source'!B423="","",'Data Source'!B423)</f>
        <v/>
      </c>
      <c r="C423" s="9">
        <f>IF('Data Source'!B423="","",'Data Source'!U423)</f>
        <v/>
      </c>
      <c r="D423" s="9">
        <f>IF('Data Source'!B423="","",'Data Source'!V423)</f>
        <v/>
      </c>
      <c r="E423" s="9">
        <f>IF('Data Source'!B423="","",'Data Source'!W423)</f>
        <v/>
      </c>
      <c r="F423" s="9">
        <f>IF('Data Source'!B423="","",'Data Source'!X423)</f>
        <v/>
      </c>
      <c r="G423" s="9">
        <f>IF('Data Source'!B423="","",'Data Source'!Y423)</f>
        <v/>
      </c>
      <c r="H423" s="9">
        <f>IF('Data Source'!B423="","",'Data Source'!Z423)</f>
        <v/>
      </c>
      <c r="I423" s="9">
        <f>IF('Data Source'!B423="","",'Data Source'!AA423)</f>
        <v/>
      </c>
      <c r="J423" s="9">
        <f>IF('Data Source'!B423="","",'Data Source'!AB423)</f>
        <v/>
      </c>
      <c r="K423" s="9">
        <f>IF('Data Source'!B423="","",'Data Source'!AC423)</f>
        <v/>
      </c>
      <c r="L423" s="9">
        <f>IF('Data Source'!B423="","",'Data Source'!AD423)</f>
        <v/>
      </c>
      <c r="M423" s="9">
        <f>IF('Data Source'!B423="","",'Data Source'!AE423)</f>
        <v/>
      </c>
      <c r="N423" s="9">
        <f>IF('Data Source'!B423="","",'Data Source'!AF423)</f>
        <v/>
      </c>
      <c r="O423" s="9">
        <f>IF('Data Source'!B423="","",'Data Source'!AG423)</f>
        <v/>
      </c>
      <c r="P423" s="5">
        <f>IF('Data Source'!B423="","",'Data Source'!R423)</f>
        <v/>
      </c>
      <c r="Q423" s="3">
        <f>IF('Data Source'!B423="","",'Data Source'!S423)</f>
        <v/>
      </c>
    </row>
    <row r="424">
      <c r="A424" s="3">
        <f>IF('Data Source'!B424="","",'Data Source'!A424)</f>
        <v/>
      </c>
      <c r="B424">
        <f>IF('Data Source'!B424="","",'Data Source'!B424)</f>
        <v/>
      </c>
      <c r="C424" s="9">
        <f>IF('Data Source'!B424="","",'Data Source'!U424)</f>
        <v/>
      </c>
      <c r="D424" s="9">
        <f>IF('Data Source'!B424="","",'Data Source'!V424)</f>
        <v/>
      </c>
      <c r="E424" s="9">
        <f>IF('Data Source'!B424="","",'Data Source'!W424)</f>
        <v/>
      </c>
      <c r="F424" s="9">
        <f>IF('Data Source'!B424="","",'Data Source'!X424)</f>
        <v/>
      </c>
      <c r="G424" s="9">
        <f>IF('Data Source'!B424="","",'Data Source'!Y424)</f>
        <v/>
      </c>
      <c r="H424" s="9">
        <f>IF('Data Source'!B424="","",'Data Source'!Z424)</f>
        <v/>
      </c>
      <c r="I424" s="9">
        <f>IF('Data Source'!B424="","",'Data Source'!AA424)</f>
        <v/>
      </c>
      <c r="J424" s="9">
        <f>IF('Data Source'!B424="","",'Data Source'!AB424)</f>
        <v/>
      </c>
      <c r="K424" s="9">
        <f>IF('Data Source'!B424="","",'Data Source'!AC424)</f>
        <v/>
      </c>
      <c r="L424" s="9">
        <f>IF('Data Source'!B424="","",'Data Source'!AD424)</f>
        <v/>
      </c>
      <c r="M424" s="9">
        <f>IF('Data Source'!B424="","",'Data Source'!AE424)</f>
        <v/>
      </c>
      <c r="N424" s="9">
        <f>IF('Data Source'!B424="","",'Data Source'!AF424)</f>
        <v/>
      </c>
      <c r="O424" s="9">
        <f>IF('Data Source'!B424="","",'Data Source'!AG424)</f>
        <v/>
      </c>
      <c r="P424" s="5">
        <f>IF('Data Source'!B424="","",'Data Source'!R424)</f>
        <v/>
      </c>
      <c r="Q424" s="3">
        <f>IF('Data Source'!B424="","",'Data Source'!S424)</f>
        <v/>
      </c>
    </row>
    <row r="425">
      <c r="A425" s="3">
        <f>IF('Data Source'!B425="","",'Data Source'!A425)</f>
        <v/>
      </c>
      <c r="B425">
        <f>IF('Data Source'!B425="","",'Data Source'!B425)</f>
        <v/>
      </c>
      <c r="C425" s="9">
        <f>IF('Data Source'!B425="","",'Data Source'!U425)</f>
        <v/>
      </c>
      <c r="D425" s="9">
        <f>IF('Data Source'!B425="","",'Data Source'!V425)</f>
        <v/>
      </c>
      <c r="E425" s="9">
        <f>IF('Data Source'!B425="","",'Data Source'!W425)</f>
        <v/>
      </c>
      <c r="F425" s="9">
        <f>IF('Data Source'!B425="","",'Data Source'!X425)</f>
        <v/>
      </c>
      <c r="G425" s="9">
        <f>IF('Data Source'!B425="","",'Data Source'!Y425)</f>
        <v/>
      </c>
      <c r="H425" s="9">
        <f>IF('Data Source'!B425="","",'Data Source'!Z425)</f>
        <v/>
      </c>
      <c r="I425" s="9">
        <f>IF('Data Source'!B425="","",'Data Source'!AA425)</f>
        <v/>
      </c>
      <c r="J425" s="9">
        <f>IF('Data Source'!B425="","",'Data Source'!AB425)</f>
        <v/>
      </c>
      <c r="K425" s="9">
        <f>IF('Data Source'!B425="","",'Data Source'!AC425)</f>
        <v/>
      </c>
      <c r="L425" s="9">
        <f>IF('Data Source'!B425="","",'Data Source'!AD425)</f>
        <v/>
      </c>
      <c r="M425" s="9">
        <f>IF('Data Source'!B425="","",'Data Source'!AE425)</f>
        <v/>
      </c>
      <c r="N425" s="9">
        <f>IF('Data Source'!B425="","",'Data Source'!AF425)</f>
        <v/>
      </c>
      <c r="O425" s="9">
        <f>IF('Data Source'!B425="","",'Data Source'!AG425)</f>
        <v/>
      </c>
      <c r="P425" s="5">
        <f>IF('Data Source'!B425="","",'Data Source'!R425)</f>
        <v/>
      </c>
      <c r="Q425" s="3">
        <f>IF('Data Source'!B425="","",'Data Source'!S425)</f>
        <v/>
      </c>
    </row>
    <row r="426">
      <c r="A426" s="3">
        <f>IF('Data Source'!B426="","",'Data Source'!A426)</f>
        <v/>
      </c>
      <c r="B426">
        <f>IF('Data Source'!B426="","",'Data Source'!B426)</f>
        <v/>
      </c>
      <c r="C426" s="9">
        <f>IF('Data Source'!B426="","",'Data Source'!U426)</f>
        <v/>
      </c>
      <c r="D426" s="9">
        <f>IF('Data Source'!B426="","",'Data Source'!V426)</f>
        <v/>
      </c>
      <c r="E426" s="9">
        <f>IF('Data Source'!B426="","",'Data Source'!W426)</f>
        <v/>
      </c>
      <c r="F426" s="9">
        <f>IF('Data Source'!B426="","",'Data Source'!X426)</f>
        <v/>
      </c>
      <c r="G426" s="9">
        <f>IF('Data Source'!B426="","",'Data Source'!Y426)</f>
        <v/>
      </c>
      <c r="H426" s="9">
        <f>IF('Data Source'!B426="","",'Data Source'!Z426)</f>
        <v/>
      </c>
      <c r="I426" s="9">
        <f>IF('Data Source'!B426="","",'Data Source'!AA426)</f>
        <v/>
      </c>
      <c r="J426" s="9">
        <f>IF('Data Source'!B426="","",'Data Source'!AB426)</f>
        <v/>
      </c>
      <c r="K426" s="9">
        <f>IF('Data Source'!B426="","",'Data Source'!AC426)</f>
        <v/>
      </c>
      <c r="L426" s="9">
        <f>IF('Data Source'!B426="","",'Data Source'!AD426)</f>
        <v/>
      </c>
      <c r="M426" s="9">
        <f>IF('Data Source'!B426="","",'Data Source'!AE426)</f>
        <v/>
      </c>
      <c r="N426" s="9">
        <f>IF('Data Source'!B426="","",'Data Source'!AF426)</f>
        <v/>
      </c>
      <c r="O426" s="9">
        <f>IF('Data Source'!B426="","",'Data Source'!AG426)</f>
        <v/>
      </c>
      <c r="P426" s="5">
        <f>IF('Data Source'!B426="","",'Data Source'!R426)</f>
        <v/>
      </c>
      <c r="Q426" s="3">
        <f>IF('Data Source'!B426="","",'Data Source'!S426)</f>
        <v/>
      </c>
    </row>
    <row r="427">
      <c r="A427" s="3">
        <f>IF('Data Source'!B427="","",'Data Source'!A427)</f>
        <v/>
      </c>
      <c r="B427">
        <f>IF('Data Source'!B427="","",'Data Source'!B427)</f>
        <v/>
      </c>
      <c r="C427" s="9">
        <f>IF('Data Source'!B427="","",'Data Source'!U427)</f>
        <v/>
      </c>
      <c r="D427" s="9">
        <f>IF('Data Source'!B427="","",'Data Source'!V427)</f>
        <v/>
      </c>
      <c r="E427" s="9">
        <f>IF('Data Source'!B427="","",'Data Source'!W427)</f>
        <v/>
      </c>
      <c r="F427" s="9">
        <f>IF('Data Source'!B427="","",'Data Source'!X427)</f>
        <v/>
      </c>
      <c r="G427" s="9">
        <f>IF('Data Source'!B427="","",'Data Source'!Y427)</f>
        <v/>
      </c>
      <c r="H427" s="9">
        <f>IF('Data Source'!B427="","",'Data Source'!Z427)</f>
        <v/>
      </c>
      <c r="I427" s="9">
        <f>IF('Data Source'!B427="","",'Data Source'!AA427)</f>
        <v/>
      </c>
      <c r="J427" s="9">
        <f>IF('Data Source'!B427="","",'Data Source'!AB427)</f>
        <v/>
      </c>
      <c r="K427" s="9">
        <f>IF('Data Source'!B427="","",'Data Source'!AC427)</f>
        <v/>
      </c>
      <c r="L427" s="9">
        <f>IF('Data Source'!B427="","",'Data Source'!AD427)</f>
        <v/>
      </c>
      <c r="M427" s="9">
        <f>IF('Data Source'!B427="","",'Data Source'!AE427)</f>
        <v/>
      </c>
      <c r="N427" s="9">
        <f>IF('Data Source'!B427="","",'Data Source'!AF427)</f>
        <v/>
      </c>
      <c r="O427" s="9">
        <f>IF('Data Source'!B427="","",'Data Source'!AG427)</f>
        <v/>
      </c>
      <c r="P427" s="5">
        <f>IF('Data Source'!B427="","",'Data Source'!R427)</f>
        <v/>
      </c>
      <c r="Q427" s="3">
        <f>IF('Data Source'!B427="","",'Data Source'!S427)</f>
        <v/>
      </c>
    </row>
    <row r="428">
      <c r="A428" s="3">
        <f>IF('Data Source'!B428="","",'Data Source'!A428)</f>
        <v/>
      </c>
      <c r="B428">
        <f>IF('Data Source'!B428="","",'Data Source'!B428)</f>
        <v/>
      </c>
      <c r="C428" s="9">
        <f>IF('Data Source'!B428="","",'Data Source'!U428)</f>
        <v/>
      </c>
      <c r="D428" s="9">
        <f>IF('Data Source'!B428="","",'Data Source'!V428)</f>
        <v/>
      </c>
      <c r="E428" s="9">
        <f>IF('Data Source'!B428="","",'Data Source'!W428)</f>
        <v/>
      </c>
      <c r="F428" s="9">
        <f>IF('Data Source'!B428="","",'Data Source'!X428)</f>
        <v/>
      </c>
      <c r="G428" s="9">
        <f>IF('Data Source'!B428="","",'Data Source'!Y428)</f>
        <v/>
      </c>
      <c r="H428" s="9">
        <f>IF('Data Source'!B428="","",'Data Source'!Z428)</f>
        <v/>
      </c>
      <c r="I428" s="9">
        <f>IF('Data Source'!B428="","",'Data Source'!AA428)</f>
        <v/>
      </c>
      <c r="J428" s="9">
        <f>IF('Data Source'!B428="","",'Data Source'!AB428)</f>
        <v/>
      </c>
      <c r="K428" s="9">
        <f>IF('Data Source'!B428="","",'Data Source'!AC428)</f>
        <v/>
      </c>
      <c r="L428" s="9">
        <f>IF('Data Source'!B428="","",'Data Source'!AD428)</f>
        <v/>
      </c>
      <c r="M428" s="9">
        <f>IF('Data Source'!B428="","",'Data Source'!AE428)</f>
        <v/>
      </c>
      <c r="N428" s="9">
        <f>IF('Data Source'!B428="","",'Data Source'!AF428)</f>
        <v/>
      </c>
      <c r="O428" s="9">
        <f>IF('Data Source'!B428="","",'Data Source'!AG428)</f>
        <v/>
      </c>
      <c r="P428" s="5">
        <f>IF('Data Source'!B428="","",'Data Source'!R428)</f>
        <v/>
      </c>
      <c r="Q428" s="3">
        <f>IF('Data Source'!B428="","",'Data Source'!S428)</f>
        <v/>
      </c>
    </row>
    <row r="429">
      <c r="A429" s="3">
        <f>IF('Data Source'!B429="","",'Data Source'!A429)</f>
        <v/>
      </c>
      <c r="B429">
        <f>IF('Data Source'!B429="","",'Data Source'!B429)</f>
        <v/>
      </c>
      <c r="C429" s="9">
        <f>IF('Data Source'!B429="","",'Data Source'!U429)</f>
        <v/>
      </c>
      <c r="D429" s="9">
        <f>IF('Data Source'!B429="","",'Data Source'!V429)</f>
        <v/>
      </c>
      <c r="E429" s="9">
        <f>IF('Data Source'!B429="","",'Data Source'!W429)</f>
        <v/>
      </c>
      <c r="F429" s="9">
        <f>IF('Data Source'!B429="","",'Data Source'!X429)</f>
        <v/>
      </c>
      <c r="G429" s="9">
        <f>IF('Data Source'!B429="","",'Data Source'!Y429)</f>
        <v/>
      </c>
      <c r="H429" s="9">
        <f>IF('Data Source'!B429="","",'Data Source'!Z429)</f>
        <v/>
      </c>
      <c r="I429" s="9">
        <f>IF('Data Source'!B429="","",'Data Source'!AA429)</f>
        <v/>
      </c>
      <c r="J429" s="9">
        <f>IF('Data Source'!B429="","",'Data Source'!AB429)</f>
        <v/>
      </c>
      <c r="K429" s="9">
        <f>IF('Data Source'!B429="","",'Data Source'!AC429)</f>
        <v/>
      </c>
      <c r="L429" s="9">
        <f>IF('Data Source'!B429="","",'Data Source'!AD429)</f>
        <v/>
      </c>
      <c r="M429" s="9">
        <f>IF('Data Source'!B429="","",'Data Source'!AE429)</f>
        <v/>
      </c>
      <c r="N429" s="9">
        <f>IF('Data Source'!B429="","",'Data Source'!AF429)</f>
        <v/>
      </c>
      <c r="O429" s="9">
        <f>IF('Data Source'!B429="","",'Data Source'!AG429)</f>
        <v/>
      </c>
      <c r="P429" s="5">
        <f>IF('Data Source'!B429="","",'Data Source'!R429)</f>
        <v/>
      </c>
      <c r="Q429" s="3">
        <f>IF('Data Source'!B429="","",'Data Source'!S429)</f>
        <v/>
      </c>
    </row>
    <row r="430">
      <c r="A430" s="3">
        <f>IF('Data Source'!B430="","",'Data Source'!A430)</f>
        <v/>
      </c>
      <c r="B430">
        <f>IF('Data Source'!B430="","",'Data Source'!B430)</f>
        <v/>
      </c>
      <c r="C430" s="9">
        <f>IF('Data Source'!B430="","",'Data Source'!U430)</f>
        <v/>
      </c>
      <c r="D430" s="9">
        <f>IF('Data Source'!B430="","",'Data Source'!V430)</f>
        <v/>
      </c>
      <c r="E430" s="9">
        <f>IF('Data Source'!B430="","",'Data Source'!W430)</f>
        <v/>
      </c>
      <c r="F430" s="9">
        <f>IF('Data Source'!B430="","",'Data Source'!X430)</f>
        <v/>
      </c>
      <c r="G430" s="9">
        <f>IF('Data Source'!B430="","",'Data Source'!Y430)</f>
        <v/>
      </c>
      <c r="H430" s="9">
        <f>IF('Data Source'!B430="","",'Data Source'!Z430)</f>
        <v/>
      </c>
      <c r="I430" s="9">
        <f>IF('Data Source'!B430="","",'Data Source'!AA430)</f>
        <v/>
      </c>
      <c r="J430" s="9">
        <f>IF('Data Source'!B430="","",'Data Source'!AB430)</f>
        <v/>
      </c>
      <c r="K430" s="9">
        <f>IF('Data Source'!B430="","",'Data Source'!AC430)</f>
        <v/>
      </c>
      <c r="L430" s="9">
        <f>IF('Data Source'!B430="","",'Data Source'!AD430)</f>
        <v/>
      </c>
      <c r="M430" s="9">
        <f>IF('Data Source'!B430="","",'Data Source'!AE430)</f>
        <v/>
      </c>
      <c r="N430" s="9">
        <f>IF('Data Source'!B430="","",'Data Source'!AF430)</f>
        <v/>
      </c>
      <c r="O430" s="9">
        <f>IF('Data Source'!B430="","",'Data Source'!AG430)</f>
        <v/>
      </c>
      <c r="P430" s="5">
        <f>IF('Data Source'!B430="","",'Data Source'!R430)</f>
        <v/>
      </c>
      <c r="Q430" s="3">
        <f>IF('Data Source'!B430="","",'Data Source'!S430)</f>
        <v/>
      </c>
    </row>
    <row r="431">
      <c r="A431" s="3">
        <f>IF('Data Source'!B431="","",'Data Source'!A431)</f>
        <v/>
      </c>
      <c r="B431">
        <f>IF('Data Source'!B431="","",'Data Source'!B431)</f>
        <v/>
      </c>
      <c r="C431" s="9">
        <f>IF('Data Source'!B431="","",'Data Source'!U431)</f>
        <v/>
      </c>
      <c r="D431" s="9">
        <f>IF('Data Source'!B431="","",'Data Source'!V431)</f>
        <v/>
      </c>
      <c r="E431" s="9">
        <f>IF('Data Source'!B431="","",'Data Source'!W431)</f>
        <v/>
      </c>
      <c r="F431" s="9">
        <f>IF('Data Source'!B431="","",'Data Source'!X431)</f>
        <v/>
      </c>
      <c r="G431" s="9">
        <f>IF('Data Source'!B431="","",'Data Source'!Y431)</f>
        <v/>
      </c>
      <c r="H431" s="9">
        <f>IF('Data Source'!B431="","",'Data Source'!Z431)</f>
        <v/>
      </c>
      <c r="I431" s="9">
        <f>IF('Data Source'!B431="","",'Data Source'!AA431)</f>
        <v/>
      </c>
      <c r="J431" s="9">
        <f>IF('Data Source'!B431="","",'Data Source'!AB431)</f>
        <v/>
      </c>
      <c r="K431" s="9">
        <f>IF('Data Source'!B431="","",'Data Source'!AC431)</f>
        <v/>
      </c>
      <c r="L431" s="9">
        <f>IF('Data Source'!B431="","",'Data Source'!AD431)</f>
        <v/>
      </c>
      <c r="M431" s="9">
        <f>IF('Data Source'!B431="","",'Data Source'!AE431)</f>
        <v/>
      </c>
      <c r="N431" s="9">
        <f>IF('Data Source'!B431="","",'Data Source'!AF431)</f>
        <v/>
      </c>
      <c r="O431" s="9">
        <f>IF('Data Source'!B431="","",'Data Source'!AG431)</f>
        <v/>
      </c>
      <c r="P431" s="5">
        <f>IF('Data Source'!B431="","",'Data Source'!R431)</f>
        <v/>
      </c>
      <c r="Q431" s="3">
        <f>IF('Data Source'!B431="","",'Data Source'!S431)</f>
        <v/>
      </c>
    </row>
    <row r="432">
      <c r="A432" s="3">
        <f>IF('Data Source'!B432="","",'Data Source'!A432)</f>
        <v/>
      </c>
      <c r="B432">
        <f>IF('Data Source'!B432="","",'Data Source'!B432)</f>
        <v/>
      </c>
      <c r="C432" s="9">
        <f>IF('Data Source'!B432="","",'Data Source'!U432)</f>
        <v/>
      </c>
      <c r="D432" s="9">
        <f>IF('Data Source'!B432="","",'Data Source'!V432)</f>
        <v/>
      </c>
      <c r="E432" s="9">
        <f>IF('Data Source'!B432="","",'Data Source'!W432)</f>
        <v/>
      </c>
      <c r="F432" s="9">
        <f>IF('Data Source'!B432="","",'Data Source'!X432)</f>
        <v/>
      </c>
      <c r="G432" s="9">
        <f>IF('Data Source'!B432="","",'Data Source'!Y432)</f>
        <v/>
      </c>
      <c r="H432" s="9">
        <f>IF('Data Source'!B432="","",'Data Source'!Z432)</f>
        <v/>
      </c>
      <c r="I432" s="9">
        <f>IF('Data Source'!B432="","",'Data Source'!AA432)</f>
        <v/>
      </c>
      <c r="J432" s="9">
        <f>IF('Data Source'!B432="","",'Data Source'!AB432)</f>
        <v/>
      </c>
      <c r="K432" s="9">
        <f>IF('Data Source'!B432="","",'Data Source'!AC432)</f>
        <v/>
      </c>
      <c r="L432" s="9">
        <f>IF('Data Source'!B432="","",'Data Source'!AD432)</f>
        <v/>
      </c>
      <c r="M432" s="9">
        <f>IF('Data Source'!B432="","",'Data Source'!AE432)</f>
        <v/>
      </c>
      <c r="N432" s="9">
        <f>IF('Data Source'!B432="","",'Data Source'!AF432)</f>
        <v/>
      </c>
      <c r="O432" s="9">
        <f>IF('Data Source'!B432="","",'Data Source'!AG432)</f>
        <v/>
      </c>
      <c r="P432" s="5">
        <f>IF('Data Source'!B432="","",'Data Source'!R432)</f>
        <v/>
      </c>
      <c r="Q432" s="3">
        <f>IF('Data Source'!B432="","",'Data Source'!S432)</f>
        <v/>
      </c>
    </row>
    <row r="433">
      <c r="A433" s="3">
        <f>IF('Data Source'!B433="","",'Data Source'!A433)</f>
        <v/>
      </c>
      <c r="B433">
        <f>IF('Data Source'!B433="","",'Data Source'!B433)</f>
        <v/>
      </c>
      <c r="C433" s="9">
        <f>IF('Data Source'!B433="","",'Data Source'!U433)</f>
        <v/>
      </c>
      <c r="D433" s="9">
        <f>IF('Data Source'!B433="","",'Data Source'!V433)</f>
        <v/>
      </c>
      <c r="E433" s="9">
        <f>IF('Data Source'!B433="","",'Data Source'!W433)</f>
        <v/>
      </c>
      <c r="F433" s="9">
        <f>IF('Data Source'!B433="","",'Data Source'!X433)</f>
        <v/>
      </c>
      <c r="G433" s="9">
        <f>IF('Data Source'!B433="","",'Data Source'!Y433)</f>
        <v/>
      </c>
      <c r="H433" s="9">
        <f>IF('Data Source'!B433="","",'Data Source'!Z433)</f>
        <v/>
      </c>
      <c r="I433" s="9">
        <f>IF('Data Source'!B433="","",'Data Source'!AA433)</f>
        <v/>
      </c>
      <c r="J433" s="9">
        <f>IF('Data Source'!B433="","",'Data Source'!AB433)</f>
        <v/>
      </c>
      <c r="K433" s="9">
        <f>IF('Data Source'!B433="","",'Data Source'!AC433)</f>
        <v/>
      </c>
      <c r="L433" s="9">
        <f>IF('Data Source'!B433="","",'Data Source'!AD433)</f>
        <v/>
      </c>
      <c r="M433" s="9">
        <f>IF('Data Source'!B433="","",'Data Source'!AE433)</f>
        <v/>
      </c>
      <c r="N433" s="9">
        <f>IF('Data Source'!B433="","",'Data Source'!AF433)</f>
        <v/>
      </c>
      <c r="O433" s="9">
        <f>IF('Data Source'!B433="","",'Data Source'!AG433)</f>
        <v/>
      </c>
      <c r="P433" s="5">
        <f>IF('Data Source'!B433="","",'Data Source'!R433)</f>
        <v/>
      </c>
      <c r="Q433" s="3">
        <f>IF('Data Source'!B433="","",'Data Source'!S433)</f>
        <v/>
      </c>
    </row>
    <row r="434">
      <c r="A434" s="3">
        <f>IF('Data Source'!B434="","",'Data Source'!A434)</f>
        <v/>
      </c>
      <c r="B434">
        <f>IF('Data Source'!B434="","",'Data Source'!B434)</f>
        <v/>
      </c>
      <c r="C434" s="9">
        <f>IF('Data Source'!B434="","",'Data Source'!U434)</f>
        <v/>
      </c>
      <c r="D434" s="9">
        <f>IF('Data Source'!B434="","",'Data Source'!V434)</f>
        <v/>
      </c>
      <c r="E434" s="9">
        <f>IF('Data Source'!B434="","",'Data Source'!W434)</f>
        <v/>
      </c>
      <c r="F434" s="9">
        <f>IF('Data Source'!B434="","",'Data Source'!X434)</f>
        <v/>
      </c>
      <c r="G434" s="9">
        <f>IF('Data Source'!B434="","",'Data Source'!Y434)</f>
        <v/>
      </c>
      <c r="H434" s="9">
        <f>IF('Data Source'!B434="","",'Data Source'!Z434)</f>
        <v/>
      </c>
      <c r="I434" s="9">
        <f>IF('Data Source'!B434="","",'Data Source'!AA434)</f>
        <v/>
      </c>
      <c r="J434" s="9">
        <f>IF('Data Source'!B434="","",'Data Source'!AB434)</f>
        <v/>
      </c>
      <c r="K434" s="9">
        <f>IF('Data Source'!B434="","",'Data Source'!AC434)</f>
        <v/>
      </c>
      <c r="L434" s="9">
        <f>IF('Data Source'!B434="","",'Data Source'!AD434)</f>
        <v/>
      </c>
      <c r="M434" s="9">
        <f>IF('Data Source'!B434="","",'Data Source'!AE434)</f>
        <v/>
      </c>
      <c r="N434" s="9">
        <f>IF('Data Source'!B434="","",'Data Source'!AF434)</f>
        <v/>
      </c>
      <c r="O434" s="9">
        <f>IF('Data Source'!B434="","",'Data Source'!AG434)</f>
        <v/>
      </c>
      <c r="P434" s="5">
        <f>IF('Data Source'!B434="","",'Data Source'!R434)</f>
        <v/>
      </c>
      <c r="Q434" s="3">
        <f>IF('Data Source'!B434="","",'Data Source'!S434)</f>
        <v/>
      </c>
    </row>
    <row r="435">
      <c r="A435" s="3">
        <f>IF('Data Source'!B435="","",'Data Source'!A435)</f>
        <v/>
      </c>
      <c r="B435">
        <f>IF('Data Source'!B435="","",'Data Source'!B435)</f>
        <v/>
      </c>
      <c r="C435" s="9">
        <f>IF('Data Source'!B435="","",'Data Source'!U435)</f>
        <v/>
      </c>
      <c r="D435" s="9">
        <f>IF('Data Source'!B435="","",'Data Source'!V435)</f>
        <v/>
      </c>
      <c r="E435" s="9">
        <f>IF('Data Source'!B435="","",'Data Source'!W435)</f>
        <v/>
      </c>
      <c r="F435" s="9">
        <f>IF('Data Source'!B435="","",'Data Source'!X435)</f>
        <v/>
      </c>
      <c r="G435" s="9">
        <f>IF('Data Source'!B435="","",'Data Source'!Y435)</f>
        <v/>
      </c>
      <c r="H435" s="9">
        <f>IF('Data Source'!B435="","",'Data Source'!Z435)</f>
        <v/>
      </c>
      <c r="I435" s="9">
        <f>IF('Data Source'!B435="","",'Data Source'!AA435)</f>
        <v/>
      </c>
      <c r="J435" s="9">
        <f>IF('Data Source'!B435="","",'Data Source'!AB435)</f>
        <v/>
      </c>
      <c r="K435" s="9">
        <f>IF('Data Source'!B435="","",'Data Source'!AC435)</f>
        <v/>
      </c>
      <c r="L435" s="9">
        <f>IF('Data Source'!B435="","",'Data Source'!AD435)</f>
        <v/>
      </c>
      <c r="M435" s="9">
        <f>IF('Data Source'!B435="","",'Data Source'!AE435)</f>
        <v/>
      </c>
      <c r="N435" s="9">
        <f>IF('Data Source'!B435="","",'Data Source'!AF435)</f>
        <v/>
      </c>
      <c r="O435" s="9">
        <f>IF('Data Source'!B435="","",'Data Source'!AG435)</f>
        <v/>
      </c>
      <c r="P435" s="5">
        <f>IF('Data Source'!B435="","",'Data Source'!R435)</f>
        <v/>
      </c>
      <c r="Q435" s="3">
        <f>IF('Data Source'!B435="","",'Data Source'!S435)</f>
        <v/>
      </c>
    </row>
    <row r="436">
      <c r="A436" s="3">
        <f>IF('Data Source'!B436="","",'Data Source'!A436)</f>
        <v/>
      </c>
      <c r="B436">
        <f>IF('Data Source'!B436="","",'Data Source'!B436)</f>
        <v/>
      </c>
      <c r="C436" s="9">
        <f>IF('Data Source'!B436="","",'Data Source'!U436)</f>
        <v/>
      </c>
      <c r="D436" s="9">
        <f>IF('Data Source'!B436="","",'Data Source'!V436)</f>
        <v/>
      </c>
      <c r="E436" s="9">
        <f>IF('Data Source'!B436="","",'Data Source'!W436)</f>
        <v/>
      </c>
      <c r="F436" s="9">
        <f>IF('Data Source'!B436="","",'Data Source'!X436)</f>
        <v/>
      </c>
      <c r="G436" s="9">
        <f>IF('Data Source'!B436="","",'Data Source'!Y436)</f>
        <v/>
      </c>
      <c r="H436" s="9">
        <f>IF('Data Source'!B436="","",'Data Source'!Z436)</f>
        <v/>
      </c>
      <c r="I436" s="9">
        <f>IF('Data Source'!B436="","",'Data Source'!AA436)</f>
        <v/>
      </c>
      <c r="J436" s="9">
        <f>IF('Data Source'!B436="","",'Data Source'!AB436)</f>
        <v/>
      </c>
      <c r="K436" s="9">
        <f>IF('Data Source'!B436="","",'Data Source'!AC436)</f>
        <v/>
      </c>
      <c r="L436" s="9">
        <f>IF('Data Source'!B436="","",'Data Source'!AD436)</f>
        <v/>
      </c>
      <c r="M436" s="9">
        <f>IF('Data Source'!B436="","",'Data Source'!AE436)</f>
        <v/>
      </c>
      <c r="N436" s="9">
        <f>IF('Data Source'!B436="","",'Data Source'!AF436)</f>
        <v/>
      </c>
      <c r="O436" s="9">
        <f>IF('Data Source'!B436="","",'Data Source'!AG436)</f>
        <v/>
      </c>
      <c r="P436" s="5">
        <f>IF('Data Source'!B436="","",'Data Source'!R436)</f>
        <v/>
      </c>
      <c r="Q436" s="3">
        <f>IF('Data Source'!B436="","",'Data Source'!S436)</f>
        <v/>
      </c>
    </row>
    <row r="437">
      <c r="A437" s="3">
        <f>IF('Data Source'!B437="","",'Data Source'!A437)</f>
        <v/>
      </c>
      <c r="B437">
        <f>IF('Data Source'!B437="","",'Data Source'!B437)</f>
        <v/>
      </c>
      <c r="C437" s="9">
        <f>IF('Data Source'!B437="","",'Data Source'!U437)</f>
        <v/>
      </c>
      <c r="D437" s="9">
        <f>IF('Data Source'!B437="","",'Data Source'!V437)</f>
        <v/>
      </c>
      <c r="E437" s="9">
        <f>IF('Data Source'!B437="","",'Data Source'!W437)</f>
        <v/>
      </c>
      <c r="F437" s="9">
        <f>IF('Data Source'!B437="","",'Data Source'!X437)</f>
        <v/>
      </c>
      <c r="G437" s="9">
        <f>IF('Data Source'!B437="","",'Data Source'!Y437)</f>
        <v/>
      </c>
      <c r="H437" s="9">
        <f>IF('Data Source'!B437="","",'Data Source'!Z437)</f>
        <v/>
      </c>
      <c r="I437" s="9">
        <f>IF('Data Source'!B437="","",'Data Source'!AA437)</f>
        <v/>
      </c>
      <c r="J437" s="9">
        <f>IF('Data Source'!B437="","",'Data Source'!AB437)</f>
        <v/>
      </c>
      <c r="K437" s="9">
        <f>IF('Data Source'!B437="","",'Data Source'!AC437)</f>
        <v/>
      </c>
      <c r="L437" s="9">
        <f>IF('Data Source'!B437="","",'Data Source'!AD437)</f>
        <v/>
      </c>
      <c r="M437" s="9">
        <f>IF('Data Source'!B437="","",'Data Source'!AE437)</f>
        <v/>
      </c>
      <c r="N437" s="9">
        <f>IF('Data Source'!B437="","",'Data Source'!AF437)</f>
        <v/>
      </c>
      <c r="O437" s="9">
        <f>IF('Data Source'!B437="","",'Data Source'!AG437)</f>
        <v/>
      </c>
      <c r="P437" s="5">
        <f>IF('Data Source'!B437="","",'Data Source'!R437)</f>
        <v/>
      </c>
      <c r="Q437" s="3">
        <f>IF('Data Source'!B437="","",'Data Source'!S437)</f>
        <v/>
      </c>
    </row>
    <row r="438">
      <c r="A438" s="3">
        <f>IF('Data Source'!B438="","",'Data Source'!A438)</f>
        <v/>
      </c>
      <c r="B438">
        <f>IF('Data Source'!B438="","",'Data Source'!B438)</f>
        <v/>
      </c>
      <c r="C438" s="9">
        <f>IF('Data Source'!B438="","",'Data Source'!U438)</f>
        <v/>
      </c>
      <c r="D438" s="9">
        <f>IF('Data Source'!B438="","",'Data Source'!V438)</f>
        <v/>
      </c>
      <c r="E438" s="9">
        <f>IF('Data Source'!B438="","",'Data Source'!W438)</f>
        <v/>
      </c>
      <c r="F438" s="9">
        <f>IF('Data Source'!B438="","",'Data Source'!X438)</f>
        <v/>
      </c>
      <c r="G438" s="9">
        <f>IF('Data Source'!B438="","",'Data Source'!Y438)</f>
        <v/>
      </c>
      <c r="H438" s="9">
        <f>IF('Data Source'!B438="","",'Data Source'!Z438)</f>
        <v/>
      </c>
      <c r="I438" s="9">
        <f>IF('Data Source'!B438="","",'Data Source'!AA438)</f>
        <v/>
      </c>
      <c r="J438" s="9">
        <f>IF('Data Source'!B438="","",'Data Source'!AB438)</f>
        <v/>
      </c>
      <c r="K438" s="9">
        <f>IF('Data Source'!B438="","",'Data Source'!AC438)</f>
        <v/>
      </c>
      <c r="L438" s="9">
        <f>IF('Data Source'!B438="","",'Data Source'!AD438)</f>
        <v/>
      </c>
      <c r="M438" s="9">
        <f>IF('Data Source'!B438="","",'Data Source'!AE438)</f>
        <v/>
      </c>
      <c r="N438" s="9">
        <f>IF('Data Source'!B438="","",'Data Source'!AF438)</f>
        <v/>
      </c>
      <c r="O438" s="9">
        <f>IF('Data Source'!B438="","",'Data Source'!AG438)</f>
        <v/>
      </c>
      <c r="P438" s="5">
        <f>IF('Data Source'!B438="","",'Data Source'!R438)</f>
        <v/>
      </c>
      <c r="Q438" s="3">
        <f>IF('Data Source'!B438="","",'Data Source'!S438)</f>
        <v/>
      </c>
    </row>
    <row r="439">
      <c r="A439" s="3">
        <f>IF('Data Source'!B439="","",'Data Source'!A439)</f>
        <v/>
      </c>
      <c r="B439">
        <f>IF('Data Source'!B439="","",'Data Source'!B439)</f>
        <v/>
      </c>
      <c r="C439" s="9">
        <f>IF('Data Source'!B439="","",'Data Source'!U439)</f>
        <v/>
      </c>
      <c r="D439" s="9">
        <f>IF('Data Source'!B439="","",'Data Source'!V439)</f>
        <v/>
      </c>
      <c r="E439" s="9">
        <f>IF('Data Source'!B439="","",'Data Source'!W439)</f>
        <v/>
      </c>
      <c r="F439" s="9">
        <f>IF('Data Source'!B439="","",'Data Source'!X439)</f>
        <v/>
      </c>
      <c r="G439" s="9">
        <f>IF('Data Source'!B439="","",'Data Source'!Y439)</f>
        <v/>
      </c>
      <c r="H439" s="9">
        <f>IF('Data Source'!B439="","",'Data Source'!Z439)</f>
        <v/>
      </c>
      <c r="I439" s="9">
        <f>IF('Data Source'!B439="","",'Data Source'!AA439)</f>
        <v/>
      </c>
      <c r="J439" s="9">
        <f>IF('Data Source'!B439="","",'Data Source'!AB439)</f>
        <v/>
      </c>
      <c r="K439" s="9">
        <f>IF('Data Source'!B439="","",'Data Source'!AC439)</f>
        <v/>
      </c>
      <c r="L439" s="9">
        <f>IF('Data Source'!B439="","",'Data Source'!AD439)</f>
        <v/>
      </c>
      <c r="M439" s="9">
        <f>IF('Data Source'!B439="","",'Data Source'!AE439)</f>
        <v/>
      </c>
      <c r="N439" s="9">
        <f>IF('Data Source'!B439="","",'Data Source'!AF439)</f>
        <v/>
      </c>
      <c r="O439" s="9">
        <f>IF('Data Source'!B439="","",'Data Source'!AG439)</f>
        <v/>
      </c>
      <c r="P439" s="5">
        <f>IF('Data Source'!B439="","",'Data Source'!R439)</f>
        <v/>
      </c>
      <c r="Q439" s="3">
        <f>IF('Data Source'!B439="","",'Data Source'!S439)</f>
        <v/>
      </c>
    </row>
    <row r="440">
      <c r="A440" s="3">
        <f>IF('Data Source'!B440="","",'Data Source'!A440)</f>
        <v/>
      </c>
      <c r="B440">
        <f>IF('Data Source'!B440="","",'Data Source'!B440)</f>
        <v/>
      </c>
      <c r="C440" s="9">
        <f>IF('Data Source'!B440="","",'Data Source'!U440)</f>
        <v/>
      </c>
      <c r="D440" s="9">
        <f>IF('Data Source'!B440="","",'Data Source'!V440)</f>
        <v/>
      </c>
      <c r="E440" s="9">
        <f>IF('Data Source'!B440="","",'Data Source'!W440)</f>
        <v/>
      </c>
      <c r="F440" s="9">
        <f>IF('Data Source'!B440="","",'Data Source'!X440)</f>
        <v/>
      </c>
      <c r="G440" s="9">
        <f>IF('Data Source'!B440="","",'Data Source'!Y440)</f>
        <v/>
      </c>
      <c r="H440" s="9">
        <f>IF('Data Source'!B440="","",'Data Source'!Z440)</f>
        <v/>
      </c>
      <c r="I440" s="9">
        <f>IF('Data Source'!B440="","",'Data Source'!AA440)</f>
        <v/>
      </c>
      <c r="J440" s="9">
        <f>IF('Data Source'!B440="","",'Data Source'!AB440)</f>
        <v/>
      </c>
      <c r="K440" s="9">
        <f>IF('Data Source'!B440="","",'Data Source'!AC440)</f>
        <v/>
      </c>
      <c r="L440" s="9">
        <f>IF('Data Source'!B440="","",'Data Source'!AD440)</f>
        <v/>
      </c>
      <c r="M440" s="9">
        <f>IF('Data Source'!B440="","",'Data Source'!AE440)</f>
        <v/>
      </c>
      <c r="N440" s="9">
        <f>IF('Data Source'!B440="","",'Data Source'!AF440)</f>
        <v/>
      </c>
      <c r="O440" s="9">
        <f>IF('Data Source'!B440="","",'Data Source'!AG440)</f>
        <v/>
      </c>
      <c r="P440" s="5">
        <f>IF('Data Source'!B440="","",'Data Source'!R440)</f>
        <v/>
      </c>
      <c r="Q440" s="3">
        <f>IF('Data Source'!B440="","",'Data Source'!S440)</f>
        <v/>
      </c>
    </row>
    <row r="441">
      <c r="A441" s="3">
        <f>IF('Data Source'!B441="","",'Data Source'!A441)</f>
        <v/>
      </c>
      <c r="B441">
        <f>IF('Data Source'!B441="","",'Data Source'!B441)</f>
        <v/>
      </c>
      <c r="C441" s="9">
        <f>IF('Data Source'!B441="","",'Data Source'!U441)</f>
        <v/>
      </c>
      <c r="D441" s="9">
        <f>IF('Data Source'!B441="","",'Data Source'!V441)</f>
        <v/>
      </c>
      <c r="E441" s="9">
        <f>IF('Data Source'!B441="","",'Data Source'!W441)</f>
        <v/>
      </c>
      <c r="F441" s="9">
        <f>IF('Data Source'!B441="","",'Data Source'!X441)</f>
        <v/>
      </c>
      <c r="G441" s="9">
        <f>IF('Data Source'!B441="","",'Data Source'!Y441)</f>
        <v/>
      </c>
      <c r="H441" s="9">
        <f>IF('Data Source'!B441="","",'Data Source'!Z441)</f>
        <v/>
      </c>
      <c r="I441" s="9">
        <f>IF('Data Source'!B441="","",'Data Source'!AA441)</f>
        <v/>
      </c>
      <c r="J441" s="9">
        <f>IF('Data Source'!B441="","",'Data Source'!AB441)</f>
        <v/>
      </c>
      <c r="K441" s="9">
        <f>IF('Data Source'!B441="","",'Data Source'!AC441)</f>
        <v/>
      </c>
      <c r="L441" s="9">
        <f>IF('Data Source'!B441="","",'Data Source'!AD441)</f>
        <v/>
      </c>
      <c r="M441" s="9">
        <f>IF('Data Source'!B441="","",'Data Source'!AE441)</f>
        <v/>
      </c>
      <c r="N441" s="9">
        <f>IF('Data Source'!B441="","",'Data Source'!AF441)</f>
        <v/>
      </c>
      <c r="O441" s="9">
        <f>IF('Data Source'!B441="","",'Data Source'!AG441)</f>
        <v/>
      </c>
      <c r="P441" s="5">
        <f>IF('Data Source'!B441="","",'Data Source'!R441)</f>
        <v/>
      </c>
      <c r="Q441" s="3">
        <f>IF('Data Source'!B441="","",'Data Source'!S441)</f>
        <v/>
      </c>
    </row>
    <row r="442">
      <c r="A442" s="3">
        <f>IF('Data Source'!B442="","",'Data Source'!A442)</f>
        <v/>
      </c>
      <c r="B442">
        <f>IF('Data Source'!B442="","",'Data Source'!B442)</f>
        <v/>
      </c>
      <c r="C442" s="9">
        <f>IF('Data Source'!B442="","",'Data Source'!U442)</f>
        <v/>
      </c>
      <c r="D442" s="9">
        <f>IF('Data Source'!B442="","",'Data Source'!V442)</f>
        <v/>
      </c>
      <c r="E442" s="9">
        <f>IF('Data Source'!B442="","",'Data Source'!W442)</f>
        <v/>
      </c>
      <c r="F442" s="9">
        <f>IF('Data Source'!B442="","",'Data Source'!X442)</f>
        <v/>
      </c>
      <c r="G442" s="9">
        <f>IF('Data Source'!B442="","",'Data Source'!Y442)</f>
        <v/>
      </c>
      <c r="H442" s="9">
        <f>IF('Data Source'!B442="","",'Data Source'!Z442)</f>
        <v/>
      </c>
      <c r="I442" s="9">
        <f>IF('Data Source'!B442="","",'Data Source'!AA442)</f>
        <v/>
      </c>
      <c r="J442" s="9">
        <f>IF('Data Source'!B442="","",'Data Source'!AB442)</f>
        <v/>
      </c>
      <c r="K442" s="9">
        <f>IF('Data Source'!B442="","",'Data Source'!AC442)</f>
        <v/>
      </c>
      <c r="L442" s="9">
        <f>IF('Data Source'!B442="","",'Data Source'!AD442)</f>
        <v/>
      </c>
      <c r="M442" s="9">
        <f>IF('Data Source'!B442="","",'Data Source'!AE442)</f>
        <v/>
      </c>
      <c r="N442" s="9">
        <f>IF('Data Source'!B442="","",'Data Source'!AF442)</f>
        <v/>
      </c>
      <c r="O442" s="9">
        <f>IF('Data Source'!B442="","",'Data Source'!AG442)</f>
        <v/>
      </c>
      <c r="P442" s="5">
        <f>IF('Data Source'!B442="","",'Data Source'!R442)</f>
        <v/>
      </c>
      <c r="Q442" s="3">
        <f>IF('Data Source'!B442="","",'Data Source'!S442)</f>
        <v/>
      </c>
    </row>
    <row r="443">
      <c r="A443" s="3">
        <f>IF('Data Source'!B443="","",'Data Source'!A443)</f>
        <v/>
      </c>
      <c r="B443">
        <f>IF('Data Source'!B443="","",'Data Source'!B443)</f>
        <v/>
      </c>
      <c r="C443" s="9">
        <f>IF('Data Source'!B443="","",'Data Source'!U443)</f>
        <v/>
      </c>
      <c r="D443" s="9">
        <f>IF('Data Source'!B443="","",'Data Source'!V443)</f>
        <v/>
      </c>
      <c r="E443" s="9">
        <f>IF('Data Source'!B443="","",'Data Source'!W443)</f>
        <v/>
      </c>
      <c r="F443" s="9">
        <f>IF('Data Source'!B443="","",'Data Source'!X443)</f>
        <v/>
      </c>
      <c r="G443" s="9">
        <f>IF('Data Source'!B443="","",'Data Source'!Y443)</f>
        <v/>
      </c>
      <c r="H443" s="9">
        <f>IF('Data Source'!B443="","",'Data Source'!Z443)</f>
        <v/>
      </c>
      <c r="I443" s="9">
        <f>IF('Data Source'!B443="","",'Data Source'!AA443)</f>
        <v/>
      </c>
      <c r="J443" s="9">
        <f>IF('Data Source'!B443="","",'Data Source'!AB443)</f>
        <v/>
      </c>
      <c r="K443" s="9">
        <f>IF('Data Source'!B443="","",'Data Source'!AC443)</f>
        <v/>
      </c>
      <c r="L443" s="9">
        <f>IF('Data Source'!B443="","",'Data Source'!AD443)</f>
        <v/>
      </c>
      <c r="M443" s="9">
        <f>IF('Data Source'!B443="","",'Data Source'!AE443)</f>
        <v/>
      </c>
      <c r="N443" s="9">
        <f>IF('Data Source'!B443="","",'Data Source'!AF443)</f>
        <v/>
      </c>
      <c r="O443" s="9">
        <f>IF('Data Source'!B443="","",'Data Source'!AG443)</f>
        <v/>
      </c>
      <c r="P443" s="5">
        <f>IF('Data Source'!B443="","",'Data Source'!R443)</f>
        <v/>
      </c>
      <c r="Q443" s="3">
        <f>IF('Data Source'!B443="","",'Data Source'!S443)</f>
        <v/>
      </c>
    </row>
    <row r="444">
      <c r="A444" s="3">
        <f>IF('Data Source'!B444="","",'Data Source'!A444)</f>
        <v/>
      </c>
      <c r="B444">
        <f>IF('Data Source'!B444="","",'Data Source'!B444)</f>
        <v/>
      </c>
      <c r="C444" s="9">
        <f>IF('Data Source'!B444="","",'Data Source'!U444)</f>
        <v/>
      </c>
      <c r="D444" s="9">
        <f>IF('Data Source'!B444="","",'Data Source'!V444)</f>
        <v/>
      </c>
      <c r="E444" s="9">
        <f>IF('Data Source'!B444="","",'Data Source'!W444)</f>
        <v/>
      </c>
      <c r="F444" s="9">
        <f>IF('Data Source'!B444="","",'Data Source'!X444)</f>
        <v/>
      </c>
      <c r="G444" s="9">
        <f>IF('Data Source'!B444="","",'Data Source'!Y444)</f>
        <v/>
      </c>
      <c r="H444" s="9">
        <f>IF('Data Source'!B444="","",'Data Source'!Z444)</f>
        <v/>
      </c>
      <c r="I444" s="9">
        <f>IF('Data Source'!B444="","",'Data Source'!AA444)</f>
        <v/>
      </c>
      <c r="J444" s="9">
        <f>IF('Data Source'!B444="","",'Data Source'!AB444)</f>
        <v/>
      </c>
      <c r="K444" s="9">
        <f>IF('Data Source'!B444="","",'Data Source'!AC444)</f>
        <v/>
      </c>
      <c r="L444" s="9">
        <f>IF('Data Source'!B444="","",'Data Source'!AD444)</f>
        <v/>
      </c>
      <c r="M444" s="9">
        <f>IF('Data Source'!B444="","",'Data Source'!AE444)</f>
        <v/>
      </c>
      <c r="N444" s="9">
        <f>IF('Data Source'!B444="","",'Data Source'!AF444)</f>
        <v/>
      </c>
      <c r="O444" s="9">
        <f>IF('Data Source'!B444="","",'Data Source'!AG444)</f>
        <v/>
      </c>
      <c r="P444" s="5">
        <f>IF('Data Source'!B444="","",'Data Source'!R444)</f>
        <v/>
      </c>
      <c r="Q444" s="3">
        <f>IF('Data Source'!B444="","",'Data Source'!S444)</f>
        <v/>
      </c>
    </row>
    <row r="445">
      <c r="A445" s="3">
        <f>IF('Data Source'!B445="","",'Data Source'!A445)</f>
        <v/>
      </c>
      <c r="B445">
        <f>IF('Data Source'!B445="","",'Data Source'!B445)</f>
        <v/>
      </c>
      <c r="C445" s="9">
        <f>IF('Data Source'!B445="","",'Data Source'!U445)</f>
        <v/>
      </c>
      <c r="D445" s="9">
        <f>IF('Data Source'!B445="","",'Data Source'!V445)</f>
        <v/>
      </c>
      <c r="E445" s="9">
        <f>IF('Data Source'!B445="","",'Data Source'!W445)</f>
        <v/>
      </c>
      <c r="F445" s="9">
        <f>IF('Data Source'!B445="","",'Data Source'!X445)</f>
        <v/>
      </c>
      <c r="G445" s="9">
        <f>IF('Data Source'!B445="","",'Data Source'!Y445)</f>
        <v/>
      </c>
      <c r="H445" s="9">
        <f>IF('Data Source'!B445="","",'Data Source'!Z445)</f>
        <v/>
      </c>
      <c r="I445" s="9">
        <f>IF('Data Source'!B445="","",'Data Source'!AA445)</f>
        <v/>
      </c>
      <c r="J445" s="9">
        <f>IF('Data Source'!B445="","",'Data Source'!AB445)</f>
        <v/>
      </c>
      <c r="K445" s="9">
        <f>IF('Data Source'!B445="","",'Data Source'!AC445)</f>
        <v/>
      </c>
      <c r="L445" s="9">
        <f>IF('Data Source'!B445="","",'Data Source'!AD445)</f>
        <v/>
      </c>
      <c r="M445" s="9">
        <f>IF('Data Source'!B445="","",'Data Source'!AE445)</f>
        <v/>
      </c>
      <c r="N445" s="9">
        <f>IF('Data Source'!B445="","",'Data Source'!AF445)</f>
        <v/>
      </c>
      <c r="O445" s="9">
        <f>IF('Data Source'!B445="","",'Data Source'!AG445)</f>
        <v/>
      </c>
      <c r="P445" s="5">
        <f>IF('Data Source'!B445="","",'Data Source'!R445)</f>
        <v/>
      </c>
      <c r="Q445" s="3">
        <f>IF('Data Source'!B445="","",'Data Source'!S445)</f>
        <v/>
      </c>
    </row>
    <row r="446">
      <c r="A446" s="3">
        <f>IF('Data Source'!B446="","",'Data Source'!A446)</f>
        <v/>
      </c>
      <c r="B446">
        <f>IF('Data Source'!B446="","",'Data Source'!B446)</f>
        <v/>
      </c>
      <c r="C446" s="9">
        <f>IF('Data Source'!B446="","",'Data Source'!U446)</f>
        <v/>
      </c>
      <c r="D446" s="9">
        <f>IF('Data Source'!B446="","",'Data Source'!V446)</f>
        <v/>
      </c>
      <c r="E446" s="9">
        <f>IF('Data Source'!B446="","",'Data Source'!W446)</f>
        <v/>
      </c>
      <c r="F446" s="9">
        <f>IF('Data Source'!B446="","",'Data Source'!X446)</f>
        <v/>
      </c>
      <c r="G446" s="9">
        <f>IF('Data Source'!B446="","",'Data Source'!Y446)</f>
        <v/>
      </c>
      <c r="H446" s="9">
        <f>IF('Data Source'!B446="","",'Data Source'!Z446)</f>
        <v/>
      </c>
      <c r="I446" s="9">
        <f>IF('Data Source'!B446="","",'Data Source'!AA446)</f>
        <v/>
      </c>
      <c r="J446" s="9">
        <f>IF('Data Source'!B446="","",'Data Source'!AB446)</f>
        <v/>
      </c>
      <c r="K446" s="9">
        <f>IF('Data Source'!B446="","",'Data Source'!AC446)</f>
        <v/>
      </c>
      <c r="L446" s="9">
        <f>IF('Data Source'!B446="","",'Data Source'!AD446)</f>
        <v/>
      </c>
      <c r="M446" s="9">
        <f>IF('Data Source'!B446="","",'Data Source'!AE446)</f>
        <v/>
      </c>
      <c r="N446" s="9">
        <f>IF('Data Source'!B446="","",'Data Source'!AF446)</f>
        <v/>
      </c>
      <c r="O446" s="9">
        <f>IF('Data Source'!B446="","",'Data Source'!AG446)</f>
        <v/>
      </c>
      <c r="P446" s="5">
        <f>IF('Data Source'!B446="","",'Data Source'!R446)</f>
        <v/>
      </c>
      <c r="Q446" s="3">
        <f>IF('Data Source'!B446="","",'Data Source'!S446)</f>
        <v/>
      </c>
    </row>
    <row r="447">
      <c r="A447" s="3">
        <f>IF('Data Source'!B447="","",'Data Source'!A447)</f>
        <v/>
      </c>
      <c r="B447">
        <f>IF('Data Source'!B447="","",'Data Source'!B447)</f>
        <v/>
      </c>
      <c r="C447" s="9">
        <f>IF('Data Source'!B447="","",'Data Source'!U447)</f>
        <v/>
      </c>
      <c r="D447" s="9">
        <f>IF('Data Source'!B447="","",'Data Source'!V447)</f>
        <v/>
      </c>
      <c r="E447" s="9">
        <f>IF('Data Source'!B447="","",'Data Source'!W447)</f>
        <v/>
      </c>
      <c r="F447" s="9">
        <f>IF('Data Source'!B447="","",'Data Source'!X447)</f>
        <v/>
      </c>
      <c r="G447" s="9">
        <f>IF('Data Source'!B447="","",'Data Source'!Y447)</f>
        <v/>
      </c>
      <c r="H447" s="9">
        <f>IF('Data Source'!B447="","",'Data Source'!Z447)</f>
        <v/>
      </c>
      <c r="I447" s="9">
        <f>IF('Data Source'!B447="","",'Data Source'!AA447)</f>
        <v/>
      </c>
      <c r="J447" s="9">
        <f>IF('Data Source'!B447="","",'Data Source'!AB447)</f>
        <v/>
      </c>
      <c r="K447" s="9">
        <f>IF('Data Source'!B447="","",'Data Source'!AC447)</f>
        <v/>
      </c>
      <c r="L447" s="9">
        <f>IF('Data Source'!B447="","",'Data Source'!AD447)</f>
        <v/>
      </c>
      <c r="M447" s="9">
        <f>IF('Data Source'!B447="","",'Data Source'!AE447)</f>
        <v/>
      </c>
      <c r="N447" s="9">
        <f>IF('Data Source'!B447="","",'Data Source'!AF447)</f>
        <v/>
      </c>
      <c r="O447" s="9">
        <f>IF('Data Source'!B447="","",'Data Source'!AG447)</f>
        <v/>
      </c>
      <c r="P447" s="5">
        <f>IF('Data Source'!B447="","",'Data Source'!R447)</f>
        <v/>
      </c>
      <c r="Q447" s="3">
        <f>IF('Data Source'!B447="","",'Data Source'!S447)</f>
        <v/>
      </c>
    </row>
    <row r="448">
      <c r="A448" s="3">
        <f>IF('Data Source'!B448="","",'Data Source'!A448)</f>
        <v/>
      </c>
      <c r="B448">
        <f>IF('Data Source'!B448="","",'Data Source'!B448)</f>
        <v/>
      </c>
      <c r="C448" s="9">
        <f>IF('Data Source'!B448="","",'Data Source'!U448)</f>
        <v/>
      </c>
      <c r="D448" s="9">
        <f>IF('Data Source'!B448="","",'Data Source'!V448)</f>
        <v/>
      </c>
      <c r="E448" s="9">
        <f>IF('Data Source'!B448="","",'Data Source'!W448)</f>
        <v/>
      </c>
      <c r="F448" s="9">
        <f>IF('Data Source'!B448="","",'Data Source'!X448)</f>
        <v/>
      </c>
      <c r="G448" s="9">
        <f>IF('Data Source'!B448="","",'Data Source'!Y448)</f>
        <v/>
      </c>
      <c r="H448" s="9">
        <f>IF('Data Source'!B448="","",'Data Source'!Z448)</f>
        <v/>
      </c>
      <c r="I448" s="9">
        <f>IF('Data Source'!B448="","",'Data Source'!AA448)</f>
        <v/>
      </c>
      <c r="J448" s="9">
        <f>IF('Data Source'!B448="","",'Data Source'!AB448)</f>
        <v/>
      </c>
      <c r="K448" s="9">
        <f>IF('Data Source'!B448="","",'Data Source'!AC448)</f>
        <v/>
      </c>
      <c r="L448" s="9">
        <f>IF('Data Source'!B448="","",'Data Source'!AD448)</f>
        <v/>
      </c>
      <c r="M448" s="9">
        <f>IF('Data Source'!B448="","",'Data Source'!AE448)</f>
        <v/>
      </c>
      <c r="N448" s="9">
        <f>IF('Data Source'!B448="","",'Data Source'!AF448)</f>
        <v/>
      </c>
      <c r="O448" s="9">
        <f>IF('Data Source'!B448="","",'Data Source'!AG448)</f>
        <v/>
      </c>
      <c r="P448" s="5">
        <f>IF('Data Source'!B448="","",'Data Source'!R448)</f>
        <v/>
      </c>
      <c r="Q448" s="3">
        <f>IF('Data Source'!B448="","",'Data Source'!S448)</f>
        <v/>
      </c>
    </row>
    <row r="449">
      <c r="A449" s="3">
        <f>IF('Data Source'!B449="","",'Data Source'!A449)</f>
        <v/>
      </c>
      <c r="B449">
        <f>IF('Data Source'!B449="","",'Data Source'!B449)</f>
        <v/>
      </c>
      <c r="C449" s="9">
        <f>IF('Data Source'!B449="","",'Data Source'!U449)</f>
        <v/>
      </c>
      <c r="D449" s="9">
        <f>IF('Data Source'!B449="","",'Data Source'!V449)</f>
        <v/>
      </c>
      <c r="E449" s="9">
        <f>IF('Data Source'!B449="","",'Data Source'!W449)</f>
        <v/>
      </c>
      <c r="F449" s="9">
        <f>IF('Data Source'!B449="","",'Data Source'!X449)</f>
        <v/>
      </c>
      <c r="G449" s="9">
        <f>IF('Data Source'!B449="","",'Data Source'!Y449)</f>
        <v/>
      </c>
      <c r="H449" s="9">
        <f>IF('Data Source'!B449="","",'Data Source'!Z449)</f>
        <v/>
      </c>
      <c r="I449" s="9">
        <f>IF('Data Source'!B449="","",'Data Source'!AA449)</f>
        <v/>
      </c>
      <c r="J449" s="9">
        <f>IF('Data Source'!B449="","",'Data Source'!AB449)</f>
        <v/>
      </c>
      <c r="K449" s="9">
        <f>IF('Data Source'!B449="","",'Data Source'!AC449)</f>
        <v/>
      </c>
      <c r="L449" s="9">
        <f>IF('Data Source'!B449="","",'Data Source'!AD449)</f>
        <v/>
      </c>
      <c r="M449" s="9">
        <f>IF('Data Source'!B449="","",'Data Source'!AE449)</f>
        <v/>
      </c>
      <c r="N449" s="9">
        <f>IF('Data Source'!B449="","",'Data Source'!AF449)</f>
        <v/>
      </c>
      <c r="O449" s="9">
        <f>IF('Data Source'!B449="","",'Data Source'!AG449)</f>
        <v/>
      </c>
      <c r="P449" s="5">
        <f>IF('Data Source'!B449="","",'Data Source'!R449)</f>
        <v/>
      </c>
      <c r="Q449" s="3">
        <f>IF('Data Source'!B449="","",'Data Source'!S449)</f>
        <v/>
      </c>
    </row>
    <row r="450">
      <c r="A450" s="3">
        <f>IF('Data Source'!B450="","",'Data Source'!A450)</f>
        <v/>
      </c>
      <c r="B450">
        <f>IF('Data Source'!B450="","",'Data Source'!B450)</f>
        <v/>
      </c>
      <c r="C450" s="9">
        <f>IF('Data Source'!B450="","",'Data Source'!U450)</f>
        <v/>
      </c>
      <c r="D450" s="9">
        <f>IF('Data Source'!B450="","",'Data Source'!V450)</f>
        <v/>
      </c>
      <c r="E450" s="9">
        <f>IF('Data Source'!B450="","",'Data Source'!W450)</f>
        <v/>
      </c>
      <c r="F450" s="9">
        <f>IF('Data Source'!B450="","",'Data Source'!X450)</f>
        <v/>
      </c>
      <c r="G450" s="9">
        <f>IF('Data Source'!B450="","",'Data Source'!Y450)</f>
        <v/>
      </c>
      <c r="H450" s="9">
        <f>IF('Data Source'!B450="","",'Data Source'!Z450)</f>
        <v/>
      </c>
      <c r="I450" s="9">
        <f>IF('Data Source'!B450="","",'Data Source'!AA450)</f>
        <v/>
      </c>
      <c r="J450" s="9">
        <f>IF('Data Source'!B450="","",'Data Source'!AB450)</f>
        <v/>
      </c>
      <c r="K450" s="9">
        <f>IF('Data Source'!B450="","",'Data Source'!AC450)</f>
        <v/>
      </c>
      <c r="L450" s="9">
        <f>IF('Data Source'!B450="","",'Data Source'!AD450)</f>
        <v/>
      </c>
      <c r="M450" s="9">
        <f>IF('Data Source'!B450="","",'Data Source'!AE450)</f>
        <v/>
      </c>
      <c r="N450" s="9">
        <f>IF('Data Source'!B450="","",'Data Source'!AF450)</f>
        <v/>
      </c>
      <c r="O450" s="9">
        <f>IF('Data Source'!B450="","",'Data Source'!AG450)</f>
        <v/>
      </c>
      <c r="P450" s="5">
        <f>IF('Data Source'!B450="","",'Data Source'!R450)</f>
        <v/>
      </c>
      <c r="Q450" s="3">
        <f>IF('Data Source'!B450="","",'Data Source'!S450)</f>
        <v/>
      </c>
    </row>
    <row r="451">
      <c r="A451" s="3">
        <f>IF('Data Source'!B451="","",'Data Source'!A451)</f>
        <v/>
      </c>
      <c r="B451">
        <f>IF('Data Source'!B451="","",'Data Source'!B451)</f>
        <v/>
      </c>
      <c r="C451" s="9">
        <f>IF('Data Source'!B451="","",'Data Source'!U451)</f>
        <v/>
      </c>
      <c r="D451" s="9">
        <f>IF('Data Source'!B451="","",'Data Source'!V451)</f>
        <v/>
      </c>
      <c r="E451" s="9">
        <f>IF('Data Source'!B451="","",'Data Source'!W451)</f>
        <v/>
      </c>
      <c r="F451" s="9">
        <f>IF('Data Source'!B451="","",'Data Source'!X451)</f>
        <v/>
      </c>
      <c r="G451" s="9">
        <f>IF('Data Source'!B451="","",'Data Source'!Y451)</f>
        <v/>
      </c>
      <c r="H451" s="9">
        <f>IF('Data Source'!B451="","",'Data Source'!Z451)</f>
        <v/>
      </c>
      <c r="I451" s="9">
        <f>IF('Data Source'!B451="","",'Data Source'!AA451)</f>
        <v/>
      </c>
      <c r="J451" s="9">
        <f>IF('Data Source'!B451="","",'Data Source'!AB451)</f>
        <v/>
      </c>
      <c r="K451" s="9">
        <f>IF('Data Source'!B451="","",'Data Source'!AC451)</f>
        <v/>
      </c>
      <c r="L451" s="9">
        <f>IF('Data Source'!B451="","",'Data Source'!AD451)</f>
        <v/>
      </c>
      <c r="M451" s="9">
        <f>IF('Data Source'!B451="","",'Data Source'!AE451)</f>
        <v/>
      </c>
      <c r="N451" s="9">
        <f>IF('Data Source'!B451="","",'Data Source'!AF451)</f>
        <v/>
      </c>
      <c r="O451" s="9">
        <f>IF('Data Source'!B451="","",'Data Source'!AG451)</f>
        <v/>
      </c>
      <c r="P451" s="5">
        <f>IF('Data Source'!B451="","",'Data Source'!R451)</f>
        <v/>
      </c>
      <c r="Q451" s="3">
        <f>IF('Data Source'!B451="","",'Data Source'!S451)</f>
        <v/>
      </c>
    </row>
    <row r="452">
      <c r="A452" s="3">
        <f>IF('Data Source'!B452="","",'Data Source'!A452)</f>
        <v/>
      </c>
      <c r="B452">
        <f>IF('Data Source'!B452="","",'Data Source'!B452)</f>
        <v/>
      </c>
      <c r="C452" s="9">
        <f>IF('Data Source'!B452="","",'Data Source'!U452)</f>
        <v/>
      </c>
      <c r="D452" s="9">
        <f>IF('Data Source'!B452="","",'Data Source'!V452)</f>
        <v/>
      </c>
      <c r="E452" s="9">
        <f>IF('Data Source'!B452="","",'Data Source'!W452)</f>
        <v/>
      </c>
      <c r="F452" s="9">
        <f>IF('Data Source'!B452="","",'Data Source'!X452)</f>
        <v/>
      </c>
      <c r="G452" s="9">
        <f>IF('Data Source'!B452="","",'Data Source'!Y452)</f>
        <v/>
      </c>
      <c r="H452" s="9">
        <f>IF('Data Source'!B452="","",'Data Source'!Z452)</f>
        <v/>
      </c>
      <c r="I452" s="9">
        <f>IF('Data Source'!B452="","",'Data Source'!AA452)</f>
        <v/>
      </c>
      <c r="J452" s="9">
        <f>IF('Data Source'!B452="","",'Data Source'!AB452)</f>
        <v/>
      </c>
      <c r="K452" s="9">
        <f>IF('Data Source'!B452="","",'Data Source'!AC452)</f>
        <v/>
      </c>
      <c r="L452" s="9">
        <f>IF('Data Source'!B452="","",'Data Source'!AD452)</f>
        <v/>
      </c>
      <c r="M452" s="9">
        <f>IF('Data Source'!B452="","",'Data Source'!AE452)</f>
        <v/>
      </c>
      <c r="N452" s="9">
        <f>IF('Data Source'!B452="","",'Data Source'!AF452)</f>
        <v/>
      </c>
      <c r="O452" s="9">
        <f>IF('Data Source'!B452="","",'Data Source'!AG452)</f>
        <v/>
      </c>
      <c r="P452" s="5">
        <f>IF('Data Source'!B452="","",'Data Source'!R452)</f>
        <v/>
      </c>
      <c r="Q452" s="3">
        <f>IF('Data Source'!B452="","",'Data Source'!S452)</f>
        <v/>
      </c>
    </row>
    <row r="453">
      <c r="A453" s="3">
        <f>IF('Data Source'!B453="","",'Data Source'!A453)</f>
        <v/>
      </c>
      <c r="B453">
        <f>IF('Data Source'!B453="","",'Data Source'!B453)</f>
        <v/>
      </c>
      <c r="C453" s="9">
        <f>IF('Data Source'!B453="","",'Data Source'!U453)</f>
        <v/>
      </c>
      <c r="D453" s="9">
        <f>IF('Data Source'!B453="","",'Data Source'!V453)</f>
        <v/>
      </c>
      <c r="E453" s="9">
        <f>IF('Data Source'!B453="","",'Data Source'!W453)</f>
        <v/>
      </c>
      <c r="F453" s="9">
        <f>IF('Data Source'!B453="","",'Data Source'!X453)</f>
        <v/>
      </c>
      <c r="G453" s="9">
        <f>IF('Data Source'!B453="","",'Data Source'!Y453)</f>
        <v/>
      </c>
      <c r="H453" s="9">
        <f>IF('Data Source'!B453="","",'Data Source'!Z453)</f>
        <v/>
      </c>
      <c r="I453" s="9">
        <f>IF('Data Source'!B453="","",'Data Source'!AA453)</f>
        <v/>
      </c>
      <c r="J453" s="9">
        <f>IF('Data Source'!B453="","",'Data Source'!AB453)</f>
        <v/>
      </c>
      <c r="K453" s="9">
        <f>IF('Data Source'!B453="","",'Data Source'!AC453)</f>
        <v/>
      </c>
      <c r="L453" s="9">
        <f>IF('Data Source'!B453="","",'Data Source'!AD453)</f>
        <v/>
      </c>
      <c r="M453" s="9">
        <f>IF('Data Source'!B453="","",'Data Source'!AE453)</f>
        <v/>
      </c>
      <c r="N453" s="9">
        <f>IF('Data Source'!B453="","",'Data Source'!AF453)</f>
        <v/>
      </c>
      <c r="O453" s="9">
        <f>IF('Data Source'!B453="","",'Data Source'!AG453)</f>
        <v/>
      </c>
      <c r="P453" s="5">
        <f>IF('Data Source'!B453="","",'Data Source'!R453)</f>
        <v/>
      </c>
      <c r="Q453" s="3">
        <f>IF('Data Source'!B453="","",'Data Source'!S453)</f>
        <v/>
      </c>
    </row>
    <row r="454">
      <c r="A454" s="3">
        <f>IF('Data Source'!B454="","",'Data Source'!A454)</f>
        <v/>
      </c>
      <c r="B454">
        <f>IF('Data Source'!B454="","",'Data Source'!B454)</f>
        <v/>
      </c>
      <c r="C454" s="9">
        <f>IF('Data Source'!B454="","",'Data Source'!U454)</f>
        <v/>
      </c>
      <c r="D454" s="9">
        <f>IF('Data Source'!B454="","",'Data Source'!V454)</f>
        <v/>
      </c>
      <c r="E454" s="9">
        <f>IF('Data Source'!B454="","",'Data Source'!W454)</f>
        <v/>
      </c>
      <c r="F454" s="9">
        <f>IF('Data Source'!B454="","",'Data Source'!X454)</f>
        <v/>
      </c>
      <c r="G454" s="9">
        <f>IF('Data Source'!B454="","",'Data Source'!Y454)</f>
        <v/>
      </c>
      <c r="H454" s="9">
        <f>IF('Data Source'!B454="","",'Data Source'!Z454)</f>
        <v/>
      </c>
      <c r="I454" s="9">
        <f>IF('Data Source'!B454="","",'Data Source'!AA454)</f>
        <v/>
      </c>
      <c r="J454" s="9">
        <f>IF('Data Source'!B454="","",'Data Source'!AB454)</f>
        <v/>
      </c>
      <c r="K454" s="9">
        <f>IF('Data Source'!B454="","",'Data Source'!AC454)</f>
        <v/>
      </c>
      <c r="L454" s="9">
        <f>IF('Data Source'!B454="","",'Data Source'!AD454)</f>
        <v/>
      </c>
      <c r="M454" s="9">
        <f>IF('Data Source'!B454="","",'Data Source'!AE454)</f>
        <v/>
      </c>
      <c r="N454" s="9">
        <f>IF('Data Source'!B454="","",'Data Source'!AF454)</f>
        <v/>
      </c>
      <c r="O454" s="9">
        <f>IF('Data Source'!B454="","",'Data Source'!AG454)</f>
        <v/>
      </c>
      <c r="P454" s="5">
        <f>IF('Data Source'!B454="","",'Data Source'!R454)</f>
        <v/>
      </c>
      <c r="Q454" s="3">
        <f>IF('Data Source'!B454="","",'Data Source'!S454)</f>
        <v/>
      </c>
    </row>
    <row r="455">
      <c r="A455" s="3">
        <f>IF('Data Source'!B455="","",'Data Source'!A455)</f>
        <v/>
      </c>
      <c r="B455">
        <f>IF('Data Source'!B455="","",'Data Source'!B455)</f>
        <v/>
      </c>
      <c r="C455" s="9">
        <f>IF('Data Source'!B455="","",'Data Source'!U455)</f>
        <v/>
      </c>
      <c r="D455" s="9">
        <f>IF('Data Source'!B455="","",'Data Source'!V455)</f>
        <v/>
      </c>
      <c r="E455" s="9">
        <f>IF('Data Source'!B455="","",'Data Source'!W455)</f>
        <v/>
      </c>
      <c r="F455" s="9">
        <f>IF('Data Source'!B455="","",'Data Source'!X455)</f>
        <v/>
      </c>
      <c r="G455" s="9">
        <f>IF('Data Source'!B455="","",'Data Source'!Y455)</f>
        <v/>
      </c>
      <c r="H455" s="9">
        <f>IF('Data Source'!B455="","",'Data Source'!Z455)</f>
        <v/>
      </c>
      <c r="I455" s="9">
        <f>IF('Data Source'!B455="","",'Data Source'!AA455)</f>
        <v/>
      </c>
      <c r="J455" s="9">
        <f>IF('Data Source'!B455="","",'Data Source'!AB455)</f>
        <v/>
      </c>
      <c r="K455" s="9">
        <f>IF('Data Source'!B455="","",'Data Source'!AC455)</f>
        <v/>
      </c>
      <c r="L455" s="9">
        <f>IF('Data Source'!B455="","",'Data Source'!AD455)</f>
        <v/>
      </c>
      <c r="M455" s="9">
        <f>IF('Data Source'!B455="","",'Data Source'!AE455)</f>
        <v/>
      </c>
      <c r="N455" s="9">
        <f>IF('Data Source'!B455="","",'Data Source'!AF455)</f>
        <v/>
      </c>
      <c r="O455" s="9">
        <f>IF('Data Source'!B455="","",'Data Source'!AG455)</f>
        <v/>
      </c>
      <c r="P455" s="5">
        <f>IF('Data Source'!B455="","",'Data Source'!R455)</f>
        <v/>
      </c>
      <c r="Q455" s="3">
        <f>IF('Data Source'!B455="","",'Data Source'!S455)</f>
        <v/>
      </c>
    </row>
    <row r="456">
      <c r="A456" s="3">
        <f>IF('Data Source'!B456="","",'Data Source'!A456)</f>
        <v/>
      </c>
      <c r="B456">
        <f>IF('Data Source'!B456="","",'Data Source'!B456)</f>
        <v/>
      </c>
      <c r="C456" s="9">
        <f>IF('Data Source'!B456="","",'Data Source'!U456)</f>
        <v/>
      </c>
      <c r="D456" s="9">
        <f>IF('Data Source'!B456="","",'Data Source'!V456)</f>
        <v/>
      </c>
      <c r="E456" s="9">
        <f>IF('Data Source'!B456="","",'Data Source'!W456)</f>
        <v/>
      </c>
      <c r="F456" s="9">
        <f>IF('Data Source'!B456="","",'Data Source'!X456)</f>
        <v/>
      </c>
      <c r="G456" s="9">
        <f>IF('Data Source'!B456="","",'Data Source'!Y456)</f>
        <v/>
      </c>
      <c r="H456" s="9">
        <f>IF('Data Source'!B456="","",'Data Source'!Z456)</f>
        <v/>
      </c>
      <c r="I456" s="9">
        <f>IF('Data Source'!B456="","",'Data Source'!AA456)</f>
        <v/>
      </c>
      <c r="J456" s="9">
        <f>IF('Data Source'!B456="","",'Data Source'!AB456)</f>
        <v/>
      </c>
      <c r="K456" s="9">
        <f>IF('Data Source'!B456="","",'Data Source'!AC456)</f>
        <v/>
      </c>
      <c r="L456" s="9">
        <f>IF('Data Source'!B456="","",'Data Source'!AD456)</f>
        <v/>
      </c>
      <c r="M456" s="9">
        <f>IF('Data Source'!B456="","",'Data Source'!AE456)</f>
        <v/>
      </c>
      <c r="N456" s="9">
        <f>IF('Data Source'!B456="","",'Data Source'!AF456)</f>
        <v/>
      </c>
      <c r="O456" s="9">
        <f>IF('Data Source'!B456="","",'Data Source'!AG456)</f>
        <v/>
      </c>
      <c r="P456" s="5">
        <f>IF('Data Source'!B456="","",'Data Source'!R456)</f>
        <v/>
      </c>
      <c r="Q456" s="3">
        <f>IF('Data Source'!B456="","",'Data Source'!S456)</f>
        <v/>
      </c>
    </row>
    <row r="457">
      <c r="A457" s="3">
        <f>IF('Data Source'!B457="","",'Data Source'!A457)</f>
        <v/>
      </c>
      <c r="B457">
        <f>IF('Data Source'!B457="","",'Data Source'!B457)</f>
        <v/>
      </c>
      <c r="C457" s="9">
        <f>IF('Data Source'!B457="","",'Data Source'!U457)</f>
        <v/>
      </c>
      <c r="D457" s="9">
        <f>IF('Data Source'!B457="","",'Data Source'!V457)</f>
        <v/>
      </c>
      <c r="E457" s="9">
        <f>IF('Data Source'!B457="","",'Data Source'!W457)</f>
        <v/>
      </c>
      <c r="F457" s="9">
        <f>IF('Data Source'!B457="","",'Data Source'!X457)</f>
        <v/>
      </c>
      <c r="G457" s="9">
        <f>IF('Data Source'!B457="","",'Data Source'!Y457)</f>
        <v/>
      </c>
      <c r="H457" s="9">
        <f>IF('Data Source'!B457="","",'Data Source'!Z457)</f>
        <v/>
      </c>
      <c r="I457" s="9">
        <f>IF('Data Source'!B457="","",'Data Source'!AA457)</f>
        <v/>
      </c>
      <c r="J457" s="9">
        <f>IF('Data Source'!B457="","",'Data Source'!AB457)</f>
        <v/>
      </c>
      <c r="K457" s="9">
        <f>IF('Data Source'!B457="","",'Data Source'!AC457)</f>
        <v/>
      </c>
      <c r="L457" s="9">
        <f>IF('Data Source'!B457="","",'Data Source'!AD457)</f>
        <v/>
      </c>
      <c r="M457" s="9">
        <f>IF('Data Source'!B457="","",'Data Source'!AE457)</f>
        <v/>
      </c>
      <c r="N457" s="9">
        <f>IF('Data Source'!B457="","",'Data Source'!AF457)</f>
        <v/>
      </c>
      <c r="O457" s="9">
        <f>IF('Data Source'!B457="","",'Data Source'!AG457)</f>
        <v/>
      </c>
      <c r="P457" s="5">
        <f>IF('Data Source'!B457="","",'Data Source'!R457)</f>
        <v/>
      </c>
      <c r="Q457" s="3">
        <f>IF('Data Source'!B457="","",'Data Source'!S457)</f>
        <v/>
      </c>
    </row>
    <row r="458">
      <c r="A458" s="3">
        <f>IF('Data Source'!B458="","",'Data Source'!A458)</f>
        <v/>
      </c>
      <c r="B458">
        <f>IF('Data Source'!B458="","",'Data Source'!B458)</f>
        <v/>
      </c>
      <c r="C458" s="9">
        <f>IF('Data Source'!B458="","",'Data Source'!U458)</f>
        <v/>
      </c>
      <c r="D458" s="9">
        <f>IF('Data Source'!B458="","",'Data Source'!V458)</f>
        <v/>
      </c>
      <c r="E458" s="9">
        <f>IF('Data Source'!B458="","",'Data Source'!W458)</f>
        <v/>
      </c>
      <c r="F458" s="9">
        <f>IF('Data Source'!B458="","",'Data Source'!X458)</f>
        <v/>
      </c>
      <c r="G458" s="9">
        <f>IF('Data Source'!B458="","",'Data Source'!Y458)</f>
        <v/>
      </c>
      <c r="H458" s="9">
        <f>IF('Data Source'!B458="","",'Data Source'!Z458)</f>
        <v/>
      </c>
      <c r="I458" s="9">
        <f>IF('Data Source'!B458="","",'Data Source'!AA458)</f>
        <v/>
      </c>
      <c r="J458" s="9">
        <f>IF('Data Source'!B458="","",'Data Source'!AB458)</f>
        <v/>
      </c>
      <c r="K458" s="9">
        <f>IF('Data Source'!B458="","",'Data Source'!AC458)</f>
        <v/>
      </c>
      <c r="L458" s="9">
        <f>IF('Data Source'!B458="","",'Data Source'!AD458)</f>
        <v/>
      </c>
      <c r="M458" s="9">
        <f>IF('Data Source'!B458="","",'Data Source'!AE458)</f>
        <v/>
      </c>
      <c r="N458" s="9">
        <f>IF('Data Source'!B458="","",'Data Source'!AF458)</f>
        <v/>
      </c>
      <c r="O458" s="9">
        <f>IF('Data Source'!B458="","",'Data Source'!AG458)</f>
        <v/>
      </c>
      <c r="P458" s="5">
        <f>IF('Data Source'!B458="","",'Data Source'!R458)</f>
        <v/>
      </c>
      <c r="Q458" s="3">
        <f>IF('Data Source'!B458="","",'Data Source'!S458)</f>
        <v/>
      </c>
    </row>
    <row r="459">
      <c r="A459" s="3">
        <f>IF('Data Source'!B459="","",'Data Source'!A459)</f>
        <v/>
      </c>
      <c r="B459">
        <f>IF('Data Source'!B459="","",'Data Source'!B459)</f>
        <v/>
      </c>
      <c r="C459" s="9">
        <f>IF('Data Source'!B459="","",'Data Source'!U459)</f>
        <v/>
      </c>
      <c r="D459" s="9">
        <f>IF('Data Source'!B459="","",'Data Source'!V459)</f>
        <v/>
      </c>
      <c r="E459" s="9">
        <f>IF('Data Source'!B459="","",'Data Source'!W459)</f>
        <v/>
      </c>
      <c r="F459" s="9">
        <f>IF('Data Source'!B459="","",'Data Source'!X459)</f>
        <v/>
      </c>
      <c r="G459" s="9">
        <f>IF('Data Source'!B459="","",'Data Source'!Y459)</f>
        <v/>
      </c>
      <c r="H459" s="9">
        <f>IF('Data Source'!B459="","",'Data Source'!Z459)</f>
        <v/>
      </c>
      <c r="I459" s="9">
        <f>IF('Data Source'!B459="","",'Data Source'!AA459)</f>
        <v/>
      </c>
      <c r="J459" s="9">
        <f>IF('Data Source'!B459="","",'Data Source'!AB459)</f>
        <v/>
      </c>
      <c r="K459" s="9">
        <f>IF('Data Source'!B459="","",'Data Source'!AC459)</f>
        <v/>
      </c>
      <c r="L459" s="9">
        <f>IF('Data Source'!B459="","",'Data Source'!AD459)</f>
        <v/>
      </c>
      <c r="M459" s="9">
        <f>IF('Data Source'!B459="","",'Data Source'!AE459)</f>
        <v/>
      </c>
      <c r="N459" s="9">
        <f>IF('Data Source'!B459="","",'Data Source'!AF459)</f>
        <v/>
      </c>
      <c r="O459" s="9">
        <f>IF('Data Source'!B459="","",'Data Source'!AG459)</f>
        <v/>
      </c>
      <c r="P459" s="5">
        <f>IF('Data Source'!B459="","",'Data Source'!R459)</f>
        <v/>
      </c>
      <c r="Q459" s="3">
        <f>IF('Data Source'!B459="","",'Data Source'!S459)</f>
        <v/>
      </c>
    </row>
    <row r="460">
      <c r="A460" s="3">
        <f>IF('Data Source'!B460="","",'Data Source'!A460)</f>
        <v/>
      </c>
      <c r="B460">
        <f>IF('Data Source'!B460="","",'Data Source'!B460)</f>
        <v/>
      </c>
      <c r="C460" s="9">
        <f>IF('Data Source'!B460="","",'Data Source'!U460)</f>
        <v/>
      </c>
      <c r="D460" s="9">
        <f>IF('Data Source'!B460="","",'Data Source'!V460)</f>
        <v/>
      </c>
      <c r="E460" s="9">
        <f>IF('Data Source'!B460="","",'Data Source'!W460)</f>
        <v/>
      </c>
      <c r="F460" s="9">
        <f>IF('Data Source'!B460="","",'Data Source'!X460)</f>
        <v/>
      </c>
      <c r="G460" s="9">
        <f>IF('Data Source'!B460="","",'Data Source'!Y460)</f>
        <v/>
      </c>
      <c r="H460" s="9">
        <f>IF('Data Source'!B460="","",'Data Source'!Z460)</f>
        <v/>
      </c>
      <c r="I460" s="9">
        <f>IF('Data Source'!B460="","",'Data Source'!AA460)</f>
        <v/>
      </c>
      <c r="J460" s="9">
        <f>IF('Data Source'!B460="","",'Data Source'!AB460)</f>
        <v/>
      </c>
      <c r="K460" s="9">
        <f>IF('Data Source'!B460="","",'Data Source'!AC460)</f>
        <v/>
      </c>
      <c r="L460" s="9">
        <f>IF('Data Source'!B460="","",'Data Source'!AD460)</f>
        <v/>
      </c>
      <c r="M460" s="9">
        <f>IF('Data Source'!B460="","",'Data Source'!AE460)</f>
        <v/>
      </c>
      <c r="N460" s="9">
        <f>IF('Data Source'!B460="","",'Data Source'!AF460)</f>
        <v/>
      </c>
      <c r="O460" s="9">
        <f>IF('Data Source'!B460="","",'Data Source'!AG460)</f>
        <v/>
      </c>
      <c r="P460" s="5">
        <f>IF('Data Source'!B460="","",'Data Source'!R460)</f>
        <v/>
      </c>
      <c r="Q460" s="3">
        <f>IF('Data Source'!B460="","",'Data Source'!S460)</f>
        <v/>
      </c>
    </row>
    <row r="461">
      <c r="A461" s="3">
        <f>IF('Data Source'!B461="","",'Data Source'!A461)</f>
        <v/>
      </c>
      <c r="B461">
        <f>IF('Data Source'!B461="","",'Data Source'!B461)</f>
        <v/>
      </c>
      <c r="C461" s="9">
        <f>IF('Data Source'!B461="","",'Data Source'!U461)</f>
        <v/>
      </c>
      <c r="D461" s="9">
        <f>IF('Data Source'!B461="","",'Data Source'!V461)</f>
        <v/>
      </c>
      <c r="E461" s="9">
        <f>IF('Data Source'!B461="","",'Data Source'!W461)</f>
        <v/>
      </c>
      <c r="F461" s="9">
        <f>IF('Data Source'!B461="","",'Data Source'!X461)</f>
        <v/>
      </c>
      <c r="G461" s="9">
        <f>IF('Data Source'!B461="","",'Data Source'!Y461)</f>
        <v/>
      </c>
      <c r="H461" s="9">
        <f>IF('Data Source'!B461="","",'Data Source'!Z461)</f>
        <v/>
      </c>
      <c r="I461" s="9">
        <f>IF('Data Source'!B461="","",'Data Source'!AA461)</f>
        <v/>
      </c>
      <c r="J461" s="9">
        <f>IF('Data Source'!B461="","",'Data Source'!AB461)</f>
        <v/>
      </c>
      <c r="K461" s="9">
        <f>IF('Data Source'!B461="","",'Data Source'!AC461)</f>
        <v/>
      </c>
      <c r="L461" s="9">
        <f>IF('Data Source'!B461="","",'Data Source'!AD461)</f>
        <v/>
      </c>
      <c r="M461" s="9">
        <f>IF('Data Source'!B461="","",'Data Source'!AE461)</f>
        <v/>
      </c>
      <c r="N461" s="9">
        <f>IF('Data Source'!B461="","",'Data Source'!AF461)</f>
        <v/>
      </c>
      <c r="O461" s="9">
        <f>IF('Data Source'!B461="","",'Data Source'!AG461)</f>
        <v/>
      </c>
      <c r="P461" s="5">
        <f>IF('Data Source'!B461="","",'Data Source'!R461)</f>
        <v/>
      </c>
      <c r="Q461" s="3">
        <f>IF('Data Source'!B461="","",'Data Source'!S461)</f>
        <v/>
      </c>
    </row>
    <row r="462">
      <c r="A462" s="3">
        <f>IF('Data Source'!B462="","",'Data Source'!A462)</f>
        <v/>
      </c>
      <c r="B462">
        <f>IF('Data Source'!B462="","",'Data Source'!B462)</f>
        <v/>
      </c>
      <c r="C462" s="9">
        <f>IF('Data Source'!B462="","",'Data Source'!U462)</f>
        <v/>
      </c>
      <c r="D462" s="9">
        <f>IF('Data Source'!B462="","",'Data Source'!V462)</f>
        <v/>
      </c>
      <c r="E462" s="9">
        <f>IF('Data Source'!B462="","",'Data Source'!W462)</f>
        <v/>
      </c>
      <c r="F462" s="9">
        <f>IF('Data Source'!B462="","",'Data Source'!X462)</f>
        <v/>
      </c>
      <c r="G462" s="9">
        <f>IF('Data Source'!B462="","",'Data Source'!Y462)</f>
        <v/>
      </c>
      <c r="H462" s="9">
        <f>IF('Data Source'!B462="","",'Data Source'!Z462)</f>
        <v/>
      </c>
      <c r="I462" s="9">
        <f>IF('Data Source'!B462="","",'Data Source'!AA462)</f>
        <v/>
      </c>
      <c r="J462" s="9">
        <f>IF('Data Source'!B462="","",'Data Source'!AB462)</f>
        <v/>
      </c>
      <c r="K462" s="9">
        <f>IF('Data Source'!B462="","",'Data Source'!AC462)</f>
        <v/>
      </c>
      <c r="L462" s="9">
        <f>IF('Data Source'!B462="","",'Data Source'!AD462)</f>
        <v/>
      </c>
      <c r="M462" s="9">
        <f>IF('Data Source'!B462="","",'Data Source'!AE462)</f>
        <v/>
      </c>
      <c r="N462" s="9">
        <f>IF('Data Source'!B462="","",'Data Source'!AF462)</f>
        <v/>
      </c>
      <c r="O462" s="9">
        <f>IF('Data Source'!B462="","",'Data Source'!AG462)</f>
        <v/>
      </c>
      <c r="P462" s="5">
        <f>IF('Data Source'!B462="","",'Data Source'!R462)</f>
        <v/>
      </c>
      <c r="Q462" s="3">
        <f>IF('Data Source'!B462="","",'Data Source'!S462)</f>
        <v/>
      </c>
    </row>
    <row r="463">
      <c r="A463" s="3">
        <f>IF('Data Source'!B463="","",'Data Source'!A463)</f>
        <v/>
      </c>
      <c r="B463">
        <f>IF('Data Source'!B463="","",'Data Source'!B463)</f>
        <v/>
      </c>
      <c r="C463" s="9">
        <f>IF('Data Source'!B463="","",'Data Source'!U463)</f>
        <v/>
      </c>
      <c r="D463" s="9">
        <f>IF('Data Source'!B463="","",'Data Source'!V463)</f>
        <v/>
      </c>
      <c r="E463" s="9">
        <f>IF('Data Source'!B463="","",'Data Source'!W463)</f>
        <v/>
      </c>
      <c r="F463" s="9">
        <f>IF('Data Source'!B463="","",'Data Source'!X463)</f>
        <v/>
      </c>
      <c r="G463" s="9">
        <f>IF('Data Source'!B463="","",'Data Source'!Y463)</f>
        <v/>
      </c>
      <c r="H463" s="9">
        <f>IF('Data Source'!B463="","",'Data Source'!Z463)</f>
        <v/>
      </c>
      <c r="I463" s="9">
        <f>IF('Data Source'!B463="","",'Data Source'!AA463)</f>
        <v/>
      </c>
      <c r="J463" s="9">
        <f>IF('Data Source'!B463="","",'Data Source'!AB463)</f>
        <v/>
      </c>
      <c r="K463" s="9">
        <f>IF('Data Source'!B463="","",'Data Source'!AC463)</f>
        <v/>
      </c>
      <c r="L463" s="9">
        <f>IF('Data Source'!B463="","",'Data Source'!AD463)</f>
        <v/>
      </c>
      <c r="M463" s="9">
        <f>IF('Data Source'!B463="","",'Data Source'!AE463)</f>
        <v/>
      </c>
      <c r="N463" s="9">
        <f>IF('Data Source'!B463="","",'Data Source'!AF463)</f>
        <v/>
      </c>
      <c r="O463" s="9">
        <f>IF('Data Source'!B463="","",'Data Source'!AG463)</f>
        <v/>
      </c>
      <c r="P463" s="5">
        <f>IF('Data Source'!B463="","",'Data Source'!R463)</f>
        <v/>
      </c>
      <c r="Q463" s="3">
        <f>IF('Data Source'!B463="","",'Data Source'!S463)</f>
        <v/>
      </c>
    </row>
    <row r="464">
      <c r="A464" s="3">
        <f>IF('Data Source'!B464="","",'Data Source'!A464)</f>
        <v/>
      </c>
      <c r="B464">
        <f>IF('Data Source'!B464="","",'Data Source'!B464)</f>
        <v/>
      </c>
      <c r="C464" s="9">
        <f>IF('Data Source'!B464="","",'Data Source'!U464)</f>
        <v/>
      </c>
      <c r="D464" s="9">
        <f>IF('Data Source'!B464="","",'Data Source'!V464)</f>
        <v/>
      </c>
      <c r="E464" s="9">
        <f>IF('Data Source'!B464="","",'Data Source'!W464)</f>
        <v/>
      </c>
      <c r="F464" s="9">
        <f>IF('Data Source'!B464="","",'Data Source'!X464)</f>
        <v/>
      </c>
      <c r="G464" s="9">
        <f>IF('Data Source'!B464="","",'Data Source'!Y464)</f>
        <v/>
      </c>
      <c r="H464" s="9">
        <f>IF('Data Source'!B464="","",'Data Source'!Z464)</f>
        <v/>
      </c>
      <c r="I464" s="9">
        <f>IF('Data Source'!B464="","",'Data Source'!AA464)</f>
        <v/>
      </c>
      <c r="J464" s="9">
        <f>IF('Data Source'!B464="","",'Data Source'!AB464)</f>
        <v/>
      </c>
      <c r="K464" s="9">
        <f>IF('Data Source'!B464="","",'Data Source'!AC464)</f>
        <v/>
      </c>
      <c r="L464" s="9">
        <f>IF('Data Source'!B464="","",'Data Source'!AD464)</f>
        <v/>
      </c>
      <c r="M464" s="9">
        <f>IF('Data Source'!B464="","",'Data Source'!AE464)</f>
        <v/>
      </c>
      <c r="N464" s="9">
        <f>IF('Data Source'!B464="","",'Data Source'!AF464)</f>
        <v/>
      </c>
      <c r="O464" s="9">
        <f>IF('Data Source'!B464="","",'Data Source'!AG464)</f>
        <v/>
      </c>
      <c r="P464" s="5">
        <f>IF('Data Source'!B464="","",'Data Source'!R464)</f>
        <v/>
      </c>
      <c r="Q464" s="3">
        <f>IF('Data Source'!B464="","",'Data Source'!S464)</f>
        <v/>
      </c>
    </row>
    <row r="465">
      <c r="A465" s="3">
        <f>IF('Data Source'!B465="","",'Data Source'!A465)</f>
        <v/>
      </c>
      <c r="B465">
        <f>IF('Data Source'!B465="","",'Data Source'!B465)</f>
        <v/>
      </c>
      <c r="C465" s="9">
        <f>IF('Data Source'!B465="","",'Data Source'!U465)</f>
        <v/>
      </c>
      <c r="D465" s="9">
        <f>IF('Data Source'!B465="","",'Data Source'!V465)</f>
        <v/>
      </c>
      <c r="E465" s="9">
        <f>IF('Data Source'!B465="","",'Data Source'!W465)</f>
        <v/>
      </c>
      <c r="F465" s="9">
        <f>IF('Data Source'!B465="","",'Data Source'!X465)</f>
        <v/>
      </c>
      <c r="G465" s="9">
        <f>IF('Data Source'!B465="","",'Data Source'!Y465)</f>
        <v/>
      </c>
      <c r="H465" s="9">
        <f>IF('Data Source'!B465="","",'Data Source'!Z465)</f>
        <v/>
      </c>
      <c r="I465" s="9">
        <f>IF('Data Source'!B465="","",'Data Source'!AA465)</f>
        <v/>
      </c>
      <c r="J465" s="9">
        <f>IF('Data Source'!B465="","",'Data Source'!AB465)</f>
        <v/>
      </c>
      <c r="K465" s="9">
        <f>IF('Data Source'!B465="","",'Data Source'!AC465)</f>
        <v/>
      </c>
      <c r="L465" s="9">
        <f>IF('Data Source'!B465="","",'Data Source'!AD465)</f>
        <v/>
      </c>
      <c r="M465" s="9">
        <f>IF('Data Source'!B465="","",'Data Source'!AE465)</f>
        <v/>
      </c>
      <c r="N465" s="9">
        <f>IF('Data Source'!B465="","",'Data Source'!AF465)</f>
        <v/>
      </c>
      <c r="O465" s="9">
        <f>IF('Data Source'!B465="","",'Data Source'!AG465)</f>
        <v/>
      </c>
      <c r="P465" s="5">
        <f>IF('Data Source'!B465="","",'Data Source'!R465)</f>
        <v/>
      </c>
      <c r="Q465" s="3">
        <f>IF('Data Source'!B465="","",'Data Source'!S465)</f>
        <v/>
      </c>
    </row>
    <row r="466">
      <c r="A466" s="3">
        <f>IF('Data Source'!B466="","",'Data Source'!A466)</f>
        <v/>
      </c>
      <c r="B466">
        <f>IF('Data Source'!B466="","",'Data Source'!B466)</f>
        <v/>
      </c>
      <c r="C466" s="9">
        <f>IF('Data Source'!B466="","",'Data Source'!U466)</f>
        <v/>
      </c>
      <c r="D466" s="9">
        <f>IF('Data Source'!B466="","",'Data Source'!V466)</f>
        <v/>
      </c>
      <c r="E466" s="9">
        <f>IF('Data Source'!B466="","",'Data Source'!W466)</f>
        <v/>
      </c>
      <c r="F466" s="9">
        <f>IF('Data Source'!B466="","",'Data Source'!X466)</f>
        <v/>
      </c>
      <c r="G466" s="9">
        <f>IF('Data Source'!B466="","",'Data Source'!Y466)</f>
        <v/>
      </c>
      <c r="H466" s="9">
        <f>IF('Data Source'!B466="","",'Data Source'!Z466)</f>
        <v/>
      </c>
      <c r="I466" s="9">
        <f>IF('Data Source'!B466="","",'Data Source'!AA466)</f>
        <v/>
      </c>
      <c r="J466" s="9">
        <f>IF('Data Source'!B466="","",'Data Source'!AB466)</f>
        <v/>
      </c>
      <c r="K466" s="9">
        <f>IF('Data Source'!B466="","",'Data Source'!AC466)</f>
        <v/>
      </c>
      <c r="L466" s="9">
        <f>IF('Data Source'!B466="","",'Data Source'!AD466)</f>
        <v/>
      </c>
      <c r="M466" s="9">
        <f>IF('Data Source'!B466="","",'Data Source'!AE466)</f>
        <v/>
      </c>
      <c r="N466" s="9">
        <f>IF('Data Source'!B466="","",'Data Source'!AF466)</f>
        <v/>
      </c>
      <c r="O466" s="9">
        <f>IF('Data Source'!B466="","",'Data Source'!AG466)</f>
        <v/>
      </c>
      <c r="P466" s="5">
        <f>IF('Data Source'!B466="","",'Data Source'!R466)</f>
        <v/>
      </c>
      <c r="Q466" s="3">
        <f>IF('Data Source'!B466="","",'Data Source'!S466)</f>
        <v/>
      </c>
    </row>
    <row r="467">
      <c r="A467" s="3">
        <f>IF('Data Source'!B467="","",'Data Source'!A467)</f>
        <v/>
      </c>
      <c r="B467">
        <f>IF('Data Source'!B467="","",'Data Source'!B467)</f>
        <v/>
      </c>
      <c r="C467" s="9">
        <f>IF('Data Source'!B467="","",'Data Source'!U467)</f>
        <v/>
      </c>
      <c r="D467" s="9">
        <f>IF('Data Source'!B467="","",'Data Source'!V467)</f>
        <v/>
      </c>
      <c r="E467" s="9">
        <f>IF('Data Source'!B467="","",'Data Source'!W467)</f>
        <v/>
      </c>
      <c r="F467" s="9">
        <f>IF('Data Source'!B467="","",'Data Source'!X467)</f>
        <v/>
      </c>
      <c r="G467" s="9">
        <f>IF('Data Source'!B467="","",'Data Source'!Y467)</f>
        <v/>
      </c>
      <c r="H467" s="9">
        <f>IF('Data Source'!B467="","",'Data Source'!Z467)</f>
        <v/>
      </c>
      <c r="I467" s="9">
        <f>IF('Data Source'!B467="","",'Data Source'!AA467)</f>
        <v/>
      </c>
      <c r="J467" s="9">
        <f>IF('Data Source'!B467="","",'Data Source'!AB467)</f>
        <v/>
      </c>
      <c r="K467" s="9">
        <f>IF('Data Source'!B467="","",'Data Source'!AC467)</f>
        <v/>
      </c>
      <c r="L467" s="9">
        <f>IF('Data Source'!B467="","",'Data Source'!AD467)</f>
        <v/>
      </c>
      <c r="M467" s="9">
        <f>IF('Data Source'!B467="","",'Data Source'!AE467)</f>
        <v/>
      </c>
      <c r="N467" s="9">
        <f>IF('Data Source'!B467="","",'Data Source'!AF467)</f>
        <v/>
      </c>
      <c r="O467" s="9">
        <f>IF('Data Source'!B467="","",'Data Source'!AG467)</f>
        <v/>
      </c>
      <c r="P467" s="5">
        <f>IF('Data Source'!B467="","",'Data Source'!R467)</f>
        <v/>
      </c>
      <c r="Q467" s="3">
        <f>IF('Data Source'!B467="","",'Data Source'!S467)</f>
        <v/>
      </c>
    </row>
    <row r="468">
      <c r="A468" s="3">
        <f>IF('Data Source'!B468="","",'Data Source'!A468)</f>
        <v/>
      </c>
      <c r="B468">
        <f>IF('Data Source'!B468="","",'Data Source'!B468)</f>
        <v/>
      </c>
      <c r="C468" s="9">
        <f>IF('Data Source'!B468="","",'Data Source'!U468)</f>
        <v/>
      </c>
      <c r="D468" s="9">
        <f>IF('Data Source'!B468="","",'Data Source'!V468)</f>
        <v/>
      </c>
      <c r="E468" s="9">
        <f>IF('Data Source'!B468="","",'Data Source'!W468)</f>
        <v/>
      </c>
      <c r="F468" s="9">
        <f>IF('Data Source'!B468="","",'Data Source'!X468)</f>
        <v/>
      </c>
      <c r="G468" s="9">
        <f>IF('Data Source'!B468="","",'Data Source'!Y468)</f>
        <v/>
      </c>
      <c r="H468" s="9">
        <f>IF('Data Source'!B468="","",'Data Source'!Z468)</f>
        <v/>
      </c>
      <c r="I468" s="9">
        <f>IF('Data Source'!B468="","",'Data Source'!AA468)</f>
        <v/>
      </c>
      <c r="J468" s="9">
        <f>IF('Data Source'!B468="","",'Data Source'!AB468)</f>
        <v/>
      </c>
      <c r="K468" s="9">
        <f>IF('Data Source'!B468="","",'Data Source'!AC468)</f>
        <v/>
      </c>
      <c r="L468" s="9">
        <f>IF('Data Source'!B468="","",'Data Source'!AD468)</f>
        <v/>
      </c>
      <c r="M468" s="9">
        <f>IF('Data Source'!B468="","",'Data Source'!AE468)</f>
        <v/>
      </c>
      <c r="N468" s="9">
        <f>IF('Data Source'!B468="","",'Data Source'!AF468)</f>
        <v/>
      </c>
      <c r="O468" s="9">
        <f>IF('Data Source'!B468="","",'Data Source'!AG468)</f>
        <v/>
      </c>
      <c r="P468" s="5">
        <f>IF('Data Source'!B468="","",'Data Source'!R468)</f>
        <v/>
      </c>
      <c r="Q468" s="3">
        <f>IF('Data Source'!B468="","",'Data Source'!S468)</f>
        <v/>
      </c>
    </row>
    <row r="469">
      <c r="A469" s="3">
        <f>IF('Data Source'!B469="","",'Data Source'!A469)</f>
        <v/>
      </c>
      <c r="B469">
        <f>IF('Data Source'!B469="","",'Data Source'!B469)</f>
        <v/>
      </c>
      <c r="C469" s="9">
        <f>IF('Data Source'!B469="","",'Data Source'!U469)</f>
        <v/>
      </c>
      <c r="D469" s="9">
        <f>IF('Data Source'!B469="","",'Data Source'!V469)</f>
        <v/>
      </c>
      <c r="E469" s="9">
        <f>IF('Data Source'!B469="","",'Data Source'!W469)</f>
        <v/>
      </c>
      <c r="F469" s="9">
        <f>IF('Data Source'!B469="","",'Data Source'!X469)</f>
        <v/>
      </c>
      <c r="G469" s="9">
        <f>IF('Data Source'!B469="","",'Data Source'!Y469)</f>
        <v/>
      </c>
      <c r="H469" s="9">
        <f>IF('Data Source'!B469="","",'Data Source'!Z469)</f>
        <v/>
      </c>
      <c r="I469" s="9">
        <f>IF('Data Source'!B469="","",'Data Source'!AA469)</f>
        <v/>
      </c>
      <c r="J469" s="9">
        <f>IF('Data Source'!B469="","",'Data Source'!AB469)</f>
        <v/>
      </c>
      <c r="K469" s="9">
        <f>IF('Data Source'!B469="","",'Data Source'!AC469)</f>
        <v/>
      </c>
      <c r="L469" s="9">
        <f>IF('Data Source'!B469="","",'Data Source'!AD469)</f>
        <v/>
      </c>
      <c r="M469" s="9">
        <f>IF('Data Source'!B469="","",'Data Source'!AE469)</f>
        <v/>
      </c>
      <c r="N469" s="9">
        <f>IF('Data Source'!B469="","",'Data Source'!AF469)</f>
        <v/>
      </c>
      <c r="O469" s="9">
        <f>IF('Data Source'!B469="","",'Data Source'!AG469)</f>
        <v/>
      </c>
      <c r="P469" s="5">
        <f>IF('Data Source'!B469="","",'Data Source'!R469)</f>
        <v/>
      </c>
      <c r="Q469" s="3">
        <f>IF('Data Source'!B469="","",'Data Source'!S469)</f>
        <v/>
      </c>
    </row>
    <row r="470">
      <c r="A470" s="3">
        <f>IF('Data Source'!B470="","",'Data Source'!A470)</f>
        <v/>
      </c>
      <c r="B470">
        <f>IF('Data Source'!B470="","",'Data Source'!B470)</f>
        <v/>
      </c>
      <c r="C470" s="9">
        <f>IF('Data Source'!B470="","",'Data Source'!U470)</f>
        <v/>
      </c>
      <c r="D470" s="9">
        <f>IF('Data Source'!B470="","",'Data Source'!V470)</f>
        <v/>
      </c>
      <c r="E470" s="9">
        <f>IF('Data Source'!B470="","",'Data Source'!W470)</f>
        <v/>
      </c>
      <c r="F470" s="9">
        <f>IF('Data Source'!B470="","",'Data Source'!X470)</f>
        <v/>
      </c>
      <c r="G470" s="9">
        <f>IF('Data Source'!B470="","",'Data Source'!Y470)</f>
        <v/>
      </c>
      <c r="H470" s="9">
        <f>IF('Data Source'!B470="","",'Data Source'!Z470)</f>
        <v/>
      </c>
      <c r="I470" s="9">
        <f>IF('Data Source'!B470="","",'Data Source'!AA470)</f>
        <v/>
      </c>
      <c r="J470" s="9">
        <f>IF('Data Source'!B470="","",'Data Source'!AB470)</f>
        <v/>
      </c>
      <c r="K470" s="9">
        <f>IF('Data Source'!B470="","",'Data Source'!AC470)</f>
        <v/>
      </c>
      <c r="L470" s="9">
        <f>IF('Data Source'!B470="","",'Data Source'!AD470)</f>
        <v/>
      </c>
      <c r="M470" s="9">
        <f>IF('Data Source'!B470="","",'Data Source'!AE470)</f>
        <v/>
      </c>
      <c r="N470" s="9">
        <f>IF('Data Source'!B470="","",'Data Source'!AF470)</f>
        <v/>
      </c>
      <c r="O470" s="9">
        <f>IF('Data Source'!B470="","",'Data Source'!AG470)</f>
        <v/>
      </c>
      <c r="P470" s="5">
        <f>IF('Data Source'!B470="","",'Data Source'!R470)</f>
        <v/>
      </c>
      <c r="Q470" s="3">
        <f>IF('Data Source'!B470="","",'Data Source'!S470)</f>
        <v/>
      </c>
    </row>
    <row r="471">
      <c r="A471" s="3">
        <f>IF('Data Source'!B471="","",'Data Source'!A471)</f>
        <v/>
      </c>
      <c r="B471">
        <f>IF('Data Source'!B471="","",'Data Source'!B471)</f>
        <v/>
      </c>
      <c r="C471" s="9">
        <f>IF('Data Source'!B471="","",'Data Source'!U471)</f>
        <v/>
      </c>
      <c r="D471" s="9">
        <f>IF('Data Source'!B471="","",'Data Source'!V471)</f>
        <v/>
      </c>
      <c r="E471" s="9">
        <f>IF('Data Source'!B471="","",'Data Source'!W471)</f>
        <v/>
      </c>
      <c r="F471" s="9">
        <f>IF('Data Source'!B471="","",'Data Source'!X471)</f>
        <v/>
      </c>
      <c r="G471" s="9">
        <f>IF('Data Source'!B471="","",'Data Source'!Y471)</f>
        <v/>
      </c>
      <c r="H471" s="9">
        <f>IF('Data Source'!B471="","",'Data Source'!Z471)</f>
        <v/>
      </c>
      <c r="I471" s="9">
        <f>IF('Data Source'!B471="","",'Data Source'!AA471)</f>
        <v/>
      </c>
      <c r="J471" s="9">
        <f>IF('Data Source'!B471="","",'Data Source'!AB471)</f>
        <v/>
      </c>
      <c r="K471" s="9">
        <f>IF('Data Source'!B471="","",'Data Source'!AC471)</f>
        <v/>
      </c>
      <c r="L471" s="9">
        <f>IF('Data Source'!B471="","",'Data Source'!AD471)</f>
        <v/>
      </c>
      <c r="M471" s="9">
        <f>IF('Data Source'!B471="","",'Data Source'!AE471)</f>
        <v/>
      </c>
      <c r="N471" s="9">
        <f>IF('Data Source'!B471="","",'Data Source'!AF471)</f>
        <v/>
      </c>
      <c r="O471" s="9">
        <f>IF('Data Source'!B471="","",'Data Source'!AG471)</f>
        <v/>
      </c>
      <c r="P471" s="5">
        <f>IF('Data Source'!B471="","",'Data Source'!R471)</f>
        <v/>
      </c>
      <c r="Q471" s="3">
        <f>IF('Data Source'!B471="","",'Data Source'!S471)</f>
        <v/>
      </c>
    </row>
    <row r="472">
      <c r="A472" s="3">
        <f>IF('Data Source'!B472="","",'Data Source'!A472)</f>
        <v/>
      </c>
      <c r="B472">
        <f>IF('Data Source'!B472="","",'Data Source'!B472)</f>
        <v/>
      </c>
      <c r="C472" s="9">
        <f>IF('Data Source'!B472="","",'Data Source'!U472)</f>
        <v/>
      </c>
      <c r="D472" s="9">
        <f>IF('Data Source'!B472="","",'Data Source'!V472)</f>
        <v/>
      </c>
      <c r="E472" s="9">
        <f>IF('Data Source'!B472="","",'Data Source'!W472)</f>
        <v/>
      </c>
      <c r="F472" s="9">
        <f>IF('Data Source'!B472="","",'Data Source'!X472)</f>
        <v/>
      </c>
      <c r="G472" s="9">
        <f>IF('Data Source'!B472="","",'Data Source'!Y472)</f>
        <v/>
      </c>
      <c r="H472" s="9">
        <f>IF('Data Source'!B472="","",'Data Source'!Z472)</f>
        <v/>
      </c>
      <c r="I472" s="9">
        <f>IF('Data Source'!B472="","",'Data Source'!AA472)</f>
        <v/>
      </c>
      <c r="J472" s="9">
        <f>IF('Data Source'!B472="","",'Data Source'!AB472)</f>
        <v/>
      </c>
      <c r="K472" s="9">
        <f>IF('Data Source'!B472="","",'Data Source'!AC472)</f>
        <v/>
      </c>
      <c r="L472" s="9">
        <f>IF('Data Source'!B472="","",'Data Source'!AD472)</f>
        <v/>
      </c>
      <c r="M472" s="9">
        <f>IF('Data Source'!B472="","",'Data Source'!AE472)</f>
        <v/>
      </c>
      <c r="N472" s="9">
        <f>IF('Data Source'!B472="","",'Data Source'!AF472)</f>
        <v/>
      </c>
      <c r="O472" s="9">
        <f>IF('Data Source'!B472="","",'Data Source'!AG472)</f>
        <v/>
      </c>
      <c r="P472" s="5">
        <f>IF('Data Source'!B472="","",'Data Source'!R472)</f>
        <v/>
      </c>
      <c r="Q472" s="3">
        <f>IF('Data Source'!B472="","",'Data Source'!S472)</f>
        <v/>
      </c>
    </row>
    <row r="473">
      <c r="A473" s="3">
        <f>IF('Data Source'!B473="","",'Data Source'!A473)</f>
        <v/>
      </c>
      <c r="B473">
        <f>IF('Data Source'!B473="","",'Data Source'!B473)</f>
        <v/>
      </c>
      <c r="C473" s="9">
        <f>IF('Data Source'!B473="","",'Data Source'!U473)</f>
        <v/>
      </c>
      <c r="D473" s="9">
        <f>IF('Data Source'!B473="","",'Data Source'!V473)</f>
        <v/>
      </c>
      <c r="E473" s="9">
        <f>IF('Data Source'!B473="","",'Data Source'!W473)</f>
        <v/>
      </c>
      <c r="F473" s="9">
        <f>IF('Data Source'!B473="","",'Data Source'!X473)</f>
        <v/>
      </c>
      <c r="G473" s="9">
        <f>IF('Data Source'!B473="","",'Data Source'!Y473)</f>
        <v/>
      </c>
      <c r="H473" s="9">
        <f>IF('Data Source'!B473="","",'Data Source'!Z473)</f>
        <v/>
      </c>
      <c r="I473" s="9">
        <f>IF('Data Source'!B473="","",'Data Source'!AA473)</f>
        <v/>
      </c>
      <c r="J473" s="9">
        <f>IF('Data Source'!B473="","",'Data Source'!AB473)</f>
        <v/>
      </c>
      <c r="K473" s="9">
        <f>IF('Data Source'!B473="","",'Data Source'!AC473)</f>
        <v/>
      </c>
      <c r="L473" s="9">
        <f>IF('Data Source'!B473="","",'Data Source'!AD473)</f>
        <v/>
      </c>
      <c r="M473" s="9">
        <f>IF('Data Source'!B473="","",'Data Source'!AE473)</f>
        <v/>
      </c>
      <c r="N473" s="9">
        <f>IF('Data Source'!B473="","",'Data Source'!AF473)</f>
        <v/>
      </c>
      <c r="O473" s="9">
        <f>IF('Data Source'!B473="","",'Data Source'!AG473)</f>
        <v/>
      </c>
      <c r="P473" s="5">
        <f>IF('Data Source'!B473="","",'Data Source'!R473)</f>
        <v/>
      </c>
      <c r="Q473" s="3">
        <f>IF('Data Source'!B473="","",'Data Source'!S473)</f>
        <v/>
      </c>
    </row>
    <row r="474">
      <c r="A474" s="3">
        <f>IF('Data Source'!B474="","",'Data Source'!A474)</f>
        <v/>
      </c>
      <c r="B474">
        <f>IF('Data Source'!B474="","",'Data Source'!B474)</f>
        <v/>
      </c>
      <c r="C474" s="9">
        <f>IF('Data Source'!B474="","",'Data Source'!U474)</f>
        <v/>
      </c>
      <c r="D474" s="9">
        <f>IF('Data Source'!B474="","",'Data Source'!V474)</f>
        <v/>
      </c>
      <c r="E474" s="9">
        <f>IF('Data Source'!B474="","",'Data Source'!W474)</f>
        <v/>
      </c>
      <c r="F474" s="9">
        <f>IF('Data Source'!B474="","",'Data Source'!X474)</f>
        <v/>
      </c>
      <c r="G474" s="9">
        <f>IF('Data Source'!B474="","",'Data Source'!Y474)</f>
        <v/>
      </c>
      <c r="H474" s="9">
        <f>IF('Data Source'!B474="","",'Data Source'!Z474)</f>
        <v/>
      </c>
      <c r="I474" s="9">
        <f>IF('Data Source'!B474="","",'Data Source'!AA474)</f>
        <v/>
      </c>
      <c r="J474" s="9">
        <f>IF('Data Source'!B474="","",'Data Source'!AB474)</f>
        <v/>
      </c>
      <c r="K474" s="9">
        <f>IF('Data Source'!B474="","",'Data Source'!AC474)</f>
        <v/>
      </c>
      <c r="L474" s="9">
        <f>IF('Data Source'!B474="","",'Data Source'!AD474)</f>
        <v/>
      </c>
      <c r="M474" s="9">
        <f>IF('Data Source'!B474="","",'Data Source'!AE474)</f>
        <v/>
      </c>
      <c r="N474" s="9">
        <f>IF('Data Source'!B474="","",'Data Source'!AF474)</f>
        <v/>
      </c>
      <c r="O474" s="9">
        <f>IF('Data Source'!B474="","",'Data Source'!AG474)</f>
        <v/>
      </c>
      <c r="P474" s="5">
        <f>IF('Data Source'!B474="","",'Data Source'!R474)</f>
        <v/>
      </c>
      <c r="Q474" s="3">
        <f>IF('Data Source'!B474="","",'Data Source'!S474)</f>
        <v/>
      </c>
    </row>
    <row r="475">
      <c r="A475" s="3">
        <f>IF('Data Source'!B475="","",'Data Source'!A475)</f>
        <v/>
      </c>
      <c r="B475">
        <f>IF('Data Source'!B475="","",'Data Source'!B475)</f>
        <v/>
      </c>
      <c r="C475" s="9">
        <f>IF('Data Source'!B475="","",'Data Source'!U475)</f>
        <v/>
      </c>
      <c r="D475" s="9">
        <f>IF('Data Source'!B475="","",'Data Source'!V475)</f>
        <v/>
      </c>
      <c r="E475" s="9">
        <f>IF('Data Source'!B475="","",'Data Source'!W475)</f>
        <v/>
      </c>
      <c r="F475" s="9">
        <f>IF('Data Source'!B475="","",'Data Source'!X475)</f>
        <v/>
      </c>
      <c r="G475" s="9">
        <f>IF('Data Source'!B475="","",'Data Source'!Y475)</f>
        <v/>
      </c>
      <c r="H475" s="9">
        <f>IF('Data Source'!B475="","",'Data Source'!Z475)</f>
        <v/>
      </c>
      <c r="I475" s="9">
        <f>IF('Data Source'!B475="","",'Data Source'!AA475)</f>
        <v/>
      </c>
      <c r="J475" s="9">
        <f>IF('Data Source'!B475="","",'Data Source'!AB475)</f>
        <v/>
      </c>
      <c r="K475" s="9">
        <f>IF('Data Source'!B475="","",'Data Source'!AC475)</f>
        <v/>
      </c>
      <c r="L475" s="9">
        <f>IF('Data Source'!B475="","",'Data Source'!AD475)</f>
        <v/>
      </c>
      <c r="M475" s="9">
        <f>IF('Data Source'!B475="","",'Data Source'!AE475)</f>
        <v/>
      </c>
      <c r="N475" s="9">
        <f>IF('Data Source'!B475="","",'Data Source'!AF475)</f>
        <v/>
      </c>
      <c r="O475" s="9">
        <f>IF('Data Source'!B475="","",'Data Source'!AG475)</f>
        <v/>
      </c>
      <c r="P475" s="5">
        <f>IF('Data Source'!B475="","",'Data Source'!R475)</f>
        <v/>
      </c>
      <c r="Q475" s="3">
        <f>IF('Data Source'!B475="","",'Data Source'!S475)</f>
        <v/>
      </c>
    </row>
    <row r="476">
      <c r="A476" s="3">
        <f>IF('Data Source'!B476="","",'Data Source'!A476)</f>
        <v/>
      </c>
      <c r="B476">
        <f>IF('Data Source'!B476="","",'Data Source'!B476)</f>
        <v/>
      </c>
      <c r="C476" s="9">
        <f>IF('Data Source'!B476="","",'Data Source'!U476)</f>
        <v/>
      </c>
      <c r="D476" s="9">
        <f>IF('Data Source'!B476="","",'Data Source'!V476)</f>
        <v/>
      </c>
      <c r="E476" s="9">
        <f>IF('Data Source'!B476="","",'Data Source'!W476)</f>
        <v/>
      </c>
      <c r="F476" s="9">
        <f>IF('Data Source'!B476="","",'Data Source'!X476)</f>
        <v/>
      </c>
      <c r="G476" s="9">
        <f>IF('Data Source'!B476="","",'Data Source'!Y476)</f>
        <v/>
      </c>
      <c r="H476" s="9">
        <f>IF('Data Source'!B476="","",'Data Source'!Z476)</f>
        <v/>
      </c>
      <c r="I476" s="9">
        <f>IF('Data Source'!B476="","",'Data Source'!AA476)</f>
        <v/>
      </c>
      <c r="J476" s="9">
        <f>IF('Data Source'!B476="","",'Data Source'!AB476)</f>
        <v/>
      </c>
      <c r="K476" s="9">
        <f>IF('Data Source'!B476="","",'Data Source'!AC476)</f>
        <v/>
      </c>
      <c r="L476" s="9">
        <f>IF('Data Source'!B476="","",'Data Source'!AD476)</f>
        <v/>
      </c>
      <c r="M476" s="9">
        <f>IF('Data Source'!B476="","",'Data Source'!AE476)</f>
        <v/>
      </c>
      <c r="N476" s="9">
        <f>IF('Data Source'!B476="","",'Data Source'!AF476)</f>
        <v/>
      </c>
      <c r="O476" s="9">
        <f>IF('Data Source'!B476="","",'Data Source'!AG476)</f>
        <v/>
      </c>
      <c r="P476" s="5">
        <f>IF('Data Source'!B476="","",'Data Source'!R476)</f>
        <v/>
      </c>
      <c r="Q476" s="3">
        <f>IF('Data Source'!B476="","",'Data Source'!S476)</f>
        <v/>
      </c>
    </row>
    <row r="477">
      <c r="A477" s="3">
        <f>IF('Data Source'!B477="","",'Data Source'!A477)</f>
        <v/>
      </c>
      <c r="B477">
        <f>IF('Data Source'!B477="","",'Data Source'!B477)</f>
        <v/>
      </c>
      <c r="C477" s="9">
        <f>IF('Data Source'!B477="","",'Data Source'!U477)</f>
        <v/>
      </c>
      <c r="D477" s="9">
        <f>IF('Data Source'!B477="","",'Data Source'!V477)</f>
        <v/>
      </c>
      <c r="E477" s="9">
        <f>IF('Data Source'!B477="","",'Data Source'!W477)</f>
        <v/>
      </c>
      <c r="F477" s="9">
        <f>IF('Data Source'!B477="","",'Data Source'!X477)</f>
        <v/>
      </c>
      <c r="G477" s="9">
        <f>IF('Data Source'!B477="","",'Data Source'!Y477)</f>
        <v/>
      </c>
      <c r="H477" s="9">
        <f>IF('Data Source'!B477="","",'Data Source'!Z477)</f>
        <v/>
      </c>
      <c r="I477" s="9">
        <f>IF('Data Source'!B477="","",'Data Source'!AA477)</f>
        <v/>
      </c>
      <c r="J477" s="9">
        <f>IF('Data Source'!B477="","",'Data Source'!AB477)</f>
        <v/>
      </c>
      <c r="K477" s="9">
        <f>IF('Data Source'!B477="","",'Data Source'!AC477)</f>
        <v/>
      </c>
      <c r="L477" s="9">
        <f>IF('Data Source'!B477="","",'Data Source'!AD477)</f>
        <v/>
      </c>
      <c r="M477" s="9">
        <f>IF('Data Source'!B477="","",'Data Source'!AE477)</f>
        <v/>
      </c>
      <c r="N477" s="9">
        <f>IF('Data Source'!B477="","",'Data Source'!AF477)</f>
        <v/>
      </c>
      <c r="O477" s="9">
        <f>IF('Data Source'!B477="","",'Data Source'!AG477)</f>
        <v/>
      </c>
      <c r="P477" s="5">
        <f>IF('Data Source'!B477="","",'Data Source'!R477)</f>
        <v/>
      </c>
      <c r="Q477" s="3">
        <f>IF('Data Source'!B477="","",'Data Source'!S477)</f>
        <v/>
      </c>
    </row>
    <row r="478">
      <c r="A478" s="3">
        <f>IF('Data Source'!B478="","",'Data Source'!A478)</f>
        <v/>
      </c>
      <c r="B478">
        <f>IF('Data Source'!B478="","",'Data Source'!B478)</f>
        <v/>
      </c>
      <c r="C478" s="9">
        <f>IF('Data Source'!B478="","",'Data Source'!U478)</f>
        <v/>
      </c>
      <c r="D478" s="9">
        <f>IF('Data Source'!B478="","",'Data Source'!V478)</f>
        <v/>
      </c>
      <c r="E478" s="9">
        <f>IF('Data Source'!B478="","",'Data Source'!W478)</f>
        <v/>
      </c>
      <c r="F478" s="9">
        <f>IF('Data Source'!B478="","",'Data Source'!X478)</f>
        <v/>
      </c>
      <c r="G478" s="9">
        <f>IF('Data Source'!B478="","",'Data Source'!Y478)</f>
        <v/>
      </c>
      <c r="H478" s="9">
        <f>IF('Data Source'!B478="","",'Data Source'!Z478)</f>
        <v/>
      </c>
      <c r="I478" s="9">
        <f>IF('Data Source'!B478="","",'Data Source'!AA478)</f>
        <v/>
      </c>
      <c r="J478" s="9">
        <f>IF('Data Source'!B478="","",'Data Source'!AB478)</f>
        <v/>
      </c>
      <c r="K478" s="9">
        <f>IF('Data Source'!B478="","",'Data Source'!AC478)</f>
        <v/>
      </c>
      <c r="L478" s="9">
        <f>IF('Data Source'!B478="","",'Data Source'!AD478)</f>
        <v/>
      </c>
      <c r="M478" s="9">
        <f>IF('Data Source'!B478="","",'Data Source'!AE478)</f>
        <v/>
      </c>
      <c r="N478" s="9">
        <f>IF('Data Source'!B478="","",'Data Source'!AF478)</f>
        <v/>
      </c>
      <c r="O478" s="9">
        <f>IF('Data Source'!B478="","",'Data Source'!AG478)</f>
        <v/>
      </c>
      <c r="P478" s="5">
        <f>IF('Data Source'!B478="","",'Data Source'!R478)</f>
        <v/>
      </c>
      <c r="Q478" s="3">
        <f>IF('Data Source'!B478="","",'Data Source'!S478)</f>
        <v/>
      </c>
    </row>
    <row r="479">
      <c r="A479" s="3">
        <f>IF('Data Source'!B479="","",'Data Source'!A479)</f>
        <v/>
      </c>
      <c r="B479">
        <f>IF('Data Source'!B479="","",'Data Source'!B479)</f>
        <v/>
      </c>
      <c r="C479" s="9">
        <f>IF('Data Source'!B479="","",'Data Source'!U479)</f>
        <v/>
      </c>
      <c r="D479" s="9">
        <f>IF('Data Source'!B479="","",'Data Source'!V479)</f>
        <v/>
      </c>
      <c r="E479" s="9">
        <f>IF('Data Source'!B479="","",'Data Source'!W479)</f>
        <v/>
      </c>
      <c r="F479" s="9">
        <f>IF('Data Source'!B479="","",'Data Source'!X479)</f>
        <v/>
      </c>
      <c r="G479" s="9">
        <f>IF('Data Source'!B479="","",'Data Source'!Y479)</f>
        <v/>
      </c>
      <c r="H479" s="9">
        <f>IF('Data Source'!B479="","",'Data Source'!Z479)</f>
        <v/>
      </c>
      <c r="I479" s="9">
        <f>IF('Data Source'!B479="","",'Data Source'!AA479)</f>
        <v/>
      </c>
      <c r="J479" s="9">
        <f>IF('Data Source'!B479="","",'Data Source'!AB479)</f>
        <v/>
      </c>
      <c r="K479" s="9">
        <f>IF('Data Source'!B479="","",'Data Source'!AC479)</f>
        <v/>
      </c>
      <c r="L479" s="9">
        <f>IF('Data Source'!B479="","",'Data Source'!AD479)</f>
        <v/>
      </c>
      <c r="M479" s="9">
        <f>IF('Data Source'!B479="","",'Data Source'!AE479)</f>
        <v/>
      </c>
      <c r="N479" s="9">
        <f>IF('Data Source'!B479="","",'Data Source'!AF479)</f>
        <v/>
      </c>
      <c r="O479" s="9">
        <f>IF('Data Source'!B479="","",'Data Source'!AG479)</f>
        <v/>
      </c>
      <c r="P479" s="5">
        <f>IF('Data Source'!B479="","",'Data Source'!R479)</f>
        <v/>
      </c>
      <c r="Q479" s="3">
        <f>IF('Data Source'!B479="","",'Data Source'!S479)</f>
        <v/>
      </c>
    </row>
    <row r="480">
      <c r="A480" s="3">
        <f>IF('Data Source'!B480="","",'Data Source'!A480)</f>
        <v/>
      </c>
      <c r="B480">
        <f>IF('Data Source'!B480="","",'Data Source'!B480)</f>
        <v/>
      </c>
      <c r="C480" s="9">
        <f>IF('Data Source'!B480="","",'Data Source'!U480)</f>
        <v/>
      </c>
      <c r="D480" s="9">
        <f>IF('Data Source'!B480="","",'Data Source'!V480)</f>
        <v/>
      </c>
      <c r="E480" s="9">
        <f>IF('Data Source'!B480="","",'Data Source'!W480)</f>
        <v/>
      </c>
      <c r="F480" s="9">
        <f>IF('Data Source'!B480="","",'Data Source'!X480)</f>
        <v/>
      </c>
      <c r="G480" s="9">
        <f>IF('Data Source'!B480="","",'Data Source'!Y480)</f>
        <v/>
      </c>
      <c r="H480" s="9">
        <f>IF('Data Source'!B480="","",'Data Source'!Z480)</f>
        <v/>
      </c>
      <c r="I480" s="9">
        <f>IF('Data Source'!B480="","",'Data Source'!AA480)</f>
        <v/>
      </c>
      <c r="J480" s="9">
        <f>IF('Data Source'!B480="","",'Data Source'!AB480)</f>
        <v/>
      </c>
      <c r="K480" s="9">
        <f>IF('Data Source'!B480="","",'Data Source'!AC480)</f>
        <v/>
      </c>
      <c r="L480" s="9">
        <f>IF('Data Source'!B480="","",'Data Source'!AD480)</f>
        <v/>
      </c>
      <c r="M480" s="9">
        <f>IF('Data Source'!B480="","",'Data Source'!AE480)</f>
        <v/>
      </c>
      <c r="N480" s="9">
        <f>IF('Data Source'!B480="","",'Data Source'!AF480)</f>
        <v/>
      </c>
      <c r="O480" s="9">
        <f>IF('Data Source'!B480="","",'Data Source'!AG480)</f>
        <v/>
      </c>
      <c r="P480" s="5">
        <f>IF('Data Source'!B480="","",'Data Source'!R480)</f>
        <v/>
      </c>
      <c r="Q480" s="3">
        <f>IF('Data Source'!B480="","",'Data Source'!S480)</f>
        <v/>
      </c>
    </row>
    <row r="481">
      <c r="A481" s="3">
        <f>IF('Data Source'!B481="","",'Data Source'!A481)</f>
        <v/>
      </c>
      <c r="B481">
        <f>IF('Data Source'!B481="","",'Data Source'!B481)</f>
        <v/>
      </c>
      <c r="C481" s="9">
        <f>IF('Data Source'!B481="","",'Data Source'!U481)</f>
        <v/>
      </c>
      <c r="D481" s="9">
        <f>IF('Data Source'!B481="","",'Data Source'!V481)</f>
        <v/>
      </c>
      <c r="E481" s="9">
        <f>IF('Data Source'!B481="","",'Data Source'!W481)</f>
        <v/>
      </c>
      <c r="F481" s="9">
        <f>IF('Data Source'!B481="","",'Data Source'!X481)</f>
        <v/>
      </c>
      <c r="G481" s="9">
        <f>IF('Data Source'!B481="","",'Data Source'!Y481)</f>
        <v/>
      </c>
      <c r="H481" s="9">
        <f>IF('Data Source'!B481="","",'Data Source'!Z481)</f>
        <v/>
      </c>
      <c r="I481" s="9">
        <f>IF('Data Source'!B481="","",'Data Source'!AA481)</f>
        <v/>
      </c>
      <c r="J481" s="9">
        <f>IF('Data Source'!B481="","",'Data Source'!AB481)</f>
        <v/>
      </c>
      <c r="K481" s="9">
        <f>IF('Data Source'!B481="","",'Data Source'!AC481)</f>
        <v/>
      </c>
      <c r="L481" s="9">
        <f>IF('Data Source'!B481="","",'Data Source'!AD481)</f>
        <v/>
      </c>
      <c r="M481" s="9">
        <f>IF('Data Source'!B481="","",'Data Source'!AE481)</f>
        <v/>
      </c>
      <c r="N481" s="9">
        <f>IF('Data Source'!B481="","",'Data Source'!AF481)</f>
        <v/>
      </c>
      <c r="O481" s="9">
        <f>IF('Data Source'!B481="","",'Data Source'!AG481)</f>
        <v/>
      </c>
      <c r="P481" s="5">
        <f>IF('Data Source'!B481="","",'Data Source'!R481)</f>
        <v/>
      </c>
      <c r="Q481" s="3">
        <f>IF('Data Source'!B481="","",'Data Source'!S481)</f>
        <v/>
      </c>
    </row>
    <row r="482">
      <c r="A482" s="3">
        <f>IF('Data Source'!B482="","",'Data Source'!A482)</f>
        <v/>
      </c>
      <c r="B482">
        <f>IF('Data Source'!B482="","",'Data Source'!B482)</f>
        <v/>
      </c>
      <c r="C482" s="9">
        <f>IF('Data Source'!B482="","",'Data Source'!U482)</f>
        <v/>
      </c>
      <c r="D482" s="9">
        <f>IF('Data Source'!B482="","",'Data Source'!V482)</f>
        <v/>
      </c>
      <c r="E482" s="9">
        <f>IF('Data Source'!B482="","",'Data Source'!W482)</f>
        <v/>
      </c>
      <c r="F482" s="9">
        <f>IF('Data Source'!B482="","",'Data Source'!X482)</f>
        <v/>
      </c>
      <c r="G482" s="9">
        <f>IF('Data Source'!B482="","",'Data Source'!Y482)</f>
        <v/>
      </c>
      <c r="H482" s="9">
        <f>IF('Data Source'!B482="","",'Data Source'!Z482)</f>
        <v/>
      </c>
      <c r="I482" s="9">
        <f>IF('Data Source'!B482="","",'Data Source'!AA482)</f>
        <v/>
      </c>
      <c r="J482" s="9">
        <f>IF('Data Source'!B482="","",'Data Source'!AB482)</f>
        <v/>
      </c>
      <c r="K482" s="9">
        <f>IF('Data Source'!B482="","",'Data Source'!AC482)</f>
        <v/>
      </c>
      <c r="L482" s="9">
        <f>IF('Data Source'!B482="","",'Data Source'!AD482)</f>
        <v/>
      </c>
      <c r="M482" s="9">
        <f>IF('Data Source'!B482="","",'Data Source'!AE482)</f>
        <v/>
      </c>
      <c r="N482" s="9">
        <f>IF('Data Source'!B482="","",'Data Source'!AF482)</f>
        <v/>
      </c>
      <c r="O482" s="9">
        <f>IF('Data Source'!B482="","",'Data Source'!AG482)</f>
        <v/>
      </c>
      <c r="P482" s="5">
        <f>IF('Data Source'!B482="","",'Data Source'!R482)</f>
        <v/>
      </c>
      <c r="Q482" s="3">
        <f>IF('Data Source'!B482="","",'Data Source'!S482)</f>
        <v/>
      </c>
    </row>
    <row r="483">
      <c r="A483" s="3">
        <f>IF('Data Source'!B483="","",'Data Source'!A483)</f>
        <v/>
      </c>
      <c r="B483">
        <f>IF('Data Source'!B483="","",'Data Source'!B483)</f>
        <v/>
      </c>
      <c r="C483" s="9">
        <f>IF('Data Source'!B483="","",'Data Source'!U483)</f>
        <v/>
      </c>
      <c r="D483" s="9">
        <f>IF('Data Source'!B483="","",'Data Source'!V483)</f>
        <v/>
      </c>
      <c r="E483" s="9">
        <f>IF('Data Source'!B483="","",'Data Source'!W483)</f>
        <v/>
      </c>
      <c r="F483" s="9">
        <f>IF('Data Source'!B483="","",'Data Source'!X483)</f>
        <v/>
      </c>
      <c r="G483" s="9">
        <f>IF('Data Source'!B483="","",'Data Source'!Y483)</f>
        <v/>
      </c>
      <c r="H483" s="9">
        <f>IF('Data Source'!B483="","",'Data Source'!Z483)</f>
        <v/>
      </c>
      <c r="I483" s="9">
        <f>IF('Data Source'!B483="","",'Data Source'!AA483)</f>
        <v/>
      </c>
      <c r="J483" s="9">
        <f>IF('Data Source'!B483="","",'Data Source'!AB483)</f>
        <v/>
      </c>
      <c r="K483" s="9">
        <f>IF('Data Source'!B483="","",'Data Source'!AC483)</f>
        <v/>
      </c>
      <c r="L483" s="9">
        <f>IF('Data Source'!B483="","",'Data Source'!AD483)</f>
        <v/>
      </c>
      <c r="M483" s="9">
        <f>IF('Data Source'!B483="","",'Data Source'!AE483)</f>
        <v/>
      </c>
      <c r="N483" s="9">
        <f>IF('Data Source'!B483="","",'Data Source'!AF483)</f>
        <v/>
      </c>
      <c r="O483" s="9">
        <f>IF('Data Source'!B483="","",'Data Source'!AG483)</f>
        <v/>
      </c>
      <c r="P483" s="5">
        <f>IF('Data Source'!B483="","",'Data Source'!R483)</f>
        <v/>
      </c>
      <c r="Q483" s="3">
        <f>IF('Data Source'!B483="","",'Data Source'!S483)</f>
        <v/>
      </c>
    </row>
    <row r="484">
      <c r="A484" s="3">
        <f>IF('Data Source'!B484="","",'Data Source'!A484)</f>
        <v/>
      </c>
      <c r="B484">
        <f>IF('Data Source'!B484="","",'Data Source'!B484)</f>
        <v/>
      </c>
      <c r="C484" s="9">
        <f>IF('Data Source'!B484="","",'Data Source'!U484)</f>
        <v/>
      </c>
      <c r="D484" s="9">
        <f>IF('Data Source'!B484="","",'Data Source'!V484)</f>
        <v/>
      </c>
      <c r="E484" s="9">
        <f>IF('Data Source'!B484="","",'Data Source'!W484)</f>
        <v/>
      </c>
      <c r="F484" s="9">
        <f>IF('Data Source'!B484="","",'Data Source'!X484)</f>
        <v/>
      </c>
      <c r="G484" s="9">
        <f>IF('Data Source'!B484="","",'Data Source'!Y484)</f>
        <v/>
      </c>
      <c r="H484" s="9">
        <f>IF('Data Source'!B484="","",'Data Source'!Z484)</f>
        <v/>
      </c>
      <c r="I484" s="9">
        <f>IF('Data Source'!B484="","",'Data Source'!AA484)</f>
        <v/>
      </c>
      <c r="J484" s="9">
        <f>IF('Data Source'!B484="","",'Data Source'!AB484)</f>
        <v/>
      </c>
      <c r="K484" s="9">
        <f>IF('Data Source'!B484="","",'Data Source'!AC484)</f>
        <v/>
      </c>
      <c r="L484" s="9">
        <f>IF('Data Source'!B484="","",'Data Source'!AD484)</f>
        <v/>
      </c>
      <c r="M484" s="9">
        <f>IF('Data Source'!B484="","",'Data Source'!AE484)</f>
        <v/>
      </c>
      <c r="N484" s="9">
        <f>IF('Data Source'!B484="","",'Data Source'!AF484)</f>
        <v/>
      </c>
      <c r="O484" s="9">
        <f>IF('Data Source'!B484="","",'Data Source'!AG484)</f>
        <v/>
      </c>
      <c r="P484" s="5">
        <f>IF('Data Source'!B484="","",'Data Source'!R484)</f>
        <v/>
      </c>
      <c r="Q484" s="3">
        <f>IF('Data Source'!B484="","",'Data Source'!S484)</f>
        <v/>
      </c>
    </row>
    <row r="485">
      <c r="A485" s="3">
        <f>IF('Data Source'!B485="","",'Data Source'!A485)</f>
        <v/>
      </c>
      <c r="B485">
        <f>IF('Data Source'!B485="","",'Data Source'!B485)</f>
        <v/>
      </c>
      <c r="C485" s="9">
        <f>IF('Data Source'!B485="","",'Data Source'!U485)</f>
        <v/>
      </c>
      <c r="D485" s="9">
        <f>IF('Data Source'!B485="","",'Data Source'!V485)</f>
        <v/>
      </c>
      <c r="E485" s="9">
        <f>IF('Data Source'!B485="","",'Data Source'!W485)</f>
        <v/>
      </c>
      <c r="F485" s="9">
        <f>IF('Data Source'!B485="","",'Data Source'!X485)</f>
        <v/>
      </c>
      <c r="G485" s="9">
        <f>IF('Data Source'!B485="","",'Data Source'!Y485)</f>
        <v/>
      </c>
      <c r="H485" s="9">
        <f>IF('Data Source'!B485="","",'Data Source'!Z485)</f>
        <v/>
      </c>
      <c r="I485" s="9">
        <f>IF('Data Source'!B485="","",'Data Source'!AA485)</f>
        <v/>
      </c>
      <c r="J485" s="9">
        <f>IF('Data Source'!B485="","",'Data Source'!AB485)</f>
        <v/>
      </c>
      <c r="K485" s="9">
        <f>IF('Data Source'!B485="","",'Data Source'!AC485)</f>
        <v/>
      </c>
      <c r="L485" s="9">
        <f>IF('Data Source'!B485="","",'Data Source'!AD485)</f>
        <v/>
      </c>
      <c r="M485" s="9">
        <f>IF('Data Source'!B485="","",'Data Source'!AE485)</f>
        <v/>
      </c>
      <c r="N485" s="9">
        <f>IF('Data Source'!B485="","",'Data Source'!AF485)</f>
        <v/>
      </c>
      <c r="O485" s="9">
        <f>IF('Data Source'!B485="","",'Data Source'!AG485)</f>
        <v/>
      </c>
      <c r="P485" s="5">
        <f>IF('Data Source'!B485="","",'Data Source'!R485)</f>
        <v/>
      </c>
      <c r="Q485" s="3">
        <f>IF('Data Source'!B485="","",'Data Source'!S485)</f>
        <v/>
      </c>
    </row>
    <row r="486">
      <c r="A486" s="3">
        <f>IF('Data Source'!B486="","",'Data Source'!A486)</f>
        <v/>
      </c>
      <c r="B486">
        <f>IF('Data Source'!B486="","",'Data Source'!B486)</f>
        <v/>
      </c>
      <c r="C486" s="9">
        <f>IF('Data Source'!B486="","",'Data Source'!U486)</f>
        <v/>
      </c>
      <c r="D486" s="9">
        <f>IF('Data Source'!B486="","",'Data Source'!V486)</f>
        <v/>
      </c>
      <c r="E486" s="9">
        <f>IF('Data Source'!B486="","",'Data Source'!W486)</f>
        <v/>
      </c>
      <c r="F486" s="9">
        <f>IF('Data Source'!B486="","",'Data Source'!X486)</f>
        <v/>
      </c>
      <c r="G486" s="9">
        <f>IF('Data Source'!B486="","",'Data Source'!Y486)</f>
        <v/>
      </c>
      <c r="H486" s="9">
        <f>IF('Data Source'!B486="","",'Data Source'!Z486)</f>
        <v/>
      </c>
      <c r="I486" s="9">
        <f>IF('Data Source'!B486="","",'Data Source'!AA486)</f>
        <v/>
      </c>
      <c r="J486" s="9">
        <f>IF('Data Source'!B486="","",'Data Source'!AB486)</f>
        <v/>
      </c>
      <c r="K486" s="9">
        <f>IF('Data Source'!B486="","",'Data Source'!AC486)</f>
        <v/>
      </c>
      <c r="L486" s="9">
        <f>IF('Data Source'!B486="","",'Data Source'!AD486)</f>
        <v/>
      </c>
      <c r="M486" s="9">
        <f>IF('Data Source'!B486="","",'Data Source'!AE486)</f>
        <v/>
      </c>
      <c r="N486" s="9">
        <f>IF('Data Source'!B486="","",'Data Source'!AF486)</f>
        <v/>
      </c>
      <c r="O486" s="9">
        <f>IF('Data Source'!B486="","",'Data Source'!AG486)</f>
        <v/>
      </c>
      <c r="P486" s="5">
        <f>IF('Data Source'!B486="","",'Data Source'!R486)</f>
        <v/>
      </c>
      <c r="Q486" s="3">
        <f>IF('Data Source'!B486="","",'Data Source'!S486)</f>
        <v/>
      </c>
    </row>
    <row r="487">
      <c r="A487" s="3">
        <f>IF('Data Source'!B487="","",'Data Source'!A487)</f>
        <v/>
      </c>
      <c r="B487">
        <f>IF('Data Source'!B487="","",'Data Source'!B487)</f>
        <v/>
      </c>
      <c r="C487" s="9">
        <f>IF('Data Source'!B487="","",'Data Source'!U487)</f>
        <v/>
      </c>
      <c r="D487" s="9">
        <f>IF('Data Source'!B487="","",'Data Source'!V487)</f>
        <v/>
      </c>
      <c r="E487" s="9">
        <f>IF('Data Source'!B487="","",'Data Source'!W487)</f>
        <v/>
      </c>
      <c r="F487" s="9">
        <f>IF('Data Source'!B487="","",'Data Source'!X487)</f>
        <v/>
      </c>
      <c r="G487" s="9">
        <f>IF('Data Source'!B487="","",'Data Source'!Y487)</f>
        <v/>
      </c>
      <c r="H487" s="9">
        <f>IF('Data Source'!B487="","",'Data Source'!Z487)</f>
        <v/>
      </c>
      <c r="I487" s="9">
        <f>IF('Data Source'!B487="","",'Data Source'!AA487)</f>
        <v/>
      </c>
      <c r="J487" s="9">
        <f>IF('Data Source'!B487="","",'Data Source'!AB487)</f>
        <v/>
      </c>
      <c r="K487" s="9">
        <f>IF('Data Source'!B487="","",'Data Source'!AC487)</f>
        <v/>
      </c>
      <c r="L487" s="9">
        <f>IF('Data Source'!B487="","",'Data Source'!AD487)</f>
        <v/>
      </c>
      <c r="M487" s="9">
        <f>IF('Data Source'!B487="","",'Data Source'!AE487)</f>
        <v/>
      </c>
      <c r="N487" s="9">
        <f>IF('Data Source'!B487="","",'Data Source'!AF487)</f>
        <v/>
      </c>
      <c r="O487" s="9">
        <f>IF('Data Source'!B487="","",'Data Source'!AG487)</f>
        <v/>
      </c>
      <c r="P487" s="5">
        <f>IF('Data Source'!B487="","",'Data Source'!R487)</f>
        <v/>
      </c>
      <c r="Q487" s="3">
        <f>IF('Data Source'!B487="","",'Data Source'!S487)</f>
        <v/>
      </c>
    </row>
    <row r="488">
      <c r="A488" s="3">
        <f>IF('Data Source'!B488="","",'Data Source'!A488)</f>
        <v/>
      </c>
      <c r="B488">
        <f>IF('Data Source'!B488="","",'Data Source'!B488)</f>
        <v/>
      </c>
      <c r="C488" s="9">
        <f>IF('Data Source'!B488="","",'Data Source'!U488)</f>
        <v/>
      </c>
      <c r="D488" s="9">
        <f>IF('Data Source'!B488="","",'Data Source'!V488)</f>
        <v/>
      </c>
      <c r="E488" s="9">
        <f>IF('Data Source'!B488="","",'Data Source'!W488)</f>
        <v/>
      </c>
      <c r="F488" s="9">
        <f>IF('Data Source'!B488="","",'Data Source'!X488)</f>
        <v/>
      </c>
      <c r="G488" s="9">
        <f>IF('Data Source'!B488="","",'Data Source'!Y488)</f>
        <v/>
      </c>
      <c r="H488" s="9">
        <f>IF('Data Source'!B488="","",'Data Source'!Z488)</f>
        <v/>
      </c>
      <c r="I488" s="9">
        <f>IF('Data Source'!B488="","",'Data Source'!AA488)</f>
        <v/>
      </c>
      <c r="J488" s="9">
        <f>IF('Data Source'!B488="","",'Data Source'!AB488)</f>
        <v/>
      </c>
      <c r="K488" s="9">
        <f>IF('Data Source'!B488="","",'Data Source'!AC488)</f>
        <v/>
      </c>
      <c r="L488" s="9">
        <f>IF('Data Source'!B488="","",'Data Source'!AD488)</f>
        <v/>
      </c>
      <c r="M488" s="9">
        <f>IF('Data Source'!B488="","",'Data Source'!AE488)</f>
        <v/>
      </c>
      <c r="N488" s="9">
        <f>IF('Data Source'!B488="","",'Data Source'!AF488)</f>
        <v/>
      </c>
      <c r="O488" s="9">
        <f>IF('Data Source'!B488="","",'Data Source'!AG488)</f>
        <v/>
      </c>
      <c r="P488" s="5">
        <f>IF('Data Source'!B488="","",'Data Source'!R488)</f>
        <v/>
      </c>
      <c r="Q488" s="3">
        <f>IF('Data Source'!B488="","",'Data Source'!S488)</f>
        <v/>
      </c>
    </row>
    <row r="489">
      <c r="A489" s="3">
        <f>IF('Data Source'!B489="","",'Data Source'!A489)</f>
        <v/>
      </c>
      <c r="B489">
        <f>IF('Data Source'!B489="","",'Data Source'!B489)</f>
        <v/>
      </c>
      <c r="C489" s="9">
        <f>IF('Data Source'!B489="","",'Data Source'!U489)</f>
        <v/>
      </c>
      <c r="D489" s="9">
        <f>IF('Data Source'!B489="","",'Data Source'!V489)</f>
        <v/>
      </c>
      <c r="E489" s="9">
        <f>IF('Data Source'!B489="","",'Data Source'!W489)</f>
        <v/>
      </c>
      <c r="F489" s="9">
        <f>IF('Data Source'!B489="","",'Data Source'!X489)</f>
        <v/>
      </c>
      <c r="G489" s="9">
        <f>IF('Data Source'!B489="","",'Data Source'!Y489)</f>
        <v/>
      </c>
      <c r="H489" s="9">
        <f>IF('Data Source'!B489="","",'Data Source'!Z489)</f>
        <v/>
      </c>
      <c r="I489" s="9">
        <f>IF('Data Source'!B489="","",'Data Source'!AA489)</f>
        <v/>
      </c>
      <c r="J489" s="9">
        <f>IF('Data Source'!B489="","",'Data Source'!AB489)</f>
        <v/>
      </c>
      <c r="K489" s="9">
        <f>IF('Data Source'!B489="","",'Data Source'!AC489)</f>
        <v/>
      </c>
      <c r="L489" s="9">
        <f>IF('Data Source'!B489="","",'Data Source'!AD489)</f>
        <v/>
      </c>
      <c r="M489" s="9">
        <f>IF('Data Source'!B489="","",'Data Source'!AE489)</f>
        <v/>
      </c>
      <c r="N489" s="9">
        <f>IF('Data Source'!B489="","",'Data Source'!AF489)</f>
        <v/>
      </c>
      <c r="O489" s="9">
        <f>IF('Data Source'!B489="","",'Data Source'!AG489)</f>
        <v/>
      </c>
      <c r="P489" s="5">
        <f>IF('Data Source'!B489="","",'Data Source'!R489)</f>
        <v/>
      </c>
      <c r="Q489" s="3">
        <f>IF('Data Source'!B489="","",'Data Source'!S489)</f>
        <v/>
      </c>
    </row>
    <row r="490">
      <c r="A490" s="3">
        <f>IF('Data Source'!B490="","",'Data Source'!A490)</f>
        <v/>
      </c>
      <c r="B490">
        <f>IF('Data Source'!B490="","",'Data Source'!B490)</f>
        <v/>
      </c>
      <c r="C490" s="9">
        <f>IF('Data Source'!B490="","",'Data Source'!U490)</f>
        <v/>
      </c>
      <c r="D490" s="9">
        <f>IF('Data Source'!B490="","",'Data Source'!V490)</f>
        <v/>
      </c>
      <c r="E490" s="9">
        <f>IF('Data Source'!B490="","",'Data Source'!W490)</f>
        <v/>
      </c>
      <c r="F490" s="9">
        <f>IF('Data Source'!B490="","",'Data Source'!X490)</f>
        <v/>
      </c>
      <c r="G490" s="9">
        <f>IF('Data Source'!B490="","",'Data Source'!Y490)</f>
        <v/>
      </c>
      <c r="H490" s="9">
        <f>IF('Data Source'!B490="","",'Data Source'!Z490)</f>
        <v/>
      </c>
      <c r="I490" s="9">
        <f>IF('Data Source'!B490="","",'Data Source'!AA490)</f>
        <v/>
      </c>
      <c r="J490" s="9">
        <f>IF('Data Source'!B490="","",'Data Source'!AB490)</f>
        <v/>
      </c>
      <c r="K490" s="9">
        <f>IF('Data Source'!B490="","",'Data Source'!AC490)</f>
        <v/>
      </c>
      <c r="L490" s="9">
        <f>IF('Data Source'!B490="","",'Data Source'!AD490)</f>
        <v/>
      </c>
      <c r="M490" s="9">
        <f>IF('Data Source'!B490="","",'Data Source'!AE490)</f>
        <v/>
      </c>
      <c r="N490" s="9">
        <f>IF('Data Source'!B490="","",'Data Source'!AF490)</f>
        <v/>
      </c>
      <c r="O490" s="9">
        <f>IF('Data Source'!B490="","",'Data Source'!AG490)</f>
        <v/>
      </c>
      <c r="P490" s="5">
        <f>IF('Data Source'!B490="","",'Data Source'!R490)</f>
        <v/>
      </c>
      <c r="Q490" s="3">
        <f>IF('Data Source'!B490="","",'Data Source'!S490)</f>
        <v/>
      </c>
    </row>
    <row r="491">
      <c r="A491" s="3">
        <f>IF('Data Source'!B491="","",'Data Source'!A491)</f>
        <v/>
      </c>
      <c r="B491">
        <f>IF('Data Source'!B491="","",'Data Source'!B491)</f>
        <v/>
      </c>
      <c r="C491" s="9">
        <f>IF('Data Source'!B491="","",'Data Source'!U491)</f>
        <v/>
      </c>
      <c r="D491" s="9">
        <f>IF('Data Source'!B491="","",'Data Source'!V491)</f>
        <v/>
      </c>
      <c r="E491" s="9">
        <f>IF('Data Source'!B491="","",'Data Source'!W491)</f>
        <v/>
      </c>
      <c r="F491" s="9">
        <f>IF('Data Source'!B491="","",'Data Source'!X491)</f>
        <v/>
      </c>
      <c r="G491" s="9">
        <f>IF('Data Source'!B491="","",'Data Source'!Y491)</f>
        <v/>
      </c>
      <c r="H491" s="9">
        <f>IF('Data Source'!B491="","",'Data Source'!Z491)</f>
        <v/>
      </c>
      <c r="I491" s="9">
        <f>IF('Data Source'!B491="","",'Data Source'!AA491)</f>
        <v/>
      </c>
      <c r="J491" s="9">
        <f>IF('Data Source'!B491="","",'Data Source'!AB491)</f>
        <v/>
      </c>
      <c r="K491" s="9">
        <f>IF('Data Source'!B491="","",'Data Source'!AC491)</f>
        <v/>
      </c>
      <c r="L491" s="9">
        <f>IF('Data Source'!B491="","",'Data Source'!AD491)</f>
        <v/>
      </c>
      <c r="M491" s="9">
        <f>IF('Data Source'!B491="","",'Data Source'!AE491)</f>
        <v/>
      </c>
      <c r="N491" s="9">
        <f>IF('Data Source'!B491="","",'Data Source'!AF491)</f>
        <v/>
      </c>
      <c r="O491" s="9">
        <f>IF('Data Source'!B491="","",'Data Source'!AG491)</f>
        <v/>
      </c>
      <c r="P491" s="5">
        <f>IF('Data Source'!B491="","",'Data Source'!R491)</f>
        <v/>
      </c>
      <c r="Q491" s="3">
        <f>IF('Data Source'!B491="","",'Data Source'!S491)</f>
        <v/>
      </c>
    </row>
    <row r="492">
      <c r="A492" s="3">
        <f>IF('Data Source'!B492="","",'Data Source'!A492)</f>
        <v/>
      </c>
      <c r="B492">
        <f>IF('Data Source'!B492="","",'Data Source'!B492)</f>
        <v/>
      </c>
      <c r="C492" s="9">
        <f>IF('Data Source'!B492="","",'Data Source'!U492)</f>
        <v/>
      </c>
      <c r="D492" s="9">
        <f>IF('Data Source'!B492="","",'Data Source'!V492)</f>
        <v/>
      </c>
      <c r="E492" s="9">
        <f>IF('Data Source'!B492="","",'Data Source'!W492)</f>
        <v/>
      </c>
      <c r="F492" s="9">
        <f>IF('Data Source'!B492="","",'Data Source'!X492)</f>
        <v/>
      </c>
      <c r="G492" s="9">
        <f>IF('Data Source'!B492="","",'Data Source'!Y492)</f>
        <v/>
      </c>
      <c r="H492" s="9">
        <f>IF('Data Source'!B492="","",'Data Source'!Z492)</f>
        <v/>
      </c>
      <c r="I492" s="9">
        <f>IF('Data Source'!B492="","",'Data Source'!AA492)</f>
        <v/>
      </c>
      <c r="J492" s="9">
        <f>IF('Data Source'!B492="","",'Data Source'!AB492)</f>
        <v/>
      </c>
      <c r="K492" s="9">
        <f>IF('Data Source'!B492="","",'Data Source'!AC492)</f>
        <v/>
      </c>
      <c r="L492" s="9">
        <f>IF('Data Source'!B492="","",'Data Source'!AD492)</f>
        <v/>
      </c>
      <c r="M492" s="9">
        <f>IF('Data Source'!B492="","",'Data Source'!AE492)</f>
        <v/>
      </c>
      <c r="N492" s="9">
        <f>IF('Data Source'!B492="","",'Data Source'!AF492)</f>
        <v/>
      </c>
      <c r="O492" s="9">
        <f>IF('Data Source'!B492="","",'Data Source'!AG492)</f>
        <v/>
      </c>
      <c r="P492" s="5">
        <f>IF('Data Source'!B492="","",'Data Source'!R492)</f>
        <v/>
      </c>
      <c r="Q492" s="3">
        <f>IF('Data Source'!B492="","",'Data Source'!S492)</f>
        <v/>
      </c>
    </row>
    <row r="493">
      <c r="A493" s="3">
        <f>IF('Data Source'!B493="","",'Data Source'!A493)</f>
        <v/>
      </c>
      <c r="B493">
        <f>IF('Data Source'!B493="","",'Data Source'!B493)</f>
        <v/>
      </c>
      <c r="C493" s="9">
        <f>IF('Data Source'!B493="","",'Data Source'!U493)</f>
        <v/>
      </c>
      <c r="D493" s="9">
        <f>IF('Data Source'!B493="","",'Data Source'!V493)</f>
        <v/>
      </c>
      <c r="E493" s="9">
        <f>IF('Data Source'!B493="","",'Data Source'!W493)</f>
        <v/>
      </c>
      <c r="F493" s="9">
        <f>IF('Data Source'!B493="","",'Data Source'!X493)</f>
        <v/>
      </c>
      <c r="G493" s="9">
        <f>IF('Data Source'!B493="","",'Data Source'!Y493)</f>
        <v/>
      </c>
      <c r="H493" s="9">
        <f>IF('Data Source'!B493="","",'Data Source'!Z493)</f>
        <v/>
      </c>
      <c r="I493" s="9">
        <f>IF('Data Source'!B493="","",'Data Source'!AA493)</f>
        <v/>
      </c>
      <c r="J493" s="9">
        <f>IF('Data Source'!B493="","",'Data Source'!AB493)</f>
        <v/>
      </c>
      <c r="K493" s="9">
        <f>IF('Data Source'!B493="","",'Data Source'!AC493)</f>
        <v/>
      </c>
      <c r="L493" s="9">
        <f>IF('Data Source'!B493="","",'Data Source'!AD493)</f>
        <v/>
      </c>
      <c r="M493" s="9">
        <f>IF('Data Source'!B493="","",'Data Source'!AE493)</f>
        <v/>
      </c>
      <c r="N493" s="9">
        <f>IF('Data Source'!B493="","",'Data Source'!AF493)</f>
        <v/>
      </c>
      <c r="O493" s="9">
        <f>IF('Data Source'!B493="","",'Data Source'!AG493)</f>
        <v/>
      </c>
      <c r="P493" s="5">
        <f>IF('Data Source'!B493="","",'Data Source'!R493)</f>
        <v/>
      </c>
      <c r="Q493" s="3">
        <f>IF('Data Source'!B493="","",'Data Source'!S493)</f>
        <v/>
      </c>
    </row>
    <row r="494">
      <c r="A494" s="3">
        <f>IF('Data Source'!B494="","",'Data Source'!A494)</f>
        <v/>
      </c>
      <c r="B494">
        <f>IF('Data Source'!B494="","",'Data Source'!B494)</f>
        <v/>
      </c>
      <c r="C494" s="9">
        <f>IF('Data Source'!B494="","",'Data Source'!U494)</f>
        <v/>
      </c>
      <c r="D494" s="9">
        <f>IF('Data Source'!B494="","",'Data Source'!V494)</f>
        <v/>
      </c>
      <c r="E494" s="9">
        <f>IF('Data Source'!B494="","",'Data Source'!W494)</f>
        <v/>
      </c>
      <c r="F494" s="9">
        <f>IF('Data Source'!B494="","",'Data Source'!X494)</f>
        <v/>
      </c>
      <c r="G494" s="9">
        <f>IF('Data Source'!B494="","",'Data Source'!Y494)</f>
        <v/>
      </c>
      <c r="H494" s="9">
        <f>IF('Data Source'!B494="","",'Data Source'!Z494)</f>
        <v/>
      </c>
      <c r="I494" s="9">
        <f>IF('Data Source'!B494="","",'Data Source'!AA494)</f>
        <v/>
      </c>
      <c r="J494" s="9">
        <f>IF('Data Source'!B494="","",'Data Source'!AB494)</f>
        <v/>
      </c>
      <c r="K494" s="9">
        <f>IF('Data Source'!B494="","",'Data Source'!AC494)</f>
        <v/>
      </c>
      <c r="L494" s="9">
        <f>IF('Data Source'!B494="","",'Data Source'!AD494)</f>
        <v/>
      </c>
      <c r="M494" s="9">
        <f>IF('Data Source'!B494="","",'Data Source'!AE494)</f>
        <v/>
      </c>
      <c r="N494" s="9">
        <f>IF('Data Source'!B494="","",'Data Source'!AF494)</f>
        <v/>
      </c>
      <c r="O494" s="9">
        <f>IF('Data Source'!B494="","",'Data Source'!AG494)</f>
        <v/>
      </c>
      <c r="P494" s="5">
        <f>IF('Data Source'!B494="","",'Data Source'!R494)</f>
        <v/>
      </c>
      <c r="Q494" s="3">
        <f>IF('Data Source'!B494="","",'Data Source'!S494)</f>
        <v/>
      </c>
    </row>
    <row r="495">
      <c r="A495" s="3">
        <f>IF('Data Source'!B495="","",'Data Source'!A495)</f>
        <v/>
      </c>
      <c r="B495">
        <f>IF('Data Source'!B495="","",'Data Source'!B495)</f>
        <v/>
      </c>
      <c r="C495" s="9">
        <f>IF('Data Source'!B495="","",'Data Source'!U495)</f>
        <v/>
      </c>
      <c r="D495" s="9">
        <f>IF('Data Source'!B495="","",'Data Source'!V495)</f>
        <v/>
      </c>
      <c r="E495" s="9">
        <f>IF('Data Source'!B495="","",'Data Source'!W495)</f>
        <v/>
      </c>
      <c r="F495" s="9">
        <f>IF('Data Source'!B495="","",'Data Source'!X495)</f>
        <v/>
      </c>
      <c r="G495" s="9">
        <f>IF('Data Source'!B495="","",'Data Source'!Y495)</f>
        <v/>
      </c>
      <c r="H495" s="9">
        <f>IF('Data Source'!B495="","",'Data Source'!Z495)</f>
        <v/>
      </c>
      <c r="I495" s="9">
        <f>IF('Data Source'!B495="","",'Data Source'!AA495)</f>
        <v/>
      </c>
      <c r="J495" s="9">
        <f>IF('Data Source'!B495="","",'Data Source'!AB495)</f>
        <v/>
      </c>
      <c r="K495" s="9">
        <f>IF('Data Source'!B495="","",'Data Source'!AC495)</f>
        <v/>
      </c>
      <c r="L495" s="9">
        <f>IF('Data Source'!B495="","",'Data Source'!AD495)</f>
        <v/>
      </c>
      <c r="M495" s="9">
        <f>IF('Data Source'!B495="","",'Data Source'!AE495)</f>
        <v/>
      </c>
      <c r="N495" s="9">
        <f>IF('Data Source'!B495="","",'Data Source'!AF495)</f>
        <v/>
      </c>
      <c r="O495" s="9">
        <f>IF('Data Source'!B495="","",'Data Source'!AG495)</f>
        <v/>
      </c>
      <c r="P495" s="5">
        <f>IF('Data Source'!B495="","",'Data Source'!R495)</f>
        <v/>
      </c>
      <c r="Q495" s="3">
        <f>IF('Data Source'!B495="","",'Data Source'!S495)</f>
        <v/>
      </c>
    </row>
    <row r="496">
      <c r="A496" s="3">
        <f>IF('Data Source'!B496="","",'Data Source'!A496)</f>
        <v/>
      </c>
      <c r="B496">
        <f>IF('Data Source'!B496="","",'Data Source'!B496)</f>
        <v/>
      </c>
      <c r="C496" s="9">
        <f>IF('Data Source'!B496="","",'Data Source'!U496)</f>
        <v/>
      </c>
      <c r="D496" s="9">
        <f>IF('Data Source'!B496="","",'Data Source'!V496)</f>
        <v/>
      </c>
      <c r="E496" s="9">
        <f>IF('Data Source'!B496="","",'Data Source'!W496)</f>
        <v/>
      </c>
      <c r="F496" s="9">
        <f>IF('Data Source'!B496="","",'Data Source'!X496)</f>
        <v/>
      </c>
      <c r="G496" s="9">
        <f>IF('Data Source'!B496="","",'Data Source'!Y496)</f>
        <v/>
      </c>
      <c r="H496" s="9">
        <f>IF('Data Source'!B496="","",'Data Source'!Z496)</f>
        <v/>
      </c>
      <c r="I496" s="9">
        <f>IF('Data Source'!B496="","",'Data Source'!AA496)</f>
        <v/>
      </c>
      <c r="J496" s="9">
        <f>IF('Data Source'!B496="","",'Data Source'!AB496)</f>
        <v/>
      </c>
      <c r="K496" s="9">
        <f>IF('Data Source'!B496="","",'Data Source'!AC496)</f>
        <v/>
      </c>
      <c r="L496" s="9">
        <f>IF('Data Source'!B496="","",'Data Source'!AD496)</f>
        <v/>
      </c>
      <c r="M496" s="9">
        <f>IF('Data Source'!B496="","",'Data Source'!AE496)</f>
        <v/>
      </c>
      <c r="N496" s="9">
        <f>IF('Data Source'!B496="","",'Data Source'!AF496)</f>
        <v/>
      </c>
      <c r="O496" s="9">
        <f>IF('Data Source'!B496="","",'Data Source'!AG496)</f>
        <v/>
      </c>
      <c r="P496" s="5">
        <f>IF('Data Source'!B496="","",'Data Source'!R496)</f>
        <v/>
      </c>
      <c r="Q496" s="3">
        <f>IF('Data Source'!B496="","",'Data Source'!S496)</f>
        <v/>
      </c>
    </row>
    <row r="497">
      <c r="A497" s="3">
        <f>IF('Data Source'!B497="","",'Data Source'!A497)</f>
        <v/>
      </c>
      <c r="B497">
        <f>IF('Data Source'!B497="","",'Data Source'!B497)</f>
        <v/>
      </c>
      <c r="C497" s="9">
        <f>IF('Data Source'!B497="","",'Data Source'!U497)</f>
        <v/>
      </c>
      <c r="D497" s="9">
        <f>IF('Data Source'!B497="","",'Data Source'!V497)</f>
        <v/>
      </c>
      <c r="E497" s="9">
        <f>IF('Data Source'!B497="","",'Data Source'!W497)</f>
        <v/>
      </c>
      <c r="F497" s="9">
        <f>IF('Data Source'!B497="","",'Data Source'!X497)</f>
        <v/>
      </c>
      <c r="G497" s="9">
        <f>IF('Data Source'!B497="","",'Data Source'!Y497)</f>
        <v/>
      </c>
      <c r="H497" s="9">
        <f>IF('Data Source'!B497="","",'Data Source'!Z497)</f>
        <v/>
      </c>
      <c r="I497" s="9">
        <f>IF('Data Source'!B497="","",'Data Source'!AA497)</f>
        <v/>
      </c>
      <c r="J497" s="9">
        <f>IF('Data Source'!B497="","",'Data Source'!AB497)</f>
        <v/>
      </c>
      <c r="K497" s="9">
        <f>IF('Data Source'!B497="","",'Data Source'!AC497)</f>
        <v/>
      </c>
      <c r="L497" s="9">
        <f>IF('Data Source'!B497="","",'Data Source'!AD497)</f>
        <v/>
      </c>
      <c r="M497" s="9">
        <f>IF('Data Source'!B497="","",'Data Source'!AE497)</f>
        <v/>
      </c>
      <c r="N497" s="9">
        <f>IF('Data Source'!B497="","",'Data Source'!AF497)</f>
        <v/>
      </c>
      <c r="O497" s="9">
        <f>IF('Data Source'!B497="","",'Data Source'!AG497)</f>
        <v/>
      </c>
      <c r="P497" s="5">
        <f>IF('Data Source'!B497="","",'Data Source'!R497)</f>
        <v/>
      </c>
      <c r="Q497" s="3">
        <f>IF('Data Source'!B497="","",'Data Source'!S497)</f>
        <v/>
      </c>
    </row>
    <row r="498">
      <c r="A498" s="3">
        <f>IF('Data Source'!B498="","",'Data Source'!A498)</f>
        <v/>
      </c>
      <c r="B498">
        <f>IF('Data Source'!B498="","",'Data Source'!B498)</f>
        <v/>
      </c>
      <c r="C498" s="9">
        <f>IF('Data Source'!B498="","",'Data Source'!U498)</f>
        <v/>
      </c>
      <c r="D498" s="9">
        <f>IF('Data Source'!B498="","",'Data Source'!V498)</f>
        <v/>
      </c>
      <c r="E498" s="9">
        <f>IF('Data Source'!B498="","",'Data Source'!W498)</f>
        <v/>
      </c>
      <c r="F498" s="9">
        <f>IF('Data Source'!B498="","",'Data Source'!X498)</f>
        <v/>
      </c>
      <c r="G498" s="9">
        <f>IF('Data Source'!B498="","",'Data Source'!Y498)</f>
        <v/>
      </c>
      <c r="H498" s="9">
        <f>IF('Data Source'!B498="","",'Data Source'!Z498)</f>
        <v/>
      </c>
      <c r="I498" s="9">
        <f>IF('Data Source'!B498="","",'Data Source'!AA498)</f>
        <v/>
      </c>
      <c r="J498" s="9">
        <f>IF('Data Source'!B498="","",'Data Source'!AB498)</f>
        <v/>
      </c>
      <c r="K498" s="9">
        <f>IF('Data Source'!B498="","",'Data Source'!AC498)</f>
        <v/>
      </c>
      <c r="L498" s="9">
        <f>IF('Data Source'!B498="","",'Data Source'!AD498)</f>
        <v/>
      </c>
      <c r="M498" s="9">
        <f>IF('Data Source'!B498="","",'Data Source'!AE498)</f>
        <v/>
      </c>
      <c r="N498" s="9">
        <f>IF('Data Source'!B498="","",'Data Source'!AF498)</f>
        <v/>
      </c>
      <c r="O498" s="9">
        <f>IF('Data Source'!B498="","",'Data Source'!AG498)</f>
        <v/>
      </c>
      <c r="P498" s="5">
        <f>IF('Data Source'!B498="","",'Data Source'!R498)</f>
        <v/>
      </c>
      <c r="Q498" s="3">
        <f>IF('Data Source'!B498="","",'Data Source'!S498)</f>
        <v/>
      </c>
    </row>
    <row r="499">
      <c r="A499" s="3">
        <f>IF('Data Source'!B499="","",'Data Source'!A499)</f>
        <v/>
      </c>
      <c r="B499">
        <f>IF('Data Source'!B499="","",'Data Source'!B499)</f>
        <v/>
      </c>
      <c r="C499" s="9">
        <f>IF('Data Source'!B499="","",'Data Source'!U499)</f>
        <v/>
      </c>
      <c r="D499" s="9">
        <f>IF('Data Source'!B499="","",'Data Source'!V499)</f>
        <v/>
      </c>
      <c r="E499" s="9">
        <f>IF('Data Source'!B499="","",'Data Source'!W499)</f>
        <v/>
      </c>
      <c r="F499" s="9">
        <f>IF('Data Source'!B499="","",'Data Source'!X499)</f>
        <v/>
      </c>
      <c r="G499" s="9">
        <f>IF('Data Source'!B499="","",'Data Source'!Y499)</f>
        <v/>
      </c>
      <c r="H499" s="9">
        <f>IF('Data Source'!B499="","",'Data Source'!Z499)</f>
        <v/>
      </c>
      <c r="I499" s="9">
        <f>IF('Data Source'!B499="","",'Data Source'!AA499)</f>
        <v/>
      </c>
      <c r="J499" s="9">
        <f>IF('Data Source'!B499="","",'Data Source'!AB499)</f>
        <v/>
      </c>
      <c r="K499" s="9">
        <f>IF('Data Source'!B499="","",'Data Source'!AC499)</f>
        <v/>
      </c>
      <c r="L499" s="9">
        <f>IF('Data Source'!B499="","",'Data Source'!AD499)</f>
        <v/>
      </c>
      <c r="M499" s="9">
        <f>IF('Data Source'!B499="","",'Data Source'!AE499)</f>
        <v/>
      </c>
      <c r="N499" s="9">
        <f>IF('Data Source'!B499="","",'Data Source'!AF499)</f>
        <v/>
      </c>
      <c r="O499" s="9">
        <f>IF('Data Source'!B499="","",'Data Source'!AG499)</f>
        <v/>
      </c>
      <c r="P499" s="5">
        <f>IF('Data Source'!B499="","",'Data Source'!R499)</f>
        <v/>
      </c>
      <c r="Q499" s="3">
        <f>IF('Data Source'!B499="","",'Data Source'!S499)</f>
        <v/>
      </c>
    </row>
    <row r="500">
      <c r="A500" s="3">
        <f>IF('Data Source'!B500="","",'Data Source'!A500)</f>
        <v/>
      </c>
      <c r="B500">
        <f>IF('Data Source'!B500="","",'Data Source'!B500)</f>
        <v/>
      </c>
      <c r="C500" s="9">
        <f>IF('Data Source'!B500="","",'Data Source'!U500)</f>
        <v/>
      </c>
      <c r="D500" s="9">
        <f>IF('Data Source'!B500="","",'Data Source'!V500)</f>
        <v/>
      </c>
      <c r="E500" s="9">
        <f>IF('Data Source'!B500="","",'Data Source'!W500)</f>
        <v/>
      </c>
      <c r="F500" s="9">
        <f>IF('Data Source'!B500="","",'Data Source'!X500)</f>
        <v/>
      </c>
      <c r="G500" s="9">
        <f>IF('Data Source'!B500="","",'Data Source'!Y500)</f>
        <v/>
      </c>
      <c r="H500" s="9">
        <f>IF('Data Source'!B500="","",'Data Source'!Z500)</f>
        <v/>
      </c>
      <c r="I500" s="9">
        <f>IF('Data Source'!B500="","",'Data Source'!AA500)</f>
        <v/>
      </c>
      <c r="J500" s="9">
        <f>IF('Data Source'!B500="","",'Data Source'!AB500)</f>
        <v/>
      </c>
      <c r="K500" s="9">
        <f>IF('Data Source'!B500="","",'Data Source'!AC500)</f>
        <v/>
      </c>
      <c r="L500" s="9">
        <f>IF('Data Source'!B500="","",'Data Source'!AD500)</f>
        <v/>
      </c>
      <c r="M500" s="9">
        <f>IF('Data Source'!B500="","",'Data Source'!AE500)</f>
        <v/>
      </c>
      <c r="N500" s="9">
        <f>IF('Data Source'!B500="","",'Data Source'!AF500)</f>
        <v/>
      </c>
      <c r="O500" s="9">
        <f>IF('Data Source'!B500="","",'Data Source'!AG500)</f>
        <v/>
      </c>
      <c r="P500" s="5">
        <f>IF('Data Source'!B500="","",'Data Source'!R500)</f>
        <v/>
      </c>
      <c r="Q500" s="3">
        <f>IF('Data Source'!B500="","",'Data Source'!S500)</f>
        <v/>
      </c>
    </row>
    <row r="501">
      <c r="A501" s="3">
        <f>IF('Data Source'!B501="","",'Data Source'!A501)</f>
        <v/>
      </c>
      <c r="B501">
        <f>IF('Data Source'!B501="","",'Data Source'!B501)</f>
        <v/>
      </c>
      <c r="C501" s="9">
        <f>IF('Data Source'!B501="","",'Data Source'!U501)</f>
        <v/>
      </c>
      <c r="D501" s="9">
        <f>IF('Data Source'!B501="","",'Data Source'!V501)</f>
        <v/>
      </c>
      <c r="E501" s="9">
        <f>IF('Data Source'!B501="","",'Data Source'!W501)</f>
        <v/>
      </c>
      <c r="F501" s="9">
        <f>IF('Data Source'!B501="","",'Data Source'!X501)</f>
        <v/>
      </c>
      <c r="G501" s="9">
        <f>IF('Data Source'!B501="","",'Data Source'!Y501)</f>
        <v/>
      </c>
      <c r="H501" s="9">
        <f>IF('Data Source'!B501="","",'Data Source'!Z501)</f>
        <v/>
      </c>
      <c r="I501" s="9">
        <f>IF('Data Source'!B501="","",'Data Source'!AA501)</f>
        <v/>
      </c>
      <c r="J501" s="9">
        <f>IF('Data Source'!B501="","",'Data Source'!AB501)</f>
        <v/>
      </c>
      <c r="K501" s="9">
        <f>IF('Data Source'!B501="","",'Data Source'!AC501)</f>
        <v/>
      </c>
      <c r="L501" s="9">
        <f>IF('Data Source'!B501="","",'Data Source'!AD501)</f>
        <v/>
      </c>
      <c r="M501" s="9">
        <f>IF('Data Source'!B501="","",'Data Source'!AE501)</f>
        <v/>
      </c>
      <c r="N501" s="9">
        <f>IF('Data Source'!B501="","",'Data Source'!AF501)</f>
        <v/>
      </c>
      <c r="O501" s="9">
        <f>IF('Data Source'!B501="","",'Data Source'!AG501)</f>
        <v/>
      </c>
      <c r="P501" s="5">
        <f>IF('Data Source'!B501="","",'Data Source'!R501)</f>
        <v/>
      </c>
      <c r="Q501" s="3">
        <f>IF('Data Source'!B501="","",'Data Source'!S501)</f>
        <v/>
      </c>
    </row>
    <row r="502">
      <c r="A502" s="3">
        <f>IF('Data Source'!B502="","",'Data Source'!A502)</f>
        <v/>
      </c>
      <c r="B502">
        <f>IF('Data Source'!B502="","",'Data Source'!B502)</f>
        <v/>
      </c>
      <c r="C502" s="9">
        <f>IF('Data Source'!B502="","",'Data Source'!U502)</f>
        <v/>
      </c>
      <c r="D502" s="9">
        <f>IF('Data Source'!B502="","",'Data Source'!V502)</f>
        <v/>
      </c>
      <c r="E502" s="9">
        <f>IF('Data Source'!B502="","",'Data Source'!W502)</f>
        <v/>
      </c>
      <c r="F502" s="9">
        <f>IF('Data Source'!B502="","",'Data Source'!X502)</f>
        <v/>
      </c>
      <c r="G502" s="9">
        <f>IF('Data Source'!B502="","",'Data Source'!Y502)</f>
        <v/>
      </c>
      <c r="H502" s="9">
        <f>IF('Data Source'!B502="","",'Data Source'!Z502)</f>
        <v/>
      </c>
      <c r="I502" s="9">
        <f>IF('Data Source'!B502="","",'Data Source'!AA502)</f>
        <v/>
      </c>
      <c r="J502" s="9">
        <f>IF('Data Source'!B502="","",'Data Source'!AB502)</f>
        <v/>
      </c>
      <c r="K502" s="9">
        <f>IF('Data Source'!B502="","",'Data Source'!AC502)</f>
        <v/>
      </c>
      <c r="L502" s="9">
        <f>IF('Data Source'!B502="","",'Data Source'!AD502)</f>
        <v/>
      </c>
      <c r="M502" s="9">
        <f>IF('Data Source'!B502="","",'Data Source'!AE502)</f>
        <v/>
      </c>
      <c r="N502" s="9">
        <f>IF('Data Source'!B502="","",'Data Source'!AF502)</f>
        <v/>
      </c>
      <c r="O502" s="9">
        <f>IF('Data Source'!B502="","",'Data Source'!AG502)</f>
        <v/>
      </c>
      <c r="P502" s="5">
        <f>IF('Data Source'!B502="","",'Data Source'!R502)</f>
        <v/>
      </c>
      <c r="Q502" s="3">
        <f>IF('Data Source'!B502="","",'Data Source'!S502)</f>
        <v/>
      </c>
    </row>
    <row r="503">
      <c r="A503" s="3">
        <f>IF('Data Source'!B503="","",'Data Source'!A503)</f>
        <v/>
      </c>
      <c r="B503">
        <f>IF('Data Source'!B503="","",'Data Source'!B503)</f>
        <v/>
      </c>
      <c r="C503" s="9">
        <f>IF('Data Source'!B503="","",'Data Source'!U503)</f>
        <v/>
      </c>
      <c r="D503" s="9">
        <f>IF('Data Source'!B503="","",'Data Source'!V503)</f>
        <v/>
      </c>
      <c r="E503" s="9">
        <f>IF('Data Source'!B503="","",'Data Source'!W503)</f>
        <v/>
      </c>
      <c r="F503" s="9">
        <f>IF('Data Source'!B503="","",'Data Source'!X503)</f>
        <v/>
      </c>
      <c r="G503" s="9">
        <f>IF('Data Source'!B503="","",'Data Source'!Y503)</f>
        <v/>
      </c>
      <c r="H503" s="9">
        <f>IF('Data Source'!B503="","",'Data Source'!Z503)</f>
        <v/>
      </c>
      <c r="I503" s="9">
        <f>IF('Data Source'!B503="","",'Data Source'!AA503)</f>
        <v/>
      </c>
      <c r="J503" s="9">
        <f>IF('Data Source'!B503="","",'Data Source'!AB503)</f>
        <v/>
      </c>
      <c r="K503" s="9">
        <f>IF('Data Source'!B503="","",'Data Source'!AC503)</f>
        <v/>
      </c>
      <c r="L503" s="9">
        <f>IF('Data Source'!B503="","",'Data Source'!AD503)</f>
        <v/>
      </c>
      <c r="M503" s="9">
        <f>IF('Data Source'!B503="","",'Data Source'!AE503)</f>
        <v/>
      </c>
      <c r="N503" s="9">
        <f>IF('Data Source'!B503="","",'Data Source'!AF503)</f>
        <v/>
      </c>
      <c r="O503" s="9">
        <f>IF('Data Source'!B503="","",'Data Source'!AG503)</f>
        <v/>
      </c>
      <c r="P503" s="5">
        <f>IF('Data Source'!B503="","",'Data Source'!R503)</f>
        <v/>
      </c>
      <c r="Q503" s="3">
        <f>IF('Data Source'!B503="","",'Data Source'!S503)</f>
        <v/>
      </c>
    </row>
    <row r="504">
      <c r="A504" s="3">
        <f>IF('Data Source'!B504="","",'Data Source'!A504)</f>
        <v/>
      </c>
      <c r="B504">
        <f>IF('Data Source'!B504="","",'Data Source'!B504)</f>
        <v/>
      </c>
      <c r="C504" s="9">
        <f>IF('Data Source'!B504="","",'Data Source'!U504)</f>
        <v/>
      </c>
      <c r="D504" s="9">
        <f>IF('Data Source'!B504="","",'Data Source'!V504)</f>
        <v/>
      </c>
      <c r="E504" s="9">
        <f>IF('Data Source'!B504="","",'Data Source'!W504)</f>
        <v/>
      </c>
      <c r="F504" s="9">
        <f>IF('Data Source'!B504="","",'Data Source'!X504)</f>
        <v/>
      </c>
      <c r="G504" s="9">
        <f>IF('Data Source'!B504="","",'Data Source'!Y504)</f>
        <v/>
      </c>
      <c r="H504" s="9">
        <f>IF('Data Source'!B504="","",'Data Source'!Z504)</f>
        <v/>
      </c>
      <c r="I504" s="9">
        <f>IF('Data Source'!B504="","",'Data Source'!AA504)</f>
        <v/>
      </c>
      <c r="J504" s="9">
        <f>IF('Data Source'!B504="","",'Data Source'!AB504)</f>
        <v/>
      </c>
      <c r="K504" s="9">
        <f>IF('Data Source'!B504="","",'Data Source'!AC504)</f>
        <v/>
      </c>
      <c r="L504" s="9">
        <f>IF('Data Source'!B504="","",'Data Source'!AD504)</f>
        <v/>
      </c>
      <c r="M504" s="9">
        <f>IF('Data Source'!B504="","",'Data Source'!AE504)</f>
        <v/>
      </c>
      <c r="N504" s="9">
        <f>IF('Data Source'!B504="","",'Data Source'!AF504)</f>
        <v/>
      </c>
      <c r="O504" s="9">
        <f>IF('Data Source'!B504="","",'Data Source'!AG504)</f>
        <v/>
      </c>
      <c r="P504" s="5">
        <f>IF('Data Source'!B504="","",'Data Source'!R504)</f>
        <v/>
      </c>
      <c r="Q504" s="3">
        <f>IF('Data Source'!B504="","",'Data Source'!S504)</f>
        <v/>
      </c>
    </row>
    <row r="505">
      <c r="A505" s="3">
        <f>IF('Data Source'!B505="","",'Data Source'!A505)</f>
        <v/>
      </c>
      <c r="B505">
        <f>IF('Data Source'!B505="","",'Data Source'!B505)</f>
        <v/>
      </c>
      <c r="C505" s="9">
        <f>IF('Data Source'!B505="","",'Data Source'!U505)</f>
        <v/>
      </c>
      <c r="D505" s="9">
        <f>IF('Data Source'!B505="","",'Data Source'!V505)</f>
        <v/>
      </c>
      <c r="E505" s="9">
        <f>IF('Data Source'!B505="","",'Data Source'!W505)</f>
        <v/>
      </c>
      <c r="F505" s="9">
        <f>IF('Data Source'!B505="","",'Data Source'!X505)</f>
        <v/>
      </c>
      <c r="G505" s="9">
        <f>IF('Data Source'!B505="","",'Data Source'!Y505)</f>
        <v/>
      </c>
      <c r="H505" s="9">
        <f>IF('Data Source'!B505="","",'Data Source'!Z505)</f>
        <v/>
      </c>
      <c r="I505" s="9">
        <f>IF('Data Source'!B505="","",'Data Source'!AA505)</f>
        <v/>
      </c>
      <c r="J505" s="9">
        <f>IF('Data Source'!B505="","",'Data Source'!AB505)</f>
        <v/>
      </c>
      <c r="K505" s="9">
        <f>IF('Data Source'!B505="","",'Data Source'!AC505)</f>
        <v/>
      </c>
      <c r="L505" s="9">
        <f>IF('Data Source'!B505="","",'Data Source'!AD505)</f>
        <v/>
      </c>
      <c r="M505" s="9">
        <f>IF('Data Source'!B505="","",'Data Source'!AE505)</f>
        <v/>
      </c>
      <c r="N505" s="9">
        <f>IF('Data Source'!B505="","",'Data Source'!AF505)</f>
        <v/>
      </c>
      <c r="O505" s="9">
        <f>IF('Data Source'!B505="","",'Data Source'!AG505)</f>
        <v/>
      </c>
      <c r="P505" s="5">
        <f>IF('Data Source'!B505="","",'Data Source'!R505)</f>
        <v/>
      </c>
      <c r="Q505" s="3">
        <f>IF('Data Source'!B505="","",'Data Source'!S505)</f>
        <v/>
      </c>
    </row>
    <row r="506">
      <c r="A506" s="3">
        <f>IF('Data Source'!B506="","",'Data Source'!A506)</f>
        <v/>
      </c>
      <c r="B506">
        <f>IF('Data Source'!B506="","",'Data Source'!B506)</f>
        <v/>
      </c>
      <c r="C506" s="9">
        <f>IF('Data Source'!B506="","",'Data Source'!U506)</f>
        <v/>
      </c>
      <c r="D506" s="9">
        <f>IF('Data Source'!B506="","",'Data Source'!V506)</f>
        <v/>
      </c>
      <c r="E506" s="9">
        <f>IF('Data Source'!B506="","",'Data Source'!W506)</f>
        <v/>
      </c>
      <c r="F506" s="9">
        <f>IF('Data Source'!B506="","",'Data Source'!X506)</f>
        <v/>
      </c>
      <c r="G506" s="9">
        <f>IF('Data Source'!B506="","",'Data Source'!Y506)</f>
        <v/>
      </c>
      <c r="H506" s="9">
        <f>IF('Data Source'!B506="","",'Data Source'!Z506)</f>
        <v/>
      </c>
      <c r="I506" s="9">
        <f>IF('Data Source'!B506="","",'Data Source'!AA506)</f>
        <v/>
      </c>
      <c r="J506" s="9">
        <f>IF('Data Source'!B506="","",'Data Source'!AB506)</f>
        <v/>
      </c>
      <c r="K506" s="9">
        <f>IF('Data Source'!B506="","",'Data Source'!AC506)</f>
        <v/>
      </c>
      <c r="L506" s="9">
        <f>IF('Data Source'!B506="","",'Data Source'!AD506)</f>
        <v/>
      </c>
      <c r="M506" s="9">
        <f>IF('Data Source'!B506="","",'Data Source'!AE506)</f>
        <v/>
      </c>
      <c r="N506" s="9">
        <f>IF('Data Source'!B506="","",'Data Source'!AF506)</f>
        <v/>
      </c>
      <c r="O506" s="9">
        <f>IF('Data Source'!B506="","",'Data Source'!AG506)</f>
        <v/>
      </c>
      <c r="P506" s="5">
        <f>IF('Data Source'!B506="","",'Data Source'!R506)</f>
        <v/>
      </c>
      <c r="Q506" s="3">
        <f>IF('Data Source'!B506="","",'Data Source'!S506)</f>
        <v/>
      </c>
    </row>
    <row r="507">
      <c r="A507" s="3">
        <f>IF('Data Source'!B507="","",'Data Source'!A507)</f>
        <v/>
      </c>
      <c r="B507">
        <f>IF('Data Source'!B507="","",'Data Source'!B507)</f>
        <v/>
      </c>
      <c r="C507" s="9">
        <f>IF('Data Source'!B507="","",'Data Source'!U507)</f>
        <v/>
      </c>
      <c r="D507" s="9">
        <f>IF('Data Source'!B507="","",'Data Source'!V507)</f>
        <v/>
      </c>
      <c r="E507" s="9">
        <f>IF('Data Source'!B507="","",'Data Source'!W507)</f>
        <v/>
      </c>
      <c r="F507" s="9">
        <f>IF('Data Source'!B507="","",'Data Source'!X507)</f>
        <v/>
      </c>
      <c r="G507" s="9">
        <f>IF('Data Source'!B507="","",'Data Source'!Y507)</f>
        <v/>
      </c>
      <c r="H507" s="9">
        <f>IF('Data Source'!B507="","",'Data Source'!Z507)</f>
        <v/>
      </c>
      <c r="I507" s="9">
        <f>IF('Data Source'!B507="","",'Data Source'!AA507)</f>
        <v/>
      </c>
      <c r="J507" s="9">
        <f>IF('Data Source'!B507="","",'Data Source'!AB507)</f>
        <v/>
      </c>
      <c r="K507" s="9">
        <f>IF('Data Source'!B507="","",'Data Source'!AC507)</f>
        <v/>
      </c>
      <c r="L507" s="9">
        <f>IF('Data Source'!B507="","",'Data Source'!AD507)</f>
        <v/>
      </c>
      <c r="M507" s="9">
        <f>IF('Data Source'!B507="","",'Data Source'!AE507)</f>
        <v/>
      </c>
      <c r="N507" s="9">
        <f>IF('Data Source'!B507="","",'Data Source'!AF507)</f>
        <v/>
      </c>
      <c r="O507" s="9">
        <f>IF('Data Source'!B507="","",'Data Source'!AG507)</f>
        <v/>
      </c>
      <c r="P507" s="5">
        <f>IF('Data Source'!B507="","",'Data Source'!R507)</f>
        <v/>
      </c>
      <c r="Q507" s="3">
        <f>IF('Data Source'!B507="","",'Data Source'!S507)</f>
        <v/>
      </c>
    </row>
    <row r="508">
      <c r="A508" s="3">
        <f>IF('Data Source'!B508="","",'Data Source'!A508)</f>
        <v/>
      </c>
      <c r="B508">
        <f>IF('Data Source'!B508="","",'Data Source'!B508)</f>
        <v/>
      </c>
      <c r="C508" s="9">
        <f>IF('Data Source'!B508="","",'Data Source'!U508)</f>
        <v/>
      </c>
      <c r="D508" s="9">
        <f>IF('Data Source'!B508="","",'Data Source'!V508)</f>
        <v/>
      </c>
      <c r="E508" s="9">
        <f>IF('Data Source'!B508="","",'Data Source'!W508)</f>
        <v/>
      </c>
      <c r="F508" s="9">
        <f>IF('Data Source'!B508="","",'Data Source'!X508)</f>
        <v/>
      </c>
      <c r="G508" s="9">
        <f>IF('Data Source'!B508="","",'Data Source'!Y508)</f>
        <v/>
      </c>
      <c r="H508" s="9">
        <f>IF('Data Source'!B508="","",'Data Source'!Z508)</f>
        <v/>
      </c>
      <c r="I508" s="9">
        <f>IF('Data Source'!B508="","",'Data Source'!AA508)</f>
        <v/>
      </c>
      <c r="J508" s="9">
        <f>IF('Data Source'!B508="","",'Data Source'!AB508)</f>
        <v/>
      </c>
      <c r="K508" s="9">
        <f>IF('Data Source'!B508="","",'Data Source'!AC508)</f>
        <v/>
      </c>
      <c r="L508" s="9">
        <f>IF('Data Source'!B508="","",'Data Source'!AD508)</f>
        <v/>
      </c>
      <c r="M508" s="9">
        <f>IF('Data Source'!B508="","",'Data Source'!AE508)</f>
        <v/>
      </c>
      <c r="N508" s="9">
        <f>IF('Data Source'!B508="","",'Data Source'!AF508)</f>
        <v/>
      </c>
      <c r="O508" s="9">
        <f>IF('Data Source'!B508="","",'Data Source'!AG508)</f>
        <v/>
      </c>
      <c r="P508" s="5">
        <f>IF('Data Source'!B508="","",'Data Source'!R508)</f>
        <v/>
      </c>
      <c r="Q508" s="3">
        <f>IF('Data Source'!B508="","",'Data Source'!S508)</f>
        <v/>
      </c>
    </row>
    <row r="509">
      <c r="A509" s="3">
        <f>IF('Data Source'!B509="","",'Data Source'!A509)</f>
        <v/>
      </c>
      <c r="B509">
        <f>IF('Data Source'!B509="","",'Data Source'!B509)</f>
        <v/>
      </c>
      <c r="C509" s="9">
        <f>IF('Data Source'!B509="","",'Data Source'!U509)</f>
        <v/>
      </c>
      <c r="D509" s="9">
        <f>IF('Data Source'!B509="","",'Data Source'!V509)</f>
        <v/>
      </c>
      <c r="E509" s="9">
        <f>IF('Data Source'!B509="","",'Data Source'!W509)</f>
        <v/>
      </c>
      <c r="F509" s="9">
        <f>IF('Data Source'!B509="","",'Data Source'!X509)</f>
        <v/>
      </c>
      <c r="G509" s="9">
        <f>IF('Data Source'!B509="","",'Data Source'!Y509)</f>
        <v/>
      </c>
      <c r="H509" s="9">
        <f>IF('Data Source'!B509="","",'Data Source'!Z509)</f>
        <v/>
      </c>
      <c r="I509" s="9">
        <f>IF('Data Source'!B509="","",'Data Source'!AA509)</f>
        <v/>
      </c>
      <c r="J509" s="9">
        <f>IF('Data Source'!B509="","",'Data Source'!AB509)</f>
        <v/>
      </c>
      <c r="K509" s="9">
        <f>IF('Data Source'!B509="","",'Data Source'!AC509)</f>
        <v/>
      </c>
      <c r="L509" s="9">
        <f>IF('Data Source'!B509="","",'Data Source'!AD509)</f>
        <v/>
      </c>
      <c r="M509" s="9">
        <f>IF('Data Source'!B509="","",'Data Source'!AE509)</f>
        <v/>
      </c>
      <c r="N509" s="9">
        <f>IF('Data Source'!B509="","",'Data Source'!AF509)</f>
        <v/>
      </c>
      <c r="O509" s="9">
        <f>IF('Data Source'!B509="","",'Data Source'!AG509)</f>
        <v/>
      </c>
      <c r="P509" s="5">
        <f>IF('Data Source'!B509="","",'Data Source'!R509)</f>
        <v/>
      </c>
      <c r="Q509" s="3">
        <f>IF('Data Source'!B509="","",'Data Source'!S509)</f>
        <v/>
      </c>
    </row>
    <row r="510">
      <c r="A510" s="3">
        <f>IF('Data Source'!B510="","",'Data Source'!A510)</f>
        <v/>
      </c>
      <c r="B510">
        <f>IF('Data Source'!B510="","",'Data Source'!B510)</f>
        <v/>
      </c>
      <c r="C510" s="9">
        <f>IF('Data Source'!B510="","",'Data Source'!U510)</f>
        <v/>
      </c>
      <c r="D510" s="9">
        <f>IF('Data Source'!B510="","",'Data Source'!V510)</f>
        <v/>
      </c>
      <c r="E510" s="9">
        <f>IF('Data Source'!B510="","",'Data Source'!W510)</f>
        <v/>
      </c>
      <c r="F510" s="9">
        <f>IF('Data Source'!B510="","",'Data Source'!X510)</f>
        <v/>
      </c>
      <c r="G510" s="9">
        <f>IF('Data Source'!B510="","",'Data Source'!Y510)</f>
        <v/>
      </c>
      <c r="H510" s="9">
        <f>IF('Data Source'!B510="","",'Data Source'!Z510)</f>
        <v/>
      </c>
      <c r="I510" s="9">
        <f>IF('Data Source'!B510="","",'Data Source'!AA510)</f>
        <v/>
      </c>
      <c r="J510" s="9">
        <f>IF('Data Source'!B510="","",'Data Source'!AB510)</f>
        <v/>
      </c>
      <c r="K510" s="9">
        <f>IF('Data Source'!B510="","",'Data Source'!AC510)</f>
        <v/>
      </c>
      <c r="L510" s="9">
        <f>IF('Data Source'!B510="","",'Data Source'!AD510)</f>
        <v/>
      </c>
      <c r="M510" s="9">
        <f>IF('Data Source'!B510="","",'Data Source'!AE510)</f>
        <v/>
      </c>
      <c r="N510" s="9">
        <f>IF('Data Source'!B510="","",'Data Source'!AF510)</f>
        <v/>
      </c>
      <c r="O510" s="9">
        <f>IF('Data Source'!B510="","",'Data Source'!AG510)</f>
        <v/>
      </c>
      <c r="P510" s="5">
        <f>IF('Data Source'!B510="","",'Data Source'!R510)</f>
        <v/>
      </c>
      <c r="Q510" s="3">
        <f>IF('Data Source'!B510="","",'Data Source'!S510)</f>
        <v/>
      </c>
    </row>
    <row r="511">
      <c r="A511" s="3">
        <f>IF('Data Source'!B511="","",'Data Source'!A511)</f>
        <v/>
      </c>
      <c r="B511">
        <f>IF('Data Source'!B511="","",'Data Source'!B511)</f>
        <v/>
      </c>
      <c r="C511" s="9">
        <f>IF('Data Source'!B511="","",'Data Source'!U511)</f>
        <v/>
      </c>
      <c r="D511" s="9">
        <f>IF('Data Source'!B511="","",'Data Source'!V511)</f>
        <v/>
      </c>
      <c r="E511" s="9">
        <f>IF('Data Source'!B511="","",'Data Source'!W511)</f>
        <v/>
      </c>
      <c r="F511" s="9">
        <f>IF('Data Source'!B511="","",'Data Source'!X511)</f>
        <v/>
      </c>
      <c r="G511" s="9">
        <f>IF('Data Source'!B511="","",'Data Source'!Y511)</f>
        <v/>
      </c>
      <c r="H511" s="9">
        <f>IF('Data Source'!B511="","",'Data Source'!Z511)</f>
        <v/>
      </c>
      <c r="I511" s="9">
        <f>IF('Data Source'!B511="","",'Data Source'!AA511)</f>
        <v/>
      </c>
      <c r="J511" s="9">
        <f>IF('Data Source'!B511="","",'Data Source'!AB511)</f>
        <v/>
      </c>
      <c r="K511" s="9">
        <f>IF('Data Source'!B511="","",'Data Source'!AC511)</f>
        <v/>
      </c>
      <c r="L511" s="9">
        <f>IF('Data Source'!B511="","",'Data Source'!AD511)</f>
        <v/>
      </c>
      <c r="M511" s="9">
        <f>IF('Data Source'!B511="","",'Data Source'!AE511)</f>
        <v/>
      </c>
      <c r="N511" s="9">
        <f>IF('Data Source'!B511="","",'Data Source'!AF511)</f>
        <v/>
      </c>
      <c r="O511" s="9">
        <f>IF('Data Source'!B511="","",'Data Source'!AG511)</f>
        <v/>
      </c>
      <c r="P511" s="5">
        <f>IF('Data Source'!B511="","",'Data Source'!R511)</f>
        <v/>
      </c>
      <c r="Q511" s="3">
        <f>IF('Data Source'!B511="","",'Data Source'!S511)</f>
        <v/>
      </c>
    </row>
    <row r="512">
      <c r="A512" s="3">
        <f>IF('Data Source'!B512="","",'Data Source'!A512)</f>
        <v/>
      </c>
      <c r="B512">
        <f>IF('Data Source'!B512="","",'Data Source'!B512)</f>
        <v/>
      </c>
      <c r="C512" s="9">
        <f>IF('Data Source'!B512="","",'Data Source'!U512)</f>
        <v/>
      </c>
      <c r="D512" s="9">
        <f>IF('Data Source'!B512="","",'Data Source'!V512)</f>
        <v/>
      </c>
      <c r="E512" s="9">
        <f>IF('Data Source'!B512="","",'Data Source'!W512)</f>
        <v/>
      </c>
      <c r="F512" s="9">
        <f>IF('Data Source'!B512="","",'Data Source'!X512)</f>
        <v/>
      </c>
      <c r="G512" s="9">
        <f>IF('Data Source'!B512="","",'Data Source'!Y512)</f>
        <v/>
      </c>
      <c r="H512" s="9">
        <f>IF('Data Source'!B512="","",'Data Source'!Z512)</f>
        <v/>
      </c>
      <c r="I512" s="9">
        <f>IF('Data Source'!B512="","",'Data Source'!AA512)</f>
        <v/>
      </c>
      <c r="J512" s="9">
        <f>IF('Data Source'!B512="","",'Data Source'!AB512)</f>
        <v/>
      </c>
      <c r="K512" s="9">
        <f>IF('Data Source'!B512="","",'Data Source'!AC512)</f>
        <v/>
      </c>
      <c r="L512" s="9">
        <f>IF('Data Source'!B512="","",'Data Source'!AD512)</f>
        <v/>
      </c>
      <c r="M512" s="9">
        <f>IF('Data Source'!B512="","",'Data Source'!AE512)</f>
        <v/>
      </c>
      <c r="N512" s="9">
        <f>IF('Data Source'!B512="","",'Data Source'!AF512)</f>
        <v/>
      </c>
      <c r="O512" s="9">
        <f>IF('Data Source'!B512="","",'Data Source'!AG512)</f>
        <v/>
      </c>
      <c r="P512" s="5">
        <f>IF('Data Source'!B512="","",'Data Source'!R512)</f>
        <v/>
      </c>
      <c r="Q512" s="3">
        <f>IF('Data Source'!B512="","",'Data Source'!S512)</f>
        <v/>
      </c>
    </row>
    <row r="513">
      <c r="A513" s="3">
        <f>IF('Data Source'!B513="","",'Data Source'!A513)</f>
        <v/>
      </c>
      <c r="B513">
        <f>IF('Data Source'!B513="","",'Data Source'!B513)</f>
        <v/>
      </c>
      <c r="C513" s="9">
        <f>IF('Data Source'!B513="","",'Data Source'!U513)</f>
        <v/>
      </c>
      <c r="D513" s="9">
        <f>IF('Data Source'!B513="","",'Data Source'!V513)</f>
        <v/>
      </c>
      <c r="E513" s="9">
        <f>IF('Data Source'!B513="","",'Data Source'!W513)</f>
        <v/>
      </c>
      <c r="F513" s="9">
        <f>IF('Data Source'!B513="","",'Data Source'!X513)</f>
        <v/>
      </c>
      <c r="G513" s="9">
        <f>IF('Data Source'!B513="","",'Data Source'!Y513)</f>
        <v/>
      </c>
      <c r="H513" s="9">
        <f>IF('Data Source'!B513="","",'Data Source'!Z513)</f>
        <v/>
      </c>
      <c r="I513" s="9">
        <f>IF('Data Source'!B513="","",'Data Source'!AA513)</f>
        <v/>
      </c>
      <c r="J513" s="9">
        <f>IF('Data Source'!B513="","",'Data Source'!AB513)</f>
        <v/>
      </c>
      <c r="K513" s="9">
        <f>IF('Data Source'!B513="","",'Data Source'!AC513)</f>
        <v/>
      </c>
      <c r="L513" s="9">
        <f>IF('Data Source'!B513="","",'Data Source'!AD513)</f>
        <v/>
      </c>
      <c r="M513" s="9">
        <f>IF('Data Source'!B513="","",'Data Source'!AE513)</f>
        <v/>
      </c>
      <c r="N513" s="9">
        <f>IF('Data Source'!B513="","",'Data Source'!AF513)</f>
        <v/>
      </c>
      <c r="O513" s="9">
        <f>IF('Data Source'!B513="","",'Data Source'!AG513)</f>
        <v/>
      </c>
      <c r="P513" s="5">
        <f>IF('Data Source'!B513="","",'Data Source'!R513)</f>
        <v/>
      </c>
      <c r="Q513" s="3">
        <f>IF('Data Source'!B513="","",'Data Source'!S513)</f>
        <v/>
      </c>
    </row>
    <row r="514">
      <c r="A514" s="3">
        <f>IF('Data Source'!B514="","",'Data Source'!A514)</f>
        <v/>
      </c>
      <c r="B514">
        <f>IF('Data Source'!B514="","",'Data Source'!B514)</f>
        <v/>
      </c>
      <c r="C514" s="9">
        <f>IF('Data Source'!B514="","",'Data Source'!U514)</f>
        <v/>
      </c>
      <c r="D514" s="9">
        <f>IF('Data Source'!B514="","",'Data Source'!V514)</f>
        <v/>
      </c>
      <c r="E514" s="9">
        <f>IF('Data Source'!B514="","",'Data Source'!W514)</f>
        <v/>
      </c>
      <c r="F514" s="9">
        <f>IF('Data Source'!B514="","",'Data Source'!X514)</f>
        <v/>
      </c>
      <c r="G514" s="9">
        <f>IF('Data Source'!B514="","",'Data Source'!Y514)</f>
        <v/>
      </c>
      <c r="H514" s="9">
        <f>IF('Data Source'!B514="","",'Data Source'!Z514)</f>
        <v/>
      </c>
      <c r="I514" s="9">
        <f>IF('Data Source'!B514="","",'Data Source'!AA514)</f>
        <v/>
      </c>
      <c r="J514" s="9">
        <f>IF('Data Source'!B514="","",'Data Source'!AB514)</f>
        <v/>
      </c>
      <c r="K514" s="9">
        <f>IF('Data Source'!B514="","",'Data Source'!AC514)</f>
        <v/>
      </c>
      <c r="L514" s="9">
        <f>IF('Data Source'!B514="","",'Data Source'!AD514)</f>
        <v/>
      </c>
      <c r="M514" s="9">
        <f>IF('Data Source'!B514="","",'Data Source'!AE514)</f>
        <v/>
      </c>
      <c r="N514" s="9">
        <f>IF('Data Source'!B514="","",'Data Source'!AF514)</f>
        <v/>
      </c>
      <c r="O514" s="9">
        <f>IF('Data Source'!B514="","",'Data Source'!AG514)</f>
        <v/>
      </c>
      <c r="P514" s="5">
        <f>IF('Data Source'!B514="","",'Data Source'!R514)</f>
        <v/>
      </c>
      <c r="Q514" s="3">
        <f>IF('Data Source'!B514="","",'Data Source'!S514)</f>
        <v/>
      </c>
    </row>
    <row r="515">
      <c r="A515" s="3">
        <f>IF('Data Source'!B515="","",'Data Source'!A515)</f>
        <v/>
      </c>
      <c r="B515">
        <f>IF('Data Source'!B515="","",'Data Source'!B515)</f>
        <v/>
      </c>
      <c r="C515" s="9">
        <f>IF('Data Source'!B515="","",'Data Source'!U515)</f>
        <v/>
      </c>
      <c r="D515" s="9">
        <f>IF('Data Source'!B515="","",'Data Source'!V515)</f>
        <v/>
      </c>
      <c r="E515" s="9">
        <f>IF('Data Source'!B515="","",'Data Source'!W515)</f>
        <v/>
      </c>
      <c r="F515" s="9">
        <f>IF('Data Source'!B515="","",'Data Source'!X515)</f>
        <v/>
      </c>
      <c r="G515" s="9">
        <f>IF('Data Source'!B515="","",'Data Source'!Y515)</f>
        <v/>
      </c>
      <c r="H515" s="9">
        <f>IF('Data Source'!B515="","",'Data Source'!Z515)</f>
        <v/>
      </c>
      <c r="I515" s="9">
        <f>IF('Data Source'!B515="","",'Data Source'!AA515)</f>
        <v/>
      </c>
      <c r="J515" s="9">
        <f>IF('Data Source'!B515="","",'Data Source'!AB515)</f>
        <v/>
      </c>
      <c r="K515" s="9">
        <f>IF('Data Source'!B515="","",'Data Source'!AC515)</f>
        <v/>
      </c>
      <c r="L515" s="9">
        <f>IF('Data Source'!B515="","",'Data Source'!AD515)</f>
        <v/>
      </c>
      <c r="M515" s="9">
        <f>IF('Data Source'!B515="","",'Data Source'!AE515)</f>
        <v/>
      </c>
      <c r="N515" s="9">
        <f>IF('Data Source'!B515="","",'Data Source'!AF515)</f>
        <v/>
      </c>
      <c r="O515" s="9">
        <f>IF('Data Source'!B515="","",'Data Source'!AG515)</f>
        <v/>
      </c>
      <c r="P515" s="5">
        <f>IF('Data Source'!B515="","",'Data Source'!R515)</f>
        <v/>
      </c>
      <c r="Q515" s="3">
        <f>IF('Data Source'!B515="","",'Data Source'!S515)</f>
        <v/>
      </c>
    </row>
    <row r="516">
      <c r="A516" s="3">
        <f>IF('Data Source'!B516="","",'Data Source'!A516)</f>
        <v/>
      </c>
      <c r="B516">
        <f>IF('Data Source'!B516="","",'Data Source'!B516)</f>
        <v/>
      </c>
      <c r="C516" s="9">
        <f>IF('Data Source'!B516="","",'Data Source'!U516)</f>
        <v/>
      </c>
      <c r="D516" s="9">
        <f>IF('Data Source'!B516="","",'Data Source'!V516)</f>
        <v/>
      </c>
      <c r="E516" s="9">
        <f>IF('Data Source'!B516="","",'Data Source'!W516)</f>
        <v/>
      </c>
      <c r="F516" s="9">
        <f>IF('Data Source'!B516="","",'Data Source'!X516)</f>
        <v/>
      </c>
      <c r="G516" s="9">
        <f>IF('Data Source'!B516="","",'Data Source'!Y516)</f>
        <v/>
      </c>
      <c r="H516" s="9">
        <f>IF('Data Source'!B516="","",'Data Source'!Z516)</f>
        <v/>
      </c>
      <c r="I516" s="9">
        <f>IF('Data Source'!B516="","",'Data Source'!AA516)</f>
        <v/>
      </c>
      <c r="J516" s="9">
        <f>IF('Data Source'!B516="","",'Data Source'!AB516)</f>
        <v/>
      </c>
      <c r="K516" s="9">
        <f>IF('Data Source'!B516="","",'Data Source'!AC516)</f>
        <v/>
      </c>
      <c r="L516" s="9">
        <f>IF('Data Source'!B516="","",'Data Source'!AD516)</f>
        <v/>
      </c>
      <c r="M516" s="9">
        <f>IF('Data Source'!B516="","",'Data Source'!AE516)</f>
        <v/>
      </c>
      <c r="N516" s="9">
        <f>IF('Data Source'!B516="","",'Data Source'!AF516)</f>
        <v/>
      </c>
      <c r="O516" s="9">
        <f>IF('Data Source'!B516="","",'Data Source'!AG516)</f>
        <v/>
      </c>
      <c r="P516" s="5">
        <f>IF('Data Source'!B516="","",'Data Source'!R516)</f>
        <v/>
      </c>
      <c r="Q516" s="3">
        <f>IF('Data Source'!B516="","",'Data Source'!S516)</f>
        <v/>
      </c>
    </row>
    <row r="517">
      <c r="A517" s="3">
        <f>IF('Data Source'!B517="","",'Data Source'!A517)</f>
        <v/>
      </c>
      <c r="B517">
        <f>IF('Data Source'!B517="","",'Data Source'!B517)</f>
        <v/>
      </c>
      <c r="C517" s="9">
        <f>IF('Data Source'!B517="","",'Data Source'!U517)</f>
        <v/>
      </c>
      <c r="D517" s="9">
        <f>IF('Data Source'!B517="","",'Data Source'!V517)</f>
        <v/>
      </c>
      <c r="E517" s="9">
        <f>IF('Data Source'!B517="","",'Data Source'!W517)</f>
        <v/>
      </c>
      <c r="F517" s="9">
        <f>IF('Data Source'!B517="","",'Data Source'!X517)</f>
        <v/>
      </c>
      <c r="G517" s="9">
        <f>IF('Data Source'!B517="","",'Data Source'!Y517)</f>
        <v/>
      </c>
      <c r="H517" s="9">
        <f>IF('Data Source'!B517="","",'Data Source'!Z517)</f>
        <v/>
      </c>
      <c r="I517" s="9">
        <f>IF('Data Source'!B517="","",'Data Source'!AA517)</f>
        <v/>
      </c>
      <c r="J517" s="9">
        <f>IF('Data Source'!B517="","",'Data Source'!AB517)</f>
        <v/>
      </c>
      <c r="K517" s="9">
        <f>IF('Data Source'!B517="","",'Data Source'!AC517)</f>
        <v/>
      </c>
      <c r="L517" s="9">
        <f>IF('Data Source'!B517="","",'Data Source'!AD517)</f>
        <v/>
      </c>
      <c r="M517" s="9">
        <f>IF('Data Source'!B517="","",'Data Source'!AE517)</f>
        <v/>
      </c>
      <c r="N517" s="9">
        <f>IF('Data Source'!B517="","",'Data Source'!AF517)</f>
        <v/>
      </c>
      <c r="O517" s="9">
        <f>IF('Data Source'!B517="","",'Data Source'!AG517)</f>
        <v/>
      </c>
      <c r="P517" s="5">
        <f>IF('Data Source'!B517="","",'Data Source'!R517)</f>
        <v/>
      </c>
      <c r="Q517" s="3">
        <f>IF('Data Source'!B517="","",'Data Source'!S517)</f>
        <v/>
      </c>
    </row>
    <row r="518">
      <c r="A518" s="3">
        <f>IF('Data Source'!B518="","",'Data Source'!A518)</f>
        <v/>
      </c>
      <c r="B518">
        <f>IF('Data Source'!B518="","",'Data Source'!B518)</f>
        <v/>
      </c>
      <c r="C518" s="9">
        <f>IF('Data Source'!B518="","",'Data Source'!U518)</f>
        <v/>
      </c>
      <c r="D518" s="9">
        <f>IF('Data Source'!B518="","",'Data Source'!V518)</f>
        <v/>
      </c>
      <c r="E518" s="9">
        <f>IF('Data Source'!B518="","",'Data Source'!W518)</f>
        <v/>
      </c>
      <c r="F518" s="9">
        <f>IF('Data Source'!B518="","",'Data Source'!X518)</f>
        <v/>
      </c>
      <c r="G518" s="9">
        <f>IF('Data Source'!B518="","",'Data Source'!Y518)</f>
        <v/>
      </c>
      <c r="H518" s="9">
        <f>IF('Data Source'!B518="","",'Data Source'!Z518)</f>
        <v/>
      </c>
      <c r="I518" s="9">
        <f>IF('Data Source'!B518="","",'Data Source'!AA518)</f>
        <v/>
      </c>
      <c r="J518" s="9">
        <f>IF('Data Source'!B518="","",'Data Source'!AB518)</f>
        <v/>
      </c>
      <c r="K518" s="9">
        <f>IF('Data Source'!B518="","",'Data Source'!AC518)</f>
        <v/>
      </c>
      <c r="L518" s="9">
        <f>IF('Data Source'!B518="","",'Data Source'!AD518)</f>
        <v/>
      </c>
      <c r="M518" s="9">
        <f>IF('Data Source'!B518="","",'Data Source'!AE518)</f>
        <v/>
      </c>
      <c r="N518" s="9">
        <f>IF('Data Source'!B518="","",'Data Source'!AF518)</f>
        <v/>
      </c>
      <c r="O518" s="9">
        <f>IF('Data Source'!B518="","",'Data Source'!AG518)</f>
        <v/>
      </c>
      <c r="P518" s="5">
        <f>IF('Data Source'!B518="","",'Data Source'!R518)</f>
        <v/>
      </c>
      <c r="Q518" s="3">
        <f>IF('Data Source'!B518="","",'Data Source'!S518)</f>
        <v/>
      </c>
    </row>
    <row r="519">
      <c r="A519" s="3">
        <f>IF('Data Source'!B519="","",'Data Source'!A519)</f>
        <v/>
      </c>
      <c r="B519">
        <f>IF('Data Source'!B519="","",'Data Source'!B519)</f>
        <v/>
      </c>
      <c r="C519" s="9">
        <f>IF('Data Source'!B519="","",'Data Source'!U519)</f>
        <v/>
      </c>
      <c r="D519" s="9">
        <f>IF('Data Source'!B519="","",'Data Source'!V519)</f>
        <v/>
      </c>
      <c r="E519" s="9">
        <f>IF('Data Source'!B519="","",'Data Source'!W519)</f>
        <v/>
      </c>
      <c r="F519" s="9">
        <f>IF('Data Source'!B519="","",'Data Source'!X519)</f>
        <v/>
      </c>
      <c r="G519" s="9">
        <f>IF('Data Source'!B519="","",'Data Source'!Y519)</f>
        <v/>
      </c>
      <c r="H519" s="9">
        <f>IF('Data Source'!B519="","",'Data Source'!Z519)</f>
        <v/>
      </c>
      <c r="I519" s="9">
        <f>IF('Data Source'!B519="","",'Data Source'!AA519)</f>
        <v/>
      </c>
      <c r="J519" s="9">
        <f>IF('Data Source'!B519="","",'Data Source'!AB519)</f>
        <v/>
      </c>
      <c r="K519" s="9">
        <f>IF('Data Source'!B519="","",'Data Source'!AC519)</f>
        <v/>
      </c>
      <c r="L519" s="9">
        <f>IF('Data Source'!B519="","",'Data Source'!AD519)</f>
        <v/>
      </c>
      <c r="M519" s="9">
        <f>IF('Data Source'!B519="","",'Data Source'!AE519)</f>
        <v/>
      </c>
      <c r="N519" s="9">
        <f>IF('Data Source'!B519="","",'Data Source'!AF519)</f>
        <v/>
      </c>
      <c r="O519" s="9">
        <f>IF('Data Source'!B519="","",'Data Source'!AG519)</f>
        <v/>
      </c>
      <c r="P519" s="5">
        <f>IF('Data Source'!B519="","",'Data Source'!R519)</f>
        <v/>
      </c>
      <c r="Q519" s="3">
        <f>IF('Data Source'!B519="","",'Data Source'!S519)</f>
        <v/>
      </c>
    </row>
    <row r="520">
      <c r="A520" s="3">
        <f>IF('Data Source'!B520="","",'Data Source'!A520)</f>
        <v/>
      </c>
      <c r="B520">
        <f>IF('Data Source'!B520="","",'Data Source'!B520)</f>
        <v/>
      </c>
      <c r="C520" s="9">
        <f>IF('Data Source'!B520="","",'Data Source'!U520)</f>
        <v/>
      </c>
      <c r="D520" s="9">
        <f>IF('Data Source'!B520="","",'Data Source'!V520)</f>
        <v/>
      </c>
      <c r="E520" s="9">
        <f>IF('Data Source'!B520="","",'Data Source'!W520)</f>
        <v/>
      </c>
      <c r="F520" s="9">
        <f>IF('Data Source'!B520="","",'Data Source'!X520)</f>
        <v/>
      </c>
      <c r="G520" s="9">
        <f>IF('Data Source'!B520="","",'Data Source'!Y520)</f>
        <v/>
      </c>
      <c r="H520" s="9">
        <f>IF('Data Source'!B520="","",'Data Source'!Z520)</f>
        <v/>
      </c>
      <c r="I520" s="9">
        <f>IF('Data Source'!B520="","",'Data Source'!AA520)</f>
        <v/>
      </c>
      <c r="J520" s="9">
        <f>IF('Data Source'!B520="","",'Data Source'!AB520)</f>
        <v/>
      </c>
      <c r="K520" s="9">
        <f>IF('Data Source'!B520="","",'Data Source'!AC520)</f>
        <v/>
      </c>
      <c r="L520" s="9">
        <f>IF('Data Source'!B520="","",'Data Source'!AD520)</f>
        <v/>
      </c>
      <c r="M520" s="9">
        <f>IF('Data Source'!B520="","",'Data Source'!AE520)</f>
        <v/>
      </c>
      <c r="N520" s="9">
        <f>IF('Data Source'!B520="","",'Data Source'!AF520)</f>
        <v/>
      </c>
      <c r="O520" s="9">
        <f>IF('Data Source'!B520="","",'Data Source'!AG520)</f>
        <v/>
      </c>
      <c r="P520" s="5">
        <f>IF('Data Source'!B520="","",'Data Source'!R520)</f>
        <v/>
      </c>
      <c r="Q520" s="3">
        <f>IF('Data Source'!B520="","",'Data Source'!S520)</f>
        <v/>
      </c>
    </row>
    <row r="521">
      <c r="A521" s="3">
        <f>IF('Data Source'!B521="","",'Data Source'!A521)</f>
        <v/>
      </c>
      <c r="B521">
        <f>IF('Data Source'!B521="","",'Data Source'!B521)</f>
        <v/>
      </c>
      <c r="C521" s="9">
        <f>IF('Data Source'!B521="","",'Data Source'!U521)</f>
        <v/>
      </c>
      <c r="D521" s="9">
        <f>IF('Data Source'!B521="","",'Data Source'!V521)</f>
        <v/>
      </c>
      <c r="E521" s="9">
        <f>IF('Data Source'!B521="","",'Data Source'!W521)</f>
        <v/>
      </c>
      <c r="F521" s="9">
        <f>IF('Data Source'!B521="","",'Data Source'!X521)</f>
        <v/>
      </c>
      <c r="G521" s="9">
        <f>IF('Data Source'!B521="","",'Data Source'!Y521)</f>
        <v/>
      </c>
      <c r="H521" s="9">
        <f>IF('Data Source'!B521="","",'Data Source'!Z521)</f>
        <v/>
      </c>
      <c r="I521" s="9">
        <f>IF('Data Source'!B521="","",'Data Source'!AA521)</f>
        <v/>
      </c>
      <c r="J521" s="9">
        <f>IF('Data Source'!B521="","",'Data Source'!AB521)</f>
        <v/>
      </c>
      <c r="K521" s="9">
        <f>IF('Data Source'!B521="","",'Data Source'!AC521)</f>
        <v/>
      </c>
      <c r="L521" s="9">
        <f>IF('Data Source'!B521="","",'Data Source'!AD521)</f>
        <v/>
      </c>
      <c r="M521" s="9">
        <f>IF('Data Source'!B521="","",'Data Source'!AE521)</f>
        <v/>
      </c>
      <c r="N521" s="9">
        <f>IF('Data Source'!B521="","",'Data Source'!AF521)</f>
        <v/>
      </c>
      <c r="O521" s="9">
        <f>IF('Data Source'!B521="","",'Data Source'!AG521)</f>
        <v/>
      </c>
      <c r="P521" s="5">
        <f>IF('Data Source'!B521="","",'Data Source'!R521)</f>
        <v/>
      </c>
      <c r="Q521" s="3">
        <f>IF('Data Source'!B521="","",'Data Source'!S521)</f>
        <v/>
      </c>
    </row>
    <row r="522">
      <c r="A522" s="3">
        <f>IF('Data Source'!B522="","",'Data Source'!A522)</f>
        <v/>
      </c>
      <c r="B522">
        <f>IF('Data Source'!B522="","",'Data Source'!B522)</f>
        <v/>
      </c>
      <c r="C522" s="9">
        <f>IF('Data Source'!B522="","",'Data Source'!U522)</f>
        <v/>
      </c>
      <c r="D522" s="9">
        <f>IF('Data Source'!B522="","",'Data Source'!V522)</f>
        <v/>
      </c>
      <c r="E522" s="9">
        <f>IF('Data Source'!B522="","",'Data Source'!W522)</f>
        <v/>
      </c>
      <c r="F522" s="9">
        <f>IF('Data Source'!B522="","",'Data Source'!X522)</f>
        <v/>
      </c>
      <c r="G522" s="9">
        <f>IF('Data Source'!B522="","",'Data Source'!Y522)</f>
        <v/>
      </c>
      <c r="H522" s="9">
        <f>IF('Data Source'!B522="","",'Data Source'!Z522)</f>
        <v/>
      </c>
      <c r="I522" s="9">
        <f>IF('Data Source'!B522="","",'Data Source'!AA522)</f>
        <v/>
      </c>
      <c r="J522" s="9">
        <f>IF('Data Source'!B522="","",'Data Source'!AB522)</f>
        <v/>
      </c>
      <c r="K522" s="9">
        <f>IF('Data Source'!B522="","",'Data Source'!AC522)</f>
        <v/>
      </c>
      <c r="L522" s="9">
        <f>IF('Data Source'!B522="","",'Data Source'!AD522)</f>
        <v/>
      </c>
      <c r="M522" s="9">
        <f>IF('Data Source'!B522="","",'Data Source'!AE522)</f>
        <v/>
      </c>
      <c r="N522" s="9">
        <f>IF('Data Source'!B522="","",'Data Source'!AF522)</f>
        <v/>
      </c>
      <c r="O522" s="9">
        <f>IF('Data Source'!B522="","",'Data Source'!AG522)</f>
        <v/>
      </c>
      <c r="P522" s="5">
        <f>IF('Data Source'!B522="","",'Data Source'!R522)</f>
        <v/>
      </c>
      <c r="Q522" s="3">
        <f>IF('Data Source'!B522="","",'Data Source'!S522)</f>
        <v/>
      </c>
    </row>
    <row r="523">
      <c r="A523" s="3">
        <f>IF('Data Source'!B523="","",'Data Source'!A523)</f>
        <v/>
      </c>
      <c r="B523">
        <f>IF('Data Source'!B523="","",'Data Source'!B523)</f>
        <v/>
      </c>
      <c r="C523" s="9">
        <f>IF('Data Source'!B523="","",'Data Source'!U523)</f>
        <v/>
      </c>
      <c r="D523" s="9">
        <f>IF('Data Source'!B523="","",'Data Source'!V523)</f>
        <v/>
      </c>
      <c r="E523" s="9">
        <f>IF('Data Source'!B523="","",'Data Source'!W523)</f>
        <v/>
      </c>
      <c r="F523" s="9">
        <f>IF('Data Source'!B523="","",'Data Source'!X523)</f>
        <v/>
      </c>
      <c r="G523" s="9">
        <f>IF('Data Source'!B523="","",'Data Source'!Y523)</f>
        <v/>
      </c>
      <c r="H523" s="9">
        <f>IF('Data Source'!B523="","",'Data Source'!Z523)</f>
        <v/>
      </c>
      <c r="I523" s="9">
        <f>IF('Data Source'!B523="","",'Data Source'!AA523)</f>
        <v/>
      </c>
      <c r="J523" s="9">
        <f>IF('Data Source'!B523="","",'Data Source'!AB523)</f>
        <v/>
      </c>
      <c r="K523" s="9">
        <f>IF('Data Source'!B523="","",'Data Source'!AC523)</f>
        <v/>
      </c>
      <c r="L523" s="9">
        <f>IF('Data Source'!B523="","",'Data Source'!AD523)</f>
        <v/>
      </c>
      <c r="M523" s="9">
        <f>IF('Data Source'!B523="","",'Data Source'!AE523)</f>
        <v/>
      </c>
      <c r="N523" s="9">
        <f>IF('Data Source'!B523="","",'Data Source'!AF523)</f>
        <v/>
      </c>
      <c r="O523" s="9">
        <f>IF('Data Source'!B523="","",'Data Source'!AG523)</f>
        <v/>
      </c>
      <c r="P523" s="5">
        <f>IF('Data Source'!B523="","",'Data Source'!R523)</f>
        <v/>
      </c>
      <c r="Q523" s="3">
        <f>IF('Data Source'!B523="","",'Data Source'!S523)</f>
        <v/>
      </c>
    </row>
    <row r="524">
      <c r="A524" s="3">
        <f>IF('Data Source'!B524="","",'Data Source'!A524)</f>
        <v/>
      </c>
      <c r="B524">
        <f>IF('Data Source'!B524="","",'Data Source'!B524)</f>
        <v/>
      </c>
      <c r="C524" s="9">
        <f>IF('Data Source'!B524="","",'Data Source'!U524)</f>
        <v/>
      </c>
      <c r="D524" s="9">
        <f>IF('Data Source'!B524="","",'Data Source'!V524)</f>
        <v/>
      </c>
      <c r="E524" s="9">
        <f>IF('Data Source'!B524="","",'Data Source'!W524)</f>
        <v/>
      </c>
      <c r="F524" s="9">
        <f>IF('Data Source'!B524="","",'Data Source'!X524)</f>
        <v/>
      </c>
      <c r="G524" s="9">
        <f>IF('Data Source'!B524="","",'Data Source'!Y524)</f>
        <v/>
      </c>
      <c r="H524" s="9">
        <f>IF('Data Source'!B524="","",'Data Source'!Z524)</f>
        <v/>
      </c>
      <c r="I524" s="9">
        <f>IF('Data Source'!B524="","",'Data Source'!AA524)</f>
        <v/>
      </c>
      <c r="J524" s="9">
        <f>IF('Data Source'!B524="","",'Data Source'!AB524)</f>
        <v/>
      </c>
      <c r="K524" s="9">
        <f>IF('Data Source'!B524="","",'Data Source'!AC524)</f>
        <v/>
      </c>
      <c r="L524" s="9">
        <f>IF('Data Source'!B524="","",'Data Source'!AD524)</f>
        <v/>
      </c>
      <c r="M524" s="9">
        <f>IF('Data Source'!B524="","",'Data Source'!AE524)</f>
        <v/>
      </c>
      <c r="N524" s="9">
        <f>IF('Data Source'!B524="","",'Data Source'!AF524)</f>
        <v/>
      </c>
      <c r="O524" s="9">
        <f>IF('Data Source'!B524="","",'Data Source'!AG524)</f>
        <v/>
      </c>
      <c r="P524" s="5">
        <f>IF('Data Source'!B524="","",'Data Source'!R524)</f>
        <v/>
      </c>
      <c r="Q524" s="3">
        <f>IF('Data Source'!B524="","",'Data Source'!S524)</f>
        <v/>
      </c>
    </row>
    <row r="525">
      <c r="A525" s="3">
        <f>IF('Data Source'!B525="","",'Data Source'!A525)</f>
        <v/>
      </c>
      <c r="B525">
        <f>IF('Data Source'!B525="","",'Data Source'!B525)</f>
        <v/>
      </c>
      <c r="C525" s="9">
        <f>IF('Data Source'!B525="","",'Data Source'!U525)</f>
        <v/>
      </c>
      <c r="D525" s="9">
        <f>IF('Data Source'!B525="","",'Data Source'!V525)</f>
        <v/>
      </c>
      <c r="E525" s="9">
        <f>IF('Data Source'!B525="","",'Data Source'!W525)</f>
        <v/>
      </c>
      <c r="F525" s="9">
        <f>IF('Data Source'!B525="","",'Data Source'!X525)</f>
        <v/>
      </c>
      <c r="G525" s="9">
        <f>IF('Data Source'!B525="","",'Data Source'!Y525)</f>
        <v/>
      </c>
      <c r="H525" s="9">
        <f>IF('Data Source'!B525="","",'Data Source'!Z525)</f>
        <v/>
      </c>
      <c r="I525" s="9">
        <f>IF('Data Source'!B525="","",'Data Source'!AA525)</f>
        <v/>
      </c>
      <c r="J525" s="9">
        <f>IF('Data Source'!B525="","",'Data Source'!AB525)</f>
        <v/>
      </c>
      <c r="K525" s="9">
        <f>IF('Data Source'!B525="","",'Data Source'!AC525)</f>
        <v/>
      </c>
      <c r="L525" s="9">
        <f>IF('Data Source'!B525="","",'Data Source'!AD525)</f>
        <v/>
      </c>
      <c r="M525" s="9">
        <f>IF('Data Source'!B525="","",'Data Source'!AE525)</f>
        <v/>
      </c>
      <c r="N525" s="9">
        <f>IF('Data Source'!B525="","",'Data Source'!AF525)</f>
        <v/>
      </c>
      <c r="O525" s="9">
        <f>IF('Data Source'!B525="","",'Data Source'!AG525)</f>
        <v/>
      </c>
      <c r="P525" s="5">
        <f>IF('Data Source'!B525="","",'Data Source'!R525)</f>
        <v/>
      </c>
      <c r="Q525" s="3">
        <f>IF('Data Source'!B525="","",'Data Source'!S525)</f>
        <v/>
      </c>
    </row>
    <row r="526">
      <c r="A526" s="3">
        <f>IF('Data Source'!B526="","",'Data Source'!A526)</f>
        <v/>
      </c>
      <c r="B526">
        <f>IF('Data Source'!B526="","",'Data Source'!B526)</f>
        <v/>
      </c>
      <c r="C526" s="9">
        <f>IF('Data Source'!B526="","",'Data Source'!U526)</f>
        <v/>
      </c>
      <c r="D526" s="9">
        <f>IF('Data Source'!B526="","",'Data Source'!V526)</f>
        <v/>
      </c>
      <c r="E526" s="9">
        <f>IF('Data Source'!B526="","",'Data Source'!W526)</f>
        <v/>
      </c>
      <c r="F526" s="9">
        <f>IF('Data Source'!B526="","",'Data Source'!X526)</f>
        <v/>
      </c>
      <c r="G526" s="9">
        <f>IF('Data Source'!B526="","",'Data Source'!Y526)</f>
        <v/>
      </c>
      <c r="H526" s="9">
        <f>IF('Data Source'!B526="","",'Data Source'!Z526)</f>
        <v/>
      </c>
      <c r="I526" s="9">
        <f>IF('Data Source'!B526="","",'Data Source'!AA526)</f>
        <v/>
      </c>
      <c r="J526" s="9">
        <f>IF('Data Source'!B526="","",'Data Source'!AB526)</f>
        <v/>
      </c>
      <c r="K526" s="9">
        <f>IF('Data Source'!B526="","",'Data Source'!AC526)</f>
        <v/>
      </c>
      <c r="L526" s="9">
        <f>IF('Data Source'!B526="","",'Data Source'!AD526)</f>
        <v/>
      </c>
      <c r="M526" s="9">
        <f>IF('Data Source'!B526="","",'Data Source'!AE526)</f>
        <v/>
      </c>
      <c r="N526" s="9">
        <f>IF('Data Source'!B526="","",'Data Source'!AF526)</f>
        <v/>
      </c>
      <c r="O526" s="9">
        <f>IF('Data Source'!B526="","",'Data Source'!AG526)</f>
        <v/>
      </c>
      <c r="P526" s="5">
        <f>IF('Data Source'!B526="","",'Data Source'!R526)</f>
        <v/>
      </c>
      <c r="Q526" s="3">
        <f>IF('Data Source'!B526="","",'Data Source'!S526)</f>
        <v/>
      </c>
    </row>
    <row r="527">
      <c r="A527" s="3">
        <f>IF('Data Source'!B527="","",'Data Source'!A527)</f>
        <v/>
      </c>
      <c r="B527">
        <f>IF('Data Source'!B527="","",'Data Source'!B527)</f>
        <v/>
      </c>
      <c r="C527" s="9">
        <f>IF('Data Source'!B527="","",'Data Source'!U527)</f>
        <v/>
      </c>
      <c r="D527" s="9">
        <f>IF('Data Source'!B527="","",'Data Source'!V527)</f>
        <v/>
      </c>
      <c r="E527" s="9">
        <f>IF('Data Source'!B527="","",'Data Source'!W527)</f>
        <v/>
      </c>
      <c r="F527" s="9">
        <f>IF('Data Source'!B527="","",'Data Source'!X527)</f>
        <v/>
      </c>
      <c r="G527" s="9">
        <f>IF('Data Source'!B527="","",'Data Source'!Y527)</f>
        <v/>
      </c>
      <c r="H527" s="9">
        <f>IF('Data Source'!B527="","",'Data Source'!Z527)</f>
        <v/>
      </c>
      <c r="I527" s="9">
        <f>IF('Data Source'!B527="","",'Data Source'!AA527)</f>
        <v/>
      </c>
      <c r="J527" s="9">
        <f>IF('Data Source'!B527="","",'Data Source'!AB527)</f>
        <v/>
      </c>
      <c r="K527" s="9">
        <f>IF('Data Source'!B527="","",'Data Source'!AC527)</f>
        <v/>
      </c>
      <c r="L527" s="9">
        <f>IF('Data Source'!B527="","",'Data Source'!AD527)</f>
        <v/>
      </c>
      <c r="M527" s="9">
        <f>IF('Data Source'!B527="","",'Data Source'!AE527)</f>
        <v/>
      </c>
      <c r="N527" s="9">
        <f>IF('Data Source'!B527="","",'Data Source'!AF527)</f>
        <v/>
      </c>
      <c r="O527" s="9">
        <f>IF('Data Source'!B527="","",'Data Source'!AG527)</f>
        <v/>
      </c>
      <c r="P527" s="5">
        <f>IF('Data Source'!B527="","",'Data Source'!R527)</f>
        <v/>
      </c>
      <c r="Q527" s="3">
        <f>IF('Data Source'!B527="","",'Data Source'!S527)</f>
        <v/>
      </c>
    </row>
    <row r="528">
      <c r="A528" s="3">
        <f>IF('Data Source'!B528="","",'Data Source'!A528)</f>
        <v/>
      </c>
      <c r="B528">
        <f>IF('Data Source'!B528="","",'Data Source'!B528)</f>
        <v/>
      </c>
      <c r="C528" s="9">
        <f>IF('Data Source'!B528="","",'Data Source'!U528)</f>
        <v/>
      </c>
      <c r="D528" s="9">
        <f>IF('Data Source'!B528="","",'Data Source'!V528)</f>
        <v/>
      </c>
      <c r="E528" s="9">
        <f>IF('Data Source'!B528="","",'Data Source'!W528)</f>
        <v/>
      </c>
      <c r="F528" s="9">
        <f>IF('Data Source'!B528="","",'Data Source'!X528)</f>
        <v/>
      </c>
      <c r="G528" s="9">
        <f>IF('Data Source'!B528="","",'Data Source'!Y528)</f>
        <v/>
      </c>
      <c r="H528" s="9">
        <f>IF('Data Source'!B528="","",'Data Source'!Z528)</f>
        <v/>
      </c>
      <c r="I528" s="9">
        <f>IF('Data Source'!B528="","",'Data Source'!AA528)</f>
        <v/>
      </c>
      <c r="J528" s="9">
        <f>IF('Data Source'!B528="","",'Data Source'!AB528)</f>
        <v/>
      </c>
      <c r="K528" s="9">
        <f>IF('Data Source'!B528="","",'Data Source'!AC528)</f>
        <v/>
      </c>
      <c r="L528" s="9">
        <f>IF('Data Source'!B528="","",'Data Source'!AD528)</f>
        <v/>
      </c>
      <c r="M528" s="9">
        <f>IF('Data Source'!B528="","",'Data Source'!AE528)</f>
        <v/>
      </c>
      <c r="N528" s="9">
        <f>IF('Data Source'!B528="","",'Data Source'!AF528)</f>
        <v/>
      </c>
      <c r="O528" s="9">
        <f>IF('Data Source'!B528="","",'Data Source'!AG528)</f>
        <v/>
      </c>
      <c r="P528" s="5">
        <f>IF('Data Source'!B528="","",'Data Source'!R528)</f>
        <v/>
      </c>
      <c r="Q528" s="3">
        <f>IF('Data Source'!B528="","",'Data Source'!S528)</f>
        <v/>
      </c>
    </row>
    <row r="529">
      <c r="A529" s="3">
        <f>IF('Data Source'!B529="","",'Data Source'!A529)</f>
        <v/>
      </c>
      <c r="B529">
        <f>IF('Data Source'!B529="","",'Data Source'!B529)</f>
        <v/>
      </c>
      <c r="C529" s="9">
        <f>IF('Data Source'!B529="","",'Data Source'!U529)</f>
        <v/>
      </c>
      <c r="D529" s="9">
        <f>IF('Data Source'!B529="","",'Data Source'!V529)</f>
        <v/>
      </c>
      <c r="E529" s="9">
        <f>IF('Data Source'!B529="","",'Data Source'!W529)</f>
        <v/>
      </c>
      <c r="F529" s="9">
        <f>IF('Data Source'!B529="","",'Data Source'!X529)</f>
        <v/>
      </c>
      <c r="G529" s="9">
        <f>IF('Data Source'!B529="","",'Data Source'!Y529)</f>
        <v/>
      </c>
      <c r="H529" s="9">
        <f>IF('Data Source'!B529="","",'Data Source'!Z529)</f>
        <v/>
      </c>
      <c r="I529" s="9">
        <f>IF('Data Source'!B529="","",'Data Source'!AA529)</f>
        <v/>
      </c>
      <c r="J529" s="9">
        <f>IF('Data Source'!B529="","",'Data Source'!AB529)</f>
        <v/>
      </c>
      <c r="K529" s="9">
        <f>IF('Data Source'!B529="","",'Data Source'!AC529)</f>
        <v/>
      </c>
      <c r="L529" s="9">
        <f>IF('Data Source'!B529="","",'Data Source'!AD529)</f>
        <v/>
      </c>
      <c r="M529" s="9">
        <f>IF('Data Source'!B529="","",'Data Source'!AE529)</f>
        <v/>
      </c>
      <c r="N529" s="9">
        <f>IF('Data Source'!B529="","",'Data Source'!AF529)</f>
        <v/>
      </c>
      <c r="O529" s="9">
        <f>IF('Data Source'!B529="","",'Data Source'!AG529)</f>
        <v/>
      </c>
      <c r="P529" s="5">
        <f>IF('Data Source'!B529="","",'Data Source'!R529)</f>
        <v/>
      </c>
      <c r="Q529" s="3">
        <f>IF('Data Source'!B529="","",'Data Source'!S529)</f>
        <v/>
      </c>
    </row>
    <row r="530">
      <c r="A530" s="3">
        <f>IF('Data Source'!B530="","",'Data Source'!A530)</f>
        <v/>
      </c>
      <c r="B530">
        <f>IF('Data Source'!B530="","",'Data Source'!B530)</f>
        <v/>
      </c>
      <c r="C530" s="9">
        <f>IF('Data Source'!B530="","",'Data Source'!U530)</f>
        <v/>
      </c>
      <c r="D530" s="9">
        <f>IF('Data Source'!B530="","",'Data Source'!V530)</f>
        <v/>
      </c>
      <c r="E530" s="9">
        <f>IF('Data Source'!B530="","",'Data Source'!W530)</f>
        <v/>
      </c>
      <c r="F530" s="9">
        <f>IF('Data Source'!B530="","",'Data Source'!X530)</f>
        <v/>
      </c>
      <c r="G530" s="9">
        <f>IF('Data Source'!B530="","",'Data Source'!Y530)</f>
        <v/>
      </c>
      <c r="H530" s="9">
        <f>IF('Data Source'!B530="","",'Data Source'!Z530)</f>
        <v/>
      </c>
      <c r="I530" s="9">
        <f>IF('Data Source'!B530="","",'Data Source'!AA530)</f>
        <v/>
      </c>
      <c r="J530" s="9">
        <f>IF('Data Source'!B530="","",'Data Source'!AB530)</f>
        <v/>
      </c>
      <c r="K530" s="9">
        <f>IF('Data Source'!B530="","",'Data Source'!AC530)</f>
        <v/>
      </c>
      <c r="L530" s="9">
        <f>IF('Data Source'!B530="","",'Data Source'!AD530)</f>
        <v/>
      </c>
      <c r="M530" s="9">
        <f>IF('Data Source'!B530="","",'Data Source'!AE530)</f>
        <v/>
      </c>
      <c r="N530" s="9">
        <f>IF('Data Source'!B530="","",'Data Source'!AF530)</f>
        <v/>
      </c>
      <c r="O530" s="9">
        <f>IF('Data Source'!B530="","",'Data Source'!AG530)</f>
        <v/>
      </c>
      <c r="P530" s="5">
        <f>IF('Data Source'!B530="","",'Data Source'!R530)</f>
        <v/>
      </c>
      <c r="Q530" s="3">
        <f>IF('Data Source'!B530="","",'Data Source'!S530)</f>
        <v/>
      </c>
    </row>
    <row r="531">
      <c r="A531" s="3">
        <f>IF('Data Source'!B531="","",'Data Source'!A531)</f>
        <v/>
      </c>
      <c r="B531">
        <f>IF('Data Source'!B531="","",'Data Source'!B531)</f>
        <v/>
      </c>
      <c r="C531" s="9">
        <f>IF('Data Source'!B531="","",'Data Source'!U531)</f>
        <v/>
      </c>
      <c r="D531" s="9">
        <f>IF('Data Source'!B531="","",'Data Source'!V531)</f>
        <v/>
      </c>
      <c r="E531" s="9">
        <f>IF('Data Source'!B531="","",'Data Source'!W531)</f>
        <v/>
      </c>
      <c r="F531" s="9">
        <f>IF('Data Source'!B531="","",'Data Source'!X531)</f>
        <v/>
      </c>
      <c r="G531" s="9">
        <f>IF('Data Source'!B531="","",'Data Source'!Y531)</f>
        <v/>
      </c>
      <c r="H531" s="9">
        <f>IF('Data Source'!B531="","",'Data Source'!Z531)</f>
        <v/>
      </c>
      <c r="I531" s="9">
        <f>IF('Data Source'!B531="","",'Data Source'!AA531)</f>
        <v/>
      </c>
      <c r="J531" s="9">
        <f>IF('Data Source'!B531="","",'Data Source'!AB531)</f>
        <v/>
      </c>
      <c r="K531" s="9">
        <f>IF('Data Source'!B531="","",'Data Source'!AC531)</f>
        <v/>
      </c>
      <c r="L531" s="9">
        <f>IF('Data Source'!B531="","",'Data Source'!AD531)</f>
        <v/>
      </c>
      <c r="M531" s="9">
        <f>IF('Data Source'!B531="","",'Data Source'!AE531)</f>
        <v/>
      </c>
      <c r="N531" s="9">
        <f>IF('Data Source'!B531="","",'Data Source'!AF531)</f>
        <v/>
      </c>
      <c r="O531" s="9">
        <f>IF('Data Source'!B531="","",'Data Source'!AG531)</f>
        <v/>
      </c>
      <c r="P531" s="5">
        <f>IF('Data Source'!B531="","",'Data Source'!R531)</f>
        <v/>
      </c>
      <c r="Q531" s="3">
        <f>IF('Data Source'!B531="","",'Data Source'!S531)</f>
        <v/>
      </c>
    </row>
    <row r="532">
      <c r="A532" s="3">
        <f>IF('Data Source'!B532="","",'Data Source'!A532)</f>
        <v/>
      </c>
      <c r="B532">
        <f>IF('Data Source'!B532="","",'Data Source'!B532)</f>
        <v/>
      </c>
      <c r="C532" s="9">
        <f>IF('Data Source'!B532="","",'Data Source'!U532)</f>
        <v/>
      </c>
      <c r="D532" s="9">
        <f>IF('Data Source'!B532="","",'Data Source'!V532)</f>
        <v/>
      </c>
      <c r="E532" s="9">
        <f>IF('Data Source'!B532="","",'Data Source'!W532)</f>
        <v/>
      </c>
      <c r="F532" s="9">
        <f>IF('Data Source'!B532="","",'Data Source'!X532)</f>
        <v/>
      </c>
      <c r="G532" s="9">
        <f>IF('Data Source'!B532="","",'Data Source'!Y532)</f>
        <v/>
      </c>
      <c r="H532" s="9">
        <f>IF('Data Source'!B532="","",'Data Source'!Z532)</f>
        <v/>
      </c>
      <c r="I532" s="9">
        <f>IF('Data Source'!B532="","",'Data Source'!AA532)</f>
        <v/>
      </c>
      <c r="J532" s="9">
        <f>IF('Data Source'!B532="","",'Data Source'!AB532)</f>
        <v/>
      </c>
      <c r="K532" s="9">
        <f>IF('Data Source'!B532="","",'Data Source'!AC532)</f>
        <v/>
      </c>
      <c r="L532" s="9">
        <f>IF('Data Source'!B532="","",'Data Source'!AD532)</f>
        <v/>
      </c>
      <c r="M532" s="9">
        <f>IF('Data Source'!B532="","",'Data Source'!AE532)</f>
        <v/>
      </c>
      <c r="N532" s="9">
        <f>IF('Data Source'!B532="","",'Data Source'!AF532)</f>
        <v/>
      </c>
      <c r="O532" s="9">
        <f>IF('Data Source'!B532="","",'Data Source'!AG532)</f>
        <v/>
      </c>
      <c r="P532" s="5">
        <f>IF('Data Source'!B532="","",'Data Source'!R532)</f>
        <v/>
      </c>
      <c r="Q532" s="3">
        <f>IF('Data Source'!B532="","",'Data Source'!S532)</f>
        <v/>
      </c>
    </row>
    <row r="533">
      <c r="A533" s="3">
        <f>IF('Data Source'!B533="","",'Data Source'!A533)</f>
        <v/>
      </c>
      <c r="B533">
        <f>IF('Data Source'!B533="","",'Data Source'!B533)</f>
        <v/>
      </c>
      <c r="C533" s="9">
        <f>IF('Data Source'!B533="","",'Data Source'!U533)</f>
        <v/>
      </c>
      <c r="D533" s="9">
        <f>IF('Data Source'!B533="","",'Data Source'!V533)</f>
        <v/>
      </c>
      <c r="E533" s="9">
        <f>IF('Data Source'!B533="","",'Data Source'!W533)</f>
        <v/>
      </c>
      <c r="F533" s="9">
        <f>IF('Data Source'!B533="","",'Data Source'!X533)</f>
        <v/>
      </c>
      <c r="G533" s="9">
        <f>IF('Data Source'!B533="","",'Data Source'!Y533)</f>
        <v/>
      </c>
      <c r="H533" s="9">
        <f>IF('Data Source'!B533="","",'Data Source'!Z533)</f>
        <v/>
      </c>
      <c r="I533" s="9">
        <f>IF('Data Source'!B533="","",'Data Source'!AA533)</f>
        <v/>
      </c>
      <c r="J533" s="9">
        <f>IF('Data Source'!B533="","",'Data Source'!AB533)</f>
        <v/>
      </c>
      <c r="K533" s="9">
        <f>IF('Data Source'!B533="","",'Data Source'!AC533)</f>
        <v/>
      </c>
      <c r="L533" s="9">
        <f>IF('Data Source'!B533="","",'Data Source'!AD533)</f>
        <v/>
      </c>
      <c r="M533" s="9">
        <f>IF('Data Source'!B533="","",'Data Source'!AE533)</f>
        <v/>
      </c>
      <c r="N533" s="9">
        <f>IF('Data Source'!B533="","",'Data Source'!AF533)</f>
        <v/>
      </c>
      <c r="O533" s="9">
        <f>IF('Data Source'!B533="","",'Data Source'!AG533)</f>
        <v/>
      </c>
      <c r="P533" s="5">
        <f>IF('Data Source'!B533="","",'Data Source'!R533)</f>
        <v/>
      </c>
      <c r="Q533" s="3">
        <f>IF('Data Source'!B533="","",'Data Source'!S533)</f>
        <v/>
      </c>
    </row>
    <row r="534">
      <c r="A534" s="3">
        <f>IF('Data Source'!B534="","",'Data Source'!A534)</f>
        <v/>
      </c>
      <c r="B534">
        <f>IF('Data Source'!B534="","",'Data Source'!B534)</f>
        <v/>
      </c>
      <c r="C534" s="9">
        <f>IF('Data Source'!B534="","",'Data Source'!U534)</f>
        <v/>
      </c>
      <c r="D534" s="9">
        <f>IF('Data Source'!B534="","",'Data Source'!V534)</f>
        <v/>
      </c>
      <c r="E534" s="9">
        <f>IF('Data Source'!B534="","",'Data Source'!W534)</f>
        <v/>
      </c>
      <c r="F534" s="9">
        <f>IF('Data Source'!B534="","",'Data Source'!X534)</f>
        <v/>
      </c>
      <c r="G534" s="9">
        <f>IF('Data Source'!B534="","",'Data Source'!Y534)</f>
        <v/>
      </c>
      <c r="H534" s="9">
        <f>IF('Data Source'!B534="","",'Data Source'!Z534)</f>
        <v/>
      </c>
      <c r="I534" s="9">
        <f>IF('Data Source'!B534="","",'Data Source'!AA534)</f>
        <v/>
      </c>
      <c r="J534" s="9">
        <f>IF('Data Source'!B534="","",'Data Source'!AB534)</f>
        <v/>
      </c>
      <c r="K534" s="9">
        <f>IF('Data Source'!B534="","",'Data Source'!AC534)</f>
        <v/>
      </c>
      <c r="L534" s="9">
        <f>IF('Data Source'!B534="","",'Data Source'!AD534)</f>
        <v/>
      </c>
      <c r="M534" s="9">
        <f>IF('Data Source'!B534="","",'Data Source'!AE534)</f>
        <v/>
      </c>
      <c r="N534" s="9">
        <f>IF('Data Source'!B534="","",'Data Source'!AF534)</f>
        <v/>
      </c>
      <c r="O534" s="9">
        <f>IF('Data Source'!B534="","",'Data Source'!AG534)</f>
        <v/>
      </c>
      <c r="P534" s="5">
        <f>IF('Data Source'!B534="","",'Data Source'!R534)</f>
        <v/>
      </c>
      <c r="Q534" s="3">
        <f>IF('Data Source'!B534="","",'Data Source'!S534)</f>
        <v/>
      </c>
    </row>
    <row r="535">
      <c r="A535" s="3">
        <f>IF('Data Source'!B535="","",'Data Source'!A535)</f>
        <v/>
      </c>
      <c r="B535">
        <f>IF('Data Source'!B535="","",'Data Source'!B535)</f>
        <v/>
      </c>
      <c r="C535" s="9">
        <f>IF('Data Source'!B535="","",'Data Source'!U535)</f>
        <v/>
      </c>
      <c r="D535" s="9">
        <f>IF('Data Source'!B535="","",'Data Source'!V535)</f>
        <v/>
      </c>
      <c r="E535" s="9">
        <f>IF('Data Source'!B535="","",'Data Source'!W535)</f>
        <v/>
      </c>
      <c r="F535" s="9">
        <f>IF('Data Source'!B535="","",'Data Source'!X535)</f>
        <v/>
      </c>
      <c r="G535" s="9">
        <f>IF('Data Source'!B535="","",'Data Source'!Y535)</f>
        <v/>
      </c>
      <c r="H535" s="9">
        <f>IF('Data Source'!B535="","",'Data Source'!Z535)</f>
        <v/>
      </c>
      <c r="I535" s="9">
        <f>IF('Data Source'!B535="","",'Data Source'!AA535)</f>
        <v/>
      </c>
      <c r="J535" s="9">
        <f>IF('Data Source'!B535="","",'Data Source'!AB535)</f>
        <v/>
      </c>
      <c r="K535" s="9">
        <f>IF('Data Source'!B535="","",'Data Source'!AC535)</f>
        <v/>
      </c>
      <c r="L535" s="9">
        <f>IF('Data Source'!B535="","",'Data Source'!AD535)</f>
        <v/>
      </c>
      <c r="M535" s="9">
        <f>IF('Data Source'!B535="","",'Data Source'!AE535)</f>
        <v/>
      </c>
      <c r="N535" s="9">
        <f>IF('Data Source'!B535="","",'Data Source'!AF535)</f>
        <v/>
      </c>
      <c r="O535" s="9">
        <f>IF('Data Source'!B535="","",'Data Source'!AG535)</f>
        <v/>
      </c>
      <c r="P535" s="5">
        <f>IF('Data Source'!B535="","",'Data Source'!R535)</f>
        <v/>
      </c>
      <c r="Q535" s="3">
        <f>IF('Data Source'!B535="","",'Data Source'!S535)</f>
        <v/>
      </c>
    </row>
    <row r="536">
      <c r="A536" s="3">
        <f>IF('Data Source'!B536="","",'Data Source'!A536)</f>
        <v/>
      </c>
      <c r="B536">
        <f>IF('Data Source'!B536="","",'Data Source'!B536)</f>
        <v/>
      </c>
      <c r="C536" s="9">
        <f>IF('Data Source'!B536="","",'Data Source'!U536)</f>
        <v/>
      </c>
      <c r="D536" s="9">
        <f>IF('Data Source'!B536="","",'Data Source'!V536)</f>
        <v/>
      </c>
      <c r="E536" s="9">
        <f>IF('Data Source'!B536="","",'Data Source'!W536)</f>
        <v/>
      </c>
      <c r="F536" s="9">
        <f>IF('Data Source'!B536="","",'Data Source'!X536)</f>
        <v/>
      </c>
      <c r="G536" s="9">
        <f>IF('Data Source'!B536="","",'Data Source'!Y536)</f>
        <v/>
      </c>
      <c r="H536" s="9">
        <f>IF('Data Source'!B536="","",'Data Source'!Z536)</f>
        <v/>
      </c>
      <c r="I536" s="9">
        <f>IF('Data Source'!B536="","",'Data Source'!AA536)</f>
        <v/>
      </c>
      <c r="J536" s="9">
        <f>IF('Data Source'!B536="","",'Data Source'!AB536)</f>
        <v/>
      </c>
      <c r="K536" s="9">
        <f>IF('Data Source'!B536="","",'Data Source'!AC536)</f>
        <v/>
      </c>
      <c r="L536" s="9">
        <f>IF('Data Source'!B536="","",'Data Source'!AD536)</f>
        <v/>
      </c>
      <c r="M536" s="9">
        <f>IF('Data Source'!B536="","",'Data Source'!AE536)</f>
        <v/>
      </c>
      <c r="N536" s="9">
        <f>IF('Data Source'!B536="","",'Data Source'!AF536)</f>
        <v/>
      </c>
      <c r="O536" s="9">
        <f>IF('Data Source'!B536="","",'Data Source'!AG536)</f>
        <v/>
      </c>
      <c r="P536" s="5">
        <f>IF('Data Source'!B536="","",'Data Source'!R536)</f>
        <v/>
      </c>
      <c r="Q536" s="3">
        <f>IF('Data Source'!B536="","",'Data Source'!S536)</f>
        <v/>
      </c>
    </row>
    <row r="537">
      <c r="A537" s="3">
        <f>IF('Data Source'!B537="","",'Data Source'!A537)</f>
        <v/>
      </c>
      <c r="B537">
        <f>IF('Data Source'!B537="","",'Data Source'!B537)</f>
        <v/>
      </c>
      <c r="C537" s="9">
        <f>IF('Data Source'!B537="","",'Data Source'!U537)</f>
        <v/>
      </c>
      <c r="D537" s="9">
        <f>IF('Data Source'!B537="","",'Data Source'!V537)</f>
        <v/>
      </c>
      <c r="E537" s="9">
        <f>IF('Data Source'!B537="","",'Data Source'!W537)</f>
        <v/>
      </c>
      <c r="F537" s="9">
        <f>IF('Data Source'!B537="","",'Data Source'!X537)</f>
        <v/>
      </c>
      <c r="G537" s="9">
        <f>IF('Data Source'!B537="","",'Data Source'!Y537)</f>
        <v/>
      </c>
      <c r="H537" s="9">
        <f>IF('Data Source'!B537="","",'Data Source'!Z537)</f>
        <v/>
      </c>
      <c r="I537" s="9">
        <f>IF('Data Source'!B537="","",'Data Source'!AA537)</f>
        <v/>
      </c>
      <c r="J537" s="9">
        <f>IF('Data Source'!B537="","",'Data Source'!AB537)</f>
        <v/>
      </c>
      <c r="K537" s="9">
        <f>IF('Data Source'!B537="","",'Data Source'!AC537)</f>
        <v/>
      </c>
      <c r="L537" s="9">
        <f>IF('Data Source'!B537="","",'Data Source'!AD537)</f>
        <v/>
      </c>
      <c r="M537" s="9">
        <f>IF('Data Source'!B537="","",'Data Source'!AE537)</f>
        <v/>
      </c>
      <c r="N537" s="9">
        <f>IF('Data Source'!B537="","",'Data Source'!AF537)</f>
        <v/>
      </c>
      <c r="O537" s="9">
        <f>IF('Data Source'!B537="","",'Data Source'!AG537)</f>
        <v/>
      </c>
      <c r="P537" s="5">
        <f>IF('Data Source'!B537="","",'Data Source'!R537)</f>
        <v/>
      </c>
      <c r="Q537" s="3">
        <f>IF('Data Source'!B537="","",'Data Source'!S537)</f>
        <v/>
      </c>
    </row>
    <row r="538">
      <c r="A538" s="3">
        <f>IF('Data Source'!B538="","",'Data Source'!A538)</f>
        <v/>
      </c>
      <c r="B538">
        <f>IF('Data Source'!B538="","",'Data Source'!B538)</f>
        <v/>
      </c>
      <c r="C538" s="9">
        <f>IF('Data Source'!B538="","",'Data Source'!U538)</f>
        <v/>
      </c>
      <c r="D538" s="9">
        <f>IF('Data Source'!B538="","",'Data Source'!V538)</f>
        <v/>
      </c>
      <c r="E538" s="9">
        <f>IF('Data Source'!B538="","",'Data Source'!W538)</f>
        <v/>
      </c>
      <c r="F538" s="9">
        <f>IF('Data Source'!B538="","",'Data Source'!X538)</f>
        <v/>
      </c>
      <c r="G538" s="9">
        <f>IF('Data Source'!B538="","",'Data Source'!Y538)</f>
        <v/>
      </c>
      <c r="H538" s="9">
        <f>IF('Data Source'!B538="","",'Data Source'!Z538)</f>
        <v/>
      </c>
      <c r="I538" s="9">
        <f>IF('Data Source'!B538="","",'Data Source'!AA538)</f>
        <v/>
      </c>
      <c r="J538" s="9">
        <f>IF('Data Source'!B538="","",'Data Source'!AB538)</f>
        <v/>
      </c>
      <c r="K538" s="9">
        <f>IF('Data Source'!B538="","",'Data Source'!AC538)</f>
        <v/>
      </c>
      <c r="L538" s="9">
        <f>IF('Data Source'!B538="","",'Data Source'!AD538)</f>
        <v/>
      </c>
      <c r="M538" s="9">
        <f>IF('Data Source'!B538="","",'Data Source'!AE538)</f>
        <v/>
      </c>
      <c r="N538" s="9">
        <f>IF('Data Source'!B538="","",'Data Source'!AF538)</f>
        <v/>
      </c>
      <c r="O538" s="9">
        <f>IF('Data Source'!B538="","",'Data Source'!AG538)</f>
        <v/>
      </c>
      <c r="P538" s="5">
        <f>IF('Data Source'!B538="","",'Data Source'!R538)</f>
        <v/>
      </c>
      <c r="Q538" s="3">
        <f>IF('Data Source'!B538="","",'Data Source'!S538)</f>
        <v/>
      </c>
    </row>
    <row r="539">
      <c r="A539" s="3">
        <f>IF('Data Source'!B539="","",'Data Source'!A539)</f>
        <v/>
      </c>
      <c r="B539">
        <f>IF('Data Source'!B539="","",'Data Source'!B539)</f>
        <v/>
      </c>
      <c r="C539" s="9">
        <f>IF('Data Source'!B539="","",'Data Source'!U539)</f>
        <v/>
      </c>
      <c r="D539" s="9">
        <f>IF('Data Source'!B539="","",'Data Source'!V539)</f>
        <v/>
      </c>
      <c r="E539" s="9">
        <f>IF('Data Source'!B539="","",'Data Source'!W539)</f>
        <v/>
      </c>
      <c r="F539" s="9">
        <f>IF('Data Source'!B539="","",'Data Source'!X539)</f>
        <v/>
      </c>
      <c r="G539" s="9">
        <f>IF('Data Source'!B539="","",'Data Source'!Y539)</f>
        <v/>
      </c>
      <c r="H539" s="9">
        <f>IF('Data Source'!B539="","",'Data Source'!Z539)</f>
        <v/>
      </c>
      <c r="I539" s="9">
        <f>IF('Data Source'!B539="","",'Data Source'!AA539)</f>
        <v/>
      </c>
      <c r="J539" s="9">
        <f>IF('Data Source'!B539="","",'Data Source'!AB539)</f>
        <v/>
      </c>
      <c r="K539" s="9">
        <f>IF('Data Source'!B539="","",'Data Source'!AC539)</f>
        <v/>
      </c>
      <c r="L539" s="9">
        <f>IF('Data Source'!B539="","",'Data Source'!AD539)</f>
        <v/>
      </c>
      <c r="M539" s="9">
        <f>IF('Data Source'!B539="","",'Data Source'!AE539)</f>
        <v/>
      </c>
      <c r="N539" s="9">
        <f>IF('Data Source'!B539="","",'Data Source'!AF539)</f>
        <v/>
      </c>
      <c r="O539" s="9">
        <f>IF('Data Source'!B539="","",'Data Source'!AG539)</f>
        <v/>
      </c>
      <c r="P539" s="5">
        <f>IF('Data Source'!B539="","",'Data Source'!R539)</f>
        <v/>
      </c>
      <c r="Q539" s="3">
        <f>IF('Data Source'!B539="","",'Data Source'!S539)</f>
        <v/>
      </c>
    </row>
    <row r="540">
      <c r="A540" s="3">
        <f>IF('Data Source'!B540="","",'Data Source'!A540)</f>
        <v/>
      </c>
      <c r="B540">
        <f>IF('Data Source'!B540="","",'Data Source'!B540)</f>
        <v/>
      </c>
      <c r="C540" s="9">
        <f>IF('Data Source'!B540="","",'Data Source'!U540)</f>
        <v/>
      </c>
      <c r="D540" s="9">
        <f>IF('Data Source'!B540="","",'Data Source'!V540)</f>
        <v/>
      </c>
      <c r="E540" s="9">
        <f>IF('Data Source'!B540="","",'Data Source'!W540)</f>
        <v/>
      </c>
      <c r="F540" s="9">
        <f>IF('Data Source'!B540="","",'Data Source'!X540)</f>
        <v/>
      </c>
      <c r="G540" s="9">
        <f>IF('Data Source'!B540="","",'Data Source'!Y540)</f>
        <v/>
      </c>
      <c r="H540" s="9">
        <f>IF('Data Source'!B540="","",'Data Source'!Z540)</f>
        <v/>
      </c>
      <c r="I540" s="9">
        <f>IF('Data Source'!B540="","",'Data Source'!AA540)</f>
        <v/>
      </c>
      <c r="J540" s="9">
        <f>IF('Data Source'!B540="","",'Data Source'!AB540)</f>
        <v/>
      </c>
      <c r="K540" s="9">
        <f>IF('Data Source'!B540="","",'Data Source'!AC540)</f>
        <v/>
      </c>
      <c r="L540" s="9">
        <f>IF('Data Source'!B540="","",'Data Source'!AD540)</f>
        <v/>
      </c>
      <c r="M540" s="9">
        <f>IF('Data Source'!B540="","",'Data Source'!AE540)</f>
        <v/>
      </c>
      <c r="N540" s="9">
        <f>IF('Data Source'!B540="","",'Data Source'!AF540)</f>
        <v/>
      </c>
      <c r="O540" s="9">
        <f>IF('Data Source'!B540="","",'Data Source'!AG540)</f>
        <v/>
      </c>
      <c r="P540" s="5">
        <f>IF('Data Source'!B540="","",'Data Source'!R540)</f>
        <v/>
      </c>
      <c r="Q540" s="3">
        <f>IF('Data Source'!B540="","",'Data Source'!S540)</f>
        <v/>
      </c>
    </row>
    <row r="541">
      <c r="A541" s="3">
        <f>IF('Data Source'!B541="","",'Data Source'!A541)</f>
        <v/>
      </c>
      <c r="B541">
        <f>IF('Data Source'!B541="","",'Data Source'!B541)</f>
        <v/>
      </c>
      <c r="C541" s="9">
        <f>IF('Data Source'!B541="","",'Data Source'!U541)</f>
        <v/>
      </c>
      <c r="D541" s="9">
        <f>IF('Data Source'!B541="","",'Data Source'!V541)</f>
        <v/>
      </c>
      <c r="E541" s="9">
        <f>IF('Data Source'!B541="","",'Data Source'!W541)</f>
        <v/>
      </c>
      <c r="F541" s="9">
        <f>IF('Data Source'!B541="","",'Data Source'!X541)</f>
        <v/>
      </c>
      <c r="G541" s="9">
        <f>IF('Data Source'!B541="","",'Data Source'!Y541)</f>
        <v/>
      </c>
      <c r="H541" s="9">
        <f>IF('Data Source'!B541="","",'Data Source'!Z541)</f>
        <v/>
      </c>
      <c r="I541" s="9">
        <f>IF('Data Source'!B541="","",'Data Source'!AA541)</f>
        <v/>
      </c>
      <c r="J541" s="9">
        <f>IF('Data Source'!B541="","",'Data Source'!AB541)</f>
        <v/>
      </c>
      <c r="K541" s="9">
        <f>IF('Data Source'!B541="","",'Data Source'!AC541)</f>
        <v/>
      </c>
      <c r="L541" s="9">
        <f>IF('Data Source'!B541="","",'Data Source'!AD541)</f>
        <v/>
      </c>
      <c r="M541" s="9">
        <f>IF('Data Source'!B541="","",'Data Source'!AE541)</f>
        <v/>
      </c>
      <c r="N541" s="9">
        <f>IF('Data Source'!B541="","",'Data Source'!AF541)</f>
        <v/>
      </c>
      <c r="O541" s="9">
        <f>IF('Data Source'!B541="","",'Data Source'!AG541)</f>
        <v/>
      </c>
      <c r="P541" s="5">
        <f>IF('Data Source'!B541="","",'Data Source'!R541)</f>
        <v/>
      </c>
      <c r="Q541" s="3">
        <f>IF('Data Source'!B541="","",'Data Source'!S541)</f>
        <v/>
      </c>
    </row>
    <row r="542">
      <c r="A542" s="3">
        <f>IF('Data Source'!B542="","",'Data Source'!A542)</f>
        <v/>
      </c>
      <c r="B542">
        <f>IF('Data Source'!B542="","",'Data Source'!B542)</f>
        <v/>
      </c>
      <c r="C542" s="9">
        <f>IF('Data Source'!B542="","",'Data Source'!U542)</f>
        <v/>
      </c>
      <c r="D542" s="9">
        <f>IF('Data Source'!B542="","",'Data Source'!V542)</f>
        <v/>
      </c>
      <c r="E542" s="9">
        <f>IF('Data Source'!B542="","",'Data Source'!W542)</f>
        <v/>
      </c>
      <c r="F542" s="9">
        <f>IF('Data Source'!B542="","",'Data Source'!X542)</f>
        <v/>
      </c>
      <c r="G542" s="9">
        <f>IF('Data Source'!B542="","",'Data Source'!Y542)</f>
        <v/>
      </c>
      <c r="H542" s="9">
        <f>IF('Data Source'!B542="","",'Data Source'!Z542)</f>
        <v/>
      </c>
      <c r="I542" s="9">
        <f>IF('Data Source'!B542="","",'Data Source'!AA542)</f>
        <v/>
      </c>
      <c r="J542" s="9">
        <f>IF('Data Source'!B542="","",'Data Source'!AB542)</f>
        <v/>
      </c>
      <c r="K542" s="9">
        <f>IF('Data Source'!B542="","",'Data Source'!AC542)</f>
        <v/>
      </c>
      <c r="L542" s="9">
        <f>IF('Data Source'!B542="","",'Data Source'!AD542)</f>
        <v/>
      </c>
      <c r="M542" s="9">
        <f>IF('Data Source'!B542="","",'Data Source'!AE542)</f>
        <v/>
      </c>
      <c r="N542" s="9">
        <f>IF('Data Source'!B542="","",'Data Source'!AF542)</f>
        <v/>
      </c>
      <c r="O542" s="9">
        <f>IF('Data Source'!B542="","",'Data Source'!AG542)</f>
        <v/>
      </c>
      <c r="P542" s="5">
        <f>IF('Data Source'!B542="","",'Data Source'!R542)</f>
        <v/>
      </c>
      <c r="Q542" s="3">
        <f>IF('Data Source'!B542="","",'Data Source'!S542)</f>
        <v/>
      </c>
    </row>
    <row r="543">
      <c r="A543" s="3">
        <f>IF('Data Source'!B543="","",'Data Source'!A543)</f>
        <v/>
      </c>
      <c r="B543">
        <f>IF('Data Source'!B543="","",'Data Source'!B543)</f>
        <v/>
      </c>
      <c r="C543" s="9">
        <f>IF('Data Source'!B543="","",'Data Source'!U543)</f>
        <v/>
      </c>
      <c r="D543" s="9">
        <f>IF('Data Source'!B543="","",'Data Source'!V543)</f>
        <v/>
      </c>
      <c r="E543" s="9">
        <f>IF('Data Source'!B543="","",'Data Source'!W543)</f>
        <v/>
      </c>
      <c r="F543" s="9">
        <f>IF('Data Source'!B543="","",'Data Source'!X543)</f>
        <v/>
      </c>
      <c r="G543" s="9">
        <f>IF('Data Source'!B543="","",'Data Source'!Y543)</f>
        <v/>
      </c>
      <c r="H543" s="9">
        <f>IF('Data Source'!B543="","",'Data Source'!Z543)</f>
        <v/>
      </c>
      <c r="I543" s="9">
        <f>IF('Data Source'!B543="","",'Data Source'!AA543)</f>
        <v/>
      </c>
      <c r="J543" s="9">
        <f>IF('Data Source'!B543="","",'Data Source'!AB543)</f>
        <v/>
      </c>
      <c r="K543" s="9">
        <f>IF('Data Source'!B543="","",'Data Source'!AC543)</f>
        <v/>
      </c>
      <c r="L543" s="9">
        <f>IF('Data Source'!B543="","",'Data Source'!AD543)</f>
        <v/>
      </c>
      <c r="M543" s="9">
        <f>IF('Data Source'!B543="","",'Data Source'!AE543)</f>
        <v/>
      </c>
      <c r="N543" s="9">
        <f>IF('Data Source'!B543="","",'Data Source'!AF543)</f>
        <v/>
      </c>
      <c r="O543" s="9">
        <f>IF('Data Source'!B543="","",'Data Source'!AG543)</f>
        <v/>
      </c>
      <c r="P543" s="5">
        <f>IF('Data Source'!B543="","",'Data Source'!R543)</f>
        <v/>
      </c>
      <c r="Q543" s="3">
        <f>IF('Data Source'!B543="","",'Data Source'!S543)</f>
        <v/>
      </c>
    </row>
    <row r="544">
      <c r="A544" s="3">
        <f>IF('Data Source'!B544="","",'Data Source'!A544)</f>
        <v/>
      </c>
      <c r="B544">
        <f>IF('Data Source'!B544="","",'Data Source'!B544)</f>
        <v/>
      </c>
      <c r="C544" s="9">
        <f>IF('Data Source'!B544="","",'Data Source'!U544)</f>
        <v/>
      </c>
      <c r="D544" s="9">
        <f>IF('Data Source'!B544="","",'Data Source'!V544)</f>
        <v/>
      </c>
      <c r="E544" s="9">
        <f>IF('Data Source'!B544="","",'Data Source'!W544)</f>
        <v/>
      </c>
      <c r="F544" s="9">
        <f>IF('Data Source'!B544="","",'Data Source'!X544)</f>
        <v/>
      </c>
      <c r="G544" s="9">
        <f>IF('Data Source'!B544="","",'Data Source'!Y544)</f>
        <v/>
      </c>
      <c r="H544" s="9">
        <f>IF('Data Source'!B544="","",'Data Source'!Z544)</f>
        <v/>
      </c>
      <c r="I544" s="9">
        <f>IF('Data Source'!B544="","",'Data Source'!AA544)</f>
        <v/>
      </c>
      <c r="J544" s="9">
        <f>IF('Data Source'!B544="","",'Data Source'!AB544)</f>
        <v/>
      </c>
      <c r="K544" s="9">
        <f>IF('Data Source'!B544="","",'Data Source'!AC544)</f>
        <v/>
      </c>
      <c r="L544" s="9">
        <f>IF('Data Source'!B544="","",'Data Source'!AD544)</f>
        <v/>
      </c>
      <c r="M544" s="9">
        <f>IF('Data Source'!B544="","",'Data Source'!AE544)</f>
        <v/>
      </c>
      <c r="N544" s="9">
        <f>IF('Data Source'!B544="","",'Data Source'!AF544)</f>
        <v/>
      </c>
      <c r="O544" s="9">
        <f>IF('Data Source'!B544="","",'Data Source'!AG544)</f>
        <v/>
      </c>
      <c r="P544" s="5">
        <f>IF('Data Source'!B544="","",'Data Source'!R544)</f>
        <v/>
      </c>
      <c r="Q544" s="3">
        <f>IF('Data Source'!B544="","",'Data Source'!S544)</f>
        <v/>
      </c>
    </row>
    <row r="545">
      <c r="A545" s="3">
        <f>IF('Data Source'!B545="","",'Data Source'!A545)</f>
        <v/>
      </c>
      <c r="B545">
        <f>IF('Data Source'!B545="","",'Data Source'!B545)</f>
        <v/>
      </c>
      <c r="C545" s="9">
        <f>IF('Data Source'!B545="","",'Data Source'!U545)</f>
        <v/>
      </c>
      <c r="D545" s="9">
        <f>IF('Data Source'!B545="","",'Data Source'!V545)</f>
        <v/>
      </c>
      <c r="E545" s="9">
        <f>IF('Data Source'!B545="","",'Data Source'!W545)</f>
        <v/>
      </c>
      <c r="F545" s="9">
        <f>IF('Data Source'!B545="","",'Data Source'!X545)</f>
        <v/>
      </c>
      <c r="G545" s="9">
        <f>IF('Data Source'!B545="","",'Data Source'!Y545)</f>
        <v/>
      </c>
      <c r="H545" s="9">
        <f>IF('Data Source'!B545="","",'Data Source'!Z545)</f>
        <v/>
      </c>
      <c r="I545" s="9">
        <f>IF('Data Source'!B545="","",'Data Source'!AA545)</f>
        <v/>
      </c>
      <c r="J545" s="9">
        <f>IF('Data Source'!B545="","",'Data Source'!AB545)</f>
        <v/>
      </c>
      <c r="K545" s="9">
        <f>IF('Data Source'!B545="","",'Data Source'!AC545)</f>
        <v/>
      </c>
      <c r="L545" s="9">
        <f>IF('Data Source'!B545="","",'Data Source'!AD545)</f>
        <v/>
      </c>
      <c r="M545" s="9">
        <f>IF('Data Source'!B545="","",'Data Source'!AE545)</f>
        <v/>
      </c>
      <c r="N545" s="9">
        <f>IF('Data Source'!B545="","",'Data Source'!AF545)</f>
        <v/>
      </c>
      <c r="O545" s="9">
        <f>IF('Data Source'!B545="","",'Data Source'!AG545)</f>
        <v/>
      </c>
      <c r="P545" s="5">
        <f>IF('Data Source'!B545="","",'Data Source'!R545)</f>
        <v/>
      </c>
      <c r="Q545" s="3">
        <f>IF('Data Source'!B545="","",'Data Source'!S545)</f>
        <v/>
      </c>
    </row>
    <row r="546">
      <c r="A546" s="3">
        <f>IF('Data Source'!B546="","",'Data Source'!A546)</f>
        <v/>
      </c>
      <c r="B546">
        <f>IF('Data Source'!B546="","",'Data Source'!B546)</f>
        <v/>
      </c>
      <c r="C546" s="9">
        <f>IF('Data Source'!B546="","",'Data Source'!U546)</f>
        <v/>
      </c>
      <c r="D546" s="9">
        <f>IF('Data Source'!B546="","",'Data Source'!V546)</f>
        <v/>
      </c>
      <c r="E546" s="9">
        <f>IF('Data Source'!B546="","",'Data Source'!W546)</f>
        <v/>
      </c>
      <c r="F546" s="9">
        <f>IF('Data Source'!B546="","",'Data Source'!X546)</f>
        <v/>
      </c>
      <c r="G546" s="9">
        <f>IF('Data Source'!B546="","",'Data Source'!Y546)</f>
        <v/>
      </c>
      <c r="H546" s="9">
        <f>IF('Data Source'!B546="","",'Data Source'!Z546)</f>
        <v/>
      </c>
      <c r="I546" s="9">
        <f>IF('Data Source'!B546="","",'Data Source'!AA546)</f>
        <v/>
      </c>
      <c r="J546" s="9">
        <f>IF('Data Source'!B546="","",'Data Source'!AB546)</f>
        <v/>
      </c>
      <c r="K546" s="9">
        <f>IF('Data Source'!B546="","",'Data Source'!AC546)</f>
        <v/>
      </c>
      <c r="L546" s="9">
        <f>IF('Data Source'!B546="","",'Data Source'!AD546)</f>
        <v/>
      </c>
      <c r="M546" s="9">
        <f>IF('Data Source'!B546="","",'Data Source'!AE546)</f>
        <v/>
      </c>
      <c r="N546" s="9">
        <f>IF('Data Source'!B546="","",'Data Source'!AF546)</f>
        <v/>
      </c>
      <c r="O546" s="9">
        <f>IF('Data Source'!B546="","",'Data Source'!AG546)</f>
        <v/>
      </c>
      <c r="P546" s="5">
        <f>IF('Data Source'!B546="","",'Data Source'!R546)</f>
        <v/>
      </c>
      <c r="Q546" s="3">
        <f>IF('Data Source'!B546="","",'Data Source'!S546)</f>
        <v/>
      </c>
    </row>
    <row r="547">
      <c r="A547" s="3">
        <f>IF('Data Source'!B547="","",'Data Source'!A547)</f>
        <v/>
      </c>
      <c r="B547">
        <f>IF('Data Source'!B547="","",'Data Source'!B547)</f>
        <v/>
      </c>
      <c r="C547" s="9">
        <f>IF('Data Source'!B547="","",'Data Source'!U547)</f>
        <v/>
      </c>
      <c r="D547" s="9">
        <f>IF('Data Source'!B547="","",'Data Source'!V547)</f>
        <v/>
      </c>
      <c r="E547" s="9">
        <f>IF('Data Source'!B547="","",'Data Source'!W547)</f>
        <v/>
      </c>
      <c r="F547" s="9">
        <f>IF('Data Source'!B547="","",'Data Source'!X547)</f>
        <v/>
      </c>
      <c r="G547" s="9">
        <f>IF('Data Source'!B547="","",'Data Source'!Y547)</f>
        <v/>
      </c>
      <c r="H547" s="9">
        <f>IF('Data Source'!B547="","",'Data Source'!Z547)</f>
        <v/>
      </c>
      <c r="I547" s="9">
        <f>IF('Data Source'!B547="","",'Data Source'!AA547)</f>
        <v/>
      </c>
      <c r="J547" s="9">
        <f>IF('Data Source'!B547="","",'Data Source'!AB547)</f>
        <v/>
      </c>
      <c r="K547" s="9">
        <f>IF('Data Source'!B547="","",'Data Source'!AC547)</f>
        <v/>
      </c>
      <c r="L547" s="9">
        <f>IF('Data Source'!B547="","",'Data Source'!AD547)</f>
        <v/>
      </c>
      <c r="M547" s="9">
        <f>IF('Data Source'!B547="","",'Data Source'!AE547)</f>
        <v/>
      </c>
      <c r="N547" s="9">
        <f>IF('Data Source'!B547="","",'Data Source'!AF547)</f>
        <v/>
      </c>
      <c r="O547" s="9">
        <f>IF('Data Source'!B547="","",'Data Source'!AG547)</f>
        <v/>
      </c>
      <c r="P547" s="5">
        <f>IF('Data Source'!B547="","",'Data Source'!R547)</f>
        <v/>
      </c>
      <c r="Q547" s="3">
        <f>IF('Data Source'!B547="","",'Data Source'!S547)</f>
        <v/>
      </c>
    </row>
    <row r="548">
      <c r="A548" s="3">
        <f>IF('Data Source'!B548="","",'Data Source'!A548)</f>
        <v/>
      </c>
      <c r="B548">
        <f>IF('Data Source'!B548="","",'Data Source'!B548)</f>
        <v/>
      </c>
      <c r="C548" s="9">
        <f>IF('Data Source'!B548="","",'Data Source'!U548)</f>
        <v/>
      </c>
      <c r="D548" s="9">
        <f>IF('Data Source'!B548="","",'Data Source'!V548)</f>
        <v/>
      </c>
      <c r="E548" s="9">
        <f>IF('Data Source'!B548="","",'Data Source'!W548)</f>
        <v/>
      </c>
      <c r="F548" s="9">
        <f>IF('Data Source'!B548="","",'Data Source'!X548)</f>
        <v/>
      </c>
      <c r="G548" s="9">
        <f>IF('Data Source'!B548="","",'Data Source'!Y548)</f>
        <v/>
      </c>
      <c r="H548" s="9">
        <f>IF('Data Source'!B548="","",'Data Source'!Z548)</f>
        <v/>
      </c>
      <c r="I548" s="9">
        <f>IF('Data Source'!B548="","",'Data Source'!AA548)</f>
        <v/>
      </c>
      <c r="J548" s="9">
        <f>IF('Data Source'!B548="","",'Data Source'!AB548)</f>
        <v/>
      </c>
      <c r="K548" s="9">
        <f>IF('Data Source'!B548="","",'Data Source'!AC548)</f>
        <v/>
      </c>
      <c r="L548" s="9">
        <f>IF('Data Source'!B548="","",'Data Source'!AD548)</f>
        <v/>
      </c>
      <c r="M548" s="9">
        <f>IF('Data Source'!B548="","",'Data Source'!AE548)</f>
        <v/>
      </c>
      <c r="N548" s="9">
        <f>IF('Data Source'!B548="","",'Data Source'!AF548)</f>
        <v/>
      </c>
      <c r="O548" s="9">
        <f>IF('Data Source'!B548="","",'Data Source'!AG548)</f>
        <v/>
      </c>
      <c r="P548" s="5">
        <f>IF('Data Source'!B548="","",'Data Source'!R548)</f>
        <v/>
      </c>
      <c r="Q548" s="3">
        <f>IF('Data Source'!B548="","",'Data Source'!S548)</f>
        <v/>
      </c>
    </row>
    <row r="549">
      <c r="A549" s="3">
        <f>IF('Data Source'!B549="","",'Data Source'!A549)</f>
        <v/>
      </c>
      <c r="B549">
        <f>IF('Data Source'!B549="","",'Data Source'!B549)</f>
        <v/>
      </c>
      <c r="C549" s="9">
        <f>IF('Data Source'!B549="","",'Data Source'!U549)</f>
        <v/>
      </c>
      <c r="D549" s="9">
        <f>IF('Data Source'!B549="","",'Data Source'!V549)</f>
        <v/>
      </c>
      <c r="E549" s="9">
        <f>IF('Data Source'!B549="","",'Data Source'!W549)</f>
        <v/>
      </c>
      <c r="F549" s="9">
        <f>IF('Data Source'!B549="","",'Data Source'!X549)</f>
        <v/>
      </c>
      <c r="G549" s="9">
        <f>IF('Data Source'!B549="","",'Data Source'!Y549)</f>
        <v/>
      </c>
      <c r="H549" s="9">
        <f>IF('Data Source'!B549="","",'Data Source'!Z549)</f>
        <v/>
      </c>
      <c r="I549" s="9">
        <f>IF('Data Source'!B549="","",'Data Source'!AA549)</f>
        <v/>
      </c>
      <c r="J549" s="9">
        <f>IF('Data Source'!B549="","",'Data Source'!AB549)</f>
        <v/>
      </c>
      <c r="K549" s="9">
        <f>IF('Data Source'!B549="","",'Data Source'!AC549)</f>
        <v/>
      </c>
      <c r="L549" s="9">
        <f>IF('Data Source'!B549="","",'Data Source'!AD549)</f>
        <v/>
      </c>
      <c r="M549" s="9">
        <f>IF('Data Source'!B549="","",'Data Source'!AE549)</f>
        <v/>
      </c>
      <c r="N549" s="9">
        <f>IF('Data Source'!B549="","",'Data Source'!AF549)</f>
        <v/>
      </c>
      <c r="O549" s="9">
        <f>IF('Data Source'!B549="","",'Data Source'!AG549)</f>
        <v/>
      </c>
      <c r="P549" s="5">
        <f>IF('Data Source'!B549="","",'Data Source'!R549)</f>
        <v/>
      </c>
      <c r="Q549" s="3">
        <f>IF('Data Source'!B549="","",'Data Source'!S549)</f>
        <v/>
      </c>
    </row>
    <row r="550">
      <c r="A550" s="3">
        <f>IF('Data Source'!B550="","",'Data Source'!A550)</f>
        <v/>
      </c>
      <c r="B550">
        <f>IF('Data Source'!B550="","",'Data Source'!B550)</f>
        <v/>
      </c>
      <c r="C550" s="9">
        <f>IF('Data Source'!B550="","",'Data Source'!U550)</f>
        <v/>
      </c>
      <c r="D550" s="9">
        <f>IF('Data Source'!B550="","",'Data Source'!V550)</f>
        <v/>
      </c>
      <c r="E550" s="9">
        <f>IF('Data Source'!B550="","",'Data Source'!W550)</f>
        <v/>
      </c>
      <c r="F550" s="9">
        <f>IF('Data Source'!B550="","",'Data Source'!X550)</f>
        <v/>
      </c>
      <c r="G550" s="9">
        <f>IF('Data Source'!B550="","",'Data Source'!Y550)</f>
        <v/>
      </c>
      <c r="H550" s="9">
        <f>IF('Data Source'!B550="","",'Data Source'!Z550)</f>
        <v/>
      </c>
      <c r="I550" s="9">
        <f>IF('Data Source'!B550="","",'Data Source'!AA550)</f>
        <v/>
      </c>
      <c r="J550" s="9">
        <f>IF('Data Source'!B550="","",'Data Source'!AB550)</f>
        <v/>
      </c>
      <c r="K550" s="9">
        <f>IF('Data Source'!B550="","",'Data Source'!AC550)</f>
        <v/>
      </c>
      <c r="L550" s="9">
        <f>IF('Data Source'!B550="","",'Data Source'!AD550)</f>
        <v/>
      </c>
      <c r="M550" s="9">
        <f>IF('Data Source'!B550="","",'Data Source'!AE550)</f>
        <v/>
      </c>
      <c r="N550" s="9">
        <f>IF('Data Source'!B550="","",'Data Source'!AF550)</f>
        <v/>
      </c>
      <c r="O550" s="9">
        <f>IF('Data Source'!B550="","",'Data Source'!AG550)</f>
        <v/>
      </c>
      <c r="P550" s="5">
        <f>IF('Data Source'!B550="","",'Data Source'!R550)</f>
        <v/>
      </c>
      <c r="Q550" s="3">
        <f>IF('Data Source'!B550="","",'Data Source'!S550)</f>
        <v/>
      </c>
    </row>
    <row r="551">
      <c r="A551" s="3">
        <f>IF('Data Source'!B551="","",'Data Source'!A551)</f>
        <v/>
      </c>
      <c r="B551">
        <f>IF('Data Source'!B551="","",'Data Source'!B551)</f>
        <v/>
      </c>
      <c r="C551" s="9">
        <f>IF('Data Source'!B551="","",'Data Source'!U551)</f>
        <v/>
      </c>
      <c r="D551" s="9">
        <f>IF('Data Source'!B551="","",'Data Source'!V551)</f>
        <v/>
      </c>
      <c r="E551" s="9">
        <f>IF('Data Source'!B551="","",'Data Source'!W551)</f>
        <v/>
      </c>
      <c r="F551" s="9">
        <f>IF('Data Source'!B551="","",'Data Source'!X551)</f>
        <v/>
      </c>
      <c r="G551" s="9">
        <f>IF('Data Source'!B551="","",'Data Source'!Y551)</f>
        <v/>
      </c>
      <c r="H551" s="9">
        <f>IF('Data Source'!B551="","",'Data Source'!Z551)</f>
        <v/>
      </c>
      <c r="I551" s="9">
        <f>IF('Data Source'!B551="","",'Data Source'!AA551)</f>
        <v/>
      </c>
      <c r="J551" s="9">
        <f>IF('Data Source'!B551="","",'Data Source'!AB551)</f>
        <v/>
      </c>
      <c r="K551" s="9">
        <f>IF('Data Source'!B551="","",'Data Source'!AC551)</f>
        <v/>
      </c>
      <c r="L551" s="9">
        <f>IF('Data Source'!B551="","",'Data Source'!AD551)</f>
        <v/>
      </c>
      <c r="M551" s="9">
        <f>IF('Data Source'!B551="","",'Data Source'!AE551)</f>
        <v/>
      </c>
      <c r="N551" s="9">
        <f>IF('Data Source'!B551="","",'Data Source'!AF551)</f>
        <v/>
      </c>
      <c r="O551" s="9">
        <f>IF('Data Source'!B551="","",'Data Source'!AG551)</f>
        <v/>
      </c>
      <c r="P551" s="5">
        <f>IF('Data Source'!B551="","",'Data Source'!R551)</f>
        <v/>
      </c>
      <c r="Q551" s="3">
        <f>IF('Data Source'!B551="","",'Data Source'!S551)</f>
        <v/>
      </c>
    </row>
    <row r="552">
      <c r="A552" s="3">
        <f>IF('Data Source'!B552="","",'Data Source'!A552)</f>
        <v/>
      </c>
      <c r="B552">
        <f>IF('Data Source'!B552="","",'Data Source'!B552)</f>
        <v/>
      </c>
      <c r="C552" s="9">
        <f>IF('Data Source'!B552="","",'Data Source'!U552)</f>
        <v/>
      </c>
      <c r="D552" s="9">
        <f>IF('Data Source'!B552="","",'Data Source'!V552)</f>
        <v/>
      </c>
      <c r="E552" s="9">
        <f>IF('Data Source'!B552="","",'Data Source'!W552)</f>
        <v/>
      </c>
      <c r="F552" s="9">
        <f>IF('Data Source'!B552="","",'Data Source'!X552)</f>
        <v/>
      </c>
      <c r="G552" s="9">
        <f>IF('Data Source'!B552="","",'Data Source'!Y552)</f>
        <v/>
      </c>
      <c r="H552" s="9">
        <f>IF('Data Source'!B552="","",'Data Source'!Z552)</f>
        <v/>
      </c>
      <c r="I552" s="9">
        <f>IF('Data Source'!B552="","",'Data Source'!AA552)</f>
        <v/>
      </c>
      <c r="J552" s="9">
        <f>IF('Data Source'!B552="","",'Data Source'!AB552)</f>
        <v/>
      </c>
      <c r="K552" s="9">
        <f>IF('Data Source'!B552="","",'Data Source'!AC552)</f>
        <v/>
      </c>
      <c r="L552" s="9">
        <f>IF('Data Source'!B552="","",'Data Source'!AD552)</f>
        <v/>
      </c>
      <c r="M552" s="9">
        <f>IF('Data Source'!B552="","",'Data Source'!AE552)</f>
        <v/>
      </c>
      <c r="N552" s="9">
        <f>IF('Data Source'!B552="","",'Data Source'!AF552)</f>
        <v/>
      </c>
      <c r="O552" s="9">
        <f>IF('Data Source'!B552="","",'Data Source'!AG552)</f>
        <v/>
      </c>
      <c r="P552" s="5">
        <f>IF('Data Source'!B552="","",'Data Source'!R552)</f>
        <v/>
      </c>
      <c r="Q552" s="3">
        <f>IF('Data Source'!B552="","",'Data Source'!S552)</f>
        <v/>
      </c>
    </row>
    <row r="553">
      <c r="A553" s="3">
        <f>IF('Data Source'!B553="","",'Data Source'!A553)</f>
        <v/>
      </c>
      <c r="B553">
        <f>IF('Data Source'!B553="","",'Data Source'!B553)</f>
        <v/>
      </c>
      <c r="C553" s="9">
        <f>IF('Data Source'!B553="","",'Data Source'!U553)</f>
        <v/>
      </c>
      <c r="D553" s="9">
        <f>IF('Data Source'!B553="","",'Data Source'!V553)</f>
        <v/>
      </c>
      <c r="E553" s="9">
        <f>IF('Data Source'!B553="","",'Data Source'!W553)</f>
        <v/>
      </c>
      <c r="F553" s="9">
        <f>IF('Data Source'!B553="","",'Data Source'!X553)</f>
        <v/>
      </c>
      <c r="G553" s="9">
        <f>IF('Data Source'!B553="","",'Data Source'!Y553)</f>
        <v/>
      </c>
      <c r="H553" s="9">
        <f>IF('Data Source'!B553="","",'Data Source'!Z553)</f>
        <v/>
      </c>
      <c r="I553" s="9">
        <f>IF('Data Source'!B553="","",'Data Source'!AA553)</f>
        <v/>
      </c>
      <c r="J553" s="9">
        <f>IF('Data Source'!B553="","",'Data Source'!AB553)</f>
        <v/>
      </c>
      <c r="K553" s="9">
        <f>IF('Data Source'!B553="","",'Data Source'!AC553)</f>
        <v/>
      </c>
      <c r="L553" s="9">
        <f>IF('Data Source'!B553="","",'Data Source'!AD553)</f>
        <v/>
      </c>
      <c r="M553" s="9">
        <f>IF('Data Source'!B553="","",'Data Source'!AE553)</f>
        <v/>
      </c>
      <c r="N553" s="9">
        <f>IF('Data Source'!B553="","",'Data Source'!AF553)</f>
        <v/>
      </c>
      <c r="O553" s="9">
        <f>IF('Data Source'!B553="","",'Data Source'!AG553)</f>
        <v/>
      </c>
      <c r="P553" s="5">
        <f>IF('Data Source'!B553="","",'Data Source'!R553)</f>
        <v/>
      </c>
      <c r="Q553" s="3">
        <f>IF('Data Source'!B553="","",'Data Source'!S553)</f>
        <v/>
      </c>
    </row>
    <row r="554">
      <c r="A554" s="3">
        <f>IF('Data Source'!B554="","",'Data Source'!A554)</f>
        <v/>
      </c>
      <c r="B554">
        <f>IF('Data Source'!B554="","",'Data Source'!B554)</f>
        <v/>
      </c>
      <c r="C554" s="9">
        <f>IF('Data Source'!B554="","",'Data Source'!U554)</f>
        <v/>
      </c>
      <c r="D554" s="9">
        <f>IF('Data Source'!B554="","",'Data Source'!V554)</f>
        <v/>
      </c>
      <c r="E554" s="9">
        <f>IF('Data Source'!B554="","",'Data Source'!W554)</f>
        <v/>
      </c>
      <c r="F554" s="9">
        <f>IF('Data Source'!B554="","",'Data Source'!X554)</f>
        <v/>
      </c>
      <c r="G554" s="9">
        <f>IF('Data Source'!B554="","",'Data Source'!Y554)</f>
        <v/>
      </c>
      <c r="H554" s="9">
        <f>IF('Data Source'!B554="","",'Data Source'!Z554)</f>
        <v/>
      </c>
      <c r="I554" s="9">
        <f>IF('Data Source'!B554="","",'Data Source'!AA554)</f>
        <v/>
      </c>
      <c r="J554" s="9">
        <f>IF('Data Source'!B554="","",'Data Source'!AB554)</f>
        <v/>
      </c>
      <c r="K554" s="9">
        <f>IF('Data Source'!B554="","",'Data Source'!AC554)</f>
        <v/>
      </c>
      <c r="L554" s="9">
        <f>IF('Data Source'!B554="","",'Data Source'!AD554)</f>
        <v/>
      </c>
      <c r="M554" s="9">
        <f>IF('Data Source'!B554="","",'Data Source'!AE554)</f>
        <v/>
      </c>
      <c r="N554" s="9">
        <f>IF('Data Source'!B554="","",'Data Source'!AF554)</f>
        <v/>
      </c>
      <c r="O554" s="9">
        <f>IF('Data Source'!B554="","",'Data Source'!AG554)</f>
        <v/>
      </c>
      <c r="P554" s="5">
        <f>IF('Data Source'!B554="","",'Data Source'!R554)</f>
        <v/>
      </c>
      <c r="Q554" s="3">
        <f>IF('Data Source'!B554="","",'Data Source'!S554)</f>
        <v/>
      </c>
    </row>
    <row r="555">
      <c r="A555" s="3">
        <f>IF('Data Source'!B555="","",'Data Source'!A555)</f>
        <v/>
      </c>
      <c r="B555">
        <f>IF('Data Source'!B555="","",'Data Source'!B555)</f>
        <v/>
      </c>
      <c r="C555" s="9">
        <f>IF('Data Source'!B555="","",'Data Source'!U555)</f>
        <v/>
      </c>
      <c r="D555" s="9">
        <f>IF('Data Source'!B555="","",'Data Source'!V555)</f>
        <v/>
      </c>
      <c r="E555" s="9">
        <f>IF('Data Source'!B555="","",'Data Source'!W555)</f>
        <v/>
      </c>
      <c r="F555" s="9">
        <f>IF('Data Source'!B555="","",'Data Source'!X555)</f>
        <v/>
      </c>
      <c r="G555" s="9">
        <f>IF('Data Source'!B555="","",'Data Source'!Y555)</f>
        <v/>
      </c>
      <c r="H555" s="9">
        <f>IF('Data Source'!B555="","",'Data Source'!Z555)</f>
        <v/>
      </c>
      <c r="I555" s="9">
        <f>IF('Data Source'!B555="","",'Data Source'!AA555)</f>
        <v/>
      </c>
      <c r="J555" s="9">
        <f>IF('Data Source'!B555="","",'Data Source'!AB555)</f>
        <v/>
      </c>
      <c r="K555" s="9">
        <f>IF('Data Source'!B555="","",'Data Source'!AC555)</f>
        <v/>
      </c>
      <c r="L555" s="9">
        <f>IF('Data Source'!B555="","",'Data Source'!AD555)</f>
        <v/>
      </c>
      <c r="M555" s="9">
        <f>IF('Data Source'!B555="","",'Data Source'!AE555)</f>
        <v/>
      </c>
      <c r="N555" s="9">
        <f>IF('Data Source'!B555="","",'Data Source'!AF555)</f>
        <v/>
      </c>
      <c r="O555" s="9">
        <f>IF('Data Source'!B555="","",'Data Source'!AG555)</f>
        <v/>
      </c>
      <c r="P555" s="5">
        <f>IF('Data Source'!B555="","",'Data Source'!R555)</f>
        <v/>
      </c>
      <c r="Q555" s="3">
        <f>IF('Data Source'!B555="","",'Data Source'!S555)</f>
        <v/>
      </c>
    </row>
    <row r="556">
      <c r="A556" s="3">
        <f>IF('Data Source'!B556="","",'Data Source'!A556)</f>
        <v/>
      </c>
      <c r="B556">
        <f>IF('Data Source'!B556="","",'Data Source'!B556)</f>
        <v/>
      </c>
      <c r="C556" s="9">
        <f>IF('Data Source'!B556="","",'Data Source'!U556)</f>
        <v/>
      </c>
      <c r="D556" s="9">
        <f>IF('Data Source'!B556="","",'Data Source'!V556)</f>
        <v/>
      </c>
      <c r="E556" s="9">
        <f>IF('Data Source'!B556="","",'Data Source'!W556)</f>
        <v/>
      </c>
      <c r="F556" s="9">
        <f>IF('Data Source'!B556="","",'Data Source'!X556)</f>
        <v/>
      </c>
      <c r="G556" s="9">
        <f>IF('Data Source'!B556="","",'Data Source'!Y556)</f>
        <v/>
      </c>
      <c r="H556" s="9">
        <f>IF('Data Source'!B556="","",'Data Source'!Z556)</f>
        <v/>
      </c>
      <c r="I556" s="9">
        <f>IF('Data Source'!B556="","",'Data Source'!AA556)</f>
        <v/>
      </c>
      <c r="J556" s="9">
        <f>IF('Data Source'!B556="","",'Data Source'!AB556)</f>
        <v/>
      </c>
      <c r="K556" s="9">
        <f>IF('Data Source'!B556="","",'Data Source'!AC556)</f>
        <v/>
      </c>
      <c r="L556" s="9">
        <f>IF('Data Source'!B556="","",'Data Source'!AD556)</f>
        <v/>
      </c>
      <c r="M556" s="9">
        <f>IF('Data Source'!B556="","",'Data Source'!AE556)</f>
        <v/>
      </c>
      <c r="N556" s="9">
        <f>IF('Data Source'!B556="","",'Data Source'!AF556)</f>
        <v/>
      </c>
      <c r="O556" s="9">
        <f>IF('Data Source'!B556="","",'Data Source'!AG556)</f>
        <v/>
      </c>
      <c r="P556" s="5">
        <f>IF('Data Source'!B556="","",'Data Source'!R556)</f>
        <v/>
      </c>
      <c r="Q556" s="3">
        <f>IF('Data Source'!B556="","",'Data Source'!S556)</f>
        <v/>
      </c>
    </row>
    <row r="557">
      <c r="A557" s="3">
        <f>IF('Data Source'!B557="","",'Data Source'!A557)</f>
        <v/>
      </c>
      <c r="B557">
        <f>IF('Data Source'!B557="","",'Data Source'!B557)</f>
        <v/>
      </c>
      <c r="C557" s="9">
        <f>IF('Data Source'!B557="","",'Data Source'!U557)</f>
        <v/>
      </c>
      <c r="D557" s="9">
        <f>IF('Data Source'!B557="","",'Data Source'!V557)</f>
        <v/>
      </c>
      <c r="E557" s="9">
        <f>IF('Data Source'!B557="","",'Data Source'!W557)</f>
        <v/>
      </c>
      <c r="F557" s="9">
        <f>IF('Data Source'!B557="","",'Data Source'!X557)</f>
        <v/>
      </c>
      <c r="G557" s="9">
        <f>IF('Data Source'!B557="","",'Data Source'!Y557)</f>
        <v/>
      </c>
      <c r="H557" s="9">
        <f>IF('Data Source'!B557="","",'Data Source'!Z557)</f>
        <v/>
      </c>
      <c r="I557" s="9">
        <f>IF('Data Source'!B557="","",'Data Source'!AA557)</f>
        <v/>
      </c>
      <c r="J557" s="9">
        <f>IF('Data Source'!B557="","",'Data Source'!AB557)</f>
        <v/>
      </c>
      <c r="K557" s="9">
        <f>IF('Data Source'!B557="","",'Data Source'!AC557)</f>
        <v/>
      </c>
      <c r="L557" s="9">
        <f>IF('Data Source'!B557="","",'Data Source'!AD557)</f>
        <v/>
      </c>
      <c r="M557" s="9">
        <f>IF('Data Source'!B557="","",'Data Source'!AE557)</f>
        <v/>
      </c>
      <c r="N557" s="9">
        <f>IF('Data Source'!B557="","",'Data Source'!AF557)</f>
        <v/>
      </c>
      <c r="O557" s="9">
        <f>IF('Data Source'!B557="","",'Data Source'!AG557)</f>
        <v/>
      </c>
      <c r="P557" s="5">
        <f>IF('Data Source'!B557="","",'Data Source'!R557)</f>
        <v/>
      </c>
      <c r="Q557" s="3">
        <f>IF('Data Source'!B557="","",'Data Source'!S557)</f>
        <v/>
      </c>
    </row>
    <row r="558">
      <c r="A558" s="3">
        <f>IF('Data Source'!B558="","",'Data Source'!A558)</f>
        <v/>
      </c>
      <c r="B558">
        <f>IF('Data Source'!B558="","",'Data Source'!B558)</f>
        <v/>
      </c>
      <c r="C558" s="9">
        <f>IF('Data Source'!B558="","",'Data Source'!U558)</f>
        <v/>
      </c>
      <c r="D558" s="9">
        <f>IF('Data Source'!B558="","",'Data Source'!V558)</f>
        <v/>
      </c>
      <c r="E558" s="9">
        <f>IF('Data Source'!B558="","",'Data Source'!W558)</f>
        <v/>
      </c>
      <c r="F558" s="9">
        <f>IF('Data Source'!B558="","",'Data Source'!X558)</f>
        <v/>
      </c>
      <c r="G558" s="9">
        <f>IF('Data Source'!B558="","",'Data Source'!Y558)</f>
        <v/>
      </c>
      <c r="H558" s="9">
        <f>IF('Data Source'!B558="","",'Data Source'!Z558)</f>
        <v/>
      </c>
      <c r="I558" s="9">
        <f>IF('Data Source'!B558="","",'Data Source'!AA558)</f>
        <v/>
      </c>
      <c r="J558" s="9">
        <f>IF('Data Source'!B558="","",'Data Source'!AB558)</f>
        <v/>
      </c>
      <c r="K558" s="9">
        <f>IF('Data Source'!B558="","",'Data Source'!AC558)</f>
        <v/>
      </c>
      <c r="L558" s="9">
        <f>IF('Data Source'!B558="","",'Data Source'!AD558)</f>
        <v/>
      </c>
      <c r="M558" s="9">
        <f>IF('Data Source'!B558="","",'Data Source'!AE558)</f>
        <v/>
      </c>
      <c r="N558" s="9">
        <f>IF('Data Source'!B558="","",'Data Source'!AF558)</f>
        <v/>
      </c>
      <c r="O558" s="9">
        <f>IF('Data Source'!B558="","",'Data Source'!AG558)</f>
        <v/>
      </c>
      <c r="P558" s="5">
        <f>IF('Data Source'!B558="","",'Data Source'!R558)</f>
        <v/>
      </c>
      <c r="Q558" s="3">
        <f>IF('Data Source'!B558="","",'Data Source'!S558)</f>
        <v/>
      </c>
    </row>
    <row r="559">
      <c r="A559" s="3">
        <f>IF('Data Source'!B559="","",'Data Source'!A559)</f>
        <v/>
      </c>
      <c r="B559">
        <f>IF('Data Source'!B559="","",'Data Source'!B559)</f>
        <v/>
      </c>
      <c r="C559" s="9">
        <f>IF('Data Source'!B559="","",'Data Source'!U559)</f>
        <v/>
      </c>
      <c r="D559" s="9">
        <f>IF('Data Source'!B559="","",'Data Source'!V559)</f>
        <v/>
      </c>
      <c r="E559" s="9">
        <f>IF('Data Source'!B559="","",'Data Source'!W559)</f>
        <v/>
      </c>
      <c r="F559" s="9">
        <f>IF('Data Source'!B559="","",'Data Source'!X559)</f>
        <v/>
      </c>
      <c r="G559" s="9">
        <f>IF('Data Source'!B559="","",'Data Source'!Y559)</f>
        <v/>
      </c>
      <c r="H559" s="9">
        <f>IF('Data Source'!B559="","",'Data Source'!Z559)</f>
        <v/>
      </c>
      <c r="I559" s="9">
        <f>IF('Data Source'!B559="","",'Data Source'!AA559)</f>
        <v/>
      </c>
      <c r="J559" s="9">
        <f>IF('Data Source'!B559="","",'Data Source'!AB559)</f>
        <v/>
      </c>
      <c r="K559" s="9">
        <f>IF('Data Source'!B559="","",'Data Source'!AC559)</f>
        <v/>
      </c>
      <c r="L559" s="9">
        <f>IF('Data Source'!B559="","",'Data Source'!AD559)</f>
        <v/>
      </c>
      <c r="M559" s="9">
        <f>IF('Data Source'!B559="","",'Data Source'!AE559)</f>
        <v/>
      </c>
      <c r="N559" s="9">
        <f>IF('Data Source'!B559="","",'Data Source'!AF559)</f>
        <v/>
      </c>
      <c r="O559" s="9">
        <f>IF('Data Source'!B559="","",'Data Source'!AG559)</f>
        <v/>
      </c>
      <c r="P559" s="5">
        <f>IF('Data Source'!B559="","",'Data Source'!R559)</f>
        <v/>
      </c>
      <c r="Q559" s="3">
        <f>IF('Data Source'!B559="","",'Data Source'!S559)</f>
        <v/>
      </c>
    </row>
    <row r="560">
      <c r="A560" s="3">
        <f>IF('Data Source'!B560="","",'Data Source'!A560)</f>
        <v/>
      </c>
      <c r="B560">
        <f>IF('Data Source'!B560="","",'Data Source'!B560)</f>
        <v/>
      </c>
      <c r="C560" s="9">
        <f>IF('Data Source'!B560="","",'Data Source'!U560)</f>
        <v/>
      </c>
      <c r="D560" s="9">
        <f>IF('Data Source'!B560="","",'Data Source'!V560)</f>
        <v/>
      </c>
      <c r="E560" s="9">
        <f>IF('Data Source'!B560="","",'Data Source'!W560)</f>
        <v/>
      </c>
      <c r="F560" s="9">
        <f>IF('Data Source'!B560="","",'Data Source'!X560)</f>
        <v/>
      </c>
      <c r="G560" s="9">
        <f>IF('Data Source'!B560="","",'Data Source'!Y560)</f>
        <v/>
      </c>
      <c r="H560" s="9">
        <f>IF('Data Source'!B560="","",'Data Source'!Z560)</f>
        <v/>
      </c>
      <c r="I560" s="9">
        <f>IF('Data Source'!B560="","",'Data Source'!AA560)</f>
        <v/>
      </c>
      <c r="J560" s="9">
        <f>IF('Data Source'!B560="","",'Data Source'!AB560)</f>
        <v/>
      </c>
      <c r="K560" s="9">
        <f>IF('Data Source'!B560="","",'Data Source'!AC560)</f>
        <v/>
      </c>
      <c r="L560" s="9">
        <f>IF('Data Source'!B560="","",'Data Source'!AD560)</f>
        <v/>
      </c>
      <c r="M560" s="9">
        <f>IF('Data Source'!B560="","",'Data Source'!AE560)</f>
        <v/>
      </c>
      <c r="N560" s="9">
        <f>IF('Data Source'!B560="","",'Data Source'!AF560)</f>
        <v/>
      </c>
      <c r="O560" s="9">
        <f>IF('Data Source'!B560="","",'Data Source'!AG560)</f>
        <v/>
      </c>
      <c r="P560" s="5">
        <f>IF('Data Source'!B560="","",'Data Source'!R560)</f>
        <v/>
      </c>
      <c r="Q560" s="3">
        <f>IF('Data Source'!B560="","",'Data Source'!S560)</f>
        <v/>
      </c>
    </row>
    <row r="561">
      <c r="A561" s="3">
        <f>IF('Data Source'!B561="","",'Data Source'!A561)</f>
        <v/>
      </c>
      <c r="B561">
        <f>IF('Data Source'!B561="","",'Data Source'!B561)</f>
        <v/>
      </c>
      <c r="C561" s="9">
        <f>IF('Data Source'!B561="","",'Data Source'!U561)</f>
        <v/>
      </c>
      <c r="D561" s="9">
        <f>IF('Data Source'!B561="","",'Data Source'!V561)</f>
        <v/>
      </c>
      <c r="E561" s="9">
        <f>IF('Data Source'!B561="","",'Data Source'!W561)</f>
        <v/>
      </c>
      <c r="F561" s="9">
        <f>IF('Data Source'!B561="","",'Data Source'!X561)</f>
        <v/>
      </c>
      <c r="G561" s="9">
        <f>IF('Data Source'!B561="","",'Data Source'!Y561)</f>
        <v/>
      </c>
      <c r="H561" s="9">
        <f>IF('Data Source'!B561="","",'Data Source'!Z561)</f>
        <v/>
      </c>
      <c r="I561" s="9">
        <f>IF('Data Source'!B561="","",'Data Source'!AA561)</f>
        <v/>
      </c>
      <c r="J561" s="9">
        <f>IF('Data Source'!B561="","",'Data Source'!AB561)</f>
        <v/>
      </c>
      <c r="K561" s="9">
        <f>IF('Data Source'!B561="","",'Data Source'!AC561)</f>
        <v/>
      </c>
      <c r="L561" s="9">
        <f>IF('Data Source'!B561="","",'Data Source'!AD561)</f>
        <v/>
      </c>
      <c r="M561" s="9">
        <f>IF('Data Source'!B561="","",'Data Source'!AE561)</f>
        <v/>
      </c>
      <c r="N561" s="9">
        <f>IF('Data Source'!B561="","",'Data Source'!AF561)</f>
        <v/>
      </c>
      <c r="O561" s="9">
        <f>IF('Data Source'!B561="","",'Data Source'!AG561)</f>
        <v/>
      </c>
      <c r="P561" s="5">
        <f>IF('Data Source'!B561="","",'Data Source'!R561)</f>
        <v/>
      </c>
      <c r="Q561" s="3">
        <f>IF('Data Source'!B561="","",'Data Source'!S561)</f>
        <v/>
      </c>
    </row>
    <row r="562">
      <c r="A562" s="3">
        <f>IF('Data Source'!B562="","",'Data Source'!A562)</f>
        <v/>
      </c>
      <c r="B562">
        <f>IF('Data Source'!B562="","",'Data Source'!B562)</f>
        <v/>
      </c>
      <c r="C562" s="9">
        <f>IF('Data Source'!B562="","",'Data Source'!U562)</f>
        <v/>
      </c>
      <c r="D562" s="9">
        <f>IF('Data Source'!B562="","",'Data Source'!V562)</f>
        <v/>
      </c>
      <c r="E562" s="9">
        <f>IF('Data Source'!B562="","",'Data Source'!W562)</f>
        <v/>
      </c>
      <c r="F562" s="9">
        <f>IF('Data Source'!B562="","",'Data Source'!X562)</f>
        <v/>
      </c>
      <c r="G562" s="9">
        <f>IF('Data Source'!B562="","",'Data Source'!Y562)</f>
        <v/>
      </c>
      <c r="H562" s="9">
        <f>IF('Data Source'!B562="","",'Data Source'!Z562)</f>
        <v/>
      </c>
      <c r="I562" s="9">
        <f>IF('Data Source'!B562="","",'Data Source'!AA562)</f>
        <v/>
      </c>
      <c r="J562" s="9">
        <f>IF('Data Source'!B562="","",'Data Source'!AB562)</f>
        <v/>
      </c>
      <c r="K562" s="9">
        <f>IF('Data Source'!B562="","",'Data Source'!AC562)</f>
        <v/>
      </c>
      <c r="L562" s="9">
        <f>IF('Data Source'!B562="","",'Data Source'!AD562)</f>
        <v/>
      </c>
      <c r="M562" s="9">
        <f>IF('Data Source'!B562="","",'Data Source'!AE562)</f>
        <v/>
      </c>
      <c r="N562" s="9">
        <f>IF('Data Source'!B562="","",'Data Source'!AF562)</f>
        <v/>
      </c>
      <c r="O562" s="9">
        <f>IF('Data Source'!B562="","",'Data Source'!AG562)</f>
        <v/>
      </c>
      <c r="P562" s="5">
        <f>IF('Data Source'!B562="","",'Data Source'!R562)</f>
        <v/>
      </c>
      <c r="Q562" s="3">
        <f>IF('Data Source'!B562="","",'Data Source'!S562)</f>
        <v/>
      </c>
    </row>
    <row r="563">
      <c r="A563" s="3">
        <f>IF('Data Source'!B563="","",'Data Source'!A563)</f>
        <v/>
      </c>
      <c r="B563">
        <f>IF('Data Source'!B563="","",'Data Source'!B563)</f>
        <v/>
      </c>
      <c r="C563" s="9">
        <f>IF('Data Source'!B563="","",'Data Source'!U563)</f>
        <v/>
      </c>
      <c r="D563" s="9">
        <f>IF('Data Source'!B563="","",'Data Source'!V563)</f>
        <v/>
      </c>
      <c r="E563" s="9">
        <f>IF('Data Source'!B563="","",'Data Source'!W563)</f>
        <v/>
      </c>
      <c r="F563" s="9">
        <f>IF('Data Source'!B563="","",'Data Source'!X563)</f>
        <v/>
      </c>
      <c r="G563" s="9">
        <f>IF('Data Source'!B563="","",'Data Source'!Y563)</f>
        <v/>
      </c>
      <c r="H563" s="9">
        <f>IF('Data Source'!B563="","",'Data Source'!Z563)</f>
        <v/>
      </c>
      <c r="I563" s="9">
        <f>IF('Data Source'!B563="","",'Data Source'!AA563)</f>
        <v/>
      </c>
      <c r="J563" s="9">
        <f>IF('Data Source'!B563="","",'Data Source'!AB563)</f>
        <v/>
      </c>
      <c r="K563" s="9">
        <f>IF('Data Source'!B563="","",'Data Source'!AC563)</f>
        <v/>
      </c>
      <c r="L563" s="9">
        <f>IF('Data Source'!B563="","",'Data Source'!AD563)</f>
        <v/>
      </c>
      <c r="M563" s="9">
        <f>IF('Data Source'!B563="","",'Data Source'!AE563)</f>
        <v/>
      </c>
      <c r="N563" s="9">
        <f>IF('Data Source'!B563="","",'Data Source'!AF563)</f>
        <v/>
      </c>
      <c r="O563" s="9">
        <f>IF('Data Source'!B563="","",'Data Source'!AG563)</f>
        <v/>
      </c>
      <c r="P563" s="5">
        <f>IF('Data Source'!B563="","",'Data Source'!R563)</f>
        <v/>
      </c>
      <c r="Q563" s="3">
        <f>IF('Data Source'!B563="","",'Data Source'!S563)</f>
        <v/>
      </c>
    </row>
    <row r="564">
      <c r="A564" s="3">
        <f>IF('Data Source'!B564="","",'Data Source'!A564)</f>
        <v/>
      </c>
      <c r="B564">
        <f>IF('Data Source'!B564="","",'Data Source'!B564)</f>
        <v/>
      </c>
      <c r="C564" s="9">
        <f>IF('Data Source'!B564="","",'Data Source'!U564)</f>
        <v/>
      </c>
      <c r="D564" s="9">
        <f>IF('Data Source'!B564="","",'Data Source'!V564)</f>
        <v/>
      </c>
      <c r="E564" s="9">
        <f>IF('Data Source'!B564="","",'Data Source'!W564)</f>
        <v/>
      </c>
      <c r="F564" s="9">
        <f>IF('Data Source'!B564="","",'Data Source'!X564)</f>
        <v/>
      </c>
      <c r="G564" s="9">
        <f>IF('Data Source'!B564="","",'Data Source'!Y564)</f>
        <v/>
      </c>
      <c r="H564" s="9">
        <f>IF('Data Source'!B564="","",'Data Source'!Z564)</f>
        <v/>
      </c>
      <c r="I564" s="9">
        <f>IF('Data Source'!B564="","",'Data Source'!AA564)</f>
        <v/>
      </c>
      <c r="J564" s="9">
        <f>IF('Data Source'!B564="","",'Data Source'!AB564)</f>
        <v/>
      </c>
      <c r="K564" s="9">
        <f>IF('Data Source'!B564="","",'Data Source'!AC564)</f>
        <v/>
      </c>
      <c r="L564" s="9">
        <f>IF('Data Source'!B564="","",'Data Source'!AD564)</f>
        <v/>
      </c>
      <c r="M564" s="9">
        <f>IF('Data Source'!B564="","",'Data Source'!AE564)</f>
        <v/>
      </c>
      <c r="N564" s="9">
        <f>IF('Data Source'!B564="","",'Data Source'!AF564)</f>
        <v/>
      </c>
      <c r="O564" s="9">
        <f>IF('Data Source'!B564="","",'Data Source'!AG564)</f>
        <v/>
      </c>
      <c r="P564" s="5">
        <f>IF('Data Source'!B564="","",'Data Source'!R564)</f>
        <v/>
      </c>
      <c r="Q564" s="3">
        <f>IF('Data Source'!B564="","",'Data Source'!S564)</f>
        <v/>
      </c>
    </row>
    <row r="565">
      <c r="A565" s="3">
        <f>IF('Data Source'!B565="","",'Data Source'!A565)</f>
        <v/>
      </c>
      <c r="B565">
        <f>IF('Data Source'!B565="","",'Data Source'!B565)</f>
        <v/>
      </c>
      <c r="C565" s="9">
        <f>IF('Data Source'!B565="","",'Data Source'!U565)</f>
        <v/>
      </c>
      <c r="D565" s="9">
        <f>IF('Data Source'!B565="","",'Data Source'!V565)</f>
        <v/>
      </c>
      <c r="E565" s="9">
        <f>IF('Data Source'!B565="","",'Data Source'!W565)</f>
        <v/>
      </c>
      <c r="F565" s="9">
        <f>IF('Data Source'!B565="","",'Data Source'!X565)</f>
        <v/>
      </c>
      <c r="G565" s="9">
        <f>IF('Data Source'!B565="","",'Data Source'!Y565)</f>
        <v/>
      </c>
      <c r="H565" s="9">
        <f>IF('Data Source'!B565="","",'Data Source'!Z565)</f>
        <v/>
      </c>
      <c r="I565" s="9">
        <f>IF('Data Source'!B565="","",'Data Source'!AA565)</f>
        <v/>
      </c>
      <c r="J565" s="9">
        <f>IF('Data Source'!B565="","",'Data Source'!AB565)</f>
        <v/>
      </c>
      <c r="K565" s="9">
        <f>IF('Data Source'!B565="","",'Data Source'!AC565)</f>
        <v/>
      </c>
      <c r="L565" s="9">
        <f>IF('Data Source'!B565="","",'Data Source'!AD565)</f>
        <v/>
      </c>
      <c r="M565" s="9">
        <f>IF('Data Source'!B565="","",'Data Source'!AE565)</f>
        <v/>
      </c>
      <c r="N565" s="9">
        <f>IF('Data Source'!B565="","",'Data Source'!AF565)</f>
        <v/>
      </c>
      <c r="O565" s="9">
        <f>IF('Data Source'!B565="","",'Data Source'!AG565)</f>
        <v/>
      </c>
      <c r="P565" s="5">
        <f>IF('Data Source'!B565="","",'Data Source'!R565)</f>
        <v/>
      </c>
      <c r="Q565" s="3">
        <f>IF('Data Source'!B565="","",'Data Source'!S565)</f>
        <v/>
      </c>
    </row>
    <row r="566">
      <c r="A566" s="3">
        <f>IF('Data Source'!B566="","",'Data Source'!A566)</f>
        <v/>
      </c>
      <c r="B566">
        <f>IF('Data Source'!B566="","",'Data Source'!B566)</f>
        <v/>
      </c>
      <c r="C566" s="9">
        <f>IF('Data Source'!B566="","",'Data Source'!U566)</f>
        <v/>
      </c>
      <c r="D566" s="9">
        <f>IF('Data Source'!B566="","",'Data Source'!V566)</f>
        <v/>
      </c>
      <c r="E566" s="9">
        <f>IF('Data Source'!B566="","",'Data Source'!W566)</f>
        <v/>
      </c>
      <c r="F566" s="9">
        <f>IF('Data Source'!B566="","",'Data Source'!X566)</f>
        <v/>
      </c>
      <c r="G566" s="9">
        <f>IF('Data Source'!B566="","",'Data Source'!Y566)</f>
        <v/>
      </c>
      <c r="H566" s="9">
        <f>IF('Data Source'!B566="","",'Data Source'!Z566)</f>
        <v/>
      </c>
      <c r="I566" s="9">
        <f>IF('Data Source'!B566="","",'Data Source'!AA566)</f>
        <v/>
      </c>
      <c r="J566" s="9">
        <f>IF('Data Source'!B566="","",'Data Source'!AB566)</f>
        <v/>
      </c>
      <c r="K566" s="9">
        <f>IF('Data Source'!B566="","",'Data Source'!AC566)</f>
        <v/>
      </c>
      <c r="L566" s="9">
        <f>IF('Data Source'!B566="","",'Data Source'!AD566)</f>
        <v/>
      </c>
      <c r="M566" s="9">
        <f>IF('Data Source'!B566="","",'Data Source'!AE566)</f>
        <v/>
      </c>
      <c r="N566" s="9">
        <f>IF('Data Source'!B566="","",'Data Source'!AF566)</f>
        <v/>
      </c>
      <c r="O566" s="9">
        <f>IF('Data Source'!B566="","",'Data Source'!AG566)</f>
        <v/>
      </c>
      <c r="P566" s="5">
        <f>IF('Data Source'!B566="","",'Data Source'!R566)</f>
        <v/>
      </c>
      <c r="Q566" s="3">
        <f>IF('Data Source'!B566="","",'Data Source'!S566)</f>
        <v/>
      </c>
    </row>
    <row r="567">
      <c r="A567" s="3">
        <f>IF('Data Source'!B567="","",'Data Source'!A567)</f>
        <v/>
      </c>
      <c r="B567">
        <f>IF('Data Source'!B567="","",'Data Source'!B567)</f>
        <v/>
      </c>
      <c r="C567" s="9">
        <f>IF('Data Source'!B567="","",'Data Source'!U567)</f>
        <v/>
      </c>
      <c r="D567" s="9">
        <f>IF('Data Source'!B567="","",'Data Source'!V567)</f>
        <v/>
      </c>
      <c r="E567" s="9">
        <f>IF('Data Source'!B567="","",'Data Source'!W567)</f>
        <v/>
      </c>
      <c r="F567" s="9">
        <f>IF('Data Source'!B567="","",'Data Source'!X567)</f>
        <v/>
      </c>
      <c r="G567" s="9">
        <f>IF('Data Source'!B567="","",'Data Source'!Y567)</f>
        <v/>
      </c>
      <c r="H567" s="9">
        <f>IF('Data Source'!B567="","",'Data Source'!Z567)</f>
        <v/>
      </c>
      <c r="I567" s="9">
        <f>IF('Data Source'!B567="","",'Data Source'!AA567)</f>
        <v/>
      </c>
      <c r="J567" s="9">
        <f>IF('Data Source'!B567="","",'Data Source'!AB567)</f>
        <v/>
      </c>
      <c r="K567" s="9">
        <f>IF('Data Source'!B567="","",'Data Source'!AC567)</f>
        <v/>
      </c>
      <c r="L567" s="9">
        <f>IF('Data Source'!B567="","",'Data Source'!AD567)</f>
        <v/>
      </c>
      <c r="M567" s="9">
        <f>IF('Data Source'!B567="","",'Data Source'!AE567)</f>
        <v/>
      </c>
      <c r="N567" s="9">
        <f>IF('Data Source'!B567="","",'Data Source'!AF567)</f>
        <v/>
      </c>
      <c r="O567" s="9">
        <f>IF('Data Source'!B567="","",'Data Source'!AG567)</f>
        <v/>
      </c>
      <c r="P567" s="5">
        <f>IF('Data Source'!B567="","",'Data Source'!R567)</f>
        <v/>
      </c>
      <c r="Q567" s="3">
        <f>IF('Data Source'!B567="","",'Data Source'!S567)</f>
        <v/>
      </c>
    </row>
    <row r="568">
      <c r="A568" s="3">
        <f>IF('Data Source'!B568="","",'Data Source'!A568)</f>
        <v/>
      </c>
      <c r="B568">
        <f>IF('Data Source'!B568="","",'Data Source'!B568)</f>
        <v/>
      </c>
      <c r="C568" s="9">
        <f>IF('Data Source'!B568="","",'Data Source'!U568)</f>
        <v/>
      </c>
      <c r="D568" s="9">
        <f>IF('Data Source'!B568="","",'Data Source'!V568)</f>
        <v/>
      </c>
      <c r="E568" s="9">
        <f>IF('Data Source'!B568="","",'Data Source'!W568)</f>
        <v/>
      </c>
      <c r="F568" s="9">
        <f>IF('Data Source'!B568="","",'Data Source'!X568)</f>
        <v/>
      </c>
      <c r="G568" s="9">
        <f>IF('Data Source'!B568="","",'Data Source'!Y568)</f>
        <v/>
      </c>
      <c r="H568" s="9">
        <f>IF('Data Source'!B568="","",'Data Source'!Z568)</f>
        <v/>
      </c>
      <c r="I568" s="9">
        <f>IF('Data Source'!B568="","",'Data Source'!AA568)</f>
        <v/>
      </c>
      <c r="J568" s="9">
        <f>IF('Data Source'!B568="","",'Data Source'!AB568)</f>
        <v/>
      </c>
      <c r="K568" s="9">
        <f>IF('Data Source'!B568="","",'Data Source'!AC568)</f>
        <v/>
      </c>
      <c r="L568" s="9">
        <f>IF('Data Source'!B568="","",'Data Source'!AD568)</f>
        <v/>
      </c>
      <c r="M568" s="9">
        <f>IF('Data Source'!B568="","",'Data Source'!AE568)</f>
        <v/>
      </c>
      <c r="N568" s="9">
        <f>IF('Data Source'!B568="","",'Data Source'!AF568)</f>
        <v/>
      </c>
      <c r="O568" s="9">
        <f>IF('Data Source'!B568="","",'Data Source'!AG568)</f>
        <v/>
      </c>
      <c r="P568" s="5">
        <f>IF('Data Source'!B568="","",'Data Source'!R568)</f>
        <v/>
      </c>
      <c r="Q568" s="3">
        <f>IF('Data Source'!B568="","",'Data Source'!S568)</f>
        <v/>
      </c>
    </row>
    <row r="569">
      <c r="A569" s="3">
        <f>IF('Data Source'!B569="","",'Data Source'!A569)</f>
        <v/>
      </c>
      <c r="B569">
        <f>IF('Data Source'!B569="","",'Data Source'!B569)</f>
        <v/>
      </c>
      <c r="C569" s="9">
        <f>IF('Data Source'!B569="","",'Data Source'!U569)</f>
        <v/>
      </c>
      <c r="D569" s="9">
        <f>IF('Data Source'!B569="","",'Data Source'!V569)</f>
        <v/>
      </c>
      <c r="E569" s="9">
        <f>IF('Data Source'!B569="","",'Data Source'!W569)</f>
        <v/>
      </c>
      <c r="F569" s="9">
        <f>IF('Data Source'!B569="","",'Data Source'!X569)</f>
        <v/>
      </c>
      <c r="G569" s="9">
        <f>IF('Data Source'!B569="","",'Data Source'!Y569)</f>
        <v/>
      </c>
      <c r="H569" s="9">
        <f>IF('Data Source'!B569="","",'Data Source'!Z569)</f>
        <v/>
      </c>
      <c r="I569" s="9">
        <f>IF('Data Source'!B569="","",'Data Source'!AA569)</f>
        <v/>
      </c>
      <c r="J569" s="9">
        <f>IF('Data Source'!B569="","",'Data Source'!AB569)</f>
        <v/>
      </c>
      <c r="K569" s="9">
        <f>IF('Data Source'!B569="","",'Data Source'!AC569)</f>
        <v/>
      </c>
      <c r="L569" s="9">
        <f>IF('Data Source'!B569="","",'Data Source'!AD569)</f>
        <v/>
      </c>
      <c r="M569" s="9">
        <f>IF('Data Source'!B569="","",'Data Source'!AE569)</f>
        <v/>
      </c>
      <c r="N569" s="9">
        <f>IF('Data Source'!B569="","",'Data Source'!AF569)</f>
        <v/>
      </c>
      <c r="O569" s="9">
        <f>IF('Data Source'!B569="","",'Data Source'!AG569)</f>
        <v/>
      </c>
      <c r="P569" s="5">
        <f>IF('Data Source'!B569="","",'Data Source'!R569)</f>
        <v/>
      </c>
      <c r="Q569" s="3">
        <f>IF('Data Source'!B569="","",'Data Source'!S569)</f>
        <v/>
      </c>
    </row>
    <row r="570">
      <c r="A570" s="3">
        <f>IF('Data Source'!B570="","",'Data Source'!A570)</f>
        <v/>
      </c>
      <c r="B570">
        <f>IF('Data Source'!B570="","",'Data Source'!B570)</f>
        <v/>
      </c>
      <c r="C570" s="9">
        <f>IF('Data Source'!B570="","",'Data Source'!U570)</f>
        <v/>
      </c>
      <c r="D570" s="9">
        <f>IF('Data Source'!B570="","",'Data Source'!V570)</f>
        <v/>
      </c>
      <c r="E570" s="9">
        <f>IF('Data Source'!B570="","",'Data Source'!W570)</f>
        <v/>
      </c>
      <c r="F570" s="9">
        <f>IF('Data Source'!B570="","",'Data Source'!X570)</f>
        <v/>
      </c>
      <c r="G570" s="9">
        <f>IF('Data Source'!B570="","",'Data Source'!Y570)</f>
        <v/>
      </c>
      <c r="H570" s="9">
        <f>IF('Data Source'!B570="","",'Data Source'!Z570)</f>
        <v/>
      </c>
      <c r="I570" s="9">
        <f>IF('Data Source'!B570="","",'Data Source'!AA570)</f>
        <v/>
      </c>
      <c r="J570" s="9">
        <f>IF('Data Source'!B570="","",'Data Source'!AB570)</f>
        <v/>
      </c>
      <c r="K570" s="9">
        <f>IF('Data Source'!B570="","",'Data Source'!AC570)</f>
        <v/>
      </c>
      <c r="L570" s="9">
        <f>IF('Data Source'!B570="","",'Data Source'!AD570)</f>
        <v/>
      </c>
      <c r="M570" s="9">
        <f>IF('Data Source'!B570="","",'Data Source'!AE570)</f>
        <v/>
      </c>
      <c r="N570" s="9">
        <f>IF('Data Source'!B570="","",'Data Source'!AF570)</f>
        <v/>
      </c>
      <c r="O570" s="9">
        <f>IF('Data Source'!B570="","",'Data Source'!AG570)</f>
        <v/>
      </c>
      <c r="P570" s="5">
        <f>IF('Data Source'!B570="","",'Data Source'!R570)</f>
        <v/>
      </c>
      <c r="Q570" s="3">
        <f>IF('Data Source'!B570="","",'Data Source'!S570)</f>
        <v/>
      </c>
    </row>
    <row r="571">
      <c r="A571" s="3">
        <f>IF('Data Source'!B571="","",'Data Source'!A571)</f>
        <v/>
      </c>
      <c r="B571">
        <f>IF('Data Source'!B571="","",'Data Source'!B571)</f>
        <v/>
      </c>
      <c r="C571" s="9">
        <f>IF('Data Source'!B571="","",'Data Source'!U571)</f>
        <v/>
      </c>
      <c r="D571" s="9">
        <f>IF('Data Source'!B571="","",'Data Source'!V571)</f>
        <v/>
      </c>
      <c r="E571" s="9">
        <f>IF('Data Source'!B571="","",'Data Source'!W571)</f>
        <v/>
      </c>
      <c r="F571" s="9">
        <f>IF('Data Source'!B571="","",'Data Source'!X571)</f>
        <v/>
      </c>
      <c r="G571" s="9">
        <f>IF('Data Source'!B571="","",'Data Source'!Y571)</f>
        <v/>
      </c>
      <c r="H571" s="9">
        <f>IF('Data Source'!B571="","",'Data Source'!Z571)</f>
        <v/>
      </c>
      <c r="I571" s="9">
        <f>IF('Data Source'!B571="","",'Data Source'!AA571)</f>
        <v/>
      </c>
      <c r="J571" s="9">
        <f>IF('Data Source'!B571="","",'Data Source'!AB571)</f>
        <v/>
      </c>
      <c r="K571" s="9">
        <f>IF('Data Source'!B571="","",'Data Source'!AC571)</f>
        <v/>
      </c>
      <c r="L571" s="9">
        <f>IF('Data Source'!B571="","",'Data Source'!AD571)</f>
        <v/>
      </c>
      <c r="M571" s="9">
        <f>IF('Data Source'!B571="","",'Data Source'!AE571)</f>
        <v/>
      </c>
      <c r="N571" s="9">
        <f>IF('Data Source'!B571="","",'Data Source'!AF571)</f>
        <v/>
      </c>
      <c r="O571" s="9">
        <f>IF('Data Source'!B571="","",'Data Source'!AG571)</f>
        <v/>
      </c>
      <c r="P571" s="5">
        <f>IF('Data Source'!B571="","",'Data Source'!R571)</f>
        <v/>
      </c>
      <c r="Q571" s="3">
        <f>IF('Data Source'!B571="","",'Data Source'!S571)</f>
        <v/>
      </c>
    </row>
    <row r="572">
      <c r="A572" s="3">
        <f>IF('Data Source'!B572="","",'Data Source'!A572)</f>
        <v/>
      </c>
      <c r="B572">
        <f>IF('Data Source'!B572="","",'Data Source'!B572)</f>
        <v/>
      </c>
      <c r="C572" s="9">
        <f>IF('Data Source'!B572="","",'Data Source'!U572)</f>
        <v/>
      </c>
      <c r="D572" s="9">
        <f>IF('Data Source'!B572="","",'Data Source'!V572)</f>
        <v/>
      </c>
      <c r="E572" s="9">
        <f>IF('Data Source'!B572="","",'Data Source'!W572)</f>
        <v/>
      </c>
      <c r="F572" s="9">
        <f>IF('Data Source'!B572="","",'Data Source'!X572)</f>
        <v/>
      </c>
      <c r="G572" s="9">
        <f>IF('Data Source'!B572="","",'Data Source'!Y572)</f>
        <v/>
      </c>
      <c r="H572" s="9">
        <f>IF('Data Source'!B572="","",'Data Source'!Z572)</f>
        <v/>
      </c>
      <c r="I572" s="9">
        <f>IF('Data Source'!B572="","",'Data Source'!AA572)</f>
        <v/>
      </c>
      <c r="J572" s="9">
        <f>IF('Data Source'!B572="","",'Data Source'!AB572)</f>
        <v/>
      </c>
      <c r="K572" s="9">
        <f>IF('Data Source'!B572="","",'Data Source'!AC572)</f>
        <v/>
      </c>
      <c r="L572" s="9">
        <f>IF('Data Source'!B572="","",'Data Source'!AD572)</f>
        <v/>
      </c>
      <c r="M572" s="9">
        <f>IF('Data Source'!B572="","",'Data Source'!AE572)</f>
        <v/>
      </c>
      <c r="N572" s="9">
        <f>IF('Data Source'!B572="","",'Data Source'!AF572)</f>
        <v/>
      </c>
      <c r="O572" s="9">
        <f>IF('Data Source'!B572="","",'Data Source'!AG572)</f>
        <v/>
      </c>
      <c r="P572" s="5">
        <f>IF('Data Source'!B572="","",'Data Source'!R572)</f>
        <v/>
      </c>
      <c r="Q572" s="3">
        <f>IF('Data Source'!B572="","",'Data Source'!S572)</f>
        <v/>
      </c>
    </row>
    <row r="573">
      <c r="A573" s="3">
        <f>IF('Data Source'!B573="","",'Data Source'!A573)</f>
        <v/>
      </c>
      <c r="B573">
        <f>IF('Data Source'!B573="","",'Data Source'!B573)</f>
        <v/>
      </c>
      <c r="C573" s="9">
        <f>IF('Data Source'!B573="","",'Data Source'!U573)</f>
        <v/>
      </c>
      <c r="D573" s="9">
        <f>IF('Data Source'!B573="","",'Data Source'!V573)</f>
        <v/>
      </c>
      <c r="E573" s="9">
        <f>IF('Data Source'!B573="","",'Data Source'!W573)</f>
        <v/>
      </c>
      <c r="F573" s="9">
        <f>IF('Data Source'!B573="","",'Data Source'!X573)</f>
        <v/>
      </c>
      <c r="G573" s="9">
        <f>IF('Data Source'!B573="","",'Data Source'!Y573)</f>
        <v/>
      </c>
      <c r="H573" s="9">
        <f>IF('Data Source'!B573="","",'Data Source'!Z573)</f>
        <v/>
      </c>
      <c r="I573" s="9">
        <f>IF('Data Source'!B573="","",'Data Source'!AA573)</f>
        <v/>
      </c>
      <c r="J573" s="9">
        <f>IF('Data Source'!B573="","",'Data Source'!AB573)</f>
        <v/>
      </c>
      <c r="K573" s="9">
        <f>IF('Data Source'!B573="","",'Data Source'!AC573)</f>
        <v/>
      </c>
      <c r="L573" s="9">
        <f>IF('Data Source'!B573="","",'Data Source'!AD573)</f>
        <v/>
      </c>
      <c r="M573" s="9">
        <f>IF('Data Source'!B573="","",'Data Source'!AE573)</f>
        <v/>
      </c>
      <c r="N573" s="9">
        <f>IF('Data Source'!B573="","",'Data Source'!AF573)</f>
        <v/>
      </c>
      <c r="O573" s="9">
        <f>IF('Data Source'!B573="","",'Data Source'!AG573)</f>
        <v/>
      </c>
      <c r="P573" s="5">
        <f>IF('Data Source'!B573="","",'Data Source'!R573)</f>
        <v/>
      </c>
      <c r="Q573" s="3">
        <f>IF('Data Source'!B573="","",'Data Source'!S573)</f>
        <v/>
      </c>
    </row>
    <row r="574">
      <c r="A574" s="3">
        <f>IF('Data Source'!B574="","",'Data Source'!A574)</f>
        <v/>
      </c>
      <c r="B574">
        <f>IF('Data Source'!B574="","",'Data Source'!B574)</f>
        <v/>
      </c>
      <c r="C574" s="9">
        <f>IF('Data Source'!B574="","",'Data Source'!U574)</f>
        <v/>
      </c>
      <c r="D574" s="9">
        <f>IF('Data Source'!B574="","",'Data Source'!V574)</f>
        <v/>
      </c>
      <c r="E574" s="9">
        <f>IF('Data Source'!B574="","",'Data Source'!W574)</f>
        <v/>
      </c>
      <c r="F574" s="9">
        <f>IF('Data Source'!B574="","",'Data Source'!X574)</f>
        <v/>
      </c>
      <c r="G574" s="9">
        <f>IF('Data Source'!B574="","",'Data Source'!Y574)</f>
        <v/>
      </c>
      <c r="H574" s="9">
        <f>IF('Data Source'!B574="","",'Data Source'!Z574)</f>
        <v/>
      </c>
      <c r="I574" s="9">
        <f>IF('Data Source'!B574="","",'Data Source'!AA574)</f>
        <v/>
      </c>
      <c r="J574" s="9">
        <f>IF('Data Source'!B574="","",'Data Source'!AB574)</f>
        <v/>
      </c>
      <c r="K574" s="9">
        <f>IF('Data Source'!B574="","",'Data Source'!AC574)</f>
        <v/>
      </c>
      <c r="L574" s="9">
        <f>IF('Data Source'!B574="","",'Data Source'!AD574)</f>
        <v/>
      </c>
      <c r="M574" s="9">
        <f>IF('Data Source'!B574="","",'Data Source'!AE574)</f>
        <v/>
      </c>
      <c r="N574" s="9">
        <f>IF('Data Source'!B574="","",'Data Source'!AF574)</f>
        <v/>
      </c>
      <c r="O574" s="9">
        <f>IF('Data Source'!B574="","",'Data Source'!AG574)</f>
        <v/>
      </c>
      <c r="P574" s="5">
        <f>IF('Data Source'!B574="","",'Data Source'!R574)</f>
        <v/>
      </c>
      <c r="Q574" s="3">
        <f>IF('Data Source'!B574="","",'Data Source'!S574)</f>
        <v/>
      </c>
    </row>
    <row r="575">
      <c r="A575" s="3">
        <f>IF('Data Source'!B575="","",'Data Source'!A575)</f>
        <v/>
      </c>
      <c r="B575">
        <f>IF('Data Source'!B575="","",'Data Source'!B575)</f>
        <v/>
      </c>
      <c r="C575" s="9">
        <f>IF('Data Source'!B575="","",'Data Source'!U575)</f>
        <v/>
      </c>
      <c r="D575" s="9">
        <f>IF('Data Source'!B575="","",'Data Source'!V575)</f>
        <v/>
      </c>
      <c r="E575" s="9">
        <f>IF('Data Source'!B575="","",'Data Source'!W575)</f>
        <v/>
      </c>
      <c r="F575" s="9">
        <f>IF('Data Source'!B575="","",'Data Source'!X575)</f>
        <v/>
      </c>
      <c r="G575" s="9">
        <f>IF('Data Source'!B575="","",'Data Source'!Y575)</f>
        <v/>
      </c>
      <c r="H575" s="9">
        <f>IF('Data Source'!B575="","",'Data Source'!Z575)</f>
        <v/>
      </c>
      <c r="I575" s="9">
        <f>IF('Data Source'!B575="","",'Data Source'!AA575)</f>
        <v/>
      </c>
      <c r="J575" s="9">
        <f>IF('Data Source'!B575="","",'Data Source'!AB575)</f>
        <v/>
      </c>
      <c r="K575" s="9">
        <f>IF('Data Source'!B575="","",'Data Source'!AC575)</f>
        <v/>
      </c>
      <c r="L575" s="9">
        <f>IF('Data Source'!B575="","",'Data Source'!AD575)</f>
        <v/>
      </c>
      <c r="M575" s="9">
        <f>IF('Data Source'!B575="","",'Data Source'!AE575)</f>
        <v/>
      </c>
      <c r="N575" s="9">
        <f>IF('Data Source'!B575="","",'Data Source'!AF575)</f>
        <v/>
      </c>
      <c r="O575" s="9">
        <f>IF('Data Source'!B575="","",'Data Source'!AG575)</f>
        <v/>
      </c>
      <c r="P575" s="5">
        <f>IF('Data Source'!B575="","",'Data Source'!R575)</f>
        <v/>
      </c>
      <c r="Q575" s="3">
        <f>IF('Data Source'!B575="","",'Data Source'!S575)</f>
        <v/>
      </c>
    </row>
    <row r="576">
      <c r="A576" s="3">
        <f>IF('Data Source'!B576="","",'Data Source'!A576)</f>
        <v/>
      </c>
      <c r="B576">
        <f>IF('Data Source'!B576="","",'Data Source'!B576)</f>
        <v/>
      </c>
      <c r="C576" s="9">
        <f>IF('Data Source'!B576="","",'Data Source'!U576)</f>
        <v/>
      </c>
      <c r="D576" s="9">
        <f>IF('Data Source'!B576="","",'Data Source'!V576)</f>
        <v/>
      </c>
      <c r="E576" s="9">
        <f>IF('Data Source'!B576="","",'Data Source'!W576)</f>
        <v/>
      </c>
      <c r="F576" s="9">
        <f>IF('Data Source'!B576="","",'Data Source'!X576)</f>
        <v/>
      </c>
      <c r="G576" s="9">
        <f>IF('Data Source'!B576="","",'Data Source'!Y576)</f>
        <v/>
      </c>
      <c r="H576" s="9">
        <f>IF('Data Source'!B576="","",'Data Source'!Z576)</f>
        <v/>
      </c>
      <c r="I576" s="9">
        <f>IF('Data Source'!B576="","",'Data Source'!AA576)</f>
        <v/>
      </c>
      <c r="J576" s="9">
        <f>IF('Data Source'!B576="","",'Data Source'!AB576)</f>
        <v/>
      </c>
      <c r="K576" s="9">
        <f>IF('Data Source'!B576="","",'Data Source'!AC576)</f>
        <v/>
      </c>
      <c r="L576" s="9">
        <f>IF('Data Source'!B576="","",'Data Source'!AD576)</f>
        <v/>
      </c>
      <c r="M576" s="9">
        <f>IF('Data Source'!B576="","",'Data Source'!AE576)</f>
        <v/>
      </c>
      <c r="N576" s="9">
        <f>IF('Data Source'!B576="","",'Data Source'!AF576)</f>
        <v/>
      </c>
      <c r="O576" s="9">
        <f>IF('Data Source'!B576="","",'Data Source'!AG576)</f>
        <v/>
      </c>
      <c r="P576" s="5">
        <f>IF('Data Source'!B576="","",'Data Source'!R576)</f>
        <v/>
      </c>
      <c r="Q576" s="3">
        <f>IF('Data Source'!B576="","",'Data Source'!S576)</f>
        <v/>
      </c>
    </row>
    <row r="577">
      <c r="A577" s="3">
        <f>IF('Data Source'!B577="","",'Data Source'!A577)</f>
        <v/>
      </c>
      <c r="B577">
        <f>IF('Data Source'!B577="","",'Data Source'!B577)</f>
        <v/>
      </c>
      <c r="C577" s="9">
        <f>IF('Data Source'!B577="","",'Data Source'!U577)</f>
        <v/>
      </c>
      <c r="D577" s="9">
        <f>IF('Data Source'!B577="","",'Data Source'!V577)</f>
        <v/>
      </c>
      <c r="E577" s="9">
        <f>IF('Data Source'!B577="","",'Data Source'!W577)</f>
        <v/>
      </c>
      <c r="F577" s="9">
        <f>IF('Data Source'!B577="","",'Data Source'!X577)</f>
        <v/>
      </c>
      <c r="G577" s="9">
        <f>IF('Data Source'!B577="","",'Data Source'!Y577)</f>
        <v/>
      </c>
      <c r="H577" s="9">
        <f>IF('Data Source'!B577="","",'Data Source'!Z577)</f>
        <v/>
      </c>
      <c r="I577" s="9">
        <f>IF('Data Source'!B577="","",'Data Source'!AA577)</f>
        <v/>
      </c>
      <c r="J577" s="9">
        <f>IF('Data Source'!B577="","",'Data Source'!AB577)</f>
        <v/>
      </c>
      <c r="K577" s="9">
        <f>IF('Data Source'!B577="","",'Data Source'!AC577)</f>
        <v/>
      </c>
      <c r="L577" s="9">
        <f>IF('Data Source'!B577="","",'Data Source'!AD577)</f>
        <v/>
      </c>
      <c r="M577" s="9">
        <f>IF('Data Source'!B577="","",'Data Source'!AE577)</f>
        <v/>
      </c>
      <c r="N577" s="9">
        <f>IF('Data Source'!B577="","",'Data Source'!AF577)</f>
        <v/>
      </c>
      <c r="O577" s="9">
        <f>IF('Data Source'!B577="","",'Data Source'!AG577)</f>
        <v/>
      </c>
      <c r="P577" s="5">
        <f>IF('Data Source'!B577="","",'Data Source'!R577)</f>
        <v/>
      </c>
      <c r="Q577" s="3">
        <f>IF('Data Source'!B577="","",'Data Source'!S577)</f>
        <v/>
      </c>
    </row>
    <row r="578">
      <c r="A578" s="3">
        <f>IF('Data Source'!B578="","",'Data Source'!A578)</f>
        <v/>
      </c>
      <c r="B578">
        <f>IF('Data Source'!B578="","",'Data Source'!B578)</f>
        <v/>
      </c>
      <c r="C578" s="9">
        <f>IF('Data Source'!B578="","",'Data Source'!U578)</f>
        <v/>
      </c>
      <c r="D578" s="9">
        <f>IF('Data Source'!B578="","",'Data Source'!V578)</f>
        <v/>
      </c>
      <c r="E578" s="9">
        <f>IF('Data Source'!B578="","",'Data Source'!W578)</f>
        <v/>
      </c>
      <c r="F578" s="9">
        <f>IF('Data Source'!B578="","",'Data Source'!X578)</f>
        <v/>
      </c>
      <c r="G578" s="9">
        <f>IF('Data Source'!B578="","",'Data Source'!Y578)</f>
        <v/>
      </c>
      <c r="H578" s="9">
        <f>IF('Data Source'!B578="","",'Data Source'!Z578)</f>
        <v/>
      </c>
      <c r="I578" s="9">
        <f>IF('Data Source'!B578="","",'Data Source'!AA578)</f>
        <v/>
      </c>
      <c r="J578" s="9">
        <f>IF('Data Source'!B578="","",'Data Source'!AB578)</f>
        <v/>
      </c>
      <c r="K578" s="9">
        <f>IF('Data Source'!B578="","",'Data Source'!AC578)</f>
        <v/>
      </c>
      <c r="L578" s="9">
        <f>IF('Data Source'!B578="","",'Data Source'!AD578)</f>
        <v/>
      </c>
      <c r="M578" s="9">
        <f>IF('Data Source'!B578="","",'Data Source'!AE578)</f>
        <v/>
      </c>
      <c r="N578" s="9">
        <f>IF('Data Source'!B578="","",'Data Source'!AF578)</f>
        <v/>
      </c>
      <c r="O578" s="9">
        <f>IF('Data Source'!B578="","",'Data Source'!AG578)</f>
        <v/>
      </c>
      <c r="P578" s="5">
        <f>IF('Data Source'!B578="","",'Data Source'!R578)</f>
        <v/>
      </c>
      <c r="Q578" s="3">
        <f>IF('Data Source'!B578="","",'Data Source'!S578)</f>
        <v/>
      </c>
    </row>
    <row r="579">
      <c r="A579" s="3">
        <f>IF('Data Source'!B579="","",'Data Source'!A579)</f>
        <v/>
      </c>
      <c r="B579">
        <f>IF('Data Source'!B579="","",'Data Source'!B579)</f>
        <v/>
      </c>
      <c r="C579" s="9">
        <f>IF('Data Source'!B579="","",'Data Source'!U579)</f>
        <v/>
      </c>
      <c r="D579" s="9">
        <f>IF('Data Source'!B579="","",'Data Source'!V579)</f>
        <v/>
      </c>
      <c r="E579" s="9">
        <f>IF('Data Source'!B579="","",'Data Source'!W579)</f>
        <v/>
      </c>
      <c r="F579" s="9">
        <f>IF('Data Source'!B579="","",'Data Source'!X579)</f>
        <v/>
      </c>
      <c r="G579" s="9">
        <f>IF('Data Source'!B579="","",'Data Source'!Y579)</f>
        <v/>
      </c>
      <c r="H579" s="9">
        <f>IF('Data Source'!B579="","",'Data Source'!Z579)</f>
        <v/>
      </c>
      <c r="I579" s="9">
        <f>IF('Data Source'!B579="","",'Data Source'!AA579)</f>
        <v/>
      </c>
      <c r="J579" s="9">
        <f>IF('Data Source'!B579="","",'Data Source'!AB579)</f>
        <v/>
      </c>
      <c r="K579" s="9">
        <f>IF('Data Source'!B579="","",'Data Source'!AC579)</f>
        <v/>
      </c>
      <c r="L579" s="9">
        <f>IF('Data Source'!B579="","",'Data Source'!AD579)</f>
        <v/>
      </c>
      <c r="M579" s="9">
        <f>IF('Data Source'!B579="","",'Data Source'!AE579)</f>
        <v/>
      </c>
      <c r="N579" s="9">
        <f>IF('Data Source'!B579="","",'Data Source'!AF579)</f>
        <v/>
      </c>
      <c r="O579" s="9">
        <f>IF('Data Source'!B579="","",'Data Source'!AG579)</f>
        <v/>
      </c>
      <c r="P579" s="5">
        <f>IF('Data Source'!B579="","",'Data Source'!R579)</f>
        <v/>
      </c>
      <c r="Q579" s="3">
        <f>IF('Data Source'!B579="","",'Data Source'!S579)</f>
        <v/>
      </c>
    </row>
    <row r="580">
      <c r="A580" s="3">
        <f>IF('Data Source'!B580="","",'Data Source'!A580)</f>
        <v/>
      </c>
      <c r="B580">
        <f>IF('Data Source'!B580="","",'Data Source'!B580)</f>
        <v/>
      </c>
      <c r="C580" s="9">
        <f>IF('Data Source'!B580="","",'Data Source'!U580)</f>
        <v/>
      </c>
      <c r="D580" s="9">
        <f>IF('Data Source'!B580="","",'Data Source'!V580)</f>
        <v/>
      </c>
      <c r="E580" s="9">
        <f>IF('Data Source'!B580="","",'Data Source'!W580)</f>
        <v/>
      </c>
      <c r="F580" s="9">
        <f>IF('Data Source'!B580="","",'Data Source'!X580)</f>
        <v/>
      </c>
      <c r="G580" s="9">
        <f>IF('Data Source'!B580="","",'Data Source'!Y580)</f>
        <v/>
      </c>
      <c r="H580" s="9">
        <f>IF('Data Source'!B580="","",'Data Source'!Z580)</f>
        <v/>
      </c>
      <c r="I580" s="9">
        <f>IF('Data Source'!B580="","",'Data Source'!AA580)</f>
        <v/>
      </c>
      <c r="J580" s="9">
        <f>IF('Data Source'!B580="","",'Data Source'!AB580)</f>
        <v/>
      </c>
      <c r="K580" s="9">
        <f>IF('Data Source'!B580="","",'Data Source'!AC580)</f>
        <v/>
      </c>
      <c r="L580" s="9">
        <f>IF('Data Source'!B580="","",'Data Source'!AD580)</f>
        <v/>
      </c>
      <c r="M580" s="9">
        <f>IF('Data Source'!B580="","",'Data Source'!AE580)</f>
        <v/>
      </c>
      <c r="N580" s="9">
        <f>IF('Data Source'!B580="","",'Data Source'!AF580)</f>
        <v/>
      </c>
      <c r="O580" s="9">
        <f>IF('Data Source'!B580="","",'Data Source'!AG580)</f>
        <v/>
      </c>
      <c r="P580" s="5">
        <f>IF('Data Source'!B580="","",'Data Source'!R580)</f>
        <v/>
      </c>
      <c r="Q580" s="3">
        <f>IF('Data Source'!B580="","",'Data Source'!S580)</f>
        <v/>
      </c>
    </row>
    <row r="581">
      <c r="A581" s="3">
        <f>IF('Data Source'!B581="","",'Data Source'!A581)</f>
        <v/>
      </c>
      <c r="B581">
        <f>IF('Data Source'!B581="","",'Data Source'!B581)</f>
        <v/>
      </c>
      <c r="C581" s="9">
        <f>IF('Data Source'!B581="","",'Data Source'!U581)</f>
        <v/>
      </c>
      <c r="D581" s="9">
        <f>IF('Data Source'!B581="","",'Data Source'!V581)</f>
        <v/>
      </c>
      <c r="E581" s="9">
        <f>IF('Data Source'!B581="","",'Data Source'!W581)</f>
        <v/>
      </c>
      <c r="F581" s="9">
        <f>IF('Data Source'!B581="","",'Data Source'!X581)</f>
        <v/>
      </c>
      <c r="G581" s="9">
        <f>IF('Data Source'!B581="","",'Data Source'!Y581)</f>
        <v/>
      </c>
      <c r="H581" s="9">
        <f>IF('Data Source'!B581="","",'Data Source'!Z581)</f>
        <v/>
      </c>
      <c r="I581" s="9">
        <f>IF('Data Source'!B581="","",'Data Source'!AA581)</f>
        <v/>
      </c>
      <c r="J581" s="9">
        <f>IF('Data Source'!B581="","",'Data Source'!AB581)</f>
        <v/>
      </c>
      <c r="K581" s="9">
        <f>IF('Data Source'!B581="","",'Data Source'!AC581)</f>
        <v/>
      </c>
      <c r="L581" s="9">
        <f>IF('Data Source'!B581="","",'Data Source'!AD581)</f>
        <v/>
      </c>
      <c r="M581" s="9">
        <f>IF('Data Source'!B581="","",'Data Source'!AE581)</f>
        <v/>
      </c>
      <c r="N581" s="9">
        <f>IF('Data Source'!B581="","",'Data Source'!AF581)</f>
        <v/>
      </c>
      <c r="O581" s="9">
        <f>IF('Data Source'!B581="","",'Data Source'!AG581)</f>
        <v/>
      </c>
      <c r="P581" s="5">
        <f>IF('Data Source'!B581="","",'Data Source'!R581)</f>
        <v/>
      </c>
      <c r="Q581" s="3">
        <f>IF('Data Source'!B581="","",'Data Source'!S581)</f>
        <v/>
      </c>
    </row>
    <row r="582">
      <c r="A582" s="3">
        <f>IF('Data Source'!B582="","",'Data Source'!A582)</f>
        <v/>
      </c>
      <c r="B582">
        <f>IF('Data Source'!B582="","",'Data Source'!B582)</f>
        <v/>
      </c>
      <c r="C582" s="9">
        <f>IF('Data Source'!B582="","",'Data Source'!U582)</f>
        <v/>
      </c>
      <c r="D582" s="9">
        <f>IF('Data Source'!B582="","",'Data Source'!V582)</f>
        <v/>
      </c>
      <c r="E582" s="9">
        <f>IF('Data Source'!B582="","",'Data Source'!W582)</f>
        <v/>
      </c>
      <c r="F582" s="9">
        <f>IF('Data Source'!B582="","",'Data Source'!X582)</f>
        <v/>
      </c>
      <c r="G582" s="9">
        <f>IF('Data Source'!B582="","",'Data Source'!Y582)</f>
        <v/>
      </c>
      <c r="H582" s="9">
        <f>IF('Data Source'!B582="","",'Data Source'!Z582)</f>
        <v/>
      </c>
      <c r="I582" s="9">
        <f>IF('Data Source'!B582="","",'Data Source'!AA582)</f>
        <v/>
      </c>
      <c r="J582" s="9">
        <f>IF('Data Source'!B582="","",'Data Source'!AB582)</f>
        <v/>
      </c>
      <c r="K582" s="9">
        <f>IF('Data Source'!B582="","",'Data Source'!AC582)</f>
        <v/>
      </c>
      <c r="L582" s="9">
        <f>IF('Data Source'!B582="","",'Data Source'!AD582)</f>
        <v/>
      </c>
      <c r="M582" s="9">
        <f>IF('Data Source'!B582="","",'Data Source'!AE582)</f>
        <v/>
      </c>
      <c r="N582" s="9">
        <f>IF('Data Source'!B582="","",'Data Source'!AF582)</f>
        <v/>
      </c>
      <c r="O582" s="9">
        <f>IF('Data Source'!B582="","",'Data Source'!AG582)</f>
        <v/>
      </c>
      <c r="P582" s="5">
        <f>IF('Data Source'!B582="","",'Data Source'!R582)</f>
        <v/>
      </c>
      <c r="Q582" s="3">
        <f>IF('Data Source'!B582="","",'Data Source'!S582)</f>
        <v/>
      </c>
    </row>
    <row r="583">
      <c r="A583" s="3">
        <f>IF('Data Source'!B583="","",'Data Source'!A583)</f>
        <v/>
      </c>
      <c r="B583">
        <f>IF('Data Source'!B583="","",'Data Source'!B583)</f>
        <v/>
      </c>
      <c r="C583" s="9">
        <f>IF('Data Source'!B583="","",'Data Source'!U583)</f>
        <v/>
      </c>
      <c r="D583" s="9">
        <f>IF('Data Source'!B583="","",'Data Source'!V583)</f>
        <v/>
      </c>
      <c r="E583" s="9">
        <f>IF('Data Source'!B583="","",'Data Source'!W583)</f>
        <v/>
      </c>
      <c r="F583" s="9">
        <f>IF('Data Source'!B583="","",'Data Source'!X583)</f>
        <v/>
      </c>
      <c r="G583" s="9">
        <f>IF('Data Source'!B583="","",'Data Source'!Y583)</f>
        <v/>
      </c>
      <c r="H583" s="9">
        <f>IF('Data Source'!B583="","",'Data Source'!Z583)</f>
        <v/>
      </c>
      <c r="I583" s="9">
        <f>IF('Data Source'!B583="","",'Data Source'!AA583)</f>
        <v/>
      </c>
      <c r="J583" s="9">
        <f>IF('Data Source'!B583="","",'Data Source'!AB583)</f>
        <v/>
      </c>
      <c r="K583" s="9">
        <f>IF('Data Source'!B583="","",'Data Source'!AC583)</f>
        <v/>
      </c>
      <c r="L583" s="9">
        <f>IF('Data Source'!B583="","",'Data Source'!AD583)</f>
        <v/>
      </c>
      <c r="M583" s="9">
        <f>IF('Data Source'!B583="","",'Data Source'!AE583)</f>
        <v/>
      </c>
      <c r="N583" s="9">
        <f>IF('Data Source'!B583="","",'Data Source'!AF583)</f>
        <v/>
      </c>
      <c r="O583" s="9">
        <f>IF('Data Source'!B583="","",'Data Source'!AG583)</f>
        <v/>
      </c>
      <c r="P583" s="5">
        <f>IF('Data Source'!B583="","",'Data Source'!R583)</f>
        <v/>
      </c>
      <c r="Q583" s="3">
        <f>IF('Data Source'!B583="","",'Data Source'!S583)</f>
        <v/>
      </c>
    </row>
    <row r="584">
      <c r="A584" s="3">
        <f>IF('Data Source'!B584="","",'Data Source'!A584)</f>
        <v/>
      </c>
      <c r="B584">
        <f>IF('Data Source'!B584="","",'Data Source'!B584)</f>
        <v/>
      </c>
      <c r="C584" s="9">
        <f>IF('Data Source'!B584="","",'Data Source'!U584)</f>
        <v/>
      </c>
      <c r="D584" s="9">
        <f>IF('Data Source'!B584="","",'Data Source'!V584)</f>
        <v/>
      </c>
      <c r="E584" s="9">
        <f>IF('Data Source'!B584="","",'Data Source'!W584)</f>
        <v/>
      </c>
      <c r="F584" s="9">
        <f>IF('Data Source'!B584="","",'Data Source'!X584)</f>
        <v/>
      </c>
      <c r="G584" s="9">
        <f>IF('Data Source'!B584="","",'Data Source'!Y584)</f>
        <v/>
      </c>
      <c r="H584" s="9">
        <f>IF('Data Source'!B584="","",'Data Source'!Z584)</f>
        <v/>
      </c>
      <c r="I584" s="9">
        <f>IF('Data Source'!B584="","",'Data Source'!AA584)</f>
        <v/>
      </c>
      <c r="J584" s="9">
        <f>IF('Data Source'!B584="","",'Data Source'!AB584)</f>
        <v/>
      </c>
      <c r="K584" s="9">
        <f>IF('Data Source'!B584="","",'Data Source'!AC584)</f>
        <v/>
      </c>
      <c r="L584" s="9">
        <f>IF('Data Source'!B584="","",'Data Source'!AD584)</f>
        <v/>
      </c>
      <c r="M584" s="9">
        <f>IF('Data Source'!B584="","",'Data Source'!AE584)</f>
        <v/>
      </c>
      <c r="N584" s="9">
        <f>IF('Data Source'!B584="","",'Data Source'!AF584)</f>
        <v/>
      </c>
      <c r="O584" s="9">
        <f>IF('Data Source'!B584="","",'Data Source'!AG584)</f>
        <v/>
      </c>
      <c r="P584" s="5">
        <f>IF('Data Source'!B584="","",'Data Source'!R584)</f>
        <v/>
      </c>
      <c r="Q584" s="3">
        <f>IF('Data Source'!B584="","",'Data Source'!S584)</f>
        <v/>
      </c>
    </row>
    <row r="585">
      <c r="A585" s="3">
        <f>IF('Data Source'!B585="","",'Data Source'!A585)</f>
        <v/>
      </c>
      <c r="B585">
        <f>IF('Data Source'!B585="","",'Data Source'!B585)</f>
        <v/>
      </c>
      <c r="C585" s="9">
        <f>IF('Data Source'!B585="","",'Data Source'!U585)</f>
        <v/>
      </c>
      <c r="D585" s="9">
        <f>IF('Data Source'!B585="","",'Data Source'!V585)</f>
        <v/>
      </c>
      <c r="E585" s="9">
        <f>IF('Data Source'!B585="","",'Data Source'!W585)</f>
        <v/>
      </c>
      <c r="F585" s="9">
        <f>IF('Data Source'!B585="","",'Data Source'!X585)</f>
        <v/>
      </c>
      <c r="G585" s="9">
        <f>IF('Data Source'!B585="","",'Data Source'!Y585)</f>
        <v/>
      </c>
      <c r="H585" s="9">
        <f>IF('Data Source'!B585="","",'Data Source'!Z585)</f>
        <v/>
      </c>
      <c r="I585" s="9">
        <f>IF('Data Source'!B585="","",'Data Source'!AA585)</f>
        <v/>
      </c>
      <c r="J585" s="9">
        <f>IF('Data Source'!B585="","",'Data Source'!AB585)</f>
        <v/>
      </c>
      <c r="K585" s="9">
        <f>IF('Data Source'!B585="","",'Data Source'!AC585)</f>
        <v/>
      </c>
      <c r="L585" s="9">
        <f>IF('Data Source'!B585="","",'Data Source'!AD585)</f>
        <v/>
      </c>
      <c r="M585" s="9">
        <f>IF('Data Source'!B585="","",'Data Source'!AE585)</f>
        <v/>
      </c>
      <c r="N585" s="9">
        <f>IF('Data Source'!B585="","",'Data Source'!AF585)</f>
        <v/>
      </c>
      <c r="O585" s="9">
        <f>IF('Data Source'!B585="","",'Data Source'!AG585)</f>
        <v/>
      </c>
      <c r="P585" s="5">
        <f>IF('Data Source'!B585="","",'Data Source'!R585)</f>
        <v/>
      </c>
      <c r="Q585" s="3">
        <f>IF('Data Source'!B585="","",'Data Source'!S585)</f>
        <v/>
      </c>
    </row>
    <row r="586">
      <c r="A586" s="3">
        <f>IF('Data Source'!B586="","",'Data Source'!A586)</f>
        <v/>
      </c>
      <c r="B586">
        <f>IF('Data Source'!B586="","",'Data Source'!B586)</f>
        <v/>
      </c>
      <c r="C586" s="9">
        <f>IF('Data Source'!B586="","",'Data Source'!U586)</f>
        <v/>
      </c>
      <c r="D586" s="9">
        <f>IF('Data Source'!B586="","",'Data Source'!V586)</f>
        <v/>
      </c>
      <c r="E586" s="9">
        <f>IF('Data Source'!B586="","",'Data Source'!W586)</f>
        <v/>
      </c>
      <c r="F586" s="9">
        <f>IF('Data Source'!B586="","",'Data Source'!X586)</f>
        <v/>
      </c>
      <c r="G586" s="9">
        <f>IF('Data Source'!B586="","",'Data Source'!Y586)</f>
        <v/>
      </c>
      <c r="H586" s="9">
        <f>IF('Data Source'!B586="","",'Data Source'!Z586)</f>
        <v/>
      </c>
      <c r="I586" s="9">
        <f>IF('Data Source'!B586="","",'Data Source'!AA586)</f>
        <v/>
      </c>
      <c r="J586" s="9">
        <f>IF('Data Source'!B586="","",'Data Source'!AB586)</f>
        <v/>
      </c>
      <c r="K586" s="9">
        <f>IF('Data Source'!B586="","",'Data Source'!AC586)</f>
        <v/>
      </c>
      <c r="L586" s="9">
        <f>IF('Data Source'!B586="","",'Data Source'!AD586)</f>
        <v/>
      </c>
      <c r="M586" s="9">
        <f>IF('Data Source'!B586="","",'Data Source'!AE586)</f>
        <v/>
      </c>
      <c r="N586" s="9">
        <f>IF('Data Source'!B586="","",'Data Source'!AF586)</f>
        <v/>
      </c>
      <c r="O586" s="9">
        <f>IF('Data Source'!B586="","",'Data Source'!AG586)</f>
        <v/>
      </c>
      <c r="P586" s="5">
        <f>IF('Data Source'!B586="","",'Data Source'!R586)</f>
        <v/>
      </c>
      <c r="Q586" s="3">
        <f>IF('Data Source'!B586="","",'Data Source'!S586)</f>
        <v/>
      </c>
    </row>
    <row r="587">
      <c r="A587" s="3">
        <f>IF('Data Source'!B587="","",'Data Source'!A587)</f>
        <v/>
      </c>
      <c r="B587">
        <f>IF('Data Source'!B587="","",'Data Source'!B587)</f>
        <v/>
      </c>
      <c r="C587" s="9">
        <f>IF('Data Source'!B587="","",'Data Source'!U587)</f>
        <v/>
      </c>
      <c r="D587" s="9">
        <f>IF('Data Source'!B587="","",'Data Source'!V587)</f>
        <v/>
      </c>
      <c r="E587" s="9">
        <f>IF('Data Source'!B587="","",'Data Source'!W587)</f>
        <v/>
      </c>
      <c r="F587" s="9">
        <f>IF('Data Source'!B587="","",'Data Source'!X587)</f>
        <v/>
      </c>
      <c r="G587" s="9">
        <f>IF('Data Source'!B587="","",'Data Source'!Y587)</f>
        <v/>
      </c>
      <c r="H587" s="9">
        <f>IF('Data Source'!B587="","",'Data Source'!Z587)</f>
        <v/>
      </c>
      <c r="I587" s="9">
        <f>IF('Data Source'!B587="","",'Data Source'!AA587)</f>
        <v/>
      </c>
      <c r="J587" s="9">
        <f>IF('Data Source'!B587="","",'Data Source'!AB587)</f>
        <v/>
      </c>
      <c r="K587" s="9">
        <f>IF('Data Source'!B587="","",'Data Source'!AC587)</f>
        <v/>
      </c>
      <c r="L587" s="9">
        <f>IF('Data Source'!B587="","",'Data Source'!AD587)</f>
        <v/>
      </c>
      <c r="M587" s="9">
        <f>IF('Data Source'!B587="","",'Data Source'!AE587)</f>
        <v/>
      </c>
      <c r="N587" s="9">
        <f>IF('Data Source'!B587="","",'Data Source'!AF587)</f>
        <v/>
      </c>
      <c r="O587" s="9">
        <f>IF('Data Source'!B587="","",'Data Source'!AG587)</f>
        <v/>
      </c>
      <c r="P587" s="5">
        <f>IF('Data Source'!B587="","",'Data Source'!R587)</f>
        <v/>
      </c>
      <c r="Q587" s="3">
        <f>IF('Data Source'!B587="","",'Data Source'!S587)</f>
        <v/>
      </c>
    </row>
    <row r="588">
      <c r="A588" s="3">
        <f>IF('Data Source'!B588="","",'Data Source'!A588)</f>
        <v/>
      </c>
      <c r="B588">
        <f>IF('Data Source'!B588="","",'Data Source'!B588)</f>
        <v/>
      </c>
      <c r="C588" s="9">
        <f>IF('Data Source'!B588="","",'Data Source'!U588)</f>
        <v/>
      </c>
      <c r="D588" s="9">
        <f>IF('Data Source'!B588="","",'Data Source'!V588)</f>
        <v/>
      </c>
      <c r="E588" s="9">
        <f>IF('Data Source'!B588="","",'Data Source'!W588)</f>
        <v/>
      </c>
      <c r="F588" s="9">
        <f>IF('Data Source'!B588="","",'Data Source'!X588)</f>
        <v/>
      </c>
      <c r="G588" s="9">
        <f>IF('Data Source'!B588="","",'Data Source'!Y588)</f>
        <v/>
      </c>
      <c r="H588" s="9">
        <f>IF('Data Source'!B588="","",'Data Source'!Z588)</f>
        <v/>
      </c>
      <c r="I588" s="9">
        <f>IF('Data Source'!B588="","",'Data Source'!AA588)</f>
        <v/>
      </c>
      <c r="J588" s="9">
        <f>IF('Data Source'!B588="","",'Data Source'!AB588)</f>
        <v/>
      </c>
      <c r="K588" s="9">
        <f>IF('Data Source'!B588="","",'Data Source'!AC588)</f>
        <v/>
      </c>
      <c r="L588" s="9">
        <f>IF('Data Source'!B588="","",'Data Source'!AD588)</f>
        <v/>
      </c>
      <c r="M588" s="9">
        <f>IF('Data Source'!B588="","",'Data Source'!AE588)</f>
        <v/>
      </c>
      <c r="N588" s="9">
        <f>IF('Data Source'!B588="","",'Data Source'!AF588)</f>
        <v/>
      </c>
      <c r="O588" s="9">
        <f>IF('Data Source'!B588="","",'Data Source'!AG588)</f>
        <v/>
      </c>
      <c r="P588" s="5">
        <f>IF('Data Source'!B588="","",'Data Source'!R588)</f>
        <v/>
      </c>
      <c r="Q588" s="3">
        <f>IF('Data Source'!B588="","",'Data Source'!S588)</f>
        <v/>
      </c>
    </row>
    <row r="589">
      <c r="A589" s="3">
        <f>IF('Data Source'!B589="","",'Data Source'!A589)</f>
        <v/>
      </c>
      <c r="B589">
        <f>IF('Data Source'!B589="","",'Data Source'!B589)</f>
        <v/>
      </c>
      <c r="C589" s="9">
        <f>IF('Data Source'!B589="","",'Data Source'!U589)</f>
        <v/>
      </c>
      <c r="D589" s="9">
        <f>IF('Data Source'!B589="","",'Data Source'!V589)</f>
        <v/>
      </c>
      <c r="E589" s="9">
        <f>IF('Data Source'!B589="","",'Data Source'!W589)</f>
        <v/>
      </c>
      <c r="F589" s="9">
        <f>IF('Data Source'!B589="","",'Data Source'!X589)</f>
        <v/>
      </c>
      <c r="G589" s="9">
        <f>IF('Data Source'!B589="","",'Data Source'!Y589)</f>
        <v/>
      </c>
      <c r="H589" s="9">
        <f>IF('Data Source'!B589="","",'Data Source'!Z589)</f>
        <v/>
      </c>
      <c r="I589" s="9">
        <f>IF('Data Source'!B589="","",'Data Source'!AA589)</f>
        <v/>
      </c>
      <c r="J589" s="9">
        <f>IF('Data Source'!B589="","",'Data Source'!AB589)</f>
        <v/>
      </c>
      <c r="K589" s="9">
        <f>IF('Data Source'!B589="","",'Data Source'!AC589)</f>
        <v/>
      </c>
      <c r="L589" s="9">
        <f>IF('Data Source'!B589="","",'Data Source'!AD589)</f>
        <v/>
      </c>
      <c r="M589" s="9">
        <f>IF('Data Source'!B589="","",'Data Source'!AE589)</f>
        <v/>
      </c>
      <c r="N589" s="9">
        <f>IF('Data Source'!B589="","",'Data Source'!AF589)</f>
        <v/>
      </c>
      <c r="O589" s="9">
        <f>IF('Data Source'!B589="","",'Data Source'!AG589)</f>
        <v/>
      </c>
      <c r="P589" s="5">
        <f>IF('Data Source'!B589="","",'Data Source'!R589)</f>
        <v/>
      </c>
      <c r="Q589" s="3">
        <f>IF('Data Source'!B589="","",'Data Source'!S589)</f>
        <v/>
      </c>
    </row>
    <row r="590">
      <c r="A590" s="3">
        <f>IF('Data Source'!B590="","",'Data Source'!A590)</f>
        <v/>
      </c>
      <c r="B590">
        <f>IF('Data Source'!B590="","",'Data Source'!B590)</f>
        <v/>
      </c>
      <c r="C590" s="9">
        <f>IF('Data Source'!B590="","",'Data Source'!U590)</f>
        <v/>
      </c>
      <c r="D590" s="9">
        <f>IF('Data Source'!B590="","",'Data Source'!V590)</f>
        <v/>
      </c>
      <c r="E590" s="9">
        <f>IF('Data Source'!B590="","",'Data Source'!W590)</f>
        <v/>
      </c>
      <c r="F590" s="9">
        <f>IF('Data Source'!B590="","",'Data Source'!X590)</f>
        <v/>
      </c>
      <c r="G590" s="9">
        <f>IF('Data Source'!B590="","",'Data Source'!Y590)</f>
        <v/>
      </c>
      <c r="H590" s="9">
        <f>IF('Data Source'!B590="","",'Data Source'!Z590)</f>
        <v/>
      </c>
      <c r="I590" s="9">
        <f>IF('Data Source'!B590="","",'Data Source'!AA590)</f>
        <v/>
      </c>
      <c r="J590" s="9">
        <f>IF('Data Source'!B590="","",'Data Source'!AB590)</f>
        <v/>
      </c>
      <c r="K590" s="9">
        <f>IF('Data Source'!B590="","",'Data Source'!AC590)</f>
        <v/>
      </c>
      <c r="L590" s="9">
        <f>IF('Data Source'!B590="","",'Data Source'!AD590)</f>
        <v/>
      </c>
      <c r="M590" s="9">
        <f>IF('Data Source'!B590="","",'Data Source'!AE590)</f>
        <v/>
      </c>
      <c r="N590" s="9">
        <f>IF('Data Source'!B590="","",'Data Source'!AF590)</f>
        <v/>
      </c>
      <c r="O590" s="9">
        <f>IF('Data Source'!B590="","",'Data Source'!AG590)</f>
        <v/>
      </c>
      <c r="P590" s="5">
        <f>IF('Data Source'!B590="","",'Data Source'!R590)</f>
        <v/>
      </c>
      <c r="Q590" s="3">
        <f>IF('Data Source'!B590="","",'Data Source'!S590)</f>
        <v/>
      </c>
    </row>
    <row r="591">
      <c r="A591" s="3">
        <f>IF('Data Source'!B591="","",'Data Source'!A591)</f>
        <v/>
      </c>
      <c r="B591">
        <f>IF('Data Source'!B591="","",'Data Source'!B591)</f>
        <v/>
      </c>
      <c r="C591" s="9">
        <f>IF('Data Source'!B591="","",'Data Source'!U591)</f>
        <v/>
      </c>
      <c r="D591" s="9">
        <f>IF('Data Source'!B591="","",'Data Source'!V591)</f>
        <v/>
      </c>
      <c r="E591" s="9">
        <f>IF('Data Source'!B591="","",'Data Source'!W591)</f>
        <v/>
      </c>
      <c r="F591" s="9">
        <f>IF('Data Source'!B591="","",'Data Source'!X591)</f>
        <v/>
      </c>
      <c r="G591" s="9">
        <f>IF('Data Source'!B591="","",'Data Source'!Y591)</f>
        <v/>
      </c>
      <c r="H591" s="9">
        <f>IF('Data Source'!B591="","",'Data Source'!Z591)</f>
        <v/>
      </c>
      <c r="I591" s="9">
        <f>IF('Data Source'!B591="","",'Data Source'!AA591)</f>
        <v/>
      </c>
      <c r="J591" s="9">
        <f>IF('Data Source'!B591="","",'Data Source'!AB591)</f>
        <v/>
      </c>
      <c r="K591" s="9">
        <f>IF('Data Source'!B591="","",'Data Source'!AC591)</f>
        <v/>
      </c>
      <c r="L591" s="9">
        <f>IF('Data Source'!B591="","",'Data Source'!AD591)</f>
        <v/>
      </c>
      <c r="M591" s="9">
        <f>IF('Data Source'!B591="","",'Data Source'!AE591)</f>
        <v/>
      </c>
      <c r="N591" s="9">
        <f>IF('Data Source'!B591="","",'Data Source'!AF591)</f>
        <v/>
      </c>
      <c r="O591" s="9">
        <f>IF('Data Source'!B591="","",'Data Source'!AG591)</f>
        <v/>
      </c>
      <c r="P591" s="5">
        <f>IF('Data Source'!B591="","",'Data Source'!R591)</f>
        <v/>
      </c>
      <c r="Q591" s="3">
        <f>IF('Data Source'!B591="","",'Data Source'!S591)</f>
        <v/>
      </c>
    </row>
    <row r="592">
      <c r="A592" s="3">
        <f>IF('Data Source'!B592="","",'Data Source'!A592)</f>
        <v/>
      </c>
      <c r="B592">
        <f>IF('Data Source'!B592="","",'Data Source'!B592)</f>
        <v/>
      </c>
      <c r="C592" s="9">
        <f>IF('Data Source'!B592="","",'Data Source'!U592)</f>
        <v/>
      </c>
      <c r="D592" s="9">
        <f>IF('Data Source'!B592="","",'Data Source'!V592)</f>
        <v/>
      </c>
      <c r="E592" s="9">
        <f>IF('Data Source'!B592="","",'Data Source'!W592)</f>
        <v/>
      </c>
      <c r="F592" s="9">
        <f>IF('Data Source'!B592="","",'Data Source'!X592)</f>
        <v/>
      </c>
      <c r="G592" s="9">
        <f>IF('Data Source'!B592="","",'Data Source'!Y592)</f>
        <v/>
      </c>
      <c r="H592" s="9">
        <f>IF('Data Source'!B592="","",'Data Source'!Z592)</f>
        <v/>
      </c>
      <c r="I592" s="9">
        <f>IF('Data Source'!B592="","",'Data Source'!AA592)</f>
        <v/>
      </c>
      <c r="J592" s="9">
        <f>IF('Data Source'!B592="","",'Data Source'!AB592)</f>
        <v/>
      </c>
      <c r="K592" s="9">
        <f>IF('Data Source'!B592="","",'Data Source'!AC592)</f>
        <v/>
      </c>
      <c r="L592" s="9">
        <f>IF('Data Source'!B592="","",'Data Source'!AD592)</f>
        <v/>
      </c>
      <c r="M592" s="9">
        <f>IF('Data Source'!B592="","",'Data Source'!AE592)</f>
        <v/>
      </c>
      <c r="N592" s="9">
        <f>IF('Data Source'!B592="","",'Data Source'!AF592)</f>
        <v/>
      </c>
      <c r="O592" s="9">
        <f>IF('Data Source'!B592="","",'Data Source'!AG592)</f>
        <v/>
      </c>
      <c r="P592" s="5">
        <f>IF('Data Source'!B592="","",'Data Source'!R592)</f>
        <v/>
      </c>
      <c r="Q592" s="3">
        <f>IF('Data Source'!B592="","",'Data Source'!S592)</f>
        <v/>
      </c>
    </row>
    <row r="593">
      <c r="A593" s="3">
        <f>IF('Data Source'!B593="","",'Data Source'!A593)</f>
        <v/>
      </c>
      <c r="B593">
        <f>IF('Data Source'!B593="","",'Data Source'!B593)</f>
        <v/>
      </c>
      <c r="C593" s="9">
        <f>IF('Data Source'!B593="","",'Data Source'!U593)</f>
        <v/>
      </c>
      <c r="D593" s="9">
        <f>IF('Data Source'!B593="","",'Data Source'!V593)</f>
        <v/>
      </c>
      <c r="E593" s="9">
        <f>IF('Data Source'!B593="","",'Data Source'!W593)</f>
        <v/>
      </c>
      <c r="F593" s="9">
        <f>IF('Data Source'!B593="","",'Data Source'!X593)</f>
        <v/>
      </c>
      <c r="G593" s="9">
        <f>IF('Data Source'!B593="","",'Data Source'!Y593)</f>
        <v/>
      </c>
      <c r="H593" s="9">
        <f>IF('Data Source'!B593="","",'Data Source'!Z593)</f>
        <v/>
      </c>
      <c r="I593" s="9">
        <f>IF('Data Source'!B593="","",'Data Source'!AA593)</f>
        <v/>
      </c>
      <c r="J593" s="9">
        <f>IF('Data Source'!B593="","",'Data Source'!AB593)</f>
        <v/>
      </c>
      <c r="K593" s="9">
        <f>IF('Data Source'!B593="","",'Data Source'!AC593)</f>
        <v/>
      </c>
      <c r="L593" s="9">
        <f>IF('Data Source'!B593="","",'Data Source'!AD593)</f>
        <v/>
      </c>
      <c r="M593" s="9">
        <f>IF('Data Source'!B593="","",'Data Source'!AE593)</f>
        <v/>
      </c>
      <c r="N593" s="9">
        <f>IF('Data Source'!B593="","",'Data Source'!AF593)</f>
        <v/>
      </c>
      <c r="O593" s="9">
        <f>IF('Data Source'!B593="","",'Data Source'!AG593)</f>
        <v/>
      </c>
      <c r="P593" s="5">
        <f>IF('Data Source'!B593="","",'Data Source'!R593)</f>
        <v/>
      </c>
      <c r="Q593" s="3">
        <f>IF('Data Source'!B593="","",'Data Source'!S593)</f>
        <v/>
      </c>
    </row>
    <row r="594">
      <c r="A594" s="3">
        <f>IF('Data Source'!B594="","",'Data Source'!A594)</f>
        <v/>
      </c>
      <c r="B594">
        <f>IF('Data Source'!B594="","",'Data Source'!B594)</f>
        <v/>
      </c>
      <c r="C594" s="9">
        <f>IF('Data Source'!B594="","",'Data Source'!U594)</f>
        <v/>
      </c>
      <c r="D594" s="9">
        <f>IF('Data Source'!B594="","",'Data Source'!V594)</f>
        <v/>
      </c>
      <c r="E594" s="9">
        <f>IF('Data Source'!B594="","",'Data Source'!W594)</f>
        <v/>
      </c>
      <c r="F594" s="9">
        <f>IF('Data Source'!B594="","",'Data Source'!X594)</f>
        <v/>
      </c>
      <c r="G594" s="9">
        <f>IF('Data Source'!B594="","",'Data Source'!Y594)</f>
        <v/>
      </c>
      <c r="H594" s="9">
        <f>IF('Data Source'!B594="","",'Data Source'!Z594)</f>
        <v/>
      </c>
      <c r="I594" s="9">
        <f>IF('Data Source'!B594="","",'Data Source'!AA594)</f>
        <v/>
      </c>
      <c r="J594" s="9">
        <f>IF('Data Source'!B594="","",'Data Source'!AB594)</f>
        <v/>
      </c>
      <c r="K594" s="9">
        <f>IF('Data Source'!B594="","",'Data Source'!AC594)</f>
        <v/>
      </c>
      <c r="L594" s="9">
        <f>IF('Data Source'!B594="","",'Data Source'!AD594)</f>
        <v/>
      </c>
      <c r="M594" s="9">
        <f>IF('Data Source'!B594="","",'Data Source'!AE594)</f>
        <v/>
      </c>
      <c r="N594" s="9">
        <f>IF('Data Source'!B594="","",'Data Source'!AF594)</f>
        <v/>
      </c>
      <c r="O594" s="9">
        <f>IF('Data Source'!B594="","",'Data Source'!AG594)</f>
        <v/>
      </c>
      <c r="P594" s="5">
        <f>IF('Data Source'!B594="","",'Data Source'!R594)</f>
        <v/>
      </c>
      <c r="Q594" s="3">
        <f>IF('Data Source'!B594="","",'Data Source'!S594)</f>
        <v/>
      </c>
    </row>
    <row r="595">
      <c r="A595" s="3">
        <f>IF('Data Source'!B595="","",'Data Source'!A595)</f>
        <v/>
      </c>
      <c r="B595">
        <f>IF('Data Source'!B595="","",'Data Source'!B595)</f>
        <v/>
      </c>
      <c r="C595" s="9">
        <f>IF('Data Source'!B595="","",'Data Source'!U595)</f>
        <v/>
      </c>
      <c r="D595" s="9">
        <f>IF('Data Source'!B595="","",'Data Source'!V595)</f>
        <v/>
      </c>
      <c r="E595" s="9">
        <f>IF('Data Source'!B595="","",'Data Source'!W595)</f>
        <v/>
      </c>
      <c r="F595" s="9">
        <f>IF('Data Source'!B595="","",'Data Source'!X595)</f>
        <v/>
      </c>
      <c r="G595" s="9">
        <f>IF('Data Source'!B595="","",'Data Source'!Y595)</f>
        <v/>
      </c>
      <c r="H595" s="9">
        <f>IF('Data Source'!B595="","",'Data Source'!Z595)</f>
        <v/>
      </c>
      <c r="I595" s="9">
        <f>IF('Data Source'!B595="","",'Data Source'!AA595)</f>
        <v/>
      </c>
      <c r="J595" s="9">
        <f>IF('Data Source'!B595="","",'Data Source'!AB595)</f>
        <v/>
      </c>
      <c r="K595" s="9">
        <f>IF('Data Source'!B595="","",'Data Source'!AC595)</f>
        <v/>
      </c>
      <c r="L595" s="9">
        <f>IF('Data Source'!B595="","",'Data Source'!AD595)</f>
        <v/>
      </c>
      <c r="M595" s="9">
        <f>IF('Data Source'!B595="","",'Data Source'!AE595)</f>
        <v/>
      </c>
      <c r="N595" s="9">
        <f>IF('Data Source'!B595="","",'Data Source'!AF595)</f>
        <v/>
      </c>
      <c r="O595" s="9">
        <f>IF('Data Source'!B595="","",'Data Source'!AG595)</f>
        <v/>
      </c>
      <c r="P595" s="5">
        <f>IF('Data Source'!B595="","",'Data Source'!R595)</f>
        <v/>
      </c>
      <c r="Q595" s="3">
        <f>IF('Data Source'!B595="","",'Data Source'!S595)</f>
        <v/>
      </c>
    </row>
    <row r="596">
      <c r="A596" s="3">
        <f>IF('Data Source'!B596="","",'Data Source'!A596)</f>
        <v/>
      </c>
      <c r="B596">
        <f>IF('Data Source'!B596="","",'Data Source'!B596)</f>
        <v/>
      </c>
      <c r="C596" s="9">
        <f>IF('Data Source'!B596="","",'Data Source'!U596)</f>
        <v/>
      </c>
      <c r="D596" s="9">
        <f>IF('Data Source'!B596="","",'Data Source'!V596)</f>
        <v/>
      </c>
      <c r="E596" s="9">
        <f>IF('Data Source'!B596="","",'Data Source'!W596)</f>
        <v/>
      </c>
      <c r="F596" s="9">
        <f>IF('Data Source'!B596="","",'Data Source'!X596)</f>
        <v/>
      </c>
      <c r="G596" s="9">
        <f>IF('Data Source'!B596="","",'Data Source'!Y596)</f>
        <v/>
      </c>
      <c r="H596" s="9">
        <f>IF('Data Source'!B596="","",'Data Source'!Z596)</f>
        <v/>
      </c>
      <c r="I596" s="9">
        <f>IF('Data Source'!B596="","",'Data Source'!AA596)</f>
        <v/>
      </c>
      <c r="J596" s="9">
        <f>IF('Data Source'!B596="","",'Data Source'!AB596)</f>
        <v/>
      </c>
      <c r="K596" s="9">
        <f>IF('Data Source'!B596="","",'Data Source'!AC596)</f>
        <v/>
      </c>
      <c r="L596" s="9">
        <f>IF('Data Source'!B596="","",'Data Source'!AD596)</f>
        <v/>
      </c>
      <c r="M596" s="9">
        <f>IF('Data Source'!B596="","",'Data Source'!AE596)</f>
        <v/>
      </c>
      <c r="N596" s="9">
        <f>IF('Data Source'!B596="","",'Data Source'!AF596)</f>
        <v/>
      </c>
      <c r="O596" s="9">
        <f>IF('Data Source'!B596="","",'Data Source'!AG596)</f>
        <v/>
      </c>
      <c r="P596" s="5">
        <f>IF('Data Source'!B596="","",'Data Source'!R596)</f>
        <v/>
      </c>
      <c r="Q596" s="3">
        <f>IF('Data Source'!B596="","",'Data Source'!S596)</f>
        <v/>
      </c>
    </row>
    <row r="597">
      <c r="A597" s="3">
        <f>IF('Data Source'!B597="","",'Data Source'!A597)</f>
        <v/>
      </c>
      <c r="B597">
        <f>IF('Data Source'!B597="","",'Data Source'!B597)</f>
        <v/>
      </c>
      <c r="C597" s="9">
        <f>IF('Data Source'!B597="","",'Data Source'!U597)</f>
        <v/>
      </c>
      <c r="D597" s="9">
        <f>IF('Data Source'!B597="","",'Data Source'!V597)</f>
        <v/>
      </c>
      <c r="E597" s="9">
        <f>IF('Data Source'!B597="","",'Data Source'!W597)</f>
        <v/>
      </c>
      <c r="F597" s="9">
        <f>IF('Data Source'!B597="","",'Data Source'!X597)</f>
        <v/>
      </c>
      <c r="G597" s="9">
        <f>IF('Data Source'!B597="","",'Data Source'!Y597)</f>
        <v/>
      </c>
      <c r="H597" s="9">
        <f>IF('Data Source'!B597="","",'Data Source'!Z597)</f>
        <v/>
      </c>
      <c r="I597" s="9">
        <f>IF('Data Source'!B597="","",'Data Source'!AA597)</f>
        <v/>
      </c>
      <c r="J597" s="9">
        <f>IF('Data Source'!B597="","",'Data Source'!AB597)</f>
        <v/>
      </c>
      <c r="K597" s="9">
        <f>IF('Data Source'!B597="","",'Data Source'!AC597)</f>
        <v/>
      </c>
      <c r="L597" s="9">
        <f>IF('Data Source'!B597="","",'Data Source'!AD597)</f>
        <v/>
      </c>
      <c r="M597" s="9">
        <f>IF('Data Source'!B597="","",'Data Source'!AE597)</f>
        <v/>
      </c>
      <c r="N597" s="9">
        <f>IF('Data Source'!B597="","",'Data Source'!AF597)</f>
        <v/>
      </c>
      <c r="O597" s="9">
        <f>IF('Data Source'!B597="","",'Data Source'!AG597)</f>
        <v/>
      </c>
      <c r="P597" s="5">
        <f>IF('Data Source'!B597="","",'Data Source'!R597)</f>
        <v/>
      </c>
      <c r="Q597" s="3">
        <f>IF('Data Source'!B597="","",'Data Source'!S597)</f>
        <v/>
      </c>
    </row>
    <row r="598">
      <c r="A598" s="3">
        <f>IF('Data Source'!B598="","",'Data Source'!A598)</f>
        <v/>
      </c>
      <c r="B598">
        <f>IF('Data Source'!B598="","",'Data Source'!B598)</f>
        <v/>
      </c>
      <c r="C598" s="9">
        <f>IF('Data Source'!B598="","",'Data Source'!U598)</f>
        <v/>
      </c>
      <c r="D598" s="9">
        <f>IF('Data Source'!B598="","",'Data Source'!V598)</f>
        <v/>
      </c>
      <c r="E598" s="9">
        <f>IF('Data Source'!B598="","",'Data Source'!W598)</f>
        <v/>
      </c>
      <c r="F598" s="9">
        <f>IF('Data Source'!B598="","",'Data Source'!X598)</f>
        <v/>
      </c>
      <c r="G598" s="9">
        <f>IF('Data Source'!B598="","",'Data Source'!Y598)</f>
        <v/>
      </c>
      <c r="H598" s="9">
        <f>IF('Data Source'!B598="","",'Data Source'!Z598)</f>
        <v/>
      </c>
      <c r="I598" s="9">
        <f>IF('Data Source'!B598="","",'Data Source'!AA598)</f>
        <v/>
      </c>
      <c r="J598" s="9">
        <f>IF('Data Source'!B598="","",'Data Source'!AB598)</f>
        <v/>
      </c>
      <c r="K598" s="9">
        <f>IF('Data Source'!B598="","",'Data Source'!AC598)</f>
        <v/>
      </c>
      <c r="L598" s="9">
        <f>IF('Data Source'!B598="","",'Data Source'!AD598)</f>
        <v/>
      </c>
      <c r="M598" s="9">
        <f>IF('Data Source'!B598="","",'Data Source'!AE598)</f>
        <v/>
      </c>
      <c r="N598" s="9">
        <f>IF('Data Source'!B598="","",'Data Source'!AF598)</f>
        <v/>
      </c>
      <c r="O598" s="9">
        <f>IF('Data Source'!B598="","",'Data Source'!AG598)</f>
        <v/>
      </c>
      <c r="P598" s="5">
        <f>IF('Data Source'!B598="","",'Data Source'!R598)</f>
        <v/>
      </c>
      <c r="Q598" s="3">
        <f>IF('Data Source'!B598="","",'Data Source'!S598)</f>
        <v/>
      </c>
    </row>
    <row r="599">
      <c r="A599" s="3">
        <f>IF('Data Source'!B599="","",'Data Source'!A599)</f>
        <v/>
      </c>
      <c r="B599">
        <f>IF('Data Source'!B599="","",'Data Source'!B599)</f>
        <v/>
      </c>
      <c r="C599" s="9">
        <f>IF('Data Source'!B599="","",'Data Source'!U599)</f>
        <v/>
      </c>
      <c r="D599" s="9">
        <f>IF('Data Source'!B599="","",'Data Source'!V599)</f>
        <v/>
      </c>
      <c r="E599" s="9">
        <f>IF('Data Source'!B599="","",'Data Source'!W599)</f>
        <v/>
      </c>
      <c r="F599" s="9">
        <f>IF('Data Source'!B599="","",'Data Source'!X599)</f>
        <v/>
      </c>
      <c r="G599" s="9">
        <f>IF('Data Source'!B599="","",'Data Source'!Y599)</f>
        <v/>
      </c>
      <c r="H599" s="9">
        <f>IF('Data Source'!B599="","",'Data Source'!Z599)</f>
        <v/>
      </c>
      <c r="I599" s="9">
        <f>IF('Data Source'!B599="","",'Data Source'!AA599)</f>
        <v/>
      </c>
      <c r="J599" s="9">
        <f>IF('Data Source'!B599="","",'Data Source'!AB599)</f>
        <v/>
      </c>
      <c r="K599" s="9">
        <f>IF('Data Source'!B599="","",'Data Source'!AC599)</f>
        <v/>
      </c>
      <c r="L599" s="9">
        <f>IF('Data Source'!B599="","",'Data Source'!AD599)</f>
        <v/>
      </c>
      <c r="M599" s="9">
        <f>IF('Data Source'!B599="","",'Data Source'!AE599)</f>
        <v/>
      </c>
      <c r="N599" s="9">
        <f>IF('Data Source'!B599="","",'Data Source'!AF599)</f>
        <v/>
      </c>
      <c r="O599" s="9">
        <f>IF('Data Source'!B599="","",'Data Source'!AG599)</f>
        <v/>
      </c>
      <c r="P599" s="5">
        <f>IF('Data Source'!B599="","",'Data Source'!R599)</f>
        <v/>
      </c>
      <c r="Q599" s="3">
        <f>IF('Data Source'!B599="","",'Data Source'!S599)</f>
        <v/>
      </c>
    </row>
    <row r="600">
      <c r="A600" s="3">
        <f>IF('Data Source'!B600="","",'Data Source'!A600)</f>
        <v/>
      </c>
      <c r="B600">
        <f>IF('Data Source'!B600="","",'Data Source'!B600)</f>
        <v/>
      </c>
      <c r="C600" s="9">
        <f>IF('Data Source'!B600="","",'Data Source'!U600)</f>
        <v/>
      </c>
      <c r="D600" s="9">
        <f>IF('Data Source'!B600="","",'Data Source'!V600)</f>
        <v/>
      </c>
      <c r="E600" s="9">
        <f>IF('Data Source'!B600="","",'Data Source'!W600)</f>
        <v/>
      </c>
      <c r="F600" s="9">
        <f>IF('Data Source'!B600="","",'Data Source'!X600)</f>
        <v/>
      </c>
      <c r="G600" s="9">
        <f>IF('Data Source'!B600="","",'Data Source'!Y600)</f>
        <v/>
      </c>
      <c r="H600" s="9">
        <f>IF('Data Source'!B600="","",'Data Source'!Z600)</f>
        <v/>
      </c>
      <c r="I600" s="9">
        <f>IF('Data Source'!B600="","",'Data Source'!AA600)</f>
        <v/>
      </c>
      <c r="J600" s="9">
        <f>IF('Data Source'!B600="","",'Data Source'!AB600)</f>
        <v/>
      </c>
      <c r="K600" s="9">
        <f>IF('Data Source'!B600="","",'Data Source'!AC600)</f>
        <v/>
      </c>
      <c r="L600" s="9">
        <f>IF('Data Source'!B600="","",'Data Source'!AD600)</f>
        <v/>
      </c>
      <c r="M600" s="9">
        <f>IF('Data Source'!B600="","",'Data Source'!AE600)</f>
        <v/>
      </c>
      <c r="N600" s="9">
        <f>IF('Data Source'!B600="","",'Data Source'!AF600)</f>
        <v/>
      </c>
      <c r="O600" s="9">
        <f>IF('Data Source'!B600="","",'Data Source'!AG600)</f>
        <v/>
      </c>
      <c r="P600" s="5">
        <f>IF('Data Source'!B600="","",'Data Source'!R600)</f>
        <v/>
      </c>
      <c r="Q600" s="3">
        <f>IF('Data Source'!B600="","",'Data Source'!S600)</f>
        <v/>
      </c>
    </row>
    <row r="601">
      <c r="A601" s="3">
        <f>IF('Data Source'!B601="","",'Data Source'!A601)</f>
        <v/>
      </c>
      <c r="B601">
        <f>IF('Data Source'!B601="","",'Data Source'!B601)</f>
        <v/>
      </c>
      <c r="C601" s="9">
        <f>IF('Data Source'!B601="","",'Data Source'!U601)</f>
        <v/>
      </c>
      <c r="D601" s="9">
        <f>IF('Data Source'!B601="","",'Data Source'!V601)</f>
        <v/>
      </c>
      <c r="E601" s="9">
        <f>IF('Data Source'!B601="","",'Data Source'!W601)</f>
        <v/>
      </c>
      <c r="F601" s="9">
        <f>IF('Data Source'!B601="","",'Data Source'!X601)</f>
        <v/>
      </c>
      <c r="G601" s="9">
        <f>IF('Data Source'!B601="","",'Data Source'!Y601)</f>
        <v/>
      </c>
      <c r="H601" s="9">
        <f>IF('Data Source'!B601="","",'Data Source'!Z601)</f>
        <v/>
      </c>
      <c r="I601" s="9">
        <f>IF('Data Source'!B601="","",'Data Source'!AA601)</f>
        <v/>
      </c>
      <c r="J601" s="9">
        <f>IF('Data Source'!B601="","",'Data Source'!AB601)</f>
        <v/>
      </c>
      <c r="K601" s="9">
        <f>IF('Data Source'!B601="","",'Data Source'!AC601)</f>
        <v/>
      </c>
      <c r="L601" s="9">
        <f>IF('Data Source'!B601="","",'Data Source'!AD601)</f>
        <v/>
      </c>
      <c r="M601" s="9">
        <f>IF('Data Source'!B601="","",'Data Source'!AE601)</f>
        <v/>
      </c>
      <c r="N601" s="9">
        <f>IF('Data Source'!B601="","",'Data Source'!AF601)</f>
        <v/>
      </c>
      <c r="O601" s="9">
        <f>IF('Data Source'!B601="","",'Data Source'!AG601)</f>
        <v/>
      </c>
      <c r="P601" s="5">
        <f>IF('Data Source'!B601="","",'Data Source'!R601)</f>
        <v/>
      </c>
      <c r="Q601" s="3">
        <f>IF('Data Source'!B601="","",'Data Source'!S601)</f>
        <v/>
      </c>
    </row>
    <row r="602">
      <c r="A602" s="3">
        <f>IF('Data Source'!B602="","",'Data Source'!A602)</f>
        <v/>
      </c>
      <c r="B602">
        <f>IF('Data Source'!B602="","",'Data Source'!B602)</f>
        <v/>
      </c>
      <c r="C602" s="9">
        <f>IF('Data Source'!B602="","",'Data Source'!U602)</f>
        <v/>
      </c>
      <c r="D602" s="9">
        <f>IF('Data Source'!B602="","",'Data Source'!V602)</f>
        <v/>
      </c>
      <c r="E602" s="9">
        <f>IF('Data Source'!B602="","",'Data Source'!W602)</f>
        <v/>
      </c>
      <c r="F602" s="9">
        <f>IF('Data Source'!B602="","",'Data Source'!X602)</f>
        <v/>
      </c>
      <c r="G602" s="9">
        <f>IF('Data Source'!B602="","",'Data Source'!Y602)</f>
        <v/>
      </c>
      <c r="H602" s="9">
        <f>IF('Data Source'!B602="","",'Data Source'!Z602)</f>
        <v/>
      </c>
      <c r="I602" s="9">
        <f>IF('Data Source'!B602="","",'Data Source'!AA602)</f>
        <v/>
      </c>
      <c r="J602" s="9">
        <f>IF('Data Source'!B602="","",'Data Source'!AB602)</f>
        <v/>
      </c>
      <c r="K602" s="9">
        <f>IF('Data Source'!B602="","",'Data Source'!AC602)</f>
        <v/>
      </c>
      <c r="L602" s="9">
        <f>IF('Data Source'!B602="","",'Data Source'!AD602)</f>
        <v/>
      </c>
      <c r="M602" s="9">
        <f>IF('Data Source'!B602="","",'Data Source'!AE602)</f>
        <v/>
      </c>
      <c r="N602" s="9">
        <f>IF('Data Source'!B602="","",'Data Source'!AF602)</f>
        <v/>
      </c>
      <c r="O602" s="9">
        <f>IF('Data Source'!B602="","",'Data Source'!AG602)</f>
        <v/>
      </c>
      <c r="P602" s="5">
        <f>IF('Data Source'!B602="","",'Data Source'!R602)</f>
        <v/>
      </c>
      <c r="Q602" s="3">
        <f>IF('Data Source'!B602="","",'Data Source'!S602)</f>
        <v/>
      </c>
    </row>
    <row r="603">
      <c r="A603" s="3">
        <f>IF('Data Source'!B603="","",'Data Source'!A603)</f>
        <v/>
      </c>
      <c r="B603">
        <f>IF('Data Source'!B603="","",'Data Source'!B603)</f>
        <v/>
      </c>
      <c r="C603" s="9">
        <f>IF('Data Source'!B603="","",'Data Source'!U603)</f>
        <v/>
      </c>
      <c r="D603" s="9">
        <f>IF('Data Source'!B603="","",'Data Source'!V603)</f>
        <v/>
      </c>
      <c r="E603" s="9">
        <f>IF('Data Source'!B603="","",'Data Source'!W603)</f>
        <v/>
      </c>
      <c r="F603" s="9">
        <f>IF('Data Source'!B603="","",'Data Source'!X603)</f>
        <v/>
      </c>
      <c r="G603" s="9">
        <f>IF('Data Source'!B603="","",'Data Source'!Y603)</f>
        <v/>
      </c>
      <c r="H603" s="9">
        <f>IF('Data Source'!B603="","",'Data Source'!Z603)</f>
        <v/>
      </c>
      <c r="I603" s="9">
        <f>IF('Data Source'!B603="","",'Data Source'!AA603)</f>
        <v/>
      </c>
      <c r="J603" s="9">
        <f>IF('Data Source'!B603="","",'Data Source'!AB603)</f>
        <v/>
      </c>
      <c r="K603" s="9">
        <f>IF('Data Source'!B603="","",'Data Source'!AC603)</f>
        <v/>
      </c>
      <c r="L603" s="9">
        <f>IF('Data Source'!B603="","",'Data Source'!AD603)</f>
        <v/>
      </c>
      <c r="M603" s="9">
        <f>IF('Data Source'!B603="","",'Data Source'!AE603)</f>
        <v/>
      </c>
      <c r="N603" s="9">
        <f>IF('Data Source'!B603="","",'Data Source'!AF603)</f>
        <v/>
      </c>
      <c r="O603" s="9">
        <f>IF('Data Source'!B603="","",'Data Source'!AG603)</f>
        <v/>
      </c>
      <c r="P603" s="5">
        <f>IF('Data Source'!B603="","",'Data Source'!R603)</f>
        <v/>
      </c>
      <c r="Q603" s="3">
        <f>IF('Data Source'!B603="","",'Data Source'!S603)</f>
        <v/>
      </c>
    </row>
    <row r="604">
      <c r="A604" s="3">
        <f>IF('Data Source'!B604="","",'Data Source'!A604)</f>
        <v/>
      </c>
      <c r="B604">
        <f>IF('Data Source'!B604="","",'Data Source'!B604)</f>
        <v/>
      </c>
      <c r="C604" s="9">
        <f>IF('Data Source'!B604="","",'Data Source'!U604)</f>
        <v/>
      </c>
      <c r="D604" s="9">
        <f>IF('Data Source'!B604="","",'Data Source'!V604)</f>
        <v/>
      </c>
      <c r="E604" s="9">
        <f>IF('Data Source'!B604="","",'Data Source'!W604)</f>
        <v/>
      </c>
      <c r="F604" s="9">
        <f>IF('Data Source'!B604="","",'Data Source'!X604)</f>
        <v/>
      </c>
      <c r="G604" s="9">
        <f>IF('Data Source'!B604="","",'Data Source'!Y604)</f>
        <v/>
      </c>
      <c r="H604" s="9">
        <f>IF('Data Source'!B604="","",'Data Source'!Z604)</f>
        <v/>
      </c>
      <c r="I604" s="9">
        <f>IF('Data Source'!B604="","",'Data Source'!AA604)</f>
        <v/>
      </c>
      <c r="J604" s="9">
        <f>IF('Data Source'!B604="","",'Data Source'!AB604)</f>
        <v/>
      </c>
      <c r="K604" s="9">
        <f>IF('Data Source'!B604="","",'Data Source'!AC604)</f>
        <v/>
      </c>
      <c r="L604" s="9">
        <f>IF('Data Source'!B604="","",'Data Source'!AD604)</f>
        <v/>
      </c>
      <c r="M604" s="9">
        <f>IF('Data Source'!B604="","",'Data Source'!AE604)</f>
        <v/>
      </c>
      <c r="N604" s="9">
        <f>IF('Data Source'!B604="","",'Data Source'!AF604)</f>
        <v/>
      </c>
      <c r="O604" s="9">
        <f>IF('Data Source'!B604="","",'Data Source'!AG604)</f>
        <v/>
      </c>
      <c r="P604" s="5">
        <f>IF('Data Source'!B604="","",'Data Source'!R604)</f>
        <v/>
      </c>
      <c r="Q604" s="3">
        <f>IF('Data Source'!B604="","",'Data Source'!S604)</f>
        <v/>
      </c>
    </row>
    <row r="605">
      <c r="A605" s="3">
        <f>IF('Data Source'!B605="","",'Data Source'!A605)</f>
        <v/>
      </c>
      <c r="B605">
        <f>IF('Data Source'!B605="","",'Data Source'!B605)</f>
        <v/>
      </c>
      <c r="C605" s="9">
        <f>IF('Data Source'!B605="","",'Data Source'!U605)</f>
        <v/>
      </c>
      <c r="D605" s="9">
        <f>IF('Data Source'!B605="","",'Data Source'!V605)</f>
        <v/>
      </c>
      <c r="E605" s="9">
        <f>IF('Data Source'!B605="","",'Data Source'!W605)</f>
        <v/>
      </c>
      <c r="F605" s="9">
        <f>IF('Data Source'!B605="","",'Data Source'!X605)</f>
        <v/>
      </c>
      <c r="G605" s="9">
        <f>IF('Data Source'!B605="","",'Data Source'!Y605)</f>
        <v/>
      </c>
      <c r="H605" s="9">
        <f>IF('Data Source'!B605="","",'Data Source'!Z605)</f>
        <v/>
      </c>
      <c r="I605" s="9">
        <f>IF('Data Source'!B605="","",'Data Source'!AA605)</f>
        <v/>
      </c>
      <c r="J605" s="9">
        <f>IF('Data Source'!B605="","",'Data Source'!AB605)</f>
        <v/>
      </c>
      <c r="K605" s="9">
        <f>IF('Data Source'!B605="","",'Data Source'!AC605)</f>
        <v/>
      </c>
      <c r="L605" s="9">
        <f>IF('Data Source'!B605="","",'Data Source'!AD605)</f>
        <v/>
      </c>
      <c r="M605" s="9">
        <f>IF('Data Source'!B605="","",'Data Source'!AE605)</f>
        <v/>
      </c>
      <c r="N605" s="9">
        <f>IF('Data Source'!B605="","",'Data Source'!AF605)</f>
        <v/>
      </c>
      <c r="O605" s="9">
        <f>IF('Data Source'!B605="","",'Data Source'!AG605)</f>
        <v/>
      </c>
      <c r="P605" s="5">
        <f>IF('Data Source'!B605="","",'Data Source'!R605)</f>
        <v/>
      </c>
      <c r="Q605" s="3">
        <f>IF('Data Source'!B605="","",'Data Source'!S605)</f>
        <v/>
      </c>
    </row>
    <row r="606">
      <c r="A606" s="3">
        <f>IF('Data Source'!B606="","",'Data Source'!A606)</f>
        <v/>
      </c>
      <c r="B606">
        <f>IF('Data Source'!B606="","",'Data Source'!B606)</f>
        <v/>
      </c>
      <c r="C606" s="9">
        <f>IF('Data Source'!B606="","",'Data Source'!U606)</f>
        <v/>
      </c>
      <c r="D606" s="9">
        <f>IF('Data Source'!B606="","",'Data Source'!V606)</f>
        <v/>
      </c>
      <c r="E606" s="9">
        <f>IF('Data Source'!B606="","",'Data Source'!W606)</f>
        <v/>
      </c>
      <c r="F606" s="9">
        <f>IF('Data Source'!B606="","",'Data Source'!X606)</f>
        <v/>
      </c>
      <c r="G606" s="9">
        <f>IF('Data Source'!B606="","",'Data Source'!Y606)</f>
        <v/>
      </c>
      <c r="H606" s="9">
        <f>IF('Data Source'!B606="","",'Data Source'!Z606)</f>
        <v/>
      </c>
      <c r="I606" s="9">
        <f>IF('Data Source'!B606="","",'Data Source'!AA606)</f>
        <v/>
      </c>
      <c r="J606" s="9">
        <f>IF('Data Source'!B606="","",'Data Source'!AB606)</f>
        <v/>
      </c>
      <c r="K606" s="9">
        <f>IF('Data Source'!B606="","",'Data Source'!AC606)</f>
        <v/>
      </c>
      <c r="L606" s="9">
        <f>IF('Data Source'!B606="","",'Data Source'!AD606)</f>
        <v/>
      </c>
      <c r="M606" s="9">
        <f>IF('Data Source'!B606="","",'Data Source'!AE606)</f>
        <v/>
      </c>
      <c r="N606" s="9">
        <f>IF('Data Source'!B606="","",'Data Source'!AF606)</f>
        <v/>
      </c>
      <c r="O606" s="9">
        <f>IF('Data Source'!B606="","",'Data Source'!AG606)</f>
        <v/>
      </c>
      <c r="P606" s="5">
        <f>IF('Data Source'!B606="","",'Data Source'!R606)</f>
        <v/>
      </c>
      <c r="Q606" s="3">
        <f>IF('Data Source'!B606="","",'Data Source'!S606)</f>
        <v/>
      </c>
    </row>
    <row r="607">
      <c r="A607" s="3">
        <f>IF('Data Source'!B607="","",'Data Source'!A607)</f>
        <v/>
      </c>
      <c r="B607">
        <f>IF('Data Source'!B607="","",'Data Source'!B607)</f>
        <v/>
      </c>
      <c r="C607" s="9">
        <f>IF('Data Source'!B607="","",'Data Source'!U607)</f>
        <v/>
      </c>
      <c r="D607" s="9">
        <f>IF('Data Source'!B607="","",'Data Source'!V607)</f>
        <v/>
      </c>
      <c r="E607" s="9">
        <f>IF('Data Source'!B607="","",'Data Source'!W607)</f>
        <v/>
      </c>
      <c r="F607" s="9">
        <f>IF('Data Source'!B607="","",'Data Source'!X607)</f>
        <v/>
      </c>
      <c r="G607" s="9">
        <f>IF('Data Source'!B607="","",'Data Source'!Y607)</f>
        <v/>
      </c>
      <c r="H607" s="9">
        <f>IF('Data Source'!B607="","",'Data Source'!Z607)</f>
        <v/>
      </c>
      <c r="I607" s="9">
        <f>IF('Data Source'!B607="","",'Data Source'!AA607)</f>
        <v/>
      </c>
      <c r="J607" s="9">
        <f>IF('Data Source'!B607="","",'Data Source'!AB607)</f>
        <v/>
      </c>
      <c r="K607" s="9">
        <f>IF('Data Source'!B607="","",'Data Source'!AC607)</f>
        <v/>
      </c>
      <c r="L607" s="9">
        <f>IF('Data Source'!B607="","",'Data Source'!AD607)</f>
        <v/>
      </c>
      <c r="M607" s="9">
        <f>IF('Data Source'!B607="","",'Data Source'!AE607)</f>
        <v/>
      </c>
      <c r="N607" s="9">
        <f>IF('Data Source'!B607="","",'Data Source'!AF607)</f>
        <v/>
      </c>
      <c r="O607" s="9">
        <f>IF('Data Source'!B607="","",'Data Source'!AG607)</f>
        <v/>
      </c>
      <c r="P607" s="5">
        <f>IF('Data Source'!B607="","",'Data Source'!R607)</f>
        <v/>
      </c>
      <c r="Q607" s="3">
        <f>IF('Data Source'!B607="","",'Data Source'!S607)</f>
        <v/>
      </c>
    </row>
    <row r="608">
      <c r="A608" s="3">
        <f>IF('Data Source'!B608="","",'Data Source'!A608)</f>
        <v/>
      </c>
      <c r="B608">
        <f>IF('Data Source'!B608="","",'Data Source'!B608)</f>
        <v/>
      </c>
      <c r="C608" s="9">
        <f>IF('Data Source'!B608="","",'Data Source'!U608)</f>
        <v/>
      </c>
      <c r="D608" s="9">
        <f>IF('Data Source'!B608="","",'Data Source'!V608)</f>
        <v/>
      </c>
      <c r="E608" s="9">
        <f>IF('Data Source'!B608="","",'Data Source'!W608)</f>
        <v/>
      </c>
      <c r="F608" s="9">
        <f>IF('Data Source'!B608="","",'Data Source'!X608)</f>
        <v/>
      </c>
      <c r="G608" s="9">
        <f>IF('Data Source'!B608="","",'Data Source'!Y608)</f>
        <v/>
      </c>
      <c r="H608" s="9">
        <f>IF('Data Source'!B608="","",'Data Source'!Z608)</f>
        <v/>
      </c>
      <c r="I608" s="9">
        <f>IF('Data Source'!B608="","",'Data Source'!AA608)</f>
        <v/>
      </c>
      <c r="J608" s="9">
        <f>IF('Data Source'!B608="","",'Data Source'!AB608)</f>
        <v/>
      </c>
      <c r="K608" s="9">
        <f>IF('Data Source'!B608="","",'Data Source'!AC608)</f>
        <v/>
      </c>
      <c r="L608" s="9">
        <f>IF('Data Source'!B608="","",'Data Source'!AD608)</f>
        <v/>
      </c>
      <c r="M608" s="9">
        <f>IF('Data Source'!B608="","",'Data Source'!AE608)</f>
        <v/>
      </c>
      <c r="N608" s="9">
        <f>IF('Data Source'!B608="","",'Data Source'!AF608)</f>
        <v/>
      </c>
      <c r="O608" s="9">
        <f>IF('Data Source'!B608="","",'Data Source'!AG608)</f>
        <v/>
      </c>
      <c r="P608" s="5">
        <f>IF('Data Source'!B608="","",'Data Source'!R608)</f>
        <v/>
      </c>
      <c r="Q608" s="3">
        <f>IF('Data Source'!B608="","",'Data Source'!S608)</f>
        <v/>
      </c>
    </row>
    <row r="609">
      <c r="A609" s="3">
        <f>IF('Data Source'!B609="","",'Data Source'!A609)</f>
        <v/>
      </c>
      <c r="B609">
        <f>IF('Data Source'!B609="","",'Data Source'!B609)</f>
        <v/>
      </c>
      <c r="C609" s="9">
        <f>IF('Data Source'!B609="","",'Data Source'!U609)</f>
        <v/>
      </c>
      <c r="D609" s="9">
        <f>IF('Data Source'!B609="","",'Data Source'!V609)</f>
        <v/>
      </c>
      <c r="E609" s="9">
        <f>IF('Data Source'!B609="","",'Data Source'!W609)</f>
        <v/>
      </c>
      <c r="F609" s="9">
        <f>IF('Data Source'!B609="","",'Data Source'!X609)</f>
        <v/>
      </c>
      <c r="G609" s="9">
        <f>IF('Data Source'!B609="","",'Data Source'!Y609)</f>
        <v/>
      </c>
      <c r="H609" s="9">
        <f>IF('Data Source'!B609="","",'Data Source'!Z609)</f>
        <v/>
      </c>
      <c r="I609" s="9">
        <f>IF('Data Source'!B609="","",'Data Source'!AA609)</f>
        <v/>
      </c>
      <c r="J609" s="9">
        <f>IF('Data Source'!B609="","",'Data Source'!AB609)</f>
        <v/>
      </c>
      <c r="K609" s="9">
        <f>IF('Data Source'!B609="","",'Data Source'!AC609)</f>
        <v/>
      </c>
      <c r="L609" s="9">
        <f>IF('Data Source'!B609="","",'Data Source'!AD609)</f>
        <v/>
      </c>
      <c r="M609" s="9">
        <f>IF('Data Source'!B609="","",'Data Source'!AE609)</f>
        <v/>
      </c>
      <c r="N609" s="9">
        <f>IF('Data Source'!B609="","",'Data Source'!AF609)</f>
        <v/>
      </c>
      <c r="O609" s="9">
        <f>IF('Data Source'!B609="","",'Data Source'!AG609)</f>
        <v/>
      </c>
      <c r="P609" s="5">
        <f>IF('Data Source'!B609="","",'Data Source'!R609)</f>
        <v/>
      </c>
      <c r="Q609" s="3">
        <f>IF('Data Source'!B609="","",'Data Source'!S609)</f>
        <v/>
      </c>
    </row>
    <row r="610">
      <c r="A610" s="3">
        <f>IF('Data Source'!B610="","",'Data Source'!A610)</f>
        <v/>
      </c>
      <c r="B610">
        <f>IF('Data Source'!B610="","",'Data Source'!B610)</f>
        <v/>
      </c>
      <c r="C610" s="9">
        <f>IF('Data Source'!B610="","",'Data Source'!U610)</f>
        <v/>
      </c>
      <c r="D610" s="9">
        <f>IF('Data Source'!B610="","",'Data Source'!V610)</f>
        <v/>
      </c>
      <c r="E610" s="9">
        <f>IF('Data Source'!B610="","",'Data Source'!W610)</f>
        <v/>
      </c>
      <c r="F610" s="9">
        <f>IF('Data Source'!B610="","",'Data Source'!X610)</f>
        <v/>
      </c>
      <c r="G610" s="9">
        <f>IF('Data Source'!B610="","",'Data Source'!Y610)</f>
        <v/>
      </c>
      <c r="H610" s="9">
        <f>IF('Data Source'!B610="","",'Data Source'!Z610)</f>
        <v/>
      </c>
      <c r="I610" s="9">
        <f>IF('Data Source'!B610="","",'Data Source'!AA610)</f>
        <v/>
      </c>
      <c r="J610" s="9">
        <f>IF('Data Source'!B610="","",'Data Source'!AB610)</f>
        <v/>
      </c>
      <c r="K610" s="9">
        <f>IF('Data Source'!B610="","",'Data Source'!AC610)</f>
        <v/>
      </c>
      <c r="L610" s="9">
        <f>IF('Data Source'!B610="","",'Data Source'!AD610)</f>
        <v/>
      </c>
      <c r="M610" s="9">
        <f>IF('Data Source'!B610="","",'Data Source'!AE610)</f>
        <v/>
      </c>
      <c r="N610" s="9">
        <f>IF('Data Source'!B610="","",'Data Source'!AF610)</f>
        <v/>
      </c>
      <c r="O610" s="9">
        <f>IF('Data Source'!B610="","",'Data Source'!AG610)</f>
        <v/>
      </c>
      <c r="P610" s="5">
        <f>IF('Data Source'!B610="","",'Data Source'!R610)</f>
        <v/>
      </c>
      <c r="Q610" s="3">
        <f>IF('Data Source'!B610="","",'Data Source'!S610)</f>
        <v/>
      </c>
    </row>
    <row r="611">
      <c r="A611" s="3">
        <f>IF('Data Source'!B611="","",'Data Source'!A611)</f>
        <v/>
      </c>
      <c r="B611">
        <f>IF('Data Source'!B611="","",'Data Source'!B611)</f>
        <v/>
      </c>
      <c r="C611" s="9">
        <f>IF('Data Source'!B611="","",'Data Source'!U611)</f>
        <v/>
      </c>
      <c r="D611" s="9">
        <f>IF('Data Source'!B611="","",'Data Source'!V611)</f>
        <v/>
      </c>
      <c r="E611" s="9">
        <f>IF('Data Source'!B611="","",'Data Source'!W611)</f>
        <v/>
      </c>
      <c r="F611" s="9">
        <f>IF('Data Source'!B611="","",'Data Source'!X611)</f>
        <v/>
      </c>
      <c r="G611" s="9">
        <f>IF('Data Source'!B611="","",'Data Source'!Y611)</f>
        <v/>
      </c>
      <c r="H611" s="9">
        <f>IF('Data Source'!B611="","",'Data Source'!Z611)</f>
        <v/>
      </c>
      <c r="I611" s="9">
        <f>IF('Data Source'!B611="","",'Data Source'!AA611)</f>
        <v/>
      </c>
      <c r="J611" s="9">
        <f>IF('Data Source'!B611="","",'Data Source'!AB611)</f>
        <v/>
      </c>
      <c r="K611" s="9">
        <f>IF('Data Source'!B611="","",'Data Source'!AC611)</f>
        <v/>
      </c>
      <c r="L611" s="9">
        <f>IF('Data Source'!B611="","",'Data Source'!AD611)</f>
        <v/>
      </c>
      <c r="M611" s="9">
        <f>IF('Data Source'!B611="","",'Data Source'!AE611)</f>
        <v/>
      </c>
      <c r="N611" s="9">
        <f>IF('Data Source'!B611="","",'Data Source'!AF611)</f>
        <v/>
      </c>
      <c r="O611" s="9">
        <f>IF('Data Source'!B611="","",'Data Source'!AG611)</f>
        <v/>
      </c>
      <c r="P611" s="5">
        <f>IF('Data Source'!B611="","",'Data Source'!R611)</f>
        <v/>
      </c>
      <c r="Q611" s="3">
        <f>IF('Data Source'!B611="","",'Data Source'!S611)</f>
        <v/>
      </c>
    </row>
    <row r="612">
      <c r="A612" s="3">
        <f>IF('Data Source'!B612="","",'Data Source'!A612)</f>
        <v/>
      </c>
      <c r="B612">
        <f>IF('Data Source'!B612="","",'Data Source'!B612)</f>
        <v/>
      </c>
      <c r="C612" s="9">
        <f>IF('Data Source'!B612="","",'Data Source'!U612)</f>
        <v/>
      </c>
      <c r="D612" s="9">
        <f>IF('Data Source'!B612="","",'Data Source'!V612)</f>
        <v/>
      </c>
      <c r="E612" s="9">
        <f>IF('Data Source'!B612="","",'Data Source'!W612)</f>
        <v/>
      </c>
      <c r="F612" s="9">
        <f>IF('Data Source'!B612="","",'Data Source'!X612)</f>
        <v/>
      </c>
      <c r="G612" s="9">
        <f>IF('Data Source'!B612="","",'Data Source'!Y612)</f>
        <v/>
      </c>
      <c r="H612" s="9">
        <f>IF('Data Source'!B612="","",'Data Source'!Z612)</f>
        <v/>
      </c>
      <c r="I612" s="9">
        <f>IF('Data Source'!B612="","",'Data Source'!AA612)</f>
        <v/>
      </c>
      <c r="J612" s="9">
        <f>IF('Data Source'!B612="","",'Data Source'!AB612)</f>
        <v/>
      </c>
      <c r="K612" s="9">
        <f>IF('Data Source'!B612="","",'Data Source'!AC612)</f>
        <v/>
      </c>
      <c r="L612" s="9">
        <f>IF('Data Source'!B612="","",'Data Source'!AD612)</f>
        <v/>
      </c>
      <c r="M612" s="9">
        <f>IF('Data Source'!B612="","",'Data Source'!AE612)</f>
        <v/>
      </c>
      <c r="N612" s="9">
        <f>IF('Data Source'!B612="","",'Data Source'!AF612)</f>
        <v/>
      </c>
      <c r="O612" s="9">
        <f>IF('Data Source'!B612="","",'Data Source'!AG612)</f>
        <v/>
      </c>
      <c r="P612" s="5">
        <f>IF('Data Source'!B612="","",'Data Source'!R612)</f>
        <v/>
      </c>
      <c r="Q612" s="3">
        <f>IF('Data Source'!B612="","",'Data Source'!S612)</f>
        <v/>
      </c>
    </row>
    <row r="613">
      <c r="A613" s="3">
        <f>IF('Data Source'!B613="","",'Data Source'!A613)</f>
        <v/>
      </c>
      <c r="B613">
        <f>IF('Data Source'!B613="","",'Data Source'!B613)</f>
        <v/>
      </c>
      <c r="C613" s="9">
        <f>IF('Data Source'!B613="","",'Data Source'!U613)</f>
        <v/>
      </c>
      <c r="D613" s="9">
        <f>IF('Data Source'!B613="","",'Data Source'!V613)</f>
        <v/>
      </c>
      <c r="E613" s="9">
        <f>IF('Data Source'!B613="","",'Data Source'!W613)</f>
        <v/>
      </c>
      <c r="F613" s="9">
        <f>IF('Data Source'!B613="","",'Data Source'!X613)</f>
        <v/>
      </c>
      <c r="G613" s="9">
        <f>IF('Data Source'!B613="","",'Data Source'!Y613)</f>
        <v/>
      </c>
      <c r="H613" s="9">
        <f>IF('Data Source'!B613="","",'Data Source'!Z613)</f>
        <v/>
      </c>
      <c r="I613" s="9">
        <f>IF('Data Source'!B613="","",'Data Source'!AA613)</f>
        <v/>
      </c>
      <c r="J613" s="9">
        <f>IF('Data Source'!B613="","",'Data Source'!AB613)</f>
        <v/>
      </c>
      <c r="K613" s="9">
        <f>IF('Data Source'!B613="","",'Data Source'!AC613)</f>
        <v/>
      </c>
      <c r="L613" s="9">
        <f>IF('Data Source'!B613="","",'Data Source'!AD613)</f>
        <v/>
      </c>
      <c r="M613" s="9">
        <f>IF('Data Source'!B613="","",'Data Source'!AE613)</f>
        <v/>
      </c>
      <c r="N613" s="9">
        <f>IF('Data Source'!B613="","",'Data Source'!AF613)</f>
        <v/>
      </c>
      <c r="O613" s="9">
        <f>IF('Data Source'!B613="","",'Data Source'!AG613)</f>
        <v/>
      </c>
      <c r="P613" s="5">
        <f>IF('Data Source'!B613="","",'Data Source'!R613)</f>
        <v/>
      </c>
      <c r="Q613" s="3">
        <f>IF('Data Source'!B613="","",'Data Source'!S613)</f>
        <v/>
      </c>
    </row>
    <row r="614">
      <c r="A614" s="3">
        <f>IF('Data Source'!B614="","",'Data Source'!A614)</f>
        <v/>
      </c>
      <c r="B614">
        <f>IF('Data Source'!B614="","",'Data Source'!B614)</f>
        <v/>
      </c>
      <c r="C614" s="9">
        <f>IF('Data Source'!B614="","",'Data Source'!U614)</f>
        <v/>
      </c>
      <c r="D614" s="9">
        <f>IF('Data Source'!B614="","",'Data Source'!V614)</f>
        <v/>
      </c>
      <c r="E614" s="9">
        <f>IF('Data Source'!B614="","",'Data Source'!W614)</f>
        <v/>
      </c>
      <c r="F614" s="9">
        <f>IF('Data Source'!B614="","",'Data Source'!X614)</f>
        <v/>
      </c>
      <c r="G614" s="9">
        <f>IF('Data Source'!B614="","",'Data Source'!Y614)</f>
        <v/>
      </c>
      <c r="H614" s="9">
        <f>IF('Data Source'!B614="","",'Data Source'!Z614)</f>
        <v/>
      </c>
      <c r="I614" s="9">
        <f>IF('Data Source'!B614="","",'Data Source'!AA614)</f>
        <v/>
      </c>
      <c r="J614" s="9">
        <f>IF('Data Source'!B614="","",'Data Source'!AB614)</f>
        <v/>
      </c>
      <c r="K614" s="9">
        <f>IF('Data Source'!B614="","",'Data Source'!AC614)</f>
        <v/>
      </c>
      <c r="L614" s="9">
        <f>IF('Data Source'!B614="","",'Data Source'!AD614)</f>
        <v/>
      </c>
      <c r="M614" s="9">
        <f>IF('Data Source'!B614="","",'Data Source'!AE614)</f>
        <v/>
      </c>
      <c r="N614" s="9">
        <f>IF('Data Source'!B614="","",'Data Source'!AF614)</f>
        <v/>
      </c>
      <c r="O614" s="9">
        <f>IF('Data Source'!B614="","",'Data Source'!AG614)</f>
        <v/>
      </c>
      <c r="P614" s="5">
        <f>IF('Data Source'!B614="","",'Data Source'!R614)</f>
        <v/>
      </c>
      <c r="Q614" s="3">
        <f>IF('Data Source'!B614="","",'Data Source'!S614)</f>
        <v/>
      </c>
    </row>
    <row r="615">
      <c r="A615" s="3">
        <f>IF('Data Source'!B615="","",'Data Source'!A615)</f>
        <v/>
      </c>
      <c r="B615">
        <f>IF('Data Source'!B615="","",'Data Source'!B615)</f>
        <v/>
      </c>
      <c r="C615" s="9">
        <f>IF('Data Source'!B615="","",'Data Source'!U615)</f>
        <v/>
      </c>
      <c r="D615" s="9">
        <f>IF('Data Source'!B615="","",'Data Source'!V615)</f>
        <v/>
      </c>
      <c r="E615" s="9">
        <f>IF('Data Source'!B615="","",'Data Source'!W615)</f>
        <v/>
      </c>
      <c r="F615" s="9">
        <f>IF('Data Source'!B615="","",'Data Source'!X615)</f>
        <v/>
      </c>
      <c r="G615" s="9">
        <f>IF('Data Source'!B615="","",'Data Source'!Y615)</f>
        <v/>
      </c>
      <c r="H615" s="9">
        <f>IF('Data Source'!B615="","",'Data Source'!Z615)</f>
        <v/>
      </c>
      <c r="I615" s="9">
        <f>IF('Data Source'!B615="","",'Data Source'!AA615)</f>
        <v/>
      </c>
      <c r="J615" s="9">
        <f>IF('Data Source'!B615="","",'Data Source'!AB615)</f>
        <v/>
      </c>
      <c r="K615" s="9">
        <f>IF('Data Source'!B615="","",'Data Source'!AC615)</f>
        <v/>
      </c>
      <c r="L615" s="9">
        <f>IF('Data Source'!B615="","",'Data Source'!AD615)</f>
        <v/>
      </c>
      <c r="M615" s="9">
        <f>IF('Data Source'!B615="","",'Data Source'!AE615)</f>
        <v/>
      </c>
      <c r="N615" s="9">
        <f>IF('Data Source'!B615="","",'Data Source'!AF615)</f>
        <v/>
      </c>
      <c r="O615" s="9">
        <f>IF('Data Source'!B615="","",'Data Source'!AG615)</f>
        <v/>
      </c>
      <c r="P615" s="5">
        <f>IF('Data Source'!B615="","",'Data Source'!R615)</f>
        <v/>
      </c>
      <c r="Q615" s="3">
        <f>IF('Data Source'!B615="","",'Data Source'!S615)</f>
        <v/>
      </c>
    </row>
    <row r="616">
      <c r="A616" s="3">
        <f>IF('Data Source'!B616="","",'Data Source'!A616)</f>
        <v/>
      </c>
      <c r="B616">
        <f>IF('Data Source'!B616="","",'Data Source'!B616)</f>
        <v/>
      </c>
      <c r="C616" s="9">
        <f>IF('Data Source'!B616="","",'Data Source'!U616)</f>
        <v/>
      </c>
      <c r="D616" s="9">
        <f>IF('Data Source'!B616="","",'Data Source'!V616)</f>
        <v/>
      </c>
      <c r="E616" s="9">
        <f>IF('Data Source'!B616="","",'Data Source'!W616)</f>
        <v/>
      </c>
      <c r="F616" s="9">
        <f>IF('Data Source'!B616="","",'Data Source'!X616)</f>
        <v/>
      </c>
      <c r="G616" s="9">
        <f>IF('Data Source'!B616="","",'Data Source'!Y616)</f>
        <v/>
      </c>
      <c r="H616" s="9">
        <f>IF('Data Source'!B616="","",'Data Source'!Z616)</f>
        <v/>
      </c>
      <c r="I616" s="9">
        <f>IF('Data Source'!B616="","",'Data Source'!AA616)</f>
        <v/>
      </c>
      <c r="J616" s="9">
        <f>IF('Data Source'!B616="","",'Data Source'!AB616)</f>
        <v/>
      </c>
      <c r="K616" s="9">
        <f>IF('Data Source'!B616="","",'Data Source'!AC616)</f>
        <v/>
      </c>
      <c r="L616" s="9">
        <f>IF('Data Source'!B616="","",'Data Source'!AD616)</f>
        <v/>
      </c>
      <c r="M616" s="9">
        <f>IF('Data Source'!B616="","",'Data Source'!AE616)</f>
        <v/>
      </c>
      <c r="N616" s="9">
        <f>IF('Data Source'!B616="","",'Data Source'!AF616)</f>
        <v/>
      </c>
      <c r="O616" s="9">
        <f>IF('Data Source'!B616="","",'Data Source'!AG616)</f>
        <v/>
      </c>
      <c r="P616" s="5">
        <f>IF('Data Source'!B616="","",'Data Source'!R616)</f>
        <v/>
      </c>
      <c r="Q616" s="3">
        <f>IF('Data Source'!B616="","",'Data Source'!S616)</f>
        <v/>
      </c>
    </row>
    <row r="617">
      <c r="A617" s="3">
        <f>IF('Data Source'!B617="","",'Data Source'!A617)</f>
        <v/>
      </c>
      <c r="B617">
        <f>IF('Data Source'!B617="","",'Data Source'!B617)</f>
        <v/>
      </c>
      <c r="C617" s="9">
        <f>IF('Data Source'!B617="","",'Data Source'!U617)</f>
        <v/>
      </c>
      <c r="D617" s="9">
        <f>IF('Data Source'!B617="","",'Data Source'!V617)</f>
        <v/>
      </c>
      <c r="E617" s="9">
        <f>IF('Data Source'!B617="","",'Data Source'!W617)</f>
        <v/>
      </c>
      <c r="F617" s="9">
        <f>IF('Data Source'!B617="","",'Data Source'!X617)</f>
        <v/>
      </c>
      <c r="G617" s="9">
        <f>IF('Data Source'!B617="","",'Data Source'!Y617)</f>
        <v/>
      </c>
      <c r="H617" s="9">
        <f>IF('Data Source'!B617="","",'Data Source'!Z617)</f>
        <v/>
      </c>
      <c r="I617" s="9">
        <f>IF('Data Source'!B617="","",'Data Source'!AA617)</f>
        <v/>
      </c>
      <c r="J617" s="9">
        <f>IF('Data Source'!B617="","",'Data Source'!AB617)</f>
        <v/>
      </c>
      <c r="K617" s="9">
        <f>IF('Data Source'!B617="","",'Data Source'!AC617)</f>
        <v/>
      </c>
      <c r="L617" s="9">
        <f>IF('Data Source'!B617="","",'Data Source'!AD617)</f>
        <v/>
      </c>
      <c r="M617" s="9">
        <f>IF('Data Source'!B617="","",'Data Source'!AE617)</f>
        <v/>
      </c>
      <c r="N617" s="9">
        <f>IF('Data Source'!B617="","",'Data Source'!AF617)</f>
        <v/>
      </c>
      <c r="O617" s="9">
        <f>IF('Data Source'!B617="","",'Data Source'!AG617)</f>
        <v/>
      </c>
      <c r="P617" s="5">
        <f>IF('Data Source'!B617="","",'Data Source'!R617)</f>
        <v/>
      </c>
      <c r="Q617" s="3">
        <f>IF('Data Source'!B617="","",'Data Source'!S617)</f>
        <v/>
      </c>
    </row>
    <row r="618">
      <c r="A618" s="3">
        <f>IF('Data Source'!B618="","",'Data Source'!A618)</f>
        <v/>
      </c>
      <c r="B618">
        <f>IF('Data Source'!B618="","",'Data Source'!B618)</f>
        <v/>
      </c>
      <c r="C618" s="9">
        <f>IF('Data Source'!B618="","",'Data Source'!U618)</f>
        <v/>
      </c>
      <c r="D618" s="9">
        <f>IF('Data Source'!B618="","",'Data Source'!V618)</f>
        <v/>
      </c>
      <c r="E618" s="9">
        <f>IF('Data Source'!B618="","",'Data Source'!W618)</f>
        <v/>
      </c>
      <c r="F618" s="9">
        <f>IF('Data Source'!B618="","",'Data Source'!X618)</f>
        <v/>
      </c>
      <c r="G618" s="9">
        <f>IF('Data Source'!B618="","",'Data Source'!Y618)</f>
        <v/>
      </c>
      <c r="H618" s="9">
        <f>IF('Data Source'!B618="","",'Data Source'!Z618)</f>
        <v/>
      </c>
      <c r="I618" s="9">
        <f>IF('Data Source'!B618="","",'Data Source'!AA618)</f>
        <v/>
      </c>
      <c r="J618" s="9">
        <f>IF('Data Source'!B618="","",'Data Source'!AB618)</f>
        <v/>
      </c>
      <c r="K618" s="9">
        <f>IF('Data Source'!B618="","",'Data Source'!AC618)</f>
        <v/>
      </c>
      <c r="L618" s="9">
        <f>IF('Data Source'!B618="","",'Data Source'!AD618)</f>
        <v/>
      </c>
      <c r="M618" s="9">
        <f>IF('Data Source'!B618="","",'Data Source'!AE618)</f>
        <v/>
      </c>
      <c r="N618" s="9">
        <f>IF('Data Source'!B618="","",'Data Source'!AF618)</f>
        <v/>
      </c>
      <c r="O618" s="9">
        <f>IF('Data Source'!B618="","",'Data Source'!AG618)</f>
        <v/>
      </c>
      <c r="P618" s="5">
        <f>IF('Data Source'!B618="","",'Data Source'!R618)</f>
        <v/>
      </c>
      <c r="Q618" s="3">
        <f>IF('Data Source'!B618="","",'Data Source'!S618)</f>
        <v/>
      </c>
    </row>
    <row r="619">
      <c r="A619" s="3">
        <f>IF('Data Source'!B619="","",'Data Source'!A619)</f>
        <v/>
      </c>
      <c r="B619">
        <f>IF('Data Source'!B619="","",'Data Source'!B619)</f>
        <v/>
      </c>
      <c r="C619" s="9">
        <f>IF('Data Source'!B619="","",'Data Source'!U619)</f>
        <v/>
      </c>
      <c r="D619" s="9">
        <f>IF('Data Source'!B619="","",'Data Source'!V619)</f>
        <v/>
      </c>
      <c r="E619" s="9">
        <f>IF('Data Source'!B619="","",'Data Source'!W619)</f>
        <v/>
      </c>
      <c r="F619" s="9">
        <f>IF('Data Source'!B619="","",'Data Source'!X619)</f>
        <v/>
      </c>
      <c r="G619" s="9">
        <f>IF('Data Source'!B619="","",'Data Source'!Y619)</f>
        <v/>
      </c>
      <c r="H619" s="9">
        <f>IF('Data Source'!B619="","",'Data Source'!Z619)</f>
        <v/>
      </c>
      <c r="I619" s="9">
        <f>IF('Data Source'!B619="","",'Data Source'!AA619)</f>
        <v/>
      </c>
      <c r="J619" s="9">
        <f>IF('Data Source'!B619="","",'Data Source'!AB619)</f>
        <v/>
      </c>
      <c r="K619" s="9">
        <f>IF('Data Source'!B619="","",'Data Source'!AC619)</f>
        <v/>
      </c>
      <c r="L619" s="9">
        <f>IF('Data Source'!B619="","",'Data Source'!AD619)</f>
        <v/>
      </c>
      <c r="M619" s="9">
        <f>IF('Data Source'!B619="","",'Data Source'!AE619)</f>
        <v/>
      </c>
      <c r="N619" s="9">
        <f>IF('Data Source'!B619="","",'Data Source'!AF619)</f>
        <v/>
      </c>
      <c r="O619" s="9">
        <f>IF('Data Source'!B619="","",'Data Source'!AG619)</f>
        <v/>
      </c>
      <c r="P619" s="5">
        <f>IF('Data Source'!B619="","",'Data Source'!R619)</f>
        <v/>
      </c>
      <c r="Q619" s="3">
        <f>IF('Data Source'!B619="","",'Data Source'!S619)</f>
        <v/>
      </c>
    </row>
    <row r="620">
      <c r="A620" s="3">
        <f>IF('Data Source'!B620="","",'Data Source'!A620)</f>
        <v/>
      </c>
      <c r="B620">
        <f>IF('Data Source'!B620="","",'Data Source'!B620)</f>
        <v/>
      </c>
      <c r="C620" s="9">
        <f>IF('Data Source'!B620="","",'Data Source'!U620)</f>
        <v/>
      </c>
      <c r="D620" s="9">
        <f>IF('Data Source'!B620="","",'Data Source'!V620)</f>
        <v/>
      </c>
      <c r="E620" s="9">
        <f>IF('Data Source'!B620="","",'Data Source'!W620)</f>
        <v/>
      </c>
      <c r="F620" s="9">
        <f>IF('Data Source'!B620="","",'Data Source'!X620)</f>
        <v/>
      </c>
      <c r="G620" s="9">
        <f>IF('Data Source'!B620="","",'Data Source'!Y620)</f>
        <v/>
      </c>
      <c r="H620" s="9">
        <f>IF('Data Source'!B620="","",'Data Source'!Z620)</f>
        <v/>
      </c>
      <c r="I620" s="9">
        <f>IF('Data Source'!B620="","",'Data Source'!AA620)</f>
        <v/>
      </c>
      <c r="J620" s="9">
        <f>IF('Data Source'!B620="","",'Data Source'!AB620)</f>
        <v/>
      </c>
      <c r="K620" s="9">
        <f>IF('Data Source'!B620="","",'Data Source'!AC620)</f>
        <v/>
      </c>
      <c r="L620" s="9">
        <f>IF('Data Source'!B620="","",'Data Source'!AD620)</f>
        <v/>
      </c>
      <c r="M620" s="9">
        <f>IF('Data Source'!B620="","",'Data Source'!AE620)</f>
        <v/>
      </c>
      <c r="N620" s="9">
        <f>IF('Data Source'!B620="","",'Data Source'!AF620)</f>
        <v/>
      </c>
      <c r="O620" s="9">
        <f>IF('Data Source'!B620="","",'Data Source'!AG620)</f>
        <v/>
      </c>
      <c r="P620" s="5">
        <f>IF('Data Source'!B620="","",'Data Source'!R620)</f>
        <v/>
      </c>
      <c r="Q620" s="3">
        <f>IF('Data Source'!B620="","",'Data Source'!S620)</f>
        <v/>
      </c>
    </row>
    <row r="621">
      <c r="A621" s="3">
        <f>IF('Data Source'!B621="","",'Data Source'!A621)</f>
        <v/>
      </c>
      <c r="B621">
        <f>IF('Data Source'!B621="","",'Data Source'!B621)</f>
        <v/>
      </c>
      <c r="C621" s="9">
        <f>IF('Data Source'!B621="","",'Data Source'!U621)</f>
        <v/>
      </c>
      <c r="D621" s="9">
        <f>IF('Data Source'!B621="","",'Data Source'!V621)</f>
        <v/>
      </c>
      <c r="E621" s="9">
        <f>IF('Data Source'!B621="","",'Data Source'!W621)</f>
        <v/>
      </c>
      <c r="F621" s="9">
        <f>IF('Data Source'!B621="","",'Data Source'!X621)</f>
        <v/>
      </c>
      <c r="G621" s="9">
        <f>IF('Data Source'!B621="","",'Data Source'!Y621)</f>
        <v/>
      </c>
      <c r="H621" s="9">
        <f>IF('Data Source'!B621="","",'Data Source'!Z621)</f>
        <v/>
      </c>
      <c r="I621" s="9">
        <f>IF('Data Source'!B621="","",'Data Source'!AA621)</f>
        <v/>
      </c>
      <c r="J621" s="9">
        <f>IF('Data Source'!B621="","",'Data Source'!AB621)</f>
        <v/>
      </c>
      <c r="K621" s="9">
        <f>IF('Data Source'!B621="","",'Data Source'!AC621)</f>
        <v/>
      </c>
      <c r="L621" s="9">
        <f>IF('Data Source'!B621="","",'Data Source'!AD621)</f>
        <v/>
      </c>
      <c r="M621" s="9">
        <f>IF('Data Source'!B621="","",'Data Source'!AE621)</f>
        <v/>
      </c>
      <c r="N621" s="9">
        <f>IF('Data Source'!B621="","",'Data Source'!AF621)</f>
        <v/>
      </c>
      <c r="O621" s="9">
        <f>IF('Data Source'!B621="","",'Data Source'!AG621)</f>
        <v/>
      </c>
      <c r="P621" s="5">
        <f>IF('Data Source'!B621="","",'Data Source'!R621)</f>
        <v/>
      </c>
      <c r="Q621" s="3">
        <f>IF('Data Source'!B621="","",'Data Source'!S621)</f>
        <v/>
      </c>
    </row>
    <row r="622">
      <c r="A622" s="3">
        <f>IF('Data Source'!B622="","",'Data Source'!A622)</f>
        <v/>
      </c>
      <c r="B622">
        <f>IF('Data Source'!B622="","",'Data Source'!B622)</f>
        <v/>
      </c>
      <c r="C622" s="9">
        <f>IF('Data Source'!B622="","",'Data Source'!U622)</f>
        <v/>
      </c>
      <c r="D622" s="9">
        <f>IF('Data Source'!B622="","",'Data Source'!V622)</f>
        <v/>
      </c>
      <c r="E622" s="9">
        <f>IF('Data Source'!B622="","",'Data Source'!W622)</f>
        <v/>
      </c>
      <c r="F622" s="9">
        <f>IF('Data Source'!B622="","",'Data Source'!X622)</f>
        <v/>
      </c>
      <c r="G622" s="9">
        <f>IF('Data Source'!B622="","",'Data Source'!Y622)</f>
        <v/>
      </c>
      <c r="H622" s="9">
        <f>IF('Data Source'!B622="","",'Data Source'!Z622)</f>
        <v/>
      </c>
      <c r="I622" s="9">
        <f>IF('Data Source'!B622="","",'Data Source'!AA622)</f>
        <v/>
      </c>
      <c r="J622" s="9">
        <f>IF('Data Source'!B622="","",'Data Source'!AB622)</f>
        <v/>
      </c>
      <c r="K622" s="9">
        <f>IF('Data Source'!B622="","",'Data Source'!AC622)</f>
        <v/>
      </c>
      <c r="L622" s="9">
        <f>IF('Data Source'!B622="","",'Data Source'!AD622)</f>
        <v/>
      </c>
      <c r="M622" s="9">
        <f>IF('Data Source'!B622="","",'Data Source'!AE622)</f>
        <v/>
      </c>
      <c r="N622" s="9">
        <f>IF('Data Source'!B622="","",'Data Source'!AF622)</f>
        <v/>
      </c>
      <c r="O622" s="9">
        <f>IF('Data Source'!B622="","",'Data Source'!AG622)</f>
        <v/>
      </c>
      <c r="P622" s="5">
        <f>IF('Data Source'!B622="","",'Data Source'!R622)</f>
        <v/>
      </c>
      <c r="Q622" s="3">
        <f>IF('Data Source'!B622="","",'Data Source'!S622)</f>
        <v/>
      </c>
    </row>
    <row r="623">
      <c r="A623" s="3">
        <f>IF('Data Source'!B623="","",'Data Source'!A623)</f>
        <v/>
      </c>
      <c r="B623">
        <f>IF('Data Source'!B623="","",'Data Source'!B623)</f>
        <v/>
      </c>
      <c r="C623" s="9">
        <f>IF('Data Source'!B623="","",'Data Source'!U623)</f>
        <v/>
      </c>
      <c r="D623" s="9">
        <f>IF('Data Source'!B623="","",'Data Source'!V623)</f>
        <v/>
      </c>
      <c r="E623" s="9">
        <f>IF('Data Source'!B623="","",'Data Source'!W623)</f>
        <v/>
      </c>
      <c r="F623" s="9">
        <f>IF('Data Source'!B623="","",'Data Source'!X623)</f>
        <v/>
      </c>
      <c r="G623" s="9">
        <f>IF('Data Source'!B623="","",'Data Source'!Y623)</f>
        <v/>
      </c>
      <c r="H623" s="9">
        <f>IF('Data Source'!B623="","",'Data Source'!Z623)</f>
        <v/>
      </c>
      <c r="I623" s="9">
        <f>IF('Data Source'!B623="","",'Data Source'!AA623)</f>
        <v/>
      </c>
      <c r="J623" s="9">
        <f>IF('Data Source'!B623="","",'Data Source'!AB623)</f>
        <v/>
      </c>
      <c r="K623" s="9">
        <f>IF('Data Source'!B623="","",'Data Source'!AC623)</f>
        <v/>
      </c>
      <c r="L623" s="9">
        <f>IF('Data Source'!B623="","",'Data Source'!AD623)</f>
        <v/>
      </c>
      <c r="M623" s="9">
        <f>IF('Data Source'!B623="","",'Data Source'!AE623)</f>
        <v/>
      </c>
      <c r="N623" s="9">
        <f>IF('Data Source'!B623="","",'Data Source'!AF623)</f>
        <v/>
      </c>
      <c r="O623" s="9">
        <f>IF('Data Source'!B623="","",'Data Source'!AG623)</f>
        <v/>
      </c>
      <c r="P623" s="5">
        <f>IF('Data Source'!B623="","",'Data Source'!R623)</f>
        <v/>
      </c>
      <c r="Q623" s="3">
        <f>IF('Data Source'!B623="","",'Data Source'!S623)</f>
        <v/>
      </c>
    </row>
    <row r="624">
      <c r="A624" s="3">
        <f>IF('Data Source'!B624="","",'Data Source'!A624)</f>
        <v/>
      </c>
      <c r="B624">
        <f>IF('Data Source'!B624="","",'Data Source'!B624)</f>
        <v/>
      </c>
      <c r="C624" s="9">
        <f>IF('Data Source'!B624="","",'Data Source'!U624)</f>
        <v/>
      </c>
      <c r="D624" s="9">
        <f>IF('Data Source'!B624="","",'Data Source'!V624)</f>
        <v/>
      </c>
      <c r="E624" s="9">
        <f>IF('Data Source'!B624="","",'Data Source'!W624)</f>
        <v/>
      </c>
      <c r="F624" s="9">
        <f>IF('Data Source'!B624="","",'Data Source'!X624)</f>
        <v/>
      </c>
      <c r="G624" s="9">
        <f>IF('Data Source'!B624="","",'Data Source'!Y624)</f>
        <v/>
      </c>
      <c r="H624" s="9">
        <f>IF('Data Source'!B624="","",'Data Source'!Z624)</f>
        <v/>
      </c>
      <c r="I624" s="9">
        <f>IF('Data Source'!B624="","",'Data Source'!AA624)</f>
        <v/>
      </c>
      <c r="J624" s="9">
        <f>IF('Data Source'!B624="","",'Data Source'!AB624)</f>
        <v/>
      </c>
      <c r="K624" s="9">
        <f>IF('Data Source'!B624="","",'Data Source'!AC624)</f>
        <v/>
      </c>
      <c r="L624" s="9">
        <f>IF('Data Source'!B624="","",'Data Source'!AD624)</f>
        <v/>
      </c>
      <c r="M624" s="9">
        <f>IF('Data Source'!B624="","",'Data Source'!AE624)</f>
        <v/>
      </c>
      <c r="N624" s="9">
        <f>IF('Data Source'!B624="","",'Data Source'!AF624)</f>
        <v/>
      </c>
      <c r="O624" s="9">
        <f>IF('Data Source'!B624="","",'Data Source'!AG624)</f>
        <v/>
      </c>
      <c r="P624" s="5">
        <f>IF('Data Source'!B624="","",'Data Source'!R624)</f>
        <v/>
      </c>
      <c r="Q624" s="3">
        <f>IF('Data Source'!B624="","",'Data Source'!S624)</f>
        <v/>
      </c>
    </row>
    <row r="625">
      <c r="A625" s="3">
        <f>IF('Data Source'!B625="","",'Data Source'!A625)</f>
        <v/>
      </c>
      <c r="B625">
        <f>IF('Data Source'!B625="","",'Data Source'!B625)</f>
        <v/>
      </c>
      <c r="C625" s="9">
        <f>IF('Data Source'!B625="","",'Data Source'!U625)</f>
        <v/>
      </c>
      <c r="D625" s="9">
        <f>IF('Data Source'!B625="","",'Data Source'!V625)</f>
        <v/>
      </c>
      <c r="E625" s="9">
        <f>IF('Data Source'!B625="","",'Data Source'!W625)</f>
        <v/>
      </c>
      <c r="F625" s="9">
        <f>IF('Data Source'!B625="","",'Data Source'!X625)</f>
        <v/>
      </c>
      <c r="G625" s="9">
        <f>IF('Data Source'!B625="","",'Data Source'!Y625)</f>
        <v/>
      </c>
      <c r="H625" s="9">
        <f>IF('Data Source'!B625="","",'Data Source'!Z625)</f>
        <v/>
      </c>
      <c r="I625" s="9">
        <f>IF('Data Source'!B625="","",'Data Source'!AA625)</f>
        <v/>
      </c>
      <c r="J625" s="9">
        <f>IF('Data Source'!B625="","",'Data Source'!AB625)</f>
        <v/>
      </c>
      <c r="K625" s="9">
        <f>IF('Data Source'!B625="","",'Data Source'!AC625)</f>
        <v/>
      </c>
      <c r="L625" s="9">
        <f>IF('Data Source'!B625="","",'Data Source'!AD625)</f>
        <v/>
      </c>
      <c r="M625" s="9">
        <f>IF('Data Source'!B625="","",'Data Source'!AE625)</f>
        <v/>
      </c>
      <c r="N625" s="9">
        <f>IF('Data Source'!B625="","",'Data Source'!AF625)</f>
        <v/>
      </c>
      <c r="O625" s="9">
        <f>IF('Data Source'!B625="","",'Data Source'!AG625)</f>
        <v/>
      </c>
      <c r="P625" s="5">
        <f>IF('Data Source'!B625="","",'Data Source'!R625)</f>
        <v/>
      </c>
      <c r="Q625" s="3">
        <f>IF('Data Source'!B625="","",'Data Source'!S625)</f>
        <v/>
      </c>
    </row>
    <row r="626">
      <c r="A626" s="3">
        <f>IF('Data Source'!B626="","",'Data Source'!A626)</f>
        <v/>
      </c>
      <c r="B626">
        <f>IF('Data Source'!B626="","",'Data Source'!B626)</f>
        <v/>
      </c>
      <c r="C626" s="9">
        <f>IF('Data Source'!B626="","",'Data Source'!U626)</f>
        <v/>
      </c>
      <c r="D626" s="9">
        <f>IF('Data Source'!B626="","",'Data Source'!V626)</f>
        <v/>
      </c>
      <c r="E626" s="9">
        <f>IF('Data Source'!B626="","",'Data Source'!W626)</f>
        <v/>
      </c>
      <c r="F626" s="9">
        <f>IF('Data Source'!B626="","",'Data Source'!X626)</f>
        <v/>
      </c>
      <c r="G626" s="9">
        <f>IF('Data Source'!B626="","",'Data Source'!Y626)</f>
        <v/>
      </c>
      <c r="H626" s="9">
        <f>IF('Data Source'!B626="","",'Data Source'!Z626)</f>
        <v/>
      </c>
      <c r="I626" s="9">
        <f>IF('Data Source'!B626="","",'Data Source'!AA626)</f>
        <v/>
      </c>
      <c r="J626" s="9">
        <f>IF('Data Source'!B626="","",'Data Source'!AB626)</f>
        <v/>
      </c>
      <c r="K626" s="9">
        <f>IF('Data Source'!B626="","",'Data Source'!AC626)</f>
        <v/>
      </c>
      <c r="L626" s="9">
        <f>IF('Data Source'!B626="","",'Data Source'!AD626)</f>
        <v/>
      </c>
      <c r="M626" s="9">
        <f>IF('Data Source'!B626="","",'Data Source'!AE626)</f>
        <v/>
      </c>
      <c r="N626" s="9">
        <f>IF('Data Source'!B626="","",'Data Source'!AF626)</f>
        <v/>
      </c>
      <c r="O626" s="9">
        <f>IF('Data Source'!B626="","",'Data Source'!AG626)</f>
        <v/>
      </c>
      <c r="P626" s="5">
        <f>IF('Data Source'!B626="","",'Data Source'!R626)</f>
        <v/>
      </c>
      <c r="Q626" s="3">
        <f>IF('Data Source'!B626="","",'Data Source'!S626)</f>
        <v/>
      </c>
    </row>
    <row r="627">
      <c r="A627" s="3">
        <f>IF('Data Source'!B627="","",'Data Source'!A627)</f>
        <v/>
      </c>
      <c r="B627">
        <f>IF('Data Source'!B627="","",'Data Source'!B627)</f>
        <v/>
      </c>
      <c r="C627" s="9">
        <f>IF('Data Source'!B627="","",'Data Source'!U627)</f>
        <v/>
      </c>
      <c r="D627" s="9">
        <f>IF('Data Source'!B627="","",'Data Source'!V627)</f>
        <v/>
      </c>
      <c r="E627" s="9">
        <f>IF('Data Source'!B627="","",'Data Source'!W627)</f>
        <v/>
      </c>
      <c r="F627" s="9">
        <f>IF('Data Source'!B627="","",'Data Source'!X627)</f>
        <v/>
      </c>
      <c r="G627" s="9">
        <f>IF('Data Source'!B627="","",'Data Source'!Y627)</f>
        <v/>
      </c>
      <c r="H627" s="9">
        <f>IF('Data Source'!B627="","",'Data Source'!Z627)</f>
        <v/>
      </c>
      <c r="I627" s="9">
        <f>IF('Data Source'!B627="","",'Data Source'!AA627)</f>
        <v/>
      </c>
      <c r="J627" s="9">
        <f>IF('Data Source'!B627="","",'Data Source'!AB627)</f>
        <v/>
      </c>
      <c r="K627" s="9">
        <f>IF('Data Source'!B627="","",'Data Source'!AC627)</f>
        <v/>
      </c>
      <c r="L627" s="9">
        <f>IF('Data Source'!B627="","",'Data Source'!AD627)</f>
        <v/>
      </c>
      <c r="M627" s="9">
        <f>IF('Data Source'!B627="","",'Data Source'!AE627)</f>
        <v/>
      </c>
      <c r="N627" s="9">
        <f>IF('Data Source'!B627="","",'Data Source'!AF627)</f>
        <v/>
      </c>
      <c r="O627" s="9">
        <f>IF('Data Source'!B627="","",'Data Source'!AG627)</f>
        <v/>
      </c>
      <c r="P627" s="5">
        <f>IF('Data Source'!B627="","",'Data Source'!R627)</f>
        <v/>
      </c>
      <c r="Q627" s="3">
        <f>IF('Data Source'!B627="","",'Data Source'!S627)</f>
        <v/>
      </c>
    </row>
    <row r="628">
      <c r="A628" s="3">
        <f>IF('Data Source'!B628="","",'Data Source'!A628)</f>
        <v/>
      </c>
      <c r="B628">
        <f>IF('Data Source'!B628="","",'Data Source'!B628)</f>
        <v/>
      </c>
      <c r="C628" s="9">
        <f>IF('Data Source'!B628="","",'Data Source'!U628)</f>
        <v/>
      </c>
      <c r="D628" s="9">
        <f>IF('Data Source'!B628="","",'Data Source'!V628)</f>
        <v/>
      </c>
      <c r="E628" s="9">
        <f>IF('Data Source'!B628="","",'Data Source'!W628)</f>
        <v/>
      </c>
      <c r="F628" s="9">
        <f>IF('Data Source'!B628="","",'Data Source'!X628)</f>
        <v/>
      </c>
      <c r="G628" s="9">
        <f>IF('Data Source'!B628="","",'Data Source'!Y628)</f>
        <v/>
      </c>
      <c r="H628" s="9">
        <f>IF('Data Source'!B628="","",'Data Source'!Z628)</f>
        <v/>
      </c>
      <c r="I628" s="9">
        <f>IF('Data Source'!B628="","",'Data Source'!AA628)</f>
        <v/>
      </c>
      <c r="J628" s="9">
        <f>IF('Data Source'!B628="","",'Data Source'!AB628)</f>
        <v/>
      </c>
      <c r="K628" s="9">
        <f>IF('Data Source'!B628="","",'Data Source'!AC628)</f>
        <v/>
      </c>
      <c r="L628" s="9">
        <f>IF('Data Source'!B628="","",'Data Source'!AD628)</f>
        <v/>
      </c>
      <c r="M628" s="9">
        <f>IF('Data Source'!B628="","",'Data Source'!AE628)</f>
        <v/>
      </c>
      <c r="N628" s="9">
        <f>IF('Data Source'!B628="","",'Data Source'!AF628)</f>
        <v/>
      </c>
      <c r="O628" s="9">
        <f>IF('Data Source'!B628="","",'Data Source'!AG628)</f>
        <v/>
      </c>
      <c r="P628" s="5">
        <f>IF('Data Source'!B628="","",'Data Source'!R628)</f>
        <v/>
      </c>
      <c r="Q628" s="3">
        <f>IF('Data Source'!B628="","",'Data Source'!S628)</f>
        <v/>
      </c>
    </row>
    <row r="629">
      <c r="A629" s="3">
        <f>IF('Data Source'!B629="","",'Data Source'!A629)</f>
        <v/>
      </c>
      <c r="B629">
        <f>IF('Data Source'!B629="","",'Data Source'!B629)</f>
        <v/>
      </c>
      <c r="C629" s="9">
        <f>IF('Data Source'!B629="","",'Data Source'!U629)</f>
        <v/>
      </c>
      <c r="D629" s="9">
        <f>IF('Data Source'!B629="","",'Data Source'!V629)</f>
        <v/>
      </c>
      <c r="E629" s="9">
        <f>IF('Data Source'!B629="","",'Data Source'!W629)</f>
        <v/>
      </c>
      <c r="F629" s="9">
        <f>IF('Data Source'!B629="","",'Data Source'!X629)</f>
        <v/>
      </c>
      <c r="G629" s="9">
        <f>IF('Data Source'!B629="","",'Data Source'!Y629)</f>
        <v/>
      </c>
      <c r="H629" s="9">
        <f>IF('Data Source'!B629="","",'Data Source'!Z629)</f>
        <v/>
      </c>
      <c r="I629" s="9">
        <f>IF('Data Source'!B629="","",'Data Source'!AA629)</f>
        <v/>
      </c>
      <c r="J629" s="9">
        <f>IF('Data Source'!B629="","",'Data Source'!AB629)</f>
        <v/>
      </c>
      <c r="K629" s="9">
        <f>IF('Data Source'!B629="","",'Data Source'!AC629)</f>
        <v/>
      </c>
      <c r="L629" s="9">
        <f>IF('Data Source'!B629="","",'Data Source'!AD629)</f>
        <v/>
      </c>
      <c r="M629" s="9">
        <f>IF('Data Source'!B629="","",'Data Source'!AE629)</f>
        <v/>
      </c>
      <c r="N629" s="9">
        <f>IF('Data Source'!B629="","",'Data Source'!AF629)</f>
        <v/>
      </c>
      <c r="O629" s="9">
        <f>IF('Data Source'!B629="","",'Data Source'!AG629)</f>
        <v/>
      </c>
      <c r="P629" s="5">
        <f>IF('Data Source'!B629="","",'Data Source'!R629)</f>
        <v/>
      </c>
      <c r="Q629" s="3">
        <f>IF('Data Source'!B629="","",'Data Source'!S629)</f>
        <v/>
      </c>
    </row>
    <row r="630">
      <c r="A630" s="3">
        <f>IF('Data Source'!B630="","",'Data Source'!A630)</f>
        <v/>
      </c>
      <c r="B630">
        <f>IF('Data Source'!B630="","",'Data Source'!B630)</f>
        <v/>
      </c>
      <c r="C630" s="9">
        <f>IF('Data Source'!B630="","",'Data Source'!U630)</f>
        <v/>
      </c>
      <c r="D630" s="9">
        <f>IF('Data Source'!B630="","",'Data Source'!V630)</f>
        <v/>
      </c>
      <c r="E630" s="9">
        <f>IF('Data Source'!B630="","",'Data Source'!W630)</f>
        <v/>
      </c>
      <c r="F630" s="9">
        <f>IF('Data Source'!B630="","",'Data Source'!X630)</f>
        <v/>
      </c>
      <c r="G630" s="9">
        <f>IF('Data Source'!B630="","",'Data Source'!Y630)</f>
        <v/>
      </c>
      <c r="H630" s="9">
        <f>IF('Data Source'!B630="","",'Data Source'!Z630)</f>
        <v/>
      </c>
      <c r="I630" s="9">
        <f>IF('Data Source'!B630="","",'Data Source'!AA630)</f>
        <v/>
      </c>
      <c r="J630" s="9">
        <f>IF('Data Source'!B630="","",'Data Source'!AB630)</f>
        <v/>
      </c>
      <c r="K630" s="9">
        <f>IF('Data Source'!B630="","",'Data Source'!AC630)</f>
        <v/>
      </c>
      <c r="L630" s="9">
        <f>IF('Data Source'!B630="","",'Data Source'!AD630)</f>
        <v/>
      </c>
      <c r="M630" s="9">
        <f>IF('Data Source'!B630="","",'Data Source'!AE630)</f>
        <v/>
      </c>
      <c r="N630" s="9">
        <f>IF('Data Source'!B630="","",'Data Source'!AF630)</f>
        <v/>
      </c>
      <c r="O630" s="9">
        <f>IF('Data Source'!B630="","",'Data Source'!AG630)</f>
        <v/>
      </c>
      <c r="P630" s="5">
        <f>IF('Data Source'!B630="","",'Data Source'!R630)</f>
        <v/>
      </c>
      <c r="Q630" s="3">
        <f>IF('Data Source'!B630="","",'Data Source'!S630)</f>
        <v/>
      </c>
    </row>
    <row r="631">
      <c r="A631" s="3">
        <f>IF('Data Source'!B631="","",'Data Source'!A631)</f>
        <v/>
      </c>
      <c r="B631">
        <f>IF('Data Source'!B631="","",'Data Source'!B631)</f>
        <v/>
      </c>
      <c r="C631" s="9">
        <f>IF('Data Source'!B631="","",'Data Source'!U631)</f>
        <v/>
      </c>
      <c r="D631" s="9">
        <f>IF('Data Source'!B631="","",'Data Source'!V631)</f>
        <v/>
      </c>
      <c r="E631" s="9">
        <f>IF('Data Source'!B631="","",'Data Source'!W631)</f>
        <v/>
      </c>
      <c r="F631" s="9">
        <f>IF('Data Source'!B631="","",'Data Source'!X631)</f>
        <v/>
      </c>
      <c r="G631" s="9">
        <f>IF('Data Source'!B631="","",'Data Source'!Y631)</f>
        <v/>
      </c>
      <c r="H631" s="9">
        <f>IF('Data Source'!B631="","",'Data Source'!Z631)</f>
        <v/>
      </c>
      <c r="I631" s="9">
        <f>IF('Data Source'!B631="","",'Data Source'!AA631)</f>
        <v/>
      </c>
      <c r="J631" s="9">
        <f>IF('Data Source'!B631="","",'Data Source'!AB631)</f>
        <v/>
      </c>
      <c r="K631" s="9">
        <f>IF('Data Source'!B631="","",'Data Source'!AC631)</f>
        <v/>
      </c>
      <c r="L631" s="9">
        <f>IF('Data Source'!B631="","",'Data Source'!AD631)</f>
        <v/>
      </c>
      <c r="M631" s="9">
        <f>IF('Data Source'!B631="","",'Data Source'!AE631)</f>
        <v/>
      </c>
      <c r="N631" s="9">
        <f>IF('Data Source'!B631="","",'Data Source'!AF631)</f>
        <v/>
      </c>
      <c r="O631" s="9">
        <f>IF('Data Source'!B631="","",'Data Source'!AG631)</f>
        <v/>
      </c>
      <c r="P631" s="5">
        <f>IF('Data Source'!B631="","",'Data Source'!R631)</f>
        <v/>
      </c>
      <c r="Q631" s="3">
        <f>IF('Data Source'!B631="","",'Data Source'!S631)</f>
        <v/>
      </c>
    </row>
    <row r="632">
      <c r="A632" s="3">
        <f>IF('Data Source'!B632="","",'Data Source'!A632)</f>
        <v/>
      </c>
      <c r="B632">
        <f>IF('Data Source'!B632="","",'Data Source'!B632)</f>
        <v/>
      </c>
      <c r="C632" s="9">
        <f>IF('Data Source'!B632="","",'Data Source'!U632)</f>
        <v/>
      </c>
      <c r="D632" s="9">
        <f>IF('Data Source'!B632="","",'Data Source'!V632)</f>
        <v/>
      </c>
      <c r="E632" s="9">
        <f>IF('Data Source'!B632="","",'Data Source'!W632)</f>
        <v/>
      </c>
      <c r="F632" s="9">
        <f>IF('Data Source'!B632="","",'Data Source'!X632)</f>
        <v/>
      </c>
      <c r="G632" s="9">
        <f>IF('Data Source'!B632="","",'Data Source'!Y632)</f>
        <v/>
      </c>
      <c r="H632" s="9">
        <f>IF('Data Source'!B632="","",'Data Source'!Z632)</f>
        <v/>
      </c>
      <c r="I632" s="9">
        <f>IF('Data Source'!B632="","",'Data Source'!AA632)</f>
        <v/>
      </c>
      <c r="J632" s="9">
        <f>IF('Data Source'!B632="","",'Data Source'!AB632)</f>
        <v/>
      </c>
      <c r="K632" s="9">
        <f>IF('Data Source'!B632="","",'Data Source'!AC632)</f>
        <v/>
      </c>
      <c r="L632" s="9">
        <f>IF('Data Source'!B632="","",'Data Source'!AD632)</f>
        <v/>
      </c>
      <c r="M632" s="9">
        <f>IF('Data Source'!B632="","",'Data Source'!AE632)</f>
        <v/>
      </c>
      <c r="N632" s="9">
        <f>IF('Data Source'!B632="","",'Data Source'!AF632)</f>
        <v/>
      </c>
      <c r="O632" s="9">
        <f>IF('Data Source'!B632="","",'Data Source'!AG632)</f>
        <v/>
      </c>
      <c r="P632" s="5">
        <f>IF('Data Source'!B632="","",'Data Source'!R632)</f>
        <v/>
      </c>
      <c r="Q632" s="3">
        <f>IF('Data Source'!B632="","",'Data Source'!S632)</f>
        <v/>
      </c>
    </row>
    <row r="633">
      <c r="A633" s="3">
        <f>IF('Data Source'!B633="","",'Data Source'!A633)</f>
        <v/>
      </c>
      <c r="B633">
        <f>IF('Data Source'!B633="","",'Data Source'!B633)</f>
        <v/>
      </c>
      <c r="C633" s="9">
        <f>IF('Data Source'!B633="","",'Data Source'!U633)</f>
        <v/>
      </c>
      <c r="D633" s="9">
        <f>IF('Data Source'!B633="","",'Data Source'!V633)</f>
        <v/>
      </c>
      <c r="E633" s="9">
        <f>IF('Data Source'!B633="","",'Data Source'!W633)</f>
        <v/>
      </c>
      <c r="F633" s="9">
        <f>IF('Data Source'!B633="","",'Data Source'!X633)</f>
        <v/>
      </c>
      <c r="G633" s="9">
        <f>IF('Data Source'!B633="","",'Data Source'!Y633)</f>
        <v/>
      </c>
      <c r="H633" s="9">
        <f>IF('Data Source'!B633="","",'Data Source'!Z633)</f>
        <v/>
      </c>
      <c r="I633" s="9">
        <f>IF('Data Source'!B633="","",'Data Source'!AA633)</f>
        <v/>
      </c>
      <c r="J633" s="9">
        <f>IF('Data Source'!B633="","",'Data Source'!AB633)</f>
        <v/>
      </c>
      <c r="K633" s="9">
        <f>IF('Data Source'!B633="","",'Data Source'!AC633)</f>
        <v/>
      </c>
      <c r="L633" s="9">
        <f>IF('Data Source'!B633="","",'Data Source'!AD633)</f>
        <v/>
      </c>
      <c r="M633" s="9">
        <f>IF('Data Source'!B633="","",'Data Source'!AE633)</f>
        <v/>
      </c>
      <c r="N633" s="9">
        <f>IF('Data Source'!B633="","",'Data Source'!AF633)</f>
        <v/>
      </c>
      <c r="O633" s="9">
        <f>IF('Data Source'!B633="","",'Data Source'!AG633)</f>
        <v/>
      </c>
      <c r="P633" s="5">
        <f>IF('Data Source'!B633="","",'Data Source'!R633)</f>
        <v/>
      </c>
      <c r="Q633" s="3">
        <f>IF('Data Source'!B633="","",'Data Source'!S633)</f>
        <v/>
      </c>
    </row>
    <row r="634">
      <c r="A634" s="3">
        <f>IF('Data Source'!B634="","",'Data Source'!A634)</f>
        <v/>
      </c>
      <c r="B634">
        <f>IF('Data Source'!B634="","",'Data Source'!B634)</f>
        <v/>
      </c>
      <c r="C634" s="9">
        <f>IF('Data Source'!B634="","",'Data Source'!U634)</f>
        <v/>
      </c>
      <c r="D634" s="9">
        <f>IF('Data Source'!B634="","",'Data Source'!V634)</f>
        <v/>
      </c>
      <c r="E634" s="9">
        <f>IF('Data Source'!B634="","",'Data Source'!W634)</f>
        <v/>
      </c>
      <c r="F634" s="9">
        <f>IF('Data Source'!B634="","",'Data Source'!X634)</f>
        <v/>
      </c>
      <c r="G634" s="9">
        <f>IF('Data Source'!B634="","",'Data Source'!Y634)</f>
        <v/>
      </c>
      <c r="H634" s="9">
        <f>IF('Data Source'!B634="","",'Data Source'!Z634)</f>
        <v/>
      </c>
      <c r="I634" s="9">
        <f>IF('Data Source'!B634="","",'Data Source'!AA634)</f>
        <v/>
      </c>
      <c r="J634" s="9">
        <f>IF('Data Source'!B634="","",'Data Source'!AB634)</f>
        <v/>
      </c>
      <c r="K634" s="9">
        <f>IF('Data Source'!B634="","",'Data Source'!AC634)</f>
        <v/>
      </c>
      <c r="L634" s="9">
        <f>IF('Data Source'!B634="","",'Data Source'!AD634)</f>
        <v/>
      </c>
      <c r="M634" s="9">
        <f>IF('Data Source'!B634="","",'Data Source'!AE634)</f>
        <v/>
      </c>
      <c r="N634" s="9">
        <f>IF('Data Source'!B634="","",'Data Source'!AF634)</f>
        <v/>
      </c>
      <c r="O634" s="9">
        <f>IF('Data Source'!B634="","",'Data Source'!AG634)</f>
        <v/>
      </c>
      <c r="P634" s="5">
        <f>IF('Data Source'!B634="","",'Data Source'!R634)</f>
        <v/>
      </c>
      <c r="Q634" s="3">
        <f>IF('Data Source'!B634="","",'Data Source'!S634)</f>
        <v/>
      </c>
    </row>
    <row r="635">
      <c r="A635" s="3">
        <f>IF('Data Source'!B635="","",'Data Source'!A635)</f>
        <v/>
      </c>
      <c r="B635">
        <f>IF('Data Source'!B635="","",'Data Source'!B635)</f>
        <v/>
      </c>
      <c r="C635" s="9">
        <f>IF('Data Source'!B635="","",'Data Source'!U635)</f>
        <v/>
      </c>
      <c r="D635" s="9">
        <f>IF('Data Source'!B635="","",'Data Source'!V635)</f>
        <v/>
      </c>
      <c r="E635" s="9">
        <f>IF('Data Source'!B635="","",'Data Source'!W635)</f>
        <v/>
      </c>
      <c r="F635" s="9">
        <f>IF('Data Source'!B635="","",'Data Source'!X635)</f>
        <v/>
      </c>
      <c r="G635" s="9">
        <f>IF('Data Source'!B635="","",'Data Source'!Y635)</f>
        <v/>
      </c>
      <c r="H635" s="9">
        <f>IF('Data Source'!B635="","",'Data Source'!Z635)</f>
        <v/>
      </c>
      <c r="I635" s="9">
        <f>IF('Data Source'!B635="","",'Data Source'!AA635)</f>
        <v/>
      </c>
      <c r="J635" s="9">
        <f>IF('Data Source'!B635="","",'Data Source'!AB635)</f>
        <v/>
      </c>
      <c r="K635" s="9">
        <f>IF('Data Source'!B635="","",'Data Source'!AC635)</f>
        <v/>
      </c>
      <c r="L635" s="9">
        <f>IF('Data Source'!B635="","",'Data Source'!AD635)</f>
        <v/>
      </c>
      <c r="M635" s="9">
        <f>IF('Data Source'!B635="","",'Data Source'!AE635)</f>
        <v/>
      </c>
      <c r="N635" s="9">
        <f>IF('Data Source'!B635="","",'Data Source'!AF635)</f>
        <v/>
      </c>
      <c r="O635" s="9">
        <f>IF('Data Source'!B635="","",'Data Source'!AG635)</f>
        <v/>
      </c>
      <c r="P635" s="5">
        <f>IF('Data Source'!B635="","",'Data Source'!R635)</f>
        <v/>
      </c>
      <c r="Q635" s="3">
        <f>IF('Data Source'!B635="","",'Data Source'!S635)</f>
        <v/>
      </c>
    </row>
    <row r="636">
      <c r="A636" s="3">
        <f>IF('Data Source'!B636="","",'Data Source'!A636)</f>
        <v/>
      </c>
      <c r="B636">
        <f>IF('Data Source'!B636="","",'Data Source'!B636)</f>
        <v/>
      </c>
      <c r="C636" s="9">
        <f>IF('Data Source'!B636="","",'Data Source'!U636)</f>
        <v/>
      </c>
      <c r="D636" s="9">
        <f>IF('Data Source'!B636="","",'Data Source'!V636)</f>
        <v/>
      </c>
      <c r="E636" s="9">
        <f>IF('Data Source'!B636="","",'Data Source'!W636)</f>
        <v/>
      </c>
      <c r="F636" s="9">
        <f>IF('Data Source'!B636="","",'Data Source'!X636)</f>
        <v/>
      </c>
      <c r="G636" s="9">
        <f>IF('Data Source'!B636="","",'Data Source'!Y636)</f>
        <v/>
      </c>
      <c r="H636" s="9">
        <f>IF('Data Source'!B636="","",'Data Source'!Z636)</f>
        <v/>
      </c>
      <c r="I636" s="9">
        <f>IF('Data Source'!B636="","",'Data Source'!AA636)</f>
        <v/>
      </c>
      <c r="J636" s="9">
        <f>IF('Data Source'!B636="","",'Data Source'!AB636)</f>
        <v/>
      </c>
      <c r="K636" s="9">
        <f>IF('Data Source'!B636="","",'Data Source'!AC636)</f>
        <v/>
      </c>
      <c r="L636" s="9">
        <f>IF('Data Source'!B636="","",'Data Source'!AD636)</f>
        <v/>
      </c>
      <c r="M636" s="9">
        <f>IF('Data Source'!B636="","",'Data Source'!AE636)</f>
        <v/>
      </c>
      <c r="N636" s="9">
        <f>IF('Data Source'!B636="","",'Data Source'!AF636)</f>
        <v/>
      </c>
      <c r="O636" s="9">
        <f>IF('Data Source'!B636="","",'Data Source'!AG636)</f>
        <v/>
      </c>
      <c r="P636" s="5">
        <f>IF('Data Source'!B636="","",'Data Source'!R636)</f>
        <v/>
      </c>
      <c r="Q636" s="3">
        <f>IF('Data Source'!B636="","",'Data Source'!S636)</f>
        <v/>
      </c>
    </row>
    <row r="637">
      <c r="A637" s="3">
        <f>IF('Data Source'!B637="","",'Data Source'!A637)</f>
        <v/>
      </c>
      <c r="B637">
        <f>IF('Data Source'!B637="","",'Data Source'!B637)</f>
        <v/>
      </c>
      <c r="C637" s="9">
        <f>IF('Data Source'!B637="","",'Data Source'!U637)</f>
        <v/>
      </c>
      <c r="D637" s="9">
        <f>IF('Data Source'!B637="","",'Data Source'!V637)</f>
        <v/>
      </c>
      <c r="E637" s="9">
        <f>IF('Data Source'!B637="","",'Data Source'!W637)</f>
        <v/>
      </c>
      <c r="F637" s="9">
        <f>IF('Data Source'!B637="","",'Data Source'!X637)</f>
        <v/>
      </c>
      <c r="G637" s="9">
        <f>IF('Data Source'!B637="","",'Data Source'!Y637)</f>
        <v/>
      </c>
      <c r="H637" s="9">
        <f>IF('Data Source'!B637="","",'Data Source'!Z637)</f>
        <v/>
      </c>
      <c r="I637" s="9">
        <f>IF('Data Source'!B637="","",'Data Source'!AA637)</f>
        <v/>
      </c>
      <c r="J637" s="9">
        <f>IF('Data Source'!B637="","",'Data Source'!AB637)</f>
        <v/>
      </c>
      <c r="K637" s="9">
        <f>IF('Data Source'!B637="","",'Data Source'!AC637)</f>
        <v/>
      </c>
      <c r="L637" s="9">
        <f>IF('Data Source'!B637="","",'Data Source'!AD637)</f>
        <v/>
      </c>
      <c r="M637" s="9">
        <f>IF('Data Source'!B637="","",'Data Source'!AE637)</f>
        <v/>
      </c>
      <c r="N637" s="9">
        <f>IF('Data Source'!B637="","",'Data Source'!AF637)</f>
        <v/>
      </c>
      <c r="O637" s="9">
        <f>IF('Data Source'!B637="","",'Data Source'!AG637)</f>
        <v/>
      </c>
      <c r="P637" s="5">
        <f>IF('Data Source'!B637="","",'Data Source'!R637)</f>
        <v/>
      </c>
      <c r="Q637" s="3">
        <f>IF('Data Source'!B637="","",'Data Source'!S637)</f>
        <v/>
      </c>
    </row>
    <row r="638">
      <c r="A638" s="3">
        <f>IF('Data Source'!B638="","",'Data Source'!A638)</f>
        <v/>
      </c>
      <c r="B638">
        <f>IF('Data Source'!B638="","",'Data Source'!B638)</f>
        <v/>
      </c>
      <c r="C638" s="9">
        <f>IF('Data Source'!B638="","",'Data Source'!U638)</f>
        <v/>
      </c>
      <c r="D638" s="9">
        <f>IF('Data Source'!B638="","",'Data Source'!V638)</f>
        <v/>
      </c>
      <c r="E638" s="9">
        <f>IF('Data Source'!B638="","",'Data Source'!W638)</f>
        <v/>
      </c>
      <c r="F638" s="9">
        <f>IF('Data Source'!B638="","",'Data Source'!X638)</f>
        <v/>
      </c>
      <c r="G638" s="9">
        <f>IF('Data Source'!B638="","",'Data Source'!Y638)</f>
        <v/>
      </c>
      <c r="H638" s="9">
        <f>IF('Data Source'!B638="","",'Data Source'!Z638)</f>
        <v/>
      </c>
      <c r="I638" s="9">
        <f>IF('Data Source'!B638="","",'Data Source'!AA638)</f>
        <v/>
      </c>
      <c r="J638" s="9">
        <f>IF('Data Source'!B638="","",'Data Source'!AB638)</f>
        <v/>
      </c>
      <c r="K638" s="9">
        <f>IF('Data Source'!B638="","",'Data Source'!AC638)</f>
        <v/>
      </c>
      <c r="L638" s="9">
        <f>IF('Data Source'!B638="","",'Data Source'!AD638)</f>
        <v/>
      </c>
      <c r="M638" s="9">
        <f>IF('Data Source'!B638="","",'Data Source'!AE638)</f>
        <v/>
      </c>
      <c r="N638" s="9">
        <f>IF('Data Source'!B638="","",'Data Source'!AF638)</f>
        <v/>
      </c>
      <c r="O638" s="9">
        <f>IF('Data Source'!B638="","",'Data Source'!AG638)</f>
        <v/>
      </c>
      <c r="P638" s="5">
        <f>IF('Data Source'!B638="","",'Data Source'!R638)</f>
        <v/>
      </c>
      <c r="Q638" s="3">
        <f>IF('Data Source'!B638="","",'Data Source'!S638)</f>
        <v/>
      </c>
    </row>
    <row r="639">
      <c r="A639" s="3">
        <f>IF('Data Source'!B639="","",'Data Source'!A639)</f>
        <v/>
      </c>
      <c r="B639">
        <f>IF('Data Source'!B639="","",'Data Source'!B639)</f>
        <v/>
      </c>
      <c r="C639" s="9">
        <f>IF('Data Source'!B639="","",'Data Source'!U639)</f>
        <v/>
      </c>
      <c r="D639" s="9">
        <f>IF('Data Source'!B639="","",'Data Source'!V639)</f>
        <v/>
      </c>
      <c r="E639" s="9">
        <f>IF('Data Source'!B639="","",'Data Source'!W639)</f>
        <v/>
      </c>
      <c r="F639" s="9">
        <f>IF('Data Source'!B639="","",'Data Source'!X639)</f>
        <v/>
      </c>
      <c r="G639" s="9">
        <f>IF('Data Source'!B639="","",'Data Source'!Y639)</f>
        <v/>
      </c>
      <c r="H639" s="9">
        <f>IF('Data Source'!B639="","",'Data Source'!Z639)</f>
        <v/>
      </c>
      <c r="I639" s="9">
        <f>IF('Data Source'!B639="","",'Data Source'!AA639)</f>
        <v/>
      </c>
      <c r="J639" s="9">
        <f>IF('Data Source'!B639="","",'Data Source'!AB639)</f>
        <v/>
      </c>
      <c r="K639" s="9">
        <f>IF('Data Source'!B639="","",'Data Source'!AC639)</f>
        <v/>
      </c>
      <c r="L639" s="9">
        <f>IF('Data Source'!B639="","",'Data Source'!AD639)</f>
        <v/>
      </c>
      <c r="M639" s="9">
        <f>IF('Data Source'!B639="","",'Data Source'!AE639)</f>
        <v/>
      </c>
      <c r="N639" s="9">
        <f>IF('Data Source'!B639="","",'Data Source'!AF639)</f>
        <v/>
      </c>
      <c r="O639" s="9">
        <f>IF('Data Source'!B639="","",'Data Source'!AG639)</f>
        <v/>
      </c>
      <c r="P639" s="5">
        <f>IF('Data Source'!B639="","",'Data Source'!R639)</f>
        <v/>
      </c>
      <c r="Q639" s="3">
        <f>IF('Data Source'!B639="","",'Data Source'!S639)</f>
        <v/>
      </c>
    </row>
    <row r="640">
      <c r="A640" s="3">
        <f>IF('Data Source'!B640="","",'Data Source'!A640)</f>
        <v/>
      </c>
      <c r="B640">
        <f>IF('Data Source'!B640="","",'Data Source'!B640)</f>
        <v/>
      </c>
      <c r="C640" s="9">
        <f>IF('Data Source'!B640="","",'Data Source'!U640)</f>
        <v/>
      </c>
      <c r="D640" s="9">
        <f>IF('Data Source'!B640="","",'Data Source'!V640)</f>
        <v/>
      </c>
      <c r="E640" s="9">
        <f>IF('Data Source'!B640="","",'Data Source'!W640)</f>
        <v/>
      </c>
      <c r="F640" s="9">
        <f>IF('Data Source'!B640="","",'Data Source'!X640)</f>
        <v/>
      </c>
      <c r="G640" s="9">
        <f>IF('Data Source'!B640="","",'Data Source'!Y640)</f>
        <v/>
      </c>
      <c r="H640" s="9">
        <f>IF('Data Source'!B640="","",'Data Source'!Z640)</f>
        <v/>
      </c>
      <c r="I640" s="9">
        <f>IF('Data Source'!B640="","",'Data Source'!AA640)</f>
        <v/>
      </c>
      <c r="J640" s="9">
        <f>IF('Data Source'!B640="","",'Data Source'!AB640)</f>
        <v/>
      </c>
      <c r="K640" s="9">
        <f>IF('Data Source'!B640="","",'Data Source'!AC640)</f>
        <v/>
      </c>
      <c r="L640" s="9">
        <f>IF('Data Source'!B640="","",'Data Source'!AD640)</f>
        <v/>
      </c>
      <c r="M640" s="9">
        <f>IF('Data Source'!B640="","",'Data Source'!AE640)</f>
        <v/>
      </c>
      <c r="N640" s="9">
        <f>IF('Data Source'!B640="","",'Data Source'!AF640)</f>
        <v/>
      </c>
      <c r="O640" s="9">
        <f>IF('Data Source'!B640="","",'Data Source'!AG640)</f>
        <v/>
      </c>
      <c r="P640" s="5">
        <f>IF('Data Source'!B640="","",'Data Source'!R640)</f>
        <v/>
      </c>
      <c r="Q640" s="3">
        <f>IF('Data Source'!B640="","",'Data Source'!S640)</f>
        <v/>
      </c>
    </row>
    <row r="641">
      <c r="A641" s="3">
        <f>IF('Data Source'!B641="","",'Data Source'!A641)</f>
        <v/>
      </c>
      <c r="B641">
        <f>IF('Data Source'!B641="","",'Data Source'!B641)</f>
        <v/>
      </c>
      <c r="C641" s="9">
        <f>IF('Data Source'!B641="","",'Data Source'!U641)</f>
        <v/>
      </c>
      <c r="D641" s="9">
        <f>IF('Data Source'!B641="","",'Data Source'!V641)</f>
        <v/>
      </c>
      <c r="E641" s="9">
        <f>IF('Data Source'!B641="","",'Data Source'!W641)</f>
        <v/>
      </c>
      <c r="F641" s="9">
        <f>IF('Data Source'!B641="","",'Data Source'!X641)</f>
        <v/>
      </c>
      <c r="G641" s="9">
        <f>IF('Data Source'!B641="","",'Data Source'!Y641)</f>
        <v/>
      </c>
      <c r="H641" s="9">
        <f>IF('Data Source'!B641="","",'Data Source'!Z641)</f>
        <v/>
      </c>
      <c r="I641" s="9">
        <f>IF('Data Source'!B641="","",'Data Source'!AA641)</f>
        <v/>
      </c>
      <c r="J641" s="9">
        <f>IF('Data Source'!B641="","",'Data Source'!AB641)</f>
        <v/>
      </c>
      <c r="K641" s="9">
        <f>IF('Data Source'!B641="","",'Data Source'!AC641)</f>
        <v/>
      </c>
      <c r="L641" s="9">
        <f>IF('Data Source'!B641="","",'Data Source'!AD641)</f>
        <v/>
      </c>
      <c r="M641" s="9">
        <f>IF('Data Source'!B641="","",'Data Source'!AE641)</f>
        <v/>
      </c>
      <c r="N641" s="9">
        <f>IF('Data Source'!B641="","",'Data Source'!AF641)</f>
        <v/>
      </c>
      <c r="O641" s="9">
        <f>IF('Data Source'!B641="","",'Data Source'!AG641)</f>
        <v/>
      </c>
      <c r="P641" s="5">
        <f>IF('Data Source'!B641="","",'Data Source'!R641)</f>
        <v/>
      </c>
      <c r="Q641" s="3">
        <f>IF('Data Source'!B641="","",'Data Source'!S641)</f>
        <v/>
      </c>
    </row>
    <row r="642">
      <c r="A642" s="3">
        <f>IF('Data Source'!B642="","",'Data Source'!A642)</f>
        <v/>
      </c>
      <c r="B642">
        <f>IF('Data Source'!B642="","",'Data Source'!B642)</f>
        <v/>
      </c>
      <c r="C642" s="9">
        <f>IF('Data Source'!B642="","",'Data Source'!U642)</f>
        <v/>
      </c>
      <c r="D642" s="9">
        <f>IF('Data Source'!B642="","",'Data Source'!V642)</f>
        <v/>
      </c>
      <c r="E642" s="9">
        <f>IF('Data Source'!B642="","",'Data Source'!W642)</f>
        <v/>
      </c>
      <c r="F642" s="9">
        <f>IF('Data Source'!B642="","",'Data Source'!X642)</f>
        <v/>
      </c>
      <c r="G642" s="9">
        <f>IF('Data Source'!B642="","",'Data Source'!Y642)</f>
        <v/>
      </c>
      <c r="H642" s="9">
        <f>IF('Data Source'!B642="","",'Data Source'!Z642)</f>
        <v/>
      </c>
      <c r="I642" s="9">
        <f>IF('Data Source'!B642="","",'Data Source'!AA642)</f>
        <v/>
      </c>
      <c r="J642" s="9">
        <f>IF('Data Source'!B642="","",'Data Source'!AB642)</f>
        <v/>
      </c>
      <c r="K642" s="9">
        <f>IF('Data Source'!B642="","",'Data Source'!AC642)</f>
        <v/>
      </c>
      <c r="L642" s="9">
        <f>IF('Data Source'!B642="","",'Data Source'!AD642)</f>
        <v/>
      </c>
      <c r="M642" s="9">
        <f>IF('Data Source'!B642="","",'Data Source'!AE642)</f>
        <v/>
      </c>
      <c r="N642" s="9">
        <f>IF('Data Source'!B642="","",'Data Source'!AF642)</f>
        <v/>
      </c>
      <c r="O642" s="9">
        <f>IF('Data Source'!B642="","",'Data Source'!AG642)</f>
        <v/>
      </c>
      <c r="P642" s="5">
        <f>IF('Data Source'!B642="","",'Data Source'!R642)</f>
        <v/>
      </c>
      <c r="Q642" s="3">
        <f>IF('Data Source'!B642="","",'Data Source'!S642)</f>
        <v/>
      </c>
    </row>
    <row r="643">
      <c r="A643" s="3">
        <f>IF('Data Source'!B643="","",'Data Source'!A643)</f>
        <v/>
      </c>
      <c r="B643">
        <f>IF('Data Source'!B643="","",'Data Source'!B643)</f>
        <v/>
      </c>
      <c r="C643" s="9">
        <f>IF('Data Source'!B643="","",'Data Source'!U643)</f>
        <v/>
      </c>
      <c r="D643" s="9">
        <f>IF('Data Source'!B643="","",'Data Source'!V643)</f>
        <v/>
      </c>
      <c r="E643" s="9">
        <f>IF('Data Source'!B643="","",'Data Source'!W643)</f>
        <v/>
      </c>
      <c r="F643" s="9">
        <f>IF('Data Source'!B643="","",'Data Source'!X643)</f>
        <v/>
      </c>
      <c r="G643" s="9">
        <f>IF('Data Source'!B643="","",'Data Source'!Y643)</f>
        <v/>
      </c>
      <c r="H643" s="9">
        <f>IF('Data Source'!B643="","",'Data Source'!Z643)</f>
        <v/>
      </c>
      <c r="I643" s="9">
        <f>IF('Data Source'!B643="","",'Data Source'!AA643)</f>
        <v/>
      </c>
      <c r="J643" s="9">
        <f>IF('Data Source'!B643="","",'Data Source'!AB643)</f>
        <v/>
      </c>
      <c r="K643" s="9">
        <f>IF('Data Source'!B643="","",'Data Source'!AC643)</f>
        <v/>
      </c>
      <c r="L643" s="9">
        <f>IF('Data Source'!B643="","",'Data Source'!AD643)</f>
        <v/>
      </c>
      <c r="M643" s="9">
        <f>IF('Data Source'!B643="","",'Data Source'!AE643)</f>
        <v/>
      </c>
      <c r="N643" s="9">
        <f>IF('Data Source'!B643="","",'Data Source'!AF643)</f>
        <v/>
      </c>
      <c r="O643" s="9">
        <f>IF('Data Source'!B643="","",'Data Source'!AG643)</f>
        <v/>
      </c>
      <c r="P643" s="5">
        <f>IF('Data Source'!B643="","",'Data Source'!R643)</f>
        <v/>
      </c>
      <c r="Q643" s="3">
        <f>IF('Data Source'!B643="","",'Data Source'!S643)</f>
        <v/>
      </c>
    </row>
    <row r="644">
      <c r="A644" s="3">
        <f>IF('Data Source'!B644="","",'Data Source'!A644)</f>
        <v/>
      </c>
      <c r="B644">
        <f>IF('Data Source'!B644="","",'Data Source'!B644)</f>
        <v/>
      </c>
      <c r="C644" s="9">
        <f>IF('Data Source'!B644="","",'Data Source'!U644)</f>
        <v/>
      </c>
      <c r="D644" s="9">
        <f>IF('Data Source'!B644="","",'Data Source'!V644)</f>
        <v/>
      </c>
      <c r="E644" s="9">
        <f>IF('Data Source'!B644="","",'Data Source'!W644)</f>
        <v/>
      </c>
      <c r="F644" s="9">
        <f>IF('Data Source'!B644="","",'Data Source'!X644)</f>
        <v/>
      </c>
      <c r="G644" s="9">
        <f>IF('Data Source'!B644="","",'Data Source'!Y644)</f>
        <v/>
      </c>
      <c r="H644" s="9">
        <f>IF('Data Source'!B644="","",'Data Source'!Z644)</f>
        <v/>
      </c>
      <c r="I644" s="9">
        <f>IF('Data Source'!B644="","",'Data Source'!AA644)</f>
        <v/>
      </c>
      <c r="J644" s="9">
        <f>IF('Data Source'!B644="","",'Data Source'!AB644)</f>
        <v/>
      </c>
      <c r="K644" s="9">
        <f>IF('Data Source'!B644="","",'Data Source'!AC644)</f>
        <v/>
      </c>
      <c r="L644" s="9">
        <f>IF('Data Source'!B644="","",'Data Source'!AD644)</f>
        <v/>
      </c>
      <c r="M644" s="9">
        <f>IF('Data Source'!B644="","",'Data Source'!AE644)</f>
        <v/>
      </c>
      <c r="N644" s="9">
        <f>IF('Data Source'!B644="","",'Data Source'!AF644)</f>
        <v/>
      </c>
      <c r="O644" s="9">
        <f>IF('Data Source'!B644="","",'Data Source'!AG644)</f>
        <v/>
      </c>
      <c r="P644" s="5">
        <f>IF('Data Source'!B644="","",'Data Source'!R644)</f>
        <v/>
      </c>
      <c r="Q644" s="3">
        <f>IF('Data Source'!B644="","",'Data Source'!S644)</f>
        <v/>
      </c>
    </row>
    <row r="645">
      <c r="A645" s="3">
        <f>IF('Data Source'!B645="","",'Data Source'!A645)</f>
        <v/>
      </c>
      <c r="B645">
        <f>IF('Data Source'!B645="","",'Data Source'!B645)</f>
        <v/>
      </c>
      <c r="C645" s="9">
        <f>IF('Data Source'!B645="","",'Data Source'!U645)</f>
        <v/>
      </c>
      <c r="D645" s="9">
        <f>IF('Data Source'!B645="","",'Data Source'!V645)</f>
        <v/>
      </c>
      <c r="E645" s="9">
        <f>IF('Data Source'!B645="","",'Data Source'!W645)</f>
        <v/>
      </c>
      <c r="F645" s="9">
        <f>IF('Data Source'!B645="","",'Data Source'!X645)</f>
        <v/>
      </c>
      <c r="G645" s="9">
        <f>IF('Data Source'!B645="","",'Data Source'!Y645)</f>
        <v/>
      </c>
      <c r="H645" s="9">
        <f>IF('Data Source'!B645="","",'Data Source'!Z645)</f>
        <v/>
      </c>
      <c r="I645" s="9">
        <f>IF('Data Source'!B645="","",'Data Source'!AA645)</f>
        <v/>
      </c>
      <c r="J645" s="9">
        <f>IF('Data Source'!B645="","",'Data Source'!AB645)</f>
        <v/>
      </c>
      <c r="K645" s="9">
        <f>IF('Data Source'!B645="","",'Data Source'!AC645)</f>
        <v/>
      </c>
      <c r="L645" s="9">
        <f>IF('Data Source'!B645="","",'Data Source'!AD645)</f>
        <v/>
      </c>
      <c r="M645" s="9">
        <f>IF('Data Source'!B645="","",'Data Source'!AE645)</f>
        <v/>
      </c>
      <c r="N645" s="9">
        <f>IF('Data Source'!B645="","",'Data Source'!AF645)</f>
        <v/>
      </c>
      <c r="O645" s="9">
        <f>IF('Data Source'!B645="","",'Data Source'!AG645)</f>
        <v/>
      </c>
      <c r="P645" s="5">
        <f>IF('Data Source'!B645="","",'Data Source'!R645)</f>
        <v/>
      </c>
      <c r="Q645" s="3">
        <f>IF('Data Source'!B645="","",'Data Source'!S645)</f>
        <v/>
      </c>
    </row>
    <row r="646">
      <c r="A646" s="3">
        <f>IF('Data Source'!B646="","",'Data Source'!A646)</f>
        <v/>
      </c>
      <c r="B646">
        <f>IF('Data Source'!B646="","",'Data Source'!B646)</f>
        <v/>
      </c>
      <c r="C646" s="9">
        <f>IF('Data Source'!B646="","",'Data Source'!U646)</f>
        <v/>
      </c>
      <c r="D646" s="9">
        <f>IF('Data Source'!B646="","",'Data Source'!V646)</f>
        <v/>
      </c>
      <c r="E646" s="9">
        <f>IF('Data Source'!B646="","",'Data Source'!W646)</f>
        <v/>
      </c>
      <c r="F646" s="9">
        <f>IF('Data Source'!B646="","",'Data Source'!X646)</f>
        <v/>
      </c>
      <c r="G646" s="9">
        <f>IF('Data Source'!B646="","",'Data Source'!Y646)</f>
        <v/>
      </c>
      <c r="H646" s="9">
        <f>IF('Data Source'!B646="","",'Data Source'!Z646)</f>
        <v/>
      </c>
      <c r="I646" s="9">
        <f>IF('Data Source'!B646="","",'Data Source'!AA646)</f>
        <v/>
      </c>
      <c r="J646" s="9">
        <f>IF('Data Source'!B646="","",'Data Source'!AB646)</f>
        <v/>
      </c>
      <c r="K646" s="9">
        <f>IF('Data Source'!B646="","",'Data Source'!AC646)</f>
        <v/>
      </c>
      <c r="L646" s="9">
        <f>IF('Data Source'!B646="","",'Data Source'!AD646)</f>
        <v/>
      </c>
      <c r="M646" s="9">
        <f>IF('Data Source'!B646="","",'Data Source'!AE646)</f>
        <v/>
      </c>
      <c r="N646" s="9">
        <f>IF('Data Source'!B646="","",'Data Source'!AF646)</f>
        <v/>
      </c>
      <c r="O646" s="9">
        <f>IF('Data Source'!B646="","",'Data Source'!AG646)</f>
        <v/>
      </c>
      <c r="P646" s="5">
        <f>IF('Data Source'!B646="","",'Data Source'!R646)</f>
        <v/>
      </c>
      <c r="Q646" s="3">
        <f>IF('Data Source'!B646="","",'Data Source'!S646)</f>
        <v/>
      </c>
    </row>
    <row r="647">
      <c r="A647" s="3">
        <f>IF('Data Source'!B647="","",'Data Source'!A647)</f>
        <v/>
      </c>
      <c r="B647">
        <f>IF('Data Source'!B647="","",'Data Source'!B647)</f>
        <v/>
      </c>
      <c r="C647" s="9">
        <f>IF('Data Source'!B647="","",'Data Source'!U647)</f>
        <v/>
      </c>
      <c r="D647" s="9">
        <f>IF('Data Source'!B647="","",'Data Source'!V647)</f>
        <v/>
      </c>
      <c r="E647" s="9">
        <f>IF('Data Source'!B647="","",'Data Source'!W647)</f>
        <v/>
      </c>
      <c r="F647" s="9">
        <f>IF('Data Source'!B647="","",'Data Source'!X647)</f>
        <v/>
      </c>
      <c r="G647" s="9">
        <f>IF('Data Source'!B647="","",'Data Source'!Y647)</f>
        <v/>
      </c>
      <c r="H647" s="9">
        <f>IF('Data Source'!B647="","",'Data Source'!Z647)</f>
        <v/>
      </c>
      <c r="I647" s="9">
        <f>IF('Data Source'!B647="","",'Data Source'!AA647)</f>
        <v/>
      </c>
      <c r="J647" s="9">
        <f>IF('Data Source'!B647="","",'Data Source'!AB647)</f>
        <v/>
      </c>
      <c r="K647" s="9">
        <f>IF('Data Source'!B647="","",'Data Source'!AC647)</f>
        <v/>
      </c>
      <c r="L647" s="9">
        <f>IF('Data Source'!B647="","",'Data Source'!AD647)</f>
        <v/>
      </c>
      <c r="M647" s="9">
        <f>IF('Data Source'!B647="","",'Data Source'!AE647)</f>
        <v/>
      </c>
      <c r="N647" s="9">
        <f>IF('Data Source'!B647="","",'Data Source'!AF647)</f>
        <v/>
      </c>
      <c r="O647" s="9">
        <f>IF('Data Source'!B647="","",'Data Source'!AG647)</f>
        <v/>
      </c>
      <c r="P647" s="5">
        <f>IF('Data Source'!B647="","",'Data Source'!R647)</f>
        <v/>
      </c>
      <c r="Q647" s="3">
        <f>IF('Data Source'!B647="","",'Data Source'!S647)</f>
        <v/>
      </c>
    </row>
    <row r="648">
      <c r="A648" s="3">
        <f>IF('Data Source'!B648="","",'Data Source'!A648)</f>
        <v/>
      </c>
      <c r="B648">
        <f>IF('Data Source'!B648="","",'Data Source'!B648)</f>
        <v/>
      </c>
      <c r="C648" s="9">
        <f>IF('Data Source'!B648="","",'Data Source'!U648)</f>
        <v/>
      </c>
      <c r="D648" s="9">
        <f>IF('Data Source'!B648="","",'Data Source'!V648)</f>
        <v/>
      </c>
      <c r="E648" s="9">
        <f>IF('Data Source'!B648="","",'Data Source'!W648)</f>
        <v/>
      </c>
      <c r="F648" s="9">
        <f>IF('Data Source'!B648="","",'Data Source'!X648)</f>
        <v/>
      </c>
      <c r="G648" s="9">
        <f>IF('Data Source'!B648="","",'Data Source'!Y648)</f>
        <v/>
      </c>
      <c r="H648" s="9">
        <f>IF('Data Source'!B648="","",'Data Source'!Z648)</f>
        <v/>
      </c>
      <c r="I648" s="9">
        <f>IF('Data Source'!B648="","",'Data Source'!AA648)</f>
        <v/>
      </c>
      <c r="J648" s="9">
        <f>IF('Data Source'!B648="","",'Data Source'!AB648)</f>
        <v/>
      </c>
      <c r="K648" s="9">
        <f>IF('Data Source'!B648="","",'Data Source'!AC648)</f>
        <v/>
      </c>
      <c r="L648" s="9">
        <f>IF('Data Source'!B648="","",'Data Source'!AD648)</f>
        <v/>
      </c>
      <c r="M648" s="9">
        <f>IF('Data Source'!B648="","",'Data Source'!AE648)</f>
        <v/>
      </c>
      <c r="N648" s="9">
        <f>IF('Data Source'!B648="","",'Data Source'!AF648)</f>
        <v/>
      </c>
      <c r="O648" s="9">
        <f>IF('Data Source'!B648="","",'Data Source'!AG648)</f>
        <v/>
      </c>
      <c r="P648" s="5">
        <f>IF('Data Source'!B648="","",'Data Source'!R648)</f>
        <v/>
      </c>
      <c r="Q648" s="3">
        <f>IF('Data Source'!B648="","",'Data Source'!S648)</f>
        <v/>
      </c>
    </row>
    <row r="649">
      <c r="A649" s="3">
        <f>IF('Data Source'!B649="","",'Data Source'!A649)</f>
        <v/>
      </c>
      <c r="B649">
        <f>IF('Data Source'!B649="","",'Data Source'!B649)</f>
        <v/>
      </c>
      <c r="C649" s="9">
        <f>IF('Data Source'!B649="","",'Data Source'!U649)</f>
        <v/>
      </c>
      <c r="D649" s="9">
        <f>IF('Data Source'!B649="","",'Data Source'!V649)</f>
        <v/>
      </c>
      <c r="E649" s="9">
        <f>IF('Data Source'!B649="","",'Data Source'!W649)</f>
        <v/>
      </c>
      <c r="F649" s="9">
        <f>IF('Data Source'!B649="","",'Data Source'!X649)</f>
        <v/>
      </c>
      <c r="G649" s="9">
        <f>IF('Data Source'!B649="","",'Data Source'!Y649)</f>
        <v/>
      </c>
      <c r="H649" s="9">
        <f>IF('Data Source'!B649="","",'Data Source'!Z649)</f>
        <v/>
      </c>
      <c r="I649" s="9">
        <f>IF('Data Source'!B649="","",'Data Source'!AA649)</f>
        <v/>
      </c>
      <c r="J649" s="9">
        <f>IF('Data Source'!B649="","",'Data Source'!AB649)</f>
        <v/>
      </c>
      <c r="K649" s="9">
        <f>IF('Data Source'!B649="","",'Data Source'!AC649)</f>
        <v/>
      </c>
      <c r="L649" s="9">
        <f>IF('Data Source'!B649="","",'Data Source'!AD649)</f>
        <v/>
      </c>
      <c r="M649" s="9">
        <f>IF('Data Source'!B649="","",'Data Source'!AE649)</f>
        <v/>
      </c>
      <c r="N649" s="9">
        <f>IF('Data Source'!B649="","",'Data Source'!AF649)</f>
        <v/>
      </c>
      <c r="O649" s="9">
        <f>IF('Data Source'!B649="","",'Data Source'!AG649)</f>
        <v/>
      </c>
      <c r="P649" s="5">
        <f>IF('Data Source'!B649="","",'Data Source'!R649)</f>
        <v/>
      </c>
      <c r="Q649" s="3">
        <f>IF('Data Source'!B649="","",'Data Source'!S649)</f>
        <v/>
      </c>
    </row>
    <row r="650">
      <c r="A650" s="3">
        <f>IF('Data Source'!B650="","",'Data Source'!A650)</f>
        <v/>
      </c>
      <c r="B650">
        <f>IF('Data Source'!B650="","",'Data Source'!B650)</f>
        <v/>
      </c>
      <c r="C650" s="9">
        <f>IF('Data Source'!B650="","",'Data Source'!U650)</f>
        <v/>
      </c>
      <c r="D650" s="9">
        <f>IF('Data Source'!B650="","",'Data Source'!V650)</f>
        <v/>
      </c>
      <c r="E650" s="9">
        <f>IF('Data Source'!B650="","",'Data Source'!W650)</f>
        <v/>
      </c>
      <c r="F650" s="9">
        <f>IF('Data Source'!B650="","",'Data Source'!X650)</f>
        <v/>
      </c>
      <c r="G650" s="9">
        <f>IF('Data Source'!B650="","",'Data Source'!Y650)</f>
        <v/>
      </c>
      <c r="H650" s="9">
        <f>IF('Data Source'!B650="","",'Data Source'!Z650)</f>
        <v/>
      </c>
      <c r="I650" s="9">
        <f>IF('Data Source'!B650="","",'Data Source'!AA650)</f>
        <v/>
      </c>
      <c r="J650" s="9">
        <f>IF('Data Source'!B650="","",'Data Source'!AB650)</f>
        <v/>
      </c>
      <c r="K650" s="9">
        <f>IF('Data Source'!B650="","",'Data Source'!AC650)</f>
        <v/>
      </c>
      <c r="L650" s="9">
        <f>IF('Data Source'!B650="","",'Data Source'!AD650)</f>
        <v/>
      </c>
      <c r="M650" s="9">
        <f>IF('Data Source'!B650="","",'Data Source'!AE650)</f>
        <v/>
      </c>
      <c r="N650" s="9">
        <f>IF('Data Source'!B650="","",'Data Source'!AF650)</f>
        <v/>
      </c>
      <c r="O650" s="9">
        <f>IF('Data Source'!B650="","",'Data Source'!AG650)</f>
        <v/>
      </c>
      <c r="P650" s="5">
        <f>IF('Data Source'!B650="","",'Data Source'!R650)</f>
        <v/>
      </c>
      <c r="Q650" s="3">
        <f>IF('Data Source'!B650="","",'Data Source'!S650)</f>
        <v/>
      </c>
    </row>
    <row r="651">
      <c r="A651" s="3">
        <f>IF('Data Source'!B651="","",'Data Source'!A651)</f>
        <v/>
      </c>
      <c r="B651">
        <f>IF('Data Source'!B651="","",'Data Source'!B651)</f>
        <v/>
      </c>
      <c r="C651" s="9">
        <f>IF('Data Source'!B651="","",'Data Source'!U651)</f>
        <v/>
      </c>
      <c r="D651" s="9">
        <f>IF('Data Source'!B651="","",'Data Source'!V651)</f>
        <v/>
      </c>
      <c r="E651" s="9">
        <f>IF('Data Source'!B651="","",'Data Source'!W651)</f>
        <v/>
      </c>
      <c r="F651" s="9">
        <f>IF('Data Source'!B651="","",'Data Source'!X651)</f>
        <v/>
      </c>
      <c r="G651" s="9">
        <f>IF('Data Source'!B651="","",'Data Source'!Y651)</f>
        <v/>
      </c>
      <c r="H651" s="9">
        <f>IF('Data Source'!B651="","",'Data Source'!Z651)</f>
        <v/>
      </c>
      <c r="I651" s="9">
        <f>IF('Data Source'!B651="","",'Data Source'!AA651)</f>
        <v/>
      </c>
      <c r="J651" s="9">
        <f>IF('Data Source'!B651="","",'Data Source'!AB651)</f>
        <v/>
      </c>
      <c r="K651" s="9">
        <f>IF('Data Source'!B651="","",'Data Source'!AC651)</f>
        <v/>
      </c>
      <c r="L651" s="9">
        <f>IF('Data Source'!B651="","",'Data Source'!AD651)</f>
        <v/>
      </c>
      <c r="M651" s="9">
        <f>IF('Data Source'!B651="","",'Data Source'!AE651)</f>
        <v/>
      </c>
      <c r="N651" s="9">
        <f>IF('Data Source'!B651="","",'Data Source'!AF651)</f>
        <v/>
      </c>
      <c r="O651" s="9">
        <f>IF('Data Source'!B651="","",'Data Source'!AG651)</f>
        <v/>
      </c>
      <c r="P651" s="5">
        <f>IF('Data Source'!B651="","",'Data Source'!R651)</f>
        <v/>
      </c>
      <c r="Q651" s="3">
        <f>IF('Data Source'!B651="","",'Data Source'!S651)</f>
        <v/>
      </c>
    </row>
    <row r="652">
      <c r="A652" s="3">
        <f>IF('Data Source'!B652="","",'Data Source'!A652)</f>
        <v/>
      </c>
      <c r="B652">
        <f>IF('Data Source'!B652="","",'Data Source'!B652)</f>
        <v/>
      </c>
      <c r="C652" s="9">
        <f>IF('Data Source'!B652="","",'Data Source'!U652)</f>
        <v/>
      </c>
      <c r="D652" s="9">
        <f>IF('Data Source'!B652="","",'Data Source'!V652)</f>
        <v/>
      </c>
      <c r="E652" s="9">
        <f>IF('Data Source'!B652="","",'Data Source'!W652)</f>
        <v/>
      </c>
      <c r="F652" s="9">
        <f>IF('Data Source'!B652="","",'Data Source'!X652)</f>
        <v/>
      </c>
      <c r="G652" s="9">
        <f>IF('Data Source'!B652="","",'Data Source'!Y652)</f>
        <v/>
      </c>
      <c r="H652" s="9">
        <f>IF('Data Source'!B652="","",'Data Source'!Z652)</f>
        <v/>
      </c>
      <c r="I652" s="9">
        <f>IF('Data Source'!B652="","",'Data Source'!AA652)</f>
        <v/>
      </c>
      <c r="J652" s="9">
        <f>IF('Data Source'!B652="","",'Data Source'!AB652)</f>
        <v/>
      </c>
      <c r="K652" s="9">
        <f>IF('Data Source'!B652="","",'Data Source'!AC652)</f>
        <v/>
      </c>
      <c r="L652" s="9">
        <f>IF('Data Source'!B652="","",'Data Source'!AD652)</f>
        <v/>
      </c>
      <c r="M652" s="9">
        <f>IF('Data Source'!B652="","",'Data Source'!AE652)</f>
        <v/>
      </c>
      <c r="N652" s="9">
        <f>IF('Data Source'!B652="","",'Data Source'!AF652)</f>
        <v/>
      </c>
      <c r="O652" s="9">
        <f>IF('Data Source'!B652="","",'Data Source'!AG652)</f>
        <v/>
      </c>
      <c r="P652" s="5">
        <f>IF('Data Source'!B652="","",'Data Source'!R652)</f>
        <v/>
      </c>
      <c r="Q652" s="3">
        <f>IF('Data Source'!B652="","",'Data Source'!S652)</f>
        <v/>
      </c>
    </row>
    <row r="653">
      <c r="A653" s="3">
        <f>IF('Data Source'!B653="","",'Data Source'!A653)</f>
        <v/>
      </c>
      <c r="B653">
        <f>IF('Data Source'!B653="","",'Data Source'!B653)</f>
        <v/>
      </c>
      <c r="C653" s="9">
        <f>IF('Data Source'!B653="","",'Data Source'!U653)</f>
        <v/>
      </c>
      <c r="D653" s="9">
        <f>IF('Data Source'!B653="","",'Data Source'!V653)</f>
        <v/>
      </c>
      <c r="E653" s="9">
        <f>IF('Data Source'!B653="","",'Data Source'!W653)</f>
        <v/>
      </c>
      <c r="F653" s="9">
        <f>IF('Data Source'!B653="","",'Data Source'!X653)</f>
        <v/>
      </c>
      <c r="G653" s="9">
        <f>IF('Data Source'!B653="","",'Data Source'!Y653)</f>
        <v/>
      </c>
      <c r="H653" s="9">
        <f>IF('Data Source'!B653="","",'Data Source'!Z653)</f>
        <v/>
      </c>
      <c r="I653" s="9">
        <f>IF('Data Source'!B653="","",'Data Source'!AA653)</f>
        <v/>
      </c>
      <c r="J653" s="9">
        <f>IF('Data Source'!B653="","",'Data Source'!AB653)</f>
        <v/>
      </c>
      <c r="K653" s="9">
        <f>IF('Data Source'!B653="","",'Data Source'!AC653)</f>
        <v/>
      </c>
      <c r="L653" s="9">
        <f>IF('Data Source'!B653="","",'Data Source'!AD653)</f>
        <v/>
      </c>
      <c r="M653" s="9">
        <f>IF('Data Source'!B653="","",'Data Source'!AE653)</f>
        <v/>
      </c>
      <c r="N653" s="9">
        <f>IF('Data Source'!B653="","",'Data Source'!AF653)</f>
        <v/>
      </c>
      <c r="O653" s="9">
        <f>IF('Data Source'!B653="","",'Data Source'!AG653)</f>
        <v/>
      </c>
      <c r="P653" s="5">
        <f>IF('Data Source'!B653="","",'Data Source'!R653)</f>
        <v/>
      </c>
      <c r="Q653" s="3">
        <f>IF('Data Source'!B653="","",'Data Source'!S653)</f>
        <v/>
      </c>
    </row>
    <row r="654">
      <c r="A654" s="3">
        <f>IF('Data Source'!B654="","",'Data Source'!A654)</f>
        <v/>
      </c>
      <c r="B654">
        <f>IF('Data Source'!B654="","",'Data Source'!B654)</f>
        <v/>
      </c>
      <c r="C654" s="9">
        <f>IF('Data Source'!B654="","",'Data Source'!U654)</f>
        <v/>
      </c>
      <c r="D654" s="9">
        <f>IF('Data Source'!B654="","",'Data Source'!V654)</f>
        <v/>
      </c>
      <c r="E654" s="9">
        <f>IF('Data Source'!B654="","",'Data Source'!W654)</f>
        <v/>
      </c>
      <c r="F654" s="9">
        <f>IF('Data Source'!B654="","",'Data Source'!X654)</f>
        <v/>
      </c>
      <c r="G654" s="9">
        <f>IF('Data Source'!B654="","",'Data Source'!Y654)</f>
        <v/>
      </c>
      <c r="H654" s="9">
        <f>IF('Data Source'!B654="","",'Data Source'!Z654)</f>
        <v/>
      </c>
      <c r="I654" s="9">
        <f>IF('Data Source'!B654="","",'Data Source'!AA654)</f>
        <v/>
      </c>
      <c r="J654" s="9">
        <f>IF('Data Source'!B654="","",'Data Source'!AB654)</f>
        <v/>
      </c>
      <c r="K654" s="9">
        <f>IF('Data Source'!B654="","",'Data Source'!AC654)</f>
        <v/>
      </c>
      <c r="L654" s="9">
        <f>IF('Data Source'!B654="","",'Data Source'!AD654)</f>
        <v/>
      </c>
      <c r="M654" s="9">
        <f>IF('Data Source'!B654="","",'Data Source'!AE654)</f>
        <v/>
      </c>
      <c r="N654" s="9">
        <f>IF('Data Source'!B654="","",'Data Source'!AF654)</f>
        <v/>
      </c>
      <c r="O654" s="9">
        <f>IF('Data Source'!B654="","",'Data Source'!AG654)</f>
        <v/>
      </c>
      <c r="P654" s="5">
        <f>IF('Data Source'!B654="","",'Data Source'!R654)</f>
        <v/>
      </c>
      <c r="Q654" s="3">
        <f>IF('Data Source'!B654="","",'Data Source'!S654)</f>
        <v/>
      </c>
    </row>
    <row r="655">
      <c r="A655" s="3">
        <f>IF('Data Source'!B655="","",'Data Source'!A655)</f>
        <v/>
      </c>
      <c r="B655">
        <f>IF('Data Source'!B655="","",'Data Source'!B655)</f>
        <v/>
      </c>
      <c r="C655" s="9">
        <f>IF('Data Source'!B655="","",'Data Source'!U655)</f>
        <v/>
      </c>
      <c r="D655" s="9">
        <f>IF('Data Source'!B655="","",'Data Source'!V655)</f>
        <v/>
      </c>
      <c r="E655" s="9">
        <f>IF('Data Source'!B655="","",'Data Source'!W655)</f>
        <v/>
      </c>
      <c r="F655" s="9">
        <f>IF('Data Source'!B655="","",'Data Source'!X655)</f>
        <v/>
      </c>
      <c r="G655" s="9">
        <f>IF('Data Source'!B655="","",'Data Source'!Y655)</f>
        <v/>
      </c>
      <c r="H655" s="9">
        <f>IF('Data Source'!B655="","",'Data Source'!Z655)</f>
        <v/>
      </c>
      <c r="I655" s="9">
        <f>IF('Data Source'!B655="","",'Data Source'!AA655)</f>
        <v/>
      </c>
      <c r="J655" s="9">
        <f>IF('Data Source'!B655="","",'Data Source'!AB655)</f>
        <v/>
      </c>
      <c r="K655" s="9">
        <f>IF('Data Source'!B655="","",'Data Source'!AC655)</f>
        <v/>
      </c>
      <c r="L655" s="9">
        <f>IF('Data Source'!B655="","",'Data Source'!AD655)</f>
        <v/>
      </c>
      <c r="M655" s="9">
        <f>IF('Data Source'!B655="","",'Data Source'!AE655)</f>
        <v/>
      </c>
      <c r="N655" s="9">
        <f>IF('Data Source'!B655="","",'Data Source'!AF655)</f>
        <v/>
      </c>
      <c r="O655" s="9">
        <f>IF('Data Source'!B655="","",'Data Source'!AG655)</f>
        <v/>
      </c>
      <c r="P655" s="5">
        <f>IF('Data Source'!B655="","",'Data Source'!R655)</f>
        <v/>
      </c>
      <c r="Q655" s="3">
        <f>IF('Data Source'!B655="","",'Data Source'!S655)</f>
        <v/>
      </c>
    </row>
    <row r="656">
      <c r="A656" s="3">
        <f>IF('Data Source'!B656="","",'Data Source'!A656)</f>
        <v/>
      </c>
      <c r="B656">
        <f>IF('Data Source'!B656="","",'Data Source'!B656)</f>
        <v/>
      </c>
      <c r="C656" s="9">
        <f>IF('Data Source'!B656="","",'Data Source'!U656)</f>
        <v/>
      </c>
      <c r="D656" s="9">
        <f>IF('Data Source'!B656="","",'Data Source'!V656)</f>
        <v/>
      </c>
      <c r="E656" s="9">
        <f>IF('Data Source'!B656="","",'Data Source'!W656)</f>
        <v/>
      </c>
      <c r="F656" s="9">
        <f>IF('Data Source'!B656="","",'Data Source'!X656)</f>
        <v/>
      </c>
      <c r="G656" s="9">
        <f>IF('Data Source'!B656="","",'Data Source'!Y656)</f>
        <v/>
      </c>
      <c r="H656" s="9">
        <f>IF('Data Source'!B656="","",'Data Source'!Z656)</f>
        <v/>
      </c>
      <c r="I656" s="9">
        <f>IF('Data Source'!B656="","",'Data Source'!AA656)</f>
        <v/>
      </c>
      <c r="J656" s="9">
        <f>IF('Data Source'!B656="","",'Data Source'!AB656)</f>
        <v/>
      </c>
      <c r="K656" s="9">
        <f>IF('Data Source'!B656="","",'Data Source'!AC656)</f>
        <v/>
      </c>
      <c r="L656" s="9">
        <f>IF('Data Source'!B656="","",'Data Source'!AD656)</f>
        <v/>
      </c>
      <c r="M656" s="9">
        <f>IF('Data Source'!B656="","",'Data Source'!AE656)</f>
        <v/>
      </c>
      <c r="N656" s="9">
        <f>IF('Data Source'!B656="","",'Data Source'!AF656)</f>
        <v/>
      </c>
      <c r="O656" s="9">
        <f>IF('Data Source'!B656="","",'Data Source'!AG656)</f>
        <v/>
      </c>
      <c r="P656" s="5">
        <f>IF('Data Source'!B656="","",'Data Source'!R656)</f>
        <v/>
      </c>
      <c r="Q656" s="3">
        <f>IF('Data Source'!B656="","",'Data Source'!S656)</f>
        <v/>
      </c>
    </row>
    <row r="657">
      <c r="A657" s="3">
        <f>IF('Data Source'!B657="","",'Data Source'!A657)</f>
        <v/>
      </c>
      <c r="B657">
        <f>IF('Data Source'!B657="","",'Data Source'!B657)</f>
        <v/>
      </c>
      <c r="C657" s="9">
        <f>IF('Data Source'!B657="","",'Data Source'!U657)</f>
        <v/>
      </c>
      <c r="D657" s="9">
        <f>IF('Data Source'!B657="","",'Data Source'!V657)</f>
        <v/>
      </c>
      <c r="E657" s="9">
        <f>IF('Data Source'!B657="","",'Data Source'!W657)</f>
        <v/>
      </c>
      <c r="F657" s="9">
        <f>IF('Data Source'!B657="","",'Data Source'!X657)</f>
        <v/>
      </c>
      <c r="G657" s="9">
        <f>IF('Data Source'!B657="","",'Data Source'!Y657)</f>
        <v/>
      </c>
      <c r="H657" s="9">
        <f>IF('Data Source'!B657="","",'Data Source'!Z657)</f>
        <v/>
      </c>
      <c r="I657" s="9">
        <f>IF('Data Source'!B657="","",'Data Source'!AA657)</f>
        <v/>
      </c>
      <c r="J657" s="9">
        <f>IF('Data Source'!B657="","",'Data Source'!AB657)</f>
        <v/>
      </c>
      <c r="K657" s="9">
        <f>IF('Data Source'!B657="","",'Data Source'!AC657)</f>
        <v/>
      </c>
      <c r="L657" s="9">
        <f>IF('Data Source'!B657="","",'Data Source'!AD657)</f>
        <v/>
      </c>
      <c r="M657" s="9">
        <f>IF('Data Source'!B657="","",'Data Source'!AE657)</f>
        <v/>
      </c>
      <c r="N657" s="9">
        <f>IF('Data Source'!B657="","",'Data Source'!AF657)</f>
        <v/>
      </c>
      <c r="O657" s="9">
        <f>IF('Data Source'!B657="","",'Data Source'!AG657)</f>
        <v/>
      </c>
      <c r="P657" s="5">
        <f>IF('Data Source'!B657="","",'Data Source'!R657)</f>
        <v/>
      </c>
      <c r="Q657" s="3">
        <f>IF('Data Source'!B657="","",'Data Source'!S657)</f>
        <v/>
      </c>
    </row>
    <row r="658">
      <c r="A658" s="3">
        <f>IF('Data Source'!B658="","",'Data Source'!A658)</f>
        <v/>
      </c>
      <c r="B658">
        <f>IF('Data Source'!B658="","",'Data Source'!B658)</f>
        <v/>
      </c>
      <c r="C658" s="9">
        <f>IF('Data Source'!B658="","",'Data Source'!U658)</f>
        <v/>
      </c>
      <c r="D658" s="9">
        <f>IF('Data Source'!B658="","",'Data Source'!V658)</f>
        <v/>
      </c>
      <c r="E658" s="9">
        <f>IF('Data Source'!B658="","",'Data Source'!W658)</f>
        <v/>
      </c>
      <c r="F658" s="9">
        <f>IF('Data Source'!B658="","",'Data Source'!X658)</f>
        <v/>
      </c>
      <c r="G658" s="9">
        <f>IF('Data Source'!B658="","",'Data Source'!Y658)</f>
        <v/>
      </c>
      <c r="H658" s="9">
        <f>IF('Data Source'!B658="","",'Data Source'!Z658)</f>
        <v/>
      </c>
      <c r="I658" s="9">
        <f>IF('Data Source'!B658="","",'Data Source'!AA658)</f>
        <v/>
      </c>
      <c r="J658" s="9">
        <f>IF('Data Source'!B658="","",'Data Source'!AB658)</f>
        <v/>
      </c>
      <c r="K658" s="9">
        <f>IF('Data Source'!B658="","",'Data Source'!AC658)</f>
        <v/>
      </c>
      <c r="L658" s="9">
        <f>IF('Data Source'!B658="","",'Data Source'!AD658)</f>
        <v/>
      </c>
      <c r="M658" s="9">
        <f>IF('Data Source'!B658="","",'Data Source'!AE658)</f>
        <v/>
      </c>
      <c r="N658" s="9">
        <f>IF('Data Source'!B658="","",'Data Source'!AF658)</f>
        <v/>
      </c>
      <c r="O658" s="9">
        <f>IF('Data Source'!B658="","",'Data Source'!AG658)</f>
        <v/>
      </c>
      <c r="P658" s="5">
        <f>IF('Data Source'!B658="","",'Data Source'!R658)</f>
        <v/>
      </c>
      <c r="Q658" s="3">
        <f>IF('Data Source'!B658="","",'Data Source'!S658)</f>
        <v/>
      </c>
    </row>
    <row r="659">
      <c r="A659" s="3">
        <f>IF('Data Source'!B659="","",'Data Source'!A659)</f>
        <v/>
      </c>
      <c r="B659">
        <f>IF('Data Source'!B659="","",'Data Source'!B659)</f>
        <v/>
      </c>
      <c r="C659" s="9">
        <f>IF('Data Source'!B659="","",'Data Source'!U659)</f>
        <v/>
      </c>
      <c r="D659" s="9">
        <f>IF('Data Source'!B659="","",'Data Source'!V659)</f>
        <v/>
      </c>
      <c r="E659" s="9">
        <f>IF('Data Source'!B659="","",'Data Source'!W659)</f>
        <v/>
      </c>
      <c r="F659" s="9">
        <f>IF('Data Source'!B659="","",'Data Source'!X659)</f>
        <v/>
      </c>
      <c r="G659" s="9">
        <f>IF('Data Source'!B659="","",'Data Source'!Y659)</f>
        <v/>
      </c>
      <c r="H659" s="9">
        <f>IF('Data Source'!B659="","",'Data Source'!Z659)</f>
        <v/>
      </c>
      <c r="I659" s="9">
        <f>IF('Data Source'!B659="","",'Data Source'!AA659)</f>
        <v/>
      </c>
      <c r="J659" s="9">
        <f>IF('Data Source'!B659="","",'Data Source'!AB659)</f>
        <v/>
      </c>
      <c r="K659" s="9">
        <f>IF('Data Source'!B659="","",'Data Source'!AC659)</f>
        <v/>
      </c>
      <c r="L659" s="9">
        <f>IF('Data Source'!B659="","",'Data Source'!AD659)</f>
        <v/>
      </c>
      <c r="M659" s="9">
        <f>IF('Data Source'!B659="","",'Data Source'!AE659)</f>
        <v/>
      </c>
      <c r="N659" s="9">
        <f>IF('Data Source'!B659="","",'Data Source'!AF659)</f>
        <v/>
      </c>
      <c r="O659" s="9">
        <f>IF('Data Source'!B659="","",'Data Source'!AG659)</f>
        <v/>
      </c>
      <c r="P659" s="5">
        <f>IF('Data Source'!B659="","",'Data Source'!R659)</f>
        <v/>
      </c>
      <c r="Q659" s="3">
        <f>IF('Data Source'!B659="","",'Data Source'!S659)</f>
        <v/>
      </c>
    </row>
    <row r="660">
      <c r="A660" s="3">
        <f>IF('Data Source'!B660="","",'Data Source'!A660)</f>
        <v/>
      </c>
      <c r="B660">
        <f>IF('Data Source'!B660="","",'Data Source'!B660)</f>
        <v/>
      </c>
      <c r="C660" s="9">
        <f>IF('Data Source'!B660="","",'Data Source'!U660)</f>
        <v/>
      </c>
      <c r="D660" s="9">
        <f>IF('Data Source'!B660="","",'Data Source'!V660)</f>
        <v/>
      </c>
      <c r="E660" s="9">
        <f>IF('Data Source'!B660="","",'Data Source'!W660)</f>
        <v/>
      </c>
      <c r="F660" s="9">
        <f>IF('Data Source'!B660="","",'Data Source'!X660)</f>
        <v/>
      </c>
      <c r="G660" s="9">
        <f>IF('Data Source'!B660="","",'Data Source'!Y660)</f>
        <v/>
      </c>
      <c r="H660" s="9">
        <f>IF('Data Source'!B660="","",'Data Source'!Z660)</f>
        <v/>
      </c>
      <c r="I660" s="9">
        <f>IF('Data Source'!B660="","",'Data Source'!AA660)</f>
        <v/>
      </c>
      <c r="J660" s="9">
        <f>IF('Data Source'!B660="","",'Data Source'!AB660)</f>
        <v/>
      </c>
      <c r="K660" s="9">
        <f>IF('Data Source'!B660="","",'Data Source'!AC660)</f>
        <v/>
      </c>
      <c r="L660" s="9">
        <f>IF('Data Source'!B660="","",'Data Source'!AD660)</f>
        <v/>
      </c>
      <c r="M660" s="9">
        <f>IF('Data Source'!B660="","",'Data Source'!AE660)</f>
        <v/>
      </c>
      <c r="N660" s="9">
        <f>IF('Data Source'!B660="","",'Data Source'!AF660)</f>
        <v/>
      </c>
      <c r="O660" s="9">
        <f>IF('Data Source'!B660="","",'Data Source'!AG660)</f>
        <v/>
      </c>
      <c r="P660" s="5">
        <f>IF('Data Source'!B660="","",'Data Source'!R660)</f>
        <v/>
      </c>
      <c r="Q660" s="3">
        <f>IF('Data Source'!B660="","",'Data Source'!S660)</f>
        <v/>
      </c>
    </row>
    <row r="661">
      <c r="A661" s="3">
        <f>IF('Data Source'!B661="","",'Data Source'!A661)</f>
        <v/>
      </c>
      <c r="B661">
        <f>IF('Data Source'!B661="","",'Data Source'!B661)</f>
        <v/>
      </c>
      <c r="C661" s="9">
        <f>IF('Data Source'!B661="","",'Data Source'!U661)</f>
        <v/>
      </c>
      <c r="D661" s="9">
        <f>IF('Data Source'!B661="","",'Data Source'!V661)</f>
        <v/>
      </c>
      <c r="E661" s="9">
        <f>IF('Data Source'!B661="","",'Data Source'!W661)</f>
        <v/>
      </c>
      <c r="F661" s="9">
        <f>IF('Data Source'!B661="","",'Data Source'!X661)</f>
        <v/>
      </c>
      <c r="G661" s="9">
        <f>IF('Data Source'!B661="","",'Data Source'!Y661)</f>
        <v/>
      </c>
      <c r="H661" s="9">
        <f>IF('Data Source'!B661="","",'Data Source'!Z661)</f>
        <v/>
      </c>
      <c r="I661" s="9">
        <f>IF('Data Source'!B661="","",'Data Source'!AA661)</f>
        <v/>
      </c>
      <c r="J661" s="9">
        <f>IF('Data Source'!B661="","",'Data Source'!AB661)</f>
        <v/>
      </c>
      <c r="K661" s="9">
        <f>IF('Data Source'!B661="","",'Data Source'!AC661)</f>
        <v/>
      </c>
      <c r="L661" s="9">
        <f>IF('Data Source'!B661="","",'Data Source'!AD661)</f>
        <v/>
      </c>
      <c r="M661" s="9">
        <f>IF('Data Source'!B661="","",'Data Source'!AE661)</f>
        <v/>
      </c>
      <c r="N661" s="9">
        <f>IF('Data Source'!B661="","",'Data Source'!AF661)</f>
        <v/>
      </c>
      <c r="O661" s="9">
        <f>IF('Data Source'!B661="","",'Data Source'!AG661)</f>
        <v/>
      </c>
      <c r="P661" s="5">
        <f>IF('Data Source'!B661="","",'Data Source'!R661)</f>
        <v/>
      </c>
      <c r="Q661" s="3">
        <f>IF('Data Source'!B661="","",'Data Source'!S661)</f>
        <v/>
      </c>
    </row>
    <row r="662">
      <c r="A662" s="3">
        <f>IF('Data Source'!B662="","",'Data Source'!A662)</f>
        <v/>
      </c>
      <c r="B662">
        <f>IF('Data Source'!B662="","",'Data Source'!B662)</f>
        <v/>
      </c>
      <c r="C662" s="9">
        <f>IF('Data Source'!B662="","",'Data Source'!U662)</f>
        <v/>
      </c>
      <c r="D662" s="9">
        <f>IF('Data Source'!B662="","",'Data Source'!V662)</f>
        <v/>
      </c>
      <c r="E662" s="9">
        <f>IF('Data Source'!B662="","",'Data Source'!W662)</f>
        <v/>
      </c>
      <c r="F662" s="9">
        <f>IF('Data Source'!B662="","",'Data Source'!X662)</f>
        <v/>
      </c>
      <c r="G662" s="9">
        <f>IF('Data Source'!B662="","",'Data Source'!Y662)</f>
        <v/>
      </c>
      <c r="H662" s="9">
        <f>IF('Data Source'!B662="","",'Data Source'!Z662)</f>
        <v/>
      </c>
      <c r="I662" s="9">
        <f>IF('Data Source'!B662="","",'Data Source'!AA662)</f>
        <v/>
      </c>
      <c r="J662" s="9">
        <f>IF('Data Source'!B662="","",'Data Source'!AB662)</f>
        <v/>
      </c>
      <c r="K662" s="9">
        <f>IF('Data Source'!B662="","",'Data Source'!AC662)</f>
        <v/>
      </c>
      <c r="L662" s="9">
        <f>IF('Data Source'!B662="","",'Data Source'!AD662)</f>
        <v/>
      </c>
      <c r="M662" s="9">
        <f>IF('Data Source'!B662="","",'Data Source'!AE662)</f>
        <v/>
      </c>
      <c r="N662" s="9">
        <f>IF('Data Source'!B662="","",'Data Source'!AF662)</f>
        <v/>
      </c>
      <c r="O662" s="9">
        <f>IF('Data Source'!B662="","",'Data Source'!AG662)</f>
        <v/>
      </c>
      <c r="P662" s="5">
        <f>IF('Data Source'!B662="","",'Data Source'!R662)</f>
        <v/>
      </c>
      <c r="Q662" s="3">
        <f>IF('Data Source'!B662="","",'Data Source'!S662)</f>
        <v/>
      </c>
    </row>
    <row r="663">
      <c r="A663" s="3">
        <f>IF('Data Source'!B663="","",'Data Source'!A663)</f>
        <v/>
      </c>
      <c r="B663">
        <f>IF('Data Source'!B663="","",'Data Source'!B663)</f>
        <v/>
      </c>
      <c r="C663" s="9">
        <f>IF('Data Source'!B663="","",'Data Source'!U663)</f>
        <v/>
      </c>
      <c r="D663" s="9">
        <f>IF('Data Source'!B663="","",'Data Source'!V663)</f>
        <v/>
      </c>
      <c r="E663" s="9">
        <f>IF('Data Source'!B663="","",'Data Source'!W663)</f>
        <v/>
      </c>
      <c r="F663" s="9">
        <f>IF('Data Source'!B663="","",'Data Source'!X663)</f>
        <v/>
      </c>
      <c r="G663" s="9">
        <f>IF('Data Source'!B663="","",'Data Source'!Y663)</f>
        <v/>
      </c>
      <c r="H663" s="9">
        <f>IF('Data Source'!B663="","",'Data Source'!Z663)</f>
        <v/>
      </c>
      <c r="I663" s="9">
        <f>IF('Data Source'!B663="","",'Data Source'!AA663)</f>
        <v/>
      </c>
      <c r="J663" s="9">
        <f>IF('Data Source'!B663="","",'Data Source'!AB663)</f>
        <v/>
      </c>
      <c r="K663" s="9">
        <f>IF('Data Source'!B663="","",'Data Source'!AC663)</f>
        <v/>
      </c>
      <c r="L663" s="9">
        <f>IF('Data Source'!B663="","",'Data Source'!AD663)</f>
        <v/>
      </c>
      <c r="M663" s="9">
        <f>IF('Data Source'!B663="","",'Data Source'!AE663)</f>
        <v/>
      </c>
      <c r="N663" s="9">
        <f>IF('Data Source'!B663="","",'Data Source'!AF663)</f>
        <v/>
      </c>
      <c r="O663" s="9">
        <f>IF('Data Source'!B663="","",'Data Source'!AG663)</f>
        <v/>
      </c>
      <c r="P663" s="5">
        <f>IF('Data Source'!B663="","",'Data Source'!R663)</f>
        <v/>
      </c>
      <c r="Q663" s="3">
        <f>IF('Data Source'!B663="","",'Data Source'!S663)</f>
        <v/>
      </c>
    </row>
    <row r="664">
      <c r="A664" s="3">
        <f>IF('Data Source'!B664="","",'Data Source'!A664)</f>
        <v/>
      </c>
      <c r="B664">
        <f>IF('Data Source'!B664="","",'Data Source'!B664)</f>
        <v/>
      </c>
      <c r="C664" s="9">
        <f>IF('Data Source'!B664="","",'Data Source'!U664)</f>
        <v/>
      </c>
      <c r="D664" s="9">
        <f>IF('Data Source'!B664="","",'Data Source'!V664)</f>
        <v/>
      </c>
      <c r="E664" s="9">
        <f>IF('Data Source'!B664="","",'Data Source'!W664)</f>
        <v/>
      </c>
      <c r="F664" s="9">
        <f>IF('Data Source'!B664="","",'Data Source'!X664)</f>
        <v/>
      </c>
      <c r="G664" s="9">
        <f>IF('Data Source'!B664="","",'Data Source'!Y664)</f>
        <v/>
      </c>
      <c r="H664" s="9">
        <f>IF('Data Source'!B664="","",'Data Source'!Z664)</f>
        <v/>
      </c>
      <c r="I664" s="9">
        <f>IF('Data Source'!B664="","",'Data Source'!AA664)</f>
        <v/>
      </c>
      <c r="J664" s="9">
        <f>IF('Data Source'!B664="","",'Data Source'!AB664)</f>
        <v/>
      </c>
      <c r="K664" s="9">
        <f>IF('Data Source'!B664="","",'Data Source'!AC664)</f>
        <v/>
      </c>
      <c r="L664" s="9">
        <f>IF('Data Source'!B664="","",'Data Source'!AD664)</f>
        <v/>
      </c>
      <c r="M664" s="9">
        <f>IF('Data Source'!B664="","",'Data Source'!AE664)</f>
        <v/>
      </c>
      <c r="N664" s="9">
        <f>IF('Data Source'!B664="","",'Data Source'!AF664)</f>
        <v/>
      </c>
      <c r="O664" s="9">
        <f>IF('Data Source'!B664="","",'Data Source'!AG664)</f>
        <v/>
      </c>
      <c r="P664" s="5">
        <f>IF('Data Source'!B664="","",'Data Source'!R664)</f>
        <v/>
      </c>
      <c r="Q664" s="3">
        <f>IF('Data Source'!B664="","",'Data Source'!S664)</f>
        <v/>
      </c>
    </row>
    <row r="665">
      <c r="A665" s="3">
        <f>IF('Data Source'!B665="","",'Data Source'!A665)</f>
        <v/>
      </c>
      <c r="B665">
        <f>IF('Data Source'!B665="","",'Data Source'!B665)</f>
        <v/>
      </c>
      <c r="C665" s="9">
        <f>IF('Data Source'!B665="","",'Data Source'!U665)</f>
        <v/>
      </c>
      <c r="D665" s="9">
        <f>IF('Data Source'!B665="","",'Data Source'!V665)</f>
        <v/>
      </c>
      <c r="E665" s="9">
        <f>IF('Data Source'!B665="","",'Data Source'!W665)</f>
        <v/>
      </c>
      <c r="F665" s="9">
        <f>IF('Data Source'!B665="","",'Data Source'!X665)</f>
        <v/>
      </c>
      <c r="G665" s="9">
        <f>IF('Data Source'!B665="","",'Data Source'!Y665)</f>
        <v/>
      </c>
      <c r="H665" s="9">
        <f>IF('Data Source'!B665="","",'Data Source'!Z665)</f>
        <v/>
      </c>
      <c r="I665" s="9">
        <f>IF('Data Source'!B665="","",'Data Source'!AA665)</f>
        <v/>
      </c>
      <c r="J665" s="9">
        <f>IF('Data Source'!B665="","",'Data Source'!AB665)</f>
        <v/>
      </c>
      <c r="K665" s="9">
        <f>IF('Data Source'!B665="","",'Data Source'!AC665)</f>
        <v/>
      </c>
      <c r="L665" s="9">
        <f>IF('Data Source'!B665="","",'Data Source'!AD665)</f>
        <v/>
      </c>
      <c r="M665" s="9">
        <f>IF('Data Source'!B665="","",'Data Source'!AE665)</f>
        <v/>
      </c>
      <c r="N665" s="9">
        <f>IF('Data Source'!B665="","",'Data Source'!AF665)</f>
        <v/>
      </c>
      <c r="O665" s="9">
        <f>IF('Data Source'!B665="","",'Data Source'!AG665)</f>
        <v/>
      </c>
      <c r="P665" s="5">
        <f>IF('Data Source'!B665="","",'Data Source'!R665)</f>
        <v/>
      </c>
      <c r="Q665" s="3">
        <f>IF('Data Source'!B665="","",'Data Source'!S665)</f>
        <v/>
      </c>
    </row>
    <row r="666">
      <c r="A666" s="3">
        <f>IF('Data Source'!B666="","",'Data Source'!A666)</f>
        <v/>
      </c>
      <c r="B666">
        <f>IF('Data Source'!B666="","",'Data Source'!B666)</f>
        <v/>
      </c>
      <c r="C666" s="9">
        <f>IF('Data Source'!B666="","",'Data Source'!U666)</f>
        <v/>
      </c>
      <c r="D666" s="9">
        <f>IF('Data Source'!B666="","",'Data Source'!V666)</f>
        <v/>
      </c>
      <c r="E666" s="9">
        <f>IF('Data Source'!B666="","",'Data Source'!W666)</f>
        <v/>
      </c>
      <c r="F666" s="9">
        <f>IF('Data Source'!B666="","",'Data Source'!X666)</f>
        <v/>
      </c>
      <c r="G666" s="9">
        <f>IF('Data Source'!B666="","",'Data Source'!Y666)</f>
        <v/>
      </c>
      <c r="H666" s="9">
        <f>IF('Data Source'!B666="","",'Data Source'!Z666)</f>
        <v/>
      </c>
      <c r="I666" s="9">
        <f>IF('Data Source'!B666="","",'Data Source'!AA666)</f>
        <v/>
      </c>
      <c r="J666" s="9">
        <f>IF('Data Source'!B666="","",'Data Source'!AB666)</f>
        <v/>
      </c>
      <c r="K666" s="9">
        <f>IF('Data Source'!B666="","",'Data Source'!AC666)</f>
        <v/>
      </c>
      <c r="L666" s="9">
        <f>IF('Data Source'!B666="","",'Data Source'!AD666)</f>
        <v/>
      </c>
      <c r="M666" s="9">
        <f>IF('Data Source'!B666="","",'Data Source'!AE666)</f>
        <v/>
      </c>
      <c r="N666" s="9">
        <f>IF('Data Source'!B666="","",'Data Source'!AF666)</f>
        <v/>
      </c>
      <c r="O666" s="9">
        <f>IF('Data Source'!B666="","",'Data Source'!AG666)</f>
        <v/>
      </c>
      <c r="P666" s="5">
        <f>IF('Data Source'!B666="","",'Data Source'!R666)</f>
        <v/>
      </c>
      <c r="Q666" s="3">
        <f>IF('Data Source'!B666="","",'Data Source'!S666)</f>
        <v/>
      </c>
    </row>
    <row r="667">
      <c r="A667" s="3">
        <f>IF('Data Source'!B667="","",'Data Source'!A667)</f>
        <v/>
      </c>
      <c r="B667">
        <f>IF('Data Source'!B667="","",'Data Source'!B667)</f>
        <v/>
      </c>
      <c r="C667" s="9">
        <f>IF('Data Source'!B667="","",'Data Source'!U667)</f>
        <v/>
      </c>
      <c r="D667" s="9">
        <f>IF('Data Source'!B667="","",'Data Source'!V667)</f>
        <v/>
      </c>
      <c r="E667" s="9">
        <f>IF('Data Source'!B667="","",'Data Source'!W667)</f>
        <v/>
      </c>
      <c r="F667" s="9">
        <f>IF('Data Source'!B667="","",'Data Source'!X667)</f>
        <v/>
      </c>
      <c r="G667" s="9">
        <f>IF('Data Source'!B667="","",'Data Source'!Y667)</f>
        <v/>
      </c>
      <c r="H667" s="9">
        <f>IF('Data Source'!B667="","",'Data Source'!Z667)</f>
        <v/>
      </c>
      <c r="I667" s="9">
        <f>IF('Data Source'!B667="","",'Data Source'!AA667)</f>
        <v/>
      </c>
      <c r="J667" s="9">
        <f>IF('Data Source'!B667="","",'Data Source'!AB667)</f>
        <v/>
      </c>
      <c r="K667" s="9">
        <f>IF('Data Source'!B667="","",'Data Source'!AC667)</f>
        <v/>
      </c>
      <c r="L667" s="9">
        <f>IF('Data Source'!B667="","",'Data Source'!AD667)</f>
        <v/>
      </c>
      <c r="M667" s="9">
        <f>IF('Data Source'!B667="","",'Data Source'!AE667)</f>
        <v/>
      </c>
      <c r="N667" s="9">
        <f>IF('Data Source'!B667="","",'Data Source'!AF667)</f>
        <v/>
      </c>
      <c r="O667" s="9">
        <f>IF('Data Source'!B667="","",'Data Source'!AG667)</f>
        <v/>
      </c>
      <c r="P667" s="5">
        <f>IF('Data Source'!B667="","",'Data Source'!R667)</f>
        <v/>
      </c>
      <c r="Q667" s="3">
        <f>IF('Data Source'!B667="","",'Data Source'!S667)</f>
        <v/>
      </c>
    </row>
    <row r="668">
      <c r="A668" s="3">
        <f>IF('Data Source'!B668="","",'Data Source'!A668)</f>
        <v/>
      </c>
      <c r="B668">
        <f>IF('Data Source'!B668="","",'Data Source'!B668)</f>
        <v/>
      </c>
      <c r="C668" s="9">
        <f>IF('Data Source'!B668="","",'Data Source'!U668)</f>
        <v/>
      </c>
      <c r="D668" s="9">
        <f>IF('Data Source'!B668="","",'Data Source'!V668)</f>
        <v/>
      </c>
      <c r="E668" s="9">
        <f>IF('Data Source'!B668="","",'Data Source'!W668)</f>
        <v/>
      </c>
      <c r="F668" s="9">
        <f>IF('Data Source'!B668="","",'Data Source'!X668)</f>
        <v/>
      </c>
      <c r="G668" s="9">
        <f>IF('Data Source'!B668="","",'Data Source'!Y668)</f>
        <v/>
      </c>
      <c r="H668" s="9">
        <f>IF('Data Source'!B668="","",'Data Source'!Z668)</f>
        <v/>
      </c>
      <c r="I668" s="9">
        <f>IF('Data Source'!B668="","",'Data Source'!AA668)</f>
        <v/>
      </c>
      <c r="J668" s="9">
        <f>IF('Data Source'!B668="","",'Data Source'!AB668)</f>
        <v/>
      </c>
      <c r="K668" s="9">
        <f>IF('Data Source'!B668="","",'Data Source'!AC668)</f>
        <v/>
      </c>
      <c r="L668" s="9">
        <f>IF('Data Source'!B668="","",'Data Source'!AD668)</f>
        <v/>
      </c>
      <c r="M668" s="9">
        <f>IF('Data Source'!B668="","",'Data Source'!AE668)</f>
        <v/>
      </c>
      <c r="N668" s="9">
        <f>IF('Data Source'!B668="","",'Data Source'!AF668)</f>
        <v/>
      </c>
      <c r="O668" s="9">
        <f>IF('Data Source'!B668="","",'Data Source'!AG668)</f>
        <v/>
      </c>
      <c r="P668" s="5">
        <f>IF('Data Source'!B668="","",'Data Source'!R668)</f>
        <v/>
      </c>
      <c r="Q668" s="3">
        <f>IF('Data Source'!B668="","",'Data Source'!S668)</f>
        <v/>
      </c>
    </row>
    <row r="669">
      <c r="A669" s="3">
        <f>IF('Data Source'!B669="","",'Data Source'!A669)</f>
        <v/>
      </c>
      <c r="B669">
        <f>IF('Data Source'!B669="","",'Data Source'!B669)</f>
        <v/>
      </c>
      <c r="C669" s="9">
        <f>IF('Data Source'!B669="","",'Data Source'!U669)</f>
        <v/>
      </c>
      <c r="D669" s="9">
        <f>IF('Data Source'!B669="","",'Data Source'!V669)</f>
        <v/>
      </c>
      <c r="E669" s="9">
        <f>IF('Data Source'!B669="","",'Data Source'!W669)</f>
        <v/>
      </c>
      <c r="F669" s="9">
        <f>IF('Data Source'!B669="","",'Data Source'!X669)</f>
        <v/>
      </c>
      <c r="G669" s="9">
        <f>IF('Data Source'!B669="","",'Data Source'!Y669)</f>
        <v/>
      </c>
      <c r="H669" s="9">
        <f>IF('Data Source'!B669="","",'Data Source'!Z669)</f>
        <v/>
      </c>
      <c r="I669" s="9">
        <f>IF('Data Source'!B669="","",'Data Source'!AA669)</f>
        <v/>
      </c>
      <c r="J669" s="9">
        <f>IF('Data Source'!B669="","",'Data Source'!AB669)</f>
        <v/>
      </c>
      <c r="K669" s="9">
        <f>IF('Data Source'!B669="","",'Data Source'!AC669)</f>
        <v/>
      </c>
      <c r="L669" s="9">
        <f>IF('Data Source'!B669="","",'Data Source'!AD669)</f>
        <v/>
      </c>
      <c r="M669" s="9">
        <f>IF('Data Source'!B669="","",'Data Source'!AE669)</f>
        <v/>
      </c>
      <c r="N669" s="9">
        <f>IF('Data Source'!B669="","",'Data Source'!AF669)</f>
        <v/>
      </c>
      <c r="O669" s="9">
        <f>IF('Data Source'!B669="","",'Data Source'!AG669)</f>
        <v/>
      </c>
      <c r="P669" s="5">
        <f>IF('Data Source'!B669="","",'Data Source'!R669)</f>
        <v/>
      </c>
      <c r="Q669" s="3">
        <f>IF('Data Source'!B669="","",'Data Source'!S669)</f>
        <v/>
      </c>
    </row>
    <row r="670">
      <c r="A670" s="3">
        <f>IF('Data Source'!B670="","",'Data Source'!A670)</f>
        <v/>
      </c>
      <c r="B670">
        <f>IF('Data Source'!B670="","",'Data Source'!B670)</f>
        <v/>
      </c>
      <c r="C670" s="9">
        <f>IF('Data Source'!B670="","",'Data Source'!U670)</f>
        <v/>
      </c>
      <c r="D670" s="9">
        <f>IF('Data Source'!B670="","",'Data Source'!V670)</f>
        <v/>
      </c>
      <c r="E670" s="9">
        <f>IF('Data Source'!B670="","",'Data Source'!W670)</f>
        <v/>
      </c>
      <c r="F670" s="9">
        <f>IF('Data Source'!B670="","",'Data Source'!X670)</f>
        <v/>
      </c>
      <c r="G670" s="9">
        <f>IF('Data Source'!B670="","",'Data Source'!Y670)</f>
        <v/>
      </c>
      <c r="H670" s="9">
        <f>IF('Data Source'!B670="","",'Data Source'!Z670)</f>
        <v/>
      </c>
      <c r="I670" s="9">
        <f>IF('Data Source'!B670="","",'Data Source'!AA670)</f>
        <v/>
      </c>
      <c r="J670" s="9">
        <f>IF('Data Source'!B670="","",'Data Source'!AB670)</f>
        <v/>
      </c>
      <c r="K670" s="9">
        <f>IF('Data Source'!B670="","",'Data Source'!AC670)</f>
        <v/>
      </c>
      <c r="L670" s="9">
        <f>IF('Data Source'!B670="","",'Data Source'!AD670)</f>
        <v/>
      </c>
      <c r="M670" s="9">
        <f>IF('Data Source'!B670="","",'Data Source'!AE670)</f>
        <v/>
      </c>
      <c r="N670" s="9">
        <f>IF('Data Source'!B670="","",'Data Source'!AF670)</f>
        <v/>
      </c>
      <c r="O670" s="9">
        <f>IF('Data Source'!B670="","",'Data Source'!AG670)</f>
        <v/>
      </c>
      <c r="P670" s="5">
        <f>IF('Data Source'!B670="","",'Data Source'!R670)</f>
        <v/>
      </c>
      <c r="Q670" s="3">
        <f>IF('Data Source'!B670="","",'Data Source'!S670)</f>
        <v/>
      </c>
    </row>
    <row r="671">
      <c r="A671" s="3">
        <f>IF('Data Source'!B671="","",'Data Source'!A671)</f>
        <v/>
      </c>
      <c r="B671">
        <f>IF('Data Source'!B671="","",'Data Source'!B671)</f>
        <v/>
      </c>
      <c r="C671" s="9">
        <f>IF('Data Source'!B671="","",'Data Source'!U671)</f>
        <v/>
      </c>
      <c r="D671" s="9">
        <f>IF('Data Source'!B671="","",'Data Source'!V671)</f>
        <v/>
      </c>
      <c r="E671" s="9">
        <f>IF('Data Source'!B671="","",'Data Source'!W671)</f>
        <v/>
      </c>
      <c r="F671" s="9">
        <f>IF('Data Source'!B671="","",'Data Source'!X671)</f>
        <v/>
      </c>
      <c r="G671" s="9">
        <f>IF('Data Source'!B671="","",'Data Source'!Y671)</f>
        <v/>
      </c>
      <c r="H671" s="9">
        <f>IF('Data Source'!B671="","",'Data Source'!Z671)</f>
        <v/>
      </c>
      <c r="I671" s="9">
        <f>IF('Data Source'!B671="","",'Data Source'!AA671)</f>
        <v/>
      </c>
      <c r="J671" s="9">
        <f>IF('Data Source'!B671="","",'Data Source'!AB671)</f>
        <v/>
      </c>
      <c r="K671" s="9">
        <f>IF('Data Source'!B671="","",'Data Source'!AC671)</f>
        <v/>
      </c>
      <c r="L671" s="9">
        <f>IF('Data Source'!B671="","",'Data Source'!AD671)</f>
        <v/>
      </c>
      <c r="M671" s="9">
        <f>IF('Data Source'!B671="","",'Data Source'!AE671)</f>
        <v/>
      </c>
      <c r="N671" s="9">
        <f>IF('Data Source'!B671="","",'Data Source'!AF671)</f>
        <v/>
      </c>
      <c r="O671" s="9">
        <f>IF('Data Source'!B671="","",'Data Source'!AG671)</f>
        <v/>
      </c>
      <c r="P671" s="5">
        <f>IF('Data Source'!B671="","",'Data Source'!R671)</f>
        <v/>
      </c>
      <c r="Q671" s="3">
        <f>IF('Data Source'!B671="","",'Data Source'!S671)</f>
        <v/>
      </c>
    </row>
    <row r="672">
      <c r="A672" s="3">
        <f>IF('Data Source'!B672="","",'Data Source'!A672)</f>
        <v/>
      </c>
      <c r="B672">
        <f>IF('Data Source'!B672="","",'Data Source'!B672)</f>
        <v/>
      </c>
      <c r="C672" s="9">
        <f>IF('Data Source'!B672="","",'Data Source'!U672)</f>
        <v/>
      </c>
      <c r="D672" s="9">
        <f>IF('Data Source'!B672="","",'Data Source'!V672)</f>
        <v/>
      </c>
      <c r="E672" s="9">
        <f>IF('Data Source'!B672="","",'Data Source'!W672)</f>
        <v/>
      </c>
      <c r="F672" s="9">
        <f>IF('Data Source'!B672="","",'Data Source'!X672)</f>
        <v/>
      </c>
      <c r="G672" s="9">
        <f>IF('Data Source'!B672="","",'Data Source'!Y672)</f>
        <v/>
      </c>
      <c r="H672" s="9">
        <f>IF('Data Source'!B672="","",'Data Source'!Z672)</f>
        <v/>
      </c>
      <c r="I672" s="9">
        <f>IF('Data Source'!B672="","",'Data Source'!AA672)</f>
        <v/>
      </c>
      <c r="J672" s="9">
        <f>IF('Data Source'!B672="","",'Data Source'!AB672)</f>
        <v/>
      </c>
      <c r="K672" s="9">
        <f>IF('Data Source'!B672="","",'Data Source'!AC672)</f>
        <v/>
      </c>
      <c r="L672" s="9">
        <f>IF('Data Source'!B672="","",'Data Source'!AD672)</f>
        <v/>
      </c>
      <c r="M672" s="9">
        <f>IF('Data Source'!B672="","",'Data Source'!AE672)</f>
        <v/>
      </c>
      <c r="N672" s="9">
        <f>IF('Data Source'!B672="","",'Data Source'!AF672)</f>
        <v/>
      </c>
      <c r="O672" s="9">
        <f>IF('Data Source'!B672="","",'Data Source'!AG672)</f>
        <v/>
      </c>
      <c r="P672" s="5">
        <f>IF('Data Source'!B672="","",'Data Source'!R672)</f>
        <v/>
      </c>
      <c r="Q672" s="3">
        <f>IF('Data Source'!B672="","",'Data Source'!S672)</f>
        <v/>
      </c>
    </row>
    <row r="673">
      <c r="A673" s="3">
        <f>IF('Data Source'!B673="","",'Data Source'!A673)</f>
        <v/>
      </c>
      <c r="B673">
        <f>IF('Data Source'!B673="","",'Data Source'!B673)</f>
        <v/>
      </c>
      <c r="C673" s="9">
        <f>IF('Data Source'!B673="","",'Data Source'!U673)</f>
        <v/>
      </c>
      <c r="D673" s="9">
        <f>IF('Data Source'!B673="","",'Data Source'!V673)</f>
        <v/>
      </c>
      <c r="E673" s="9">
        <f>IF('Data Source'!B673="","",'Data Source'!W673)</f>
        <v/>
      </c>
      <c r="F673" s="9">
        <f>IF('Data Source'!B673="","",'Data Source'!X673)</f>
        <v/>
      </c>
      <c r="G673" s="9">
        <f>IF('Data Source'!B673="","",'Data Source'!Y673)</f>
        <v/>
      </c>
      <c r="H673" s="9">
        <f>IF('Data Source'!B673="","",'Data Source'!Z673)</f>
        <v/>
      </c>
      <c r="I673" s="9">
        <f>IF('Data Source'!B673="","",'Data Source'!AA673)</f>
        <v/>
      </c>
      <c r="J673" s="9">
        <f>IF('Data Source'!B673="","",'Data Source'!AB673)</f>
        <v/>
      </c>
      <c r="K673" s="9">
        <f>IF('Data Source'!B673="","",'Data Source'!AC673)</f>
        <v/>
      </c>
      <c r="L673" s="9">
        <f>IF('Data Source'!B673="","",'Data Source'!AD673)</f>
        <v/>
      </c>
      <c r="M673" s="9">
        <f>IF('Data Source'!B673="","",'Data Source'!AE673)</f>
        <v/>
      </c>
      <c r="N673" s="9">
        <f>IF('Data Source'!B673="","",'Data Source'!AF673)</f>
        <v/>
      </c>
      <c r="O673" s="9">
        <f>IF('Data Source'!B673="","",'Data Source'!AG673)</f>
        <v/>
      </c>
      <c r="P673" s="5">
        <f>IF('Data Source'!B673="","",'Data Source'!R673)</f>
        <v/>
      </c>
      <c r="Q673" s="3">
        <f>IF('Data Source'!B673="","",'Data Source'!S673)</f>
        <v/>
      </c>
    </row>
    <row r="674">
      <c r="A674" s="3">
        <f>IF('Data Source'!B674="","",'Data Source'!A674)</f>
        <v/>
      </c>
      <c r="B674">
        <f>IF('Data Source'!B674="","",'Data Source'!B674)</f>
        <v/>
      </c>
      <c r="C674" s="9">
        <f>IF('Data Source'!B674="","",'Data Source'!U674)</f>
        <v/>
      </c>
      <c r="D674" s="9">
        <f>IF('Data Source'!B674="","",'Data Source'!V674)</f>
        <v/>
      </c>
      <c r="E674" s="9">
        <f>IF('Data Source'!B674="","",'Data Source'!W674)</f>
        <v/>
      </c>
      <c r="F674" s="9">
        <f>IF('Data Source'!B674="","",'Data Source'!X674)</f>
        <v/>
      </c>
      <c r="G674" s="9">
        <f>IF('Data Source'!B674="","",'Data Source'!Y674)</f>
        <v/>
      </c>
      <c r="H674" s="9">
        <f>IF('Data Source'!B674="","",'Data Source'!Z674)</f>
        <v/>
      </c>
      <c r="I674" s="9">
        <f>IF('Data Source'!B674="","",'Data Source'!AA674)</f>
        <v/>
      </c>
      <c r="J674" s="9">
        <f>IF('Data Source'!B674="","",'Data Source'!AB674)</f>
        <v/>
      </c>
      <c r="K674" s="9">
        <f>IF('Data Source'!B674="","",'Data Source'!AC674)</f>
        <v/>
      </c>
      <c r="L674" s="9">
        <f>IF('Data Source'!B674="","",'Data Source'!AD674)</f>
        <v/>
      </c>
      <c r="M674" s="9">
        <f>IF('Data Source'!B674="","",'Data Source'!AE674)</f>
        <v/>
      </c>
      <c r="N674" s="9">
        <f>IF('Data Source'!B674="","",'Data Source'!AF674)</f>
        <v/>
      </c>
      <c r="O674" s="9">
        <f>IF('Data Source'!B674="","",'Data Source'!AG674)</f>
        <v/>
      </c>
      <c r="P674" s="5">
        <f>IF('Data Source'!B674="","",'Data Source'!R674)</f>
        <v/>
      </c>
      <c r="Q674" s="3">
        <f>IF('Data Source'!B674="","",'Data Source'!S674)</f>
        <v/>
      </c>
    </row>
    <row r="675">
      <c r="A675" s="3">
        <f>IF('Data Source'!B675="","",'Data Source'!A675)</f>
        <v/>
      </c>
      <c r="B675">
        <f>IF('Data Source'!B675="","",'Data Source'!B675)</f>
        <v/>
      </c>
      <c r="C675" s="9">
        <f>IF('Data Source'!B675="","",'Data Source'!U675)</f>
        <v/>
      </c>
      <c r="D675" s="9">
        <f>IF('Data Source'!B675="","",'Data Source'!V675)</f>
        <v/>
      </c>
      <c r="E675" s="9">
        <f>IF('Data Source'!B675="","",'Data Source'!W675)</f>
        <v/>
      </c>
      <c r="F675" s="9">
        <f>IF('Data Source'!B675="","",'Data Source'!X675)</f>
        <v/>
      </c>
      <c r="G675" s="9">
        <f>IF('Data Source'!B675="","",'Data Source'!Y675)</f>
        <v/>
      </c>
      <c r="H675" s="9">
        <f>IF('Data Source'!B675="","",'Data Source'!Z675)</f>
        <v/>
      </c>
      <c r="I675" s="9">
        <f>IF('Data Source'!B675="","",'Data Source'!AA675)</f>
        <v/>
      </c>
      <c r="J675" s="9">
        <f>IF('Data Source'!B675="","",'Data Source'!AB675)</f>
        <v/>
      </c>
      <c r="K675" s="9">
        <f>IF('Data Source'!B675="","",'Data Source'!AC675)</f>
        <v/>
      </c>
      <c r="L675" s="9">
        <f>IF('Data Source'!B675="","",'Data Source'!AD675)</f>
        <v/>
      </c>
      <c r="M675" s="9">
        <f>IF('Data Source'!B675="","",'Data Source'!AE675)</f>
        <v/>
      </c>
      <c r="N675" s="9">
        <f>IF('Data Source'!B675="","",'Data Source'!AF675)</f>
        <v/>
      </c>
      <c r="O675" s="9">
        <f>IF('Data Source'!B675="","",'Data Source'!AG675)</f>
        <v/>
      </c>
      <c r="P675" s="5">
        <f>IF('Data Source'!B675="","",'Data Source'!R675)</f>
        <v/>
      </c>
      <c r="Q675" s="3">
        <f>IF('Data Source'!B675="","",'Data Source'!S675)</f>
        <v/>
      </c>
    </row>
    <row r="676">
      <c r="A676" s="3">
        <f>IF('Data Source'!B676="","",'Data Source'!A676)</f>
        <v/>
      </c>
      <c r="B676">
        <f>IF('Data Source'!B676="","",'Data Source'!B676)</f>
        <v/>
      </c>
      <c r="C676" s="9">
        <f>IF('Data Source'!B676="","",'Data Source'!U676)</f>
        <v/>
      </c>
      <c r="D676" s="9">
        <f>IF('Data Source'!B676="","",'Data Source'!V676)</f>
        <v/>
      </c>
      <c r="E676" s="9">
        <f>IF('Data Source'!B676="","",'Data Source'!W676)</f>
        <v/>
      </c>
      <c r="F676" s="9">
        <f>IF('Data Source'!B676="","",'Data Source'!X676)</f>
        <v/>
      </c>
      <c r="G676" s="9">
        <f>IF('Data Source'!B676="","",'Data Source'!Y676)</f>
        <v/>
      </c>
      <c r="H676" s="9">
        <f>IF('Data Source'!B676="","",'Data Source'!Z676)</f>
        <v/>
      </c>
      <c r="I676" s="9">
        <f>IF('Data Source'!B676="","",'Data Source'!AA676)</f>
        <v/>
      </c>
      <c r="J676" s="9">
        <f>IF('Data Source'!B676="","",'Data Source'!AB676)</f>
        <v/>
      </c>
      <c r="K676" s="9">
        <f>IF('Data Source'!B676="","",'Data Source'!AC676)</f>
        <v/>
      </c>
      <c r="L676" s="9">
        <f>IF('Data Source'!B676="","",'Data Source'!AD676)</f>
        <v/>
      </c>
      <c r="M676" s="9">
        <f>IF('Data Source'!B676="","",'Data Source'!AE676)</f>
        <v/>
      </c>
      <c r="N676" s="9">
        <f>IF('Data Source'!B676="","",'Data Source'!AF676)</f>
        <v/>
      </c>
      <c r="O676" s="9">
        <f>IF('Data Source'!B676="","",'Data Source'!AG676)</f>
        <v/>
      </c>
      <c r="P676" s="5">
        <f>IF('Data Source'!B676="","",'Data Source'!R676)</f>
        <v/>
      </c>
      <c r="Q676" s="3">
        <f>IF('Data Source'!B676="","",'Data Source'!S676)</f>
        <v/>
      </c>
    </row>
    <row r="677">
      <c r="A677" s="3">
        <f>IF('Data Source'!B677="","",'Data Source'!A677)</f>
        <v/>
      </c>
      <c r="B677">
        <f>IF('Data Source'!B677="","",'Data Source'!B677)</f>
        <v/>
      </c>
      <c r="C677" s="9">
        <f>IF('Data Source'!B677="","",'Data Source'!U677)</f>
        <v/>
      </c>
      <c r="D677" s="9">
        <f>IF('Data Source'!B677="","",'Data Source'!V677)</f>
        <v/>
      </c>
      <c r="E677" s="9">
        <f>IF('Data Source'!B677="","",'Data Source'!W677)</f>
        <v/>
      </c>
      <c r="F677" s="9">
        <f>IF('Data Source'!B677="","",'Data Source'!X677)</f>
        <v/>
      </c>
      <c r="G677" s="9">
        <f>IF('Data Source'!B677="","",'Data Source'!Y677)</f>
        <v/>
      </c>
      <c r="H677" s="9">
        <f>IF('Data Source'!B677="","",'Data Source'!Z677)</f>
        <v/>
      </c>
      <c r="I677" s="9">
        <f>IF('Data Source'!B677="","",'Data Source'!AA677)</f>
        <v/>
      </c>
      <c r="J677" s="9">
        <f>IF('Data Source'!B677="","",'Data Source'!AB677)</f>
        <v/>
      </c>
      <c r="K677" s="9">
        <f>IF('Data Source'!B677="","",'Data Source'!AC677)</f>
        <v/>
      </c>
      <c r="L677" s="9">
        <f>IF('Data Source'!B677="","",'Data Source'!AD677)</f>
        <v/>
      </c>
      <c r="M677" s="9">
        <f>IF('Data Source'!B677="","",'Data Source'!AE677)</f>
        <v/>
      </c>
      <c r="N677" s="9">
        <f>IF('Data Source'!B677="","",'Data Source'!AF677)</f>
        <v/>
      </c>
      <c r="O677" s="9">
        <f>IF('Data Source'!B677="","",'Data Source'!AG677)</f>
        <v/>
      </c>
      <c r="P677" s="5">
        <f>IF('Data Source'!B677="","",'Data Source'!R677)</f>
        <v/>
      </c>
      <c r="Q677" s="3">
        <f>IF('Data Source'!B677="","",'Data Source'!S677)</f>
        <v/>
      </c>
    </row>
    <row r="678">
      <c r="A678" s="3">
        <f>IF('Data Source'!B678="","",'Data Source'!A678)</f>
        <v/>
      </c>
      <c r="B678">
        <f>IF('Data Source'!B678="","",'Data Source'!B678)</f>
        <v/>
      </c>
      <c r="C678" s="9">
        <f>IF('Data Source'!B678="","",'Data Source'!U678)</f>
        <v/>
      </c>
      <c r="D678" s="9">
        <f>IF('Data Source'!B678="","",'Data Source'!V678)</f>
        <v/>
      </c>
      <c r="E678" s="9">
        <f>IF('Data Source'!B678="","",'Data Source'!W678)</f>
        <v/>
      </c>
      <c r="F678" s="9">
        <f>IF('Data Source'!B678="","",'Data Source'!X678)</f>
        <v/>
      </c>
      <c r="G678" s="9">
        <f>IF('Data Source'!B678="","",'Data Source'!Y678)</f>
        <v/>
      </c>
      <c r="H678" s="9">
        <f>IF('Data Source'!B678="","",'Data Source'!Z678)</f>
        <v/>
      </c>
      <c r="I678" s="9">
        <f>IF('Data Source'!B678="","",'Data Source'!AA678)</f>
        <v/>
      </c>
      <c r="J678" s="9">
        <f>IF('Data Source'!B678="","",'Data Source'!AB678)</f>
        <v/>
      </c>
      <c r="K678" s="9">
        <f>IF('Data Source'!B678="","",'Data Source'!AC678)</f>
        <v/>
      </c>
      <c r="L678" s="9">
        <f>IF('Data Source'!B678="","",'Data Source'!AD678)</f>
        <v/>
      </c>
      <c r="M678" s="9">
        <f>IF('Data Source'!B678="","",'Data Source'!AE678)</f>
        <v/>
      </c>
      <c r="N678" s="9">
        <f>IF('Data Source'!B678="","",'Data Source'!AF678)</f>
        <v/>
      </c>
      <c r="O678" s="9">
        <f>IF('Data Source'!B678="","",'Data Source'!AG678)</f>
        <v/>
      </c>
      <c r="P678" s="5">
        <f>IF('Data Source'!B678="","",'Data Source'!R678)</f>
        <v/>
      </c>
      <c r="Q678" s="3">
        <f>IF('Data Source'!B678="","",'Data Source'!S678)</f>
        <v/>
      </c>
    </row>
    <row r="679">
      <c r="A679" s="3">
        <f>IF('Data Source'!B679="","",'Data Source'!A679)</f>
        <v/>
      </c>
      <c r="B679">
        <f>IF('Data Source'!B679="","",'Data Source'!B679)</f>
        <v/>
      </c>
      <c r="C679" s="9">
        <f>IF('Data Source'!B679="","",'Data Source'!U679)</f>
        <v/>
      </c>
      <c r="D679" s="9">
        <f>IF('Data Source'!B679="","",'Data Source'!V679)</f>
        <v/>
      </c>
      <c r="E679" s="9">
        <f>IF('Data Source'!B679="","",'Data Source'!W679)</f>
        <v/>
      </c>
      <c r="F679" s="9">
        <f>IF('Data Source'!B679="","",'Data Source'!X679)</f>
        <v/>
      </c>
      <c r="G679" s="9">
        <f>IF('Data Source'!B679="","",'Data Source'!Y679)</f>
        <v/>
      </c>
      <c r="H679" s="9">
        <f>IF('Data Source'!B679="","",'Data Source'!Z679)</f>
        <v/>
      </c>
      <c r="I679" s="9">
        <f>IF('Data Source'!B679="","",'Data Source'!AA679)</f>
        <v/>
      </c>
      <c r="J679" s="9">
        <f>IF('Data Source'!B679="","",'Data Source'!AB679)</f>
        <v/>
      </c>
      <c r="K679" s="9">
        <f>IF('Data Source'!B679="","",'Data Source'!AC679)</f>
        <v/>
      </c>
      <c r="L679" s="9">
        <f>IF('Data Source'!B679="","",'Data Source'!AD679)</f>
        <v/>
      </c>
      <c r="M679" s="9">
        <f>IF('Data Source'!B679="","",'Data Source'!AE679)</f>
        <v/>
      </c>
      <c r="N679" s="9">
        <f>IF('Data Source'!B679="","",'Data Source'!AF679)</f>
        <v/>
      </c>
      <c r="O679" s="9">
        <f>IF('Data Source'!B679="","",'Data Source'!AG679)</f>
        <v/>
      </c>
      <c r="P679" s="5">
        <f>IF('Data Source'!B679="","",'Data Source'!R679)</f>
        <v/>
      </c>
      <c r="Q679" s="3">
        <f>IF('Data Source'!B679="","",'Data Source'!S679)</f>
        <v/>
      </c>
    </row>
    <row r="680">
      <c r="A680" s="3">
        <f>IF('Data Source'!B680="","",'Data Source'!A680)</f>
        <v/>
      </c>
      <c r="B680">
        <f>IF('Data Source'!B680="","",'Data Source'!B680)</f>
        <v/>
      </c>
      <c r="C680" s="9">
        <f>IF('Data Source'!B680="","",'Data Source'!U680)</f>
        <v/>
      </c>
      <c r="D680" s="9">
        <f>IF('Data Source'!B680="","",'Data Source'!V680)</f>
        <v/>
      </c>
      <c r="E680" s="9">
        <f>IF('Data Source'!B680="","",'Data Source'!W680)</f>
        <v/>
      </c>
      <c r="F680" s="9">
        <f>IF('Data Source'!B680="","",'Data Source'!X680)</f>
        <v/>
      </c>
      <c r="G680" s="9">
        <f>IF('Data Source'!B680="","",'Data Source'!Y680)</f>
        <v/>
      </c>
      <c r="H680" s="9">
        <f>IF('Data Source'!B680="","",'Data Source'!Z680)</f>
        <v/>
      </c>
      <c r="I680" s="9">
        <f>IF('Data Source'!B680="","",'Data Source'!AA680)</f>
        <v/>
      </c>
      <c r="J680" s="9">
        <f>IF('Data Source'!B680="","",'Data Source'!AB680)</f>
        <v/>
      </c>
      <c r="K680" s="9">
        <f>IF('Data Source'!B680="","",'Data Source'!AC680)</f>
        <v/>
      </c>
      <c r="L680" s="9">
        <f>IF('Data Source'!B680="","",'Data Source'!AD680)</f>
        <v/>
      </c>
      <c r="M680" s="9">
        <f>IF('Data Source'!B680="","",'Data Source'!AE680)</f>
        <v/>
      </c>
      <c r="N680" s="9">
        <f>IF('Data Source'!B680="","",'Data Source'!AF680)</f>
        <v/>
      </c>
      <c r="O680" s="9">
        <f>IF('Data Source'!B680="","",'Data Source'!AG680)</f>
        <v/>
      </c>
      <c r="P680" s="5">
        <f>IF('Data Source'!B680="","",'Data Source'!R680)</f>
        <v/>
      </c>
      <c r="Q680" s="3">
        <f>IF('Data Source'!B680="","",'Data Source'!S680)</f>
        <v/>
      </c>
    </row>
    <row r="681">
      <c r="A681" s="3">
        <f>IF('Data Source'!B681="","",'Data Source'!A681)</f>
        <v/>
      </c>
      <c r="B681">
        <f>IF('Data Source'!B681="","",'Data Source'!B681)</f>
        <v/>
      </c>
      <c r="C681" s="9">
        <f>IF('Data Source'!B681="","",'Data Source'!U681)</f>
        <v/>
      </c>
      <c r="D681" s="9">
        <f>IF('Data Source'!B681="","",'Data Source'!V681)</f>
        <v/>
      </c>
      <c r="E681" s="9">
        <f>IF('Data Source'!B681="","",'Data Source'!W681)</f>
        <v/>
      </c>
      <c r="F681" s="9">
        <f>IF('Data Source'!B681="","",'Data Source'!X681)</f>
        <v/>
      </c>
      <c r="G681" s="9">
        <f>IF('Data Source'!B681="","",'Data Source'!Y681)</f>
        <v/>
      </c>
      <c r="H681" s="9">
        <f>IF('Data Source'!B681="","",'Data Source'!Z681)</f>
        <v/>
      </c>
      <c r="I681" s="9">
        <f>IF('Data Source'!B681="","",'Data Source'!AA681)</f>
        <v/>
      </c>
      <c r="J681" s="9">
        <f>IF('Data Source'!B681="","",'Data Source'!AB681)</f>
        <v/>
      </c>
      <c r="K681" s="9">
        <f>IF('Data Source'!B681="","",'Data Source'!AC681)</f>
        <v/>
      </c>
      <c r="L681" s="9">
        <f>IF('Data Source'!B681="","",'Data Source'!AD681)</f>
        <v/>
      </c>
      <c r="M681" s="9">
        <f>IF('Data Source'!B681="","",'Data Source'!AE681)</f>
        <v/>
      </c>
      <c r="N681" s="9">
        <f>IF('Data Source'!B681="","",'Data Source'!AF681)</f>
        <v/>
      </c>
      <c r="O681" s="9">
        <f>IF('Data Source'!B681="","",'Data Source'!AG681)</f>
        <v/>
      </c>
      <c r="P681" s="5">
        <f>IF('Data Source'!B681="","",'Data Source'!R681)</f>
        <v/>
      </c>
      <c r="Q681" s="3">
        <f>IF('Data Source'!B681="","",'Data Source'!S681)</f>
        <v/>
      </c>
    </row>
    <row r="682">
      <c r="A682" s="3">
        <f>IF('Data Source'!B682="","",'Data Source'!A682)</f>
        <v/>
      </c>
      <c r="B682">
        <f>IF('Data Source'!B682="","",'Data Source'!B682)</f>
        <v/>
      </c>
      <c r="C682" s="9">
        <f>IF('Data Source'!B682="","",'Data Source'!U682)</f>
        <v/>
      </c>
      <c r="D682" s="9">
        <f>IF('Data Source'!B682="","",'Data Source'!V682)</f>
        <v/>
      </c>
      <c r="E682" s="9">
        <f>IF('Data Source'!B682="","",'Data Source'!W682)</f>
        <v/>
      </c>
      <c r="F682" s="9">
        <f>IF('Data Source'!B682="","",'Data Source'!X682)</f>
        <v/>
      </c>
      <c r="G682" s="9">
        <f>IF('Data Source'!B682="","",'Data Source'!Y682)</f>
        <v/>
      </c>
      <c r="H682" s="9">
        <f>IF('Data Source'!B682="","",'Data Source'!Z682)</f>
        <v/>
      </c>
      <c r="I682" s="9">
        <f>IF('Data Source'!B682="","",'Data Source'!AA682)</f>
        <v/>
      </c>
      <c r="J682" s="9">
        <f>IF('Data Source'!B682="","",'Data Source'!AB682)</f>
        <v/>
      </c>
      <c r="K682" s="9">
        <f>IF('Data Source'!B682="","",'Data Source'!AC682)</f>
        <v/>
      </c>
      <c r="L682" s="9">
        <f>IF('Data Source'!B682="","",'Data Source'!AD682)</f>
        <v/>
      </c>
      <c r="M682" s="9">
        <f>IF('Data Source'!B682="","",'Data Source'!AE682)</f>
        <v/>
      </c>
      <c r="N682" s="9">
        <f>IF('Data Source'!B682="","",'Data Source'!AF682)</f>
        <v/>
      </c>
      <c r="O682" s="9">
        <f>IF('Data Source'!B682="","",'Data Source'!AG682)</f>
        <v/>
      </c>
      <c r="P682" s="5">
        <f>IF('Data Source'!B682="","",'Data Source'!R682)</f>
        <v/>
      </c>
      <c r="Q682" s="3">
        <f>IF('Data Source'!B682="","",'Data Source'!S682)</f>
        <v/>
      </c>
    </row>
    <row r="683">
      <c r="A683" s="3">
        <f>IF('Data Source'!B683="","",'Data Source'!A683)</f>
        <v/>
      </c>
      <c r="B683">
        <f>IF('Data Source'!B683="","",'Data Source'!B683)</f>
        <v/>
      </c>
      <c r="C683" s="9">
        <f>IF('Data Source'!B683="","",'Data Source'!U683)</f>
        <v/>
      </c>
      <c r="D683" s="9">
        <f>IF('Data Source'!B683="","",'Data Source'!V683)</f>
        <v/>
      </c>
      <c r="E683" s="9">
        <f>IF('Data Source'!B683="","",'Data Source'!W683)</f>
        <v/>
      </c>
      <c r="F683" s="9">
        <f>IF('Data Source'!B683="","",'Data Source'!X683)</f>
        <v/>
      </c>
      <c r="G683" s="9">
        <f>IF('Data Source'!B683="","",'Data Source'!Y683)</f>
        <v/>
      </c>
      <c r="H683" s="9">
        <f>IF('Data Source'!B683="","",'Data Source'!Z683)</f>
        <v/>
      </c>
      <c r="I683" s="9">
        <f>IF('Data Source'!B683="","",'Data Source'!AA683)</f>
        <v/>
      </c>
      <c r="J683" s="9">
        <f>IF('Data Source'!B683="","",'Data Source'!AB683)</f>
        <v/>
      </c>
      <c r="K683" s="9">
        <f>IF('Data Source'!B683="","",'Data Source'!AC683)</f>
        <v/>
      </c>
      <c r="L683" s="9">
        <f>IF('Data Source'!B683="","",'Data Source'!AD683)</f>
        <v/>
      </c>
      <c r="M683" s="9">
        <f>IF('Data Source'!B683="","",'Data Source'!AE683)</f>
        <v/>
      </c>
      <c r="N683" s="9">
        <f>IF('Data Source'!B683="","",'Data Source'!AF683)</f>
        <v/>
      </c>
      <c r="O683" s="9">
        <f>IF('Data Source'!B683="","",'Data Source'!AG683)</f>
        <v/>
      </c>
      <c r="P683" s="5">
        <f>IF('Data Source'!B683="","",'Data Source'!R683)</f>
        <v/>
      </c>
      <c r="Q683" s="3">
        <f>IF('Data Source'!B683="","",'Data Source'!S683)</f>
        <v/>
      </c>
    </row>
    <row r="684">
      <c r="A684" s="3">
        <f>IF('Data Source'!B684="","",'Data Source'!A684)</f>
        <v/>
      </c>
      <c r="B684">
        <f>IF('Data Source'!B684="","",'Data Source'!B684)</f>
        <v/>
      </c>
      <c r="C684" s="9">
        <f>IF('Data Source'!B684="","",'Data Source'!U684)</f>
        <v/>
      </c>
      <c r="D684" s="9">
        <f>IF('Data Source'!B684="","",'Data Source'!V684)</f>
        <v/>
      </c>
      <c r="E684" s="9">
        <f>IF('Data Source'!B684="","",'Data Source'!W684)</f>
        <v/>
      </c>
      <c r="F684" s="9">
        <f>IF('Data Source'!B684="","",'Data Source'!X684)</f>
        <v/>
      </c>
      <c r="G684" s="9">
        <f>IF('Data Source'!B684="","",'Data Source'!Y684)</f>
        <v/>
      </c>
      <c r="H684" s="9">
        <f>IF('Data Source'!B684="","",'Data Source'!Z684)</f>
        <v/>
      </c>
      <c r="I684" s="9">
        <f>IF('Data Source'!B684="","",'Data Source'!AA684)</f>
        <v/>
      </c>
      <c r="J684" s="9">
        <f>IF('Data Source'!B684="","",'Data Source'!AB684)</f>
        <v/>
      </c>
      <c r="K684" s="9">
        <f>IF('Data Source'!B684="","",'Data Source'!AC684)</f>
        <v/>
      </c>
      <c r="L684" s="9">
        <f>IF('Data Source'!B684="","",'Data Source'!AD684)</f>
        <v/>
      </c>
      <c r="M684" s="9">
        <f>IF('Data Source'!B684="","",'Data Source'!AE684)</f>
        <v/>
      </c>
      <c r="N684" s="9">
        <f>IF('Data Source'!B684="","",'Data Source'!AF684)</f>
        <v/>
      </c>
      <c r="O684" s="9">
        <f>IF('Data Source'!B684="","",'Data Source'!AG684)</f>
        <v/>
      </c>
      <c r="P684" s="5">
        <f>IF('Data Source'!B684="","",'Data Source'!R684)</f>
        <v/>
      </c>
      <c r="Q684" s="3">
        <f>IF('Data Source'!B684="","",'Data Source'!S684)</f>
        <v/>
      </c>
    </row>
    <row r="685">
      <c r="A685" s="3">
        <f>IF('Data Source'!B685="","",'Data Source'!A685)</f>
        <v/>
      </c>
      <c r="B685">
        <f>IF('Data Source'!B685="","",'Data Source'!B685)</f>
        <v/>
      </c>
      <c r="C685" s="9">
        <f>IF('Data Source'!B685="","",'Data Source'!U685)</f>
        <v/>
      </c>
      <c r="D685" s="9">
        <f>IF('Data Source'!B685="","",'Data Source'!V685)</f>
        <v/>
      </c>
      <c r="E685" s="9">
        <f>IF('Data Source'!B685="","",'Data Source'!W685)</f>
        <v/>
      </c>
      <c r="F685" s="9">
        <f>IF('Data Source'!B685="","",'Data Source'!X685)</f>
        <v/>
      </c>
      <c r="G685" s="9">
        <f>IF('Data Source'!B685="","",'Data Source'!Y685)</f>
        <v/>
      </c>
      <c r="H685" s="9">
        <f>IF('Data Source'!B685="","",'Data Source'!Z685)</f>
        <v/>
      </c>
      <c r="I685" s="9">
        <f>IF('Data Source'!B685="","",'Data Source'!AA685)</f>
        <v/>
      </c>
      <c r="J685" s="9">
        <f>IF('Data Source'!B685="","",'Data Source'!AB685)</f>
        <v/>
      </c>
      <c r="K685" s="9">
        <f>IF('Data Source'!B685="","",'Data Source'!AC685)</f>
        <v/>
      </c>
      <c r="L685" s="9">
        <f>IF('Data Source'!B685="","",'Data Source'!AD685)</f>
        <v/>
      </c>
      <c r="M685" s="9">
        <f>IF('Data Source'!B685="","",'Data Source'!AE685)</f>
        <v/>
      </c>
      <c r="N685" s="9">
        <f>IF('Data Source'!B685="","",'Data Source'!AF685)</f>
        <v/>
      </c>
      <c r="O685" s="9">
        <f>IF('Data Source'!B685="","",'Data Source'!AG685)</f>
        <v/>
      </c>
      <c r="P685" s="5">
        <f>IF('Data Source'!B685="","",'Data Source'!R685)</f>
        <v/>
      </c>
      <c r="Q685" s="3">
        <f>IF('Data Source'!B685="","",'Data Source'!S685)</f>
        <v/>
      </c>
    </row>
    <row r="686">
      <c r="A686" s="3">
        <f>IF('Data Source'!B686="","",'Data Source'!A686)</f>
        <v/>
      </c>
      <c r="B686">
        <f>IF('Data Source'!B686="","",'Data Source'!B686)</f>
        <v/>
      </c>
      <c r="C686" s="9">
        <f>IF('Data Source'!B686="","",'Data Source'!U686)</f>
        <v/>
      </c>
      <c r="D686" s="9">
        <f>IF('Data Source'!B686="","",'Data Source'!V686)</f>
        <v/>
      </c>
      <c r="E686" s="9">
        <f>IF('Data Source'!B686="","",'Data Source'!W686)</f>
        <v/>
      </c>
      <c r="F686" s="9">
        <f>IF('Data Source'!B686="","",'Data Source'!X686)</f>
        <v/>
      </c>
      <c r="G686" s="9">
        <f>IF('Data Source'!B686="","",'Data Source'!Y686)</f>
        <v/>
      </c>
      <c r="H686" s="9">
        <f>IF('Data Source'!B686="","",'Data Source'!Z686)</f>
        <v/>
      </c>
      <c r="I686" s="9">
        <f>IF('Data Source'!B686="","",'Data Source'!AA686)</f>
        <v/>
      </c>
      <c r="J686" s="9">
        <f>IF('Data Source'!B686="","",'Data Source'!AB686)</f>
        <v/>
      </c>
      <c r="K686" s="9">
        <f>IF('Data Source'!B686="","",'Data Source'!AC686)</f>
        <v/>
      </c>
      <c r="L686" s="9">
        <f>IF('Data Source'!B686="","",'Data Source'!AD686)</f>
        <v/>
      </c>
      <c r="M686" s="9">
        <f>IF('Data Source'!B686="","",'Data Source'!AE686)</f>
        <v/>
      </c>
      <c r="N686" s="9">
        <f>IF('Data Source'!B686="","",'Data Source'!AF686)</f>
        <v/>
      </c>
      <c r="O686" s="9">
        <f>IF('Data Source'!B686="","",'Data Source'!AG686)</f>
        <v/>
      </c>
      <c r="P686" s="5">
        <f>IF('Data Source'!B686="","",'Data Source'!R686)</f>
        <v/>
      </c>
      <c r="Q686" s="3">
        <f>IF('Data Source'!B686="","",'Data Source'!S686)</f>
        <v/>
      </c>
    </row>
    <row r="687">
      <c r="A687" s="3">
        <f>IF('Data Source'!B687="","",'Data Source'!A687)</f>
        <v/>
      </c>
      <c r="B687">
        <f>IF('Data Source'!B687="","",'Data Source'!B687)</f>
        <v/>
      </c>
      <c r="C687" s="9">
        <f>IF('Data Source'!B687="","",'Data Source'!U687)</f>
        <v/>
      </c>
      <c r="D687" s="9">
        <f>IF('Data Source'!B687="","",'Data Source'!V687)</f>
        <v/>
      </c>
      <c r="E687" s="9">
        <f>IF('Data Source'!B687="","",'Data Source'!W687)</f>
        <v/>
      </c>
      <c r="F687" s="9">
        <f>IF('Data Source'!B687="","",'Data Source'!X687)</f>
        <v/>
      </c>
      <c r="G687" s="9">
        <f>IF('Data Source'!B687="","",'Data Source'!Y687)</f>
        <v/>
      </c>
      <c r="H687" s="9">
        <f>IF('Data Source'!B687="","",'Data Source'!Z687)</f>
        <v/>
      </c>
      <c r="I687" s="9">
        <f>IF('Data Source'!B687="","",'Data Source'!AA687)</f>
        <v/>
      </c>
      <c r="J687" s="9">
        <f>IF('Data Source'!B687="","",'Data Source'!AB687)</f>
        <v/>
      </c>
      <c r="K687" s="9">
        <f>IF('Data Source'!B687="","",'Data Source'!AC687)</f>
        <v/>
      </c>
      <c r="L687" s="9">
        <f>IF('Data Source'!B687="","",'Data Source'!AD687)</f>
        <v/>
      </c>
      <c r="M687" s="9">
        <f>IF('Data Source'!B687="","",'Data Source'!AE687)</f>
        <v/>
      </c>
      <c r="N687" s="9">
        <f>IF('Data Source'!B687="","",'Data Source'!AF687)</f>
        <v/>
      </c>
      <c r="O687" s="9">
        <f>IF('Data Source'!B687="","",'Data Source'!AG687)</f>
        <v/>
      </c>
      <c r="P687" s="5">
        <f>IF('Data Source'!B687="","",'Data Source'!R687)</f>
        <v/>
      </c>
      <c r="Q687" s="3">
        <f>IF('Data Source'!B687="","",'Data Source'!S687)</f>
        <v/>
      </c>
    </row>
    <row r="688">
      <c r="A688" s="3">
        <f>IF('Data Source'!B688="","",'Data Source'!A688)</f>
        <v/>
      </c>
      <c r="B688">
        <f>IF('Data Source'!B688="","",'Data Source'!B688)</f>
        <v/>
      </c>
      <c r="C688" s="9">
        <f>IF('Data Source'!B688="","",'Data Source'!U688)</f>
        <v/>
      </c>
      <c r="D688" s="9">
        <f>IF('Data Source'!B688="","",'Data Source'!V688)</f>
        <v/>
      </c>
      <c r="E688" s="9">
        <f>IF('Data Source'!B688="","",'Data Source'!W688)</f>
        <v/>
      </c>
      <c r="F688" s="9">
        <f>IF('Data Source'!B688="","",'Data Source'!X688)</f>
        <v/>
      </c>
      <c r="G688" s="9">
        <f>IF('Data Source'!B688="","",'Data Source'!Y688)</f>
        <v/>
      </c>
      <c r="H688" s="9">
        <f>IF('Data Source'!B688="","",'Data Source'!Z688)</f>
        <v/>
      </c>
      <c r="I688" s="9">
        <f>IF('Data Source'!B688="","",'Data Source'!AA688)</f>
        <v/>
      </c>
      <c r="J688" s="9">
        <f>IF('Data Source'!B688="","",'Data Source'!AB688)</f>
        <v/>
      </c>
      <c r="K688" s="9">
        <f>IF('Data Source'!B688="","",'Data Source'!AC688)</f>
        <v/>
      </c>
      <c r="L688" s="9">
        <f>IF('Data Source'!B688="","",'Data Source'!AD688)</f>
        <v/>
      </c>
      <c r="M688" s="9">
        <f>IF('Data Source'!B688="","",'Data Source'!AE688)</f>
        <v/>
      </c>
      <c r="N688" s="9">
        <f>IF('Data Source'!B688="","",'Data Source'!AF688)</f>
        <v/>
      </c>
      <c r="O688" s="9">
        <f>IF('Data Source'!B688="","",'Data Source'!AG688)</f>
        <v/>
      </c>
      <c r="P688" s="5">
        <f>IF('Data Source'!B688="","",'Data Source'!R688)</f>
        <v/>
      </c>
      <c r="Q688" s="3">
        <f>IF('Data Source'!B688="","",'Data Source'!S688)</f>
        <v/>
      </c>
    </row>
    <row r="689">
      <c r="A689" s="3">
        <f>IF('Data Source'!B689="","",'Data Source'!A689)</f>
        <v/>
      </c>
      <c r="B689">
        <f>IF('Data Source'!B689="","",'Data Source'!B689)</f>
        <v/>
      </c>
      <c r="C689" s="9">
        <f>IF('Data Source'!B689="","",'Data Source'!U689)</f>
        <v/>
      </c>
      <c r="D689" s="9">
        <f>IF('Data Source'!B689="","",'Data Source'!V689)</f>
        <v/>
      </c>
      <c r="E689" s="9">
        <f>IF('Data Source'!B689="","",'Data Source'!W689)</f>
        <v/>
      </c>
      <c r="F689" s="9">
        <f>IF('Data Source'!B689="","",'Data Source'!X689)</f>
        <v/>
      </c>
      <c r="G689" s="9">
        <f>IF('Data Source'!B689="","",'Data Source'!Y689)</f>
        <v/>
      </c>
      <c r="H689" s="9">
        <f>IF('Data Source'!B689="","",'Data Source'!Z689)</f>
        <v/>
      </c>
      <c r="I689" s="9">
        <f>IF('Data Source'!B689="","",'Data Source'!AA689)</f>
        <v/>
      </c>
      <c r="J689" s="9">
        <f>IF('Data Source'!B689="","",'Data Source'!AB689)</f>
        <v/>
      </c>
      <c r="K689" s="9">
        <f>IF('Data Source'!B689="","",'Data Source'!AC689)</f>
        <v/>
      </c>
      <c r="L689" s="9">
        <f>IF('Data Source'!B689="","",'Data Source'!AD689)</f>
        <v/>
      </c>
      <c r="M689" s="9">
        <f>IF('Data Source'!B689="","",'Data Source'!AE689)</f>
        <v/>
      </c>
      <c r="N689" s="9">
        <f>IF('Data Source'!B689="","",'Data Source'!AF689)</f>
        <v/>
      </c>
      <c r="O689" s="9">
        <f>IF('Data Source'!B689="","",'Data Source'!AG689)</f>
        <v/>
      </c>
      <c r="P689" s="5">
        <f>IF('Data Source'!B689="","",'Data Source'!R689)</f>
        <v/>
      </c>
      <c r="Q689" s="3">
        <f>IF('Data Source'!B689="","",'Data Source'!S689)</f>
        <v/>
      </c>
    </row>
    <row r="690">
      <c r="A690" s="3">
        <f>IF('Data Source'!B690="","",'Data Source'!A690)</f>
        <v/>
      </c>
      <c r="B690">
        <f>IF('Data Source'!B690="","",'Data Source'!B690)</f>
        <v/>
      </c>
      <c r="C690" s="9">
        <f>IF('Data Source'!B690="","",'Data Source'!U690)</f>
        <v/>
      </c>
      <c r="D690" s="9">
        <f>IF('Data Source'!B690="","",'Data Source'!V690)</f>
        <v/>
      </c>
      <c r="E690" s="9">
        <f>IF('Data Source'!B690="","",'Data Source'!W690)</f>
        <v/>
      </c>
      <c r="F690" s="9">
        <f>IF('Data Source'!B690="","",'Data Source'!X690)</f>
        <v/>
      </c>
      <c r="G690" s="9">
        <f>IF('Data Source'!B690="","",'Data Source'!Y690)</f>
        <v/>
      </c>
      <c r="H690" s="9">
        <f>IF('Data Source'!B690="","",'Data Source'!Z690)</f>
        <v/>
      </c>
      <c r="I690" s="9">
        <f>IF('Data Source'!B690="","",'Data Source'!AA690)</f>
        <v/>
      </c>
      <c r="J690" s="9">
        <f>IF('Data Source'!B690="","",'Data Source'!AB690)</f>
        <v/>
      </c>
      <c r="K690" s="9">
        <f>IF('Data Source'!B690="","",'Data Source'!AC690)</f>
        <v/>
      </c>
      <c r="L690" s="9">
        <f>IF('Data Source'!B690="","",'Data Source'!AD690)</f>
        <v/>
      </c>
      <c r="M690" s="9">
        <f>IF('Data Source'!B690="","",'Data Source'!AE690)</f>
        <v/>
      </c>
      <c r="N690" s="9">
        <f>IF('Data Source'!B690="","",'Data Source'!AF690)</f>
        <v/>
      </c>
      <c r="O690" s="9">
        <f>IF('Data Source'!B690="","",'Data Source'!AG690)</f>
        <v/>
      </c>
      <c r="P690" s="5">
        <f>IF('Data Source'!B690="","",'Data Source'!R690)</f>
        <v/>
      </c>
      <c r="Q690" s="3">
        <f>IF('Data Source'!B690="","",'Data Source'!S690)</f>
        <v/>
      </c>
    </row>
    <row r="691">
      <c r="A691" s="3">
        <f>IF('Data Source'!B691="","",'Data Source'!A691)</f>
        <v/>
      </c>
      <c r="B691">
        <f>IF('Data Source'!B691="","",'Data Source'!B691)</f>
        <v/>
      </c>
      <c r="C691" s="9">
        <f>IF('Data Source'!B691="","",'Data Source'!U691)</f>
        <v/>
      </c>
      <c r="D691" s="9">
        <f>IF('Data Source'!B691="","",'Data Source'!V691)</f>
        <v/>
      </c>
      <c r="E691" s="9">
        <f>IF('Data Source'!B691="","",'Data Source'!W691)</f>
        <v/>
      </c>
      <c r="F691" s="9">
        <f>IF('Data Source'!B691="","",'Data Source'!X691)</f>
        <v/>
      </c>
      <c r="G691" s="9">
        <f>IF('Data Source'!B691="","",'Data Source'!Y691)</f>
        <v/>
      </c>
      <c r="H691" s="9">
        <f>IF('Data Source'!B691="","",'Data Source'!Z691)</f>
        <v/>
      </c>
      <c r="I691" s="9">
        <f>IF('Data Source'!B691="","",'Data Source'!AA691)</f>
        <v/>
      </c>
      <c r="J691" s="9">
        <f>IF('Data Source'!B691="","",'Data Source'!AB691)</f>
        <v/>
      </c>
      <c r="K691" s="9">
        <f>IF('Data Source'!B691="","",'Data Source'!AC691)</f>
        <v/>
      </c>
      <c r="L691" s="9">
        <f>IF('Data Source'!B691="","",'Data Source'!AD691)</f>
        <v/>
      </c>
      <c r="M691" s="9">
        <f>IF('Data Source'!B691="","",'Data Source'!AE691)</f>
        <v/>
      </c>
      <c r="N691" s="9">
        <f>IF('Data Source'!B691="","",'Data Source'!AF691)</f>
        <v/>
      </c>
      <c r="O691" s="9">
        <f>IF('Data Source'!B691="","",'Data Source'!AG691)</f>
        <v/>
      </c>
      <c r="P691" s="5">
        <f>IF('Data Source'!B691="","",'Data Source'!R691)</f>
        <v/>
      </c>
      <c r="Q691" s="3">
        <f>IF('Data Source'!B691="","",'Data Source'!S691)</f>
        <v/>
      </c>
    </row>
    <row r="692">
      <c r="A692" s="3">
        <f>IF('Data Source'!B692="","",'Data Source'!A692)</f>
        <v/>
      </c>
      <c r="B692">
        <f>IF('Data Source'!B692="","",'Data Source'!B692)</f>
        <v/>
      </c>
      <c r="C692" s="9">
        <f>IF('Data Source'!B692="","",'Data Source'!U692)</f>
        <v/>
      </c>
      <c r="D692" s="9">
        <f>IF('Data Source'!B692="","",'Data Source'!V692)</f>
        <v/>
      </c>
      <c r="E692" s="9">
        <f>IF('Data Source'!B692="","",'Data Source'!W692)</f>
        <v/>
      </c>
      <c r="F692" s="9">
        <f>IF('Data Source'!B692="","",'Data Source'!X692)</f>
        <v/>
      </c>
      <c r="G692" s="9">
        <f>IF('Data Source'!B692="","",'Data Source'!Y692)</f>
        <v/>
      </c>
      <c r="H692" s="9">
        <f>IF('Data Source'!B692="","",'Data Source'!Z692)</f>
        <v/>
      </c>
      <c r="I692" s="9">
        <f>IF('Data Source'!B692="","",'Data Source'!AA692)</f>
        <v/>
      </c>
      <c r="J692" s="9">
        <f>IF('Data Source'!B692="","",'Data Source'!AB692)</f>
        <v/>
      </c>
      <c r="K692" s="9">
        <f>IF('Data Source'!B692="","",'Data Source'!AC692)</f>
        <v/>
      </c>
      <c r="L692" s="9">
        <f>IF('Data Source'!B692="","",'Data Source'!AD692)</f>
        <v/>
      </c>
      <c r="M692" s="9">
        <f>IF('Data Source'!B692="","",'Data Source'!AE692)</f>
        <v/>
      </c>
      <c r="N692" s="9">
        <f>IF('Data Source'!B692="","",'Data Source'!AF692)</f>
        <v/>
      </c>
      <c r="O692" s="9">
        <f>IF('Data Source'!B692="","",'Data Source'!AG692)</f>
        <v/>
      </c>
      <c r="P692" s="5">
        <f>IF('Data Source'!B692="","",'Data Source'!R692)</f>
        <v/>
      </c>
      <c r="Q692" s="3">
        <f>IF('Data Source'!B692="","",'Data Source'!S692)</f>
        <v/>
      </c>
    </row>
    <row r="693">
      <c r="A693" s="3">
        <f>IF('Data Source'!B693="","",'Data Source'!A693)</f>
        <v/>
      </c>
      <c r="B693">
        <f>IF('Data Source'!B693="","",'Data Source'!B693)</f>
        <v/>
      </c>
      <c r="C693" s="9">
        <f>IF('Data Source'!B693="","",'Data Source'!U693)</f>
        <v/>
      </c>
      <c r="D693" s="9">
        <f>IF('Data Source'!B693="","",'Data Source'!V693)</f>
        <v/>
      </c>
      <c r="E693" s="9">
        <f>IF('Data Source'!B693="","",'Data Source'!W693)</f>
        <v/>
      </c>
      <c r="F693" s="9">
        <f>IF('Data Source'!B693="","",'Data Source'!X693)</f>
        <v/>
      </c>
      <c r="G693" s="9">
        <f>IF('Data Source'!B693="","",'Data Source'!Y693)</f>
        <v/>
      </c>
      <c r="H693" s="9">
        <f>IF('Data Source'!B693="","",'Data Source'!Z693)</f>
        <v/>
      </c>
      <c r="I693" s="9">
        <f>IF('Data Source'!B693="","",'Data Source'!AA693)</f>
        <v/>
      </c>
      <c r="J693" s="9">
        <f>IF('Data Source'!B693="","",'Data Source'!AB693)</f>
        <v/>
      </c>
      <c r="K693" s="9">
        <f>IF('Data Source'!B693="","",'Data Source'!AC693)</f>
        <v/>
      </c>
      <c r="L693" s="9">
        <f>IF('Data Source'!B693="","",'Data Source'!AD693)</f>
        <v/>
      </c>
      <c r="M693" s="9">
        <f>IF('Data Source'!B693="","",'Data Source'!AE693)</f>
        <v/>
      </c>
      <c r="N693" s="9">
        <f>IF('Data Source'!B693="","",'Data Source'!AF693)</f>
        <v/>
      </c>
      <c r="O693" s="9">
        <f>IF('Data Source'!B693="","",'Data Source'!AG693)</f>
        <v/>
      </c>
      <c r="P693" s="5">
        <f>IF('Data Source'!B693="","",'Data Source'!R693)</f>
        <v/>
      </c>
      <c r="Q693" s="3">
        <f>IF('Data Source'!B693="","",'Data Source'!S693)</f>
        <v/>
      </c>
    </row>
    <row r="694">
      <c r="A694" s="3">
        <f>IF('Data Source'!B694="","",'Data Source'!A694)</f>
        <v/>
      </c>
      <c r="B694">
        <f>IF('Data Source'!B694="","",'Data Source'!B694)</f>
        <v/>
      </c>
      <c r="C694" s="9">
        <f>IF('Data Source'!B694="","",'Data Source'!U694)</f>
        <v/>
      </c>
      <c r="D694" s="9">
        <f>IF('Data Source'!B694="","",'Data Source'!V694)</f>
        <v/>
      </c>
      <c r="E694" s="9">
        <f>IF('Data Source'!B694="","",'Data Source'!W694)</f>
        <v/>
      </c>
      <c r="F694" s="9">
        <f>IF('Data Source'!B694="","",'Data Source'!X694)</f>
        <v/>
      </c>
      <c r="G694" s="9">
        <f>IF('Data Source'!B694="","",'Data Source'!Y694)</f>
        <v/>
      </c>
      <c r="H694" s="9">
        <f>IF('Data Source'!B694="","",'Data Source'!Z694)</f>
        <v/>
      </c>
      <c r="I694" s="9">
        <f>IF('Data Source'!B694="","",'Data Source'!AA694)</f>
        <v/>
      </c>
      <c r="J694" s="9">
        <f>IF('Data Source'!B694="","",'Data Source'!AB694)</f>
        <v/>
      </c>
      <c r="K694" s="9">
        <f>IF('Data Source'!B694="","",'Data Source'!AC694)</f>
        <v/>
      </c>
      <c r="L694" s="9">
        <f>IF('Data Source'!B694="","",'Data Source'!AD694)</f>
        <v/>
      </c>
      <c r="M694" s="9">
        <f>IF('Data Source'!B694="","",'Data Source'!AE694)</f>
        <v/>
      </c>
      <c r="N694" s="9">
        <f>IF('Data Source'!B694="","",'Data Source'!AF694)</f>
        <v/>
      </c>
      <c r="O694" s="9">
        <f>IF('Data Source'!B694="","",'Data Source'!AG694)</f>
        <v/>
      </c>
      <c r="P694" s="5">
        <f>IF('Data Source'!B694="","",'Data Source'!R694)</f>
        <v/>
      </c>
      <c r="Q694" s="3">
        <f>IF('Data Source'!B694="","",'Data Source'!S694)</f>
        <v/>
      </c>
    </row>
    <row r="695">
      <c r="A695" s="3">
        <f>IF('Data Source'!B695="","",'Data Source'!A695)</f>
        <v/>
      </c>
      <c r="B695">
        <f>IF('Data Source'!B695="","",'Data Source'!B695)</f>
        <v/>
      </c>
      <c r="C695" s="9">
        <f>IF('Data Source'!B695="","",'Data Source'!U695)</f>
        <v/>
      </c>
      <c r="D695" s="9">
        <f>IF('Data Source'!B695="","",'Data Source'!V695)</f>
        <v/>
      </c>
      <c r="E695" s="9">
        <f>IF('Data Source'!B695="","",'Data Source'!W695)</f>
        <v/>
      </c>
      <c r="F695" s="9">
        <f>IF('Data Source'!B695="","",'Data Source'!X695)</f>
        <v/>
      </c>
      <c r="G695" s="9">
        <f>IF('Data Source'!B695="","",'Data Source'!Y695)</f>
        <v/>
      </c>
      <c r="H695" s="9">
        <f>IF('Data Source'!B695="","",'Data Source'!Z695)</f>
        <v/>
      </c>
      <c r="I695" s="9">
        <f>IF('Data Source'!B695="","",'Data Source'!AA695)</f>
        <v/>
      </c>
      <c r="J695" s="9">
        <f>IF('Data Source'!B695="","",'Data Source'!AB695)</f>
        <v/>
      </c>
      <c r="K695" s="9">
        <f>IF('Data Source'!B695="","",'Data Source'!AC695)</f>
        <v/>
      </c>
      <c r="L695" s="9">
        <f>IF('Data Source'!B695="","",'Data Source'!AD695)</f>
        <v/>
      </c>
      <c r="M695" s="9">
        <f>IF('Data Source'!B695="","",'Data Source'!AE695)</f>
        <v/>
      </c>
      <c r="N695" s="9">
        <f>IF('Data Source'!B695="","",'Data Source'!AF695)</f>
        <v/>
      </c>
      <c r="O695" s="9">
        <f>IF('Data Source'!B695="","",'Data Source'!AG695)</f>
        <v/>
      </c>
      <c r="P695" s="5">
        <f>IF('Data Source'!B695="","",'Data Source'!R695)</f>
        <v/>
      </c>
      <c r="Q695" s="3">
        <f>IF('Data Source'!B695="","",'Data Source'!S695)</f>
        <v/>
      </c>
    </row>
    <row r="696">
      <c r="A696" s="3">
        <f>IF('Data Source'!B696="","",'Data Source'!A696)</f>
        <v/>
      </c>
      <c r="B696">
        <f>IF('Data Source'!B696="","",'Data Source'!B696)</f>
        <v/>
      </c>
      <c r="C696" s="9">
        <f>IF('Data Source'!B696="","",'Data Source'!U696)</f>
        <v/>
      </c>
      <c r="D696" s="9">
        <f>IF('Data Source'!B696="","",'Data Source'!V696)</f>
        <v/>
      </c>
      <c r="E696" s="9">
        <f>IF('Data Source'!B696="","",'Data Source'!W696)</f>
        <v/>
      </c>
      <c r="F696" s="9">
        <f>IF('Data Source'!B696="","",'Data Source'!X696)</f>
        <v/>
      </c>
      <c r="G696" s="9">
        <f>IF('Data Source'!B696="","",'Data Source'!Y696)</f>
        <v/>
      </c>
      <c r="H696" s="9">
        <f>IF('Data Source'!B696="","",'Data Source'!Z696)</f>
        <v/>
      </c>
      <c r="I696" s="9">
        <f>IF('Data Source'!B696="","",'Data Source'!AA696)</f>
        <v/>
      </c>
      <c r="J696" s="9">
        <f>IF('Data Source'!B696="","",'Data Source'!AB696)</f>
        <v/>
      </c>
      <c r="K696" s="9">
        <f>IF('Data Source'!B696="","",'Data Source'!AC696)</f>
        <v/>
      </c>
      <c r="L696" s="9">
        <f>IF('Data Source'!B696="","",'Data Source'!AD696)</f>
        <v/>
      </c>
      <c r="M696" s="9">
        <f>IF('Data Source'!B696="","",'Data Source'!AE696)</f>
        <v/>
      </c>
      <c r="N696" s="9">
        <f>IF('Data Source'!B696="","",'Data Source'!AF696)</f>
        <v/>
      </c>
      <c r="O696" s="9">
        <f>IF('Data Source'!B696="","",'Data Source'!AG696)</f>
        <v/>
      </c>
      <c r="P696" s="5">
        <f>IF('Data Source'!B696="","",'Data Source'!R696)</f>
        <v/>
      </c>
      <c r="Q696" s="3">
        <f>IF('Data Source'!B696="","",'Data Source'!S696)</f>
        <v/>
      </c>
    </row>
    <row r="697">
      <c r="A697" s="3">
        <f>IF('Data Source'!B697="","",'Data Source'!A697)</f>
        <v/>
      </c>
      <c r="B697">
        <f>IF('Data Source'!B697="","",'Data Source'!B697)</f>
        <v/>
      </c>
      <c r="C697" s="9">
        <f>IF('Data Source'!B697="","",'Data Source'!U697)</f>
        <v/>
      </c>
      <c r="D697" s="9">
        <f>IF('Data Source'!B697="","",'Data Source'!V697)</f>
        <v/>
      </c>
      <c r="E697" s="9">
        <f>IF('Data Source'!B697="","",'Data Source'!W697)</f>
        <v/>
      </c>
      <c r="F697" s="9">
        <f>IF('Data Source'!B697="","",'Data Source'!X697)</f>
        <v/>
      </c>
      <c r="G697" s="9">
        <f>IF('Data Source'!B697="","",'Data Source'!Y697)</f>
        <v/>
      </c>
      <c r="H697" s="9">
        <f>IF('Data Source'!B697="","",'Data Source'!Z697)</f>
        <v/>
      </c>
      <c r="I697" s="9">
        <f>IF('Data Source'!B697="","",'Data Source'!AA697)</f>
        <v/>
      </c>
      <c r="J697" s="9">
        <f>IF('Data Source'!B697="","",'Data Source'!AB697)</f>
        <v/>
      </c>
      <c r="K697" s="9">
        <f>IF('Data Source'!B697="","",'Data Source'!AC697)</f>
        <v/>
      </c>
      <c r="L697" s="9">
        <f>IF('Data Source'!B697="","",'Data Source'!AD697)</f>
        <v/>
      </c>
      <c r="M697" s="9">
        <f>IF('Data Source'!B697="","",'Data Source'!AE697)</f>
        <v/>
      </c>
      <c r="N697" s="9">
        <f>IF('Data Source'!B697="","",'Data Source'!AF697)</f>
        <v/>
      </c>
      <c r="O697" s="9">
        <f>IF('Data Source'!B697="","",'Data Source'!AG697)</f>
        <v/>
      </c>
      <c r="P697" s="5">
        <f>IF('Data Source'!B697="","",'Data Source'!R697)</f>
        <v/>
      </c>
      <c r="Q697" s="3">
        <f>IF('Data Source'!B697="","",'Data Source'!S697)</f>
        <v/>
      </c>
    </row>
    <row r="698">
      <c r="A698" s="3">
        <f>IF('Data Source'!B698="","",'Data Source'!A698)</f>
        <v/>
      </c>
      <c r="B698">
        <f>IF('Data Source'!B698="","",'Data Source'!B698)</f>
        <v/>
      </c>
      <c r="C698" s="9">
        <f>IF('Data Source'!B698="","",'Data Source'!U698)</f>
        <v/>
      </c>
      <c r="D698" s="9">
        <f>IF('Data Source'!B698="","",'Data Source'!V698)</f>
        <v/>
      </c>
      <c r="E698" s="9">
        <f>IF('Data Source'!B698="","",'Data Source'!W698)</f>
        <v/>
      </c>
      <c r="F698" s="9">
        <f>IF('Data Source'!B698="","",'Data Source'!X698)</f>
        <v/>
      </c>
      <c r="G698" s="9">
        <f>IF('Data Source'!B698="","",'Data Source'!Y698)</f>
        <v/>
      </c>
      <c r="H698" s="9">
        <f>IF('Data Source'!B698="","",'Data Source'!Z698)</f>
        <v/>
      </c>
      <c r="I698" s="9">
        <f>IF('Data Source'!B698="","",'Data Source'!AA698)</f>
        <v/>
      </c>
      <c r="J698" s="9">
        <f>IF('Data Source'!B698="","",'Data Source'!AB698)</f>
        <v/>
      </c>
      <c r="K698" s="9">
        <f>IF('Data Source'!B698="","",'Data Source'!AC698)</f>
        <v/>
      </c>
      <c r="L698" s="9">
        <f>IF('Data Source'!B698="","",'Data Source'!AD698)</f>
        <v/>
      </c>
      <c r="M698" s="9">
        <f>IF('Data Source'!B698="","",'Data Source'!AE698)</f>
        <v/>
      </c>
      <c r="N698" s="9">
        <f>IF('Data Source'!B698="","",'Data Source'!AF698)</f>
        <v/>
      </c>
      <c r="O698" s="9">
        <f>IF('Data Source'!B698="","",'Data Source'!AG698)</f>
        <v/>
      </c>
      <c r="P698" s="5">
        <f>IF('Data Source'!B698="","",'Data Source'!R698)</f>
        <v/>
      </c>
      <c r="Q698" s="3">
        <f>IF('Data Source'!B698="","",'Data Source'!S698)</f>
        <v/>
      </c>
    </row>
    <row r="699">
      <c r="A699" s="3">
        <f>IF('Data Source'!B699="","",'Data Source'!A699)</f>
        <v/>
      </c>
      <c r="B699">
        <f>IF('Data Source'!B699="","",'Data Source'!B699)</f>
        <v/>
      </c>
      <c r="C699" s="9">
        <f>IF('Data Source'!B699="","",'Data Source'!U699)</f>
        <v/>
      </c>
      <c r="D699" s="9">
        <f>IF('Data Source'!B699="","",'Data Source'!V699)</f>
        <v/>
      </c>
      <c r="E699" s="9">
        <f>IF('Data Source'!B699="","",'Data Source'!W699)</f>
        <v/>
      </c>
      <c r="F699" s="9">
        <f>IF('Data Source'!B699="","",'Data Source'!X699)</f>
        <v/>
      </c>
      <c r="G699" s="9">
        <f>IF('Data Source'!B699="","",'Data Source'!Y699)</f>
        <v/>
      </c>
      <c r="H699" s="9">
        <f>IF('Data Source'!B699="","",'Data Source'!Z699)</f>
        <v/>
      </c>
      <c r="I699" s="9">
        <f>IF('Data Source'!B699="","",'Data Source'!AA699)</f>
        <v/>
      </c>
      <c r="J699" s="9">
        <f>IF('Data Source'!B699="","",'Data Source'!AB699)</f>
        <v/>
      </c>
      <c r="K699" s="9">
        <f>IF('Data Source'!B699="","",'Data Source'!AC699)</f>
        <v/>
      </c>
      <c r="L699" s="9">
        <f>IF('Data Source'!B699="","",'Data Source'!AD699)</f>
        <v/>
      </c>
      <c r="M699" s="9">
        <f>IF('Data Source'!B699="","",'Data Source'!AE699)</f>
        <v/>
      </c>
      <c r="N699" s="9">
        <f>IF('Data Source'!B699="","",'Data Source'!AF699)</f>
        <v/>
      </c>
      <c r="O699" s="9">
        <f>IF('Data Source'!B699="","",'Data Source'!AG699)</f>
        <v/>
      </c>
      <c r="P699" s="5">
        <f>IF('Data Source'!B699="","",'Data Source'!R699)</f>
        <v/>
      </c>
      <c r="Q699" s="3">
        <f>IF('Data Source'!B699="","",'Data Source'!S699)</f>
        <v/>
      </c>
    </row>
    <row r="700">
      <c r="A700" s="3">
        <f>IF('Data Source'!B700="","",'Data Source'!A700)</f>
        <v/>
      </c>
      <c r="B700">
        <f>IF('Data Source'!B700="","",'Data Source'!B700)</f>
        <v/>
      </c>
      <c r="C700" s="9">
        <f>IF('Data Source'!B700="","",'Data Source'!U700)</f>
        <v/>
      </c>
      <c r="D700" s="9">
        <f>IF('Data Source'!B700="","",'Data Source'!V700)</f>
        <v/>
      </c>
      <c r="E700" s="9">
        <f>IF('Data Source'!B700="","",'Data Source'!W700)</f>
        <v/>
      </c>
      <c r="F700" s="9">
        <f>IF('Data Source'!B700="","",'Data Source'!X700)</f>
        <v/>
      </c>
      <c r="G700" s="9">
        <f>IF('Data Source'!B700="","",'Data Source'!Y700)</f>
        <v/>
      </c>
      <c r="H700" s="9">
        <f>IF('Data Source'!B700="","",'Data Source'!Z700)</f>
        <v/>
      </c>
      <c r="I700" s="9">
        <f>IF('Data Source'!B700="","",'Data Source'!AA700)</f>
        <v/>
      </c>
      <c r="J700" s="9">
        <f>IF('Data Source'!B700="","",'Data Source'!AB700)</f>
        <v/>
      </c>
      <c r="K700" s="9">
        <f>IF('Data Source'!B700="","",'Data Source'!AC700)</f>
        <v/>
      </c>
      <c r="L700" s="9">
        <f>IF('Data Source'!B700="","",'Data Source'!AD700)</f>
        <v/>
      </c>
      <c r="M700" s="9">
        <f>IF('Data Source'!B700="","",'Data Source'!AE700)</f>
        <v/>
      </c>
      <c r="N700" s="9">
        <f>IF('Data Source'!B700="","",'Data Source'!AF700)</f>
        <v/>
      </c>
      <c r="O700" s="9">
        <f>IF('Data Source'!B700="","",'Data Source'!AG700)</f>
        <v/>
      </c>
      <c r="P700" s="5">
        <f>IF('Data Source'!B700="","",'Data Source'!R700)</f>
        <v/>
      </c>
      <c r="Q700" s="3">
        <f>IF('Data Source'!B700="","",'Data Source'!S700)</f>
        <v/>
      </c>
    </row>
    <row r="701">
      <c r="A701" s="3">
        <f>IF('Data Source'!B701="","",'Data Source'!A701)</f>
        <v/>
      </c>
      <c r="B701">
        <f>IF('Data Source'!B701="","",'Data Source'!B701)</f>
        <v/>
      </c>
      <c r="C701" s="9">
        <f>IF('Data Source'!B701="","",'Data Source'!U701)</f>
        <v/>
      </c>
      <c r="D701" s="9">
        <f>IF('Data Source'!B701="","",'Data Source'!V701)</f>
        <v/>
      </c>
      <c r="E701" s="9">
        <f>IF('Data Source'!B701="","",'Data Source'!W701)</f>
        <v/>
      </c>
      <c r="F701" s="9">
        <f>IF('Data Source'!B701="","",'Data Source'!X701)</f>
        <v/>
      </c>
      <c r="G701" s="9">
        <f>IF('Data Source'!B701="","",'Data Source'!Y701)</f>
        <v/>
      </c>
      <c r="H701" s="9">
        <f>IF('Data Source'!B701="","",'Data Source'!Z701)</f>
        <v/>
      </c>
      <c r="I701" s="9">
        <f>IF('Data Source'!B701="","",'Data Source'!AA701)</f>
        <v/>
      </c>
      <c r="J701" s="9">
        <f>IF('Data Source'!B701="","",'Data Source'!AB701)</f>
        <v/>
      </c>
      <c r="K701" s="9">
        <f>IF('Data Source'!B701="","",'Data Source'!AC701)</f>
        <v/>
      </c>
      <c r="L701" s="9">
        <f>IF('Data Source'!B701="","",'Data Source'!AD701)</f>
        <v/>
      </c>
      <c r="M701" s="9">
        <f>IF('Data Source'!B701="","",'Data Source'!AE701)</f>
        <v/>
      </c>
      <c r="N701" s="9">
        <f>IF('Data Source'!B701="","",'Data Source'!AF701)</f>
        <v/>
      </c>
      <c r="O701" s="9">
        <f>IF('Data Source'!B701="","",'Data Source'!AG701)</f>
        <v/>
      </c>
      <c r="P701" s="5">
        <f>IF('Data Source'!B701="","",'Data Source'!R701)</f>
        <v/>
      </c>
      <c r="Q701" s="3">
        <f>IF('Data Source'!B701="","",'Data Source'!S701)</f>
        <v/>
      </c>
    </row>
    <row r="702">
      <c r="A702" s="3">
        <f>IF('Data Source'!B702="","",'Data Source'!A702)</f>
        <v/>
      </c>
      <c r="B702">
        <f>IF('Data Source'!B702="","",'Data Source'!B702)</f>
        <v/>
      </c>
      <c r="C702" s="9">
        <f>IF('Data Source'!B702="","",'Data Source'!U702)</f>
        <v/>
      </c>
      <c r="D702" s="9">
        <f>IF('Data Source'!B702="","",'Data Source'!V702)</f>
        <v/>
      </c>
      <c r="E702" s="9">
        <f>IF('Data Source'!B702="","",'Data Source'!W702)</f>
        <v/>
      </c>
      <c r="F702" s="9">
        <f>IF('Data Source'!B702="","",'Data Source'!X702)</f>
        <v/>
      </c>
      <c r="G702" s="9">
        <f>IF('Data Source'!B702="","",'Data Source'!Y702)</f>
        <v/>
      </c>
      <c r="H702" s="9">
        <f>IF('Data Source'!B702="","",'Data Source'!Z702)</f>
        <v/>
      </c>
      <c r="I702" s="9">
        <f>IF('Data Source'!B702="","",'Data Source'!AA702)</f>
        <v/>
      </c>
      <c r="J702" s="9">
        <f>IF('Data Source'!B702="","",'Data Source'!AB702)</f>
        <v/>
      </c>
      <c r="K702" s="9">
        <f>IF('Data Source'!B702="","",'Data Source'!AC702)</f>
        <v/>
      </c>
      <c r="L702" s="9">
        <f>IF('Data Source'!B702="","",'Data Source'!AD702)</f>
        <v/>
      </c>
      <c r="M702" s="9">
        <f>IF('Data Source'!B702="","",'Data Source'!AE702)</f>
        <v/>
      </c>
      <c r="N702" s="9">
        <f>IF('Data Source'!B702="","",'Data Source'!AF702)</f>
        <v/>
      </c>
      <c r="O702" s="9">
        <f>IF('Data Source'!B702="","",'Data Source'!AG702)</f>
        <v/>
      </c>
      <c r="P702" s="5">
        <f>IF('Data Source'!B702="","",'Data Source'!R702)</f>
        <v/>
      </c>
      <c r="Q702" s="3">
        <f>IF('Data Source'!B702="","",'Data Source'!S702)</f>
        <v/>
      </c>
    </row>
    <row r="703">
      <c r="A703" s="3">
        <f>IF('Data Source'!B703="","",'Data Source'!A703)</f>
        <v/>
      </c>
      <c r="B703">
        <f>IF('Data Source'!B703="","",'Data Source'!B703)</f>
        <v/>
      </c>
      <c r="C703" s="9">
        <f>IF('Data Source'!B703="","",'Data Source'!U703)</f>
        <v/>
      </c>
      <c r="D703" s="9">
        <f>IF('Data Source'!B703="","",'Data Source'!V703)</f>
        <v/>
      </c>
      <c r="E703" s="9">
        <f>IF('Data Source'!B703="","",'Data Source'!W703)</f>
        <v/>
      </c>
      <c r="F703" s="9">
        <f>IF('Data Source'!B703="","",'Data Source'!X703)</f>
        <v/>
      </c>
      <c r="G703" s="9">
        <f>IF('Data Source'!B703="","",'Data Source'!Y703)</f>
        <v/>
      </c>
      <c r="H703" s="9">
        <f>IF('Data Source'!B703="","",'Data Source'!Z703)</f>
        <v/>
      </c>
      <c r="I703" s="9">
        <f>IF('Data Source'!B703="","",'Data Source'!AA703)</f>
        <v/>
      </c>
      <c r="J703" s="9">
        <f>IF('Data Source'!B703="","",'Data Source'!AB703)</f>
        <v/>
      </c>
      <c r="K703" s="9">
        <f>IF('Data Source'!B703="","",'Data Source'!AC703)</f>
        <v/>
      </c>
      <c r="L703" s="9">
        <f>IF('Data Source'!B703="","",'Data Source'!AD703)</f>
        <v/>
      </c>
      <c r="M703" s="9">
        <f>IF('Data Source'!B703="","",'Data Source'!AE703)</f>
        <v/>
      </c>
      <c r="N703" s="9">
        <f>IF('Data Source'!B703="","",'Data Source'!AF703)</f>
        <v/>
      </c>
      <c r="O703" s="9">
        <f>IF('Data Source'!B703="","",'Data Source'!AG703)</f>
        <v/>
      </c>
      <c r="P703" s="5">
        <f>IF('Data Source'!B703="","",'Data Source'!R703)</f>
        <v/>
      </c>
      <c r="Q703" s="3">
        <f>IF('Data Source'!B703="","",'Data Source'!S703)</f>
        <v/>
      </c>
    </row>
    <row r="704">
      <c r="A704" s="3">
        <f>IF('Data Source'!B704="","",'Data Source'!A704)</f>
        <v/>
      </c>
      <c r="B704">
        <f>IF('Data Source'!B704="","",'Data Source'!B704)</f>
        <v/>
      </c>
      <c r="C704" s="9">
        <f>IF('Data Source'!B704="","",'Data Source'!U704)</f>
        <v/>
      </c>
      <c r="D704" s="9">
        <f>IF('Data Source'!B704="","",'Data Source'!V704)</f>
        <v/>
      </c>
      <c r="E704" s="9">
        <f>IF('Data Source'!B704="","",'Data Source'!W704)</f>
        <v/>
      </c>
      <c r="F704" s="9">
        <f>IF('Data Source'!B704="","",'Data Source'!X704)</f>
        <v/>
      </c>
      <c r="G704" s="9">
        <f>IF('Data Source'!B704="","",'Data Source'!Y704)</f>
        <v/>
      </c>
      <c r="H704" s="9">
        <f>IF('Data Source'!B704="","",'Data Source'!Z704)</f>
        <v/>
      </c>
      <c r="I704" s="9">
        <f>IF('Data Source'!B704="","",'Data Source'!AA704)</f>
        <v/>
      </c>
      <c r="J704" s="9">
        <f>IF('Data Source'!B704="","",'Data Source'!AB704)</f>
        <v/>
      </c>
      <c r="K704" s="9">
        <f>IF('Data Source'!B704="","",'Data Source'!AC704)</f>
        <v/>
      </c>
      <c r="L704" s="9">
        <f>IF('Data Source'!B704="","",'Data Source'!AD704)</f>
        <v/>
      </c>
      <c r="M704" s="9">
        <f>IF('Data Source'!B704="","",'Data Source'!AE704)</f>
        <v/>
      </c>
      <c r="N704" s="9">
        <f>IF('Data Source'!B704="","",'Data Source'!AF704)</f>
        <v/>
      </c>
      <c r="O704" s="9">
        <f>IF('Data Source'!B704="","",'Data Source'!AG704)</f>
        <v/>
      </c>
      <c r="P704" s="5">
        <f>IF('Data Source'!B704="","",'Data Source'!R704)</f>
        <v/>
      </c>
      <c r="Q704" s="3">
        <f>IF('Data Source'!B704="","",'Data Source'!S704)</f>
        <v/>
      </c>
    </row>
    <row r="705">
      <c r="A705" s="3">
        <f>IF('Data Source'!B705="","",'Data Source'!A705)</f>
        <v/>
      </c>
      <c r="B705">
        <f>IF('Data Source'!B705="","",'Data Source'!B705)</f>
        <v/>
      </c>
      <c r="C705" s="9">
        <f>IF('Data Source'!B705="","",'Data Source'!U705)</f>
        <v/>
      </c>
      <c r="D705" s="9">
        <f>IF('Data Source'!B705="","",'Data Source'!V705)</f>
        <v/>
      </c>
      <c r="E705" s="9">
        <f>IF('Data Source'!B705="","",'Data Source'!W705)</f>
        <v/>
      </c>
      <c r="F705" s="9">
        <f>IF('Data Source'!B705="","",'Data Source'!X705)</f>
        <v/>
      </c>
      <c r="G705" s="9">
        <f>IF('Data Source'!B705="","",'Data Source'!Y705)</f>
        <v/>
      </c>
      <c r="H705" s="9">
        <f>IF('Data Source'!B705="","",'Data Source'!Z705)</f>
        <v/>
      </c>
      <c r="I705" s="9">
        <f>IF('Data Source'!B705="","",'Data Source'!AA705)</f>
        <v/>
      </c>
      <c r="J705" s="9">
        <f>IF('Data Source'!B705="","",'Data Source'!AB705)</f>
        <v/>
      </c>
      <c r="K705" s="9">
        <f>IF('Data Source'!B705="","",'Data Source'!AC705)</f>
        <v/>
      </c>
      <c r="L705" s="9">
        <f>IF('Data Source'!B705="","",'Data Source'!AD705)</f>
        <v/>
      </c>
      <c r="M705" s="9">
        <f>IF('Data Source'!B705="","",'Data Source'!AE705)</f>
        <v/>
      </c>
      <c r="N705" s="9">
        <f>IF('Data Source'!B705="","",'Data Source'!AF705)</f>
        <v/>
      </c>
      <c r="O705" s="9">
        <f>IF('Data Source'!B705="","",'Data Source'!AG705)</f>
        <v/>
      </c>
      <c r="P705" s="5">
        <f>IF('Data Source'!B705="","",'Data Source'!R705)</f>
        <v/>
      </c>
      <c r="Q705" s="3">
        <f>IF('Data Source'!B705="","",'Data Source'!S705)</f>
        <v/>
      </c>
    </row>
    <row r="706">
      <c r="A706" s="3">
        <f>IF('Data Source'!B706="","",'Data Source'!A706)</f>
        <v/>
      </c>
      <c r="B706">
        <f>IF('Data Source'!B706="","",'Data Source'!B706)</f>
        <v/>
      </c>
      <c r="C706" s="9">
        <f>IF('Data Source'!B706="","",'Data Source'!U706)</f>
        <v/>
      </c>
      <c r="D706" s="9">
        <f>IF('Data Source'!B706="","",'Data Source'!V706)</f>
        <v/>
      </c>
      <c r="E706" s="9">
        <f>IF('Data Source'!B706="","",'Data Source'!W706)</f>
        <v/>
      </c>
      <c r="F706" s="9">
        <f>IF('Data Source'!B706="","",'Data Source'!X706)</f>
        <v/>
      </c>
      <c r="G706" s="9">
        <f>IF('Data Source'!B706="","",'Data Source'!Y706)</f>
        <v/>
      </c>
      <c r="H706" s="9">
        <f>IF('Data Source'!B706="","",'Data Source'!Z706)</f>
        <v/>
      </c>
      <c r="I706" s="9">
        <f>IF('Data Source'!B706="","",'Data Source'!AA706)</f>
        <v/>
      </c>
      <c r="J706" s="9">
        <f>IF('Data Source'!B706="","",'Data Source'!AB706)</f>
        <v/>
      </c>
      <c r="K706" s="9">
        <f>IF('Data Source'!B706="","",'Data Source'!AC706)</f>
        <v/>
      </c>
      <c r="L706" s="9">
        <f>IF('Data Source'!B706="","",'Data Source'!AD706)</f>
        <v/>
      </c>
      <c r="M706" s="9">
        <f>IF('Data Source'!B706="","",'Data Source'!AE706)</f>
        <v/>
      </c>
      <c r="N706" s="9">
        <f>IF('Data Source'!B706="","",'Data Source'!AF706)</f>
        <v/>
      </c>
      <c r="O706" s="9">
        <f>IF('Data Source'!B706="","",'Data Source'!AG706)</f>
        <v/>
      </c>
      <c r="P706" s="5">
        <f>IF('Data Source'!B706="","",'Data Source'!R706)</f>
        <v/>
      </c>
      <c r="Q706" s="3">
        <f>IF('Data Source'!B706="","",'Data Source'!S706)</f>
        <v/>
      </c>
    </row>
    <row r="707">
      <c r="A707" s="3">
        <f>IF('Data Source'!B707="","",'Data Source'!A707)</f>
        <v/>
      </c>
      <c r="B707">
        <f>IF('Data Source'!B707="","",'Data Source'!B707)</f>
        <v/>
      </c>
      <c r="C707" s="9">
        <f>IF('Data Source'!B707="","",'Data Source'!U707)</f>
        <v/>
      </c>
      <c r="D707" s="9">
        <f>IF('Data Source'!B707="","",'Data Source'!V707)</f>
        <v/>
      </c>
      <c r="E707" s="9">
        <f>IF('Data Source'!B707="","",'Data Source'!W707)</f>
        <v/>
      </c>
      <c r="F707" s="9">
        <f>IF('Data Source'!B707="","",'Data Source'!X707)</f>
        <v/>
      </c>
      <c r="G707" s="9">
        <f>IF('Data Source'!B707="","",'Data Source'!Y707)</f>
        <v/>
      </c>
      <c r="H707" s="9">
        <f>IF('Data Source'!B707="","",'Data Source'!Z707)</f>
        <v/>
      </c>
      <c r="I707" s="9">
        <f>IF('Data Source'!B707="","",'Data Source'!AA707)</f>
        <v/>
      </c>
      <c r="J707" s="9">
        <f>IF('Data Source'!B707="","",'Data Source'!AB707)</f>
        <v/>
      </c>
      <c r="K707" s="9">
        <f>IF('Data Source'!B707="","",'Data Source'!AC707)</f>
        <v/>
      </c>
      <c r="L707" s="9">
        <f>IF('Data Source'!B707="","",'Data Source'!AD707)</f>
        <v/>
      </c>
      <c r="M707" s="9">
        <f>IF('Data Source'!B707="","",'Data Source'!AE707)</f>
        <v/>
      </c>
      <c r="N707" s="9">
        <f>IF('Data Source'!B707="","",'Data Source'!AF707)</f>
        <v/>
      </c>
      <c r="O707" s="9">
        <f>IF('Data Source'!B707="","",'Data Source'!AG707)</f>
        <v/>
      </c>
      <c r="P707" s="5">
        <f>IF('Data Source'!B707="","",'Data Source'!R707)</f>
        <v/>
      </c>
      <c r="Q707" s="3">
        <f>IF('Data Source'!B707="","",'Data Source'!S707)</f>
        <v/>
      </c>
    </row>
    <row r="708">
      <c r="A708" s="3">
        <f>IF('Data Source'!B708="","",'Data Source'!A708)</f>
        <v/>
      </c>
      <c r="B708">
        <f>IF('Data Source'!B708="","",'Data Source'!B708)</f>
        <v/>
      </c>
      <c r="C708" s="9">
        <f>IF('Data Source'!B708="","",'Data Source'!U708)</f>
        <v/>
      </c>
      <c r="D708" s="9">
        <f>IF('Data Source'!B708="","",'Data Source'!V708)</f>
        <v/>
      </c>
      <c r="E708" s="9">
        <f>IF('Data Source'!B708="","",'Data Source'!W708)</f>
        <v/>
      </c>
      <c r="F708" s="9">
        <f>IF('Data Source'!B708="","",'Data Source'!X708)</f>
        <v/>
      </c>
      <c r="G708" s="9">
        <f>IF('Data Source'!B708="","",'Data Source'!Y708)</f>
        <v/>
      </c>
      <c r="H708" s="9">
        <f>IF('Data Source'!B708="","",'Data Source'!Z708)</f>
        <v/>
      </c>
      <c r="I708" s="9">
        <f>IF('Data Source'!B708="","",'Data Source'!AA708)</f>
        <v/>
      </c>
      <c r="J708" s="9">
        <f>IF('Data Source'!B708="","",'Data Source'!AB708)</f>
        <v/>
      </c>
      <c r="K708" s="9">
        <f>IF('Data Source'!B708="","",'Data Source'!AC708)</f>
        <v/>
      </c>
      <c r="L708" s="9">
        <f>IF('Data Source'!B708="","",'Data Source'!AD708)</f>
        <v/>
      </c>
      <c r="M708" s="9">
        <f>IF('Data Source'!B708="","",'Data Source'!AE708)</f>
        <v/>
      </c>
      <c r="N708" s="9">
        <f>IF('Data Source'!B708="","",'Data Source'!AF708)</f>
        <v/>
      </c>
      <c r="O708" s="9">
        <f>IF('Data Source'!B708="","",'Data Source'!AG708)</f>
        <v/>
      </c>
      <c r="P708" s="5">
        <f>IF('Data Source'!B708="","",'Data Source'!R708)</f>
        <v/>
      </c>
      <c r="Q708" s="3">
        <f>IF('Data Source'!B708="","",'Data Source'!S708)</f>
        <v/>
      </c>
    </row>
    <row r="709">
      <c r="A709" s="3">
        <f>IF('Data Source'!B709="","",'Data Source'!A709)</f>
        <v/>
      </c>
      <c r="B709">
        <f>IF('Data Source'!B709="","",'Data Source'!B709)</f>
        <v/>
      </c>
      <c r="C709" s="9">
        <f>IF('Data Source'!B709="","",'Data Source'!U709)</f>
        <v/>
      </c>
      <c r="D709" s="9">
        <f>IF('Data Source'!B709="","",'Data Source'!V709)</f>
        <v/>
      </c>
      <c r="E709" s="9">
        <f>IF('Data Source'!B709="","",'Data Source'!W709)</f>
        <v/>
      </c>
      <c r="F709" s="9">
        <f>IF('Data Source'!B709="","",'Data Source'!X709)</f>
        <v/>
      </c>
      <c r="G709" s="9">
        <f>IF('Data Source'!B709="","",'Data Source'!Y709)</f>
        <v/>
      </c>
      <c r="H709" s="9">
        <f>IF('Data Source'!B709="","",'Data Source'!Z709)</f>
        <v/>
      </c>
      <c r="I709" s="9">
        <f>IF('Data Source'!B709="","",'Data Source'!AA709)</f>
        <v/>
      </c>
      <c r="J709" s="9">
        <f>IF('Data Source'!B709="","",'Data Source'!AB709)</f>
        <v/>
      </c>
      <c r="K709" s="9">
        <f>IF('Data Source'!B709="","",'Data Source'!AC709)</f>
        <v/>
      </c>
      <c r="L709" s="9">
        <f>IF('Data Source'!B709="","",'Data Source'!AD709)</f>
        <v/>
      </c>
      <c r="M709" s="9">
        <f>IF('Data Source'!B709="","",'Data Source'!AE709)</f>
        <v/>
      </c>
      <c r="N709" s="9">
        <f>IF('Data Source'!B709="","",'Data Source'!AF709)</f>
        <v/>
      </c>
      <c r="O709" s="9">
        <f>IF('Data Source'!B709="","",'Data Source'!AG709)</f>
        <v/>
      </c>
      <c r="P709" s="5">
        <f>IF('Data Source'!B709="","",'Data Source'!R709)</f>
        <v/>
      </c>
      <c r="Q709" s="3">
        <f>IF('Data Source'!B709="","",'Data Source'!S709)</f>
        <v/>
      </c>
    </row>
    <row r="710">
      <c r="A710" s="3">
        <f>IF('Data Source'!B710="","",'Data Source'!A710)</f>
        <v/>
      </c>
      <c r="B710">
        <f>IF('Data Source'!B710="","",'Data Source'!B710)</f>
        <v/>
      </c>
      <c r="C710" s="9">
        <f>IF('Data Source'!B710="","",'Data Source'!U710)</f>
        <v/>
      </c>
      <c r="D710" s="9">
        <f>IF('Data Source'!B710="","",'Data Source'!V710)</f>
        <v/>
      </c>
      <c r="E710" s="9">
        <f>IF('Data Source'!B710="","",'Data Source'!W710)</f>
        <v/>
      </c>
      <c r="F710" s="9">
        <f>IF('Data Source'!B710="","",'Data Source'!X710)</f>
        <v/>
      </c>
      <c r="G710" s="9">
        <f>IF('Data Source'!B710="","",'Data Source'!Y710)</f>
        <v/>
      </c>
      <c r="H710" s="9">
        <f>IF('Data Source'!B710="","",'Data Source'!Z710)</f>
        <v/>
      </c>
      <c r="I710" s="9">
        <f>IF('Data Source'!B710="","",'Data Source'!AA710)</f>
        <v/>
      </c>
      <c r="J710" s="9">
        <f>IF('Data Source'!B710="","",'Data Source'!AB710)</f>
        <v/>
      </c>
      <c r="K710" s="9">
        <f>IF('Data Source'!B710="","",'Data Source'!AC710)</f>
        <v/>
      </c>
      <c r="L710" s="9">
        <f>IF('Data Source'!B710="","",'Data Source'!AD710)</f>
        <v/>
      </c>
      <c r="M710" s="9">
        <f>IF('Data Source'!B710="","",'Data Source'!AE710)</f>
        <v/>
      </c>
      <c r="N710" s="9">
        <f>IF('Data Source'!B710="","",'Data Source'!AF710)</f>
        <v/>
      </c>
      <c r="O710" s="9">
        <f>IF('Data Source'!B710="","",'Data Source'!AG710)</f>
        <v/>
      </c>
      <c r="P710" s="5">
        <f>IF('Data Source'!B710="","",'Data Source'!R710)</f>
        <v/>
      </c>
      <c r="Q710" s="3">
        <f>IF('Data Source'!B710="","",'Data Source'!S710)</f>
        <v/>
      </c>
    </row>
    <row r="711">
      <c r="A711" s="3">
        <f>IF('Data Source'!B711="","",'Data Source'!A711)</f>
        <v/>
      </c>
      <c r="B711">
        <f>IF('Data Source'!B711="","",'Data Source'!B711)</f>
        <v/>
      </c>
      <c r="C711" s="9">
        <f>IF('Data Source'!B711="","",'Data Source'!U711)</f>
        <v/>
      </c>
      <c r="D711" s="9">
        <f>IF('Data Source'!B711="","",'Data Source'!V711)</f>
        <v/>
      </c>
      <c r="E711" s="9">
        <f>IF('Data Source'!B711="","",'Data Source'!W711)</f>
        <v/>
      </c>
      <c r="F711" s="9">
        <f>IF('Data Source'!B711="","",'Data Source'!X711)</f>
        <v/>
      </c>
      <c r="G711" s="9">
        <f>IF('Data Source'!B711="","",'Data Source'!Y711)</f>
        <v/>
      </c>
      <c r="H711" s="9">
        <f>IF('Data Source'!B711="","",'Data Source'!Z711)</f>
        <v/>
      </c>
      <c r="I711" s="9">
        <f>IF('Data Source'!B711="","",'Data Source'!AA711)</f>
        <v/>
      </c>
      <c r="J711" s="9">
        <f>IF('Data Source'!B711="","",'Data Source'!AB711)</f>
        <v/>
      </c>
      <c r="K711" s="9">
        <f>IF('Data Source'!B711="","",'Data Source'!AC711)</f>
        <v/>
      </c>
      <c r="L711" s="9">
        <f>IF('Data Source'!B711="","",'Data Source'!AD711)</f>
        <v/>
      </c>
      <c r="M711" s="9">
        <f>IF('Data Source'!B711="","",'Data Source'!AE711)</f>
        <v/>
      </c>
      <c r="N711" s="9">
        <f>IF('Data Source'!B711="","",'Data Source'!AF711)</f>
        <v/>
      </c>
      <c r="O711" s="9">
        <f>IF('Data Source'!B711="","",'Data Source'!AG711)</f>
        <v/>
      </c>
      <c r="P711" s="5">
        <f>IF('Data Source'!B711="","",'Data Source'!R711)</f>
        <v/>
      </c>
      <c r="Q711" s="3">
        <f>IF('Data Source'!B711="","",'Data Source'!S711)</f>
        <v/>
      </c>
    </row>
    <row r="712">
      <c r="A712" s="3">
        <f>IF('Data Source'!B712="","",'Data Source'!A712)</f>
        <v/>
      </c>
      <c r="B712">
        <f>IF('Data Source'!B712="","",'Data Source'!B712)</f>
        <v/>
      </c>
      <c r="C712" s="9">
        <f>IF('Data Source'!B712="","",'Data Source'!U712)</f>
        <v/>
      </c>
      <c r="D712" s="9">
        <f>IF('Data Source'!B712="","",'Data Source'!V712)</f>
        <v/>
      </c>
      <c r="E712" s="9">
        <f>IF('Data Source'!B712="","",'Data Source'!W712)</f>
        <v/>
      </c>
      <c r="F712" s="9">
        <f>IF('Data Source'!B712="","",'Data Source'!X712)</f>
        <v/>
      </c>
      <c r="G712" s="9">
        <f>IF('Data Source'!B712="","",'Data Source'!Y712)</f>
        <v/>
      </c>
      <c r="H712" s="9">
        <f>IF('Data Source'!B712="","",'Data Source'!Z712)</f>
        <v/>
      </c>
      <c r="I712" s="9">
        <f>IF('Data Source'!B712="","",'Data Source'!AA712)</f>
        <v/>
      </c>
      <c r="J712" s="9">
        <f>IF('Data Source'!B712="","",'Data Source'!AB712)</f>
        <v/>
      </c>
      <c r="K712" s="9">
        <f>IF('Data Source'!B712="","",'Data Source'!AC712)</f>
        <v/>
      </c>
      <c r="L712" s="9">
        <f>IF('Data Source'!B712="","",'Data Source'!AD712)</f>
        <v/>
      </c>
      <c r="M712" s="9">
        <f>IF('Data Source'!B712="","",'Data Source'!AE712)</f>
        <v/>
      </c>
      <c r="N712" s="9">
        <f>IF('Data Source'!B712="","",'Data Source'!AF712)</f>
        <v/>
      </c>
      <c r="O712" s="9">
        <f>IF('Data Source'!B712="","",'Data Source'!AG712)</f>
        <v/>
      </c>
      <c r="P712" s="5">
        <f>IF('Data Source'!B712="","",'Data Source'!R712)</f>
        <v/>
      </c>
      <c r="Q712" s="3">
        <f>IF('Data Source'!B712="","",'Data Source'!S712)</f>
        <v/>
      </c>
    </row>
    <row r="713">
      <c r="A713" s="3">
        <f>IF('Data Source'!B713="","",'Data Source'!A713)</f>
        <v/>
      </c>
      <c r="B713">
        <f>IF('Data Source'!B713="","",'Data Source'!B713)</f>
        <v/>
      </c>
      <c r="C713" s="9">
        <f>IF('Data Source'!B713="","",'Data Source'!U713)</f>
        <v/>
      </c>
      <c r="D713" s="9">
        <f>IF('Data Source'!B713="","",'Data Source'!V713)</f>
        <v/>
      </c>
      <c r="E713" s="9">
        <f>IF('Data Source'!B713="","",'Data Source'!W713)</f>
        <v/>
      </c>
      <c r="F713" s="9">
        <f>IF('Data Source'!B713="","",'Data Source'!X713)</f>
        <v/>
      </c>
      <c r="G713" s="9">
        <f>IF('Data Source'!B713="","",'Data Source'!Y713)</f>
        <v/>
      </c>
      <c r="H713" s="9">
        <f>IF('Data Source'!B713="","",'Data Source'!Z713)</f>
        <v/>
      </c>
      <c r="I713" s="9">
        <f>IF('Data Source'!B713="","",'Data Source'!AA713)</f>
        <v/>
      </c>
      <c r="J713" s="9">
        <f>IF('Data Source'!B713="","",'Data Source'!AB713)</f>
        <v/>
      </c>
      <c r="K713" s="9">
        <f>IF('Data Source'!B713="","",'Data Source'!AC713)</f>
        <v/>
      </c>
      <c r="L713" s="9">
        <f>IF('Data Source'!B713="","",'Data Source'!AD713)</f>
        <v/>
      </c>
      <c r="M713" s="9">
        <f>IF('Data Source'!B713="","",'Data Source'!AE713)</f>
        <v/>
      </c>
      <c r="N713" s="9">
        <f>IF('Data Source'!B713="","",'Data Source'!AF713)</f>
        <v/>
      </c>
      <c r="O713" s="9">
        <f>IF('Data Source'!B713="","",'Data Source'!AG713)</f>
        <v/>
      </c>
      <c r="P713" s="5">
        <f>IF('Data Source'!B713="","",'Data Source'!R713)</f>
        <v/>
      </c>
      <c r="Q713" s="3">
        <f>IF('Data Source'!B713="","",'Data Source'!S713)</f>
        <v/>
      </c>
    </row>
    <row r="714">
      <c r="A714" s="3">
        <f>IF('Data Source'!B714="","",'Data Source'!A714)</f>
        <v/>
      </c>
      <c r="B714">
        <f>IF('Data Source'!B714="","",'Data Source'!B714)</f>
        <v/>
      </c>
      <c r="C714" s="9">
        <f>IF('Data Source'!B714="","",'Data Source'!U714)</f>
        <v/>
      </c>
      <c r="D714" s="9">
        <f>IF('Data Source'!B714="","",'Data Source'!V714)</f>
        <v/>
      </c>
      <c r="E714" s="9">
        <f>IF('Data Source'!B714="","",'Data Source'!W714)</f>
        <v/>
      </c>
      <c r="F714" s="9">
        <f>IF('Data Source'!B714="","",'Data Source'!X714)</f>
        <v/>
      </c>
      <c r="G714" s="9">
        <f>IF('Data Source'!B714="","",'Data Source'!Y714)</f>
        <v/>
      </c>
      <c r="H714" s="9">
        <f>IF('Data Source'!B714="","",'Data Source'!Z714)</f>
        <v/>
      </c>
      <c r="I714" s="9">
        <f>IF('Data Source'!B714="","",'Data Source'!AA714)</f>
        <v/>
      </c>
      <c r="J714" s="9">
        <f>IF('Data Source'!B714="","",'Data Source'!AB714)</f>
        <v/>
      </c>
      <c r="K714" s="9">
        <f>IF('Data Source'!B714="","",'Data Source'!AC714)</f>
        <v/>
      </c>
      <c r="L714" s="9">
        <f>IF('Data Source'!B714="","",'Data Source'!AD714)</f>
        <v/>
      </c>
      <c r="M714" s="9">
        <f>IF('Data Source'!B714="","",'Data Source'!AE714)</f>
        <v/>
      </c>
      <c r="N714" s="9">
        <f>IF('Data Source'!B714="","",'Data Source'!AF714)</f>
        <v/>
      </c>
      <c r="O714" s="9">
        <f>IF('Data Source'!B714="","",'Data Source'!AG714)</f>
        <v/>
      </c>
      <c r="P714" s="5">
        <f>IF('Data Source'!B714="","",'Data Source'!R714)</f>
        <v/>
      </c>
      <c r="Q714" s="3">
        <f>IF('Data Source'!B714="","",'Data Source'!S714)</f>
        <v/>
      </c>
    </row>
    <row r="715">
      <c r="A715" s="3">
        <f>IF('Data Source'!B715="","",'Data Source'!A715)</f>
        <v/>
      </c>
      <c r="B715">
        <f>IF('Data Source'!B715="","",'Data Source'!B715)</f>
        <v/>
      </c>
      <c r="C715" s="9">
        <f>IF('Data Source'!B715="","",'Data Source'!U715)</f>
        <v/>
      </c>
      <c r="D715" s="9">
        <f>IF('Data Source'!B715="","",'Data Source'!V715)</f>
        <v/>
      </c>
      <c r="E715" s="9">
        <f>IF('Data Source'!B715="","",'Data Source'!W715)</f>
        <v/>
      </c>
      <c r="F715" s="9">
        <f>IF('Data Source'!B715="","",'Data Source'!X715)</f>
        <v/>
      </c>
      <c r="G715" s="9">
        <f>IF('Data Source'!B715="","",'Data Source'!Y715)</f>
        <v/>
      </c>
      <c r="H715" s="9">
        <f>IF('Data Source'!B715="","",'Data Source'!Z715)</f>
        <v/>
      </c>
      <c r="I715" s="9">
        <f>IF('Data Source'!B715="","",'Data Source'!AA715)</f>
        <v/>
      </c>
      <c r="J715" s="9">
        <f>IF('Data Source'!B715="","",'Data Source'!AB715)</f>
        <v/>
      </c>
      <c r="K715" s="9">
        <f>IF('Data Source'!B715="","",'Data Source'!AC715)</f>
        <v/>
      </c>
      <c r="L715" s="9">
        <f>IF('Data Source'!B715="","",'Data Source'!AD715)</f>
        <v/>
      </c>
      <c r="M715" s="9">
        <f>IF('Data Source'!B715="","",'Data Source'!AE715)</f>
        <v/>
      </c>
      <c r="N715" s="9">
        <f>IF('Data Source'!B715="","",'Data Source'!AF715)</f>
        <v/>
      </c>
      <c r="O715" s="9">
        <f>IF('Data Source'!B715="","",'Data Source'!AG715)</f>
        <v/>
      </c>
      <c r="P715" s="5">
        <f>IF('Data Source'!B715="","",'Data Source'!R715)</f>
        <v/>
      </c>
      <c r="Q715" s="3">
        <f>IF('Data Source'!B715="","",'Data Source'!S715)</f>
        <v/>
      </c>
    </row>
    <row r="716">
      <c r="A716" s="3">
        <f>IF('Data Source'!B716="","",'Data Source'!A716)</f>
        <v/>
      </c>
      <c r="B716">
        <f>IF('Data Source'!B716="","",'Data Source'!B716)</f>
        <v/>
      </c>
      <c r="C716" s="9">
        <f>IF('Data Source'!B716="","",'Data Source'!U716)</f>
        <v/>
      </c>
      <c r="D716" s="9">
        <f>IF('Data Source'!B716="","",'Data Source'!V716)</f>
        <v/>
      </c>
      <c r="E716" s="9">
        <f>IF('Data Source'!B716="","",'Data Source'!W716)</f>
        <v/>
      </c>
      <c r="F716" s="9">
        <f>IF('Data Source'!B716="","",'Data Source'!X716)</f>
        <v/>
      </c>
      <c r="G716" s="9">
        <f>IF('Data Source'!B716="","",'Data Source'!Y716)</f>
        <v/>
      </c>
      <c r="H716" s="9">
        <f>IF('Data Source'!B716="","",'Data Source'!Z716)</f>
        <v/>
      </c>
      <c r="I716" s="9">
        <f>IF('Data Source'!B716="","",'Data Source'!AA716)</f>
        <v/>
      </c>
      <c r="J716" s="9">
        <f>IF('Data Source'!B716="","",'Data Source'!AB716)</f>
        <v/>
      </c>
      <c r="K716" s="9">
        <f>IF('Data Source'!B716="","",'Data Source'!AC716)</f>
        <v/>
      </c>
      <c r="L716" s="9">
        <f>IF('Data Source'!B716="","",'Data Source'!AD716)</f>
        <v/>
      </c>
      <c r="M716" s="9">
        <f>IF('Data Source'!B716="","",'Data Source'!AE716)</f>
        <v/>
      </c>
      <c r="N716" s="9">
        <f>IF('Data Source'!B716="","",'Data Source'!AF716)</f>
        <v/>
      </c>
      <c r="O716" s="9">
        <f>IF('Data Source'!B716="","",'Data Source'!AG716)</f>
        <v/>
      </c>
      <c r="P716" s="5">
        <f>IF('Data Source'!B716="","",'Data Source'!R716)</f>
        <v/>
      </c>
      <c r="Q716" s="3">
        <f>IF('Data Source'!B716="","",'Data Source'!S716)</f>
        <v/>
      </c>
    </row>
    <row r="717">
      <c r="A717" s="3">
        <f>IF('Data Source'!B717="","",'Data Source'!A717)</f>
        <v/>
      </c>
      <c r="B717">
        <f>IF('Data Source'!B717="","",'Data Source'!B717)</f>
        <v/>
      </c>
      <c r="C717" s="9">
        <f>IF('Data Source'!B717="","",'Data Source'!U717)</f>
        <v/>
      </c>
      <c r="D717" s="9">
        <f>IF('Data Source'!B717="","",'Data Source'!V717)</f>
        <v/>
      </c>
      <c r="E717" s="9">
        <f>IF('Data Source'!B717="","",'Data Source'!W717)</f>
        <v/>
      </c>
      <c r="F717" s="9">
        <f>IF('Data Source'!B717="","",'Data Source'!X717)</f>
        <v/>
      </c>
      <c r="G717" s="9">
        <f>IF('Data Source'!B717="","",'Data Source'!Y717)</f>
        <v/>
      </c>
      <c r="H717" s="9">
        <f>IF('Data Source'!B717="","",'Data Source'!Z717)</f>
        <v/>
      </c>
      <c r="I717" s="9">
        <f>IF('Data Source'!B717="","",'Data Source'!AA717)</f>
        <v/>
      </c>
      <c r="J717" s="9">
        <f>IF('Data Source'!B717="","",'Data Source'!AB717)</f>
        <v/>
      </c>
      <c r="K717" s="9">
        <f>IF('Data Source'!B717="","",'Data Source'!AC717)</f>
        <v/>
      </c>
      <c r="L717" s="9">
        <f>IF('Data Source'!B717="","",'Data Source'!AD717)</f>
        <v/>
      </c>
      <c r="M717" s="9">
        <f>IF('Data Source'!B717="","",'Data Source'!AE717)</f>
        <v/>
      </c>
      <c r="N717" s="9">
        <f>IF('Data Source'!B717="","",'Data Source'!AF717)</f>
        <v/>
      </c>
      <c r="O717" s="9">
        <f>IF('Data Source'!B717="","",'Data Source'!AG717)</f>
        <v/>
      </c>
      <c r="P717" s="5">
        <f>IF('Data Source'!B717="","",'Data Source'!R717)</f>
        <v/>
      </c>
      <c r="Q717" s="3">
        <f>IF('Data Source'!B717="","",'Data Source'!S717)</f>
        <v/>
      </c>
    </row>
    <row r="718">
      <c r="A718" s="3">
        <f>IF('Data Source'!B718="","",'Data Source'!A718)</f>
        <v/>
      </c>
      <c r="B718">
        <f>IF('Data Source'!B718="","",'Data Source'!B718)</f>
        <v/>
      </c>
      <c r="C718" s="9">
        <f>IF('Data Source'!B718="","",'Data Source'!U718)</f>
        <v/>
      </c>
      <c r="D718" s="9">
        <f>IF('Data Source'!B718="","",'Data Source'!V718)</f>
        <v/>
      </c>
      <c r="E718" s="9">
        <f>IF('Data Source'!B718="","",'Data Source'!W718)</f>
        <v/>
      </c>
      <c r="F718" s="9">
        <f>IF('Data Source'!B718="","",'Data Source'!X718)</f>
        <v/>
      </c>
      <c r="G718" s="9">
        <f>IF('Data Source'!B718="","",'Data Source'!Y718)</f>
        <v/>
      </c>
      <c r="H718" s="9">
        <f>IF('Data Source'!B718="","",'Data Source'!Z718)</f>
        <v/>
      </c>
      <c r="I718" s="9">
        <f>IF('Data Source'!B718="","",'Data Source'!AA718)</f>
        <v/>
      </c>
      <c r="J718" s="9">
        <f>IF('Data Source'!B718="","",'Data Source'!AB718)</f>
        <v/>
      </c>
      <c r="K718" s="9">
        <f>IF('Data Source'!B718="","",'Data Source'!AC718)</f>
        <v/>
      </c>
      <c r="L718" s="9">
        <f>IF('Data Source'!B718="","",'Data Source'!AD718)</f>
        <v/>
      </c>
      <c r="M718" s="9">
        <f>IF('Data Source'!B718="","",'Data Source'!AE718)</f>
        <v/>
      </c>
      <c r="N718" s="9">
        <f>IF('Data Source'!B718="","",'Data Source'!AF718)</f>
        <v/>
      </c>
      <c r="O718" s="9">
        <f>IF('Data Source'!B718="","",'Data Source'!AG718)</f>
        <v/>
      </c>
      <c r="P718" s="5">
        <f>IF('Data Source'!B718="","",'Data Source'!R718)</f>
        <v/>
      </c>
      <c r="Q718" s="3">
        <f>IF('Data Source'!B718="","",'Data Source'!S718)</f>
        <v/>
      </c>
    </row>
    <row r="719">
      <c r="A719" s="3">
        <f>IF('Data Source'!B719="","",'Data Source'!A719)</f>
        <v/>
      </c>
      <c r="B719">
        <f>IF('Data Source'!B719="","",'Data Source'!B719)</f>
        <v/>
      </c>
      <c r="C719" s="9">
        <f>IF('Data Source'!B719="","",'Data Source'!U719)</f>
        <v/>
      </c>
      <c r="D719" s="9">
        <f>IF('Data Source'!B719="","",'Data Source'!V719)</f>
        <v/>
      </c>
      <c r="E719" s="9">
        <f>IF('Data Source'!B719="","",'Data Source'!W719)</f>
        <v/>
      </c>
      <c r="F719" s="9">
        <f>IF('Data Source'!B719="","",'Data Source'!X719)</f>
        <v/>
      </c>
      <c r="G719" s="9">
        <f>IF('Data Source'!B719="","",'Data Source'!Y719)</f>
        <v/>
      </c>
      <c r="H719" s="9">
        <f>IF('Data Source'!B719="","",'Data Source'!Z719)</f>
        <v/>
      </c>
      <c r="I719" s="9">
        <f>IF('Data Source'!B719="","",'Data Source'!AA719)</f>
        <v/>
      </c>
      <c r="J719" s="9">
        <f>IF('Data Source'!B719="","",'Data Source'!AB719)</f>
        <v/>
      </c>
      <c r="K719" s="9">
        <f>IF('Data Source'!B719="","",'Data Source'!AC719)</f>
        <v/>
      </c>
      <c r="L719" s="9">
        <f>IF('Data Source'!B719="","",'Data Source'!AD719)</f>
        <v/>
      </c>
      <c r="M719" s="9">
        <f>IF('Data Source'!B719="","",'Data Source'!AE719)</f>
        <v/>
      </c>
      <c r="N719" s="9">
        <f>IF('Data Source'!B719="","",'Data Source'!AF719)</f>
        <v/>
      </c>
      <c r="O719" s="9">
        <f>IF('Data Source'!B719="","",'Data Source'!AG719)</f>
        <v/>
      </c>
      <c r="P719" s="5">
        <f>IF('Data Source'!B719="","",'Data Source'!R719)</f>
        <v/>
      </c>
      <c r="Q719" s="3">
        <f>IF('Data Source'!B719="","",'Data Source'!S719)</f>
        <v/>
      </c>
    </row>
    <row r="720">
      <c r="A720" s="3">
        <f>IF('Data Source'!B720="","",'Data Source'!A720)</f>
        <v/>
      </c>
      <c r="B720">
        <f>IF('Data Source'!B720="","",'Data Source'!B720)</f>
        <v/>
      </c>
      <c r="C720" s="9">
        <f>IF('Data Source'!B720="","",'Data Source'!U720)</f>
        <v/>
      </c>
      <c r="D720" s="9">
        <f>IF('Data Source'!B720="","",'Data Source'!V720)</f>
        <v/>
      </c>
      <c r="E720" s="9">
        <f>IF('Data Source'!B720="","",'Data Source'!W720)</f>
        <v/>
      </c>
      <c r="F720" s="9">
        <f>IF('Data Source'!B720="","",'Data Source'!X720)</f>
        <v/>
      </c>
      <c r="G720" s="9">
        <f>IF('Data Source'!B720="","",'Data Source'!Y720)</f>
        <v/>
      </c>
      <c r="H720" s="9">
        <f>IF('Data Source'!B720="","",'Data Source'!Z720)</f>
        <v/>
      </c>
      <c r="I720" s="9">
        <f>IF('Data Source'!B720="","",'Data Source'!AA720)</f>
        <v/>
      </c>
      <c r="J720" s="9">
        <f>IF('Data Source'!B720="","",'Data Source'!AB720)</f>
        <v/>
      </c>
      <c r="K720" s="9">
        <f>IF('Data Source'!B720="","",'Data Source'!AC720)</f>
        <v/>
      </c>
      <c r="L720" s="9">
        <f>IF('Data Source'!B720="","",'Data Source'!AD720)</f>
        <v/>
      </c>
      <c r="M720" s="9">
        <f>IF('Data Source'!B720="","",'Data Source'!AE720)</f>
        <v/>
      </c>
      <c r="N720" s="9">
        <f>IF('Data Source'!B720="","",'Data Source'!AF720)</f>
        <v/>
      </c>
      <c r="O720" s="9">
        <f>IF('Data Source'!B720="","",'Data Source'!AG720)</f>
        <v/>
      </c>
      <c r="P720" s="5">
        <f>IF('Data Source'!B720="","",'Data Source'!R720)</f>
        <v/>
      </c>
      <c r="Q720" s="3">
        <f>IF('Data Source'!B720="","",'Data Source'!S720)</f>
        <v/>
      </c>
    </row>
    <row r="721">
      <c r="A721" s="3">
        <f>IF('Data Source'!B721="","",'Data Source'!A721)</f>
        <v/>
      </c>
      <c r="B721">
        <f>IF('Data Source'!B721="","",'Data Source'!B721)</f>
        <v/>
      </c>
      <c r="C721" s="9">
        <f>IF('Data Source'!B721="","",'Data Source'!U721)</f>
        <v/>
      </c>
      <c r="D721" s="9">
        <f>IF('Data Source'!B721="","",'Data Source'!V721)</f>
        <v/>
      </c>
      <c r="E721" s="9">
        <f>IF('Data Source'!B721="","",'Data Source'!W721)</f>
        <v/>
      </c>
      <c r="F721" s="9">
        <f>IF('Data Source'!B721="","",'Data Source'!X721)</f>
        <v/>
      </c>
      <c r="G721" s="9">
        <f>IF('Data Source'!B721="","",'Data Source'!Y721)</f>
        <v/>
      </c>
      <c r="H721" s="9">
        <f>IF('Data Source'!B721="","",'Data Source'!Z721)</f>
        <v/>
      </c>
      <c r="I721" s="9">
        <f>IF('Data Source'!B721="","",'Data Source'!AA721)</f>
        <v/>
      </c>
      <c r="J721" s="9">
        <f>IF('Data Source'!B721="","",'Data Source'!AB721)</f>
        <v/>
      </c>
      <c r="K721" s="9">
        <f>IF('Data Source'!B721="","",'Data Source'!AC721)</f>
        <v/>
      </c>
      <c r="L721" s="9">
        <f>IF('Data Source'!B721="","",'Data Source'!AD721)</f>
        <v/>
      </c>
      <c r="M721" s="9">
        <f>IF('Data Source'!B721="","",'Data Source'!AE721)</f>
        <v/>
      </c>
      <c r="N721" s="9">
        <f>IF('Data Source'!B721="","",'Data Source'!AF721)</f>
        <v/>
      </c>
      <c r="O721" s="9">
        <f>IF('Data Source'!B721="","",'Data Source'!AG721)</f>
        <v/>
      </c>
      <c r="P721" s="5">
        <f>IF('Data Source'!B721="","",'Data Source'!R721)</f>
        <v/>
      </c>
      <c r="Q721" s="3">
        <f>IF('Data Source'!B721="","",'Data Source'!S721)</f>
        <v/>
      </c>
    </row>
    <row r="722">
      <c r="A722" s="3">
        <f>IF('Data Source'!B722="","",'Data Source'!A722)</f>
        <v/>
      </c>
      <c r="B722">
        <f>IF('Data Source'!B722="","",'Data Source'!B722)</f>
        <v/>
      </c>
      <c r="C722" s="9">
        <f>IF('Data Source'!B722="","",'Data Source'!U722)</f>
        <v/>
      </c>
      <c r="D722" s="9">
        <f>IF('Data Source'!B722="","",'Data Source'!V722)</f>
        <v/>
      </c>
      <c r="E722" s="9">
        <f>IF('Data Source'!B722="","",'Data Source'!W722)</f>
        <v/>
      </c>
      <c r="F722" s="9">
        <f>IF('Data Source'!B722="","",'Data Source'!X722)</f>
        <v/>
      </c>
      <c r="G722" s="9">
        <f>IF('Data Source'!B722="","",'Data Source'!Y722)</f>
        <v/>
      </c>
      <c r="H722" s="9">
        <f>IF('Data Source'!B722="","",'Data Source'!Z722)</f>
        <v/>
      </c>
      <c r="I722" s="9">
        <f>IF('Data Source'!B722="","",'Data Source'!AA722)</f>
        <v/>
      </c>
      <c r="J722" s="9">
        <f>IF('Data Source'!B722="","",'Data Source'!AB722)</f>
        <v/>
      </c>
      <c r="K722" s="9">
        <f>IF('Data Source'!B722="","",'Data Source'!AC722)</f>
        <v/>
      </c>
      <c r="L722" s="9">
        <f>IF('Data Source'!B722="","",'Data Source'!AD722)</f>
        <v/>
      </c>
      <c r="M722" s="9">
        <f>IF('Data Source'!B722="","",'Data Source'!AE722)</f>
        <v/>
      </c>
      <c r="N722" s="9">
        <f>IF('Data Source'!B722="","",'Data Source'!AF722)</f>
        <v/>
      </c>
      <c r="O722" s="9">
        <f>IF('Data Source'!B722="","",'Data Source'!AG722)</f>
        <v/>
      </c>
      <c r="P722" s="5">
        <f>IF('Data Source'!B722="","",'Data Source'!R722)</f>
        <v/>
      </c>
      <c r="Q722" s="3">
        <f>IF('Data Source'!B722="","",'Data Source'!S722)</f>
        <v/>
      </c>
    </row>
    <row r="723">
      <c r="A723" s="3">
        <f>IF('Data Source'!B723="","",'Data Source'!A723)</f>
        <v/>
      </c>
      <c r="B723">
        <f>IF('Data Source'!B723="","",'Data Source'!B723)</f>
        <v/>
      </c>
      <c r="C723" s="9">
        <f>IF('Data Source'!B723="","",'Data Source'!U723)</f>
        <v/>
      </c>
      <c r="D723" s="9">
        <f>IF('Data Source'!B723="","",'Data Source'!V723)</f>
        <v/>
      </c>
      <c r="E723" s="9">
        <f>IF('Data Source'!B723="","",'Data Source'!W723)</f>
        <v/>
      </c>
      <c r="F723" s="9">
        <f>IF('Data Source'!B723="","",'Data Source'!X723)</f>
        <v/>
      </c>
      <c r="G723" s="9">
        <f>IF('Data Source'!B723="","",'Data Source'!Y723)</f>
        <v/>
      </c>
      <c r="H723" s="9">
        <f>IF('Data Source'!B723="","",'Data Source'!Z723)</f>
        <v/>
      </c>
      <c r="I723" s="9">
        <f>IF('Data Source'!B723="","",'Data Source'!AA723)</f>
        <v/>
      </c>
      <c r="J723" s="9">
        <f>IF('Data Source'!B723="","",'Data Source'!AB723)</f>
        <v/>
      </c>
      <c r="K723" s="9">
        <f>IF('Data Source'!B723="","",'Data Source'!AC723)</f>
        <v/>
      </c>
      <c r="L723" s="9">
        <f>IF('Data Source'!B723="","",'Data Source'!AD723)</f>
        <v/>
      </c>
      <c r="M723" s="9">
        <f>IF('Data Source'!B723="","",'Data Source'!AE723)</f>
        <v/>
      </c>
      <c r="N723" s="9">
        <f>IF('Data Source'!B723="","",'Data Source'!AF723)</f>
        <v/>
      </c>
      <c r="O723" s="9">
        <f>IF('Data Source'!B723="","",'Data Source'!AG723)</f>
        <v/>
      </c>
      <c r="P723" s="5">
        <f>IF('Data Source'!B723="","",'Data Source'!R723)</f>
        <v/>
      </c>
      <c r="Q723" s="3">
        <f>IF('Data Source'!B723="","",'Data Source'!S723)</f>
        <v/>
      </c>
    </row>
    <row r="724">
      <c r="A724" s="3">
        <f>IF('Data Source'!B724="","",'Data Source'!A724)</f>
        <v/>
      </c>
      <c r="B724">
        <f>IF('Data Source'!B724="","",'Data Source'!B724)</f>
        <v/>
      </c>
      <c r="C724" s="9">
        <f>IF('Data Source'!B724="","",'Data Source'!U724)</f>
        <v/>
      </c>
      <c r="D724" s="9">
        <f>IF('Data Source'!B724="","",'Data Source'!V724)</f>
        <v/>
      </c>
      <c r="E724" s="9">
        <f>IF('Data Source'!B724="","",'Data Source'!W724)</f>
        <v/>
      </c>
      <c r="F724" s="9">
        <f>IF('Data Source'!B724="","",'Data Source'!X724)</f>
        <v/>
      </c>
      <c r="G724" s="9">
        <f>IF('Data Source'!B724="","",'Data Source'!Y724)</f>
        <v/>
      </c>
      <c r="H724" s="9">
        <f>IF('Data Source'!B724="","",'Data Source'!Z724)</f>
        <v/>
      </c>
      <c r="I724" s="9">
        <f>IF('Data Source'!B724="","",'Data Source'!AA724)</f>
        <v/>
      </c>
      <c r="J724" s="9">
        <f>IF('Data Source'!B724="","",'Data Source'!AB724)</f>
        <v/>
      </c>
      <c r="K724" s="9">
        <f>IF('Data Source'!B724="","",'Data Source'!AC724)</f>
        <v/>
      </c>
      <c r="L724" s="9">
        <f>IF('Data Source'!B724="","",'Data Source'!AD724)</f>
        <v/>
      </c>
      <c r="M724" s="9">
        <f>IF('Data Source'!B724="","",'Data Source'!AE724)</f>
        <v/>
      </c>
      <c r="N724" s="9">
        <f>IF('Data Source'!B724="","",'Data Source'!AF724)</f>
        <v/>
      </c>
      <c r="O724" s="9">
        <f>IF('Data Source'!B724="","",'Data Source'!AG724)</f>
        <v/>
      </c>
      <c r="P724" s="5">
        <f>IF('Data Source'!B724="","",'Data Source'!R724)</f>
        <v/>
      </c>
      <c r="Q724" s="3">
        <f>IF('Data Source'!B724="","",'Data Source'!S724)</f>
        <v/>
      </c>
    </row>
    <row r="725">
      <c r="A725" s="3">
        <f>IF('Data Source'!B725="","",'Data Source'!A725)</f>
        <v/>
      </c>
      <c r="B725">
        <f>IF('Data Source'!B725="","",'Data Source'!B725)</f>
        <v/>
      </c>
      <c r="C725" s="9">
        <f>IF('Data Source'!B725="","",'Data Source'!U725)</f>
        <v/>
      </c>
      <c r="D725" s="9">
        <f>IF('Data Source'!B725="","",'Data Source'!V725)</f>
        <v/>
      </c>
      <c r="E725" s="9">
        <f>IF('Data Source'!B725="","",'Data Source'!W725)</f>
        <v/>
      </c>
      <c r="F725" s="9">
        <f>IF('Data Source'!B725="","",'Data Source'!X725)</f>
        <v/>
      </c>
      <c r="G725" s="9">
        <f>IF('Data Source'!B725="","",'Data Source'!Y725)</f>
        <v/>
      </c>
      <c r="H725" s="9">
        <f>IF('Data Source'!B725="","",'Data Source'!Z725)</f>
        <v/>
      </c>
      <c r="I725" s="9">
        <f>IF('Data Source'!B725="","",'Data Source'!AA725)</f>
        <v/>
      </c>
      <c r="J725" s="9">
        <f>IF('Data Source'!B725="","",'Data Source'!AB725)</f>
        <v/>
      </c>
      <c r="K725" s="9">
        <f>IF('Data Source'!B725="","",'Data Source'!AC725)</f>
        <v/>
      </c>
      <c r="L725" s="9">
        <f>IF('Data Source'!B725="","",'Data Source'!AD725)</f>
        <v/>
      </c>
      <c r="M725" s="9">
        <f>IF('Data Source'!B725="","",'Data Source'!AE725)</f>
        <v/>
      </c>
      <c r="N725" s="9">
        <f>IF('Data Source'!B725="","",'Data Source'!AF725)</f>
        <v/>
      </c>
      <c r="O725" s="9">
        <f>IF('Data Source'!B725="","",'Data Source'!AG725)</f>
        <v/>
      </c>
      <c r="P725" s="5">
        <f>IF('Data Source'!B725="","",'Data Source'!R725)</f>
        <v/>
      </c>
      <c r="Q725" s="3">
        <f>IF('Data Source'!B725="","",'Data Source'!S725)</f>
        <v/>
      </c>
    </row>
    <row r="726">
      <c r="A726" s="3">
        <f>IF('Data Source'!B726="","",'Data Source'!A726)</f>
        <v/>
      </c>
      <c r="B726">
        <f>IF('Data Source'!B726="","",'Data Source'!B726)</f>
        <v/>
      </c>
      <c r="C726" s="9">
        <f>IF('Data Source'!B726="","",'Data Source'!U726)</f>
        <v/>
      </c>
      <c r="D726" s="9">
        <f>IF('Data Source'!B726="","",'Data Source'!V726)</f>
        <v/>
      </c>
      <c r="E726" s="9">
        <f>IF('Data Source'!B726="","",'Data Source'!W726)</f>
        <v/>
      </c>
      <c r="F726" s="9">
        <f>IF('Data Source'!B726="","",'Data Source'!X726)</f>
        <v/>
      </c>
      <c r="G726" s="9">
        <f>IF('Data Source'!B726="","",'Data Source'!Y726)</f>
        <v/>
      </c>
      <c r="H726" s="9">
        <f>IF('Data Source'!B726="","",'Data Source'!Z726)</f>
        <v/>
      </c>
      <c r="I726" s="9">
        <f>IF('Data Source'!B726="","",'Data Source'!AA726)</f>
        <v/>
      </c>
      <c r="J726" s="9">
        <f>IF('Data Source'!B726="","",'Data Source'!AB726)</f>
        <v/>
      </c>
      <c r="K726" s="9">
        <f>IF('Data Source'!B726="","",'Data Source'!AC726)</f>
        <v/>
      </c>
      <c r="L726" s="9">
        <f>IF('Data Source'!B726="","",'Data Source'!AD726)</f>
        <v/>
      </c>
      <c r="M726" s="9">
        <f>IF('Data Source'!B726="","",'Data Source'!AE726)</f>
        <v/>
      </c>
      <c r="N726" s="9">
        <f>IF('Data Source'!B726="","",'Data Source'!AF726)</f>
        <v/>
      </c>
      <c r="O726" s="9">
        <f>IF('Data Source'!B726="","",'Data Source'!AG726)</f>
        <v/>
      </c>
      <c r="P726" s="5">
        <f>IF('Data Source'!B726="","",'Data Source'!R726)</f>
        <v/>
      </c>
      <c r="Q726" s="3">
        <f>IF('Data Source'!B726="","",'Data Source'!S726)</f>
        <v/>
      </c>
    </row>
    <row r="727">
      <c r="A727" s="3">
        <f>IF('Data Source'!B727="","",'Data Source'!A727)</f>
        <v/>
      </c>
      <c r="B727">
        <f>IF('Data Source'!B727="","",'Data Source'!B727)</f>
        <v/>
      </c>
      <c r="C727" s="9">
        <f>IF('Data Source'!B727="","",'Data Source'!U727)</f>
        <v/>
      </c>
      <c r="D727" s="9">
        <f>IF('Data Source'!B727="","",'Data Source'!V727)</f>
        <v/>
      </c>
      <c r="E727" s="9">
        <f>IF('Data Source'!B727="","",'Data Source'!W727)</f>
        <v/>
      </c>
      <c r="F727" s="9">
        <f>IF('Data Source'!B727="","",'Data Source'!X727)</f>
        <v/>
      </c>
      <c r="G727" s="9">
        <f>IF('Data Source'!B727="","",'Data Source'!Y727)</f>
        <v/>
      </c>
      <c r="H727" s="9">
        <f>IF('Data Source'!B727="","",'Data Source'!Z727)</f>
        <v/>
      </c>
      <c r="I727" s="9">
        <f>IF('Data Source'!B727="","",'Data Source'!AA727)</f>
        <v/>
      </c>
      <c r="J727" s="9">
        <f>IF('Data Source'!B727="","",'Data Source'!AB727)</f>
        <v/>
      </c>
      <c r="K727" s="9">
        <f>IF('Data Source'!B727="","",'Data Source'!AC727)</f>
        <v/>
      </c>
      <c r="L727" s="9">
        <f>IF('Data Source'!B727="","",'Data Source'!AD727)</f>
        <v/>
      </c>
      <c r="M727" s="9">
        <f>IF('Data Source'!B727="","",'Data Source'!AE727)</f>
        <v/>
      </c>
      <c r="N727" s="9">
        <f>IF('Data Source'!B727="","",'Data Source'!AF727)</f>
        <v/>
      </c>
      <c r="O727" s="9">
        <f>IF('Data Source'!B727="","",'Data Source'!AG727)</f>
        <v/>
      </c>
      <c r="P727" s="5">
        <f>IF('Data Source'!B727="","",'Data Source'!R727)</f>
        <v/>
      </c>
      <c r="Q727" s="3">
        <f>IF('Data Source'!B727="","",'Data Source'!S727)</f>
        <v/>
      </c>
    </row>
    <row r="728">
      <c r="A728" s="3">
        <f>IF('Data Source'!B728="","",'Data Source'!A728)</f>
        <v/>
      </c>
      <c r="B728">
        <f>IF('Data Source'!B728="","",'Data Source'!B728)</f>
        <v/>
      </c>
      <c r="C728" s="9">
        <f>IF('Data Source'!B728="","",'Data Source'!U728)</f>
        <v/>
      </c>
      <c r="D728" s="9">
        <f>IF('Data Source'!B728="","",'Data Source'!V728)</f>
        <v/>
      </c>
      <c r="E728" s="9">
        <f>IF('Data Source'!B728="","",'Data Source'!W728)</f>
        <v/>
      </c>
      <c r="F728" s="9">
        <f>IF('Data Source'!B728="","",'Data Source'!X728)</f>
        <v/>
      </c>
      <c r="G728" s="9">
        <f>IF('Data Source'!B728="","",'Data Source'!Y728)</f>
        <v/>
      </c>
      <c r="H728" s="9">
        <f>IF('Data Source'!B728="","",'Data Source'!Z728)</f>
        <v/>
      </c>
      <c r="I728" s="9">
        <f>IF('Data Source'!B728="","",'Data Source'!AA728)</f>
        <v/>
      </c>
      <c r="J728" s="9">
        <f>IF('Data Source'!B728="","",'Data Source'!AB728)</f>
        <v/>
      </c>
      <c r="K728" s="9">
        <f>IF('Data Source'!B728="","",'Data Source'!AC728)</f>
        <v/>
      </c>
      <c r="L728" s="9">
        <f>IF('Data Source'!B728="","",'Data Source'!AD728)</f>
        <v/>
      </c>
      <c r="M728" s="9">
        <f>IF('Data Source'!B728="","",'Data Source'!AE728)</f>
        <v/>
      </c>
      <c r="N728" s="9">
        <f>IF('Data Source'!B728="","",'Data Source'!AF728)</f>
        <v/>
      </c>
      <c r="O728" s="9">
        <f>IF('Data Source'!B728="","",'Data Source'!AG728)</f>
        <v/>
      </c>
      <c r="P728" s="5">
        <f>IF('Data Source'!B728="","",'Data Source'!R728)</f>
        <v/>
      </c>
      <c r="Q728" s="3">
        <f>IF('Data Source'!B728="","",'Data Source'!S728)</f>
        <v/>
      </c>
    </row>
    <row r="729">
      <c r="A729" s="3">
        <f>IF('Data Source'!B729="","",'Data Source'!A729)</f>
        <v/>
      </c>
      <c r="B729">
        <f>IF('Data Source'!B729="","",'Data Source'!B729)</f>
        <v/>
      </c>
      <c r="C729" s="9">
        <f>IF('Data Source'!B729="","",'Data Source'!U729)</f>
        <v/>
      </c>
      <c r="D729" s="9">
        <f>IF('Data Source'!B729="","",'Data Source'!V729)</f>
        <v/>
      </c>
      <c r="E729" s="9">
        <f>IF('Data Source'!B729="","",'Data Source'!W729)</f>
        <v/>
      </c>
      <c r="F729" s="9">
        <f>IF('Data Source'!B729="","",'Data Source'!X729)</f>
        <v/>
      </c>
      <c r="G729" s="9">
        <f>IF('Data Source'!B729="","",'Data Source'!Y729)</f>
        <v/>
      </c>
      <c r="H729" s="9">
        <f>IF('Data Source'!B729="","",'Data Source'!Z729)</f>
        <v/>
      </c>
      <c r="I729" s="9">
        <f>IF('Data Source'!B729="","",'Data Source'!AA729)</f>
        <v/>
      </c>
      <c r="J729" s="9">
        <f>IF('Data Source'!B729="","",'Data Source'!AB729)</f>
        <v/>
      </c>
      <c r="K729" s="9">
        <f>IF('Data Source'!B729="","",'Data Source'!AC729)</f>
        <v/>
      </c>
      <c r="L729" s="9">
        <f>IF('Data Source'!B729="","",'Data Source'!AD729)</f>
        <v/>
      </c>
      <c r="M729" s="9">
        <f>IF('Data Source'!B729="","",'Data Source'!AE729)</f>
        <v/>
      </c>
      <c r="N729" s="9">
        <f>IF('Data Source'!B729="","",'Data Source'!AF729)</f>
        <v/>
      </c>
      <c r="O729" s="9">
        <f>IF('Data Source'!B729="","",'Data Source'!AG729)</f>
        <v/>
      </c>
      <c r="P729" s="5">
        <f>IF('Data Source'!B729="","",'Data Source'!R729)</f>
        <v/>
      </c>
      <c r="Q729" s="3">
        <f>IF('Data Source'!B729="","",'Data Source'!S729)</f>
        <v/>
      </c>
    </row>
    <row r="730">
      <c r="A730" s="3">
        <f>IF('Data Source'!B730="","",'Data Source'!A730)</f>
        <v/>
      </c>
      <c r="B730">
        <f>IF('Data Source'!B730="","",'Data Source'!B730)</f>
        <v/>
      </c>
      <c r="C730" s="9">
        <f>IF('Data Source'!B730="","",'Data Source'!U730)</f>
        <v/>
      </c>
      <c r="D730" s="9">
        <f>IF('Data Source'!B730="","",'Data Source'!V730)</f>
        <v/>
      </c>
      <c r="E730" s="9">
        <f>IF('Data Source'!B730="","",'Data Source'!W730)</f>
        <v/>
      </c>
      <c r="F730" s="9">
        <f>IF('Data Source'!B730="","",'Data Source'!X730)</f>
        <v/>
      </c>
      <c r="G730" s="9">
        <f>IF('Data Source'!B730="","",'Data Source'!Y730)</f>
        <v/>
      </c>
      <c r="H730" s="9">
        <f>IF('Data Source'!B730="","",'Data Source'!Z730)</f>
        <v/>
      </c>
      <c r="I730" s="9">
        <f>IF('Data Source'!B730="","",'Data Source'!AA730)</f>
        <v/>
      </c>
      <c r="J730" s="9">
        <f>IF('Data Source'!B730="","",'Data Source'!AB730)</f>
        <v/>
      </c>
      <c r="K730" s="9">
        <f>IF('Data Source'!B730="","",'Data Source'!AC730)</f>
        <v/>
      </c>
      <c r="L730" s="9">
        <f>IF('Data Source'!B730="","",'Data Source'!AD730)</f>
        <v/>
      </c>
      <c r="M730" s="9">
        <f>IF('Data Source'!B730="","",'Data Source'!AE730)</f>
        <v/>
      </c>
      <c r="N730" s="9">
        <f>IF('Data Source'!B730="","",'Data Source'!AF730)</f>
        <v/>
      </c>
      <c r="O730" s="9">
        <f>IF('Data Source'!B730="","",'Data Source'!AG730)</f>
        <v/>
      </c>
      <c r="P730" s="5">
        <f>IF('Data Source'!B730="","",'Data Source'!R730)</f>
        <v/>
      </c>
      <c r="Q730" s="3">
        <f>IF('Data Source'!B730="","",'Data Source'!S730)</f>
        <v/>
      </c>
    </row>
    <row r="731">
      <c r="A731" s="3">
        <f>IF('Data Source'!B731="","",'Data Source'!A731)</f>
        <v/>
      </c>
      <c r="B731">
        <f>IF('Data Source'!B731="","",'Data Source'!B731)</f>
        <v/>
      </c>
      <c r="C731" s="9">
        <f>IF('Data Source'!B731="","",'Data Source'!U731)</f>
        <v/>
      </c>
      <c r="D731" s="9">
        <f>IF('Data Source'!B731="","",'Data Source'!V731)</f>
        <v/>
      </c>
      <c r="E731" s="9">
        <f>IF('Data Source'!B731="","",'Data Source'!W731)</f>
        <v/>
      </c>
      <c r="F731" s="9">
        <f>IF('Data Source'!B731="","",'Data Source'!X731)</f>
        <v/>
      </c>
      <c r="G731" s="9">
        <f>IF('Data Source'!B731="","",'Data Source'!Y731)</f>
        <v/>
      </c>
      <c r="H731" s="9">
        <f>IF('Data Source'!B731="","",'Data Source'!Z731)</f>
        <v/>
      </c>
      <c r="I731" s="9">
        <f>IF('Data Source'!B731="","",'Data Source'!AA731)</f>
        <v/>
      </c>
      <c r="J731" s="9">
        <f>IF('Data Source'!B731="","",'Data Source'!AB731)</f>
        <v/>
      </c>
      <c r="K731" s="9">
        <f>IF('Data Source'!B731="","",'Data Source'!AC731)</f>
        <v/>
      </c>
      <c r="L731" s="9">
        <f>IF('Data Source'!B731="","",'Data Source'!AD731)</f>
        <v/>
      </c>
      <c r="M731" s="9">
        <f>IF('Data Source'!B731="","",'Data Source'!AE731)</f>
        <v/>
      </c>
      <c r="N731" s="9">
        <f>IF('Data Source'!B731="","",'Data Source'!AF731)</f>
        <v/>
      </c>
      <c r="O731" s="9">
        <f>IF('Data Source'!B731="","",'Data Source'!AG731)</f>
        <v/>
      </c>
      <c r="P731" s="5">
        <f>IF('Data Source'!B731="","",'Data Source'!R731)</f>
        <v/>
      </c>
      <c r="Q731" s="3">
        <f>IF('Data Source'!B731="","",'Data Source'!S731)</f>
        <v/>
      </c>
    </row>
    <row r="732">
      <c r="A732" s="3">
        <f>IF('Data Source'!B732="","",'Data Source'!A732)</f>
        <v/>
      </c>
      <c r="B732">
        <f>IF('Data Source'!B732="","",'Data Source'!B732)</f>
        <v/>
      </c>
      <c r="C732" s="9">
        <f>IF('Data Source'!B732="","",'Data Source'!U732)</f>
        <v/>
      </c>
      <c r="D732" s="9">
        <f>IF('Data Source'!B732="","",'Data Source'!V732)</f>
        <v/>
      </c>
      <c r="E732" s="9">
        <f>IF('Data Source'!B732="","",'Data Source'!W732)</f>
        <v/>
      </c>
      <c r="F732" s="9">
        <f>IF('Data Source'!B732="","",'Data Source'!X732)</f>
        <v/>
      </c>
      <c r="G732" s="9">
        <f>IF('Data Source'!B732="","",'Data Source'!Y732)</f>
        <v/>
      </c>
      <c r="H732" s="9">
        <f>IF('Data Source'!B732="","",'Data Source'!Z732)</f>
        <v/>
      </c>
      <c r="I732" s="9">
        <f>IF('Data Source'!B732="","",'Data Source'!AA732)</f>
        <v/>
      </c>
      <c r="J732" s="9">
        <f>IF('Data Source'!B732="","",'Data Source'!AB732)</f>
        <v/>
      </c>
      <c r="K732" s="9">
        <f>IF('Data Source'!B732="","",'Data Source'!AC732)</f>
        <v/>
      </c>
      <c r="L732" s="9">
        <f>IF('Data Source'!B732="","",'Data Source'!AD732)</f>
        <v/>
      </c>
      <c r="M732" s="9">
        <f>IF('Data Source'!B732="","",'Data Source'!AE732)</f>
        <v/>
      </c>
      <c r="N732" s="9">
        <f>IF('Data Source'!B732="","",'Data Source'!AF732)</f>
        <v/>
      </c>
      <c r="O732" s="9">
        <f>IF('Data Source'!B732="","",'Data Source'!AG732)</f>
        <v/>
      </c>
      <c r="P732" s="5">
        <f>IF('Data Source'!B732="","",'Data Source'!R732)</f>
        <v/>
      </c>
      <c r="Q732" s="3">
        <f>IF('Data Source'!B732="","",'Data Source'!S732)</f>
        <v/>
      </c>
    </row>
    <row r="733">
      <c r="A733" s="3">
        <f>IF('Data Source'!B733="","",'Data Source'!A733)</f>
        <v/>
      </c>
      <c r="B733">
        <f>IF('Data Source'!B733="","",'Data Source'!B733)</f>
        <v/>
      </c>
      <c r="C733" s="9">
        <f>IF('Data Source'!B733="","",'Data Source'!U733)</f>
        <v/>
      </c>
      <c r="D733" s="9">
        <f>IF('Data Source'!B733="","",'Data Source'!V733)</f>
        <v/>
      </c>
      <c r="E733" s="9">
        <f>IF('Data Source'!B733="","",'Data Source'!W733)</f>
        <v/>
      </c>
      <c r="F733" s="9">
        <f>IF('Data Source'!B733="","",'Data Source'!X733)</f>
        <v/>
      </c>
      <c r="G733" s="9">
        <f>IF('Data Source'!B733="","",'Data Source'!Y733)</f>
        <v/>
      </c>
      <c r="H733" s="9">
        <f>IF('Data Source'!B733="","",'Data Source'!Z733)</f>
        <v/>
      </c>
      <c r="I733" s="9">
        <f>IF('Data Source'!B733="","",'Data Source'!AA733)</f>
        <v/>
      </c>
      <c r="J733" s="9">
        <f>IF('Data Source'!B733="","",'Data Source'!AB733)</f>
        <v/>
      </c>
      <c r="K733" s="9">
        <f>IF('Data Source'!B733="","",'Data Source'!AC733)</f>
        <v/>
      </c>
      <c r="L733" s="9">
        <f>IF('Data Source'!B733="","",'Data Source'!AD733)</f>
        <v/>
      </c>
      <c r="M733" s="9">
        <f>IF('Data Source'!B733="","",'Data Source'!AE733)</f>
        <v/>
      </c>
      <c r="N733" s="9">
        <f>IF('Data Source'!B733="","",'Data Source'!AF733)</f>
        <v/>
      </c>
      <c r="O733" s="9">
        <f>IF('Data Source'!B733="","",'Data Source'!AG733)</f>
        <v/>
      </c>
      <c r="P733" s="5">
        <f>IF('Data Source'!B733="","",'Data Source'!R733)</f>
        <v/>
      </c>
      <c r="Q733" s="3">
        <f>IF('Data Source'!B733="","",'Data Source'!S733)</f>
        <v/>
      </c>
    </row>
    <row r="734">
      <c r="A734" s="3">
        <f>IF('Data Source'!B734="","",'Data Source'!A734)</f>
        <v/>
      </c>
      <c r="B734">
        <f>IF('Data Source'!B734="","",'Data Source'!B734)</f>
        <v/>
      </c>
      <c r="C734" s="9">
        <f>IF('Data Source'!B734="","",'Data Source'!U734)</f>
        <v/>
      </c>
      <c r="D734" s="9">
        <f>IF('Data Source'!B734="","",'Data Source'!V734)</f>
        <v/>
      </c>
      <c r="E734" s="9">
        <f>IF('Data Source'!B734="","",'Data Source'!W734)</f>
        <v/>
      </c>
      <c r="F734" s="9">
        <f>IF('Data Source'!B734="","",'Data Source'!X734)</f>
        <v/>
      </c>
      <c r="G734" s="9">
        <f>IF('Data Source'!B734="","",'Data Source'!Y734)</f>
        <v/>
      </c>
      <c r="H734" s="9">
        <f>IF('Data Source'!B734="","",'Data Source'!Z734)</f>
        <v/>
      </c>
      <c r="I734" s="9">
        <f>IF('Data Source'!B734="","",'Data Source'!AA734)</f>
        <v/>
      </c>
      <c r="J734" s="9">
        <f>IF('Data Source'!B734="","",'Data Source'!AB734)</f>
        <v/>
      </c>
      <c r="K734" s="9">
        <f>IF('Data Source'!B734="","",'Data Source'!AC734)</f>
        <v/>
      </c>
      <c r="L734" s="9">
        <f>IF('Data Source'!B734="","",'Data Source'!AD734)</f>
        <v/>
      </c>
      <c r="M734" s="9">
        <f>IF('Data Source'!B734="","",'Data Source'!AE734)</f>
        <v/>
      </c>
      <c r="N734" s="9">
        <f>IF('Data Source'!B734="","",'Data Source'!AF734)</f>
        <v/>
      </c>
      <c r="O734" s="9">
        <f>IF('Data Source'!B734="","",'Data Source'!AG734)</f>
        <v/>
      </c>
      <c r="P734" s="5">
        <f>IF('Data Source'!B734="","",'Data Source'!R734)</f>
        <v/>
      </c>
      <c r="Q734" s="3">
        <f>IF('Data Source'!B734="","",'Data Source'!S734)</f>
        <v/>
      </c>
    </row>
    <row r="735">
      <c r="A735" s="3">
        <f>IF('Data Source'!B735="","",'Data Source'!A735)</f>
        <v/>
      </c>
      <c r="B735">
        <f>IF('Data Source'!B735="","",'Data Source'!B735)</f>
        <v/>
      </c>
      <c r="C735" s="9">
        <f>IF('Data Source'!B735="","",'Data Source'!U735)</f>
        <v/>
      </c>
      <c r="D735" s="9">
        <f>IF('Data Source'!B735="","",'Data Source'!V735)</f>
        <v/>
      </c>
      <c r="E735" s="9">
        <f>IF('Data Source'!B735="","",'Data Source'!W735)</f>
        <v/>
      </c>
      <c r="F735" s="9">
        <f>IF('Data Source'!B735="","",'Data Source'!X735)</f>
        <v/>
      </c>
      <c r="G735" s="9">
        <f>IF('Data Source'!B735="","",'Data Source'!Y735)</f>
        <v/>
      </c>
      <c r="H735" s="9">
        <f>IF('Data Source'!B735="","",'Data Source'!Z735)</f>
        <v/>
      </c>
      <c r="I735" s="9">
        <f>IF('Data Source'!B735="","",'Data Source'!AA735)</f>
        <v/>
      </c>
      <c r="J735" s="9">
        <f>IF('Data Source'!B735="","",'Data Source'!AB735)</f>
        <v/>
      </c>
      <c r="K735" s="9">
        <f>IF('Data Source'!B735="","",'Data Source'!AC735)</f>
        <v/>
      </c>
      <c r="L735" s="9">
        <f>IF('Data Source'!B735="","",'Data Source'!AD735)</f>
        <v/>
      </c>
      <c r="M735" s="9">
        <f>IF('Data Source'!B735="","",'Data Source'!AE735)</f>
        <v/>
      </c>
      <c r="N735" s="9">
        <f>IF('Data Source'!B735="","",'Data Source'!AF735)</f>
        <v/>
      </c>
      <c r="O735" s="9">
        <f>IF('Data Source'!B735="","",'Data Source'!AG735)</f>
        <v/>
      </c>
      <c r="P735" s="5">
        <f>IF('Data Source'!B735="","",'Data Source'!R735)</f>
        <v/>
      </c>
      <c r="Q735" s="3">
        <f>IF('Data Source'!B735="","",'Data Source'!S735)</f>
        <v/>
      </c>
    </row>
    <row r="736">
      <c r="A736" s="3">
        <f>IF('Data Source'!B736="","",'Data Source'!A736)</f>
        <v/>
      </c>
      <c r="B736">
        <f>IF('Data Source'!B736="","",'Data Source'!B736)</f>
        <v/>
      </c>
      <c r="C736" s="9">
        <f>IF('Data Source'!B736="","",'Data Source'!U736)</f>
        <v/>
      </c>
      <c r="D736" s="9">
        <f>IF('Data Source'!B736="","",'Data Source'!V736)</f>
        <v/>
      </c>
      <c r="E736" s="9">
        <f>IF('Data Source'!B736="","",'Data Source'!W736)</f>
        <v/>
      </c>
      <c r="F736" s="9">
        <f>IF('Data Source'!B736="","",'Data Source'!X736)</f>
        <v/>
      </c>
      <c r="G736" s="9">
        <f>IF('Data Source'!B736="","",'Data Source'!Y736)</f>
        <v/>
      </c>
      <c r="H736" s="9">
        <f>IF('Data Source'!B736="","",'Data Source'!Z736)</f>
        <v/>
      </c>
      <c r="I736" s="9">
        <f>IF('Data Source'!B736="","",'Data Source'!AA736)</f>
        <v/>
      </c>
      <c r="J736" s="9">
        <f>IF('Data Source'!B736="","",'Data Source'!AB736)</f>
        <v/>
      </c>
      <c r="K736" s="9">
        <f>IF('Data Source'!B736="","",'Data Source'!AC736)</f>
        <v/>
      </c>
      <c r="L736" s="9">
        <f>IF('Data Source'!B736="","",'Data Source'!AD736)</f>
        <v/>
      </c>
      <c r="M736" s="9">
        <f>IF('Data Source'!B736="","",'Data Source'!AE736)</f>
        <v/>
      </c>
      <c r="N736" s="9">
        <f>IF('Data Source'!B736="","",'Data Source'!AF736)</f>
        <v/>
      </c>
      <c r="O736" s="9">
        <f>IF('Data Source'!B736="","",'Data Source'!AG736)</f>
        <v/>
      </c>
      <c r="P736" s="5">
        <f>IF('Data Source'!B736="","",'Data Source'!R736)</f>
        <v/>
      </c>
      <c r="Q736" s="3">
        <f>IF('Data Source'!B736="","",'Data Source'!S736)</f>
        <v/>
      </c>
    </row>
    <row r="737">
      <c r="A737" s="3">
        <f>IF('Data Source'!B737="","",'Data Source'!A737)</f>
        <v/>
      </c>
      <c r="B737">
        <f>IF('Data Source'!B737="","",'Data Source'!B737)</f>
        <v/>
      </c>
      <c r="C737" s="9">
        <f>IF('Data Source'!B737="","",'Data Source'!U737)</f>
        <v/>
      </c>
      <c r="D737" s="9">
        <f>IF('Data Source'!B737="","",'Data Source'!V737)</f>
        <v/>
      </c>
      <c r="E737" s="9">
        <f>IF('Data Source'!B737="","",'Data Source'!W737)</f>
        <v/>
      </c>
      <c r="F737" s="9">
        <f>IF('Data Source'!B737="","",'Data Source'!X737)</f>
        <v/>
      </c>
      <c r="G737" s="9">
        <f>IF('Data Source'!B737="","",'Data Source'!Y737)</f>
        <v/>
      </c>
      <c r="H737" s="9">
        <f>IF('Data Source'!B737="","",'Data Source'!Z737)</f>
        <v/>
      </c>
      <c r="I737" s="9">
        <f>IF('Data Source'!B737="","",'Data Source'!AA737)</f>
        <v/>
      </c>
      <c r="J737" s="9">
        <f>IF('Data Source'!B737="","",'Data Source'!AB737)</f>
        <v/>
      </c>
      <c r="K737" s="9">
        <f>IF('Data Source'!B737="","",'Data Source'!AC737)</f>
        <v/>
      </c>
      <c r="L737" s="9">
        <f>IF('Data Source'!B737="","",'Data Source'!AD737)</f>
        <v/>
      </c>
      <c r="M737" s="9">
        <f>IF('Data Source'!B737="","",'Data Source'!AE737)</f>
        <v/>
      </c>
      <c r="N737" s="9">
        <f>IF('Data Source'!B737="","",'Data Source'!AF737)</f>
        <v/>
      </c>
      <c r="O737" s="9">
        <f>IF('Data Source'!B737="","",'Data Source'!AG737)</f>
        <v/>
      </c>
      <c r="P737" s="5">
        <f>IF('Data Source'!B737="","",'Data Source'!R737)</f>
        <v/>
      </c>
      <c r="Q737" s="3">
        <f>IF('Data Source'!B737="","",'Data Source'!S737)</f>
        <v/>
      </c>
    </row>
    <row r="738">
      <c r="A738" s="3">
        <f>IF('Data Source'!B738="","",'Data Source'!A738)</f>
        <v/>
      </c>
      <c r="B738">
        <f>IF('Data Source'!B738="","",'Data Source'!B738)</f>
        <v/>
      </c>
      <c r="C738" s="9">
        <f>IF('Data Source'!B738="","",'Data Source'!U738)</f>
        <v/>
      </c>
      <c r="D738" s="9">
        <f>IF('Data Source'!B738="","",'Data Source'!V738)</f>
        <v/>
      </c>
      <c r="E738" s="9">
        <f>IF('Data Source'!B738="","",'Data Source'!W738)</f>
        <v/>
      </c>
      <c r="F738" s="9">
        <f>IF('Data Source'!B738="","",'Data Source'!X738)</f>
        <v/>
      </c>
      <c r="G738" s="9">
        <f>IF('Data Source'!B738="","",'Data Source'!Y738)</f>
        <v/>
      </c>
      <c r="H738" s="9">
        <f>IF('Data Source'!B738="","",'Data Source'!Z738)</f>
        <v/>
      </c>
      <c r="I738" s="9">
        <f>IF('Data Source'!B738="","",'Data Source'!AA738)</f>
        <v/>
      </c>
      <c r="J738" s="9">
        <f>IF('Data Source'!B738="","",'Data Source'!AB738)</f>
        <v/>
      </c>
      <c r="K738" s="9">
        <f>IF('Data Source'!B738="","",'Data Source'!AC738)</f>
        <v/>
      </c>
      <c r="L738" s="9">
        <f>IF('Data Source'!B738="","",'Data Source'!AD738)</f>
        <v/>
      </c>
      <c r="M738" s="9">
        <f>IF('Data Source'!B738="","",'Data Source'!AE738)</f>
        <v/>
      </c>
      <c r="N738" s="9">
        <f>IF('Data Source'!B738="","",'Data Source'!AF738)</f>
        <v/>
      </c>
      <c r="O738" s="9">
        <f>IF('Data Source'!B738="","",'Data Source'!AG738)</f>
        <v/>
      </c>
      <c r="P738" s="5">
        <f>IF('Data Source'!B738="","",'Data Source'!R738)</f>
        <v/>
      </c>
      <c r="Q738" s="3">
        <f>IF('Data Source'!B738="","",'Data Source'!S738)</f>
        <v/>
      </c>
    </row>
    <row r="739">
      <c r="A739" s="3">
        <f>IF('Data Source'!B739="","",'Data Source'!A739)</f>
        <v/>
      </c>
      <c r="B739">
        <f>IF('Data Source'!B739="","",'Data Source'!B739)</f>
        <v/>
      </c>
      <c r="C739" s="9">
        <f>IF('Data Source'!B739="","",'Data Source'!U739)</f>
        <v/>
      </c>
      <c r="D739" s="9">
        <f>IF('Data Source'!B739="","",'Data Source'!V739)</f>
        <v/>
      </c>
      <c r="E739" s="9">
        <f>IF('Data Source'!B739="","",'Data Source'!W739)</f>
        <v/>
      </c>
      <c r="F739" s="9">
        <f>IF('Data Source'!B739="","",'Data Source'!X739)</f>
        <v/>
      </c>
      <c r="G739" s="9">
        <f>IF('Data Source'!B739="","",'Data Source'!Y739)</f>
        <v/>
      </c>
      <c r="H739" s="9">
        <f>IF('Data Source'!B739="","",'Data Source'!Z739)</f>
        <v/>
      </c>
      <c r="I739" s="9">
        <f>IF('Data Source'!B739="","",'Data Source'!AA739)</f>
        <v/>
      </c>
      <c r="J739" s="9">
        <f>IF('Data Source'!B739="","",'Data Source'!AB739)</f>
        <v/>
      </c>
      <c r="K739" s="9">
        <f>IF('Data Source'!B739="","",'Data Source'!AC739)</f>
        <v/>
      </c>
      <c r="L739" s="9">
        <f>IF('Data Source'!B739="","",'Data Source'!AD739)</f>
        <v/>
      </c>
      <c r="M739" s="9">
        <f>IF('Data Source'!B739="","",'Data Source'!AE739)</f>
        <v/>
      </c>
      <c r="N739" s="9">
        <f>IF('Data Source'!B739="","",'Data Source'!AF739)</f>
        <v/>
      </c>
      <c r="O739" s="9">
        <f>IF('Data Source'!B739="","",'Data Source'!AG739)</f>
        <v/>
      </c>
      <c r="P739" s="5">
        <f>IF('Data Source'!B739="","",'Data Source'!R739)</f>
        <v/>
      </c>
      <c r="Q739" s="3">
        <f>IF('Data Source'!B739="","",'Data Source'!S739)</f>
        <v/>
      </c>
    </row>
    <row r="740">
      <c r="A740" s="3">
        <f>IF('Data Source'!B740="","",'Data Source'!A740)</f>
        <v/>
      </c>
      <c r="B740">
        <f>IF('Data Source'!B740="","",'Data Source'!B740)</f>
        <v/>
      </c>
      <c r="C740" s="9">
        <f>IF('Data Source'!B740="","",'Data Source'!U740)</f>
        <v/>
      </c>
      <c r="D740" s="9">
        <f>IF('Data Source'!B740="","",'Data Source'!V740)</f>
        <v/>
      </c>
      <c r="E740" s="9">
        <f>IF('Data Source'!B740="","",'Data Source'!W740)</f>
        <v/>
      </c>
      <c r="F740" s="9">
        <f>IF('Data Source'!B740="","",'Data Source'!X740)</f>
        <v/>
      </c>
      <c r="G740" s="9">
        <f>IF('Data Source'!B740="","",'Data Source'!Y740)</f>
        <v/>
      </c>
      <c r="H740" s="9">
        <f>IF('Data Source'!B740="","",'Data Source'!Z740)</f>
        <v/>
      </c>
      <c r="I740" s="9">
        <f>IF('Data Source'!B740="","",'Data Source'!AA740)</f>
        <v/>
      </c>
      <c r="J740" s="9">
        <f>IF('Data Source'!B740="","",'Data Source'!AB740)</f>
        <v/>
      </c>
      <c r="K740" s="9">
        <f>IF('Data Source'!B740="","",'Data Source'!AC740)</f>
        <v/>
      </c>
      <c r="L740" s="9">
        <f>IF('Data Source'!B740="","",'Data Source'!AD740)</f>
        <v/>
      </c>
      <c r="M740" s="9">
        <f>IF('Data Source'!B740="","",'Data Source'!AE740)</f>
        <v/>
      </c>
      <c r="N740" s="9">
        <f>IF('Data Source'!B740="","",'Data Source'!AF740)</f>
        <v/>
      </c>
      <c r="O740" s="9">
        <f>IF('Data Source'!B740="","",'Data Source'!AG740)</f>
        <v/>
      </c>
      <c r="P740" s="5">
        <f>IF('Data Source'!B740="","",'Data Source'!R740)</f>
        <v/>
      </c>
      <c r="Q740" s="3">
        <f>IF('Data Source'!B740="","",'Data Source'!S740)</f>
        <v/>
      </c>
    </row>
    <row r="741">
      <c r="A741" s="3">
        <f>IF('Data Source'!B741="","",'Data Source'!A741)</f>
        <v/>
      </c>
      <c r="B741">
        <f>IF('Data Source'!B741="","",'Data Source'!B741)</f>
        <v/>
      </c>
      <c r="C741" s="9">
        <f>IF('Data Source'!B741="","",'Data Source'!U741)</f>
        <v/>
      </c>
      <c r="D741" s="9">
        <f>IF('Data Source'!B741="","",'Data Source'!V741)</f>
        <v/>
      </c>
      <c r="E741" s="9">
        <f>IF('Data Source'!B741="","",'Data Source'!W741)</f>
        <v/>
      </c>
      <c r="F741" s="9">
        <f>IF('Data Source'!B741="","",'Data Source'!X741)</f>
        <v/>
      </c>
      <c r="G741" s="9">
        <f>IF('Data Source'!B741="","",'Data Source'!Y741)</f>
        <v/>
      </c>
      <c r="H741" s="9">
        <f>IF('Data Source'!B741="","",'Data Source'!Z741)</f>
        <v/>
      </c>
      <c r="I741" s="9">
        <f>IF('Data Source'!B741="","",'Data Source'!AA741)</f>
        <v/>
      </c>
      <c r="J741" s="9">
        <f>IF('Data Source'!B741="","",'Data Source'!AB741)</f>
        <v/>
      </c>
      <c r="K741" s="9">
        <f>IF('Data Source'!B741="","",'Data Source'!AC741)</f>
        <v/>
      </c>
      <c r="L741" s="9">
        <f>IF('Data Source'!B741="","",'Data Source'!AD741)</f>
        <v/>
      </c>
      <c r="M741" s="9">
        <f>IF('Data Source'!B741="","",'Data Source'!AE741)</f>
        <v/>
      </c>
      <c r="N741" s="9">
        <f>IF('Data Source'!B741="","",'Data Source'!AF741)</f>
        <v/>
      </c>
      <c r="O741" s="9">
        <f>IF('Data Source'!B741="","",'Data Source'!AG741)</f>
        <v/>
      </c>
      <c r="P741" s="5">
        <f>IF('Data Source'!B741="","",'Data Source'!R741)</f>
        <v/>
      </c>
      <c r="Q741" s="3">
        <f>IF('Data Source'!B741="","",'Data Source'!S741)</f>
        <v/>
      </c>
    </row>
    <row r="742">
      <c r="A742" s="3">
        <f>IF('Data Source'!B742="","",'Data Source'!A742)</f>
        <v/>
      </c>
      <c r="B742">
        <f>IF('Data Source'!B742="","",'Data Source'!B742)</f>
        <v/>
      </c>
      <c r="C742" s="9">
        <f>IF('Data Source'!B742="","",'Data Source'!U742)</f>
        <v/>
      </c>
      <c r="D742" s="9">
        <f>IF('Data Source'!B742="","",'Data Source'!V742)</f>
        <v/>
      </c>
      <c r="E742" s="9">
        <f>IF('Data Source'!B742="","",'Data Source'!W742)</f>
        <v/>
      </c>
      <c r="F742" s="9">
        <f>IF('Data Source'!B742="","",'Data Source'!X742)</f>
        <v/>
      </c>
      <c r="G742" s="9">
        <f>IF('Data Source'!B742="","",'Data Source'!Y742)</f>
        <v/>
      </c>
      <c r="H742" s="9">
        <f>IF('Data Source'!B742="","",'Data Source'!Z742)</f>
        <v/>
      </c>
      <c r="I742" s="9">
        <f>IF('Data Source'!B742="","",'Data Source'!AA742)</f>
        <v/>
      </c>
      <c r="J742" s="9">
        <f>IF('Data Source'!B742="","",'Data Source'!AB742)</f>
        <v/>
      </c>
      <c r="K742" s="9">
        <f>IF('Data Source'!B742="","",'Data Source'!AC742)</f>
        <v/>
      </c>
      <c r="L742" s="9">
        <f>IF('Data Source'!B742="","",'Data Source'!AD742)</f>
        <v/>
      </c>
      <c r="M742" s="9">
        <f>IF('Data Source'!B742="","",'Data Source'!AE742)</f>
        <v/>
      </c>
      <c r="N742" s="9">
        <f>IF('Data Source'!B742="","",'Data Source'!AF742)</f>
        <v/>
      </c>
      <c r="O742" s="9">
        <f>IF('Data Source'!B742="","",'Data Source'!AG742)</f>
        <v/>
      </c>
      <c r="P742" s="5">
        <f>IF('Data Source'!B742="","",'Data Source'!R742)</f>
        <v/>
      </c>
      <c r="Q742" s="3">
        <f>IF('Data Source'!B742="","",'Data Source'!S742)</f>
        <v/>
      </c>
    </row>
    <row r="743">
      <c r="A743" s="3">
        <f>IF('Data Source'!B743="","",'Data Source'!A743)</f>
        <v/>
      </c>
      <c r="B743">
        <f>IF('Data Source'!B743="","",'Data Source'!B743)</f>
        <v/>
      </c>
      <c r="C743" s="9">
        <f>IF('Data Source'!B743="","",'Data Source'!U743)</f>
        <v/>
      </c>
      <c r="D743" s="9">
        <f>IF('Data Source'!B743="","",'Data Source'!V743)</f>
        <v/>
      </c>
      <c r="E743" s="9">
        <f>IF('Data Source'!B743="","",'Data Source'!W743)</f>
        <v/>
      </c>
      <c r="F743" s="9">
        <f>IF('Data Source'!B743="","",'Data Source'!X743)</f>
        <v/>
      </c>
      <c r="G743" s="9">
        <f>IF('Data Source'!B743="","",'Data Source'!Y743)</f>
        <v/>
      </c>
      <c r="H743" s="9">
        <f>IF('Data Source'!B743="","",'Data Source'!Z743)</f>
        <v/>
      </c>
      <c r="I743" s="9">
        <f>IF('Data Source'!B743="","",'Data Source'!AA743)</f>
        <v/>
      </c>
      <c r="J743" s="9">
        <f>IF('Data Source'!B743="","",'Data Source'!AB743)</f>
        <v/>
      </c>
      <c r="K743" s="9">
        <f>IF('Data Source'!B743="","",'Data Source'!AC743)</f>
        <v/>
      </c>
      <c r="L743" s="9">
        <f>IF('Data Source'!B743="","",'Data Source'!AD743)</f>
        <v/>
      </c>
      <c r="M743" s="9">
        <f>IF('Data Source'!B743="","",'Data Source'!AE743)</f>
        <v/>
      </c>
      <c r="N743" s="9">
        <f>IF('Data Source'!B743="","",'Data Source'!AF743)</f>
        <v/>
      </c>
      <c r="O743" s="9">
        <f>IF('Data Source'!B743="","",'Data Source'!AG743)</f>
        <v/>
      </c>
      <c r="P743" s="5">
        <f>IF('Data Source'!B743="","",'Data Source'!R743)</f>
        <v/>
      </c>
      <c r="Q743" s="3">
        <f>IF('Data Source'!B743="","",'Data Source'!S743)</f>
        <v/>
      </c>
    </row>
    <row r="744">
      <c r="A744" s="3">
        <f>IF('Data Source'!B744="","",'Data Source'!A744)</f>
        <v/>
      </c>
      <c r="B744">
        <f>IF('Data Source'!B744="","",'Data Source'!B744)</f>
        <v/>
      </c>
      <c r="C744" s="9">
        <f>IF('Data Source'!B744="","",'Data Source'!U744)</f>
        <v/>
      </c>
      <c r="D744" s="9">
        <f>IF('Data Source'!B744="","",'Data Source'!V744)</f>
        <v/>
      </c>
      <c r="E744" s="9">
        <f>IF('Data Source'!B744="","",'Data Source'!W744)</f>
        <v/>
      </c>
      <c r="F744" s="9">
        <f>IF('Data Source'!B744="","",'Data Source'!X744)</f>
        <v/>
      </c>
      <c r="G744" s="9">
        <f>IF('Data Source'!B744="","",'Data Source'!Y744)</f>
        <v/>
      </c>
      <c r="H744" s="9">
        <f>IF('Data Source'!B744="","",'Data Source'!Z744)</f>
        <v/>
      </c>
      <c r="I744" s="9">
        <f>IF('Data Source'!B744="","",'Data Source'!AA744)</f>
        <v/>
      </c>
      <c r="J744" s="9">
        <f>IF('Data Source'!B744="","",'Data Source'!AB744)</f>
        <v/>
      </c>
      <c r="K744" s="9">
        <f>IF('Data Source'!B744="","",'Data Source'!AC744)</f>
        <v/>
      </c>
      <c r="L744" s="9">
        <f>IF('Data Source'!B744="","",'Data Source'!AD744)</f>
        <v/>
      </c>
      <c r="M744" s="9">
        <f>IF('Data Source'!B744="","",'Data Source'!AE744)</f>
        <v/>
      </c>
      <c r="N744" s="9">
        <f>IF('Data Source'!B744="","",'Data Source'!AF744)</f>
        <v/>
      </c>
      <c r="O744" s="9">
        <f>IF('Data Source'!B744="","",'Data Source'!AG744)</f>
        <v/>
      </c>
      <c r="P744" s="5">
        <f>IF('Data Source'!B744="","",'Data Source'!R744)</f>
        <v/>
      </c>
      <c r="Q744" s="3">
        <f>IF('Data Source'!B744="","",'Data Source'!S744)</f>
        <v/>
      </c>
    </row>
    <row r="745">
      <c r="A745" s="3">
        <f>IF('Data Source'!B745="","",'Data Source'!A745)</f>
        <v/>
      </c>
      <c r="B745">
        <f>IF('Data Source'!B745="","",'Data Source'!B745)</f>
        <v/>
      </c>
      <c r="C745" s="9">
        <f>IF('Data Source'!B745="","",'Data Source'!U745)</f>
        <v/>
      </c>
      <c r="D745" s="9">
        <f>IF('Data Source'!B745="","",'Data Source'!V745)</f>
        <v/>
      </c>
      <c r="E745" s="9">
        <f>IF('Data Source'!B745="","",'Data Source'!W745)</f>
        <v/>
      </c>
      <c r="F745" s="9">
        <f>IF('Data Source'!B745="","",'Data Source'!X745)</f>
        <v/>
      </c>
      <c r="G745" s="9">
        <f>IF('Data Source'!B745="","",'Data Source'!Y745)</f>
        <v/>
      </c>
      <c r="H745" s="9">
        <f>IF('Data Source'!B745="","",'Data Source'!Z745)</f>
        <v/>
      </c>
      <c r="I745" s="9">
        <f>IF('Data Source'!B745="","",'Data Source'!AA745)</f>
        <v/>
      </c>
      <c r="J745" s="9">
        <f>IF('Data Source'!B745="","",'Data Source'!AB745)</f>
        <v/>
      </c>
      <c r="K745" s="9">
        <f>IF('Data Source'!B745="","",'Data Source'!AC745)</f>
        <v/>
      </c>
      <c r="L745" s="9">
        <f>IF('Data Source'!B745="","",'Data Source'!AD745)</f>
        <v/>
      </c>
      <c r="M745" s="9">
        <f>IF('Data Source'!B745="","",'Data Source'!AE745)</f>
        <v/>
      </c>
      <c r="N745" s="9">
        <f>IF('Data Source'!B745="","",'Data Source'!AF745)</f>
        <v/>
      </c>
      <c r="O745" s="9">
        <f>IF('Data Source'!B745="","",'Data Source'!AG745)</f>
        <v/>
      </c>
      <c r="P745" s="5">
        <f>IF('Data Source'!B745="","",'Data Source'!R745)</f>
        <v/>
      </c>
      <c r="Q745" s="3">
        <f>IF('Data Source'!B745="","",'Data Source'!S745)</f>
        <v/>
      </c>
    </row>
    <row r="746">
      <c r="A746" s="3">
        <f>IF('Data Source'!B746="","",'Data Source'!A746)</f>
        <v/>
      </c>
      <c r="B746">
        <f>IF('Data Source'!B746="","",'Data Source'!B746)</f>
        <v/>
      </c>
      <c r="C746" s="9">
        <f>IF('Data Source'!B746="","",'Data Source'!U746)</f>
        <v/>
      </c>
      <c r="D746" s="9">
        <f>IF('Data Source'!B746="","",'Data Source'!V746)</f>
        <v/>
      </c>
      <c r="E746" s="9">
        <f>IF('Data Source'!B746="","",'Data Source'!W746)</f>
        <v/>
      </c>
      <c r="F746" s="9">
        <f>IF('Data Source'!B746="","",'Data Source'!X746)</f>
        <v/>
      </c>
      <c r="G746" s="9">
        <f>IF('Data Source'!B746="","",'Data Source'!Y746)</f>
        <v/>
      </c>
      <c r="H746" s="9">
        <f>IF('Data Source'!B746="","",'Data Source'!Z746)</f>
        <v/>
      </c>
      <c r="I746" s="9">
        <f>IF('Data Source'!B746="","",'Data Source'!AA746)</f>
        <v/>
      </c>
      <c r="J746" s="9">
        <f>IF('Data Source'!B746="","",'Data Source'!AB746)</f>
        <v/>
      </c>
      <c r="K746" s="9">
        <f>IF('Data Source'!B746="","",'Data Source'!AC746)</f>
        <v/>
      </c>
      <c r="L746" s="9">
        <f>IF('Data Source'!B746="","",'Data Source'!AD746)</f>
        <v/>
      </c>
      <c r="M746" s="9">
        <f>IF('Data Source'!B746="","",'Data Source'!AE746)</f>
        <v/>
      </c>
      <c r="N746" s="9">
        <f>IF('Data Source'!B746="","",'Data Source'!AF746)</f>
        <v/>
      </c>
      <c r="O746" s="9">
        <f>IF('Data Source'!B746="","",'Data Source'!AG746)</f>
        <v/>
      </c>
      <c r="P746" s="5">
        <f>IF('Data Source'!B746="","",'Data Source'!R746)</f>
        <v/>
      </c>
      <c r="Q746" s="3">
        <f>IF('Data Source'!B746="","",'Data Source'!S746)</f>
        <v/>
      </c>
    </row>
    <row r="747">
      <c r="A747" s="3">
        <f>IF('Data Source'!B747="","",'Data Source'!A747)</f>
        <v/>
      </c>
      <c r="B747">
        <f>IF('Data Source'!B747="","",'Data Source'!B747)</f>
        <v/>
      </c>
      <c r="C747" s="9">
        <f>IF('Data Source'!B747="","",'Data Source'!U747)</f>
        <v/>
      </c>
      <c r="D747" s="9">
        <f>IF('Data Source'!B747="","",'Data Source'!V747)</f>
        <v/>
      </c>
      <c r="E747" s="9">
        <f>IF('Data Source'!B747="","",'Data Source'!W747)</f>
        <v/>
      </c>
      <c r="F747" s="9">
        <f>IF('Data Source'!B747="","",'Data Source'!X747)</f>
        <v/>
      </c>
      <c r="G747" s="9">
        <f>IF('Data Source'!B747="","",'Data Source'!Y747)</f>
        <v/>
      </c>
      <c r="H747" s="9">
        <f>IF('Data Source'!B747="","",'Data Source'!Z747)</f>
        <v/>
      </c>
      <c r="I747" s="9">
        <f>IF('Data Source'!B747="","",'Data Source'!AA747)</f>
        <v/>
      </c>
      <c r="J747" s="9">
        <f>IF('Data Source'!B747="","",'Data Source'!AB747)</f>
        <v/>
      </c>
      <c r="K747" s="9">
        <f>IF('Data Source'!B747="","",'Data Source'!AC747)</f>
        <v/>
      </c>
      <c r="L747" s="9">
        <f>IF('Data Source'!B747="","",'Data Source'!AD747)</f>
        <v/>
      </c>
      <c r="M747" s="9">
        <f>IF('Data Source'!B747="","",'Data Source'!AE747)</f>
        <v/>
      </c>
      <c r="N747" s="9">
        <f>IF('Data Source'!B747="","",'Data Source'!AF747)</f>
        <v/>
      </c>
      <c r="O747" s="9">
        <f>IF('Data Source'!B747="","",'Data Source'!AG747)</f>
        <v/>
      </c>
      <c r="P747" s="5">
        <f>IF('Data Source'!B747="","",'Data Source'!R747)</f>
        <v/>
      </c>
      <c r="Q747" s="3">
        <f>IF('Data Source'!B747="","",'Data Source'!S747)</f>
        <v/>
      </c>
    </row>
    <row r="748">
      <c r="A748" s="3">
        <f>IF('Data Source'!B748="","",'Data Source'!A748)</f>
        <v/>
      </c>
      <c r="B748">
        <f>IF('Data Source'!B748="","",'Data Source'!B748)</f>
        <v/>
      </c>
      <c r="C748" s="9">
        <f>IF('Data Source'!B748="","",'Data Source'!U748)</f>
        <v/>
      </c>
      <c r="D748" s="9">
        <f>IF('Data Source'!B748="","",'Data Source'!V748)</f>
        <v/>
      </c>
      <c r="E748" s="9">
        <f>IF('Data Source'!B748="","",'Data Source'!W748)</f>
        <v/>
      </c>
      <c r="F748" s="9">
        <f>IF('Data Source'!B748="","",'Data Source'!X748)</f>
        <v/>
      </c>
      <c r="G748" s="9">
        <f>IF('Data Source'!B748="","",'Data Source'!Y748)</f>
        <v/>
      </c>
      <c r="H748" s="9">
        <f>IF('Data Source'!B748="","",'Data Source'!Z748)</f>
        <v/>
      </c>
      <c r="I748" s="9">
        <f>IF('Data Source'!B748="","",'Data Source'!AA748)</f>
        <v/>
      </c>
      <c r="J748" s="9">
        <f>IF('Data Source'!B748="","",'Data Source'!AB748)</f>
        <v/>
      </c>
      <c r="K748" s="9">
        <f>IF('Data Source'!B748="","",'Data Source'!AC748)</f>
        <v/>
      </c>
      <c r="L748" s="9">
        <f>IF('Data Source'!B748="","",'Data Source'!AD748)</f>
        <v/>
      </c>
      <c r="M748" s="9">
        <f>IF('Data Source'!B748="","",'Data Source'!AE748)</f>
        <v/>
      </c>
      <c r="N748" s="9">
        <f>IF('Data Source'!B748="","",'Data Source'!AF748)</f>
        <v/>
      </c>
      <c r="O748" s="9">
        <f>IF('Data Source'!B748="","",'Data Source'!AG748)</f>
        <v/>
      </c>
      <c r="P748" s="5">
        <f>IF('Data Source'!B748="","",'Data Source'!R748)</f>
        <v/>
      </c>
      <c r="Q748" s="3">
        <f>IF('Data Source'!B748="","",'Data Source'!S748)</f>
        <v/>
      </c>
    </row>
    <row r="749">
      <c r="A749" s="3">
        <f>IF('Data Source'!B749="","",'Data Source'!A749)</f>
        <v/>
      </c>
      <c r="B749">
        <f>IF('Data Source'!B749="","",'Data Source'!B749)</f>
        <v/>
      </c>
      <c r="C749" s="9">
        <f>IF('Data Source'!B749="","",'Data Source'!U749)</f>
        <v/>
      </c>
      <c r="D749" s="9">
        <f>IF('Data Source'!B749="","",'Data Source'!V749)</f>
        <v/>
      </c>
      <c r="E749" s="9">
        <f>IF('Data Source'!B749="","",'Data Source'!W749)</f>
        <v/>
      </c>
      <c r="F749" s="9">
        <f>IF('Data Source'!B749="","",'Data Source'!X749)</f>
        <v/>
      </c>
      <c r="G749" s="9">
        <f>IF('Data Source'!B749="","",'Data Source'!Y749)</f>
        <v/>
      </c>
      <c r="H749" s="9">
        <f>IF('Data Source'!B749="","",'Data Source'!Z749)</f>
        <v/>
      </c>
      <c r="I749" s="9">
        <f>IF('Data Source'!B749="","",'Data Source'!AA749)</f>
        <v/>
      </c>
      <c r="J749" s="9">
        <f>IF('Data Source'!B749="","",'Data Source'!AB749)</f>
        <v/>
      </c>
      <c r="K749" s="9">
        <f>IF('Data Source'!B749="","",'Data Source'!AC749)</f>
        <v/>
      </c>
      <c r="L749" s="9">
        <f>IF('Data Source'!B749="","",'Data Source'!AD749)</f>
        <v/>
      </c>
      <c r="M749" s="9">
        <f>IF('Data Source'!B749="","",'Data Source'!AE749)</f>
        <v/>
      </c>
      <c r="N749" s="9">
        <f>IF('Data Source'!B749="","",'Data Source'!AF749)</f>
        <v/>
      </c>
      <c r="O749" s="9">
        <f>IF('Data Source'!B749="","",'Data Source'!AG749)</f>
        <v/>
      </c>
      <c r="P749" s="5">
        <f>IF('Data Source'!B749="","",'Data Source'!R749)</f>
        <v/>
      </c>
      <c r="Q749" s="3">
        <f>IF('Data Source'!B749="","",'Data Source'!S749)</f>
        <v/>
      </c>
    </row>
    <row r="750">
      <c r="A750" s="3">
        <f>IF('Data Source'!B750="","",'Data Source'!A750)</f>
        <v/>
      </c>
      <c r="B750">
        <f>IF('Data Source'!B750="","",'Data Source'!B750)</f>
        <v/>
      </c>
      <c r="C750" s="9">
        <f>IF('Data Source'!B750="","",'Data Source'!U750)</f>
        <v/>
      </c>
      <c r="D750" s="9">
        <f>IF('Data Source'!B750="","",'Data Source'!V750)</f>
        <v/>
      </c>
      <c r="E750" s="9">
        <f>IF('Data Source'!B750="","",'Data Source'!W750)</f>
        <v/>
      </c>
      <c r="F750" s="9">
        <f>IF('Data Source'!B750="","",'Data Source'!X750)</f>
        <v/>
      </c>
      <c r="G750" s="9">
        <f>IF('Data Source'!B750="","",'Data Source'!Y750)</f>
        <v/>
      </c>
      <c r="H750" s="9">
        <f>IF('Data Source'!B750="","",'Data Source'!Z750)</f>
        <v/>
      </c>
      <c r="I750" s="9">
        <f>IF('Data Source'!B750="","",'Data Source'!AA750)</f>
        <v/>
      </c>
      <c r="J750" s="9">
        <f>IF('Data Source'!B750="","",'Data Source'!AB750)</f>
        <v/>
      </c>
      <c r="K750" s="9">
        <f>IF('Data Source'!B750="","",'Data Source'!AC750)</f>
        <v/>
      </c>
      <c r="L750" s="9">
        <f>IF('Data Source'!B750="","",'Data Source'!AD750)</f>
        <v/>
      </c>
      <c r="M750" s="9">
        <f>IF('Data Source'!B750="","",'Data Source'!AE750)</f>
        <v/>
      </c>
      <c r="N750" s="9">
        <f>IF('Data Source'!B750="","",'Data Source'!AF750)</f>
        <v/>
      </c>
      <c r="O750" s="9">
        <f>IF('Data Source'!B750="","",'Data Source'!AG750)</f>
        <v/>
      </c>
      <c r="P750" s="5">
        <f>IF('Data Source'!B750="","",'Data Source'!R750)</f>
        <v/>
      </c>
      <c r="Q750" s="3">
        <f>IF('Data Source'!B750="","",'Data Source'!S750)</f>
        <v/>
      </c>
    </row>
    <row r="751">
      <c r="A751" s="3">
        <f>IF('Data Source'!B751="","",'Data Source'!A751)</f>
        <v/>
      </c>
      <c r="B751">
        <f>IF('Data Source'!B751="","",'Data Source'!B751)</f>
        <v/>
      </c>
      <c r="C751" s="9">
        <f>IF('Data Source'!B751="","",'Data Source'!U751)</f>
        <v/>
      </c>
      <c r="D751" s="9">
        <f>IF('Data Source'!B751="","",'Data Source'!V751)</f>
        <v/>
      </c>
      <c r="E751" s="9">
        <f>IF('Data Source'!B751="","",'Data Source'!W751)</f>
        <v/>
      </c>
      <c r="F751" s="9">
        <f>IF('Data Source'!B751="","",'Data Source'!X751)</f>
        <v/>
      </c>
      <c r="G751" s="9">
        <f>IF('Data Source'!B751="","",'Data Source'!Y751)</f>
        <v/>
      </c>
      <c r="H751" s="9">
        <f>IF('Data Source'!B751="","",'Data Source'!Z751)</f>
        <v/>
      </c>
      <c r="I751" s="9">
        <f>IF('Data Source'!B751="","",'Data Source'!AA751)</f>
        <v/>
      </c>
      <c r="J751" s="9">
        <f>IF('Data Source'!B751="","",'Data Source'!AB751)</f>
        <v/>
      </c>
      <c r="K751" s="9">
        <f>IF('Data Source'!B751="","",'Data Source'!AC751)</f>
        <v/>
      </c>
      <c r="L751" s="9">
        <f>IF('Data Source'!B751="","",'Data Source'!AD751)</f>
        <v/>
      </c>
      <c r="M751" s="9">
        <f>IF('Data Source'!B751="","",'Data Source'!AE751)</f>
        <v/>
      </c>
      <c r="N751" s="9">
        <f>IF('Data Source'!B751="","",'Data Source'!AF751)</f>
        <v/>
      </c>
      <c r="O751" s="9">
        <f>IF('Data Source'!B751="","",'Data Source'!AG751)</f>
        <v/>
      </c>
      <c r="P751" s="5">
        <f>IF('Data Source'!B751="","",'Data Source'!R751)</f>
        <v/>
      </c>
      <c r="Q751" s="3">
        <f>IF('Data Source'!B751="","",'Data Source'!S751)</f>
        <v/>
      </c>
    </row>
    <row r="752">
      <c r="A752" s="3">
        <f>IF('Data Source'!B752="","",'Data Source'!A752)</f>
        <v/>
      </c>
      <c r="B752">
        <f>IF('Data Source'!B752="","",'Data Source'!B752)</f>
        <v/>
      </c>
      <c r="C752" s="9">
        <f>IF('Data Source'!B752="","",'Data Source'!U752)</f>
        <v/>
      </c>
      <c r="D752" s="9">
        <f>IF('Data Source'!B752="","",'Data Source'!V752)</f>
        <v/>
      </c>
      <c r="E752" s="9">
        <f>IF('Data Source'!B752="","",'Data Source'!W752)</f>
        <v/>
      </c>
      <c r="F752" s="9">
        <f>IF('Data Source'!B752="","",'Data Source'!X752)</f>
        <v/>
      </c>
      <c r="G752" s="9">
        <f>IF('Data Source'!B752="","",'Data Source'!Y752)</f>
        <v/>
      </c>
      <c r="H752" s="9">
        <f>IF('Data Source'!B752="","",'Data Source'!Z752)</f>
        <v/>
      </c>
      <c r="I752" s="9">
        <f>IF('Data Source'!B752="","",'Data Source'!AA752)</f>
        <v/>
      </c>
      <c r="J752" s="9">
        <f>IF('Data Source'!B752="","",'Data Source'!AB752)</f>
        <v/>
      </c>
      <c r="K752" s="9">
        <f>IF('Data Source'!B752="","",'Data Source'!AC752)</f>
        <v/>
      </c>
      <c r="L752" s="9">
        <f>IF('Data Source'!B752="","",'Data Source'!AD752)</f>
        <v/>
      </c>
      <c r="M752" s="9">
        <f>IF('Data Source'!B752="","",'Data Source'!AE752)</f>
        <v/>
      </c>
      <c r="N752" s="9">
        <f>IF('Data Source'!B752="","",'Data Source'!AF752)</f>
        <v/>
      </c>
      <c r="O752" s="9">
        <f>IF('Data Source'!B752="","",'Data Source'!AG752)</f>
        <v/>
      </c>
      <c r="P752" s="5">
        <f>IF('Data Source'!B752="","",'Data Source'!R752)</f>
        <v/>
      </c>
      <c r="Q752" s="3">
        <f>IF('Data Source'!B752="","",'Data Source'!S752)</f>
        <v/>
      </c>
    </row>
    <row r="753">
      <c r="A753" s="3">
        <f>IF('Data Source'!B753="","",'Data Source'!A753)</f>
        <v/>
      </c>
      <c r="B753">
        <f>IF('Data Source'!B753="","",'Data Source'!B753)</f>
        <v/>
      </c>
      <c r="C753" s="9">
        <f>IF('Data Source'!B753="","",'Data Source'!U753)</f>
        <v/>
      </c>
      <c r="D753" s="9">
        <f>IF('Data Source'!B753="","",'Data Source'!V753)</f>
        <v/>
      </c>
      <c r="E753" s="9">
        <f>IF('Data Source'!B753="","",'Data Source'!W753)</f>
        <v/>
      </c>
      <c r="F753" s="9">
        <f>IF('Data Source'!B753="","",'Data Source'!X753)</f>
        <v/>
      </c>
      <c r="G753" s="9">
        <f>IF('Data Source'!B753="","",'Data Source'!Y753)</f>
        <v/>
      </c>
      <c r="H753" s="9">
        <f>IF('Data Source'!B753="","",'Data Source'!Z753)</f>
        <v/>
      </c>
      <c r="I753" s="9">
        <f>IF('Data Source'!B753="","",'Data Source'!AA753)</f>
        <v/>
      </c>
      <c r="J753" s="9">
        <f>IF('Data Source'!B753="","",'Data Source'!AB753)</f>
        <v/>
      </c>
      <c r="K753" s="9">
        <f>IF('Data Source'!B753="","",'Data Source'!AC753)</f>
        <v/>
      </c>
      <c r="L753" s="9">
        <f>IF('Data Source'!B753="","",'Data Source'!AD753)</f>
        <v/>
      </c>
      <c r="M753" s="9">
        <f>IF('Data Source'!B753="","",'Data Source'!AE753)</f>
        <v/>
      </c>
      <c r="N753" s="9">
        <f>IF('Data Source'!B753="","",'Data Source'!AF753)</f>
        <v/>
      </c>
      <c r="O753" s="9">
        <f>IF('Data Source'!B753="","",'Data Source'!AG753)</f>
        <v/>
      </c>
      <c r="P753" s="5">
        <f>IF('Data Source'!B753="","",'Data Source'!R753)</f>
        <v/>
      </c>
      <c r="Q753" s="3">
        <f>IF('Data Source'!B753="","",'Data Source'!S753)</f>
        <v/>
      </c>
    </row>
    <row r="754">
      <c r="A754" s="3">
        <f>IF('Data Source'!B754="","",'Data Source'!A754)</f>
        <v/>
      </c>
      <c r="B754">
        <f>IF('Data Source'!B754="","",'Data Source'!B754)</f>
        <v/>
      </c>
      <c r="C754" s="9">
        <f>IF('Data Source'!B754="","",'Data Source'!U754)</f>
        <v/>
      </c>
      <c r="D754" s="9">
        <f>IF('Data Source'!B754="","",'Data Source'!V754)</f>
        <v/>
      </c>
      <c r="E754" s="9">
        <f>IF('Data Source'!B754="","",'Data Source'!W754)</f>
        <v/>
      </c>
      <c r="F754" s="9">
        <f>IF('Data Source'!B754="","",'Data Source'!X754)</f>
        <v/>
      </c>
      <c r="G754" s="9">
        <f>IF('Data Source'!B754="","",'Data Source'!Y754)</f>
        <v/>
      </c>
      <c r="H754" s="9">
        <f>IF('Data Source'!B754="","",'Data Source'!Z754)</f>
        <v/>
      </c>
      <c r="I754" s="9">
        <f>IF('Data Source'!B754="","",'Data Source'!AA754)</f>
        <v/>
      </c>
      <c r="J754" s="9">
        <f>IF('Data Source'!B754="","",'Data Source'!AB754)</f>
        <v/>
      </c>
      <c r="K754" s="9">
        <f>IF('Data Source'!B754="","",'Data Source'!AC754)</f>
        <v/>
      </c>
      <c r="L754" s="9">
        <f>IF('Data Source'!B754="","",'Data Source'!AD754)</f>
        <v/>
      </c>
      <c r="M754" s="9">
        <f>IF('Data Source'!B754="","",'Data Source'!AE754)</f>
        <v/>
      </c>
      <c r="N754" s="9">
        <f>IF('Data Source'!B754="","",'Data Source'!AF754)</f>
        <v/>
      </c>
      <c r="O754" s="9">
        <f>IF('Data Source'!B754="","",'Data Source'!AG754)</f>
        <v/>
      </c>
      <c r="P754" s="5">
        <f>IF('Data Source'!B754="","",'Data Source'!R754)</f>
        <v/>
      </c>
      <c r="Q754" s="3">
        <f>IF('Data Source'!B754="","",'Data Source'!S754)</f>
        <v/>
      </c>
    </row>
    <row r="755">
      <c r="A755" s="3">
        <f>IF('Data Source'!B755="","",'Data Source'!A755)</f>
        <v/>
      </c>
      <c r="B755">
        <f>IF('Data Source'!B755="","",'Data Source'!B755)</f>
        <v/>
      </c>
      <c r="C755" s="9">
        <f>IF('Data Source'!B755="","",'Data Source'!U755)</f>
        <v/>
      </c>
      <c r="D755" s="9">
        <f>IF('Data Source'!B755="","",'Data Source'!V755)</f>
        <v/>
      </c>
      <c r="E755" s="9">
        <f>IF('Data Source'!B755="","",'Data Source'!W755)</f>
        <v/>
      </c>
      <c r="F755" s="9">
        <f>IF('Data Source'!B755="","",'Data Source'!X755)</f>
        <v/>
      </c>
      <c r="G755" s="9">
        <f>IF('Data Source'!B755="","",'Data Source'!Y755)</f>
        <v/>
      </c>
      <c r="H755" s="9">
        <f>IF('Data Source'!B755="","",'Data Source'!Z755)</f>
        <v/>
      </c>
      <c r="I755" s="9">
        <f>IF('Data Source'!B755="","",'Data Source'!AA755)</f>
        <v/>
      </c>
      <c r="J755" s="9">
        <f>IF('Data Source'!B755="","",'Data Source'!AB755)</f>
        <v/>
      </c>
      <c r="K755" s="9">
        <f>IF('Data Source'!B755="","",'Data Source'!AC755)</f>
        <v/>
      </c>
      <c r="L755" s="9">
        <f>IF('Data Source'!B755="","",'Data Source'!AD755)</f>
        <v/>
      </c>
      <c r="M755" s="9">
        <f>IF('Data Source'!B755="","",'Data Source'!AE755)</f>
        <v/>
      </c>
      <c r="N755" s="9">
        <f>IF('Data Source'!B755="","",'Data Source'!AF755)</f>
        <v/>
      </c>
      <c r="O755" s="9">
        <f>IF('Data Source'!B755="","",'Data Source'!AG755)</f>
        <v/>
      </c>
      <c r="P755" s="5">
        <f>IF('Data Source'!B755="","",'Data Source'!R755)</f>
        <v/>
      </c>
      <c r="Q755" s="3">
        <f>IF('Data Source'!B755="","",'Data Source'!S755)</f>
        <v/>
      </c>
    </row>
    <row r="756">
      <c r="A756" s="3">
        <f>IF('Data Source'!B756="","",'Data Source'!A756)</f>
        <v/>
      </c>
      <c r="B756">
        <f>IF('Data Source'!B756="","",'Data Source'!B756)</f>
        <v/>
      </c>
      <c r="C756" s="9">
        <f>IF('Data Source'!B756="","",'Data Source'!U756)</f>
        <v/>
      </c>
      <c r="D756" s="9">
        <f>IF('Data Source'!B756="","",'Data Source'!V756)</f>
        <v/>
      </c>
      <c r="E756" s="9">
        <f>IF('Data Source'!B756="","",'Data Source'!W756)</f>
        <v/>
      </c>
      <c r="F756" s="9">
        <f>IF('Data Source'!B756="","",'Data Source'!X756)</f>
        <v/>
      </c>
      <c r="G756" s="9">
        <f>IF('Data Source'!B756="","",'Data Source'!Y756)</f>
        <v/>
      </c>
      <c r="H756" s="9">
        <f>IF('Data Source'!B756="","",'Data Source'!Z756)</f>
        <v/>
      </c>
      <c r="I756" s="9">
        <f>IF('Data Source'!B756="","",'Data Source'!AA756)</f>
        <v/>
      </c>
      <c r="J756" s="9">
        <f>IF('Data Source'!B756="","",'Data Source'!AB756)</f>
        <v/>
      </c>
      <c r="K756" s="9">
        <f>IF('Data Source'!B756="","",'Data Source'!AC756)</f>
        <v/>
      </c>
      <c r="L756" s="9">
        <f>IF('Data Source'!B756="","",'Data Source'!AD756)</f>
        <v/>
      </c>
      <c r="M756" s="9">
        <f>IF('Data Source'!B756="","",'Data Source'!AE756)</f>
        <v/>
      </c>
      <c r="N756" s="9">
        <f>IF('Data Source'!B756="","",'Data Source'!AF756)</f>
        <v/>
      </c>
      <c r="O756" s="9">
        <f>IF('Data Source'!B756="","",'Data Source'!AG756)</f>
        <v/>
      </c>
      <c r="P756" s="5">
        <f>IF('Data Source'!B756="","",'Data Source'!R756)</f>
        <v/>
      </c>
      <c r="Q756" s="3">
        <f>IF('Data Source'!B756="","",'Data Source'!S756)</f>
        <v/>
      </c>
    </row>
    <row r="757">
      <c r="A757" s="3">
        <f>IF('Data Source'!B757="","",'Data Source'!A757)</f>
        <v/>
      </c>
      <c r="B757">
        <f>IF('Data Source'!B757="","",'Data Source'!B757)</f>
        <v/>
      </c>
      <c r="C757" s="9">
        <f>IF('Data Source'!B757="","",'Data Source'!U757)</f>
        <v/>
      </c>
      <c r="D757" s="9">
        <f>IF('Data Source'!B757="","",'Data Source'!V757)</f>
        <v/>
      </c>
      <c r="E757" s="9">
        <f>IF('Data Source'!B757="","",'Data Source'!W757)</f>
        <v/>
      </c>
      <c r="F757" s="9">
        <f>IF('Data Source'!B757="","",'Data Source'!X757)</f>
        <v/>
      </c>
      <c r="G757" s="9">
        <f>IF('Data Source'!B757="","",'Data Source'!Y757)</f>
        <v/>
      </c>
      <c r="H757" s="9">
        <f>IF('Data Source'!B757="","",'Data Source'!Z757)</f>
        <v/>
      </c>
      <c r="I757" s="9">
        <f>IF('Data Source'!B757="","",'Data Source'!AA757)</f>
        <v/>
      </c>
      <c r="J757" s="9">
        <f>IF('Data Source'!B757="","",'Data Source'!AB757)</f>
        <v/>
      </c>
      <c r="K757" s="9">
        <f>IF('Data Source'!B757="","",'Data Source'!AC757)</f>
        <v/>
      </c>
      <c r="L757" s="9">
        <f>IF('Data Source'!B757="","",'Data Source'!AD757)</f>
        <v/>
      </c>
      <c r="M757" s="9">
        <f>IF('Data Source'!B757="","",'Data Source'!AE757)</f>
        <v/>
      </c>
      <c r="N757" s="9">
        <f>IF('Data Source'!B757="","",'Data Source'!AF757)</f>
        <v/>
      </c>
      <c r="O757" s="9">
        <f>IF('Data Source'!B757="","",'Data Source'!AG757)</f>
        <v/>
      </c>
      <c r="P757" s="5">
        <f>IF('Data Source'!B757="","",'Data Source'!R757)</f>
        <v/>
      </c>
      <c r="Q757" s="3">
        <f>IF('Data Source'!B757="","",'Data Source'!S757)</f>
        <v/>
      </c>
    </row>
    <row r="758">
      <c r="A758" s="3">
        <f>IF('Data Source'!B758="","",'Data Source'!A758)</f>
        <v/>
      </c>
      <c r="B758">
        <f>IF('Data Source'!B758="","",'Data Source'!B758)</f>
        <v/>
      </c>
      <c r="C758" s="9">
        <f>IF('Data Source'!B758="","",'Data Source'!U758)</f>
        <v/>
      </c>
      <c r="D758" s="9">
        <f>IF('Data Source'!B758="","",'Data Source'!V758)</f>
        <v/>
      </c>
      <c r="E758" s="9">
        <f>IF('Data Source'!B758="","",'Data Source'!W758)</f>
        <v/>
      </c>
      <c r="F758" s="9">
        <f>IF('Data Source'!B758="","",'Data Source'!X758)</f>
        <v/>
      </c>
      <c r="G758" s="9">
        <f>IF('Data Source'!B758="","",'Data Source'!Y758)</f>
        <v/>
      </c>
      <c r="H758" s="9">
        <f>IF('Data Source'!B758="","",'Data Source'!Z758)</f>
        <v/>
      </c>
      <c r="I758" s="9">
        <f>IF('Data Source'!B758="","",'Data Source'!AA758)</f>
        <v/>
      </c>
      <c r="J758" s="9">
        <f>IF('Data Source'!B758="","",'Data Source'!AB758)</f>
        <v/>
      </c>
      <c r="K758" s="9">
        <f>IF('Data Source'!B758="","",'Data Source'!AC758)</f>
        <v/>
      </c>
      <c r="L758" s="9">
        <f>IF('Data Source'!B758="","",'Data Source'!AD758)</f>
        <v/>
      </c>
      <c r="M758" s="9">
        <f>IF('Data Source'!B758="","",'Data Source'!AE758)</f>
        <v/>
      </c>
      <c r="N758" s="9">
        <f>IF('Data Source'!B758="","",'Data Source'!AF758)</f>
        <v/>
      </c>
      <c r="O758" s="9">
        <f>IF('Data Source'!B758="","",'Data Source'!AG758)</f>
        <v/>
      </c>
      <c r="P758" s="5">
        <f>IF('Data Source'!B758="","",'Data Source'!R758)</f>
        <v/>
      </c>
      <c r="Q758" s="3">
        <f>IF('Data Source'!B758="","",'Data Source'!S758)</f>
        <v/>
      </c>
    </row>
    <row r="759">
      <c r="A759" s="3">
        <f>IF('Data Source'!B759="","",'Data Source'!A759)</f>
        <v/>
      </c>
      <c r="B759">
        <f>IF('Data Source'!B759="","",'Data Source'!B759)</f>
        <v/>
      </c>
      <c r="C759" s="9">
        <f>IF('Data Source'!B759="","",'Data Source'!U759)</f>
        <v/>
      </c>
      <c r="D759" s="9">
        <f>IF('Data Source'!B759="","",'Data Source'!V759)</f>
        <v/>
      </c>
      <c r="E759" s="9">
        <f>IF('Data Source'!B759="","",'Data Source'!W759)</f>
        <v/>
      </c>
      <c r="F759" s="9">
        <f>IF('Data Source'!B759="","",'Data Source'!X759)</f>
        <v/>
      </c>
      <c r="G759" s="9">
        <f>IF('Data Source'!B759="","",'Data Source'!Y759)</f>
        <v/>
      </c>
      <c r="H759" s="9">
        <f>IF('Data Source'!B759="","",'Data Source'!Z759)</f>
        <v/>
      </c>
      <c r="I759" s="9">
        <f>IF('Data Source'!B759="","",'Data Source'!AA759)</f>
        <v/>
      </c>
      <c r="J759" s="9">
        <f>IF('Data Source'!B759="","",'Data Source'!AB759)</f>
        <v/>
      </c>
      <c r="K759" s="9">
        <f>IF('Data Source'!B759="","",'Data Source'!AC759)</f>
        <v/>
      </c>
      <c r="L759" s="9">
        <f>IF('Data Source'!B759="","",'Data Source'!AD759)</f>
        <v/>
      </c>
      <c r="M759" s="9">
        <f>IF('Data Source'!B759="","",'Data Source'!AE759)</f>
        <v/>
      </c>
      <c r="N759" s="9">
        <f>IF('Data Source'!B759="","",'Data Source'!AF759)</f>
        <v/>
      </c>
      <c r="O759" s="9">
        <f>IF('Data Source'!B759="","",'Data Source'!AG759)</f>
        <v/>
      </c>
      <c r="P759" s="5">
        <f>IF('Data Source'!B759="","",'Data Source'!R759)</f>
        <v/>
      </c>
      <c r="Q759" s="3">
        <f>IF('Data Source'!B759="","",'Data Source'!S759)</f>
        <v/>
      </c>
    </row>
    <row r="760">
      <c r="A760" s="3">
        <f>IF('Data Source'!B760="","",'Data Source'!A760)</f>
        <v/>
      </c>
      <c r="B760">
        <f>IF('Data Source'!B760="","",'Data Source'!B760)</f>
        <v/>
      </c>
      <c r="C760" s="9">
        <f>IF('Data Source'!B760="","",'Data Source'!U760)</f>
        <v/>
      </c>
      <c r="D760" s="9">
        <f>IF('Data Source'!B760="","",'Data Source'!V760)</f>
        <v/>
      </c>
      <c r="E760" s="9">
        <f>IF('Data Source'!B760="","",'Data Source'!W760)</f>
        <v/>
      </c>
      <c r="F760" s="9">
        <f>IF('Data Source'!B760="","",'Data Source'!X760)</f>
        <v/>
      </c>
      <c r="G760" s="9">
        <f>IF('Data Source'!B760="","",'Data Source'!Y760)</f>
        <v/>
      </c>
      <c r="H760" s="9">
        <f>IF('Data Source'!B760="","",'Data Source'!Z760)</f>
        <v/>
      </c>
      <c r="I760" s="9">
        <f>IF('Data Source'!B760="","",'Data Source'!AA760)</f>
        <v/>
      </c>
      <c r="J760" s="9">
        <f>IF('Data Source'!B760="","",'Data Source'!AB760)</f>
        <v/>
      </c>
      <c r="K760" s="9">
        <f>IF('Data Source'!B760="","",'Data Source'!AC760)</f>
        <v/>
      </c>
      <c r="L760" s="9">
        <f>IF('Data Source'!B760="","",'Data Source'!AD760)</f>
        <v/>
      </c>
      <c r="M760" s="9">
        <f>IF('Data Source'!B760="","",'Data Source'!AE760)</f>
        <v/>
      </c>
      <c r="N760" s="9">
        <f>IF('Data Source'!B760="","",'Data Source'!AF760)</f>
        <v/>
      </c>
      <c r="O760" s="9">
        <f>IF('Data Source'!B760="","",'Data Source'!AG760)</f>
        <v/>
      </c>
      <c r="P760" s="5">
        <f>IF('Data Source'!B760="","",'Data Source'!R760)</f>
        <v/>
      </c>
      <c r="Q760" s="3">
        <f>IF('Data Source'!B760="","",'Data Source'!S760)</f>
        <v/>
      </c>
    </row>
    <row r="761">
      <c r="A761" s="3">
        <f>IF('Data Source'!B761="","",'Data Source'!A761)</f>
        <v/>
      </c>
      <c r="B761">
        <f>IF('Data Source'!B761="","",'Data Source'!B761)</f>
        <v/>
      </c>
      <c r="C761" s="9">
        <f>IF('Data Source'!B761="","",'Data Source'!U761)</f>
        <v/>
      </c>
      <c r="D761" s="9">
        <f>IF('Data Source'!B761="","",'Data Source'!V761)</f>
        <v/>
      </c>
      <c r="E761" s="9">
        <f>IF('Data Source'!B761="","",'Data Source'!W761)</f>
        <v/>
      </c>
      <c r="F761" s="9">
        <f>IF('Data Source'!B761="","",'Data Source'!X761)</f>
        <v/>
      </c>
      <c r="G761" s="9">
        <f>IF('Data Source'!B761="","",'Data Source'!Y761)</f>
        <v/>
      </c>
      <c r="H761" s="9">
        <f>IF('Data Source'!B761="","",'Data Source'!Z761)</f>
        <v/>
      </c>
      <c r="I761" s="9">
        <f>IF('Data Source'!B761="","",'Data Source'!AA761)</f>
        <v/>
      </c>
      <c r="J761" s="9">
        <f>IF('Data Source'!B761="","",'Data Source'!AB761)</f>
        <v/>
      </c>
      <c r="K761" s="9">
        <f>IF('Data Source'!B761="","",'Data Source'!AC761)</f>
        <v/>
      </c>
      <c r="L761" s="9">
        <f>IF('Data Source'!B761="","",'Data Source'!AD761)</f>
        <v/>
      </c>
      <c r="M761" s="9">
        <f>IF('Data Source'!B761="","",'Data Source'!AE761)</f>
        <v/>
      </c>
      <c r="N761" s="9">
        <f>IF('Data Source'!B761="","",'Data Source'!AF761)</f>
        <v/>
      </c>
      <c r="O761" s="9">
        <f>IF('Data Source'!B761="","",'Data Source'!AG761)</f>
        <v/>
      </c>
      <c r="P761" s="5">
        <f>IF('Data Source'!B761="","",'Data Source'!R761)</f>
        <v/>
      </c>
      <c r="Q761" s="3">
        <f>IF('Data Source'!B761="","",'Data Source'!S761)</f>
        <v/>
      </c>
    </row>
    <row r="762">
      <c r="A762" s="3">
        <f>IF('Data Source'!B762="","",'Data Source'!A762)</f>
        <v/>
      </c>
      <c r="B762">
        <f>IF('Data Source'!B762="","",'Data Source'!B762)</f>
        <v/>
      </c>
      <c r="C762" s="9">
        <f>IF('Data Source'!B762="","",'Data Source'!U762)</f>
        <v/>
      </c>
      <c r="D762" s="9">
        <f>IF('Data Source'!B762="","",'Data Source'!V762)</f>
        <v/>
      </c>
      <c r="E762" s="9">
        <f>IF('Data Source'!B762="","",'Data Source'!W762)</f>
        <v/>
      </c>
      <c r="F762" s="9">
        <f>IF('Data Source'!B762="","",'Data Source'!X762)</f>
        <v/>
      </c>
      <c r="G762" s="9">
        <f>IF('Data Source'!B762="","",'Data Source'!Y762)</f>
        <v/>
      </c>
      <c r="H762" s="9">
        <f>IF('Data Source'!B762="","",'Data Source'!Z762)</f>
        <v/>
      </c>
      <c r="I762" s="9">
        <f>IF('Data Source'!B762="","",'Data Source'!AA762)</f>
        <v/>
      </c>
      <c r="J762" s="9">
        <f>IF('Data Source'!B762="","",'Data Source'!AB762)</f>
        <v/>
      </c>
      <c r="K762" s="9">
        <f>IF('Data Source'!B762="","",'Data Source'!AC762)</f>
        <v/>
      </c>
      <c r="L762" s="9">
        <f>IF('Data Source'!B762="","",'Data Source'!AD762)</f>
        <v/>
      </c>
      <c r="M762" s="9">
        <f>IF('Data Source'!B762="","",'Data Source'!AE762)</f>
        <v/>
      </c>
      <c r="N762" s="9">
        <f>IF('Data Source'!B762="","",'Data Source'!AF762)</f>
        <v/>
      </c>
      <c r="O762" s="9">
        <f>IF('Data Source'!B762="","",'Data Source'!AG762)</f>
        <v/>
      </c>
      <c r="P762" s="5">
        <f>IF('Data Source'!B762="","",'Data Source'!R762)</f>
        <v/>
      </c>
      <c r="Q762" s="3">
        <f>IF('Data Source'!B762="","",'Data Source'!S762)</f>
        <v/>
      </c>
    </row>
    <row r="763">
      <c r="A763" s="3">
        <f>IF('Data Source'!B763="","",'Data Source'!A763)</f>
        <v/>
      </c>
      <c r="B763">
        <f>IF('Data Source'!B763="","",'Data Source'!B763)</f>
        <v/>
      </c>
      <c r="C763" s="9">
        <f>IF('Data Source'!B763="","",'Data Source'!U763)</f>
        <v/>
      </c>
      <c r="D763" s="9">
        <f>IF('Data Source'!B763="","",'Data Source'!V763)</f>
        <v/>
      </c>
      <c r="E763" s="9">
        <f>IF('Data Source'!B763="","",'Data Source'!W763)</f>
        <v/>
      </c>
      <c r="F763" s="9">
        <f>IF('Data Source'!B763="","",'Data Source'!X763)</f>
        <v/>
      </c>
      <c r="G763" s="9">
        <f>IF('Data Source'!B763="","",'Data Source'!Y763)</f>
        <v/>
      </c>
      <c r="H763" s="9">
        <f>IF('Data Source'!B763="","",'Data Source'!Z763)</f>
        <v/>
      </c>
      <c r="I763" s="9">
        <f>IF('Data Source'!B763="","",'Data Source'!AA763)</f>
        <v/>
      </c>
      <c r="J763" s="9">
        <f>IF('Data Source'!B763="","",'Data Source'!AB763)</f>
        <v/>
      </c>
      <c r="K763" s="9">
        <f>IF('Data Source'!B763="","",'Data Source'!AC763)</f>
        <v/>
      </c>
      <c r="L763" s="9">
        <f>IF('Data Source'!B763="","",'Data Source'!AD763)</f>
        <v/>
      </c>
      <c r="M763" s="9">
        <f>IF('Data Source'!B763="","",'Data Source'!AE763)</f>
        <v/>
      </c>
      <c r="N763" s="9">
        <f>IF('Data Source'!B763="","",'Data Source'!AF763)</f>
        <v/>
      </c>
      <c r="O763" s="9">
        <f>IF('Data Source'!B763="","",'Data Source'!AG763)</f>
        <v/>
      </c>
      <c r="P763" s="5">
        <f>IF('Data Source'!B763="","",'Data Source'!R763)</f>
        <v/>
      </c>
      <c r="Q763" s="3">
        <f>IF('Data Source'!B763="","",'Data Source'!S763)</f>
        <v/>
      </c>
    </row>
    <row r="764">
      <c r="A764" s="3">
        <f>IF('Data Source'!B764="","",'Data Source'!A764)</f>
        <v/>
      </c>
      <c r="B764">
        <f>IF('Data Source'!B764="","",'Data Source'!B764)</f>
        <v/>
      </c>
      <c r="C764" s="9">
        <f>IF('Data Source'!B764="","",'Data Source'!U764)</f>
        <v/>
      </c>
      <c r="D764" s="9">
        <f>IF('Data Source'!B764="","",'Data Source'!V764)</f>
        <v/>
      </c>
      <c r="E764" s="9">
        <f>IF('Data Source'!B764="","",'Data Source'!W764)</f>
        <v/>
      </c>
      <c r="F764" s="9">
        <f>IF('Data Source'!B764="","",'Data Source'!X764)</f>
        <v/>
      </c>
      <c r="G764" s="9">
        <f>IF('Data Source'!B764="","",'Data Source'!Y764)</f>
        <v/>
      </c>
      <c r="H764" s="9">
        <f>IF('Data Source'!B764="","",'Data Source'!Z764)</f>
        <v/>
      </c>
      <c r="I764" s="9">
        <f>IF('Data Source'!B764="","",'Data Source'!AA764)</f>
        <v/>
      </c>
      <c r="J764" s="9">
        <f>IF('Data Source'!B764="","",'Data Source'!AB764)</f>
        <v/>
      </c>
      <c r="K764" s="9">
        <f>IF('Data Source'!B764="","",'Data Source'!AC764)</f>
        <v/>
      </c>
      <c r="L764" s="9">
        <f>IF('Data Source'!B764="","",'Data Source'!AD764)</f>
        <v/>
      </c>
      <c r="M764" s="9">
        <f>IF('Data Source'!B764="","",'Data Source'!AE764)</f>
        <v/>
      </c>
      <c r="N764" s="9">
        <f>IF('Data Source'!B764="","",'Data Source'!AF764)</f>
        <v/>
      </c>
      <c r="O764" s="9">
        <f>IF('Data Source'!B764="","",'Data Source'!AG764)</f>
        <v/>
      </c>
      <c r="P764" s="5">
        <f>IF('Data Source'!B764="","",'Data Source'!R764)</f>
        <v/>
      </c>
      <c r="Q764" s="3">
        <f>IF('Data Source'!B764="","",'Data Source'!S764)</f>
        <v/>
      </c>
    </row>
    <row r="765">
      <c r="A765" s="3">
        <f>IF('Data Source'!B765="","",'Data Source'!A765)</f>
        <v/>
      </c>
      <c r="B765">
        <f>IF('Data Source'!B765="","",'Data Source'!B765)</f>
        <v/>
      </c>
      <c r="C765" s="9">
        <f>IF('Data Source'!B765="","",'Data Source'!U765)</f>
        <v/>
      </c>
      <c r="D765" s="9">
        <f>IF('Data Source'!B765="","",'Data Source'!V765)</f>
        <v/>
      </c>
      <c r="E765" s="9">
        <f>IF('Data Source'!B765="","",'Data Source'!W765)</f>
        <v/>
      </c>
      <c r="F765" s="9">
        <f>IF('Data Source'!B765="","",'Data Source'!X765)</f>
        <v/>
      </c>
      <c r="G765" s="9">
        <f>IF('Data Source'!B765="","",'Data Source'!Y765)</f>
        <v/>
      </c>
      <c r="H765" s="9">
        <f>IF('Data Source'!B765="","",'Data Source'!Z765)</f>
        <v/>
      </c>
      <c r="I765" s="9">
        <f>IF('Data Source'!B765="","",'Data Source'!AA765)</f>
        <v/>
      </c>
      <c r="J765" s="9">
        <f>IF('Data Source'!B765="","",'Data Source'!AB765)</f>
        <v/>
      </c>
      <c r="K765" s="9">
        <f>IF('Data Source'!B765="","",'Data Source'!AC765)</f>
        <v/>
      </c>
      <c r="L765" s="9">
        <f>IF('Data Source'!B765="","",'Data Source'!AD765)</f>
        <v/>
      </c>
      <c r="M765" s="9">
        <f>IF('Data Source'!B765="","",'Data Source'!AE765)</f>
        <v/>
      </c>
      <c r="N765" s="9">
        <f>IF('Data Source'!B765="","",'Data Source'!AF765)</f>
        <v/>
      </c>
      <c r="O765" s="9">
        <f>IF('Data Source'!B765="","",'Data Source'!AG765)</f>
        <v/>
      </c>
      <c r="P765" s="5">
        <f>IF('Data Source'!B765="","",'Data Source'!R765)</f>
        <v/>
      </c>
      <c r="Q765" s="3">
        <f>IF('Data Source'!B765="","",'Data Source'!S765)</f>
        <v/>
      </c>
    </row>
    <row r="766">
      <c r="A766" s="3">
        <f>IF('Data Source'!B766="","",'Data Source'!A766)</f>
        <v/>
      </c>
      <c r="B766">
        <f>IF('Data Source'!B766="","",'Data Source'!B766)</f>
        <v/>
      </c>
      <c r="C766" s="9">
        <f>IF('Data Source'!B766="","",'Data Source'!U766)</f>
        <v/>
      </c>
      <c r="D766" s="9">
        <f>IF('Data Source'!B766="","",'Data Source'!V766)</f>
        <v/>
      </c>
      <c r="E766" s="9">
        <f>IF('Data Source'!B766="","",'Data Source'!W766)</f>
        <v/>
      </c>
      <c r="F766" s="9">
        <f>IF('Data Source'!B766="","",'Data Source'!X766)</f>
        <v/>
      </c>
      <c r="G766" s="9">
        <f>IF('Data Source'!B766="","",'Data Source'!Y766)</f>
        <v/>
      </c>
      <c r="H766" s="9">
        <f>IF('Data Source'!B766="","",'Data Source'!Z766)</f>
        <v/>
      </c>
      <c r="I766" s="9">
        <f>IF('Data Source'!B766="","",'Data Source'!AA766)</f>
        <v/>
      </c>
      <c r="J766" s="9">
        <f>IF('Data Source'!B766="","",'Data Source'!AB766)</f>
        <v/>
      </c>
      <c r="K766" s="9">
        <f>IF('Data Source'!B766="","",'Data Source'!AC766)</f>
        <v/>
      </c>
      <c r="L766" s="9">
        <f>IF('Data Source'!B766="","",'Data Source'!AD766)</f>
        <v/>
      </c>
      <c r="M766" s="9">
        <f>IF('Data Source'!B766="","",'Data Source'!AE766)</f>
        <v/>
      </c>
      <c r="N766" s="9">
        <f>IF('Data Source'!B766="","",'Data Source'!AF766)</f>
        <v/>
      </c>
      <c r="O766" s="9">
        <f>IF('Data Source'!B766="","",'Data Source'!AG766)</f>
        <v/>
      </c>
      <c r="P766" s="5">
        <f>IF('Data Source'!B766="","",'Data Source'!R766)</f>
        <v/>
      </c>
      <c r="Q766" s="3">
        <f>IF('Data Source'!B766="","",'Data Source'!S766)</f>
        <v/>
      </c>
    </row>
    <row r="767">
      <c r="A767" s="3">
        <f>IF('Data Source'!B767="","",'Data Source'!A767)</f>
        <v/>
      </c>
      <c r="B767">
        <f>IF('Data Source'!B767="","",'Data Source'!B767)</f>
        <v/>
      </c>
      <c r="C767" s="9">
        <f>IF('Data Source'!B767="","",'Data Source'!U767)</f>
        <v/>
      </c>
      <c r="D767" s="9">
        <f>IF('Data Source'!B767="","",'Data Source'!V767)</f>
        <v/>
      </c>
      <c r="E767" s="9">
        <f>IF('Data Source'!B767="","",'Data Source'!W767)</f>
        <v/>
      </c>
      <c r="F767" s="9">
        <f>IF('Data Source'!B767="","",'Data Source'!X767)</f>
        <v/>
      </c>
      <c r="G767" s="9">
        <f>IF('Data Source'!B767="","",'Data Source'!Y767)</f>
        <v/>
      </c>
      <c r="H767" s="9">
        <f>IF('Data Source'!B767="","",'Data Source'!Z767)</f>
        <v/>
      </c>
      <c r="I767" s="9">
        <f>IF('Data Source'!B767="","",'Data Source'!AA767)</f>
        <v/>
      </c>
      <c r="J767" s="9">
        <f>IF('Data Source'!B767="","",'Data Source'!AB767)</f>
        <v/>
      </c>
      <c r="K767" s="9">
        <f>IF('Data Source'!B767="","",'Data Source'!AC767)</f>
        <v/>
      </c>
      <c r="L767" s="9">
        <f>IF('Data Source'!B767="","",'Data Source'!AD767)</f>
        <v/>
      </c>
      <c r="M767" s="9">
        <f>IF('Data Source'!B767="","",'Data Source'!AE767)</f>
        <v/>
      </c>
      <c r="N767" s="9">
        <f>IF('Data Source'!B767="","",'Data Source'!AF767)</f>
        <v/>
      </c>
      <c r="O767" s="9">
        <f>IF('Data Source'!B767="","",'Data Source'!AG767)</f>
        <v/>
      </c>
      <c r="P767" s="5">
        <f>IF('Data Source'!B767="","",'Data Source'!R767)</f>
        <v/>
      </c>
      <c r="Q767" s="3">
        <f>IF('Data Source'!B767="","",'Data Source'!S767)</f>
        <v/>
      </c>
    </row>
    <row r="768">
      <c r="A768" s="3">
        <f>IF('Data Source'!B768="","",'Data Source'!A768)</f>
        <v/>
      </c>
      <c r="B768">
        <f>IF('Data Source'!B768="","",'Data Source'!B768)</f>
        <v/>
      </c>
      <c r="C768" s="9">
        <f>IF('Data Source'!B768="","",'Data Source'!U768)</f>
        <v/>
      </c>
      <c r="D768" s="9">
        <f>IF('Data Source'!B768="","",'Data Source'!V768)</f>
        <v/>
      </c>
      <c r="E768" s="9">
        <f>IF('Data Source'!B768="","",'Data Source'!W768)</f>
        <v/>
      </c>
      <c r="F768" s="9">
        <f>IF('Data Source'!B768="","",'Data Source'!X768)</f>
        <v/>
      </c>
      <c r="G768" s="9">
        <f>IF('Data Source'!B768="","",'Data Source'!Y768)</f>
        <v/>
      </c>
      <c r="H768" s="9">
        <f>IF('Data Source'!B768="","",'Data Source'!Z768)</f>
        <v/>
      </c>
      <c r="I768" s="9">
        <f>IF('Data Source'!B768="","",'Data Source'!AA768)</f>
        <v/>
      </c>
      <c r="J768" s="9">
        <f>IF('Data Source'!B768="","",'Data Source'!AB768)</f>
        <v/>
      </c>
      <c r="K768" s="9">
        <f>IF('Data Source'!B768="","",'Data Source'!AC768)</f>
        <v/>
      </c>
      <c r="L768" s="9">
        <f>IF('Data Source'!B768="","",'Data Source'!AD768)</f>
        <v/>
      </c>
      <c r="M768" s="9">
        <f>IF('Data Source'!B768="","",'Data Source'!AE768)</f>
        <v/>
      </c>
      <c r="N768" s="9">
        <f>IF('Data Source'!B768="","",'Data Source'!AF768)</f>
        <v/>
      </c>
      <c r="O768" s="9">
        <f>IF('Data Source'!B768="","",'Data Source'!AG768)</f>
        <v/>
      </c>
      <c r="P768" s="5">
        <f>IF('Data Source'!B768="","",'Data Source'!R768)</f>
        <v/>
      </c>
      <c r="Q768" s="3">
        <f>IF('Data Source'!B768="","",'Data Source'!S768)</f>
        <v/>
      </c>
    </row>
    <row r="769">
      <c r="A769" s="3">
        <f>IF('Data Source'!B769="","",'Data Source'!A769)</f>
        <v/>
      </c>
      <c r="B769">
        <f>IF('Data Source'!B769="","",'Data Source'!B769)</f>
        <v/>
      </c>
      <c r="C769" s="9">
        <f>IF('Data Source'!B769="","",'Data Source'!U769)</f>
        <v/>
      </c>
      <c r="D769" s="9">
        <f>IF('Data Source'!B769="","",'Data Source'!V769)</f>
        <v/>
      </c>
      <c r="E769" s="9">
        <f>IF('Data Source'!B769="","",'Data Source'!W769)</f>
        <v/>
      </c>
      <c r="F769" s="9">
        <f>IF('Data Source'!B769="","",'Data Source'!X769)</f>
        <v/>
      </c>
      <c r="G769" s="9">
        <f>IF('Data Source'!B769="","",'Data Source'!Y769)</f>
        <v/>
      </c>
      <c r="H769" s="9">
        <f>IF('Data Source'!B769="","",'Data Source'!Z769)</f>
        <v/>
      </c>
      <c r="I769" s="9">
        <f>IF('Data Source'!B769="","",'Data Source'!AA769)</f>
        <v/>
      </c>
      <c r="J769" s="9">
        <f>IF('Data Source'!B769="","",'Data Source'!AB769)</f>
        <v/>
      </c>
      <c r="K769" s="9">
        <f>IF('Data Source'!B769="","",'Data Source'!AC769)</f>
        <v/>
      </c>
      <c r="L769" s="9">
        <f>IF('Data Source'!B769="","",'Data Source'!AD769)</f>
        <v/>
      </c>
      <c r="M769" s="9">
        <f>IF('Data Source'!B769="","",'Data Source'!AE769)</f>
        <v/>
      </c>
      <c r="N769" s="9">
        <f>IF('Data Source'!B769="","",'Data Source'!AF769)</f>
        <v/>
      </c>
      <c r="O769" s="9">
        <f>IF('Data Source'!B769="","",'Data Source'!AG769)</f>
        <v/>
      </c>
      <c r="P769" s="5">
        <f>IF('Data Source'!B769="","",'Data Source'!R769)</f>
        <v/>
      </c>
      <c r="Q769" s="3">
        <f>IF('Data Source'!B769="","",'Data Source'!S769)</f>
        <v/>
      </c>
    </row>
    <row r="770">
      <c r="A770" s="3">
        <f>IF('Data Source'!B770="","",'Data Source'!A770)</f>
        <v/>
      </c>
      <c r="B770">
        <f>IF('Data Source'!B770="","",'Data Source'!B770)</f>
        <v/>
      </c>
      <c r="C770" s="9">
        <f>IF('Data Source'!B770="","",'Data Source'!U770)</f>
        <v/>
      </c>
      <c r="D770" s="9">
        <f>IF('Data Source'!B770="","",'Data Source'!V770)</f>
        <v/>
      </c>
      <c r="E770" s="9">
        <f>IF('Data Source'!B770="","",'Data Source'!W770)</f>
        <v/>
      </c>
      <c r="F770" s="9">
        <f>IF('Data Source'!B770="","",'Data Source'!X770)</f>
        <v/>
      </c>
      <c r="G770" s="9">
        <f>IF('Data Source'!B770="","",'Data Source'!Y770)</f>
        <v/>
      </c>
      <c r="H770" s="9">
        <f>IF('Data Source'!B770="","",'Data Source'!Z770)</f>
        <v/>
      </c>
      <c r="I770" s="9">
        <f>IF('Data Source'!B770="","",'Data Source'!AA770)</f>
        <v/>
      </c>
      <c r="J770" s="9">
        <f>IF('Data Source'!B770="","",'Data Source'!AB770)</f>
        <v/>
      </c>
      <c r="K770" s="9">
        <f>IF('Data Source'!B770="","",'Data Source'!AC770)</f>
        <v/>
      </c>
      <c r="L770" s="9">
        <f>IF('Data Source'!B770="","",'Data Source'!AD770)</f>
        <v/>
      </c>
      <c r="M770" s="9">
        <f>IF('Data Source'!B770="","",'Data Source'!AE770)</f>
        <v/>
      </c>
      <c r="N770" s="9">
        <f>IF('Data Source'!B770="","",'Data Source'!AF770)</f>
        <v/>
      </c>
      <c r="O770" s="9">
        <f>IF('Data Source'!B770="","",'Data Source'!AG770)</f>
        <v/>
      </c>
      <c r="P770" s="5">
        <f>IF('Data Source'!B770="","",'Data Source'!R770)</f>
        <v/>
      </c>
      <c r="Q770" s="3">
        <f>IF('Data Source'!B770="","",'Data Source'!S770)</f>
        <v/>
      </c>
    </row>
    <row r="771">
      <c r="A771" s="3">
        <f>IF('Data Source'!B771="","",'Data Source'!A771)</f>
        <v/>
      </c>
      <c r="B771">
        <f>IF('Data Source'!B771="","",'Data Source'!B771)</f>
        <v/>
      </c>
      <c r="C771" s="9">
        <f>IF('Data Source'!B771="","",'Data Source'!U771)</f>
        <v/>
      </c>
      <c r="D771" s="9">
        <f>IF('Data Source'!B771="","",'Data Source'!V771)</f>
        <v/>
      </c>
      <c r="E771" s="9">
        <f>IF('Data Source'!B771="","",'Data Source'!W771)</f>
        <v/>
      </c>
      <c r="F771" s="9">
        <f>IF('Data Source'!B771="","",'Data Source'!X771)</f>
        <v/>
      </c>
      <c r="G771" s="9">
        <f>IF('Data Source'!B771="","",'Data Source'!Y771)</f>
        <v/>
      </c>
      <c r="H771" s="9">
        <f>IF('Data Source'!B771="","",'Data Source'!Z771)</f>
        <v/>
      </c>
      <c r="I771" s="9">
        <f>IF('Data Source'!B771="","",'Data Source'!AA771)</f>
        <v/>
      </c>
      <c r="J771" s="9">
        <f>IF('Data Source'!B771="","",'Data Source'!AB771)</f>
        <v/>
      </c>
      <c r="K771" s="9">
        <f>IF('Data Source'!B771="","",'Data Source'!AC771)</f>
        <v/>
      </c>
      <c r="L771" s="9">
        <f>IF('Data Source'!B771="","",'Data Source'!AD771)</f>
        <v/>
      </c>
      <c r="M771" s="9">
        <f>IF('Data Source'!B771="","",'Data Source'!AE771)</f>
        <v/>
      </c>
      <c r="N771" s="9">
        <f>IF('Data Source'!B771="","",'Data Source'!AF771)</f>
        <v/>
      </c>
      <c r="O771" s="9">
        <f>IF('Data Source'!B771="","",'Data Source'!AG771)</f>
        <v/>
      </c>
      <c r="P771" s="5">
        <f>IF('Data Source'!B771="","",'Data Source'!R771)</f>
        <v/>
      </c>
      <c r="Q771" s="3">
        <f>IF('Data Source'!B771="","",'Data Source'!S771)</f>
        <v/>
      </c>
    </row>
    <row r="772">
      <c r="A772" s="3">
        <f>IF('Data Source'!B772="","",'Data Source'!A772)</f>
        <v/>
      </c>
      <c r="B772">
        <f>IF('Data Source'!B772="","",'Data Source'!B772)</f>
        <v/>
      </c>
      <c r="C772" s="9">
        <f>IF('Data Source'!B772="","",'Data Source'!U772)</f>
        <v/>
      </c>
      <c r="D772" s="9">
        <f>IF('Data Source'!B772="","",'Data Source'!V772)</f>
        <v/>
      </c>
      <c r="E772" s="9">
        <f>IF('Data Source'!B772="","",'Data Source'!W772)</f>
        <v/>
      </c>
      <c r="F772" s="9">
        <f>IF('Data Source'!B772="","",'Data Source'!X772)</f>
        <v/>
      </c>
      <c r="G772" s="9">
        <f>IF('Data Source'!B772="","",'Data Source'!Y772)</f>
        <v/>
      </c>
      <c r="H772" s="9">
        <f>IF('Data Source'!B772="","",'Data Source'!Z772)</f>
        <v/>
      </c>
      <c r="I772" s="9">
        <f>IF('Data Source'!B772="","",'Data Source'!AA772)</f>
        <v/>
      </c>
      <c r="J772" s="9">
        <f>IF('Data Source'!B772="","",'Data Source'!AB772)</f>
        <v/>
      </c>
      <c r="K772" s="9">
        <f>IF('Data Source'!B772="","",'Data Source'!AC772)</f>
        <v/>
      </c>
      <c r="L772" s="9">
        <f>IF('Data Source'!B772="","",'Data Source'!AD772)</f>
        <v/>
      </c>
      <c r="M772" s="9">
        <f>IF('Data Source'!B772="","",'Data Source'!AE772)</f>
        <v/>
      </c>
      <c r="N772" s="9">
        <f>IF('Data Source'!B772="","",'Data Source'!AF772)</f>
        <v/>
      </c>
      <c r="O772" s="9">
        <f>IF('Data Source'!B772="","",'Data Source'!AG772)</f>
        <v/>
      </c>
      <c r="P772" s="5">
        <f>IF('Data Source'!B772="","",'Data Source'!R772)</f>
        <v/>
      </c>
      <c r="Q772" s="3">
        <f>IF('Data Source'!B772="","",'Data Source'!S772)</f>
        <v/>
      </c>
    </row>
    <row r="773">
      <c r="A773" s="3">
        <f>IF('Data Source'!B773="","",'Data Source'!A773)</f>
        <v/>
      </c>
      <c r="B773">
        <f>IF('Data Source'!B773="","",'Data Source'!B773)</f>
        <v/>
      </c>
      <c r="C773" s="9">
        <f>IF('Data Source'!B773="","",'Data Source'!U773)</f>
        <v/>
      </c>
      <c r="D773" s="9">
        <f>IF('Data Source'!B773="","",'Data Source'!V773)</f>
        <v/>
      </c>
      <c r="E773" s="9">
        <f>IF('Data Source'!B773="","",'Data Source'!W773)</f>
        <v/>
      </c>
      <c r="F773" s="9">
        <f>IF('Data Source'!B773="","",'Data Source'!X773)</f>
        <v/>
      </c>
      <c r="G773" s="9">
        <f>IF('Data Source'!B773="","",'Data Source'!Y773)</f>
        <v/>
      </c>
      <c r="H773" s="9">
        <f>IF('Data Source'!B773="","",'Data Source'!Z773)</f>
        <v/>
      </c>
      <c r="I773" s="9">
        <f>IF('Data Source'!B773="","",'Data Source'!AA773)</f>
        <v/>
      </c>
      <c r="J773" s="9">
        <f>IF('Data Source'!B773="","",'Data Source'!AB773)</f>
        <v/>
      </c>
      <c r="K773" s="9">
        <f>IF('Data Source'!B773="","",'Data Source'!AC773)</f>
        <v/>
      </c>
      <c r="L773" s="9">
        <f>IF('Data Source'!B773="","",'Data Source'!AD773)</f>
        <v/>
      </c>
      <c r="M773" s="9">
        <f>IF('Data Source'!B773="","",'Data Source'!AE773)</f>
        <v/>
      </c>
      <c r="N773" s="9">
        <f>IF('Data Source'!B773="","",'Data Source'!AF773)</f>
        <v/>
      </c>
      <c r="O773" s="9">
        <f>IF('Data Source'!B773="","",'Data Source'!AG773)</f>
        <v/>
      </c>
      <c r="P773" s="5">
        <f>IF('Data Source'!B773="","",'Data Source'!R773)</f>
        <v/>
      </c>
      <c r="Q773" s="3">
        <f>IF('Data Source'!B773="","",'Data Source'!S773)</f>
        <v/>
      </c>
    </row>
    <row r="774">
      <c r="A774" s="3">
        <f>IF('Data Source'!B774="","",'Data Source'!A774)</f>
        <v/>
      </c>
      <c r="B774">
        <f>IF('Data Source'!B774="","",'Data Source'!B774)</f>
        <v/>
      </c>
      <c r="C774" s="9">
        <f>IF('Data Source'!B774="","",'Data Source'!U774)</f>
        <v/>
      </c>
      <c r="D774" s="9">
        <f>IF('Data Source'!B774="","",'Data Source'!V774)</f>
        <v/>
      </c>
      <c r="E774" s="9">
        <f>IF('Data Source'!B774="","",'Data Source'!W774)</f>
        <v/>
      </c>
      <c r="F774" s="9">
        <f>IF('Data Source'!B774="","",'Data Source'!X774)</f>
        <v/>
      </c>
      <c r="G774" s="9">
        <f>IF('Data Source'!B774="","",'Data Source'!Y774)</f>
        <v/>
      </c>
      <c r="H774" s="9">
        <f>IF('Data Source'!B774="","",'Data Source'!Z774)</f>
        <v/>
      </c>
      <c r="I774" s="9">
        <f>IF('Data Source'!B774="","",'Data Source'!AA774)</f>
        <v/>
      </c>
      <c r="J774" s="9">
        <f>IF('Data Source'!B774="","",'Data Source'!AB774)</f>
        <v/>
      </c>
      <c r="K774" s="9">
        <f>IF('Data Source'!B774="","",'Data Source'!AC774)</f>
        <v/>
      </c>
      <c r="L774" s="9">
        <f>IF('Data Source'!B774="","",'Data Source'!AD774)</f>
        <v/>
      </c>
      <c r="M774" s="9">
        <f>IF('Data Source'!B774="","",'Data Source'!AE774)</f>
        <v/>
      </c>
      <c r="N774" s="9">
        <f>IF('Data Source'!B774="","",'Data Source'!AF774)</f>
        <v/>
      </c>
      <c r="O774" s="9">
        <f>IF('Data Source'!B774="","",'Data Source'!AG774)</f>
        <v/>
      </c>
      <c r="P774" s="5">
        <f>IF('Data Source'!B774="","",'Data Source'!R774)</f>
        <v/>
      </c>
      <c r="Q774" s="3">
        <f>IF('Data Source'!B774="","",'Data Source'!S774)</f>
        <v/>
      </c>
    </row>
    <row r="775">
      <c r="A775" s="3">
        <f>IF('Data Source'!B775="","",'Data Source'!A775)</f>
        <v/>
      </c>
      <c r="B775">
        <f>IF('Data Source'!B775="","",'Data Source'!B775)</f>
        <v/>
      </c>
      <c r="C775" s="9">
        <f>IF('Data Source'!B775="","",'Data Source'!U775)</f>
        <v/>
      </c>
      <c r="D775" s="9">
        <f>IF('Data Source'!B775="","",'Data Source'!V775)</f>
        <v/>
      </c>
      <c r="E775" s="9">
        <f>IF('Data Source'!B775="","",'Data Source'!W775)</f>
        <v/>
      </c>
      <c r="F775" s="9">
        <f>IF('Data Source'!B775="","",'Data Source'!X775)</f>
        <v/>
      </c>
      <c r="G775" s="9">
        <f>IF('Data Source'!B775="","",'Data Source'!Y775)</f>
        <v/>
      </c>
      <c r="H775" s="9">
        <f>IF('Data Source'!B775="","",'Data Source'!Z775)</f>
        <v/>
      </c>
      <c r="I775" s="9">
        <f>IF('Data Source'!B775="","",'Data Source'!AA775)</f>
        <v/>
      </c>
      <c r="J775" s="9">
        <f>IF('Data Source'!B775="","",'Data Source'!AB775)</f>
        <v/>
      </c>
      <c r="K775" s="9">
        <f>IF('Data Source'!B775="","",'Data Source'!AC775)</f>
        <v/>
      </c>
      <c r="L775" s="9">
        <f>IF('Data Source'!B775="","",'Data Source'!AD775)</f>
        <v/>
      </c>
      <c r="M775" s="9">
        <f>IF('Data Source'!B775="","",'Data Source'!AE775)</f>
        <v/>
      </c>
      <c r="N775" s="9">
        <f>IF('Data Source'!B775="","",'Data Source'!AF775)</f>
        <v/>
      </c>
      <c r="O775" s="9">
        <f>IF('Data Source'!B775="","",'Data Source'!AG775)</f>
        <v/>
      </c>
      <c r="P775" s="5">
        <f>IF('Data Source'!B775="","",'Data Source'!R775)</f>
        <v/>
      </c>
      <c r="Q775" s="3">
        <f>IF('Data Source'!B775="","",'Data Source'!S775)</f>
        <v/>
      </c>
    </row>
    <row r="776">
      <c r="A776" s="3">
        <f>IF('Data Source'!B776="","",'Data Source'!A776)</f>
        <v/>
      </c>
      <c r="B776">
        <f>IF('Data Source'!B776="","",'Data Source'!B776)</f>
        <v/>
      </c>
      <c r="C776" s="9">
        <f>IF('Data Source'!B776="","",'Data Source'!U776)</f>
        <v/>
      </c>
      <c r="D776" s="9">
        <f>IF('Data Source'!B776="","",'Data Source'!V776)</f>
        <v/>
      </c>
      <c r="E776" s="9">
        <f>IF('Data Source'!B776="","",'Data Source'!W776)</f>
        <v/>
      </c>
      <c r="F776" s="9">
        <f>IF('Data Source'!B776="","",'Data Source'!X776)</f>
        <v/>
      </c>
      <c r="G776" s="9">
        <f>IF('Data Source'!B776="","",'Data Source'!Y776)</f>
        <v/>
      </c>
      <c r="H776" s="9">
        <f>IF('Data Source'!B776="","",'Data Source'!Z776)</f>
        <v/>
      </c>
      <c r="I776" s="9">
        <f>IF('Data Source'!B776="","",'Data Source'!AA776)</f>
        <v/>
      </c>
      <c r="J776" s="9">
        <f>IF('Data Source'!B776="","",'Data Source'!AB776)</f>
        <v/>
      </c>
      <c r="K776" s="9">
        <f>IF('Data Source'!B776="","",'Data Source'!AC776)</f>
        <v/>
      </c>
      <c r="L776" s="9">
        <f>IF('Data Source'!B776="","",'Data Source'!AD776)</f>
        <v/>
      </c>
      <c r="M776" s="9">
        <f>IF('Data Source'!B776="","",'Data Source'!AE776)</f>
        <v/>
      </c>
      <c r="N776" s="9">
        <f>IF('Data Source'!B776="","",'Data Source'!AF776)</f>
        <v/>
      </c>
      <c r="O776" s="9">
        <f>IF('Data Source'!B776="","",'Data Source'!AG776)</f>
        <v/>
      </c>
      <c r="P776" s="5">
        <f>IF('Data Source'!B776="","",'Data Source'!R776)</f>
        <v/>
      </c>
      <c r="Q776" s="3">
        <f>IF('Data Source'!B776="","",'Data Source'!S776)</f>
        <v/>
      </c>
    </row>
    <row r="777">
      <c r="A777" s="3">
        <f>IF('Data Source'!B777="","",'Data Source'!A777)</f>
        <v/>
      </c>
      <c r="B777">
        <f>IF('Data Source'!B777="","",'Data Source'!B777)</f>
        <v/>
      </c>
      <c r="C777" s="9">
        <f>IF('Data Source'!B777="","",'Data Source'!U777)</f>
        <v/>
      </c>
      <c r="D777" s="9">
        <f>IF('Data Source'!B777="","",'Data Source'!V777)</f>
        <v/>
      </c>
      <c r="E777" s="9">
        <f>IF('Data Source'!B777="","",'Data Source'!W777)</f>
        <v/>
      </c>
      <c r="F777" s="9">
        <f>IF('Data Source'!B777="","",'Data Source'!X777)</f>
        <v/>
      </c>
      <c r="G777" s="9">
        <f>IF('Data Source'!B777="","",'Data Source'!Y777)</f>
        <v/>
      </c>
      <c r="H777" s="9">
        <f>IF('Data Source'!B777="","",'Data Source'!Z777)</f>
        <v/>
      </c>
      <c r="I777" s="9">
        <f>IF('Data Source'!B777="","",'Data Source'!AA777)</f>
        <v/>
      </c>
      <c r="J777" s="9">
        <f>IF('Data Source'!B777="","",'Data Source'!AB777)</f>
        <v/>
      </c>
      <c r="K777" s="9">
        <f>IF('Data Source'!B777="","",'Data Source'!AC777)</f>
        <v/>
      </c>
      <c r="L777" s="9">
        <f>IF('Data Source'!B777="","",'Data Source'!AD777)</f>
        <v/>
      </c>
      <c r="M777" s="9">
        <f>IF('Data Source'!B777="","",'Data Source'!AE777)</f>
        <v/>
      </c>
      <c r="N777" s="9">
        <f>IF('Data Source'!B777="","",'Data Source'!AF777)</f>
        <v/>
      </c>
      <c r="O777" s="9">
        <f>IF('Data Source'!B777="","",'Data Source'!AG777)</f>
        <v/>
      </c>
      <c r="P777" s="5">
        <f>IF('Data Source'!B777="","",'Data Source'!R777)</f>
        <v/>
      </c>
      <c r="Q777" s="3">
        <f>IF('Data Source'!B777="","",'Data Source'!S777)</f>
        <v/>
      </c>
    </row>
    <row r="778">
      <c r="A778" s="3">
        <f>IF('Data Source'!B778="","",'Data Source'!A778)</f>
        <v/>
      </c>
      <c r="B778">
        <f>IF('Data Source'!B778="","",'Data Source'!B778)</f>
        <v/>
      </c>
      <c r="C778" s="9">
        <f>IF('Data Source'!B778="","",'Data Source'!U778)</f>
        <v/>
      </c>
      <c r="D778" s="9">
        <f>IF('Data Source'!B778="","",'Data Source'!V778)</f>
        <v/>
      </c>
      <c r="E778" s="9">
        <f>IF('Data Source'!B778="","",'Data Source'!W778)</f>
        <v/>
      </c>
      <c r="F778" s="9">
        <f>IF('Data Source'!B778="","",'Data Source'!X778)</f>
        <v/>
      </c>
      <c r="G778" s="9">
        <f>IF('Data Source'!B778="","",'Data Source'!Y778)</f>
        <v/>
      </c>
      <c r="H778" s="9">
        <f>IF('Data Source'!B778="","",'Data Source'!Z778)</f>
        <v/>
      </c>
      <c r="I778" s="9">
        <f>IF('Data Source'!B778="","",'Data Source'!AA778)</f>
        <v/>
      </c>
      <c r="J778" s="9">
        <f>IF('Data Source'!B778="","",'Data Source'!AB778)</f>
        <v/>
      </c>
      <c r="K778" s="9">
        <f>IF('Data Source'!B778="","",'Data Source'!AC778)</f>
        <v/>
      </c>
      <c r="L778" s="9">
        <f>IF('Data Source'!B778="","",'Data Source'!AD778)</f>
        <v/>
      </c>
      <c r="M778" s="9">
        <f>IF('Data Source'!B778="","",'Data Source'!AE778)</f>
        <v/>
      </c>
      <c r="N778" s="9">
        <f>IF('Data Source'!B778="","",'Data Source'!AF778)</f>
        <v/>
      </c>
      <c r="O778" s="9">
        <f>IF('Data Source'!B778="","",'Data Source'!AG778)</f>
        <v/>
      </c>
      <c r="P778" s="5">
        <f>IF('Data Source'!B778="","",'Data Source'!R778)</f>
        <v/>
      </c>
      <c r="Q778" s="3">
        <f>IF('Data Source'!B778="","",'Data Source'!S778)</f>
        <v/>
      </c>
    </row>
    <row r="779">
      <c r="A779" s="3">
        <f>IF('Data Source'!B779="","",'Data Source'!A779)</f>
        <v/>
      </c>
      <c r="B779">
        <f>IF('Data Source'!B779="","",'Data Source'!B779)</f>
        <v/>
      </c>
      <c r="C779" s="9">
        <f>IF('Data Source'!B779="","",'Data Source'!U779)</f>
        <v/>
      </c>
      <c r="D779" s="9">
        <f>IF('Data Source'!B779="","",'Data Source'!V779)</f>
        <v/>
      </c>
      <c r="E779" s="9">
        <f>IF('Data Source'!B779="","",'Data Source'!W779)</f>
        <v/>
      </c>
      <c r="F779" s="9">
        <f>IF('Data Source'!B779="","",'Data Source'!X779)</f>
        <v/>
      </c>
      <c r="G779" s="9">
        <f>IF('Data Source'!B779="","",'Data Source'!Y779)</f>
        <v/>
      </c>
      <c r="H779" s="9">
        <f>IF('Data Source'!B779="","",'Data Source'!Z779)</f>
        <v/>
      </c>
      <c r="I779" s="9">
        <f>IF('Data Source'!B779="","",'Data Source'!AA779)</f>
        <v/>
      </c>
      <c r="J779" s="9">
        <f>IF('Data Source'!B779="","",'Data Source'!AB779)</f>
        <v/>
      </c>
      <c r="K779" s="9">
        <f>IF('Data Source'!B779="","",'Data Source'!AC779)</f>
        <v/>
      </c>
      <c r="L779" s="9">
        <f>IF('Data Source'!B779="","",'Data Source'!AD779)</f>
        <v/>
      </c>
      <c r="M779" s="9">
        <f>IF('Data Source'!B779="","",'Data Source'!AE779)</f>
        <v/>
      </c>
      <c r="N779" s="9">
        <f>IF('Data Source'!B779="","",'Data Source'!AF779)</f>
        <v/>
      </c>
      <c r="O779" s="9">
        <f>IF('Data Source'!B779="","",'Data Source'!AG779)</f>
        <v/>
      </c>
      <c r="P779" s="5">
        <f>IF('Data Source'!B779="","",'Data Source'!R779)</f>
        <v/>
      </c>
      <c r="Q779" s="3">
        <f>IF('Data Source'!B779="","",'Data Source'!S779)</f>
        <v/>
      </c>
    </row>
    <row r="780">
      <c r="A780" s="3">
        <f>IF('Data Source'!B780="","",'Data Source'!A780)</f>
        <v/>
      </c>
      <c r="B780">
        <f>IF('Data Source'!B780="","",'Data Source'!B780)</f>
        <v/>
      </c>
      <c r="C780" s="9">
        <f>IF('Data Source'!B780="","",'Data Source'!U780)</f>
        <v/>
      </c>
      <c r="D780" s="9">
        <f>IF('Data Source'!B780="","",'Data Source'!V780)</f>
        <v/>
      </c>
      <c r="E780" s="9">
        <f>IF('Data Source'!B780="","",'Data Source'!W780)</f>
        <v/>
      </c>
      <c r="F780" s="9">
        <f>IF('Data Source'!B780="","",'Data Source'!X780)</f>
        <v/>
      </c>
      <c r="G780" s="9">
        <f>IF('Data Source'!B780="","",'Data Source'!Y780)</f>
        <v/>
      </c>
      <c r="H780" s="9">
        <f>IF('Data Source'!B780="","",'Data Source'!Z780)</f>
        <v/>
      </c>
      <c r="I780" s="9">
        <f>IF('Data Source'!B780="","",'Data Source'!AA780)</f>
        <v/>
      </c>
      <c r="J780" s="9">
        <f>IF('Data Source'!B780="","",'Data Source'!AB780)</f>
        <v/>
      </c>
      <c r="K780" s="9">
        <f>IF('Data Source'!B780="","",'Data Source'!AC780)</f>
        <v/>
      </c>
      <c r="L780" s="9">
        <f>IF('Data Source'!B780="","",'Data Source'!AD780)</f>
        <v/>
      </c>
      <c r="M780" s="9">
        <f>IF('Data Source'!B780="","",'Data Source'!AE780)</f>
        <v/>
      </c>
      <c r="N780" s="9">
        <f>IF('Data Source'!B780="","",'Data Source'!AF780)</f>
        <v/>
      </c>
      <c r="O780" s="9">
        <f>IF('Data Source'!B780="","",'Data Source'!AG780)</f>
        <v/>
      </c>
      <c r="P780" s="5">
        <f>IF('Data Source'!B780="","",'Data Source'!R780)</f>
        <v/>
      </c>
      <c r="Q780" s="3">
        <f>IF('Data Source'!B780="","",'Data Source'!S780)</f>
        <v/>
      </c>
    </row>
    <row r="781">
      <c r="A781" s="3">
        <f>IF('Data Source'!B781="","",'Data Source'!A781)</f>
        <v/>
      </c>
      <c r="B781">
        <f>IF('Data Source'!B781="","",'Data Source'!B781)</f>
        <v/>
      </c>
      <c r="C781" s="9">
        <f>IF('Data Source'!B781="","",'Data Source'!U781)</f>
        <v/>
      </c>
      <c r="D781" s="9">
        <f>IF('Data Source'!B781="","",'Data Source'!V781)</f>
        <v/>
      </c>
      <c r="E781" s="9">
        <f>IF('Data Source'!B781="","",'Data Source'!W781)</f>
        <v/>
      </c>
      <c r="F781" s="9">
        <f>IF('Data Source'!B781="","",'Data Source'!X781)</f>
        <v/>
      </c>
      <c r="G781" s="9">
        <f>IF('Data Source'!B781="","",'Data Source'!Y781)</f>
        <v/>
      </c>
      <c r="H781" s="9">
        <f>IF('Data Source'!B781="","",'Data Source'!Z781)</f>
        <v/>
      </c>
      <c r="I781" s="9">
        <f>IF('Data Source'!B781="","",'Data Source'!AA781)</f>
        <v/>
      </c>
      <c r="J781" s="9">
        <f>IF('Data Source'!B781="","",'Data Source'!AB781)</f>
        <v/>
      </c>
      <c r="K781" s="9">
        <f>IF('Data Source'!B781="","",'Data Source'!AC781)</f>
        <v/>
      </c>
      <c r="L781" s="9">
        <f>IF('Data Source'!B781="","",'Data Source'!AD781)</f>
        <v/>
      </c>
      <c r="M781" s="9">
        <f>IF('Data Source'!B781="","",'Data Source'!AE781)</f>
        <v/>
      </c>
      <c r="N781" s="9">
        <f>IF('Data Source'!B781="","",'Data Source'!AF781)</f>
        <v/>
      </c>
      <c r="O781" s="9">
        <f>IF('Data Source'!B781="","",'Data Source'!AG781)</f>
        <v/>
      </c>
      <c r="P781" s="5">
        <f>IF('Data Source'!B781="","",'Data Source'!R781)</f>
        <v/>
      </c>
      <c r="Q781" s="3">
        <f>IF('Data Source'!B781="","",'Data Source'!S781)</f>
        <v/>
      </c>
    </row>
    <row r="782">
      <c r="A782" s="3">
        <f>IF('Data Source'!B782="","",'Data Source'!A782)</f>
        <v/>
      </c>
      <c r="B782">
        <f>IF('Data Source'!B782="","",'Data Source'!B782)</f>
        <v/>
      </c>
      <c r="C782" s="9">
        <f>IF('Data Source'!B782="","",'Data Source'!U782)</f>
        <v/>
      </c>
      <c r="D782" s="9">
        <f>IF('Data Source'!B782="","",'Data Source'!V782)</f>
        <v/>
      </c>
      <c r="E782" s="9">
        <f>IF('Data Source'!B782="","",'Data Source'!W782)</f>
        <v/>
      </c>
      <c r="F782" s="9">
        <f>IF('Data Source'!B782="","",'Data Source'!X782)</f>
        <v/>
      </c>
      <c r="G782" s="9">
        <f>IF('Data Source'!B782="","",'Data Source'!Y782)</f>
        <v/>
      </c>
      <c r="H782" s="9">
        <f>IF('Data Source'!B782="","",'Data Source'!Z782)</f>
        <v/>
      </c>
      <c r="I782" s="9">
        <f>IF('Data Source'!B782="","",'Data Source'!AA782)</f>
        <v/>
      </c>
      <c r="J782" s="9">
        <f>IF('Data Source'!B782="","",'Data Source'!AB782)</f>
        <v/>
      </c>
      <c r="K782" s="9">
        <f>IF('Data Source'!B782="","",'Data Source'!AC782)</f>
        <v/>
      </c>
      <c r="L782" s="9">
        <f>IF('Data Source'!B782="","",'Data Source'!AD782)</f>
        <v/>
      </c>
      <c r="M782" s="9">
        <f>IF('Data Source'!B782="","",'Data Source'!AE782)</f>
        <v/>
      </c>
      <c r="N782" s="9">
        <f>IF('Data Source'!B782="","",'Data Source'!AF782)</f>
        <v/>
      </c>
      <c r="O782" s="9">
        <f>IF('Data Source'!B782="","",'Data Source'!AG782)</f>
        <v/>
      </c>
      <c r="P782" s="5">
        <f>IF('Data Source'!B782="","",'Data Source'!R782)</f>
        <v/>
      </c>
      <c r="Q782" s="3">
        <f>IF('Data Source'!B782="","",'Data Source'!S782)</f>
        <v/>
      </c>
    </row>
    <row r="783">
      <c r="A783" s="3">
        <f>IF('Data Source'!B783="","",'Data Source'!A783)</f>
        <v/>
      </c>
      <c r="B783">
        <f>IF('Data Source'!B783="","",'Data Source'!B783)</f>
        <v/>
      </c>
      <c r="C783" s="9">
        <f>IF('Data Source'!B783="","",'Data Source'!U783)</f>
        <v/>
      </c>
      <c r="D783" s="9">
        <f>IF('Data Source'!B783="","",'Data Source'!V783)</f>
        <v/>
      </c>
      <c r="E783" s="9">
        <f>IF('Data Source'!B783="","",'Data Source'!W783)</f>
        <v/>
      </c>
      <c r="F783" s="9">
        <f>IF('Data Source'!B783="","",'Data Source'!X783)</f>
        <v/>
      </c>
      <c r="G783" s="9">
        <f>IF('Data Source'!B783="","",'Data Source'!Y783)</f>
        <v/>
      </c>
      <c r="H783" s="9">
        <f>IF('Data Source'!B783="","",'Data Source'!Z783)</f>
        <v/>
      </c>
      <c r="I783" s="9">
        <f>IF('Data Source'!B783="","",'Data Source'!AA783)</f>
        <v/>
      </c>
      <c r="J783" s="9">
        <f>IF('Data Source'!B783="","",'Data Source'!AB783)</f>
        <v/>
      </c>
      <c r="K783" s="9">
        <f>IF('Data Source'!B783="","",'Data Source'!AC783)</f>
        <v/>
      </c>
      <c r="L783" s="9">
        <f>IF('Data Source'!B783="","",'Data Source'!AD783)</f>
        <v/>
      </c>
      <c r="M783" s="9">
        <f>IF('Data Source'!B783="","",'Data Source'!AE783)</f>
        <v/>
      </c>
      <c r="N783" s="9">
        <f>IF('Data Source'!B783="","",'Data Source'!AF783)</f>
        <v/>
      </c>
      <c r="O783" s="9">
        <f>IF('Data Source'!B783="","",'Data Source'!AG783)</f>
        <v/>
      </c>
      <c r="P783" s="5">
        <f>IF('Data Source'!B783="","",'Data Source'!R783)</f>
        <v/>
      </c>
      <c r="Q783" s="3">
        <f>IF('Data Source'!B783="","",'Data Source'!S783)</f>
        <v/>
      </c>
    </row>
    <row r="784">
      <c r="A784" s="3">
        <f>IF('Data Source'!B784="","",'Data Source'!A784)</f>
        <v/>
      </c>
      <c r="B784">
        <f>IF('Data Source'!B784="","",'Data Source'!B784)</f>
        <v/>
      </c>
      <c r="C784" s="9">
        <f>IF('Data Source'!B784="","",'Data Source'!U784)</f>
        <v/>
      </c>
      <c r="D784" s="9">
        <f>IF('Data Source'!B784="","",'Data Source'!V784)</f>
        <v/>
      </c>
      <c r="E784" s="9">
        <f>IF('Data Source'!B784="","",'Data Source'!W784)</f>
        <v/>
      </c>
      <c r="F784" s="9">
        <f>IF('Data Source'!B784="","",'Data Source'!X784)</f>
        <v/>
      </c>
      <c r="G784" s="9">
        <f>IF('Data Source'!B784="","",'Data Source'!Y784)</f>
        <v/>
      </c>
      <c r="H784" s="9">
        <f>IF('Data Source'!B784="","",'Data Source'!Z784)</f>
        <v/>
      </c>
      <c r="I784" s="9">
        <f>IF('Data Source'!B784="","",'Data Source'!AA784)</f>
        <v/>
      </c>
      <c r="J784" s="9">
        <f>IF('Data Source'!B784="","",'Data Source'!AB784)</f>
        <v/>
      </c>
      <c r="K784" s="9">
        <f>IF('Data Source'!B784="","",'Data Source'!AC784)</f>
        <v/>
      </c>
      <c r="L784" s="9">
        <f>IF('Data Source'!B784="","",'Data Source'!AD784)</f>
        <v/>
      </c>
      <c r="M784" s="9">
        <f>IF('Data Source'!B784="","",'Data Source'!AE784)</f>
        <v/>
      </c>
      <c r="N784" s="9">
        <f>IF('Data Source'!B784="","",'Data Source'!AF784)</f>
        <v/>
      </c>
      <c r="O784" s="9">
        <f>IF('Data Source'!B784="","",'Data Source'!AG784)</f>
        <v/>
      </c>
      <c r="P784" s="5">
        <f>IF('Data Source'!B784="","",'Data Source'!R784)</f>
        <v/>
      </c>
      <c r="Q784" s="3">
        <f>IF('Data Source'!B784="","",'Data Source'!S784)</f>
        <v/>
      </c>
    </row>
    <row r="785">
      <c r="A785" s="3">
        <f>IF('Data Source'!B785="","",'Data Source'!A785)</f>
        <v/>
      </c>
      <c r="B785">
        <f>IF('Data Source'!B785="","",'Data Source'!B785)</f>
        <v/>
      </c>
      <c r="C785" s="9">
        <f>IF('Data Source'!B785="","",'Data Source'!U785)</f>
        <v/>
      </c>
      <c r="D785" s="9">
        <f>IF('Data Source'!B785="","",'Data Source'!V785)</f>
        <v/>
      </c>
      <c r="E785" s="9">
        <f>IF('Data Source'!B785="","",'Data Source'!W785)</f>
        <v/>
      </c>
      <c r="F785" s="9">
        <f>IF('Data Source'!B785="","",'Data Source'!X785)</f>
        <v/>
      </c>
      <c r="G785" s="9">
        <f>IF('Data Source'!B785="","",'Data Source'!Y785)</f>
        <v/>
      </c>
      <c r="H785" s="9">
        <f>IF('Data Source'!B785="","",'Data Source'!Z785)</f>
        <v/>
      </c>
      <c r="I785" s="9">
        <f>IF('Data Source'!B785="","",'Data Source'!AA785)</f>
        <v/>
      </c>
      <c r="J785" s="9">
        <f>IF('Data Source'!B785="","",'Data Source'!AB785)</f>
        <v/>
      </c>
      <c r="K785" s="9">
        <f>IF('Data Source'!B785="","",'Data Source'!AC785)</f>
        <v/>
      </c>
      <c r="L785" s="9">
        <f>IF('Data Source'!B785="","",'Data Source'!AD785)</f>
        <v/>
      </c>
      <c r="M785" s="9">
        <f>IF('Data Source'!B785="","",'Data Source'!AE785)</f>
        <v/>
      </c>
      <c r="N785" s="9">
        <f>IF('Data Source'!B785="","",'Data Source'!AF785)</f>
        <v/>
      </c>
      <c r="O785" s="9">
        <f>IF('Data Source'!B785="","",'Data Source'!AG785)</f>
        <v/>
      </c>
      <c r="P785" s="5">
        <f>IF('Data Source'!B785="","",'Data Source'!R785)</f>
        <v/>
      </c>
      <c r="Q785" s="3">
        <f>IF('Data Source'!B785="","",'Data Source'!S785)</f>
        <v/>
      </c>
    </row>
    <row r="786">
      <c r="A786" s="3">
        <f>IF('Data Source'!B786="","",'Data Source'!A786)</f>
        <v/>
      </c>
      <c r="B786">
        <f>IF('Data Source'!B786="","",'Data Source'!B786)</f>
        <v/>
      </c>
      <c r="C786" s="9">
        <f>IF('Data Source'!B786="","",'Data Source'!U786)</f>
        <v/>
      </c>
      <c r="D786" s="9">
        <f>IF('Data Source'!B786="","",'Data Source'!V786)</f>
        <v/>
      </c>
      <c r="E786" s="9">
        <f>IF('Data Source'!B786="","",'Data Source'!W786)</f>
        <v/>
      </c>
      <c r="F786" s="9">
        <f>IF('Data Source'!B786="","",'Data Source'!X786)</f>
        <v/>
      </c>
      <c r="G786" s="9">
        <f>IF('Data Source'!B786="","",'Data Source'!Y786)</f>
        <v/>
      </c>
      <c r="H786" s="9">
        <f>IF('Data Source'!B786="","",'Data Source'!Z786)</f>
        <v/>
      </c>
      <c r="I786" s="9">
        <f>IF('Data Source'!B786="","",'Data Source'!AA786)</f>
        <v/>
      </c>
      <c r="J786" s="9">
        <f>IF('Data Source'!B786="","",'Data Source'!AB786)</f>
        <v/>
      </c>
      <c r="K786" s="9">
        <f>IF('Data Source'!B786="","",'Data Source'!AC786)</f>
        <v/>
      </c>
      <c r="L786" s="9">
        <f>IF('Data Source'!B786="","",'Data Source'!AD786)</f>
        <v/>
      </c>
      <c r="M786" s="9">
        <f>IF('Data Source'!B786="","",'Data Source'!AE786)</f>
        <v/>
      </c>
      <c r="N786" s="9">
        <f>IF('Data Source'!B786="","",'Data Source'!AF786)</f>
        <v/>
      </c>
      <c r="O786" s="9">
        <f>IF('Data Source'!B786="","",'Data Source'!AG786)</f>
        <v/>
      </c>
      <c r="P786" s="5">
        <f>IF('Data Source'!B786="","",'Data Source'!R786)</f>
        <v/>
      </c>
      <c r="Q786" s="3">
        <f>IF('Data Source'!B786="","",'Data Source'!S786)</f>
        <v/>
      </c>
    </row>
    <row r="787">
      <c r="A787" s="3">
        <f>IF('Data Source'!B787="","",'Data Source'!A787)</f>
        <v/>
      </c>
      <c r="B787">
        <f>IF('Data Source'!B787="","",'Data Source'!B787)</f>
        <v/>
      </c>
      <c r="C787" s="9">
        <f>IF('Data Source'!B787="","",'Data Source'!U787)</f>
        <v/>
      </c>
      <c r="D787" s="9">
        <f>IF('Data Source'!B787="","",'Data Source'!V787)</f>
        <v/>
      </c>
      <c r="E787" s="9">
        <f>IF('Data Source'!B787="","",'Data Source'!W787)</f>
        <v/>
      </c>
      <c r="F787" s="9">
        <f>IF('Data Source'!B787="","",'Data Source'!X787)</f>
        <v/>
      </c>
      <c r="G787" s="9">
        <f>IF('Data Source'!B787="","",'Data Source'!Y787)</f>
        <v/>
      </c>
      <c r="H787" s="9">
        <f>IF('Data Source'!B787="","",'Data Source'!Z787)</f>
        <v/>
      </c>
      <c r="I787" s="9">
        <f>IF('Data Source'!B787="","",'Data Source'!AA787)</f>
        <v/>
      </c>
      <c r="J787" s="9">
        <f>IF('Data Source'!B787="","",'Data Source'!AB787)</f>
        <v/>
      </c>
      <c r="K787" s="9">
        <f>IF('Data Source'!B787="","",'Data Source'!AC787)</f>
        <v/>
      </c>
      <c r="L787" s="9">
        <f>IF('Data Source'!B787="","",'Data Source'!AD787)</f>
        <v/>
      </c>
      <c r="M787" s="9">
        <f>IF('Data Source'!B787="","",'Data Source'!AE787)</f>
        <v/>
      </c>
      <c r="N787" s="9">
        <f>IF('Data Source'!B787="","",'Data Source'!AF787)</f>
        <v/>
      </c>
      <c r="O787" s="9">
        <f>IF('Data Source'!B787="","",'Data Source'!AG787)</f>
        <v/>
      </c>
      <c r="P787" s="5">
        <f>IF('Data Source'!B787="","",'Data Source'!R787)</f>
        <v/>
      </c>
      <c r="Q787" s="3">
        <f>IF('Data Source'!B787="","",'Data Source'!S787)</f>
        <v/>
      </c>
    </row>
    <row r="788">
      <c r="A788" s="3">
        <f>IF('Data Source'!B788="","",'Data Source'!A788)</f>
        <v/>
      </c>
      <c r="B788">
        <f>IF('Data Source'!B788="","",'Data Source'!B788)</f>
        <v/>
      </c>
      <c r="C788" s="9">
        <f>IF('Data Source'!B788="","",'Data Source'!U788)</f>
        <v/>
      </c>
      <c r="D788" s="9">
        <f>IF('Data Source'!B788="","",'Data Source'!V788)</f>
        <v/>
      </c>
      <c r="E788" s="9">
        <f>IF('Data Source'!B788="","",'Data Source'!W788)</f>
        <v/>
      </c>
      <c r="F788" s="9">
        <f>IF('Data Source'!B788="","",'Data Source'!X788)</f>
        <v/>
      </c>
      <c r="G788" s="9">
        <f>IF('Data Source'!B788="","",'Data Source'!Y788)</f>
        <v/>
      </c>
      <c r="H788" s="9">
        <f>IF('Data Source'!B788="","",'Data Source'!Z788)</f>
        <v/>
      </c>
      <c r="I788" s="9">
        <f>IF('Data Source'!B788="","",'Data Source'!AA788)</f>
        <v/>
      </c>
      <c r="J788" s="9">
        <f>IF('Data Source'!B788="","",'Data Source'!AB788)</f>
        <v/>
      </c>
      <c r="K788" s="9">
        <f>IF('Data Source'!B788="","",'Data Source'!AC788)</f>
        <v/>
      </c>
      <c r="L788" s="9">
        <f>IF('Data Source'!B788="","",'Data Source'!AD788)</f>
        <v/>
      </c>
      <c r="M788" s="9">
        <f>IF('Data Source'!B788="","",'Data Source'!AE788)</f>
        <v/>
      </c>
      <c r="N788" s="9">
        <f>IF('Data Source'!B788="","",'Data Source'!AF788)</f>
        <v/>
      </c>
      <c r="O788" s="9">
        <f>IF('Data Source'!B788="","",'Data Source'!AG788)</f>
        <v/>
      </c>
      <c r="P788" s="5">
        <f>IF('Data Source'!B788="","",'Data Source'!R788)</f>
        <v/>
      </c>
      <c r="Q788" s="3">
        <f>IF('Data Source'!B788="","",'Data Source'!S788)</f>
        <v/>
      </c>
    </row>
    <row r="789">
      <c r="A789" s="3">
        <f>IF('Data Source'!B789="","",'Data Source'!A789)</f>
        <v/>
      </c>
      <c r="B789">
        <f>IF('Data Source'!B789="","",'Data Source'!B789)</f>
        <v/>
      </c>
      <c r="C789" s="9">
        <f>IF('Data Source'!B789="","",'Data Source'!U789)</f>
        <v/>
      </c>
      <c r="D789" s="9">
        <f>IF('Data Source'!B789="","",'Data Source'!V789)</f>
        <v/>
      </c>
      <c r="E789" s="9">
        <f>IF('Data Source'!B789="","",'Data Source'!W789)</f>
        <v/>
      </c>
      <c r="F789" s="9">
        <f>IF('Data Source'!B789="","",'Data Source'!X789)</f>
        <v/>
      </c>
      <c r="G789" s="9">
        <f>IF('Data Source'!B789="","",'Data Source'!Y789)</f>
        <v/>
      </c>
      <c r="H789" s="9">
        <f>IF('Data Source'!B789="","",'Data Source'!Z789)</f>
        <v/>
      </c>
      <c r="I789" s="9">
        <f>IF('Data Source'!B789="","",'Data Source'!AA789)</f>
        <v/>
      </c>
      <c r="J789" s="9">
        <f>IF('Data Source'!B789="","",'Data Source'!AB789)</f>
        <v/>
      </c>
      <c r="K789" s="9">
        <f>IF('Data Source'!B789="","",'Data Source'!AC789)</f>
        <v/>
      </c>
      <c r="L789" s="9">
        <f>IF('Data Source'!B789="","",'Data Source'!AD789)</f>
        <v/>
      </c>
      <c r="M789" s="9">
        <f>IF('Data Source'!B789="","",'Data Source'!AE789)</f>
        <v/>
      </c>
      <c r="N789" s="9">
        <f>IF('Data Source'!B789="","",'Data Source'!AF789)</f>
        <v/>
      </c>
      <c r="O789" s="9">
        <f>IF('Data Source'!B789="","",'Data Source'!AG789)</f>
        <v/>
      </c>
      <c r="P789" s="5">
        <f>IF('Data Source'!B789="","",'Data Source'!R789)</f>
        <v/>
      </c>
      <c r="Q789" s="3">
        <f>IF('Data Source'!B789="","",'Data Source'!S789)</f>
        <v/>
      </c>
    </row>
    <row r="790">
      <c r="A790" s="3">
        <f>IF('Data Source'!B790="","",'Data Source'!A790)</f>
        <v/>
      </c>
      <c r="B790">
        <f>IF('Data Source'!B790="","",'Data Source'!B790)</f>
        <v/>
      </c>
      <c r="C790" s="9">
        <f>IF('Data Source'!B790="","",'Data Source'!U790)</f>
        <v/>
      </c>
      <c r="D790" s="9">
        <f>IF('Data Source'!B790="","",'Data Source'!V790)</f>
        <v/>
      </c>
      <c r="E790" s="9">
        <f>IF('Data Source'!B790="","",'Data Source'!W790)</f>
        <v/>
      </c>
      <c r="F790" s="9">
        <f>IF('Data Source'!B790="","",'Data Source'!X790)</f>
        <v/>
      </c>
      <c r="G790" s="9">
        <f>IF('Data Source'!B790="","",'Data Source'!Y790)</f>
        <v/>
      </c>
      <c r="H790" s="9">
        <f>IF('Data Source'!B790="","",'Data Source'!Z790)</f>
        <v/>
      </c>
      <c r="I790" s="9">
        <f>IF('Data Source'!B790="","",'Data Source'!AA790)</f>
        <v/>
      </c>
      <c r="J790" s="9">
        <f>IF('Data Source'!B790="","",'Data Source'!AB790)</f>
        <v/>
      </c>
      <c r="K790" s="9">
        <f>IF('Data Source'!B790="","",'Data Source'!AC790)</f>
        <v/>
      </c>
      <c r="L790" s="9">
        <f>IF('Data Source'!B790="","",'Data Source'!AD790)</f>
        <v/>
      </c>
      <c r="M790" s="9">
        <f>IF('Data Source'!B790="","",'Data Source'!AE790)</f>
        <v/>
      </c>
      <c r="N790" s="9">
        <f>IF('Data Source'!B790="","",'Data Source'!AF790)</f>
        <v/>
      </c>
      <c r="O790" s="9">
        <f>IF('Data Source'!B790="","",'Data Source'!AG790)</f>
        <v/>
      </c>
      <c r="P790" s="5">
        <f>IF('Data Source'!B790="","",'Data Source'!R790)</f>
        <v/>
      </c>
      <c r="Q790" s="3">
        <f>IF('Data Source'!B790="","",'Data Source'!S790)</f>
        <v/>
      </c>
    </row>
    <row r="791">
      <c r="A791" s="3">
        <f>IF('Data Source'!B791="","",'Data Source'!A791)</f>
        <v/>
      </c>
      <c r="B791">
        <f>IF('Data Source'!B791="","",'Data Source'!B791)</f>
        <v/>
      </c>
      <c r="C791" s="9">
        <f>IF('Data Source'!B791="","",'Data Source'!U791)</f>
        <v/>
      </c>
      <c r="D791" s="9">
        <f>IF('Data Source'!B791="","",'Data Source'!V791)</f>
        <v/>
      </c>
      <c r="E791" s="9">
        <f>IF('Data Source'!B791="","",'Data Source'!W791)</f>
        <v/>
      </c>
      <c r="F791" s="9">
        <f>IF('Data Source'!B791="","",'Data Source'!X791)</f>
        <v/>
      </c>
      <c r="G791" s="9">
        <f>IF('Data Source'!B791="","",'Data Source'!Y791)</f>
        <v/>
      </c>
      <c r="H791" s="9">
        <f>IF('Data Source'!B791="","",'Data Source'!Z791)</f>
        <v/>
      </c>
      <c r="I791" s="9">
        <f>IF('Data Source'!B791="","",'Data Source'!AA791)</f>
        <v/>
      </c>
      <c r="J791" s="9">
        <f>IF('Data Source'!B791="","",'Data Source'!AB791)</f>
        <v/>
      </c>
      <c r="K791" s="9">
        <f>IF('Data Source'!B791="","",'Data Source'!AC791)</f>
        <v/>
      </c>
      <c r="L791" s="9">
        <f>IF('Data Source'!B791="","",'Data Source'!AD791)</f>
        <v/>
      </c>
      <c r="M791" s="9">
        <f>IF('Data Source'!B791="","",'Data Source'!AE791)</f>
        <v/>
      </c>
      <c r="N791" s="9">
        <f>IF('Data Source'!B791="","",'Data Source'!AF791)</f>
        <v/>
      </c>
      <c r="O791" s="9">
        <f>IF('Data Source'!B791="","",'Data Source'!AG791)</f>
        <v/>
      </c>
      <c r="P791" s="5">
        <f>IF('Data Source'!B791="","",'Data Source'!R791)</f>
        <v/>
      </c>
      <c r="Q791" s="3">
        <f>IF('Data Source'!B791="","",'Data Source'!S791)</f>
        <v/>
      </c>
    </row>
    <row r="792">
      <c r="A792" s="3">
        <f>IF('Data Source'!B792="","",'Data Source'!A792)</f>
        <v/>
      </c>
      <c r="B792">
        <f>IF('Data Source'!B792="","",'Data Source'!B792)</f>
        <v/>
      </c>
      <c r="C792" s="9">
        <f>IF('Data Source'!B792="","",'Data Source'!U792)</f>
        <v/>
      </c>
      <c r="D792" s="9">
        <f>IF('Data Source'!B792="","",'Data Source'!V792)</f>
        <v/>
      </c>
      <c r="E792" s="9">
        <f>IF('Data Source'!B792="","",'Data Source'!W792)</f>
        <v/>
      </c>
      <c r="F792" s="9">
        <f>IF('Data Source'!B792="","",'Data Source'!X792)</f>
        <v/>
      </c>
      <c r="G792" s="9">
        <f>IF('Data Source'!B792="","",'Data Source'!Y792)</f>
        <v/>
      </c>
      <c r="H792" s="9">
        <f>IF('Data Source'!B792="","",'Data Source'!Z792)</f>
        <v/>
      </c>
      <c r="I792" s="9">
        <f>IF('Data Source'!B792="","",'Data Source'!AA792)</f>
        <v/>
      </c>
      <c r="J792" s="9">
        <f>IF('Data Source'!B792="","",'Data Source'!AB792)</f>
        <v/>
      </c>
      <c r="K792" s="9">
        <f>IF('Data Source'!B792="","",'Data Source'!AC792)</f>
        <v/>
      </c>
      <c r="L792" s="9">
        <f>IF('Data Source'!B792="","",'Data Source'!AD792)</f>
        <v/>
      </c>
      <c r="M792" s="9">
        <f>IF('Data Source'!B792="","",'Data Source'!AE792)</f>
        <v/>
      </c>
      <c r="N792" s="9">
        <f>IF('Data Source'!B792="","",'Data Source'!AF792)</f>
        <v/>
      </c>
      <c r="O792" s="9">
        <f>IF('Data Source'!B792="","",'Data Source'!AG792)</f>
        <v/>
      </c>
      <c r="P792" s="5">
        <f>IF('Data Source'!B792="","",'Data Source'!R792)</f>
        <v/>
      </c>
      <c r="Q792" s="3">
        <f>IF('Data Source'!B792="","",'Data Source'!S792)</f>
        <v/>
      </c>
    </row>
    <row r="793">
      <c r="A793" s="3">
        <f>IF('Data Source'!B793="","",'Data Source'!A793)</f>
        <v/>
      </c>
      <c r="B793">
        <f>IF('Data Source'!B793="","",'Data Source'!B793)</f>
        <v/>
      </c>
      <c r="C793" s="9">
        <f>IF('Data Source'!B793="","",'Data Source'!U793)</f>
        <v/>
      </c>
      <c r="D793" s="9">
        <f>IF('Data Source'!B793="","",'Data Source'!V793)</f>
        <v/>
      </c>
      <c r="E793" s="9">
        <f>IF('Data Source'!B793="","",'Data Source'!W793)</f>
        <v/>
      </c>
      <c r="F793" s="9">
        <f>IF('Data Source'!B793="","",'Data Source'!X793)</f>
        <v/>
      </c>
      <c r="G793" s="9">
        <f>IF('Data Source'!B793="","",'Data Source'!Y793)</f>
        <v/>
      </c>
      <c r="H793" s="9">
        <f>IF('Data Source'!B793="","",'Data Source'!Z793)</f>
        <v/>
      </c>
      <c r="I793" s="9">
        <f>IF('Data Source'!B793="","",'Data Source'!AA793)</f>
        <v/>
      </c>
      <c r="J793" s="9">
        <f>IF('Data Source'!B793="","",'Data Source'!AB793)</f>
        <v/>
      </c>
      <c r="K793" s="9">
        <f>IF('Data Source'!B793="","",'Data Source'!AC793)</f>
        <v/>
      </c>
      <c r="L793" s="9">
        <f>IF('Data Source'!B793="","",'Data Source'!AD793)</f>
        <v/>
      </c>
      <c r="M793" s="9">
        <f>IF('Data Source'!B793="","",'Data Source'!AE793)</f>
        <v/>
      </c>
      <c r="N793" s="9">
        <f>IF('Data Source'!B793="","",'Data Source'!AF793)</f>
        <v/>
      </c>
      <c r="O793" s="9">
        <f>IF('Data Source'!B793="","",'Data Source'!AG793)</f>
        <v/>
      </c>
      <c r="P793" s="5">
        <f>IF('Data Source'!B793="","",'Data Source'!R793)</f>
        <v/>
      </c>
      <c r="Q793" s="3">
        <f>IF('Data Source'!B793="","",'Data Source'!S793)</f>
        <v/>
      </c>
    </row>
    <row r="794">
      <c r="A794" s="3">
        <f>IF('Data Source'!B794="","",'Data Source'!A794)</f>
        <v/>
      </c>
      <c r="B794">
        <f>IF('Data Source'!B794="","",'Data Source'!B794)</f>
        <v/>
      </c>
      <c r="C794" s="9">
        <f>IF('Data Source'!B794="","",'Data Source'!U794)</f>
        <v/>
      </c>
      <c r="D794" s="9">
        <f>IF('Data Source'!B794="","",'Data Source'!V794)</f>
        <v/>
      </c>
      <c r="E794" s="9">
        <f>IF('Data Source'!B794="","",'Data Source'!W794)</f>
        <v/>
      </c>
      <c r="F794" s="9">
        <f>IF('Data Source'!B794="","",'Data Source'!X794)</f>
        <v/>
      </c>
      <c r="G794" s="9">
        <f>IF('Data Source'!B794="","",'Data Source'!Y794)</f>
        <v/>
      </c>
      <c r="H794" s="9">
        <f>IF('Data Source'!B794="","",'Data Source'!Z794)</f>
        <v/>
      </c>
      <c r="I794" s="9">
        <f>IF('Data Source'!B794="","",'Data Source'!AA794)</f>
        <v/>
      </c>
      <c r="J794" s="9">
        <f>IF('Data Source'!B794="","",'Data Source'!AB794)</f>
        <v/>
      </c>
      <c r="K794" s="9">
        <f>IF('Data Source'!B794="","",'Data Source'!AC794)</f>
        <v/>
      </c>
      <c r="L794" s="9">
        <f>IF('Data Source'!B794="","",'Data Source'!AD794)</f>
        <v/>
      </c>
      <c r="M794" s="9">
        <f>IF('Data Source'!B794="","",'Data Source'!AE794)</f>
        <v/>
      </c>
      <c r="N794" s="9">
        <f>IF('Data Source'!B794="","",'Data Source'!AF794)</f>
        <v/>
      </c>
      <c r="O794" s="9">
        <f>IF('Data Source'!B794="","",'Data Source'!AG794)</f>
        <v/>
      </c>
      <c r="P794" s="5">
        <f>IF('Data Source'!B794="","",'Data Source'!R794)</f>
        <v/>
      </c>
      <c r="Q794" s="3">
        <f>IF('Data Source'!B794="","",'Data Source'!S794)</f>
        <v/>
      </c>
    </row>
    <row r="795">
      <c r="A795" s="3">
        <f>IF('Data Source'!B795="","",'Data Source'!A795)</f>
        <v/>
      </c>
      <c r="B795">
        <f>IF('Data Source'!B795="","",'Data Source'!B795)</f>
        <v/>
      </c>
      <c r="C795" s="9">
        <f>IF('Data Source'!B795="","",'Data Source'!U795)</f>
        <v/>
      </c>
      <c r="D795" s="9">
        <f>IF('Data Source'!B795="","",'Data Source'!V795)</f>
        <v/>
      </c>
      <c r="E795" s="9">
        <f>IF('Data Source'!B795="","",'Data Source'!W795)</f>
        <v/>
      </c>
      <c r="F795" s="9">
        <f>IF('Data Source'!B795="","",'Data Source'!X795)</f>
        <v/>
      </c>
      <c r="G795" s="9">
        <f>IF('Data Source'!B795="","",'Data Source'!Y795)</f>
        <v/>
      </c>
      <c r="H795" s="9">
        <f>IF('Data Source'!B795="","",'Data Source'!Z795)</f>
        <v/>
      </c>
      <c r="I795" s="9">
        <f>IF('Data Source'!B795="","",'Data Source'!AA795)</f>
        <v/>
      </c>
      <c r="J795" s="9">
        <f>IF('Data Source'!B795="","",'Data Source'!AB795)</f>
        <v/>
      </c>
      <c r="K795" s="9">
        <f>IF('Data Source'!B795="","",'Data Source'!AC795)</f>
        <v/>
      </c>
      <c r="L795" s="9">
        <f>IF('Data Source'!B795="","",'Data Source'!AD795)</f>
        <v/>
      </c>
      <c r="M795" s="9">
        <f>IF('Data Source'!B795="","",'Data Source'!AE795)</f>
        <v/>
      </c>
      <c r="N795" s="9">
        <f>IF('Data Source'!B795="","",'Data Source'!AF795)</f>
        <v/>
      </c>
      <c r="O795" s="9">
        <f>IF('Data Source'!B795="","",'Data Source'!AG795)</f>
        <v/>
      </c>
      <c r="P795" s="5">
        <f>IF('Data Source'!B795="","",'Data Source'!R795)</f>
        <v/>
      </c>
      <c r="Q795" s="3">
        <f>IF('Data Source'!B795="","",'Data Source'!S795)</f>
        <v/>
      </c>
    </row>
    <row r="796">
      <c r="A796" s="3">
        <f>IF('Data Source'!B796="","",'Data Source'!A796)</f>
        <v/>
      </c>
      <c r="B796">
        <f>IF('Data Source'!B796="","",'Data Source'!B796)</f>
        <v/>
      </c>
      <c r="C796" s="9">
        <f>IF('Data Source'!B796="","",'Data Source'!U796)</f>
        <v/>
      </c>
      <c r="D796" s="9">
        <f>IF('Data Source'!B796="","",'Data Source'!V796)</f>
        <v/>
      </c>
      <c r="E796" s="9">
        <f>IF('Data Source'!B796="","",'Data Source'!W796)</f>
        <v/>
      </c>
      <c r="F796" s="9">
        <f>IF('Data Source'!B796="","",'Data Source'!X796)</f>
        <v/>
      </c>
      <c r="G796" s="9">
        <f>IF('Data Source'!B796="","",'Data Source'!Y796)</f>
        <v/>
      </c>
      <c r="H796" s="9">
        <f>IF('Data Source'!B796="","",'Data Source'!Z796)</f>
        <v/>
      </c>
      <c r="I796" s="9">
        <f>IF('Data Source'!B796="","",'Data Source'!AA796)</f>
        <v/>
      </c>
      <c r="J796" s="9">
        <f>IF('Data Source'!B796="","",'Data Source'!AB796)</f>
        <v/>
      </c>
      <c r="K796" s="9">
        <f>IF('Data Source'!B796="","",'Data Source'!AC796)</f>
        <v/>
      </c>
      <c r="L796" s="9">
        <f>IF('Data Source'!B796="","",'Data Source'!AD796)</f>
        <v/>
      </c>
      <c r="M796" s="9">
        <f>IF('Data Source'!B796="","",'Data Source'!AE796)</f>
        <v/>
      </c>
      <c r="N796" s="9">
        <f>IF('Data Source'!B796="","",'Data Source'!AF796)</f>
        <v/>
      </c>
      <c r="O796" s="9">
        <f>IF('Data Source'!B796="","",'Data Source'!AG796)</f>
        <v/>
      </c>
      <c r="P796" s="5">
        <f>IF('Data Source'!B796="","",'Data Source'!R796)</f>
        <v/>
      </c>
      <c r="Q796" s="3">
        <f>IF('Data Source'!B796="","",'Data Source'!S796)</f>
        <v/>
      </c>
    </row>
    <row r="797">
      <c r="A797" s="3">
        <f>IF('Data Source'!B797="","",'Data Source'!A797)</f>
        <v/>
      </c>
      <c r="B797">
        <f>IF('Data Source'!B797="","",'Data Source'!B797)</f>
        <v/>
      </c>
      <c r="C797" s="9">
        <f>IF('Data Source'!B797="","",'Data Source'!U797)</f>
        <v/>
      </c>
      <c r="D797" s="9">
        <f>IF('Data Source'!B797="","",'Data Source'!V797)</f>
        <v/>
      </c>
      <c r="E797" s="9">
        <f>IF('Data Source'!B797="","",'Data Source'!W797)</f>
        <v/>
      </c>
      <c r="F797" s="9">
        <f>IF('Data Source'!B797="","",'Data Source'!X797)</f>
        <v/>
      </c>
      <c r="G797" s="9">
        <f>IF('Data Source'!B797="","",'Data Source'!Y797)</f>
        <v/>
      </c>
      <c r="H797" s="9">
        <f>IF('Data Source'!B797="","",'Data Source'!Z797)</f>
        <v/>
      </c>
      <c r="I797" s="9">
        <f>IF('Data Source'!B797="","",'Data Source'!AA797)</f>
        <v/>
      </c>
      <c r="J797" s="9">
        <f>IF('Data Source'!B797="","",'Data Source'!AB797)</f>
        <v/>
      </c>
      <c r="K797" s="9">
        <f>IF('Data Source'!B797="","",'Data Source'!AC797)</f>
        <v/>
      </c>
      <c r="L797" s="9">
        <f>IF('Data Source'!B797="","",'Data Source'!AD797)</f>
        <v/>
      </c>
      <c r="M797" s="9">
        <f>IF('Data Source'!B797="","",'Data Source'!AE797)</f>
        <v/>
      </c>
      <c r="N797" s="9">
        <f>IF('Data Source'!B797="","",'Data Source'!AF797)</f>
        <v/>
      </c>
      <c r="O797" s="9">
        <f>IF('Data Source'!B797="","",'Data Source'!AG797)</f>
        <v/>
      </c>
      <c r="P797" s="5">
        <f>IF('Data Source'!B797="","",'Data Source'!R797)</f>
        <v/>
      </c>
      <c r="Q797" s="3">
        <f>IF('Data Source'!B797="","",'Data Source'!S797)</f>
        <v/>
      </c>
    </row>
    <row r="798">
      <c r="A798" s="3">
        <f>IF('Data Source'!B798="","",'Data Source'!A798)</f>
        <v/>
      </c>
      <c r="B798">
        <f>IF('Data Source'!B798="","",'Data Source'!B798)</f>
        <v/>
      </c>
      <c r="C798" s="9">
        <f>IF('Data Source'!B798="","",'Data Source'!U798)</f>
        <v/>
      </c>
      <c r="D798" s="9">
        <f>IF('Data Source'!B798="","",'Data Source'!V798)</f>
        <v/>
      </c>
      <c r="E798" s="9">
        <f>IF('Data Source'!B798="","",'Data Source'!W798)</f>
        <v/>
      </c>
      <c r="F798" s="9">
        <f>IF('Data Source'!B798="","",'Data Source'!X798)</f>
        <v/>
      </c>
      <c r="G798" s="9">
        <f>IF('Data Source'!B798="","",'Data Source'!Y798)</f>
        <v/>
      </c>
      <c r="H798" s="9">
        <f>IF('Data Source'!B798="","",'Data Source'!Z798)</f>
        <v/>
      </c>
      <c r="I798" s="9">
        <f>IF('Data Source'!B798="","",'Data Source'!AA798)</f>
        <v/>
      </c>
      <c r="J798" s="9">
        <f>IF('Data Source'!B798="","",'Data Source'!AB798)</f>
        <v/>
      </c>
      <c r="K798" s="9">
        <f>IF('Data Source'!B798="","",'Data Source'!AC798)</f>
        <v/>
      </c>
      <c r="L798" s="9">
        <f>IF('Data Source'!B798="","",'Data Source'!AD798)</f>
        <v/>
      </c>
      <c r="M798" s="9">
        <f>IF('Data Source'!B798="","",'Data Source'!AE798)</f>
        <v/>
      </c>
      <c r="N798" s="9">
        <f>IF('Data Source'!B798="","",'Data Source'!AF798)</f>
        <v/>
      </c>
      <c r="O798" s="9">
        <f>IF('Data Source'!B798="","",'Data Source'!AG798)</f>
        <v/>
      </c>
      <c r="P798" s="5">
        <f>IF('Data Source'!B798="","",'Data Source'!R798)</f>
        <v/>
      </c>
      <c r="Q798" s="3">
        <f>IF('Data Source'!B798="","",'Data Source'!S798)</f>
        <v/>
      </c>
    </row>
    <row r="799">
      <c r="A799" s="3">
        <f>IF('Data Source'!B799="","",'Data Source'!A799)</f>
        <v/>
      </c>
      <c r="B799">
        <f>IF('Data Source'!B799="","",'Data Source'!B799)</f>
        <v/>
      </c>
      <c r="C799" s="9">
        <f>IF('Data Source'!B799="","",'Data Source'!U799)</f>
        <v/>
      </c>
      <c r="D799" s="9">
        <f>IF('Data Source'!B799="","",'Data Source'!V799)</f>
        <v/>
      </c>
      <c r="E799" s="9">
        <f>IF('Data Source'!B799="","",'Data Source'!W799)</f>
        <v/>
      </c>
      <c r="F799" s="9">
        <f>IF('Data Source'!B799="","",'Data Source'!X799)</f>
        <v/>
      </c>
      <c r="G799" s="9">
        <f>IF('Data Source'!B799="","",'Data Source'!Y799)</f>
        <v/>
      </c>
      <c r="H799" s="9">
        <f>IF('Data Source'!B799="","",'Data Source'!Z799)</f>
        <v/>
      </c>
      <c r="I799" s="9">
        <f>IF('Data Source'!B799="","",'Data Source'!AA799)</f>
        <v/>
      </c>
      <c r="J799" s="9">
        <f>IF('Data Source'!B799="","",'Data Source'!AB799)</f>
        <v/>
      </c>
      <c r="K799" s="9">
        <f>IF('Data Source'!B799="","",'Data Source'!AC799)</f>
        <v/>
      </c>
      <c r="L799" s="9">
        <f>IF('Data Source'!B799="","",'Data Source'!AD799)</f>
        <v/>
      </c>
      <c r="M799" s="9">
        <f>IF('Data Source'!B799="","",'Data Source'!AE799)</f>
        <v/>
      </c>
      <c r="N799" s="9">
        <f>IF('Data Source'!B799="","",'Data Source'!AF799)</f>
        <v/>
      </c>
      <c r="O799" s="9">
        <f>IF('Data Source'!B799="","",'Data Source'!AG799)</f>
        <v/>
      </c>
      <c r="P799" s="5">
        <f>IF('Data Source'!B799="","",'Data Source'!R799)</f>
        <v/>
      </c>
      <c r="Q799" s="3">
        <f>IF('Data Source'!B799="","",'Data Source'!S799)</f>
        <v/>
      </c>
    </row>
    <row r="800">
      <c r="A800" s="3">
        <f>IF('Data Source'!B800="","",'Data Source'!A800)</f>
        <v/>
      </c>
      <c r="B800">
        <f>IF('Data Source'!B800="","",'Data Source'!B800)</f>
        <v/>
      </c>
      <c r="C800" s="9">
        <f>IF('Data Source'!B800="","",'Data Source'!U800)</f>
        <v/>
      </c>
      <c r="D800" s="9">
        <f>IF('Data Source'!B800="","",'Data Source'!V800)</f>
        <v/>
      </c>
      <c r="E800" s="9">
        <f>IF('Data Source'!B800="","",'Data Source'!W800)</f>
        <v/>
      </c>
      <c r="F800" s="9">
        <f>IF('Data Source'!B800="","",'Data Source'!X800)</f>
        <v/>
      </c>
      <c r="G800" s="9">
        <f>IF('Data Source'!B800="","",'Data Source'!Y800)</f>
        <v/>
      </c>
      <c r="H800" s="9">
        <f>IF('Data Source'!B800="","",'Data Source'!Z800)</f>
        <v/>
      </c>
      <c r="I800" s="9">
        <f>IF('Data Source'!B800="","",'Data Source'!AA800)</f>
        <v/>
      </c>
      <c r="J800" s="9">
        <f>IF('Data Source'!B800="","",'Data Source'!AB800)</f>
        <v/>
      </c>
      <c r="K800" s="9">
        <f>IF('Data Source'!B800="","",'Data Source'!AC800)</f>
        <v/>
      </c>
      <c r="L800" s="9">
        <f>IF('Data Source'!B800="","",'Data Source'!AD800)</f>
        <v/>
      </c>
      <c r="M800" s="9">
        <f>IF('Data Source'!B800="","",'Data Source'!AE800)</f>
        <v/>
      </c>
      <c r="N800" s="9">
        <f>IF('Data Source'!B800="","",'Data Source'!AF800)</f>
        <v/>
      </c>
      <c r="O800" s="9">
        <f>IF('Data Source'!B800="","",'Data Source'!AG800)</f>
        <v/>
      </c>
      <c r="P800" s="5">
        <f>IF('Data Source'!B800="","",'Data Source'!R800)</f>
        <v/>
      </c>
      <c r="Q800" s="3">
        <f>IF('Data Source'!B800="","",'Data Source'!S800)</f>
        <v/>
      </c>
    </row>
    <row r="801">
      <c r="A801" s="3">
        <f>IF('Data Source'!B801="","",'Data Source'!A801)</f>
        <v/>
      </c>
      <c r="B801">
        <f>IF('Data Source'!B801="","",'Data Source'!B801)</f>
        <v/>
      </c>
      <c r="C801" s="9">
        <f>IF('Data Source'!B801="","",'Data Source'!U801)</f>
        <v/>
      </c>
      <c r="D801" s="9">
        <f>IF('Data Source'!B801="","",'Data Source'!V801)</f>
        <v/>
      </c>
      <c r="E801" s="9">
        <f>IF('Data Source'!B801="","",'Data Source'!W801)</f>
        <v/>
      </c>
      <c r="F801" s="9">
        <f>IF('Data Source'!B801="","",'Data Source'!X801)</f>
        <v/>
      </c>
      <c r="G801" s="9">
        <f>IF('Data Source'!B801="","",'Data Source'!Y801)</f>
        <v/>
      </c>
      <c r="H801" s="9">
        <f>IF('Data Source'!B801="","",'Data Source'!Z801)</f>
        <v/>
      </c>
      <c r="I801" s="9">
        <f>IF('Data Source'!B801="","",'Data Source'!AA801)</f>
        <v/>
      </c>
      <c r="J801" s="9">
        <f>IF('Data Source'!B801="","",'Data Source'!AB801)</f>
        <v/>
      </c>
      <c r="K801" s="9">
        <f>IF('Data Source'!B801="","",'Data Source'!AC801)</f>
        <v/>
      </c>
      <c r="L801" s="9">
        <f>IF('Data Source'!B801="","",'Data Source'!AD801)</f>
        <v/>
      </c>
      <c r="M801" s="9">
        <f>IF('Data Source'!B801="","",'Data Source'!AE801)</f>
        <v/>
      </c>
      <c r="N801" s="9">
        <f>IF('Data Source'!B801="","",'Data Source'!AF801)</f>
        <v/>
      </c>
      <c r="O801" s="9">
        <f>IF('Data Source'!B801="","",'Data Source'!AG801)</f>
        <v/>
      </c>
      <c r="P801" s="5">
        <f>IF('Data Source'!B801="","",'Data Source'!R801)</f>
        <v/>
      </c>
      <c r="Q801" s="3">
        <f>IF('Data Source'!B801="","",'Data Source'!S801)</f>
        <v/>
      </c>
    </row>
    <row r="802">
      <c r="A802" s="3">
        <f>IF('Data Source'!B802="","",'Data Source'!A802)</f>
        <v/>
      </c>
      <c r="B802">
        <f>IF('Data Source'!B802="","",'Data Source'!B802)</f>
        <v/>
      </c>
      <c r="C802" s="9">
        <f>IF('Data Source'!B802="","",'Data Source'!U802)</f>
        <v/>
      </c>
      <c r="D802" s="9">
        <f>IF('Data Source'!B802="","",'Data Source'!V802)</f>
        <v/>
      </c>
      <c r="E802" s="9">
        <f>IF('Data Source'!B802="","",'Data Source'!W802)</f>
        <v/>
      </c>
      <c r="F802" s="9">
        <f>IF('Data Source'!B802="","",'Data Source'!X802)</f>
        <v/>
      </c>
      <c r="G802" s="9">
        <f>IF('Data Source'!B802="","",'Data Source'!Y802)</f>
        <v/>
      </c>
      <c r="H802" s="9">
        <f>IF('Data Source'!B802="","",'Data Source'!Z802)</f>
        <v/>
      </c>
      <c r="I802" s="9">
        <f>IF('Data Source'!B802="","",'Data Source'!AA802)</f>
        <v/>
      </c>
      <c r="J802" s="9">
        <f>IF('Data Source'!B802="","",'Data Source'!AB802)</f>
        <v/>
      </c>
      <c r="K802" s="9">
        <f>IF('Data Source'!B802="","",'Data Source'!AC802)</f>
        <v/>
      </c>
      <c r="L802" s="9">
        <f>IF('Data Source'!B802="","",'Data Source'!AD802)</f>
        <v/>
      </c>
      <c r="M802" s="9">
        <f>IF('Data Source'!B802="","",'Data Source'!AE802)</f>
        <v/>
      </c>
      <c r="N802" s="9">
        <f>IF('Data Source'!B802="","",'Data Source'!AF802)</f>
        <v/>
      </c>
      <c r="O802" s="9">
        <f>IF('Data Source'!B802="","",'Data Source'!AG802)</f>
        <v/>
      </c>
      <c r="P802" s="5">
        <f>IF('Data Source'!B802="","",'Data Source'!R802)</f>
        <v/>
      </c>
      <c r="Q802" s="3">
        <f>IF('Data Source'!B802="","",'Data Source'!S802)</f>
        <v/>
      </c>
    </row>
    <row r="803">
      <c r="A803" s="3">
        <f>IF('Data Source'!B803="","",'Data Source'!A803)</f>
        <v/>
      </c>
      <c r="B803">
        <f>IF('Data Source'!B803="","",'Data Source'!B803)</f>
        <v/>
      </c>
      <c r="C803" s="9">
        <f>IF('Data Source'!B803="","",'Data Source'!U803)</f>
        <v/>
      </c>
      <c r="D803" s="9">
        <f>IF('Data Source'!B803="","",'Data Source'!V803)</f>
        <v/>
      </c>
      <c r="E803" s="9">
        <f>IF('Data Source'!B803="","",'Data Source'!W803)</f>
        <v/>
      </c>
      <c r="F803" s="9">
        <f>IF('Data Source'!B803="","",'Data Source'!X803)</f>
        <v/>
      </c>
      <c r="G803" s="9">
        <f>IF('Data Source'!B803="","",'Data Source'!Y803)</f>
        <v/>
      </c>
      <c r="H803" s="9">
        <f>IF('Data Source'!B803="","",'Data Source'!Z803)</f>
        <v/>
      </c>
      <c r="I803" s="9">
        <f>IF('Data Source'!B803="","",'Data Source'!AA803)</f>
        <v/>
      </c>
      <c r="J803" s="9">
        <f>IF('Data Source'!B803="","",'Data Source'!AB803)</f>
        <v/>
      </c>
      <c r="K803" s="9">
        <f>IF('Data Source'!B803="","",'Data Source'!AC803)</f>
        <v/>
      </c>
      <c r="L803" s="9">
        <f>IF('Data Source'!B803="","",'Data Source'!AD803)</f>
        <v/>
      </c>
      <c r="M803" s="9">
        <f>IF('Data Source'!B803="","",'Data Source'!AE803)</f>
        <v/>
      </c>
      <c r="N803" s="9">
        <f>IF('Data Source'!B803="","",'Data Source'!AF803)</f>
        <v/>
      </c>
      <c r="O803" s="9">
        <f>IF('Data Source'!B803="","",'Data Source'!AG803)</f>
        <v/>
      </c>
      <c r="P803" s="5">
        <f>IF('Data Source'!B803="","",'Data Source'!R803)</f>
        <v/>
      </c>
      <c r="Q803" s="3">
        <f>IF('Data Source'!B803="","",'Data Source'!S803)</f>
        <v/>
      </c>
    </row>
    <row r="804">
      <c r="A804" s="3">
        <f>IF('Data Source'!B804="","",'Data Source'!A804)</f>
        <v/>
      </c>
      <c r="B804">
        <f>IF('Data Source'!B804="","",'Data Source'!B804)</f>
        <v/>
      </c>
      <c r="C804" s="9">
        <f>IF('Data Source'!B804="","",'Data Source'!U804)</f>
        <v/>
      </c>
      <c r="D804" s="9">
        <f>IF('Data Source'!B804="","",'Data Source'!V804)</f>
        <v/>
      </c>
      <c r="E804" s="9">
        <f>IF('Data Source'!B804="","",'Data Source'!W804)</f>
        <v/>
      </c>
      <c r="F804" s="9">
        <f>IF('Data Source'!B804="","",'Data Source'!X804)</f>
        <v/>
      </c>
      <c r="G804" s="9">
        <f>IF('Data Source'!B804="","",'Data Source'!Y804)</f>
        <v/>
      </c>
      <c r="H804" s="9">
        <f>IF('Data Source'!B804="","",'Data Source'!Z804)</f>
        <v/>
      </c>
      <c r="I804" s="9">
        <f>IF('Data Source'!B804="","",'Data Source'!AA804)</f>
        <v/>
      </c>
      <c r="J804" s="9">
        <f>IF('Data Source'!B804="","",'Data Source'!AB804)</f>
        <v/>
      </c>
      <c r="K804" s="9">
        <f>IF('Data Source'!B804="","",'Data Source'!AC804)</f>
        <v/>
      </c>
      <c r="L804" s="9">
        <f>IF('Data Source'!B804="","",'Data Source'!AD804)</f>
        <v/>
      </c>
      <c r="M804" s="9">
        <f>IF('Data Source'!B804="","",'Data Source'!AE804)</f>
        <v/>
      </c>
      <c r="N804" s="9">
        <f>IF('Data Source'!B804="","",'Data Source'!AF804)</f>
        <v/>
      </c>
      <c r="O804" s="9">
        <f>IF('Data Source'!B804="","",'Data Source'!AG804)</f>
        <v/>
      </c>
      <c r="P804" s="5">
        <f>IF('Data Source'!B804="","",'Data Source'!R804)</f>
        <v/>
      </c>
      <c r="Q804" s="3">
        <f>IF('Data Source'!B804="","",'Data Source'!S804)</f>
        <v/>
      </c>
    </row>
    <row r="805">
      <c r="A805" s="3">
        <f>IF('Data Source'!B805="","",'Data Source'!A805)</f>
        <v/>
      </c>
      <c r="B805">
        <f>IF('Data Source'!B805="","",'Data Source'!B805)</f>
        <v/>
      </c>
      <c r="C805" s="9">
        <f>IF('Data Source'!B805="","",'Data Source'!U805)</f>
        <v/>
      </c>
      <c r="D805" s="9">
        <f>IF('Data Source'!B805="","",'Data Source'!V805)</f>
        <v/>
      </c>
      <c r="E805" s="9">
        <f>IF('Data Source'!B805="","",'Data Source'!W805)</f>
        <v/>
      </c>
      <c r="F805" s="9">
        <f>IF('Data Source'!B805="","",'Data Source'!X805)</f>
        <v/>
      </c>
      <c r="G805" s="9">
        <f>IF('Data Source'!B805="","",'Data Source'!Y805)</f>
        <v/>
      </c>
      <c r="H805" s="9">
        <f>IF('Data Source'!B805="","",'Data Source'!Z805)</f>
        <v/>
      </c>
      <c r="I805" s="9">
        <f>IF('Data Source'!B805="","",'Data Source'!AA805)</f>
        <v/>
      </c>
      <c r="J805" s="9">
        <f>IF('Data Source'!B805="","",'Data Source'!AB805)</f>
        <v/>
      </c>
      <c r="K805" s="9">
        <f>IF('Data Source'!B805="","",'Data Source'!AC805)</f>
        <v/>
      </c>
      <c r="L805" s="9">
        <f>IF('Data Source'!B805="","",'Data Source'!AD805)</f>
        <v/>
      </c>
      <c r="M805" s="9">
        <f>IF('Data Source'!B805="","",'Data Source'!AE805)</f>
        <v/>
      </c>
      <c r="N805" s="9">
        <f>IF('Data Source'!B805="","",'Data Source'!AF805)</f>
        <v/>
      </c>
      <c r="O805" s="9">
        <f>IF('Data Source'!B805="","",'Data Source'!AG805)</f>
        <v/>
      </c>
      <c r="P805" s="5">
        <f>IF('Data Source'!B805="","",'Data Source'!R805)</f>
        <v/>
      </c>
      <c r="Q805" s="3">
        <f>IF('Data Source'!B805="","",'Data Source'!S805)</f>
        <v/>
      </c>
    </row>
    <row r="806">
      <c r="A806" s="3">
        <f>IF('Data Source'!B806="","",'Data Source'!A806)</f>
        <v/>
      </c>
      <c r="B806">
        <f>IF('Data Source'!B806="","",'Data Source'!B806)</f>
        <v/>
      </c>
      <c r="C806" s="9">
        <f>IF('Data Source'!B806="","",'Data Source'!U806)</f>
        <v/>
      </c>
      <c r="D806" s="9">
        <f>IF('Data Source'!B806="","",'Data Source'!V806)</f>
        <v/>
      </c>
      <c r="E806" s="9">
        <f>IF('Data Source'!B806="","",'Data Source'!W806)</f>
        <v/>
      </c>
      <c r="F806" s="9">
        <f>IF('Data Source'!B806="","",'Data Source'!X806)</f>
        <v/>
      </c>
      <c r="G806" s="9">
        <f>IF('Data Source'!B806="","",'Data Source'!Y806)</f>
        <v/>
      </c>
      <c r="H806" s="9">
        <f>IF('Data Source'!B806="","",'Data Source'!Z806)</f>
        <v/>
      </c>
      <c r="I806" s="9">
        <f>IF('Data Source'!B806="","",'Data Source'!AA806)</f>
        <v/>
      </c>
      <c r="J806" s="9">
        <f>IF('Data Source'!B806="","",'Data Source'!AB806)</f>
        <v/>
      </c>
      <c r="K806" s="9">
        <f>IF('Data Source'!B806="","",'Data Source'!AC806)</f>
        <v/>
      </c>
      <c r="L806" s="9">
        <f>IF('Data Source'!B806="","",'Data Source'!AD806)</f>
        <v/>
      </c>
      <c r="M806" s="9">
        <f>IF('Data Source'!B806="","",'Data Source'!AE806)</f>
        <v/>
      </c>
      <c r="N806" s="9">
        <f>IF('Data Source'!B806="","",'Data Source'!AF806)</f>
        <v/>
      </c>
      <c r="O806" s="9">
        <f>IF('Data Source'!B806="","",'Data Source'!AG806)</f>
        <v/>
      </c>
      <c r="P806" s="5">
        <f>IF('Data Source'!B806="","",'Data Source'!R806)</f>
        <v/>
      </c>
      <c r="Q806" s="3">
        <f>IF('Data Source'!B806="","",'Data Source'!S806)</f>
        <v/>
      </c>
    </row>
    <row r="807">
      <c r="A807" s="3">
        <f>IF('Data Source'!B807="","",'Data Source'!A807)</f>
        <v/>
      </c>
      <c r="B807">
        <f>IF('Data Source'!B807="","",'Data Source'!B807)</f>
        <v/>
      </c>
      <c r="C807" s="9">
        <f>IF('Data Source'!B807="","",'Data Source'!U807)</f>
        <v/>
      </c>
      <c r="D807" s="9">
        <f>IF('Data Source'!B807="","",'Data Source'!V807)</f>
        <v/>
      </c>
      <c r="E807" s="9">
        <f>IF('Data Source'!B807="","",'Data Source'!W807)</f>
        <v/>
      </c>
      <c r="F807" s="9">
        <f>IF('Data Source'!B807="","",'Data Source'!X807)</f>
        <v/>
      </c>
      <c r="G807" s="9">
        <f>IF('Data Source'!B807="","",'Data Source'!Y807)</f>
        <v/>
      </c>
      <c r="H807" s="9">
        <f>IF('Data Source'!B807="","",'Data Source'!Z807)</f>
        <v/>
      </c>
      <c r="I807" s="9">
        <f>IF('Data Source'!B807="","",'Data Source'!AA807)</f>
        <v/>
      </c>
      <c r="J807" s="9">
        <f>IF('Data Source'!B807="","",'Data Source'!AB807)</f>
        <v/>
      </c>
      <c r="K807" s="9">
        <f>IF('Data Source'!B807="","",'Data Source'!AC807)</f>
        <v/>
      </c>
      <c r="L807" s="9">
        <f>IF('Data Source'!B807="","",'Data Source'!AD807)</f>
        <v/>
      </c>
      <c r="M807" s="9">
        <f>IF('Data Source'!B807="","",'Data Source'!AE807)</f>
        <v/>
      </c>
      <c r="N807" s="9">
        <f>IF('Data Source'!B807="","",'Data Source'!AF807)</f>
        <v/>
      </c>
      <c r="O807" s="9">
        <f>IF('Data Source'!B807="","",'Data Source'!AG807)</f>
        <v/>
      </c>
      <c r="P807" s="5">
        <f>IF('Data Source'!B807="","",'Data Source'!R807)</f>
        <v/>
      </c>
      <c r="Q807" s="3">
        <f>IF('Data Source'!B807="","",'Data Source'!S807)</f>
        <v/>
      </c>
    </row>
    <row r="808">
      <c r="A808" s="3">
        <f>IF('Data Source'!B808="","",'Data Source'!A808)</f>
        <v/>
      </c>
      <c r="B808">
        <f>IF('Data Source'!B808="","",'Data Source'!B808)</f>
        <v/>
      </c>
      <c r="C808" s="9">
        <f>IF('Data Source'!B808="","",'Data Source'!U808)</f>
        <v/>
      </c>
      <c r="D808" s="9">
        <f>IF('Data Source'!B808="","",'Data Source'!V808)</f>
        <v/>
      </c>
      <c r="E808" s="9">
        <f>IF('Data Source'!B808="","",'Data Source'!W808)</f>
        <v/>
      </c>
      <c r="F808" s="9">
        <f>IF('Data Source'!B808="","",'Data Source'!X808)</f>
        <v/>
      </c>
      <c r="G808" s="9">
        <f>IF('Data Source'!B808="","",'Data Source'!Y808)</f>
        <v/>
      </c>
      <c r="H808" s="9">
        <f>IF('Data Source'!B808="","",'Data Source'!Z808)</f>
        <v/>
      </c>
      <c r="I808" s="9">
        <f>IF('Data Source'!B808="","",'Data Source'!AA808)</f>
        <v/>
      </c>
      <c r="J808" s="9">
        <f>IF('Data Source'!B808="","",'Data Source'!AB808)</f>
        <v/>
      </c>
      <c r="K808" s="9">
        <f>IF('Data Source'!B808="","",'Data Source'!AC808)</f>
        <v/>
      </c>
      <c r="L808" s="9">
        <f>IF('Data Source'!B808="","",'Data Source'!AD808)</f>
        <v/>
      </c>
      <c r="M808" s="9">
        <f>IF('Data Source'!B808="","",'Data Source'!AE808)</f>
        <v/>
      </c>
      <c r="N808" s="9">
        <f>IF('Data Source'!B808="","",'Data Source'!AF808)</f>
        <v/>
      </c>
      <c r="O808" s="9">
        <f>IF('Data Source'!B808="","",'Data Source'!AG808)</f>
        <v/>
      </c>
      <c r="P808" s="5">
        <f>IF('Data Source'!B808="","",'Data Source'!R808)</f>
        <v/>
      </c>
      <c r="Q808" s="3">
        <f>IF('Data Source'!B808="","",'Data Source'!S808)</f>
        <v/>
      </c>
    </row>
    <row r="809">
      <c r="A809" s="3">
        <f>IF('Data Source'!B809="","",'Data Source'!A809)</f>
        <v/>
      </c>
      <c r="B809">
        <f>IF('Data Source'!B809="","",'Data Source'!B809)</f>
        <v/>
      </c>
      <c r="C809" s="9">
        <f>IF('Data Source'!B809="","",'Data Source'!U809)</f>
        <v/>
      </c>
      <c r="D809" s="9">
        <f>IF('Data Source'!B809="","",'Data Source'!V809)</f>
        <v/>
      </c>
      <c r="E809" s="9">
        <f>IF('Data Source'!B809="","",'Data Source'!W809)</f>
        <v/>
      </c>
      <c r="F809" s="9">
        <f>IF('Data Source'!B809="","",'Data Source'!X809)</f>
        <v/>
      </c>
      <c r="G809" s="9">
        <f>IF('Data Source'!B809="","",'Data Source'!Y809)</f>
        <v/>
      </c>
      <c r="H809" s="9">
        <f>IF('Data Source'!B809="","",'Data Source'!Z809)</f>
        <v/>
      </c>
      <c r="I809" s="9">
        <f>IF('Data Source'!B809="","",'Data Source'!AA809)</f>
        <v/>
      </c>
      <c r="J809" s="9">
        <f>IF('Data Source'!B809="","",'Data Source'!AB809)</f>
        <v/>
      </c>
      <c r="K809" s="9">
        <f>IF('Data Source'!B809="","",'Data Source'!AC809)</f>
        <v/>
      </c>
      <c r="L809" s="9">
        <f>IF('Data Source'!B809="","",'Data Source'!AD809)</f>
        <v/>
      </c>
      <c r="M809" s="9">
        <f>IF('Data Source'!B809="","",'Data Source'!AE809)</f>
        <v/>
      </c>
      <c r="N809" s="9">
        <f>IF('Data Source'!B809="","",'Data Source'!AF809)</f>
        <v/>
      </c>
      <c r="O809" s="9">
        <f>IF('Data Source'!B809="","",'Data Source'!AG809)</f>
        <v/>
      </c>
      <c r="P809" s="5">
        <f>IF('Data Source'!B809="","",'Data Source'!R809)</f>
        <v/>
      </c>
      <c r="Q809" s="3">
        <f>IF('Data Source'!B809="","",'Data Source'!S809)</f>
        <v/>
      </c>
    </row>
    <row r="810">
      <c r="A810" s="3">
        <f>IF('Data Source'!B810="","",'Data Source'!A810)</f>
        <v/>
      </c>
      <c r="B810">
        <f>IF('Data Source'!B810="","",'Data Source'!B810)</f>
        <v/>
      </c>
      <c r="C810" s="9">
        <f>IF('Data Source'!B810="","",'Data Source'!U810)</f>
        <v/>
      </c>
      <c r="D810" s="9">
        <f>IF('Data Source'!B810="","",'Data Source'!V810)</f>
        <v/>
      </c>
      <c r="E810" s="9">
        <f>IF('Data Source'!B810="","",'Data Source'!W810)</f>
        <v/>
      </c>
      <c r="F810" s="9">
        <f>IF('Data Source'!B810="","",'Data Source'!X810)</f>
        <v/>
      </c>
      <c r="G810" s="9">
        <f>IF('Data Source'!B810="","",'Data Source'!Y810)</f>
        <v/>
      </c>
      <c r="H810" s="9">
        <f>IF('Data Source'!B810="","",'Data Source'!Z810)</f>
        <v/>
      </c>
      <c r="I810" s="9">
        <f>IF('Data Source'!B810="","",'Data Source'!AA810)</f>
        <v/>
      </c>
      <c r="J810" s="9">
        <f>IF('Data Source'!B810="","",'Data Source'!AB810)</f>
        <v/>
      </c>
      <c r="K810" s="9">
        <f>IF('Data Source'!B810="","",'Data Source'!AC810)</f>
        <v/>
      </c>
      <c r="L810" s="9">
        <f>IF('Data Source'!B810="","",'Data Source'!AD810)</f>
        <v/>
      </c>
      <c r="M810" s="9">
        <f>IF('Data Source'!B810="","",'Data Source'!AE810)</f>
        <v/>
      </c>
      <c r="N810" s="9">
        <f>IF('Data Source'!B810="","",'Data Source'!AF810)</f>
        <v/>
      </c>
      <c r="O810" s="9">
        <f>IF('Data Source'!B810="","",'Data Source'!AG810)</f>
        <v/>
      </c>
      <c r="P810" s="5">
        <f>IF('Data Source'!B810="","",'Data Source'!R810)</f>
        <v/>
      </c>
      <c r="Q810" s="3">
        <f>IF('Data Source'!B810="","",'Data Source'!S810)</f>
        <v/>
      </c>
    </row>
    <row r="811">
      <c r="A811" s="3">
        <f>IF('Data Source'!B811="","",'Data Source'!A811)</f>
        <v/>
      </c>
      <c r="B811">
        <f>IF('Data Source'!B811="","",'Data Source'!B811)</f>
        <v/>
      </c>
      <c r="C811" s="9">
        <f>IF('Data Source'!B811="","",'Data Source'!U811)</f>
        <v/>
      </c>
      <c r="D811" s="9">
        <f>IF('Data Source'!B811="","",'Data Source'!V811)</f>
        <v/>
      </c>
      <c r="E811" s="9">
        <f>IF('Data Source'!B811="","",'Data Source'!W811)</f>
        <v/>
      </c>
      <c r="F811" s="9">
        <f>IF('Data Source'!B811="","",'Data Source'!X811)</f>
        <v/>
      </c>
      <c r="G811" s="9">
        <f>IF('Data Source'!B811="","",'Data Source'!Y811)</f>
        <v/>
      </c>
      <c r="H811" s="9">
        <f>IF('Data Source'!B811="","",'Data Source'!Z811)</f>
        <v/>
      </c>
      <c r="I811" s="9">
        <f>IF('Data Source'!B811="","",'Data Source'!AA811)</f>
        <v/>
      </c>
      <c r="J811" s="9">
        <f>IF('Data Source'!B811="","",'Data Source'!AB811)</f>
        <v/>
      </c>
      <c r="K811" s="9">
        <f>IF('Data Source'!B811="","",'Data Source'!AC811)</f>
        <v/>
      </c>
      <c r="L811" s="9">
        <f>IF('Data Source'!B811="","",'Data Source'!AD811)</f>
        <v/>
      </c>
      <c r="M811" s="9">
        <f>IF('Data Source'!B811="","",'Data Source'!AE811)</f>
        <v/>
      </c>
      <c r="N811" s="9">
        <f>IF('Data Source'!B811="","",'Data Source'!AF811)</f>
        <v/>
      </c>
      <c r="O811" s="9">
        <f>IF('Data Source'!B811="","",'Data Source'!AG811)</f>
        <v/>
      </c>
      <c r="P811" s="5">
        <f>IF('Data Source'!B811="","",'Data Source'!R811)</f>
        <v/>
      </c>
      <c r="Q811" s="3">
        <f>IF('Data Source'!B811="","",'Data Source'!S811)</f>
        <v/>
      </c>
    </row>
    <row r="812">
      <c r="A812" s="3">
        <f>IF('Data Source'!B812="","",'Data Source'!A812)</f>
        <v/>
      </c>
      <c r="B812">
        <f>IF('Data Source'!B812="","",'Data Source'!B812)</f>
        <v/>
      </c>
      <c r="C812" s="9">
        <f>IF('Data Source'!B812="","",'Data Source'!U812)</f>
        <v/>
      </c>
      <c r="D812" s="9">
        <f>IF('Data Source'!B812="","",'Data Source'!V812)</f>
        <v/>
      </c>
      <c r="E812" s="9">
        <f>IF('Data Source'!B812="","",'Data Source'!W812)</f>
        <v/>
      </c>
      <c r="F812" s="9">
        <f>IF('Data Source'!B812="","",'Data Source'!X812)</f>
        <v/>
      </c>
      <c r="G812" s="9">
        <f>IF('Data Source'!B812="","",'Data Source'!Y812)</f>
        <v/>
      </c>
      <c r="H812" s="9">
        <f>IF('Data Source'!B812="","",'Data Source'!Z812)</f>
        <v/>
      </c>
      <c r="I812" s="9">
        <f>IF('Data Source'!B812="","",'Data Source'!AA812)</f>
        <v/>
      </c>
      <c r="J812" s="9">
        <f>IF('Data Source'!B812="","",'Data Source'!AB812)</f>
        <v/>
      </c>
      <c r="K812" s="9">
        <f>IF('Data Source'!B812="","",'Data Source'!AC812)</f>
        <v/>
      </c>
      <c r="L812" s="9">
        <f>IF('Data Source'!B812="","",'Data Source'!AD812)</f>
        <v/>
      </c>
      <c r="M812" s="9">
        <f>IF('Data Source'!B812="","",'Data Source'!AE812)</f>
        <v/>
      </c>
      <c r="N812" s="9">
        <f>IF('Data Source'!B812="","",'Data Source'!AF812)</f>
        <v/>
      </c>
      <c r="O812" s="9">
        <f>IF('Data Source'!B812="","",'Data Source'!AG812)</f>
        <v/>
      </c>
      <c r="P812" s="5">
        <f>IF('Data Source'!B812="","",'Data Source'!R812)</f>
        <v/>
      </c>
      <c r="Q812" s="3">
        <f>IF('Data Source'!B812="","",'Data Source'!S812)</f>
        <v/>
      </c>
    </row>
    <row r="813">
      <c r="A813" s="3">
        <f>IF('Data Source'!B813="","",'Data Source'!A813)</f>
        <v/>
      </c>
      <c r="B813">
        <f>IF('Data Source'!B813="","",'Data Source'!B813)</f>
        <v/>
      </c>
      <c r="C813" s="9">
        <f>IF('Data Source'!B813="","",'Data Source'!U813)</f>
        <v/>
      </c>
      <c r="D813" s="9">
        <f>IF('Data Source'!B813="","",'Data Source'!V813)</f>
        <v/>
      </c>
      <c r="E813" s="9">
        <f>IF('Data Source'!B813="","",'Data Source'!W813)</f>
        <v/>
      </c>
      <c r="F813" s="9">
        <f>IF('Data Source'!B813="","",'Data Source'!X813)</f>
        <v/>
      </c>
      <c r="G813" s="9">
        <f>IF('Data Source'!B813="","",'Data Source'!Y813)</f>
        <v/>
      </c>
      <c r="H813" s="9">
        <f>IF('Data Source'!B813="","",'Data Source'!Z813)</f>
        <v/>
      </c>
      <c r="I813" s="9">
        <f>IF('Data Source'!B813="","",'Data Source'!AA813)</f>
        <v/>
      </c>
      <c r="J813" s="9">
        <f>IF('Data Source'!B813="","",'Data Source'!AB813)</f>
        <v/>
      </c>
      <c r="K813" s="9">
        <f>IF('Data Source'!B813="","",'Data Source'!AC813)</f>
        <v/>
      </c>
      <c r="L813" s="9">
        <f>IF('Data Source'!B813="","",'Data Source'!AD813)</f>
        <v/>
      </c>
      <c r="M813" s="9">
        <f>IF('Data Source'!B813="","",'Data Source'!AE813)</f>
        <v/>
      </c>
      <c r="N813" s="9">
        <f>IF('Data Source'!B813="","",'Data Source'!AF813)</f>
        <v/>
      </c>
      <c r="O813" s="9">
        <f>IF('Data Source'!B813="","",'Data Source'!AG813)</f>
        <v/>
      </c>
      <c r="P813" s="5">
        <f>IF('Data Source'!B813="","",'Data Source'!R813)</f>
        <v/>
      </c>
      <c r="Q813" s="3">
        <f>IF('Data Source'!B813="","",'Data Source'!S813)</f>
        <v/>
      </c>
    </row>
    <row r="814">
      <c r="A814" s="3">
        <f>IF('Data Source'!B814="","",'Data Source'!A814)</f>
        <v/>
      </c>
      <c r="B814">
        <f>IF('Data Source'!B814="","",'Data Source'!B814)</f>
        <v/>
      </c>
      <c r="C814" s="9">
        <f>IF('Data Source'!B814="","",'Data Source'!U814)</f>
        <v/>
      </c>
      <c r="D814" s="9">
        <f>IF('Data Source'!B814="","",'Data Source'!V814)</f>
        <v/>
      </c>
      <c r="E814" s="9">
        <f>IF('Data Source'!B814="","",'Data Source'!W814)</f>
        <v/>
      </c>
      <c r="F814" s="9">
        <f>IF('Data Source'!B814="","",'Data Source'!X814)</f>
        <v/>
      </c>
      <c r="G814" s="9">
        <f>IF('Data Source'!B814="","",'Data Source'!Y814)</f>
        <v/>
      </c>
      <c r="H814" s="9">
        <f>IF('Data Source'!B814="","",'Data Source'!Z814)</f>
        <v/>
      </c>
      <c r="I814" s="9">
        <f>IF('Data Source'!B814="","",'Data Source'!AA814)</f>
        <v/>
      </c>
      <c r="J814" s="9">
        <f>IF('Data Source'!B814="","",'Data Source'!AB814)</f>
        <v/>
      </c>
      <c r="K814" s="9">
        <f>IF('Data Source'!B814="","",'Data Source'!AC814)</f>
        <v/>
      </c>
      <c r="L814" s="9">
        <f>IF('Data Source'!B814="","",'Data Source'!AD814)</f>
        <v/>
      </c>
      <c r="M814" s="9">
        <f>IF('Data Source'!B814="","",'Data Source'!AE814)</f>
        <v/>
      </c>
      <c r="N814" s="9">
        <f>IF('Data Source'!B814="","",'Data Source'!AF814)</f>
        <v/>
      </c>
      <c r="O814" s="9">
        <f>IF('Data Source'!B814="","",'Data Source'!AG814)</f>
        <v/>
      </c>
      <c r="P814" s="5">
        <f>IF('Data Source'!B814="","",'Data Source'!R814)</f>
        <v/>
      </c>
      <c r="Q814" s="3">
        <f>IF('Data Source'!B814="","",'Data Source'!S814)</f>
        <v/>
      </c>
    </row>
    <row r="815">
      <c r="A815" s="3">
        <f>IF('Data Source'!B815="","",'Data Source'!A815)</f>
        <v/>
      </c>
      <c r="B815">
        <f>IF('Data Source'!B815="","",'Data Source'!B815)</f>
        <v/>
      </c>
      <c r="C815" s="9">
        <f>IF('Data Source'!B815="","",'Data Source'!U815)</f>
        <v/>
      </c>
      <c r="D815" s="9">
        <f>IF('Data Source'!B815="","",'Data Source'!V815)</f>
        <v/>
      </c>
      <c r="E815" s="9">
        <f>IF('Data Source'!B815="","",'Data Source'!W815)</f>
        <v/>
      </c>
      <c r="F815" s="9">
        <f>IF('Data Source'!B815="","",'Data Source'!X815)</f>
        <v/>
      </c>
      <c r="G815" s="9">
        <f>IF('Data Source'!B815="","",'Data Source'!Y815)</f>
        <v/>
      </c>
      <c r="H815" s="9">
        <f>IF('Data Source'!B815="","",'Data Source'!Z815)</f>
        <v/>
      </c>
      <c r="I815" s="9">
        <f>IF('Data Source'!B815="","",'Data Source'!AA815)</f>
        <v/>
      </c>
      <c r="J815" s="9">
        <f>IF('Data Source'!B815="","",'Data Source'!AB815)</f>
        <v/>
      </c>
      <c r="K815" s="9">
        <f>IF('Data Source'!B815="","",'Data Source'!AC815)</f>
        <v/>
      </c>
      <c r="L815" s="9">
        <f>IF('Data Source'!B815="","",'Data Source'!AD815)</f>
        <v/>
      </c>
      <c r="M815" s="9">
        <f>IF('Data Source'!B815="","",'Data Source'!AE815)</f>
        <v/>
      </c>
      <c r="N815" s="9">
        <f>IF('Data Source'!B815="","",'Data Source'!AF815)</f>
        <v/>
      </c>
      <c r="O815" s="9">
        <f>IF('Data Source'!B815="","",'Data Source'!AG815)</f>
        <v/>
      </c>
      <c r="P815" s="5">
        <f>IF('Data Source'!B815="","",'Data Source'!R815)</f>
        <v/>
      </c>
      <c r="Q815" s="3">
        <f>IF('Data Source'!B815="","",'Data Source'!S815)</f>
        <v/>
      </c>
    </row>
    <row r="816">
      <c r="A816" s="3">
        <f>IF('Data Source'!B816="","",'Data Source'!A816)</f>
        <v/>
      </c>
      <c r="B816">
        <f>IF('Data Source'!B816="","",'Data Source'!B816)</f>
        <v/>
      </c>
      <c r="C816" s="9">
        <f>IF('Data Source'!B816="","",'Data Source'!U816)</f>
        <v/>
      </c>
      <c r="D816" s="9">
        <f>IF('Data Source'!B816="","",'Data Source'!V816)</f>
        <v/>
      </c>
      <c r="E816" s="9">
        <f>IF('Data Source'!B816="","",'Data Source'!W816)</f>
        <v/>
      </c>
      <c r="F816" s="9">
        <f>IF('Data Source'!B816="","",'Data Source'!X816)</f>
        <v/>
      </c>
      <c r="G816" s="9">
        <f>IF('Data Source'!B816="","",'Data Source'!Y816)</f>
        <v/>
      </c>
      <c r="H816" s="9">
        <f>IF('Data Source'!B816="","",'Data Source'!Z816)</f>
        <v/>
      </c>
      <c r="I816" s="9">
        <f>IF('Data Source'!B816="","",'Data Source'!AA816)</f>
        <v/>
      </c>
      <c r="J816" s="9">
        <f>IF('Data Source'!B816="","",'Data Source'!AB816)</f>
        <v/>
      </c>
      <c r="K816" s="9">
        <f>IF('Data Source'!B816="","",'Data Source'!AC816)</f>
        <v/>
      </c>
      <c r="L816" s="9">
        <f>IF('Data Source'!B816="","",'Data Source'!AD816)</f>
        <v/>
      </c>
      <c r="M816" s="9">
        <f>IF('Data Source'!B816="","",'Data Source'!AE816)</f>
        <v/>
      </c>
      <c r="N816" s="9">
        <f>IF('Data Source'!B816="","",'Data Source'!AF816)</f>
        <v/>
      </c>
      <c r="O816" s="9">
        <f>IF('Data Source'!B816="","",'Data Source'!AG816)</f>
        <v/>
      </c>
      <c r="P816" s="5">
        <f>IF('Data Source'!B816="","",'Data Source'!R816)</f>
        <v/>
      </c>
      <c r="Q816" s="3">
        <f>IF('Data Source'!B816="","",'Data Source'!S816)</f>
        <v/>
      </c>
    </row>
    <row r="817">
      <c r="A817" s="3">
        <f>IF('Data Source'!B817="","",'Data Source'!A817)</f>
        <v/>
      </c>
      <c r="B817">
        <f>IF('Data Source'!B817="","",'Data Source'!B817)</f>
        <v/>
      </c>
      <c r="C817" s="9">
        <f>IF('Data Source'!B817="","",'Data Source'!U817)</f>
        <v/>
      </c>
      <c r="D817" s="9">
        <f>IF('Data Source'!B817="","",'Data Source'!V817)</f>
        <v/>
      </c>
      <c r="E817" s="9">
        <f>IF('Data Source'!B817="","",'Data Source'!W817)</f>
        <v/>
      </c>
      <c r="F817" s="9">
        <f>IF('Data Source'!B817="","",'Data Source'!X817)</f>
        <v/>
      </c>
      <c r="G817" s="9">
        <f>IF('Data Source'!B817="","",'Data Source'!Y817)</f>
        <v/>
      </c>
      <c r="H817" s="9">
        <f>IF('Data Source'!B817="","",'Data Source'!Z817)</f>
        <v/>
      </c>
      <c r="I817" s="9">
        <f>IF('Data Source'!B817="","",'Data Source'!AA817)</f>
        <v/>
      </c>
      <c r="J817" s="9">
        <f>IF('Data Source'!B817="","",'Data Source'!AB817)</f>
        <v/>
      </c>
      <c r="K817" s="9">
        <f>IF('Data Source'!B817="","",'Data Source'!AC817)</f>
        <v/>
      </c>
      <c r="L817" s="9">
        <f>IF('Data Source'!B817="","",'Data Source'!AD817)</f>
        <v/>
      </c>
      <c r="M817" s="9">
        <f>IF('Data Source'!B817="","",'Data Source'!AE817)</f>
        <v/>
      </c>
      <c r="N817" s="9">
        <f>IF('Data Source'!B817="","",'Data Source'!AF817)</f>
        <v/>
      </c>
      <c r="O817" s="9">
        <f>IF('Data Source'!B817="","",'Data Source'!AG817)</f>
        <v/>
      </c>
      <c r="P817" s="5">
        <f>IF('Data Source'!B817="","",'Data Source'!R817)</f>
        <v/>
      </c>
      <c r="Q817" s="3">
        <f>IF('Data Source'!B817="","",'Data Source'!S817)</f>
        <v/>
      </c>
    </row>
    <row r="818">
      <c r="A818" s="3">
        <f>IF('Data Source'!B818="","",'Data Source'!A818)</f>
        <v/>
      </c>
      <c r="B818">
        <f>IF('Data Source'!B818="","",'Data Source'!B818)</f>
        <v/>
      </c>
      <c r="C818" s="9">
        <f>IF('Data Source'!B818="","",'Data Source'!U818)</f>
        <v/>
      </c>
      <c r="D818" s="9">
        <f>IF('Data Source'!B818="","",'Data Source'!V818)</f>
        <v/>
      </c>
      <c r="E818" s="9">
        <f>IF('Data Source'!B818="","",'Data Source'!W818)</f>
        <v/>
      </c>
      <c r="F818" s="9">
        <f>IF('Data Source'!B818="","",'Data Source'!X818)</f>
        <v/>
      </c>
      <c r="G818" s="9">
        <f>IF('Data Source'!B818="","",'Data Source'!Y818)</f>
        <v/>
      </c>
      <c r="H818" s="9">
        <f>IF('Data Source'!B818="","",'Data Source'!Z818)</f>
        <v/>
      </c>
      <c r="I818" s="9">
        <f>IF('Data Source'!B818="","",'Data Source'!AA818)</f>
        <v/>
      </c>
      <c r="J818" s="9">
        <f>IF('Data Source'!B818="","",'Data Source'!AB818)</f>
        <v/>
      </c>
      <c r="K818" s="9">
        <f>IF('Data Source'!B818="","",'Data Source'!AC818)</f>
        <v/>
      </c>
      <c r="L818" s="9">
        <f>IF('Data Source'!B818="","",'Data Source'!AD818)</f>
        <v/>
      </c>
      <c r="M818" s="9">
        <f>IF('Data Source'!B818="","",'Data Source'!AE818)</f>
        <v/>
      </c>
      <c r="N818" s="9">
        <f>IF('Data Source'!B818="","",'Data Source'!AF818)</f>
        <v/>
      </c>
      <c r="O818" s="9">
        <f>IF('Data Source'!B818="","",'Data Source'!AG818)</f>
        <v/>
      </c>
      <c r="P818" s="5">
        <f>IF('Data Source'!B818="","",'Data Source'!R818)</f>
        <v/>
      </c>
      <c r="Q818" s="3">
        <f>IF('Data Source'!B818="","",'Data Source'!S818)</f>
        <v/>
      </c>
    </row>
    <row r="819">
      <c r="A819" s="3">
        <f>IF('Data Source'!B819="","",'Data Source'!A819)</f>
        <v/>
      </c>
      <c r="B819">
        <f>IF('Data Source'!B819="","",'Data Source'!B819)</f>
        <v/>
      </c>
      <c r="C819" s="9">
        <f>IF('Data Source'!B819="","",'Data Source'!U819)</f>
        <v/>
      </c>
      <c r="D819" s="9">
        <f>IF('Data Source'!B819="","",'Data Source'!V819)</f>
        <v/>
      </c>
      <c r="E819" s="9">
        <f>IF('Data Source'!B819="","",'Data Source'!W819)</f>
        <v/>
      </c>
      <c r="F819" s="9">
        <f>IF('Data Source'!B819="","",'Data Source'!X819)</f>
        <v/>
      </c>
      <c r="G819" s="9">
        <f>IF('Data Source'!B819="","",'Data Source'!Y819)</f>
        <v/>
      </c>
      <c r="H819" s="9">
        <f>IF('Data Source'!B819="","",'Data Source'!Z819)</f>
        <v/>
      </c>
      <c r="I819" s="9">
        <f>IF('Data Source'!B819="","",'Data Source'!AA819)</f>
        <v/>
      </c>
      <c r="J819" s="9">
        <f>IF('Data Source'!B819="","",'Data Source'!AB819)</f>
        <v/>
      </c>
      <c r="K819" s="9">
        <f>IF('Data Source'!B819="","",'Data Source'!AC819)</f>
        <v/>
      </c>
      <c r="L819" s="9">
        <f>IF('Data Source'!B819="","",'Data Source'!AD819)</f>
        <v/>
      </c>
      <c r="M819" s="9">
        <f>IF('Data Source'!B819="","",'Data Source'!AE819)</f>
        <v/>
      </c>
      <c r="N819" s="9">
        <f>IF('Data Source'!B819="","",'Data Source'!AF819)</f>
        <v/>
      </c>
      <c r="O819" s="9">
        <f>IF('Data Source'!B819="","",'Data Source'!AG819)</f>
        <v/>
      </c>
      <c r="P819" s="5">
        <f>IF('Data Source'!B819="","",'Data Source'!R819)</f>
        <v/>
      </c>
      <c r="Q819" s="3">
        <f>IF('Data Source'!B819="","",'Data Source'!S819)</f>
        <v/>
      </c>
    </row>
    <row r="820">
      <c r="A820" s="3">
        <f>IF('Data Source'!B820="","",'Data Source'!A820)</f>
        <v/>
      </c>
      <c r="B820">
        <f>IF('Data Source'!B820="","",'Data Source'!B820)</f>
        <v/>
      </c>
      <c r="C820" s="9">
        <f>IF('Data Source'!B820="","",'Data Source'!U820)</f>
        <v/>
      </c>
      <c r="D820" s="9">
        <f>IF('Data Source'!B820="","",'Data Source'!V820)</f>
        <v/>
      </c>
      <c r="E820" s="9">
        <f>IF('Data Source'!B820="","",'Data Source'!W820)</f>
        <v/>
      </c>
      <c r="F820" s="9">
        <f>IF('Data Source'!B820="","",'Data Source'!X820)</f>
        <v/>
      </c>
      <c r="G820" s="9">
        <f>IF('Data Source'!B820="","",'Data Source'!Y820)</f>
        <v/>
      </c>
      <c r="H820" s="9">
        <f>IF('Data Source'!B820="","",'Data Source'!Z820)</f>
        <v/>
      </c>
      <c r="I820" s="9">
        <f>IF('Data Source'!B820="","",'Data Source'!AA820)</f>
        <v/>
      </c>
      <c r="J820" s="9">
        <f>IF('Data Source'!B820="","",'Data Source'!AB820)</f>
        <v/>
      </c>
      <c r="K820" s="9">
        <f>IF('Data Source'!B820="","",'Data Source'!AC820)</f>
        <v/>
      </c>
      <c r="L820" s="9">
        <f>IF('Data Source'!B820="","",'Data Source'!AD820)</f>
        <v/>
      </c>
      <c r="M820" s="9">
        <f>IF('Data Source'!B820="","",'Data Source'!AE820)</f>
        <v/>
      </c>
      <c r="N820" s="9">
        <f>IF('Data Source'!B820="","",'Data Source'!AF820)</f>
        <v/>
      </c>
      <c r="O820" s="9">
        <f>IF('Data Source'!B820="","",'Data Source'!AG820)</f>
        <v/>
      </c>
      <c r="P820" s="5">
        <f>IF('Data Source'!B820="","",'Data Source'!R820)</f>
        <v/>
      </c>
      <c r="Q820" s="3">
        <f>IF('Data Source'!B820="","",'Data Source'!S820)</f>
        <v/>
      </c>
    </row>
    <row r="821">
      <c r="A821" s="3">
        <f>IF('Data Source'!B821="","",'Data Source'!A821)</f>
        <v/>
      </c>
      <c r="B821">
        <f>IF('Data Source'!B821="","",'Data Source'!B821)</f>
        <v/>
      </c>
      <c r="C821" s="9">
        <f>IF('Data Source'!B821="","",'Data Source'!U821)</f>
        <v/>
      </c>
      <c r="D821" s="9">
        <f>IF('Data Source'!B821="","",'Data Source'!V821)</f>
        <v/>
      </c>
      <c r="E821" s="9">
        <f>IF('Data Source'!B821="","",'Data Source'!W821)</f>
        <v/>
      </c>
      <c r="F821" s="9">
        <f>IF('Data Source'!B821="","",'Data Source'!X821)</f>
        <v/>
      </c>
      <c r="G821" s="9">
        <f>IF('Data Source'!B821="","",'Data Source'!Y821)</f>
        <v/>
      </c>
      <c r="H821" s="9">
        <f>IF('Data Source'!B821="","",'Data Source'!Z821)</f>
        <v/>
      </c>
      <c r="I821" s="9">
        <f>IF('Data Source'!B821="","",'Data Source'!AA821)</f>
        <v/>
      </c>
      <c r="J821" s="9">
        <f>IF('Data Source'!B821="","",'Data Source'!AB821)</f>
        <v/>
      </c>
      <c r="K821" s="9">
        <f>IF('Data Source'!B821="","",'Data Source'!AC821)</f>
        <v/>
      </c>
      <c r="L821" s="9">
        <f>IF('Data Source'!B821="","",'Data Source'!AD821)</f>
        <v/>
      </c>
      <c r="M821" s="9">
        <f>IF('Data Source'!B821="","",'Data Source'!AE821)</f>
        <v/>
      </c>
      <c r="N821" s="9">
        <f>IF('Data Source'!B821="","",'Data Source'!AF821)</f>
        <v/>
      </c>
      <c r="O821" s="9">
        <f>IF('Data Source'!B821="","",'Data Source'!AG821)</f>
        <v/>
      </c>
      <c r="P821" s="5">
        <f>IF('Data Source'!B821="","",'Data Source'!R821)</f>
        <v/>
      </c>
      <c r="Q821" s="3">
        <f>IF('Data Source'!B821="","",'Data Source'!S821)</f>
        <v/>
      </c>
    </row>
    <row r="822">
      <c r="A822" s="3">
        <f>IF('Data Source'!B822="","",'Data Source'!A822)</f>
        <v/>
      </c>
      <c r="B822">
        <f>IF('Data Source'!B822="","",'Data Source'!B822)</f>
        <v/>
      </c>
      <c r="C822" s="9">
        <f>IF('Data Source'!B822="","",'Data Source'!U822)</f>
        <v/>
      </c>
      <c r="D822" s="9">
        <f>IF('Data Source'!B822="","",'Data Source'!V822)</f>
        <v/>
      </c>
      <c r="E822" s="9">
        <f>IF('Data Source'!B822="","",'Data Source'!W822)</f>
        <v/>
      </c>
      <c r="F822" s="9">
        <f>IF('Data Source'!B822="","",'Data Source'!X822)</f>
        <v/>
      </c>
      <c r="G822" s="9">
        <f>IF('Data Source'!B822="","",'Data Source'!Y822)</f>
        <v/>
      </c>
      <c r="H822" s="9">
        <f>IF('Data Source'!B822="","",'Data Source'!Z822)</f>
        <v/>
      </c>
      <c r="I822" s="9">
        <f>IF('Data Source'!B822="","",'Data Source'!AA822)</f>
        <v/>
      </c>
      <c r="J822" s="9">
        <f>IF('Data Source'!B822="","",'Data Source'!AB822)</f>
        <v/>
      </c>
      <c r="K822" s="9">
        <f>IF('Data Source'!B822="","",'Data Source'!AC822)</f>
        <v/>
      </c>
      <c r="L822" s="9">
        <f>IF('Data Source'!B822="","",'Data Source'!AD822)</f>
        <v/>
      </c>
      <c r="M822" s="9">
        <f>IF('Data Source'!B822="","",'Data Source'!AE822)</f>
        <v/>
      </c>
      <c r="N822" s="9">
        <f>IF('Data Source'!B822="","",'Data Source'!AF822)</f>
        <v/>
      </c>
      <c r="O822" s="9">
        <f>IF('Data Source'!B822="","",'Data Source'!AG822)</f>
        <v/>
      </c>
      <c r="P822" s="5">
        <f>IF('Data Source'!B822="","",'Data Source'!R822)</f>
        <v/>
      </c>
      <c r="Q822" s="3">
        <f>IF('Data Source'!B822="","",'Data Source'!S822)</f>
        <v/>
      </c>
    </row>
    <row r="823">
      <c r="A823" s="3">
        <f>IF('Data Source'!B823="","",'Data Source'!A823)</f>
        <v/>
      </c>
      <c r="B823">
        <f>IF('Data Source'!B823="","",'Data Source'!B823)</f>
        <v/>
      </c>
      <c r="C823" s="9">
        <f>IF('Data Source'!B823="","",'Data Source'!U823)</f>
        <v/>
      </c>
      <c r="D823" s="9">
        <f>IF('Data Source'!B823="","",'Data Source'!V823)</f>
        <v/>
      </c>
      <c r="E823" s="9">
        <f>IF('Data Source'!B823="","",'Data Source'!W823)</f>
        <v/>
      </c>
      <c r="F823" s="9">
        <f>IF('Data Source'!B823="","",'Data Source'!X823)</f>
        <v/>
      </c>
      <c r="G823" s="9">
        <f>IF('Data Source'!B823="","",'Data Source'!Y823)</f>
        <v/>
      </c>
      <c r="H823" s="9">
        <f>IF('Data Source'!B823="","",'Data Source'!Z823)</f>
        <v/>
      </c>
      <c r="I823" s="9">
        <f>IF('Data Source'!B823="","",'Data Source'!AA823)</f>
        <v/>
      </c>
      <c r="J823" s="9">
        <f>IF('Data Source'!B823="","",'Data Source'!AB823)</f>
        <v/>
      </c>
      <c r="K823" s="9">
        <f>IF('Data Source'!B823="","",'Data Source'!AC823)</f>
        <v/>
      </c>
      <c r="L823" s="9">
        <f>IF('Data Source'!B823="","",'Data Source'!AD823)</f>
        <v/>
      </c>
      <c r="M823" s="9">
        <f>IF('Data Source'!B823="","",'Data Source'!AE823)</f>
        <v/>
      </c>
      <c r="N823" s="9">
        <f>IF('Data Source'!B823="","",'Data Source'!AF823)</f>
        <v/>
      </c>
      <c r="O823" s="9">
        <f>IF('Data Source'!B823="","",'Data Source'!AG823)</f>
        <v/>
      </c>
      <c r="P823" s="5">
        <f>IF('Data Source'!B823="","",'Data Source'!R823)</f>
        <v/>
      </c>
      <c r="Q823" s="3">
        <f>IF('Data Source'!B823="","",'Data Source'!S823)</f>
        <v/>
      </c>
    </row>
    <row r="824">
      <c r="A824" s="3">
        <f>IF('Data Source'!B824="","",'Data Source'!A824)</f>
        <v/>
      </c>
      <c r="B824">
        <f>IF('Data Source'!B824="","",'Data Source'!B824)</f>
        <v/>
      </c>
      <c r="C824" s="9">
        <f>IF('Data Source'!B824="","",'Data Source'!U824)</f>
        <v/>
      </c>
      <c r="D824" s="9">
        <f>IF('Data Source'!B824="","",'Data Source'!V824)</f>
        <v/>
      </c>
      <c r="E824" s="9">
        <f>IF('Data Source'!B824="","",'Data Source'!W824)</f>
        <v/>
      </c>
      <c r="F824" s="9">
        <f>IF('Data Source'!B824="","",'Data Source'!X824)</f>
        <v/>
      </c>
      <c r="G824" s="9">
        <f>IF('Data Source'!B824="","",'Data Source'!Y824)</f>
        <v/>
      </c>
      <c r="H824" s="9">
        <f>IF('Data Source'!B824="","",'Data Source'!Z824)</f>
        <v/>
      </c>
      <c r="I824" s="9">
        <f>IF('Data Source'!B824="","",'Data Source'!AA824)</f>
        <v/>
      </c>
      <c r="J824" s="9">
        <f>IF('Data Source'!B824="","",'Data Source'!AB824)</f>
        <v/>
      </c>
      <c r="K824" s="9">
        <f>IF('Data Source'!B824="","",'Data Source'!AC824)</f>
        <v/>
      </c>
      <c r="L824" s="9">
        <f>IF('Data Source'!B824="","",'Data Source'!AD824)</f>
        <v/>
      </c>
      <c r="M824" s="9">
        <f>IF('Data Source'!B824="","",'Data Source'!AE824)</f>
        <v/>
      </c>
      <c r="N824" s="9">
        <f>IF('Data Source'!B824="","",'Data Source'!AF824)</f>
        <v/>
      </c>
      <c r="O824" s="9">
        <f>IF('Data Source'!B824="","",'Data Source'!AG824)</f>
        <v/>
      </c>
      <c r="P824" s="5">
        <f>IF('Data Source'!B824="","",'Data Source'!R824)</f>
        <v/>
      </c>
      <c r="Q824" s="3">
        <f>IF('Data Source'!B824="","",'Data Source'!S824)</f>
        <v/>
      </c>
    </row>
    <row r="825">
      <c r="A825" s="3">
        <f>IF('Data Source'!B825="","",'Data Source'!A825)</f>
        <v/>
      </c>
      <c r="B825">
        <f>IF('Data Source'!B825="","",'Data Source'!B825)</f>
        <v/>
      </c>
      <c r="C825" s="9">
        <f>IF('Data Source'!B825="","",'Data Source'!U825)</f>
        <v/>
      </c>
      <c r="D825" s="9">
        <f>IF('Data Source'!B825="","",'Data Source'!V825)</f>
        <v/>
      </c>
      <c r="E825" s="9">
        <f>IF('Data Source'!B825="","",'Data Source'!W825)</f>
        <v/>
      </c>
      <c r="F825" s="9">
        <f>IF('Data Source'!B825="","",'Data Source'!X825)</f>
        <v/>
      </c>
      <c r="G825" s="9">
        <f>IF('Data Source'!B825="","",'Data Source'!Y825)</f>
        <v/>
      </c>
      <c r="H825" s="9">
        <f>IF('Data Source'!B825="","",'Data Source'!Z825)</f>
        <v/>
      </c>
      <c r="I825" s="9">
        <f>IF('Data Source'!B825="","",'Data Source'!AA825)</f>
        <v/>
      </c>
      <c r="J825" s="9">
        <f>IF('Data Source'!B825="","",'Data Source'!AB825)</f>
        <v/>
      </c>
      <c r="K825" s="9">
        <f>IF('Data Source'!B825="","",'Data Source'!AC825)</f>
        <v/>
      </c>
      <c r="L825" s="9">
        <f>IF('Data Source'!B825="","",'Data Source'!AD825)</f>
        <v/>
      </c>
      <c r="M825" s="9">
        <f>IF('Data Source'!B825="","",'Data Source'!AE825)</f>
        <v/>
      </c>
      <c r="N825" s="9">
        <f>IF('Data Source'!B825="","",'Data Source'!AF825)</f>
        <v/>
      </c>
      <c r="O825" s="9">
        <f>IF('Data Source'!B825="","",'Data Source'!AG825)</f>
        <v/>
      </c>
      <c r="P825" s="5">
        <f>IF('Data Source'!B825="","",'Data Source'!R825)</f>
        <v/>
      </c>
      <c r="Q825" s="3">
        <f>IF('Data Source'!B825="","",'Data Source'!S825)</f>
        <v/>
      </c>
    </row>
    <row r="826">
      <c r="A826" s="3">
        <f>IF('Data Source'!B826="","",'Data Source'!A826)</f>
        <v/>
      </c>
      <c r="B826">
        <f>IF('Data Source'!B826="","",'Data Source'!B826)</f>
        <v/>
      </c>
      <c r="C826" s="9">
        <f>IF('Data Source'!B826="","",'Data Source'!U826)</f>
        <v/>
      </c>
      <c r="D826" s="9">
        <f>IF('Data Source'!B826="","",'Data Source'!V826)</f>
        <v/>
      </c>
      <c r="E826" s="9">
        <f>IF('Data Source'!B826="","",'Data Source'!W826)</f>
        <v/>
      </c>
      <c r="F826" s="9">
        <f>IF('Data Source'!B826="","",'Data Source'!X826)</f>
        <v/>
      </c>
      <c r="G826" s="9">
        <f>IF('Data Source'!B826="","",'Data Source'!Y826)</f>
        <v/>
      </c>
      <c r="H826" s="9">
        <f>IF('Data Source'!B826="","",'Data Source'!Z826)</f>
        <v/>
      </c>
      <c r="I826" s="9">
        <f>IF('Data Source'!B826="","",'Data Source'!AA826)</f>
        <v/>
      </c>
      <c r="J826" s="9">
        <f>IF('Data Source'!B826="","",'Data Source'!AB826)</f>
        <v/>
      </c>
      <c r="K826" s="9">
        <f>IF('Data Source'!B826="","",'Data Source'!AC826)</f>
        <v/>
      </c>
      <c r="L826" s="9">
        <f>IF('Data Source'!B826="","",'Data Source'!AD826)</f>
        <v/>
      </c>
      <c r="M826" s="9">
        <f>IF('Data Source'!B826="","",'Data Source'!AE826)</f>
        <v/>
      </c>
      <c r="N826" s="9">
        <f>IF('Data Source'!B826="","",'Data Source'!AF826)</f>
        <v/>
      </c>
      <c r="O826" s="9">
        <f>IF('Data Source'!B826="","",'Data Source'!AG826)</f>
        <v/>
      </c>
      <c r="P826" s="5">
        <f>IF('Data Source'!B826="","",'Data Source'!R826)</f>
        <v/>
      </c>
      <c r="Q826" s="3">
        <f>IF('Data Source'!B826="","",'Data Source'!S826)</f>
        <v/>
      </c>
    </row>
    <row r="827">
      <c r="A827" s="3">
        <f>IF('Data Source'!B827="","",'Data Source'!A827)</f>
        <v/>
      </c>
      <c r="B827">
        <f>IF('Data Source'!B827="","",'Data Source'!B827)</f>
        <v/>
      </c>
      <c r="C827" s="9">
        <f>IF('Data Source'!B827="","",'Data Source'!U827)</f>
        <v/>
      </c>
      <c r="D827" s="9">
        <f>IF('Data Source'!B827="","",'Data Source'!V827)</f>
        <v/>
      </c>
      <c r="E827" s="9">
        <f>IF('Data Source'!B827="","",'Data Source'!W827)</f>
        <v/>
      </c>
      <c r="F827" s="9">
        <f>IF('Data Source'!B827="","",'Data Source'!X827)</f>
        <v/>
      </c>
      <c r="G827" s="9">
        <f>IF('Data Source'!B827="","",'Data Source'!Y827)</f>
        <v/>
      </c>
      <c r="H827" s="9">
        <f>IF('Data Source'!B827="","",'Data Source'!Z827)</f>
        <v/>
      </c>
      <c r="I827" s="9">
        <f>IF('Data Source'!B827="","",'Data Source'!AA827)</f>
        <v/>
      </c>
      <c r="J827" s="9">
        <f>IF('Data Source'!B827="","",'Data Source'!AB827)</f>
        <v/>
      </c>
      <c r="K827" s="9">
        <f>IF('Data Source'!B827="","",'Data Source'!AC827)</f>
        <v/>
      </c>
      <c r="L827" s="9">
        <f>IF('Data Source'!B827="","",'Data Source'!AD827)</f>
        <v/>
      </c>
      <c r="M827" s="9">
        <f>IF('Data Source'!B827="","",'Data Source'!AE827)</f>
        <v/>
      </c>
      <c r="N827" s="9">
        <f>IF('Data Source'!B827="","",'Data Source'!AF827)</f>
        <v/>
      </c>
      <c r="O827" s="9">
        <f>IF('Data Source'!B827="","",'Data Source'!AG827)</f>
        <v/>
      </c>
      <c r="P827" s="5">
        <f>IF('Data Source'!B827="","",'Data Source'!R827)</f>
        <v/>
      </c>
      <c r="Q827" s="3">
        <f>IF('Data Source'!B827="","",'Data Source'!S827)</f>
        <v/>
      </c>
    </row>
    <row r="828">
      <c r="A828" s="3">
        <f>IF('Data Source'!B828="","",'Data Source'!A828)</f>
        <v/>
      </c>
      <c r="B828">
        <f>IF('Data Source'!B828="","",'Data Source'!B828)</f>
        <v/>
      </c>
      <c r="C828" s="9">
        <f>IF('Data Source'!B828="","",'Data Source'!U828)</f>
        <v/>
      </c>
      <c r="D828" s="9">
        <f>IF('Data Source'!B828="","",'Data Source'!V828)</f>
        <v/>
      </c>
      <c r="E828" s="9">
        <f>IF('Data Source'!B828="","",'Data Source'!W828)</f>
        <v/>
      </c>
      <c r="F828" s="9">
        <f>IF('Data Source'!B828="","",'Data Source'!X828)</f>
        <v/>
      </c>
      <c r="G828" s="9">
        <f>IF('Data Source'!B828="","",'Data Source'!Y828)</f>
        <v/>
      </c>
      <c r="H828" s="9">
        <f>IF('Data Source'!B828="","",'Data Source'!Z828)</f>
        <v/>
      </c>
      <c r="I828" s="9">
        <f>IF('Data Source'!B828="","",'Data Source'!AA828)</f>
        <v/>
      </c>
      <c r="J828" s="9">
        <f>IF('Data Source'!B828="","",'Data Source'!AB828)</f>
        <v/>
      </c>
      <c r="K828" s="9">
        <f>IF('Data Source'!B828="","",'Data Source'!AC828)</f>
        <v/>
      </c>
      <c r="L828" s="9">
        <f>IF('Data Source'!B828="","",'Data Source'!AD828)</f>
        <v/>
      </c>
      <c r="M828" s="9">
        <f>IF('Data Source'!B828="","",'Data Source'!AE828)</f>
        <v/>
      </c>
      <c r="N828" s="9">
        <f>IF('Data Source'!B828="","",'Data Source'!AF828)</f>
        <v/>
      </c>
      <c r="O828" s="9">
        <f>IF('Data Source'!B828="","",'Data Source'!AG828)</f>
        <v/>
      </c>
      <c r="P828" s="5">
        <f>IF('Data Source'!B828="","",'Data Source'!R828)</f>
        <v/>
      </c>
      <c r="Q828" s="3">
        <f>IF('Data Source'!B828="","",'Data Source'!S828)</f>
        <v/>
      </c>
    </row>
    <row r="829">
      <c r="A829" s="3">
        <f>IF('Data Source'!B829="","",'Data Source'!A829)</f>
        <v/>
      </c>
      <c r="B829">
        <f>IF('Data Source'!B829="","",'Data Source'!B829)</f>
        <v/>
      </c>
      <c r="C829" s="9">
        <f>IF('Data Source'!B829="","",'Data Source'!U829)</f>
        <v/>
      </c>
      <c r="D829" s="9">
        <f>IF('Data Source'!B829="","",'Data Source'!V829)</f>
        <v/>
      </c>
      <c r="E829" s="9">
        <f>IF('Data Source'!B829="","",'Data Source'!W829)</f>
        <v/>
      </c>
      <c r="F829" s="9">
        <f>IF('Data Source'!B829="","",'Data Source'!X829)</f>
        <v/>
      </c>
      <c r="G829" s="9">
        <f>IF('Data Source'!B829="","",'Data Source'!Y829)</f>
        <v/>
      </c>
      <c r="H829" s="9">
        <f>IF('Data Source'!B829="","",'Data Source'!Z829)</f>
        <v/>
      </c>
      <c r="I829" s="9">
        <f>IF('Data Source'!B829="","",'Data Source'!AA829)</f>
        <v/>
      </c>
      <c r="J829" s="9">
        <f>IF('Data Source'!B829="","",'Data Source'!AB829)</f>
        <v/>
      </c>
      <c r="K829" s="9">
        <f>IF('Data Source'!B829="","",'Data Source'!AC829)</f>
        <v/>
      </c>
      <c r="L829" s="9">
        <f>IF('Data Source'!B829="","",'Data Source'!AD829)</f>
        <v/>
      </c>
      <c r="M829" s="9">
        <f>IF('Data Source'!B829="","",'Data Source'!AE829)</f>
        <v/>
      </c>
      <c r="N829" s="9">
        <f>IF('Data Source'!B829="","",'Data Source'!AF829)</f>
        <v/>
      </c>
      <c r="O829" s="9">
        <f>IF('Data Source'!B829="","",'Data Source'!AG829)</f>
        <v/>
      </c>
      <c r="P829" s="5">
        <f>IF('Data Source'!B829="","",'Data Source'!R829)</f>
        <v/>
      </c>
      <c r="Q829" s="3">
        <f>IF('Data Source'!B829="","",'Data Source'!S829)</f>
        <v/>
      </c>
    </row>
    <row r="830">
      <c r="A830" s="3">
        <f>IF('Data Source'!B830="","",'Data Source'!A830)</f>
        <v/>
      </c>
      <c r="B830">
        <f>IF('Data Source'!B830="","",'Data Source'!B830)</f>
        <v/>
      </c>
      <c r="C830" s="9">
        <f>IF('Data Source'!B830="","",'Data Source'!U830)</f>
        <v/>
      </c>
      <c r="D830" s="9">
        <f>IF('Data Source'!B830="","",'Data Source'!V830)</f>
        <v/>
      </c>
      <c r="E830" s="9">
        <f>IF('Data Source'!B830="","",'Data Source'!W830)</f>
        <v/>
      </c>
      <c r="F830" s="9">
        <f>IF('Data Source'!B830="","",'Data Source'!X830)</f>
        <v/>
      </c>
      <c r="G830" s="9">
        <f>IF('Data Source'!B830="","",'Data Source'!Y830)</f>
        <v/>
      </c>
      <c r="H830" s="9">
        <f>IF('Data Source'!B830="","",'Data Source'!Z830)</f>
        <v/>
      </c>
      <c r="I830" s="9">
        <f>IF('Data Source'!B830="","",'Data Source'!AA830)</f>
        <v/>
      </c>
      <c r="J830" s="9">
        <f>IF('Data Source'!B830="","",'Data Source'!AB830)</f>
        <v/>
      </c>
      <c r="K830" s="9">
        <f>IF('Data Source'!B830="","",'Data Source'!AC830)</f>
        <v/>
      </c>
      <c r="L830" s="9">
        <f>IF('Data Source'!B830="","",'Data Source'!AD830)</f>
        <v/>
      </c>
      <c r="M830" s="9">
        <f>IF('Data Source'!B830="","",'Data Source'!AE830)</f>
        <v/>
      </c>
      <c r="N830" s="9">
        <f>IF('Data Source'!B830="","",'Data Source'!AF830)</f>
        <v/>
      </c>
      <c r="O830" s="9">
        <f>IF('Data Source'!B830="","",'Data Source'!AG830)</f>
        <v/>
      </c>
      <c r="P830" s="5">
        <f>IF('Data Source'!B830="","",'Data Source'!R830)</f>
        <v/>
      </c>
      <c r="Q830" s="3">
        <f>IF('Data Source'!B830="","",'Data Source'!S830)</f>
        <v/>
      </c>
    </row>
    <row r="831">
      <c r="A831" s="3">
        <f>IF('Data Source'!B831="","",'Data Source'!A831)</f>
        <v/>
      </c>
      <c r="B831">
        <f>IF('Data Source'!B831="","",'Data Source'!B831)</f>
        <v/>
      </c>
      <c r="C831" s="9">
        <f>IF('Data Source'!B831="","",'Data Source'!U831)</f>
        <v/>
      </c>
      <c r="D831" s="9">
        <f>IF('Data Source'!B831="","",'Data Source'!V831)</f>
        <v/>
      </c>
      <c r="E831" s="9">
        <f>IF('Data Source'!B831="","",'Data Source'!W831)</f>
        <v/>
      </c>
      <c r="F831" s="9">
        <f>IF('Data Source'!B831="","",'Data Source'!X831)</f>
        <v/>
      </c>
      <c r="G831" s="9">
        <f>IF('Data Source'!B831="","",'Data Source'!Y831)</f>
        <v/>
      </c>
      <c r="H831" s="9">
        <f>IF('Data Source'!B831="","",'Data Source'!Z831)</f>
        <v/>
      </c>
      <c r="I831" s="9">
        <f>IF('Data Source'!B831="","",'Data Source'!AA831)</f>
        <v/>
      </c>
      <c r="J831" s="9">
        <f>IF('Data Source'!B831="","",'Data Source'!AB831)</f>
        <v/>
      </c>
      <c r="K831" s="9">
        <f>IF('Data Source'!B831="","",'Data Source'!AC831)</f>
        <v/>
      </c>
      <c r="L831" s="9">
        <f>IF('Data Source'!B831="","",'Data Source'!AD831)</f>
        <v/>
      </c>
      <c r="M831" s="9">
        <f>IF('Data Source'!B831="","",'Data Source'!AE831)</f>
        <v/>
      </c>
      <c r="N831" s="9">
        <f>IF('Data Source'!B831="","",'Data Source'!AF831)</f>
        <v/>
      </c>
      <c r="O831" s="9">
        <f>IF('Data Source'!B831="","",'Data Source'!AG831)</f>
        <v/>
      </c>
      <c r="P831" s="5">
        <f>IF('Data Source'!B831="","",'Data Source'!R831)</f>
        <v/>
      </c>
      <c r="Q831" s="3">
        <f>IF('Data Source'!B831="","",'Data Source'!S831)</f>
        <v/>
      </c>
    </row>
    <row r="832">
      <c r="A832" s="3">
        <f>IF('Data Source'!B832="","",'Data Source'!A832)</f>
        <v/>
      </c>
      <c r="B832">
        <f>IF('Data Source'!B832="","",'Data Source'!B832)</f>
        <v/>
      </c>
      <c r="C832" s="9">
        <f>IF('Data Source'!B832="","",'Data Source'!U832)</f>
        <v/>
      </c>
      <c r="D832" s="9">
        <f>IF('Data Source'!B832="","",'Data Source'!V832)</f>
        <v/>
      </c>
      <c r="E832" s="9">
        <f>IF('Data Source'!B832="","",'Data Source'!W832)</f>
        <v/>
      </c>
      <c r="F832" s="9">
        <f>IF('Data Source'!B832="","",'Data Source'!X832)</f>
        <v/>
      </c>
      <c r="G832" s="9">
        <f>IF('Data Source'!B832="","",'Data Source'!Y832)</f>
        <v/>
      </c>
      <c r="H832" s="9">
        <f>IF('Data Source'!B832="","",'Data Source'!Z832)</f>
        <v/>
      </c>
      <c r="I832" s="9">
        <f>IF('Data Source'!B832="","",'Data Source'!AA832)</f>
        <v/>
      </c>
      <c r="J832" s="9">
        <f>IF('Data Source'!B832="","",'Data Source'!AB832)</f>
        <v/>
      </c>
      <c r="K832" s="9">
        <f>IF('Data Source'!B832="","",'Data Source'!AC832)</f>
        <v/>
      </c>
      <c r="L832" s="9">
        <f>IF('Data Source'!B832="","",'Data Source'!AD832)</f>
        <v/>
      </c>
      <c r="M832" s="9">
        <f>IF('Data Source'!B832="","",'Data Source'!AE832)</f>
        <v/>
      </c>
      <c r="N832" s="9">
        <f>IF('Data Source'!B832="","",'Data Source'!AF832)</f>
        <v/>
      </c>
      <c r="O832" s="9">
        <f>IF('Data Source'!B832="","",'Data Source'!AG832)</f>
        <v/>
      </c>
      <c r="P832" s="5">
        <f>IF('Data Source'!B832="","",'Data Source'!R832)</f>
        <v/>
      </c>
      <c r="Q832" s="3">
        <f>IF('Data Source'!B832="","",'Data Source'!S832)</f>
        <v/>
      </c>
    </row>
    <row r="833">
      <c r="A833" s="3">
        <f>IF('Data Source'!B833="","",'Data Source'!A833)</f>
        <v/>
      </c>
      <c r="B833">
        <f>IF('Data Source'!B833="","",'Data Source'!B833)</f>
        <v/>
      </c>
      <c r="C833" s="9">
        <f>IF('Data Source'!B833="","",'Data Source'!U833)</f>
        <v/>
      </c>
      <c r="D833" s="9">
        <f>IF('Data Source'!B833="","",'Data Source'!V833)</f>
        <v/>
      </c>
      <c r="E833" s="9">
        <f>IF('Data Source'!B833="","",'Data Source'!W833)</f>
        <v/>
      </c>
      <c r="F833" s="9">
        <f>IF('Data Source'!B833="","",'Data Source'!X833)</f>
        <v/>
      </c>
      <c r="G833" s="9">
        <f>IF('Data Source'!B833="","",'Data Source'!Y833)</f>
        <v/>
      </c>
      <c r="H833" s="9">
        <f>IF('Data Source'!B833="","",'Data Source'!Z833)</f>
        <v/>
      </c>
      <c r="I833" s="9">
        <f>IF('Data Source'!B833="","",'Data Source'!AA833)</f>
        <v/>
      </c>
      <c r="J833" s="9">
        <f>IF('Data Source'!B833="","",'Data Source'!AB833)</f>
        <v/>
      </c>
      <c r="K833" s="9">
        <f>IF('Data Source'!B833="","",'Data Source'!AC833)</f>
        <v/>
      </c>
      <c r="L833" s="9">
        <f>IF('Data Source'!B833="","",'Data Source'!AD833)</f>
        <v/>
      </c>
      <c r="M833" s="9">
        <f>IF('Data Source'!B833="","",'Data Source'!AE833)</f>
        <v/>
      </c>
      <c r="N833" s="9">
        <f>IF('Data Source'!B833="","",'Data Source'!AF833)</f>
        <v/>
      </c>
      <c r="O833" s="9">
        <f>IF('Data Source'!B833="","",'Data Source'!AG833)</f>
        <v/>
      </c>
      <c r="P833" s="5">
        <f>IF('Data Source'!B833="","",'Data Source'!R833)</f>
        <v/>
      </c>
      <c r="Q833" s="3">
        <f>IF('Data Source'!B833="","",'Data Source'!S833)</f>
        <v/>
      </c>
    </row>
    <row r="834">
      <c r="A834" s="3">
        <f>IF('Data Source'!B834="","",'Data Source'!A834)</f>
        <v/>
      </c>
      <c r="B834">
        <f>IF('Data Source'!B834="","",'Data Source'!B834)</f>
        <v/>
      </c>
      <c r="C834" s="9">
        <f>IF('Data Source'!B834="","",'Data Source'!U834)</f>
        <v/>
      </c>
      <c r="D834" s="9">
        <f>IF('Data Source'!B834="","",'Data Source'!V834)</f>
        <v/>
      </c>
      <c r="E834" s="9">
        <f>IF('Data Source'!B834="","",'Data Source'!W834)</f>
        <v/>
      </c>
      <c r="F834" s="9">
        <f>IF('Data Source'!B834="","",'Data Source'!X834)</f>
        <v/>
      </c>
      <c r="G834" s="9">
        <f>IF('Data Source'!B834="","",'Data Source'!Y834)</f>
        <v/>
      </c>
      <c r="H834" s="9">
        <f>IF('Data Source'!B834="","",'Data Source'!Z834)</f>
        <v/>
      </c>
      <c r="I834" s="9">
        <f>IF('Data Source'!B834="","",'Data Source'!AA834)</f>
        <v/>
      </c>
      <c r="J834" s="9">
        <f>IF('Data Source'!B834="","",'Data Source'!AB834)</f>
        <v/>
      </c>
      <c r="K834" s="9">
        <f>IF('Data Source'!B834="","",'Data Source'!AC834)</f>
        <v/>
      </c>
      <c r="L834" s="9">
        <f>IF('Data Source'!B834="","",'Data Source'!AD834)</f>
        <v/>
      </c>
      <c r="M834" s="9">
        <f>IF('Data Source'!B834="","",'Data Source'!AE834)</f>
        <v/>
      </c>
      <c r="N834" s="9">
        <f>IF('Data Source'!B834="","",'Data Source'!AF834)</f>
        <v/>
      </c>
      <c r="O834" s="9">
        <f>IF('Data Source'!B834="","",'Data Source'!AG834)</f>
        <v/>
      </c>
      <c r="P834" s="5">
        <f>IF('Data Source'!B834="","",'Data Source'!R834)</f>
        <v/>
      </c>
      <c r="Q834" s="3">
        <f>IF('Data Source'!B834="","",'Data Source'!S834)</f>
        <v/>
      </c>
    </row>
    <row r="835">
      <c r="A835" s="3">
        <f>IF('Data Source'!B835="","",'Data Source'!A835)</f>
        <v/>
      </c>
      <c r="B835">
        <f>IF('Data Source'!B835="","",'Data Source'!B835)</f>
        <v/>
      </c>
      <c r="C835" s="9">
        <f>IF('Data Source'!B835="","",'Data Source'!U835)</f>
        <v/>
      </c>
      <c r="D835" s="9">
        <f>IF('Data Source'!B835="","",'Data Source'!V835)</f>
        <v/>
      </c>
      <c r="E835" s="9">
        <f>IF('Data Source'!B835="","",'Data Source'!W835)</f>
        <v/>
      </c>
      <c r="F835" s="9">
        <f>IF('Data Source'!B835="","",'Data Source'!X835)</f>
        <v/>
      </c>
      <c r="G835" s="9">
        <f>IF('Data Source'!B835="","",'Data Source'!Y835)</f>
        <v/>
      </c>
      <c r="H835" s="9">
        <f>IF('Data Source'!B835="","",'Data Source'!Z835)</f>
        <v/>
      </c>
      <c r="I835" s="9">
        <f>IF('Data Source'!B835="","",'Data Source'!AA835)</f>
        <v/>
      </c>
      <c r="J835" s="9">
        <f>IF('Data Source'!B835="","",'Data Source'!AB835)</f>
        <v/>
      </c>
      <c r="K835" s="9">
        <f>IF('Data Source'!B835="","",'Data Source'!AC835)</f>
        <v/>
      </c>
      <c r="L835" s="9">
        <f>IF('Data Source'!B835="","",'Data Source'!AD835)</f>
        <v/>
      </c>
      <c r="M835" s="9">
        <f>IF('Data Source'!B835="","",'Data Source'!AE835)</f>
        <v/>
      </c>
      <c r="N835" s="9">
        <f>IF('Data Source'!B835="","",'Data Source'!AF835)</f>
        <v/>
      </c>
      <c r="O835" s="9">
        <f>IF('Data Source'!B835="","",'Data Source'!AG835)</f>
        <v/>
      </c>
      <c r="P835" s="5">
        <f>IF('Data Source'!B835="","",'Data Source'!R835)</f>
        <v/>
      </c>
      <c r="Q835" s="3">
        <f>IF('Data Source'!B835="","",'Data Source'!S835)</f>
        <v/>
      </c>
    </row>
    <row r="836">
      <c r="A836" s="3">
        <f>IF('Data Source'!B836="","",'Data Source'!A836)</f>
        <v/>
      </c>
      <c r="B836">
        <f>IF('Data Source'!B836="","",'Data Source'!B836)</f>
        <v/>
      </c>
      <c r="C836" s="9">
        <f>IF('Data Source'!B836="","",'Data Source'!U836)</f>
        <v/>
      </c>
      <c r="D836" s="9">
        <f>IF('Data Source'!B836="","",'Data Source'!V836)</f>
        <v/>
      </c>
      <c r="E836" s="9">
        <f>IF('Data Source'!B836="","",'Data Source'!W836)</f>
        <v/>
      </c>
      <c r="F836" s="9">
        <f>IF('Data Source'!B836="","",'Data Source'!X836)</f>
        <v/>
      </c>
      <c r="G836" s="9">
        <f>IF('Data Source'!B836="","",'Data Source'!Y836)</f>
        <v/>
      </c>
      <c r="H836" s="9">
        <f>IF('Data Source'!B836="","",'Data Source'!Z836)</f>
        <v/>
      </c>
      <c r="I836" s="9">
        <f>IF('Data Source'!B836="","",'Data Source'!AA836)</f>
        <v/>
      </c>
      <c r="J836" s="9">
        <f>IF('Data Source'!B836="","",'Data Source'!AB836)</f>
        <v/>
      </c>
      <c r="K836" s="9">
        <f>IF('Data Source'!B836="","",'Data Source'!AC836)</f>
        <v/>
      </c>
      <c r="L836" s="9">
        <f>IF('Data Source'!B836="","",'Data Source'!AD836)</f>
        <v/>
      </c>
      <c r="M836" s="9">
        <f>IF('Data Source'!B836="","",'Data Source'!AE836)</f>
        <v/>
      </c>
      <c r="N836" s="9">
        <f>IF('Data Source'!B836="","",'Data Source'!AF836)</f>
        <v/>
      </c>
      <c r="O836" s="9">
        <f>IF('Data Source'!B836="","",'Data Source'!AG836)</f>
        <v/>
      </c>
      <c r="P836" s="5">
        <f>IF('Data Source'!B836="","",'Data Source'!R836)</f>
        <v/>
      </c>
      <c r="Q836" s="3">
        <f>IF('Data Source'!B836="","",'Data Source'!S836)</f>
        <v/>
      </c>
    </row>
    <row r="837">
      <c r="A837" s="3">
        <f>IF('Data Source'!B837="","",'Data Source'!A837)</f>
        <v/>
      </c>
      <c r="B837">
        <f>IF('Data Source'!B837="","",'Data Source'!B837)</f>
        <v/>
      </c>
      <c r="C837" s="9">
        <f>IF('Data Source'!B837="","",'Data Source'!U837)</f>
        <v/>
      </c>
      <c r="D837" s="9">
        <f>IF('Data Source'!B837="","",'Data Source'!V837)</f>
        <v/>
      </c>
      <c r="E837" s="9">
        <f>IF('Data Source'!B837="","",'Data Source'!W837)</f>
        <v/>
      </c>
      <c r="F837" s="9">
        <f>IF('Data Source'!B837="","",'Data Source'!X837)</f>
        <v/>
      </c>
      <c r="G837" s="9">
        <f>IF('Data Source'!B837="","",'Data Source'!Y837)</f>
        <v/>
      </c>
      <c r="H837" s="9">
        <f>IF('Data Source'!B837="","",'Data Source'!Z837)</f>
        <v/>
      </c>
      <c r="I837" s="9">
        <f>IF('Data Source'!B837="","",'Data Source'!AA837)</f>
        <v/>
      </c>
      <c r="J837" s="9">
        <f>IF('Data Source'!B837="","",'Data Source'!AB837)</f>
        <v/>
      </c>
      <c r="K837" s="9">
        <f>IF('Data Source'!B837="","",'Data Source'!AC837)</f>
        <v/>
      </c>
      <c r="L837" s="9">
        <f>IF('Data Source'!B837="","",'Data Source'!AD837)</f>
        <v/>
      </c>
      <c r="M837" s="9">
        <f>IF('Data Source'!B837="","",'Data Source'!AE837)</f>
        <v/>
      </c>
      <c r="N837" s="9">
        <f>IF('Data Source'!B837="","",'Data Source'!AF837)</f>
        <v/>
      </c>
      <c r="O837" s="9">
        <f>IF('Data Source'!B837="","",'Data Source'!AG837)</f>
        <v/>
      </c>
      <c r="P837" s="5">
        <f>IF('Data Source'!B837="","",'Data Source'!R837)</f>
        <v/>
      </c>
      <c r="Q837" s="3">
        <f>IF('Data Source'!B837="","",'Data Source'!S837)</f>
        <v/>
      </c>
    </row>
    <row r="838">
      <c r="A838" s="3">
        <f>IF('Data Source'!B838="","",'Data Source'!A838)</f>
        <v/>
      </c>
      <c r="B838">
        <f>IF('Data Source'!B838="","",'Data Source'!B838)</f>
        <v/>
      </c>
      <c r="C838" s="9">
        <f>IF('Data Source'!B838="","",'Data Source'!U838)</f>
        <v/>
      </c>
      <c r="D838" s="9">
        <f>IF('Data Source'!B838="","",'Data Source'!V838)</f>
        <v/>
      </c>
      <c r="E838" s="9">
        <f>IF('Data Source'!B838="","",'Data Source'!W838)</f>
        <v/>
      </c>
      <c r="F838" s="9">
        <f>IF('Data Source'!B838="","",'Data Source'!X838)</f>
        <v/>
      </c>
      <c r="G838" s="9">
        <f>IF('Data Source'!B838="","",'Data Source'!Y838)</f>
        <v/>
      </c>
      <c r="H838" s="9">
        <f>IF('Data Source'!B838="","",'Data Source'!Z838)</f>
        <v/>
      </c>
      <c r="I838" s="9">
        <f>IF('Data Source'!B838="","",'Data Source'!AA838)</f>
        <v/>
      </c>
      <c r="J838" s="9">
        <f>IF('Data Source'!B838="","",'Data Source'!AB838)</f>
        <v/>
      </c>
      <c r="K838" s="9">
        <f>IF('Data Source'!B838="","",'Data Source'!AC838)</f>
        <v/>
      </c>
      <c r="L838" s="9">
        <f>IF('Data Source'!B838="","",'Data Source'!AD838)</f>
        <v/>
      </c>
      <c r="M838" s="9">
        <f>IF('Data Source'!B838="","",'Data Source'!AE838)</f>
        <v/>
      </c>
      <c r="N838" s="9">
        <f>IF('Data Source'!B838="","",'Data Source'!AF838)</f>
        <v/>
      </c>
      <c r="O838" s="9">
        <f>IF('Data Source'!B838="","",'Data Source'!AG838)</f>
        <v/>
      </c>
      <c r="P838" s="5">
        <f>IF('Data Source'!B838="","",'Data Source'!R838)</f>
        <v/>
      </c>
      <c r="Q838" s="3">
        <f>IF('Data Source'!B838="","",'Data Source'!S838)</f>
        <v/>
      </c>
    </row>
    <row r="839">
      <c r="A839" s="3">
        <f>IF('Data Source'!B839="","",'Data Source'!A839)</f>
        <v/>
      </c>
      <c r="B839">
        <f>IF('Data Source'!B839="","",'Data Source'!B839)</f>
        <v/>
      </c>
      <c r="C839" s="9">
        <f>IF('Data Source'!B839="","",'Data Source'!U839)</f>
        <v/>
      </c>
      <c r="D839" s="9">
        <f>IF('Data Source'!B839="","",'Data Source'!V839)</f>
        <v/>
      </c>
      <c r="E839" s="9">
        <f>IF('Data Source'!B839="","",'Data Source'!W839)</f>
        <v/>
      </c>
      <c r="F839" s="9">
        <f>IF('Data Source'!B839="","",'Data Source'!X839)</f>
        <v/>
      </c>
      <c r="G839" s="9">
        <f>IF('Data Source'!B839="","",'Data Source'!Y839)</f>
        <v/>
      </c>
      <c r="H839" s="9">
        <f>IF('Data Source'!B839="","",'Data Source'!Z839)</f>
        <v/>
      </c>
      <c r="I839" s="9">
        <f>IF('Data Source'!B839="","",'Data Source'!AA839)</f>
        <v/>
      </c>
      <c r="J839" s="9">
        <f>IF('Data Source'!B839="","",'Data Source'!AB839)</f>
        <v/>
      </c>
      <c r="K839" s="9">
        <f>IF('Data Source'!B839="","",'Data Source'!AC839)</f>
        <v/>
      </c>
      <c r="L839" s="9">
        <f>IF('Data Source'!B839="","",'Data Source'!AD839)</f>
        <v/>
      </c>
      <c r="M839" s="9">
        <f>IF('Data Source'!B839="","",'Data Source'!AE839)</f>
        <v/>
      </c>
      <c r="N839" s="9">
        <f>IF('Data Source'!B839="","",'Data Source'!AF839)</f>
        <v/>
      </c>
      <c r="O839" s="9">
        <f>IF('Data Source'!B839="","",'Data Source'!AG839)</f>
        <v/>
      </c>
      <c r="P839" s="5">
        <f>IF('Data Source'!B839="","",'Data Source'!R839)</f>
        <v/>
      </c>
      <c r="Q839" s="3">
        <f>IF('Data Source'!B839="","",'Data Source'!S839)</f>
        <v/>
      </c>
    </row>
    <row r="840">
      <c r="A840" s="3">
        <f>IF('Data Source'!B840="","",'Data Source'!A840)</f>
        <v/>
      </c>
      <c r="B840">
        <f>IF('Data Source'!B840="","",'Data Source'!B840)</f>
        <v/>
      </c>
      <c r="C840" s="9">
        <f>IF('Data Source'!B840="","",'Data Source'!U840)</f>
        <v/>
      </c>
      <c r="D840" s="9">
        <f>IF('Data Source'!B840="","",'Data Source'!V840)</f>
        <v/>
      </c>
      <c r="E840" s="9">
        <f>IF('Data Source'!B840="","",'Data Source'!W840)</f>
        <v/>
      </c>
      <c r="F840" s="9">
        <f>IF('Data Source'!B840="","",'Data Source'!X840)</f>
        <v/>
      </c>
      <c r="G840" s="9">
        <f>IF('Data Source'!B840="","",'Data Source'!Y840)</f>
        <v/>
      </c>
      <c r="H840" s="9">
        <f>IF('Data Source'!B840="","",'Data Source'!Z840)</f>
        <v/>
      </c>
      <c r="I840" s="9">
        <f>IF('Data Source'!B840="","",'Data Source'!AA840)</f>
        <v/>
      </c>
      <c r="J840" s="9">
        <f>IF('Data Source'!B840="","",'Data Source'!AB840)</f>
        <v/>
      </c>
      <c r="K840" s="9">
        <f>IF('Data Source'!B840="","",'Data Source'!AC840)</f>
        <v/>
      </c>
      <c r="L840" s="9">
        <f>IF('Data Source'!B840="","",'Data Source'!AD840)</f>
        <v/>
      </c>
      <c r="M840" s="9">
        <f>IF('Data Source'!B840="","",'Data Source'!AE840)</f>
        <v/>
      </c>
      <c r="N840" s="9">
        <f>IF('Data Source'!B840="","",'Data Source'!AF840)</f>
        <v/>
      </c>
      <c r="O840" s="9">
        <f>IF('Data Source'!B840="","",'Data Source'!AG840)</f>
        <v/>
      </c>
      <c r="P840" s="5">
        <f>IF('Data Source'!B840="","",'Data Source'!R840)</f>
        <v/>
      </c>
      <c r="Q840" s="3">
        <f>IF('Data Source'!B840="","",'Data Source'!S840)</f>
        <v/>
      </c>
    </row>
    <row r="841">
      <c r="A841" s="3">
        <f>IF('Data Source'!B841="","",'Data Source'!A841)</f>
        <v/>
      </c>
      <c r="B841">
        <f>IF('Data Source'!B841="","",'Data Source'!B841)</f>
        <v/>
      </c>
      <c r="C841" s="9">
        <f>IF('Data Source'!B841="","",'Data Source'!U841)</f>
        <v/>
      </c>
      <c r="D841" s="9">
        <f>IF('Data Source'!B841="","",'Data Source'!V841)</f>
        <v/>
      </c>
      <c r="E841" s="9">
        <f>IF('Data Source'!B841="","",'Data Source'!W841)</f>
        <v/>
      </c>
      <c r="F841" s="9">
        <f>IF('Data Source'!B841="","",'Data Source'!X841)</f>
        <v/>
      </c>
      <c r="G841" s="9">
        <f>IF('Data Source'!B841="","",'Data Source'!Y841)</f>
        <v/>
      </c>
      <c r="H841" s="9">
        <f>IF('Data Source'!B841="","",'Data Source'!Z841)</f>
        <v/>
      </c>
      <c r="I841" s="9">
        <f>IF('Data Source'!B841="","",'Data Source'!AA841)</f>
        <v/>
      </c>
      <c r="J841" s="9">
        <f>IF('Data Source'!B841="","",'Data Source'!AB841)</f>
        <v/>
      </c>
      <c r="K841" s="9">
        <f>IF('Data Source'!B841="","",'Data Source'!AC841)</f>
        <v/>
      </c>
      <c r="L841" s="9">
        <f>IF('Data Source'!B841="","",'Data Source'!AD841)</f>
        <v/>
      </c>
      <c r="M841" s="9">
        <f>IF('Data Source'!B841="","",'Data Source'!AE841)</f>
        <v/>
      </c>
      <c r="N841" s="9">
        <f>IF('Data Source'!B841="","",'Data Source'!AF841)</f>
        <v/>
      </c>
      <c r="O841" s="9">
        <f>IF('Data Source'!B841="","",'Data Source'!AG841)</f>
        <v/>
      </c>
      <c r="P841" s="5">
        <f>IF('Data Source'!B841="","",'Data Source'!R841)</f>
        <v/>
      </c>
      <c r="Q841" s="3">
        <f>IF('Data Source'!B841="","",'Data Source'!S841)</f>
        <v/>
      </c>
    </row>
    <row r="842">
      <c r="A842" s="3">
        <f>IF('Data Source'!B842="","",'Data Source'!A842)</f>
        <v/>
      </c>
      <c r="B842">
        <f>IF('Data Source'!B842="","",'Data Source'!B842)</f>
        <v/>
      </c>
      <c r="C842" s="9">
        <f>IF('Data Source'!B842="","",'Data Source'!U842)</f>
        <v/>
      </c>
      <c r="D842" s="9">
        <f>IF('Data Source'!B842="","",'Data Source'!V842)</f>
        <v/>
      </c>
      <c r="E842" s="9">
        <f>IF('Data Source'!B842="","",'Data Source'!W842)</f>
        <v/>
      </c>
      <c r="F842" s="9">
        <f>IF('Data Source'!B842="","",'Data Source'!X842)</f>
        <v/>
      </c>
      <c r="G842" s="9">
        <f>IF('Data Source'!B842="","",'Data Source'!Y842)</f>
        <v/>
      </c>
      <c r="H842" s="9">
        <f>IF('Data Source'!B842="","",'Data Source'!Z842)</f>
        <v/>
      </c>
      <c r="I842" s="9">
        <f>IF('Data Source'!B842="","",'Data Source'!AA842)</f>
        <v/>
      </c>
      <c r="J842" s="9">
        <f>IF('Data Source'!B842="","",'Data Source'!AB842)</f>
        <v/>
      </c>
      <c r="K842" s="9">
        <f>IF('Data Source'!B842="","",'Data Source'!AC842)</f>
        <v/>
      </c>
      <c r="L842" s="9">
        <f>IF('Data Source'!B842="","",'Data Source'!AD842)</f>
        <v/>
      </c>
      <c r="M842" s="9">
        <f>IF('Data Source'!B842="","",'Data Source'!AE842)</f>
        <v/>
      </c>
      <c r="N842" s="9">
        <f>IF('Data Source'!B842="","",'Data Source'!AF842)</f>
        <v/>
      </c>
      <c r="O842" s="9">
        <f>IF('Data Source'!B842="","",'Data Source'!AG842)</f>
        <v/>
      </c>
      <c r="P842" s="5">
        <f>IF('Data Source'!B842="","",'Data Source'!R842)</f>
        <v/>
      </c>
      <c r="Q842" s="3">
        <f>IF('Data Source'!B842="","",'Data Source'!S842)</f>
        <v/>
      </c>
    </row>
    <row r="843">
      <c r="A843" s="3">
        <f>IF('Data Source'!B843="","",'Data Source'!A843)</f>
        <v/>
      </c>
      <c r="B843">
        <f>IF('Data Source'!B843="","",'Data Source'!B843)</f>
        <v/>
      </c>
      <c r="C843" s="9">
        <f>IF('Data Source'!B843="","",'Data Source'!U843)</f>
        <v/>
      </c>
      <c r="D843" s="9">
        <f>IF('Data Source'!B843="","",'Data Source'!V843)</f>
        <v/>
      </c>
      <c r="E843" s="9">
        <f>IF('Data Source'!B843="","",'Data Source'!W843)</f>
        <v/>
      </c>
      <c r="F843" s="9">
        <f>IF('Data Source'!B843="","",'Data Source'!X843)</f>
        <v/>
      </c>
      <c r="G843" s="9">
        <f>IF('Data Source'!B843="","",'Data Source'!Y843)</f>
        <v/>
      </c>
      <c r="H843" s="9">
        <f>IF('Data Source'!B843="","",'Data Source'!Z843)</f>
        <v/>
      </c>
      <c r="I843" s="9">
        <f>IF('Data Source'!B843="","",'Data Source'!AA843)</f>
        <v/>
      </c>
      <c r="J843" s="9">
        <f>IF('Data Source'!B843="","",'Data Source'!AB843)</f>
        <v/>
      </c>
      <c r="K843" s="9">
        <f>IF('Data Source'!B843="","",'Data Source'!AC843)</f>
        <v/>
      </c>
      <c r="L843" s="9">
        <f>IF('Data Source'!B843="","",'Data Source'!AD843)</f>
        <v/>
      </c>
      <c r="M843" s="9">
        <f>IF('Data Source'!B843="","",'Data Source'!AE843)</f>
        <v/>
      </c>
      <c r="N843" s="9">
        <f>IF('Data Source'!B843="","",'Data Source'!AF843)</f>
        <v/>
      </c>
      <c r="O843" s="9">
        <f>IF('Data Source'!B843="","",'Data Source'!AG843)</f>
        <v/>
      </c>
      <c r="P843" s="5">
        <f>IF('Data Source'!B843="","",'Data Source'!R843)</f>
        <v/>
      </c>
      <c r="Q843" s="3">
        <f>IF('Data Source'!B843="","",'Data Source'!S843)</f>
        <v/>
      </c>
    </row>
    <row r="844">
      <c r="A844" s="3">
        <f>IF('Data Source'!B844="","",'Data Source'!A844)</f>
        <v/>
      </c>
      <c r="B844">
        <f>IF('Data Source'!B844="","",'Data Source'!B844)</f>
        <v/>
      </c>
      <c r="C844" s="9">
        <f>IF('Data Source'!B844="","",'Data Source'!U844)</f>
        <v/>
      </c>
      <c r="D844" s="9">
        <f>IF('Data Source'!B844="","",'Data Source'!V844)</f>
        <v/>
      </c>
      <c r="E844" s="9">
        <f>IF('Data Source'!B844="","",'Data Source'!W844)</f>
        <v/>
      </c>
      <c r="F844" s="9">
        <f>IF('Data Source'!B844="","",'Data Source'!X844)</f>
        <v/>
      </c>
      <c r="G844" s="9">
        <f>IF('Data Source'!B844="","",'Data Source'!Y844)</f>
        <v/>
      </c>
      <c r="H844" s="9">
        <f>IF('Data Source'!B844="","",'Data Source'!Z844)</f>
        <v/>
      </c>
      <c r="I844" s="9">
        <f>IF('Data Source'!B844="","",'Data Source'!AA844)</f>
        <v/>
      </c>
      <c r="J844" s="9">
        <f>IF('Data Source'!B844="","",'Data Source'!AB844)</f>
        <v/>
      </c>
      <c r="K844" s="9">
        <f>IF('Data Source'!B844="","",'Data Source'!AC844)</f>
        <v/>
      </c>
      <c r="L844" s="9">
        <f>IF('Data Source'!B844="","",'Data Source'!AD844)</f>
        <v/>
      </c>
      <c r="M844" s="9">
        <f>IF('Data Source'!B844="","",'Data Source'!AE844)</f>
        <v/>
      </c>
      <c r="N844" s="9">
        <f>IF('Data Source'!B844="","",'Data Source'!AF844)</f>
        <v/>
      </c>
      <c r="O844" s="9">
        <f>IF('Data Source'!B844="","",'Data Source'!AG844)</f>
        <v/>
      </c>
      <c r="P844" s="5">
        <f>IF('Data Source'!B844="","",'Data Source'!R844)</f>
        <v/>
      </c>
      <c r="Q844" s="3">
        <f>IF('Data Source'!B844="","",'Data Source'!S844)</f>
        <v/>
      </c>
    </row>
    <row r="845">
      <c r="A845" s="3">
        <f>IF('Data Source'!B845="","",'Data Source'!A845)</f>
        <v/>
      </c>
      <c r="B845">
        <f>IF('Data Source'!B845="","",'Data Source'!B845)</f>
        <v/>
      </c>
      <c r="C845" s="9">
        <f>IF('Data Source'!B845="","",'Data Source'!U845)</f>
        <v/>
      </c>
      <c r="D845" s="9">
        <f>IF('Data Source'!B845="","",'Data Source'!V845)</f>
        <v/>
      </c>
      <c r="E845" s="9">
        <f>IF('Data Source'!B845="","",'Data Source'!W845)</f>
        <v/>
      </c>
      <c r="F845" s="9">
        <f>IF('Data Source'!B845="","",'Data Source'!X845)</f>
        <v/>
      </c>
      <c r="G845" s="9">
        <f>IF('Data Source'!B845="","",'Data Source'!Y845)</f>
        <v/>
      </c>
      <c r="H845" s="9">
        <f>IF('Data Source'!B845="","",'Data Source'!Z845)</f>
        <v/>
      </c>
      <c r="I845" s="9">
        <f>IF('Data Source'!B845="","",'Data Source'!AA845)</f>
        <v/>
      </c>
      <c r="J845" s="9">
        <f>IF('Data Source'!B845="","",'Data Source'!AB845)</f>
        <v/>
      </c>
      <c r="K845" s="9">
        <f>IF('Data Source'!B845="","",'Data Source'!AC845)</f>
        <v/>
      </c>
      <c r="L845" s="9">
        <f>IF('Data Source'!B845="","",'Data Source'!AD845)</f>
        <v/>
      </c>
      <c r="M845" s="9">
        <f>IF('Data Source'!B845="","",'Data Source'!AE845)</f>
        <v/>
      </c>
      <c r="N845" s="9">
        <f>IF('Data Source'!B845="","",'Data Source'!AF845)</f>
        <v/>
      </c>
      <c r="O845" s="9">
        <f>IF('Data Source'!B845="","",'Data Source'!AG845)</f>
        <v/>
      </c>
      <c r="P845" s="5">
        <f>IF('Data Source'!B845="","",'Data Source'!R845)</f>
        <v/>
      </c>
      <c r="Q845" s="3">
        <f>IF('Data Source'!B845="","",'Data Source'!S845)</f>
        <v/>
      </c>
    </row>
    <row r="846">
      <c r="A846" s="3">
        <f>IF('Data Source'!B846="","",'Data Source'!A846)</f>
        <v/>
      </c>
      <c r="B846">
        <f>IF('Data Source'!B846="","",'Data Source'!B846)</f>
        <v/>
      </c>
      <c r="C846" s="9">
        <f>IF('Data Source'!B846="","",'Data Source'!U846)</f>
        <v/>
      </c>
      <c r="D846" s="9">
        <f>IF('Data Source'!B846="","",'Data Source'!V846)</f>
        <v/>
      </c>
      <c r="E846" s="9">
        <f>IF('Data Source'!B846="","",'Data Source'!W846)</f>
        <v/>
      </c>
      <c r="F846" s="9">
        <f>IF('Data Source'!B846="","",'Data Source'!X846)</f>
        <v/>
      </c>
      <c r="G846" s="9">
        <f>IF('Data Source'!B846="","",'Data Source'!Y846)</f>
        <v/>
      </c>
      <c r="H846" s="9">
        <f>IF('Data Source'!B846="","",'Data Source'!Z846)</f>
        <v/>
      </c>
      <c r="I846" s="9">
        <f>IF('Data Source'!B846="","",'Data Source'!AA846)</f>
        <v/>
      </c>
      <c r="J846" s="9">
        <f>IF('Data Source'!B846="","",'Data Source'!AB846)</f>
        <v/>
      </c>
      <c r="K846" s="9">
        <f>IF('Data Source'!B846="","",'Data Source'!AC846)</f>
        <v/>
      </c>
      <c r="L846" s="9">
        <f>IF('Data Source'!B846="","",'Data Source'!AD846)</f>
        <v/>
      </c>
      <c r="M846" s="9">
        <f>IF('Data Source'!B846="","",'Data Source'!AE846)</f>
        <v/>
      </c>
      <c r="N846" s="9">
        <f>IF('Data Source'!B846="","",'Data Source'!AF846)</f>
        <v/>
      </c>
      <c r="O846" s="9">
        <f>IF('Data Source'!B846="","",'Data Source'!AG846)</f>
        <v/>
      </c>
      <c r="P846" s="5">
        <f>IF('Data Source'!B846="","",'Data Source'!R846)</f>
        <v/>
      </c>
      <c r="Q846" s="3">
        <f>IF('Data Source'!B846="","",'Data Source'!S846)</f>
        <v/>
      </c>
    </row>
    <row r="847">
      <c r="A847" s="3">
        <f>IF('Data Source'!B847="","",'Data Source'!A847)</f>
        <v/>
      </c>
      <c r="B847">
        <f>IF('Data Source'!B847="","",'Data Source'!B847)</f>
        <v/>
      </c>
      <c r="C847" s="9">
        <f>IF('Data Source'!B847="","",'Data Source'!U847)</f>
        <v/>
      </c>
      <c r="D847" s="9">
        <f>IF('Data Source'!B847="","",'Data Source'!V847)</f>
        <v/>
      </c>
      <c r="E847" s="9">
        <f>IF('Data Source'!B847="","",'Data Source'!W847)</f>
        <v/>
      </c>
      <c r="F847" s="9">
        <f>IF('Data Source'!B847="","",'Data Source'!X847)</f>
        <v/>
      </c>
      <c r="G847" s="9">
        <f>IF('Data Source'!B847="","",'Data Source'!Y847)</f>
        <v/>
      </c>
      <c r="H847" s="9">
        <f>IF('Data Source'!B847="","",'Data Source'!Z847)</f>
        <v/>
      </c>
      <c r="I847" s="9">
        <f>IF('Data Source'!B847="","",'Data Source'!AA847)</f>
        <v/>
      </c>
      <c r="J847" s="9">
        <f>IF('Data Source'!B847="","",'Data Source'!AB847)</f>
        <v/>
      </c>
      <c r="K847" s="9">
        <f>IF('Data Source'!B847="","",'Data Source'!AC847)</f>
        <v/>
      </c>
      <c r="L847" s="9">
        <f>IF('Data Source'!B847="","",'Data Source'!AD847)</f>
        <v/>
      </c>
      <c r="M847" s="9">
        <f>IF('Data Source'!B847="","",'Data Source'!AE847)</f>
        <v/>
      </c>
      <c r="N847" s="9">
        <f>IF('Data Source'!B847="","",'Data Source'!AF847)</f>
        <v/>
      </c>
      <c r="O847" s="9">
        <f>IF('Data Source'!B847="","",'Data Source'!AG847)</f>
        <v/>
      </c>
      <c r="P847" s="5">
        <f>IF('Data Source'!B847="","",'Data Source'!R847)</f>
        <v/>
      </c>
      <c r="Q847" s="3">
        <f>IF('Data Source'!B847="","",'Data Source'!S847)</f>
        <v/>
      </c>
    </row>
    <row r="848">
      <c r="A848" s="3">
        <f>IF('Data Source'!B848="","",'Data Source'!A848)</f>
        <v/>
      </c>
      <c r="B848">
        <f>IF('Data Source'!B848="","",'Data Source'!B848)</f>
        <v/>
      </c>
      <c r="C848" s="9">
        <f>IF('Data Source'!B848="","",'Data Source'!U848)</f>
        <v/>
      </c>
      <c r="D848" s="9">
        <f>IF('Data Source'!B848="","",'Data Source'!V848)</f>
        <v/>
      </c>
      <c r="E848" s="9">
        <f>IF('Data Source'!B848="","",'Data Source'!W848)</f>
        <v/>
      </c>
      <c r="F848" s="9">
        <f>IF('Data Source'!B848="","",'Data Source'!X848)</f>
        <v/>
      </c>
      <c r="G848" s="9">
        <f>IF('Data Source'!B848="","",'Data Source'!Y848)</f>
        <v/>
      </c>
      <c r="H848" s="9">
        <f>IF('Data Source'!B848="","",'Data Source'!Z848)</f>
        <v/>
      </c>
      <c r="I848" s="9">
        <f>IF('Data Source'!B848="","",'Data Source'!AA848)</f>
        <v/>
      </c>
      <c r="J848" s="9">
        <f>IF('Data Source'!B848="","",'Data Source'!AB848)</f>
        <v/>
      </c>
      <c r="K848" s="9">
        <f>IF('Data Source'!B848="","",'Data Source'!AC848)</f>
        <v/>
      </c>
      <c r="L848" s="9">
        <f>IF('Data Source'!B848="","",'Data Source'!AD848)</f>
        <v/>
      </c>
      <c r="M848" s="9">
        <f>IF('Data Source'!B848="","",'Data Source'!AE848)</f>
        <v/>
      </c>
      <c r="N848" s="9">
        <f>IF('Data Source'!B848="","",'Data Source'!AF848)</f>
        <v/>
      </c>
      <c r="O848" s="9">
        <f>IF('Data Source'!B848="","",'Data Source'!AG848)</f>
        <v/>
      </c>
      <c r="P848" s="5">
        <f>IF('Data Source'!B848="","",'Data Source'!R848)</f>
        <v/>
      </c>
      <c r="Q848" s="3">
        <f>IF('Data Source'!B848="","",'Data Source'!S848)</f>
        <v/>
      </c>
    </row>
    <row r="849">
      <c r="A849" s="3">
        <f>IF('Data Source'!B849="","",'Data Source'!A849)</f>
        <v/>
      </c>
      <c r="B849">
        <f>IF('Data Source'!B849="","",'Data Source'!B849)</f>
        <v/>
      </c>
      <c r="C849" s="9">
        <f>IF('Data Source'!B849="","",'Data Source'!U849)</f>
        <v/>
      </c>
      <c r="D849" s="9">
        <f>IF('Data Source'!B849="","",'Data Source'!V849)</f>
        <v/>
      </c>
      <c r="E849" s="9">
        <f>IF('Data Source'!B849="","",'Data Source'!W849)</f>
        <v/>
      </c>
      <c r="F849" s="9">
        <f>IF('Data Source'!B849="","",'Data Source'!X849)</f>
        <v/>
      </c>
      <c r="G849" s="9">
        <f>IF('Data Source'!B849="","",'Data Source'!Y849)</f>
        <v/>
      </c>
      <c r="H849" s="9">
        <f>IF('Data Source'!B849="","",'Data Source'!Z849)</f>
        <v/>
      </c>
      <c r="I849" s="9">
        <f>IF('Data Source'!B849="","",'Data Source'!AA849)</f>
        <v/>
      </c>
      <c r="J849" s="9">
        <f>IF('Data Source'!B849="","",'Data Source'!AB849)</f>
        <v/>
      </c>
      <c r="K849" s="9">
        <f>IF('Data Source'!B849="","",'Data Source'!AC849)</f>
        <v/>
      </c>
      <c r="L849" s="9">
        <f>IF('Data Source'!B849="","",'Data Source'!AD849)</f>
        <v/>
      </c>
      <c r="M849" s="9">
        <f>IF('Data Source'!B849="","",'Data Source'!AE849)</f>
        <v/>
      </c>
      <c r="N849" s="9">
        <f>IF('Data Source'!B849="","",'Data Source'!AF849)</f>
        <v/>
      </c>
      <c r="O849" s="9">
        <f>IF('Data Source'!B849="","",'Data Source'!AG849)</f>
        <v/>
      </c>
      <c r="P849" s="5">
        <f>IF('Data Source'!B849="","",'Data Source'!R849)</f>
        <v/>
      </c>
      <c r="Q849" s="3">
        <f>IF('Data Source'!B849="","",'Data Source'!S849)</f>
        <v/>
      </c>
    </row>
    <row r="850">
      <c r="A850" s="3">
        <f>IF('Data Source'!B850="","",'Data Source'!A850)</f>
        <v/>
      </c>
      <c r="B850">
        <f>IF('Data Source'!B850="","",'Data Source'!B850)</f>
        <v/>
      </c>
      <c r="C850" s="9">
        <f>IF('Data Source'!B850="","",'Data Source'!U850)</f>
        <v/>
      </c>
      <c r="D850" s="9">
        <f>IF('Data Source'!B850="","",'Data Source'!V850)</f>
        <v/>
      </c>
      <c r="E850" s="9">
        <f>IF('Data Source'!B850="","",'Data Source'!W850)</f>
        <v/>
      </c>
      <c r="F850" s="9">
        <f>IF('Data Source'!B850="","",'Data Source'!X850)</f>
        <v/>
      </c>
      <c r="G850" s="9">
        <f>IF('Data Source'!B850="","",'Data Source'!Y850)</f>
        <v/>
      </c>
      <c r="H850" s="9">
        <f>IF('Data Source'!B850="","",'Data Source'!Z850)</f>
        <v/>
      </c>
      <c r="I850" s="9">
        <f>IF('Data Source'!B850="","",'Data Source'!AA850)</f>
        <v/>
      </c>
      <c r="J850" s="9">
        <f>IF('Data Source'!B850="","",'Data Source'!AB850)</f>
        <v/>
      </c>
      <c r="K850" s="9">
        <f>IF('Data Source'!B850="","",'Data Source'!AC850)</f>
        <v/>
      </c>
      <c r="L850" s="9">
        <f>IF('Data Source'!B850="","",'Data Source'!AD850)</f>
        <v/>
      </c>
      <c r="M850" s="9">
        <f>IF('Data Source'!B850="","",'Data Source'!AE850)</f>
        <v/>
      </c>
      <c r="N850" s="9">
        <f>IF('Data Source'!B850="","",'Data Source'!AF850)</f>
        <v/>
      </c>
      <c r="O850" s="9">
        <f>IF('Data Source'!B850="","",'Data Source'!AG850)</f>
        <v/>
      </c>
      <c r="P850" s="5">
        <f>IF('Data Source'!B850="","",'Data Source'!R850)</f>
        <v/>
      </c>
      <c r="Q850" s="3">
        <f>IF('Data Source'!B850="","",'Data Source'!S850)</f>
        <v/>
      </c>
    </row>
    <row r="851">
      <c r="A851" s="3">
        <f>IF('Data Source'!B851="","",'Data Source'!A851)</f>
        <v/>
      </c>
      <c r="B851">
        <f>IF('Data Source'!B851="","",'Data Source'!B851)</f>
        <v/>
      </c>
      <c r="C851" s="9">
        <f>IF('Data Source'!B851="","",'Data Source'!U851)</f>
        <v/>
      </c>
      <c r="D851" s="9">
        <f>IF('Data Source'!B851="","",'Data Source'!V851)</f>
        <v/>
      </c>
      <c r="E851" s="9">
        <f>IF('Data Source'!B851="","",'Data Source'!W851)</f>
        <v/>
      </c>
      <c r="F851" s="9">
        <f>IF('Data Source'!B851="","",'Data Source'!X851)</f>
        <v/>
      </c>
      <c r="G851" s="9">
        <f>IF('Data Source'!B851="","",'Data Source'!Y851)</f>
        <v/>
      </c>
      <c r="H851" s="9">
        <f>IF('Data Source'!B851="","",'Data Source'!Z851)</f>
        <v/>
      </c>
      <c r="I851" s="9">
        <f>IF('Data Source'!B851="","",'Data Source'!AA851)</f>
        <v/>
      </c>
      <c r="J851" s="9">
        <f>IF('Data Source'!B851="","",'Data Source'!AB851)</f>
        <v/>
      </c>
      <c r="K851" s="9">
        <f>IF('Data Source'!B851="","",'Data Source'!AC851)</f>
        <v/>
      </c>
      <c r="L851" s="9">
        <f>IF('Data Source'!B851="","",'Data Source'!AD851)</f>
        <v/>
      </c>
      <c r="M851" s="9">
        <f>IF('Data Source'!B851="","",'Data Source'!AE851)</f>
        <v/>
      </c>
      <c r="N851" s="9">
        <f>IF('Data Source'!B851="","",'Data Source'!AF851)</f>
        <v/>
      </c>
      <c r="O851" s="9">
        <f>IF('Data Source'!B851="","",'Data Source'!AG851)</f>
        <v/>
      </c>
      <c r="P851" s="5">
        <f>IF('Data Source'!B851="","",'Data Source'!R851)</f>
        <v/>
      </c>
      <c r="Q851" s="3">
        <f>IF('Data Source'!B851="","",'Data Source'!S851)</f>
        <v/>
      </c>
    </row>
    <row r="852">
      <c r="A852" s="3">
        <f>IF('Data Source'!B852="","",'Data Source'!A852)</f>
        <v/>
      </c>
      <c r="B852">
        <f>IF('Data Source'!B852="","",'Data Source'!B852)</f>
        <v/>
      </c>
      <c r="C852" s="9">
        <f>IF('Data Source'!B852="","",'Data Source'!U852)</f>
        <v/>
      </c>
      <c r="D852" s="9">
        <f>IF('Data Source'!B852="","",'Data Source'!V852)</f>
        <v/>
      </c>
      <c r="E852" s="9">
        <f>IF('Data Source'!B852="","",'Data Source'!W852)</f>
        <v/>
      </c>
      <c r="F852" s="9">
        <f>IF('Data Source'!B852="","",'Data Source'!X852)</f>
        <v/>
      </c>
      <c r="G852" s="9">
        <f>IF('Data Source'!B852="","",'Data Source'!Y852)</f>
        <v/>
      </c>
      <c r="H852" s="9">
        <f>IF('Data Source'!B852="","",'Data Source'!Z852)</f>
        <v/>
      </c>
      <c r="I852" s="9">
        <f>IF('Data Source'!B852="","",'Data Source'!AA852)</f>
        <v/>
      </c>
      <c r="J852" s="9">
        <f>IF('Data Source'!B852="","",'Data Source'!AB852)</f>
        <v/>
      </c>
      <c r="K852" s="9">
        <f>IF('Data Source'!B852="","",'Data Source'!AC852)</f>
        <v/>
      </c>
      <c r="L852" s="9">
        <f>IF('Data Source'!B852="","",'Data Source'!AD852)</f>
        <v/>
      </c>
      <c r="M852" s="9">
        <f>IF('Data Source'!B852="","",'Data Source'!AE852)</f>
        <v/>
      </c>
      <c r="N852" s="9">
        <f>IF('Data Source'!B852="","",'Data Source'!AF852)</f>
        <v/>
      </c>
      <c r="O852" s="9">
        <f>IF('Data Source'!B852="","",'Data Source'!AG852)</f>
        <v/>
      </c>
      <c r="P852" s="5">
        <f>IF('Data Source'!B852="","",'Data Source'!R852)</f>
        <v/>
      </c>
      <c r="Q852" s="3">
        <f>IF('Data Source'!B852="","",'Data Source'!S852)</f>
        <v/>
      </c>
    </row>
    <row r="853">
      <c r="A853" s="3">
        <f>IF('Data Source'!B853="","",'Data Source'!A853)</f>
        <v/>
      </c>
      <c r="B853">
        <f>IF('Data Source'!B853="","",'Data Source'!B853)</f>
        <v/>
      </c>
      <c r="C853" s="9">
        <f>IF('Data Source'!B853="","",'Data Source'!U853)</f>
        <v/>
      </c>
      <c r="D853" s="9">
        <f>IF('Data Source'!B853="","",'Data Source'!V853)</f>
        <v/>
      </c>
      <c r="E853" s="9">
        <f>IF('Data Source'!B853="","",'Data Source'!W853)</f>
        <v/>
      </c>
      <c r="F853" s="9">
        <f>IF('Data Source'!B853="","",'Data Source'!X853)</f>
        <v/>
      </c>
      <c r="G853" s="9">
        <f>IF('Data Source'!B853="","",'Data Source'!Y853)</f>
        <v/>
      </c>
      <c r="H853" s="9">
        <f>IF('Data Source'!B853="","",'Data Source'!Z853)</f>
        <v/>
      </c>
      <c r="I853" s="9">
        <f>IF('Data Source'!B853="","",'Data Source'!AA853)</f>
        <v/>
      </c>
      <c r="J853" s="9">
        <f>IF('Data Source'!B853="","",'Data Source'!AB853)</f>
        <v/>
      </c>
      <c r="K853" s="9">
        <f>IF('Data Source'!B853="","",'Data Source'!AC853)</f>
        <v/>
      </c>
      <c r="L853" s="9">
        <f>IF('Data Source'!B853="","",'Data Source'!AD853)</f>
        <v/>
      </c>
      <c r="M853" s="9">
        <f>IF('Data Source'!B853="","",'Data Source'!AE853)</f>
        <v/>
      </c>
      <c r="N853" s="9">
        <f>IF('Data Source'!B853="","",'Data Source'!AF853)</f>
        <v/>
      </c>
      <c r="O853" s="9">
        <f>IF('Data Source'!B853="","",'Data Source'!AG853)</f>
        <v/>
      </c>
      <c r="P853" s="5">
        <f>IF('Data Source'!B853="","",'Data Source'!R853)</f>
        <v/>
      </c>
      <c r="Q853" s="3">
        <f>IF('Data Source'!B853="","",'Data Source'!S853)</f>
        <v/>
      </c>
    </row>
    <row r="854">
      <c r="A854" s="3">
        <f>IF('Data Source'!B854="","",'Data Source'!A854)</f>
        <v/>
      </c>
      <c r="B854">
        <f>IF('Data Source'!B854="","",'Data Source'!B854)</f>
        <v/>
      </c>
      <c r="C854" s="9">
        <f>IF('Data Source'!B854="","",'Data Source'!U854)</f>
        <v/>
      </c>
      <c r="D854" s="9">
        <f>IF('Data Source'!B854="","",'Data Source'!V854)</f>
        <v/>
      </c>
      <c r="E854" s="9">
        <f>IF('Data Source'!B854="","",'Data Source'!W854)</f>
        <v/>
      </c>
      <c r="F854" s="9">
        <f>IF('Data Source'!B854="","",'Data Source'!X854)</f>
        <v/>
      </c>
      <c r="G854" s="9">
        <f>IF('Data Source'!B854="","",'Data Source'!Y854)</f>
        <v/>
      </c>
      <c r="H854" s="9">
        <f>IF('Data Source'!B854="","",'Data Source'!Z854)</f>
        <v/>
      </c>
      <c r="I854" s="9">
        <f>IF('Data Source'!B854="","",'Data Source'!AA854)</f>
        <v/>
      </c>
      <c r="J854" s="9">
        <f>IF('Data Source'!B854="","",'Data Source'!AB854)</f>
        <v/>
      </c>
      <c r="K854" s="9">
        <f>IF('Data Source'!B854="","",'Data Source'!AC854)</f>
        <v/>
      </c>
      <c r="L854" s="9">
        <f>IF('Data Source'!B854="","",'Data Source'!AD854)</f>
        <v/>
      </c>
      <c r="M854" s="9">
        <f>IF('Data Source'!B854="","",'Data Source'!AE854)</f>
        <v/>
      </c>
      <c r="N854" s="9">
        <f>IF('Data Source'!B854="","",'Data Source'!AF854)</f>
        <v/>
      </c>
      <c r="O854" s="9">
        <f>IF('Data Source'!B854="","",'Data Source'!AG854)</f>
        <v/>
      </c>
      <c r="P854" s="5">
        <f>IF('Data Source'!B854="","",'Data Source'!R854)</f>
        <v/>
      </c>
      <c r="Q854" s="3">
        <f>IF('Data Source'!B854="","",'Data Source'!S854)</f>
        <v/>
      </c>
    </row>
    <row r="855">
      <c r="A855" s="3">
        <f>IF('Data Source'!B855="","",'Data Source'!A855)</f>
        <v/>
      </c>
      <c r="B855">
        <f>IF('Data Source'!B855="","",'Data Source'!B855)</f>
        <v/>
      </c>
      <c r="C855" s="9">
        <f>IF('Data Source'!B855="","",'Data Source'!U855)</f>
        <v/>
      </c>
      <c r="D855" s="9">
        <f>IF('Data Source'!B855="","",'Data Source'!V855)</f>
        <v/>
      </c>
      <c r="E855" s="9">
        <f>IF('Data Source'!B855="","",'Data Source'!W855)</f>
        <v/>
      </c>
      <c r="F855" s="9">
        <f>IF('Data Source'!B855="","",'Data Source'!X855)</f>
        <v/>
      </c>
      <c r="G855" s="9">
        <f>IF('Data Source'!B855="","",'Data Source'!Y855)</f>
        <v/>
      </c>
      <c r="H855" s="9">
        <f>IF('Data Source'!B855="","",'Data Source'!Z855)</f>
        <v/>
      </c>
      <c r="I855" s="9">
        <f>IF('Data Source'!B855="","",'Data Source'!AA855)</f>
        <v/>
      </c>
      <c r="J855" s="9">
        <f>IF('Data Source'!B855="","",'Data Source'!AB855)</f>
        <v/>
      </c>
      <c r="K855" s="9">
        <f>IF('Data Source'!B855="","",'Data Source'!AC855)</f>
        <v/>
      </c>
      <c r="L855" s="9">
        <f>IF('Data Source'!B855="","",'Data Source'!AD855)</f>
        <v/>
      </c>
      <c r="M855" s="9">
        <f>IF('Data Source'!B855="","",'Data Source'!AE855)</f>
        <v/>
      </c>
      <c r="N855" s="9">
        <f>IF('Data Source'!B855="","",'Data Source'!AF855)</f>
        <v/>
      </c>
      <c r="O855" s="9">
        <f>IF('Data Source'!B855="","",'Data Source'!AG855)</f>
        <v/>
      </c>
      <c r="P855" s="5">
        <f>IF('Data Source'!B855="","",'Data Source'!R855)</f>
        <v/>
      </c>
      <c r="Q855" s="3">
        <f>IF('Data Source'!B855="","",'Data Source'!S855)</f>
        <v/>
      </c>
    </row>
    <row r="856">
      <c r="A856" s="3">
        <f>IF('Data Source'!B856="","",'Data Source'!A856)</f>
        <v/>
      </c>
      <c r="B856">
        <f>IF('Data Source'!B856="","",'Data Source'!B856)</f>
        <v/>
      </c>
      <c r="C856" s="9">
        <f>IF('Data Source'!B856="","",'Data Source'!U856)</f>
        <v/>
      </c>
      <c r="D856" s="9">
        <f>IF('Data Source'!B856="","",'Data Source'!V856)</f>
        <v/>
      </c>
      <c r="E856" s="9">
        <f>IF('Data Source'!B856="","",'Data Source'!W856)</f>
        <v/>
      </c>
      <c r="F856" s="9">
        <f>IF('Data Source'!B856="","",'Data Source'!X856)</f>
        <v/>
      </c>
      <c r="G856" s="9">
        <f>IF('Data Source'!B856="","",'Data Source'!Y856)</f>
        <v/>
      </c>
      <c r="H856" s="9">
        <f>IF('Data Source'!B856="","",'Data Source'!Z856)</f>
        <v/>
      </c>
      <c r="I856" s="9">
        <f>IF('Data Source'!B856="","",'Data Source'!AA856)</f>
        <v/>
      </c>
      <c r="J856" s="9">
        <f>IF('Data Source'!B856="","",'Data Source'!AB856)</f>
        <v/>
      </c>
      <c r="K856" s="9">
        <f>IF('Data Source'!B856="","",'Data Source'!AC856)</f>
        <v/>
      </c>
      <c r="L856" s="9">
        <f>IF('Data Source'!B856="","",'Data Source'!AD856)</f>
        <v/>
      </c>
      <c r="M856" s="9">
        <f>IF('Data Source'!B856="","",'Data Source'!AE856)</f>
        <v/>
      </c>
      <c r="N856" s="9">
        <f>IF('Data Source'!B856="","",'Data Source'!AF856)</f>
        <v/>
      </c>
      <c r="O856" s="9">
        <f>IF('Data Source'!B856="","",'Data Source'!AG856)</f>
        <v/>
      </c>
      <c r="P856" s="5">
        <f>IF('Data Source'!B856="","",'Data Source'!R856)</f>
        <v/>
      </c>
      <c r="Q856" s="3">
        <f>IF('Data Source'!B856="","",'Data Source'!S856)</f>
        <v/>
      </c>
    </row>
    <row r="857">
      <c r="A857" s="3">
        <f>IF('Data Source'!B857="","",'Data Source'!A857)</f>
        <v/>
      </c>
      <c r="B857">
        <f>IF('Data Source'!B857="","",'Data Source'!B857)</f>
        <v/>
      </c>
      <c r="C857" s="9">
        <f>IF('Data Source'!B857="","",'Data Source'!U857)</f>
        <v/>
      </c>
      <c r="D857" s="9">
        <f>IF('Data Source'!B857="","",'Data Source'!V857)</f>
        <v/>
      </c>
      <c r="E857" s="9">
        <f>IF('Data Source'!B857="","",'Data Source'!W857)</f>
        <v/>
      </c>
      <c r="F857" s="9">
        <f>IF('Data Source'!B857="","",'Data Source'!X857)</f>
        <v/>
      </c>
      <c r="G857" s="9">
        <f>IF('Data Source'!B857="","",'Data Source'!Y857)</f>
        <v/>
      </c>
      <c r="H857" s="9">
        <f>IF('Data Source'!B857="","",'Data Source'!Z857)</f>
        <v/>
      </c>
      <c r="I857" s="9">
        <f>IF('Data Source'!B857="","",'Data Source'!AA857)</f>
        <v/>
      </c>
      <c r="J857" s="9">
        <f>IF('Data Source'!B857="","",'Data Source'!AB857)</f>
        <v/>
      </c>
      <c r="K857" s="9">
        <f>IF('Data Source'!B857="","",'Data Source'!AC857)</f>
        <v/>
      </c>
      <c r="L857" s="9">
        <f>IF('Data Source'!B857="","",'Data Source'!AD857)</f>
        <v/>
      </c>
      <c r="M857" s="9">
        <f>IF('Data Source'!B857="","",'Data Source'!AE857)</f>
        <v/>
      </c>
      <c r="N857" s="9">
        <f>IF('Data Source'!B857="","",'Data Source'!AF857)</f>
        <v/>
      </c>
      <c r="O857" s="9">
        <f>IF('Data Source'!B857="","",'Data Source'!AG857)</f>
        <v/>
      </c>
      <c r="P857" s="5">
        <f>IF('Data Source'!B857="","",'Data Source'!R857)</f>
        <v/>
      </c>
      <c r="Q857" s="3">
        <f>IF('Data Source'!B857="","",'Data Source'!S857)</f>
        <v/>
      </c>
    </row>
    <row r="858">
      <c r="A858" s="3">
        <f>IF('Data Source'!B858="","",'Data Source'!A858)</f>
        <v/>
      </c>
      <c r="B858">
        <f>IF('Data Source'!B858="","",'Data Source'!B858)</f>
        <v/>
      </c>
      <c r="C858" s="9">
        <f>IF('Data Source'!B858="","",'Data Source'!U858)</f>
        <v/>
      </c>
      <c r="D858" s="9">
        <f>IF('Data Source'!B858="","",'Data Source'!V858)</f>
        <v/>
      </c>
      <c r="E858" s="9">
        <f>IF('Data Source'!B858="","",'Data Source'!W858)</f>
        <v/>
      </c>
      <c r="F858" s="9">
        <f>IF('Data Source'!B858="","",'Data Source'!X858)</f>
        <v/>
      </c>
      <c r="G858" s="9">
        <f>IF('Data Source'!B858="","",'Data Source'!Y858)</f>
        <v/>
      </c>
      <c r="H858" s="9">
        <f>IF('Data Source'!B858="","",'Data Source'!Z858)</f>
        <v/>
      </c>
      <c r="I858" s="9">
        <f>IF('Data Source'!B858="","",'Data Source'!AA858)</f>
        <v/>
      </c>
      <c r="J858" s="9">
        <f>IF('Data Source'!B858="","",'Data Source'!AB858)</f>
        <v/>
      </c>
      <c r="K858" s="9">
        <f>IF('Data Source'!B858="","",'Data Source'!AC858)</f>
        <v/>
      </c>
      <c r="L858" s="9">
        <f>IF('Data Source'!B858="","",'Data Source'!AD858)</f>
        <v/>
      </c>
      <c r="M858" s="9">
        <f>IF('Data Source'!B858="","",'Data Source'!AE858)</f>
        <v/>
      </c>
      <c r="N858" s="9">
        <f>IF('Data Source'!B858="","",'Data Source'!AF858)</f>
        <v/>
      </c>
      <c r="O858" s="9">
        <f>IF('Data Source'!B858="","",'Data Source'!AG858)</f>
        <v/>
      </c>
      <c r="P858" s="5">
        <f>IF('Data Source'!B858="","",'Data Source'!R858)</f>
        <v/>
      </c>
      <c r="Q858" s="3">
        <f>IF('Data Source'!B858="","",'Data Source'!S858)</f>
        <v/>
      </c>
    </row>
    <row r="859">
      <c r="A859" s="3">
        <f>IF('Data Source'!B859="","",'Data Source'!A859)</f>
        <v/>
      </c>
      <c r="B859">
        <f>IF('Data Source'!B859="","",'Data Source'!B859)</f>
        <v/>
      </c>
      <c r="C859" s="9">
        <f>IF('Data Source'!B859="","",'Data Source'!U859)</f>
        <v/>
      </c>
      <c r="D859" s="9">
        <f>IF('Data Source'!B859="","",'Data Source'!V859)</f>
        <v/>
      </c>
      <c r="E859" s="9">
        <f>IF('Data Source'!B859="","",'Data Source'!W859)</f>
        <v/>
      </c>
      <c r="F859" s="9">
        <f>IF('Data Source'!B859="","",'Data Source'!X859)</f>
        <v/>
      </c>
      <c r="G859" s="9">
        <f>IF('Data Source'!B859="","",'Data Source'!Y859)</f>
        <v/>
      </c>
      <c r="H859" s="9">
        <f>IF('Data Source'!B859="","",'Data Source'!Z859)</f>
        <v/>
      </c>
      <c r="I859" s="9">
        <f>IF('Data Source'!B859="","",'Data Source'!AA859)</f>
        <v/>
      </c>
      <c r="J859" s="9">
        <f>IF('Data Source'!B859="","",'Data Source'!AB859)</f>
        <v/>
      </c>
      <c r="K859" s="9">
        <f>IF('Data Source'!B859="","",'Data Source'!AC859)</f>
        <v/>
      </c>
      <c r="L859" s="9">
        <f>IF('Data Source'!B859="","",'Data Source'!AD859)</f>
        <v/>
      </c>
      <c r="M859" s="9">
        <f>IF('Data Source'!B859="","",'Data Source'!AE859)</f>
        <v/>
      </c>
      <c r="N859" s="9">
        <f>IF('Data Source'!B859="","",'Data Source'!AF859)</f>
        <v/>
      </c>
      <c r="O859" s="9">
        <f>IF('Data Source'!B859="","",'Data Source'!AG859)</f>
        <v/>
      </c>
      <c r="P859" s="5">
        <f>IF('Data Source'!B859="","",'Data Source'!R859)</f>
        <v/>
      </c>
      <c r="Q859" s="3">
        <f>IF('Data Source'!B859="","",'Data Source'!S859)</f>
        <v/>
      </c>
    </row>
    <row r="860">
      <c r="A860" s="3">
        <f>IF('Data Source'!B860="","",'Data Source'!A860)</f>
        <v/>
      </c>
      <c r="B860">
        <f>IF('Data Source'!B860="","",'Data Source'!B860)</f>
        <v/>
      </c>
      <c r="C860" s="9">
        <f>IF('Data Source'!B860="","",'Data Source'!U860)</f>
        <v/>
      </c>
      <c r="D860" s="9">
        <f>IF('Data Source'!B860="","",'Data Source'!V860)</f>
        <v/>
      </c>
      <c r="E860" s="9">
        <f>IF('Data Source'!B860="","",'Data Source'!W860)</f>
        <v/>
      </c>
      <c r="F860" s="9">
        <f>IF('Data Source'!B860="","",'Data Source'!X860)</f>
        <v/>
      </c>
      <c r="G860" s="9">
        <f>IF('Data Source'!B860="","",'Data Source'!Y860)</f>
        <v/>
      </c>
      <c r="H860" s="9">
        <f>IF('Data Source'!B860="","",'Data Source'!Z860)</f>
        <v/>
      </c>
      <c r="I860" s="9">
        <f>IF('Data Source'!B860="","",'Data Source'!AA860)</f>
        <v/>
      </c>
      <c r="J860" s="9">
        <f>IF('Data Source'!B860="","",'Data Source'!AB860)</f>
        <v/>
      </c>
      <c r="K860" s="9">
        <f>IF('Data Source'!B860="","",'Data Source'!AC860)</f>
        <v/>
      </c>
      <c r="L860" s="9">
        <f>IF('Data Source'!B860="","",'Data Source'!AD860)</f>
        <v/>
      </c>
      <c r="M860" s="9">
        <f>IF('Data Source'!B860="","",'Data Source'!AE860)</f>
        <v/>
      </c>
      <c r="N860" s="9">
        <f>IF('Data Source'!B860="","",'Data Source'!AF860)</f>
        <v/>
      </c>
      <c r="O860" s="9">
        <f>IF('Data Source'!B860="","",'Data Source'!AG860)</f>
        <v/>
      </c>
      <c r="P860" s="5">
        <f>IF('Data Source'!B860="","",'Data Source'!R860)</f>
        <v/>
      </c>
      <c r="Q860" s="3">
        <f>IF('Data Source'!B860="","",'Data Source'!S860)</f>
        <v/>
      </c>
    </row>
    <row r="861">
      <c r="A861" s="3">
        <f>IF('Data Source'!B861="","",'Data Source'!A861)</f>
        <v/>
      </c>
      <c r="B861">
        <f>IF('Data Source'!B861="","",'Data Source'!B861)</f>
        <v/>
      </c>
      <c r="C861" s="9">
        <f>IF('Data Source'!B861="","",'Data Source'!U861)</f>
        <v/>
      </c>
      <c r="D861" s="9">
        <f>IF('Data Source'!B861="","",'Data Source'!V861)</f>
        <v/>
      </c>
      <c r="E861" s="9">
        <f>IF('Data Source'!B861="","",'Data Source'!W861)</f>
        <v/>
      </c>
      <c r="F861" s="9">
        <f>IF('Data Source'!B861="","",'Data Source'!X861)</f>
        <v/>
      </c>
      <c r="G861" s="9">
        <f>IF('Data Source'!B861="","",'Data Source'!Y861)</f>
        <v/>
      </c>
      <c r="H861" s="9">
        <f>IF('Data Source'!B861="","",'Data Source'!Z861)</f>
        <v/>
      </c>
      <c r="I861" s="9">
        <f>IF('Data Source'!B861="","",'Data Source'!AA861)</f>
        <v/>
      </c>
      <c r="J861" s="9">
        <f>IF('Data Source'!B861="","",'Data Source'!AB861)</f>
        <v/>
      </c>
      <c r="K861" s="9">
        <f>IF('Data Source'!B861="","",'Data Source'!AC861)</f>
        <v/>
      </c>
      <c r="L861" s="9">
        <f>IF('Data Source'!B861="","",'Data Source'!AD861)</f>
        <v/>
      </c>
      <c r="M861" s="9">
        <f>IF('Data Source'!B861="","",'Data Source'!AE861)</f>
        <v/>
      </c>
      <c r="N861" s="9">
        <f>IF('Data Source'!B861="","",'Data Source'!AF861)</f>
        <v/>
      </c>
      <c r="O861" s="9">
        <f>IF('Data Source'!B861="","",'Data Source'!AG861)</f>
        <v/>
      </c>
      <c r="P861" s="5">
        <f>IF('Data Source'!B861="","",'Data Source'!R861)</f>
        <v/>
      </c>
      <c r="Q861" s="3">
        <f>IF('Data Source'!B861="","",'Data Source'!S861)</f>
        <v/>
      </c>
    </row>
    <row r="862">
      <c r="A862" s="3">
        <f>IF('Data Source'!B862="","",'Data Source'!A862)</f>
        <v/>
      </c>
      <c r="B862">
        <f>IF('Data Source'!B862="","",'Data Source'!B862)</f>
        <v/>
      </c>
      <c r="C862" s="9">
        <f>IF('Data Source'!B862="","",'Data Source'!U862)</f>
        <v/>
      </c>
      <c r="D862" s="9">
        <f>IF('Data Source'!B862="","",'Data Source'!V862)</f>
        <v/>
      </c>
      <c r="E862" s="9">
        <f>IF('Data Source'!B862="","",'Data Source'!W862)</f>
        <v/>
      </c>
      <c r="F862" s="9">
        <f>IF('Data Source'!B862="","",'Data Source'!X862)</f>
        <v/>
      </c>
      <c r="G862" s="9">
        <f>IF('Data Source'!B862="","",'Data Source'!Y862)</f>
        <v/>
      </c>
      <c r="H862" s="9">
        <f>IF('Data Source'!B862="","",'Data Source'!Z862)</f>
        <v/>
      </c>
      <c r="I862" s="9">
        <f>IF('Data Source'!B862="","",'Data Source'!AA862)</f>
        <v/>
      </c>
      <c r="J862" s="9">
        <f>IF('Data Source'!B862="","",'Data Source'!AB862)</f>
        <v/>
      </c>
      <c r="K862" s="9">
        <f>IF('Data Source'!B862="","",'Data Source'!AC862)</f>
        <v/>
      </c>
      <c r="L862" s="9">
        <f>IF('Data Source'!B862="","",'Data Source'!AD862)</f>
        <v/>
      </c>
      <c r="M862" s="9">
        <f>IF('Data Source'!B862="","",'Data Source'!AE862)</f>
        <v/>
      </c>
      <c r="N862" s="9">
        <f>IF('Data Source'!B862="","",'Data Source'!AF862)</f>
        <v/>
      </c>
      <c r="O862" s="9">
        <f>IF('Data Source'!B862="","",'Data Source'!AG862)</f>
        <v/>
      </c>
      <c r="P862" s="5">
        <f>IF('Data Source'!B862="","",'Data Source'!R862)</f>
        <v/>
      </c>
      <c r="Q862" s="3">
        <f>IF('Data Source'!B862="","",'Data Source'!S862)</f>
        <v/>
      </c>
    </row>
    <row r="863">
      <c r="A863" s="3">
        <f>IF('Data Source'!B863="","",'Data Source'!A863)</f>
        <v/>
      </c>
      <c r="B863">
        <f>IF('Data Source'!B863="","",'Data Source'!B863)</f>
        <v/>
      </c>
      <c r="C863" s="9">
        <f>IF('Data Source'!B863="","",'Data Source'!U863)</f>
        <v/>
      </c>
      <c r="D863" s="9">
        <f>IF('Data Source'!B863="","",'Data Source'!V863)</f>
        <v/>
      </c>
      <c r="E863" s="9">
        <f>IF('Data Source'!B863="","",'Data Source'!W863)</f>
        <v/>
      </c>
      <c r="F863" s="9">
        <f>IF('Data Source'!B863="","",'Data Source'!X863)</f>
        <v/>
      </c>
      <c r="G863" s="9">
        <f>IF('Data Source'!B863="","",'Data Source'!Y863)</f>
        <v/>
      </c>
      <c r="H863" s="9">
        <f>IF('Data Source'!B863="","",'Data Source'!Z863)</f>
        <v/>
      </c>
      <c r="I863" s="9">
        <f>IF('Data Source'!B863="","",'Data Source'!AA863)</f>
        <v/>
      </c>
      <c r="J863" s="9">
        <f>IF('Data Source'!B863="","",'Data Source'!AB863)</f>
        <v/>
      </c>
      <c r="K863" s="9">
        <f>IF('Data Source'!B863="","",'Data Source'!AC863)</f>
        <v/>
      </c>
      <c r="L863" s="9">
        <f>IF('Data Source'!B863="","",'Data Source'!AD863)</f>
        <v/>
      </c>
      <c r="M863" s="9">
        <f>IF('Data Source'!B863="","",'Data Source'!AE863)</f>
        <v/>
      </c>
      <c r="N863" s="9">
        <f>IF('Data Source'!B863="","",'Data Source'!AF863)</f>
        <v/>
      </c>
      <c r="O863" s="9">
        <f>IF('Data Source'!B863="","",'Data Source'!AG863)</f>
        <v/>
      </c>
      <c r="P863" s="5">
        <f>IF('Data Source'!B863="","",'Data Source'!R863)</f>
        <v/>
      </c>
      <c r="Q863" s="3">
        <f>IF('Data Source'!B863="","",'Data Source'!S863)</f>
        <v/>
      </c>
    </row>
    <row r="864">
      <c r="A864" s="3">
        <f>IF('Data Source'!B864="","",'Data Source'!A864)</f>
        <v/>
      </c>
      <c r="B864">
        <f>IF('Data Source'!B864="","",'Data Source'!B864)</f>
        <v/>
      </c>
      <c r="C864" s="9">
        <f>IF('Data Source'!B864="","",'Data Source'!U864)</f>
        <v/>
      </c>
      <c r="D864" s="9">
        <f>IF('Data Source'!B864="","",'Data Source'!V864)</f>
        <v/>
      </c>
      <c r="E864" s="9">
        <f>IF('Data Source'!B864="","",'Data Source'!W864)</f>
        <v/>
      </c>
      <c r="F864" s="9">
        <f>IF('Data Source'!B864="","",'Data Source'!X864)</f>
        <v/>
      </c>
      <c r="G864" s="9">
        <f>IF('Data Source'!B864="","",'Data Source'!Y864)</f>
        <v/>
      </c>
      <c r="H864" s="9">
        <f>IF('Data Source'!B864="","",'Data Source'!Z864)</f>
        <v/>
      </c>
      <c r="I864" s="9">
        <f>IF('Data Source'!B864="","",'Data Source'!AA864)</f>
        <v/>
      </c>
      <c r="J864" s="9">
        <f>IF('Data Source'!B864="","",'Data Source'!AB864)</f>
        <v/>
      </c>
      <c r="K864" s="9">
        <f>IF('Data Source'!B864="","",'Data Source'!AC864)</f>
        <v/>
      </c>
      <c r="L864" s="9">
        <f>IF('Data Source'!B864="","",'Data Source'!AD864)</f>
        <v/>
      </c>
      <c r="M864" s="9">
        <f>IF('Data Source'!B864="","",'Data Source'!AE864)</f>
        <v/>
      </c>
      <c r="N864" s="9">
        <f>IF('Data Source'!B864="","",'Data Source'!AF864)</f>
        <v/>
      </c>
      <c r="O864" s="9">
        <f>IF('Data Source'!B864="","",'Data Source'!AG864)</f>
        <v/>
      </c>
      <c r="P864" s="5">
        <f>IF('Data Source'!B864="","",'Data Source'!R864)</f>
        <v/>
      </c>
      <c r="Q864" s="3">
        <f>IF('Data Source'!B864="","",'Data Source'!S864)</f>
        <v/>
      </c>
    </row>
    <row r="865">
      <c r="A865" s="3">
        <f>IF('Data Source'!B865="","",'Data Source'!A865)</f>
        <v/>
      </c>
      <c r="B865">
        <f>IF('Data Source'!B865="","",'Data Source'!B865)</f>
        <v/>
      </c>
      <c r="C865" s="9">
        <f>IF('Data Source'!B865="","",'Data Source'!U865)</f>
        <v/>
      </c>
      <c r="D865" s="9">
        <f>IF('Data Source'!B865="","",'Data Source'!V865)</f>
        <v/>
      </c>
      <c r="E865" s="9">
        <f>IF('Data Source'!B865="","",'Data Source'!W865)</f>
        <v/>
      </c>
      <c r="F865" s="9">
        <f>IF('Data Source'!B865="","",'Data Source'!X865)</f>
        <v/>
      </c>
      <c r="G865" s="9">
        <f>IF('Data Source'!B865="","",'Data Source'!Y865)</f>
        <v/>
      </c>
      <c r="H865" s="9">
        <f>IF('Data Source'!B865="","",'Data Source'!Z865)</f>
        <v/>
      </c>
      <c r="I865" s="9">
        <f>IF('Data Source'!B865="","",'Data Source'!AA865)</f>
        <v/>
      </c>
      <c r="J865" s="9">
        <f>IF('Data Source'!B865="","",'Data Source'!AB865)</f>
        <v/>
      </c>
      <c r="K865" s="9">
        <f>IF('Data Source'!B865="","",'Data Source'!AC865)</f>
        <v/>
      </c>
      <c r="L865" s="9">
        <f>IF('Data Source'!B865="","",'Data Source'!AD865)</f>
        <v/>
      </c>
      <c r="M865" s="9">
        <f>IF('Data Source'!B865="","",'Data Source'!AE865)</f>
        <v/>
      </c>
      <c r="N865" s="9">
        <f>IF('Data Source'!B865="","",'Data Source'!AF865)</f>
        <v/>
      </c>
      <c r="O865" s="9">
        <f>IF('Data Source'!B865="","",'Data Source'!AG865)</f>
        <v/>
      </c>
      <c r="P865" s="5">
        <f>IF('Data Source'!B865="","",'Data Source'!R865)</f>
        <v/>
      </c>
      <c r="Q865" s="3">
        <f>IF('Data Source'!B865="","",'Data Source'!S865)</f>
        <v/>
      </c>
    </row>
    <row r="866">
      <c r="A866" s="3">
        <f>IF('Data Source'!B866="","",'Data Source'!A866)</f>
        <v/>
      </c>
      <c r="B866">
        <f>IF('Data Source'!B866="","",'Data Source'!B866)</f>
        <v/>
      </c>
      <c r="C866" s="9">
        <f>IF('Data Source'!B866="","",'Data Source'!U866)</f>
        <v/>
      </c>
      <c r="D866" s="9">
        <f>IF('Data Source'!B866="","",'Data Source'!V866)</f>
        <v/>
      </c>
      <c r="E866" s="9">
        <f>IF('Data Source'!B866="","",'Data Source'!W866)</f>
        <v/>
      </c>
      <c r="F866" s="9">
        <f>IF('Data Source'!B866="","",'Data Source'!X866)</f>
        <v/>
      </c>
      <c r="G866" s="9">
        <f>IF('Data Source'!B866="","",'Data Source'!Y866)</f>
        <v/>
      </c>
      <c r="H866" s="9">
        <f>IF('Data Source'!B866="","",'Data Source'!Z866)</f>
        <v/>
      </c>
      <c r="I866" s="9">
        <f>IF('Data Source'!B866="","",'Data Source'!AA866)</f>
        <v/>
      </c>
      <c r="J866" s="9">
        <f>IF('Data Source'!B866="","",'Data Source'!AB866)</f>
        <v/>
      </c>
      <c r="K866" s="9">
        <f>IF('Data Source'!B866="","",'Data Source'!AC866)</f>
        <v/>
      </c>
      <c r="L866" s="9">
        <f>IF('Data Source'!B866="","",'Data Source'!AD866)</f>
        <v/>
      </c>
      <c r="M866" s="9">
        <f>IF('Data Source'!B866="","",'Data Source'!AE866)</f>
        <v/>
      </c>
      <c r="N866" s="9">
        <f>IF('Data Source'!B866="","",'Data Source'!AF866)</f>
        <v/>
      </c>
      <c r="O866" s="9">
        <f>IF('Data Source'!B866="","",'Data Source'!AG866)</f>
        <v/>
      </c>
      <c r="P866" s="5">
        <f>IF('Data Source'!B866="","",'Data Source'!R866)</f>
        <v/>
      </c>
      <c r="Q866" s="3">
        <f>IF('Data Source'!B866="","",'Data Source'!S866)</f>
        <v/>
      </c>
    </row>
    <row r="867">
      <c r="A867" s="3">
        <f>IF('Data Source'!B867="","",'Data Source'!A867)</f>
        <v/>
      </c>
      <c r="B867">
        <f>IF('Data Source'!B867="","",'Data Source'!B867)</f>
        <v/>
      </c>
      <c r="C867" s="9">
        <f>IF('Data Source'!B867="","",'Data Source'!U867)</f>
        <v/>
      </c>
      <c r="D867" s="9">
        <f>IF('Data Source'!B867="","",'Data Source'!V867)</f>
        <v/>
      </c>
      <c r="E867" s="9">
        <f>IF('Data Source'!B867="","",'Data Source'!W867)</f>
        <v/>
      </c>
      <c r="F867" s="9">
        <f>IF('Data Source'!B867="","",'Data Source'!X867)</f>
        <v/>
      </c>
      <c r="G867" s="9">
        <f>IF('Data Source'!B867="","",'Data Source'!Y867)</f>
        <v/>
      </c>
      <c r="H867" s="9">
        <f>IF('Data Source'!B867="","",'Data Source'!Z867)</f>
        <v/>
      </c>
      <c r="I867" s="9">
        <f>IF('Data Source'!B867="","",'Data Source'!AA867)</f>
        <v/>
      </c>
      <c r="J867" s="9">
        <f>IF('Data Source'!B867="","",'Data Source'!AB867)</f>
        <v/>
      </c>
      <c r="K867" s="9">
        <f>IF('Data Source'!B867="","",'Data Source'!AC867)</f>
        <v/>
      </c>
      <c r="L867" s="9">
        <f>IF('Data Source'!B867="","",'Data Source'!AD867)</f>
        <v/>
      </c>
      <c r="M867" s="9">
        <f>IF('Data Source'!B867="","",'Data Source'!AE867)</f>
        <v/>
      </c>
      <c r="N867" s="9">
        <f>IF('Data Source'!B867="","",'Data Source'!AF867)</f>
        <v/>
      </c>
      <c r="O867" s="9">
        <f>IF('Data Source'!B867="","",'Data Source'!AG867)</f>
        <v/>
      </c>
      <c r="P867" s="5">
        <f>IF('Data Source'!B867="","",'Data Source'!R867)</f>
        <v/>
      </c>
      <c r="Q867" s="3">
        <f>IF('Data Source'!B867="","",'Data Source'!S867)</f>
        <v/>
      </c>
    </row>
    <row r="868">
      <c r="A868" s="3">
        <f>IF('Data Source'!B868="","",'Data Source'!A868)</f>
        <v/>
      </c>
      <c r="B868">
        <f>IF('Data Source'!B868="","",'Data Source'!B868)</f>
        <v/>
      </c>
      <c r="C868" s="9">
        <f>IF('Data Source'!B868="","",'Data Source'!U868)</f>
        <v/>
      </c>
      <c r="D868" s="9">
        <f>IF('Data Source'!B868="","",'Data Source'!V868)</f>
        <v/>
      </c>
      <c r="E868" s="9">
        <f>IF('Data Source'!B868="","",'Data Source'!W868)</f>
        <v/>
      </c>
      <c r="F868" s="9">
        <f>IF('Data Source'!B868="","",'Data Source'!X868)</f>
        <v/>
      </c>
      <c r="G868" s="9">
        <f>IF('Data Source'!B868="","",'Data Source'!Y868)</f>
        <v/>
      </c>
      <c r="H868" s="9">
        <f>IF('Data Source'!B868="","",'Data Source'!Z868)</f>
        <v/>
      </c>
      <c r="I868" s="9">
        <f>IF('Data Source'!B868="","",'Data Source'!AA868)</f>
        <v/>
      </c>
      <c r="J868" s="9">
        <f>IF('Data Source'!B868="","",'Data Source'!AB868)</f>
        <v/>
      </c>
      <c r="K868" s="9">
        <f>IF('Data Source'!B868="","",'Data Source'!AC868)</f>
        <v/>
      </c>
      <c r="L868" s="9">
        <f>IF('Data Source'!B868="","",'Data Source'!AD868)</f>
        <v/>
      </c>
      <c r="M868" s="9">
        <f>IF('Data Source'!B868="","",'Data Source'!AE868)</f>
        <v/>
      </c>
      <c r="N868" s="9">
        <f>IF('Data Source'!B868="","",'Data Source'!AF868)</f>
        <v/>
      </c>
      <c r="O868" s="9">
        <f>IF('Data Source'!B868="","",'Data Source'!AG868)</f>
        <v/>
      </c>
      <c r="P868" s="5">
        <f>IF('Data Source'!B868="","",'Data Source'!R868)</f>
        <v/>
      </c>
      <c r="Q868" s="3">
        <f>IF('Data Source'!B868="","",'Data Source'!S868)</f>
        <v/>
      </c>
    </row>
    <row r="869">
      <c r="A869" s="3">
        <f>IF('Data Source'!B869="","",'Data Source'!A869)</f>
        <v/>
      </c>
      <c r="B869">
        <f>IF('Data Source'!B869="","",'Data Source'!B869)</f>
        <v/>
      </c>
      <c r="C869" s="9">
        <f>IF('Data Source'!B869="","",'Data Source'!U869)</f>
        <v/>
      </c>
      <c r="D869" s="9">
        <f>IF('Data Source'!B869="","",'Data Source'!V869)</f>
        <v/>
      </c>
      <c r="E869" s="9">
        <f>IF('Data Source'!B869="","",'Data Source'!W869)</f>
        <v/>
      </c>
      <c r="F869" s="9">
        <f>IF('Data Source'!B869="","",'Data Source'!X869)</f>
        <v/>
      </c>
      <c r="G869" s="9">
        <f>IF('Data Source'!B869="","",'Data Source'!Y869)</f>
        <v/>
      </c>
      <c r="H869" s="9">
        <f>IF('Data Source'!B869="","",'Data Source'!Z869)</f>
        <v/>
      </c>
      <c r="I869" s="9">
        <f>IF('Data Source'!B869="","",'Data Source'!AA869)</f>
        <v/>
      </c>
      <c r="J869" s="9">
        <f>IF('Data Source'!B869="","",'Data Source'!AB869)</f>
        <v/>
      </c>
      <c r="K869" s="9">
        <f>IF('Data Source'!B869="","",'Data Source'!AC869)</f>
        <v/>
      </c>
      <c r="L869" s="9">
        <f>IF('Data Source'!B869="","",'Data Source'!AD869)</f>
        <v/>
      </c>
      <c r="M869" s="9">
        <f>IF('Data Source'!B869="","",'Data Source'!AE869)</f>
        <v/>
      </c>
      <c r="N869" s="9">
        <f>IF('Data Source'!B869="","",'Data Source'!AF869)</f>
        <v/>
      </c>
      <c r="O869" s="9">
        <f>IF('Data Source'!B869="","",'Data Source'!AG869)</f>
        <v/>
      </c>
      <c r="P869" s="5">
        <f>IF('Data Source'!B869="","",'Data Source'!R869)</f>
        <v/>
      </c>
      <c r="Q869" s="3">
        <f>IF('Data Source'!B869="","",'Data Source'!S869)</f>
        <v/>
      </c>
    </row>
    <row r="870">
      <c r="A870" s="3">
        <f>IF('Data Source'!B870="","",'Data Source'!A870)</f>
        <v/>
      </c>
      <c r="B870">
        <f>IF('Data Source'!B870="","",'Data Source'!B870)</f>
        <v/>
      </c>
      <c r="C870" s="9">
        <f>IF('Data Source'!B870="","",'Data Source'!U870)</f>
        <v/>
      </c>
      <c r="D870" s="9">
        <f>IF('Data Source'!B870="","",'Data Source'!V870)</f>
        <v/>
      </c>
      <c r="E870" s="9">
        <f>IF('Data Source'!B870="","",'Data Source'!W870)</f>
        <v/>
      </c>
      <c r="F870" s="9">
        <f>IF('Data Source'!B870="","",'Data Source'!X870)</f>
        <v/>
      </c>
      <c r="G870" s="9">
        <f>IF('Data Source'!B870="","",'Data Source'!Y870)</f>
        <v/>
      </c>
      <c r="H870" s="9">
        <f>IF('Data Source'!B870="","",'Data Source'!Z870)</f>
        <v/>
      </c>
      <c r="I870" s="9">
        <f>IF('Data Source'!B870="","",'Data Source'!AA870)</f>
        <v/>
      </c>
      <c r="J870" s="9">
        <f>IF('Data Source'!B870="","",'Data Source'!AB870)</f>
        <v/>
      </c>
      <c r="K870" s="9">
        <f>IF('Data Source'!B870="","",'Data Source'!AC870)</f>
        <v/>
      </c>
      <c r="L870" s="9">
        <f>IF('Data Source'!B870="","",'Data Source'!AD870)</f>
        <v/>
      </c>
      <c r="M870" s="9">
        <f>IF('Data Source'!B870="","",'Data Source'!AE870)</f>
        <v/>
      </c>
      <c r="N870" s="9">
        <f>IF('Data Source'!B870="","",'Data Source'!AF870)</f>
        <v/>
      </c>
      <c r="O870" s="9">
        <f>IF('Data Source'!B870="","",'Data Source'!AG870)</f>
        <v/>
      </c>
      <c r="P870" s="5">
        <f>IF('Data Source'!B870="","",'Data Source'!R870)</f>
        <v/>
      </c>
      <c r="Q870" s="3">
        <f>IF('Data Source'!B870="","",'Data Source'!S870)</f>
        <v/>
      </c>
    </row>
    <row r="871">
      <c r="A871" s="3">
        <f>IF('Data Source'!B871="","",'Data Source'!A871)</f>
        <v/>
      </c>
      <c r="B871">
        <f>IF('Data Source'!B871="","",'Data Source'!B871)</f>
        <v/>
      </c>
      <c r="C871" s="9">
        <f>IF('Data Source'!B871="","",'Data Source'!U871)</f>
        <v/>
      </c>
      <c r="D871" s="9">
        <f>IF('Data Source'!B871="","",'Data Source'!V871)</f>
        <v/>
      </c>
      <c r="E871" s="9">
        <f>IF('Data Source'!B871="","",'Data Source'!W871)</f>
        <v/>
      </c>
      <c r="F871" s="9">
        <f>IF('Data Source'!B871="","",'Data Source'!X871)</f>
        <v/>
      </c>
      <c r="G871" s="9">
        <f>IF('Data Source'!B871="","",'Data Source'!Y871)</f>
        <v/>
      </c>
      <c r="H871" s="9">
        <f>IF('Data Source'!B871="","",'Data Source'!Z871)</f>
        <v/>
      </c>
      <c r="I871" s="9">
        <f>IF('Data Source'!B871="","",'Data Source'!AA871)</f>
        <v/>
      </c>
      <c r="J871" s="9">
        <f>IF('Data Source'!B871="","",'Data Source'!AB871)</f>
        <v/>
      </c>
      <c r="K871" s="9">
        <f>IF('Data Source'!B871="","",'Data Source'!AC871)</f>
        <v/>
      </c>
      <c r="L871" s="9">
        <f>IF('Data Source'!B871="","",'Data Source'!AD871)</f>
        <v/>
      </c>
      <c r="M871" s="9">
        <f>IF('Data Source'!B871="","",'Data Source'!AE871)</f>
        <v/>
      </c>
      <c r="N871" s="9">
        <f>IF('Data Source'!B871="","",'Data Source'!AF871)</f>
        <v/>
      </c>
      <c r="O871" s="9">
        <f>IF('Data Source'!B871="","",'Data Source'!AG871)</f>
        <v/>
      </c>
      <c r="P871" s="5">
        <f>IF('Data Source'!B871="","",'Data Source'!R871)</f>
        <v/>
      </c>
      <c r="Q871" s="3">
        <f>IF('Data Source'!B871="","",'Data Source'!S871)</f>
        <v/>
      </c>
    </row>
    <row r="872">
      <c r="A872" s="3">
        <f>IF('Data Source'!B872="","",'Data Source'!A872)</f>
        <v/>
      </c>
      <c r="B872">
        <f>IF('Data Source'!B872="","",'Data Source'!B872)</f>
        <v/>
      </c>
      <c r="C872" s="9">
        <f>IF('Data Source'!B872="","",'Data Source'!U872)</f>
        <v/>
      </c>
      <c r="D872" s="9">
        <f>IF('Data Source'!B872="","",'Data Source'!V872)</f>
        <v/>
      </c>
      <c r="E872" s="9">
        <f>IF('Data Source'!B872="","",'Data Source'!W872)</f>
        <v/>
      </c>
      <c r="F872" s="9">
        <f>IF('Data Source'!B872="","",'Data Source'!X872)</f>
        <v/>
      </c>
      <c r="G872" s="9">
        <f>IF('Data Source'!B872="","",'Data Source'!Y872)</f>
        <v/>
      </c>
      <c r="H872" s="9">
        <f>IF('Data Source'!B872="","",'Data Source'!Z872)</f>
        <v/>
      </c>
      <c r="I872" s="9">
        <f>IF('Data Source'!B872="","",'Data Source'!AA872)</f>
        <v/>
      </c>
      <c r="J872" s="9">
        <f>IF('Data Source'!B872="","",'Data Source'!AB872)</f>
        <v/>
      </c>
      <c r="K872" s="9">
        <f>IF('Data Source'!B872="","",'Data Source'!AC872)</f>
        <v/>
      </c>
      <c r="L872" s="9">
        <f>IF('Data Source'!B872="","",'Data Source'!AD872)</f>
        <v/>
      </c>
      <c r="M872" s="9">
        <f>IF('Data Source'!B872="","",'Data Source'!AE872)</f>
        <v/>
      </c>
      <c r="N872" s="9">
        <f>IF('Data Source'!B872="","",'Data Source'!AF872)</f>
        <v/>
      </c>
      <c r="O872" s="9">
        <f>IF('Data Source'!B872="","",'Data Source'!AG872)</f>
        <v/>
      </c>
      <c r="P872" s="5">
        <f>IF('Data Source'!B872="","",'Data Source'!R872)</f>
        <v/>
      </c>
      <c r="Q872" s="3">
        <f>IF('Data Source'!B872="","",'Data Source'!S872)</f>
        <v/>
      </c>
    </row>
    <row r="873">
      <c r="A873" s="3">
        <f>IF('Data Source'!B873="","",'Data Source'!A873)</f>
        <v/>
      </c>
      <c r="B873">
        <f>IF('Data Source'!B873="","",'Data Source'!B873)</f>
        <v/>
      </c>
      <c r="C873" s="9">
        <f>IF('Data Source'!B873="","",'Data Source'!U873)</f>
        <v/>
      </c>
      <c r="D873" s="9">
        <f>IF('Data Source'!B873="","",'Data Source'!V873)</f>
        <v/>
      </c>
      <c r="E873" s="9">
        <f>IF('Data Source'!B873="","",'Data Source'!W873)</f>
        <v/>
      </c>
      <c r="F873" s="9">
        <f>IF('Data Source'!B873="","",'Data Source'!X873)</f>
        <v/>
      </c>
      <c r="G873" s="9">
        <f>IF('Data Source'!B873="","",'Data Source'!Y873)</f>
        <v/>
      </c>
      <c r="H873" s="9">
        <f>IF('Data Source'!B873="","",'Data Source'!Z873)</f>
        <v/>
      </c>
      <c r="I873" s="9">
        <f>IF('Data Source'!B873="","",'Data Source'!AA873)</f>
        <v/>
      </c>
      <c r="J873" s="9">
        <f>IF('Data Source'!B873="","",'Data Source'!AB873)</f>
        <v/>
      </c>
      <c r="K873" s="9">
        <f>IF('Data Source'!B873="","",'Data Source'!AC873)</f>
        <v/>
      </c>
      <c r="L873" s="9">
        <f>IF('Data Source'!B873="","",'Data Source'!AD873)</f>
        <v/>
      </c>
      <c r="M873" s="9">
        <f>IF('Data Source'!B873="","",'Data Source'!AE873)</f>
        <v/>
      </c>
      <c r="N873" s="9">
        <f>IF('Data Source'!B873="","",'Data Source'!AF873)</f>
        <v/>
      </c>
      <c r="O873" s="9">
        <f>IF('Data Source'!B873="","",'Data Source'!AG873)</f>
        <v/>
      </c>
      <c r="P873" s="5">
        <f>IF('Data Source'!B873="","",'Data Source'!R873)</f>
        <v/>
      </c>
      <c r="Q873" s="3">
        <f>IF('Data Source'!B873="","",'Data Source'!S873)</f>
        <v/>
      </c>
    </row>
    <row r="874">
      <c r="A874" s="3">
        <f>IF('Data Source'!B874="","",'Data Source'!A874)</f>
        <v/>
      </c>
      <c r="B874">
        <f>IF('Data Source'!B874="","",'Data Source'!B874)</f>
        <v/>
      </c>
      <c r="C874" s="9">
        <f>IF('Data Source'!B874="","",'Data Source'!U874)</f>
        <v/>
      </c>
      <c r="D874" s="9">
        <f>IF('Data Source'!B874="","",'Data Source'!V874)</f>
        <v/>
      </c>
      <c r="E874" s="9">
        <f>IF('Data Source'!B874="","",'Data Source'!W874)</f>
        <v/>
      </c>
      <c r="F874" s="9">
        <f>IF('Data Source'!B874="","",'Data Source'!X874)</f>
        <v/>
      </c>
      <c r="G874" s="9">
        <f>IF('Data Source'!B874="","",'Data Source'!Y874)</f>
        <v/>
      </c>
      <c r="H874" s="9">
        <f>IF('Data Source'!B874="","",'Data Source'!Z874)</f>
        <v/>
      </c>
      <c r="I874" s="9">
        <f>IF('Data Source'!B874="","",'Data Source'!AA874)</f>
        <v/>
      </c>
      <c r="J874" s="9">
        <f>IF('Data Source'!B874="","",'Data Source'!AB874)</f>
        <v/>
      </c>
      <c r="K874" s="9">
        <f>IF('Data Source'!B874="","",'Data Source'!AC874)</f>
        <v/>
      </c>
      <c r="L874" s="9">
        <f>IF('Data Source'!B874="","",'Data Source'!AD874)</f>
        <v/>
      </c>
      <c r="M874" s="9">
        <f>IF('Data Source'!B874="","",'Data Source'!AE874)</f>
        <v/>
      </c>
      <c r="N874" s="9">
        <f>IF('Data Source'!B874="","",'Data Source'!AF874)</f>
        <v/>
      </c>
      <c r="O874" s="9">
        <f>IF('Data Source'!B874="","",'Data Source'!AG874)</f>
        <v/>
      </c>
      <c r="P874" s="5">
        <f>IF('Data Source'!B874="","",'Data Source'!R874)</f>
        <v/>
      </c>
      <c r="Q874" s="3">
        <f>IF('Data Source'!B874="","",'Data Source'!S874)</f>
        <v/>
      </c>
    </row>
    <row r="875">
      <c r="A875" s="3">
        <f>IF('Data Source'!B875="","",'Data Source'!A875)</f>
        <v/>
      </c>
      <c r="B875">
        <f>IF('Data Source'!B875="","",'Data Source'!B875)</f>
        <v/>
      </c>
      <c r="C875" s="9">
        <f>IF('Data Source'!B875="","",'Data Source'!U875)</f>
        <v/>
      </c>
      <c r="D875" s="9">
        <f>IF('Data Source'!B875="","",'Data Source'!V875)</f>
        <v/>
      </c>
      <c r="E875" s="9">
        <f>IF('Data Source'!B875="","",'Data Source'!W875)</f>
        <v/>
      </c>
      <c r="F875" s="9">
        <f>IF('Data Source'!B875="","",'Data Source'!X875)</f>
        <v/>
      </c>
      <c r="G875" s="9">
        <f>IF('Data Source'!B875="","",'Data Source'!Y875)</f>
        <v/>
      </c>
      <c r="H875" s="9">
        <f>IF('Data Source'!B875="","",'Data Source'!Z875)</f>
        <v/>
      </c>
      <c r="I875" s="9">
        <f>IF('Data Source'!B875="","",'Data Source'!AA875)</f>
        <v/>
      </c>
      <c r="J875" s="9">
        <f>IF('Data Source'!B875="","",'Data Source'!AB875)</f>
        <v/>
      </c>
      <c r="K875" s="9">
        <f>IF('Data Source'!B875="","",'Data Source'!AC875)</f>
        <v/>
      </c>
      <c r="L875" s="9">
        <f>IF('Data Source'!B875="","",'Data Source'!AD875)</f>
        <v/>
      </c>
      <c r="M875" s="9">
        <f>IF('Data Source'!B875="","",'Data Source'!AE875)</f>
        <v/>
      </c>
      <c r="N875" s="9">
        <f>IF('Data Source'!B875="","",'Data Source'!AF875)</f>
        <v/>
      </c>
      <c r="O875" s="9">
        <f>IF('Data Source'!B875="","",'Data Source'!AG875)</f>
        <v/>
      </c>
      <c r="P875" s="5">
        <f>IF('Data Source'!B875="","",'Data Source'!R875)</f>
        <v/>
      </c>
      <c r="Q875" s="3">
        <f>IF('Data Source'!B875="","",'Data Source'!S875)</f>
        <v/>
      </c>
    </row>
    <row r="876">
      <c r="A876" s="3">
        <f>IF('Data Source'!B876="","",'Data Source'!A876)</f>
        <v/>
      </c>
      <c r="B876">
        <f>IF('Data Source'!B876="","",'Data Source'!B876)</f>
        <v/>
      </c>
      <c r="C876" s="9">
        <f>IF('Data Source'!B876="","",'Data Source'!U876)</f>
        <v/>
      </c>
      <c r="D876" s="9">
        <f>IF('Data Source'!B876="","",'Data Source'!V876)</f>
        <v/>
      </c>
      <c r="E876" s="9">
        <f>IF('Data Source'!B876="","",'Data Source'!W876)</f>
        <v/>
      </c>
      <c r="F876" s="9">
        <f>IF('Data Source'!B876="","",'Data Source'!X876)</f>
        <v/>
      </c>
      <c r="G876" s="9">
        <f>IF('Data Source'!B876="","",'Data Source'!Y876)</f>
        <v/>
      </c>
      <c r="H876" s="9">
        <f>IF('Data Source'!B876="","",'Data Source'!Z876)</f>
        <v/>
      </c>
      <c r="I876" s="9">
        <f>IF('Data Source'!B876="","",'Data Source'!AA876)</f>
        <v/>
      </c>
      <c r="J876" s="9">
        <f>IF('Data Source'!B876="","",'Data Source'!AB876)</f>
        <v/>
      </c>
      <c r="K876" s="9">
        <f>IF('Data Source'!B876="","",'Data Source'!AC876)</f>
        <v/>
      </c>
      <c r="L876" s="9">
        <f>IF('Data Source'!B876="","",'Data Source'!AD876)</f>
        <v/>
      </c>
      <c r="M876" s="9">
        <f>IF('Data Source'!B876="","",'Data Source'!AE876)</f>
        <v/>
      </c>
      <c r="N876" s="9">
        <f>IF('Data Source'!B876="","",'Data Source'!AF876)</f>
        <v/>
      </c>
      <c r="O876" s="9">
        <f>IF('Data Source'!B876="","",'Data Source'!AG876)</f>
        <v/>
      </c>
      <c r="P876" s="5">
        <f>IF('Data Source'!B876="","",'Data Source'!R876)</f>
        <v/>
      </c>
      <c r="Q876" s="3">
        <f>IF('Data Source'!B876="","",'Data Source'!S876)</f>
        <v/>
      </c>
    </row>
    <row r="877">
      <c r="A877" s="3">
        <f>IF('Data Source'!B877="","",'Data Source'!A877)</f>
        <v/>
      </c>
      <c r="B877">
        <f>IF('Data Source'!B877="","",'Data Source'!B877)</f>
        <v/>
      </c>
      <c r="C877" s="9">
        <f>IF('Data Source'!B877="","",'Data Source'!U877)</f>
        <v/>
      </c>
      <c r="D877" s="9">
        <f>IF('Data Source'!B877="","",'Data Source'!V877)</f>
        <v/>
      </c>
      <c r="E877" s="9">
        <f>IF('Data Source'!B877="","",'Data Source'!W877)</f>
        <v/>
      </c>
      <c r="F877" s="9">
        <f>IF('Data Source'!B877="","",'Data Source'!X877)</f>
        <v/>
      </c>
      <c r="G877" s="9">
        <f>IF('Data Source'!B877="","",'Data Source'!Y877)</f>
        <v/>
      </c>
      <c r="H877" s="9">
        <f>IF('Data Source'!B877="","",'Data Source'!Z877)</f>
        <v/>
      </c>
      <c r="I877" s="9">
        <f>IF('Data Source'!B877="","",'Data Source'!AA877)</f>
        <v/>
      </c>
      <c r="J877" s="9">
        <f>IF('Data Source'!B877="","",'Data Source'!AB877)</f>
        <v/>
      </c>
      <c r="K877" s="9">
        <f>IF('Data Source'!B877="","",'Data Source'!AC877)</f>
        <v/>
      </c>
      <c r="L877" s="9">
        <f>IF('Data Source'!B877="","",'Data Source'!AD877)</f>
        <v/>
      </c>
      <c r="M877" s="9">
        <f>IF('Data Source'!B877="","",'Data Source'!AE877)</f>
        <v/>
      </c>
      <c r="N877" s="9">
        <f>IF('Data Source'!B877="","",'Data Source'!AF877)</f>
        <v/>
      </c>
      <c r="O877" s="9">
        <f>IF('Data Source'!B877="","",'Data Source'!AG877)</f>
        <v/>
      </c>
      <c r="P877" s="5">
        <f>IF('Data Source'!B877="","",'Data Source'!R877)</f>
        <v/>
      </c>
      <c r="Q877" s="3">
        <f>IF('Data Source'!B877="","",'Data Source'!S877)</f>
        <v/>
      </c>
    </row>
    <row r="878">
      <c r="A878" s="3">
        <f>IF('Data Source'!B878="","",'Data Source'!A878)</f>
        <v/>
      </c>
      <c r="B878">
        <f>IF('Data Source'!B878="","",'Data Source'!B878)</f>
        <v/>
      </c>
      <c r="C878" s="9">
        <f>IF('Data Source'!B878="","",'Data Source'!U878)</f>
        <v/>
      </c>
      <c r="D878" s="9">
        <f>IF('Data Source'!B878="","",'Data Source'!V878)</f>
        <v/>
      </c>
      <c r="E878" s="9">
        <f>IF('Data Source'!B878="","",'Data Source'!W878)</f>
        <v/>
      </c>
      <c r="F878" s="9">
        <f>IF('Data Source'!B878="","",'Data Source'!X878)</f>
        <v/>
      </c>
      <c r="G878" s="9">
        <f>IF('Data Source'!B878="","",'Data Source'!Y878)</f>
        <v/>
      </c>
      <c r="H878" s="9">
        <f>IF('Data Source'!B878="","",'Data Source'!Z878)</f>
        <v/>
      </c>
      <c r="I878" s="9">
        <f>IF('Data Source'!B878="","",'Data Source'!AA878)</f>
        <v/>
      </c>
      <c r="J878" s="9">
        <f>IF('Data Source'!B878="","",'Data Source'!AB878)</f>
        <v/>
      </c>
      <c r="K878" s="9">
        <f>IF('Data Source'!B878="","",'Data Source'!AC878)</f>
        <v/>
      </c>
      <c r="L878" s="9">
        <f>IF('Data Source'!B878="","",'Data Source'!AD878)</f>
        <v/>
      </c>
      <c r="M878" s="9">
        <f>IF('Data Source'!B878="","",'Data Source'!AE878)</f>
        <v/>
      </c>
      <c r="N878" s="9">
        <f>IF('Data Source'!B878="","",'Data Source'!AF878)</f>
        <v/>
      </c>
      <c r="O878" s="9">
        <f>IF('Data Source'!B878="","",'Data Source'!AG878)</f>
        <v/>
      </c>
      <c r="P878" s="5">
        <f>IF('Data Source'!B878="","",'Data Source'!R878)</f>
        <v/>
      </c>
      <c r="Q878" s="3">
        <f>IF('Data Source'!B878="","",'Data Source'!S878)</f>
        <v/>
      </c>
    </row>
    <row r="879">
      <c r="A879" s="3">
        <f>IF('Data Source'!B879="","",'Data Source'!A879)</f>
        <v/>
      </c>
      <c r="B879">
        <f>IF('Data Source'!B879="","",'Data Source'!B879)</f>
        <v/>
      </c>
      <c r="C879" s="9">
        <f>IF('Data Source'!B879="","",'Data Source'!U879)</f>
        <v/>
      </c>
      <c r="D879" s="9">
        <f>IF('Data Source'!B879="","",'Data Source'!V879)</f>
        <v/>
      </c>
      <c r="E879" s="9">
        <f>IF('Data Source'!B879="","",'Data Source'!W879)</f>
        <v/>
      </c>
      <c r="F879" s="9">
        <f>IF('Data Source'!B879="","",'Data Source'!X879)</f>
        <v/>
      </c>
      <c r="G879" s="9">
        <f>IF('Data Source'!B879="","",'Data Source'!Y879)</f>
        <v/>
      </c>
      <c r="H879" s="9">
        <f>IF('Data Source'!B879="","",'Data Source'!Z879)</f>
        <v/>
      </c>
      <c r="I879" s="9">
        <f>IF('Data Source'!B879="","",'Data Source'!AA879)</f>
        <v/>
      </c>
      <c r="J879" s="9">
        <f>IF('Data Source'!B879="","",'Data Source'!AB879)</f>
        <v/>
      </c>
      <c r="K879" s="9">
        <f>IF('Data Source'!B879="","",'Data Source'!AC879)</f>
        <v/>
      </c>
      <c r="L879" s="9">
        <f>IF('Data Source'!B879="","",'Data Source'!AD879)</f>
        <v/>
      </c>
      <c r="M879" s="9">
        <f>IF('Data Source'!B879="","",'Data Source'!AE879)</f>
        <v/>
      </c>
      <c r="N879" s="9">
        <f>IF('Data Source'!B879="","",'Data Source'!AF879)</f>
        <v/>
      </c>
      <c r="O879" s="9">
        <f>IF('Data Source'!B879="","",'Data Source'!AG879)</f>
        <v/>
      </c>
      <c r="P879" s="5">
        <f>IF('Data Source'!B879="","",'Data Source'!R879)</f>
        <v/>
      </c>
      <c r="Q879" s="3">
        <f>IF('Data Source'!B879="","",'Data Source'!S879)</f>
        <v/>
      </c>
    </row>
    <row r="880">
      <c r="A880" s="3">
        <f>IF('Data Source'!B880="","",'Data Source'!A880)</f>
        <v/>
      </c>
      <c r="B880">
        <f>IF('Data Source'!B880="","",'Data Source'!B880)</f>
        <v/>
      </c>
      <c r="C880" s="9">
        <f>IF('Data Source'!B880="","",'Data Source'!U880)</f>
        <v/>
      </c>
      <c r="D880" s="9">
        <f>IF('Data Source'!B880="","",'Data Source'!V880)</f>
        <v/>
      </c>
      <c r="E880" s="9">
        <f>IF('Data Source'!B880="","",'Data Source'!W880)</f>
        <v/>
      </c>
      <c r="F880" s="9">
        <f>IF('Data Source'!B880="","",'Data Source'!X880)</f>
        <v/>
      </c>
      <c r="G880" s="9">
        <f>IF('Data Source'!B880="","",'Data Source'!Y880)</f>
        <v/>
      </c>
      <c r="H880" s="9">
        <f>IF('Data Source'!B880="","",'Data Source'!Z880)</f>
        <v/>
      </c>
      <c r="I880" s="9">
        <f>IF('Data Source'!B880="","",'Data Source'!AA880)</f>
        <v/>
      </c>
      <c r="J880" s="9">
        <f>IF('Data Source'!B880="","",'Data Source'!AB880)</f>
        <v/>
      </c>
      <c r="K880" s="9">
        <f>IF('Data Source'!B880="","",'Data Source'!AC880)</f>
        <v/>
      </c>
      <c r="L880" s="9">
        <f>IF('Data Source'!B880="","",'Data Source'!AD880)</f>
        <v/>
      </c>
      <c r="M880" s="9">
        <f>IF('Data Source'!B880="","",'Data Source'!AE880)</f>
        <v/>
      </c>
      <c r="N880" s="9">
        <f>IF('Data Source'!B880="","",'Data Source'!AF880)</f>
        <v/>
      </c>
      <c r="O880" s="9">
        <f>IF('Data Source'!B880="","",'Data Source'!AG880)</f>
        <v/>
      </c>
      <c r="P880" s="5">
        <f>IF('Data Source'!B880="","",'Data Source'!R880)</f>
        <v/>
      </c>
      <c r="Q880" s="3">
        <f>IF('Data Source'!B880="","",'Data Source'!S880)</f>
        <v/>
      </c>
    </row>
    <row r="881">
      <c r="A881" s="3">
        <f>IF('Data Source'!B881="","",'Data Source'!A881)</f>
        <v/>
      </c>
      <c r="B881">
        <f>IF('Data Source'!B881="","",'Data Source'!B881)</f>
        <v/>
      </c>
      <c r="C881" s="9">
        <f>IF('Data Source'!B881="","",'Data Source'!U881)</f>
        <v/>
      </c>
      <c r="D881" s="9">
        <f>IF('Data Source'!B881="","",'Data Source'!V881)</f>
        <v/>
      </c>
      <c r="E881" s="9">
        <f>IF('Data Source'!B881="","",'Data Source'!W881)</f>
        <v/>
      </c>
      <c r="F881" s="9">
        <f>IF('Data Source'!B881="","",'Data Source'!X881)</f>
        <v/>
      </c>
      <c r="G881" s="9">
        <f>IF('Data Source'!B881="","",'Data Source'!Y881)</f>
        <v/>
      </c>
      <c r="H881" s="9">
        <f>IF('Data Source'!B881="","",'Data Source'!Z881)</f>
        <v/>
      </c>
      <c r="I881" s="9">
        <f>IF('Data Source'!B881="","",'Data Source'!AA881)</f>
        <v/>
      </c>
      <c r="J881" s="9">
        <f>IF('Data Source'!B881="","",'Data Source'!AB881)</f>
        <v/>
      </c>
      <c r="K881" s="9">
        <f>IF('Data Source'!B881="","",'Data Source'!AC881)</f>
        <v/>
      </c>
      <c r="L881" s="9">
        <f>IF('Data Source'!B881="","",'Data Source'!AD881)</f>
        <v/>
      </c>
      <c r="M881" s="9">
        <f>IF('Data Source'!B881="","",'Data Source'!AE881)</f>
        <v/>
      </c>
      <c r="N881" s="9">
        <f>IF('Data Source'!B881="","",'Data Source'!AF881)</f>
        <v/>
      </c>
      <c r="O881" s="9">
        <f>IF('Data Source'!B881="","",'Data Source'!AG881)</f>
        <v/>
      </c>
      <c r="P881" s="5">
        <f>IF('Data Source'!B881="","",'Data Source'!R881)</f>
        <v/>
      </c>
      <c r="Q881" s="3">
        <f>IF('Data Source'!B881="","",'Data Source'!S881)</f>
        <v/>
      </c>
    </row>
    <row r="882">
      <c r="A882" s="3">
        <f>IF('Data Source'!B882="","",'Data Source'!A882)</f>
        <v/>
      </c>
      <c r="B882">
        <f>IF('Data Source'!B882="","",'Data Source'!B882)</f>
        <v/>
      </c>
      <c r="C882" s="9">
        <f>IF('Data Source'!B882="","",'Data Source'!U882)</f>
        <v/>
      </c>
      <c r="D882" s="9">
        <f>IF('Data Source'!B882="","",'Data Source'!V882)</f>
        <v/>
      </c>
      <c r="E882" s="9">
        <f>IF('Data Source'!B882="","",'Data Source'!W882)</f>
        <v/>
      </c>
      <c r="F882" s="9">
        <f>IF('Data Source'!B882="","",'Data Source'!X882)</f>
        <v/>
      </c>
      <c r="G882" s="9">
        <f>IF('Data Source'!B882="","",'Data Source'!Y882)</f>
        <v/>
      </c>
      <c r="H882" s="9">
        <f>IF('Data Source'!B882="","",'Data Source'!Z882)</f>
        <v/>
      </c>
      <c r="I882" s="9">
        <f>IF('Data Source'!B882="","",'Data Source'!AA882)</f>
        <v/>
      </c>
      <c r="J882" s="9">
        <f>IF('Data Source'!B882="","",'Data Source'!AB882)</f>
        <v/>
      </c>
      <c r="K882" s="9">
        <f>IF('Data Source'!B882="","",'Data Source'!AC882)</f>
        <v/>
      </c>
      <c r="L882" s="9">
        <f>IF('Data Source'!B882="","",'Data Source'!AD882)</f>
        <v/>
      </c>
      <c r="M882" s="9">
        <f>IF('Data Source'!B882="","",'Data Source'!AE882)</f>
        <v/>
      </c>
      <c r="N882" s="9">
        <f>IF('Data Source'!B882="","",'Data Source'!AF882)</f>
        <v/>
      </c>
      <c r="O882" s="9">
        <f>IF('Data Source'!B882="","",'Data Source'!AG882)</f>
        <v/>
      </c>
      <c r="P882" s="5">
        <f>IF('Data Source'!B882="","",'Data Source'!R882)</f>
        <v/>
      </c>
      <c r="Q882" s="3">
        <f>IF('Data Source'!B882="","",'Data Source'!S882)</f>
        <v/>
      </c>
    </row>
    <row r="883">
      <c r="A883" s="3">
        <f>IF('Data Source'!B883="","",'Data Source'!A883)</f>
        <v/>
      </c>
      <c r="B883">
        <f>IF('Data Source'!B883="","",'Data Source'!B883)</f>
        <v/>
      </c>
      <c r="C883" s="9">
        <f>IF('Data Source'!B883="","",'Data Source'!U883)</f>
        <v/>
      </c>
      <c r="D883" s="9">
        <f>IF('Data Source'!B883="","",'Data Source'!V883)</f>
        <v/>
      </c>
      <c r="E883" s="9">
        <f>IF('Data Source'!B883="","",'Data Source'!W883)</f>
        <v/>
      </c>
      <c r="F883" s="9">
        <f>IF('Data Source'!B883="","",'Data Source'!X883)</f>
        <v/>
      </c>
      <c r="G883" s="9">
        <f>IF('Data Source'!B883="","",'Data Source'!Y883)</f>
        <v/>
      </c>
      <c r="H883" s="9">
        <f>IF('Data Source'!B883="","",'Data Source'!Z883)</f>
        <v/>
      </c>
      <c r="I883" s="9">
        <f>IF('Data Source'!B883="","",'Data Source'!AA883)</f>
        <v/>
      </c>
      <c r="J883" s="9">
        <f>IF('Data Source'!B883="","",'Data Source'!AB883)</f>
        <v/>
      </c>
      <c r="K883" s="9">
        <f>IF('Data Source'!B883="","",'Data Source'!AC883)</f>
        <v/>
      </c>
      <c r="L883" s="9">
        <f>IF('Data Source'!B883="","",'Data Source'!AD883)</f>
        <v/>
      </c>
      <c r="M883" s="9">
        <f>IF('Data Source'!B883="","",'Data Source'!AE883)</f>
        <v/>
      </c>
      <c r="N883" s="9">
        <f>IF('Data Source'!B883="","",'Data Source'!AF883)</f>
        <v/>
      </c>
      <c r="O883" s="9">
        <f>IF('Data Source'!B883="","",'Data Source'!AG883)</f>
        <v/>
      </c>
      <c r="P883" s="5">
        <f>IF('Data Source'!B883="","",'Data Source'!R883)</f>
        <v/>
      </c>
      <c r="Q883" s="3">
        <f>IF('Data Source'!B883="","",'Data Source'!S883)</f>
        <v/>
      </c>
    </row>
    <row r="884">
      <c r="A884" s="3">
        <f>IF('Data Source'!B884="","",'Data Source'!A884)</f>
        <v/>
      </c>
      <c r="B884">
        <f>IF('Data Source'!B884="","",'Data Source'!B884)</f>
        <v/>
      </c>
      <c r="C884" s="9">
        <f>IF('Data Source'!B884="","",'Data Source'!U884)</f>
        <v/>
      </c>
      <c r="D884" s="9">
        <f>IF('Data Source'!B884="","",'Data Source'!V884)</f>
        <v/>
      </c>
      <c r="E884" s="9">
        <f>IF('Data Source'!B884="","",'Data Source'!W884)</f>
        <v/>
      </c>
      <c r="F884" s="9">
        <f>IF('Data Source'!B884="","",'Data Source'!X884)</f>
        <v/>
      </c>
      <c r="G884" s="9">
        <f>IF('Data Source'!B884="","",'Data Source'!Y884)</f>
        <v/>
      </c>
      <c r="H884" s="9">
        <f>IF('Data Source'!B884="","",'Data Source'!Z884)</f>
        <v/>
      </c>
      <c r="I884" s="9">
        <f>IF('Data Source'!B884="","",'Data Source'!AA884)</f>
        <v/>
      </c>
      <c r="J884" s="9">
        <f>IF('Data Source'!B884="","",'Data Source'!AB884)</f>
        <v/>
      </c>
      <c r="K884" s="9">
        <f>IF('Data Source'!B884="","",'Data Source'!AC884)</f>
        <v/>
      </c>
      <c r="L884" s="9">
        <f>IF('Data Source'!B884="","",'Data Source'!AD884)</f>
        <v/>
      </c>
      <c r="M884" s="9">
        <f>IF('Data Source'!B884="","",'Data Source'!AE884)</f>
        <v/>
      </c>
      <c r="N884" s="9">
        <f>IF('Data Source'!B884="","",'Data Source'!AF884)</f>
        <v/>
      </c>
      <c r="O884" s="9">
        <f>IF('Data Source'!B884="","",'Data Source'!AG884)</f>
        <v/>
      </c>
      <c r="P884" s="5">
        <f>IF('Data Source'!B884="","",'Data Source'!R884)</f>
        <v/>
      </c>
      <c r="Q884" s="3">
        <f>IF('Data Source'!B884="","",'Data Source'!S884)</f>
        <v/>
      </c>
    </row>
    <row r="885">
      <c r="A885" s="3">
        <f>IF('Data Source'!B885="","",'Data Source'!A885)</f>
        <v/>
      </c>
      <c r="B885">
        <f>IF('Data Source'!B885="","",'Data Source'!B885)</f>
        <v/>
      </c>
      <c r="C885" s="9">
        <f>IF('Data Source'!B885="","",'Data Source'!U885)</f>
        <v/>
      </c>
      <c r="D885" s="9">
        <f>IF('Data Source'!B885="","",'Data Source'!V885)</f>
        <v/>
      </c>
      <c r="E885" s="9">
        <f>IF('Data Source'!B885="","",'Data Source'!W885)</f>
        <v/>
      </c>
      <c r="F885" s="9">
        <f>IF('Data Source'!B885="","",'Data Source'!X885)</f>
        <v/>
      </c>
      <c r="G885" s="9">
        <f>IF('Data Source'!B885="","",'Data Source'!Y885)</f>
        <v/>
      </c>
      <c r="H885" s="9">
        <f>IF('Data Source'!B885="","",'Data Source'!Z885)</f>
        <v/>
      </c>
      <c r="I885" s="9">
        <f>IF('Data Source'!B885="","",'Data Source'!AA885)</f>
        <v/>
      </c>
      <c r="J885" s="9">
        <f>IF('Data Source'!B885="","",'Data Source'!AB885)</f>
        <v/>
      </c>
      <c r="K885" s="9">
        <f>IF('Data Source'!B885="","",'Data Source'!AC885)</f>
        <v/>
      </c>
      <c r="L885" s="9">
        <f>IF('Data Source'!B885="","",'Data Source'!AD885)</f>
        <v/>
      </c>
      <c r="M885" s="9">
        <f>IF('Data Source'!B885="","",'Data Source'!AE885)</f>
        <v/>
      </c>
      <c r="N885" s="9">
        <f>IF('Data Source'!B885="","",'Data Source'!AF885)</f>
        <v/>
      </c>
      <c r="O885" s="9">
        <f>IF('Data Source'!B885="","",'Data Source'!AG885)</f>
        <v/>
      </c>
      <c r="P885" s="5">
        <f>IF('Data Source'!B885="","",'Data Source'!R885)</f>
        <v/>
      </c>
      <c r="Q885" s="3">
        <f>IF('Data Source'!B885="","",'Data Source'!S885)</f>
        <v/>
      </c>
    </row>
    <row r="886">
      <c r="A886" s="3">
        <f>IF('Data Source'!B886="","",'Data Source'!A886)</f>
        <v/>
      </c>
      <c r="B886">
        <f>IF('Data Source'!B886="","",'Data Source'!B886)</f>
        <v/>
      </c>
      <c r="C886" s="9">
        <f>IF('Data Source'!B886="","",'Data Source'!U886)</f>
        <v/>
      </c>
      <c r="D886" s="9">
        <f>IF('Data Source'!B886="","",'Data Source'!V886)</f>
        <v/>
      </c>
      <c r="E886" s="9">
        <f>IF('Data Source'!B886="","",'Data Source'!W886)</f>
        <v/>
      </c>
      <c r="F886" s="9">
        <f>IF('Data Source'!B886="","",'Data Source'!X886)</f>
        <v/>
      </c>
      <c r="G886" s="9">
        <f>IF('Data Source'!B886="","",'Data Source'!Y886)</f>
        <v/>
      </c>
      <c r="H886" s="9">
        <f>IF('Data Source'!B886="","",'Data Source'!Z886)</f>
        <v/>
      </c>
      <c r="I886" s="9">
        <f>IF('Data Source'!B886="","",'Data Source'!AA886)</f>
        <v/>
      </c>
      <c r="J886" s="9">
        <f>IF('Data Source'!B886="","",'Data Source'!AB886)</f>
        <v/>
      </c>
      <c r="K886" s="9">
        <f>IF('Data Source'!B886="","",'Data Source'!AC886)</f>
        <v/>
      </c>
      <c r="L886" s="9">
        <f>IF('Data Source'!B886="","",'Data Source'!AD886)</f>
        <v/>
      </c>
      <c r="M886" s="9">
        <f>IF('Data Source'!B886="","",'Data Source'!AE886)</f>
        <v/>
      </c>
      <c r="N886" s="9">
        <f>IF('Data Source'!B886="","",'Data Source'!AF886)</f>
        <v/>
      </c>
      <c r="O886" s="9">
        <f>IF('Data Source'!B886="","",'Data Source'!AG886)</f>
        <v/>
      </c>
      <c r="P886" s="5">
        <f>IF('Data Source'!B886="","",'Data Source'!R886)</f>
        <v/>
      </c>
      <c r="Q886" s="3">
        <f>IF('Data Source'!B886="","",'Data Source'!S886)</f>
        <v/>
      </c>
    </row>
    <row r="887">
      <c r="A887" s="3">
        <f>IF('Data Source'!B887="","",'Data Source'!A887)</f>
        <v/>
      </c>
      <c r="B887">
        <f>IF('Data Source'!B887="","",'Data Source'!B887)</f>
        <v/>
      </c>
      <c r="C887" s="9">
        <f>IF('Data Source'!B887="","",'Data Source'!U887)</f>
        <v/>
      </c>
      <c r="D887" s="9">
        <f>IF('Data Source'!B887="","",'Data Source'!V887)</f>
        <v/>
      </c>
      <c r="E887" s="9">
        <f>IF('Data Source'!B887="","",'Data Source'!W887)</f>
        <v/>
      </c>
      <c r="F887" s="9">
        <f>IF('Data Source'!B887="","",'Data Source'!X887)</f>
        <v/>
      </c>
      <c r="G887" s="9">
        <f>IF('Data Source'!B887="","",'Data Source'!Y887)</f>
        <v/>
      </c>
      <c r="H887" s="9">
        <f>IF('Data Source'!B887="","",'Data Source'!Z887)</f>
        <v/>
      </c>
      <c r="I887" s="9">
        <f>IF('Data Source'!B887="","",'Data Source'!AA887)</f>
        <v/>
      </c>
      <c r="J887" s="9">
        <f>IF('Data Source'!B887="","",'Data Source'!AB887)</f>
        <v/>
      </c>
      <c r="K887" s="9">
        <f>IF('Data Source'!B887="","",'Data Source'!AC887)</f>
        <v/>
      </c>
      <c r="L887" s="9">
        <f>IF('Data Source'!B887="","",'Data Source'!AD887)</f>
        <v/>
      </c>
      <c r="M887" s="9">
        <f>IF('Data Source'!B887="","",'Data Source'!AE887)</f>
        <v/>
      </c>
      <c r="N887" s="9">
        <f>IF('Data Source'!B887="","",'Data Source'!AF887)</f>
        <v/>
      </c>
      <c r="O887" s="9">
        <f>IF('Data Source'!B887="","",'Data Source'!AG887)</f>
        <v/>
      </c>
      <c r="P887" s="5">
        <f>IF('Data Source'!B887="","",'Data Source'!R887)</f>
        <v/>
      </c>
      <c r="Q887" s="3">
        <f>IF('Data Source'!B887="","",'Data Source'!S887)</f>
        <v/>
      </c>
    </row>
    <row r="888">
      <c r="A888" s="3">
        <f>IF('Data Source'!B888="","",'Data Source'!A888)</f>
        <v/>
      </c>
      <c r="B888">
        <f>IF('Data Source'!B888="","",'Data Source'!B888)</f>
        <v/>
      </c>
      <c r="C888" s="9">
        <f>IF('Data Source'!B888="","",'Data Source'!U888)</f>
        <v/>
      </c>
      <c r="D888" s="9">
        <f>IF('Data Source'!B888="","",'Data Source'!V888)</f>
        <v/>
      </c>
      <c r="E888" s="9">
        <f>IF('Data Source'!B888="","",'Data Source'!W888)</f>
        <v/>
      </c>
      <c r="F888" s="9">
        <f>IF('Data Source'!B888="","",'Data Source'!X888)</f>
        <v/>
      </c>
      <c r="G888" s="9">
        <f>IF('Data Source'!B888="","",'Data Source'!Y888)</f>
        <v/>
      </c>
      <c r="H888" s="9">
        <f>IF('Data Source'!B888="","",'Data Source'!Z888)</f>
        <v/>
      </c>
      <c r="I888" s="9">
        <f>IF('Data Source'!B888="","",'Data Source'!AA888)</f>
        <v/>
      </c>
      <c r="J888" s="9">
        <f>IF('Data Source'!B888="","",'Data Source'!AB888)</f>
        <v/>
      </c>
      <c r="K888" s="9">
        <f>IF('Data Source'!B888="","",'Data Source'!AC888)</f>
        <v/>
      </c>
      <c r="L888" s="9">
        <f>IF('Data Source'!B888="","",'Data Source'!AD888)</f>
        <v/>
      </c>
      <c r="M888" s="9">
        <f>IF('Data Source'!B888="","",'Data Source'!AE888)</f>
        <v/>
      </c>
      <c r="N888" s="9">
        <f>IF('Data Source'!B888="","",'Data Source'!AF888)</f>
        <v/>
      </c>
      <c r="O888" s="9">
        <f>IF('Data Source'!B888="","",'Data Source'!AG888)</f>
        <v/>
      </c>
      <c r="P888" s="5">
        <f>IF('Data Source'!B888="","",'Data Source'!R888)</f>
        <v/>
      </c>
      <c r="Q888" s="3">
        <f>IF('Data Source'!B888="","",'Data Source'!S888)</f>
        <v/>
      </c>
    </row>
    <row r="889">
      <c r="A889" s="3">
        <f>IF('Data Source'!B889="","",'Data Source'!A889)</f>
        <v/>
      </c>
      <c r="B889">
        <f>IF('Data Source'!B889="","",'Data Source'!B889)</f>
        <v/>
      </c>
      <c r="C889" s="9">
        <f>IF('Data Source'!B889="","",'Data Source'!U889)</f>
        <v/>
      </c>
      <c r="D889" s="9">
        <f>IF('Data Source'!B889="","",'Data Source'!V889)</f>
        <v/>
      </c>
      <c r="E889" s="9">
        <f>IF('Data Source'!B889="","",'Data Source'!W889)</f>
        <v/>
      </c>
      <c r="F889" s="9">
        <f>IF('Data Source'!B889="","",'Data Source'!X889)</f>
        <v/>
      </c>
      <c r="G889" s="9">
        <f>IF('Data Source'!B889="","",'Data Source'!Y889)</f>
        <v/>
      </c>
      <c r="H889" s="9">
        <f>IF('Data Source'!B889="","",'Data Source'!Z889)</f>
        <v/>
      </c>
      <c r="I889" s="9">
        <f>IF('Data Source'!B889="","",'Data Source'!AA889)</f>
        <v/>
      </c>
      <c r="J889" s="9">
        <f>IF('Data Source'!B889="","",'Data Source'!AB889)</f>
        <v/>
      </c>
      <c r="K889" s="9">
        <f>IF('Data Source'!B889="","",'Data Source'!AC889)</f>
        <v/>
      </c>
      <c r="L889" s="9">
        <f>IF('Data Source'!B889="","",'Data Source'!AD889)</f>
        <v/>
      </c>
      <c r="M889" s="9">
        <f>IF('Data Source'!B889="","",'Data Source'!AE889)</f>
        <v/>
      </c>
      <c r="N889" s="9">
        <f>IF('Data Source'!B889="","",'Data Source'!AF889)</f>
        <v/>
      </c>
      <c r="O889" s="9">
        <f>IF('Data Source'!B889="","",'Data Source'!AG889)</f>
        <v/>
      </c>
      <c r="P889" s="5">
        <f>IF('Data Source'!B889="","",'Data Source'!R889)</f>
        <v/>
      </c>
      <c r="Q889" s="3">
        <f>IF('Data Source'!B889="","",'Data Source'!S889)</f>
        <v/>
      </c>
    </row>
    <row r="890">
      <c r="A890" s="3">
        <f>IF('Data Source'!B890="","",'Data Source'!A890)</f>
        <v/>
      </c>
      <c r="B890">
        <f>IF('Data Source'!B890="","",'Data Source'!B890)</f>
        <v/>
      </c>
      <c r="C890" s="9">
        <f>IF('Data Source'!B890="","",'Data Source'!U890)</f>
        <v/>
      </c>
      <c r="D890" s="9">
        <f>IF('Data Source'!B890="","",'Data Source'!V890)</f>
        <v/>
      </c>
      <c r="E890" s="9">
        <f>IF('Data Source'!B890="","",'Data Source'!W890)</f>
        <v/>
      </c>
      <c r="F890" s="9">
        <f>IF('Data Source'!B890="","",'Data Source'!X890)</f>
        <v/>
      </c>
      <c r="G890" s="9">
        <f>IF('Data Source'!B890="","",'Data Source'!Y890)</f>
        <v/>
      </c>
      <c r="H890" s="9">
        <f>IF('Data Source'!B890="","",'Data Source'!Z890)</f>
        <v/>
      </c>
      <c r="I890" s="9">
        <f>IF('Data Source'!B890="","",'Data Source'!AA890)</f>
        <v/>
      </c>
      <c r="J890" s="9">
        <f>IF('Data Source'!B890="","",'Data Source'!AB890)</f>
        <v/>
      </c>
      <c r="K890" s="9">
        <f>IF('Data Source'!B890="","",'Data Source'!AC890)</f>
        <v/>
      </c>
      <c r="L890" s="9">
        <f>IF('Data Source'!B890="","",'Data Source'!AD890)</f>
        <v/>
      </c>
      <c r="M890" s="9">
        <f>IF('Data Source'!B890="","",'Data Source'!AE890)</f>
        <v/>
      </c>
      <c r="N890" s="9">
        <f>IF('Data Source'!B890="","",'Data Source'!AF890)</f>
        <v/>
      </c>
      <c r="O890" s="9">
        <f>IF('Data Source'!B890="","",'Data Source'!AG890)</f>
        <v/>
      </c>
      <c r="P890" s="5">
        <f>IF('Data Source'!B890="","",'Data Source'!R890)</f>
        <v/>
      </c>
      <c r="Q890" s="3">
        <f>IF('Data Source'!B890="","",'Data Source'!S890)</f>
        <v/>
      </c>
    </row>
    <row r="891">
      <c r="A891" s="3">
        <f>IF('Data Source'!B891="","",'Data Source'!A891)</f>
        <v/>
      </c>
      <c r="B891">
        <f>IF('Data Source'!B891="","",'Data Source'!B891)</f>
        <v/>
      </c>
      <c r="C891" s="9">
        <f>IF('Data Source'!B891="","",'Data Source'!U891)</f>
        <v/>
      </c>
      <c r="D891" s="9">
        <f>IF('Data Source'!B891="","",'Data Source'!V891)</f>
        <v/>
      </c>
      <c r="E891" s="9">
        <f>IF('Data Source'!B891="","",'Data Source'!W891)</f>
        <v/>
      </c>
      <c r="F891" s="9">
        <f>IF('Data Source'!B891="","",'Data Source'!X891)</f>
        <v/>
      </c>
      <c r="G891" s="9">
        <f>IF('Data Source'!B891="","",'Data Source'!Y891)</f>
        <v/>
      </c>
      <c r="H891" s="9">
        <f>IF('Data Source'!B891="","",'Data Source'!Z891)</f>
        <v/>
      </c>
      <c r="I891" s="9">
        <f>IF('Data Source'!B891="","",'Data Source'!AA891)</f>
        <v/>
      </c>
      <c r="J891" s="9">
        <f>IF('Data Source'!B891="","",'Data Source'!AB891)</f>
        <v/>
      </c>
      <c r="K891" s="9">
        <f>IF('Data Source'!B891="","",'Data Source'!AC891)</f>
        <v/>
      </c>
      <c r="L891" s="9">
        <f>IF('Data Source'!B891="","",'Data Source'!AD891)</f>
        <v/>
      </c>
      <c r="M891" s="9">
        <f>IF('Data Source'!B891="","",'Data Source'!AE891)</f>
        <v/>
      </c>
      <c r="N891" s="9">
        <f>IF('Data Source'!B891="","",'Data Source'!AF891)</f>
        <v/>
      </c>
      <c r="O891" s="9">
        <f>IF('Data Source'!B891="","",'Data Source'!AG891)</f>
        <v/>
      </c>
      <c r="P891" s="5">
        <f>IF('Data Source'!B891="","",'Data Source'!R891)</f>
        <v/>
      </c>
      <c r="Q891" s="3">
        <f>IF('Data Source'!B891="","",'Data Source'!S891)</f>
        <v/>
      </c>
    </row>
    <row r="892">
      <c r="A892" s="3">
        <f>IF('Data Source'!B892="","",'Data Source'!A892)</f>
        <v/>
      </c>
      <c r="B892">
        <f>IF('Data Source'!B892="","",'Data Source'!B892)</f>
        <v/>
      </c>
      <c r="C892" s="9">
        <f>IF('Data Source'!B892="","",'Data Source'!U892)</f>
        <v/>
      </c>
      <c r="D892" s="9">
        <f>IF('Data Source'!B892="","",'Data Source'!V892)</f>
        <v/>
      </c>
      <c r="E892" s="9">
        <f>IF('Data Source'!B892="","",'Data Source'!W892)</f>
        <v/>
      </c>
      <c r="F892" s="9">
        <f>IF('Data Source'!B892="","",'Data Source'!X892)</f>
        <v/>
      </c>
      <c r="G892" s="9">
        <f>IF('Data Source'!B892="","",'Data Source'!Y892)</f>
        <v/>
      </c>
      <c r="H892" s="9">
        <f>IF('Data Source'!B892="","",'Data Source'!Z892)</f>
        <v/>
      </c>
      <c r="I892" s="9">
        <f>IF('Data Source'!B892="","",'Data Source'!AA892)</f>
        <v/>
      </c>
      <c r="J892" s="9">
        <f>IF('Data Source'!B892="","",'Data Source'!AB892)</f>
        <v/>
      </c>
      <c r="K892" s="9">
        <f>IF('Data Source'!B892="","",'Data Source'!AC892)</f>
        <v/>
      </c>
      <c r="L892" s="9">
        <f>IF('Data Source'!B892="","",'Data Source'!AD892)</f>
        <v/>
      </c>
      <c r="M892" s="9">
        <f>IF('Data Source'!B892="","",'Data Source'!AE892)</f>
        <v/>
      </c>
      <c r="N892" s="9">
        <f>IF('Data Source'!B892="","",'Data Source'!AF892)</f>
        <v/>
      </c>
      <c r="O892" s="9">
        <f>IF('Data Source'!B892="","",'Data Source'!AG892)</f>
        <v/>
      </c>
      <c r="P892" s="5">
        <f>IF('Data Source'!B892="","",'Data Source'!R892)</f>
        <v/>
      </c>
      <c r="Q892" s="3">
        <f>IF('Data Source'!B892="","",'Data Source'!S892)</f>
        <v/>
      </c>
    </row>
    <row r="893">
      <c r="A893" s="3">
        <f>IF('Data Source'!B893="","",'Data Source'!A893)</f>
        <v/>
      </c>
      <c r="B893">
        <f>IF('Data Source'!B893="","",'Data Source'!B893)</f>
        <v/>
      </c>
      <c r="C893" s="9">
        <f>IF('Data Source'!B893="","",'Data Source'!U893)</f>
        <v/>
      </c>
      <c r="D893" s="9">
        <f>IF('Data Source'!B893="","",'Data Source'!V893)</f>
        <v/>
      </c>
      <c r="E893" s="9">
        <f>IF('Data Source'!B893="","",'Data Source'!W893)</f>
        <v/>
      </c>
      <c r="F893" s="9">
        <f>IF('Data Source'!B893="","",'Data Source'!X893)</f>
        <v/>
      </c>
      <c r="G893" s="9">
        <f>IF('Data Source'!B893="","",'Data Source'!Y893)</f>
        <v/>
      </c>
      <c r="H893" s="9">
        <f>IF('Data Source'!B893="","",'Data Source'!Z893)</f>
        <v/>
      </c>
      <c r="I893" s="9">
        <f>IF('Data Source'!B893="","",'Data Source'!AA893)</f>
        <v/>
      </c>
      <c r="J893" s="9">
        <f>IF('Data Source'!B893="","",'Data Source'!AB893)</f>
        <v/>
      </c>
      <c r="K893" s="9">
        <f>IF('Data Source'!B893="","",'Data Source'!AC893)</f>
        <v/>
      </c>
      <c r="L893" s="9">
        <f>IF('Data Source'!B893="","",'Data Source'!AD893)</f>
        <v/>
      </c>
      <c r="M893" s="9">
        <f>IF('Data Source'!B893="","",'Data Source'!AE893)</f>
        <v/>
      </c>
      <c r="N893" s="9">
        <f>IF('Data Source'!B893="","",'Data Source'!AF893)</f>
        <v/>
      </c>
      <c r="O893" s="9">
        <f>IF('Data Source'!B893="","",'Data Source'!AG893)</f>
        <v/>
      </c>
      <c r="P893" s="5">
        <f>IF('Data Source'!B893="","",'Data Source'!R893)</f>
        <v/>
      </c>
      <c r="Q893" s="3">
        <f>IF('Data Source'!B893="","",'Data Source'!S893)</f>
        <v/>
      </c>
    </row>
    <row r="894">
      <c r="A894" s="3">
        <f>IF('Data Source'!B894="","",'Data Source'!A894)</f>
        <v/>
      </c>
      <c r="B894">
        <f>IF('Data Source'!B894="","",'Data Source'!B894)</f>
        <v/>
      </c>
      <c r="C894" s="9">
        <f>IF('Data Source'!B894="","",'Data Source'!U894)</f>
        <v/>
      </c>
      <c r="D894" s="9">
        <f>IF('Data Source'!B894="","",'Data Source'!V894)</f>
        <v/>
      </c>
      <c r="E894" s="9">
        <f>IF('Data Source'!B894="","",'Data Source'!W894)</f>
        <v/>
      </c>
      <c r="F894" s="9">
        <f>IF('Data Source'!B894="","",'Data Source'!X894)</f>
        <v/>
      </c>
      <c r="G894" s="9">
        <f>IF('Data Source'!B894="","",'Data Source'!Y894)</f>
        <v/>
      </c>
      <c r="H894" s="9">
        <f>IF('Data Source'!B894="","",'Data Source'!Z894)</f>
        <v/>
      </c>
      <c r="I894" s="9">
        <f>IF('Data Source'!B894="","",'Data Source'!AA894)</f>
        <v/>
      </c>
      <c r="J894" s="9">
        <f>IF('Data Source'!B894="","",'Data Source'!AB894)</f>
        <v/>
      </c>
      <c r="K894" s="9">
        <f>IF('Data Source'!B894="","",'Data Source'!AC894)</f>
        <v/>
      </c>
      <c r="L894" s="9">
        <f>IF('Data Source'!B894="","",'Data Source'!AD894)</f>
        <v/>
      </c>
      <c r="M894" s="9">
        <f>IF('Data Source'!B894="","",'Data Source'!AE894)</f>
        <v/>
      </c>
      <c r="N894" s="9">
        <f>IF('Data Source'!B894="","",'Data Source'!AF894)</f>
        <v/>
      </c>
      <c r="O894" s="9">
        <f>IF('Data Source'!B894="","",'Data Source'!AG894)</f>
        <v/>
      </c>
      <c r="P894" s="5">
        <f>IF('Data Source'!B894="","",'Data Source'!R894)</f>
        <v/>
      </c>
      <c r="Q894" s="3">
        <f>IF('Data Source'!B894="","",'Data Source'!S894)</f>
        <v/>
      </c>
    </row>
    <row r="895">
      <c r="A895" s="3">
        <f>IF('Data Source'!B895="","",'Data Source'!A895)</f>
        <v/>
      </c>
      <c r="B895">
        <f>IF('Data Source'!B895="","",'Data Source'!B895)</f>
        <v/>
      </c>
      <c r="C895" s="9">
        <f>IF('Data Source'!B895="","",'Data Source'!U895)</f>
        <v/>
      </c>
      <c r="D895" s="9">
        <f>IF('Data Source'!B895="","",'Data Source'!V895)</f>
        <v/>
      </c>
      <c r="E895" s="9">
        <f>IF('Data Source'!B895="","",'Data Source'!W895)</f>
        <v/>
      </c>
      <c r="F895" s="9">
        <f>IF('Data Source'!B895="","",'Data Source'!X895)</f>
        <v/>
      </c>
      <c r="G895" s="9">
        <f>IF('Data Source'!B895="","",'Data Source'!Y895)</f>
        <v/>
      </c>
      <c r="H895" s="9">
        <f>IF('Data Source'!B895="","",'Data Source'!Z895)</f>
        <v/>
      </c>
      <c r="I895" s="9">
        <f>IF('Data Source'!B895="","",'Data Source'!AA895)</f>
        <v/>
      </c>
      <c r="J895" s="9">
        <f>IF('Data Source'!B895="","",'Data Source'!AB895)</f>
        <v/>
      </c>
      <c r="K895" s="9">
        <f>IF('Data Source'!B895="","",'Data Source'!AC895)</f>
        <v/>
      </c>
      <c r="L895" s="9">
        <f>IF('Data Source'!B895="","",'Data Source'!AD895)</f>
        <v/>
      </c>
      <c r="M895" s="9">
        <f>IF('Data Source'!B895="","",'Data Source'!AE895)</f>
        <v/>
      </c>
      <c r="N895" s="9">
        <f>IF('Data Source'!B895="","",'Data Source'!AF895)</f>
        <v/>
      </c>
      <c r="O895" s="9">
        <f>IF('Data Source'!B895="","",'Data Source'!AG895)</f>
        <v/>
      </c>
      <c r="P895" s="5">
        <f>IF('Data Source'!B895="","",'Data Source'!R895)</f>
        <v/>
      </c>
      <c r="Q895" s="3">
        <f>IF('Data Source'!B895="","",'Data Source'!S895)</f>
        <v/>
      </c>
    </row>
    <row r="896">
      <c r="A896" s="3">
        <f>IF('Data Source'!B896="","",'Data Source'!A896)</f>
        <v/>
      </c>
      <c r="B896">
        <f>IF('Data Source'!B896="","",'Data Source'!B896)</f>
        <v/>
      </c>
      <c r="C896" s="9">
        <f>IF('Data Source'!B896="","",'Data Source'!U896)</f>
        <v/>
      </c>
      <c r="D896" s="9">
        <f>IF('Data Source'!B896="","",'Data Source'!V896)</f>
        <v/>
      </c>
      <c r="E896" s="9">
        <f>IF('Data Source'!B896="","",'Data Source'!W896)</f>
        <v/>
      </c>
      <c r="F896" s="9">
        <f>IF('Data Source'!B896="","",'Data Source'!X896)</f>
        <v/>
      </c>
      <c r="G896" s="9">
        <f>IF('Data Source'!B896="","",'Data Source'!Y896)</f>
        <v/>
      </c>
      <c r="H896" s="9">
        <f>IF('Data Source'!B896="","",'Data Source'!Z896)</f>
        <v/>
      </c>
      <c r="I896" s="9">
        <f>IF('Data Source'!B896="","",'Data Source'!AA896)</f>
        <v/>
      </c>
      <c r="J896" s="9">
        <f>IF('Data Source'!B896="","",'Data Source'!AB896)</f>
        <v/>
      </c>
      <c r="K896" s="9">
        <f>IF('Data Source'!B896="","",'Data Source'!AC896)</f>
        <v/>
      </c>
      <c r="L896" s="9">
        <f>IF('Data Source'!B896="","",'Data Source'!AD896)</f>
        <v/>
      </c>
      <c r="M896" s="9">
        <f>IF('Data Source'!B896="","",'Data Source'!AE896)</f>
        <v/>
      </c>
      <c r="N896" s="9">
        <f>IF('Data Source'!B896="","",'Data Source'!AF896)</f>
        <v/>
      </c>
      <c r="O896" s="9">
        <f>IF('Data Source'!B896="","",'Data Source'!AG896)</f>
        <v/>
      </c>
      <c r="P896" s="5">
        <f>IF('Data Source'!B896="","",'Data Source'!R896)</f>
        <v/>
      </c>
      <c r="Q896" s="3">
        <f>IF('Data Source'!B896="","",'Data Source'!S896)</f>
        <v/>
      </c>
    </row>
    <row r="897">
      <c r="A897" s="3">
        <f>IF('Data Source'!B897="","",'Data Source'!A897)</f>
        <v/>
      </c>
      <c r="B897">
        <f>IF('Data Source'!B897="","",'Data Source'!B897)</f>
        <v/>
      </c>
      <c r="C897" s="9">
        <f>IF('Data Source'!B897="","",'Data Source'!U897)</f>
        <v/>
      </c>
      <c r="D897" s="9">
        <f>IF('Data Source'!B897="","",'Data Source'!V897)</f>
        <v/>
      </c>
      <c r="E897" s="9">
        <f>IF('Data Source'!B897="","",'Data Source'!W897)</f>
        <v/>
      </c>
      <c r="F897" s="9">
        <f>IF('Data Source'!B897="","",'Data Source'!X897)</f>
        <v/>
      </c>
      <c r="G897" s="9">
        <f>IF('Data Source'!B897="","",'Data Source'!Y897)</f>
        <v/>
      </c>
      <c r="H897" s="9">
        <f>IF('Data Source'!B897="","",'Data Source'!Z897)</f>
        <v/>
      </c>
      <c r="I897" s="9">
        <f>IF('Data Source'!B897="","",'Data Source'!AA897)</f>
        <v/>
      </c>
      <c r="J897" s="9">
        <f>IF('Data Source'!B897="","",'Data Source'!AB897)</f>
        <v/>
      </c>
      <c r="K897" s="9">
        <f>IF('Data Source'!B897="","",'Data Source'!AC897)</f>
        <v/>
      </c>
      <c r="L897" s="9">
        <f>IF('Data Source'!B897="","",'Data Source'!AD897)</f>
        <v/>
      </c>
      <c r="M897" s="9">
        <f>IF('Data Source'!B897="","",'Data Source'!AE897)</f>
        <v/>
      </c>
      <c r="N897" s="9">
        <f>IF('Data Source'!B897="","",'Data Source'!AF897)</f>
        <v/>
      </c>
      <c r="O897" s="9">
        <f>IF('Data Source'!B897="","",'Data Source'!AG897)</f>
        <v/>
      </c>
      <c r="P897" s="5">
        <f>IF('Data Source'!B897="","",'Data Source'!R897)</f>
        <v/>
      </c>
      <c r="Q897" s="3">
        <f>IF('Data Source'!B897="","",'Data Source'!S897)</f>
        <v/>
      </c>
    </row>
    <row r="898">
      <c r="A898" s="3">
        <f>IF('Data Source'!B898="","",'Data Source'!A898)</f>
        <v/>
      </c>
      <c r="B898">
        <f>IF('Data Source'!B898="","",'Data Source'!B898)</f>
        <v/>
      </c>
      <c r="C898" s="9">
        <f>IF('Data Source'!B898="","",'Data Source'!U898)</f>
        <v/>
      </c>
      <c r="D898" s="9">
        <f>IF('Data Source'!B898="","",'Data Source'!V898)</f>
        <v/>
      </c>
      <c r="E898" s="9">
        <f>IF('Data Source'!B898="","",'Data Source'!W898)</f>
        <v/>
      </c>
      <c r="F898" s="9">
        <f>IF('Data Source'!B898="","",'Data Source'!X898)</f>
        <v/>
      </c>
      <c r="G898" s="9">
        <f>IF('Data Source'!B898="","",'Data Source'!Y898)</f>
        <v/>
      </c>
      <c r="H898" s="9">
        <f>IF('Data Source'!B898="","",'Data Source'!Z898)</f>
        <v/>
      </c>
      <c r="I898" s="9">
        <f>IF('Data Source'!B898="","",'Data Source'!AA898)</f>
        <v/>
      </c>
      <c r="J898" s="9">
        <f>IF('Data Source'!B898="","",'Data Source'!AB898)</f>
        <v/>
      </c>
      <c r="K898" s="9">
        <f>IF('Data Source'!B898="","",'Data Source'!AC898)</f>
        <v/>
      </c>
      <c r="L898" s="9">
        <f>IF('Data Source'!B898="","",'Data Source'!AD898)</f>
        <v/>
      </c>
      <c r="M898" s="9">
        <f>IF('Data Source'!B898="","",'Data Source'!AE898)</f>
        <v/>
      </c>
      <c r="N898" s="9">
        <f>IF('Data Source'!B898="","",'Data Source'!AF898)</f>
        <v/>
      </c>
      <c r="O898" s="9">
        <f>IF('Data Source'!B898="","",'Data Source'!AG898)</f>
        <v/>
      </c>
      <c r="P898" s="5">
        <f>IF('Data Source'!B898="","",'Data Source'!R898)</f>
        <v/>
      </c>
      <c r="Q898" s="3">
        <f>IF('Data Source'!B898="","",'Data Source'!S898)</f>
        <v/>
      </c>
    </row>
    <row r="899">
      <c r="A899" s="3">
        <f>IF('Data Source'!B899="","",'Data Source'!A899)</f>
        <v/>
      </c>
      <c r="B899">
        <f>IF('Data Source'!B899="","",'Data Source'!B899)</f>
        <v/>
      </c>
      <c r="C899" s="9">
        <f>IF('Data Source'!B899="","",'Data Source'!U899)</f>
        <v/>
      </c>
      <c r="D899" s="9">
        <f>IF('Data Source'!B899="","",'Data Source'!V899)</f>
        <v/>
      </c>
      <c r="E899" s="9">
        <f>IF('Data Source'!B899="","",'Data Source'!W899)</f>
        <v/>
      </c>
      <c r="F899" s="9">
        <f>IF('Data Source'!B899="","",'Data Source'!X899)</f>
        <v/>
      </c>
      <c r="G899" s="9">
        <f>IF('Data Source'!B899="","",'Data Source'!Y899)</f>
        <v/>
      </c>
      <c r="H899" s="9">
        <f>IF('Data Source'!B899="","",'Data Source'!Z899)</f>
        <v/>
      </c>
      <c r="I899" s="9">
        <f>IF('Data Source'!B899="","",'Data Source'!AA899)</f>
        <v/>
      </c>
      <c r="J899" s="9">
        <f>IF('Data Source'!B899="","",'Data Source'!AB899)</f>
        <v/>
      </c>
      <c r="K899" s="9">
        <f>IF('Data Source'!B899="","",'Data Source'!AC899)</f>
        <v/>
      </c>
      <c r="L899" s="9">
        <f>IF('Data Source'!B899="","",'Data Source'!AD899)</f>
        <v/>
      </c>
      <c r="M899" s="9">
        <f>IF('Data Source'!B899="","",'Data Source'!AE899)</f>
        <v/>
      </c>
      <c r="N899" s="9">
        <f>IF('Data Source'!B899="","",'Data Source'!AF899)</f>
        <v/>
      </c>
      <c r="O899" s="9">
        <f>IF('Data Source'!B899="","",'Data Source'!AG899)</f>
        <v/>
      </c>
      <c r="P899" s="5">
        <f>IF('Data Source'!B899="","",'Data Source'!R899)</f>
        <v/>
      </c>
      <c r="Q899" s="3">
        <f>IF('Data Source'!B899="","",'Data Source'!S899)</f>
        <v/>
      </c>
    </row>
    <row r="900">
      <c r="A900" s="3">
        <f>IF('Data Source'!B900="","",'Data Source'!A900)</f>
        <v/>
      </c>
      <c r="B900">
        <f>IF('Data Source'!B900="","",'Data Source'!B900)</f>
        <v/>
      </c>
      <c r="C900" s="9">
        <f>IF('Data Source'!B900="","",'Data Source'!U900)</f>
        <v/>
      </c>
      <c r="D900" s="9">
        <f>IF('Data Source'!B900="","",'Data Source'!V900)</f>
        <v/>
      </c>
      <c r="E900" s="9">
        <f>IF('Data Source'!B900="","",'Data Source'!W900)</f>
        <v/>
      </c>
      <c r="F900" s="9">
        <f>IF('Data Source'!B900="","",'Data Source'!X900)</f>
        <v/>
      </c>
      <c r="G900" s="9">
        <f>IF('Data Source'!B900="","",'Data Source'!Y900)</f>
        <v/>
      </c>
      <c r="H900" s="9">
        <f>IF('Data Source'!B900="","",'Data Source'!Z900)</f>
        <v/>
      </c>
      <c r="I900" s="9">
        <f>IF('Data Source'!B900="","",'Data Source'!AA900)</f>
        <v/>
      </c>
      <c r="J900" s="9">
        <f>IF('Data Source'!B900="","",'Data Source'!AB900)</f>
        <v/>
      </c>
      <c r="K900" s="9">
        <f>IF('Data Source'!B900="","",'Data Source'!AC900)</f>
        <v/>
      </c>
      <c r="L900" s="9">
        <f>IF('Data Source'!B900="","",'Data Source'!AD900)</f>
        <v/>
      </c>
      <c r="M900" s="9">
        <f>IF('Data Source'!B900="","",'Data Source'!AE900)</f>
        <v/>
      </c>
      <c r="N900" s="9">
        <f>IF('Data Source'!B900="","",'Data Source'!AF900)</f>
        <v/>
      </c>
      <c r="O900" s="9">
        <f>IF('Data Source'!B900="","",'Data Source'!AG900)</f>
        <v/>
      </c>
      <c r="P900" s="5">
        <f>IF('Data Source'!B900="","",'Data Source'!R900)</f>
        <v/>
      </c>
      <c r="Q900" s="3">
        <f>IF('Data Source'!B900="","",'Data Source'!S900)</f>
        <v/>
      </c>
    </row>
    <row r="901">
      <c r="A901" s="3">
        <f>IF('Data Source'!B901="","",'Data Source'!A901)</f>
        <v/>
      </c>
      <c r="B901">
        <f>IF('Data Source'!B901="","",'Data Source'!B901)</f>
        <v/>
      </c>
      <c r="C901" s="9">
        <f>IF('Data Source'!B901="","",'Data Source'!U901)</f>
        <v/>
      </c>
      <c r="D901" s="9">
        <f>IF('Data Source'!B901="","",'Data Source'!V901)</f>
        <v/>
      </c>
      <c r="E901" s="9">
        <f>IF('Data Source'!B901="","",'Data Source'!W901)</f>
        <v/>
      </c>
      <c r="F901" s="9">
        <f>IF('Data Source'!B901="","",'Data Source'!X901)</f>
        <v/>
      </c>
      <c r="G901" s="9">
        <f>IF('Data Source'!B901="","",'Data Source'!Y901)</f>
        <v/>
      </c>
      <c r="H901" s="9">
        <f>IF('Data Source'!B901="","",'Data Source'!Z901)</f>
        <v/>
      </c>
      <c r="I901" s="9">
        <f>IF('Data Source'!B901="","",'Data Source'!AA901)</f>
        <v/>
      </c>
      <c r="J901" s="9">
        <f>IF('Data Source'!B901="","",'Data Source'!AB901)</f>
        <v/>
      </c>
      <c r="K901" s="9">
        <f>IF('Data Source'!B901="","",'Data Source'!AC901)</f>
        <v/>
      </c>
      <c r="L901" s="9">
        <f>IF('Data Source'!B901="","",'Data Source'!AD901)</f>
        <v/>
      </c>
      <c r="M901" s="9">
        <f>IF('Data Source'!B901="","",'Data Source'!AE901)</f>
        <v/>
      </c>
      <c r="N901" s="9">
        <f>IF('Data Source'!B901="","",'Data Source'!AF901)</f>
        <v/>
      </c>
      <c r="O901" s="9">
        <f>IF('Data Source'!B901="","",'Data Source'!AG901)</f>
        <v/>
      </c>
      <c r="P901" s="5">
        <f>IF('Data Source'!B901="","",'Data Source'!R901)</f>
        <v/>
      </c>
      <c r="Q901" s="3">
        <f>IF('Data Source'!B901="","",'Data Source'!S901)</f>
        <v/>
      </c>
    </row>
    <row r="902">
      <c r="A902" s="3">
        <f>IF('Data Source'!B902="","",'Data Source'!A902)</f>
        <v/>
      </c>
      <c r="B902">
        <f>IF('Data Source'!B902="","",'Data Source'!B902)</f>
        <v/>
      </c>
      <c r="C902" s="9">
        <f>IF('Data Source'!B902="","",'Data Source'!U902)</f>
        <v/>
      </c>
      <c r="D902" s="9">
        <f>IF('Data Source'!B902="","",'Data Source'!V902)</f>
        <v/>
      </c>
      <c r="E902" s="9">
        <f>IF('Data Source'!B902="","",'Data Source'!W902)</f>
        <v/>
      </c>
      <c r="F902" s="9">
        <f>IF('Data Source'!B902="","",'Data Source'!X902)</f>
        <v/>
      </c>
      <c r="G902" s="9">
        <f>IF('Data Source'!B902="","",'Data Source'!Y902)</f>
        <v/>
      </c>
      <c r="H902" s="9">
        <f>IF('Data Source'!B902="","",'Data Source'!Z902)</f>
        <v/>
      </c>
      <c r="I902" s="9">
        <f>IF('Data Source'!B902="","",'Data Source'!AA902)</f>
        <v/>
      </c>
      <c r="J902" s="9">
        <f>IF('Data Source'!B902="","",'Data Source'!AB902)</f>
        <v/>
      </c>
      <c r="K902" s="9">
        <f>IF('Data Source'!B902="","",'Data Source'!AC902)</f>
        <v/>
      </c>
      <c r="L902" s="9">
        <f>IF('Data Source'!B902="","",'Data Source'!AD902)</f>
        <v/>
      </c>
      <c r="M902" s="9">
        <f>IF('Data Source'!B902="","",'Data Source'!AE902)</f>
        <v/>
      </c>
      <c r="N902" s="9">
        <f>IF('Data Source'!B902="","",'Data Source'!AF902)</f>
        <v/>
      </c>
      <c r="O902" s="9">
        <f>IF('Data Source'!B902="","",'Data Source'!AG902)</f>
        <v/>
      </c>
      <c r="P902" s="5">
        <f>IF('Data Source'!B902="","",'Data Source'!R902)</f>
        <v/>
      </c>
      <c r="Q902" s="3">
        <f>IF('Data Source'!B902="","",'Data Source'!S902)</f>
        <v/>
      </c>
    </row>
    <row r="903">
      <c r="A903" s="3">
        <f>IF('Data Source'!B903="","",'Data Source'!A903)</f>
        <v/>
      </c>
      <c r="B903">
        <f>IF('Data Source'!B903="","",'Data Source'!B903)</f>
        <v/>
      </c>
      <c r="C903" s="9">
        <f>IF('Data Source'!B903="","",'Data Source'!U903)</f>
        <v/>
      </c>
      <c r="D903" s="9">
        <f>IF('Data Source'!B903="","",'Data Source'!V903)</f>
        <v/>
      </c>
      <c r="E903" s="9">
        <f>IF('Data Source'!B903="","",'Data Source'!W903)</f>
        <v/>
      </c>
      <c r="F903" s="9">
        <f>IF('Data Source'!B903="","",'Data Source'!X903)</f>
        <v/>
      </c>
      <c r="G903" s="9">
        <f>IF('Data Source'!B903="","",'Data Source'!Y903)</f>
        <v/>
      </c>
      <c r="H903" s="9">
        <f>IF('Data Source'!B903="","",'Data Source'!Z903)</f>
        <v/>
      </c>
      <c r="I903" s="9">
        <f>IF('Data Source'!B903="","",'Data Source'!AA903)</f>
        <v/>
      </c>
      <c r="J903" s="9">
        <f>IF('Data Source'!B903="","",'Data Source'!AB903)</f>
        <v/>
      </c>
      <c r="K903" s="9">
        <f>IF('Data Source'!B903="","",'Data Source'!AC903)</f>
        <v/>
      </c>
      <c r="L903" s="9">
        <f>IF('Data Source'!B903="","",'Data Source'!AD903)</f>
        <v/>
      </c>
      <c r="M903" s="9">
        <f>IF('Data Source'!B903="","",'Data Source'!AE903)</f>
        <v/>
      </c>
      <c r="N903" s="9">
        <f>IF('Data Source'!B903="","",'Data Source'!AF903)</f>
        <v/>
      </c>
      <c r="O903" s="9">
        <f>IF('Data Source'!B903="","",'Data Source'!AG903)</f>
        <v/>
      </c>
      <c r="P903" s="5">
        <f>IF('Data Source'!B903="","",'Data Source'!R903)</f>
        <v/>
      </c>
      <c r="Q903" s="3">
        <f>IF('Data Source'!B903="","",'Data Source'!S903)</f>
        <v/>
      </c>
    </row>
    <row r="904">
      <c r="A904" s="3">
        <f>IF('Data Source'!B904="","",'Data Source'!A904)</f>
        <v/>
      </c>
      <c r="B904">
        <f>IF('Data Source'!B904="","",'Data Source'!B904)</f>
        <v/>
      </c>
      <c r="C904" s="9">
        <f>IF('Data Source'!B904="","",'Data Source'!U904)</f>
        <v/>
      </c>
      <c r="D904" s="9">
        <f>IF('Data Source'!B904="","",'Data Source'!V904)</f>
        <v/>
      </c>
      <c r="E904" s="9">
        <f>IF('Data Source'!B904="","",'Data Source'!W904)</f>
        <v/>
      </c>
      <c r="F904" s="9">
        <f>IF('Data Source'!B904="","",'Data Source'!X904)</f>
        <v/>
      </c>
      <c r="G904" s="9">
        <f>IF('Data Source'!B904="","",'Data Source'!Y904)</f>
        <v/>
      </c>
      <c r="H904" s="9">
        <f>IF('Data Source'!B904="","",'Data Source'!Z904)</f>
        <v/>
      </c>
      <c r="I904" s="9">
        <f>IF('Data Source'!B904="","",'Data Source'!AA904)</f>
        <v/>
      </c>
      <c r="J904" s="9">
        <f>IF('Data Source'!B904="","",'Data Source'!AB904)</f>
        <v/>
      </c>
      <c r="K904" s="9">
        <f>IF('Data Source'!B904="","",'Data Source'!AC904)</f>
        <v/>
      </c>
      <c r="L904" s="9">
        <f>IF('Data Source'!B904="","",'Data Source'!AD904)</f>
        <v/>
      </c>
      <c r="M904" s="9">
        <f>IF('Data Source'!B904="","",'Data Source'!AE904)</f>
        <v/>
      </c>
      <c r="N904" s="9">
        <f>IF('Data Source'!B904="","",'Data Source'!AF904)</f>
        <v/>
      </c>
      <c r="O904" s="9">
        <f>IF('Data Source'!B904="","",'Data Source'!AG904)</f>
        <v/>
      </c>
      <c r="P904" s="5">
        <f>IF('Data Source'!B904="","",'Data Source'!R904)</f>
        <v/>
      </c>
      <c r="Q904" s="3">
        <f>IF('Data Source'!B904="","",'Data Source'!S904)</f>
        <v/>
      </c>
    </row>
    <row r="905">
      <c r="A905" s="3">
        <f>IF('Data Source'!B905="","",'Data Source'!A905)</f>
        <v/>
      </c>
      <c r="B905">
        <f>IF('Data Source'!B905="","",'Data Source'!B905)</f>
        <v/>
      </c>
      <c r="C905" s="9">
        <f>IF('Data Source'!B905="","",'Data Source'!U905)</f>
        <v/>
      </c>
      <c r="D905" s="9">
        <f>IF('Data Source'!B905="","",'Data Source'!V905)</f>
        <v/>
      </c>
      <c r="E905" s="9">
        <f>IF('Data Source'!B905="","",'Data Source'!W905)</f>
        <v/>
      </c>
      <c r="F905" s="9">
        <f>IF('Data Source'!B905="","",'Data Source'!X905)</f>
        <v/>
      </c>
      <c r="G905" s="9">
        <f>IF('Data Source'!B905="","",'Data Source'!Y905)</f>
        <v/>
      </c>
      <c r="H905" s="9">
        <f>IF('Data Source'!B905="","",'Data Source'!Z905)</f>
        <v/>
      </c>
      <c r="I905" s="9">
        <f>IF('Data Source'!B905="","",'Data Source'!AA905)</f>
        <v/>
      </c>
      <c r="J905" s="9">
        <f>IF('Data Source'!B905="","",'Data Source'!AB905)</f>
        <v/>
      </c>
      <c r="K905" s="9">
        <f>IF('Data Source'!B905="","",'Data Source'!AC905)</f>
        <v/>
      </c>
      <c r="L905" s="9">
        <f>IF('Data Source'!B905="","",'Data Source'!AD905)</f>
        <v/>
      </c>
      <c r="M905" s="9">
        <f>IF('Data Source'!B905="","",'Data Source'!AE905)</f>
        <v/>
      </c>
      <c r="N905" s="9">
        <f>IF('Data Source'!B905="","",'Data Source'!AF905)</f>
        <v/>
      </c>
      <c r="O905" s="9">
        <f>IF('Data Source'!B905="","",'Data Source'!AG905)</f>
        <v/>
      </c>
      <c r="P905" s="5">
        <f>IF('Data Source'!B905="","",'Data Source'!R905)</f>
        <v/>
      </c>
      <c r="Q905" s="3">
        <f>IF('Data Source'!B905="","",'Data Source'!S905)</f>
        <v/>
      </c>
    </row>
    <row r="906">
      <c r="A906" s="3">
        <f>IF('Data Source'!B906="","",'Data Source'!A906)</f>
        <v/>
      </c>
      <c r="B906">
        <f>IF('Data Source'!B906="","",'Data Source'!B906)</f>
        <v/>
      </c>
      <c r="C906" s="9">
        <f>IF('Data Source'!B906="","",'Data Source'!U906)</f>
        <v/>
      </c>
      <c r="D906" s="9">
        <f>IF('Data Source'!B906="","",'Data Source'!V906)</f>
        <v/>
      </c>
      <c r="E906" s="9">
        <f>IF('Data Source'!B906="","",'Data Source'!W906)</f>
        <v/>
      </c>
      <c r="F906" s="9">
        <f>IF('Data Source'!B906="","",'Data Source'!X906)</f>
        <v/>
      </c>
      <c r="G906" s="9">
        <f>IF('Data Source'!B906="","",'Data Source'!Y906)</f>
        <v/>
      </c>
      <c r="H906" s="9">
        <f>IF('Data Source'!B906="","",'Data Source'!Z906)</f>
        <v/>
      </c>
      <c r="I906" s="9">
        <f>IF('Data Source'!B906="","",'Data Source'!AA906)</f>
        <v/>
      </c>
      <c r="J906" s="9">
        <f>IF('Data Source'!B906="","",'Data Source'!AB906)</f>
        <v/>
      </c>
      <c r="K906" s="9">
        <f>IF('Data Source'!B906="","",'Data Source'!AC906)</f>
        <v/>
      </c>
      <c r="L906" s="9">
        <f>IF('Data Source'!B906="","",'Data Source'!AD906)</f>
        <v/>
      </c>
      <c r="M906" s="9">
        <f>IF('Data Source'!B906="","",'Data Source'!AE906)</f>
        <v/>
      </c>
      <c r="N906" s="9">
        <f>IF('Data Source'!B906="","",'Data Source'!AF906)</f>
        <v/>
      </c>
      <c r="O906" s="9">
        <f>IF('Data Source'!B906="","",'Data Source'!AG906)</f>
        <v/>
      </c>
      <c r="P906" s="5">
        <f>IF('Data Source'!B906="","",'Data Source'!R906)</f>
        <v/>
      </c>
      <c r="Q906" s="3">
        <f>IF('Data Source'!B906="","",'Data Source'!S906)</f>
        <v/>
      </c>
    </row>
    <row r="907">
      <c r="A907" s="3">
        <f>IF('Data Source'!B907="","",'Data Source'!A907)</f>
        <v/>
      </c>
      <c r="B907">
        <f>IF('Data Source'!B907="","",'Data Source'!B907)</f>
        <v/>
      </c>
      <c r="C907" s="9">
        <f>IF('Data Source'!B907="","",'Data Source'!U907)</f>
        <v/>
      </c>
      <c r="D907" s="9">
        <f>IF('Data Source'!B907="","",'Data Source'!V907)</f>
        <v/>
      </c>
      <c r="E907" s="9">
        <f>IF('Data Source'!B907="","",'Data Source'!W907)</f>
        <v/>
      </c>
      <c r="F907" s="9">
        <f>IF('Data Source'!B907="","",'Data Source'!X907)</f>
        <v/>
      </c>
      <c r="G907" s="9">
        <f>IF('Data Source'!B907="","",'Data Source'!Y907)</f>
        <v/>
      </c>
      <c r="H907" s="9">
        <f>IF('Data Source'!B907="","",'Data Source'!Z907)</f>
        <v/>
      </c>
      <c r="I907" s="9">
        <f>IF('Data Source'!B907="","",'Data Source'!AA907)</f>
        <v/>
      </c>
      <c r="J907" s="9">
        <f>IF('Data Source'!B907="","",'Data Source'!AB907)</f>
        <v/>
      </c>
      <c r="K907" s="9">
        <f>IF('Data Source'!B907="","",'Data Source'!AC907)</f>
        <v/>
      </c>
      <c r="L907" s="9">
        <f>IF('Data Source'!B907="","",'Data Source'!AD907)</f>
        <v/>
      </c>
      <c r="M907" s="9">
        <f>IF('Data Source'!B907="","",'Data Source'!AE907)</f>
        <v/>
      </c>
      <c r="N907" s="9">
        <f>IF('Data Source'!B907="","",'Data Source'!AF907)</f>
        <v/>
      </c>
      <c r="O907" s="9">
        <f>IF('Data Source'!B907="","",'Data Source'!AG907)</f>
        <v/>
      </c>
      <c r="P907" s="5">
        <f>IF('Data Source'!B907="","",'Data Source'!R907)</f>
        <v/>
      </c>
      <c r="Q907" s="3">
        <f>IF('Data Source'!B907="","",'Data Source'!S907)</f>
        <v/>
      </c>
    </row>
    <row r="908">
      <c r="A908" s="3">
        <f>IF('Data Source'!B908="","",'Data Source'!A908)</f>
        <v/>
      </c>
      <c r="B908">
        <f>IF('Data Source'!B908="","",'Data Source'!B908)</f>
        <v/>
      </c>
      <c r="C908" s="9">
        <f>IF('Data Source'!B908="","",'Data Source'!U908)</f>
        <v/>
      </c>
      <c r="D908" s="9">
        <f>IF('Data Source'!B908="","",'Data Source'!V908)</f>
        <v/>
      </c>
      <c r="E908" s="9">
        <f>IF('Data Source'!B908="","",'Data Source'!W908)</f>
        <v/>
      </c>
      <c r="F908" s="9">
        <f>IF('Data Source'!B908="","",'Data Source'!X908)</f>
        <v/>
      </c>
      <c r="G908" s="9">
        <f>IF('Data Source'!B908="","",'Data Source'!Y908)</f>
        <v/>
      </c>
      <c r="H908" s="9">
        <f>IF('Data Source'!B908="","",'Data Source'!Z908)</f>
        <v/>
      </c>
      <c r="I908" s="9">
        <f>IF('Data Source'!B908="","",'Data Source'!AA908)</f>
        <v/>
      </c>
      <c r="J908" s="9">
        <f>IF('Data Source'!B908="","",'Data Source'!AB908)</f>
        <v/>
      </c>
      <c r="K908" s="9">
        <f>IF('Data Source'!B908="","",'Data Source'!AC908)</f>
        <v/>
      </c>
      <c r="L908" s="9">
        <f>IF('Data Source'!B908="","",'Data Source'!AD908)</f>
        <v/>
      </c>
      <c r="M908" s="9">
        <f>IF('Data Source'!B908="","",'Data Source'!AE908)</f>
        <v/>
      </c>
      <c r="N908" s="9">
        <f>IF('Data Source'!B908="","",'Data Source'!AF908)</f>
        <v/>
      </c>
      <c r="O908" s="9">
        <f>IF('Data Source'!B908="","",'Data Source'!AG908)</f>
        <v/>
      </c>
      <c r="P908" s="5">
        <f>IF('Data Source'!B908="","",'Data Source'!R908)</f>
        <v/>
      </c>
      <c r="Q908" s="3">
        <f>IF('Data Source'!B908="","",'Data Source'!S908)</f>
        <v/>
      </c>
    </row>
    <row r="909">
      <c r="A909" s="3">
        <f>IF('Data Source'!B909="","",'Data Source'!A909)</f>
        <v/>
      </c>
      <c r="B909">
        <f>IF('Data Source'!B909="","",'Data Source'!B909)</f>
        <v/>
      </c>
      <c r="C909" s="9">
        <f>IF('Data Source'!B909="","",'Data Source'!U909)</f>
        <v/>
      </c>
      <c r="D909" s="9">
        <f>IF('Data Source'!B909="","",'Data Source'!V909)</f>
        <v/>
      </c>
      <c r="E909" s="9">
        <f>IF('Data Source'!B909="","",'Data Source'!W909)</f>
        <v/>
      </c>
      <c r="F909" s="9">
        <f>IF('Data Source'!B909="","",'Data Source'!X909)</f>
        <v/>
      </c>
      <c r="G909" s="9">
        <f>IF('Data Source'!B909="","",'Data Source'!Y909)</f>
        <v/>
      </c>
      <c r="H909" s="9">
        <f>IF('Data Source'!B909="","",'Data Source'!Z909)</f>
        <v/>
      </c>
      <c r="I909" s="9">
        <f>IF('Data Source'!B909="","",'Data Source'!AA909)</f>
        <v/>
      </c>
      <c r="J909" s="9">
        <f>IF('Data Source'!B909="","",'Data Source'!AB909)</f>
        <v/>
      </c>
      <c r="K909" s="9">
        <f>IF('Data Source'!B909="","",'Data Source'!AC909)</f>
        <v/>
      </c>
      <c r="L909" s="9">
        <f>IF('Data Source'!B909="","",'Data Source'!AD909)</f>
        <v/>
      </c>
      <c r="M909" s="9">
        <f>IF('Data Source'!B909="","",'Data Source'!AE909)</f>
        <v/>
      </c>
      <c r="N909" s="9">
        <f>IF('Data Source'!B909="","",'Data Source'!AF909)</f>
        <v/>
      </c>
      <c r="O909" s="9">
        <f>IF('Data Source'!B909="","",'Data Source'!AG909)</f>
        <v/>
      </c>
      <c r="P909" s="5">
        <f>IF('Data Source'!B909="","",'Data Source'!R909)</f>
        <v/>
      </c>
      <c r="Q909" s="3">
        <f>IF('Data Source'!B909="","",'Data Source'!S909)</f>
        <v/>
      </c>
    </row>
    <row r="910">
      <c r="A910" s="3">
        <f>IF('Data Source'!B910="","",'Data Source'!A910)</f>
        <v/>
      </c>
      <c r="B910">
        <f>IF('Data Source'!B910="","",'Data Source'!B910)</f>
        <v/>
      </c>
      <c r="C910" s="9">
        <f>IF('Data Source'!B910="","",'Data Source'!U910)</f>
        <v/>
      </c>
      <c r="D910" s="9">
        <f>IF('Data Source'!B910="","",'Data Source'!V910)</f>
        <v/>
      </c>
      <c r="E910" s="9">
        <f>IF('Data Source'!B910="","",'Data Source'!W910)</f>
        <v/>
      </c>
      <c r="F910" s="9">
        <f>IF('Data Source'!B910="","",'Data Source'!X910)</f>
        <v/>
      </c>
      <c r="G910" s="9">
        <f>IF('Data Source'!B910="","",'Data Source'!Y910)</f>
        <v/>
      </c>
      <c r="H910" s="9">
        <f>IF('Data Source'!B910="","",'Data Source'!Z910)</f>
        <v/>
      </c>
      <c r="I910" s="9">
        <f>IF('Data Source'!B910="","",'Data Source'!AA910)</f>
        <v/>
      </c>
      <c r="J910" s="9">
        <f>IF('Data Source'!B910="","",'Data Source'!AB910)</f>
        <v/>
      </c>
      <c r="K910" s="9">
        <f>IF('Data Source'!B910="","",'Data Source'!AC910)</f>
        <v/>
      </c>
      <c r="L910" s="9">
        <f>IF('Data Source'!B910="","",'Data Source'!AD910)</f>
        <v/>
      </c>
      <c r="M910" s="9">
        <f>IF('Data Source'!B910="","",'Data Source'!AE910)</f>
        <v/>
      </c>
      <c r="N910" s="9">
        <f>IF('Data Source'!B910="","",'Data Source'!AF910)</f>
        <v/>
      </c>
      <c r="O910" s="9">
        <f>IF('Data Source'!B910="","",'Data Source'!AG910)</f>
        <v/>
      </c>
      <c r="P910" s="5">
        <f>IF('Data Source'!B910="","",'Data Source'!R910)</f>
        <v/>
      </c>
      <c r="Q910" s="3">
        <f>IF('Data Source'!B910="","",'Data Source'!S910)</f>
        <v/>
      </c>
    </row>
    <row r="911">
      <c r="A911" s="3">
        <f>IF('Data Source'!B911="","",'Data Source'!A911)</f>
        <v/>
      </c>
      <c r="B911">
        <f>IF('Data Source'!B911="","",'Data Source'!B911)</f>
        <v/>
      </c>
      <c r="C911" s="9">
        <f>IF('Data Source'!B911="","",'Data Source'!U911)</f>
        <v/>
      </c>
      <c r="D911" s="9">
        <f>IF('Data Source'!B911="","",'Data Source'!V911)</f>
        <v/>
      </c>
      <c r="E911" s="9">
        <f>IF('Data Source'!B911="","",'Data Source'!W911)</f>
        <v/>
      </c>
      <c r="F911" s="9">
        <f>IF('Data Source'!B911="","",'Data Source'!X911)</f>
        <v/>
      </c>
      <c r="G911" s="9">
        <f>IF('Data Source'!B911="","",'Data Source'!Y911)</f>
        <v/>
      </c>
      <c r="H911" s="9">
        <f>IF('Data Source'!B911="","",'Data Source'!Z911)</f>
        <v/>
      </c>
      <c r="I911" s="9">
        <f>IF('Data Source'!B911="","",'Data Source'!AA911)</f>
        <v/>
      </c>
      <c r="J911" s="9">
        <f>IF('Data Source'!B911="","",'Data Source'!AB911)</f>
        <v/>
      </c>
      <c r="K911" s="9">
        <f>IF('Data Source'!B911="","",'Data Source'!AC911)</f>
        <v/>
      </c>
      <c r="L911" s="9">
        <f>IF('Data Source'!B911="","",'Data Source'!AD911)</f>
        <v/>
      </c>
      <c r="M911" s="9">
        <f>IF('Data Source'!B911="","",'Data Source'!AE911)</f>
        <v/>
      </c>
      <c r="N911" s="9">
        <f>IF('Data Source'!B911="","",'Data Source'!AF911)</f>
        <v/>
      </c>
      <c r="O911" s="9">
        <f>IF('Data Source'!B911="","",'Data Source'!AG911)</f>
        <v/>
      </c>
      <c r="P911" s="5">
        <f>IF('Data Source'!B911="","",'Data Source'!R911)</f>
        <v/>
      </c>
      <c r="Q911" s="3">
        <f>IF('Data Source'!B911="","",'Data Source'!S911)</f>
        <v/>
      </c>
    </row>
    <row r="912">
      <c r="A912" s="3">
        <f>IF('Data Source'!B912="","",'Data Source'!A912)</f>
        <v/>
      </c>
      <c r="B912">
        <f>IF('Data Source'!B912="","",'Data Source'!B912)</f>
        <v/>
      </c>
      <c r="C912" s="9">
        <f>IF('Data Source'!B912="","",'Data Source'!U912)</f>
        <v/>
      </c>
      <c r="D912" s="9">
        <f>IF('Data Source'!B912="","",'Data Source'!V912)</f>
        <v/>
      </c>
      <c r="E912" s="9">
        <f>IF('Data Source'!B912="","",'Data Source'!W912)</f>
        <v/>
      </c>
      <c r="F912" s="9">
        <f>IF('Data Source'!B912="","",'Data Source'!X912)</f>
        <v/>
      </c>
      <c r="G912" s="9">
        <f>IF('Data Source'!B912="","",'Data Source'!Y912)</f>
        <v/>
      </c>
      <c r="H912" s="9">
        <f>IF('Data Source'!B912="","",'Data Source'!Z912)</f>
        <v/>
      </c>
      <c r="I912" s="9">
        <f>IF('Data Source'!B912="","",'Data Source'!AA912)</f>
        <v/>
      </c>
      <c r="J912" s="9">
        <f>IF('Data Source'!B912="","",'Data Source'!AB912)</f>
        <v/>
      </c>
      <c r="K912" s="9">
        <f>IF('Data Source'!B912="","",'Data Source'!AC912)</f>
        <v/>
      </c>
      <c r="L912" s="9">
        <f>IF('Data Source'!B912="","",'Data Source'!AD912)</f>
        <v/>
      </c>
      <c r="M912" s="9">
        <f>IF('Data Source'!B912="","",'Data Source'!AE912)</f>
        <v/>
      </c>
      <c r="N912" s="9">
        <f>IF('Data Source'!B912="","",'Data Source'!AF912)</f>
        <v/>
      </c>
      <c r="O912" s="9">
        <f>IF('Data Source'!B912="","",'Data Source'!AG912)</f>
        <v/>
      </c>
      <c r="P912" s="5">
        <f>IF('Data Source'!B912="","",'Data Source'!R912)</f>
        <v/>
      </c>
      <c r="Q912" s="3">
        <f>IF('Data Source'!B912="","",'Data Source'!S912)</f>
        <v/>
      </c>
    </row>
    <row r="913">
      <c r="A913" s="3">
        <f>IF('Data Source'!B913="","",'Data Source'!A913)</f>
        <v/>
      </c>
      <c r="B913">
        <f>IF('Data Source'!B913="","",'Data Source'!B913)</f>
        <v/>
      </c>
      <c r="C913" s="9">
        <f>IF('Data Source'!B913="","",'Data Source'!U913)</f>
        <v/>
      </c>
      <c r="D913" s="9">
        <f>IF('Data Source'!B913="","",'Data Source'!V913)</f>
        <v/>
      </c>
      <c r="E913" s="9">
        <f>IF('Data Source'!B913="","",'Data Source'!W913)</f>
        <v/>
      </c>
      <c r="F913" s="9">
        <f>IF('Data Source'!B913="","",'Data Source'!X913)</f>
        <v/>
      </c>
      <c r="G913" s="9">
        <f>IF('Data Source'!B913="","",'Data Source'!Y913)</f>
        <v/>
      </c>
      <c r="H913" s="9">
        <f>IF('Data Source'!B913="","",'Data Source'!Z913)</f>
        <v/>
      </c>
      <c r="I913" s="9">
        <f>IF('Data Source'!B913="","",'Data Source'!AA913)</f>
        <v/>
      </c>
      <c r="J913" s="9">
        <f>IF('Data Source'!B913="","",'Data Source'!AB913)</f>
        <v/>
      </c>
      <c r="K913" s="9">
        <f>IF('Data Source'!B913="","",'Data Source'!AC913)</f>
        <v/>
      </c>
      <c r="L913" s="9">
        <f>IF('Data Source'!B913="","",'Data Source'!AD913)</f>
        <v/>
      </c>
      <c r="M913" s="9">
        <f>IF('Data Source'!B913="","",'Data Source'!AE913)</f>
        <v/>
      </c>
      <c r="N913" s="9">
        <f>IF('Data Source'!B913="","",'Data Source'!AF913)</f>
        <v/>
      </c>
      <c r="O913" s="9">
        <f>IF('Data Source'!B913="","",'Data Source'!AG913)</f>
        <v/>
      </c>
      <c r="P913" s="5">
        <f>IF('Data Source'!B913="","",'Data Source'!R913)</f>
        <v/>
      </c>
      <c r="Q913" s="3">
        <f>IF('Data Source'!B913="","",'Data Source'!S913)</f>
        <v/>
      </c>
    </row>
    <row r="914">
      <c r="A914" s="3">
        <f>IF('Data Source'!B914="","",'Data Source'!A914)</f>
        <v/>
      </c>
      <c r="B914">
        <f>IF('Data Source'!B914="","",'Data Source'!B914)</f>
        <v/>
      </c>
      <c r="C914" s="9">
        <f>IF('Data Source'!B914="","",'Data Source'!U914)</f>
        <v/>
      </c>
      <c r="D914" s="9">
        <f>IF('Data Source'!B914="","",'Data Source'!V914)</f>
        <v/>
      </c>
      <c r="E914" s="9">
        <f>IF('Data Source'!B914="","",'Data Source'!W914)</f>
        <v/>
      </c>
      <c r="F914" s="9">
        <f>IF('Data Source'!B914="","",'Data Source'!X914)</f>
        <v/>
      </c>
      <c r="G914" s="9">
        <f>IF('Data Source'!B914="","",'Data Source'!Y914)</f>
        <v/>
      </c>
      <c r="H914" s="9">
        <f>IF('Data Source'!B914="","",'Data Source'!Z914)</f>
        <v/>
      </c>
      <c r="I914" s="9">
        <f>IF('Data Source'!B914="","",'Data Source'!AA914)</f>
        <v/>
      </c>
      <c r="J914" s="9">
        <f>IF('Data Source'!B914="","",'Data Source'!AB914)</f>
        <v/>
      </c>
      <c r="K914" s="9">
        <f>IF('Data Source'!B914="","",'Data Source'!AC914)</f>
        <v/>
      </c>
      <c r="L914" s="9">
        <f>IF('Data Source'!B914="","",'Data Source'!AD914)</f>
        <v/>
      </c>
      <c r="M914" s="9">
        <f>IF('Data Source'!B914="","",'Data Source'!AE914)</f>
        <v/>
      </c>
      <c r="N914" s="9">
        <f>IF('Data Source'!B914="","",'Data Source'!AF914)</f>
        <v/>
      </c>
      <c r="O914" s="9">
        <f>IF('Data Source'!B914="","",'Data Source'!AG914)</f>
        <v/>
      </c>
      <c r="P914" s="5">
        <f>IF('Data Source'!B914="","",'Data Source'!R914)</f>
        <v/>
      </c>
      <c r="Q914" s="3">
        <f>IF('Data Source'!B914="","",'Data Source'!S914)</f>
        <v/>
      </c>
    </row>
    <row r="915">
      <c r="A915" s="3">
        <f>IF('Data Source'!B915="","",'Data Source'!A915)</f>
        <v/>
      </c>
      <c r="B915">
        <f>IF('Data Source'!B915="","",'Data Source'!B915)</f>
        <v/>
      </c>
      <c r="C915" s="9">
        <f>IF('Data Source'!B915="","",'Data Source'!U915)</f>
        <v/>
      </c>
      <c r="D915" s="9">
        <f>IF('Data Source'!B915="","",'Data Source'!V915)</f>
        <v/>
      </c>
      <c r="E915" s="9">
        <f>IF('Data Source'!B915="","",'Data Source'!W915)</f>
        <v/>
      </c>
      <c r="F915" s="9">
        <f>IF('Data Source'!B915="","",'Data Source'!X915)</f>
        <v/>
      </c>
      <c r="G915" s="9">
        <f>IF('Data Source'!B915="","",'Data Source'!Y915)</f>
        <v/>
      </c>
      <c r="H915" s="9">
        <f>IF('Data Source'!B915="","",'Data Source'!Z915)</f>
        <v/>
      </c>
      <c r="I915" s="9">
        <f>IF('Data Source'!B915="","",'Data Source'!AA915)</f>
        <v/>
      </c>
      <c r="J915" s="9">
        <f>IF('Data Source'!B915="","",'Data Source'!AB915)</f>
        <v/>
      </c>
      <c r="K915" s="9">
        <f>IF('Data Source'!B915="","",'Data Source'!AC915)</f>
        <v/>
      </c>
      <c r="L915" s="9">
        <f>IF('Data Source'!B915="","",'Data Source'!AD915)</f>
        <v/>
      </c>
      <c r="M915" s="9">
        <f>IF('Data Source'!B915="","",'Data Source'!AE915)</f>
        <v/>
      </c>
      <c r="N915" s="9">
        <f>IF('Data Source'!B915="","",'Data Source'!AF915)</f>
        <v/>
      </c>
      <c r="O915" s="9">
        <f>IF('Data Source'!B915="","",'Data Source'!AG915)</f>
        <v/>
      </c>
      <c r="P915" s="5">
        <f>IF('Data Source'!B915="","",'Data Source'!R915)</f>
        <v/>
      </c>
      <c r="Q915" s="3">
        <f>IF('Data Source'!B915="","",'Data Source'!S915)</f>
        <v/>
      </c>
    </row>
    <row r="916">
      <c r="A916" s="3">
        <f>IF('Data Source'!B916="","",'Data Source'!A916)</f>
        <v/>
      </c>
      <c r="B916">
        <f>IF('Data Source'!B916="","",'Data Source'!B916)</f>
        <v/>
      </c>
      <c r="C916" s="9">
        <f>IF('Data Source'!B916="","",'Data Source'!U916)</f>
        <v/>
      </c>
      <c r="D916" s="9">
        <f>IF('Data Source'!B916="","",'Data Source'!V916)</f>
        <v/>
      </c>
      <c r="E916" s="9">
        <f>IF('Data Source'!B916="","",'Data Source'!W916)</f>
        <v/>
      </c>
      <c r="F916" s="9">
        <f>IF('Data Source'!B916="","",'Data Source'!X916)</f>
        <v/>
      </c>
      <c r="G916" s="9">
        <f>IF('Data Source'!B916="","",'Data Source'!Y916)</f>
        <v/>
      </c>
      <c r="H916" s="9">
        <f>IF('Data Source'!B916="","",'Data Source'!Z916)</f>
        <v/>
      </c>
      <c r="I916" s="9">
        <f>IF('Data Source'!B916="","",'Data Source'!AA916)</f>
        <v/>
      </c>
      <c r="J916" s="9">
        <f>IF('Data Source'!B916="","",'Data Source'!AB916)</f>
        <v/>
      </c>
      <c r="K916" s="9">
        <f>IF('Data Source'!B916="","",'Data Source'!AC916)</f>
        <v/>
      </c>
      <c r="L916" s="9">
        <f>IF('Data Source'!B916="","",'Data Source'!AD916)</f>
        <v/>
      </c>
      <c r="M916" s="9">
        <f>IF('Data Source'!B916="","",'Data Source'!AE916)</f>
        <v/>
      </c>
      <c r="N916" s="9">
        <f>IF('Data Source'!B916="","",'Data Source'!AF916)</f>
        <v/>
      </c>
      <c r="O916" s="9">
        <f>IF('Data Source'!B916="","",'Data Source'!AG916)</f>
        <v/>
      </c>
      <c r="P916" s="5">
        <f>IF('Data Source'!B916="","",'Data Source'!R916)</f>
        <v/>
      </c>
      <c r="Q916" s="3">
        <f>IF('Data Source'!B916="","",'Data Source'!S916)</f>
        <v/>
      </c>
    </row>
    <row r="917">
      <c r="A917" s="3">
        <f>IF('Data Source'!B917="","",'Data Source'!A917)</f>
        <v/>
      </c>
      <c r="B917">
        <f>IF('Data Source'!B917="","",'Data Source'!B917)</f>
        <v/>
      </c>
      <c r="C917" s="9">
        <f>IF('Data Source'!B917="","",'Data Source'!U917)</f>
        <v/>
      </c>
      <c r="D917" s="9">
        <f>IF('Data Source'!B917="","",'Data Source'!V917)</f>
        <v/>
      </c>
      <c r="E917" s="9">
        <f>IF('Data Source'!B917="","",'Data Source'!W917)</f>
        <v/>
      </c>
      <c r="F917" s="9">
        <f>IF('Data Source'!B917="","",'Data Source'!X917)</f>
        <v/>
      </c>
      <c r="G917" s="9">
        <f>IF('Data Source'!B917="","",'Data Source'!Y917)</f>
        <v/>
      </c>
      <c r="H917" s="9">
        <f>IF('Data Source'!B917="","",'Data Source'!Z917)</f>
        <v/>
      </c>
      <c r="I917" s="9">
        <f>IF('Data Source'!B917="","",'Data Source'!AA917)</f>
        <v/>
      </c>
      <c r="J917" s="9">
        <f>IF('Data Source'!B917="","",'Data Source'!AB917)</f>
        <v/>
      </c>
      <c r="K917" s="9">
        <f>IF('Data Source'!B917="","",'Data Source'!AC917)</f>
        <v/>
      </c>
      <c r="L917" s="9">
        <f>IF('Data Source'!B917="","",'Data Source'!AD917)</f>
        <v/>
      </c>
      <c r="M917" s="9">
        <f>IF('Data Source'!B917="","",'Data Source'!AE917)</f>
        <v/>
      </c>
      <c r="N917" s="9">
        <f>IF('Data Source'!B917="","",'Data Source'!AF917)</f>
        <v/>
      </c>
      <c r="O917" s="9">
        <f>IF('Data Source'!B917="","",'Data Source'!AG917)</f>
        <v/>
      </c>
      <c r="P917" s="5">
        <f>IF('Data Source'!B917="","",'Data Source'!R917)</f>
        <v/>
      </c>
      <c r="Q917" s="3">
        <f>IF('Data Source'!B917="","",'Data Source'!S917)</f>
        <v/>
      </c>
    </row>
    <row r="918">
      <c r="A918" s="3">
        <f>IF('Data Source'!B918="","",'Data Source'!A918)</f>
        <v/>
      </c>
      <c r="B918">
        <f>IF('Data Source'!B918="","",'Data Source'!B918)</f>
        <v/>
      </c>
      <c r="C918" s="9">
        <f>IF('Data Source'!B918="","",'Data Source'!U918)</f>
        <v/>
      </c>
      <c r="D918" s="9">
        <f>IF('Data Source'!B918="","",'Data Source'!V918)</f>
        <v/>
      </c>
      <c r="E918" s="9">
        <f>IF('Data Source'!B918="","",'Data Source'!W918)</f>
        <v/>
      </c>
      <c r="F918" s="9">
        <f>IF('Data Source'!B918="","",'Data Source'!X918)</f>
        <v/>
      </c>
      <c r="G918" s="9">
        <f>IF('Data Source'!B918="","",'Data Source'!Y918)</f>
        <v/>
      </c>
      <c r="H918" s="9">
        <f>IF('Data Source'!B918="","",'Data Source'!Z918)</f>
        <v/>
      </c>
      <c r="I918" s="9">
        <f>IF('Data Source'!B918="","",'Data Source'!AA918)</f>
        <v/>
      </c>
      <c r="J918" s="9">
        <f>IF('Data Source'!B918="","",'Data Source'!AB918)</f>
        <v/>
      </c>
      <c r="K918" s="9">
        <f>IF('Data Source'!B918="","",'Data Source'!AC918)</f>
        <v/>
      </c>
      <c r="L918" s="9">
        <f>IF('Data Source'!B918="","",'Data Source'!AD918)</f>
        <v/>
      </c>
      <c r="M918" s="9">
        <f>IF('Data Source'!B918="","",'Data Source'!AE918)</f>
        <v/>
      </c>
      <c r="N918" s="9">
        <f>IF('Data Source'!B918="","",'Data Source'!AF918)</f>
        <v/>
      </c>
      <c r="O918" s="9">
        <f>IF('Data Source'!B918="","",'Data Source'!AG918)</f>
        <v/>
      </c>
      <c r="P918" s="5">
        <f>IF('Data Source'!B918="","",'Data Source'!R918)</f>
        <v/>
      </c>
      <c r="Q918" s="3">
        <f>IF('Data Source'!B918="","",'Data Source'!S918)</f>
        <v/>
      </c>
    </row>
    <row r="919">
      <c r="A919" s="3">
        <f>IF('Data Source'!B919="","",'Data Source'!A919)</f>
        <v/>
      </c>
      <c r="B919">
        <f>IF('Data Source'!B919="","",'Data Source'!B919)</f>
        <v/>
      </c>
      <c r="C919" s="9">
        <f>IF('Data Source'!B919="","",'Data Source'!U919)</f>
        <v/>
      </c>
      <c r="D919" s="9">
        <f>IF('Data Source'!B919="","",'Data Source'!V919)</f>
        <v/>
      </c>
      <c r="E919" s="9">
        <f>IF('Data Source'!B919="","",'Data Source'!W919)</f>
        <v/>
      </c>
      <c r="F919" s="9">
        <f>IF('Data Source'!B919="","",'Data Source'!X919)</f>
        <v/>
      </c>
      <c r="G919" s="9">
        <f>IF('Data Source'!B919="","",'Data Source'!Y919)</f>
        <v/>
      </c>
      <c r="H919" s="9">
        <f>IF('Data Source'!B919="","",'Data Source'!Z919)</f>
        <v/>
      </c>
      <c r="I919" s="9">
        <f>IF('Data Source'!B919="","",'Data Source'!AA919)</f>
        <v/>
      </c>
      <c r="J919" s="9">
        <f>IF('Data Source'!B919="","",'Data Source'!AB919)</f>
        <v/>
      </c>
      <c r="K919" s="9">
        <f>IF('Data Source'!B919="","",'Data Source'!AC919)</f>
        <v/>
      </c>
      <c r="L919" s="9">
        <f>IF('Data Source'!B919="","",'Data Source'!AD919)</f>
        <v/>
      </c>
      <c r="M919" s="9">
        <f>IF('Data Source'!B919="","",'Data Source'!AE919)</f>
        <v/>
      </c>
      <c r="N919" s="9">
        <f>IF('Data Source'!B919="","",'Data Source'!AF919)</f>
        <v/>
      </c>
      <c r="O919" s="9">
        <f>IF('Data Source'!B919="","",'Data Source'!AG919)</f>
        <v/>
      </c>
      <c r="P919" s="5">
        <f>IF('Data Source'!B919="","",'Data Source'!R919)</f>
        <v/>
      </c>
      <c r="Q919" s="3">
        <f>IF('Data Source'!B919="","",'Data Source'!S919)</f>
        <v/>
      </c>
    </row>
    <row r="920">
      <c r="A920" s="3">
        <f>IF('Data Source'!B920="","",'Data Source'!A920)</f>
        <v/>
      </c>
      <c r="B920">
        <f>IF('Data Source'!B920="","",'Data Source'!B920)</f>
        <v/>
      </c>
      <c r="C920" s="9">
        <f>IF('Data Source'!B920="","",'Data Source'!U920)</f>
        <v/>
      </c>
      <c r="D920" s="9">
        <f>IF('Data Source'!B920="","",'Data Source'!V920)</f>
        <v/>
      </c>
      <c r="E920" s="9">
        <f>IF('Data Source'!B920="","",'Data Source'!W920)</f>
        <v/>
      </c>
      <c r="F920" s="9">
        <f>IF('Data Source'!B920="","",'Data Source'!X920)</f>
        <v/>
      </c>
      <c r="G920" s="9">
        <f>IF('Data Source'!B920="","",'Data Source'!Y920)</f>
        <v/>
      </c>
      <c r="H920" s="9">
        <f>IF('Data Source'!B920="","",'Data Source'!Z920)</f>
        <v/>
      </c>
      <c r="I920" s="9">
        <f>IF('Data Source'!B920="","",'Data Source'!AA920)</f>
        <v/>
      </c>
      <c r="J920" s="9">
        <f>IF('Data Source'!B920="","",'Data Source'!AB920)</f>
        <v/>
      </c>
      <c r="K920" s="9">
        <f>IF('Data Source'!B920="","",'Data Source'!AC920)</f>
        <v/>
      </c>
      <c r="L920" s="9">
        <f>IF('Data Source'!B920="","",'Data Source'!AD920)</f>
        <v/>
      </c>
      <c r="M920" s="9">
        <f>IF('Data Source'!B920="","",'Data Source'!AE920)</f>
        <v/>
      </c>
      <c r="N920" s="9">
        <f>IF('Data Source'!B920="","",'Data Source'!AF920)</f>
        <v/>
      </c>
      <c r="O920" s="9">
        <f>IF('Data Source'!B920="","",'Data Source'!AG920)</f>
        <v/>
      </c>
      <c r="P920" s="5">
        <f>IF('Data Source'!B920="","",'Data Source'!R920)</f>
        <v/>
      </c>
      <c r="Q920" s="3">
        <f>IF('Data Source'!B920="","",'Data Source'!S920)</f>
        <v/>
      </c>
    </row>
    <row r="921">
      <c r="A921" s="3">
        <f>IF('Data Source'!B921="","",'Data Source'!A921)</f>
        <v/>
      </c>
      <c r="B921">
        <f>IF('Data Source'!B921="","",'Data Source'!B921)</f>
        <v/>
      </c>
      <c r="C921" s="9">
        <f>IF('Data Source'!B921="","",'Data Source'!U921)</f>
        <v/>
      </c>
      <c r="D921" s="9">
        <f>IF('Data Source'!B921="","",'Data Source'!V921)</f>
        <v/>
      </c>
      <c r="E921" s="9">
        <f>IF('Data Source'!B921="","",'Data Source'!W921)</f>
        <v/>
      </c>
      <c r="F921" s="9">
        <f>IF('Data Source'!B921="","",'Data Source'!X921)</f>
        <v/>
      </c>
      <c r="G921" s="9">
        <f>IF('Data Source'!B921="","",'Data Source'!Y921)</f>
        <v/>
      </c>
      <c r="H921" s="9">
        <f>IF('Data Source'!B921="","",'Data Source'!Z921)</f>
        <v/>
      </c>
      <c r="I921" s="9">
        <f>IF('Data Source'!B921="","",'Data Source'!AA921)</f>
        <v/>
      </c>
      <c r="J921" s="9">
        <f>IF('Data Source'!B921="","",'Data Source'!AB921)</f>
        <v/>
      </c>
      <c r="K921" s="9">
        <f>IF('Data Source'!B921="","",'Data Source'!AC921)</f>
        <v/>
      </c>
      <c r="L921" s="9">
        <f>IF('Data Source'!B921="","",'Data Source'!AD921)</f>
        <v/>
      </c>
      <c r="M921" s="9">
        <f>IF('Data Source'!B921="","",'Data Source'!AE921)</f>
        <v/>
      </c>
      <c r="N921" s="9">
        <f>IF('Data Source'!B921="","",'Data Source'!AF921)</f>
        <v/>
      </c>
      <c r="O921" s="9">
        <f>IF('Data Source'!B921="","",'Data Source'!AG921)</f>
        <v/>
      </c>
      <c r="P921" s="5">
        <f>IF('Data Source'!B921="","",'Data Source'!R921)</f>
        <v/>
      </c>
      <c r="Q921" s="3">
        <f>IF('Data Source'!B921="","",'Data Source'!S921)</f>
        <v/>
      </c>
    </row>
    <row r="922">
      <c r="A922" s="3">
        <f>IF('Data Source'!B922="","",'Data Source'!A922)</f>
        <v/>
      </c>
      <c r="B922">
        <f>IF('Data Source'!B922="","",'Data Source'!B922)</f>
        <v/>
      </c>
      <c r="C922" s="9">
        <f>IF('Data Source'!B922="","",'Data Source'!U922)</f>
        <v/>
      </c>
      <c r="D922" s="9">
        <f>IF('Data Source'!B922="","",'Data Source'!V922)</f>
        <v/>
      </c>
      <c r="E922" s="9">
        <f>IF('Data Source'!B922="","",'Data Source'!W922)</f>
        <v/>
      </c>
      <c r="F922" s="9">
        <f>IF('Data Source'!B922="","",'Data Source'!X922)</f>
        <v/>
      </c>
      <c r="G922" s="9">
        <f>IF('Data Source'!B922="","",'Data Source'!Y922)</f>
        <v/>
      </c>
      <c r="H922" s="9">
        <f>IF('Data Source'!B922="","",'Data Source'!Z922)</f>
        <v/>
      </c>
      <c r="I922" s="9">
        <f>IF('Data Source'!B922="","",'Data Source'!AA922)</f>
        <v/>
      </c>
      <c r="J922" s="9">
        <f>IF('Data Source'!B922="","",'Data Source'!AB922)</f>
        <v/>
      </c>
      <c r="K922" s="9">
        <f>IF('Data Source'!B922="","",'Data Source'!AC922)</f>
        <v/>
      </c>
      <c r="L922" s="9">
        <f>IF('Data Source'!B922="","",'Data Source'!AD922)</f>
        <v/>
      </c>
      <c r="M922" s="9">
        <f>IF('Data Source'!B922="","",'Data Source'!AE922)</f>
        <v/>
      </c>
      <c r="N922" s="9">
        <f>IF('Data Source'!B922="","",'Data Source'!AF922)</f>
        <v/>
      </c>
      <c r="O922" s="9">
        <f>IF('Data Source'!B922="","",'Data Source'!AG922)</f>
        <v/>
      </c>
      <c r="P922" s="5">
        <f>IF('Data Source'!B922="","",'Data Source'!R922)</f>
        <v/>
      </c>
      <c r="Q922" s="3">
        <f>IF('Data Source'!B922="","",'Data Source'!S922)</f>
        <v/>
      </c>
    </row>
    <row r="923">
      <c r="A923" s="3">
        <f>IF('Data Source'!B923="","",'Data Source'!A923)</f>
        <v/>
      </c>
      <c r="B923">
        <f>IF('Data Source'!B923="","",'Data Source'!B923)</f>
        <v/>
      </c>
      <c r="C923" s="9">
        <f>IF('Data Source'!B923="","",'Data Source'!U923)</f>
        <v/>
      </c>
      <c r="D923" s="9">
        <f>IF('Data Source'!B923="","",'Data Source'!V923)</f>
        <v/>
      </c>
      <c r="E923" s="9">
        <f>IF('Data Source'!B923="","",'Data Source'!W923)</f>
        <v/>
      </c>
      <c r="F923" s="9">
        <f>IF('Data Source'!B923="","",'Data Source'!X923)</f>
        <v/>
      </c>
      <c r="G923" s="9">
        <f>IF('Data Source'!B923="","",'Data Source'!Y923)</f>
        <v/>
      </c>
      <c r="H923" s="9">
        <f>IF('Data Source'!B923="","",'Data Source'!Z923)</f>
        <v/>
      </c>
      <c r="I923" s="9">
        <f>IF('Data Source'!B923="","",'Data Source'!AA923)</f>
        <v/>
      </c>
      <c r="J923" s="9">
        <f>IF('Data Source'!B923="","",'Data Source'!AB923)</f>
        <v/>
      </c>
      <c r="K923" s="9">
        <f>IF('Data Source'!B923="","",'Data Source'!AC923)</f>
        <v/>
      </c>
      <c r="L923" s="9">
        <f>IF('Data Source'!B923="","",'Data Source'!AD923)</f>
        <v/>
      </c>
      <c r="M923" s="9">
        <f>IF('Data Source'!B923="","",'Data Source'!AE923)</f>
        <v/>
      </c>
      <c r="N923" s="9">
        <f>IF('Data Source'!B923="","",'Data Source'!AF923)</f>
        <v/>
      </c>
      <c r="O923" s="9">
        <f>IF('Data Source'!B923="","",'Data Source'!AG923)</f>
        <v/>
      </c>
      <c r="P923" s="5">
        <f>IF('Data Source'!B923="","",'Data Source'!R923)</f>
        <v/>
      </c>
      <c r="Q923" s="3">
        <f>IF('Data Source'!B923="","",'Data Source'!S923)</f>
        <v/>
      </c>
    </row>
    <row r="924">
      <c r="A924" s="3">
        <f>IF('Data Source'!B924="","",'Data Source'!A924)</f>
        <v/>
      </c>
      <c r="B924">
        <f>IF('Data Source'!B924="","",'Data Source'!B924)</f>
        <v/>
      </c>
      <c r="C924" s="9">
        <f>IF('Data Source'!B924="","",'Data Source'!U924)</f>
        <v/>
      </c>
      <c r="D924" s="9">
        <f>IF('Data Source'!B924="","",'Data Source'!V924)</f>
        <v/>
      </c>
      <c r="E924" s="9">
        <f>IF('Data Source'!B924="","",'Data Source'!W924)</f>
        <v/>
      </c>
      <c r="F924" s="9">
        <f>IF('Data Source'!B924="","",'Data Source'!X924)</f>
        <v/>
      </c>
      <c r="G924" s="9">
        <f>IF('Data Source'!B924="","",'Data Source'!Y924)</f>
        <v/>
      </c>
      <c r="H924" s="9">
        <f>IF('Data Source'!B924="","",'Data Source'!Z924)</f>
        <v/>
      </c>
      <c r="I924" s="9">
        <f>IF('Data Source'!B924="","",'Data Source'!AA924)</f>
        <v/>
      </c>
      <c r="J924" s="9">
        <f>IF('Data Source'!B924="","",'Data Source'!AB924)</f>
        <v/>
      </c>
      <c r="K924" s="9">
        <f>IF('Data Source'!B924="","",'Data Source'!AC924)</f>
        <v/>
      </c>
      <c r="L924" s="9">
        <f>IF('Data Source'!B924="","",'Data Source'!AD924)</f>
        <v/>
      </c>
      <c r="M924" s="9">
        <f>IF('Data Source'!B924="","",'Data Source'!AE924)</f>
        <v/>
      </c>
      <c r="N924" s="9">
        <f>IF('Data Source'!B924="","",'Data Source'!AF924)</f>
        <v/>
      </c>
      <c r="O924" s="9">
        <f>IF('Data Source'!B924="","",'Data Source'!AG924)</f>
        <v/>
      </c>
      <c r="P924" s="5">
        <f>IF('Data Source'!B924="","",'Data Source'!R924)</f>
        <v/>
      </c>
      <c r="Q924" s="3">
        <f>IF('Data Source'!B924="","",'Data Source'!S924)</f>
        <v/>
      </c>
    </row>
    <row r="925">
      <c r="A925" s="3">
        <f>IF('Data Source'!B925="","",'Data Source'!A925)</f>
        <v/>
      </c>
      <c r="B925">
        <f>IF('Data Source'!B925="","",'Data Source'!B925)</f>
        <v/>
      </c>
      <c r="C925" s="9">
        <f>IF('Data Source'!B925="","",'Data Source'!U925)</f>
        <v/>
      </c>
      <c r="D925" s="9">
        <f>IF('Data Source'!B925="","",'Data Source'!V925)</f>
        <v/>
      </c>
      <c r="E925" s="9">
        <f>IF('Data Source'!B925="","",'Data Source'!W925)</f>
        <v/>
      </c>
      <c r="F925" s="9">
        <f>IF('Data Source'!B925="","",'Data Source'!X925)</f>
        <v/>
      </c>
      <c r="G925" s="9">
        <f>IF('Data Source'!B925="","",'Data Source'!Y925)</f>
        <v/>
      </c>
      <c r="H925" s="9">
        <f>IF('Data Source'!B925="","",'Data Source'!Z925)</f>
        <v/>
      </c>
      <c r="I925" s="9">
        <f>IF('Data Source'!B925="","",'Data Source'!AA925)</f>
        <v/>
      </c>
      <c r="J925" s="9">
        <f>IF('Data Source'!B925="","",'Data Source'!AB925)</f>
        <v/>
      </c>
      <c r="K925" s="9">
        <f>IF('Data Source'!B925="","",'Data Source'!AC925)</f>
        <v/>
      </c>
      <c r="L925" s="9">
        <f>IF('Data Source'!B925="","",'Data Source'!AD925)</f>
        <v/>
      </c>
      <c r="M925" s="9">
        <f>IF('Data Source'!B925="","",'Data Source'!AE925)</f>
        <v/>
      </c>
      <c r="N925" s="9">
        <f>IF('Data Source'!B925="","",'Data Source'!AF925)</f>
        <v/>
      </c>
      <c r="O925" s="9">
        <f>IF('Data Source'!B925="","",'Data Source'!AG925)</f>
        <v/>
      </c>
      <c r="P925" s="5">
        <f>IF('Data Source'!B925="","",'Data Source'!R925)</f>
        <v/>
      </c>
      <c r="Q925" s="3">
        <f>IF('Data Source'!B925="","",'Data Source'!S925)</f>
        <v/>
      </c>
    </row>
    <row r="926">
      <c r="A926" s="3">
        <f>IF('Data Source'!B926="","",'Data Source'!A926)</f>
        <v/>
      </c>
      <c r="B926">
        <f>IF('Data Source'!B926="","",'Data Source'!B926)</f>
        <v/>
      </c>
      <c r="C926" s="9">
        <f>IF('Data Source'!B926="","",'Data Source'!U926)</f>
        <v/>
      </c>
      <c r="D926" s="9">
        <f>IF('Data Source'!B926="","",'Data Source'!V926)</f>
        <v/>
      </c>
      <c r="E926" s="9">
        <f>IF('Data Source'!B926="","",'Data Source'!W926)</f>
        <v/>
      </c>
      <c r="F926" s="9">
        <f>IF('Data Source'!B926="","",'Data Source'!X926)</f>
        <v/>
      </c>
      <c r="G926" s="9">
        <f>IF('Data Source'!B926="","",'Data Source'!Y926)</f>
        <v/>
      </c>
      <c r="H926" s="9">
        <f>IF('Data Source'!B926="","",'Data Source'!Z926)</f>
        <v/>
      </c>
      <c r="I926" s="9">
        <f>IF('Data Source'!B926="","",'Data Source'!AA926)</f>
        <v/>
      </c>
      <c r="J926" s="9">
        <f>IF('Data Source'!B926="","",'Data Source'!AB926)</f>
        <v/>
      </c>
      <c r="K926" s="9">
        <f>IF('Data Source'!B926="","",'Data Source'!AC926)</f>
        <v/>
      </c>
      <c r="L926" s="9">
        <f>IF('Data Source'!B926="","",'Data Source'!AD926)</f>
        <v/>
      </c>
      <c r="M926" s="9">
        <f>IF('Data Source'!B926="","",'Data Source'!AE926)</f>
        <v/>
      </c>
      <c r="N926" s="9">
        <f>IF('Data Source'!B926="","",'Data Source'!AF926)</f>
        <v/>
      </c>
      <c r="O926" s="9">
        <f>IF('Data Source'!B926="","",'Data Source'!AG926)</f>
        <v/>
      </c>
      <c r="P926" s="5">
        <f>IF('Data Source'!B926="","",'Data Source'!R926)</f>
        <v/>
      </c>
      <c r="Q926" s="3">
        <f>IF('Data Source'!B926="","",'Data Source'!S926)</f>
        <v/>
      </c>
    </row>
    <row r="927">
      <c r="A927" s="3">
        <f>IF('Data Source'!B927="","",'Data Source'!A927)</f>
        <v/>
      </c>
      <c r="B927">
        <f>IF('Data Source'!B927="","",'Data Source'!B927)</f>
        <v/>
      </c>
      <c r="C927" s="9">
        <f>IF('Data Source'!B927="","",'Data Source'!U927)</f>
        <v/>
      </c>
      <c r="D927" s="9">
        <f>IF('Data Source'!B927="","",'Data Source'!V927)</f>
        <v/>
      </c>
      <c r="E927" s="9">
        <f>IF('Data Source'!B927="","",'Data Source'!W927)</f>
        <v/>
      </c>
      <c r="F927" s="9">
        <f>IF('Data Source'!B927="","",'Data Source'!X927)</f>
        <v/>
      </c>
      <c r="G927" s="9">
        <f>IF('Data Source'!B927="","",'Data Source'!Y927)</f>
        <v/>
      </c>
      <c r="H927" s="9">
        <f>IF('Data Source'!B927="","",'Data Source'!Z927)</f>
        <v/>
      </c>
      <c r="I927" s="9">
        <f>IF('Data Source'!B927="","",'Data Source'!AA927)</f>
        <v/>
      </c>
      <c r="J927" s="9">
        <f>IF('Data Source'!B927="","",'Data Source'!AB927)</f>
        <v/>
      </c>
      <c r="K927" s="9">
        <f>IF('Data Source'!B927="","",'Data Source'!AC927)</f>
        <v/>
      </c>
      <c r="L927" s="9">
        <f>IF('Data Source'!B927="","",'Data Source'!AD927)</f>
        <v/>
      </c>
      <c r="M927" s="9">
        <f>IF('Data Source'!B927="","",'Data Source'!AE927)</f>
        <v/>
      </c>
      <c r="N927" s="9">
        <f>IF('Data Source'!B927="","",'Data Source'!AF927)</f>
        <v/>
      </c>
      <c r="O927" s="9">
        <f>IF('Data Source'!B927="","",'Data Source'!AG927)</f>
        <v/>
      </c>
      <c r="P927" s="5">
        <f>IF('Data Source'!B927="","",'Data Source'!R927)</f>
        <v/>
      </c>
      <c r="Q927" s="3">
        <f>IF('Data Source'!B927="","",'Data Source'!S927)</f>
        <v/>
      </c>
    </row>
    <row r="928">
      <c r="A928" s="3">
        <f>IF('Data Source'!B928="","",'Data Source'!A928)</f>
        <v/>
      </c>
      <c r="B928">
        <f>IF('Data Source'!B928="","",'Data Source'!B928)</f>
        <v/>
      </c>
      <c r="C928" s="9">
        <f>IF('Data Source'!B928="","",'Data Source'!U928)</f>
        <v/>
      </c>
      <c r="D928" s="9">
        <f>IF('Data Source'!B928="","",'Data Source'!V928)</f>
        <v/>
      </c>
      <c r="E928" s="9">
        <f>IF('Data Source'!B928="","",'Data Source'!W928)</f>
        <v/>
      </c>
      <c r="F928" s="9">
        <f>IF('Data Source'!B928="","",'Data Source'!X928)</f>
        <v/>
      </c>
      <c r="G928" s="9">
        <f>IF('Data Source'!B928="","",'Data Source'!Y928)</f>
        <v/>
      </c>
      <c r="H928" s="9">
        <f>IF('Data Source'!B928="","",'Data Source'!Z928)</f>
        <v/>
      </c>
      <c r="I928" s="9">
        <f>IF('Data Source'!B928="","",'Data Source'!AA928)</f>
        <v/>
      </c>
      <c r="J928" s="9">
        <f>IF('Data Source'!B928="","",'Data Source'!AB928)</f>
        <v/>
      </c>
      <c r="K928" s="9">
        <f>IF('Data Source'!B928="","",'Data Source'!AC928)</f>
        <v/>
      </c>
      <c r="L928" s="9">
        <f>IF('Data Source'!B928="","",'Data Source'!AD928)</f>
        <v/>
      </c>
      <c r="M928" s="9">
        <f>IF('Data Source'!B928="","",'Data Source'!AE928)</f>
        <v/>
      </c>
      <c r="N928" s="9">
        <f>IF('Data Source'!B928="","",'Data Source'!AF928)</f>
        <v/>
      </c>
      <c r="O928" s="9">
        <f>IF('Data Source'!B928="","",'Data Source'!AG928)</f>
        <v/>
      </c>
      <c r="P928" s="5">
        <f>IF('Data Source'!B928="","",'Data Source'!R928)</f>
        <v/>
      </c>
      <c r="Q928" s="3">
        <f>IF('Data Source'!B928="","",'Data Source'!S928)</f>
        <v/>
      </c>
    </row>
    <row r="929">
      <c r="A929" s="3">
        <f>IF('Data Source'!B929="","",'Data Source'!A929)</f>
        <v/>
      </c>
      <c r="B929">
        <f>IF('Data Source'!B929="","",'Data Source'!B929)</f>
        <v/>
      </c>
      <c r="C929" s="9">
        <f>IF('Data Source'!B929="","",'Data Source'!U929)</f>
        <v/>
      </c>
      <c r="D929" s="9">
        <f>IF('Data Source'!B929="","",'Data Source'!V929)</f>
        <v/>
      </c>
      <c r="E929" s="9">
        <f>IF('Data Source'!B929="","",'Data Source'!W929)</f>
        <v/>
      </c>
      <c r="F929" s="9">
        <f>IF('Data Source'!B929="","",'Data Source'!X929)</f>
        <v/>
      </c>
      <c r="G929" s="9">
        <f>IF('Data Source'!B929="","",'Data Source'!Y929)</f>
        <v/>
      </c>
      <c r="H929" s="9">
        <f>IF('Data Source'!B929="","",'Data Source'!Z929)</f>
        <v/>
      </c>
      <c r="I929" s="9">
        <f>IF('Data Source'!B929="","",'Data Source'!AA929)</f>
        <v/>
      </c>
      <c r="J929" s="9">
        <f>IF('Data Source'!B929="","",'Data Source'!AB929)</f>
        <v/>
      </c>
      <c r="K929" s="9">
        <f>IF('Data Source'!B929="","",'Data Source'!AC929)</f>
        <v/>
      </c>
      <c r="L929" s="9">
        <f>IF('Data Source'!B929="","",'Data Source'!AD929)</f>
        <v/>
      </c>
      <c r="M929" s="9">
        <f>IF('Data Source'!B929="","",'Data Source'!AE929)</f>
        <v/>
      </c>
      <c r="N929" s="9">
        <f>IF('Data Source'!B929="","",'Data Source'!AF929)</f>
        <v/>
      </c>
      <c r="O929" s="9">
        <f>IF('Data Source'!B929="","",'Data Source'!AG929)</f>
        <v/>
      </c>
      <c r="P929" s="5">
        <f>IF('Data Source'!B929="","",'Data Source'!R929)</f>
        <v/>
      </c>
      <c r="Q929" s="3">
        <f>IF('Data Source'!B929="","",'Data Source'!S929)</f>
        <v/>
      </c>
    </row>
    <row r="930">
      <c r="A930" s="3">
        <f>IF('Data Source'!B930="","",'Data Source'!A930)</f>
        <v/>
      </c>
      <c r="B930">
        <f>IF('Data Source'!B930="","",'Data Source'!B930)</f>
        <v/>
      </c>
      <c r="C930" s="9">
        <f>IF('Data Source'!B930="","",'Data Source'!U930)</f>
        <v/>
      </c>
      <c r="D930" s="9">
        <f>IF('Data Source'!B930="","",'Data Source'!V930)</f>
        <v/>
      </c>
      <c r="E930" s="9">
        <f>IF('Data Source'!B930="","",'Data Source'!W930)</f>
        <v/>
      </c>
      <c r="F930" s="9">
        <f>IF('Data Source'!B930="","",'Data Source'!X930)</f>
        <v/>
      </c>
      <c r="G930" s="9">
        <f>IF('Data Source'!B930="","",'Data Source'!Y930)</f>
        <v/>
      </c>
      <c r="H930" s="9">
        <f>IF('Data Source'!B930="","",'Data Source'!Z930)</f>
        <v/>
      </c>
      <c r="I930" s="9">
        <f>IF('Data Source'!B930="","",'Data Source'!AA930)</f>
        <v/>
      </c>
      <c r="J930" s="9">
        <f>IF('Data Source'!B930="","",'Data Source'!AB930)</f>
        <v/>
      </c>
      <c r="K930" s="9">
        <f>IF('Data Source'!B930="","",'Data Source'!AC930)</f>
        <v/>
      </c>
      <c r="L930" s="9">
        <f>IF('Data Source'!B930="","",'Data Source'!AD930)</f>
        <v/>
      </c>
      <c r="M930" s="9">
        <f>IF('Data Source'!B930="","",'Data Source'!AE930)</f>
        <v/>
      </c>
      <c r="N930" s="9">
        <f>IF('Data Source'!B930="","",'Data Source'!AF930)</f>
        <v/>
      </c>
      <c r="O930" s="9">
        <f>IF('Data Source'!B930="","",'Data Source'!AG930)</f>
        <v/>
      </c>
      <c r="P930" s="5">
        <f>IF('Data Source'!B930="","",'Data Source'!R930)</f>
        <v/>
      </c>
      <c r="Q930" s="3">
        <f>IF('Data Source'!B930="","",'Data Source'!S930)</f>
        <v/>
      </c>
    </row>
    <row r="931">
      <c r="A931" s="3">
        <f>IF('Data Source'!B931="","",'Data Source'!A931)</f>
        <v/>
      </c>
      <c r="B931">
        <f>IF('Data Source'!B931="","",'Data Source'!B931)</f>
        <v/>
      </c>
      <c r="C931" s="9">
        <f>IF('Data Source'!B931="","",'Data Source'!U931)</f>
        <v/>
      </c>
      <c r="D931" s="9">
        <f>IF('Data Source'!B931="","",'Data Source'!V931)</f>
        <v/>
      </c>
      <c r="E931" s="9">
        <f>IF('Data Source'!B931="","",'Data Source'!W931)</f>
        <v/>
      </c>
      <c r="F931" s="9">
        <f>IF('Data Source'!B931="","",'Data Source'!X931)</f>
        <v/>
      </c>
      <c r="G931" s="9">
        <f>IF('Data Source'!B931="","",'Data Source'!Y931)</f>
        <v/>
      </c>
      <c r="H931" s="9">
        <f>IF('Data Source'!B931="","",'Data Source'!Z931)</f>
        <v/>
      </c>
      <c r="I931" s="9">
        <f>IF('Data Source'!B931="","",'Data Source'!AA931)</f>
        <v/>
      </c>
      <c r="J931" s="9">
        <f>IF('Data Source'!B931="","",'Data Source'!AB931)</f>
        <v/>
      </c>
      <c r="K931" s="9">
        <f>IF('Data Source'!B931="","",'Data Source'!AC931)</f>
        <v/>
      </c>
      <c r="L931" s="9">
        <f>IF('Data Source'!B931="","",'Data Source'!AD931)</f>
        <v/>
      </c>
      <c r="M931" s="9">
        <f>IF('Data Source'!B931="","",'Data Source'!AE931)</f>
        <v/>
      </c>
      <c r="N931" s="9">
        <f>IF('Data Source'!B931="","",'Data Source'!AF931)</f>
        <v/>
      </c>
      <c r="O931" s="9">
        <f>IF('Data Source'!B931="","",'Data Source'!AG931)</f>
        <v/>
      </c>
      <c r="P931" s="5">
        <f>IF('Data Source'!B931="","",'Data Source'!R931)</f>
        <v/>
      </c>
      <c r="Q931" s="3">
        <f>IF('Data Source'!B931="","",'Data Source'!S931)</f>
        <v/>
      </c>
    </row>
    <row r="932">
      <c r="A932" s="3">
        <f>IF('Data Source'!B932="","",'Data Source'!A932)</f>
        <v/>
      </c>
      <c r="B932">
        <f>IF('Data Source'!B932="","",'Data Source'!B932)</f>
        <v/>
      </c>
      <c r="C932" s="9">
        <f>IF('Data Source'!B932="","",'Data Source'!U932)</f>
        <v/>
      </c>
      <c r="D932" s="9">
        <f>IF('Data Source'!B932="","",'Data Source'!V932)</f>
        <v/>
      </c>
      <c r="E932" s="9">
        <f>IF('Data Source'!B932="","",'Data Source'!W932)</f>
        <v/>
      </c>
      <c r="F932" s="9">
        <f>IF('Data Source'!B932="","",'Data Source'!X932)</f>
        <v/>
      </c>
      <c r="G932" s="9">
        <f>IF('Data Source'!B932="","",'Data Source'!Y932)</f>
        <v/>
      </c>
      <c r="H932" s="9">
        <f>IF('Data Source'!B932="","",'Data Source'!Z932)</f>
        <v/>
      </c>
      <c r="I932" s="9">
        <f>IF('Data Source'!B932="","",'Data Source'!AA932)</f>
        <v/>
      </c>
      <c r="J932" s="9">
        <f>IF('Data Source'!B932="","",'Data Source'!AB932)</f>
        <v/>
      </c>
      <c r="K932" s="9">
        <f>IF('Data Source'!B932="","",'Data Source'!AC932)</f>
        <v/>
      </c>
      <c r="L932" s="9">
        <f>IF('Data Source'!B932="","",'Data Source'!AD932)</f>
        <v/>
      </c>
      <c r="M932" s="9">
        <f>IF('Data Source'!B932="","",'Data Source'!AE932)</f>
        <v/>
      </c>
      <c r="N932" s="9">
        <f>IF('Data Source'!B932="","",'Data Source'!AF932)</f>
        <v/>
      </c>
      <c r="O932" s="9">
        <f>IF('Data Source'!B932="","",'Data Source'!AG932)</f>
        <v/>
      </c>
      <c r="P932" s="5">
        <f>IF('Data Source'!B932="","",'Data Source'!R932)</f>
        <v/>
      </c>
      <c r="Q932" s="3">
        <f>IF('Data Source'!B932="","",'Data Source'!S932)</f>
        <v/>
      </c>
    </row>
    <row r="933">
      <c r="A933" s="3">
        <f>IF('Data Source'!B933="","",'Data Source'!A933)</f>
        <v/>
      </c>
      <c r="B933">
        <f>IF('Data Source'!B933="","",'Data Source'!B933)</f>
        <v/>
      </c>
      <c r="C933" s="9">
        <f>IF('Data Source'!B933="","",'Data Source'!U933)</f>
        <v/>
      </c>
      <c r="D933" s="9">
        <f>IF('Data Source'!B933="","",'Data Source'!V933)</f>
        <v/>
      </c>
      <c r="E933" s="9">
        <f>IF('Data Source'!B933="","",'Data Source'!W933)</f>
        <v/>
      </c>
      <c r="F933" s="9">
        <f>IF('Data Source'!B933="","",'Data Source'!X933)</f>
        <v/>
      </c>
      <c r="G933" s="9">
        <f>IF('Data Source'!B933="","",'Data Source'!Y933)</f>
        <v/>
      </c>
      <c r="H933" s="9">
        <f>IF('Data Source'!B933="","",'Data Source'!Z933)</f>
        <v/>
      </c>
      <c r="I933" s="9">
        <f>IF('Data Source'!B933="","",'Data Source'!AA933)</f>
        <v/>
      </c>
      <c r="J933" s="9">
        <f>IF('Data Source'!B933="","",'Data Source'!AB933)</f>
        <v/>
      </c>
      <c r="K933" s="9">
        <f>IF('Data Source'!B933="","",'Data Source'!AC933)</f>
        <v/>
      </c>
      <c r="L933" s="9">
        <f>IF('Data Source'!B933="","",'Data Source'!AD933)</f>
        <v/>
      </c>
      <c r="M933" s="9">
        <f>IF('Data Source'!B933="","",'Data Source'!AE933)</f>
        <v/>
      </c>
      <c r="N933" s="9">
        <f>IF('Data Source'!B933="","",'Data Source'!AF933)</f>
        <v/>
      </c>
      <c r="O933" s="9">
        <f>IF('Data Source'!B933="","",'Data Source'!AG933)</f>
        <v/>
      </c>
      <c r="P933" s="5">
        <f>IF('Data Source'!B933="","",'Data Source'!R933)</f>
        <v/>
      </c>
      <c r="Q933" s="3">
        <f>IF('Data Source'!B933="","",'Data Source'!S933)</f>
        <v/>
      </c>
    </row>
    <row r="934">
      <c r="A934" s="3">
        <f>IF('Data Source'!B934="","",'Data Source'!A934)</f>
        <v/>
      </c>
      <c r="B934">
        <f>IF('Data Source'!B934="","",'Data Source'!B934)</f>
        <v/>
      </c>
      <c r="C934" s="9">
        <f>IF('Data Source'!B934="","",'Data Source'!U934)</f>
        <v/>
      </c>
      <c r="D934" s="9">
        <f>IF('Data Source'!B934="","",'Data Source'!V934)</f>
        <v/>
      </c>
      <c r="E934" s="9">
        <f>IF('Data Source'!B934="","",'Data Source'!W934)</f>
        <v/>
      </c>
      <c r="F934" s="9">
        <f>IF('Data Source'!B934="","",'Data Source'!X934)</f>
        <v/>
      </c>
      <c r="G934" s="9">
        <f>IF('Data Source'!B934="","",'Data Source'!Y934)</f>
        <v/>
      </c>
      <c r="H934" s="9">
        <f>IF('Data Source'!B934="","",'Data Source'!Z934)</f>
        <v/>
      </c>
      <c r="I934" s="9">
        <f>IF('Data Source'!B934="","",'Data Source'!AA934)</f>
        <v/>
      </c>
      <c r="J934" s="9">
        <f>IF('Data Source'!B934="","",'Data Source'!AB934)</f>
        <v/>
      </c>
      <c r="K934" s="9">
        <f>IF('Data Source'!B934="","",'Data Source'!AC934)</f>
        <v/>
      </c>
      <c r="L934" s="9">
        <f>IF('Data Source'!B934="","",'Data Source'!AD934)</f>
        <v/>
      </c>
      <c r="M934" s="9">
        <f>IF('Data Source'!B934="","",'Data Source'!AE934)</f>
        <v/>
      </c>
      <c r="N934" s="9">
        <f>IF('Data Source'!B934="","",'Data Source'!AF934)</f>
        <v/>
      </c>
      <c r="O934" s="9">
        <f>IF('Data Source'!B934="","",'Data Source'!AG934)</f>
        <v/>
      </c>
      <c r="P934" s="5">
        <f>IF('Data Source'!B934="","",'Data Source'!R934)</f>
        <v/>
      </c>
      <c r="Q934" s="3">
        <f>IF('Data Source'!B934="","",'Data Source'!S934)</f>
        <v/>
      </c>
    </row>
    <row r="935">
      <c r="A935" s="3">
        <f>IF('Data Source'!B935="","",'Data Source'!A935)</f>
        <v/>
      </c>
      <c r="B935">
        <f>IF('Data Source'!B935="","",'Data Source'!B935)</f>
        <v/>
      </c>
      <c r="C935" s="9">
        <f>IF('Data Source'!B935="","",'Data Source'!U935)</f>
        <v/>
      </c>
      <c r="D935" s="9">
        <f>IF('Data Source'!B935="","",'Data Source'!V935)</f>
        <v/>
      </c>
      <c r="E935" s="9">
        <f>IF('Data Source'!B935="","",'Data Source'!W935)</f>
        <v/>
      </c>
      <c r="F935" s="9">
        <f>IF('Data Source'!B935="","",'Data Source'!X935)</f>
        <v/>
      </c>
      <c r="G935" s="9">
        <f>IF('Data Source'!B935="","",'Data Source'!Y935)</f>
        <v/>
      </c>
      <c r="H935" s="9">
        <f>IF('Data Source'!B935="","",'Data Source'!Z935)</f>
        <v/>
      </c>
      <c r="I935" s="9">
        <f>IF('Data Source'!B935="","",'Data Source'!AA935)</f>
        <v/>
      </c>
      <c r="J935" s="9">
        <f>IF('Data Source'!B935="","",'Data Source'!AB935)</f>
        <v/>
      </c>
      <c r="K935" s="9">
        <f>IF('Data Source'!B935="","",'Data Source'!AC935)</f>
        <v/>
      </c>
      <c r="L935" s="9">
        <f>IF('Data Source'!B935="","",'Data Source'!AD935)</f>
        <v/>
      </c>
      <c r="M935" s="9">
        <f>IF('Data Source'!B935="","",'Data Source'!AE935)</f>
        <v/>
      </c>
      <c r="N935" s="9">
        <f>IF('Data Source'!B935="","",'Data Source'!AF935)</f>
        <v/>
      </c>
      <c r="O935" s="9">
        <f>IF('Data Source'!B935="","",'Data Source'!AG935)</f>
        <v/>
      </c>
      <c r="P935" s="5">
        <f>IF('Data Source'!B935="","",'Data Source'!R935)</f>
        <v/>
      </c>
      <c r="Q935" s="3">
        <f>IF('Data Source'!B935="","",'Data Source'!S935)</f>
        <v/>
      </c>
    </row>
    <row r="936">
      <c r="A936" s="3">
        <f>IF('Data Source'!B936="","",'Data Source'!A936)</f>
        <v/>
      </c>
      <c r="B936">
        <f>IF('Data Source'!B936="","",'Data Source'!B936)</f>
        <v/>
      </c>
      <c r="C936" s="9">
        <f>IF('Data Source'!B936="","",'Data Source'!U936)</f>
        <v/>
      </c>
      <c r="D936" s="9">
        <f>IF('Data Source'!B936="","",'Data Source'!V936)</f>
        <v/>
      </c>
      <c r="E936" s="9">
        <f>IF('Data Source'!B936="","",'Data Source'!W936)</f>
        <v/>
      </c>
      <c r="F936" s="9">
        <f>IF('Data Source'!B936="","",'Data Source'!X936)</f>
        <v/>
      </c>
      <c r="G936" s="9">
        <f>IF('Data Source'!B936="","",'Data Source'!Y936)</f>
        <v/>
      </c>
      <c r="H936" s="9">
        <f>IF('Data Source'!B936="","",'Data Source'!Z936)</f>
        <v/>
      </c>
      <c r="I936" s="9">
        <f>IF('Data Source'!B936="","",'Data Source'!AA936)</f>
        <v/>
      </c>
      <c r="J936" s="9">
        <f>IF('Data Source'!B936="","",'Data Source'!AB936)</f>
        <v/>
      </c>
      <c r="K936" s="9">
        <f>IF('Data Source'!B936="","",'Data Source'!AC936)</f>
        <v/>
      </c>
      <c r="L936" s="9">
        <f>IF('Data Source'!B936="","",'Data Source'!AD936)</f>
        <v/>
      </c>
      <c r="M936" s="9">
        <f>IF('Data Source'!B936="","",'Data Source'!AE936)</f>
        <v/>
      </c>
      <c r="N936" s="9">
        <f>IF('Data Source'!B936="","",'Data Source'!AF936)</f>
        <v/>
      </c>
      <c r="O936" s="9">
        <f>IF('Data Source'!B936="","",'Data Source'!AG936)</f>
        <v/>
      </c>
      <c r="P936" s="5">
        <f>IF('Data Source'!B936="","",'Data Source'!R936)</f>
        <v/>
      </c>
      <c r="Q936" s="3">
        <f>IF('Data Source'!B936="","",'Data Source'!S936)</f>
        <v/>
      </c>
    </row>
    <row r="937">
      <c r="A937" s="3">
        <f>IF('Data Source'!B937="","",'Data Source'!A937)</f>
        <v/>
      </c>
      <c r="B937">
        <f>IF('Data Source'!B937="","",'Data Source'!B937)</f>
        <v/>
      </c>
      <c r="C937" s="9">
        <f>IF('Data Source'!B937="","",'Data Source'!U937)</f>
        <v/>
      </c>
      <c r="D937" s="9">
        <f>IF('Data Source'!B937="","",'Data Source'!V937)</f>
        <v/>
      </c>
      <c r="E937" s="9">
        <f>IF('Data Source'!B937="","",'Data Source'!W937)</f>
        <v/>
      </c>
      <c r="F937" s="9">
        <f>IF('Data Source'!B937="","",'Data Source'!X937)</f>
        <v/>
      </c>
      <c r="G937" s="9">
        <f>IF('Data Source'!B937="","",'Data Source'!Y937)</f>
        <v/>
      </c>
      <c r="H937" s="9">
        <f>IF('Data Source'!B937="","",'Data Source'!Z937)</f>
        <v/>
      </c>
      <c r="I937" s="9">
        <f>IF('Data Source'!B937="","",'Data Source'!AA937)</f>
        <v/>
      </c>
      <c r="J937" s="9">
        <f>IF('Data Source'!B937="","",'Data Source'!AB937)</f>
        <v/>
      </c>
      <c r="K937" s="9">
        <f>IF('Data Source'!B937="","",'Data Source'!AC937)</f>
        <v/>
      </c>
      <c r="L937" s="9">
        <f>IF('Data Source'!B937="","",'Data Source'!AD937)</f>
        <v/>
      </c>
      <c r="M937" s="9">
        <f>IF('Data Source'!B937="","",'Data Source'!AE937)</f>
        <v/>
      </c>
      <c r="N937" s="9">
        <f>IF('Data Source'!B937="","",'Data Source'!AF937)</f>
        <v/>
      </c>
      <c r="O937" s="9">
        <f>IF('Data Source'!B937="","",'Data Source'!AG937)</f>
        <v/>
      </c>
      <c r="P937" s="5">
        <f>IF('Data Source'!B937="","",'Data Source'!R937)</f>
        <v/>
      </c>
      <c r="Q937" s="3">
        <f>IF('Data Source'!B937="","",'Data Source'!S937)</f>
        <v/>
      </c>
    </row>
    <row r="938">
      <c r="A938" s="3">
        <f>IF('Data Source'!B938="","",'Data Source'!A938)</f>
        <v/>
      </c>
      <c r="B938">
        <f>IF('Data Source'!B938="","",'Data Source'!B938)</f>
        <v/>
      </c>
      <c r="C938" s="9">
        <f>IF('Data Source'!B938="","",'Data Source'!U938)</f>
        <v/>
      </c>
      <c r="D938" s="9">
        <f>IF('Data Source'!B938="","",'Data Source'!V938)</f>
        <v/>
      </c>
      <c r="E938" s="9">
        <f>IF('Data Source'!B938="","",'Data Source'!W938)</f>
        <v/>
      </c>
      <c r="F938" s="9">
        <f>IF('Data Source'!B938="","",'Data Source'!X938)</f>
        <v/>
      </c>
      <c r="G938" s="9">
        <f>IF('Data Source'!B938="","",'Data Source'!Y938)</f>
        <v/>
      </c>
      <c r="H938" s="9">
        <f>IF('Data Source'!B938="","",'Data Source'!Z938)</f>
        <v/>
      </c>
      <c r="I938" s="9">
        <f>IF('Data Source'!B938="","",'Data Source'!AA938)</f>
        <v/>
      </c>
      <c r="J938" s="9">
        <f>IF('Data Source'!B938="","",'Data Source'!AB938)</f>
        <v/>
      </c>
      <c r="K938" s="9">
        <f>IF('Data Source'!B938="","",'Data Source'!AC938)</f>
        <v/>
      </c>
      <c r="L938" s="9">
        <f>IF('Data Source'!B938="","",'Data Source'!AD938)</f>
        <v/>
      </c>
      <c r="M938" s="9">
        <f>IF('Data Source'!B938="","",'Data Source'!AE938)</f>
        <v/>
      </c>
      <c r="N938" s="9">
        <f>IF('Data Source'!B938="","",'Data Source'!AF938)</f>
        <v/>
      </c>
      <c r="O938" s="9">
        <f>IF('Data Source'!B938="","",'Data Source'!AG938)</f>
        <v/>
      </c>
      <c r="P938" s="5">
        <f>IF('Data Source'!B938="","",'Data Source'!R938)</f>
        <v/>
      </c>
      <c r="Q938" s="3">
        <f>IF('Data Source'!B938="","",'Data Source'!S938)</f>
        <v/>
      </c>
    </row>
    <row r="939">
      <c r="A939" s="3">
        <f>IF('Data Source'!B939="","",'Data Source'!A939)</f>
        <v/>
      </c>
      <c r="B939">
        <f>IF('Data Source'!B939="","",'Data Source'!B939)</f>
        <v/>
      </c>
      <c r="C939" s="9">
        <f>IF('Data Source'!B939="","",'Data Source'!U939)</f>
        <v/>
      </c>
      <c r="D939" s="9">
        <f>IF('Data Source'!B939="","",'Data Source'!V939)</f>
        <v/>
      </c>
      <c r="E939" s="9">
        <f>IF('Data Source'!B939="","",'Data Source'!W939)</f>
        <v/>
      </c>
      <c r="F939" s="9">
        <f>IF('Data Source'!B939="","",'Data Source'!X939)</f>
        <v/>
      </c>
      <c r="G939" s="9">
        <f>IF('Data Source'!B939="","",'Data Source'!Y939)</f>
        <v/>
      </c>
      <c r="H939" s="9">
        <f>IF('Data Source'!B939="","",'Data Source'!Z939)</f>
        <v/>
      </c>
      <c r="I939" s="9">
        <f>IF('Data Source'!B939="","",'Data Source'!AA939)</f>
        <v/>
      </c>
      <c r="J939" s="9">
        <f>IF('Data Source'!B939="","",'Data Source'!AB939)</f>
        <v/>
      </c>
      <c r="K939" s="9">
        <f>IF('Data Source'!B939="","",'Data Source'!AC939)</f>
        <v/>
      </c>
      <c r="L939" s="9">
        <f>IF('Data Source'!B939="","",'Data Source'!AD939)</f>
        <v/>
      </c>
      <c r="M939" s="9">
        <f>IF('Data Source'!B939="","",'Data Source'!AE939)</f>
        <v/>
      </c>
      <c r="N939" s="9">
        <f>IF('Data Source'!B939="","",'Data Source'!AF939)</f>
        <v/>
      </c>
      <c r="O939" s="9">
        <f>IF('Data Source'!B939="","",'Data Source'!AG939)</f>
        <v/>
      </c>
      <c r="P939" s="5">
        <f>IF('Data Source'!B939="","",'Data Source'!R939)</f>
        <v/>
      </c>
      <c r="Q939" s="3">
        <f>IF('Data Source'!B939="","",'Data Source'!S939)</f>
        <v/>
      </c>
    </row>
    <row r="940">
      <c r="A940" s="3">
        <f>IF('Data Source'!B940="","",'Data Source'!A940)</f>
        <v/>
      </c>
      <c r="B940">
        <f>IF('Data Source'!B940="","",'Data Source'!B940)</f>
        <v/>
      </c>
      <c r="C940" s="9">
        <f>IF('Data Source'!B940="","",'Data Source'!U940)</f>
        <v/>
      </c>
      <c r="D940" s="9">
        <f>IF('Data Source'!B940="","",'Data Source'!V940)</f>
        <v/>
      </c>
      <c r="E940" s="9">
        <f>IF('Data Source'!B940="","",'Data Source'!W940)</f>
        <v/>
      </c>
      <c r="F940" s="9">
        <f>IF('Data Source'!B940="","",'Data Source'!X940)</f>
        <v/>
      </c>
      <c r="G940" s="9">
        <f>IF('Data Source'!B940="","",'Data Source'!Y940)</f>
        <v/>
      </c>
      <c r="H940" s="9">
        <f>IF('Data Source'!B940="","",'Data Source'!Z940)</f>
        <v/>
      </c>
      <c r="I940" s="9">
        <f>IF('Data Source'!B940="","",'Data Source'!AA940)</f>
        <v/>
      </c>
      <c r="J940" s="9">
        <f>IF('Data Source'!B940="","",'Data Source'!AB940)</f>
        <v/>
      </c>
      <c r="K940" s="9">
        <f>IF('Data Source'!B940="","",'Data Source'!AC940)</f>
        <v/>
      </c>
      <c r="L940" s="9">
        <f>IF('Data Source'!B940="","",'Data Source'!AD940)</f>
        <v/>
      </c>
      <c r="M940" s="9">
        <f>IF('Data Source'!B940="","",'Data Source'!AE940)</f>
        <v/>
      </c>
      <c r="N940" s="9">
        <f>IF('Data Source'!B940="","",'Data Source'!AF940)</f>
        <v/>
      </c>
      <c r="O940" s="9">
        <f>IF('Data Source'!B940="","",'Data Source'!AG940)</f>
        <v/>
      </c>
      <c r="P940" s="5">
        <f>IF('Data Source'!B940="","",'Data Source'!R940)</f>
        <v/>
      </c>
      <c r="Q940" s="3">
        <f>IF('Data Source'!B940="","",'Data Source'!S940)</f>
        <v/>
      </c>
    </row>
    <row r="941">
      <c r="A941" s="3">
        <f>IF('Data Source'!B941="","",'Data Source'!A941)</f>
        <v/>
      </c>
      <c r="B941">
        <f>IF('Data Source'!B941="","",'Data Source'!B941)</f>
        <v/>
      </c>
      <c r="C941" s="9">
        <f>IF('Data Source'!B941="","",'Data Source'!U941)</f>
        <v/>
      </c>
      <c r="D941" s="9">
        <f>IF('Data Source'!B941="","",'Data Source'!V941)</f>
        <v/>
      </c>
      <c r="E941" s="9">
        <f>IF('Data Source'!B941="","",'Data Source'!W941)</f>
        <v/>
      </c>
      <c r="F941" s="9">
        <f>IF('Data Source'!B941="","",'Data Source'!X941)</f>
        <v/>
      </c>
      <c r="G941" s="9">
        <f>IF('Data Source'!B941="","",'Data Source'!Y941)</f>
        <v/>
      </c>
      <c r="H941" s="9">
        <f>IF('Data Source'!B941="","",'Data Source'!Z941)</f>
        <v/>
      </c>
      <c r="I941" s="9">
        <f>IF('Data Source'!B941="","",'Data Source'!AA941)</f>
        <v/>
      </c>
      <c r="J941" s="9">
        <f>IF('Data Source'!B941="","",'Data Source'!AB941)</f>
        <v/>
      </c>
      <c r="K941" s="9">
        <f>IF('Data Source'!B941="","",'Data Source'!AC941)</f>
        <v/>
      </c>
      <c r="L941" s="9">
        <f>IF('Data Source'!B941="","",'Data Source'!AD941)</f>
        <v/>
      </c>
      <c r="M941" s="9">
        <f>IF('Data Source'!B941="","",'Data Source'!AE941)</f>
        <v/>
      </c>
      <c r="N941" s="9">
        <f>IF('Data Source'!B941="","",'Data Source'!AF941)</f>
        <v/>
      </c>
      <c r="O941" s="9">
        <f>IF('Data Source'!B941="","",'Data Source'!AG941)</f>
        <v/>
      </c>
      <c r="P941" s="5">
        <f>IF('Data Source'!B941="","",'Data Source'!R941)</f>
        <v/>
      </c>
      <c r="Q941" s="3">
        <f>IF('Data Source'!B941="","",'Data Source'!S941)</f>
        <v/>
      </c>
    </row>
    <row r="942">
      <c r="A942" s="3">
        <f>IF('Data Source'!B942="","",'Data Source'!A942)</f>
        <v/>
      </c>
      <c r="B942">
        <f>IF('Data Source'!B942="","",'Data Source'!B942)</f>
        <v/>
      </c>
      <c r="C942" s="9">
        <f>IF('Data Source'!B942="","",'Data Source'!U942)</f>
        <v/>
      </c>
      <c r="D942" s="9">
        <f>IF('Data Source'!B942="","",'Data Source'!V942)</f>
        <v/>
      </c>
      <c r="E942" s="9">
        <f>IF('Data Source'!B942="","",'Data Source'!W942)</f>
        <v/>
      </c>
      <c r="F942" s="9">
        <f>IF('Data Source'!B942="","",'Data Source'!X942)</f>
        <v/>
      </c>
      <c r="G942" s="9">
        <f>IF('Data Source'!B942="","",'Data Source'!Y942)</f>
        <v/>
      </c>
      <c r="H942" s="9">
        <f>IF('Data Source'!B942="","",'Data Source'!Z942)</f>
        <v/>
      </c>
      <c r="I942" s="9">
        <f>IF('Data Source'!B942="","",'Data Source'!AA942)</f>
        <v/>
      </c>
      <c r="J942" s="9">
        <f>IF('Data Source'!B942="","",'Data Source'!AB942)</f>
        <v/>
      </c>
      <c r="K942" s="9">
        <f>IF('Data Source'!B942="","",'Data Source'!AC942)</f>
        <v/>
      </c>
      <c r="L942" s="9">
        <f>IF('Data Source'!B942="","",'Data Source'!AD942)</f>
        <v/>
      </c>
      <c r="M942" s="9">
        <f>IF('Data Source'!B942="","",'Data Source'!AE942)</f>
        <v/>
      </c>
      <c r="N942" s="9">
        <f>IF('Data Source'!B942="","",'Data Source'!AF942)</f>
        <v/>
      </c>
      <c r="O942" s="9">
        <f>IF('Data Source'!B942="","",'Data Source'!AG942)</f>
        <v/>
      </c>
      <c r="P942" s="5">
        <f>IF('Data Source'!B942="","",'Data Source'!R942)</f>
        <v/>
      </c>
      <c r="Q942" s="3">
        <f>IF('Data Source'!B942="","",'Data Source'!S942)</f>
        <v/>
      </c>
    </row>
    <row r="943">
      <c r="A943" s="3">
        <f>IF('Data Source'!B943="","",'Data Source'!A943)</f>
        <v/>
      </c>
      <c r="B943">
        <f>IF('Data Source'!B943="","",'Data Source'!B943)</f>
        <v/>
      </c>
      <c r="C943" s="9">
        <f>IF('Data Source'!B943="","",'Data Source'!U943)</f>
        <v/>
      </c>
      <c r="D943" s="9">
        <f>IF('Data Source'!B943="","",'Data Source'!V943)</f>
        <v/>
      </c>
      <c r="E943" s="9">
        <f>IF('Data Source'!B943="","",'Data Source'!W943)</f>
        <v/>
      </c>
      <c r="F943" s="9">
        <f>IF('Data Source'!B943="","",'Data Source'!X943)</f>
        <v/>
      </c>
      <c r="G943" s="9">
        <f>IF('Data Source'!B943="","",'Data Source'!Y943)</f>
        <v/>
      </c>
      <c r="H943" s="9">
        <f>IF('Data Source'!B943="","",'Data Source'!Z943)</f>
        <v/>
      </c>
      <c r="I943" s="9">
        <f>IF('Data Source'!B943="","",'Data Source'!AA943)</f>
        <v/>
      </c>
      <c r="J943" s="9">
        <f>IF('Data Source'!B943="","",'Data Source'!AB943)</f>
        <v/>
      </c>
      <c r="K943" s="9">
        <f>IF('Data Source'!B943="","",'Data Source'!AC943)</f>
        <v/>
      </c>
      <c r="L943" s="9">
        <f>IF('Data Source'!B943="","",'Data Source'!AD943)</f>
        <v/>
      </c>
      <c r="M943" s="9">
        <f>IF('Data Source'!B943="","",'Data Source'!AE943)</f>
        <v/>
      </c>
      <c r="N943" s="9">
        <f>IF('Data Source'!B943="","",'Data Source'!AF943)</f>
        <v/>
      </c>
      <c r="O943" s="9">
        <f>IF('Data Source'!B943="","",'Data Source'!AG943)</f>
        <v/>
      </c>
      <c r="P943" s="5">
        <f>IF('Data Source'!B943="","",'Data Source'!R943)</f>
        <v/>
      </c>
      <c r="Q943" s="3">
        <f>IF('Data Source'!B943="","",'Data Source'!S943)</f>
        <v/>
      </c>
    </row>
    <row r="944">
      <c r="A944" s="3">
        <f>IF('Data Source'!B944="","",'Data Source'!A944)</f>
        <v/>
      </c>
      <c r="B944">
        <f>IF('Data Source'!B944="","",'Data Source'!B944)</f>
        <v/>
      </c>
      <c r="C944" s="9">
        <f>IF('Data Source'!B944="","",'Data Source'!U944)</f>
        <v/>
      </c>
      <c r="D944" s="9">
        <f>IF('Data Source'!B944="","",'Data Source'!V944)</f>
        <v/>
      </c>
      <c r="E944" s="9">
        <f>IF('Data Source'!B944="","",'Data Source'!W944)</f>
        <v/>
      </c>
      <c r="F944" s="9">
        <f>IF('Data Source'!B944="","",'Data Source'!X944)</f>
        <v/>
      </c>
      <c r="G944" s="9">
        <f>IF('Data Source'!B944="","",'Data Source'!Y944)</f>
        <v/>
      </c>
      <c r="H944" s="9">
        <f>IF('Data Source'!B944="","",'Data Source'!Z944)</f>
        <v/>
      </c>
      <c r="I944" s="9">
        <f>IF('Data Source'!B944="","",'Data Source'!AA944)</f>
        <v/>
      </c>
      <c r="J944" s="9">
        <f>IF('Data Source'!B944="","",'Data Source'!AB944)</f>
        <v/>
      </c>
      <c r="K944" s="9">
        <f>IF('Data Source'!B944="","",'Data Source'!AC944)</f>
        <v/>
      </c>
      <c r="L944" s="9">
        <f>IF('Data Source'!B944="","",'Data Source'!AD944)</f>
        <v/>
      </c>
      <c r="M944" s="9">
        <f>IF('Data Source'!B944="","",'Data Source'!AE944)</f>
        <v/>
      </c>
      <c r="N944" s="9">
        <f>IF('Data Source'!B944="","",'Data Source'!AF944)</f>
        <v/>
      </c>
      <c r="O944" s="9">
        <f>IF('Data Source'!B944="","",'Data Source'!AG944)</f>
        <v/>
      </c>
      <c r="P944" s="5">
        <f>IF('Data Source'!B944="","",'Data Source'!R944)</f>
        <v/>
      </c>
      <c r="Q944" s="3">
        <f>IF('Data Source'!B944="","",'Data Source'!S944)</f>
        <v/>
      </c>
    </row>
    <row r="945">
      <c r="A945" s="3">
        <f>IF('Data Source'!B945="","",'Data Source'!A945)</f>
        <v/>
      </c>
      <c r="B945">
        <f>IF('Data Source'!B945="","",'Data Source'!B945)</f>
        <v/>
      </c>
      <c r="C945" s="9">
        <f>IF('Data Source'!B945="","",'Data Source'!U945)</f>
        <v/>
      </c>
      <c r="D945" s="9">
        <f>IF('Data Source'!B945="","",'Data Source'!V945)</f>
        <v/>
      </c>
      <c r="E945" s="9">
        <f>IF('Data Source'!B945="","",'Data Source'!W945)</f>
        <v/>
      </c>
      <c r="F945" s="9">
        <f>IF('Data Source'!B945="","",'Data Source'!X945)</f>
        <v/>
      </c>
      <c r="G945" s="9">
        <f>IF('Data Source'!B945="","",'Data Source'!Y945)</f>
        <v/>
      </c>
      <c r="H945" s="9">
        <f>IF('Data Source'!B945="","",'Data Source'!Z945)</f>
        <v/>
      </c>
      <c r="I945" s="9">
        <f>IF('Data Source'!B945="","",'Data Source'!AA945)</f>
        <v/>
      </c>
      <c r="J945" s="9">
        <f>IF('Data Source'!B945="","",'Data Source'!AB945)</f>
        <v/>
      </c>
      <c r="K945" s="9">
        <f>IF('Data Source'!B945="","",'Data Source'!AC945)</f>
        <v/>
      </c>
      <c r="L945" s="9">
        <f>IF('Data Source'!B945="","",'Data Source'!AD945)</f>
        <v/>
      </c>
      <c r="M945" s="9">
        <f>IF('Data Source'!B945="","",'Data Source'!AE945)</f>
        <v/>
      </c>
      <c r="N945" s="9">
        <f>IF('Data Source'!B945="","",'Data Source'!AF945)</f>
        <v/>
      </c>
      <c r="O945" s="9">
        <f>IF('Data Source'!B945="","",'Data Source'!AG945)</f>
        <v/>
      </c>
      <c r="P945" s="5">
        <f>IF('Data Source'!B945="","",'Data Source'!R945)</f>
        <v/>
      </c>
      <c r="Q945" s="3">
        <f>IF('Data Source'!B945="","",'Data Source'!S945)</f>
        <v/>
      </c>
    </row>
    <row r="946">
      <c r="A946" s="3">
        <f>IF('Data Source'!B946="","",'Data Source'!A946)</f>
        <v/>
      </c>
      <c r="B946">
        <f>IF('Data Source'!B946="","",'Data Source'!B946)</f>
        <v/>
      </c>
      <c r="C946" s="9">
        <f>IF('Data Source'!B946="","",'Data Source'!U946)</f>
        <v/>
      </c>
      <c r="D946" s="9">
        <f>IF('Data Source'!B946="","",'Data Source'!V946)</f>
        <v/>
      </c>
      <c r="E946" s="9">
        <f>IF('Data Source'!B946="","",'Data Source'!W946)</f>
        <v/>
      </c>
      <c r="F946" s="9">
        <f>IF('Data Source'!B946="","",'Data Source'!X946)</f>
        <v/>
      </c>
      <c r="G946" s="9">
        <f>IF('Data Source'!B946="","",'Data Source'!Y946)</f>
        <v/>
      </c>
      <c r="H946" s="9">
        <f>IF('Data Source'!B946="","",'Data Source'!Z946)</f>
        <v/>
      </c>
      <c r="I946" s="9">
        <f>IF('Data Source'!B946="","",'Data Source'!AA946)</f>
        <v/>
      </c>
      <c r="J946" s="9">
        <f>IF('Data Source'!B946="","",'Data Source'!AB946)</f>
        <v/>
      </c>
      <c r="K946" s="9">
        <f>IF('Data Source'!B946="","",'Data Source'!AC946)</f>
        <v/>
      </c>
      <c r="L946" s="9">
        <f>IF('Data Source'!B946="","",'Data Source'!AD946)</f>
        <v/>
      </c>
      <c r="M946" s="9">
        <f>IF('Data Source'!B946="","",'Data Source'!AE946)</f>
        <v/>
      </c>
      <c r="N946" s="9">
        <f>IF('Data Source'!B946="","",'Data Source'!AF946)</f>
        <v/>
      </c>
      <c r="O946" s="9">
        <f>IF('Data Source'!B946="","",'Data Source'!AG946)</f>
        <v/>
      </c>
      <c r="P946" s="5">
        <f>IF('Data Source'!B946="","",'Data Source'!R946)</f>
        <v/>
      </c>
      <c r="Q946" s="3">
        <f>IF('Data Source'!B946="","",'Data Source'!S946)</f>
        <v/>
      </c>
    </row>
    <row r="947">
      <c r="A947" s="3">
        <f>IF('Data Source'!B947="","",'Data Source'!A947)</f>
        <v/>
      </c>
      <c r="B947">
        <f>IF('Data Source'!B947="","",'Data Source'!B947)</f>
        <v/>
      </c>
      <c r="C947" s="9">
        <f>IF('Data Source'!B947="","",'Data Source'!U947)</f>
        <v/>
      </c>
      <c r="D947" s="9">
        <f>IF('Data Source'!B947="","",'Data Source'!V947)</f>
        <v/>
      </c>
      <c r="E947" s="9">
        <f>IF('Data Source'!B947="","",'Data Source'!W947)</f>
        <v/>
      </c>
      <c r="F947" s="9">
        <f>IF('Data Source'!B947="","",'Data Source'!X947)</f>
        <v/>
      </c>
      <c r="G947" s="9">
        <f>IF('Data Source'!B947="","",'Data Source'!Y947)</f>
        <v/>
      </c>
      <c r="H947" s="9">
        <f>IF('Data Source'!B947="","",'Data Source'!Z947)</f>
        <v/>
      </c>
      <c r="I947" s="9">
        <f>IF('Data Source'!B947="","",'Data Source'!AA947)</f>
        <v/>
      </c>
      <c r="J947" s="9">
        <f>IF('Data Source'!B947="","",'Data Source'!AB947)</f>
        <v/>
      </c>
      <c r="K947" s="9">
        <f>IF('Data Source'!B947="","",'Data Source'!AC947)</f>
        <v/>
      </c>
      <c r="L947" s="9">
        <f>IF('Data Source'!B947="","",'Data Source'!AD947)</f>
        <v/>
      </c>
      <c r="M947" s="9">
        <f>IF('Data Source'!B947="","",'Data Source'!AE947)</f>
        <v/>
      </c>
      <c r="N947" s="9">
        <f>IF('Data Source'!B947="","",'Data Source'!AF947)</f>
        <v/>
      </c>
      <c r="O947" s="9">
        <f>IF('Data Source'!B947="","",'Data Source'!AG947)</f>
        <v/>
      </c>
      <c r="P947" s="5">
        <f>IF('Data Source'!B947="","",'Data Source'!R947)</f>
        <v/>
      </c>
      <c r="Q947" s="3">
        <f>IF('Data Source'!B947="","",'Data Source'!S947)</f>
        <v/>
      </c>
    </row>
    <row r="948">
      <c r="A948" s="3">
        <f>IF('Data Source'!B948="","",'Data Source'!A948)</f>
        <v/>
      </c>
      <c r="B948">
        <f>IF('Data Source'!B948="","",'Data Source'!B948)</f>
        <v/>
      </c>
      <c r="C948" s="9">
        <f>IF('Data Source'!B948="","",'Data Source'!U948)</f>
        <v/>
      </c>
      <c r="D948" s="9">
        <f>IF('Data Source'!B948="","",'Data Source'!V948)</f>
        <v/>
      </c>
      <c r="E948" s="9">
        <f>IF('Data Source'!B948="","",'Data Source'!W948)</f>
        <v/>
      </c>
      <c r="F948" s="9">
        <f>IF('Data Source'!B948="","",'Data Source'!X948)</f>
        <v/>
      </c>
      <c r="G948" s="9">
        <f>IF('Data Source'!B948="","",'Data Source'!Y948)</f>
        <v/>
      </c>
      <c r="H948" s="9">
        <f>IF('Data Source'!B948="","",'Data Source'!Z948)</f>
        <v/>
      </c>
      <c r="I948" s="9">
        <f>IF('Data Source'!B948="","",'Data Source'!AA948)</f>
        <v/>
      </c>
      <c r="J948" s="9">
        <f>IF('Data Source'!B948="","",'Data Source'!AB948)</f>
        <v/>
      </c>
      <c r="K948" s="9">
        <f>IF('Data Source'!B948="","",'Data Source'!AC948)</f>
        <v/>
      </c>
      <c r="L948" s="9">
        <f>IF('Data Source'!B948="","",'Data Source'!AD948)</f>
        <v/>
      </c>
      <c r="M948" s="9">
        <f>IF('Data Source'!B948="","",'Data Source'!AE948)</f>
        <v/>
      </c>
      <c r="N948" s="9">
        <f>IF('Data Source'!B948="","",'Data Source'!AF948)</f>
        <v/>
      </c>
      <c r="O948" s="9">
        <f>IF('Data Source'!B948="","",'Data Source'!AG948)</f>
        <v/>
      </c>
      <c r="P948" s="5">
        <f>IF('Data Source'!B948="","",'Data Source'!R948)</f>
        <v/>
      </c>
      <c r="Q948" s="3">
        <f>IF('Data Source'!B948="","",'Data Source'!S948)</f>
        <v/>
      </c>
    </row>
    <row r="949">
      <c r="A949" s="3">
        <f>IF('Data Source'!B949="","",'Data Source'!A949)</f>
        <v/>
      </c>
      <c r="B949">
        <f>IF('Data Source'!B949="","",'Data Source'!B949)</f>
        <v/>
      </c>
      <c r="C949" s="9">
        <f>IF('Data Source'!B949="","",'Data Source'!U949)</f>
        <v/>
      </c>
      <c r="D949" s="9">
        <f>IF('Data Source'!B949="","",'Data Source'!V949)</f>
        <v/>
      </c>
      <c r="E949" s="9">
        <f>IF('Data Source'!B949="","",'Data Source'!W949)</f>
        <v/>
      </c>
      <c r="F949" s="9">
        <f>IF('Data Source'!B949="","",'Data Source'!X949)</f>
        <v/>
      </c>
      <c r="G949" s="9">
        <f>IF('Data Source'!B949="","",'Data Source'!Y949)</f>
        <v/>
      </c>
      <c r="H949" s="9">
        <f>IF('Data Source'!B949="","",'Data Source'!Z949)</f>
        <v/>
      </c>
      <c r="I949" s="9">
        <f>IF('Data Source'!B949="","",'Data Source'!AA949)</f>
        <v/>
      </c>
      <c r="J949" s="9">
        <f>IF('Data Source'!B949="","",'Data Source'!AB949)</f>
        <v/>
      </c>
      <c r="K949" s="9">
        <f>IF('Data Source'!B949="","",'Data Source'!AC949)</f>
        <v/>
      </c>
      <c r="L949" s="9">
        <f>IF('Data Source'!B949="","",'Data Source'!AD949)</f>
        <v/>
      </c>
      <c r="M949" s="9">
        <f>IF('Data Source'!B949="","",'Data Source'!AE949)</f>
        <v/>
      </c>
      <c r="N949" s="9">
        <f>IF('Data Source'!B949="","",'Data Source'!AF949)</f>
        <v/>
      </c>
      <c r="O949" s="9">
        <f>IF('Data Source'!B949="","",'Data Source'!AG949)</f>
        <v/>
      </c>
      <c r="P949" s="5">
        <f>IF('Data Source'!B949="","",'Data Source'!R949)</f>
        <v/>
      </c>
      <c r="Q949" s="3">
        <f>IF('Data Source'!B949="","",'Data Source'!S949)</f>
        <v/>
      </c>
    </row>
    <row r="950">
      <c r="A950" s="3">
        <f>IF('Data Source'!B950="","",'Data Source'!A950)</f>
        <v/>
      </c>
      <c r="B950">
        <f>IF('Data Source'!B950="","",'Data Source'!B950)</f>
        <v/>
      </c>
      <c r="C950" s="9">
        <f>IF('Data Source'!B950="","",'Data Source'!U950)</f>
        <v/>
      </c>
      <c r="D950" s="9">
        <f>IF('Data Source'!B950="","",'Data Source'!V950)</f>
        <v/>
      </c>
      <c r="E950" s="9">
        <f>IF('Data Source'!B950="","",'Data Source'!W950)</f>
        <v/>
      </c>
      <c r="F950" s="9">
        <f>IF('Data Source'!B950="","",'Data Source'!X950)</f>
        <v/>
      </c>
      <c r="G950" s="9">
        <f>IF('Data Source'!B950="","",'Data Source'!Y950)</f>
        <v/>
      </c>
      <c r="H950" s="9">
        <f>IF('Data Source'!B950="","",'Data Source'!Z950)</f>
        <v/>
      </c>
      <c r="I950" s="9">
        <f>IF('Data Source'!B950="","",'Data Source'!AA950)</f>
        <v/>
      </c>
      <c r="J950" s="9">
        <f>IF('Data Source'!B950="","",'Data Source'!AB950)</f>
        <v/>
      </c>
      <c r="K950" s="9">
        <f>IF('Data Source'!B950="","",'Data Source'!AC950)</f>
        <v/>
      </c>
      <c r="L950" s="9">
        <f>IF('Data Source'!B950="","",'Data Source'!AD950)</f>
        <v/>
      </c>
      <c r="M950" s="9">
        <f>IF('Data Source'!B950="","",'Data Source'!AE950)</f>
        <v/>
      </c>
      <c r="N950" s="9">
        <f>IF('Data Source'!B950="","",'Data Source'!AF950)</f>
        <v/>
      </c>
      <c r="O950" s="9">
        <f>IF('Data Source'!B950="","",'Data Source'!AG950)</f>
        <v/>
      </c>
      <c r="P950" s="5">
        <f>IF('Data Source'!B950="","",'Data Source'!R950)</f>
        <v/>
      </c>
      <c r="Q950" s="3">
        <f>IF('Data Source'!B950="","",'Data Source'!S950)</f>
        <v/>
      </c>
    </row>
    <row r="951">
      <c r="A951" s="3">
        <f>IF('Data Source'!B951="","",'Data Source'!A951)</f>
        <v/>
      </c>
      <c r="B951">
        <f>IF('Data Source'!B951="","",'Data Source'!B951)</f>
        <v/>
      </c>
      <c r="C951" s="9">
        <f>IF('Data Source'!B951="","",'Data Source'!U951)</f>
        <v/>
      </c>
      <c r="D951" s="9">
        <f>IF('Data Source'!B951="","",'Data Source'!V951)</f>
        <v/>
      </c>
      <c r="E951" s="9">
        <f>IF('Data Source'!B951="","",'Data Source'!W951)</f>
        <v/>
      </c>
      <c r="F951" s="9">
        <f>IF('Data Source'!B951="","",'Data Source'!X951)</f>
        <v/>
      </c>
      <c r="G951" s="9">
        <f>IF('Data Source'!B951="","",'Data Source'!Y951)</f>
        <v/>
      </c>
      <c r="H951" s="9">
        <f>IF('Data Source'!B951="","",'Data Source'!Z951)</f>
        <v/>
      </c>
      <c r="I951" s="9">
        <f>IF('Data Source'!B951="","",'Data Source'!AA951)</f>
        <v/>
      </c>
      <c r="J951" s="9">
        <f>IF('Data Source'!B951="","",'Data Source'!AB951)</f>
        <v/>
      </c>
      <c r="K951" s="9">
        <f>IF('Data Source'!B951="","",'Data Source'!AC951)</f>
        <v/>
      </c>
      <c r="L951" s="9">
        <f>IF('Data Source'!B951="","",'Data Source'!AD951)</f>
        <v/>
      </c>
      <c r="M951" s="9">
        <f>IF('Data Source'!B951="","",'Data Source'!AE951)</f>
        <v/>
      </c>
      <c r="N951" s="9">
        <f>IF('Data Source'!B951="","",'Data Source'!AF951)</f>
        <v/>
      </c>
      <c r="O951" s="9">
        <f>IF('Data Source'!B951="","",'Data Source'!AG951)</f>
        <v/>
      </c>
      <c r="P951" s="5">
        <f>IF('Data Source'!B951="","",'Data Source'!R951)</f>
        <v/>
      </c>
      <c r="Q951" s="3">
        <f>IF('Data Source'!B951="","",'Data Source'!S951)</f>
        <v/>
      </c>
    </row>
    <row r="952">
      <c r="A952" s="3">
        <f>IF('Data Source'!B952="","",'Data Source'!A952)</f>
        <v/>
      </c>
      <c r="B952">
        <f>IF('Data Source'!B952="","",'Data Source'!B952)</f>
        <v/>
      </c>
      <c r="C952" s="9">
        <f>IF('Data Source'!B952="","",'Data Source'!U952)</f>
        <v/>
      </c>
      <c r="D952" s="9">
        <f>IF('Data Source'!B952="","",'Data Source'!V952)</f>
        <v/>
      </c>
      <c r="E952" s="9">
        <f>IF('Data Source'!B952="","",'Data Source'!W952)</f>
        <v/>
      </c>
      <c r="F952" s="9">
        <f>IF('Data Source'!B952="","",'Data Source'!X952)</f>
        <v/>
      </c>
      <c r="G952" s="9">
        <f>IF('Data Source'!B952="","",'Data Source'!Y952)</f>
        <v/>
      </c>
      <c r="H952" s="9">
        <f>IF('Data Source'!B952="","",'Data Source'!Z952)</f>
        <v/>
      </c>
      <c r="I952" s="9">
        <f>IF('Data Source'!B952="","",'Data Source'!AA952)</f>
        <v/>
      </c>
      <c r="J952" s="9">
        <f>IF('Data Source'!B952="","",'Data Source'!AB952)</f>
        <v/>
      </c>
      <c r="K952" s="9">
        <f>IF('Data Source'!B952="","",'Data Source'!AC952)</f>
        <v/>
      </c>
      <c r="L952" s="9">
        <f>IF('Data Source'!B952="","",'Data Source'!AD952)</f>
        <v/>
      </c>
      <c r="M952" s="9">
        <f>IF('Data Source'!B952="","",'Data Source'!AE952)</f>
        <v/>
      </c>
      <c r="N952" s="9">
        <f>IF('Data Source'!B952="","",'Data Source'!AF952)</f>
        <v/>
      </c>
      <c r="O952" s="9">
        <f>IF('Data Source'!B952="","",'Data Source'!AG952)</f>
        <v/>
      </c>
      <c r="P952" s="5">
        <f>IF('Data Source'!B952="","",'Data Source'!R952)</f>
        <v/>
      </c>
      <c r="Q952" s="3">
        <f>IF('Data Source'!B952="","",'Data Source'!S952)</f>
        <v/>
      </c>
    </row>
    <row r="953">
      <c r="A953" s="3">
        <f>IF('Data Source'!B953="","",'Data Source'!A953)</f>
        <v/>
      </c>
      <c r="B953">
        <f>IF('Data Source'!B953="","",'Data Source'!B953)</f>
        <v/>
      </c>
      <c r="C953" s="9">
        <f>IF('Data Source'!B953="","",'Data Source'!U953)</f>
        <v/>
      </c>
      <c r="D953" s="9">
        <f>IF('Data Source'!B953="","",'Data Source'!V953)</f>
        <v/>
      </c>
      <c r="E953" s="9">
        <f>IF('Data Source'!B953="","",'Data Source'!W953)</f>
        <v/>
      </c>
      <c r="F953" s="9">
        <f>IF('Data Source'!B953="","",'Data Source'!X953)</f>
        <v/>
      </c>
      <c r="G953" s="9">
        <f>IF('Data Source'!B953="","",'Data Source'!Y953)</f>
        <v/>
      </c>
      <c r="H953" s="9">
        <f>IF('Data Source'!B953="","",'Data Source'!Z953)</f>
        <v/>
      </c>
      <c r="I953" s="9">
        <f>IF('Data Source'!B953="","",'Data Source'!AA953)</f>
        <v/>
      </c>
      <c r="J953" s="9">
        <f>IF('Data Source'!B953="","",'Data Source'!AB953)</f>
        <v/>
      </c>
      <c r="K953" s="9">
        <f>IF('Data Source'!B953="","",'Data Source'!AC953)</f>
        <v/>
      </c>
      <c r="L953" s="9">
        <f>IF('Data Source'!B953="","",'Data Source'!AD953)</f>
        <v/>
      </c>
      <c r="M953" s="9">
        <f>IF('Data Source'!B953="","",'Data Source'!AE953)</f>
        <v/>
      </c>
      <c r="N953" s="9">
        <f>IF('Data Source'!B953="","",'Data Source'!AF953)</f>
        <v/>
      </c>
      <c r="O953" s="9">
        <f>IF('Data Source'!B953="","",'Data Source'!AG953)</f>
        <v/>
      </c>
      <c r="P953" s="5">
        <f>IF('Data Source'!B953="","",'Data Source'!R953)</f>
        <v/>
      </c>
      <c r="Q953" s="3">
        <f>IF('Data Source'!B953="","",'Data Source'!S953)</f>
        <v/>
      </c>
    </row>
    <row r="954">
      <c r="A954" s="3">
        <f>IF('Data Source'!B954="","",'Data Source'!A954)</f>
        <v/>
      </c>
      <c r="B954">
        <f>IF('Data Source'!B954="","",'Data Source'!B954)</f>
        <v/>
      </c>
      <c r="C954" s="9">
        <f>IF('Data Source'!B954="","",'Data Source'!U954)</f>
        <v/>
      </c>
      <c r="D954" s="9">
        <f>IF('Data Source'!B954="","",'Data Source'!V954)</f>
        <v/>
      </c>
      <c r="E954" s="9">
        <f>IF('Data Source'!B954="","",'Data Source'!W954)</f>
        <v/>
      </c>
      <c r="F954" s="9">
        <f>IF('Data Source'!B954="","",'Data Source'!X954)</f>
        <v/>
      </c>
      <c r="G954" s="9">
        <f>IF('Data Source'!B954="","",'Data Source'!Y954)</f>
        <v/>
      </c>
      <c r="H954" s="9">
        <f>IF('Data Source'!B954="","",'Data Source'!Z954)</f>
        <v/>
      </c>
      <c r="I954" s="9">
        <f>IF('Data Source'!B954="","",'Data Source'!AA954)</f>
        <v/>
      </c>
      <c r="J954" s="9">
        <f>IF('Data Source'!B954="","",'Data Source'!AB954)</f>
        <v/>
      </c>
      <c r="K954" s="9">
        <f>IF('Data Source'!B954="","",'Data Source'!AC954)</f>
        <v/>
      </c>
      <c r="L954" s="9">
        <f>IF('Data Source'!B954="","",'Data Source'!AD954)</f>
        <v/>
      </c>
      <c r="M954" s="9">
        <f>IF('Data Source'!B954="","",'Data Source'!AE954)</f>
        <v/>
      </c>
      <c r="N954" s="9">
        <f>IF('Data Source'!B954="","",'Data Source'!AF954)</f>
        <v/>
      </c>
      <c r="O954" s="9">
        <f>IF('Data Source'!B954="","",'Data Source'!AG954)</f>
        <v/>
      </c>
      <c r="P954" s="5">
        <f>IF('Data Source'!B954="","",'Data Source'!R954)</f>
        <v/>
      </c>
      <c r="Q954" s="3">
        <f>IF('Data Source'!B954="","",'Data Source'!S954)</f>
        <v/>
      </c>
    </row>
    <row r="955">
      <c r="A955" s="3">
        <f>IF('Data Source'!B955="","",'Data Source'!A955)</f>
        <v/>
      </c>
      <c r="B955">
        <f>IF('Data Source'!B955="","",'Data Source'!B955)</f>
        <v/>
      </c>
      <c r="C955" s="9">
        <f>IF('Data Source'!B955="","",'Data Source'!U955)</f>
        <v/>
      </c>
      <c r="D955" s="9">
        <f>IF('Data Source'!B955="","",'Data Source'!V955)</f>
        <v/>
      </c>
      <c r="E955" s="9">
        <f>IF('Data Source'!B955="","",'Data Source'!W955)</f>
        <v/>
      </c>
      <c r="F955" s="9">
        <f>IF('Data Source'!B955="","",'Data Source'!X955)</f>
        <v/>
      </c>
      <c r="G955" s="9">
        <f>IF('Data Source'!B955="","",'Data Source'!Y955)</f>
        <v/>
      </c>
      <c r="H955" s="9">
        <f>IF('Data Source'!B955="","",'Data Source'!Z955)</f>
        <v/>
      </c>
      <c r="I955" s="9">
        <f>IF('Data Source'!B955="","",'Data Source'!AA955)</f>
        <v/>
      </c>
      <c r="J955" s="9">
        <f>IF('Data Source'!B955="","",'Data Source'!AB955)</f>
        <v/>
      </c>
      <c r="K955" s="9">
        <f>IF('Data Source'!B955="","",'Data Source'!AC955)</f>
        <v/>
      </c>
      <c r="L955" s="9">
        <f>IF('Data Source'!B955="","",'Data Source'!AD955)</f>
        <v/>
      </c>
      <c r="M955" s="9">
        <f>IF('Data Source'!B955="","",'Data Source'!AE955)</f>
        <v/>
      </c>
      <c r="N955" s="9">
        <f>IF('Data Source'!B955="","",'Data Source'!AF955)</f>
        <v/>
      </c>
      <c r="O955" s="9">
        <f>IF('Data Source'!B955="","",'Data Source'!AG955)</f>
        <v/>
      </c>
      <c r="P955" s="5">
        <f>IF('Data Source'!B955="","",'Data Source'!R955)</f>
        <v/>
      </c>
      <c r="Q955" s="3">
        <f>IF('Data Source'!B955="","",'Data Source'!S955)</f>
        <v/>
      </c>
    </row>
    <row r="956">
      <c r="A956" s="3">
        <f>IF('Data Source'!B956="","",'Data Source'!A956)</f>
        <v/>
      </c>
      <c r="B956">
        <f>IF('Data Source'!B956="","",'Data Source'!B956)</f>
        <v/>
      </c>
      <c r="C956" s="9">
        <f>IF('Data Source'!B956="","",'Data Source'!U956)</f>
        <v/>
      </c>
      <c r="D956" s="9">
        <f>IF('Data Source'!B956="","",'Data Source'!V956)</f>
        <v/>
      </c>
      <c r="E956" s="9">
        <f>IF('Data Source'!B956="","",'Data Source'!W956)</f>
        <v/>
      </c>
      <c r="F956" s="9">
        <f>IF('Data Source'!B956="","",'Data Source'!X956)</f>
        <v/>
      </c>
      <c r="G956" s="9">
        <f>IF('Data Source'!B956="","",'Data Source'!Y956)</f>
        <v/>
      </c>
      <c r="H956" s="9">
        <f>IF('Data Source'!B956="","",'Data Source'!Z956)</f>
        <v/>
      </c>
      <c r="I956" s="9">
        <f>IF('Data Source'!B956="","",'Data Source'!AA956)</f>
        <v/>
      </c>
      <c r="J956" s="9">
        <f>IF('Data Source'!B956="","",'Data Source'!AB956)</f>
        <v/>
      </c>
      <c r="K956" s="9">
        <f>IF('Data Source'!B956="","",'Data Source'!AC956)</f>
        <v/>
      </c>
      <c r="L956" s="9">
        <f>IF('Data Source'!B956="","",'Data Source'!AD956)</f>
        <v/>
      </c>
      <c r="M956" s="9">
        <f>IF('Data Source'!B956="","",'Data Source'!AE956)</f>
        <v/>
      </c>
      <c r="N956" s="9">
        <f>IF('Data Source'!B956="","",'Data Source'!AF956)</f>
        <v/>
      </c>
      <c r="O956" s="9">
        <f>IF('Data Source'!B956="","",'Data Source'!AG956)</f>
        <v/>
      </c>
      <c r="P956" s="5">
        <f>IF('Data Source'!B956="","",'Data Source'!R956)</f>
        <v/>
      </c>
      <c r="Q956" s="3">
        <f>IF('Data Source'!B956="","",'Data Source'!S956)</f>
        <v/>
      </c>
    </row>
    <row r="957">
      <c r="A957" s="3">
        <f>IF('Data Source'!B957="","",'Data Source'!A957)</f>
        <v/>
      </c>
      <c r="B957">
        <f>IF('Data Source'!B957="","",'Data Source'!B957)</f>
        <v/>
      </c>
      <c r="C957" s="9">
        <f>IF('Data Source'!B957="","",'Data Source'!U957)</f>
        <v/>
      </c>
      <c r="D957" s="9">
        <f>IF('Data Source'!B957="","",'Data Source'!V957)</f>
        <v/>
      </c>
      <c r="E957" s="9">
        <f>IF('Data Source'!B957="","",'Data Source'!W957)</f>
        <v/>
      </c>
      <c r="F957" s="9">
        <f>IF('Data Source'!B957="","",'Data Source'!X957)</f>
        <v/>
      </c>
      <c r="G957" s="9">
        <f>IF('Data Source'!B957="","",'Data Source'!Y957)</f>
        <v/>
      </c>
      <c r="H957" s="9">
        <f>IF('Data Source'!B957="","",'Data Source'!Z957)</f>
        <v/>
      </c>
      <c r="I957" s="9">
        <f>IF('Data Source'!B957="","",'Data Source'!AA957)</f>
        <v/>
      </c>
      <c r="J957" s="9">
        <f>IF('Data Source'!B957="","",'Data Source'!AB957)</f>
        <v/>
      </c>
      <c r="K957" s="9">
        <f>IF('Data Source'!B957="","",'Data Source'!AC957)</f>
        <v/>
      </c>
      <c r="L957" s="9">
        <f>IF('Data Source'!B957="","",'Data Source'!AD957)</f>
        <v/>
      </c>
      <c r="M957" s="9">
        <f>IF('Data Source'!B957="","",'Data Source'!AE957)</f>
        <v/>
      </c>
      <c r="N957" s="9">
        <f>IF('Data Source'!B957="","",'Data Source'!AF957)</f>
        <v/>
      </c>
      <c r="O957" s="9">
        <f>IF('Data Source'!B957="","",'Data Source'!AG957)</f>
        <v/>
      </c>
      <c r="P957" s="5">
        <f>IF('Data Source'!B957="","",'Data Source'!R957)</f>
        <v/>
      </c>
      <c r="Q957" s="3">
        <f>IF('Data Source'!B957="","",'Data Source'!S957)</f>
        <v/>
      </c>
    </row>
    <row r="958">
      <c r="A958" s="3">
        <f>IF('Data Source'!B958="","",'Data Source'!A958)</f>
        <v/>
      </c>
      <c r="B958">
        <f>IF('Data Source'!B958="","",'Data Source'!B958)</f>
        <v/>
      </c>
      <c r="C958" s="9">
        <f>IF('Data Source'!B958="","",'Data Source'!U958)</f>
        <v/>
      </c>
      <c r="D958" s="9">
        <f>IF('Data Source'!B958="","",'Data Source'!V958)</f>
        <v/>
      </c>
      <c r="E958" s="9">
        <f>IF('Data Source'!B958="","",'Data Source'!W958)</f>
        <v/>
      </c>
      <c r="F958" s="9">
        <f>IF('Data Source'!B958="","",'Data Source'!X958)</f>
        <v/>
      </c>
      <c r="G958" s="9">
        <f>IF('Data Source'!B958="","",'Data Source'!Y958)</f>
        <v/>
      </c>
      <c r="H958" s="9">
        <f>IF('Data Source'!B958="","",'Data Source'!Z958)</f>
        <v/>
      </c>
      <c r="I958" s="9">
        <f>IF('Data Source'!B958="","",'Data Source'!AA958)</f>
        <v/>
      </c>
      <c r="J958" s="9">
        <f>IF('Data Source'!B958="","",'Data Source'!AB958)</f>
        <v/>
      </c>
      <c r="K958" s="9">
        <f>IF('Data Source'!B958="","",'Data Source'!AC958)</f>
        <v/>
      </c>
      <c r="L958" s="9">
        <f>IF('Data Source'!B958="","",'Data Source'!AD958)</f>
        <v/>
      </c>
      <c r="M958" s="9">
        <f>IF('Data Source'!B958="","",'Data Source'!AE958)</f>
        <v/>
      </c>
      <c r="N958" s="9">
        <f>IF('Data Source'!B958="","",'Data Source'!AF958)</f>
        <v/>
      </c>
      <c r="O958" s="9">
        <f>IF('Data Source'!B958="","",'Data Source'!AG958)</f>
        <v/>
      </c>
      <c r="P958" s="5">
        <f>IF('Data Source'!B958="","",'Data Source'!R958)</f>
        <v/>
      </c>
      <c r="Q958" s="3">
        <f>IF('Data Source'!B958="","",'Data Source'!S958)</f>
        <v/>
      </c>
    </row>
    <row r="959">
      <c r="A959" s="3">
        <f>IF('Data Source'!B959="","",'Data Source'!A959)</f>
        <v/>
      </c>
      <c r="B959">
        <f>IF('Data Source'!B959="","",'Data Source'!B959)</f>
        <v/>
      </c>
      <c r="C959" s="9">
        <f>IF('Data Source'!B959="","",'Data Source'!U959)</f>
        <v/>
      </c>
      <c r="D959" s="9">
        <f>IF('Data Source'!B959="","",'Data Source'!V959)</f>
        <v/>
      </c>
      <c r="E959" s="9">
        <f>IF('Data Source'!B959="","",'Data Source'!W959)</f>
        <v/>
      </c>
      <c r="F959" s="9">
        <f>IF('Data Source'!B959="","",'Data Source'!X959)</f>
        <v/>
      </c>
      <c r="G959" s="9">
        <f>IF('Data Source'!B959="","",'Data Source'!Y959)</f>
        <v/>
      </c>
      <c r="H959" s="9">
        <f>IF('Data Source'!B959="","",'Data Source'!Z959)</f>
        <v/>
      </c>
      <c r="I959" s="9">
        <f>IF('Data Source'!B959="","",'Data Source'!AA959)</f>
        <v/>
      </c>
      <c r="J959" s="9">
        <f>IF('Data Source'!B959="","",'Data Source'!AB959)</f>
        <v/>
      </c>
      <c r="K959" s="9">
        <f>IF('Data Source'!B959="","",'Data Source'!AC959)</f>
        <v/>
      </c>
      <c r="L959" s="9">
        <f>IF('Data Source'!B959="","",'Data Source'!AD959)</f>
        <v/>
      </c>
      <c r="M959" s="9">
        <f>IF('Data Source'!B959="","",'Data Source'!AE959)</f>
        <v/>
      </c>
      <c r="N959" s="9">
        <f>IF('Data Source'!B959="","",'Data Source'!AF959)</f>
        <v/>
      </c>
      <c r="O959" s="9">
        <f>IF('Data Source'!B959="","",'Data Source'!AG959)</f>
        <v/>
      </c>
      <c r="P959" s="5">
        <f>IF('Data Source'!B959="","",'Data Source'!R959)</f>
        <v/>
      </c>
      <c r="Q959" s="3">
        <f>IF('Data Source'!B959="","",'Data Source'!S959)</f>
        <v/>
      </c>
    </row>
    <row r="960">
      <c r="A960" s="3">
        <f>IF('Data Source'!B960="","",'Data Source'!A960)</f>
        <v/>
      </c>
      <c r="B960">
        <f>IF('Data Source'!B960="","",'Data Source'!B960)</f>
        <v/>
      </c>
      <c r="C960" s="9">
        <f>IF('Data Source'!B960="","",'Data Source'!U960)</f>
        <v/>
      </c>
      <c r="D960" s="9">
        <f>IF('Data Source'!B960="","",'Data Source'!V960)</f>
        <v/>
      </c>
      <c r="E960" s="9">
        <f>IF('Data Source'!B960="","",'Data Source'!W960)</f>
        <v/>
      </c>
      <c r="F960" s="9">
        <f>IF('Data Source'!B960="","",'Data Source'!X960)</f>
        <v/>
      </c>
      <c r="G960" s="9">
        <f>IF('Data Source'!B960="","",'Data Source'!Y960)</f>
        <v/>
      </c>
      <c r="H960" s="9">
        <f>IF('Data Source'!B960="","",'Data Source'!Z960)</f>
        <v/>
      </c>
      <c r="I960" s="9">
        <f>IF('Data Source'!B960="","",'Data Source'!AA960)</f>
        <v/>
      </c>
      <c r="J960" s="9">
        <f>IF('Data Source'!B960="","",'Data Source'!AB960)</f>
        <v/>
      </c>
      <c r="K960" s="9">
        <f>IF('Data Source'!B960="","",'Data Source'!AC960)</f>
        <v/>
      </c>
      <c r="L960" s="9">
        <f>IF('Data Source'!B960="","",'Data Source'!AD960)</f>
        <v/>
      </c>
      <c r="M960" s="9">
        <f>IF('Data Source'!B960="","",'Data Source'!AE960)</f>
        <v/>
      </c>
      <c r="N960" s="9">
        <f>IF('Data Source'!B960="","",'Data Source'!AF960)</f>
        <v/>
      </c>
      <c r="O960" s="9">
        <f>IF('Data Source'!B960="","",'Data Source'!AG960)</f>
        <v/>
      </c>
      <c r="P960" s="5">
        <f>IF('Data Source'!B960="","",'Data Source'!R960)</f>
        <v/>
      </c>
      <c r="Q960" s="3">
        <f>IF('Data Source'!B960="","",'Data Source'!S960)</f>
        <v/>
      </c>
    </row>
    <row r="961">
      <c r="A961" s="3">
        <f>IF('Data Source'!B961="","",'Data Source'!A961)</f>
        <v/>
      </c>
      <c r="B961">
        <f>IF('Data Source'!B961="","",'Data Source'!B961)</f>
        <v/>
      </c>
      <c r="C961" s="9">
        <f>IF('Data Source'!B961="","",'Data Source'!U961)</f>
        <v/>
      </c>
      <c r="D961" s="9">
        <f>IF('Data Source'!B961="","",'Data Source'!V961)</f>
        <v/>
      </c>
      <c r="E961" s="9">
        <f>IF('Data Source'!B961="","",'Data Source'!W961)</f>
        <v/>
      </c>
      <c r="F961" s="9">
        <f>IF('Data Source'!B961="","",'Data Source'!X961)</f>
        <v/>
      </c>
      <c r="G961" s="9">
        <f>IF('Data Source'!B961="","",'Data Source'!Y961)</f>
        <v/>
      </c>
      <c r="H961" s="9">
        <f>IF('Data Source'!B961="","",'Data Source'!Z961)</f>
        <v/>
      </c>
      <c r="I961" s="9">
        <f>IF('Data Source'!B961="","",'Data Source'!AA961)</f>
        <v/>
      </c>
      <c r="J961" s="9">
        <f>IF('Data Source'!B961="","",'Data Source'!AB961)</f>
        <v/>
      </c>
      <c r="K961" s="9">
        <f>IF('Data Source'!B961="","",'Data Source'!AC961)</f>
        <v/>
      </c>
      <c r="L961" s="9">
        <f>IF('Data Source'!B961="","",'Data Source'!AD961)</f>
        <v/>
      </c>
      <c r="M961" s="9">
        <f>IF('Data Source'!B961="","",'Data Source'!AE961)</f>
        <v/>
      </c>
      <c r="N961" s="9">
        <f>IF('Data Source'!B961="","",'Data Source'!AF961)</f>
        <v/>
      </c>
      <c r="O961" s="9">
        <f>IF('Data Source'!B961="","",'Data Source'!AG961)</f>
        <v/>
      </c>
      <c r="P961" s="5">
        <f>IF('Data Source'!B961="","",'Data Source'!R961)</f>
        <v/>
      </c>
      <c r="Q961" s="3">
        <f>IF('Data Source'!B961="","",'Data Source'!S961)</f>
        <v/>
      </c>
    </row>
    <row r="962">
      <c r="A962" s="3">
        <f>IF('Data Source'!B962="","",'Data Source'!A962)</f>
        <v/>
      </c>
      <c r="B962">
        <f>IF('Data Source'!B962="","",'Data Source'!B962)</f>
        <v/>
      </c>
      <c r="C962" s="9">
        <f>IF('Data Source'!B962="","",'Data Source'!U962)</f>
        <v/>
      </c>
      <c r="D962" s="9">
        <f>IF('Data Source'!B962="","",'Data Source'!V962)</f>
        <v/>
      </c>
      <c r="E962" s="9">
        <f>IF('Data Source'!B962="","",'Data Source'!W962)</f>
        <v/>
      </c>
      <c r="F962" s="9">
        <f>IF('Data Source'!B962="","",'Data Source'!X962)</f>
        <v/>
      </c>
      <c r="G962" s="9">
        <f>IF('Data Source'!B962="","",'Data Source'!Y962)</f>
        <v/>
      </c>
      <c r="H962" s="9">
        <f>IF('Data Source'!B962="","",'Data Source'!Z962)</f>
        <v/>
      </c>
      <c r="I962" s="9">
        <f>IF('Data Source'!B962="","",'Data Source'!AA962)</f>
        <v/>
      </c>
      <c r="J962" s="9">
        <f>IF('Data Source'!B962="","",'Data Source'!AB962)</f>
        <v/>
      </c>
      <c r="K962" s="9">
        <f>IF('Data Source'!B962="","",'Data Source'!AC962)</f>
        <v/>
      </c>
      <c r="L962" s="9">
        <f>IF('Data Source'!B962="","",'Data Source'!AD962)</f>
        <v/>
      </c>
      <c r="M962" s="9">
        <f>IF('Data Source'!B962="","",'Data Source'!AE962)</f>
        <v/>
      </c>
      <c r="N962" s="9">
        <f>IF('Data Source'!B962="","",'Data Source'!AF962)</f>
        <v/>
      </c>
      <c r="O962" s="9">
        <f>IF('Data Source'!B962="","",'Data Source'!AG962)</f>
        <v/>
      </c>
      <c r="P962" s="5">
        <f>IF('Data Source'!B962="","",'Data Source'!R962)</f>
        <v/>
      </c>
      <c r="Q962" s="3">
        <f>IF('Data Source'!B962="","",'Data Source'!S962)</f>
        <v/>
      </c>
    </row>
    <row r="963">
      <c r="A963" s="3">
        <f>IF('Data Source'!B963="","",'Data Source'!A963)</f>
        <v/>
      </c>
      <c r="B963">
        <f>IF('Data Source'!B963="","",'Data Source'!B963)</f>
        <v/>
      </c>
      <c r="C963" s="9">
        <f>IF('Data Source'!B963="","",'Data Source'!U963)</f>
        <v/>
      </c>
      <c r="D963" s="9">
        <f>IF('Data Source'!B963="","",'Data Source'!V963)</f>
        <v/>
      </c>
      <c r="E963" s="9">
        <f>IF('Data Source'!B963="","",'Data Source'!W963)</f>
        <v/>
      </c>
      <c r="F963" s="9">
        <f>IF('Data Source'!B963="","",'Data Source'!X963)</f>
        <v/>
      </c>
      <c r="G963" s="9">
        <f>IF('Data Source'!B963="","",'Data Source'!Y963)</f>
        <v/>
      </c>
      <c r="H963" s="9">
        <f>IF('Data Source'!B963="","",'Data Source'!Z963)</f>
        <v/>
      </c>
      <c r="I963" s="9">
        <f>IF('Data Source'!B963="","",'Data Source'!AA963)</f>
        <v/>
      </c>
      <c r="J963" s="9">
        <f>IF('Data Source'!B963="","",'Data Source'!AB963)</f>
        <v/>
      </c>
      <c r="K963" s="9">
        <f>IF('Data Source'!B963="","",'Data Source'!AC963)</f>
        <v/>
      </c>
      <c r="L963" s="9">
        <f>IF('Data Source'!B963="","",'Data Source'!AD963)</f>
        <v/>
      </c>
      <c r="M963" s="9">
        <f>IF('Data Source'!B963="","",'Data Source'!AE963)</f>
        <v/>
      </c>
      <c r="N963" s="9">
        <f>IF('Data Source'!B963="","",'Data Source'!AF963)</f>
        <v/>
      </c>
      <c r="O963" s="9">
        <f>IF('Data Source'!B963="","",'Data Source'!AG963)</f>
        <v/>
      </c>
      <c r="P963" s="5">
        <f>IF('Data Source'!B963="","",'Data Source'!R963)</f>
        <v/>
      </c>
      <c r="Q963" s="3">
        <f>IF('Data Source'!B963="","",'Data Source'!S963)</f>
        <v/>
      </c>
    </row>
    <row r="964">
      <c r="A964" s="3">
        <f>IF('Data Source'!B964="","",'Data Source'!A964)</f>
        <v/>
      </c>
      <c r="B964">
        <f>IF('Data Source'!B964="","",'Data Source'!B964)</f>
        <v/>
      </c>
      <c r="C964" s="9">
        <f>IF('Data Source'!B964="","",'Data Source'!U964)</f>
        <v/>
      </c>
      <c r="D964" s="9">
        <f>IF('Data Source'!B964="","",'Data Source'!V964)</f>
        <v/>
      </c>
      <c r="E964" s="9">
        <f>IF('Data Source'!B964="","",'Data Source'!W964)</f>
        <v/>
      </c>
      <c r="F964" s="9">
        <f>IF('Data Source'!B964="","",'Data Source'!X964)</f>
        <v/>
      </c>
      <c r="G964" s="9">
        <f>IF('Data Source'!B964="","",'Data Source'!Y964)</f>
        <v/>
      </c>
      <c r="H964" s="9">
        <f>IF('Data Source'!B964="","",'Data Source'!Z964)</f>
        <v/>
      </c>
      <c r="I964" s="9">
        <f>IF('Data Source'!B964="","",'Data Source'!AA964)</f>
        <v/>
      </c>
      <c r="J964" s="9">
        <f>IF('Data Source'!B964="","",'Data Source'!AB964)</f>
        <v/>
      </c>
      <c r="K964" s="9">
        <f>IF('Data Source'!B964="","",'Data Source'!AC964)</f>
        <v/>
      </c>
      <c r="L964" s="9">
        <f>IF('Data Source'!B964="","",'Data Source'!AD964)</f>
        <v/>
      </c>
      <c r="M964" s="9">
        <f>IF('Data Source'!B964="","",'Data Source'!AE964)</f>
        <v/>
      </c>
      <c r="N964" s="9">
        <f>IF('Data Source'!B964="","",'Data Source'!AF964)</f>
        <v/>
      </c>
      <c r="O964" s="9">
        <f>IF('Data Source'!B964="","",'Data Source'!AG964)</f>
        <v/>
      </c>
      <c r="P964" s="5">
        <f>IF('Data Source'!B964="","",'Data Source'!R964)</f>
        <v/>
      </c>
      <c r="Q964" s="3">
        <f>IF('Data Source'!B964="","",'Data Source'!S964)</f>
        <v/>
      </c>
    </row>
    <row r="965">
      <c r="A965" s="3">
        <f>IF('Data Source'!B965="","",'Data Source'!A965)</f>
        <v/>
      </c>
      <c r="B965">
        <f>IF('Data Source'!B965="","",'Data Source'!B965)</f>
        <v/>
      </c>
      <c r="C965" s="9">
        <f>IF('Data Source'!B965="","",'Data Source'!U965)</f>
        <v/>
      </c>
      <c r="D965" s="9">
        <f>IF('Data Source'!B965="","",'Data Source'!V965)</f>
        <v/>
      </c>
      <c r="E965" s="9">
        <f>IF('Data Source'!B965="","",'Data Source'!W965)</f>
        <v/>
      </c>
      <c r="F965" s="9">
        <f>IF('Data Source'!B965="","",'Data Source'!X965)</f>
        <v/>
      </c>
      <c r="G965" s="9">
        <f>IF('Data Source'!B965="","",'Data Source'!Y965)</f>
        <v/>
      </c>
      <c r="H965" s="9">
        <f>IF('Data Source'!B965="","",'Data Source'!Z965)</f>
        <v/>
      </c>
      <c r="I965" s="9">
        <f>IF('Data Source'!B965="","",'Data Source'!AA965)</f>
        <v/>
      </c>
      <c r="J965" s="9">
        <f>IF('Data Source'!B965="","",'Data Source'!AB965)</f>
        <v/>
      </c>
      <c r="K965" s="9">
        <f>IF('Data Source'!B965="","",'Data Source'!AC965)</f>
        <v/>
      </c>
      <c r="L965" s="9">
        <f>IF('Data Source'!B965="","",'Data Source'!AD965)</f>
        <v/>
      </c>
      <c r="M965" s="9">
        <f>IF('Data Source'!B965="","",'Data Source'!AE965)</f>
        <v/>
      </c>
      <c r="N965" s="9">
        <f>IF('Data Source'!B965="","",'Data Source'!AF965)</f>
        <v/>
      </c>
      <c r="O965" s="9">
        <f>IF('Data Source'!B965="","",'Data Source'!AG965)</f>
        <v/>
      </c>
      <c r="P965" s="5">
        <f>IF('Data Source'!B965="","",'Data Source'!R965)</f>
        <v/>
      </c>
      <c r="Q965" s="3">
        <f>IF('Data Source'!B965="","",'Data Source'!S965)</f>
        <v/>
      </c>
    </row>
    <row r="966">
      <c r="A966" s="3">
        <f>IF('Data Source'!B966="","",'Data Source'!A966)</f>
        <v/>
      </c>
      <c r="B966">
        <f>IF('Data Source'!B966="","",'Data Source'!B966)</f>
        <v/>
      </c>
      <c r="C966" s="9">
        <f>IF('Data Source'!B966="","",'Data Source'!U966)</f>
        <v/>
      </c>
      <c r="D966" s="9">
        <f>IF('Data Source'!B966="","",'Data Source'!V966)</f>
        <v/>
      </c>
      <c r="E966" s="9">
        <f>IF('Data Source'!B966="","",'Data Source'!W966)</f>
        <v/>
      </c>
      <c r="F966" s="9">
        <f>IF('Data Source'!B966="","",'Data Source'!X966)</f>
        <v/>
      </c>
      <c r="G966" s="9">
        <f>IF('Data Source'!B966="","",'Data Source'!Y966)</f>
        <v/>
      </c>
      <c r="H966" s="9">
        <f>IF('Data Source'!B966="","",'Data Source'!Z966)</f>
        <v/>
      </c>
      <c r="I966" s="9">
        <f>IF('Data Source'!B966="","",'Data Source'!AA966)</f>
        <v/>
      </c>
      <c r="J966" s="9">
        <f>IF('Data Source'!B966="","",'Data Source'!AB966)</f>
        <v/>
      </c>
      <c r="K966" s="9">
        <f>IF('Data Source'!B966="","",'Data Source'!AC966)</f>
        <v/>
      </c>
      <c r="L966" s="9">
        <f>IF('Data Source'!B966="","",'Data Source'!AD966)</f>
        <v/>
      </c>
      <c r="M966" s="9">
        <f>IF('Data Source'!B966="","",'Data Source'!AE966)</f>
        <v/>
      </c>
      <c r="N966" s="9">
        <f>IF('Data Source'!B966="","",'Data Source'!AF966)</f>
        <v/>
      </c>
      <c r="O966" s="9">
        <f>IF('Data Source'!B966="","",'Data Source'!AG966)</f>
        <v/>
      </c>
      <c r="P966" s="5">
        <f>IF('Data Source'!B966="","",'Data Source'!R966)</f>
        <v/>
      </c>
      <c r="Q966" s="3">
        <f>IF('Data Source'!B966="","",'Data Source'!S966)</f>
        <v/>
      </c>
    </row>
    <row r="967">
      <c r="A967" s="3">
        <f>IF('Data Source'!B967="","",'Data Source'!A967)</f>
        <v/>
      </c>
      <c r="B967">
        <f>IF('Data Source'!B967="","",'Data Source'!B967)</f>
        <v/>
      </c>
      <c r="C967" s="9">
        <f>IF('Data Source'!B967="","",'Data Source'!U967)</f>
        <v/>
      </c>
      <c r="D967" s="9">
        <f>IF('Data Source'!B967="","",'Data Source'!V967)</f>
        <v/>
      </c>
      <c r="E967" s="9">
        <f>IF('Data Source'!B967="","",'Data Source'!W967)</f>
        <v/>
      </c>
      <c r="F967" s="9">
        <f>IF('Data Source'!B967="","",'Data Source'!X967)</f>
        <v/>
      </c>
      <c r="G967" s="9">
        <f>IF('Data Source'!B967="","",'Data Source'!Y967)</f>
        <v/>
      </c>
      <c r="H967" s="9">
        <f>IF('Data Source'!B967="","",'Data Source'!Z967)</f>
        <v/>
      </c>
      <c r="I967" s="9">
        <f>IF('Data Source'!B967="","",'Data Source'!AA967)</f>
        <v/>
      </c>
      <c r="J967" s="9">
        <f>IF('Data Source'!B967="","",'Data Source'!AB967)</f>
        <v/>
      </c>
      <c r="K967" s="9">
        <f>IF('Data Source'!B967="","",'Data Source'!AC967)</f>
        <v/>
      </c>
      <c r="L967" s="9">
        <f>IF('Data Source'!B967="","",'Data Source'!AD967)</f>
        <v/>
      </c>
      <c r="M967" s="9">
        <f>IF('Data Source'!B967="","",'Data Source'!AE967)</f>
        <v/>
      </c>
      <c r="N967" s="9">
        <f>IF('Data Source'!B967="","",'Data Source'!AF967)</f>
        <v/>
      </c>
      <c r="O967" s="9">
        <f>IF('Data Source'!B967="","",'Data Source'!AG967)</f>
        <v/>
      </c>
      <c r="P967" s="5">
        <f>IF('Data Source'!B967="","",'Data Source'!R967)</f>
        <v/>
      </c>
      <c r="Q967" s="3">
        <f>IF('Data Source'!B967="","",'Data Source'!S967)</f>
        <v/>
      </c>
    </row>
    <row r="968">
      <c r="A968" s="3">
        <f>IF('Data Source'!B968="","",'Data Source'!A968)</f>
        <v/>
      </c>
      <c r="B968">
        <f>IF('Data Source'!B968="","",'Data Source'!B968)</f>
        <v/>
      </c>
      <c r="C968" s="9">
        <f>IF('Data Source'!B968="","",'Data Source'!U968)</f>
        <v/>
      </c>
      <c r="D968" s="9">
        <f>IF('Data Source'!B968="","",'Data Source'!V968)</f>
        <v/>
      </c>
      <c r="E968" s="9">
        <f>IF('Data Source'!B968="","",'Data Source'!W968)</f>
        <v/>
      </c>
      <c r="F968" s="9">
        <f>IF('Data Source'!B968="","",'Data Source'!X968)</f>
        <v/>
      </c>
      <c r="G968" s="9">
        <f>IF('Data Source'!B968="","",'Data Source'!Y968)</f>
        <v/>
      </c>
      <c r="H968" s="9">
        <f>IF('Data Source'!B968="","",'Data Source'!Z968)</f>
        <v/>
      </c>
      <c r="I968" s="9">
        <f>IF('Data Source'!B968="","",'Data Source'!AA968)</f>
        <v/>
      </c>
      <c r="J968" s="9">
        <f>IF('Data Source'!B968="","",'Data Source'!AB968)</f>
        <v/>
      </c>
      <c r="K968" s="9">
        <f>IF('Data Source'!B968="","",'Data Source'!AC968)</f>
        <v/>
      </c>
      <c r="L968" s="9">
        <f>IF('Data Source'!B968="","",'Data Source'!AD968)</f>
        <v/>
      </c>
      <c r="M968" s="9">
        <f>IF('Data Source'!B968="","",'Data Source'!AE968)</f>
        <v/>
      </c>
      <c r="N968" s="9">
        <f>IF('Data Source'!B968="","",'Data Source'!AF968)</f>
        <v/>
      </c>
      <c r="O968" s="9">
        <f>IF('Data Source'!B968="","",'Data Source'!AG968)</f>
        <v/>
      </c>
      <c r="P968" s="5">
        <f>IF('Data Source'!B968="","",'Data Source'!R968)</f>
        <v/>
      </c>
      <c r="Q968" s="3">
        <f>IF('Data Source'!B968="","",'Data Source'!S968)</f>
        <v/>
      </c>
    </row>
    <row r="969">
      <c r="A969" s="3">
        <f>IF('Data Source'!B969="","",'Data Source'!A969)</f>
        <v/>
      </c>
      <c r="B969">
        <f>IF('Data Source'!B969="","",'Data Source'!B969)</f>
        <v/>
      </c>
      <c r="C969" s="9">
        <f>IF('Data Source'!B969="","",'Data Source'!U969)</f>
        <v/>
      </c>
      <c r="D969" s="9">
        <f>IF('Data Source'!B969="","",'Data Source'!V969)</f>
        <v/>
      </c>
      <c r="E969" s="9">
        <f>IF('Data Source'!B969="","",'Data Source'!W969)</f>
        <v/>
      </c>
      <c r="F969" s="9">
        <f>IF('Data Source'!B969="","",'Data Source'!X969)</f>
        <v/>
      </c>
      <c r="G969" s="9">
        <f>IF('Data Source'!B969="","",'Data Source'!Y969)</f>
        <v/>
      </c>
      <c r="H969" s="9">
        <f>IF('Data Source'!B969="","",'Data Source'!Z969)</f>
        <v/>
      </c>
      <c r="I969" s="9">
        <f>IF('Data Source'!B969="","",'Data Source'!AA969)</f>
        <v/>
      </c>
      <c r="J969" s="9">
        <f>IF('Data Source'!B969="","",'Data Source'!AB969)</f>
        <v/>
      </c>
      <c r="K969" s="9">
        <f>IF('Data Source'!B969="","",'Data Source'!AC969)</f>
        <v/>
      </c>
      <c r="L969" s="9">
        <f>IF('Data Source'!B969="","",'Data Source'!AD969)</f>
        <v/>
      </c>
      <c r="M969" s="9">
        <f>IF('Data Source'!B969="","",'Data Source'!AE969)</f>
        <v/>
      </c>
      <c r="N969" s="9">
        <f>IF('Data Source'!B969="","",'Data Source'!AF969)</f>
        <v/>
      </c>
      <c r="O969" s="9">
        <f>IF('Data Source'!B969="","",'Data Source'!AG969)</f>
        <v/>
      </c>
      <c r="P969" s="5">
        <f>IF('Data Source'!B969="","",'Data Source'!R969)</f>
        <v/>
      </c>
      <c r="Q969" s="3">
        <f>IF('Data Source'!B969="","",'Data Source'!S969)</f>
        <v/>
      </c>
    </row>
    <row r="970">
      <c r="A970" s="3">
        <f>IF('Data Source'!B970="","",'Data Source'!A970)</f>
        <v/>
      </c>
      <c r="B970">
        <f>IF('Data Source'!B970="","",'Data Source'!B970)</f>
        <v/>
      </c>
      <c r="C970" s="9">
        <f>IF('Data Source'!B970="","",'Data Source'!U970)</f>
        <v/>
      </c>
      <c r="D970" s="9">
        <f>IF('Data Source'!B970="","",'Data Source'!V970)</f>
        <v/>
      </c>
      <c r="E970" s="9">
        <f>IF('Data Source'!B970="","",'Data Source'!W970)</f>
        <v/>
      </c>
      <c r="F970" s="9">
        <f>IF('Data Source'!B970="","",'Data Source'!X970)</f>
        <v/>
      </c>
      <c r="G970" s="9">
        <f>IF('Data Source'!B970="","",'Data Source'!Y970)</f>
        <v/>
      </c>
      <c r="H970" s="9">
        <f>IF('Data Source'!B970="","",'Data Source'!Z970)</f>
        <v/>
      </c>
      <c r="I970" s="9">
        <f>IF('Data Source'!B970="","",'Data Source'!AA970)</f>
        <v/>
      </c>
      <c r="J970" s="9">
        <f>IF('Data Source'!B970="","",'Data Source'!AB970)</f>
        <v/>
      </c>
      <c r="K970" s="9">
        <f>IF('Data Source'!B970="","",'Data Source'!AC970)</f>
        <v/>
      </c>
      <c r="L970" s="9">
        <f>IF('Data Source'!B970="","",'Data Source'!AD970)</f>
        <v/>
      </c>
      <c r="M970" s="9">
        <f>IF('Data Source'!B970="","",'Data Source'!AE970)</f>
        <v/>
      </c>
      <c r="N970" s="9">
        <f>IF('Data Source'!B970="","",'Data Source'!AF970)</f>
        <v/>
      </c>
      <c r="O970" s="9">
        <f>IF('Data Source'!B970="","",'Data Source'!AG970)</f>
        <v/>
      </c>
      <c r="P970" s="5">
        <f>IF('Data Source'!B970="","",'Data Source'!R970)</f>
        <v/>
      </c>
      <c r="Q970" s="3">
        <f>IF('Data Source'!B970="","",'Data Source'!S970)</f>
        <v/>
      </c>
    </row>
    <row r="971">
      <c r="A971" s="3">
        <f>IF('Data Source'!B971="","",'Data Source'!A971)</f>
        <v/>
      </c>
      <c r="B971">
        <f>IF('Data Source'!B971="","",'Data Source'!B971)</f>
        <v/>
      </c>
      <c r="C971" s="9">
        <f>IF('Data Source'!B971="","",'Data Source'!U971)</f>
        <v/>
      </c>
      <c r="D971" s="9">
        <f>IF('Data Source'!B971="","",'Data Source'!V971)</f>
        <v/>
      </c>
      <c r="E971" s="9">
        <f>IF('Data Source'!B971="","",'Data Source'!W971)</f>
        <v/>
      </c>
      <c r="F971" s="9">
        <f>IF('Data Source'!B971="","",'Data Source'!X971)</f>
        <v/>
      </c>
      <c r="G971" s="9">
        <f>IF('Data Source'!B971="","",'Data Source'!Y971)</f>
        <v/>
      </c>
      <c r="H971" s="9">
        <f>IF('Data Source'!B971="","",'Data Source'!Z971)</f>
        <v/>
      </c>
      <c r="I971" s="9">
        <f>IF('Data Source'!B971="","",'Data Source'!AA971)</f>
        <v/>
      </c>
      <c r="J971" s="9">
        <f>IF('Data Source'!B971="","",'Data Source'!AB971)</f>
        <v/>
      </c>
      <c r="K971" s="9">
        <f>IF('Data Source'!B971="","",'Data Source'!AC971)</f>
        <v/>
      </c>
      <c r="L971" s="9">
        <f>IF('Data Source'!B971="","",'Data Source'!AD971)</f>
        <v/>
      </c>
      <c r="M971" s="9">
        <f>IF('Data Source'!B971="","",'Data Source'!AE971)</f>
        <v/>
      </c>
      <c r="N971" s="9">
        <f>IF('Data Source'!B971="","",'Data Source'!AF971)</f>
        <v/>
      </c>
      <c r="O971" s="9">
        <f>IF('Data Source'!B971="","",'Data Source'!AG971)</f>
        <v/>
      </c>
      <c r="P971" s="5">
        <f>IF('Data Source'!B971="","",'Data Source'!R971)</f>
        <v/>
      </c>
      <c r="Q971" s="3">
        <f>IF('Data Source'!B971="","",'Data Source'!S971)</f>
        <v/>
      </c>
    </row>
    <row r="972">
      <c r="A972" s="3">
        <f>IF('Data Source'!B972="","",'Data Source'!A972)</f>
        <v/>
      </c>
      <c r="B972">
        <f>IF('Data Source'!B972="","",'Data Source'!B972)</f>
        <v/>
      </c>
      <c r="C972" s="9">
        <f>IF('Data Source'!B972="","",'Data Source'!U972)</f>
        <v/>
      </c>
      <c r="D972" s="9">
        <f>IF('Data Source'!B972="","",'Data Source'!V972)</f>
        <v/>
      </c>
      <c r="E972" s="9">
        <f>IF('Data Source'!B972="","",'Data Source'!W972)</f>
        <v/>
      </c>
      <c r="F972" s="9">
        <f>IF('Data Source'!B972="","",'Data Source'!X972)</f>
        <v/>
      </c>
      <c r="G972" s="9">
        <f>IF('Data Source'!B972="","",'Data Source'!Y972)</f>
        <v/>
      </c>
      <c r="H972" s="9">
        <f>IF('Data Source'!B972="","",'Data Source'!Z972)</f>
        <v/>
      </c>
      <c r="I972" s="9">
        <f>IF('Data Source'!B972="","",'Data Source'!AA972)</f>
        <v/>
      </c>
      <c r="J972" s="9">
        <f>IF('Data Source'!B972="","",'Data Source'!AB972)</f>
        <v/>
      </c>
      <c r="K972" s="9">
        <f>IF('Data Source'!B972="","",'Data Source'!AC972)</f>
        <v/>
      </c>
      <c r="L972" s="9">
        <f>IF('Data Source'!B972="","",'Data Source'!AD972)</f>
        <v/>
      </c>
      <c r="M972" s="9">
        <f>IF('Data Source'!B972="","",'Data Source'!AE972)</f>
        <v/>
      </c>
      <c r="N972" s="9">
        <f>IF('Data Source'!B972="","",'Data Source'!AF972)</f>
        <v/>
      </c>
      <c r="O972" s="9">
        <f>IF('Data Source'!B972="","",'Data Source'!AG972)</f>
        <v/>
      </c>
      <c r="P972" s="5">
        <f>IF('Data Source'!B972="","",'Data Source'!R972)</f>
        <v/>
      </c>
      <c r="Q972" s="3">
        <f>IF('Data Source'!B972="","",'Data Source'!S972)</f>
        <v/>
      </c>
    </row>
    <row r="973">
      <c r="A973" s="3">
        <f>IF('Data Source'!B973="","",'Data Source'!A973)</f>
        <v/>
      </c>
      <c r="B973">
        <f>IF('Data Source'!B973="","",'Data Source'!B973)</f>
        <v/>
      </c>
      <c r="C973" s="9">
        <f>IF('Data Source'!B973="","",'Data Source'!U973)</f>
        <v/>
      </c>
      <c r="D973" s="9">
        <f>IF('Data Source'!B973="","",'Data Source'!V973)</f>
        <v/>
      </c>
      <c r="E973" s="9">
        <f>IF('Data Source'!B973="","",'Data Source'!W973)</f>
        <v/>
      </c>
      <c r="F973" s="9">
        <f>IF('Data Source'!B973="","",'Data Source'!X973)</f>
        <v/>
      </c>
      <c r="G973" s="9">
        <f>IF('Data Source'!B973="","",'Data Source'!Y973)</f>
        <v/>
      </c>
      <c r="H973" s="9">
        <f>IF('Data Source'!B973="","",'Data Source'!Z973)</f>
        <v/>
      </c>
      <c r="I973" s="9">
        <f>IF('Data Source'!B973="","",'Data Source'!AA973)</f>
        <v/>
      </c>
      <c r="J973" s="9">
        <f>IF('Data Source'!B973="","",'Data Source'!AB973)</f>
        <v/>
      </c>
      <c r="K973" s="9">
        <f>IF('Data Source'!B973="","",'Data Source'!AC973)</f>
        <v/>
      </c>
      <c r="L973" s="9">
        <f>IF('Data Source'!B973="","",'Data Source'!AD973)</f>
        <v/>
      </c>
      <c r="M973" s="9">
        <f>IF('Data Source'!B973="","",'Data Source'!AE973)</f>
        <v/>
      </c>
      <c r="N973" s="9">
        <f>IF('Data Source'!B973="","",'Data Source'!AF973)</f>
        <v/>
      </c>
      <c r="O973" s="9">
        <f>IF('Data Source'!B973="","",'Data Source'!AG973)</f>
        <v/>
      </c>
      <c r="P973" s="5">
        <f>IF('Data Source'!B973="","",'Data Source'!R973)</f>
        <v/>
      </c>
      <c r="Q973" s="3">
        <f>IF('Data Source'!B973="","",'Data Source'!S973)</f>
        <v/>
      </c>
    </row>
    <row r="974">
      <c r="A974" s="3">
        <f>IF('Data Source'!B974="","",'Data Source'!A974)</f>
        <v/>
      </c>
      <c r="B974">
        <f>IF('Data Source'!B974="","",'Data Source'!B974)</f>
        <v/>
      </c>
      <c r="C974" s="9">
        <f>IF('Data Source'!B974="","",'Data Source'!U974)</f>
        <v/>
      </c>
      <c r="D974" s="9">
        <f>IF('Data Source'!B974="","",'Data Source'!V974)</f>
        <v/>
      </c>
      <c r="E974" s="9">
        <f>IF('Data Source'!B974="","",'Data Source'!W974)</f>
        <v/>
      </c>
      <c r="F974" s="9">
        <f>IF('Data Source'!B974="","",'Data Source'!X974)</f>
        <v/>
      </c>
      <c r="G974" s="9">
        <f>IF('Data Source'!B974="","",'Data Source'!Y974)</f>
        <v/>
      </c>
      <c r="H974" s="9">
        <f>IF('Data Source'!B974="","",'Data Source'!Z974)</f>
        <v/>
      </c>
      <c r="I974" s="9">
        <f>IF('Data Source'!B974="","",'Data Source'!AA974)</f>
        <v/>
      </c>
      <c r="J974" s="9">
        <f>IF('Data Source'!B974="","",'Data Source'!AB974)</f>
        <v/>
      </c>
      <c r="K974" s="9">
        <f>IF('Data Source'!B974="","",'Data Source'!AC974)</f>
        <v/>
      </c>
      <c r="L974" s="9">
        <f>IF('Data Source'!B974="","",'Data Source'!AD974)</f>
        <v/>
      </c>
      <c r="M974" s="9">
        <f>IF('Data Source'!B974="","",'Data Source'!AE974)</f>
        <v/>
      </c>
      <c r="N974" s="9">
        <f>IF('Data Source'!B974="","",'Data Source'!AF974)</f>
        <v/>
      </c>
      <c r="O974" s="9">
        <f>IF('Data Source'!B974="","",'Data Source'!AG974)</f>
        <v/>
      </c>
      <c r="P974" s="5">
        <f>IF('Data Source'!B974="","",'Data Source'!R974)</f>
        <v/>
      </c>
      <c r="Q974" s="3">
        <f>IF('Data Source'!B974="","",'Data Source'!S974)</f>
        <v/>
      </c>
    </row>
    <row r="975">
      <c r="A975" s="3">
        <f>IF('Data Source'!B975="","",'Data Source'!A975)</f>
        <v/>
      </c>
      <c r="B975">
        <f>IF('Data Source'!B975="","",'Data Source'!B975)</f>
        <v/>
      </c>
      <c r="C975" s="9">
        <f>IF('Data Source'!B975="","",'Data Source'!U975)</f>
        <v/>
      </c>
      <c r="D975" s="9">
        <f>IF('Data Source'!B975="","",'Data Source'!V975)</f>
        <v/>
      </c>
      <c r="E975" s="9">
        <f>IF('Data Source'!B975="","",'Data Source'!W975)</f>
        <v/>
      </c>
      <c r="F975" s="9">
        <f>IF('Data Source'!B975="","",'Data Source'!X975)</f>
        <v/>
      </c>
      <c r="G975" s="9">
        <f>IF('Data Source'!B975="","",'Data Source'!Y975)</f>
        <v/>
      </c>
      <c r="H975" s="9">
        <f>IF('Data Source'!B975="","",'Data Source'!Z975)</f>
        <v/>
      </c>
      <c r="I975" s="9">
        <f>IF('Data Source'!B975="","",'Data Source'!AA975)</f>
        <v/>
      </c>
      <c r="J975" s="9">
        <f>IF('Data Source'!B975="","",'Data Source'!AB975)</f>
        <v/>
      </c>
      <c r="K975" s="9">
        <f>IF('Data Source'!B975="","",'Data Source'!AC975)</f>
        <v/>
      </c>
      <c r="L975" s="9">
        <f>IF('Data Source'!B975="","",'Data Source'!AD975)</f>
        <v/>
      </c>
      <c r="M975" s="9">
        <f>IF('Data Source'!B975="","",'Data Source'!AE975)</f>
        <v/>
      </c>
      <c r="N975" s="9">
        <f>IF('Data Source'!B975="","",'Data Source'!AF975)</f>
        <v/>
      </c>
      <c r="O975" s="9">
        <f>IF('Data Source'!B975="","",'Data Source'!AG975)</f>
        <v/>
      </c>
      <c r="P975" s="5">
        <f>IF('Data Source'!B975="","",'Data Source'!R975)</f>
        <v/>
      </c>
      <c r="Q975" s="3">
        <f>IF('Data Source'!B975="","",'Data Source'!S975)</f>
        <v/>
      </c>
    </row>
    <row r="976">
      <c r="A976" s="3">
        <f>IF('Data Source'!B976="","",'Data Source'!A976)</f>
        <v/>
      </c>
      <c r="B976">
        <f>IF('Data Source'!B976="","",'Data Source'!B976)</f>
        <v/>
      </c>
      <c r="C976" s="9">
        <f>IF('Data Source'!B976="","",'Data Source'!U976)</f>
        <v/>
      </c>
      <c r="D976" s="9">
        <f>IF('Data Source'!B976="","",'Data Source'!V976)</f>
        <v/>
      </c>
      <c r="E976" s="9">
        <f>IF('Data Source'!B976="","",'Data Source'!W976)</f>
        <v/>
      </c>
      <c r="F976" s="9">
        <f>IF('Data Source'!B976="","",'Data Source'!X976)</f>
        <v/>
      </c>
      <c r="G976" s="9">
        <f>IF('Data Source'!B976="","",'Data Source'!Y976)</f>
        <v/>
      </c>
      <c r="H976" s="9">
        <f>IF('Data Source'!B976="","",'Data Source'!Z976)</f>
        <v/>
      </c>
      <c r="I976" s="9">
        <f>IF('Data Source'!B976="","",'Data Source'!AA976)</f>
        <v/>
      </c>
      <c r="J976" s="9">
        <f>IF('Data Source'!B976="","",'Data Source'!AB976)</f>
        <v/>
      </c>
      <c r="K976" s="9">
        <f>IF('Data Source'!B976="","",'Data Source'!AC976)</f>
        <v/>
      </c>
      <c r="L976" s="9">
        <f>IF('Data Source'!B976="","",'Data Source'!AD976)</f>
        <v/>
      </c>
      <c r="M976" s="9">
        <f>IF('Data Source'!B976="","",'Data Source'!AE976)</f>
        <v/>
      </c>
      <c r="N976" s="9">
        <f>IF('Data Source'!B976="","",'Data Source'!AF976)</f>
        <v/>
      </c>
      <c r="O976" s="9">
        <f>IF('Data Source'!B976="","",'Data Source'!AG976)</f>
        <v/>
      </c>
      <c r="P976" s="5">
        <f>IF('Data Source'!B976="","",'Data Source'!R976)</f>
        <v/>
      </c>
      <c r="Q976" s="3">
        <f>IF('Data Source'!B976="","",'Data Source'!S976)</f>
        <v/>
      </c>
    </row>
    <row r="977">
      <c r="A977" s="3">
        <f>IF('Data Source'!B977="","",'Data Source'!A977)</f>
        <v/>
      </c>
      <c r="B977">
        <f>IF('Data Source'!B977="","",'Data Source'!B977)</f>
        <v/>
      </c>
      <c r="C977" s="9">
        <f>IF('Data Source'!B977="","",'Data Source'!U977)</f>
        <v/>
      </c>
      <c r="D977" s="9">
        <f>IF('Data Source'!B977="","",'Data Source'!V977)</f>
        <v/>
      </c>
      <c r="E977" s="9">
        <f>IF('Data Source'!B977="","",'Data Source'!W977)</f>
        <v/>
      </c>
      <c r="F977" s="9">
        <f>IF('Data Source'!B977="","",'Data Source'!X977)</f>
        <v/>
      </c>
      <c r="G977" s="9">
        <f>IF('Data Source'!B977="","",'Data Source'!Y977)</f>
        <v/>
      </c>
      <c r="H977" s="9">
        <f>IF('Data Source'!B977="","",'Data Source'!Z977)</f>
        <v/>
      </c>
      <c r="I977" s="9">
        <f>IF('Data Source'!B977="","",'Data Source'!AA977)</f>
        <v/>
      </c>
      <c r="J977" s="9">
        <f>IF('Data Source'!B977="","",'Data Source'!AB977)</f>
        <v/>
      </c>
      <c r="K977" s="9">
        <f>IF('Data Source'!B977="","",'Data Source'!AC977)</f>
        <v/>
      </c>
      <c r="L977" s="9">
        <f>IF('Data Source'!B977="","",'Data Source'!AD977)</f>
        <v/>
      </c>
      <c r="M977" s="9">
        <f>IF('Data Source'!B977="","",'Data Source'!AE977)</f>
        <v/>
      </c>
      <c r="N977" s="9">
        <f>IF('Data Source'!B977="","",'Data Source'!AF977)</f>
        <v/>
      </c>
      <c r="O977" s="9">
        <f>IF('Data Source'!B977="","",'Data Source'!AG977)</f>
        <v/>
      </c>
      <c r="P977" s="5">
        <f>IF('Data Source'!B977="","",'Data Source'!R977)</f>
        <v/>
      </c>
      <c r="Q977" s="3">
        <f>IF('Data Source'!B977="","",'Data Source'!S977)</f>
        <v/>
      </c>
    </row>
    <row r="978">
      <c r="A978" s="3">
        <f>IF('Data Source'!B978="","",'Data Source'!A978)</f>
        <v/>
      </c>
      <c r="B978">
        <f>IF('Data Source'!B978="","",'Data Source'!B978)</f>
        <v/>
      </c>
      <c r="C978" s="9">
        <f>IF('Data Source'!B978="","",'Data Source'!U978)</f>
        <v/>
      </c>
      <c r="D978" s="9">
        <f>IF('Data Source'!B978="","",'Data Source'!V978)</f>
        <v/>
      </c>
      <c r="E978" s="9">
        <f>IF('Data Source'!B978="","",'Data Source'!W978)</f>
        <v/>
      </c>
      <c r="F978" s="9">
        <f>IF('Data Source'!B978="","",'Data Source'!X978)</f>
        <v/>
      </c>
      <c r="G978" s="9">
        <f>IF('Data Source'!B978="","",'Data Source'!Y978)</f>
        <v/>
      </c>
      <c r="H978" s="9">
        <f>IF('Data Source'!B978="","",'Data Source'!Z978)</f>
        <v/>
      </c>
      <c r="I978" s="9">
        <f>IF('Data Source'!B978="","",'Data Source'!AA978)</f>
        <v/>
      </c>
      <c r="J978" s="9">
        <f>IF('Data Source'!B978="","",'Data Source'!AB978)</f>
        <v/>
      </c>
      <c r="K978" s="9">
        <f>IF('Data Source'!B978="","",'Data Source'!AC978)</f>
        <v/>
      </c>
      <c r="L978" s="9">
        <f>IF('Data Source'!B978="","",'Data Source'!AD978)</f>
        <v/>
      </c>
      <c r="M978" s="9">
        <f>IF('Data Source'!B978="","",'Data Source'!AE978)</f>
        <v/>
      </c>
      <c r="N978" s="9">
        <f>IF('Data Source'!B978="","",'Data Source'!AF978)</f>
        <v/>
      </c>
      <c r="O978" s="9">
        <f>IF('Data Source'!B978="","",'Data Source'!AG978)</f>
        <v/>
      </c>
      <c r="P978" s="5">
        <f>IF('Data Source'!B978="","",'Data Source'!R978)</f>
        <v/>
      </c>
      <c r="Q978" s="3">
        <f>IF('Data Source'!B978="","",'Data Source'!S978)</f>
        <v/>
      </c>
    </row>
    <row r="979">
      <c r="A979" s="3">
        <f>IF('Data Source'!B979="","",'Data Source'!A979)</f>
        <v/>
      </c>
      <c r="B979">
        <f>IF('Data Source'!B979="","",'Data Source'!B979)</f>
        <v/>
      </c>
      <c r="C979" s="9">
        <f>IF('Data Source'!B979="","",'Data Source'!U979)</f>
        <v/>
      </c>
      <c r="D979" s="9">
        <f>IF('Data Source'!B979="","",'Data Source'!V979)</f>
        <v/>
      </c>
      <c r="E979" s="9">
        <f>IF('Data Source'!B979="","",'Data Source'!W979)</f>
        <v/>
      </c>
      <c r="F979" s="9">
        <f>IF('Data Source'!B979="","",'Data Source'!X979)</f>
        <v/>
      </c>
      <c r="G979" s="9">
        <f>IF('Data Source'!B979="","",'Data Source'!Y979)</f>
        <v/>
      </c>
      <c r="H979" s="9">
        <f>IF('Data Source'!B979="","",'Data Source'!Z979)</f>
        <v/>
      </c>
      <c r="I979" s="9">
        <f>IF('Data Source'!B979="","",'Data Source'!AA979)</f>
        <v/>
      </c>
      <c r="J979" s="9">
        <f>IF('Data Source'!B979="","",'Data Source'!AB979)</f>
        <v/>
      </c>
      <c r="K979" s="9">
        <f>IF('Data Source'!B979="","",'Data Source'!AC979)</f>
        <v/>
      </c>
      <c r="L979" s="9">
        <f>IF('Data Source'!B979="","",'Data Source'!AD979)</f>
        <v/>
      </c>
      <c r="M979" s="9">
        <f>IF('Data Source'!B979="","",'Data Source'!AE979)</f>
        <v/>
      </c>
      <c r="N979" s="9">
        <f>IF('Data Source'!B979="","",'Data Source'!AF979)</f>
        <v/>
      </c>
      <c r="O979" s="9">
        <f>IF('Data Source'!B979="","",'Data Source'!AG979)</f>
        <v/>
      </c>
      <c r="P979" s="5">
        <f>IF('Data Source'!B979="","",'Data Source'!R979)</f>
        <v/>
      </c>
      <c r="Q979" s="3">
        <f>IF('Data Source'!B979="","",'Data Source'!S979)</f>
        <v/>
      </c>
    </row>
    <row r="980">
      <c r="A980" s="3">
        <f>IF('Data Source'!B980="","",'Data Source'!A980)</f>
        <v/>
      </c>
      <c r="B980">
        <f>IF('Data Source'!B980="","",'Data Source'!B980)</f>
        <v/>
      </c>
      <c r="C980" s="9">
        <f>IF('Data Source'!B980="","",'Data Source'!U980)</f>
        <v/>
      </c>
      <c r="D980" s="9">
        <f>IF('Data Source'!B980="","",'Data Source'!V980)</f>
        <v/>
      </c>
      <c r="E980" s="9">
        <f>IF('Data Source'!B980="","",'Data Source'!W980)</f>
        <v/>
      </c>
      <c r="F980" s="9">
        <f>IF('Data Source'!B980="","",'Data Source'!X980)</f>
        <v/>
      </c>
      <c r="G980" s="9">
        <f>IF('Data Source'!B980="","",'Data Source'!Y980)</f>
        <v/>
      </c>
      <c r="H980" s="9">
        <f>IF('Data Source'!B980="","",'Data Source'!Z980)</f>
        <v/>
      </c>
      <c r="I980" s="9">
        <f>IF('Data Source'!B980="","",'Data Source'!AA980)</f>
        <v/>
      </c>
      <c r="J980" s="9">
        <f>IF('Data Source'!B980="","",'Data Source'!AB980)</f>
        <v/>
      </c>
      <c r="K980" s="9">
        <f>IF('Data Source'!B980="","",'Data Source'!AC980)</f>
        <v/>
      </c>
      <c r="L980" s="9">
        <f>IF('Data Source'!B980="","",'Data Source'!AD980)</f>
        <v/>
      </c>
      <c r="M980" s="9">
        <f>IF('Data Source'!B980="","",'Data Source'!AE980)</f>
        <v/>
      </c>
      <c r="N980" s="9">
        <f>IF('Data Source'!B980="","",'Data Source'!AF980)</f>
        <v/>
      </c>
      <c r="O980" s="9">
        <f>IF('Data Source'!B980="","",'Data Source'!AG980)</f>
        <v/>
      </c>
      <c r="P980" s="5">
        <f>IF('Data Source'!B980="","",'Data Source'!R980)</f>
        <v/>
      </c>
      <c r="Q980" s="3">
        <f>IF('Data Source'!B980="","",'Data Source'!S980)</f>
        <v/>
      </c>
    </row>
    <row r="981">
      <c r="A981" s="3">
        <f>IF('Data Source'!B981="","",'Data Source'!A981)</f>
        <v/>
      </c>
      <c r="B981">
        <f>IF('Data Source'!B981="","",'Data Source'!B981)</f>
        <v/>
      </c>
      <c r="C981" s="9">
        <f>IF('Data Source'!B981="","",'Data Source'!U981)</f>
        <v/>
      </c>
      <c r="D981" s="9">
        <f>IF('Data Source'!B981="","",'Data Source'!V981)</f>
        <v/>
      </c>
      <c r="E981" s="9">
        <f>IF('Data Source'!B981="","",'Data Source'!W981)</f>
        <v/>
      </c>
      <c r="F981" s="9">
        <f>IF('Data Source'!B981="","",'Data Source'!X981)</f>
        <v/>
      </c>
      <c r="G981" s="9">
        <f>IF('Data Source'!B981="","",'Data Source'!Y981)</f>
        <v/>
      </c>
      <c r="H981" s="9">
        <f>IF('Data Source'!B981="","",'Data Source'!Z981)</f>
        <v/>
      </c>
      <c r="I981" s="9">
        <f>IF('Data Source'!B981="","",'Data Source'!AA981)</f>
        <v/>
      </c>
      <c r="J981" s="9">
        <f>IF('Data Source'!B981="","",'Data Source'!AB981)</f>
        <v/>
      </c>
      <c r="K981" s="9">
        <f>IF('Data Source'!B981="","",'Data Source'!AC981)</f>
        <v/>
      </c>
      <c r="L981" s="9">
        <f>IF('Data Source'!B981="","",'Data Source'!AD981)</f>
        <v/>
      </c>
      <c r="M981" s="9">
        <f>IF('Data Source'!B981="","",'Data Source'!AE981)</f>
        <v/>
      </c>
      <c r="N981" s="9">
        <f>IF('Data Source'!B981="","",'Data Source'!AF981)</f>
        <v/>
      </c>
      <c r="O981" s="9">
        <f>IF('Data Source'!B981="","",'Data Source'!AG981)</f>
        <v/>
      </c>
      <c r="P981" s="5">
        <f>IF('Data Source'!B981="","",'Data Source'!R981)</f>
        <v/>
      </c>
      <c r="Q981" s="3">
        <f>IF('Data Source'!B981="","",'Data Source'!S981)</f>
        <v/>
      </c>
    </row>
    <row r="982">
      <c r="A982" s="3">
        <f>IF('Data Source'!B982="","",'Data Source'!A982)</f>
        <v/>
      </c>
      <c r="B982">
        <f>IF('Data Source'!B982="","",'Data Source'!B982)</f>
        <v/>
      </c>
      <c r="C982" s="9">
        <f>IF('Data Source'!B982="","",'Data Source'!U982)</f>
        <v/>
      </c>
      <c r="D982" s="9">
        <f>IF('Data Source'!B982="","",'Data Source'!V982)</f>
        <v/>
      </c>
      <c r="E982" s="9">
        <f>IF('Data Source'!B982="","",'Data Source'!W982)</f>
        <v/>
      </c>
      <c r="F982" s="9">
        <f>IF('Data Source'!B982="","",'Data Source'!X982)</f>
        <v/>
      </c>
      <c r="G982" s="9">
        <f>IF('Data Source'!B982="","",'Data Source'!Y982)</f>
        <v/>
      </c>
      <c r="H982" s="9">
        <f>IF('Data Source'!B982="","",'Data Source'!Z982)</f>
        <v/>
      </c>
      <c r="I982" s="9">
        <f>IF('Data Source'!B982="","",'Data Source'!AA982)</f>
        <v/>
      </c>
      <c r="J982" s="9">
        <f>IF('Data Source'!B982="","",'Data Source'!AB982)</f>
        <v/>
      </c>
      <c r="K982" s="9">
        <f>IF('Data Source'!B982="","",'Data Source'!AC982)</f>
        <v/>
      </c>
      <c r="L982" s="9">
        <f>IF('Data Source'!B982="","",'Data Source'!AD982)</f>
        <v/>
      </c>
      <c r="M982" s="9">
        <f>IF('Data Source'!B982="","",'Data Source'!AE982)</f>
        <v/>
      </c>
      <c r="N982" s="9">
        <f>IF('Data Source'!B982="","",'Data Source'!AF982)</f>
        <v/>
      </c>
      <c r="O982" s="9">
        <f>IF('Data Source'!B982="","",'Data Source'!AG982)</f>
        <v/>
      </c>
      <c r="P982" s="5">
        <f>IF('Data Source'!B982="","",'Data Source'!R982)</f>
        <v/>
      </c>
      <c r="Q982" s="3">
        <f>IF('Data Source'!B982="","",'Data Source'!S982)</f>
        <v/>
      </c>
    </row>
    <row r="983">
      <c r="A983" s="3">
        <f>IF('Data Source'!B983="","",'Data Source'!A983)</f>
        <v/>
      </c>
      <c r="B983">
        <f>IF('Data Source'!B983="","",'Data Source'!B983)</f>
        <v/>
      </c>
      <c r="C983" s="9">
        <f>IF('Data Source'!B983="","",'Data Source'!U983)</f>
        <v/>
      </c>
      <c r="D983" s="9">
        <f>IF('Data Source'!B983="","",'Data Source'!V983)</f>
        <v/>
      </c>
      <c r="E983" s="9">
        <f>IF('Data Source'!B983="","",'Data Source'!W983)</f>
        <v/>
      </c>
      <c r="F983" s="9">
        <f>IF('Data Source'!B983="","",'Data Source'!X983)</f>
        <v/>
      </c>
      <c r="G983" s="9">
        <f>IF('Data Source'!B983="","",'Data Source'!Y983)</f>
        <v/>
      </c>
      <c r="H983" s="9">
        <f>IF('Data Source'!B983="","",'Data Source'!Z983)</f>
        <v/>
      </c>
      <c r="I983" s="9">
        <f>IF('Data Source'!B983="","",'Data Source'!AA983)</f>
        <v/>
      </c>
      <c r="J983" s="9">
        <f>IF('Data Source'!B983="","",'Data Source'!AB983)</f>
        <v/>
      </c>
      <c r="K983" s="9">
        <f>IF('Data Source'!B983="","",'Data Source'!AC983)</f>
        <v/>
      </c>
      <c r="L983" s="9">
        <f>IF('Data Source'!B983="","",'Data Source'!AD983)</f>
        <v/>
      </c>
      <c r="M983" s="9">
        <f>IF('Data Source'!B983="","",'Data Source'!AE983)</f>
        <v/>
      </c>
      <c r="N983" s="9">
        <f>IF('Data Source'!B983="","",'Data Source'!AF983)</f>
        <v/>
      </c>
      <c r="O983" s="9">
        <f>IF('Data Source'!B983="","",'Data Source'!AG983)</f>
        <v/>
      </c>
      <c r="P983" s="5">
        <f>IF('Data Source'!B983="","",'Data Source'!R983)</f>
        <v/>
      </c>
      <c r="Q983" s="3">
        <f>IF('Data Source'!B983="","",'Data Source'!S983)</f>
        <v/>
      </c>
    </row>
    <row r="984">
      <c r="A984" s="3">
        <f>IF('Data Source'!B984="","",'Data Source'!A984)</f>
        <v/>
      </c>
      <c r="B984">
        <f>IF('Data Source'!B984="","",'Data Source'!B984)</f>
        <v/>
      </c>
      <c r="C984" s="9">
        <f>IF('Data Source'!B984="","",'Data Source'!U984)</f>
        <v/>
      </c>
      <c r="D984" s="9">
        <f>IF('Data Source'!B984="","",'Data Source'!V984)</f>
        <v/>
      </c>
      <c r="E984" s="9">
        <f>IF('Data Source'!B984="","",'Data Source'!W984)</f>
        <v/>
      </c>
      <c r="F984" s="9">
        <f>IF('Data Source'!B984="","",'Data Source'!X984)</f>
        <v/>
      </c>
      <c r="G984" s="9">
        <f>IF('Data Source'!B984="","",'Data Source'!Y984)</f>
        <v/>
      </c>
      <c r="H984" s="9">
        <f>IF('Data Source'!B984="","",'Data Source'!Z984)</f>
        <v/>
      </c>
      <c r="I984" s="9">
        <f>IF('Data Source'!B984="","",'Data Source'!AA984)</f>
        <v/>
      </c>
      <c r="J984" s="9">
        <f>IF('Data Source'!B984="","",'Data Source'!AB984)</f>
        <v/>
      </c>
      <c r="K984" s="9">
        <f>IF('Data Source'!B984="","",'Data Source'!AC984)</f>
        <v/>
      </c>
      <c r="L984" s="9">
        <f>IF('Data Source'!B984="","",'Data Source'!AD984)</f>
        <v/>
      </c>
      <c r="M984" s="9">
        <f>IF('Data Source'!B984="","",'Data Source'!AE984)</f>
        <v/>
      </c>
      <c r="N984" s="9">
        <f>IF('Data Source'!B984="","",'Data Source'!AF984)</f>
        <v/>
      </c>
      <c r="O984" s="9">
        <f>IF('Data Source'!B984="","",'Data Source'!AG984)</f>
        <v/>
      </c>
      <c r="P984" s="5">
        <f>IF('Data Source'!B984="","",'Data Source'!R984)</f>
        <v/>
      </c>
      <c r="Q984" s="3">
        <f>IF('Data Source'!B984="","",'Data Source'!S984)</f>
        <v/>
      </c>
    </row>
    <row r="985">
      <c r="A985" s="3">
        <f>IF('Data Source'!B985="","",'Data Source'!A985)</f>
        <v/>
      </c>
      <c r="B985">
        <f>IF('Data Source'!B985="","",'Data Source'!B985)</f>
        <v/>
      </c>
      <c r="C985" s="9">
        <f>IF('Data Source'!B985="","",'Data Source'!U985)</f>
        <v/>
      </c>
      <c r="D985" s="9">
        <f>IF('Data Source'!B985="","",'Data Source'!V985)</f>
        <v/>
      </c>
      <c r="E985" s="9">
        <f>IF('Data Source'!B985="","",'Data Source'!W985)</f>
        <v/>
      </c>
      <c r="F985" s="9">
        <f>IF('Data Source'!B985="","",'Data Source'!X985)</f>
        <v/>
      </c>
      <c r="G985" s="9">
        <f>IF('Data Source'!B985="","",'Data Source'!Y985)</f>
        <v/>
      </c>
      <c r="H985" s="9">
        <f>IF('Data Source'!B985="","",'Data Source'!Z985)</f>
        <v/>
      </c>
      <c r="I985" s="9">
        <f>IF('Data Source'!B985="","",'Data Source'!AA985)</f>
        <v/>
      </c>
      <c r="J985" s="9">
        <f>IF('Data Source'!B985="","",'Data Source'!AB985)</f>
        <v/>
      </c>
      <c r="K985" s="9">
        <f>IF('Data Source'!B985="","",'Data Source'!AC985)</f>
        <v/>
      </c>
      <c r="L985" s="9">
        <f>IF('Data Source'!B985="","",'Data Source'!AD985)</f>
        <v/>
      </c>
      <c r="M985" s="9">
        <f>IF('Data Source'!B985="","",'Data Source'!AE985)</f>
        <v/>
      </c>
      <c r="N985" s="9">
        <f>IF('Data Source'!B985="","",'Data Source'!AF985)</f>
        <v/>
      </c>
      <c r="O985" s="9">
        <f>IF('Data Source'!B985="","",'Data Source'!AG985)</f>
        <v/>
      </c>
      <c r="P985" s="5">
        <f>IF('Data Source'!B985="","",'Data Source'!R985)</f>
        <v/>
      </c>
      <c r="Q985" s="3">
        <f>IF('Data Source'!B985="","",'Data Source'!S985)</f>
        <v/>
      </c>
    </row>
    <row r="986">
      <c r="A986" s="3">
        <f>IF('Data Source'!B986="","",'Data Source'!A986)</f>
        <v/>
      </c>
      <c r="B986">
        <f>IF('Data Source'!B986="","",'Data Source'!B986)</f>
        <v/>
      </c>
      <c r="C986" s="9">
        <f>IF('Data Source'!B986="","",'Data Source'!U986)</f>
        <v/>
      </c>
      <c r="D986" s="9">
        <f>IF('Data Source'!B986="","",'Data Source'!V986)</f>
        <v/>
      </c>
      <c r="E986" s="9">
        <f>IF('Data Source'!B986="","",'Data Source'!W986)</f>
        <v/>
      </c>
      <c r="F986" s="9">
        <f>IF('Data Source'!B986="","",'Data Source'!X986)</f>
        <v/>
      </c>
      <c r="G986" s="9">
        <f>IF('Data Source'!B986="","",'Data Source'!Y986)</f>
        <v/>
      </c>
      <c r="H986" s="9">
        <f>IF('Data Source'!B986="","",'Data Source'!Z986)</f>
        <v/>
      </c>
      <c r="I986" s="9">
        <f>IF('Data Source'!B986="","",'Data Source'!AA986)</f>
        <v/>
      </c>
      <c r="J986" s="9">
        <f>IF('Data Source'!B986="","",'Data Source'!AB986)</f>
        <v/>
      </c>
      <c r="K986" s="9">
        <f>IF('Data Source'!B986="","",'Data Source'!AC986)</f>
        <v/>
      </c>
      <c r="L986" s="9">
        <f>IF('Data Source'!B986="","",'Data Source'!AD986)</f>
        <v/>
      </c>
      <c r="M986" s="9">
        <f>IF('Data Source'!B986="","",'Data Source'!AE986)</f>
        <v/>
      </c>
      <c r="N986" s="9">
        <f>IF('Data Source'!B986="","",'Data Source'!AF986)</f>
        <v/>
      </c>
      <c r="O986" s="9">
        <f>IF('Data Source'!B986="","",'Data Source'!AG986)</f>
        <v/>
      </c>
      <c r="P986" s="5">
        <f>IF('Data Source'!B986="","",'Data Source'!R986)</f>
        <v/>
      </c>
      <c r="Q986" s="3">
        <f>IF('Data Source'!B986="","",'Data Source'!S986)</f>
        <v/>
      </c>
    </row>
    <row r="987">
      <c r="A987" s="3">
        <f>IF('Data Source'!B987="","",'Data Source'!A987)</f>
        <v/>
      </c>
      <c r="B987">
        <f>IF('Data Source'!B987="","",'Data Source'!B987)</f>
        <v/>
      </c>
      <c r="C987" s="9">
        <f>IF('Data Source'!B987="","",'Data Source'!U987)</f>
        <v/>
      </c>
      <c r="D987" s="9">
        <f>IF('Data Source'!B987="","",'Data Source'!V987)</f>
        <v/>
      </c>
      <c r="E987" s="9">
        <f>IF('Data Source'!B987="","",'Data Source'!W987)</f>
        <v/>
      </c>
      <c r="F987" s="9">
        <f>IF('Data Source'!B987="","",'Data Source'!X987)</f>
        <v/>
      </c>
      <c r="G987" s="9">
        <f>IF('Data Source'!B987="","",'Data Source'!Y987)</f>
        <v/>
      </c>
      <c r="H987" s="9">
        <f>IF('Data Source'!B987="","",'Data Source'!Z987)</f>
        <v/>
      </c>
      <c r="I987" s="9">
        <f>IF('Data Source'!B987="","",'Data Source'!AA987)</f>
        <v/>
      </c>
      <c r="J987" s="9">
        <f>IF('Data Source'!B987="","",'Data Source'!AB987)</f>
        <v/>
      </c>
      <c r="K987" s="9">
        <f>IF('Data Source'!B987="","",'Data Source'!AC987)</f>
        <v/>
      </c>
      <c r="L987" s="9">
        <f>IF('Data Source'!B987="","",'Data Source'!AD987)</f>
        <v/>
      </c>
      <c r="M987" s="9">
        <f>IF('Data Source'!B987="","",'Data Source'!AE987)</f>
        <v/>
      </c>
      <c r="N987" s="9">
        <f>IF('Data Source'!B987="","",'Data Source'!AF987)</f>
        <v/>
      </c>
      <c r="O987" s="9">
        <f>IF('Data Source'!B987="","",'Data Source'!AG987)</f>
        <v/>
      </c>
      <c r="P987" s="5">
        <f>IF('Data Source'!B987="","",'Data Source'!R987)</f>
        <v/>
      </c>
      <c r="Q987" s="3">
        <f>IF('Data Source'!B987="","",'Data Source'!S987)</f>
        <v/>
      </c>
    </row>
    <row r="988">
      <c r="A988" s="3">
        <f>IF('Data Source'!B988="","",'Data Source'!A988)</f>
        <v/>
      </c>
      <c r="B988">
        <f>IF('Data Source'!B988="","",'Data Source'!B988)</f>
        <v/>
      </c>
      <c r="C988" s="9">
        <f>IF('Data Source'!B988="","",'Data Source'!U988)</f>
        <v/>
      </c>
      <c r="D988" s="9">
        <f>IF('Data Source'!B988="","",'Data Source'!V988)</f>
        <v/>
      </c>
      <c r="E988" s="9">
        <f>IF('Data Source'!B988="","",'Data Source'!W988)</f>
        <v/>
      </c>
      <c r="F988" s="9">
        <f>IF('Data Source'!B988="","",'Data Source'!X988)</f>
        <v/>
      </c>
      <c r="G988" s="9">
        <f>IF('Data Source'!B988="","",'Data Source'!Y988)</f>
        <v/>
      </c>
      <c r="H988" s="9">
        <f>IF('Data Source'!B988="","",'Data Source'!Z988)</f>
        <v/>
      </c>
      <c r="I988" s="9">
        <f>IF('Data Source'!B988="","",'Data Source'!AA988)</f>
        <v/>
      </c>
      <c r="J988" s="9">
        <f>IF('Data Source'!B988="","",'Data Source'!AB988)</f>
        <v/>
      </c>
      <c r="K988" s="9">
        <f>IF('Data Source'!B988="","",'Data Source'!AC988)</f>
        <v/>
      </c>
      <c r="L988" s="9">
        <f>IF('Data Source'!B988="","",'Data Source'!AD988)</f>
        <v/>
      </c>
      <c r="M988" s="9">
        <f>IF('Data Source'!B988="","",'Data Source'!AE988)</f>
        <v/>
      </c>
      <c r="N988" s="9">
        <f>IF('Data Source'!B988="","",'Data Source'!AF988)</f>
        <v/>
      </c>
      <c r="O988" s="9">
        <f>IF('Data Source'!B988="","",'Data Source'!AG988)</f>
        <v/>
      </c>
      <c r="P988" s="5">
        <f>IF('Data Source'!B988="","",'Data Source'!R988)</f>
        <v/>
      </c>
      <c r="Q988" s="3">
        <f>IF('Data Source'!B988="","",'Data Source'!S988)</f>
        <v/>
      </c>
    </row>
    <row r="989">
      <c r="A989" s="3">
        <f>IF('Data Source'!B989="","",'Data Source'!A989)</f>
        <v/>
      </c>
      <c r="B989">
        <f>IF('Data Source'!B989="","",'Data Source'!B989)</f>
        <v/>
      </c>
      <c r="C989" s="9">
        <f>IF('Data Source'!B989="","",'Data Source'!U989)</f>
        <v/>
      </c>
      <c r="D989" s="9">
        <f>IF('Data Source'!B989="","",'Data Source'!V989)</f>
        <v/>
      </c>
      <c r="E989" s="9">
        <f>IF('Data Source'!B989="","",'Data Source'!W989)</f>
        <v/>
      </c>
      <c r="F989" s="9">
        <f>IF('Data Source'!B989="","",'Data Source'!X989)</f>
        <v/>
      </c>
      <c r="G989" s="9">
        <f>IF('Data Source'!B989="","",'Data Source'!Y989)</f>
        <v/>
      </c>
      <c r="H989" s="9">
        <f>IF('Data Source'!B989="","",'Data Source'!Z989)</f>
        <v/>
      </c>
      <c r="I989" s="9">
        <f>IF('Data Source'!B989="","",'Data Source'!AA989)</f>
        <v/>
      </c>
      <c r="J989" s="9">
        <f>IF('Data Source'!B989="","",'Data Source'!AB989)</f>
        <v/>
      </c>
      <c r="K989" s="9">
        <f>IF('Data Source'!B989="","",'Data Source'!AC989)</f>
        <v/>
      </c>
      <c r="L989" s="9">
        <f>IF('Data Source'!B989="","",'Data Source'!AD989)</f>
        <v/>
      </c>
      <c r="M989" s="9">
        <f>IF('Data Source'!B989="","",'Data Source'!AE989)</f>
        <v/>
      </c>
      <c r="N989" s="9">
        <f>IF('Data Source'!B989="","",'Data Source'!AF989)</f>
        <v/>
      </c>
      <c r="O989" s="9">
        <f>IF('Data Source'!B989="","",'Data Source'!AG989)</f>
        <v/>
      </c>
      <c r="P989" s="5">
        <f>IF('Data Source'!B989="","",'Data Source'!R989)</f>
        <v/>
      </c>
      <c r="Q989" s="3">
        <f>IF('Data Source'!B989="","",'Data Source'!S989)</f>
        <v/>
      </c>
    </row>
    <row r="990">
      <c r="A990" s="3">
        <f>IF('Data Source'!B990="","",'Data Source'!A990)</f>
        <v/>
      </c>
      <c r="B990">
        <f>IF('Data Source'!B990="","",'Data Source'!B990)</f>
        <v/>
      </c>
      <c r="C990" s="9">
        <f>IF('Data Source'!B990="","",'Data Source'!U990)</f>
        <v/>
      </c>
      <c r="D990" s="9">
        <f>IF('Data Source'!B990="","",'Data Source'!V990)</f>
        <v/>
      </c>
      <c r="E990" s="9">
        <f>IF('Data Source'!B990="","",'Data Source'!W990)</f>
        <v/>
      </c>
      <c r="F990" s="9">
        <f>IF('Data Source'!B990="","",'Data Source'!X990)</f>
        <v/>
      </c>
      <c r="G990" s="9">
        <f>IF('Data Source'!B990="","",'Data Source'!Y990)</f>
        <v/>
      </c>
      <c r="H990" s="9">
        <f>IF('Data Source'!B990="","",'Data Source'!Z990)</f>
        <v/>
      </c>
      <c r="I990" s="9">
        <f>IF('Data Source'!B990="","",'Data Source'!AA990)</f>
        <v/>
      </c>
      <c r="J990" s="9">
        <f>IF('Data Source'!B990="","",'Data Source'!AB990)</f>
        <v/>
      </c>
      <c r="K990" s="9">
        <f>IF('Data Source'!B990="","",'Data Source'!AC990)</f>
        <v/>
      </c>
      <c r="L990" s="9">
        <f>IF('Data Source'!B990="","",'Data Source'!AD990)</f>
        <v/>
      </c>
      <c r="M990" s="9">
        <f>IF('Data Source'!B990="","",'Data Source'!AE990)</f>
        <v/>
      </c>
      <c r="N990" s="9">
        <f>IF('Data Source'!B990="","",'Data Source'!AF990)</f>
        <v/>
      </c>
      <c r="O990" s="9">
        <f>IF('Data Source'!B990="","",'Data Source'!AG990)</f>
        <v/>
      </c>
      <c r="P990" s="5">
        <f>IF('Data Source'!B990="","",'Data Source'!R990)</f>
        <v/>
      </c>
      <c r="Q990" s="3">
        <f>IF('Data Source'!B990="","",'Data Source'!S990)</f>
        <v/>
      </c>
    </row>
    <row r="991">
      <c r="A991" s="3">
        <f>IF('Data Source'!B991="","",'Data Source'!A991)</f>
        <v/>
      </c>
      <c r="B991">
        <f>IF('Data Source'!B991="","",'Data Source'!B991)</f>
        <v/>
      </c>
      <c r="C991" s="9">
        <f>IF('Data Source'!B991="","",'Data Source'!U991)</f>
        <v/>
      </c>
      <c r="D991" s="9">
        <f>IF('Data Source'!B991="","",'Data Source'!V991)</f>
        <v/>
      </c>
      <c r="E991" s="9">
        <f>IF('Data Source'!B991="","",'Data Source'!W991)</f>
        <v/>
      </c>
      <c r="F991" s="9">
        <f>IF('Data Source'!B991="","",'Data Source'!X991)</f>
        <v/>
      </c>
      <c r="G991" s="9">
        <f>IF('Data Source'!B991="","",'Data Source'!Y991)</f>
        <v/>
      </c>
      <c r="H991" s="9">
        <f>IF('Data Source'!B991="","",'Data Source'!Z991)</f>
        <v/>
      </c>
      <c r="I991" s="9">
        <f>IF('Data Source'!B991="","",'Data Source'!AA991)</f>
        <v/>
      </c>
      <c r="J991" s="9">
        <f>IF('Data Source'!B991="","",'Data Source'!AB991)</f>
        <v/>
      </c>
      <c r="K991" s="9">
        <f>IF('Data Source'!B991="","",'Data Source'!AC991)</f>
        <v/>
      </c>
      <c r="L991" s="9">
        <f>IF('Data Source'!B991="","",'Data Source'!AD991)</f>
        <v/>
      </c>
      <c r="M991" s="9">
        <f>IF('Data Source'!B991="","",'Data Source'!AE991)</f>
        <v/>
      </c>
      <c r="N991" s="9">
        <f>IF('Data Source'!B991="","",'Data Source'!AF991)</f>
        <v/>
      </c>
      <c r="O991" s="9">
        <f>IF('Data Source'!B991="","",'Data Source'!AG991)</f>
        <v/>
      </c>
      <c r="P991" s="5">
        <f>IF('Data Source'!B991="","",'Data Source'!R991)</f>
        <v/>
      </c>
      <c r="Q991" s="3">
        <f>IF('Data Source'!B991="","",'Data Source'!S991)</f>
        <v/>
      </c>
    </row>
    <row r="992">
      <c r="A992" s="3">
        <f>IF('Data Source'!B992="","",'Data Source'!A992)</f>
        <v/>
      </c>
      <c r="B992">
        <f>IF('Data Source'!B992="","",'Data Source'!B992)</f>
        <v/>
      </c>
      <c r="C992" s="9">
        <f>IF('Data Source'!B992="","",'Data Source'!U992)</f>
        <v/>
      </c>
      <c r="D992" s="9">
        <f>IF('Data Source'!B992="","",'Data Source'!V992)</f>
        <v/>
      </c>
      <c r="E992" s="9">
        <f>IF('Data Source'!B992="","",'Data Source'!W992)</f>
        <v/>
      </c>
      <c r="F992" s="9">
        <f>IF('Data Source'!B992="","",'Data Source'!X992)</f>
        <v/>
      </c>
      <c r="G992" s="9">
        <f>IF('Data Source'!B992="","",'Data Source'!Y992)</f>
        <v/>
      </c>
      <c r="H992" s="9">
        <f>IF('Data Source'!B992="","",'Data Source'!Z992)</f>
        <v/>
      </c>
      <c r="I992" s="9">
        <f>IF('Data Source'!B992="","",'Data Source'!AA992)</f>
        <v/>
      </c>
      <c r="J992" s="9">
        <f>IF('Data Source'!B992="","",'Data Source'!AB992)</f>
        <v/>
      </c>
      <c r="K992" s="9">
        <f>IF('Data Source'!B992="","",'Data Source'!AC992)</f>
        <v/>
      </c>
      <c r="L992" s="9">
        <f>IF('Data Source'!B992="","",'Data Source'!AD992)</f>
        <v/>
      </c>
      <c r="M992" s="9">
        <f>IF('Data Source'!B992="","",'Data Source'!AE992)</f>
        <v/>
      </c>
      <c r="N992" s="9">
        <f>IF('Data Source'!B992="","",'Data Source'!AF992)</f>
        <v/>
      </c>
      <c r="O992" s="9">
        <f>IF('Data Source'!B992="","",'Data Source'!AG992)</f>
        <v/>
      </c>
      <c r="P992" s="5">
        <f>IF('Data Source'!B992="","",'Data Source'!R992)</f>
        <v/>
      </c>
      <c r="Q992" s="3">
        <f>IF('Data Source'!B992="","",'Data Source'!S992)</f>
        <v/>
      </c>
    </row>
    <row r="993">
      <c r="A993" s="3">
        <f>IF('Data Source'!B993="","",'Data Source'!A993)</f>
        <v/>
      </c>
      <c r="B993">
        <f>IF('Data Source'!B993="","",'Data Source'!B993)</f>
        <v/>
      </c>
      <c r="C993" s="9">
        <f>IF('Data Source'!B993="","",'Data Source'!U993)</f>
        <v/>
      </c>
      <c r="D993" s="9">
        <f>IF('Data Source'!B993="","",'Data Source'!V993)</f>
        <v/>
      </c>
      <c r="E993" s="9">
        <f>IF('Data Source'!B993="","",'Data Source'!W993)</f>
        <v/>
      </c>
      <c r="F993" s="9">
        <f>IF('Data Source'!B993="","",'Data Source'!X993)</f>
        <v/>
      </c>
      <c r="G993" s="9">
        <f>IF('Data Source'!B993="","",'Data Source'!Y993)</f>
        <v/>
      </c>
      <c r="H993" s="9">
        <f>IF('Data Source'!B993="","",'Data Source'!Z993)</f>
        <v/>
      </c>
      <c r="I993" s="9">
        <f>IF('Data Source'!B993="","",'Data Source'!AA993)</f>
        <v/>
      </c>
      <c r="J993" s="9">
        <f>IF('Data Source'!B993="","",'Data Source'!AB993)</f>
        <v/>
      </c>
      <c r="K993" s="9">
        <f>IF('Data Source'!B993="","",'Data Source'!AC993)</f>
        <v/>
      </c>
      <c r="L993" s="9">
        <f>IF('Data Source'!B993="","",'Data Source'!AD993)</f>
        <v/>
      </c>
      <c r="M993" s="9">
        <f>IF('Data Source'!B993="","",'Data Source'!AE993)</f>
        <v/>
      </c>
      <c r="N993" s="9">
        <f>IF('Data Source'!B993="","",'Data Source'!AF993)</f>
        <v/>
      </c>
      <c r="O993" s="9">
        <f>IF('Data Source'!B993="","",'Data Source'!AG993)</f>
        <v/>
      </c>
      <c r="P993" s="5">
        <f>IF('Data Source'!B993="","",'Data Source'!R993)</f>
        <v/>
      </c>
      <c r="Q993" s="3">
        <f>IF('Data Source'!B993="","",'Data Source'!S993)</f>
        <v/>
      </c>
    </row>
    <row r="994">
      <c r="A994" s="3">
        <f>IF('Data Source'!B994="","",'Data Source'!A994)</f>
        <v/>
      </c>
      <c r="B994">
        <f>IF('Data Source'!B994="","",'Data Source'!B994)</f>
        <v/>
      </c>
      <c r="C994" s="9">
        <f>IF('Data Source'!B994="","",'Data Source'!U994)</f>
        <v/>
      </c>
      <c r="D994" s="9">
        <f>IF('Data Source'!B994="","",'Data Source'!V994)</f>
        <v/>
      </c>
      <c r="E994" s="9">
        <f>IF('Data Source'!B994="","",'Data Source'!W994)</f>
        <v/>
      </c>
      <c r="F994" s="9">
        <f>IF('Data Source'!B994="","",'Data Source'!X994)</f>
        <v/>
      </c>
      <c r="G994" s="9">
        <f>IF('Data Source'!B994="","",'Data Source'!Y994)</f>
        <v/>
      </c>
      <c r="H994" s="9">
        <f>IF('Data Source'!B994="","",'Data Source'!Z994)</f>
        <v/>
      </c>
      <c r="I994" s="9">
        <f>IF('Data Source'!B994="","",'Data Source'!AA994)</f>
        <v/>
      </c>
      <c r="J994" s="9">
        <f>IF('Data Source'!B994="","",'Data Source'!AB994)</f>
        <v/>
      </c>
      <c r="K994" s="9">
        <f>IF('Data Source'!B994="","",'Data Source'!AC994)</f>
        <v/>
      </c>
      <c r="L994" s="9">
        <f>IF('Data Source'!B994="","",'Data Source'!AD994)</f>
        <v/>
      </c>
      <c r="M994" s="9">
        <f>IF('Data Source'!B994="","",'Data Source'!AE994)</f>
        <v/>
      </c>
      <c r="N994" s="9">
        <f>IF('Data Source'!B994="","",'Data Source'!AF994)</f>
        <v/>
      </c>
      <c r="O994" s="9">
        <f>IF('Data Source'!B994="","",'Data Source'!AG994)</f>
        <v/>
      </c>
      <c r="P994" s="5">
        <f>IF('Data Source'!B994="","",'Data Source'!R994)</f>
        <v/>
      </c>
      <c r="Q994" s="3">
        <f>IF('Data Source'!B994="","",'Data Source'!S994)</f>
        <v/>
      </c>
    </row>
    <row r="995">
      <c r="A995" s="3">
        <f>IF('Data Source'!B995="","",'Data Source'!A995)</f>
        <v/>
      </c>
      <c r="B995">
        <f>IF('Data Source'!B995="","",'Data Source'!B995)</f>
        <v/>
      </c>
      <c r="C995" s="9">
        <f>IF('Data Source'!B995="","",'Data Source'!U995)</f>
        <v/>
      </c>
      <c r="D995" s="9">
        <f>IF('Data Source'!B995="","",'Data Source'!V995)</f>
        <v/>
      </c>
      <c r="E995" s="9">
        <f>IF('Data Source'!B995="","",'Data Source'!W995)</f>
        <v/>
      </c>
      <c r="F995" s="9">
        <f>IF('Data Source'!B995="","",'Data Source'!X995)</f>
        <v/>
      </c>
      <c r="G995" s="9">
        <f>IF('Data Source'!B995="","",'Data Source'!Y995)</f>
        <v/>
      </c>
      <c r="H995" s="9">
        <f>IF('Data Source'!B995="","",'Data Source'!Z995)</f>
        <v/>
      </c>
      <c r="I995" s="9">
        <f>IF('Data Source'!B995="","",'Data Source'!AA995)</f>
        <v/>
      </c>
      <c r="J995" s="9">
        <f>IF('Data Source'!B995="","",'Data Source'!AB995)</f>
        <v/>
      </c>
      <c r="K995" s="9">
        <f>IF('Data Source'!B995="","",'Data Source'!AC995)</f>
        <v/>
      </c>
      <c r="L995" s="9">
        <f>IF('Data Source'!B995="","",'Data Source'!AD995)</f>
        <v/>
      </c>
      <c r="M995" s="9">
        <f>IF('Data Source'!B995="","",'Data Source'!AE995)</f>
        <v/>
      </c>
      <c r="N995" s="9">
        <f>IF('Data Source'!B995="","",'Data Source'!AF995)</f>
        <v/>
      </c>
      <c r="O995" s="9">
        <f>IF('Data Source'!B995="","",'Data Source'!AG995)</f>
        <v/>
      </c>
      <c r="P995" s="5">
        <f>IF('Data Source'!B995="","",'Data Source'!R995)</f>
        <v/>
      </c>
      <c r="Q995" s="3">
        <f>IF('Data Source'!B995="","",'Data Source'!S995)</f>
        <v/>
      </c>
    </row>
    <row r="996">
      <c r="A996" s="3">
        <f>IF('Data Source'!B996="","",'Data Source'!A996)</f>
        <v/>
      </c>
      <c r="B996">
        <f>IF('Data Source'!B996="","",'Data Source'!B996)</f>
        <v/>
      </c>
      <c r="C996" s="9">
        <f>IF('Data Source'!B996="","",'Data Source'!U996)</f>
        <v/>
      </c>
      <c r="D996" s="9">
        <f>IF('Data Source'!B996="","",'Data Source'!V996)</f>
        <v/>
      </c>
      <c r="E996" s="9">
        <f>IF('Data Source'!B996="","",'Data Source'!W996)</f>
        <v/>
      </c>
      <c r="F996" s="9">
        <f>IF('Data Source'!B996="","",'Data Source'!X996)</f>
        <v/>
      </c>
      <c r="G996" s="9">
        <f>IF('Data Source'!B996="","",'Data Source'!Y996)</f>
        <v/>
      </c>
      <c r="H996" s="9">
        <f>IF('Data Source'!B996="","",'Data Source'!Z996)</f>
        <v/>
      </c>
      <c r="I996" s="9">
        <f>IF('Data Source'!B996="","",'Data Source'!AA996)</f>
        <v/>
      </c>
      <c r="J996" s="9">
        <f>IF('Data Source'!B996="","",'Data Source'!AB996)</f>
        <v/>
      </c>
      <c r="K996" s="9">
        <f>IF('Data Source'!B996="","",'Data Source'!AC996)</f>
        <v/>
      </c>
      <c r="L996" s="9">
        <f>IF('Data Source'!B996="","",'Data Source'!AD996)</f>
        <v/>
      </c>
      <c r="M996" s="9">
        <f>IF('Data Source'!B996="","",'Data Source'!AE996)</f>
        <v/>
      </c>
      <c r="N996" s="9">
        <f>IF('Data Source'!B996="","",'Data Source'!AF996)</f>
        <v/>
      </c>
      <c r="O996" s="9">
        <f>IF('Data Source'!B996="","",'Data Source'!AG996)</f>
        <v/>
      </c>
      <c r="P996" s="5">
        <f>IF('Data Source'!B996="","",'Data Source'!R996)</f>
        <v/>
      </c>
      <c r="Q996" s="3">
        <f>IF('Data Source'!B996="","",'Data Source'!S996)</f>
        <v/>
      </c>
    </row>
    <row r="997">
      <c r="A997" s="3">
        <f>IF('Data Source'!B997="","",'Data Source'!A997)</f>
        <v/>
      </c>
      <c r="B997">
        <f>IF('Data Source'!B997="","",'Data Source'!B997)</f>
        <v/>
      </c>
      <c r="C997" s="9">
        <f>IF('Data Source'!B997="","",'Data Source'!U997)</f>
        <v/>
      </c>
      <c r="D997" s="9">
        <f>IF('Data Source'!B997="","",'Data Source'!V997)</f>
        <v/>
      </c>
      <c r="E997" s="9">
        <f>IF('Data Source'!B997="","",'Data Source'!W997)</f>
        <v/>
      </c>
      <c r="F997" s="9">
        <f>IF('Data Source'!B997="","",'Data Source'!X997)</f>
        <v/>
      </c>
      <c r="G997" s="9">
        <f>IF('Data Source'!B997="","",'Data Source'!Y997)</f>
        <v/>
      </c>
      <c r="H997" s="9">
        <f>IF('Data Source'!B997="","",'Data Source'!Z997)</f>
        <v/>
      </c>
      <c r="I997" s="9">
        <f>IF('Data Source'!B997="","",'Data Source'!AA997)</f>
        <v/>
      </c>
      <c r="J997" s="9">
        <f>IF('Data Source'!B997="","",'Data Source'!AB997)</f>
        <v/>
      </c>
      <c r="K997" s="9">
        <f>IF('Data Source'!B997="","",'Data Source'!AC997)</f>
        <v/>
      </c>
      <c r="L997" s="9">
        <f>IF('Data Source'!B997="","",'Data Source'!AD997)</f>
        <v/>
      </c>
      <c r="M997" s="9">
        <f>IF('Data Source'!B997="","",'Data Source'!AE997)</f>
        <v/>
      </c>
      <c r="N997" s="9">
        <f>IF('Data Source'!B997="","",'Data Source'!AF997)</f>
        <v/>
      </c>
      <c r="O997" s="9">
        <f>IF('Data Source'!B997="","",'Data Source'!AG997)</f>
        <v/>
      </c>
      <c r="P997" s="5">
        <f>IF('Data Source'!B997="","",'Data Source'!R997)</f>
        <v/>
      </c>
      <c r="Q997" s="3">
        <f>IF('Data Source'!B997="","",'Data Source'!S997)</f>
        <v/>
      </c>
    </row>
    <row r="998">
      <c r="A998" s="3">
        <f>IF('Data Source'!B998="","",'Data Source'!A998)</f>
        <v/>
      </c>
      <c r="B998">
        <f>IF('Data Source'!B998="","",'Data Source'!B998)</f>
        <v/>
      </c>
      <c r="C998" s="9">
        <f>IF('Data Source'!B998="","",'Data Source'!U998)</f>
        <v/>
      </c>
      <c r="D998" s="9">
        <f>IF('Data Source'!B998="","",'Data Source'!V998)</f>
        <v/>
      </c>
      <c r="E998" s="9">
        <f>IF('Data Source'!B998="","",'Data Source'!W998)</f>
        <v/>
      </c>
      <c r="F998" s="9">
        <f>IF('Data Source'!B998="","",'Data Source'!X998)</f>
        <v/>
      </c>
      <c r="G998" s="9">
        <f>IF('Data Source'!B998="","",'Data Source'!Y998)</f>
        <v/>
      </c>
      <c r="H998" s="9">
        <f>IF('Data Source'!B998="","",'Data Source'!Z998)</f>
        <v/>
      </c>
      <c r="I998" s="9">
        <f>IF('Data Source'!B998="","",'Data Source'!AA998)</f>
        <v/>
      </c>
      <c r="J998" s="9">
        <f>IF('Data Source'!B998="","",'Data Source'!AB998)</f>
        <v/>
      </c>
      <c r="K998" s="9">
        <f>IF('Data Source'!B998="","",'Data Source'!AC998)</f>
        <v/>
      </c>
      <c r="L998" s="9">
        <f>IF('Data Source'!B998="","",'Data Source'!AD998)</f>
        <v/>
      </c>
      <c r="M998" s="9">
        <f>IF('Data Source'!B998="","",'Data Source'!AE998)</f>
        <v/>
      </c>
      <c r="N998" s="9">
        <f>IF('Data Source'!B998="","",'Data Source'!AF998)</f>
        <v/>
      </c>
      <c r="O998" s="9">
        <f>IF('Data Source'!B998="","",'Data Source'!AG998)</f>
        <v/>
      </c>
      <c r="P998" s="5">
        <f>IF('Data Source'!B998="","",'Data Source'!R998)</f>
        <v/>
      </c>
      <c r="Q998" s="3">
        <f>IF('Data Source'!B998="","",'Data Source'!S998)</f>
        <v/>
      </c>
    </row>
    <row r="999">
      <c r="A999" s="3">
        <f>IF('Data Source'!B999="","",'Data Source'!A999)</f>
        <v/>
      </c>
      <c r="B999">
        <f>IF('Data Source'!B999="","",'Data Source'!B999)</f>
        <v/>
      </c>
      <c r="C999" s="9">
        <f>IF('Data Source'!B999="","",'Data Source'!U999)</f>
        <v/>
      </c>
      <c r="D999" s="9">
        <f>IF('Data Source'!B999="","",'Data Source'!V999)</f>
        <v/>
      </c>
      <c r="E999" s="9">
        <f>IF('Data Source'!B999="","",'Data Source'!W999)</f>
        <v/>
      </c>
      <c r="F999" s="9">
        <f>IF('Data Source'!B999="","",'Data Source'!X999)</f>
        <v/>
      </c>
      <c r="G999" s="9">
        <f>IF('Data Source'!B999="","",'Data Source'!Y999)</f>
        <v/>
      </c>
      <c r="H999" s="9">
        <f>IF('Data Source'!B999="","",'Data Source'!Z999)</f>
        <v/>
      </c>
      <c r="I999" s="9">
        <f>IF('Data Source'!B999="","",'Data Source'!AA999)</f>
        <v/>
      </c>
      <c r="J999" s="9">
        <f>IF('Data Source'!B999="","",'Data Source'!AB999)</f>
        <v/>
      </c>
      <c r="K999" s="9">
        <f>IF('Data Source'!B999="","",'Data Source'!AC999)</f>
        <v/>
      </c>
      <c r="L999" s="9">
        <f>IF('Data Source'!B999="","",'Data Source'!AD999)</f>
        <v/>
      </c>
      <c r="M999" s="9">
        <f>IF('Data Source'!B999="","",'Data Source'!AE999)</f>
        <v/>
      </c>
      <c r="N999" s="9">
        <f>IF('Data Source'!B999="","",'Data Source'!AF999)</f>
        <v/>
      </c>
      <c r="O999" s="9">
        <f>IF('Data Source'!B999="","",'Data Source'!AG999)</f>
        <v/>
      </c>
      <c r="P999" s="5">
        <f>IF('Data Source'!B999="","",'Data Source'!R999)</f>
        <v/>
      </c>
      <c r="Q999" s="3">
        <f>IF('Data Source'!B999="","",'Data Source'!S999)</f>
        <v/>
      </c>
    </row>
    <row r="1000">
      <c r="A1000" s="3">
        <f>IF('Data Source'!B1000="","",'Data Source'!A1000)</f>
        <v/>
      </c>
      <c r="B1000">
        <f>IF('Data Source'!B1000="","",'Data Source'!B1000)</f>
        <v/>
      </c>
      <c r="C1000" s="9">
        <f>IF('Data Source'!B1000="","",'Data Source'!U1000)</f>
        <v/>
      </c>
      <c r="D1000" s="9">
        <f>IF('Data Source'!B1000="","",'Data Source'!V1000)</f>
        <v/>
      </c>
      <c r="E1000" s="9">
        <f>IF('Data Source'!B1000="","",'Data Source'!W1000)</f>
        <v/>
      </c>
      <c r="F1000" s="9">
        <f>IF('Data Source'!B1000="","",'Data Source'!X1000)</f>
        <v/>
      </c>
      <c r="G1000" s="9">
        <f>IF('Data Source'!B1000="","",'Data Source'!Y1000)</f>
        <v/>
      </c>
      <c r="H1000" s="9">
        <f>IF('Data Source'!B1000="","",'Data Source'!Z1000)</f>
        <v/>
      </c>
      <c r="I1000" s="9">
        <f>IF('Data Source'!B1000="","",'Data Source'!AA1000)</f>
        <v/>
      </c>
      <c r="J1000" s="9">
        <f>IF('Data Source'!B1000="","",'Data Source'!AB1000)</f>
        <v/>
      </c>
      <c r="K1000" s="9">
        <f>IF('Data Source'!B1000="","",'Data Source'!AC1000)</f>
        <v/>
      </c>
      <c r="L1000" s="9">
        <f>IF('Data Source'!B1000="","",'Data Source'!AD1000)</f>
        <v/>
      </c>
      <c r="M1000" s="9">
        <f>IF('Data Source'!B1000="","",'Data Source'!AE1000)</f>
        <v/>
      </c>
      <c r="N1000" s="9">
        <f>IF('Data Source'!B1000="","",'Data Source'!AF1000)</f>
        <v/>
      </c>
      <c r="O1000" s="9">
        <f>IF('Data Source'!B1000="","",'Data Source'!AG1000)</f>
        <v/>
      </c>
      <c r="P1000" s="5">
        <f>IF('Data Source'!B1000="","",'Data Source'!R1000)</f>
        <v/>
      </c>
      <c r="Q1000" s="3">
        <f>IF('Data Source'!B1000="","",'Data Source'!S1000)</f>
        <v/>
      </c>
    </row>
    <row r="1001">
      <c r="A1001" s="3">
        <f>IF('Data Source'!B1001="","",'Data Source'!A1001)</f>
        <v/>
      </c>
      <c r="B1001">
        <f>IF('Data Source'!B1001="","",'Data Source'!B1001)</f>
        <v/>
      </c>
      <c r="C1001" s="9">
        <f>IF('Data Source'!B1001="","",'Data Source'!U1001)</f>
        <v/>
      </c>
      <c r="D1001" s="9">
        <f>IF('Data Source'!B1001="","",'Data Source'!V1001)</f>
        <v/>
      </c>
      <c r="E1001" s="9">
        <f>IF('Data Source'!B1001="","",'Data Source'!W1001)</f>
        <v/>
      </c>
      <c r="F1001" s="9">
        <f>IF('Data Source'!B1001="","",'Data Source'!X1001)</f>
        <v/>
      </c>
      <c r="G1001" s="9">
        <f>IF('Data Source'!B1001="","",'Data Source'!Y1001)</f>
        <v/>
      </c>
      <c r="H1001" s="9">
        <f>IF('Data Source'!B1001="","",'Data Source'!Z1001)</f>
        <v/>
      </c>
      <c r="I1001" s="9">
        <f>IF('Data Source'!B1001="","",'Data Source'!AA1001)</f>
        <v/>
      </c>
      <c r="J1001" s="9">
        <f>IF('Data Source'!B1001="","",'Data Source'!AB1001)</f>
        <v/>
      </c>
      <c r="K1001" s="9">
        <f>IF('Data Source'!B1001="","",'Data Source'!AC1001)</f>
        <v/>
      </c>
      <c r="L1001" s="9">
        <f>IF('Data Source'!B1001="","",'Data Source'!AD1001)</f>
        <v/>
      </c>
      <c r="M1001" s="9">
        <f>IF('Data Source'!B1001="","",'Data Source'!AE1001)</f>
        <v/>
      </c>
      <c r="N1001" s="9">
        <f>IF('Data Source'!B1001="","",'Data Source'!AF1001)</f>
        <v/>
      </c>
      <c r="O1001" s="9">
        <f>IF('Data Source'!B1001="","",'Data Source'!AG1001)</f>
        <v/>
      </c>
      <c r="P1001" s="5">
        <f>IF('Data Source'!B1001="","",'Data Source'!R1001)</f>
        <v/>
      </c>
      <c r="Q1001" s="3">
        <f>IF('Data Source'!B1001="","",'Data Source'!S1001)</f>
        <v/>
      </c>
    </row>
    <row r="1002">
      <c r="A1002" s="3">
        <f>IF('Data Source'!B1002="","",'Data Source'!A1002)</f>
        <v/>
      </c>
      <c r="B1002">
        <f>IF('Data Source'!B1002="","",'Data Source'!B1002)</f>
        <v/>
      </c>
      <c r="C1002" s="9">
        <f>IF('Data Source'!B1002="","",'Data Source'!U1002)</f>
        <v/>
      </c>
      <c r="D1002" s="9">
        <f>IF('Data Source'!B1002="","",'Data Source'!V1002)</f>
        <v/>
      </c>
      <c r="E1002" s="9">
        <f>IF('Data Source'!B1002="","",'Data Source'!W1002)</f>
        <v/>
      </c>
      <c r="F1002" s="9">
        <f>IF('Data Source'!B1002="","",'Data Source'!X1002)</f>
        <v/>
      </c>
      <c r="G1002" s="9">
        <f>IF('Data Source'!B1002="","",'Data Source'!Y1002)</f>
        <v/>
      </c>
      <c r="H1002" s="9">
        <f>IF('Data Source'!B1002="","",'Data Source'!Z1002)</f>
        <v/>
      </c>
      <c r="I1002" s="9">
        <f>IF('Data Source'!B1002="","",'Data Source'!AA1002)</f>
        <v/>
      </c>
      <c r="J1002" s="9">
        <f>IF('Data Source'!B1002="","",'Data Source'!AB1002)</f>
        <v/>
      </c>
      <c r="K1002" s="9">
        <f>IF('Data Source'!B1002="","",'Data Source'!AC1002)</f>
        <v/>
      </c>
      <c r="L1002" s="9">
        <f>IF('Data Source'!B1002="","",'Data Source'!AD1002)</f>
        <v/>
      </c>
      <c r="M1002" s="9">
        <f>IF('Data Source'!B1002="","",'Data Source'!AE1002)</f>
        <v/>
      </c>
      <c r="N1002" s="9">
        <f>IF('Data Source'!B1002="","",'Data Source'!AF1002)</f>
        <v/>
      </c>
      <c r="O1002" s="9">
        <f>IF('Data Source'!B1002="","",'Data Source'!AG1002)</f>
        <v/>
      </c>
      <c r="P1002" s="5">
        <f>IF('Data Source'!B1002="","",'Data Source'!R1002)</f>
        <v/>
      </c>
      <c r="Q1002" s="3">
        <f>IF('Data Source'!B1002="","",'Data Source'!S1002)</f>
        <v/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 ht="30" customHeight="1">
      <c r="A1" s="1" t="inlineStr">
        <is>
          <t>SUBJECT-WISE GRADES</t>
        </is>
      </c>
    </row>
    <row r="2">
      <c r="A2" s="2" t="inlineStr">
        <is>
          <t>SL</t>
        </is>
      </c>
      <c r="B2" s="2" t="inlineStr">
        <is>
          <t>Name</t>
        </is>
      </c>
      <c r="C2" s="2" t="inlineStr">
        <is>
          <t>Quran</t>
        </is>
      </c>
      <c r="D2" s="2" t="inlineStr">
        <is>
          <t>English I</t>
        </is>
      </c>
      <c r="E2" s="2" t="inlineStr">
        <is>
          <t>English II</t>
        </is>
      </c>
      <c r="F2" s="2" t="inlineStr">
        <is>
          <t>Bangla I</t>
        </is>
      </c>
      <c r="G2" s="2" t="inlineStr">
        <is>
          <t>Bangla II</t>
        </is>
      </c>
      <c r="H2" s="2" t="inlineStr">
        <is>
          <t>Science</t>
        </is>
      </c>
      <c r="I2" s="2" t="inlineStr">
        <is>
          <t>Mathematics</t>
        </is>
      </c>
      <c r="J2" s="2" t="inlineStr">
        <is>
          <t>General Knowledge</t>
        </is>
      </c>
      <c r="K2" s="2" t="inlineStr">
        <is>
          <t>Arabic I</t>
        </is>
      </c>
      <c r="L2" s="2" t="inlineStr">
        <is>
          <t>Arabic II</t>
        </is>
      </c>
      <c r="M2" s="2" t="inlineStr">
        <is>
          <t>Aqaid</t>
        </is>
      </c>
      <c r="N2" s="2" t="inlineStr">
        <is>
          <t>ICT</t>
        </is>
      </c>
      <c r="O2" s="2" t="inlineStr">
        <is>
          <t>Bangladesh and Global Studies</t>
        </is>
      </c>
      <c r="P2" s="2" t="inlineStr">
        <is>
          <t>Overall GPA</t>
        </is>
      </c>
      <c r="Q2" s="2" t="inlineStr">
        <is>
          <t>Grade</t>
        </is>
      </c>
    </row>
    <row r="3">
      <c r="A3" s="3">
        <f>IF('Data Source'!B3="","",'Data Source'!A3)</f>
        <v/>
      </c>
      <c r="B3">
        <f>IF('Data Source'!B3="","",'Data Source'!B3)</f>
        <v/>
      </c>
      <c r="C3" s="3">
        <f>IF('Data Source'!B3="","",IF('Data Source'!U3&gt;=5,"A+",IF('Data Source'!U3&gt;=4,"A",IF('Data Source'!U3&gt;=3.5,"A-",IF('Data Source'!U3&gt;=3,"B",IF('Data Source'!U3&gt;=2,"C",IF('Data Source'!U3&gt;=1,"D","F")))))))</f>
        <v/>
      </c>
      <c r="D3" s="3">
        <f>IF('Data Source'!B3="","",IF('Data Source'!V3&gt;=5,"A+",IF('Data Source'!V3&gt;=4,"A",IF('Data Source'!V3&gt;=3.5,"A-",IF('Data Source'!V3&gt;=3,"B",IF('Data Source'!V3&gt;=2,"C",IF('Data Source'!V3&gt;=1,"D","F")))))))</f>
        <v/>
      </c>
      <c r="E3" s="3">
        <f>IF('Data Source'!B3="","",IF('Data Source'!W3&gt;=5,"A+",IF('Data Source'!W3&gt;=4,"A",IF('Data Source'!W3&gt;=3.5,"A-",IF('Data Source'!W3&gt;=3,"B",IF('Data Source'!W3&gt;=2,"C",IF('Data Source'!W3&gt;=1,"D","F")))))))</f>
        <v/>
      </c>
      <c r="F3" s="3">
        <f>IF('Data Source'!B3="","",IF('Data Source'!X3&gt;=5,"A+",IF('Data Source'!X3&gt;=4,"A",IF('Data Source'!X3&gt;=3.5,"A-",IF('Data Source'!X3&gt;=3,"B",IF('Data Source'!X3&gt;=2,"C",IF('Data Source'!X3&gt;=1,"D","F")))))))</f>
        <v/>
      </c>
      <c r="G3" s="3">
        <f>IF('Data Source'!B3="","",IF('Data Source'!Y3&gt;=5,"A+",IF('Data Source'!Y3&gt;=4,"A",IF('Data Source'!Y3&gt;=3.5,"A-",IF('Data Source'!Y3&gt;=3,"B",IF('Data Source'!Y3&gt;=2,"C",IF('Data Source'!Y3&gt;=1,"D","F")))))))</f>
        <v/>
      </c>
      <c r="H3" s="3">
        <f>IF('Data Source'!B3="","",IF('Data Source'!Z3&gt;=5,"A+",IF('Data Source'!Z3&gt;=4,"A",IF('Data Source'!Z3&gt;=3.5,"A-",IF('Data Source'!Z3&gt;=3,"B",IF('Data Source'!Z3&gt;=2,"C",IF('Data Source'!Z3&gt;=1,"D","F")))))))</f>
        <v/>
      </c>
      <c r="I3" s="3">
        <f>IF('Data Source'!B3="","",IF('Data Source'!AA3&gt;=5,"A+",IF('Data Source'!AA3&gt;=4,"A",IF('Data Source'!AA3&gt;=3.5,"A-",IF('Data Source'!AA3&gt;=3,"B",IF('Data Source'!AA3&gt;=2,"C",IF('Data Source'!AA3&gt;=1,"D","F")))))))</f>
        <v/>
      </c>
      <c r="J3" s="3">
        <f>IF('Data Source'!B3="","",IF('Data Source'!AB3&gt;=5,"A+",IF('Data Source'!AB3&gt;=4,"A",IF('Data Source'!AB3&gt;=3.5,"A-",IF('Data Source'!AB3&gt;=3,"B",IF('Data Source'!AB3&gt;=2,"C",IF('Data Source'!AB3&gt;=1,"D","F")))))))</f>
        <v/>
      </c>
      <c r="K3" s="3">
        <f>IF('Data Source'!B3="","",IF('Data Source'!AC3&gt;=5,"A+",IF('Data Source'!AC3&gt;=4,"A",IF('Data Source'!AC3&gt;=3.5,"A-",IF('Data Source'!AC3&gt;=3,"B",IF('Data Source'!AC3&gt;=2,"C",IF('Data Source'!AC3&gt;=1,"D","F")))))))</f>
        <v/>
      </c>
      <c r="L3" s="3">
        <f>IF('Data Source'!B3="","",IF('Data Source'!AD3&gt;=5,"A+",IF('Data Source'!AD3&gt;=4,"A",IF('Data Source'!AD3&gt;=3.5,"A-",IF('Data Source'!AD3&gt;=3,"B",IF('Data Source'!AD3&gt;=2,"C",IF('Data Source'!AD3&gt;=1,"D","F")))))))</f>
        <v/>
      </c>
      <c r="M3" s="3">
        <f>IF('Data Source'!B3="","",IF('Data Source'!AE3&gt;=5,"A+",IF('Data Source'!AE3&gt;=4,"A",IF('Data Source'!AE3&gt;=3.5,"A-",IF('Data Source'!AE3&gt;=3,"B",IF('Data Source'!AE3&gt;=2,"C",IF('Data Source'!AE3&gt;=1,"D","F")))))))</f>
        <v/>
      </c>
      <c r="N3" s="3">
        <f>IF('Data Source'!B3="","",IF('Data Source'!AF3&gt;=5,"A+",IF('Data Source'!AF3&gt;=4,"A",IF('Data Source'!AF3&gt;=3.5,"A-",IF('Data Source'!AF3&gt;=3,"B",IF('Data Source'!AF3&gt;=2,"C",IF('Data Source'!AF3&gt;=1,"D","F")))))))</f>
        <v/>
      </c>
      <c r="O3" s="3">
        <f>IF('Data Source'!B3="","",IF('Data Source'!AG3&gt;=5,"A+",IF('Data Source'!AG3&gt;=4,"A",IF('Data Source'!AG3&gt;=3.5,"A-",IF('Data Source'!AG3&gt;=3,"B",IF('Data Source'!AG3&gt;=2,"C",IF('Data Source'!AG3&gt;=1,"D","F")))))))</f>
        <v/>
      </c>
      <c r="P3" s="5">
        <f>IF('Data Source'!B3="","",'Data Source'!R3)</f>
        <v/>
      </c>
      <c r="Q3" s="3">
        <f>IF('Data Source'!B3="","",'Data Source'!S3)</f>
        <v/>
      </c>
    </row>
    <row r="4">
      <c r="A4" s="3">
        <f>IF('Data Source'!B4="","",'Data Source'!A4)</f>
        <v/>
      </c>
      <c r="B4">
        <f>IF('Data Source'!B4="","",'Data Source'!B4)</f>
        <v/>
      </c>
      <c r="C4" s="3">
        <f>IF('Data Source'!B4="","",IF('Data Source'!U4&gt;=5,"A+",IF('Data Source'!U4&gt;=4,"A",IF('Data Source'!U4&gt;=3.5,"A-",IF('Data Source'!U4&gt;=3,"B",IF('Data Source'!U4&gt;=2,"C",IF('Data Source'!U4&gt;=1,"D","F")))))))</f>
        <v/>
      </c>
      <c r="D4" s="3">
        <f>IF('Data Source'!B4="","",IF('Data Source'!V4&gt;=5,"A+",IF('Data Source'!V4&gt;=4,"A",IF('Data Source'!V4&gt;=3.5,"A-",IF('Data Source'!V4&gt;=3,"B",IF('Data Source'!V4&gt;=2,"C",IF('Data Source'!V4&gt;=1,"D","F")))))))</f>
        <v/>
      </c>
      <c r="E4" s="3">
        <f>IF('Data Source'!B4="","",IF('Data Source'!W4&gt;=5,"A+",IF('Data Source'!W4&gt;=4,"A",IF('Data Source'!W4&gt;=3.5,"A-",IF('Data Source'!W4&gt;=3,"B",IF('Data Source'!W4&gt;=2,"C",IF('Data Source'!W4&gt;=1,"D","F")))))))</f>
        <v/>
      </c>
      <c r="F4" s="3">
        <f>IF('Data Source'!B4="","",IF('Data Source'!X4&gt;=5,"A+",IF('Data Source'!X4&gt;=4,"A",IF('Data Source'!X4&gt;=3.5,"A-",IF('Data Source'!X4&gt;=3,"B",IF('Data Source'!X4&gt;=2,"C",IF('Data Source'!X4&gt;=1,"D","F")))))))</f>
        <v/>
      </c>
      <c r="G4" s="3">
        <f>IF('Data Source'!B4="","",IF('Data Source'!Y4&gt;=5,"A+",IF('Data Source'!Y4&gt;=4,"A",IF('Data Source'!Y4&gt;=3.5,"A-",IF('Data Source'!Y4&gt;=3,"B",IF('Data Source'!Y4&gt;=2,"C",IF('Data Source'!Y4&gt;=1,"D","F")))))))</f>
        <v/>
      </c>
      <c r="H4" s="3">
        <f>IF('Data Source'!B4="","",IF('Data Source'!Z4&gt;=5,"A+",IF('Data Source'!Z4&gt;=4,"A",IF('Data Source'!Z4&gt;=3.5,"A-",IF('Data Source'!Z4&gt;=3,"B",IF('Data Source'!Z4&gt;=2,"C",IF('Data Source'!Z4&gt;=1,"D","F")))))))</f>
        <v/>
      </c>
      <c r="I4" s="3">
        <f>IF('Data Source'!B4="","",IF('Data Source'!AA4&gt;=5,"A+",IF('Data Source'!AA4&gt;=4,"A",IF('Data Source'!AA4&gt;=3.5,"A-",IF('Data Source'!AA4&gt;=3,"B",IF('Data Source'!AA4&gt;=2,"C",IF('Data Source'!AA4&gt;=1,"D","F")))))))</f>
        <v/>
      </c>
      <c r="J4" s="3">
        <f>IF('Data Source'!B4="","",IF('Data Source'!AB4&gt;=5,"A+",IF('Data Source'!AB4&gt;=4,"A",IF('Data Source'!AB4&gt;=3.5,"A-",IF('Data Source'!AB4&gt;=3,"B",IF('Data Source'!AB4&gt;=2,"C",IF('Data Source'!AB4&gt;=1,"D","F")))))))</f>
        <v/>
      </c>
      <c r="K4" s="3">
        <f>IF('Data Source'!B4="","",IF('Data Source'!AC4&gt;=5,"A+",IF('Data Source'!AC4&gt;=4,"A",IF('Data Source'!AC4&gt;=3.5,"A-",IF('Data Source'!AC4&gt;=3,"B",IF('Data Source'!AC4&gt;=2,"C",IF('Data Source'!AC4&gt;=1,"D","F")))))))</f>
        <v/>
      </c>
      <c r="L4" s="3">
        <f>IF('Data Source'!B4="","",IF('Data Source'!AD4&gt;=5,"A+",IF('Data Source'!AD4&gt;=4,"A",IF('Data Source'!AD4&gt;=3.5,"A-",IF('Data Source'!AD4&gt;=3,"B",IF('Data Source'!AD4&gt;=2,"C",IF('Data Source'!AD4&gt;=1,"D","F")))))))</f>
        <v/>
      </c>
      <c r="M4" s="3">
        <f>IF('Data Source'!B4="","",IF('Data Source'!AE4&gt;=5,"A+",IF('Data Source'!AE4&gt;=4,"A",IF('Data Source'!AE4&gt;=3.5,"A-",IF('Data Source'!AE4&gt;=3,"B",IF('Data Source'!AE4&gt;=2,"C",IF('Data Source'!AE4&gt;=1,"D","F")))))))</f>
        <v/>
      </c>
      <c r="N4" s="3">
        <f>IF('Data Source'!B4="","",IF('Data Source'!AF4&gt;=5,"A+",IF('Data Source'!AF4&gt;=4,"A",IF('Data Source'!AF4&gt;=3.5,"A-",IF('Data Source'!AF4&gt;=3,"B",IF('Data Source'!AF4&gt;=2,"C",IF('Data Source'!AF4&gt;=1,"D","F")))))))</f>
        <v/>
      </c>
      <c r="O4" s="3">
        <f>IF('Data Source'!B4="","",IF('Data Source'!AG4&gt;=5,"A+",IF('Data Source'!AG4&gt;=4,"A",IF('Data Source'!AG4&gt;=3.5,"A-",IF('Data Source'!AG4&gt;=3,"B",IF('Data Source'!AG4&gt;=2,"C",IF('Data Source'!AG4&gt;=1,"D","F")))))))</f>
        <v/>
      </c>
      <c r="P4" s="5">
        <f>IF('Data Source'!B4="","",'Data Source'!R4)</f>
        <v/>
      </c>
      <c r="Q4" s="3">
        <f>IF('Data Source'!B4="","",'Data Source'!S4)</f>
        <v/>
      </c>
    </row>
    <row r="5">
      <c r="A5" s="3">
        <f>IF('Data Source'!B5="","",'Data Source'!A5)</f>
        <v/>
      </c>
      <c r="B5">
        <f>IF('Data Source'!B5="","",'Data Source'!B5)</f>
        <v/>
      </c>
      <c r="C5" s="3">
        <f>IF('Data Source'!B5="","",IF('Data Source'!U5&gt;=5,"A+",IF('Data Source'!U5&gt;=4,"A",IF('Data Source'!U5&gt;=3.5,"A-",IF('Data Source'!U5&gt;=3,"B",IF('Data Source'!U5&gt;=2,"C",IF('Data Source'!U5&gt;=1,"D","F")))))))</f>
        <v/>
      </c>
      <c r="D5" s="3">
        <f>IF('Data Source'!B5="","",IF('Data Source'!V5&gt;=5,"A+",IF('Data Source'!V5&gt;=4,"A",IF('Data Source'!V5&gt;=3.5,"A-",IF('Data Source'!V5&gt;=3,"B",IF('Data Source'!V5&gt;=2,"C",IF('Data Source'!V5&gt;=1,"D","F")))))))</f>
        <v/>
      </c>
      <c r="E5" s="3">
        <f>IF('Data Source'!B5="","",IF('Data Source'!W5&gt;=5,"A+",IF('Data Source'!W5&gt;=4,"A",IF('Data Source'!W5&gt;=3.5,"A-",IF('Data Source'!W5&gt;=3,"B",IF('Data Source'!W5&gt;=2,"C",IF('Data Source'!W5&gt;=1,"D","F")))))))</f>
        <v/>
      </c>
      <c r="F5" s="3">
        <f>IF('Data Source'!B5="","",IF('Data Source'!X5&gt;=5,"A+",IF('Data Source'!X5&gt;=4,"A",IF('Data Source'!X5&gt;=3.5,"A-",IF('Data Source'!X5&gt;=3,"B",IF('Data Source'!X5&gt;=2,"C",IF('Data Source'!X5&gt;=1,"D","F")))))))</f>
        <v/>
      </c>
      <c r="G5" s="3">
        <f>IF('Data Source'!B5="","",IF('Data Source'!Y5&gt;=5,"A+",IF('Data Source'!Y5&gt;=4,"A",IF('Data Source'!Y5&gt;=3.5,"A-",IF('Data Source'!Y5&gt;=3,"B",IF('Data Source'!Y5&gt;=2,"C",IF('Data Source'!Y5&gt;=1,"D","F")))))))</f>
        <v/>
      </c>
      <c r="H5" s="3">
        <f>IF('Data Source'!B5="","",IF('Data Source'!Z5&gt;=5,"A+",IF('Data Source'!Z5&gt;=4,"A",IF('Data Source'!Z5&gt;=3.5,"A-",IF('Data Source'!Z5&gt;=3,"B",IF('Data Source'!Z5&gt;=2,"C",IF('Data Source'!Z5&gt;=1,"D","F")))))))</f>
        <v/>
      </c>
      <c r="I5" s="3">
        <f>IF('Data Source'!B5="","",IF('Data Source'!AA5&gt;=5,"A+",IF('Data Source'!AA5&gt;=4,"A",IF('Data Source'!AA5&gt;=3.5,"A-",IF('Data Source'!AA5&gt;=3,"B",IF('Data Source'!AA5&gt;=2,"C",IF('Data Source'!AA5&gt;=1,"D","F")))))))</f>
        <v/>
      </c>
      <c r="J5" s="3">
        <f>IF('Data Source'!B5="","",IF('Data Source'!AB5&gt;=5,"A+",IF('Data Source'!AB5&gt;=4,"A",IF('Data Source'!AB5&gt;=3.5,"A-",IF('Data Source'!AB5&gt;=3,"B",IF('Data Source'!AB5&gt;=2,"C",IF('Data Source'!AB5&gt;=1,"D","F")))))))</f>
        <v/>
      </c>
      <c r="K5" s="3">
        <f>IF('Data Source'!B5="","",IF('Data Source'!AC5&gt;=5,"A+",IF('Data Source'!AC5&gt;=4,"A",IF('Data Source'!AC5&gt;=3.5,"A-",IF('Data Source'!AC5&gt;=3,"B",IF('Data Source'!AC5&gt;=2,"C",IF('Data Source'!AC5&gt;=1,"D","F")))))))</f>
        <v/>
      </c>
      <c r="L5" s="3">
        <f>IF('Data Source'!B5="","",IF('Data Source'!AD5&gt;=5,"A+",IF('Data Source'!AD5&gt;=4,"A",IF('Data Source'!AD5&gt;=3.5,"A-",IF('Data Source'!AD5&gt;=3,"B",IF('Data Source'!AD5&gt;=2,"C",IF('Data Source'!AD5&gt;=1,"D","F")))))))</f>
        <v/>
      </c>
      <c r="M5" s="3">
        <f>IF('Data Source'!B5="","",IF('Data Source'!AE5&gt;=5,"A+",IF('Data Source'!AE5&gt;=4,"A",IF('Data Source'!AE5&gt;=3.5,"A-",IF('Data Source'!AE5&gt;=3,"B",IF('Data Source'!AE5&gt;=2,"C",IF('Data Source'!AE5&gt;=1,"D","F")))))))</f>
        <v/>
      </c>
      <c r="N5" s="3">
        <f>IF('Data Source'!B5="","",IF('Data Source'!AF5&gt;=5,"A+",IF('Data Source'!AF5&gt;=4,"A",IF('Data Source'!AF5&gt;=3.5,"A-",IF('Data Source'!AF5&gt;=3,"B",IF('Data Source'!AF5&gt;=2,"C",IF('Data Source'!AF5&gt;=1,"D","F")))))))</f>
        <v/>
      </c>
      <c r="O5" s="3">
        <f>IF('Data Source'!B5="","",IF('Data Source'!AG5&gt;=5,"A+",IF('Data Source'!AG5&gt;=4,"A",IF('Data Source'!AG5&gt;=3.5,"A-",IF('Data Source'!AG5&gt;=3,"B",IF('Data Source'!AG5&gt;=2,"C",IF('Data Source'!AG5&gt;=1,"D","F")))))))</f>
        <v/>
      </c>
      <c r="P5" s="5">
        <f>IF('Data Source'!B5="","",'Data Source'!R5)</f>
        <v/>
      </c>
      <c r="Q5" s="3">
        <f>IF('Data Source'!B5="","",'Data Source'!S5)</f>
        <v/>
      </c>
    </row>
    <row r="6">
      <c r="A6" s="3">
        <f>IF('Data Source'!B6="","",'Data Source'!A6)</f>
        <v/>
      </c>
      <c r="B6">
        <f>IF('Data Source'!B6="","",'Data Source'!B6)</f>
        <v/>
      </c>
      <c r="C6" s="3">
        <f>IF('Data Source'!B6="","",IF('Data Source'!U6&gt;=5,"A+",IF('Data Source'!U6&gt;=4,"A",IF('Data Source'!U6&gt;=3.5,"A-",IF('Data Source'!U6&gt;=3,"B",IF('Data Source'!U6&gt;=2,"C",IF('Data Source'!U6&gt;=1,"D","F")))))))</f>
        <v/>
      </c>
      <c r="D6" s="3">
        <f>IF('Data Source'!B6="","",IF('Data Source'!V6&gt;=5,"A+",IF('Data Source'!V6&gt;=4,"A",IF('Data Source'!V6&gt;=3.5,"A-",IF('Data Source'!V6&gt;=3,"B",IF('Data Source'!V6&gt;=2,"C",IF('Data Source'!V6&gt;=1,"D","F")))))))</f>
        <v/>
      </c>
      <c r="E6" s="3">
        <f>IF('Data Source'!B6="","",IF('Data Source'!W6&gt;=5,"A+",IF('Data Source'!W6&gt;=4,"A",IF('Data Source'!W6&gt;=3.5,"A-",IF('Data Source'!W6&gt;=3,"B",IF('Data Source'!W6&gt;=2,"C",IF('Data Source'!W6&gt;=1,"D","F")))))))</f>
        <v/>
      </c>
      <c r="F6" s="3">
        <f>IF('Data Source'!B6="","",IF('Data Source'!X6&gt;=5,"A+",IF('Data Source'!X6&gt;=4,"A",IF('Data Source'!X6&gt;=3.5,"A-",IF('Data Source'!X6&gt;=3,"B",IF('Data Source'!X6&gt;=2,"C",IF('Data Source'!X6&gt;=1,"D","F")))))))</f>
        <v/>
      </c>
      <c r="G6" s="3">
        <f>IF('Data Source'!B6="","",IF('Data Source'!Y6&gt;=5,"A+",IF('Data Source'!Y6&gt;=4,"A",IF('Data Source'!Y6&gt;=3.5,"A-",IF('Data Source'!Y6&gt;=3,"B",IF('Data Source'!Y6&gt;=2,"C",IF('Data Source'!Y6&gt;=1,"D","F")))))))</f>
        <v/>
      </c>
      <c r="H6" s="3">
        <f>IF('Data Source'!B6="","",IF('Data Source'!Z6&gt;=5,"A+",IF('Data Source'!Z6&gt;=4,"A",IF('Data Source'!Z6&gt;=3.5,"A-",IF('Data Source'!Z6&gt;=3,"B",IF('Data Source'!Z6&gt;=2,"C",IF('Data Source'!Z6&gt;=1,"D","F")))))))</f>
        <v/>
      </c>
      <c r="I6" s="3">
        <f>IF('Data Source'!B6="","",IF('Data Source'!AA6&gt;=5,"A+",IF('Data Source'!AA6&gt;=4,"A",IF('Data Source'!AA6&gt;=3.5,"A-",IF('Data Source'!AA6&gt;=3,"B",IF('Data Source'!AA6&gt;=2,"C",IF('Data Source'!AA6&gt;=1,"D","F")))))))</f>
        <v/>
      </c>
      <c r="J6" s="3">
        <f>IF('Data Source'!B6="","",IF('Data Source'!AB6&gt;=5,"A+",IF('Data Source'!AB6&gt;=4,"A",IF('Data Source'!AB6&gt;=3.5,"A-",IF('Data Source'!AB6&gt;=3,"B",IF('Data Source'!AB6&gt;=2,"C",IF('Data Source'!AB6&gt;=1,"D","F")))))))</f>
        <v/>
      </c>
      <c r="K6" s="3">
        <f>IF('Data Source'!B6="","",IF('Data Source'!AC6&gt;=5,"A+",IF('Data Source'!AC6&gt;=4,"A",IF('Data Source'!AC6&gt;=3.5,"A-",IF('Data Source'!AC6&gt;=3,"B",IF('Data Source'!AC6&gt;=2,"C",IF('Data Source'!AC6&gt;=1,"D","F")))))))</f>
        <v/>
      </c>
      <c r="L6" s="3">
        <f>IF('Data Source'!B6="","",IF('Data Source'!AD6&gt;=5,"A+",IF('Data Source'!AD6&gt;=4,"A",IF('Data Source'!AD6&gt;=3.5,"A-",IF('Data Source'!AD6&gt;=3,"B",IF('Data Source'!AD6&gt;=2,"C",IF('Data Source'!AD6&gt;=1,"D","F")))))))</f>
        <v/>
      </c>
      <c r="M6" s="3">
        <f>IF('Data Source'!B6="","",IF('Data Source'!AE6&gt;=5,"A+",IF('Data Source'!AE6&gt;=4,"A",IF('Data Source'!AE6&gt;=3.5,"A-",IF('Data Source'!AE6&gt;=3,"B",IF('Data Source'!AE6&gt;=2,"C",IF('Data Source'!AE6&gt;=1,"D","F")))))))</f>
        <v/>
      </c>
      <c r="N6" s="3">
        <f>IF('Data Source'!B6="","",IF('Data Source'!AF6&gt;=5,"A+",IF('Data Source'!AF6&gt;=4,"A",IF('Data Source'!AF6&gt;=3.5,"A-",IF('Data Source'!AF6&gt;=3,"B",IF('Data Source'!AF6&gt;=2,"C",IF('Data Source'!AF6&gt;=1,"D","F")))))))</f>
        <v/>
      </c>
      <c r="O6" s="3">
        <f>IF('Data Source'!B6="","",IF('Data Source'!AG6&gt;=5,"A+",IF('Data Source'!AG6&gt;=4,"A",IF('Data Source'!AG6&gt;=3.5,"A-",IF('Data Source'!AG6&gt;=3,"B",IF('Data Source'!AG6&gt;=2,"C",IF('Data Source'!AG6&gt;=1,"D","F")))))))</f>
        <v/>
      </c>
      <c r="P6" s="5">
        <f>IF('Data Source'!B6="","",'Data Source'!R6)</f>
        <v/>
      </c>
      <c r="Q6" s="3">
        <f>IF('Data Source'!B6="","",'Data Source'!S6)</f>
        <v/>
      </c>
    </row>
    <row r="7">
      <c r="A7" s="3">
        <f>IF('Data Source'!B7="","",'Data Source'!A7)</f>
        <v/>
      </c>
      <c r="B7">
        <f>IF('Data Source'!B7="","",'Data Source'!B7)</f>
        <v/>
      </c>
      <c r="C7" s="3">
        <f>IF('Data Source'!B7="","",IF('Data Source'!U7&gt;=5,"A+",IF('Data Source'!U7&gt;=4,"A",IF('Data Source'!U7&gt;=3.5,"A-",IF('Data Source'!U7&gt;=3,"B",IF('Data Source'!U7&gt;=2,"C",IF('Data Source'!U7&gt;=1,"D","F")))))))</f>
        <v/>
      </c>
      <c r="D7" s="3">
        <f>IF('Data Source'!B7="","",IF('Data Source'!V7&gt;=5,"A+",IF('Data Source'!V7&gt;=4,"A",IF('Data Source'!V7&gt;=3.5,"A-",IF('Data Source'!V7&gt;=3,"B",IF('Data Source'!V7&gt;=2,"C",IF('Data Source'!V7&gt;=1,"D","F")))))))</f>
        <v/>
      </c>
      <c r="E7" s="3">
        <f>IF('Data Source'!B7="","",IF('Data Source'!W7&gt;=5,"A+",IF('Data Source'!W7&gt;=4,"A",IF('Data Source'!W7&gt;=3.5,"A-",IF('Data Source'!W7&gt;=3,"B",IF('Data Source'!W7&gt;=2,"C",IF('Data Source'!W7&gt;=1,"D","F")))))))</f>
        <v/>
      </c>
      <c r="F7" s="3">
        <f>IF('Data Source'!B7="","",IF('Data Source'!X7&gt;=5,"A+",IF('Data Source'!X7&gt;=4,"A",IF('Data Source'!X7&gt;=3.5,"A-",IF('Data Source'!X7&gt;=3,"B",IF('Data Source'!X7&gt;=2,"C",IF('Data Source'!X7&gt;=1,"D","F")))))))</f>
        <v/>
      </c>
      <c r="G7" s="3">
        <f>IF('Data Source'!B7="","",IF('Data Source'!Y7&gt;=5,"A+",IF('Data Source'!Y7&gt;=4,"A",IF('Data Source'!Y7&gt;=3.5,"A-",IF('Data Source'!Y7&gt;=3,"B",IF('Data Source'!Y7&gt;=2,"C",IF('Data Source'!Y7&gt;=1,"D","F")))))))</f>
        <v/>
      </c>
      <c r="H7" s="3">
        <f>IF('Data Source'!B7="","",IF('Data Source'!Z7&gt;=5,"A+",IF('Data Source'!Z7&gt;=4,"A",IF('Data Source'!Z7&gt;=3.5,"A-",IF('Data Source'!Z7&gt;=3,"B",IF('Data Source'!Z7&gt;=2,"C",IF('Data Source'!Z7&gt;=1,"D","F")))))))</f>
        <v/>
      </c>
      <c r="I7" s="3">
        <f>IF('Data Source'!B7="","",IF('Data Source'!AA7&gt;=5,"A+",IF('Data Source'!AA7&gt;=4,"A",IF('Data Source'!AA7&gt;=3.5,"A-",IF('Data Source'!AA7&gt;=3,"B",IF('Data Source'!AA7&gt;=2,"C",IF('Data Source'!AA7&gt;=1,"D","F")))))))</f>
        <v/>
      </c>
      <c r="J7" s="3">
        <f>IF('Data Source'!B7="","",IF('Data Source'!AB7&gt;=5,"A+",IF('Data Source'!AB7&gt;=4,"A",IF('Data Source'!AB7&gt;=3.5,"A-",IF('Data Source'!AB7&gt;=3,"B",IF('Data Source'!AB7&gt;=2,"C",IF('Data Source'!AB7&gt;=1,"D","F")))))))</f>
        <v/>
      </c>
      <c r="K7" s="3">
        <f>IF('Data Source'!B7="","",IF('Data Source'!AC7&gt;=5,"A+",IF('Data Source'!AC7&gt;=4,"A",IF('Data Source'!AC7&gt;=3.5,"A-",IF('Data Source'!AC7&gt;=3,"B",IF('Data Source'!AC7&gt;=2,"C",IF('Data Source'!AC7&gt;=1,"D","F")))))))</f>
        <v/>
      </c>
      <c r="L7" s="3">
        <f>IF('Data Source'!B7="","",IF('Data Source'!AD7&gt;=5,"A+",IF('Data Source'!AD7&gt;=4,"A",IF('Data Source'!AD7&gt;=3.5,"A-",IF('Data Source'!AD7&gt;=3,"B",IF('Data Source'!AD7&gt;=2,"C",IF('Data Source'!AD7&gt;=1,"D","F")))))))</f>
        <v/>
      </c>
      <c r="M7" s="3">
        <f>IF('Data Source'!B7="","",IF('Data Source'!AE7&gt;=5,"A+",IF('Data Source'!AE7&gt;=4,"A",IF('Data Source'!AE7&gt;=3.5,"A-",IF('Data Source'!AE7&gt;=3,"B",IF('Data Source'!AE7&gt;=2,"C",IF('Data Source'!AE7&gt;=1,"D","F")))))))</f>
        <v/>
      </c>
      <c r="N7" s="3">
        <f>IF('Data Source'!B7="","",IF('Data Source'!AF7&gt;=5,"A+",IF('Data Source'!AF7&gt;=4,"A",IF('Data Source'!AF7&gt;=3.5,"A-",IF('Data Source'!AF7&gt;=3,"B",IF('Data Source'!AF7&gt;=2,"C",IF('Data Source'!AF7&gt;=1,"D","F")))))))</f>
        <v/>
      </c>
      <c r="O7" s="3">
        <f>IF('Data Source'!B7="","",IF('Data Source'!AG7&gt;=5,"A+",IF('Data Source'!AG7&gt;=4,"A",IF('Data Source'!AG7&gt;=3.5,"A-",IF('Data Source'!AG7&gt;=3,"B",IF('Data Source'!AG7&gt;=2,"C",IF('Data Source'!AG7&gt;=1,"D","F")))))))</f>
        <v/>
      </c>
      <c r="P7" s="5">
        <f>IF('Data Source'!B7="","",'Data Source'!R7)</f>
        <v/>
      </c>
      <c r="Q7" s="3">
        <f>IF('Data Source'!B7="","",'Data Source'!S7)</f>
        <v/>
      </c>
    </row>
    <row r="8">
      <c r="A8" s="3">
        <f>IF('Data Source'!B8="","",'Data Source'!A8)</f>
        <v/>
      </c>
      <c r="B8">
        <f>IF('Data Source'!B8="","",'Data Source'!B8)</f>
        <v/>
      </c>
      <c r="C8" s="3">
        <f>IF('Data Source'!B8="","",IF('Data Source'!U8&gt;=5,"A+",IF('Data Source'!U8&gt;=4,"A",IF('Data Source'!U8&gt;=3.5,"A-",IF('Data Source'!U8&gt;=3,"B",IF('Data Source'!U8&gt;=2,"C",IF('Data Source'!U8&gt;=1,"D","F")))))))</f>
        <v/>
      </c>
      <c r="D8" s="3">
        <f>IF('Data Source'!B8="","",IF('Data Source'!V8&gt;=5,"A+",IF('Data Source'!V8&gt;=4,"A",IF('Data Source'!V8&gt;=3.5,"A-",IF('Data Source'!V8&gt;=3,"B",IF('Data Source'!V8&gt;=2,"C",IF('Data Source'!V8&gt;=1,"D","F")))))))</f>
        <v/>
      </c>
      <c r="E8" s="3">
        <f>IF('Data Source'!B8="","",IF('Data Source'!W8&gt;=5,"A+",IF('Data Source'!W8&gt;=4,"A",IF('Data Source'!W8&gt;=3.5,"A-",IF('Data Source'!W8&gt;=3,"B",IF('Data Source'!W8&gt;=2,"C",IF('Data Source'!W8&gt;=1,"D","F")))))))</f>
        <v/>
      </c>
      <c r="F8" s="3">
        <f>IF('Data Source'!B8="","",IF('Data Source'!X8&gt;=5,"A+",IF('Data Source'!X8&gt;=4,"A",IF('Data Source'!X8&gt;=3.5,"A-",IF('Data Source'!X8&gt;=3,"B",IF('Data Source'!X8&gt;=2,"C",IF('Data Source'!X8&gt;=1,"D","F")))))))</f>
        <v/>
      </c>
      <c r="G8" s="3">
        <f>IF('Data Source'!B8="","",IF('Data Source'!Y8&gt;=5,"A+",IF('Data Source'!Y8&gt;=4,"A",IF('Data Source'!Y8&gt;=3.5,"A-",IF('Data Source'!Y8&gt;=3,"B",IF('Data Source'!Y8&gt;=2,"C",IF('Data Source'!Y8&gt;=1,"D","F")))))))</f>
        <v/>
      </c>
      <c r="H8" s="3">
        <f>IF('Data Source'!B8="","",IF('Data Source'!Z8&gt;=5,"A+",IF('Data Source'!Z8&gt;=4,"A",IF('Data Source'!Z8&gt;=3.5,"A-",IF('Data Source'!Z8&gt;=3,"B",IF('Data Source'!Z8&gt;=2,"C",IF('Data Source'!Z8&gt;=1,"D","F")))))))</f>
        <v/>
      </c>
      <c r="I8" s="3">
        <f>IF('Data Source'!B8="","",IF('Data Source'!AA8&gt;=5,"A+",IF('Data Source'!AA8&gt;=4,"A",IF('Data Source'!AA8&gt;=3.5,"A-",IF('Data Source'!AA8&gt;=3,"B",IF('Data Source'!AA8&gt;=2,"C",IF('Data Source'!AA8&gt;=1,"D","F")))))))</f>
        <v/>
      </c>
      <c r="J8" s="3">
        <f>IF('Data Source'!B8="","",IF('Data Source'!AB8&gt;=5,"A+",IF('Data Source'!AB8&gt;=4,"A",IF('Data Source'!AB8&gt;=3.5,"A-",IF('Data Source'!AB8&gt;=3,"B",IF('Data Source'!AB8&gt;=2,"C",IF('Data Source'!AB8&gt;=1,"D","F")))))))</f>
        <v/>
      </c>
      <c r="K8" s="3">
        <f>IF('Data Source'!B8="","",IF('Data Source'!AC8&gt;=5,"A+",IF('Data Source'!AC8&gt;=4,"A",IF('Data Source'!AC8&gt;=3.5,"A-",IF('Data Source'!AC8&gt;=3,"B",IF('Data Source'!AC8&gt;=2,"C",IF('Data Source'!AC8&gt;=1,"D","F")))))))</f>
        <v/>
      </c>
      <c r="L8" s="3">
        <f>IF('Data Source'!B8="","",IF('Data Source'!AD8&gt;=5,"A+",IF('Data Source'!AD8&gt;=4,"A",IF('Data Source'!AD8&gt;=3.5,"A-",IF('Data Source'!AD8&gt;=3,"B",IF('Data Source'!AD8&gt;=2,"C",IF('Data Source'!AD8&gt;=1,"D","F")))))))</f>
        <v/>
      </c>
      <c r="M8" s="3">
        <f>IF('Data Source'!B8="","",IF('Data Source'!AE8&gt;=5,"A+",IF('Data Source'!AE8&gt;=4,"A",IF('Data Source'!AE8&gt;=3.5,"A-",IF('Data Source'!AE8&gt;=3,"B",IF('Data Source'!AE8&gt;=2,"C",IF('Data Source'!AE8&gt;=1,"D","F")))))))</f>
        <v/>
      </c>
      <c r="N8" s="3">
        <f>IF('Data Source'!B8="","",IF('Data Source'!AF8&gt;=5,"A+",IF('Data Source'!AF8&gt;=4,"A",IF('Data Source'!AF8&gt;=3.5,"A-",IF('Data Source'!AF8&gt;=3,"B",IF('Data Source'!AF8&gt;=2,"C",IF('Data Source'!AF8&gt;=1,"D","F")))))))</f>
        <v/>
      </c>
      <c r="O8" s="3">
        <f>IF('Data Source'!B8="","",IF('Data Source'!AG8&gt;=5,"A+",IF('Data Source'!AG8&gt;=4,"A",IF('Data Source'!AG8&gt;=3.5,"A-",IF('Data Source'!AG8&gt;=3,"B",IF('Data Source'!AG8&gt;=2,"C",IF('Data Source'!AG8&gt;=1,"D","F")))))))</f>
        <v/>
      </c>
      <c r="P8" s="5">
        <f>IF('Data Source'!B8="","",'Data Source'!R8)</f>
        <v/>
      </c>
      <c r="Q8" s="3">
        <f>IF('Data Source'!B8="","",'Data Source'!S8)</f>
        <v/>
      </c>
    </row>
    <row r="9">
      <c r="A9" s="3">
        <f>IF('Data Source'!B9="","",'Data Source'!A9)</f>
        <v/>
      </c>
      <c r="B9">
        <f>IF('Data Source'!B9="","",'Data Source'!B9)</f>
        <v/>
      </c>
      <c r="C9" s="3">
        <f>IF('Data Source'!B9="","",IF('Data Source'!U9&gt;=5,"A+",IF('Data Source'!U9&gt;=4,"A",IF('Data Source'!U9&gt;=3.5,"A-",IF('Data Source'!U9&gt;=3,"B",IF('Data Source'!U9&gt;=2,"C",IF('Data Source'!U9&gt;=1,"D","F")))))))</f>
        <v/>
      </c>
      <c r="D9" s="3">
        <f>IF('Data Source'!B9="","",IF('Data Source'!V9&gt;=5,"A+",IF('Data Source'!V9&gt;=4,"A",IF('Data Source'!V9&gt;=3.5,"A-",IF('Data Source'!V9&gt;=3,"B",IF('Data Source'!V9&gt;=2,"C",IF('Data Source'!V9&gt;=1,"D","F")))))))</f>
        <v/>
      </c>
      <c r="E9" s="3">
        <f>IF('Data Source'!B9="","",IF('Data Source'!W9&gt;=5,"A+",IF('Data Source'!W9&gt;=4,"A",IF('Data Source'!W9&gt;=3.5,"A-",IF('Data Source'!W9&gt;=3,"B",IF('Data Source'!W9&gt;=2,"C",IF('Data Source'!W9&gt;=1,"D","F")))))))</f>
        <v/>
      </c>
      <c r="F9" s="3">
        <f>IF('Data Source'!B9="","",IF('Data Source'!X9&gt;=5,"A+",IF('Data Source'!X9&gt;=4,"A",IF('Data Source'!X9&gt;=3.5,"A-",IF('Data Source'!X9&gt;=3,"B",IF('Data Source'!X9&gt;=2,"C",IF('Data Source'!X9&gt;=1,"D","F")))))))</f>
        <v/>
      </c>
      <c r="G9" s="3">
        <f>IF('Data Source'!B9="","",IF('Data Source'!Y9&gt;=5,"A+",IF('Data Source'!Y9&gt;=4,"A",IF('Data Source'!Y9&gt;=3.5,"A-",IF('Data Source'!Y9&gt;=3,"B",IF('Data Source'!Y9&gt;=2,"C",IF('Data Source'!Y9&gt;=1,"D","F")))))))</f>
        <v/>
      </c>
      <c r="H9" s="3">
        <f>IF('Data Source'!B9="","",IF('Data Source'!Z9&gt;=5,"A+",IF('Data Source'!Z9&gt;=4,"A",IF('Data Source'!Z9&gt;=3.5,"A-",IF('Data Source'!Z9&gt;=3,"B",IF('Data Source'!Z9&gt;=2,"C",IF('Data Source'!Z9&gt;=1,"D","F")))))))</f>
        <v/>
      </c>
      <c r="I9" s="3">
        <f>IF('Data Source'!B9="","",IF('Data Source'!AA9&gt;=5,"A+",IF('Data Source'!AA9&gt;=4,"A",IF('Data Source'!AA9&gt;=3.5,"A-",IF('Data Source'!AA9&gt;=3,"B",IF('Data Source'!AA9&gt;=2,"C",IF('Data Source'!AA9&gt;=1,"D","F")))))))</f>
        <v/>
      </c>
      <c r="J9" s="3">
        <f>IF('Data Source'!B9="","",IF('Data Source'!AB9&gt;=5,"A+",IF('Data Source'!AB9&gt;=4,"A",IF('Data Source'!AB9&gt;=3.5,"A-",IF('Data Source'!AB9&gt;=3,"B",IF('Data Source'!AB9&gt;=2,"C",IF('Data Source'!AB9&gt;=1,"D","F")))))))</f>
        <v/>
      </c>
      <c r="K9" s="3">
        <f>IF('Data Source'!B9="","",IF('Data Source'!AC9&gt;=5,"A+",IF('Data Source'!AC9&gt;=4,"A",IF('Data Source'!AC9&gt;=3.5,"A-",IF('Data Source'!AC9&gt;=3,"B",IF('Data Source'!AC9&gt;=2,"C",IF('Data Source'!AC9&gt;=1,"D","F")))))))</f>
        <v/>
      </c>
      <c r="L9" s="3">
        <f>IF('Data Source'!B9="","",IF('Data Source'!AD9&gt;=5,"A+",IF('Data Source'!AD9&gt;=4,"A",IF('Data Source'!AD9&gt;=3.5,"A-",IF('Data Source'!AD9&gt;=3,"B",IF('Data Source'!AD9&gt;=2,"C",IF('Data Source'!AD9&gt;=1,"D","F")))))))</f>
        <v/>
      </c>
      <c r="M9" s="3">
        <f>IF('Data Source'!B9="","",IF('Data Source'!AE9&gt;=5,"A+",IF('Data Source'!AE9&gt;=4,"A",IF('Data Source'!AE9&gt;=3.5,"A-",IF('Data Source'!AE9&gt;=3,"B",IF('Data Source'!AE9&gt;=2,"C",IF('Data Source'!AE9&gt;=1,"D","F")))))))</f>
        <v/>
      </c>
      <c r="N9" s="3">
        <f>IF('Data Source'!B9="","",IF('Data Source'!AF9&gt;=5,"A+",IF('Data Source'!AF9&gt;=4,"A",IF('Data Source'!AF9&gt;=3.5,"A-",IF('Data Source'!AF9&gt;=3,"B",IF('Data Source'!AF9&gt;=2,"C",IF('Data Source'!AF9&gt;=1,"D","F")))))))</f>
        <v/>
      </c>
      <c r="O9" s="3">
        <f>IF('Data Source'!B9="","",IF('Data Source'!AG9&gt;=5,"A+",IF('Data Source'!AG9&gt;=4,"A",IF('Data Source'!AG9&gt;=3.5,"A-",IF('Data Source'!AG9&gt;=3,"B",IF('Data Source'!AG9&gt;=2,"C",IF('Data Source'!AG9&gt;=1,"D","F")))))))</f>
        <v/>
      </c>
      <c r="P9" s="5">
        <f>IF('Data Source'!B9="","",'Data Source'!R9)</f>
        <v/>
      </c>
      <c r="Q9" s="3">
        <f>IF('Data Source'!B9="","",'Data Source'!S9)</f>
        <v/>
      </c>
    </row>
    <row r="10">
      <c r="A10" s="3">
        <f>IF('Data Source'!B10="","",'Data Source'!A10)</f>
        <v/>
      </c>
      <c r="B10">
        <f>IF('Data Source'!B10="","",'Data Source'!B10)</f>
        <v/>
      </c>
      <c r="C10" s="3">
        <f>IF('Data Source'!B10="","",IF('Data Source'!U10&gt;=5,"A+",IF('Data Source'!U10&gt;=4,"A",IF('Data Source'!U10&gt;=3.5,"A-",IF('Data Source'!U10&gt;=3,"B",IF('Data Source'!U10&gt;=2,"C",IF('Data Source'!U10&gt;=1,"D","F")))))))</f>
        <v/>
      </c>
      <c r="D10" s="3">
        <f>IF('Data Source'!B10="","",IF('Data Source'!V10&gt;=5,"A+",IF('Data Source'!V10&gt;=4,"A",IF('Data Source'!V10&gt;=3.5,"A-",IF('Data Source'!V10&gt;=3,"B",IF('Data Source'!V10&gt;=2,"C",IF('Data Source'!V10&gt;=1,"D","F")))))))</f>
        <v/>
      </c>
      <c r="E10" s="3">
        <f>IF('Data Source'!B10="","",IF('Data Source'!W10&gt;=5,"A+",IF('Data Source'!W10&gt;=4,"A",IF('Data Source'!W10&gt;=3.5,"A-",IF('Data Source'!W10&gt;=3,"B",IF('Data Source'!W10&gt;=2,"C",IF('Data Source'!W10&gt;=1,"D","F")))))))</f>
        <v/>
      </c>
      <c r="F10" s="3">
        <f>IF('Data Source'!B10="","",IF('Data Source'!X10&gt;=5,"A+",IF('Data Source'!X10&gt;=4,"A",IF('Data Source'!X10&gt;=3.5,"A-",IF('Data Source'!X10&gt;=3,"B",IF('Data Source'!X10&gt;=2,"C",IF('Data Source'!X10&gt;=1,"D","F")))))))</f>
        <v/>
      </c>
      <c r="G10" s="3">
        <f>IF('Data Source'!B10="","",IF('Data Source'!Y10&gt;=5,"A+",IF('Data Source'!Y10&gt;=4,"A",IF('Data Source'!Y10&gt;=3.5,"A-",IF('Data Source'!Y10&gt;=3,"B",IF('Data Source'!Y10&gt;=2,"C",IF('Data Source'!Y10&gt;=1,"D","F")))))))</f>
        <v/>
      </c>
      <c r="H10" s="3">
        <f>IF('Data Source'!B10="","",IF('Data Source'!Z10&gt;=5,"A+",IF('Data Source'!Z10&gt;=4,"A",IF('Data Source'!Z10&gt;=3.5,"A-",IF('Data Source'!Z10&gt;=3,"B",IF('Data Source'!Z10&gt;=2,"C",IF('Data Source'!Z10&gt;=1,"D","F")))))))</f>
        <v/>
      </c>
      <c r="I10" s="3">
        <f>IF('Data Source'!B10="","",IF('Data Source'!AA10&gt;=5,"A+",IF('Data Source'!AA10&gt;=4,"A",IF('Data Source'!AA10&gt;=3.5,"A-",IF('Data Source'!AA10&gt;=3,"B",IF('Data Source'!AA10&gt;=2,"C",IF('Data Source'!AA10&gt;=1,"D","F")))))))</f>
        <v/>
      </c>
      <c r="J10" s="3">
        <f>IF('Data Source'!B10="","",IF('Data Source'!AB10&gt;=5,"A+",IF('Data Source'!AB10&gt;=4,"A",IF('Data Source'!AB10&gt;=3.5,"A-",IF('Data Source'!AB10&gt;=3,"B",IF('Data Source'!AB10&gt;=2,"C",IF('Data Source'!AB10&gt;=1,"D","F")))))))</f>
        <v/>
      </c>
      <c r="K10" s="3">
        <f>IF('Data Source'!B10="","",IF('Data Source'!AC10&gt;=5,"A+",IF('Data Source'!AC10&gt;=4,"A",IF('Data Source'!AC10&gt;=3.5,"A-",IF('Data Source'!AC10&gt;=3,"B",IF('Data Source'!AC10&gt;=2,"C",IF('Data Source'!AC10&gt;=1,"D","F")))))))</f>
        <v/>
      </c>
      <c r="L10" s="3">
        <f>IF('Data Source'!B10="","",IF('Data Source'!AD10&gt;=5,"A+",IF('Data Source'!AD10&gt;=4,"A",IF('Data Source'!AD10&gt;=3.5,"A-",IF('Data Source'!AD10&gt;=3,"B",IF('Data Source'!AD10&gt;=2,"C",IF('Data Source'!AD10&gt;=1,"D","F")))))))</f>
        <v/>
      </c>
      <c r="M10" s="3">
        <f>IF('Data Source'!B10="","",IF('Data Source'!AE10&gt;=5,"A+",IF('Data Source'!AE10&gt;=4,"A",IF('Data Source'!AE10&gt;=3.5,"A-",IF('Data Source'!AE10&gt;=3,"B",IF('Data Source'!AE10&gt;=2,"C",IF('Data Source'!AE10&gt;=1,"D","F")))))))</f>
        <v/>
      </c>
      <c r="N10" s="3">
        <f>IF('Data Source'!B10="","",IF('Data Source'!AF10&gt;=5,"A+",IF('Data Source'!AF10&gt;=4,"A",IF('Data Source'!AF10&gt;=3.5,"A-",IF('Data Source'!AF10&gt;=3,"B",IF('Data Source'!AF10&gt;=2,"C",IF('Data Source'!AF10&gt;=1,"D","F")))))))</f>
        <v/>
      </c>
      <c r="O10" s="3">
        <f>IF('Data Source'!B10="","",IF('Data Source'!AG10&gt;=5,"A+",IF('Data Source'!AG10&gt;=4,"A",IF('Data Source'!AG10&gt;=3.5,"A-",IF('Data Source'!AG10&gt;=3,"B",IF('Data Source'!AG10&gt;=2,"C",IF('Data Source'!AG10&gt;=1,"D","F")))))))</f>
        <v/>
      </c>
      <c r="P10" s="5">
        <f>IF('Data Source'!B10="","",'Data Source'!R10)</f>
        <v/>
      </c>
      <c r="Q10" s="3">
        <f>IF('Data Source'!B10="","",'Data Source'!S10)</f>
        <v/>
      </c>
    </row>
    <row r="11">
      <c r="A11" s="3">
        <f>IF('Data Source'!B11="","",'Data Source'!A11)</f>
        <v/>
      </c>
      <c r="B11">
        <f>IF('Data Source'!B11="","",'Data Source'!B11)</f>
        <v/>
      </c>
      <c r="C11" s="3">
        <f>IF('Data Source'!B11="","",IF('Data Source'!U11&gt;=5,"A+",IF('Data Source'!U11&gt;=4,"A",IF('Data Source'!U11&gt;=3.5,"A-",IF('Data Source'!U11&gt;=3,"B",IF('Data Source'!U11&gt;=2,"C",IF('Data Source'!U11&gt;=1,"D","F")))))))</f>
        <v/>
      </c>
      <c r="D11" s="3">
        <f>IF('Data Source'!B11="","",IF('Data Source'!V11&gt;=5,"A+",IF('Data Source'!V11&gt;=4,"A",IF('Data Source'!V11&gt;=3.5,"A-",IF('Data Source'!V11&gt;=3,"B",IF('Data Source'!V11&gt;=2,"C",IF('Data Source'!V11&gt;=1,"D","F")))))))</f>
        <v/>
      </c>
      <c r="E11" s="3">
        <f>IF('Data Source'!B11="","",IF('Data Source'!W11&gt;=5,"A+",IF('Data Source'!W11&gt;=4,"A",IF('Data Source'!W11&gt;=3.5,"A-",IF('Data Source'!W11&gt;=3,"B",IF('Data Source'!W11&gt;=2,"C",IF('Data Source'!W11&gt;=1,"D","F")))))))</f>
        <v/>
      </c>
      <c r="F11" s="3">
        <f>IF('Data Source'!B11="","",IF('Data Source'!X11&gt;=5,"A+",IF('Data Source'!X11&gt;=4,"A",IF('Data Source'!X11&gt;=3.5,"A-",IF('Data Source'!X11&gt;=3,"B",IF('Data Source'!X11&gt;=2,"C",IF('Data Source'!X11&gt;=1,"D","F")))))))</f>
        <v/>
      </c>
      <c r="G11" s="3">
        <f>IF('Data Source'!B11="","",IF('Data Source'!Y11&gt;=5,"A+",IF('Data Source'!Y11&gt;=4,"A",IF('Data Source'!Y11&gt;=3.5,"A-",IF('Data Source'!Y11&gt;=3,"B",IF('Data Source'!Y11&gt;=2,"C",IF('Data Source'!Y11&gt;=1,"D","F")))))))</f>
        <v/>
      </c>
      <c r="H11" s="3">
        <f>IF('Data Source'!B11="","",IF('Data Source'!Z11&gt;=5,"A+",IF('Data Source'!Z11&gt;=4,"A",IF('Data Source'!Z11&gt;=3.5,"A-",IF('Data Source'!Z11&gt;=3,"B",IF('Data Source'!Z11&gt;=2,"C",IF('Data Source'!Z11&gt;=1,"D","F")))))))</f>
        <v/>
      </c>
      <c r="I11" s="3">
        <f>IF('Data Source'!B11="","",IF('Data Source'!AA11&gt;=5,"A+",IF('Data Source'!AA11&gt;=4,"A",IF('Data Source'!AA11&gt;=3.5,"A-",IF('Data Source'!AA11&gt;=3,"B",IF('Data Source'!AA11&gt;=2,"C",IF('Data Source'!AA11&gt;=1,"D","F")))))))</f>
        <v/>
      </c>
      <c r="J11" s="3">
        <f>IF('Data Source'!B11="","",IF('Data Source'!AB11&gt;=5,"A+",IF('Data Source'!AB11&gt;=4,"A",IF('Data Source'!AB11&gt;=3.5,"A-",IF('Data Source'!AB11&gt;=3,"B",IF('Data Source'!AB11&gt;=2,"C",IF('Data Source'!AB11&gt;=1,"D","F")))))))</f>
        <v/>
      </c>
      <c r="K11" s="3">
        <f>IF('Data Source'!B11="","",IF('Data Source'!AC11&gt;=5,"A+",IF('Data Source'!AC11&gt;=4,"A",IF('Data Source'!AC11&gt;=3.5,"A-",IF('Data Source'!AC11&gt;=3,"B",IF('Data Source'!AC11&gt;=2,"C",IF('Data Source'!AC11&gt;=1,"D","F")))))))</f>
        <v/>
      </c>
      <c r="L11" s="3">
        <f>IF('Data Source'!B11="","",IF('Data Source'!AD11&gt;=5,"A+",IF('Data Source'!AD11&gt;=4,"A",IF('Data Source'!AD11&gt;=3.5,"A-",IF('Data Source'!AD11&gt;=3,"B",IF('Data Source'!AD11&gt;=2,"C",IF('Data Source'!AD11&gt;=1,"D","F")))))))</f>
        <v/>
      </c>
      <c r="M11" s="3">
        <f>IF('Data Source'!B11="","",IF('Data Source'!AE11&gt;=5,"A+",IF('Data Source'!AE11&gt;=4,"A",IF('Data Source'!AE11&gt;=3.5,"A-",IF('Data Source'!AE11&gt;=3,"B",IF('Data Source'!AE11&gt;=2,"C",IF('Data Source'!AE11&gt;=1,"D","F")))))))</f>
        <v/>
      </c>
      <c r="N11" s="3">
        <f>IF('Data Source'!B11="","",IF('Data Source'!AF11&gt;=5,"A+",IF('Data Source'!AF11&gt;=4,"A",IF('Data Source'!AF11&gt;=3.5,"A-",IF('Data Source'!AF11&gt;=3,"B",IF('Data Source'!AF11&gt;=2,"C",IF('Data Source'!AF11&gt;=1,"D","F")))))))</f>
        <v/>
      </c>
      <c r="O11" s="3">
        <f>IF('Data Source'!B11="","",IF('Data Source'!AG11&gt;=5,"A+",IF('Data Source'!AG11&gt;=4,"A",IF('Data Source'!AG11&gt;=3.5,"A-",IF('Data Source'!AG11&gt;=3,"B",IF('Data Source'!AG11&gt;=2,"C",IF('Data Source'!AG11&gt;=1,"D","F")))))))</f>
        <v/>
      </c>
      <c r="P11" s="5">
        <f>IF('Data Source'!B11="","",'Data Source'!R11)</f>
        <v/>
      </c>
      <c r="Q11" s="3">
        <f>IF('Data Source'!B11="","",'Data Source'!S11)</f>
        <v/>
      </c>
    </row>
    <row r="12">
      <c r="A12" s="3">
        <f>IF('Data Source'!B12="","",'Data Source'!A12)</f>
        <v/>
      </c>
      <c r="B12">
        <f>IF('Data Source'!B12="","",'Data Source'!B12)</f>
        <v/>
      </c>
      <c r="C12" s="3">
        <f>IF('Data Source'!B12="","",IF('Data Source'!U12&gt;=5,"A+",IF('Data Source'!U12&gt;=4,"A",IF('Data Source'!U12&gt;=3.5,"A-",IF('Data Source'!U12&gt;=3,"B",IF('Data Source'!U12&gt;=2,"C",IF('Data Source'!U12&gt;=1,"D","F")))))))</f>
        <v/>
      </c>
      <c r="D12" s="3">
        <f>IF('Data Source'!B12="","",IF('Data Source'!V12&gt;=5,"A+",IF('Data Source'!V12&gt;=4,"A",IF('Data Source'!V12&gt;=3.5,"A-",IF('Data Source'!V12&gt;=3,"B",IF('Data Source'!V12&gt;=2,"C",IF('Data Source'!V12&gt;=1,"D","F")))))))</f>
        <v/>
      </c>
      <c r="E12" s="3">
        <f>IF('Data Source'!B12="","",IF('Data Source'!W12&gt;=5,"A+",IF('Data Source'!W12&gt;=4,"A",IF('Data Source'!W12&gt;=3.5,"A-",IF('Data Source'!W12&gt;=3,"B",IF('Data Source'!W12&gt;=2,"C",IF('Data Source'!W12&gt;=1,"D","F")))))))</f>
        <v/>
      </c>
      <c r="F12" s="3">
        <f>IF('Data Source'!B12="","",IF('Data Source'!X12&gt;=5,"A+",IF('Data Source'!X12&gt;=4,"A",IF('Data Source'!X12&gt;=3.5,"A-",IF('Data Source'!X12&gt;=3,"B",IF('Data Source'!X12&gt;=2,"C",IF('Data Source'!X12&gt;=1,"D","F")))))))</f>
        <v/>
      </c>
      <c r="G12" s="3">
        <f>IF('Data Source'!B12="","",IF('Data Source'!Y12&gt;=5,"A+",IF('Data Source'!Y12&gt;=4,"A",IF('Data Source'!Y12&gt;=3.5,"A-",IF('Data Source'!Y12&gt;=3,"B",IF('Data Source'!Y12&gt;=2,"C",IF('Data Source'!Y12&gt;=1,"D","F")))))))</f>
        <v/>
      </c>
      <c r="H12" s="3">
        <f>IF('Data Source'!B12="","",IF('Data Source'!Z12&gt;=5,"A+",IF('Data Source'!Z12&gt;=4,"A",IF('Data Source'!Z12&gt;=3.5,"A-",IF('Data Source'!Z12&gt;=3,"B",IF('Data Source'!Z12&gt;=2,"C",IF('Data Source'!Z12&gt;=1,"D","F")))))))</f>
        <v/>
      </c>
      <c r="I12" s="3">
        <f>IF('Data Source'!B12="","",IF('Data Source'!AA12&gt;=5,"A+",IF('Data Source'!AA12&gt;=4,"A",IF('Data Source'!AA12&gt;=3.5,"A-",IF('Data Source'!AA12&gt;=3,"B",IF('Data Source'!AA12&gt;=2,"C",IF('Data Source'!AA12&gt;=1,"D","F")))))))</f>
        <v/>
      </c>
      <c r="J12" s="3">
        <f>IF('Data Source'!B12="","",IF('Data Source'!AB12&gt;=5,"A+",IF('Data Source'!AB12&gt;=4,"A",IF('Data Source'!AB12&gt;=3.5,"A-",IF('Data Source'!AB12&gt;=3,"B",IF('Data Source'!AB12&gt;=2,"C",IF('Data Source'!AB12&gt;=1,"D","F")))))))</f>
        <v/>
      </c>
      <c r="K12" s="3">
        <f>IF('Data Source'!B12="","",IF('Data Source'!AC12&gt;=5,"A+",IF('Data Source'!AC12&gt;=4,"A",IF('Data Source'!AC12&gt;=3.5,"A-",IF('Data Source'!AC12&gt;=3,"B",IF('Data Source'!AC12&gt;=2,"C",IF('Data Source'!AC12&gt;=1,"D","F")))))))</f>
        <v/>
      </c>
      <c r="L12" s="3">
        <f>IF('Data Source'!B12="","",IF('Data Source'!AD12&gt;=5,"A+",IF('Data Source'!AD12&gt;=4,"A",IF('Data Source'!AD12&gt;=3.5,"A-",IF('Data Source'!AD12&gt;=3,"B",IF('Data Source'!AD12&gt;=2,"C",IF('Data Source'!AD12&gt;=1,"D","F")))))))</f>
        <v/>
      </c>
      <c r="M12" s="3">
        <f>IF('Data Source'!B12="","",IF('Data Source'!AE12&gt;=5,"A+",IF('Data Source'!AE12&gt;=4,"A",IF('Data Source'!AE12&gt;=3.5,"A-",IF('Data Source'!AE12&gt;=3,"B",IF('Data Source'!AE12&gt;=2,"C",IF('Data Source'!AE12&gt;=1,"D","F")))))))</f>
        <v/>
      </c>
      <c r="N12" s="3">
        <f>IF('Data Source'!B12="","",IF('Data Source'!AF12&gt;=5,"A+",IF('Data Source'!AF12&gt;=4,"A",IF('Data Source'!AF12&gt;=3.5,"A-",IF('Data Source'!AF12&gt;=3,"B",IF('Data Source'!AF12&gt;=2,"C",IF('Data Source'!AF12&gt;=1,"D","F")))))))</f>
        <v/>
      </c>
      <c r="O12" s="3">
        <f>IF('Data Source'!B12="","",IF('Data Source'!AG12&gt;=5,"A+",IF('Data Source'!AG12&gt;=4,"A",IF('Data Source'!AG12&gt;=3.5,"A-",IF('Data Source'!AG12&gt;=3,"B",IF('Data Source'!AG12&gt;=2,"C",IF('Data Source'!AG12&gt;=1,"D","F")))))))</f>
        <v/>
      </c>
      <c r="P12" s="5">
        <f>IF('Data Source'!B12="","",'Data Source'!R12)</f>
        <v/>
      </c>
      <c r="Q12" s="3">
        <f>IF('Data Source'!B12="","",'Data Source'!S12)</f>
        <v/>
      </c>
    </row>
    <row r="13">
      <c r="A13" s="3">
        <f>IF('Data Source'!B13="","",'Data Source'!A13)</f>
        <v/>
      </c>
      <c r="B13">
        <f>IF('Data Source'!B13="","",'Data Source'!B13)</f>
        <v/>
      </c>
      <c r="C13" s="3">
        <f>IF('Data Source'!B13="","",IF('Data Source'!U13&gt;=5,"A+",IF('Data Source'!U13&gt;=4,"A",IF('Data Source'!U13&gt;=3.5,"A-",IF('Data Source'!U13&gt;=3,"B",IF('Data Source'!U13&gt;=2,"C",IF('Data Source'!U13&gt;=1,"D","F")))))))</f>
        <v/>
      </c>
      <c r="D13" s="3">
        <f>IF('Data Source'!B13="","",IF('Data Source'!V13&gt;=5,"A+",IF('Data Source'!V13&gt;=4,"A",IF('Data Source'!V13&gt;=3.5,"A-",IF('Data Source'!V13&gt;=3,"B",IF('Data Source'!V13&gt;=2,"C",IF('Data Source'!V13&gt;=1,"D","F")))))))</f>
        <v/>
      </c>
      <c r="E13" s="3">
        <f>IF('Data Source'!B13="","",IF('Data Source'!W13&gt;=5,"A+",IF('Data Source'!W13&gt;=4,"A",IF('Data Source'!W13&gt;=3.5,"A-",IF('Data Source'!W13&gt;=3,"B",IF('Data Source'!W13&gt;=2,"C",IF('Data Source'!W13&gt;=1,"D","F")))))))</f>
        <v/>
      </c>
      <c r="F13" s="3">
        <f>IF('Data Source'!B13="","",IF('Data Source'!X13&gt;=5,"A+",IF('Data Source'!X13&gt;=4,"A",IF('Data Source'!X13&gt;=3.5,"A-",IF('Data Source'!X13&gt;=3,"B",IF('Data Source'!X13&gt;=2,"C",IF('Data Source'!X13&gt;=1,"D","F")))))))</f>
        <v/>
      </c>
      <c r="G13" s="3">
        <f>IF('Data Source'!B13="","",IF('Data Source'!Y13&gt;=5,"A+",IF('Data Source'!Y13&gt;=4,"A",IF('Data Source'!Y13&gt;=3.5,"A-",IF('Data Source'!Y13&gt;=3,"B",IF('Data Source'!Y13&gt;=2,"C",IF('Data Source'!Y13&gt;=1,"D","F")))))))</f>
        <v/>
      </c>
      <c r="H13" s="3">
        <f>IF('Data Source'!B13="","",IF('Data Source'!Z13&gt;=5,"A+",IF('Data Source'!Z13&gt;=4,"A",IF('Data Source'!Z13&gt;=3.5,"A-",IF('Data Source'!Z13&gt;=3,"B",IF('Data Source'!Z13&gt;=2,"C",IF('Data Source'!Z13&gt;=1,"D","F")))))))</f>
        <v/>
      </c>
      <c r="I13" s="3">
        <f>IF('Data Source'!B13="","",IF('Data Source'!AA13&gt;=5,"A+",IF('Data Source'!AA13&gt;=4,"A",IF('Data Source'!AA13&gt;=3.5,"A-",IF('Data Source'!AA13&gt;=3,"B",IF('Data Source'!AA13&gt;=2,"C",IF('Data Source'!AA13&gt;=1,"D","F")))))))</f>
        <v/>
      </c>
      <c r="J13" s="3">
        <f>IF('Data Source'!B13="","",IF('Data Source'!AB13&gt;=5,"A+",IF('Data Source'!AB13&gt;=4,"A",IF('Data Source'!AB13&gt;=3.5,"A-",IF('Data Source'!AB13&gt;=3,"B",IF('Data Source'!AB13&gt;=2,"C",IF('Data Source'!AB13&gt;=1,"D","F")))))))</f>
        <v/>
      </c>
      <c r="K13" s="3">
        <f>IF('Data Source'!B13="","",IF('Data Source'!AC13&gt;=5,"A+",IF('Data Source'!AC13&gt;=4,"A",IF('Data Source'!AC13&gt;=3.5,"A-",IF('Data Source'!AC13&gt;=3,"B",IF('Data Source'!AC13&gt;=2,"C",IF('Data Source'!AC13&gt;=1,"D","F")))))))</f>
        <v/>
      </c>
      <c r="L13" s="3">
        <f>IF('Data Source'!B13="","",IF('Data Source'!AD13&gt;=5,"A+",IF('Data Source'!AD13&gt;=4,"A",IF('Data Source'!AD13&gt;=3.5,"A-",IF('Data Source'!AD13&gt;=3,"B",IF('Data Source'!AD13&gt;=2,"C",IF('Data Source'!AD13&gt;=1,"D","F")))))))</f>
        <v/>
      </c>
      <c r="M13" s="3">
        <f>IF('Data Source'!B13="","",IF('Data Source'!AE13&gt;=5,"A+",IF('Data Source'!AE13&gt;=4,"A",IF('Data Source'!AE13&gt;=3.5,"A-",IF('Data Source'!AE13&gt;=3,"B",IF('Data Source'!AE13&gt;=2,"C",IF('Data Source'!AE13&gt;=1,"D","F")))))))</f>
        <v/>
      </c>
      <c r="N13" s="3">
        <f>IF('Data Source'!B13="","",IF('Data Source'!AF13&gt;=5,"A+",IF('Data Source'!AF13&gt;=4,"A",IF('Data Source'!AF13&gt;=3.5,"A-",IF('Data Source'!AF13&gt;=3,"B",IF('Data Source'!AF13&gt;=2,"C",IF('Data Source'!AF13&gt;=1,"D","F")))))))</f>
        <v/>
      </c>
      <c r="O13" s="3">
        <f>IF('Data Source'!B13="","",IF('Data Source'!AG13&gt;=5,"A+",IF('Data Source'!AG13&gt;=4,"A",IF('Data Source'!AG13&gt;=3.5,"A-",IF('Data Source'!AG13&gt;=3,"B",IF('Data Source'!AG13&gt;=2,"C",IF('Data Source'!AG13&gt;=1,"D","F")))))))</f>
        <v/>
      </c>
      <c r="P13" s="5">
        <f>IF('Data Source'!B13="","",'Data Source'!R13)</f>
        <v/>
      </c>
      <c r="Q13" s="3">
        <f>IF('Data Source'!B13="","",'Data Source'!S13)</f>
        <v/>
      </c>
    </row>
    <row r="14">
      <c r="A14" s="3">
        <f>IF('Data Source'!B14="","",'Data Source'!A14)</f>
        <v/>
      </c>
      <c r="B14">
        <f>IF('Data Source'!B14="","",'Data Source'!B14)</f>
        <v/>
      </c>
      <c r="C14" s="3">
        <f>IF('Data Source'!B14="","",IF('Data Source'!U14&gt;=5,"A+",IF('Data Source'!U14&gt;=4,"A",IF('Data Source'!U14&gt;=3.5,"A-",IF('Data Source'!U14&gt;=3,"B",IF('Data Source'!U14&gt;=2,"C",IF('Data Source'!U14&gt;=1,"D","F")))))))</f>
        <v/>
      </c>
      <c r="D14" s="3">
        <f>IF('Data Source'!B14="","",IF('Data Source'!V14&gt;=5,"A+",IF('Data Source'!V14&gt;=4,"A",IF('Data Source'!V14&gt;=3.5,"A-",IF('Data Source'!V14&gt;=3,"B",IF('Data Source'!V14&gt;=2,"C",IF('Data Source'!V14&gt;=1,"D","F")))))))</f>
        <v/>
      </c>
      <c r="E14" s="3">
        <f>IF('Data Source'!B14="","",IF('Data Source'!W14&gt;=5,"A+",IF('Data Source'!W14&gt;=4,"A",IF('Data Source'!W14&gt;=3.5,"A-",IF('Data Source'!W14&gt;=3,"B",IF('Data Source'!W14&gt;=2,"C",IF('Data Source'!W14&gt;=1,"D","F")))))))</f>
        <v/>
      </c>
      <c r="F14" s="3">
        <f>IF('Data Source'!B14="","",IF('Data Source'!X14&gt;=5,"A+",IF('Data Source'!X14&gt;=4,"A",IF('Data Source'!X14&gt;=3.5,"A-",IF('Data Source'!X14&gt;=3,"B",IF('Data Source'!X14&gt;=2,"C",IF('Data Source'!X14&gt;=1,"D","F")))))))</f>
        <v/>
      </c>
      <c r="G14" s="3">
        <f>IF('Data Source'!B14="","",IF('Data Source'!Y14&gt;=5,"A+",IF('Data Source'!Y14&gt;=4,"A",IF('Data Source'!Y14&gt;=3.5,"A-",IF('Data Source'!Y14&gt;=3,"B",IF('Data Source'!Y14&gt;=2,"C",IF('Data Source'!Y14&gt;=1,"D","F")))))))</f>
        <v/>
      </c>
      <c r="H14" s="3">
        <f>IF('Data Source'!B14="","",IF('Data Source'!Z14&gt;=5,"A+",IF('Data Source'!Z14&gt;=4,"A",IF('Data Source'!Z14&gt;=3.5,"A-",IF('Data Source'!Z14&gt;=3,"B",IF('Data Source'!Z14&gt;=2,"C",IF('Data Source'!Z14&gt;=1,"D","F")))))))</f>
        <v/>
      </c>
      <c r="I14" s="3">
        <f>IF('Data Source'!B14="","",IF('Data Source'!AA14&gt;=5,"A+",IF('Data Source'!AA14&gt;=4,"A",IF('Data Source'!AA14&gt;=3.5,"A-",IF('Data Source'!AA14&gt;=3,"B",IF('Data Source'!AA14&gt;=2,"C",IF('Data Source'!AA14&gt;=1,"D","F")))))))</f>
        <v/>
      </c>
      <c r="J14" s="3">
        <f>IF('Data Source'!B14="","",IF('Data Source'!AB14&gt;=5,"A+",IF('Data Source'!AB14&gt;=4,"A",IF('Data Source'!AB14&gt;=3.5,"A-",IF('Data Source'!AB14&gt;=3,"B",IF('Data Source'!AB14&gt;=2,"C",IF('Data Source'!AB14&gt;=1,"D","F")))))))</f>
        <v/>
      </c>
      <c r="K14" s="3">
        <f>IF('Data Source'!B14="","",IF('Data Source'!AC14&gt;=5,"A+",IF('Data Source'!AC14&gt;=4,"A",IF('Data Source'!AC14&gt;=3.5,"A-",IF('Data Source'!AC14&gt;=3,"B",IF('Data Source'!AC14&gt;=2,"C",IF('Data Source'!AC14&gt;=1,"D","F")))))))</f>
        <v/>
      </c>
      <c r="L14" s="3">
        <f>IF('Data Source'!B14="","",IF('Data Source'!AD14&gt;=5,"A+",IF('Data Source'!AD14&gt;=4,"A",IF('Data Source'!AD14&gt;=3.5,"A-",IF('Data Source'!AD14&gt;=3,"B",IF('Data Source'!AD14&gt;=2,"C",IF('Data Source'!AD14&gt;=1,"D","F")))))))</f>
        <v/>
      </c>
      <c r="M14" s="3">
        <f>IF('Data Source'!B14="","",IF('Data Source'!AE14&gt;=5,"A+",IF('Data Source'!AE14&gt;=4,"A",IF('Data Source'!AE14&gt;=3.5,"A-",IF('Data Source'!AE14&gt;=3,"B",IF('Data Source'!AE14&gt;=2,"C",IF('Data Source'!AE14&gt;=1,"D","F")))))))</f>
        <v/>
      </c>
      <c r="N14" s="3">
        <f>IF('Data Source'!B14="","",IF('Data Source'!AF14&gt;=5,"A+",IF('Data Source'!AF14&gt;=4,"A",IF('Data Source'!AF14&gt;=3.5,"A-",IF('Data Source'!AF14&gt;=3,"B",IF('Data Source'!AF14&gt;=2,"C",IF('Data Source'!AF14&gt;=1,"D","F")))))))</f>
        <v/>
      </c>
      <c r="O14" s="3">
        <f>IF('Data Source'!B14="","",IF('Data Source'!AG14&gt;=5,"A+",IF('Data Source'!AG14&gt;=4,"A",IF('Data Source'!AG14&gt;=3.5,"A-",IF('Data Source'!AG14&gt;=3,"B",IF('Data Source'!AG14&gt;=2,"C",IF('Data Source'!AG14&gt;=1,"D","F")))))))</f>
        <v/>
      </c>
      <c r="P14" s="5">
        <f>IF('Data Source'!B14="","",'Data Source'!R14)</f>
        <v/>
      </c>
      <c r="Q14" s="3">
        <f>IF('Data Source'!B14="","",'Data Source'!S14)</f>
        <v/>
      </c>
    </row>
    <row r="15">
      <c r="A15" s="3">
        <f>IF('Data Source'!B15="","",'Data Source'!A15)</f>
        <v/>
      </c>
      <c r="B15">
        <f>IF('Data Source'!B15="","",'Data Source'!B15)</f>
        <v/>
      </c>
      <c r="C15" s="3">
        <f>IF('Data Source'!B15="","",IF('Data Source'!U15&gt;=5,"A+",IF('Data Source'!U15&gt;=4,"A",IF('Data Source'!U15&gt;=3.5,"A-",IF('Data Source'!U15&gt;=3,"B",IF('Data Source'!U15&gt;=2,"C",IF('Data Source'!U15&gt;=1,"D","F")))))))</f>
        <v/>
      </c>
      <c r="D15" s="3">
        <f>IF('Data Source'!B15="","",IF('Data Source'!V15&gt;=5,"A+",IF('Data Source'!V15&gt;=4,"A",IF('Data Source'!V15&gt;=3.5,"A-",IF('Data Source'!V15&gt;=3,"B",IF('Data Source'!V15&gt;=2,"C",IF('Data Source'!V15&gt;=1,"D","F")))))))</f>
        <v/>
      </c>
      <c r="E15" s="3">
        <f>IF('Data Source'!B15="","",IF('Data Source'!W15&gt;=5,"A+",IF('Data Source'!W15&gt;=4,"A",IF('Data Source'!W15&gt;=3.5,"A-",IF('Data Source'!W15&gt;=3,"B",IF('Data Source'!W15&gt;=2,"C",IF('Data Source'!W15&gt;=1,"D","F")))))))</f>
        <v/>
      </c>
      <c r="F15" s="3">
        <f>IF('Data Source'!B15="","",IF('Data Source'!X15&gt;=5,"A+",IF('Data Source'!X15&gt;=4,"A",IF('Data Source'!X15&gt;=3.5,"A-",IF('Data Source'!X15&gt;=3,"B",IF('Data Source'!X15&gt;=2,"C",IF('Data Source'!X15&gt;=1,"D","F")))))))</f>
        <v/>
      </c>
      <c r="G15" s="3">
        <f>IF('Data Source'!B15="","",IF('Data Source'!Y15&gt;=5,"A+",IF('Data Source'!Y15&gt;=4,"A",IF('Data Source'!Y15&gt;=3.5,"A-",IF('Data Source'!Y15&gt;=3,"B",IF('Data Source'!Y15&gt;=2,"C",IF('Data Source'!Y15&gt;=1,"D","F")))))))</f>
        <v/>
      </c>
      <c r="H15" s="3">
        <f>IF('Data Source'!B15="","",IF('Data Source'!Z15&gt;=5,"A+",IF('Data Source'!Z15&gt;=4,"A",IF('Data Source'!Z15&gt;=3.5,"A-",IF('Data Source'!Z15&gt;=3,"B",IF('Data Source'!Z15&gt;=2,"C",IF('Data Source'!Z15&gt;=1,"D","F")))))))</f>
        <v/>
      </c>
      <c r="I15" s="3">
        <f>IF('Data Source'!B15="","",IF('Data Source'!AA15&gt;=5,"A+",IF('Data Source'!AA15&gt;=4,"A",IF('Data Source'!AA15&gt;=3.5,"A-",IF('Data Source'!AA15&gt;=3,"B",IF('Data Source'!AA15&gt;=2,"C",IF('Data Source'!AA15&gt;=1,"D","F")))))))</f>
        <v/>
      </c>
      <c r="J15" s="3">
        <f>IF('Data Source'!B15="","",IF('Data Source'!AB15&gt;=5,"A+",IF('Data Source'!AB15&gt;=4,"A",IF('Data Source'!AB15&gt;=3.5,"A-",IF('Data Source'!AB15&gt;=3,"B",IF('Data Source'!AB15&gt;=2,"C",IF('Data Source'!AB15&gt;=1,"D","F")))))))</f>
        <v/>
      </c>
      <c r="K15" s="3">
        <f>IF('Data Source'!B15="","",IF('Data Source'!AC15&gt;=5,"A+",IF('Data Source'!AC15&gt;=4,"A",IF('Data Source'!AC15&gt;=3.5,"A-",IF('Data Source'!AC15&gt;=3,"B",IF('Data Source'!AC15&gt;=2,"C",IF('Data Source'!AC15&gt;=1,"D","F")))))))</f>
        <v/>
      </c>
      <c r="L15" s="3">
        <f>IF('Data Source'!B15="","",IF('Data Source'!AD15&gt;=5,"A+",IF('Data Source'!AD15&gt;=4,"A",IF('Data Source'!AD15&gt;=3.5,"A-",IF('Data Source'!AD15&gt;=3,"B",IF('Data Source'!AD15&gt;=2,"C",IF('Data Source'!AD15&gt;=1,"D","F")))))))</f>
        <v/>
      </c>
      <c r="M15" s="3">
        <f>IF('Data Source'!B15="","",IF('Data Source'!AE15&gt;=5,"A+",IF('Data Source'!AE15&gt;=4,"A",IF('Data Source'!AE15&gt;=3.5,"A-",IF('Data Source'!AE15&gt;=3,"B",IF('Data Source'!AE15&gt;=2,"C",IF('Data Source'!AE15&gt;=1,"D","F")))))))</f>
        <v/>
      </c>
      <c r="N15" s="3">
        <f>IF('Data Source'!B15="","",IF('Data Source'!AF15&gt;=5,"A+",IF('Data Source'!AF15&gt;=4,"A",IF('Data Source'!AF15&gt;=3.5,"A-",IF('Data Source'!AF15&gt;=3,"B",IF('Data Source'!AF15&gt;=2,"C",IF('Data Source'!AF15&gt;=1,"D","F")))))))</f>
        <v/>
      </c>
      <c r="O15" s="3">
        <f>IF('Data Source'!B15="","",IF('Data Source'!AG15&gt;=5,"A+",IF('Data Source'!AG15&gt;=4,"A",IF('Data Source'!AG15&gt;=3.5,"A-",IF('Data Source'!AG15&gt;=3,"B",IF('Data Source'!AG15&gt;=2,"C",IF('Data Source'!AG15&gt;=1,"D","F")))))))</f>
        <v/>
      </c>
      <c r="P15" s="5">
        <f>IF('Data Source'!B15="","",'Data Source'!R15)</f>
        <v/>
      </c>
      <c r="Q15" s="3">
        <f>IF('Data Source'!B15="","",'Data Source'!S15)</f>
        <v/>
      </c>
    </row>
    <row r="16">
      <c r="A16" s="3">
        <f>IF('Data Source'!B16="","",'Data Source'!A16)</f>
        <v/>
      </c>
      <c r="B16">
        <f>IF('Data Source'!B16="","",'Data Source'!B16)</f>
        <v/>
      </c>
      <c r="C16" s="3">
        <f>IF('Data Source'!B16="","",IF('Data Source'!U16&gt;=5,"A+",IF('Data Source'!U16&gt;=4,"A",IF('Data Source'!U16&gt;=3.5,"A-",IF('Data Source'!U16&gt;=3,"B",IF('Data Source'!U16&gt;=2,"C",IF('Data Source'!U16&gt;=1,"D","F")))))))</f>
        <v/>
      </c>
      <c r="D16" s="3">
        <f>IF('Data Source'!B16="","",IF('Data Source'!V16&gt;=5,"A+",IF('Data Source'!V16&gt;=4,"A",IF('Data Source'!V16&gt;=3.5,"A-",IF('Data Source'!V16&gt;=3,"B",IF('Data Source'!V16&gt;=2,"C",IF('Data Source'!V16&gt;=1,"D","F")))))))</f>
        <v/>
      </c>
      <c r="E16" s="3">
        <f>IF('Data Source'!B16="","",IF('Data Source'!W16&gt;=5,"A+",IF('Data Source'!W16&gt;=4,"A",IF('Data Source'!W16&gt;=3.5,"A-",IF('Data Source'!W16&gt;=3,"B",IF('Data Source'!W16&gt;=2,"C",IF('Data Source'!W16&gt;=1,"D","F")))))))</f>
        <v/>
      </c>
      <c r="F16" s="3">
        <f>IF('Data Source'!B16="","",IF('Data Source'!X16&gt;=5,"A+",IF('Data Source'!X16&gt;=4,"A",IF('Data Source'!X16&gt;=3.5,"A-",IF('Data Source'!X16&gt;=3,"B",IF('Data Source'!X16&gt;=2,"C",IF('Data Source'!X16&gt;=1,"D","F")))))))</f>
        <v/>
      </c>
      <c r="G16" s="3">
        <f>IF('Data Source'!B16="","",IF('Data Source'!Y16&gt;=5,"A+",IF('Data Source'!Y16&gt;=4,"A",IF('Data Source'!Y16&gt;=3.5,"A-",IF('Data Source'!Y16&gt;=3,"B",IF('Data Source'!Y16&gt;=2,"C",IF('Data Source'!Y16&gt;=1,"D","F")))))))</f>
        <v/>
      </c>
      <c r="H16" s="3">
        <f>IF('Data Source'!B16="","",IF('Data Source'!Z16&gt;=5,"A+",IF('Data Source'!Z16&gt;=4,"A",IF('Data Source'!Z16&gt;=3.5,"A-",IF('Data Source'!Z16&gt;=3,"B",IF('Data Source'!Z16&gt;=2,"C",IF('Data Source'!Z16&gt;=1,"D","F")))))))</f>
        <v/>
      </c>
      <c r="I16" s="3">
        <f>IF('Data Source'!B16="","",IF('Data Source'!AA16&gt;=5,"A+",IF('Data Source'!AA16&gt;=4,"A",IF('Data Source'!AA16&gt;=3.5,"A-",IF('Data Source'!AA16&gt;=3,"B",IF('Data Source'!AA16&gt;=2,"C",IF('Data Source'!AA16&gt;=1,"D","F")))))))</f>
        <v/>
      </c>
      <c r="J16" s="3">
        <f>IF('Data Source'!B16="","",IF('Data Source'!AB16&gt;=5,"A+",IF('Data Source'!AB16&gt;=4,"A",IF('Data Source'!AB16&gt;=3.5,"A-",IF('Data Source'!AB16&gt;=3,"B",IF('Data Source'!AB16&gt;=2,"C",IF('Data Source'!AB16&gt;=1,"D","F")))))))</f>
        <v/>
      </c>
      <c r="K16" s="3">
        <f>IF('Data Source'!B16="","",IF('Data Source'!AC16&gt;=5,"A+",IF('Data Source'!AC16&gt;=4,"A",IF('Data Source'!AC16&gt;=3.5,"A-",IF('Data Source'!AC16&gt;=3,"B",IF('Data Source'!AC16&gt;=2,"C",IF('Data Source'!AC16&gt;=1,"D","F")))))))</f>
        <v/>
      </c>
      <c r="L16" s="3">
        <f>IF('Data Source'!B16="","",IF('Data Source'!AD16&gt;=5,"A+",IF('Data Source'!AD16&gt;=4,"A",IF('Data Source'!AD16&gt;=3.5,"A-",IF('Data Source'!AD16&gt;=3,"B",IF('Data Source'!AD16&gt;=2,"C",IF('Data Source'!AD16&gt;=1,"D","F")))))))</f>
        <v/>
      </c>
      <c r="M16" s="3">
        <f>IF('Data Source'!B16="","",IF('Data Source'!AE16&gt;=5,"A+",IF('Data Source'!AE16&gt;=4,"A",IF('Data Source'!AE16&gt;=3.5,"A-",IF('Data Source'!AE16&gt;=3,"B",IF('Data Source'!AE16&gt;=2,"C",IF('Data Source'!AE16&gt;=1,"D","F")))))))</f>
        <v/>
      </c>
      <c r="N16" s="3">
        <f>IF('Data Source'!B16="","",IF('Data Source'!AF16&gt;=5,"A+",IF('Data Source'!AF16&gt;=4,"A",IF('Data Source'!AF16&gt;=3.5,"A-",IF('Data Source'!AF16&gt;=3,"B",IF('Data Source'!AF16&gt;=2,"C",IF('Data Source'!AF16&gt;=1,"D","F")))))))</f>
        <v/>
      </c>
      <c r="O16" s="3">
        <f>IF('Data Source'!B16="","",IF('Data Source'!AG16&gt;=5,"A+",IF('Data Source'!AG16&gt;=4,"A",IF('Data Source'!AG16&gt;=3.5,"A-",IF('Data Source'!AG16&gt;=3,"B",IF('Data Source'!AG16&gt;=2,"C",IF('Data Source'!AG16&gt;=1,"D","F")))))))</f>
        <v/>
      </c>
      <c r="P16" s="5">
        <f>IF('Data Source'!B16="","",'Data Source'!R16)</f>
        <v/>
      </c>
      <c r="Q16" s="3">
        <f>IF('Data Source'!B16="","",'Data Source'!S16)</f>
        <v/>
      </c>
    </row>
    <row r="17">
      <c r="A17" s="3">
        <f>IF('Data Source'!B17="","",'Data Source'!A17)</f>
        <v/>
      </c>
      <c r="B17">
        <f>IF('Data Source'!B17="","",'Data Source'!B17)</f>
        <v/>
      </c>
      <c r="C17" s="3">
        <f>IF('Data Source'!B17="","",IF('Data Source'!U17&gt;=5,"A+",IF('Data Source'!U17&gt;=4,"A",IF('Data Source'!U17&gt;=3.5,"A-",IF('Data Source'!U17&gt;=3,"B",IF('Data Source'!U17&gt;=2,"C",IF('Data Source'!U17&gt;=1,"D","F")))))))</f>
        <v/>
      </c>
      <c r="D17" s="3">
        <f>IF('Data Source'!B17="","",IF('Data Source'!V17&gt;=5,"A+",IF('Data Source'!V17&gt;=4,"A",IF('Data Source'!V17&gt;=3.5,"A-",IF('Data Source'!V17&gt;=3,"B",IF('Data Source'!V17&gt;=2,"C",IF('Data Source'!V17&gt;=1,"D","F")))))))</f>
        <v/>
      </c>
      <c r="E17" s="3">
        <f>IF('Data Source'!B17="","",IF('Data Source'!W17&gt;=5,"A+",IF('Data Source'!W17&gt;=4,"A",IF('Data Source'!W17&gt;=3.5,"A-",IF('Data Source'!W17&gt;=3,"B",IF('Data Source'!W17&gt;=2,"C",IF('Data Source'!W17&gt;=1,"D","F")))))))</f>
        <v/>
      </c>
      <c r="F17" s="3">
        <f>IF('Data Source'!B17="","",IF('Data Source'!X17&gt;=5,"A+",IF('Data Source'!X17&gt;=4,"A",IF('Data Source'!X17&gt;=3.5,"A-",IF('Data Source'!X17&gt;=3,"B",IF('Data Source'!X17&gt;=2,"C",IF('Data Source'!X17&gt;=1,"D","F")))))))</f>
        <v/>
      </c>
      <c r="G17" s="3">
        <f>IF('Data Source'!B17="","",IF('Data Source'!Y17&gt;=5,"A+",IF('Data Source'!Y17&gt;=4,"A",IF('Data Source'!Y17&gt;=3.5,"A-",IF('Data Source'!Y17&gt;=3,"B",IF('Data Source'!Y17&gt;=2,"C",IF('Data Source'!Y17&gt;=1,"D","F")))))))</f>
        <v/>
      </c>
      <c r="H17" s="3">
        <f>IF('Data Source'!B17="","",IF('Data Source'!Z17&gt;=5,"A+",IF('Data Source'!Z17&gt;=4,"A",IF('Data Source'!Z17&gt;=3.5,"A-",IF('Data Source'!Z17&gt;=3,"B",IF('Data Source'!Z17&gt;=2,"C",IF('Data Source'!Z17&gt;=1,"D","F")))))))</f>
        <v/>
      </c>
      <c r="I17" s="3">
        <f>IF('Data Source'!B17="","",IF('Data Source'!AA17&gt;=5,"A+",IF('Data Source'!AA17&gt;=4,"A",IF('Data Source'!AA17&gt;=3.5,"A-",IF('Data Source'!AA17&gt;=3,"B",IF('Data Source'!AA17&gt;=2,"C",IF('Data Source'!AA17&gt;=1,"D","F")))))))</f>
        <v/>
      </c>
      <c r="J17" s="3">
        <f>IF('Data Source'!B17="","",IF('Data Source'!AB17&gt;=5,"A+",IF('Data Source'!AB17&gt;=4,"A",IF('Data Source'!AB17&gt;=3.5,"A-",IF('Data Source'!AB17&gt;=3,"B",IF('Data Source'!AB17&gt;=2,"C",IF('Data Source'!AB17&gt;=1,"D","F")))))))</f>
        <v/>
      </c>
      <c r="K17" s="3">
        <f>IF('Data Source'!B17="","",IF('Data Source'!AC17&gt;=5,"A+",IF('Data Source'!AC17&gt;=4,"A",IF('Data Source'!AC17&gt;=3.5,"A-",IF('Data Source'!AC17&gt;=3,"B",IF('Data Source'!AC17&gt;=2,"C",IF('Data Source'!AC17&gt;=1,"D","F")))))))</f>
        <v/>
      </c>
      <c r="L17" s="3">
        <f>IF('Data Source'!B17="","",IF('Data Source'!AD17&gt;=5,"A+",IF('Data Source'!AD17&gt;=4,"A",IF('Data Source'!AD17&gt;=3.5,"A-",IF('Data Source'!AD17&gt;=3,"B",IF('Data Source'!AD17&gt;=2,"C",IF('Data Source'!AD17&gt;=1,"D","F")))))))</f>
        <v/>
      </c>
      <c r="M17" s="3">
        <f>IF('Data Source'!B17="","",IF('Data Source'!AE17&gt;=5,"A+",IF('Data Source'!AE17&gt;=4,"A",IF('Data Source'!AE17&gt;=3.5,"A-",IF('Data Source'!AE17&gt;=3,"B",IF('Data Source'!AE17&gt;=2,"C",IF('Data Source'!AE17&gt;=1,"D","F")))))))</f>
        <v/>
      </c>
      <c r="N17" s="3">
        <f>IF('Data Source'!B17="","",IF('Data Source'!AF17&gt;=5,"A+",IF('Data Source'!AF17&gt;=4,"A",IF('Data Source'!AF17&gt;=3.5,"A-",IF('Data Source'!AF17&gt;=3,"B",IF('Data Source'!AF17&gt;=2,"C",IF('Data Source'!AF17&gt;=1,"D","F")))))))</f>
        <v/>
      </c>
      <c r="O17" s="3">
        <f>IF('Data Source'!B17="","",IF('Data Source'!AG17&gt;=5,"A+",IF('Data Source'!AG17&gt;=4,"A",IF('Data Source'!AG17&gt;=3.5,"A-",IF('Data Source'!AG17&gt;=3,"B",IF('Data Source'!AG17&gt;=2,"C",IF('Data Source'!AG17&gt;=1,"D","F")))))))</f>
        <v/>
      </c>
      <c r="P17" s="5">
        <f>IF('Data Source'!B17="","",'Data Source'!R17)</f>
        <v/>
      </c>
      <c r="Q17" s="3">
        <f>IF('Data Source'!B17="","",'Data Source'!S17)</f>
        <v/>
      </c>
    </row>
    <row r="18">
      <c r="A18" s="3">
        <f>IF('Data Source'!B18="","",'Data Source'!A18)</f>
        <v/>
      </c>
      <c r="B18">
        <f>IF('Data Source'!B18="","",'Data Source'!B18)</f>
        <v/>
      </c>
      <c r="C18" s="3">
        <f>IF('Data Source'!B18="","",IF('Data Source'!U18&gt;=5,"A+",IF('Data Source'!U18&gt;=4,"A",IF('Data Source'!U18&gt;=3.5,"A-",IF('Data Source'!U18&gt;=3,"B",IF('Data Source'!U18&gt;=2,"C",IF('Data Source'!U18&gt;=1,"D","F")))))))</f>
        <v/>
      </c>
      <c r="D18" s="3">
        <f>IF('Data Source'!B18="","",IF('Data Source'!V18&gt;=5,"A+",IF('Data Source'!V18&gt;=4,"A",IF('Data Source'!V18&gt;=3.5,"A-",IF('Data Source'!V18&gt;=3,"B",IF('Data Source'!V18&gt;=2,"C",IF('Data Source'!V18&gt;=1,"D","F")))))))</f>
        <v/>
      </c>
      <c r="E18" s="3">
        <f>IF('Data Source'!B18="","",IF('Data Source'!W18&gt;=5,"A+",IF('Data Source'!W18&gt;=4,"A",IF('Data Source'!W18&gt;=3.5,"A-",IF('Data Source'!W18&gt;=3,"B",IF('Data Source'!W18&gt;=2,"C",IF('Data Source'!W18&gt;=1,"D","F")))))))</f>
        <v/>
      </c>
      <c r="F18" s="3">
        <f>IF('Data Source'!B18="","",IF('Data Source'!X18&gt;=5,"A+",IF('Data Source'!X18&gt;=4,"A",IF('Data Source'!X18&gt;=3.5,"A-",IF('Data Source'!X18&gt;=3,"B",IF('Data Source'!X18&gt;=2,"C",IF('Data Source'!X18&gt;=1,"D","F")))))))</f>
        <v/>
      </c>
      <c r="G18" s="3">
        <f>IF('Data Source'!B18="","",IF('Data Source'!Y18&gt;=5,"A+",IF('Data Source'!Y18&gt;=4,"A",IF('Data Source'!Y18&gt;=3.5,"A-",IF('Data Source'!Y18&gt;=3,"B",IF('Data Source'!Y18&gt;=2,"C",IF('Data Source'!Y18&gt;=1,"D","F")))))))</f>
        <v/>
      </c>
      <c r="H18" s="3">
        <f>IF('Data Source'!B18="","",IF('Data Source'!Z18&gt;=5,"A+",IF('Data Source'!Z18&gt;=4,"A",IF('Data Source'!Z18&gt;=3.5,"A-",IF('Data Source'!Z18&gt;=3,"B",IF('Data Source'!Z18&gt;=2,"C",IF('Data Source'!Z18&gt;=1,"D","F")))))))</f>
        <v/>
      </c>
      <c r="I18" s="3">
        <f>IF('Data Source'!B18="","",IF('Data Source'!AA18&gt;=5,"A+",IF('Data Source'!AA18&gt;=4,"A",IF('Data Source'!AA18&gt;=3.5,"A-",IF('Data Source'!AA18&gt;=3,"B",IF('Data Source'!AA18&gt;=2,"C",IF('Data Source'!AA18&gt;=1,"D","F")))))))</f>
        <v/>
      </c>
      <c r="J18" s="3">
        <f>IF('Data Source'!B18="","",IF('Data Source'!AB18&gt;=5,"A+",IF('Data Source'!AB18&gt;=4,"A",IF('Data Source'!AB18&gt;=3.5,"A-",IF('Data Source'!AB18&gt;=3,"B",IF('Data Source'!AB18&gt;=2,"C",IF('Data Source'!AB18&gt;=1,"D","F")))))))</f>
        <v/>
      </c>
      <c r="K18" s="3">
        <f>IF('Data Source'!B18="","",IF('Data Source'!AC18&gt;=5,"A+",IF('Data Source'!AC18&gt;=4,"A",IF('Data Source'!AC18&gt;=3.5,"A-",IF('Data Source'!AC18&gt;=3,"B",IF('Data Source'!AC18&gt;=2,"C",IF('Data Source'!AC18&gt;=1,"D","F")))))))</f>
        <v/>
      </c>
      <c r="L18" s="3">
        <f>IF('Data Source'!B18="","",IF('Data Source'!AD18&gt;=5,"A+",IF('Data Source'!AD18&gt;=4,"A",IF('Data Source'!AD18&gt;=3.5,"A-",IF('Data Source'!AD18&gt;=3,"B",IF('Data Source'!AD18&gt;=2,"C",IF('Data Source'!AD18&gt;=1,"D","F")))))))</f>
        <v/>
      </c>
      <c r="M18" s="3">
        <f>IF('Data Source'!B18="","",IF('Data Source'!AE18&gt;=5,"A+",IF('Data Source'!AE18&gt;=4,"A",IF('Data Source'!AE18&gt;=3.5,"A-",IF('Data Source'!AE18&gt;=3,"B",IF('Data Source'!AE18&gt;=2,"C",IF('Data Source'!AE18&gt;=1,"D","F")))))))</f>
        <v/>
      </c>
      <c r="N18" s="3">
        <f>IF('Data Source'!B18="","",IF('Data Source'!AF18&gt;=5,"A+",IF('Data Source'!AF18&gt;=4,"A",IF('Data Source'!AF18&gt;=3.5,"A-",IF('Data Source'!AF18&gt;=3,"B",IF('Data Source'!AF18&gt;=2,"C",IF('Data Source'!AF18&gt;=1,"D","F")))))))</f>
        <v/>
      </c>
      <c r="O18" s="3">
        <f>IF('Data Source'!B18="","",IF('Data Source'!AG18&gt;=5,"A+",IF('Data Source'!AG18&gt;=4,"A",IF('Data Source'!AG18&gt;=3.5,"A-",IF('Data Source'!AG18&gt;=3,"B",IF('Data Source'!AG18&gt;=2,"C",IF('Data Source'!AG18&gt;=1,"D","F")))))))</f>
        <v/>
      </c>
      <c r="P18" s="5">
        <f>IF('Data Source'!B18="","",'Data Source'!R18)</f>
        <v/>
      </c>
      <c r="Q18" s="3">
        <f>IF('Data Source'!B18="","",'Data Source'!S18)</f>
        <v/>
      </c>
    </row>
    <row r="19">
      <c r="A19" s="3">
        <f>IF('Data Source'!B19="","",'Data Source'!A19)</f>
        <v/>
      </c>
      <c r="B19">
        <f>IF('Data Source'!B19="","",'Data Source'!B19)</f>
        <v/>
      </c>
      <c r="C19" s="3">
        <f>IF('Data Source'!B19="","",IF('Data Source'!U19&gt;=5,"A+",IF('Data Source'!U19&gt;=4,"A",IF('Data Source'!U19&gt;=3.5,"A-",IF('Data Source'!U19&gt;=3,"B",IF('Data Source'!U19&gt;=2,"C",IF('Data Source'!U19&gt;=1,"D","F")))))))</f>
        <v/>
      </c>
      <c r="D19" s="3">
        <f>IF('Data Source'!B19="","",IF('Data Source'!V19&gt;=5,"A+",IF('Data Source'!V19&gt;=4,"A",IF('Data Source'!V19&gt;=3.5,"A-",IF('Data Source'!V19&gt;=3,"B",IF('Data Source'!V19&gt;=2,"C",IF('Data Source'!V19&gt;=1,"D","F")))))))</f>
        <v/>
      </c>
      <c r="E19" s="3">
        <f>IF('Data Source'!B19="","",IF('Data Source'!W19&gt;=5,"A+",IF('Data Source'!W19&gt;=4,"A",IF('Data Source'!W19&gt;=3.5,"A-",IF('Data Source'!W19&gt;=3,"B",IF('Data Source'!W19&gt;=2,"C",IF('Data Source'!W19&gt;=1,"D","F")))))))</f>
        <v/>
      </c>
      <c r="F19" s="3">
        <f>IF('Data Source'!B19="","",IF('Data Source'!X19&gt;=5,"A+",IF('Data Source'!X19&gt;=4,"A",IF('Data Source'!X19&gt;=3.5,"A-",IF('Data Source'!X19&gt;=3,"B",IF('Data Source'!X19&gt;=2,"C",IF('Data Source'!X19&gt;=1,"D","F")))))))</f>
        <v/>
      </c>
      <c r="G19" s="3">
        <f>IF('Data Source'!B19="","",IF('Data Source'!Y19&gt;=5,"A+",IF('Data Source'!Y19&gt;=4,"A",IF('Data Source'!Y19&gt;=3.5,"A-",IF('Data Source'!Y19&gt;=3,"B",IF('Data Source'!Y19&gt;=2,"C",IF('Data Source'!Y19&gt;=1,"D","F")))))))</f>
        <v/>
      </c>
      <c r="H19" s="3">
        <f>IF('Data Source'!B19="","",IF('Data Source'!Z19&gt;=5,"A+",IF('Data Source'!Z19&gt;=4,"A",IF('Data Source'!Z19&gt;=3.5,"A-",IF('Data Source'!Z19&gt;=3,"B",IF('Data Source'!Z19&gt;=2,"C",IF('Data Source'!Z19&gt;=1,"D","F")))))))</f>
        <v/>
      </c>
      <c r="I19" s="3">
        <f>IF('Data Source'!B19="","",IF('Data Source'!AA19&gt;=5,"A+",IF('Data Source'!AA19&gt;=4,"A",IF('Data Source'!AA19&gt;=3.5,"A-",IF('Data Source'!AA19&gt;=3,"B",IF('Data Source'!AA19&gt;=2,"C",IF('Data Source'!AA19&gt;=1,"D","F")))))))</f>
        <v/>
      </c>
      <c r="J19" s="3">
        <f>IF('Data Source'!B19="","",IF('Data Source'!AB19&gt;=5,"A+",IF('Data Source'!AB19&gt;=4,"A",IF('Data Source'!AB19&gt;=3.5,"A-",IF('Data Source'!AB19&gt;=3,"B",IF('Data Source'!AB19&gt;=2,"C",IF('Data Source'!AB19&gt;=1,"D","F")))))))</f>
        <v/>
      </c>
      <c r="K19" s="3">
        <f>IF('Data Source'!B19="","",IF('Data Source'!AC19&gt;=5,"A+",IF('Data Source'!AC19&gt;=4,"A",IF('Data Source'!AC19&gt;=3.5,"A-",IF('Data Source'!AC19&gt;=3,"B",IF('Data Source'!AC19&gt;=2,"C",IF('Data Source'!AC19&gt;=1,"D","F")))))))</f>
        <v/>
      </c>
      <c r="L19" s="3">
        <f>IF('Data Source'!B19="","",IF('Data Source'!AD19&gt;=5,"A+",IF('Data Source'!AD19&gt;=4,"A",IF('Data Source'!AD19&gt;=3.5,"A-",IF('Data Source'!AD19&gt;=3,"B",IF('Data Source'!AD19&gt;=2,"C",IF('Data Source'!AD19&gt;=1,"D","F")))))))</f>
        <v/>
      </c>
      <c r="M19" s="3">
        <f>IF('Data Source'!B19="","",IF('Data Source'!AE19&gt;=5,"A+",IF('Data Source'!AE19&gt;=4,"A",IF('Data Source'!AE19&gt;=3.5,"A-",IF('Data Source'!AE19&gt;=3,"B",IF('Data Source'!AE19&gt;=2,"C",IF('Data Source'!AE19&gt;=1,"D","F")))))))</f>
        <v/>
      </c>
      <c r="N19" s="3">
        <f>IF('Data Source'!B19="","",IF('Data Source'!AF19&gt;=5,"A+",IF('Data Source'!AF19&gt;=4,"A",IF('Data Source'!AF19&gt;=3.5,"A-",IF('Data Source'!AF19&gt;=3,"B",IF('Data Source'!AF19&gt;=2,"C",IF('Data Source'!AF19&gt;=1,"D","F")))))))</f>
        <v/>
      </c>
      <c r="O19" s="3">
        <f>IF('Data Source'!B19="","",IF('Data Source'!AG19&gt;=5,"A+",IF('Data Source'!AG19&gt;=4,"A",IF('Data Source'!AG19&gt;=3.5,"A-",IF('Data Source'!AG19&gt;=3,"B",IF('Data Source'!AG19&gt;=2,"C",IF('Data Source'!AG19&gt;=1,"D","F")))))))</f>
        <v/>
      </c>
      <c r="P19" s="5">
        <f>IF('Data Source'!B19="","",'Data Source'!R19)</f>
        <v/>
      </c>
      <c r="Q19" s="3">
        <f>IF('Data Source'!B19="","",'Data Source'!S19)</f>
        <v/>
      </c>
    </row>
    <row r="20">
      <c r="A20" s="3">
        <f>IF('Data Source'!B20="","",'Data Source'!A20)</f>
        <v/>
      </c>
      <c r="B20">
        <f>IF('Data Source'!B20="","",'Data Source'!B20)</f>
        <v/>
      </c>
      <c r="C20" s="3">
        <f>IF('Data Source'!B20="","",IF('Data Source'!U20&gt;=5,"A+",IF('Data Source'!U20&gt;=4,"A",IF('Data Source'!U20&gt;=3.5,"A-",IF('Data Source'!U20&gt;=3,"B",IF('Data Source'!U20&gt;=2,"C",IF('Data Source'!U20&gt;=1,"D","F")))))))</f>
        <v/>
      </c>
      <c r="D20" s="3">
        <f>IF('Data Source'!B20="","",IF('Data Source'!V20&gt;=5,"A+",IF('Data Source'!V20&gt;=4,"A",IF('Data Source'!V20&gt;=3.5,"A-",IF('Data Source'!V20&gt;=3,"B",IF('Data Source'!V20&gt;=2,"C",IF('Data Source'!V20&gt;=1,"D","F")))))))</f>
        <v/>
      </c>
      <c r="E20" s="3">
        <f>IF('Data Source'!B20="","",IF('Data Source'!W20&gt;=5,"A+",IF('Data Source'!W20&gt;=4,"A",IF('Data Source'!W20&gt;=3.5,"A-",IF('Data Source'!W20&gt;=3,"B",IF('Data Source'!W20&gt;=2,"C",IF('Data Source'!W20&gt;=1,"D","F")))))))</f>
        <v/>
      </c>
      <c r="F20" s="3">
        <f>IF('Data Source'!B20="","",IF('Data Source'!X20&gt;=5,"A+",IF('Data Source'!X20&gt;=4,"A",IF('Data Source'!X20&gt;=3.5,"A-",IF('Data Source'!X20&gt;=3,"B",IF('Data Source'!X20&gt;=2,"C",IF('Data Source'!X20&gt;=1,"D","F")))))))</f>
        <v/>
      </c>
      <c r="G20" s="3">
        <f>IF('Data Source'!B20="","",IF('Data Source'!Y20&gt;=5,"A+",IF('Data Source'!Y20&gt;=4,"A",IF('Data Source'!Y20&gt;=3.5,"A-",IF('Data Source'!Y20&gt;=3,"B",IF('Data Source'!Y20&gt;=2,"C",IF('Data Source'!Y20&gt;=1,"D","F")))))))</f>
        <v/>
      </c>
      <c r="H20" s="3">
        <f>IF('Data Source'!B20="","",IF('Data Source'!Z20&gt;=5,"A+",IF('Data Source'!Z20&gt;=4,"A",IF('Data Source'!Z20&gt;=3.5,"A-",IF('Data Source'!Z20&gt;=3,"B",IF('Data Source'!Z20&gt;=2,"C",IF('Data Source'!Z20&gt;=1,"D","F")))))))</f>
        <v/>
      </c>
      <c r="I20" s="3">
        <f>IF('Data Source'!B20="","",IF('Data Source'!AA20&gt;=5,"A+",IF('Data Source'!AA20&gt;=4,"A",IF('Data Source'!AA20&gt;=3.5,"A-",IF('Data Source'!AA20&gt;=3,"B",IF('Data Source'!AA20&gt;=2,"C",IF('Data Source'!AA20&gt;=1,"D","F")))))))</f>
        <v/>
      </c>
      <c r="J20" s="3">
        <f>IF('Data Source'!B20="","",IF('Data Source'!AB20&gt;=5,"A+",IF('Data Source'!AB20&gt;=4,"A",IF('Data Source'!AB20&gt;=3.5,"A-",IF('Data Source'!AB20&gt;=3,"B",IF('Data Source'!AB20&gt;=2,"C",IF('Data Source'!AB20&gt;=1,"D","F")))))))</f>
        <v/>
      </c>
      <c r="K20" s="3">
        <f>IF('Data Source'!B20="","",IF('Data Source'!AC20&gt;=5,"A+",IF('Data Source'!AC20&gt;=4,"A",IF('Data Source'!AC20&gt;=3.5,"A-",IF('Data Source'!AC20&gt;=3,"B",IF('Data Source'!AC20&gt;=2,"C",IF('Data Source'!AC20&gt;=1,"D","F")))))))</f>
        <v/>
      </c>
      <c r="L20" s="3">
        <f>IF('Data Source'!B20="","",IF('Data Source'!AD20&gt;=5,"A+",IF('Data Source'!AD20&gt;=4,"A",IF('Data Source'!AD20&gt;=3.5,"A-",IF('Data Source'!AD20&gt;=3,"B",IF('Data Source'!AD20&gt;=2,"C",IF('Data Source'!AD20&gt;=1,"D","F")))))))</f>
        <v/>
      </c>
      <c r="M20" s="3">
        <f>IF('Data Source'!B20="","",IF('Data Source'!AE20&gt;=5,"A+",IF('Data Source'!AE20&gt;=4,"A",IF('Data Source'!AE20&gt;=3.5,"A-",IF('Data Source'!AE20&gt;=3,"B",IF('Data Source'!AE20&gt;=2,"C",IF('Data Source'!AE20&gt;=1,"D","F")))))))</f>
        <v/>
      </c>
      <c r="N20" s="3">
        <f>IF('Data Source'!B20="","",IF('Data Source'!AF20&gt;=5,"A+",IF('Data Source'!AF20&gt;=4,"A",IF('Data Source'!AF20&gt;=3.5,"A-",IF('Data Source'!AF20&gt;=3,"B",IF('Data Source'!AF20&gt;=2,"C",IF('Data Source'!AF20&gt;=1,"D","F")))))))</f>
        <v/>
      </c>
      <c r="O20" s="3">
        <f>IF('Data Source'!B20="","",IF('Data Source'!AG20&gt;=5,"A+",IF('Data Source'!AG20&gt;=4,"A",IF('Data Source'!AG20&gt;=3.5,"A-",IF('Data Source'!AG20&gt;=3,"B",IF('Data Source'!AG20&gt;=2,"C",IF('Data Source'!AG20&gt;=1,"D","F")))))))</f>
        <v/>
      </c>
      <c r="P20" s="5">
        <f>IF('Data Source'!B20="","",'Data Source'!R20)</f>
        <v/>
      </c>
      <c r="Q20" s="3">
        <f>IF('Data Source'!B20="","",'Data Source'!S20)</f>
        <v/>
      </c>
    </row>
    <row r="21">
      <c r="A21" s="3">
        <f>IF('Data Source'!B21="","",'Data Source'!A21)</f>
        <v/>
      </c>
      <c r="B21">
        <f>IF('Data Source'!B21="","",'Data Source'!B21)</f>
        <v/>
      </c>
      <c r="C21" s="3">
        <f>IF('Data Source'!B21="","",IF('Data Source'!U21&gt;=5,"A+",IF('Data Source'!U21&gt;=4,"A",IF('Data Source'!U21&gt;=3.5,"A-",IF('Data Source'!U21&gt;=3,"B",IF('Data Source'!U21&gt;=2,"C",IF('Data Source'!U21&gt;=1,"D","F")))))))</f>
        <v/>
      </c>
      <c r="D21" s="3">
        <f>IF('Data Source'!B21="","",IF('Data Source'!V21&gt;=5,"A+",IF('Data Source'!V21&gt;=4,"A",IF('Data Source'!V21&gt;=3.5,"A-",IF('Data Source'!V21&gt;=3,"B",IF('Data Source'!V21&gt;=2,"C",IF('Data Source'!V21&gt;=1,"D","F")))))))</f>
        <v/>
      </c>
      <c r="E21" s="3">
        <f>IF('Data Source'!B21="","",IF('Data Source'!W21&gt;=5,"A+",IF('Data Source'!W21&gt;=4,"A",IF('Data Source'!W21&gt;=3.5,"A-",IF('Data Source'!W21&gt;=3,"B",IF('Data Source'!W21&gt;=2,"C",IF('Data Source'!W21&gt;=1,"D","F")))))))</f>
        <v/>
      </c>
      <c r="F21" s="3">
        <f>IF('Data Source'!B21="","",IF('Data Source'!X21&gt;=5,"A+",IF('Data Source'!X21&gt;=4,"A",IF('Data Source'!X21&gt;=3.5,"A-",IF('Data Source'!X21&gt;=3,"B",IF('Data Source'!X21&gt;=2,"C",IF('Data Source'!X21&gt;=1,"D","F")))))))</f>
        <v/>
      </c>
      <c r="G21" s="3">
        <f>IF('Data Source'!B21="","",IF('Data Source'!Y21&gt;=5,"A+",IF('Data Source'!Y21&gt;=4,"A",IF('Data Source'!Y21&gt;=3.5,"A-",IF('Data Source'!Y21&gt;=3,"B",IF('Data Source'!Y21&gt;=2,"C",IF('Data Source'!Y21&gt;=1,"D","F")))))))</f>
        <v/>
      </c>
      <c r="H21" s="3">
        <f>IF('Data Source'!B21="","",IF('Data Source'!Z21&gt;=5,"A+",IF('Data Source'!Z21&gt;=4,"A",IF('Data Source'!Z21&gt;=3.5,"A-",IF('Data Source'!Z21&gt;=3,"B",IF('Data Source'!Z21&gt;=2,"C",IF('Data Source'!Z21&gt;=1,"D","F")))))))</f>
        <v/>
      </c>
      <c r="I21" s="3">
        <f>IF('Data Source'!B21="","",IF('Data Source'!AA21&gt;=5,"A+",IF('Data Source'!AA21&gt;=4,"A",IF('Data Source'!AA21&gt;=3.5,"A-",IF('Data Source'!AA21&gt;=3,"B",IF('Data Source'!AA21&gt;=2,"C",IF('Data Source'!AA21&gt;=1,"D","F")))))))</f>
        <v/>
      </c>
      <c r="J21" s="3">
        <f>IF('Data Source'!B21="","",IF('Data Source'!AB21&gt;=5,"A+",IF('Data Source'!AB21&gt;=4,"A",IF('Data Source'!AB21&gt;=3.5,"A-",IF('Data Source'!AB21&gt;=3,"B",IF('Data Source'!AB21&gt;=2,"C",IF('Data Source'!AB21&gt;=1,"D","F")))))))</f>
        <v/>
      </c>
      <c r="K21" s="3">
        <f>IF('Data Source'!B21="","",IF('Data Source'!AC21&gt;=5,"A+",IF('Data Source'!AC21&gt;=4,"A",IF('Data Source'!AC21&gt;=3.5,"A-",IF('Data Source'!AC21&gt;=3,"B",IF('Data Source'!AC21&gt;=2,"C",IF('Data Source'!AC21&gt;=1,"D","F")))))))</f>
        <v/>
      </c>
      <c r="L21" s="3">
        <f>IF('Data Source'!B21="","",IF('Data Source'!AD21&gt;=5,"A+",IF('Data Source'!AD21&gt;=4,"A",IF('Data Source'!AD21&gt;=3.5,"A-",IF('Data Source'!AD21&gt;=3,"B",IF('Data Source'!AD21&gt;=2,"C",IF('Data Source'!AD21&gt;=1,"D","F")))))))</f>
        <v/>
      </c>
      <c r="M21" s="3">
        <f>IF('Data Source'!B21="","",IF('Data Source'!AE21&gt;=5,"A+",IF('Data Source'!AE21&gt;=4,"A",IF('Data Source'!AE21&gt;=3.5,"A-",IF('Data Source'!AE21&gt;=3,"B",IF('Data Source'!AE21&gt;=2,"C",IF('Data Source'!AE21&gt;=1,"D","F")))))))</f>
        <v/>
      </c>
      <c r="N21" s="3">
        <f>IF('Data Source'!B21="","",IF('Data Source'!AF21&gt;=5,"A+",IF('Data Source'!AF21&gt;=4,"A",IF('Data Source'!AF21&gt;=3.5,"A-",IF('Data Source'!AF21&gt;=3,"B",IF('Data Source'!AF21&gt;=2,"C",IF('Data Source'!AF21&gt;=1,"D","F")))))))</f>
        <v/>
      </c>
      <c r="O21" s="3">
        <f>IF('Data Source'!B21="","",IF('Data Source'!AG21&gt;=5,"A+",IF('Data Source'!AG21&gt;=4,"A",IF('Data Source'!AG21&gt;=3.5,"A-",IF('Data Source'!AG21&gt;=3,"B",IF('Data Source'!AG21&gt;=2,"C",IF('Data Source'!AG21&gt;=1,"D","F")))))))</f>
        <v/>
      </c>
      <c r="P21" s="5">
        <f>IF('Data Source'!B21="","",'Data Source'!R21)</f>
        <v/>
      </c>
      <c r="Q21" s="3">
        <f>IF('Data Source'!B21="","",'Data Source'!S21)</f>
        <v/>
      </c>
    </row>
    <row r="22">
      <c r="A22" s="3">
        <f>IF('Data Source'!B22="","",'Data Source'!A22)</f>
        <v/>
      </c>
      <c r="B22">
        <f>IF('Data Source'!B22="","",'Data Source'!B22)</f>
        <v/>
      </c>
      <c r="C22" s="3">
        <f>IF('Data Source'!B22="","",IF('Data Source'!U22&gt;=5,"A+",IF('Data Source'!U22&gt;=4,"A",IF('Data Source'!U22&gt;=3.5,"A-",IF('Data Source'!U22&gt;=3,"B",IF('Data Source'!U22&gt;=2,"C",IF('Data Source'!U22&gt;=1,"D","F")))))))</f>
        <v/>
      </c>
      <c r="D22" s="3">
        <f>IF('Data Source'!B22="","",IF('Data Source'!V22&gt;=5,"A+",IF('Data Source'!V22&gt;=4,"A",IF('Data Source'!V22&gt;=3.5,"A-",IF('Data Source'!V22&gt;=3,"B",IF('Data Source'!V22&gt;=2,"C",IF('Data Source'!V22&gt;=1,"D","F")))))))</f>
        <v/>
      </c>
      <c r="E22" s="3">
        <f>IF('Data Source'!B22="","",IF('Data Source'!W22&gt;=5,"A+",IF('Data Source'!W22&gt;=4,"A",IF('Data Source'!W22&gt;=3.5,"A-",IF('Data Source'!W22&gt;=3,"B",IF('Data Source'!W22&gt;=2,"C",IF('Data Source'!W22&gt;=1,"D","F")))))))</f>
        <v/>
      </c>
      <c r="F22" s="3">
        <f>IF('Data Source'!B22="","",IF('Data Source'!X22&gt;=5,"A+",IF('Data Source'!X22&gt;=4,"A",IF('Data Source'!X22&gt;=3.5,"A-",IF('Data Source'!X22&gt;=3,"B",IF('Data Source'!X22&gt;=2,"C",IF('Data Source'!X22&gt;=1,"D","F")))))))</f>
        <v/>
      </c>
      <c r="G22" s="3">
        <f>IF('Data Source'!B22="","",IF('Data Source'!Y22&gt;=5,"A+",IF('Data Source'!Y22&gt;=4,"A",IF('Data Source'!Y22&gt;=3.5,"A-",IF('Data Source'!Y22&gt;=3,"B",IF('Data Source'!Y22&gt;=2,"C",IF('Data Source'!Y22&gt;=1,"D","F")))))))</f>
        <v/>
      </c>
      <c r="H22" s="3">
        <f>IF('Data Source'!B22="","",IF('Data Source'!Z22&gt;=5,"A+",IF('Data Source'!Z22&gt;=4,"A",IF('Data Source'!Z22&gt;=3.5,"A-",IF('Data Source'!Z22&gt;=3,"B",IF('Data Source'!Z22&gt;=2,"C",IF('Data Source'!Z22&gt;=1,"D","F")))))))</f>
        <v/>
      </c>
      <c r="I22" s="3">
        <f>IF('Data Source'!B22="","",IF('Data Source'!AA22&gt;=5,"A+",IF('Data Source'!AA22&gt;=4,"A",IF('Data Source'!AA22&gt;=3.5,"A-",IF('Data Source'!AA22&gt;=3,"B",IF('Data Source'!AA22&gt;=2,"C",IF('Data Source'!AA22&gt;=1,"D","F")))))))</f>
        <v/>
      </c>
      <c r="J22" s="3">
        <f>IF('Data Source'!B22="","",IF('Data Source'!AB22&gt;=5,"A+",IF('Data Source'!AB22&gt;=4,"A",IF('Data Source'!AB22&gt;=3.5,"A-",IF('Data Source'!AB22&gt;=3,"B",IF('Data Source'!AB22&gt;=2,"C",IF('Data Source'!AB22&gt;=1,"D","F")))))))</f>
        <v/>
      </c>
      <c r="K22" s="3">
        <f>IF('Data Source'!B22="","",IF('Data Source'!AC22&gt;=5,"A+",IF('Data Source'!AC22&gt;=4,"A",IF('Data Source'!AC22&gt;=3.5,"A-",IF('Data Source'!AC22&gt;=3,"B",IF('Data Source'!AC22&gt;=2,"C",IF('Data Source'!AC22&gt;=1,"D","F")))))))</f>
        <v/>
      </c>
      <c r="L22" s="3">
        <f>IF('Data Source'!B22="","",IF('Data Source'!AD22&gt;=5,"A+",IF('Data Source'!AD22&gt;=4,"A",IF('Data Source'!AD22&gt;=3.5,"A-",IF('Data Source'!AD22&gt;=3,"B",IF('Data Source'!AD22&gt;=2,"C",IF('Data Source'!AD22&gt;=1,"D","F")))))))</f>
        <v/>
      </c>
      <c r="M22" s="3">
        <f>IF('Data Source'!B22="","",IF('Data Source'!AE22&gt;=5,"A+",IF('Data Source'!AE22&gt;=4,"A",IF('Data Source'!AE22&gt;=3.5,"A-",IF('Data Source'!AE22&gt;=3,"B",IF('Data Source'!AE22&gt;=2,"C",IF('Data Source'!AE22&gt;=1,"D","F")))))))</f>
        <v/>
      </c>
      <c r="N22" s="3">
        <f>IF('Data Source'!B22="","",IF('Data Source'!AF22&gt;=5,"A+",IF('Data Source'!AF22&gt;=4,"A",IF('Data Source'!AF22&gt;=3.5,"A-",IF('Data Source'!AF22&gt;=3,"B",IF('Data Source'!AF22&gt;=2,"C",IF('Data Source'!AF22&gt;=1,"D","F")))))))</f>
        <v/>
      </c>
      <c r="O22" s="3">
        <f>IF('Data Source'!B22="","",IF('Data Source'!AG22&gt;=5,"A+",IF('Data Source'!AG22&gt;=4,"A",IF('Data Source'!AG22&gt;=3.5,"A-",IF('Data Source'!AG22&gt;=3,"B",IF('Data Source'!AG22&gt;=2,"C",IF('Data Source'!AG22&gt;=1,"D","F")))))))</f>
        <v/>
      </c>
      <c r="P22" s="5">
        <f>IF('Data Source'!B22="","",'Data Source'!R22)</f>
        <v/>
      </c>
      <c r="Q22" s="3">
        <f>IF('Data Source'!B22="","",'Data Source'!S22)</f>
        <v/>
      </c>
    </row>
    <row r="23">
      <c r="A23" s="3">
        <f>IF('Data Source'!B23="","",'Data Source'!A23)</f>
        <v/>
      </c>
      <c r="B23">
        <f>IF('Data Source'!B23="","",'Data Source'!B23)</f>
        <v/>
      </c>
      <c r="C23" s="3">
        <f>IF('Data Source'!B23="","",IF('Data Source'!U23&gt;=5,"A+",IF('Data Source'!U23&gt;=4,"A",IF('Data Source'!U23&gt;=3.5,"A-",IF('Data Source'!U23&gt;=3,"B",IF('Data Source'!U23&gt;=2,"C",IF('Data Source'!U23&gt;=1,"D","F")))))))</f>
        <v/>
      </c>
      <c r="D23" s="3">
        <f>IF('Data Source'!B23="","",IF('Data Source'!V23&gt;=5,"A+",IF('Data Source'!V23&gt;=4,"A",IF('Data Source'!V23&gt;=3.5,"A-",IF('Data Source'!V23&gt;=3,"B",IF('Data Source'!V23&gt;=2,"C",IF('Data Source'!V23&gt;=1,"D","F")))))))</f>
        <v/>
      </c>
      <c r="E23" s="3">
        <f>IF('Data Source'!B23="","",IF('Data Source'!W23&gt;=5,"A+",IF('Data Source'!W23&gt;=4,"A",IF('Data Source'!W23&gt;=3.5,"A-",IF('Data Source'!W23&gt;=3,"B",IF('Data Source'!W23&gt;=2,"C",IF('Data Source'!W23&gt;=1,"D","F")))))))</f>
        <v/>
      </c>
      <c r="F23" s="3">
        <f>IF('Data Source'!B23="","",IF('Data Source'!X23&gt;=5,"A+",IF('Data Source'!X23&gt;=4,"A",IF('Data Source'!X23&gt;=3.5,"A-",IF('Data Source'!X23&gt;=3,"B",IF('Data Source'!X23&gt;=2,"C",IF('Data Source'!X23&gt;=1,"D","F")))))))</f>
        <v/>
      </c>
      <c r="G23" s="3">
        <f>IF('Data Source'!B23="","",IF('Data Source'!Y23&gt;=5,"A+",IF('Data Source'!Y23&gt;=4,"A",IF('Data Source'!Y23&gt;=3.5,"A-",IF('Data Source'!Y23&gt;=3,"B",IF('Data Source'!Y23&gt;=2,"C",IF('Data Source'!Y23&gt;=1,"D","F")))))))</f>
        <v/>
      </c>
      <c r="H23" s="3">
        <f>IF('Data Source'!B23="","",IF('Data Source'!Z23&gt;=5,"A+",IF('Data Source'!Z23&gt;=4,"A",IF('Data Source'!Z23&gt;=3.5,"A-",IF('Data Source'!Z23&gt;=3,"B",IF('Data Source'!Z23&gt;=2,"C",IF('Data Source'!Z23&gt;=1,"D","F")))))))</f>
        <v/>
      </c>
      <c r="I23" s="3">
        <f>IF('Data Source'!B23="","",IF('Data Source'!AA23&gt;=5,"A+",IF('Data Source'!AA23&gt;=4,"A",IF('Data Source'!AA23&gt;=3.5,"A-",IF('Data Source'!AA23&gt;=3,"B",IF('Data Source'!AA23&gt;=2,"C",IF('Data Source'!AA23&gt;=1,"D","F")))))))</f>
        <v/>
      </c>
      <c r="J23" s="3">
        <f>IF('Data Source'!B23="","",IF('Data Source'!AB23&gt;=5,"A+",IF('Data Source'!AB23&gt;=4,"A",IF('Data Source'!AB23&gt;=3.5,"A-",IF('Data Source'!AB23&gt;=3,"B",IF('Data Source'!AB23&gt;=2,"C",IF('Data Source'!AB23&gt;=1,"D","F")))))))</f>
        <v/>
      </c>
      <c r="K23" s="3">
        <f>IF('Data Source'!B23="","",IF('Data Source'!AC23&gt;=5,"A+",IF('Data Source'!AC23&gt;=4,"A",IF('Data Source'!AC23&gt;=3.5,"A-",IF('Data Source'!AC23&gt;=3,"B",IF('Data Source'!AC23&gt;=2,"C",IF('Data Source'!AC23&gt;=1,"D","F")))))))</f>
        <v/>
      </c>
      <c r="L23" s="3">
        <f>IF('Data Source'!B23="","",IF('Data Source'!AD23&gt;=5,"A+",IF('Data Source'!AD23&gt;=4,"A",IF('Data Source'!AD23&gt;=3.5,"A-",IF('Data Source'!AD23&gt;=3,"B",IF('Data Source'!AD23&gt;=2,"C",IF('Data Source'!AD23&gt;=1,"D","F")))))))</f>
        <v/>
      </c>
      <c r="M23" s="3">
        <f>IF('Data Source'!B23="","",IF('Data Source'!AE23&gt;=5,"A+",IF('Data Source'!AE23&gt;=4,"A",IF('Data Source'!AE23&gt;=3.5,"A-",IF('Data Source'!AE23&gt;=3,"B",IF('Data Source'!AE23&gt;=2,"C",IF('Data Source'!AE23&gt;=1,"D","F")))))))</f>
        <v/>
      </c>
      <c r="N23" s="3">
        <f>IF('Data Source'!B23="","",IF('Data Source'!AF23&gt;=5,"A+",IF('Data Source'!AF23&gt;=4,"A",IF('Data Source'!AF23&gt;=3.5,"A-",IF('Data Source'!AF23&gt;=3,"B",IF('Data Source'!AF23&gt;=2,"C",IF('Data Source'!AF23&gt;=1,"D","F")))))))</f>
        <v/>
      </c>
      <c r="O23" s="3">
        <f>IF('Data Source'!B23="","",IF('Data Source'!AG23&gt;=5,"A+",IF('Data Source'!AG23&gt;=4,"A",IF('Data Source'!AG23&gt;=3.5,"A-",IF('Data Source'!AG23&gt;=3,"B",IF('Data Source'!AG23&gt;=2,"C",IF('Data Source'!AG23&gt;=1,"D","F")))))))</f>
        <v/>
      </c>
      <c r="P23" s="5">
        <f>IF('Data Source'!B23="","",'Data Source'!R23)</f>
        <v/>
      </c>
      <c r="Q23" s="3">
        <f>IF('Data Source'!B23="","",'Data Source'!S23)</f>
        <v/>
      </c>
    </row>
    <row r="24">
      <c r="A24" s="3">
        <f>IF('Data Source'!B24="","",'Data Source'!A24)</f>
        <v/>
      </c>
      <c r="B24">
        <f>IF('Data Source'!B24="","",'Data Source'!B24)</f>
        <v/>
      </c>
      <c r="C24" s="3">
        <f>IF('Data Source'!B24="","",IF('Data Source'!U24&gt;=5,"A+",IF('Data Source'!U24&gt;=4,"A",IF('Data Source'!U24&gt;=3.5,"A-",IF('Data Source'!U24&gt;=3,"B",IF('Data Source'!U24&gt;=2,"C",IF('Data Source'!U24&gt;=1,"D","F")))))))</f>
        <v/>
      </c>
      <c r="D24" s="3">
        <f>IF('Data Source'!B24="","",IF('Data Source'!V24&gt;=5,"A+",IF('Data Source'!V24&gt;=4,"A",IF('Data Source'!V24&gt;=3.5,"A-",IF('Data Source'!V24&gt;=3,"B",IF('Data Source'!V24&gt;=2,"C",IF('Data Source'!V24&gt;=1,"D","F")))))))</f>
        <v/>
      </c>
      <c r="E24" s="3">
        <f>IF('Data Source'!B24="","",IF('Data Source'!W24&gt;=5,"A+",IF('Data Source'!W24&gt;=4,"A",IF('Data Source'!W24&gt;=3.5,"A-",IF('Data Source'!W24&gt;=3,"B",IF('Data Source'!W24&gt;=2,"C",IF('Data Source'!W24&gt;=1,"D","F")))))))</f>
        <v/>
      </c>
      <c r="F24" s="3">
        <f>IF('Data Source'!B24="","",IF('Data Source'!X24&gt;=5,"A+",IF('Data Source'!X24&gt;=4,"A",IF('Data Source'!X24&gt;=3.5,"A-",IF('Data Source'!X24&gt;=3,"B",IF('Data Source'!X24&gt;=2,"C",IF('Data Source'!X24&gt;=1,"D","F")))))))</f>
        <v/>
      </c>
      <c r="G24" s="3">
        <f>IF('Data Source'!B24="","",IF('Data Source'!Y24&gt;=5,"A+",IF('Data Source'!Y24&gt;=4,"A",IF('Data Source'!Y24&gt;=3.5,"A-",IF('Data Source'!Y24&gt;=3,"B",IF('Data Source'!Y24&gt;=2,"C",IF('Data Source'!Y24&gt;=1,"D","F")))))))</f>
        <v/>
      </c>
      <c r="H24" s="3">
        <f>IF('Data Source'!B24="","",IF('Data Source'!Z24&gt;=5,"A+",IF('Data Source'!Z24&gt;=4,"A",IF('Data Source'!Z24&gt;=3.5,"A-",IF('Data Source'!Z24&gt;=3,"B",IF('Data Source'!Z24&gt;=2,"C",IF('Data Source'!Z24&gt;=1,"D","F")))))))</f>
        <v/>
      </c>
      <c r="I24" s="3">
        <f>IF('Data Source'!B24="","",IF('Data Source'!AA24&gt;=5,"A+",IF('Data Source'!AA24&gt;=4,"A",IF('Data Source'!AA24&gt;=3.5,"A-",IF('Data Source'!AA24&gt;=3,"B",IF('Data Source'!AA24&gt;=2,"C",IF('Data Source'!AA24&gt;=1,"D","F")))))))</f>
        <v/>
      </c>
      <c r="J24" s="3">
        <f>IF('Data Source'!B24="","",IF('Data Source'!AB24&gt;=5,"A+",IF('Data Source'!AB24&gt;=4,"A",IF('Data Source'!AB24&gt;=3.5,"A-",IF('Data Source'!AB24&gt;=3,"B",IF('Data Source'!AB24&gt;=2,"C",IF('Data Source'!AB24&gt;=1,"D","F")))))))</f>
        <v/>
      </c>
      <c r="K24" s="3">
        <f>IF('Data Source'!B24="","",IF('Data Source'!AC24&gt;=5,"A+",IF('Data Source'!AC24&gt;=4,"A",IF('Data Source'!AC24&gt;=3.5,"A-",IF('Data Source'!AC24&gt;=3,"B",IF('Data Source'!AC24&gt;=2,"C",IF('Data Source'!AC24&gt;=1,"D","F")))))))</f>
        <v/>
      </c>
      <c r="L24" s="3">
        <f>IF('Data Source'!B24="","",IF('Data Source'!AD24&gt;=5,"A+",IF('Data Source'!AD24&gt;=4,"A",IF('Data Source'!AD24&gt;=3.5,"A-",IF('Data Source'!AD24&gt;=3,"B",IF('Data Source'!AD24&gt;=2,"C",IF('Data Source'!AD24&gt;=1,"D","F")))))))</f>
        <v/>
      </c>
      <c r="M24" s="3">
        <f>IF('Data Source'!B24="","",IF('Data Source'!AE24&gt;=5,"A+",IF('Data Source'!AE24&gt;=4,"A",IF('Data Source'!AE24&gt;=3.5,"A-",IF('Data Source'!AE24&gt;=3,"B",IF('Data Source'!AE24&gt;=2,"C",IF('Data Source'!AE24&gt;=1,"D","F")))))))</f>
        <v/>
      </c>
      <c r="N24" s="3">
        <f>IF('Data Source'!B24="","",IF('Data Source'!AF24&gt;=5,"A+",IF('Data Source'!AF24&gt;=4,"A",IF('Data Source'!AF24&gt;=3.5,"A-",IF('Data Source'!AF24&gt;=3,"B",IF('Data Source'!AF24&gt;=2,"C",IF('Data Source'!AF24&gt;=1,"D","F")))))))</f>
        <v/>
      </c>
      <c r="O24" s="3">
        <f>IF('Data Source'!B24="","",IF('Data Source'!AG24&gt;=5,"A+",IF('Data Source'!AG24&gt;=4,"A",IF('Data Source'!AG24&gt;=3.5,"A-",IF('Data Source'!AG24&gt;=3,"B",IF('Data Source'!AG24&gt;=2,"C",IF('Data Source'!AG24&gt;=1,"D","F")))))))</f>
        <v/>
      </c>
      <c r="P24" s="5">
        <f>IF('Data Source'!B24="","",'Data Source'!R24)</f>
        <v/>
      </c>
      <c r="Q24" s="3">
        <f>IF('Data Source'!B24="","",'Data Source'!S24)</f>
        <v/>
      </c>
    </row>
    <row r="25">
      <c r="A25" s="3">
        <f>IF('Data Source'!B25="","",'Data Source'!A25)</f>
        <v/>
      </c>
      <c r="B25">
        <f>IF('Data Source'!B25="","",'Data Source'!B25)</f>
        <v/>
      </c>
      <c r="C25" s="3">
        <f>IF('Data Source'!B25="","",IF('Data Source'!U25&gt;=5,"A+",IF('Data Source'!U25&gt;=4,"A",IF('Data Source'!U25&gt;=3.5,"A-",IF('Data Source'!U25&gt;=3,"B",IF('Data Source'!U25&gt;=2,"C",IF('Data Source'!U25&gt;=1,"D","F")))))))</f>
        <v/>
      </c>
      <c r="D25" s="3">
        <f>IF('Data Source'!B25="","",IF('Data Source'!V25&gt;=5,"A+",IF('Data Source'!V25&gt;=4,"A",IF('Data Source'!V25&gt;=3.5,"A-",IF('Data Source'!V25&gt;=3,"B",IF('Data Source'!V25&gt;=2,"C",IF('Data Source'!V25&gt;=1,"D","F")))))))</f>
        <v/>
      </c>
      <c r="E25" s="3">
        <f>IF('Data Source'!B25="","",IF('Data Source'!W25&gt;=5,"A+",IF('Data Source'!W25&gt;=4,"A",IF('Data Source'!W25&gt;=3.5,"A-",IF('Data Source'!W25&gt;=3,"B",IF('Data Source'!W25&gt;=2,"C",IF('Data Source'!W25&gt;=1,"D","F")))))))</f>
        <v/>
      </c>
      <c r="F25" s="3">
        <f>IF('Data Source'!B25="","",IF('Data Source'!X25&gt;=5,"A+",IF('Data Source'!X25&gt;=4,"A",IF('Data Source'!X25&gt;=3.5,"A-",IF('Data Source'!X25&gt;=3,"B",IF('Data Source'!X25&gt;=2,"C",IF('Data Source'!X25&gt;=1,"D","F")))))))</f>
        <v/>
      </c>
      <c r="G25" s="3">
        <f>IF('Data Source'!B25="","",IF('Data Source'!Y25&gt;=5,"A+",IF('Data Source'!Y25&gt;=4,"A",IF('Data Source'!Y25&gt;=3.5,"A-",IF('Data Source'!Y25&gt;=3,"B",IF('Data Source'!Y25&gt;=2,"C",IF('Data Source'!Y25&gt;=1,"D","F")))))))</f>
        <v/>
      </c>
      <c r="H25" s="3">
        <f>IF('Data Source'!B25="","",IF('Data Source'!Z25&gt;=5,"A+",IF('Data Source'!Z25&gt;=4,"A",IF('Data Source'!Z25&gt;=3.5,"A-",IF('Data Source'!Z25&gt;=3,"B",IF('Data Source'!Z25&gt;=2,"C",IF('Data Source'!Z25&gt;=1,"D","F")))))))</f>
        <v/>
      </c>
      <c r="I25" s="3">
        <f>IF('Data Source'!B25="","",IF('Data Source'!AA25&gt;=5,"A+",IF('Data Source'!AA25&gt;=4,"A",IF('Data Source'!AA25&gt;=3.5,"A-",IF('Data Source'!AA25&gt;=3,"B",IF('Data Source'!AA25&gt;=2,"C",IF('Data Source'!AA25&gt;=1,"D","F")))))))</f>
        <v/>
      </c>
      <c r="J25" s="3">
        <f>IF('Data Source'!B25="","",IF('Data Source'!AB25&gt;=5,"A+",IF('Data Source'!AB25&gt;=4,"A",IF('Data Source'!AB25&gt;=3.5,"A-",IF('Data Source'!AB25&gt;=3,"B",IF('Data Source'!AB25&gt;=2,"C",IF('Data Source'!AB25&gt;=1,"D","F")))))))</f>
        <v/>
      </c>
      <c r="K25" s="3">
        <f>IF('Data Source'!B25="","",IF('Data Source'!AC25&gt;=5,"A+",IF('Data Source'!AC25&gt;=4,"A",IF('Data Source'!AC25&gt;=3.5,"A-",IF('Data Source'!AC25&gt;=3,"B",IF('Data Source'!AC25&gt;=2,"C",IF('Data Source'!AC25&gt;=1,"D","F")))))))</f>
        <v/>
      </c>
      <c r="L25" s="3">
        <f>IF('Data Source'!B25="","",IF('Data Source'!AD25&gt;=5,"A+",IF('Data Source'!AD25&gt;=4,"A",IF('Data Source'!AD25&gt;=3.5,"A-",IF('Data Source'!AD25&gt;=3,"B",IF('Data Source'!AD25&gt;=2,"C",IF('Data Source'!AD25&gt;=1,"D","F")))))))</f>
        <v/>
      </c>
      <c r="M25" s="3">
        <f>IF('Data Source'!B25="","",IF('Data Source'!AE25&gt;=5,"A+",IF('Data Source'!AE25&gt;=4,"A",IF('Data Source'!AE25&gt;=3.5,"A-",IF('Data Source'!AE25&gt;=3,"B",IF('Data Source'!AE25&gt;=2,"C",IF('Data Source'!AE25&gt;=1,"D","F")))))))</f>
        <v/>
      </c>
      <c r="N25" s="3">
        <f>IF('Data Source'!B25="","",IF('Data Source'!AF25&gt;=5,"A+",IF('Data Source'!AF25&gt;=4,"A",IF('Data Source'!AF25&gt;=3.5,"A-",IF('Data Source'!AF25&gt;=3,"B",IF('Data Source'!AF25&gt;=2,"C",IF('Data Source'!AF25&gt;=1,"D","F")))))))</f>
        <v/>
      </c>
      <c r="O25" s="3">
        <f>IF('Data Source'!B25="","",IF('Data Source'!AG25&gt;=5,"A+",IF('Data Source'!AG25&gt;=4,"A",IF('Data Source'!AG25&gt;=3.5,"A-",IF('Data Source'!AG25&gt;=3,"B",IF('Data Source'!AG25&gt;=2,"C",IF('Data Source'!AG25&gt;=1,"D","F")))))))</f>
        <v/>
      </c>
      <c r="P25" s="5">
        <f>IF('Data Source'!B25="","",'Data Source'!R25)</f>
        <v/>
      </c>
      <c r="Q25" s="3">
        <f>IF('Data Source'!B25="","",'Data Source'!S25)</f>
        <v/>
      </c>
    </row>
    <row r="26">
      <c r="A26" s="3">
        <f>IF('Data Source'!B26="","",'Data Source'!A26)</f>
        <v/>
      </c>
      <c r="B26">
        <f>IF('Data Source'!B26="","",'Data Source'!B26)</f>
        <v/>
      </c>
      <c r="C26" s="3">
        <f>IF('Data Source'!B26="","",IF('Data Source'!U26&gt;=5,"A+",IF('Data Source'!U26&gt;=4,"A",IF('Data Source'!U26&gt;=3.5,"A-",IF('Data Source'!U26&gt;=3,"B",IF('Data Source'!U26&gt;=2,"C",IF('Data Source'!U26&gt;=1,"D","F")))))))</f>
        <v/>
      </c>
      <c r="D26" s="3">
        <f>IF('Data Source'!B26="","",IF('Data Source'!V26&gt;=5,"A+",IF('Data Source'!V26&gt;=4,"A",IF('Data Source'!V26&gt;=3.5,"A-",IF('Data Source'!V26&gt;=3,"B",IF('Data Source'!V26&gt;=2,"C",IF('Data Source'!V26&gt;=1,"D","F")))))))</f>
        <v/>
      </c>
      <c r="E26" s="3">
        <f>IF('Data Source'!B26="","",IF('Data Source'!W26&gt;=5,"A+",IF('Data Source'!W26&gt;=4,"A",IF('Data Source'!W26&gt;=3.5,"A-",IF('Data Source'!W26&gt;=3,"B",IF('Data Source'!W26&gt;=2,"C",IF('Data Source'!W26&gt;=1,"D","F")))))))</f>
        <v/>
      </c>
      <c r="F26" s="3">
        <f>IF('Data Source'!B26="","",IF('Data Source'!X26&gt;=5,"A+",IF('Data Source'!X26&gt;=4,"A",IF('Data Source'!X26&gt;=3.5,"A-",IF('Data Source'!X26&gt;=3,"B",IF('Data Source'!X26&gt;=2,"C",IF('Data Source'!X26&gt;=1,"D","F")))))))</f>
        <v/>
      </c>
      <c r="G26" s="3">
        <f>IF('Data Source'!B26="","",IF('Data Source'!Y26&gt;=5,"A+",IF('Data Source'!Y26&gt;=4,"A",IF('Data Source'!Y26&gt;=3.5,"A-",IF('Data Source'!Y26&gt;=3,"B",IF('Data Source'!Y26&gt;=2,"C",IF('Data Source'!Y26&gt;=1,"D","F")))))))</f>
        <v/>
      </c>
      <c r="H26" s="3">
        <f>IF('Data Source'!B26="","",IF('Data Source'!Z26&gt;=5,"A+",IF('Data Source'!Z26&gt;=4,"A",IF('Data Source'!Z26&gt;=3.5,"A-",IF('Data Source'!Z26&gt;=3,"B",IF('Data Source'!Z26&gt;=2,"C",IF('Data Source'!Z26&gt;=1,"D","F")))))))</f>
        <v/>
      </c>
      <c r="I26" s="3">
        <f>IF('Data Source'!B26="","",IF('Data Source'!AA26&gt;=5,"A+",IF('Data Source'!AA26&gt;=4,"A",IF('Data Source'!AA26&gt;=3.5,"A-",IF('Data Source'!AA26&gt;=3,"B",IF('Data Source'!AA26&gt;=2,"C",IF('Data Source'!AA26&gt;=1,"D","F")))))))</f>
        <v/>
      </c>
      <c r="J26" s="3">
        <f>IF('Data Source'!B26="","",IF('Data Source'!AB26&gt;=5,"A+",IF('Data Source'!AB26&gt;=4,"A",IF('Data Source'!AB26&gt;=3.5,"A-",IF('Data Source'!AB26&gt;=3,"B",IF('Data Source'!AB26&gt;=2,"C",IF('Data Source'!AB26&gt;=1,"D","F")))))))</f>
        <v/>
      </c>
      <c r="K26" s="3">
        <f>IF('Data Source'!B26="","",IF('Data Source'!AC26&gt;=5,"A+",IF('Data Source'!AC26&gt;=4,"A",IF('Data Source'!AC26&gt;=3.5,"A-",IF('Data Source'!AC26&gt;=3,"B",IF('Data Source'!AC26&gt;=2,"C",IF('Data Source'!AC26&gt;=1,"D","F")))))))</f>
        <v/>
      </c>
      <c r="L26" s="3">
        <f>IF('Data Source'!B26="","",IF('Data Source'!AD26&gt;=5,"A+",IF('Data Source'!AD26&gt;=4,"A",IF('Data Source'!AD26&gt;=3.5,"A-",IF('Data Source'!AD26&gt;=3,"B",IF('Data Source'!AD26&gt;=2,"C",IF('Data Source'!AD26&gt;=1,"D","F")))))))</f>
        <v/>
      </c>
      <c r="M26" s="3">
        <f>IF('Data Source'!B26="","",IF('Data Source'!AE26&gt;=5,"A+",IF('Data Source'!AE26&gt;=4,"A",IF('Data Source'!AE26&gt;=3.5,"A-",IF('Data Source'!AE26&gt;=3,"B",IF('Data Source'!AE26&gt;=2,"C",IF('Data Source'!AE26&gt;=1,"D","F")))))))</f>
        <v/>
      </c>
      <c r="N26" s="3">
        <f>IF('Data Source'!B26="","",IF('Data Source'!AF26&gt;=5,"A+",IF('Data Source'!AF26&gt;=4,"A",IF('Data Source'!AF26&gt;=3.5,"A-",IF('Data Source'!AF26&gt;=3,"B",IF('Data Source'!AF26&gt;=2,"C",IF('Data Source'!AF26&gt;=1,"D","F")))))))</f>
        <v/>
      </c>
      <c r="O26" s="3">
        <f>IF('Data Source'!B26="","",IF('Data Source'!AG26&gt;=5,"A+",IF('Data Source'!AG26&gt;=4,"A",IF('Data Source'!AG26&gt;=3.5,"A-",IF('Data Source'!AG26&gt;=3,"B",IF('Data Source'!AG26&gt;=2,"C",IF('Data Source'!AG26&gt;=1,"D","F")))))))</f>
        <v/>
      </c>
      <c r="P26" s="5">
        <f>IF('Data Source'!B26="","",'Data Source'!R26)</f>
        <v/>
      </c>
      <c r="Q26" s="3">
        <f>IF('Data Source'!B26="","",'Data Source'!S26)</f>
        <v/>
      </c>
    </row>
    <row r="27">
      <c r="A27" s="3">
        <f>IF('Data Source'!B27="","",'Data Source'!A27)</f>
        <v/>
      </c>
      <c r="B27">
        <f>IF('Data Source'!B27="","",'Data Source'!B27)</f>
        <v/>
      </c>
      <c r="C27" s="3">
        <f>IF('Data Source'!B27="","",IF('Data Source'!U27&gt;=5,"A+",IF('Data Source'!U27&gt;=4,"A",IF('Data Source'!U27&gt;=3.5,"A-",IF('Data Source'!U27&gt;=3,"B",IF('Data Source'!U27&gt;=2,"C",IF('Data Source'!U27&gt;=1,"D","F")))))))</f>
        <v/>
      </c>
      <c r="D27" s="3">
        <f>IF('Data Source'!B27="","",IF('Data Source'!V27&gt;=5,"A+",IF('Data Source'!V27&gt;=4,"A",IF('Data Source'!V27&gt;=3.5,"A-",IF('Data Source'!V27&gt;=3,"B",IF('Data Source'!V27&gt;=2,"C",IF('Data Source'!V27&gt;=1,"D","F")))))))</f>
        <v/>
      </c>
      <c r="E27" s="3">
        <f>IF('Data Source'!B27="","",IF('Data Source'!W27&gt;=5,"A+",IF('Data Source'!W27&gt;=4,"A",IF('Data Source'!W27&gt;=3.5,"A-",IF('Data Source'!W27&gt;=3,"B",IF('Data Source'!W27&gt;=2,"C",IF('Data Source'!W27&gt;=1,"D","F")))))))</f>
        <v/>
      </c>
      <c r="F27" s="3">
        <f>IF('Data Source'!B27="","",IF('Data Source'!X27&gt;=5,"A+",IF('Data Source'!X27&gt;=4,"A",IF('Data Source'!X27&gt;=3.5,"A-",IF('Data Source'!X27&gt;=3,"B",IF('Data Source'!X27&gt;=2,"C",IF('Data Source'!X27&gt;=1,"D","F")))))))</f>
        <v/>
      </c>
      <c r="G27" s="3">
        <f>IF('Data Source'!B27="","",IF('Data Source'!Y27&gt;=5,"A+",IF('Data Source'!Y27&gt;=4,"A",IF('Data Source'!Y27&gt;=3.5,"A-",IF('Data Source'!Y27&gt;=3,"B",IF('Data Source'!Y27&gt;=2,"C",IF('Data Source'!Y27&gt;=1,"D","F")))))))</f>
        <v/>
      </c>
      <c r="H27" s="3">
        <f>IF('Data Source'!B27="","",IF('Data Source'!Z27&gt;=5,"A+",IF('Data Source'!Z27&gt;=4,"A",IF('Data Source'!Z27&gt;=3.5,"A-",IF('Data Source'!Z27&gt;=3,"B",IF('Data Source'!Z27&gt;=2,"C",IF('Data Source'!Z27&gt;=1,"D","F")))))))</f>
        <v/>
      </c>
      <c r="I27" s="3">
        <f>IF('Data Source'!B27="","",IF('Data Source'!AA27&gt;=5,"A+",IF('Data Source'!AA27&gt;=4,"A",IF('Data Source'!AA27&gt;=3.5,"A-",IF('Data Source'!AA27&gt;=3,"B",IF('Data Source'!AA27&gt;=2,"C",IF('Data Source'!AA27&gt;=1,"D","F")))))))</f>
        <v/>
      </c>
      <c r="J27" s="3">
        <f>IF('Data Source'!B27="","",IF('Data Source'!AB27&gt;=5,"A+",IF('Data Source'!AB27&gt;=4,"A",IF('Data Source'!AB27&gt;=3.5,"A-",IF('Data Source'!AB27&gt;=3,"B",IF('Data Source'!AB27&gt;=2,"C",IF('Data Source'!AB27&gt;=1,"D","F")))))))</f>
        <v/>
      </c>
      <c r="K27" s="3">
        <f>IF('Data Source'!B27="","",IF('Data Source'!AC27&gt;=5,"A+",IF('Data Source'!AC27&gt;=4,"A",IF('Data Source'!AC27&gt;=3.5,"A-",IF('Data Source'!AC27&gt;=3,"B",IF('Data Source'!AC27&gt;=2,"C",IF('Data Source'!AC27&gt;=1,"D","F")))))))</f>
        <v/>
      </c>
      <c r="L27" s="3">
        <f>IF('Data Source'!B27="","",IF('Data Source'!AD27&gt;=5,"A+",IF('Data Source'!AD27&gt;=4,"A",IF('Data Source'!AD27&gt;=3.5,"A-",IF('Data Source'!AD27&gt;=3,"B",IF('Data Source'!AD27&gt;=2,"C",IF('Data Source'!AD27&gt;=1,"D","F")))))))</f>
        <v/>
      </c>
      <c r="M27" s="3">
        <f>IF('Data Source'!B27="","",IF('Data Source'!AE27&gt;=5,"A+",IF('Data Source'!AE27&gt;=4,"A",IF('Data Source'!AE27&gt;=3.5,"A-",IF('Data Source'!AE27&gt;=3,"B",IF('Data Source'!AE27&gt;=2,"C",IF('Data Source'!AE27&gt;=1,"D","F")))))))</f>
        <v/>
      </c>
      <c r="N27" s="3">
        <f>IF('Data Source'!B27="","",IF('Data Source'!AF27&gt;=5,"A+",IF('Data Source'!AF27&gt;=4,"A",IF('Data Source'!AF27&gt;=3.5,"A-",IF('Data Source'!AF27&gt;=3,"B",IF('Data Source'!AF27&gt;=2,"C",IF('Data Source'!AF27&gt;=1,"D","F")))))))</f>
        <v/>
      </c>
      <c r="O27" s="3">
        <f>IF('Data Source'!B27="","",IF('Data Source'!AG27&gt;=5,"A+",IF('Data Source'!AG27&gt;=4,"A",IF('Data Source'!AG27&gt;=3.5,"A-",IF('Data Source'!AG27&gt;=3,"B",IF('Data Source'!AG27&gt;=2,"C",IF('Data Source'!AG27&gt;=1,"D","F")))))))</f>
        <v/>
      </c>
      <c r="P27" s="5">
        <f>IF('Data Source'!B27="","",'Data Source'!R27)</f>
        <v/>
      </c>
      <c r="Q27" s="3">
        <f>IF('Data Source'!B27="","",'Data Source'!S27)</f>
        <v/>
      </c>
    </row>
    <row r="28">
      <c r="A28" s="3">
        <f>IF('Data Source'!B28="","",'Data Source'!A28)</f>
        <v/>
      </c>
      <c r="B28">
        <f>IF('Data Source'!B28="","",'Data Source'!B28)</f>
        <v/>
      </c>
      <c r="C28" s="3">
        <f>IF('Data Source'!B28="","",IF('Data Source'!U28&gt;=5,"A+",IF('Data Source'!U28&gt;=4,"A",IF('Data Source'!U28&gt;=3.5,"A-",IF('Data Source'!U28&gt;=3,"B",IF('Data Source'!U28&gt;=2,"C",IF('Data Source'!U28&gt;=1,"D","F")))))))</f>
        <v/>
      </c>
      <c r="D28" s="3">
        <f>IF('Data Source'!B28="","",IF('Data Source'!V28&gt;=5,"A+",IF('Data Source'!V28&gt;=4,"A",IF('Data Source'!V28&gt;=3.5,"A-",IF('Data Source'!V28&gt;=3,"B",IF('Data Source'!V28&gt;=2,"C",IF('Data Source'!V28&gt;=1,"D","F")))))))</f>
        <v/>
      </c>
      <c r="E28" s="3">
        <f>IF('Data Source'!B28="","",IF('Data Source'!W28&gt;=5,"A+",IF('Data Source'!W28&gt;=4,"A",IF('Data Source'!W28&gt;=3.5,"A-",IF('Data Source'!W28&gt;=3,"B",IF('Data Source'!W28&gt;=2,"C",IF('Data Source'!W28&gt;=1,"D","F")))))))</f>
        <v/>
      </c>
      <c r="F28" s="3">
        <f>IF('Data Source'!B28="","",IF('Data Source'!X28&gt;=5,"A+",IF('Data Source'!X28&gt;=4,"A",IF('Data Source'!X28&gt;=3.5,"A-",IF('Data Source'!X28&gt;=3,"B",IF('Data Source'!X28&gt;=2,"C",IF('Data Source'!X28&gt;=1,"D","F")))))))</f>
        <v/>
      </c>
      <c r="G28" s="3">
        <f>IF('Data Source'!B28="","",IF('Data Source'!Y28&gt;=5,"A+",IF('Data Source'!Y28&gt;=4,"A",IF('Data Source'!Y28&gt;=3.5,"A-",IF('Data Source'!Y28&gt;=3,"B",IF('Data Source'!Y28&gt;=2,"C",IF('Data Source'!Y28&gt;=1,"D","F")))))))</f>
        <v/>
      </c>
      <c r="H28" s="3">
        <f>IF('Data Source'!B28="","",IF('Data Source'!Z28&gt;=5,"A+",IF('Data Source'!Z28&gt;=4,"A",IF('Data Source'!Z28&gt;=3.5,"A-",IF('Data Source'!Z28&gt;=3,"B",IF('Data Source'!Z28&gt;=2,"C",IF('Data Source'!Z28&gt;=1,"D","F")))))))</f>
        <v/>
      </c>
      <c r="I28" s="3">
        <f>IF('Data Source'!B28="","",IF('Data Source'!AA28&gt;=5,"A+",IF('Data Source'!AA28&gt;=4,"A",IF('Data Source'!AA28&gt;=3.5,"A-",IF('Data Source'!AA28&gt;=3,"B",IF('Data Source'!AA28&gt;=2,"C",IF('Data Source'!AA28&gt;=1,"D","F")))))))</f>
        <v/>
      </c>
      <c r="J28" s="3">
        <f>IF('Data Source'!B28="","",IF('Data Source'!AB28&gt;=5,"A+",IF('Data Source'!AB28&gt;=4,"A",IF('Data Source'!AB28&gt;=3.5,"A-",IF('Data Source'!AB28&gt;=3,"B",IF('Data Source'!AB28&gt;=2,"C",IF('Data Source'!AB28&gt;=1,"D","F")))))))</f>
        <v/>
      </c>
      <c r="K28" s="3">
        <f>IF('Data Source'!B28="","",IF('Data Source'!AC28&gt;=5,"A+",IF('Data Source'!AC28&gt;=4,"A",IF('Data Source'!AC28&gt;=3.5,"A-",IF('Data Source'!AC28&gt;=3,"B",IF('Data Source'!AC28&gt;=2,"C",IF('Data Source'!AC28&gt;=1,"D","F")))))))</f>
        <v/>
      </c>
      <c r="L28" s="3">
        <f>IF('Data Source'!B28="","",IF('Data Source'!AD28&gt;=5,"A+",IF('Data Source'!AD28&gt;=4,"A",IF('Data Source'!AD28&gt;=3.5,"A-",IF('Data Source'!AD28&gt;=3,"B",IF('Data Source'!AD28&gt;=2,"C",IF('Data Source'!AD28&gt;=1,"D","F")))))))</f>
        <v/>
      </c>
      <c r="M28" s="3">
        <f>IF('Data Source'!B28="","",IF('Data Source'!AE28&gt;=5,"A+",IF('Data Source'!AE28&gt;=4,"A",IF('Data Source'!AE28&gt;=3.5,"A-",IF('Data Source'!AE28&gt;=3,"B",IF('Data Source'!AE28&gt;=2,"C",IF('Data Source'!AE28&gt;=1,"D","F")))))))</f>
        <v/>
      </c>
      <c r="N28" s="3">
        <f>IF('Data Source'!B28="","",IF('Data Source'!AF28&gt;=5,"A+",IF('Data Source'!AF28&gt;=4,"A",IF('Data Source'!AF28&gt;=3.5,"A-",IF('Data Source'!AF28&gt;=3,"B",IF('Data Source'!AF28&gt;=2,"C",IF('Data Source'!AF28&gt;=1,"D","F")))))))</f>
        <v/>
      </c>
      <c r="O28" s="3">
        <f>IF('Data Source'!B28="","",IF('Data Source'!AG28&gt;=5,"A+",IF('Data Source'!AG28&gt;=4,"A",IF('Data Source'!AG28&gt;=3.5,"A-",IF('Data Source'!AG28&gt;=3,"B",IF('Data Source'!AG28&gt;=2,"C",IF('Data Source'!AG28&gt;=1,"D","F")))))))</f>
        <v/>
      </c>
      <c r="P28" s="5">
        <f>IF('Data Source'!B28="","",'Data Source'!R28)</f>
        <v/>
      </c>
      <c r="Q28" s="3">
        <f>IF('Data Source'!B28="","",'Data Source'!S28)</f>
        <v/>
      </c>
    </row>
    <row r="29">
      <c r="A29" s="3">
        <f>IF('Data Source'!B29="","",'Data Source'!A29)</f>
        <v/>
      </c>
      <c r="B29">
        <f>IF('Data Source'!B29="","",'Data Source'!B29)</f>
        <v/>
      </c>
      <c r="C29" s="3">
        <f>IF('Data Source'!B29="","",IF('Data Source'!U29&gt;=5,"A+",IF('Data Source'!U29&gt;=4,"A",IF('Data Source'!U29&gt;=3.5,"A-",IF('Data Source'!U29&gt;=3,"B",IF('Data Source'!U29&gt;=2,"C",IF('Data Source'!U29&gt;=1,"D","F")))))))</f>
        <v/>
      </c>
      <c r="D29" s="3">
        <f>IF('Data Source'!B29="","",IF('Data Source'!V29&gt;=5,"A+",IF('Data Source'!V29&gt;=4,"A",IF('Data Source'!V29&gt;=3.5,"A-",IF('Data Source'!V29&gt;=3,"B",IF('Data Source'!V29&gt;=2,"C",IF('Data Source'!V29&gt;=1,"D","F")))))))</f>
        <v/>
      </c>
      <c r="E29" s="3">
        <f>IF('Data Source'!B29="","",IF('Data Source'!W29&gt;=5,"A+",IF('Data Source'!W29&gt;=4,"A",IF('Data Source'!W29&gt;=3.5,"A-",IF('Data Source'!W29&gt;=3,"B",IF('Data Source'!W29&gt;=2,"C",IF('Data Source'!W29&gt;=1,"D","F")))))))</f>
        <v/>
      </c>
      <c r="F29" s="3">
        <f>IF('Data Source'!B29="","",IF('Data Source'!X29&gt;=5,"A+",IF('Data Source'!X29&gt;=4,"A",IF('Data Source'!X29&gt;=3.5,"A-",IF('Data Source'!X29&gt;=3,"B",IF('Data Source'!X29&gt;=2,"C",IF('Data Source'!X29&gt;=1,"D","F")))))))</f>
        <v/>
      </c>
      <c r="G29" s="3">
        <f>IF('Data Source'!B29="","",IF('Data Source'!Y29&gt;=5,"A+",IF('Data Source'!Y29&gt;=4,"A",IF('Data Source'!Y29&gt;=3.5,"A-",IF('Data Source'!Y29&gt;=3,"B",IF('Data Source'!Y29&gt;=2,"C",IF('Data Source'!Y29&gt;=1,"D","F")))))))</f>
        <v/>
      </c>
      <c r="H29" s="3">
        <f>IF('Data Source'!B29="","",IF('Data Source'!Z29&gt;=5,"A+",IF('Data Source'!Z29&gt;=4,"A",IF('Data Source'!Z29&gt;=3.5,"A-",IF('Data Source'!Z29&gt;=3,"B",IF('Data Source'!Z29&gt;=2,"C",IF('Data Source'!Z29&gt;=1,"D","F")))))))</f>
        <v/>
      </c>
      <c r="I29" s="3">
        <f>IF('Data Source'!B29="","",IF('Data Source'!AA29&gt;=5,"A+",IF('Data Source'!AA29&gt;=4,"A",IF('Data Source'!AA29&gt;=3.5,"A-",IF('Data Source'!AA29&gt;=3,"B",IF('Data Source'!AA29&gt;=2,"C",IF('Data Source'!AA29&gt;=1,"D","F")))))))</f>
        <v/>
      </c>
      <c r="J29" s="3">
        <f>IF('Data Source'!B29="","",IF('Data Source'!AB29&gt;=5,"A+",IF('Data Source'!AB29&gt;=4,"A",IF('Data Source'!AB29&gt;=3.5,"A-",IF('Data Source'!AB29&gt;=3,"B",IF('Data Source'!AB29&gt;=2,"C",IF('Data Source'!AB29&gt;=1,"D","F")))))))</f>
        <v/>
      </c>
      <c r="K29" s="3">
        <f>IF('Data Source'!B29="","",IF('Data Source'!AC29&gt;=5,"A+",IF('Data Source'!AC29&gt;=4,"A",IF('Data Source'!AC29&gt;=3.5,"A-",IF('Data Source'!AC29&gt;=3,"B",IF('Data Source'!AC29&gt;=2,"C",IF('Data Source'!AC29&gt;=1,"D","F")))))))</f>
        <v/>
      </c>
      <c r="L29" s="3">
        <f>IF('Data Source'!B29="","",IF('Data Source'!AD29&gt;=5,"A+",IF('Data Source'!AD29&gt;=4,"A",IF('Data Source'!AD29&gt;=3.5,"A-",IF('Data Source'!AD29&gt;=3,"B",IF('Data Source'!AD29&gt;=2,"C",IF('Data Source'!AD29&gt;=1,"D","F")))))))</f>
        <v/>
      </c>
      <c r="M29" s="3">
        <f>IF('Data Source'!B29="","",IF('Data Source'!AE29&gt;=5,"A+",IF('Data Source'!AE29&gt;=4,"A",IF('Data Source'!AE29&gt;=3.5,"A-",IF('Data Source'!AE29&gt;=3,"B",IF('Data Source'!AE29&gt;=2,"C",IF('Data Source'!AE29&gt;=1,"D","F")))))))</f>
        <v/>
      </c>
      <c r="N29" s="3">
        <f>IF('Data Source'!B29="","",IF('Data Source'!AF29&gt;=5,"A+",IF('Data Source'!AF29&gt;=4,"A",IF('Data Source'!AF29&gt;=3.5,"A-",IF('Data Source'!AF29&gt;=3,"B",IF('Data Source'!AF29&gt;=2,"C",IF('Data Source'!AF29&gt;=1,"D","F")))))))</f>
        <v/>
      </c>
      <c r="O29" s="3">
        <f>IF('Data Source'!B29="","",IF('Data Source'!AG29&gt;=5,"A+",IF('Data Source'!AG29&gt;=4,"A",IF('Data Source'!AG29&gt;=3.5,"A-",IF('Data Source'!AG29&gt;=3,"B",IF('Data Source'!AG29&gt;=2,"C",IF('Data Source'!AG29&gt;=1,"D","F")))))))</f>
        <v/>
      </c>
      <c r="P29" s="5">
        <f>IF('Data Source'!B29="","",'Data Source'!R29)</f>
        <v/>
      </c>
      <c r="Q29" s="3">
        <f>IF('Data Source'!B29="","",'Data Source'!S29)</f>
        <v/>
      </c>
    </row>
    <row r="30">
      <c r="A30" s="3">
        <f>IF('Data Source'!B30="","",'Data Source'!A30)</f>
        <v/>
      </c>
      <c r="B30">
        <f>IF('Data Source'!B30="","",'Data Source'!B30)</f>
        <v/>
      </c>
      <c r="C30" s="3">
        <f>IF('Data Source'!B30="","",IF('Data Source'!U30&gt;=5,"A+",IF('Data Source'!U30&gt;=4,"A",IF('Data Source'!U30&gt;=3.5,"A-",IF('Data Source'!U30&gt;=3,"B",IF('Data Source'!U30&gt;=2,"C",IF('Data Source'!U30&gt;=1,"D","F")))))))</f>
        <v/>
      </c>
      <c r="D30" s="3">
        <f>IF('Data Source'!B30="","",IF('Data Source'!V30&gt;=5,"A+",IF('Data Source'!V30&gt;=4,"A",IF('Data Source'!V30&gt;=3.5,"A-",IF('Data Source'!V30&gt;=3,"B",IF('Data Source'!V30&gt;=2,"C",IF('Data Source'!V30&gt;=1,"D","F")))))))</f>
        <v/>
      </c>
      <c r="E30" s="3">
        <f>IF('Data Source'!B30="","",IF('Data Source'!W30&gt;=5,"A+",IF('Data Source'!W30&gt;=4,"A",IF('Data Source'!W30&gt;=3.5,"A-",IF('Data Source'!W30&gt;=3,"B",IF('Data Source'!W30&gt;=2,"C",IF('Data Source'!W30&gt;=1,"D","F")))))))</f>
        <v/>
      </c>
      <c r="F30" s="3">
        <f>IF('Data Source'!B30="","",IF('Data Source'!X30&gt;=5,"A+",IF('Data Source'!X30&gt;=4,"A",IF('Data Source'!X30&gt;=3.5,"A-",IF('Data Source'!X30&gt;=3,"B",IF('Data Source'!X30&gt;=2,"C",IF('Data Source'!X30&gt;=1,"D","F")))))))</f>
        <v/>
      </c>
      <c r="G30" s="3">
        <f>IF('Data Source'!B30="","",IF('Data Source'!Y30&gt;=5,"A+",IF('Data Source'!Y30&gt;=4,"A",IF('Data Source'!Y30&gt;=3.5,"A-",IF('Data Source'!Y30&gt;=3,"B",IF('Data Source'!Y30&gt;=2,"C",IF('Data Source'!Y30&gt;=1,"D","F")))))))</f>
        <v/>
      </c>
      <c r="H30" s="3">
        <f>IF('Data Source'!B30="","",IF('Data Source'!Z30&gt;=5,"A+",IF('Data Source'!Z30&gt;=4,"A",IF('Data Source'!Z30&gt;=3.5,"A-",IF('Data Source'!Z30&gt;=3,"B",IF('Data Source'!Z30&gt;=2,"C",IF('Data Source'!Z30&gt;=1,"D","F")))))))</f>
        <v/>
      </c>
      <c r="I30" s="3">
        <f>IF('Data Source'!B30="","",IF('Data Source'!AA30&gt;=5,"A+",IF('Data Source'!AA30&gt;=4,"A",IF('Data Source'!AA30&gt;=3.5,"A-",IF('Data Source'!AA30&gt;=3,"B",IF('Data Source'!AA30&gt;=2,"C",IF('Data Source'!AA30&gt;=1,"D","F")))))))</f>
        <v/>
      </c>
      <c r="J30" s="3">
        <f>IF('Data Source'!B30="","",IF('Data Source'!AB30&gt;=5,"A+",IF('Data Source'!AB30&gt;=4,"A",IF('Data Source'!AB30&gt;=3.5,"A-",IF('Data Source'!AB30&gt;=3,"B",IF('Data Source'!AB30&gt;=2,"C",IF('Data Source'!AB30&gt;=1,"D","F")))))))</f>
        <v/>
      </c>
      <c r="K30" s="3">
        <f>IF('Data Source'!B30="","",IF('Data Source'!AC30&gt;=5,"A+",IF('Data Source'!AC30&gt;=4,"A",IF('Data Source'!AC30&gt;=3.5,"A-",IF('Data Source'!AC30&gt;=3,"B",IF('Data Source'!AC30&gt;=2,"C",IF('Data Source'!AC30&gt;=1,"D","F")))))))</f>
        <v/>
      </c>
      <c r="L30" s="3">
        <f>IF('Data Source'!B30="","",IF('Data Source'!AD30&gt;=5,"A+",IF('Data Source'!AD30&gt;=4,"A",IF('Data Source'!AD30&gt;=3.5,"A-",IF('Data Source'!AD30&gt;=3,"B",IF('Data Source'!AD30&gt;=2,"C",IF('Data Source'!AD30&gt;=1,"D","F")))))))</f>
        <v/>
      </c>
      <c r="M30" s="3">
        <f>IF('Data Source'!B30="","",IF('Data Source'!AE30&gt;=5,"A+",IF('Data Source'!AE30&gt;=4,"A",IF('Data Source'!AE30&gt;=3.5,"A-",IF('Data Source'!AE30&gt;=3,"B",IF('Data Source'!AE30&gt;=2,"C",IF('Data Source'!AE30&gt;=1,"D","F")))))))</f>
        <v/>
      </c>
      <c r="N30" s="3">
        <f>IF('Data Source'!B30="","",IF('Data Source'!AF30&gt;=5,"A+",IF('Data Source'!AF30&gt;=4,"A",IF('Data Source'!AF30&gt;=3.5,"A-",IF('Data Source'!AF30&gt;=3,"B",IF('Data Source'!AF30&gt;=2,"C",IF('Data Source'!AF30&gt;=1,"D","F")))))))</f>
        <v/>
      </c>
      <c r="O30" s="3">
        <f>IF('Data Source'!B30="","",IF('Data Source'!AG30&gt;=5,"A+",IF('Data Source'!AG30&gt;=4,"A",IF('Data Source'!AG30&gt;=3.5,"A-",IF('Data Source'!AG30&gt;=3,"B",IF('Data Source'!AG30&gt;=2,"C",IF('Data Source'!AG30&gt;=1,"D","F")))))))</f>
        <v/>
      </c>
      <c r="P30" s="5">
        <f>IF('Data Source'!B30="","",'Data Source'!R30)</f>
        <v/>
      </c>
      <c r="Q30" s="3">
        <f>IF('Data Source'!B30="","",'Data Source'!S30)</f>
        <v/>
      </c>
    </row>
    <row r="31">
      <c r="A31" s="3">
        <f>IF('Data Source'!B31="","",'Data Source'!A31)</f>
        <v/>
      </c>
      <c r="B31">
        <f>IF('Data Source'!B31="","",'Data Source'!B31)</f>
        <v/>
      </c>
      <c r="C31" s="3">
        <f>IF('Data Source'!B31="","",IF('Data Source'!U31&gt;=5,"A+",IF('Data Source'!U31&gt;=4,"A",IF('Data Source'!U31&gt;=3.5,"A-",IF('Data Source'!U31&gt;=3,"B",IF('Data Source'!U31&gt;=2,"C",IF('Data Source'!U31&gt;=1,"D","F")))))))</f>
        <v/>
      </c>
      <c r="D31" s="3">
        <f>IF('Data Source'!B31="","",IF('Data Source'!V31&gt;=5,"A+",IF('Data Source'!V31&gt;=4,"A",IF('Data Source'!V31&gt;=3.5,"A-",IF('Data Source'!V31&gt;=3,"B",IF('Data Source'!V31&gt;=2,"C",IF('Data Source'!V31&gt;=1,"D","F")))))))</f>
        <v/>
      </c>
      <c r="E31" s="3">
        <f>IF('Data Source'!B31="","",IF('Data Source'!W31&gt;=5,"A+",IF('Data Source'!W31&gt;=4,"A",IF('Data Source'!W31&gt;=3.5,"A-",IF('Data Source'!W31&gt;=3,"B",IF('Data Source'!W31&gt;=2,"C",IF('Data Source'!W31&gt;=1,"D","F")))))))</f>
        <v/>
      </c>
      <c r="F31" s="3">
        <f>IF('Data Source'!B31="","",IF('Data Source'!X31&gt;=5,"A+",IF('Data Source'!X31&gt;=4,"A",IF('Data Source'!X31&gt;=3.5,"A-",IF('Data Source'!X31&gt;=3,"B",IF('Data Source'!X31&gt;=2,"C",IF('Data Source'!X31&gt;=1,"D","F")))))))</f>
        <v/>
      </c>
      <c r="G31" s="3">
        <f>IF('Data Source'!B31="","",IF('Data Source'!Y31&gt;=5,"A+",IF('Data Source'!Y31&gt;=4,"A",IF('Data Source'!Y31&gt;=3.5,"A-",IF('Data Source'!Y31&gt;=3,"B",IF('Data Source'!Y31&gt;=2,"C",IF('Data Source'!Y31&gt;=1,"D","F")))))))</f>
        <v/>
      </c>
      <c r="H31" s="3">
        <f>IF('Data Source'!B31="","",IF('Data Source'!Z31&gt;=5,"A+",IF('Data Source'!Z31&gt;=4,"A",IF('Data Source'!Z31&gt;=3.5,"A-",IF('Data Source'!Z31&gt;=3,"B",IF('Data Source'!Z31&gt;=2,"C",IF('Data Source'!Z31&gt;=1,"D","F")))))))</f>
        <v/>
      </c>
      <c r="I31" s="3">
        <f>IF('Data Source'!B31="","",IF('Data Source'!AA31&gt;=5,"A+",IF('Data Source'!AA31&gt;=4,"A",IF('Data Source'!AA31&gt;=3.5,"A-",IF('Data Source'!AA31&gt;=3,"B",IF('Data Source'!AA31&gt;=2,"C",IF('Data Source'!AA31&gt;=1,"D","F")))))))</f>
        <v/>
      </c>
      <c r="J31" s="3">
        <f>IF('Data Source'!B31="","",IF('Data Source'!AB31&gt;=5,"A+",IF('Data Source'!AB31&gt;=4,"A",IF('Data Source'!AB31&gt;=3.5,"A-",IF('Data Source'!AB31&gt;=3,"B",IF('Data Source'!AB31&gt;=2,"C",IF('Data Source'!AB31&gt;=1,"D","F")))))))</f>
        <v/>
      </c>
      <c r="K31" s="3">
        <f>IF('Data Source'!B31="","",IF('Data Source'!AC31&gt;=5,"A+",IF('Data Source'!AC31&gt;=4,"A",IF('Data Source'!AC31&gt;=3.5,"A-",IF('Data Source'!AC31&gt;=3,"B",IF('Data Source'!AC31&gt;=2,"C",IF('Data Source'!AC31&gt;=1,"D","F")))))))</f>
        <v/>
      </c>
      <c r="L31" s="3">
        <f>IF('Data Source'!B31="","",IF('Data Source'!AD31&gt;=5,"A+",IF('Data Source'!AD31&gt;=4,"A",IF('Data Source'!AD31&gt;=3.5,"A-",IF('Data Source'!AD31&gt;=3,"B",IF('Data Source'!AD31&gt;=2,"C",IF('Data Source'!AD31&gt;=1,"D","F")))))))</f>
        <v/>
      </c>
      <c r="M31" s="3">
        <f>IF('Data Source'!B31="","",IF('Data Source'!AE31&gt;=5,"A+",IF('Data Source'!AE31&gt;=4,"A",IF('Data Source'!AE31&gt;=3.5,"A-",IF('Data Source'!AE31&gt;=3,"B",IF('Data Source'!AE31&gt;=2,"C",IF('Data Source'!AE31&gt;=1,"D","F")))))))</f>
        <v/>
      </c>
      <c r="N31" s="3">
        <f>IF('Data Source'!B31="","",IF('Data Source'!AF31&gt;=5,"A+",IF('Data Source'!AF31&gt;=4,"A",IF('Data Source'!AF31&gt;=3.5,"A-",IF('Data Source'!AF31&gt;=3,"B",IF('Data Source'!AF31&gt;=2,"C",IF('Data Source'!AF31&gt;=1,"D","F")))))))</f>
        <v/>
      </c>
      <c r="O31" s="3">
        <f>IF('Data Source'!B31="","",IF('Data Source'!AG31&gt;=5,"A+",IF('Data Source'!AG31&gt;=4,"A",IF('Data Source'!AG31&gt;=3.5,"A-",IF('Data Source'!AG31&gt;=3,"B",IF('Data Source'!AG31&gt;=2,"C",IF('Data Source'!AG31&gt;=1,"D","F")))))))</f>
        <v/>
      </c>
      <c r="P31" s="5">
        <f>IF('Data Source'!B31="","",'Data Source'!R31)</f>
        <v/>
      </c>
      <c r="Q31" s="3">
        <f>IF('Data Source'!B31="","",'Data Source'!S31)</f>
        <v/>
      </c>
    </row>
    <row r="32">
      <c r="A32" s="3">
        <f>IF('Data Source'!B32="","",'Data Source'!A32)</f>
        <v/>
      </c>
      <c r="B32">
        <f>IF('Data Source'!B32="","",'Data Source'!B32)</f>
        <v/>
      </c>
      <c r="C32" s="3">
        <f>IF('Data Source'!B32="","",IF('Data Source'!U32&gt;=5,"A+",IF('Data Source'!U32&gt;=4,"A",IF('Data Source'!U32&gt;=3.5,"A-",IF('Data Source'!U32&gt;=3,"B",IF('Data Source'!U32&gt;=2,"C",IF('Data Source'!U32&gt;=1,"D","F")))))))</f>
        <v/>
      </c>
      <c r="D32" s="3">
        <f>IF('Data Source'!B32="","",IF('Data Source'!V32&gt;=5,"A+",IF('Data Source'!V32&gt;=4,"A",IF('Data Source'!V32&gt;=3.5,"A-",IF('Data Source'!V32&gt;=3,"B",IF('Data Source'!V32&gt;=2,"C",IF('Data Source'!V32&gt;=1,"D","F")))))))</f>
        <v/>
      </c>
      <c r="E32" s="3">
        <f>IF('Data Source'!B32="","",IF('Data Source'!W32&gt;=5,"A+",IF('Data Source'!W32&gt;=4,"A",IF('Data Source'!W32&gt;=3.5,"A-",IF('Data Source'!W32&gt;=3,"B",IF('Data Source'!W32&gt;=2,"C",IF('Data Source'!W32&gt;=1,"D","F")))))))</f>
        <v/>
      </c>
      <c r="F32" s="3">
        <f>IF('Data Source'!B32="","",IF('Data Source'!X32&gt;=5,"A+",IF('Data Source'!X32&gt;=4,"A",IF('Data Source'!X32&gt;=3.5,"A-",IF('Data Source'!X32&gt;=3,"B",IF('Data Source'!X32&gt;=2,"C",IF('Data Source'!X32&gt;=1,"D","F")))))))</f>
        <v/>
      </c>
      <c r="G32" s="3">
        <f>IF('Data Source'!B32="","",IF('Data Source'!Y32&gt;=5,"A+",IF('Data Source'!Y32&gt;=4,"A",IF('Data Source'!Y32&gt;=3.5,"A-",IF('Data Source'!Y32&gt;=3,"B",IF('Data Source'!Y32&gt;=2,"C",IF('Data Source'!Y32&gt;=1,"D","F")))))))</f>
        <v/>
      </c>
      <c r="H32" s="3">
        <f>IF('Data Source'!B32="","",IF('Data Source'!Z32&gt;=5,"A+",IF('Data Source'!Z32&gt;=4,"A",IF('Data Source'!Z32&gt;=3.5,"A-",IF('Data Source'!Z32&gt;=3,"B",IF('Data Source'!Z32&gt;=2,"C",IF('Data Source'!Z32&gt;=1,"D","F")))))))</f>
        <v/>
      </c>
      <c r="I32" s="3">
        <f>IF('Data Source'!B32="","",IF('Data Source'!AA32&gt;=5,"A+",IF('Data Source'!AA32&gt;=4,"A",IF('Data Source'!AA32&gt;=3.5,"A-",IF('Data Source'!AA32&gt;=3,"B",IF('Data Source'!AA32&gt;=2,"C",IF('Data Source'!AA32&gt;=1,"D","F")))))))</f>
        <v/>
      </c>
      <c r="J32" s="3">
        <f>IF('Data Source'!B32="","",IF('Data Source'!AB32&gt;=5,"A+",IF('Data Source'!AB32&gt;=4,"A",IF('Data Source'!AB32&gt;=3.5,"A-",IF('Data Source'!AB32&gt;=3,"B",IF('Data Source'!AB32&gt;=2,"C",IF('Data Source'!AB32&gt;=1,"D","F")))))))</f>
        <v/>
      </c>
      <c r="K32" s="3">
        <f>IF('Data Source'!B32="","",IF('Data Source'!AC32&gt;=5,"A+",IF('Data Source'!AC32&gt;=4,"A",IF('Data Source'!AC32&gt;=3.5,"A-",IF('Data Source'!AC32&gt;=3,"B",IF('Data Source'!AC32&gt;=2,"C",IF('Data Source'!AC32&gt;=1,"D","F")))))))</f>
        <v/>
      </c>
      <c r="L32" s="3">
        <f>IF('Data Source'!B32="","",IF('Data Source'!AD32&gt;=5,"A+",IF('Data Source'!AD32&gt;=4,"A",IF('Data Source'!AD32&gt;=3.5,"A-",IF('Data Source'!AD32&gt;=3,"B",IF('Data Source'!AD32&gt;=2,"C",IF('Data Source'!AD32&gt;=1,"D","F")))))))</f>
        <v/>
      </c>
      <c r="M32" s="3">
        <f>IF('Data Source'!B32="","",IF('Data Source'!AE32&gt;=5,"A+",IF('Data Source'!AE32&gt;=4,"A",IF('Data Source'!AE32&gt;=3.5,"A-",IF('Data Source'!AE32&gt;=3,"B",IF('Data Source'!AE32&gt;=2,"C",IF('Data Source'!AE32&gt;=1,"D","F")))))))</f>
        <v/>
      </c>
      <c r="N32" s="3">
        <f>IF('Data Source'!B32="","",IF('Data Source'!AF32&gt;=5,"A+",IF('Data Source'!AF32&gt;=4,"A",IF('Data Source'!AF32&gt;=3.5,"A-",IF('Data Source'!AF32&gt;=3,"B",IF('Data Source'!AF32&gt;=2,"C",IF('Data Source'!AF32&gt;=1,"D","F")))))))</f>
        <v/>
      </c>
      <c r="O32" s="3">
        <f>IF('Data Source'!B32="","",IF('Data Source'!AG32&gt;=5,"A+",IF('Data Source'!AG32&gt;=4,"A",IF('Data Source'!AG32&gt;=3.5,"A-",IF('Data Source'!AG32&gt;=3,"B",IF('Data Source'!AG32&gt;=2,"C",IF('Data Source'!AG32&gt;=1,"D","F")))))))</f>
        <v/>
      </c>
      <c r="P32" s="5">
        <f>IF('Data Source'!B32="","",'Data Source'!R32)</f>
        <v/>
      </c>
      <c r="Q32" s="3">
        <f>IF('Data Source'!B32="","",'Data Source'!S32)</f>
        <v/>
      </c>
    </row>
    <row r="33">
      <c r="A33" s="3">
        <f>IF('Data Source'!B33="","",'Data Source'!A33)</f>
        <v/>
      </c>
      <c r="B33">
        <f>IF('Data Source'!B33="","",'Data Source'!B33)</f>
        <v/>
      </c>
      <c r="C33" s="3">
        <f>IF('Data Source'!B33="","",IF('Data Source'!U33&gt;=5,"A+",IF('Data Source'!U33&gt;=4,"A",IF('Data Source'!U33&gt;=3.5,"A-",IF('Data Source'!U33&gt;=3,"B",IF('Data Source'!U33&gt;=2,"C",IF('Data Source'!U33&gt;=1,"D","F")))))))</f>
        <v/>
      </c>
      <c r="D33" s="3">
        <f>IF('Data Source'!B33="","",IF('Data Source'!V33&gt;=5,"A+",IF('Data Source'!V33&gt;=4,"A",IF('Data Source'!V33&gt;=3.5,"A-",IF('Data Source'!V33&gt;=3,"B",IF('Data Source'!V33&gt;=2,"C",IF('Data Source'!V33&gt;=1,"D","F")))))))</f>
        <v/>
      </c>
      <c r="E33" s="3">
        <f>IF('Data Source'!B33="","",IF('Data Source'!W33&gt;=5,"A+",IF('Data Source'!W33&gt;=4,"A",IF('Data Source'!W33&gt;=3.5,"A-",IF('Data Source'!W33&gt;=3,"B",IF('Data Source'!W33&gt;=2,"C",IF('Data Source'!W33&gt;=1,"D","F")))))))</f>
        <v/>
      </c>
      <c r="F33" s="3">
        <f>IF('Data Source'!B33="","",IF('Data Source'!X33&gt;=5,"A+",IF('Data Source'!X33&gt;=4,"A",IF('Data Source'!X33&gt;=3.5,"A-",IF('Data Source'!X33&gt;=3,"B",IF('Data Source'!X33&gt;=2,"C",IF('Data Source'!X33&gt;=1,"D","F")))))))</f>
        <v/>
      </c>
      <c r="G33" s="3">
        <f>IF('Data Source'!B33="","",IF('Data Source'!Y33&gt;=5,"A+",IF('Data Source'!Y33&gt;=4,"A",IF('Data Source'!Y33&gt;=3.5,"A-",IF('Data Source'!Y33&gt;=3,"B",IF('Data Source'!Y33&gt;=2,"C",IF('Data Source'!Y33&gt;=1,"D","F")))))))</f>
        <v/>
      </c>
      <c r="H33" s="3">
        <f>IF('Data Source'!B33="","",IF('Data Source'!Z33&gt;=5,"A+",IF('Data Source'!Z33&gt;=4,"A",IF('Data Source'!Z33&gt;=3.5,"A-",IF('Data Source'!Z33&gt;=3,"B",IF('Data Source'!Z33&gt;=2,"C",IF('Data Source'!Z33&gt;=1,"D","F")))))))</f>
        <v/>
      </c>
      <c r="I33" s="3">
        <f>IF('Data Source'!B33="","",IF('Data Source'!AA33&gt;=5,"A+",IF('Data Source'!AA33&gt;=4,"A",IF('Data Source'!AA33&gt;=3.5,"A-",IF('Data Source'!AA33&gt;=3,"B",IF('Data Source'!AA33&gt;=2,"C",IF('Data Source'!AA33&gt;=1,"D","F")))))))</f>
        <v/>
      </c>
      <c r="J33" s="3">
        <f>IF('Data Source'!B33="","",IF('Data Source'!AB33&gt;=5,"A+",IF('Data Source'!AB33&gt;=4,"A",IF('Data Source'!AB33&gt;=3.5,"A-",IF('Data Source'!AB33&gt;=3,"B",IF('Data Source'!AB33&gt;=2,"C",IF('Data Source'!AB33&gt;=1,"D","F")))))))</f>
        <v/>
      </c>
      <c r="K33" s="3">
        <f>IF('Data Source'!B33="","",IF('Data Source'!AC33&gt;=5,"A+",IF('Data Source'!AC33&gt;=4,"A",IF('Data Source'!AC33&gt;=3.5,"A-",IF('Data Source'!AC33&gt;=3,"B",IF('Data Source'!AC33&gt;=2,"C",IF('Data Source'!AC33&gt;=1,"D","F")))))))</f>
        <v/>
      </c>
      <c r="L33" s="3">
        <f>IF('Data Source'!B33="","",IF('Data Source'!AD33&gt;=5,"A+",IF('Data Source'!AD33&gt;=4,"A",IF('Data Source'!AD33&gt;=3.5,"A-",IF('Data Source'!AD33&gt;=3,"B",IF('Data Source'!AD33&gt;=2,"C",IF('Data Source'!AD33&gt;=1,"D","F")))))))</f>
        <v/>
      </c>
      <c r="M33" s="3">
        <f>IF('Data Source'!B33="","",IF('Data Source'!AE33&gt;=5,"A+",IF('Data Source'!AE33&gt;=4,"A",IF('Data Source'!AE33&gt;=3.5,"A-",IF('Data Source'!AE33&gt;=3,"B",IF('Data Source'!AE33&gt;=2,"C",IF('Data Source'!AE33&gt;=1,"D","F")))))))</f>
        <v/>
      </c>
      <c r="N33" s="3">
        <f>IF('Data Source'!B33="","",IF('Data Source'!AF33&gt;=5,"A+",IF('Data Source'!AF33&gt;=4,"A",IF('Data Source'!AF33&gt;=3.5,"A-",IF('Data Source'!AF33&gt;=3,"B",IF('Data Source'!AF33&gt;=2,"C",IF('Data Source'!AF33&gt;=1,"D","F")))))))</f>
        <v/>
      </c>
      <c r="O33" s="3">
        <f>IF('Data Source'!B33="","",IF('Data Source'!AG33&gt;=5,"A+",IF('Data Source'!AG33&gt;=4,"A",IF('Data Source'!AG33&gt;=3.5,"A-",IF('Data Source'!AG33&gt;=3,"B",IF('Data Source'!AG33&gt;=2,"C",IF('Data Source'!AG33&gt;=1,"D","F")))))))</f>
        <v/>
      </c>
      <c r="P33" s="5">
        <f>IF('Data Source'!B33="","",'Data Source'!R33)</f>
        <v/>
      </c>
      <c r="Q33" s="3">
        <f>IF('Data Source'!B33="","",'Data Source'!S33)</f>
        <v/>
      </c>
    </row>
    <row r="34">
      <c r="A34" s="3">
        <f>IF('Data Source'!B34="","",'Data Source'!A34)</f>
        <v/>
      </c>
      <c r="B34">
        <f>IF('Data Source'!B34="","",'Data Source'!B34)</f>
        <v/>
      </c>
      <c r="C34" s="3">
        <f>IF('Data Source'!B34="","",IF('Data Source'!U34&gt;=5,"A+",IF('Data Source'!U34&gt;=4,"A",IF('Data Source'!U34&gt;=3.5,"A-",IF('Data Source'!U34&gt;=3,"B",IF('Data Source'!U34&gt;=2,"C",IF('Data Source'!U34&gt;=1,"D","F")))))))</f>
        <v/>
      </c>
      <c r="D34" s="3">
        <f>IF('Data Source'!B34="","",IF('Data Source'!V34&gt;=5,"A+",IF('Data Source'!V34&gt;=4,"A",IF('Data Source'!V34&gt;=3.5,"A-",IF('Data Source'!V34&gt;=3,"B",IF('Data Source'!V34&gt;=2,"C",IF('Data Source'!V34&gt;=1,"D","F")))))))</f>
        <v/>
      </c>
      <c r="E34" s="3">
        <f>IF('Data Source'!B34="","",IF('Data Source'!W34&gt;=5,"A+",IF('Data Source'!W34&gt;=4,"A",IF('Data Source'!W34&gt;=3.5,"A-",IF('Data Source'!W34&gt;=3,"B",IF('Data Source'!W34&gt;=2,"C",IF('Data Source'!W34&gt;=1,"D","F")))))))</f>
        <v/>
      </c>
      <c r="F34" s="3">
        <f>IF('Data Source'!B34="","",IF('Data Source'!X34&gt;=5,"A+",IF('Data Source'!X34&gt;=4,"A",IF('Data Source'!X34&gt;=3.5,"A-",IF('Data Source'!X34&gt;=3,"B",IF('Data Source'!X34&gt;=2,"C",IF('Data Source'!X34&gt;=1,"D","F")))))))</f>
        <v/>
      </c>
      <c r="G34" s="3">
        <f>IF('Data Source'!B34="","",IF('Data Source'!Y34&gt;=5,"A+",IF('Data Source'!Y34&gt;=4,"A",IF('Data Source'!Y34&gt;=3.5,"A-",IF('Data Source'!Y34&gt;=3,"B",IF('Data Source'!Y34&gt;=2,"C",IF('Data Source'!Y34&gt;=1,"D","F")))))))</f>
        <v/>
      </c>
      <c r="H34" s="3">
        <f>IF('Data Source'!B34="","",IF('Data Source'!Z34&gt;=5,"A+",IF('Data Source'!Z34&gt;=4,"A",IF('Data Source'!Z34&gt;=3.5,"A-",IF('Data Source'!Z34&gt;=3,"B",IF('Data Source'!Z34&gt;=2,"C",IF('Data Source'!Z34&gt;=1,"D","F")))))))</f>
        <v/>
      </c>
      <c r="I34" s="3">
        <f>IF('Data Source'!B34="","",IF('Data Source'!AA34&gt;=5,"A+",IF('Data Source'!AA34&gt;=4,"A",IF('Data Source'!AA34&gt;=3.5,"A-",IF('Data Source'!AA34&gt;=3,"B",IF('Data Source'!AA34&gt;=2,"C",IF('Data Source'!AA34&gt;=1,"D","F")))))))</f>
        <v/>
      </c>
      <c r="J34" s="3">
        <f>IF('Data Source'!B34="","",IF('Data Source'!AB34&gt;=5,"A+",IF('Data Source'!AB34&gt;=4,"A",IF('Data Source'!AB34&gt;=3.5,"A-",IF('Data Source'!AB34&gt;=3,"B",IF('Data Source'!AB34&gt;=2,"C",IF('Data Source'!AB34&gt;=1,"D","F")))))))</f>
        <v/>
      </c>
      <c r="K34" s="3">
        <f>IF('Data Source'!B34="","",IF('Data Source'!AC34&gt;=5,"A+",IF('Data Source'!AC34&gt;=4,"A",IF('Data Source'!AC34&gt;=3.5,"A-",IF('Data Source'!AC34&gt;=3,"B",IF('Data Source'!AC34&gt;=2,"C",IF('Data Source'!AC34&gt;=1,"D","F")))))))</f>
        <v/>
      </c>
      <c r="L34" s="3">
        <f>IF('Data Source'!B34="","",IF('Data Source'!AD34&gt;=5,"A+",IF('Data Source'!AD34&gt;=4,"A",IF('Data Source'!AD34&gt;=3.5,"A-",IF('Data Source'!AD34&gt;=3,"B",IF('Data Source'!AD34&gt;=2,"C",IF('Data Source'!AD34&gt;=1,"D","F")))))))</f>
        <v/>
      </c>
      <c r="M34" s="3">
        <f>IF('Data Source'!B34="","",IF('Data Source'!AE34&gt;=5,"A+",IF('Data Source'!AE34&gt;=4,"A",IF('Data Source'!AE34&gt;=3.5,"A-",IF('Data Source'!AE34&gt;=3,"B",IF('Data Source'!AE34&gt;=2,"C",IF('Data Source'!AE34&gt;=1,"D","F")))))))</f>
        <v/>
      </c>
      <c r="N34" s="3">
        <f>IF('Data Source'!B34="","",IF('Data Source'!AF34&gt;=5,"A+",IF('Data Source'!AF34&gt;=4,"A",IF('Data Source'!AF34&gt;=3.5,"A-",IF('Data Source'!AF34&gt;=3,"B",IF('Data Source'!AF34&gt;=2,"C",IF('Data Source'!AF34&gt;=1,"D","F")))))))</f>
        <v/>
      </c>
      <c r="O34" s="3">
        <f>IF('Data Source'!B34="","",IF('Data Source'!AG34&gt;=5,"A+",IF('Data Source'!AG34&gt;=4,"A",IF('Data Source'!AG34&gt;=3.5,"A-",IF('Data Source'!AG34&gt;=3,"B",IF('Data Source'!AG34&gt;=2,"C",IF('Data Source'!AG34&gt;=1,"D","F")))))))</f>
        <v/>
      </c>
      <c r="P34" s="5">
        <f>IF('Data Source'!B34="","",'Data Source'!R34)</f>
        <v/>
      </c>
      <c r="Q34" s="3">
        <f>IF('Data Source'!B34="","",'Data Source'!S34)</f>
        <v/>
      </c>
    </row>
    <row r="35">
      <c r="A35" s="3">
        <f>IF('Data Source'!B35="","",'Data Source'!A35)</f>
        <v/>
      </c>
      <c r="B35">
        <f>IF('Data Source'!B35="","",'Data Source'!B35)</f>
        <v/>
      </c>
      <c r="C35" s="3">
        <f>IF('Data Source'!B35="","",IF('Data Source'!U35&gt;=5,"A+",IF('Data Source'!U35&gt;=4,"A",IF('Data Source'!U35&gt;=3.5,"A-",IF('Data Source'!U35&gt;=3,"B",IF('Data Source'!U35&gt;=2,"C",IF('Data Source'!U35&gt;=1,"D","F")))))))</f>
        <v/>
      </c>
      <c r="D35" s="3">
        <f>IF('Data Source'!B35="","",IF('Data Source'!V35&gt;=5,"A+",IF('Data Source'!V35&gt;=4,"A",IF('Data Source'!V35&gt;=3.5,"A-",IF('Data Source'!V35&gt;=3,"B",IF('Data Source'!V35&gt;=2,"C",IF('Data Source'!V35&gt;=1,"D","F")))))))</f>
        <v/>
      </c>
      <c r="E35" s="3">
        <f>IF('Data Source'!B35="","",IF('Data Source'!W35&gt;=5,"A+",IF('Data Source'!W35&gt;=4,"A",IF('Data Source'!W35&gt;=3.5,"A-",IF('Data Source'!W35&gt;=3,"B",IF('Data Source'!W35&gt;=2,"C",IF('Data Source'!W35&gt;=1,"D","F")))))))</f>
        <v/>
      </c>
      <c r="F35" s="3">
        <f>IF('Data Source'!B35="","",IF('Data Source'!X35&gt;=5,"A+",IF('Data Source'!X35&gt;=4,"A",IF('Data Source'!X35&gt;=3.5,"A-",IF('Data Source'!X35&gt;=3,"B",IF('Data Source'!X35&gt;=2,"C",IF('Data Source'!X35&gt;=1,"D","F")))))))</f>
        <v/>
      </c>
      <c r="G35" s="3">
        <f>IF('Data Source'!B35="","",IF('Data Source'!Y35&gt;=5,"A+",IF('Data Source'!Y35&gt;=4,"A",IF('Data Source'!Y35&gt;=3.5,"A-",IF('Data Source'!Y35&gt;=3,"B",IF('Data Source'!Y35&gt;=2,"C",IF('Data Source'!Y35&gt;=1,"D","F")))))))</f>
        <v/>
      </c>
      <c r="H35" s="3">
        <f>IF('Data Source'!B35="","",IF('Data Source'!Z35&gt;=5,"A+",IF('Data Source'!Z35&gt;=4,"A",IF('Data Source'!Z35&gt;=3.5,"A-",IF('Data Source'!Z35&gt;=3,"B",IF('Data Source'!Z35&gt;=2,"C",IF('Data Source'!Z35&gt;=1,"D","F")))))))</f>
        <v/>
      </c>
      <c r="I35" s="3">
        <f>IF('Data Source'!B35="","",IF('Data Source'!AA35&gt;=5,"A+",IF('Data Source'!AA35&gt;=4,"A",IF('Data Source'!AA35&gt;=3.5,"A-",IF('Data Source'!AA35&gt;=3,"B",IF('Data Source'!AA35&gt;=2,"C",IF('Data Source'!AA35&gt;=1,"D","F")))))))</f>
        <v/>
      </c>
      <c r="J35" s="3">
        <f>IF('Data Source'!B35="","",IF('Data Source'!AB35&gt;=5,"A+",IF('Data Source'!AB35&gt;=4,"A",IF('Data Source'!AB35&gt;=3.5,"A-",IF('Data Source'!AB35&gt;=3,"B",IF('Data Source'!AB35&gt;=2,"C",IF('Data Source'!AB35&gt;=1,"D","F")))))))</f>
        <v/>
      </c>
      <c r="K35" s="3">
        <f>IF('Data Source'!B35="","",IF('Data Source'!AC35&gt;=5,"A+",IF('Data Source'!AC35&gt;=4,"A",IF('Data Source'!AC35&gt;=3.5,"A-",IF('Data Source'!AC35&gt;=3,"B",IF('Data Source'!AC35&gt;=2,"C",IF('Data Source'!AC35&gt;=1,"D","F")))))))</f>
        <v/>
      </c>
      <c r="L35" s="3">
        <f>IF('Data Source'!B35="","",IF('Data Source'!AD35&gt;=5,"A+",IF('Data Source'!AD35&gt;=4,"A",IF('Data Source'!AD35&gt;=3.5,"A-",IF('Data Source'!AD35&gt;=3,"B",IF('Data Source'!AD35&gt;=2,"C",IF('Data Source'!AD35&gt;=1,"D","F")))))))</f>
        <v/>
      </c>
      <c r="M35" s="3">
        <f>IF('Data Source'!B35="","",IF('Data Source'!AE35&gt;=5,"A+",IF('Data Source'!AE35&gt;=4,"A",IF('Data Source'!AE35&gt;=3.5,"A-",IF('Data Source'!AE35&gt;=3,"B",IF('Data Source'!AE35&gt;=2,"C",IF('Data Source'!AE35&gt;=1,"D","F")))))))</f>
        <v/>
      </c>
      <c r="N35" s="3">
        <f>IF('Data Source'!B35="","",IF('Data Source'!AF35&gt;=5,"A+",IF('Data Source'!AF35&gt;=4,"A",IF('Data Source'!AF35&gt;=3.5,"A-",IF('Data Source'!AF35&gt;=3,"B",IF('Data Source'!AF35&gt;=2,"C",IF('Data Source'!AF35&gt;=1,"D","F")))))))</f>
        <v/>
      </c>
      <c r="O35" s="3">
        <f>IF('Data Source'!B35="","",IF('Data Source'!AG35&gt;=5,"A+",IF('Data Source'!AG35&gt;=4,"A",IF('Data Source'!AG35&gt;=3.5,"A-",IF('Data Source'!AG35&gt;=3,"B",IF('Data Source'!AG35&gt;=2,"C",IF('Data Source'!AG35&gt;=1,"D","F")))))))</f>
        <v/>
      </c>
      <c r="P35" s="5">
        <f>IF('Data Source'!B35="","",'Data Source'!R35)</f>
        <v/>
      </c>
      <c r="Q35" s="3">
        <f>IF('Data Source'!B35="","",'Data Source'!S35)</f>
        <v/>
      </c>
    </row>
    <row r="36">
      <c r="A36" s="3">
        <f>IF('Data Source'!B36="","",'Data Source'!A36)</f>
        <v/>
      </c>
      <c r="B36">
        <f>IF('Data Source'!B36="","",'Data Source'!B36)</f>
        <v/>
      </c>
      <c r="C36" s="3">
        <f>IF('Data Source'!B36="","",IF('Data Source'!U36&gt;=5,"A+",IF('Data Source'!U36&gt;=4,"A",IF('Data Source'!U36&gt;=3.5,"A-",IF('Data Source'!U36&gt;=3,"B",IF('Data Source'!U36&gt;=2,"C",IF('Data Source'!U36&gt;=1,"D","F")))))))</f>
        <v/>
      </c>
      <c r="D36" s="3">
        <f>IF('Data Source'!B36="","",IF('Data Source'!V36&gt;=5,"A+",IF('Data Source'!V36&gt;=4,"A",IF('Data Source'!V36&gt;=3.5,"A-",IF('Data Source'!V36&gt;=3,"B",IF('Data Source'!V36&gt;=2,"C",IF('Data Source'!V36&gt;=1,"D","F")))))))</f>
        <v/>
      </c>
      <c r="E36" s="3">
        <f>IF('Data Source'!B36="","",IF('Data Source'!W36&gt;=5,"A+",IF('Data Source'!W36&gt;=4,"A",IF('Data Source'!W36&gt;=3.5,"A-",IF('Data Source'!W36&gt;=3,"B",IF('Data Source'!W36&gt;=2,"C",IF('Data Source'!W36&gt;=1,"D","F")))))))</f>
        <v/>
      </c>
      <c r="F36" s="3">
        <f>IF('Data Source'!B36="","",IF('Data Source'!X36&gt;=5,"A+",IF('Data Source'!X36&gt;=4,"A",IF('Data Source'!X36&gt;=3.5,"A-",IF('Data Source'!X36&gt;=3,"B",IF('Data Source'!X36&gt;=2,"C",IF('Data Source'!X36&gt;=1,"D","F")))))))</f>
        <v/>
      </c>
      <c r="G36" s="3">
        <f>IF('Data Source'!B36="","",IF('Data Source'!Y36&gt;=5,"A+",IF('Data Source'!Y36&gt;=4,"A",IF('Data Source'!Y36&gt;=3.5,"A-",IF('Data Source'!Y36&gt;=3,"B",IF('Data Source'!Y36&gt;=2,"C",IF('Data Source'!Y36&gt;=1,"D","F")))))))</f>
        <v/>
      </c>
      <c r="H36" s="3">
        <f>IF('Data Source'!B36="","",IF('Data Source'!Z36&gt;=5,"A+",IF('Data Source'!Z36&gt;=4,"A",IF('Data Source'!Z36&gt;=3.5,"A-",IF('Data Source'!Z36&gt;=3,"B",IF('Data Source'!Z36&gt;=2,"C",IF('Data Source'!Z36&gt;=1,"D","F")))))))</f>
        <v/>
      </c>
      <c r="I36" s="3">
        <f>IF('Data Source'!B36="","",IF('Data Source'!AA36&gt;=5,"A+",IF('Data Source'!AA36&gt;=4,"A",IF('Data Source'!AA36&gt;=3.5,"A-",IF('Data Source'!AA36&gt;=3,"B",IF('Data Source'!AA36&gt;=2,"C",IF('Data Source'!AA36&gt;=1,"D","F")))))))</f>
        <v/>
      </c>
      <c r="J36" s="3">
        <f>IF('Data Source'!B36="","",IF('Data Source'!AB36&gt;=5,"A+",IF('Data Source'!AB36&gt;=4,"A",IF('Data Source'!AB36&gt;=3.5,"A-",IF('Data Source'!AB36&gt;=3,"B",IF('Data Source'!AB36&gt;=2,"C",IF('Data Source'!AB36&gt;=1,"D","F")))))))</f>
        <v/>
      </c>
      <c r="K36" s="3">
        <f>IF('Data Source'!B36="","",IF('Data Source'!AC36&gt;=5,"A+",IF('Data Source'!AC36&gt;=4,"A",IF('Data Source'!AC36&gt;=3.5,"A-",IF('Data Source'!AC36&gt;=3,"B",IF('Data Source'!AC36&gt;=2,"C",IF('Data Source'!AC36&gt;=1,"D","F")))))))</f>
        <v/>
      </c>
      <c r="L36" s="3">
        <f>IF('Data Source'!B36="","",IF('Data Source'!AD36&gt;=5,"A+",IF('Data Source'!AD36&gt;=4,"A",IF('Data Source'!AD36&gt;=3.5,"A-",IF('Data Source'!AD36&gt;=3,"B",IF('Data Source'!AD36&gt;=2,"C",IF('Data Source'!AD36&gt;=1,"D","F")))))))</f>
        <v/>
      </c>
      <c r="M36" s="3">
        <f>IF('Data Source'!B36="","",IF('Data Source'!AE36&gt;=5,"A+",IF('Data Source'!AE36&gt;=4,"A",IF('Data Source'!AE36&gt;=3.5,"A-",IF('Data Source'!AE36&gt;=3,"B",IF('Data Source'!AE36&gt;=2,"C",IF('Data Source'!AE36&gt;=1,"D","F")))))))</f>
        <v/>
      </c>
      <c r="N36" s="3">
        <f>IF('Data Source'!B36="","",IF('Data Source'!AF36&gt;=5,"A+",IF('Data Source'!AF36&gt;=4,"A",IF('Data Source'!AF36&gt;=3.5,"A-",IF('Data Source'!AF36&gt;=3,"B",IF('Data Source'!AF36&gt;=2,"C",IF('Data Source'!AF36&gt;=1,"D","F")))))))</f>
        <v/>
      </c>
      <c r="O36" s="3">
        <f>IF('Data Source'!B36="","",IF('Data Source'!AG36&gt;=5,"A+",IF('Data Source'!AG36&gt;=4,"A",IF('Data Source'!AG36&gt;=3.5,"A-",IF('Data Source'!AG36&gt;=3,"B",IF('Data Source'!AG36&gt;=2,"C",IF('Data Source'!AG36&gt;=1,"D","F")))))))</f>
        <v/>
      </c>
      <c r="P36" s="5">
        <f>IF('Data Source'!B36="","",'Data Source'!R36)</f>
        <v/>
      </c>
      <c r="Q36" s="3">
        <f>IF('Data Source'!B36="","",'Data Source'!S36)</f>
        <v/>
      </c>
    </row>
    <row r="37">
      <c r="A37" s="3">
        <f>IF('Data Source'!B37="","",'Data Source'!A37)</f>
        <v/>
      </c>
      <c r="B37">
        <f>IF('Data Source'!B37="","",'Data Source'!B37)</f>
        <v/>
      </c>
      <c r="C37" s="3">
        <f>IF('Data Source'!B37="","",IF('Data Source'!U37&gt;=5,"A+",IF('Data Source'!U37&gt;=4,"A",IF('Data Source'!U37&gt;=3.5,"A-",IF('Data Source'!U37&gt;=3,"B",IF('Data Source'!U37&gt;=2,"C",IF('Data Source'!U37&gt;=1,"D","F")))))))</f>
        <v/>
      </c>
      <c r="D37" s="3">
        <f>IF('Data Source'!B37="","",IF('Data Source'!V37&gt;=5,"A+",IF('Data Source'!V37&gt;=4,"A",IF('Data Source'!V37&gt;=3.5,"A-",IF('Data Source'!V37&gt;=3,"B",IF('Data Source'!V37&gt;=2,"C",IF('Data Source'!V37&gt;=1,"D","F")))))))</f>
        <v/>
      </c>
      <c r="E37" s="3">
        <f>IF('Data Source'!B37="","",IF('Data Source'!W37&gt;=5,"A+",IF('Data Source'!W37&gt;=4,"A",IF('Data Source'!W37&gt;=3.5,"A-",IF('Data Source'!W37&gt;=3,"B",IF('Data Source'!W37&gt;=2,"C",IF('Data Source'!W37&gt;=1,"D","F")))))))</f>
        <v/>
      </c>
      <c r="F37" s="3">
        <f>IF('Data Source'!B37="","",IF('Data Source'!X37&gt;=5,"A+",IF('Data Source'!X37&gt;=4,"A",IF('Data Source'!X37&gt;=3.5,"A-",IF('Data Source'!X37&gt;=3,"B",IF('Data Source'!X37&gt;=2,"C",IF('Data Source'!X37&gt;=1,"D","F")))))))</f>
        <v/>
      </c>
      <c r="G37" s="3">
        <f>IF('Data Source'!B37="","",IF('Data Source'!Y37&gt;=5,"A+",IF('Data Source'!Y37&gt;=4,"A",IF('Data Source'!Y37&gt;=3.5,"A-",IF('Data Source'!Y37&gt;=3,"B",IF('Data Source'!Y37&gt;=2,"C",IF('Data Source'!Y37&gt;=1,"D","F")))))))</f>
        <v/>
      </c>
      <c r="H37" s="3">
        <f>IF('Data Source'!B37="","",IF('Data Source'!Z37&gt;=5,"A+",IF('Data Source'!Z37&gt;=4,"A",IF('Data Source'!Z37&gt;=3.5,"A-",IF('Data Source'!Z37&gt;=3,"B",IF('Data Source'!Z37&gt;=2,"C",IF('Data Source'!Z37&gt;=1,"D","F")))))))</f>
        <v/>
      </c>
      <c r="I37" s="3">
        <f>IF('Data Source'!B37="","",IF('Data Source'!AA37&gt;=5,"A+",IF('Data Source'!AA37&gt;=4,"A",IF('Data Source'!AA37&gt;=3.5,"A-",IF('Data Source'!AA37&gt;=3,"B",IF('Data Source'!AA37&gt;=2,"C",IF('Data Source'!AA37&gt;=1,"D","F")))))))</f>
        <v/>
      </c>
      <c r="J37" s="3">
        <f>IF('Data Source'!B37="","",IF('Data Source'!AB37&gt;=5,"A+",IF('Data Source'!AB37&gt;=4,"A",IF('Data Source'!AB37&gt;=3.5,"A-",IF('Data Source'!AB37&gt;=3,"B",IF('Data Source'!AB37&gt;=2,"C",IF('Data Source'!AB37&gt;=1,"D","F")))))))</f>
        <v/>
      </c>
      <c r="K37" s="3">
        <f>IF('Data Source'!B37="","",IF('Data Source'!AC37&gt;=5,"A+",IF('Data Source'!AC37&gt;=4,"A",IF('Data Source'!AC37&gt;=3.5,"A-",IF('Data Source'!AC37&gt;=3,"B",IF('Data Source'!AC37&gt;=2,"C",IF('Data Source'!AC37&gt;=1,"D","F")))))))</f>
        <v/>
      </c>
      <c r="L37" s="3">
        <f>IF('Data Source'!B37="","",IF('Data Source'!AD37&gt;=5,"A+",IF('Data Source'!AD37&gt;=4,"A",IF('Data Source'!AD37&gt;=3.5,"A-",IF('Data Source'!AD37&gt;=3,"B",IF('Data Source'!AD37&gt;=2,"C",IF('Data Source'!AD37&gt;=1,"D","F")))))))</f>
        <v/>
      </c>
      <c r="M37" s="3">
        <f>IF('Data Source'!B37="","",IF('Data Source'!AE37&gt;=5,"A+",IF('Data Source'!AE37&gt;=4,"A",IF('Data Source'!AE37&gt;=3.5,"A-",IF('Data Source'!AE37&gt;=3,"B",IF('Data Source'!AE37&gt;=2,"C",IF('Data Source'!AE37&gt;=1,"D","F")))))))</f>
        <v/>
      </c>
      <c r="N37" s="3">
        <f>IF('Data Source'!B37="","",IF('Data Source'!AF37&gt;=5,"A+",IF('Data Source'!AF37&gt;=4,"A",IF('Data Source'!AF37&gt;=3.5,"A-",IF('Data Source'!AF37&gt;=3,"B",IF('Data Source'!AF37&gt;=2,"C",IF('Data Source'!AF37&gt;=1,"D","F")))))))</f>
        <v/>
      </c>
      <c r="O37" s="3">
        <f>IF('Data Source'!B37="","",IF('Data Source'!AG37&gt;=5,"A+",IF('Data Source'!AG37&gt;=4,"A",IF('Data Source'!AG37&gt;=3.5,"A-",IF('Data Source'!AG37&gt;=3,"B",IF('Data Source'!AG37&gt;=2,"C",IF('Data Source'!AG37&gt;=1,"D","F")))))))</f>
        <v/>
      </c>
      <c r="P37" s="5">
        <f>IF('Data Source'!B37="","",'Data Source'!R37)</f>
        <v/>
      </c>
      <c r="Q37" s="3">
        <f>IF('Data Source'!B37="","",'Data Source'!S37)</f>
        <v/>
      </c>
    </row>
    <row r="38">
      <c r="A38" s="3">
        <f>IF('Data Source'!B38="","",'Data Source'!A38)</f>
        <v/>
      </c>
      <c r="B38">
        <f>IF('Data Source'!B38="","",'Data Source'!B38)</f>
        <v/>
      </c>
      <c r="C38" s="3">
        <f>IF('Data Source'!B38="","",IF('Data Source'!U38&gt;=5,"A+",IF('Data Source'!U38&gt;=4,"A",IF('Data Source'!U38&gt;=3.5,"A-",IF('Data Source'!U38&gt;=3,"B",IF('Data Source'!U38&gt;=2,"C",IF('Data Source'!U38&gt;=1,"D","F")))))))</f>
        <v/>
      </c>
      <c r="D38" s="3">
        <f>IF('Data Source'!B38="","",IF('Data Source'!V38&gt;=5,"A+",IF('Data Source'!V38&gt;=4,"A",IF('Data Source'!V38&gt;=3.5,"A-",IF('Data Source'!V38&gt;=3,"B",IF('Data Source'!V38&gt;=2,"C",IF('Data Source'!V38&gt;=1,"D","F")))))))</f>
        <v/>
      </c>
      <c r="E38" s="3">
        <f>IF('Data Source'!B38="","",IF('Data Source'!W38&gt;=5,"A+",IF('Data Source'!W38&gt;=4,"A",IF('Data Source'!W38&gt;=3.5,"A-",IF('Data Source'!W38&gt;=3,"B",IF('Data Source'!W38&gt;=2,"C",IF('Data Source'!W38&gt;=1,"D","F")))))))</f>
        <v/>
      </c>
      <c r="F38" s="3">
        <f>IF('Data Source'!B38="","",IF('Data Source'!X38&gt;=5,"A+",IF('Data Source'!X38&gt;=4,"A",IF('Data Source'!X38&gt;=3.5,"A-",IF('Data Source'!X38&gt;=3,"B",IF('Data Source'!X38&gt;=2,"C",IF('Data Source'!X38&gt;=1,"D","F")))))))</f>
        <v/>
      </c>
      <c r="G38" s="3">
        <f>IF('Data Source'!B38="","",IF('Data Source'!Y38&gt;=5,"A+",IF('Data Source'!Y38&gt;=4,"A",IF('Data Source'!Y38&gt;=3.5,"A-",IF('Data Source'!Y38&gt;=3,"B",IF('Data Source'!Y38&gt;=2,"C",IF('Data Source'!Y38&gt;=1,"D","F")))))))</f>
        <v/>
      </c>
      <c r="H38" s="3">
        <f>IF('Data Source'!B38="","",IF('Data Source'!Z38&gt;=5,"A+",IF('Data Source'!Z38&gt;=4,"A",IF('Data Source'!Z38&gt;=3.5,"A-",IF('Data Source'!Z38&gt;=3,"B",IF('Data Source'!Z38&gt;=2,"C",IF('Data Source'!Z38&gt;=1,"D","F")))))))</f>
        <v/>
      </c>
      <c r="I38" s="3">
        <f>IF('Data Source'!B38="","",IF('Data Source'!AA38&gt;=5,"A+",IF('Data Source'!AA38&gt;=4,"A",IF('Data Source'!AA38&gt;=3.5,"A-",IF('Data Source'!AA38&gt;=3,"B",IF('Data Source'!AA38&gt;=2,"C",IF('Data Source'!AA38&gt;=1,"D","F")))))))</f>
        <v/>
      </c>
      <c r="J38" s="3">
        <f>IF('Data Source'!B38="","",IF('Data Source'!AB38&gt;=5,"A+",IF('Data Source'!AB38&gt;=4,"A",IF('Data Source'!AB38&gt;=3.5,"A-",IF('Data Source'!AB38&gt;=3,"B",IF('Data Source'!AB38&gt;=2,"C",IF('Data Source'!AB38&gt;=1,"D","F")))))))</f>
        <v/>
      </c>
      <c r="K38" s="3">
        <f>IF('Data Source'!B38="","",IF('Data Source'!AC38&gt;=5,"A+",IF('Data Source'!AC38&gt;=4,"A",IF('Data Source'!AC38&gt;=3.5,"A-",IF('Data Source'!AC38&gt;=3,"B",IF('Data Source'!AC38&gt;=2,"C",IF('Data Source'!AC38&gt;=1,"D","F")))))))</f>
        <v/>
      </c>
      <c r="L38" s="3">
        <f>IF('Data Source'!B38="","",IF('Data Source'!AD38&gt;=5,"A+",IF('Data Source'!AD38&gt;=4,"A",IF('Data Source'!AD38&gt;=3.5,"A-",IF('Data Source'!AD38&gt;=3,"B",IF('Data Source'!AD38&gt;=2,"C",IF('Data Source'!AD38&gt;=1,"D","F")))))))</f>
        <v/>
      </c>
      <c r="M38" s="3">
        <f>IF('Data Source'!B38="","",IF('Data Source'!AE38&gt;=5,"A+",IF('Data Source'!AE38&gt;=4,"A",IF('Data Source'!AE38&gt;=3.5,"A-",IF('Data Source'!AE38&gt;=3,"B",IF('Data Source'!AE38&gt;=2,"C",IF('Data Source'!AE38&gt;=1,"D","F")))))))</f>
        <v/>
      </c>
      <c r="N38" s="3">
        <f>IF('Data Source'!B38="","",IF('Data Source'!AF38&gt;=5,"A+",IF('Data Source'!AF38&gt;=4,"A",IF('Data Source'!AF38&gt;=3.5,"A-",IF('Data Source'!AF38&gt;=3,"B",IF('Data Source'!AF38&gt;=2,"C",IF('Data Source'!AF38&gt;=1,"D","F")))))))</f>
        <v/>
      </c>
      <c r="O38" s="3">
        <f>IF('Data Source'!B38="","",IF('Data Source'!AG38&gt;=5,"A+",IF('Data Source'!AG38&gt;=4,"A",IF('Data Source'!AG38&gt;=3.5,"A-",IF('Data Source'!AG38&gt;=3,"B",IF('Data Source'!AG38&gt;=2,"C",IF('Data Source'!AG38&gt;=1,"D","F")))))))</f>
        <v/>
      </c>
      <c r="P38" s="5">
        <f>IF('Data Source'!B38="","",'Data Source'!R38)</f>
        <v/>
      </c>
      <c r="Q38" s="3">
        <f>IF('Data Source'!B38="","",'Data Source'!S38)</f>
        <v/>
      </c>
    </row>
    <row r="39">
      <c r="A39" s="3">
        <f>IF('Data Source'!B39="","",'Data Source'!A39)</f>
        <v/>
      </c>
      <c r="B39">
        <f>IF('Data Source'!B39="","",'Data Source'!B39)</f>
        <v/>
      </c>
      <c r="C39" s="3">
        <f>IF('Data Source'!B39="","",IF('Data Source'!U39&gt;=5,"A+",IF('Data Source'!U39&gt;=4,"A",IF('Data Source'!U39&gt;=3.5,"A-",IF('Data Source'!U39&gt;=3,"B",IF('Data Source'!U39&gt;=2,"C",IF('Data Source'!U39&gt;=1,"D","F")))))))</f>
        <v/>
      </c>
      <c r="D39" s="3">
        <f>IF('Data Source'!B39="","",IF('Data Source'!V39&gt;=5,"A+",IF('Data Source'!V39&gt;=4,"A",IF('Data Source'!V39&gt;=3.5,"A-",IF('Data Source'!V39&gt;=3,"B",IF('Data Source'!V39&gt;=2,"C",IF('Data Source'!V39&gt;=1,"D","F")))))))</f>
        <v/>
      </c>
      <c r="E39" s="3">
        <f>IF('Data Source'!B39="","",IF('Data Source'!W39&gt;=5,"A+",IF('Data Source'!W39&gt;=4,"A",IF('Data Source'!W39&gt;=3.5,"A-",IF('Data Source'!W39&gt;=3,"B",IF('Data Source'!W39&gt;=2,"C",IF('Data Source'!W39&gt;=1,"D","F")))))))</f>
        <v/>
      </c>
      <c r="F39" s="3">
        <f>IF('Data Source'!B39="","",IF('Data Source'!X39&gt;=5,"A+",IF('Data Source'!X39&gt;=4,"A",IF('Data Source'!X39&gt;=3.5,"A-",IF('Data Source'!X39&gt;=3,"B",IF('Data Source'!X39&gt;=2,"C",IF('Data Source'!X39&gt;=1,"D","F")))))))</f>
        <v/>
      </c>
      <c r="G39" s="3">
        <f>IF('Data Source'!B39="","",IF('Data Source'!Y39&gt;=5,"A+",IF('Data Source'!Y39&gt;=4,"A",IF('Data Source'!Y39&gt;=3.5,"A-",IF('Data Source'!Y39&gt;=3,"B",IF('Data Source'!Y39&gt;=2,"C",IF('Data Source'!Y39&gt;=1,"D","F")))))))</f>
        <v/>
      </c>
      <c r="H39" s="3">
        <f>IF('Data Source'!B39="","",IF('Data Source'!Z39&gt;=5,"A+",IF('Data Source'!Z39&gt;=4,"A",IF('Data Source'!Z39&gt;=3.5,"A-",IF('Data Source'!Z39&gt;=3,"B",IF('Data Source'!Z39&gt;=2,"C",IF('Data Source'!Z39&gt;=1,"D","F")))))))</f>
        <v/>
      </c>
      <c r="I39" s="3">
        <f>IF('Data Source'!B39="","",IF('Data Source'!AA39&gt;=5,"A+",IF('Data Source'!AA39&gt;=4,"A",IF('Data Source'!AA39&gt;=3.5,"A-",IF('Data Source'!AA39&gt;=3,"B",IF('Data Source'!AA39&gt;=2,"C",IF('Data Source'!AA39&gt;=1,"D","F")))))))</f>
        <v/>
      </c>
      <c r="J39" s="3">
        <f>IF('Data Source'!B39="","",IF('Data Source'!AB39&gt;=5,"A+",IF('Data Source'!AB39&gt;=4,"A",IF('Data Source'!AB39&gt;=3.5,"A-",IF('Data Source'!AB39&gt;=3,"B",IF('Data Source'!AB39&gt;=2,"C",IF('Data Source'!AB39&gt;=1,"D","F")))))))</f>
        <v/>
      </c>
      <c r="K39" s="3">
        <f>IF('Data Source'!B39="","",IF('Data Source'!AC39&gt;=5,"A+",IF('Data Source'!AC39&gt;=4,"A",IF('Data Source'!AC39&gt;=3.5,"A-",IF('Data Source'!AC39&gt;=3,"B",IF('Data Source'!AC39&gt;=2,"C",IF('Data Source'!AC39&gt;=1,"D","F")))))))</f>
        <v/>
      </c>
      <c r="L39" s="3">
        <f>IF('Data Source'!B39="","",IF('Data Source'!AD39&gt;=5,"A+",IF('Data Source'!AD39&gt;=4,"A",IF('Data Source'!AD39&gt;=3.5,"A-",IF('Data Source'!AD39&gt;=3,"B",IF('Data Source'!AD39&gt;=2,"C",IF('Data Source'!AD39&gt;=1,"D","F")))))))</f>
        <v/>
      </c>
      <c r="M39" s="3">
        <f>IF('Data Source'!B39="","",IF('Data Source'!AE39&gt;=5,"A+",IF('Data Source'!AE39&gt;=4,"A",IF('Data Source'!AE39&gt;=3.5,"A-",IF('Data Source'!AE39&gt;=3,"B",IF('Data Source'!AE39&gt;=2,"C",IF('Data Source'!AE39&gt;=1,"D","F")))))))</f>
        <v/>
      </c>
      <c r="N39" s="3">
        <f>IF('Data Source'!B39="","",IF('Data Source'!AF39&gt;=5,"A+",IF('Data Source'!AF39&gt;=4,"A",IF('Data Source'!AF39&gt;=3.5,"A-",IF('Data Source'!AF39&gt;=3,"B",IF('Data Source'!AF39&gt;=2,"C",IF('Data Source'!AF39&gt;=1,"D","F")))))))</f>
        <v/>
      </c>
      <c r="O39" s="3">
        <f>IF('Data Source'!B39="","",IF('Data Source'!AG39&gt;=5,"A+",IF('Data Source'!AG39&gt;=4,"A",IF('Data Source'!AG39&gt;=3.5,"A-",IF('Data Source'!AG39&gt;=3,"B",IF('Data Source'!AG39&gt;=2,"C",IF('Data Source'!AG39&gt;=1,"D","F")))))))</f>
        <v/>
      </c>
      <c r="P39" s="5">
        <f>IF('Data Source'!B39="","",'Data Source'!R39)</f>
        <v/>
      </c>
      <c r="Q39" s="3">
        <f>IF('Data Source'!B39="","",'Data Source'!S39)</f>
        <v/>
      </c>
    </row>
    <row r="40">
      <c r="A40" s="3">
        <f>IF('Data Source'!B40="","",'Data Source'!A40)</f>
        <v/>
      </c>
      <c r="B40">
        <f>IF('Data Source'!B40="","",'Data Source'!B40)</f>
        <v/>
      </c>
      <c r="C40" s="3">
        <f>IF('Data Source'!B40="","",IF('Data Source'!U40&gt;=5,"A+",IF('Data Source'!U40&gt;=4,"A",IF('Data Source'!U40&gt;=3.5,"A-",IF('Data Source'!U40&gt;=3,"B",IF('Data Source'!U40&gt;=2,"C",IF('Data Source'!U40&gt;=1,"D","F")))))))</f>
        <v/>
      </c>
      <c r="D40" s="3">
        <f>IF('Data Source'!B40="","",IF('Data Source'!V40&gt;=5,"A+",IF('Data Source'!V40&gt;=4,"A",IF('Data Source'!V40&gt;=3.5,"A-",IF('Data Source'!V40&gt;=3,"B",IF('Data Source'!V40&gt;=2,"C",IF('Data Source'!V40&gt;=1,"D","F")))))))</f>
        <v/>
      </c>
      <c r="E40" s="3">
        <f>IF('Data Source'!B40="","",IF('Data Source'!W40&gt;=5,"A+",IF('Data Source'!W40&gt;=4,"A",IF('Data Source'!W40&gt;=3.5,"A-",IF('Data Source'!W40&gt;=3,"B",IF('Data Source'!W40&gt;=2,"C",IF('Data Source'!W40&gt;=1,"D","F")))))))</f>
        <v/>
      </c>
      <c r="F40" s="3">
        <f>IF('Data Source'!B40="","",IF('Data Source'!X40&gt;=5,"A+",IF('Data Source'!X40&gt;=4,"A",IF('Data Source'!X40&gt;=3.5,"A-",IF('Data Source'!X40&gt;=3,"B",IF('Data Source'!X40&gt;=2,"C",IF('Data Source'!X40&gt;=1,"D","F")))))))</f>
        <v/>
      </c>
      <c r="G40" s="3">
        <f>IF('Data Source'!B40="","",IF('Data Source'!Y40&gt;=5,"A+",IF('Data Source'!Y40&gt;=4,"A",IF('Data Source'!Y40&gt;=3.5,"A-",IF('Data Source'!Y40&gt;=3,"B",IF('Data Source'!Y40&gt;=2,"C",IF('Data Source'!Y40&gt;=1,"D","F")))))))</f>
        <v/>
      </c>
      <c r="H40" s="3">
        <f>IF('Data Source'!B40="","",IF('Data Source'!Z40&gt;=5,"A+",IF('Data Source'!Z40&gt;=4,"A",IF('Data Source'!Z40&gt;=3.5,"A-",IF('Data Source'!Z40&gt;=3,"B",IF('Data Source'!Z40&gt;=2,"C",IF('Data Source'!Z40&gt;=1,"D","F")))))))</f>
        <v/>
      </c>
      <c r="I40" s="3">
        <f>IF('Data Source'!B40="","",IF('Data Source'!AA40&gt;=5,"A+",IF('Data Source'!AA40&gt;=4,"A",IF('Data Source'!AA40&gt;=3.5,"A-",IF('Data Source'!AA40&gt;=3,"B",IF('Data Source'!AA40&gt;=2,"C",IF('Data Source'!AA40&gt;=1,"D","F")))))))</f>
        <v/>
      </c>
      <c r="J40" s="3">
        <f>IF('Data Source'!B40="","",IF('Data Source'!AB40&gt;=5,"A+",IF('Data Source'!AB40&gt;=4,"A",IF('Data Source'!AB40&gt;=3.5,"A-",IF('Data Source'!AB40&gt;=3,"B",IF('Data Source'!AB40&gt;=2,"C",IF('Data Source'!AB40&gt;=1,"D","F")))))))</f>
        <v/>
      </c>
      <c r="K40" s="3">
        <f>IF('Data Source'!B40="","",IF('Data Source'!AC40&gt;=5,"A+",IF('Data Source'!AC40&gt;=4,"A",IF('Data Source'!AC40&gt;=3.5,"A-",IF('Data Source'!AC40&gt;=3,"B",IF('Data Source'!AC40&gt;=2,"C",IF('Data Source'!AC40&gt;=1,"D","F")))))))</f>
        <v/>
      </c>
      <c r="L40" s="3">
        <f>IF('Data Source'!B40="","",IF('Data Source'!AD40&gt;=5,"A+",IF('Data Source'!AD40&gt;=4,"A",IF('Data Source'!AD40&gt;=3.5,"A-",IF('Data Source'!AD40&gt;=3,"B",IF('Data Source'!AD40&gt;=2,"C",IF('Data Source'!AD40&gt;=1,"D","F")))))))</f>
        <v/>
      </c>
      <c r="M40" s="3">
        <f>IF('Data Source'!B40="","",IF('Data Source'!AE40&gt;=5,"A+",IF('Data Source'!AE40&gt;=4,"A",IF('Data Source'!AE40&gt;=3.5,"A-",IF('Data Source'!AE40&gt;=3,"B",IF('Data Source'!AE40&gt;=2,"C",IF('Data Source'!AE40&gt;=1,"D","F")))))))</f>
        <v/>
      </c>
      <c r="N40" s="3">
        <f>IF('Data Source'!B40="","",IF('Data Source'!AF40&gt;=5,"A+",IF('Data Source'!AF40&gt;=4,"A",IF('Data Source'!AF40&gt;=3.5,"A-",IF('Data Source'!AF40&gt;=3,"B",IF('Data Source'!AF40&gt;=2,"C",IF('Data Source'!AF40&gt;=1,"D","F")))))))</f>
        <v/>
      </c>
      <c r="O40" s="3">
        <f>IF('Data Source'!B40="","",IF('Data Source'!AG40&gt;=5,"A+",IF('Data Source'!AG40&gt;=4,"A",IF('Data Source'!AG40&gt;=3.5,"A-",IF('Data Source'!AG40&gt;=3,"B",IF('Data Source'!AG40&gt;=2,"C",IF('Data Source'!AG40&gt;=1,"D","F")))))))</f>
        <v/>
      </c>
      <c r="P40" s="5">
        <f>IF('Data Source'!B40="","",'Data Source'!R40)</f>
        <v/>
      </c>
      <c r="Q40" s="3">
        <f>IF('Data Source'!B40="","",'Data Source'!S40)</f>
        <v/>
      </c>
    </row>
    <row r="41">
      <c r="A41" s="3">
        <f>IF('Data Source'!B41="","",'Data Source'!A41)</f>
        <v/>
      </c>
      <c r="B41">
        <f>IF('Data Source'!B41="","",'Data Source'!B41)</f>
        <v/>
      </c>
      <c r="C41" s="3">
        <f>IF('Data Source'!B41="","",IF('Data Source'!U41&gt;=5,"A+",IF('Data Source'!U41&gt;=4,"A",IF('Data Source'!U41&gt;=3.5,"A-",IF('Data Source'!U41&gt;=3,"B",IF('Data Source'!U41&gt;=2,"C",IF('Data Source'!U41&gt;=1,"D","F")))))))</f>
        <v/>
      </c>
      <c r="D41" s="3">
        <f>IF('Data Source'!B41="","",IF('Data Source'!V41&gt;=5,"A+",IF('Data Source'!V41&gt;=4,"A",IF('Data Source'!V41&gt;=3.5,"A-",IF('Data Source'!V41&gt;=3,"B",IF('Data Source'!V41&gt;=2,"C",IF('Data Source'!V41&gt;=1,"D","F")))))))</f>
        <v/>
      </c>
      <c r="E41" s="3">
        <f>IF('Data Source'!B41="","",IF('Data Source'!W41&gt;=5,"A+",IF('Data Source'!W41&gt;=4,"A",IF('Data Source'!W41&gt;=3.5,"A-",IF('Data Source'!W41&gt;=3,"B",IF('Data Source'!W41&gt;=2,"C",IF('Data Source'!W41&gt;=1,"D","F")))))))</f>
        <v/>
      </c>
      <c r="F41" s="3">
        <f>IF('Data Source'!B41="","",IF('Data Source'!X41&gt;=5,"A+",IF('Data Source'!X41&gt;=4,"A",IF('Data Source'!X41&gt;=3.5,"A-",IF('Data Source'!X41&gt;=3,"B",IF('Data Source'!X41&gt;=2,"C",IF('Data Source'!X41&gt;=1,"D","F")))))))</f>
        <v/>
      </c>
      <c r="G41" s="3">
        <f>IF('Data Source'!B41="","",IF('Data Source'!Y41&gt;=5,"A+",IF('Data Source'!Y41&gt;=4,"A",IF('Data Source'!Y41&gt;=3.5,"A-",IF('Data Source'!Y41&gt;=3,"B",IF('Data Source'!Y41&gt;=2,"C",IF('Data Source'!Y41&gt;=1,"D","F")))))))</f>
        <v/>
      </c>
      <c r="H41" s="3">
        <f>IF('Data Source'!B41="","",IF('Data Source'!Z41&gt;=5,"A+",IF('Data Source'!Z41&gt;=4,"A",IF('Data Source'!Z41&gt;=3.5,"A-",IF('Data Source'!Z41&gt;=3,"B",IF('Data Source'!Z41&gt;=2,"C",IF('Data Source'!Z41&gt;=1,"D","F")))))))</f>
        <v/>
      </c>
      <c r="I41" s="3">
        <f>IF('Data Source'!B41="","",IF('Data Source'!AA41&gt;=5,"A+",IF('Data Source'!AA41&gt;=4,"A",IF('Data Source'!AA41&gt;=3.5,"A-",IF('Data Source'!AA41&gt;=3,"B",IF('Data Source'!AA41&gt;=2,"C",IF('Data Source'!AA41&gt;=1,"D","F")))))))</f>
        <v/>
      </c>
      <c r="J41" s="3">
        <f>IF('Data Source'!B41="","",IF('Data Source'!AB41&gt;=5,"A+",IF('Data Source'!AB41&gt;=4,"A",IF('Data Source'!AB41&gt;=3.5,"A-",IF('Data Source'!AB41&gt;=3,"B",IF('Data Source'!AB41&gt;=2,"C",IF('Data Source'!AB41&gt;=1,"D","F")))))))</f>
        <v/>
      </c>
      <c r="K41" s="3">
        <f>IF('Data Source'!B41="","",IF('Data Source'!AC41&gt;=5,"A+",IF('Data Source'!AC41&gt;=4,"A",IF('Data Source'!AC41&gt;=3.5,"A-",IF('Data Source'!AC41&gt;=3,"B",IF('Data Source'!AC41&gt;=2,"C",IF('Data Source'!AC41&gt;=1,"D","F")))))))</f>
        <v/>
      </c>
      <c r="L41" s="3">
        <f>IF('Data Source'!B41="","",IF('Data Source'!AD41&gt;=5,"A+",IF('Data Source'!AD41&gt;=4,"A",IF('Data Source'!AD41&gt;=3.5,"A-",IF('Data Source'!AD41&gt;=3,"B",IF('Data Source'!AD41&gt;=2,"C",IF('Data Source'!AD41&gt;=1,"D","F")))))))</f>
        <v/>
      </c>
      <c r="M41" s="3">
        <f>IF('Data Source'!B41="","",IF('Data Source'!AE41&gt;=5,"A+",IF('Data Source'!AE41&gt;=4,"A",IF('Data Source'!AE41&gt;=3.5,"A-",IF('Data Source'!AE41&gt;=3,"B",IF('Data Source'!AE41&gt;=2,"C",IF('Data Source'!AE41&gt;=1,"D","F")))))))</f>
        <v/>
      </c>
      <c r="N41" s="3">
        <f>IF('Data Source'!B41="","",IF('Data Source'!AF41&gt;=5,"A+",IF('Data Source'!AF41&gt;=4,"A",IF('Data Source'!AF41&gt;=3.5,"A-",IF('Data Source'!AF41&gt;=3,"B",IF('Data Source'!AF41&gt;=2,"C",IF('Data Source'!AF41&gt;=1,"D","F")))))))</f>
        <v/>
      </c>
      <c r="O41" s="3">
        <f>IF('Data Source'!B41="","",IF('Data Source'!AG41&gt;=5,"A+",IF('Data Source'!AG41&gt;=4,"A",IF('Data Source'!AG41&gt;=3.5,"A-",IF('Data Source'!AG41&gt;=3,"B",IF('Data Source'!AG41&gt;=2,"C",IF('Data Source'!AG41&gt;=1,"D","F")))))))</f>
        <v/>
      </c>
      <c r="P41" s="5">
        <f>IF('Data Source'!B41="","",'Data Source'!R41)</f>
        <v/>
      </c>
      <c r="Q41" s="3">
        <f>IF('Data Source'!B41="","",'Data Source'!S41)</f>
        <v/>
      </c>
    </row>
    <row r="42">
      <c r="A42" s="3">
        <f>IF('Data Source'!B42="","",'Data Source'!A42)</f>
        <v/>
      </c>
      <c r="B42">
        <f>IF('Data Source'!B42="","",'Data Source'!B42)</f>
        <v/>
      </c>
      <c r="C42" s="3">
        <f>IF('Data Source'!B42="","",IF('Data Source'!U42&gt;=5,"A+",IF('Data Source'!U42&gt;=4,"A",IF('Data Source'!U42&gt;=3.5,"A-",IF('Data Source'!U42&gt;=3,"B",IF('Data Source'!U42&gt;=2,"C",IF('Data Source'!U42&gt;=1,"D","F")))))))</f>
        <v/>
      </c>
      <c r="D42" s="3">
        <f>IF('Data Source'!B42="","",IF('Data Source'!V42&gt;=5,"A+",IF('Data Source'!V42&gt;=4,"A",IF('Data Source'!V42&gt;=3.5,"A-",IF('Data Source'!V42&gt;=3,"B",IF('Data Source'!V42&gt;=2,"C",IF('Data Source'!V42&gt;=1,"D","F")))))))</f>
        <v/>
      </c>
      <c r="E42" s="3">
        <f>IF('Data Source'!B42="","",IF('Data Source'!W42&gt;=5,"A+",IF('Data Source'!W42&gt;=4,"A",IF('Data Source'!W42&gt;=3.5,"A-",IF('Data Source'!W42&gt;=3,"B",IF('Data Source'!W42&gt;=2,"C",IF('Data Source'!W42&gt;=1,"D","F")))))))</f>
        <v/>
      </c>
      <c r="F42" s="3">
        <f>IF('Data Source'!B42="","",IF('Data Source'!X42&gt;=5,"A+",IF('Data Source'!X42&gt;=4,"A",IF('Data Source'!X42&gt;=3.5,"A-",IF('Data Source'!X42&gt;=3,"B",IF('Data Source'!X42&gt;=2,"C",IF('Data Source'!X42&gt;=1,"D","F")))))))</f>
        <v/>
      </c>
      <c r="G42" s="3">
        <f>IF('Data Source'!B42="","",IF('Data Source'!Y42&gt;=5,"A+",IF('Data Source'!Y42&gt;=4,"A",IF('Data Source'!Y42&gt;=3.5,"A-",IF('Data Source'!Y42&gt;=3,"B",IF('Data Source'!Y42&gt;=2,"C",IF('Data Source'!Y42&gt;=1,"D","F")))))))</f>
        <v/>
      </c>
      <c r="H42" s="3">
        <f>IF('Data Source'!B42="","",IF('Data Source'!Z42&gt;=5,"A+",IF('Data Source'!Z42&gt;=4,"A",IF('Data Source'!Z42&gt;=3.5,"A-",IF('Data Source'!Z42&gt;=3,"B",IF('Data Source'!Z42&gt;=2,"C",IF('Data Source'!Z42&gt;=1,"D","F")))))))</f>
        <v/>
      </c>
      <c r="I42" s="3">
        <f>IF('Data Source'!B42="","",IF('Data Source'!AA42&gt;=5,"A+",IF('Data Source'!AA42&gt;=4,"A",IF('Data Source'!AA42&gt;=3.5,"A-",IF('Data Source'!AA42&gt;=3,"B",IF('Data Source'!AA42&gt;=2,"C",IF('Data Source'!AA42&gt;=1,"D","F")))))))</f>
        <v/>
      </c>
      <c r="J42" s="3">
        <f>IF('Data Source'!B42="","",IF('Data Source'!AB42&gt;=5,"A+",IF('Data Source'!AB42&gt;=4,"A",IF('Data Source'!AB42&gt;=3.5,"A-",IF('Data Source'!AB42&gt;=3,"B",IF('Data Source'!AB42&gt;=2,"C",IF('Data Source'!AB42&gt;=1,"D","F")))))))</f>
        <v/>
      </c>
      <c r="K42" s="3">
        <f>IF('Data Source'!B42="","",IF('Data Source'!AC42&gt;=5,"A+",IF('Data Source'!AC42&gt;=4,"A",IF('Data Source'!AC42&gt;=3.5,"A-",IF('Data Source'!AC42&gt;=3,"B",IF('Data Source'!AC42&gt;=2,"C",IF('Data Source'!AC42&gt;=1,"D","F")))))))</f>
        <v/>
      </c>
      <c r="L42" s="3">
        <f>IF('Data Source'!B42="","",IF('Data Source'!AD42&gt;=5,"A+",IF('Data Source'!AD42&gt;=4,"A",IF('Data Source'!AD42&gt;=3.5,"A-",IF('Data Source'!AD42&gt;=3,"B",IF('Data Source'!AD42&gt;=2,"C",IF('Data Source'!AD42&gt;=1,"D","F")))))))</f>
        <v/>
      </c>
      <c r="M42" s="3">
        <f>IF('Data Source'!B42="","",IF('Data Source'!AE42&gt;=5,"A+",IF('Data Source'!AE42&gt;=4,"A",IF('Data Source'!AE42&gt;=3.5,"A-",IF('Data Source'!AE42&gt;=3,"B",IF('Data Source'!AE42&gt;=2,"C",IF('Data Source'!AE42&gt;=1,"D","F")))))))</f>
        <v/>
      </c>
      <c r="N42" s="3">
        <f>IF('Data Source'!B42="","",IF('Data Source'!AF42&gt;=5,"A+",IF('Data Source'!AF42&gt;=4,"A",IF('Data Source'!AF42&gt;=3.5,"A-",IF('Data Source'!AF42&gt;=3,"B",IF('Data Source'!AF42&gt;=2,"C",IF('Data Source'!AF42&gt;=1,"D","F")))))))</f>
        <v/>
      </c>
      <c r="O42" s="3">
        <f>IF('Data Source'!B42="","",IF('Data Source'!AG42&gt;=5,"A+",IF('Data Source'!AG42&gt;=4,"A",IF('Data Source'!AG42&gt;=3.5,"A-",IF('Data Source'!AG42&gt;=3,"B",IF('Data Source'!AG42&gt;=2,"C",IF('Data Source'!AG42&gt;=1,"D","F")))))))</f>
        <v/>
      </c>
      <c r="P42" s="5">
        <f>IF('Data Source'!B42="","",'Data Source'!R42)</f>
        <v/>
      </c>
      <c r="Q42" s="3">
        <f>IF('Data Source'!B42="","",'Data Source'!S42)</f>
        <v/>
      </c>
    </row>
    <row r="43">
      <c r="A43" s="3">
        <f>IF('Data Source'!B43="","",'Data Source'!A43)</f>
        <v/>
      </c>
      <c r="B43">
        <f>IF('Data Source'!B43="","",'Data Source'!B43)</f>
        <v/>
      </c>
      <c r="C43" s="3">
        <f>IF('Data Source'!B43="","",IF('Data Source'!U43&gt;=5,"A+",IF('Data Source'!U43&gt;=4,"A",IF('Data Source'!U43&gt;=3.5,"A-",IF('Data Source'!U43&gt;=3,"B",IF('Data Source'!U43&gt;=2,"C",IF('Data Source'!U43&gt;=1,"D","F")))))))</f>
        <v/>
      </c>
      <c r="D43" s="3">
        <f>IF('Data Source'!B43="","",IF('Data Source'!V43&gt;=5,"A+",IF('Data Source'!V43&gt;=4,"A",IF('Data Source'!V43&gt;=3.5,"A-",IF('Data Source'!V43&gt;=3,"B",IF('Data Source'!V43&gt;=2,"C",IF('Data Source'!V43&gt;=1,"D","F")))))))</f>
        <v/>
      </c>
      <c r="E43" s="3">
        <f>IF('Data Source'!B43="","",IF('Data Source'!W43&gt;=5,"A+",IF('Data Source'!W43&gt;=4,"A",IF('Data Source'!W43&gt;=3.5,"A-",IF('Data Source'!W43&gt;=3,"B",IF('Data Source'!W43&gt;=2,"C",IF('Data Source'!W43&gt;=1,"D","F")))))))</f>
        <v/>
      </c>
      <c r="F43" s="3">
        <f>IF('Data Source'!B43="","",IF('Data Source'!X43&gt;=5,"A+",IF('Data Source'!X43&gt;=4,"A",IF('Data Source'!X43&gt;=3.5,"A-",IF('Data Source'!X43&gt;=3,"B",IF('Data Source'!X43&gt;=2,"C",IF('Data Source'!X43&gt;=1,"D","F")))))))</f>
        <v/>
      </c>
      <c r="G43" s="3">
        <f>IF('Data Source'!B43="","",IF('Data Source'!Y43&gt;=5,"A+",IF('Data Source'!Y43&gt;=4,"A",IF('Data Source'!Y43&gt;=3.5,"A-",IF('Data Source'!Y43&gt;=3,"B",IF('Data Source'!Y43&gt;=2,"C",IF('Data Source'!Y43&gt;=1,"D","F")))))))</f>
        <v/>
      </c>
      <c r="H43" s="3">
        <f>IF('Data Source'!B43="","",IF('Data Source'!Z43&gt;=5,"A+",IF('Data Source'!Z43&gt;=4,"A",IF('Data Source'!Z43&gt;=3.5,"A-",IF('Data Source'!Z43&gt;=3,"B",IF('Data Source'!Z43&gt;=2,"C",IF('Data Source'!Z43&gt;=1,"D","F")))))))</f>
        <v/>
      </c>
      <c r="I43" s="3">
        <f>IF('Data Source'!B43="","",IF('Data Source'!AA43&gt;=5,"A+",IF('Data Source'!AA43&gt;=4,"A",IF('Data Source'!AA43&gt;=3.5,"A-",IF('Data Source'!AA43&gt;=3,"B",IF('Data Source'!AA43&gt;=2,"C",IF('Data Source'!AA43&gt;=1,"D","F")))))))</f>
        <v/>
      </c>
      <c r="J43" s="3">
        <f>IF('Data Source'!B43="","",IF('Data Source'!AB43&gt;=5,"A+",IF('Data Source'!AB43&gt;=4,"A",IF('Data Source'!AB43&gt;=3.5,"A-",IF('Data Source'!AB43&gt;=3,"B",IF('Data Source'!AB43&gt;=2,"C",IF('Data Source'!AB43&gt;=1,"D","F")))))))</f>
        <v/>
      </c>
      <c r="K43" s="3">
        <f>IF('Data Source'!B43="","",IF('Data Source'!AC43&gt;=5,"A+",IF('Data Source'!AC43&gt;=4,"A",IF('Data Source'!AC43&gt;=3.5,"A-",IF('Data Source'!AC43&gt;=3,"B",IF('Data Source'!AC43&gt;=2,"C",IF('Data Source'!AC43&gt;=1,"D","F")))))))</f>
        <v/>
      </c>
      <c r="L43" s="3">
        <f>IF('Data Source'!B43="","",IF('Data Source'!AD43&gt;=5,"A+",IF('Data Source'!AD43&gt;=4,"A",IF('Data Source'!AD43&gt;=3.5,"A-",IF('Data Source'!AD43&gt;=3,"B",IF('Data Source'!AD43&gt;=2,"C",IF('Data Source'!AD43&gt;=1,"D","F")))))))</f>
        <v/>
      </c>
      <c r="M43" s="3">
        <f>IF('Data Source'!B43="","",IF('Data Source'!AE43&gt;=5,"A+",IF('Data Source'!AE43&gt;=4,"A",IF('Data Source'!AE43&gt;=3.5,"A-",IF('Data Source'!AE43&gt;=3,"B",IF('Data Source'!AE43&gt;=2,"C",IF('Data Source'!AE43&gt;=1,"D","F")))))))</f>
        <v/>
      </c>
      <c r="N43" s="3">
        <f>IF('Data Source'!B43="","",IF('Data Source'!AF43&gt;=5,"A+",IF('Data Source'!AF43&gt;=4,"A",IF('Data Source'!AF43&gt;=3.5,"A-",IF('Data Source'!AF43&gt;=3,"B",IF('Data Source'!AF43&gt;=2,"C",IF('Data Source'!AF43&gt;=1,"D","F")))))))</f>
        <v/>
      </c>
      <c r="O43" s="3">
        <f>IF('Data Source'!B43="","",IF('Data Source'!AG43&gt;=5,"A+",IF('Data Source'!AG43&gt;=4,"A",IF('Data Source'!AG43&gt;=3.5,"A-",IF('Data Source'!AG43&gt;=3,"B",IF('Data Source'!AG43&gt;=2,"C",IF('Data Source'!AG43&gt;=1,"D","F")))))))</f>
        <v/>
      </c>
      <c r="P43" s="5">
        <f>IF('Data Source'!B43="","",'Data Source'!R43)</f>
        <v/>
      </c>
      <c r="Q43" s="3">
        <f>IF('Data Source'!B43="","",'Data Source'!S43)</f>
        <v/>
      </c>
    </row>
    <row r="44">
      <c r="A44" s="3">
        <f>IF('Data Source'!B44="","",'Data Source'!A44)</f>
        <v/>
      </c>
      <c r="B44">
        <f>IF('Data Source'!B44="","",'Data Source'!B44)</f>
        <v/>
      </c>
      <c r="C44" s="3">
        <f>IF('Data Source'!B44="","",IF('Data Source'!U44&gt;=5,"A+",IF('Data Source'!U44&gt;=4,"A",IF('Data Source'!U44&gt;=3.5,"A-",IF('Data Source'!U44&gt;=3,"B",IF('Data Source'!U44&gt;=2,"C",IF('Data Source'!U44&gt;=1,"D","F")))))))</f>
        <v/>
      </c>
      <c r="D44" s="3">
        <f>IF('Data Source'!B44="","",IF('Data Source'!V44&gt;=5,"A+",IF('Data Source'!V44&gt;=4,"A",IF('Data Source'!V44&gt;=3.5,"A-",IF('Data Source'!V44&gt;=3,"B",IF('Data Source'!V44&gt;=2,"C",IF('Data Source'!V44&gt;=1,"D","F")))))))</f>
        <v/>
      </c>
      <c r="E44" s="3">
        <f>IF('Data Source'!B44="","",IF('Data Source'!W44&gt;=5,"A+",IF('Data Source'!W44&gt;=4,"A",IF('Data Source'!W44&gt;=3.5,"A-",IF('Data Source'!W44&gt;=3,"B",IF('Data Source'!W44&gt;=2,"C",IF('Data Source'!W44&gt;=1,"D","F")))))))</f>
        <v/>
      </c>
      <c r="F44" s="3">
        <f>IF('Data Source'!B44="","",IF('Data Source'!X44&gt;=5,"A+",IF('Data Source'!X44&gt;=4,"A",IF('Data Source'!X44&gt;=3.5,"A-",IF('Data Source'!X44&gt;=3,"B",IF('Data Source'!X44&gt;=2,"C",IF('Data Source'!X44&gt;=1,"D","F")))))))</f>
        <v/>
      </c>
      <c r="G44" s="3">
        <f>IF('Data Source'!B44="","",IF('Data Source'!Y44&gt;=5,"A+",IF('Data Source'!Y44&gt;=4,"A",IF('Data Source'!Y44&gt;=3.5,"A-",IF('Data Source'!Y44&gt;=3,"B",IF('Data Source'!Y44&gt;=2,"C",IF('Data Source'!Y44&gt;=1,"D","F")))))))</f>
        <v/>
      </c>
      <c r="H44" s="3">
        <f>IF('Data Source'!B44="","",IF('Data Source'!Z44&gt;=5,"A+",IF('Data Source'!Z44&gt;=4,"A",IF('Data Source'!Z44&gt;=3.5,"A-",IF('Data Source'!Z44&gt;=3,"B",IF('Data Source'!Z44&gt;=2,"C",IF('Data Source'!Z44&gt;=1,"D","F")))))))</f>
        <v/>
      </c>
      <c r="I44" s="3">
        <f>IF('Data Source'!B44="","",IF('Data Source'!AA44&gt;=5,"A+",IF('Data Source'!AA44&gt;=4,"A",IF('Data Source'!AA44&gt;=3.5,"A-",IF('Data Source'!AA44&gt;=3,"B",IF('Data Source'!AA44&gt;=2,"C",IF('Data Source'!AA44&gt;=1,"D","F")))))))</f>
        <v/>
      </c>
      <c r="J44" s="3">
        <f>IF('Data Source'!B44="","",IF('Data Source'!AB44&gt;=5,"A+",IF('Data Source'!AB44&gt;=4,"A",IF('Data Source'!AB44&gt;=3.5,"A-",IF('Data Source'!AB44&gt;=3,"B",IF('Data Source'!AB44&gt;=2,"C",IF('Data Source'!AB44&gt;=1,"D","F")))))))</f>
        <v/>
      </c>
      <c r="K44" s="3">
        <f>IF('Data Source'!B44="","",IF('Data Source'!AC44&gt;=5,"A+",IF('Data Source'!AC44&gt;=4,"A",IF('Data Source'!AC44&gt;=3.5,"A-",IF('Data Source'!AC44&gt;=3,"B",IF('Data Source'!AC44&gt;=2,"C",IF('Data Source'!AC44&gt;=1,"D","F")))))))</f>
        <v/>
      </c>
      <c r="L44" s="3">
        <f>IF('Data Source'!B44="","",IF('Data Source'!AD44&gt;=5,"A+",IF('Data Source'!AD44&gt;=4,"A",IF('Data Source'!AD44&gt;=3.5,"A-",IF('Data Source'!AD44&gt;=3,"B",IF('Data Source'!AD44&gt;=2,"C",IF('Data Source'!AD44&gt;=1,"D","F")))))))</f>
        <v/>
      </c>
      <c r="M44" s="3">
        <f>IF('Data Source'!B44="","",IF('Data Source'!AE44&gt;=5,"A+",IF('Data Source'!AE44&gt;=4,"A",IF('Data Source'!AE44&gt;=3.5,"A-",IF('Data Source'!AE44&gt;=3,"B",IF('Data Source'!AE44&gt;=2,"C",IF('Data Source'!AE44&gt;=1,"D","F")))))))</f>
        <v/>
      </c>
      <c r="N44" s="3">
        <f>IF('Data Source'!B44="","",IF('Data Source'!AF44&gt;=5,"A+",IF('Data Source'!AF44&gt;=4,"A",IF('Data Source'!AF44&gt;=3.5,"A-",IF('Data Source'!AF44&gt;=3,"B",IF('Data Source'!AF44&gt;=2,"C",IF('Data Source'!AF44&gt;=1,"D","F")))))))</f>
        <v/>
      </c>
      <c r="O44" s="3">
        <f>IF('Data Source'!B44="","",IF('Data Source'!AG44&gt;=5,"A+",IF('Data Source'!AG44&gt;=4,"A",IF('Data Source'!AG44&gt;=3.5,"A-",IF('Data Source'!AG44&gt;=3,"B",IF('Data Source'!AG44&gt;=2,"C",IF('Data Source'!AG44&gt;=1,"D","F")))))))</f>
        <v/>
      </c>
      <c r="P44" s="5">
        <f>IF('Data Source'!B44="","",'Data Source'!R44)</f>
        <v/>
      </c>
      <c r="Q44" s="3">
        <f>IF('Data Source'!B44="","",'Data Source'!S44)</f>
        <v/>
      </c>
    </row>
    <row r="45">
      <c r="A45" s="3">
        <f>IF('Data Source'!B45="","",'Data Source'!A45)</f>
        <v/>
      </c>
      <c r="B45">
        <f>IF('Data Source'!B45="","",'Data Source'!B45)</f>
        <v/>
      </c>
      <c r="C45" s="3">
        <f>IF('Data Source'!B45="","",IF('Data Source'!U45&gt;=5,"A+",IF('Data Source'!U45&gt;=4,"A",IF('Data Source'!U45&gt;=3.5,"A-",IF('Data Source'!U45&gt;=3,"B",IF('Data Source'!U45&gt;=2,"C",IF('Data Source'!U45&gt;=1,"D","F")))))))</f>
        <v/>
      </c>
      <c r="D45" s="3">
        <f>IF('Data Source'!B45="","",IF('Data Source'!V45&gt;=5,"A+",IF('Data Source'!V45&gt;=4,"A",IF('Data Source'!V45&gt;=3.5,"A-",IF('Data Source'!V45&gt;=3,"B",IF('Data Source'!V45&gt;=2,"C",IF('Data Source'!V45&gt;=1,"D","F")))))))</f>
        <v/>
      </c>
      <c r="E45" s="3">
        <f>IF('Data Source'!B45="","",IF('Data Source'!W45&gt;=5,"A+",IF('Data Source'!W45&gt;=4,"A",IF('Data Source'!W45&gt;=3.5,"A-",IF('Data Source'!W45&gt;=3,"B",IF('Data Source'!W45&gt;=2,"C",IF('Data Source'!W45&gt;=1,"D","F")))))))</f>
        <v/>
      </c>
      <c r="F45" s="3">
        <f>IF('Data Source'!B45="","",IF('Data Source'!X45&gt;=5,"A+",IF('Data Source'!X45&gt;=4,"A",IF('Data Source'!X45&gt;=3.5,"A-",IF('Data Source'!X45&gt;=3,"B",IF('Data Source'!X45&gt;=2,"C",IF('Data Source'!X45&gt;=1,"D","F")))))))</f>
        <v/>
      </c>
      <c r="G45" s="3">
        <f>IF('Data Source'!B45="","",IF('Data Source'!Y45&gt;=5,"A+",IF('Data Source'!Y45&gt;=4,"A",IF('Data Source'!Y45&gt;=3.5,"A-",IF('Data Source'!Y45&gt;=3,"B",IF('Data Source'!Y45&gt;=2,"C",IF('Data Source'!Y45&gt;=1,"D","F")))))))</f>
        <v/>
      </c>
      <c r="H45" s="3">
        <f>IF('Data Source'!B45="","",IF('Data Source'!Z45&gt;=5,"A+",IF('Data Source'!Z45&gt;=4,"A",IF('Data Source'!Z45&gt;=3.5,"A-",IF('Data Source'!Z45&gt;=3,"B",IF('Data Source'!Z45&gt;=2,"C",IF('Data Source'!Z45&gt;=1,"D","F")))))))</f>
        <v/>
      </c>
      <c r="I45" s="3">
        <f>IF('Data Source'!B45="","",IF('Data Source'!AA45&gt;=5,"A+",IF('Data Source'!AA45&gt;=4,"A",IF('Data Source'!AA45&gt;=3.5,"A-",IF('Data Source'!AA45&gt;=3,"B",IF('Data Source'!AA45&gt;=2,"C",IF('Data Source'!AA45&gt;=1,"D","F")))))))</f>
        <v/>
      </c>
      <c r="J45" s="3">
        <f>IF('Data Source'!B45="","",IF('Data Source'!AB45&gt;=5,"A+",IF('Data Source'!AB45&gt;=4,"A",IF('Data Source'!AB45&gt;=3.5,"A-",IF('Data Source'!AB45&gt;=3,"B",IF('Data Source'!AB45&gt;=2,"C",IF('Data Source'!AB45&gt;=1,"D","F")))))))</f>
        <v/>
      </c>
      <c r="K45" s="3">
        <f>IF('Data Source'!B45="","",IF('Data Source'!AC45&gt;=5,"A+",IF('Data Source'!AC45&gt;=4,"A",IF('Data Source'!AC45&gt;=3.5,"A-",IF('Data Source'!AC45&gt;=3,"B",IF('Data Source'!AC45&gt;=2,"C",IF('Data Source'!AC45&gt;=1,"D","F")))))))</f>
        <v/>
      </c>
      <c r="L45" s="3">
        <f>IF('Data Source'!B45="","",IF('Data Source'!AD45&gt;=5,"A+",IF('Data Source'!AD45&gt;=4,"A",IF('Data Source'!AD45&gt;=3.5,"A-",IF('Data Source'!AD45&gt;=3,"B",IF('Data Source'!AD45&gt;=2,"C",IF('Data Source'!AD45&gt;=1,"D","F")))))))</f>
        <v/>
      </c>
      <c r="M45" s="3">
        <f>IF('Data Source'!B45="","",IF('Data Source'!AE45&gt;=5,"A+",IF('Data Source'!AE45&gt;=4,"A",IF('Data Source'!AE45&gt;=3.5,"A-",IF('Data Source'!AE45&gt;=3,"B",IF('Data Source'!AE45&gt;=2,"C",IF('Data Source'!AE45&gt;=1,"D","F")))))))</f>
        <v/>
      </c>
      <c r="N45" s="3">
        <f>IF('Data Source'!B45="","",IF('Data Source'!AF45&gt;=5,"A+",IF('Data Source'!AF45&gt;=4,"A",IF('Data Source'!AF45&gt;=3.5,"A-",IF('Data Source'!AF45&gt;=3,"B",IF('Data Source'!AF45&gt;=2,"C",IF('Data Source'!AF45&gt;=1,"D","F")))))))</f>
        <v/>
      </c>
      <c r="O45" s="3">
        <f>IF('Data Source'!B45="","",IF('Data Source'!AG45&gt;=5,"A+",IF('Data Source'!AG45&gt;=4,"A",IF('Data Source'!AG45&gt;=3.5,"A-",IF('Data Source'!AG45&gt;=3,"B",IF('Data Source'!AG45&gt;=2,"C",IF('Data Source'!AG45&gt;=1,"D","F")))))))</f>
        <v/>
      </c>
      <c r="P45" s="5">
        <f>IF('Data Source'!B45="","",'Data Source'!R45)</f>
        <v/>
      </c>
      <c r="Q45" s="3">
        <f>IF('Data Source'!B45="","",'Data Source'!S45)</f>
        <v/>
      </c>
    </row>
    <row r="46">
      <c r="A46" s="3">
        <f>IF('Data Source'!B46="","",'Data Source'!A46)</f>
        <v/>
      </c>
      <c r="B46">
        <f>IF('Data Source'!B46="","",'Data Source'!B46)</f>
        <v/>
      </c>
      <c r="C46" s="3">
        <f>IF('Data Source'!B46="","",IF('Data Source'!U46&gt;=5,"A+",IF('Data Source'!U46&gt;=4,"A",IF('Data Source'!U46&gt;=3.5,"A-",IF('Data Source'!U46&gt;=3,"B",IF('Data Source'!U46&gt;=2,"C",IF('Data Source'!U46&gt;=1,"D","F")))))))</f>
        <v/>
      </c>
      <c r="D46" s="3">
        <f>IF('Data Source'!B46="","",IF('Data Source'!V46&gt;=5,"A+",IF('Data Source'!V46&gt;=4,"A",IF('Data Source'!V46&gt;=3.5,"A-",IF('Data Source'!V46&gt;=3,"B",IF('Data Source'!V46&gt;=2,"C",IF('Data Source'!V46&gt;=1,"D","F")))))))</f>
        <v/>
      </c>
      <c r="E46" s="3">
        <f>IF('Data Source'!B46="","",IF('Data Source'!W46&gt;=5,"A+",IF('Data Source'!W46&gt;=4,"A",IF('Data Source'!W46&gt;=3.5,"A-",IF('Data Source'!W46&gt;=3,"B",IF('Data Source'!W46&gt;=2,"C",IF('Data Source'!W46&gt;=1,"D","F")))))))</f>
        <v/>
      </c>
      <c r="F46" s="3">
        <f>IF('Data Source'!B46="","",IF('Data Source'!X46&gt;=5,"A+",IF('Data Source'!X46&gt;=4,"A",IF('Data Source'!X46&gt;=3.5,"A-",IF('Data Source'!X46&gt;=3,"B",IF('Data Source'!X46&gt;=2,"C",IF('Data Source'!X46&gt;=1,"D","F")))))))</f>
        <v/>
      </c>
      <c r="G46" s="3">
        <f>IF('Data Source'!B46="","",IF('Data Source'!Y46&gt;=5,"A+",IF('Data Source'!Y46&gt;=4,"A",IF('Data Source'!Y46&gt;=3.5,"A-",IF('Data Source'!Y46&gt;=3,"B",IF('Data Source'!Y46&gt;=2,"C",IF('Data Source'!Y46&gt;=1,"D","F")))))))</f>
        <v/>
      </c>
      <c r="H46" s="3">
        <f>IF('Data Source'!B46="","",IF('Data Source'!Z46&gt;=5,"A+",IF('Data Source'!Z46&gt;=4,"A",IF('Data Source'!Z46&gt;=3.5,"A-",IF('Data Source'!Z46&gt;=3,"B",IF('Data Source'!Z46&gt;=2,"C",IF('Data Source'!Z46&gt;=1,"D","F")))))))</f>
        <v/>
      </c>
      <c r="I46" s="3">
        <f>IF('Data Source'!B46="","",IF('Data Source'!AA46&gt;=5,"A+",IF('Data Source'!AA46&gt;=4,"A",IF('Data Source'!AA46&gt;=3.5,"A-",IF('Data Source'!AA46&gt;=3,"B",IF('Data Source'!AA46&gt;=2,"C",IF('Data Source'!AA46&gt;=1,"D","F")))))))</f>
        <v/>
      </c>
      <c r="J46" s="3">
        <f>IF('Data Source'!B46="","",IF('Data Source'!AB46&gt;=5,"A+",IF('Data Source'!AB46&gt;=4,"A",IF('Data Source'!AB46&gt;=3.5,"A-",IF('Data Source'!AB46&gt;=3,"B",IF('Data Source'!AB46&gt;=2,"C",IF('Data Source'!AB46&gt;=1,"D","F")))))))</f>
        <v/>
      </c>
      <c r="K46" s="3">
        <f>IF('Data Source'!B46="","",IF('Data Source'!AC46&gt;=5,"A+",IF('Data Source'!AC46&gt;=4,"A",IF('Data Source'!AC46&gt;=3.5,"A-",IF('Data Source'!AC46&gt;=3,"B",IF('Data Source'!AC46&gt;=2,"C",IF('Data Source'!AC46&gt;=1,"D","F")))))))</f>
        <v/>
      </c>
      <c r="L46" s="3">
        <f>IF('Data Source'!B46="","",IF('Data Source'!AD46&gt;=5,"A+",IF('Data Source'!AD46&gt;=4,"A",IF('Data Source'!AD46&gt;=3.5,"A-",IF('Data Source'!AD46&gt;=3,"B",IF('Data Source'!AD46&gt;=2,"C",IF('Data Source'!AD46&gt;=1,"D","F")))))))</f>
        <v/>
      </c>
      <c r="M46" s="3">
        <f>IF('Data Source'!B46="","",IF('Data Source'!AE46&gt;=5,"A+",IF('Data Source'!AE46&gt;=4,"A",IF('Data Source'!AE46&gt;=3.5,"A-",IF('Data Source'!AE46&gt;=3,"B",IF('Data Source'!AE46&gt;=2,"C",IF('Data Source'!AE46&gt;=1,"D","F")))))))</f>
        <v/>
      </c>
      <c r="N46" s="3">
        <f>IF('Data Source'!B46="","",IF('Data Source'!AF46&gt;=5,"A+",IF('Data Source'!AF46&gt;=4,"A",IF('Data Source'!AF46&gt;=3.5,"A-",IF('Data Source'!AF46&gt;=3,"B",IF('Data Source'!AF46&gt;=2,"C",IF('Data Source'!AF46&gt;=1,"D","F")))))))</f>
        <v/>
      </c>
      <c r="O46" s="3">
        <f>IF('Data Source'!B46="","",IF('Data Source'!AG46&gt;=5,"A+",IF('Data Source'!AG46&gt;=4,"A",IF('Data Source'!AG46&gt;=3.5,"A-",IF('Data Source'!AG46&gt;=3,"B",IF('Data Source'!AG46&gt;=2,"C",IF('Data Source'!AG46&gt;=1,"D","F")))))))</f>
        <v/>
      </c>
      <c r="P46" s="5">
        <f>IF('Data Source'!B46="","",'Data Source'!R46)</f>
        <v/>
      </c>
      <c r="Q46" s="3">
        <f>IF('Data Source'!B46="","",'Data Source'!S46)</f>
        <v/>
      </c>
    </row>
    <row r="47">
      <c r="A47" s="3">
        <f>IF('Data Source'!B47="","",'Data Source'!A47)</f>
        <v/>
      </c>
      <c r="B47">
        <f>IF('Data Source'!B47="","",'Data Source'!B47)</f>
        <v/>
      </c>
      <c r="C47" s="3">
        <f>IF('Data Source'!B47="","",IF('Data Source'!U47&gt;=5,"A+",IF('Data Source'!U47&gt;=4,"A",IF('Data Source'!U47&gt;=3.5,"A-",IF('Data Source'!U47&gt;=3,"B",IF('Data Source'!U47&gt;=2,"C",IF('Data Source'!U47&gt;=1,"D","F")))))))</f>
        <v/>
      </c>
      <c r="D47" s="3">
        <f>IF('Data Source'!B47="","",IF('Data Source'!V47&gt;=5,"A+",IF('Data Source'!V47&gt;=4,"A",IF('Data Source'!V47&gt;=3.5,"A-",IF('Data Source'!V47&gt;=3,"B",IF('Data Source'!V47&gt;=2,"C",IF('Data Source'!V47&gt;=1,"D","F")))))))</f>
        <v/>
      </c>
      <c r="E47" s="3">
        <f>IF('Data Source'!B47="","",IF('Data Source'!W47&gt;=5,"A+",IF('Data Source'!W47&gt;=4,"A",IF('Data Source'!W47&gt;=3.5,"A-",IF('Data Source'!W47&gt;=3,"B",IF('Data Source'!W47&gt;=2,"C",IF('Data Source'!W47&gt;=1,"D","F")))))))</f>
        <v/>
      </c>
      <c r="F47" s="3">
        <f>IF('Data Source'!B47="","",IF('Data Source'!X47&gt;=5,"A+",IF('Data Source'!X47&gt;=4,"A",IF('Data Source'!X47&gt;=3.5,"A-",IF('Data Source'!X47&gt;=3,"B",IF('Data Source'!X47&gt;=2,"C",IF('Data Source'!X47&gt;=1,"D","F")))))))</f>
        <v/>
      </c>
      <c r="G47" s="3">
        <f>IF('Data Source'!B47="","",IF('Data Source'!Y47&gt;=5,"A+",IF('Data Source'!Y47&gt;=4,"A",IF('Data Source'!Y47&gt;=3.5,"A-",IF('Data Source'!Y47&gt;=3,"B",IF('Data Source'!Y47&gt;=2,"C",IF('Data Source'!Y47&gt;=1,"D","F")))))))</f>
        <v/>
      </c>
      <c r="H47" s="3">
        <f>IF('Data Source'!B47="","",IF('Data Source'!Z47&gt;=5,"A+",IF('Data Source'!Z47&gt;=4,"A",IF('Data Source'!Z47&gt;=3.5,"A-",IF('Data Source'!Z47&gt;=3,"B",IF('Data Source'!Z47&gt;=2,"C",IF('Data Source'!Z47&gt;=1,"D","F")))))))</f>
        <v/>
      </c>
      <c r="I47" s="3">
        <f>IF('Data Source'!B47="","",IF('Data Source'!AA47&gt;=5,"A+",IF('Data Source'!AA47&gt;=4,"A",IF('Data Source'!AA47&gt;=3.5,"A-",IF('Data Source'!AA47&gt;=3,"B",IF('Data Source'!AA47&gt;=2,"C",IF('Data Source'!AA47&gt;=1,"D","F")))))))</f>
        <v/>
      </c>
      <c r="J47" s="3">
        <f>IF('Data Source'!B47="","",IF('Data Source'!AB47&gt;=5,"A+",IF('Data Source'!AB47&gt;=4,"A",IF('Data Source'!AB47&gt;=3.5,"A-",IF('Data Source'!AB47&gt;=3,"B",IF('Data Source'!AB47&gt;=2,"C",IF('Data Source'!AB47&gt;=1,"D","F")))))))</f>
        <v/>
      </c>
      <c r="K47" s="3">
        <f>IF('Data Source'!B47="","",IF('Data Source'!AC47&gt;=5,"A+",IF('Data Source'!AC47&gt;=4,"A",IF('Data Source'!AC47&gt;=3.5,"A-",IF('Data Source'!AC47&gt;=3,"B",IF('Data Source'!AC47&gt;=2,"C",IF('Data Source'!AC47&gt;=1,"D","F")))))))</f>
        <v/>
      </c>
      <c r="L47" s="3">
        <f>IF('Data Source'!B47="","",IF('Data Source'!AD47&gt;=5,"A+",IF('Data Source'!AD47&gt;=4,"A",IF('Data Source'!AD47&gt;=3.5,"A-",IF('Data Source'!AD47&gt;=3,"B",IF('Data Source'!AD47&gt;=2,"C",IF('Data Source'!AD47&gt;=1,"D","F")))))))</f>
        <v/>
      </c>
      <c r="M47" s="3">
        <f>IF('Data Source'!B47="","",IF('Data Source'!AE47&gt;=5,"A+",IF('Data Source'!AE47&gt;=4,"A",IF('Data Source'!AE47&gt;=3.5,"A-",IF('Data Source'!AE47&gt;=3,"B",IF('Data Source'!AE47&gt;=2,"C",IF('Data Source'!AE47&gt;=1,"D","F")))))))</f>
        <v/>
      </c>
      <c r="N47" s="3">
        <f>IF('Data Source'!B47="","",IF('Data Source'!AF47&gt;=5,"A+",IF('Data Source'!AF47&gt;=4,"A",IF('Data Source'!AF47&gt;=3.5,"A-",IF('Data Source'!AF47&gt;=3,"B",IF('Data Source'!AF47&gt;=2,"C",IF('Data Source'!AF47&gt;=1,"D","F")))))))</f>
        <v/>
      </c>
      <c r="O47" s="3">
        <f>IF('Data Source'!B47="","",IF('Data Source'!AG47&gt;=5,"A+",IF('Data Source'!AG47&gt;=4,"A",IF('Data Source'!AG47&gt;=3.5,"A-",IF('Data Source'!AG47&gt;=3,"B",IF('Data Source'!AG47&gt;=2,"C",IF('Data Source'!AG47&gt;=1,"D","F")))))))</f>
        <v/>
      </c>
      <c r="P47" s="5">
        <f>IF('Data Source'!B47="","",'Data Source'!R47)</f>
        <v/>
      </c>
      <c r="Q47" s="3">
        <f>IF('Data Source'!B47="","",'Data Source'!S47)</f>
        <v/>
      </c>
    </row>
    <row r="48">
      <c r="A48" s="3">
        <f>IF('Data Source'!B48="","",'Data Source'!A48)</f>
        <v/>
      </c>
      <c r="B48">
        <f>IF('Data Source'!B48="","",'Data Source'!B48)</f>
        <v/>
      </c>
      <c r="C48" s="3">
        <f>IF('Data Source'!B48="","",IF('Data Source'!U48&gt;=5,"A+",IF('Data Source'!U48&gt;=4,"A",IF('Data Source'!U48&gt;=3.5,"A-",IF('Data Source'!U48&gt;=3,"B",IF('Data Source'!U48&gt;=2,"C",IF('Data Source'!U48&gt;=1,"D","F")))))))</f>
        <v/>
      </c>
      <c r="D48" s="3">
        <f>IF('Data Source'!B48="","",IF('Data Source'!V48&gt;=5,"A+",IF('Data Source'!V48&gt;=4,"A",IF('Data Source'!V48&gt;=3.5,"A-",IF('Data Source'!V48&gt;=3,"B",IF('Data Source'!V48&gt;=2,"C",IF('Data Source'!V48&gt;=1,"D","F")))))))</f>
        <v/>
      </c>
      <c r="E48" s="3">
        <f>IF('Data Source'!B48="","",IF('Data Source'!W48&gt;=5,"A+",IF('Data Source'!W48&gt;=4,"A",IF('Data Source'!W48&gt;=3.5,"A-",IF('Data Source'!W48&gt;=3,"B",IF('Data Source'!W48&gt;=2,"C",IF('Data Source'!W48&gt;=1,"D","F")))))))</f>
        <v/>
      </c>
      <c r="F48" s="3">
        <f>IF('Data Source'!B48="","",IF('Data Source'!X48&gt;=5,"A+",IF('Data Source'!X48&gt;=4,"A",IF('Data Source'!X48&gt;=3.5,"A-",IF('Data Source'!X48&gt;=3,"B",IF('Data Source'!X48&gt;=2,"C",IF('Data Source'!X48&gt;=1,"D","F")))))))</f>
        <v/>
      </c>
      <c r="G48" s="3">
        <f>IF('Data Source'!B48="","",IF('Data Source'!Y48&gt;=5,"A+",IF('Data Source'!Y48&gt;=4,"A",IF('Data Source'!Y48&gt;=3.5,"A-",IF('Data Source'!Y48&gt;=3,"B",IF('Data Source'!Y48&gt;=2,"C",IF('Data Source'!Y48&gt;=1,"D","F")))))))</f>
        <v/>
      </c>
      <c r="H48" s="3">
        <f>IF('Data Source'!B48="","",IF('Data Source'!Z48&gt;=5,"A+",IF('Data Source'!Z48&gt;=4,"A",IF('Data Source'!Z48&gt;=3.5,"A-",IF('Data Source'!Z48&gt;=3,"B",IF('Data Source'!Z48&gt;=2,"C",IF('Data Source'!Z48&gt;=1,"D","F")))))))</f>
        <v/>
      </c>
      <c r="I48" s="3">
        <f>IF('Data Source'!B48="","",IF('Data Source'!AA48&gt;=5,"A+",IF('Data Source'!AA48&gt;=4,"A",IF('Data Source'!AA48&gt;=3.5,"A-",IF('Data Source'!AA48&gt;=3,"B",IF('Data Source'!AA48&gt;=2,"C",IF('Data Source'!AA48&gt;=1,"D","F")))))))</f>
        <v/>
      </c>
      <c r="J48" s="3">
        <f>IF('Data Source'!B48="","",IF('Data Source'!AB48&gt;=5,"A+",IF('Data Source'!AB48&gt;=4,"A",IF('Data Source'!AB48&gt;=3.5,"A-",IF('Data Source'!AB48&gt;=3,"B",IF('Data Source'!AB48&gt;=2,"C",IF('Data Source'!AB48&gt;=1,"D","F")))))))</f>
        <v/>
      </c>
      <c r="K48" s="3">
        <f>IF('Data Source'!B48="","",IF('Data Source'!AC48&gt;=5,"A+",IF('Data Source'!AC48&gt;=4,"A",IF('Data Source'!AC48&gt;=3.5,"A-",IF('Data Source'!AC48&gt;=3,"B",IF('Data Source'!AC48&gt;=2,"C",IF('Data Source'!AC48&gt;=1,"D","F")))))))</f>
        <v/>
      </c>
      <c r="L48" s="3">
        <f>IF('Data Source'!B48="","",IF('Data Source'!AD48&gt;=5,"A+",IF('Data Source'!AD48&gt;=4,"A",IF('Data Source'!AD48&gt;=3.5,"A-",IF('Data Source'!AD48&gt;=3,"B",IF('Data Source'!AD48&gt;=2,"C",IF('Data Source'!AD48&gt;=1,"D","F")))))))</f>
        <v/>
      </c>
      <c r="M48" s="3">
        <f>IF('Data Source'!B48="","",IF('Data Source'!AE48&gt;=5,"A+",IF('Data Source'!AE48&gt;=4,"A",IF('Data Source'!AE48&gt;=3.5,"A-",IF('Data Source'!AE48&gt;=3,"B",IF('Data Source'!AE48&gt;=2,"C",IF('Data Source'!AE48&gt;=1,"D","F")))))))</f>
        <v/>
      </c>
      <c r="N48" s="3">
        <f>IF('Data Source'!B48="","",IF('Data Source'!AF48&gt;=5,"A+",IF('Data Source'!AF48&gt;=4,"A",IF('Data Source'!AF48&gt;=3.5,"A-",IF('Data Source'!AF48&gt;=3,"B",IF('Data Source'!AF48&gt;=2,"C",IF('Data Source'!AF48&gt;=1,"D","F")))))))</f>
        <v/>
      </c>
      <c r="O48" s="3">
        <f>IF('Data Source'!B48="","",IF('Data Source'!AG48&gt;=5,"A+",IF('Data Source'!AG48&gt;=4,"A",IF('Data Source'!AG48&gt;=3.5,"A-",IF('Data Source'!AG48&gt;=3,"B",IF('Data Source'!AG48&gt;=2,"C",IF('Data Source'!AG48&gt;=1,"D","F")))))))</f>
        <v/>
      </c>
      <c r="P48" s="5">
        <f>IF('Data Source'!B48="","",'Data Source'!R48)</f>
        <v/>
      </c>
      <c r="Q48" s="3">
        <f>IF('Data Source'!B48="","",'Data Source'!S48)</f>
        <v/>
      </c>
    </row>
    <row r="49">
      <c r="A49" s="3">
        <f>IF('Data Source'!B49="","",'Data Source'!A49)</f>
        <v/>
      </c>
      <c r="B49">
        <f>IF('Data Source'!B49="","",'Data Source'!B49)</f>
        <v/>
      </c>
      <c r="C49" s="3">
        <f>IF('Data Source'!B49="","",IF('Data Source'!U49&gt;=5,"A+",IF('Data Source'!U49&gt;=4,"A",IF('Data Source'!U49&gt;=3.5,"A-",IF('Data Source'!U49&gt;=3,"B",IF('Data Source'!U49&gt;=2,"C",IF('Data Source'!U49&gt;=1,"D","F")))))))</f>
        <v/>
      </c>
      <c r="D49" s="3">
        <f>IF('Data Source'!B49="","",IF('Data Source'!V49&gt;=5,"A+",IF('Data Source'!V49&gt;=4,"A",IF('Data Source'!V49&gt;=3.5,"A-",IF('Data Source'!V49&gt;=3,"B",IF('Data Source'!V49&gt;=2,"C",IF('Data Source'!V49&gt;=1,"D","F")))))))</f>
        <v/>
      </c>
      <c r="E49" s="3">
        <f>IF('Data Source'!B49="","",IF('Data Source'!W49&gt;=5,"A+",IF('Data Source'!W49&gt;=4,"A",IF('Data Source'!W49&gt;=3.5,"A-",IF('Data Source'!W49&gt;=3,"B",IF('Data Source'!W49&gt;=2,"C",IF('Data Source'!W49&gt;=1,"D","F")))))))</f>
        <v/>
      </c>
      <c r="F49" s="3">
        <f>IF('Data Source'!B49="","",IF('Data Source'!X49&gt;=5,"A+",IF('Data Source'!X49&gt;=4,"A",IF('Data Source'!X49&gt;=3.5,"A-",IF('Data Source'!X49&gt;=3,"B",IF('Data Source'!X49&gt;=2,"C",IF('Data Source'!X49&gt;=1,"D","F")))))))</f>
        <v/>
      </c>
      <c r="G49" s="3">
        <f>IF('Data Source'!B49="","",IF('Data Source'!Y49&gt;=5,"A+",IF('Data Source'!Y49&gt;=4,"A",IF('Data Source'!Y49&gt;=3.5,"A-",IF('Data Source'!Y49&gt;=3,"B",IF('Data Source'!Y49&gt;=2,"C",IF('Data Source'!Y49&gt;=1,"D","F")))))))</f>
        <v/>
      </c>
      <c r="H49" s="3">
        <f>IF('Data Source'!B49="","",IF('Data Source'!Z49&gt;=5,"A+",IF('Data Source'!Z49&gt;=4,"A",IF('Data Source'!Z49&gt;=3.5,"A-",IF('Data Source'!Z49&gt;=3,"B",IF('Data Source'!Z49&gt;=2,"C",IF('Data Source'!Z49&gt;=1,"D","F")))))))</f>
        <v/>
      </c>
      <c r="I49" s="3">
        <f>IF('Data Source'!B49="","",IF('Data Source'!AA49&gt;=5,"A+",IF('Data Source'!AA49&gt;=4,"A",IF('Data Source'!AA49&gt;=3.5,"A-",IF('Data Source'!AA49&gt;=3,"B",IF('Data Source'!AA49&gt;=2,"C",IF('Data Source'!AA49&gt;=1,"D","F")))))))</f>
        <v/>
      </c>
      <c r="J49" s="3">
        <f>IF('Data Source'!B49="","",IF('Data Source'!AB49&gt;=5,"A+",IF('Data Source'!AB49&gt;=4,"A",IF('Data Source'!AB49&gt;=3.5,"A-",IF('Data Source'!AB49&gt;=3,"B",IF('Data Source'!AB49&gt;=2,"C",IF('Data Source'!AB49&gt;=1,"D","F")))))))</f>
        <v/>
      </c>
      <c r="K49" s="3">
        <f>IF('Data Source'!B49="","",IF('Data Source'!AC49&gt;=5,"A+",IF('Data Source'!AC49&gt;=4,"A",IF('Data Source'!AC49&gt;=3.5,"A-",IF('Data Source'!AC49&gt;=3,"B",IF('Data Source'!AC49&gt;=2,"C",IF('Data Source'!AC49&gt;=1,"D","F")))))))</f>
        <v/>
      </c>
      <c r="L49" s="3">
        <f>IF('Data Source'!B49="","",IF('Data Source'!AD49&gt;=5,"A+",IF('Data Source'!AD49&gt;=4,"A",IF('Data Source'!AD49&gt;=3.5,"A-",IF('Data Source'!AD49&gt;=3,"B",IF('Data Source'!AD49&gt;=2,"C",IF('Data Source'!AD49&gt;=1,"D","F")))))))</f>
        <v/>
      </c>
      <c r="M49" s="3">
        <f>IF('Data Source'!B49="","",IF('Data Source'!AE49&gt;=5,"A+",IF('Data Source'!AE49&gt;=4,"A",IF('Data Source'!AE49&gt;=3.5,"A-",IF('Data Source'!AE49&gt;=3,"B",IF('Data Source'!AE49&gt;=2,"C",IF('Data Source'!AE49&gt;=1,"D","F")))))))</f>
        <v/>
      </c>
      <c r="N49" s="3">
        <f>IF('Data Source'!B49="","",IF('Data Source'!AF49&gt;=5,"A+",IF('Data Source'!AF49&gt;=4,"A",IF('Data Source'!AF49&gt;=3.5,"A-",IF('Data Source'!AF49&gt;=3,"B",IF('Data Source'!AF49&gt;=2,"C",IF('Data Source'!AF49&gt;=1,"D","F")))))))</f>
        <v/>
      </c>
      <c r="O49" s="3">
        <f>IF('Data Source'!B49="","",IF('Data Source'!AG49&gt;=5,"A+",IF('Data Source'!AG49&gt;=4,"A",IF('Data Source'!AG49&gt;=3.5,"A-",IF('Data Source'!AG49&gt;=3,"B",IF('Data Source'!AG49&gt;=2,"C",IF('Data Source'!AG49&gt;=1,"D","F")))))))</f>
        <v/>
      </c>
      <c r="P49" s="5">
        <f>IF('Data Source'!B49="","",'Data Source'!R49)</f>
        <v/>
      </c>
      <c r="Q49" s="3">
        <f>IF('Data Source'!B49="","",'Data Source'!S49)</f>
        <v/>
      </c>
    </row>
    <row r="50">
      <c r="A50" s="3">
        <f>IF('Data Source'!B50="","",'Data Source'!A50)</f>
        <v/>
      </c>
      <c r="B50">
        <f>IF('Data Source'!B50="","",'Data Source'!B50)</f>
        <v/>
      </c>
      <c r="C50" s="3">
        <f>IF('Data Source'!B50="","",IF('Data Source'!U50&gt;=5,"A+",IF('Data Source'!U50&gt;=4,"A",IF('Data Source'!U50&gt;=3.5,"A-",IF('Data Source'!U50&gt;=3,"B",IF('Data Source'!U50&gt;=2,"C",IF('Data Source'!U50&gt;=1,"D","F")))))))</f>
        <v/>
      </c>
      <c r="D50" s="3">
        <f>IF('Data Source'!B50="","",IF('Data Source'!V50&gt;=5,"A+",IF('Data Source'!V50&gt;=4,"A",IF('Data Source'!V50&gt;=3.5,"A-",IF('Data Source'!V50&gt;=3,"B",IF('Data Source'!V50&gt;=2,"C",IF('Data Source'!V50&gt;=1,"D","F")))))))</f>
        <v/>
      </c>
      <c r="E50" s="3">
        <f>IF('Data Source'!B50="","",IF('Data Source'!W50&gt;=5,"A+",IF('Data Source'!W50&gt;=4,"A",IF('Data Source'!W50&gt;=3.5,"A-",IF('Data Source'!W50&gt;=3,"B",IF('Data Source'!W50&gt;=2,"C",IF('Data Source'!W50&gt;=1,"D","F")))))))</f>
        <v/>
      </c>
      <c r="F50" s="3">
        <f>IF('Data Source'!B50="","",IF('Data Source'!X50&gt;=5,"A+",IF('Data Source'!X50&gt;=4,"A",IF('Data Source'!X50&gt;=3.5,"A-",IF('Data Source'!X50&gt;=3,"B",IF('Data Source'!X50&gt;=2,"C",IF('Data Source'!X50&gt;=1,"D","F")))))))</f>
        <v/>
      </c>
      <c r="G50" s="3">
        <f>IF('Data Source'!B50="","",IF('Data Source'!Y50&gt;=5,"A+",IF('Data Source'!Y50&gt;=4,"A",IF('Data Source'!Y50&gt;=3.5,"A-",IF('Data Source'!Y50&gt;=3,"B",IF('Data Source'!Y50&gt;=2,"C",IF('Data Source'!Y50&gt;=1,"D","F")))))))</f>
        <v/>
      </c>
      <c r="H50" s="3">
        <f>IF('Data Source'!B50="","",IF('Data Source'!Z50&gt;=5,"A+",IF('Data Source'!Z50&gt;=4,"A",IF('Data Source'!Z50&gt;=3.5,"A-",IF('Data Source'!Z50&gt;=3,"B",IF('Data Source'!Z50&gt;=2,"C",IF('Data Source'!Z50&gt;=1,"D","F")))))))</f>
        <v/>
      </c>
      <c r="I50" s="3">
        <f>IF('Data Source'!B50="","",IF('Data Source'!AA50&gt;=5,"A+",IF('Data Source'!AA50&gt;=4,"A",IF('Data Source'!AA50&gt;=3.5,"A-",IF('Data Source'!AA50&gt;=3,"B",IF('Data Source'!AA50&gt;=2,"C",IF('Data Source'!AA50&gt;=1,"D","F")))))))</f>
        <v/>
      </c>
      <c r="J50" s="3">
        <f>IF('Data Source'!B50="","",IF('Data Source'!AB50&gt;=5,"A+",IF('Data Source'!AB50&gt;=4,"A",IF('Data Source'!AB50&gt;=3.5,"A-",IF('Data Source'!AB50&gt;=3,"B",IF('Data Source'!AB50&gt;=2,"C",IF('Data Source'!AB50&gt;=1,"D","F")))))))</f>
        <v/>
      </c>
      <c r="K50" s="3">
        <f>IF('Data Source'!B50="","",IF('Data Source'!AC50&gt;=5,"A+",IF('Data Source'!AC50&gt;=4,"A",IF('Data Source'!AC50&gt;=3.5,"A-",IF('Data Source'!AC50&gt;=3,"B",IF('Data Source'!AC50&gt;=2,"C",IF('Data Source'!AC50&gt;=1,"D","F")))))))</f>
        <v/>
      </c>
      <c r="L50" s="3">
        <f>IF('Data Source'!B50="","",IF('Data Source'!AD50&gt;=5,"A+",IF('Data Source'!AD50&gt;=4,"A",IF('Data Source'!AD50&gt;=3.5,"A-",IF('Data Source'!AD50&gt;=3,"B",IF('Data Source'!AD50&gt;=2,"C",IF('Data Source'!AD50&gt;=1,"D","F")))))))</f>
        <v/>
      </c>
      <c r="M50" s="3">
        <f>IF('Data Source'!B50="","",IF('Data Source'!AE50&gt;=5,"A+",IF('Data Source'!AE50&gt;=4,"A",IF('Data Source'!AE50&gt;=3.5,"A-",IF('Data Source'!AE50&gt;=3,"B",IF('Data Source'!AE50&gt;=2,"C",IF('Data Source'!AE50&gt;=1,"D","F")))))))</f>
        <v/>
      </c>
      <c r="N50" s="3">
        <f>IF('Data Source'!B50="","",IF('Data Source'!AF50&gt;=5,"A+",IF('Data Source'!AF50&gt;=4,"A",IF('Data Source'!AF50&gt;=3.5,"A-",IF('Data Source'!AF50&gt;=3,"B",IF('Data Source'!AF50&gt;=2,"C",IF('Data Source'!AF50&gt;=1,"D","F")))))))</f>
        <v/>
      </c>
      <c r="O50" s="3">
        <f>IF('Data Source'!B50="","",IF('Data Source'!AG50&gt;=5,"A+",IF('Data Source'!AG50&gt;=4,"A",IF('Data Source'!AG50&gt;=3.5,"A-",IF('Data Source'!AG50&gt;=3,"B",IF('Data Source'!AG50&gt;=2,"C",IF('Data Source'!AG50&gt;=1,"D","F")))))))</f>
        <v/>
      </c>
      <c r="P50" s="5">
        <f>IF('Data Source'!B50="","",'Data Source'!R50)</f>
        <v/>
      </c>
      <c r="Q50" s="3">
        <f>IF('Data Source'!B50="","",'Data Source'!S50)</f>
        <v/>
      </c>
    </row>
    <row r="51">
      <c r="A51" s="3">
        <f>IF('Data Source'!B51="","",'Data Source'!A51)</f>
        <v/>
      </c>
      <c r="B51">
        <f>IF('Data Source'!B51="","",'Data Source'!B51)</f>
        <v/>
      </c>
      <c r="C51" s="3">
        <f>IF('Data Source'!B51="","",IF('Data Source'!U51&gt;=5,"A+",IF('Data Source'!U51&gt;=4,"A",IF('Data Source'!U51&gt;=3.5,"A-",IF('Data Source'!U51&gt;=3,"B",IF('Data Source'!U51&gt;=2,"C",IF('Data Source'!U51&gt;=1,"D","F")))))))</f>
        <v/>
      </c>
      <c r="D51" s="3">
        <f>IF('Data Source'!B51="","",IF('Data Source'!V51&gt;=5,"A+",IF('Data Source'!V51&gt;=4,"A",IF('Data Source'!V51&gt;=3.5,"A-",IF('Data Source'!V51&gt;=3,"B",IF('Data Source'!V51&gt;=2,"C",IF('Data Source'!V51&gt;=1,"D","F")))))))</f>
        <v/>
      </c>
      <c r="E51" s="3">
        <f>IF('Data Source'!B51="","",IF('Data Source'!W51&gt;=5,"A+",IF('Data Source'!W51&gt;=4,"A",IF('Data Source'!W51&gt;=3.5,"A-",IF('Data Source'!W51&gt;=3,"B",IF('Data Source'!W51&gt;=2,"C",IF('Data Source'!W51&gt;=1,"D","F")))))))</f>
        <v/>
      </c>
      <c r="F51" s="3">
        <f>IF('Data Source'!B51="","",IF('Data Source'!X51&gt;=5,"A+",IF('Data Source'!X51&gt;=4,"A",IF('Data Source'!X51&gt;=3.5,"A-",IF('Data Source'!X51&gt;=3,"B",IF('Data Source'!X51&gt;=2,"C",IF('Data Source'!X51&gt;=1,"D","F")))))))</f>
        <v/>
      </c>
      <c r="G51" s="3">
        <f>IF('Data Source'!B51="","",IF('Data Source'!Y51&gt;=5,"A+",IF('Data Source'!Y51&gt;=4,"A",IF('Data Source'!Y51&gt;=3.5,"A-",IF('Data Source'!Y51&gt;=3,"B",IF('Data Source'!Y51&gt;=2,"C",IF('Data Source'!Y51&gt;=1,"D","F")))))))</f>
        <v/>
      </c>
      <c r="H51" s="3">
        <f>IF('Data Source'!B51="","",IF('Data Source'!Z51&gt;=5,"A+",IF('Data Source'!Z51&gt;=4,"A",IF('Data Source'!Z51&gt;=3.5,"A-",IF('Data Source'!Z51&gt;=3,"B",IF('Data Source'!Z51&gt;=2,"C",IF('Data Source'!Z51&gt;=1,"D","F")))))))</f>
        <v/>
      </c>
      <c r="I51" s="3">
        <f>IF('Data Source'!B51="","",IF('Data Source'!AA51&gt;=5,"A+",IF('Data Source'!AA51&gt;=4,"A",IF('Data Source'!AA51&gt;=3.5,"A-",IF('Data Source'!AA51&gt;=3,"B",IF('Data Source'!AA51&gt;=2,"C",IF('Data Source'!AA51&gt;=1,"D","F")))))))</f>
        <v/>
      </c>
      <c r="J51" s="3">
        <f>IF('Data Source'!B51="","",IF('Data Source'!AB51&gt;=5,"A+",IF('Data Source'!AB51&gt;=4,"A",IF('Data Source'!AB51&gt;=3.5,"A-",IF('Data Source'!AB51&gt;=3,"B",IF('Data Source'!AB51&gt;=2,"C",IF('Data Source'!AB51&gt;=1,"D","F")))))))</f>
        <v/>
      </c>
      <c r="K51" s="3">
        <f>IF('Data Source'!B51="","",IF('Data Source'!AC51&gt;=5,"A+",IF('Data Source'!AC51&gt;=4,"A",IF('Data Source'!AC51&gt;=3.5,"A-",IF('Data Source'!AC51&gt;=3,"B",IF('Data Source'!AC51&gt;=2,"C",IF('Data Source'!AC51&gt;=1,"D","F")))))))</f>
        <v/>
      </c>
      <c r="L51" s="3">
        <f>IF('Data Source'!B51="","",IF('Data Source'!AD51&gt;=5,"A+",IF('Data Source'!AD51&gt;=4,"A",IF('Data Source'!AD51&gt;=3.5,"A-",IF('Data Source'!AD51&gt;=3,"B",IF('Data Source'!AD51&gt;=2,"C",IF('Data Source'!AD51&gt;=1,"D","F")))))))</f>
        <v/>
      </c>
      <c r="M51" s="3">
        <f>IF('Data Source'!B51="","",IF('Data Source'!AE51&gt;=5,"A+",IF('Data Source'!AE51&gt;=4,"A",IF('Data Source'!AE51&gt;=3.5,"A-",IF('Data Source'!AE51&gt;=3,"B",IF('Data Source'!AE51&gt;=2,"C",IF('Data Source'!AE51&gt;=1,"D","F")))))))</f>
        <v/>
      </c>
      <c r="N51" s="3">
        <f>IF('Data Source'!B51="","",IF('Data Source'!AF51&gt;=5,"A+",IF('Data Source'!AF51&gt;=4,"A",IF('Data Source'!AF51&gt;=3.5,"A-",IF('Data Source'!AF51&gt;=3,"B",IF('Data Source'!AF51&gt;=2,"C",IF('Data Source'!AF51&gt;=1,"D","F")))))))</f>
        <v/>
      </c>
      <c r="O51" s="3">
        <f>IF('Data Source'!B51="","",IF('Data Source'!AG51&gt;=5,"A+",IF('Data Source'!AG51&gt;=4,"A",IF('Data Source'!AG51&gt;=3.5,"A-",IF('Data Source'!AG51&gt;=3,"B",IF('Data Source'!AG51&gt;=2,"C",IF('Data Source'!AG51&gt;=1,"D","F")))))))</f>
        <v/>
      </c>
      <c r="P51" s="5">
        <f>IF('Data Source'!B51="","",'Data Source'!R51)</f>
        <v/>
      </c>
      <c r="Q51" s="3">
        <f>IF('Data Source'!B51="","",'Data Source'!S51)</f>
        <v/>
      </c>
    </row>
    <row r="52">
      <c r="A52" s="3">
        <f>IF('Data Source'!B52="","",'Data Source'!A52)</f>
        <v/>
      </c>
      <c r="B52">
        <f>IF('Data Source'!B52="","",'Data Source'!B52)</f>
        <v/>
      </c>
      <c r="C52" s="3">
        <f>IF('Data Source'!B52="","",IF('Data Source'!U52&gt;=5,"A+",IF('Data Source'!U52&gt;=4,"A",IF('Data Source'!U52&gt;=3.5,"A-",IF('Data Source'!U52&gt;=3,"B",IF('Data Source'!U52&gt;=2,"C",IF('Data Source'!U52&gt;=1,"D","F")))))))</f>
        <v/>
      </c>
      <c r="D52" s="3">
        <f>IF('Data Source'!B52="","",IF('Data Source'!V52&gt;=5,"A+",IF('Data Source'!V52&gt;=4,"A",IF('Data Source'!V52&gt;=3.5,"A-",IF('Data Source'!V52&gt;=3,"B",IF('Data Source'!V52&gt;=2,"C",IF('Data Source'!V52&gt;=1,"D","F")))))))</f>
        <v/>
      </c>
      <c r="E52" s="3">
        <f>IF('Data Source'!B52="","",IF('Data Source'!W52&gt;=5,"A+",IF('Data Source'!W52&gt;=4,"A",IF('Data Source'!W52&gt;=3.5,"A-",IF('Data Source'!W52&gt;=3,"B",IF('Data Source'!W52&gt;=2,"C",IF('Data Source'!W52&gt;=1,"D","F")))))))</f>
        <v/>
      </c>
      <c r="F52" s="3">
        <f>IF('Data Source'!B52="","",IF('Data Source'!X52&gt;=5,"A+",IF('Data Source'!X52&gt;=4,"A",IF('Data Source'!X52&gt;=3.5,"A-",IF('Data Source'!X52&gt;=3,"B",IF('Data Source'!X52&gt;=2,"C",IF('Data Source'!X52&gt;=1,"D","F")))))))</f>
        <v/>
      </c>
      <c r="G52" s="3">
        <f>IF('Data Source'!B52="","",IF('Data Source'!Y52&gt;=5,"A+",IF('Data Source'!Y52&gt;=4,"A",IF('Data Source'!Y52&gt;=3.5,"A-",IF('Data Source'!Y52&gt;=3,"B",IF('Data Source'!Y52&gt;=2,"C",IF('Data Source'!Y52&gt;=1,"D","F")))))))</f>
        <v/>
      </c>
      <c r="H52" s="3">
        <f>IF('Data Source'!B52="","",IF('Data Source'!Z52&gt;=5,"A+",IF('Data Source'!Z52&gt;=4,"A",IF('Data Source'!Z52&gt;=3.5,"A-",IF('Data Source'!Z52&gt;=3,"B",IF('Data Source'!Z52&gt;=2,"C",IF('Data Source'!Z52&gt;=1,"D","F")))))))</f>
        <v/>
      </c>
      <c r="I52" s="3">
        <f>IF('Data Source'!B52="","",IF('Data Source'!AA52&gt;=5,"A+",IF('Data Source'!AA52&gt;=4,"A",IF('Data Source'!AA52&gt;=3.5,"A-",IF('Data Source'!AA52&gt;=3,"B",IF('Data Source'!AA52&gt;=2,"C",IF('Data Source'!AA52&gt;=1,"D","F")))))))</f>
        <v/>
      </c>
      <c r="J52" s="3">
        <f>IF('Data Source'!B52="","",IF('Data Source'!AB52&gt;=5,"A+",IF('Data Source'!AB52&gt;=4,"A",IF('Data Source'!AB52&gt;=3.5,"A-",IF('Data Source'!AB52&gt;=3,"B",IF('Data Source'!AB52&gt;=2,"C",IF('Data Source'!AB52&gt;=1,"D","F")))))))</f>
        <v/>
      </c>
      <c r="K52" s="3">
        <f>IF('Data Source'!B52="","",IF('Data Source'!AC52&gt;=5,"A+",IF('Data Source'!AC52&gt;=4,"A",IF('Data Source'!AC52&gt;=3.5,"A-",IF('Data Source'!AC52&gt;=3,"B",IF('Data Source'!AC52&gt;=2,"C",IF('Data Source'!AC52&gt;=1,"D","F")))))))</f>
        <v/>
      </c>
      <c r="L52" s="3">
        <f>IF('Data Source'!B52="","",IF('Data Source'!AD52&gt;=5,"A+",IF('Data Source'!AD52&gt;=4,"A",IF('Data Source'!AD52&gt;=3.5,"A-",IF('Data Source'!AD52&gt;=3,"B",IF('Data Source'!AD52&gt;=2,"C",IF('Data Source'!AD52&gt;=1,"D","F")))))))</f>
        <v/>
      </c>
      <c r="M52" s="3">
        <f>IF('Data Source'!B52="","",IF('Data Source'!AE52&gt;=5,"A+",IF('Data Source'!AE52&gt;=4,"A",IF('Data Source'!AE52&gt;=3.5,"A-",IF('Data Source'!AE52&gt;=3,"B",IF('Data Source'!AE52&gt;=2,"C",IF('Data Source'!AE52&gt;=1,"D","F")))))))</f>
        <v/>
      </c>
      <c r="N52" s="3">
        <f>IF('Data Source'!B52="","",IF('Data Source'!AF52&gt;=5,"A+",IF('Data Source'!AF52&gt;=4,"A",IF('Data Source'!AF52&gt;=3.5,"A-",IF('Data Source'!AF52&gt;=3,"B",IF('Data Source'!AF52&gt;=2,"C",IF('Data Source'!AF52&gt;=1,"D","F")))))))</f>
        <v/>
      </c>
      <c r="O52" s="3">
        <f>IF('Data Source'!B52="","",IF('Data Source'!AG52&gt;=5,"A+",IF('Data Source'!AG52&gt;=4,"A",IF('Data Source'!AG52&gt;=3.5,"A-",IF('Data Source'!AG52&gt;=3,"B",IF('Data Source'!AG52&gt;=2,"C",IF('Data Source'!AG52&gt;=1,"D","F")))))))</f>
        <v/>
      </c>
      <c r="P52" s="5">
        <f>IF('Data Source'!B52="","",'Data Source'!R52)</f>
        <v/>
      </c>
      <c r="Q52" s="3">
        <f>IF('Data Source'!B52="","",'Data Source'!S52)</f>
        <v/>
      </c>
    </row>
    <row r="53">
      <c r="A53" s="3">
        <f>IF('Data Source'!B53="","",'Data Source'!A53)</f>
        <v/>
      </c>
      <c r="B53">
        <f>IF('Data Source'!B53="","",'Data Source'!B53)</f>
        <v/>
      </c>
      <c r="C53" s="3">
        <f>IF('Data Source'!B53="","",IF('Data Source'!U53&gt;=5,"A+",IF('Data Source'!U53&gt;=4,"A",IF('Data Source'!U53&gt;=3.5,"A-",IF('Data Source'!U53&gt;=3,"B",IF('Data Source'!U53&gt;=2,"C",IF('Data Source'!U53&gt;=1,"D","F")))))))</f>
        <v/>
      </c>
      <c r="D53" s="3">
        <f>IF('Data Source'!B53="","",IF('Data Source'!V53&gt;=5,"A+",IF('Data Source'!V53&gt;=4,"A",IF('Data Source'!V53&gt;=3.5,"A-",IF('Data Source'!V53&gt;=3,"B",IF('Data Source'!V53&gt;=2,"C",IF('Data Source'!V53&gt;=1,"D","F")))))))</f>
        <v/>
      </c>
      <c r="E53" s="3">
        <f>IF('Data Source'!B53="","",IF('Data Source'!W53&gt;=5,"A+",IF('Data Source'!W53&gt;=4,"A",IF('Data Source'!W53&gt;=3.5,"A-",IF('Data Source'!W53&gt;=3,"B",IF('Data Source'!W53&gt;=2,"C",IF('Data Source'!W53&gt;=1,"D","F")))))))</f>
        <v/>
      </c>
      <c r="F53" s="3">
        <f>IF('Data Source'!B53="","",IF('Data Source'!X53&gt;=5,"A+",IF('Data Source'!X53&gt;=4,"A",IF('Data Source'!X53&gt;=3.5,"A-",IF('Data Source'!X53&gt;=3,"B",IF('Data Source'!X53&gt;=2,"C",IF('Data Source'!X53&gt;=1,"D","F")))))))</f>
        <v/>
      </c>
      <c r="G53" s="3">
        <f>IF('Data Source'!B53="","",IF('Data Source'!Y53&gt;=5,"A+",IF('Data Source'!Y53&gt;=4,"A",IF('Data Source'!Y53&gt;=3.5,"A-",IF('Data Source'!Y53&gt;=3,"B",IF('Data Source'!Y53&gt;=2,"C",IF('Data Source'!Y53&gt;=1,"D","F")))))))</f>
        <v/>
      </c>
      <c r="H53" s="3">
        <f>IF('Data Source'!B53="","",IF('Data Source'!Z53&gt;=5,"A+",IF('Data Source'!Z53&gt;=4,"A",IF('Data Source'!Z53&gt;=3.5,"A-",IF('Data Source'!Z53&gt;=3,"B",IF('Data Source'!Z53&gt;=2,"C",IF('Data Source'!Z53&gt;=1,"D","F")))))))</f>
        <v/>
      </c>
      <c r="I53" s="3">
        <f>IF('Data Source'!B53="","",IF('Data Source'!AA53&gt;=5,"A+",IF('Data Source'!AA53&gt;=4,"A",IF('Data Source'!AA53&gt;=3.5,"A-",IF('Data Source'!AA53&gt;=3,"B",IF('Data Source'!AA53&gt;=2,"C",IF('Data Source'!AA53&gt;=1,"D","F")))))))</f>
        <v/>
      </c>
      <c r="J53" s="3">
        <f>IF('Data Source'!B53="","",IF('Data Source'!AB53&gt;=5,"A+",IF('Data Source'!AB53&gt;=4,"A",IF('Data Source'!AB53&gt;=3.5,"A-",IF('Data Source'!AB53&gt;=3,"B",IF('Data Source'!AB53&gt;=2,"C",IF('Data Source'!AB53&gt;=1,"D","F")))))))</f>
        <v/>
      </c>
      <c r="K53" s="3">
        <f>IF('Data Source'!B53="","",IF('Data Source'!AC53&gt;=5,"A+",IF('Data Source'!AC53&gt;=4,"A",IF('Data Source'!AC53&gt;=3.5,"A-",IF('Data Source'!AC53&gt;=3,"B",IF('Data Source'!AC53&gt;=2,"C",IF('Data Source'!AC53&gt;=1,"D","F")))))))</f>
        <v/>
      </c>
      <c r="L53" s="3">
        <f>IF('Data Source'!B53="","",IF('Data Source'!AD53&gt;=5,"A+",IF('Data Source'!AD53&gt;=4,"A",IF('Data Source'!AD53&gt;=3.5,"A-",IF('Data Source'!AD53&gt;=3,"B",IF('Data Source'!AD53&gt;=2,"C",IF('Data Source'!AD53&gt;=1,"D","F")))))))</f>
        <v/>
      </c>
      <c r="M53" s="3">
        <f>IF('Data Source'!B53="","",IF('Data Source'!AE53&gt;=5,"A+",IF('Data Source'!AE53&gt;=4,"A",IF('Data Source'!AE53&gt;=3.5,"A-",IF('Data Source'!AE53&gt;=3,"B",IF('Data Source'!AE53&gt;=2,"C",IF('Data Source'!AE53&gt;=1,"D","F")))))))</f>
        <v/>
      </c>
      <c r="N53" s="3">
        <f>IF('Data Source'!B53="","",IF('Data Source'!AF53&gt;=5,"A+",IF('Data Source'!AF53&gt;=4,"A",IF('Data Source'!AF53&gt;=3.5,"A-",IF('Data Source'!AF53&gt;=3,"B",IF('Data Source'!AF53&gt;=2,"C",IF('Data Source'!AF53&gt;=1,"D","F")))))))</f>
        <v/>
      </c>
      <c r="O53" s="3">
        <f>IF('Data Source'!B53="","",IF('Data Source'!AG53&gt;=5,"A+",IF('Data Source'!AG53&gt;=4,"A",IF('Data Source'!AG53&gt;=3.5,"A-",IF('Data Source'!AG53&gt;=3,"B",IF('Data Source'!AG53&gt;=2,"C",IF('Data Source'!AG53&gt;=1,"D","F")))))))</f>
        <v/>
      </c>
      <c r="P53" s="5">
        <f>IF('Data Source'!B53="","",'Data Source'!R53)</f>
        <v/>
      </c>
      <c r="Q53" s="3">
        <f>IF('Data Source'!B53="","",'Data Source'!S53)</f>
        <v/>
      </c>
    </row>
    <row r="54">
      <c r="A54" s="3">
        <f>IF('Data Source'!B54="","",'Data Source'!A54)</f>
        <v/>
      </c>
      <c r="B54">
        <f>IF('Data Source'!B54="","",'Data Source'!B54)</f>
        <v/>
      </c>
      <c r="C54" s="3">
        <f>IF('Data Source'!B54="","",IF('Data Source'!U54&gt;=5,"A+",IF('Data Source'!U54&gt;=4,"A",IF('Data Source'!U54&gt;=3.5,"A-",IF('Data Source'!U54&gt;=3,"B",IF('Data Source'!U54&gt;=2,"C",IF('Data Source'!U54&gt;=1,"D","F")))))))</f>
        <v/>
      </c>
      <c r="D54" s="3">
        <f>IF('Data Source'!B54="","",IF('Data Source'!V54&gt;=5,"A+",IF('Data Source'!V54&gt;=4,"A",IF('Data Source'!V54&gt;=3.5,"A-",IF('Data Source'!V54&gt;=3,"B",IF('Data Source'!V54&gt;=2,"C",IF('Data Source'!V54&gt;=1,"D","F")))))))</f>
        <v/>
      </c>
      <c r="E54" s="3">
        <f>IF('Data Source'!B54="","",IF('Data Source'!W54&gt;=5,"A+",IF('Data Source'!W54&gt;=4,"A",IF('Data Source'!W54&gt;=3.5,"A-",IF('Data Source'!W54&gt;=3,"B",IF('Data Source'!W54&gt;=2,"C",IF('Data Source'!W54&gt;=1,"D","F")))))))</f>
        <v/>
      </c>
      <c r="F54" s="3">
        <f>IF('Data Source'!B54="","",IF('Data Source'!X54&gt;=5,"A+",IF('Data Source'!X54&gt;=4,"A",IF('Data Source'!X54&gt;=3.5,"A-",IF('Data Source'!X54&gt;=3,"B",IF('Data Source'!X54&gt;=2,"C",IF('Data Source'!X54&gt;=1,"D","F")))))))</f>
        <v/>
      </c>
      <c r="G54" s="3">
        <f>IF('Data Source'!B54="","",IF('Data Source'!Y54&gt;=5,"A+",IF('Data Source'!Y54&gt;=4,"A",IF('Data Source'!Y54&gt;=3.5,"A-",IF('Data Source'!Y54&gt;=3,"B",IF('Data Source'!Y54&gt;=2,"C",IF('Data Source'!Y54&gt;=1,"D","F")))))))</f>
        <v/>
      </c>
      <c r="H54" s="3">
        <f>IF('Data Source'!B54="","",IF('Data Source'!Z54&gt;=5,"A+",IF('Data Source'!Z54&gt;=4,"A",IF('Data Source'!Z54&gt;=3.5,"A-",IF('Data Source'!Z54&gt;=3,"B",IF('Data Source'!Z54&gt;=2,"C",IF('Data Source'!Z54&gt;=1,"D","F")))))))</f>
        <v/>
      </c>
      <c r="I54" s="3">
        <f>IF('Data Source'!B54="","",IF('Data Source'!AA54&gt;=5,"A+",IF('Data Source'!AA54&gt;=4,"A",IF('Data Source'!AA54&gt;=3.5,"A-",IF('Data Source'!AA54&gt;=3,"B",IF('Data Source'!AA54&gt;=2,"C",IF('Data Source'!AA54&gt;=1,"D","F")))))))</f>
        <v/>
      </c>
      <c r="J54" s="3">
        <f>IF('Data Source'!B54="","",IF('Data Source'!AB54&gt;=5,"A+",IF('Data Source'!AB54&gt;=4,"A",IF('Data Source'!AB54&gt;=3.5,"A-",IF('Data Source'!AB54&gt;=3,"B",IF('Data Source'!AB54&gt;=2,"C",IF('Data Source'!AB54&gt;=1,"D","F")))))))</f>
        <v/>
      </c>
      <c r="K54" s="3">
        <f>IF('Data Source'!B54="","",IF('Data Source'!AC54&gt;=5,"A+",IF('Data Source'!AC54&gt;=4,"A",IF('Data Source'!AC54&gt;=3.5,"A-",IF('Data Source'!AC54&gt;=3,"B",IF('Data Source'!AC54&gt;=2,"C",IF('Data Source'!AC54&gt;=1,"D","F")))))))</f>
        <v/>
      </c>
      <c r="L54" s="3">
        <f>IF('Data Source'!B54="","",IF('Data Source'!AD54&gt;=5,"A+",IF('Data Source'!AD54&gt;=4,"A",IF('Data Source'!AD54&gt;=3.5,"A-",IF('Data Source'!AD54&gt;=3,"B",IF('Data Source'!AD54&gt;=2,"C",IF('Data Source'!AD54&gt;=1,"D","F")))))))</f>
        <v/>
      </c>
      <c r="M54" s="3">
        <f>IF('Data Source'!B54="","",IF('Data Source'!AE54&gt;=5,"A+",IF('Data Source'!AE54&gt;=4,"A",IF('Data Source'!AE54&gt;=3.5,"A-",IF('Data Source'!AE54&gt;=3,"B",IF('Data Source'!AE54&gt;=2,"C",IF('Data Source'!AE54&gt;=1,"D","F")))))))</f>
        <v/>
      </c>
      <c r="N54" s="3">
        <f>IF('Data Source'!B54="","",IF('Data Source'!AF54&gt;=5,"A+",IF('Data Source'!AF54&gt;=4,"A",IF('Data Source'!AF54&gt;=3.5,"A-",IF('Data Source'!AF54&gt;=3,"B",IF('Data Source'!AF54&gt;=2,"C",IF('Data Source'!AF54&gt;=1,"D","F")))))))</f>
        <v/>
      </c>
      <c r="O54" s="3">
        <f>IF('Data Source'!B54="","",IF('Data Source'!AG54&gt;=5,"A+",IF('Data Source'!AG54&gt;=4,"A",IF('Data Source'!AG54&gt;=3.5,"A-",IF('Data Source'!AG54&gt;=3,"B",IF('Data Source'!AG54&gt;=2,"C",IF('Data Source'!AG54&gt;=1,"D","F")))))))</f>
        <v/>
      </c>
      <c r="P54" s="5">
        <f>IF('Data Source'!B54="","",'Data Source'!R54)</f>
        <v/>
      </c>
      <c r="Q54" s="3">
        <f>IF('Data Source'!B54="","",'Data Source'!S54)</f>
        <v/>
      </c>
    </row>
    <row r="55">
      <c r="A55" s="3">
        <f>IF('Data Source'!B55="","",'Data Source'!A55)</f>
        <v/>
      </c>
      <c r="B55">
        <f>IF('Data Source'!B55="","",'Data Source'!B55)</f>
        <v/>
      </c>
      <c r="C55" s="3">
        <f>IF('Data Source'!B55="","",IF('Data Source'!U55&gt;=5,"A+",IF('Data Source'!U55&gt;=4,"A",IF('Data Source'!U55&gt;=3.5,"A-",IF('Data Source'!U55&gt;=3,"B",IF('Data Source'!U55&gt;=2,"C",IF('Data Source'!U55&gt;=1,"D","F")))))))</f>
        <v/>
      </c>
      <c r="D55" s="3">
        <f>IF('Data Source'!B55="","",IF('Data Source'!V55&gt;=5,"A+",IF('Data Source'!V55&gt;=4,"A",IF('Data Source'!V55&gt;=3.5,"A-",IF('Data Source'!V55&gt;=3,"B",IF('Data Source'!V55&gt;=2,"C",IF('Data Source'!V55&gt;=1,"D","F")))))))</f>
        <v/>
      </c>
      <c r="E55" s="3">
        <f>IF('Data Source'!B55="","",IF('Data Source'!W55&gt;=5,"A+",IF('Data Source'!W55&gt;=4,"A",IF('Data Source'!W55&gt;=3.5,"A-",IF('Data Source'!W55&gt;=3,"B",IF('Data Source'!W55&gt;=2,"C",IF('Data Source'!W55&gt;=1,"D","F")))))))</f>
        <v/>
      </c>
      <c r="F55" s="3">
        <f>IF('Data Source'!B55="","",IF('Data Source'!X55&gt;=5,"A+",IF('Data Source'!X55&gt;=4,"A",IF('Data Source'!X55&gt;=3.5,"A-",IF('Data Source'!X55&gt;=3,"B",IF('Data Source'!X55&gt;=2,"C",IF('Data Source'!X55&gt;=1,"D","F")))))))</f>
        <v/>
      </c>
      <c r="G55" s="3">
        <f>IF('Data Source'!B55="","",IF('Data Source'!Y55&gt;=5,"A+",IF('Data Source'!Y55&gt;=4,"A",IF('Data Source'!Y55&gt;=3.5,"A-",IF('Data Source'!Y55&gt;=3,"B",IF('Data Source'!Y55&gt;=2,"C",IF('Data Source'!Y55&gt;=1,"D","F")))))))</f>
        <v/>
      </c>
      <c r="H55" s="3">
        <f>IF('Data Source'!B55="","",IF('Data Source'!Z55&gt;=5,"A+",IF('Data Source'!Z55&gt;=4,"A",IF('Data Source'!Z55&gt;=3.5,"A-",IF('Data Source'!Z55&gt;=3,"B",IF('Data Source'!Z55&gt;=2,"C",IF('Data Source'!Z55&gt;=1,"D","F")))))))</f>
        <v/>
      </c>
      <c r="I55" s="3">
        <f>IF('Data Source'!B55="","",IF('Data Source'!AA55&gt;=5,"A+",IF('Data Source'!AA55&gt;=4,"A",IF('Data Source'!AA55&gt;=3.5,"A-",IF('Data Source'!AA55&gt;=3,"B",IF('Data Source'!AA55&gt;=2,"C",IF('Data Source'!AA55&gt;=1,"D","F")))))))</f>
        <v/>
      </c>
      <c r="J55" s="3">
        <f>IF('Data Source'!B55="","",IF('Data Source'!AB55&gt;=5,"A+",IF('Data Source'!AB55&gt;=4,"A",IF('Data Source'!AB55&gt;=3.5,"A-",IF('Data Source'!AB55&gt;=3,"B",IF('Data Source'!AB55&gt;=2,"C",IF('Data Source'!AB55&gt;=1,"D","F")))))))</f>
        <v/>
      </c>
      <c r="K55" s="3">
        <f>IF('Data Source'!B55="","",IF('Data Source'!AC55&gt;=5,"A+",IF('Data Source'!AC55&gt;=4,"A",IF('Data Source'!AC55&gt;=3.5,"A-",IF('Data Source'!AC55&gt;=3,"B",IF('Data Source'!AC55&gt;=2,"C",IF('Data Source'!AC55&gt;=1,"D","F")))))))</f>
        <v/>
      </c>
      <c r="L55" s="3">
        <f>IF('Data Source'!B55="","",IF('Data Source'!AD55&gt;=5,"A+",IF('Data Source'!AD55&gt;=4,"A",IF('Data Source'!AD55&gt;=3.5,"A-",IF('Data Source'!AD55&gt;=3,"B",IF('Data Source'!AD55&gt;=2,"C",IF('Data Source'!AD55&gt;=1,"D","F")))))))</f>
        <v/>
      </c>
      <c r="M55" s="3">
        <f>IF('Data Source'!B55="","",IF('Data Source'!AE55&gt;=5,"A+",IF('Data Source'!AE55&gt;=4,"A",IF('Data Source'!AE55&gt;=3.5,"A-",IF('Data Source'!AE55&gt;=3,"B",IF('Data Source'!AE55&gt;=2,"C",IF('Data Source'!AE55&gt;=1,"D","F")))))))</f>
        <v/>
      </c>
      <c r="N55" s="3">
        <f>IF('Data Source'!B55="","",IF('Data Source'!AF55&gt;=5,"A+",IF('Data Source'!AF55&gt;=4,"A",IF('Data Source'!AF55&gt;=3.5,"A-",IF('Data Source'!AF55&gt;=3,"B",IF('Data Source'!AF55&gt;=2,"C",IF('Data Source'!AF55&gt;=1,"D","F")))))))</f>
        <v/>
      </c>
      <c r="O55" s="3">
        <f>IF('Data Source'!B55="","",IF('Data Source'!AG55&gt;=5,"A+",IF('Data Source'!AG55&gt;=4,"A",IF('Data Source'!AG55&gt;=3.5,"A-",IF('Data Source'!AG55&gt;=3,"B",IF('Data Source'!AG55&gt;=2,"C",IF('Data Source'!AG55&gt;=1,"D","F")))))))</f>
        <v/>
      </c>
      <c r="P55" s="5">
        <f>IF('Data Source'!B55="","",'Data Source'!R55)</f>
        <v/>
      </c>
      <c r="Q55" s="3">
        <f>IF('Data Source'!B55="","",'Data Source'!S55)</f>
        <v/>
      </c>
    </row>
    <row r="56">
      <c r="A56" s="3">
        <f>IF('Data Source'!B56="","",'Data Source'!A56)</f>
        <v/>
      </c>
      <c r="B56">
        <f>IF('Data Source'!B56="","",'Data Source'!B56)</f>
        <v/>
      </c>
      <c r="C56" s="3">
        <f>IF('Data Source'!B56="","",IF('Data Source'!U56&gt;=5,"A+",IF('Data Source'!U56&gt;=4,"A",IF('Data Source'!U56&gt;=3.5,"A-",IF('Data Source'!U56&gt;=3,"B",IF('Data Source'!U56&gt;=2,"C",IF('Data Source'!U56&gt;=1,"D","F")))))))</f>
        <v/>
      </c>
      <c r="D56" s="3">
        <f>IF('Data Source'!B56="","",IF('Data Source'!V56&gt;=5,"A+",IF('Data Source'!V56&gt;=4,"A",IF('Data Source'!V56&gt;=3.5,"A-",IF('Data Source'!V56&gt;=3,"B",IF('Data Source'!V56&gt;=2,"C",IF('Data Source'!V56&gt;=1,"D","F")))))))</f>
        <v/>
      </c>
      <c r="E56" s="3">
        <f>IF('Data Source'!B56="","",IF('Data Source'!W56&gt;=5,"A+",IF('Data Source'!W56&gt;=4,"A",IF('Data Source'!W56&gt;=3.5,"A-",IF('Data Source'!W56&gt;=3,"B",IF('Data Source'!W56&gt;=2,"C",IF('Data Source'!W56&gt;=1,"D","F")))))))</f>
        <v/>
      </c>
      <c r="F56" s="3">
        <f>IF('Data Source'!B56="","",IF('Data Source'!X56&gt;=5,"A+",IF('Data Source'!X56&gt;=4,"A",IF('Data Source'!X56&gt;=3.5,"A-",IF('Data Source'!X56&gt;=3,"B",IF('Data Source'!X56&gt;=2,"C",IF('Data Source'!X56&gt;=1,"D","F")))))))</f>
        <v/>
      </c>
      <c r="G56" s="3">
        <f>IF('Data Source'!B56="","",IF('Data Source'!Y56&gt;=5,"A+",IF('Data Source'!Y56&gt;=4,"A",IF('Data Source'!Y56&gt;=3.5,"A-",IF('Data Source'!Y56&gt;=3,"B",IF('Data Source'!Y56&gt;=2,"C",IF('Data Source'!Y56&gt;=1,"D","F")))))))</f>
        <v/>
      </c>
      <c r="H56" s="3">
        <f>IF('Data Source'!B56="","",IF('Data Source'!Z56&gt;=5,"A+",IF('Data Source'!Z56&gt;=4,"A",IF('Data Source'!Z56&gt;=3.5,"A-",IF('Data Source'!Z56&gt;=3,"B",IF('Data Source'!Z56&gt;=2,"C",IF('Data Source'!Z56&gt;=1,"D","F")))))))</f>
        <v/>
      </c>
      <c r="I56" s="3">
        <f>IF('Data Source'!B56="","",IF('Data Source'!AA56&gt;=5,"A+",IF('Data Source'!AA56&gt;=4,"A",IF('Data Source'!AA56&gt;=3.5,"A-",IF('Data Source'!AA56&gt;=3,"B",IF('Data Source'!AA56&gt;=2,"C",IF('Data Source'!AA56&gt;=1,"D","F")))))))</f>
        <v/>
      </c>
      <c r="J56" s="3">
        <f>IF('Data Source'!B56="","",IF('Data Source'!AB56&gt;=5,"A+",IF('Data Source'!AB56&gt;=4,"A",IF('Data Source'!AB56&gt;=3.5,"A-",IF('Data Source'!AB56&gt;=3,"B",IF('Data Source'!AB56&gt;=2,"C",IF('Data Source'!AB56&gt;=1,"D","F")))))))</f>
        <v/>
      </c>
      <c r="K56" s="3">
        <f>IF('Data Source'!B56="","",IF('Data Source'!AC56&gt;=5,"A+",IF('Data Source'!AC56&gt;=4,"A",IF('Data Source'!AC56&gt;=3.5,"A-",IF('Data Source'!AC56&gt;=3,"B",IF('Data Source'!AC56&gt;=2,"C",IF('Data Source'!AC56&gt;=1,"D","F")))))))</f>
        <v/>
      </c>
      <c r="L56" s="3">
        <f>IF('Data Source'!B56="","",IF('Data Source'!AD56&gt;=5,"A+",IF('Data Source'!AD56&gt;=4,"A",IF('Data Source'!AD56&gt;=3.5,"A-",IF('Data Source'!AD56&gt;=3,"B",IF('Data Source'!AD56&gt;=2,"C",IF('Data Source'!AD56&gt;=1,"D","F")))))))</f>
        <v/>
      </c>
      <c r="M56" s="3">
        <f>IF('Data Source'!B56="","",IF('Data Source'!AE56&gt;=5,"A+",IF('Data Source'!AE56&gt;=4,"A",IF('Data Source'!AE56&gt;=3.5,"A-",IF('Data Source'!AE56&gt;=3,"B",IF('Data Source'!AE56&gt;=2,"C",IF('Data Source'!AE56&gt;=1,"D","F")))))))</f>
        <v/>
      </c>
      <c r="N56" s="3">
        <f>IF('Data Source'!B56="","",IF('Data Source'!AF56&gt;=5,"A+",IF('Data Source'!AF56&gt;=4,"A",IF('Data Source'!AF56&gt;=3.5,"A-",IF('Data Source'!AF56&gt;=3,"B",IF('Data Source'!AF56&gt;=2,"C",IF('Data Source'!AF56&gt;=1,"D","F")))))))</f>
        <v/>
      </c>
      <c r="O56" s="3">
        <f>IF('Data Source'!B56="","",IF('Data Source'!AG56&gt;=5,"A+",IF('Data Source'!AG56&gt;=4,"A",IF('Data Source'!AG56&gt;=3.5,"A-",IF('Data Source'!AG56&gt;=3,"B",IF('Data Source'!AG56&gt;=2,"C",IF('Data Source'!AG56&gt;=1,"D","F")))))))</f>
        <v/>
      </c>
      <c r="P56" s="5">
        <f>IF('Data Source'!B56="","",'Data Source'!R56)</f>
        <v/>
      </c>
      <c r="Q56" s="3">
        <f>IF('Data Source'!B56="","",'Data Source'!S56)</f>
        <v/>
      </c>
    </row>
    <row r="57">
      <c r="A57" s="3">
        <f>IF('Data Source'!B57="","",'Data Source'!A57)</f>
        <v/>
      </c>
      <c r="B57">
        <f>IF('Data Source'!B57="","",'Data Source'!B57)</f>
        <v/>
      </c>
      <c r="C57" s="3">
        <f>IF('Data Source'!B57="","",IF('Data Source'!U57&gt;=5,"A+",IF('Data Source'!U57&gt;=4,"A",IF('Data Source'!U57&gt;=3.5,"A-",IF('Data Source'!U57&gt;=3,"B",IF('Data Source'!U57&gt;=2,"C",IF('Data Source'!U57&gt;=1,"D","F")))))))</f>
        <v/>
      </c>
      <c r="D57" s="3">
        <f>IF('Data Source'!B57="","",IF('Data Source'!V57&gt;=5,"A+",IF('Data Source'!V57&gt;=4,"A",IF('Data Source'!V57&gt;=3.5,"A-",IF('Data Source'!V57&gt;=3,"B",IF('Data Source'!V57&gt;=2,"C",IF('Data Source'!V57&gt;=1,"D","F")))))))</f>
        <v/>
      </c>
      <c r="E57" s="3">
        <f>IF('Data Source'!B57="","",IF('Data Source'!W57&gt;=5,"A+",IF('Data Source'!W57&gt;=4,"A",IF('Data Source'!W57&gt;=3.5,"A-",IF('Data Source'!W57&gt;=3,"B",IF('Data Source'!W57&gt;=2,"C",IF('Data Source'!W57&gt;=1,"D","F")))))))</f>
        <v/>
      </c>
      <c r="F57" s="3">
        <f>IF('Data Source'!B57="","",IF('Data Source'!X57&gt;=5,"A+",IF('Data Source'!X57&gt;=4,"A",IF('Data Source'!X57&gt;=3.5,"A-",IF('Data Source'!X57&gt;=3,"B",IF('Data Source'!X57&gt;=2,"C",IF('Data Source'!X57&gt;=1,"D","F")))))))</f>
        <v/>
      </c>
      <c r="G57" s="3">
        <f>IF('Data Source'!B57="","",IF('Data Source'!Y57&gt;=5,"A+",IF('Data Source'!Y57&gt;=4,"A",IF('Data Source'!Y57&gt;=3.5,"A-",IF('Data Source'!Y57&gt;=3,"B",IF('Data Source'!Y57&gt;=2,"C",IF('Data Source'!Y57&gt;=1,"D","F")))))))</f>
        <v/>
      </c>
      <c r="H57" s="3">
        <f>IF('Data Source'!B57="","",IF('Data Source'!Z57&gt;=5,"A+",IF('Data Source'!Z57&gt;=4,"A",IF('Data Source'!Z57&gt;=3.5,"A-",IF('Data Source'!Z57&gt;=3,"B",IF('Data Source'!Z57&gt;=2,"C",IF('Data Source'!Z57&gt;=1,"D","F")))))))</f>
        <v/>
      </c>
      <c r="I57" s="3">
        <f>IF('Data Source'!B57="","",IF('Data Source'!AA57&gt;=5,"A+",IF('Data Source'!AA57&gt;=4,"A",IF('Data Source'!AA57&gt;=3.5,"A-",IF('Data Source'!AA57&gt;=3,"B",IF('Data Source'!AA57&gt;=2,"C",IF('Data Source'!AA57&gt;=1,"D","F")))))))</f>
        <v/>
      </c>
      <c r="J57" s="3">
        <f>IF('Data Source'!B57="","",IF('Data Source'!AB57&gt;=5,"A+",IF('Data Source'!AB57&gt;=4,"A",IF('Data Source'!AB57&gt;=3.5,"A-",IF('Data Source'!AB57&gt;=3,"B",IF('Data Source'!AB57&gt;=2,"C",IF('Data Source'!AB57&gt;=1,"D","F")))))))</f>
        <v/>
      </c>
      <c r="K57" s="3">
        <f>IF('Data Source'!B57="","",IF('Data Source'!AC57&gt;=5,"A+",IF('Data Source'!AC57&gt;=4,"A",IF('Data Source'!AC57&gt;=3.5,"A-",IF('Data Source'!AC57&gt;=3,"B",IF('Data Source'!AC57&gt;=2,"C",IF('Data Source'!AC57&gt;=1,"D","F")))))))</f>
        <v/>
      </c>
      <c r="L57" s="3">
        <f>IF('Data Source'!B57="","",IF('Data Source'!AD57&gt;=5,"A+",IF('Data Source'!AD57&gt;=4,"A",IF('Data Source'!AD57&gt;=3.5,"A-",IF('Data Source'!AD57&gt;=3,"B",IF('Data Source'!AD57&gt;=2,"C",IF('Data Source'!AD57&gt;=1,"D","F")))))))</f>
        <v/>
      </c>
      <c r="M57" s="3">
        <f>IF('Data Source'!B57="","",IF('Data Source'!AE57&gt;=5,"A+",IF('Data Source'!AE57&gt;=4,"A",IF('Data Source'!AE57&gt;=3.5,"A-",IF('Data Source'!AE57&gt;=3,"B",IF('Data Source'!AE57&gt;=2,"C",IF('Data Source'!AE57&gt;=1,"D","F")))))))</f>
        <v/>
      </c>
      <c r="N57" s="3">
        <f>IF('Data Source'!B57="","",IF('Data Source'!AF57&gt;=5,"A+",IF('Data Source'!AF57&gt;=4,"A",IF('Data Source'!AF57&gt;=3.5,"A-",IF('Data Source'!AF57&gt;=3,"B",IF('Data Source'!AF57&gt;=2,"C",IF('Data Source'!AF57&gt;=1,"D","F")))))))</f>
        <v/>
      </c>
      <c r="O57" s="3">
        <f>IF('Data Source'!B57="","",IF('Data Source'!AG57&gt;=5,"A+",IF('Data Source'!AG57&gt;=4,"A",IF('Data Source'!AG57&gt;=3.5,"A-",IF('Data Source'!AG57&gt;=3,"B",IF('Data Source'!AG57&gt;=2,"C",IF('Data Source'!AG57&gt;=1,"D","F")))))))</f>
        <v/>
      </c>
      <c r="P57" s="5">
        <f>IF('Data Source'!B57="","",'Data Source'!R57)</f>
        <v/>
      </c>
      <c r="Q57" s="3">
        <f>IF('Data Source'!B57="","",'Data Source'!S57)</f>
        <v/>
      </c>
    </row>
    <row r="58">
      <c r="A58" s="3">
        <f>IF('Data Source'!B58="","",'Data Source'!A58)</f>
        <v/>
      </c>
      <c r="B58">
        <f>IF('Data Source'!B58="","",'Data Source'!B58)</f>
        <v/>
      </c>
      <c r="C58" s="3">
        <f>IF('Data Source'!B58="","",IF('Data Source'!U58&gt;=5,"A+",IF('Data Source'!U58&gt;=4,"A",IF('Data Source'!U58&gt;=3.5,"A-",IF('Data Source'!U58&gt;=3,"B",IF('Data Source'!U58&gt;=2,"C",IF('Data Source'!U58&gt;=1,"D","F")))))))</f>
        <v/>
      </c>
      <c r="D58" s="3">
        <f>IF('Data Source'!B58="","",IF('Data Source'!V58&gt;=5,"A+",IF('Data Source'!V58&gt;=4,"A",IF('Data Source'!V58&gt;=3.5,"A-",IF('Data Source'!V58&gt;=3,"B",IF('Data Source'!V58&gt;=2,"C",IF('Data Source'!V58&gt;=1,"D","F")))))))</f>
        <v/>
      </c>
      <c r="E58" s="3">
        <f>IF('Data Source'!B58="","",IF('Data Source'!W58&gt;=5,"A+",IF('Data Source'!W58&gt;=4,"A",IF('Data Source'!W58&gt;=3.5,"A-",IF('Data Source'!W58&gt;=3,"B",IF('Data Source'!W58&gt;=2,"C",IF('Data Source'!W58&gt;=1,"D","F")))))))</f>
        <v/>
      </c>
      <c r="F58" s="3">
        <f>IF('Data Source'!B58="","",IF('Data Source'!X58&gt;=5,"A+",IF('Data Source'!X58&gt;=4,"A",IF('Data Source'!X58&gt;=3.5,"A-",IF('Data Source'!X58&gt;=3,"B",IF('Data Source'!X58&gt;=2,"C",IF('Data Source'!X58&gt;=1,"D","F")))))))</f>
        <v/>
      </c>
      <c r="G58" s="3">
        <f>IF('Data Source'!B58="","",IF('Data Source'!Y58&gt;=5,"A+",IF('Data Source'!Y58&gt;=4,"A",IF('Data Source'!Y58&gt;=3.5,"A-",IF('Data Source'!Y58&gt;=3,"B",IF('Data Source'!Y58&gt;=2,"C",IF('Data Source'!Y58&gt;=1,"D","F")))))))</f>
        <v/>
      </c>
      <c r="H58" s="3">
        <f>IF('Data Source'!B58="","",IF('Data Source'!Z58&gt;=5,"A+",IF('Data Source'!Z58&gt;=4,"A",IF('Data Source'!Z58&gt;=3.5,"A-",IF('Data Source'!Z58&gt;=3,"B",IF('Data Source'!Z58&gt;=2,"C",IF('Data Source'!Z58&gt;=1,"D","F")))))))</f>
        <v/>
      </c>
      <c r="I58" s="3">
        <f>IF('Data Source'!B58="","",IF('Data Source'!AA58&gt;=5,"A+",IF('Data Source'!AA58&gt;=4,"A",IF('Data Source'!AA58&gt;=3.5,"A-",IF('Data Source'!AA58&gt;=3,"B",IF('Data Source'!AA58&gt;=2,"C",IF('Data Source'!AA58&gt;=1,"D","F")))))))</f>
        <v/>
      </c>
      <c r="J58" s="3">
        <f>IF('Data Source'!B58="","",IF('Data Source'!AB58&gt;=5,"A+",IF('Data Source'!AB58&gt;=4,"A",IF('Data Source'!AB58&gt;=3.5,"A-",IF('Data Source'!AB58&gt;=3,"B",IF('Data Source'!AB58&gt;=2,"C",IF('Data Source'!AB58&gt;=1,"D","F")))))))</f>
        <v/>
      </c>
      <c r="K58" s="3">
        <f>IF('Data Source'!B58="","",IF('Data Source'!AC58&gt;=5,"A+",IF('Data Source'!AC58&gt;=4,"A",IF('Data Source'!AC58&gt;=3.5,"A-",IF('Data Source'!AC58&gt;=3,"B",IF('Data Source'!AC58&gt;=2,"C",IF('Data Source'!AC58&gt;=1,"D","F")))))))</f>
        <v/>
      </c>
      <c r="L58" s="3">
        <f>IF('Data Source'!B58="","",IF('Data Source'!AD58&gt;=5,"A+",IF('Data Source'!AD58&gt;=4,"A",IF('Data Source'!AD58&gt;=3.5,"A-",IF('Data Source'!AD58&gt;=3,"B",IF('Data Source'!AD58&gt;=2,"C",IF('Data Source'!AD58&gt;=1,"D","F")))))))</f>
        <v/>
      </c>
      <c r="M58" s="3">
        <f>IF('Data Source'!B58="","",IF('Data Source'!AE58&gt;=5,"A+",IF('Data Source'!AE58&gt;=4,"A",IF('Data Source'!AE58&gt;=3.5,"A-",IF('Data Source'!AE58&gt;=3,"B",IF('Data Source'!AE58&gt;=2,"C",IF('Data Source'!AE58&gt;=1,"D","F")))))))</f>
        <v/>
      </c>
      <c r="N58" s="3">
        <f>IF('Data Source'!B58="","",IF('Data Source'!AF58&gt;=5,"A+",IF('Data Source'!AF58&gt;=4,"A",IF('Data Source'!AF58&gt;=3.5,"A-",IF('Data Source'!AF58&gt;=3,"B",IF('Data Source'!AF58&gt;=2,"C",IF('Data Source'!AF58&gt;=1,"D","F")))))))</f>
        <v/>
      </c>
      <c r="O58" s="3">
        <f>IF('Data Source'!B58="","",IF('Data Source'!AG58&gt;=5,"A+",IF('Data Source'!AG58&gt;=4,"A",IF('Data Source'!AG58&gt;=3.5,"A-",IF('Data Source'!AG58&gt;=3,"B",IF('Data Source'!AG58&gt;=2,"C",IF('Data Source'!AG58&gt;=1,"D","F")))))))</f>
        <v/>
      </c>
      <c r="P58" s="5">
        <f>IF('Data Source'!B58="","",'Data Source'!R58)</f>
        <v/>
      </c>
      <c r="Q58" s="3">
        <f>IF('Data Source'!B58="","",'Data Source'!S58)</f>
        <v/>
      </c>
    </row>
    <row r="59">
      <c r="A59" s="3">
        <f>IF('Data Source'!B59="","",'Data Source'!A59)</f>
        <v/>
      </c>
      <c r="B59">
        <f>IF('Data Source'!B59="","",'Data Source'!B59)</f>
        <v/>
      </c>
      <c r="C59" s="3">
        <f>IF('Data Source'!B59="","",IF('Data Source'!U59&gt;=5,"A+",IF('Data Source'!U59&gt;=4,"A",IF('Data Source'!U59&gt;=3.5,"A-",IF('Data Source'!U59&gt;=3,"B",IF('Data Source'!U59&gt;=2,"C",IF('Data Source'!U59&gt;=1,"D","F")))))))</f>
        <v/>
      </c>
      <c r="D59" s="3">
        <f>IF('Data Source'!B59="","",IF('Data Source'!V59&gt;=5,"A+",IF('Data Source'!V59&gt;=4,"A",IF('Data Source'!V59&gt;=3.5,"A-",IF('Data Source'!V59&gt;=3,"B",IF('Data Source'!V59&gt;=2,"C",IF('Data Source'!V59&gt;=1,"D","F")))))))</f>
        <v/>
      </c>
      <c r="E59" s="3">
        <f>IF('Data Source'!B59="","",IF('Data Source'!W59&gt;=5,"A+",IF('Data Source'!W59&gt;=4,"A",IF('Data Source'!W59&gt;=3.5,"A-",IF('Data Source'!W59&gt;=3,"B",IF('Data Source'!W59&gt;=2,"C",IF('Data Source'!W59&gt;=1,"D","F")))))))</f>
        <v/>
      </c>
      <c r="F59" s="3">
        <f>IF('Data Source'!B59="","",IF('Data Source'!X59&gt;=5,"A+",IF('Data Source'!X59&gt;=4,"A",IF('Data Source'!X59&gt;=3.5,"A-",IF('Data Source'!X59&gt;=3,"B",IF('Data Source'!X59&gt;=2,"C",IF('Data Source'!X59&gt;=1,"D","F")))))))</f>
        <v/>
      </c>
      <c r="G59" s="3">
        <f>IF('Data Source'!B59="","",IF('Data Source'!Y59&gt;=5,"A+",IF('Data Source'!Y59&gt;=4,"A",IF('Data Source'!Y59&gt;=3.5,"A-",IF('Data Source'!Y59&gt;=3,"B",IF('Data Source'!Y59&gt;=2,"C",IF('Data Source'!Y59&gt;=1,"D","F")))))))</f>
        <v/>
      </c>
      <c r="H59" s="3">
        <f>IF('Data Source'!B59="","",IF('Data Source'!Z59&gt;=5,"A+",IF('Data Source'!Z59&gt;=4,"A",IF('Data Source'!Z59&gt;=3.5,"A-",IF('Data Source'!Z59&gt;=3,"B",IF('Data Source'!Z59&gt;=2,"C",IF('Data Source'!Z59&gt;=1,"D","F")))))))</f>
        <v/>
      </c>
      <c r="I59" s="3">
        <f>IF('Data Source'!B59="","",IF('Data Source'!AA59&gt;=5,"A+",IF('Data Source'!AA59&gt;=4,"A",IF('Data Source'!AA59&gt;=3.5,"A-",IF('Data Source'!AA59&gt;=3,"B",IF('Data Source'!AA59&gt;=2,"C",IF('Data Source'!AA59&gt;=1,"D","F")))))))</f>
        <v/>
      </c>
      <c r="J59" s="3">
        <f>IF('Data Source'!B59="","",IF('Data Source'!AB59&gt;=5,"A+",IF('Data Source'!AB59&gt;=4,"A",IF('Data Source'!AB59&gt;=3.5,"A-",IF('Data Source'!AB59&gt;=3,"B",IF('Data Source'!AB59&gt;=2,"C",IF('Data Source'!AB59&gt;=1,"D","F")))))))</f>
        <v/>
      </c>
      <c r="K59" s="3">
        <f>IF('Data Source'!B59="","",IF('Data Source'!AC59&gt;=5,"A+",IF('Data Source'!AC59&gt;=4,"A",IF('Data Source'!AC59&gt;=3.5,"A-",IF('Data Source'!AC59&gt;=3,"B",IF('Data Source'!AC59&gt;=2,"C",IF('Data Source'!AC59&gt;=1,"D","F")))))))</f>
        <v/>
      </c>
      <c r="L59" s="3">
        <f>IF('Data Source'!B59="","",IF('Data Source'!AD59&gt;=5,"A+",IF('Data Source'!AD59&gt;=4,"A",IF('Data Source'!AD59&gt;=3.5,"A-",IF('Data Source'!AD59&gt;=3,"B",IF('Data Source'!AD59&gt;=2,"C",IF('Data Source'!AD59&gt;=1,"D","F")))))))</f>
        <v/>
      </c>
      <c r="M59" s="3">
        <f>IF('Data Source'!B59="","",IF('Data Source'!AE59&gt;=5,"A+",IF('Data Source'!AE59&gt;=4,"A",IF('Data Source'!AE59&gt;=3.5,"A-",IF('Data Source'!AE59&gt;=3,"B",IF('Data Source'!AE59&gt;=2,"C",IF('Data Source'!AE59&gt;=1,"D","F")))))))</f>
        <v/>
      </c>
      <c r="N59" s="3">
        <f>IF('Data Source'!B59="","",IF('Data Source'!AF59&gt;=5,"A+",IF('Data Source'!AF59&gt;=4,"A",IF('Data Source'!AF59&gt;=3.5,"A-",IF('Data Source'!AF59&gt;=3,"B",IF('Data Source'!AF59&gt;=2,"C",IF('Data Source'!AF59&gt;=1,"D","F")))))))</f>
        <v/>
      </c>
      <c r="O59" s="3">
        <f>IF('Data Source'!B59="","",IF('Data Source'!AG59&gt;=5,"A+",IF('Data Source'!AG59&gt;=4,"A",IF('Data Source'!AG59&gt;=3.5,"A-",IF('Data Source'!AG59&gt;=3,"B",IF('Data Source'!AG59&gt;=2,"C",IF('Data Source'!AG59&gt;=1,"D","F")))))))</f>
        <v/>
      </c>
      <c r="P59" s="5">
        <f>IF('Data Source'!B59="","",'Data Source'!R59)</f>
        <v/>
      </c>
      <c r="Q59" s="3">
        <f>IF('Data Source'!B59="","",'Data Source'!S59)</f>
        <v/>
      </c>
    </row>
    <row r="60">
      <c r="A60" s="3">
        <f>IF('Data Source'!B60="","",'Data Source'!A60)</f>
        <v/>
      </c>
      <c r="B60">
        <f>IF('Data Source'!B60="","",'Data Source'!B60)</f>
        <v/>
      </c>
      <c r="C60" s="3">
        <f>IF('Data Source'!B60="","",IF('Data Source'!U60&gt;=5,"A+",IF('Data Source'!U60&gt;=4,"A",IF('Data Source'!U60&gt;=3.5,"A-",IF('Data Source'!U60&gt;=3,"B",IF('Data Source'!U60&gt;=2,"C",IF('Data Source'!U60&gt;=1,"D","F")))))))</f>
        <v/>
      </c>
      <c r="D60" s="3">
        <f>IF('Data Source'!B60="","",IF('Data Source'!V60&gt;=5,"A+",IF('Data Source'!V60&gt;=4,"A",IF('Data Source'!V60&gt;=3.5,"A-",IF('Data Source'!V60&gt;=3,"B",IF('Data Source'!V60&gt;=2,"C",IF('Data Source'!V60&gt;=1,"D","F")))))))</f>
        <v/>
      </c>
      <c r="E60" s="3">
        <f>IF('Data Source'!B60="","",IF('Data Source'!W60&gt;=5,"A+",IF('Data Source'!W60&gt;=4,"A",IF('Data Source'!W60&gt;=3.5,"A-",IF('Data Source'!W60&gt;=3,"B",IF('Data Source'!W60&gt;=2,"C",IF('Data Source'!W60&gt;=1,"D","F")))))))</f>
        <v/>
      </c>
      <c r="F60" s="3">
        <f>IF('Data Source'!B60="","",IF('Data Source'!X60&gt;=5,"A+",IF('Data Source'!X60&gt;=4,"A",IF('Data Source'!X60&gt;=3.5,"A-",IF('Data Source'!X60&gt;=3,"B",IF('Data Source'!X60&gt;=2,"C",IF('Data Source'!X60&gt;=1,"D","F")))))))</f>
        <v/>
      </c>
      <c r="G60" s="3">
        <f>IF('Data Source'!B60="","",IF('Data Source'!Y60&gt;=5,"A+",IF('Data Source'!Y60&gt;=4,"A",IF('Data Source'!Y60&gt;=3.5,"A-",IF('Data Source'!Y60&gt;=3,"B",IF('Data Source'!Y60&gt;=2,"C",IF('Data Source'!Y60&gt;=1,"D","F")))))))</f>
        <v/>
      </c>
      <c r="H60" s="3">
        <f>IF('Data Source'!B60="","",IF('Data Source'!Z60&gt;=5,"A+",IF('Data Source'!Z60&gt;=4,"A",IF('Data Source'!Z60&gt;=3.5,"A-",IF('Data Source'!Z60&gt;=3,"B",IF('Data Source'!Z60&gt;=2,"C",IF('Data Source'!Z60&gt;=1,"D","F")))))))</f>
        <v/>
      </c>
      <c r="I60" s="3">
        <f>IF('Data Source'!B60="","",IF('Data Source'!AA60&gt;=5,"A+",IF('Data Source'!AA60&gt;=4,"A",IF('Data Source'!AA60&gt;=3.5,"A-",IF('Data Source'!AA60&gt;=3,"B",IF('Data Source'!AA60&gt;=2,"C",IF('Data Source'!AA60&gt;=1,"D","F")))))))</f>
        <v/>
      </c>
      <c r="J60" s="3">
        <f>IF('Data Source'!B60="","",IF('Data Source'!AB60&gt;=5,"A+",IF('Data Source'!AB60&gt;=4,"A",IF('Data Source'!AB60&gt;=3.5,"A-",IF('Data Source'!AB60&gt;=3,"B",IF('Data Source'!AB60&gt;=2,"C",IF('Data Source'!AB60&gt;=1,"D","F")))))))</f>
        <v/>
      </c>
      <c r="K60" s="3">
        <f>IF('Data Source'!B60="","",IF('Data Source'!AC60&gt;=5,"A+",IF('Data Source'!AC60&gt;=4,"A",IF('Data Source'!AC60&gt;=3.5,"A-",IF('Data Source'!AC60&gt;=3,"B",IF('Data Source'!AC60&gt;=2,"C",IF('Data Source'!AC60&gt;=1,"D","F")))))))</f>
        <v/>
      </c>
      <c r="L60" s="3">
        <f>IF('Data Source'!B60="","",IF('Data Source'!AD60&gt;=5,"A+",IF('Data Source'!AD60&gt;=4,"A",IF('Data Source'!AD60&gt;=3.5,"A-",IF('Data Source'!AD60&gt;=3,"B",IF('Data Source'!AD60&gt;=2,"C",IF('Data Source'!AD60&gt;=1,"D","F")))))))</f>
        <v/>
      </c>
      <c r="M60" s="3">
        <f>IF('Data Source'!B60="","",IF('Data Source'!AE60&gt;=5,"A+",IF('Data Source'!AE60&gt;=4,"A",IF('Data Source'!AE60&gt;=3.5,"A-",IF('Data Source'!AE60&gt;=3,"B",IF('Data Source'!AE60&gt;=2,"C",IF('Data Source'!AE60&gt;=1,"D","F")))))))</f>
        <v/>
      </c>
      <c r="N60" s="3">
        <f>IF('Data Source'!B60="","",IF('Data Source'!AF60&gt;=5,"A+",IF('Data Source'!AF60&gt;=4,"A",IF('Data Source'!AF60&gt;=3.5,"A-",IF('Data Source'!AF60&gt;=3,"B",IF('Data Source'!AF60&gt;=2,"C",IF('Data Source'!AF60&gt;=1,"D","F")))))))</f>
        <v/>
      </c>
      <c r="O60" s="3">
        <f>IF('Data Source'!B60="","",IF('Data Source'!AG60&gt;=5,"A+",IF('Data Source'!AG60&gt;=4,"A",IF('Data Source'!AG60&gt;=3.5,"A-",IF('Data Source'!AG60&gt;=3,"B",IF('Data Source'!AG60&gt;=2,"C",IF('Data Source'!AG60&gt;=1,"D","F")))))))</f>
        <v/>
      </c>
      <c r="P60" s="5">
        <f>IF('Data Source'!B60="","",'Data Source'!R60)</f>
        <v/>
      </c>
      <c r="Q60" s="3">
        <f>IF('Data Source'!B60="","",'Data Source'!S60)</f>
        <v/>
      </c>
    </row>
    <row r="61">
      <c r="A61" s="3">
        <f>IF('Data Source'!B61="","",'Data Source'!A61)</f>
        <v/>
      </c>
      <c r="B61">
        <f>IF('Data Source'!B61="","",'Data Source'!B61)</f>
        <v/>
      </c>
      <c r="C61" s="3">
        <f>IF('Data Source'!B61="","",IF('Data Source'!U61&gt;=5,"A+",IF('Data Source'!U61&gt;=4,"A",IF('Data Source'!U61&gt;=3.5,"A-",IF('Data Source'!U61&gt;=3,"B",IF('Data Source'!U61&gt;=2,"C",IF('Data Source'!U61&gt;=1,"D","F")))))))</f>
        <v/>
      </c>
      <c r="D61" s="3">
        <f>IF('Data Source'!B61="","",IF('Data Source'!V61&gt;=5,"A+",IF('Data Source'!V61&gt;=4,"A",IF('Data Source'!V61&gt;=3.5,"A-",IF('Data Source'!V61&gt;=3,"B",IF('Data Source'!V61&gt;=2,"C",IF('Data Source'!V61&gt;=1,"D","F")))))))</f>
        <v/>
      </c>
      <c r="E61" s="3">
        <f>IF('Data Source'!B61="","",IF('Data Source'!W61&gt;=5,"A+",IF('Data Source'!W61&gt;=4,"A",IF('Data Source'!W61&gt;=3.5,"A-",IF('Data Source'!W61&gt;=3,"B",IF('Data Source'!W61&gt;=2,"C",IF('Data Source'!W61&gt;=1,"D","F")))))))</f>
        <v/>
      </c>
      <c r="F61" s="3">
        <f>IF('Data Source'!B61="","",IF('Data Source'!X61&gt;=5,"A+",IF('Data Source'!X61&gt;=4,"A",IF('Data Source'!X61&gt;=3.5,"A-",IF('Data Source'!X61&gt;=3,"B",IF('Data Source'!X61&gt;=2,"C",IF('Data Source'!X61&gt;=1,"D","F")))))))</f>
        <v/>
      </c>
      <c r="G61" s="3">
        <f>IF('Data Source'!B61="","",IF('Data Source'!Y61&gt;=5,"A+",IF('Data Source'!Y61&gt;=4,"A",IF('Data Source'!Y61&gt;=3.5,"A-",IF('Data Source'!Y61&gt;=3,"B",IF('Data Source'!Y61&gt;=2,"C",IF('Data Source'!Y61&gt;=1,"D","F")))))))</f>
        <v/>
      </c>
      <c r="H61" s="3">
        <f>IF('Data Source'!B61="","",IF('Data Source'!Z61&gt;=5,"A+",IF('Data Source'!Z61&gt;=4,"A",IF('Data Source'!Z61&gt;=3.5,"A-",IF('Data Source'!Z61&gt;=3,"B",IF('Data Source'!Z61&gt;=2,"C",IF('Data Source'!Z61&gt;=1,"D","F")))))))</f>
        <v/>
      </c>
      <c r="I61" s="3">
        <f>IF('Data Source'!B61="","",IF('Data Source'!AA61&gt;=5,"A+",IF('Data Source'!AA61&gt;=4,"A",IF('Data Source'!AA61&gt;=3.5,"A-",IF('Data Source'!AA61&gt;=3,"B",IF('Data Source'!AA61&gt;=2,"C",IF('Data Source'!AA61&gt;=1,"D","F")))))))</f>
        <v/>
      </c>
      <c r="J61" s="3">
        <f>IF('Data Source'!B61="","",IF('Data Source'!AB61&gt;=5,"A+",IF('Data Source'!AB61&gt;=4,"A",IF('Data Source'!AB61&gt;=3.5,"A-",IF('Data Source'!AB61&gt;=3,"B",IF('Data Source'!AB61&gt;=2,"C",IF('Data Source'!AB61&gt;=1,"D","F")))))))</f>
        <v/>
      </c>
      <c r="K61" s="3">
        <f>IF('Data Source'!B61="","",IF('Data Source'!AC61&gt;=5,"A+",IF('Data Source'!AC61&gt;=4,"A",IF('Data Source'!AC61&gt;=3.5,"A-",IF('Data Source'!AC61&gt;=3,"B",IF('Data Source'!AC61&gt;=2,"C",IF('Data Source'!AC61&gt;=1,"D","F")))))))</f>
        <v/>
      </c>
      <c r="L61" s="3">
        <f>IF('Data Source'!B61="","",IF('Data Source'!AD61&gt;=5,"A+",IF('Data Source'!AD61&gt;=4,"A",IF('Data Source'!AD61&gt;=3.5,"A-",IF('Data Source'!AD61&gt;=3,"B",IF('Data Source'!AD61&gt;=2,"C",IF('Data Source'!AD61&gt;=1,"D","F")))))))</f>
        <v/>
      </c>
      <c r="M61" s="3">
        <f>IF('Data Source'!B61="","",IF('Data Source'!AE61&gt;=5,"A+",IF('Data Source'!AE61&gt;=4,"A",IF('Data Source'!AE61&gt;=3.5,"A-",IF('Data Source'!AE61&gt;=3,"B",IF('Data Source'!AE61&gt;=2,"C",IF('Data Source'!AE61&gt;=1,"D","F")))))))</f>
        <v/>
      </c>
      <c r="N61" s="3">
        <f>IF('Data Source'!B61="","",IF('Data Source'!AF61&gt;=5,"A+",IF('Data Source'!AF61&gt;=4,"A",IF('Data Source'!AF61&gt;=3.5,"A-",IF('Data Source'!AF61&gt;=3,"B",IF('Data Source'!AF61&gt;=2,"C",IF('Data Source'!AF61&gt;=1,"D","F")))))))</f>
        <v/>
      </c>
      <c r="O61" s="3">
        <f>IF('Data Source'!B61="","",IF('Data Source'!AG61&gt;=5,"A+",IF('Data Source'!AG61&gt;=4,"A",IF('Data Source'!AG61&gt;=3.5,"A-",IF('Data Source'!AG61&gt;=3,"B",IF('Data Source'!AG61&gt;=2,"C",IF('Data Source'!AG61&gt;=1,"D","F")))))))</f>
        <v/>
      </c>
      <c r="P61" s="5">
        <f>IF('Data Source'!B61="","",'Data Source'!R61)</f>
        <v/>
      </c>
      <c r="Q61" s="3">
        <f>IF('Data Source'!B61="","",'Data Source'!S61)</f>
        <v/>
      </c>
    </row>
    <row r="62">
      <c r="A62" s="3">
        <f>IF('Data Source'!B62="","",'Data Source'!A62)</f>
        <v/>
      </c>
      <c r="B62">
        <f>IF('Data Source'!B62="","",'Data Source'!B62)</f>
        <v/>
      </c>
      <c r="C62" s="3">
        <f>IF('Data Source'!B62="","",IF('Data Source'!U62&gt;=5,"A+",IF('Data Source'!U62&gt;=4,"A",IF('Data Source'!U62&gt;=3.5,"A-",IF('Data Source'!U62&gt;=3,"B",IF('Data Source'!U62&gt;=2,"C",IF('Data Source'!U62&gt;=1,"D","F")))))))</f>
        <v/>
      </c>
      <c r="D62" s="3">
        <f>IF('Data Source'!B62="","",IF('Data Source'!V62&gt;=5,"A+",IF('Data Source'!V62&gt;=4,"A",IF('Data Source'!V62&gt;=3.5,"A-",IF('Data Source'!V62&gt;=3,"B",IF('Data Source'!V62&gt;=2,"C",IF('Data Source'!V62&gt;=1,"D","F")))))))</f>
        <v/>
      </c>
      <c r="E62" s="3">
        <f>IF('Data Source'!B62="","",IF('Data Source'!W62&gt;=5,"A+",IF('Data Source'!W62&gt;=4,"A",IF('Data Source'!W62&gt;=3.5,"A-",IF('Data Source'!W62&gt;=3,"B",IF('Data Source'!W62&gt;=2,"C",IF('Data Source'!W62&gt;=1,"D","F")))))))</f>
        <v/>
      </c>
      <c r="F62" s="3">
        <f>IF('Data Source'!B62="","",IF('Data Source'!X62&gt;=5,"A+",IF('Data Source'!X62&gt;=4,"A",IF('Data Source'!X62&gt;=3.5,"A-",IF('Data Source'!X62&gt;=3,"B",IF('Data Source'!X62&gt;=2,"C",IF('Data Source'!X62&gt;=1,"D","F")))))))</f>
        <v/>
      </c>
      <c r="G62" s="3">
        <f>IF('Data Source'!B62="","",IF('Data Source'!Y62&gt;=5,"A+",IF('Data Source'!Y62&gt;=4,"A",IF('Data Source'!Y62&gt;=3.5,"A-",IF('Data Source'!Y62&gt;=3,"B",IF('Data Source'!Y62&gt;=2,"C",IF('Data Source'!Y62&gt;=1,"D","F")))))))</f>
        <v/>
      </c>
      <c r="H62" s="3">
        <f>IF('Data Source'!B62="","",IF('Data Source'!Z62&gt;=5,"A+",IF('Data Source'!Z62&gt;=4,"A",IF('Data Source'!Z62&gt;=3.5,"A-",IF('Data Source'!Z62&gt;=3,"B",IF('Data Source'!Z62&gt;=2,"C",IF('Data Source'!Z62&gt;=1,"D","F")))))))</f>
        <v/>
      </c>
      <c r="I62" s="3">
        <f>IF('Data Source'!B62="","",IF('Data Source'!AA62&gt;=5,"A+",IF('Data Source'!AA62&gt;=4,"A",IF('Data Source'!AA62&gt;=3.5,"A-",IF('Data Source'!AA62&gt;=3,"B",IF('Data Source'!AA62&gt;=2,"C",IF('Data Source'!AA62&gt;=1,"D","F")))))))</f>
        <v/>
      </c>
      <c r="J62" s="3">
        <f>IF('Data Source'!B62="","",IF('Data Source'!AB62&gt;=5,"A+",IF('Data Source'!AB62&gt;=4,"A",IF('Data Source'!AB62&gt;=3.5,"A-",IF('Data Source'!AB62&gt;=3,"B",IF('Data Source'!AB62&gt;=2,"C",IF('Data Source'!AB62&gt;=1,"D","F")))))))</f>
        <v/>
      </c>
      <c r="K62" s="3">
        <f>IF('Data Source'!B62="","",IF('Data Source'!AC62&gt;=5,"A+",IF('Data Source'!AC62&gt;=4,"A",IF('Data Source'!AC62&gt;=3.5,"A-",IF('Data Source'!AC62&gt;=3,"B",IF('Data Source'!AC62&gt;=2,"C",IF('Data Source'!AC62&gt;=1,"D","F")))))))</f>
        <v/>
      </c>
      <c r="L62" s="3">
        <f>IF('Data Source'!B62="","",IF('Data Source'!AD62&gt;=5,"A+",IF('Data Source'!AD62&gt;=4,"A",IF('Data Source'!AD62&gt;=3.5,"A-",IF('Data Source'!AD62&gt;=3,"B",IF('Data Source'!AD62&gt;=2,"C",IF('Data Source'!AD62&gt;=1,"D","F")))))))</f>
        <v/>
      </c>
      <c r="M62" s="3">
        <f>IF('Data Source'!B62="","",IF('Data Source'!AE62&gt;=5,"A+",IF('Data Source'!AE62&gt;=4,"A",IF('Data Source'!AE62&gt;=3.5,"A-",IF('Data Source'!AE62&gt;=3,"B",IF('Data Source'!AE62&gt;=2,"C",IF('Data Source'!AE62&gt;=1,"D","F")))))))</f>
        <v/>
      </c>
      <c r="N62" s="3">
        <f>IF('Data Source'!B62="","",IF('Data Source'!AF62&gt;=5,"A+",IF('Data Source'!AF62&gt;=4,"A",IF('Data Source'!AF62&gt;=3.5,"A-",IF('Data Source'!AF62&gt;=3,"B",IF('Data Source'!AF62&gt;=2,"C",IF('Data Source'!AF62&gt;=1,"D","F")))))))</f>
        <v/>
      </c>
      <c r="O62" s="3">
        <f>IF('Data Source'!B62="","",IF('Data Source'!AG62&gt;=5,"A+",IF('Data Source'!AG62&gt;=4,"A",IF('Data Source'!AG62&gt;=3.5,"A-",IF('Data Source'!AG62&gt;=3,"B",IF('Data Source'!AG62&gt;=2,"C",IF('Data Source'!AG62&gt;=1,"D","F")))))))</f>
        <v/>
      </c>
      <c r="P62" s="5">
        <f>IF('Data Source'!B62="","",'Data Source'!R62)</f>
        <v/>
      </c>
      <c r="Q62" s="3">
        <f>IF('Data Source'!B62="","",'Data Source'!S62)</f>
        <v/>
      </c>
    </row>
    <row r="63">
      <c r="A63" s="3">
        <f>IF('Data Source'!B63="","",'Data Source'!A63)</f>
        <v/>
      </c>
      <c r="B63">
        <f>IF('Data Source'!B63="","",'Data Source'!B63)</f>
        <v/>
      </c>
      <c r="C63" s="3">
        <f>IF('Data Source'!B63="","",IF('Data Source'!U63&gt;=5,"A+",IF('Data Source'!U63&gt;=4,"A",IF('Data Source'!U63&gt;=3.5,"A-",IF('Data Source'!U63&gt;=3,"B",IF('Data Source'!U63&gt;=2,"C",IF('Data Source'!U63&gt;=1,"D","F")))))))</f>
        <v/>
      </c>
      <c r="D63" s="3">
        <f>IF('Data Source'!B63="","",IF('Data Source'!V63&gt;=5,"A+",IF('Data Source'!V63&gt;=4,"A",IF('Data Source'!V63&gt;=3.5,"A-",IF('Data Source'!V63&gt;=3,"B",IF('Data Source'!V63&gt;=2,"C",IF('Data Source'!V63&gt;=1,"D","F")))))))</f>
        <v/>
      </c>
      <c r="E63" s="3">
        <f>IF('Data Source'!B63="","",IF('Data Source'!W63&gt;=5,"A+",IF('Data Source'!W63&gt;=4,"A",IF('Data Source'!W63&gt;=3.5,"A-",IF('Data Source'!W63&gt;=3,"B",IF('Data Source'!W63&gt;=2,"C",IF('Data Source'!W63&gt;=1,"D","F")))))))</f>
        <v/>
      </c>
      <c r="F63" s="3">
        <f>IF('Data Source'!B63="","",IF('Data Source'!X63&gt;=5,"A+",IF('Data Source'!X63&gt;=4,"A",IF('Data Source'!X63&gt;=3.5,"A-",IF('Data Source'!X63&gt;=3,"B",IF('Data Source'!X63&gt;=2,"C",IF('Data Source'!X63&gt;=1,"D","F")))))))</f>
        <v/>
      </c>
      <c r="G63" s="3">
        <f>IF('Data Source'!B63="","",IF('Data Source'!Y63&gt;=5,"A+",IF('Data Source'!Y63&gt;=4,"A",IF('Data Source'!Y63&gt;=3.5,"A-",IF('Data Source'!Y63&gt;=3,"B",IF('Data Source'!Y63&gt;=2,"C",IF('Data Source'!Y63&gt;=1,"D","F")))))))</f>
        <v/>
      </c>
      <c r="H63" s="3">
        <f>IF('Data Source'!B63="","",IF('Data Source'!Z63&gt;=5,"A+",IF('Data Source'!Z63&gt;=4,"A",IF('Data Source'!Z63&gt;=3.5,"A-",IF('Data Source'!Z63&gt;=3,"B",IF('Data Source'!Z63&gt;=2,"C",IF('Data Source'!Z63&gt;=1,"D","F")))))))</f>
        <v/>
      </c>
      <c r="I63" s="3">
        <f>IF('Data Source'!B63="","",IF('Data Source'!AA63&gt;=5,"A+",IF('Data Source'!AA63&gt;=4,"A",IF('Data Source'!AA63&gt;=3.5,"A-",IF('Data Source'!AA63&gt;=3,"B",IF('Data Source'!AA63&gt;=2,"C",IF('Data Source'!AA63&gt;=1,"D","F")))))))</f>
        <v/>
      </c>
      <c r="J63" s="3">
        <f>IF('Data Source'!B63="","",IF('Data Source'!AB63&gt;=5,"A+",IF('Data Source'!AB63&gt;=4,"A",IF('Data Source'!AB63&gt;=3.5,"A-",IF('Data Source'!AB63&gt;=3,"B",IF('Data Source'!AB63&gt;=2,"C",IF('Data Source'!AB63&gt;=1,"D","F")))))))</f>
        <v/>
      </c>
      <c r="K63" s="3">
        <f>IF('Data Source'!B63="","",IF('Data Source'!AC63&gt;=5,"A+",IF('Data Source'!AC63&gt;=4,"A",IF('Data Source'!AC63&gt;=3.5,"A-",IF('Data Source'!AC63&gt;=3,"B",IF('Data Source'!AC63&gt;=2,"C",IF('Data Source'!AC63&gt;=1,"D","F")))))))</f>
        <v/>
      </c>
      <c r="L63" s="3">
        <f>IF('Data Source'!B63="","",IF('Data Source'!AD63&gt;=5,"A+",IF('Data Source'!AD63&gt;=4,"A",IF('Data Source'!AD63&gt;=3.5,"A-",IF('Data Source'!AD63&gt;=3,"B",IF('Data Source'!AD63&gt;=2,"C",IF('Data Source'!AD63&gt;=1,"D","F")))))))</f>
        <v/>
      </c>
      <c r="M63" s="3">
        <f>IF('Data Source'!B63="","",IF('Data Source'!AE63&gt;=5,"A+",IF('Data Source'!AE63&gt;=4,"A",IF('Data Source'!AE63&gt;=3.5,"A-",IF('Data Source'!AE63&gt;=3,"B",IF('Data Source'!AE63&gt;=2,"C",IF('Data Source'!AE63&gt;=1,"D","F")))))))</f>
        <v/>
      </c>
      <c r="N63" s="3">
        <f>IF('Data Source'!B63="","",IF('Data Source'!AF63&gt;=5,"A+",IF('Data Source'!AF63&gt;=4,"A",IF('Data Source'!AF63&gt;=3.5,"A-",IF('Data Source'!AF63&gt;=3,"B",IF('Data Source'!AF63&gt;=2,"C",IF('Data Source'!AF63&gt;=1,"D","F")))))))</f>
        <v/>
      </c>
      <c r="O63" s="3">
        <f>IF('Data Source'!B63="","",IF('Data Source'!AG63&gt;=5,"A+",IF('Data Source'!AG63&gt;=4,"A",IF('Data Source'!AG63&gt;=3.5,"A-",IF('Data Source'!AG63&gt;=3,"B",IF('Data Source'!AG63&gt;=2,"C",IF('Data Source'!AG63&gt;=1,"D","F")))))))</f>
        <v/>
      </c>
      <c r="P63" s="5">
        <f>IF('Data Source'!B63="","",'Data Source'!R63)</f>
        <v/>
      </c>
      <c r="Q63" s="3">
        <f>IF('Data Source'!B63="","",'Data Source'!S63)</f>
        <v/>
      </c>
    </row>
    <row r="64">
      <c r="A64" s="3">
        <f>IF('Data Source'!B64="","",'Data Source'!A64)</f>
        <v/>
      </c>
      <c r="B64">
        <f>IF('Data Source'!B64="","",'Data Source'!B64)</f>
        <v/>
      </c>
      <c r="C64" s="3">
        <f>IF('Data Source'!B64="","",IF('Data Source'!U64&gt;=5,"A+",IF('Data Source'!U64&gt;=4,"A",IF('Data Source'!U64&gt;=3.5,"A-",IF('Data Source'!U64&gt;=3,"B",IF('Data Source'!U64&gt;=2,"C",IF('Data Source'!U64&gt;=1,"D","F")))))))</f>
        <v/>
      </c>
      <c r="D64" s="3">
        <f>IF('Data Source'!B64="","",IF('Data Source'!V64&gt;=5,"A+",IF('Data Source'!V64&gt;=4,"A",IF('Data Source'!V64&gt;=3.5,"A-",IF('Data Source'!V64&gt;=3,"B",IF('Data Source'!V64&gt;=2,"C",IF('Data Source'!V64&gt;=1,"D","F")))))))</f>
        <v/>
      </c>
      <c r="E64" s="3">
        <f>IF('Data Source'!B64="","",IF('Data Source'!W64&gt;=5,"A+",IF('Data Source'!W64&gt;=4,"A",IF('Data Source'!W64&gt;=3.5,"A-",IF('Data Source'!W64&gt;=3,"B",IF('Data Source'!W64&gt;=2,"C",IF('Data Source'!W64&gt;=1,"D","F")))))))</f>
        <v/>
      </c>
      <c r="F64" s="3">
        <f>IF('Data Source'!B64="","",IF('Data Source'!X64&gt;=5,"A+",IF('Data Source'!X64&gt;=4,"A",IF('Data Source'!X64&gt;=3.5,"A-",IF('Data Source'!X64&gt;=3,"B",IF('Data Source'!X64&gt;=2,"C",IF('Data Source'!X64&gt;=1,"D","F")))))))</f>
        <v/>
      </c>
      <c r="G64" s="3">
        <f>IF('Data Source'!B64="","",IF('Data Source'!Y64&gt;=5,"A+",IF('Data Source'!Y64&gt;=4,"A",IF('Data Source'!Y64&gt;=3.5,"A-",IF('Data Source'!Y64&gt;=3,"B",IF('Data Source'!Y64&gt;=2,"C",IF('Data Source'!Y64&gt;=1,"D","F")))))))</f>
        <v/>
      </c>
      <c r="H64" s="3">
        <f>IF('Data Source'!B64="","",IF('Data Source'!Z64&gt;=5,"A+",IF('Data Source'!Z64&gt;=4,"A",IF('Data Source'!Z64&gt;=3.5,"A-",IF('Data Source'!Z64&gt;=3,"B",IF('Data Source'!Z64&gt;=2,"C",IF('Data Source'!Z64&gt;=1,"D","F")))))))</f>
        <v/>
      </c>
      <c r="I64" s="3">
        <f>IF('Data Source'!B64="","",IF('Data Source'!AA64&gt;=5,"A+",IF('Data Source'!AA64&gt;=4,"A",IF('Data Source'!AA64&gt;=3.5,"A-",IF('Data Source'!AA64&gt;=3,"B",IF('Data Source'!AA64&gt;=2,"C",IF('Data Source'!AA64&gt;=1,"D","F")))))))</f>
        <v/>
      </c>
      <c r="J64" s="3">
        <f>IF('Data Source'!B64="","",IF('Data Source'!AB64&gt;=5,"A+",IF('Data Source'!AB64&gt;=4,"A",IF('Data Source'!AB64&gt;=3.5,"A-",IF('Data Source'!AB64&gt;=3,"B",IF('Data Source'!AB64&gt;=2,"C",IF('Data Source'!AB64&gt;=1,"D","F")))))))</f>
        <v/>
      </c>
      <c r="K64" s="3">
        <f>IF('Data Source'!B64="","",IF('Data Source'!AC64&gt;=5,"A+",IF('Data Source'!AC64&gt;=4,"A",IF('Data Source'!AC64&gt;=3.5,"A-",IF('Data Source'!AC64&gt;=3,"B",IF('Data Source'!AC64&gt;=2,"C",IF('Data Source'!AC64&gt;=1,"D","F")))))))</f>
        <v/>
      </c>
      <c r="L64" s="3">
        <f>IF('Data Source'!B64="","",IF('Data Source'!AD64&gt;=5,"A+",IF('Data Source'!AD64&gt;=4,"A",IF('Data Source'!AD64&gt;=3.5,"A-",IF('Data Source'!AD64&gt;=3,"B",IF('Data Source'!AD64&gt;=2,"C",IF('Data Source'!AD64&gt;=1,"D","F")))))))</f>
        <v/>
      </c>
      <c r="M64" s="3">
        <f>IF('Data Source'!B64="","",IF('Data Source'!AE64&gt;=5,"A+",IF('Data Source'!AE64&gt;=4,"A",IF('Data Source'!AE64&gt;=3.5,"A-",IF('Data Source'!AE64&gt;=3,"B",IF('Data Source'!AE64&gt;=2,"C",IF('Data Source'!AE64&gt;=1,"D","F")))))))</f>
        <v/>
      </c>
      <c r="N64" s="3">
        <f>IF('Data Source'!B64="","",IF('Data Source'!AF64&gt;=5,"A+",IF('Data Source'!AF64&gt;=4,"A",IF('Data Source'!AF64&gt;=3.5,"A-",IF('Data Source'!AF64&gt;=3,"B",IF('Data Source'!AF64&gt;=2,"C",IF('Data Source'!AF64&gt;=1,"D","F")))))))</f>
        <v/>
      </c>
      <c r="O64" s="3">
        <f>IF('Data Source'!B64="","",IF('Data Source'!AG64&gt;=5,"A+",IF('Data Source'!AG64&gt;=4,"A",IF('Data Source'!AG64&gt;=3.5,"A-",IF('Data Source'!AG64&gt;=3,"B",IF('Data Source'!AG64&gt;=2,"C",IF('Data Source'!AG64&gt;=1,"D","F")))))))</f>
        <v/>
      </c>
      <c r="P64" s="5">
        <f>IF('Data Source'!B64="","",'Data Source'!R64)</f>
        <v/>
      </c>
      <c r="Q64" s="3">
        <f>IF('Data Source'!B64="","",'Data Source'!S64)</f>
        <v/>
      </c>
    </row>
    <row r="65">
      <c r="A65" s="3">
        <f>IF('Data Source'!B65="","",'Data Source'!A65)</f>
        <v/>
      </c>
      <c r="B65">
        <f>IF('Data Source'!B65="","",'Data Source'!B65)</f>
        <v/>
      </c>
      <c r="C65" s="3">
        <f>IF('Data Source'!B65="","",IF('Data Source'!U65&gt;=5,"A+",IF('Data Source'!U65&gt;=4,"A",IF('Data Source'!U65&gt;=3.5,"A-",IF('Data Source'!U65&gt;=3,"B",IF('Data Source'!U65&gt;=2,"C",IF('Data Source'!U65&gt;=1,"D","F")))))))</f>
        <v/>
      </c>
      <c r="D65" s="3">
        <f>IF('Data Source'!B65="","",IF('Data Source'!V65&gt;=5,"A+",IF('Data Source'!V65&gt;=4,"A",IF('Data Source'!V65&gt;=3.5,"A-",IF('Data Source'!V65&gt;=3,"B",IF('Data Source'!V65&gt;=2,"C",IF('Data Source'!V65&gt;=1,"D","F")))))))</f>
        <v/>
      </c>
      <c r="E65" s="3">
        <f>IF('Data Source'!B65="","",IF('Data Source'!W65&gt;=5,"A+",IF('Data Source'!W65&gt;=4,"A",IF('Data Source'!W65&gt;=3.5,"A-",IF('Data Source'!W65&gt;=3,"B",IF('Data Source'!W65&gt;=2,"C",IF('Data Source'!W65&gt;=1,"D","F")))))))</f>
        <v/>
      </c>
      <c r="F65" s="3">
        <f>IF('Data Source'!B65="","",IF('Data Source'!X65&gt;=5,"A+",IF('Data Source'!X65&gt;=4,"A",IF('Data Source'!X65&gt;=3.5,"A-",IF('Data Source'!X65&gt;=3,"B",IF('Data Source'!X65&gt;=2,"C",IF('Data Source'!X65&gt;=1,"D","F")))))))</f>
        <v/>
      </c>
      <c r="G65" s="3">
        <f>IF('Data Source'!B65="","",IF('Data Source'!Y65&gt;=5,"A+",IF('Data Source'!Y65&gt;=4,"A",IF('Data Source'!Y65&gt;=3.5,"A-",IF('Data Source'!Y65&gt;=3,"B",IF('Data Source'!Y65&gt;=2,"C",IF('Data Source'!Y65&gt;=1,"D","F")))))))</f>
        <v/>
      </c>
      <c r="H65" s="3">
        <f>IF('Data Source'!B65="","",IF('Data Source'!Z65&gt;=5,"A+",IF('Data Source'!Z65&gt;=4,"A",IF('Data Source'!Z65&gt;=3.5,"A-",IF('Data Source'!Z65&gt;=3,"B",IF('Data Source'!Z65&gt;=2,"C",IF('Data Source'!Z65&gt;=1,"D","F")))))))</f>
        <v/>
      </c>
      <c r="I65" s="3">
        <f>IF('Data Source'!B65="","",IF('Data Source'!AA65&gt;=5,"A+",IF('Data Source'!AA65&gt;=4,"A",IF('Data Source'!AA65&gt;=3.5,"A-",IF('Data Source'!AA65&gt;=3,"B",IF('Data Source'!AA65&gt;=2,"C",IF('Data Source'!AA65&gt;=1,"D","F")))))))</f>
        <v/>
      </c>
      <c r="J65" s="3">
        <f>IF('Data Source'!B65="","",IF('Data Source'!AB65&gt;=5,"A+",IF('Data Source'!AB65&gt;=4,"A",IF('Data Source'!AB65&gt;=3.5,"A-",IF('Data Source'!AB65&gt;=3,"B",IF('Data Source'!AB65&gt;=2,"C",IF('Data Source'!AB65&gt;=1,"D","F")))))))</f>
        <v/>
      </c>
      <c r="K65" s="3">
        <f>IF('Data Source'!B65="","",IF('Data Source'!AC65&gt;=5,"A+",IF('Data Source'!AC65&gt;=4,"A",IF('Data Source'!AC65&gt;=3.5,"A-",IF('Data Source'!AC65&gt;=3,"B",IF('Data Source'!AC65&gt;=2,"C",IF('Data Source'!AC65&gt;=1,"D","F")))))))</f>
        <v/>
      </c>
      <c r="L65" s="3">
        <f>IF('Data Source'!B65="","",IF('Data Source'!AD65&gt;=5,"A+",IF('Data Source'!AD65&gt;=4,"A",IF('Data Source'!AD65&gt;=3.5,"A-",IF('Data Source'!AD65&gt;=3,"B",IF('Data Source'!AD65&gt;=2,"C",IF('Data Source'!AD65&gt;=1,"D","F")))))))</f>
        <v/>
      </c>
      <c r="M65" s="3">
        <f>IF('Data Source'!B65="","",IF('Data Source'!AE65&gt;=5,"A+",IF('Data Source'!AE65&gt;=4,"A",IF('Data Source'!AE65&gt;=3.5,"A-",IF('Data Source'!AE65&gt;=3,"B",IF('Data Source'!AE65&gt;=2,"C",IF('Data Source'!AE65&gt;=1,"D","F")))))))</f>
        <v/>
      </c>
      <c r="N65" s="3">
        <f>IF('Data Source'!B65="","",IF('Data Source'!AF65&gt;=5,"A+",IF('Data Source'!AF65&gt;=4,"A",IF('Data Source'!AF65&gt;=3.5,"A-",IF('Data Source'!AF65&gt;=3,"B",IF('Data Source'!AF65&gt;=2,"C",IF('Data Source'!AF65&gt;=1,"D","F")))))))</f>
        <v/>
      </c>
      <c r="O65" s="3">
        <f>IF('Data Source'!B65="","",IF('Data Source'!AG65&gt;=5,"A+",IF('Data Source'!AG65&gt;=4,"A",IF('Data Source'!AG65&gt;=3.5,"A-",IF('Data Source'!AG65&gt;=3,"B",IF('Data Source'!AG65&gt;=2,"C",IF('Data Source'!AG65&gt;=1,"D","F")))))))</f>
        <v/>
      </c>
      <c r="P65" s="5">
        <f>IF('Data Source'!B65="","",'Data Source'!R65)</f>
        <v/>
      </c>
      <c r="Q65" s="3">
        <f>IF('Data Source'!B65="","",'Data Source'!S65)</f>
        <v/>
      </c>
    </row>
    <row r="66">
      <c r="A66" s="3">
        <f>IF('Data Source'!B66="","",'Data Source'!A66)</f>
        <v/>
      </c>
      <c r="B66">
        <f>IF('Data Source'!B66="","",'Data Source'!B66)</f>
        <v/>
      </c>
      <c r="C66" s="3">
        <f>IF('Data Source'!B66="","",IF('Data Source'!U66&gt;=5,"A+",IF('Data Source'!U66&gt;=4,"A",IF('Data Source'!U66&gt;=3.5,"A-",IF('Data Source'!U66&gt;=3,"B",IF('Data Source'!U66&gt;=2,"C",IF('Data Source'!U66&gt;=1,"D","F")))))))</f>
        <v/>
      </c>
      <c r="D66" s="3">
        <f>IF('Data Source'!B66="","",IF('Data Source'!V66&gt;=5,"A+",IF('Data Source'!V66&gt;=4,"A",IF('Data Source'!V66&gt;=3.5,"A-",IF('Data Source'!V66&gt;=3,"B",IF('Data Source'!V66&gt;=2,"C",IF('Data Source'!V66&gt;=1,"D","F")))))))</f>
        <v/>
      </c>
      <c r="E66" s="3">
        <f>IF('Data Source'!B66="","",IF('Data Source'!W66&gt;=5,"A+",IF('Data Source'!W66&gt;=4,"A",IF('Data Source'!W66&gt;=3.5,"A-",IF('Data Source'!W66&gt;=3,"B",IF('Data Source'!W66&gt;=2,"C",IF('Data Source'!W66&gt;=1,"D","F")))))))</f>
        <v/>
      </c>
      <c r="F66" s="3">
        <f>IF('Data Source'!B66="","",IF('Data Source'!X66&gt;=5,"A+",IF('Data Source'!X66&gt;=4,"A",IF('Data Source'!X66&gt;=3.5,"A-",IF('Data Source'!X66&gt;=3,"B",IF('Data Source'!X66&gt;=2,"C",IF('Data Source'!X66&gt;=1,"D","F")))))))</f>
        <v/>
      </c>
      <c r="G66" s="3">
        <f>IF('Data Source'!B66="","",IF('Data Source'!Y66&gt;=5,"A+",IF('Data Source'!Y66&gt;=4,"A",IF('Data Source'!Y66&gt;=3.5,"A-",IF('Data Source'!Y66&gt;=3,"B",IF('Data Source'!Y66&gt;=2,"C",IF('Data Source'!Y66&gt;=1,"D","F")))))))</f>
        <v/>
      </c>
      <c r="H66" s="3">
        <f>IF('Data Source'!B66="","",IF('Data Source'!Z66&gt;=5,"A+",IF('Data Source'!Z66&gt;=4,"A",IF('Data Source'!Z66&gt;=3.5,"A-",IF('Data Source'!Z66&gt;=3,"B",IF('Data Source'!Z66&gt;=2,"C",IF('Data Source'!Z66&gt;=1,"D","F")))))))</f>
        <v/>
      </c>
      <c r="I66" s="3">
        <f>IF('Data Source'!B66="","",IF('Data Source'!AA66&gt;=5,"A+",IF('Data Source'!AA66&gt;=4,"A",IF('Data Source'!AA66&gt;=3.5,"A-",IF('Data Source'!AA66&gt;=3,"B",IF('Data Source'!AA66&gt;=2,"C",IF('Data Source'!AA66&gt;=1,"D","F")))))))</f>
        <v/>
      </c>
      <c r="J66" s="3">
        <f>IF('Data Source'!B66="","",IF('Data Source'!AB66&gt;=5,"A+",IF('Data Source'!AB66&gt;=4,"A",IF('Data Source'!AB66&gt;=3.5,"A-",IF('Data Source'!AB66&gt;=3,"B",IF('Data Source'!AB66&gt;=2,"C",IF('Data Source'!AB66&gt;=1,"D","F")))))))</f>
        <v/>
      </c>
      <c r="K66" s="3">
        <f>IF('Data Source'!B66="","",IF('Data Source'!AC66&gt;=5,"A+",IF('Data Source'!AC66&gt;=4,"A",IF('Data Source'!AC66&gt;=3.5,"A-",IF('Data Source'!AC66&gt;=3,"B",IF('Data Source'!AC66&gt;=2,"C",IF('Data Source'!AC66&gt;=1,"D","F")))))))</f>
        <v/>
      </c>
      <c r="L66" s="3">
        <f>IF('Data Source'!B66="","",IF('Data Source'!AD66&gt;=5,"A+",IF('Data Source'!AD66&gt;=4,"A",IF('Data Source'!AD66&gt;=3.5,"A-",IF('Data Source'!AD66&gt;=3,"B",IF('Data Source'!AD66&gt;=2,"C",IF('Data Source'!AD66&gt;=1,"D","F")))))))</f>
        <v/>
      </c>
      <c r="M66" s="3">
        <f>IF('Data Source'!B66="","",IF('Data Source'!AE66&gt;=5,"A+",IF('Data Source'!AE66&gt;=4,"A",IF('Data Source'!AE66&gt;=3.5,"A-",IF('Data Source'!AE66&gt;=3,"B",IF('Data Source'!AE66&gt;=2,"C",IF('Data Source'!AE66&gt;=1,"D","F")))))))</f>
        <v/>
      </c>
      <c r="N66" s="3">
        <f>IF('Data Source'!B66="","",IF('Data Source'!AF66&gt;=5,"A+",IF('Data Source'!AF66&gt;=4,"A",IF('Data Source'!AF66&gt;=3.5,"A-",IF('Data Source'!AF66&gt;=3,"B",IF('Data Source'!AF66&gt;=2,"C",IF('Data Source'!AF66&gt;=1,"D","F")))))))</f>
        <v/>
      </c>
      <c r="O66" s="3">
        <f>IF('Data Source'!B66="","",IF('Data Source'!AG66&gt;=5,"A+",IF('Data Source'!AG66&gt;=4,"A",IF('Data Source'!AG66&gt;=3.5,"A-",IF('Data Source'!AG66&gt;=3,"B",IF('Data Source'!AG66&gt;=2,"C",IF('Data Source'!AG66&gt;=1,"D","F")))))))</f>
        <v/>
      </c>
      <c r="P66" s="5">
        <f>IF('Data Source'!B66="","",'Data Source'!R66)</f>
        <v/>
      </c>
      <c r="Q66" s="3">
        <f>IF('Data Source'!B66="","",'Data Source'!S66)</f>
        <v/>
      </c>
    </row>
    <row r="67">
      <c r="A67" s="3">
        <f>IF('Data Source'!B67="","",'Data Source'!A67)</f>
        <v/>
      </c>
      <c r="B67">
        <f>IF('Data Source'!B67="","",'Data Source'!B67)</f>
        <v/>
      </c>
      <c r="C67" s="3">
        <f>IF('Data Source'!B67="","",IF('Data Source'!U67&gt;=5,"A+",IF('Data Source'!U67&gt;=4,"A",IF('Data Source'!U67&gt;=3.5,"A-",IF('Data Source'!U67&gt;=3,"B",IF('Data Source'!U67&gt;=2,"C",IF('Data Source'!U67&gt;=1,"D","F")))))))</f>
        <v/>
      </c>
      <c r="D67" s="3">
        <f>IF('Data Source'!B67="","",IF('Data Source'!V67&gt;=5,"A+",IF('Data Source'!V67&gt;=4,"A",IF('Data Source'!V67&gt;=3.5,"A-",IF('Data Source'!V67&gt;=3,"B",IF('Data Source'!V67&gt;=2,"C",IF('Data Source'!V67&gt;=1,"D","F")))))))</f>
        <v/>
      </c>
      <c r="E67" s="3">
        <f>IF('Data Source'!B67="","",IF('Data Source'!W67&gt;=5,"A+",IF('Data Source'!W67&gt;=4,"A",IF('Data Source'!W67&gt;=3.5,"A-",IF('Data Source'!W67&gt;=3,"B",IF('Data Source'!W67&gt;=2,"C",IF('Data Source'!W67&gt;=1,"D","F")))))))</f>
        <v/>
      </c>
      <c r="F67" s="3">
        <f>IF('Data Source'!B67="","",IF('Data Source'!X67&gt;=5,"A+",IF('Data Source'!X67&gt;=4,"A",IF('Data Source'!X67&gt;=3.5,"A-",IF('Data Source'!X67&gt;=3,"B",IF('Data Source'!X67&gt;=2,"C",IF('Data Source'!X67&gt;=1,"D","F")))))))</f>
        <v/>
      </c>
      <c r="G67" s="3">
        <f>IF('Data Source'!B67="","",IF('Data Source'!Y67&gt;=5,"A+",IF('Data Source'!Y67&gt;=4,"A",IF('Data Source'!Y67&gt;=3.5,"A-",IF('Data Source'!Y67&gt;=3,"B",IF('Data Source'!Y67&gt;=2,"C",IF('Data Source'!Y67&gt;=1,"D","F")))))))</f>
        <v/>
      </c>
      <c r="H67" s="3">
        <f>IF('Data Source'!B67="","",IF('Data Source'!Z67&gt;=5,"A+",IF('Data Source'!Z67&gt;=4,"A",IF('Data Source'!Z67&gt;=3.5,"A-",IF('Data Source'!Z67&gt;=3,"B",IF('Data Source'!Z67&gt;=2,"C",IF('Data Source'!Z67&gt;=1,"D","F")))))))</f>
        <v/>
      </c>
      <c r="I67" s="3">
        <f>IF('Data Source'!B67="","",IF('Data Source'!AA67&gt;=5,"A+",IF('Data Source'!AA67&gt;=4,"A",IF('Data Source'!AA67&gt;=3.5,"A-",IF('Data Source'!AA67&gt;=3,"B",IF('Data Source'!AA67&gt;=2,"C",IF('Data Source'!AA67&gt;=1,"D","F")))))))</f>
        <v/>
      </c>
      <c r="J67" s="3">
        <f>IF('Data Source'!B67="","",IF('Data Source'!AB67&gt;=5,"A+",IF('Data Source'!AB67&gt;=4,"A",IF('Data Source'!AB67&gt;=3.5,"A-",IF('Data Source'!AB67&gt;=3,"B",IF('Data Source'!AB67&gt;=2,"C",IF('Data Source'!AB67&gt;=1,"D","F")))))))</f>
        <v/>
      </c>
      <c r="K67" s="3">
        <f>IF('Data Source'!B67="","",IF('Data Source'!AC67&gt;=5,"A+",IF('Data Source'!AC67&gt;=4,"A",IF('Data Source'!AC67&gt;=3.5,"A-",IF('Data Source'!AC67&gt;=3,"B",IF('Data Source'!AC67&gt;=2,"C",IF('Data Source'!AC67&gt;=1,"D","F")))))))</f>
        <v/>
      </c>
      <c r="L67" s="3">
        <f>IF('Data Source'!B67="","",IF('Data Source'!AD67&gt;=5,"A+",IF('Data Source'!AD67&gt;=4,"A",IF('Data Source'!AD67&gt;=3.5,"A-",IF('Data Source'!AD67&gt;=3,"B",IF('Data Source'!AD67&gt;=2,"C",IF('Data Source'!AD67&gt;=1,"D","F")))))))</f>
        <v/>
      </c>
      <c r="M67" s="3">
        <f>IF('Data Source'!B67="","",IF('Data Source'!AE67&gt;=5,"A+",IF('Data Source'!AE67&gt;=4,"A",IF('Data Source'!AE67&gt;=3.5,"A-",IF('Data Source'!AE67&gt;=3,"B",IF('Data Source'!AE67&gt;=2,"C",IF('Data Source'!AE67&gt;=1,"D","F")))))))</f>
        <v/>
      </c>
      <c r="N67" s="3">
        <f>IF('Data Source'!B67="","",IF('Data Source'!AF67&gt;=5,"A+",IF('Data Source'!AF67&gt;=4,"A",IF('Data Source'!AF67&gt;=3.5,"A-",IF('Data Source'!AF67&gt;=3,"B",IF('Data Source'!AF67&gt;=2,"C",IF('Data Source'!AF67&gt;=1,"D","F")))))))</f>
        <v/>
      </c>
      <c r="O67" s="3">
        <f>IF('Data Source'!B67="","",IF('Data Source'!AG67&gt;=5,"A+",IF('Data Source'!AG67&gt;=4,"A",IF('Data Source'!AG67&gt;=3.5,"A-",IF('Data Source'!AG67&gt;=3,"B",IF('Data Source'!AG67&gt;=2,"C",IF('Data Source'!AG67&gt;=1,"D","F")))))))</f>
        <v/>
      </c>
      <c r="P67" s="5">
        <f>IF('Data Source'!B67="","",'Data Source'!R67)</f>
        <v/>
      </c>
      <c r="Q67" s="3">
        <f>IF('Data Source'!B67="","",'Data Source'!S67)</f>
        <v/>
      </c>
    </row>
    <row r="68">
      <c r="A68" s="3">
        <f>IF('Data Source'!B68="","",'Data Source'!A68)</f>
        <v/>
      </c>
      <c r="B68">
        <f>IF('Data Source'!B68="","",'Data Source'!B68)</f>
        <v/>
      </c>
      <c r="C68" s="3">
        <f>IF('Data Source'!B68="","",IF('Data Source'!U68&gt;=5,"A+",IF('Data Source'!U68&gt;=4,"A",IF('Data Source'!U68&gt;=3.5,"A-",IF('Data Source'!U68&gt;=3,"B",IF('Data Source'!U68&gt;=2,"C",IF('Data Source'!U68&gt;=1,"D","F")))))))</f>
        <v/>
      </c>
      <c r="D68" s="3">
        <f>IF('Data Source'!B68="","",IF('Data Source'!V68&gt;=5,"A+",IF('Data Source'!V68&gt;=4,"A",IF('Data Source'!V68&gt;=3.5,"A-",IF('Data Source'!V68&gt;=3,"B",IF('Data Source'!V68&gt;=2,"C",IF('Data Source'!V68&gt;=1,"D","F")))))))</f>
        <v/>
      </c>
      <c r="E68" s="3">
        <f>IF('Data Source'!B68="","",IF('Data Source'!W68&gt;=5,"A+",IF('Data Source'!W68&gt;=4,"A",IF('Data Source'!W68&gt;=3.5,"A-",IF('Data Source'!W68&gt;=3,"B",IF('Data Source'!W68&gt;=2,"C",IF('Data Source'!W68&gt;=1,"D","F")))))))</f>
        <v/>
      </c>
      <c r="F68" s="3">
        <f>IF('Data Source'!B68="","",IF('Data Source'!X68&gt;=5,"A+",IF('Data Source'!X68&gt;=4,"A",IF('Data Source'!X68&gt;=3.5,"A-",IF('Data Source'!X68&gt;=3,"B",IF('Data Source'!X68&gt;=2,"C",IF('Data Source'!X68&gt;=1,"D","F")))))))</f>
        <v/>
      </c>
      <c r="G68" s="3">
        <f>IF('Data Source'!B68="","",IF('Data Source'!Y68&gt;=5,"A+",IF('Data Source'!Y68&gt;=4,"A",IF('Data Source'!Y68&gt;=3.5,"A-",IF('Data Source'!Y68&gt;=3,"B",IF('Data Source'!Y68&gt;=2,"C",IF('Data Source'!Y68&gt;=1,"D","F")))))))</f>
        <v/>
      </c>
      <c r="H68" s="3">
        <f>IF('Data Source'!B68="","",IF('Data Source'!Z68&gt;=5,"A+",IF('Data Source'!Z68&gt;=4,"A",IF('Data Source'!Z68&gt;=3.5,"A-",IF('Data Source'!Z68&gt;=3,"B",IF('Data Source'!Z68&gt;=2,"C",IF('Data Source'!Z68&gt;=1,"D","F")))))))</f>
        <v/>
      </c>
      <c r="I68" s="3">
        <f>IF('Data Source'!B68="","",IF('Data Source'!AA68&gt;=5,"A+",IF('Data Source'!AA68&gt;=4,"A",IF('Data Source'!AA68&gt;=3.5,"A-",IF('Data Source'!AA68&gt;=3,"B",IF('Data Source'!AA68&gt;=2,"C",IF('Data Source'!AA68&gt;=1,"D","F")))))))</f>
        <v/>
      </c>
      <c r="J68" s="3">
        <f>IF('Data Source'!B68="","",IF('Data Source'!AB68&gt;=5,"A+",IF('Data Source'!AB68&gt;=4,"A",IF('Data Source'!AB68&gt;=3.5,"A-",IF('Data Source'!AB68&gt;=3,"B",IF('Data Source'!AB68&gt;=2,"C",IF('Data Source'!AB68&gt;=1,"D","F")))))))</f>
        <v/>
      </c>
      <c r="K68" s="3">
        <f>IF('Data Source'!B68="","",IF('Data Source'!AC68&gt;=5,"A+",IF('Data Source'!AC68&gt;=4,"A",IF('Data Source'!AC68&gt;=3.5,"A-",IF('Data Source'!AC68&gt;=3,"B",IF('Data Source'!AC68&gt;=2,"C",IF('Data Source'!AC68&gt;=1,"D","F")))))))</f>
        <v/>
      </c>
      <c r="L68" s="3">
        <f>IF('Data Source'!B68="","",IF('Data Source'!AD68&gt;=5,"A+",IF('Data Source'!AD68&gt;=4,"A",IF('Data Source'!AD68&gt;=3.5,"A-",IF('Data Source'!AD68&gt;=3,"B",IF('Data Source'!AD68&gt;=2,"C",IF('Data Source'!AD68&gt;=1,"D","F")))))))</f>
        <v/>
      </c>
      <c r="M68" s="3">
        <f>IF('Data Source'!B68="","",IF('Data Source'!AE68&gt;=5,"A+",IF('Data Source'!AE68&gt;=4,"A",IF('Data Source'!AE68&gt;=3.5,"A-",IF('Data Source'!AE68&gt;=3,"B",IF('Data Source'!AE68&gt;=2,"C",IF('Data Source'!AE68&gt;=1,"D","F")))))))</f>
        <v/>
      </c>
      <c r="N68" s="3">
        <f>IF('Data Source'!B68="","",IF('Data Source'!AF68&gt;=5,"A+",IF('Data Source'!AF68&gt;=4,"A",IF('Data Source'!AF68&gt;=3.5,"A-",IF('Data Source'!AF68&gt;=3,"B",IF('Data Source'!AF68&gt;=2,"C",IF('Data Source'!AF68&gt;=1,"D","F")))))))</f>
        <v/>
      </c>
      <c r="O68" s="3">
        <f>IF('Data Source'!B68="","",IF('Data Source'!AG68&gt;=5,"A+",IF('Data Source'!AG68&gt;=4,"A",IF('Data Source'!AG68&gt;=3.5,"A-",IF('Data Source'!AG68&gt;=3,"B",IF('Data Source'!AG68&gt;=2,"C",IF('Data Source'!AG68&gt;=1,"D","F")))))))</f>
        <v/>
      </c>
      <c r="P68" s="5">
        <f>IF('Data Source'!B68="","",'Data Source'!R68)</f>
        <v/>
      </c>
      <c r="Q68" s="3">
        <f>IF('Data Source'!B68="","",'Data Source'!S68)</f>
        <v/>
      </c>
    </row>
    <row r="69">
      <c r="A69" s="3">
        <f>IF('Data Source'!B69="","",'Data Source'!A69)</f>
        <v/>
      </c>
      <c r="B69">
        <f>IF('Data Source'!B69="","",'Data Source'!B69)</f>
        <v/>
      </c>
      <c r="C69" s="3">
        <f>IF('Data Source'!B69="","",IF('Data Source'!U69&gt;=5,"A+",IF('Data Source'!U69&gt;=4,"A",IF('Data Source'!U69&gt;=3.5,"A-",IF('Data Source'!U69&gt;=3,"B",IF('Data Source'!U69&gt;=2,"C",IF('Data Source'!U69&gt;=1,"D","F")))))))</f>
        <v/>
      </c>
      <c r="D69" s="3">
        <f>IF('Data Source'!B69="","",IF('Data Source'!V69&gt;=5,"A+",IF('Data Source'!V69&gt;=4,"A",IF('Data Source'!V69&gt;=3.5,"A-",IF('Data Source'!V69&gt;=3,"B",IF('Data Source'!V69&gt;=2,"C",IF('Data Source'!V69&gt;=1,"D","F")))))))</f>
        <v/>
      </c>
      <c r="E69" s="3">
        <f>IF('Data Source'!B69="","",IF('Data Source'!W69&gt;=5,"A+",IF('Data Source'!W69&gt;=4,"A",IF('Data Source'!W69&gt;=3.5,"A-",IF('Data Source'!W69&gt;=3,"B",IF('Data Source'!W69&gt;=2,"C",IF('Data Source'!W69&gt;=1,"D","F")))))))</f>
        <v/>
      </c>
      <c r="F69" s="3">
        <f>IF('Data Source'!B69="","",IF('Data Source'!X69&gt;=5,"A+",IF('Data Source'!X69&gt;=4,"A",IF('Data Source'!X69&gt;=3.5,"A-",IF('Data Source'!X69&gt;=3,"B",IF('Data Source'!X69&gt;=2,"C",IF('Data Source'!X69&gt;=1,"D","F")))))))</f>
        <v/>
      </c>
      <c r="G69" s="3">
        <f>IF('Data Source'!B69="","",IF('Data Source'!Y69&gt;=5,"A+",IF('Data Source'!Y69&gt;=4,"A",IF('Data Source'!Y69&gt;=3.5,"A-",IF('Data Source'!Y69&gt;=3,"B",IF('Data Source'!Y69&gt;=2,"C",IF('Data Source'!Y69&gt;=1,"D","F")))))))</f>
        <v/>
      </c>
      <c r="H69" s="3">
        <f>IF('Data Source'!B69="","",IF('Data Source'!Z69&gt;=5,"A+",IF('Data Source'!Z69&gt;=4,"A",IF('Data Source'!Z69&gt;=3.5,"A-",IF('Data Source'!Z69&gt;=3,"B",IF('Data Source'!Z69&gt;=2,"C",IF('Data Source'!Z69&gt;=1,"D","F")))))))</f>
        <v/>
      </c>
      <c r="I69" s="3">
        <f>IF('Data Source'!B69="","",IF('Data Source'!AA69&gt;=5,"A+",IF('Data Source'!AA69&gt;=4,"A",IF('Data Source'!AA69&gt;=3.5,"A-",IF('Data Source'!AA69&gt;=3,"B",IF('Data Source'!AA69&gt;=2,"C",IF('Data Source'!AA69&gt;=1,"D","F")))))))</f>
        <v/>
      </c>
      <c r="J69" s="3">
        <f>IF('Data Source'!B69="","",IF('Data Source'!AB69&gt;=5,"A+",IF('Data Source'!AB69&gt;=4,"A",IF('Data Source'!AB69&gt;=3.5,"A-",IF('Data Source'!AB69&gt;=3,"B",IF('Data Source'!AB69&gt;=2,"C",IF('Data Source'!AB69&gt;=1,"D","F")))))))</f>
        <v/>
      </c>
      <c r="K69" s="3">
        <f>IF('Data Source'!B69="","",IF('Data Source'!AC69&gt;=5,"A+",IF('Data Source'!AC69&gt;=4,"A",IF('Data Source'!AC69&gt;=3.5,"A-",IF('Data Source'!AC69&gt;=3,"B",IF('Data Source'!AC69&gt;=2,"C",IF('Data Source'!AC69&gt;=1,"D","F")))))))</f>
        <v/>
      </c>
      <c r="L69" s="3">
        <f>IF('Data Source'!B69="","",IF('Data Source'!AD69&gt;=5,"A+",IF('Data Source'!AD69&gt;=4,"A",IF('Data Source'!AD69&gt;=3.5,"A-",IF('Data Source'!AD69&gt;=3,"B",IF('Data Source'!AD69&gt;=2,"C",IF('Data Source'!AD69&gt;=1,"D","F")))))))</f>
        <v/>
      </c>
      <c r="M69" s="3">
        <f>IF('Data Source'!B69="","",IF('Data Source'!AE69&gt;=5,"A+",IF('Data Source'!AE69&gt;=4,"A",IF('Data Source'!AE69&gt;=3.5,"A-",IF('Data Source'!AE69&gt;=3,"B",IF('Data Source'!AE69&gt;=2,"C",IF('Data Source'!AE69&gt;=1,"D","F")))))))</f>
        <v/>
      </c>
      <c r="N69" s="3">
        <f>IF('Data Source'!B69="","",IF('Data Source'!AF69&gt;=5,"A+",IF('Data Source'!AF69&gt;=4,"A",IF('Data Source'!AF69&gt;=3.5,"A-",IF('Data Source'!AF69&gt;=3,"B",IF('Data Source'!AF69&gt;=2,"C",IF('Data Source'!AF69&gt;=1,"D","F")))))))</f>
        <v/>
      </c>
      <c r="O69" s="3">
        <f>IF('Data Source'!B69="","",IF('Data Source'!AG69&gt;=5,"A+",IF('Data Source'!AG69&gt;=4,"A",IF('Data Source'!AG69&gt;=3.5,"A-",IF('Data Source'!AG69&gt;=3,"B",IF('Data Source'!AG69&gt;=2,"C",IF('Data Source'!AG69&gt;=1,"D","F")))))))</f>
        <v/>
      </c>
      <c r="P69" s="5">
        <f>IF('Data Source'!B69="","",'Data Source'!R69)</f>
        <v/>
      </c>
      <c r="Q69" s="3">
        <f>IF('Data Source'!B69="","",'Data Source'!S69)</f>
        <v/>
      </c>
    </row>
    <row r="70">
      <c r="A70" s="3">
        <f>IF('Data Source'!B70="","",'Data Source'!A70)</f>
        <v/>
      </c>
      <c r="B70">
        <f>IF('Data Source'!B70="","",'Data Source'!B70)</f>
        <v/>
      </c>
      <c r="C70" s="3">
        <f>IF('Data Source'!B70="","",IF('Data Source'!U70&gt;=5,"A+",IF('Data Source'!U70&gt;=4,"A",IF('Data Source'!U70&gt;=3.5,"A-",IF('Data Source'!U70&gt;=3,"B",IF('Data Source'!U70&gt;=2,"C",IF('Data Source'!U70&gt;=1,"D","F")))))))</f>
        <v/>
      </c>
      <c r="D70" s="3">
        <f>IF('Data Source'!B70="","",IF('Data Source'!V70&gt;=5,"A+",IF('Data Source'!V70&gt;=4,"A",IF('Data Source'!V70&gt;=3.5,"A-",IF('Data Source'!V70&gt;=3,"B",IF('Data Source'!V70&gt;=2,"C",IF('Data Source'!V70&gt;=1,"D","F")))))))</f>
        <v/>
      </c>
      <c r="E70" s="3">
        <f>IF('Data Source'!B70="","",IF('Data Source'!W70&gt;=5,"A+",IF('Data Source'!W70&gt;=4,"A",IF('Data Source'!W70&gt;=3.5,"A-",IF('Data Source'!W70&gt;=3,"B",IF('Data Source'!W70&gt;=2,"C",IF('Data Source'!W70&gt;=1,"D","F")))))))</f>
        <v/>
      </c>
      <c r="F70" s="3">
        <f>IF('Data Source'!B70="","",IF('Data Source'!X70&gt;=5,"A+",IF('Data Source'!X70&gt;=4,"A",IF('Data Source'!X70&gt;=3.5,"A-",IF('Data Source'!X70&gt;=3,"B",IF('Data Source'!X70&gt;=2,"C",IF('Data Source'!X70&gt;=1,"D","F")))))))</f>
        <v/>
      </c>
      <c r="G70" s="3">
        <f>IF('Data Source'!B70="","",IF('Data Source'!Y70&gt;=5,"A+",IF('Data Source'!Y70&gt;=4,"A",IF('Data Source'!Y70&gt;=3.5,"A-",IF('Data Source'!Y70&gt;=3,"B",IF('Data Source'!Y70&gt;=2,"C",IF('Data Source'!Y70&gt;=1,"D","F")))))))</f>
        <v/>
      </c>
      <c r="H70" s="3">
        <f>IF('Data Source'!B70="","",IF('Data Source'!Z70&gt;=5,"A+",IF('Data Source'!Z70&gt;=4,"A",IF('Data Source'!Z70&gt;=3.5,"A-",IF('Data Source'!Z70&gt;=3,"B",IF('Data Source'!Z70&gt;=2,"C",IF('Data Source'!Z70&gt;=1,"D","F")))))))</f>
        <v/>
      </c>
      <c r="I70" s="3">
        <f>IF('Data Source'!B70="","",IF('Data Source'!AA70&gt;=5,"A+",IF('Data Source'!AA70&gt;=4,"A",IF('Data Source'!AA70&gt;=3.5,"A-",IF('Data Source'!AA70&gt;=3,"B",IF('Data Source'!AA70&gt;=2,"C",IF('Data Source'!AA70&gt;=1,"D","F")))))))</f>
        <v/>
      </c>
      <c r="J70" s="3">
        <f>IF('Data Source'!B70="","",IF('Data Source'!AB70&gt;=5,"A+",IF('Data Source'!AB70&gt;=4,"A",IF('Data Source'!AB70&gt;=3.5,"A-",IF('Data Source'!AB70&gt;=3,"B",IF('Data Source'!AB70&gt;=2,"C",IF('Data Source'!AB70&gt;=1,"D","F")))))))</f>
        <v/>
      </c>
      <c r="K70" s="3">
        <f>IF('Data Source'!B70="","",IF('Data Source'!AC70&gt;=5,"A+",IF('Data Source'!AC70&gt;=4,"A",IF('Data Source'!AC70&gt;=3.5,"A-",IF('Data Source'!AC70&gt;=3,"B",IF('Data Source'!AC70&gt;=2,"C",IF('Data Source'!AC70&gt;=1,"D","F")))))))</f>
        <v/>
      </c>
      <c r="L70" s="3">
        <f>IF('Data Source'!B70="","",IF('Data Source'!AD70&gt;=5,"A+",IF('Data Source'!AD70&gt;=4,"A",IF('Data Source'!AD70&gt;=3.5,"A-",IF('Data Source'!AD70&gt;=3,"B",IF('Data Source'!AD70&gt;=2,"C",IF('Data Source'!AD70&gt;=1,"D","F")))))))</f>
        <v/>
      </c>
      <c r="M70" s="3">
        <f>IF('Data Source'!B70="","",IF('Data Source'!AE70&gt;=5,"A+",IF('Data Source'!AE70&gt;=4,"A",IF('Data Source'!AE70&gt;=3.5,"A-",IF('Data Source'!AE70&gt;=3,"B",IF('Data Source'!AE70&gt;=2,"C",IF('Data Source'!AE70&gt;=1,"D","F")))))))</f>
        <v/>
      </c>
      <c r="N70" s="3">
        <f>IF('Data Source'!B70="","",IF('Data Source'!AF70&gt;=5,"A+",IF('Data Source'!AF70&gt;=4,"A",IF('Data Source'!AF70&gt;=3.5,"A-",IF('Data Source'!AF70&gt;=3,"B",IF('Data Source'!AF70&gt;=2,"C",IF('Data Source'!AF70&gt;=1,"D","F")))))))</f>
        <v/>
      </c>
      <c r="O70" s="3">
        <f>IF('Data Source'!B70="","",IF('Data Source'!AG70&gt;=5,"A+",IF('Data Source'!AG70&gt;=4,"A",IF('Data Source'!AG70&gt;=3.5,"A-",IF('Data Source'!AG70&gt;=3,"B",IF('Data Source'!AG70&gt;=2,"C",IF('Data Source'!AG70&gt;=1,"D","F")))))))</f>
        <v/>
      </c>
      <c r="P70" s="5">
        <f>IF('Data Source'!B70="","",'Data Source'!R70)</f>
        <v/>
      </c>
      <c r="Q70" s="3">
        <f>IF('Data Source'!B70="","",'Data Source'!S70)</f>
        <v/>
      </c>
    </row>
    <row r="71">
      <c r="A71" s="3">
        <f>IF('Data Source'!B71="","",'Data Source'!A71)</f>
        <v/>
      </c>
      <c r="B71">
        <f>IF('Data Source'!B71="","",'Data Source'!B71)</f>
        <v/>
      </c>
      <c r="C71" s="3">
        <f>IF('Data Source'!B71="","",IF('Data Source'!U71&gt;=5,"A+",IF('Data Source'!U71&gt;=4,"A",IF('Data Source'!U71&gt;=3.5,"A-",IF('Data Source'!U71&gt;=3,"B",IF('Data Source'!U71&gt;=2,"C",IF('Data Source'!U71&gt;=1,"D","F")))))))</f>
        <v/>
      </c>
      <c r="D71" s="3">
        <f>IF('Data Source'!B71="","",IF('Data Source'!V71&gt;=5,"A+",IF('Data Source'!V71&gt;=4,"A",IF('Data Source'!V71&gt;=3.5,"A-",IF('Data Source'!V71&gt;=3,"B",IF('Data Source'!V71&gt;=2,"C",IF('Data Source'!V71&gt;=1,"D","F")))))))</f>
        <v/>
      </c>
      <c r="E71" s="3">
        <f>IF('Data Source'!B71="","",IF('Data Source'!W71&gt;=5,"A+",IF('Data Source'!W71&gt;=4,"A",IF('Data Source'!W71&gt;=3.5,"A-",IF('Data Source'!W71&gt;=3,"B",IF('Data Source'!W71&gt;=2,"C",IF('Data Source'!W71&gt;=1,"D","F")))))))</f>
        <v/>
      </c>
      <c r="F71" s="3">
        <f>IF('Data Source'!B71="","",IF('Data Source'!X71&gt;=5,"A+",IF('Data Source'!X71&gt;=4,"A",IF('Data Source'!X71&gt;=3.5,"A-",IF('Data Source'!X71&gt;=3,"B",IF('Data Source'!X71&gt;=2,"C",IF('Data Source'!X71&gt;=1,"D","F")))))))</f>
        <v/>
      </c>
      <c r="G71" s="3">
        <f>IF('Data Source'!B71="","",IF('Data Source'!Y71&gt;=5,"A+",IF('Data Source'!Y71&gt;=4,"A",IF('Data Source'!Y71&gt;=3.5,"A-",IF('Data Source'!Y71&gt;=3,"B",IF('Data Source'!Y71&gt;=2,"C",IF('Data Source'!Y71&gt;=1,"D","F")))))))</f>
        <v/>
      </c>
      <c r="H71" s="3">
        <f>IF('Data Source'!B71="","",IF('Data Source'!Z71&gt;=5,"A+",IF('Data Source'!Z71&gt;=4,"A",IF('Data Source'!Z71&gt;=3.5,"A-",IF('Data Source'!Z71&gt;=3,"B",IF('Data Source'!Z71&gt;=2,"C",IF('Data Source'!Z71&gt;=1,"D","F")))))))</f>
        <v/>
      </c>
      <c r="I71" s="3">
        <f>IF('Data Source'!B71="","",IF('Data Source'!AA71&gt;=5,"A+",IF('Data Source'!AA71&gt;=4,"A",IF('Data Source'!AA71&gt;=3.5,"A-",IF('Data Source'!AA71&gt;=3,"B",IF('Data Source'!AA71&gt;=2,"C",IF('Data Source'!AA71&gt;=1,"D","F")))))))</f>
        <v/>
      </c>
      <c r="J71" s="3">
        <f>IF('Data Source'!B71="","",IF('Data Source'!AB71&gt;=5,"A+",IF('Data Source'!AB71&gt;=4,"A",IF('Data Source'!AB71&gt;=3.5,"A-",IF('Data Source'!AB71&gt;=3,"B",IF('Data Source'!AB71&gt;=2,"C",IF('Data Source'!AB71&gt;=1,"D","F")))))))</f>
        <v/>
      </c>
      <c r="K71" s="3">
        <f>IF('Data Source'!B71="","",IF('Data Source'!AC71&gt;=5,"A+",IF('Data Source'!AC71&gt;=4,"A",IF('Data Source'!AC71&gt;=3.5,"A-",IF('Data Source'!AC71&gt;=3,"B",IF('Data Source'!AC71&gt;=2,"C",IF('Data Source'!AC71&gt;=1,"D","F")))))))</f>
        <v/>
      </c>
      <c r="L71" s="3">
        <f>IF('Data Source'!B71="","",IF('Data Source'!AD71&gt;=5,"A+",IF('Data Source'!AD71&gt;=4,"A",IF('Data Source'!AD71&gt;=3.5,"A-",IF('Data Source'!AD71&gt;=3,"B",IF('Data Source'!AD71&gt;=2,"C",IF('Data Source'!AD71&gt;=1,"D","F")))))))</f>
        <v/>
      </c>
      <c r="M71" s="3">
        <f>IF('Data Source'!B71="","",IF('Data Source'!AE71&gt;=5,"A+",IF('Data Source'!AE71&gt;=4,"A",IF('Data Source'!AE71&gt;=3.5,"A-",IF('Data Source'!AE71&gt;=3,"B",IF('Data Source'!AE71&gt;=2,"C",IF('Data Source'!AE71&gt;=1,"D","F")))))))</f>
        <v/>
      </c>
      <c r="N71" s="3">
        <f>IF('Data Source'!B71="","",IF('Data Source'!AF71&gt;=5,"A+",IF('Data Source'!AF71&gt;=4,"A",IF('Data Source'!AF71&gt;=3.5,"A-",IF('Data Source'!AF71&gt;=3,"B",IF('Data Source'!AF71&gt;=2,"C",IF('Data Source'!AF71&gt;=1,"D","F")))))))</f>
        <v/>
      </c>
      <c r="O71" s="3">
        <f>IF('Data Source'!B71="","",IF('Data Source'!AG71&gt;=5,"A+",IF('Data Source'!AG71&gt;=4,"A",IF('Data Source'!AG71&gt;=3.5,"A-",IF('Data Source'!AG71&gt;=3,"B",IF('Data Source'!AG71&gt;=2,"C",IF('Data Source'!AG71&gt;=1,"D","F")))))))</f>
        <v/>
      </c>
      <c r="P71" s="5">
        <f>IF('Data Source'!B71="","",'Data Source'!R71)</f>
        <v/>
      </c>
      <c r="Q71" s="3">
        <f>IF('Data Source'!B71="","",'Data Source'!S71)</f>
        <v/>
      </c>
    </row>
    <row r="72">
      <c r="A72" s="3">
        <f>IF('Data Source'!B72="","",'Data Source'!A72)</f>
        <v/>
      </c>
      <c r="B72">
        <f>IF('Data Source'!B72="","",'Data Source'!B72)</f>
        <v/>
      </c>
      <c r="C72" s="3">
        <f>IF('Data Source'!B72="","",IF('Data Source'!U72&gt;=5,"A+",IF('Data Source'!U72&gt;=4,"A",IF('Data Source'!U72&gt;=3.5,"A-",IF('Data Source'!U72&gt;=3,"B",IF('Data Source'!U72&gt;=2,"C",IF('Data Source'!U72&gt;=1,"D","F")))))))</f>
        <v/>
      </c>
      <c r="D72" s="3">
        <f>IF('Data Source'!B72="","",IF('Data Source'!V72&gt;=5,"A+",IF('Data Source'!V72&gt;=4,"A",IF('Data Source'!V72&gt;=3.5,"A-",IF('Data Source'!V72&gt;=3,"B",IF('Data Source'!V72&gt;=2,"C",IF('Data Source'!V72&gt;=1,"D","F")))))))</f>
        <v/>
      </c>
      <c r="E72" s="3">
        <f>IF('Data Source'!B72="","",IF('Data Source'!W72&gt;=5,"A+",IF('Data Source'!W72&gt;=4,"A",IF('Data Source'!W72&gt;=3.5,"A-",IF('Data Source'!W72&gt;=3,"B",IF('Data Source'!W72&gt;=2,"C",IF('Data Source'!W72&gt;=1,"D","F")))))))</f>
        <v/>
      </c>
      <c r="F72" s="3">
        <f>IF('Data Source'!B72="","",IF('Data Source'!X72&gt;=5,"A+",IF('Data Source'!X72&gt;=4,"A",IF('Data Source'!X72&gt;=3.5,"A-",IF('Data Source'!X72&gt;=3,"B",IF('Data Source'!X72&gt;=2,"C",IF('Data Source'!X72&gt;=1,"D","F")))))))</f>
        <v/>
      </c>
      <c r="G72" s="3">
        <f>IF('Data Source'!B72="","",IF('Data Source'!Y72&gt;=5,"A+",IF('Data Source'!Y72&gt;=4,"A",IF('Data Source'!Y72&gt;=3.5,"A-",IF('Data Source'!Y72&gt;=3,"B",IF('Data Source'!Y72&gt;=2,"C",IF('Data Source'!Y72&gt;=1,"D","F")))))))</f>
        <v/>
      </c>
      <c r="H72" s="3">
        <f>IF('Data Source'!B72="","",IF('Data Source'!Z72&gt;=5,"A+",IF('Data Source'!Z72&gt;=4,"A",IF('Data Source'!Z72&gt;=3.5,"A-",IF('Data Source'!Z72&gt;=3,"B",IF('Data Source'!Z72&gt;=2,"C",IF('Data Source'!Z72&gt;=1,"D","F")))))))</f>
        <v/>
      </c>
      <c r="I72" s="3">
        <f>IF('Data Source'!B72="","",IF('Data Source'!AA72&gt;=5,"A+",IF('Data Source'!AA72&gt;=4,"A",IF('Data Source'!AA72&gt;=3.5,"A-",IF('Data Source'!AA72&gt;=3,"B",IF('Data Source'!AA72&gt;=2,"C",IF('Data Source'!AA72&gt;=1,"D","F")))))))</f>
        <v/>
      </c>
      <c r="J72" s="3">
        <f>IF('Data Source'!B72="","",IF('Data Source'!AB72&gt;=5,"A+",IF('Data Source'!AB72&gt;=4,"A",IF('Data Source'!AB72&gt;=3.5,"A-",IF('Data Source'!AB72&gt;=3,"B",IF('Data Source'!AB72&gt;=2,"C",IF('Data Source'!AB72&gt;=1,"D","F")))))))</f>
        <v/>
      </c>
      <c r="K72" s="3">
        <f>IF('Data Source'!B72="","",IF('Data Source'!AC72&gt;=5,"A+",IF('Data Source'!AC72&gt;=4,"A",IF('Data Source'!AC72&gt;=3.5,"A-",IF('Data Source'!AC72&gt;=3,"B",IF('Data Source'!AC72&gt;=2,"C",IF('Data Source'!AC72&gt;=1,"D","F")))))))</f>
        <v/>
      </c>
      <c r="L72" s="3">
        <f>IF('Data Source'!B72="","",IF('Data Source'!AD72&gt;=5,"A+",IF('Data Source'!AD72&gt;=4,"A",IF('Data Source'!AD72&gt;=3.5,"A-",IF('Data Source'!AD72&gt;=3,"B",IF('Data Source'!AD72&gt;=2,"C",IF('Data Source'!AD72&gt;=1,"D","F")))))))</f>
        <v/>
      </c>
      <c r="M72" s="3">
        <f>IF('Data Source'!B72="","",IF('Data Source'!AE72&gt;=5,"A+",IF('Data Source'!AE72&gt;=4,"A",IF('Data Source'!AE72&gt;=3.5,"A-",IF('Data Source'!AE72&gt;=3,"B",IF('Data Source'!AE72&gt;=2,"C",IF('Data Source'!AE72&gt;=1,"D","F")))))))</f>
        <v/>
      </c>
      <c r="N72" s="3">
        <f>IF('Data Source'!B72="","",IF('Data Source'!AF72&gt;=5,"A+",IF('Data Source'!AF72&gt;=4,"A",IF('Data Source'!AF72&gt;=3.5,"A-",IF('Data Source'!AF72&gt;=3,"B",IF('Data Source'!AF72&gt;=2,"C",IF('Data Source'!AF72&gt;=1,"D","F")))))))</f>
        <v/>
      </c>
      <c r="O72" s="3">
        <f>IF('Data Source'!B72="","",IF('Data Source'!AG72&gt;=5,"A+",IF('Data Source'!AG72&gt;=4,"A",IF('Data Source'!AG72&gt;=3.5,"A-",IF('Data Source'!AG72&gt;=3,"B",IF('Data Source'!AG72&gt;=2,"C",IF('Data Source'!AG72&gt;=1,"D","F")))))))</f>
        <v/>
      </c>
      <c r="P72" s="5">
        <f>IF('Data Source'!B72="","",'Data Source'!R72)</f>
        <v/>
      </c>
      <c r="Q72" s="3">
        <f>IF('Data Source'!B72="","",'Data Source'!S72)</f>
        <v/>
      </c>
    </row>
    <row r="73">
      <c r="A73" s="3">
        <f>IF('Data Source'!B73="","",'Data Source'!A73)</f>
        <v/>
      </c>
      <c r="B73">
        <f>IF('Data Source'!B73="","",'Data Source'!B73)</f>
        <v/>
      </c>
      <c r="C73" s="3">
        <f>IF('Data Source'!B73="","",IF('Data Source'!U73&gt;=5,"A+",IF('Data Source'!U73&gt;=4,"A",IF('Data Source'!U73&gt;=3.5,"A-",IF('Data Source'!U73&gt;=3,"B",IF('Data Source'!U73&gt;=2,"C",IF('Data Source'!U73&gt;=1,"D","F")))))))</f>
        <v/>
      </c>
      <c r="D73" s="3">
        <f>IF('Data Source'!B73="","",IF('Data Source'!V73&gt;=5,"A+",IF('Data Source'!V73&gt;=4,"A",IF('Data Source'!V73&gt;=3.5,"A-",IF('Data Source'!V73&gt;=3,"B",IF('Data Source'!V73&gt;=2,"C",IF('Data Source'!V73&gt;=1,"D","F")))))))</f>
        <v/>
      </c>
      <c r="E73" s="3">
        <f>IF('Data Source'!B73="","",IF('Data Source'!W73&gt;=5,"A+",IF('Data Source'!W73&gt;=4,"A",IF('Data Source'!W73&gt;=3.5,"A-",IF('Data Source'!W73&gt;=3,"B",IF('Data Source'!W73&gt;=2,"C",IF('Data Source'!W73&gt;=1,"D","F")))))))</f>
        <v/>
      </c>
      <c r="F73" s="3">
        <f>IF('Data Source'!B73="","",IF('Data Source'!X73&gt;=5,"A+",IF('Data Source'!X73&gt;=4,"A",IF('Data Source'!X73&gt;=3.5,"A-",IF('Data Source'!X73&gt;=3,"B",IF('Data Source'!X73&gt;=2,"C",IF('Data Source'!X73&gt;=1,"D","F")))))))</f>
        <v/>
      </c>
      <c r="G73" s="3">
        <f>IF('Data Source'!B73="","",IF('Data Source'!Y73&gt;=5,"A+",IF('Data Source'!Y73&gt;=4,"A",IF('Data Source'!Y73&gt;=3.5,"A-",IF('Data Source'!Y73&gt;=3,"B",IF('Data Source'!Y73&gt;=2,"C",IF('Data Source'!Y73&gt;=1,"D","F")))))))</f>
        <v/>
      </c>
      <c r="H73" s="3">
        <f>IF('Data Source'!B73="","",IF('Data Source'!Z73&gt;=5,"A+",IF('Data Source'!Z73&gt;=4,"A",IF('Data Source'!Z73&gt;=3.5,"A-",IF('Data Source'!Z73&gt;=3,"B",IF('Data Source'!Z73&gt;=2,"C",IF('Data Source'!Z73&gt;=1,"D","F")))))))</f>
        <v/>
      </c>
      <c r="I73" s="3">
        <f>IF('Data Source'!B73="","",IF('Data Source'!AA73&gt;=5,"A+",IF('Data Source'!AA73&gt;=4,"A",IF('Data Source'!AA73&gt;=3.5,"A-",IF('Data Source'!AA73&gt;=3,"B",IF('Data Source'!AA73&gt;=2,"C",IF('Data Source'!AA73&gt;=1,"D","F")))))))</f>
        <v/>
      </c>
      <c r="J73" s="3">
        <f>IF('Data Source'!B73="","",IF('Data Source'!AB73&gt;=5,"A+",IF('Data Source'!AB73&gt;=4,"A",IF('Data Source'!AB73&gt;=3.5,"A-",IF('Data Source'!AB73&gt;=3,"B",IF('Data Source'!AB73&gt;=2,"C",IF('Data Source'!AB73&gt;=1,"D","F")))))))</f>
        <v/>
      </c>
      <c r="K73" s="3">
        <f>IF('Data Source'!B73="","",IF('Data Source'!AC73&gt;=5,"A+",IF('Data Source'!AC73&gt;=4,"A",IF('Data Source'!AC73&gt;=3.5,"A-",IF('Data Source'!AC73&gt;=3,"B",IF('Data Source'!AC73&gt;=2,"C",IF('Data Source'!AC73&gt;=1,"D","F")))))))</f>
        <v/>
      </c>
      <c r="L73" s="3">
        <f>IF('Data Source'!B73="","",IF('Data Source'!AD73&gt;=5,"A+",IF('Data Source'!AD73&gt;=4,"A",IF('Data Source'!AD73&gt;=3.5,"A-",IF('Data Source'!AD73&gt;=3,"B",IF('Data Source'!AD73&gt;=2,"C",IF('Data Source'!AD73&gt;=1,"D","F")))))))</f>
        <v/>
      </c>
      <c r="M73" s="3">
        <f>IF('Data Source'!B73="","",IF('Data Source'!AE73&gt;=5,"A+",IF('Data Source'!AE73&gt;=4,"A",IF('Data Source'!AE73&gt;=3.5,"A-",IF('Data Source'!AE73&gt;=3,"B",IF('Data Source'!AE73&gt;=2,"C",IF('Data Source'!AE73&gt;=1,"D","F")))))))</f>
        <v/>
      </c>
      <c r="N73" s="3">
        <f>IF('Data Source'!B73="","",IF('Data Source'!AF73&gt;=5,"A+",IF('Data Source'!AF73&gt;=4,"A",IF('Data Source'!AF73&gt;=3.5,"A-",IF('Data Source'!AF73&gt;=3,"B",IF('Data Source'!AF73&gt;=2,"C",IF('Data Source'!AF73&gt;=1,"D","F")))))))</f>
        <v/>
      </c>
      <c r="O73" s="3">
        <f>IF('Data Source'!B73="","",IF('Data Source'!AG73&gt;=5,"A+",IF('Data Source'!AG73&gt;=4,"A",IF('Data Source'!AG73&gt;=3.5,"A-",IF('Data Source'!AG73&gt;=3,"B",IF('Data Source'!AG73&gt;=2,"C",IF('Data Source'!AG73&gt;=1,"D","F")))))))</f>
        <v/>
      </c>
      <c r="P73" s="5">
        <f>IF('Data Source'!B73="","",'Data Source'!R73)</f>
        <v/>
      </c>
      <c r="Q73" s="3">
        <f>IF('Data Source'!B73="","",'Data Source'!S73)</f>
        <v/>
      </c>
    </row>
    <row r="74">
      <c r="A74" s="3">
        <f>IF('Data Source'!B74="","",'Data Source'!A74)</f>
        <v/>
      </c>
      <c r="B74">
        <f>IF('Data Source'!B74="","",'Data Source'!B74)</f>
        <v/>
      </c>
      <c r="C74" s="3">
        <f>IF('Data Source'!B74="","",IF('Data Source'!U74&gt;=5,"A+",IF('Data Source'!U74&gt;=4,"A",IF('Data Source'!U74&gt;=3.5,"A-",IF('Data Source'!U74&gt;=3,"B",IF('Data Source'!U74&gt;=2,"C",IF('Data Source'!U74&gt;=1,"D","F")))))))</f>
        <v/>
      </c>
      <c r="D74" s="3">
        <f>IF('Data Source'!B74="","",IF('Data Source'!V74&gt;=5,"A+",IF('Data Source'!V74&gt;=4,"A",IF('Data Source'!V74&gt;=3.5,"A-",IF('Data Source'!V74&gt;=3,"B",IF('Data Source'!V74&gt;=2,"C",IF('Data Source'!V74&gt;=1,"D","F")))))))</f>
        <v/>
      </c>
      <c r="E74" s="3">
        <f>IF('Data Source'!B74="","",IF('Data Source'!W74&gt;=5,"A+",IF('Data Source'!W74&gt;=4,"A",IF('Data Source'!W74&gt;=3.5,"A-",IF('Data Source'!W74&gt;=3,"B",IF('Data Source'!W74&gt;=2,"C",IF('Data Source'!W74&gt;=1,"D","F")))))))</f>
        <v/>
      </c>
      <c r="F74" s="3">
        <f>IF('Data Source'!B74="","",IF('Data Source'!X74&gt;=5,"A+",IF('Data Source'!X74&gt;=4,"A",IF('Data Source'!X74&gt;=3.5,"A-",IF('Data Source'!X74&gt;=3,"B",IF('Data Source'!X74&gt;=2,"C",IF('Data Source'!X74&gt;=1,"D","F")))))))</f>
        <v/>
      </c>
      <c r="G74" s="3">
        <f>IF('Data Source'!B74="","",IF('Data Source'!Y74&gt;=5,"A+",IF('Data Source'!Y74&gt;=4,"A",IF('Data Source'!Y74&gt;=3.5,"A-",IF('Data Source'!Y74&gt;=3,"B",IF('Data Source'!Y74&gt;=2,"C",IF('Data Source'!Y74&gt;=1,"D","F")))))))</f>
        <v/>
      </c>
      <c r="H74" s="3">
        <f>IF('Data Source'!B74="","",IF('Data Source'!Z74&gt;=5,"A+",IF('Data Source'!Z74&gt;=4,"A",IF('Data Source'!Z74&gt;=3.5,"A-",IF('Data Source'!Z74&gt;=3,"B",IF('Data Source'!Z74&gt;=2,"C",IF('Data Source'!Z74&gt;=1,"D","F")))))))</f>
        <v/>
      </c>
      <c r="I74" s="3">
        <f>IF('Data Source'!B74="","",IF('Data Source'!AA74&gt;=5,"A+",IF('Data Source'!AA74&gt;=4,"A",IF('Data Source'!AA74&gt;=3.5,"A-",IF('Data Source'!AA74&gt;=3,"B",IF('Data Source'!AA74&gt;=2,"C",IF('Data Source'!AA74&gt;=1,"D","F")))))))</f>
        <v/>
      </c>
      <c r="J74" s="3">
        <f>IF('Data Source'!B74="","",IF('Data Source'!AB74&gt;=5,"A+",IF('Data Source'!AB74&gt;=4,"A",IF('Data Source'!AB74&gt;=3.5,"A-",IF('Data Source'!AB74&gt;=3,"B",IF('Data Source'!AB74&gt;=2,"C",IF('Data Source'!AB74&gt;=1,"D","F")))))))</f>
        <v/>
      </c>
      <c r="K74" s="3">
        <f>IF('Data Source'!B74="","",IF('Data Source'!AC74&gt;=5,"A+",IF('Data Source'!AC74&gt;=4,"A",IF('Data Source'!AC74&gt;=3.5,"A-",IF('Data Source'!AC74&gt;=3,"B",IF('Data Source'!AC74&gt;=2,"C",IF('Data Source'!AC74&gt;=1,"D","F")))))))</f>
        <v/>
      </c>
      <c r="L74" s="3">
        <f>IF('Data Source'!B74="","",IF('Data Source'!AD74&gt;=5,"A+",IF('Data Source'!AD74&gt;=4,"A",IF('Data Source'!AD74&gt;=3.5,"A-",IF('Data Source'!AD74&gt;=3,"B",IF('Data Source'!AD74&gt;=2,"C",IF('Data Source'!AD74&gt;=1,"D","F")))))))</f>
        <v/>
      </c>
      <c r="M74" s="3">
        <f>IF('Data Source'!B74="","",IF('Data Source'!AE74&gt;=5,"A+",IF('Data Source'!AE74&gt;=4,"A",IF('Data Source'!AE74&gt;=3.5,"A-",IF('Data Source'!AE74&gt;=3,"B",IF('Data Source'!AE74&gt;=2,"C",IF('Data Source'!AE74&gt;=1,"D","F")))))))</f>
        <v/>
      </c>
      <c r="N74" s="3">
        <f>IF('Data Source'!B74="","",IF('Data Source'!AF74&gt;=5,"A+",IF('Data Source'!AF74&gt;=4,"A",IF('Data Source'!AF74&gt;=3.5,"A-",IF('Data Source'!AF74&gt;=3,"B",IF('Data Source'!AF74&gt;=2,"C",IF('Data Source'!AF74&gt;=1,"D","F")))))))</f>
        <v/>
      </c>
      <c r="O74" s="3">
        <f>IF('Data Source'!B74="","",IF('Data Source'!AG74&gt;=5,"A+",IF('Data Source'!AG74&gt;=4,"A",IF('Data Source'!AG74&gt;=3.5,"A-",IF('Data Source'!AG74&gt;=3,"B",IF('Data Source'!AG74&gt;=2,"C",IF('Data Source'!AG74&gt;=1,"D","F")))))))</f>
        <v/>
      </c>
      <c r="P74" s="5">
        <f>IF('Data Source'!B74="","",'Data Source'!R74)</f>
        <v/>
      </c>
      <c r="Q74" s="3">
        <f>IF('Data Source'!B74="","",'Data Source'!S74)</f>
        <v/>
      </c>
    </row>
    <row r="75">
      <c r="A75" s="3">
        <f>IF('Data Source'!B75="","",'Data Source'!A75)</f>
        <v/>
      </c>
      <c r="B75">
        <f>IF('Data Source'!B75="","",'Data Source'!B75)</f>
        <v/>
      </c>
      <c r="C75" s="3">
        <f>IF('Data Source'!B75="","",IF('Data Source'!U75&gt;=5,"A+",IF('Data Source'!U75&gt;=4,"A",IF('Data Source'!U75&gt;=3.5,"A-",IF('Data Source'!U75&gt;=3,"B",IF('Data Source'!U75&gt;=2,"C",IF('Data Source'!U75&gt;=1,"D","F")))))))</f>
        <v/>
      </c>
      <c r="D75" s="3">
        <f>IF('Data Source'!B75="","",IF('Data Source'!V75&gt;=5,"A+",IF('Data Source'!V75&gt;=4,"A",IF('Data Source'!V75&gt;=3.5,"A-",IF('Data Source'!V75&gt;=3,"B",IF('Data Source'!V75&gt;=2,"C",IF('Data Source'!V75&gt;=1,"D","F")))))))</f>
        <v/>
      </c>
      <c r="E75" s="3">
        <f>IF('Data Source'!B75="","",IF('Data Source'!W75&gt;=5,"A+",IF('Data Source'!W75&gt;=4,"A",IF('Data Source'!W75&gt;=3.5,"A-",IF('Data Source'!W75&gt;=3,"B",IF('Data Source'!W75&gt;=2,"C",IF('Data Source'!W75&gt;=1,"D","F")))))))</f>
        <v/>
      </c>
      <c r="F75" s="3">
        <f>IF('Data Source'!B75="","",IF('Data Source'!X75&gt;=5,"A+",IF('Data Source'!X75&gt;=4,"A",IF('Data Source'!X75&gt;=3.5,"A-",IF('Data Source'!X75&gt;=3,"B",IF('Data Source'!X75&gt;=2,"C",IF('Data Source'!X75&gt;=1,"D","F")))))))</f>
        <v/>
      </c>
      <c r="G75" s="3">
        <f>IF('Data Source'!B75="","",IF('Data Source'!Y75&gt;=5,"A+",IF('Data Source'!Y75&gt;=4,"A",IF('Data Source'!Y75&gt;=3.5,"A-",IF('Data Source'!Y75&gt;=3,"B",IF('Data Source'!Y75&gt;=2,"C",IF('Data Source'!Y75&gt;=1,"D","F")))))))</f>
        <v/>
      </c>
      <c r="H75" s="3">
        <f>IF('Data Source'!B75="","",IF('Data Source'!Z75&gt;=5,"A+",IF('Data Source'!Z75&gt;=4,"A",IF('Data Source'!Z75&gt;=3.5,"A-",IF('Data Source'!Z75&gt;=3,"B",IF('Data Source'!Z75&gt;=2,"C",IF('Data Source'!Z75&gt;=1,"D","F")))))))</f>
        <v/>
      </c>
      <c r="I75" s="3">
        <f>IF('Data Source'!B75="","",IF('Data Source'!AA75&gt;=5,"A+",IF('Data Source'!AA75&gt;=4,"A",IF('Data Source'!AA75&gt;=3.5,"A-",IF('Data Source'!AA75&gt;=3,"B",IF('Data Source'!AA75&gt;=2,"C",IF('Data Source'!AA75&gt;=1,"D","F")))))))</f>
        <v/>
      </c>
      <c r="J75" s="3">
        <f>IF('Data Source'!B75="","",IF('Data Source'!AB75&gt;=5,"A+",IF('Data Source'!AB75&gt;=4,"A",IF('Data Source'!AB75&gt;=3.5,"A-",IF('Data Source'!AB75&gt;=3,"B",IF('Data Source'!AB75&gt;=2,"C",IF('Data Source'!AB75&gt;=1,"D","F")))))))</f>
        <v/>
      </c>
      <c r="K75" s="3">
        <f>IF('Data Source'!B75="","",IF('Data Source'!AC75&gt;=5,"A+",IF('Data Source'!AC75&gt;=4,"A",IF('Data Source'!AC75&gt;=3.5,"A-",IF('Data Source'!AC75&gt;=3,"B",IF('Data Source'!AC75&gt;=2,"C",IF('Data Source'!AC75&gt;=1,"D","F")))))))</f>
        <v/>
      </c>
      <c r="L75" s="3">
        <f>IF('Data Source'!B75="","",IF('Data Source'!AD75&gt;=5,"A+",IF('Data Source'!AD75&gt;=4,"A",IF('Data Source'!AD75&gt;=3.5,"A-",IF('Data Source'!AD75&gt;=3,"B",IF('Data Source'!AD75&gt;=2,"C",IF('Data Source'!AD75&gt;=1,"D","F")))))))</f>
        <v/>
      </c>
      <c r="M75" s="3">
        <f>IF('Data Source'!B75="","",IF('Data Source'!AE75&gt;=5,"A+",IF('Data Source'!AE75&gt;=4,"A",IF('Data Source'!AE75&gt;=3.5,"A-",IF('Data Source'!AE75&gt;=3,"B",IF('Data Source'!AE75&gt;=2,"C",IF('Data Source'!AE75&gt;=1,"D","F")))))))</f>
        <v/>
      </c>
      <c r="N75" s="3">
        <f>IF('Data Source'!B75="","",IF('Data Source'!AF75&gt;=5,"A+",IF('Data Source'!AF75&gt;=4,"A",IF('Data Source'!AF75&gt;=3.5,"A-",IF('Data Source'!AF75&gt;=3,"B",IF('Data Source'!AF75&gt;=2,"C",IF('Data Source'!AF75&gt;=1,"D","F")))))))</f>
        <v/>
      </c>
      <c r="O75" s="3">
        <f>IF('Data Source'!B75="","",IF('Data Source'!AG75&gt;=5,"A+",IF('Data Source'!AG75&gt;=4,"A",IF('Data Source'!AG75&gt;=3.5,"A-",IF('Data Source'!AG75&gt;=3,"B",IF('Data Source'!AG75&gt;=2,"C",IF('Data Source'!AG75&gt;=1,"D","F")))))))</f>
        <v/>
      </c>
      <c r="P75" s="5">
        <f>IF('Data Source'!B75="","",'Data Source'!R75)</f>
        <v/>
      </c>
      <c r="Q75" s="3">
        <f>IF('Data Source'!B75="","",'Data Source'!S75)</f>
        <v/>
      </c>
    </row>
    <row r="76">
      <c r="A76" s="3">
        <f>IF('Data Source'!B76="","",'Data Source'!A76)</f>
        <v/>
      </c>
      <c r="B76">
        <f>IF('Data Source'!B76="","",'Data Source'!B76)</f>
        <v/>
      </c>
      <c r="C76" s="3">
        <f>IF('Data Source'!B76="","",IF('Data Source'!U76&gt;=5,"A+",IF('Data Source'!U76&gt;=4,"A",IF('Data Source'!U76&gt;=3.5,"A-",IF('Data Source'!U76&gt;=3,"B",IF('Data Source'!U76&gt;=2,"C",IF('Data Source'!U76&gt;=1,"D","F")))))))</f>
        <v/>
      </c>
      <c r="D76" s="3">
        <f>IF('Data Source'!B76="","",IF('Data Source'!V76&gt;=5,"A+",IF('Data Source'!V76&gt;=4,"A",IF('Data Source'!V76&gt;=3.5,"A-",IF('Data Source'!V76&gt;=3,"B",IF('Data Source'!V76&gt;=2,"C",IF('Data Source'!V76&gt;=1,"D","F")))))))</f>
        <v/>
      </c>
      <c r="E76" s="3">
        <f>IF('Data Source'!B76="","",IF('Data Source'!W76&gt;=5,"A+",IF('Data Source'!W76&gt;=4,"A",IF('Data Source'!W76&gt;=3.5,"A-",IF('Data Source'!W76&gt;=3,"B",IF('Data Source'!W76&gt;=2,"C",IF('Data Source'!W76&gt;=1,"D","F")))))))</f>
        <v/>
      </c>
      <c r="F76" s="3">
        <f>IF('Data Source'!B76="","",IF('Data Source'!X76&gt;=5,"A+",IF('Data Source'!X76&gt;=4,"A",IF('Data Source'!X76&gt;=3.5,"A-",IF('Data Source'!X76&gt;=3,"B",IF('Data Source'!X76&gt;=2,"C",IF('Data Source'!X76&gt;=1,"D","F")))))))</f>
        <v/>
      </c>
      <c r="G76" s="3">
        <f>IF('Data Source'!B76="","",IF('Data Source'!Y76&gt;=5,"A+",IF('Data Source'!Y76&gt;=4,"A",IF('Data Source'!Y76&gt;=3.5,"A-",IF('Data Source'!Y76&gt;=3,"B",IF('Data Source'!Y76&gt;=2,"C",IF('Data Source'!Y76&gt;=1,"D","F")))))))</f>
        <v/>
      </c>
      <c r="H76" s="3">
        <f>IF('Data Source'!B76="","",IF('Data Source'!Z76&gt;=5,"A+",IF('Data Source'!Z76&gt;=4,"A",IF('Data Source'!Z76&gt;=3.5,"A-",IF('Data Source'!Z76&gt;=3,"B",IF('Data Source'!Z76&gt;=2,"C",IF('Data Source'!Z76&gt;=1,"D","F")))))))</f>
        <v/>
      </c>
      <c r="I76" s="3">
        <f>IF('Data Source'!B76="","",IF('Data Source'!AA76&gt;=5,"A+",IF('Data Source'!AA76&gt;=4,"A",IF('Data Source'!AA76&gt;=3.5,"A-",IF('Data Source'!AA76&gt;=3,"B",IF('Data Source'!AA76&gt;=2,"C",IF('Data Source'!AA76&gt;=1,"D","F")))))))</f>
        <v/>
      </c>
      <c r="J76" s="3">
        <f>IF('Data Source'!B76="","",IF('Data Source'!AB76&gt;=5,"A+",IF('Data Source'!AB76&gt;=4,"A",IF('Data Source'!AB76&gt;=3.5,"A-",IF('Data Source'!AB76&gt;=3,"B",IF('Data Source'!AB76&gt;=2,"C",IF('Data Source'!AB76&gt;=1,"D","F")))))))</f>
        <v/>
      </c>
      <c r="K76" s="3">
        <f>IF('Data Source'!B76="","",IF('Data Source'!AC76&gt;=5,"A+",IF('Data Source'!AC76&gt;=4,"A",IF('Data Source'!AC76&gt;=3.5,"A-",IF('Data Source'!AC76&gt;=3,"B",IF('Data Source'!AC76&gt;=2,"C",IF('Data Source'!AC76&gt;=1,"D","F")))))))</f>
        <v/>
      </c>
      <c r="L76" s="3">
        <f>IF('Data Source'!B76="","",IF('Data Source'!AD76&gt;=5,"A+",IF('Data Source'!AD76&gt;=4,"A",IF('Data Source'!AD76&gt;=3.5,"A-",IF('Data Source'!AD76&gt;=3,"B",IF('Data Source'!AD76&gt;=2,"C",IF('Data Source'!AD76&gt;=1,"D","F")))))))</f>
        <v/>
      </c>
      <c r="M76" s="3">
        <f>IF('Data Source'!B76="","",IF('Data Source'!AE76&gt;=5,"A+",IF('Data Source'!AE76&gt;=4,"A",IF('Data Source'!AE76&gt;=3.5,"A-",IF('Data Source'!AE76&gt;=3,"B",IF('Data Source'!AE76&gt;=2,"C",IF('Data Source'!AE76&gt;=1,"D","F")))))))</f>
        <v/>
      </c>
      <c r="N76" s="3">
        <f>IF('Data Source'!B76="","",IF('Data Source'!AF76&gt;=5,"A+",IF('Data Source'!AF76&gt;=4,"A",IF('Data Source'!AF76&gt;=3.5,"A-",IF('Data Source'!AF76&gt;=3,"B",IF('Data Source'!AF76&gt;=2,"C",IF('Data Source'!AF76&gt;=1,"D","F")))))))</f>
        <v/>
      </c>
      <c r="O76" s="3">
        <f>IF('Data Source'!B76="","",IF('Data Source'!AG76&gt;=5,"A+",IF('Data Source'!AG76&gt;=4,"A",IF('Data Source'!AG76&gt;=3.5,"A-",IF('Data Source'!AG76&gt;=3,"B",IF('Data Source'!AG76&gt;=2,"C",IF('Data Source'!AG76&gt;=1,"D","F")))))))</f>
        <v/>
      </c>
      <c r="P76" s="5">
        <f>IF('Data Source'!B76="","",'Data Source'!R76)</f>
        <v/>
      </c>
      <c r="Q76" s="3">
        <f>IF('Data Source'!B76="","",'Data Source'!S76)</f>
        <v/>
      </c>
    </row>
    <row r="77">
      <c r="A77" s="3">
        <f>IF('Data Source'!B77="","",'Data Source'!A77)</f>
        <v/>
      </c>
      <c r="B77">
        <f>IF('Data Source'!B77="","",'Data Source'!B77)</f>
        <v/>
      </c>
      <c r="C77" s="3">
        <f>IF('Data Source'!B77="","",IF('Data Source'!U77&gt;=5,"A+",IF('Data Source'!U77&gt;=4,"A",IF('Data Source'!U77&gt;=3.5,"A-",IF('Data Source'!U77&gt;=3,"B",IF('Data Source'!U77&gt;=2,"C",IF('Data Source'!U77&gt;=1,"D","F")))))))</f>
        <v/>
      </c>
      <c r="D77" s="3">
        <f>IF('Data Source'!B77="","",IF('Data Source'!V77&gt;=5,"A+",IF('Data Source'!V77&gt;=4,"A",IF('Data Source'!V77&gt;=3.5,"A-",IF('Data Source'!V77&gt;=3,"B",IF('Data Source'!V77&gt;=2,"C",IF('Data Source'!V77&gt;=1,"D","F")))))))</f>
        <v/>
      </c>
      <c r="E77" s="3">
        <f>IF('Data Source'!B77="","",IF('Data Source'!W77&gt;=5,"A+",IF('Data Source'!W77&gt;=4,"A",IF('Data Source'!W77&gt;=3.5,"A-",IF('Data Source'!W77&gt;=3,"B",IF('Data Source'!W77&gt;=2,"C",IF('Data Source'!W77&gt;=1,"D","F")))))))</f>
        <v/>
      </c>
      <c r="F77" s="3">
        <f>IF('Data Source'!B77="","",IF('Data Source'!X77&gt;=5,"A+",IF('Data Source'!X77&gt;=4,"A",IF('Data Source'!X77&gt;=3.5,"A-",IF('Data Source'!X77&gt;=3,"B",IF('Data Source'!X77&gt;=2,"C",IF('Data Source'!X77&gt;=1,"D","F")))))))</f>
        <v/>
      </c>
      <c r="G77" s="3">
        <f>IF('Data Source'!B77="","",IF('Data Source'!Y77&gt;=5,"A+",IF('Data Source'!Y77&gt;=4,"A",IF('Data Source'!Y77&gt;=3.5,"A-",IF('Data Source'!Y77&gt;=3,"B",IF('Data Source'!Y77&gt;=2,"C",IF('Data Source'!Y77&gt;=1,"D","F")))))))</f>
        <v/>
      </c>
      <c r="H77" s="3">
        <f>IF('Data Source'!B77="","",IF('Data Source'!Z77&gt;=5,"A+",IF('Data Source'!Z77&gt;=4,"A",IF('Data Source'!Z77&gt;=3.5,"A-",IF('Data Source'!Z77&gt;=3,"B",IF('Data Source'!Z77&gt;=2,"C",IF('Data Source'!Z77&gt;=1,"D","F")))))))</f>
        <v/>
      </c>
      <c r="I77" s="3">
        <f>IF('Data Source'!B77="","",IF('Data Source'!AA77&gt;=5,"A+",IF('Data Source'!AA77&gt;=4,"A",IF('Data Source'!AA77&gt;=3.5,"A-",IF('Data Source'!AA77&gt;=3,"B",IF('Data Source'!AA77&gt;=2,"C",IF('Data Source'!AA77&gt;=1,"D","F")))))))</f>
        <v/>
      </c>
      <c r="J77" s="3">
        <f>IF('Data Source'!B77="","",IF('Data Source'!AB77&gt;=5,"A+",IF('Data Source'!AB77&gt;=4,"A",IF('Data Source'!AB77&gt;=3.5,"A-",IF('Data Source'!AB77&gt;=3,"B",IF('Data Source'!AB77&gt;=2,"C",IF('Data Source'!AB77&gt;=1,"D","F")))))))</f>
        <v/>
      </c>
      <c r="K77" s="3">
        <f>IF('Data Source'!B77="","",IF('Data Source'!AC77&gt;=5,"A+",IF('Data Source'!AC77&gt;=4,"A",IF('Data Source'!AC77&gt;=3.5,"A-",IF('Data Source'!AC77&gt;=3,"B",IF('Data Source'!AC77&gt;=2,"C",IF('Data Source'!AC77&gt;=1,"D","F")))))))</f>
        <v/>
      </c>
      <c r="L77" s="3">
        <f>IF('Data Source'!B77="","",IF('Data Source'!AD77&gt;=5,"A+",IF('Data Source'!AD77&gt;=4,"A",IF('Data Source'!AD77&gt;=3.5,"A-",IF('Data Source'!AD77&gt;=3,"B",IF('Data Source'!AD77&gt;=2,"C",IF('Data Source'!AD77&gt;=1,"D","F")))))))</f>
        <v/>
      </c>
      <c r="M77" s="3">
        <f>IF('Data Source'!B77="","",IF('Data Source'!AE77&gt;=5,"A+",IF('Data Source'!AE77&gt;=4,"A",IF('Data Source'!AE77&gt;=3.5,"A-",IF('Data Source'!AE77&gt;=3,"B",IF('Data Source'!AE77&gt;=2,"C",IF('Data Source'!AE77&gt;=1,"D","F")))))))</f>
        <v/>
      </c>
      <c r="N77" s="3">
        <f>IF('Data Source'!B77="","",IF('Data Source'!AF77&gt;=5,"A+",IF('Data Source'!AF77&gt;=4,"A",IF('Data Source'!AF77&gt;=3.5,"A-",IF('Data Source'!AF77&gt;=3,"B",IF('Data Source'!AF77&gt;=2,"C",IF('Data Source'!AF77&gt;=1,"D","F")))))))</f>
        <v/>
      </c>
      <c r="O77" s="3">
        <f>IF('Data Source'!B77="","",IF('Data Source'!AG77&gt;=5,"A+",IF('Data Source'!AG77&gt;=4,"A",IF('Data Source'!AG77&gt;=3.5,"A-",IF('Data Source'!AG77&gt;=3,"B",IF('Data Source'!AG77&gt;=2,"C",IF('Data Source'!AG77&gt;=1,"D","F")))))))</f>
        <v/>
      </c>
      <c r="P77" s="5">
        <f>IF('Data Source'!B77="","",'Data Source'!R77)</f>
        <v/>
      </c>
      <c r="Q77" s="3">
        <f>IF('Data Source'!B77="","",'Data Source'!S77)</f>
        <v/>
      </c>
    </row>
    <row r="78">
      <c r="A78" s="3">
        <f>IF('Data Source'!B78="","",'Data Source'!A78)</f>
        <v/>
      </c>
      <c r="B78">
        <f>IF('Data Source'!B78="","",'Data Source'!B78)</f>
        <v/>
      </c>
      <c r="C78" s="3">
        <f>IF('Data Source'!B78="","",IF('Data Source'!U78&gt;=5,"A+",IF('Data Source'!U78&gt;=4,"A",IF('Data Source'!U78&gt;=3.5,"A-",IF('Data Source'!U78&gt;=3,"B",IF('Data Source'!U78&gt;=2,"C",IF('Data Source'!U78&gt;=1,"D","F")))))))</f>
        <v/>
      </c>
      <c r="D78" s="3">
        <f>IF('Data Source'!B78="","",IF('Data Source'!V78&gt;=5,"A+",IF('Data Source'!V78&gt;=4,"A",IF('Data Source'!V78&gt;=3.5,"A-",IF('Data Source'!V78&gt;=3,"B",IF('Data Source'!V78&gt;=2,"C",IF('Data Source'!V78&gt;=1,"D","F")))))))</f>
        <v/>
      </c>
      <c r="E78" s="3">
        <f>IF('Data Source'!B78="","",IF('Data Source'!W78&gt;=5,"A+",IF('Data Source'!W78&gt;=4,"A",IF('Data Source'!W78&gt;=3.5,"A-",IF('Data Source'!W78&gt;=3,"B",IF('Data Source'!W78&gt;=2,"C",IF('Data Source'!W78&gt;=1,"D","F")))))))</f>
        <v/>
      </c>
      <c r="F78" s="3">
        <f>IF('Data Source'!B78="","",IF('Data Source'!X78&gt;=5,"A+",IF('Data Source'!X78&gt;=4,"A",IF('Data Source'!X78&gt;=3.5,"A-",IF('Data Source'!X78&gt;=3,"B",IF('Data Source'!X78&gt;=2,"C",IF('Data Source'!X78&gt;=1,"D","F")))))))</f>
        <v/>
      </c>
      <c r="G78" s="3">
        <f>IF('Data Source'!B78="","",IF('Data Source'!Y78&gt;=5,"A+",IF('Data Source'!Y78&gt;=4,"A",IF('Data Source'!Y78&gt;=3.5,"A-",IF('Data Source'!Y78&gt;=3,"B",IF('Data Source'!Y78&gt;=2,"C",IF('Data Source'!Y78&gt;=1,"D","F")))))))</f>
        <v/>
      </c>
      <c r="H78" s="3">
        <f>IF('Data Source'!B78="","",IF('Data Source'!Z78&gt;=5,"A+",IF('Data Source'!Z78&gt;=4,"A",IF('Data Source'!Z78&gt;=3.5,"A-",IF('Data Source'!Z78&gt;=3,"B",IF('Data Source'!Z78&gt;=2,"C",IF('Data Source'!Z78&gt;=1,"D","F")))))))</f>
        <v/>
      </c>
      <c r="I78" s="3">
        <f>IF('Data Source'!B78="","",IF('Data Source'!AA78&gt;=5,"A+",IF('Data Source'!AA78&gt;=4,"A",IF('Data Source'!AA78&gt;=3.5,"A-",IF('Data Source'!AA78&gt;=3,"B",IF('Data Source'!AA78&gt;=2,"C",IF('Data Source'!AA78&gt;=1,"D","F")))))))</f>
        <v/>
      </c>
      <c r="J78" s="3">
        <f>IF('Data Source'!B78="","",IF('Data Source'!AB78&gt;=5,"A+",IF('Data Source'!AB78&gt;=4,"A",IF('Data Source'!AB78&gt;=3.5,"A-",IF('Data Source'!AB78&gt;=3,"B",IF('Data Source'!AB78&gt;=2,"C",IF('Data Source'!AB78&gt;=1,"D","F")))))))</f>
        <v/>
      </c>
      <c r="K78" s="3">
        <f>IF('Data Source'!B78="","",IF('Data Source'!AC78&gt;=5,"A+",IF('Data Source'!AC78&gt;=4,"A",IF('Data Source'!AC78&gt;=3.5,"A-",IF('Data Source'!AC78&gt;=3,"B",IF('Data Source'!AC78&gt;=2,"C",IF('Data Source'!AC78&gt;=1,"D","F")))))))</f>
        <v/>
      </c>
      <c r="L78" s="3">
        <f>IF('Data Source'!B78="","",IF('Data Source'!AD78&gt;=5,"A+",IF('Data Source'!AD78&gt;=4,"A",IF('Data Source'!AD78&gt;=3.5,"A-",IF('Data Source'!AD78&gt;=3,"B",IF('Data Source'!AD78&gt;=2,"C",IF('Data Source'!AD78&gt;=1,"D","F")))))))</f>
        <v/>
      </c>
      <c r="M78" s="3">
        <f>IF('Data Source'!B78="","",IF('Data Source'!AE78&gt;=5,"A+",IF('Data Source'!AE78&gt;=4,"A",IF('Data Source'!AE78&gt;=3.5,"A-",IF('Data Source'!AE78&gt;=3,"B",IF('Data Source'!AE78&gt;=2,"C",IF('Data Source'!AE78&gt;=1,"D","F")))))))</f>
        <v/>
      </c>
      <c r="N78" s="3">
        <f>IF('Data Source'!B78="","",IF('Data Source'!AF78&gt;=5,"A+",IF('Data Source'!AF78&gt;=4,"A",IF('Data Source'!AF78&gt;=3.5,"A-",IF('Data Source'!AF78&gt;=3,"B",IF('Data Source'!AF78&gt;=2,"C",IF('Data Source'!AF78&gt;=1,"D","F")))))))</f>
        <v/>
      </c>
      <c r="O78" s="3">
        <f>IF('Data Source'!B78="","",IF('Data Source'!AG78&gt;=5,"A+",IF('Data Source'!AG78&gt;=4,"A",IF('Data Source'!AG78&gt;=3.5,"A-",IF('Data Source'!AG78&gt;=3,"B",IF('Data Source'!AG78&gt;=2,"C",IF('Data Source'!AG78&gt;=1,"D","F")))))))</f>
        <v/>
      </c>
      <c r="P78" s="5">
        <f>IF('Data Source'!B78="","",'Data Source'!R78)</f>
        <v/>
      </c>
      <c r="Q78" s="3">
        <f>IF('Data Source'!B78="","",'Data Source'!S78)</f>
        <v/>
      </c>
    </row>
    <row r="79">
      <c r="A79" s="3">
        <f>IF('Data Source'!B79="","",'Data Source'!A79)</f>
        <v/>
      </c>
      <c r="B79">
        <f>IF('Data Source'!B79="","",'Data Source'!B79)</f>
        <v/>
      </c>
      <c r="C79" s="3">
        <f>IF('Data Source'!B79="","",IF('Data Source'!U79&gt;=5,"A+",IF('Data Source'!U79&gt;=4,"A",IF('Data Source'!U79&gt;=3.5,"A-",IF('Data Source'!U79&gt;=3,"B",IF('Data Source'!U79&gt;=2,"C",IF('Data Source'!U79&gt;=1,"D","F")))))))</f>
        <v/>
      </c>
      <c r="D79" s="3">
        <f>IF('Data Source'!B79="","",IF('Data Source'!V79&gt;=5,"A+",IF('Data Source'!V79&gt;=4,"A",IF('Data Source'!V79&gt;=3.5,"A-",IF('Data Source'!V79&gt;=3,"B",IF('Data Source'!V79&gt;=2,"C",IF('Data Source'!V79&gt;=1,"D","F")))))))</f>
        <v/>
      </c>
      <c r="E79" s="3">
        <f>IF('Data Source'!B79="","",IF('Data Source'!W79&gt;=5,"A+",IF('Data Source'!W79&gt;=4,"A",IF('Data Source'!W79&gt;=3.5,"A-",IF('Data Source'!W79&gt;=3,"B",IF('Data Source'!W79&gt;=2,"C",IF('Data Source'!W79&gt;=1,"D","F")))))))</f>
        <v/>
      </c>
      <c r="F79" s="3">
        <f>IF('Data Source'!B79="","",IF('Data Source'!X79&gt;=5,"A+",IF('Data Source'!X79&gt;=4,"A",IF('Data Source'!X79&gt;=3.5,"A-",IF('Data Source'!X79&gt;=3,"B",IF('Data Source'!X79&gt;=2,"C",IF('Data Source'!X79&gt;=1,"D","F")))))))</f>
        <v/>
      </c>
      <c r="G79" s="3">
        <f>IF('Data Source'!B79="","",IF('Data Source'!Y79&gt;=5,"A+",IF('Data Source'!Y79&gt;=4,"A",IF('Data Source'!Y79&gt;=3.5,"A-",IF('Data Source'!Y79&gt;=3,"B",IF('Data Source'!Y79&gt;=2,"C",IF('Data Source'!Y79&gt;=1,"D","F")))))))</f>
        <v/>
      </c>
      <c r="H79" s="3">
        <f>IF('Data Source'!B79="","",IF('Data Source'!Z79&gt;=5,"A+",IF('Data Source'!Z79&gt;=4,"A",IF('Data Source'!Z79&gt;=3.5,"A-",IF('Data Source'!Z79&gt;=3,"B",IF('Data Source'!Z79&gt;=2,"C",IF('Data Source'!Z79&gt;=1,"D","F")))))))</f>
        <v/>
      </c>
      <c r="I79" s="3">
        <f>IF('Data Source'!B79="","",IF('Data Source'!AA79&gt;=5,"A+",IF('Data Source'!AA79&gt;=4,"A",IF('Data Source'!AA79&gt;=3.5,"A-",IF('Data Source'!AA79&gt;=3,"B",IF('Data Source'!AA79&gt;=2,"C",IF('Data Source'!AA79&gt;=1,"D","F")))))))</f>
        <v/>
      </c>
      <c r="J79" s="3">
        <f>IF('Data Source'!B79="","",IF('Data Source'!AB79&gt;=5,"A+",IF('Data Source'!AB79&gt;=4,"A",IF('Data Source'!AB79&gt;=3.5,"A-",IF('Data Source'!AB79&gt;=3,"B",IF('Data Source'!AB79&gt;=2,"C",IF('Data Source'!AB79&gt;=1,"D","F")))))))</f>
        <v/>
      </c>
      <c r="K79" s="3">
        <f>IF('Data Source'!B79="","",IF('Data Source'!AC79&gt;=5,"A+",IF('Data Source'!AC79&gt;=4,"A",IF('Data Source'!AC79&gt;=3.5,"A-",IF('Data Source'!AC79&gt;=3,"B",IF('Data Source'!AC79&gt;=2,"C",IF('Data Source'!AC79&gt;=1,"D","F")))))))</f>
        <v/>
      </c>
      <c r="L79" s="3">
        <f>IF('Data Source'!B79="","",IF('Data Source'!AD79&gt;=5,"A+",IF('Data Source'!AD79&gt;=4,"A",IF('Data Source'!AD79&gt;=3.5,"A-",IF('Data Source'!AD79&gt;=3,"B",IF('Data Source'!AD79&gt;=2,"C",IF('Data Source'!AD79&gt;=1,"D","F")))))))</f>
        <v/>
      </c>
      <c r="M79" s="3">
        <f>IF('Data Source'!B79="","",IF('Data Source'!AE79&gt;=5,"A+",IF('Data Source'!AE79&gt;=4,"A",IF('Data Source'!AE79&gt;=3.5,"A-",IF('Data Source'!AE79&gt;=3,"B",IF('Data Source'!AE79&gt;=2,"C",IF('Data Source'!AE79&gt;=1,"D","F")))))))</f>
        <v/>
      </c>
      <c r="N79" s="3">
        <f>IF('Data Source'!B79="","",IF('Data Source'!AF79&gt;=5,"A+",IF('Data Source'!AF79&gt;=4,"A",IF('Data Source'!AF79&gt;=3.5,"A-",IF('Data Source'!AF79&gt;=3,"B",IF('Data Source'!AF79&gt;=2,"C",IF('Data Source'!AF79&gt;=1,"D","F")))))))</f>
        <v/>
      </c>
      <c r="O79" s="3">
        <f>IF('Data Source'!B79="","",IF('Data Source'!AG79&gt;=5,"A+",IF('Data Source'!AG79&gt;=4,"A",IF('Data Source'!AG79&gt;=3.5,"A-",IF('Data Source'!AG79&gt;=3,"B",IF('Data Source'!AG79&gt;=2,"C",IF('Data Source'!AG79&gt;=1,"D","F")))))))</f>
        <v/>
      </c>
      <c r="P79" s="5">
        <f>IF('Data Source'!B79="","",'Data Source'!R79)</f>
        <v/>
      </c>
      <c r="Q79" s="3">
        <f>IF('Data Source'!B79="","",'Data Source'!S79)</f>
        <v/>
      </c>
    </row>
    <row r="80">
      <c r="A80" s="3">
        <f>IF('Data Source'!B80="","",'Data Source'!A80)</f>
        <v/>
      </c>
      <c r="B80">
        <f>IF('Data Source'!B80="","",'Data Source'!B80)</f>
        <v/>
      </c>
      <c r="C80" s="3">
        <f>IF('Data Source'!B80="","",IF('Data Source'!U80&gt;=5,"A+",IF('Data Source'!U80&gt;=4,"A",IF('Data Source'!U80&gt;=3.5,"A-",IF('Data Source'!U80&gt;=3,"B",IF('Data Source'!U80&gt;=2,"C",IF('Data Source'!U80&gt;=1,"D","F")))))))</f>
        <v/>
      </c>
      <c r="D80" s="3">
        <f>IF('Data Source'!B80="","",IF('Data Source'!V80&gt;=5,"A+",IF('Data Source'!V80&gt;=4,"A",IF('Data Source'!V80&gt;=3.5,"A-",IF('Data Source'!V80&gt;=3,"B",IF('Data Source'!V80&gt;=2,"C",IF('Data Source'!V80&gt;=1,"D","F")))))))</f>
        <v/>
      </c>
      <c r="E80" s="3">
        <f>IF('Data Source'!B80="","",IF('Data Source'!W80&gt;=5,"A+",IF('Data Source'!W80&gt;=4,"A",IF('Data Source'!W80&gt;=3.5,"A-",IF('Data Source'!W80&gt;=3,"B",IF('Data Source'!W80&gt;=2,"C",IF('Data Source'!W80&gt;=1,"D","F")))))))</f>
        <v/>
      </c>
      <c r="F80" s="3">
        <f>IF('Data Source'!B80="","",IF('Data Source'!X80&gt;=5,"A+",IF('Data Source'!X80&gt;=4,"A",IF('Data Source'!X80&gt;=3.5,"A-",IF('Data Source'!X80&gt;=3,"B",IF('Data Source'!X80&gt;=2,"C",IF('Data Source'!X80&gt;=1,"D","F")))))))</f>
        <v/>
      </c>
      <c r="G80" s="3">
        <f>IF('Data Source'!B80="","",IF('Data Source'!Y80&gt;=5,"A+",IF('Data Source'!Y80&gt;=4,"A",IF('Data Source'!Y80&gt;=3.5,"A-",IF('Data Source'!Y80&gt;=3,"B",IF('Data Source'!Y80&gt;=2,"C",IF('Data Source'!Y80&gt;=1,"D","F")))))))</f>
        <v/>
      </c>
      <c r="H80" s="3">
        <f>IF('Data Source'!B80="","",IF('Data Source'!Z80&gt;=5,"A+",IF('Data Source'!Z80&gt;=4,"A",IF('Data Source'!Z80&gt;=3.5,"A-",IF('Data Source'!Z80&gt;=3,"B",IF('Data Source'!Z80&gt;=2,"C",IF('Data Source'!Z80&gt;=1,"D","F")))))))</f>
        <v/>
      </c>
      <c r="I80" s="3">
        <f>IF('Data Source'!B80="","",IF('Data Source'!AA80&gt;=5,"A+",IF('Data Source'!AA80&gt;=4,"A",IF('Data Source'!AA80&gt;=3.5,"A-",IF('Data Source'!AA80&gt;=3,"B",IF('Data Source'!AA80&gt;=2,"C",IF('Data Source'!AA80&gt;=1,"D","F")))))))</f>
        <v/>
      </c>
      <c r="J80" s="3">
        <f>IF('Data Source'!B80="","",IF('Data Source'!AB80&gt;=5,"A+",IF('Data Source'!AB80&gt;=4,"A",IF('Data Source'!AB80&gt;=3.5,"A-",IF('Data Source'!AB80&gt;=3,"B",IF('Data Source'!AB80&gt;=2,"C",IF('Data Source'!AB80&gt;=1,"D","F")))))))</f>
        <v/>
      </c>
      <c r="K80" s="3">
        <f>IF('Data Source'!B80="","",IF('Data Source'!AC80&gt;=5,"A+",IF('Data Source'!AC80&gt;=4,"A",IF('Data Source'!AC80&gt;=3.5,"A-",IF('Data Source'!AC80&gt;=3,"B",IF('Data Source'!AC80&gt;=2,"C",IF('Data Source'!AC80&gt;=1,"D","F")))))))</f>
        <v/>
      </c>
      <c r="L80" s="3">
        <f>IF('Data Source'!B80="","",IF('Data Source'!AD80&gt;=5,"A+",IF('Data Source'!AD80&gt;=4,"A",IF('Data Source'!AD80&gt;=3.5,"A-",IF('Data Source'!AD80&gt;=3,"B",IF('Data Source'!AD80&gt;=2,"C",IF('Data Source'!AD80&gt;=1,"D","F")))))))</f>
        <v/>
      </c>
      <c r="M80" s="3">
        <f>IF('Data Source'!B80="","",IF('Data Source'!AE80&gt;=5,"A+",IF('Data Source'!AE80&gt;=4,"A",IF('Data Source'!AE80&gt;=3.5,"A-",IF('Data Source'!AE80&gt;=3,"B",IF('Data Source'!AE80&gt;=2,"C",IF('Data Source'!AE80&gt;=1,"D","F")))))))</f>
        <v/>
      </c>
      <c r="N80" s="3">
        <f>IF('Data Source'!B80="","",IF('Data Source'!AF80&gt;=5,"A+",IF('Data Source'!AF80&gt;=4,"A",IF('Data Source'!AF80&gt;=3.5,"A-",IF('Data Source'!AF80&gt;=3,"B",IF('Data Source'!AF80&gt;=2,"C",IF('Data Source'!AF80&gt;=1,"D","F")))))))</f>
        <v/>
      </c>
      <c r="O80" s="3">
        <f>IF('Data Source'!B80="","",IF('Data Source'!AG80&gt;=5,"A+",IF('Data Source'!AG80&gt;=4,"A",IF('Data Source'!AG80&gt;=3.5,"A-",IF('Data Source'!AG80&gt;=3,"B",IF('Data Source'!AG80&gt;=2,"C",IF('Data Source'!AG80&gt;=1,"D","F")))))))</f>
        <v/>
      </c>
      <c r="P80" s="5">
        <f>IF('Data Source'!B80="","",'Data Source'!R80)</f>
        <v/>
      </c>
      <c r="Q80" s="3">
        <f>IF('Data Source'!B80="","",'Data Source'!S80)</f>
        <v/>
      </c>
    </row>
    <row r="81">
      <c r="A81" s="3">
        <f>IF('Data Source'!B81="","",'Data Source'!A81)</f>
        <v/>
      </c>
      <c r="B81">
        <f>IF('Data Source'!B81="","",'Data Source'!B81)</f>
        <v/>
      </c>
      <c r="C81" s="3">
        <f>IF('Data Source'!B81="","",IF('Data Source'!U81&gt;=5,"A+",IF('Data Source'!U81&gt;=4,"A",IF('Data Source'!U81&gt;=3.5,"A-",IF('Data Source'!U81&gt;=3,"B",IF('Data Source'!U81&gt;=2,"C",IF('Data Source'!U81&gt;=1,"D","F")))))))</f>
        <v/>
      </c>
      <c r="D81" s="3">
        <f>IF('Data Source'!B81="","",IF('Data Source'!V81&gt;=5,"A+",IF('Data Source'!V81&gt;=4,"A",IF('Data Source'!V81&gt;=3.5,"A-",IF('Data Source'!V81&gt;=3,"B",IF('Data Source'!V81&gt;=2,"C",IF('Data Source'!V81&gt;=1,"D","F")))))))</f>
        <v/>
      </c>
      <c r="E81" s="3">
        <f>IF('Data Source'!B81="","",IF('Data Source'!W81&gt;=5,"A+",IF('Data Source'!W81&gt;=4,"A",IF('Data Source'!W81&gt;=3.5,"A-",IF('Data Source'!W81&gt;=3,"B",IF('Data Source'!W81&gt;=2,"C",IF('Data Source'!W81&gt;=1,"D","F")))))))</f>
        <v/>
      </c>
      <c r="F81" s="3">
        <f>IF('Data Source'!B81="","",IF('Data Source'!X81&gt;=5,"A+",IF('Data Source'!X81&gt;=4,"A",IF('Data Source'!X81&gt;=3.5,"A-",IF('Data Source'!X81&gt;=3,"B",IF('Data Source'!X81&gt;=2,"C",IF('Data Source'!X81&gt;=1,"D","F")))))))</f>
        <v/>
      </c>
      <c r="G81" s="3">
        <f>IF('Data Source'!B81="","",IF('Data Source'!Y81&gt;=5,"A+",IF('Data Source'!Y81&gt;=4,"A",IF('Data Source'!Y81&gt;=3.5,"A-",IF('Data Source'!Y81&gt;=3,"B",IF('Data Source'!Y81&gt;=2,"C",IF('Data Source'!Y81&gt;=1,"D","F")))))))</f>
        <v/>
      </c>
      <c r="H81" s="3">
        <f>IF('Data Source'!B81="","",IF('Data Source'!Z81&gt;=5,"A+",IF('Data Source'!Z81&gt;=4,"A",IF('Data Source'!Z81&gt;=3.5,"A-",IF('Data Source'!Z81&gt;=3,"B",IF('Data Source'!Z81&gt;=2,"C",IF('Data Source'!Z81&gt;=1,"D","F")))))))</f>
        <v/>
      </c>
      <c r="I81" s="3">
        <f>IF('Data Source'!B81="","",IF('Data Source'!AA81&gt;=5,"A+",IF('Data Source'!AA81&gt;=4,"A",IF('Data Source'!AA81&gt;=3.5,"A-",IF('Data Source'!AA81&gt;=3,"B",IF('Data Source'!AA81&gt;=2,"C",IF('Data Source'!AA81&gt;=1,"D","F")))))))</f>
        <v/>
      </c>
      <c r="J81" s="3">
        <f>IF('Data Source'!B81="","",IF('Data Source'!AB81&gt;=5,"A+",IF('Data Source'!AB81&gt;=4,"A",IF('Data Source'!AB81&gt;=3.5,"A-",IF('Data Source'!AB81&gt;=3,"B",IF('Data Source'!AB81&gt;=2,"C",IF('Data Source'!AB81&gt;=1,"D","F")))))))</f>
        <v/>
      </c>
      <c r="K81" s="3">
        <f>IF('Data Source'!B81="","",IF('Data Source'!AC81&gt;=5,"A+",IF('Data Source'!AC81&gt;=4,"A",IF('Data Source'!AC81&gt;=3.5,"A-",IF('Data Source'!AC81&gt;=3,"B",IF('Data Source'!AC81&gt;=2,"C",IF('Data Source'!AC81&gt;=1,"D","F")))))))</f>
        <v/>
      </c>
      <c r="L81" s="3">
        <f>IF('Data Source'!B81="","",IF('Data Source'!AD81&gt;=5,"A+",IF('Data Source'!AD81&gt;=4,"A",IF('Data Source'!AD81&gt;=3.5,"A-",IF('Data Source'!AD81&gt;=3,"B",IF('Data Source'!AD81&gt;=2,"C",IF('Data Source'!AD81&gt;=1,"D","F")))))))</f>
        <v/>
      </c>
      <c r="M81" s="3">
        <f>IF('Data Source'!B81="","",IF('Data Source'!AE81&gt;=5,"A+",IF('Data Source'!AE81&gt;=4,"A",IF('Data Source'!AE81&gt;=3.5,"A-",IF('Data Source'!AE81&gt;=3,"B",IF('Data Source'!AE81&gt;=2,"C",IF('Data Source'!AE81&gt;=1,"D","F")))))))</f>
        <v/>
      </c>
      <c r="N81" s="3">
        <f>IF('Data Source'!B81="","",IF('Data Source'!AF81&gt;=5,"A+",IF('Data Source'!AF81&gt;=4,"A",IF('Data Source'!AF81&gt;=3.5,"A-",IF('Data Source'!AF81&gt;=3,"B",IF('Data Source'!AF81&gt;=2,"C",IF('Data Source'!AF81&gt;=1,"D","F")))))))</f>
        <v/>
      </c>
      <c r="O81" s="3">
        <f>IF('Data Source'!B81="","",IF('Data Source'!AG81&gt;=5,"A+",IF('Data Source'!AG81&gt;=4,"A",IF('Data Source'!AG81&gt;=3.5,"A-",IF('Data Source'!AG81&gt;=3,"B",IF('Data Source'!AG81&gt;=2,"C",IF('Data Source'!AG81&gt;=1,"D","F")))))))</f>
        <v/>
      </c>
      <c r="P81" s="5">
        <f>IF('Data Source'!B81="","",'Data Source'!R81)</f>
        <v/>
      </c>
      <c r="Q81" s="3">
        <f>IF('Data Source'!B81="","",'Data Source'!S81)</f>
        <v/>
      </c>
    </row>
    <row r="82">
      <c r="A82" s="3">
        <f>IF('Data Source'!B82="","",'Data Source'!A82)</f>
        <v/>
      </c>
      <c r="B82">
        <f>IF('Data Source'!B82="","",'Data Source'!B82)</f>
        <v/>
      </c>
      <c r="C82" s="3">
        <f>IF('Data Source'!B82="","",IF('Data Source'!U82&gt;=5,"A+",IF('Data Source'!U82&gt;=4,"A",IF('Data Source'!U82&gt;=3.5,"A-",IF('Data Source'!U82&gt;=3,"B",IF('Data Source'!U82&gt;=2,"C",IF('Data Source'!U82&gt;=1,"D","F")))))))</f>
        <v/>
      </c>
      <c r="D82" s="3">
        <f>IF('Data Source'!B82="","",IF('Data Source'!V82&gt;=5,"A+",IF('Data Source'!V82&gt;=4,"A",IF('Data Source'!V82&gt;=3.5,"A-",IF('Data Source'!V82&gt;=3,"B",IF('Data Source'!V82&gt;=2,"C",IF('Data Source'!V82&gt;=1,"D","F")))))))</f>
        <v/>
      </c>
      <c r="E82" s="3">
        <f>IF('Data Source'!B82="","",IF('Data Source'!W82&gt;=5,"A+",IF('Data Source'!W82&gt;=4,"A",IF('Data Source'!W82&gt;=3.5,"A-",IF('Data Source'!W82&gt;=3,"B",IF('Data Source'!W82&gt;=2,"C",IF('Data Source'!W82&gt;=1,"D","F")))))))</f>
        <v/>
      </c>
      <c r="F82" s="3">
        <f>IF('Data Source'!B82="","",IF('Data Source'!X82&gt;=5,"A+",IF('Data Source'!X82&gt;=4,"A",IF('Data Source'!X82&gt;=3.5,"A-",IF('Data Source'!X82&gt;=3,"B",IF('Data Source'!X82&gt;=2,"C",IF('Data Source'!X82&gt;=1,"D","F")))))))</f>
        <v/>
      </c>
      <c r="G82" s="3">
        <f>IF('Data Source'!B82="","",IF('Data Source'!Y82&gt;=5,"A+",IF('Data Source'!Y82&gt;=4,"A",IF('Data Source'!Y82&gt;=3.5,"A-",IF('Data Source'!Y82&gt;=3,"B",IF('Data Source'!Y82&gt;=2,"C",IF('Data Source'!Y82&gt;=1,"D","F")))))))</f>
        <v/>
      </c>
      <c r="H82" s="3">
        <f>IF('Data Source'!B82="","",IF('Data Source'!Z82&gt;=5,"A+",IF('Data Source'!Z82&gt;=4,"A",IF('Data Source'!Z82&gt;=3.5,"A-",IF('Data Source'!Z82&gt;=3,"B",IF('Data Source'!Z82&gt;=2,"C",IF('Data Source'!Z82&gt;=1,"D","F")))))))</f>
        <v/>
      </c>
      <c r="I82" s="3">
        <f>IF('Data Source'!B82="","",IF('Data Source'!AA82&gt;=5,"A+",IF('Data Source'!AA82&gt;=4,"A",IF('Data Source'!AA82&gt;=3.5,"A-",IF('Data Source'!AA82&gt;=3,"B",IF('Data Source'!AA82&gt;=2,"C",IF('Data Source'!AA82&gt;=1,"D","F")))))))</f>
        <v/>
      </c>
      <c r="J82" s="3">
        <f>IF('Data Source'!B82="","",IF('Data Source'!AB82&gt;=5,"A+",IF('Data Source'!AB82&gt;=4,"A",IF('Data Source'!AB82&gt;=3.5,"A-",IF('Data Source'!AB82&gt;=3,"B",IF('Data Source'!AB82&gt;=2,"C",IF('Data Source'!AB82&gt;=1,"D","F")))))))</f>
        <v/>
      </c>
      <c r="K82" s="3">
        <f>IF('Data Source'!B82="","",IF('Data Source'!AC82&gt;=5,"A+",IF('Data Source'!AC82&gt;=4,"A",IF('Data Source'!AC82&gt;=3.5,"A-",IF('Data Source'!AC82&gt;=3,"B",IF('Data Source'!AC82&gt;=2,"C",IF('Data Source'!AC82&gt;=1,"D","F")))))))</f>
        <v/>
      </c>
      <c r="L82" s="3">
        <f>IF('Data Source'!B82="","",IF('Data Source'!AD82&gt;=5,"A+",IF('Data Source'!AD82&gt;=4,"A",IF('Data Source'!AD82&gt;=3.5,"A-",IF('Data Source'!AD82&gt;=3,"B",IF('Data Source'!AD82&gt;=2,"C",IF('Data Source'!AD82&gt;=1,"D","F")))))))</f>
        <v/>
      </c>
      <c r="M82" s="3">
        <f>IF('Data Source'!B82="","",IF('Data Source'!AE82&gt;=5,"A+",IF('Data Source'!AE82&gt;=4,"A",IF('Data Source'!AE82&gt;=3.5,"A-",IF('Data Source'!AE82&gt;=3,"B",IF('Data Source'!AE82&gt;=2,"C",IF('Data Source'!AE82&gt;=1,"D","F")))))))</f>
        <v/>
      </c>
      <c r="N82" s="3">
        <f>IF('Data Source'!B82="","",IF('Data Source'!AF82&gt;=5,"A+",IF('Data Source'!AF82&gt;=4,"A",IF('Data Source'!AF82&gt;=3.5,"A-",IF('Data Source'!AF82&gt;=3,"B",IF('Data Source'!AF82&gt;=2,"C",IF('Data Source'!AF82&gt;=1,"D","F")))))))</f>
        <v/>
      </c>
      <c r="O82" s="3">
        <f>IF('Data Source'!B82="","",IF('Data Source'!AG82&gt;=5,"A+",IF('Data Source'!AG82&gt;=4,"A",IF('Data Source'!AG82&gt;=3.5,"A-",IF('Data Source'!AG82&gt;=3,"B",IF('Data Source'!AG82&gt;=2,"C",IF('Data Source'!AG82&gt;=1,"D","F")))))))</f>
        <v/>
      </c>
      <c r="P82" s="5">
        <f>IF('Data Source'!B82="","",'Data Source'!R82)</f>
        <v/>
      </c>
      <c r="Q82" s="3">
        <f>IF('Data Source'!B82="","",'Data Source'!S82)</f>
        <v/>
      </c>
    </row>
    <row r="83">
      <c r="A83" s="3">
        <f>IF('Data Source'!B83="","",'Data Source'!A83)</f>
        <v/>
      </c>
      <c r="B83">
        <f>IF('Data Source'!B83="","",'Data Source'!B83)</f>
        <v/>
      </c>
      <c r="C83" s="3">
        <f>IF('Data Source'!B83="","",IF('Data Source'!U83&gt;=5,"A+",IF('Data Source'!U83&gt;=4,"A",IF('Data Source'!U83&gt;=3.5,"A-",IF('Data Source'!U83&gt;=3,"B",IF('Data Source'!U83&gt;=2,"C",IF('Data Source'!U83&gt;=1,"D","F")))))))</f>
        <v/>
      </c>
      <c r="D83" s="3">
        <f>IF('Data Source'!B83="","",IF('Data Source'!V83&gt;=5,"A+",IF('Data Source'!V83&gt;=4,"A",IF('Data Source'!V83&gt;=3.5,"A-",IF('Data Source'!V83&gt;=3,"B",IF('Data Source'!V83&gt;=2,"C",IF('Data Source'!V83&gt;=1,"D","F")))))))</f>
        <v/>
      </c>
      <c r="E83" s="3">
        <f>IF('Data Source'!B83="","",IF('Data Source'!W83&gt;=5,"A+",IF('Data Source'!W83&gt;=4,"A",IF('Data Source'!W83&gt;=3.5,"A-",IF('Data Source'!W83&gt;=3,"B",IF('Data Source'!W83&gt;=2,"C",IF('Data Source'!W83&gt;=1,"D","F")))))))</f>
        <v/>
      </c>
      <c r="F83" s="3">
        <f>IF('Data Source'!B83="","",IF('Data Source'!X83&gt;=5,"A+",IF('Data Source'!X83&gt;=4,"A",IF('Data Source'!X83&gt;=3.5,"A-",IF('Data Source'!X83&gt;=3,"B",IF('Data Source'!X83&gt;=2,"C",IF('Data Source'!X83&gt;=1,"D","F")))))))</f>
        <v/>
      </c>
      <c r="G83" s="3">
        <f>IF('Data Source'!B83="","",IF('Data Source'!Y83&gt;=5,"A+",IF('Data Source'!Y83&gt;=4,"A",IF('Data Source'!Y83&gt;=3.5,"A-",IF('Data Source'!Y83&gt;=3,"B",IF('Data Source'!Y83&gt;=2,"C",IF('Data Source'!Y83&gt;=1,"D","F")))))))</f>
        <v/>
      </c>
      <c r="H83" s="3">
        <f>IF('Data Source'!B83="","",IF('Data Source'!Z83&gt;=5,"A+",IF('Data Source'!Z83&gt;=4,"A",IF('Data Source'!Z83&gt;=3.5,"A-",IF('Data Source'!Z83&gt;=3,"B",IF('Data Source'!Z83&gt;=2,"C",IF('Data Source'!Z83&gt;=1,"D","F")))))))</f>
        <v/>
      </c>
      <c r="I83" s="3">
        <f>IF('Data Source'!B83="","",IF('Data Source'!AA83&gt;=5,"A+",IF('Data Source'!AA83&gt;=4,"A",IF('Data Source'!AA83&gt;=3.5,"A-",IF('Data Source'!AA83&gt;=3,"B",IF('Data Source'!AA83&gt;=2,"C",IF('Data Source'!AA83&gt;=1,"D","F")))))))</f>
        <v/>
      </c>
      <c r="J83" s="3">
        <f>IF('Data Source'!B83="","",IF('Data Source'!AB83&gt;=5,"A+",IF('Data Source'!AB83&gt;=4,"A",IF('Data Source'!AB83&gt;=3.5,"A-",IF('Data Source'!AB83&gt;=3,"B",IF('Data Source'!AB83&gt;=2,"C",IF('Data Source'!AB83&gt;=1,"D","F")))))))</f>
        <v/>
      </c>
      <c r="K83" s="3">
        <f>IF('Data Source'!B83="","",IF('Data Source'!AC83&gt;=5,"A+",IF('Data Source'!AC83&gt;=4,"A",IF('Data Source'!AC83&gt;=3.5,"A-",IF('Data Source'!AC83&gt;=3,"B",IF('Data Source'!AC83&gt;=2,"C",IF('Data Source'!AC83&gt;=1,"D","F")))))))</f>
        <v/>
      </c>
      <c r="L83" s="3">
        <f>IF('Data Source'!B83="","",IF('Data Source'!AD83&gt;=5,"A+",IF('Data Source'!AD83&gt;=4,"A",IF('Data Source'!AD83&gt;=3.5,"A-",IF('Data Source'!AD83&gt;=3,"B",IF('Data Source'!AD83&gt;=2,"C",IF('Data Source'!AD83&gt;=1,"D","F")))))))</f>
        <v/>
      </c>
      <c r="M83" s="3">
        <f>IF('Data Source'!B83="","",IF('Data Source'!AE83&gt;=5,"A+",IF('Data Source'!AE83&gt;=4,"A",IF('Data Source'!AE83&gt;=3.5,"A-",IF('Data Source'!AE83&gt;=3,"B",IF('Data Source'!AE83&gt;=2,"C",IF('Data Source'!AE83&gt;=1,"D","F")))))))</f>
        <v/>
      </c>
      <c r="N83" s="3">
        <f>IF('Data Source'!B83="","",IF('Data Source'!AF83&gt;=5,"A+",IF('Data Source'!AF83&gt;=4,"A",IF('Data Source'!AF83&gt;=3.5,"A-",IF('Data Source'!AF83&gt;=3,"B",IF('Data Source'!AF83&gt;=2,"C",IF('Data Source'!AF83&gt;=1,"D","F")))))))</f>
        <v/>
      </c>
      <c r="O83" s="3">
        <f>IF('Data Source'!B83="","",IF('Data Source'!AG83&gt;=5,"A+",IF('Data Source'!AG83&gt;=4,"A",IF('Data Source'!AG83&gt;=3.5,"A-",IF('Data Source'!AG83&gt;=3,"B",IF('Data Source'!AG83&gt;=2,"C",IF('Data Source'!AG83&gt;=1,"D","F")))))))</f>
        <v/>
      </c>
      <c r="P83" s="5">
        <f>IF('Data Source'!B83="","",'Data Source'!R83)</f>
        <v/>
      </c>
      <c r="Q83" s="3">
        <f>IF('Data Source'!B83="","",'Data Source'!S83)</f>
        <v/>
      </c>
    </row>
    <row r="84">
      <c r="A84" s="3">
        <f>IF('Data Source'!B84="","",'Data Source'!A84)</f>
        <v/>
      </c>
      <c r="B84">
        <f>IF('Data Source'!B84="","",'Data Source'!B84)</f>
        <v/>
      </c>
      <c r="C84" s="3">
        <f>IF('Data Source'!B84="","",IF('Data Source'!U84&gt;=5,"A+",IF('Data Source'!U84&gt;=4,"A",IF('Data Source'!U84&gt;=3.5,"A-",IF('Data Source'!U84&gt;=3,"B",IF('Data Source'!U84&gt;=2,"C",IF('Data Source'!U84&gt;=1,"D","F")))))))</f>
        <v/>
      </c>
      <c r="D84" s="3">
        <f>IF('Data Source'!B84="","",IF('Data Source'!V84&gt;=5,"A+",IF('Data Source'!V84&gt;=4,"A",IF('Data Source'!V84&gt;=3.5,"A-",IF('Data Source'!V84&gt;=3,"B",IF('Data Source'!V84&gt;=2,"C",IF('Data Source'!V84&gt;=1,"D","F")))))))</f>
        <v/>
      </c>
      <c r="E84" s="3">
        <f>IF('Data Source'!B84="","",IF('Data Source'!W84&gt;=5,"A+",IF('Data Source'!W84&gt;=4,"A",IF('Data Source'!W84&gt;=3.5,"A-",IF('Data Source'!W84&gt;=3,"B",IF('Data Source'!W84&gt;=2,"C",IF('Data Source'!W84&gt;=1,"D","F")))))))</f>
        <v/>
      </c>
      <c r="F84" s="3">
        <f>IF('Data Source'!B84="","",IF('Data Source'!X84&gt;=5,"A+",IF('Data Source'!X84&gt;=4,"A",IF('Data Source'!X84&gt;=3.5,"A-",IF('Data Source'!X84&gt;=3,"B",IF('Data Source'!X84&gt;=2,"C",IF('Data Source'!X84&gt;=1,"D","F")))))))</f>
        <v/>
      </c>
      <c r="G84" s="3">
        <f>IF('Data Source'!B84="","",IF('Data Source'!Y84&gt;=5,"A+",IF('Data Source'!Y84&gt;=4,"A",IF('Data Source'!Y84&gt;=3.5,"A-",IF('Data Source'!Y84&gt;=3,"B",IF('Data Source'!Y84&gt;=2,"C",IF('Data Source'!Y84&gt;=1,"D","F")))))))</f>
        <v/>
      </c>
      <c r="H84" s="3">
        <f>IF('Data Source'!B84="","",IF('Data Source'!Z84&gt;=5,"A+",IF('Data Source'!Z84&gt;=4,"A",IF('Data Source'!Z84&gt;=3.5,"A-",IF('Data Source'!Z84&gt;=3,"B",IF('Data Source'!Z84&gt;=2,"C",IF('Data Source'!Z84&gt;=1,"D","F")))))))</f>
        <v/>
      </c>
      <c r="I84" s="3">
        <f>IF('Data Source'!B84="","",IF('Data Source'!AA84&gt;=5,"A+",IF('Data Source'!AA84&gt;=4,"A",IF('Data Source'!AA84&gt;=3.5,"A-",IF('Data Source'!AA84&gt;=3,"B",IF('Data Source'!AA84&gt;=2,"C",IF('Data Source'!AA84&gt;=1,"D","F")))))))</f>
        <v/>
      </c>
      <c r="J84" s="3">
        <f>IF('Data Source'!B84="","",IF('Data Source'!AB84&gt;=5,"A+",IF('Data Source'!AB84&gt;=4,"A",IF('Data Source'!AB84&gt;=3.5,"A-",IF('Data Source'!AB84&gt;=3,"B",IF('Data Source'!AB84&gt;=2,"C",IF('Data Source'!AB84&gt;=1,"D","F")))))))</f>
        <v/>
      </c>
      <c r="K84" s="3">
        <f>IF('Data Source'!B84="","",IF('Data Source'!AC84&gt;=5,"A+",IF('Data Source'!AC84&gt;=4,"A",IF('Data Source'!AC84&gt;=3.5,"A-",IF('Data Source'!AC84&gt;=3,"B",IF('Data Source'!AC84&gt;=2,"C",IF('Data Source'!AC84&gt;=1,"D","F")))))))</f>
        <v/>
      </c>
      <c r="L84" s="3">
        <f>IF('Data Source'!B84="","",IF('Data Source'!AD84&gt;=5,"A+",IF('Data Source'!AD84&gt;=4,"A",IF('Data Source'!AD84&gt;=3.5,"A-",IF('Data Source'!AD84&gt;=3,"B",IF('Data Source'!AD84&gt;=2,"C",IF('Data Source'!AD84&gt;=1,"D","F")))))))</f>
        <v/>
      </c>
      <c r="M84" s="3">
        <f>IF('Data Source'!B84="","",IF('Data Source'!AE84&gt;=5,"A+",IF('Data Source'!AE84&gt;=4,"A",IF('Data Source'!AE84&gt;=3.5,"A-",IF('Data Source'!AE84&gt;=3,"B",IF('Data Source'!AE84&gt;=2,"C",IF('Data Source'!AE84&gt;=1,"D","F")))))))</f>
        <v/>
      </c>
      <c r="N84" s="3">
        <f>IF('Data Source'!B84="","",IF('Data Source'!AF84&gt;=5,"A+",IF('Data Source'!AF84&gt;=4,"A",IF('Data Source'!AF84&gt;=3.5,"A-",IF('Data Source'!AF84&gt;=3,"B",IF('Data Source'!AF84&gt;=2,"C",IF('Data Source'!AF84&gt;=1,"D","F")))))))</f>
        <v/>
      </c>
      <c r="O84" s="3">
        <f>IF('Data Source'!B84="","",IF('Data Source'!AG84&gt;=5,"A+",IF('Data Source'!AG84&gt;=4,"A",IF('Data Source'!AG84&gt;=3.5,"A-",IF('Data Source'!AG84&gt;=3,"B",IF('Data Source'!AG84&gt;=2,"C",IF('Data Source'!AG84&gt;=1,"D","F")))))))</f>
        <v/>
      </c>
      <c r="P84" s="5">
        <f>IF('Data Source'!B84="","",'Data Source'!R84)</f>
        <v/>
      </c>
      <c r="Q84" s="3">
        <f>IF('Data Source'!B84="","",'Data Source'!S84)</f>
        <v/>
      </c>
    </row>
    <row r="85">
      <c r="A85" s="3">
        <f>IF('Data Source'!B85="","",'Data Source'!A85)</f>
        <v/>
      </c>
      <c r="B85">
        <f>IF('Data Source'!B85="","",'Data Source'!B85)</f>
        <v/>
      </c>
      <c r="C85" s="3">
        <f>IF('Data Source'!B85="","",IF('Data Source'!U85&gt;=5,"A+",IF('Data Source'!U85&gt;=4,"A",IF('Data Source'!U85&gt;=3.5,"A-",IF('Data Source'!U85&gt;=3,"B",IF('Data Source'!U85&gt;=2,"C",IF('Data Source'!U85&gt;=1,"D","F")))))))</f>
        <v/>
      </c>
      <c r="D85" s="3">
        <f>IF('Data Source'!B85="","",IF('Data Source'!V85&gt;=5,"A+",IF('Data Source'!V85&gt;=4,"A",IF('Data Source'!V85&gt;=3.5,"A-",IF('Data Source'!V85&gt;=3,"B",IF('Data Source'!V85&gt;=2,"C",IF('Data Source'!V85&gt;=1,"D","F")))))))</f>
        <v/>
      </c>
      <c r="E85" s="3">
        <f>IF('Data Source'!B85="","",IF('Data Source'!W85&gt;=5,"A+",IF('Data Source'!W85&gt;=4,"A",IF('Data Source'!W85&gt;=3.5,"A-",IF('Data Source'!W85&gt;=3,"B",IF('Data Source'!W85&gt;=2,"C",IF('Data Source'!W85&gt;=1,"D","F")))))))</f>
        <v/>
      </c>
      <c r="F85" s="3">
        <f>IF('Data Source'!B85="","",IF('Data Source'!X85&gt;=5,"A+",IF('Data Source'!X85&gt;=4,"A",IF('Data Source'!X85&gt;=3.5,"A-",IF('Data Source'!X85&gt;=3,"B",IF('Data Source'!X85&gt;=2,"C",IF('Data Source'!X85&gt;=1,"D","F")))))))</f>
        <v/>
      </c>
      <c r="G85" s="3">
        <f>IF('Data Source'!B85="","",IF('Data Source'!Y85&gt;=5,"A+",IF('Data Source'!Y85&gt;=4,"A",IF('Data Source'!Y85&gt;=3.5,"A-",IF('Data Source'!Y85&gt;=3,"B",IF('Data Source'!Y85&gt;=2,"C",IF('Data Source'!Y85&gt;=1,"D","F")))))))</f>
        <v/>
      </c>
      <c r="H85" s="3">
        <f>IF('Data Source'!B85="","",IF('Data Source'!Z85&gt;=5,"A+",IF('Data Source'!Z85&gt;=4,"A",IF('Data Source'!Z85&gt;=3.5,"A-",IF('Data Source'!Z85&gt;=3,"B",IF('Data Source'!Z85&gt;=2,"C",IF('Data Source'!Z85&gt;=1,"D","F")))))))</f>
        <v/>
      </c>
      <c r="I85" s="3">
        <f>IF('Data Source'!B85="","",IF('Data Source'!AA85&gt;=5,"A+",IF('Data Source'!AA85&gt;=4,"A",IF('Data Source'!AA85&gt;=3.5,"A-",IF('Data Source'!AA85&gt;=3,"B",IF('Data Source'!AA85&gt;=2,"C",IF('Data Source'!AA85&gt;=1,"D","F")))))))</f>
        <v/>
      </c>
      <c r="J85" s="3">
        <f>IF('Data Source'!B85="","",IF('Data Source'!AB85&gt;=5,"A+",IF('Data Source'!AB85&gt;=4,"A",IF('Data Source'!AB85&gt;=3.5,"A-",IF('Data Source'!AB85&gt;=3,"B",IF('Data Source'!AB85&gt;=2,"C",IF('Data Source'!AB85&gt;=1,"D","F")))))))</f>
        <v/>
      </c>
      <c r="K85" s="3">
        <f>IF('Data Source'!B85="","",IF('Data Source'!AC85&gt;=5,"A+",IF('Data Source'!AC85&gt;=4,"A",IF('Data Source'!AC85&gt;=3.5,"A-",IF('Data Source'!AC85&gt;=3,"B",IF('Data Source'!AC85&gt;=2,"C",IF('Data Source'!AC85&gt;=1,"D","F")))))))</f>
        <v/>
      </c>
      <c r="L85" s="3">
        <f>IF('Data Source'!B85="","",IF('Data Source'!AD85&gt;=5,"A+",IF('Data Source'!AD85&gt;=4,"A",IF('Data Source'!AD85&gt;=3.5,"A-",IF('Data Source'!AD85&gt;=3,"B",IF('Data Source'!AD85&gt;=2,"C",IF('Data Source'!AD85&gt;=1,"D","F")))))))</f>
        <v/>
      </c>
      <c r="M85" s="3">
        <f>IF('Data Source'!B85="","",IF('Data Source'!AE85&gt;=5,"A+",IF('Data Source'!AE85&gt;=4,"A",IF('Data Source'!AE85&gt;=3.5,"A-",IF('Data Source'!AE85&gt;=3,"B",IF('Data Source'!AE85&gt;=2,"C",IF('Data Source'!AE85&gt;=1,"D","F")))))))</f>
        <v/>
      </c>
      <c r="N85" s="3">
        <f>IF('Data Source'!B85="","",IF('Data Source'!AF85&gt;=5,"A+",IF('Data Source'!AF85&gt;=4,"A",IF('Data Source'!AF85&gt;=3.5,"A-",IF('Data Source'!AF85&gt;=3,"B",IF('Data Source'!AF85&gt;=2,"C",IF('Data Source'!AF85&gt;=1,"D","F")))))))</f>
        <v/>
      </c>
      <c r="O85" s="3">
        <f>IF('Data Source'!B85="","",IF('Data Source'!AG85&gt;=5,"A+",IF('Data Source'!AG85&gt;=4,"A",IF('Data Source'!AG85&gt;=3.5,"A-",IF('Data Source'!AG85&gt;=3,"B",IF('Data Source'!AG85&gt;=2,"C",IF('Data Source'!AG85&gt;=1,"D","F")))))))</f>
        <v/>
      </c>
      <c r="P85" s="5">
        <f>IF('Data Source'!B85="","",'Data Source'!R85)</f>
        <v/>
      </c>
      <c r="Q85" s="3">
        <f>IF('Data Source'!B85="","",'Data Source'!S85)</f>
        <v/>
      </c>
    </row>
    <row r="86">
      <c r="A86" s="3">
        <f>IF('Data Source'!B86="","",'Data Source'!A86)</f>
        <v/>
      </c>
      <c r="B86">
        <f>IF('Data Source'!B86="","",'Data Source'!B86)</f>
        <v/>
      </c>
      <c r="C86" s="3">
        <f>IF('Data Source'!B86="","",IF('Data Source'!U86&gt;=5,"A+",IF('Data Source'!U86&gt;=4,"A",IF('Data Source'!U86&gt;=3.5,"A-",IF('Data Source'!U86&gt;=3,"B",IF('Data Source'!U86&gt;=2,"C",IF('Data Source'!U86&gt;=1,"D","F")))))))</f>
        <v/>
      </c>
      <c r="D86" s="3">
        <f>IF('Data Source'!B86="","",IF('Data Source'!V86&gt;=5,"A+",IF('Data Source'!V86&gt;=4,"A",IF('Data Source'!V86&gt;=3.5,"A-",IF('Data Source'!V86&gt;=3,"B",IF('Data Source'!V86&gt;=2,"C",IF('Data Source'!V86&gt;=1,"D","F")))))))</f>
        <v/>
      </c>
      <c r="E86" s="3">
        <f>IF('Data Source'!B86="","",IF('Data Source'!W86&gt;=5,"A+",IF('Data Source'!W86&gt;=4,"A",IF('Data Source'!W86&gt;=3.5,"A-",IF('Data Source'!W86&gt;=3,"B",IF('Data Source'!W86&gt;=2,"C",IF('Data Source'!W86&gt;=1,"D","F")))))))</f>
        <v/>
      </c>
      <c r="F86" s="3">
        <f>IF('Data Source'!B86="","",IF('Data Source'!X86&gt;=5,"A+",IF('Data Source'!X86&gt;=4,"A",IF('Data Source'!X86&gt;=3.5,"A-",IF('Data Source'!X86&gt;=3,"B",IF('Data Source'!X86&gt;=2,"C",IF('Data Source'!X86&gt;=1,"D","F")))))))</f>
        <v/>
      </c>
      <c r="G86" s="3">
        <f>IF('Data Source'!B86="","",IF('Data Source'!Y86&gt;=5,"A+",IF('Data Source'!Y86&gt;=4,"A",IF('Data Source'!Y86&gt;=3.5,"A-",IF('Data Source'!Y86&gt;=3,"B",IF('Data Source'!Y86&gt;=2,"C",IF('Data Source'!Y86&gt;=1,"D","F")))))))</f>
        <v/>
      </c>
      <c r="H86" s="3">
        <f>IF('Data Source'!B86="","",IF('Data Source'!Z86&gt;=5,"A+",IF('Data Source'!Z86&gt;=4,"A",IF('Data Source'!Z86&gt;=3.5,"A-",IF('Data Source'!Z86&gt;=3,"B",IF('Data Source'!Z86&gt;=2,"C",IF('Data Source'!Z86&gt;=1,"D","F")))))))</f>
        <v/>
      </c>
      <c r="I86" s="3">
        <f>IF('Data Source'!B86="","",IF('Data Source'!AA86&gt;=5,"A+",IF('Data Source'!AA86&gt;=4,"A",IF('Data Source'!AA86&gt;=3.5,"A-",IF('Data Source'!AA86&gt;=3,"B",IF('Data Source'!AA86&gt;=2,"C",IF('Data Source'!AA86&gt;=1,"D","F")))))))</f>
        <v/>
      </c>
      <c r="J86" s="3">
        <f>IF('Data Source'!B86="","",IF('Data Source'!AB86&gt;=5,"A+",IF('Data Source'!AB86&gt;=4,"A",IF('Data Source'!AB86&gt;=3.5,"A-",IF('Data Source'!AB86&gt;=3,"B",IF('Data Source'!AB86&gt;=2,"C",IF('Data Source'!AB86&gt;=1,"D","F")))))))</f>
        <v/>
      </c>
      <c r="K86" s="3">
        <f>IF('Data Source'!B86="","",IF('Data Source'!AC86&gt;=5,"A+",IF('Data Source'!AC86&gt;=4,"A",IF('Data Source'!AC86&gt;=3.5,"A-",IF('Data Source'!AC86&gt;=3,"B",IF('Data Source'!AC86&gt;=2,"C",IF('Data Source'!AC86&gt;=1,"D","F")))))))</f>
        <v/>
      </c>
      <c r="L86" s="3">
        <f>IF('Data Source'!B86="","",IF('Data Source'!AD86&gt;=5,"A+",IF('Data Source'!AD86&gt;=4,"A",IF('Data Source'!AD86&gt;=3.5,"A-",IF('Data Source'!AD86&gt;=3,"B",IF('Data Source'!AD86&gt;=2,"C",IF('Data Source'!AD86&gt;=1,"D","F")))))))</f>
        <v/>
      </c>
      <c r="M86" s="3">
        <f>IF('Data Source'!B86="","",IF('Data Source'!AE86&gt;=5,"A+",IF('Data Source'!AE86&gt;=4,"A",IF('Data Source'!AE86&gt;=3.5,"A-",IF('Data Source'!AE86&gt;=3,"B",IF('Data Source'!AE86&gt;=2,"C",IF('Data Source'!AE86&gt;=1,"D","F")))))))</f>
        <v/>
      </c>
      <c r="N86" s="3">
        <f>IF('Data Source'!B86="","",IF('Data Source'!AF86&gt;=5,"A+",IF('Data Source'!AF86&gt;=4,"A",IF('Data Source'!AF86&gt;=3.5,"A-",IF('Data Source'!AF86&gt;=3,"B",IF('Data Source'!AF86&gt;=2,"C",IF('Data Source'!AF86&gt;=1,"D","F")))))))</f>
        <v/>
      </c>
      <c r="O86" s="3">
        <f>IF('Data Source'!B86="","",IF('Data Source'!AG86&gt;=5,"A+",IF('Data Source'!AG86&gt;=4,"A",IF('Data Source'!AG86&gt;=3.5,"A-",IF('Data Source'!AG86&gt;=3,"B",IF('Data Source'!AG86&gt;=2,"C",IF('Data Source'!AG86&gt;=1,"D","F")))))))</f>
        <v/>
      </c>
      <c r="P86" s="5">
        <f>IF('Data Source'!B86="","",'Data Source'!R86)</f>
        <v/>
      </c>
      <c r="Q86" s="3">
        <f>IF('Data Source'!B86="","",'Data Source'!S86)</f>
        <v/>
      </c>
    </row>
    <row r="87">
      <c r="A87" s="3">
        <f>IF('Data Source'!B87="","",'Data Source'!A87)</f>
        <v/>
      </c>
      <c r="B87">
        <f>IF('Data Source'!B87="","",'Data Source'!B87)</f>
        <v/>
      </c>
      <c r="C87" s="3">
        <f>IF('Data Source'!B87="","",IF('Data Source'!U87&gt;=5,"A+",IF('Data Source'!U87&gt;=4,"A",IF('Data Source'!U87&gt;=3.5,"A-",IF('Data Source'!U87&gt;=3,"B",IF('Data Source'!U87&gt;=2,"C",IF('Data Source'!U87&gt;=1,"D","F")))))))</f>
        <v/>
      </c>
      <c r="D87" s="3">
        <f>IF('Data Source'!B87="","",IF('Data Source'!V87&gt;=5,"A+",IF('Data Source'!V87&gt;=4,"A",IF('Data Source'!V87&gt;=3.5,"A-",IF('Data Source'!V87&gt;=3,"B",IF('Data Source'!V87&gt;=2,"C",IF('Data Source'!V87&gt;=1,"D","F")))))))</f>
        <v/>
      </c>
      <c r="E87" s="3">
        <f>IF('Data Source'!B87="","",IF('Data Source'!W87&gt;=5,"A+",IF('Data Source'!W87&gt;=4,"A",IF('Data Source'!W87&gt;=3.5,"A-",IF('Data Source'!W87&gt;=3,"B",IF('Data Source'!W87&gt;=2,"C",IF('Data Source'!W87&gt;=1,"D","F")))))))</f>
        <v/>
      </c>
      <c r="F87" s="3">
        <f>IF('Data Source'!B87="","",IF('Data Source'!X87&gt;=5,"A+",IF('Data Source'!X87&gt;=4,"A",IF('Data Source'!X87&gt;=3.5,"A-",IF('Data Source'!X87&gt;=3,"B",IF('Data Source'!X87&gt;=2,"C",IF('Data Source'!X87&gt;=1,"D","F")))))))</f>
        <v/>
      </c>
      <c r="G87" s="3">
        <f>IF('Data Source'!B87="","",IF('Data Source'!Y87&gt;=5,"A+",IF('Data Source'!Y87&gt;=4,"A",IF('Data Source'!Y87&gt;=3.5,"A-",IF('Data Source'!Y87&gt;=3,"B",IF('Data Source'!Y87&gt;=2,"C",IF('Data Source'!Y87&gt;=1,"D","F")))))))</f>
        <v/>
      </c>
      <c r="H87" s="3">
        <f>IF('Data Source'!B87="","",IF('Data Source'!Z87&gt;=5,"A+",IF('Data Source'!Z87&gt;=4,"A",IF('Data Source'!Z87&gt;=3.5,"A-",IF('Data Source'!Z87&gt;=3,"B",IF('Data Source'!Z87&gt;=2,"C",IF('Data Source'!Z87&gt;=1,"D","F")))))))</f>
        <v/>
      </c>
      <c r="I87" s="3">
        <f>IF('Data Source'!B87="","",IF('Data Source'!AA87&gt;=5,"A+",IF('Data Source'!AA87&gt;=4,"A",IF('Data Source'!AA87&gt;=3.5,"A-",IF('Data Source'!AA87&gt;=3,"B",IF('Data Source'!AA87&gt;=2,"C",IF('Data Source'!AA87&gt;=1,"D","F")))))))</f>
        <v/>
      </c>
      <c r="J87" s="3">
        <f>IF('Data Source'!B87="","",IF('Data Source'!AB87&gt;=5,"A+",IF('Data Source'!AB87&gt;=4,"A",IF('Data Source'!AB87&gt;=3.5,"A-",IF('Data Source'!AB87&gt;=3,"B",IF('Data Source'!AB87&gt;=2,"C",IF('Data Source'!AB87&gt;=1,"D","F")))))))</f>
        <v/>
      </c>
      <c r="K87" s="3">
        <f>IF('Data Source'!B87="","",IF('Data Source'!AC87&gt;=5,"A+",IF('Data Source'!AC87&gt;=4,"A",IF('Data Source'!AC87&gt;=3.5,"A-",IF('Data Source'!AC87&gt;=3,"B",IF('Data Source'!AC87&gt;=2,"C",IF('Data Source'!AC87&gt;=1,"D","F")))))))</f>
        <v/>
      </c>
      <c r="L87" s="3">
        <f>IF('Data Source'!B87="","",IF('Data Source'!AD87&gt;=5,"A+",IF('Data Source'!AD87&gt;=4,"A",IF('Data Source'!AD87&gt;=3.5,"A-",IF('Data Source'!AD87&gt;=3,"B",IF('Data Source'!AD87&gt;=2,"C",IF('Data Source'!AD87&gt;=1,"D","F")))))))</f>
        <v/>
      </c>
      <c r="M87" s="3">
        <f>IF('Data Source'!B87="","",IF('Data Source'!AE87&gt;=5,"A+",IF('Data Source'!AE87&gt;=4,"A",IF('Data Source'!AE87&gt;=3.5,"A-",IF('Data Source'!AE87&gt;=3,"B",IF('Data Source'!AE87&gt;=2,"C",IF('Data Source'!AE87&gt;=1,"D","F")))))))</f>
        <v/>
      </c>
      <c r="N87" s="3">
        <f>IF('Data Source'!B87="","",IF('Data Source'!AF87&gt;=5,"A+",IF('Data Source'!AF87&gt;=4,"A",IF('Data Source'!AF87&gt;=3.5,"A-",IF('Data Source'!AF87&gt;=3,"B",IF('Data Source'!AF87&gt;=2,"C",IF('Data Source'!AF87&gt;=1,"D","F")))))))</f>
        <v/>
      </c>
      <c r="O87" s="3">
        <f>IF('Data Source'!B87="","",IF('Data Source'!AG87&gt;=5,"A+",IF('Data Source'!AG87&gt;=4,"A",IF('Data Source'!AG87&gt;=3.5,"A-",IF('Data Source'!AG87&gt;=3,"B",IF('Data Source'!AG87&gt;=2,"C",IF('Data Source'!AG87&gt;=1,"D","F")))))))</f>
        <v/>
      </c>
      <c r="P87" s="5">
        <f>IF('Data Source'!B87="","",'Data Source'!R87)</f>
        <v/>
      </c>
      <c r="Q87" s="3">
        <f>IF('Data Source'!B87="","",'Data Source'!S87)</f>
        <v/>
      </c>
    </row>
    <row r="88">
      <c r="A88" s="3">
        <f>IF('Data Source'!B88="","",'Data Source'!A88)</f>
        <v/>
      </c>
      <c r="B88">
        <f>IF('Data Source'!B88="","",'Data Source'!B88)</f>
        <v/>
      </c>
      <c r="C88" s="3">
        <f>IF('Data Source'!B88="","",IF('Data Source'!U88&gt;=5,"A+",IF('Data Source'!U88&gt;=4,"A",IF('Data Source'!U88&gt;=3.5,"A-",IF('Data Source'!U88&gt;=3,"B",IF('Data Source'!U88&gt;=2,"C",IF('Data Source'!U88&gt;=1,"D","F")))))))</f>
        <v/>
      </c>
      <c r="D88" s="3">
        <f>IF('Data Source'!B88="","",IF('Data Source'!V88&gt;=5,"A+",IF('Data Source'!V88&gt;=4,"A",IF('Data Source'!V88&gt;=3.5,"A-",IF('Data Source'!V88&gt;=3,"B",IF('Data Source'!V88&gt;=2,"C",IF('Data Source'!V88&gt;=1,"D","F")))))))</f>
        <v/>
      </c>
      <c r="E88" s="3">
        <f>IF('Data Source'!B88="","",IF('Data Source'!W88&gt;=5,"A+",IF('Data Source'!W88&gt;=4,"A",IF('Data Source'!W88&gt;=3.5,"A-",IF('Data Source'!W88&gt;=3,"B",IF('Data Source'!W88&gt;=2,"C",IF('Data Source'!W88&gt;=1,"D","F")))))))</f>
        <v/>
      </c>
      <c r="F88" s="3">
        <f>IF('Data Source'!B88="","",IF('Data Source'!X88&gt;=5,"A+",IF('Data Source'!X88&gt;=4,"A",IF('Data Source'!X88&gt;=3.5,"A-",IF('Data Source'!X88&gt;=3,"B",IF('Data Source'!X88&gt;=2,"C",IF('Data Source'!X88&gt;=1,"D","F")))))))</f>
        <v/>
      </c>
      <c r="G88" s="3">
        <f>IF('Data Source'!B88="","",IF('Data Source'!Y88&gt;=5,"A+",IF('Data Source'!Y88&gt;=4,"A",IF('Data Source'!Y88&gt;=3.5,"A-",IF('Data Source'!Y88&gt;=3,"B",IF('Data Source'!Y88&gt;=2,"C",IF('Data Source'!Y88&gt;=1,"D","F")))))))</f>
        <v/>
      </c>
      <c r="H88" s="3">
        <f>IF('Data Source'!B88="","",IF('Data Source'!Z88&gt;=5,"A+",IF('Data Source'!Z88&gt;=4,"A",IF('Data Source'!Z88&gt;=3.5,"A-",IF('Data Source'!Z88&gt;=3,"B",IF('Data Source'!Z88&gt;=2,"C",IF('Data Source'!Z88&gt;=1,"D","F")))))))</f>
        <v/>
      </c>
      <c r="I88" s="3">
        <f>IF('Data Source'!B88="","",IF('Data Source'!AA88&gt;=5,"A+",IF('Data Source'!AA88&gt;=4,"A",IF('Data Source'!AA88&gt;=3.5,"A-",IF('Data Source'!AA88&gt;=3,"B",IF('Data Source'!AA88&gt;=2,"C",IF('Data Source'!AA88&gt;=1,"D","F")))))))</f>
        <v/>
      </c>
      <c r="J88" s="3">
        <f>IF('Data Source'!B88="","",IF('Data Source'!AB88&gt;=5,"A+",IF('Data Source'!AB88&gt;=4,"A",IF('Data Source'!AB88&gt;=3.5,"A-",IF('Data Source'!AB88&gt;=3,"B",IF('Data Source'!AB88&gt;=2,"C",IF('Data Source'!AB88&gt;=1,"D","F")))))))</f>
        <v/>
      </c>
      <c r="K88" s="3">
        <f>IF('Data Source'!B88="","",IF('Data Source'!AC88&gt;=5,"A+",IF('Data Source'!AC88&gt;=4,"A",IF('Data Source'!AC88&gt;=3.5,"A-",IF('Data Source'!AC88&gt;=3,"B",IF('Data Source'!AC88&gt;=2,"C",IF('Data Source'!AC88&gt;=1,"D","F")))))))</f>
        <v/>
      </c>
      <c r="L88" s="3">
        <f>IF('Data Source'!B88="","",IF('Data Source'!AD88&gt;=5,"A+",IF('Data Source'!AD88&gt;=4,"A",IF('Data Source'!AD88&gt;=3.5,"A-",IF('Data Source'!AD88&gt;=3,"B",IF('Data Source'!AD88&gt;=2,"C",IF('Data Source'!AD88&gt;=1,"D","F")))))))</f>
        <v/>
      </c>
      <c r="M88" s="3">
        <f>IF('Data Source'!B88="","",IF('Data Source'!AE88&gt;=5,"A+",IF('Data Source'!AE88&gt;=4,"A",IF('Data Source'!AE88&gt;=3.5,"A-",IF('Data Source'!AE88&gt;=3,"B",IF('Data Source'!AE88&gt;=2,"C",IF('Data Source'!AE88&gt;=1,"D","F")))))))</f>
        <v/>
      </c>
      <c r="N88" s="3">
        <f>IF('Data Source'!B88="","",IF('Data Source'!AF88&gt;=5,"A+",IF('Data Source'!AF88&gt;=4,"A",IF('Data Source'!AF88&gt;=3.5,"A-",IF('Data Source'!AF88&gt;=3,"B",IF('Data Source'!AF88&gt;=2,"C",IF('Data Source'!AF88&gt;=1,"D","F")))))))</f>
        <v/>
      </c>
      <c r="O88" s="3">
        <f>IF('Data Source'!B88="","",IF('Data Source'!AG88&gt;=5,"A+",IF('Data Source'!AG88&gt;=4,"A",IF('Data Source'!AG88&gt;=3.5,"A-",IF('Data Source'!AG88&gt;=3,"B",IF('Data Source'!AG88&gt;=2,"C",IF('Data Source'!AG88&gt;=1,"D","F")))))))</f>
        <v/>
      </c>
      <c r="P88" s="5">
        <f>IF('Data Source'!B88="","",'Data Source'!R88)</f>
        <v/>
      </c>
      <c r="Q88" s="3">
        <f>IF('Data Source'!B88="","",'Data Source'!S88)</f>
        <v/>
      </c>
    </row>
    <row r="89">
      <c r="A89" s="3">
        <f>IF('Data Source'!B89="","",'Data Source'!A89)</f>
        <v/>
      </c>
      <c r="B89">
        <f>IF('Data Source'!B89="","",'Data Source'!B89)</f>
        <v/>
      </c>
      <c r="C89" s="3">
        <f>IF('Data Source'!B89="","",IF('Data Source'!U89&gt;=5,"A+",IF('Data Source'!U89&gt;=4,"A",IF('Data Source'!U89&gt;=3.5,"A-",IF('Data Source'!U89&gt;=3,"B",IF('Data Source'!U89&gt;=2,"C",IF('Data Source'!U89&gt;=1,"D","F")))))))</f>
        <v/>
      </c>
      <c r="D89" s="3">
        <f>IF('Data Source'!B89="","",IF('Data Source'!V89&gt;=5,"A+",IF('Data Source'!V89&gt;=4,"A",IF('Data Source'!V89&gt;=3.5,"A-",IF('Data Source'!V89&gt;=3,"B",IF('Data Source'!V89&gt;=2,"C",IF('Data Source'!V89&gt;=1,"D","F")))))))</f>
        <v/>
      </c>
      <c r="E89" s="3">
        <f>IF('Data Source'!B89="","",IF('Data Source'!W89&gt;=5,"A+",IF('Data Source'!W89&gt;=4,"A",IF('Data Source'!W89&gt;=3.5,"A-",IF('Data Source'!W89&gt;=3,"B",IF('Data Source'!W89&gt;=2,"C",IF('Data Source'!W89&gt;=1,"D","F")))))))</f>
        <v/>
      </c>
      <c r="F89" s="3">
        <f>IF('Data Source'!B89="","",IF('Data Source'!X89&gt;=5,"A+",IF('Data Source'!X89&gt;=4,"A",IF('Data Source'!X89&gt;=3.5,"A-",IF('Data Source'!X89&gt;=3,"B",IF('Data Source'!X89&gt;=2,"C",IF('Data Source'!X89&gt;=1,"D","F")))))))</f>
        <v/>
      </c>
      <c r="G89" s="3">
        <f>IF('Data Source'!B89="","",IF('Data Source'!Y89&gt;=5,"A+",IF('Data Source'!Y89&gt;=4,"A",IF('Data Source'!Y89&gt;=3.5,"A-",IF('Data Source'!Y89&gt;=3,"B",IF('Data Source'!Y89&gt;=2,"C",IF('Data Source'!Y89&gt;=1,"D","F")))))))</f>
        <v/>
      </c>
      <c r="H89" s="3">
        <f>IF('Data Source'!B89="","",IF('Data Source'!Z89&gt;=5,"A+",IF('Data Source'!Z89&gt;=4,"A",IF('Data Source'!Z89&gt;=3.5,"A-",IF('Data Source'!Z89&gt;=3,"B",IF('Data Source'!Z89&gt;=2,"C",IF('Data Source'!Z89&gt;=1,"D","F")))))))</f>
        <v/>
      </c>
      <c r="I89" s="3">
        <f>IF('Data Source'!B89="","",IF('Data Source'!AA89&gt;=5,"A+",IF('Data Source'!AA89&gt;=4,"A",IF('Data Source'!AA89&gt;=3.5,"A-",IF('Data Source'!AA89&gt;=3,"B",IF('Data Source'!AA89&gt;=2,"C",IF('Data Source'!AA89&gt;=1,"D","F")))))))</f>
        <v/>
      </c>
      <c r="J89" s="3">
        <f>IF('Data Source'!B89="","",IF('Data Source'!AB89&gt;=5,"A+",IF('Data Source'!AB89&gt;=4,"A",IF('Data Source'!AB89&gt;=3.5,"A-",IF('Data Source'!AB89&gt;=3,"B",IF('Data Source'!AB89&gt;=2,"C",IF('Data Source'!AB89&gt;=1,"D","F")))))))</f>
        <v/>
      </c>
      <c r="K89" s="3">
        <f>IF('Data Source'!B89="","",IF('Data Source'!AC89&gt;=5,"A+",IF('Data Source'!AC89&gt;=4,"A",IF('Data Source'!AC89&gt;=3.5,"A-",IF('Data Source'!AC89&gt;=3,"B",IF('Data Source'!AC89&gt;=2,"C",IF('Data Source'!AC89&gt;=1,"D","F")))))))</f>
        <v/>
      </c>
      <c r="L89" s="3">
        <f>IF('Data Source'!B89="","",IF('Data Source'!AD89&gt;=5,"A+",IF('Data Source'!AD89&gt;=4,"A",IF('Data Source'!AD89&gt;=3.5,"A-",IF('Data Source'!AD89&gt;=3,"B",IF('Data Source'!AD89&gt;=2,"C",IF('Data Source'!AD89&gt;=1,"D","F")))))))</f>
        <v/>
      </c>
      <c r="M89" s="3">
        <f>IF('Data Source'!B89="","",IF('Data Source'!AE89&gt;=5,"A+",IF('Data Source'!AE89&gt;=4,"A",IF('Data Source'!AE89&gt;=3.5,"A-",IF('Data Source'!AE89&gt;=3,"B",IF('Data Source'!AE89&gt;=2,"C",IF('Data Source'!AE89&gt;=1,"D","F")))))))</f>
        <v/>
      </c>
      <c r="N89" s="3">
        <f>IF('Data Source'!B89="","",IF('Data Source'!AF89&gt;=5,"A+",IF('Data Source'!AF89&gt;=4,"A",IF('Data Source'!AF89&gt;=3.5,"A-",IF('Data Source'!AF89&gt;=3,"B",IF('Data Source'!AF89&gt;=2,"C",IF('Data Source'!AF89&gt;=1,"D","F")))))))</f>
        <v/>
      </c>
      <c r="O89" s="3">
        <f>IF('Data Source'!B89="","",IF('Data Source'!AG89&gt;=5,"A+",IF('Data Source'!AG89&gt;=4,"A",IF('Data Source'!AG89&gt;=3.5,"A-",IF('Data Source'!AG89&gt;=3,"B",IF('Data Source'!AG89&gt;=2,"C",IF('Data Source'!AG89&gt;=1,"D","F")))))))</f>
        <v/>
      </c>
      <c r="P89" s="5">
        <f>IF('Data Source'!B89="","",'Data Source'!R89)</f>
        <v/>
      </c>
      <c r="Q89" s="3">
        <f>IF('Data Source'!B89="","",'Data Source'!S89)</f>
        <v/>
      </c>
    </row>
    <row r="90">
      <c r="A90" s="3">
        <f>IF('Data Source'!B90="","",'Data Source'!A90)</f>
        <v/>
      </c>
      <c r="B90">
        <f>IF('Data Source'!B90="","",'Data Source'!B90)</f>
        <v/>
      </c>
      <c r="C90" s="3">
        <f>IF('Data Source'!B90="","",IF('Data Source'!U90&gt;=5,"A+",IF('Data Source'!U90&gt;=4,"A",IF('Data Source'!U90&gt;=3.5,"A-",IF('Data Source'!U90&gt;=3,"B",IF('Data Source'!U90&gt;=2,"C",IF('Data Source'!U90&gt;=1,"D","F")))))))</f>
        <v/>
      </c>
      <c r="D90" s="3">
        <f>IF('Data Source'!B90="","",IF('Data Source'!V90&gt;=5,"A+",IF('Data Source'!V90&gt;=4,"A",IF('Data Source'!V90&gt;=3.5,"A-",IF('Data Source'!V90&gt;=3,"B",IF('Data Source'!V90&gt;=2,"C",IF('Data Source'!V90&gt;=1,"D","F")))))))</f>
        <v/>
      </c>
      <c r="E90" s="3">
        <f>IF('Data Source'!B90="","",IF('Data Source'!W90&gt;=5,"A+",IF('Data Source'!W90&gt;=4,"A",IF('Data Source'!W90&gt;=3.5,"A-",IF('Data Source'!W90&gt;=3,"B",IF('Data Source'!W90&gt;=2,"C",IF('Data Source'!W90&gt;=1,"D","F")))))))</f>
        <v/>
      </c>
      <c r="F90" s="3">
        <f>IF('Data Source'!B90="","",IF('Data Source'!X90&gt;=5,"A+",IF('Data Source'!X90&gt;=4,"A",IF('Data Source'!X90&gt;=3.5,"A-",IF('Data Source'!X90&gt;=3,"B",IF('Data Source'!X90&gt;=2,"C",IF('Data Source'!X90&gt;=1,"D","F")))))))</f>
        <v/>
      </c>
      <c r="G90" s="3">
        <f>IF('Data Source'!B90="","",IF('Data Source'!Y90&gt;=5,"A+",IF('Data Source'!Y90&gt;=4,"A",IF('Data Source'!Y90&gt;=3.5,"A-",IF('Data Source'!Y90&gt;=3,"B",IF('Data Source'!Y90&gt;=2,"C",IF('Data Source'!Y90&gt;=1,"D","F")))))))</f>
        <v/>
      </c>
      <c r="H90" s="3">
        <f>IF('Data Source'!B90="","",IF('Data Source'!Z90&gt;=5,"A+",IF('Data Source'!Z90&gt;=4,"A",IF('Data Source'!Z90&gt;=3.5,"A-",IF('Data Source'!Z90&gt;=3,"B",IF('Data Source'!Z90&gt;=2,"C",IF('Data Source'!Z90&gt;=1,"D","F")))))))</f>
        <v/>
      </c>
      <c r="I90" s="3">
        <f>IF('Data Source'!B90="","",IF('Data Source'!AA90&gt;=5,"A+",IF('Data Source'!AA90&gt;=4,"A",IF('Data Source'!AA90&gt;=3.5,"A-",IF('Data Source'!AA90&gt;=3,"B",IF('Data Source'!AA90&gt;=2,"C",IF('Data Source'!AA90&gt;=1,"D","F")))))))</f>
        <v/>
      </c>
      <c r="J90" s="3">
        <f>IF('Data Source'!B90="","",IF('Data Source'!AB90&gt;=5,"A+",IF('Data Source'!AB90&gt;=4,"A",IF('Data Source'!AB90&gt;=3.5,"A-",IF('Data Source'!AB90&gt;=3,"B",IF('Data Source'!AB90&gt;=2,"C",IF('Data Source'!AB90&gt;=1,"D","F")))))))</f>
        <v/>
      </c>
      <c r="K90" s="3">
        <f>IF('Data Source'!B90="","",IF('Data Source'!AC90&gt;=5,"A+",IF('Data Source'!AC90&gt;=4,"A",IF('Data Source'!AC90&gt;=3.5,"A-",IF('Data Source'!AC90&gt;=3,"B",IF('Data Source'!AC90&gt;=2,"C",IF('Data Source'!AC90&gt;=1,"D","F")))))))</f>
        <v/>
      </c>
      <c r="L90" s="3">
        <f>IF('Data Source'!B90="","",IF('Data Source'!AD90&gt;=5,"A+",IF('Data Source'!AD90&gt;=4,"A",IF('Data Source'!AD90&gt;=3.5,"A-",IF('Data Source'!AD90&gt;=3,"B",IF('Data Source'!AD90&gt;=2,"C",IF('Data Source'!AD90&gt;=1,"D","F")))))))</f>
        <v/>
      </c>
      <c r="M90" s="3">
        <f>IF('Data Source'!B90="","",IF('Data Source'!AE90&gt;=5,"A+",IF('Data Source'!AE90&gt;=4,"A",IF('Data Source'!AE90&gt;=3.5,"A-",IF('Data Source'!AE90&gt;=3,"B",IF('Data Source'!AE90&gt;=2,"C",IF('Data Source'!AE90&gt;=1,"D","F")))))))</f>
        <v/>
      </c>
      <c r="N90" s="3">
        <f>IF('Data Source'!B90="","",IF('Data Source'!AF90&gt;=5,"A+",IF('Data Source'!AF90&gt;=4,"A",IF('Data Source'!AF90&gt;=3.5,"A-",IF('Data Source'!AF90&gt;=3,"B",IF('Data Source'!AF90&gt;=2,"C",IF('Data Source'!AF90&gt;=1,"D","F")))))))</f>
        <v/>
      </c>
      <c r="O90" s="3">
        <f>IF('Data Source'!B90="","",IF('Data Source'!AG90&gt;=5,"A+",IF('Data Source'!AG90&gt;=4,"A",IF('Data Source'!AG90&gt;=3.5,"A-",IF('Data Source'!AG90&gt;=3,"B",IF('Data Source'!AG90&gt;=2,"C",IF('Data Source'!AG90&gt;=1,"D","F")))))))</f>
        <v/>
      </c>
      <c r="P90" s="5">
        <f>IF('Data Source'!B90="","",'Data Source'!R90)</f>
        <v/>
      </c>
      <c r="Q90" s="3">
        <f>IF('Data Source'!B90="","",'Data Source'!S90)</f>
        <v/>
      </c>
    </row>
    <row r="91">
      <c r="A91" s="3">
        <f>IF('Data Source'!B91="","",'Data Source'!A91)</f>
        <v/>
      </c>
      <c r="B91">
        <f>IF('Data Source'!B91="","",'Data Source'!B91)</f>
        <v/>
      </c>
      <c r="C91" s="3">
        <f>IF('Data Source'!B91="","",IF('Data Source'!U91&gt;=5,"A+",IF('Data Source'!U91&gt;=4,"A",IF('Data Source'!U91&gt;=3.5,"A-",IF('Data Source'!U91&gt;=3,"B",IF('Data Source'!U91&gt;=2,"C",IF('Data Source'!U91&gt;=1,"D","F")))))))</f>
        <v/>
      </c>
      <c r="D91" s="3">
        <f>IF('Data Source'!B91="","",IF('Data Source'!V91&gt;=5,"A+",IF('Data Source'!V91&gt;=4,"A",IF('Data Source'!V91&gt;=3.5,"A-",IF('Data Source'!V91&gt;=3,"B",IF('Data Source'!V91&gt;=2,"C",IF('Data Source'!V91&gt;=1,"D","F")))))))</f>
        <v/>
      </c>
      <c r="E91" s="3">
        <f>IF('Data Source'!B91="","",IF('Data Source'!W91&gt;=5,"A+",IF('Data Source'!W91&gt;=4,"A",IF('Data Source'!W91&gt;=3.5,"A-",IF('Data Source'!W91&gt;=3,"B",IF('Data Source'!W91&gt;=2,"C",IF('Data Source'!W91&gt;=1,"D","F")))))))</f>
        <v/>
      </c>
      <c r="F91" s="3">
        <f>IF('Data Source'!B91="","",IF('Data Source'!X91&gt;=5,"A+",IF('Data Source'!X91&gt;=4,"A",IF('Data Source'!X91&gt;=3.5,"A-",IF('Data Source'!X91&gt;=3,"B",IF('Data Source'!X91&gt;=2,"C",IF('Data Source'!X91&gt;=1,"D","F")))))))</f>
        <v/>
      </c>
      <c r="G91" s="3">
        <f>IF('Data Source'!B91="","",IF('Data Source'!Y91&gt;=5,"A+",IF('Data Source'!Y91&gt;=4,"A",IF('Data Source'!Y91&gt;=3.5,"A-",IF('Data Source'!Y91&gt;=3,"B",IF('Data Source'!Y91&gt;=2,"C",IF('Data Source'!Y91&gt;=1,"D","F")))))))</f>
        <v/>
      </c>
      <c r="H91" s="3">
        <f>IF('Data Source'!B91="","",IF('Data Source'!Z91&gt;=5,"A+",IF('Data Source'!Z91&gt;=4,"A",IF('Data Source'!Z91&gt;=3.5,"A-",IF('Data Source'!Z91&gt;=3,"B",IF('Data Source'!Z91&gt;=2,"C",IF('Data Source'!Z91&gt;=1,"D","F")))))))</f>
        <v/>
      </c>
      <c r="I91" s="3">
        <f>IF('Data Source'!B91="","",IF('Data Source'!AA91&gt;=5,"A+",IF('Data Source'!AA91&gt;=4,"A",IF('Data Source'!AA91&gt;=3.5,"A-",IF('Data Source'!AA91&gt;=3,"B",IF('Data Source'!AA91&gt;=2,"C",IF('Data Source'!AA91&gt;=1,"D","F")))))))</f>
        <v/>
      </c>
      <c r="J91" s="3">
        <f>IF('Data Source'!B91="","",IF('Data Source'!AB91&gt;=5,"A+",IF('Data Source'!AB91&gt;=4,"A",IF('Data Source'!AB91&gt;=3.5,"A-",IF('Data Source'!AB91&gt;=3,"B",IF('Data Source'!AB91&gt;=2,"C",IF('Data Source'!AB91&gt;=1,"D","F")))))))</f>
        <v/>
      </c>
      <c r="K91" s="3">
        <f>IF('Data Source'!B91="","",IF('Data Source'!AC91&gt;=5,"A+",IF('Data Source'!AC91&gt;=4,"A",IF('Data Source'!AC91&gt;=3.5,"A-",IF('Data Source'!AC91&gt;=3,"B",IF('Data Source'!AC91&gt;=2,"C",IF('Data Source'!AC91&gt;=1,"D","F")))))))</f>
        <v/>
      </c>
      <c r="L91" s="3">
        <f>IF('Data Source'!B91="","",IF('Data Source'!AD91&gt;=5,"A+",IF('Data Source'!AD91&gt;=4,"A",IF('Data Source'!AD91&gt;=3.5,"A-",IF('Data Source'!AD91&gt;=3,"B",IF('Data Source'!AD91&gt;=2,"C",IF('Data Source'!AD91&gt;=1,"D","F")))))))</f>
        <v/>
      </c>
      <c r="M91" s="3">
        <f>IF('Data Source'!B91="","",IF('Data Source'!AE91&gt;=5,"A+",IF('Data Source'!AE91&gt;=4,"A",IF('Data Source'!AE91&gt;=3.5,"A-",IF('Data Source'!AE91&gt;=3,"B",IF('Data Source'!AE91&gt;=2,"C",IF('Data Source'!AE91&gt;=1,"D","F")))))))</f>
        <v/>
      </c>
      <c r="N91" s="3">
        <f>IF('Data Source'!B91="","",IF('Data Source'!AF91&gt;=5,"A+",IF('Data Source'!AF91&gt;=4,"A",IF('Data Source'!AF91&gt;=3.5,"A-",IF('Data Source'!AF91&gt;=3,"B",IF('Data Source'!AF91&gt;=2,"C",IF('Data Source'!AF91&gt;=1,"D","F")))))))</f>
        <v/>
      </c>
      <c r="O91" s="3">
        <f>IF('Data Source'!B91="","",IF('Data Source'!AG91&gt;=5,"A+",IF('Data Source'!AG91&gt;=4,"A",IF('Data Source'!AG91&gt;=3.5,"A-",IF('Data Source'!AG91&gt;=3,"B",IF('Data Source'!AG91&gt;=2,"C",IF('Data Source'!AG91&gt;=1,"D","F")))))))</f>
        <v/>
      </c>
      <c r="P91" s="5">
        <f>IF('Data Source'!B91="","",'Data Source'!R91)</f>
        <v/>
      </c>
      <c r="Q91" s="3">
        <f>IF('Data Source'!B91="","",'Data Source'!S91)</f>
        <v/>
      </c>
    </row>
    <row r="92">
      <c r="A92" s="3">
        <f>IF('Data Source'!B92="","",'Data Source'!A92)</f>
        <v/>
      </c>
      <c r="B92">
        <f>IF('Data Source'!B92="","",'Data Source'!B92)</f>
        <v/>
      </c>
      <c r="C92" s="3">
        <f>IF('Data Source'!B92="","",IF('Data Source'!U92&gt;=5,"A+",IF('Data Source'!U92&gt;=4,"A",IF('Data Source'!U92&gt;=3.5,"A-",IF('Data Source'!U92&gt;=3,"B",IF('Data Source'!U92&gt;=2,"C",IF('Data Source'!U92&gt;=1,"D","F")))))))</f>
        <v/>
      </c>
      <c r="D92" s="3">
        <f>IF('Data Source'!B92="","",IF('Data Source'!V92&gt;=5,"A+",IF('Data Source'!V92&gt;=4,"A",IF('Data Source'!V92&gt;=3.5,"A-",IF('Data Source'!V92&gt;=3,"B",IF('Data Source'!V92&gt;=2,"C",IF('Data Source'!V92&gt;=1,"D","F")))))))</f>
        <v/>
      </c>
      <c r="E92" s="3">
        <f>IF('Data Source'!B92="","",IF('Data Source'!W92&gt;=5,"A+",IF('Data Source'!W92&gt;=4,"A",IF('Data Source'!W92&gt;=3.5,"A-",IF('Data Source'!W92&gt;=3,"B",IF('Data Source'!W92&gt;=2,"C",IF('Data Source'!W92&gt;=1,"D","F")))))))</f>
        <v/>
      </c>
      <c r="F92" s="3">
        <f>IF('Data Source'!B92="","",IF('Data Source'!X92&gt;=5,"A+",IF('Data Source'!X92&gt;=4,"A",IF('Data Source'!X92&gt;=3.5,"A-",IF('Data Source'!X92&gt;=3,"B",IF('Data Source'!X92&gt;=2,"C",IF('Data Source'!X92&gt;=1,"D","F")))))))</f>
        <v/>
      </c>
      <c r="G92" s="3">
        <f>IF('Data Source'!B92="","",IF('Data Source'!Y92&gt;=5,"A+",IF('Data Source'!Y92&gt;=4,"A",IF('Data Source'!Y92&gt;=3.5,"A-",IF('Data Source'!Y92&gt;=3,"B",IF('Data Source'!Y92&gt;=2,"C",IF('Data Source'!Y92&gt;=1,"D","F")))))))</f>
        <v/>
      </c>
      <c r="H92" s="3">
        <f>IF('Data Source'!B92="","",IF('Data Source'!Z92&gt;=5,"A+",IF('Data Source'!Z92&gt;=4,"A",IF('Data Source'!Z92&gt;=3.5,"A-",IF('Data Source'!Z92&gt;=3,"B",IF('Data Source'!Z92&gt;=2,"C",IF('Data Source'!Z92&gt;=1,"D","F")))))))</f>
        <v/>
      </c>
      <c r="I92" s="3">
        <f>IF('Data Source'!B92="","",IF('Data Source'!AA92&gt;=5,"A+",IF('Data Source'!AA92&gt;=4,"A",IF('Data Source'!AA92&gt;=3.5,"A-",IF('Data Source'!AA92&gt;=3,"B",IF('Data Source'!AA92&gt;=2,"C",IF('Data Source'!AA92&gt;=1,"D","F")))))))</f>
        <v/>
      </c>
      <c r="J92" s="3">
        <f>IF('Data Source'!B92="","",IF('Data Source'!AB92&gt;=5,"A+",IF('Data Source'!AB92&gt;=4,"A",IF('Data Source'!AB92&gt;=3.5,"A-",IF('Data Source'!AB92&gt;=3,"B",IF('Data Source'!AB92&gt;=2,"C",IF('Data Source'!AB92&gt;=1,"D","F")))))))</f>
        <v/>
      </c>
      <c r="K92" s="3">
        <f>IF('Data Source'!B92="","",IF('Data Source'!AC92&gt;=5,"A+",IF('Data Source'!AC92&gt;=4,"A",IF('Data Source'!AC92&gt;=3.5,"A-",IF('Data Source'!AC92&gt;=3,"B",IF('Data Source'!AC92&gt;=2,"C",IF('Data Source'!AC92&gt;=1,"D","F")))))))</f>
        <v/>
      </c>
      <c r="L92" s="3">
        <f>IF('Data Source'!B92="","",IF('Data Source'!AD92&gt;=5,"A+",IF('Data Source'!AD92&gt;=4,"A",IF('Data Source'!AD92&gt;=3.5,"A-",IF('Data Source'!AD92&gt;=3,"B",IF('Data Source'!AD92&gt;=2,"C",IF('Data Source'!AD92&gt;=1,"D","F")))))))</f>
        <v/>
      </c>
      <c r="M92" s="3">
        <f>IF('Data Source'!B92="","",IF('Data Source'!AE92&gt;=5,"A+",IF('Data Source'!AE92&gt;=4,"A",IF('Data Source'!AE92&gt;=3.5,"A-",IF('Data Source'!AE92&gt;=3,"B",IF('Data Source'!AE92&gt;=2,"C",IF('Data Source'!AE92&gt;=1,"D","F")))))))</f>
        <v/>
      </c>
      <c r="N92" s="3">
        <f>IF('Data Source'!B92="","",IF('Data Source'!AF92&gt;=5,"A+",IF('Data Source'!AF92&gt;=4,"A",IF('Data Source'!AF92&gt;=3.5,"A-",IF('Data Source'!AF92&gt;=3,"B",IF('Data Source'!AF92&gt;=2,"C",IF('Data Source'!AF92&gt;=1,"D","F")))))))</f>
        <v/>
      </c>
      <c r="O92" s="3">
        <f>IF('Data Source'!B92="","",IF('Data Source'!AG92&gt;=5,"A+",IF('Data Source'!AG92&gt;=4,"A",IF('Data Source'!AG92&gt;=3.5,"A-",IF('Data Source'!AG92&gt;=3,"B",IF('Data Source'!AG92&gt;=2,"C",IF('Data Source'!AG92&gt;=1,"D","F")))))))</f>
        <v/>
      </c>
      <c r="P92" s="5">
        <f>IF('Data Source'!B92="","",'Data Source'!R92)</f>
        <v/>
      </c>
      <c r="Q92" s="3">
        <f>IF('Data Source'!B92="","",'Data Source'!S92)</f>
        <v/>
      </c>
    </row>
    <row r="93">
      <c r="A93" s="3">
        <f>IF('Data Source'!B93="","",'Data Source'!A93)</f>
        <v/>
      </c>
      <c r="B93">
        <f>IF('Data Source'!B93="","",'Data Source'!B93)</f>
        <v/>
      </c>
      <c r="C93" s="3">
        <f>IF('Data Source'!B93="","",IF('Data Source'!U93&gt;=5,"A+",IF('Data Source'!U93&gt;=4,"A",IF('Data Source'!U93&gt;=3.5,"A-",IF('Data Source'!U93&gt;=3,"B",IF('Data Source'!U93&gt;=2,"C",IF('Data Source'!U93&gt;=1,"D","F")))))))</f>
        <v/>
      </c>
      <c r="D93" s="3">
        <f>IF('Data Source'!B93="","",IF('Data Source'!V93&gt;=5,"A+",IF('Data Source'!V93&gt;=4,"A",IF('Data Source'!V93&gt;=3.5,"A-",IF('Data Source'!V93&gt;=3,"B",IF('Data Source'!V93&gt;=2,"C",IF('Data Source'!V93&gt;=1,"D","F")))))))</f>
        <v/>
      </c>
      <c r="E93" s="3">
        <f>IF('Data Source'!B93="","",IF('Data Source'!W93&gt;=5,"A+",IF('Data Source'!W93&gt;=4,"A",IF('Data Source'!W93&gt;=3.5,"A-",IF('Data Source'!W93&gt;=3,"B",IF('Data Source'!W93&gt;=2,"C",IF('Data Source'!W93&gt;=1,"D","F")))))))</f>
        <v/>
      </c>
      <c r="F93" s="3">
        <f>IF('Data Source'!B93="","",IF('Data Source'!X93&gt;=5,"A+",IF('Data Source'!X93&gt;=4,"A",IF('Data Source'!X93&gt;=3.5,"A-",IF('Data Source'!X93&gt;=3,"B",IF('Data Source'!X93&gt;=2,"C",IF('Data Source'!X93&gt;=1,"D","F")))))))</f>
        <v/>
      </c>
      <c r="G93" s="3">
        <f>IF('Data Source'!B93="","",IF('Data Source'!Y93&gt;=5,"A+",IF('Data Source'!Y93&gt;=4,"A",IF('Data Source'!Y93&gt;=3.5,"A-",IF('Data Source'!Y93&gt;=3,"B",IF('Data Source'!Y93&gt;=2,"C",IF('Data Source'!Y93&gt;=1,"D","F")))))))</f>
        <v/>
      </c>
      <c r="H93" s="3">
        <f>IF('Data Source'!B93="","",IF('Data Source'!Z93&gt;=5,"A+",IF('Data Source'!Z93&gt;=4,"A",IF('Data Source'!Z93&gt;=3.5,"A-",IF('Data Source'!Z93&gt;=3,"B",IF('Data Source'!Z93&gt;=2,"C",IF('Data Source'!Z93&gt;=1,"D","F")))))))</f>
        <v/>
      </c>
      <c r="I93" s="3">
        <f>IF('Data Source'!B93="","",IF('Data Source'!AA93&gt;=5,"A+",IF('Data Source'!AA93&gt;=4,"A",IF('Data Source'!AA93&gt;=3.5,"A-",IF('Data Source'!AA93&gt;=3,"B",IF('Data Source'!AA93&gt;=2,"C",IF('Data Source'!AA93&gt;=1,"D","F")))))))</f>
        <v/>
      </c>
      <c r="J93" s="3">
        <f>IF('Data Source'!B93="","",IF('Data Source'!AB93&gt;=5,"A+",IF('Data Source'!AB93&gt;=4,"A",IF('Data Source'!AB93&gt;=3.5,"A-",IF('Data Source'!AB93&gt;=3,"B",IF('Data Source'!AB93&gt;=2,"C",IF('Data Source'!AB93&gt;=1,"D","F")))))))</f>
        <v/>
      </c>
      <c r="K93" s="3">
        <f>IF('Data Source'!B93="","",IF('Data Source'!AC93&gt;=5,"A+",IF('Data Source'!AC93&gt;=4,"A",IF('Data Source'!AC93&gt;=3.5,"A-",IF('Data Source'!AC93&gt;=3,"B",IF('Data Source'!AC93&gt;=2,"C",IF('Data Source'!AC93&gt;=1,"D","F")))))))</f>
        <v/>
      </c>
      <c r="L93" s="3">
        <f>IF('Data Source'!B93="","",IF('Data Source'!AD93&gt;=5,"A+",IF('Data Source'!AD93&gt;=4,"A",IF('Data Source'!AD93&gt;=3.5,"A-",IF('Data Source'!AD93&gt;=3,"B",IF('Data Source'!AD93&gt;=2,"C",IF('Data Source'!AD93&gt;=1,"D","F")))))))</f>
        <v/>
      </c>
      <c r="M93" s="3">
        <f>IF('Data Source'!B93="","",IF('Data Source'!AE93&gt;=5,"A+",IF('Data Source'!AE93&gt;=4,"A",IF('Data Source'!AE93&gt;=3.5,"A-",IF('Data Source'!AE93&gt;=3,"B",IF('Data Source'!AE93&gt;=2,"C",IF('Data Source'!AE93&gt;=1,"D","F")))))))</f>
        <v/>
      </c>
      <c r="N93" s="3">
        <f>IF('Data Source'!B93="","",IF('Data Source'!AF93&gt;=5,"A+",IF('Data Source'!AF93&gt;=4,"A",IF('Data Source'!AF93&gt;=3.5,"A-",IF('Data Source'!AF93&gt;=3,"B",IF('Data Source'!AF93&gt;=2,"C",IF('Data Source'!AF93&gt;=1,"D","F")))))))</f>
        <v/>
      </c>
      <c r="O93" s="3">
        <f>IF('Data Source'!B93="","",IF('Data Source'!AG93&gt;=5,"A+",IF('Data Source'!AG93&gt;=4,"A",IF('Data Source'!AG93&gt;=3.5,"A-",IF('Data Source'!AG93&gt;=3,"B",IF('Data Source'!AG93&gt;=2,"C",IF('Data Source'!AG93&gt;=1,"D","F")))))))</f>
        <v/>
      </c>
      <c r="P93" s="5">
        <f>IF('Data Source'!B93="","",'Data Source'!R93)</f>
        <v/>
      </c>
      <c r="Q93" s="3">
        <f>IF('Data Source'!B93="","",'Data Source'!S93)</f>
        <v/>
      </c>
    </row>
    <row r="94">
      <c r="A94" s="3">
        <f>IF('Data Source'!B94="","",'Data Source'!A94)</f>
        <v/>
      </c>
      <c r="B94">
        <f>IF('Data Source'!B94="","",'Data Source'!B94)</f>
        <v/>
      </c>
      <c r="C94" s="3">
        <f>IF('Data Source'!B94="","",IF('Data Source'!U94&gt;=5,"A+",IF('Data Source'!U94&gt;=4,"A",IF('Data Source'!U94&gt;=3.5,"A-",IF('Data Source'!U94&gt;=3,"B",IF('Data Source'!U94&gt;=2,"C",IF('Data Source'!U94&gt;=1,"D","F")))))))</f>
        <v/>
      </c>
      <c r="D94" s="3">
        <f>IF('Data Source'!B94="","",IF('Data Source'!V94&gt;=5,"A+",IF('Data Source'!V94&gt;=4,"A",IF('Data Source'!V94&gt;=3.5,"A-",IF('Data Source'!V94&gt;=3,"B",IF('Data Source'!V94&gt;=2,"C",IF('Data Source'!V94&gt;=1,"D","F")))))))</f>
        <v/>
      </c>
      <c r="E94" s="3">
        <f>IF('Data Source'!B94="","",IF('Data Source'!W94&gt;=5,"A+",IF('Data Source'!W94&gt;=4,"A",IF('Data Source'!W94&gt;=3.5,"A-",IF('Data Source'!W94&gt;=3,"B",IF('Data Source'!W94&gt;=2,"C",IF('Data Source'!W94&gt;=1,"D","F")))))))</f>
        <v/>
      </c>
      <c r="F94" s="3">
        <f>IF('Data Source'!B94="","",IF('Data Source'!X94&gt;=5,"A+",IF('Data Source'!X94&gt;=4,"A",IF('Data Source'!X94&gt;=3.5,"A-",IF('Data Source'!X94&gt;=3,"B",IF('Data Source'!X94&gt;=2,"C",IF('Data Source'!X94&gt;=1,"D","F")))))))</f>
        <v/>
      </c>
      <c r="G94" s="3">
        <f>IF('Data Source'!B94="","",IF('Data Source'!Y94&gt;=5,"A+",IF('Data Source'!Y94&gt;=4,"A",IF('Data Source'!Y94&gt;=3.5,"A-",IF('Data Source'!Y94&gt;=3,"B",IF('Data Source'!Y94&gt;=2,"C",IF('Data Source'!Y94&gt;=1,"D","F")))))))</f>
        <v/>
      </c>
      <c r="H94" s="3">
        <f>IF('Data Source'!B94="","",IF('Data Source'!Z94&gt;=5,"A+",IF('Data Source'!Z94&gt;=4,"A",IF('Data Source'!Z94&gt;=3.5,"A-",IF('Data Source'!Z94&gt;=3,"B",IF('Data Source'!Z94&gt;=2,"C",IF('Data Source'!Z94&gt;=1,"D","F")))))))</f>
        <v/>
      </c>
      <c r="I94" s="3">
        <f>IF('Data Source'!B94="","",IF('Data Source'!AA94&gt;=5,"A+",IF('Data Source'!AA94&gt;=4,"A",IF('Data Source'!AA94&gt;=3.5,"A-",IF('Data Source'!AA94&gt;=3,"B",IF('Data Source'!AA94&gt;=2,"C",IF('Data Source'!AA94&gt;=1,"D","F")))))))</f>
        <v/>
      </c>
      <c r="J94" s="3">
        <f>IF('Data Source'!B94="","",IF('Data Source'!AB94&gt;=5,"A+",IF('Data Source'!AB94&gt;=4,"A",IF('Data Source'!AB94&gt;=3.5,"A-",IF('Data Source'!AB94&gt;=3,"B",IF('Data Source'!AB94&gt;=2,"C",IF('Data Source'!AB94&gt;=1,"D","F")))))))</f>
        <v/>
      </c>
      <c r="K94" s="3">
        <f>IF('Data Source'!B94="","",IF('Data Source'!AC94&gt;=5,"A+",IF('Data Source'!AC94&gt;=4,"A",IF('Data Source'!AC94&gt;=3.5,"A-",IF('Data Source'!AC94&gt;=3,"B",IF('Data Source'!AC94&gt;=2,"C",IF('Data Source'!AC94&gt;=1,"D","F")))))))</f>
        <v/>
      </c>
      <c r="L94" s="3">
        <f>IF('Data Source'!B94="","",IF('Data Source'!AD94&gt;=5,"A+",IF('Data Source'!AD94&gt;=4,"A",IF('Data Source'!AD94&gt;=3.5,"A-",IF('Data Source'!AD94&gt;=3,"B",IF('Data Source'!AD94&gt;=2,"C",IF('Data Source'!AD94&gt;=1,"D","F")))))))</f>
        <v/>
      </c>
      <c r="M94" s="3">
        <f>IF('Data Source'!B94="","",IF('Data Source'!AE94&gt;=5,"A+",IF('Data Source'!AE94&gt;=4,"A",IF('Data Source'!AE94&gt;=3.5,"A-",IF('Data Source'!AE94&gt;=3,"B",IF('Data Source'!AE94&gt;=2,"C",IF('Data Source'!AE94&gt;=1,"D","F")))))))</f>
        <v/>
      </c>
      <c r="N94" s="3">
        <f>IF('Data Source'!B94="","",IF('Data Source'!AF94&gt;=5,"A+",IF('Data Source'!AF94&gt;=4,"A",IF('Data Source'!AF94&gt;=3.5,"A-",IF('Data Source'!AF94&gt;=3,"B",IF('Data Source'!AF94&gt;=2,"C",IF('Data Source'!AF94&gt;=1,"D","F")))))))</f>
        <v/>
      </c>
      <c r="O94" s="3">
        <f>IF('Data Source'!B94="","",IF('Data Source'!AG94&gt;=5,"A+",IF('Data Source'!AG94&gt;=4,"A",IF('Data Source'!AG94&gt;=3.5,"A-",IF('Data Source'!AG94&gt;=3,"B",IF('Data Source'!AG94&gt;=2,"C",IF('Data Source'!AG94&gt;=1,"D","F")))))))</f>
        <v/>
      </c>
      <c r="P94" s="5">
        <f>IF('Data Source'!B94="","",'Data Source'!R94)</f>
        <v/>
      </c>
      <c r="Q94" s="3">
        <f>IF('Data Source'!B94="","",'Data Source'!S94)</f>
        <v/>
      </c>
    </row>
    <row r="95">
      <c r="A95" s="3">
        <f>IF('Data Source'!B95="","",'Data Source'!A95)</f>
        <v/>
      </c>
      <c r="B95">
        <f>IF('Data Source'!B95="","",'Data Source'!B95)</f>
        <v/>
      </c>
      <c r="C95" s="3">
        <f>IF('Data Source'!B95="","",IF('Data Source'!U95&gt;=5,"A+",IF('Data Source'!U95&gt;=4,"A",IF('Data Source'!U95&gt;=3.5,"A-",IF('Data Source'!U95&gt;=3,"B",IF('Data Source'!U95&gt;=2,"C",IF('Data Source'!U95&gt;=1,"D","F")))))))</f>
        <v/>
      </c>
      <c r="D95" s="3">
        <f>IF('Data Source'!B95="","",IF('Data Source'!V95&gt;=5,"A+",IF('Data Source'!V95&gt;=4,"A",IF('Data Source'!V95&gt;=3.5,"A-",IF('Data Source'!V95&gt;=3,"B",IF('Data Source'!V95&gt;=2,"C",IF('Data Source'!V95&gt;=1,"D","F")))))))</f>
        <v/>
      </c>
      <c r="E95" s="3">
        <f>IF('Data Source'!B95="","",IF('Data Source'!W95&gt;=5,"A+",IF('Data Source'!W95&gt;=4,"A",IF('Data Source'!W95&gt;=3.5,"A-",IF('Data Source'!W95&gt;=3,"B",IF('Data Source'!W95&gt;=2,"C",IF('Data Source'!W95&gt;=1,"D","F")))))))</f>
        <v/>
      </c>
      <c r="F95" s="3">
        <f>IF('Data Source'!B95="","",IF('Data Source'!X95&gt;=5,"A+",IF('Data Source'!X95&gt;=4,"A",IF('Data Source'!X95&gt;=3.5,"A-",IF('Data Source'!X95&gt;=3,"B",IF('Data Source'!X95&gt;=2,"C",IF('Data Source'!X95&gt;=1,"D","F")))))))</f>
        <v/>
      </c>
      <c r="G95" s="3">
        <f>IF('Data Source'!B95="","",IF('Data Source'!Y95&gt;=5,"A+",IF('Data Source'!Y95&gt;=4,"A",IF('Data Source'!Y95&gt;=3.5,"A-",IF('Data Source'!Y95&gt;=3,"B",IF('Data Source'!Y95&gt;=2,"C",IF('Data Source'!Y95&gt;=1,"D","F")))))))</f>
        <v/>
      </c>
      <c r="H95" s="3">
        <f>IF('Data Source'!B95="","",IF('Data Source'!Z95&gt;=5,"A+",IF('Data Source'!Z95&gt;=4,"A",IF('Data Source'!Z95&gt;=3.5,"A-",IF('Data Source'!Z95&gt;=3,"B",IF('Data Source'!Z95&gt;=2,"C",IF('Data Source'!Z95&gt;=1,"D","F")))))))</f>
        <v/>
      </c>
      <c r="I95" s="3">
        <f>IF('Data Source'!B95="","",IF('Data Source'!AA95&gt;=5,"A+",IF('Data Source'!AA95&gt;=4,"A",IF('Data Source'!AA95&gt;=3.5,"A-",IF('Data Source'!AA95&gt;=3,"B",IF('Data Source'!AA95&gt;=2,"C",IF('Data Source'!AA95&gt;=1,"D","F")))))))</f>
        <v/>
      </c>
      <c r="J95" s="3">
        <f>IF('Data Source'!B95="","",IF('Data Source'!AB95&gt;=5,"A+",IF('Data Source'!AB95&gt;=4,"A",IF('Data Source'!AB95&gt;=3.5,"A-",IF('Data Source'!AB95&gt;=3,"B",IF('Data Source'!AB95&gt;=2,"C",IF('Data Source'!AB95&gt;=1,"D","F")))))))</f>
        <v/>
      </c>
      <c r="K95" s="3">
        <f>IF('Data Source'!B95="","",IF('Data Source'!AC95&gt;=5,"A+",IF('Data Source'!AC95&gt;=4,"A",IF('Data Source'!AC95&gt;=3.5,"A-",IF('Data Source'!AC95&gt;=3,"B",IF('Data Source'!AC95&gt;=2,"C",IF('Data Source'!AC95&gt;=1,"D","F")))))))</f>
        <v/>
      </c>
      <c r="L95" s="3">
        <f>IF('Data Source'!B95="","",IF('Data Source'!AD95&gt;=5,"A+",IF('Data Source'!AD95&gt;=4,"A",IF('Data Source'!AD95&gt;=3.5,"A-",IF('Data Source'!AD95&gt;=3,"B",IF('Data Source'!AD95&gt;=2,"C",IF('Data Source'!AD95&gt;=1,"D","F")))))))</f>
        <v/>
      </c>
      <c r="M95" s="3">
        <f>IF('Data Source'!B95="","",IF('Data Source'!AE95&gt;=5,"A+",IF('Data Source'!AE95&gt;=4,"A",IF('Data Source'!AE95&gt;=3.5,"A-",IF('Data Source'!AE95&gt;=3,"B",IF('Data Source'!AE95&gt;=2,"C",IF('Data Source'!AE95&gt;=1,"D","F")))))))</f>
        <v/>
      </c>
      <c r="N95" s="3">
        <f>IF('Data Source'!B95="","",IF('Data Source'!AF95&gt;=5,"A+",IF('Data Source'!AF95&gt;=4,"A",IF('Data Source'!AF95&gt;=3.5,"A-",IF('Data Source'!AF95&gt;=3,"B",IF('Data Source'!AF95&gt;=2,"C",IF('Data Source'!AF95&gt;=1,"D","F")))))))</f>
        <v/>
      </c>
      <c r="O95" s="3">
        <f>IF('Data Source'!B95="","",IF('Data Source'!AG95&gt;=5,"A+",IF('Data Source'!AG95&gt;=4,"A",IF('Data Source'!AG95&gt;=3.5,"A-",IF('Data Source'!AG95&gt;=3,"B",IF('Data Source'!AG95&gt;=2,"C",IF('Data Source'!AG95&gt;=1,"D","F")))))))</f>
        <v/>
      </c>
      <c r="P95" s="5">
        <f>IF('Data Source'!B95="","",'Data Source'!R95)</f>
        <v/>
      </c>
      <c r="Q95" s="3">
        <f>IF('Data Source'!B95="","",'Data Source'!S95)</f>
        <v/>
      </c>
    </row>
    <row r="96">
      <c r="A96" s="3">
        <f>IF('Data Source'!B96="","",'Data Source'!A96)</f>
        <v/>
      </c>
      <c r="B96">
        <f>IF('Data Source'!B96="","",'Data Source'!B96)</f>
        <v/>
      </c>
      <c r="C96" s="3">
        <f>IF('Data Source'!B96="","",IF('Data Source'!U96&gt;=5,"A+",IF('Data Source'!U96&gt;=4,"A",IF('Data Source'!U96&gt;=3.5,"A-",IF('Data Source'!U96&gt;=3,"B",IF('Data Source'!U96&gt;=2,"C",IF('Data Source'!U96&gt;=1,"D","F")))))))</f>
        <v/>
      </c>
      <c r="D96" s="3">
        <f>IF('Data Source'!B96="","",IF('Data Source'!V96&gt;=5,"A+",IF('Data Source'!V96&gt;=4,"A",IF('Data Source'!V96&gt;=3.5,"A-",IF('Data Source'!V96&gt;=3,"B",IF('Data Source'!V96&gt;=2,"C",IF('Data Source'!V96&gt;=1,"D","F")))))))</f>
        <v/>
      </c>
      <c r="E96" s="3">
        <f>IF('Data Source'!B96="","",IF('Data Source'!W96&gt;=5,"A+",IF('Data Source'!W96&gt;=4,"A",IF('Data Source'!W96&gt;=3.5,"A-",IF('Data Source'!W96&gt;=3,"B",IF('Data Source'!W96&gt;=2,"C",IF('Data Source'!W96&gt;=1,"D","F")))))))</f>
        <v/>
      </c>
      <c r="F96" s="3">
        <f>IF('Data Source'!B96="","",IF('Data Source'!X96&gt;=5,"A+",IF('Data Source'!X96&gt;=4,"A",IF('Data Source'!X96&gt;=3.5,"A-",IF('Data Source'!X96&gt;=3,"B",IF('Data Source'!X96&gt;=2,"C",IF('Data Source'!X96&gt;=1,"D","F")))))))</f>
        <v/>
      </c>
      <c r="G96" s="3">
        <f>IF('Data Source'!B96="","",IF('Data Source'!Y96&gt;=5,"A+",IF('Data Source'!Y96&gt;=4,"A",IF('Data Source'!Y96&gt;=3.5,"A-",IF('Data Source'!Y96&gt;=3,"B",IF('Data Source'!Y96&gt;=2,"C",IF('Data Source'!Y96&gt;=1,"D","F")))))))</f>
        <v/>
      </c>
      <c r="H96" s="3">
        <f>IF('Data Source'!B96="","",IF('Data Source'!Z96&gt;=5,"A+",IF('Data Source'!Z96&gt;=4,"A",IF('Data Source'!Z96&gt;=3.5,"A-",IF('Data Source'!Z96&gt;=3,"B",IF('Data Source'!Z96&gt;=2,"C",IF('Data Source'!Z96&gt;=1,"D","F")))))))</f>
        <v/>
      </c>
      <c r="I96" s="3">
        <f>IF('Data Source'!B96="","",IF('Data Source'!AA96&gt;=5,"A+",IF('Data Source'!AA96&gt;=4,"A",IF('Data Source'!AA96&gt;=3.5,"A-",IF('Data Source'!AA96&gt;=3,"B",IF('Data Source'!AA96&gt;=2,"C",IF('Data Source'!AA96&gt;=1,"D","F")))))))</f>
        <v/>
      </c>
      <c r="J96" s="3">
        <f>IF('Data Source'!B96="","",IF('Data Source'!AB96&gt;=5,"A+",IF('Data Source'!AB96&gt;=4,"A",IF('Data Source'!AB96&gt;=3.5,"A-",IF('Data Source'!AB96&gt;=3,"B",IF('Data Source'!AB96&gt;=2,"C",IF('Data Source'!AB96&gt;=1,"D","F")))))))</f>
        <v/>
      </c>
      <c r="K96" s="3">
        <f>IF('Data Source'!B96="","",IF('Data Source'!AC96&gt;=5,"A+",IF('Data Source'!AC96&gt;=4,"A",IF('Data Source'!AC96&gt;=3.5,"A-",IF('Data Source'!AC96&gt;=3,"B",IF('Data Source'!AC96&gt;=2,"C",IF('Data Source'!AC96&gt;=1,"D","F")))))))</f>
        <v/>
      </c>
      <c r="L96" s="3">
        <f>IF('Data Source'!B96="","",IF('Data Source'!AD96&gt;=5,"A+",IF('Data Source'!AD96&gt;=4,"A",IF('Data Source'!AD96&gt;=3.5,"A-",IF('Data Source'!AD96&gt;=3,"B",IF('Data Source'!AD96&gt;=2,"C",IF('Data Source'!AD96&gt;=1,"D","F")))))))</f>
        <v/>
      </c>
      <c r="M96" s="3">
        <f>IF('Data Source'!B96="","",IF('Data Source'!AE96&gt;=5,"A+",IF('Data Source'!AE96&gt;=4,"A",IF('Data Source'!AE96&gt;=3.5,"A-",IF('Data Source'!AE96&gt;=3,"B",IF('Data Source'!AE96&gt;=2,"C",IF('Data Source'!AE96&gt;=1,"D","F")))))))</f>
        <v/>
      </c>
      <c r="N96" s="3">
        <f>IF('Data Source'!B96="","",IF('Data Source'!AF96&gt;=5,"A+",IF('Data Source'!AF96&gt;=4,"A",IF('Data Source'!AF96&gt;=3.5,"A-",IF('Data Source'!AF96&gt;=3,"B",IF('Data Source'!AF96&gt;=2,"C",IF('Data Source'!AF96&gt;=1,"D","F")))))))</f>
        <v/>
      </c>
      <c r="O96" s="3">
        <f>IF('Data Source'!B96="","",IF('Data Source'!AG96&gt;=5,"A+",IF('Data Source'!AG96&gt;=4,"A",IF('Data Source'!AG96&gt;=3.5,"A-",IF('Data Source'!AG96&gt;=3,"B",IF('Data Source'!AG96&gt;=2,"C",IF('Data Source'!AG96&gt;=1,"D","F")))))))</f>
        <v/>
      </c>
      <c r="P96" s="5">
        <f>IF('Data Source'!B96="","",'Data Source'!R96)</f>
        <v/>
      </c>
      <c r="Q96" s="3">
        <f>IF('Data Source'!B96="","",'Data Source'!S96)</f>
        <v/>
      </c>
    </row>
    <row r="97">
      <c r="A97" s="3">
        <f>IF('Data Source'!B97="","",'Data Source'!A97)</f>
        <v/>
      </c>
      <c r="B97">
        <f>IF('Data Source'!B97="","",'Data Source'!B97)</f>
        <v/>
      </c>
      <c r="C97" s="3">
        <f>IF('Data Source'!B97="","",IF('Data Source'!U97&gt;=5,"A+",IF('Data Source'!U97&gt;=4,"A",IF('Data Source'!U97&gt;=3.5,"A-",IF('Data Source'!U97&gt;=3,"B",IF('Data Source'!U97&gt;=2,"C",IF('Data Source'!U97&gt;=1,"D","F")))))))</f>
        <v/>
      </c>
      <c r="D97" s="3">
        <f>IF('Data Source'!B97="","",IF('Data Source'!V97&gt;=5,"A+",IF('Data Source'!V97&gt;=4,"A",IF('Data Source'!V97&gt;=3.5,"A-",IF('Data Source'!V97&gt;=3,"B",IF('Data Source'!V97&gt;=2,"C",IF('Data Source'!V97&gt;=1,"D","F")))))))</f>
        <v/>
      </c>
      <c r="E97" s="3">
        <f>IF('Data Source'!B97="","",IF('Data Source'!W97&gt;=5,"A+",IF('Data Source'!W97&gt;=4,"A",IF('Data Source'!W97&gt;=3.5,"A-",IF('Data Source'!W97&gt;=3,"B",IF('Data Source'!W97&gt;=2,"C",IF('Data Source'!W97&gt;=1,"D","F")))))))</f>
        <v/>
      </c>
      <c r="F97" s="3">
        <f>IF('Data Source'!B97="","",IF('Data Source'!X97&gt;=5,"A+",IF('Data Source'!X97&gt;=4,"A",IF('Data Source'!X97&gt;=3.5,"A-",IF('Data Source'!X97&gt;=3,"B",IF('Data Source'!X97&gt;=2,"C",IF('Data Source'!X97&gt;=1,"D","F")))))))</f>
        <v/>
      </c>
      <c r="G97" s="3">
        <f>IF('Data Source'!B97="","",IF('Data Source'!Y97&gt;=5,"A+",IF('Data Source'!Y97&gt;=4,"A",IF('Data Source'!Y97&gt;=3.5,"A-",IF('Data Source'!Y97&gt;=3,"B",IF('Data Source'!Y97&gt;=2,"C",IF('Data Source'!Y97&gt;=1,"D","F")))))))</f>
        <v/>
      </c>
      <c r="H97" s="3">
        <f>IF('Data Source'!B97="","",IF('Data Source'!Z97&gt;=5,"A+",IF('Data Source'!Z97&gt;=4,"A",IF('Data Source'!Z97&gt;=3.5,"A-",IF('Data Source'!Z97&gt;=3,"B",IF('Data Source'!Z97&gt;=2,"C",IF('Data Source'!Z97&gt;=1,"D","F")))))))</f>
        <v/>
      </c>
      <c r="I97" s="3">
        <f>IF('Data Source'!B97="","",IF('Data Source'!AA97&gt;=5,"A+",IF('Data Source'!AA97&gt;=4,"A",IF('Data Source'!AA97&gt;=3.5,"A-",IF('Data Source'!AA97&gt;=3,"B",IF('Data Source'!AA97&gt;=2,"C",IF('Data Source'!AA97&gt;=1,"D","F")))))))</f>
        <v/>
      </c>
      <c r="J97" s="3">
        <f>IF('Data Source'!B97="","",IF('Data Source'!AB97&gt;=5,"A+",IF('Data Source'!AB97&gt;=4,"A",IF('Data Source'!AB97&gt;=3.5,"A-",IF('Data Source'!AB97&gt;=3,"B",IF('Data Source'!AB97&gt;=2,"C",IF('Data Source'!AB97&gt;=1,"D","F")))))))</f>
        <v/>
      </c>
      <c r="K97" s="3">
        <f>IF('Data Source'!B97="","",IF('Data Source'!AC97&gt;=5,"A+",IF('Data Source'!AC97&gt;=4,"A",IF('Data Source'!AC97&gt;=3.5,"A-",IF('Data Source'!AC97&gt;=3,"B",IF('Data Source'!AC97&gt;=2,"C",IF('Data Source'!AC97&gt;=1,"D","F")))))))</f>
        <v/>
      </c>
      <c r="L97" s="3">
        <f>IF('Data Source'!B97="","",IF('Data Source'!AD97&gt;=5,"A+",IF('Data Source'!AD97&gt;=4,"A",IF('Data Source'!AD97&gt;=3.5,"A-",IF('Data Source'!AD97&gt;=3,"B",IF('Data Source'!AD97&gt;=2,"C",IF('Data Source'!AD97&gt;=1,"D","F")))))))</f>
        <v/>
      </c>
      <c r="M97" s="3">
        <f>IF('Data Source'!B97="","",IF('Data Source'!AE97&gt;=5,"A+",IF('Data Source'!AE97&gt;=4,"A",IF('Data Source'!AE97&gt;=3.5,"A-",IF('Data Source'!AE97&gt;=3,"B",IF('Data Source'!AE97&gt;=2,"C",IF('Data Source'!AE97&gt;=1,"D","F")))))))</f>
        <v/>
      </c>
      <c r="N97" s="3">
        <f>IF('Data Source'!B97="","",IF('Data Source'!AF97&gt;=5,"A+",IF('Data Source'!AF97&gt;=4,"A",IF('Data Source'!AF97&gt;=3.5,"A-",IF('Data Source'!AF97&gt;=3,"B",IF('Data Source'!AF97&gt;=2,"C",IF('Data Source'!AF97&gt;=1,"D","F")))))))</f>
        <v/>
      </c>
      <c r="O97" s="3">
        <f>IF('Data Source'!B97="","",IF('Data Source'!AG97&gt;=5,"A+",IF('Data Source'!AG97&gt;=4,"A",IF('Data Source'!AG97&gt;=3.5,"A-",IF('Data Source'!AG97&gt;=3,"B",IF('Data Source'!AG97&gt;=2,"C",IF('Data Source'!AG97&gt;=1,"D","F")))))))</f>
        <v/>
      </c>
      <c r="P97" s="5">
        <f>IF('Data Source'!B97="","",'Data Source'!R97)</f>
        <v/>
      </c>
      <c r="Q97" s="3">
        <f>IF('Data Source'!B97="","",'Data Source'!S97)</f>
        <v/>
      </c>
    </row>
    <row r="98">
      <c r="A98" s="3">
        <f>IF('Data Source'!B98="","",'Data Source'!A98)</f>
        <v/>
      </c>
      <c r="B98">
        <f>IF('Data Source'!B98="","",'Data Source'!B98)</f>
        <v/>
      </c>
      <c r="C98" s="3">
        <f>IF('Data Source'!B98="","",IF('Data Source'!U98&gt;=5,"A+",IF('Data Source'!U98&gt;=4,"A",IF('Data Source'!U98&gt;=3.5,"A-",IF('Data Source'!U98&gt;=3,"B",IF('Data Source'!U98&gt;=2,"C",IF('Data Source'!U98&gt;=1,"D","F")))))))</f>
        <v/>
      </c>
      <c r="D98" s="3">
        <f>IF('Data Source'!B98="","",IF('Data Source'!V98&gt;=5,"A+",IF('Data Source'!V98&gt;=4,"A",IF('Data Source'!V98&gt;=3.5,"A-",IF('Data Source'!V98&gt;=3,"B",IF('Data Source'!V98&gt;=2,"C",IF('Data Source'!V98&gt;=1,"D","F")))))))</f>
        <v/>
      </c>
      <c r="E98" s="3">
        <f>IF('Data Source'!B98="","",IF('Data Source'!W98&gt;=5,"A+",IF('Data Source'!W98&gt;=4,"A",IF('Data Source'!W98&gt;=3.5,"A-",IF('Data Source'!W98&gt;=3,"B",IF('Data Source'!W98&gt;=2,"C",IF('Data Source'!W98&gt;=1,"D","F")))))))</f>
        <v/>
      </c>
      <c r="F98" s="3">
        <f>IF('Data Source'!B98="","",IF('Data Source'!X98&gt;=5,"A+",IF('Data Source'!X98&gt;=4,"A",IF('Data Source'!X98&gt;=3.5,"A-",IF('Data Source'!X98&gt;=3,"B",IF('Data Source'!X98&gt;=2,"C",IF('Data Source'!X98&gt;=1,"D","F")))))))</f>
        <v/>
      </c>
      <c r="G98" s="3">
        <f>IF('Data Source'!B98="","",IF('Data Source'!Y98&gt;=5,"A+",IF('Data Source'!Y98&gt;=4,"A",IF('Data Source'!Y98&gt;=3.5,"A-",IF('Data Source'!Y98&gt;=3,"B",IF('Data Source'!Y98&gt;=2,"C",IF('Data Source'!Y98&gt;=1,"D","F")))))))</f>
        <v/>
      </c>
      <c r="H98" s="3">
        <f>IF('Data Source'!B98="","",IF('Data Source'!Z98&gt;=5,"A+",IF('Data Source'!Z98&gt;=4,"A",IF('Data Source'!Z98&gt;=3.5,"A-",IF('Data Source'!Z98&gt;=3,"B",IF('Data Source'!Z98&gt;=2,"C",IF('Data Source'!Z98&gt;=1,"D","F")))))))</f>
        <v/>
      </c>
      <c r="I98" s="3">
        <f>IF('Data Source'!B98="","",IF('Data Source'!AA98&gt;=5,"A+",IF('Data Source'!AA98&gt;=4,"A",IF('Data Source'!AA98&gt;=3.5,"A-",IF('Data Source'!AA98&gt;=3,"B",IF('Data Source'!AA98&gt;=2,"C",IF('Data Source'!AA98&gt;=1,"D","F")))))))</f>
        <v/>
      </c>
      <c r="J98" s="3">
        <f>IF('Data Source'!B98="","",IF('Data Source'!AB98&gt;=5,"A+",IF('Data Source'!AB98&gt;=4,"A",IF('Data Source'!AB98&gt;=3.5,"A-",IF('Data Source'!AB98&gt;=3,"B",IF('Data Source'!AB98&gt;=2,"C",IF('Data Source'!AB98&gt;=1,"D","F")))))))</f>
        <v/>
      </c>
      <c r="K98" s="3">
        <f>IF('Data Source'!B98="","",IF('Data Source'!AC98&gt;=5,"A+",IF('Data Source'!AC98&gt;=4,"A",IF('Data Source'!AC98&gt;=3.5,"A-",IF('Data Source'!AC98&gt;=3,"B",IF('Data Source'!AC98&gt;=2,"C",IF('Data Source'!AC98&gt;=1,"D","F")))))))</f>
        <v/>
      </c>
      <c r="L98" s="3">
        <f>IF('Data Source'!B98="","",IF('Data Source'!AD98&gt;=5,"A+",IF('Data Source'!AD98&gt;=4,"A",IF('Data Source'!AD98&gt;=3.5,"A-",IF('Data Source'!AD98&gt;=3,"B",IF('Data Source'!AD98&gt;=2,"C",IF('Data Source'!AD98&gt;=1,"D","F")))))))</f>
        <v/>
      </c>
      <c r="M98" s="3">
        <f>IF('Data Source'!B98="","",IF('Data Source'!AE98&gt;=5,"A+",IF('Data Source'!AE98&gt;=4,"A",IF('Data Source'!AE98&gt;=3.5,"A-",IF('Data Source'!AE98&gt;=3,"B",IF('Data Source'!AE98&gt;=2,"C",IF('Data Source'!AE98&gt;=1,"D","F")))))))</f>
        <v/>
      </c>
      <c r="N98" s="3">
        <f>IF('Data Source'!B98="","",IF('Data Source'!AF98&gt;=5,"A+",IF('Data Source'!AF98&gt;=4,"A",IF('Data Source'!AF98&gt;=3.5,"A-",IF('Data Source'!AF98&gt;=3,"B",IF('Data Source'!AF98&gt;=2,"C",IF('Data Source'!AF98&gt;=1,"D","F")))))))</f>
        <v/>
      </c>
      <c r="O98" s="3">
        <f>IF('Data Source'!B98="","",IF('Data Source'!AG98&gt;=5,"A+",IF('Data Source'!AG98&gt;=4,"A",IF('Data Source'!AG98&gt;=3.5,"A-",IF('Data Source'!AG98&gt;=3,"B",IF('Data Source'!AG98&gt;=2,"C",IF('Data Source'!AG98&gt;=1,"D","F")))))))</f>
        <v/>
      </c>
      <c r="P98" s="5">
        <f>IF('Data Source'!B98="","",'Data Source'!R98)</f>
        <v/>
      </c>
      <c r="Q98" s="3">
        <f>IF('Data Source'!B98="","",'Data Source'!S98)</f>
        <v/>
      </c>
    </row>
    <row r="99">
      <c r="A99" s="3">
        <f>IF('Data Source'!B99="","",'Data Source'!A99)</f>
        <v/>
      </c>
      <c r="B99">
        <f>IF('Data Source'!B99="","",'Data Source'!B99)</f>
        <v/>
      </c>
      <c r="C99" s="3">
        <f>IF('Data Source'!B99="","",IF('Data Source'!U99&gt;=5,"A+",IF('Data Source'!U99&gt;=4,"A",IF('Data Source'!U99&gt;=3.5,"A-",IF('Data Source'!U99&gt;=3,"B",IF('Data Source'!U99&gt;=2,"C",IF('Data Source'!U99&gt;=1,"D","F")))))))</f>
        <v/>
      </c>
      <c r="D99" s="3">
        <f>IF('Data Source'!B99="","",IF('Data Source'!V99&gt;=5,"A+",IF('Data Source'!V99&gt;=4,"A",IF('Data Source'!V99&gt;=3.5,"A-",IF('Data Source'!V99&gt;=3,"B",IF('Data Source'!V99&gt;=2,"C",IF('Data Source'!V99&gt;=1,"D","F")))))))</f>
        <v/>
      </c>
      <c r="E99" s="3">
        <f>IF('Data Source'!B99="","",IF('Data Source'!W99&gt;=5,"A+",IF('Data Source'!W99&gt;=4,"A",IF('Data Source'!W99&gt;=3.5,"A-",IF('Data Source'!W99&gt;=3,"B",IF('Data Source'!W99&gt;=2,"C",IF('Data Source'!W99&gt;=1,"D","F")))))))</f>
        <v/>
      </c>
      <c r="F99" s="3">
        <f>IF('Data Source'!B99="","",IF('Data Source'!X99&gt;=5,"A+",IF('Data Source'!X99&gt;=4,"A",IF('Data Source'!X99&gt;=3.5,"A-",IF('Data Source'!X99&gt;=3,"B",IF('Data Source'!X99&gt;=2,"C",IF('Data Source'!X99&gt;=1,"D","F")))))))</f>
        <v/>
      </c>
      <c r="G99" s="3">
        <f>IF('Data Source'!B99="","",IF('Data Source'!Y99&gt;=5,"A+",IF('Data Source'!Y99&gt;=4,"A",IF('Data Source'!Y99&gt;=3.5,"A-",IF('Data Source'!Y99&gt;=3,"B",IF('Data Source'!Y99&gt;=2,"C",IF('Data Source'!Y99&gt;=1,"D","F")))))))</f>
        <v/>
      </c>
      <c r="H99" s="3">
        <f>IF('Data Source'!B99="","",IF('Data Source'!Z99&gt;=5,"A+",IF('Data Source'!Z99&gt;=4,"A",IF('Data Source'!Z99&gt;=3.5,"A-",IF('Data Source'!Z99&gt;=3,"B",IF('Data Source'!Z99&gt;=2,"C",IF('Data Source'!Z99&gt;=1,"D","F")))))))</f>
        <v/>
      </c>
      <c r="I99" s="3">
        <f>IF('Data Source'!B99="","",IF('Data Source'!AA99&gt;=5,"A+",IF('Data Source'!AA99&gt;=4,"A",IF('Data Source'!AA99&gt;=3.5,"A-",IF('Data Source'!AA99&gt;=3,"B",IF('Data Source'!AA99&gt;=2,"C",IF('Data Source'!AA99&gt;=1,"D","F")))))))</f>
        <v/>
      </c>
      <c r="J99" s="3">
        <f>IF('Data Source'!B99="","",IF('Data Source'!AB99&gt;=5,"A+",IF('Data Source'!AB99&gt;=4,"A",IF('Data Source'!AB99&gt;=3.5,"A-",IF('Data Source'!AB99&gt;=3,"B",IF('Data Source'!AB99&gt;=2,"C",IF('Data Source'!AB99&gt;=1,"D","F")))))))</f>
        <v/>
      </c>
      <c r="K99" s="3">
        <f>IF('Data Source'!B99="","",IF('Data Source'!AC99&gt;=5,"A+",IF('Data Source'!AC99&gt;=4,"A",IF('Data Source'!AC99&gt;=3.5,"A-",IF('Data Source'!AC99&gt;=3,"B",IF('Data Source'!AC99&gt;=2,"C",IF('Data Source'!AC99&gt;=1,"D","F")))))))</f>
        <v/>
      </c>
      <c r="L99" s="3">
        <f>IF('Data Source'!B99="","",IF('Data Source'!AD99&gt;=5,"A+",IF('Data Source'!AD99&gt;=4,"A",IF('Data Source'!AD99&gt;=3.5,"A-",IF('Data Source'!AD99&gt;=3,"B",IF('Data Source'!AD99&gt;=2,"C",IF('Data Source'!AD99&gt;=1,"D","F")))))))</f>
        <v/>
      </c>
      <c r="M99" s="3">
        <f>IF('Data Source'!B99="","",IF('Data Source'!AE99&gt;=5,"A+",IF('Data Source'!AE99&gt;=4,"A",IF('Data Source'!AE99&gt;=3.5,"A-",IF('Data Source'!AE99&gt;=3,"B",IF('Data Source'!AE99&gt;=2,"C",IF('Data Source'!AE99&gt;=1,"D","F")))))))</f>
        <v/>
      </c>
      <c r="N99" s="3">
        <f>IF('Data Source'!B99="","",IF('Data Source'!AF99&gt;=5,"A+",IF('Data Source'!AF99&gt;=4,"A",IF('Data Source'!AF99&gt;=3.5,"A-",IF('Data Source'!AF99&gt;=3,"B",IF('Data Source'!AF99&gt;=2,"C",IF('Data Source'!AF99&gt;=1,"D","F")))))))</f>
        <v/>
      </c>
      <c r="O99" s="3">
        <f>IF('Data Source'!B99="","",IF('Data Source'!AG99&gt;=5,"A+",IF('Data Source'!AG99&gt;=4,"A",IF('Data Source'!AG99&gt;=3.5,"A-",IF('Data Source'!AG99&gt;=3,"B",IF('Data Source'!AG99&gt;=2,"C",IF('Data Source'!AG99&gt;=1,"D","F")))))))</f>
        <v/>
      </c>
      <c r="P99" s="5">
        <f>IF('Data Source'!B99="","",'Data Source'!R99)</f>
        <v/>
      </c>
      <c r="Q99" s="3">
        <f>IF('Data Source'!B99="","",'Data Source'!S99)</f>
        <v/>
      </c>
    </row>
    <row r="100">
      <c r="A100" s="3">
        <f>IF('Data Source'!B100="","",'Data Source'!A100)</f>
        <v/>
      </c>
      <c r="B100">
        <f>IF('Data Source'!B100="","",'Data Source'!B100)</f>
        <v/>
      </c>
      <c r="C100" s="3">
        <f>IF('Data Source'!B100="","",IF('Data Source'!U100&gt;=5,"A+",IF('Data Source'!U100&gt;=4,"A",IF('Data Source'!U100&gt;=3.5,"A-",IF('Data Source'!U100&gt;=3,"B",IF('Data Source'!U100&gt;=2,"C",IF('Data Source'!U100&gt;=1,"D","F")))))))</f>
        <v/>
      </c>
      <c r="D100" s="3">
        <f>IF('Data Source'!B100="","",IF('Data Source'!V100&gt;=5,"A+",IF('Data Source'!V100&gt;=4,"A",IF('Data Source'!V100&gt;=3.5,"A-",IF('Data Source'!V100&gt;=3,"B",IF('Data Source'!V100&gt;=2,"C",IF('Data Source'!V100&gt;=1,"D","F")))))))</f>
        <v/>
      </c>
      <c r="E100" s="3">
        <f>IF('Data Source'!B100="","",IF('Data Source'!W100&gt;=5,"A+",IF('Data Source'!W100&gt;=4,"A",IF('Data Source'!W100&gt;=3.5,"A-",IF('Data Source'!W100&gt;=3,"B",IF('Data Source'!W100&gt;=2,"C",IF('Data Source'!W100&gt;=1,"D","F")))))))</f>
        <v/>
      </c>
      <c r="F100" s="3">
        <f>IF('Data Source'!B100="","",IF('Data Source'!X100&gt;=5,"A+",IF('Data Source'!X100&gt;=4,"A",IF('Data Source'!X100&gt;=3.5,"A-",IF('Data Source'!X100&gt;=3,"B",IF('Data Source'!X100&gt;=2,"C",IF('Data Source'!X100&gt;=1,"D","F")))))))</f>
        <v/>
      </c>
      <c r="G100" s="3">
        <f>IF('Data Source'!B100="","",IF('Data Source'!Y100&gt;=5,"A+",IF('Data Source'!Y100&gt;=4,"A",IF('Data Source'!Y100&gt;=3.5,"A-",IF('Data Source'!Y100&gt;=3,"B",IF('Data Source'!Y100&gt;=2,"C",IF('Data Source'!Y100&gt;=1,"D","F")))))))</f>
        <v/>
      </c>
      <c r="H100" s="3">
        <f>IF('Data Source'!B100="","",IF('Data Source'!Z100&gt;=5,"A+",IF('Data Source'!Z100&gt;=4,"A",IF('Data Source'!Z100&gt;=3.5,"A-",IF('Data Source'!Z100&gt;=3,"B",IF('Data Source'!Z100&gt;=2,"C",IF('Data Source'!Z100&gt;=1,"D","F")))))))</f>
        <v/>
      </c>
      <c r="I100" s="3">
        <f>IF('Data Source'!B100="","",IF('Data Source'!AA100&gt;=5,"A+",IF('Data Source'!AA100&gt;=4,"A",IF('Data Source'!AA100&gt;=3.5,"A-",IF('Data Source'!AA100&gt;=3,"B",IF('Data Source'!AA100&gt;=2,"C",IF('Data Source'!AA100&gt;=1,"D","F")))))))</f>
        <v/>
      </c>
      <c r="J100" s="3">
        <f>IF('Data Source'!B100="","",IF('Data Source'!AB100&gt;=5,"A+",IF('Data Source'!AB100&gt;=4,"A",IF('Data Source'!AB100&gt;=3.5,"A-",IF('Data Source'!AB100&gt;=3,"B",IF('Data Source'!AB100&gt;=2,"C",IF('Data Source'!AB100&gt;=1,"D","F")))))))</f>
        <v/>
      </c>
      <c r="K100" s="3">
        <f>IF('Data Source'!B100="","",IF('Data Source'!AC100&gt;=5,"A+",IF('Data Source'!AC100&gt;=4,"A",IF('Data Source'!AC100&gt;=3.5,"A-",IF('Data Source'!AC100&gt;=3,"B",IF('Data Source'!AC100&gt;=2,"C",IF('Data Source'!AC100&gt;=1,"D","F")))))))</f>
        <v/>
      </c>
      <c r="L100" s="3">
        <f>IF('Data Source'!B100="","",IF('Data Source'!AD100&gt;=5,"A+",IF('Data Source'!AD100&gt;=4,"A",IF('Data Source'!AD100&gt;=3.5,"A-",IF('Data Source'!AD100&gt;=3,"B",IF('Data Source'!AD100&gt;=2,"C",IF('Data Source'!AD100&gt;=1,"D","F")))))))</f>
        <v/>
      </c>
      <c r="M100" s="3">
        <f>IF('Data Source'!B100="","",IF('Data Source'!AE100&gt;=5,"A+",IF('Data Source'!AE100&gt;=4,"A",IF('Data Source'!AE100&gt;=3.5,"A-",IF('Data Source'!AE100&gt;=3,"B",IF('Data Source'!AE100&gt;=2,"C",IF('Data Source'!AE100&gt;=1,"D","F")))))))</f>
        <v/>
      </c>
      <c r="N100" s="3">
        <f>IF('Data Source'!B100="","",IF('Data Source'!AF100&gt;=5,"A+",IF('Data Source'!AF100&gt;=4,"A",IF('Data Source'!AF100&gt;=3.5,"A-",IF('Data Source'!AF100&gt;=3,"B",IF('Data Source'!AF100&gt;=2,"C",IF('Data Source'!AF100&gt;=1,"D","F")))))))</f>
        <v/>
      </c>
      <c r="O100" s="3">
        <f>IF('Data Source'!B100="","",IF('Data Source'!AG100&gt;=5,"A+",IF('Data Source'!AG100&gt;=4,"A",IF('Data Source'!AG100&gt;=3.5,"A-",IF('Data Source'!AG100&gt;=3,"B",IF('Data Source'!AG100&gt;=2,"C",IF('Data Source'!AG100&gt;=1,"D","F")))))))</f>
        <v/>
      </c>
      <c r="P100" s="5">
        <f>IF('Data Source'!B100="","",'Data Source'!R100)</f>
        <v/>
      </c>
      <c r="Q100" s="3">
        <f>IF('Data Source'!B100="","",'Data Source'!S100)</f>
        <v/>
      </c>
    </row>
    <row r="101">
      <c r="A101" s="3">
        <f>IF('Data Source'!B101="","",'Data Source'!A101)</f>
        <v/>
      </c>
      <c r="B101">
        <f>IF('Data Source'!B101="","",'Data Source'!B101)</f>
        <v/>
      </c>
      <c r="C101" s="3">
        <f>IF('Data Source'!B101="","",IF('Data Source'!U101&gt;=5,"A+",IF('Data Source'!U101&gt;=4,"A",IF('Data Source'!U101&gt;=3.5,"A-",IF('Data Source'!U101&gt;=3,"B",IF('Data Source'!U101&gt;=2,"C",IF('Data Source'!U101&gt;=1,"D","F")))))))</f>
        <v/>
      </c>
      <c r="D101" s="3">
        <f>IF('Data Source'!B101="","",IF('Data Source'!V101&gt;=5,"A+",IF('Data Source'!V101&gt;=4,"A",IF('Data Source'!V101&gt;=3.5,"A-",IF('Data Source'!V101&gt;=3,"B",IF('Data Source'!V101&gt;=2,"C",IF('Data Source'!V101&gt;=1,"D","F")))))))</f>
        <v/>
      </c>
      <c r="E101" s="3">
        <f>IF('Data Source'!B101="","",IF('Data Source'!W101&gt;=5,"A+",IF('Data Source'!W101&gt;=4,"A",IF('Data Source'!W101&gt;=3.5,"A-",IF('Data Source'!W101&gt;=3,"B",IF('Data Source'!W101&gt;=2,"C",IF('Data Source'!W101&gt;=1,"D","F")))))))</f>
        <v/>
      </c>
      <c r="F101" s="3">
        <f>IF('Data Source'!B101="","",IF('Data Source'!X101&gt;=5,"A+",IF('Data Source'!X101&gt;=4,"A",IF('Data Source'!X101&gt;=3.5,"A-",IF('Data Source'!X101&gt;=3,"B",IF('Data Source'!X101&gt;=2,"C",IF('Data Source'!X101&gt;=1,"D","F")))))))</f>
        <v/>
      </c>
      <c r="G101" s="3">
        <f>IF('Data Source'!B101="","",IF('Data Source'!Y101&gt;=5,"A+",IF('Data Source'!Y101&gt;=4,"A",IF('Data Source'!Y101&gt;=3.5,"A-",IF('Data Source'!Y101&gt;=3,"B",IF('Data Source'!Y101&gt;=2,"C",IF('Data Source'!Y101&gt;=1,"D","F")))))))</f>
        <v/>
      </c>
      <c r="H101" s="3">
        <f>IF('Data Source'!B101="","",IF('Data Source'!Z101&gt;=5,"A+",IF('Data Source'!Z101&gt;=4,"A",IF('Data Source'!Z101&gt;=3.5,"A-",IF('Data Source'!Z101&gt;=3,"B",IF('Data Source'!Z101&gt;=2,"C",IF('Data Source'!Z101&gt;=1,"D","F")))))))</f>
        <v/>
      </c>
      <c r="I101" s="3">
        <f>IF('Data Source'!B101="","",IF('Data Source'!AA101&gt;=5,"A+",IF('Data Source'!AA101&gt;=4,"A",IF('Data Source'!AA101&gt;=3.5,"A-",IF('Data Source'!AA101&gt;=3,"B",IF('Data Source'!AA101&gt;=2,"C",IF('Data Source'!AA101&gt;=1,"D","F")))))))</f>
        <v/>
      </c>
      <c r="J101" s="3">
        <f>IF('Data Source'!B101="","",IF('Data Source'!AB101&gt;=5,"A+",IF('Data Source'!AB101&gt;=4,"A",IF('Data Source'!AB101&gt;=3.5,"A-",IF('Data Source'!AB101&gt;=3,"B",IF('Data Source'!AB101&gt;=2,"C",IF('Data Source'!AB101&gt;=1,"D","F")))))))</f>
        <v/>
      </c>
      <c r="K101" s="3">
        <f>IF('Data Source'!B101="","",IF('Data Source'!AC101&gt;=5,"A+",IF('Data Source'!AC101&gt;=4,"A",IF('Data Source'!AC101&gt;=3.5,"A-",IF('Data Source'!AC101&gt;=3,"B",IF('Data Source'!AC101&gt;=2,"C",IF('Data Source'!AC101&gt;=1,"D","F")))))))</f>
        <v/>
      </c>
      <c r="L101" s="3">
        <f>IF('Data Source'!B101="","",IF('Data Source'!AD101&gt;=5,"A+",IF('Data Source'!AD101&gt;=4,"A",IF('Data Source'!AD101&gt;=3.5,"A-",IF('Data Source'!AD101&gt;=3,"B",IF('Data Source'!AD101&gt;=2,"C",IF('Data Source'!AD101&gt;=1,"D","F")))))))</f>
        <v/>
      </c>
      <c r="M101" s="3">
        <f>IF('Data Source'!B101="","",IF('Data Source'!AE101&gt;=5,"A+",IF('Data Source'!AE101&gt;=4,"A",IF('Data Source'!AE101&gt;=3.5,"A-",IF('Data Source'!AE101&gt;=3,"B",IF('Data Source'!AE101&gt;=2,"C",IF('Data Source'!AE101&gt;=1,"D","F")))))))</f>
        <v/>
      </c>
      <c r="N101" s="3">
        <f>IF('Data Source'!B101="","",IF('Data Source'!AF101&gt;=5,"A+",IF('Data Source'!AF101&gt;=4,"A",IF('Data Source'!AF101&gt;=3.5,"A-",IF('Data Source'!AF101&gt;=3,"B",IF('Data Source'!AF101&gt;=2,"C",IF('Data Source'!AF101&gt;=1,"D","F")))))))</f>
        <v/>
      </c>
      <c r="O101" s="3">
        <f>IF('Data Source'!B101="","",IF('Data Source'!AG101&gt;=5,"A+",IF('Data Source'!AG101&gt;=4,"A",IF('Data Source'!AG101&gt;=3.5,"A-",IF('Data Source'!AG101&gt;=3,"B",IF('Data Source'!AG101&gt;=2,"C",IF('Data Source'!AG101&gt;=1,"D","F")))))))</f>
        <v/>
      </c>
      <c r="P101" s="5">
        <f>IF('Data Source'!B101="","",'Data Source'!R101)</f>
        <v/>
      </c>
      <c r="Q101" s="3">
        <f>IF('Data Source'!B101="","",'Data Source'!S101)</f>
        <v/>
      </c>
    </row>
    <row r="102">
      <c r="A102" s="3">
        <f>IF('Data Source'!B102="","",'Data Source'!A102)</f>
        <v/>
      </c>
      <c r="B102">
        <f>IF('Data Source'!B102="","",'Data Source'!B102)</f>
        <v/>
      </c>
      <c r="C102" s="3">
        <f>IF('Data Source'!B102="","",IF('Data Source'!U102&gt;=5,"A+",IF('Data Source'!U102&gt;=4,"A",IF('Data Source'!U102&gt;=3.5,"A-",IF('Data Source'!U102&gt;=3,"B",IF('Data Source'!U102&gt;=2,"C",IF('Data Source'!U102&gt;=1,"D","F")))))))</f>
        <v/>
      </c>
      <c r="D102" s="3">
        <f>IF('Data Source'!B102="","",IF('Data Source'!V102&gt;=5,"A+",IF('Data Source'!V102&gt;=4,"A",IF('Data Source'!V102&gt;=3.5,"A-",IF('Data Source'!V102&gt;=3,"B",IF('Data Source'!V102&gt;=2,"C",IF('Data Source'!V102&gt;=1,"D","F")))))))</f>
        <v/>
      </c>
      <c r="E102" s="3">
        <f>IF('Data Source'!B102="","",IF('Data Source'!W102&gt;=5,"A+",IF('Data Source'!W102&gt;=4,"A",IF('Data Source'!W102&gt;=3.5,"A-",IF('Data Source'!W102&gt;=3,"B",IF('Data Source'!W102&gt;=2,"C",IF('Data Source'!W102&gt;=1,"D","F")))))))</f>
        <v/>
      </c>
      <c r="F102" s="3">
        <f>IF('Data Source'!B102="","",IF('Data Source'!X102&gt;=5,"A+",IF('Data Source'!X102&gt;=4,"A",IF('Data Source'!X102&gt;=3.5,"A-",IF('Data Source'!X102&gt;=3,"B",IF('Data Source'!X102&gt;=2,"C",IF('Data Source'!X102&gt;=1,"D","F")))))))</f>
        <v/>
      </c>
      <c r="G102" s="3">
        <f>IF('Data Source'!B102="","",IF('Data Source'!Y102&gt;=5,"A+",IF('Data Source'!Y102&gt;=4,"A",IF('Data Source'!Y102&gt;=3.5,"A-",IF('Data Source'!Y102&gt;=3,"B",IF('Data Source'!Y102&gt;=2,"C",IF('Data Source'!Y102&gt;=1,"D","F")))))))</f>
        <v/>
      </c>
      <c r="H102" s="3">
        <f>IF('Data Source'!B102="","",IF('Data Source'!Z102&gt;=5,"A+",IF('Data Source'!Z102&gt;=4,"A",IF('Data Source'!Z102&gt;=3.5,"A-",IF('Data Source'!Z102&gt;=3,"B",IF('Data Source'!Z102&gt;=2,"C",IF('Data Source'!Z102&gt;=1,"D","F")))))))</f>
        <v/>
      </c>
      <c r="I102" s="3">
        <f>IF('Data Source'!B102="","",IF('Data Source'!AA102&gt;=5,"A+",IF('Data Source'!AA102&gt;=4,"A",IF('Data Source'!AA102&gt;=3.5,"A-",IF('Data Source'!AA102&gt;=3,"B",IF('Data Source'!AA102&gt;=2,"C",IF('Data Source'!AA102&gt;=1,"D","F")))))))</f>
        <v/>
      </c>
      <c r="J102" s="3">
        <f>IF('Data Source'!B102="","",IF('Data Source'!AB102&gt;=5,"A+",IF('Data Source'!AB102&gt;=4,"A",IF('Data Source'!AB102&gt;=3.5,"A-",IF('Data Source'!AB102&gt;=3,"B",IF('Data Source'!AB102&gt;=2,"C",IF('Data Source'!AB102&gt;=1,"D","F")))))))</f>
        <v/>
      </c>
      <c r="K102" s="3">
        <f>IF('Data Source'!B102="","",IF('Data Source'!AC102&gt;=5,"A+",IF('Data Source'!AC102&gt;=4,"A",IF('Data Source'!AC102&gt;=3.5,"A-",IF('Data Source'!AC102&gt;=3,"B",IF('Data Source'!AC102&gt;=2,"C",IF('Data Source'!AC102&gt;=1,"D","F")))))))</f>
        <v/>
      </c>
      <c r="L102" s="3">
        <f>IF('Data Source'!B102="","",IF('Data Source'!AD102&gt;=5,"A+",IF('Data Source'!AD102&gt;=4,"A",IF('Data Source'!AD102&gt;=3.5,"A-",IF('Data Source'!AD102&gt;=3,"B",IF('Data Source'!AD102&gt;=2,"C",IF('Data Source'!AD102&gt;=1,"D","F")))))))</f>
        <v/>
      </c>
      <c r="M102" s="3">
        <f>IF('Data Source'!B102="","",IF('Data Source'!AE102&gt;=5,"A+",IF('Data Source'!AE102&gt;=4,"A",IF('Data Source'!AE102&gt;=3.5,"A-",IF('Data Source'!AE102&gt;=3,"B",IF('Data Source'!AE102&gt;=2,"C",IF('Data Source'!AE102&gt;=1,"D","F")))))))</f>
        <v/>
      </c>
      <c r="N102" s="3">
        <f>IF('Data Source'!B102="","",IF('Data Source'!AF102&gt;=5,"A+",IF('Data Source'!AF102&gt;=4,"A",IF('Data Source'!AF102&gt;=3.5,"A-",IF('Data Source'!AF102&gt;=3,"B",IF('Data Source'!AF102&gt;=2,"C",IF('Data Source'!AF102&gt;=1,"D","F")))))))</f>
        <v/>
      </c>
      <c r="O102" s="3">
        <f>IF('Data Source'!B102="","",IF('Data Source'!AG102&gt;=5,"A+",IF('Data Source'!AG102&gt;=4,"A",IF('Data Source'!AG102&gt;=3.5,"A-",IF('Data Source'!AG102&gt;=3,"B",IF('Data Source'!AG102&gt;=2,"C",IF('Data Source'!AG102&gt;=1,"D","F")))))))</f>
        <v/>
      </c>
      <c r="P102" s="5">
        <f>IF('Data Source'!B102="","",'Data Source'!R102)</f>
        <v/>
      </c>
      <c r="Q102" s="3">
        <f>IF('Data Source'!B102="","",'Data Source'!S102)</f>
        <v/>
      </c>
    </row>
    <row r="103">
      <c r="A103" s="3">
        <f>IF('Data Source'!B103="","",'Data Source'!A103)</f>
        <v/>
      </c>
      <c r="B103">
        <f>IF('Data Source'!B103="","",'Data Source'!B103)</f>
        <v/>
      </c>
      <c r="C103" s="3">
        <f>IF('Data Source'!B103="","",IF('Data Source'!U103&gt;=5,"A+",IF('Data Source'!U103&gt;=4,"A",IF('Data Source'!U103&gt;=3.5,"A-",IF('Data Source'!U103&gt;=3,"B",IF('Data Source'!U103&gt;=2,"C",IF('Data Source'!U103&gt;=1,"D","F")))))))</f>
        <v/>
      </c>
      <c r="D103" s="3">
        <f>IF('Data Source'!B103="","",IF('Data Source'!V103&gt;=5,"A+",IF('Data Source'!V103&gt;=4,"A",IF('Data Source'!V103&gt;=3.5,"A-",IF('Data Source'!V103&gt;=3,"B",IF('Data Source'!V103&gt;=2,"C",IF('Data Source'!V103&gt;=1,"D","F")))))))</f>
        <v/>
      </c>
      <c r="E103" s="3">
        <f>IF('Data Source'!B103="","",IF('Data Source'!W103&gt;=5,"A+",IF('Data Source'!W103&gt;=4,"A",IF('Data Source'!W103&gt;=3.5,"A-",IF('Data Source'!W103&gt;=3,"B",IF('Data Source'!W103&gt;=2,"C",IF('Data Source'!W103&gt;=1,"D","F")))))))</f>
        <v/>
      </c>
      <c r="F103" s="3">
        <f>IF('Data Source'!B103="","",IF('Data Source'!X103&gt;=5,"A+",IF('Data Source'!X103&gt;=4,"A",IF('Data Source'!X103&gt;=3.5,"A-",IF('Data Source'!X103&gt;=3,"B",IF('Data Source'!X103&gt;=2,"C",IF('Data Source'!X103&gt;=1,"D","F")))))))</f>
        <v/>
      </c>
      <c r="G103" s="3">
        <f>IF('Data Source'!B103="","",IF('Data Source'!Y103&gt;=5,"A+",IF('Data Source'!Y103&gt;=4,"A",IF('Data Source'!Y103&gt;=3.5,"A-",IF('Data Source'!Y103&gt;=3,"B",IF('Data Source'!Y103&gt;=2,"C",IF('Data Source'!Y103&gt;=1,"D","F")))))))</f>
        <v/>
      </c>
      <c r="H103" s="3">
        <f>IF('Data Source'!B103="","",IF('Data Source'!Z103&gt;=5,"A+",IF('Data Source'!Z103&gt;=4,"A",IF('Data Source'!Z103&gt;=3.5,"A-",IF('Data Source'!Z103&gt;=3,"B",IF('Data Source'!Z103&gt;=2,"C",IF('Data Source'!Z103&gt;=1,"D","F")))))))</f>
        <v/>
      </c>
      <c r="I103" s="3">
        <f>IF('Data Source'!B103="","",IF('Data Source'!AA103&gt;=5,"A+",IF('Data Source'!AA103&gt;=4,"A",IF('Data Source'!AA103&gt;=3.5,"A-",IF('Data Source'!AA103&gt;=3,"B",IF('Data Source'!AA103&gt;=2,"C",IF('Data Source'!AA103&gt;=1,"D","F")))))))</f>
        <v/>
      </c>
      <c r="J103" s="3">
        <f>IF('Data Source'!B103="","",IF('Data Source'!AB103&gt;=5,"A+",IF('Data Source'!AB103&gt;=4,"A",IF('Data Source'!AB103&gt;=3.5,"A-",IF('Data Source'!AB103&gt;=3,"B",IF('Data Source'!AB103&gt;=2,"C",IF('Data Source'!AB103&gt;=1,"D","F")))))))</f>
        <v/>
      </c>
      <c r="K103" s="3">
        <f>IF('Data Source'!B103="","",IF('Data Source'!AC103&gt;=5,"A+",IF('Data Source'!AC103&gt;=4,"A",IF('Data Source'!AC103&gt;=3.5,"A-",IF('Data Source'!AC103&gt;=3,"B",IF('Data Source'!AC103&gt;=2,"C",IF('Data Source'!AC103&gt;=1,"D","F")))))))</f>
        <v/>
      </c>
      <c r="L103" s="3">
        <f>IF('Data Source'!B103="","",IF('Data Source'!AD103&gt;=5,"A+",IF('Data Source'!AD103&gt;=4,"A",IF('Data Source'!AD103&gt;=3.5,"A-",IF('Data Source'!AD103&gt;=3,"B",IF('Data Source'!AD103&gt;=2,"C",IF('Data Source'!AD103&gt;=1,"D","F")))))))</f>
        <v/>
      </c>
      <c r="M103" s="3">
        <f>IF('Data Source'!B103="","",IF('Data Source'!AE103&gt;=5,"A+",IF('Data Source'!AE103&gt;=4,"A",IF('Data Source'!AE103&gt;=3.5,"A-",IF('Data Source'!AE103&gt;=3,"B",IF('Data Source'!AE103&gt;=2,"C",IF('Data Source'!AE103&gt;=1,"D","F")))))))</f>
        <v/>
      </c>
      <c r="N103" s="3">
        <f>IF('Data Source'!B103="","",IF('Data Source'!AF103&gt;=5,"A+",IF('Data Source'!AF103&gt;=4,"A",IF('Data Source'!AF103&gt;=3.5,"A-",IF('Data Source'!AF103&gt;=3,"B",IF('Data Source'!AF103&gt;=2,"C",IF('Data Source'!AF103&gt;=1,"D","F")))))))</f>
        <v/>
      </c>
      <c r="O103" s="3">
        <f>IF('Data Source'!B103="","",IF('Data Source'!AG103&gt;=5,"A+",IF('Data Source'!AG103&gt;=4,"A",IF('Data Source'!AG103&gt;=3.5,"A-",IF('Data Source'!AG103&gt;=3,"B",IF('Data Source'!AG103&gt;=2,"C",IF('Data Source'!AG103&gt;=1,"D","F")))))))</f>
        <v/>
      </c>
      <c r="P103" s="5">
        <f>IF('Data Source'!B103="","",'Data Source'!R103)</f>
        <v/>
      </c>
      <c r="Q103" s="3">
        <f>IF('Data Source'!B103="","",'Data Source'!S103)</f>
        <v/>
      </c>
    </row>
    <row r="104">
      <c r="A104" s="3">
        <f>IF('Data Source'!B104="","",'Data Source'!A104)</f>
        <v/>
      </c>
      <c r="B104">
        <f>IF('Data Source'!B104="","",'Data Source'!B104)</f>
        <v/>
      </c>
      <c r="C104" s="3">
        <f>IF('Data Source'!B104="","",IF('Data Source'!U104&gt;=5,"A+",IF('Data Source'!U104&gt;=4,"A",IF('Data Source'!U104&gt;=3.5,"A-",IF('Data Source'!U104&gt;=3,"B",IF('Data Source'!U104&gt;=2,"C",IF('Data Source'!U104&gt;=1,"D","F")))))))</f>
        <v/>
      </c>
      <c r="D104" s="3">
        <f>IF('Data Source'!B104="","",IF('Data Source'!V104&gt;=5,"A+",IF('Data Source'!V104&gt;=4,"A",IF('Data Source'!V104&gt;=3.5,"A-",IF('Data Source'!V104&gt;=3,"B",IF('Data Source'!V104&gt;=2,"C",IF('Data Source'!V104&gt;=1,"D","F")))))))</f>
        <v/>
      </c>
      <c r="E104" s="3">
        <f>IF('Data Source'!B104="","",IF('Data Source'!W104&gt;=5,"A+",IF('Data Source'!W104&gt;=4,"A",IF('Data Source'!W104&gt;=3.5,"A-",IF('Data Source'!W104&gt;=3,"B",IF('Data Source'!W104&gt;=2,"C",IF('Data Source'!W104&gt;=1,"D","F")))))))</f>
        <v/>
      </c>
      <c r="F104" s="3">
        <f>IF('Data Source'!B104="","",IF('Data Source'!X104&gt;=5,"A+",IF('Data Source'!X104&gt;=4,"A",IF('Data Source'!X104&gt;=3.5,"A-",IF('Data Source'!X104&gt;=3,"B",IF('Data Source'!X104&gt;=2,"C",IF('Data Source'!X104&gt;=1,"D","F")))))))</f>
        <v/>
      </c>
      <c r="G104" s="3">
        <f>IF('Data Source'!B104="","",IF('Data Source'!Y104&gt;=5,"A+",IF('Data Source'!Y104&gt;=4,"A",IF('Data Source'!Y104&gt;=3.5,"A-",IF('Data Source'!Y104&gt;=3,"B",IF('Data Source'!Y104&gt;=2,"C",IF('Data Source'!Y104&gt;=1,"D","F")))))))</f>
        <v/>
      </c>
      <c r="H104" s="3">
        <f>IF('Data Source'!B104="","",IF('Data Source'!Z104&gt;=5,"A+",IF('Data Source'!Z104&gt;=4,"A",IF('Data Source'!Z104&gt;=3.5,"A-",IF('Data Source'!Z104&gt;=3,"B",IF('Data Source'!Z104&gt;=2,"C",IF('Data Source'!Z104&gt;=1,"D","F")))))))</f>
        <v/>
      </c>
      <c r="I104" s="3">
        <f>IF('Data Source'!B104="","",IF('Data Source'!AA104&gt;=5,"A+",IF('Data Source'!AA104&gt;=4,"A",IF('Data Source'!AA104&gt;=3.5,"A-",IF('Data Source'!AA104&gt;=3,"B",IF('Data Source'!AA104&gt;=2,"C",IF('Data Source'!AA104&gt;=1,"D","F")))))))</f>
        <v/>
      </c>
      <c r="J104" s="3">
        <f>IF('Data Source'!B104="","",IF('Data Source'!AB104&gt;=5,"A+",IF('Data Source'!AB104&gt;=4,"A",IF('Data Source'!AB104&gt;=3.5,"A-",IF('Data Source'!AB104&gt;=3,"B",IF('Data Source'!AB104&gt;=2,"C",IF('Data Source'!AB104&gt;=1,"D","F")))))))</f>
        <v/>
      </c>
      <c r="K104" s="3">
        <f>IF('Data Source'!B104="","",IF('Data Source'!AC104&gt;=5,"A+",IF('Data Source'!AC104&gt;=4,"A",IF('Data Source'!AC104&gt;=3.5,"A-",IF('Data Source'!AC104&gt;=3,"B",IF('Data Source'!AC104&gt;=2,"C",IF('Data Source'!AC104&gt;=1,"D","F")))))))</f>
        <v/>
      </c>
      <c r="L104" s="3">
        <f>IF('Data Source'!B104="","",IF('Data Source'!AD104&gt;=5,"A+",IF('Data Source'!AD104&gt;=4,"A",IF('Data Source'!AD104&gt;=3.5,"A-",IF('Data Source'!AD104&gt;=3,"B",IF('Data Source'!AD104&gt;=2,"C",IF('Data Source'!AD104&gt;=1,"D","F")))))))</f>
        <v/>
      </c>
      <c r="M104" s="3">
        <f>IF('Data Source'!B104="","",IF('Data Source'!AE104&gt;=5,"A+",IF('Data Source'!AE104&gt;=4,"A",IF('Data Source'!AE104&gt;=3.5,"A-",IF('Data Source'!AE104&gt;=3,"B",IF('Data Source'!AE104&gt;=2,"C",IF('Data Source'!AE104&gt;=1,"D","F")))))))</f>
        <v/>
      </c>
      <c r="N104" s="3">
        <f>IF('Data Source'!B104="","",IF('Data Source'!AF104&gt;=5,"A+",IF('Data Source'!AF104&gt;=4,"A",IF('Data Source'!AF104&gt;=3.5,"A-",IF('Data Source'!AF104&gt;=3,"B",IF('Data Source'!AF104&gt;=2,"C",IF('Data Source'!AF104&gt;=1,"D","F")))))))</f>
        <v/>
      </c>
      <c r="O104" s="3">
        <f>IF('Data Source'!B104="","",IF('Data Source'!AG104&gt;=5,"A+",IF('Data Source'!AG104&gt;=4,"A",IF('Data Source'!AG104&gt;=3.5,"A-",IF('Data Source'!AG104&gt;=3,"B",IF('Data Source'!AG104&gt;=2,"C",IF('Data Source'!AG104&gt;=1,"D","F")))))))</f>
        <v/>
      </c>
      <c r="P104" s="5">
        <f>IF('Data Source'!B104="","",'Data Source'!R104)</f>
        <v/>
      </c>
      <c r="Q104" s="3">
        <f>IF('Data Source'!B104="","",'Data Source'!S104)</f>
        <v/>
      </c>
    </row>
    <row r="105">
      <c r="A105" s="3">
        <f>IF('Data Source'!B105="","",'Data Source'!A105)</f>
        <v/>
      </c>
      <c r="B105">
        <f>IF('Data Source'!B105="","",'Data Source'!B105)</f>
        <v/>
      </c>
      <c r="C105" s="3">
        <f>IF('Data Source'!B105="","",IF('Data Source'!U105&gt;=5,"A+",IF('Data Source'!U105&gt;=4,"A",IF('Data Source'!U105&gt;=3.5,"A-",IF('Data Source'!U105&gt;=3,"B",IF('Data Source'!U105&gt;=2,"C",IF('Data Source'!U105&gt;=1,"D","F")))))))</f>
        <v/>
      </c>
      <c r="D105" s="3">
        <f>IF('Data Source'!B105="","",IF('Data Source'!V105&gt;=5,"A+",IF('Data Source'!V105&gt;=4,"A",IF('Data Source'!V105&gt;=3.5,"A-",IF('Data Source'!V105&gt;=3,"B",IF('Data Source'!V105&gt;=2,"C",IF('Data Source'!V105&gt;=1,"D","F")))))))</f>
        <v/>
      </c>
      <c r="E105" s="3">
        <f>IF('Data Source'!B105="","",IF('Data Source'!W105&gt;=5,"A+",IF('Data Source'!W105&gt;=4,"A",IF('Data Source'!W105&gt;=3.5,"A-",IF('Data Source'!W105&gt;=3,"B",IF('Data Source'!W105&gt;=2,"C",IF('Data Source'!W105&gt;=1,"D","F")))))))</f>
        <v/>
      </c>
      <c r="F105" s="3">
        <f>IF('Data Source'!B105="","",IF('Data Source'!X105&gt;=5,"A+",IF('Data Source'!X105&gt;=4,"A",IF('Data Source'!X105&gt;=3.5,"A-",IF('Data Source'!X105&gt;=3,"B",IF('Data Source'!X105&gt;=2,"C",IF('Data Source'!X105&gt;=1,"D","F")))))))</f>
        <v/>
      </c>
      <c r="G105" s="3">
        <f>IF('Data Source'!B105="","",IF('Data Source'!Y105&gt;=5,"A+",IF('Data Source'!Y105&gt;=4,"A",IF('Data Source'!Y105&gt;=3.5,"A-",IF('Data Source'!Y105&gt;=3,"B",IF('Data Source'!Y105&gt;=2,"C",IF('Data Source'!Y105&gt;=1,"D","F")))))))</f>
        <v/>
      </c>
      <c r="H105" s="3">
        <f>IF('Data Source'!B105="","",IF('Data Source'!Z105&gt;=5,"A+",IF('Data Source'!Z105&gt;=4,"A",IF('Data Source'!Z105&gt;=3.5,"A-",IF('Data Source'!Z105&gt;=3,"B",IF('Data Source'!Z105&gt;=2,"C",IF('Data Source'!Z105&gt;=1,"D","F")))))))</f>
        <v/>
      </c>
      <c r="I105" s="3">
        <f>IF('Data Source'!B105="","",IF('Data Source'!AA105&gt;=5,"A+",IF('Data Source'!AA105&gt;=4,"A",IF('Data Source'!AA105&gt;=3.5,"A-",IF('Data Source'!AA105&gt;=3,"B",IF('Data Source'!AA105&gt;=2,"C",IF('Data Source'!AA105&gt;=1,"D","F")))))))</f>
        <v/>
      </c>
      <c r="J105" s="3">
        <f>IF('Data Source'!B105="","",IF('Data Source'!AB105&gt;=5,"A+",IF('Data Source'!AB105&gt;=4,"A",IF('Data Source'!AB105&gt;=3.5,"A-",IF('Data Source'!AB105&gt;=3,"B",IF('Data Source'!AB105&gt;=2,"C",IF('Data Source'!AB105&gt;=1,"D","F")))))))</f>
        <v/>
      </c>
      <c r="K105" s="3">
        <f>IF('Data Source'!B105="","",IF('Data Source'!AC105&gt;=5,"A+",IF('Data Source'!AC105&gt;=4,"A",IF('Data Source'!AC105&gt;=3.5,"A-",IF('Data Source'!AC105&gt;=3,"B",IF('Data Source'!AC105&gt;=2,"C",IF('Data Source'!AC105&gt;=1,"D","F")))))))</f>
        <v/>
      </c>
      <c r="L105" s="3">
        <f>IF('Data Source'!B105="","",IF('Data Source'!AD105&gt;=5,"A+",IF('Data Source'!AD105&gt;=4,"A",IF('Data Source'!AD105&gt;=3.5,"A-",IF('Data Source'!AD105&gt;=3,"B",IF('Data Source'!AD105&gt;=2,"C",IF('Data Source'!AD105&gt;=1,"D","F")))))))</f>
        <v/>
      </c>
      <c r="M105" s="3">
        <f>IF('Data Source'!B105="","",IF('Data Source'!AE105&gt;=5,"A+",IF('Data Source'!AE105&gt;=4,"A",IF('Data Source'!AE105&gt;=3.5,"A-",IF('Data Source'!AE105&gt;=3,"B",IF('Data Source'!AE105&gt;=2,"C",IF('Data Source'!AE105&gt;=1,"D","F")))))))</f>
        <v/>
      </c>
      <c r="N105" s="3">
        <f>IF('Data Source'!B105="","",IF('Data Source'!AF105&gt;=5,"A+",IF('Data Source'!AF105&gt;=4,"A",IF('Data Source'!AF105&gt;=3.5,"A-",IF('Data Source'!AF105&gt;=3,"B",IF('Data Source'!AF105&gt;=2,"C",IF('Data Source'!AF105&gt;=1,"D","F")))))))</f>
        <v/>
      </c>
      <c r="O105" s="3">
        <f>IF('Data Source'!B105="","",IF('Data Source'!AG105&gt;=5,"A+",IF('Data Source'!AG105&gt;=4,"A",IF('Data Source'!AG105&gt;=3.5,"A-",IF('Data Source'!AG105&gt;=3,"B",IF('Data Source'!AG105&gt;=2,"C",IF('Data Source'!AG105&gt;=1,"D","F")))))))</f>
        <v/>
      </c>
      <c r="P105" s="5">
        <f>IF('Data Source'!B105="","",'Data Source'!R105)</f>
        <v/>
      </c>
      <c r="Q105" s="3">
        <f>IF('Data Source'!B105="","",'Data Source'!S105)</f>
        <v/>
      </c>
    </row>
    <row r="106">
      <c r="A106" s="3">
        <f>IF('Data Source'!B106="","",'Data Source'!A106)</f>
        <v/>
      </c>
      <c r="B106">
        <f>IF('Data Source'!B106="","",'Data Source'!B106)</f>
        <v/>
      </c>
      <c r="C106" s="3">
        <f>IF('Data Source'!B106="","",IF('Data Source'!U106&gt;=5,"A+",IF('Data Source'!U106&gt;=4,"A",IF('Data Source'!U106&gt;=3.5,"A-",IF('Data Source'!U106&gt;=3,"B",IF('Data Source'!U106&gt;=2,"C",IF('Data Source'!U106&gt;=1,"D","F")))))))</f>
        <v/>
      </c>
      <c r="D106" s="3">
        <f>IF('Data Source'!B106="","",IF('Data Source'!V106&gt;=5,"A+",IF('Data Source'!V106&gt;=4,"A",IF('Data Source'!V106&gt;=3.5,"A-",IF('Data Source'!V106&gt;=3,"B",IF('Data Source'!V106&gt;=2,"C",IF('Data Source'!V106&gt;=1,"D","F")))))))</f>
        <v/>
      </c>
      <c r="E106" s="3">
        <f>IF('Data Source'!B106="","",IF('Data Source'!W106&gt;=5,"A+",IF('Data Source'!W106&gt;=4,"A",IF('Data Source'!W106&gt;=3.5,"A-",IF('Data Source'!W106&gt;=3,"B",IF('Data Source'!W106&gt;=2,"C",IF('Data Source'!W106&gt;=1,"D","F")))))))</f>
        <v/>
      </c>
      <c r="F106" s="3">
        <f>IF('Data Source'!B106="","",IF('Data Source'!X106&gt;=5,"A+",IF('Data Source'!X106&gt;=4,"A",IF('Data Source'!X106&gt;=3.5,"A-",IF('Data Source'!X106&gt;=3,"B",IF('Data Source'!X106&gt;=2,"C",IF('Data Source'!X106&gt;=1,"D","F")))))))</f>
        <v/>
      </c>
      <c r="G106" s="3">
        <f>IF('Data Source'!B106="","",IF('Data Source'!Y106&gt;=5,"A+",IF('Data Source'!Y106&gt;=4,"A",IF('Data Source'!Y106&gt;=3.5,"A-",IF('Data Source'!Y106&gt;=3,"B",IF('Data Source'!Y106&gt;=2,"C",IF('Data Source'!Y106&gt;=1,"D","F")))))))</f>
        <v/>
      </c>
      <c r="H106" s="3">
        <f>IF('Data Source'!B106="","",IF('Data Source'!Z106&gt;=5,"A+",IF('Data Source'!Z106&gt;=4,"A",IF('Data Source'!Z106&gt;=3.5,"A-",IF('Data Source'!Z106&gt;=3,"B",IF('Data Source'!Z106&gt;=2,"C",IF('Data Source'!Z106&gt;=1,"D","F")))))))</f>
        <v/>
      </c>
      <c r="I106" s="3">
        <f>IF('Data Source'!B106="","",IF('Data Source'!AA106&gt;=5,"A+",IF('Data Source'!AA106&gt;=4,"A",IF('Data Source'!AA106&gt;=3.5,"A-",IF('Data Source'!AA106&gt;=3,"B",IF('Data Source'!AA106&gt;=2,"C",IF('Data Source'!AA106&gt;=1,"D","F")))))))</f>
        <v/>
      </c>
      <c r="J106" s="3">
        <f>IF('Data Source'!B106="","",IF('Data Source'!AB106&gt;=5,"A+",IF('Data Source'!AB106&gt;=4,"A",IF('Data Source'!AB106&gt;=3.5,"A-",IF('Data Source'!AB106&gt;=3,"B",IF('Data Source'!AB106&gt;=2,"C",IF('Data Source'!AB106&gt;=1,"D","F")))))))</f>
        <v/>
      </c>
      <c r="K106" s="3">
        <f>IF('Data Source'!B106="","",IF('Data Source'!AC106&gt;=5,"A+",IF('Data Source'!AC106&gt;=4,"A",IF('Data Source'!AC106&gt;=3.5,"A-",IF('Data Source'!AC106&gt;=3,"B",IF('Data Source'!AC106&gt;=2,"C",IF('Data Source'!AC106&gt;=1,"D","F")))))))</f>
        <v/>
      </c>
      <c r="L106" s="3">
        <f>IF('Data Source'!B106="","",IF('Data Source'!AD106&gt;=5,"A+",IF('Data Source'!AD106&gt;=4,"A",IF('Data Source'!AD106&gt;=3.5,"A-",IF('Data Source'!AD106&gt;=3,"B",IF('Data Source'!AD106&gt;=2,"C",IF('Data Source'!AD106&gt;=1,"D","F")))))))</f>
        <v/>
      </c>
      <c r="M106" s="3">
        <f>IF('Data Source'!B106="","",IF('Data Source'!AE106&gt;=5,"A+",IF('Data Source'!AE106&gt;=4,"A",IF('Data Source'!AE106&gt;=3.5,"A-",IF('Data Source'!AE106&gt;=3,"B",IF('Data Source'!AE106&gt;=2,"C",IF('Data Source'!AE106&gt;=1,"D","F")))))))</f>
        <v/>
      </c>
      <c r="N106" s="3">
        <f>IF('Data Source'!B106="","",IF('Data Source'!AF106&gt;=5,"A+",IF('Data Source'!AF106&gt;=4,"A",IF('Data Source'!AF106&gt;=3.5,"A-",IF('Data Source'!AF106&gt;=3,"B",IF('Data Source'!AF106&gt;=2,"C",IF('Data Source'!AF106&gt;=1,"D","F")))))))</f>
        <v/>
      </c>
      <c r="O106" s="3">
        <f>IF('Data Source'!B106="","",IF('Data Source'!AG106&gt;=5,"A+",IF('Data Source'!AG106&gt;=4,"A",IF('Data Source'!AG106&gt;=3.5,"A-",IF('Data Source'!AG106&gt;=3,"B",IF('Data Source'!AG106&gt;=2,"C",IF('Data Source'!AG106&gt;=1,"D","F")))))))</f>
        <v/>
      </c>
      <c r="P106" s="5">
        <f>IF('Data Source'!B106="","",'Data Source'!R106)</f>
        <v/>
      </c>
      <c r="Q106" s="3">
        <f>IF('Data Source'!B106="","",'Data Source'!S106)</f>
        <v/>
      </c>
    </row>
    <row r="107">
      <c r="A107" s="3">
        <f>IF('Data Source'!B107="","",'Data Source'!A107)</f>
        <v/>
      </c>
      <c r="B107">
        <f>IF('Data Source'!B107="","",'Data Source'!B107)</f>
        <v/>
      </c>
      <c r="C107" s="3">
        <f>IF('Data Source'!B107="","",IF('Data Source'!U107&gt;=5,"A+",IF('Data Source'!U107&gt;=4,"A",IF('Data Source'!U107&gt;=3.5,"A-",IF('Data Source'!U107&gt;=3,"B",IF('Data Source'!U107&gt;=2,"C",IF('Data Source'!U107&gt;=1,"D","F")))))))</f>
        <v/>
      </c>
      <c r="D107" s="3">
        <f>IF('Data Source'!B107="","",IF('Data Source'!V107&gt;=5,"A+",IF('Data Source'!V107&gt;=4,"A",IF('Data Source'!V107&gt;=3.5,"A-",IF('Data Source'!V107&gt;=3,"B",IF('Data Source'!V107&gt;=2,"C",IF('Data Source'!V107&gt;=1,"D","F")))))))</f>
        <v/>
      </c>
      <c r="E107" s="3">
        <f>IF('Data Source'!B107="","",IF('Data Source'!W107&gt;=5,"A+",IF('Data Source'!W107&gt;=4,"A",IF('Data Source'!W107&gt;=3.5,"A-",IF('Data Source'!W107&gt;=3,"B",IF('Data Source'!W107&gt;=2,"C",IF('Data Source'!W107&gt;=1,"D","F")))))))</f>
        <v/>
      </c>
      <c r="F107" s="3">
        <f>IF('Data Source'!B107="","",IF('Data Source'!X107&gt;=5,"A+",IF('Data Source'!X107&gt;=4,"A",IF('Data Source'!X107&gt;=3.5,"A-",IF('Data Source'!X107&gt;=3,"B",IF('Data Source'!X107&gt;=2,"C",IF('Data Source'!X107&gt;=1,"D","F")))))))</f>
        <v/>
      </c>
      <c r="G107" s="3">
        <f>IF('Data Source'!B107="","",IF('Data Source'!Y107&gt;=5,"A+",IF('Data Source'!Y107&gt;=4,"A",IF('Data Source'!Y107&gt;=3.5,"A-",IF('Data Source'!Y107&gt;=3,"B",IF('Data Source'!Y107&gt;=2,"C",IF('Data Source'!Y107&gt;=1,"D","F")))))))</f>
        <v/>
      </c>
      <c r="H107" s="3">
        <f>IF('Data Source'!B107="","",IF('Data Source'!Z107&gt;=5,"A+",IF('Data Source'!Z107&gt;=4,"A",IF('Data Source'!Z107&gt;=3.5,"A-",IF('Data Source'!Z107&gt;=3,"B",IF('Data Source'!Z107&gt;=2,"C",IF('Data Source'!Z107&gt;=1,"D","F")))))))</f>
        <v/>
      </c>
      <c r="I107" s="3">
        <f>IF('Data Source'!B107="","",IF('Data Source'!AA107&gt;=5,"A+",IF('Data Source'!AA107&gt;=4,"A",IF('Data Source'!AA107&gt;=3.5,"A-",IF('Data Source'!AA107&gt;=3,"B",IF('Data Source'!AA107&gt;=2,"C",IF('Data Source'!AA107&gt;=1,"D","F")))))))</f>
        <v/>
      </c>
      <c r="J107" s="3">
        <f>IF('Data Source'!B107="","",IF('Data Source'!AB107&gt;=5,"A+",IF('Data Source'!AB107&gt;=4,"A",IF('Data Source'!AB107&gt;=3.5,"A-",IF('Data Source'!AB107&gt;=3,"B",IF('Data Source'!AB107&gt;=2,"C",IF('Data Source'!AB107&gt;=1,"D","F")))))))</f>
        <v/>
      </c>
      <c r="K107" s="3">
        <f>IF('Data Source'!B107="","",IF('Data Source'!AC107&gt;=5,"A+",IF('Data Source'!AC107&gt;=4,"A",IF('Data Source'!AC107&gt;=3.5,"A-",IF('Data Source'!AC107&gt;=3,"B",IF('Data Source'!AC107&gt;=2,"C",IF('Data Source'!AC107&gt;=1,"D","F")))))))</f>
        <v/>
      </c>
      <c r="L107" s="3">
        <f>IF('Data Source'!B107="","",IF('Data Source'!AD107&gt;=5,"A+",IF('Data Source'!AD107&gt;=4,"A",IF('Data Source'!AD107&gt;=3.5,"A-",IF('Data Source'!AD107&gt;=3,"B",IF('Data Source'!AD107&gt;=2,"C",IF('Data Source'!AD107&gt;=1,"D","F")))))))</f>
        <v/>
      </c>
      <c r="M107" s="3">
        <f>IF('Data Source'!B107="","",IF('Data Source'!AE107&gt;=5,"A+",IF('Data Source'!AE107&gt;=4,"A",IF('Data Source'!AE107&gt;=3.5,"A-",IF('Data Source'!AE107&gt;=3,"B",IF('Data Source'!AE107&gt;=2,"C",IF('Data Source'!AE107&gt;=1,"D","F")))))))</f>
        <v/>
      </c>
      <c r="N107" s="3">
        <f>IF('Data Source'!B107="","",IF('Data Source'!AF107&gt;=5,"A+",IF('Data Source'!AF107&gt;=4,"A",IF('Data Source'!AF107&gt;=3.5,"A-",IF('Data Source'!AF107&gt;=3,"B",IF('Data Source'!AF107&gt;=2,"C",IF('Data Source'!AF107&gt;=1,"D","F")))))))</f>
        <v/>
      </c>
      <c r="O107" s="3">
        <f>IF('Data Source'!B107="","",IF('Data Source'!AG107&gt;=5,"A+",IF('Data Source'!AG107&gt;=4,"A",IF('Data Source'!AG107&gt;=3.5,"A-",IF('Data Source'!AG107&gt;=3,"B",IF('Data Source'!AG107&gt;=2,"C",IF('Data Source'!AG107&gt;=1,"D","F")))))))</f>
        <v/>
      </c>
      <c r="P107" s="5">
        <f>IF('Data Source'!B107="","",'Data Source'!R107)</f>
        <v/>
      </c>
      <c r="Q107" s="3">
        <f>IF('Data Source'!B107="","",'Data Source'!S107)</f>
        <v/>
      </c>
    </row>
    <row r="108">
      <c r="A108" s="3">
        <f>IF('Data Source'!B108="","",'Data Source'!A108)</f>
        <v/>
      </c>
      <c r="B108">
        <f>IF('Data Source'!B108="","",'Data Source'!B108)</f>
        <v/>
      </c>
      <c r="C108" s="3">
        <f>IF('Data Source'!B108="","",IF('Data Source'!U108&gt;=5,"A+",IF('Data Source'!U108&gt;=4,"A",IF('Data Source'!U108&gt;=3.5,"A-",IF('Data Source'!U108&gt;=3,"B",IF('Data Source'!U108&gt;=2,"C",IF('Data Source'!U108&gt;=1,"D","F")))))))</f>
        <v/>
      </c>
      <c r="D108" s="3">
        <f>IF('Data Source'!B108="","",IF('Data Source'!V108&gt;=5,"A+",IF('Data Source'!V108&gt;=4,"A",IF('Data Source'!V108&gt;=3.5,"A-",IF('Data Source'!V108&gt;=3,"B",IF('Data Source'!V108&gt;=2,"C",IF('Data Source'!V108&gt;=1,"D","F")))))))</f>
        <v/>
      </c>
      <c r="E108" s="3">
        <f>IF('Data Source'!B108="","",IF('Data Source'!W108&gt;=5,"A+",IF('Data Source'!W108&gt;=4,"A",IF('Data Source'!W108&gt;=3.5,"A-",IF('Data Source'!W108&gt;=3,"B",IF('Data Source'!W108&gt;=2,"C",IF('Data Source'!W108&gt;=1,"D","F")))))))</f>
        <v/>
      </c>
      <c r="F108" s="3">
        <f>IF('Data Source'!B108="","",IF('Data Source'!X108&gt;=5,"A+",IF('Data Source'!X108&gt;=4,"A",IF('Data Source'!X108&gt;=3.5,"A-",IF('Data Source'!X108&gt;=3,"B",IF('Data Source'!X108&gt;=2,"C",IF('Data Source'!X108&gt;=1,"D","F")))))))</f>
        <v/>
      </c>
      <c r="G108" s="3">
        <f>IF('Data Source'!B108="","",IF('Data Source'!Y108&gt;=5,"A+",IF('Data Source'!Y108&gt;=4,"A",IF('Data Source'!Y108&gt;=3.5,"A-",IF('Data Source'!Y108&gt;=3,"B",IF('Data Source'!Y108&gt;=2,"C",IF('Data Source'!Y108&gt;=1,"D","F")))))))</f>
        <v/>
      </c>
      <c r="H108" s="3">
        <f>IF('Data Source'!B108="","",IF('Data Source'!Z108&gt;=5,"A+",IF('Data Source'!Z108&gt;=4,"A",IF('Data Source'!Z108&gt;=3.5,"A-",IF('Data Source'!Z108&gt;=3,"B",IF('Data Source'!Z108&gt;=2,"C",IF('Data Source'!Z108&gt;=1,"D","F")))))))</f>
        <v/>
      </c>
      <c r="I108" s="3">
        <f>IF('Data Source'!B108="","",IF('Data Source'!AA108&gt;=5,"A+",IF('Data Source'!AA108&gt;=4,"A",IF('Data Source'!AA108&gt;=3.5,"A-",IF('Data Source'!AA108&gt;=3,"B",IF('Data Source'!AA108&gt;=2,"C",IF('Data Source'!AA108&gt;=1,"D","F")))))))</f>
        <v/>
      </c>
      <c r="J108" s="3">
        <f>IF('Data Source'!B108="","",IF('Data Source'!AB108&gt;=5,"A+",IF('Data Source'!AB108&gt;=4,"A",IF('Data Source'!AB108&gt;=3.5,"A-",IF('Data Source'!AB108&gt;=3,"B",IF('Data Source'!AB108&gt;=2,"C",IF('Data Source'!AB108&gt;=1,"D","F")))))))</f>
        <v/>
      </c>
      <c r="K108" s="3">
        <f>IF('Data Source'!B108="","",IF('Data Source'!AC108&gt;=5,"A+",IF('Data Source'!AC108&gt;=4,"A",IF('Data Source'!AC108&gt;=3.5,"A-",IF('Data Source'!AC108&gt;=3,"B",IF('Data Source'!AC108&gt;=2,"C",IF('Data Source'!AC108&gt;=1,"D","F")))))))</f>
        <v/>
      </c>
      <c r="L108" s="3">
        <f>IF('Data Source'!B108="","",IF('Data Source'!AD108&gt;=5,"A+",IF('Data Source'!AD108&gt;=4,"A",IF('Data Source'!AD108&gt;=3.5,"A-",IF('Data Source'!AD108&gt;=3,"B",IF('Data Source'!AD108&gt;=2,"C",IF('Data Source'!AD108&gt;=1,"D","F")))))))</f>
        <v/>
      </c>
      <c r="M108" s="3">
        <f>IF('Data Source'!B108="","",IF('Data Source'!AE108&gt;=5,"A+",IF('Data Source'!AE108&gt;=4,"A",IF('Data Source'!AE108&gt;=3.5,"A-",IF('Data Source'!AE108&gt;=3,"B",IF('Data Source'!AE108&gt;=2,"C",IF('Data Source'!AE108&gt;=1,"D","F")))))))</f>
        <v/>
      </c>
      <c r="N108" s="3">
        <f>IF('Data Source'!B108="","",IF('Data Source'!AF108&gt;=5,"A+",IF('Data Source'!AF108&gt;=4,"A",IF('Data Source'!AF108&gt;=3.5,"A-",IF('Data Source'!AF108&gt;=3,"B",IF('Data Source'!AF108&gt;=2,"C",IF('Data Source'!AF108&gt;=1,"D","F")))))))</f>
        <v/>
      </c>
      <c r="O108" s="3">
        <f>IF('Data Source'!B108="","",IF('Data Source'!AG108&gt;=5,"A+",IF('Data Source'!AG108&gt;=4,"A",IF('Data Source'!AG108&gt;=3.5,"A-",IF('Data Source'!AG108&gt;=3,"B",IF('Data Source'!AG108&gt;=2,"C",IF('Data Source'!AG108&gt;=1,"D","F")))))))</f>
        <v/>
      </c>
      <c r="P108" s="5">
        <f>IF('Data Source'!B108="","",'Data Source'!R108)</f>
        <v/>
      </c>
      <c r="Q108" s="3">
        <f>IF('Data Source'!B108="","",'Data Source'!S108)</f>
        <v/>
      </c>
    </row>
    <row r="109">
      <c r="A109" s="3">
        <f>IF('Data Source'!B109="","",'Data Source'!A109)</f>
        <v/>
      </c>
      <c r="B109">
        <f>IF('Data Source'!B109="","",'Data Source'!B109)</f>
        <v/>
      </c>
      <c r="C109" s="3">
        <f>IF('Data Source'!B109="","",IF('Data Source'!U109&gt;=5,"A+",IF('Data Source'!U109&gt;=4,"A",IF('Data Source'!U109&gt;=3.5,"A-",IF('Data Source'!U109&gt;=3,"B",IF('Data Source'!U109&gt;=2,"C",IF('Data Source'!U109&gt;=1,"D","F")))))))</f>
        <v/>
      </c>
      <c r="D109" s="3">
        <f>IF('Data Source'!B109="","",IF('Data Source'!V109&gt;=5,"A+",IF('Data Source'!V109&gt;=4,"A",IF('Data Source'!V109&gt;=3.5,"A-",IF('Data Source'!V109&gt;=3,"B",IF('Data Source'!V109&gt;=2,"C",IF('Data Source'!V109&gt;=1,"D","F")))))))</f>
        <v/>
      </c>
      <c r="E109" s="3">
        <f>IF('Data Source'!B109="","",IF('Data Source'!W109&gt;=5,"A+",IF('Data Source'!W109&gt;=4,"A",IF('Data Source'!W109&gt;=3.5,"A-",IF('Data Source'!W109&gt;=3,"B",IF('Data Source'!W109&gt;=2,"C",IF('Data Source'!W109&gt;=1,"D","F")))))))</f>
        <v/>
      </c>
      <c r="F109" s="3">
        <f>IF('Data Source'!B109="","",IF('Data Source'!X109&gt;=5,"A+",IF('Data Source'!X109&gt;=4,"A",IF('Data Source'!X109&gt;=3.5,"A-",IF('Data Source'!X109&gt;=3,"B",IF('Data Source'!X109&gt;=2,"C",IF('Data Source'!X109&gt;=1,"D","F")))))))</f>
        <v/>
      </c>
      <c r="G109" s="3">
        <f>IF('Data Source'!B109="","",IF('Data Source'!Y109&gt;=5,"A+",IF('Data Source'!Y109&gt;=4,"A",IF('Data Source'!Y109&gt;=3.5,"A-",IF('Data Source'!Y109&gt;=3,"B",IF('Data Source'!Y109&gt;=2,"C",IF('Data Source'!Y109&gt;=1,"D","F")))))))</f>
        <v/>
      </c>
      <c r="H109" s="3">
        <f>IF('Data Source'!B109="","",IF('Data Source'!Z109&gt;=5,"A+",IF('Data Source'!Z109&gt;=4,"A",IF('Data Source'!Z109&gt;=3.5,"A-",IF('Data Source'!Z109&gt;=3,"B",IF('Data Source'!Z109&gt;=2,"C",IF('Data Source'!Z109&gt;=1,"D","F")))))))</f>
        <v/>
      </c>
      <c r="I109" s="3">
        <f>IF('Data Source'!B109="","",IF('Data Source'!AA109&gt;=5,"A+",IF('Data Source'!AA109&gt;=4,"A",IF('Data Source'!AA109&gt;=3.5,"A-",IF('Data Source'!AA109&gt;=3,"B",IF('Data Source'!AA109&gt;=2,"C",IF('Data Source'!AA109&gt;=1,"D","F")))))))</f>
        <v/>
      </c>
      <c r="J109" s="3">
        <f>IF('Data Source'!B109="","",IF('Data Source'!AB109&gt;=5,"A+",IF('Data Source'!AB109&gt;=4,"A",IF('Data Source'!AB109&gt;=3.5,"A-",IF('Data Source'!AB109&gt;=3,"B",IF('Data Source'!AB109&gt;=2,"C",IF('Data Source'!AB109&gt;=1,"D","F")))))))</f>
        <v/>
      </c>
      <c r="K109" s="3">
        <f>IF('Data Source'!B109="","",IF('Data Source'!AC109&gt;=5,"A+",IF('Data Source'!AC109&gt;=4,"A",IF('Data Source'!AC109&gt;=3.5,"A-",IF('Data Source'!AC109&gt;=3,"B",IF('Data Source'!AC109&gt;=2,"C",IF('Data Source'!AC109&gt;=1,"D","F")))))))</f>
        <v/>
      </c>
      <c r="L109" s="3">
        <f>IF('Data Source'!B109="","",IF('Data Source'!AD109&gt;=5,"A+",IF('Data Source'!AD109&gt;=4,"A",IF('Data Source'!AD109&gt;=3.5,"A-",IF('Data Source'!AD109&gt;=3,"B",IF('Data Source'!AD109&gt;=2,"C",IF('Data Source'!AD109&gt;=1,"D","F")))))))</f>
        <v/>
      </c>
      <c r="M109" s="3">
        <f>IF('Data Source'!B109="","",IF('Data Source'!AE109&gt;=5,"A+",IF('Data Source'!AE109&gt;=4,"A",IF('Data Source'!AE109&gt;=3.5,"A-",IF('Data Source'!AE109&gt;=3,"B",IF('Data Source'!AE109&gt;=2,"C",IF('Data Source'!AE109&gt;=1,"D","F")))))))</f>
        <v/>
      </c>
      <c r="N109" s="3">
        <f>IF('Data Source'!B109="","",IF('Data Source'!AF109&gt;=5,"A+",IF('Data Source'!AF109&gt;=4,"A",IF('Data Source'!AF109&gt;=3.5,"A-",IF('Data Source'!AF109&gt;=3,"B",IF('Data Source'!AF109&gt;=2,"C",IF('Data Source'!AF109&gt;=1,"D","F")))))))</f>
        <v/>
      </c>
      <c r="O109" s="3">
        <f>IF('Data Source'!B109="","",IF('Data Source'!AG109&gt;=5,"A+",IF('Data Source'!AG109&gt;=4,"A",IF('Data Source'!AG109&gt;=3.5,"A-",IF('Data Source'!AG109&gt;=3,"B",IF('Data Source'!AG109&gt;=2,"C",IF('Data Source'!AG109&gt;=1,"D","F")))))))</f>
        <v/>
      </c>
      <c r="P109" s="5">
        <f>IF('Data Source'!B109="","",'Data Source'!R109)</f>
        <v/>
      </c>
      <c r="Q109" s="3">
        <f>IF('Data Source'!B109="","",'Data Source'!S109)</f>
        <v/>
      </c>
    </row>
    <row r="110">
      <c r="A110" s="3">
        <f>IF('Data Source'!B110="","",'Data Source'!A110)</f>
        <v/>
      </c>
      <c r="B110">
        <f>IF('Data Source'!B110="","",'Data Source'!B110)</f>
        <v/>
      </c>
      <c r="C110" s="3">
        <f>IF('Data Source'!B110="","",IF('Data Source'!U110&gt;=5,"A+",IF('Data Source'!U110&gt;=4,"A",IF('Data Source'!U110&gt;=3.5,"A-",IF('Data Source'!U110&gt;=3,"B",IF('Data Source'!U110&gt;=2,"C",IF('Data Source'!U110&gt;=1,"D","F")))))))</f>
        <v/>
      </c>
      <c r="D110" s="3">
        <f>IF('Data Source'!B110="","",IF('Data Source'!V110&gt;=5,"A+",IF('Data Source'!V110&gt;=4,"A",IF('Data Source'!V110&gt;=3.5,"A-",IF('Data Source'!V110&gt;=3,"B",IF('Data Source'!V110&gt;=2,"C",IF('Data Source'!V110&gt;=1,"D","F")))))))</f>
        <v/>
      </c>
      <c r="E110" s="3">
        <f>IF('Data Source'!B110="","",IF('Data Source'!W110&gt;=5,"A+",IF('Data Source'!W110&gt;=4,"A",IF('Data Source'!W110&gt;=3.5,"A-",IF('Data Source'!W110&gt;=3,"B",IF('Data Source'!W110&gt;=2,"C",IF('Data Source'!W110&gt;=1,"D","F")))))))</f>
        <v/>
      </c>
      <c r="F110" s="3">
        <f>IF('Data Source'!B110="","",IF('Data Source'!X110&gt;=5,"A+",IF('Data Source'!X110&gt;=4,"A",IF('Data Source'!X110&gt;=3.5,"A-",IF('Data Source'!X110&gt;=3,"B",IF('Data Source'!X110&gt;=2,"C",IF('Data Source'!X110&gt;=1,"D","F")))))))</f>
        <v/>
      </c>
      <c r="G110" s="3">
        <f>IF('Data Source'!B110="","",IF('Data Source'!Y110&gt;=5,"A+",IF('Data Source'!Y110&gt;=4,"A",IF('Data Source'!Y110&gt;=3.5,"A-",IF('Data Source'!Y110&gt;=3,"B",IF('Data Source'!Y110&gt;=2,"C",IF('Data Source'!Y110&gt;=1,"D","F")))))))</f>
        <v/>
      </c>
      <c r="H110" s="3">
        <f>IF('Data Source'!B110="","",IF('Data Source'!Z110&gt;=5,"A+",IF('Data Source'!Z110&gt;=4,"A",IF('Data Source'!Z110&gt;=3.5,"A-",IF('Data Source'!Z110&gt;=3,"B",IF('Data Source'!Z110&gt;=2,"C",IF('Data Source'!Z110&gt;=1,"D","F")))))))</f>
        <v/>
      </c>
      <c r="I110" s="3">
        <f>IF('Data Source'!B110="","",IF('Data Source'!AA110&gt;=5,"A+",IF('Data Source'!AA110&gt;=4,"A",IF('Data Source'!AA110&gt;=3.5,"A-",IF('Data Source'!AA110&gt;=3,"B",IF('Data Source'!AA110&gt;=2,"C",IF('Data Source'!AA110&gt;=1,"D","F")))))))</f>
        <v/>
      </c>
      <c r="J110" s="3">
        <f>IF('Data Source'!B110="","",IF('Data Source'!AB110&gt;=5,"A+",IF('Data Source'!AB110&gt;=4,"A",IF('Data Source'!AB110&gt;=3.5,"A-",IF('Data Source'!AB110&gt;=3,"B",IF('Data Source'!AB110&gt;=2,"C",IF('Data Source'!AB110&gt;=1,"D","F")))))))</f>
        <v/>
      </c>
      <c r="K110" s="3">
        <f>IF('Data Source'!B110="","",IF('Data Source'!AC110&gt;=5,"A+",IF('Data Source'!AC110&gt;=4,"A",IF('Data Source'!AC110&gt;=3.5,"A-",IF('Data Source'!AC110&gt;=3,"B",IF('Data Source'!AC110&gt;=2,"C",IF('Data Source'!AC110&gt;=1,"D","F")))))))</f>
        <v/>
      </c>
      <c r="L110" s="3">
        <f>IF('Data Source'!B110="","",IF('Data Source'!AD110&gt;=5,"A+",IF('Data Source'!AD110&gt;=4,"A",IF('Data Source'!AD110&gt;=3.5,"A-",IF('Data Source'!AD110&gt;=3,"B",IF('Data Source'!AD110&gt;=2,"C",IF('Data Source'!AD110&gt;=1,"D","F")))))))</f>
        <v/>
      </c>
      <c r="M110" s="3">
        <f>IF('Data Source'!B110="","",IF('Data Source'!AE110&gt;=5,"A+",IF('Data Source'!AE110&gt;=4,"A",IF('Data Source'!AE110&gt;=3.5,"A-",IF('Data Source'!AE110&gt;=3,"B",IF('Data Source'!AE110&gt;=2,"C",IF('Data Source'!AE110&gt;=1,"D","F")))))))</f>
        <v/>
      </c>
      <c r="N110" s="3">
        <f>IF('Data Source'!B110="","",IF('Data Source'!AF110&gt;=5,"A+",IF('Data Source'!AF110&gt;=4,"A",IF('Data Source'!AF110&gt;=3.5,"A-",IF('Data Source'!AF110&gt;=3,"B",IF('Data Source'!AF110&gt;=2,"C",IF('Data Source'!AF110&gt;=1,"D","F")))))))</f>
        <v/>
      </c>
      <c r="O110" s="3">
        <f>IF('Data Source'!B110="","",IF('Data Source'!AG110&gt;=5,"A+",IF('Data Source'!AG110&gt;=4,"A",IF('Data Source'!AG110&gt;=3.5,"A-",IF('Data Source'!AG110&gt;=3,"B",IF('Data Source'!AG110&gt;=2,"C",IF('Data Source'!AG110&gt;=1,"D","F")))))))</f>
        <v/>
      </c>
      <c r="P110" s="5">
        <f>IF('Data Source'!B110="","",'Data Source'!R110)</f>
        <v/>
      </c>
      <c r="Q110" s="3">
        <f>IF('Data Source'!B110="","",'Data Source'!S110)</f>
        <v/>
      </c>
    </row>
    <row r="111">
      <c r="A111" s="3">
        <f>IF('Data Source'!B111="","",'Data Source'!A111)</f>
        <v/>
      </c>
      <c r="B111">
        <f>IF('Data Source'!B111="","",'Data Source'!B111)</f>
        <v/>
      </c>
      <c r="C111" s="3">
        <f>IF('Data Source'!B111="","",IF('Data Source'!U111&gt;=5,"A+",IF('Data Source'!U111&gt;=4,"A",IF('Data Source'!U111&gt;=3.5,"A-",IF('Data Source'!U111&gt;=3,"B",IF('Data Source'!U111&gt;=2,"C",IF('Data Source'!U111&gt;=1,"D","F")))))))</f>
        <v/>
      </c>
      <c r="D111" s="3">
        <f>IF('Data Source'!B111="","",IF('Data Source'!V111&gt;=5,"A+",IF('Data Source'!V111&gt;=4,"A",IF('Data Source'!V111&gt;=3.5,"A-",IF('Data Source'!V111&gt;=3,"B",IF('Data Source'!V111&gt;=2,"C",IF('Data Source'!V111&gt;=1,"D","F")))))))</f>
        <v/>
      </c>
      <c r="E111" s="3">
        <f>IF('Data Source'!B111="","",IF('Data Source'!W111&gt;=5,"A+",IF('Data Source'!W111&gt;=4,"A",IF('Data Source'!W111&gt;=3.5,"A-",IF('Data Source'!W111&gt;=3,"B",IF('Data Source'!W111&gt;=2,"C",IF('Data Source'!W111&gt;=1,"D","F")))))))</f>
        <v/>
      </c>
      <c r="F111" s="3">
        <f>IF('Data Source'!B111="","",IF('Data Source'!X111&gt;=5,"A+",IF('Data Source'!X111&gt;=4,"A",IF('Data Source'!X111&gt;=3.5,"A-",IF('Data Source'!X111&gt;=3,"B",IF('Data Source'!X111&gt;=2,"C",IF('Data Source'!X111&gt;=1,"D","F")))))))</f>
        <v/>
      </c>
      <c r="G111" s="3">
        <f>IF('Data Source'!B111="","",IF('Data Source'!Y111&gt;=5,"A+",IF('Data Source'!Y111&gt;=4,"A",IF('Data Source'!Y111&gt;=3.5,"A-",IF('Data Source'!Y111&gt;=3,"B",IF('Data Source'!Y111&gt;=2,"C",IF('Data Source'!Y111&gt;=1,"D","F")))))))</f>
        <v/>
      </c>
      <c r="H111" s="3">
        <f>IF('Data Source'!B111="","",IF('Data Source'!Z111&gt;=5,"A+",IF('Data Source'!Z111&gt;=4,"A",IF('Data Source'!Z111&gt;=3.5,"A-",IF('Data Source'!Z111&gt;=3,"B",IF('Data Source'!Z111&gt;=2,"C",IF('Data Source'!Z111&gt;=1,"D","F")))))))</f>
        <v/>
      </c>
      <c r="I111" s="3">
        <f>IF('Data Source'!B111="","",IF('Data Source'!AA111&gt;=5,"A+",IF('Data Source'!AA111&gt;=4,"A",IF('Data Source'!AA111&gt;=3.5,"A-",IF('Data Source'!AA111&gt;=3,"B",IF('Data Source'!AA111&gt;=2,"C",IF('Data Source'!AA111&gt;=1,"D","F")))))))</f>
        <v/>
      </c>
      <c r="J111" s="3">
        <f>IF('Data Source'!B111="","",IF('Data Source'!AB111&gt;=5,"A+",IF('Data Source'!AB111&gt;=4,"A",IF('Data Source'!AB111&gt;=3.5,"A-",IF('Data Source'!AB111&gt;=3,"B",IF('Data Source'!AB111&gt;=2,"C",IF('Data Source'!AB111&gt;=1,"D","F")))))))</f>
        <v/>
      </c>
      <c r="K111" s="3">
        <f>IF('Data Source'!B111="","",IF('Data Source'!AC111&gt;=5,"A+",IF('Data Source'!AC111&gt;=4,"A",IF('Data Source'!AC111&gt;=3.5,"A-",IF('Data Source'!AC111&gt;=3,"B",IF('Data Source'!AC111&gt;=2,"C",IF('Data Source'!AC111&gt;=1,"D","F")))))))</f>
        <v/>
      </c>
      <c r="L111" s="3">
        <f>IF('Data Source'!B111="","",IF('Data Source'!AD111&gt;=5,"A+",IF('Data Source'!AD111&gt;=4,"A",IF('Data Source'!AD111&gt;=3.5,"A-",IF('Data Source'!AD111&gt;=3,"B",IF('Data Source'!AD111&gt;=2,"C",IF('Data Source'!AD111&gt;=1,"D","F")))))))</f>
        <v/>
      </c>
      <c r="M111" s="3">
        <f>IF('Data Source'!B111="","",IF('Data Source'!AE111&gt;=5,"A+",IF('Data Source'!AE111&gt;=4,"A",IF('Data Source'!AE111&gt;=3.5,"A-",IF('Data Source'!AE111&gt;=3,"B",IF('Data Source'!AE111&gt;=2,"C",IF('Data Source'!AE111&gt;=1,"D","F")))))))</f>
        <v/>
      </c>
      <c r="N111" s="3">
        <f>IF('Data Source'!B111="","",IF('Data Source'!AF111&gt;=5,"A+",IF('Data Source'!AF111&gt;=4,"A",IF('Data Source'!AF111&gt;=3.5,"A-",IF('Data Source'!AF111&gt;=3,"B",IF('Data Source'!AF111&gt;=2,"C",IF('Data Source'!AF111&gt;=1,"D","F")))))))</f>
        <v/>
      </c>
      <c r="O111" s="3">
        <f>IF('Data Source'!B111="","",IF('Data Source'!AG111&gt;=5,"A+",IF('Data Source'!AG111&gt;=4,"A",IF('Data Source'!AG111&gt;=3.5,"A-",IF('Data Source'!AG111&gt;=3,"B",IF('Data Source'!AG111&gt;=2,"C",IF('Data Source'!AG111&gt;=1,"D","F")))))))</f>
        <v/>
      </c>
      <c r="P111" s="5">
        <f>IF('Data Source'!B111="","",'Data Source'!R111)</f>
        <v/>
      </c>
      <c r="Q111" s="3">
        <f>IF('Data Source'!B111="","",'Data Source'!S111)</f>
        <v/>
      </c>
    </row>
    <row r="112">
      <c r="A112" s="3">
        <f>IF('Data Source'!B112="","",'Data Source'!A112)</f>
        <v/>
      </c>
      <c r="B112">
        <f>IF('Data Source'!B112="","",'Data Source'!B112)</f>
        <v/>
      </c>
      <c r="C112" s="3">
        <f>IF('Data Source'!B112="","",IF('Data Source'!U112&gt;=5,"A+",IF('Data Source'!U112&gt;=4,"A",IF('Data Source'!U112&gt;=3.5,"A-",IF('Data Source'!U112&gt;=3,"B",IF('Data Source'!U112&gt;=2,"C",IF('Data Source'!U112&gt;=1,"D","F")))))))</f>
        <v/>
      </c>
      <c r="D112" s="3">
        <f>IF('Data Source'!B112="","",IF('Data Source'!V112&gt;=5,"A+",IF('Data Source'!V112&gt;=4,"A",IF('Data Source'!V112&gt;=3.5,"A-",IF('Data Source'!V112&gt;=3,"B",IF('Data Source'!V112&gt;=2,"C",IF('Data Source'!V112&gt;=1,"D","F")))))))</f>
        <v/>
      </c>
      <c r="E112" s="3">
        <f>IF('Data Source'!B112="","",IF('Data Source'!W112&gt;=5,"A+",IF('Data Source'!W112&gt;=4,"A",IF('Data Source'!W112&gt;=3.5,"A-",IF('Data Source'!W112&gt;=3,"B",IF('Data Source'!W112&gt;=2,"C",IF('Data Source'!W112&gt;=1,"D","F")))))))</f>
        <v/>
      </c>
      <c r="F112" s="3">
        <f>IF('Data Source'!B112="","",IF('Data Source'!X112&gt;=5,"A+",IF('Data Source'!X112&gt;=4,"A",IF('Data Source'!X112&gt;=3.5,"A-",IF('Data Source'!X112&gt;=3,"B",IF('Data Source'!X112&gt;=2,"C",IF('Data Source'!X112&gt;=1,"D","F")))))))</f>
        <v/>
      </c>
      <c r="G112" s="3">
        <f>IF('Data Source'!B112="","",IF('Data Source'!Y112&gt;=5,"A+",IF('Data Source'!Y112&gt;=4,"A",IF('Data Source'!Y112&gt;=3.5,"A-",IF('Data Source'!Y112&gt;=3,"B",IF('Data Source'!Y112&gt;=2,"C",IF('Data Source'!Y112&gt;=1,"D","F")))))))</f>
        <v/>
      </c>
      <c r="H112" s="3">
        <f>IF('Data Source'!B112="","",IF('Data Source'!Z112&gt;=5,"A+",IF('Data Source'!Z112&gt;=4,"A",IF('Data Source'!Z112&gt;=3.5,"A-",IF('Data Source'!Z112&gt;=3,"B",IF('Data Source'!Z112&gt;=2,"C",IF('Data Source'!Z112&gt;=1,"D","F")))))))</f>
        <v/>
      </c>
      <c r="I112" s="3">
        <f>IF('Data Source'!B112="","",IF('Data Source'!AA112&gt;=5,"A+",IF('Data Source'!AA112&gt;=4,"A",IF('Data Source'!AA112&gt;=3.5,"A-",IF('Data Source'!AA112&gt;=3,"B",IF('Data Source'!AA112&gt;=2,"C",IF('Data Source'!AA112&gt;=1,"D","F")))))))</f>
        <v/>
      </c>
      <c r="J112" s="3">
        <f>IF('Data Source'!B112="","",IF('Data Source'!AB112&gt;=5,"A+",IF('Data Source'!AB112&gt;=4,"A",IF('Data Source'!AB112&gt;=3.5,"A-",IF('Data Source'!AB112&gt;=3,"B",IF('Data Source'!AB112&gt;=2,"C",IF('Data Source'!AB112&gt;=1,"D","F")))))))</f>
        <v/>
      </c>
      <c r="K112" s="3">
        <f>IF('Data Source'!B112="","",IF('Data Source'!AC112&gt;=5,"A+",IF('Data Source'!AC112&gt;=4,"A",IF('Data Source'!AC112&gt;=3.5,"A-",IF('Data Source'!AC112&gt;=3,"B",IF('Data Source'!AC112&gt;=2,"C",IF('Data Source'!AC112&gt;=1,"D","F")))))))</f>
        <v/>
      </c>
      <c r="L112" s="3">
        <f>IF('Data Source'!B112="","",IF('Data Source'!AD112&gt;=5,"A+",IF('Data Source'!AD112&gt;=4,"A",IF('Data Source'!AD112&gt;=3.5,"A-",IF('Data Source'!AD112&gt;=3,"B",IF('Data Source'!AD112&gt;=2,"C",IF('Data Source'!AD112&gt;=1,"D","F")))))))</f>
        <v/>
      </c>
      <c r="M112" s="3">
        <f>IF('Data Source'!B112="","",IF('Data Source'!AE112&gt;=5,"A+",IF('Data Source'!AE112&gt;=4,"A",IF('Data Source'!AE112&gt;=3.5,"A-",IF('Data Source'!AE112&gt;=3,"B",IF('Data Source'!AE112&gt;=2,"C",IF('Data Source'!AE112&gt;=1,"D","F")))))))</f>
        <v/>
      </c>
      <c r="N112" s="3">
        <f>IF('Data Source'!B112="","",IF('Data Source'!AF112&gt;=5,"A+",IF('Data Source'!AF112&gt;=4,"A",IF('Data Source'!AF112&gt;=3.5,"A-",IF('Data Source'!AF112&gt;=3,"B",IF('Data Source'!AF112&gt;=2,"C",IF('Data Source'!AF112&gt;=1,"D","F")))))))</f>
        <v/>
      </c>
      <c r="O112" s="3">
        <f>IF('Data Source'!B112="","",IF('Data Source'!AG112&gt;=5,"A+",IF('Data Source'!AG112&gt;=4,"A",IF('Data Source'!AG112&gt;=3.5,"A-",IF('Data Source'!AG112&gt;=3,"B",IF('Data Source'!AG112&gt;=2,"C",IF('Data Source'!AG112&gt;=1,"D","F")))))))</f>
        <v/>
      </c>
      <c r="P112" s="5">
        <f>IF('Data Source'!B112="","",'Data Source'!R112)</f>
        <v/>
      </c>
      <c r="Q112" s="3">
        <f>IF('Data Source'!B112="","",'Data Source'!S112)</f>
        <v/>
      </c>
    </row>
    <row r="113">
      <c r="A113" s="3">
        <f>IF('Data Source'!B113="","",'Data Source'!A113)</f>
        <v/>
      </c>
      <c r="B113">
        <f>IF('Data Source'!B113="","",'Data Source'!B113)</f>
        <v/>
      </c>
      <c r="C113" s="3">
        <f>IF('Data Source'!B113="","",IF('Data Source'!U113&gt;=5,"A+",IF('Data Source'!U113&gt;=4,"A",IF('Data Source'!U113&gt;=3.5,"A-",IF('Data Source'!U113&gt;=3,"B",IF('Data Source'!U113&gt;=2,"C",IF('Data Source'!U113&gt;=1,"D","F")))))))</f>
        <v/>
      </c>
      <c r="D113" s="3">
        <f>IF('Data Source'!B113="","",IF('Data Source'!V113&gt;=5,"A+",IF('Data Source'!V113&gt;=4,"A",IF('Data Source'!V113&gt;=3.5,"A-",IF('Data Source'!V113&gt;=3,"B",IF('Data Source'!V113&gt;=2,"C",IF('Data Source'!V113&gt;=1,"D","F")))))))</f>
        <v/>
      </c>
      <c r="E113" s="3">
        <f>IF('Data Source'!B113="","",IF('Data Source'!W113&gt;=5,"A+",IF('Data Source'!W113&gt;=4,"A",IF('Data Source'!W113&gt;=3.5,"A-",IF('Data Source'!W113&gt;=3,"B",IF('Data Source'!W113&gt;=2,"C",IF('Data Source'!W113&gt;=1,"D","F")))))))</f>
        <v/>
      </c>
      <c r="F113" s="3">
        <f>IF('Data Source'!B113="","",IF('Data Source'!X113&gt;=5,"A+",IF('Data Source'!X113&gt;=4,"A",IF('Data Source'!X113&gt;=3.5,"A-",IF('Data Source'!X113&gt;=3,"B",IF('Data Source'!X113&gt;=2,"C",IF('Data Source'!X113&gt;=1,"D","F")))))))</f>
        <v/>
      </c>
      <c r="G113" s="3">
        <f>IF('Data Source'!B113="","",IF('Data Source'!Y113&gt;=5,"A+",IF('Data Source'!Y113&gt;=4,"A",IF('Data Source'!Y113&gt;=3.5,"A-",IF('Data Source'!Y113&gt;=3,"B",IF('Data Source'!Y113&gt;=2,"C",IF('Data Source'!Y113&gt;=1,"D","F")))))))</f>
        <v/>
      </c>
      <c r="H113" s="3">
        <f>IF('Data Source'!B113="","",IF('Data Source'!Z113&gt;=5,"A+",IF('Data Source'!Z113&gt;=4,"A",IF('Data Source'!Z113&gt;=3.5,"A-",IF('Data Source'!Z113&gt;=3,"B",IF('Data Source'!Z113&gt;=2,"C",IF('Data Source'!Z113&gt;=1,"D","F")))))))</f>
        <v/>
      </c>
      <c r="I113" s="3">
        <f>IF('Data Source'!B113="","",IF('Data Source'!AA113&gt;=5,"A+",IF('Data Source'!AA113&gt;=4,"A",IF('Data Source'!AA113&gt;=3.5,"A-",IF('Data Source'!AA113&gt;=3,"B",IF('Data Source'!AA113&gt;=2,"C",IF('Data Source'!AA113&gt;=1,"D","F")))))))</f>
        <v/>
      </c>
      <c r="J113" s="3">
        <f>IF('Data Source'!B113="","",IF('Data Source'!AB113&gt;=5,"A+",IF('Data Source'!AB113&gt;=4,"A",IF('Data Source'!AB113&gt;=3.5,"A-",IF('Data Source'!AB113&gt;=3,"B",IF('Data Source'!AB113&gt;=2,"C",IF('Data Source'!AB113&gt;=1,"D","F")))))))</f>
        <v/>
      </c>
      <c r="K113" s="3">
        <f>IF('Data Source'!B113="","",IF('Data Source'!AC113&gt;=5,"A+",IF('Data Source'!AC113&gt;=4,"A",IF('Data Source'!AC113&gt;=3.5,"A-",IF('Data Source'!AC113&gt;=3,"B",IF('Data Source'!AC113&gt;=2,"C",IF('Data Source'!AC113&gt;=1,"D","F")))))))</f>
        <v/>
      </c>
      <c r="L113" s="3">
        <f>IF('Data Source'!B113="","",IF('Data Source'!AD113&gt;=5,"A+",IF('Data Source'!AD113&gt;=4,"A",IF('Data Source'!AD113&gt;=3.5,"A-",IF('Data Source'!AD113&gt;=3,"B",IF('Data Source'!AD113&gt;=2,"C",IF('Data Source'!AD113&gt;=1,"D","F")))))))</f>
        <v/>
      </c>
      <c r="M113" s="3">
        <f>IF('Data Source'!B113="","",IF('Data Source'!AE113&gt;=5,"A+",IF('Data Source'!AE113&gt;=4,"A",IF('Data Source'!AE113&gt;=3.5,"A-",IF('Data Source'!AE113&gt;=3,"B",IF('Data Source'!AE113&gt;=2,"C",IF('Data Source'!AE113&gt;=1,"D","F")))))))</f>
        <v/>
      </c>
      <c r="N113" s="3">
        <f>IF('Data Source'!B113="","",IF('Data Source'!AF113&gt;=5,"A+",IF('Data Source'!AF113&gt;=4,"A",IF('Data Source'!AF113&gt;=3.5,"A-",IF('Data Source'!AF113&gt;=3,"B",IF('Data Source'!AF113&gt;=2,"C",IF('Data Source'!AF113&gt;=1,"D","F")))))))</f>
        <v/>
      </c>
      <c r="O113" s="3">
        <f>IF('Data Source'!B113="","",IF('Data Source'!AG113&gt;=5,"A+",IF('Data Source'!AG113&gt;=4,"A",IF('Data Source'!AG113&gt;=3.5,"A-",IF('Data Source'!AG113&gt;=3,"B",IF('Data Source'!AG113&gt;=2,"C",IF('Data Source'!AG113&gt;=1,"D","F")))))))</f>
        <v/>
      </c>
      <c r="P113" s="5">
        <f>IF('Data Source'!B113="","",'Data Source'!R113)</f>
        <v/>
      </c>
      <c r="Q113" s="3">
        <f>IF('Data Source'!B113="","",'Data Source'!S113)</f>
        <v/>
      </c>
    </row>
    <row r="114">
      <c r="A114" s="3">
        <f>IF('Data Source'!B114="","",'Data Source'!A114)</f>
        <v/>
      </c>
      <c r="B114">
        <f>IF('Data Source'!B114="","",'Data Source'!B114)</f>
        <v/>
      </c>
      <c r="C114" s="3">
        <f>IF('Data Source'!B114="","",IF('Data Source'!U114&gt;=5,"A+",IF('Data Source'!U114&gt;=4,"A",IF('Data Source'!U114&gt;=3.5,"A-",IF('Data Source'!U114&gt;=3,"B",IF('Data Source'!U114&gt;=2,"C",IF('Data Source'!U114&gt;=1,"D","F")))))))</f>
        <v/>
      </c>
      <c r="D114" s="3">
        <f>IF('Data Source'!B114="","",IF('Data Source'!V114&gt;=5,"A+",IF('Data Source'!V114&gt;=4,"A",IF('Data Source'!V114&gt;=3.5,"A-",IF('Data Source'!V114&gt;=3,"B",IF('Data Source'!V114&gt;=2,"C",IF('Data Source'!V114&gt;=1,"D","F")))))))</f>
        <v/>
      </c>
      <c r="E114" s="3">
        <f>IF('Data Source'!B114="","",IF('Data Source'!W114&gt;=5,"A+",IF('Data Source'!W114&gt;=4,"A",IF('Data Source'!W114&gt;=3.5,"A-",IF('Data Source'!W114&gt;=3,"B",IF('Data Source'!W114&gt;=2,"C",IF('Data Source'!W114&gt;=1,"D","F")))))))</f>
        <v/>
      </c>
      <c r="F114" s="3">
        <f>IF('Data Source'!B114="","",IF('Data Source'!X114&gt;=5,"A+",IF('Data Source'!X114&gt;=4,"A",IF('Data Source'!X114&gt;=3.5,"A-",IF('Data Source'!X114&gt;=3,"B",IF('Data Source'!X114&gt;=2,"C",IF('Data Source'!X114&gt;=1,"D","F")))))))</f>
        <v/>
      </c>
      <c r="G114" s="3">
        <f>IF('Data Source'!B114="","",IF('Data Source'!Y114&gt;=5,"A+",IF('Data Source'!Y114&gt;=4,"A",IF('Data Source'!Y114&gt;=3.5,"A-",IF('Data Source'!Y114&gt;=3,"B",IF('Data Source'!Y114&gt;=2,"C",IF('Data Source'!Y114&gt;=1,"D","F")))))))</f>
        <v/>
      </c>
      <c r="H114" s="3">
        <f>IF('Data Source'!B114="","",IF('Data Source'!Z114&gt;=5,"A+",IF('Data Source'!Z114&gt;=4,"A",IF('Data Source'!Z114&gt;=3.5,"A-",IF('Data Source'!Z114&gt;=3,"B",IF('Data Source'!Z114&gt;=2,"C",IF('Data Source'!Z114&gt;=1,"D","F")))))))</f>
        <v/>
      </c>
      <c r="I114" s="3">
        <f>IF('Data Source'!B114="","",IF('Data Source'!AA114&gt;=5,"A+",IF('Data Source'!AA114&gt;=4,"A",IF('Data Source'!AA114&gt;=3.5,"A-",IF('Data Source'!AA114&gt;=3,"B",IF('Data Source'!AA114&gt;=2,"C",IF('Data Source'!AA114&gt;=1,"D","F")))))))</f>
        <v/>
      </c>
      <c r="J114" s="3">
        <f>IF('Data Source'!B114="","",IF('Data Source'!AB114&gt;=5,"A+",IF('Data Source'!AB114&gt;=4,"A",IF('Data Source'!AB114&gt;=3.5,"A-",IF('Data Source'!AB114&gt;=3,"B",IF('Data Source'!AB114&gt;=2,"C",IF('Data Source'!AB114&gt;=1,"D","F")))))))</f>
        <v/>
      </c>
      <c r="K114" s="3">
        <f>IF('Data Source'!B114="","",IF('Data Source'!AC114&gt;=5,"A+",IF('Data Source'!AC114&gt;=4,"A",IF('Data Source'!AC114&gt;=3.5,"A-",IF('Data Source'!AC114&gt;=3,"B",IF('Data Source'!AC114&gt;=2,"C",IF('Data Source'!AC114&gt;=1,"D","F")))))))</f>
        <v/>
      </c>
      <c r="L114" s="3">
        <f>IF('Data Source'!B114="","",IF('Data Source'!AD114&gt;=5,"A+",IF('Data Source'!AD114&gt;=4,"A",IF('Data Source'!AD114&gt;=3.5,"A-",IF('Data Source'!AD114&gt;=3,"B",IF('Data Source'!AD114&gt;=2,"C",IF('Data Source'!AD114&gt;=1,"D","F")))))))</f>
        <v/>
      </c>
      <c r="M114" s="3">
        <f>IF('Data Source'!B114="","",IF('Data Source'!AE114&gt;=5,"A+",IF('Data Source'!AE114&gt;=4,"A",IF('Data Source'!AE114&gt;=3.5,"A-",IF('Data Source'!AE114&gt;=3,"B",IF('Data Source'!AE114&gt;=2,"C",IF('Data Source'!AE114&gt;=1,"D","F")))))))</f>
        <v/>
      </c>
      <c r="N114" s="3">
        <f>IF('Data Source'!B114="","",IF('Data Source'!AF114&gt;=5,"A+",IF('Data Source'!AF114&gt;=4,"A",IF('Data Source'!AF114&gt;=3.5,"A-",IF('Data Source'!AF114&gt;=3,"B",IF('Data Source'!AF114&gt;=2,"C",IF('Data Source'!AF114&gt;=1,"D","F")))))))</f>
        <v/>
      </c>
      <c r="O114" s="3">
        <f>IF('Data Source'!B114="","",IF('Data Source'!AG114&gt;=5,"A+",IF('Data Source'!AG114&gt;=4,"A",IF('Data Source'!AG114&gt;=3.5,"A-",IF('Data Source'!AG114&gt;=3,"B",IF('Data Source'!AG114&gt;=2,"C",IF('Data Source'!AG114&gt;=1,"D","F")))))))</f>
        <v/>
      </c>
      <c r="P114" s="5">
        <f>IF('Data Source'!B114="","",'Data Source'!R114)</f>
        <v/>
      </c>
      <c r="Q114" s="3">
        <f>IF('Data Source'!B114="","",'Data Source'!S114)</f>
        <v/>
      </c>
    </row>
    <row r="115">
      <c r="A115" s="3">
        <f>IF('Data Source'!B115="","",'Data Source'!A115)</f>
        <v/>
      </c>
      <c r="B115">
        <f>IF('Data Source'!B115="","",'Data Source'!B115)</f>
        <v/>
      </c>
      <c r="C115" s="3">
        <f>IF('Data Source'!B115="","",IF('Data Source'!U115&gt;=5,"A+",IF('Data Source'!U115&gt;=4,"A",IF('Data Source'!U115&gt;=3.5,"A-",IF('Data Source'!U115&gt;=3,"B",IF('Data Source'!U115&gt;=2,"C",IF('Data Source'!U115&gt;=1,"D","F")))))))</f>
        <v/>
      </c>
      <c r="D115" s="3">
        <f>IF('Data Source'!B115="","",IF('Data Source'!V115&gt;=5,"A+",IF('Data Source'!V115&gt;=4,"A",IF('Data Source'!V115&gt;=3.5,"A-",IF('Data Source'!V115&gt;=3,"B",IF('Data Source'!V115&gt;=2,"C",IF('Data Source'!V115&gt;=1,"D","F")))))))</f>
        <v/>
      </c>
      <c r="E115" s="3">
        <f>IF('Data Source'!B115="","",IF('Data Source'!W115&gt;=5,"A+",IF('Data Source'!W115&gt;=4,"A",IF('Data Source'!W115&gt;=3.5,"A-",IF('Data Source'!W115&gt;=3,"B",IF('Data Source'!W115&gt;=2,"C",IF('Data Source'!W115&gt;=1,"D","F")))))))</f>
        <v/>
      </c>
      <c r="F115" s="3">
        <f>IF('Data Source'!B115="","",IF('Data Source'!X115&gt;=5,"A+",IF('Data Source'!X115&gt;=4,"A",IF('Data Source'!X115&gt;=3.5,"A-",IF('Data Source'!X115&gt;=3,"B",IF('Data Source'!X115&gt;=2,"C",IF('Data Source'!X115&gt;=1,"D","F")))))))</f>
        <v/>
      </c>
      <c r="G115" s="3">
        <f>IF('Data Source'!B115="","",IF('Data Source'!Y115&gt;=5,"A+",IF('Data Source'!Y115&gt;=4,"A",IF('Data Source'!Y115&gt;=3.5,"A-",IF('Data Source'!Y115&gt;=3,"B",IF('Data Source'!Y115&gt;=2,"C",IF('Data Source'!Y115&gt;=1,"D","F")))))))</f>
        <v/>
      </c>
      <c r="H115" s="3">
        <f>IF('Data Source'!B115="","",IF('Data Source'!Z115&gt;=5,"A+",IF('Data Source'!Z115&gt;=4,"A",IF('Data Source'!Z115&gt;=3.5,"A-",IF('Data Source'!Z115&gt;=3,"B",IF('Data Source'!Z115&gt;=2,"C",IF('Data Source'!Z115&gt;=1,"D","F")))))))</f>
        <v/>
      </c>
      <c r="I115" s="3">
        <f>IF('Data Source'!B115="","",IF('Data Source'!AA115&gt;=5,"A+",IF('Data Source'!AA115&gt;=4,"A",IF('Data Source'!AA115&gt;=3.5,"A-",IF('Data Source'!AA115&gt;=3,"B",IF('Data Source'!AA115&gt;=2,"C",IF('Data Source'!AA115&gt;=1,"D","F")))))))</f>
        <v/>
      </c>
      <c r="J115" s="3">
        <f>IF('Data Source'!B115="","",IF('Data Source'!AB115&gt;=5,"A+",IF('Data Source'!AB115&gt;=4,"A",IF('Data Source'!AB115&gt;=3.5,"A-",IF('Data Source'!AB115&gt;=3,"B",IF('Data Source'!AB115&gt;=2,"C",IF('Data Source'!AB115&gt;=1,"D","F")))))))</f>
        <v/>
      </c>
      <c r="K115" s="3">
        <f>IF('Data Source'!B115="","",IF('Data Source'!AC115&gt;=5,"A+",IF('Data Source'!AC115&gt;=4,"A",IF('Data Source'!AC115&gt;=3.5,"A-",IF('Data Source'!AC115&gt;=3,"B",IF('Data Source'!AC115&gt;=2,"C",IF('Data Source'!AC115&gt;=1,"D","F")))))))</f>
        <v/>
      </c>
      <c r="L115" s="3">
        <f>IF('Data Source'!B115="","",IF('Data Source'!AD115&gt;=5,"A+",IF('Data Source'!AD115&gt;=4,"A",IF('Data Source'!AD115&gt;=3.5,"A-",IF('Data Source'!AD115&gt;=3,"B",IF('Data Source'!AD115&gt;=2,"C",IF('Data Source'!AD115&gt;=1,"D","F")))))))</f>
        <v/>
      </c>
      <c r="M115" s="3">
        <f>IF('Data Source'!B115="","",IF('Data Source'!AE115&gt;=5,"A+",IF('Data Source'!AE115&gt;=4,"A",IF('Data Source'!AE115&gt;=3.5,"A-",IF('Data Source'!AE115&gt;=3,"B",IF('Data Source'!AE115&gt;=2,"C",IF('Data Source'!AE115&gt;=1,"D","F")))))))</f>
        <v/>
      </c>
      <c r="N115" s="3">
        <f>IF('Data Source'!B115="","",IF('Data Source'!AF115&gt;=5,"A+",IF('Data Source'!AF115&gt;=4,"A",IF('Data Source'!AF115&gt;=3.5,"A-",IF('Data Source'!AF115&gt;=3,"B",IF('Data Source'!AF115&gt;=2,"C",IF('Data Source'!AF115&gt;=1,"D","F")))))))</f>
        <v/>
      </c>
      <c r="O115" s="3">
        <f>IF('Data Source'!B115="","",IF('Data Source'!AG115&gt;=5,"A+",IF('Data Source'!AG115&gt;=4,"A",IF('Data Source'!AG115&gt;=3.5,"A-",IF('Data Source'!AG115&gt;=3,"B",IF('Data Source'!AG115&gt;=2,"C",IF('Data Source'!AG115&gt;=1,"D","F")))))))</f>
        <v/>
      </c>
      <c r="P115" s="5">
        <f>IF('Data Source'!B115="","",'Data Source'!R115)</f>
        <v/>
      </c>
      <c r="Q115" s="3">
        <f>IF('Data Source'!B115="","",'Data Source'!S115)</f>
        <v/>
      </c>
    </row>
    <row r="116">
      <c r="A116" s="3">
        <f>IF('Data Source'!B116="","",'Data Source'!A116)</f>
        <v/>
      </c>
      <c r="B116">
        <f>IF('Data Source'!B116="","",'Data Source'!B116)</f>
        <v/>
      </c>
      <c r="C116" s="3">
        <f>IF('Data Source'!B116="","",IF('Data Source'!U116&gt;=5,"A+",IF('Data Source'!U116&gt;=4,"A",IF('Data Source'!U116&gt;=3.5,"A-",IF('Data Source'!U116&gt;=3,"B",IF('Data Source'!U116&gt;=2,"C",IF('Data Source'!U116&gt;=1,"D","F")))))))</f>
        <v/>
      </c>
      <c r="D116" s="3">
        <f>IF('Data Source'!B116="","",IF('Data Source'!V116&gt;=5,"A+",IF('Data Source'!V116&gt;=4,"A",IF('Data Source'!V116&gt;=3.5,"A-",IF('Data Source'!V116&gt;=3,"B",IF('Data Source'!V116&gt;=2,"C",IF('Data Source'!V116&gt;=1,"D","F")))))))</f>
        <v/>
      </c>
      <c r="E116" s="3">
        <f>IF('Data Source'!B116="","",IF('Data Source'!W116&gt;=5,"A+",IF('Data Source'!W116&gt;=4,"A",IF('Data Source'!W116&gt;=3.5,"A-",IF('Data Source'!W116&gt;=3,"B",IF('Data Source'!W116&gt;=2,"C",IF('Data Source'!W116&gt;=1,"D","F")))))))</f>
        <v/>
      </c>
      <c r="F116" s="3">
        <f>IF('Data Source'!B116="","",IF('Data Source'!X116&gt;=5,"A+",IF('Data Source'!X116&gt;=4,"A",IF('Data Source'!X116&gt;=3.5,"A-",IF('Data Source'!X116&gt;=3,"B",IF('Data Source'!X116&gt;=2,"C",IF('Data Source'!X116&gt;=1,"D","F")))))))</f>
        <v/>
      </c>
      <c r="G116" s="3">
        <f>IF('Data Source'!B116="","",IF('Data Source'!Y116&gt;=5,"A+",IF('Data Source'!Y116&gt;=4,"A",IF('Data Source'!Y116&gt;=3.5,"A-",IF('Data Source'!Y116&gt;=3,"B",IF('Data Source'!Y116&gt;=2,"C",IF('Data Source'!Y116&gt;=1,"D","F")))))))</f>
        <v/>
      </c>
      <c r="H116" s="3">
        <f>IF('Data Source'!B116="","",IF('Data Source'!Z116&gt;=5,"A+",IF('Data Source'!Z116&gt;=4,"A",IF('Data Source'!Z116&gt;=3.5,"A-",IF('Data Source'!Z116&gt;=3,"B",IF('Data Source'!Z116&gt;=2,"C",IF('Data Source'!Z116&gt;=1,"D","F")))))))</f>
        <v/>
      </c>
      <c r="I116" s="3">
        <f>IF('Data Source'!B116="","",IF('Data Source'!AA116&gt;=5,"A+",IF('Data Source'!AA116&gt;=4,"A",IF('Data Source'!AA116&gt;=3.5,"A-",IF('Data Source'!AA116&gt;=3,"B",IF('Data Source'!AA116&gt;=2,"C",IF('Data Source'!AA116&gt;=1,"D","F")))))))</f>
        <v/>
      </c>
      <c r="J116" s="3">
        <f>IF('Data Source'!B116="","",IF('Data Source'!AB116&gt;=5,"A+",IF('Data Source'!AB116&gt;=4,"A",IF('Data Source'!AB116&gt;=3.5,"A-",IF('Data Source'!AB116&gt;=3,"B",IF('Data Source'!AB116&gt;=2,"C",IF('Data Source'!AB116&gt;=1,"D","F")))))))</f>
        <v/>
      </c>
      <c r="K116" s="3">
        <f>IF('Data Source'!B116="","",IF('Data Source'!AC116&gt;=5,"A+",IF('Data Source'!AC116&gt;=4,"A",IF('Data Source'!AC116&gt;=3.5,"A-",IF('Data Source'!AC116&gt;=3,"B",IF('Data Source'!AC116&gt;=2,"C",IF('Data Source'!AC116&gt;=1,"D","F")))))))</f>
        <v/>
      </c>
      <c r="L116" s="3">
        <f>IF('Data Source'!B116="","",IF('Data Source'!AD116&gt;=5,"A+",IF('Data Source'!AD116&gt;=4,"A",IF('Data Source'!AD116&gt;=3.5,"A-",IF('Data Source'!AD116&gt;=3,"B",IF('Data Source'!AD116&gt;=2,"C",IF('Data Source'!AD116&gt;=1,"D","F")))))))</f>
        <v/>
      </c>
      <c r="M116" s="3">
        <f>IF('Data Source'!B116="","",IF('Data Source'!AE116&gt;=5,"A+",IF('Data Source'!AE116&gt;=4,"A",IF('Data Source'!AE116&gt;=3.5,"A-",IF('Data Source'!AE116&gt;=3,"B",IF('Data Source'!AE116&gt;=2,"C",IF('Data Source'!AE116&gt;=1,"D","F")))))))</f>
        <v/>
      </c>
      <c r="N116" s="3">
        <f>IF('Data Source'!B116="","",IF('Data Source'!AF116&gt;=5,"A+",IF('Data Source'!AF116&gt;=4,"A",IF('Data Source'!AF116&gt;=3.5,"A-",IF('Data Source'!AF116&gt;=3,"B",IF('Data Source'!AF116&gt;=2,"C",IF('Data Source'!AF116&gt;=1,"D","F")))))))</f>
        <v/>
      </c>
      <c r="O116" s="3">
        <f>IF('Data Source'!B116="","",IF('Data Source'!AG116&gt;=5,"A+",IF('Data Source'!AG116&gt;=4,"A",IF('Data Source'!AG116&gt;=3.5,"A-",IF('Data Source'!AG116&gt;=3,"B",IF('Data Source'!AG116&gt;=2,"C",IF('Data Source'!AG116&gt;=1,"D","F")))))))</f>
        <v/>
      </c>
      <c r="P116" s="5">
        <f>IF('Data Source'!B116="","",'Data Source'!R116)</f>
        <v/>
      </c>
      <c r="Q116" s="3">
        <f>IF('Data Source'!B116="","",'Data Source'!S116)</f>
        <v/>
      </c>
    </row>
    <row r="117">
      <c r="A117" s="3">
        <f>IF('Data Source'!B117="","",'Data Source'!A117)</f>
        <v/>
      </c>
      <c r="B117">
        <f>IF('Data Source'!B117="","",'Data Source'!B117)</f>
        <v/>
      </c>
      <c r="C117" s="3">
        <f>IF('Data Source'!B117="","",IF('Data Source'!U117&gt;=5,"A+",IF('Data Source'!U117&gt;=4,"A",IF('Data Source'!U117&gt;=3.5,"A-",IF('Data Source'!U117&gt;=3,"B",IF('Data Source'!U117&gt;=2,"C",IF('Data Source'!U117&gt;=1,"D","F")))))))</f>
        <v/>
      </c>
      <c r="D117" s="3">
        <f>IF('Data Source'!B117="","",IF('Data Source'!V117&gt;=5,"A+",IF('Data Source'!V117&gt;=4,"A",IF('Data Source'!V117&gt;=3.5,"A-",IF('Data Source'!V117&gt;=3,"B",IF('Data Source'!V117&gt;=2,"C",IF('Data Source'!V117&gt;=1,"D","F")))))))</f>
        <v/>
      </c>
      <c r="E117" s="3">
        <f>IF('Data Source'!B117="","",IF('Data Source'!W117&gt;=5,"A+",IF('Data Source'!W117&gt;=4,"A",IF('Data Source'!W117&gt;=3.5,"A-",IF('Data Source'!W117&gt;=3,"B",IF('Data Source'!W117&gt;=2,"C",IF('Data Source'!W117&gt;=1,"D","F")))))))</f>
        <v/>
      </c>
      <c r="F117" s="3">
        <f>IF('Data Source'!B117="","",IF('Data Source'!X117&gt;=5,"A+",IF('Data Source'!X117&gt;=4,"A",IF('Data Source'!X117&gt;=3.5,"A-",IF('Data Source'!X117&gt;=3,"B",IF('Data Source'!X117&gt;=2,"C",IF('Data Source'!X117&gt;=1,"D","F")))))))</f>
        <v/>
      </c>
      <c r="G117" s="3">
        <f>IF('Data Source'!B117="","",IF('Data Source'!Y117&gt;=5,"A+",IF('Data Source'!Y117&gt;=4,"A",IF('Data Source'!Y117&gt;=3.5,"A-",IF('Data Source'!Y117&gt;=3,"B",IF('Data Source'!Y117&gt;=2,"C",IF('Data Source'!Y117&gt;=1,"D","F")))))))</f>
        <v/>
      </c>
      <c r="H117" s="3">
        <f>IF('Data Source'!B117="","",IF('Data Source'!Z117&gt;=5,"A+",IF('Data Source'!Z117&gt;=4,"A",IF('Data Source'!Z117&gt;=3.5,"A-",IF('Data Source'!Z117&gt;=3,"B",IF('Data Source'!Z117&gt;=2,"C",IF('Data Source'!Z117&gt;=1,"D","F")))))))</f>
        <v/>
      </c>
      <c r="I117" s="3">
        <f>IF('Data Source'!B117="","",IF('Data Source'!AA117&gt;=5,"A+",IF('Data Source'!AA117&gt;=4,"A",IF('Data Source'!AA117&gt;=3.5,"A-",IF('Data Source'!AA117&gt;=3,"B",IF('Data Source'!AA117&gt;=2,"C",IF('Data Source'!AA117&gt;=1,"D","F")))))))</f>
        <v/>
      </c>
      <c r="J117" s="3">
        <f>IF('Data Source'!B117="","",IF('Data Source'!AB117&gt;=5,"A+",IF('Data Source'!AB117&gt;=4,"A",IF('Data Source'!AB117&gt;=3.5,"A-",IF('Data Source'!AB117&gt;=3,"B",IF('Data Source'!AB117&gt;=2,"C",IF('Data Source'!AB117&gt;=1,"D","F")))))))</f>
        <v/>
      </c>
      <c r="K117" s="3">
        <f>IF('Data Source'!B117="","",IF('Data Source'!AC117&gt;=5,"A+",IF('Data Source'!AC117&gt;=4,"A",IF('Data Source'!AC117&gt;=3.5,"A-",IF('Data Source'!AC117&gt;=3,"B",IF('Data Source'!AC117&gt;=2,"C",IF('Data Source'!AC117&gt;=1,"D","F")))))))</f>
        <v/>
      </c>
      <c r="L117" s="3">
        <f>IF('Data Source'!B117="","",IF('Data Source'!AD117&gt;=5,"A+",IF('Data Source'!AD117&gt;=4,"A",IF('Data Source'!AD117&gt;=3.5,"A-",IF('Data Source'!AD117&gt;=3,"B",IF('Data Source'!AD117&gt;=2,"C",IF('Data Source'!AD117&gt;=1,"D","F")))))))</f>
        <v/>
      </c>
      <c r="M117" s="3">
        <f>IF('Data Source'!B117="","",IF('Data Source'!AE117&gt;=5,"A+",IF('Data Source'!AE117&gt;=4,"A",IF('Data Source'!AE117&gt;=3.5,"A-",IF('Data Source'!AE117&gt;=3,"B",IF('Data Source'!AE117&gt;=2,"C",IF('Data Source'!AE117&gt;=1,"D","F")))))))</f>
        <v/>
      </c>
      <c r="N117" s="3">
        <f>IF('Data Source'!B117="","",IF('Data Source'!AF117&gt;=5,"A+",IF('Data Source'!AF117&gt;=4,"A",IF('Data Source'!AF117&gt;=3.5,"A-",IF('Data Source'!AF117&gt;=3,"B",IF('Data Source'!AF117&gt;=2,"C",IF('Data Source'!AF117&gt;=1,"D","F")))))))</f>
        <v/>
      </c>
      <c r="O117" s="3">
        <f>IF('Data Source'!B117="","",IF('Data Source'!AG117&gt;=5,"A+",IF('Data Source'!AG117&gt;=4,"A",IF('Data Source'!AG117&gt;=3.5,"A-",IF('Data Source'!AG117&gt;=3,"B",IF('Data Source'!AG117&gt;=2,"C",IF('Data Source'!AG117&gt;=1,"D","F")))))))</f>
        <v/>
      </c>
      <c r="P117" s="5">
        <f>IF('Data Source'!B117="","",'Data Source'!R117)</f>
        <v/>
      </c>
      <c r="Q117" s="3">
        <f>IF('Data Source'!B117="","",'Data Source'!S117)</f>
        <v/>
      </c>
    </row>
    <row r="118">
      <c r="A118" s="3">
        <f>IF('Data Source'!B118="","",'Data Source'!A118)</f>
        <v/>
      </c>
      <c r="B118">
        <f>IF('Data Source'!B118="","",'Data Source'!B118)</f>
        <v/>
      </c>
      <c r="C118" s="3">
        <f>IF('Data Source'!B118="","",IF('Data Source'!U118&gt;=5,"A+",IF('Data Source'!U118&gt;=4,"A",IF('Data Source'!U118&gt;=3.5,"A-",IF('Data Source'!U118&gt;=3,"B",IF('Data Source'!U118&gt;=2,"C",IF('Data Source'!U118&gt;=1,"D","F")))))))</f>
        <v/>
      </c>
      <c r="D118" s="3">
        <f>IF('Data Source'!B118="","",IF('Data Source'!V118&gt;=5,"A+",IF('Data Source'!V118&gt;=4,"A",IF('Data Source'!V118&gt;=3.5,"A-",IF('Data Source'!V118&gt;=3,"B",IF('Data Source'!V118&gt;=2,"C",IF('Data Source'!V118&gt;=1,"D","F")))))))</f>
        <v/>
      </c>
      <c r="E118" s="3">
        <f>IF('Data Source'!B118="","",IF('Data Source'!W118&gt;=5,"A+",IF('Data Source'!W118&gt;=4,"A",IF('Data Source'!W118&gt;=3.5,"A-",IF('Data Source'!W118&gt;=3,"B",IF('Data Source'!W118&gt;=2,"C",IF('Data Source'!W118&gt;=1,"D","F")))))))</f>
        <v/>
      </c>
      <c r="F118" s="3">
        <f>IF('Data Source'!B118="","",IF('Data Source'!X118&gt;=5,"A+",IF('Data Source'!X118&gt;=4,"A",IF('Data Source'!X118&gt;=3.5,"A-",IF('Data Source'!X118&gt;=3,"B",IF('Data Source'!X118&gt;=2,"C",IF('Data Source'!X118&gt;=1,"D","F")))))))</f>
        <v/>
      </c>
      <c r="G118" s="3">
        <f>IF('Data Source'!B118="","",IF('Data Source'!Y118&gt;=5,"A+",IF('Data Source'!Y118&gt;=4,"A",IF('Data Source'!Y118&gt;=3.5,"A-",IF('Data Source'!Y118&gt;=3,"B",IF('Data Source'!Y118&gt;=2,"C",IF('Data Source'!Y118&gt;=1,"D","F")))))))</f>
        <v/>
      </c>
      <c r="H118" s="3">
        <f>IF('Data Source'!B118="","",IF('Data Source'!Z118&gt;=5,"A+",IF('Data Source'!Z118&gt;=4,"A",IF('Data Source'!Z118&gt;=3.5,"A-",IF('Data Source'!Z118&gt;=3,"B",IF('Data Source'!Z118&gt;=2,"C",IF('Data Source'!Z118&gt;=1,"D","F")))))))</f>
        <v/>
      </c>
      <c r="I118" s="3">
        <f>IF('Data Source'!B118="","",IF('Data Source'!AA118&gt;=5,"A+",IF('Data Source'!AA118&gt;=4,"A",IF('Data Source'!AA118&gt;=3.5,"A-",IF('Data Source'!AA118&gt;=3,"B",IF('Data Source'!AA118&gt;=2,"C",IF('Data Source'!AA118&gt;=1,"D","F")))))))</f>
        <v/>
      </c>
      <c r="J118" s="3">
        <f>IF('Data Source'!B118="","",IF('Data Source'!AB118&gt;=5,"A+",IF('Data Source'!AB118&gt;=4,"A",IF('Data Source'!AB118&gt;=3.5,"A-",IF('Data Source'!AB118&gt;=3,"B",IF('Data Source'!AB118&gt;=2,"C",IF('Data Source'!AB118&gt;=1,"D","F")))))))</f>
        <v/>
      </c>
      <c r="K118" s="3">
        <f>IF('Data Source'!B118="","",IF('Data Source'!AC118&gt;=5,"A+",IF('Data Source'!AC118&gt;=4,"A",IF('Data Source'!AC118&gt;=3.5,"A-",IF('Data Source'!AC118&gt;=3,"B",IF('Data Source'!AC118&gt;=2,"C",IF('Data Source'!AC118&gt;=1,"D","F")))))))</f>
        <v/>
      </c>
      <c r="L118" s="3">
        <f>IF('Data Source'!B118="","",IF('Data Source'!AD118&gt;=5,"A+",IF('Data Source'!AD118&gt;=4,"A",IF('Data Source'!AD118&gt;=3.5,"A-",IF('Data Source'!AD118&gt;=3,"B",IF('Data Source'!AD118&gt;=2,"C",IF('Data Source'!AD118&gt;=1,"D","F")))))))</f>
        <v/>
      </c>
      <c r="M118" s="3">
        <f>IF('Data Source'!B118="","",IF('Data Source'!AE118&gt;=5,"A+",IF('Data Source'!AE118&gt;=4,"A",IF('Data Source'!AE118&gt;=3.5,"A-",IF('Data Source'!AE118&gt;=3,"B",IF('Data Source'!AE118&gt;=2,"C",IF('Data Source'!AE118&gt;=1,"D","F")))))))</f>
        <v/>
      </c>
      <c r="N118" s="3">
        <f>IF('Data Source'!B118="","",IF('Data Source'!AF118&gt;=5,"A+",IF('Data Source'!AF118&gt;=4,"A",IF('Data Source'!AF118&gt;=3.5,"A-",IF('Data Source'!AF118&gt;=3,"B",IF('Data Source'!AF118&gt;=2,"C",IF('Data Source'!AF118&gt;=1,"D","F")))))))</f>
        <v/>
      </c>
      <c r="O118" s="3">
        <f>IF('Data Source'!B118="","",IF('Data Source'!AG118&gt;=5,"A+",IF('Data Source'!AG118&gt;=4,"A",IF('Data Source'!AG118&gt;=3.5,"A-",IF('Data Source'!AG118&gt;=3,"B",IF('Data Source'!AG118&gt;=2,"C",IF('Data Source'!AG118&gt;=1,"D","F")))))))</f>
        <v/>
      </c>
      <c r="P118" s="5">
        <f>IF('Data Source'!B118="","",'Data Source'!R118)</f>
        <v/>
      </c>
      <c r="Q118" s="3">
        <f>IF('Data Source'!B118="","",'Data Source'!S118)</f>
        <v/>
      </c>
    </row>
    <row r="119">
      <c r="A119" s="3">
        <f>IF('Data Source'!B119="","",'Data Source'!A119)</f>
        <v/>
      </c>
      <c r="B119">
        <f>IF('Data Source'!B119="","",'Data Source'!B119)</f>
        <v/>
      </c>
      <c r="C119" s="3">
        <f>IF('Data Source'!B119="","",IF('Data Source'!U119&gt;=5,"A+",IF('Data Source'!U119&gt;=4,"A",IF('Data Source'!U119&gt;=3.5,"A-",IF('Data Source'!U119&gt;=3,"B",IF('Data Source'!U119&gt;=2,"C",IF('Data Source'!U119&gt;=1,"D","F")))))))</f>
        <v/>
      </c>
      <c r="D119" s="3">
        <f>IF('Data Source'!B119="","",IF('Data Source'!V119&gt;=5,"A+",IF('Data Source'!V119&gt;=4,"A",IF('Data Source'!V119&gt;=3.5,"A-",IF('Data Source'!V119&gt;=3,"B",IF('Data Source'!V119&gt;=2,"C",IF('Data Source'!V119&gt;=1,"D","F")))))))</f>
        <v/>
      </c>
      <c r="E119" s="3">
        <f>IF('Data Source'!B119="","",IF('Data Source'!W119&gt;=5,"A+",IF('Data Source'!W119&gt;=4,"A",IF('Data Source'!W119&gt;=3.5,"A-",IF('Data Source'!W119&gt;=3,"B",IF('Data Source'!W119&gt;=2,"C",IF('Data Source'!W119&gt;=1,"D","F")))))))</f>
        <v/>
      </c>
      <c r="F119" s="3">
        <f>IF('Data Source'!B119="","",IF('Data Source'!X119&gt;=5,"A+",IF('Data Source'!X119&gt;=4,"A",IF('Data Source'!X119&gt;=3.5,"A-",IF('Data Source'!X119&gt;=3,"B",IF('Data Source'!X119&gt;=2,"C",IF('Data Source'!X119&gt;=1,"D","F")))))))</f>
        <v/>
      </c>
      <c r="G119" s="3">
        <f>IF('Data Source'!B119="","",IF('Data Source'!Y119&gt;=5,"A+",IF('Data Source'!Y119&gt;=4,"A",IF('Data Source'!Y119&gt;=3.5,"A-",IF('Data Source'!Y119&gt;=3,"B",IF('Data Source'!Y119&gt;=2,"C",IF('Data Source'!Y119&gt;=1,"D","F")))))))</f>
        <v/>
      </c>
      <c r="H119" s="3">
        <f>IF('Data Source'!B119="","",IF('Data Source'!Z119&gt;=5,"A+",IF('Data Source'!Z119&gt;=4,"A",IF('Data Source'!Z119&gt;=3.5,"A-",IF('Data Source'!Z119&gt;=3,"B",IF('Data Source'!Z119&gt;=2,"C",IF('Data Source'!Z119&gt;=1,"D","F")))))))</f>
        <v/>
      </c>
      <c r="I119" s="3">
        <f>IF('Data Source'!B119="","",IF('Data Source'!AA119&gt;=5,"A+",IF('Data Source'!AA119&gt;=4,"A",IF('Data Source'!AA119&gt;=3.5,"A-",IF('Data Source'!AA119&gt;=3,"B",IF('Data Source'!AA119&gt;=2,"C",IF('Data Source'!AA119&gt;=1,"D","F")))))))</f>
        <v/>
      </c>
      <c r="J119" s="3">
        <f>IF('Data Source'!B119="","",IF('Data Source'!AB119&gt;=5,"A+",IF('Data Source'!AB119&gt;=4,"A",IF('Data Source'!AB119&gt;=3.5,"A-",IF('Data Source'!AB119&gt;=3,"B",IF('Data Source'!AB119&gt;=2,"C",IF('Data Source'!AB119&gt;=1,"D","F")))))))</f>
        <v/>
      </c>
      <c r="K119" s="3">
        <f>IF('Data Source'!B119="","",IF('Data Source'!AC119&gt;=5,"A+",IF('Data Source'!AC119&gt;=4,"A",IF('Data Source'!AC119&gt;=3.5,"A-",IF('Data Source'!AC119&gt;=3,"B",IF('Data Source'!AC119&gt;=2,"C",IF('Data Source'!AC119&gt;=1,"D","F")))))))</f>
        <v/>
      </c>
      <c r="L119" s="3">
        <f>IF('Data Source'!B119="","",IF('Data Source'!AD119&gt;=5,"A+",IF('Data Source'!AD119&gt;=4,"A",IF('Data Source'!AD119&gt;=3.5,"A-",IF('Data Source'!AD119&gt;=3,"B",IF('Data Source'!AD119&gt;=2,"C",IF('Data Source'!AD119&gt;=1,"D","F")))))))</f>
        <v/>
      </c>
      <c r="M119" s="3">
        <f>IF('Data Source'!B119="","",IF('Data Source'!AE119&gt;=5,"A+",IF('Data Source'!AE119&gt;=4,"A",IF('Data Source'!AE119&gt;=3.5,"A-",IF('Data Source'!AE119&gt;=3,"B",IF('Data Source'!AE119&gt;=2,"C",IF('Data Source'!AE119&gt;=1,"D","F")))))))</f>
        <v/>
      </c>
      <c r="N119" s="3">
        <f>IF('Data Source'!B119="","",IF('Data Source'!AF119&gt;=5,"A+",IF('Data Source'!AF119&gt;=4,"A",IF('Data Source'!AF119&gt;=3.5,"A-",IF('Data Source'!AF119&gt;=3,"B",IF('Data Source'!AF119&gt;=2,"C",IF('Data Source'!AF119&gt;=1,"D","F")))))))</f>
        <v/>
      </c>
      <c r="O119" s="3">
        <f>IF('Data Source'!B119="","",IF('Data Source'!AG119&gt;=5,"A+",IF('Data Source'!AG119&gt;=4,"A",IF('Data Source'!AG119&gt;=3.5,"A-",IF('Data Source'!AG119&gt;=3,"B",IF('Data Source'!AG119&gt;=2,"C",IF('Data Source'!AG119&gt;=1,"D","F")))))))</f>
        <v/>
      </c>
      <c r="P119" s="5">
        <f>IF('Data Source'!B119="","",'Data Source'!R119)</f>
        <v/>
      </c>
      <c r="Q119" s="3">
        <f>IF('Data Source'!B119="","",'Data Source'!S119)</f>
        <v/>
      </c>
    </row>
    <row r="120">
      <c r="A120" s="3">
        <f>IF('Data Source'!B120="","",'Data Source'!A120)</f>
        <v/>
      </c>
      <c r="B120">
        <f>IF('Data Source'!B120="","",'Data Source'!B120)</f>
        <v/>
      </c>
      <c r="C120" s="3">
        <f>IF('Data Source'!B120="","",IF('Data Source'!U120&gt;=5,"A+",IF('Data Source'!U120&gt;=4,"A",IF('Data Source'!U120&gt;=3.5,"A-",IF('Data Source'!U120&gt;=3,"B",IF('Data Source'!U120&gt;=2,"C",IF('Data Source'!U120&gt;=1,"D","F")))))))</f>
        <v/>
      </c>
      <c r="D120" s="3">
        <f>IF('Data Source'!B120="","",IF('Data Source'!V120&gt;=5,"A+",IF('Data Source'!V120&gt;=4,"A",IF('Data Source'!V120&gt;=3.5,"A-",IF('Data Source'!V120&gt;=3,"B",IF('Data Source'!V120&gt;=2,"C",IF('Data Source'!V120&gt;=1,"D","F")))))))</f>
        <v/>
      </c>
      <c r="E120" s="3">
        <f>IF('Data Source'!B120="","",IF('Data Source'!W120&gt;=5,"A+",IF('Data Source'!W120&gt;=4,"A",IF('Data Source'!W120&gt;=3.5,"A-",IF('Data Source'!W120&gt;=3,"B",IF('Data Source'!W120&gt;=2,"C",IF('Data Source'!W120&gt;=1,"D","F")))))))</f>
        <v/>
      </c>
      <c r="F120" s="3">
        <f>IF('Data Source'!B120="","",IF('Data Source'!X120&gt;=5,"A+",IF('Data Source'!X120&gt;=4,"A",IF('Data Source'!X120&gt;=3.5,"A-",IF('Data Source'!X120&gt;=3,"B",IF('Data Source'!X120&gt;=2,"C",IF('Data Source'!X120&gt;=1,"D","F")))))))</f>
        <v/>
      </c>
      <c r="G120" s="3">
        <f>IF('Data Source'!B120="","",IF('Data Source'!Y120&gt;=5,"A+",IF('Data Source'!Y120&gt;=4,"A",IF('Data Source'!Y120&gt;=3.5,"A-",IF('Data Source'!Y120&gt;=3,"B",IF('Data Source'!Y120&gt;=2,"C",IF('Data Source'!Y120&gt;=1,"D","F")))))))</f>
        <v/>
      </c>
      <c r="H120" s="3">
        <f>IF('Data Source'!B120="","",IF('Data Source'!Z120&gt;=5,"A+",IF('Data Source'!Z120&gt;=4,"A",IF('Data Source'!Z120&gt;=3.5,"A-",IF('Data Source'!Z120&gt;=3,"B",IF('Data Source'!Z120&gt;=2,"C",IF('Data Source'!Z120&gt;=1,"D","F")))))))</f>
        <v/>
      </c>
      <c r="I120" s="3">
        <f>IF('Data Source'!B120="","",IF('Data Source'!AA120&gt;=5,"A+",IF('Data Source'!AA120&gt;=4,"A",IF('Data Source'!AA120&gt;=3.5,"A-",IF('Data Source'!AA120&gt;=3,"B",IF('Data Source'!AA120&gt;=2,"C",IF('Data Source'!AA120&gt;=1,"D","F")))))))</f>
        <v/>
      </c>
      <c r="J120" s="3">
        <f>IF('Data Source'!B120="","",IF('Data Source'!AB120&gt;=5,"A+",IF('Data Source'!AB120&gt;=4,"A",IF('Data Source'!AB120&gt;=3.5,"A-",IF('Data Source'!AB120&gt;=3,"B",IF('Data Source'!AB120&gt;=2,"C",IF('Data Source'!AB120&gt;=1,"D","F")))))))</f>
        <v/>
      </c>
      <c r="K120" s="3">
        <f>IF('Data Source'!B120="","",IF('Data Source'!AC120&gt;=5,"A+",IF('Data Source'!AC120&gt;=4,"A",IF('Data Source'!AC120&gt;=3.5,"A-",IF('Data Source'!AC120&gt;=3,"B",IF('Data Source'!AC120&gt;=2,"C",IF('Data Source'!AC120&gt;=1,"D","F")))))))</f>
        <v/>
      </c>
      <c r="L120" s="3">
        <f>IF('Data Source'!B120="","",IF('Data Source'!AD120&gt;=5,"A+",IF('Data Source'!AD120&gt;=4,"A",IF('Data Source'!AD120&gt;=3.5,"A-",IF('Data Source'!AD120&gt;=3,"B",IF('Data Source'!AD120&gt;=2,"C",IF('Data Source'!AD120&gt;=1,"D","F")))))))</f>
        <v/>
      </c>
      <c r="M120" s="3">
        <f>IF('Data Source'!B120="","",IF('Data Source'!AE120&gt;=5,"A+",IF('Data Source'!AE120&gt;=4,"A",IF('Data Source'!AE120&gt;=3.5,"A-",IF('Data Source'!AE120&gt;=3,"B",IF('Data Source'!AE120&gt;=2,"C",IF('Data Source'!AE120&gt;=1,"D","F")))))))</f>
        <v/>
      </c>
      <c r="N120" s="3">
        <f>IF('Data Source'!B120="","",IF('Data Source'!AF120&gt;=5,"A+",IF('Data Source'!AF120&gt;=4,"A",IF('Data Source'!AF120&gt;=3.5,"A-",IF('Data Source'!AF120&gt;=3,"B",IF('Data Source'!AF120&gt;=2,"C",IF('Data Source'!AF120&gt;=1,"D","F")))))))</f>
        <v/>
      </c>
      <c r="O120" s="3">
        <f>IF('Data Source'!B120="","",IF('Data Source'!AG120&gt;=5,"A+",IF('Data Source'!AG120&gt;=4,"A",IF('Data Source'!AG120&gt;=3.5,"A-",IF('Data Source'!AG120&gt;=3,"B",IF('Data Source'!AG120&gt;=2,"C",IF('Data Source'!AG120&gt;=1,"D","F")))))))</f>
        <v/>
      </c>
      <c r="P120" s="5">
        <f>IF('Data Source'!B120="","",'Data Source'!R120)</f>
        <v/>
      </c>
      <c r="Q120" s="3">
        <f>IF('Data Source'!B120="","",'Data Source'!S120)</f>
        <v/>
      </c>
    </row>
    <row r="121">
      <c r="A121" s="3">
        <f>IF('Data Source'!B121="","",'Data Source'!A121)</f>
        <v/>
      </c>
      <c r="B121">
        <f>IF('Data Source'!B121="","",'Data Source'!B121)</f>
        <v/>
      </c>
      <c r="C121" s="3">
        <f>IF('Data Source'!B121="","",IF('Data Source'!U121&gt;=5,"A+",IF('Data Source'!U121&gt;=4,"A",IF('Data Source'!U121&gt;=3.5,"A-",IF('Data Source'!U121&gt;=3,"B",IF('Data Source'!U121&gt;=2,"C",IF('Data Source'!U121&gt;=1,"D","F")))))))</f>
        <v/>
      </c>
      <c r="D121" s="3">
        <f>IF('Data Source'!B121="","",IF('Data Source'!V121&gt;=5,"A+",IF('Data Source'!V121&gt;=4,"A",IF('Data Source'!V121&gt;=3.5,"A-",IF('Data Source'!V121&gt;=3,"B",IF('Data Source'!V121&gt;=2,"C",IF('Data Source'!V121&gt;=1,"D","F")))))))</f>
        <v/>
      </c>
      <c r="E121" s="3">
        <f>IF('Data Source'!B121="","",IF('Data Source'!W121&gt;=5,"A+",IF('Data Source'!W121&gt;=4,"A",IF('Data Source'!W121&gt;=3.5,"A-",IF('Data Source'!W121&gt;=3,"B",IF('Data Source'!W121&gt;=2,"C",IF('Data Source'!W121&gt;=1,"D","F")))))))</f>
        <v/>
      </c>
      <c r="F121" s="3">
        <f>IF('Data Source'!B121="","",IF('Data Source'!X121&gt;=5,"A+",IF('Data Source'!X121&gt;=4,"A",IF('Data Source'!X121&gt;=3.5,"A-",IF('Data Source'!X121&gt;=3,"B",IF('Data Source'!X121&gt;=2,"C",IF('Data Source'!X121&gt;=1,"D","F")))))))</f>
        <v/>
      </c>
      <c r="G121" s="3">
        <f>IF('Data Source'!B121="","",IF('Data Source'!Y121&gt;=5,"A+",IF('Data Source'!Y121&gt;=4,"A",IF('Data Source'!Y121&gt;=3.5,"A-",IF('Data Source'!Y121&gt;=3,"B",IF('Data Source'!Y121&gt;=2,"C",IF('Data Source'!Y121&gt;=1,"D","F")))))))</f>
        <v/>
      </c>
      <c r="H121" s="3">
        <f>IF('Data Source'!B121="","",IF('Data Source'!Z121&gt;=5,"A+",IF('Data Source'!Z121&gt;=4,"A",IF('Data Source'!Z121&gt;=3.5,"A-",IF('Data Source'!Z121&gt;=3,"B",IF('Data Source'!Z121&gt;=2,"C",IF('Data Source'!Z121&gt;=1,"D","F")))))))</f>
        <v/>
      </c>
      <c r="I121" s="3">
        <f>IF('Data Source'!B121="","",IF('Data Source'!AA121&gt;=5,"A+",IF('Data Source'!AA121&gt;=4,"A",IF('Data Source'!AA121&gt;=3.5,"A-",IF('Data Source'!AA121&gt;=3,"B",IF('Data Source'!AA121&gt;=2,"C",IF('Data Source'!AA121&gt;=1,"D","F")))))))</f>
        <v/>
      </c>
      <c r="J121" s="3">
        <f>IF('Data Source'!B121="","",IF('Data Source'!AB121&gt;=5,"A+",IF('Data Source'!AB121&gt;=4,"A",IF('Data Source'!AB121&gt;=3.5,"A-",IF('Data Source'!AB121&gt;=3,"B",IF('Data Source'!AB121&gt;=2,"C",IF('Data Source'!AB121&gt;=1,"D","F")))))))</f>
        <v/>
      </c>
      <c r="K121" s="3">
        <f>IF('Data Source'!B121="","",IF('Data Source'!AC121&gt;=5,"A+",IF('Data Source'!AC121&gt;=4,"A",IF('Data Source'!AC121&gt;=3.5,"A-",IF('Data Source'!AC121&gt;=3,"B",IF('Data Source'!AC121&gt;=2,"C",IF('Data Source'!AC121&gt;=1,"D","F")))))))</f>
        <v/>
      </c>
      <c r="L121" s="3">
        <f>IF('Data Source'!B121="","",IF('Data Source'!AD121&gt;=5,"A+",IF('Data Source'!AD121&gt;=4,"A",IF('Data Source'!AD121&gt;=3.5,"A-",IF('Data Source'!AD121&gt;=3,"B",IF('Data Source'!AD121&gt;=2,"C",IF('Data Source'!AD121&gt;=1,"D","F")))))))</f>
        <v/>
      </c>
      <c r="M121" s="3">
        <f>IF('Data Source'!B121="","",IF('Data Source'!AE121&gt;=5,"A+",IF('Data Source'!AE121&gt;=4,"A",IF('Data Source'!AE121&gt;=3.5,"A-",IF('Data Source'!AE121&gt;=3,"B",IF('Data Source'!AE121&gt;=2,"C",IF('Data Source'!AE121&gt;=1,"D","F")))))))</f>
        <v/>
      </c>
      <c r="N121" s="3">
        <f>IF('Data Source'!B121="","",IF('Data Source'!AF121&gt;=5,"A+",IF('Data Source'!AF121&gt;=4,"A",IF('Data Source'!AF121&gt;=3.5,"A-",IF('Data Source'!AF121&gt;=3,"B",IF('Data Source'!AF121&gt;=2,"C",IF('Data Source'!AF121&gt;=1,"D","F")))))))</f>
        <v/>
      </c>
      <c r="O121" s="3">
        <f>IF('Data Source'!B121="","",IF('Data Source'!AG121&gt;=5,"A+",IF('Data Source'!AG121&gt;=4,"A",IF('Data Source'!AG121&gt;=3.5,"A-",IF('Data Source'!AG121&gt;=3,"B",IF('Data Source'!AG121&gt;=2,"C",IF('Data Source'!AG121&gt;=1,"D","F")))))))</f>
        <v/>
      </c>
      <c r="P121" s="5">
        <f>IF('Data Source'!B121="","",'Data Source'!R121)</f>
        <v/>
      </c>
      <c r="Q121" s="3">
        <f>IF('Data Source'!B121="","",'Data Source'!S121)</f>
        <v/>
      </c>
    </row>
    <row r="122">
      <c r="A122" s="3">
        <f>IF('Data Source'!B122="","",'Data Source'!A122)</f>
        <v/>
      </c>
      <c r="B122">
        <f>IF('Data Source'!B122="","",'Data Source'!B122)</f>
        <v/>
      </c>
      <c r="C122" s="3">
        <f>IF('Data Source'!B122="","",IF('Data Source'!U122&gt;=5,"A+",IF('Data Source'!U122&gt;=4,"A",IF('Data Source'!U122&gt;=3.5,"A-",IF('Data Source'!U122&gt;=3,"B",IF('Data Source'!U122&gt;=2,"C",IF('Data Source'!U122&gt;=1,"D","F")))))))</f>
        <v/>
      </c>
      <c r="D122" s="3">
        <f>IF('Data Source'!B122="","",IF('Data Source'!V122&gt;=5,"A+",IF('Data Source'!V122&gt;=4,"A",IF('Data Source'!V122&gt;=3.5,"A-",IF('Data Source'!V122&gt;=3,"B",IF('Data Source'!V122&gt;=2,"C",IF('Data Source'!V122&gt;=1,"D","F")))))))</f>
        <v/>
      </c>
      <c r="E122" s="3">
        <f>IF('Data Source'!B122="","",IF('Data Source'!W122&gt;=5,"A+",IF('Data Source'!W122&gt;=4,"A",IF('Data Source'!W122&gt;=3.5,"A-",IF('Data Source'!W122&gt;=3,"B",IF('Data Source'!W122&gt;=2,"C",IF('Data Source'!W122&gt;=1,"D","F")))))))</f>
        <v/>
      </c>
      <c r="F122" s="3">
        <f>IF('Data Source'!B122="","",IF('Data Source'!X122&gt;=5,"A+",IF('Data Source'!X122&gt;=4,"A",IF('Data Source'!X122&gt;=3.5,"A-",IF('Data Source'!X122&gt;=3,"B",IF('Data Source'!X122&gt;=2,"C",IF('Data Source'!X122&gt;=1,"D","F")))))))</f>
        <v/>
      </c>
      <c r="G122" s="3">
        <f>IF('Data Source'!B122="","",IF('Data Source'!Y122&gt;=5,"A+",IF('Data Source'!Y122&gt;=4,"A",IF('Data Source'!Y122&gt;=3.5,"A-",IF('Data Source'!Y122&gt;=3,"B",IF('Data Source'!Y122&gt;=2,"C",IF('Data Source'!Y122&gt;=1,"D","F")))))))</f>
        <v/>
      </c>
      <c r="H122" s="3">
        <f>IF('Data Source'!B122="","",IF('Data Source'!Z122&gt;=5,"A+",IF('Data Source'!Z122&gt;=4,"A",IF('Data Source'!Z122&gt;=3.5,"A-",IF('Data Source'!Z122&gt;=3,"B",IF('Data Source'!Z122&gt;=2,"C",IF('Data Source'!Z122&gt;=1,"D","F")))))))</f>
        <v/>
      </c>
      <c r="I122" s="3">
        <f>IF('Data Source'!B122="","",IF('Data Source'!AA122&gt;=5,"A+",IF('Data Source'!AA122&gt;=4,"A",IF('Data Source'!AA122&gt;=3.5,"A-",IF('Data Source'!AA122&gt;=3,"B",IF('Data Source'!AA122&gt;=2,"C",IF('Data Source'!AA122&gt;=1,"D","F")))))))</f>
        <v/>
      </c>
      <c r="J122" s="3">
        <f>IF('Data Source'!B122="","",IF('Data Source'!AB122&gt;=5,"A+",IF('Data Source'!AB122&gt;=4,"A",IF('Data Source'!AB122&gt;=3.5,"A-",IF('Data Source'!AB122&gt;=3,"B",IF('Data Source'!AB122&gt;=2,"C",IF('Data Source'!AB122&gt;=1,"D","F")))))))</f>
        <v/>
      </c>
      <c r="K122" s="3">
        <f>IF('Data Source'!B122="","",IF('Data Source'!AC122&gt;=5,"A+",IF('Data Source'!AC122&gt;=4,"A",IF('Data Source'!AC122&gt;=3.5,"A-",IF('Data Source'!AC122&gt;=3,"B",IF('Data Source'!AC122&gt;=2,"C",IF('Data Source'!AC122&gt;=1,"D","F")))))))</f>
        <v/>
      </c>
      <c r="L122" s="3">
        <f>IF('Data Source'!B122="","",IF('Data Source'!AD122&gt;=5,"A+",IF('Data Source'!AD122&gt;=4,"A",IF('Data Source'!AD122&gt;=3.5,"A-",IF('Data Source'!AD122&gt;=3,"B",IF('Data Source'!AD122&gt;=2,"C",IF('Data Source'!AD122&gt;=1,"D","F")))))))</f>
        <v/>
      </c>
      <c r="M122" s="3">
        <f>IF('Data Source'!B122="","",IF('Data Source'!AE122&gt;=5,"A+",IF('Data Source'!AE122&gt;=4,"A",IF('Data Source'!AE122&gt;=3.5,"A-",IF('Data Source'!AE122&gt;=3,"B",IF('Data Source'!AE122&gt;=2,"C",IF('Data Source'!AE122&gt;=1,"D","F")))))))</f>
        <v/>
      </c>
      <c r="N122" s="3">
        <f>IF('Data Source'!B122="","",IF('Data Source'!AF122&gt;=5,"A+",IF('Data Source'!AF122&gt;=4,"A",IF('Data Source'!AF122&gt;=3.5,"A-",IF('Data Source'!AF122&gt;=3,"B",IF('Data Source'!AF122&gt;=2,"C",IF('Data Source'!AF122&gt;=1,"D","F")))))))</f>
        <v/>
      </c>
      <c r="O122" s="3">
        <f>IF('Data Source'!B122="","",IF('Data Source'!AG122&gt;=5,"A+",IF('Data Source'!AG122&gt;=4,"A",IF('Data Source'!AG122&gt;=3.5,"A-",IF('Data Source'!AG122&gt;=3,"B",IF('Data Source'!AG122&gt;=2,"C",IF('Data Source'!AG122&gt;=1,"D","F")))))))</f>
        <v/>
      </c>
      <c r="P122" s="5">
        <f>IF('Data Source'!B122="","",'Data Source'!R122)</f>
        <v/>
      </c>
      <c r="Q122" s="3">
        <f>IF('Data Source'!B122="","",'Data Source'!S122)</f>
        <v/>
      </c>
    </row>
    <row r="123">
      <c r="A123" s="3">
        <f>IF('Data Source'!B123="","",'Data Source'!A123)</f>
        <v/>
      </c>
      <c r="B123">
        <f>IF('Data Source'!B123="","",'Data Source'!B123)</f>
        <v/>
      </c>
      <c r="C123" s="3">
        <f>IF('Data Source'!B123="","",IF('Data Source'!U123&gt;=5,"A+",IF('Data Source'!U123&gt;=4,"A",IF('Data Source'!U123&gt;=3.5,"A-",IF('Data Source'!U123&gt;=3,"B",IF('Data Source'!U123&gt;=2,"C",IF('Data Source'!U123&gt;=1,"D","F")))))))</f>
        <v/>
      </c>
      <c r="D123" s="3">
        <f>IF('Data Source'!B123="","",IF('Data Source'!V123&gt;=5,"A+",IF('Data Source'!V123&gt;=4,"A",IF('Data Source'!V123&gt;=3.5,"A-",IF('Data Source'!V123&gt;=3,"B",IF('Data Source'!V123&gt;=2,"C",IF('Data Source'!V123&gt;=1,"D","F")))))))</f>
        <v/>
      </c>
      <c r="E123" s="3">
        <f>IF('Data Source'!B123="","",IF('Data Source'!W123&gt;=5,"A+",IF('Data Source'!W123&gt;=4,"A",IF('Data Source'!W123&gt;=3.5,"A-",IF('Data Source'!W123&gt;=3,"B",IF('Data Source'!W123&gt;=2,"C",IF('Data Source'!W123&gt;=1,"D","F")))))))</f>
        <v/>
      </c>
      <c r="F123" s="3">
        <f>IF('Data Source'!B123="","",IF('Data Source'!X123&gt;=5,"A+",IF('Data Source'!X123&gt;=4,"A",IF('Data Source'!X123&gt;=3.5,"A-",IF('Data Source'!X123&gt;=3,"B",IF('Data Source'!X123&gt;=2,"C",IF('Data Source'!X123&gt;=1,"D","F")))))))</f>
        <v/>
      </c>
      <c r="G123" s="3">
        <f>IF('Data Source'!B123="","",IF('Data Source'!Y123&gt;=5,"A+",IF('Data Source'!Y123&gt;=4,"A",IF('Data Source'!Y123&gt;=3.5,"A-",IF('Data Source'!Y123&gt;=3,"B",IF('Data Source'!Y123&gt;=2,"C",IF('Data Source'!Y123&gt;=1,"D","F")))))))</f>
        <v/>
      </c>
      <c r="H123" s="3">
        <f>IF('Data Source'!B123="","",IF('Data Source'!Z123&gt;=5,"A+",IF('Data Source'!Z123&gt;=4,"A",IF('Data Source'!Z123&gt;=3.5,"A-",IF('Data Source'!Z123&gt;=3,"B",IF('Data Source'!Z123&gt;=2,"C",IF('Data Source'!Z123&gt;=1,"D","F")))))))</f>
        <v/>
      </c>
      <c r="I123" s="3">
        <f>IF('Data Source'!B123="","",IF('Data Source'!AA123&gt;=5,"A+",IF('Data Source'!AA123&gt;=4,"A",IF('Data Source'!AA123&gt;=3.5,"A-",IF('Data Source'!AA123&gt;=3,"B",IF('Data Source'!AA123&gt;=2,"C",IF('Data Source'!AA123&gt;=1,"D","F")))))))</f>
        <v/>
      </c>
      <c r="J123" s="3">
        <f>IF('Data Source'!B123="","",IF('Data Source'!AB123&gt;=5,"A+",IF('Data Source'!AB123&gt;=4,"A",IF('Data Source'!AB123&gt;=3.5,"A-",IF('Data Source'!AB123&gt;=3,"B",IF('Data Source'!AB123&gt;=2,"C",IF('Data Source'!AB123&gt;=1,"D","F")))))))</f>
        <v/>
      </c>
      <c r="K123" s="3">
        <f>IF('Data Source'!B123="","",IF('Data Source'!AC123&gt;=5,"A+",IF('Data Source'!AC123&gt;=4,"A",IF('Data Source'!AC123&gt;=3.5,"A-",IF('Data Source'!AC123&gt;=3,"B",IF('Data Source'!AC123&gt;=2,"C",IF('Data Source'!AC123&gt;=1,"D","F")))))))</f>
        <v/>
      </c>
      <c r="L123" s="3">
        <f>IF('Data Source'!B123="","",IF('Data Source'!AD123&gt;=5,"A+",IF('Data Source'!AD123&gt;=4,"A",IF('Data Source'!AD123&gt;=3.5,"A-",IF('Data Source'!AD123&gt;=3,"B",IF('Data Source'!AD123&gt;=2,"C",IF('Data Source'!AD123&gt;=1,"D","F")))))))</f>
        <v/>
      </c>
      <c r="M123" s="3">
        <f>IF('Data Source'!B123="","",IF('Data Source'!AE123&gt;=5,"A+",IF('Data Source'!AE123&gt;=4,"A",IF('Data Source'!AE123&gt;=3.5,"A-",IF('Data Source'!AE123&gt;=3,"B",IF('Data Source'!AE123&gt;=2,"C",IF('Data Source'!AE123&gt;=1,"D","F")))))))</f>
        <v/>
      </c>
      <c r="N123" s="3">
        <f>IF('Data Source'!B123="","",IF('Data Source'!AF123&gt;=5,"A+",IF('Data Source'!AF123&gt;=4,"A",IF('Data Source'!AF123&gt;=3.5,"A-",IF('Data Source'!AF123&gt;=3,"B",IF('Data Source'!AF123&gt;=2,"C",IF('Data Source'!AF123&gt;=1,"D","F")))))))</f>
        <v/>
      </c>
      <c r="O123" s="3">
        <f>IF('Data Source'!B123="","",IF('Data Source'!AG123&gt;=5,"A+",IF('Data Source'!AG123&gt;=4,"A",IF('Data Source'!AG123&gt;=3.5,"A-",IF('Data Source'!AG123&gt;=3,"B",IF('Data Source'!AG123&gt;=2,"C",IF('Data Source'!AG123&gt;=1,"D","F")))))))</f>
        <v/>
      </c>
      <c r="P123" s="5">
        <f>IF('Data Source'!B123="","",'Data Source'!R123)</f>
        <v/>
      </c>
      <c r="Q123" s="3">
        <f>IF('Data Source'!B123="","",'Data Source'!S123)</f>
        <v/>
      </c>
    </row>
    <row r="124">
      <c r="A124" s="3">
        <f>IF('Data Source'!B124="","",'Data Source'!A124)</f>
        <v/>
      </c>
      <c r="B124">
        <f>IF('Data Source'!B124="","",'Data Source'!B124)</f>
        <v/>
      </c>
      <c r="C124" s="3">
        <f>IF('Data Source'!B124="","",IF('Data Source'!U124&gt;=5,"A+",IF('Data Source'!U124&gt;=4,"A",IF('Data Source'!U124&gt;=3.5,"A-",IF('Data Source'!U124&gt;=3,"B",IF('Data Source'!U124&gt;=2,"C",IF('Data Source'!U124&gt;=1,"D","F")))))))</f>
        <v/>
      </c>
      <c r="D124" s="3">
        <f>IF('Data Source'!B124="","",IF('Data Source'!V124&gt;=5,"A+",IF('Data Source'!V124&gt;=4,"A",IF('Data Source'!V124&gt;=3.5,"A-",IF('Data Source'!V124&gt;=3,"B",IF('Data Source'!V124&gt;=2,"C",IF('Data Source'!V124&gt;=1,"D","F")))))))</f>
        <v/>
      </c>
      <c r="E124" s="3">
        <f>IF('Data Source'!B124="","",IF('Data Source'!W124&gt;=5,"A+",IF('Data Source'!W124&gt;=4,"A",IF('Data Source'!W124&gt;=3.5,"A-",IF('Data Source'!W124&gt;=3,"B",IF('Data Source'!W124&gt;=2,"C",IF('Data Source'!W124&gt;=1,"D","F")))))))</f>
        <v/>
      </c>
      <c r="F124" s="3">
        <f>IF('Data Source'!B124="","",IF('Data Source'!X124&gt;=5,"A+",IF('Data Source'!X124&gt;=4,"A",IF('Data Source'!X124&gt;=3.5,"A-",IF('Data Source'!X124&gt;=3,"B",IF('Data Source'!X124&gt;=2,"C",IF('Data Source'!X124&gt;=1,"D","F")))))))</f>
        <v/>
      </c>
      <c r="G124" s="3">
        <f>IF('Data Source'!B124="","",IF('Data Source'!Y124&gt;=5,"A+",IF('Data Source'!Y124&gt;=4,"A",IF('Data Source'!Y124&gt;=3.5,"A-",IF('Data Source'!Y124&gt;=3,"B",IF('Data Source'!Y124&gt;=2,"C",IF('Data Source'!Y124&gt;=1,"D","F")))))))</f>
        <v/>
      </c>
      <c r="H124" s="3">
        <f>IF('Data Source'!B124="","",IF('Data Source'!Z124&gt;=5,"A+",IF('Data Source'!Z124&gt;=4,"A",IF('Data Source'!Z124&gt;=3.5,"A-",IF('Data Source'!Z124&gt;=3,"B",IF('Data Source'!Z124&gt;=2,"C",IF('Data Source'!Z124&gt;=1,"D","F")))))))</f>
        <v/>
      </c>
      <c r="I124" s="3">
        <f>IF('Data Source'!B124="","",IF('Data Source'!AA124&gt;=5,"A+",IF('Data Source'!AA124&gt;=4,"A",IF('Data Source'!AA124&gt;=3.5,"A-",IF('Data Source'!AA124&gt;=3,"B",IF('Data Source'!AA124&gt;=2,"C",IF('Data Source'!AA124&gt;=1,"D","F")))))))</f>
        <v/>
      </c>
      <c r="J124" s="3">
        <f>IF('Data Source'!B124="","",IF('Data Source'!AB124&gt;=5,"A+",IF('Data Source'!AB124&gt;=4,"A",IF('Data Source'!AB124&gt;=3.5,"A-",IF('Data Source'!AB124&gt;=3,"B",IF('Data Source'!AB124&gt;=2,"C",IF('Data Source'!AB124&gt;=1,"D","F")))))))</f>
        <v/>
      </c>
      <c r="K124" s="3">
        <f>IF('Data Source'!B124="","",IF('Data Source'!AC124&gt;=5,"A+",IF('Data Source'!AC124&gt;=4,"A",IF('Data Source'!AC124&gt;=3.5,"A-",IF('Data Source'!AC124&gt;=3,"B",IF('Data Source'!AC124&gt;=2,"C",IF('Data Source'!AC124&gt;=1,"D","F")))))))</f>
        <v/>
      </c>
      <c r="L124" s="3">
        <f>IF('Data Source'!B124="","",IF('Data Source'!AD124&gt;=5,"A+",IF('Data Source'!AD124&gt;=4,"A",IF('Data Source'!AD124&gt;=3.5,"A-",IF('Data Source'!AD124&gt;=3,"B",IF('Data Source'!AD124&gt;=2,"C",IF('Data Source'!AD124&gt;=1,"D","F")))))))</f>
        <v/>
      </c>
      <c r="M124" s="3">
        <f>IF('Data Source'!B124="","",IF('Data Source'!AE124&gt;=5,"A+",IF('Data Source'!AE124&gt;=4,"A",IF('Data Source'!AE124&gt;=3.5,"A-",IF('Data Source'!AE124&gt;=3,"B",IF('Data Source'!AE124&gt;=2,"C",IF('Data Source'!AE124&gt;=1,"D","F")))))))</f>
        <v/>
      </c>
      <c r="N124" s="3">
        <f>IF('Data Source'!B124="","",IF('Data Source'!AF124&gt;=5,"A+",IF('Data Source'!AF124&gt;=4,"A",IF('Data Source'!AF124&gt;=3.5,"A-",IF('Data Source'!AF124&gt;=3,"B",IF('Data Source'!AF124&gt;=2,"C",IF('Data Source'!AF124&gt;=1,"D","F")))))))</f>
        <v/>
      </c>
      <c r="O124" s="3">
        <f>IF('Data Source'!B124="","",IF('Data Source'!AG124&gt;=5,"A+",IF('Data Source'!AG124&gt;=4,"A",IF('Data Source'!AG124&gt;=3.5,"A-",IF('Data Source'!AG124&gt;=3,"B",IF('Data Source'!AG124&gt;=2,"C",IF('Data Source'!AG124&gt;=1,"D","F")))))))</f>
        <v/>
      </c>
      <c r="P124" s="5">
        <f>IF('Data Source'!B124="","",'Data Source'!R124)</f>
        <v/>
      </c>
      <c r="Q124" s="3">
        <f>IF('Data Source'!B124="","",'Data Source'!S124)</f>
        <v/>
      </c>
    </row>
    <row r="125">
      <c r="A125" s="3">
        <f>IF('Data Source'!B125="","",'Data Source'!A125)</f>
        <v/>
      </c>
      <c r="B125">
        <f>IF('Data Source'!B125="","",'Data Source'!B125)</f>
        <v/>
      </c>
      <c r="C125" s="3">
        <f>IF('Data Source'!B125="","",IF('Data Source'!U125&gt;=5,"A+",IF('Data Source'!U125&gt;=4,"A",IF('Data Source'!U125&gt;=3.5,"A-",IF('Data Source'!U125&gt;=3,"B",IF('Data Source'!U125&gt;=2,"C",IF('Data Source'!U125&gt;=1,"D","F")))))))</f>
        <v/>
      </c>
      <c r="D125" s="3">
        <f>IF('Data Source'!B125="","",IF('Data Source'!V125&gt;=5,"A+",IF('Data Source'!V125&gt;=4,"A",IF('Data Source'!V125&gt;=3.5,"A-",IF('Data Source'!V125&gt;=3,"B",IF('Data Source'!V125&gt;=2,"C",IF('Data Source'!V125&gt;=1,"D","F")))))))</f>
        <v/>
      </c>
      <c r="E125" s="3">
        <f>IF('Data Source'!B125="","",IF('Data Source'!W125&gt;=5,"A+",IF('Data Source'!W125&gt;=4,"A",IF('Data Source'!W125&gt;=3.5,"A-",IF('Data Source'!W125&gt;=3,"B",IF('Data Source'!W125&gt;=2,"C",IF('Data Source'!W125&gt;=1,"D","F")))))))</f>
        <v/>
      </c>
      <c r="F125" s="3">
        <f>IF('Data Source'!B125="","",IF('Data Source'!X125&gt;=5,"A+",IF('Data Source'!X125&gt;=4,"A",IF('Data Source'!X125&gt;=3.5,"A-",IF('Data Source'!X125&gt;=3,"B",IF('Data Source'!X125&gt;=2,"C",IF('Data Source'!X125&gt;=1,"D","F")))))))</f>
        <v/>
      </c>
      <c r="G125" s="3">
        <f>IF('Data Source'!B125="","",IF('Data Source'!Y125&gt;=5,"A+",IF('Data Source'!Y125&gt;=4,"A",IF('Data Source'!Y125&gt;=3.5,"A-",IF('Data Source'!Y125&gt;=3,"B",IF('Data Source'!Y125&gt;=2,"C",IF('Data Source'!Y125&gt;=1,"D","F")))))))</f>
        <v/>
      </c>
      <c r="H125" s="3">
        <f>IF('Data Source'!B125="","",IF('Data Source'!Z125&gt;=5,"A+",IF('Data Source'!Z125&gt;=4,"A",IF('Data Source'!Z125&gt;=3.5,"A-",IF('Data Source'!Z125&gt;=3,"B",IF('Data Source'!Z125&gt;=2,"C",IF('Data Source'!Z125&gt;=1,"D","F")))))))</f>
        <v/>
      </c>
      <c r="I125" s="3">
        <f>IF('Data Source'!B125="","",IF('Data Source'!AA125&gt;=5,"A+",IF('Data Source'!AA125&gt;=4,"A",IF('Data Source'!AA125&gt;=3.5,"A-",IF('Data Source'!AA125&gt;=3,"B",IF('Data Source'!AA125&gt;=2,"C",IF('Data Source'!AA125&gt;=1,"D","F")))))))</f>
        <v/>
      </c>
      <c r="J125" s="3">
        <f>IF('Data Source'!B125="","",IF('Data Source'!AB125&gt;=5,"A+",IF('Data Source'!AB125&gt;=4,"A",IF('Data Source'!AB125&gt;=3.5,"A-",IF('Data Source'!AB125&gt;=3,"B",IF('Data Source'!AB125&gt;=2,"C",IF('Data Source'!AB125&gt;=1,"D","F")))))))</f>
        <v/>
      </c>
      <c r="K125" s="3">
        <f>IF('Data Source'!B125="","",IF('Data Source'!AC125&gt;=5,"A+",IF('Data Source'!AC125&gt;=4,"A",IF('Data Source'!AC125&gt;=3.5,"A-",IF('Data Source'!AC125&gt;=3,"B",IF('Data Source'!AC125&gt;=2,"C",IF('Data Source'!AC125&gt;=1,"D","F")))))))</f>
        <v/>
      </c>
      <c r="L125" s="3">
        <f>IF('Data Source'!B125="","",IF('Data Source'!AD125&gt;=5,"A+",IF('Data Source'!AD125&gt;=4,"A",IF('Data Source'!AD125&gt;=3.5,"A-",IF('Data Source'!AD125&gt;=3,"B",IF('Data Source'!AD125&gt;=2,"C",IF('Data Source'!AD125&gt;=1,"D","F")))))))</f>
        <v/>
      </c>
      <c r="M125" s="3">
        <f>IF('Data Source'!B125="","",IF('Data Source'!AE125&gt;=5,"A+",IF('Data Source'!AE125&gt;=4,"A",IF('Data Source'!AE125&gt;=3.5,"A-",IF('Data Source'!AE125&gt;=3,"B",IF('Data Source'!AE125&gt;=2,"C",IF('Data Source'!AE125&gt;=1,"D","F")))))))</f>
        <v/>
      </c>
      <c r="N125" s="3">
        <f>IF('Data Source'!B125="","",IF('Data Source'!AF125&gt;=5,"A+",IF('Data Source'!AF125&gt;=4,"A",IF('Data Source'!AF125&gt;=3.5,"A-",IF('Data Source'!AF125&gt;=3,"B",IF('Data Source'!AF125&gt;=2,"C",IF('Data Source'!AF125&gt;=1,"D","F")))))))</f>
        <v/>
      </c>
      <c r="O125" s="3">
        <f>IF('Data Source'!B125="","",IF('Data Source'!AG125&gt;=5,"A+",IF('Data Source'!AG125&gt;=4,"A",IF('Data Source'!AG125&gt;=3.5,"A-",IF('Data Source'!AG125&gt;=3,"B",IF('Data Source'!AG125&gt;=2,"C",IF('Data Source'!AG125&gt;=1,"D","F")))))))</f>
        <v/>
      </c>
      <c r="P125" s="5">
        <f>IF('Data Source'!B125="","",'Data Source'!R125)</f>
        <v/>
      </c>
      <c r="Q125" s="3">
        <f>IF('Data Source'!B125="","",'Data Source'!S125)</f>
        <v/>
      </c>
    </row>
    <row r="126">
      <c r="A126" s="3">
        <f>IF('Data Source'!B126="","",'Data Source'!A126)</f>
        <v/>
      </c>
      <c r="B126">
        <f>IF('Data Source'!B126="","",'Data Source'!B126)</f>
        <v/>
      </c>
      <c r="C126" s="3">
        <f>IF('Data Source'!B126="","",IF('Data Source'!U126&gt;=5,"A+",IF('Data Source'!U126&gt;=4,"A",IF('Data Source'!U126&gt;=3.5,"A-",IF('Data Source'!U126&gt;=3,"B",IF('Data Source'!U126&gt;=2,"C",IF('Data Source'!U126&gt;=1,"D","F")))))))</f>
        <v/>
      </c>
      <c r="D126" s="3">
        <f>IF('Data Source'!B126="","",IF('Data Source'!V126&gt;=5,"A+",IF('Data Source'!V126&gt;=4,"A",IF('Data Source'!V126&gt;=3.5,"A-",IF('Data Source'!V126&gt;=3,"B",IF('Data Source'!V126&gt;=2,"C",IF('Data Source'!V126&gt;=1,"D","F")))))))</f>
        <v/>
      </c>
      <c r="E126" s="3">
        <f>IF('Data Source'!B126="","",IF('Data Source'!W126&gt;=5,"A+",IF('Data Source'!W126&gt;=4,"A",IF('Data Source'!W126&gt;=3.5,"A-",IF('Data Source'!W126&gt;=3,"B",IF('Data Source'!W126&gt;=2,"C",IF('Data Source'!W126&gt;=1,"D","F")))))))</f>
        <v/>
      </c>
      <c r="F126" s="3">
        <f>IF('Data Source'!B126="","",IF('Data Source'!X126&gt;=5,"A+",IF('Data Source'!X126&gt;=4,"A",IF('Data Source'!X126&gt;=3.5,"A-",IF('Data Source'!X126&gt;=3,"B",IF('Data Source'!X126&gt;=2,"C",IF('Data Source'!X126&gt;=1,"D","F")))))))</f>
        <v/>
      </c>
      <c r="G126" s="3">
        <f>IF('Data Source'!B126="","",IF('Data Source'!Y126&gt;=5,"A+",IF('Data Source'!Y126&gt;=4,"A",IF('Data Source'!Y126&gt;=3.5,"A-",IF('Data Source'!Y126&gt;=3,"B",IF('Data Source'!Y126&gt;=2,"C",IF('Data Source'!Y126&gt;=1,"D","F")))))))</f>
        <v/>
      </c>
      <c r="H126" s="3">
        <f>IF('Data Source'!B126="","",IF('Data Source'!Z126&gt;=5,"A+",IF('Data Source'!Z126&gt;=4,"A",IF('Data Source'!Z126&gt;=3.5,"A-",IF('Data Source'!Z126&gt;=3,"B",IF('Data Source'!Z126&gt;=2,"C",IF('Data Source'!Z126&gt;=1,"D","F")))))))</f>
        <v/>
      </c>
      <c r="I126" s="3">
        <f>IF('Data Source'!B126="","",IF('Data Source'!AA126&gt;=5,"A+",IF('Data Source'!AA126&gt;=4,"A",IF('Data Source'!AA126&gt;=3.5,"A-",IF('Data Source'!AA126&gt;=3,"B",IF('Data Source'!AA126&gt;=2,"C",IF('Data Source'!AA126&gt;=1,"D","F")))))))</f>
        <v/>
      </c>
      <c r="J126" s="3">
        <f>IF('Data Source'!B126="","",IF('Data Source'!AB126&gt;=5,"A+",IF('Data Source'!AB126&gt;=4,"A",IF('Data Source'!AB126&gt;=3.5,"A-",IF('Data Source'!AB126&gt;=3,"B",IF('Data Source'!AB126&gt;=2,"C",IF('Data Source'!AB126&gt;=1,"D","F")))))))</f>
        <v/>
      </c>
      <c r="K126" s="3">
        <f>IF('Data Source'!B126="","",IF('Data Source'!AC126&gt;=5,"A+",IF('Data Source'!AC126&gt;=4,"A",IF('Data Source'!AC126&gt;=3.5,"A-",IF('Data Source'!AC126&gt;=3,"B",IF('Data Source'!AC126&gt;=2,"C",IF('Data Source'!AC126&gt;=1,"D","F")))))))</f>
        <v/>
      </c>
      <c r="L126" s="3">
        <f>IF('Data Source'!B126="","",IF('Data Source'!AD126&gt;=5,"A+",IF('Data Source'!AD126&gt;=4,"A",IF('Data Source'!AD126&gt;=3.5,"A-",IF('Data Source'!AD126&gt;=3,"B",IF('Data Source'!AD126&gt;=2,"C",IF('Data Source'!AD126&gt;=1,"D","F")))))))</f>
        <v/>
      </c>
      <c r="M126" s="3">
        <f>IF('Data Source'!B126="","",IF('Data Source'!AE126&gt;=5,"A+",IF('Data Source'!AE126&gt;=4,"A",IF('Data Source'!AE126&gt;=3.5,"A-",IF('Data Source'!AE126&gt;=3,"B",IF('Data Source'!AE126&gt;=2,"C",IF('Data Source'!AE126&gt;=1,"D","F")))))))</f>
        <v/>
      </c>
      <c r="N126" s="3">
        <f>IF('Data Source'!B126="","",IF('Data Source'!AF126&gt;=5,"A+",IF('Data Source'!AF126&gt;=4,"A",IF('Data Source'!AF126&gt;=3.5,"A-",IF('Data Source'!AF126&gt;=3,"B",IF('Data Source'!AF126&gt;=2,"C",IF('Data Source'!AF126&gt;=1,"D","F")))))))</f>
        <v/>
      </c>
      <c r="O126" s="3">
        <f>IF('Data Source'!B126="","",IF('Data Source'!AG126&gt;=5,"A+",IF('Data Source'!AG126&gt;=4,"A",IF('Data Source'!AG126&gt;=3.5,"A-",IF('Data Source'!AG126&gt;=3,"B",IF('Data Source'!AG126&gt;=2,"C",IF('Data Source'!AG126&gt;=1,"D","F")))))))</f>
        <v/>
      </c>
      <c r="P126" s="5">
        <f>IF('Data Source'!B126="","",'Data Source'!R126)</f>
        <v/>
      </c>
      <c r="Q126" s="3">
        <f>IF('Data Source'!B126="","",'Data Source'!S126)</f>
        <v/>
      </c>
    </row>
    <row r="127">
      <c r="A127" s="3">
        <f>IF('Data Source'!B127="","",'Data Source'!A127)</f>
        <v/>
      </c>
      <c r="B127">
        <f>IF('Data Source'!B127="","",'Data Source'!B127)</f>
        <v/>
      </c>
      <c r="C127" s="3">
        <f>IF('Data Source'!B127="","",IF('Data Source'!U127&gt;=5,"A+",IF('Data Source'!U127&gt;=4,"A",IF('Data Source'!U127&gt;=3.5,"A-",IF('Data Source'!U127&gt;=3,"B",IF('Data Source'!U127&gt;=2,"C",IF('Data Source'!U127&gt;=1,"D","F")))))))</f>
        <v/>
      </c>
      <c r="D127" s="3">
        <f>IF('Data Source'!B127="","",IF('Data Source'!V127&gt;=5,"A+",IF('Data Source'!V127&gt;=4,"A",IF('Data Source'!V127&gt;=3.5,"A-",IF('Data Source'!V127&gt;=3,"B",IF('Data Source'!V127&gt;=2,"C",IF('Data Source'!V127&gt;=1,"D","F")))))))</f>
        <v/>
      </c>
      <c r="E127" s="3">
        <f>IF('Data Source'!B127="","",IF('Data Source'!W127&gt;=5,"A+",IF('Data Source'!W127&gt;=4,"A",IF('Data Source'!W127&gt;=3.5,"A-",IF('Data Source'!W127&gt;=3,"B",IF('Data Source'!W127&gt;=2,"C",IF('Data Source'!W127&gt;=1,"D","F")))))))</f>
        <v/>
      </c>
      <c r="F127" s="3">
        <f>IF('Data Source'!B127="","",IF('Data Source'!X127&gt;=5,"A+",IF('Data Source'!X127&gt;=4,"A",IF('Data Source'!X127&gt;=3.5,"A-",IF('Data Source'!X127&gt;=3,"B",IF('Data Source'!X127&gt;=2,"C",IF('Data Source'!X127&gt;=1,"D","F")))))))</f>
        <v/>
      </c>
      <c r="G127" s="3">
        <f>IF('Data Source'!B127="","",IF('Data Source'!Y127&gt;=5,"A+",IF('Data Source'!Y127&gt;=4,"A",IF('Data Source'!Y127&gt;=3.5,"A-",IF('Data Source'!Y127&gt;=3,"B",IF('Data Source'!Y127&gt;=2,"C",IF('Data Source'!Y127&gt;=1,"D","F")))))))</f>
        <v/>
      </c>
      <c r="H127" s="3">
        <f>IF('Data Source'!B127="","",IF('Data Source'!Z127&gt;=5,"A+",IF('Data Source'!Z127&gt;=4,"A",IF('Data Source'!Z127&gt;=3.5,"A-",IF('Data Source'!Z127&gt;=3,"B",IF('Data Source'!Z127&gt;=2,"C",IF('Data Source'!Z127&gt;=1,"D","F")))))))</f>
        <v/>
      </c>
      <c r="I127" s="3">
        <f>IF('Data Source'!B127="","",IF('Data Source'!AA127&gt;=5,"A+",IF('Data Source'!AA127&gt;=4,"A",IF('Data Source'!AA127&gt;=3.5,"A-",IF('Data Source'!AA127&gt;=3,"B",IF('Data Source'!AA127&gt;=2,"C",IF('Data Source'!AA127&gt;=1,"D","F")))))))</f>
        <v/>
      </c>
      <c r="J127" s="3">
        <f>IF('Data Source'!B127="","",IF('Data Source'!AB127&gt;=5,"A+",IF('Data Source'!AB127&gt;=4,"A",IF('Data Source'!AB127&gt;=3.5,"A-",IF('Data Source'!AB127&gt;=3,"B",IF('Data Source'!AB127&gt;=2,"C",IF('Data Source'!AB127&gt;=1,"D","F")))))))</f>
        <v/>
      </c>
      <c r="K127" s="3">
        <f>IF('Data Source'!B127="","",IF('Data Source'!AC127&gt;=5,"A+",IF('Data Source'!AC127&gt;=4,"A",IF('Data Source'!AC127&gt;=3.5,"A-",IF('Data Source'!AC127&gt;=3,"B",IF('Data Source'!AC127&gt;=2,"C",IF('Data Source'!AC127&gt;=1,"D","F")))))))</f>
        <v/>
      </c>
      <c r="L127" s="3">
        <f>IF('Data Source'!B127="","",IF('Data Source'!AD127&gt;=5,"A+",IF('Data Source'!AD127&gt;=4,"A",IF('Data Source'!AD127&gt;=3.5,"A-",IF('Data Source'!AD127&gt;=3,"B",IF('Data Source'!AD127&gt;=2,"C",IF('Data Source'!AD127&gt;=1,"D","F")))))))</f>
        <v/>
      </c>
      <c r="M127" s="3">
        <f>IF('Data Source'!B127="","",IF('Data Source'!AE127&gt;=5,"A+",IF('Data Source'!AE127&gt;=4,"A",IF('Data Source'!AE127&gt;=3.5,"A-",IF('Data Source'!AE127&gt;=3,"B",IF('Data Source'!AE127&gt;=2,"C",IF('Data Source'!AE127&gt;=1,"D","F")))))))</f>
        <v/>
      </c>
      <c r="N127" s="3">
        <f>IF('Data Source'!B127="","",IF('Data Source'!AF127&gt;=5,"A+",IF('Data Source'!AF127&gt;=4,"A",IF('Data Source'!AF127&gt;=3.5,"A-",IF('Data Source'!AF127&gt;=3,"B",IF('Data Source'!AF127&gt;=2,"C",IF('Data Source'!AF127&gt;=1,"D","F")))))))</f>
        <v/>
      </c>
      <c r="O127" s="3">
        <f>IF('Data Source'!B127="","",IF('Data Source'!AG127&gt;=5,"A+",IF('Data Source'!AG127&gt;=4,"A",IF('Data Source'!AG127&gt;=3.5,"A-",IF('Data Source'!AG127&gt;=3,"B",IF('Data Source'!AG127&gt;=2,"C",IF('Data Source'!AG127&gt;=1,"D","F")))))))</f>
        <v/>
      </c>
      <c r="P127" s="5">
        <f>IF('Data Source'!B127="","",'Data Source'!R127)</f>
        <v/>
      </c>
      <c r="Q127" s="3">
        <f>IF('Data Source'!B127="","",'Data Source'!S127)</f>
        <v/>
      </c>
    </row>
    <row r="128">
      <c r="A128" s="3">
        <f>IF('Data Source'!B128="","",'Data Source'!A128)</f>
        <v/>
      </c>
      <c r="B128">
        <f>IF('Data Source'!B128="","",'Data Source'!B128)</f>
        <v/>
      </c>
      <c r="C128" s="3">
        <f>IF('Data Source'!B128="","",IF('Data Source'!U128&gt;=5,"A+",IF('Data Source'!U128&gt;=4,"A",IF('Data Source'!U128&gt;=3.5,"A-",IF('Data Source'!U128&gt;=3,"B",IF('Data Source'!U128&gt;=2,"C",IF('Data Source'!U128&gt;=1,"D","F")))))))</f>
        <v/>
      </c>
      <c r="D128" s="3">
        <f>IF('Data Source'!B128="","",IF('Data Source'!V128&gt;=5,"A+",IF('Data Source'!V128&gt;=4,"A",IF('Data Source'!V128&gt;=3.5,"A-",IF('Data Source'!V128&gt;=3,"B",IF('Data Source'!V128&gt;=2,"C",IF('Data Source'!V128&gt;=1,"D","F")))))))</f>
        <v/>
      </c>
      <c r="E128" s="3">
        <f>IF('Data Source'!B128="","",IF('Data Source'!W128&gt;=5,"A+",IF('Data Source'!W128&gt;=4,"A",IF('Data Source'!W128&gt;=3.5,"A-",IF('Data Source'!W128&gt;=3,"B",IF('Data Source'!W128&gt;=2,"C",IF('Data Source'!W128&gt;=1,"D","F")))))))</f>
        <v/>
      </c>
      <c r="F128" s="3">
        <f>IF('Data Source'!B128="","",IF('Data Source'!X128&gt;=5,"A+",IF('Data Source'!X128&gt;=4,"A",IF('Data Source'!X128&gt;=3.5,"A-",IF('Data Source'!X128&gt;=3,"B",IF('Data Source'!X128&gt;=2,"C",IF('Data Source'!X128&gt;=1,"D","F")))))))</f>
        <v/>
      </c>
      <c r="G128" s="3">
        <f>IF('Data Source'!B128="","",IF('Data Source'!Y128&gt;=5,"A+",IF('Data Source'!Y128&gt;=4,"A",IF('Data Source'!Y128&gt;=3.5,"A-",IF('Data Source'!Y128&gt;=3,"B",IF('Data Source'!Y128&gt;=2,"C",IF('Data Source'!Y128&gt;=1,"D","F")))))))</f>
        <v/>
      </c>
      <c r="H128" s="3">
        <f>IF('Data Source'!B128="","",IF('Data Source'!Z128&gt;=5,"A+",IF('Data Source'!Z128&gt;=4,"A",IF('Data Source'!Z128&gt;=3.5,"A-",IF('Data Source'!Z128&gt;=3,"B",IF('Data Source'!Z128&gt;=2,"C",IF('Data Source'!Z128&gt;=1,"D","F")))))))</f>
        <v/>
      </c>
      <c r="I128" s="3">
        <f>IF('Data Source'!B128="","",IF('Data Source'!AA128&gt;=5,"A+",IF('Data Source'!AA128&gt;=4,"A",IF('Data Source'!AA128&gt;=3.5,"A-",IF('Data Source'!AA128&gt;=3,"B",IF('Data Source'!AA128&gt;=2,"C",IF('Data Source'!AA128&gt;=1,"D","F")))))))</f>
        <v/>
      </c>
      <c r="J128" s="3">
        <f>IF('Data Source'!B128="","",IF('Data Source'!AB128&gt;=5,"A+",IF('Data Source'!AB128&gt;=4,"A",IF('Data Source'!AB128&gt;=3.5,"A-",IF('Data Source'!AB128&gt;=3,"B",IF('Data Source'!AB128&gt;=2,"C",IF('Data Source'!AB128&gt;=1,"D","F")))))))</f>
        <v/>
      </c>
      <c r="K128" s="3">
        <f>IF('Data Source'!B128="","",IF('Data Source'!AC128&gt;=5,"A+",IF('Data Source'!AC128&gt;=4,"A",IF('Data Source'!AC128&gt;=3.5,"A-",IF('Data Source'!AC128&gt;=3,"B",IF('Data Source'!AC128&gt;=2,"C",IF('Data Source'!AC128&gt;=1,"D","F")))))))</f>
        <v/>
      </c>
      <c r="L128" s="3">
        <f>IF('Data Source'!B128="","",IF('Data Source'!AD128&gt;=5,"A+",IF('Data Source'!AD128&gt;=4,"A",IF('Data Source'!AD128&gt;=3.5,"A-",IF('Data Source'!AD128&gt;=3,"B",IF('Data Source'!AD128&gt;=2,"C",IF('Data Source'!AD128&gt;=1,"D","F")))))))</f>
        <v/>
      </c>
      <c r="M128" s="3">
        <f>IF('Data Source'!B128="","",IF('Data Source'!AE128&gt;=5,"A+",IF('Data Source'!AE128&gt;=4,"A",IF('Data Source'!AE128&gt;=3.5,"A-",IF('Data Source'!AE128&gt;=3,"B",IF('Data Source'!AE128&gt;=2,"C",IF('Data Source'!AE128&gt;=1,"D","F")))))))</f>
        <v/>
      </c>
      <c r="N128" s="3">
        <f>IF('Data Source'!B128="","",IF('Data Source'!AF128&gt;=5,"A+",IF('Data Source'!AF128&gt;=4,"A",IF('Data Source'!AF128&gt;=3.5,"A-",IF('Data Source'!AF128&gt;=3,"B",IF('Data Source'!AF128&gt;=2,"C",IF('Data Source'!AF128&gt;=1,"D","F")))))))</f>
        <v/>
      </c>
      <c r="O128" s="3">
        <f>IF('Data Source'!B128="","",IF('Data Source'!AG128&gt;=5,"A+",IF('Data Source'!AG128&gt;=4,"A",IF('Data Source'!AG128&gt;=3.5,"A-",IF('Data Source'!AG128&gt;=3,"B",IF('Data Source'!AG128&gt;=2,"C",IF('Data Source'!AG128&gt;=1,"D","F")))))))</f>
        <v/>
      </c>
      <c r="P128" s="5">
        <f>IF('Data Source'!B128="","",'Data Source'!R128)</f>
        <v/>
      </c>
      <c r="Q128" s="3">
        <f>IF('Data Source'!B128="","",'Data Source'!S128)</f>
        <v/>
      </c>
    </row>
    <row r="129">
      <c r="A129" s="3">
        <f>IF('Data Source'!B129="","",'Data Source'!A129)</f>
        <v/>
      </c>
      <c r="B129">
        <f>IF('Data Source'!B129="","",'Data Source'!B129)</f>
        <v/>
      </c>
      <c r="C129" s="3">
        <f>IF('Data Source'!B129="","",IF('Data Source'!U129&gt;=5,"A+",IF('Data Source'!U129&gt;=4,"A",IF('Data Source'!U129&gt;=3.5,"A-",IF('Data Source'!U129&gt;=3,"B",IF('Data Source'!U129&gt;=2,"C",IF('Data Source'!U129&gt;=1,"D","F")))))))</f>
        <v/>
      </c>
      <c r="D129" s="3">
        <f>IF('Data Source'!B129="","",IF('Data Source'!V129&gt;=5,"A+",IF('Data Source'!V129&gt;=4,"A",IF('Data Source'!V129&gt;=3.5,"A-",IF('Data Source'!V129&gt;=3,"B",IF('Data Source'!V129&gt;=2,"C",IF('Data Source'!V129&gt;=1,"D","F")))))))</f>
        <v/>
      </c>
      <c r="E129" s="3">
        <f>IF('Data Source'!B129="","",IF('Data Source'!W129&gt;=5,"A+",IF('Data Source'!W129&gt;=4,"A",IF('Data Source'!W129&gt;=3.5,"A-",IF('Data Source'!W129&gt;=3,"B",IF('Data Source'!W129&gt;=2,"C",IF('Data Source'!W129&gt;=1,"D","F")))))))</f>
        <v/>
      </c>
      <c r="F129" s="3">
        <f>IF('Data Source'!B129="","",IF('Data Source'!X129&gt;=5,"A+",IF('Data Source'!X129&gt;=4,"A",IF('Data Source'!X129&gt;=3.5,"A-",IF('Data Source'!X129&gt;=3,"B",IF('Data Source'!X129&gt;=2,"C",IF('Data Source'!X129&gt;=1,"D","F")))))))</f>
        <v/>
      </c>
      <c r="G129" s="3">
        <f>IF('Data Source'!B129="","",IF('Data Source'!Y129&gt;=5,"A+",IF('Data Source'!Y129&gt;=4,"A",IF('Data Source'!Y129&gt;=3.5,"A-",IF('Data Source'!Y129&gt;=3,"B",IF('Data Source'!Y129&gt;=2,"C",IF('Data Source'!Y129&gt;=1,"D","F")))))))</f>
        <v/>
      </c>
      <c r="H129" s="3">
        <f>IF('Data Source'!B129="","",IF('Data Source'!Z129&gt;=5,"A+",IF('Data Source'!Z129&gt;=4,"A",IF('Data Source'!Z129&gt;=3.5,"A-",IF('Data Source'!Z129&gt;=3,"B",IF('Data Source'!Z129&gt;=2,"C",IF('Data Source'!Z129&gt;=1,"D","F")))))))</f>
        <v/>
      </c>
      <c r="I129" s="3">
        <f>IF('Data Source'!B129="","",IF('Data Source'!AA129&gt;=5,"A+",IF('Data Source'!AA129&gt;=4,"A",IF('Data Source'!AA129&gt;=3.5,"A-",IF('Data Source'!AA129&gt;=3,"B",IF('Data Source'!AA129&gt;=2,"C",IF('Data Source'!AA129&gt;=1,"D","F")))))))</f>
        <v/>
      </c>
      <c r="J129" s="3">
        <f>IF('Data Source'!B129="","",IF('Data Source'!AB129&gt;=5,"A+",IF('Data Source'!AB129&gt;=4,"A",IF('Data Source'!AB129&gt;=3.5,"A-",IF('Data Source'!AB129&gt;=3,"B",IF('Data Source'!AB129&gt;=2,"C",IF('Data Source'!AB129&gt;=1,"D","F")))))))</f>
        <v/>
      </c>
      <c r="K129" s="3">
        <f>IF('Data Source'!B129="","",IF('Data Source'!AC129&gt;=5,"A+",IF('Data Source'!AC129&gt;=4,"A",IF('Data Source'!AC129&gt;=3.5,"A-",IF('Data Source'!AC129&gt;=3,"B",IF('Data Source'!AC129&gt;=2,"C",IF('Data Source'!AC129&gt;=1,"D","F")))))))</f>
        <v/>
      </c>
      <c r="L129" s="3">
        <f>IF('Data Source'!B129="","",IF('Data Source'!AD129&gt;=5,"A+",IF('Data Source'!AD129&gt;=4,"A",IF('Data Source'!AD129&gt;=3.5,"A-",IF('Data Source'!AD129&gt;=3,"B",IF('Data Source'!AD129&gt;=2,"C",IF('Data Source'!AD129&gt;=1,"D","F")))))))</f>
        <v/>
      </c>
      <c r="M129" s="3">
        <f>IF('Data Source'!B129="","",IF('Data Source'!AE129&gt;=5,"A+",IF('Data Source'!AE129&gt;=4,"A",IF('Data Source'!AE129&gt;=3.5,"A-",IF('Data Source'!AE129&gt;=3,"B",IF('Data Source'!AE129&gt;=2,"C",IF('Data Source'!AE129&gt;=1,"D","F")))))))</f>
        <v/>
      </c>
      <c r="N129" s="3">
        <f>IF('Data Source'!B129="","",IF('Data Source'!AF129&gt;=5,"A+",IF('Data Source'!AF129&gt;=4,"A",IF('Data Source'!AF129&gt;=3.5,"A-",IF('Data Source'!AF129&gt;=3,"B",IF('Data Source'!AF129&gt;=2,"C",IF('Data Source'!AF129&gt;=1,"D","F")))))))</f>
        <v/>
      </c>
      <c r="O129" s="3">
        <f>IF('Data Source'!B129="","",IF('Data Source'!AG129&gt;=5,"A+",IF('Data Source'!AG129&gt;=4,"A",IF('Data Source'!AG129&gt;=3.5,"A-",IF('Data Source'!AG129&gt;=3,"B",IF('Data Source'!AG129&gt;=2,"C",IF('Data Source'!AG129&gt;=1,"D","F")))))))</f>
        <v/>
      </c>
      <c r="P129" s="5">
        <f>IF('Data Source'!B129="","",'Data Source'!R129)</f>
        <v/>
      </c>
      <c r="Q129" s="3">
        <f>IF('Data Source'!B129="","",'Data Source'!S129)</f>
        <v/>
      </c>
    </row>
    <row r="130">
      <c r="A130" s="3">
        <f>IF('Data Source'!B130="","",'Data Source'!A130)</f>
        <v/>
      </c>
      <c r="B130">
        <f>IF('Data Source'!B130="","",'Data Source'!B130)</f>
        <v/>
      </c>
      <c r="C130" s="3">
        <f>IF('Data Source'!B130="","",IF('Data Source'!U130&gt;=5,"A+",IF('Data Source'!U130&gt;=4,"A",IF('Data Source'!U130&gt;=3.5,"A-",IF('Data Source'!U130&gt;=3,"B",IF('Data Source'!U130&gt;=2,"C",IF('Data Source'!U130&gt;=1,"D","F")))))))</f>
        <v/>
      </c>
      <c r="D130" s="3">
        <f>IF('Data Source'!B130="","",IF('Data Source'!V130&gt;=5,"A+",IF('Data Source'!V130&gt;=4,"A",IF('Data Source'!V130&gt;=3.5,"A-",IF('Data Source'!V130&gt;=3,"B",IF('Data Source'!V130&gt;=2,"C",IF('Data Source'!V130&gt;=1,"D","F")))))))</f>
        <v/>
      </c>
      <c r="E130" s="3">
        <f>IF('Data Source'!B130="","",IF('Data Source'!W130&gt;=5,"A+",IF('Data Source'!W130&gt;=4,"A",IF('Data Source'!W130&gt;=3.5,"A-",IF('Data Source'!W130&gt;=3,"B",IF('Data Source'!W130&gt;=2,"C",IF('Data Source'!W130&gt;=1,"D","F")))))))</f>
        <v/>
      </c>
      <c r="F130" s="3">
        <f>IF('Data Source'!B130="","",IF('Data Source'!X130&gt;=5,"A+",IF('Data Source'!X130&gt;=4,"A",IF('Data Source'!X130&gt;=3.5,"A-",IF('Data Source'!X130&gt;=3,"B",IF('Data Source'!X130&gt;=2,"C",IF('Data Source'!X130&gt;=1,"D","F")))))))</f>
        <v/>
      </c>
      <c r="G130" s="3">
        <f>IF('Data Source'!B130="","",IF('Data Source'!Y130&gt;=5,"A+",IF('Data Source'!Y130&gt;=4,"A",IF('Data Source'!Y130&gt;=3.5,"A-",IF('Data Source'!Y130&gt;=3,"B",IF('Data Source'!Y130&gt;=2,"C",IF('Data Source'!Y130&gt;=1,"D","F")))))))</f>
        <v/>
      </c>
      <c r="H130" s="3">
        <f>IF('Data Source'!B130="","",IF('Data Source'!Z130&gt;=5,"A+",IF('Data Source'!Z130&gt;=4,"A",IF('Data Source'!Z130&gt;=3.5,"A-",IF('Data Source'!Z130&gt;=3,"B",IF('Data Source'!Z130&gt;=2,"C",IF('Data Source'!Z130&gt;=1,"D","F")))))))</f>
        <v/>
      </c>
      <c r="I130" s="3">
        <f>IF('Data Source'!B130="","",IF('Data Source'!AA130&gt;=5,"A+",IF('Data Source'!AA130&gt;=4,"A",IF('Data Source'!AA130&gt;=3.5,"A-",IF('Data Source'!AA130&gt;=3,"B",IF('Data Source'!AA130&gt;=2,"C",IF('Data Source'!AA130&gt;=1,"D","F")))))))</f>
        <v/>
      </c>
      <c r="J130" s="3">
        <f>IF('Data Source'!B130="","",IF('Data Source'!AB130&gt;=5,"A+",IF('Data Source'!AB130&gt;=4,"A",IF('Data Source'!AB130&gt;=3.5,"A-",IF('Data Source'!AB130&gt;=3,"B",IF('Data Source'!AB130&gt;=2,"C",IF('Data Source'!AB130&gt;=1,"D","F")))))))</f>
        <v/>
      </c>
      <c r="K130" s="3">
        <f>IF('Data Source'!B130="","",IF('Data Source'!AC130&gt;=5,"A+",IF('Data Source'!AC130&gt;=4,"A",IF('Data Source'!AC130&gt;=3.5,"A-",IF('Data Source'!AC130&gt;=3,"B",IF('Data Source'!AC130&gt;=2,"C",IF('Data Source'!AC130&gt;=1,"D","F")))))))</f>
        <v/>
      </c>
      <c r="L130" s="3">
        <f>IF('Data Source'!B130="","",IF('Data Source'!AD130&gt;=5,"A+",IF('Data Source'!AD130&gt;=4,"A",IF('Data Source'!AD130&gt;=3.5,"A-",IF('Data Source'!AD130&gt;=3,"B",IF('Data Source'!AD130&gt;=2,"C",IF('Data Source'!AD130&gt;=1,"D","F")))))))</f>
        <v/>
      </c>
      <c r="M130" s="3">
        <f>IF('Data Source'!B130="","",IF('Data Source'!AE130&gt;=5,"A+",IF('Data Source'!AE130&gt;=4,"A",IF('Data Source'!AE130&gt;=3.5,"A-",IF('Data Source'!AE130&gt;=3,"B",IF('Data Source'!AE130&gt;=2,"C",IF('Data Source'!AE130&gt;=1,"D","F")))))))</f>
        <v/>
      </c>
      <c r="N130" s="3">
        <f>IF('Data Source'!B130="","",IF('Data Source'!AF130&gt;=5,"A+",IF('Data Source'!AF130&gt;=4,"A",IF('Data Source'!AF130&gt;=3.5,"A-",IF('Data Source'!AF130&gt;=3,"B",IF('Data Source'!AF130&gt;=2,"C",IF('Data Source'!AF130&gt;=1,"D","F")))))))</f>
        <v/>
      </c>
      <c r="O130" s="3">
        <f>IF('Data Source'!B130="","",IF('Data Source'!AG130&gt;=5,"A+",IF('Data Source'!AG130&gt;=4,"A",IF('Data Source'!AG130&gt;=3.5,"A-",IF('Data Source'!AG130&gt;=3,"B",IF('Data Source'!AG130&gt;=2,"C",IF('Data Source'!AG130&gt;=1,"D","F")))))))</f>
        <v/>
      </c>
      <c r="P130" s="5">
        <f>IF('Data Source'!B130="","",'Data Source'!R130)</f>
        <v/>
      </c>
      <c r="Q130" s="3">
        <f>IF('Data Source'!B130="","",'Data Source'!S130)</f>
        <v/>
      </c>
    </row>
    <row r="131">
      <c r="A131" s="3">
        <f>IF('Data Source'!B131="","",'Data Source'!A131)</f>
        <v/>
      </c>
      <c r="B131">
        <f>IF('Data Source'!B131="","",'Data Source'!B131)</f>
        <v/>
      </c>
      <c r="C131" s="3">
        <f>IF('Data Source'!B131="","",IF('Data Source'!U131&gt;=5,"A+",IF('Data Source'!U131&gt;=4,"A",IF('Data Source'!U131&gt;=3.5,"A-",IF('Data Source'!U131&gt;=3,"B",IF('Data Source'!U131&gt;=2,"C",IF('Data Source'!U131&gt;=1,"D","F")))))))</f>
        <v/>
      </c>
      <c r="D131" s="3">
        <f>IF('Data Source'!B131="","",IF('Data Source'!V131&gt;=5,"A+",IF('Data Source'!V131&gt;=4,"A",IF('Data Source'!V131&gt;=3.5,"A-",IF('Data Source'!V131&gt;=3,"B",IF('Data Source'!V131&gt;=2,"C",IF('Data Source'!V131&gt;=1,"D","F")))))))</f>
        <v/>
      </c>
      <c r="E131" s="3">
        <f>IF('Data Source'!B131="","",IF('Data Source'!W131&gt;=5,"A+",IF('Data Source'!W131&gt;=4,"A",IF('Data Source'!W131&gt;=3.5,"A-",IF('Data Source'!W131&gt;=3,"B",IF('Data Source'!W131&gt;=2,"C",IF('Data Source'!W131&gt;=1,"D","F")))))))</f>
        <v/>
      </c>
      <c r="F131" s="3">
        <f>IF('Data Source'!B131="","",IF('Data Source'!X131&gt;=5,"A+",IF('Data Source'!X131&gt;=4,"A",IF('Data Source'!X131&gt;=3.5,"A-",IF('Data Source'!X131&gt;=3,"B",IF('Data Source'!X131&gt;=2,"C",IF('Data Source'!X131&gt;=1,"D","F")))))))</f>
        <v/>
      </c>
      <c r="G131" s="3">
        <f>IF('Data Source'!B131="","",IF('Data Source'!Y131&gt;=5,"A+",IF('Data Source'!Y131&gt;=4,"A",IF('Data Source'!Y131&gt;=3.5,"A-",IF('Data Source'!Y131&gt;=3,"B",IF('Data Source'!Y131&gt;=2,"C",IF('Data Source'!Y131&gt;=1,"D","F")))))))</f>
        <v/>
      </c>
      <c r="H131" s="3">
        <f>IF('Data Source'!B131="","",IF('Data Source'!Z131&gt;=5,"A+",IF('Data Source'!Z131&gt;=4,"A",IF('Data Source'!Z131&gt;=3.5,"A-",IF('Data Source'!Z131&gt;=3,"B",IF('Data Source'!Z131&gt;=2,"C",IF('Data Source'!Z131&gt;=1,"D","F")))))))</f>
        <v/>
      </c>
      <c r="I131" s="3">
        <f>IF('Data Source'!B131="","",IF('Data Source'!AA131&gt;=5,"A+",IF('Data Source'!AA131&gt;=4,"A",IF('Data Source'!AA131&gt;=3.5,"A-",IF('Data Source'!AA131&gt;=3,"B",IF('Data Source'!AA131&gt;=2,"C",IF('Data Source'!AA131&gt;=1,"D","F")))))))</f>
        <v/>
      </c>
      <c r="J131" s="3">
        <f>IF('Data Source'!B131="","",IF('Data Source'!AB131&gt;=5,"A+",IF('Data Source'!AB131&gt;=4,"A",IF('Data Source'!AB131&gt;=3.5,"A-",IF('Data Source'!AB131&gt;=3,"B",IF('Data Source'!AB131&gt;=2,"C",IF('Data Source'!AB131&gt;=1,"D","F")))))))</f>
        <v/>
      </c>
      <c r="K131" s="3">
        <f>IF('Data Source'!B131="","",IF('Data Source'!AC131&gt;=5,"A+",IF('Data Source'!AC131&gt;=4,"A",IF('Data Source'!AC131&gt;=3.5,"A-",IF('Data Source'!AC131&gt;=3,"B",IF('Data Source'!AC131&gt;=2,"C",IF('Data Source'!AC131&gt;=1,"D","F")))))))</f>
        <v/>
      </c>
      <c r="L131" s="3">
        <f>IF('Data Source'!B131="","",IF('Data Source'!AD131&gt;=5,"A+",IF('Data Source'!AD131&gt;=4,"A",IF('Data Source'!AD131&gt;=3.5,"A-",IF('Data Source'!AD131&gt;=3,"B",IF('Data Source'!AD131&gt;=2,"C",IF('Data Source'!AD131&gt;=1,"D","F")))))))</f>
        <v/>
      </c>
      <c r="M131" s="3">
        <f>IF('Data Source'!B131="","",IF('Data Source'!AE131&gt;=5,"A+",IF('Data Source'!AE131&gt;=4,"A",IF('Data Source'!AE131&gt;=3.5,"A-",IF('Data Source'!AE131&gt;=3,"B",IF('Data Source'!AE131&gt;=2,"C",IF('Data Source'!AE131&gt;=1,"D","F")))))))</f>
        <v/>
      </c>
      <c r="N131" s="3">
        <f>IF('Data Source'!B131="","",IF('Data Source'!AF131&gt;=5,"A+",IF('Data Source'!AF131&gt;=4,"A",IF('Data Source'!AF131&gt;=3.5,"A-",IF('Data Source'!AF131&gt;=3,"B",IF('Data Source'!AF131&gt;=2,"C",IF('Data Source'!AF131&gt;=1,"D","F")))))))</f>
        <v/>
      </c>
      <c r="O131" s="3">
        <f>IF('Data Source'!B131="","",IF('Data Source'!AG131&gt;=5,"A+",IF('Data Source'!AG131&gt;=4,"A",IF('Data Source'!AG131&gt;=3.5,"A-",IF('Data Source'!AG131&gt;=3,"B",IF('Data Source'!AG131&gt;=2,"C",IF('Data Source'!AG131&gt;=1,"D","F")))))))</f>
        <v/>
      </c>
      <c r="P131" s="5">
        <f>IF('Data Source'!B131="","",'Data Source'!R131)</f>
        <v/>
      </c>
      <c r="Q131" s="3">
        <f>IF('Data Source'!B131="","",'Data Source'!S131)</f>
        <v/>
      </c>
    </row>
    <row r="132">
      <c r="A132" s="3">
        <f>IF('Data Source'!B132="","",'Data Source'!A132)</f>
        <v/>
      </c>
      <c r="B132">
        <f>IF('Data Source'!B132="","",'Data Source'!B132)</f>
        <v/>
      </c>
      <c r="C132" s="3">
        <f>IF('Data Source'!B132="","",IF('Data Source'!U132&gt;=5,"A+",IF('Data Source'!U132&gt;=4,"A",IF('Data Source'!U132&gt;=3.5,"A-",IF('Data Source'!U132&gt;=3,"B",IF('Data Source'!U132&gt;=2,"C",IF('Data Source'!U132&gt;=1,"D","F")))))))</f>
        <v/>
      </c>
      <c r="D132" s="3">
        <f>IF('Data Source'!B132="","",IF('Data Source'!V132&gt;=5,"A+",IF('Data Source'!V132&gt;=4,"A",IF('Data Source'!V132&gt;=3.5,"A-",IF('Data Source'!V132&gt;=3,"B",IF('Data Source'!V132&gt;=2,"C",IF('Data Source'!V132&gt;=1,"D","F")))))))</f>
        <v/>
      </c>
      <c r="E132" s="3">
        <f>IF('Data Source'!B132="","",IF('Data Source'!W132&gt;=5,"A+",IF('Data Source'!W132&gt;=4,"A",IF('Data Source'!W132&gt;=3.5,"A-",IF('Data Source'!W132&gt;=3,"B",IF('Data Source'!W132&gt;=2,"C",IF('Data Source'!W132&gt;=1,"D","F")))))))</f>
        <v/>
      </c>
      <c r="F132" s="3">
        <f>IF('Data Source'!B132="","",IF('Data Source'!X132&gt;=5,"A+",IF('Data Source'!X132&gt;=4,"A",IF('Data Source'!X132&gt;=3.5,"A-",IF('Data Source'!X132&gt;=3,"B",IF('Data Source'!X132&gt;=2,"C",IF('Data Source'!X132&gt;=1,"D","F")))))))</f>
        <v/>
      </c>
      <c r="G132" s="3">
        <f>IF('Data Source'!B132="","",IF('Data Source'!Y132&gt;=5,"A+",IF('Data Source'!Y132&gt;=4,"A",IF('Data Source'!Y132&gt;=3.5,"A-",IF('Data Source'!Y132&gt;=3,"B",IF('Data Source'!Y132&gt;=2,"C",IF('Data Source'!Y132&gt;=1,"D","F")))))))</f>
        <v/>
      </c>
      <c r="H132" s="3">
        <f>IF('Data Source'!B132="","",IF('Data Source'!Z132&gt;=5,"A+",IF('Data Source'!Z132&gt;=4,"A",IF('Data Source'!Z132&gt;=3.5,"A-",IF('Data Source'!Z132&gt;=3,"B",IF('Data Source'!Z132&gt;=2,"C",IF('Data Source'!Z132&gt;=1,"D","F")))))))</f>
        <v/>
      </c>
      <c r="I132" s="3">
        <f>IF('Data Source'!B132="","",IF('Data Source'!AA132&gt;=5,"A+",IF('Data Source'!AA132&gt;=4,"A",IF('Data Source'!AA132&gt;=3.5,"A-",IF('Data Source'!AA132&gt;=3,"B",IF('Data Source'!AA132&gt;=2,"C",IF('Data Source'!AA132&gt;=1,"D","F")))))))</f>
        <v/>
      </c>
      <c r="J132" s="3">
        <f>IF('Data Source'!B132="","",IF('Data Source'!AB132&gt;=5,"A+",IF('Data Source'!AB132&gt;=4,"A",IF('Data Source'!AB132&gt;=3.5,"A-",IF('Data Source'!AB132&gt;=3,"B",IF('Data Source'!AB132&gt;=2,"C",IF('Data Source'!AB132&gt;=1,"D","F")))))))</f>
        <v/>
      </c>
      <c r="K132" s="3">
        <f>IF('Data Source'!B132="","",IF('Data Source'!AC132&gt;=5,"A+",IF('Data Source'!AC132&gt;=4,"A",IF('Data Source'!AC132&gt;=3.5,"A-",IF('Data Source'!AC132&gt;=3,"B",IF('Data Source'!AC132&gt;=2,"C",IF('Data Source'!AC132&gt;=1,"D","F")))))))</f>
        <v/>
      </c>
      <c r="L132" s="3">
        <f>IF('Data Source'!B132="","",IF('Data Source'!AD132&gt;=5,"A+",IF('Data Source'!AD132&gt;=4,"A",IF('Data Source'!AD132&gt;=3.5,"A-",IF('Data Source'!AD132&gt;=3,"B",IF('Data Source'!AD132&gt;=2,"C",IF('Data Source'!AD132&gt;=1,"D","F")))))))</f>
        <v/>
      </c>
      <c r="M132" s="3">
        <f>IF('Data Source'!B132="","",IF('Data Source'!AE132&gt;=5,"A+",IF('Data Source'!AE132&gt;=4,"A",IF('Data Source'!AE132&gt;=3.5,"A-",IF('Data Source'!AE132&gt;=3,"B",IF('Data Source'!AE132&gt;=2,"C",IF('Data Source'!AE132&gt;=1,"D","F")))))))</f>
        <v/>
      </c>
      <c r="N132" s="3">
        <f>IF('Data Source'!B132="","",IF('Data Source'!AF132&gt;=5,"A+",IF('Data Source'!AF132&gt;=4,"A",IF('Data Source'!AF132&gt;=3.5,"A-",IF('Data Source'!AF132&gt;=3,"B",IF('Data Source'!AF132&gt;=2,"C",IF('Data Source'!AF132&gt;=1,"D","F")))))))</f>
        <v/>
      </c>
      <c r="O132" s="3">
        <f>IF('Data Source'!B132="","",IF('Data Source'!AG132&gt;=5,"A+",IF('Data Source'!AG132&gt;=4,"A",IF('Data Source'!AG132&gt;=3.5,"A-",IF('Data Source'!AG132&gt;=3,"B",IF('Data Source'!AG132&gt;=2,"C",IF('Data Source'!AG132&gt;=1,"D","F")))))))</f>
        <v/>
      </c>
      <c r="P132" s="5">
        <f>IF('Data Source'!B132="","",'Data Source'!R132)</f>
        <v/>
      </c>
      <c r="Q132" s="3">
        <f>IF('Data Source'!B132="","",'Data Source'!S132)</f>
        <v/>
      </c>
    </row>
    <row r="133">
      <c r="A133" s="3">
        <f>IF('Data Source'!B133="","",'Data Source'!A133)</f>
        <v/>
      </c>
      <c r="B133">
        <f>IF('Data Source'!B133="","",'Data Source'!B133)</f>
        <v/>
      </c>
      <c r="C133" s="3">
        <f>IF('Data Source'!B133="","",IF('Data Source'!U133&gt;=5,"A+",IF('Data Source'!U133&gt;=4,"A",IF('Data Source'!U133&gt;=3.5,"A-",IF('Data Source'!U133&gt;=3,"B",IF('Data Source'!U133&gt;=2,"C",IF('Data Source'!U133&gt;=1,"D","F")))))))</f>
        <v/>
      </c>
      <c r="D133" s="3">
        <f>IF('Data Source'!B133="","",IF('Data Source'!V133&gt;=5,"A+",IF('Data Source'!V133&gt;=4,"A",IF('Data Source'!V133&gt;=3.5,"A-",IF('Data Source'!V133&gt;=3,"B",IF('Data Source'!V133&gt;=2,"C",IF('Data Source'!V133&gt;=1,"D","F")))))))</f>
        <v/>
      </c>
      <c r="E133" s="3">
        <f>IF('Data Source'!B133="","",IF('Data Source'!W133&gt;=5,"A+",IF('Data Source'!W133&gt;=4,"A",IF('Data Source'!W133&gt;=3.5,"A-",IF('Data Source'!W133&gt;=3,"B",IF('Data Source'!W133&gt;=2,"C",IF('Data Source'!W133&gt;=1,"D","F")))))))</f>
        <v/>
      </c>
      <c r="F133" s="3">
        <f>IF('Data Source'!B133="","",IF('Data Source'!X133&gt;=5,"A+",IF('Data Source'!X133&gt;=4,"A",IF('Data Source'!X133&gt;=3.5,"A-",IF('Data Source'!X133&gt;=3,"B",IF('Data Source'!X133&gt;=2,"C",IF('Data Source'!X133&gt;=1,"D","F")))))))</f>
        <v/>
      </c>
      <c r="G133" s="3">
        <f>IF('Data Source'!B133="","",IF('Data Source'!Y133&gt;=5,"A+",IF('Data Source'!Y133&gt;=4,"A",IF('Data Source'!Y133&gt;=3.5,"A-",IF('Data Source'!Y133&gt;=3,"B",IF('Data Source'!Y133&gt;=2,"C",IF('Data Source'!Y133&gt;=1,"D","F")))))))</f>
        <v/>
      </c>
      <c r="H133" s="3">
        <f>IF('Data Source'!B133="","",IF('Data Source'!Z133&gt;=5,"A+",IF('Data Source'!Z133&gt;=4,"A",IF('Data Source'!Z133&gt;=3.5,"A-",IF('Data Source'!Z133&gt;=3,"B",IF('Data Source'!Z133&gt;=2,"C",IF('Data Source'!Z133&gt;=1,"D","F")))))))</f>
        <v/>
      </c>
      <c r="I133" s="3">
        <f>IF('Data Source'!B133="","",IF('Data Source'!AA133&gt;=5,"A+",IF('Data Source'!AA133&gt;=4,"A",IF('Data Source'!AA133&gt;=3.5,"A-",IF('Data Source'!AA133&gt;=3,"B",IF('Data Source'!AA133&gt;=2,"C",IF('Data Source'!AA133&gt;=1,"D","F")))))))</f>
        <v/>
      </c>
      <c r="J133" s="3">
        <f>IF('Data Source'!B133="","",IF('Data Source'!AB133&gt;=5,"A+",IF('Data Source'!AB133&gt;=4,"A",IF('Data Source'!AB133&gt;=3.5,"A-",IF('Data Source'!AB133&gt;=3,"B",IF('Data Source'!AB133&gt;=2,"C",IF('Data Source'!AB133&gt;=1,"D","F")))))))</f>
        <v/>
      </c>
      <c r="K133" s="3">
        <f>IF('Data Source'!B133="","",IF('Data Source'!AC133&gt;=5,"A+",IF('Data Source'!AC133&gt;=4,"A",IF('Data Source'!AC133&gt;=3.5,"A-",IF('Data Source'!AC133&gt;=3,"B",IF('Data Source'!AC133&gt;=2,"C",IF('Data Source'!AC133&gt;=1,"D","F")))))))</f>
        <v/>
      </c>
      <c r="L133" s="3">
        <f>IF('Data Source'!B133="","",IF('Data Source'!AD133&gt;=5,"A+",IF('Data Source'!AD133&gt;=4,"A",IF('Data Source'!AD133&gt;=3.5,"A-",IF('Data Source'!AD133&gt;=3,"B",IF('Data Source'!AD133&gt;=2,"C",IF('Data Source'!AD133&gt;=1,"D","F")))))))</f>
        <v/>
      </c>
      <c r="M133" s="3">
        <f>IF('Data Source'!B133="","",IF('Data Source'!AE133&gt;=5,"A+",IF('Data Source'!AE133&gt;=4,"A",IF('Data Source'!AE133&gt;=3.5,"A-",IF('Data Source'!AE133&gt;=3,"B",IF('Data Source'!AE133&gt;=2,"C",IF('Data Source'!AE133&gt;=1,"D","F")))))))</f>
        <v/>
      </c>
      <c r="N133" s="3">
        <f>IF('Data Source'!B133="","",IF('Data Source'!AF133&gt;=5,"A+",IF('Data Source'!AF133&gt;=4,"A",IF('Data Source'!AF133&gt;=3.5,"A-",IF('Data Source'!AF133&gt;=3,"B",IF('Data Source'!AF133&gt;=2,"C",IF('Data Source'!AF133&gt;=1,"D","F")))))))</f>
        <v/>
      </c>
      <c r="O133" s="3">
        <f>IF('Data Source'!B133="","",IF('Data Source'!AG133&gt;=5,"A+",IF('Data Source'!AG133&gt;=4,"A",IF('Data Source'!AG133&gt;=3.5,"A-",IF('Data Source'!AG133&gt;=3,"B",IF('Data Source'!AG133&gt;=2,"C",IF('Data Source'!AG133&gt;=1,"D","F")))))))</f>
        <v/>
      </c>
      <c r="P133" s="5">
        <f>IF('Data Source'!B133="","",'Data Source'!R133)</f>
        <v/>
      </c>
      <c r="Q133" s="3">
        <f>IF('Data Source'!B133="","",'Data Source'!S133)</f>
        <v/>
      </c>
    </row>
    <row r="134">
      <c r="A134" s="3">
        <f>IF('Data Source'!B134="","",'Data Source'!A134)</f>
        <v/>
      </c>
      <c r="B134">
        <f>IF('Data Source'!B134="","",'Data Source'!B134)</f>
        <v/>
      </c>
      <c r="C134" s="3">
        <f>IF('Data Source'!B134="","",IF('Data Source'!U134&gt;=5,"A+",IF('Data Source'!U134&gt;=4,"A",IF('Data Source'!U134&gt;=3.5,"A-",IF('Data Source'!U134&gt;=3,"B",IF('Data Source'!U134&gt;=2,"C",IF('Data Source'!U134&gt;=1,"D","F")))))))</f>
        <v/>
      </c>
      <c r="D134" s="3">
        <f>IF('Data Source'!B134="","",IF('Data Source'!V134&gt;=5,"A+",IF('Data Source'!V134&gt;=4,"A",IF('Data Source'!V134&gt;=3.5,"A-",IF('Data Source'!V134&gt;=3,"B",IF('Data Source'!V134&gt;=2,"C",IF('Data Source'!V134&gt;=1,"D","F")))))))</f>
        <v/>
      </c>
      <c r="E134" s="3">
        <f>IF('Data Source'!B134="","",IF('Data Source'!W134&gt;=5,"A+",IF('Data Source'!W134&gt;=4,"A",IF('Data Source'!W134&gt;=3.5,"A-",IF('Data Source'!W134&gt;=3,"B",IF('Data Source'!W134&gt;=2,"C",IF('Data Source'!W134&gt;=1,"D","F")))))))</f>
        <v/>
      </c>
      <c r="F134" s="3">
        <f>IF('Data Source'!B134="","",IF('Data Source'!X134&gt;=5,"A+",IF('Data Source'!X134&gt;=4,"A",IF('Data Source'!X134&gt;=3.5,"A-",IF('Data Source'!X134&gt;=3,"B",IF('Data Source'!X134&gt;=2,"C",IF('Data Source'!X134&gt;=1,"D","F")))))))</f>
        <v/>
      </c>
      <c r="G134" s="3">
        <f>IF('Data Source'!B134="","",IF('Data Source'!Y134&gt;=5,"A+",IF('Data Source'!Y134&gt;=4,"A",IF('Data Source'!Y134&gt;=3.5,"A-",IF('Data Source'!Y134&gt;=3,"B",IF('Data Source'!Y134&gt;=2,"C",IF('Data Source'!Y134&gt;=1,"D","F")))))))</f>
        <v/>
      </c>
      <c r="H134" s="3">
        <f>IF('Data Source'!B134="","",IF('Data Source'!Z134&gt;=5,"A+",IF('Data Source'!Z134&gt;=4,"A",IF('Data Source'!Z134&gt;=3.5,"A-",IF('Data Source'!Z134&gt;=3,"B",IF('Data Source'!Z134&gt;=2,"C",IF('Data Source'!Z134&gt;=1,"D","F")))))))</f>
        <v/>
      </c>
      <c r="I134" s="3">
        <f>IF('Data Source'!B134="","",IF('Data Source'!AA134&gt;=5,"A+",IF('Data Source'!AA134&gt;=4,"A",IF('Data Source'!AA134&gt;=3.5,"A-",IF('Data Source'!AA134&gt;=3,"B",IF('Data Source'!AA134&gt;=2,"C",IF('Data Source'!AA134&gt;=1,"D","F")))))))</f>
        <v/>
      </c>
      <c r="J134" s="3">
        <f>IF('Data Source'!B134="","",IF('Data Source'!AB134&gt;=5,"A+",IF('Data Source'!AB134&gt;=4,"A",IF('Data Source'!AB134&gt;=3.5,"A-",IF('Data Source'!AB134&gt;=3,"B",IF('Data Source'!AB134&gt;=2,"C",IF('Data Source'!AB134&gt;=1,"D","F")))))))</f>
        <v/>
      </c>
      <c r="K134" s="3">
        <f>IF('Data Source'!B134="","",IF('Data Source'!AC134&gt;=5,"A+",IF('Data Source'!AC134&gt;=4,"A",IF('Data Source'!AC134&gt;=3.5,"A-",IF('Data Source'!AC134&gt;=3,"B",IF('Data Source'!AC134&gt;=2,"C",IF('Data Source'!AC134&gt;=1,"D","F")))))))</f>
        <v/>
      </c>
      <c r="L134" s="3">
        <f>IF('Data Source'!B134="","",IF('Data Source'!AD134&gt;=5,"A+",IF('Data Source'!AD134&gt;=4,"A",IF('Data Source'!AD134&gt;=3.5,"A-",IF('Data Source'!AD134&gt;=3,"B",IF('Data Source'!AD134&gt;=2,"C",IF('Data Source'!AD134&gt;=1,"D","F")))))))</f>
        <v/>
      </c>
      <c r="M134" s="3">
        <f>IF('Data Source'!B134="","",IF('Data Source'!AE134&gt;=5,"A+",IF('Data Source'!AE134&gt;=4,"A",IF('Data Source'!AE134&gt;=3.5,"A-",IF('Data Source'!AE134&gt;=3,"B",IF('Data Source'!AE134&gt;=2,"C",IF('Data Source'!AE134&gt;=1,"D","F")))))))</f>
        <v/>
      </c>
      <c r="N134" s="3">
        <f>IF('Data Source'!B134="","",IF('Data Source'!AF134&gt;=5,"A+",IF('Data Source'!AF134&gt;=4,"A",IF('Data Source'!AF134&gt;=3.5,"A-",IF('Data Source'!AF134&gt;=3,"B",IF('Data Source'!AF134&gt;=2,"C",IF('Data Source'!AF134&gt;=1,"D","F")))))))</f>
        <v/>
      </c>
      <c r="O134" s="3">
        <f>IF('Data Source'!B134="","",IF('Data Source'!AG134&gt;=5,"A+",IF('Data Source'!AG134&gt;=4,"A",IF('Data Source'!AG134&gt;=3.5,"A-",IF('Data Source'!AG134&gt;=3,"B",IF('Data Source'!AG134&gt;=2,"C",IF('Data Source'!AG134&gt;=1,"D","F")))))))</f>
        <v/>
      </c>
      <c r="P134" s="5">
        <f>IF('Data Source'!B134="","",'Data Source'!R134)</f>
        <v/>
      </c>
      <c r="Q134" s="3">
        <f>IF('Data Source'!B134="","",'Data Source'!S134)</f>
        <v/>
      </c>
    </row>
    <row r="135">
      <c r="A135" s="3">
        <f>IF('Data Source'!B135="","",'Data Source'!A135)</f>
        <v/>
      </c>
      <c r="B135">
        <f>IF('Data Source'!B135="","",'Data Source'!B135)</f>
        <v/>
      </c>
      <c r="C135" s="3">
        <f>IF('Data Source'!B135="","",IF('Data Source'!U135&gt;=5,"A+",IF('Data Source'!U135&gt;=4,"A",IF('Data Source'!U135&gt;=3.5,"A-",IF('Data Source'!U135&gt;=3,"B",IF('Data Source'!U135&gt;=2,"C",IF('Data Source'!U135&gt;=1,"D","F")))))))</f>
        <v/>
      </c>
      <c r="D135" s="3">
        <f>IF('Data Source'!B135="","",IF('Data Source'!V135&gt;=5,"A+",IF('Data Source'!V135&gt;=4,"A",IF('Data Source'!V135&gt;=3.5,"A-",IF('Data Source'!V135&gt;=3,"B",IF('Data Source'!V135&gt;=2,"C",IF('Data Source'!V135&gt;=1,"D","F")))))))</f>
        <v/>
      </c>
      <c r="E135" s="3">
        <f>IF('Data Source'!B135="","",IF('Data Source'!W135&gt;=5,"A+",IF('Data Source'!W135&gt;=4,"A",IF('Data Source'!W135&gt;=3.5,"A-",IF('Data Source'!W135&gt;=3,"B",IF('Data Source'!W135&gt;=2,"C",IF('Data Source'!W135&gt;=1,"D","F")))))))</f>
        <v/>
      </c>
      <c r="F135" s="3">
        <f>IF('Data Source'!B135="","",IF('Data Source'!X135&gt;=5,"A+",IF('Data Source'!X135&gt;=4,"A",IF('Data Source'!X135&gt;=3.5,"A-",IF('Data Source'!X135&gt;=3,"B",IF('Data Source'!X135&gt;=2,"C",IF('Data Source'!X135&gt;=1,"D","F")))))))</f>
        <v/>
      </c>
      <c r="G135" s="3">
        <f>IF('Data Source'!B135="","",IF('Data Source'!Y135&gt;=5,"A+",IF('Data Source'!Y135&gt;=4,"A",IF('Data Source'!Y135&gt;=3.5,"A-",IF('Data Source'!Y135&gt;=3,"B",IF('Data Source'!Y135&gt;=2,"C",IF('Data Source'!Y135&gt;=1,"D","F")))))))</f>
        <v/>
      </c>
      <c r="H135" s="3">
        <f>IF('Data Source'!B135="","",IF('Data Source'!Z135&gt;=5,"A+",IF('Data Source'!Z135&gt;=4,"A",IF('Data Source'!Z135&gt;=3.5,"A-",IF('Data Source'!Z135&gt;=3,"B",IF('Data Source'!Z135&gt;=2,"C",IF('Data Source'!Z135&gt;=1,"D","F")))))))</f>
        <v/>
      </c>
      <c r="I135" s="3">
        <f>IF('Data Source'!B135="","",IF('Data Source'!AA135&gt;=5,"A+",IF('Data Source'!AA135&gt;=4,"A",IF('Data Source'!AA135&gt;=3.5,"A-",IF('Data Source'!AA135&gt;=3,"B",IF('Data Source'!AA135&gt;=2,"C",IF('Data Source'!AA135&gt;=1,"D","F")))))))</f>
        <v/>
      </c>
      <c r="J135" s="3">
        <f>IF('Data Source'!B135="","",IF('Data Source'!AB135&gt;=5,"A+",IF('Data Source'!AB135&gt;=4,"A",IF('Data Source'!AB135&gt;=3.5,"A-",IF('Data Source'!AB135&gt;=3,"B",IF('Data Source'!AB135&gt;=2,"C",IF('Data Source'!AB135&gt;=1,"D","F")))))))</f>
        <v/>
      </c>
      <c r="K135" s="3">
        <f>IF('Data Source'!B135="","",IF('Data Source'!AC135&gt;=5,"A+",IF('Data Source'!AC135&gt;=4,"A",IF('Data Source'!AC135&gt;=3.5,"A-",IF('Data Source'!AC135&gt;=3,"B",IF('Data Source'!AC135&gt;=2,"C",IF('Data Source'!AC135&gt;=1,"D","F")))))))</f>
        <v/>
      </c>
      <c r="L135" s="3">
        <f>IF('Data Source'!B135="","",IF('Data Source'!AD135&gt;=5,"A+",IF('Data Source'!AD135&gt;=4,"A",IF('Data Source'!AD135&gt;=3.5,"A-",IF('Data Source'!AD135&gt;=3,"B",IF('Data Source'!AD135&gt;=2,"C",IF('Data Source'!AD135&gt;=1,"D","F")))))))</f>
        <v/>
      </c>
      <c r="M135" s="3">
        <f>IF('Data Source'!B135="","",IF('Data Source'!AE135&gt;=5,"A+",IF('Data Source'!AE135&gt;=4,"A",IF('Data Source'!AE135&gt;=3.5,"A-",IF('Data Source'!AE135&gt;=3,"B",IF('Data Source'!AE135&gt;=2,"C",IF('Data Source'!AE135&gt;=1,"D","F")))))))</f>
        <v/>
      </c>
      <c r="N135" s="3">
        <f>IF('Data Source'!B135="","",IF('Data Source'!AF135&gt;=5,"A+",IF('Data Source'!AF135&gt;=4,"A",IF('Data Source'!AF135&gt;=3.5,"A-",IF('Data Source'!AF135&gt;=3,"B",IF('Data Source'!AF135&gt;=2,"C",IF('Data Source'!AF135&gt;=1,"D","F")))))))</f>
        <v/>
      </c>
      <c r="O135" s="3">
        <f>IF('Data Source'!B135="","",IF('Data Source'!AG135&gt;=5,"A+",IF('Data Source'!AG135&gt;=4,"A",IF('Data Source'!AG135&gt;=3.5,"A-",IF('Data Source'!AG135&gt;=3,"B",IF('Data Source'!AG135&gt;=2,"C",IF('Data Source'!AG135&gt;=1,"D","F")))))))</f>
        <v/>
      </c>
      <c r="P135" s="5">
        <f>IF('Data Source'!B135="","",'Data Source'!R135)</f>
        <v/>
      </c>
      <c r="Q135" s="3">
        <f>IF('Data Source'!B135="","",'Data Source'!S135)</f>
        <v/>
      </c>
    </row>
    <row r="136">
      <c r="A136" s="3">
        <f>IF('Data Source'!B136="","",'Data Source'!A136)</f>
        <v/>
      </c>
      <c r="B136">
        <f>IF('Data Source'!B136="","",'Data Source'!B136)</f>
        <v/>
      </c>
      <c r="C136" s="3">
        <f>IF('Data Source'!B136="","",IF('Data Source'!U136&gt;=5,"A+",IF('Data Source'!U136&gt;=4,"A",IF('Data Source'!U136&gt;=3.5,"A-",IF('Data Source'!U136&gt;=3,"B",IF('Data Source'!U136&gt;=2,"C",IF('Data Source'!U136&gt;=1,"D","F")))))))</f>
        <v/>
      </c>
      <c r="D136" s="3">
        <f>IF('Data Source'!B136="","",IF('Data Source'!V136&gt;=5,"A+",IF('Data Source'!V136&gt;=4,"A",IF('Data Source'!V136&gt;=3.5,"A-",IF('Data Source'!V136&gt;=3,"B",IF('Data Source'!V136&gt;=2,"C",IF('Data Source'!V136&gt;=1,"D","F")))))))</f>
        <v/>
      </c>
      <c r="E136" s="3">
        <f>IF('Data Source'!B136="","",IF('Data Source'!W136&gt;=5,"A+",IF('Data Source'!W136&gt;=4,"A",IF('Data Source'!W136&gt;=3.5,"A-",IF('Data Source'!W136&gt;=3,"B",IF('Data Source'!W136&gt;=2,"C",IF('Data Source'!W136&gt;=1,"D","F")))))))</f>
        <v/>
      </c>
      <c r="F136" s="3">
        <f>IF('Data Source'!B136="","",IF('Data Source'!X136&gt;=5,"A+",IF('Data Source'!X136&gt;=4,"A",IF('Data Source'!X136&gt;=3.5,"A-",IF('Data Source'!X136&gt;=3,"B",IF('Data Source'!X136&gt;=2,"C",IF('Data Source'!X136&gt;=1,"D","F")))))))</f>
        <v/>
      </c>
      <c r="G136" s="3">
        <f>IF('Data Source'!B136="","",IF('Data Source'!Y136&gt;=5,"A+",IF('Data Source'!Y136&gt;=4,"A",IF('Data Source'!Y136&gt;=3.5,"A-",IF('Data Source'!Y136&gt;=3,"B",IF('Data Source'!Y136&gt;=2,"C",IF('Data Source'!Y136&gt;=1,"D","F")))))))</f>
        <v/>
      </c>
      <c r="H136" s="3">
        <f>IF('Data Source'!B136="","",IF('Data Source'!Z136&gt;=5,"A+",IF('Data Source'!Z136&gt;=4,"A",IF('Data Source'!Z136&gt;=3.5,"A-",IF('Data Source'!Z136&gt;=3,"B",IF('Data Source'!Z136&gt;=2,"C",IF('Data Source'!Z136&gt;=1,"D","F")))))))</f>
        <v/>
      </c>
      <c r="I136" s="3">
        <f>IF('Data Source'!B136="","",IF('Data Source'!AA136&gt;=5,"A+",IF('Data Source'!AA136&gt;=4,"A",IF('Data Source'!AA136&gt;=3.5,"A-",IF('Data Source'!AA136&gt;=3,"B",IF('Data Source'!AA136&gt;=2,"C",IF('Data Source'!AA136&gt;=1,"D","F")))))))</f>
        <v/>
      </c>
      <c r="J136" s="3">
        <f>IF('Data Source'!B136="","",IF('Data Source'!AB136&gt;=5,"A+",IF('Data Source'!AB136&gt;=4,"A",IF('Data Source'!AB136&gt;=3.5,"A-",IF('Data Source'!AB136&gt;=3,"B",IF('Data Source'!AB136&gt;=2,"C",IF('Data Source'!AB136&gt;=1,"D","F")))))))</f>
        <v/>
      </c>
      <c r="K136" s="3">
        <f>IF('Data Source'!B136="","",IF('Data Source'!AC136&gt;=5,"A+",IF('Data Source'!AC136&gt;=4,"A",IF('Data Source'!AC136&gt;=3.5,"A-",IF('Data Source'!AC136&gt;=3,"B",IF('Data Source'!AC136&gt;=2,"C",IF('Data Source'!AC136&gt;=1,"D","F")))))))</f>
        <v/>
      </c>
      <c r="L136" s="3">
        <f>IF('Data Source'!B136="","",IF('Data Source'!AD136&gt;=5,"A+",IF('Data Source'!AD136&gt;=4,"A",IF('Data Source'!AD136&gt;=3.5,"A-",IF('Data Source'!AD136&gt;=3,"B",IF('Data Source'!AD136&gt;=2,"C",IF('Data Source'!AD136&gt;=1,"D","F")))))))</f>
        <v/>
      </c>
      <c r="M136" s="3">
        <f>IF('Data Source'!B136="","",IF('Data Source'!AE136&gt;=5,"A+",IF('Data Source'!AE136&gt;=4,"A",IF('Data Source'!AE136&gt;=3.5,"A-",IF('Data Source'!AE136&gt;=3,"B",IF('Data Source'!AE136&gt;=2,"C",IF('Data Source'!AE136&gt;=1,"D","F")))))))</f>
        <v/>
      </c>
      <c r="N136" s="3">
        <f>IF('Data Source'!B136="","",IF('Data Source'!AF136&gt;=5,"A+",IF('Data Source'!AF136&gt;=4,"A",IF('Data Source'!AF136&gt;=3.5,"A-",IF('Data Source'!AF136&gt;=3,"B",IF('Data Source'!AF136&gt;=2,"C",IF('Data Source'!AF136&gt;=1,"D","F")))))))</f>
        <v/>
      </c>
      <c r="O136" s="3">
        <f>IF('Data Source'!B136="","",IF('Data Source'!AG136&gt;=5,"A+",IF('Data Source'!AG136&gt;=4,"A",IF('Data Source'!AG136&gt;=3.5,"A-",IF('Data Source'!AG136&gt;=3,"B",IF('Data Source'!AG136&gt;=2,"C",IF('Data Source'!AG136&gt;=1,"D","F")))))))</f>
        <v/>
      </c>
      <c r="P136" s="5">
        <f>IF('Data Source'!B136="","",'Data Source'!R136)</f>
        <v/>
      </c>
      <c r="Q136" s="3">
        <f>IF('Data Source'!B136="","",'Data Source'!S136)</f>
        <v/>
      </c>
    </row>
    <row r="137">
      <c r="A137" s="3">
        <f>IF('Data Source'!B137="","",'Data Source'!A137)</f>
        <v/>
      </c>
      <c r="B137">
        <f>IF('Data Source'!B137="","",'Data Source'!B137)</f>
        <v/>
      </c>
      <c r="C137" s="3">
        <f>IF('Data Source'!B137="","",IF('Data Source'!U137&gt;=5,"A+",IF('Data Source'!U137&gt;=4,"A",IF('Data Source'!U137&gt;=3.5,"A-",IF('Data Source'!U137&gt;=3,"B",IF('Data Source'!U137&gt;=2,"C",IF('Data Source'!U137&gt;=1,"D","F")))))))</f>
        <v/>
      </c>
      <c r="D137" s="3">
        <f>IF('Data Source'!B137="","",IF('Data Source'!V137&gt;=5,"A+",IF('Data Source'!V137&gt;=4,"A",IF('Data Source'!V137&gt;=3.5,"A-",IF('Data Source'!V137&gt;=3,"B",IF('Data Source'!V137&gt;=2,"C",IF('Data Source'!V137&gt;=1,"D","F")))))))</f>
        <v/>
      </c>
      <c r="E137" s="3">
        <f>IF('Data Source'!B137="","",IF('Data Source'!W137&gt;=5,"A+",IF('Data Source'!W137&gt;=4,"A",IF('Data Source'!W137&gt;=3.5,"A-",IF('Data Source'!W137&gt;=3,"B",IF('Data Source'!W137&gt;=2,"C",IF('Data Source'!W137&gt;=1,"D","F")))))))</f>
        <v/>
      </c>
      <c r="F137" s="3">
        <f>IF('Data Source'!B137="","",IF('Data Source'!X137&gt;=5,"A+",IF('Data Source'!X137&gt;=4,"A",IF('Data Source'!X137&gt;=3.5,"A-",IF('Data Source'!X137&gt;=3,"B",IF('Data Source'!X137&gt;=2,"C",IF('Data Source'!X137&gt;=1,"D","F")))))))</f>
        <v/>
      </c>
      <c r="G137" s="3">
        <f>IF('Data Source'!B137="","",IF('Data Source'!Y137&gt;=5,"A+",IF('Data Source'!Y137&gt;=4,"A",IF('Data Source'!Y137&gt;=3.5,"A-",IF('Data Source'!Y137&gt;=3,"B",IF('Data Source'!Y137&gt;=2,"C",IF('Data Source'!Y137&gt;=1,"D","F")))))))</f>
        <v/>
      </c>
      <c r="H137" s="3">
        <f>IF('Data Source'!B137="","",IF('Data Source'!Z137&gt;=5,"A+",IF('Data Source'!Z137&gt;=4,"A",IF('Data Source'!Z137&gt;=3.5,"A-",IF('Data Source'!Z137&gt;=3,"B",IF('Data Source'!Z137&gt;=2,"C",IF('Data Source'!Z137&gt;=1,"D","F")))))))</f>
        <v/>
      </c>
      <c r="I137" s="3">
        <f>IF('Data Source'!B137="","",IF('Data Source'!AA137&gt;=5,"A+",IF('Data Source'!AA137&gt;=4,"A",IF('Data Source'!AA137&gt;=3.5,"A-",IF('Data Source'!AA137&gt;=3,"B",IF('Data Source'!AA137&gt;=2,"C",IF('Data Source'!AA137&gt;=1,"D","F")))))))</f>
        <v/>
      </c>
      <c r="J137" s="3">
        <f>IF('Data Source'!B137="","",IF('Data Source'!AB137&gt;=5,"A+",IF('Data Source'!AB137&gt;=4,"A",IF('Data Source'!AB137&gt;=3.5,"A-",IF('Data Source'!AB137&gt;=3,"B",IF('Data Source'!AB137&gt;=2,"C",IF('Data Source'!AB137&gt;=1,"D","F")))))))</f>
        <v/>
      </c>
      <c r="K137" s="3">
        <f>IF('Data Source'!B137="","",IF('Data Source'!AC137&gt;=5,"A+",IF('Data Source'!AC137&gt;=4,"A",IF('Data Source'!AC137&gt;=3.5,"A-",IF('Data Source'!AC137&gt;=3,"B",IF('Data Source'!AC137&gt;=2,"C",IF('Data Source'!AC137&gt;=1,"D","F")))))))</f>
        <v/>
      </c>
      <c r="L137" s="3">
        <f>IF('Data Source'!B137="","",IF('Data Source'!AD137&gt;=5,"A+",IF('Data Source'!AD137&gt;=4,"A",IF('Data Source'!AD137&gt;=3.5,"A-",IF('Data Source'!AD137&gt;=3,"B",IF('Data Source'!AD137&gt;=2,"C",IF('Data Source'!AD137&gt;=1,"D","F")))))))</f>
        <v/>
      </c>
      <c r="M137" s="3">
        <f>IF('Data Source'!B137="","",IF('Data Source'!AE137&gt;=5,"A+",IF('Data Source'!AE137&gt;=4,"A",IF('Data Source'!AE137&gt;=3.5,"A-",IF('Data Source'!AE137&gt;=3,"B",IF('Data Source'!AE137&gt;=2,"C",IF('Data Source'!AE137&gt;=1,"D","F")))))))</f>
        <v/>
      </c>
      <c r="N137" s="3">
        <f>IF('Data Source'!B137="","",IF('Data Source'!AF137&gt;=5,"A+",IF('Data Source'!AF137&gt;=4,"A",IF('Data Source'!AF137&gt;=3.5,"A-",IF('Data Source'!AF137&gt;=3,"B",IF('Data Source'!AF137&gt;=2,"C",IF('Data Source'!AF137&gt;=1,"D","F")))))))</f>
        <v/>
      </c>
      <c r="O137" s="3">
        <f>IF('Data Source'!B137="","",IF('Data Source'!AG137&gt;=5,"A+",IF('Data Source'!AG137&gt;=4,"A",IF('Data Source'!AG137&gt;=3.5,"A-",IF('Data Source'!AG137&gt;=3,"B",IF('Data Source'!AG137&gt;=2,"C",IF('Data Source'!AG137&gt;=1,"D","F")))))))</f>
        <v/>
      </c>
      <c r="P137" s="5">
        <f>IF('Data Source'!B137="","",'Data Source'!R137)</f>
        <v/>
      </c>
      <c r="Q137" s="3">
        <f>IF('Data Source'!B137="","",'Data Source'!S137)</f>
        <v/>
      </c>
    </row>
    <row r="138">
      <c r="A138" s="3">
        <f>IF('Data Source'!B138="","",'Data Source'!A138)</f>
        <v/>
      </c>
      <c r="B138">
        <f>IF('Data Source'!B138="","",'Data Source'!B138)</f>
        <v/>
      </c>
      <c r="C138" s="3">
        <f>IF('Data Source'!B138="","",IF('Data Source'!U138&gt;=5,"A+",IF('Data Source'!U138&gt;=4,"A",IF('Data Source'!U138&gt;=3.5,"A-",IF('Data Source'!U138&gt;=3,"B",IF('Data Source'!U138&gt;=2,"C",IF('Data Source'!U138&gt;=1,"D","F")))))))</f>
        <v/>
      </c>
      <c r="D138" s="3">
        <f>IF('Data Source'!B138="","",IF('Data Source'!V138&gt;=5,"A+",IF('Data Source'!V138&gt;=4,"A",IF('Data Source'!V138&gt;=3.5,"A-",IF('Data Source'!V138&gt;=3,"B",IF('Data Source'!V138&gt;=2,"C",IF('Data Source'!V138&gt;=1,"D","F")))))))</f>
        <v/>
      </c>
      <c r="E138" s="3">
        <f>IF('Data Source'!B138="","",IF('Data Source'!W138&gt;=5,"A+",IF('Data Source'!W138&gt;=4,"A",IF('Data Source'!W138&gt;=3.5,"A-",IF('Data Source'!W138&gt;=3,"B",IF('Data Source'!W138&gt;=2,"C",IF('Data Source'!W138&gt;=1,"D","F")))))))</f>
        <v/>
      </c>
      <c r="F138" s="3">
        <f>IF('Data Source'!B138="","",IF('Data Source'!X138&gt;=5,"A+",IF('Data Source'!X138&gt;=4,"A",IF('Data Source'!X138&gt;=3.5,"A-",IF('Data Source'!X138&gt;=3,"B",IF('Data Source'!X138&gt;=2,"C",IF('Data Source'!X138&gt;=1,"D","F")))))))</f>
        <v/>
      </c>
      <c r="G138" s="3">
        <f>IF('Data Source'!B138="","",IF('Data Source'!Y138&gt;=5,"A+",IF('Data Source'!Y138&gt;=4,"A",IF('Data Source'!Y138&gt;=3.5,"A-",IF('Data Source'!Y138&gt;=3,"B",IF('Data Source'!Y138&gt;=2,"C",IF('Data Source'!Y138&gt;=1,"D","F")))))))</f>
        <v/>
      </c>
      <c r="H138" s="3">
        <f>IF('Data Source'!B138="","",IF('Data Source'!Z138&gt;=5,"A+",IF('Data Source'!Z138&gt;=4,"A",IF('Data Source'!Z138&gt;=3.5,"A-",IF('Data Source'!Z138&gt;=3,"B",IF('Data Source'!Z138&gt;=2,"C",IF('Data Source'!Z138&gt;=1,"D","F")))))))</f>
        <v/>
      </c>
      <c r="I138" s="3">
        <f>IF('Data Source'!B138="","",IF('Data Source'!AA138&gt;=5,"A+",IF('Data Source'!AA138&gt;=4,"A",IF('Data Source'!AA138&gt;=3.5,"A-",IF('Data Source'!AA138&gt;=3,"B",IF('Data Source'!AA138&gt;=2,"C",IF('Data Source'!AA138&gt;=1,"D","F")))))))</f>
        <v/>
      </c>
      <c r="J138" s="3">
        <f>IF('Data Source'!B138="","",IF('Data Source'!AB138&gt;=5,"A+",IF('Data Source'!AB138&gt;=4,"A",IF('Data Source'!AB138&gt;=3.5,"A-",IF('Data Source'!AB138&gt;=3,"B",IF('Data Source'!AB138&gt;=2,"C",IF('Data Source'!AB138&gt;=1,"D","F")))))))</f>
        <v/>
      </c>
      <c r="K138" s="3">
        <f>IF('Data Source'!B138="","",IF('Data Source'!AC138&gt;=5,"A+",IF('Data Source'!AC138&gt;=4,"A",IF('Data Source'!AC138&gt;=3.5,"A-",IF('Data Source'!AC138&gt;=3,"B",IF('Data Source'!AC138&gt;=2,"C",IF('Data Source'!AC138&gt;=1,"D","F")))))))</f>
        <v/>
      </c>
      <c r="L138" s="3">
        <f>IF('Data Source'!B138="","",IF('Data Source'!AD138&gt;=5,"A+",IF('Data Source'!AD138&gt;=4,"A",IF('Data Source'!AD138&gt;=3.5,"A-",IF('Data Source'!AD138&gt;=3,"B",IF('Data Source'!AD138&gt;=2,"C",IF('Data Source'!AD138&gt;=1,"D","F")))))))</f>
        <v/>
      </c>
      <c r="M138" s="3">
        <f>IF('Data Source'!B138="","",IF('Data Source'!AE138&gt;=5,"A+",IF('Data Source'!AE138&gt;=4,"A",IF('Data Source'!AE138&gt;=3.5,"A-",IF('Data Source'!AE138&gt;=3,"B",IF('Data Source'!AE138&gt;=2,"C",IF('Data Source'!AE138&gt;=1,"D","F")))))))</f>
        <v/>
      </c>
      <c r="N138" s="3">
        <f>IF('Data Source'!B138="","",IF('Data Source'!AF138&gt;=5,"A+",IF('Data Source'!AF138&gt;=4,"A",IF('Data Source'!AF138&gt;=3.5,"A-",IF('Data Source'!AF138&gt;=3,"B",IF('Data Source'!AF138&gt;=2,"C",IF('Data Source'!AF138&gt;=1,"D","F")))))))</f>
        <v/>
      </c>
      <c r="O138" s="3">
        <f>IF('Data Source'!B138="","",IF('Data Source'!AG138&gt;=5,"A+",IF('Data Source'!AG138&gt;=4,"A",IF('Data Source'!AG138&gt;=3.5,"A-",IF('Data Source'!AG138&gt;=3,"B",IF('Data Source'!AG138&gt;=2,"C",IF('Data Source'!AG138&gt;=1,"D","F")))))))</f>
        <v/>
      </c>
      <c r="P138" s="5">
        <f>IF('Data Source'!B138="","",'Data Source'!R138)</f>
        <v/>
      </c>
      <c r="Q138" s="3">
        <f>IF('Data Source'!B138="","",'Data Source'!S138)</f>
        <v/>
      </c>
    </row>
    <row r="139">
      <c r="A139" s="3">
        <f>IF('Data Source'!B139="","",'Data Source'!A139)</f>
        <v/>
      </c>
      <c r="B139">
        <f>IF('Data Source'!B139="","",'Data Source'!B139)</f>
        <v/>
      </c>
      <c r="C139" s="3">
        <f>IF('Data Source'!B139="","",IF('Data Source'!U139&gt;=5,"A+",IF('Data Source'!U139&gt;=4,"A",IF('Data Source'!U139&gt;=3.5,"A-",IF('Data Source'!U139&gt;=3,"B",IF('Data Source'!U139&gt;=2,"C",IF('Data Source'!U139&gt;=1,"D","F")))))))</f>
        <v/>
      </c>
      <c r="D139" s="3">
        <f>IF('Data Source'!B139="","",IF('Data Source'!V139&gt;=5,"A+",IF('Data Source'!V139&gt;=4,"A",IF('Data Source'!V139&gt;=3.5,"A-",IF('Data Source'!V139&gt;=3,"B",IF('Data Source'!V139&gt;=2,"C",IF('Data Source'!V139&gt;=1,"D","F")))))))</f>
        <v/>
      </c>
      <c r="E139" s="3">
        <f>IF('Data Source'!B139="","",IF('Data Source'!W139&gt;=5,"A+",IF('Data Source'!W139&gt;=4,"A",IF('Data Source'!W139&gt;=3.5,"A-",IF('Data Source'!W139&gt;=3,"B",IF('Data Source'!W139&gt;=2,"C",IF('Data Source'!W139&gt;=1,"D","F")))))))</f>
        <v/>
      </c>
      <c r="F139" s="3">
        <f>IF('Data Source'!B139="","",IF('Data Source'!X139&gt;=5,"A+",IF('Data Source'!X139&gt;=4,"A",IF('Data Source'!X139&gt;=3.5,"A-",IF('Data Source'!X139&gt;=3,"B",IF('Data Source'!X139&gt;=2,"C",IF('Data Source'!X139&gt;=1,"D","F")))))))</f>
        <v/>
      </c>
      <c r="G139" s="3">
        <f>IF('Data Source'!B139="","",IF('Data Source'!Y139&gt;=5,"A+",IF('Data Source'!Y139&gt;=4,"A",IF('Data Source'!Y139&gt;=3.5,"A-",IF('Data Source'!Y139&gt;=3,"B",IF('Data Source'!Y139&gt;=2,"C",IF('Data Source'!Y139&gt;=1,"D","F")))))))</f>
        <v/>
      </c>
      <c r="H139" s="3">
        <f>IF('Data Source'!B139="","",IF('Data Source'!Z139&gt;=5,"A+",IF('Data Source'!Z139&gt;=4,"A",IF('Data Source'!Z139&gt;=3.5,"A-",IF('Data Source'!Z139&gt;=3,"B",IF('Data Source'!Z139&gt;=2,"C",IF('Data Source'!Z139&gt;=1,"D","F")))))))</f>
        <v/>
      </c>
      <c r="I139" s="3">
        <f>IF('Data Source'!B139="","",IF('Data Source'!AA139&gt;=5,"A+",IF('Data Source'!AA139&gt;=4,"A",IF('Data Source'!AA139&gt;=3.5,"A-",IF('Data Source'!AA139&gt;=3,"B",IF('Data Source'!AA139&gt;=2,"C",IF('Data Source'!AA139&gt;=1,"D","F")))))))</f>
        <v/>
      </c>
      <c r="J139" s="3">
        <f>IF('Data Source'!B139="","",IF('Data Source'!AB139&gt;=5,"A+",IF('Data Source'!AB139&gt;=4,"A",IF('Data Source'!AB139&gt;=3.5,"A-",IF('Data Source'!AB139&gt;=3,"B",IF('Data Source'!AB139&gt;=2,"C",IF('Data Source'!AB139&gt;=1,"D","F")))))))</f>
        <v/>
      </c>
      <c r="K139" s="3">
        <f>IF('Data Source'!B139="","",IF('Data Source'!AC139&gt;=5,"A+",IF('Data Source'!AC139&gt;=4,"A",IF('Data Source'!AC139&gt;=3.5,"A-",IF('Data Source'!AC139&gt;=3,"B",IF('Data Source'!AC139&gt;=2,"C",IF('Data Source'!AC139&gt;=1,"D","F")))))))</f>
        <v/>
      </c>
      <c r="L139" s="3">
        <f>IF('Data Source'!B139="","",IF('Data Source'!AD139&gt;=5,"A+",IF('Data Source'!AD139&gt;=4,"A",IF('Data Source'!AD139&gt;=3.5,"A-",IF('Data Source'!AD139&gt;=3,"B",IF('Data Source'!AD139&gt;=2,"C",IF('Data Source'!AD139&gt;=1,"D","F")))))))</f>
        <v/>
      </c>
      <c r="M139" s="3">
        <f>IF('Data Source'!B139="","",IF('Data Source'!AE139&gt;=5,"A+",IF('Data Source'!AE139&gt;=4,"A",IF('Data Source'!AE139&gt;=3.5,"A-",IF('Data Source'!AE139&gt;=3,"B",IF('Data Source'!AE139&gt;=2,"C",IF('Data Source'!AE139&gt;=1,"D","F")))))))</f>
        <v/>
      </c>
      <c r="N139" s="3">
        <f>IF('Data Source'!B139="","",IF('Data Source'!AF139&gt;=5,"A+",IF('Data Source'!AF139&gt;=4,"A",IF('Data Source'!AF139&gt;=3.5,"A-",IF('Data Source'!AF139&gt;=3,"B",IF('Data Source'!AF139&gt;=2,"C",IF('Data Source'!AF139&gt;=1,"D","F")))))))</f>
        <v/>
      </c>
      <c r="O139" s="3">
        <f>IF('Data Source'!B139="","",IF('Data Source'!AG139&gt;=5,"A+",IF('Data Source'!AG139&gt;=4,"A",IF('Data Source'!AG139&gt;=3.5,"A-",IF('Data Source'!AG139&gt;=3,"B",IF('Data Source'!AG139&gt;=2,"C",IF('Data Source'!AG139&gt;=1,"D","F")))))))</f>
        <v/>
      </c>
      <c r="P139" s="5">
        <f>IF('Data Source'!B139="","",'Data Source'!R139)</f>
        <v/>
      </c>
      <c r="Q139" s="3">
        <f>IF('Data Source'!B139="","",'Data Source'!S139)</f>
        <v/>
      </c>
    </row>
    <row r="140">
      <c r="A140" s="3">
        <f>IF('Data Source'!B140="","",'Data Source'!A140)</f>
        <v/>
      </c>
      <c r="B140">
        <f>IF('Data Source'!B140="","",'Data Source'!B140)</f>
        <v/>
      </c>
      <c r="C140" s="3">
        <f>IF('Data Source'!B140="","",IF('Data Source'!U140&gt;=5,"A+",IF('Data Source'!U140&gt;=4,"A",IF('Data Source'!U140&gt;=3.5,"A-",IF('Data Source'!U140&gt;=3,"B",IF('Data Source'!U140&gt;=2,"C",IF('Data Source'!U140&gt;=1,"D","F")))))))</f>
        <v/>
      </c>
      <c r="D140" s="3">
        <f>IF('Data Source'!B140="","",IF('Data Source'!V140&gt;=5,"A+",IF('Data Source'!V140&gt;=4,"A",IF('Data Source'!V140&gt;=3.5,"A-",IF('Data Source'!V140&gt;=3,"B",IF('Data Source'!V140&gt;=2,"C",IF('Data Source'!V140&gt;=1,"D","F")))))))</f>
        <v/>
      </c>
      <c r="E140" s="3">
        <f>IF('Data Source'!B140="","",IF('Data Source'!W140&gt;=5,"A+",IF('Data Source'!W140&gt;=4,"A",IF('Data Source'!W140&gt;=3.5,"A-",IF('Data Source'!W140&gt;=3,"B",IF('Data Source'!W140&gt;=2,"C",IF('Data Source'!W140&gt;=1,"D","F")))))))</f>
        <v/>
      </c>
      <c r="F140" s="3">
        <f>IF('Data Source'!B140="","",IF('Data Source'!X140&gt;=5,"A+",IF('Data Source'!X140&gt;=4,"A",IF('Data Source'!X140&gt;=3.5,"A-",IF('Data Source'!X140&gt;=3,"B",IF('Data Source'!X140&gt;=2,"C",IF('Data Source'!X140&gt;=1,"D","F")))))))</f>
        <v/>
      </c>
      <c r="G140" s="3">
        <f>IF('Data Source'!B140="","",IF('Data Source'!Y140&gt;=5,"A+",IF('Data Source'!Y140&gt;=4,"A",IF('Data Source'!Y140&gt;=3.5,"A-",IF('Data Source'!Y140&gt;=3,"B",IF('Data Source'!Y140&gt;=2,"C",IF('Data Source'!Y140&gt;=1,"D","F")))))))</f>
        <v/>
      </c>
      <c r="H140" s="3">
        <f>IF('Data Source'!B140="","",IF('Data Source'!Z140&gt;=5,"A+",IF('Data Source'!Z140&gt;=4,"A",IF('Data Source'!Z140&gt;=3.5,"A-",IF('Data Source'!Z140&gt;=3,"B",IF('Data Source'!Z140&gt;=2,"C",IF('Data Source'!Z140&gt;=1,"D","F")))))))</f>
        <v/>
      </c>
      <c r="I140" s="3">
        <f>IF('Data Source'!B140="","",IF('Data Source'!AA140&gt;=5,"A+",IF('Data Source'!AA140&gt;=4,"A",IF('Data Source'!AA140&gt;=3.5,"A-",IF('Data Source'!AA140&gt;=3,"B",IF('Data Source'!AA140&gt;=2,"C",IF('Data Source'!AA140&gt;=1,"D","F")))))))</f>
        <v/>
      </c>
      <c r="J140" s="3">
        <f>IF('Data Source'!B140="","",IF('Data Source'!AB140&gt;=5,"A+",IF('Data Source'!AB140&gt;=4,"A",IF('Data Source'!AB140&gt;=3.5,"A-",IF('Data Source'!AB140&gt;=3,"B",IF('Data Source'!AB140&gt;=2,"C",IF('Data Source'!AB140&gt;=1,"D","F")))))))</f>
        <v/>
      </c>
      <c r="K140" s="3">
        <f>IF('Data Source'!B140="","",IF('Data Source'!AC140&gt;=5,"A+",IF('Data Source'!AC140&gt;=4,"A",IF('Data Source'!AC140&gt;=3.5,"A-",IF('Data Source'!AC140&gt;=3,"B",IF('Data Source'!AC140&gt;=2,"C",IF('Data Source'!AC140&gt;=1,"D","F")))))))</f>
        <v/>
      </c>
      <c r="L140" s="3">
        <f>IF('Data Source'!B140="","",IF('Data Source'!AD140&gt;=5,"A+",IF('Data Source'!AD140&gt;=4,"A",IF('Data Source'!AD140&gt;=3.5,"A-",IF('Data Source'!AD140&gt;=3,"B",IF('Data Source'!AD140&gt;=2,"C",IF('Data Source'!AD140&gt;=1,"D","F")))))))</f>
        <v/>
      </c>
      <c r="M140" s="3">
        <f>IF('Data Source'!B140="","",IF('Data Source'!AE140&gt;=5,"A+",IF('Data Source'!AE140&gt;=4,"A",IF('Data Source'!AE140&gt;=3.5,"A-",IF('Data Source'!AE140&gt;=3,"B",IF('Data Source'!AE140&gt;=2,"C",IF('Data Source'!AE140&gt;=1,"D","F")))))))</f>
        <v/>
      </c>
      <c r="N140" s="3">
        <f>IF('Data Source'!B140="","",IF('Data Source'!AF140&gt;=5,"A+",IF('Data Source'!AF140&gt;=4,"A",IF('Data Source'!AF140&gt;=3.5,"A-",IF('Data Source'!AF140&gt;=3,"B",IF('Data Source'!AF140&gt;=2,"C",IF('Data Source'!AF140&gt;=1,"D","F")))))))</f>
        <v/>
      </c>
      <c r="O140" s="3">
        <f>IF('Data Source'!B140="","",IF('Data Source'!AG140&gt;=5,"A+",IF('Data Source'!AG140&gt;=4,"A",IF('Data Source'!AG140&gt;=3.5,"A-",IF('Data Source'!AG140&gt;=3,"B",IF('Data Source'!AG140&gt;=2,"C",IF('Data Source'!AG140&gt;=1,"D","F")))))))</f>
        <v/>
      </c>
      <c r="P140" s="5">
        <f>IF('Data Source'!B140="","",'Data Source'!R140)</f>
        <v/>
      </c>
      <c r="Q140" s="3">
        <f>IF('Data Source'!B140="","",'Data Source'!S140)</f>
        <v/>
      </c>
    </row>
    <row r="141">
      <c r="A141" s="3">
        <f>IF('Data Source'!B141="","",'Data Source'!A141)</f>
        <v/>
      </c>
      <c r="B141">
        <f>IF('Data Source'!B141="","",'Data Source'!B141)</f>
        <v/>
      </c>
      <c r="C141" s="3">
        <f>IF('Data Source'!B141="","",IF('Data Source'!U141&gt;=5,"A+",IF('Data Source'!U141&gt;=4,"A",IF('Data Source'!U141&gt;=3.5,"A-",IF('Data Source'!U141&gt;=3,"B",IF('Data Source'!U141&gt;=2,"C",IF('Data Source'!U141&gt;=1,"D","F")))))))</f>
        <v/>
      </c>
      <c r="D141" s="3">
        <f>IF('Data Source'!B141="","",IF('Data Source'!V141&gt;=5,"A+",IF('Data Source'!V141&gt;=4,"A",IF('Data Source'!V141&gt;=3.5,"A-",IF('Data Source'!V141&gt;=3,"B",IF('Data Source'!V141&gt;=2,"C",IF('Data Source'!V141&gt;=1,"D","F")))))))</f>
        <v/>
      </c>
      <c r="E141" s="3">
        <f>IF('Data Source'!B141="","",IF('Data Source'!W141&gt;=5,"A+",IF('Data Source'!W141&gt;=4,"A",IF('Data Source'!W141&gt;=3.5,"A-",IF('Data Source'!W141&gt;=3,"B",IF('Data Source'!W141&gt;=2,"C",IF('Data Source'!W141&gt;=1,"D","F")))))))</f>
        <v/>
      </c>
      <c r="F141" s="3">
        <f>IF('Data Source'!B141="","",IF('Data Source'!X141&gt;=5,"A+",IF('Data Source'!X141&gt;=4,"A",IF('Data Source'!X141&gt;=3.5,"A-",IF('Data Source'!X141&gt;=3,"B",IF('Data Source'!X141&gt;=2,"C",IF('Data Source'!X141&gt;=1,"D","F")))))))</f>
        <v/>
      </c>
      <c r="G141" s="3">
        <f>IF('Data Source'!B141="","",IF('Data Source'!Y141&gt;=5,"A+",IF('Data Source'!Y141&gt;=4,"A",IF('Data Source'!Y141&gt;=3.5,"A-",IF('Data Source'!Y141&gt;=3,"B",IF('Data Source'!Y141&gt;=2,"C",IF('Data Source'!Y141&gt;=1,"D","F")))))))</f>
        <v/>
      </c>
      <c r="H141" s="3">
        <f>IF('Data Source'!B141="","",IF('Data Source'!Z141&gt;=5,"A+",IF('Data Source'!Z141&gt;=4,"A",IF('Data Source'!Z141&gt;=3.5,"A-",IF('Data Source'!Z141&gt;=3,"B",IF('Data Source'!Z141&gt;=2,"C",IF('Data Source'!Z141&gt;=1,"D","F")))))))</f>
        <v/>
      </c>
      <c r="I141" s="3">
        <f>IF('Data Source'!B141="","",IF('Data Source'!AA141&gt;=5,"A+",IF('Data Source'!AA141&gt;=4,"A",IF('Data Source'!AA141&gt;=3.5,"A-",IF('Data Source'!AA141&gt;=3,"B",IF('Data Source'!AA141&gt;=2,"C",IF('Data Source'!AA141&gt;=1,"D","F")))))))</f>
        <v/>
      </c>
      <c r="J141" s="3">
        <f>IF('Data Source'!B141="","",IF('Data Source'!AB141&gt;=5,"A+",IF('Data Source'!AB141&gt;=4,"A",IF('Data Source'!AB141&gt;=3.5,"A-",IF('Data Source'!AB141&gt;=3,"B",IF('Data Source'!AB141&gt;=2,"C",IF('Data Source'!AB141&gt;=1,"D","F")))))))</f>
        <v/>
      </c>
      <c r="K141" s="3">
        <f>IF('Data Source'!B141="","",IF('Data Source'!AC141&gt;=5,"A+",IF('Data Source'!AC141&gt;=4,"A",IF('Data Source'!AC141&gt;=3.5,"A-",IF('Data Source'!AC141&gt;=3,"B",IF('Data Source'!AC141&gt;=2,"C",IF('Data Source'!AC141&gt;=1,"D","F")))))))</f>
        <v/>
      </c>
      <c r="L141" s="3">
        <f>IF('Data Source'!B141="","",IF('Data Source'!AD141&gt;=5,"A+",IF('Data Source'!AD141&gt;=4,"A",IF('Data Source'!AD141&gt;=3.5,"A-",IF('Data Source'!AD141&gt;=3,"B",IF('Data Source'!AD141&gt;=2,"C",IF('Data Source'!AD141&gt;=1,"D","F")))))))</f>
        <v/>
      </c>
      <c r="M141" s="3">
        <f>IF('Data Source'!B141="","",IF('Data Source'!AE141&gt;=5,"A+",IF('Data Source'!AE141&gt;=4,"A",IF('Data Source'!AE141&gt;=3.5,"A-",IF('Data Source'!AE141&gt;=3,"B",IF('Data Source'!AE141&gt;=2,"C",IF('Data Source'!AE141&gt;=1,"D","F")))))))</f>
        <v/>
      </c>
      <c r="N141" s="3">
        <f>IF('Data Source'!B141="","",IF('Data Source'!AF141&gt;=5,"A+",IF('Data Source'!AF141&gt;=4,"A",IF('Data Source'!AF141&gt;=3.5,"A-",IF('Data Source'!AF141&gt;=3,"B",IF('Data Source'!AF141&gt;=2,"C",IF('Data Source'!AF141&gt;=1,"D","F")))))))</f>
        <v/>
      </c>
      <c r="O141" s="3">
        <f>IF('Data Source'!B141="","",IF('Data Source'!AG141&gt;=5,"A+",IF('Data Source'!AG141&gt;=4,"A",IF('Data Source'!AG141&gt;=3.5,"A-",IF('Data Source'!AG141&gt;=3,"B",IF('Data Source'!AG141&gt;=2,"C",IF('Data Source'!AG141&gt;=1,"D","F")))))))</f>
        <v/>
      </c>
      <c r="P141" s="5">
        <f>IF('Data Source'!B141="","",'Data Source'!R141)</f>
        <v/>
      </c>
      <c r="Q141" s="3">
        <f>IF('Data Source'!B141="","",'Data Source'!S141)</f>
        <v/>
      </c>
    </row>
    <row r="142">
      <c r="A142" s="3">
        <f>IF('Data Source'!B142="","",'Data Source'!A142)</f>
        <v/>
      </c>
      <c r="B142">
        <f>IF('Data Source'!B142="","",'Data Source'!B142)</f>
        <v/>
      </c>
      <c r="C142" s="3">
        <f>IF('Data Source'!B142="","",IF('Data Source'!U142&gt;=5,"A+",IF('Data Source'!U142&gt;=4,"A",IF('Data Source'!U142&gt;=3.5,"A-",IF('Data Source'!U142&gt;=3,"B",IF('Data Source'!U142&gt;=2,"C",IF('Data Source'!U142&gt;=1,"D","F")))))))</f>
        <v/>
      </c>
      <c r="D142" s="3">
        <f>IF('Data Source'!B142="","",IF('Data Source'!V142&gt;=5,"A+",IF('Data Source'!V142&gt;=4,"A",IF('Data Source'!V142&gt;=3.5,"A-",IF('Data Source'!V142&gt;=3,"B",IF('Data Source'!V142&gt;=2,"C",IF('Data Source'!V142&gt;=1,"D","F")))))))</f>
        <v/>
      </c>
      <c r="E142" s="3">
        <f>IF('Data Source'!B142="","",IF('Data Source'!W142&gt;=5,"A+",IF('Data Source'!W142&gt;=4,"A",IF('Data Source'!W142&gt;=3.5,"A-",IF('Data Source'!W142&gt;=3,"B",IF('Data Source'!W142&gt;=2,"C",IF('Data Source'!W142&gt;=1,"D","F")))))))</f>
        <v/>
      </c>
      <c r="F142" s="3">
        <f>IF('Data Source'!B142="","",IF('Data Source'!X142&gt;=5,"A+",IF('Data Source'!X142&gt;=4,"A",IF('Data Source'!X142&gt;=3.5,"A-",IF('Data Source'!X142&gt;=3,"B",IF('Data Source'!X142&gt;=2,"C",IF('Data Source'!X142&gt;=1,"D","F")))))))</f>
        <v/>
      </c>
      <c r="G142" s="3">
        <f>IF('Data Source'!B142="","",IF('Data Source'!Y142&gt;=5,"A+",IF('Data Source'!Y142&gt;=4,"A",IF('Data Source'!Y142&gt;=3.5,"A-",IF('Data Source'!Y142&gt;=3,"B",IF('Data Source'!Y142&gt;=2,"C",IF('Data Source'!Y142&gt;=1,"D","F")))))))</f>
        <v/>
      </c>
      <c r="H142" s="3">
        <f>IF('Data Source'!B142="","",IF('Data Source'!Z142&gt;=5,"A+",IF('Data Source'!Z142&gt;=4,"A",IF('Data Source'!Z142&gt;=3.5,"A-",IF('Data Source'!Z142&gt;=3,"B",IF('Data Source'!Z142&gt;=2,"C",IF('Data Source'!Z142&gt;=1,"D","F")))))))</f>
        <v/>
      </c>
      <c r="I142" s="3">
        <f>IF('Data Source'!B142="","",IF('Data Source'!AA142&gt;=5,"A+",IF('Data Source'!AA142&gt;=4,"A",IF('Data Source'!AA142&gt;=3.5,"A-",IF('Data Source'!AA142&gt;=3,"B",IF('Data Source'!AA142&gt;=2,"C",IF('Data Source'!AA142&gt;=1,"D","F")))))))</f>
        <v/>
      </c>
      <c r="J142" s="3">
        <f>IF('Data Source'!B142="","",IF('Data Source'!AB142&gt;=5,"A+",IF('Data Source'!AB142&gt;=4,"A",IF('Data Source'!AB142&gt;=3.5,"A-",IF('Data Source'!AB142&gt;=3,"B",IF('Data Source'!AB142&gt;=2,"C",IF('Data Source'!AB142&gt;=1,"D","F")))))))</f>
        <v/>
      </c>
      <c r="K142" s="3">
        <f>IF('Data Source'!B142="","",IF('Data Source'!AC142&gt;=5,"A+",IF('Data Source'!AC142&gt;=4,"A",IF('Data Source'!AC142&gt;=3.5,"A-",IF('Data Source'!AC142&gt;=3,"B",IF('Data Source'!AC142&gt;=2,"C",IF('Data Source'!AC142&gt;=1,"D","F")))))))</f>
        <v/>
      </c>
      <c r="L142" s="3">
        <f>IF('Data Source'!B142="","",IF('Data Source'!AD142&gt;=5,"A+",IF('Data Source'!AD142&gt;=4,"A",IF('Data Source'!AD142&gt;=3.5,"A-",IF('Data Source'!AD142&gt;=3,"B",IF('Data Source'!AD142&gt;=2,"C",IF('Data Source'!AD142&gt;=1,"D","F")))))))</f>
        <v/>
      </c>
      <c r="M142" s="3">
        <f>IF('Data Source'!B142="","",IF('Data Source'!AE142&gt;=5,"A+",IF('Data Source'!AE142&gt;=4,"A",IF('Data Source'!AE142&gt;=3.5,"A-",IF('Data Source'!AE142&gt;=3,"B",IF('Data Source'!AE142&gt;=2,"C",IF('Data Source'!AE142&gt;=1,"D","F")))))))</f>
        <v/>
      </c>
      <c r="N142" s="3">
        <f>IF('Data Source'!B142="","",IF('Data Source'!AF142&gt;=5,"A+",IF('Data Source'!AF142&gt;=4,"A",IF('Data Source'!AF142&gt;=3.5,"A-",IF('Data Source'!AF142&gt;=3,"B",IF('Data Source'!AF142&gt;=2,"C",IF('Data Source'!AF142&gt;=1,"D","F")))))))</f>
        <v/>
      </c>
      <c r="O142" s="3">
        <f>IF('Data Source'!B142="","",IF('Data Source'!AG142&gt;=5,"A+",IF('Data Source'!AG142&gt;=4,"A",IF('Data Source'!AG142&gt;=3.5,"A-",IF('Data Source'!AG142&gt;=3,"B",IF('Data Source'!AG142&gt;=2,"C",IF('Data Source'!AG142&gt;=1,"D","F")))))))</f>
        <v/>
      </c>
      <c r="P142" s="5">
        <f>IF('Data Source'!B142="","",'Data Source'!R142)</f>
        <v/>
      </c>
      <c r="Q142" s="3">
        <f>IF('Data Source'!B142="","",'Data Source'!S142)</f>
        <v/>
      </c>
    </row>
    <row r="143">
      <c r="A143" s="3">
        <f>IF('Data Source'!B143="","",'Data Source'!A143)</f>
        <v/>
      </c>
      <c r="B143">
        <f>IF('Data Source'!B143="","",'Data Source'!B143)</f>
        <v/>
      </c>
      <c r="C143" s="3">
        <f>IF('Data Source'!B143="","",IF('Data Source'!U143&gt;=5,"A+",IF('Data Source'!U143&gt;=4,"A",IF('Data Source'!U143&gt;=3.5,"A-",IF('Data Source'!U143&gt;=3,"B",IF('Data Source'!U143&gt;=2,"C",IF('Data Source'!U143&gt;=1,"D","F")))))))</f>
        <v/>
      </c>
      <c r="D143" s="3">
        <f>IF('Data Source'!B143="","",IF('Data Source'!V143&gt;=5,"A+",IF('Data Source'!V143&gt;=4,"A",IF('Data Source'!V143&gt;=3.5,"A-",IF('Data Source'!V143&gt;=3,"B",IF('Data Source'!V143&gt;=2,"C",IF('Data Source'!V143&gt;=1,"D","F")))))))</f>
        <v/>
      </c>
      <c r="E143" s="3">
        <f>IF('Data Source'!B143="","",IF('Data Source'!W143&gt;=5,"A+",IF('Data Source'!W143&gt;=4,"A",IF('Data Source'!W143&gt;=3.5,"A-",IF('Data Source'!W143&gt;=3,"B",IF('Data Source'!W143&gt;=2,"C",IF('Data Source'!W143&gt;=1,"D","F")))))))</f>
        <v/>
      </c>
      <c r="F143" s="3">
        <f>IF('Data Source'!B143="","",IF('Data Source'!X143&gt;=5,"A+",IF('Data Source'!X143&gt;=4,"A",IF('Data Source'!X143&gt;=3.5,"A-",IF('Data Source'!X143&gt;=3,"B",IF('Data Source'!X143&gt;=2,"C",IF('Data Source'!X143&gt;=1,"D","F")))))))</f>
        <v/>
      </c>
      <c r="G143" s="3">
        <f>IF('Data Source'!B143="","",IF('Data Source'!Y143&gt;=5,"A+",IF('Data Source'!Y143&gt;=4,"A",IF('Data Source'!Y143&gt;=3.5,"A-",IF('Data Source'!Y143&gt;=3,"B",IF('Data Source'!Y143&gt;=2,"C",IF('Data Source'!Y143&gt;=1,"D","F")))))))</f>
        <v/>
      </c>
      <c r="H143" s="3">
        <f>IF('Data Source'!B143="","",IF('Data Source'!Z143&gt;=5,"A+",IF('Data Source'!Z143&gt;=4,"A",IF('Data Source'!Z143&gt;=3.5,"A-",IF('Data Source'!Z143&gt;=3,"B",IF('Data Source'!Z143&gt;=2,"C",IF('Data Source'!Z143&gt;=1,"D","F")))))))</f>
        <v/>
      </c>
      <c r="I143" s="3">
        <f>IF('Data Source'!B143="","",IF('Data Source'!AA143&gt;=5,"A+",IF('Data Source'!AA143&gt;=4,"A",IF('Data Source'!AA143&gt;=3.5,"A-",IF('Data Source'!AA143&gt;=3,"B",IF('Data Source'!AA143&gt;=2,"C",IF('Data Source'!AA143&gt;=1,"D","F")))))))</f>
        <v/>
      </c>
      <c r="J143" s="3">
        <f>IF('Data Source'!B143="","",IF('Data Source'!AB143&gt;=5,"A+",IF('Data Source'!AB143&gt;=4,"A",IF('Data Source'!AB143&gt;=3.5,"A-",IF('Data Source'!AB143&gt;=3,"B",IF('Data Source'!AB143&gt;=2,"C",IF('Data Source'!AB143&gt;=1,"D","F")))))))</f>
        <v/>
      </c>
      <c r="K143" s="3">
        <f>IF('Data Source'!B143="","",IF('Data Source'!AC143&gt;=5,"A+",IF('Data Source'!AC143&gt;=4,"A",IF('Data Source'!AC143&gt;=3.5,"A-",IF('Data Source'!AC143&gt;=3,"B",IF('Data Source'!AC143&gt;=2,"C",IF('Data Source'!AC143&gt;=1,"D","F")))))))</f>
        <v/>
      </c>
      <c r="L143" s="3">
        <f>IF('Data Source'!B143="","",IF('Data Source'!AD143&gt;=5,"A+",IF('Data Source'!AD143&gt;=4,"A",IF('Data Source'!AD143&gt;=3.5,"A-",IF('Data Source'!AD143&gt;=3,"B",IF('Data Source'!AD143&gt;=2,"C",IF('Data Source'!AD143&gt;=1,"D","F")))))))</f>
        <v/>
      </c>
      <c r="M143" s="3">
        <f>IF('Data Source'!B143="","",IF('Data Source'!AE143&gt;=5,"A+",IF('Data Source'!AE143&gt;=4,"A",IF('Data Source'!AE143&gt;=3.5,"A-",IF('Data Source'!AE143&gt;=3,"B",IF('Data Source'!AE143&gt;=2,"C",IF('Data Source'!AE143&gt;=1,"D","F")))))))</f>
        <v/>
      </c>
      <c r="N143" s="3">
        <f>IF('Data Source'!B143="","",IF('Data Source'!AF143&gt;=5,"A+",IF('Data Source'!AF143&gt;=4,"A",IF('Data Source'!AF143&gt;=3.5,"A-",IF('Data Source'!AF143&gt;=3,"B",IF('Data Source'!AF143&gt;=2,"C",IF('Data Source'!AF143&gt;=1,"D","F")))))))</f>
        <v/>
      </c>
      <c r="O143" s="3">
        <f>IF('Data Source'!B143="","",IF('Data Source'!AG143&gt;=5,"A+",IF('Data Source'!AG143&gt;=4,"A",IF('Data Source'!AG143&gt;=3.5,"A-",IF('Data Source'!AG143&gt;=3,"B",IF('Data Source'!AG143&gt;=2,"C",IF('Data Source'!AG143&gt;=1,"D","F")))))))</f>
        <v/>
      </c>
      <c r="P143" s="5">
        <f>IF('Data Source'!B143="","",'Data Source'!R143)</f>
        <v/>
      </c>
      <c r="Q143" s="3">
        <f>IF('Data Source'!B143="","",'Data Source'!S143)</f>
        <v/>
      </c>
    </row>
    <row r="144">
      <c r="A144" s="3">
        <f>IF('Data Source'!B144="","",'Data Source'!A144)</f>
        <v/>
      </c>
      <c r="B144">
        <f>IF('Data Source'!B144="","",'Data Source'!B144)</f>
        <v/>
      </c>
      <c r="C144" s="3">
        <f>IF('Data Source'!B144="","",IF('Data Source'!U144&gt;=5,"A+",IF('Data Source'!U144&gt;=4,"A",IF('Data Source'!U144&gt;=3.5,"A-",IF('Data Source'!U144&gt;=3,"B",IF('Data Source'!U144&gt;=2,"C",IF('Data Source'!U144&gt;=1,"D","F")))))))</f>
        <v/>
      </c>
      <c r="D144" s="3">
        <f>IF('Data Source'!B144="","",IF('Data Source'!V144&gt;=5,"A+",IF('Data Source'!V144&gt;=4,"A",IF('Data Source'!V144&gt;=3.5,"A-",IF('Data Source'!V144&gt;=3,"B",IF('Data Source'!V144&gt;=2,"C",IF('Data Source'!V144&gt;=1,"D","F")))))))</f>
        <v/>
      </c>
      <c r="E144" s="3">
        <f>IF('Data Source'!B144="","",IF('Data Source'!W144&gt;=5,"A+",IF('Data Source'!W144&gt;=4,"A",IF('Data Source'!W144&gt;=3.5,"A-",IF('Data Source'!W144&gt;=3,"B",IF('Data Source'!W144&gt;=2,"C",IF('Data Source'!W144&gt;=1,"D","F")))))))</f>
        <v/>
      </c>
      <c r="F144" s="3">
        <f>IF('Data Source'!B144="","",IF('Data Source'!X144&gt;=5,"A+",IF('Data Source'!X144&gt;=4,"A",IF('Data Source'!X144&gt;=3.5,"A-",IF('Data Source'!X144&gt;=3,"B",IF('Data Source'!X144&gt;=2,"C",IF('Data Source'!X144&gt;=1,"D","F")))))))</f>
        <v/>
      </c>
      <c r="G144" s="3">
        <f>IF('Data Source'!B144="","",IF('Data Source'!Y144&gt;=5,"A+",IF('Data Source'!Y144&gt;=4,"A",IF('Data Source'!Y144&gt;=3.5,"A-",IF('Data Source'!Y144&gt;=3,"B",IF('Data Source'!Y144&gt;=2,"C",IF('Data Source'!Y144&gt;=1,"D","F")))))))</f>
        <v/>
      </c>
      <c r="H144" s="3">
        <f>IF('Data Source'!B144="","",IF('Data Source'!Z144&gt;=5,"A+",IF('Data Source'!Z144&gt;=4,"A",IF('Data Source'!Z144&gt;=3.5,"A-",IF('Data Source'!Z144&gt;=3,"B",IF('Data Source'!Z144&gt;=2,"C",IF('Data Source'!Z144&gt;=1,"D","F")))))))</f>
        <v/>
      </c>
      <c r="I144" s="3">
        <f>IF('Data Source'!B144="","",IF('Data Source'!AA144&gt;=5,"A+",IF('Data Source'!AA144&gt;=4,"A",IF('Data Source'!AA144&gt;=3.5,"A-",IF('Data Source'!AA144&gt;=3,"B",IF('Data Source'!AA144&gt;=2,"C",IF('Data Source'!AA144&gt;=1,"D","F")))))))</f>
        <v/>
      </c>
      <c r="J144" s="3">
        <f>IF('Data Source'!B144="","",IF('Data Source'!AB144&gt;=5,"A+",IF('Data Source'!AB144&gt;=4,"A",IF('Data Source'!AB144&gt;=3.5,"A-",IF('Data Source'!AB144&gt;=3,"B",IF('Data Source'!AB144&gt;=2,"C",IF('Data Source'!AB144&gt;=1,"D","F")))))))</f>
        <v/>
      </c>
      <c r="K144" s="3">
        <f>IF('Data Source'!B144="","",IF('Data Source'!AC144&gt;=5,"A+",IF('Data Source'!AC144&gt;=4,"A",IF('Data Source'!AC144&gt;=3.5,"A-",IF('Data Source'!AC144&gt;=3,"B",IF('Data Source'!AC144&gt;=2,"C",IF('Data Source'!AC144&gt;=1,"D","F")))))))</f>
        <v/>
      </c>
      <c r="L144" s="3">
        <f>IF('Data Source'!B144="","",IF('Data Source'!AD144&gt;=5,"A+",IF('Data Source'!AD144&gt;=4,"A",IF('Data Source'!AD144&gt;=3.5,"A-",IF('Data Source'!AD144&gt;=3,"B",IF('Data Source'!AD144&gt;=2,"C",IF('Data Source'!AD144&gt;=1,"D","F")))))))</f>
        <v/>
      </c>
      <c r="M144" s="3">
        <f>IF('Data Source'!B144="","",IF('Data Source'!AE144&gt;=5,"A+",IF('Data Source'!AE144&gt;=4,"A",IF('Data Source'!AE144&gt;=3.5,"A-",IF('Data Source'!AE144&gt;=3,"B",IF('Data Source'!AE144&gt;=2,"C",IF('Data Source'!AE144&gt;=1,"D","F")))))))</f>
        <v/>
      </c>
      <c r="N144" s="3">
        <f>IF('Data Source'!B144="","",IF('Data Source'!AF144&gt;=5,"A+",IF('Data Source'!AF144&gt;=4,"A",IF('Data Source'!AF144&gt;=3.5,"A-",IF('Data Source'!AF144&gt;=3,"B",IF('Data Source'!AF144&gt;=2,"C",IF('Data Source'!AF144&gt;=1,"D","F")))))))</f>
        <v/>
      </c>
      <c r="O144" s="3">
        <f>IF('Data Source'!B144="","",IF('Data Source'!AG144&gt;=5,"A+",IF('Data Source'!AG144&gt;=4,"A",IF('Data Source'!AG144&gt;=3.5,"A-",IF('Data Source'!AG144&gt;=3,"B",IF('Data Source'!AG144&gt;=2,"C",IF('Data Source'!AG144&gt;=1,"D","F")))))))</f>
        <v/>
      </c>
      <c r="P144" s="5">
        <f>IF('Data Source'!B144="","",'Data Source'!R144)</f>
        <v/>
      </c>
      <c r="Q144" s="3">
        <f>IF('Data Source'!B144="","",'Data Source'!S144)</f>
        <v/>
      </c>
    </row>
    <row r="145">
      <c r="A145" s="3">
        <f>IF('Data Source'!B145="","",'Data Source'!A145)</f>
        <v/>
      </c>
      <c r="B145">
        <f>IF('Data Source'!B145="","",'Data Source'!B145)</f>
        <v/>
      </c>
      <c r="C145" s="3">
        <f>IF('Data Source'!B145="","",IF('Data Source'!U145&gt;=5,"A+",IF('Data Source'!U145&gt;=4,"A",IF('Data Source'!U145&gt;=3.5,"A-",IF('Data Source'!U145&gt;=3,"B",IF('Data Source'!U145&gt;=2,"C",IF('Data Source'!U145&gt;=1,"D","F")))))))</f>
        <v/>
      </c>
      <c r="D145" s="3">
        <f>IF('Data Source'!B145="","",IF('Data Source'!V145&gt;=5,"A+",IF('Data Source'!V145&gt;=4,"A",IF('Data Source'!V145&gt;=3.5,"A-",IF('Data Source'!V145&gt;=3,"B",IF('Data Source'!V145&gt;=2,"C",IF('Data Source'!V145&gt;=1,"D","F")))))))</f>
        <v/>
      </c>
      <c r="E145" s="3">
        <f>IF('Data Source'!B145="","",IF('Data Source'!W145&gt;=5,"A+",IF('Data Source'!W145&gt;=4,"A",IF('Data Source'!W145&gt;=3.5,"A-",IF('Data Source'!W145&gt;=3,"B",IF('Data Source'!W145&gt;=2,"C",IF('Data Source'!W145&gt;=1,"D","F")))))))</f>
        <v/>
      </c>
      <c r="F145" s="3">
        <f>IF('Data Source'!B145="","",IF('Data Source'!X145&gt;=5,"A+",IF('Data Source'!X145&gt;=4,"A",IF('Data Source'!X145&gt;=3.5,"A-",IF('Data Source'!X145&gt;=3,"B",IF('Data Source'!X145&gt;=2,"C",IF('Data Source'!X145&gt;=1,"D","F")))))))</f>
        <v/>
      </c>
      <c r="G145" s="3">
        <f>IF('Data Source'!B145="","",IF('Data Source'!Y145&gt;=5,"A+",IF('Data Source'!Y145&gt;=4,"A",IF('Data Source'!Y145&gt;=3.5,"A-",IF('Data Source'!Y145&gt;=3,"B",IF('Data Source'!Y145&gt;=2,"C",IF('Data Source'!Y145&gt;=1,"D","F")))))))</f>
        <v/>
      </c>
      <c r="H145" s="3">
        <f>IF('Data Source'!B145="","",IF('Data Source'!Z145&gt;=5,"A+",IF('Data Source'!Z145&gt;=4,"A",IF('Data Source'!Z145&gt;=3.5,"A-",IF('Data Source'!Z145&gt;=3,"B",IF('Data Source'!Z145&gt;=2,"C",IF('Data Source'!Z145&gt;=1,"D","F")))))))</f>
        <v/>
      </c>
      <c r="I145" s="3">
        <f>IF('Data Source'!B145="","",IF('Data Source'!AA145&gt;=5,"A+",IF('Data Source'!AA145&gt;=4,"A",IF('Data Source'!AA145&gt;=3.5,"A-",IF('Data Source'!AA145&gt;=3,"B",IF('Data Source'!AA145&gt;=2,"C",IF('Data Source'!AA145&gt;=1,"D","F")))))))</f>
        <v/>
      </c>
      <c r="J145" s="3">
        <f>IF('Data Source'!B145="","",IF('Data Source'!AB145&gt;=5,"A+",IF('Data Source'!AB145&gt;=4,"A",IF('Data Source'!AB145&gt;=3.5,"A-",IF('Data Source'!AB145&gt;=3,"B",IF('Data Source'!AB145&gt;=2,"C",IF('Data Source'!AB145&gt;=1,"D","F")))))))</f>
        <v/>
      </c>
      <c r="K145" s="3">
        <f>IF('Data Source'!B145="","",IF('Data Source'!AC145&gt;=5,"A+",IF('Data Source'!AC145&gt;=4,"A",IF('Data Source'!AC145&gt;=3.5,"A-",IF('Data Source'!AC145&gt;=3,"B",IF('Data Source'!AC145&gt;=2,"C",IF('Data Source'!AC145&gt;=1,"D","F")))))))</f>
        <v/>
      </c>
      <c r="L145" s="3">
        <f>IF('Data Source'!B145="","",IF('Data Source'!AD145&gt;=5,"A+",IF('Data Source'!AD145&gt;=4,"A",IF('Data Source'!AD145&gt;=3.5,"A-",IF('Data Source'!AD145&gt;=3,"B",IF('Data Source'!AD145&gt;=2,"C",IF('Data Source'!AD145&gt;=1,"D","F")))))))</f>
        <v/>
      </c>
      <c r="M145" s="3">
        <f>IF('Data Source'!B145="","",IF('Data Source'!AE145&gt;=5,"A+",IF('Data Source'!AE145&gt;=4,"A",IF('Data Source'!AE145&gt;=3.5,"A-",IF('Data Source'!AE145&gt;=3,"B",IF('Data Source'!AE145&gt;=2,"C",IF('Data Source'!AE145&gt;=1,"D","F")))))))</f>
        <v/>
      </c>
      <c r="N145" s="3">
        <f>IF('Data Source'!B145="","",IF('Data Source'!AF145&gt;=5,"A+",IF('Data Source'!AF145&gt;=4,"A",IF('Data Source'!AF145&gt;=3.5,"A-",IF('Data Source'!AF145&gt;=3,"B",IF('Data Source'!AF145&gt;=2,"C",IF('Data Source'!AF145&gt;=1,"D","F")))))))</f>
        <v/>
      </c>
      <c r="O145" s="3">
        <f>IF('Data Source'!B145="","",IF('Data Source'!AG145&gt;=5,"A+",IF('Data Source'!AG145&gt;=4,"A",IF('Data Source'!AG145&gt;=3.5,"A-",IF('Data Source'!AG145&gt;=3,"B",IF('Data Source'!AG145&gt;=2,"C",IF('Data Source'!AG145&gt;=1,"D","F")))))))</f>
        <v/>
      </c>
      <c r="P145" s="5">
        <f>IF('Data Source'!B145="","",'Data Source'!R145)</f>
        <v/>
      </c>
      <c r="Q145" s="3">
        <f>IF('Data Source'!B145="","",'Data Source'!S145)</f>
        <v/>
      </c>
    </row>
    <row r="146">
      <c r="A146" s="3">
        <f>IF('Data Source'!B146="","",'Data Source'!A146)</f>
        <v/>
      </c>
      <c r="B146">
        <f>IF('Data Source'!B146="","",'Data Source'!B146)</f>
        <v/>
      </c>
      <c r="C146" s="3">
        <f>IF('Data Source'!B146="","",IF('Data Source'!U146&gt;=5,"A+",IF('Data Source'!U146&gt;=4,"A",IF('Data Source'!U146&gt;=3.5,"A-",IF('Data Source'!U146&gt;=3,"B",IF('Data Source'!U146&gt;=2,"C",IF('Data Source'!U146&gt;=1,"D","F")))))))</f>
        <v/>
      </c>
      <c r="D146" s="3">
        <f>IF('Data Source'!B146="","",IF('Data Source'!V146&gt;=5,"A+",IF('Data Source'!V146&gt;=4,"A",IF('Data Source'!V146&gt;=3.5,"A-",IF('Data Source'!V146&gt;=3,"B",IF('Data Source'!V146&gt;=2,"C",IF('Data Source'!V146&gt;=1,"D","F")))))))</f>
        <v/>
      </c>
      <c r="E146" s="3">
        <f>IF('Data Source'!B146="","",IF('Data Source'!W146&gt;=5,"A+",IF('Data Source'!W146&gt;=4,"A",IF('Data Source'!W146&gt;=3.5,"A-",IF('Data Source'!W146&gt;=3,"B",IF('Data Source'!W146&gt;=2,"C",IF('Data Source'!W146&gt;=1,"D","F")))))))</f>
        <v/>
      </c>
      <c r="F146" s="3">
        <f>IF('Data Source'!B146="","",IF('Data Source'!X146&gt;=5,"A+",IF('Data Source'!X146&gt;=4,"A",IF('Data Source'!X146&gt;=3.5,"A-",IF('Data Source'!X146&gt;=3,"B",IF('Data Source'!X146&gt;=2,"C",IF('Data Source'!X146&gt;=1,"D","F")))))))</f>
        <v/>
      </c>
      <c r="G146" s="3">
        <f>IF('Data Source'!B146="","",IF('Data Source'!Y146&gt;=5,"A+",IF('Data Source'!Y146&gt;=4,"A",IF('Data Source'!Y146&gt;=3.5,"A-",IF('Data Source'!Y146&gt;=3,"B",IF('Data Source'!Y146&gt;=2,"C",IF('Data Source'!Y146&gt;=1,"D","F")))))))</f>
        <v/>
      </c>
      <c r="H146" s="3">
        <f>IF('Data Source'!B146="","",IF('Data Source'!Z146&gt;=5,"A+",IF('Data Source'!Z146&gt;=4,"A",IF('Data Source'!Z146&gt;=3.5,"A-",IF('Data Source'!Z146&gt;=3,"B",IF('Data Source'!Z146&gt;=2,"C",IF('Data Source'!Z146&gt;=1,"D","F")))))))</f>
        <v/>
      </c>
      <c r="I146" s="3">
        <f>IF('Data Source'!B146="","",IF('Data Source'!AA146&gt;=5,"A+",IF('Data Source'!AA146&gt;=4,"A",IF('Data Source'!AA146&gt;=3.5,"A-",IF('Data Source'!AA146&gt;=3,"B",IF('Data Source'!AA146&gt;=2,"C",IF('Data Source'!AA146&gt;=1,"D","F")))))))</f>
        <v/>
      </c>
      <c r="J146" s="3">
        <f>IF('Data Source'!B146="","",IF('Data Source'!AB146&gt;=5,"A+",IF('Data Source'!AB146&gt;=4,"A",IF('Data Source'!AB146&gt;=3.5,"A-",IF('Data Source'!AB146&gt;=3,"B",IF('Data Source'!AB146&gt;=2,"C",IF('Data Source'!AB146&gt;=1,"D","F")))))))</f>
        <v/>
      </c>
      <c r="K146" s="3">
        <f>IF('Data Source'!B146="","",IF('Data Source'!AC146&gt;=5,"A+",IF('Data Source'!AC146&gt;=4,"A",IF('Data Source'!AC146&gt;=3.5,"A-",IF('Data Source'!AC146&gt;=3,"B",IF('Data Source'!AC146&gt;=2,"C",IF('Data Source'!AC146&gt;=1,"D","F")))))))</f>
        <v/>
      </c>
      <c r="L146" s="3">
        <f>IF('Data Source'!B146="","",IF('Data Source'!AD146&gt;=5,"A+",IF('Data Source'!AD146&gt;=4,"A",IF('Data Source'!AD146&gt;=3.5,"A-",IF('Data Source'!AD146&gt;=3,"B",IF('Data Source'!AD146&gt;=2,"C",IF('Data Source'!AD146&gt;=1,"D","F")))))))</f>
        <v/>
      </c>
      <c r="M146" s="3">
        <f>IF('Data Source'!B146="","",IF('Data Source'!AE146&gt;=5,"A+",IF('Data Source'!AE146&gt;=4,"A",IF('Data Source'!AE146&gt;=3.5,"A-",IF('Data Source'!AE146&gt;=3,"B",IF('Data Source'!AE146&gt;=2,"C",IF('Data Source'!AE146&gt;=1,"D","F")))))))</f>
        <v/>
      </c>
      <c r="N146" s="3">
        <f>IF('Data Source'!B146="","",IF('Data Source'!AF146&gt;=5,"A+",IF('Data Source'!AF146&gt;=4,"A",IF('Data Source'!AF146&gt;=3.5,"A-",IF('Data Source'!AF146&gt;=3,"B",IF('Data Source'!AF146&gt;=2,"C",IF('Data Source'!AF146&gt;=1,"D","F")))))))</f>
        <v/>
      </c>
      <c r="O146" s="3">
        <f>IF('Data Source'!B146="","",IF('Data Source'!AG146&gt;=5,"A+",IF('Data Source'!AG146&gt;=4,"A",IF('Data Source'!AG146&gt;=3.5,"A-",IF('Data Source'!AG146&gt;=3,"B",IF('Data Source'!AG146&gt;=2,"C",IF('Data Source'!AG146&gt;=1,"D","F")))))))</f>
        <v/>
      </c>
      <c r="P146" s="5">
        <f>IF('Data Source'!B146="","",'Data Source'!R146)</f>
        <v/>
      </c>
      <c r="Q146" s="3">
        <f>IF('Data Source'!B146="","",'Data Source'!S146)</f>
        <v/>
      </c>
    </row>
    <row r="147">
      <c r="A147" s="3">
        <f>IF('Data Source'!B147="","",'Data Source'!A147)</f>
        <v/>
      </c>
      <c r="B147">
        <f>IF('Data Source'!B147="","",'Data Source'!B147)</f>
        <v/>
      </c>
      <c r="C147" s="3">
        <f>IF('Data Source'!B147="","",IF('Data Source'!U147&gt;=5,"A+",IF('Data Source'!U147&gt;=4,"A",IF('Data Source'!U147&gt;=3.5,"A-",IF('Data Source'!U147&gt;=3,"B",IF('Data Source'!U147&gt;=2,"C",IF('Data Source'!U147&gt;=1,"D","F")))))))</f>
        <v/>
      </c>
      <c r="D147" s="3">
        <f>IF('Data Source'!B147="","",IF('Data Source'!V147&gt;=5,"A+",IF('Data Source'!V147&gt;=4,"A",IF('Data Source'!V147&gt;=3.5,"A-",IF('Data Source'!V147&gt;=3,"B",IF('Data Source'!V147&gt;=2,"C",IF('Data Source'!V147&gt;=1,"D","F")))))))</f>
        <v/>
      </c>
      <c r="E147" s="3">
        <f>IF('Data Source'!B147="","",IF('Data Source'!W147&gt;=5,"A+",IF('Data Source'!W147&gt;=4,"A",IF('Data Source'!W147&gt;=3.5,"A-",IF('Data Source'!W147&gt;=3,"B",IF('Data Source'!W147&gt;=2,"C",IF('Data Source'!W147&gt;=1,"D","F")))))))</f>
        <v/>
      </c>
      <c r="F147" s="3">
        <f>IF('Data Source'!B147="","",IF('Data Source'!X147&gt;=5,"A+",IF('Data Source'!X147&gt;=4,"A",IF('Data Source'!X147&gt;=3.5,"A-",IF('Data Source'!X147&gt;=3,"B",IF('Data Source'!X147&gt;=2,"C",IF('Data Source'!X147&gt;=1,"D","F")))))))</f>
        <v/>
      </c>
      <c r="G147" s="3">
        <f>IF('Data Source'!B147="","",IF('Data Source'!Y147&gt;=5,"A+",IF('Data Source'!Y147&gt;=4,"A",IF('Data Source'!Y147&gt;=3.5,"A-",IF('Data Source'!Y147&gt;=3,"B",IF('Data Source'!Y147&gt;=2,"C",IF('Data Source'!Y147&gt;=1,"D","F")))))))</f>
        <v/>
      </c>
      <c r="H147" s="3">
        <f>IF('Data Source'!B147="","",IF('Data Source'!Z147&gt;=5,"A+",IF('Data Source'!Z147&gt;=4,"A",IF('Data Source'!Z147&gt;=3.5,"A-",IF('Data Source'!Z147&gt;=3,"B",IF('Data Source'!Z147&gt;=2,"C",IF('Data Source'!Z147&gt;=1,"D","F")))))))</f>
        <v/>
      </c>
      <c r="I147" s="3">
        <f>IF('Data Source'!B147="","",IF('Data Source'!AA147&gt;=5,"A+",IF('Data Source'!AA147&gt;=4,"A",IF('Data Source'!AA147&gt;=3.5,"A-",IF('Data Source'!AA147&gt;=3,"B",IF('Data Source'!AA147&gt;=2,"C",IF('Data Source'!AA147&gt;=1,"D","F")))))))</f>
        <v/>
      </c>
      <c r="J147" s="3">
        <f>IF('Data Source'!B147="","",IF('Data Source'!AB147&gt;=5,"A+",IF('Data Source'!AB147&gt;=4,"A",IF('Data Source'!AB147&gt;=3.5,"A-",IF('Data Source'!AB147&gt;=3,"B",IF('Data Source'!AB147&gt;=2,"C",IF('Data Source'!AB147&gt;=1,"D","F")))))))</f>
        <v/>
      </c>
      <c r="K147" s="3">
        <f>IF('Data Source'!B147="","",IF('Data Source'!AC147&gt;=5,"A+",IF('Data Source'!AC147&gt;=4,"A",IF('Data Source'!AC147&gt;=3.5,"A-",IF('Data Source'!AC147&gt;=3,"B",IF('Data Source'!AC147&gt;=2,"C",IF('Data Source'!AC147&gt;=1,"D","F")))))))</f>
        <v/>
      </c>
      <c r="L147" s="3">
        <f>IF('Data Source'!B147="","",IF('Data Source'!AD147&gt;=5,"A+",IF('Data Source'!AD147&gt;=4,"A",IF('Data Source'!AD147&gt;=3.5,"A-",IF('Data Source'!AD147&gt;=3,"B",IF('Data Source'!AD147&gt;=2,"C",IF('Data Source'!AD147&gt;=1,"D","F")))))))</f>
        <v/>
      </c>
      <c r="M147" s="3">
        <f>IF('Data Source'!B147="","",IF('Data Source'!AE147&gt;=5,"A+",IF('Data Source'!AE147&gt;=4,"A",IF('Data Source'!AE147&gt;=3.5,"A-",IF('Data Source'!AE147&gt;=3,"B",IF('Data Source'!AE147&gt;=2,"C",IF('Data Source'!AE147&gt;=1,"D","F")))))))</f>
        <v/>
      </c>
      <c r="N147" s="3">
        <f>IF('Data Source'!B147="","",IF('Data Source'!AF147&gt;=5,"A+",IF('Data Source'!AF147&gt;=4,"A",IF('Data Source'!AF147&gt;=3.5,"A-",IF('Data Source'!AF147&gt;=3,"B",IF('Data Source'!AF147&gt;=2,"C",IF('Data Source'!AF147&gt;=1,"D","F")))))))</f>
        <v/>
      </c>
      <c r="O147" s="3">
        <f>IF('Data Source'!B147="","",IF('Data Source'!AG147&gt;=5,"A+",IF('Data Source'!AG147&gt;=4,"A",IF('Data Source'!AG147&gt;=3.5,"A-",IF('Data Source'!AG147&gt;=3,"B",IF('Data Source'!AG147&gt;=2,"C",IF('Data Source'!AG147&gt;=1,"D","F")))))))</f>
        <v/>
      </c>
      <c r="P147" s="5">
        <f>IF('Data Source'!B147="","",'Data Source'!R147)</f>
        <v/>
      </c>
      <c r="Q147" s="3">
        <f>IF('Data Source'!B147="","",'Data Source'!S147)</f>
        <v/>
      </c>
    </row>
    <row r="148">
      <c r="A148" s="3">
        <f>IF('Data Source'!B148="","",'Data Source'!A148)</f>
        <v/>
      </c>
      <c r="B148">
        <f>IF('Data Source'!B148="","",'Data Source'!B148)</f>
        <v/>
      </c>
      <c r="C148" s="3">
        <f>IF('Data Source'!B148="","",IF('Data Source'!U148&gt;=5,"A+",IF('Data Source'!U148&gt;=4,"A",IF('Data Source'!U148&gt;=3.5,"A-",IF('Data Source'!U148&gt;=3,"B",IF('Data Source'!U148&gt;=2,"C",IF('Data Source'!U148&gt;=1,"D","F")))))))</f>
        <v/>
      </c>
      <c r="D148" s="3">
        <f>IF('Data Source'!B148="","",IF('Data Source'!V148&gt;=5,"A+",IF('Data Source'!V148&gt;=4,"A",IF('Data Source'!V148&gt;=3.5,"A-",IF('Data Source'!V148&gt;=3,"B",IF('Data Source'!V148&gt;=2,"C",IF('Data Source'!V148&gt;=1,"D","F")))))))</f>
        <v/>
      </c>
      <c r="E148" s="3">
        <f>IF('Data Source'!B148="","",IF('Data Source'!W148&gt;=5,"A+",IF('Data Source'!W148&gt;=4,"A",IF('Data Source'!W148&gt;=3.5,"A-",IF('Data Source'!W148&gt;=3,"B",IF('Data Source'!W148&gt;=2,"C",IF('Data Source'!W148&gt;=1,"D","F")))))))</f>
        <v/>
      </c>
      <c r="F148" s="3">
        <f>IF('Data Source'!B148="","",IF('Data Source'!X148&gt;=5,"A+",IF('Data Source'!X148&gt;=4,"A",IF('Data Source'!X148&gt;=3.5,"A-",IF('Data Source'!X148&gt;=3,"B",IF('Data Source'!X148&gt;=2,"C",IF('Data Source'!X148&gt;=1,"D","F")))))))</f>
        <v/>
      </c>
      <c r="G148" s="3">
        <f>IF('Data Source'!B148="","",IF('Data Source'!Y148&gt;=5,"A+",IF('Data Source'!Y148&gt;=4,"A",IF('Data Source'!Y148&gt;=3.5,"A-",IF('Data Source'!Y148&gt;=3,"B",IF('Data Source'!Y148&gt;=2,"C",IF('Data Source'!Y148&gt;=1,"D","F")))))))</f>
        <v/>
      </c>
      <c r="H148" s="3">
        <f>IF('Data Source'!B148="","",IF('Data Source'!Z148&gt;=5,"A+",IF('Data Source'!Z148&gt;=4,"A",IF('Data Source'!Z148&gt;=3.5,"A-",IF('Data Source'!Z148&gt;=3,"B",IF('Data Source'!Z148&gt;=2,"C",IF('Data Source'!Z148&gt;=1,"D","F")))))))</f>
        <v/>
      </c>
      <c r="I148" s="3">
        <f>IF('Data Source'!B148="","",IF('Data Source'!AA148&gt;=5,"A+",IF('Data Source'!AA148&gt;=4,"A",IF('Data Source'!AA148&gt;=3.5,"A-",IF('Data Source'!AA148&gt;=3,"B",IF('Data Source'!AA148&gt;=2,"C",IF('Data Source'!AA148&gt;=1,"D","F")))))))</f>
        <v/>
      </c>
      <c r="J148" s="3">
        <f>IF('Data Source'!B148="","",IF('Data Source'!AB148&gt;=5,"A+",IF('Data Source'!AB148&gt;=4,"A",IF('Data Source'!AB148&gt;=3.5,"A-",IF('Data Source'!AB148&gt;=3,"B",IF('Data Source'!AB148&gt;=2,"C",IF('Data Source'!AB148&gt;=1,"D","F")))))))</f>
        <v/>
      </c>
      <c r="K148" s="3">
        <f>IF('Data Source'!B148="","",IF('Data Source'!AC148&gt;=5,"A+",IF('Data Source'!AC148&gt;=4,"A",IF('Data Source'!AC148&gt;=3.5,"A-",IF('Data Source'!AC148&gt;=3,"B",IF('Data Source'!AC148&gt;=2,"C",IF('Data Source'!AC148&gt;=1,"D","F")))))))</f>
        <v/>
      </c>
      <c r="L148" s="3">
        <f>IF('Data Source'!B148="","",IF('Data Source'!AD148&gt;=5,"A+",IF('Data Source'!AD148&gt;=4,"A",IF('Data Source'!AD148&gt;=3.5,"A-",IF('Data Source'!AD148&gt;=3,"B",IF('Data Source'!AD148&gt;=2,"C",IF('Data Source'!AD148&gt;=1,"D","F")))))))</f>
        <v/>
      </c>
      <c r="M148" s="3">
        <f>IF('Data Source'!B148="","",IF('Data Source'!AE148&gt;=5,"A+",IF('Data Source'!AE148&gt;=4,"A",IF('Data Source'!AE148&gt;=3.5,"A-",IF('Data Source'!AE148&gt;=3,"B",IF('Data Source'!AE148&gt;=2,"C",IF('Data Source'!AE148&gt;=1,"D","F")))))))</f>
        <v/>
      </c>
      <c r="N148" s="3">
        <f>IF('Data Source'!B148="","",IF('Data Source'!AF148&gt;=5,"A+",IF('Data Source'!AF148&gt;=4,"A",IF('Data Source'!AF148&gt;=3.5,"A-",IF('Data Source'!AF148&gt;=3,"B",IF('Data Source'!AF148&gt;=2,"C",IF('Data Source'!AF148&gt;=1,"D","F")))))))</f>
        <v/>
      </c>
      <c r="O148" s="3">
        <f>IF('Data Source'!B148="","",IF('Data Source'!AG148&gt;=5,"A+",IF('Data Source'!AG148&gt;=4,"A",IF('Data Source'!AG148&gt;=3.5,"A-",IF('Data Source'!AG148&gt;=3,"B",IF('Data Source'!AG148&gt;=2,"C",IF('Data Source'!AG148&gt;=1,"D","F")))))))</f>
        <v/>
      </c>
      <c r="P148" s="5">
        <f>IF('Data Source'!B148="","",'Data Source'!R148)</f>
        <v/>
      </c>
      <c r="Q148" s="3">
        <f>IF('Data Source'!B148="","",'Data Source'!S148)</f>
        <v/>
      </c>
    </row>
    <row r="149">
      <c r="A149" s="3">
        <f>IF('Data Source'!B149="","",'Data Source'!A149)</f>
        <v/>
      </c>
      <c r="B149">
        <f>IF('Data Source'!B149="","",'Data Source'!B149)</f>
        <v/>
      </c>
      <c r="C149" s="3">
        <f>IF('Data Source'!B149="","",IF('Data Source'!U149&gt;=5,"A+",IF('Data Source'!U149&gt;=4,"A",IF('Data Source'!U149&gt;=3.5,"A-",IF('Data Source'!U149&gt;=3,"B",IF('Data Source'!U149&gt;=2,"C",IF('Data Source'!U149&gt;=1,"D","F")))))))</f>
        <v/>
      </c>
      <c r="D149" s="3">
        <f>IF('Data Source'!B149="","",IF('Data Source'!V149&gt;=5,"A+",IF('Data Source'!V149&gt;=4,"A",IF('Data Source'!V149&gt;=3.5,"A-",IF('Data Source'!V149&gt;=3,"B",IF('Data Source'!V149&gt;=2,"C",IF('Data Source'!V149&gt;=1,"D","F")))))))</f>
        <v/>
      </c>
      <c r="E149" s="3">
        <f>IF('Data Source'!B149="","",IF('Data Source'!W149&gt;=5,"A+",IF('Data Source'!W149&gt;=4,"A",IF('Data Source'!W149&gt;=3.5,"A-",IF('Data Source'!W149&gt;=3,"B",IF('Data Source'!W149&gt;=2,"C",IF('Data Source'!W149&gt;=1,"D","F")))))))</f>
        <v/>
      </c>
      <c r="F149" s="3">
        <f>IF('Data Source'!B149="","",IF('Data Source'!X149&gt;=5,"A+",IF('Data Source'!X149&gt;=4,"A",IF('Data Source'!X149&gt;=3.5,"A-",IF('Data Source'!X149&gt;=3,"B",IF('Data Source'!X149&gt;=2,"C",IF('Data Source'!X149&gt;=1,"D","F")))))))</f>
        <v/>
      </c>
      <c r="G149" s="3">
        <f>IF('Data Source'!B149="","",IF('Data Source'!Y149&gt;=5,"A+",IF('Data Source'!Y149&gt;=4,"A",IF('Data Source'!Y149&gt;=3.5,"A-",IF('Data Source'!Y149&gt;=3,"B",IF('Data Source'!Y149&gt;=2,"C",IF('Data Source'!Y149&gt;=1,"D","F")))))))</f>
        <v/>
      </c>
      <c r="H149" s="3">
        <f>IF('Data Source'!B149="","",IF('Data Source'!Z149&gt;=5,"A+",IF('Data Source'!Z149&gt;=4,"A",IF('Data Source'!Z149&gt;=3.5,"A-",IF('Data Source'!Z149&gt;=3,"B",IF('Data Source'!Z149&gt;=2,"C",IF('Data Source'!Z149&gt;=1,"D","F")))))))</f>
        <v/>
      </c>
      <c r="I149" s="3">
        <f>IF('Data Source'!B149="","",IF('Data Source'!AA149&gt;=5,"A+",IF('Data Source'!AA149&gt;=4,"A",IF('Data Source'!AA149&gt;=3.5,"A-",IF('Data Source'!AA149&gt;=3,"B",IF('Data Source'!AA149&gt;=2,"C",IF('Data Source'!AA149&gt;=1,"D","F")))))))</f>
        <v/>
      </c>
      <c r="J149" s="3">
        <f>IF('Data Source'!B149="","",IF('Data Source'!AB149&gt;=5,"A+",IF('Data Source'!AB149&gt;=4,"A",IF('Data Source'!AB149&gt;=3.5,"A-",IF('Data Source'!AB149&gt;=3,"B",IF('Data Source'!AB149&gt;=2,"C",IF('Data Source'!AB149&gt;=1,"D","F")))))))</f>
        <v/>
      </c>
      <c r="K149" s="3">
        <f>IF('Data Source'!B149="","",IF('Data Source'!AC149&gt;=5,"A+",IF('Data Source'!AC149&gt;=4,"A",IF('Data Source'!AC149&gt;=3.5,"A-",IF('Data Source'!AC149&gt;=3,"B",IF('Data Source'!AC149&gt;=2,"C",IF('Data Source'!AC149&gt;=1,"D","F")))))))</f>
        <v/>
      </c>
      <c r="L149" s="3">
        <f>IF('Data Source'!B149="","",IF('Data Source'!AD149&gt;=5,"A+",IF('Data Source'!AD149&gt;=4,"A",IF('Data Source'!AD149&gt;=3.5,"A-",IF('Data Source'!AD149&gt;=3,"B",IF('Data Source'!AD149&gt;=2,"C",IF('Data Source'!AD149&gt;=1,"D","F")))))))</f>
        <v/>
      </c>
      <c r="M149" s="3">
        <f>IF('Data Source'!B149="","",IF('Data Source'!AE149&gt;=5,"A+",IF('Data Source'!AE149&gt;=4,"A",IF('Data Source'!AE149&gt;=3.5,"A-",IF('Data Source'!AE149&gt;=3,"B",IF('Data Source'!AE149&gt;=2,"C",IF('Data Source'!AE149&gt;=1,"D","F")))))))</f>
        <v/>
      </c>
      <c r="N149" s="3">
        <f>IF('Data Source'!B149="","",IF('Data Source'!AF149&gt;=5,"A+",IF('Data Source'!AF149&gt;=4,"A",IF('Data Source'!AF149&gt;=3.5,"A-",IF('Data Source'!AF149&gt;=3,"B",IF('Data Source'!AF149&gt;=2,"C",IF('Data Source'!AF149&gt;=1,"D","F")))))))</f>
        <v/>
      </c>
      <c r="O149" s="3">
        <f>IF('Data Source'!B149="","",IF('Data Source'!AG149&gt;=5,"A+",IF('Data Source'!AG149&gt;=4,"A",IF('Data Source'!AG149&gt;=3.5,"A-",IF('Data Source'!AG149&gt;=3,"B",IF('Data Source'!AG149&gt;=2,"C",IF('Data Source'!AG149&gt;=1,"D","F")))))))</f>
        <v/>
      </c>
      <c r="P149" s="5">
        <f>IF('Data Source'!B149="","",'Data Source'!R149)</f>
        <v/>
      </c>
      <c r="Q149" s="3">
        <f>IF('Data Source'!B149="","",'Data Source'!S149)</f>
        <v/>
      </c>
    </row>
    <row r="150">
      <c r="A150" s="3">
        <f>IF('Data Source'!B150="","",'Data Source'!A150)</f>
        <v/>
      </c>
      <c r="B150">
        <f>IF('Data Source'!B150="","",'Data Source'!B150)</f>
        <v/>
      </c>
      <c r="C150" s="3">
        <f>IF('Data Source'!B150="","",IF('Data Source'!U150&gt;=5,"A+",IF('Data Source'!U150&gt;=4,"A",IF('Data Source'!U150&gt;=3.5,"A-",IF('Data Source'!U150&gt;=3,"B",IF('Data Source'!U150&gt;=2,"C",IF('Data Source'!U150&gt;=1,"D","F")))))))</f>
        <v/>
      </c>
      <c r="D150" s="3">
        <f>IF('Data Source'!B150="","",IF('Data Source'!V150&gt;=5,"A+",IF('Data Source'!V150&gt;=4,"A",IF('Data Source'!V150&gt;=3.5,"A-",IF('Data Source'!V150&gt;=3,"B",IF('Data Source'!V150&gt;=2,"C",IF('Data Source'!V150&gt;=1,"D","F")))))))</f>
        <v/>
      </c>
      <c r="E150" s="3">
        <f>IF('Data Source'!B150="","",IF('Data Source'!W150&gt;=5,"A+",IF('Data Source'!W150&gt;=4,"A",IF('Data Source'!W150&gt;=3.5,"A-",IF('Data Source'!W150&gt;=3,"B",IF('Data Source'!W150&gt;=2,"C",IF('Data Source'!W150&gt;=1,"D","F")))))))</f>
        <v/>
      </c>
      <c r="F150" s="3">
        <f>IF('Data Source'!B150="","",IF('Data Source'!X150&gt;=5,"A+",IF('Data Source'!X150&gt;=4,"A",IF('Data Source'!X150&gt;=3.5,"A-",IF('Data Source'!X150&gt;=3,"B",IF('Data Source'!X150&gt;=2,"C",IF('Data Source'!X150&gt;=1,"D","F")))))))</f>
        <v/>
      </c>
      <c r="G150" s="3">
        <f>IF('Data Source'!B150="","",IF('Data Source'!Y150&gt;=5,"A+",IF('Data Source'!Y150&gt;=4,"A",IF('Data Source'!Y150&gt;=3.5,"A-",IF('Data Source'!Y150&gt;=3,"B",IF('Data Source'!Y150&gt;=2,"C",IF('Data Source'!Y150&gt;=1,"D","F")))))))</f>
        <v/>
      </c>
      <c r="H150" s="3">
        <f>IF('Data Source'!B150="","",IF('Data Source'!Z150&gt;=5,"A+",IF('Data Source'!Z150&gt;=4,"A",IF('Data Source'!Z150&gt;=3.5,"A-",IF('Data Source'!Z150&gt;=3,"B",IF('Data Source'!Z150&gt;=2,"C",IF('Data Source'!Z150&gt;=1,"D","F")))))))</f>
        <v/>
      </c>
      <c r="I150" s="3">
        <f>IF('Data Source'!B150="","",IF('Data Source'!AA150&gt;=5,"A+",IF('Data Source'!AA150&gt;=4,"A",IF('Data Source'!AA150&gt;=3.5,"A-",IF('Data Source'!AA150&gt;=3,"B",IF('Data Source'!AA150&gt;=2,"C",IF('Data Source'!AA150&gt;=1,"D","F")))))))</f>
        <v/>
      </c>
      <c r="J150" s="3">
        <f>IF('Data Source'!B150="","",IF('Data Source'!AB150&gt;=5,"A+",IF('Data Source'!AB150&gt;=4,"A",IF('Data Source'!AB150&gt;=3.5,"A-",IF('Data Source'!AB150&gt;=3,"B",IF('Data Source'!AB150&gt;=2,"C",IF('Data Source'!AB150&gt;=1,"D","F")))))))</f>
        <v/>
      </c>
      <c r="K150" s="3">
        <f>IF('Data Source'!B150="","",IF('Data Source'!AC150&gt;=5,"A+",IF('Data Source'!AC150&gt;=4,"A",IF('Data Source'!AC150&gt;=3.5,"A-",IF('Data Source'!AC150&gt;=3,"B",IF('Data Source'!AC150&gt;=2,"C",IF('Data Source'!AC150&gt;=1,"D","F")))))))</f>
        <v/>
      </c>
      <c r="L150" s="3">
        <f>IF('Data Source'!B150="","",IF('Data Source'!AD150&gt;=5,"A+",IF('Data Source'!AD150&gt;=4,"A",IF('Data Source'!AD150&gt;=3.5,"A-",IF('Data Source'!AD150&gt;=3,"B",IF('Data Source'!AD150&gt;=2,"C",IF('Data Source'!AD150&gt;=1,"D","F")))))))</f>
        <v/>
      </c>
      <c r="M150" s="3">
        <f>IF('Data Source'!B150="","",IF('Data Source'!AE150&gt;=5,"A+",IF('Data Source'!AE150&gt;=4,"A",IF('Data Source'!AE150&gt;=3.5,"A-",IF('Data Source'!AE150&gt;=3,"B",IF('Data Source'!AE150&gt;=2,"C",IF('Data Source'!AE150&gt;=1,"D","F")))))))</f>
        <v/>
      </c>
      <c r="N150" s="3">
        <f>IF('Data Source'!B150="","",IF('Data Source'!AF150&gt;=5,"A+",IF('Data Source'!AF150&gt;=4,"A",IF('Data Source'!AF150&gt;=3.5,"A-",IF('Data Source'!AF150&gt;=3,"B",IF('Data Source'!AF150&gt;=2,"C",IF('Data Source'!AF150&gt;=1,"D","F")))))))</f>
        <v/>
      </c>
      <c r="O150" s="3">
        <f>IF('Data Source'!B150="","",IF('Data Source'!AG150&gt;=5,"A+",IF('Data Source'!AG150&gt;=4,"A",IF('Data Source'!AG150&gt;=3.5,"A-",IF('Data Source'!AG150&gt;=3,"B",IF('Data Source'!AG150&gt;=2,"C",IF('Data Source'!AG150&gt;=1,"D","F")))))))</f>
        <v/>
      </c>
      <c r="P150" s="5">
        <f>IF('Data Source'!B150="","",'Data Source'!R150)</f>
        <v/>
      </c>
      <c r="Q150" s="3">
        <f>IF('Data Source'!B150="","",'Data Source'!S150)</f>
        <v/>
      </c>
    </row>
    <row r="151">
      <c r="A151" s="3">
        <f>IF('Data Source'!B151="","",'Data Source'!A151)</f>
        <v/>
      </c>
      <c r="B151">
        <f>IF('Data Source'!B151="","",'Data Source'!B151)</f>
        <v/>
      </c>
      <c r="C151" s="3">
        <f>IF('Data Source'!B151="","",IF('Data Source'!U151&gt;=5,"A+",IF('Data Source'!U151&gt;=4,"A",IF('Data Source'!U151&gt;=3.5,"A-",IF('Data Source'!U151&gt;=3,"B",IF('Data Source'!U151&gt;=2,"C",IF('Data Source'!U151&gt;=1,"D","F")))))))</f>
        <v/>
      </c>
      <c r="D151" s="3">
        <f>IF('Data Source'!B151="","",IF('Data Source'!V151&gt;=5,"A+",IF('Data Source'!V151&gt;=4,"A",IF('Data Source'!V151&gt;=3.5,"A-",IF('Data Source'!V151&gt;=3,"B",IF('Data Source'!V151&gt;=2,"C",IF('Data Source'!V151&gt;=1,"D","F")))))))</f>
        <v/>
      </c>
      <c r="E151" s="3">
        <f>IF('Data Source'!B151="","",IF('Data Source'!W151&gt;=5,"A+",IF('Data Source'!W151&gt;=4,"A",IF('Data Source'!W151&gt;=3.5,"A-",IF('Data Source'!W151&gt;=3,"B",IF('Data Source'!W151&gt;=2,"C",IF('Data Source'!W151&gt;=1,"D","F")))))))</f>
        <v/>
      </c>
      <c r="F151" s="3">
        <f>IF('Data Source'!B151="","",IF('Data Source'!X151&gt;=5,"A+",IF('Data Source'!X151&gt;=4,"A",IF('Data Source'!X151&gt;=3.5,"A-",IF('Data Source'!X151&gt;=3,"B",IF('Data Source'!X151&gt;=2,"C",IF('Data Source'!X151&gt;=1,"D","F")))))))</f>
        <v/>
      </c>
      <c r="G151" s="3">
        <f>IF('Data Source'!B151="","",IF('Data Source'!Y151&gt;=5,"A+",IF('Data Source'!Y151&gt;=4,"A",IF('Data Source'!Y151&gt;=3.5,"A-",IF('Data Source'!Y151&gt;=3,"B",IF('Data Source'!Y151&gt;=2,"C",IF('Data Source'!Y151&gt;=1,"D","F")))))))</f>
        <v/>
      </c>
      <c r="H151" s="3">
        <f>IF('Data Source'!B151="","",IF('Data Source'!Z151&gt;=5,"A+",IF('Data Source'!Z151&gt;=4,"A",IF('Data Source'!Z151&gt;=3.5,"A-",IF('Data Source'!Z151&gt;=3,"B",IF('Data Source'!Z151&gt;=2,"C",IF('Data Source'!Z151&gt;=1,"D","F")))))))</f>
        <v/>
      </c>
      <c r="I151" s="3">
        <f>IF('Data Source'!B151="","",IF('Data Source'!AA151&gt;=5,"A+",IF('Data Source'!AA151&gt;=4,"A",IF('Data Source'!AA151&gt;=3.5,"A-",IF('Data Source'!AA151&gt;=3,"B",IF('Data Source'!AA151&gt;=2,"C",IF('Data Source'!AA151&gt;=1,"D","F")))))))</f>
        <v/>
      </c>
      <c r="J151" s="3">
        <f>IF('Data Source'!B151="","",IF('Data Source'!AB151&gt;=5,"A+",IF('Data Source'!AB151&gt;=4,"A",IF('Data Source'!AB151&gt;=3.5,"A-",IF('Data Source'!AB151&gt;=3,"B",IF('Data Source'!AB151&gt;=2,"C",IF('Data Source'!AB151&gt;=1,"D","F")))))))</f>
        <v/>
      </c>
      <c r="K151" s="3">
        <f>IF('Data Source'!B151="","",IF('Data Source'!AC151&gt;=5,"A+",IF('Data Source'!AC151&gt;=4,"A",IF('Data Source'!AC151&gt;=3.5,"A-",IF('Data Source'!AC151&gt;=3,"B",IF('Data Source'!AC151&gt;=2,"C",IF('Data Source'!AC151&gt;=1,"D","F")))))))</f>
        <v/>
      </c>
      <c r="L151" s="3">
        <f>IF('Data Source'!B151="","",IF('Data Source'!AD151&gt;=5,"A+",IF('Data Source'!AD151&gt;=4,"A",IF('Data Source'!AD151&gt;=3.5,"A-",IF('Data Source'!AD151&gt;=3,"B",IF('Data Source'!AD151&gt;=2,"C",IF('Data Source'!AD151&gt;=1,"D","F")))))))</f>
        <v/>
      </c>
      <c r="M151" s="3">
        <f>IF('Data Source'!B151="","",IF('Data Source'!AE151&gt;=5,"A+",IF('Data Source'!AE151&gt;=4,"A",IF('Data Source'!AE151&gt;=3.5,"A-",IF('Data Source'!AE151&gt;=3,"B",IF('Data Source'!AE151&gt;=2,"C",IF('Data Source'!AE151&gt;=1,"D","F")))))))</f>
        <v/>
      </c>
      <c r="N151" s="3">
        <f>IF('Data Source'!B151="","",IF('Data Source'!AF151&gt;=5,"A+",IF('Data Source'!AF151&gt;=4,"A",IF('Data Source'!AF151&gt;=3.5,"A-",IF('Data Source'!AF151&gt;=3,"B",IF('Data Source'!AF151&gt;=2,"C",IF('Data Source'!AF151&gt;=1,"D","F")))))))</f>
        <v/>
      </c>
      <c r="O151" s="3">
        <f>IF('Data Source'!B151="","",IF('Data Source'!AG151&gt;=5,"A+",IF('Data Source'!AG151&gt;=4,"A",IF('Data Source'!AG151&gt;=3.5,"A-",IF('Data Source'!AG151&gt;=3,"B",IF('Data Source'!AG151&gt;=2,"C",IF('Data Source'!AG151&gt;=1,"D","F")))))))</f>
        <v/>
      </c>
      <c r="P151" s="5">
        <f>IF('Data Source'!B151="","",'Data Source'!R151)</f>
        <v/>
      </c>
      <c r="Q151" s="3">
        <f>IF('Data Source'!B151="","",'Data Source'!S151)</f>
        <v/>
      </c>
    </row>
    <row r="152">
      <c r="A152" s="3">
        <f>IF('Data Source'!B152="","",'Data Source'!A152)</f>
        <v/>
      </c>
      <c r="B152">
        <f>IF('Data Source'!B152="","",'Data Source'!B152)</f>
        <v/>
      </c>
      <c r="C152" s="3">
        <f>IF('Data Source'!B152="","",IF('Data Source'!U152&gt;=5,"A+",IF('Data Source'!U152&gt;=4,"A",IF('Data Source'!U152&gt;=3.5,"A-",IF('Data Source'!U152&gt;=3,"B",IF('Data Source'!U152&gt;=2,"C",IF('Data Source'!U152&gt;=1,"D","F")))))))</f>
        <v/>
      </c>
      <c r="D152" s="3">
        <f>IF('Data Source'!B152="","",IF('Data Source'!V152&gt;=5,"A+",IF('Data Source'!V152&gt;=4,"A",IF('Data Source'!V152&gt;=3.5,"A-",IF('Data Source'!V152&gt;=3,"B",IF('Data Source'!V152&gt;=2,"C",IF('Data Source'!V152&gt;=1,"D","F")))))))</f>
        <v/>
      </c>
      <c r="E152" s="3">
        <f>IF('Data Source'!B152="","",IF('Data Source'!W152&gt;=5,"A+",IF('Data Source'!W152&gt;=4,"A",IF('Data Source'!W152&gt;=3.5,"A-",IF('Data Source'!W152&gt;=3,"B",IF('Data Source'!W152&gt;=2,"C",IF('Data Source'!W152&gt;=1,"D","F")))))))</f>
        <v/>
      </c>
      <c r="F152" s="3">
        <f>IF('Data Source'!B152="","",IF('Data Source'!X152&gt;=5,"A+",IF('Data Source'!X152&gt;=4,"A",IF('Data Source'!X152&gt;=3.5,"A-",IF('Data Source'!X152&gt;=3,"B",IF('Data Source'!X152&gt;=2,"C",IF('Data Source'!X152&gt;=1,"D","F")))))))</f>
        <v/>
      </c>
      <c r="G152" s="3">
        <f>IF('Data Source'!B152="","",IF('Data Source'!Y152&gt;=5,"A+",IF('Data Source'!Y152&gt;=4,"A",IF('Data Source'!Y152&gt;=3.5,"A-",IF('Data Source'!Y152&gt;=3,"B",IF('Data Source'!Y152&gt;=2,"C",IF('Data Source'!Y152&gt;=1,"D","F")))))))</f>
        <v/>
      </c>
      <c r="H152" s="3">
        <f>IF('Data Source'!B152="","",IF('Data Source'!Z152&gt;=5,"A+",IF('Data Source'!Z152&gt;=4,"A",IF('Data Source'!Z152&gt;=3.5,"A-",IF('Data Source'!Z152&gt;=3,"B",IF('Data Source'!Z152&gt;=2,"C",IF('Data Source'!Z152&gt;=1,"D","F")))))))</f>
        <v/>
      </c>
      <c r="I152" s="3">
        <f>IF('Data Source'!B152="","",IF('Data Source'!AA152&gt;=5,"A+",IF('Data Source'!AA152&gt;=4,"A",IF('Data Source'!AA152&gt;=3.5,"A-",IF('Data Source'!AA152&gt;=3,"B",IF('Data Source'!AA152&gt;=2,"C",IF('Data Source'!AA152&gt;=1,"D","F")))))))</f>
        <v/>
      </c>
      <c r="J152" s="3">
        <f>IF('Data Source'!B152="","",IF('Data Source'!AB152&gt;=5,"A+",IF('Data Source'!AB152&gt;=4,"A",IF('Data Source'!AB152&gt;=3.5,"A-",IF('Data Source'!AB152&gt;=3,"B",IF('Data Source'!AB152&gt;=2,"C",IF('Data Source'!AB152&gt;=1,"D","F")))))))</f>
        <v/>
      </c>
      <c r="K152" s="3">
        <f>IF('Data Source'!B152="","",IF('Data Source'!AC152&gt;=5,"A+",IF('Data Source'!AC152&gt;=4,"A",IF('Data Source'!AC152&gt;=3.5,"A-",IF('Data Source'!AC152&gt;=3,"B",IF('Data Source'!AC152&gt;=2,"C",IF('Data Source'!AC152&gt;=1,"D","F")))))))</f>
        <v/>
      </c>
      <c r="L152" s="3">
        <f>IF('Data Source'!B152="","",IF('Data Source'!AD152&gt;=5,"A+",IF('Data Source'!AD152&gt;=4,"A",IF('Data Source'!AD152&gt;=3.5,"A-",IF('Data Source'!AD152&gt;=3,"B",IF('Data Source'!AD152&gt;=2,"C",IF('Data Source'!AD152&gt;=1,"D","F")))))))</f>
        <v/>
      </c>
      <c r="M152" s="3">
        <f>IF('Data Source'!B152="","",IF('Data Source'!AE152&gt;=5,"A+",IF('Data Source'!AE152&gt;=4,"A",IF('Data Source'!AE152&gt;=3.5,"A-",IF('Data Source'!AE152&gt;=3,"B",IF('Data Source'!AE152&gt;=2,"C",IF('Data Source'!AE152&gt;=1,"D","F")))))))</f>
        <v/>
      </c>
      <c r="N152" s="3">
        <f>IF('Data Source'!B152="","",IF('Data Source'!AF152&gt;=5,"A+",IF('Data Source'!AF152&gt;=4,"A",IF('Data Source'!AF152&gt;=3.5,"A-",IF('Data Source'!AF152&gt;=3,"B",IF('Data Source'!AF152&gt;=2,"C",IF('Data Source'!AF152&gt;=1,"D","F")))))))</f>
        <v/>
      </c>
      <c r="O152" s="3">
        <f>IF('Data Source'!B152="","",IF('Data Source'!AG152&gt;=5,"A+",IF('Data Source'!AG152&gt;=4,"A",IF('Data Source'!AG152&gt;=3.5,"A-",IF('Data Source'!AG152&gt;=3,"B",IF('Data Source'!AG152&gt;=2,"C",IF('Data Source'!AG152&gt;=1,"D","F")))))))</f>
        <v/>
      </c>
      <c r="P152" s="5">
        <f>IF('Data Source'!B152="","",'Data Source'!R152)</f>
        <v/>
      </c>
      <c r="Q152" s="3">
        <f>IF('Data Source'!B152="","",'Data Source'!S152)</f>
        <v/>
      </c>
    </row>
    <row r="153">
      <c r="A153" s="3">
        <f>IF('Data Source'!B153="","",'Data Source'!A153)</f>
        <v/>
      </c>
      <c r="B153">
        <f>IF('Data Source'!B153="","",'Data Source'!B153)</f>
        <v/>
      </c>
      <c r="C153" s="3">
        <f>IF('Data Source'!B153="","",IF('Data Source'!U153&gt;=5,"A+",IF('Data Source'!U153&gt;=4,"A",IF('Data Source'!U153&gt;=3.5,"A-",IF('Data Source'!U153&gt;=3,"B",IF('Data Source'!U153&gt;=2,"C",IF('Data Source'!U153&gt;=1,"D","F")))))))</f>
        <v/>
      </c>
      <c r="D153" s="3">
        <f>IF('Data Source'!B153="","",IF('Data Source'!V153&gt;=5,"A+",IF('Data Source'!V153&gt;=4,"A",IF('Data Source'!V153&gt;=3.5,"A-",IF('Data Source'!V153&gt;=3,"B",IF('Data Source'!V153&gt;=2,"C",IF('Data Source'!V153&gt;=1,"D","F")))))))</f>
        <v/>
      </c>
      <c r="E153" s="3">
        <f>IF('Data Source'!B153="","",IF('Data Source'!W153&gt;=5,"A+",IF('Data Source'!W153&gt;=4,"A",IF('Data Source'!W153&gt;=3.5,"A-",IF('Data Source'!W153&gt;=3,"B",IF('Data Source'!W153&gt;=2,"C",IF('Data Source'!W153&gt;=1,"D","F")))))))</f>
        <v/>
      </c>
      <c r="F153" s="3">
        <f>IF('Data Source'!B153="","",IF('Data Source'!X153&gt;=5,"A+",IF('Data Source'!X153&gt;=4,"A",IF('Data Source'!X153&gt;=3.5,"A-",IF('Data Source'!X153&gt;=3,"B",IF('Data Source'!X153&gt;=2,"C",IF('Data Source'!X153&gt;=1,"D","F")))))))</f>
        <v/>
      </c>
      <c r="G153" s="3">
        <f>IF('Data Source'!B153="","",IF('Data Source'!Y153&gt;=5,"A+",IF('Data Source'!Y153&gt;=4,"A",IF('Data Source'!Y153&gt;=3.5,"A-",IF('Data Source'!Y153&gt;=3,"B",IF('Data Source'!Y153&gt;=2,"C",IF('Data Source'!Y153&gt;=1,"D","F")))))))</f>
        <v/>
      </c>
      <c r="H153" s="3">
        <f>IF('Data Source'!B153="","",IF('Data Source'!Z153&gt;=5,"A+",IF('Data Source'!Z153&gt;=4,"A",IF('Data Source'!Z153&gt;=3.5,"A-",IF('Data Source'!Z153&gt;=3,"B",IF('Data Source'!Z153&gt;=2,"C",IF('Data Source'!Z153&gt;=1,"D","F")))))))</f>
        <v/>
      </c>
      <c r="I153" s="3">
        <f>IF('Data Source'!B153="","",IF('Data Source'!AA153&gt;=5,"A+",IF('Data Source'!AA153&gt;=4,"A",IF('Data Source'!AA153&gt;=3.5,"A-",IF('Data Source'!AA153&gt;=3,"B",IF('Data Source'!AA153&gt;=2,"C",IF('Data Source'!AA153&gt;=1,"D","F")))))))</f>
        <v/>
      </c>
      <c r="J153" s="3">
        <f>IF('Data Source'!B153="","",IF('Data Source'!AB153&gt;=5,"A+",IF('Data Source'!AB153&gt;=4,"A",IF('Data Source'!AB153&gt;=3.5,"A-",IF('Data Source'!AB153&gt;=3,"B",IF('Data Source'!AB153&gt;=2,"C",IF('Data Source'!AB153&gt;=1,"D","F")))))))</f>
        <v/>
      </c>
      <c r="K153" s="3">
        <f>IF('Data Source'!B153="","",IF('Data Source'!AC153&gt;=5,"A+",IF('Data Source'!AC153&gt;=4,"A",IF('Data Source'!AC153&gt;=3.5,"A-",IF('Data Source'!AC153&gt;=3,"B",IF('Data Source'!AC153&gt;=2,"C",IF('Data Source'!AC153&gt;=1,"D","F")))))))</f>
        <v/>
      </c>
      <c r="L153" s="3">
        <f>IF('Data Source'!B153="","",IF('Data Source'!AD153&gt;=5,"A+",IF('Data Source'!AD153&gt;=4,"A",IF('Data Source'!AD153&gt;=3.5,"A-",IF('Data Source'!AD153&gt;=3,"B",IF('Data Source'!AD153&gt;=2,"C",IF('Data Source'!AD153&gt;=1,"D","F")))))))</f>
        <v/>
      </c>
      <c r="M153" s="3">
        <f>IF('Data Source'!B153="","",IF('Data Source'!AE153&gt;=5,"A+",IF('Data Source'!AE153&gt;=4,"A",IF('Data Source'!AE153&gt;=3.5,"A-",IF('Data Source'!AE153&gt;=3,"B",IF('Data Source'!AE153&gt;=2,"C",IF('Data Source'!AE153&gt;=1,"D","F")))))))</f>
        <v/>
      </c>
      <c r="N153" s="3">
        <f>IF('Data Source'!B153="","",IF('Data Source'!AF153&gt;=5,"A+",IF('Data Source'!AF153&gt;=4,"A",IF('Data Source'!AF153&gt;=3.5,"A-",IF('Data Source'!AF153&gt;=3,"B",IF('Data Source'!AF153&gt;=2,"C",IF('Data Source'!AF153&gt;=1,"D","F")))))))</f>
        <v/>
      </c>
      <c r="O153" s="3">
        <f>IF('Data Source'!B153="","",IF('Data Source'!AG153&gt;=5,"A+",IF('Data Source'!AG153&gt;=4,"A",IF('Data Source'!AG153&gt;=3.5,"A-",IF('Data Source'!AG153&gt;=3,"B",IF('Data Source'!AG153&gt;=2,"C",IF('Data Source'!AG153&gt;=1,"D","F")))))))</f>
        <v/>
      </c>
      <c r="P153" s="5">
        <f>IF('Data Source'!B153="","",'Data Source'!R153)</f>
        <v/>
      </c>
      <c r="Q153" s="3">
        <f>IF('Data Source'!B153="","",'Data Source'!S153)</f>
        <v/>
      </c>
    </row>
    <row r="154">
      <c r="A154" s="3">
        <f>IF('Data Source'!B154="","",'Data Source'!A154)</f>
        <v/>
      </c>
      <c r="B154">
        <f>IF('Data Source'!B154="","",'Data Source'!B154)</f>
        <v/>
      </c>
      <c r="C154" s="3">
        <f>IF('Data Source'!B154="","",IF('Data Source'!U154&gt;=5,"A+",IF('Data Source'!U154&gt;=4,"A",IF('Data Source'!U154&gt;=3.5,"A-",IF('Data Source'!U154&gt;=3,"B",IF('Data Source'!U154&gt;=2,"C",IF('Data Source'!U154&gt;=1,"D","F")))))))</f>
        <v/>
      </c>
      <c r="D154" s="3">
        <f>IF('Data Source'!B154="","",IF('Data Source'!V154&gt;=5,"A+",IF('Data Source'!V154&gt;=4,"A",IF('Data Source'!V154&gt;=3.5,"A-",IF('Data Source'!V154&gt;=3,"B",IF('Data Source'!V154&gt;=2,"C",IF('Data Source'!V154&gt;=1,"D","F")))))))</f>
        <v/>
      </c>
      <c r="E154" s="3">
        <f>IF('Data Source'!B154="","",IF('Data Source'!W154&gt;=5,"A+",IF('Data Source'!W154&gt;=4,"A",IF('Data Source'!W154&gt;=3.5,"A-",IF('Data Source'!W154&gt;=3,"B",IF('Data Source'!W154&gt;=2,"C",IF('Data Source'!W154&gt;=1,"D","F")))))))</f>
        <v/>
      </c>
      <c r="F154" s="3">
        <f>IF('Data Source'!B154="","",IF('Data Source'!X154&gt;=5,"A+",IF('Data Source'!X154&gt;=4,"A",IF('Data Source'!X154&gt;=3.5,"A-",IF('Data Source'!X154&gt;=3,"B",IF('Data Source'!X154&gt;=2,"C",IF('Data Source'!X154&gt;=1,"D","F")))))))</f>
        <v/>
      </c>
      <c r="G154" s="3">
        <f>IF('Data Source'!B154="","",IF('Data Source'!Y154&gt;=5,"A+",IF('Data Source'!Y154&gt;=4,"A",IF('Data Source'!Y154&gt;=3.5,"A-",IF('Data Source'!Y154&gt;=3,"B",IF('Data Source'!Y154&gt;=2,"C",IF('Data Source'!Y154&gt;=1,"D","F")))))))</f>
        <v/>
      </c>
      <c r="H154" s="3">
        <f>IF('Data Source'!B154="","",IF('Data Source'!Z154&gt;=5,"A+",IF('Data Source'!Z154&gt;=4,"A",IF('Data Source'!Z154&gt;=3.5,"A-",IF('Data Source'!Z154&gt;=3,"B",IF('Data Source'!Z154&gt;=2,"C",IF('Data Source'!Z154&gt;=1,"D","F")))))))</f>
        <v/>
      </c>
      <c r="I154" s="3">
        <f>IF('Data Source'!B154="","",IF('Data Source'!AA154&gt;=5,"A+",IF('Data Source'!AA154&gt;=4,"A",IF('Data Source'!AA154&gt;=3.5,"A-",IF('Data Source'!AA154&gt;=3,"B",IF('Data Source'!AA154&gt;=2,"C",IF('Data Source'!AA154&gt;=1,"D","F")))))))</f>
        <v/>
      </c>
      <c r="J154" s="3">
        <f>IF('Data Source'!B154="","",IF('Data Source'!AB154&gt;=5,"A+",IF('Data Source'!AB154&gt;=4,"A",IF('Data Source'!AB154&gt;=3.5,"A-",IF('Data Source'!AB154&gt;=3,"B",IF('Data Source'!AB154&gt;=2,"C",IF('Data Source'!AB154&gt;=1,"D","F")))))))</f>
        <v/>
      </c>
      <c r="K154" s="3">
        <f>IF('Data Source'!B154="","",IF('Data Source'!AC154&gt;=5,"A+",IF('Data Source'!AC154&gt;=4,"A",IF('Data Source'!AC154&gt;=3.5,"A-",IF('Data Source'!AC154&gt;=3,"B",IF('Data Source'!AC154&gt;=2,"C",IF('Data Source'!AC154&gt;=1,"D","F")))))))</f>
        <v/>
      </c>
      <c r="L154" s="3">
        <f>IF('Data Source'!B154="","",IF('Data Source'!AD154&gt;=5,"A+",IF('Data Source'!AD154&gt;=4,"A",IF('Data Source'!AD154&gt;=3.5,"A-",IF('Data Source'!AD154&gt;=3,"B",IF('Data Source'!AD154&gt;=2,"C",IF('Data Source'!AD154&gt;=1,"D","F")))))))</f>
        <v/>
      </c>
      <c r="M154" s="3">
        <f>IF('Data Source'!B154="","",IF('Data Source'!AE154&gt;=5,"A+",IF('Data Source'!AE154&gt;=4,"A",IF('Data Source'!AE154&gt;=3.5,"A-",IF('Data Source'!AE154&gt;=3,"B",IF('Data Source'!AE154&gt;=2,"C",IF('Data Source'!AE154&gt;=1,"D","F")))))))</f>
        <v/>
      </c>
      <c r="N154" s="3">
        <f>IF('Data Source'!B154="","",IF('Data Source'!AF154&gt;=5,"A+",IF('Data Source'!AF154&gt;=4,"A",IF('Data Source'!AF154&gt;=3.5,"A-",IF('Data Source'!AF154&gt;=3,"B",IF('Data Source'!AF154&gt;=2,"C",IF('Data Source'!AF154&gt;=1,"D","F")))))))</f>
        <v/>
      </c>
      <c r="O154" s="3">
        <f>IF('Data Source'!B154="","",IF('Data Source'!AG154&gt;=5,"A+",IF('Data Source'!AG154&gt;=4,"A",IF('Data Source'!AG154&gt;=3.5,"A-",IF('Data Source'!AG154&gt;=3,"B",IF('Data Source'!AG154&gt;=2,"C",IF('Data Source'!AG154&gt;=1,"D","F")))))))</f>
        <v/>
      </c>
      <c r="P154" s="5">
        <f>IF('Data Source'!B154="","",'Data Source'!R154)</f>
        <v/>
      </c>
      <c r="Q154" s="3">
        <f>IF('Data Source'!B154="","",'Data Source'!S154)</f>
        <v/>
      </c>
    </row>
    <row r="155">
      <c r="A155" s="3">
        <f>IF('Data Source'!B155="","",'Data Source'!A155)</f>
        <v/>
      </c>
      <c r="B155">
        <f>IF('Data Source'!B155="","",'Data Source'!B155)</f>
        <v/>
      </c>
      <c r="C155" s="3">
        <f>IF('Data Source'!B155="","",IF('Data Source'!U155&gt;=5,"A+",IF('Data Source'!U155&gt;=4,"A",IF('Data Source'!U155&gt;=3.5,"A-",IF('Data Source'!U155&gt;=3,"B",IF('Data Source'!U155&gt;=2,"C",IF('Data Source'!U155&gt;=1,"D","F")))))))</f>
        <v/>
      </c>
      <c r="D155" s="3">
        <f>IF('Data Source'!B155="","",IF('Data Source'!V155&gt;=5,"A+",IF('Data Source'!V155&gt;=4,"A",IF('Data Source'!V155&gt;=3.5,"A-",IF('Data Source'!V155&gt;=3,"B",IF('Data Source'!V155&gt;=2,"C",IF('Data Source'!V155&gt;=1,"D","F")))))))</f>
        <v/>
      </c>
      <c r="E155" s="3">
        <f>IF('Data Source'!B155="","",IF('Data Source'!W155&gt;=5,"A+",IF('Data Source'!W155&gt;=4,"A",IF('Data Source'!W155&gt;=3.5,"A-",IF('Data Source'!W155&gt;=3,"B",IF('Data Source'!W155&gt;=2,"C",IF('Data Source'!W155&gt;=1,"D","F")))))))</f>
        <v/>
      </c>
      <c r="F155" s="3">
        <f>IF('Data Source'!B155="","",IF('Data Source'!X155&gt;=5,"A+",IF('Data Source'!X155&gt;=4,"A",IF('Data Source'!X155&gt;=3.5,"A-",IF('Data Source'!X155&gt;=3,"B",IF('Data Source'!X155&gt;=2,"C",IF('Data Source'!X155&gt;=1,"D","F")))))))</f>
        <v/>
      </c>
      <c r="G155" s="3">
        <f>IF('Data Source'!B155="","",IF('Data Source'!Y155&gt;=5,"A+",IF('Data Source'!Y155&gt;=4,"A",IF('Data Source'!Y155&gt;=3.5,"A-",IF('Data Source'!Y155&gt;=3,"B",IF('Data Source'!Y155&gt;=2,"C",IF('Data Source'!Y155&gt;=1,"D","F")))))))</f>
        <v/>
      </c>
      <c r="H155" s="3">
        <f>IF('Data Source'!B155="","",IF('Data Source'!Z155&gt;=5,"A+",IF('Data Source'!Z155&gt;=4,"A",IF('Data Source'!Z155&gt;=3.5,"A-",IF('Data Source'!Z155&gt;=3,"B",IF('Data Source'!Z155&gt;=2,"C",IF('Data Source'!Z155&gt;=1,"D","F")))))))</f>
        <v/>
      </c>
      <c r="I155" s="3">
        <f>IF('Data Source'!B155="","",IF('Data Source'!AA155&gt;=5,"A+",IF('Data Source'!AA155&gt;=4,"A",IF('Data Source'!AA155&gt;=3.5,"A-",IF('Data Source'!AA155&gt;=3,"B",IF('Data Source'!AA155&gt;=2,"C",IF('Data Source'!AA155&gt;=1,"D","F")))))))</f>
        <v/>
      </c>
      <c r="J155" s="3">
        <f>IF('Data Source'!B155="","",IF('Data Source'!AB155&gt;=5,"A+",IF('Data Source'!AB155&gt;=4,"A",IF('Data Source'!AB155&gt;=3.5,"A-",IF('Data Source'!AB155&gt;=3,"B",IF('Data Source'!AB155&gt;=2,"C",IF('Data Source'!AB155&gt;=1,"D","F")))))))</f>
        <v/>
      </c>
      <c r="K155" s="3">
        <f>IF('Data Source'!B155="","",IF('Data Source'!AC155&gt;=5,"A+",IF('Data Source'!AC155&gt;=4,"A",IF('Data Source'!AC155&gt;=3.5,"A-",IF('Data Source'!AC155&gt;=3,"B",IF('Data Source'!AC155&gt;=2,"C",IF('Data Source'!AC155&gt;=1,"D","F")))))))</f>
        <v/>
      </c>
      <c r="L155" s="3">
        <f>IF('Data Source'!B155="","",IF('Data Source'!AD155&gt;=5,"A+",IF('Data Source'!AD155&gt;=4,"A",IF('Data Source'!AD155&gt;=3.5,"A-",IF('Data Source'!AD155&gt;=3,"B",IF('Data Source'!AD155&gt;=2,"C",IF('Data Source'!AD155&gt;=1,"D","F")))))))</f>
        <v/>
      </c>
      <c r="M155" s="3">
        <f>IF('Data Source'!B155="","",IF('Data Source'!AE155&gt;=5,"A+",IF('Data Source'!AE155&gt;=4,"A",IF('Data Source'!AE155&gt;=3.5,"A-",IF('Data Source'!AE155&gt;=3,"B",IF('Data Source'!AE155&gt;=2,"C",IF('Data Source'!AE155&gt;=1,"D","F")))))))</f>
        <v/>
      </c>
      <c r="N155" s="3">
        <f>IF('Data Source'!B155="","",IF('Data Source'!AF155&gt;=5,"A+",IF('Data Source'!AF155&gt;=4,"A",IF('Data Source'!AF155&gt;=3.5,"A-",IF('Data Source'!AF155&gt;=3,"B",IF('Data Source'!AF155&gt;=2,"C",IF('Data Source'!AF155&gt;=1,"D","F")))))))</f>
        <v/>
      </c>
      <c r="O155" s="3">
        <f>IF('Data Source'!B155="","",IF('Data Source'!AG155&gt;=5,"A+",IF('Data Source'!AG155&gt;=4,"A",IF('Data Source'!AG155&gt;=3.5,"A-",IF('Data Source'!AG155&gt;=3,"B",IF('Data Source'!AG155&gt;=2,"C",IF('Data Source'!AG155&gt;=1,"D","F")))))))</f>
        <v/>
      </c>
      <c r="P155" s="5">
        <f>IF('Data Source'!B155="","",'Data Source'!R155)</f>
        <v/>
      </c>
      <c r="Q155" s="3">
        <f>IF('Data Source'!B155="","",'Data Source'!S155)</f>
        <v/>
      </c>
    </row>
    <row r="156">
      <c r="A156" s="3">
        <f>IF('Data Source'!B156="","",'Data Source'!A156)</f>
        <v/>
      </c>
      <c r="B156">
        <f>IF('Data Source'!B156="","",'Data Source'!B156)</f>
        <v/>
      </c>
      <c r="C156" s="3">
        <f>IF('Data Source'!B156="","",IF('Data Source'!U156&gt;=5,"A+",IF('Data Source'!U156&gt;=4,"A",IF('Data Source'!U156&gt;=3.5,"A-",IF('Data Source'!U156&gt;=3,"B",IF('Data Source'!U156&gt;=2,"C",IF('Data Source'!U156&gt;=1,"D","F")))))))</f>
        <v/>
      </c>
      <c r="D156" s="3">
        <f>IF('Data Source'!B156="","",IF('Data Source'!V156&gt;=5,"A+",IF('Data Source'!V156&gt;=4,"A",IF('Data Source'!V156&gt;=3.5,"A-",IF('Data Source'!V156&gt;=3,"B",IF('Data Source'!V156&gt;=2,"C",IF('Data Source'!V156&gt;=1,"D","F")))))))</f>
        <v/>
      </c>
      <c r="E156" s="3">
        <f>IF('Data Source'!B156="","",IF('Data Source'!W156&gt;=5,"A+",IF('Data Source'!W156&gt;=4,"A",IF('Data Source'!W156&gt;=3.5,"A-",IF('Data Source'!W156&gt;=3,"B",IF('Data Source'!W156&gt;=2,"C",IF('Data Source'!W156&gt;=1,"D","F")))))))</f>
        <v/>
      </c>
      <c r="F156" s="3">
        <f>IF('Data Source'!B156="","",IF('Data Source'!X156&gt;=5,"A+",IF('Data Source'!X156&gt;=4,"A",IF('Data Source'!X156&gt;=3.5,"A-",IF('Data Source'!X156&gt;=3,"B",IF('Data Source'!X156&gt;=2,"C",IF('Data Source'!X156&gt;=1,"D","F")))))))</f>
        <v/>
      </c>
      <c r="G156" s="3">
        <f>IF('Data Source'!B156="","",IF('Data Source'!Y156&gt;=5,"A+",IF('Data Source'!Y156&gt;=4,"A",IF('Data Source'!Y156&gt;=3.5,"A-",IF('Data Source'!Y156&gt;=3,"B",IF('Data Source'!Y156&gt;=2,"C",IF('Data Source'!Y156&gt;=1,"D","F")))))))</f>
        <v/>
      </c>
      <c r="H156" s="3">
        <f>IF('Data Source'!B156="","",IF('Data Source'!Z156&gt;=5,"A+",IF('Data Source'!Z156&gt;=4,"A",IF('Data Source'!Z156&gt;=3.5,"A-",IF('Data Source'!Z156&gt;=3,"B",IF('Data Source'!Z156&gt;=2,"C",IF('Data Source'!Z156&gt;=1,"D","F")))))))</f>
        <v/>
      </c>
      <c r="I156" s="3">
        <f>IF('Data Source'!B156="","",IF('Data Source'!AA156&gt;=5,"A+",IF('Data Source'!AA156&gt;=4,"A",IF('Data Source'!AA156&gt;=3.5,"A-",IF('Data Source'!AA156&gt;=3,"B",IF('Data Source'!AA156&gt;=2,"C",IF('Data Source'!AA156&gt;=1,"D","F")))))))</f>
        <v/>
      </c>
      <c r="J156" s="3">
        <f>IF('Data Source'!B156="","",IF('Data Source'!AB156&gt;=5,"A+",IF('Data Source'!AB156&gt;=4,"A",IF('Data Source'!AB156&gt;=3.5,"A-",IF('Data Source'!AB156&gt;=3,"B",IF('Data Source'!AB156&gt;=2,"C",IF('Data Source'!AB156&gt;=1,"D","F")))))))</f>
        <v/>
      </c>
      <c r="K156" s="3">
        <f>IF('Data Source'!B156="","",IF('Data Source'!AC156&gt;=5,"A+",IF('Data Source'!AC156&gt;=4,"A",IF('Data Source'!AC156&gt;=3.5,"A-",IF('Data Source'!AC156&gt;=3,"B",IF('Data Source'!AC156&gt;=2,"C",IF('Data Source'!AC156&gt;=1,"D","F")))))))</f>
        <v/>
      </c>
      <c r="L156" s="3">
        <f>IF('Data Source'!B156="","",IF('Data Source'!AD156&gt;=5,"A+",IF('Data Source'!AD156&gt;=4,"A",IF('Data Source'!AD156&gt;=3.5,"A-",IF('Data Source'!AD156&gt;=3,"B",IF('Data Source'!AD156&gt;=2,"C",IF('Data Source'!AD156&gt;=1,"D","F")))))))</f>
        <v/>
      </c>
      <c r="M156" s="3">
        <f>IF('Data Source'!B156="","",IF('Data Source'!AE156&gt;=5,"A+",IF('Data Source'!AE156&gt;=4,"A",IF('Data Source'!AE156&gt;=3.5,"A-",IF('Data Source'!AE156&gt;=3,"B",IF('Data Source'!AE156&gt;=2,"C",IF('Data Source'!AE156&gt;=1,"D","F")))))))</f>
        <v/>
      </c>
      <c r="N156" s="3">
        <f>IF('Data Source'!B156="","",IF('Data Source'!AF156&gt;=5,"A+",IF('Data Source'!AF156&gt;=4,"A",IF('Data Source'!AF156&gt;=3.5,"A-",IF('Data Source'!AF156&gt;=3,"B",IF('Data Source'!AF156&gt;=2,"C",IF('Data Source'!AF156&gt;=1,"D","F")))))))</f>
        <v/>
      </c>
      <c r="O156" s="3">
        <f>IF('Data Source'!B156="","",IF('Data Source'!AG156&gt;=5,"A+",IF('Data Source'!AG156&gt;=4,"A",IF('Data Source'!AG156&gt;=3.5,"A-",IF('Data Source'!AG156&gt;=3,"B",IF('Data Source'!AG156&gt;=2,"C",IF('Data Source'!AG156&gt;=1,"D","F")))))))</f>
        <v/>
      </c>
      <c r="P156" s="5">
        <f>IF('Data Source'!B156="","",'Data Source'!R156)</f>
        <v/>
      </c>
      <c r="Q156" s="3">
        <f>IF('Data Source'!B156="","",'Data Source'!S156)</f>
        <v/>
      </c>
    </row>
    <row r="157">
      <c r="A157" s="3">
        <f>IF('Data Source'!B157="","",'Data Source'!A157)</f>
        <v/>
      </c>
      <c r="B157">
        <f>IF('Data Source'!B157="","",'Data Source'!B157)</f>
        <v/>
      </c>
      <c r="C157" s="3">
        <f>IF('Data Source'!B157="","",IF('Data Source'!U157&gt;=5,"A+",IF('Data Source'!U157&gt;=4,"A",IF('Data Source'!U157&gt;=3.5,"A-",IF('Data Source'!U157&gt;=3,"B",IF('Data Source'!U157&gt;=2,"C",IF('Data Source'!U157&gt;=1,"D","F")))))))</f>
        <v/>
      </c>
      <c r="D157" s="3">
        <f>IF('Data Source'!B157="","",IF('Data Source'!V157&gt;=5,"A+",IF('Data Source'!V157&gt;=4,"A",IF('Data Source'!V157&gt;=3.5,"A-",IF('Data Source'!V157&gt;=3,"B",IF('Data Source'!V157&gt;=2,"C",IF('Data Source'!V157&gt;=1,"D","F")))))))</f>
        <v/>
      </c>
      <c r="E157" s="3">
        <f>IF('Data Source'!B157="","",IF('Data Source'!W157&gt;=5,"A+",IF('Data Source'!W157&gt;=4,"A",IF('Data Source'!W157&gt;=3.5,"A-",IF('Data Source'!W157&gt;=3,"B",IF('Data Source'!W157&gt;=2,"C",IF('Data Source'!W157&gt;=1,"D","F")))))))</f>
        <v/>
      </c>
      <c r="F157" s="3">
        <f>IF('Data Source'!B157="","",IF('Data Source'!X157&gt;=5,"A+",IF('Data Source'!X157&gt;=4,"A",IF('Data Source'!X157&gt;=3.5,"A-",IF('Data Source'!X157&gt;=3,"B",IF('Data Source'!X157&gt;=2,"C",IF('Data Source'!X157&gt;=1,"D","F")))))))</f>
        <v/>
      </c>
      <c r="G157" s="3">
        <f>IF('Data Source'!B157="","",IF('Data Source'!Y157&gt;=5,"A+",IF('Data Source'!Y157&gt;=4,"A",IF('Data Source'!Y157&gt;=3.5,"A-",IF('Data Source'!Y157&gt;=3,"B",IF('Data Source'!Y157&gt;=2,"C",IF('Data Source'!Y157&gt;=1,"D","F")))))))</f>
        <v/>
      </c>
      <c r="H157" s="3">
        <f>IF('Data Source'!B157="","",IF('Data Source'!Z157&gt;=5,"A+",IF('Data Source'!Z157&gt;=4,"A",IF('Data Source'!Z157&gt;=3.5,"A-",IF('Data Source'!Z157&gt;=3,"B",IF('Data Source'!Z157&gt;=2,"C",IF('Data Source'!Z157&gt;=1,"D","F")))))))</f>
        <v/>
      </c>
      <c r="I157" s="3">
        <f>IF('Data Source'!B157="","",IF('Data Source'!AA157&gt;=5,"A+",IF('Data Source'!AA157&gt;=4,"A",IF('Data Source'!AA157&gt;=3.5,"A-",IF('Data Source'!AA157&gt;=3,"B",IF('Data Source'!AA157&gt;=2,"C",IF('Data Source'!AA157&gt;=1,"D","F")))))))</f>
        <v/>
      </c>
      <c r="J157" s="3">
        <f>IF('Data Source'!B157="","",IF('Data Source'!AB157&gt;=5,"A+",IF('Data Source'!AB157&gt;=4,"A",IF('Data Source'!AB157&gt;=3.5,"A-",IF('Data Source'!AB157&gt;=3,"B",IF('Data Source'!AB157&gt;=2,"C",IF('Data Source'!AB157&gt;=1,"D","F")))))))</f>
        <v/>
      </c>
      <c r="K157" s="3">
        <f>IF('Data Source'!B157="","",IF('Data Source'!AC157&gt;=5,"A+",IF('Data Source'!AC157&gt;=4,"A",IF('Data Source'!AC157&gt;=3.5,"A-",IF('Data Source'!AC157&gt;=3,"B",IF('Data Source'!AC157&gt;=2,"C",IF('Data Source'!AC157&gt;=1,"D","F")))))))</f>
        <v/>
      </c>
      <c r="L157" s="3">
        <f>IF('Data Source'!B157="","",IF('Data Source'!AD157&gt;=5,"A+",IF('Data Source'!AD157&gt;=4,"A",IF('Data Source'!AD157&gt;=3.5,"A-",IF('Data Source'!AD157&gt;=3,"B",IF('Data Source'!AD157&gt;=2,"C",IF('Data Source'!AD157&gt;=1,"D","F")))))))</f>
        <v/>
      </c>
      <c r="M157" s="3">
        <f>IF('Data Source'!B157="","",IF('Data Source'!AE157&gt;=5,"A+",IF('Data Source'!AE157&gt;=4,"A",IF('Data Source'!AE157&gt;=3.5,"A-",IF('Data Source'!AE157&gt;=3,"B",IF('Data Source'!AE157&gt;=2,"C",IF('Data Source'!AE157&gt;=1,"D","F")))))))</f>
        <v/>
      </c>
      <c r="N157" s="3">
        <f>IF('Data Source'!B157="","",IF('Data Source'!AF157&gt;=5,"A+",IF('Data Source'!AF157&gt;=4,"A",IF('Data Source'!AF157&gt;=3.5,"A-",IF('Data Source'!AF157&gt;=3,"B",IF('Data Source'!AF157&gt;=2,"C",IF('Data Source'!AF157&gt;=1,"D","F")))))))</f>
        <v/>
      </c>
      <c r="O157" s="3">
        <f>IF('Data Source'!B157="","",IF('Data Source'!AG157&gt;=5,"A+",IF('Data Source'!AG157&gt;=4,"A",IF('Data Source'!AG157&gt;=3.5,"A-",IF('Data Source'!AG157&gt;=3,"B",IF('Data Source'!AG157&gt;=2,"C",IF('Data Source'!AG157&gt;=1,"D","F")))))))</f>
        <v/>
      </c>
      <c r="P157" s="5">
        <f>IF('Data Source'!B157="","",'Data Source'!R157)</f>
        <v/>
      </c>
      <c r="Q157" s="3">
        <f>IF('Data Source'!B157="","",'Data Source'!S157)</f>
        <v/>
      </c>
    </row>
    <row r="158">
      <c r="A158" s="3">
        <f>IF('Data Source'!B158="","",'Data Source'!A158)</f>
        <v/>
      </c>
      <c r="B158">
        <f>IF('Data Source'!B158="","",'Data Source'!B158)</f>
        <v/>
      </c>
      <c r="C158" s="3">
        <f>IF('Data Source'!B158="","",IF('Data Source'!U158&gt;=5,"A+",IF('Data Source'!U158&gt;=4,"A",IF('Data Source'!U158&gt;=3.5,"A-",IF('Data Source'!U158&gt;=3,"B",IF('Data Source'!U158&gt;=2,"C",IF('Data Source'!U158&gt;=1,"D","F")))))))</f>
        <v/>
      </c>
      <c r="D158" s="3">
        <f>IF('Data Source'!B158="","",IF('Data Source'!V158&gt;=5,"A+",IF('Data Source'!V158&gt;=4,"A",IF('Data Source'!V158&gt;=3.5,"A-",IF('Data Source'!V158&gt;=3,"B",IF('Data Source'!V158&gt;=2,"C",IF('Data Source'!V158&gt;=1,"D","F")))))))</f>
        <v/>
      </c>
      <c r="E158" s="3">
        <f>IF('Data Source'!B158="","",IF('Data Source'!W158&gt;=5,"A+",IF('Data Source'!W158&gt;=4,"A",IF('Data Source'!W158&gt;=3.5,"A-",IF('Data Source'!W158&gt;=3,"B",IF('Data Source'!W158&gt;=2,"C",IF('Data Source'!W158&gt;=1,"D","F")))))))</f>
        <v/>
      </c>
      <c r="F158" s="3">
        <f>IF('Data Source'!B158="","",IF('Data Source'!X158&gt;=5,"A+",IF('Data Source'!X158&gt;=4,"A",IF('Data Source'!X158&gt;=3.5,"A-",IF('Data Source'!X158&gt;=3,"B",IF('Data Source'!X158&gt;=2,"C",IF('Data Source'!X158&gt;=1,"D","F")))))))</f>
        <v/>
      </c>
      <c r="G158" s="3">
        <f>IF('Data Source'!B158="","",IF('Data Source'!Y158&gt;=5,"A+",IF('Data Source'!Y158&gt;=4,"A",IF('Data Source'!Y158&gt;=3.5,"A-",IF('Data Source'!Y158&gt;=3,"B",IF('Data Source'!Y158&gt;=2,"C",IF('Data Source'!Y158&gt;=1,"D","F")))))))</f>
        <v/>
      </c>
      <c r="H158" s="3">
        <f>IF('Data Source'!B158="","",IF('Data Source'!Z158&gt;=5,"A+",IF('Data Source'!Z158&gt;=4,"A",IF('Data Source'!Z158&gt;=3.5,"A-",IF('Data Source'!Z158&gt;=3,"B",IF('Data Source'!Z158&gt;=2,"C",IF('Data Source'!Z158&gt;=1,"D","F")))))))</f>
        <v/>
      </c>
      <c r="I158" s="3">
        <f>IF('Data Source'!B158="","",IF('Data Source'!AA158&gt;=5,"A+",IF('Data Source'!AA158&gt;=4,"A",IF('Data Source'!AA158&gt;=3.5,"A-",IF('Data Source'!AA158&gt;=3,"B",IF('Data Source'!AA158&gt;=2,"C",IF('Data Source'!AA158&gt;=1,"D","F")))))))</f>
        <v/>
      </c>
      <c r="J158" s="3">
        <f>IF('Data Source'!B158="","",IF('Data Source'!AB158&gt;=5,"A+",IF('Data Source'!AB158&gt;=4,"A",IF('Data Source'!AB158&gt;=3.5,"A-",IF('Data Source'!AB158&gt;=3,"B",IF('Data Source'!AB158&gt;=2,"C",IF('Data Source'!AB158&gt;=1,"D","F")))))))</f>
        <v/>
      </c>
      <c r="K158" s="3">
        <f>IF('Data Source'!B158="","",IF('Data Source'!AC158&gt;=5,"A+",IF('Data Source'!AC158&gt;=4,"A",IF('Data Source'!AC158&gt;=3.5,"A-",IF('Data Source'!AC158&gt;=3,"B",IF('Data Source'!AC158&gt;=2,"C",IF('Data Source'!AC158&gt;=1,"D","F")))))))</f>
        <v/>
      </c>
      <c r="L158" s="3">
        <f>IF('Data Source'!B158="","",IF('Data Source'!AD158&gt;=5,"A+",IF('Data Source'!AD158&gt;=4,"A",IF('Data Source'!AD158&gt;=3.5,"A-",IF('Data Source'!AD158&gt;=3,"B",IF('Data Source'!AD158&gt;=2,"C",IF('Data Source'!AD158&gt;=1,"D","F")))))))</f>
        <v/>
      </c>
      <c r="M158" s="3">
        <f>IF('Data Source'!B158="","",IF('Data Source'!AE158&gt;=5,"A+",IF('Data Source'!AE158&gt;=4,"A",IF('Data Source'!AE158&gt;=3.5,"A-",IF('Data Source'!AE158&gt;=3,"B",IF('Data Source'!AE158&gt;=2,"C",IF('Data Source'!AE158&gt;=1,"D","F")))))))</f>
        <v/>
      </c>
      <c r="N158" s="3">
        <f>IF('Data Source'!B158="","",IF('Data Source'!AF158&gt;=5,"A+",IF('Data Source'!AF158&gt;=4,"A",IF('Data Source'!AF158&gt;=3.5,"A-",IF('Data Source'!AF158&gt;=3,"B",IF('Data Source'!AF158&gt;=2,"C",IF('Data Source'!AF158&gt;=1,"D","F")))))))</f>
        <v/>
      </c>
      <c r="O158" s="3">
        <f>IF('Data Source'!B158="","",IF('Data Source'!AG158&gt;=5,"A+",IF('Data Source'!AG158&gt;=4,"A",IF('Data Source'!AG158&gt;=3.5,"A-",IF('Data Source'!AG158&gt;=3,"B",IF('Data Source'!AG158&gt;=2,"C",IF('Data Source'!AG158&gt;=1,"D","F")))))))</f>
        <v/>
      </c>
      <c r="P158" s="5">
        <f>IF('Data Source'!B158="","",'Data Source'!R158)</f>
        <v/>
      </c>
      <c r="Q158" s="3">
        <f>IF('Data Source'!B158="","",'Data Source'!S158)</f>
        <v/>
      </c>
    </row>
    <row r="159">
      <c r="A159" s="3">
        <f>IF('Data Source'!B159="","",'Data Source'!A159)</f>
        <v/>
      </c>
      <c r="B159">
        <f>IF('Data Source'!B159="","",'Data Source'!B159)</f>
        <v/>
      </c>
      <c r="C159" s="3">
        <f>IF('Data Source'!B159="","",IF('Data Source'!U159&gt;=5,"A+",IF('Data Source'!U159&gt;=4,"A",IF('Data Source'!U159&gt;=3.5,"A-",IF('Data Source'!U159&gt;=3,"B",IF('Data Source'!U159&gt;=2,"C",IF('Data Source'!U159&gt;=1,"D","F")))))))</f>
        <v/>
      </c>
      <c r="D159" s="3">
        <f>IF('Data Source'!B159="","",IF('Data Source'!V159&gt;=5,"A+",IF('Data Source'!V159&gt;=4,"A",IF('Data Source'!V159&gt;=3.5,"A-",IF('Data Source'!V159&gt;=3,"B",IF('Data Source'!V159&gt;=2,"C",IF('Data Source'!V159&gt;=1,"D","F")))))))</f>
        <v/>
      </c>
      <c r="E159" s="3">
        <f>IF('Data Source'!B159="","",IF('Data Source'!W159&gt;=5,"A+",IF('Data Source'!W159&gt;=4,"A",IF('Data Source'!W159&gt;=3.5,"A-",IF('Data Source'!W159&gt;=3,"B",IF('Data Source'!W159&gt;=2,"C",IF('Data Source'!W159&gt;=1,"D","F")))))))</f>
        <v/>
      </c>
      <c r="F159" s="3">
        <f>IF('Data Source'!B159="","",IF('Data Source'!X159&gt;=5,"A+",IF('Data Source'!X159&gt;=4,"A",IF('Data Source'!X159&gt;=3.5,"A-",IF('Data Source'!X159&gt;=3,"B",IF('Data Source'!X159&gt;=2,"C",IF('Data Source'!X159&gt;=1,"D","F")))))))</f>
        <v/>
      </c>
      <c r="G159" s="3">
        <f>IF('Data Source'!B159="","",IF('Data Source'!Y159&gt;=5,"A+",IF('Data Source'!Y159&gt;=4,"A",IF('Data Source'!Y159&gt;=3.5,"A-",IF('Data Source'!Y159&gt;=3,"B",IF('Data Source'!Y159&gt;=2,"C",IF('Data Source'!Y159&gt;=1,"D","F")))))))</f>
        <v/>
      </c>
      <c r="H159" s="3">
        <f>IF('Data Source'!B159="","",IF('Data Source'!Z159&gt;=5,"A+",IF('Data Source'!Z159&gt;=4,"A",IF('Data Source'!Z159&gt;=3.5,"A-",IF('Data Source'!Z159&gt;=3,"B",IF('Data Source'!Z159&gt;=2,"C",IF('Data Source'!Z159&gt;=1,"D","F")))))))</f>
        <v/>
      </c>
      <c r="I159" s="3">
        <f>IF('Data Source'!B159="","",IF('Data Source'!AA159&gt;=5,"A+",IF('Data Source'!AA159&gt;=4,"A",IF('Data Source'!AA159&gt;=3.5,"A-",IF('Data Source'!AA159&gt;=3,"B",IF('Data Source'!AA159&gt;=2,"C",IF('Data Source'!AA159&gt;=1,"D","F")))))))</f>
        <v/>
      </c>
      <c r="J159" s="3">
        <f>IF('Data Source'!B159="","",IF('Data Source'!AB159&gt;=5,"A+",IF('Data Source'!AB159&gt;=4,"A",IF('Data Source'!AB159&gt;=3.5,"A-",IF('Data Source'!AB159&gt;=3,"B",IF('Data Source'!AB159&gt;=2,"C",IF('Data Source'!AB159&gt;=1,"D","F")))))))</f>
        <v/>
      </c>
      <c r="K159" s="3">
        <f>IF('Data Source'!B159="","",IF('Data Source'!AC159&gt;=5,"A+",IF('Data Source'!AC159&gt;=4,"A",IF('Data Source'!AC159&gt;=3.5,"A-",IF('Data Source'!AC159&gt;=3,"B",IF('Data Source'!AC159&gt;=2,"C",IF('Data Source'!AC159&gt;=1,"D","F")))))))</f>
        <v/>
      </c>
      <c r="L159" s="3">
        <f>IF('Data Source'!B159="","",IF('Data Source'!AD159&gt;=5,"A+",IF('Data Source'!AD159&gt;=4,"A",IF('Data Source'!AD159&gt;=3.5,"A-",IF('Data Source'!AD159&gt;=3,"B",IF('Data Source'!AD159&gt;=2,"C",IF('Data Source'!AD159&gt;=1,"D","F")))))))</f>
        <v/>
      </c>
      <c r="M159" s="3">
        <f>IF('Data Source'!B159="","",IF('Data Source'!AE159&gt;=5,"A+",IF('Data Source'!AE159&gt;=4,"A",IF('Data Source'!AE159&gt;=3.5,"A-",IF('Data Source'!AE159&gt;=3,"B",IF('Data Source'!AE159&gt;=2,"C",IF('Data Source'!AE159&gt;=1,"D","F")))))))</f>
        <v/>
      </c>
      <c r="N159" s="3">
        <f>IF('Data Source'!B159="","",IF('Data Source'!AF159&gt;=5,"A+",IF('Data Source'!AF159&gt;=4,"A",IF('Data Source'!AF159&gt;=3.5,"A-",IF('Data Source'!AF159&gt;=3,"B",IF('Data Source'!AF159&gt;=2,"C",IF('Data Source'!AF159&gt;=1,"D","F")))))))</f>
        <v/>
      </c>
      <c r="O159" s="3">
        <f>IF('Data Source'!B159="","",IF('Data Source'!AG159&gt;=5,"A+",IF('Data Source'!AG159&gt;=4,"A",IF('Data Source'!AG159&gt;=3.5,"A-",IF('Data Source'!AG159&gt;=3,"B",IF('Data Source'!AG159&gt;=2,"C",IF('Data Source'!AG159&gt;=1,"D","F")))))))</f>
        <v/>
      </c>
      <c r="P159" s="5">
        <f>IF('Data Source'!B159="","",'Data Source'!R159)</f>
        <v/>
      </c>
      <c r="Q159" s="3">
        <f>IF('Data Source'!B159="","",'Data Source'!S159)</f>
        <v/>
      </c>
    </row>
    <row r="160">
      <c r="A160" s="3">
        <f>IF('Data Source'!B160="","",'Data Source'!A160)</f>
        <v/>
      </c>
      <c r="B160">
        <f>IF('Data Source'!B160="","",'Data Source'!B160)</f>
        <v/>
      </c>
      <c r="C160" s="3">
        <f>IF('Data Source'!B160="","",IF('Data Source'!U160&gt;=5,"A+",IF('Data Source'!U160&gt;=4,"A",IF('Data Source'!U160&gt;=3.5,"A-",IF('Data Source'!U160&gt;=3,"B",IF('Data Source'!U160&gt;=2,"C",IF('Data Source'!U160&gt;=1,"D","F")))))))</f>
        <v/>
      </c>
      <c r="D160" s="3">
        <f>IF('Data Source'!B160="","",IF('Data Source'!V160&gt;=5,"A+",IF('Data Source'!V160&gt;=4,"A",IF('Data Source'!V160&gt;=3.5,"A-",IF('Data Source'!V160&gt;=3,"B",IF('Data Source'!V160&gt;=2,"C",IF('Data Source'!V160&gt;=1,"D","F")))))))</f>
        <v/>
      </c>
      <c r="E160" s="3">
        <f>IF('Data Source'!B160="","",IF('Data Source'!W160&gt;=5,"A+",IF('Data Source'!W160&gt;=4,"A",IF('Data Source'!W160&gt;=3.5,"A-",IF('Data Source'!W160&gt;=3,"B",IF('Data Source'!W160&gt;=2,"C",IF('Data Source'!W160&gt;=1,"D","F")))))))</f>
        <v/>
      </c>
      <c r="F160" s="3">
        <f>IF('Data Source'!B160="","",IF('Data Source'!X160&gt;=5,"A+",IF('Data Source'!X160&gt;=4,"A",IF('Data Source'!X160&gt;=3.5,"A-",IF('Data Source'!X160&gt;=3,"B",IF('Data Source'!X160&gt;=2,"C",IF('Data Source'!X160&gt;=1,"D","F")))))))</f>
        <v/>
      </c>
      <c r="G160" s="3">
        <f>IF('Data Source'!B160="","",IF('Data Source'!Y160&gt;=5,"A+",IF('Data Source'!Y160&gt;=4,"A",IF('Data Source'!Y160&gt;=3.5,"A-",IF('Data Source'!Y160&gt;=3,"B",IF('Data Source'!Y160&gt;=2,"C",IF('Data Source'!Y160&gt;=1,"D","F")))))))</f>
        <v/>
      </c>
      <c r="H160" s="3">
        <f>IF('Data Source'!B160="","",IF('Data Source'!Z160&gt;=5,"A+",IF('Data Source'!Z160&gt;=4,"A",IF('Data Source'!Z160&gt;=3.5,"A-",IF('Data Source'!Z160&gt;=3,"B",IF('Data Source'!Z160&gt;=2,"C",IF('Data Source'!Z160&gt;=1,"D","F")))))))</f>
        <v/>
      </c>
      <c r="I160" s="3">
        <f>IF('Data Source'!B160="","",IF('Data Source'!AA160&gt;=5,"A+",IF('Data Source'!AA160&gt;=4,"A",IF('Data Source'!AA160&gt;=3.5,"A-",IF('Data Source'!AA160&gt;=3,"B",IF('Data Source'!AA160&gt;=2,"C",IF('Data Source'!AA160&gt;=1,"D","F")))))))</f>
        <v/>
      </c>
      <c r="J160" s="3">
        <f>IF('Data Source'!B160="","",IF('Data Source'!AB160&gt;=5,"A+",IF('Data Source'!AB160&gt;=4,"A",IF('Data Source'!AB160&gt;=3.5,"A-",IF('Data Source'!AB160&gt;=3,"B",IF('Data Source'!AB160&gt;=2,"C",IF('Data Source'!AB160&gt;=1,"D","F")))))))</f>
        <v/>
      </c>
      <c r="K160" s="3">
        <f>IF('Data Source'!B160="","",IF('Data Source'!AC160&gt;=5,"A+",IF('Data Source'!AC160&gt;=4,"A",IF('Data Source'!AC160&gt;=3.5,"A-",IF('Data Source'!AC160&gt;=3,"B",IF('Data Source'!AC160&gt;=2,"C",IF('Data Source'!AC160&gt;=1,"D","F")))))))</f>
        <v/>
      </c>
      <c r="L160" s="3">
        <f>IF('Data Source'!B160="","",IF('Data Source'!AD160&gt;=5,"A+",IF('Data Source'!AD160&gt;=4,"A",IF('Data Source'!AD160&gt;=3.5,"A-",IF('Data Source'!AD160&gt;=3,"B",IF('Data Source'!AD160&gt;=2,"C",IF('Data Source'!AD160&gt;=1,"D","F")))))))</f>
        <v/>
      </c>
      <c r="M160" s="3">
        <f>IF('Data Source'!B160="","",IF('Data Source'!AE160&gt;=5,"A+",IF('Data Source'!AE160&gt;=4,"A",IF('Data Source'!AE160&gt;=3.5,"A-",IF('Data Source'!AE160&gt;=3,"B",IF('Data Source'!AE160&gt;=2,"C",IF('Data Source'!AE160&gt;=1,"D","F")))))))</f>
        <v/>
      </c>
      <c r="N160" s="3">
        <f>IF('Data Source'!B160="","",IF('Data Source'!AF160&gt;=5,"A+",IF('Data Source'!AF160&gt;=4,"A",IF('Data Source'!AF160&gt;=3.5,"A-",IF('Data Source'!AF160&gt;=3,"B",IF('Data Source'!AF160&gt;=2,"C",IF('Data Source'!AF160&gt;=1,"D","F")))))))</f>
        <v/>
      </c>
      <c r="O160" s="3">
        <f>IF('Data Source'!B160="","",IF('Data Source'!AG160&gt;=5,"A+",IF('Data Source'!AG160&gt;=4,"A",IF('Data Source'!AG160&gt;=3.5,"A-",IF('Data Source'!AG160&gt;=3,"B",IF('Data Source'!AG160&gt;=2,"C",IF('Data Source'!AG160&gt;=1,"D","F")))))))</f>
        <v/>
      </c>
      <c r="P160" s="5">
        <f>IF('Data Source'!B160="","",'Data Source'!R160)</f>
        <v/>
      </c>
      <c r="Q160" s="3">
        <f>IF('Data Source'!B160="","",'Data Source'!S160)</f>
        <v/>
      </c>
    </row>
    <row r="161">
      <c r="A161" s="3">
        <f>IF('Data Source'!B161="","",'Data Source'!A161)</f>
        <v/>
      </c>
      <c r="B161">
        <f>IF('Data Source'!B161="","",'Data Source'!B161)</f>
        <v/>
      </c>
      <c r="C161" s="3">
        <f>IF('Data Source'!B161="","",IF('Data Source'!U161&gt;=5,"A+",IF('Data Source'!U161&gt;=4,"A",IF('Data Source'!U161&gt;=3.5,"A-",IF('Data Source'!U161&gt;=3,"B",IF('Data Source'!U161&gt;=2,"C",IF('Data Source'!U161&gt;=1,"D","F")))))))</f>
        <v/>
      </c>
      <c r="D161" s="3">
        <f>IF('Data Source'!B161="","",IF('Data Source'!V161&gt;=5,"A+",IF('Data Source'!V161&gt;=4,"A",IF('Data Source'!V161&gt;=3.5,"A-",IF('Data Source'!V161&gt;=3,"B",IF('Data Source'!V161&gt;=2,"C",IF('Data Source'!V161&gt;=1,"D","F")))))))</f>
        <v/>
      </c>
      <c r="E161" s="3">
        <f>IF('Data Source'!B161="","",IF('Data Source'!W161&gt;=5,"A+",IF('Data Source'!W161&gt;=4,"A",IF('Data Source'!W161&gt;=3.5,"A-",IF('Data Source'!W161&gt;=3,"B",IF('Data Source'!W161&gt;=2,"C",IF('Data Source'!W161&gt;=1,"D","F")))))))</f>
        <v/>
      </c>
      <c r="F161" s="3">
        <f>IF('Data Source'!B161="","",IF('Data Source'!X161&gt;=5,"A+",IF('Data Source'!X161&gt;=4,"A",IF('Data Source'!X161&gt;=3.5,"A-",IF('Data Source'!X161&gt;=3,"B",IF('Data Source'!X161&gt;=2,"C",IF('Data Source'!X161&gt;=1,"D","F")))))))</f>
        <v/>
      </c>
      <c r="G161" s="3">
        <f>IF('Data Source'!B161="","",IF('Data Source'!Y161&gt;=5,"A+",IF('Data Source'!Y161&gt;=4,"A",IF('Data Source'!Y161&gt;=3.5,"A-",IF('Data Source'!Y161&gt;=3,"B",IF('Data Source'!Y161&gt;=2,"C",IF('Data Source'!Y161&gt;=1,"D","F")))))))</f>
        <v/>
      </c>
      <c r="H161" s="3">
        <f>IF('Data Source'!B161="","",IF('Data Source'!Z161&gt;=5,"A+",IF('Data Source'!Z161&gt;=4,"A",IF('Data Source'!Z161&gt;=3.5,"A-",IF('Data Source'!Z161&gt;=3,"B",IF('Data Source'!Z161&gt;=2,"C",IF('Data Source'!Z161&gt;=1,"D","F")))))))</f>
        <v/>
      </c>
      <c r="I161" s="3">
        <f>IF('Data Source'!B161="","",IF('Data Source'!AA161&gt;=5,"A+",IF('Data Source'!AA161&gt;=4,"A",IF('Data Source'!AA161&gt;=3.5,"A-",IF('Data Source'!AA161&gt;=3,"B",IF('Data Source'!AA161&gt;=2,"C",IF('Data Source'!AA161&gt;=1,"D","F")))))))</f>
        <v/>
      </c>
      <c r="J161" s="3">
        <f>IF('Data Source'!B161="","",IF('Data Source'!AB161&gt;=5,"A+",IF('Data Source'!AB161&gt;=4,"A",IF('Data Source'!AB161&gt;=3.5,"A-",IF('Data Source'!AB161&gt;=3,"B",IF('Data Source'!AB161&gt;=2,"C",IF('Data Source'!AB161&gt;=1,"D","F")))))))</f>
        <v/>
      </c>
      <c r="K161" s="3">
        <f>IF('Data Source'!B161="","",IF('Data Source'!AC161&gt;=5,"A+",IF('Data Source'!AC161&gt;=4,"A",IF('Data Source'!AC161&gt;=3.5,"A-",IF('Data Source'!AC161&gt;=3,"B",IF('Data Source'!AC161&gt;=2,"C",IF('Data Source'!AC161&gt;=1,"D","F")))))))</f>
        <v/>
      </c>
      <c r="L161" s="3">
        <f>IF('Data Source'!B161="","",IF('Data Source'!AD161&gt;=5,"A+",IF('Data Source'!AD161&gt;=4,"A",IF('Data Source'!AD161&gt;=3.5,"A-",IF('Data Source'!AD161&gt;=3,"B",IF('Data Source'!AD161&gt;=2,"C",IF('Data Source'!AD161&gt;=1,"D","F")))))))</f>
        <v/>
      </c>
      <c r="M161" s="3">
        <f>IF('Data Source'!B161="","",IF('Data Source'!AE161&gt;=5,"A+",IF('Data Source'!AE161&gt;=4,"A",IF('Data Source'!AE161&gt;=3.5,"A-",IF('Data Source'!AE161&gt;=3,"B",IF('Data Source'!AE161&gt;=2,"C",IF('Data Source'!AE161&gt;=1,"D","F")))))))</f>
        <v/>
      </c>
      <c r="N161" s="3">
        <f>IF('Data Source'!B161="","",IF('Data Source'!AF161&gt;=5,"A+",IF('Data Source'!AF161&gt;=4,"A",IF('Data Source'!AF161&gt;=3.5,"A-",IF('Data Source'!AF161&gt;=3,"B",IF('Data Source'!AF161&gt;=2,"C",IF('Data Source'!AF161&gt;=1,"D","F")))))))</f>
        <v/>
      </c>
      <c r="O161" s="3">
        <f>IF('Data Source'!B161="","",IF('Data Source'!AG161&gt;=5,"A+",IF('Data Source'!AG161&gt;=4,"A",IF('Data Source'!AG161&gt;=3.5,"A-",IF('Data Source'!AG161&gt;=3,"B",IF('Data Source'!AG161&gt;=2,"C",IF('Data Source'!AG161&gt;=1,"D","F")))))))</f>
        <v/>
      </c>
      <c r="P161" s="5">
        <f>IF('Data Source'!B161="","",'Data Source'!R161)</f>
        <v/>
      </c>
      <c r="Q161" s="3">
        <f>IF('Data Source'!B161="","",'Data Source'!S161)</f>
        <v/>
      </c>
    </row>
    <row r="162">
      <c r="A162" s="3">
        <f>IF('Data Source'!B162="","",'Data Source'!A162)</f>
        <v/>
      </c>
      <c r="B162">
        <f>IF('Data Source'!B162="","",'Data Source'!B162)</f>
        <v/>
      </c>
      <c r="C162" s="3">
        <f>IF('Data Source'!B162="","",IF('Data Source'!U162&gt;=5,"A+",IF('Data Source'!U162&gt;=4,"A",IF('Data Source'!U162&gt;=3.5,"A-",IF('Data Source'!U162&gt;=3,"B",IF('Data Source'!U162&gt;=2,"C",IF('Data Source'!U162&gt;=1,"D","F")))))))</f>
        <v/>
      </c>
      <c r="D162" s="3">
        <f>IF('Data Source'!B162="","",IF('Data Source'!V162&gt;=5,"A+",IF('Data Source'!V162&gt;=4,"A",IF('Data Source'!V162&gt;=3.5,"A-",IF('Data Source'!V162&gt;=3,"B",IF('Data Source'!V162&gt;=2,"C",IF('Data Source'!V162&gt;=1,"D","F")))))))</f>
        <v/>
      </c>
      <c r="E162" s="3">
        <f>IF('Data Source'!B162="","",IF('Data Source'!W162&gt;=5,"A+",IF('Data Source'!W162&gt;=4,"A",IF('Data Source'!W162&gt;=3.5,"A-",IF('Data Source'!W162&gt;=3,"B",IF('Data Source'!W162&gt;=2,"C",IF('Data Source'!W162&gt;=1,"D","F")))))))</f>
        <v/>
      </c>
      <c r="F162" s="3">
        <f>IF('Data Source'!B162="","",IF('Data Source'!X162&gt;=5,"A+",IF('Data Source'!X162&gt;=4,"A",IF('Data Source'!X162&gt;=3.5,"A-",IF('Data Source'!X162&gt;=3,"B",IF('Data Source'!X162&gt;=2,"C",IF('Data Source'!X162&gt;=1,"D","F")))))))</f>
        <v/>
      </c>
      <c r="G162" s="3">
        <f>IF('Data Source'!B162="","",IF('Data Source'!Y162&gt;=5,"A+",IF('Data Source'!Y162&gt;=4,"A",IF('Data Source'!Y162&gt;=3.5,"A-",IF('Data Source'!Y162&gt;=3,"B",IF('Data Source'!Y162&gt;=2,"C",IF('Data Source'!Y162&gt;=1,"D","F")))))))</f>
        <v/>
      </c>
      <c r="H162" s="3">
        <f>IF('Data Source'!B162="","",IF('Data Source'!Z162&gt;=5,"A+",IF('Data Source'!Z162&gt;=4,"A",IF('Data Source'!Z162&gt;=3.5,"A-",IF('Data Source'!Z162&gt;=3,"B",IF('Data Source'!Z162&gt;=2,"C",IF('Data Source'!Z162&gt;=1,"D","F")))))))</f>
        <v/>
      </c>
      <c r="I162" s="3">
        <f>IF('Data Source'!B162="","",IF('Data Source'!AA162&gt;=5,"A+",IF('Data Source'!AA162&gt;=4,"A",IF('Data Source'!AA162&gt;=3.5,"A-",IF('Data Source'!AA162&gt;=3,"B",IF('Data Source'!AA162&gt;=2,"C",IF('Data Source'!AA162&gt;=1,"D","F")))))))</f>
        <v/>
      </c>
      <c r="J162" s="3">
        <f>IF('Data Source'!B162="","",IF('Data Source'!AB162&gt;=5,"A+",IF('Data Source'!AB162&gt;=4,"A",IF('Data Source'!AB162&gt;=3.5,"A-",IF('Data Source'!AB162&gt;=3,"B",IF('Data Source'!AB162&gt;=2,"C",IF('Data Source'!AB162&gt;=1,"D","F")))))))</f>
        <v/>
      </c>
      <c r="K162" s="3">
        <f>IF('Data Source'!B162="","",IF('Data Source'!AC162&gt;=5,"A+",IF('Data Source'!AC162&gt;=4,"A",IF('Data Source'!AC162&gt;=3.5,"A-",IF('Data Source'!AC162&gt;=3,"B",IF('Data Source'!AC162&gt;=2,"C",IF('Data Source'!AC162&gt;=1,"D","F")))))))</f>
        <v/>
      </c>
      <c r="L162" s="3">
        <f>IF('Data Source'!B162="","",IF('Data Source'!AD162&gt;=5,"A+",IF('Data Source'!AD162&gt;=4,"A",IF('Data Source'!AD162&gt;=3.5,"A-",IF('Data Source'!AD162&gt;=3,"B",IF('Data Source'!AD162&gt;=2,"C",IF('Data Source'!AD162&gt;=1,"D","F")))))))</f>
        <v/>
      </c>
      <c r="M162" s="3">
        <f>IF('Data Source'!B162="","",IF('Data Source'!AE162&gt;=5,"A+",IF('Data Source'!AE162&gt;=4,"A",IF('Data Source'!AE162&gt;=3.5,"A-",IF('Data Source'!AE162&gt;=3,"B",IF('Data Source'!AE162&gt;=2,"C",IF('Data Source'!AE162&gt;=1,"D","F")))))))</f>
        <v/>
      </c>
      <c r="N162" s="3">
        <f>IF('Data Source'!B162="","",IF('Data Source'!AF162&gt;=5,"A+",IF('Data Source'!AF162&gt;=4,"A",IF('Data Source'!AF162&gt;=3.5,"A-",IF('Data Source'!AF162&gt;=3,"B",IF('Data Source'!AF162&gt;=2,"C",IF('Data Source'!AF162&gt;=1,"D","F")))))))</f>
        <v/>
      </c>
      <c r="O162" s="3">
        <f>IF('Data Source'!B162="","",IF('Data Source'!AG162&gt;=5,"A+",IF('Data Source'!AG162&gt;=4,"A",IF('Data Source'!AG162&gt;=3.5,"A-",IF('Data Source'!AG162&gt;=3,"B",IF('Data Source'!AG162&gt;=2,"C",IF('Data Source'!AG162&gt;=1,"D","F")))))))</f>
        <v/>
      </c>
      <c r="P162" s="5">
        <f>IF('Data Source'!B162="","",'Data Source'!R162)</f>
        <v/>
      </c>
      <c r="Q162" s="3">
        <f>IF('Data Source'!B162="","",'Data Source'!S162)</f>
        <v/>
      </c>
    </row>
    <row r="163">
      <c r="A163" s="3">
        <f>IF('Data Source'!B163="","",'Data Source'!A163)</f>
        <v/>
      </c>
      <c r="B163">
        <f>IF('Data Source'!B163="","",'Data Source'!B163)</f>
        <v/>
      </c>
      <c r="C163" s="3">
        <f>IF('Data Source'!B163="","",IF('Data Source'!U163&gt;=5,"A+",IF('Data Source'!U163&gt;=4,"A",IF('Data Source'!U163&gt;=3.5,"A-",IF('Data Source'!U163&gt;=3,"B",IF('Data Source'!U163&gt;=2,"C",IF('Data Source'!U163&gt;=1,"D","F")))))))</f>
        <v/>
      </c>
      <c r="D163" s="3">
        <f>IF('Data Source'!B163="","",IF('Data Source'!V163&gt;=5,"A+",IF('Data Source'!V163&gt;=4,"A",IF('Data Source'!V163&gt;=3.5,"A-",IF('Data Source'!V163&gt;=3,"B",IF('Data Source'!V163&gt;=2,"C",IF('Data Source'!V163&gt;=1,"D","F")))))))</f>
        <v/>
      </c>
      <c r="E163" s="3">
        <f>IF('Data Source'!B163="","",IF('Data Source'!W163&gt;=5,"A+",IF('Data Source'!W163&gt;=4,"A",IF('Data Source'!W163&gt;=3.5,"A-",IF('Data Source'!W163&gt;=3,"B",IF('Data Source'!W163&gt;=2,"C",IF('Data Source'!W163&gt;=1,"D","F")))))))</f>
        <v/>
      </c>
      <c r="F163" s="3">
        <f>IF('Data Source'!B163="","",IF('Data Source'!X163&gt;=5,"A+",IF('Data Source'!X163&gt;=4,"A",IF('Data Source'!X163&gt;=3.5,"A-",IF('Data Source'!X163&gt;=3,"B",IF('Data Source'!X163&gt;=2,"C",IF('Data Source'!X163&gt;=1,"D","F")))))))</f>
        <v/>
      </c>
      <c r="G163" s="3">
        <f>IF('Data Source'!B163="","",IF('Data Source'!Y163&gt;=5,"A+",IF('Data Source'!Y163&gt;=4,"A",IF('Data Source'!Y163&gt;=3.5,"A-",IF('Data Source'!Y163&gt;=3,"B",IF('Data Source'!Y163&gt;=2,"C",IF('Data Source'!Y163&gt;=1,"D","F")))))))</f>
        <v/>
      </c>
      <c r="H163" s="3">
        <f>IF('Data Source'!B163="","",IF('Data Source'!Z163&gt;=5,"A+",IF('Data Source'!Z163&gt;=4,"A",IF('Data Source'!Z163&gt;=3.5,"A-",IF('Data Source'!Z163&gt;=3,"B",IF('Data Source'!Z163&gt;=2,"C",IF('Data Source'!Z163&gt;=1,"D","F")))))))</f>
        <v/>
      </c>
      <c r="I163" s="3">
        <f>IF('Data Source'!B163="","",IF('Data Source'!AA163&gt;=5,"A+",IF('Data Source'!AA163&gt;=4,"A",IF('Data Source'!AA163&gt;=3.5,"A-",IF('Data Source'!AA163&gt;=3,"B",IF('Data Source'!AA163&gt;=2,"C",IF('Data Source'!AA163&gt;=1,"D","F")))))))</f>
        <v/>
      </c>
      <c r="J163" s="3">
        <f>IF('Data Source'!B163="","",IF('Data Source'!AB163&gt;=5,"A+",IF('Data Source'!AB163&gt;=4,"A",IF('Data Source'!AB163&gt;=3.5,"A-",IF('Data Source'!AB163&gt;=3,"B",IF('Data Source'!AB163&gt;=2,"C",IF('Data Source'!AB163&gt;=1,"D","F")))))))</f>
        <v/>
      </c>
      <c r="K163" s="3">
        <f>IF('Data Source'!B163="","",IF('Data Source'!AC163&gt;=5,"A+",IF('Data Source'!AC163&gt;=4,"A",IF('Data Source'!AC163&gt;=3.5,"A-",IF('Data Source'!AC163&gt;=3,"B",IF('Data Source'!AC163&gt;=2,"C",IF('Data Source'!AC163&gt;=1,"D","F")))))))</f>
        <v/>
      </c>
      <c r="L163" s="3">
        <f>IF('Data Source'!B163="","",IF('Data Source'!AD163&gt;=5,"A+",IF('Data Source'!AD163&gt;=4,"A",IF('Data Source'!AD163&gt;=3.5,"A-",IF('Data Source'!AD163&gt;=3,"B",IF('Data Source'!AD163&gt;=2,"C",IF('Data Source'!AD163&gt;=1,"D","F")))))))</f>
        <v/>
      </c>
      <c r="M163" s="3">
        <f>IF('Data Source'!B163="","",IF('Data Source'!AE163&gt;=5,"A+",IF('Data Source'!AE163&gt;=4,"A",IF('Data Source'!AE163&gt;=3.5,"A-",IF('Data Source'!AE163&gt;=3,"B",IF('Data Source'!AE163&gt;=2,"C",IF('Data Source'!AE163&gt;=1,"D","F")))))))</f>
        <v/>
      </c>
      <c r="N163" s="3">
        <f>IF('Data Source'!B163="","",IF('Data Source'!AF163&gt;=5,"A+",IF('Data Source'!AF163&gt;=4,"A",IF('Data Source'!AF163&gt;=3.5,"A-",IF('Data Source'!AF163&gt;=3,"B",IF('Data Source'!AF163&gt;=2,"C",IF('Data Source'!AF163&gt;=1,"D","F")))))))</f>
        <v/>
      </c>
      <c r="O163" s="3">
        <f>IF('Data Source'!B163="","",IF('Data Source'!AG163&gt;=5,"A+",IF('Data Source'!AG163&gt;=4,"A",IF('Data Source'!AG163&gt;=3.5,"A-",IF('Data Source'!AG163&gt;=3,"B",IF('Data Source'!AG163&gt;=2,"C",IF('Data Source'!AG163&gt;=1,"D","F")))))))</f>
        <v/>
      </c>
      <c r="P163" s="5">
        <f>IF('Data Source'!B163="","",'Data Source'!R163)</f>
        <v/>
      </c>
      <c r="Q163" s="3">
        <f>IF('Data Source'!B163="","",'Data Source'!S163)</f>
        <v/>
      </c>
    </row>
    <row r="164">
      <c r="A164" s="3">
        <f>IF('Data Source'!B164="","",'Data Source'!A164)</f>
        <v/>
      </c>
      <c r="B164">
        <f>IF('Data Source'!B164="","",'Data Source'!B164)</f>
        <v/>
      </c>
      <c r="C164" s="3">
        <f>IF('Data Source'!B164="","",IF('Data Source'!U164&gt;=5,"A+",IF('Data Source'!U164&gt;=4,"A",IF('Data Source'!U164&gt;=3.5,"A-",IF('Data Source'!U164&gt;=3,"B",IF('Data Source'!U164&gt;=2,"C",IF('Data Source'!U164&gt;=1,"D","F")))))))</f>
        <v/>
      </c>
      <c r="D164" s="3">
        <f>IF('Data Source'!B164="","",IF('Data Source'!V164&gt;=5,"A+",IF('Data Source'!V164&gt;=4,"A",IF('Data Source'!V164&gt;=3.5,"A-",IF('Data Source'!V164&gt;=3,"B",IF('Data Source'!V164&gt;=2,"C",IF('Data Source'!V164&gt;=1,"D","F")))))))</f>
        <v/>
      </c>
      <c r="E164" s="3">
        <f>IF('Data Source'!B164="","",IF('Data Source'!W164&gt;=5,"A+",IF('Data Source'!W164&gt;=4,"A",IF('Data Source'!W164&gt;=3.5,"A-",IF('Data Source'!W164&gt;=3,"B",IF('Data Source'!W164&gt;=2,"C",IF('Data Source'!W164&gt;=1,"D","F")))))))</f>
        <v/>
      </c>
      <c r="F164" s="3">
        <f>IF('Data Source'!B164="","",IF('Data Source'!X164&gt;=5,"A+",IF('Data Source'!X164&gt;=4,"A",IF('Data Source'!X164&gt;=3.5,"A-",IF('Data Source'!X164&gt;=3,"B",IF('Data Source'!X164&gt;=2,"C",IF('Data Source'!X164&gt;=1,"D","F")))))))</f>
        <v/>
      </c>
      <c r="G164" s="3">
        <f>IF('Data Source'!B164="","",IF('Data Source'!Y164&gt;=5,"A+",IF('Data Source'!Y164&gt;=4,"A",IF('Data Source'!Y164&gt;=3.5,"A-",IF('Data Source'!Y164&gt;=3,"B",IF('Data Source'!Y164&gt;=2,"C",IF('Data Source'!Y164&gt;=1,"D","F")))))))</f>
        <v/>
      </c>
      <c r="H164" s="3">
        <f>IF('Data Source'!B164="","",IF('Data Source'!Z164&gt;=5,"A+",IF('Data Source'!Z164&gt;=4,"A",IF('Data Source'!Z164&gt;=3.5,"A-",IF('Data Source'!Z164&gt;=3,"B",IF('Data Source'!Z164&gt;=2,"C",IF('Data Source'!Z164&gt;=1,"D","F")))))))</f>
        <v/>
      </c>
      <c r="I164" s="3">
        <f>IF('Data Source'!B164="","",IF('Data Source'!AA164&gt;=5,"A+",IF('Data Source'!AA164&gt;=4,"A",IF('Data Source'!AA164&gt;=3.5,"A-",IF('Data Source'!AA164&gt;=3,"B",IF('Data Source'!AA164&gt;=2,"C",IF('Data Source'!AA164&gt;=1,"D","F")))))))</f>
        <v/>
      </c>
      <c r="J164" s="3">
        <f>IF('Data Source'!B164="","",IF('Data Source'!AB164&gt;=5,"A+",IF('Data Source'!AB164&gt;=4,"A",IF('Data Source'!AB164&gt;=3.5,"A-",IF('Data Source'!AB164&gt;=3,"B",IF('Data Source'!AB164&gt;=2,"C",IF('Data Source'!AB164&gt;=1,"D","F")))))))</f>
        <v/>
      </c>
      <c r="K164" s="3">
        <f>IF('Data Source'!B164="","",IF('Data Source'!AC164&gt;=5,"A+",IF('Data Source'!AC164&gt;=4,"A",IF('Data Source'!AC164&gt;=3.5,"A-",IF('Data Source'!AC164&gt;=3,"B",IF('Data Source'!AC164&gt;=2,"C",IF('Data Source'!AC164&gt;=1,"D","F")))))))</f>
        <v/>
      </c>
      <c r="L164" s="3">
        <f>IF('Data Source'!B164="","",IF('Data Source'!AD164&gt;=5,"A+",IF('Data Source'!AD164&gt;=4,"A",IF('Data Source'!AD164&gt;=3.5,"A-",IF('Data Source'!AD164&gt;=3,"B",IF('Data Source'!AD164&gt;=2,"C",IF('Data Source'!AD164&gt;=1,"D","F")))))))</f>
        <v/>
      </c>
      <c r="M164" s="3">
        <f>IF('Data Source'!B164="","",IF('Data Source'!AE164&gt;=5,"A+",IF('Data Source'!AE164&gt;=4,"A",IF('Data Source'!AE164&gt;=3.5,"A-",IF('Data Source'!AE164&gt;=3,"B",IF('Data Source'!AE164&gt;=2,"C",IF('Data Source'!AE164&gt;=1,"D","F")))))))</f>
        <v/>
      </c>
      <c r="N164" s="3">
        <f>IF('Data Source'!B164="","",IF('Data Source'!AF164&gt;=5,"A+",IF('Data Source'!AF164&gt;=4,"A",IF('Data Source'!AF164&gt;=3.5,"A-",IF('Data Source'!AF164&gt;=3,"B",IF('Data Source'!AF164&gt;=2,"C",IF('Data Source'!AF164&gt;=1,"D","F")))))))</f>
        <v/>
      </c>
      <c r="O164" s="3">
        <f>IF('Data Source'!B164="","",IF('Data Source'!AG164&gt;=5,"A+",IF('Data Source'!AG164&gt;=4,"A",IF('Data Source'!AG164&gt;=3.5,"A-",IF('Data Source'!AG164&gt;=3,"B",IF('Data Source'!AG164&gt;=2,"C",IF('Data Source'!AG164&gt;=1,"D","F")))))))</f>
        <v/>
      </c>
      <c r="P164" s="5">
        <f>IF('Data Source'!B164="","",'Data Source'!R164)</f>
        <v/>
      </c>
      <c r="Q164" s="3">
        <f>IF('Data Source'!B164="","",'Data Source'!S164)</f>
        <v/>
      </c>
    </row>
    <row r="165">
      <c r="A165" s="3">
        <f>IF('Data Source'!B165="","",'Data Source'!A165)</f>
        <v/>
      </c>
      <c r="B165">
        <f>IF('Data Source'!B165="","",'Data Source'!B165)</f>
        <v/>
      </c>
      <c r="C165" s="3">
        <f>IF('Data Source'!B165="","",IF('Data Source'!U165&gt;=5,"A+",IF('Data Source'!U165&gt;=4,"A",IF('Data Source'!U165&gt;=3.5,"A-",IF('Data Source'!U165&gt;=3,"B",IF('Data Source'!U165&gt;=2,"C",IF('Data Source'!U165&gt;=1,"D","F")))))))</f>
        <v/>
      </c>
      <c r="D165" s="3">
        <f>IF('Data Source'!B165="","",IF('Data Source'!V165&gt;=5,"A+",IF('Data Source'!V165&gt;=4,"A",IF('Data Source'!V165&gt;=3.5,"A-",IF('Data Source'!V165&gt;=3,"B",IF('Data Source'!V165&gt;=2,"C",IF('Data Source'!V165&gt;=1,"D","F")))))))</f>
        <v/>
      </c>
      <c r="E165" s="3">
        <f>IF('Data Source'!B165="","",IF('Data Source'!W165&gt;=5,"A+",IF('Data Source'!W165&gt;=4,"A",IF('Data Source'!W165&gt;=3.5,"A-",IF('Data Source'!W165&gt;=3,"B",IF('Data Source'!W165&gt;=2,"C",IF('Data Source'!W165&gt;=1,"D","F")))))))</f>
        <v/>
      </c>
      <c r="F165" s="3">
        <f>IF('Data Source'!B165="","",IF('Data Source'!X165&gt;=5,"A+",IF('Data Source'!X165&gt;=4,"A",IF('Data Source'!X165&gt;=3.5,"A-",IF('Data Source'!X165&gt;=3,"B",IF('Data Source'!X165&gt;=2,"C",IF('Data Source'!X165&gt;=1,"D","F")))))))</f>
        <v/>
      </c>
      <c r="G165" s="3">
        <f>IF('Data Source'!B165="","",IF('Data Source'!Y165&gt;=5,"A+",IF('Data Source'!Y165&gt;=4,"A",IF('Data Source'!Y165&gt;=3.5,"A-",IF('Data Source'!Y165&gt;=3,"B",IF('Data Source'!Y165&gt;=2,"C",IF('Data Source'!Y165&gt;=1,"D","F")))))))</f>
        <v/>
      </c>
      <c r="H165" s="3">
        <f>IF('Data Source'!B165="","",IF('Data Source'!Z165&gt;=5,"A+",IF('Data Source'!Z165&gt;=4,"A",IF('Data Source'!Z165&gt;=3.5,"A-",IF('Data Source'!Z165&gt;=3,"B",IF('Data Source'!Z165&gt;=2,"C",IF('Data Source'!Z165&gt;=1,"D","F")))))))</f>
        <v/>
      </c>
      <c r="I165" s="3">
        <f>IF('Data Source'!B165="","",IF('Data Source'!AA165&gt;=5,"A+",IF('Data Source'!AA165&gt;=4,"A",IF('Data Source'!AA165&gt;=3.5,"A-",IF('Data Source'!AA165&gt;=3,"B",IF('Data Source'!AA165&gt;=2,"C",IF('Data Source'!AA165&gt;=1,"D","F")))))))</f>
        <v/>
      </c>
      <c r="J165" s="3">
        <f>IF('Data Source'!B165="","",IF('Data Source'!AB165&gt;=5,"A+",IF('Data Source'!AB165&gt;=4,"A",IF('Data Source'!AB165&gt;=3.5,"A-",IF('Data Source'!AB165&gt;=3,"B",IF('Data Source'!AB165&gt;=2,"C",IF('Data Source'!AB165&gt;=1,"D","F")))))))</f>
        <v/>
      </c>
      <c r="K165" s="3">
        <f>IF('Data Source'!B165="","",IF('Data Source'!AC165&gt;=5,"A+",IF('Data Source'!AC165&gt;=4,"A",IF('Data Source'!AC165&gt;=3.5,"A-",IF('Data Source'!AC165&gt;=3,"B",IF('Data Source'!AC165&gt;=2,"C",IF('Data Source'!AC165&gt;=1,"D","F")))))))</f>
        <v/>
      </c>
      <c r="L165" s="3">
        <f>IF('Data Source'!B165="","",IF('Data Source'!AD165&gt;=5,"A+",IF('Data Source'!AD165&gt;=4,"A",IF('Data Source'!AD165&gt;=3.5,"A-",IF('Data Source'!AD165&gt;=3,"B",IF('Data Source'!AD165&gt;=2,"C",IF('Data Source'!AD165&gt;=1,"D","F")))))))</f>
        <v/>
      </c>
      <c r="M165" s="3">
        <f>IF('Data Source'!B165="","",IF('Data Source'!AE165&gt;=5,"A+",IF('Data Source'!AE165&gt;=4,"A",IF('Data Source'!AE165&gt;=3.5,"A-",IF('Data Source'!AE165&gt;=3,"B",IF('Data Source'!AE165&gt;=2,"C",IF('Data Source'!AE165&gt;=1,"D","F")))))))</f>
        <v/>
      </c>
      <c r="N165" s="3">
        <f>IF('Data Source'!B165="","",IF('Data Source'!AF165&gt;=5,"A+",IF('Data Source'!AF165&gt;=4,"A",IF('Data Source'!AF165&gt;=3.5,"A-",IF('Data Source'!AF165&gt;=3,"B",IF('Data Source'!AF165&gt;=2,"C",IF('Data Source'!AF165&gt;=1,"D","F")))))))</f>
        <v/>
      </c>
      <c r="O165" s="3">
        <f>IF('Data Source'!B165="","",IF('Data Source'!AG165&gt;=5,"A+",IF('Data Source'!AG165&gt;=4,"A",IF('Data Source'!AG165&gt;=3.5,"A-",IF('Data Source'!AG165&gt;=3,"B",IF('Data Source'!AG165&gt;=2,"C",IF('Data Source'!AG165&gt;=1,"D","F")))))))</f>
        <v/>
      </c>
      <c r="P165" s="5">
        <f>IF('Data Source'!B165="","",'Data Source'!R165)</f>
        <v/>
      </c>
      <c r="Q165" s="3">
        <f>IF('Data Source'!B165="","",'Data Source'!S165)</f>
        <v/>
      </c>
    </row>
    <row r="166">
      <c r="A166" s="3">
        <f>IF('Data Source'!B166="","",'Data Source'!A166)</f>
        <v/>
      </c>
      <c r="B166">
        <f>IF('Data Source'!B166="","",'Data Source'!B166)</f>
        <v/>
      </c>
      <c r="C166" s="3">
        <f>IF('Data Source'!B166="","",IF('Data Source'!U166&gt;=5,"A+",IF('Data Source'!U166&gt;=4,"A",IF('Data Source'!U166&gt;=3.5,"A-",IF('Data Source'!U166&gt;=3,"B",IF('Data Source'!U166&gt;=2,"C",IF('Data Source'!U166&gt;=1,"D","F")))))))</f>
        <v/>
      </c>
      <c r="D166" s="3">
        <f>IF('Data Source'!B166="","",IF('Data Source'!V166&gt;=5,"A+",IF('Data Source'!V166&gt;=4,"A",IF('Data Source'!V166&gt;=3.5,"A-",IF('Data Source'!V166&gt;=3,"B",IF('Data Source'!V166&gt;=2,"C",IF('Data Source'!V166&gt;=1,"D","F")))))))</f>
        <v/>
      </c>
      <c r="E166" s="3">
        <f>IF('Data Source'!B166="","",IF('Data Source'!W166&gt;=5,"A+",IF('Data Source'!W166&gt;=4,"A",IF('Data Source'!W166&gt;=3.5,"A-",IF('Data Source'!W166&gt;=3,"B",IF('Data Source'!W166&gt;=2,"C",IF('Data Source'!W166&gt;=1,"D","F")))))))</f>
        <v/>
      </c>
      <c r="F166" s="3">
        <f>IF('Data Source'!B166="","",IF('Data Source'!X166&gt;=5,"A+",IF('Data Source'!X166&gt;=4,"A",IF('Data Source'!X166&gt;=3.5,"A-",IF('Data Source'!X166&gt;=3,"B",IF('Data Source'!X166&gt;=2,"C",IF('Data Source'!X166&gt;=1,"D","F")))))))</f>
        <v/>
      </c>
      <c r="G166" s="3">
        <f>IF('Data Source'!B166="","",IF('Data Source'!Y166&gt;=5,"A+",IF('Data Source'!Y166&gt;=4,"A",IF('Data Source'!Y166&gt;=3.5,"A-",IF('Data Source'!Y166&gt;=3,"B",IF('Data Source'!Y166&gt;=2,"C",IF('Data Source'!Y166&gt;=1,"D","F")))))))</f>
        <v/>
      </c>
      <c r="H166" s="3">
        <f>IF('Data Source'!B166="","",IF('Data Source'!Z166&gt;=5,"A+",IF('Data Source'!Z166&gt;=4,"A",IF('Data Source'!Z166&gt;=3.5,"A-",IF('Data Source'!Z166&gt;=3,"B",IF('Data Source'!Z166&gt;=2,"C",IF('Data Source'!Z166&gt;=1,"D","F")))))))</f>
        <v/>
      </c>
      <c r="I166" s="3">
        <f>IF('Data Source'!B166="","",IF('Data Source'!AA166&gt;=5,"A+",IF('Data Source'!AA166&gt;=4,"A",IF('Data Source'!AA166&gt;=3.5,"A-",IF('Data Source'!AA166&gt;=3,"B",IF('Data Source'!AA166&gt;=2,"C",IF('Data Source'!AA166&gt;=1,"D","F")))))))</f>
        <v/>
      </c>
      <c r="J166" s="3">
        <f>IF('Data Source'!B166="","",IF('Data Source'!AB166&gt;=5,"A+",IF('Data Source'!AB166&gt;=4,"A",IF('Data Source'!AB166&gt;=3.5,"A-",IF('Data Source'!AB166&gt;=3,"B",IF('Data Source'!AB166&gt;=2,"C",IF('Data Source'!AB166&gt;=1,"D","F")))))))</f>
        <v/>
      </c>
      <c r="K166" s="3">
        <f>IF('Data Source'!B166="","",IF('Data Source'!AC166&gt;=5,"A+",IF('Data Source'!AC166&gt;=4,"A",IF('Data Source'!AC166&gt;=3.5,"A-",IF('Data Source'!AC166&gt;=3,"B",IF('Data Source'!AC166&gt;=2,"C",IF('Data Source'!AC166&gt;=1,"D","F")))))))</f>
        <v/>
      </c>
      <c r="L166" s="3">
        <f>IF('Data Source'!B166="","",IF('Data Source'!AD166&gt;=5,"A+",IF('Data Source'!AD166&gt;=4,"A",IF('Data Source'!AD166&gt;=3.5,"A-",IF('Data Source'!AD166&gt;=3,"B",IF('Data Source'!AD166&gt;=2,"C",IF('Data Source'!AD166&gt;=1,"D","F")))))))</f>
        <v/>
      </c>
      <c r="M166" s="3">
        <f>IF('Data Source'!B166="","",IF('Data Source'!AE166&gt;=5,"A+",IF('Data Source'!AE166&gt;=4,"A",IF('Data Source'!AE166&gt;=3.5,"A-",IF('Data Source'!AE166&gt;=3,"B",IF('Data Source'!AE166&gt;=2,"C",IF('Data Source'!AE166&gt;=1,"D","F")))))))</f>
        <v/>
      </c>
      <c r="N166" s="3">
        <f>IF('Data Source'!B166="","",IF('Data Source'!AF166&gt;=5,"A+",IF('Data Source'!AF166&gt;=4,"A",IF('Data Source'!AF166&gt;=3.5,"A-",IF('Data Source'!AF166&gt;=3,"B",IF('Data Source'!AF166&gt;=2,"C",IF('Data Source'!AF166&gt;=1,"D","F")))))))</f>
        <v/>
      </c>
      <c r="O166" s="3">
        <f>IF('Data Source'!B166="","",IF('Data Source'!AG166&gt;=5,"A+",IF('Data Source'!AG166&gt;=4,"A",IF('Data Source'!AG166&gt;=3.5,"A-",IF('Data Source'!AG166&gt;=3,"B",IF('Data Source'!AG166&gt;=2,"C",IF('Data Source'!AG166&gt;=1,"D","F")))))))</f>
        <v/>
      </c>
      <c r="P166" s="5">
        <f>IF('Data Source'!B166="","",'Data Source'!R166)</f>
        <v/>
      </c>
      <c r="Q166" s="3">
        <f>IF('Data Source'!B166="","",'Data Source'!S166)</f>
        <v/>
      </c>
    </row>
    <row r="167">
      <c r="A167" s="3">
        <f>IF('Data Source'!B167="","",'Data Source'!A167)</f>
        <v/>
      </c>
      <c r="B167">
        <f>IF('Data Source'!B167="","",'Data Source'!B167)</f>
        <v/>
      </c>
      <c r="C167" s="3">
        <f>IF('Data Source'!B167="","",IF('Data Source'!U167&gt;=5,"A+",IF('Data Source'!U167&gt;=4,"A",IF('Data Source'!U167&gt;=3.5,"A-",IF('Data Source'!U167&gt;=3,"B",IF('Data Source'!U167&gt;=2,"C",IF('Data Source'!U167&gt;=1,"D","F")))))))</f>
        <v/>
      </c>
      <c r="D167" s="3">
        <f>IF('Data Source'!B167="","",IF('Data Source'!V167&gt;=5,"A+",IF('Data Source'!V167&gt;=4,"A",IF('Data Source'!V167&gt;=3.5,"A-",IF('Data Source'!V167&gt;=3,"B",IF('Data Source'!V167&gt;=2,"C",IF('Data Source'!V167&gt;=1,"D","F")))))))</f>
        <v/>
      </c>
      <c r="E167" s="3">
        <f>IF('Data Source'!B167="","",IF('Data Source'!W167&gt;=5,"A+",IF('Data Source'!W167&gt;=4,"A",IF('Data Source'!W167&gt;=3.5,"A-",IF('Data Source'!W167&gt;=3,"B",IF('Data Source'!W167&gt;=2,"C",IF('Data Source'!W167&gt;=1,"D","F")))))))</f>
        <v/>
      </c>
      <c r="F167" s="3">
        <f>IF('Data Source'!B167="","",IF('Data Source'!X167&gt;=5,"A+",IF('Data Source'!X167&gt;=4,"A",IF('Data Source'!X167&gt;=3.5,"A-",IF('Data Source'!X167&gt;=3,"B",IF('Data Source'!X167&gt;=2,"C",IF('Data Source'!X167&gt;=1,"D","F")))))))</f>
        <v/>
      </c>
      <c r="G167" s="3">
        <f>IF('Data Source'!B167="","",IF('Data Source'!Y167&gt;=5,"A+",IF('Data Source'!Y167&gt;=4,"A",IF('Data Source'!Y167&gt;=3.5,"A-",IF('Data Source'!Y167&gt;=3,"B",IF('Data Source'!Y167&gt;=2,"C",IF('Data Source'!Y167&gt;=1,"D","F")))))))</f>
        <v/>
      </c>
      <c r="H167" s="3">
        <f>IF('Data Source'!B167="","",IF('Data Source'!Z167&gt;=5,"A+",IF('Data Source'!Z167&gt;=4,"A",IF('Data Source'!Z167&gt;=3.5,"A-",IF('Data Source'!Z167&gt;=3,"B",IF('Data Source'!Z167&gt;=2,"C",IF('Data Source'!Z167&gt;=1,"D","F")))))))</f>
        <v/>
      </c>
      <c r="I167" s="3">
        <f>IF('Data Source'!B167="","",IF('Data Source'!AA167&gt;=5,"A+",IF('Data Source'!AA167&gt;=4,"A",IF('Data Source'!AA167&gt;=3.5,"A-",IF('Data Source'!AA167&gt;=3,"B",IF('Data Source'!AA167&gt;=2,"C",IF('Data Source'!AA167&gt;=1,"D","F")))))))</f>
        <v/>
      </c>
      <c r="J167" s="3">
        <f>IF('Data Source'!B167="","",IF('Data Source'!AB167&gt;=5,"A+",IF('Data Source'!AB167&gt;=4,"A",IF('Data Source'!AB167&gt;=3.5,"A-",IF('Data Source'!AB167&gt;=3,"B",IF('Data Source'!AB167&gt;=2,"C",IF('Data Source'!AB167&gt;=1,"D","F")))))))</f>
        <v/>
      </c>
      <c r="K167" s="3">
        <f>IF('Data Source'!B167="","",IF('Data Source'!AC167&gt;=5,"A+",IF('Data Source'!AC167&gt;=4,"A",IF('Data Source'!AC167&gt;=3.5,"A-",IF('Data Source'!AC167&gt;=3,"B",IF('Data Source'!AC167&gt;=2,"C",IF('Data Source'!AC167&gt;=1,"D","F")))))))</f>
        <v/>
      </c>
      <c r="L167" s="3">
        <f>IF('Data Source'!B167="","",IF('Data Source'!AD167&gt;=5,"A+",IF('Data Source'!AD167&gt;=4,"A",IF('Data Source'!AD167&gt;=3.5,"A-",IF('Data Source'!AD167&gt;=3,"B",IF('Data Source'!AD167&gt;=2,"C",IF('Data Source'!AD167&gt;=1,"D","F")))))))</f>
        <v/>
      </c>
      <c r="M167" s="3">
        <f>IF('Data Source'!B167="","",IF('Data Source'!AE167&gt;=5,"A+",IF('Data Source'!AE167&gt;=4,"A",IF('Data Source'!AE167&gt;=3.5,"A-",IF('Data Source'!AE167&gt;=3,"B",IF('Data Source'!AE167&gt;=2,"C",IF('Data Source'!AE167&gt;=1,"D","F")))))))</f>
        <v/>
      </c>
      <c r="N167" s="3">
        <f>IF('Data Source'!B167="","",IF('Data Source'!AF167&gt;=5,"A+",IF('Data Source'!AF167&gt;=4,"A",IF('Data Source'!AF167&gt;=3.5,"A-",IF('Data Source'!AF167&gt;=3,"B",IF('Data Source'!AF167&gt;=2,"C",IF('Data Source'!AF167&gt;=1,"D","F")))))))</f>
        <v/>
      </c>
      <c r="O167" s="3">
        <f>IF('Data Source'!B167="","",IF('Data Source'!AG167&gt;=5,"A+",IF('Data Source'!AG167&gt;=4,"A",IF('Data Source'!AG167&gt;=3.5,"A-",IF('Data Source'!AG167&gt;=3,"B",IF('Data Source'!AG167&gt;=2,"C",IF('Data Source'!AG167&gt;=1,"D","F")))))))</f>
        <v/>
      </c>
      <c r="P167" s="5">
        <f>IF('Data Source'!B167="","",'Data Source'!R167)</f>
        <v/>
      </c>
      <c r="Q167" s="3">
        <f>IF('Data Source'!B167="","",'Data Source'!S167)</f>
        <v/>
      </c>
    </row>
    <row r="168">
      <c r="A168" s="3">
        <f>IF('Data Source'!B168="","",'Data Source'!A168)</f>
        <v/>
      </c>
      <c r="B168">
        <f>IF('Data Source'!B168="","",'Data Source'!B168)</f>
        <v/>
      </c>
      <c r="C168" s="3">
        <f>IF('Data Source'!B168="","",IF('Data Source'!U168&gt;=5,"A+",IF('Data Source'!U168&gt;=4,"A",IF('Data Source'!U168&gt;=3.5,"A-",IF('Data Source'!U168&gt;=3,"B",IF('Data Source'!U168&gt;=2,"C",IF('Data Source'!U168&gt;=1,"D","F")))))))</f>
        <v/>
      </c>
      <c r="D168" s="3">
        <f>IF('Data Source'!B168="","",IF('Data Source'!V168&gt;=5,"A+",IF('Data Source'!V168&gt;=4,"A",IF('Data Source'!V168&gt;=3.5,"A-",IF('Data Source'!V168&gt;=3,"B",IF('Data Source'!V168&gt;=2,"C",IF('Data Source'!V168&gt;=1,"D","F")))))))</f>
        <v/>
      </c>
      <c r="E168" s="3">
        <f>IF('Data Source'!B168="","",IF('Data Source'!W168&gt;=5,"A+",IF('Data Source'!W168&gt;=4,"A",IF('Data Source'!W168&gt;=3.5,"A-",IF('Data Source'!W168&gt;=3,"B",IF('Data Source'!W168&gt;=2,"C",IF('Data Source'!W168&gt;=1,"D","F")))))))</f>
        <v/>
      </c>
      <c r="F168" s="3">
        <f>IF('Data Source'!B168="","",IF('Data Source'!X168&gt;=5,"A+",IF('Data Source'!X168&gt;=4,"A",IF('Data Source'!X168&gt;=3.5,"A-",IF('Data Source'!X168&gt;=3,"B",IF('Data Source'!X168&gt;=2,"C",IF('Data Source'!X168&gt;=1,"D","F")))))))</f>
        <v/>
      </c>
      <c r="G168" s="3">
        <f>IF('Data Source'!B168="","",IF('Data Source'!Y168&gt;=5,"A+",IF('Data Source'!Y168&gt;=4,"A",IF('Data Source'!Y168&gt;=3.5,"A-",IF('Data Source'!Y168&gt;=3,"B",IF('Data Source'!Y168&gt;=2,"C",IF('Data Source'!Y168&gt;=1,"D","F")))))))</f>
        <v/>
      </c>
      <c r="H168" s="3">
        <f>IF('Data Source'!B168="","",IF('Data Source'!Z168&gt;=5,"A+",IF('Data Source'!Z168&gt;=4,"A",IF('Data Source'!Z168&gt;=3.5,"A-",IF('Data Source'!Z168&gt;=3,"B",IF('Data Source'!Z168&gt;=2,"C",IF('Data Source'!Z168&gt;=1,"D","F")))))))</f>
        <v/>
      </c>
      <c r="I168" s="3">
        <f>IF('Data Source'!B168="","",IF('Data Source'!AA168&gt;=5,"A+",IF('Data Source'!AA168&gt;=4,"A",IF('Data Source'!AA168&gt;=3.5,"A-",IF('Data Source'!AA168&gt;=3,"B",IF('Data Source'!AA168&gt;=2,"C",IF('Data Source'!AA168&gt;=1,"D","F")))))))</f>
        <v/>
      </c>
      <c r="J168" s="3">
        <f>IF('Data Source'!B168="","",IF('Data Source'!AB168&gt;=5,"A+",IF('Data Source'!AB168&gt;=4,"A",IF('Data Source'!AB168&gt;=3.5,"A-",IF('Data Source'!AB168&gt;=3,"B",IF('Data Source'!AB168&gt;=2,"C",IF('Data Source'!AB168&gt;=1,"D","F")))))))</f>
        <v/>
      </c>
      <c r="K168" s="3">
        <f>IF('Data Source'!B168="","",IF('Data Source'!AC168&gt;=5,"A+",IF('Data Source'!AC168&gt;=4,"A",IF('Data Source'!AC168&gt;=3.5,"A-",IF('Data Source'!AC168&gt;=3,"B",IF('Data Source'!AC168&gt;=2,"C",IF('Data Source'!AC168&gt;=1,"D","F")))))))</f>
        <v/>
      </c>
      <c r="L168" s="3">
        <f>IF('Data Source'!B168="","",IF('Data Source'!AD168&gt;=5,"A+",IF('Data Source'!AD168&gt;=4,"A",IF('Data Source'!AD168&gt;=3.5,"A-",IF('Data Source'!AD168&gt;=3,"B",IF('Data Source'!AD168&gt;=2,"C",IF('Data Source'!AD168&gt;=1,"D","F")))))))</f>
        <v/>
      </c>
      <c r="M168" s="3">
        <f>IF('Data Source'!B168="","",IF('Data Source'!AE168&gt;=5,"A+",IF('Data Source'!AE168&gt;=4,"A",IF('Data Source'!AE168&gt;=3.5,"A-",IF('Data Source'!AE168&gt;=3,"B",IF('Data Source'!AE168&gt;=2,"C",IF('Data Source'!AE168&gt;=1,"D","F")))))))</f>
        <v/>
      </c>
      <c r="N168" s="3">
        <f>IF('Data Source'!B168="","",IF('Data Source'!AF168&gt;=5,"A+",IF('Data Source'!AF168&gt;=4,"A",IF('Data Source'!AF168&gt;=3.5,"A-",IF('Data Source'!AF168&gt;=3,"B",IF('Data Source'!AF168&gt;=2,"C",IF('Data Source'!AF168&gt;=1,"D","F")))))))</f>
        <v/>
      </c>
      <c r="O168" s="3">
        <f>IF('Data Source'!B168="","",IF('Data Source'!AG168&gt;=5,"A+",IF('Data Source'!AG168&gt;=4,"A",IF('Data Source'!AG168&gt;=3.5,"A-",IF('Data Source'!AG168&gt;=3,"B",IF('Data Source'!AG168&gt;=2,"C",IF('Data Source'!AG168&gt;=1,"D","F")))))))</f>
        <v/>
      </c>
      <c r="P168" s="5">
        <f>IF('Data Source'!B168="","",'Data Source'!R168)</f>
        <v/>
      </c>
      <c r="Q168" s="3">
        <f>IF('Data Source'!B168="","",'Data Source'!S168)</f>
        <v/>
      </c>
    </row>
    <row r="169">
      <c r="A169" s="3">
        <f>IF('Data Source'!B169="","",'Data Source'!A169)</f>
        <v/>
      </c>
      <c r="B169">
        <f>IF('Data Source'!B169="","",'Data Source'!B169)</f>
        <v/>
      </c>
      <c r="C169" s="3">
        <f>IF('Data Source'!B169="","",IF('Data Source'!U169&gt;=5,"A+",IF('Data Source'!U169&gt;=4,"A",IF('Data Source'!U169&gt;=3.5,"A-",IF('Data Source'!U169&gt;=3,"B",IF('Data Source'!U169&gt;=2,"C",IF('Data Source'!U169&gt;=1,"D","F")))))))</f>
        <v/>
      </c>
      <c r="D169" s="3">
        <f>IF('Data Source'!B169="","",IF('Data Source'!V169&gt;=5,"A+",IF('Data Source'!V169&gt;=4,"A",IF('Data Source'!V169&gt;=3.5,"A-",IF('Data Source'!V169&gt;=3,"B",IF('Data Source'!V169&gt;=2,"C",IF('Data Source'!V169&gt;=1,"D","F")))))))</f>
        <v/>
      </c>
      <c r="E169" s="3">
        <f>IF('Data Source'!B169="","",IF('Data Source'!W169&gt;=5,"A+",IF('Data Source'!W169&gt;=4,"A",IF('Data Source'!W169&gt;=3.5,"A-",IF('Data Source'!W169&gt;=3,"B",IF('Data Source'!W169&gt;=2,"C",IF('Data Source'!W169&gt;=1,"D","F")))))))</f>
        <v/>
      </c>
      <c r="F169" s="3">
        <f>IF('Data Source'!B169="","",IF('Data Source'!X169&gt;=5,"A+",IF('Data Source'!X169&gt;=4,"A",IF('Data Source'!X169&gt;=3.5,"A-",IF('Data Source'!X169&gt;=3,"B",IF('Data Source'!X169&gt;=2,"C",IF('Data Source'!X169&gt;=1,"D","F")))))))</f>
        <v/>
      </c>
      <c r="G169" s="3">
        <f>IF('Data Source'!B169="","",IF('Data Source'!Y169&gt;=5,"A+",IF('Data Source'!Y169&gt;=4,"A",IF('Data Source'!Y169&gt;=3.5,"A-",IF('Data Source'!Y169&gt;=3,"B",IF('Data Source'!Y169&gt;=2,"C",IF('Data Source'!Y169&gt;=1,"D","F")))))))</f>
        <v/>
      </c>
      <c r="H169" s="3">
        <f>IF('Data Source'!B169="","",IF('Data Source'!Z169&gt;=5,"A+",IF('Data Source'!Z169&gt;=4,"A",IF('Data Source'!Z169&gt;=3.5,"A-",IF('Data Source'!Z169&gt;=3,"B",IF('Data Source'!Z169&gt;=2,"C",IF('Data Source'!Z169&gt;=1,"D","F")))))))</f>
        <v/>
      </c>
      <c r="I169" s="3">
        <f>IF('Data Source'!B169="","",IF('Data Source'!AA169&gt;=5,"A+",IF('Data Source'!AA169&gt;=4,"A",IF('Data Source'!AA169&gt;=3.5,"A-",IF('Data Source'!AA169&gt;=3,"B",IF('Data Source'!AA169&gt;=2,"C",IF('Data Source'!AA169&gt;=1,"D","F")))))))</f>
        <v/>
      </c>
      <c r="J169" s="3">
        <f>IF('Data Source'!B169="","",IF('Data Source'!AB169&gt;=5,"A+",IF('Data Source'!AB169&gt;=4,"A",IF('Data Source'!AB169&gt;=3.5,"A-",IF('Data Source'!AB169&gt;=3,"B",IF('Data Source'!AB169&gt;=2,"C",IF('Data Source'!AB169&gt;=1,"D","F")))))))</f>
        <v/>
      </c>
      <c r="K169" s="3">
        <f>IF('Data Source'!B169="","",IF('Data Source'!AC169&gt;=5,"A+",IF('Data Source'!AC169&gt;=4,"A",IF('Data Source'!AC169&gt;=3.5,"A-",IF('Data Source'!AC169&gt;=3,"B",IF('Data Source'!AC169&gt;=2,"C",IF('Data Source'!AC169&gt;=1,"D","F")))))))</f>
        <v/>
      </c>
      <c r="L169" s="3">
        <f>IF('Data Source'!B169="","",IF('Data Source'!AD169&gt;=5,"A+",IF('Data Source'!AD169&gt;=4,"A",IF('Data Source'!AD169&gt;=3.5,"A-",IF('Data Source'!AD169&gt;=3,"B",IF('Data Source'!AD169&gt;=2,"C",IF('Data Source'!AD169&gt;=1,"D","F")))))))</f>
        <v/>
      </c>
      <c r="M169" s="3">
        <f>IF('Data Source'!B169="","",IF('Data Source'!AE169&gt;=5,"A+",IF('Data Source'!AE169&gt;=4,"A",IF('Data Source'!AE169&gt;=3.5,"A-",IF('Data Source'!AE169&gt;=3,"B",IF('Data Source'!AE169&gt;=2,"C",IF('Data Source'!AE169&gt;=1,"D","F")))))))</f>
        <v/>
      </c>
      <c r="N169" s="3">
        <f>IF('Data Source'!B169="","",IF('Data Source'!AF169&gt;=5,"A+",IF('Data Source'!AF169&gt;=4,"A",IF('Data Source'!AF169&gt;=3.5,"A-",IF('Data Source'!AF169&gt;=3,"B",IF('Data Source'!AF169&gt;=2,"C",IF('Data Source'!AF169&gt;=1,"D","F")))))))</f>
        <v/>
      </c>
      <c r="O169" s="3">
        <f>IF('Data Source'!B169="","",IF('Data Source'!AG169&gt;=5,"A+",IF('Data Source'!AG169&gt;=4,"A",IF('Data Source'!AG169&gt;=3.5,"A-",IF('Data Source'!AG169&gt;=3,"B",IF('Data Source'!AG169&gt;=2,"C",IF('Data Source'!AG169&gt;=1,"D","F")))))))</f>
        <v/>
      </c>
      <c r="P169" s="5">
        <f>IF('Data Source'!B169="","",'Data Source'!R169)</f>
        <v/>
      </c>
      <c r="Q169" s="3">
        <f>IF('Data Source'!B169="","",'Data Source'!S169)</f>
        <v/>
      </c>
    </row>
    <row r="170">
      <c r="A170" s="3">
        <f>IF('Data Source'!B170="","",'Data Source'!A170)</f>
        <v/>
      </c>
      <c r="B170">
        <f>IF('Data Source'!B170="","",'Data Source'!B170)</f>
        <v/>
      </c>
      <c r="C170" s="3">
        <f>IF('Data Source'!B170="","",IF('Data Source'!U170&gt;=5,"A+",IF('Data Source'!U170&gt;=4,"A",IF('Data Source'!U170&gt;=3.5,"A-",IF('Data Source'!U170&gt;=3,"B",IF('Data Source'!U170&gt;=2,"C",IF('Data Source'!U170&gt;=1,"D","F")))))))</f>
        <v/>
      </c>
      <c r="D170" s="3">
        <f>IF('Data Source'!B170="","",IF('Data Source'!V170&gt;=5,"A+",IF('Data Source'!V170&gt;=4,"A",IF('Data Source'!V170&gt;=3.5,"A-",IF('Data Source'!V170&gt;=3,"B",IF('Data Source'!V170&gt;=2,"C",IF('Data Source'!V170&gt;=1,"D","F")))))))</f>
        <v/>
      </c>
      <c r="E170" s="3">
        <f>IF('Data Source'!B170="","",IF('Data Source'!W170&gt;=5,"A+",IF('Data Source'!W170&gt;=4,"A",IF('Data Source'!W170&gt;=3.5,"A-",IF('Data Source'!W170&gt;=3,"B",IF('Data Source'!W170&gt;=2,"C",IF('Data Source'!W170&gt;=1,"D","F")))))))</f>
        <v/>
      </c>
      <c r="F170" s="3">
        <f>IF('Data Source'!B170="","",IF('Data Source'!X170&gt;=5,"A+",IF('Data Source'!X170&gt;=4,"A",IF('Data Source'!X170&gt;=3.5,"A-",IF('Data Source'!X170&gt;=3,"B",IF('Data Source'!X170&gt;=2,"C",IF('Data Source'!X170&gt;=1,"D","F")))))))</f>
        <v/>
      </c>
      <c r="G170" s="3">
        <f>IF('Data Source'!B170="","",IF('Data Source'!Y170&gt;=5,"A+",IF('Data Source'!Y170&gt;=4,"A",IF('Data Source'!Y170&gt;=3.5,"A-",IF('Data Source'!Y170&gt;=3,"B",IF('Data Source'!Y170&gt;=2,"C",IF('Data Source'!Y170&gt;=1,"D","F")))))))</f>
        <v/>
      </c>
      <c r="H170" s="3">
        <f>IF('Data Source'!B170="","",IF('Data Source'!Z170&gt;=5,"A+",IF('Data Source'!Z170&gt;=4,"A",IF('Data Source'!Z170&gt;=3.5,"A-",IF('Data Source'!Z170&gt;=3,"B",IF('Data Source'!Z170&gt;=2,"C",IF('Data Source'!Z170&gt;=1,"D","F")))))))</f>
        <v/>
      </c>
      <c r="I170" s="3">
        <f>IF('Data Source'!B170="","",IF('Data Source'!AA170&gt;=5,"A+",IF('Data Source'!AA170&gt;=4,"A",IF('Data Source'!AA170&gt;=3.5,"A-",IF('Data Source'!AA170&gt;=3,"B",IF('Data Source'!AA170&gt;=2,"C",IF('Data Source'!AA170&gt;=1,"D","F")))))))</f>
        <v/>
      </c>
      <c r="J170" s="3">
        <f>IF('Data Source'!B170="","",IF('Data Source'!AB170&gt;=5,"A+",IF('Data Source'!AB170&gt;=4,"A",IF('Data Source'!AB170&gt;=3.5,"A-",IF('Data Source'!AB170&gt;=3,"B",IF('Data Source'!AB170&gt;=2,"C",IF('Data Source'!AB170&gt;=1,"D","F")))))))</f>
        <v/>
      </c>
      <c r="K170" s="3">
        <f>IF('Data Source'!B170="","",IF('Data Source'!AC170&gt;=5,"A+",IF('Data Source'!AC170&gt;=4,"A",IF('Data Source'!AC170&gt;=3.5,"A-",IF('Data Source'!AC170&gt;=3,"B",IF('Data Source'!AC170&gt;=2,"C",IF('Data Source'!AC170&gt;=1,"D","F")))))))</f>
        <v/>
      </c>
      <c r="L170" s="3">
        <f>IF('Data Source'!B170="","",IF('Data Source'!AD170&gt;=5,"A+",IF('Data Source'!AD170&gt;=4,"A",IF('Data Source'!AD170&gt;=3.5,"A-",IF('Data Source'!AD170&gt;=3,"B",IF('Data Source'!AD170&gt;=2,"C",IF('Data Source'!AD170&gt;=1,"D","F")))))))</f>
        <v/>
      </c>
      <c r="M170" s="3">
        <f>IF('Data Source'!B170="","",IF('Data Source'!AE170&gt;=5,"A+",IF('Data Source'!AE170&gt;=4,"A",IF('Data Source'!AE170&gt;=3.5,"A-",IF('Data Source'!AE170&gt;=3,"B",IF('Data Source'!AE170&gt;=2,"C",IF('Data Source'!AE170&gt;=1,"D","F")))))))</f>
        <v/>
      </c>
      <c r="N170" s="3">
        <f>IF('Data Source'!B170="","",IF('Data Source'!AF170&gt;=5,"A+",IF('Data Source'!AF170&gt;=4,"A",IF('Data Source'!AF170&gt;=3.5,"A-",IF('Data Source'!AF170&gt;=3,"B",IF('Data Source'!AF170&gt;=2,"C",IF('Data Source'!AF170&gt;=1,"D","F")))))))</f>
        <v/>
      </c>
      <c r="O170" s="3">
        <f>IF('Data Source'!B170="","",IF('Data Source'!AG170&gt;=5,"A+",IF('Data Source'!AG170&gt;=4,"A",IF('Data Source'!AG170&gt;=3.5,"A-",IF('Data Source'!AG170&gt;=3,"B",IF('Data Source'!AG170&gt;=2,"C",IF('Data Source'!AG170&gt;=1,"D","F")))))))</f>
        <v/>
      </c>
      <c r="P170" s="5">
        <f>IF('Data Source'!B170="","",'Data Source'!R170)</f>
        <v/>
      </c>
      <c r="Q170" s="3">
        <f>IF('Data Source'!B170="","",'Data Source'!S170)</f>
        <v/>
      </c>
    </row>
    <row r="171">
      <c r="A171" s="3">
        <f>IF('Data Source'!B171="","",'Data Source'!A171)</f>
        <v/>
      </c>
      <c r="B171">
        <f>IF('Data Source'!B171="","",'Data Source'!B171)</f>
        <v/>
      </c>
      <c r="C171" s="3">
        <f>IF('Data Source'!B171="","",IF('Data Source'!U171&gt;=5,"A+",IF('Data Source'!U171&gt;=4,"A",IF('Data Source'!U171&gt;=3.5,"A-",IF('Data Source'!U171&gt;=3,"B",IF('Data Source'!U171&gt;=2,"C",IF('Data Source'!U171&gt;=1,"D","F")))))))</f>
        <v/>
      </c>
      <c r="D171" s="3">
        <f>IF('Data Source'!B171="","",IF('Data Source'!V171&gt;=5,"A+",IF('Data Source'!V171&gt;=4,"A",IF('Data Source'!V171&gt;=3.5,"A-",IF('Data Source'!V171&gt;=3,"B",IF('Data Source'!V171&gt;=2,"C",IF('Data Source'!V171&gt;=1,"D","F")))))))</f>
        <v/>
      </c>
      <c r="E171" s="3">
        <f>IF('Data Source'!B171="","",IF('Data Source'!W171&gt;=5,"A+",IF('Data Source'!W171&gt;=4,"A",IF('Data Source'!W171&gt;=3.5,"A-",IF('Data Source'!W171&gt;=3,"B",IF('Data Source'!W171&gt;=2,"C",IF('Data Source'!W171&gt;=1,"D","F")))))))</f>
        <v/>
      </c>
      <c r="F171" s="3">
        <f>IF('Data Source'!B171="","",IF('Data Source'!X171&gt;=5,"A+",IF('Data Source'!X171&gt;=4,"A",IF('Data Source'!X171&gt;=3.5,"A-",IF('Data Source'!X171&gt;=3,"B",IF('Data Source'!X171&gt;=2,"C",IF('Data Source'!X171&gt;=1,"D","F")))))))</f>
        <v/>
      </c>
      <c r="G171" s="3">
        <f>IF('Data Source'!B171="","",IF('Data Source'!Y171&gt;=5,"A+",IF('Data Source'!Y171&gt;=4,"A",IF('Data Source'!Y171&gt;=3.5,"A-",IF('Data Source'!Y171&gt;=3,"B",IF('Data Source'!Y171&gt;=2,"C",IF('Data Source'!Y171&gt;=1,"D","F")))))))</f>
        <v/>
      </c>
      <c r="H171" s="3">
        <f>IF('Data Source'!B171="","",IF('Data Source'!Z171&gt;=5,"A+",IF('Data Source'!Z171&gt;=4,"A",IF('Data Source'!Z171&gt;=3.5,"A-",IF('Data Source'!Z171&gt;=3,"B",IF('Data Source'!Z171&gt;=2,"C",IF('Data Source'!Z171&gt;=1,"D","F")))))))</f>
        <v/>
      </c>
      <c r="I171" s="3">
        <f>IF('Data Source'!B171="","",IF('Data Source'!AA171&gt;=5,"A+",IF('Data Source'!AA171&gt;=4,"A",IF('Data Source'!AA171&gt;=3.5,"A-",IF('Data Source'!AA171&gt;=3,"B",IF('Data Source'!AA171&gt;=2,"C",IF('Data Source'!AA171&gt;=1,"D","F")))))))</f>
        <v/>
      </c>
      <c r="J171" s="3">
        <f>IF('Data Source'!B171="","",IF('Data Source'!AB171&gt;=5,"A+",IF('Data Source'!AB171&gt;=4,"A",IF('Data Source'!AB171&gt;=3.5,"A-",IF('Data Source'!AB171&gt;=3,"B",IF('Data Source'!AB171&gt;=2,"C",IF('Data Source'!AB171&gt;=1,"D","F")))))))</f>
        <v/>
      </c>
      <c r="K171" s="3">
        <f>IF('Data Source'!B171="","",IF('Data Source'!AC171&gt;=5,"A+",IF('Data Source'!AC171&gt;=4,"A",IF('Data Source'!AC171&gt;=3.5,"A-",IF('Data Source'!AC171&gt;=3,"B",IF('Data Source'!AC171&gt;=2,"C",IF('Data Source'!AC171&gt;=1,"D","F")))))))</f>
        <v/>
      </c>
      <c r="L171" s="3">
        <f>IF('Data Source'!B171="","",IF('Data Source'!AD171&gt;=5,"A+",IF('Data Source'!AD171&gt;=4,"A",IF('Data Source'!AD171&gt;=3.5,"A-",IF('Data Source'!AD171&gt;=3,"B",IF('Data Source'!AD171&gt;=2,"C",IF('Data Source'!AD171&gt;=1,"D","F")))))))</f>
        <v/>
      </c>
      <c r="M171" s="3">
        <f>IF('Data Source'!B171="","",IF('Data Source'!AE171&gt;=5,"A+",IF('Data Source'!AE171&gt;=4,"A",IF('Data Source'!AE171&gt;=3.5,"A-",IF('Data Source'!AE171&gt;=3,"B",IF('Data Source'!AE171&gt;=2,"C",IF('Data Source'!AE171&gt;=1,"D","F")))))))</f>
        <v/>
      </c>
      <c r="N171" s="3">
        <f>IF('Data Source'!B171="","",IF('Data Source'!AF171&gt;=5,"A+",IF('Data Source'!AF171&gt;=4,"A",IF('Data Source'!AF171&gt;=3.5,"A-",IF('Data Source'!AF171&gt;=3,"B",IF('Data Source'!AF171&gt;=2,"C",IF('Data Source'!AF171&gt;=1,"D","F")))))))</f>
        <v/>
      </c>
      <c r="O171" s="3">
        <f>IF('Data Source'!B171="","",IF('Data Source'!AG171&gt;=5,"A+",IF('Data Source'!AG171&gt;=4,"A",IF('Data Source'!AG171&gt;=3.5,"A-",IF('Data Source'!AG171&gt;=3,"B",IF('Data Source'!AG171&gt;=2,"C",IF('Data Source'!AG171&gt;=1,"D","F")))))))</f>
        <v/>
      </c>
      <c r="P171" s="5">
        <f>IF('Data Source'!B171="","",'Data Source'!R171)</f>
        <v/>
      </c>
      <c r="Q171" s="3">
        <f>IF('Data Source'!B171="","",'Data Source'!S171)</f>
        <v/>
      </c>
    </row>
    <row r="172">
      <c r="A172" s="3">
        <f>IF('Data Source'!B172="","",'Data Source'!A172)</f>
        <v/>
      </c>
      <c r="B172">
        <f>IF('Data Source'!B172="","",'Data Source'!B172)</f>
        <v/>
      </c>
      <c r="C172" s="3">
        <f>IF('Data Source'!B172="","",IF('Data Source'!U172&gt;=5,"A+",IF('Data Source'!U172&gt;=4,"A",IF('Data Source'!U172&gt;=3.5,"A-",IF('Data Source'!U172&gt;=3,"B",IF('Data Source'!U172&gt;=2,"C",IF('Data Source'!U172&gt;=1,"D","F")))))))</f>
        <v/>
      </c>
      <c r="D172" s="3">
        <f>IF('Data Source'!B172="","",IF('Data Source'!V172&gt;=5,"A+",IF('Data Source'!V172&gt;=4,"A",IF('Data Source'!V172&gt;=3.5,"A-",IF('Data Source'!V172&gt;=3,"B",IF('Data Source'!V172&gt;=2,"C",IF('Data Source'!V172&gt;=1,"D","F")))))))</f>
        <v/>
      </c>
      <c r="E172" s="3">
        <f>IF('Data Source'!B172="","",IF('Data Source'!W172&gt;=5,"A+",IF('Data Source'!W172&gt;=4,"A",IF('Data Source'!W172&gt;=3.5,"A-",IF('Data Source'!W172&gt;=3,"B",IF('Data Source'!W172&gt;=2,"C",IF('Data Source'!W172&gt;=1,"D","F")))))))</f>
        <v/>
      </c>
      <c r="F172" s="3">
        <f>IF('Data Source'!B172="","",IF('Data Source'!X172&gt;=5,"A+",IF('Data Source'!X172&gt;=4,"A",IF('Data Source'!X172&gt;=3.5,"A-",IF('Data Source'!X172&gt;=3,"B",IF('Data Source'!X172&gt;=2,"C",IF('Data Source'!X172&gt;=1,"D","F")))))))</f>
        <v/>
      </c>
      <c r="G172" s="3">
        <f>IF('Data Source'!B172="","",IF('Data Source'!Y172&gt;=5,"A+",IF('Data Source'!Y172&gt;=4,"A",IF('Data Source'!Y172&gt;=3.5,"A-",IF('Data Source'!Y172&gt;=3,"B",IF('Data Source'!Y172&gt;=2,"C",IF('Data Source'!Y172&gt;=1,"D","F")))))))</f>
        <v/>
      </c>
      <c r="H172" s="3">
        <f>IF('Data Source'!B172="","",IF('Data Source'!Z172&gt;=5,"A+",IF('Data Source'!Z172&gt;=4,"A",IF('Data Source'!Z172&gt;=3.5,"A-",IF('Data Source'!Z172&gt;=3,"B",IF('Data Source'!Z172&gt;=2,"C",IF('Data Source'!Z172&gt;=1,"D","F")))))))</f>
        <v/>
      </c>
      <c r="I172" s="3">
        <f>IF('Data Source'!B172="","",IF('Data Source'!AA172&gt;=5,"A+",IF('Data Source'!AA172&gt;=4,"A",IF('Data Source'!AA172&gt;=3.5,"A-",IF('Data Source'!AA172&gt;=3,"B",IF('Data Source'!AA172&gt;=2,"C",IF('Data Source'!AA172&gt;=1,"D","F")))))))</f>
        <v/>
      </c>
      <c r="J172" s="3">
        <f>IF('Data Source'!B172="","",IF('Data Source'!AB172&gt;=5,"A+",IF('Data Source'!AB172&gt;=4,"A",IF('Data Source'!AB172&gt;=3.5,"A-",IF('Data Source'!AB172&gt;=3,"B",IF('Data Source'!AB172&gt;=2,"C",IF('Data Source'!AB172&gt;=1,"D","F")))))))</f>
        <v/>
      </c>
      <c r="K172" s="3">
        <f>IF('Data Source'!B172="","",IF('Data Source'!AC172&gt;=5,"A+",IF('Data Source'!AC172&gt;=4,"A",IF('Data Source'!AC172&gt;=3.5,"A-",IF('Data Source'!AC172&gt;=3,"B",IF('Data Source'!AC172&gt;=2,"C",IF('Data Source'!AC172&gt;=1,"D","F")))))))</f>
        <v/>
      </c>
      <c r="L172" s="3">
        <f>IF('Data Source'!B172="","",IF('Data Source'!AD172&gt;=5,"A+",IF('Data Source'!AD172&gt;=4,"A",IF('Data Source'!AD172&gt;=3.5,"A-",IF('Data Source'!AD172&gt;=3,"B",IF('Data Source'!AD172&gt;=2,"C",IF('Data Source'!AD172&gt;=1,"D","F")))))))</f>
        <v/>
      </c>
      <c r="M172" s="3">
        <f>IF('Data Source'!B172="","",IF('Data Source'!AE172&gt;=5,"A+",IF('Data Source'!AE172&gt;=4,"A",IF('Data Source'!AE172&gt;=3.5,"A-",IF('Data Source'!AE172&gt;=3,"B",IF('Data Source'!AE172&gt;=2,"C",IF('Data Source'!AE172&gt;=1,"D","F")))))))</f>
        <v/>
      </c>
      <c r="N172" s="3">
        <f>IF('Data Source'!B172="","",IF('Data Source'!AF172&gt;=5,"A+",IF('Data Source'!AF172&gt;=4,"A",IF('Data Source'!AF172&gt;=3.5,"A-",IF('Data Source'!AF172&gt;=3,"B",IF('Data Source'!AF172&gt;=2,"C",IF('Data Source'!AF172&gt;=1,"D","F")))))))</f>
        <v/>
      </c>
      <c r="O172" s="3">
        <f>IF('Data Source'!B172="","",IF('Data Source'!AG172&gt;=5,"A+",IF('Data Source'!AG172&gt;=4,"A",IF('Data Source'!AG172&gt;=3.5,"A-",IF('Data Source'!AG172&gt;=3,"B",IF('Data Source'!AG172&gt;=2,"C",IF('Data Source'!AG172&gt;=1,"D","F")))))))</f>
        <v/>
      </c>
      <c r="P172" s="5">
        <f>IF('Data Source'!B172="","",'Data Source'!R172)</f>
        <v/>
      </c>
      <c r="Q172" s="3">
        <f>IF('Data Source'!B172="","",'Data Source'!S172)</f>
        <v/>
      </c>
    </row>
    <row r="173">
      <c r="A173" s="3">
        <f>IF('Data Source'!B173="","",'Data Source'!A173)</f>
        <v/>
      </c>
      <c r="B173">
        <f>IF('Data Source'!B173="","",'Data Source'!B173)</f>
        <v/>
      </c>
      <c r="C173" s="3">
        <f>IF('Data Source'!B173="","",IF('Data Source'!U173&gt;=5,"A+",IF('Data Source'!U173&gt;=4,"A",IF('Data Source'!U173&gt;=3.5,"A-",IF('Data Source'!U173&gt;=3,"B",IF('Data Source'!U173&gt;=2,"C",IF('Data Source'!U173&gt;=1,"D","F")))))))</f>
        <v/>
      </c>
      <c r="D173" s="3">
        <f>IF('Data Source'!B173="","",IF('Data Source'!V173&gt;=5,"A+",IF('Data Source'!V173&gt;=4,"A",IF('Data Source'!V173&gt;=3.5,"A-",IF('Data Source'!V173&gt;=3,"B",IF('Data Source'!V173&gt;=2,"C",IF('Data Source'!V173&gt;=1,"D","F")))))))</f>
        <v/>
      </c>
      <c r="E173" s="3">
        <f>IF('Data Source'!B173="","",IF('Data Source'!W173&gt;=5,"A+",IF('Data Source'!W173&gt;=4,"A",IF('Data Source'!W173&gt;=3.5,"A-",IF('Data Source'!W173&gt;=3,"B",IF('Data Source'!W173&gt;=2,"C",IF('Data Source'!W173&gt;=1,"D","F")))))))</f>
        <v/>
      </c>
      <c r="F173" s="3">
        <f>IF('Data Source'!B173="","",IF('Data Source'!X173&gt;=5,"A+",IF('Data Source'!X173&gt;=4,"A",IF('Data Source'!X173&gt;=3.5,"A-",IF('Data Source'!X173&gt;=3,"B",IF('Data Source'!X173&gt;=2,"C",IF('Data Source'!X173&gt;=1,"D","F")))))))</f>
        <v/>
      </c>
      <c r="G173" s="3">
        <f>IF('Data Source'!B173="","",IF('Data Source'!Y173&gt;=5,"A+",IF('Data Source'!Y173&gt;=4,"A",IF('Data Source'!Y173&gt;=3.5,"A-",IF('Data Source'!Y173&gt;=3,"B",IF('Data Source'!Y173&gt;=2,"C",IF('Data Source'!Y173&gt;=1,"D","F")))))))</f>
        <v/>
      </c>
      <c r="H173" s="3">
        <f>IF('Data Source'!B173="","",IF('Data Source'!Z173&gt;=5,"A+",IF('Data Source'!Z173&gt;=4,"A",IF('Data Source'!Z173&gt;=3.5,"A-",IF('Data Source'!Z173&gt;=3,"B",IF('Data Source'!Z173&gt;=2,"C",IF('Data Source'!Z173&gt;=1,"D","F")))))))</f>
        <v/>
      </c>
      <c r="I173" s="3">
        <f>IF('Data Source'!B173="","",IF('Data Source'!AA173&gt;=5,"A+",IF('Data Source'!AA173&gt;=4,"A",IF('Data Source'!AA173&gt;=3.5,"A-",IF('Data Source'!AA173&gt;=3,"B",IF('Data Source'!AA173&gt;=2,"C",IF('Data Source'!AA173&gt;=1,"D","F")))))))</f>
        <v/>
      </c>
      <c r="J173" s="3">
        <f>IF('Data Source'!B173="","",IF('Data Source'!AB173&gt;=5,"A+",IF('Data Source'!AB173&gt;=4,"A",IF('Data Source'!AB173&gt;=3.5,"A-",IF('Data Source'!AB173&gt;=3,"B",IF('Data Source'!AB173&gt;=2,"C",IF('Data Source'!AB173&gt;=1,"D","F")))))))</f>
        <v/>
      </c>
      <c r="K173" s="3">
        <f>IF('Data Source'!B173="","",IF('Data Source'!AC173&gt;=5,"A+",IF('Data Source'!AC173&gt;=4,"A",IF('Data Source'!AC173&gt;=3.5,"A-",IF('Data Source'!AC173&gt;=3,"B",IF('Data Source'!AC173&gt;=2,"C",IF('Data Source'!AC173&gt;=1,"D","F")))))))</f>
        <v/>
      </c>
      <c r="L173" s="3">
        <f>IF('Data Source'!B173="","",IF('Data Source'!AD173&gt;=5,"A+",IF('Data Source'!AD173&gt;=4,"A",IF('Data Source'!AD173&gt;=3.5,"A-",IF('Data Source'!AD173&gt;=3,"B",IF('Data Source'!AD173&gt;=2,"C",IF('Data Source'!AD173&gt;=1,"D","F")))))))</f>
        <v/>
      </c>
      <c r="M173" s="3">
        <f>IF('Data Source'!B173="","",IF('Data Source'!AE173&gt;=5,"A+",IF('Data Source'!AE173&gt;=4,"A",IF('Data Source'!AE173&gt;=3.5,"A-",IF('Data Source'!AE173&gt;=3,"B",IF('Data Source'!AE173&gt;=2,"C",IF('Data Source'!AE173&gt;=1,"D","F")))))))</f>
        <v/>
      </c>
      <c r="N173" s="3">
        <f>IF('Data Source'!B173="","",IF('Data Source'!AF173&gt;=5,"A+",IF('Data Source'!AF173&gt;=4,"A",IF('Data Source'!AF173&gt;=3.5,"A-",IF('Data Source'!AF173&gt;=3,"B",IF('Data Source'!AF173&gt;=2,"C",IF('Data Source'!AF173&gt;=1,"D","F")))))))</f>
        <v/>
      </c>
      <c r="O173" s="3">
        <f>IF('Data Source'!B173="","",IF('Data Source'!AG173&gt;=5,"A+",IF('Data Source'!AG173&gt;=4,"A",IF('Data Source'!AG173&gt;=3.5,"A-",IF('Data Source'!AG173&gt;=3,"B",IF('Data Source'!AG173&gt;=2,"C",IF('Data Source'!AG173&gt;=1,"D","F")))))))</f>
        <v/>
      </c>
      <c r="P173" s="5">
        <f>IF('Data Source'!B173="","",'Data Source'!R173)</f>
        <v/>
      </c>
      <c r="Q173" s="3">
        <f>IF('Data Source'!B173="","",'Data Source'!S173)</f>
        <v/>
      </c>
    </row>
    <row r="174">
      <c r="A174" s="3">
        <f>IF('Data Source'!B174="","",'Data Source'!A174)</f>
        <v/>
      </c>
      <c r="B174">
        <f>IF('Data Source'!B174="","",'Data Source'!B174)</f>
        <v/>
      </c>
      <c r="C174" s="3">
        <f>IF('Data Source'!B174="","",IF('Data Source'!U174&gt;=5,"A+",IF('Data Source'!U174&gt;=4,"A",IF('Data Source'!U174&gt;=3.5,"A-",IF('Data Source'!U174&gt;=3,"B",IF('Data Source'!U174&gt;=2,"C",IF('Data Source'!U174&gt;=1,"D","F")))))))</f>
        <v/>
      </c>
      <c r="D174" s="3">
        <f>IF('Data Source'!B174="","",IF('Data Source'!V174&gt;=5,"A+",IF('Data Source'!V174&gt;=4,"A",IF('Data Source'!V174&gt;=3.5,"A-",IF('Data Source'!V174&gt;=3,"B",IF('Data Source'!V174&gt;=2,"C",IF('Data Source'!V174&gt;=1,"D","F")))))))</f>
        <v/>
      </c>
      <c r="E174" s="3">
        <f>IF('Data Source'!B174="","",IF('Data Source'!W174&gt;=5,"A+",IF('Data Source'!W174&gt;=4,"A",IF('Data Source'!W174&gt;=3.5,"A-",IF('Data Source'!W174&gt;=3,"B",IF('Data Source'!W174&gt;=2,"C",IF('Data Source'!W174&gt;=1,"D","F")))))))</f>
        <v/>
      </c>
      <c r="F174" s="3">
        <f>IF('Data Source'!B174="","",IF('Data Source'!X174&gt;=5,"A+",IF('Data Source'!X174&gt;=4,"A",IF('Data Source'!X174&gt;=3.5,"A-",IF('Data Source'!X174&gt;=3,"B",IF('Data Source'!X174&gt;=2,"C",IF('Data Source'!X174&gt;=1,"D","F")))))))</f>
        <v/>
      </c>
      <c r="G174" s="3">
        <f>IF('Data Source'!B174="","",IF('Data Source'!Y174&gt;=5,"A+",IF('Data Source'!Y174&gt;=4,"A",IF('Data Source'!Y174&gt;=3.5,"A-",IF('Data Source'!Y174&gt;=3,"B",IF('Data Source'!Y174&gt;=2,"C",IF('Data Source'!Y174&gt;=1,"D","F")))))))</f>
        <v/>
      </c>
      <c r="H174" s="3">
        <f>IF('Data Source'!B174="","",IF('Data Source'!Z174&gt;=5,"A+",IF('Data Source'!Z174&gt;=4,"A",IF('Data Source'!Z174&gt;=3.5,"A-",IF('Data Source'!Z174&gt;=3,"B",IF('Data Source'!Z174&gt;=2,"C",IF('Data Source'!Z174&gt;=1,"D","F")))))))</f>
        <v/>
      </c>
      <c r="I174" s="3">
        <f>IF('Data Source'!B174="","",IF('Data Source'!AA174&gt;=5,"A+",IF('Data Source'!AA174&gt;=4,"A",IF('Data Source'!AA174&gt;=3.5,"A-",IF('Data Source'!AA174&gt;=3,"B",IF('Data Source'!AA174&gt;=2,"C",IF('Data Source'!AA174&gt;=1,"D","F")))))))</f>
        <v/>
      </c>
      <c r="J174" s="3">
        <f>IF('Data Source'!B174="","",IF('Data Source'!AB174&gt;=5,"A+",IF('Data Source'!AB174&gt;=4,"A",IF('Data Source'!AB174&gt;=3.5,"A-",IF('Data Source'!AB174&gt;=3,"B",IF('Data Source'!AB174&gt;=2,"C",IF('Data Source'!AB174&gt;=1,"D","F")))))))</f>
        <v/>
      </c>
      <c r="K174" s="3">
        <f>IF('Data Source'!B174="","",IF('Data Source'!AC174&gt;=5,"A+",IF('Data Source'!AC174&gt;=4,"A",IF('Data Source'!AC174&gt;=3.5,"A-",IF('Data Source'!AC174&gt;=3,"B",IF('Data Source'!AC174&gt;=2,"C",IF('Data Source'!AC174&gt;=1,"D","F")))))))</f>
        <v/>
      </c>
      <c r="L174" s="3">
        <f>IF('Data Source'!B174="","",IF('Data Source'!AD174&gt;=5,"A+",IF('Data Source'!AD174&gt;=4,"A",IF('Data Source'!AD174&gt;=3.5,"A-",IF('Data Source'!AD174&gt;=3,"B",IF('Data Source'!AD174&gt;=2,"C",IF('Data Source'!AD174&gt;=1,"D","F")))))))</f>
        <v/>
      </c>
      <c r="M174" s="3">
        <f>IF('Data Source'!B174="","",IF('Data Source'!AE174&gt;=5,"A+",IF('Data Source'!AE174&gt;=4,"A",IF('Data Source'!AE174&gt;=3.5,"A-",IF('Data Source'!AE174&gt;=3,"B",IF('Data Source'!AE174&gt;=2,"C",IF('Data Source'!AE174&gt;=1,"D","F")))))))</f>
        <v/>
      </c>
      <c r="N174" s="3">
        <f>IF('Data Source'!B174="","",IF('Data Source'!AF174&gt;=5,"A+",IF('Data Source'!AF174&gt;=4,"A",IF('Data Source'!AF174&gt;=3.5,"A-",IF('Data Source'!AF174&gt;=3,"B",IF('Data Source'!AF174&gt;=2,"C",IF('Data Source'!AF174&gt;=1,"D","F")))))))</f>
        <v/>
      </c>
      <c r="O174" s="3">
        <f>IF('Data Source'!B174="","",IF('Data Source'!AG174&gt;=5,"A+",IF('Data Source'!AG174&gt;=4,"A",IF('Data Source'!AG174&gt;=3.5,"A-",IF('Data Source'!AG174&gt;=3,"B",IF('Data Source'!AG174&gt;=2,"C",IF('Data Source'!AG174&gt;=1,"D","F")))))))</f>
        <v/>
      </c>
      <c r="P174" s="5">
        <f>IF('Data Source'!B174="","",'Data Source'!R174)</f>
        <v/>
      </c>
      <c r="Q174" s="3">
        <f>IF('Data Source'!B174="","",'Data Source'!S174)</f>
        <v/>
      </c>
    </row>
    <row r="175">
      <c r="A175" s="3">
        <f>IF('Data Source'!B175="","",'Data Source'!A175)</f>
        <v/>
      </c>
      <c r="B175">
        <f>IF('Data Source'!B175="","",'Data Source'!B175)</f>
        <v/>
      </c>
      <c r="C175" s="3">
        <f>IF('Data Source'!B175="","",IF('Data Source'!U175&gt;=5,"A+",IF('Data Source'!U175&gt;=4,"A",IF('Data Source'!U175&gt;=3.5,"A-",IF('Data Source'!U175&gt;=3,"B",IF('Data Source'!U175&gt;=2,"C",IF('Data Source'!U175&gt;=1,"D","F")))))))</f>
        <v/>
      </c>
      <c r="D175" s="3">
        <f>IF('Data Source'!B175="","",IF('Data Source'!V175&gt;=5,"A+",IF('Data Source'!V175&gt;=4,"A",IF('Data Source'!V175&gt;=3.5,"A-",IF('Data Source'!V175&gt;=3,"B",IF('Data Source'!V175&gt;=2,"C",IF('Data Source'!V175&gt;=1,"D","F")))))))</f>
        <v/>
      </c>
      <c r="E175" s="3">
        <f>IF('Data Source'!B175="","",IF('Data Source'!W175&gt;=5,"A+",IF('Data Source'!W175&gt;=4,"A",IF('Data Source'!W175&gt;=3.5,"A-",IF('Data Source'!W175&gt;=3,"B",IF('Data Source'!W175&gt;=2,"C",IF('Data Source'!W175&gt;=1,"D","F")))))))</f>
        <v/>
      </c>
      <c r="F175" s="3">
        <f>IF('Data Source'!B175="","",IF('Data Source'!X175&gt;=5,"A+",IF('Data Source'!X175&gt;=4,"A",IF('Data Source'!X175&gt;=3.5,"A-",IF('Data Source'!X175&gt;=3,"B",IF('Data Source'!X175&gt;=2,"C",IF('Data Source'!X175&gt;=1,"D","F")))))))</f>
        <v/>
      </c>
      <c r="G175" s="3">
        <f>IF('Data Source'!B175="","",IF('Data Source'!Y175&gt;=5,"A+",IF('Data Source'!Y175&gt;=4,"A",IF('Data Source'!Y175&gt;=3.5,"A-",IF('Data Source'!Y175&gt;=3,"B",IF('Data Source'!Y175&gt;=2,"C",IF('Data Source'!Y175&gt;=1,"D","F")))))))</f>
        <v/>
      </c>
      <c r="H175" s="3">
        <f>IF('Data Source'!B175="","",IF('Data Source'!Z175&gt;=5,"A+",IF('Data Source'!Z175&gt;=4,"A",IF('Data Source'!Z175&gt;=3.5,"A-",IF('Data Source'!Z175&gt;=3,"B",IF('Data Source'!Z175&gt;=2,"C",IF('Data Source'!Z175&gt;=1,"D","F")))))))</f>
        <v/>
      </c>
      <c r="I175" s="3">
        <f>IF('Data Source'!B175="","",IF('Data Source'!AA175&gt;=5,"A+",IF('Data Source'!AA175&gt;=4,"A",IF('Data Source'!AA175&gt;=3.5,"A-",IF('Data Source'!AA175&gt;=3,"B",IF('Data Source'!AA175&gt;=2,"C",IF('Data Source'!AA175&gt;=1,"D","F")))))))</f>
        <v/>
      </c>
      <c r="J175" s="3">
        <f>IF('Data Source'!B175="","",IF('Data Source'!AB175&gt;=5,"A+",IF('Data Source'!AB175&gt;=4,"A",IF('Data Source'!AB175&gt;=3.5,"A-",IF('Data Source'!AB175&gt;=3,"B",IF('Data Source'!AB175&gt;=2,"C",IF('Data Source'!AB175&gt;=1,"D","F")))))))</f>
        <v/>
      </c>
      <c r="K175" s="3">
        <f>IF('Data Source'!B175="","",IF('Data Source'!AC175&gt;=5,"A+",IF('Data Source'!AC175&gt;=4,"A",IF('Data Source'!AC175&gt;=3.5,"A-",IF('Data Source'!AC175&gt;=3,"B",IF('Data Source'!AC175&gt;=2,"C",IF('Data Source'!AC175&gt;=1,"D","F")))))))</f>
        <v/>
      </c>
      <c r="L175" s="3">
        <f>IF('Data Source'!B175="","",IF('Data Source'!AD175&gt;=5,"A+",IF('Data Source'!AD175&gt;=4,"A",IF('Data Source'!AD175&gt;=3.5,"A-",IF('Data Source'!AD175&gt;=3,"B",IF('Data Source'!AD175&gt;=2,"C",IF('Data Source'!AD175&gt;=1,"D","F")))))))</f>
        <v/>
      </c>
      <c r="M175" s="3">
        <f>IF('Data Source'!B175="","",IF('Data Source'!AE175&gt;=5,"A+",IF('Data Source'!AE175&gt;=4,"A",IF('Data Source'!AE175&gt;=3.5,"A-",IF('Data Source'!AE175&gt;=3,"B",IF('Data Source'!AE175&gt;=2,"C",IF('Data Source'!AE175&gt;=1,"D","F")))))))</f>
        <v/>
      </c>
      <c r="N175" s="3">
        <f>IF('Data Source'!B175="","",IF('Data Source'!AF175&gt;=5,"A+",IF('Data Source'!AF175&gt;=4,"A",IF('Data Source'!AF175&gt;=3.5,"A-",IF('Data Source'!AF175&gt;=3,"B",IF('Data Source'!AF175&gt;=2,"C",IF('Data Source'!AF175&gt;=1,"D","F")))))))</f>
        <v/>
      </c>
      <c r="O175" s="3">
        <f>IF('Data Source'!B175="","",IF('Data Source'!AG175&gt;=5,"A+",IF('Data Source'!AG175&gt;=4,"A",IF('Data Source'!AG175&gt;=3.5,"A-",IF('Data Source'!AG175&gt;=3,"B",IF('Data Source'!AG175&gt;=2,"C",IF('Data Source'!AG175&gt;=1,"D","F")))))))</f>
        <v/>
      </c>
      <c r="P175" s="5">
        <f>IF('Data Source'!B175="","",'Data Source'!R175)</f>
        <v/>
      </c>
      <c r="Q175" s="3">
        <f>IF('Data Source'!B175="","",'Data Source'!S175)</f>
        <v/>
      </c>
    </row>
    <row r="176">
      <c r="A176" s="3">
        <f>IF('Data Source'!B176="","",'Data Source'!A176)</f>
        <v/>
      </c>
      <c r="B176">
        <f>IF('Data Source'!B176="","",'Data Source'!B176)</f>
        <v/>
      </c>
      <c r="C176" s="3">
        <f>IF('Data Source'!B176="","",IF('Data Source'!U176&gt;=5,"A+",IF('Data Source'!U176&gt;=4,"A",IF('Data Source'!U176&gt;=3.5,"A-",IF('Data Source'!U176&gt;=3,"B",IF('Data Source'!U176&gt;=2,"C",IF('Data Source'!U176&gt;=1,"D","F")))))))</f>
        <v/>
      </c>
      <c r="D176" s="3">
        <f>IF('Data Source'!B176="","",IF('Data Source'!V176&gt;=5,"A+",IF('Data Source'!V176&gt;=4,"A",IF('Data Source'!V176&gt;=3.5,"A-",IF('Data Source'!V176&gt;=3,"B",IF('Data Source'!V176&gt;=2,"C",IF('Data Source'!V176&gt;=1,"D","F")))))))</f>
        <v/>
      </c>
      <c r="E176" s="3">
        <f>IF('Data Source'!B176="","",IF('Data Source'!W176&gt;=5,"A+",IF('Data Source'!W176&gt;=4,"A",IF('Data Source'!W176&gt;=3.5,"A-",IF('Data Source'!W176&gt;=3,"B",IF('Data Source'!W176&gt;=2,"C",IF('Data Source'!W176&gt;=1,"D","F")))))))</f>
        <v/>
      </c>
      <c r="F176" s="3">
        <f>IF('Data Source'!B176="","",IF('Data Source'!X176&gt;=5,"A+",IF('Data Source'!X176&gt;=4,"A",IF('Data Source'!X176&gt;=3.5,"A-",IF('Data Source'!X176&gt;=3,"B",IF('Data Source'!X176&gt;=2,"C",IF('Data Source'!X176&gt;=1,"D","F")))))))</f>
        <v/>
      </c>
      <c r="G176" s="3">
        <f>IF('Data Source'!B176="","",IF('Data Source'!Y176&gt;=5,"A+",IF('Data Source'!Y176&gt;=4,"A",IF('Data Source'!Y176&gt;=3.5,"A-",IF('Data Source'!Y176&gt;=3,"B",IF('Data Source'!Y176&gt;=2,"C",IF('Data Source'!Y176&gt;=1,"D","F")))))))</f>
        <v/>
      </c>
      <c r="H176" s="3">
        <f>IF('Data Source'!B176="","",IF('Data Source'!Z176&gt;=5,"A+",IF('Data Source'!Z176&gt;=4,"A",IF('Data Source'!Z176&gt;=3.5,"A-",IF('Data Source'!Z176&gt;=3,"B",IF('Data Source'!Z176&gt;=2,"C",IF('Data Source'!Z176&gt;=1,"D","F")))))))</f>
        <v/>
      </c>
      <c r="I176" s="3">
        <f>IF('Data Source'!B176="","",IF('Data Source'!AA176&gt;=5,"A+",IF('Data Source'!AA176&gt;=4,"A",IF('Data Source'!AA176&gt;=3.5,"A-",IF('Data Source'!AA176&gt;=3,"B",IF('Data Source'!AA176&gt;=2,"C",IF('Data Source'!AA176&gt;=1,"D","F")))))))</f>
        <v/>
      </c>
      <c r="J176" s="3">
        <f>IF('Data Source'!B176="","",IF('Data Source'!AB176&gt;=5,"A+",IF('Data Source'!AB176&gt;=4,"A",IF('Data Source'!AB176&gt;=3.5,"A-",IF('Data Source'!AB176&gt;=3,"B",IF('Data Source'!AB176&gt;=2,"C",IF('Data Source'!AB176&gt;=1,"D","F")))))))</f>
        <v/>
      </c>
      <c r="K176" s="3">
        <f>IF('Data Source'!B176="","",IF('Data Source'!AC176&gt;=5,"A+",IF('Data Source'!AC176&gt;=4,"A",IF('Data Source'!AC176&gt;=3.5,"A-",IF('Data Source'!AC176&gt;=3,"B",IF('Data Source'!AC176&gt;=2,"C",IF('Data Source'!AC176&gt;=1,"D","F")))))))</f>
        <v/>
      </c>
      <c r="L176" s="3">
        <f>IF('Data Source'!B176="","",IF('Data Source'!AD176&gt;=5,"A+",IF('Data Source'!AD176&gt;=4,"A",IF('Data Source'!AD176&gt;=3.5,"A-",IF('Data Source'!AD176&gt;=3,"B",IF('Data Source'!AD176&gt;=2,"C",IF('Data Source'!AD176&gt;=1,"D","F")))))))</f>
        <v/>
      </c>
      <c r="M176" s="3">
        <f>IF('Data Source'!B176="","",IF('Data Source'!AE176&gt;=5,"A+",IF('Data Source'!AE176&gt;=4,"A",IF('Data Source'!AE176&gt;=3.5,"A-",IF('Data Source'!AE176&gt;=3,"B",IF('Data Source'!AE176&gt;=2,"C",IF('Data Source'!AE176&gt;=1,"D","F")))))))</f>
        <v/>
      </c>
      <c r="N176" s="3">
        <f>IF('Data Source'!B176="","",IF('Data Source'!AF176&gt;=5,"A+",IF('Data Source'!AF176&gt;=4,"A",IF('Data Source'!AF176&gt;=3.5,"A-",IF('Data Source'!AF176&gt;=3,"B",IF('Data Source'!AF176&gt;=2,"C",IF('Data Source'!AF176&gt;=1,"D","F")))))))</f>
        <v/>
      </c>
      <c r="O176" s="3">
        <f>IF('Data Source'!B176="","",IF('Data Source'!AG176&gt;=5,"A+",IF('Data Source'!AG176&gt;=4,"A",IF('Data Source'!AG176&gt;=3.5,"A-",IF('Data Source'!AG176&gt;=3,"B",IF('Data Source'!AG176&gt;=2,"C",IF('Data Source'!AG176&gt;=1,"D","F")))))))</f>
        <v/>
      </c>
      <c r="P176" s="5">
        <f>IF('Data Source'!B176="","",'Data Source'!R176)</f>
        <v/>
      </c>
      <c r="Q176" s="3">
        <f>IF('Data Source'!B176="","",'Data Source'!S176)</f>
        <v/>
      </c>
    </row>
    <row r="177">
      <c r="A177" s="3">
        <f>IF('Data Source'!B177="","",'Data Source'!A177)</f>
        <v/>
      </c>
      <c r="B177">
        <f>IF('Data Source'!B177="","",'Data Source'!B177)</f>
        <v/>
      </c>
      <c r="C177" s="3">
        <f>IF('Data Source'!B177="","",IF('Data Source'!U177&gt;=5,"A+",IF('Data Source'!U177&gt;=4,"A",IF('Data Source'!U177&gt;=3.5,"A-",IF('Data Source'!U177&gt;=3,"B",IF('Data Source'!U177&gt;=2,"C",IF('Data Source'!U177&gt;=1,"D","F")))))))</f>
        <v/>
      </c>
      <c r="D177" s="3">
        <f>IF('Data Source'!B177="","",IF('Data Source'!V177&gt;=5,"A+",IF('Data Source'!V177&gt;=4,"A",IF('Data Source'!V177&gt;=3.5,"A-",IF('Data Source'!V177&gt;=3,"B",IF('Data Source'!V177&gt;=2,"C",IF('Data Source'!V177&gt;=1,"D","F")))))))</f>
        <v/>
      </c>
      <c r="E177" s="3">
        <f>IF('Data Source'!B177="","",IF('Data Source'!W177&gt;=5,"A+",IF('Data Source'!W177&gt;=4,"A",IF('Data Source'!W177&gt;=3.5,"A-",IF('Data Source'!W177&gt;=3,"B",IF('Data Source'!W177&gt;=2,"C",IF('Data Source'!W177&gt;=1,"D","F")))))))</f>
        <v/>
      </c>
      <c r="F177" s="3">
        <f>IF('Data Source'!B177="","",IF('Data Source'!X177&gt;=5,"A+",IF('Data Source'!X177&gt;=4,"A",IF('Data Source'!X177&gt;=3.5,"A-",IF('Data Source'!X177&gt;=3,"B",IF('Data Source'!X177&gt;=2,"C",IF('Data Source'!X177&gt;=1,"D","F")))))))</f>
        <v/>
      </c>
      <c r="G177" s="3">
        <f>IF('Data Source'!B177="","",IF('Data Source'!Y177&gt;=5,"A+",IF('Data Source'!Y177&gt;=4,"A",IF('Data Source'!Y177&gt;=3.5,"A-",IF('Data Source'!Y177&gt;=3,"B",IF('Data Source'!Y177&gt;=2,"C",IF('Data Source'!Y177&gt;=1,"D","F")))))))</f>
        <v/>
      </c>
      <c r="H177" s="3">
        <f>IF('Data Source'!B177="","",IF('Data Source'!Z177&gt;=5,"A+",IF('Data Source'!Z177&gt;=4,"A",IF('Data Source'!Z177&gt;=3.5,"A-",IF('Data Source'!Z177&gt;=3,"B",IF('Data Source'!Z177&gt;=2,"C",IF('Data Source'!Z177&gt;=1,"D","F")))))))</f>
        <v/>
      </c>
      <c r="I177" s="3">
        <f>IF('Data Source'!B177="","",IF('Data Source'!AA177&gt;=5,"A+",IF('Data Source'!AA177&gt;=4,"A",IF('Data Source'!AA177&gt;=3.5,"A-",IF('Data Source'!AA177&gt;=3,"B",IF('Data Source'!AA177&gt;=2,"C",IF('Data Source'!AA177&gt;=1,"D","F")))))))</f>
        <v/>
      </c>
      <c r="J177" s="3">
        <f>IF('Data Source'!B177="","",IF('Data Source'!AB177&gt;=5,"A+",IF('Data Source'!AB177&gt;=4,"A",IF('Data Source'!AB177&gt;=3.5,"A-",IF('Data Source'!AB177&gt;=3,"B",IF('Data Source'!AB177&gt;=2,"C",IF('Data Source'!AB177&gt;=1,"D","F")))))))</f>
        <v/>
      </c>
      <c r="K177" s="3">
        <f>IF('Data Source'!B177="","",IF('Data Source'!AC177&gt;=5,"A+",IF('Data Source'!AC177&gt;=4,"A",IF('Data Source'!AC177&gt;=3.5,"A-",IF('Data Source'!AC177&gt;=3,"B",IF('Data Source'!AC177&gt;=2,"C",IF('Data Source'!AC177&gt;=1,"D","F")))))))</f>
        <v/>
      </c>
      <c r="L177" s="3">
        <f>IF('Data Source'!B177="","",IF('Data Source'!AD177&gt;=5,"A+",IF('Data Source'!AD177&gt;=4,"A",IF('Data Source'!AD177&gt;=3.5,"A-",IF('Data Source'!AD177&gt;=3,"B",IF('Data Source'!AD177&gt;=2,"C",IF('Data Source'!AD177&gt;=1,"D","F")))))))</f>
        <v/>
      </c>
      <c r="M177" s="3">
        <f>IF('Data Source'!B177="","",IF('Data Source'!AE177&gt;=5,"A+",IF('Data Source'!AE177&gt;=4,"A",IF('Data Source'!AE177&gt;=3.5,"A-",IF('Data Source'!AE177&gt;=3,"B",IF('Data Source'!AE177&gt;=2,"C",IF('Data Source'!AE177&gt;=1,"D","F")))))))</f>
        <v/>
      </c>
      <c r="N177" s="3">
        <f>IF('Data Source'!B177="","",IF('Data Source'!AF177&gt;=5,"A+",IF('Data Source'!AF177&gt;=4,"A",IF('Data Source'!AF177&gt;=3.5,"A-",IF('Data Source'!AF177&gt;=3,"B",IF('Data Source'!AF177&gt;=2,"C",IF('Data Source'!AF177&gt;=1,"D","F")))))))</f>
        <v/>
      </c>
      <c r="O177" s="3">
        <f>IF('Data Source'!B177="","",IF('Data Source'!AG177&gt;=5,"A+",IF('Data Source'!AG177&gt;=4,"A",IF('Data Source'!AG177&gt;=3.5,"A-",IF('Data Source'!AG177&gt;=3,"B",IF('Data Source'!AG177&gt;=2,"C",IF('Data Source'!AG177&gt;=1,"D","F")))))))</f>
        <v/>
      </c>
      <c r="P177" s="5">
        <f>IF('Data Source'!B177="","",'Data Source'!R177)</f>
        <v/>
      </c>
      <c r="Q177" s="3">
        <f>IF('Data Source'!B177="","",'Data Source'!S177)</f>
        <v/>
      </c>
    </row>
    <row r="178">
      <c r="A178" s="3">
        <f>IF('Data Source'!B178="","",'Data Source'!A178)</f>
        <v/>
      </c>
      <c r="B178">
        <f>IF('Data Source'!B178="","",'Data Source'!B178)</f>
        <v/>
      </c>
      <c r="C178" s="3">
        <f>IF('Data Source'!B178="","",IF('Data Source'!U178&gt;=5,"A+",IF('Data Source'!U178&gt;=4,"A",IF('Data Source'!U178&gt;=3.5,"A-",IF('Data Source'!U178&gt;=3,"B",IF('Data Source'!U178&gt;=2,"C",IF('Data Source'!U178&gt;=1,"D","F")))))))</f>
        <v/>
      </c>
      <c r="D178" s="3">
        <f>IF('Data Source'!B178="","",IF('Data Source'!V178&gt;=5,"A+",IF('Data Source'!V178&gt;=4,"A",IF('Data Source'!V178&gt;=3.5,"A-",IF('Data Source'!V178&gt;=3,"B",IF('Data Source'!V178&gt;=2,"C",IF('Data Source'!V178&gt;=1,"D","F")))))))</f>
        <v/>
      </c>
      <c r="E178" s="3">
        <f>IF('Data Source'!B178="","",IF('Data Source'!W178&gt;=5,"A+",IF('Data Source'!W178&gt;=4,"A",IF('Data Source'!W178&gt;=3.5,"A-",IF('Data Source'!W178&gt;=3,"B",IF('Data Source'!W178&gt;=2,"C",IF('Data Source'!W178&gt;=1,"D","F")))))))</f>
        <v/>
      </c>
      <c r="F178" s="3">
        <f>IF('Data Source'!B178="","",IF('Data Source'!X178&gt;=5,"A+",IF('Data Source'!X178&gt;=4,"A",IF('Data Source'!X178&gt;=3.5,"A-",IF('Data Source'!X178&gt;=3,"B",IF('Data Source'!X178&gt;=2,"C",IF('Data Source'!X178&gt;=1,"D","F")))))))</f>
        <v/>
      </c>
      <c r="G178" s="3">
        <f>IF('Data Source'!B178="","",IF('Data Source'!Y178&gt;=5,"A+",IF('Data Source'!Y178&gt;=4,"A",IF('Data Source'!Y178&gt;=3.5,"A-",IF('Data Source'!Y178&gt;=3,"B",IF('Data Source'!Y178&gt;=2,"C",IF('Data Source'!Y178&gt;=1,"D","F")))))))</f>
        <v/>
      </c>
      <c r="H178" s="3">
        <f>IF('Data Source'!B178="","",IF('Data Source'!Z178&gt;=5,"A+",IF('Data Source'!Z178&gt;=4,"A",IF('Data Source'!Z178&gt;=3.5,"A-",IF('Data Source'!Z178&gt;=3,"B",IF('Data Source'!Z178&gt;=2,"C",IF('Data Source'!Z178&gt;=1,"D","F")))))))</f>
        <v/>
      </c>
      <c r="I178" s="3">
        <f>IF('Data Source'!B178="","",IF('Data Source'!AA178&gt;=5,"A+",IF('Data Source'!AA178&gt;=4,"A",IF('Data Source'!AA178&gt;=3.5,"A-",IF('Data Source'!AA178&gt;=3,"B",IF('Data Source'!AA178&gt;=2,"C",IF('Data Source'!AA178&gt;=1,"D","F")))))))</f>
        <v/>
      </c>
      <c r="J178" s="3">
        <f>IF('Data Source'!B178="","",IF('Data Source'!AB178&gt;=5,"A+",IF('Data Source'!AB178&gt;=4,"A",IF('Data Source'!AB178&gt;=3.5,"A-",IF('Data Source'!AB178&gt;=3,"B",IF('Data Source'!AB178&gt;=2,"C",IF('Data Source'!AB178&gt;=1,"D","F")))))))</f>
        <v/>
      </c>
      <c r="K178" s="3">
        <f>IF('Data Source'!B178="","",IF('Data Source'!AC178&gt;=5,"A+",IF('Data Source'!AC178&gt;=4,"A",IF('Data Source'!AC178&gt;=3.5,"A-",IF('Data Source'!AC178&gt;=3,"B",IF('Data Source'!AC178&gt;=2,"C",IF('Data Source'!AC178&gt;=1,"D","F")))))))</f>
        <v/>
      </c>
      <c r="L178" s="3">
        <f>IF('Data Source'!B178="","",IF('Data Source'!AD178&gt;=5,"A+",IF('Data Source'!AD178&gt;=4,"A",IF('Data Source'!AD178&gt;=3.5,"A-",IF('Data Source'!AD178&gt;=3,"B",IF('Data Source'!AD178&gt;=2,"C",IF('Data Source'!AD178&gt;=1,"D","F")))))))</f>
        <v/>
      </c>
      <c r="M178" s="3">
        <f>IF('Data Source'!B178="","",IF('Data Source'!AE178&gt;=5,"A+",IF('Data Source'!AE178&gt;=4,"A",IF('Data Source'!AE178&gt;=3.5,"A-",IF('Data Source'!AE178&gt;=3,"B",IF('Data Source'!AE178&gt;=2,"C",IF('Data Source'!AE178&gt;=1,"D","F")))))))</f>
        <v/>
      </c>
      <c r="N178" s="3">
        <f>IF('Data Source'!B178="","",IF('Data Source'!AF178&gt;=5,"A+",IF('Data Source'!AF178&gt;=4,"A",IF('Data Source'!AF178&gt;=3.5,"A-",IF('Data Source'!AF178&gt;=3,"B",IF('Data Source'!AF178&gt;=2,"C",IF('Data Source'!AF178&gt;=1,"D","F")))))))</f>
        <v/>
      </c>
      <c r="O178" s="3">
        <f>IF('Data Source'!B178="","",IF('Data Source'!AG178&gt;=5,"A+",IF('Data Source'!AG178&gt;=4,"A",IF('Data Source'!AG178&gt;=3.5,"A-",IF('Data Source'!AG178&gt;=3,"B",IF('Data Source'!AG178&gt;=2,"C",IF('Data Source'!AG178&gt;=1,"D","F")))))))</f>
        <v/>
      </c>
      <c r="P178" s="5">
        <f>IF('Data Source'!B178="","",'Data Source'!R178)</f>
        <v/>
      </c>
      <c r="Q178" s="3">
        <f>IF('Data Source'!B178="","",'Data Source'!S178)</f>
        <v/>
      </c>
    </row>
    <row r="179">
      <c r="A179" s="3">
        <f>IF('Data Source'!B179="","",'Data Source'!A179)</f>
        <v/>
      </c>
      <c r="B179">
        <f>IF('Data Source'!B179="","",'Data Source'!B179)</f>
        <v/>
      </c>
      <c r="C179" s="3">
        <f>IF('Data Source'!B179="","",IF('Data Source'!U179&gt;=5,"A+",IF('Data Source'!U179&gt;=4,"A",IF('Data Source'!U179&gt;=3.5,"A-",IF('Data Source'!U179&gt;=3,"B",IF('Data Source'!U179&gt;=2,"C",IF('Data Source'!U179&gt;=1,"D","F")))))))</f>
        <v/>
      </c>
      <c r="D179" s="3">
        <f>IF('Data Source'!B179="","",IF('Data Source'!V179&gt;=5,"A+",IF('Data Source'!V179&gt;=4,"A",IF('Data Source'!V179&gt;=3.5,"A-",IF('Data Source'!V179&gt;=3,"B",IF('Data Source'!V179&gt;=2,"C",IF('Data Source'!V179&gt;=1,"D","F")))))))</f>
        <v/>
      </c>
      <c r="E179" s="3">
        <f>IF('Data Source'!B179="","",IF('Data Source'!W179&gt;=5,"A+",IF('Data Source'!W179&gt;=4,"A",IF('Data Source'!W179&gt;=3.5,"A-",IF('Data Source'!W179&gt;=3,"B",IF('Data Source'!W179&gt;=2,"C",IF('Data Source'!W179&gt;=1,"D","F")))))))</f>
        <v/>
      </c>
      <c r="F179" s="3">
        <f>IF('Data Source'!B179="","",IF('Data Source'!X179&gt;=5,"A+",IF('Data Source'!X179&gt;=4,"A",IF('Data Source'!X179&gt;=3.5,"A-",IF('Data Source'!X179&gt;=3,"B",IF('Data Source'!X179&gt;=2,"C",IF('Data Source'!X179&gt;=1,"D","F")))))))</f>
        <v/>
      </c>
      <c r="G179" s="3">
        <f>IF('Data Source'!B179="","",IF('Data Source'!Y179&gt;=5,"A+",IF('Data Source'!Y179&gt;=4,"A",IF('Data Source'!Y179&gt;=3.5,"A-",IF('Data Source'!Y179&gt;=3,"B",IF('Data Source'!Y179&gt;=2,"C",IF('Data Source'!Y179&gt;=1,"D","F")))))))</f>
        <v/>
      </c>
      <c r="H179" s="3">
        <f>IF('Data Source'!B179="","",IF('Data Source'!Z179&gt;=5,"A+",IF('Data Source'!Z179&gt;=4,"A",IF('Data Source'!Z179&gt;=3.5,"A-",IF('Data Source'!Z179&gt;=3,"B",IF('Data Source'!Z179&gt;=2,"C",IF('Data Source'!Z179&gt;=1,"D","F")))))))</f>
        <v/>
      </c>
      <c r="I179" s="3">
        <f>IF('Data Source'!B179="","",IF('Data Source'!AA179&gt;=5,"A+",IF('Data Source'!AA179&gt;=4,"A",IF('Data Source'!AA179&gt;=3.5,"A-",IF('Data Source'!AA179&gt;=3,"B",IF('Data Source'!AA179&gt;=2,"C",IF('Data Source'!AA179&gt;=1,"D","F")))))))</f>
        <v/>
      </c>
      <c r="J179" s="3">
        <f>IF('Data Source'!B179="","",IF('Data Source'!AB179&gt;=5,"A+",IF('Data Source'!AB179&gt;=4,"A",IF('Data Source'!AB179&gt;=3.5,"A-",IF('Data Source'!AB179&gt;=3,"B",IF('Data Source'!AB179&gt;=2,"C",IF('Data Source'!AB179&gt;=1,"D","F")))))))</f>
        <v/>
      </c>
      <c r="K179" s="3">
        <f>IF('Data Source'!B179="","",IF('Data Source'!AC179&gt;=5,"A+",IF('Data Source'!AC179&gt;=4,"A",IF('Data Source'!AC179&gt;=3.5,"A-",IF('Data Source'!AC179&gt;=3,"B",IF('Data Source'!AC179&gt;=2,"C",IF('Data Source'!AC179&gt;=1,"D","F")))))))</f>
        <v/>
      </c>
      <c r="L179" s="3">
        <f>IF('Data Source'!B179="","",IF('Data Source'!AD179&gt;=5,"A+",IF('Data Source'!AD179&gt;=4,"A",IF('Data Source'!AD179&gt;=3.5,"A-",IF('Data Source'!AD179&gt;=3,"B",IF('Data Source'!AD179&gt;=2,"C",IF('Data Source'!AD179&gt;=1,"D","F")))))))</f>
        <v/>
      </c>
      <c r="M179" s="3">
        <f>IF('Data Source'!B179="","",IF('Data Source'!AE179&gt;=5,"A+",IF('Data Source'!AE179&gt;=4,"A",IF('Data Source'!AE179&gt;=3.5,"A-",IF('Data Source'!AE179&gt;=3,"B",IF('Data Source'!AE179&gt;=2,"C",IF('Data Source'!AE179&gt;=1,"D","F")))))))</f>
        <v/>
      </c>
      <c r="N179" s="3">
        <f>IF('Data Source'!B179="","",IF('Data Source'!AF179&gt;=5,"A+",IF('Data Source'!AF179&gt;=4,"A",IF('Data Source'!AF179&gt;=3.5,"A-",IF('Data Source'!AF179&gt;=3,"B",IF('Data Source'!AF179&gt;=2,"C",IF('Data Source'!AF179&gt;=1,"D","F")))))))</f>
        <v/>
      </c>
      <c r="O179" s="3">
        <f>IF('Data Source'!B179="","",IF('Data Source'!AG179&gt;=5,"A+",IF('Data Source'!AG179&gt;=4,"A",IF('Data Source'!AG179&gt;=3.5,"A-",IF('Data Source'!AG179&gt;=3,"B",IF('Data Source'!AG179&gt;=2,"C",IF('Data Source'!AG179&gt;=1,"D","F")))))))</f>
        <v/>
      </c>
      <c r="P179" s="5">
        <f>IF('Data Source'!B179="","",'Data Source'!R179)</f>
        <v/>
      </c>
      <c r="Q179" s="3">
        <f>IF('Data Source'!B179="","",'Data Source'!S179)</f>
        <v/>
      </c>
    </row>
    <row r="180">
      <c r="A180" s="3">
        <f>IF('Data Source'!B180="","",'Data Source'!A180)</f>
        <v/>
      </c>
      <c r="B180">
        <f>IF('Data Source'!B180="","",'Data Source'!B180)</f>
        <v/>
      </c>
      <c r="C180" s="3">
        <f>IF('Data Source'!B180="","",IF('Data Source'!U180&gt;=5,"A+",IF('Data Source'!U180&gt;=4,"A",IF('Data Source'!U180&gt;=3.5,"A-",IF('Data Source'!U180&gt;=3,"B",IF('Data Source'!U180&gt;=2,"C",IF('Data Source'!U180&gt;=1,"D","F")))))))</f>
        <v/>
      </c>
      <c r="D180" s="3">
        <f>IF('Data Source'!B180="","",IF('Data Source'!V180&gt;=5,"A+",IF('Data Source'!V180&gt;=4,"A",IF('Data Source'!V180&gt;=3.5,"A-",IF('Data Source'!V180&gt;=3,"B",IF('Data Source'!V180&gt;=2,"C",IF('Data Source'!V180&gt;=1,"D","F")))))))</f>
        <v/>
      </c>
      <c r="E180" s="3">
        <f>IF('Data Source'!B180="","",IF('Data Source'!W180&gt;=5,"A+",IF('Data Source'!W180&gt;=4,"A",IF('Data Source'!W180&gt;=3.5,"A-",IF('Data Source'!W180&gt;=3,"B",IF('Data Source'!W180&gt;=2,"C",IF('Data Source'!W180&gt;=1,"D","F")))))))</f>
        <v/>
      </c>
      <c r="F180" s="3">
        <f>IF('Data Source'!B180="","",IF('Data Source'!X180&gt;=5,"A+",IF('Data Source'!X180&gt;=4,"A",IF('Data Source'!X180&gt;=3.5,"A-",IF('Data Source'!X180&gt;=3,"B",IF('Data Source'!X180&gt;=2,"C",IF('Data Source'!X180&gt;=1,"D","F")))))))</f>
        <v/>
      </c>
      <c r="G180" s="3">
        <f>IF('Data Source'!B180="","",IF('Data Source'!Y180&gt;=5,"A+",IF('Data Source'!Y180&gt;=4,"A",IF('Data Source'!Y180&gt;=3.5,"A-",IF('Data Source'!Y180&gt;=3,"B",IF('Data Source'!Y180&gt;=2,"C",IF('Data Source'!Y180&gt;=1,"D","F")))))))</f>
        <v/>
      </c>
      <c r="H180" s="3">
        <f>IF('Data Source'!B180="","",IF('Data Source'!Z180&gt;=5,"A+",IF('Data Source'!Z180&gt;=4,"A",IF('Data Source'!Z180&gt;=3.5,"A-",IF('Data Source'!Z180&gt;=3,"B",IF('Data Source'!Z180&gt;=2,"C",IF('Data Source'!Z180&gt;=1,"D","F")))))))</f>
        <v/>
      </c>
      <c r="I180" s="3">
        <f>IF('Data Source'!B180="","",IF('Data Source'!AA180&gt;=5,"A+",IF('Data Source'!AA180&gt;=4,"A",IF('Data Source'!AA180&gt;=3.5,"A-",IF('Data Source'!AA180&gt;=3,"B",IF('Data Source'!AA180&gt;=2,"C",IF('Data Source'!AA180&gt;=1,"D","F")))))))</f>
        <v/>
      </c>
      <c r="J180" s="3">
        <f>IF('Data Source'!B180="","",IF('Data Source'!AB180&gt;=5,"A+",IF('Data Source'!AB180&gt;=4,"A",IF('Data Source'!AB180&gt;=3.5,"A-",IF('Data Source'!AB180&gt;=3,"B",IF('Data Source'!AB180&gt;=2,"C",IF('Data Source'!AB180&gt;=1,"D","F")))))))</f>
        <v/>
      </c>
      <c r="K180" s="3">
        <f>IF('Data Source'!B180="","",IF('Data Source'!AC180&gt;=5,"A+",IF('Data Source'!AC180&gt;=4,"A",IF('Data Source'!AC180&gt;=3.5,"A-",IF('Data Source'!AC180&gt;=3,"B",IF('Data Source'!AC180&gt;=2,"C",IF('Data Source'!AC180&gt;=1,"D","F")))))))</f>
        <v/>
      </c>
      <c r="L180" s="3">
        <f>IF('Data Source'!B180="","",IF('Data Source'!AD180&gt;=5,"A+",IF('Data Source'!AD180&gt;=4,"A",IF('Data Source'!AD180&gt;=3.5,"A-",IF('Data Source'!AD180&gt;=3,"B",IF('Data Source'!AD180&gt;=2,"C",IF('Data Source'!AD180&gt;=1,"D","F")))))))</f>
        <v/>
      </c>
      <c r="M180" s="3">
        <f>IF('Data Source'!B180="","",IF('Data Source'!AE180&gt;=5,"A+",IF('Data Source'!AE180&gt;=4,"A",IF('Data Source'!AE180&gt;=3.5,"A-",IF('Data Source'!AE180&gt;=3,"B",IF('Data Source'!AE180&gt;=2,"C",IF('Data Source'!AE180&gt;=1,"D","F")))))))</f>
        <v/>
      </c>
      <c r="N180" s="3">
        <f>IF('Data Source'!B180="","",IF('Data Source'!AF180&gt;=5,"A+",IF('Data Source'!AF180&gt;=4,"A",IF('Data Source'!AF180&gt;=3.5,"A-",IF('Data Source'!AF180&gt;=3,"B",IF('Data Source'!AF180&gt;=2,"C",IF('Data Source'!AF180&gt;=1,"D","F")))))))</f>
        <v/>
      </c>
      <c r="O180" s="3">
        <f>IF('Data Source'!B180="","",IF('Data Source'!AG180&gt;=5,"A+",IF('Data Source'!AG180&gt;=4,"A",IF('Data Source'!AG180&gt;=3.5,"A-",IF('Data Source'!AG180&gt;=3,"B",IF('Data Source'!AG180&gt;=2,"C",IF('Data Source'!AG180&gt;=1,"D","F")))))))</f>
        <v/>
      </c>
      <c r="P180" s="5">
        <f>IF('Data Source'!B180="","",'Data Source'!R180)</f>
        <v/>
      </c>
      <c r="Q180" s="3">
        <f>IF('Data Source'!B180="","",'Data Source'!S180)</f>
        <v/>
      </c>
    </row>
    <row r="181">
      <c r="A181" s="3">
        <f>IF('Data Source'!B181="","",'Data Source'!A181)</f>
        <v/>
      </c>
      <c r="B181">
        <f>IF('Data Source'!B181="","",'Data Source'!B181)</f>
        <v/>
      </c>
      <c r="C181" s="3">
        <f>IF('Data Source'!B181="","",IF('Data Source'!U181&gt;=5,"A+",IF('Data Source'!U181&gt;=4,"A",IF('Data Source'!U181&gt;=3.5,"A-",IF('Data Source'!U181&gt;=3,"B",IF('Data Source'!U181&gt;=2,"C",IF('Data Source'!U181&gt;=1,"D","F")))))))</f>
        <v/>
      </c>
      <c r="D181" s="3">
        <f>IF('Data Source'!B181="","",IF('Data Source'!V181&gt;=5,"A+",IF('Data Source'!V181&gt;=4,"A",IF('Data Source'!V181&gt;=3.5,"A-",IF('Data Source'!V181&gt;=3,"B",IF('Data Source'!V181&gt;=2,"C",IF('Data Source'!V181&gt;=1,"D","F")))))))</f>
        <v/>
      </c>
      <c r="E181" s="3">
        <f>IF('Data Source'!B181="","",IF('Data Source'!W181&gt;=5,"A+",IF('Data Source'!W181&gt;=4,"A",IF('Data Source'!W181&gt;=3.5,"A-",IF('Data Source'!W181&gt;=3,"B",IF('Data Source'!W181&gt;=2,"C",IF('Data Source'!W181&gt;=1,"D","F")))))))</f>
        <v/>
      </c>
      <c r="F181" s="3">
        <f>IF('Data Source'!B181="","",IF('Data Source'!X181&gt;=5,"A+",IF('Data Source'!X181&gt;=4,"A",IF('Data Source'!X181&gt;=3.5,"A-",IF('Data Source'!X181&gt;=3,"B",IF('Data Source'!X181&gt;=2,"C",IF('Data Source'!X181&gt;=1,"D","F")))))))</f>
        <v/>
      </c>
      <c r="G181" s="3">
        <f>IF('Data Source'!B181="","",IF('Data Source'!Y181&gt;=5,"A+",IF('Data Source'!Y181&gt;=4,"A",IF('Data Source'!Y181&gt;=3.5,"A-",IF('Data Source'!Y181&gt;=3,"B",IF('Data Source'!Y181&gt;=2,"C",IF('Data Source'!Y181&gt;=1,"D","F")))))))</f>
        <v/>
      </c>
      <c r="H181" s="3">
        <f>IF('Data Source'!B181="","",IF('Data Source'!Z181&gt;=5,"A+",IF('Data Source'!Z181&gt;=4,"A",IF('Data Source'!Z181&gt;=3.5,"A-",IF('Data Source'!Z181&gt;=3,"B",IF('Data Source'!Z181&gt;=2,"C",IF('Data Source'!Z181&gt;=1,"D","F")))))))</f>
        <v/>
      </c>
      <c r="I181" s="3">
        <f>IF('Data Source'!B181="","",IF('Data Source'!AA181&gt;=5,"A+",IF('Data Source'!AA181&gt;=4,"A",IF('Data Source'!AA181&gt;=3.5,"A-",IF('Data Source'!AA181&gt;=3,"B",IF('Data Source'!AA181&gt;=2,"C",IF('Data Source'!AA181&gt;=1,"D","F")))))))</f>
        <v/>
      </c>
      <c r="J181" s="3">
        <f>IF('Data Source'!B181="","",IF('Data Source'!AB181&gt;=5,"A+",IF('Data Source'!AB181&gt;=4,"A",IF('Data Source'!AB181&gt;=3.5,"A-",IF('Data Source'!AB181&gt;=3,"B",IF('Data Source'!AB181&gt;=2,"C",IF('Data Source'!AB181&gt;=1,"D","F")))))))</f>
        <v/>
      </c>
      <c r="K181" s="3">
        <f>IF('Data Source'!B181="","",IF('Data Source'!AC181&gt;=5,"A+",IF('Data Source'!AC181&gt;=4,"A",IF('Data Source'!AC181&gt;=3.5,"A-",IF('Data Source'!AC181&gt;=3,"B",IF('Data Source'!AC181&gt;=2,"C",IF('Data Source'!AC181&gt;=1,"D","F")))))))</f>
        <v/>
      </c>
      <c r="L181" s="3">
        <f>IF('Data Source'!B181="","",IF('Data Source'!AD181&gt;=5,"A+",IF('Data Source'!AD181&gt;=4,"A",IF('Data Source'!AD181&gt;=3.5,"A-",IF('Data Source'!AD181&gt;=3,"B",IF('Data Source'!AD181&gt;=2,"C",IF('Data Source'!AD181&gt;=1,"D","F")))))))</f>
        <v/>
      </c>
      <c r="M181" s="3">
        <f>IF('Data Source'!B181="","",IF('Data Source'!AE181&gt;=5,"A+",IF('Data Source'!AE181&gt;=4,"A",IF('Data Source'!AE181&gt;=3.5,"A-",IF('Data Source'!AE181&gt;=3,"B",IF('Data Source'!AE181&gt;=2,"C",IF('Data Source'!AE181&gt;=1,"D","F")))))))</f>
        <v/>
      </c>
      <c r="N181" s="3">
        <f>IF('Data Source'!B181="","",IF('Data Source'!AF181&gt;=5,"A+",IF('Data Source'!AF181&gt;=4,"A",IF('Data Source'!AF181&gt;=3.5,"A-",IF('Data Source'!AF181&gt;=3,"B",IF('Data Source'!AF181&gt;=2,"C",IF('Data Source'!AF181&gt;=1,"D","F")))))))</f>
        <v/>
      </c>
      <c r="O181" s="3">
        <f>IF('Data Source'!B181="","",IF('Data Source'!AG181&gt;=5,"A+",IF('Data Source'!AG181&gt;=4,"A",IF('Data Source'!AG181&gt;=3.5,"A-",IF('Data Source'!AG181&gt;=3,"B",IF('Data Source'!AG181&gt;=2,"C",IF('Data Source'!AG181&gt;=1,"D","F")))))))</f>
        <v/>
      </c>
      <c r="P181" s="5">
        <f>IF('Data Source'!B181="","",'Data Source'!R181)</f>
        <v/>
      </c>
      <c r="Q181" s="3">
        <f>IF('Data Source'!B181="","",'Data Source'!S181)</f>
        <v/>
      </c>
    </row>
    <row r="182">
      <c r="A182" s="3">
        <f>IF('Data Source'!B182="","",'Data Source'!A182)</f>
        <v/>
      </c>
      <c r="B182">
        <f>IF('Data Source'!B182="","",'Data Source'!B182)</f>
        <v/>
      </c>
      <c r="C182" s="3">
        <f>IF('Data Source'!B182="","",IF('Data Source'!U182&gt;=5,"A+",IF('Data Source'!U182&gt;=4,"A",IF('Data Source'!U182&gt;=3.5,"A-",IF('Data Source'!U182&gt;=3,"B",IF('Data Source'!U182&gt;=2,"C",IF('Data Source'!U182&gt;=1,"D","F")))))))</f>
        <v/>
      </c>
      <c r="D182" s="3">
        <f>IF('Data Source'!B182="","",IF('Data Source'!V182&gt;=5,"A+",IF('Data Source'!V182&gt;=4,"A",IF('Data Source'!V182&gt;=3.5,"A-",IF('Data Source'!V182&gt;=3,"B",IF('Data Source'!V182&gt;=2,"C",IF('Data Source'!V182&gt;=1,"D","F")))))))</f>
        <v/>
      </c>
      <c r="E182" s="3">
        <f>IF('Data Source'!B182="","",IF('Data Source'!W182&gt;=5,"A+",IF('Data Source'!W182&gt;=4,"A",IF('Data Source'!W182&gt;=3.5,"A-",IF('Data Source'!W182&gt;=3,"B",IF('Data Source'!W182&gt;=2,"C",IF('Data Source'!W182&gt;=1,"D","F")))))))</f>
        <v/>
      </c>
      <c r="F182" s="3">
        <f>IF('Data Source'!B182="","",IF('Data Source'!X182&gt;=5,"A+",IF('Data Source'!X182&gt;=4,"A",IF('Data Source'!X182&gt;=3.5,"A-",IF('Data Source'!X182&gt;=3,"B",IF('Data Source'!X182&gt;=2,"C",IF('Data Source'!X182&gt;=1,"D","F")))))))</f>
        <v/>
      </c>
      <c r="G182" s="3">
        <f>IF('Data Source'!B182="","",IF('Data Source'!Y182&gt;=5,"A+",IF('Data Source'!Y182&gt;=4,"A",IF('Data Source'!Y182&gt;=3.5,"A-",IF('Data Source'!Y182&gt;=3,"B",IF('Data Source'!Y182&gt;=2,"C",IF('Data Source'!Y182&gt;=1,"D","F")))))))</f>
        <v/>
      </c>
      <c r="H182" s="3">
        <f>IF('Data Source'!B182="","",IF('Data Source'!Z182&gt;=5,"A+",IF('Data Source'!Z182&gt;=4,"A",IF('Data Source'!Z182&gt;=3.5,"A-",IF('Data Source'!Z182&gt;=3,"B",IF('Data Source'!Z182&gt;=2,"C",IF('Data Source'!Z182&gt;=1,"D","F")))))))</f>
        <v/>
      </c>
      <c r="I182" s="3">
        <f>IF('Data Source'!B182="","",IF('Data Source'!AA182&gt;=5,"A+",IF('Data Source'!AA182&gt;=4,"A",IF('Data Source'!AA182&gt;=3.5,"A-",IF('Data Source'!AA182&gt;=3,"B",IF('Data Source'!AA182&gt;=2,"C",IF('Data Source'!AA182&gt;=1,"D","F")))))))</f>
        <v/>
      </c>
      <c r="J182" s="3">
        <f>IF('Data Source'!B182="","",IF('Data Source'!AB182&gt;=5,"A+",IF('Data Source'!AB182&gt;=4,"A",IF('Data Source'!AB182&gt;=3.5,"A-",IF('Data Source'!AB182&gt;=3,"B",IF('Data Source'!AB182&gt;=2,"C",IF('Data Source'!AB182&gt;=1,"D","F")))))))</f>
        <v/>
      </c>
      <c r="K182" s="3">
        <f>IF('Data Source'!B182="","",IF('Data Source'!AC182&gt;=5,"A+",IF('Data Source'!AC182&gt;=4,"A",IF('Data Source'!AC182&gt;=3.5,"A-",IF('Data Source'!AC182&gt;=3,"B",IF('Data Source'!AC182&gt;=2,"C",IF('Data Source'!AC182&gt;=1,"D","F")))))))</f>
        <v/>
      </c>
      <c r="L182" s="3">
        <f>IF('Data Source'!B182="","",IF('Data Source'!AD182&gt;=5,"A+",IF('Data Source'!AD182&gt;=4,"A",IF('Data Source'!AD182&gt;=3.5,"A-",IF('Data Source'!AD182&gt;=3,"B",IF('Data Source'!AD182&gt;=2,"C",IF('Data Source'!AD182&gt;=1,"D","F")))))))</f>
        <v/>
      </c>
      <c r="M182" s="3">
        <f>IF('Data Source'!B182="","",IF('Data Source'!AE182&gt;=5,"A+",IF('Data Source'!AE182&gt;=4,"A",IF('Data Source'!AE182&gt;=3.5,"A-",IF('Data Source'!AE182&gt;=3,"B",IF('Data Source'!AE182&gt;=2,"C",IF('Data Source'!AE182&gt;=1,"D","F")))))))</f>
        <v/>
      </c>
      <c r="N182" s="3">
        <f>IF('Data Source'!B182="","",IF('Data Source'!AF182&gt;=5,"A+",IF('Data Source'!AF182&gt;=4,"A",IF('Data Source'!AF182&gt;=3.5,"A-",IF('Data Source'!AF182&gt;=3,"B",IF('Data Source'!AF182&gt;=2,"C",IF('Data Source'!AF182&gt;=1,"D","F")))))))</f>
        <v/>
      </c>
      <c r="O182" s="3">
        <f>IF('Data Source'!B182="","",IF('Data Source'!AG182&gt;=5,"A+",IF('Data Source'!AG182&gt;=4,"A",IF('Data Source'!AG182&gt;=3.5,"A-",IF('Data Source'!AG182&gt;=3,"B",IF('Data Source'!AG182&gt;=2,"C",IF('Data Source'!AG182&gt;=1,"D","F")))))))</f>
        <v/>
      </c>
      <c r="P182" s="5">
        <f>IF('Data Source'!B182="","",'Data Source'!R182)</f>
        <v/>
      </c>
      <c r="Q182" s="3">
        <f>IF('Data Source'!B182="","",'Data Source'!S182)</f>
        <v/>
      </c>
    </row>
    <row r="183">
      <c r="A183" s="3">
        <f>IF('Data Source'!B183="","",'Data Source'!A183)</f>
        <v/>
      </c>
      <c r="B183">
        <f>IF('Data Source'!B183="","",'Data Source'!B183)</f>
        <v/>
      </c>
      <c r="C183" s="3">
        <f>IF('Data Source'!B183="","",IF('Data Source'!U183&gt;=5,"A+",IF('Data Source'!U183&gt;=4,"A",IF('Data Source'!U183&gt;=3.5,"A-",IF('Data Source'!U183&gt;=3,"B",IF('Data Source'!U183&gt;=2,"C",IF('Data Source'!U183&gt;=1,"D","F")))))))</f>
        <v/>
      </c>
      <c r="D183" s="3">
        <f>IF('Data Source'!B183="","",IF('Data Source'!V183&gt;=5,"A+",IF('Data Source'!V183&gt;=4,"A",IF('Data Source'!V183&gt;=3.5,"A-",IF('Data Source'!V183&gt;=3,"B",IF('Data Source'!V183&gt;=2,"C",IF('Data Source'!V183&gt;=1,"D","F")))))))</f>
        <v/>
      </c>
      <c r="E183" s="3">
        <f>IF('Data Source'!B183="","",IF('Data Source'!W183&gt;=5,"A+",IF('Data Source'!W183&gt;=4,"A",IF('Data Source'!W183&gt;=3.5,"A-",IF('Data Source'!W183&gt;=3,"B",IF('Data Source'!W183&gt;=2,"C",IF('Data Source'!W183&gt;=1,"D","F")))))))</f>
        <v/>
      </c>
      <c r="F183" s="3">
        <f>IF('Data Source'!B183="","",IF('Data Source'!X183&gt;=5,"A+",IF('Data Source'!X183&gt;=4,"A",IF('Data Source'!X183&gt;=3.5,"A-",IF('Data Source'!X183&gt;=3,"B",IF('Data Source'!X183&gt;=2,"C",IF('Data Source'!X183&gt;=1,"D","F")))))))</f>
        <v/>
      </c>
      <c r="G183" s="3">
        <f>IF('Data Source'!B183="","",IF('Data Source'!Y183&gt;=5,"A+",IF('Data Source'!Y183&gt;=4,"A",IF('Data Source'!Y183&gt;=3.5,"A-",IF('Data Source'!Y183&gt;=3,"B",IF('Data Source'!Y183&gt;=2,"C",IF('Data Source'!Y183&gt;=1,"D","F")))))))</f>
        <v/>
      </c>
      <c r="H183" s="3">
        <f>IF('Data Source'!B183="","",IF('Data Source'!Z183&gt;=5,"A+",IF('Data Source'!Z183&gt;=4,"A",IF('Data Source'!Z183&gt;=3.5,"A-",IF('Data Source'!Z183&gt;=3,"B",IF('Data Source'!Z183&gt;=2,"C",IF('Data Source'!Z183&gt;=1,"D","F")))))))</f>
        <v/>
      </c>
      <c r="I183" s="3">
        <f>IF('Data Source'!B183="","",IF('Data Source'!AA183&gt;=5,"A+",IF('Data Source'!AA183&gt;=4,"A",IF('Data Source'!AA183&gt;=3.5,"A-",IF('Data Source'!AA183&gt;=3,"B",IF('Data Source'!AA183&gt;=2,"C",IF('Data Source'!AA183&gt;=1,"D","F")))))))</f>
        <v/>
      </c>
      <c r="J183" s="3">
        <f>IF('Data Source'!B183="","",IF('Data Source'!AB183&gt;=5,"A+",IF('Data Source'!AB183&gt;=4,"A",IF('Data Source'!AB183&gt;=3.5,"A-",IF('Data Source'!AB183&gt;=3,"B",IF('Data Source'!AB183&gt;=2,"C",IF('Data Source'!AB183&gt;=1,"D","F")))))))</f>
        <v/>
      </c>
      <c r="K183" s="3">
        <f>IF('Data Source'!B183="","",IF('Data Source'!AC183&gt;=5,"A+",IF('Data Source'!AC183&gt;=4,"A",IF('Data Source'!AC183&gt;=3.5,"A-",IF('Data Source'!AC183&gt;=3,"B",IF('Data Source'!AC183&gt;=2,"C",IF('Data Source'!AC183&gt;=1,"D","F")))))))</f>
        <v/>
      </c>
      <c r="L183" s="3">
        <f>IF('Data Source'!B183="","",IF('Data Source'!AD183&gt;=5,"A+",IF('Data Source'!AD183&gt;=4,"A",IF('Data Source'!AD183&gt;=3.5,"A-",IF('Data Source'!AD183&gt;=3,"B",IF('Data Source'!AD183&gt;=2,"C",IF('Data Source'!AD183&gt;=1,"D","F")))))))</f>
        <v/>
      </c>
      <c r="M183" s="3">
        <f>IF('Data Source'!B183="","",IF('Data Source'!AE183&gt;=5,"A+",IF('Data Source'!AE183&gt;=4,"A",IF('Data Source'!AE183&gt;=3.5,"A-",IF('Data Source'!AE183&gt;=3,"B",IF('Data Source'!AE183&gt;=2,"C",IF('Data Source'!AE183&gt;=1,"D","F")))))))</f>
        <v/>
      </c>
      <c r="N183" s="3">
        <f>IF('Data Source'!B183="","",IF('Data Source'!AF183&gt;=5,"A+",IF('Data Source'!AF183&gt;=4,"A",IF('Data Source'!AF183&gt;=3.5,"A-",IF('Data Source'!AF183&gt;=3,"B",IF('Data Source'!AF183&gt;=2,"C",IF('Data Source'!AF183&gt;=1,"D","F")))))))</f>
        <v/>
      </c>
      <c r="O183" s="3">
        <f>IF('Data Source'!B183="","",IF('Data Source'!AG183&gt;=5,"A+",IF('Data Source'!AG183&gt;=4,"A",IF('Data Source'!AG183&gt;=3.5,"A-",IF('Data Source'!AG183&gt;=3,"B",IF('Data Source'!AG183&gt;=2,"C",IF('Data Source'!AG183&gt;=1,"D","F")))))))</f>
        <v/>
      </c>
      <c r="P183" s="5">
        <f>IF('Data Source'!B183="","",'Data Source'!R183)</f>
        <v/>
      </c>
      <c r="Q183" s="3">
        <f>IF('Data Source'!B183="","",'Data Source'!S183)</f>
        <v/>
      </c>
    </row>
    <row r="184">
      <c r="A184" s="3">
        <f>IF('Data Source'!B184="","",'Data Source'!A184)</f>
        <v/>
      </c>
      <c r="B184">
        <f>IF('Data Source'!B184="","",'Data Source'!B184)</f>
        <v/>
      </c>
      <c r="C184" s="3">
        <f>IF('Data Source'!B184="","",IF('Data Source'!U184&gt;=5,"A+",IF('Data Source'!U184&gt;=4,"A",IF('Data Source'!U184&gt;=3.5,"A-",IF('Data Source'!U184&gt;=3,"B",IF('Data Source'!U184&gt;=2,"C",IF('Data Source'!U184&gt;=1,"D","F")))))))</f>
        <v/>
      </c>
      <c r="D184" s="3">
        <f>IF('Data Source'!B184="","",IF('Data Source'!V184&gt;=5,"A+",IF('Data Source'!V184&gt;=4,"A",IF('Data Source'!V184&gt;=3.5,"A-",IF('Data Source'!V184&gt;=3,"B",IF('Data Source'!V184&gt;=2,"C",IF('Data Source'!V184&gt;=1,"D","F")))))))</f>
        <v/>
      </c>
      <c r="E184" s="3">
        <f>IF('Data Source'!B184="","",IF('Data Source'!W184&gt;=5,"A+",IF('Data Source'!W184&gt;=4,"A",IF('Data Source'!W184&gt;=3.5,"A-",IF('Data Source'!W184&gt;=3,"B",IF('Data Source'!W184&gt;=2,"C",IF('Data Source'!W184&gt;=1,"D","F")))))))</f>
        <v/>
      </c>
      <c r="F184" s="3">
        <f>IF('Data Source'!B184="","",IF('Data Source'!X184&gt;=5,"A+",IF('Data Source'!X184&gt;=4,"A",IF('Data Source'!X184&gt;=3.5,"A-",IF('Data Source'!X184&gt;=3,"B",IF('Data Source'!X184&gt;=2,"C",IF('Data Source'!X184&gt;=1,"D","F")))))))</f>
        <v/>
      </c>
      <c r="G184" s="3">
        <f>IF('Data Source'!B184="","",IF('Data Source'!Y184&gt;=5,"A+",IF('Data Source'!Y184&gt;=4,"A",IF('Data Source'!Y184&gt;=3.5,"A-",IF('Data Source'!Y184&gt;=3,"B",IF('Data Source'!Y184&gt;=2,"C",IF('Data Source'!Y184&gt;=1,"D","F")))))))</f>
        <v/>
      </c>
      <c r="H184" s="3">
        <f>IF('Data Source'!B184="","",IF('Data Source'!Z184&gt;=5,"A+",IF('Data Source'!Z184&gt;=4,"A",IF('Data Source'!Z184&gt;=3.5,"A-",IF('Data Source'!Z184&gt;=3,"B",IF('Data Source'!Z184&gt;=2,"C",IF('Data Source'!Z184&gt;=1,"D","F")))))))</f>
        <v/>
      </c>
      <c r="I184" s="3">
        <f>IF('Data Source'!B184="","",IF('Data Source'!AA184&gt;=5,"A+",IF('Data Source'!AA184&gt;=4,"A",IF('Data Source'!AA184&gt;=3.5,"A-",IF('Data Source'!AA184&gt;=3,"B",IF('Data Source'!AA184&gt;=2,"C",IF('Data Source'!AA184&gt;=1,"D","F")))))))</f>
        <v/>
      </c>
      <c r="J184" s="3">
        <f>IF('Data Source'!B184="","",IF('Data Source'!AB184&gt;=5,"A+",IF('Data Source'!AB184&gt;=4,"A",IF('Data Source'!AB184&gt;=3.5,"A-",IF('Data Source'!AB184&gt;=3,"B",IF('Data Source'!AB184&gt;=2,"C",IF('Data Source'!AB184&gt;=1,"D","F")))))))</f>
        <v/>
      </c>
      <c r="K184" s="3">
        <f>IF('Data Source'!B184="","",IF('Data Source'!AC184&gt;=5,"A+",IF('Data Source'!AC184&gt;=4,"A",IF('Data Source'!AC184&gt;=3.5,"A-",IF('Data Source'!AC184&gt;=3,"B",IF('Data Source'!AC184&gt;=2,"C",IF('Data Source'!AC184&gt;=1,"D","F")))))))</f>
        <v/>
      </c>
      <c r="L184" s="3">
        <f>IF('Data Source'!B184="","",IF('Data Source'!AD184&gt;=5,"A+",IF('Data Source'!AD184&gt;=4,"A",IF('Data Source'!AD184&gt;=3.5,"A-",IF('Data Source'!AD184&gt;=3,"B",IF('Data Source'!AD184&gt;=2,"C",IF('Data Source'!AD184&gt;=1,"D","F")))))))</f>
        <v/>
      </c>
      <c r="M184" s="3">
        <f>IF('Data Source'!B184="","",IF('Data Source'!AE184&gt;=5,"A+",IF('Data Source'!AE184&gt;=4,"A",IF('Data Source'!AE184&gt;=3.5,"A-",IF('Data Source'!AE184&gt;=3,"B",IF('Data Source'!AE184&gt;=2,"C",IF('Data Source'!AE184&gt;=1,"D","F")))))))</f>
        <v/>
      </c>
      <c r="N184" s="3">
        <f>IF('Data Source'!B184="","",IF('Data Source'!AF184&gt;=5,"A+",IF('Data Source'!AF184&gt;=4,"A",IF('Data Source'!AF184&gt;=3.5,"A-",IF('Data Source'!AF184&gt;=3,"B",IF('Data Source'!AF184&gt;=2,"C",IF('Data Source'!AF184&gt;=1,"D","F")))))))</f>
        <v/>
      </c>
      <c r="O184" s="3">
        <f>IF('Data Source'!B184="","",IF('Data Source'!AG184&gt;=5,"A+",IF('Data Source'!AG184&gt;=4,"A",IF('Data Source'!AG184&gt;=3.5,"A-",IF('Data Source'!AG184&gt;=3,"B",IF('Data Source'!AG184&gt;=2,"C",IF('Data Source'!AG184&gt;=1,"D","F")))))))</f>
        <v/>
      </c>
      <c r="P184" s="5">
        <f>IF('Data Source'!B184="","",'Data Source'!R184)</f>
        <v/>
      </c>
      <c r="Q184" s="3">
        <f>IF('Data Source'!B184="","",'Data Source'!S184)</f>
        <v/>
      </c>
    </row>
    <row r="185">
      <c r="A185" s="3">
        <f>IF('Data Source'!B185="","",'Data Source'!A185)</f>
        <v/>
      </c>
      <c r="B185">
        <f>IF('Data Source'!B185="","",'Data Source'!B185)</f>
        <v/>
      </c>
      <c r="C185" s="3">
        <f>IF('Data Source'!B185="","",IF('Data Source'!U185&gt;=5,"A+",IF('Data Source'!U185&gt;=4,"A",IF('Data Source'!U185&gt;=3.5,"A-",IF('Data Source'!U185&gt;=3,"B",IF('Data Source'!U185&gt;=2,"C",IF('Data Source'!U185&gt;=1,"D","F")))))))</f>
        <v/>
      </c>
      <c r="D185" s="3">
        <f>IF('Data Source'!B185="","",IF('Data Source'!V185&gt;=5,"A+",IF('Data Source'!V185&gt;=4,"A",IF('Data Source'!V185&gt;=3.5,"A-",IF('Data Source'!V185&gt;=3,"B",IF('Data Source'!V185&gt;=2,"C",IF('Data Source'!V185&gt;=1,"D","F")))))))</f>
        <v/>
      </c>
      <c r="E185" s="3">
        <f>IF('Data Source'!B185="","",IF('Data Source'!W185&gt;=5,"A+",IF('Data Source'!W185&gt;=4,"A",IF('Data Source'!W185&gt;=3.5,"A-",IF('Data Source'!W185&gt;=3,"B",IF('Data Source'!W185&gt;=2,"C",IF('Data Source'!W185&gt;=1,"D","F")))))))</f>
        <v/>
      </c>
      <c r="F185" s="3">
        <f>IF('Data Source'!B185="","",IF('Data Source'!X185&gt;=5,"A+",IF('Data Source'!X185&gt;=4,"A",IF('Data Source'!X185&gt;=3.5,"A-",IF('Data Source'!X185&gt;=3,"B",IF('Data Source'!X185&gt;=2,"C",IF('Data Source'!X185&gt;=1,"D","F")))))))</f>
        <v/>
      </c>
      <c r="G185" s="3">
        <f>IF('Data Source'!B185="","",IF('Data Source'!Y185&gt;=5,"A+",IF('Data Source'!Y185&gt;=4,"A",IF('Data Source'!Y185&gt;=3.5,"A-",IF('Data Source'!Y185&gt;=3,"B",IF('Data Source'!Y185&gt;=2,"C",IF('Data Source'!Y185&gt;=1,"D","F")))))))</f>
        <v/>
      </c>
      <c r="H185" s="3">
        <f>IF('Data Source'!B185="","",IF('Data Source'!Z185&gt;=5,"A+",IF('Data Source'!Z185&gt;=4,"A",IF('Data Source'!Z185&gt;=3.5,"A-",IF('Data Source'!Z185&gt;=3,"B",IF('Data Source'!Z185&gt;=2,"C",IF('Data Source'!Z185&gt;=1,"D","F")))))))</f>
        <v/>
      </c>
      <c r="I185" s="3">
        <f>IF('Data Source'!B185="","",IF('Data Source'!AA185&gt;=5,"A+",IF('Data Source'!AA185&gt;=4,"A",IF('Data Source'!AA185&gt;=3.5,"A-",IF('Data Source'!AA185&gt;=3,"B",IF('Data Source'!AA185&gt;=2,"C",IF('Data Source'!AA185&gt;=1,"D","F")))))))</f>
        <v/>
      </c>
      <c r="J185" s="3">
        <f>IF('Data Source'!B185="","",IF('Data Source'!AB185&gt;=5,"A+",IF('Data Source'!AB185&gt;=4,"A",IF('Data Source'!AB185&gt;=3.5,"A-",IF('Data Source'!AB185&gt;=3,"B",IF('Data Source'!AB185&gt;=2,"C",IF('Data Source'!AB185&gt;=1,"D","F")))))))</f>
        <v/>
      </c>
      <c r="K185" s="3">
        <f>IF('Data Source'!B185="","",IF('Data Source'!AC185&gt;=5,"A+",IF('Data Source'!AC185&gt;=4,"A",IF('Data Source'!AC185&gt;=3.5,"A-",IF('Data Source'!AC185&gt;=3,"B",IF('Data Source'!AC185&gt;=2,"C",IF('Data Source'!AC185&gt;=1,"D","F")))))))</f>
        <v/>
      </c>
      <c r="L185" s="3">
        <f>IF('Data Source'!B185="","",IF('Data Source'!AD185&gt;=5,"A+",IF('Data Source'!AD185&gt;=4,"A",IF('Data Source'!AD185&gt;=3.5,"A-",IF('Data Source'!AD185&gt;=3,"B",IF('Data Source'!AD185&gt;=2,"C",IF('Data Source'!AD185&gt;=1,"D","F")))))))</f>
        <v/>
      </c>
      <c r="M185" s="3">
        <f>IF('Data Source'!B185="","",IF('Data Source'!AE185&gt;=5,"A+",IF('Data Source'!AE185&gt;=4,"A",IF('Data Source'!AE185&gt;=3.5,"A-",IF('Data Source'!AE185&gt;=3,"B",IF('Data Source'!AE185&gt;=2,"C",IF('Data Source'!AE185&gt;=1,"D","F")))))))</f>
        <v/>
      </c>
      <c r="N185" s="3">
        <f>IF('Data Source'!B185="","",IF('Data Source'!AF185&gt;=5,"A+",IF('Data Source'!AF185&gt;=4,"A",IF('Data Source'!AF185&gt;=3.5,"A-",IF('Data Source'!AF185&gt;=3,"B",IF('Data Source'!AF185&gt;=2,"C",IF('Data Source'!AF185&gt;=1,"D","F")))))))</f>
        <v/>
      </c>
      <c r="O185" s="3">
        <f>IF('Data Source'!B185="","",IF('Data Source'!AG185&gt;=5,"A+",IF('Data Source'!AG185&gt;=4,"A",IF('Data Source'!AG185&gt;=3.5,"A-",IF('Data Source'!AG185&gt;=3,"B",IF('Data Source'!AG185&gt;=2,"C",IF('Data Source'!AG185&gt;=1,"D","F")))))))</f>
        <v/>
      </c>
      <c r="P185" s="5">
        <f>IF('Data Source'!B185="","",'Data Source'!R185)</f>
        <v/>
      </c>
      <c r="Q185" s="3">
        <f>IF('Data Source'!B185="","",'Data Source'!S185)</f>
        <v/>
      </c>
    </row>
    <row r="186">
      <c r="A186" s="3">
        <f>IF('Data Source'!B186="","",'Data Source'!A186)</f>
        <v/>
      </c>
      <c r="B186">
        <f>IF('Data Source'!B186="","",'Data Source'!B186)</f>
        <v/>
      </c>
      <c r="C186" s="3">
        <f>IF('Data Source'!B186="","",IF('Data Source'!U186&gt;=5,"A+",IF('Data Source'!U186&gt;=4,"A",IF('Data Source'!U186&gt;=3.5,"A-",IF('Data Source'!U186&gt;=3,"B",IF('Data Source'!U186&gt;=2,"C",IF('Data Source'!U186&gt;=1,"D","F")))))))</f>
        <v/>
      </c>
      <c r="D186" s="3">
        <f>IF('Data Source'!B186="","",IF('Data Source'!V186&gt;=5,"A+",IF('Data Source'!V186&gt;=4,"A",IF('Data Source'!V186&gt;=3.5,"A-",IF('Data Source'!V186&gt;=3,"B",IF('Data Source'!V186&gt;=2,"C",IF('Data Source'!V186&gt;=1,"D","F")))))))</f>
        <v/>
      </c>
      <c r="E186" s="3">
        <f>IF('Data Source'!B186="","",IF('Data Source'!W186&gt;=5,"A+",IF('Data Source'!W186&gt;=4,"A",IF('Data Source'!W186&gt;=3.5,"A-",IF('Data Source'!W186&gt;=3,"B",IF('Data Source'!W186&gt;=2,"C",IF('Data Source'!W186&gt;=1,"D","F")))))))</f>
        <v/>
      </c>
      <c r="F186" s="3">
        <f>IF('Data Source'!B186="","",IF('Data Source'!X186&gt;=5,"A+",IF('Data Source'!X186&gt;=4,"A",IF('Data Source'!X186&gt;=3.5,"A-",IF('Data Source'!X186&gt;=3,"B",IF('Data Source'!X186&gt;=2,"C",IF('Data Source'!X186&gt;=1,"D","F")))))))</f>
        <v/>
      </c>
      <c r="G186" s="3">
        <f>IF('Data Source'!B186="","",IF('Data Source'!Y186&gt;=5,"A+",IF('Data Source'!Y186&gt;=4,"A",IF('Data Source'!Y186&gt;=3.5,"A-",IF('Data Source'!Y186&gt;=3,"B",IF('Data Source'!Y186&gt;=2,"C",IF('Data Source'!Y186&gt;=1,"D","F")))))))</f>
        <v/>
      </c>
      <c r="H186" s="3">
        <f>IF('Data Source'!B186="","",IF('Data Source'!Z186&gt;=5,"A+",IF('Data Source'!Z186&gt;=4,"A",IF('Data Source'!Z186&gt;=3.5,"A-",IF('Data Source'!Z186&gt;=3,"B",IF('Data Source'!Z186&gt;=2,"C",IF('Data Source'!Z186&gt;=1,"D","F")))))))</f>
        <v/>
      </c>
      <c r="I186" s="3">
        <f>IF('Data Source'!B186="","",IF('Data Source'!AA186&gt;=5,"A+",IF('Data Source'!AA186&gt;=4,"A",IF('Data Source'!AA186&gt;=3.5,"A-",IF('Data Source'!AA186&gt;=3,"B",IF('Data Source'!AA186&gt;=2,"C",IF('Data Source'!AA186&gt;=1,"D","F")))))))</f>
        <v/>
      </c>
      <c r="J186" s="3">
        <f>IF('Data Source'!B186="","",IF('Data Source'!AB186&gt;=5,"A+",IF('Data Source'!AB186&gt;=4,"A",IF('Data Source'!AB186&gt;=3.5,"A-",IF('Data Source'!AB186&gt;=3,"B",IF('Data Source'!AB186&gt;=2,"C",IF('Data Source'!AB186&gt;=1,"D","F")))))))</f>
        <v/>
      </c>
      <c r="K186" s="3">
        <f>IF('Data Source'!B186="","",IF('Data Source'!AC186&gt;=5,"A+",IF('Data Source'!AC186&gt;=4,"A",IF('Data Source'!AC186&gt;=3.5,"A-",IF('Data Source'!AC186&gt;=3,"B",IF('Data Source'!AC186&gt;=2,"C",IF('Data Source'!AC186&gt;=1,"D","F")))))))</f>
        <v/>
      </c>
      <c r="L186" s="3">
        <f>IF('Data Source'!B186="","",IF('Data Source'!AD186&gt;=5,"A+",IF('Data Source'!AD186&gt;=4,"A",IF('Data Source'!AD186&gt;=3.5,"A-",IF('Data Source'!AD186&gt;=3,"B",IF('Data Source'!AD186&gt;=2,"C",IF('Data Source'!AD186&gt;=1,"D","F")))))))</f>
        <v/>
      </c>
      <c r="M186" s="3">
        <f>IF('Data Source'!B186="","",IF('Data Source'!AE186&gt;=5,"A+",IF('Data Source'!AE186&gt;=4,"A",IF('Data Source'!AE186&gt;=3.5,"A-",IF('Data Source'!AE186&gt;=3,"B",IF('Data Source'!AE186&gt;=2,"C",IF('Data Source'!AE186&gt;=1,"D","F")))))))</f>
        <v/>
      </c>
      <c r="N186" s="3">
        <f>IF('Data Source'!B186="","",IF('Data Source'!AF186&gt;=5,"A+",IF('Data Source'!AF186&gt;=4,"A",IF('Data Source'!AF186&gt;=3.5,"A-",IF('Data Source'!AF186&gt;=3,"B",IF('Data Source'!AF186&gt;=2,"C",IF('Data Source'!AF186&gt;=1,"D","F")))))))</f>
        <v/>
      </c>
      <c r="O186" s="3">
        <f>IF('Data Source'!B186="","",IF('Data Source'!AG186&gt;=5,"A+",IF('Data Source'!AG186&gt;=4,"A",IF('Data Source'!AG186&gt;=3.5,"A-",IF('Data Source'!AG186&gt;=3,"B",IF('Data Source'!AG186&gt;=2,"C",IF('Data Source'!AG186&gt;=1,"D","F")))))))</f>
        <v/>
      </c>
      <c r="P186" s="5">
        <f>IF('Data Source'!B186="","",'Data Source'!R186)</f>
        <v/>
      </c>
      <c r="Q186" s="3">
        <f>IF('Data Source'!B186="","",'Data Source'!S186)</f>
        <v/>
      </c>
    </row>
    <row r="187">
      <c r="A187" s="3">
        <f>IF('Data Source'!B187="","",'Data Source'!A187)</f>
        <v/>
      </c>
      <c r="B187">
        <f>IF('Data Source'!B187="","",'Data Source'!B187)</f>
        <v/>
      </c>
      <c r="C187" s="3">
        <f>IF('Data Source'!B187="","",IF('Data Source'!U187&gt;=5,"A+",IF('Data Source'!U187&gt;=4,"A",IF('Data Source'!U187&gt;=3.5,"A-",IF('Data Source'!U187&gt;=3,"B",IF('Data Source'!U187&gt;=2,"C",IF('Data Source'!U187&gt;=1,"D","F")))))))</f>
        <v/>
      </c>
      <c r="D187" s="3">
        <f>IF('Data Source'!B187="","",IF('Data Source'!V187&gt;=5,"A+",IF('Data Source'!V187&gt;=4,"A",IF('Data Source'!V187&gt;=3.5,"A-",IF('Data Source'!V187&gt;=3,"B",IF('Data Source'!V187&gt;=2,"C",IF('Data Source'!V187&gt;=1,"D","F")))))))</f>
        <v/>
      </c>
      <c r="E187" s="3">
        <f>IF('Data Source'!B187="","",IF('Data Source'!W187&gt;=5,"A+",IF('Data Source'!W187&gt;=4,"A",IF('Data Source'!W187&gt;=3.5,"A-",IF('Data Source'!W187&gt;=3,"B",IF('Data Source'!W187&gt;=2,"C",IF('Data Source'!W187&gt;=1,"D","F")))))))</f>
        <v/>
      </c>
      <c r="F187" s="3">
        <f>IF('Data Source'!B187="","",IF('Data Source'!X187&gt;=5,"A+",IF('Data Source'!X187&gt;=4,"A",IF('Data Source'!X187&gt;=3.5,"A-",IF('Data Source'!X187&gt;=3,"B",IF('Data Source'!X187&gt;=2,"C",IF('Data Source'!X187&gt;=1,"D","F")))))))</f>
        <v/>
      </c>
      <c r="G187" s="3">
        <f>IF('Data Source'!B187="","",IF('Data Source'!Y187&gt;=5,"A+",IF('Data Source'!Y187&gt;=4,"A",IF('Data Source'!Y187&gt;=3.5,"A-",IF('Data Source'!Y187&gt;=3,"B",IF('Data Source'!Y187&gt;=2,"C",IF('Data Source'!Y187&gt;=1,"D","F")))))))</f>
        <v/>
      </c>
      <c r="H187" s="3">
        <f>IF('Data Source'!B187="","",IF('Data Source'!Z187&gt;=5,"A+",IF('Data Source'!Z187&gt;=4,"A",IF('Data Source'!Z187&gt;=3.5,"A-",IF('Data Source'!Z187&gt;=3,"B",IF('Data Source'!Z187&gt;=2,"C",IF('Data Source'!Z187&gt;=1,"D","F")))))))</f>
        <v/>
      </c>
      <c r="I187" s="3">
        <f>IF('Data Source'!B187="","",IF('Data Source'!AA187&gt;=5,"A+",IF('Data Source'!AA187&gt;=4,"A",IF('Data Source'!AA187&gt;=3.5,"A-",IF('Data Source'!AA187&gt;=3,"B",IF('Data Source'!AA187&gt;=2,"C",IF('Data Source'!AA187&gt;=1,"D","F")))))))</f>
        <v/>
      </c>
      <c r="J187" s="3">
        <f>IF('Data Source'!B187="","",IF('Data Source'!AB187&gt;=5,"A+",IF('Data Source'!AB187&gt;=4,"A",IF('Data Source'!AB187&gt;=3.5,"A-",IF('Data Source'!AB187&gt;=3,"B",IF('Data Source'!AB187&gt;=2,"C",IF('Data Source'!AB187&gt;=1,"D","F")))))))</f>
        <v/>
      </c>
      <c r="K187" s="3">
        <f>IF('Data Source'!B187="","",IF('Data Source'!AC187&gt;=5,"A+",IF('Data Source'!AC187&gt;=4,"A",IF('Data Source'!AC187&gt;=3.5,"A-",IF('Data Source'!AC187&gt;=3,"B",IF('Data Source'!AC187&gt;=2,"C",IF('Data Source'!AC187&gt;=1,"D","F")))))))</f>
        <v/>
      </c>
      <c r="L187" s="3">
        <f>IF('Data Source'!B187="","",IF('Data Source'!AD187&gt;=5,"A+",IF('Data Source'!AD187&gt;=4,"A",IF('Data Source'!AD187&gt;=3.5,"A-",IF('Data Source'!AD187&gt;=3,"B",IF('Data Source'!AD187&gt;=2,"C",IF('Data Source'!AD187&gt;=1,"D","F")))))))</f>
        <v/>
      </c>
      <c r="M187" s="3">
        <f>IF('Data Source'!B187="","",IF('Data Source'!AE187&gt;=5,"A+",IF('Data Source'!AE187&gt;=4,"A",IF('Data Source'!AE187&gt;=3.5,"A-",IF('Data Source'!AE187&gt;=3,"B",IF('Data Source'!AE187&gt;=2,"C",IF('Data Source'!AE187&gt;=1,"D","F")))))))</f>
        <v/>
      </c>
      <c r="N187" s="3">
        <f>IF('Data Source'!B187="","",IF('Data Source'!AF187&gt;=5,"A+",IF('Data Source'!AF187&gt;=4,"A",IF('Data Source'!AF187&gt;=3.5,"A-",IF('Data Source'!AF187&gt;=3,"B",IF('Data Source'!AF187&gt;=2,"C",IF('Data Source'!AF187&gt;=1,"D","F")))))))</f>
        <v/>
      </c>
      <c r="O187" s="3">
        <f>IF('Data Source'!B187="","",IF('Data Source'!AG187&gt;=5,"A+",IF('Data Source'!AG187&gt;=4,"A",IF('Data Source'!AG187&gt;=3.5,"A-",IF('Data Source'!AG187&gt;=3,"B",IF('Data Source'!AG187&gt;=2,"C",IF('Data Source'!AG187&gt;=1,"D","F")))))))</f>
        <v/>
      </c>
      <c r="P187" s="5">
        <f>IF('Data Source'!B187="","",'Data Source'!R187)</f>
        <v/>
      </c>
      <c r="Q187" s="3">
        <f>IF('Data Source'!B187="","",'Data Source'!S187)</f>
        <v/>
      </c>
    </row>
    <row r="188">
      <c r="A188" s="3">
        <f>IF('Data Source'!B188="","",'Data Source'!A188)</f>
        <v/>
      </c>
      <c r="B188">
        <f>IF('Data Source'!B188="","",'Data Source'!B188)</f>
        <v/>
      </c>
      <c r="C188" s="3">
        <f>IF('Data Source'!B188="","",IF('Data Source'!U188&gt;=5,"A+",IF('Data Source'!U188&gt;=4,"A",IF('Data Source'!U188&gt;=3.5,"A-",IF('Data Source'!U188&gt;=3,"B",IF('Data Source'!U188&gt;=2,"C",IF('Data Source'!U188&gt;=1,"D","F")))))))</f>
        <v/>
      </c>
      <c r="D188" s="3">
        <f>IF('Data Source'!B188="","",IF('Data Source'!V188&gt;=5,"A+",IF('Data Source'!V188&gt;=4,"A",IF('Data Source'!V188&gt;=3.5,"A-",IF('Data Source'!V188&gt;=3,"B",IF('Data Source'!V188&gt;=2,"C",IF('Data Source'!V188&gt;=1,"D","F")))))))</f>
        <v/>
      </c>
      <c r="E188" s="3">
        <f>IF('Data Source'!B188="","",IF('Data Source'!W188&gt;=5,"A+",IF('Data Source'!W188&gt;=4,"A",IF('Data Source'!W188&gt;=3.5,"A-",IF('Data Source'!W188&gt;=3,"B",IF('Data Source'!W188&gt;=2,"C",IF('Data Source'!W188&gt;=1,"D","F")))))))</f>
        <v/>
      </c>
      <c r="F188" s="3">
        <f>IF('Data Source'!B188="","",IF('Data Source'!X188&gt;=5,"A+",IF('Data Source'!X188&gt;=4,"A",IF('Data Source'!X188&gt;=3.5,"A-",IF('Data Source'!X188&gt;=3,"B",IF('Data Source'!X188&gt;=2,"C",IF('Data Source'!X188&gt;=1,"D","F")))))))</f>
        <v/>
      </c>
      <c r="G188" s="3">
        <f>IF('Data Source'!B188="","",IF('Data Source'!Y188&gt;=5,"A+",IF('Data Source'!Y188&gt;=4,"A",IF('Data Source'!Y188&gt;=3.5,"A-",IF('Data Source'!Y188&gt;=3,"B",IF('Data Source'!Y188&gt;=2,"C",IF('Data Source'!Y188&gt;=1,"D","F")))))))</f>
        <v/>
      </c>
      <c r="H188" s="3">
        <f>IF('Data Source'!B188="","",IF('Data Source'!Z188&gt;=5,"A+",IF('Data Source'!Z188&gt;=4,"A",IF('Data Source'!Z188&gt;=3.5,"A-",IF('Data Source'!Z188&gt;=3,"B",IF('Data Source'!Z188&gt;=2,"C",IF('Data Source'!Z188&gt;=1,"D","F")))))))</f>
        <v/>
      </c>
      <c r="I188" s="3">
        <f>IF('Data Source'!B188="","",IF('Data Source'!AA188&gt;=5,"A+",IF('Data Source'!AA188&gt;=4,"A",IF('Data Source'!AA188&gt;=3.5,"A-",IF('Data Source'!AA188&gt;=3,"B",IF('Data Source'!AA188&gt;=2,"C",IF('Data Source'!AA188&gt;=1,"D","F")))))))</f>
        <v/>
      </c>
      <c r="J188" s="3">
        <f>IF('Data Source'!B188="","",IF('Data Source'!AB188&gt;=5,"A+",IF('Data Source'!AB188&gt;=4,"A",IF('Data Source'!AB188&gt;=3.5,"A-",IF('Data Source'!AB188&gt;=3,"B",IF('Data Source'!AB188&gt;=2,"C",IF('Data Source'!AB188&gt;=1,"D","F")))))))</f>
        <v/>
      </c>
      <c r="K188" s="3">
        <f>IF('Data Source'!B188="","",IF('Data Source'!AC188&gt;=5,"A+",IF('Data Source'!AC188&gt;=4,"A",IF('Data Source'!AC188&gt;=3.5,"A-",IF('Data Source'!AC188&gt;=3,"B",IF('Data Source'!AC188&gt;=2,"C",IF('Data Source'!AC188&gt;=1,"D","F")))))))</f>
        <v/>
      </c>
      <c r="L188" s="3">
        <f>IF('Data Source'!B188="","",IF('Data Source'!AD188&gt;=5,"A+",IF('Data Source'!AD188&gt;=4,"A",IF('Data Source'!AD188&gt;=3.5,"A-",IF('Data Source'!AD188&gt;=3,"B",IF('Data Source'!AD188&gt;=2,"C",IF('Data Source'!AD188&gt;=1,"D","F")))))))</f>
        <v/>
      </c>
      <c r="M188" s="3">
        <f>IF('Data Source'!B188="","",IF('Data Source'!AE188&gt;=5,"A+",IF('Data Source'!AE188&gt;=4,"A",IF('Data Source'!AE188&gt;=3.5,"A-",IF('Data Source'!AE188&gt;=3,"B",IF('Data Source'!AE188&gt;=2,"C",IF('Data Source'!AE188&gt;=1,"D","F")))))))</f>
        <v/>
      </c>
      <c r="N188" s="3">
        <f>IF('Data Source'!B188="","",IF('Data Source'!AF188&gt;=5,"A+",IF('Data Source'!AF188&gt;=4,"A",IF('Data Source'!AF188&gt;=3.5,"A-",IF('Data Source'!AF188&gt;=3,"B",IF('Data Source'!AF188&gt;=2,"C",IF('Data Source'!AF188&gt;=1,"D","F")))))))</f>
        <v/>
      </c>
      <c r="O188" s="3">
        <f>IF('Data Source'!B188="","",IF('Data Source'!AG188&gt;=5,"A+",IF('Data Source'!AG188&gt;=4,"A",IF('Data Source'!AG188&gt;=3.5,"A-",IF('Data Source'!AG188&gt;=3,"B",IF('Data Source'!AG188&gt;=2,"C",IF('Data Source'!AG188&gt;=1,"D","F")))))))</f>
        <v/>
      </c>
      <c r="P188" s="5">
        <f>IF('Data Source'!B188="","",'Data Source'!R188)</f>
        <v/>
      </c>
      <c r="Q188" s="3">
        <f>IF('Data Source'!B188="","",'Data Source'!S188)</f>
        <v/>
      </c>
    </row>
    <row r="189">
      <c r="A189" s="3">
        <f>IF('Data Source'!B189="","",'Data Source'!A189)</f>
        <v/>
      </c>
      <c r="B189">
        <f>IF('Data Source'!B189="","",'Data Source'!B189)</f>
        <v/>
      </c>
      <c r="C189" s="3">
        <f>IF('Data Source'!B189="","",IF('Data Source'!U189&gt;=5,"A+",IF('Data Source'!U189&gt;=4,"A",IF('Data Source'!U189&gt;=3.5,"A-",IF('Data Source'!U189&gt;=3,"B",IF('Data Source'!U189&gt;=2,"C",IF('Data Source'!U189&gt;=1,"D","F")))))))</f>
        <v/>
      </c>
      <c r="D189" s="3">
        <f>IF('Data Source'!B189="","",IF('Data Source'!V189&gt;=5,"A+",IF('Data Source'!V189&gt;=4,"A",IF('Data Source'!V189&gt;=3.5,"A-",IF('Data Source'!V189&gt;=3,"B",IF('Data Source'!V189&gt;=2,"C",IF('Data Source'!V189&gt;=1,"D","F")))))))</f>
        <v/>
      </c>
      <c r="E189" s="3">
        <f>IF('Data Source'!B189="","",IF('Data Source'!W189&gt;=5,"A+",IF('Data Source'!W189&gt;=4,"A",IF('Data Source'!W189&gt;=3.5,"A-",IF('Data Source'!W189&gt;=3,"B",IF('Data Source'!W189&gt;=2,"C",IF('Data Source'!W189&gt;=1,"D","F")))))))</f>
        <v/>
      </c>
      <c r="F189" s="3">
        <f>IF('Data Source'!B189="","",IF('Data Source'!X189&gt;=5,"A+",IF('Data Source'!X189&gt;=4,"A",IF('Data Source'!X189&gt;=3.5,"A-",IF('Data Source'!X189&gt;=3,"B",IF('Data Source'!X189&gt;=2,"C",IF('Data Source'!X189&gt;=1,"D","F")))))))</f>
        <v/>
      </c>
      <c r="G189" s="3">
        <f>IF('Data Source'!B189="","",IF('Data Source'!Y189&gt;=5,"A+",IF('Data Source'!Y189&gt;=4,"A",IF('Data Source'!Y189&gt;=3.5,"A-",IF('Data Source'!Y189&gt;=3,"B",IF('Data Source'!Y189&gt;=2,"C",IF('Data Source'!Y189&gt;=1,"D","F")))))))</f>
        <v/>
      </c>
      <c r="H189" s="3">
        <f>IF('Data Source'!B189="","",IF('Data Source'!Z189&gt;=5,"A+",IF('Data Source'!Z189&gt;=4,"A",IF('Data Source'!Z189&gt;=3.5,"A-",IF('Data Source'!Z189&gt;=3,"B",IF('Data Source'!Z189&gt;=2,"C",IF('Data Source'!Z189&gt;=1,"D","F")))))))</f>
        <v/>
      </c>
      <c r="I189" s="3">
        <f>IF('Data Source'!B189="","",IF('Data Source'!AA189&gt;=5,"A+",IF('Data Source'!AA189&gt;=4,"A",IF('Data Source'!AA189&gt;=3.5,"A-",IF('Data Source'!AA189&gt;=3,"B",IF('Data Source'!AA189&gt;=2,"C",IF('Data Source'!AA189&gt;=1,"D","F")))))))</f>
        <v/>
      </c>
      <c r="J189" s="3">
        <f>IF('Data Source'!B189="","",IF('Data Source'!AB189&gt;=5,"A+",IF('Data Source'!AB189&gt;=4,"A",IF('Data Source'!AB189&gt;=3.5,"A-",IF('Data Source'!AB189&gt;=3,"B",IF('Data Source'!AB189&gt;=2,"C",IF('Data Source'!AB189&gt;=1,"D","F")))))))</f>
        <v/>
      </c>
      <c r="K189" s="3">
        <f>IF('Data Source'!B189="","",IF('Data Source'!AC189&gt;=5,"A+",IF('Data Source'!AC189&gt;=4,"A",IF('Data Source'!AC189&gt;=3.5,"A-",IF('Data Source'!AC189&gt;=3,"B",IF('Data Source'!AC189&gt;=2,"C",IF('Data Source'!AC189&gt;=1,"D","F")))))))</f>
        <v/>
      </c>
      <c r="L189" s="3">
        <f>IF('Data Source'!B189="","",IF('Data Source'!AD189&gt;=5,"A+",IF('Data Source'!AD189&gt;=4,"A",IF('Data Source'!AD189&gt;=3.5,"A-",IF('Data Source'!AD189&gt;=3,"B",IF('Data Source'!AD189&gt;=2,"C",IF('Data Source'!AD189&gt;=1,"D","F")))))))</f>
        <v/>
      </c>
      <c r="M189" s="3">
        <f>IF('Data Source'!B189="","",IF('Data Source'!AE189&gt;=5,"A+",IF('Data Source'!AE189&gt;=4,"A",IF('Data Source'!AE189&gt;=3.5,"A-",IF('Data Source'!AE189&gt;=3,"B",IF('Data Source'!AE189&gt;=2,"C",IF('Data Source'!AE189&gt;=1,"D","F")))))))</f>
        <v/>
      </c>
      <c r="N189" s="3">
        <f>IF('Data Source'!B189="","",IF('Data Source'!AF189&gt;=5,"A+",IF('Data Source'!AF189&gt;=4,"A",IF('Data Source'!AF189&gt;=3.5,"A-",IF('Data Source'!AF189&gt;=3,"B",IF('Data Source'!AF189&gt;=2,"C",IF('Data Source'!AF189&gt;=1,"D","F")))))))</f>
        <v/>
      </c>
      <c r="O189" s="3">
        <f>IF('Data Source'!B189="","",IF('Data Source'!AG189&gt;=5,"A+",IF('Data Source'!AG189&gt;=4,"A",IF('Data Source'!AG189&gt;=3.5,"A-",IF('Data Source'!AG189&gt;=3,"B",IF('Data Source'!AG189&gt;=2,"C",IF('Data Source'!AG189&gt;=1,"D","F")))))))</f>
        <v/>
      </c>
      <c r="P189" s="5">
        <f>IF('Data Source'!B189="","",'Data Source'!R189)</f>
        <v/>
      </c>
      <c r="Q189" s="3">
        <f>IF('Data Source'!B189="","",'Data Source'!S189)</f>
        <v/>
      </c>
    </row>
    <row r="190">
      <c r="A190" s="3">
        <f>IF('Data Source'!B190="","",'Data Source'!A190)</f>
        <v/>
      </c>
      <c r="B190">
        <f>IF('Data Source'!B190="","",'Data Source'!B190)</f>
        <v/>
      </c>
      <c r="C190" s="3">
        <f>IF('Data Source'!B190="","",IF('Data Source'!U190&gt;=5,"A+",IF('Data Source'!U190&gt;=4,"A",IF('Data Source'!U190&gt;=3.5,"A-",IF('Data Source'!U190&gt;=3,"B",IF('Data Source'!U190&gt;=2,"C",IF('Data Source'!U190&gt;=1,"D","F")))))))</f>
        <v/>
      </c>
      <c r="D190" s="3">
        <f>IF('Data Source'!B190="","",IF('Data Source'!V190&gt;=5,"A+",IF('Data Source'!V190&gt;=4,"A",IF('Data Source'!V190&gt;=3.5,"A-",IF('Data Source'!V190&gt;=3,"B",IF('Data Source'!V190&gt;=2,"C",IF('Data Source'!V190&gt;=1,"D","F")))))))</f>
        <v/>
      </c>
      <c r="E190" s="3">
        <f>IF('Data Source'!B190="","",IF('Data Source'!W190&gt;=5,"A+",IF('Data Source'!W190&gt;=4,"A",IF('Data Source'!W190&gt;=3.5,"A-",IF('Data Source'!W190&gt;=3,"B",IF('Data Source'!W190&gt;=2,"C",IF('Data Source'!W190&gt;=1,"D","F")))))))</f>
        <v/>
      </c>
      <c r="F190" s="3">
        <f>IF('Data Source'!B190="","",IF('Data Source'!X190&gt;=5,"A+",IF('Data Source'!X190&gt;=4,"A",IF('Data Source'!X190&gt;=3.5,"A-",IF('Data Source'!X190&gt;=3,"B",IF('Data Source'!X190&gt;=2,"C",IF('Data Source'!X190&gt;=1,"D","F")))))))</f>
        <v/>
      </c>
      <c r="G190" s="3">
        <f>IF('Data Source'!B190="","",IF('Data Source'!Y190&gt;=5,"A+",IF('Data Source'!Y190&gt;=4,"A",IF('Data Source'!Y190&gt;=3.5,"A-",IF('Data Source'!Y190&gt;=3,"B",IF('Data Source'!Y190&gt;=2,"C",IF('Data Source'!Y190&gt;=1,"D","F")))))))</f>
        <v/>
      </c>
      <c r="H190" s="3">
        <f>IF('Data Source'!B190="","",IF('Data Source'!Z190&gt;=5,"A+",IF('Data Source'!Z190&gt;=4,"A",IF('Data Source'!Z190&gt;=3.5,"A-",IF('Data Source'!Z190&gt;=3,"B",IF('Data Source'!Z190&gt;=2,"C",IF('Data Source'!Z190&gt;=1,"D","F")))))))</f>
        <v/>
      </c>
      <c r="I190" s="3">
        <f>IF('Data Source'!B190="","",IF('Data Source'!AA190&gt;=5,"A+",IF('Data Source'!AA190&gt;=4,"A",IF('Data Source'!AA190&gt;=3.5,"A-",IF('Data Source'!AA190&gt;=3,"B",IF('Data Source'!AA190&gt;=2,"C",IF('Data Source'!AA190&gt;=1,"D","F")))))))</f>
        <v/>
      </c>
      <c r="J190" s="3">
        <f>IF('Data Source'!B190="","",IF('Data Source'!AB190&gt;=5,"A+",IF('Data Source'!AB190&gt;=4,"A",IF('Data Source'!AB190&gt;=3.5,"A-",IF('Data Source'!AB190&gt;=3,"B",IF('Data Source'!AB190&gt;=2,"C",IF('Data Source'!AB190&gt;=1,"D","F")))))))</f>
        <v/>
      </c>
      <c r="K190" s="3">
        <f>IF('Data Source'!B190="","",IF('Data Source'!AC190&gt;=5,"A+",IF('Data Source'!AC190&gt;=4,"A",IF('Data Source'!AC190&gt;=3.5,"A-",IF('Data Source'!AC190&gt;=3,"B",IF('Data Source'!AC190&gt;=2,"C",IF('Data Source'!AC190&gt;=1,"D","F")))))))</f>
        <v/>
      </c>
      <c r="L190" s="3">
        <f>IF('Data Source'!B190="","",IF('Data Source'!AD190&gt;=5,"A+",IF('Data Source'!AD190&gt;=4,"A",IF('Data Source'!AD190&gt;=3.5,"A-",IF('Data Source'!AD190&gt;=3,"B",IF('Data Source'!AD190&gt;=2,"C",IF('Data Source'!AD190&gt;=1,"D","F")))))))</f>
        <v/>
      </c>
      <c r="M190" s="3">
        <f>IF('Data Source'!B190="","",IF('Data Source'!AE190&gt;=5,"A+",IF('Data Source'!AE190&gt;=4,"A",IF('Data Source'!AE190&gt;=3.5,"A-",IF('Data Source'!AE190&gt;=3,"B",IF('Data Source'!AE190&gt;=2,"C",IF('Data Source'!AE190&gt;=1,"D","F")))))))</f>
        <v/>
      </c>
      <c r="N190" s="3">
        <f>IF('Data Source'!B190="","",IF('Data Source'!AF190&gt;=5,"A+",IF('Data Source'!AF190&gt;=4,"A",IF('Data Source'!AF190&gt;=3.5,"A-",IF('Data Source'!AF190&gt;=3,"B",IF('Data Source'!AF190&gt;=2,"C",IF('Data Source'!AF190&gt;=1,"D","F")))))))</f>
        <v/>
      </c>
      <c r="O190" s="3">
        <f>IF('Data Source'!B190="","",IF('Data Source'!AG190&gt;=5,"A+",IF('Data Source'!AG190&gt;=4,"A",IF('Data Source'!AG190&gt;=3.5,"A-",IF('Data Source'!AG190&gt;=3,"B",IF('Data Source'!AG190&gt;=2,"C",IF('Data Source'!AG190&gt;=1,"D","F")))))))</f>
        <v/>
      </c>
      <c r="P190" s="5">
        <f>IF('Data Source'!B190="","",'Data Source'!R190)</f>
        <v/>
      </c>
      <c r="Q190" s="3">
        <f>IF('Data Source'!B190="","",'Data Source'!S190)</f>
        <v/>
      </c>
    </row>
    <row r="191">
      <c r="A191" s="3">
        <f>IF('Data Source'!B191="","",'Data Source'!A191)</f>
        <v/>
      </c>
      <c r="B191">
        <f>IF('Data Source'!B191="","",'Data Source'!B191)</f>
        <v/>
      </c>
      <c r="C191" s="3">
        <f>IF('Data Source'!B191="","",IF('Data Source'!U191&gt;=5,"A+",IF('Data Source'!U191&gt;=4,"A",IF('Data Source'!U191&gt;=3.5,"A-",IF('Data Source'!U191&gt;=3,"B",IF('Data Source'!U191&gt;=2,"C",IF('Data Source'!U191&gt;=1,"D","F")))))))</f>
        <v/>
      </c>
      <c r="D191" s="3">
        <f>IF('Data Source'!B191="","",IF('Data Source'!V191&gt;=5,"A+",IF('Data Source'!V191&gt;=4,"A",IF('Data Source'!V191&gt;=3.5,"A-",IF('Data Source'!V191&gt;=3,"B",IF('Data Source'!V191&gt;=2,"C",IF('Data Source'!V191&gt;=1,"D","F")))))))</f>
        <v/>
      </c>
      <c r="E191" s="3">
        <f>IF('Data Source'!B191="","",IF('Data Source'!W191&gt;=5,"A+",IF('Data Source'!W191&gt;=4,"A",IF('Data Source'!W191&gt;=3.5,"A-",IF('Data Source'!W191&gt;=3,"B",IF('Data Source'!W191&gt;=2,"C",IF('Data Source'!W191&gt;=1,"D","F")))))))</f>
        <v/>
      </c>
      <c r="F191" s="3">
        <f>IF('Data Source'!B191="","",IF('Data Source'!X191&gt;=5,"A+",IF('Data Source'!X191&gt;=4,"A",IF('Data Source'!X191&gt;=3.5,"A-",IF('Data Source'!X191&gt;=3,"B",IF('Data Source'!X191&gt;=2,"C",IF('Data Source'!X191&gt;=1,"D","F")))))))</f>
        <v/>
      </c>
      <c r="G191" s="3">
        <f>IF('Data Source'!B191="","",IF('Data Source'!Y191&gt;=5,"A+",IF('Data Source'!Y191&gt;=4,"A",IF('Data Source'!Y191&gt;=3.5,"A-",IF('Data Source'!Y191&gt;=3,"B",IF('Data Source'!Y191&gt;=2,"C",IF('Data Source'!Y191&gt;=1,"D","F")))))))</f>
        <v/>
      </c>
      <c r="H191" s="3">
        <f>IF('Data Source'!B191="","",IF('Data Source'!Z191&gt;=5,"A+",IF('Data Source'!Z191&gt;=4,"A",IF('Data Source'!Z191&gt;=3.5,"A-",IF('Data Source'!Z191&gt;=3,"B",IF('Data Source'!Z191&gt;=2,"C",IF('Data Source'!Z191&gt;=1,"D","F")))))))</f>
        <v/>
      </c>
      <c r="I191" s="3">
        <f>IF('Data Source'!B191="","",IF('Data Source'!AA191&gt;=5,"A+",IF('Data Source'!AA191&gt;=4,"A",IF('Data Source'!AA191&gt;=3.5,"A-",IF('Data Source'!AA191&gt;=3,"B",IF('Data Source'!AA191&gt;=2,"C",IF('Data Source'!AA191&gt;=1,"D","F")))))))</f>
        <v/>
      </c>
      <c r="J191" s="3">
        <f>IF('Data Source'!B191="","",IF('Data Source'!AB191&gt;=5,"A+",IF('Data Source'!AB191&gt;=4,"A",IF('Data Source'!AB191&gt;=3.5,"A-",IF('Data Source'!AB191&gt;=3,"B",IF('Data Source'!AB191&gt;=2,"C",IF('Data Source'!AB191&gt;=1,"D","F")))))))</f>
        <v/>
      </c>
      <c r="K191" s="3">
        <f>IF('Data Source'!B191="","",IF('Data Source'!AC191&gt;=5,"A+",IF('Data Source'!AC191&gt;=4,"A",IF('Data Source'!AC191&gt;=3.5,"A-",IF('Data Source'!AC191&gt;=3,"B",IF('Data Source'!AC191&gt;=2,"C",IF('Data Source'!AC191&gt;=1,"D","F")))))))</f>
        <v/>
      </c>
      <c r="L191" s="3">
        <f>IF('Data Source'!B191="","",IF('Data Source'!AD191&gt;=5,"A+",IF('Data Source'!AD191&gt;=4,"A",IF('Data Source'!AD191&gt;=3.5,"A-",IF('Data Source'!AD191&gt;=3,"B",IF('Data Source'!AD191&gt;=2,"C",IF('Data Source'!AD191&gt;=1,"D","F")))))))</f>
        <v/>
      </c>
      <c r="M191" s="3">
        <f>IF('Data Source'!B191="","",IF('Data Source'!AE191&gt;=5,"A+",IF('Data Source'!AE191&gt;=4,"A",IF('Data Source'!AE191&gt;=3.5,"A-",IF('Data Source'!AE191&gt;=3,"B",IF('Data Source'!AE191&gt;=2,"C",IF('Data Source'!AE191&gt;=1,"D","F")))))))</f>
        <v/>
      </c>
      <c r="N191" s="3">
        <f>IF('Data Source'!B191="","",IF('Data Source'!AF191&gt;=5,"A+",IF('Data Source'!AF191&gt;=4,"A",IF('Data Source'!AF191&gt;=3.5,"A-",IF('Data Source'!AF191&gt;=3,"B",IF('Data Source'!AF191&gt;=2,"C",IF('Data Source'!AF191&gt;=1,"D","F")))))))</f>
        <v/>
      </c>
      <c r="O191" s="3">
        <f>IF('Data Source'!B191="","",IF('Data Source'!AG191&gt;=5,"A+",IF('Data Source'!AG191&gt;=4,"A",IF('Data Source'!AG191&gt;=3.5,"A-",IF('Data Source'!AG191&gt;=3,"B",IF('Data Source'!AG191&gt;=2,"C",IF('Data Source'!AG191&gt;=1,"D","F")))))))</f>
        <v/>
      </c>
      <c r="P191" s="5">
        <f>IF('Data Source'!B191="","",'Data Source'!R191)</f>
        <v/>
      </c>
      <c r="Q191" s="3">
        <f>IF('Data Source'!B191="","",'Data Source'!S191)</f>
        <v/>
      </c>
    </row>
    <row r="192">
      <c r="A192" s="3">
        <f>IF('Data Source'!B192="","",'Data Source'!A192)</f>
        <v/>
      </c>
      <c r="B192">
        <f>IF('Data Source'!B192="","",'Data Source'!B192)</f>
        <v/>
      </c>
      <c r="C192" s="3">
        <f>IF('Data Source'!B192="","",IF('Data Source'!U192&gt;=5,"A+",IF('Data Source'!U192&gt;=4,"A",IF('Data Source'!U192&gt;=3.5,"A-",IF('Data Source'!U192&gt;=3,"B",IF('Data Source'!U192&gt;=2,"C",IF('Data Source'!U192&gt;=1,"D","F")))))))</f>
        <v/>
      </c>
      <c r="D192" s="3">
        <f>IF('Data Source'!B192="","",IF('Data Source'!V192&gt;=5,"A+",IF('Data Source'!V192&gt;=4,"A",IF('Data Source'!V192&gt;=3.5,"A-",IF('Data Source'!V192&gt;=3,"B",IF('Data Source'!V192&gt;=2,"C",IF('Data Source'!V192&gt;=1,"D","F")))))))</f>
        <v/>
      </c>
      <c r="E192" s="3">
        <f>IF('Data Source'!B192="","",IF('Data Source'!W192&gt;=5,"A+",IF('Data Source'!W192&gt;=4,"A",IF('Data Source'!W192&gt;=3.5,"A-",IF('Data Source'!W192&gt;=3,"B",IF('Data Source'!W192&gt;=2,"C",IF('Data Source'!W192&gt;=1,"D","F")))))))</f>
        <v/>
      </c>
      <c r="F192" s="3">
        <f>IF('Data Source'!B192="","",IF('Data Source'!X192&gt;=5,"A+",IF('Data Source'!X192&gt;=4,"A",IF('Data Source'!X192&gt;=3.5,"A-",IF('Data Source'!X192&gt;=3,"B",IF('Data Source'!X192&gt;=2,"C",IF('Data Source'!X192&gt;=1,"D","F")))))))</f>
        <v/>
      </c>
      <c r="G192" s="3">
        <f>IF('Data Source'!B192="","",IF('Data Source'!Y192&gt;=5,"A+",IF('Data Source'!Y192&gt;=4,"A",IF('Data Source'!Y192&gt;=3.5,"A-",IF('Data Source'!Y192&gt;=3,"B",IF('Data Source'!Y192&gt;=2,"C",IF('Data Source'!Y192&gt;=1,"D","F")))))))</f>
        <v/>
      </c>
      <c r="H192" s="3">
        <f>IF('Data Source'!B192="","",IF('Data Source'!Z192&gt;=5,"A+",IF('Data Source'!Z192&gt;=4,"A",IF('Data Source'!Z192&gt;=3.5,"A-",IF('Data Source'!Z192&gt;=3,"B",IF('Data Source'!Z192&gt;=2,"C",IF('Data Source'!Z192&gt;=1,"D","F")))))))</f>
        <v/>
      </c>
      <c r="I192" s="3">
        <f>IF('Data Source'!B192="","",IF('Data Source'!AA192&gt;=5,"A+",IF('Data Source'!AA192&gt;=4,"A",IF('Data Source'!AA192&gt;=3.5,"A-",IF('Data Source'!AA192&gt;=3,"B",IF('Data Source'!AA192&gt;=2,"C",IF('Data Source'!AA192&gt;=1,"D","F")))))))</f>
        <v/>
      </c>
      <c r="J192" s="3">
        <f>IF('Data Source'!B192="","",IF('Data Source'!AB192&gt;=5,"A+",IF('Data Source'!AB192&gt;=4,"A",IF('Data Source'!AB192&gt;=3.5,"A-",IF('Data Source'!AB192&gt;=3,"B",IF('Data Source'!AB192&gt;=2,"C",IF('Data Source'!AB192&gt;=1,"D","F")))))))</f>
        <v/>
      </c>
      <c r="K192" s="3">
        <f>IF('Data Source'!B192="","",IF('Data Source'!AC192&gt;=5,"A+",IF('Data Source'!AC192&gt;=4,"A",IF('Data Source'!AC192&gt;=3.5,"A-",IF('Data Source'!AC192&gt;=3,"B",IF('Data Source'!AC192&gt;=2,"C",IF('Data Source'!AC192&gt;=1,"D","F")))))))</f>
        <v/>
      </c>
      <c r="L192" s="3">
        <f>IF('Data Source'!B192="","",IF('Data Source'!AD192&gt;=5,"A+",IF('Data Source'!AD192&gt;=4,"A",IF('Data Source'!AD192&gt;=3.5,"A-",IF('Data Source'!AD192&gt;=3,"B",IF('Data Source'!AD192&gt;=2,"C",IF('Data Source'!AD192&gt;=1,"D","F")))))))</f>
        <v/>
      </c>
      <c r="M192" s="3">
        <f>IF('Data Source'!B192="","",IF('Data Source'!AE192&gt;=5,"A+",IF('Data Source'!AE192&gt;=4,"A",IF('Data Source'!AE192&gt;=3.5,"A-",IF('Data Source'!AE192&gt;=3,"B",IF('Data Source'!AE192&gt;=2,"C",IF('Data Source'!AE192&gt;=1,"D","F")))))))</f>
        <v/>
      </c>
      <c r="N192" s="3">
        <f>IF('Data Source'!B192="","",IF('Data Source'!AF192&gt;=5,"A+",IF('Data Source'!AF192&gt;=4,"A",IF('Data Source'!AF192&gt;=3.5,"A-",IF('Data Source'!AF192&gt;=3,"B",IF('Data Source'!AF192&gt;=2,"C",IF('Data Source'!AF192&gt;=1,"D","F")))))))</f>
        <v/>
      </c>
      <c r="O192" s="3">
        <f>IF('Data Source'!B192="","",IF('Data Source'!AG192&gt;=5,"A+",IF('Data Source'!AG192&gt;=4,"A",IF('Data Source'!AG192&gt;=3.5,"A-",IF('Data Source'!AG192&gt;=3,"B",IF('Data Source'!AG192&gt;=2,"C",IF('Data Source'!AG192&gt;=1,"D","F")))))))</f>
        <v/>
      </c>
      <c r="P192" s="5">
        <f>IF('Data Source'!B192="","",'Data Source'!R192)</f>
        <v/>
      </c>
      <c r="Q192" s="3">
        <f>IF('Data Source'!B192="","",'Data Source'!S192)</f>
        <v/>
      </c>
    </row>
    <row r="193">
      <c r="A193" s="3">
        <f>IF('Data Source'!B193="","",'Data Source'!A193)</f>
        <v/>
      </c>
      <c r="B193">
        <f>IF('Data Source'!B193="","",'Data Source'!B193)</f>
        <v/>
      </c>
      <c r="C193" s="3">
        <f>IF('Data Source'!B193="","",IF('Data Source'!U193&gt;=5,"A+",IF('Data Source'!U193&gt;=4,"A",IF('Data Source'!U193&gt;=3.5,"A-",IF('Data Source'!U193&gt;=3,"B",IF('Data Source'!U193&gt;=2,"C",IF('Data Source'!U193&gt;=1,"D","F")))))))</f>
        <v/>
      </c>
      <c r="D193" s="3">
        <f>IF('Data Source'!B193="","",IF('Data Source'!V193&gt;=5,"A+",IF('Data Source'!V193&gt;=4,"A",IF('Data Source'!V193&gt;=3.5,"A-",IF('Data Source'!V193&gt;=3,"B",IF('Data Source'!V193&gt;=2,"C",IF('Data Source'!V193&gt;=1,"D","F")))))))</f>
        <v/>
      </c>
      <c r="E193" s="3">
        <f>IF('Data Source'!B193="","",IF('Data Source'!W193&gt;=5,"A+",IF('Data Source'!W193&gt;=4,"A",IF('Data Source'!W193&gt;=3.5,"A-",IF('Data Source'!W193&gt;=3,"B",IF('Data Source'!W193&gt;=2,"C",IF('Data Source'!W193&gt;=1,"D","F")))))))</f>
        <v/>
      </c>
      <c r="F193" s="3">
        <f>IF('Data Source'!B193="","",IF('Data Source'!X193&gt;=5,"A+",IF('Data Source'!X193&gt;=4,"A",IF('Data Source'!X193&gt;=3.5,"A-",IF('Data Source'!X193&gt;=3,"B",IF('Data Source'!X193&gt;=2,"C",IF('Data Source'!X193&gt;=1,"D","F")))))))</f>
        <v/>
      </c>
      <c r="G193" s="3">
        <f>IF('Data Source'!B193="","",IF('Data Source'!Y193&gt;=5,"A+",IF('Data Source'!Y193&gt;=4,"A",IF('Data Source'!Y193&gt;=3.5,"A-",IF('Data Source'!Y193&gt;=3,"B",IF('Data Source'!Y193&gt;=2,"C",IF('Data Source'!Y193&gt;=1,"D","F")))))))</f>
        <v/>
      </c>
      <c r="H193" s="3">
        <f>IF('Data Source'!B193="","",IF('Data Source'!Z193&gt;=5,"A+",IF('Data Source'!Z193&gt;=4,"A",IF('Data Source'!Z193&gt;=3.5,"A-",IF('Data Source'!Z193&gt;=3,"B",IF('Data Source'!Z193&gt;=2,"C",IF('Data Source'!Z193&gt;=1,"D","F")))))))</f>
        <v/>
      </c>
      <c r="I193" s="3">
        <f>IF('Data Source'!B193="","",IF('Data Source'!AA193&gt;=5,"A+",IF('Data Source'!AA193&gt;=4,"A",IF('Data Source'!AA193&gt;=3.5,"A-",IF('Data Source'!AA193&gt;=3,"B",IF('Data Source'!AA193&gt;=2,"C",IF('Data Source'!AA193&gt;=1,"D","F")))))))</f>
        <v/>
      </c>
      <c r="J193" s="3">
        <f>IF('Data Source'!B193="","",IF('Data Source'!AB193&gt;=5,"A+",IF('Data Source'!AB193&gt;=4,"A",IF('Data Source'!AB193&gt;=3.5,"A-",IF('Data Source'!AB193&gt;=3,"B",IF('Data Source'!AB193&gt;=2,"C",IF('Data Source'!AB193&gt;=1,"D","F")))))))</f>
        <v/>
      </c>
      <c r="K193" s="3">
        <f>IF('Data Source'!B193="","",IF('Data Source'!AC193&gt;=5,"A+",IF('Data Source'!AC193&gt;=4,"A",IF('Data Source'!AC193&gt;=3.5,"A-",IF('Data Source'!AC193&gt;=3,"B",IF('Data Source'!AC193&gt;=2,"C",IF('Data Source'!AC193&gt;=1,"D","F")))))))</f>
        <v/>
      </c>
      <c r="L193" s="3">
        <f>IF('Data Source'!B193="","",IF('Data Source'!AD193&gt;=5,"A+",IF('Data Source'!AD193&gt;=4,"A",IF('Data Source'!AD193&gt;=3.5,"A-",IF('Data Source'!AD193&gt;=3,"B",IF('Data Source'!AD193&gt;=2,"C",IF('Data Source'!AD193&gt;=1,"D","F")))))))</f>
        <v/>
      </c>
      <c r="M193" s="3">
        <f>IF('Data Source'!B193="","",IF('Data Source'!AE193&gt;=5,"A+",IF('Data Source'!AE193&gt;=4,"A",IF('Data Source'!AE193&gt;=3.5,"A-",IF('Data Source'!AE193&gt;=3,"B",IF('Data Source'!AE193&gt;=2,"C",IF('Data Source'!AE193&gt;=1,"D","F")))))))</f>
        <v/>
      </c>
      <c r="N193" s="3">
        <f>IF('Data Source'!B193="","",IF('Data Source'!AF193&gt;=5,"A+",IF('Data Source'!AF193&gt;=4,"A",IF('Data Source'!AF193&gt;=3.5,"A-",IF('Data Source'!AF193&gt;=3,"B",IF('Data Source'!AF193&gt;=2,"C",IF('Data Source'!AF193&gt;=1,"D","F")))))))</f>
        <v/>
      </c>
      <c r="O193" s="3">
        <f>IF('Data Source'!B193="","",IF('Data Source'!AG193&gt;=5,"A+",IF('Data Source'!AG193&gt;=4,"A",IF('Data Source'!AG193&gt;=3.5,"A-",IF('Data Source'!AG193&gt;=3,"B",IF('Data Source'!AG193&gt;=2,"C",IF('Data Source'!AG193&gt;=1,"D","F")))))))</f>
        <v/>
      </c>
      <c r="P193" s="5">
        <f>IF('Data Source'!B193="","",'Data Source'!R193)</f>
        <v/>
      </c>
      <c r="Q193" s="3">
        <f>IF('Data Source'!B193="","",'Data Source'!S193)</f>
        <v/>
      </c>
    </row>
    <row r="194">
      <c r="A194" s="3">
        <f>IF('Data Source'!B194="","",'Data Source'!A194)</f>
        <v/>
      </c>
      <c r="B194">
        <f>IF('Data Source'!B194="","",'Data Source'!B194)</f>
        <v/>
      </c>
      <c r="C194" s="3">
        <f>IF('Data Source'!B194="","",IF('Data Source'!U194&gt;=5,"A+",IF('Data Source'!U194&gt;=4,"A",IF('Data Source'!U194&gt;=3.5,"A-",IF('Data Source'!U194&gt;=3,"B",IF('Data Source'!U194&gt;=2,"C",IF('Data Source'!U194&gt;=1,"D","F")))))))</f>
        <v/>
      </c>
      <c r="D194" s="3">
        <f>IF('Data Source'!B194="","",IF('Data Source'!V194&gt;=5,"A+",IF('Data Source'!V194&gt;=4,"A",IF('Data Source'!V194&gt;=3.5,"A-",IF('Data Source'!V194&gt;=3,"B",IF('Data Source'!V194&gt;=2,"C",IF('Data Source'!V194&gt;=1,"D","F")))))))</f>
        <v/>
      </c>
      <c r="E194" s="3">
        <f>IF('Data Source'!B194="","",IF('Data Source'!W194&gt;=5,"A+",IF('Data Source'!W194&gt;=4,"A",IF('Data Source'!W194&gt;=3.5,"A-",IF('Data Source'!W194&gt;=3,"B",IF('Data Source'!W194&gt;=2,"C",IF('Data Source'!W194&gt;=1,"D","F")))))))</f>
        <v/>
      </c>
      <c r="F194" s="3">
        <f>IF('Data Source'!B194="","",IF('Data Source'!X194&gt;=5,"A+",IF('Data Source'!X194&gt;=4,"A",IF('Data Source'!X194&gt;=3.5,"A-",IF('Data Source'!X194&gt;=3,"B",IF('Data Source'!X194&gt;=2,"C",IF('Data Source'!X194&gt;=1,"D","F")))))))</f>
        <v/>
      </c>
      <c r="G194" s="3">
        <f>IF('Data Source'!B194="","",IF('Data Source'!Y194&gt;=5,"A+",IF('Data Source'!Y194&gt;=4,"A",IF('Data Source'!Y194&gt;=3.5,"A-",IF('Data Source'!Y194&gt;=3,"B",IF('Data Source'!Y194&gt;=2,"C",IF('Data Source'!Y194&gt;=1,"D","F")))))))</f>
        <v/>
      </c>
      <c r="H194" s="3">
        <f>IF('Data Source'!B194="","",IF('Data Source'!Z194&gt;=5,"A+",IF('Data Source'!Z194&gt;=4,"A",IF('Data Source'!Z194&gt;=3.5,"A-",IF('Data Source'!Z194&gt;=3,"B",IF('Data Source'!Z194&gt;=2,"C",IF('Data Source'!Z194&gt;=1,"D","F")))))))</f>
        <v/>
      </c>
      <c r="I194" s="3">
        <f>IF('Data Source'!B194="","",IF('Data Source'!AA194&gt;=5,"A+",IF('Data Source'!AA194&gt;=4,"A",IF('Data Source'!AA194&gt;=3.5,"A-",IF('Data Source'!AA194&gt;=3,"B",IF('Data Source'!AA194&gt;=2,"C",IF('Data Source'!AA194&gt;=1,"D","F")))))))</f>
        <v/>
      </c>
      <c r="J194" s="3">
        <f>IF('Data Source'!B194="","",IF('Data Source'!AB194&gt;=5,"A+",IF('Data Source'!AB194&gt;=4,"A",IF('Data Source'!AB194&gt;=3.5,"A-",IF('Data Source'!AB194&gt;=3,"B",IF('Data Source'!AB194&gt;=2,"C",IF('Data Source'!AB194&gt;=1,"D","F")))))))</f>
        <v/>
      </c>
      <c r="K194" s="3">
        <f>IF('Data Source'!B194="","",IF('Data Source'!AC194&gt;=5,"A+",IF('Data Source'!AC194&gt;=4,"A",IF('Data Source'!AC194&gt;=3.5,"A-",IF('Data Source'!AC194&gt;=3,"B",IF('Data Source'!AC194&gt;=2,"C",IF('Data Source'!AC194&gt;=1,"D","F")))))))</f>
        <v/>
      </c>
      <c r="L194" s="3">
        <f>IF('Data Source'!B194="","",IF('Data Source'!AD194&gt;=5,"A+",IF('Data Source'!AD194&gt;=4,"A",IF('Data Source'!AD194&gt;=3.5,"A-",IF('Data Source'!AD194&gt;=3,"B",IF('Data Source'!AD194&gt;=2,"C",IF('Data Source'!AD194&gt;=1,"D","F")))))))</f>
        <v/>
      </c>
      <c r="M194" s="3">
        <f>IF('Data Source'!B194="","",IF('Data Source'!AE194&gt;=5,"A+",IF('Data Source'!AE194&gt;=4,"A",IF('Data Source'!AE194&gt;=3.5,"A-",IF('Data Source'!AE194&gt;=3,"B",IF('Data Source'!AE194&gt;=2,"C",IF('Data Source'!AE194&gt;=1,"D","F")))))))</f>
        <v/>
      </c>
      <c r="N194" s="3">
        <f>IF('Data Source'!B194="","",IF('Data Source'!AF194&gt;=5,"A+",IF('Data Source'!AF194&gt;=4,"A",IF('Data Source'!AF194&gt;=3.5,"A-",IF('Data Source'!AF194&gt;=3,"B",IF('Data Source'!AF194&gt;=2,"C",IF('Data Source'!AF194&gt;=1,"D","F")))))))</f>
        <v/>
      </c>
      <c r="O194" s="3">
        <f>IF('Data Source'!B194="","",IF('Data Source'!AG194&gt;=5,"A+",IF('Data Source'!AG194&gt;=4,"A",IF('Data Source'!AG194&gt;=3.5,"A-",IF('Data Source'!AG194&gt;=3,"B",IF('Data Source'!AG194&gt;=2,"C",IF('Data Source'!AG194&gt;=1,"D","F")))))))</f>
        <v/>
      </c>
      <c r="P194" s="5">
        <f>IF('Data Source'!B194="","",'Data Source'!R194)</f>
        <v/>
      </c>
      <c r="Q194" s="3">
        <f>IF('Data Source'!B194="","",'Data Source'!S194)</f>
        <v/>
      </c>
    </row>
    <row r="195">
      <c r="A195" s="3">
        <f>IF('Data Source'!B195="","",'Data Source'!A195)</f>
        <v/>
      </c>
      <c r="B195">
        <f>IF('Data Source'!B195="","",'Data Source'!B195)</f>
        <v/>
      </c>
      <c r="C195" s="3">
        <f>IF('Data Source'!B195="","",IF('Data Source'!U195&gt;=5,"A+",IF('Data Source'!U195&gt;=4,"A",IF('Data Source'!U195&gt;=3.5,"A-",IF('Data Source'!U195&gt;=3,"B",IF('Data Source'!U195&gt;=2,"C",IF('Data Source'!U195&gt;=1,"D","F")))))))</f>
        <v/>
      </c>
      <c r="D195" s="3">
        <f>IF('Data Source'!B195="","",IF('Data Source'!V195&gt;=5,"A+",IF('Data Source'!V195&gt;=4,"A",IF('Data Source'!V195&gt;=3.5,"A-",IF('Data Source'!V195&gt;=3,"B",IF('Data Source'!V195&gt;=2,"C",IF('Data Source'!V195&gt;=1,"D","F")))))))</f>
        <v/>
      </c>
      <c r="E195" s="3">
        <f>IF('Data Source'!B195="","",IF('Data Source'!W195&gt;=5,"A+",IF('Data Source'!W195&gt;=4,"A",IF('Data Source'!W195&gt;=3.5,"A-",IF('Data Source'!W195&gt;=3,"B",IF('Data Source'!W195&gt;=2,"C",IF('Data Source'!W195&gt;=1,"D","F")))))))</f>
        <v/>
      </c>
      <c r="F195" s="3">
        <f>IF('Data Source'!B195="","",IF('Data Source'!X195&gt;=5,"A+",IF('Data Source'!X195&gt;=4,"A",IF('Data Source'!X195&gt;=3.5,"A-",IF('Data Source'!X195&gt;=3,"B",IF('Data Source'!X195&gt;=2,"C",IF('Data Source'!X195&gt;=1,"D","F")))))))</f>
        <v/>
      </c>
      <c r="G195" s="3">
        <f>IF('Data Source'!B195="","",IF('Data Source'!Y195&gt;=5,"A+",IF('Data Source'!Y195&gt;=4,"A",IF('Data Source'!Y195&gt;=3.5,"A-",IF('Data Source'!Y195&gt;=3,"B",IF('Data Source'!Y195&gt;=2,"C",IF('Data Source'!Y195&gt;=1,"D","F")))))))</f>
        <v/>
      </c>
      <c r="H195" s="3">
        <f>IF('Data Source'!B195="","",IF('Data Source'!Z195&gt;=5,"A+",IF('Data Source'!Z195&gt;=4,"A",IF('Data Source'!Z195&gt;=3.5,"A-",IF('Data Source'!Z195&gt;=3,"B",IF('Data Source'!Z195&gt;=2,"C",IF('Data Source'!Z195&gt;=1,"D","F")))))))</f>
        <v/>
      </c>
      <c r="I195" s="3">
        <f>IF('Data Source'!B195="","",IF('Data Source'!AA195&gt;=5,"A+",IF('Data Source'!AA195&gt;=4,"A",IF('Data Source'!AA195&gt;=3.5,"A-",IF('Data Source'!AA195&gt;=3,"B",IF('Data Source'!AA195&gt;=2,"C",IF('Data Source'!AA195&gt;=1,"D","F")))))))</f>
        <v/>
      </c>
      <c r="J195" s="3">
        <f>IF('Data Source'!B195="","",IF('Data Source'!AB195&gt;=5,"A+",IF('Data Source'!AB195&gt;=4,"A",IF('Data Source'!AB195&gt;=3.5,"A-",IF('Data Source'!AB195&gt;=3,"B",IF('Data Source'!AB195&gt;=2,"C",IF('Data Source'!AB195&gt;=1,"D","F")))))))</f>
        <v/>
      </c>
      <c r="K195" s="3">
        <f>IF('Data Source'!B195="","",IF('Data Source'!AC195&gt;=5,"A+",IF('Data Source'!AC195&gt;=4,"A",IF('Data Source'!AC195&gt;=3.5,"A-",IF('Data Source'!AC195&gt;=3,"B",IF('Data Source'!AC195&gt;=2,"C",IF('Data Source'!AC195&gt;=1,"D","F")))))))</f>
        <v/>
      </c>
      <c r="L195" s="3">
        <f>IF('Data Source'!B195="","",IF('Data Source'!AD195&gt;=5,"A+",IF('Data Source'!AD195&gt;=4,"A",IF('Data Source'!AD195&gt;=3.5,"A-",IF('Data Source'!AD195&gt;=3,"B",IF('Data Source'!AD195&gt;=2,"C",IF('Data Source'!AD195&gt;=1,"D","F")))))))</f>
        <v/>
      </c>
      <c r="M195" s="3">
        <f>IF('Data Source'!B195="","",IF('Data Source'!AE195&gt;=5,"A+",IF('Data Source'!AE195&gt;=4,"A",IF('Data Source'!AE195&gt;=3.5,"A-",IF('Data Source'!AE195&gt;=3,"B",IF('Data Source'!AE195&gt;=2,"C",IF('Data Source'!AE195&gt;=1,"D","F")))))))</f>
        <v/>
      </c>
      <c r="N195" s="3">
        <f>IF('Data Source'!B195="","",IF('Data Source'!AF195&gt;=5,"A+",IF('Data Source'!AF195&gt;=4,"A",IF('Data Source'!AF195&gt;=3.5,"A-",IF('Data Source'!AF195&gt;=3,"B",IF('Data Source'!AF195&gt;=2,"C",IF('Data Source'!AF195&gt;=1,"D","F")))))))</f>
        <v/>
      </c>
      <c r="O195" s="3">
        <f>IF('Data Source'!B195="","",IF('Data Source'!AG195&gt;=5,"A+",IF('Data Source'!AG195&gt;=4,"A",IF('Data Source'!AG195&gt;=3.5,"A-",IF('Data Source'!AG195&gt;=3,"B",IF('Data Source'!AG195&gt;=2,"C",IF('Data Source'!AG195&gt;=1,"D","F")))))))</f>
        <v/>
      </c>
      <c r="P195" s="5">
        <f>IF('Data Source'!B195="","",'Data Source'!R195)</f>
        <v/>
      </c>
      <c r="Q195" s="3">
        <f>IF('Data Source'!B195="","",'Data Source'!S195)</f>
        <v/>
      </c>
    </row>
    <row r="196">
      <c r="A196" s="3">
        <f>IF('Data Source'!B196="","",'Data Source'!A196)</f>
        <v/>
      </c>
      <c r="B196">
        <f>IF('Data Source'!B196="","",'Data Source'!B196)</f>
        <v/>
      </c>
      <c r="C196" s="3">
        <f>IF('Data Source'!B196="","",IF('Data Source'!U196&gt;=5,"A+",IF('Data Source'!U196&gt;=4,"A",IF('Data Source'!U196&gt;=3.5,"A-",IF('Data Source'!U196&gt;=3,"B",IF('Data Source'!U196&gt;=2,"C",IF('Data Source'!U196&gt;=1,"D","F")))))))</f>
        <v/>
      </c>
      <c r="D196" s="3">
        <f>IF('Data Source'!B196="","",IF('Data Source'!V196&gt;=5,"A+",IF('Data Source'!V196&gt;=4,"A",IF('Data Source'!V196&gt;=3.5,"A-",IF('Data Source'!V196&gt;=3,"B",IF('Data Source'!V196&gt;=2,"C",IF('Data Source'!V196&gt;=1,"D","F")))))))</f>
        <v/>
      </c>
      <c r="E196" s="3">
        <f>IF('Data Source'!B196="","",IF('Data Source'!W196&gt;=5,"A+",IF('Data Source'!W196&gt;=4,"A",IF('Data Source'!W196&gt;=3.5,"A-",IF('Data Source'!W196&gt;=3,"B",IF('Data Source'!W196&gt;=2,"C",IF('Data Source'!W196&gt;=1,"D","F")))))))</f>
        <v/>
      </c>
      <c r="F196" s="3">
        <f>IF('Data Source'!B196="","",IF('Data Source'!X196&gt;=5,"A+",IF('Data Source'!X196&gt;=4,"A",IF('Data Source'!X196&gt;=3.5,"A-",IF('Data Source'!X196&gt;=3,"B",IF('Data Source'!X196&gt;=2,"C",IF('Data Source'!X196&gt;=1,"D","F")))))))</f>
        <v/>
      </c>
      <c r="G196" s="3">
        <f>IF('Data Source'!B196="","",IF('Data Source'!Y196&gt;=5,"A+",IF('Data Source'!Y196&gt;=4,"A",IF('Data Source'!Y196&gt;=3.5,"A-",IF('Data Source'!Y196&gt;=3,"B",IF('Data Source'!Y196&gt;=2,"C",IF('Data Source'!Y196&gt;=1,"D","F")))))))</f>
        <v/>
      </c>
      <c r="H196" s="3">
        <f>IF('Data Source'!B196="","",IF('Data Source'!Z196&gt;=5,"A+",IF('Data Source'!Z196&gt;=4,"A",IF('Data Source'!Z196&gt;=3.5,"A-",IF('Data Source'!Z196&gt;=3,"B",IF('Data Source'!Z196&gt;=2,"C",IF('Data Source'!Z196&gt;=1,"D","F")))))))</f>
        <v/>
      </c>
      <c r="I196" s="3">
        <f>IF('Data Source'!B196="","",IF('Data Source'!AA196&gt;=5,"A+",IF('Data Source'!AA196&gt;=4,"A",IF('Data Source'!AA196&gt;=3.5,"A-",IF('Data Source'!AA196&gt;=3,"B",IF('Data Source'!AA196&gt;=2,"C",IF('Data Source'!AA196&gt;=1,"D","F")))))))</f>
        <v/>
      </c>
      <c r="J196" s="3">
        <f>IF('Data Source'!B196="","",IF('Data Source'!AB196&gt;=5,"A+",IF('Data Source'!AB196&gt;=4,"A",IF('Data Source'!AB196&gt;=3.5,"A-",IF('Data Source'!AB196&gt;=3,"B",IF('Data Source'!AB196&gt;=2,"C",IF('Data Source'!AB196&gt;=1,"D","F")))))))</f>
        <v/>
      </c>
      <c r="K196" s="3">
        <f>IF('Data Source'!B196="","",IF('Data Source'!AC196&gt;=5,"A+",IF('Data Source'!AC196&gt;=4,"A",IF('Data Source'!AC196&gt;=3.5,"A-",IF('Data Source'!AC196&gt;=3,"B",IF('Data Source'!AC196&gt;=2,"C",IF('Data Source'!AC196&gt;=1,"D","F")))))))</f>
        <v/>
      </c>
      <c r="L196" s="3">
        <f>IF('Data Source'!B196="","",IF('Data Source'!AD196&gt;=5,"A+",IF('Data Source'!AD196&gt;=4,"A",IF('Data Source'!AD196&gt;=3.5,"A-",IF('Data Source'!AD196&gt;=3,"B",IF('Data Source'!AD196&gt;=2,"C",IF('Data Source'!AD196&gt;=1,"D","F")))))))</f>
        <v/>
      </c>
      <c r="M196" s="3">
        <f>IF('Data Source'!B196="","",IF('Data Source'!AE196&gt;=5,"A+",IF('Data Source'!AE196&gt;=4,"A",IF('Data Source'!AE196&gt;=3.5,"A-",IF('Data Source'!AE196&gt;=3,"B",IF('Data Source'!AE196&gt;=2,"C",IF('Data Source'!AE196&gt;=1,"D","F")))))))</f>
        <v/>
      </c>
      <c r="N196" s="3">
        <f>IF('Data Source'!B196="","",IF('Data Source'!AF196&gt;=5,"A+",IF('Data Source'!AF196&gt;=4,"A",IF('Data Source'!AF196&gt;=3.5,"A-",IF('Data Source'!AF196&gt;=3,"B",IF('Data Source'!AF196&gt;=2,"C",IF('Data Source'!AF196&gt;=1,"D","F")))))))</f>
        <v/>
      </c>
      <c r="O196" s="3">
        <f>IF('Data Source'!B196="","",IF('Data Source'!AG196&gt;=5,"A+",IF('Data Source'!AG196&gt;=4,"A",IF('Data Source'!AG196&gt;=3.5,"A-",IF('Data Source'!AG196&gt;=3,"B",IF('Data Source'!AG196&gt;=2,"C",IF('Data Source'!AG196&gt;=1,"D","F")))))))</f>
        <v/>
      </c>
      <c r="P196" s="5">
        <f>IF('Data Source'!B196="","",'Data Source'!R196)</f>
        <v/>
      </c>
      <c r="Q196" s="3">
        <f>IF('Data Source'!B196="","",'Data Source'!S196)</f>
        <v/>
      </c>
    </row>
    <row r="197">
      <c r="A197" s="3">
        <f>IF('Data Source'!B197="","",'Data Source'!A197)</f>
        <v/>
      </c>
      <c r="B197">
        <f>IF('Data Source'!B197="","",'Data Source'!B197)</f>
        <v/>
      </c>
      <c r="C197" s="3">
        <f>IF('Data Source'!B197="","",IF('Data Source'!U197&gt;=5,"A+",IF('Data Source'!U197&gt;=4,"A",IF('Data Source'!U197&gt;=3.5,"A-",IF('Data Source'!U197&gt;=3,"B",IF('Data Source'!U197&gt;=2,"C",IF('Data Source'!U197&gt;=1,"D","F")))))))</f>
        <v/>
      </c>
      <c r="D197" s="3">
        <f>IF('Data Source'!B197="","",IF('Data Source'!V197&gt;=5,"A+",IF('Data Source'!V197&gt;=4,"A",IF('Data Source'!V197&gt;=3.5,"A-",IF('Data Source'!V197&gt;=3,"B",IF('Data Source'!V197&gt;=2,"C",IF('Data Source'!V197&gt;=1,"D","F")))))))</f>
        <v/>
      </c>
      <c r="E197" s="3">
        <f>IF('Data Source'!B197="","",IF('Data Source'!W197&gt;=5,"A+",IF('Data Source'!W197&gt;=4,"A",IF('Data Source'!W197&gt;=3.5,"A-",IF('Data Source'!W197&gt;=3,"B",IF('Data Source'!W197&gt;=2,"C",IF('Data Source'!W197&gt;=1,"D","F")))))))</f>
        <v/>
      </c>
      <c r="F197" s="3">
        <f>IF('Data Source'!B197="","",IF('Data Source'!X197&gt;=5,"A+",IF('Data Source'!X197&gt;=4,"A",IF('Data Source'!X197&gt;=3.5,"A-",IF('Data Source'!X197&gt;=3,"B",IF('Data Source'!X197&gt;=2,"C",IF('Data Source'!X197&gt;=1,"D","F")))))))</f>
        <v/>
      </c>
      <c r="G197" s="3">
        <f>IF('Data Source'!B197="","",IF('Data Source'!Y197&gt;=5,"A+",IF('Data Source'!Y197&gt;=4,"A",IF('Data Source'!Y197&gt;=3.5,"A-",IF('Data Source'!Y197&gt;=3,"B",IF('Data Source'!Y197&gt;=2,"C",IF('Data Source'!Y197&gt;=1,"D","F")))))))</f>
        <v/>
      </c>
      <c r="H197" s="3">
        <f>IF('Data Source'!B197="","",IF('Data Source'!Z197&gt;=5,"A+",IF('Data Source'!Z197&gt;=4,"A",IF('Data Source'!Z197&gt;=3.5,"A-",IF('Data Source'!Z197&gt;=3,"B",IF('Data Source'!Z197&gt;=2,"C",IF('Data Source'!Z197&gt;=1,"D","F")))))))</f>
        <v/>
      </c>
      <c r="I197" s="3">
        <f>IF('Data Source'!B197="","",IF('Data Source'!AA197&gt;=5,"A+",IF('Data Source'!AA197&gt;=4,"A",IF('Data Source'!AA197&gt;=3.5,"A-",IF('Data Source'!AA197&gt;=3,"B",IF('Data Source'!AA197&gt;=2,"C",IF('Data Source'!AA197&gt;=1,"D","F")))))))</f>
        <v/>
      </c>
      <c r="J197" s="3">
        <f>IF('Data Source'!B197="","",IF('Data Source'!AB197&gt;=5,"A+",IF('Data Source'!AB197&gt;=4,"A",IF('Data Source'!AB197&gt;=3.5,"A-",IF('Data Source'!AB197&gt;=3,"B",IF('Data Source'!AB197&gt;=2,"C",IF('Data Source'!AB197&gt;=1,"D","F")))))))</f>
        <v/>
      </c>
      <c r="K197" s="3">
        <f>IF('Data Source'!B197="","",IF('Data Source'!AC197&gt;=5,"A+",IF('Data Source'!AC197&gt;=4,"A",IF('Data Source'!AC197&gt;=3.5,"A-",IF('Data Source'!AC197&gt;=3,"B",IF('Data Source'!AC197&gt;=2,"C",IF('Data Source'!AC197&gt;=1,"D","F")))))))</f>
        <v/>
      </c>
      <c r="L197" s="3">
        <f>IF('Data Source'!B197="","",IF('Data Source'!AD197&gt;=5,"A+",IF('Data Source'!AD197&gt;=4,"A",IF('Data Source'!AD197&gt;=3.5,"A-",IF('Data Source'!AD197&gt;=3,"B",IF('Data Source'!AD197&gt;=2,"C",IF('Data Source'!AD197&gt;=1,"D","F")))))))</f>
        <v/>
      </c>
      <c r="M197" s="3">
        <f>IF('Data Source'!B197="","",IF('Data Source'!AE197&gt;=5,"A+",IF('Data Source'!AE197&gt;=4,"A",IF('Data Source'!AE197&gt;=3.5,"A-",IF('Data Source'!AE197&gt;=3,"B",IF('Data Source'!AE197&gt;=2,"C",IF('Data Source'!AE197&gt;=1,"D","F")))))))</f>
        <v/>
      </c>
      <c r="N197" s="3">
        <f>IF('Data Source'!B197="","",IF('Data Source'!AF197&gt;=5,"A+",IF('Data Source'!AF197&gt;=4,"A",IF('Data Source'!AF197&gt;=3.5,"A-",IF('Data Source'!AF197&gt;=3,"B",IF('Data Source'!AF197&gt;=2,"C",IF('Data Source'!AF197&gt;=1,"D","F")))))))</f>
        <v/>
      </c>
      <c r="O197" s="3">
        <f>IF('Data Source'!B197="","",IF('Data Source'!AG197&gt;=5,"A+",IF('Data Source'!AG197&gt;=4,"A",IF('Data Source'!AG197&gt;=3.5,"A-",IF('Data Source'!AG197&gt;=3,"B",IF('Data Source'!AG197&gt;=2,"C",IF('Data Source'!AG197&gt;=1,"D","F")))))))</f>
        <v/>
      </c>
      <c r="P197" s="5">
        <f>IF('Data Source'!B197="","",'Data Source'!R197)</f>
        <v/>
      </c>
      <c r="Q197" s="3">
        <f>IF('Data Source'!B197="","",'Data Source'!S197)</f>
        <v/>
      </c>
    </row>
    <row r="198">
      <c r="A198" s="3">
        <f>IF('Data Source'!B198="","",'Data Source'!A198)</f>
        <v/>
      </c>
      <c r="B198">
        <f>IF('Data Source'!B198="","",'Data Source'!B198)</f>
        <v/>
      </c>
      <c r="C198" s="3">
        <f>IF('Data Source'!B198="","",IF('Data Source'!U198&gt;=5,"A+",IF('Data Source'!U198&gt;=4,"A",IF('Data Source'!U198&gt;=3.5,"A-",IF('Data Source'!U198&gt;=3,"B",IF('Data Source'!U198&gt;=2,"C",IF('Data Source'!U198&gt;=1,"D","F")))))))</f>
        <v/>
      </c>
      <c r="D198" s="3">
        <f>IF('Data Source'!B198="","",IF('Data Source'!V198&gt;=5,"A+",IF('Data Source'!V198&gt;=4,"A",IF('Data Source'!V198&gt;=3.5,"A-",IF('Data Source'!V198&gt;=3,"B",IF('Data Source'!V198&gt;=2,"C",IF('Data Source'!V198&gt;=1,"D","F")))))))</f>
        <v/>
      </c>
      <c r="E198" s="3">
        <f>IF('Data Source'!B198="","",IF('Data Source'!W198&gt;=5,"A+",IF('Data Source'!W198&gt;=4,"A",IF('Data Source'!W198&gt;=3.5,"A-",IF('Data Source'!W198&gt;=3,"B",IF('Data Source'!W198&gt;=2,"C",IF('Data Source'!W198&gt;=1,"D","F")))))))</f>
        <v/>
      </c>
      <c r="F198" s="3">
        <f>IF('Data Source'!B198="","",IF('Data Source'!X198&gt;=5,"A+",IF('Data Source'!X198&gt;=4,"A",IF('Data Source'!X198&gt;=3.5,"A-",IF('Data Source'!X198&gt;=3,"B",IF('Data Source'!X198&gt;=2,"C",IF('Data Source'!X198&gt;=1,"D","F")))))))</f>
        <v/>
      </c>
      <c r="G198" s="3">
        <f>IF('Data Source'!B198="","",IF('Data Source'!Y198&gt;=5,"A+",IF('Data Source'!Y198&gt;=4,"A",IF('Data Source'!Y198&gt;=3.5,"A-",IF('Data Source'!Y198&gt;=3,"B",IF('Data Source'!Y198&gt;=2,"C",IF('Data Source'!Y198&gt;=1,"D","F")))))))</f>
        <v/>
      </c>
      <c r="H198" s="3">
        <f>IF('Data Source'!B198="","",IF('Data Source'!Z198&gt;=5,"A+",IF('Data Source'!Z198&gt;=4,"A",IF('Data Source'!Z198&gt;=3.5,"A-",IF('Data Source'!Z198&gt;=3,"B",IF('Data Source'!Z198&gt;=2,"C",IF('Data Source'!Z198&gt;=1,"D","F")))))))</f>
        <v/>
      </c>
      <c r="I198" s="3">
        <f>IF('Data Source'!B198="","",IF('Data Source'!AA198&gt;=5,"A+",IF('Data Source'!AA198&gt;=4,"A",IF('Data Source'!AA198&gt;=3.5,"A-",IF('Data Source'!AA198&gt;=3,"B",IF('Data Source'!AA198&gt;=2,"C",IF('Data Source'!AA198&gt;=1,"D","F")))))))</f>
        <v/>
      </c>
      <c r="J198" s="3">
        <f>IF('Data Source'!B198="","",IF('Data Source'!AB198&gt;=5,"A+",IF('Data Source'!AB198&gt;=4,"A",IF('Data Source'!AB198&gt;=3.5,"A-",IF('Data Source'!AB198&gt;=3,"B",IF('Data Source'!AB198&gt;=2,"C",IF('Data Source'!AB198&gt;=1,"D","F")))))))</f>
        <v/>
      </c>
      <c r="K198" s="3">
        <f>IF('Data Source'!B198="","",IF('Data Source'!AC198&gt;=5,"A+",IF('Data Source'!AC198&gt;=4,"A",IF('Data Source'!AC198&gt;=3.5,"A-",IF('Data Source'!AC198&gt;=3,"B",IF('Data Source'!AC198&gt;=2,"C",IF('Data Source'!AC198&gt;=1,"D","F")))))))</f>
        <v/>
      </c>
      <c r="L198" s="3">
        <f>IF('Data Source'!B198="","",IF('Data Source'!AD198&gt;=5,"A+",IF('Data Source'!AD198&gt;=4,"A",IF('Data Source'!AD198&gt;=3.5,"A-",IF('Data Source'!AD198&gt;=3,"B",IF('Data Source'!AD198&gt;=2,"C",IF('Data Source'!AD198&gt;=1,"D","F")))))))</f>
        <v/>
      </c>
      <c r="M198" s="3">
        <f>IF('Data Source'!B198="","",IF('Data Source'!AE198&gt;=5,"A+",IF('Data Source'!AE198&gt;=4,"A",IF('Data Source'!AE198&gt;=3.5,"A-",IF('Data Source'!AE198&gt;=3,"B",IF('Data Source'!AE198&gt;=2,"C",IF('Data Source'!AE198&gt;=1,"D","F")))))))</f>
        <v/>
      </c>
      <c r="N198" s="3">
        <f>IF('Data Source'!B198="","",IF('Data Source'!AF198&gt;=5,"A+",IF('Data Source'!AF198&gt;=4,"A",IF('Data Source'!AF198&gt;=3.5,"A-",IF('Data Source'!AF198&gt;=3,"B",IF('Data Source'!AF198&gt;=2,"C",IF('Data Source'!AF198&gt;=1,"D","F")))))))</f>
        <v/>
      </c>
      <c r="O198" s="3">
        <f>IF('Data Source'!B198="","",IF('Data Source'!AG198&gt;=5,"A+",IF('Data Source'!AG198&gt;=4,"A",IF('Data Source'!AG198&gt;=3.5,"A-",IF('Data Source'!AG198&gt;=3,"B",IF('Data Source'!AG198&gt;=2,"C",IF('Data Source'!AG198&gt;=1,"D","F")))))))</f>
        <v/>
      </c>
      <c r="P198" s="5">
        <f>IF('Data Source'!B198="","",'Data Source'!R198)</f>
        <v/>
      </c>
      <c r="Q198" s="3">
        <f>IF('Data Source'!B198="","",'Data Source'!S198)</f>
        <v/>
      </c>
    </row>
    <row r="199">
      <c r="A199" s="3">
        <f>IF('Data Source'!B199="","",'Data Source'!A199)</f>
        <v/>
      </c>
      <c r="B199">
        <f>IF('Data Source'!B199="","",'Data Source'!B199)</f>
        <v/>
      </c>
      <c r="C199" s="3">
        <f>IF('Data Source'!B199="","",IF('Data Source'!U199&gt;=5,"A+",IF('Data Source'!U199&gt;=4,"A",IF('Data Source'!U199&gt;=3.5,"A-",IF('Data Source'!U199&gt;=3,"B",IF('Data Source'!U199&gt;=2,"C",IF('Data Source'!U199&gt;=1,"D","F")))))))</f>
        <v/>
      </c>
      <c r="D199" s="3">
        <f>IF('Data Source'!B199="","",IF('Data Source'!V199&gt;=5,"A+",IF('Data Source'!V199&gt;=4,"A",IF('Data Source'!V199&gt;=3.5,"A-",IF('Data Source'!V199&gt;=3,"B",IF('Data Source'!V199&gt;=2,"C",IF('Data Source'!V199&gt;=1,"D","F")))))))</f>
        <v/>
      </c>
      <c r="E199" s="3">
        <f>IF('Data Source'!B199="","",IF('Data Source'!W199&gt;=5,"A+",IF('Data Source'!W199&gt;=4,"A",IF('Data Source'!W199&gt;=3.5,"A-",IF('Data Source'!W199&gt;=3,"B",IF('Data Source'!W199&gt;=2,"C",IF('Data Source'!W199&gt;=1,"D","F")))))))</f>
        <v/>
      </c>
      <c r="F199" s="3">
        <f>IF('Data Source'!B199="","",IF('Data Source'!X199&gt;=5,"A+",IF('Data Source'!X199&gt;=4,"A",IF('Data Source'!X199&gt;=3.5,"A-",IF('Data Source'!X199&gt;=3,"B",IF('Data Source'!X199&gt;=2,"C",IF('Data Source'!X199&gt;=1,"D","F")))))))</f>
        <v/>
      </c>
      <c r="G199" s="3">
        <f>IF('Data Source'!B199="","",IF('Data Source'!Y199&gt;=5,"A+",IF('Data Source'!Y199&gt;=4,"A",IF('Data Source'!Y199&gt;=3.5,"A-",IF('Data Source'!Y199&gt;=3,"B",IF('Data Source'!Y199&gt;=2,"C",IF('Data Source'!Y199&gt;=1,"D","F")))))))</f>
        <v/>
      </c>
      <c r="H199" s="3">
        <f>IF('Data Source'!B199="","",IF('Data Source'!Z199&gt;=5,"A+",IF('Data Source'!Z199&gt;=4,"A",IF('Data Source'!Z199&gt;=3.5,"A-",IF('Data Source'!Z199&gt;=3,"B",IF('Data Source'!Z199&gt;=2,"C",IF('Data Source'!Z199&gt;=1,"D","F")))))))</f>
        <v/>
      </c>
      <c r="I199" s="3">
        <f>IF('Data Source'!B199="","",IF('Data Source'!AA199&gt;=5,"A+",IF('Data Source'!AA199&gt;=4,"A",IF('Data Source'!AA199&gt;=3.5,"A-",IF('Data Source'!AA199&gt;=3,"B",IF('Data Source'!AA199&gt;=2,"C",IF('Data Source'!AA199&gt;=1,"D","F")))))))</f>
        <v/>
      </c>
      <c r="J199" s="3">
        <f>IF('Data Source'!B199="","",IF('Data Source'!AB199&gt;=5,"A+",IF('Data Source'!AB199&gt;=4,"A",IF('Data Source'!AB199&gt;=3.5,"A-",IF('Data Source'!AB199&gt;=3,"B",IF('Data Source'!AB199&gt;=2,"C",IF('Data Source'!AB199&gt;=1,"D","F")))))))</f>
        <v/>
      </c>
      <c r="K199" s="3">
        <f>IF('Data Source'!B199="","",IF('Data Source'!AC199&gt;=5,"A+",IF('Data Source'!AC199&gt;=4,"A",IF('Data Source'!AC199&gt;=3.5,"A-",IF('Data Source'!AC199&gt;=3,"B",IF('Data Source'!AC199&gt;=2,"C",IF('Data Source'!AC199&gt;=1,"D","F")))))))</f>
        <v/>
      </c>
      <c r="L199" s="3">
        <f>IF('Data Source'!B199="","",IF('Data Source'!AD199&gt;=5,"A+",IF('Data Source'!AD199&gt;=4,"A",IF('Data Source'!AD199&gt;=3.5,"A-",IF('Data Source'!AD199&gt;=3,"B",IF('Data Source'!AD199&gt;=2,"C",IF('Data Source'!AD199&gt;=1,"D","F")))))))</f>
        <v/>
      </c>
      <c r="M199" s="3">
        <f>IF('Data Source'!B199="","",IF('Data Source'!AE199&gt;=5,"A+",IF('Data Source'!AE199&gt;=4,"A",IF('Data Source'!AE199&gt;=3.5,"A-",IF('Data Source'!AE199&gt;=3,"B",IF('Data Source'!AE199&gt;=2,"C",IF('Data Source'!AE199&gt;=1,"D","F")))))))</f>
        <v/>
      </c>
      <c r="N199" s="3">
        <f>IF('Data Source'!B199="","",IF('Data Source'!AF199&gt;=5,"A+",IF('Data Source'!AF199&gt;=4,"A",IF('Data Source'!AF199&gt;=3.5,"A-",IF('Data Source'!AF199&gt;=3,"B",IF('Data Source'!AF199&gt;=2,"C",IF('Data Source'!AF199&gt;=1,"D","F")))))))</f>
        <v/>
      </c>
      <c r="O199" s="3">
        <f>IF('Data Source'!B199="","",IF('Data Source'!AG199&gt;=5,"A+",IF('Data Source'!AG199&gt;=4,"A",IF('Data Source'!AG199&gt;=3.5,"A-",IF('Data Source'!AG199&gt;=3,"B",IF('Data Source'!AG199&gt;=2,"C",IF('Data Source'!AG199&gt;=1,"D","F")))))))</f>
        <v/>
      </c>
      <c r="P199" s="5">
        <f>IF('Data Source'!B199="","",'Data Source'!R199)</f>
        <v/>
      </c>
      <c r="Q199" s="3">
        <f>IF('Data Source'!B199="","",'Data Source'!S199)</f>
        <v/>
      </c>
    </row>
    <row r="200">
      <c r="A200" s="3">
        <f>IF('Data Source'!B200="","",'Data Source'!A200)</f>
        <v/>
      </c>
      <c r="B200">
        <f>IF('Data Source'!B200="","",'Data Source'!B200)</f>
        <v/>
      </c>
      <c r="C200" s="3">
        <f>IF('Data Source'!B200="","",IF('Data Source'!U200&gt;=5,"A+",IF('Data Source'!U200&gt;=4,"A",IF('Data Source'!U200&gt;=3.5,"A-",IF('Data Source'!U200&gt;=3,"B",IF('Data Source'!U200&gt;=2,"C",IF('Data Source'!U200&gt;=1,"D","F")))))))</f>
        <v/>
      </c>
      <c r="D200" s="3">
        <f>IF('Data Source'!B200="","",IF('Data Source'!V200&gt;=5,"A+",IF('Data Source'!V200&gt;=4,"A",IF('Data Source'!V200&gt;=3.5,"A-",IF('Data Source'!V200&gt;=3,"B",IF('Data Source'!V200&gt;=2,"C",IF('Data Source'!V200&gt;=1,"D","F")))))))</f>
        <v/>
      </c>
      <c r="E200" s="3">
        <f>IF('Data Source'!B200="","",IF('Data Source'!W200&gt;=5,"A+",IF('Data Source'!W200&gt;=4,"A",IF('Data Source'!W200&gt;=3.5,"A-",IF('Data Source'!W200&gt;=3,"B",IF('Data Source'!W200&gt;=2,"C",IF('Data Source'!W200&gt;=1,"D","F")))))))</f>
        <v/>
      </c>
      <c r="F200" s="3">
        <f>IF('Data Source'!B200="","",IF('Data Source'!X200&gt;=5,"A+",IF('Data Source'!X200&gt;=4,"A",IF('Data Source'!X200&gt;=3.5,"A-",IF('Data Source'!X200&gt;=3,"B",IF('Data Source'!X200&gt;=2,"C",IF('Data Source'!X200&gt;=1,"D","F")))))))</f>
        <v/>
      </c>
      <c r="G200" s="3">
        <f>IF('Data Source'!B200="","",IF('Data Source'!Y200&gt;=5,"A+",IF('Data Source'!Y200&gt;=4,"A",IF('Data Source'!Y200&gt;=3.5,"A-",IF('Data Source'!Y200&gt;=3,"B",IF('Data Source'!Y200&gt;=2,"C",IF('Data Source'!Y200&gt;=1,"D","F")))))))</f>
        <v/>
      </c>
      <c r="H200" s="3">
        <f>IF('Data Source'!B200="","",IF('Data Source'!Z200&gt;=5,"A+",IF('Data Source'!Z200&gt;=4,"A",IF('Data Source'!Z200&gt;=3.5,"A-",IF('Data Source'!Z200&gt;=3,"B",IF('Data Source'!Z200&gt;=2,"C",IF('Data Source'!Z200&gt;=1,"D","F")))))))</f>
        <v/>
      </c>
      <c r="I200" s="3">
        <f>IF('Data Source'!B200="","",IF('Data Source'!AA200&gt;=5,"A+",IF('Data Source'!AA200&gt;=4,"A",IF('Data Source'!AA200&gt;=3.5,"A-",IF('Data Source'!AA200&gt;=3,"B",IF('Data Source'!AA200&gt;=2,"C",IF('Data Source'!AA200&gt;=1,"D","F")))))))</f>
        <v/>
      </c>
      <c r="J200" s="3">
        <f>IF('Data Source'!B200="","",IF('Data Source'!AB200&gt;=5,"A+",IF('Data Source'!AB200&gt;=4,"A",IF('Data Source'!AB200&gt;=3.5,"A-",IF('Data Source'!AB200&gt;=3,"B",IF('Data Source'!AB200&gt;=2,"C",IF('Data Source'!AB200&gt;=1,"D","F")))))))</f>
        <v/>
      </c>
      <c r="K200" s="3">
        <f>IF('Data Source'!B200="","",IF('Data Source'!AC200&gt;=5,"A+",IF('Data Source'!AC200&gt;=4,"A",IF('Data Source'!AC200&gt;=3.5,"A-",IF('Data Source'!AC200&gt;=3,"B",IF('Data Source'!AC200&gt;=2,"C",IF('Data Source'!AC200&gt;=1,"D","F")))))))</f>
        <v/>
      </c>
      <c r="L200" s="3">
        <f>IF('Data Source'!B200="","",IF('Data Source'!AD200&gt;=5,"A+",IF('Data Source'!AD200&gt;=4,"A",IF('Data Source'!AD200&gt;=3.5,"A-",IF('Data Source'!AD200&gt;=3,"B",IF('Data Source'!AD200&gt;=2,"C",IF('Data Source'!AD200&gt;=1,"D","F")))))))</f>
        <v/>
      </c>
      <c r="M200" s="3">
        <f>IF('Data Source'!B200="","",IF('Data Source'!AE200&gt;=5,"A+",IF('Data Source'!AE200&gt;=4,"A",IF('Data Source'!AE200&gt;=3.5,"A-",IF('Data Source'!AE200&gt;=3,"B",IF('Data Source'!AE200&gt;=2,"C",IF('Data Source'!AE200&gt;=1,"D","F")))))))</f>
        <v/>
      </c>
      <c r="N200" s="3">
        <f>IF('Data Source'!B200="","",IF('Data Source'!AF200&gt;=5,"A+",IF('Data Source'!AF200&gt;=4,"A",IF('Data Source'!AF200&gt;=3.5,"A-",IF('Data Source'!AF200&gt;=3,"B",IF('Data Source'!AF200&gt;=2,"C",IF('Data Source'!AF200&gt;=1,"D","F")))))))</f>
        <v/>
      </c>
      <c r="O200" s="3">
        <f>IF('Data Source'!B200="","",IF('Data Source'!AG200&gt;=5,"A+",IF('Data Source'!AG200&gt;=4,"A",IF('Data Source'!AG200&gt;=3.5,"A-",IF('Data Source'!AG200&gt;=3,"B",IF('Data Source'!AG200&gt;=2,"C",IF('Data Source'!AG200&gt;=1,"D","F")))))))</f>
        <v/>
      </c>
      <c r="P200" s="5">
        <f>IF('Data Source'!B200="","",'Data Source'!R200)</f>
        <v/>
      </c>
      <c r="Q200" s="3">
        <f>IF('Data Source'!B200="","",'Data Source'!S200)</f>
        <v/>
      </c>
    </row>
    <row r="201">
      <c r="A201" s="3">
        <f>IF('Data Source'!B201="","",'Data Source'!A201)</f>
        <v/>
      </c>
      <c r="B201">
        <f>IF('Data Source'!B201="","",'Data Source'!B201)</f>
        <v/>
      </c>
      <c r="C201" s="3">
        <f>IF('Data Source'!B201="","",IF('Data Source'!U201&gt;=5,"A+",IF('Data Source'!U201&gt;=4,"A",IF('Data Source'!U201&gt;=3.5,"A-",IF('Data Source'!U201&gt;=3,"B",IF('Data Source'!U201&gt;=2,"C",IF('Data Source'!U201&gt;=1,"D","F")))))))</f>
        <v/>
      </c>
      <c r="D201" s="3">
        <f>IF('Data Source'!B201="","",IF('Data Source'!V201&gt;=5,"A+",IF('Data Source'!V201&gt;=4,"A",IF('Data Source'!V201&gt;=3.5,"A-",IF('Data Source'!V201&gt;=3,"B",IF('Data Source'!V201&gt;=2,"C",IF('Data Source'!V201&gt;=1,"D","F")))))))</f>
        <v/>
      </c>
      <c r="E201" s="3">
        <f>IF('Data Source'!B201="","",IF('Data Source'!W201&gt;=5,"A+",IF('Data Source'!W201&gt;=4,"A",IF('Data Source'!W201&gt;=3.5,"A-",IF('Data Source'!W201&gt;=3,"B",IF('Data Source'!W201&gt;=2,"C",IF('Data Source'!W201&gt;=1,"D","F")))))))</f>
        <v/>
      </c>
      <c r="F201" s="3">
        <f>IF('Data Source'!B201="","",IF('Data Source'!X201&gt;=5,"A+",IF('Data Source'!X201&gt;=4,"A",IF('Data Source'!X201&gt;=3.5,"A-",IF('Data Source'!X201&gt;=3,"B",IF('Data Source'!X201&gt;=2,"C",IF('Data Source'!X201&gt;=1,"D","F")))))))</f>
        <v/>
      </c>
      <c r="G201" s="3">
        <f>IF('Data Source'!B201="","",IF('Data Source'!Y201&gt;=5,"A+",IF('Data Source'!Y201&gt;=4,"A",IF('Data Source'!Y201&gt;=3.5,"A-",IF('Data Source'!Y201&gt;=3,"B",IF('Data Source'!Y201&gt;=2,"C",IF('Data Source'!Y201&gt;=1,"D","F")))))))</f>
        <v/>
      </c>
      <c r="H201" s="3">
        <f>IF('Data Source'!B201="","",IF('Data Source'!Z201&gt;=5,"A+",IF('Data Source'!Z201&gt;=4,"A",IF('Data Source'!Z201&gt;=3.5,"A-",IF('Data Source'!Z201&gt;=3,"B",IF('Data Source'!Z201&gt;=2,"C",IF('Data Source'!Z201&gt;=1,"D","F")))))))</f>
        <v/>
      </c>
      <c r="I201" s="3">
        <f>IF('Data Source'!B201="","",IF('Data Source'!AA201&gt;=5,"A+",IF('Data Source'!AA201&gt;=4,"A",IF('Data Source'!AA201&gt;=3.5,"A-",IF('Data Source'!AA201&gt;=3,"B",IF('Data Source'!AA201&gt;=2,"C",IF('Data Source'!AA201&gt;=1,"D","F")))))))</f>
        <v/>
      </c>
      <c r="J201" s="3">
        <f>IF('Data Source'!B201="","",IF('Data Source'!AB201&gt;=5,"A+",IF('Data Source'!AB201&gt;=4,"A",IF('Data Source'!AB201&gt;=3.5,"A-",IF('Data Source'!AB201&gt;=3,"B",IF('Data Source'!AB201&gt;=2,"C",IF('Data Source'!AB201&gt;=1,"D","F")))))))</f>
        <v/>
      </c>
      <c r="K201" s="3">
        <f>IF('Data Source'!B201="","",IF('Data Source'!AC201&gt;=5,"A+",IF('Data Source'!AC201&gt;=4,"A",IF('Data Source'!AC201&gt;=3.5,"A-",IF('Data Source'!AC201&gt;=3,"B",IF('Data Source'!AC201&gt;=2,"C",IF('Data Source'!AC201&gt;=1,"D","F")))))))</f>
        <v/>
      </c>
      <c r="L201" s="3">
        <f>IF('Data Source'!B201="","",IF('Data Source'!AD201&gt;=5,"A+",IF('Data Source'!AD201&gt;=4,"A",IF('Data Source'!AD201&gt;=3.5,"A-",IF('Data Source'!AD201&gt;=3,"B",IF('Data Source'!AD201&gt;=2,"C",IF('Data Source'!AD201&gt;=1,"D","F")))))))</f>
        <v/>
      </c>
      <c r="M201" s="3">
        <f>IF('Data Source'!B201="","",IF('Data Source'!AE201&gt;=5,"A+",IF('Data Source'!AE201&gt;=4,"A",IF('Data Source'!AE201&gt;=3.5,"A-",IF('Data Source'!AE201&gt;=3,"B",IF('Data Source'!AE201&gt;=2,"C",IF('Data Source'!AE201&gt;=1,"D","F")))))))</f>
        <v/>
      </c>
      <c r="N201" s="3">
        <f>IF('Data Source'!B201="","",IF('Data Source'!AF201&gt;=5,"A+",IF('Data Source'!AF201&gt;=4,"A",IF('Data Source'!AF201&gt;=3.5,"A-",IF('Data Source'!AF201&gt;=3,"B",IF('Data Source'!AF201&gt;=2,"C",IF('Data Source'!AF201&gt;=1,"D","F")))))))</f>
        <v/>
      </c>
      <c r="O201" s="3">
        <f>IF('Data Source'!B201="","",IF('Data Source'!AG201&gt;=5,"A+",IF('Data Source'!AG201&gt;=4,"A",IF('Data Source'!AG201&gt;=3.5,"A-",IF('Data Source'!AG201&gt;=3,"B",IF('Data Source'!AG201&gt;=2,"C",IF('Data Source'!AG201&gt;=1,"D","F")))))))</f>
        <v/>
      </c>
      <c r="P201" s="5">
        <f>IF('Data Source'!B201="","",'Data Source'!R201)</f>
        <v/>
      </c>
      <c r="Q201" s="3">
        <f>IF('Data Source'!B201="","",'Data Source'!S201)</f>
        <v/>
      </c>
    </row>
    <row r="202">
      <c r="A202" s="3">
        <f>IF('Data Source'!B202="","",'Data Source'!A202)</f>
        <v/>
      </c>
      <c r="B202">
        <f>IF('Data Source'!B202="","",'Data Source'!B202)</f>
        <v/>
      </c>
      <c r="C202" s="3">
        <f>IF('Data Source'!B202="","",IF('Data Source'!U202&gt;=5,"A+",IF('Data Source'!U202&gt;=4,"A",IF('Data Source'!U202&gt;=3.5,"A-",IF('Data Source'!U202&gt;=3,"B",IF('Data Source'!U202&gt;=2,"C",IF('Data Source'!U202&gt;=1,"D","F")))))))</f>
        <v/>
      </c>
      <c r="D202" s="3">
        <f>IF('Data Source'!B202="","",IF('Data Source'!V202&gt;=5,"A+",IF('Data Source'!V202&gt;=4,"A",IF('Data Source'!V202&gt;=3.5,"A-",IF('Data Source'!V202&gt;=3,"B",IF('Data Source'!V202&gt;=2,"C",IF('Data Source'!V202&gt;=1,"D","F")))))))</f>
        <v/>
      </c>
      <c r="E202" s="3">
        <f>IF('Data Source'!B202="","",IF('Data Source'!W202&gt;=5,"A+",IF('Data Source'!W202&gt;=4,"A",IF('Data Source'!W202&gt;=3.5,"A-",IF('Data Source'!W202&gt;=3,"B",IF('Data Source'!W202&gt;=2,"C",IF('Data Source'!W202&gt;=1,"D","F")))))))</f>
        <v/>
      </c>
      <c r="F202" s="3">
        <f>IF('Data Source'!B202="","",IF('Data Source'!X202&gt;=5,"A+",IF('Data Source'!X202&gt;=4,"A",IF('Data Source'!X202&gt;=3.5,"A-",IF('Data Source'!X202&gt;=3,"B",IF('Data Source'!X202&gt;=2,"C",IF('Data Source'!X202&gt;=1,"D","F")))))))</f>
        <v/>
      </c>
      <c r="G202" s="3">
        <f>IF('Data Source'!B202="","",IF('Data Source'!Y202&gt;=5,"A+",IF('Data Source'!Y202&gt;=4,"A",IF('Data Source'!Y202&gt;=3.5,"A-",IF('Data Source'!Y202&gt;=3,"B",IF('Data Source'!Y202&gt;=2,"C",IF('Data Source'!Y202&gt;=1,"D","F")))))))</f>
        <v/>
      </c>
      <c r="H202" s="3">
        <f>IF('Data Source'!B202="","",IF('Data Source'!Z202&gt;=5,"A+",IF('Data Source'!Z202&gt;=4,"A",IF('Data Source'!Z202&gt;=3.5,"A-",IF('Data Source'!Z202&gt;=3,"B",IF('Data Source'!Z202&gt;=2,"C",IF('Data Source'!Z202&gt;=1,"D","F")))))))</f>
        <v/>
      </c>
      <c r="I202" s="3">
        <f>IF('Data Source'!B202="","",IF('Data Source'!AA202&gt;=5,"A+",IF('Data Source'!AA202&gt;=4,"A",IF('Data Source'!AA202&gt;=3.5,"A-",IF('Data Source'!AA202&gt;=3,"B",IF('Data Source'!AA202&gt;=2,"C",IF('Data Source'!AA202&gt;=1,"D","F")))))))</f>
        <v/>
      </c>
      <c r="J202" s="3">
        <f>IF('Data Source'!B202="","",IF('Data Source'!AB202&gt;=5,"A+",IF('Data Source'!AB202&gt;=4,"A",IF('Data Source'!AB202&gt;=3.5,"A-",IF('Data Source'!AB202&gt;=3,"B",IF('Data Source'!AB202&gt;=2,"C",IF('Data Source'!AB202&gt;=1,"D","F")))))))</f>
        <v/>
      </c>
      <c r="K202" s="3">
        <f>IF('Data Source'!B202="","",IF('Data Source'!AC202&gt;=5,"A+",IF('Data Source'!AC202&gt;=4,"A",IF('Data Source'!AC202&gt;=3.5,"A-",IF('Data Source'!AC202&gt;=3,"B",IF('Data Source'!AC202&gt;=2,"C",IF('Data Source'!AC202&gt;=1,"D","F")))))))</f>
        <v/>
      </c>
      <c r="L202" s="3">
        <f>IF('Data Source'!B202="","",IF('Data Source'!AD202&gt;=5,"A+",IF('Data Source'!AD202&gt;=4,"A",IF('Data Source'!AD202&gt;=3.5,"A-",IF('Data Source'!AD202&gt;=3,"B",IF('Data Source'!AD202&gt;=2,"C",IF('Data Source'!AD202&gt;=1,"D","F")))))))</f>
        <v/>
      </c>
      <c r="M202" s="3">
        <f>IF('Data Source'!B202="","",IF('Data Source'!AE202&gt;=5,"A+",IF('Data Source'!AE202&gt;=4,"A",IF('Data Source'!AE202&gt;=3.5,"A-",IF('Data Source'!AE202&gt;=3,"B",IF('Data Source'!AE202&gt;=2,"C",IF('Data Source'!AE202&gt;=1,"D","F")))))))</f>
        <v/>
      </c>
      <c r="N202" s="3">
        <f>IF('Data Source'!B202="","",IF('Data Source'!AF202&gt;=5,"A+",IF('Data Source'!AF202&gt;=4,"A",IF('Data Source'!AF202&gt;=3.5,"A-",IF('Data Source'!AF202&gt;=3,"B",IF('Data Source'!AF202&gt;=2,"C",IF('Data Source'!AF202&gt;=1,"D","F")))))))</f>
        <v/>
      </c>
      <c r="O202" s="3">
        <f>IF('Data Source'!B202="","",IF('Data Source'!AG202&gt;=5,"A+",IF('Data Source'!AG202&gt;=4,"A",IF('Data Source'!AG202&gt;=3.5,"A-",IF('Data Source'!AG202&gt;=3,"B",IF('Data Source'!AG202&gt;=2,"C",IF('Data Source'!AG202&gt;=1,"D","F")))))))</f>
        <v/>
      </c>
      <c r="P202" s="5">
        <f>IF('Data Source'!B202="","",'Data Source'!R202)</f>
        <v/>
      </c>
      <c r="Q202" s="3">
        <f>IF('Data Source'!B202="","",'Data Source'!S202)</f>
        <v/>
      </c>
    </row>
    <row r="203">
      <c r="A203" s="3">
        <f>IF('Data Source'!B203="","",'Data Source'!A203)</f>
        <v/>
      </c>
      <c r="B203">
        <f>IF('Data Source'!B203="","",'Data Source'!B203)</f>
        <v/>
      </c>
      <c r="C203" s="3">
        <f>IF('Data Source'!B203="","",IF('Data Source'!U203&gt;=5,"A+",IF('Data Source'!U203&gt;=4,"A",IF('Data Source'!U203&gt;=3.5,"A-",IF('Data Source'!U203&gt;=3,"B",IF('Data Source'!U203&gt;=2,"C",IF('Data Source'!U203&gt;=1,"D","F")))))))</f>
        <v/>
      </c>
      <c r="D203" s="3">
        <f>IF('Data Source'!B203="","",IF('Data Source'!V203&gt;=5,"A+",IF('Data Source'!V203&gt;=4,"A",IF('Data Source'!V203&gt;=3.5,"A-",IF('Data Source'!V203&gt;=3,"B",IF('Data Source'!V203&gt;=2,"C",IF('Data Source'!V203&gt;=1,"D","F")))))))</f>
        <v/>
      </c>
      <c r="E203" s="3">
        <f>IF('Data Source'!B203="","",IF('Data Source'!W203&gt;=5,"A+",IF('Data Source'!W203&gt;=4,"A",IF('Data Source'!W203&gt;=3.5,"A-",IF('Data Source'!W203&gt;=3,"B",IF('Data Source'!W203&gt;=2,"C",IF('Data Source'!W203&gt;=1,"D","F")))))))</f>
        <v/>
      </c>
      <c r="F203" s="3">
        <f>IF('Data Source'!B203="","",IF('Data Source'!X203&gt;=5,"A+",IF('Data Source'!X203&gt;=4,"A",IF('Data Source'!X203&gt;=3.5,"A-",IF('Data Source'!X203&gt;=3,"B",IF('Data Source'!X203&gt;=2,"C",IF('Data Source'!X203&gt;=1,"D","F")))))))</f>
        <v/>
      </c>
      <c r="G203" s="3">
        <f>IF('Data Source'!B203="","",IF('Data Source'!Y203&gt;=5,"A+",IF('Data Source'!Y203&gt;=4,"A",IF('Data Source'!Y203&gt;=3.5,"A-",IF('Data Source'!Y203&gt;=3,"B",IF('Data Source'!Y203&gt;=2,"C",IF('Data Source'!Y203&gt;=1,"D","F")))))))</f>
        <v/>
      </c>
      <c r="H203" s="3">
        <f>IF('Data Source'!B203="","",IF('Data Source'!Z203&gt;=5,"A+",IF('Data Source'!Z203&gt;=4,"A",IF('Data Source'!Z203&gt;=3.5,"A-",IF('Data Source'!Z203&gt;=3,"B",IF('Data Source'!Z203&gt;=2,"C",IF('Data Source'!Z203&gt;=1,"D","F")))))))</f>
        <v/>
      </c>
      <c r="I203" s="3">
        <f>IF('Data Source'!B203="","",IF('Data Source'!AA203&gt;=5,"A+",IF('Data Source'!AA203&gt;=4,"A",IF('Data Source'!AA203&gt;=3.5,"A-",IF('Data Source'!AA203&gt;=3,"B",IF('Data Source'!AA203&gt;=2,"C",IF('Data Source'!AA203&gt;=1,"D","F")))))))</f>
        <v/>
      </c>
      <c r="J203" s="3">
        <f>IF('Data Source'!B203="","",IF('Data Source'!AB203&gt;=5,"A+",IF('Data Source'!AB203&gt;=4,"A",IF('Data Source'!AB203&gt;=3.5,"A-",IF('Data Source'!AB203&gt;=3,"B",IF('Data Source'!AB203&gt;=2,"C",IF('Data Source'!AB203&gt;=1,"D","F")))))))</f>
        <v/>
      </c>
      <c r="K203" s="3">
        <f>IF('Data Source'!B203="","",IF('Data Source'!AC203&gt;=5,"A+",IF('Data Source'!AC203&gt;=4,"A",IF('Data Source'!AC203&gt;=3.5,"A-",IF('Data Source'!AC203&gt;=3,"B",IF('Data Source'!AC203&gt;=2,"C",IF('Data Source'!AC203&gt;=1,"D","F")))))))</f>
        <v/>
      </c>
      <c r="L203" s="3">
        <f>IF('Data Source'!B203="","",IF('Data Source'!AD203&gt;=5,"A+",IF('Data Source'!AD203&gt;=4,"A",IF('Data Source'!AD203&gt;=3.5,"A-",IF('Data Source'!AD203&gt;=3,"B",IF('Data Source'!AD203&gt;=2,"C",IF('Data Source'!AD203&gt;=1,"D","F")))))))</f>
        <v/>
      </c>
      <c r="M203" s="3">
        <f>IF('Data Source'!B203="","",IF('Data Source'!AE203&gt;=5,"A+",IF('Data Source'!AE203&gt;=4,"A",IF('Data Source'!AE203&gt;=3.5,"A-",IF('Data Source'!AE203&gt;=3,"B",IF('Data Source'!AE203&gt;=2,"C",IF('Data Source'!AE203&gt;=1,"D","F")))))))</f>
        <v/>
      </c>
      <c r="N203" s="3">
        <f>IF('Data Source'!B203="","",IF('Data Source'!AF203&gt;=5,"A+",IF('Data Source'!AF203&gt;=4,"A",IF('Data Source'!AF203&gt;=3.5,"A-",IF('Data Source'!AF203&gt;=3,"B",IF('Data Source'!AF203&gt;=2,"C",IF('Data Source'!AF203&gt;=1,"D","F")))))))</f>
        <v/>
      </c>
      <c r="O203" s="3">
        <f>IF('Data Source'!B203="","",IF('Data Source'!AG203&gt;=5,"A+",IF('Data Source'!AG203&gt;=4,"A",IF('Data Source'!AG203&gt;=3.5,"A-",IF('Data Source'!AG203&gt;=3,"B",IF('Data Source'!AG203&gt;=2,"C",IF('Data Source'!AG203&gt;=1,"D","F")))))))</f>
        <v/>
      </c>
      <c r="P203" s="5">
        <f>IF('Data Source'!B203="","",'Data Source'!R203)</f>
        <v/>
      </c>
      <c r="Q203" s="3">
        <f>IF('Data Source'!B203="","",'Data Source'!S203)</f>
        <v/>
      </c>
    </row>
    <row r="204">
      <c r="A204" s="3">
        <f>IF('Data Source'!B204="","",'Data Source'!A204)</f>
        <v/>
      </c>
      <c r="B204">
        <f>IF('Data Source'!B204="","",'Data Source'!B204)</f>
        <v/>
      </c>
      <c r="C204" s="3">
        <f>IF('Data Source'!B204="","",IF('Data Source'!U204&gt;=5,"A+",IF('Data Source'!U204&gt;=4,"A",IF('Data Source'!U204&gt;=3.5,"A-",IF('Data Source'!U204&gt;=3,"B",IF('Data Source'!U204&gt;=2,"C",IF('Data Source'!U204&gt;=1,"D","F")))))))</f>
        <v/>
      </c>
      <c r="D204" s="3">
        <f>IF('Data Source'!B204="","",IF('Data Source'!V204&gt;=5,"A+",IF('Data Source'!V204&gt;=4,"A",IF('Data Source'!V204&gt;=3.5,"A-",IF('Data Source'!V204&gt;=3,"B",IF('Data Source'!V204&gt;=2,"C",IF('Data Source'!V204&gt;=1,"D","F")))))))</f>
        <v/>
      </c>
      <c r="E204" s="3">
        <f>IF('Data Source'!B204="","",IF('Data Source'!W204&gt;=5,"A+",IF('Data Source'!W204&gt;=4,"A",IF('Data Source'!W204&gt;=3.5,"A-",IF('Data Source'!W204&gt;=3,"B",IF('Data Source'!W204&gt;=2,"C",IF('Data Source'!W204&gt;=1,"D","F")))))))</f>
        <v/>
      </c>
      <c r="F204" s="3">
        <f>IF('Data Source'!B204="","",IF('Data Source'!X204&gt;=5,"A+",IF('Data Source'!X204&gt;=4,"A",IF('Data Source'!X204&gt;=3.5,"A-",IF('Data Source'!X204&gt;=3,"B",IF('Data Source'!X204&gt;=2,"C",IF('Data Source'!X204&gt;=1,"D","F")))))))</f>
        <v/>
      </c>
      <c r="G204" s="3">
        <f>IF('Data Source'!B204="","",IF('Data Source'!Y204&gt;=5,"A+",IF('Data Source'!Y204&gt;=4,"A",IF('Data Source'!Y204&gt;=3.5,"A-",IF('Data Source'!Y204&gt;=3,"B",IF('Data Source'!Y204&gt;=2,"C",IF('Data Source'!Y204&gt;=1,"D","F")))))))</f>
        <v/>
      </c>
      <c r="H204" s="3">
        <f>IF('Data Source'!B204="","",IF('Data Source'!Z204&gt;=5,"A+",IF('Data Source'!Z204&gt;=4,"A",IF('Data Source'!Z204&gt;=3.5,"A-",IF('Data Source'!Z204&gt;=3,"B",IF('Data Source'!Z204&gt;=2,"C",IF('Data Source'!Z204&gt;=1,"D","F")))))))</f>
        <v/>
      </c>
      <c r="I204" s="3">
        <f>IF('Data Source'!B204="","",IF('Data Source'!AA204&gt;=5,"A+",IF('Data Source'!AA204&gt;=4,"A",IF('Data Source'!AA204&gt;=3.5,"A-",IF('Data Source'!AA204&gt;=3,"B",IF('Data Source'!AA204&gt;=2,"C",IF('Data Source'!AA204&gt;=1,"D","F")))))))</f>
        <v/>
      </c>
      <c r="J204" s="3">
        <f>IF('Data Source'!B204="","",IF('Data Source'!AB204&gt;=5,"A+",IF('Data Source'!AB204&gt;=4,"A",IF('Data Source'!AB204&gt;=3.5,"A-",IF('Data Source'!AB204&gt;=3,"B",IF('Data Source'!AB204&gt;=2,"C",IF('Data Source'!AB204&gt;=1,"D","F")))))))</f>
        <v/>
      </c>
      <c r="K204" s="3">
        <f>IF('Data Source'!B204="","",IF('Data Source'!AC204&gt;=5,"A+",IF('Data Source'!AC204&gt;=4,"A",IF('Data Source'!AC204&gt;=3.5,"A-",IF('Data Source'!AC204&gt;=3,"B",IF('Data Source'!AC204&gt;=2,"C",IF('Data Source'!AC204&gt;=1,"D","F")))))))</f>
        <v/>
      </c>
      <c r="L204" s="3">
        <f>IF('Data Source'!B204="","",IF('Data Source'!AD204&gt;=5,"A+",IF('Data Source'!AD204&gt;=4,"A",IF('Data Source'!AD204&gt;=3.5,"A-",IF('Data Source'!AD204&gt;=3,"B",IF('Data Source'!AD204&gt;=2,"C",IF('Data Source'!AD204&gt;=1,"D","F")))))))</f>
        <v/>
      </c>
      <c r="M204" s="3">
        <f>IF('Data Source'!B204="","",IF('Data Source'!AE204&gt;=5,"A+",IF('Data Source'!AE204&gt;=4,"A",IF('Data Source'!AE204&gt;=3.5,"A-",IF('Data Source'!AE204&gt;=3,"B",IF('Data Source'!AE204&gt;=2,"C",IF('Data Source'!AE204&gt;=1,"D","F")))))))</f>
        <v/>
      </c>
      <c r="N204" s="3">
        <f>IF('Data Source'!B204="","",IF('Data Source'!AF204&gt;=5,"A+",IF('Data Source'!AF204&gt;=4,"A",IF('Data Source'!AF204&gt;=3.5,"A-",IF('Data Source'!AF204&gt;=3,"B",IF('Data Source'!AF204&gt;=2,"C",IF('Data Source'!AF204&gt;=1,"D","F")))))))</f>
        <v/>
      </c>
      <c r="O204" s="3">
        <f>IF('Data Source'!B204="","",IF('Data Source'!AG204&gt;=5,"A+",IF('Data Source'!AG204&gt;=4,"A",IF('Data Source'!AG204&gt;=3.5,"A-",IF('Data Source'!AG204&gt;=3,"B",IF('Data Source'!AG204&gt;=2,"C",IF('Data Source'!AG204&gt;=1,"D","F")))))))</f>
        <v/>
      </c>
      <c r="P204" s="5">
        <f>IF('Data Source'!B204="","",'Data Source'!R204)</f>
        <v/>
      </c>
      <c r="Q204" s="3">
        <f>IF('Data Source'!B204="","",'Data Source'!S204)</f>
        <v/>
      </c>
    </row>
    <row r="205">
      <c r="A205" s="3">
        <f>IF('Data Source'!B205="","",'Data Source'!A205)</f>
        <v/>
      </c>
      <c r="B205">
        <f>IF('Data Source'!B205="","",'Data Source'!B205)</f>
        <v/>
      </c>
      <c r="C205" s="3">
        <f>IF('Data Source'!B205="","",IF('Data Source'!U205&gt;=5,"A+",IF('Data Source'!U205&gt;=4,"A",IF('Data Source'!U205&gt;=3.5,"A-",IF('Data Source'!U205&gt;=3,"B",IF('Data Source'!U205&gt;=2,"C",IF('Data Source'!U205&gt;=1,"D","F")))))))</f>
        <v/>
      </c>
      <c r="D205" s="3">
        <f>IF('Data Source'!B205="","",IF('Data Source'!V205&gt;=5,"A+",IF('Data Source'!V205&gt;=4,"A",IF('Data Source'!V205&gt;=3.5,"A-",IF('Data Source'!V205&gt;=3,"B",IF('Data Source'!V205&gt;=2,"C",IF('Data Source'!V205&gt;=1,"D","F")))))))</f>
        <v/>
      </c>
      <c r="E205" s="3">
        <f>IF('Data Source'!B205="","",IF('Data Source'!W205&gt;=5,"A+",IF('Data Source'!W205&gt;=4,"A",IF('Data Source'!W205&gt;=3.5,"A-",IF('Data Source'!W205&gt;=3,"B",IF('Data Source'!W205&gt;=2,"C",IF('Data Source'!W205&gt;=1,"D","F")))))))</f>
        <v/>
      </c>
      <c r="F205" s="3">
        <f>IF('Data Source'!B205="","",IF('Data Source'!X205&gt;=5,"A+",IF('Data Source'!X205&gt;=4,"A",IF('Data Source'!X205&gt;=3.5,"A-",IF('Data Source'!X205&gt;=3,"B",IF('Data Source'!X205&gt;=2,"C",IF('Data Source'!X205&gt;=1,"D","F")))))))</f>
        <v/>
      </c>
      <c r="G205" s="3">
        <f>IF('Data Source'!B205="","",IF('Data Source'!Y205&gt;=5,"A+",IF('Data Source'!Y205&gt;=4,"A",IF('Data Source'!Y205&gt;=3.5,"A-",IF('Data Source'!Y205&gt;=3,"B",IF('Data Source'!Y205&gt;=2,"C",IF('Data Source'!Y205&gt;=1,"D","F")))))))</f>
        <v/>
      </c>
      <c r="H205" s="3">
        <f>IF('Data Source'!B205="","",IF('Data Source'!Z205&gt;=5,"A+",IF('Data Source'!Z205&gt;=4,"A",IF('Data Source'!Z205&gt;=3.5,"A-",IF('Data Source'!Z205&gt;=3,"B",IF('Data Source'!Z205&gt;=2,"C",IF('Data Source'!Z205&gt;=1,"D","F")))))))</f>
        <v/>
      </c>
      <c r="I205" s="3">
        <f>IF('Data Source'!B205="","",IF('Data Source'!AA205&gt;=5,"A+",IF('Data Source'!AA205&gt;=4,"A",IF('Data Source'!AA205&gt;=3.5,"A-",IF('Data Source'!AA205&gt;=3,"B",IF('Data Source'!AA205&gt;=2,"C",IF('Data Source'!AA205&gt;=1,"D","F")))))))</f>
        <v/>
      </c>
      <c r="J205" s="3">
        <f>IF('Data Source'!B205="","",IF('Data Source'!AB205&gt;=5,"A+",IF('Data Source'!AB205&gt;=4,"A",IF('Data Source'!AB205&gt;=3.5,"A-",IF('Data Source'!AB205&gt;=3,"B",IF('Data Source'!AB205&gt;=2,"C",IF('Data Source'!AB205&gt;=1,"D","F")))))))</f>
        <v/>
      </c>
      <c r="K205" s="3">
        <f>IF('Data Source'!B205="","",IF('Data Source'!AC205&gt;=5,"A+",IF('Data Source'!AC205&gt;=4,"A",IF('Data Source'!AC205&gt;=3.5,"A-",IF('Data Source'!AC205&gt;=3,"B",IF('Data Source'!AC205&gt;=2,"C",IF('Data Source'!AC205&gt;=1,"D","F")))))))</f>
        <v/>
      </c>
      <c r="L205" s="3">
        <f>IF('Data Source'!B205="","",IF('Data Source'!AD205&gt;=5,"A+",IF('Data Source'!AD205&gt;=4,"A",IF('Data Source'!AD205&gt;=3.5,"A-",IF('Data Source'!AD205&gt;=3,"B",IF('Data Source'!AD205&gt;=2,"C",IF('Data Source'!AD205&gt;=1,"D","F")))))))</f>
        <v/>
      </c>
      <c r="M205" s="3">
        <f>IF('Data Source'!B205="","",IF('Data Source'!AE205&gt;=5,"A+",IF('Data Source'!AE205&gt;=4,"A",IF('Data Source'!AE205&gt;=3.5,"A-",IF('Data Source'!AE205&gt;=3,"B",IF('Data Source'!AE205&gt;=2,"C",IF('Data Source'!AE205&gt;=1,"D","F")))))))</f>
        <v/>
      </c>
      <c r="N205" s="3">
        <f>IF('Data Source'!B205="","",IF('Data Source'!AF205&gt;=5,"A+",IF('Data Source'!AF205&gt;=4,"A",IF('Data Source'!AF205&gt;=3.5,"A-",IF('Data Source'!AF205&gt;=3,"B",IF('Data Source'!AF205&gt;=2,"C",IF('Data Source'!AF205&gt;=1,"D","F")))))))</f>
        <v/>
      </c>
      <c r="O205" s="3">
        <f>IF('Data Source'!B205="","",IF('Data Source'!AG205&gt;=5,"A+",IF('Data Source'!AG205&gt;=4,"A",IF('Data Source'!AG205&gt;=3.5,"A-",IF('Data Source'!AG205&gt;=3,"B",IF('Data Source'!AG205&gt;=2,"C",IF('Data Source'!AG205&gt;=1,"D","F")))))))</f>
        <v/>
      </c>
      <c r="P205" s="5">
        <f>IF('Data Source'!B205="","",'Data Source'!R205)</f>
        <v/>
      </c>
      <c r="Q205" s="3">
        <f>IF('Data Source'!B205="","",'Data Source'!S205)</f>
        <v/>
      </c>
    </row>
    <row r="206">
      <c r="A206" s="3">
        <f>IF('Data Source'!B206="","",'Data Source'!A206)</f>
        <v/>
      </c>
      <c r="B206">
        <f>IF('Data Source'!B206="","",'Data Source'!B206)</f>
        <v/>
      </c>
      <c r="C206" s="3">
        <f>IF('Data Source'!B206="","",IF('Data Source'!U206&gt;=5,"A+",IF('Data Source'!U206&gt;=4,"A",IF('Data Source'!U206&gt;=3.5,"A-",IF('Data Source'!U206&gt;=3,"B",IF('Data Source'!U206&gt;=2,"C",IF('Data Source'!U206&gt;=1,"D","F")))))))</f>
        <v/>
      </c>
      <c r="D206" s="3">
        <f>IF('Data Source'!B206="","",IF('Data Source'!V206&gt;=5,"A+",IF('Data Source'!V206&gt;=4,"A",IF('Data Source'!V206&gt;=3.5,"A-",IF('Data Source'!V206&gt;=3,"B",IF('Data Source'!V206&gt;=2,"C",IF('Data Source'!V206&gt;=1,"D","F")))))))</f>
        <v/>
      </c>
      <c r="E206" s="3">
        <f>IF('Data Source'!B206="","",IF('Data Source'!W206&gt;=5,"A+",IF('Data Source'!W206&gt;=4,"A",IF('Data Source'!W206&gt;=3.5,"A-",IF('Data Source'!W206&gt;=3,"B",IF('Data Source'!W206&gt;=2,"C",IF('Data Source'!W206&gt;=1,"D","F")))))))</f>
        <v/>
      </c>
      <c r="F206" s="3">
        <f>IF('Data Source'!B206="","",IF('Data Source'!X206&gt;=5,"A+",IF('Data Source'!X206&gt;=4,"A",IF('Data Source'!X206&gt;=3.5,"A-",IF('Data Source'!X206&gt;=3,"B",IF('Data Source'!X206&gt;=2,"C",IF('Data Source'!X206&gt;=1,"D","F")))))))</f>
        <v/>
      </c>
      <c r="G206" s="3">
        <f>IF('Data Source'!B206="","",IF('Data Source'!Y206&gt;=5,"A+",IF('Data Source'!Y206&gt;=4,"A",IF('Data Source'!Y206&gt;=3.5,"A-",IF('Data Source'!Y206&gt;=3,"B",IF('Data Source'!Y206&gt;=2,"C",IF('Data Source'!Y206&gt;=1,"D","F")))))))</f>
        <v/>
      </c>
      <c r="H206" s="3">
        <f>IF('Data Source'!B206="","",IF('Data Source'!Z206&gt;=5,"A+",IF('Data Source'!Z206&gt;=4,"A",IF('Data Source'!Z206&gt;=3.5,"A-",IF('Data Source'!Z206&gt;=3,"B",IF('Data Source'!Z206&gt;=2,"C",IF('Data Source'!Z206&gt;=1,"D","F")))))))</f>
        <v/>
      </c>
      <c r="I206" s="3">
        <f>IF('Data Source'!B206="","",IF('Data Source'!AA206&gt;=5,"A+",IF('Data Source'!AA206&gt;=4,"A",IF('Data Source'!AA206&gt;=3.5,"A-",IF('Data Source'!AA206&gt;=3,"B",IF('Data Source'!AA206&gt;=2,"C",IF('Data Source'!AA206&gt;=1,"D","F")))))))</f>
        <v/>
      </c>
      <c r="J206" s="3">
        <f>IF('Data Source'!B206="","",IF('Data Source'!AB206&gt;=5,"A+",IF('Data Source'!AB206&gt;=4,"A",IF('Data Source'!AB206&gt;=3.5,"A-",IF('Data Source'!AB206&gt;=3,"B",IF('Data Source'!AB206&gt;=2,"C",IF('Data Source'!AB206&gt;=1,"D","F")))))))</f>
        <v/>
      </c>
      <c r="K206" s="3">
        <f>IF('Data Source'!B206="","",IF('Data Source'!AC206&gt;=5,"A+",IF('Data Source'!AC206&gt;=4,"A",IF('Data Source'!AC206&gt;=3.5,"A-",IF('Data Source'!AC206&gt;=3,"B",IF('Data Source'!AC206&gt;=2,"C",IF('Data Source'!AC206&gt;=1,"D","F")))))))</f>
        <v/>
      </c>
      <c r="L206" s="3">
        <f>IF('Data Source'!B206="","",IF('Data Source'!AD206&gt;=5,"A+",IF('Data Source'!AD206&gt;=4,"A",IF('Data Source'!AD206&gt;=3.5,"A-",IF('Data Source'!AD206&gt;=3,"B",IF('Data Source'!AD206&gt;=2,"C",IF('Data Source'!AD206&gt;=1,"D","F")))))))</f>
        <v/>
      </c>
      <c r="M206" s="3">
        <f>IF('Data Source'!B206="","",IF('Data Source'!AE206&gt;=5,"A+",IF('Data Source'!AE206&gt;=4,"A",IF('Data Source'!AE206&gt;=3.5,"A-",IF('Data Source'!AE206&gt;=3,"B",IF('Data Source'!AE206&gt;=2,"C",IF('Data Source'!AE206&gt;=1,"D","F")))))))</f>
        <v/>
      </c>
      <c r="N206" s="3">
        <f>IF('Data Source'!B206="","",IF('Data Source'!AF206&gt;=5,"A+",IF('Data Source'!AF206&gt;=4,"A",IF('Data Source'!AF206&gt;=3.5,"A-",IF('Data Source'!AF206&gt;=3,"B",IF('Data Source'!AF206&gt;=2,"C",IF('Data Source'!AF206&gt;=1,"D","F")))))))</f>
        <v/>
      </c>
      <c r="O206" s="3">
        <f>IF('Data Source'!B206="","",IF('Data Source'!AG206&gt;=5,"A+",IF('Data Source'!AG206&gt;=4,"A",IF('Data Source'!AG206&gt;=3.5,"A-",IF('Data Source'!AG206&gt;=3,"B",IF('Data Source'!AG206&gt;=2,"C",IF('Data Source'!AG206&gt;=1,"D","F")))))))</f>
        <v/>
      </c>
      <c r="P206" s="5">
        <f>IF('Data Source'!B206="","",'Data Source'!R206)</f>
        <v/>
      </c>
      <c r="Q206" s="3">
        <f>IF('Data Source'!B206="","",'Data Source'!S206)</f>
        <v/>
      </c>
    </row>
    <row r="207">
      <c r="A207" s="3">
        <f>IF('Data Source'!B207="","",'Data Source'!A207)</f>
        <v/>
      </c>
      <c r="B207">
        <f>IF('Data Source'!B207="","",'Data Source'!B207)</f>
        <v/>
      </c>
      <c r="C207" s="3">
        <f>IF('Data Source'!B207="","",IF('Data Source'!U207&gt;=5,"A+",IF('Data Source'!U207&gt;=4,"A",IF('Data Source'!U207&gt;=3.5,"A-",IF('Data Source'!U207&gt;=3,"B",IF('Data Source'!U207&gt;=2,"C",IF('Data Source'!U207&gt;=1,"D","F")))))))</f>
        <v/>
      </c>
      <c r="D207" s="3">
        <f>IF('Data Source'!B207="","",IF('Data Source'!V207&gt;=5,"A+",IF('Data Source'!V207&gt;=4,"A",IF('Data Source'!V207&gt;=3.5,"A-",IF('Data Source'!V207&gt;=3,"B",IF('Data Source'!V207&gt;=2,"C",IF('Data Source'!V207&gt;=1,"D","F")))))))</f>
        <v/>
      </c>
      <c r="E207" s="3">
        <f>IF('Data Source'!B207="","",IF('Data Source'!W207&gt;=5,"A+",IF('Data Source'!W207&gt;=4,"A",IF('Data Source'!W207&gt;=3.5,"A-",IF('Data Source'!W207&gt;=3,"B",IF('Data Source'!W207&gt;=2,"C",IF('Data Source'!W207&gt;=1,"D","F")))))))</f>
        <v/>
      </c>
      <c r="F207" s="3">
        <f>IF('Data Source'!B207="","",IF('Data Source'!X207&gt;=5,"A+",IF('Data Source'!X207&gt;=4,"A",IF('Data Source'!X207&gt;=3.5,"A-",IF('Data Source'!X207&gt;=3,"B",IF('Data Source'!X207&gt;=2,"C",IF('Data Source'!X207&gt;=1,"D","F")))))))</f>
        <v/>
      </c>
      <c r="G207" s="3">
        <f>IF('Data Source'!B207="","",IF('Data Source'!Y207&gt;=5,"A+",IF('Data Source'!Y207&gt;=4,"A",IF('Data Source'!Y207&gt;=3.5,"A-",IF('Data Source'!Y207&gt;=3,"B",IF('Data Source'!Y207&gt;=2,"C",IF('Data Source'!Y207&gt;=1,"D","F")))))))</f>
        <v/>
      </c>
      <c r="H207" s="3">
        <f>IF('Data Source'!B207="","",IF('Data Source'!Z207&gt;=5,"A+",IF('Data Source'!Z207&gt;=4,"A",IF('Data Source'!Z207&gt;=3.5,"A-",IF('Data Source'!Z207&gt;=3,"B",IF('Data Source'!Z207&gt;=2,"C",IF('Data Source'!Z207&gt;=1,"D","F")))))))</f>
        <v/>
      </c>
      <c r="I207" s="3">
        <f>IF('Data Source'!B207="","",IF('Data Source'!AA207&gt;=5,"A+",IF('Data Source'!AA207&gt;=4,"A",IF('Data Source'!AA207&gt;=3.5,"A-",IF('Data Source'!AA207&gt;=3,"B",IF('Data Source'!AA207&gt;=2,"C",IF('Data Source'!AA207&gt;=1,"D","F")))))))</f>
        <v/>
      </c>
      <c r="J207" s="3">
        <f>IF('Data Source'!B207="","",IF('Data Source'!AB207&gt;=5,"A+",IF('Data Source'!AB207&gt;=4,"A",IF('Data Source'!AB207&gt;=3.5,"A-",IF('Data Source'!AB207&gt;=3,"B",IF('Data Source'!AB207&gt;=2,"C",IF('Data Source'!AB207&gt;=1,"D","F")))))))</f>
        <v/>
      </c>
      <c r="K207" s="3">
        <f>IF('Data Source'!B207="","",IF('Data Source'!AC207&gt;=5,"A+",IF('Data Source'!AC207&gt;=4,"A",IF('Data Source'!AC207&gt;=3.5,"A-",IF('Data Source'!AC207&gt;=3,"B",IF('Data Source'!AC207&gt;=2,"C",IF('Data Source'!AC207&gt;=1,"D","F")))))))</f>
        <v/>
      </c>
      <c r="L207" s="3">
        <f>IF('Data Source'!B207="","",IF('Data Source'!AD207&gt;=5,"A+",IF('Data Source'!AD207&gt;=4,"A",IF('Data Source'!AD207&gt;=3.5,"A-",IF('Data Source'!AD207&gt;=3,"B",IF('Data Source'!AD207&gt;=2,"C",IF('Data Source'!AD207&gt;=1,"D","F")))))))</f>
        <v/>
      </c>
      <c r="M207" s="3">
        <f>IF('Data Source'!B207="","",IF('Data Source'!AE207&gt;=5,"A+",IF('Data Source'!AE207&gt;=4,"A",IF('Data Source'!AE207&gt;=3.5,"A-",IF('Data Source'!AE207&gt;=3,"B",IF('Data Source'!AE207&gt;=2,"C",IF('Data Source'!AE207&gt;=1,"D","F")))))))</f>
        <v/>
      </c>
      <c r="N207" s="3">
        <f>IF('Data Source'!B207="","",IF('Data Source'!AF207&gt;=5,"A+",IF('Data Source'!AF207&gt;=4,"A",IF('Data Source'!AF207&gt;=3.5,"A-",IF('Data Source'!AF207&gt;=3,"B",IF('Data Source'!AF207&gt;=2,"C",IF('Data Source'!AF207&gt;=1,"D","F")))))))</f>
        <v/>
      </c>
      <c r="O207" s="3">
        <f>IF('Data Source'!B207="","",IF('Data Source'!AG207&gt;=5,"A+",IF('Data Source'!AG207&gt;=4,"A",IF('Data Source'!AG207&gt;=3.5,"A-",IF('Data Source'!AG207&gt;=3,"B",IF('Data Source'!AG207&gt;=2,"C",IF('Data Source'!AG207&gt;=1,"D","F")))))))</f>
        <v/>
      </c>
      <c r="P207" s="5">
        <f>IF('Data Source'!B207="","",'Data Source'!R207)</f>
        <v/>
      </c>
      <c r="Q207" s="3">
        <f>IF('Data Source'!B207="","",'Data Source'!S207)</f>
        <v/>
      </c>
    </row>
    <row r="208">
      <c r="A208" s="3">
        <f>IF('Data Source'!B208="","",'Data Source'!A208)</f>
        <v/>
      </c>
      <c r="B208">
        <f>IF('Data Source'!B208="","",'Data Source'!B208)</f>
        <v/>
      </c>
      <c r="C208" s="3">
        <f>IF('Data Source'!B208="","",IF('Data Source'!U208&gt;=5,"A+",IF('Data Source'!U208&gt;=4,"A",IF('Data Source'!U208&gt;=3.5,"A-",IF('Data Source'!U208&gt;=3,"B",IF('Data Source'!U208&gt;=2,"C",IF('Data Source'!U208&gt;=1,"D","F")))))))</f>
        <v/>
      </c>
      <c r="D208" s="3">
        <f>IF('Data Source'!B208="","",IF('Data Source'!V208&gt;=5,"A+",IF('Data Source'!V208&gt;=4,"A",IF('Data Source'!V208&gt;=3.5,"A-",IF('Data Source'!V208&gt;=3,"B",IF('Data Source'!V208&gt;=2,"C",IF('Data Source'!V208&gt;=1,"D","F")))))))</f>
        <v/>
      </c>
      <c r="E208" s="3">
        <f>IF('Data Source'!B208="","",IF('Data Source'!W208&gt;=5,"A+",IF('Data Source'!W208&gt;=4,"A",IF('Data Source'!W208&gt;=3.5,"A-",IF('Data Source'!W208&gt;=3,"B",IF('Data Source'!W208&gt;=2,"C",IF('Data Source'!W208&gt;=1,"D","F")))))))</f>
        <v/>
      </c>
      <c r="F208" s="3">
        <f>IF('Data Source'!B208="","",IF('Data Source'!X208&gt;=5,"A+",IF('Data Source'!X208&gt;=4,"A",IF('Data Source'!X208&gt;=3.5,"A-",IF('Data Source'!X208&gt;=3,"B",IF('Data Source'!X208&gt;=2,"C",IF('Data Source'!X208&gt;=1,"D","F")))))))</f>
        <v/>
      </c>
      <c r="G208" s="3">
        <f>IF('Data Source'!B208="","",IF('Data Source'!Y208&gt;=5,"A+",IF('Data Source'!Y208&gt;=4,"A",IF('Data Source'!Y208&gt;=3.5,"A-",IF('Data Source'!Y208&gt;=3,"B",IF('Data Source'!Y208&gt;=2,"C",IF('Data Source'!Y208&gt;=1,"D","F")))))))</f>
        <v/>
      </c>
      <c r="H208" s="3">
        <f>IF('Data Source'!B208="","",IF('Data Source'!Z208&gt;=5,"A+",IF('Data Source'!Z208&gt;=4,"A",IF('Data Source'!Z208&gt;=3.5,"A-",IF('Data Source'!Z208&gt;=3,"B",IF('Data Source'!Z208&gt;=2,"C",IF('Data Source'!Z208&gt;=1,"D","F")))))))</f>
        <v/>
      </c>
      <c r="I208" s="3">
        <f>IF('Data Source'!B208="","",IF('Data Source'!AA208&gt;=5,"A+",IF('Data Source'!AA208&gt;=4,"A",IF('Data Source'!AA208&gt;=3.5,"A-",IF('Data Source'!AA208&gt;=3,"B",IF('Data Source'!AA208&gt;=2,"C",IF('Data Source'!AA208&gt;=1,"D","F")))))))</f>
        <v/>
      </c>
      <c r="J208" s="3">
        <f>IF('Data Source'!B208="","",IF('Data Source'!AB208&gt;=5,"A+",IF('Data Source'!AB208&gt;=4,"A",IF('Data Source'!AB208&gt;=3.5,"A-",IF('Data Source'!AB208&gt;=3,"B",IF('Data Source'!AB208&gt;=2,"C",IF('Data Source'!AB208&gt;=1,"D","F")))))))</f>
        <v/>
      </c>
      <c r="K208" s="3">
        <f>IF('Data Source'!B208="","",IF('Data Source'!AC208&gt;=5,"A+",IF('Data Source'!AC208&gt;=4,"A",IF('Data Source'!AC208&gt;=3.5,"A-",IF('Data Source'!AC208&gt;=3,"B",IF('Data Source'!AC208&gt;=2,"C",IF('Data Source'!AC208&gt;=1,"D","F")))))))</f>
        <v/>
      </c>
      <c r="L208" s="3">
        <f>IF('Data Source'!B208="","",IF('Data Source'!AD208&gt;=5,"A+",IF('Data Source'!AD208&gt;=4,"A",IF('Data Source'!AD208&gt;=3.5,"A-",IF('Data Source'!AD208&gt;=3,"B",IF('Data Source'!AD208&gt;=2,"C",IF('Data Source'!AD208&gt;=1,"D","F")))))))</f>
        <v/>
      </c>
      <c r="M208" s="3">
        <f>IF('Data Source'!B208="","",IF('Data Source'!AE208&gt;=5,"A+",IF('Data Source'!AE208&gt;=4,"A",IF('Data Source'!AE208&gt;=3.5,"A-",IF('Data Source'!AE208&gt;=3,"B",IF('Data Source'!AE208&gt;=2,"C",IF('Data Source'!AE208&gt;=1,"D","F")))))))</f>
        <v/>
      </c>
      <c r="N208" s="3">
        <f>IF('Data Source'!B208="","",IF('Data Source'!AF208&gt;=5,"A+",IF('Data Source'!AF208&gt;=4,"A",IF('Data Source'!AF208&gt;=3.5,"A-",IF('Data Source'!AF208&gt;=3,"B",IF('Data Source'!AF208&gt;=2,"C",IF('Data Source'!AF208&gt;=1,"D","F")))))))</f>
        <v/>
      </c>
      <c r="O208" s="3">
        <f>IF('Data Source'!B208="","",IF('Data Source'!AG208&gt;=5,"A+",IF('Data Source'!AG208&gt;=4,"A",IF('Data Source'!AG208&gt;=3.5,"A-",IF('Data Source'!AG208&gt;=3,"B",IF('Data Source'!AG208&gt;=2,"C",IF('Data Source'!AG208&gt;=1,"D","F")))))))</f>
        <v/>
      </c>
      <c r="P208" s="5">
        <f>IF('Data Source'!B208="","",'Data Source'!R208)</f>
        <v/>
      </c>
      <c r="Q208" s="3">
        <f>IF('Data Source'!B208="","",'Data Source'!S208)</f>
        <v/>
      </c>
    </row>
    <row r="209">
      <c r="A209" s="3">
        <f>IF('Data Source'!B209="","",'Data Source'!A209)</f>
        <v/>
      </c>
      <c r="B209">
        <f>IF('Data Source'!B209="","",'Data Source'!B209)</f>
        <v/>
      </c>
      <c r="C209" s="3">
        <f>IF('Data Source'!B209="","",IF('Data Source'!U209&gt;=5,"A+",IF('Data Source'!U209&gt;=4,"A",IF('Data Source'!U209&gt;=3.5,"A-",IF('Data Source'!U209&gt;=3,"B",IF('Data Source'!U209&gt;=2,"C",IF('Data Source'!U209&gt;=1,"D","F")))))))</f>
        <v/>
      </c>
      <c r="D209" s="3">
        <f>IF('Data Source'!B209="","",IF('Data Source'!V209&gt;=5,"A+",IF('Data Source'!V209&gt;=4,"A",IF('Data Source'!V209&gt;=3.5,"A-",IF('Data Source'!V209&gt;=3,"B",IF('Data Source'!V209&gt;=2,"C",IF('Data Source'!V209&gt;=1,"D","F")))))))</f>
        <v/>
      </c>
      <c r="E209" s="3">
        <f>IF('Data Source'!B209="","",IF('Data Source'!W209&gt;=5,"A+",IF('Data Source'!W209&gt;=4,"A",IF('Data Source'!W209&gt;=3.5,"A-",IF('Data Source'!W209&gt;=3,"B",IF('Data Source'!W209&gt;=2,"C",IF('Data Source'!W209&gt;=1,"D","F")))))))</f>
        <v/>
      </c>
      <c r="F209" s="3">
        <f>IF('Data Source'!B209="","",IF('Data Source'!X209&gt;=5,"A+",IF('Data Source'!X209&gt;=4,"A",IF('Data Source'!X209&gt;=3.5,"A-",IF('Data Source'!X209&gt;=3,"B",IF('Data Source'!X209&gt;=2,"C",IF('Data Source'!X209&gt;=1,"D","F")))))))</f>
        <v/>
      </c>
      <c r="G209" s="3">
        <f>IF('Data Source'!B209="","",IF('Data Source'!Y209&gt;=5,"A+",IF('Data Source'!Y209&gt;=4,"A",IF('Data Source'!Y209&gt;=3.5,"A-",IF('Data Source'!Y209&gt;=3,"B",IF('Data Source'!Y209&gt;=2,"C",IF('Data Source'!Y209&gt;=1,"D","F")))))))</f>
        <v/>
      </c>
      <c r="H209" s="3">
        <f>IF('Data Source'!B209="","",IF('Data Source'!Z209&gt;=5,"A+",IF('Data Source'!Z209&gt;=4,"A",IF('Data Source'!Z209&gt;=3.5,"A-",IF('Data Source'!Z209&gt;=3,"B",IF('Data Source'!Z209&gt;=2,"C",IF('Data Source'!Z209&gt;=1,"D","F")))))))</f>
        <v/>
      </c>
      <c r="I209" s="3">
        <f>IF('Data Source'!B209="","",IF('Data Source'!AA209&gt;=5,"A+",IF('Data Source'!AA209&gt;=4,"A",IF('Data Source'!AA209&gt;=3.5,"A-",IF('Data Source'!AA209&gt;=3,"B",IF('Data Source'!AA209&gt;=2,"C",IF('Data Source'!AA209&gt;=1,"D","F")))))))</f>
        <v/>
      </c>
      <c r="J209" s="3">
        <f>IF('Data Source'!B209="","",IF('Data Source'!AB209&gt;=5,"A+",IF('Data Source'!AB209&gt;=4,"A",IF('Data Source'!AB209&gt;=3.5,"A-",IF('Data Source'!AB209&gt;=3,"B",IF('Data Source'!AB209&gt;=2,"C",IF('Data Source'!AB209&gt;=1,"D","F")))))))</f>
        <v/>
      </c>
      <c r="K209" s="3">
        <f>IF('Data Source'!B209="","",IF('Data Source'!AC209&gt;=5,"A+",IF('Data Source'!AC209&gt;=4,"A",IF('Data Source'!AC209&gt;=3.5,"A-",IF('Data Source'!AC209&gt;=3,"B",IF('Data Source'!AC209&gt;=2,"C",IF('Data Source'!AC209&gt;=1,"D","F")))))))</f>
        <v/>
      </c>
      <c r="L209" s="3">
        <f>IF('Data Source'!B209="","",IF('Data Source'!AD209&gt;=5,"A+",IF('Data Source'!AD209&gt;=4,"A",IF('Data Source'!AD209&gt;=3.5,"A-",IF('Data Source'!AD209&gt;=3,"B",IF('Data Source'!AD209&gt;=2,"C",IF('Data Source'!AD209&gt;=1,"D","F")))))))</f>
        <v/>
      </c>
      <c r="M209" s="3">
        <f>IF('Data Source'!B209="","",IF('Data Source'!AE209&gt;=5,"A+",IF('Data Source'!AE209&gt;=4,"A",IF('Data Source'!AE209&gt;=3.5,"A-",IF('Data Source'!AE209&gt;=3,"B",IF('Data Source'!AE209&gt;=2,"C",IF('Data Source'!AE209&gt;=1,"D","F")))))))</f>
        <v/>
      </c>
      <c r="N209" s="3">
        <f>IF('Data Source'!B209="","",IF('Data Source'!AF209&gt;=5,"A+",IF('Data Source'!AF209&gt;=4,"A",IF('Data Source'!AF209&gt;=3.5,"A-",IF('Data Source'!AF209&gt;=3,"B",IF('Data Source'!AF209&gt;=2,"C",IF('Data Source'!AF209&gt;=1,"D","F")))))))</f>
        <v/>
      </c>
      <c r="O209" s="3">
        <f>IF('Data Source'!B209="","",IF('Data Source'!AG209&gt;=5,"A+",IF('Data Source'!AG209&gt;=4,"A",IF('Data Source'!AG209&gt;=3.5,"A-",IF('Data Source'!AG209&gt;=3,"B",IF('Data Source'!AG209&gt;=2,"C",IF('Data Source'!AG209&gt;=1,"D","F")))))))</f>
        <v/>
      </c>
      <c r="P209" s="5">
        <f>IF('Data Source'!B209="","",'Data Source'!R209)</f>
        <v/>
      </c>
      <c r="Q209" s="3">
        <f>IF('Data Source'!B209="","",'Data Source'!S209)</f>
        <v/>
      </c>
    </row>
    <row r="210">
      <c r="A210" s="3">
        <f>IF('Data Source'!B210="","",'Data Source'!A210)</f>
        <v/>
      </c>
      <c r="B210">
        <f>IF('Data Source'!B210="","",'Data Source'!B210)</f>
        <v/>
      </c>
      <c r="C210" s="3">
        <f>IF('Data Source'!B210="","",IF('Data Source'!U210&gt;=5,"A+",IF('Data Source'!U210&gt;=4,"A",IF('Data Source'!U210&gt;=3.5,"A-",IF('Data Source'!U210&gt;=3,"B",IF('Data Source'!U210&gt;=2,"C",IF('Data Source'!U210&gt;=1,"D","F")))))))</f>
        <v/>
      </c>
      <c r="D210" s="3">
        <f>IF('Data Source'!B210="","",IF('Data Source'!V210&gt;=5,"A+",IF('Data Source'!V210&gt;=4,"A",IF('Data Source'!V210&gt;=3.5,"A-",IF('Data Source'!V210&gt;=3,"B",IF('Data Source'!V210&gt;=2,"C",IF('Data Source'!V210&gt;=1,"D","F")))))))</f>
        <v/>
      </c>
      <c r="E210" s="3">
        <f>IF('Data Source'!B210="","",IF('Data Source'!W210&gt;=5,"A+",IF('Data Source'!W210&gt;=4,"A",IF('Data Source'!W210&gt;=3.5,"A-",IF('Data Source'!W210&gt;=3,"B",IF('Data Source'!W210&gt;=2,"C",IF('Data Source'!W210&gt;=1,"D","F")))))))</f>
        <v/>
      </c>
      <c r="F210" s="3">
        <f>IF('Data Source'!B210="","",IF('Data Source'!X210&gt;=5,"A+",IF('Data Source'!X210&gt;=4,"A",IF('Data Source'!X210&gt;=3.5,"A-",IF('Data Source'!X210&gt;=3,"B",IF('Data Source'!X210&gt;=2,"C",IF('Data Source'!X210&gt;=1,"D","F")))))))</f>
        <v/>
      </c>
      <c r="G210" s="3">
        <f>IF('Data Source'!B210="","",IF('Data Source'!Y210&gt;=5,"A+",IF('Data Source'!Y210&gt;=4,"A",IF('Data Source'!Y210&gt;=3.5,"A-",IF('Data Source'!Y210&gt;=3,"B",IF('Data Source'!Y210&gt;=2,"C",IF('Data Source'!Y210&gt;=1,"D","F")))))))</f>
        <v/>
      </c>
      <c r="H210" s="3">
        <f>IF('Data Source'!B210="","",IF('Data Source'!Z210&gt;=5,"A+",IF('Data Source'!Z210&gt;=4,"A",IF('Data Source'!Z210&gt;=3.5,"A-",IF('Data Source'!Z210&gt;=3,"B",IF('Data Source'!Z210&gt;=2,"C",IF('Data Source'!Z210&gt;=1,"D","F")))))))</f>
        <v/>
      </c>
      <c r="I210" s="3">
        <f>IF('Data Source'!B210="","",IF('Data Source'!AA210&gt;=5,"A+",IF('Data Source'!AA210&gt;=4,"A",IF('Data Source'!AA210&gt;=3.5,"A-",IF('Data Source'!AA210&gt;=3,"B",IF('Data Source'!AA210&gt;=2,"C",IF('Data Source'!AA210&gt;=1,"D","F")))))))</f>
        <v/>
      </c>
      <c r="J210" s="3">
        <f>IF('Data Source'!B210="","",IF('Data Source'!AB210&gt;=5,"A+",IF('Data Source'!AB210&gt;=4,"A",IF('Data Source'!AB210&gt;=3.5,"A-",IF('Data Source'!AB210&gt;=3,"B",IF('Data Source'!AB210&gt;=2,"C",IF('Data Source'!AB210&gt;=1,"D","F")))))))</f>
        <v/>
      </c>
      <c r="K210" s="3">
        <f>IF('Data Source'!B210="","",IF('Data Source'!AC210&gt;=5,"A+",IF('Data Source'!AC210&gt;=4,"A",IF('Data Source'!AC210&gt;=3.5,"A-",IF('Data Source'!AC210&gt;=3,"B",IF('Data Source'!AC210&gt;=2,"C",IF('Data Source'!AC210&gt;=1,"D","F")))))))</f>
        <v/>
      </c>
      <c r="L210" s="3">
        <f>IF('Data Source'!B210="","",IF('Data Source'!AD210&gt;=5,"A+",IF('Data Source'!AD210&gt;=4,"A",IF('Data Source'!AD210&gt;=3.5,"A-",IF('Data Source'!AD210&gt;=3,"B",IF('Data Source'!AD210&gt;=2,"C",IF('Data Source'!AD210&gt;=1,"D","F")))))))</f>
        <v/>
      </c>
      <c r="M210" s="3">
        <f>IF('Data Source'!B210="","",IF('Data Source'!AE210&gt;=5,"A+",IF('Data Source'!AE210&gt;=4,"A",IF('Data Source'!AE210&gt;=3.5,"A-",IF('Data Source'!AE210&gt;=3,"B",IF('Data Source'!AE210&gt;=2,"C",IF('Data Source'!AE210&gt;=1,"D","F")))))))</f>
        <v/>
      </c>
      <c r="N210" s="3">
        <f>IF('Data Source'!B210="","",IF('Data Source'!AF210&gt;=5,"A+",IF('Data Source'!AF210&gt;=4,"A",IF('Data Source'!AF210&gt;=3.5,"A-",IF('Data Source'!AF210&gt;=3,"B",IF('Data Source'!AF210&gt;=2,"C",IF('Data Source'!AF210&gt;=1,"D","F")))))))</f>
        <v/>
      </c>
      <c r="O210" s="3">
        <f>IF('Data Source'!B210="","",IF('Data Source'!AG210&gt;=5,"A+",IF('Data Source'!AG210&gt;=4,"A",IF('Data Source'!AG210&gt;=3.5,"A-",IF('Data Source'!AG210&gt;=3,"B",IF('Data Source'!AG210&gt;=2,"C",IF('Data Source'!AG210&gt;=1,"D","F")))))))</f>
        <v/>
      </c>
      <c r="P210" s="5">
        <f>IF('Data Source'!B210="","",'Data Source'!R210)</f>
        <v/>
      </c>
      <c r="Q210" s="3">
        <f>IF('Data Source'!B210="","",'Data Source'!S210)</f>
        <v/>
      </c>
    </row>
    <row r="211">
      <c r="A211" s="3">
        <f>IF('Data Source'!B211="","",'Data Source'!A211)</f>
        <v/>
      </c>
      <c r="B211">
        <f>IF('Data Source'!B211="","",'Data Source'!B211)</f>
        <v/>
      </c>
      <c r="C211" s="3">
        <f>IF('Data Source'!B211="","",IF('Data Source'!U211&gt;=5,"A+",IF('Data Source'!U211&gt;=4,"A",IF('Data Source'!U211&gt;=3.5,"A-",IF('Data Source'!U211&gt;=3,"B",IF('Data Source'!U211&gt;=2,"C",IF('Data Source'!U211&gt;=1,"D","F")))))))</f>
        <v/>
      </c>
      <c r="D211" s="3">
        <f>IF('Data Source'!B211="","",IF('Data Source'!V211&gt;=5,"A+",IF('Data Source'!V211&gt;=4,"A",IF('Data Source'!V211&gt;=3.5,"A-",IF('Data Source'!V211&gt;=3,"B",IF('Data Source'!V211&gt;=2,"C",IF('Data Source'!V211&gt;=1,"D","F")))))))</f>
        <v/>
      </c>
      <c r="E211" s="3">
        <f>IF('Data Source'!B211="","",IF('Data Source'!W211&gt;=5,"A+",IF('Data Source'!W211&gt;=4,"A",IF('Data Source'!W211&gt;=3.5,"A-",IF('Data Source'!W211&gt;=3,"B",IF('Data Source'!W211&gt;=2,"C",IF('Data Source'!W211&gt;=1,"D","F")))))))</f>
        <v/>
      </c>
      <c r="F211" s="3">
        <f>IF('Data Source'!B211="","",IF('Data Source'!X211&gt;=5,"A+",IF('Data Source'!X211&gt;=4,"A",IF('Data Source'!X211&gt;=3.5,"A-",IF('Data Source'!X211&gt;=3,"B",IF('Data Source'!X211&gt;=2,"C",IF('Data Source'!X211&gt;=1,"D","F")))))))</f>
        <v/>
      </c>
      <c r="G211" s="3">
        <f>IF('Data Source'!B211="","",IF('Data Source'!Y211&gt;=5,"A+",IF('Data Source'!Y211&gt;=4,"A",IF('Data Source'!Y211&gt;=3.5,"A-",IF('Data Source'!Y211&gt;=3,"B",IF('Data Source'!Y211&gt;=2,"C",IF('Data Source'!Y211&gt;=1,"D","F")))))))</f>
        <v/>
      </c>
      <c r="H211" s="3">
        <f>IF('Data Source'!B211="","",IF('Data Source'!Z211&gt;=5,"A+",IF('Data Source'!Z211&gt;=4,"A",IF('Data Source'!Z211&gt;=3.5,"A-",IF('Data Source'!Z211&gt;=3,"B",IF('Data Source'!Z211&gt;=2,"C",IF('Data Source'!Z211&gt;=1,"D","F")))))))</f>
        <v/>
      </c>
      <c r="I211" s="3">
        <f>IF('Data Source'!B211="","",IF('Data Source'!AA211&gt;=5,"A+",IF('Data Source'!AA211&gt;=4,"A",IF('Data Source'!AA211&gt;=3.5,"A-",IF('Data Source'!AA211&gt;=3,"B",IF('Data Source'!AA211&gt;=2,"C",IF('Data Source'!AA211&gt;=1,"D","F")))))))</f>
        <v/>
      </c>
      <c r="J211" s="3">
        <f>IF('Data Source'!B211="","",IF('Data Source'!AB211&gt;=5,"A+",IF('Data Source'!AB211&gt;=4,"A",IF('Data Source'!AB211&gt;=3.5,"A-",IF('Data Source'!AB211&gt;=3,"B",IF('Data Source'!AB211&gt;=2,"C",IF('Data Source'!AB211&gt;=1,"D","F")))))))</f>
        <v/>
      </c>
      <c r="K211" s="3">
        <f>IF('Data Source'!B211="","",IF('Data Source'!AC211&gt;=5,"A+",IF('Data Source'!AC211&gt;=4,"A",IF('Data Source'!AC211&gt;=3.5,"A-",IF('Data Source'!AC211&gt;=3,"B",IF('Data Source'!AC211&gt;=2,"C",IF('Data Source'!AC211&gt;=1,"D","F")))))))</f>
        <v/>
      </c>
      <c r="L211" s="3">
        <f>IF('Data Source'!B211="","",IF('Data Source'!AD211&gt;=5,"A+",IF('Data Source'!AD211&gt;=4,"A",IF('Data Source'!AD211&gt;=3.5,"A-",IF('Data Source'!AD211&gt;=3,"B",IF('Data Source'!AD211&gt;=2,"C",IF('Data Source'!AD211&gt;=1,"D","F")))))))</f>
        <v/>
      </c>
      <c r="M211" s="3">
        <f>IF('Data Source'!B211="","",IF('Data Source'!AE211&gt;=5,"A+",IF('Data Source'!AE211&gt;=4,"A",IF('Data Source'!AE211&gt;=3.5,"A-",IF('Data Source'!AE211&gt;=3,"B",IF('Data Source'!AE211&gt;=2,"C",IF('Data Source'!AE211&gt;=1,"D","F")))))))</f>
        <v/>
      </c>
      <c r="N211" s="3">
        <f>IF('Data Source'!B211="","",IF('Data Source'!AF211&gt;=5,"A+",IF('Data Source'!AF211&gt;=4,"A",IF('Data Source'!AF211&gt;=3.5,"A-",IF('Data Source'!AF211&gt;=3,"B",IF('Data Source'!AF211&gt;=2,"C",IF('Data Source'!AF211&gt;=1,"D","F")))))))</f>
        <v/>
      </c>
      <c r="O211" s="3">
        <f>IF('Data Source'!B211="","",IF('Data Source'!AG211&gt;=5,"A+",IF('Data Source'!AG211&gt;=4,"A",IF('Data Source'!AG211&gt;=3.5,"A-",IF('Data Source'!AG211&gt;=3,"B",IF('Data Source'!AG211&gt;=2,"C",IF('Data Source'!AG211&gt;=1,"D","F")))))))</f>
        <v/>
      </c>
      <c r="P211" s="5">
        <f>IF('Data Source'!B211="","",'Data Source'!R211)</f>
        <v/>
      </c>
      <c r="Q211" s="3">
        <f>IF('Data Source'!B211="","",'Data Source'!S211)</f>
        <v/>
      </c>
    </row>
    <row r="212">
      <c r="A212" s="3">
        <f>IF('Data Source'!B212="","",'Data Source'!A212)</f>
        <v/>
      </c>
      <c r="B212">
        <f>IF('Data Source'!B212="","",'Data Source'!B212)</f>
        <v/>
      </c>
      <c r="C212" s="3">
        <f>IF('Data Source'!B212="","",IF('Data Source'!U212&gt;=5,"A+",IF('Data Source'!U212&gt;=4,"A",IF('Data Source'!U212&gt;=3.5,"A-",IF('Data Source'!U212&gt;=3,"B",IF('Data Source'!U212&gt;=2,"C",IF('Data Source'!U212&gt;=1,"D","F")))))))</f>
        <v/>
      </c>
      <c r="D212" s="3">
        <f>IF('Data Source'!B212="","",IF('Data Source'!V212&gt;=5,"A+",IF('Data Source'!V212&gt;=4,"A",IF('Data Source'!V212&gt;=3.5,"A-",IF('Data Source'!V212&gt;=3,"B",IF('Data Source'!V212&gt;=2,"C",IF('Data Source'!V212&gt;=1,"D","F")))))))</f>
        <v/>
      </c>
      <c r="E212" s="3">
        <f>IF('Data Source'!B212="","",IF('Data Source'!W212&gt;=5,"A+",IF('Data Source'!W212&gt;=4,"A",IF('Data Source'!W212&gt;=3.5,"A-",IF('Data Source'!W212&gt;=3,"B",IF('Data Source'!W212&gt;=2,"C",IF('Data Source'!W212&gt;=1,"D","F")))))))</f>
        <v/>
      </c>
      <c r="F212" s="3">
        <f>IF('Data Source'!B212="","",IF('Data Source'!X212&gt;=5,"A+",IF('Data Source'!X212&gt;=4,"A",IF('Data Source'!X212&gt;=3.5,"A-",IF('Data Source'!X212&gt;=3,"B",IF('Data Source'!X212&gt;=2,"C",IF('Data Source'!X212&gt;=1,"D","F")))))))</f>
        <v/>
      </c>
      <c r="G212" s="3">
        <f>IF('Data Source'!B212="","",IF('Data Source'!Y212&gt;=5,"A+",IF('Data Source'!Y212&gt;=4,"A",IF('Data Source'!Y212&gt;=3.5,"A-",IF('Data Source'!Y212&gt;=3,"B",IF('Data Source'!Y212&gt;=2,"C",IF('Data Source'!Y212&gt;=1,"D","F")))))))</f>
        <v/>
      </c>
      <c r="H212" s="3">
        <f>IF('Data Source'!B212="","",IF('Data Source'!Z212&gt;=5,"A+",IF('Data Source'!Z212&gt;=4,"A",IF('Data Source'!Z212&gt;=3.5,"A-",IF('Data Source'!Z212&gt;=3,"B",IF('Data Source'!Z212&gt;=2,"C",IF('Data Source'!Z212&gt;=1,"D","F")))))))</f>
        <v/>
      </c>
      <c r="I212" s="3">
        <f>IF('Data Source'!B212="","",IF('Data Source'!AA212&gt;=5,"A+",IF('Data Source'!AA212&gt;=4,"A",IF('Data Source'!AA212&gt;=3.5,"A-",IF('Data Source'!AA212&gt;=3,"B",IF('Data Source'!AA212&gt;=2,"C",IF('Data Source'!AA212&gt;=1,"D","F")))))))</f>
        <v/>
      </c>
      <c r="J212" s="3">
        <f>IF('Data Source'!B212="","",IF('Data Source'!AB212&gt;=5,"A+",IF('Data Source'!AB212&gt;=4,"A",IF('Data Source'!AB212&gt;=3.5,"A-",IF('Data Source'!AB212&gt;=3,"B",IF('Data Source'!AB212&gt;=2,"C",IF('Data Source'!AB212&gt;=1,"D","F")))))))</f>
        <v/>
      </c>
      <c r="K212" s="3">
        <f>IF('Data Source'!B212="","",IF('Data Source'!AC212&gt;=5,"A+",IF('Data Source'!AC212&gt;=4,"A",IF('Data Source'!AC212&gt;=3.5,"A-",IF('Data Source'!AC212&gt;=3,"B",IF('Data Source'!AC212&gt;=2,"C",IF('Data Source'!AC212&gt;=1,"D","F")))))))</f>
        <v/>
      </c>
      <c r="L212" s="3">
        <f>IF('Data Source'!B212="","",IF('Data Source'!AD212&gt;=5,"A+",IF('Data Source'!AD212&gt;=4,"A",IF('Data Source'!AD212&gt;=3.5,"A-",IF('Data Source'!AD212&gt;=3,"B",IF('Data Source'!AD212&gt;=2,"C",IF('Data Source'!AD212&gt;=1,"D","F")))))))</f>
        <v/>
      </c>
      <c r="M212" s="3">
        <f>IF('Data Source'!B212="","",IF('Data Source'!AE212&gt;=5,"A+",IF('Data Source'!AE212&gt;=4,"A",IF('Data Source'!AE212&gt;=3.5,"A-",IF('Data Source'!AE212&gt;=3,"B",IF('Data Source'!AE212&gt;=2,"C",IF('Data Source'!AE212&gt;=1,"D","F")))))))</f>
        <v/>
      </c>
      <c r="N212" s="3">
        <f>IF('Data Source'!B212="","",IF('Data Source'!AF212&gt;=5,"A+",IF('Data Source'!AF212&gt;=4,"A",IF('Data Source'!AF212&gt;=3.5,"A-",IF('Data Source'!AF212&gt;=3,"B",IF('Data Source'!AF212&gt;=2,"C",IF('Data Source'!AF212&gt;=1,"D","F")))))))</f>
        <v/>
      </c>
      <c r="O212" s="3">
        <f>IF('Data Source'!B212="","",IF('Data Source'!AG212&gt;=5,"A+",IF('Data Source'!AG212&gt;=4,"A",IF('Data Source'!AG212&gt;=3.5,"A-",IF('Data Source'!AG212&gt;=3,"B",IF('Data Source'!AG212&gt;=2,"C",IF('Data Source'!AG212&gt;=1,"D","F")))))))</f>
        <v/>
      </c>
      <c r="P212" s="5">
        <f>IF('Data Source'!B212="","",'Data Source'!R212)</f>
        <v/>
      </c>
      <c r="Q212" s="3">
        <f>IF('Data Source'!B212="","",'Data Source'!S212)</f>
        <v/>
      </c>
    </row>
    <row r="213">
      <c r="A213" s="3">
        <f>IF('Data Source'!B213="","",'Data Source'!A213)</f>
        <v/>
      </c>
      <c r="B213">
        <f>IF('Data Source'!B213="","",'Data Source'!B213)</f>
        <v/>
      </c>
      <c r="C213" s="3">
        <f>IF('Data Source'!B213="","",IF('Data Source'!U213&gt;=5,"A+",IF('Data Source'!U213&gt;=4,"A",IF('Data Source'!U213&gt;=3.5,"A-",IF('Data Source'!U213&gt;=3,"B",IF('Data Source'!U213&gt;=2,"C",IF('Data Source'!U213&gt;=1,"D","F")))))))</f>
        <v/>
      </c>
      <c r="D213" s="3">
        <f>IF('Data Source'!B213="","",IF('Data Source'!V213&gt;=5,"A+",IF('Data Source'!V213&gt;=4,"A",IF('Data Source'!V213&gt;=3.5,"A-",IF('Data Source'!V213&gt;=3,"B",IF('Data Source'!V213&gt;=2,"C",IF('Data Source'!V213&gt;=1,"D","F")))))))</f>
        <v/>
      </c>
      <c r="E213" s="3">
        <f>IF('Data Source'!B213="","",IF('Data Source'!W213&gt;=5,"A+",IF('Data Source'!W213&gt;=4,"A",IF('Data Source'!W213&gt;=3.5,"A-",IF('Data Source'!W213&gt;=3,"B",IF('Data Source'!W213&gt;=2,"C",IF('Data Source'!W213&gt;=1,"D","F")))))))</f>
        <v/>
      </c>
      <c r="F213" s="3">
        <f>IF('Data Source'!B213="","",IF('Data Source'!X213&gt;=5,"A+",IF('Data Source'!X213&gt;=4,"A",IF('Data Source'!X213&gt;=3.5,"A-",IF('Data Source'!X213&gt;=3,"B",IF('Data Source'!X213&gt;=2,"C",IF('Data Source'!X213&gt;=1,"D","F")))))))</f>
        <v/>
      </c>
      <c r="G213" s="3">
        <f>IF('Data Source'!B213="","",IF('Data Source'!Y213&gt;=5,"A+",IF('Data Source'!Y213&gt;=4,"A",IF('Data Source'!Y213&gt;=3.5,"A-",IF('Data Source'!Y213&gt;=3,"B",IF('Data Source'!Y213&gt;=2,"C",IF('Data Source'!Y213&gt;=1,"D","F")))))))</f>
        <v/>
      </c>
      <c r="H213" s="3">
        <f>IF('Data Source'!B213="","",IF('Data Source'!Z213&gt;=5,"A+",IF('Data Source'!Z213&gt;=4,"A",IF('Data Source'!Z213&gt;=3.5,"A-",IF('Data Source'!Z213&gt;=3,"B",IF('Data Source'!Z213&gt;=2,"C",IF('Data Source'!Z213&gt;=1,"D","F")))))))</f>
        <v/>
      </c>
      <c r="I213" s="3">
        <f>IF('Data Source'!B213="","",IF('Data Source'!AA213&gt;=5,"A+",IF('Data Source'!AA213&gt;=4,"A",IF('Data Source'!AA213&gt;=3.5,"A-",IF('Data Source'!AA213&gt;=3,"B",IF('Data Source'!AA213&gt;=2,"C",IF('Data Source'!AA213&gt;=1,"D","F")))))))</f>
        <v/>
      </c>
      <c r="J213" s="3">
        <f>IF('Data Source'!B213="","",IF('Data Source'!AB213&gt;=5,"A+",IF('Data Source'!AB213&gt;=4,"A",IF('Data Source'!AB213&gt;=3.5,"A-",IF('Data Source'!AB213&gt;=3,"B",IF('Data Source'!AB213&gt;=2,"C",IF('Data Source'!AB213&gt;=1,"D","F")))))))</f>
        <v/>
      </c>
      <c r="K213" s="3">
        <f>IF('Data Source'!B213="","",IF('Data Source'!AC213&gt;=5,"A+",IF('Data Source'!AC213&gt;=4,"A",IF('Data Source'!AC213&gt;=3.5,"A-",IF('Data Source'!AC213&gt;=3,"B",IF('Data Source'!AC213&gt;=2,"C",IF('Data Source'!AC213&gt;=1,"D","F")))))))</f>
        <v/>
      </c>
      <c r="L213" s="3">
        <f>IF('Data Source'!B213="","",IF('Data Source'!AD213&gt;=5,"A+",IF('Data Source'!AD213&gt;=4,"A",IF('Data Source'!AD213&gt;=3.5,"A-",IF('Data Source'!AD213&gt;=3,"B",IF('Data Source'!AD213&gt;=2,"C",IF('Data Source'!AD213&gt;=1,"D","F")))))))</f>
        <v/>
      </c>
      <c r="M213" s="3">
        <f>IF('Data Source'!B213="","",IF('Data Source'!AE213&gt;=5,"A+",IF('Data Source'!AE213&gt;=4,"A",IF('Data Source'!AE213&gt;=3.5,"A-",IF('Data Source'!AE213&gt;=3,"B",IF('Data Source'!AE213&gt;=2,"C",IF('Data Source'!AE213&gt;=1,"D","F")))))))</f>
        <v/>
      </c>
      <c r="N213" s="3">
        <f>IF('Data Source'!B213="","",IF('Data Source'!AF213&gt;=5,"A+",IF('Data Source'!AF213&gt;=4,"A",IF('Data Source'!AF213&gt;=3.5,"A-",IF('Data Source'!AF213&gt;=3,"B",IF('Data Source'!AF213&gt;=2,"C",IF('Data Source'!AF213&gt;=1,"D","F")))))))</f>
        <v/>
      </c>
      <c r="O213" s="3">
        <f>IF('Data Source'!B213="","",IF('Data Source'!AG213&gt;=5,"A+",IF('Data Source'!AG213&gt;=4,"A",IF('Data Source'!AG213&gt;=3.5,"A-",IF('Data Source'!AG213&gt;=3,"B",IF('Data Source'!AG213&gt;=2,"C",IF('Data Source'!AG213&gt;=1,"D","F")))))))</f>
        <v/>
      </c>
      <c r="P213" s="5">
        <f>IF('Data Source'!B213="","",'Data Source'!R213)</f>
        <v/>
      </c>
      <c r="Q213" s="3">
        <f>IF('Data Source'!B213="","",'Data Source'!S213)</f>
        <v/>
      </c>
    </row>
    <row r="214">
      <c r="A214" s="3">
        <f>IF('Data Source'!B214="","",'Data Source'!A214)</f>
        <v/>
      </c>
      <c r="B214">
        <f>IF('Data Source'!B214="","",'Data Source'!B214)</f>
        <v/>
      </c>
      <c r="C214" s="3">
        <f>IF('Data Source'!B214="","",IF('Data Source'!U214&gt;=5,"A+",IF('Data Source'!U214&gt;=4,"A",IF('Data Source'!U214&gt;=3.5,"A-",IF('Data Source'!U214&gt;=3,"B",IF('Data Source'!U214&gt;=2,"C",IF('Data Source'!U214&gt;=1,"D","F")))))))</f>
        <v/>
      </c>
      <c r="D214" s="3">
        <f>IF('Data Source'!B214="","",IF('Data Source'!V214&gt;=5,"A+",IF('Data Source'!V214&gt;=4,"A",IF('Data Source'!V214&gt;=3.5,"A-",IF('Data Source'!V214&gt;=3,"B",IF('Data Source'!V214&gt;=2,"C",IF('Data Source'!V214&gt;=1,"D","F")))))))</f>
        <v/>
      </c>
      <c r="E214" s="3">
        <f>IF('Data Source'!B214="","",IF('Data Source'!W214&gt;=5,"A+",IF('Data Source'!W214&gt;=4,"A",IF('Data Source'!W214&gt;=3.5,"A-",IF('Data Source'!W214&gt;=3,"B",IF('Data Source'!W214&gt;=2,"C",IF('Data Source'!W214&gt;=1,"D","F")))))))</f>
        <v/>
      </c>
      <c r="F214" s="3">
        <f>IF('Data Source'!B214="","",IF('Data Source'!X214&gt;=5,"A+",IF('Data Source'!X214&gt;=4,"A",IF('Data Source'!X214&gt;=3.5,"A-",IF('Data Source'!X214&gt;=3,"B",IF('Data Source'!X214&gt;=2,"C",IF('Data Source'!X214&gt;=1,"D","F")))))))</f>
        <v/>
      </c>
      <c r="G214" s="3">
        <f>IF('Data Source'!B214="","",IF('Data Source'!Y214&gt;=5,"A+",IF('Data Source'!Y214&gt;=4,"A",IF('Data Source'!Y214&gt;=3.5,"A-",IF('Data Source'!Y214&gt;=3,"B",IF('Data Source'!Y214&gt;=2,"C",IF('Data Source'!Y214&gt;=1,"D","F")))))))</f>
        <v/>
      </c>
      <c r="H214" s="3">
        <f>IF('Data Source'!B214="","",IF('Data Source'!Z214&gt;=5,"A+",IF('Data Source'!Z214&gt;=4,"A",IF('Data Source'!Z214&gt;=3.5,"A-",IF('Data Source'!Z214&gt;=3,"B",IF('Data Source'!Z214&gt;=2,"C",IF('Data Source'!Z214&gt;=1,"D","F")))))))</f>
        <v/>
      </c>
      <c r="I214" s="3">
        <f>IF('Data Source'!B214="","",IF('Data Source'!AA214&gt;=5,"A+",IF('Data Source'!AA214&gt;=4,"A",IF('Data Source'!AA214&gt;=3.5,"A-",IF('Data Source'!AA214&gt;=3,"B",IF('Data Source'!AA214&gt;=2,"C",IF('Data Source'!AA214&gt;=1,"D","F")))))))</f>
        <v/>
      </c>
      <c r="J214" s="3">
        <f>IF('Data Source'!B214="","",IF('Data Source'!AB214&gt;=5,"A+",IF('Data Source'!AB214&gt;=4,"A",IF('Data Source'!AB214&gt;=3.5,"A-",IF('Data Source'!AB214&gt;=3,"B",IF('Data Source'!AB214&gt;=2,"C",IF('Data Source'!AB214&gt;=1,"D","F")))))))</f>
        <v/>
      </c>
      <c r="K214" s="3">
        <f>IF('Data Source'!B214="","",IF('Data Source'!AC214&gt;=5,"A+",IF('Data Source'!AC214&gt;=4,"A",IF('Data Source'!AC214&gt;=3.5,"A-",IF('Data Source'!AC214&gt;=3,"B",IF('Data Source'!AC214&gt;=2,"C",IF('Data Source'!AC214&gt;=1,"D","F")))))))</f>
        <v/>
      </c>
      <c r="L214" s="3">
        <f>IF('Data Source'!B214="","",IF('Data Source'!AD214&gt;=5,"A+",IF('Data Source'!AD214&gt;=4,"A",IF('Data Source'!AD214&gt;=3.5,"A-",IF('Data Source'!AD214&gt;=3,"B",IF('Data Source'!AD214&gt;=2,"C",IF('Data Source'!AD214&gt;=1,"D","F")))))))</f>
        <v/>
      </c>
      <c r="M214" s="3">
        <f>IF('Data Source'!B214="","",IF('Data Source'!AE214&gt;=5,"A+",IF('Data Source'!AE214&gt;=4,"A",IF('Data Source'!AE214&gt;=3.5,"A-",IF('Data Source'!AE214&gt;=3,"B",IF('Data Source'!AE214&gt;=2,"C",IF('Data Source'!AE214&gt;=1,"D","F")))))))</f>
        <v/>
      </c>
      <c r="N214" s="3">
        <f>IF('Data Source'!B214="","",IF('Data Source'!AF214&gt;=5,"A+",IF('Data Source'!AF214&gt;=4,"A",IF('Data Source'!AF214&gt;=3.5,"A-",IF('Data Source'!AF214&gt;=3,"B",IF('Data Source'!AF214&gt;=2,"C",IF('Data Source'!AF214&gt;=1,"D","F")))))))</f>
        <v/>
      </c>
      <c r="O214" s="3">
        <f>IF('Data Source'!B214="","",IF('Data Source'!AG214&gt;=5,"A+",IF('Data Source'!AG214&gt;=4,"A",IF('Data Source'!AG214&gt;=3.5,"A-",IF('Data Source'!AG214&gt;=3,"B",IF('Data Source'!AG214&gt;=2,"C",IF('Data Source'!AG214&gt;=1,"D","F")))))))</f>
        <v/>
      </c>
      <c r="P214" s="5">
        <f>IF('Data Source'!B214="","",'Data Source'!R214)</f>
        <v/>
      </c>
      <c r="Q214" s="3">
        <f>IF('Data Source'!B214="","",'Data Source'!S214)</f>
        <v/>
      </c>
    </row>
    <row r="215">
      <c r="A215" s="3">
        <f>IF('Data Source'!B215="","",'Data Source'!A215)</f>
        <v/>
      </c>
      <c r="B215">
        <f>IF('Data Source'!B215="","",'Data Source'!B215)</f>
        <v/>
      </c>
      <c r="C215" s="3">
        <f>IF('Data Source'!B215="","",IF('Data Source'!U215&gt;=5,"A+",IF('Data Source'!U215&gt;=4,"A",IF('Data Source'!U215&gt;=3.5,"A-",IF('Data Source'!U215&gt;=3,"B",IF('Data Source'!U215&gt;=2,"C",IF('Data Source'!U215&gt;=1,"D","F")))))))</f>
        <v/>
      </c>
      <c r="D215" s="3">
        <f>IF('Data Source'!B215="","",IF('Data Source'!V215&gt;=5,"A+",IF('Data Source'!V215&gt;=4,"A",IF('Data Source'!V215&gt;=3.5,"A-",IF('Data Source'!V215&gt;=3,"B",IF('Data Source'!V215&gt;=2,"C",IF('Data Source'!V215&gt;=1,"D","F")))))))</f>
        <v/>
      </c>
      <c r="E215" s="3">
        <f>IF('Data Source'!B215="","",IF('Data Source'!W215&gt;=5,"A+",IF('Data Source'!W215&gt;=4,"A",IF('Data Source'!W215&gt;=3.5,"A-",IF('Data Source'!W215&gt;=3,"B",IF('Data Source'!W215&gt;=2,"C",IF('Data Source'!W215&gt;=1,"D","F")))))))</f>
        <v/>
      </c>
      <c r="F215" s="3">
        <f>IF('Data Source'!B215="","",IF('Data Source'!X215&gt;=5,"A+",IF('Data Source'!X215&gt;=4,"A",IF('Data Source'!X215&gt;=3.5,"A-",IF('Data Source'!X215&gt;=3,"B",IF('Data Source'!X215&gt;=2,"C",IF('Data Source'!X215&gt;=1,"D","F")))))))</f>
        <v/>
      </c>
      <c r="G215" s="3">
        <f>IF('Data Source'!B215="","",IF('Data Source'!Y215&gt;=5,"A+",IF('Data Source'!Y215&gt;=4,"A",IF('Data Source'!Y215&gt;=3.5,"A-",IF('Data Source'!Y215&gt;=3,"B",IF('Data Source'!Y215&gt;=2,"C",IF('Data Source'!Y215&gt;=1,"D","F")))))))</f>
        <v/>
      </c>
      <c r="H215" s="3">
        <f>IF('Data Source'!B215="","",IF('Data Source'!Z215&gt;=5,"A+",IF('Data Source'!Z215&gt;=4,"A",IF('Data Source'!Z215&gt;=3.5,"A-",IF('Data Source'!Z215&gt;=3,"B",IF('Data Source'!Z215&gt;=2,"C",IF('Data Source'!Z215&gt;=1,"D","F")))))))</f>
        <v/>
      </c>
      <c r="I215" s="3">
        <f>IF('Data Source'!B215="","",IF('Data Source'!AA215&gt;=5,"A+",IF('Data Source'!AA215&gt;=4,"A",IF('Data Source'!AA215&gt;=3.5,"A-",IF('Data Source'!AA215&gt;=3,"B",IF('Data Source'!AA215&gt;=2,"C",IF('Data Source'!AA215&gt;=1,"D","F")))))))</f>
        <v/>
      </c>
      <c r="J215" s="3">
        <f>IF('Data Source'!B215="","",IF('Data Source'!AB215&gt;=5,"A+",IF('Data Source'!AB215&gt;=4,"A",IF('Data Source'!AB215&gt;=3.5,"A-",IF('Data Source'!AB215&gt;=3,"B",IF('Data Source'!AB215&gt;=2,"C",IF('Data Source'!AB215&gt;=1,"D","F")))))))</f>
        <v/>
      </c>
      <c r="K215" s="3">
        <f>IF('Data Source'!B215="","",IF('Data Source'!AC215&gt;=5,"A+",IF('Data Source'!AC215&gt;=4,"A",IF('Data Source'!AC215&gt;=3.5,"A-",IF('Data Source'!AC215&gt;=3,"B",IF('Data Source'!AC215&gt;=2,"C",IF('Data Source'!AC215&gt;=1,"D","F")))))))</f>
        <v/>
      </c>
      <c r="L215" s="3">
        <f>IF('Data Source'!B215="","",IF('Data Source'!AD215&gt;=5,"A+",IF('Data Source'!AD215&gt;=4,"A",IF('Data Source'!AD215&gt;=3.5,"A-",IF('Data Source'!AD215&gt;=3,"B",IF('Data Source'!AD215&gt;=2,"C",IF('Data Source'!AD215&gt;=1,"D","F")))))))</f>
        <v/>
      </c>
      <c r="M215" s="3">
        <f>IF('Data Source'!B215="","",IF('Data Source'!AE215&gt;=5,"A+",IF('Data Source'!AE215&gt;=4,"A",IF('Data Source'!AE215&gt;=3.5,"A-",IF('Data Source'!AE215&gt;=3,"B",IF('Data Source'!AE215&gt;=2,"C",IF('Data Source'!AE215&gt;=1,"D","F")))))))</f>
        <v/>
      </c>
      <c r="N215" s="3">
        <f>IF('Data Source'!B215="","",IF('Data Source'!AF215&gt;=5,"A+",IF('Data Source'!AF215&gt;=4,"A",IF('Data Source'!AF215&gt;=3.5,"A-",IF('Data Source'!AF215&gt;=3,"B",IF('Data Source'!AF215&gt;=2,"C",IF('Data Source'!AF215&gt;=1,"D","F")))))))</f>
        <v/>
      </c>
      <c r="O215" s="3">
        <f>IF('Data Source'!B215="","",IF('Data Source'!AG215&gt;=5,"A+",IF('Data Source'!AG215&gt;=4,"A",IF('Data Source'!AG215&gt;=3.5,"A-",IF('Data Source'!AG215&gt;=3,"B",IF('Data Source'!AG215&gt;=2,"C",IF('Data Source'!AG215&gt;=1,"D","F")))))))</f>
        <v/>
      </c>
      <c r="P215" s="5">
        <f>IF('Data Source'!B215="","",'Data Source'!R215)</f>
        <v/>
      </c>
      <c r="Q215" s="3">
        <f>IF('Data Source'!B215="","",'Data Source'!S215)</f>
        <v/>
      </c>
    </row>
    <row r="216">
      <c r="A216" s="3">
        <f>IF('Data Source'!B216="","",'Data Source'!A216)</f>
        <v/>
      </c>
      <c r="B216">
        <f>IF('Data Source'!B216="","",'Data Source'!B216)</f>
        <v/>
      </c>
      <c r="C216" s="3">
        <f>IF('Data Source'!B216="","",IF('Data Source'!U216&gt;=5,"A+",IF('Data Source'!U216&gt;=4,"A",IF('Data Source'!U216&gt;=3.5,"A-",IF('Data Source'!U216&gt;=3,"B",IF('Data Source'!U216&gt;=2,"C",IF('Data Source'!U216&gt;=1,"D","F")))))))</f>
        <v/>
      </c>
      <c r="D216" s="3">
        <f>IF('Data Source'!B216="","",IF('Data Source'!V216&gt;=5,"A+",IF('Data Source'!V216&gt;=4,"A",IF('Data Source'!V216&gt;=3.5,"A-",IF('Data Source'!V216&gt;=3,"B",IF('Data Source'!V216&gt;=2,"C",IF('Data Source'!V216&gt;=1,"D","F")))))))</f>
        <v/>
      </c>
      <c r="E216" s="3">
        <f>IF('Data Source'!B216="","",IF('Data Source'!W216&gt;=5,"A+",IF('Data Source'!W216&gt;=4,"A",IF('Data Source'!W216&gt;=3.5,"A-",IF('Data Source'!W216&gt;=3,"B",IF('Data Source'!W216&gt;=2,"C",IF('Data Source'!W216&gt;=1,"D","F")))))))</f>
        <v/>
      </c>
      <c r="F216" s="3">
        <f>IF('Data Source'!B216="","",IF('Data Source'!X216&gt;=5,"A+",IF('Data Source'!X216&gt;=4,"A",IF('Data Source'!X216&gt;=3.5,"A-",IF('Data Source'!X216&gt;=3,"B",IF('Data Source'!X216&gt;=2,"C",IF('Data Source'!X216&gt;=1,"D","F")))))))</f>
        <v/>
      </c>
      <c r="G216" s="3">
        <f>IF('Data Source'!B216="","",IF('Data Source'!Y216&gt;=5,"A+",IF('Data Source'!Y216&gt;=4,"A",IF('Data Source'!Y216&gt;=3.5,"A-",IF('Data Source'!Y216&gt;=3,"B",IF('Data Source'!Y216&gt;=2,"C",IF('Data Source'!Y216&gt;=1,"D","F")))))))</f>
        <v/>
      </c>
      <c r="H216" s="3">
        <f>IF('Data Source'!B216="","",IF('Data Source'!Z216&gt;=5,"A+",IF('Data Source'!Z216&gt;=4,"A",IF('Data Source'!Z216&gt;=3.5,"A-",IF('Data Source'!Z216&gt;=3,"B",IF('Data Source'!Z216&gt;=2,"C",IF('Data Source'!Z216&gt;=1,"D","F")))))))</f>
        <v/>
      </c>
      <c r="I216" s="3">
        <f>IF('Data Source'!B216="","",IF('Data Source'!AA216&gt;=5,"A+",IF('Data Source'!AA216&gt;=4,"A",IF('Data Source'!AA216&gt;=3.5,"A-",IF('Data Source'!AA216&gt;=3,"B",IF('Data Source'!AA216&gt;=2,"C",IF('Data Source'!AA216&gt;=1,"D","F")))))))</f>
        <v/>
      </c>
      <c r="J216" s="3">
        <f>IF('Data Source'!B216="","",IF('Data Source'!AB216&gt;=5,"A+",IF('Data Source'!AB216&gt;=4,"A",IF('Data Source'!AB216&gt;=3.5,"A-",IF('Data Source'!AB216&gt;=3,"B",IF('Data Source'!AB216&gt;=2,"C",IF('Data Source'!AB216&gt;=1,"D","F")))))))</f>
        <v/>
      </c>
      <c r="K216" s="3">
        <f>IF('Data Source'!B216="","",IF('Data Source'!AC216&gt;=5,"A+",IF('Data Source'!AC216&gt;=4,"A",IF('Data Source'!AC216&gt;=3.5,"A-",IF('Data Source'!AC216&gt;=3,"B",IF('Data Source'!AC216&gt;=2,"C",IF('Data Source'!AC216&gt;=1,"D","F")))))))</f>
        <v/>
      </c>
      <c r="L216" s="3">
        <f>IF('Data Source'!B216="","",IF('Data Source'!AD216&gt;=5,"A+",IF('Data Source'!AD216&gt;=4,"A",IF('Data Source'!AD216&gt;=3.5,"A-",IF('Data Source'!AD216&gt;=3,"B",IF('Data Source'!AD216&gt;=2,"C",IF('Data Source'!AD216&gt;=1,"D","F")))))))</f>
        <v/>
      </c>
      <c r="M216" s="3">
        <f>IF('Data Source'!B216="","",IF('Data Source'!AE216&gt;=5,"A+",IF('Data Source'!AE216&gt;=4,"A",IF('Data Source'!AE216&gt;=3.5,"A-",IF('Data Source'!AE216&gt;=3,"B",IF('Data Source'!AE216&gt;=2,"C",IF('Data Source'!AE216&gt;=1,"D","F")))))))</f>
        <v/>
      </c>
      <c r="N216" s="3">
        <f>IF('Data Source'!B216="","",IF('Data Source'!AF216&gt;=5,"A+",IF('Data Source'!AF216&gt;=4,"A",IF('Data Source'!AF216&gt;=3.5,"A-",IF('Data Source'!AF216&gt;=3,"B",IF('Data Source'!AF216&gt;=2,"C",IF('Data Source'!AF216&gt;=1,"D","F")))))))</f>
        <v/>
      </c>
      <c r="O216" s="3">
        <f>IF('Data Source'!B216="","",IF('Data Source'!AG216&gt;=5,"A+",IF('Data Source'!AG216&gt;=4,"A",IF('Data Source'!AG216&gt;=3.5,"A-",IF('Data Source'!AG216&gt;=3,"B",IF('Data Source'!AG216&gt;=2,"C",IF('Data Source'!AG216&gt;=1,"D","F")))))))</f>
        <v/>
      </c>
      <c r="P216" s="5">
        <f>IF('Data Source'!B216="","",'Data Source'!R216)</f>
        <v/>
      </c>
      <c r="Q216" s="3">
        <f>IF('Data Source'!B216="","",'Data Source'!S216)</f>
        <v/>
      </c>
    </row>
    <row r="217">
      <c r="A217" s="3">
        <f>IF('Data Source'!B217="","",'Data Source'!A217)</f>
        <v/>
      </c>
      <c r="B217">
        <f>IF('Data Source'!B217="","",'Data Source'!B217)</f>
        <v/>
      </c>
      <c r="C217" s="3">
        <f>IF('Data Source'!B217="","",IF('Data Source'!U217&gt;=5,"A+",IF('Data Source'!U217&gt;=4,"A",IF('Data Source'!U217&gt;=3.5,"A-",IF('Data Source'!U217&gt;=3,"B",IF('Data Source'!U217&gt;=2,"C",IF('Data Source'!U217&gt;=1,"D","F")))))))</f>
        <v/>
      </c>
      <c r="D217" s="3">
        <f>IF('Data Source'!B217="","",IF('Data Source'!V217&gt;=5,"A+",IF('Data Source'!V217&gt;=4,"A",IF('Data Source'!V217&gt;=3.5,"A-",IF('Data Source'!V217&gt;=3,"B",IF('Data Source'!V217&gt;=2,"C",IF('Data Source'!V217&gt;=1,"D","F")))))))</f>
        <v/>
      </c>
      <c r="E217" s="3">
        <f>IF('Data Source'!B217="","",IF('Data Source'!W217&gt;=5,"A+",IF('Data Source'!W217&gt;=4,"A",IF('Data Source'!W217&gt;=3.5,"A-",IF('Data Source'!W217&gt;=3,"B",IF('Data Source'!W217&gt;=2,"C",IF('Data Source'!W217&gt;=1,"D","F")))))))</f>
        <v/>
      </c>
      <c r="F217" s="3">
        <f>IF('Data Source'!B217="","",IF('Data Source'!X217&gt;=5,"A+",IF('Data Source'!X217&gt;=4,"A",IF('Data Source'!X217&gt;=3.5,"A-",IF('Data Source'!X217&gt;=3,"B",IF('Data Source'!X217&gt;=2,"C",IF('Data Source'!X217&gt;=1,"D","F")))))))</f>
        <v/>
      </c>
      <c r="G217" s="3">
        <f>IF('Data Source'!B217="","",IF('Data Source'!Y217&gt;=5,"A+",IF('Data Source'!Y217&gt;=4,"A",IF('Data Source'!Y217&gt;=3.5,"A-",IF('Data Source'!Y217&gt;=3,"B",IF('Data Source'!Y217&gt;=2,"C",IF('Data Source'!Y217&gt;=1,"D","F")))))))</f>
        <v/>
      </c>
      <c r="H217" s="3">
        <f>IF('Data Source'!B217="","",IF('Data Source'!Z217&gt;=5,"A+",IF('Data Source'!Z217&gt;=4,"A",IF('Data Source'!Z217&gt;=3.5,"A-",IF('Data Source'!Z217&gt;=3,"B",IF('Data Source'!Z217&gt;=2,"C",IF('Data Source'!Z217&gt;=1,"D","F")))))))</f>
        <v/>
      </c>
      <c r="I217" s="3">
        <f>IF('Data Source'!B217="","",IF('Data Source'!AA217&gt;=5,"A+",IF('Data Source'!AA217&gt;=4,"A",IF('Data Source'!AA217&gt;=3.5,"A-",IF('Data Source'!AA217&gt;=3,"B",IF('Data Source'!AA217&gt;=2,"C",IF('Data Source'!AA217&gt;=1,"D","F")))))))</f>
        <v/>
      </c>
      <c r="J217" s="3">
        <f>IF('Data Source'!B217="","",IF('Data Source'!AB217&gt;=5,"A+",IF('Data Source'!AB217&gt;=4,"A",IF('Data Source'!AB217&gt;=3.5,"A-",IF('Data Source'!AB217&gt;=3,"B",IF('Data Source'!AB217&gt;=2,"C",IF('Data Source'!AB217&gt;=1,"D","F")))))))</f>
        <v/>
      </c>
      <c r="K217" s="3">
        <f>IF('Data Source'!B217="","",IF('Data Source'!AC217&gt;=5,"A+",IF('Data Source'!AC217&gt;=4,"A",IF('Data Source'!AC217&gt;=3.5,"A-",IF('Data Source'!AC217&gt;=3,"B",IF('Data Source'!AC217&gt;=2,"C",IF('Data Source'!AC217&gt;=1,"D","F")))))))</f>
        <v/>
      </c>
      <c r="L217" s="3">
        <f>IF('Data Source'!B217="","",IF('Data Source'!AD217&gt;=5,"A+",IF('Data Source'!AD217&gt;=4,"A",IF('Data Source'!AD217&gt;=3.5,"A-",IF('Data Source'!AD217&gt;=3,"B",IF('Data Source'!AD217&gt;=2,"C",IF('Data Source'!AD217&gt;=1,"D","F")))))))</f>
        <v/>
      </c>
      <c r="M217" s="3">
        <f>IF('Data Source'!B217="","",IF('Data Source'!AE217&gt;=5,"A+",IF('Data Source'!AE217&gt;=4,"A",IF('Data Source'!AE217&gt;=3.5,"A-",IF('Data Source'!AE217&gt;=3,"B",IF('Data Source'!AE217&gt;=2,"C",IF('Data Source'!AE217&gt;=1,"D","F")))))))</f>
        <v/>
      </c>
      <c r="N217" s="3">
        <f>IF('Data Source'!B217="","",IF('Data Source'!AF217&gt;=5,"A+",IF('Data Source'!AF217&gt;=4,"A",IF('Data Source'!AF217&gt;=3.5,"A-",IF('Data Source'!AF217&gt;=3,"B",IF('Data Source'!AF217&gt;=2,"C",IF('Data Source'!AF217&gt;=1,"D","F")))))))</f>
        <v/>
      </c>
      <c r="O217" s="3">
        <f>IF('Data Source'!B217="","",IF('Data Source'!AG217&gt;=5,"A+",IF('Data Source'!AG217&gt;=4,"A",IF('Data Source'!AG217&gt;=3.5,"A-",IF('Data Source'!AG217&gt;=3,"B",IF('Data Source'!AG217&gt;=2,"C",IF('Data Source'!AG217&gt;=1,"D","F")))))))</f>
        <v/>
      </c>
      <c r="P217" s="5">
        <f>IF('Data Source'!B217="","",'Data Source'!R217)</f>
        <v/>
      </c>
      <c r="Q217" s="3">
        <f>IF('Data Source'!B217="","",'Data Source'!S217)</f>
        <v/>
      </c>
    </row>
    <row r="218">
      <c r="A218" s="3">
        <f>IF('Data Source'!B218="","",'Data Source'!A218)</f>
        <v/>
      </c>
      <c r="B218">
        <f>IF('Data Source'!B218="","",'Data Source'!B218)</f>
        <v/>
      </c>
      <c r="C218" s="3">
        <f>IF('Data Source'!B218="","",IF('Data Source'!U218&gt;=5,"A+",IF('Data Source'!U218&gt;=4,"A",IF('Data Source'!U218&gt;=3.5,"A-",IF('Data Source'!U218&gt;=3,"B",IF('Data Source'!U218&gt;=2,"C",IF('Data Source'!U218&gt;=1,"D","F")))))))</f>
        <v/>
      </c>
      <c r="D218" s="3">
        <f>IF('Data Source'!B218="","",IF('Data Source'!V218&gt;=5,"A+",IF('Data Source'!V218&gt;=4,"A",IF('Data Source'!V218&gt;=3.5,"A-",IF('Data Source'!V218&gt;=3,"B",IF('Data Source'!V218&gt;=2,"C",IF('Data Source'!V218&gt;=1,"D","F")))))))</f>
        <v/>
      </c>
      <c r="E218" s="3">
        <f>IF('Data Source'!B218="","",IF('Data Source'!W218&gt;=5,"A+",IF('Data Source'!W218&gt;=4,"A",IF('Data Source'!W218&gt;=3.5,"A-",IF('Data Source'!W218&gt;=3,"B",IF('Data Source'!W218&gt;=2,"C",IF('Data Source'!W218&gt;=1,"D","F")))))))</f>
        <v/>
      </c>
      <c r="F218" s="3">
        <f>IF('Data Source'!B218="","",IF('Data Source'!X218&gt;=5,"A+",IF('Data Source'!X218&gt;=4,"A",IF('Data Source'!X218&gt;=3.5,"A-",IF('Data Source'!X218&gt;=3,"B",IF('Data Source'!X218&gt;=2,"C",IF('Data Source'!X218&gt;=1,"D","F")))))))</f>
        <v/>
      </c>
      <c r="G218" s="3">
        <f>IF('Data Source'!B218="","",IF('Data Source'!Y218&gt;=5,"A+",IF('Data Source'!Y218&gt;=4,"A",IF('Data Source'!Y218&gt;=3.5,"A-",IF('Data Source'!Y218&gt;=3,"B",IF('Data Source'!Y218&gt;=2,"C",IF('Data Source'!Y218&gt;=1,"D","F")))))))</f>
        <v/>
      </c>
      <c r="H218" s="3">
        <f>IF('Data Source'!B218="","",IF('Data Source'!Z218&gt;=5,"A+",IF('Data Source'!Z218&gt;=4,"A",IF('Data Source'!Z218&gt;=3.5,"A-",IF('Data Source'!Z218&gt;=3,"B",IF('Data Source'!Z218&gt;=2,"C",IF('Data Source'!Z218&gt;=1,"D","F")))))))</f>
        <v/>
      </c>
      <c r="I218" s="3">
        <f>IF('Data Source'!B218="","",IF('Data Source'!AA218&gt;=5,"A+",IF('Data Source'!AA218&gt;=4,"A",IF('Data Source'!AA218&gt;=3.5,"A-",IF('Data Source'!AA218&gt;=3,"B",IF('Data Source'!AA218&gt;=2,"C",IF('Data Source'!AA218&gt;=1,"D","F")))))))</f>
        <v/>
      </c>
      <c r="J218" s="3">
        <f>IF('Data Source'!B218="","",IF('Data Source'!AB218&gt;=5,"A+",IF('Data Source'!AB218&gt;=4,"A",IF('Data Source'!AB218&gt;=3.5,"A-",IF('Data Source'!AB218&gt;=3,"B",IF('Data Source'!AB218&gt;=2,"C",IF('Data Source'!AB218&gt;=1,"D","F")))))))</f>
        <v/>
      </c>
      <c r="K218" s="3">
        <f>IF('Data Source'!B218="","",IF('Data Source'!AC218&gt;=5,"A+",IF('Data Source'!AC218&gt;=4,"A",IF('Data Source'!AC218&gt;=3.5,"A-",IF('Data Source'!AC218&gt;=3,"B",IF('Data Source'!AC218&gt;=2,"C",IF('Data Source'!AC218&gt;=1,"D","F")))))))</f>
        <v/>
      </c>
      <c r="L218" s="3">
        <f>IF('Data Source'!B218="","",IF('Data Source'!AD218&gt;=5,"A+",IF('Data Source'!AD218&gt;=4,"A",IF('Data Source'!AD218&gt;=3.5,"A-",IF('Data Source'!AD218&gt;=3,"B",IF('Data Source'!AD218&gt;=2,"C",IF('Data Source'!AD218&gt;=1,"D","F")))))))</f>
        <v/>
      </c>
      <c r="M218" s="3">
        <f>IF('Data Source'!B218="","",IF('Data Source'!AE218&gt;=5,"A+",IF('Data Source'!AE218&gt;=4,"A",IF('Data Source'!AE218&gt;=3.5,"A-",IF('Data Source'!AE218&gt;=3,"B",IF('Data Source'!AE218&gt;=2,"C",IF('Data Source'!AE218&gt;=1,"D","F")))))))</f>
        <v/>
      </c>
      <c r="N218" s="3">
        <f>IF('Data Source'!B218="","",IF('Data Source'!AF218&gt;=5,"A+",IF('Data Source'!AF218&gt;=4,"A",IF('Data Source'!AF218&gt;=3.5,"A-",IF('Data Source'!AF218&gt;=3,"B",IF('Data Source'!AF218&gt;=2,"C",IF('Data Source'!AF218&gt;=1,"D","F")))))))</f>
        <v/>
      </c>
      <c r="O218" s="3">
        <f>IF('Data Source'!B218="","",IF('Data Source'!AG218&gt;=5,"A+",IF('Data Source'!AG218&gt;=4,"A",IF('Data Source'!AG218&gt;=3.5,"A-",IF('Data Source'!AG218&gt;=3,"B",IF('Data Source'!AG218&gt;=2,"C",IF('Data Source'!AG218&gt;=1,"D","F")))))))</f>
        <v/>
      </c>
      <c r="P218" s="5">
        <f>IF('Data Source'!B218="","",'Data Source'!R218)</f>
        <v/>
      </c>
      <c r="Q218" s="3">
        <f>IF('Data Source'!B218="","",'Data Source'!S218)</f>
        <v/>
      </c>
    </row>
    <row r="219">
      <c r="A219" s="3">
        <f>IF('Data Source'!B219="","",'Data Source'!A219)</f>
        <v/>
      </c>
      <c r="B219">
        <f>IF('Data Source'!B219="","",'Data Source'!B219)</f>
        <v/>
      </c>
      <c r="C219" s="3">
        <f>IF('Data Source'!B219="","",IF('Data Source'!U219&gt;=5,"A+",IF('Data Source'!U219&gt;=4,"A",IF('Data Source'!U219&gt;=3.5,"A-",IF('Data Source'!U219&gt;=3,"B",IF('Data Source'!U219&gt;=2,"C",IF('Data Source'!U219&gt;=1,"D","F")))))))</f>
        <v/>
      </c>
      <c r="D219" s="3">
        <f>IF('Data Source'!B219="","",IF('Data Source'!V219&gt;=5,"A+",IF('Data Source'!V219&gt;=4,"A",IF('Data Source'!V219&gt;=3.5,"A-",IF('Data Source'!V219&gt;=3,"B",IF('Data Source'!V219&gt;=2,"C",IF('Data Source'!V219&gt;=1,"D","F")))))))</f>
        <v/>
      </c>
      <c r="E219" s="3">
        <f>IF('Data Source'!B219="","",IF('Data Source'!W219&gt;=5,"A+",IF('Data Source'!W219&gt;=4,"A",IF('Data Source'!W219&gt;=3.5,"A-",IF('Data Source'!W219&gt;=3,"B",IF('Data Source'!W219&gt;=2,"C",IF('Data Source'!W219&gt;=1,"D","F")))))))</f>
        <v/>
      </c>
      <c r="F219" s="3">
        <f>IF('Data Source'!B219="","",IF('Data Source'!X219&gt;=5,"A+",IF('Data Source'!X219&gt;=4,"A",IF('Data Source'!X219&gt;=3.5,"A-",IF('Data Source'!X219&gt;=3,"B",IF('Data Source'!X219&gt;=2,"C",IF('Data Source'!X219&gt;=1,"D","F")))))))</f>
        <v/>
      </c>
      <c r="G219" s="3">
        <f>IF('Data Source'!B219="","",IF('Data Source'!Y219&gt;=5,"A+",IF('Data Source'!Y219&gt;=4,"A",IF('Data Source'!Y219&gt;=3.5,"A-",IF('Data Source'!Y219&gt;=3,"B",IF('Data Source'!Y219&gt;=2,"C",IF('Data Source'!Y219&gt;=1,"D","F")))))))</f>
        <v/>
      </c>
      <c r="H219" s="3">
        <f>IF('Data Source'!B219="","",IF('Data Source'!Z219&gt;=5,"A+",IF('Data Source'!Z219&gt;=4,"A",IF('Data Source'!Z219&gt;=3.5,"A-",IF('Data Source'!Z219&gt;=3,"B",IF('Data Source'!Z219&gt;=2,"C",IF('Data Source'!Z219&gt;=1,"D","F")))))))</f>
        <v/>
      </c>
      <c r="I219" s="3">
        <f>IF('Data Source'!B219="","",IF('Data Source'!AA219&gt;=5,"A+",IF('Data Source'!AA219&gt;=4,"A",IF('Data Source'!AA219&gt;=3.5,"A-",IF('Data Source'!AA219&gt;=3,"B",IF('Data Source'!AA219&gt;=2,"C",IF('Data Source'!AA219&gt;=1,"D","F")))))))</f>
        <v/>
      </c>
      <c r="J219" s="3">
        <f>IF('Data Source'!B219="","",IF('Data Source'!AB219&gt;=5,"A+",IF('Data Source'!AB219&gt;=4,"A",IF('Data Source'!AB219&gt;=3.5,"A-",IF('Data Source'!AB219&gt;=3,"B",IF('Data Source'!AB219&gt;=2,"C",IF('Data Source'!AB219&gt;=1,"D","F")))))))</f>
        <v/>
      </c>
      <c r="K219" s="3">
        <f>IF('Data Source'!B219="","",IF('Data Source'!AC219&gt;=5,"A+",IF('Data Source'!AC219&gt;=4,"A",IF('Data Source'!AC219&gt;=3.5,"A-",IF('Data Source'!AC219&gt;=3,"B",IF('Data Source'!AC219&gt;=2,"C",IF('Data Source'!AC219&gt;=1,"D","F")))))))</f>
        <v/>
      </c>
      <c r="L219" s="3">
        <f>IF('Data Source'!B219="","",IF('Data Source'!AD219&gt;=5,"A+",IF('Data Source'!AD219&gt;=4,"A",IF('Data Source'!AD219&gt;=3.5,"A-",IF('Data Source'!AD219&gt;=3,"B",IF('Data Source'!AD219&gt;=2,"C",IF('Data Source'!AD219&gt;=1,"D","F")))))))</f>
        <v/>
      </c>
      <c r="M219" s="3">
        <f>IF('Data Source'!B219="","",IF('Data Source'!AE219&gt;=5,"A+",IF('Data Source'!AE219&gt;=4,"A",IF('Data Source'!AE219&gt;=3.5,"A-",IF('Data Source'!AE219&gt;=3,"B",IF('Data Source'!AE219&gt;=2,"C",IF('Data Source'!AE219&gt;=1,"D","F")))))))</f>
        <v/>
      </c>
      <c r="N219" s="3">
        <f>IF('Data Source'!B219="","",IF('Data Source'!AF219&gt;=5,"A+",IF('Data Source'!AF219&gt;=4,"A",IF('Data Source'!AF219&gt;=3.5,"A-",IF('Data Source'!AF219&gt;=3,"B",IF('Data Source'!AF219&gt;=2,"C",IF('Data Source'!AF219&gt;=1,"D","F")))))))</f>
        <v/>
      </c>
      <c r="O219" s="3">
        <f>IF('Data Source'!B219="","",IF('Data Source'!AG219&gt;=5,"A+",IF('Data Source'!AG219&gt;=4,"A",IF('Data Source'!AG219&gt;=3.5,"A-",IF('Data Source'!AG219&gt;=3,"B",IF('Data Source'!AG219&gt;=2,"C",IF('Data Source'!AG219&gt;=1,"D","F")))))))</f>
        <v/>
      </c>
      <c r="P219" s="5">
        <f>IF('Data Source'!B219="","",'Data Source'!R219)</f>
        <v/>
      </c>
      <c r="Q219" s="3">
        <f>IF('Data Source'!B219="","",'Data Source'!S219)</f>
        <v/>
      </c>
    </row>
    <row r="220">
      <c r="A220" s="3">
        <f>IF('Data Source'!B220="","",'Data Source'!A220)</f>
        <v/>
      </c>
      <c r="B220">
        <f>IF('Data Source'!B220="","",'Data Source'!B220)</f>
        <v/>
      </c>
      <c r="C220" s="3">
        <f>IF('Data Source'!B220="","",IF('Data Source'!U220&gt;=5,"A+",IF('Data Source'!U220&gt;=4,"A",IF('Data Source'!U220&gt;=3.5,"A-",IF('Data Source'!U220&gt;=3,"B",IF('Data Source'!U220&gt;=2,"C",IF('Data Source'!U220&gt;=1,"D","F")))))))</f>
        <v/>
      </c>
      <c r="D220" s="3">
        <f>IF('Data Source'!B220="","",IF('Data Source'!V220&gt;=5,"A+",IF('Data Source'!V220&gt;=4,"A",IF('Data Source'!V220&gt;=3.5,"A-",IF('Data Source'!V220&gt;=3,"B",IF('Data Source'!V220&gt;=2,"C",IF('Data Source'!V220&gt;=1,"D","F")))))))</f>
        <v/>
      </c>
      <c r="E220" s="3">
        <f>IF('Data Source'!B220="","",IF('Data Source'!W220&gt;=5,"A+",IF('Data Source'!W220&gt;=4,"A",IF('Data Source'!W220&gt;=3.5,"A-",IF('Data Source'!W220&gt;=3,"B",IF('Data Source'!W220&gt;=2,"C",IF('Data Source'!W220&gt;=1,"D","F")))))))</f>
        <v/>
      </c>
      <c r="F220" s="3">
        <f>IF('Data Source'!B220="","",IF('Data Source'!X220&gt;=5,"A+",IF('Data Source'!X220&gt;=4,"A",IF('Data Source'!X220&gt;=3.5,"A-",IF('Data Source'!X220&gt;=3,"B",IF('Data Source'!X220&gt;=2,"C",IF('Data Source'!X220&gt;=1,"D","F")))))))</f>
        <v/>
      </c>
      <c r="G220" s="3">
        <f>IF('Data Source'!B220="","",IF('Data Source'!Y220&gt;=5,"A+",IF('Data Source'!Y220&gt;=4,"A",IF('Data Source'!Y220&gt;=3.5,"A-",IF('Data Source'!Y220&gt;=3,"B",IF('Data Source'!Y220&gt;=2,"C",IF('Data Source'!Y220&gt;=1,"D","F")))))))</f>
        <v/>
      </c>
      <c r="H220" s="3">
        <f>IF('Data Source'!B220="","",IF('Data Source'!Z220&gt;=5,"A+",IF('Data Source'!Z220&gt;=4,"A",IF('Data Source'!Z220&gt;=3.5,"A-",IF('Data Source'!Z220&gt;=3,"B",IF('Data Source'!Z220&gt;=2,"C",IF('Data Source'!Z220&gt;=1,"D","F")))))))</f>
        <v/>
      </c>
      <c r="I220" s="3">
        <f>IF('Data Source'!B220="","",IF('Data Source'!AA220&gt;=5,"A+",IF('Data Source'!AA220&gt;=4,"A",IF('Data Source'!AA220&gt;=3.5,"A-",IF('Data Source'!AA220&gt;=3,"B",IF('Data Source'!AA220&gt;=2,"C",IF('Data Source'!AA220&gt;=1,"D","F")))))))</f>
        <v/>
      </c>
      <c r="J220" s="3">
        <f>IF('Data Source'!B220="","",IF('Data Source'!AB220&gt;=5,"A+",IF('Data Source'!AB220&gt;=4,"A",IF('Data Source'!AB220&gt;=3.5,"A-",IF('Data Source'!AB220&gt;=3,"B",IF('Data Source'!AB220&gt;=2,"C",IF('Data Source'!AB220&gt;=1,"D","F")))))))</f>
        <v/>
      </c>
      <c r="K220" s="3">
        <f>IF('Data Source'!B220="","",IF('Data Source'!AC220&gt;=5,"A+",IF('Data Source'!AC220&gt;=4,"A",IF('Data Source'!AC220&gt;=3.5,"A-",IF('Data Source'!AC220&gt;=3,"B",IF('Data Source'!AC220&gt;=2,"C",IF('Data Source'!AC220&gt;=1,"D","F")))))))</f>
        <v/>
      </c>
      <c r="L220" s="3">
        <f>IF('Data Source'!B220="","",IF('Data Source'!AD220&gt;=5,"A+",IF('Data Source'!AD220&gt;=4,"A",IF('Data Source'!AD220&gt;=3.5,"A-",IF('Data Source'!AD220&gt;=3,"B",IF('Data Source'!AD220&gt;=2,"C",IF('Data Source'!AD220&gt;=1,"D","F")))))))</f>
        <v/>
      </c>
      <c r="M220" s="3">
        <f>IF('Data Source'!B220="","",IF('Data Source'!AE220&gt;=5,"A+",IF('Data Source'!AE220&gt;=4,"A",IF('Data Source'!AE220&gt;=3.5,"A-",IF('Data Source'!AE220&gt;=3,"B",IF('Data Source'!AE220&gt;=2,"C",IF('Data Source'!AE220&gt;=1,"D","F")))))))</f>
        <v/>
      </c>
      <c r="N220" s="3">
        <f>IF('Data Source'!B220="","",IF('Data Source'!AF220&gt;=5,"A+",IF('Data Source'!AF220&gt;=4,"A",IF('Data Source'!AF220&gt;=3.5,"A-",IF('Data Source'!AF220&gt;=3,"B",IF('Data Source'!AF220&gt;=2,"C",IF('Data Source'!AF220&gt;=1,"D","F")))))))</f>
        <v/>
      </c>
      <c r="O220" s="3">
        <f>IF('Data Source'!B220="","",IF('Data Source'!AG220&gt;=5,"A+",IF('Data Source'!AG220&gt;=4,"A",IF('Data Source'!AG220&gt;=3.5,"A-",IF('Data Source'!AG220&gt;=3,"B",IF('Data Source'!AG220&gt;=2,"C",IF('Data Source'!AG220&gt;=1,"D","F")))))))</f>
        <v/>
      </c>
      <c r="P220" s="5">
        <f>IF('Data Source'!B220="","",'Data Source'!R220)</f>
        <v/>
      </c>
      <c r="Q220" s="3">
        <f>IF('Data Source'!B220="","",'Data Source'!S220)</f>
        <v/>
      </c>
    </row>
    <row r="221">
      <c r="A221" s="3">
        <f>IF('Data Source'!B221="","",'Data Source'!A221)</f>
        <v/>
      </c>
      <c r="B221">
        <f>IF('Data Source'!B221="","",'Data Source'!B221)</f>
        <v/>
      </c>
      <c r="C221" s="3">
        <f>IF('Data Source'!B221="","",IF('Data Source'!U221&gt;=5,"A+",IF('Data Source'!U221&gt;=4,"A",IF('Data Source'!U221&gt;=3.5,"A-",IF('Data Source'!U221&gt;=3,"B",IF('Data Source'!U221&gt;=2,"C",IF('Data Source'!U221&gt;=1,"D","F")))))))</f>
        <v/>
      </c>
      <c r="D221" s="3">
        <f>IF('Data Source'!B221="","",IF('Data Source'!V221&gt;=5,"A+",IF('Data Source'!V221&gt;=4,"A",IF('Data Source'!V221&gt;=3.5,"A-",IF('Data Source'!V221&gt;=3,"B",IF('Data Source'!V221&gt;=2,"C",IF('Data Source'!V221&gt;=1,"D","F")))))))</f>
        <v/>
      </c>
      <c r="E221" s="3">
        <f>IF('Data Source'!B221="","",IF('Data Source'!W221&gt;=5,"A+",IF('Data Source'!W221&gt;=4,"A",IF('Data Source'!W221&gt;=3.5,"A-",IF('Data Source'!W221&gt;=3,"B",IF('Data Source'!W221&gt;=2,"C",IF('Data Source'!W221&gt;=1,"D","F")))))))</f>
        <v/>
      </c>
      <c r="F221" s="3">
        <f>IF('Data Source'!B221="","",IF('Data Source'!X221&gt;=5,"A+",IF('Data Source'!X221&gt;=4,"A",IF('Data Source'!X221&gt;=3.5,"A-",IF('Data Source'!X221&gt;=3,"B",IF('Data Source'!X221&gt;=2,"C",IF('Data Source'!X221&gt;=1,"D","F")))))))</f>
        <v/>
      </c>
      <c r="G221" s="3">
        <f>IF('Data Source'!B221="","",IF('Data Source'!Y221&gt;=5,"A+",IF('Data Source'!Y221&gt;=4,"A",IF('Data Source'!Y221&gt;=3.5,"A-",IF('Data Source'!Y221&gt;=3,"B",IF('Data Source'!Y221&gt;=2,"C",IF('Data Source'!Y221&gt;=1,"D","F")))))))</f>
        <v/>
      </c>
      <c r="H221" s="3">
        <f>IF('Data Source'!B221="","",IF('Data Source'!Z221&gt;=5,"A+",IF('Data Source'!Z221&gt;=4,"A",IF('Data Source'!Z221&gt;=3.5,"A-",IF('Data Source'!Z221&gt;=3,"B",IF('Data Source'!Z221&gt;=2,"C",IF('Data Source'!Z221&gt;=1,"D","F")))))))</f>
        <v/>
      </c>
      <c r="I221" s="3">
        <f>IF('Data Source'!B221="","",IF('Data Source'!AA221&gt;=5,"A+",IF('Data Source'!AA221&gt;=4,"A",IF('Data Source'!AA221&gt;=3.5,"A-",IF('Data Source'!AA221&gt;=3,"B",IF('Data Source'!AA221&gt;=2,"C",IF('Data Source'!AA221&gt;=1,"D","F")))))))</f>
        <v/>
      </c>
      <c r="J221" s="3">
        <f>IF('Data Source'!B221="","",IF('Data Source'!AB221&gt;=5,"A+",IF('Data Source'!AB221&gt;=4,"A",IF('Data Source'!AB221&gt;=3.5,"A-",IF('Data Source'!AB221&gt;=3,"B",IF('Data Source'!AB221&gt;=2,"C",IF('Data Source'!AB221&gt;=1,"D","F")))))))</f>
        <v/>
      </c>
      <c r="K221" s="3">
        <f>IF('Data Source'!B221="","",IF('Data Source'!AC221&gt;=5,"A+",IF('Data Source'!AC221&gt;=4,"A",IF('Data Source'!AC221&gt;=3.5,"A-",IF('Data Source'!AC221&gt;=3,"B",IF('Data Source'!AC221&gt;=2,"C",IF('Data Source'!AC221&gt;=1,"D","F")))))))</f>
        <v/>
      </c>
      <c r="L221" s="3">
        <f>IF('Data Source'!B221="","",IF('Data Source'!AD221&gt;=5,"A+",IF('Data Source'!AD221&gt;=4,"A",IF('Data Source'!AD221&gt;=3.5,"A-",IF('Data Source'!AD221&gt;=3,"B",IF('Data Source'!AD221&gt;=2,"C",IF('Data Source'!AD221&gt;=1,"D","F")))))))</f>
        <v/>
      </c>
      <c r="M221" s="3">
        <f>IF('Data Source'!B221="","",IF('Data Source'!AE221&gt;=5,"A+",IF('Data Source'!AE221&gt;=4,"A",IF('Data Source'!AE221&gt;=3.5,"A-",IF('Data Source'!AE221&gt;=3,"B",IF('Data Source'!AE221&gt;=2,"C",IF('Data Source'!AE221&gt;=1,"D","F")))))))</f>
        <v/>
      </c>
      <c r="N221" s="3">
        <f>IF('Data Source'!B221="","",IF('Data Source'!AF221&gt;=5,"A+",IF('Data Source'!AF221&gt;=4,"A",IF('Data Source'!AF221&gt;=3.5,"A-",IF('Data Source'!AF221&gt;=3,"B",IF('Data Source'!AF221&gt;=2,"C",IF('Data Source'!AF221&gt;=1,"D","F")))))))</f>
        <v/>
      </c>
      <c r="O221" s="3">
        <f>IF('Data Source'!B221="","",IF('Data Source'!AG221&gt;=5,"A+",IF('Data Source'!AG221&gt;=4,"A",IF('Data Source'!AG221&gt;=3.5,"A-",IF('Data Source'!AG221&gt;=3,"B",IF('Data Source'!AG221&gt;=2,"C",IF('Data Source'!AG221&gt;=1,"D","F")))))))</f>
        <v/>
      </c>
      <c r="P221" s="5">
        <f>IF('Data Source'!B221="","",'Data Source'!R221)</f>
        <v/>
      </c>
      <c r="Q221" s="3">
        <f>IF('Data Source'!B221="","",'Data Source'!S221)</f>
        <v/>
      </c>
    </row>
    <row r="222">
      <c r="A222" s="3">
        <f>IF('Data Source'!B222="","",'Data Source'!A222)</f>
        <v/>
      </c>
      <c r="B222">
        <f>IF('Data Source'!B222="","",'Data Source'!B222)</f>
        <v/>
      </c>
      <c r="C222" s="3">
        <f>IF('Data Source'!B222="","",IF('Data Source'!U222&gt;=5,"A+",IF('Data Source'!U222&gt;=4,"A",IF('Data Source'!U222&gt;=3.5,"A-",IF('Data Source'!U222&gt;=3,"B",IF('Data Source'!U222&gt;=2,"C",IF('Data Source'!U222&gt;=1,"D","F")))))))</f>
        <v/>
      </c>
      <c r="D222" s="3">
        <f>IF('Data Source'!B222="","",IF('Data Source'!V222&gt;=5,"A+",IF('Data Source'!V222&gt;=4,"A",IF('Data Source'!V222&gt;=3.5,"A-",IF('Data Source'!V222&gt;=3,"B",IF('Data Source'!V222&gt;=2,"C",IF('Data Source'!V222&gt;=1,"D","F")))))))</f>
        <v/>
      </c>
      <c r="E222" s="3">
        <f>IF('Data Source'!B222="","",IF('Data Source'!W222&gt;=5,"A+",IF('Data Source'!W222&gt;=4,"A",IF('Data Source'!W222&gt;=3.5,"A-",IF('Data Source'!W222&gt;=3,"B",IF('Data Source'!W222&gt;=2,"C",IF('Data Source'!W222&gt;=1,"D","F")))))))</f>
        <v/>
      </c>
      <c r="F222" s="3">
        <f>IF('Data Source'!B222="","",IF('Data Source'!X222&gt;=5,"A+",IF('Data Source'!X222&gt;=4,"A",IF('Data Source'!X222&gt;=3.5,"A-",IF('Data Source'!X222&gt;=3,"B",IF('Data Source'!X222&gt;=2,"C",IF('Data Source'!X222&gt;=1,"D","F")))))))</f>
        <v/>
      </c>
      <c r="G222" s="3">
        <f>IF('Data Source'!B222="","",IF('Data Source'!Y222&gt;=5,"A+",IF('Data Source'!Y222&gt;=4,"A",IF('Data Source'!Y222&gt;=3.5,"A-",IF('Data Source'!Y222&gt;=3,"B",IF('Data Source'!Y222&gt;=2,"C",IF('Data Source'!Y222&gt;=1,"D","F")))))))</f>
        <v/>
      </c>
      <c r="H222" s="3">
        <f>IF('Data Source'!B222="","",IF('Data Source'!Z222&gt;=5,"A+",IF('Data Source'!Z222&gt;=4,"A",IF('Data Source'!Z222&gt;=3.5,"A-",IF('Data Source'!Z222&gt;=3,"B",IF('Data Source'!Z222&gt;=2,"C",IF('Data Source'!Z222&gt;=1,"D","F")))))))</f>
        <v/>
      </c>
      <c r="I222" s="3">
        <f>IF('Data Source'!B222="","",IF('Data Source'!AA222&gt;=5,"A+",IF('Data Source'!AA222&gt;=4,"A",IF('Data Source'!AA222&gt;=3.5,"A-",IF('Data Source'!AA222&gt;=3,"B",IF('Data Source'!AA222&gt;=2,"C",IF('Data Source'!AA222&gt;=1,"D","F")))))))</f>
        <v/>
      </c>
      <c r="J222" s="3">
        <f>IF('Data Source'!B222="","",IF('Data Source'!AB222&gt;=5,"A+",IF('Data Source'!AB222&gt;=4,"A",IF('Data Source'!AB222&gt;=3.5,"A-",IF('Data Source'!AB222&gt;=3,"B",IF('Data Source'!AB222&gt;=2,"C",IF('Data Source'!AB222&gt;=1,"D","F")))))))</f>
        <v/>
      </c>
      <c r="K222" s="3">
        <f>IF('Data Source'!B222="","",IF('Data Source'!AC222&gt;=5,"A+",IF('Data Source'!AC222&gt;=4,"A",IF('Data Source'!AC222&gt;=3.5,"A-",IF('Data Source'!AC222&gt;=3,"B",IF('Data Source'!AC222&gt;=2,"C",IF('Data Source'!AC222&gt;=1,"D","F")))))))</f>
        <v/>
      </c>
      <c r="L222" s="3">
        <f>IF('Data Source'!B222="","",IF('Data Source'!AD222&gt;=5,"A+",IF('Data Source'!AD222&gt;=4,"A",IF('Data Source'!AD222&gt;=3.5,"A-",IF('Data Source'!AD222&gt;=3,"B",IF('Data Source'!AD222&gt;=2,"C",IF('Data Source'!AD222&gt;=1,"D","F")))))))</f>
        <v/>
      </c>
      <c r="M222" s="3">
        <f>IF('Data Source'!B222="","",IF('Data Source'!AE222&gt;=5,"A+",IF('Data Source'!AE222&gt;=4,"A",IF('Data Source'!AE222&gt;=3.5,"A-",IF('Data Source'!AE222&gt;=3,"B",IF('Data Source'!AE222&gt;=2,"C",IF('Data Source'!AE222&gt;=1,"D","F")))))))</f>
        <v/>
      </c>
      <c r="N222" s="3">
        <f>IF('Data Source'!B222="","",IF('Data Source'!AF222&gt;=5,"A+",IF('Data Source'!AF222&gt;=4,"A",IF('Data Source'!AF222&gt;=3.5,"A-",IF('Data Source'!AF222&gt;=3,"B",IF('Data Source'!AF222&gt;=2,"C",IF('Data Source'!AF222&gt;=1,"D","F")))))))</f>
        <v/>
      </c>
      <c r="O222" s="3">
        <f>IF('Data Source'!B222="","",IF('Data Source'!AG222&gt;=5,"A+",IF('Data Source'!AG222&gt;=4,"A",IF('Data Source'!AG222&gt;=3.5,"A-",IF('Data Source'!AG222&gt;=3,"B",IF('Data Source'!AG222&gt;=2,"C",IF('Data Source'!AG222&gt;=1,"D","F")))))))</f>
        <v/>
      </c>
      <c r="P222" s="5">
        <f>IF('Data Source'!B222="","",'Data Source'!R222)</f>
        <v/>
      </c>
      <c r="Q222" s="3">
        <f>IF('Data Source'!B222="","",'Data Source'!S222)</f>
        <v/>
      </c>
    </row>
    <row r="223">
      <c r="A223" s="3">
        <f>IF('Data Source'!B223="","",'Data Source'!A223)</f>
        <v/>
      </c>
      <c r="B223">
        <f>IF('Data Source'!B223="","",'Data Source'!B223)</f>
        <v/>
      </c>
      <c r="C223" s="3">
        <f>IF('Data Source'!B223="","",IF('Data Source'!U223&gt;=5,"A+",IF('Data Source'!U223&gt;=4,"A",IF('Data Source'!U223&gt;=3.5,"A-",IF('Data Source'!U223&gt;=3,"B",IF('Data Source'!U223&gt;=2,"C",IF('Data Source'!U223&gt;=1,"D","F")))))))</f>
        <v/>
      </c>
      <c r="D223" s="3">
        <f>IF('Data Source'!B223="","",IF('Data Source'!V223&gt;=5,"A+",IF('Data Source'!V223&gt;=4,"A",IF('Data Source'!V223&gt;=3.5,"A-",IF('Data Source'!V223&gt;=3,"B",IF('Data Source'!V223&gt;=2,"C",IF('Data Source'!V223&gt;=1,"D","F")))))))</f>
        <v/>
      </c>
      <c r="E223" s="3">
        <f>IF('Data Source'!B223="","",IF('Data Source'!W223&gt;=5,"A+",IF('Data Source'!W223&gt;=4,"A",IF('Data Source'!W223&gt;=3.5,"A-",IF('Data Source'!W223&gt;=3,"B",IF('Data Source'!W223&gt;=2,"C",IF('Data Source'!W223&gt;=1,"D","F")))))))</f>
        <v/>
      </c>
      <c r="F223" s="3">
        <f>IF('Data Source'!B223="","",IF('Data Source'!X223&gt;=5,"A+",IF('Data Source'!X223&gt;=4,"A",IF('Data Source'!X223&gt;=3.5,"A-",IF('Data Source'!X223&gt;=3,"B",IF('Data Source'!X223&gt;=2,"C",IF('Data Source'!X223&gt;=1,"D","F")))))))</f>
        <v/>
      </c>
      <c r="G223" s="3">
        <f>IF('Data Source'!B223="","",IF('Data Source'!Y223&gt;=5,"A+",IF('Data Source'!Y223&gt;=4,"A",IF('Data Source'!Y223&gt;=3.5,"A-",IF('Data Source'!Y223&gt;=3,"B",IF('Data Source'!Y223&gt;=2,"C",IF('Data Source'!Y223&gt;=1,"D","F")))))))</f>
        <v/>
      </c>
      <c r="H223" s="3">
        <f>IF('Data Source'!B223="","",IF('Data Source'!Z223&gt;=5,"A+",IF('Data Source'!Z223&gt;=4,"A",IF('Data Source'!Z223&gt;=3.5,"A-",IF('Data Source'!Z223&gt;=3,"B",IF('Data Source'!Z223&gt;=2,"C",IF('Data Source'!Z223&gt;=1,"D","F")))))))</f>
        <v/>
      </c>
      <c r="I223" s="3">
        <f>IF('Data Source'!B223="","",IF('Data Source'!AA223&gt;=5,"A+",IF('Data Source'!AA223&gt;=4,"A",IF('Data Source'!AA223&gt;=3.5,"A-",IF('Data Source'!AA223&gt;=3,"B",IF('Data Source'!AA223&gt;=2,"C",IF('Data Source'!AA223&gt;=1,"D","F")))))))</f>
        <v/>
      </c>
      <c r="J223" s="3">
        <f>IF('Data Source'!B223="","",IF('Data Source'!AB223&gt;=5,"A+",IF('Data Source'!AB223&gt;=4,"A",IF('Data Source'!AB223&gt;=3.5,"A-",IF('Data Source'!AB223&gt;=3,"B",IF('Data Source'!AB223&gt;=2,"C",IF('Data Source'!AB223&gt;=1,"D","F")))))))</f>
        <v/>
      </c>
      <c r="K223" s="3">
        <f>IF('Data Source'!B223="","",IF('Data Source'!AC223&gt;=5,"A+",IF('Data Source'!AC223&gt;=4,"A",IF('Data Source'!AC223&gt;=3.5,"A-",IF('Data Source'!AC223&gt;=3,"B",IF('Data Source'!AC223&gt;=2,"C",IF('Data Source'!AC223&gt;=1,"D","F")))))))</f>
        <v/>
      </c>
      <c r="L223" s="3">
        <f>IF('Data Source'!B223="","",IF('Data Source'!AD223&gt;=5,"A+",IF('Data Source'!AD223&gt;=4,"A",IF('Data Source'!AD223&gt;=3.5,"A-",IF('Data Source'!AD223&gt;=3,"B",IF('Data Source'!AD223&gt;=2,"C",IF('Data Source'!AD223&gt;=1,"D","F")))))))</f>
        <v/>
      </c>
      <c r="M223" s="3">
        <f>IF('Data Source'!B223="","",IF('Data Source'!AE223&gt;=5,"A+",IF('Data Source'!AE223&gt;=4,"A",IF('Data Source'!AE223&gt;=3.5,"A-",IF('Data Source'!AE223&gt;=3,"B",IF('Data Source'!AE223&gt;=2,"C",IF('Data Source'!AE223&gt;=1,"D","F")))))))</f>
        <v/>
      </c>
      <c r="N223" s="3">
        <f>IF('Data Source'!B223="","",IF('Data Source'!AF223&gt;=5,"A+",IF('Data Source'!AF223&gt;=4,"A",IF('Data Source'!AF223&gt;=3.5,"A-",IF('Data Source'!AF223&gt;=3,"B",IF('Data Source'!AF223&gt;=2,"C",IF('Data Source'!AF223&gt;=1,"D","F")))))))</f>
        <v/>
      </c>
      <c r="O223" s="3">
        <f>IF('Data Source'!B223="","",IF('Data Source'!AG223&gt;=5,"A+",IF('Data Source'!AG223&gt;=4,"A",IF('Data Source'!AG223&gt;=3.5,"A-",IF('Data Source'!AG223&gt;=3,"B",IF('Data Source'!AG223&gt;=2,"C",IF('Data Source'!AG223&gt;=1,"D","F")))))))</f>
        <v/>
      </c>
      <c r="P223" s="5">
        <f>IF('Data Source'!B223="","",'Data Source'!R223)</f>
        <v/>
      </c>
      <c r="Q223" s="3">
        <f>IF('Data Source'!B223="","",'Data Source'!S223)</f>
        <v/>
      </c>
    </row>
    <row r="224">
      <c r="A224" s="3">
        <f>IF('Data Source'!B224="","",'Data Source'!A224)</f>
        <v/>
      </c>
      <c r="B224">
        <f>IF('Data Source'!B224="","",'Data Source'!B224)</f>
        <v/>
      </c>
      <c r="C224" s="3">
        <f>IF('Data Source'!B224="","",IF('Data Source'!U224&gt;=5,"A+",IF('Data Source'!U224&gt;=4,"A",IF('Data Source'!U224&gt;=3.5,"A-",IF('Data Source'!U224&gt;=3,"B",IF('Data Source'!U224&gt;=2,"C",IF('Data Source'!U224&gt;=1,"D","F")))))))</f>
        <v/>
      </c>
      <c r="D224" s="3">
        <f>IF('Data Source'!B224="","",IF('Data Source'!V224&gt;=5,"A+",IF('Data Source'!V224&gt;=4,"A",IF('Data Source'!V224&gt;=3.5,"A-",IF('Data Source'!V224&gt;=3,"B",IF('Data Source'!V224&gt;=2,"C",IF('Data Source'!V224&gt;=1,"D","F")))))))</f>
        <v/>
      </c>
      <c r="E224" s="3">
        <f>IF('Data Source'!B224="","",IF('Data Source'!W224&gt;=5,"A+",IF('Data Source'!W224&gt;=4,"A",IF('Data Source'!W224&gt;=3.5,"A-",IF('Data Source'!W224&gt;=3,"B",IF('Data Source'!W224&gt;=2,"C",IF('Data Source'!W224&gt;=1,"D","F")))))))</f>
        <v/>
      </c>
      <c r="F224" s="3">
        <f>IF('Data Source'!B224="","",IF('Data Source'!X224&gt;=5,"A+",IF('Data Source'!X224&gt;=4,"A",IF('Data Source'!X224&gt;=3.5,"A-",IF('Data Source'!X224&gt;=3,"B",IF('Data Source'!X224&gt;=2,"C",IF('Data Source'!X224&gt;=1,"D","F")))))))</f>
        <v/>
      </c>
      <c r="G224" s="3">
        <f>IF('Data Source'!B224="","",IF('Data Source'!Y224&gt;=5,"A+",IF('Data Source'!Y224&gt;=4,"A",IF('Data Source'!Y224&gt;=3.5,"A-",IF('Data Source'!Y224&gt;=3,"B",IF('Data Source'!Y224&gt;=2,"C",IF('Data Source'!Y224&gt;=1,"D","F")))))))</f>
        <v/>
      </c>
      <c r="H224" s="3">
        <f>IF('Data Source'!B224="","",IF('Data Source'!Z224&gt;=5,"A+",IF('Data Source'!Z224&gt;=4,"A",IF('Data Source'!Z224&gt;=3.5,"A-",IF('Data Source'!Z224&gt;=3,"B",IF('Data Source'!Z224&gt;=2,"C",IF('Data Source'!Z224&gt;=1,"D","F")))))))</f>
        <v/>
      </c>
      <c r="I224" s="3">
        <f>IF('Data Source'!B224="","",IF('Data Source'!AA224&gt;=5,"A+",IF('Data Source'!AA224&gt;=4,"A",IF('Data Source'!AA224&gt;=3.5,"A-",IF('Data Source'!AA224&gt;=3,"B",IF('Data Source'!AA224&gt;=2,"C",IF('Data Source'!AA224&gt;=1,"D","F")))))))</f>
        <v/>
      </c>
      <c r="J224" s="3">
        <f>IF('Data Source'!B224="","",IF('Data Source'!AB224&gt;=5,"A+",IF('Data Source'!AB224&gt;=4,"A",IF('Data Source'!AB224&gt;=3.5,"A-",IF('Data Source'!AB224&gt;=3,"B",IF('Data Source'!AB224&gt;=2,"C",IF('Data Source'!AB224&gt;=1,"D","F")))))))</f>
        <v/>
      </c>
      <c r="K224" s="3">
        <f>IF('Data Source'!B224="","",IF('Data Source'!AC224&gt;=5,"A+",IF('Data Source'!AC224&gt;=4,"A",IF('Data Source'!AC224&gt;=3.5,"A-",IF('Data Source'!AC224&gt;=3,"B",IF('Data Source'!AC224&gt;=2,"C",IF('Data Source'!AC224&gt;=1,"D","F")))))))</f>
        <v/>
      </c>
      <c r="L224" s="3">
        <f>IF('Data Source'!B224="","",IF('Data Source'!AD224&gt;=5,"A+",IF('Data Source'!AD224&gt;=4,"A",IF('Data Source'!AD224&gt;=3.5,"A-",IF('Data Source'!AD224&gt;=3,"B",IF('Data Source'!AD224&gt;=2,"C",IF('Data Source'!AD224&gt;=1,"D","F")))))))</f>
        <v/>
      </c>
      <c r="M224" s="3">
        <f>IF('Data Source'!B224="","",IF('Data Source'!AE224&gt;=5,"A+",IF('Data Source'!AE224&gt;=4,"A",IF('Data Source'!AE224&gt;=3.5,"A-",IF('Data Source'!AE224&gt;=3,"B",IF('Data Source'!AE224&gt;=2,"C",IF('Data Source'!AE224&gt;=1,"D","F")))))))</f>
        <v/>
      </c>
      <c r="N224" s="3">
        <f>IF('Data Source'!B224="","",IF('Data Source'!AF224&gt;=5,"A+",IF('Data Source'!AF224&gt;=4,"A",IF('Data Source'!AF224&gt;=3.5,"A-",IF('Data Source'!AF224&gt;=3,"B",IF('Data Source'!AF224&gt;=2,"C",IF('Data Source'!AF224&gt;=1,"D","F")))))))</f>
        <v/>
      </c>
      <c r="O224" s="3">
        <f>IF('Data Source'!B224="","",IF('Data Source'!AG224&gt;=5,"A+",IF('Data Source'!AG224&gt;=4,"A",IF('Data Source'!AG224&gt;=3.5,"A-",IF('Data Source'!AG224&gt;=3,"B",IF('Data Source'!AG224&gt;=2,"C",IF('Data Source'!AG224&gt;=1,"D","F")))))))</f>
        <v/>
      </c>
      <c r="P224" s="5">
        <f>IF('Data Source'!B224="","",'Data Source'!R224)</f>
        <v/>
      </c>
      <c r="Q224" s="3">
        <f>IF('Data Source'!B224="","",'Data Source'!S224)</f>
        <v/>
      </c>
    </row>
    <row r="225">
      <c r="A225" s="3">
        <f>IF('Data Source'!B225="","",'Data Source'!A225)</f>
        <v/>
      </c>
      <c r="B225">
        <f>IF('Data Source'!B225="","",'Data Source'!B225)</f>
        <v/>
      </c>
      <c r="C225" s="3">
        <f>IF('Data Source'!B225="","",IF('Data Source'!U225&gt;=5,"A+",IF('Data Source'!U225&gt;=4,"A",IF('Data Source'!U225&gt;=3.5,"A-",IF('Data Source'!U225&gt;=3,"B",IF('Data Source'!U225&gt;=2,"C",IF('Data Source'!U225&gt;=1,"D","F")))))))</f>
        <v/>
      </c>
      <c r="D225" s="3">
        <f>IF('Data Source'!B225="","",IF('Data Source'!V225&gt;=5,"A+",IF('Data Source'!V225&gt;=4,"A",IF('Data Source'!V225&gt;=3.5,"A-",IF('Data Source'!V225&gt;=3,"B",IF('Data Source'!V225&gt;=2,"C",IF('Data Source'!V225&gt;=1,"D","F")))))))</f>
        <v/>
      </c>
      <c r="E225" s="3">
        <f>IF('Data Source'!B225="","",IF('Data Source'!W225&gt;=5,"A+",IF('Data Source'!W225&gt;=4,"A",IF('Data Source'!W225&gt;=3.5,"A-",IF('Data Source'!W225&gt;=3,"B",IF('Data Source'!W225&gt;=2,"C",IF('Data Source'!W225&gt;=1,"D","F")))))))</f>
        <v/>
      </c>
      <c r="F225" s="3">
        <f>IF('Data Source'!B225="","",IF('Data Source'!X225&gt;=5,"A+",IF('Data Source'!X225&gt;=4,"A",IF('Data Source'!X225&gt;=3.5,"A-",IF('Data Source'!X225&gt;=3,"B",IF('Data Source'!X225&gt;=2,"C",IF('Data Source'!X225&gt;=1,"D","F")))))))</f>
        <v/>
      </c>
      <c r="G225" s="3">
        <f>IF('Data Source'!B225="","",IF('Data Source'!Y225&gt;=5,"A+",IF('Data Source'!Y225&gt;=4,"A",IF('Data Source'!Y225&gt;=3.5,"A-",IF('Data Source'!Y225&gt;=3,"B",IF('Data Source'!Y225&gt;=2,"C",IF('Data Source'!Y225&gt;=1,"D","F")))))))</f>
        <v/>
      </c>
      <c r="H225" s="3">
        <f>IF('Data Source'!B225="","",IF('Data Source'!Z225&gt;=5,"A+",IF('Data Source'!Z225&gt;=4,"A",IF('Data Source'!Z225&gt;=3.5,"A-",IF('Data Source'!Z225&gt;=3,"B",IF('Data Source'!Z225&gt;=2,"C",IF('Data Source'!Z225&gt;=1,"D","F")))))))</f>
        <v/>
      </c>
      <c r="I225" s="3">
        <f>IF('Data Source'!B225="","",IF('Data Source'!AA225&gt;=5,"A+",IF('Data Source'!AA225&gt;=4,"A",IF('Data Source'!AA225&gt;=3.5,"A-",IF('Data Source'!AA225&gt;=3,"B",IF('Data Source'!AA225&gt;=2,"C",IF('Data Source'!AA225&gt;=1,"D","F")))))))</f>
        <v/>
      </c>
      <c r="J225" s="3">
        <f>IF('Data Source'!B225="","",IF('Data Source'!AB225&gt;=5,"A+",IF('Data Source'!AB225&gt;=4,"A",IF('Data Source'!AB225&gt;=3.5,"A-",IF('Data Source'!AB225&gt;=3,"B",IF('Data Source'!AB225&gt;=2,"C",IF('Data Source'!AB225&gt;=1,"D","F")))))))</f>
        <v/>
      </c>
      <c r="K225" s="3">
        <f>IF('Data Source'!B225="","",IF('Data Source'!AC225&gt;=5,"A+",IF('Data Source'!AC225&gt;=4,"A",IF('Data Source'!AC225&gt;=3.5,"A-",IF('Data Source'!AC225&gt;=3,"B",IF('Data Source'!AC225&gt;=2,"C",IF('Data Source'!AC225&gt;=1,"D","F")))))))</f>
        <v/>
      </c>
      <c r="L225" s="3">
        <f>IF('Data Source'!B225="","",IF('Data Source'!AD225&gt;=5,"A+",IF('Data Source'!AD225&gt;=4,"A",IF('Data Source'!AD225&gt;=3.5,"A-",IF('Data Source'!AD225&gt;=3,"B",IF('Data Source'!AD225&gt;=2,"C",IF('Data Source'!AD225&gt;=1,"D","F")))))))</f>
        <v/>
      </c>
      <c r="M225" s="3">
        <f>IF('Data Source'!B225="","",IF('Data Source'!AE225&gt;=5,"A+",IF('Data Source'!AE225&gt;=4,"A",IF('Data Source'!AE225&gt;=3.5,"A-",IF('Data Source'!AE225&gt;=3,"B",IF('Data Source'!AE225&gt;=2,"C",IF('Data Source'!AE225&gt;=1,"D","F")))))))</f>
        <v/>
      </c>
      <c r="N225" s="3">
        <f>IF('Data Source'!B225="","",IF('Data Source'!AF225&gt;=5,"A+",IF('Data Source'!AF225&gt;=4,"A",IF('Data Source'!AF225&gt;=3.5,"A-",IF('Data Source'!AF225&gt;=3,"B",IF('Data Source'!AF225&gt;=2,"C",IF('Data Source'!AF225&gt;=1,"D","F")))))))</f>
        <v/>
      </c>
      <c r="O225" s="3">
        <f>IF('Data Source'!B225="","",IF('Data Source'!AG225&gt;=5,"A+",IF('Data Source'!AG225&gt;=4,"A",IF('Data Source'!AG225&gt;=3.5,"A-",IF('Data Source'!AG225&gt;=3,"B",IF('Data Source'!AG225&gt;=2,"C",IF('Data Source'!AG225&gt;=1,"D","F")))))))</f>
        <v/>
      </c>
      <c r="P225" s="5">
        <f>IF('Data Source'!B225="","",'Data Source'!R225)</f>
        <v/>
      </c>
      <c r="Q225" s="3">
        <f>IF('Data Source'!B225="","",'Data Source'!S225)</f>
        <v/>
      </c>
    </row>
    <row r="226">
      <c r="A226" s="3">
        <f>IF('Data Source'!B226="","",'Data Source'!A226)</f>
        <v/>
      </c>
      <c r="B226">
        <f>IF('Data Source'!B226="","",'Data Source'!B226)</f>
        <v/>
      </c>
      <c r="C226" s="3">
        <f>IF('Data Source'!B226="","",IF('Data Source'!U226&gt;=5,"A+",IF('Data Source'!U226&gt;=4,"A",IF('Data Source'!U226&gt;=3.5,"A-",IF('Data Source'!U226&gt;=3,"B",IF('Data Source'!U226&gt;=2,"C",IF('Data Source'!U226&gt;=1,"D","F")))))))</f>
        <v/>
      </c>
      <c r="D226" s="3">
        <f>IF('Data Source'!B226="","",IF('Data Source'!V226&gt;=5,"A+",IF('Data Source'!V226&gt;=4,"A",IF('Data Source'!V226&gt;=3.5,"A-",IF('Data Source'!V226&gt;=3,"B",IF('Data Source'!V226&gt;=2,"C",IF('Data Source'!V226&gt;=1,"D","F")))))))</f>
        <v/>
      </c>
      <c r="E226" s="3">
        <f>IF('Data Source'!B226="","",IF('Data Source'!W226&gt;=5,"A+",IF('Data Source'!W226&gt;=4,"A",IF('Data Source'!W226&gt;=3.5,"A-",IF('Data Source'!W226&gt;=3,"B",IF('Data Source'!W226&gt;=2,"C",IF('Data Source'!W226&gt;=1,"D","F")))))))</f>
        <v/>
      </c>
      <c r="F226" s="3">
        <f>IF('Data Source'!B226="","",IF('Data Source'!X226&gt;=5,"A+",IF('Data Source'!X226&gt;=4,"A",IF('Data Source'!X226&gt;=3.5,"A-",IF('Data Source'!X226&gt;=3,"B",IF('Data Source'!X226&gt;=2,"C",IF('Data Source'!X226&gt;=1,"D","F")))))))</f>
        <v/>
      </c>
      <c r="G226" s="3">
        <f>IF('Data Source'!B226="","",IF('Data Source'!Y226&gt;=5,"A+",IF('Data Source'!Y226&gt;=4,"A",IF('Data Source'!Y226&gt;=3.5,"A-",IF('Data Source'!Y226&gt;=3,"B",IF('Data Source'!Y226&gt;=2,"C",IF('Data Source'!Y226&gt;=1,"D","F")))))))</f>
        <v/>
      </c>
      <c r="H226" s="3">
        <f>IF('Data Source'!B226="","",IF('Data Source'!Z226&gt;=5,"A+",IF('Data Source'!Z226&gt;=4,"A",IF('Data Source'!Z226&gt;=3.5,"A-",IF('Data Source'!Z226&gt;=3,"B",IF('Data Source'!Z226&gt;=2,"C",IF('Data Source'!Z226&gt;=1,"D","F")))))))</f>
        <v/>
      </c>
      <c r="I226" s="3">
        <f>IF('Data Source'!B226="","",IF('Data Source'!AA226&gt;=5,"A+",IF('Data Source'!AA226&gt;=4,"A",IF('Data Source'!AA226&gt;=3.5,"A-",IF('Data Source'!AA226&gt;=3,"B",IF('Data Source'!AA226&gt;=2,"C",IF('Data Source'!AA226&gt;=1,"D","F")))))))</f>
        <v/>
      </c>
      <c r="J226" s="3">
        <f>IF('Data Source'!B226="","",IF('Data Source'!AB226&gt;=5,"A+",IF('Data Source'!AB226&gt;=4,"A",IF('Data Source'!AB226&gt;=3.5,"A-",IF('Data Source'!AB226&gt;=3,"B",IF('Data Source'!AB226&gt;=2,"C",IF('Data Source'!AB226&gt;=1,"D","F")))))))</f>
        <v/>
      </c>
      <c r="K226" s="3">
        <f>IF('Data Source'!B226="","",IF('Data Source'!AC226&gt;=5,"A+",IF('Data Source'!AC226&gt;=4,"A",IF('Data Source'!AC226&gt;=3.5,"A-",IF('Data Source'!AC226&gt;=3,"B",IF('Data Source'!AC226&gt;=2,"C",IF('Data Source'!AC226&gt;=1,"D","F")))))))</f>
        <v/>
      </c>
      <c r="L226" s="3">
        <f>IF('Data Source'!B226="","",IF('Data Source'!AD226&gt;=5,"A+",IF('Data Source'!AD226&gt;=4,"A",IF('Data Source'!AD226&gt;=3.5,"A-",IF('Data Source'!AD226&gt;=3,"B",IF('Data Source'!AD226&gt;=2,"C",IF('Data Source'!AD226&gt;=1,"D","F")))))))</f>
        <v/>
      </c>
      <c r="M226" s="3">
        <f>IF('Data Source'!B226="","",IF('Data Source'!AE226&gt;=5,"A+",IF('Data Source'!AE226&gt;=4,"A",IF('Data Source'!AE226&gt;=3.5,"A-",IF('Data Source'!AE226&gt;=3,"B",IF('Data Source'!AE226&gt;=2,"C",IF('Data Source'!AE226&gt;=1,"D","F")))))))</f>
        <v/>
      </c>
      <c r="N226" s="3">
        <f>IF('Data Source'!B226="","",IF('Data Source'!AF226&gt;=5,"A+",IF('Data Source'!AF226&gt;=4,"A",IF('Data Source'!AF226&gt;=3.5,"A-",IF('Data Source'!AF226&gt;=3,"B",IF('Data Source'!AF226&gt;=2,"C",IF('Data Source'!AF226&gt;=1,"D","F")))))))</f>
        <v/>
      </c>
      <c r="O226" s="3">
        <f>IF('Data Source'!B226="","",IF('Data Source'!AG226&gt;=5,"A+",IF('Data Source'!AG226&gt;=4,"A",IF('Data Source'!AG226&gt;=3.5,"A-",IF('Data Source'!AG226&gt;=3,"B",IF('Data Source'!AG226&gt;=2,"C",IF('Data Source'!AG226&gt;=1,"D","F")))))))</f>
        <v/>
      </c>
      <c r="P226" s="5">
        <f>IF('Data Source'!B226="","",'Data Source'!R226)</f>
        <v/>
      </c>
      <c r="Q226" s="3">
        <f>IF('Data Source'!B226="","",'Data Source'!S226)</f>
        <v/>
      </c>
    </row>
    <row r="227">
      <c r="A227" s="3">
        <f>IF('Data Source'!B227="","",'Data Source'!A227)</f>
        <v/>
      </c>
      <c r="B227">
        <f>IF('Data Source'!B227="","",'Data Source'!B227)</f>
        <v/>
      </c>
      <c r="C227" s="3">
        <f>IF('Data Source'!B227="","",IF('Data Source'!U227&gt;=5,"A+",IF('Data Source'!U227&gt;=4,"A",IF('Data Source'!U227&gt;=3.5,"A-",IF('Data Source'!U227&gt;=3,"B",IF('Data Source'!U227&gt;=2,"C",IF('Data Source'!U227&gt;=1,"D","F")))))))</f>
        <v/>
      </c>
      <c r="D227" s="3">
        <f>IF('Data Source'!B227="","",IF('Data Source'!V227&gt;=5,"A+",IF('Data Source'!V227&gt;=4,"A",IF('Data Source'!V227&gt;=3.5,"A-",IF('Data Source'!V227&gt;=3,"B",IF('Data Source'!V227&gt;=2,"C",IF('Data Source'!V227&gt;=1,"D","F")))))))</f>
        <v/>
      </c>
      <c r="E227" s="3">
        <f>IF('Data Source'!B227="","",IF('Data Source'!W227&gt;=5,"A+",IF('Data Source'!W227&gt;=4,"A",IF('Data Source'!W227&gt;=3.5,"A-",IF('Data Source'!W227&gt;=3,"B",IF('Data Source'!W227&gt;=2,"C",IF('Data Source'!W227&gt;=1,"D","F")))))))</f>
        <v/>
      </c>
      <c r="F227" s="3">
        <f>IF('Data Source'!B227="","",IF('Data Source'!X227&gt;=5,"A+",IF('Data Source'!X227&gt;=4,"A",IF('Data Source'!X227&gt;=3.5,"A-",IF('Data Source'!X227&gt;=3,"B",IF('Data Source'!X227&gt;=2,"C",IF('Data Source'!X227&gt;=1,"D","F")))))))</f>
        <v/>
      </c>
      <c r="G227" s="3">
        <f>IF('Data Source'!B227="","",IF('Data Source'!Y227&gt;=5,"A+",IF('Data Source'!Y227&gt;=4,"A",IF('Data Source'!Y227&gt;=3.5,"A-",IF('Data Source'!Y227&gt;=3,"B",IF('Data Source'!Y227&gt;=2,"C",IF('Data Source'!Y227&gt;=1,"D","F")))))))</f>
        <v/>
      </c>
      <c r="H227" s="3">
        <f>IF('Data Source'!B227="","",IF('Data Source'!Z227&gt;=5,"A+",IF('Data Source'!Z227&gt;=4,"A",IF('Data Source'!Z227&gt;=3.5,"A-",IF('Data Source'!Z227&gt;=3,"B",IF('Data Source'!Z227&gt;=2,"C",IF('Data Source'!Z227&gt;=1,"D","F")))))))</f>
        <v/>
      </c>
      <c r="I227" s="3">
        <f>IF('Data Source'!B227="","",IF('Data Source'!AA227&gt;=5,"A+",IF('Data Source'!AA227&gt;=4,"A",IF('Data Source'!AA227&gt;=3.5,"A-",IF('Data Source'!AA227&gt;=3,"B",IF('Data Source'!AA227&gt;=2,"C",IF('Data Source'!AA227&gt;=1,"D","F")))))))</f>
        <v/>
      </c>
      <c r="J227" s="3">
        <f>IF('Data Source'!B227="","",IF('Data Source'!AB227&gt;=5,"A+",IF('Data Source'!AB227&gt;=4,"A",IF('Data Source'!AB227&gt;=3.5,"A-",IF('Data Source'!AB227&gt;=3,"B",IF('Data Source'!AB227&gt;=2,"C",IF('Data Source'!AB227&gt;=1,"D","F")))))))</f>
        <v/>
      </c>
      <c r="K227" s="3">
        <f>IF('Data Source'!B227="","",IF('Data Source'!AC227&gt;=5,"A+",IF('Data Source'!AC227&gt;=4,"A",IF('Data Source'!AC227&gt;=3.5,"A-",IF('Data Source'!AC227&gt;=3,"B",IF('Data Source'!AC227&gt;=2,"C",IF('Data Source'!AC227&gt;=1,"D","F")))))))</f>
        <v/>
      </c>
      <c r="L227" s="3">
        <f>IF('Data Source'!B227="","",IF('Data Source'!AD227&gt;=5,"A+",IF('Data Source'!AD227&gt;=4,"A",IF('Data Source'!AD227&gt;=3.5,"A-",IF('Data Source'!AD227&gt;=3,"B",IF('Data Source'!AD227&gt;=2,"C",IF('Data Source'!AD227&gt;=1,"D","F")))))))</f>
        <v/>
      </c>
      <c r="M227" s="3">
        <f>IF('Data Source'!B227="","",IF('Data Source'!AE227&gt;=5,"A+",IF('Data Source'!AE227&gt;=4,"A",IF('Data Source'!AE227&gt;=3.5,"A-",IF('Data Source'!AE227&gt;=3,"B",IF('Data Source'!AE227&gt;=2,"C",IF('Data Source'!AE227&gt;=1,"D","F")))))))</f>
        <v/>
      </c>
      <c r="N227" s="3">
        <f>IF('Data Source'!B227="","",IF('Data Source'!AF227&gt;=5,"A+",IF('Data Source'!AF227&gt;=4,"A",IF('Data Source'!AF227&gt;=3.5,"A-",IF('Data Source'!AF227&gt;=3,"B",IF('Data Source'!AF227&gt;=2,"C",IF('Data Source'!AF227&gt;=1,"D","F")))))))</f>
        <v/>
      </c>
      <c r="O227" s="3">
        <f>IF('Data Source'!B227="","",IF('Data Source'!AG227&gt;=5,"A+",IF('Data Source'!AG227&gt;=4,"A",IF('Data Source'!AG227&gt;=3.5,"A-",IF('Data Source'!AG227&gt;=3,"B",IF('Data Source'!AG227&gt;=2,"C",IF('Data Source'!AG227&gt;=1,"D","F")))))))</f>
        <v/>
      </c>
      <c r="P227" s="5">
        <f>IF('Data Source'!B227="","",'Data Source'!R227)</f>
        <v/>
      </c>
      <c r="Q227" s="3">
        <f>IF('Data Source'!B227="","",'Data Source'!S227)</f>
        <v/>
      </c>
    </row>
    <row r="228">
      <c r="A228" s="3">
        <f>IF('Data Source'!B228="","",'Data Source'!A228)</f>
        <v/>
      </c>
      <c r="B228">
        <f>IF('Data Source'!B228="","",'Data Source'!B228)</f>
        <v/>
      </c>
      <c r="C228" s="3">
        <f>IF('Data Source'!B228="","",IF('Data Source'!U228&gt;=5,"A+",IF('Data Source'!U228&gt;=4,"A",IF('Data Source'!U228&gt;=3.5,"A-",IF('Data Source'!U228&gt;=3,"B",IF('Data Source'!U228&gt;=2,"C",IF('Data Source'!U228&gt;=1,"D","F")))))))</f>
        <v/>
      </c>
      <c r="D228" s="3">
        <f>IF('Data Source'!B228="","",IF('Data Source'!V228&gt;=5,"A+",IF('Data Source'!V228&gt;=4,"A",IF('Data Source'!V228&gt;=3.5,"A-",IF('Data Source'!V228&gt;=3,"B",IF('Data Source'!V228&gt;=2,"C",IF('Data Source'!V228&gt;=1,"D","F")))))))</f>
        <v/>
      </c>
      <c r="E228" s="3">
        <f>IF('Data Source'!B228="","",IF('Data Source'!W228&gt;=5,"A+",IF('Data Source'!W228&gt;=4,"A",IF('Data Source'!W228&gt;=3.5,"A-",IF('Data Source'!W228&gt;=3,"B",IF('Data Source'!W228&gt;=2,"C",IF('Data Source'!W228&gt;=1,"D","F")))))))</f>
        <v/>
      </c>
      <c r="F228" s="3">
        <f>IF('Data Source'!B228="","",IF('Data Source'!X228&gt;=5,"A+",IF('Data Source'!X228&gt;=4,"A",IF('Data Source'!X228&gt;=3.5,"A-",IF('Data Source'!X228&gt;=3,"B",IF('Data Source'!X228&gt;=2,"C",IF('Data Source'!X228&gt;=1,"D","F")))))))</f>
        <v/>
      </c>
      <c r="G228" s="3">
        <f>IF('Data Source'!B228="","",IF('Data Source'!Y228&gt;=5,"A+",IF('Data Source'!Y228&gt;=4,"A",IF('Data Source'!Y228&gt;=3.5,"A-",IF('Data Source'!Y228&gt;=3,"B",IF('Data Source'!Y228&gt;=2,"C",IF('Data Source'!Y228&gt;=1,"D","F")))))))</f>
        <v/>
      </c>
      <c r="H228" s="3">
        <f>IF('Data Source'!B228="","",IF('Data Source'!Z228&gt;=5,"A+",IF('Data Source'!Z228&gt;=4,"A",IF('Data Source'!Z228&gt;=3.5,"A-",IF('Data Source'!Z228&gt;=3,"B",IF('Data Source'!Z228&gt;=2,"C",IF('Data Source'!Z228&gt;=1,"D","F")))))))</f>
        <v/>
      </c>
      <c r="I228" s="3">
        <f>IF('Data Source'!B228="","",IF('Data Source'!AA228&gt;=5,"A+",IF('Data Source'!AA228&gt;=4,"A",IF('Data Source'!AA228&gt;=3.5,"A-",IF('Data Source'!AA228&gt;=3,"B",IF('Data Source'!AA228&gt;=2,"C",IF('Data Source'!AA228&gt;=1,"D","F")))))))</f>
        <v/>
      </c>
      <c r="J228" s="3">
        <f>IF('Data Source'!B228="","",IF('Data Source'!AB228&gt;=5,"A+",IF('Data Source'!AB228&gt;=4,"A",IF('Data Source'!AB228&gt;=3.5,"A-",IF('Data Source'!AB228&gt;=3,"B",IF('Data Source'!AB228&gt;=2,"C",IF('Data Source'!AB228&gt;=1,"D","F")))))))</f>
        <v/>
      </c>
      <c r="K228" s="3">
        <f>IF('Data Source'!B228="","",IF('Data Source'!AC228&gt;=5,"A+",IF('Data Source'!AC228&gt;=4,"A",IF('Data Source'!AC228&gt;=3.5,"A-",IF('Data Source'!AC228&gt;=3,"B",IF('Data Source'!AC228&gt;=2,"C",IF('Data Source'!AC228&gt;=1,"D","F")))))))</f>
        <v/>
      </c>
      <c r="L228" s="3">
        <f>IF('Data Source'!B228="","",IF('Data Source'!AD228&gt;=5,"A+",IF('Data Source'!AD228&gt;=4,"A",IF('Data Source'!AD228&gt;=3.5,"A-",IF('Data Source'!AD228&gt;=3,"B",IF('Data Source'!AD228&gt;=2,"C",IF('Data Source'!AD228&gt;=1,"D","F")))))))</f>
        <v/>
      </c>
      <c r="M228" s="3">
        <f>IF('Data Source'!B228="","",IF('Data Source'!AE228&gt;=5,"A+",IF('Data Source'!AE228&gt;=4,"A",IF('Data Source'!AE228&gt;=3.5,"A-",IF('Data Source'!AE228&gt;=3,"B",IF('Data Source'!AE228&gt;=2,"C",IF('Data Source'!AE228&gt;=1,"D","F")))))))</f>
        <v/>
      </c>
      <c r="N228" s="3">
        <f>IF('Data Source'!B228="","",IF('Data Source'!AF228&gt;=5,"A+",IF('Data Source'!AF228&gt;=4,"A",IF('Data Source'!AF228&gt;=3.5,"A-",IF('Data Source'!AF228&gt;=3,"B",IF('Data Source'!AF228&gt;=2,"C",IF('Data Source'!AF228&gt;=1,"D","F")))))))</f>
        <v/>
      </c>
      <c r="O228" s="3">
        <f>IF('Data Source'!B228="","",IF('Data Source'!AG228&gt;=5,"A+",IF('Data Source'!AG228&gt;=4,"A",IF('Data Source'!AG228&gt;=3.5,"A-",IF('Data Source'!AG228&gt;=3,"B",IF('Data Source'!AG228&gt;=2,"C",IF('Data Source'!AG228&gt;=1,"D","F")))))))</f>
        <v/>
      </c>
      <c r="P228" s="5">
        <f>IF('Data Source'!B228="","",'Data Source'!R228)</f>
        <v/>
      </c>
      <c r="Q228" s="3">
        <f>IF('Data Source'!B228="","",'Data Source'!S228)</f>
        <v/>
      </c>
    </row>
    <row r="229">
      <c r="A229" s="3">
        <f>IF('Data Source'!B229="","",'Data Source'!A229)</f>
        <v/>
      </c>
      <c r="B229">
        <f>IF('Data Source'!B229="","",'Data Source'!B229)</f>
        <v/>
      </c>
      <c r="C229" s="3">
        <f>IF('Data Source'!B229="","",IF('Data Source'!U229&gt;=5,"A+",IF('Data Source'!U229&gt;=4,"A",IF('Data Source'!U229&gt;=3.5,"A-",IF('Data Source'!U229&gt;=3,"B",IF('Data Source'!U229&gt;=2,"C",IF('Data Source'!U229&gt;=1,"D","F")))))))</f>
        <v/>
      </c>
      <c r="D229" s="3">
        <f>IF('Data Source'!B229="","",IF('Data Source'!V229&gt;=5,"A+",IF('Data Source'!V229&gt;=4,"A",IF('Data Source'!V229&gt;=3.5,"A-",IF('Data Source'!V229&gt;=3,"B",IF('Data Source'!V229&gt;=2,"C",IF('Data Source'!V229&gt;=1,"D","F")))))))</f>
        <v/>
      </c>
      <c r="E229" s="3">
        <f>IF('Data Source'!B229="","",IF('Data Source'!W229&gt;=5,"A+",IF('Data Source'!W229&gt;=4,"A",IF('Data Source'!W229&gt;=3.5,"A-",IF('Data Source'!W229&gt;=3,"B",IF('Data Source'!W229&gt;=2,"C",IF('Data Source'!W229&gt;=1,"D","F")))))))</f>
        <v/>
      </c>
      <c r="F229" s="3">
        <f>IF('Data Source'!B229="","",IF('Data Source'!X229&gt;=5,"A+",IF('Data Source'!X229&gt;=4,"A",IF('Data Source'!X229&gt;=3.5,"A-",IF('Data Source'!X229&gt;=3,"B",IF('Data Source'!X229&gt;=2,"C",IF('Data Source'!X229&gt;=1,"D","F")))))))</f>
        <v/>
      </c>
      <c r="G229" s="3">
        <f>IF('Data Source'!B229="","",IF('Data Source'!Y229&gt;=5,"A+",IF('Data Source'!Y229&gt;=4,"A",IF('Data Source'!Y229&gt;=3.5,"A-",IF('Data Source'!Y229&gt;=3,"B",IF('Data Source'!Y229&gt;=2,"C",IF('Data Source'!Y229&gt;=1,"D","F")))))))</f>
        <v/>
      </c>
      <c r="H229" s="3">
        <f>IF('Data Source'!B229="","",IF('Data Source'!Z229&gt;=5,"A+",IF('Data Source'!Z229&gt;=4,"A",IF('Data Source'!Z229&gt;=3.5,"A-",IF('Data Source'!Z229&gt;=3,"B",IF('Data Source'!Z229&gt;=2,"C",IF('Data Source'!Z229&gt;=1,"D","F")))))))</f>
        <v/>
      </c>
      <c r="I229" s="3">
        <f>IF('Data Source'!B229="","",IF('Data Source'!AA229&gt;=5,"A+",IF('Data Source'!AA229&gt;=4,"A",IF('Data Source'!AA229&gt;=3.5,"A-",IF('Data Source'!AA229&gt;=3,"B",IF('Data Source'!AA229&gt;=2,"C",IF('Data Source'!AA229&gt;=1,"D","F")))))))</f>
        <v/>
      </c>
      <c r="J229" s="3">
        <f>IF('Data Source'!B229="","",IF('Data Source'!AB229&gt;=5,"A+",IF('Data Source'!AB229&gt;=4,"A",IF('Data Source'!AB229&gt;=3.5,"A-",IF('Data Source'!AB229&gt;=3,"B",IF('Data Source'!AB229&gt;=2,"C",IF('Data Source'!AB229&gt;=1,"D","F")))))))</f>
        <v/>
      </c>
      <c r="K229" s="3">
        <f>IF('Data Source'!B229="","",IF('Data Source'!AC229&gt;=5,"A+",IF('Data Source'!AC229&gt;=4,"A",IF('Data Source'!AC229&gt;=3.5,"A-",IF('Data Source'!AC229&gt;=3,"B",IF('Data Source'!AC229&gt;=2,"C",IF('Data Source'!AC229&gt;=1,"D","F")))))))</f>
        <v/>
      </c>
      <c r="L229" s="3">
        <f>IF('Data Source'!B229="","",IF('Data Source'!AD229&gt;=5,"A+",IF('Data Source'!AD229&gt;=4,"A",IF('Data Source'!AD229&gt;=3.5,"A-",IF('Data Source'!AD229&gt;=3,"B",IF('Data Source'!AD229&gt;=2,"C",IF('Data Source'!AD229&gt;=1,"D","F")))))))</f>
        <v/>
      </c>
      <c r="M229" s="3">
        <f>IF('Data Source'!B229="","",IF('Data Source'!AE229&gt;=5,"A+",IF('Data Source'!AE229&gt;=4,"A",IF('Data Source'!AE229&gt;=3.5,"A-",IF('Data Source'!AE229&gt;=3,"B",IF('Data Source'!AE229&gt;=2,"C",IF('Data Source'!AE229&gt;=1,"D","F")))))))</f>
        <v/>
      </c>
      <c r="N229" s="3">
        <f>IF('Data Source'!B229="","",IF('Data Source'!AF229&gt;=5,"A+",IF('Data Source'!AF229&gt;=4,"A",IF('Data Source'!AF229&gt;=3.5,"A-",IF('Data Source'!AF229&gt;=3,"B",IF('Data Source'!AF229&gt;=2,"C",IF('Data Source'!AF229&gt;=1,"D","F")))))))</f>
        <v/>
      </c>
      <c r="O229" s="3">
        <f>IF('Data Source'!B229="","",IF('Data Source'!AG229&gt;=5,"A+",IF('Data Source'!AG229&gt;=4,"A",IF('Data Source'!AG229&gt;=3.5,"A-",IF('Data Source'!AG229&gt;=3,"B",IF('Data Source'!AG229&gt;=2,"C",IF('Data Source'!AG229&gt;=1,"D","F")))))))</f>
        <v/>
      </c>
      <c r="P229" s="5">
        <f>IF('Data Source'!B229="","",'Data Source'!R229)</f>
        <v/>
      </c>
      <c r="Q229" s="3">
        <f>IF('Data Source'!B229="","",'Data Source'!S229)</f>
        <v/>
      </c>
    </row>
    <row r="230">
      <c r="A230" s="3">
        <f>IF('Data Source'!B230="","",'Data Source'!A230)</f>
        <v/>
      </c>
      <c r="B230">
        <f>IF('Data Source'!B230="","",'Data Source'!B230)</f>
        <v/>
      </c>
      <c r="C230" s="3">
        <f>IF('Data Source'!B230="","",IF('Data Source'!U230&gt;=5,"A+",IF('Data Source'!U230&gt;=4,"A",IF('Data Source'!U230&gt;=3.5,"A-",IF('Data Source'!U230&gt;=3,"B",IF('Data Source'!U230&gt;=2,"C",IF('Data Source'!U230&gt;=1,"D","F")))))))</f>
        <v/>
      </c>
      <c r="D230" s="3">
        <f>IF('Data Source'!B230="","",IF('Data Source'!V230&gt;=5,"A+",IF('Data Source'!V230&gt;=4,"A",IF('Data Source'!V230&gt;=3.5,"A-",IF('Data Source'!V230&gt;=3,"B",IF('Data Source'!V230&gt;=2,"C",IF('Data Source'!V230&gt;=1,"D","F")))))))</f>
        <v/>
      </c>
      <c r="E230" s="3">
        <f>IF('Data Source'!B230="","",IF('Data Source'!W230&gt;=5,"A+",IF('Data Source'!W230&gt;=4,"A",IF('Data Source'!W230&gt;=3.5,"A-",IF('Data Source'!W230&gt;=3,"B",IF('Data Source'!W230&gt;=2,"C",IF('Data Source'!W230&gt;=1,"D","F")))))))</f>
        <v/>
      </c>
      <c r="F230" s="3">
        <f>IF('Data Source'!B230="","",IF('Data Source'!X230&gt;=5,"A+",IF('Data Source'!X230&gt;=4,"A",IF('Data Source'!X230&gt;=3.5,"A-",IF('Data Source'!X230&gt;=3,"B",IF('Data Source'!X230&gt;=2,"C",IF('Data Source'!X230&gt;=1,"D","F")))))))</f>
        <v/>
      </c>
      <c r="G230" s="3">
        <f>IF('Data Source'!B230="","",IF('Data Source'!Y230&gt;=5,"A+",IF('Data Source'!Y230&gt;=4,"A",IF('Data Source'!Y230&gt;=3.5,"A-",IF('Data Source'!Y230&gt;=3,"B",IF('Data Source'!Y230&gt;=2,"C",IF('Data Source'!Y230&gt;=1,"D","F")))))))</f>
        <v/>
      </c>
      <c r="H230" s="3">
        <f>IF('Data Source'!B230="","",IF('Data Source'!Z230&gt;=5,"A+",IF('Data Source'!Z230&gt;=4,"A",IF('Data Source'!Z230&gt;=3.5,"A-",IF('Data Source'!Z230&gt;=3,"B",IF('Data Source'!Z230&gt;=2,"C",IF('Data Source'!Z230&gt;=1,"D","F")))))))</f>
        <v/>
      </c>
      <c r="I230" s="3">
        <f>IF('Data Source'!B230="","",IF('Data Source'!AA230&gt;=5,"A+",IF('Data Source'!AA230&gt;=4,"A",IF('Data Source'!AA230&gt;=3.5,"A-",IF('Data Source'!AA230&gt;=3,"B",IF('Data Source'!AA230&gt;=2,"C",IF('Data Source'!AA230&gt;=1,"D","F")))))))</f>
        <v/>
      </c>
      <c r="J230" s="3">
        <f>IF('Data Source'!B230="","",IF('Data Source'!AB230&gt;=5,"A+",IF('Data Source'!AB230&gt;=4,"A",IF('Data Source'!AB230&gt;=3.5,"A-",IF('Data Source'!AB230&gt;=3,"B",IF('Data Source'!AB230&gt;=2,"C",IF('Data Source'!AB230&gt;=1,"D","F")))))))</f>
        <v/>
      </c>
      <c r="K230" s="3">
        <f>IF('Data Source'!B230="","",IF('Data Source'!AC230&gt;=5,"A+",IF('Data Source'!AC230&gt;=4,"A",IF('Data Source'!AC230&gt;=3.5,"A-",IF('Data Source'!AC230&gt;=3,"B",IF('Data Source'!AC230&gt;=2,"C",IF('Data Source'!AC230&gt;=1,"D","F")))))))</f>
        <v/>
      </c>
      <c r="L230" s="3">
        <f>IF('Data Source'!B230="","",IF('Data Source'!AD230&gt;=5,"A+",IF('Data Source'!AD230&gt;=4,"A",IF('Data Source'!AD230&gt;=3.5,"A-",IF('Data Source'!AD230&gt;=3,"B",IF('Data Source'!AD230&gt;=2,"C",IF('Data Source'!AD230&gt;=1,"D","F")))))))</f>
        <v/>
      </c>
      <c r="M230" s="3">
        <f>IF('Data Source'!B230="","",IF('Data Source'!AE230&gt;=5,"A+",IF('Data Source'!AE230&gt;=4,"A",IF('Data Source'!AE230&gt;=3.5,"A-",IF('Data Source'!AE230&gt;=3,"B",IF('Data Source'!AE230&gt;=2,"C",IF('Data Source'!AE230&gt;=1,"D","F")))))))</f>
        <v/>
      </c>
      <c r="N230" s="3">
        <f>IF('Data Source'!B230="","",IF('Data Source'!AF230&gt;=5,"A+",IF('Data Source'!AF230&gt;=4,"A",IF('Data Source'!AF230&gt;=3.5,"A-",IF('Data Source'!AF230&gt;=3,"B",IF('Data Source'!AF230&gt;=2,"C",IF('Data Source'!AF230&gt;=1,"D","F")))))))</f>
        <v/>
      </c>
      <c r="O230" s="3">
        <f>IF('Data Source'!B230="","",IF('Data Source'!AG230&gt;=5,"A+",IF('Data Source'!AG230&gt;=4,"A",IF('Data Source'!AG230&gt;=3.5,"A-",IF('Data Source'!AG230&gt;=3,"B",IF('Data Source'!AG230&gt;=2,"C",IF('Data Source'!AG230&gt;=1,"D","F")))))))</f>
        <v/>
      </c>
      <c r="P230" s="5">
        <f>IF('Data Source'!B230="","",'Data Source'!R230)</f>
        <v/>
      </c>
      <c r="Q230" s="3">
        <f>IF('Data Source'!B230="","",'Data Source'!S230)</f>
        <v/>
      </c>
    </row>
    <row r="231">
      <c r="A231" s="3">
        <f>IF('Data Source'!B231="","",'Data Source'!A231)</f>
        <v/>
      </c>
      <c r="B231">
        <f>IF('Data Source'!B231="","",'Data Source'!B231)</f>
        <v/>
      </c>
      <c r="C231" s="3">
        <f>IF('Data Source'!B231="","",IF('Data Source'!U231&gt;=5,"A+",IF('Data Source'!U231&gt;=4,"A",IF('Data Source'!U231&gt;=3.5,"A-",IF('Data Source'!U231&gt;=3,"B",IF('Data Source'!U231&gt;=2,"C",IF('Data Source'!U231&gt;=1,"D","F")))))))</f>
        <v/>
      </c>
      <c r="D231" s="3">
        <f>IF('Data Source'!B231="","",IF('Data Source'!V231&gt;=5,"A+",IF('Data Source'!V231&gt;=4,"A",IF('Data Source'!V231&gt;=3.5,"A-",IF('Data Source'!V231&gt;=3,"B",IF('Data Source'!V231&gt;=2,"C",IF('Data Source'!V231&gt;=1,"D","F")))))))</f>
        <v/>
      </c>
      <c r="E231" s="3">
        <f>IF('Data Source'!B231="","",IF('Data Source'!W231&gt;=5,"A+",IF('Data Source'!W231&gt;=4,"A",IF('Data Source'!W231&gt;=3.5,"A-",IF('Data Source'!W231&gt;=3,"B",IF('Data Source'!W231&gt;=2,"C",IF('Data Source'!W231&gt;=1,"D","F")))))))</f>
        <v/>
      </c>
      <c r="F231" s="3">
        <f>IF('Data Source'!B231="","",IF('Data Source'!X231&gt;=5,"A+",IF('Data Source'!X231&gt;=4,"A",IF('Data Source'!X231&gt;=3.5,"A-",IF('Data Source'!X231&gt;=3,"B",IF('Data Source'!X231&gt;=2,"C",IF('Data Source'!X231&gt;=1,"D","F")))))))</f>
        <v/>
      </c>
      <c r="G231" s="3">
        <f>IF('Data Source'!B231="","",IF('Data Source'!Y231&gt;=5,"A+",IF('Data Source'!Y231&gt;=4,"A",IF('Data Source'!Y231&gt;=3.5,"A-",IF('Data Source'!Y231&gt;=3,"B",IF('Data Source'!Y231&gt;=2,"C",IF('Data Source'!Y231&gt;=1,"D","F")))))))</f>
        <v/>
      </c>
      <c r="H231" s="3">
        <f>IF('Data Source'!B231="","",IF('Data Source'!Z231&gt;=5,"A+",IF('Data Source'!Z231&gt;=4,"A",IF('Data Source'!Z231&gt;=3.5,"A-",IF('Data Source'!Z231&gt;=3,"B",IF('Data Source'!Z231&gt;=2,"C",IF('Data Source'!Z231&gt;=1,"D","F")))))))</f>
        <v/>
      </c>
      <c r="I231" s="3">
        <f>IF('Data Source'!B231="","",IF('Data Source'!AA231&gt;=5,"A+",IF('Data Source'!AA231&gt;=4,"A",IF('Data Source'!AA231&gt;=3.5,"A-",IF('Data Source'!AA231&gt;=3,"B",IF('Data Source'!AA231&gt;=2,"C",IF('Data Source'!AA231&gt;=1,"D","F")))))))</f>
        <v/>
      </c>
      <c r="J231" s="3">
        <f>IF('Data Source'!B231="","",IF('Data Source'!AB231&gt;=5,"A+",IF('Data Source'!AB231&gt;=4,"A",IF('Data Source'!AB231&gt;=3.5,"A-",IF('Data Source'!AB231&gt;=3,"B",IF('Data Source'!AB231&gt;=2,"C",IF('Data Source'!AB231&gt;=1,"D","F")))))))</f>
        <v/>
      </c>
      <c r="K231" s="3">
        <f>IF('Data Source'!B231="","",IF('Data Source'!AC231&gt;=5,"A+",IF('Data Source'!AC231&gt;=4,"A",IF('Data Source'!AC231&gt;=3.5,"A-",IF('Data Source'!AC231&gt;=3,"B",IF('Data Source'!AC231&gt;=2,"C",IF('Data Source'!AC231&gt;=1,"D","F")))))))</f>
        <v/>
      </c>
      <c r="L231" s="3">
        <f>IF('Data Source'!B231="","",IF('Data Source'!AD231&gt;=5,"A+",IF('Data Source'!AD231&gt;=4,"A",IF('Data Source'!AD231&gt;=3.5,"A-",IF('Data Source'!AD231&gt;=3,"B",IF('Data Source'!AD231&gt;=2,"C",IF('Data Source'!AD231&gt;=1,"D","F")))))))</f>
        <v/>
      </c>
      <c r="M231" s="3">
        <f>IF('Data Source'!B231="","",IF('Data Source'!AE231&gt;=5,"A+",IF('Data Source'!AE231&gt;=4,"A",IF('Data Source'!AE231&gt;=3.5,"A-",IF('Data Source'!AE231&gt;=3,"B",IF('Data Source'!AE231&gt;=2,"C",IF('Data Source'!AE231&gt;=1,"D","F")))))))</f>
        <v/>
      </c>
      <c r="N231" s="3">
        <f>IF('Data Source'!B231="","",IF('Data Source'!AF231&gt;=5,"A+",IF('Data Source'!AF231&gt;=4,"A",IF('Data Source'!AF231&gt;=3.5,"A-",IF('Data Source'!AF231&gt;=3,"B",IF('Data Source'!AF231&gt;=2,"C",IF('Data Source'!AF231&gt;=1,"D","F")))))))</f>
        <v/>
      </c>
      <c r="O231" s="3">
        <f>IF('Data Source'!B231="","",IF('Data Source'!AG231&gt;=5,"A+",IF('Data Source'!AG231&gt;=4,"A",IF('Data Source'!AG231&gt;=3.5,"A-",IF('Data Source'!AG231&gt;=3,"B",IF('Data Source'!AG231&gt;=2,"C",IF('Data Source'!AG231&gt;=1,"D","F")))))))</f>
        <v/>
      </c>
      <c r="P231" s="5">
        <f>IF('Data Source'!B231="","",'Data Source'!R231)</f>
        <v/>
      </c>
      <c r="Q231" s="3">
        <f>IF('Data Source'!B231="","",'Data Source'!S231)</f>
        <v/>
      </c>
    </row>
    <row r="232">
      <c r="A232" s="3">
        <f>IF('Data Source'!B232="","",'Data Source'!A232)</f>
        <v/>
      </c>
      <c r="B232">
        <f>IF('Data Source'!B232="","",'Data Source'!B232)</f>
        <v/>
      </c>
      <c r="C232" s="3">
        <f>IF('Data Source'!B232="","",IF('Data Source'!U232&gt;=5,"A+",IF('Data Source'!U232&gt;=4,"A",IF('Data Source'!U232&gt;=3.5,"A-",IF('Data Source'!U232&gt;=3,"B",IF('Data Source'!U232&gt;=2,"C",IF('Data Source'!U232&gt;=1,"D","F")))))))</f>
        <v/>
      </c>
      <c r="D232" s="3">
        <f>IF('Data Source'!B232="","",IF('Data Source'!V232&gt;=5,"A+",IF('Data Source'!V232&gt;=4,"A",IF('Data Source'!V232&gt;=3.5,"A-",IF('Data Source'!V232&gt;=3,"B",IF('Data Source'!V232&gt;=2,"C",IF('Data Source'!V232&gt;=1,"D","F")))))))</f>
        <v/>
      </c>
      <c r="E232" s="3">
        <f>IF('Data Source'!B232="","",IF('Data Source'!W232&gt;=5,"A+",IF('Data Source'!W232&gt;=4,"A",IF('Data Source'!W232&gt;=3.5,"A-",IF('Data Source'!W232&gt;=3,"B",IF('Data Source'!W232&gt;=2,"C",IF('Data Source'!W232&gt;=1,"D","F")))))))</f>
        <v/>
      </c>
      <c r="F232" s="3">
        <f>IF('Data Source'!B232="","",IF('Data Source'!X232&gt;=5,"A+",IF('Data Source'!X232&gt;=4,"A",IF('Data Source'!X232&gt;=3.5,"A-",IF('Data Source'!X232&gt;=3,"B",IF('Data Source'!X232&gt;=2,"C",IF('Data Source'!X232&gt;=1,"D","F")))))))</f>
        <v/>
      </c>
      <c r="G232" s="3">
        <f>IF('Data Source'!B232="","",IF('Data Source'!Y232&gt;=5,"A+",IF('Data Source'!Y232&gt;=4,"A",IF('Data Source'!Y232&gt;=3.5,"A-",IF('Data Source'!Y232&gt;=3,"B",IF('Data Source'!Y232&gt;=2,"C",IF('Data Source'!Y232&gt;=1,"D","F")))))))</f>
        <v/>
      </c>
      <c r="H232" s="3">
        <f>IF('Data Source'!B232="","",IF('Data Source'!Z232&gt;=5,"A+",IF('Data Source'!Z232&gt;=4,"A",IF('Data Source'!Z232&gt;=3.5,"A-",IF('Data Source'!Z232&gt;=3,"B",IF('Data Source'!Z232&gt;=2,"C",IF('Data Source'!Z232&gt;=1,"D","F")))))))</f>
        <v/>
      </c>
      <c r="I232" s="3">
        <f>IF('Data Source'!B232="","",IF('Data Source'!AA232&gt;=5,"A+",IF('Data Source'!AA232&gt;=4,"A",IF('Data Source'!AA232&gt;=3.5,"A-",IF('Data Source'!AA232&gt;=3,"B",IF('Data Source'!AA232&gt;=2,"C",IF('Data Source'!AA232&gt;=1,"D","F")))))))</f>
        <v/>
      </c>
      <c r="J232" s="3">
        <f>IF('Data Source'!B232="","",IF('Data Source'!AB232&gt;=5,"A+",IF('Data Source'!AB232&gt;=4,"A",IF('Data Source'!AB232&gt;=3.5,"A-",IF('Data Source'!AB232&gt;=3,"B",IF('Data Source'!AB232&gt;=2,"C",IF('Data Source'!AB232&gt;=1,"D","F")))))))</f>
        <v/>
      </c>
      <c r="K232" s="3">
        <f>IF('Data Source'!B232="","",IF('Data Source'!AC232&gt;=5,"A+",IF('Data Source'!AC232&gt;=4,"A",IF('Data Source'!AC232&gt;=3.5,"A-",IF('Data Source'!AC232&gt;=3,"B",IF('Data Source'!AC232&gt;=2,"C",IF('Data Source'!AC232&gt;=1,"D","F")))))))</f>
        <v/>
      </c>
      <c r="L232" s="3">
        <f>IF('Data Source'!B232="","",IF('Data Source'!AD232&gt;=5,"A+",IF('Data Source'!AD232&gt;=4,"A",IF('Data Source'!AD232&gt;=3.5,"A-",IF('Data Source'!AD232&gt;=3,"B",IF('Data Source'!AD232&gt;=2,"C",IF('Data Source'!AD232&gt;=1,"D","F")))))))</f>
        <v/>
      </c>
      <c r="M232" s="3">
        <f>IF('Data Source'!B232="","",IF('Data Source'!AE232&gt;=5,"A+",IF('Data Source'!AE232&gt;=4,"A",IF('Data Source'!AE232&gt;=3.5,"A-",IF('Data Source'!AE232&gt;=3,"B",IF('Data Source'!AE232&gt;=2,"C",IF('Data Source'!AE232&gt;=1,"D","F")))))))</f>
        <v/>
      </c>
      <c r="N232" s="3">
        <f>IF('Data Source'!B232="","",IF('Data Source'!AF232&gt;=5,"A+",IF('Data Source'!AF232&gt;=4,"A",IF('Data Source'!AF232&gt;=3.5,"A-",IF('Data Source'!AF232&gt;=3,"B",IF('Data Source'!AF232&gt;=2,"C",IF('Data Source'!AF232&gt;=1,"D","F")))))))</f>
        <v/>
      </c>
      <c r="O232" s="3">
        <f>IF('Data Source'!B232="","",IF('Data Source'!AG232&gt;=5,"A+",IF('Data Source'!AG232&gt;=4,"A",IF('Data Source'!AG232&gt;=3.5,"A-",IF('Data Source'!AG232&gt;=3,"B",IF('Data Source'!AG232&gt;=2,"C",IF('Data Source'!AG232&gt;=1,"D","F")))))))</f>
        <v/>
      </c>
      <c r="P232" s="5">
        <f>IF('Data Source'!B232="","",'Data Source'!R232)</f>
        <v/>
      </c>
      <c r="Q232" s="3">
        <f>IF('Data Source'!B232="","",'Data Source'!S232)</f>
        <v/>
      </c>
    </row>
    <row r="233">
      <c r="A233" s="3">
        <f>IF('Data Source'!B233="","",'Data Source'!A233)</f>
        <v/>
      </c>
      <c r="B233">
        <f>IF('Data Source'!B233="","",'Data Source'!B233)</f>
        <v/>
      </c>
      <c r="C233" s="3">
        <f>IF('Data Source'!B233="","",IF('Data Source'!U233&gt;=5,"A+",IF('Data Source'!U233&gt;=4,"A",IF('Data Source'!U233&gt;=3.5,"A-",IF('Data Source'!U233&gt;=3,"B",IF('Data Source'!U233&gt;=2,"C",IF('Data Source'!U233&gt;=1,"D","F")))))))</f>
        <v/>
      </c>
      <c r="D233" s="3">
        <f>IF('Data Source'!B233="","",IF('Data Source'!V233&gt;=5,"A+",IF('Data Source'!V233&gt;=4,"A",IF('Data Source'!V233&gt;=3.5,"A-",IF('Data Source'!V233&gt;=3,"B",IF('Data Source'!V233&gt;=2,"C",IF('Data Source'!V233&gt;=1,"D","F")))))))</f>
        <v/>
      </c>
      <c r="E233" s="3">
        <f>IF('Data Source'!B233="","",IF('Data Source'!W233&gt;=5,"A+",IF('Data Source'!W233&gt;=4,"A",IF('Data Source'!W233&gt;=3.5,"A-",IF('Data Source'!W233&gt;=3,"B",IF('Data Source'!W233&gt;=2,"C",IF('Data Source'!W233&gt;=1,"D","F")))))))</f>
        <v/>
      </c>
      <c r="F233" s="3">
        <f>IF('Data Source'!B233="","",IF('Data Source'!X233&gt;=5,"A+",IF('Data Source'!X233&gt;=4,"A",IF('Data Source'!X233&gt;=3.5,"A-",IF('Data Source'!X233&gt;=3,"B",IF('Data Source'!X233&gt;=2,"C",IF('Data Source'!X233&gt;=1,"D","F")))))))</f>
        <v/>
      </c>
      <c r="G233" s="3">
        <f>IF('Data Source'!B233="","",IF('Data Source'!Y233&gt;=5,"A+",IF('Data Source'!Y233&gt;=4,"A",IF('Data Source'!Y233&gt;=3.5,"A-",IF('Data Source'!Y233&gt;=3,"B",IF('Data Source'!Y233&gt;=2,"C",IF('Data Source'!Y233&gt;=1,"D","F")))))))</f>
        <v/>
      </c>
      <c r="H233" s="3">
        <f>IF('Data Source'!B233="","",IF('Data Source'!Z233&gt;=5,"A+",IF('Data Source'!Z233&gt;=4,"A",IF('Data Source'!Z233&gt;=3.5,"A-",IF('Data Source'!Z233&gt;=3,"B",IF('Data Source'!Z233&gt;=2,"C",IF('Data Source'!Z233&gt;=1,"D","F")))))))</f>
        <v/>
      </c>
      <c r="I233" s="3">
        <f>IF('Data Source'!B233="","",IF('Data Source'!AA233&gt;=5,"A+",IF('Data Source'!AA233&gt;=4,"A",IF('Data Source'!AA233&gt;=3.5,"A-",IF('Data Source'!AA233&gt;=3,"B",IF('Data Source'!AA233&gt;=2,"C",IF('Data Source'!AA233&gt;=1,"D","F")))))))</f>
        <v/>
      </c>
      <c r="J233" s="3">
        <f>IF('Data Source'!B233="","",IF('Data Source'!AB233&gt;=5,"A+",IF('Data Source'!AB233&gt;=4,"A",IF('Data Source'!AB233&gt;=3.5,"A-",IF('Data Source'!AB233&gt;=3,"B",IF('Data Source'!AB233&gt;=2,"C",IF('Data Source'!AB233&gt;=1,"D","F")))))))</f>
        <v/>
      </c>
      <c r="K233" s="3">
        <f>IF('Data Source'!B233="","",IF('Data Source'!AC233&gt;=5,"A+",IF('Data Source'!AC233&gt;=4,"A",IF('Data Source'!AC233&gt;=3.5,"A-",IF('Data Source'!AC233&gt;=3,"B",IF('Data Source'!AC233&gt;=2,"C",IF('Data Source'!AC233&gt;=1,"D","F")))))))</f>
        <v/>
      </c>
      <c r="L233" s="3">
        <f>IF('Data Source'!B233="","",IF('Data Source'!AD233&gt;=5,"A+",IF('Data Source'!AD233&gt;=4,"A",IF('Data Source'!AD233&gt;=3.5,"A-",IF('Data Source'!AD233&gt;=3,"B",IF('Data Source'!AD233&gt;=2,"C",IF('Data Source'!AD233&gt;=1,"D","F")))))))</f>
        <v/>
      </c>
      <c r="M233" s="3">
        <f>IF('Data Source'!B233="","",IF('Data Source'!AE233&gt;=5,"A+",IF('Data Source'!AE233&gt;=4,"A",IF('Data Source'!AE233&gt;=3.5,"A-",IF('Data Source'!AE233&gt;=3,"B",IF('Data Source'!AE233&gt;=2,"C",IF('Data Source'!AE233&gt;=1,"D","F")))))))</f>
        <v/>
      </c>
      <c r="N233" s="3">
        <f>IF('Data Source'!B233="","",IF('Data Source'!AF233&gt;=5,"A+",IF('Data Source'!AF233&gt;=4,"A",IF('Data Source'!AF233&gt;=3.5,"A-",IF('Data Source'!AF233&gt;=3,"B",IF('Data Source'!AF233&gt;=2,"C",IF('Data Source'!AF233&gt;=1,"D","F")))))))</f>
        <v/>
      </c>
      <c r="O233" s="3">
        <f>IF('Data Source'!B233="","",IF('Data Source'!AG233&gt;=5,"A+",IF('Data Source'!AG233&gt;=4,"A",IF('Data Source'!AG233&gt;=3.5,"A-",IF('Data Source'!AG233&gt;=3,"B",IF('Data Source'!AG233&gt;=2,"C",IF('Data Source'!AG233&gt;=1,"D","F")))))))</f>
        <v/>
      </c>
      <c r="P233" s="5">
        <f>IF('Data Source'!B233="","",'Data Source'!R233)</f>
        <v/>
      </c>
      <c r="Q233" s="3">
        <f>IF('Data Source'!B233="","",'Data Source'!S233)</f>
        <v/>
      </c>
    </row>
    <row r="234">
      <c r="A234" s="3">
        <f>IF('Data Source'!B234="","",'Data Source'!A234)</f>
        <v/>
      </c>
      <c r="B234">
        <f>IF('Data Source'!B234="","",'Data Source'!B234)</f>
        <v/>
      </c>
      <c r="C234" s="3">
        <f>IF('Data Source'!B234="","",IF('Data Source'!U234&gt;=5,"A+",IF('Data Source'!U234&gt;=4,"A",IF('Data Source'!U234&gt;=3.5,"A-",IF('Data Source'!U234&gt;=3,"B",IF('Data Source'!U234&gt;=2,"C",IF('Data Source'!U234&gt;=1,"D","F")))))))</f>
        <v/>
      </c>
      <c r="D234" s="3">
        <f>IF('Data Source'!B234="","",IF('Data Source'!V234&gt;=5,"A+",IF('Data Source'!V234&gt;=4,"A",IF('Data Source'!V234&gt;=3.5,"A-",IF('Data Source'!V234&gt;=3,"B",IF('Data Source'!V234&gt;=2,"C",IF('Data Source'!V234&gt;=1,"D","F")))))))</f>
        <v/>
      </c>
      <c r="E234" s="3">
        <f>IF('Data Source'!B234="","",IF('Data Source'!W234&gt;=5,"A+",IF('Data Source'!W234&gt;=4,"A",IF('Data Source'!W234&gt;=3.5,"A-",IF('Data Source'!W234&gt;=3,"B",IF('Data Source'!W234&gt;=2,"C",IF('Data Source'!W234&gt;=1,"D","F")))))))</f>
        <v/>
      </c>
      <c r="F234" s="3">
        <f>IF('Data Source'!B234="","",IF('Data Source'!X234&gt;=5,"A+",IF('Data Source'!X234&gt;=4,"A",IF('Data Source'!X234&gt;=3.5,"A-",IF('Data Source'!X234&gt;=3,"B",IF('Data Source'!X234&gt;=2,"C",IF('Data Source'!X234&gt;=1,"D","F")))))))</f>
        <v/>
      </c>
      <c r="G234" s="3">
        <f>IF('Data Source'!B234="","",IF('Data Source'!Y234&gt;=5,"A+",IF('Data Source'!Y234&gt;=4,"A",IF('Data Source'!Y234&gt;=3.5,"A-",IF('Data Source'!Y234&gt;=3,"B",IF('Data Source'!Y234&gt;=2,"C",IF('Data Source'!Y234&gt;=1,"D","F")))))))</f>
        <v/>
      </c>
      <c r="H234" s="3">
        <f>IF('Data Source'!B234="","",IF('Data Source'!Z234&gt;=5,"A+",IF('Data Source'!Z234&gt;=4,"A",IF('Data Source'!Z234&gt;=3.5,"A-",IF('Data Source'!Z234&gt;=3,"B",IF('Data Source'!Z234&gt;=2,"C",IF('Data Source'!Z234&gt;=1,"D","F")))))))</f>
        <v/>
      </c>
      <c r="I234" s="3">
        <f>IF('Data Source'!B234="","",IF('Data Source'!AA234&gt;=5,"A+",IF('Data Source'!AA234&gt;=4,"A",IF('Data Source'!AA234&gt;=3.5,"A-",IF('Data Source'!AA234&gt;=3,"B",IF('Data Source'!AA234&gt;=2,"C",IF('Data Source'!AA234&gt;=1,"D","F")))))))</f>
        <v/>
      </c>
      <c r="J234" s="3">
        <f>IF('Data Source'!B234="","",IF('Data Source'!AB234&gt;=5,"A+",IF('Data Source'!AB234&gt;=4,"A",IF('Data Source'!AB234&gt;=3.5,"A-",IF('Data Source'!AB234&gt;=3,"B",IF('Data Source'!AB234&gt;=2,"C",IF('Data Source'!AB234&gt;=1,"D","F")))))))</f>
        <v/>
      </c>
      <c r="K234" s="3">
        <f>IF('Data Source'!B234="","",IF('Data Source'!AC234&gt;=5,"A+",IF('Data Source'!AC234&gt;=4,"A",IF('Data Source'!AC234&gt;=3.5,"A-",IF('Data Source'!AC234&gt;=3,"B",IF('Data Source'!AC234&gt;=2,"C",IF('Data Source'!AC234&gt;=1,"D","F")))))))</f>
        <v/>
      </c>
      <c r="L234" s="3">
        <f>IF('Data Source'!B234="","",IF('Data Source'!AD234&gt;=5,"A+",IF('Data Source'!AD234&gt;=4,"A",IF('Data Source'!AD234&gt;=3.5,"A-",IF('Data Source'!AD234&gt;=3,"B",IF('Data Source'!AD234&gt;=2,"C",IF('Data Source'!AD234&gt;=1,"D","F")))))))</f>
        <v/>
      </c>
      <c r="M234" s="3">
        <f>IF('Data Source'!B234="","",IF('Data Source'!AE234&gt;=5,"A+",IF('Data Source'!AE234&gt;=4,"A",IF('Data Source'!AE234&gt;=3.5,"A-",IF('Data Source'!AE234&gt;=3,"B",IF('Data Source'!AE234&gt;=2,"C",IF('Data Source'!AE234&gt;=1,"D","F")))))))</f>
        <v/>
      </c>
      <c r="N234" s="3">
        <f>IF('Data Source'!B234="","",IF('Data Source'!AF234&gt;=5,"A+",IF('Data Source'!AF234&gt;=4,"A",IF('Data Source'!AF234&gt;=3.5,"A-",IF('Data Source'!AF234&gt;=3,"B",IF('Data Source'!AF234&gt;=2,"C",IF('Data Source'!AF234&gt;=1,"D","F")))))))</f>
        <v/>
      </c>
      <c r="O234" s="3">
        <f>IF('Data Source'!B234="","",IF('Data Source'!AG234&gt;=5,"A+",IF('Data Source'!AG234&gt;=4,"A",IF('Data Source'!AG234&gt;=3.5,"A-",IF('Data Source'!AG234&gt;=3,"B",IF('Data Source'!AG234&gt;=2,"C",IF('Data Source'!AG234&gt;=1,"D","F")))))))</f>
        <v/>
      </c>
      <c r="P234" s="5">
        <f>IF('Data Source'!B234="","",'Data Source'!R234)</f>
        <v/>
      </c>
      <c r="Q234" s="3">
        <f>IF('Data Source'!B234="","",'Data Source'!S234)</f>
        <v/>
      </c>
    </row>
    <row r="235">
      <c r="A235" s="3">
        <f>IF('Data Source'!B235="","",'Data Source'!A235)</f>
        <v/>
      </c>
      <c r="B235">
        <f>IF('Data Source'!B235="","",'Data Source'!B235)</f>
        <v/>
      </c>
      <c r="C235" s="3">
        <f>IF('Data Source'!B235="","",IF('Data Source'!U235&gt;=5,"A+",IF('Data Source'!U235&gt;=4,"A",IF('Data Source'!U235&gt;=3.5,"A-",IF('Data Source'!U235&gt;=3,"B",IF('Data Source'!U235&gt;=2,"C",IF('Data Source'!U235&gt;=1,"D","F")))))))</f>
        <v/>
      </c>
      <c r="D235" s="3">
        <f>IF('Data Source'!B235="","",IF('Data Source'!V235&gt;=5,"A+",IF('Data Source'!V235&gt;=4,"A",IF('Data Source'!V235&gt;=3.5,"A-",IF('Data Source'!V235&gt;=3,"B",IF('Data Source'!V235&gt;=2,"C",IF('Data Source'!V235&gt;=1,"D","F")))))))</f>
        <v/>
      </c>
      <c r="E235" s="3">
        <f>IF('Data Source'!B235="","",IF('Data Source'!W235&gt;=5,"A+",IF('Data Source'!W235&gt;=4,"A",IF('Data Source'!W235&gt;=3.5,"A-",IF('Data Source'!W235&gt;=3,"B",IF('Data Source'!W235&gt;=2,"C",IF('Data Source'!W235&gt;=1,"D","F")))))))</f>
        <v/>
      </c>
      <c r="F235" s="3">
        <f>IF('Data Source'!B235="","",IF('Data Source'!X235&gt;=5,"A+",IF('Data Source'!X235&gt;=4,"A",IF('Data Source'!X235&gt;=3.5,"A-",IF('Data Source'!X235&gt;=3,"B",IF('Data Source'!X235&gt;=2,"C",IF('Data Source'!X235&gt;=1,"D","F")))))))</f>
        <v/>
      </c>
      <c r="G235" s="3">
        <f>IF('Data Source'!B235="","",IF('Data Source'!Y235&gt;=5,"A+",IF('Data Source'!Y235&gt;=4,"A",IF('Data Source'!Y235&gt;=3.5,"A-",IF('Data Source'!Y235&gt;=3,"B",IF('Data Source'!Y235&gt;=2,"C",IF('Data Source'!Y235&gt;=1,"D","F")))))))</f>
        <v/>
      </c>
      <c r="H235" s="3">
        <f>IF('Data Source'!B235="","",IF('Data Source'!Z235&gt;=5,"A+",IF('Data Source'!Z235&gt;=4,"A",IF('Data Source'!Z235&gt;=3.5,"A-",IF('Data Source'!Z235&gt;=3,"B",IF('Data Source'!Z235&gt;=2,"C",IF('Data Source'!Z235&gt;=1,"D","F")))))))</f>
        <v/>
      </c>
      <c r="I235" s="3">
        <f>IF('Data Source'!B235="","",IF('Data Source'!AA235&gt;=5,"A+",IF('Data Source'!AA235&gt;=4,"A",IF('Data Source'!AA235&gt;=3.5,"A-",IF('Data Source'!AA235&gt;=3,"B",IF('Data Source'!AA235&gt;=2,"C",IF('Data Source'!AA235&gt;=1,"D","F")))))))</f>
        <v/>
      </c>
      <c r="J235" s="3">
        <f>IF('Data Source'!B235="","",IF('Data Source'!AB235&gt;=5,"A+",IF('Data Source'!AB235&gt;=4,"A",IF('Data Source'!AB235&gt;=3.5,"A-",IF('Data Source'!AB235&gt;=3,"B",IF('Data Source'!AB235&gt;=2,"C",IF('Data Source'!AB235&gt;=1,"D","F")))))))</f>
        <v/>
      </c>
      <c r="K235" s="3">
        <f>IF('Data Source'!B235="","",IF('Data Source'!AC235&gt;=5,"A+",IF('Data Source'!AC235&gt;=4,"A",IF('Data Source'!AC235&gt;=3.5,"A-",IF('Data Source'!AC235&gt;=3,"B",IF('Data Source'!AC235&gt;=2,"C",IF('Data Source'!AC235&gt;=1,"D","F")))))))</f>
        <v/>
      </c>
      <c r="L235" s="3">
        <f>IF('Data Source'!B235="","",IF('Data Source'!AD235&gt;=5,"A+",IF('Data Source'!AD235&gt;=4,"A",IF('Data Source'!AD235&gt;=3.5,"A-",IF('Data Source'!AD235&gt;=3,"B",IF('Data Source'!AD235&gt;=2,"C",IF('Data Source'!AD235&gt;=1,"D","F")))))))</f>
        <v/>
      </c>
      <c r="M235" s="3">
        <f>IF('Data Source'!B235="","",IF('Data Source'!AE235&gt;=5,"A+",IF('Data Source'!AE235&gt;=4,"A",IF('Data Source'!AE235&gt;=3.5,"A-",IF('Data Source'!AE235&gt;=3,"B",IF('Data Source'!AE235&gt;=2,"C",IF('Data Source'!AE235&gt;=1,"D","F")))))))</f>
        <v/>
      </c>
      <c r="N235" s="3">
        <f>IF('Data Source'!B235="","",IF('Data Source'!AF235&gt;=5,"A+",IF('Data Source'!AF235&gt;=4,"A",IF('Data Source'!AF235&gt;=3.5,"A-",IF('Data Source'!AF235&gt;=3,"B",IF('Data Source'!AF235&gt;=2,"C",IF('Data Source'!AF235&gt;=1,"D","F")))))))</f>
        <v/>
      </c>
      <c r="O235" s="3">
        <f>IF('Data Source'!B235="","",IF('Data Source'!AG235&gt;=5,"A+",IF('Data Source'!AG235&gt;=4,"A",IF('Data Source'!AG235&gt;=3.5,"A-",IF('Data Source'!AG235&gt;=3,"B",IF('Data Source'!AG235&gt;=2,"C",IF('Data Source'!AG235&gt;=1,"D","F")))))))</f>
        <v/>
      </c>
      <c r="P235" s="5">
        <f>IF('Data Source'!B235="","",'Data Source'!R235)</f>
        <v/>
      </c>
      <c r="Q235" s="3">
        <f>IF('Data Source'!B235="","",'Data Source'!S235)</f>
        <v/>
      </c>
    </row>
    <row r="236">
      <c r="A236" s="3">
        <f>IF('Data Source'!B236="","",'Data Source'!A236)</f>
        <v/>
      </c>
      <c r="B236">
        <f>IF('Data Source'!B236="","",'Data Source'!B236)</f>
        <v/>
      </c>
      <c r="C236" s="3">
        <f>IF('Data Source'!B236="","",IF('Data Source'!U236&gt;=5,"A+",IF('Data Source'!U236&gt;=4,"A",IF('Data Source'!U236&gt;=3.5,"A-",IF('Data Source'!U236&gt;=3,"B",IF('Data Source'!U236&gt;=2,"C",IF('Data Source'!U236&gt;=1,"D","F")))))))</f>
        <v/>
      </c>
      <c r="D236" s="3">
        <f>IF('Data Source'!B236="","",IF('Data Source'!V236&gt;=5,"A+",IF('Data Source'!V236&gt;=4,"A",IF('Data Source'!V236&gt;=3.5,"A-",IF('Data Source'!V236&gt;=3,"B",IF('Data Source'!V236&gt;=2,"C",IF('Data Source'!V236&gt;=1,"D","F")))))))</f>
        <v/>
      </c>
      <c r="E236" s="3">
        <f>IF('Data Source'!B236="","",IF('Data Source'!W236&gt;=5,"A+",IF('Data Source'!W236&gt;=4,"A",IF('Data Source'!W236&gt;=3.5,"A-",IF('Data Source'!W236&gt;=3,"B",IF('Data Source'!W236&gt;=2,"C",IF('Data Source'!W236&gt;=1,"D","F")))))))</f>
        <v/>
      </c>
      <c r="F236" s="3">
        <f>IF('Data Source'!B236="","",IF('Data Source'!X236&gt;=5,"A+",IF('Data Source'!X236&gt;=4,"A",IF('Data Source'!X236&gt;=3.5,"A-",IF('Data Source'!X236&gt;=3,"B",IF('Data Source'!X236&gt;=2,"C",IF('Data Source'!X236&gt;=1,"D","F")))))))</f>
        <v/>
      </c>
      <c r="G236" s="3">
        <f>IF('Data Source'!B236="","",IF('Data Source'!Y236&gt;=5,"A+",IF('Data Source'!Y236&gt;=4,"A",IF('Data Source'!Y236&gt;=3.5,"A-",IF('Data Source'!Y236&gt;=3,"B",IF('Data Source'!Y236&gt;=2,"C",IF('Data Source'!Y236&gt;=1,"D","F")))))))</f>
        <v/>
      </c>
      <c r="H236" s="3">
        <f>IF('Data Source'!B236="","",IF('Data Source'!Z236&gt;=5,"A+",IF('Data Source'!Z236&gt;=4,"A",IF('Data Source'!Z236&gt;=3.5,"A-",IF('Data Source'!Z236&gt;=3,"B",IF('Data Source'!Z236&gt;=2,"C",IF('Data Source'!Z236&gt;=1,"D","F")))))))</f>
        <v/>
      </c>
      <c r="I236" s="3">
        <f>IF('Data Source'!B236="","",IF('Data Source'!AA236&gt;=5,"A+",IF('Data Source'!AA236&gt;=4,"A",IF('Data Source'!AA236&gt;=3.5,"A-",IF('Data Source'!AA236&gt;=3,"B",IF('Data Source'!AA236&gt;=2,"C",IF('Data Source'!AA236&gt;=1,"D","F")))))))</f>
        <v/>
      </c>
      <c r="J236" s="3">
        <f>IF('Data Source'!B236="","",IF('Data Source'!AB236&gt;=5,"A+",IF('Data Source'!AB236&gt;=4,"A",IF('Data Source'!AB236&gt;=3.5,"A-",IF('Data Source'!AB236&gt;=3,"B",IF('Data Source'!AB236&gt;=2,"C",IF('Data Source'!AB236&gt;=1,"D","F")))))))</f>
        <v/>
      </c>
      <c r="K236" s="3">
        <f>IF('Data Source'!B236="","",IF('Data Source'!AC236&gt;=5,"A+",IF('Data Source'!AC236&gt;=4,"A",IF('Data Source'!AC236&gt;=3.5,"A-",IF('Data Source'!AC236&gt;=3,"B",IF('Data Source'!AC236&gt;=2,"C",IF('Data Source'!AC236&gt;=1,"D","F")))))))</f>
        <v/>
      </c>
      <c r="L236" s="3">
        <f>IF('Data Source'!B236="","",IF('Data Source'!AD236&gt;=5,"A+",IF('Data Source'!AD236&gt;=4,"A",IF('Data Source'!AD236&gt;=3.5,"A-",IF('Data Source'!AD236&gt;=3,"B",IF('Data Source'!AD236&gt;=2,"C",IF('Data Source'!AD236&gt;=1,"D","F")))))))</f>
        <v/>
      </c>
      <c r="M236" s="3">
        <f>IF('Data Source'!B236="","",IF('Data Source'!AE236&gt;=5,"A+",IF('Data Source'!AE236&gt;=4,"A",IF('Data Source'!AE236&gt;=3.5,"A-",IF('Data Source'!AE236&gt;=3,"B",IF('Data Source'!AE236&gt;=2,"C",IF('Data Source'!AE236&gt;=1,"D","F")))))))</f>
        <v/>
      </c>
      <c r="N236" s="3">
        <f>IF('Data Source'!B236="","",IF('Data Source'!AF236&gt;=5,"A+",IF('Data Source'!AF236&gt;=4,"A",IF('Data Source'!AF236&gt;=3.5,"A-",IF('Data Source'!AF236&gt;=3,"B",IF('Data Source'!AF236&gt;=2,"C",IF('Data Source'!AF236&gt;=1,"D","F")))))))</f>
        <v/>
      </c>
      <c r="O236" s="3">
        <f>IF('Data Source'!B236="","",IF('Data Source'!AG236&gt;=5,"A+",IF('Data Source'!AG236&gt;=4,"A",IF('Data Source'!AG236&gt;=3.5,"A-",IF('Data Source'!AG236&gt;=3,"B",IF('Data Source'!AG236&gt;=2,"C",IF('Data Source'!AG236&gt;=1,"D","F")))))))</f>
        <v/>
      </c>
      <c r="P236" s="5">
        <f>IF('Data Source'!B236="","",'Data Source'!R236)</f>
        <v/>
      </c>
      <c r="Q236" s="3">
        <f>IF('Data Source'!B236="","",'Data Source'!S236)</f>
        <v/>
      </c>
    </row>
    <row r="237">
      <c r="A237" s="3">
        <f>IF('Data Source'!B237="","",'Data Source'!A237)</f>
        <v/>
      </c>
      <c r="B237">
        <f>IF('Data Source'!B237="","",'Data Source'!B237)</f>
        <v/>
      </c>
      <c r="C237" s="3">
        <f>IF('Data Source'!B237="","",IF('Data Source'!U237&gt;=5,"A+",IF('Data Source'!U237&gt;=4,"A",IF('Data Source'!U237&gt;=3.5,"A-",IF('Data Source'!U237&gt;=3,"B",IF('Data Source'!U237&gt;=2,"C",IF('Data Source'!U237&gt;=1,"D","F")))))))</f>
        <v/>
      </c>
      <c r="D237" s="3">
        <f>IF('Data Source'!B237="","",IF('Data Source'!V237&gt;=5,"A+",IF('Data Source'!V237&gt;=4,"A",IF('Data Source'!V237&gt;=3.5,"A-",IF('Data Source'!V237&gt;=3,"B",IF('Data Source'!V237&gt;=2,"C",IF('Data Source'!V237&gt;=1,"D","F")))))))</f>
        <v/>
      </c>
      <c r="E237" s="3">
        <f>IF('Data Source'!B237="","",IF('Data Source'!W237&gt;=5,"A+",IF('Data Source'!W237&gt;=4,"A",IF('Data Source'!W237&gt;=3.5,"A-",IF('Data Source'!W237&gt;=3,"B",IF('Data Source'!W237&gt;=2,"C",IF('Data Source'!W237&gt;=1,"D","F")))))))</f>
        <v/>
      </c>
      <c r="F237" s="3">
        <f>IF('Data Source'!B237="","",IF('Data Source'!X237&gt;=5,"A+",IF('Data Source'!X237&gt;=4,"A",IF('Data Source'!X237&gt;=3.5,"A-",IF('Data Source'!X237&gt;=3,"B",IF('Data Source'!X237&gt;=2,"C",IF('Data Source'!X237&gt;=1,"D","F")))))))</f>
        <v/>
      </c>
      <c r="G237" s="3">
        <f>IF('Data Source'!B237="","",IF('Data Source'!Y237&gt;=5,"A+",IF('Data Source'!Y237&gt;=4,"A",IF('Data Source'!Y237&gt;=3.5,"A-",IF('Data Source'!Y237&gt;=3,"B",IF('Data Source'!Y237&gt;=2,"C",IF('Data Source'!Y237&gt;=1,"D","F")))))))</f>
        <v/>
      </c>
      <c r="H237" s="3">
        <f>IF('Data Source'!B237="","",IF('Data Source'!Z237&gt;=5,"A+",IF('Data Source'!Z237&gt;=4,"A",IF('Data Source'!Z237&gt;=3.5,"A-",IF('Data Source'!Z237&gt;=3,"B",IF('Data Source'!Z237&gt;=2,"C",IF('Data Source'!Z237&gt;=1,"D","F")))))))</f>
        <v/>
      </c>
      <c r="I237" s="3">
        <f>IF('Data Source'!B237="","",IF('Data Source'!AA237&gt;=5,"A+",IF('Data Source'!AA237&gt;=4,"A",IF('Data Source'!AA237&gt;=3.5,"A-",IF('Data Source'!AA237&gt;=3,"B",IF('Data Source'!AA237&gt;=2,"C",IF('Data Source'!AA237&gt;=1,"D","F")))))))</f>
        <v/>
      </c>
      <c r="J237" s="3">
        <f>IF('Data Source'!B237="","",IF('Data Source'!AB237&gt;=5,"A+",IF('Data Source'!AB237&gt;=4,"A",IF('Data Source'!AB237&gt;=3.5,"A-",IF('Data Source'!AB237&gt;=3,"B",IF('Data Source'!AB237&gt;=2,"C",IF('Data Source'!AB237&gt;=1,"D","F")))))))</f>
        <v/>
      </c>
      <c r="K237" s="3">
        <f>IF('Data Source'!B237="","",IF('Data Source'!AC237&gt;=5,"A+",IF('Data Source'!AC237&gt;=4,"A",IF('Data Source'!AC237&gt;=3.5,"A-",IF('Data Source'!AC237&gt;=3,"B",IF('Data Source'!AC237&gt;=2,"C",IF('Data Source'!AC237&gt;=1,"D","F")))))))</f>
        <v/>
      </c>
      <c r="L237" s="3">
        <f>IF('Data Source'!B237="","",IF('Data Source'!AD237&gt;=5,"A+",IF('Data Source'!AD237&gt;=4,"A",IF('Data Source'!AD237&gt;=3.5,"A-",IF('Data Source'!AD237&gt;=3,"B",IF('Data Source'!AD237&gt;=2,"C",IF('Data Source'!AD237&gt;=1,"D","F")))))))</f>
        <v/>
      </c>
      <c r="M237" s="3">
        <f>IF('Data Source'!B237="","",IF('Data Source'!AE237&gt;=5,"A+",IF('Data Source'!AE237&gt;=4,"A",IF('Data Source'!AE237&gt;=3.5,"A-",IF('Data Source'!AE237&gt;=3,"B",IF('Data Source'!AE237&gt;=2,"C",IF('Data Source'!AE237&gt;=1,"D","F")))))))</f>
        <v/>
      </c>
      <c r="N237" s="3">
        <f>IF('Data Source'!B237="","",IF('Data Source'!AF237&gt;=5,"A+",IF('Data Source'!AF237&gt;=4,"A",IF('Data Source'!AF237&gt;=3.5,"A-",IF('Data Source'!AF237&gt;=3,"B",IF('Data Source'!AF237&gt;=2,"C",IF('Data Source'!AF237&gt;=1,"D","F")))))))</f>
        <v/>
      </c>
      <c r="O237" s="3">
        <f>IF('Data Source'!B237="","",IF('Data Source'!AG237&gt;=5,"A+",IF('Data Source'!AG237&gt;=4,"A",IF('Data Source'!AG237&gt;=3.5,"A-",IF('Data Source'!AG237&gt;=3,"B",IF('Data Source'!AG237&gt;=2,"C",IF('Data Source'!AG237&gt;=1,"D","F")))))))</f>
        <v/>
      </c>
      <c r="P237" s="5">
        <f>IF('Data Source'!B237="","",'Data Source'!R237)</f>
        <v/>
      </c>
      <c r="Q237" s="3">
        <f>IF('Data Source'!B237="","",'Data Source'!S237)</f>
        <v/>
      </c>
    </row>
    <row r="238">
      <c r="A238" s="3">
        <f>IF('Data Source'!B238="","",'Data Source'!A238)</f>
        <v/>
      </c>
      <c r="B238">
        <f>IF('Data Source'!B238="","",'Data Source'!B238)</f>
        <v/>
      </c>
      <c r="C238" s="3">
        <f>IF('Data Source'!B238="","",IF('Data Source'!U238&gt;=5,"A+",IF('Data Source'!U238&gt;=4,"A",IF('Data Source'!U238&gt;=3.5,"A-",IF('Data Source'!U238&gt;=3,"B",IF('Data Source'!U238&gt;=2,"C",IF('Data Source'!U238&gt;=1,"D","F")))))))</f>
        <v/>
      </c>
      <c r="D238" s="3">
        <f>IF('Data Source'!B238="","",IF('Data Source'!V238&gt;=5,"A+",IF('Data Source'!V238&gt;=4,"A",IF('Data Source'!V238&gt;=3.5,"A-",IF('Data Source'!V238&gt;=3,"B",IF('Data Source'!V238&gt;=2,"C",IF('Data Source'!V238&gt;=1,"D","F")))))))</f>
        <v/>
      </c>
      <c r="E238" s="3">
        <f>IF('Data Source'!B238="","",IF('Data Source'!W238&gt;=5,"A+",IF('Data Source'!W238&gt;=4,"A",IF('Data Source'!W238&gt;=3.5,"A-",IF('Data Source'!W238&gt;=3,"B",IF('Data Source'!W238&gt;=2,"C",IF('Data Source'!W238&gt;=1,"D","F")))))))</f>
        <v/>
      </c>
      <c r="F238" s="3">
        <f>IF('Data Source'!B238="","",IF('Data Source'!X238&gt;=5,"A+",IF('Data Source'!X238&gt;=4,"A",IF('Data Source'!X238&gt;=3.5,"A-",IF('Data Source'!X238&gt;=3,"B",IF('Data Source'!X238&gt;=2,"C",IF('Data Source'!X238&gt;=1,"D","F")))))))</f>
        <v/>
      </c>
      <c r="G238" s="3">
        <f>IF('Data Source'!B238="","",IF('Data Source'!Y238&gt;=5,"A+",IF('Data Source'!Y238&gt;=4,"A",IF('Data Source'!Y238&gt;=3.5,"A-",IF('Data Source'!Y238&gt;=3,"B",IF('Data Source'!Y238&gt;=2,"C",IF('Data Source'!Y238&gt;=1,"D","F")))))))</f>
        <v/>
      </c>
      <c r="H238" s="3">
        <f>IF('Data Source'!B238="","",IF('Data Source'!Z238&gt;=5,"A+",IF('Data Source'!Z238&gt;=4,"A",IF('Data Source'!Z238&gt;=3.5,"A-",IF('Data Source'!Z238&gt;=3,"B",IF('Data Source'!Z238&gt;=2,"C",IF('Data Source'!Z238&gt;=1,"D","F")))))))</f>
        <v/>
      </c>
      <c r="I238" s="3">
        <f>IF('Data Source'!B238="","",IF('Data Source'!AA238&gt;=5,"A+",IF('Data Source'!AA238&gt;=4,"A",IF('Data Source'!AA238&gt;=3.5,"A-",IF('Data Source'!AA238&gt;=3,"B",IF('Data Source'!AA238&gt;=2,"C",IF('Data Source'!AA238&gt;=1,"D","F")))))))</f>
        <v/>
      </c>
      <c r="J238" s="3">
        <f>IF('Data Source'!B238="","",IF('Data Source'!AB238&gt;=5,"A+",IF('Data Source'!AB238&gt;=4,"A",IF('Data Source'!AB238&gt;=3.5,"A-",IF('Data Source'!AB238&gt;=3,"B",IF('Data Source'!AB238&gt;=2,"C",IF('Data Source'!AB238&gt;=1,"D","F")))))))</f>
        <v/>
      </c>
      <c r="K238" s="3">
        <f>IF('Data Source'!B238="","",IF('Data Source'!AC238&gt;=5,"A+",IF('Data Source'!AC238&gt;=4,"A",IF('Data Source'!AC238&gt;=3.5,"A-",IF('Data Source'!AC238&gt;=3,"B",IF('Data Source'!AC238&gt;=2,"C",IF('Data Source'!AC238&gt;=1,"D","F")))))))</f>
        <v/>
      </c>
      <c r="L238" s="3">
        <f>IF('Data Source'!B238="","",IF('Data Source'!AD238&gt;=5,"A+",IF('Data Source'!AD238&gt;=4,"A",IF('Data Source'!AD238&gt;=3.5,"A-",IF('Data Source'!AD238&gt;=3,"B",IF('Data Source'!AD238&gt;=2,"C",IF('Data Source'!AD238&gt;=1,"D","F")))))))</f>
        <v/>
      </c>
      <c r="M238" s="3">
        <f>IF('Data Source'!B238="","",IF('Data Source'!AE238&gt;=5,"A+",IF('Data Source'!AE238&gt;=4,"A",IF('Data Source'!AE238&gt;=3.5,"A-",IF('Data Source'!AE238&gt;=3,"B",IF('Data Source'!AE238&gt;=2,"C",IF('Data Source'!AE238&gt;=1,"D","F")))))))</f>
        <v/>
      </c>
      <c r="N238" s="3">
        <f>IF('Data Source'!B238="","",IF('Data Source'!AF238&gt;=5,"A+",IF('Data Source'!AF238&gt;=4,"A",IF('Data Source'!AF238&gt;=3.5,"A-",IF('Data Source'!AF238&gt;=3,"B",IF('Data Source'!AF238&gt;=2,"C",IF('Data Source'!AF238&gt;=1,"D","F")))))))</f>
        <v/>
      </c>
      <c r="O238" s="3">
        <f>IF('Data Source'!B238="","",IF('Data Source'!AG238&gt;=5,"A+",IF('Data Source'!AG238&gt;=4,"A",IF('Data Source'!AG238&gt;=3.5,"A-",IF('Data Source'!AG238&gt;=3,"B",IF('Data Source'!AG238&gt;=2,"C",IF('Data Source'!AG238&gt;=1,"D","F")))))))</f>
        <v/>
      </c>
      <c r="P238" s="5">
        <f>IF('Data Source'!B238="","",'Data Source'!R238)</f>
        <v/>
      </c>
      <c r="Q238" s="3">
        <f>IF('Data Source'!B238="","",'Data Source'!S238)</f>
        <v/>
      </c>
    </row>
    <row r="239">
      <c r="A239" s="3">
        <f>IF('Data Source'!B239="","",'Data Source'!A239)</f>
        <v/>
      </c>
      <c r="B239">
        <f>IF('Data Source'!B239="","",'Data Source'!B239)</f>
        <v/>
      </c>
      <c r="C239" s="3">
        <f>IF('Data Source'!B239="","",IF('Data Source'!U239&gt;=5,"A+",IF('Data Source'!U239&gt;=4,"A",IF('Data Source'!U239&gt;=3.5,"A-",IF('Data Source'!U239&gt;=3,"B",IF('Data Source'!U239&gt;=2,"C",IF('Data Source'!U239&gt;=1,"D","F")))))))</f>
        <v/>
      </c>
      <c r="D239" s="3">
        <f>IF('Data Source'!B239="","",IF('Data Source'!V239&gt;=5,"A+",IF('Data Source'!V239&gt;=4,"A",IF('Data Source'!V239&gt;=3.5,"A-",IF('Data Source'!V239&gt;=3,"B",IF('Data Source'!V239&gt;=2,"C",IF('Data Source'!V239&gt;=1,"D","F")))))))</f>
        <v/>
      </c>
      <c r="E239" s="3">
        <f>IF('Data Source'!B239="","",IF('Data Source'!W239&gt;=5,"A+",IF('Data Source'!W239&gt;=4,"A",IF('Data Source'!W239&gt;=3.5,"A-",IF('Data Source'!W239&gt;=3,"B",IF('Data Source'!W239&gt;=2,"C",IF('Data Source'!W239&gt;=1,"D","F")))))))</f>
        <v/>
      </c>
      <c r="F239" s="3">
        <f>IF('Data Source'!B239="","",IF('Data Source'!X239&gt;=5,"A+",IF('Data Source'!X239&gt;=4,"A",IF('Data Source'!X239&gt;=3.5,"A-",IF('Data Source'!X239&gt;=3,"B",IF('Data Source'!X239&gt;=2,"C",IF('Data Source'!X239&gt;=1,"D","F")))))))</f>
        <v/>
      </c>
      <c r="G239" s="3">
        <f>IF('Data Source'!B239="","",IF('Data Source'!Y239&gt;=5,"A+",IF('Data Source'!Y239&gt;=4,"A",IF('Data Source'!Y239&gt;=3.5,"A-",IF('Data Source'!Y239&gt;=3,"B",IF('Data Source'!Y239&gt;=2,"C",IF('Data Source'!Y239&gt;=1,"D","F")))))))</f>
        <v/>
      </c>
      <c r="H239" s="3">
        <f>IF('Data Source'!B239="","",IF('Data Source'!Z239&gt;=5,"A+",IF('Data Source'!Z239&gt;=4,"A",IF('Data Source'!Z239&gt;=3.5,"A-",IF('Data Source'!Z239&gt;=3,"B",IF('Data Source'!Z239&gt;=2,"C",IF('Data Source'!Z239&gt;=1,"D","F")))))))</f>
        <v/>
      </c>
      <c r="I239" s="3">
        <f>IF('Data Source'!B239="","",IF('Data Source'!AA239&gt;=5,"A+",IF('Data Source'!AA239&gt;=4,"A",IF('Data Source'!AA239&gt;=3.5,"A-",IF('Data Source'!AA239&gt;=3,"B",IF('Data Source'!AA239&gt;=2,"C",IF('Data Source'!AA239&gt;=1,"D","F")))))))</f>
        <v/>
      </c>
      <c r="J239" s="3">
        <f>IF('Data Source'!B239="","",IF('Data Source'!AB239&gt;=5,"A+",IF('Data Source'!AB239&gt;=4,"A",IF('Data Source'!AB239&gt;=3.5,"A-",IF('Data Source'!AB239&gt;=3,"B",IF('Data Source'!AB239&gt;=2,"C",IF('Data Source'!AB239&gt;=1,"D","F")))))))</f>
        <v/>
      </c>
      <c r="K239" s="3">
        <f>IF('Data Source'!B239="","",IF('Data Source'!AC239&gt;=5,"A+",IF('Data Source'!AC239&gt;=4,"A",IF('Data Source'!AC239&gt;=3.5,"A-",IF('Data Source'!AC239&gt;=3,"B",IF('Data Source'!AC239&gt;=2,"C",IF('Data Source'!AC239&gt;=1,"D","F")))))))</f>
        <v/>
      </c>
      <c r="L239" s="3">
        <f>IF('Data Source'!B239="","",IF('Data Source'!AD239&gt;=5,"A+",IF('Data Source'!AD239&gt;=4,"A",IF('Data Source'!AD239&gt;=3.5,"A-",IF('Data Source'!AD239&gt;=3,"B",IF('Data Source'!AD239&gt;=2,"C",IF('Data Source'!AD239&gt;=1,"D","F")))))))</f>
        <v/>
      </c>
      <c r="M239" s="3">
        <f>IF('Data Source'!B239="","",IF('Data Source'!AE239&gt;=5,"A+",IF('Data Source'!AE239&gt;=4,"A",IF('Data Source'!AE239&gt;=3.5,"A-",IF('Data Source'!AE239&gt;=3,"B",IF('Data Source'!AE239&gt;=2,"C",IF('Data Source'!AE239&gt;=1,"D","F")))))))</f>
        <v/>
      </c>
      <c r="N239" s="3">
        <f>IF('Data Source'!B239="","",IF('Data Source'!AF239&gt;=5,"A+",IF('Data Source'!AF239&gt;=4,"A",IF('Data Source'!AF239&gt;=3.5,"A-",IF('Data Source'!AF239&gt;=3,"B",IF('Data Source'!AF239&gt;=2,"C",IF('Data Source'!AF239&gt;=1,"D","F")))))))</f>
        <v/>
      </c>
      <c r="O239" s="3">
        <f>IF('Data Source'!B239="","",IF('Data Source'!AG239&gt;=5,"A+",IF('Data Source'!AG239&gt;=4,"A",IF('Data Source'!AG239&gt;=3.5,"A-",IF('Data Source'!AG239&gt;=3,"B",IF('Data Source'!AG239&gt;=2,"C",IF('Data Source'!AG239&gt;=1,"D","F")))))))</f>
        <v/>
      </c>
      <c r="P239" s="5">
        <f>IF('Data Source'!B239="","",'Data Source'!R239)</f>
        <v/>
      </c>
      <c r="Q239" s="3">
        <f>IF('Data Source'!B239="","",'Data Source'!S239)</f>
        <v/>
      </c>
    </row>
    <row r="240">
      <c r="A240" s="3">
        <f>IF('Data Source'!B240="","",'Data Source'!A240)</f>
        <v/>
      </c>
      <c r="B240">
        <f>IF('Data Source'!B240="","",'Data Source'!B240)</f>
        <v/>
      </c>
      <c r="C240" s="3">
        <f>IF('Data Source'!B240="","",IF('Data Source'!U240&gt;=5,"A+",IF('Data Source'!U240&gt;=4,"A",IF('Data Source'!U240&gt;=3.5,"A-",IF('Data Source'!U240&gt;=3,"B",IF('Data Source'!U240&gt;=2,"C",IF('Data Source'!U240&gt;=1,"D","F")))))))</f>
        <v/>
      </c>
      <c r="D240" s="3">
        <f>IF('Data Source'!B240="","",IF('Data Source'!V240&gt;=5,"A+",IF('Data Source'!V240&gt;=4,"A",IF('Data Source'!V240&gt;=3.5,"A-",IF('Data Source'!V240&gt;=3,"B",IF('Data Source'!V240&gt;=2,"C",IF('Data Source'!V240&gt;=1,"D","F")))))))</f>
        <v/>
      </c>
      <c r="E240" s="3">
        <f>IF('Data Source'!B240="","",IF('Data Source'!W240&gt;=5,"A+",IF('Data Source'!W240&gt;=4,"A",IF('Data Source'!W240&gt;=3.5,"A-",IF('Data Source'!W240&gt;=3,"B",IF('Data Source'!W240&gt;=2,"C",IF('Data Source'!W240&gt;=1,"D","F")))))))</f>
        <v/>
      </c>
      <c r="F240" s="3">
        <f>IF('Data Source'!B240="","",IF('Data Source'!X240&gt;=5,"A+",IF('Data Source'!X240&gt;=4,"A",IF('Data Source'!X240&gt;=3.5,"A-",IF('Data Source'!X240&gt;=3,"B",IF('Data Source'!X240&gt;=2,"C",IF('Data Source'!X240&gt;=1,"D","F")))))))</f>
        <v/>
      </c>
      <c r="G240" s="3">
        <f>IF('Data Source'!B240="","",IF('Data Source'!Y240&gt;=5,"A+",IF('Data Source'!Y240&gt;=4,"A",IF('Data Source'!Y240&gt;=3.5,"A-",IF('Data Source'!Y240&gt;=3,"B",IF('Data Source'!Y240&gt;=2,"C",IF('Data Source'!Y240&gt;=1,"D","F")))))))</f>
        <v/>
      </c>
      <c r="H240" s="3">
        <f>IF('Data Source'!B240="","",IF('Data Source'!Z240&gt;=5,"A+",IF('Data Source'!Z240&gt;=4,"A",IF('Data Source'!Z240&gt;=3.5,"A-",IF('Data Source'!Z240&gt;=3,"B",IF('Data Source'!Z240&gt;=2,"C",IF('Data Source'!Z240&gt;=1,"D","F")))))))</f>
        <v/>
      </c>
      <c r="I240" s="3">
        <f>IF('Data Source'!B240="","",IF('Data Source'!AA240&gt;=5,"A+",IF('Data Source'!AA240&gt;=4,"A",IF('Data Source'!AA240&gt;=3.5,"A-",IF('Data Source'!AA240&gt;=3,"B",IF('Data Source'!AA240&gt;=2,"C",IF('Data Source'!AA240&gt;=1,"D","F")))))))</f>
        <v/>
      </c>
      <c r="J240" s="3">
        <f>IF('Data Source'!B240="","",IF('Data Source'!AB240&gt;=5,"A+",IF('Data Source'!AB240&gt;=4,"A",IF('Data Source'!AB240&gt;=3.5,"A-",IF('Data Source'!AB240&gt;=3,"B",IF('Data Source'!AB240&gt;=2,"C",IF('Data Source'!AB240&gt;=1,"D","F")))))))</f>
        <v/>
      </c>
      <c r="K240" s="3">
        <f>IF('Data Source'!B240="","",IF('Data Source'!AC240&gt;=5,"A+",IF('Data Source'!AC240&gt;=4,"A",IF('Data Source'!AC240&gt;=3.5,"A-",IF('Data Source'!AC240&gt;=3,"B",IF('Data Source'!AC240&gt;=2,"C",IF('Data Source'!AC240&gt;=1,"D","F")))))))</f>
        <v/>
      </c>
      <c r="L240" s="3">
        <f>IF('Data Source'!B240="","",IF('Data Source'!AD240&gt;=5,"A+",IF('Data Source'!AD240&gt;=4,"A",IF('Data Source'!AD240&gt;=3.5,"A-",IF('Data Source'!AD240&gt;=3,"B",IF('Data Source'!AD240&gt;=2,"C",IF('Data Source'!AD240&gt;=1,"D","F")))))))</f>
        <v/>
      </c>
      <c r="M240" s="3">
        <f>IF('Data Source'!B240="","",IF('Data Source'!AE240&gt;=5,"A+",IF('Data Source'!AE240&gt;=4,"A",IF('Data Source'!AE240&gt;=3.5,"A-",IF('Data Source'!AE240&gt;=3,"B",IF('Data Source'!AE240&gt;=2,"C",IF('Data Source'!AE240&gt;=1,"D","F")))))))</f>
        <v/>
      </c>
      <c r="N240" s="3">
        <f>IF('Data Source'!B240="","",IF('Data Source'!AF240&gt;=5,"A+",IF('Data Source'!AF240&gt;=4,"A",IF('Data Source'!AF240&gt;=3.5,"A-",IF('Data Source'!AF240&gt;=3,"B",IF('Data Source'!AF240&gt;=2,"C",IF('Data Source'!AF240&gt;=1,"D","F")))))))</f>
        <v/>
      </c>
      <c r="O240" s="3">
        <f>IF('Data Source'!B240="","",IF('Data Source'!AG240&gt;=5,"A+",IF('Data Source'!AG240&gt;=4,"A",IF('Data Source'!AG240&gt;=3.5,"A-",IF('Data Source'!AG240&gt;=3,"B",IF('Data Source'!AG240&gt;=2,"C",IF('Data Source'!AG240&gt;=1,"D","F")))))))</f>
        <v/>
      </c>
      <c r="P240" s="5">
        <f>IF('Data Source'!B240="","",'Data Source'!R240)</f>
        <v/>
      </c>
      <c r="Q240" s="3">
        <f>IF('Data Source'!B240="","",'Data Source'!S240)</f>
        <v/>
      </c>
    </row>
    <row r="241">
      <c r="A241" s="3">
        <f>IF('Data Source'!B241="","",'Data Source'!A241)</f>
        <v/>
      </c>
      <c r="B241">
        <f>IF('Data Source'!B241="","",'Data Source'!B241)</f>
        <v/>
      </c>
      <c r="C241" s="3">
        <f>IF('Data Source'!B241="","",IF('Data Source'!U241&gt;=5,"A+",IF('Data Source'!U241&gt;=4,"A",IF('Data Source'!U241&gt;=3.5,"A-",IF('Data Source'!U241&gt;=3,"B",IF('Data Source'!U241&gt;=2,"C",IF('Data Source'!U241&gt;=1,"D","F")))))))</f>
        <v/>
      </c>
      <c r="D241" s="3">
        <f>IF('Data Source'!B241="","",IF('Data Source'!V241&gt;=5,"A+",IF('Data Source'!V241&gt;=4,"A",IF('Data Source'!V241&gt;=3.5,"A-",IF('Data Source'!V241&gt;=3,"B",IF('Data Source'!V241&gt;=2,"C",IF('Data Source'!V241&gt;=1,"D","F")))))))</f>
        <v/>
      </c>
      <c r="E241" s="3">
        <f>IF('Data Source'!B241="","",IF('Data Source'!W241&gt;=5,"A+",IF('Data Source'!W241&gt;=4,"A",IF('Data Source'!W241&gt;=3.5,"A-",IF('Data Source'!W241&gt;=3,"B",IF('Data Source'!W241&gt;=2,"C",IF('Data Source'!W241&gt;=1,"D","F")))))))</f>
        <v/>
      </c>
      <c r="F241" s="3">
        <f>IF('Data Source'!B241="","",IF('Data Source'!X241&gt;=5,"A+",IF('Data Source'!X241&gt;=4,"A",IF('Data Source'!X241&gt;=3.5,"A-",IF('Data Source'!X241&gt;=3,"B",IF('Data Source'!X241&gt;=2,"C",IF('Data Source'!X241&gt;=1,"D","F")))))))</f>
        <v/>
      </c>
      <c r="G241" s="3">
        <f>IF('Data Source'!B241="","",IF('Data Source'!Y241&gt;=5,"A+",IF('Data Source'!Y241&gt;=4,"A",IF('Data Source'!Y241&gt;=3.5,"A-",IF('Data Source'!Y241&gt;=3,"B",IF('Data Source'!Y241&gt;=2,"C",IF('Data Source'!Y241&gt;=1,"D","F")))))))</f>
        <v/>
      </c>
      <c r="H241" s="3">
        <f>IF('Data Source'!B241="","",IF('Data Source'!Z241&gt;=5,"A+",IF('Data Source'!Z241&gt;=4,"A",IF('Data Source'!Z241&gt;=3.5,"A-",IF('Data Source'!Z241&gt;=3,"B",IF('Data Source'!Z241&gt;=2,"C",IF('Data Source'!Z241&gt;=1,"D","F")))))))</f>
        <v/>
      </c>
      <c r="I241" s="3">
        <f>IF('Data Source'!B241="","",IF('Data Source'!AA241&gt;=5,"A+",IF('Data Source'!AA241&gt;=4,"A",IF('Data Source'!AA241&gt;=3.5,"A-",IF('Data Source'!AA241&gt;=3,"B",IF('Data Source'!AA241&gt;=2,"C",IF('Data Source'!AA241&gt;=1,"D","F")))))))</f>
        <v/>
      </c>
      <c r="J241" s="3">
        <f>IF('Data Source'!B241="","",IF('Data Source'!AB241&gt;=5,"A+",IF('Data Source'!AB241&gt;=4,"A",IF('Data Source'!AB241&gt;=3.5,"A-",IF('Data Source'!AB241&gt;=3,"B",IF('Data Source'!AB241&gt;=2,"C",IF('Data Source'!AB241&gt;=1,"D","F")))))))</f>
        <v/>
      </c>
      <c r="K241" s="3">
        <f>IF('Data Source'!B241="","",IF('Data Source'!AC241&gt;=5,"A+",IF('Data Source'!AC241&gt;=4,"A",IF('Data Source'!AC241&gt;=3.5,"A-",IF('Data Source'!AC241&gt;=3,"B",IF('Data Source'!AC241&gt;=2,"C",IF('Data Source'!AC241&gt;=1,"D","F")))))))</f>
        <v/>
      </c>
      <c r="L241" s="3">
        <f>IF('Data Source'!B241="","",IF('Data Source'!AD241&gt;=5,"A+",IF('Data Source'!AD241&gt;=4,"A",IF('Data Source'!AD241&gt;=3.5,"A-",IF('Data Source'!AD241&gt;=3,"B",IF('Data Source'!AD241&gt;=2,"C",IF('Data Source'!AD241&gt;=1,"D","F")))))))</f>
        <v/>
      </c>
      <c r="M241" s="3">
        <f>IF('Data Source'!B241="","",IF('Data Source'!AE241&gt;=5,"A+",IF('Data Source'!AE241&gt;=4,"A",IF('Data Source'!AE241&gt;=3.5,"A-",IF('Data Source'!AE241&gt;=3,"B",IF('Data Source'!AE241&gt;=2,"C",IF('Data Source'!AE241&gt;=1,"D","F")))))))</f>
        <v/>
      </c>
      <c r="N241" s="3">
        <f>IF('Data Source'!B241="","",IF('Data Source'!AF241&gt;=5,"A+",IF('Data Source'!AF241&gt;=4,"A",IF('Data Source'!AF241&gt;=3.5,"A-",IF('Data Source'!AF241&gt;=3,"B",IF('Data Source'!AF241&gt;=2,"C",IF('Data Source'!AF241&gt;=1,"D","F")))))))</f>
        <v/>
      </c>
      <c r="O241" s="3">
        <f>IF('Data Source'!B241="","",IF('Data Source'!AG241&gt;=5,"A+",IF('Data Source'!AG241&gt;=4,"A",IF('Data Source'!AG241&gt;=3.5,"A-",IF('Data Source'!AG241&gt;=3,"B",IF('Data Source'!AG241&gt;=2,"C",IF('Data Source'!AG241&gt;=1,"D","F")))))))</f>
        <v/>
      </c>
      <c r="P241" s="5">
        <f>IF('Data Source'!B241="","",'Data Source'!R241)</f>
        <v/>
      </c>
      <c r="Q241" s="3">
        <f>IF('Data Source'!B241="","",'Data Source'!S241)</f>
        <v/>
      </c>
    </row>
    <row r="242">
      <c r="A242" s="3">
        <f>IF('Data Source'!B242="","",'Data Source'!A242)</f>
        <v/>
      </c>
      <c r="B242">
        <f>IF('Data Source'!B242="","",'Data Source'!B242)</f>
        <v/>
      </c>
      <c r="C242" s="3">
        <f>IF('Data Source'!B242="","",IF('Data Source'!U242&gt;=5,"A+",IF('Data Source'!U242&gt;=4,"A",IF('Data Source'!U242&gt;=3.5,"A-",IF('Data Source'!U242&gt;=3,"B",IF('Data Source'!U242&gt;=2,"C",IF('Data Source'!U242&gt;=1,"D","F")))))))</f>
        <v/>
      </c>
      <c r="D242" s="3">
        <f>IF('Data Source'!B242="","",IF('Data Source'!V242&gt;=5,"A+",IF('Data Source'!V242&gt;=4,"A",IF('Data Source'!V242&gt;=3.5,"A-",IF('Data Source'!V242&gt;=3,"B",IF('Data Source'!V242&gt;=2,"C",IF('Data Source'!V242&gt;=1,"D","F")))))))</f>
        <v/>
      </c>
      <c r="E242" s="3">
        <f>IF('Data Source'!B242="","",IF('Data Source'!W242&gt;=5,"A+",IF('Data Source'!W242&gt;=4,"A",IF('Data Source'!W242&gt;=3.5,"A-",IF('Data Source'!W242&gt;=3,"B",IF('Data Source'!W242&gt;=2,"C",IF('Data Source'!W242&gt;=1,"D","F")))))))</f>
        <v/>
      </c>
      <c r="F242" s="3">
        <f>IF('Data Source'!B242="","",IF('Data Source'!X242&gt;=5,"A+",IF('Data Source'!X242&gt;=4,"A",IF('Data Source'!X242&gt;=3.5,"A-",IF('Data Source'!X242&gt;=3,"B",IF('Data Source'!X242&gt;=2,"C",IF('Data Source'!X242&gt;=1,"D","F")))))))</f>
        <v/>
      </c>
      <c r="G242" s="3">
        <f>IF('Data Source'!B242="","",IF('Data Source'!Y242&gt;=5,"A+",IF('Data Source'!Y242&gt;=4,"A",IF('Data Source'!Y242&gt;=3.5,"A-",IF('Data Source'!Y242&gt;=3,"B",IF('Data Source'!Y242&gt;=2,"C",IF('Data Source'!Y242&gt;=1,"D","F")))))))</f>
        <v/>
      </c>
      <c r="H242" s="3">
        <f>IF('Data Source'!B242="","",IF('Data Source'!Z242&gt;=5,"A+",IF('Data Source'!Z242&gt;=4,"A",IF('Data Source'!Z242&gt;=3.5,"A-",IF('Data Source'!Z242&gt;=3,"B",IF('Data Source'!Z242&gt;=2,"C",IF('Data Source'!Z242&gt;=1,"D","F")))))))</f>
        <v/>
      </c>
      <c r="I242" s="3">
        <f>IF('Data Source'!B242="","",IF('Data Source'!AA242&gt;=5,"A+",IF('Data Source'!AA242&gt;=4,"A",IF('Data Source'!AA242&gt;=3.5,"A-",IF('Data Source'!AA242&gt;=3,"B",IF('Data Source'!AA242&gt;=2,"C",IF('Data Source'!AA242&gt;=1,"D","F")))))))</f>
        <v/>
      </c>
      <c r="J242" s="3">
        <f>IF('Data Source'!B242="","",IF('Data Source'!AB242&gt;=5,"A+",IF('Data Source'!AB242&gt;=4,"A",IF('Data Source'!AB242&gt;=3.5,"A-",IF('Data Source'!AB242&gt;=3,"B",IF('Data Source'!AB242&gt;=2,"C",IF('Data Source'!AB242&gt;=1,"D","F")))))))</f>
        <v/>
      </c>
      <c r="K242" s="3">
        <f>IF('Data Source'!B242="","",IF('Data Source'!AC242&gt;=5,"A+",IF('Data Source'!AC242&gt;=4,"A",IF('Data Source'!AC242&gt;=3.5,"A-",IF('Data Source'!AC242&gt;=3,"B",IF('Data Source'!AC242&gt;=2,"C",IF('Data Source'!AC242&gt;=1,"D","F")))))))</f>
        <v/>
      </c>
      <c r="L242" s="3">
        <f>IF('Data Source'!B242="","",IF('Data Source'!AD242&gt;=5,"A+",IF('Data Source'!AD242&gt;=4,"A",IF('Data Source'!AD242&gt;=3.5,"A-",IF('Data Source'!AD242&gt;=3,"B",IF('Data Source'!AD242&gt;=2,"C",IF('Data Source'!AD242&gt;=1,"D","F")))))))</f>
        <v/>
      </c>
      <c r="M242" s="3">
        <f>IF('Data Source'!B242="","",IF('Data Source'!AE242&gt;=5,"A+",IF('Data Source'!AE242&gt;=4,"A",IF('Data Source'!AE242&gt;=3.5,"A-",IF('Data Source'!AE242&gt;=3,"B",IF('Data Source'!AE242&gt;=2,"C",IF('Data Source'!AE242&gt;=1,"D","F")))))))</f>
        <v/>
      </c>
      <c r="N242" s="3">
        <f>IF('Data Source'!B242="","",IF('Data Source'!AF242&gt;=5,"A+",IF('Data Source'!AF242&gt;=4,"A",IF('Data Source'!AF242&gt;=3.5,"A-",IF('Data Source'!AF242&gt;=3,"B",IF('Data Source'!AF242&gt;=2,"C",IF('Data Source'!AF242&gt;=1,"D","F")))))))</f>
        <v/>
      </c>
      <c r="O242" s="3">
        <f>IF('Data Source'!B242="","",IF('Data Source'!AG242&gt;=5,"A+",IF('Data Source'!AG242&gt;=4,"A",IF('Data Source'!AG242&gt;=3.5,"A-",IF('Data Source'!AG242&gt;=3,"B",IF('Data Source'!AG242&gt;=2,"C",IF('Data Source'!AG242&gt;=1,"D","F")))))))</f>
        <v/>
      </c>
      <c r="P242" s="5">
        <f>IF('Data Source'!B242="","",'Data Source'!R242)</f>
        <v/>
      </c>
      <c r="Q242" s="3">
        <f>IF('Data Source'!B242="","",'Data Source'!S242)</f>
        <v/>
      </c>
    </row>
    <row r="243">
      <c r="A243" s="3">
        <f>IF('Data Source'!B243="","",'Data Source'!A243)</f>
        <v/>
      </c>
      <c r="B243">
        <f>IF('Data Source'!B243="","",'Data Source'!B243)</f>
        <v/>
      </c>
      <c r="C243" s="3">
        <f>IF('Data Source'!B243="","",IF('Data Source'!U243&gt;=5,"A+",IF('Data Source'!U243&gt;=4,"A",IF('Data Source'!U243&gt;=3.5,"A-",IF('Data Source'!U243&gt;=3,"B",IF('Data Source'!U243&gt;=2,"C",IF('Data Source'!U243&gt;=1,"D","F")))))))</f>
        <v/>
      </c>
      <c r="D243" s="3">
        <f>IF('Data Source'!B243="","",IF('Data Source'!V243&gt;=5,"A+",IF('Data Source'!V243&gt;=4,"A",IF('Data Source'!V243&gt;=3.5,"A-",IF('Data Source'!V243&gt;=3,"B",IF('Data Source'!V243&gt;=2,"C",IF('Data Source'!V243&gt;=1,"D","F")))))))</f>
        <v/>
      </c>
      <c r="E243" s="3">
        <f>IF('Data Source'!B243="","",IF('Data Source'!W243&gt;=5,"A+",IF('Data Source'!W243&gt;=4,"A",IF('Data Source'!W243&gt;=3.5,"A-",IF('Data Source'!W243&gt;=3,"B",IF('Data Source'!W243&gt;=2,"C",IF('Data Source'!W243&gt;=1,"D","F")))))))</f>
        <v/>
      </c>
      <c r="F243" s="3">
        <f>IF('Data Source'!B243="","",IF('Data Source'!X243&gt;=5,"A+",IF('Data Source'!X243&gt;=4,"A",IF('Data Source'!X243&gt;=3.5,"A-",IF('Data Source'!X243&gt;=3,"B",IF('Data Source'!X243&gt;=2,"C",IF('Data Source'!X243&gt;=1,"D","F")))))))</f>
        <v/>
      </c>
      <c r="G243" s="3">
        <f>IF('Data Source'!B243="","",IF('Data Source'!Y243&gt;=5,"A+",IF('Data Source'!Y243&gt;=4,"A",IF('Data Source'!Y243&gt;=3.5,"A-",IF('Data Source'!Y243&gt;=3,"B",IF('Data Source'!Y243&gt;=2,"C",IF('Data Source'!Y243&gt;=1,"D","F")))))))</f>
        <v/>
      </c>
      <c r="H243" s="3">
        <f>IF('Data Source'!B243="","",IF('Data Source'!Z243&gt;=5,"A+",IF('Data Source'!Z243&gt;=4,"A",IF('Data Source'!Z243&gt;=3.5,"A-",IF('Data Source'!Z243&gt;=3,"B",IF('Data Source'!Z243&gt;=2,"C",IF('Data Source'!Z243&gt;=1,"D","F")))))))</f>
        <v/>
      </c>
      <c r="I243" s="3">
        <f>IF('Data Source'!B243="","",IF('Data Source'!AA243&gt;=5,"A+",IF('Data Source'!AA243&gt;=4,"A",IF('Data Source'!AA243&gt;=3.5,"A-",IF('Data Source'!AA243&gt;=3,"B",IF('Data Source'!AA243&gt;=2,"C",IF('Data Source'!AA243&gt;=1,"D","F")))))))</f>
        <v/>
      </c>
      <c r="J243" s="3">
        <f>IF('Data Source'!B243="","",IF('Data Source'!AB243&gt;=5,"A+",IF('Data Source'!AB243&gt;=4,"A",IF('Data Source'!AB243&gt;=3.5,"A-",IF('Data Source'!AB243&gt;=3,"B",IF('Data Source'!AB243&gt;=2,"C",IF('Data Source'!AB243&gt;=1,"D","F")))))))</f>
        <v/>
      </c>
      <c r="K243" s="3">
        <f>IF('Data Source'!B243="","",IF('Data Source'!AC243&gt;=5,"A+",IF('Data Source'!AC243&gt;=4,"A",IF('Data Source'!AC243&gt;=3.5,"A-",IF('Data Source'!AC243&gt;=3,"B",IF('Data Source'!AC243&gt;=2,"C",IF('Data Source'!AC243&gt;=1,"D","F")))))))</f>
        <v/>
      </c>
      <c r="L243" s="3">
        <f>IF('Data Source'!B243="","",IF('Data Source'!AD243&gt;=5,"A+",IF('Data Source'!AD243&gt;=4,"A",IF('Data Source'!AD243&gt;=3.5,"A-",IF('Data Source'!AD243&gt;=3,"B",IF('Data Source'!AD243&gt;=2,"C",IF('Data Source'!AD243&gt;=1,"D","F")))))))</f>
        <v/>
      </c>
      <c r="M243" s="3">
        <f>IF('Data Source'!B243="","",IF('Data Source'!AE243&gt;=5,"A+",IF('Data Source'!AE243&gt;=4,"A",IF('Data Source'!AE243&gt;=3.5,"A-",IF('Data Source'!AE243&gt;=3,"B",IF('Data Source'!AE243&gt;=2,"C",IF('Data Source'!AE243&gt;=1,"D","F")))))))</f>
        <v/>
      </c>
      <c r="N243" s="3">
        <f>IF('Data Source'!B243="","",IF('Data Source'!AF243&gt;=5,"A+",IF('Data Source'!AF243&gt;=4,"A",IF('Data Source'!AF243&gt;=3.5,"A-",IF('Data Source'!AF243&gt;=3,"B",IF('Data Source'!AF243&gt;=2,"C",IF('Data Source'!AF243&gt;=1,"D","F")))))))</f>
        <v/>
      </c>
      <c r="O243" s="3">
        <f>IF('Data Source'!B243="","",IF('Data Source'!AG243&gt;=5,"A+",IF('Data Source'!AG243&gt;=4,"A",IF('Data Source'!AG243&gt;=3.5,"A-",IF('Data Source'!AG243&gt;=3,"B",IF('Data Source'!AG243&gt;=2,"C",IF('Data Source'!AG243&gt;=1,"D","F")))))))</f>
        <v/>
      </c>
      <c r="P243" s="5">
        <f>IF('Data Source'!B243="","",'Data Source'!R243)</f>
        <v/>
      </c>
      <c r="Q243" s="3">
        <f>IF('Data Source'!B243="","",'Data Source'!S243)</f>
        <v/>
      </c>
    </row>
    <row r="244">
      <c r="A244" s="3">
        <f>IF('Data Source'!B244="","",'Data Source'!A244)</f>
        <v/>
      </c>
      <c r="B244">
        <f>IF('Data Source'!B244="","",'Data Source'!B244)</f>
        <v/>
      </c>
      <c r="C244" s="3">
        <f>IF('Data Source'!B244="","",IF('Data Source'!U244&gt;=5,"A+",IF('Data Source'!U244&gt;=4,"A",IF('Data Source'!U244&gt;=3.5,"A-",IF('Data Source'!U244&gt;=3,"B",IF('Data Source'!U244&gt;=2,"C",IF('Data Source'!U244&gt;=1,"D","F")))))))</f>
        <v/>
      </c>
      <c r="D244" s="3">
        <f>IF('Data Source'!B244="","",IF('Data Source'!V244&gt;=5,"A+",IF('Data Source'!V244&gt;=4,"A",IF('Data Source'!V244&gt;=3.5,"A-",IF('Data Source'!V244&gt;=3,"B",IF('Data Source'!V244&gt;=2,"C",IF('Data Source'!V244&gt;=1,"D","F")))))))</f>
        <v/>
      </c>
      <c r="E244" s="3">
        <f>IF('Data Source'!B244="","",IF('Data Source'!W244&gt;=5,"A+",IF('Data Source'!W244&gt;=4,"A",IF('Data Source'!W244&gt;=3.5,"A-",IF('Data Source'!W244&gt;=3,"B",IF('Data Source'!W244&gt;=2,"C",IF('Data Source'!W244&gt;=1,"D","F")))))))</f>
        <v/>
      </c>
      <c r="F244" s="3">
        <f>IF('Data Source'!B244="","",IF('Data Source'!X244&gt;=5,"A+",IF('Data Source'!X244&gt;=4,"A",IF('Data Source'!X244&gt;=3.5,"A-",IF('Data Source'!X244&gt;=3,"B",IF('Data Source'!X244&gt;=2,"C",IF('Data Source'!X244&gt;=1,"D","F")))))))</f>
        <v/>
      </c>
      <c r="G244" s="3">
        <f>IF('Data Source'!B244="","",IF('Data Source'!Y244&gt;=5,"A+",IF('Data Source'!Y244&gt;=4,"A",IF('Data Source'!Y244&gt;=3.5,"A-",IF('Data Source'!Y244&gt;=3,"B",IF('Data Source'!Y244&gt;=2,"C",IF('Data Source'!Y244&gt;=1,"D","F")))))))</f>
        <v/>
      </c>
      <c r="H244" s="3">
        <f>IF('Data Source'!B244="","",IF('Data Source'!Z244&gt;=5,"A+",IF('Data Source'!Z244&gt;=4,"A",IF('Data Source'!Z244&gt;=3.5,"A-",IF('Data Source'!Z244&gt;=3,"B",IF('Data Source'!Z244&gt;=2,"C",IF('Data Source'!Z244&gt;=1,"D","F")))))))</f>
        <v/>
      </c>
      <c r="I244" s="3">
        <f>IF('Data Source'!B244="","",IF('Data Source'!AA244&gt;=5,"A+",IF('Data Source'!AA244&gt;=4,"A",IF('Data Source'!AA244&gt;=3.5,"A-",IF('Data Source'!AA244&gt;=3,"B",IF('Data Source'!AA244&gt;=2,"C",IF('Data Source'!AA244&gt;=1,"D","F")))))))</f>
        <v/>
      </c>
      <c r="J244" s="3">
        <f>IF('Data Source'!B244="","",IF('Data Source'!AB244&gt;=5,"A+",IF('Data Source'!AB244&gt;=4,"A",IF('Data Source'!AB244&gt;=3.5,"A-",IF('Data Source'!AB244&gt;=3,"B",IF('Data Source'!AB244&gt;=2,"C",IF('Data Source'!AB244&gt;=1,"D","F")))))))</f>
        <v/>
      </c>
      <c r="K244" s="3">
        <f>IF('Data Source'!B244="","",IF('Data Source'!AC244&gt;=5,"A+",IF('Data Source'!AC244&gt;=4,"A",IF('Data Source'!AC244&gt;=3.5,"A-",IF('Data Source'!AC244&gt;=3,"B",IF('Data Source'!AC244&gt;=2,"C",IF('Data Source'!AC244&gt;=1,"D","F")))))))</f>
        <v/>
      </c>
      <c r="L244" s="3">
        <f>IF('Data Source'!B244="","",IF('Data Source'!AD244&gt;=5,"A+",IF('Data Source'!AD244&gt;=4,"A",IF('Data Source'!AD244&gt;=3.5,"A-",IF('Data Source'!AD244&gt;=3,"B",IF('Data Source'!AD244&gt;=2,"C",IF('Data Source'!AD244&gt;=1,"D","F")))))))</f>
        <v/>
      </c>
      <c r="M244" s="3">
        <f>IF('Data Source'!B244="","",IF('Data Source'!AE244&gt;=5,"A+",IF('Data Source'!AE244&gt;=4,"A",IF('Data Source'!AE244&gt;=3.5,"A-",IF('Data Source'!AE244&gt;=3,"B",IF('Data Source'!AE244&gt;=2,"C",IF('Data Source'!AE244&gt;=1,"D","F")))))))</f>
        <v/>
      </c>
      <c r="N244" s="3">
        <f>IF('Data Source'!B244="","",IF('Data Source'!AF244&gt;=5,"A+",IF('Data Source'!AF244&gt;=4,"A",IF('Data Source'!AF244&gt;=3.5,"A-",IF('Data Source'!AF244&gt;=3,"B",IF('Data Source'!AF244&gt;=2,"C",IF('Data Source'!AF244&gt;=1,"D","F")))))))</f>
        <v/>
      </c>
      <c r="O244" s="3">
        <f>IF('Data Source'!B244="","",IF('Data Source'!AG244&gt;=5,"A+",IF('Data Source'!AG244&gt;=4,"A",IF('Data Source'!AG244&gt;=3.5,"A-",IF('Data Source'!AG244&gt;=3,"B",IF('Data Source'!AG244&gt;=2,"C",IF('Data Source'!AG244&gt;=1,"D","F")))))))</f>
        <v/>
      </c>
      <c r="P244" s="5">
        <f>IF('Data Source'!B244="","",'Data Source'!R244)</f>
        <v/>
      </c>
      <c r="Q244" s="3">
        <f>IF('Data Source'!B244="","",'Data Source'!S244)</f>
        <v/>
      </c>
    </row>
    <row r="245">
      <c r="A245" s="3">
        <f>IF('Data Source'!B245="","",'Data Source'!A245)</f>
        <v/>
      </c>
      <c r="B245">
        <f>IF('Data Source'!B245="","",'Data Source'!B245)</f>
        <v/>
      </c>
      <c r="C245" s="3">
        <f>IF('Data Source'!B245="","",IF('Data Source'!U245&gt;=5,"A+",IF('Data Source'!U245&gt;=4,"A",IF('Data Source'!U245&gt;=3.5,"A-",IF('Data Source'!U245&gt;=3,"B",IF('Data Source'!U245&gt;=2,"C",IF('Data Source'!U245&gt;=1,"D","F")))))))</f>
        <v/>
      </c>
      <c r="D245" s="3">
        <f>IF('Data Source'!B245="","",IF('Data Source'!V245&gt;=5,"A+",IF('Data Source'!V245&gt;=4,"A",IF('Data Source'!V245&gt;=3.5,"A-",IF('Data Source'!V245&gt;=3,"B",IF('Data Source'!V245&gt;=2,"C",IF('Data Source'!V245&gt;=1,"D","F")))))))</f>
        <v/>
      </c>
      <c r="E245" s="3">
        <f>IF('Data Source'!B245="","",IF('Data Source'!W245&gt;=5,"A+",IF('Data Source'!W245&gt;=4,"A",IF('Data Source'!W245&gt;=3.5,"A-",IF('Data Source'!W245&gt;=3,"B",IF('Data Source'!W245&gt;=2,"C",IF('Data Source'!W245&gt;=1,"D","F")))))))</f>
        <v/>
      </c>
      <c r="F245" s="3">
        <f>IF('Data Source'!B245="","",IF('Data Source'!X245&gt;=5,"A+",IF('Data Source'!X245&gt;=4,"A",IF('Data Source'!X245&gt;=3.5,"A-",IF('Data Source'!X245&gt;=3,"B",IF('Data Source'!X245&gt;=2,"C",IF('Data Source'!X245&gt;=1,"D","F")))))))</f>
        <v/>
      </c>
      <c r="G245" s="3">
        <f>IF('Data Source'!B245="","",IF('Data Source'!Y245&gt;=5,"A+",IF('Data Source'!Y245&gt;=4,"A",IF('Data Source'!Y245&gt;=3.5,"A-",IF('Data Source'!Y245&gt;=3,"B",IF('Data Source'!Y245&gt;=2,"C",IF('Data Source'!Y245&gt;=1,"D","F")))))))</f>
        <v/>
      </c>
      <c r="H245" s="3">
        <f>IF('Data Source'!B245="","",IF('Data Source'!Z245&gt;=5,"A+",IF('Data Source'!Z245&gt;=4,"A",IF('Data Source'!Z245&gt;=3.5,"A-",IF('Data Source'!Z245&gt;=3,"B",IF('Data Source'!Z245&gt;=2,"C",IF('Data Source'!Z245&gt;=1,"D","F")))))))</f>
        <v/>
      </c>
      <c r="I245" s="3">
        <f>IF('Data Source'!B245="","",IF('Data Source'!AA245&gt;=5,"A+",IF('Data Source'!AA245&gt;=4,"A",IF('Data Source'!AA245&gt;=3.5,"A-",IF('Data Source'!AA245&gt;=3,"B",IF('Data Source'!AA245&gt;=2,"C",IF('Data Source'!AA245&gt;=1,"D","F")))))))</f>
        <v/>
      </c>
      <c r="J245" s="3">
        <f>IF('Data Source'!B245="","",IF('Data Source'!AB245&gt;=5,"A+",IF('Data Source'!AB245&gt;=4,"A",IF('Data Source'!AB245&gt;=3.5,"A-",IF('Data Source'!AB245&gt;=3,"B",IF('Data Source'!AB245&gt;=2,"C",IF('Data Source'!AB245&gt;=1,"D","F")))))))</f>
        <v/>
      </c>
      <c r="K245" s="3">
        <f>IF('Data Source'!B245="","",IF('Data Source'!AC245&gt;=5,"A+",IF('Data Source'!AC245&gt;=4,"A",IF('Data Source'!AC245&gt;=3.5,"A-",IF('Data Source'!AC245&gt;=3,"B",IF('Data Source'!AC245&gt;=2,"C",IF('Data Source'!AC245&gt;=1,"D","F")))))))</f>
        <v/>
      </c>
      <c r="L245" s="3">
        <f>IF('Data Source'!B245="","",IF('Data Source'!AD245&gt;=5,"A+",IF('Data Source'!AD245&gt;=4,"A",IF('Data Source'!AD245&gt;=3.5,"A-",IF('Data Source'!AD245&gt;=3,"B",IF('Data Source'!AD245&gt;=2,"C",IF('Data Source'!AD245&gt;=1,"D","F")))))))</f>
        <v/>
      </c>
      <c r="M245" s="3">
        <f>IF('Data Source'!B245="","",IF('Data Source'!AE245&gt;=5,"A+",IF('Data Source'!AE245&gt;=4,"A",IF('Data Source'!AE245&gt;=3.5,"A-",IF('Data Source'!AE245&gt;=3,"B",IF('Data Source'!AE245&gt;=2,"C",IF('Data Source'!AE245&gt;=1,"D","F")))))))</f>
        <v/>
      </c>
      <c r="N245" s="3">
        <f>IF('Data Source'!B245="","",IF('Data Source'!AF245&gt;=5,"A+",IF('Data Source'!AF245&gt;=4,"A",IF('Data Source'!AF245&gt;=3.5,"A-",IF('Data Source'!AF245&gt;=3,"B",IF('Data Source'!AF245&gt;=2,"C",IF('Data Source'!AF245&gt;=1,"D","F")))))))</f>
        <v/>
      </c>
      <c r="O245" s="3">
        <f>IF('Data Source'!B245="","",IF('Data Source'!AG245&gt;=5,"A+",IF('Data Source'!AG245&gt;=4,"A",IF('Data Source'!AG245&gt;=3.5,"A-",IF('Data Source'!AG245&gt;=3,"B",IF('Data Source'!AG245&gt;=2,"C",IF('Data Source'!AG245&gt;=1,"D","F")))))))</f>
        <v/>
      </c>
      <c r="P245" s="5">
        <f>IF('Data Source'!B245="","",'Data Source'!R245)</f>
        <v/>
      </c>
      <c r="Q245" s="3">
        <f>IF('Data Source'!B245="","",'Data Source'!S245)</f>
        <v/>
      </c>
    </row>
    <row r="246">
      <c r="A246" s="3">
        <f>IF('Data Source'!B246="","",'Data Source'!A246)</f>
        <v/>
      </c>
      <c r="B246">
        <f>IF('Data Source'!B246="","",'Data Source'!B246)</f>
        <v/>
      </c>
      <c r="C246" s="3">
        <f>IF('Data Source'!B246="","",IF('Data Source'!U246&gt;=5,"A+",IF('Data Source'!U246&gt;=4,"A",IF('Data Source'!U246&gt;=3.5,"A-",IF('Data Source'!U246&gt;=3,"B",IF('Data Source'!U246&gt;=2,"C",IF('Data Source'!U246&gt;=1,"D","F")))))))</f>
        <v/>
      </c>
      <c r="D246" s="3">
        <f>IF('Data Source'!B246="","",IF('Data Source'!V246&gt;=5,"A+",IF('Data Source'!V246&gt;=4,"A",IF('Data Source'!V246&gt;=3.5,"A-",IF('Data Source'!V246&gt;=3,"B",IF('Data Source'!V246&gt;=2,"C",IF('Data Source'!V246&gt;=1,"D","F")))))))</f>
        <v/>
      </c>
      <c r="E246" s="3">
        <f>IF('Data Source'!B246="","",IF('Data Source'!W246&gt;=5,"A+",IF('Data Source'!W246&gt;=4,"A",IF('Data Source'!W246&gt;=3.5,"A-",IF('Data Source'!W246&gt;=3,"B",IF('Data Source'!W246&gt;=2,"C",IF('Data Source'!W246&gt;=1,"D","F")))))))</f>
        <v/>
      </c>
      <c r="F246" s="3">
        <f>IF('Data Source'!B246="","",IF('Data Source'!X246&gt;=5,"A+",IF('Data Source'!X246&gt;=4,"A",IF('Data Source'!X246&gt;=3.5,"A-",IF('Data Source'!X246&gt;=3,"B",IF('Data Source'!X246&gt;=2,"C",IF('Data Source'!X246&gt;=1,"D","F")))))))</f>
        <v/>
      </c>
      <c r="G246" s="3">
        <f>IF('Data Source'!B246="","",IF('Data Source'!Y246&gt;=5,"A+",IF('Data Source'!Y246&gt;=4,"A",IF('Data Source'!Y246&gt;=3.5,"A-",IF('Data Source'!Y246&gt;=3,"B",IF('Data Source'!Y246&gt;=2,"C",IF('Data Source'!Y246&gt;=1,"D","F")))))))</f>
        <v/>
      </c>
      <c r="H246" s="3">
        <f>IF('Data Source'!B246="","",IF('Data Source'!Z246&gt;=5,"A+",IF('Data Source'!Z246&gt;=4,"A",IF('Data Source'!Z246&gt;=3.5,"A-",IF('Data Source'!Z246&gt;=3,"B",IF('Data Source'!Z246&gt;=2,"C",IF('Data Source'!Z246&gt;=1,"D","F")))))))</f>
        <v/>
      </c>
      <c r="I246" s="3">
        <f>IF('Data Source'!B246="","",IF('Data Source'!AA246&gt;=5,"A+",IF('Data Source'!AA246&gt;=4,"A",IF('Data Source'!AA246&gt;=3.5,"A-",IF('Data Source'!AA246&gt;=3,"B",IF('Data Source'!AA246&gt;=2,"C",IF('Data Source'!AA246&gt;=1,"D","F")))))))</f>
        <v/>
      </c>
      <c r="J246" s="3">
        <f>IF('Data Source'!B246="","",IF('Data Source'!AB246&gt;=5,"A+",IF('Data Source'!AB246&gt;=4,"A",IF('Data Source'!AB246&gt;=3.5,"A-",IF('Data Source'!AB246&gt;=3,"B",IF('Data Source'!AB246&gt;=2,"C",IF('Data Source'!AB246&gt;=1,"D","F")))))))</f>
        <v/>
      </c>
      <c r="K246" s="3">
        <f>IF('Data Source'!B246="","",IF('Data Source'!AC246&gt;=5,"A+",IF('Data Source'!AC246&gt;=4,"A",IF('Data Source'!AC246&gt;=3.5,"A-",IF('Data Source'!AC246&gt;=3,"B",IF('Data Source'!AC246&gt;=2,"C",IF('Data Source'!AC246&gt;=1,"D","F")))))))</f>
        <v/>
      </c>
      <c r="L246" s="3">
        <f>IF('Data Source'!B246="","",IF('Data Source'!AD246&gt;=5,"A+",IF('Data Source'!AD246&gt;=4,"A",IF('Data Source'!AD246&gt;=3.5,"A-",IF('Data Source'!AD246&gt;=3,"B",IF('Data Source'!AD246&gt;=2,"C",IF('Data Source'!AD246&gt;=1,"D","F")))))))</f>
        <v/>
      </c>
      <c r="M246" s="3">
        <f>IF('Data Source'!B246="","",IF('Data Source'!AE246&gt;=5,"A+",IF('Data Source'!AE246&gt;=4,"A",IF('Data Source'!AE246&gt;=3.5,"A-",IF('Data Source'!AE246&gt;=3,"B",IF('Data Source'!AE246&gt;=2,"C",IF('Data Source'!AE246&gt;=1,"D","F")))))))</f>
        <v/>
      </c>
      <c r="N246" s="3">
        <f>IF('Data Source'!B246="","",IF('Data Source'!AF246&gt;=5,"A+",IF('Data Source'!AF246&gt;=4,"A",IF('Data Source'!AF246&gt;=3.5,"A-",IF('Data Source'!AF246&gt;=3,"B",IF('Data Source'!AF246&gt;=2,"C",IF('Data Source'!AF246&gt;=1,"D","F")))))))</f>
        <v/>
      </c>
      <c r="O246" s="3">
        <f>IF('Data Source'!B246="","",IF('Data Source'!AG246&gt;=5,"A+",IF('Data Source'!AG246&gt;=4,"A",IF('Data Source'!AG246&gt;=3.5,"A-",IF('Data Source'!AG246&gt;=3,"B",IF('Data Source'!AG246&gt;=2,"C",IF('Data Source'!AG246&gt;=1,"D","F")))))))</f>
        <v/>
      </c>
      <c r="P246" s="5">
        <f>IF('Data Source'!B246="","",'Data Source'!R246)</f>
        <v/>
      </c>
      <c r="Q246" s="3">
        <f>IF('Data Source'!B246="","",'Data Source'!S246)</f>
        <v/>
      </c>
    </row>
    <row r="247">
      <c r="A247" s="3">
        <f>IF('Data Source'!B247="","",'Data Source'!A247)</f>
        <v/>
      </c>
      <c r="B247">
        <f>IF('Data Source'!B247="","",'Data Source'!B247)</f>
        <v/>
      </c>
      <c r="C247" s="3">
        <f>IF('Data Source'!B247="","",IF('Data Source'!U247&gt;=5,"A+",IF('Data Source'!U247&gt;=4,"A",IF('Data Source'!U247&gt;=3.5,"A-",IF('Data Source'!U247&gt;=3,"B",IF('Data Source'!U247&gt;=2,"C",IF('Data Source'!U247&gt;=1,"D","F")))))))</f>
        <v/>
      </c>
      <c r="D247" s="3">
        <f>IF('Data Source'!B247="","",IF('Data Source'!V247&gt;=5,"A+",IF('Data Source'!V247&gt;=4,"A",IF('Data Source'!V247&gt;=3.5,"A-",IF('Data Source'!V247&gt;=3,"B",IF('Data Source'!V247&gt;=2,"C",IF('Data Source'!V247&gt;=1,"D","F")))))))</f>
        <v/>
      </c>
      <c r="E247" s="3">
        <f>IF('Data Source'!B247="","",IF('Data Source'!W247&gt;=5,"A+",IF('Data Source'!W247&gt;=4,"A",IF('Data Source'!W247&gt;=3.5,"A-",IF('Data Source'!W247&gt;=3,"B",IF('Data Source'!W247&gt;=2,"C",IF('Data Source'!W247&gt;=1,"D","F")))))))</f>
        <v/>
      </c>
      <c r="F247" s="3">
        <f>IF('Data Source'!B247="","",IF('Data Source'!X247&gt;=5,"A+",IF('Data Source'!X247&gt;=4,"A",IF('Data Source'!X247&gt;=3.5,"A-",IF('Data Source'!X247&gt;=3,"B",IF('Data Source'!X247&gt;=2,"C",IF('Data Source'!X247&gt;=1,"D","F")))))))</f>
        <v/>
      </c>
      <c r="G247" s="3">
        <f>IF('Data Source'!B247="","",IF('Data Source'!Y247&gt;=5,"A+",IF('Data Source'!Y247&gt;=4,"A",IF('Data Source'!Y247&gt;=3.5,"A-",IF('Data Source'!Y247&gt;=3,"B",IF('Data Source'!Y247&gt;=2,"C",IF('Data Source'!Y247&gt;=1,"D","F")))))))</f>
        <v/>
      </c>
      <c r="H247" s="3">
        <f>IF('Data Source'!B247="","",IF('Data Source'!Z247&gt;=5,"A+",IF('Data Source'!Z247&gt;=4,"A",IF('Data Source'!Z247&gt;=3.5,"A-",IF('Data Source'!Z247&gt;=3,"B",IF('Data Source'!Z247&gt;=2,"C",IF('Data Source'!Z247&gt;=1,"D","F")))))))</f>
        <v/>
      </c>
      <c r="I247" s="3">
        <f>IF('Data Source'!B247="","",IF('Data Source'!AA247&gt;=5,"A+",IF('Data Source'!AA247&gt;=4,"A",IF('Data Source'!AA247&gt;=3.5,"A-",IF('Data Source'!AA247&gt;=3,"B",IF('Data Source'!AA247&gt;=2,"C",IF('Data Source'!AA247&gt;=1,"D","F")))))))</f>
        <v/>
      </c>
      <c r="J247" s="3">
        <f>IF('Data Source'!B247="","",IF('Data Source'!AB247&gt;=5,"A+",IF('Data Source'!AB247&gt;=4,"A",IF('Data Source'!AB247&gt;=3.5,"A-",IF('Data Source'!AB247&gt;=3,"B",IF('Data Source'!AB247&gt;=2,"C",IF('Data Source'!AB247&gt;=1,"D","F")))))))</f>
        <v/>
      </c>
      <c r="K247" s="3">
        <f>IF('Data Source'!B247="","",IF('Data Source'!AC247&gt;=5,"A+",IF('Data Source'!AC247&gt;=4,"A",IF('Data Source'!AC247&gt;=3.5,"A-",IF('Data Source'!AC247&gt;=3,"B",IF('Data Source'!AC247&gt;=2,"C",IF('Data Source'!AC247&gt;=1,"D","F")))))))</f>
        <v/>
      </c>
      <c r="L247" s="3">
        <f>IF('Data Source'!B247="","",IF('Data Source'!AD247&gt;=5,"A+",IF('Data Source'!AD247&gt;=4,"A",IF('Data Source'!AD247&gt;=3.5,"A-",IF('Data Source'!AD247&gt;=3,"B",IF('Data Source'!AD247&gt;=2,"C",IF('Data Source'!AD247&gt;=1,"D","F")))))))</f>
        <v/>
      </c>
      <c r="M247" s="3">
        <f>IF('Data Source'!B247="","",IF('Data Source'!AE247&gt;=5,"A+",IF('Data Source'!AE247&gt;=4,"A",IF('Data Source'!AE247&gt;=3.5,"A-",IF('Data Source'!AE247&gt;=3,"B",IF('Data Source'!AE247&gt;=2,"C",IF('Data Source'!AE247&gt;=1,"D","F")))))))</f>
        <v/>
      </c>
      <c r="N247" s="3">
        <f>IF('Data Source'!B247="","",IF('Data Source'!AF247&gt;=5,"A+",IF('Data Source'!AF247&gt;=4,"A",IF('Data Source'!AF247&gt;=3.5,"A-",IF('Data Source'!AF247&gt;=3,"B",IF('Data Source'!AF247&gt;=2,"C",IF('Data Source'!AF247&gt;=1,"D","F")))))))</f>
        <v/>
      </c>
      <c r="O247" s="3">
        <f>IF('Data Source'!B247="","",IF('Data Source'!AG247&gt;=5,"A+",IF('Data Source'!AG247&gt;=4,"A",IF('Data Source'!AG247&gt;=3.5,"A-",IF('Data Source'!AG247&gt;=3,"B",IF('Data Source'!AG247&gt;=2,"C",IF('Data Source'!AG247&gt;=1,"D","F")))))))</f>
        <v/>
      </c>
      <c r="P247" s="5">
        <f>IF('Data Source'!B247="","",'Data Source'!R247)</f>
        <v/>
      </c>
      <c r="Q247" s="3">
        <f>IF('Data Source'!B247="","",'Data Source'!S247)</f>
        <v/>
      </c>
    </row>
    <row r="248">
      <c r="A248" s="3">
        <f>IF('Data Source'!B248="","",'Data Source'!A248)</f>
        <v/>
      </c>
      <c r="B248">
        <f>IF('Data Source'!B248="","",'Data Source'!B248)</f>
        <v/>
      </c>
      <c r="C248" s="3">
        <f>IF('Data Source'!B248="","",IF('Data Source'!U248&gt;=5,"A+",IF('Data Source'!U248&gt;=4,"A",IF('Data Source'!U248&gt;=3.5,"A-",IF('Data Source'!U248&gt;=3,"B",IF('Data Source'!U248&gt;=2,"C",IF('Data Source'!U248&gt;=1,"D","F")))))))</f>
        <v/>
      </c>
      <c r="D248" s="3">
        <f>IF('Data Source'!B248="","",IF('Data Source'!V248&gt;=5,"A+",IF('Data Source'!V248&gt;=4,"A",IF('Data Source'!V248&gt;=3.5,"A-",IF('Data Source'!V248&gt;=3,"B",IF('Data Source'!V248&gt;=2,"C",IF('Data Source'!V248&gt;=1,"D","F")))))))</f>
        <v/>
      </c>
      <c r="E248" s="3">
        <f>IF('Data Source'!B248="","",IF('Data Source'!W248&gt;=5,"A+",IF('Data Source'!W248&gt;=4,"A",IF('Data Source'!W248&gt;=3.5,"A-",IF('Data Source'!W248&gt;=3,"B",IF('Data Source'!W248&gt;=2,"C",IF('Data Source'!W248&gt;=1,"D","F")))))))</f>
        <v/>
      </c>
      <c r="F248" s="3">
        <f>IF('Data Source'!B248="","",IF('Data Source'!X248&gt;=5,"A+",IF('Data Source'!X248&gt;=4,"A",IF('Data Source'!X248&gt;=3.5,"A-",IF('Data Source'!X248&gt;=3,"B",IF('Data Source'!X248&gt;=2,"C",IF('Data Source'!X248&gt;=1,"D","F")))))))</f>
        <v/>
      </c>
      <c r="G248" s="3">
        <f>IF('Data Source'!B248="","",IF('Data Source'!Y248&gt;=5,"A+",IF('Data Source'!Y248&gt;=4,"A",IF('Data Source'!Y248&gt;=3.5,"A-",IF('Data Source'!Y248&gt;=3,"B",IF('Data Source'!Y248&gt;=2,"C",IF('Data Source'!Y248&gt;=1,"D","F")))))))</f>
        <v/>
      </c>
      <c r="H248" s="3">
        <f>IF('Data Source'!B248="","",IF('Data Source'!Z248&gt;=5,"A+",IF('Data Source'!Z248&gt;=4,"A",IF('Data Source'!Z248&gt;=3.5,"A-",IF('Data Source'!Z248&gt;=3,"B",IF('Data Source'!Z248&gt;=2,"C",IF('Data Source'!Z248&gt;=1,"D","F")))))))</f>
        <v/>
      </c>
      <c r="I248" s="3">
        <f>IF('Data Source'!B248="","",IF('Data Source'!AA248&gt;=5,"A+",IF('Data Source'!AA248&gt;=4,"A",IF('Data Source'!AA248&gt;=3.5,"A-",IF('Data Source'!AA248&gt;=3,"B",IF('Data Source'!AA248&gt;=2,"C",IF('Data Source'!AA248&gt;=1,"D","F")))))))</f>
        <v/>
      </c>
      <c r="J248" s="3">
        <f>IF('Data Source'!B248="","",IF('Data Source'!AB248&gt;=5,"A+",IF('Data Source'!AB248&gt;=4,"A",IF('Data Source'!AB248&gt;=3.5,"A-",IF('Data Source'!AB248&gt;=3,"B",IF('Data Source'!AB248&gt;=2,"C",IF('Data Source'!AB248&gt;=1,"D","F")))))))</f>
        <v/>
      </c>
      <c r="K248" s="3">
        <f>IF('Data Source'!B248="","",IF('Data Source'!AC248&gt;=5,"A+",IF('Data Source'!AC248&gt;=4,"A",IF('Data Source'!AC248&gt;=3.5,"A-",IF('Data Source'!AC248&gt;=3,"B",IF('Data Source'!AC248&gt;=2,"C",IF('Data Source'!AC248&gt;=1,"D","F")))))))</f>
        <v/>
      </c>
      <c r="L248" s="3">
        <f>IF('Data Source'!B248="","",IF('Data Source'!AD248&gt;=5,"A+",IF('Data Source'!AD248&gt;=4,"A",IF('Data Source'!AD248&gt;=3.5,"A-",IF('Data Source'!AD248&gt;=3,"B",IF('Data Source'!AD248&gt;=2,"C",IF('Data Source'!AD248&gt;=1,"D","F")))))))</f>
        <v/>
      </c>
      <c r="M248" s="3">
        <f>IF('Data Source'!B248="","",IF('Data Source'!AE248&gt;=5,"A+",IF('Data Source'!AE248&gt;=4,"A",IF('Data Source'!AE248&gt;=3.5,"A-",IF('Data Source'!AE248&gt;=3,"B",IF('Data Source'!AE248&gt;=2,"C",IF('Data Source'!AE248&gt;=1,"D","F")))))))</f>
        <v/>
      </c>
      <c r="N248" s="3">
        <f>IF('Data Source'!B248="","",IF('Data Source'!AF248&gt;=5,"A+",IF('Data Source'!AF248&gt;=4,"A",IF('Data Source'!AF248&gt;=3.5,"A-",IF('Data Source'!AF248&gt;=3,"B",IF('Data Source'!AF248&gt;=2,"C",IF('Data Source'!AF248&gt;=1,"D","F")))))))</f>
        <v/>
      </c>
      <c r="O248" s="3">
        <f>IF('Data Source'!B248="","",IF('Data Source'!AG248&gt;=5,"A+",IF('Data Source'!AG248&gt;=4,"A",IF('Data Source'!AG248&gt;=3.5,"A-",IF('Data Source'!AG248&gt;=3,"B",IF('Data Source'!AG248&gt;=2,"C",IF('Data Source'!AG248&gt;=1,"D","F")))))))</f>
        <v/>
      </c>
      <c r="P248" s="5">
        <f>IF('Data Source'!B248="","",'Data Source'!R248)</f>
        <v/>
      </c>
      <c r="Q248" s="3">
        <f>IF('Data Source'!B248="","",'Data Source'!S248)</f>
        <v/>
      </c>
    </row>
    <row r="249">
      <c r="A249" s="3">
        <f>IF('Data Source'!B249="","",'Data Source'!A249)</f>
        <v/>
      </c>
      <c r="B249">
        <f>IF('Data Source'!B249="","",'Data Source'!B249)</f>
        <v/>
      </c>
      <c r="C249" s="3">
        <f>IF('Data Source'!B249="","",IF('Data Source'!U249&gt;=5,"A+",IF('Data Source'!U249&gt;=4,"A",IF('Data Source'!U249&gt;=3.5,"A-",IF('Data Source'!U249&gt;=3,"B",IF('Data Source'!U249&gt;=2,"C",IF('Data Source'!U249&gt;=1,"D","F")))))))</f>
        <v/>
      </c>
      <c r="D249" s="3">
        <f>IF('Data Source'!B249="","",IF('Data Source'!V249&gt;=5,"A+",IF('Data Source'!V249&gt;=4,"A",IF('Data Source'!V249&gt;=3.5,"A-",IF('Data Source'!V249&gt;=3,"B",IF('Data Source'!V249&gt;=2,"C",IF('Data Source'!V249&gt;=1,"D","F")))))))</f>
        <v/>
      </c>
      <c r="E249" s="3">
        <f>IF('Data Source'!B249="","",IF('Data Source'!W249&gt;=5,"A+",IF('Data Source'!W249&gt;=4,"A",IF('Data Source'!W249&gt;=3.5,"A-",IF('Data Source'!W249&gt;=3,"B",IF('Data Source'!W249&gt;=2,"C",IF('Data Source'!W249&gt;=1,"D","F")))))))</f>
        <v/>
      </c>
      <c r="F249" s="3">
        <f>IF('Data Source'!B249="","",IF('Data Source'!X249&gt;=5,"A+",IF('Data Source'!X249&gt;=4,"A",IF('Data Source'!X249&gt;=3.5,"A-",IF('Data Source'!X249&gt;=3,"B",IF('Data Source'!X249&gt;=2,"C",IF('Data Source'!X249&gt;=1,"D","F")))))))</f>
        <v/>
      </c>
      <c r="G249" s="3">
        <f>IF('Data Source'!B249="","",IF('Data Source'!Y249&gt;=5,"A+",IF('Data Source'!Y249&gt;=4,"A",IF('Data Source'!Y249&gt;=3.5,"A-",IF('Data Source'!Y249&gt;=3,"B",IF('Data Source'!Y249&gt;=2,"C",IF('Data Source'!Y249&gt;=1,"D","F")))))))</f>
        <v/>
      </c>
      <c r="H249" s="3">
        <f>IF('Data Source'!B249="","",IF('Data Source'!Z249&gt;=5,"A+",IF('Data Source'!Z249&gt;=4,"A",IF('Data Source'!Z249&gt;=3.5,"A-",IF('Data Source'!Z249&gt;=3,"B",IF('Data Source'!Z249&gt;=2,"C",IF('Data Source'!Z249&gt;=1,"D","F")))))))</f>
        <v/>
      </c>
      <c r="I249" s="3">
        <f>IF('Data Source'!B249="","",IF('Data Source'!AA249&gt;=5,"A+",IF('Data Source'!AA249&gt;=4,"A",IF('Data Source'!AA249&gt;=3.5,"A-",IF('Data Source'!AA249&gt;=3,"B",IF('Data Source'!AA249&gt;=2,"C",IF('Data Source'!AA249&gt;=1,"D","F")))))))</f>
        <v/>
      </c>
      <c r="J249" s="3">
        <f>IF('Data Source'!B249="","",IF('Data Source'!AB249&gt;=5,"A+",IF('Data Source'!AB249&gt;=4,"A",IF('Data Source'!AB249&gt;=3.5,"A-",IF('Data Source'!AB249&gt;=3,"B",IF('Data Source'!AB249&gt;=2,"C",IF('Data Source'!AB249&gt;=1,"D","F")))))))</f>
        <v/>
      </c>
      <c r="K249" s="3">
        <f>IF('Data Source'!B249="","",IF('Data Source'!AC249&gt;=5,"A+",IF('Data Source'!AC249&gt;=4,"A",IF('Data Source'!AC249&gt;=3.5,"A-",IF('Data Source'!AC249&gt;=3,"B",IF('Data Source'!AC249&gt;=2,"C",IF('Data Source'!AC249&gt;=1,"D","F")))))))</f>
        <v/>
      </c>
      <c r="L249" s="3">
        <f>IF('Data Source'!B249="","",IF('Data Source'!AD249&gt;=5,"A+",IF('Data Source'!AD249&gt;=4,"A",IF('Data Source'!AD249&gt;=3.5,"A-",IF('Data Source'!AD249&gt;=3,"B",IF('Data Source'!AD249&gt;=2,"C",IF('Data Source'!AD249&gt;=1,"D","F")))))))</f>
        <v/>
      </c>
      <c r="M249" s="3">
        <f>IF('Data Source'!B249="","",IF('Data Source'!AE249&gt;=5,"A+",IF('Data Source'!AE249&gt;=4,"A",IF('Data Source'!AE249&gt;=3.5,"A-",IF('Data Source'!AE249&gt;=3,"B",IF('Data Source'!AE249&gt;=2,"C",IF('Data Source'!AE249&gt;=1,"D","F")))))))</f>
        <v/>
      </c>
      <c r="N249" s="3">
        <f>IF('Data Source'!B249="","",IF('Data Source'!AF249&gt;=5,"A+",IF('Data Source'!AF249&gt;=4,"A",IF('Data Source'!AF249&gt;=3.5,"A-",IF('Data Source'!AF249&gt;=3,"B",IF('Data Source'!AF249&gt;=2,"C",IF('Data Source'!AF249&gt;=1,"D","F")))))))</f>
        <v/>
      </c>
      <c r="O249" s="3">
        <f>IF('Data Source'!B249="","",IF('Data Source'!AG249&gt;=5,"A+",IF('Data Source'!AG249&gt;=4,"A",IF('Data Source'!AG249&gt;=3.5,"A-",IF('Data Source'!AG249&gt;=3,"B",IF('Data Source'!AG249&gt;=2,"C",IF('Data Source'!AG249&gt;=1,"D","F")))))))</f>
        <v/>
      </c>
      <c r="P249" s="5">
        <f>IF('Data Source'!B249="","",'Data Source'!R249)</f>
        <v/>
      </c>
      <c r="Q249" s="3">
        <f>IF('Data Source'!B249="","",'Data Source'!S249)</f>
        <v/>
      </c>
    </row>
    <row r="250">
      <c r="A250" s="3">
        <f>IF('Data Source'!B250="","",'Data Source'!A250)</f>
        <v/>
      </c>
      <c r="B250">
        <f>IF('Data Source'!B250="","",'Data Source'!B250)</f>
        <v/>
      </c>
      <c r="C250" s="3">
        <f>IF('Data Source'!B250="","",IF('Data Source'!U250&gt;=5,"A+",IF('Data Source'!U250&gt;=4,"A",IF('Data Source'!U250&gt;=3.5,"A-",IF('Data Source'!U250&gt;=3,"B",IF('Data Source'!U250&gt;=2,"C",IF('Data Source'!U250&gt;=1,"D","F")))))))</f>
        <v/>
      </c>
      <c r="D250" s="3">
        <f>IF('Data Source'!B250="","",IF('Data Source'!V250&gt;=5,"A+",IF('Data Source'!V250&gt;=4,"A",IF('Data Source'!V250&gt;=3.5,"A-",IF('Data Source'!V250&gt;=3,"B",IF('Data Source'!V250&gt;=2,"C",IF('Data Source'!V250&gt;=1,"D","F")))))))</f>
        <v/>
      </c>
      <c r="E250" s="3">
        <f>IF('Data Source'!B250="","",IF('Data Source'!W250&gt;=5,"A+",IF('Data Source'!W250&gt;=4,"A",IF('Data Source'!W250&gt;=3.5,"A-",IF('Data Source'!W250&gt;=3,"B",IF('Data Source'!W250&gt;=2,"C",IF('Data Source'!W250&gt;=1,"D","F")))))))</f>
        <v/>
      </c>
      <c r="F250" s="3">
        <f>IF('Data Source'!B250="","",IF('Data Source'!X250&gt;=5,"A+",IF('Data Source'!X250&gt;=4,"A",IF('Data Source'!X250&gt;=3.5,"A-",IF('Data Source'!X250&gt;=3,"B",IF('Data Source'!X250&gt;=2,"C",IF('Data Source'!X250&gt;=1,"D","F")))))))</f>
        <v/>
      </c>
      <c r="G250" s="3">
        <f>IF('Data Source'!B250="","",IF('Data Source'!Y250&gt;=5,"A+",IF('Data Source'!Y250&gt;=4,"A",IF('Data Source'!Y250&gt;=3.5,"A-",IF('Data Source'!Y250&gt;=3,"B",IF('Data Source'!Y250&gt;=2,"C",IF('Data Source'!Y250&gt;=1,"D","F")))))))</f>
        <v/>
      </c>
      <c r="H250" s="3">
        <f>IF('Data Source'!B250="","",IF('Data Source'!Z250&gt;=5,"A+",IF('Data Source'!Z250&gt;=4,"A",IF('Data Source'!Z250&gt;=3.5,"A-",IF('Data Source'!Z250&gt;=3,"B",IF('Data Source'!Z250&gt;=2,"C",IF('Data Source'!Z250&gt;=1,"D","F")))))))</f>
        <v/>
      </c>
      <c r="I250" s="3">
        <f>IF('Data Source'!B250="","",IF('Data Source'!AA250&gt;=5,"A+",IF('Data Source'!AA250&gt;=4,"A",IF('Data Source'!AA250&gt;=3.5,"A-",IF('Data Source'!AA250&gt;=3,"B",IF('Data Source'!AA250&gt;=2,"C",IF('Data Source'!AA250&gt;=1,"D","F")))))))</f>
        <v/>
      </c>
      <c r="J250" s="3">
        <f>IF('Data Source'!B250="","",IF('Data Source'!AB250&gt;=5,"A+",IF('Data Source'!AB250&gt;=4,"A",IF('Data Source'!AB250&gt;=3.5,"A-",IF('Data Source'!AB250&gt;=3,"B",IF('Data Source'!AB250&gt;=2,"C",IF('Data Source'!AB250&gt;=1,"D","F")))))))</f>
        <v/>
      </c>
      <c r="K250" s="3">
        <f>IF('Data Source'!B250="","",IF('Data Source'!AC250&gt;=5,"A+",IF('Data Source'!AC250&gt;=4,"A",IF('Data Source'!AC250&gt;=3.5,"A-",IF('Data Source'!AC250&gt;=3,"B",IF('Data Source'!AC250&gt;=2,"C",IF('Data Source'!AC250&gt;=1,"D","F")))))))</f>
        <v/>
      </c>
      <c r="L250" s="3">
        <f>IF('Data Source'!B250="","",IF('Data Source'!AD250&gt;=5,"A+",IF('Data Source'!AD250&gt;=4,"A",IF('Data Source'!AD250&gt;=3.5,"A-",IF('Data Source'!AD250&gt;=3,"B",IF('Data Source'!AD250&gt;=2,"C",IF('Data Source'!AD250&gt;=1,"D","F")))))))</f>
        <v/>
      </c>
      <c r="M250" s="3">
        <f>IF('Data Source'!B250="","",IF('Data Source'!AE250&gt;=5,"A+",IF('Data Source'!AE250&gt;=4,"A",IF('Data Source'!AE250&gt;=3.5,"A-",IF('Data Source'!AE250&gt;=3,"B",IF('Data Source'!AE250&gt;=2,"C",IF('Data Source'!AE250&gt;=1,"D","F")))))))</f>
        <v/>
      </c>
      <c r="N250" s="3">
        <f>IF('Data Source'!B250="","",IF('Data Source'!AF250&gt;=5,"A+",IF('Data Source'!AF250&gt;=4,"A",IF('Data Source'!AF250&gt;=3.5,"A-",IF('Data Source'!AF250&gt;=3,"B",IF('Data Source'!AF250&gt;=2,"C",IF('Data Source'!AF250&gt;=1,"D","F")))))))</f>
        <v/>
      </c>
      <c r="O250" s="3">
        <f>IF('Data Source'!B250="","",IF('Data Source'!AG250&gt;=5,"A+",IF('Data Source'!AG250&gt;=4,"A",IF('Data Source'!AG250&gt;=3.5,"A-",IF('Data Source'!AG250&gt;=3,"B",IF('Data Source'!AG250&gt;=2,"C",IF('Data Source'!AG250&gt;=1,"D","F")))))))</f>
        <v/>
      </c>
      <c r="P250" s="5">
        <f>IF('Data Source'!B250="","",'Data Source'!R250)</f>
        <v/>
      </c>
      <c r="Q250" s="3">
        <f>IF('Data Source'!B250="","",'Data Source'!S250)</f>
        <v/>
      </c>
    </row>
    <row r="251">
      <c r="A251" s="3">
        <f>IF('Data Source'!B251="","",'Data Source'!A251)</f>
        <v/>
      </c>
      <c r="B251">
        <f>IF('Data Source'!B251="","",'Data Source'!B251)</f>
        <v/>
      </c>
      <c r="C251" s="3">
        <f>IF('Data Source'!B251="","",IF('Data Source'!U251&gt;=5,"A+",IF('Data Source'!U251&gt;=4,"A",IF('Data Source'!U251&gt;=3.5,"A-",IF('Data Source'!U251&gt;=3,"B",IF('Data Source'!U251&gt;=2,"C",IF('Data Source'!U251&gt;=1,"D","F")))))))</f>
        <v/>
      </c>
      <c r="D251" s="3">
        <f>IF('Data Source'!B251="","",IF('Data Source'!V251&gt;=5,"A+",IF('Data Source'!V251&gt;=4,"A",IF('Data Source'!V251&gt;=3.5,"A-",IF('Data Source'!V251&gt;=3,"B",IF('Data Source'!V251&gt;=2,"C",IF('Data Source'!V251&gt;=1,"D","F")))))))</f>
        <v/>
      </c>
      <c r="E251" s="3">
        <f>IF('Data Source'!B251="","",IF('Data Source'!W251&gt;=5,"A+",IF('Data Source'!W251&gt;=4,"A",IF('Data Source'!W251&gt;=3.5,"A-",IF('Data Source'!W251&gt;=3,"B",IF('Data Source'!W251&gt;=2,"C",IF('Data Source'!W251&gt;=1,"D","F")))))))</f>
        <v/>
      </c>
      <c r="F251" s="3">
        <f>IF('Data Source'!B251="","",IF('Data Source'!X251&gt;=5,"A+",IF('Data Source'!X251&gt;=4,"A",IF('Data Source'!X251&gt;=3.5,"A-",IF('Data Source'!X251&gt;=3,"B",IF('Data Source'!X251&gt;=2,"C",IF('Data Source'!X251&gt;=1,"D","F")))))))</f>
        <v/>
      </c>
      <c r="G251" s="3">
        <f>IF('Data Source'!B251="","",IF('Data Source'!Y251&gt;=5,"A+",IF('Data Source'!Y251&gt;=4,"A",IF('Data Source'!Y251&gt;=3.5,"A-",IF('Data Source'!Y251&gt;=3,"B",IF('Data Source'!Y251&gt;=2,"C",IF('Data Source'!Y251&gt;=1,"D","F")))))))</f>
        <v/>
      </c>
      <c r="H251" s="3">
        <f>IF('Data Source'!B251="","",IF('Data Source'!Z251&gt;=5,"A+",IF('Data Source'!Z251&gt;=4,"A",IF('Data Source'!Z251&gt;=3.5,"A-",IF('Data Source'!Z251&gt;=3,"B",IF('Data Source'!Z251&gt;=2,"C",IF('Data Source'!Z251&gt;=1,"D","F")))))))</f>
        <v/>
      </c>
      <c r="I251" s="3">
        <f>IF('Data Source'!B251="","",IF('Data Source'!AA251&gt;=5,"A+",IF('Data Source'!AA251&gt;=4,"A",IF('Data Source'!AA251&gt;=3.5,"A-",IF('Data Source'!AA251&gt;=3,"B",IF('Data Source'!AA251&gt;=2,"C",IF('Data Source'!AA251&gt;=1,"D","F")))))))</f>
        <v/>
      </c>
      <c r="J251" s="3">
        <f>IF('Data Source'!B251="","",IF('Data Source'!AB251&gt;=5,"A+",IF('Data Source'!AB251&gt;=4,"A",IF('Data Source'!AB251&gt;=3.5,"A-",IF('Data Source'!AB251&gt;=3,"B",IF('Data Source'!AB251&gt;=2,"C",IF('Data Source'!AB251&gt;=1,"D","F")))))))</f>
        <v/>
      </c>
      <c r="K251" s="3">
        <f>IF('Data Source'!B251="","",IF('Data Source'!AC251&gt;=5,"A+",IF('Data Source'!AC251&gt;=4,"A",IF('Data Source'!AC251&gt;=3.5,"A-",IF('Data Source'!AC251&gt;=3,"B",IF('Data Source'!AC251&gt;=2,"C",IF('Data Source'!AC251&gt;=1,"D","F")))))))</f>
        <v/>
      </c>
      <c r="L251" s="3">
        <f>IF('Data Source'!B251="","",IF('Data Source'!AD251&gt;=5,"A+",IF('Data Source'!AD251&gt;=4,"A",IF('Data Source'!AD251&gt;=3.5,"A-",IF('Data Source'!AD251&gt;=3,"B",IF('Data Source'!AD251&gt;=2,"C",IF('Data Source'!AD251&gt;=1,"D","F")))))))</f>
        <v/>
      </c>
      <c r="M251" s="3">
        <f>IF('Data Source'!B251="","",IF('Data Source'!AE251&gt;=5,"A+",IF('Data Source'!AE251&gt;=4,"A",IF('Data Source'!AE251&gt;=3.5,"A-",IF('Data Source'!AE251&gt;=3,"B",IF('Data Source'!AE251&gt;=2,"C",IF('Data Source'!AE251&gt;=1,"D","F")))))))</f>
        <v/>
      </c>
      <c r="N251" s="3">
        <f>IF('Data Source'!B251="","",IF('Data Source'!AF251&gt;=5,"A+",IF('Data Source'!AF251&gt;=4,"A",IF('Data Source'!AF251&gt;=3.5,"A-",IF('Data Source'!AF251&gt;=3,"B",IF('Data Source'!AF251&gt;=2,"C",IF('Data Source'!AF251&gt;=1,"D","F")))))))</f>
        <v/>
      </c>
      <c r="O251" s="3">
        <f>IF('Data Source'!B251="","",IF('Data Source'!AG251&gt;=5,"A+",IF('Data Source'!AG251&gt;=4,"A",IF('Data Source'!AG251&gt;=3.5,"A-",IF('Data Source'!AG251&gt;=3,"B",IF('Data Source'!AG251&gt;=2,"C",IF('Data Source'!AG251&gt;=1,"D","F")))))))</f>
        <v/>
      </c>
      <c r="P251" s="5">
        <f>IF('Data Source'!B251="","",'Data Source'!R251)</f>
        <v/>
      </c>
      <c r="Q251" s="3">
        <f>IF('Data Source'!B251="","",'Data Source'!S251)</f>
        <v/>
      </c>
    </row>
    <row r="252">
      <c r="A252" s="3">
        <f>IF('Data Source'!B252="","",'Data Source'!A252)</f>
        <v/>
      </c>
      <c r="B252">
        <f>IF('Data Source'!B252="","",'Data Source'!B252)</f>
        <v/>
      </c>
      <c r="C252" s="3">
        <f>IF('Data Source'!B252="","",IF('Data Source'!U252&gt;=5,"A+",IF('Data Source'!U252&gt;=4,"A",IF('Data Source'!U252&gt;=3.5,"A-",IF('Data Source'!U252&gt;=3,"B",IF('Data Source'!U252&gt;=2,"C",IF('Data Source'!U252&gt;=1,"D","F")))))))</f>
        <v/>
      </c>
      <c r="D252" s="3">
        <f>IF('Data Source'!B252="","",IF('Data Source'!V252&gt;=5,"A+",IF('Data Source'!V252&gt;=4,"A",IF('Data Source'!V252&gt;=3.5,"A-",IF('Data Source'!V252&gt;=3,"B",IF('Data Source'!V252&gt;=2,"C",IF('Data Source'!V252&gt;=1,"D","F")))))))</f>
        <v/>
      </c>
      <c r="E252" s="3">
        <f>IF('Data Source'!B252="","",IF('Data Source'!W252&gt;=5,"A+",IF('Data Source'!W252&gt;=4,"A",IF('Data Source'!W252&gt;=3.5,"A-",IF('Data Source'!W252&gt;=3,"B",IF('Data Source'!W252&gt;=2,"C",IF('Data Source'!W252&gt;=1,"D","F")))))))</f>
        <v/>
      </c>
      <c r="F252" s="3">
        <f>IF('Data Source'!B252="","",IF('Data Source'!X252&gt;=5,"A+",IF('Data Source'!X252&gt;=4,"A",IF('Data Source'!X252&gt;=3.5,"A-",IF('Data Source'!X252&gt;=3,"B",IF('Data Source'!X252&gt;=2,"C",IF('Data Source'!X252&gt;=1,"D","F")))))))</f>
        <v/>
      </c>
      <c r="G252" s="3">
        <f>IF('Data Source'!B252="","",IF('Data Source'!Y252&gt;=5,"A+",IF('Data Source'!Y252&gt;=4,"A",IF('Data Source'!Y252&gt;=3.5,"A-",IF('Data Source'!Y252&gt;=3,"B",IF('Data Source'!Y252&gt;=2,"C",IF('Data Source'!Y252&gt;=1,"D","F")))))))</f>
        <v/>
      </c>
      <c r="H252" s="3">
        <f>IF('Data Source'!B252="","",IF('Data Source'!Z252&gt;=5,"A+",IF('Data Source'!Z252&gt;=4,"A",IF('Data Source'!Z252&gt;=3.5,"A-",IF('Data Source'!Z252&gt;=3,"B",IF('Data Source'!Z252&gt;=2,"C",IF('Data Source'!Z252&gt;=1,"D","F")))))))</f>
        <v/>
      </c>
      <c r="I252" s="3">
        <f>IF('Data Source'!B252="","",IF('Data Source'!AA252&gt;=5,"A+",IF('Data Source'!AA252&gt;=4,"A",IF('Data Source'!AA252&gt;=3.5,"A-",IF('Data Source'!AA252&gt;=3,"B",IF('Data Source'!AA252&gt;=2,"C",IF('Data Source'!AA252&gt;=1,"D","F")))))))</f>
        <v/>
      </c>
      <c r="J252" s="3">
        <f>IF('Data Source'!B252="","",IF('Data Source'!AB252&gt;=5,"A+",IF('Data Source'!AB252&gt;=4,"A",IF('Data Source'!AB252&gt;=3.5,"A-",IF('Data Source'!AB252&gt;=3,"B",IF('Data Source'!AB252&gt;=2,"C",IF('Data Source'!AB252&gt;=1,"D","F")))))))</f>
        <v/>
      </c>
      <c r="K252" s="3">
        <f>IF('Data Source'!B252="","",IF('Data Source'!AC252&gt;=5,"A+",IF('Data Source'!AC252&gt;=4,"A",IF('Data Source'!AC252&gt;=3.5,"A-",IF('Data Source'!AC252&gt;=3,"B",IF('Data Source'!AC252&gt;=2,"C",IF('Data Source'!AC252&gt;=1,"D","F")))))))</f>
        <v/>
      </c>
      <c r="L252" s="3">
        <f>IF('Data Source'!B252="","",IF('Data Source'!AD252&gt;=5,"A+",IF('Data Source'!AD252&gt;=4,"A",IF('Data Source'!AD252&gt;=3.5,"A-",IF('Data Source'!AD252&gt;=3,"B",IF('Data Source'!AD252&gt;=2,"C",IF('Data Source'!AD252&gt;=1,"D","F")))))))</f>
        <v/>
      </c>
      <c r="M252" s="3">
        <f>IF('Data Source'!B252="","",IF('Data Source'!AE252&gt;=5,"A+",IF('Data Source'!AE252&gt;=4,"A",IF('Data Source'!AE252&gt;=3.5,"A-",IF('Data Source'!AE252&gt;=3,"B",IF('Data Source'!AE252&gt;=2,"C",IF('Data Source'!AE252&gt;=1,"D","F")))))))</f>
        <v/>
      </c>
      <c r="N252" s="3">
        <f>IF('Data Source'!B252="","",IF('Data Source'!AF252&gt;=5,"A+",IF('Data Source'!AF252&gt;=4,"A",IF('Data Source'!AF252&gt;=3.5,"A-",IF('Data Source'!AF252&gt;=3,"B",IF('Data Source'!AF252&gt;=2,"C",IF('Data Source'!AF252&gt;=1,"D","F")))))))</f>
        <v/>
      </c>
      <c r="O252" s="3">
        <f>IF('Data Source'!B252="","",IF('Data Source'!AG252&gt;=5,"A+",IF('Data Source'!AG252&gt;=4,"A",IF('Data Source'!AG252&gt;=3.5,"A-",IF('Data Source'!AG252&gt;=3,"B",IF('Data Source'!AG252&gt;=2,"C",IF('Data Source'!AG252&gt;=1,"D","F")))))))</f>
        <v/>
      </c>
      <c r="P252" s="5">
        <f>IF('Data Source'!B252="","",'Data Source'!R252)</f>
        <v/>
      </c>
      <c r="Q252" s="3">
        <f>IF('Data Source'!B252="","",'Data Source'!S252)</f>
        <v/>
      </c>
    </row>
    <row r="253">
      <c r="A253" s="3">
        <f>IF('Data Source'!B253="","",'Data Source'!A253)</f>
        <v/>
      </c>
      <c r="B253">
        <f>IF('Data Source'!B253="","",'Data Source'!B253)</f>
        <v/>
      </c>
      <c r="C253" s="3">
        <f>IF('Data Source'!B253="","",IF('Data Source'!U253&gt;=5,"A+",IF('Data Source'!U253&gt;=4,"A",IF('Data Source'!U253&gt;=3.5,"A-",IF('Data Source'!U253&gt;=3,"B",IF('Data Source'!U253&gt;=2,"C",IF('Data Source'!U253&gt;=1,"D","F")))))))</f>
        <v/>
      </c>
      <c r="D253" s="3">
        <f>IF('Data Source'!B253="","",IF('Data Source'!V253&gt;=5,"A+",IF('Data Source'!V253&gt;=4,"A",IF('Data Source'!V253&gt;=3.5,"A-",IF('Data Source'!V253&gt;=3,"B",IF('Data Source'!V253&gt;=2,"C",IF('Data Source'!V253&gt;=1,"D","F")))))))</f>
        <v/>
      </c>
      <c r="E253" s="3">
        <f>IF('Data Source'!B253="","",IF('Data Source'!W253&gt;=5,"A+",IF('Data Source'!W253&gt;=4,"A",IF('Data Source'!W253&gt;=3.5,"A-",IF('Data Source'!W253&gt;=3,"B",IF('Data Source'!W253&gt;=2,"C",IF('Data Source'!W253&gt;=1,"D","F")))))))</f>
        <v/>
      </c>
      <c r="F253" s="3">
        <f>IF('Data Source'!B253="","",IF('Data Source'!X253&gt;=5,"A+",IF('Data Source'!X253&gt;=4,"A",IF('Data Source'!X253&gt;=3.5,"A-",IF('Data Source'!X253&gt;=3,"B",IF('Data Source'!X253&gt;=2,"C",IF('Data Source'!X253&gt;=1,"D","F")))))))</f>
        <v/>
      </c>
      <c r="G253" s="3">
        <f>IF('Data Source'!B253="","",IF('Data Source'!Y253&gt;=5,"A+",IF('Data Source'!Y253&gt;=4,"A",IF('Data Source'!Y253&gt;=3.5,"A-",IF('Data Source'!Y253&gt;=3,"B",IF('Data Source'!Y253&gt;=2,"C",IF('Data Source'!Y253&gt;=1,"D","F")))))))</f>
        <v/>
      </c>
      <c r="H253" s="3">
        <f>IF('Data Source'!B253="","",IF('Data Source'!Z253&gt;=5,"A+",IF('Data Source'!Z253&gt;=4,"A",IF('Data Source'!Z253&gt;=3.5,"A-",IF('Data Source'!Z253&gt;=3,"B",IF('Data Source'!Z253&gt;=2,"C",IF('Data Source'!Z253&gt;=1,"D","F")))))))</f>
        <v/>
      </c>
      <c r="I253" s="3">
        <f>IF('Data Source'!B253="","",IF('Data Source'!AA253&gt;=5,"A+",IF('Data Source'!AA253&gt;=4,"A",IF('Data Source'!AA253&gt;=3.5,"A-",IF('Data Source'!AA253&gt;=3,"B",IF('Data Source'!AA253&gt;=2,"C",IF('Data Source'!AA253&gt;=1,"D","F")))))))</f>
        <v/>
      </c>
      <c r="J253" s="3">
        <f>IF('Data Source'!B253="","",IF('Data Source'!AB253&gt;=5,"A+",IF('Data Source'!AB253&gt;=4,"A",IF('Data Source'!AB253&gt;=3.5,"A-",IF('Data Source'!AB253&gt;=3,"B",IF('Data Source'!AB253&gt;=2,"C",IF('Data Source'!AB253&gt;=1,"D","F")))))))</f>
        <v/>
      </c>
      <c r="K253" s="3">
        <f>IF('Data Source'!B253="","",IF('Data Source'!AC253&gt;=5,"A+",IF('Data Source'!AC253&gt;=4,"A",IF('Data Source'!AC253&gt;=3.5,"A-",IF('Data Source'!AC253&gt;=3,"B",IF('Data Source'!AC253&gt;=2,"C",IF('Data Source'!AC253&gt;=1,"D","F")))))))</f>
        <v/>
      </c>
      <c r="L253" s="3">
        <f>IF('Data Source'!B253="","",IF('Data Source'!AD253&gt;=5,"A+",IF('Data Source'!AD253&gt;=4,"A",IF('Data Source'!AD253&gt;=3.5,"A-",IF('Data Source'!AD253&gt;=3,"B",IF('Data Source'!AD253&gt;=2,"C",IF('Data Source'!AD253&gt;=1,"D","F")))))))</f>
        <v/>
      </c>
      <c r="M253" s="3">
        <f>IF('Data Source'!B253="","",IF('Data Source'!AE253&gt;=5,"A+",IF('Data Source'!AE253&gt;=4,"A",IF('Data Source'!AE253&gt;=3.5,"A-",IF('Data Source'!AE253&gt;=3,"B",IF('Data Source'!AE253&gt;=2,"C",IF('Data Source'!AE253&gt;=1,"D","F")))))))</f>
        <v/>
      </c>
      <c r="N253" s="3">
        <f>IF('Data Source'!B253="","",IF('Data Source'!AF253&gt;=5,"A+",IF('Data Source'!AF253&gt;=4,"A",IF('Data Source'!AF253&gt;=3.5,"A-",IF('Data Source'!AF253&gt;=3,"B",IF('Data Source'!AF253&gt;=2,"C",IF('Data Source'!AF253&gt;=1,"D","F")))))))</f>
        <v/>
      </c>
      <c r="O253" s="3">
        <f>IF('Data Source'!B253="","",IF('Data Source'!AG253&gt;=5,"A+",IF('Data Source'!AG253&gt;=4,"A",IF('Data Source'!AG253&gt;=3.5,"A-",IF('Data Source'!AG253&gt;=3,"B",IF('Data Source'!AG253&gt;=2,"C",IF('Data Source'!AG253&gt;=1,"D","F")))))))</f>
        <v/>
      </c>
      <c r="P253" s="5">
        <f>IF('Data Source'!B253="","",'Data Source'!R253)</f>
        <v/>
      </c>
      <c r="Q253" s="3">
        <f>IF('Data Source'!B253="","",'Data Source'!S253)</f>
        <v/>
      </c>
    </row>
    <row r="254">
      <c r="A254" s="3">
        <f>IF('Data Source'!B254="","",'Data Source'!A254)</f>
        <v/>
      </c>
      <c r="B254">
        <f>IF('Data Source'!B254="","",'Data Source'!B254)</f>
        <v/>
      </c>
      <c r="C254" s="3">
        <f>IF('Data Source'!B254="","",IF('Data Source'!U254&gt;=5,"A+",IF('Data Source'!U254&gt;=4,"A",IF('Data Source'!U254&gt;=3.5,"A-",IF('Data Source'!U254&gt;=3,"B",IF('Data Source'!U254&gt;=2,"C",IF('Data Source'!U254&gt;=1,"D","F")))))))</f>
        <v/>
      </c>
      <c r="D254" s="3">
        <f>IF('Data Source'!B254="","",IF('Data Source'!V254&gt;=5,"A+",IF('Data Source'!V254&gt;=4,"A",IF('Data Source'!V254&gt;=3.5,"A-",IF('Data Source'!V254&gt;=3,"B",IF('Data Source'!V254&gt;=2,"C",IF('Data Source'!V254&gt;=1,"D","F")))))))</f>
        <v/>
      </c>
      <c r="E254" s="3">
        <f>IF('Data Source'!B254="","",IF('Data Source'!W254&gt;=5,"A+",IF('Data Source'!W254&gt;=4,"A",IF('Data Source'!W254&gt;=3.5,"A-",IF('Data Source'!W254&gt;=3,"B",IF('Data Source'!W254&gt;=2,"C",IF('Data Source'!W254&gt;=1,"D","F")))))))</f>
        <v/>
      </c>
      <c r="F254" s="3">
        <f>IF('Data Source'!B254="","",IF('Data Source'!X254&gt;=5,"A+",IF('Data Source'!X254&gt;=4,"A",IF('Data Source'!X254&gt;=3.5,"A-",IF('Data Source'!X254&gt;=3,"B",IF('Data Source'!X254&gt;=2,"C",IF('Data Source'!X254&gt;=1,"D","F")))))))</f>
        <v/>
      </c>
      <c r="G254" s="3">
        <f>IF('Data Source'!B254="","",IF('Data Source'!Y254&gt;=5,"A+",IF('Data Source'!Y254&gt;=4,"A",IF('Data Source'!Y254&gt;=3.5,"A-",IF('Data Source'!Y254&gt;=3,"B",IF('Data Source'!Y254&gt;=2,"C",IF('Data Source'!Y254&gt;=1,"D","F")))))))</f>
        <v/>
      </c>
      <c r="H254" s="3">
        <f>IF('Data Source'!B254="","",IF('Data Source'!Z254&gt;=5,"A+",IF('Data Source'!Z254&gt;=4,"A",IF('Data Source'!Z254&gt;=3.5,"A-",IF('Data Source'!Z254&gt;=3,"B",IF('Data Source'!Z254&gt;=2,"C",IF('Data Source'!Z254&gt;=1,"D","F")))))))</f>
        <v/>
      </c>
      <c r="I254" s="3">
        <f>IF('Data Source'!B254="","",IF('Data Source'!AA254&gt;=5,"A+",IF('Data Source'!AA254&gt;=4,"A",IF('Data Source'!AA254&gt;=3.5,"A-",IF('Data Source'!AA254&gt;=3,"B",IF('Data Source'!AA254&gt;=2,"C",IF('Data Source'!AA254&gt;=1,"D","F")))))))</f>
        <v/>
      </c>
      <c r="J254" s="3">
        <f>IF('Data Source'!B254="","",IF('Data Source'!AB254&gt;=5,"A+",IF('Data Source'!AB254&gt;=4,"A",IF('Data Source'!AB254&gt;=3.5,"A-",IF('Data Source'!AB254&gt;=3,"B",IF('Data Source'!AB254&gt;=2,"C",IF('Data Source'!AB254&gt;=1,"D","F")))))))</f>
        <v/>
      </c>
      <c r="K254" s="3">
        <f>IF('Data Source'!B254="","",IF('Data Source'!AC254&gt;=5,"A+",IF('Data Source'!AC254&gt;=4,"A",IF('Data Source'!AC254&gt;=3.5,"A-",IF('Data Source'!AC254&gt;=3,"B",IF('Data Source'!AC254&gt;=2,"C",IF('Data Source'!AC254&gt;=1,"D","F")))))))</f>
        <v/>
      </c>
      <c r="L254" s="3">
        <f>IF('Data Source'!B254="","",IF('Data Source'!AD254&gt;=5,"A+",IF('Data Source'!AD254&gt;=4,"A",IF('Data Source'!AD254&gt;=3.5,"A-",IF('Data Source'!AD254&gt;=3,"B",IF('Data Source'!AD254&gt;=2,"C",IF('Data Source'!AD254&gt;=1,"D","F")))))))</f>
        <v/>
      </c>
      <c r="M254" s="3">
        <f>IF('Data Source'!B254="","",IF('Data Source'!AE254&gt;=5,"A+",IF('Data Source'!AE254&gt;=4,"A",IF('Data Source'!AE254&gt;=3.5,"A-",IF('Data Source'!AE254&gt;=3,"B",IF('Data Source'!AE254&gt;=2,"C",IF('Data Source'!AE254&gt;=1,"D","F")))))))</f>
        <v/>
      </c>
      <c r="N254" s="3">
        <f>IF('Data Source'!B254="","",IF('Data Source'!AF254&gt;=5,"A+",IF('Data Source'!AF254&gt;=4,"A",IF('Data Source'!AF254&gt;=3.5,"A-",IF('Data Source'!AF254&gt;=3,"B",IF('Data Source'!AF254&gt;=2,"C",IF('Data Source'!AF254&gt;=1,"D","F")))))))</f>
        <v/>
      </c>
      <c r="O254" s="3">
        <f>IF('Data Source'!B254="","",IF('Data Source'!AG254&gt;=5,"A+",IF('Data Source'!AG254&gt;=4,"A",IF('Data Source'!AG254&gt;=3.5,"A-",IF('Data Source'!AG254&gt;=3,"B",IF('Data Source'!AG254&gt;=2,"C",IF('Data Source'!AG254&gt;=1,"D","F")))))))</f>
        <v/>
      </c>
      <c r="P254" s="5">
        <f>IF('Data Source'!B254="","",'Data Source'!R254)</f>
        <v/>
      </c>
      <c r="Q254" s="3">
        <f>IF('Data Source'!B254="","",'Data Source'!S254)</f>
        <v/>
      </c>
    </row>
    <row r="255">
      <c r="A255" s="3">
        <f>IF('Data Source'!B255="","",'Data Source'!A255)</f>
        <v/>
      </c>
      <c r="B255">
        <f>IF('Data Source'!B255="","",'Data Source'!B255)</f>
        <v/>
      </c>
      <c r="C255" s="3">
        <f>IF('Data Source'!B255="","",IF('Data Source'!U255&gt;=5,"A+",IF('Data Source'!U255&gt;=4,"A",IF('Data Source'!U255&gt;=3.5,"A-",IF('Data Source'!U255&gt;=3,"B",IF('Data Source'!U255&gt;=2,"C",IF('Data Source'!U255&gt;=1,"D","F")))))))</f>
        <v/>
      </c>
      <c r="D255" s="3">
        <f>IF('Data Source'!B255="","",IF('Data Source'!V255&gt;=5,"A+",IF('Data Source'!V255&gt;=4,"A",IF('Data Source'!V255&gt;=3.5,"A-",IF('Data Source'!V255&gt;=3,"B",IF('Data Source'!V255&gt;=2,"C",IF('Data Source'!V255&gt;=1,"D","F")))))))</f>
        <v/>
      </c>
      <c r="E255" s="3">
        <f>IF('Data Source'!B255="","",IF('Data Source'!W255&gt;=5,"A+",IF('Data Source'!W255&gt;=4,"A",IF('Data Source'!W255&gt;=3.5,"A-",IF('Data Source'!W255&gt;=3,"B",IF('Data Source'!W255&gt;=2,"C",IF('Data Source'!W255&gt;=1,"D","F")))))))</f>
        <v/>
      </c>
      <c r="F255" s="3">
        <f>IF('Data Source'!B255="","",IF('Data Source'!X255&gt;=5,"A+",IF('Data Source'!X255&gt;=4,"A",IF('Data Source'!X255&gt;=3.5,"A-",IF('Data Source'!X255&gt;=3,"B",IF('Data Source'!X255&gt;=2,"C",IF('Data Source'!X255&gt;=1,"D","F")))))))</f>
        <v/>
      </c>
      <c r="G255" s="3">
        <f>IF('Data Source'!B255="","",IF('Data Source'!Y255&gt;=5,"A+",IF('Data Source'!Y255&gt;=4,"A",IF('Data Source'!Y255&gt;=3.5,"A-",IF('Data Source'!Y255&gt;=3,"B",IF('Data Source'!Y255&gt;=2,"C",IF('Data Source'!Y255&gt;=1,"D","F")))))))</f>
        <v/>
      </c>
      <c r="H255" s="3">
        <f>IF('Data Source'!B255="","",IF('Data Source'!Z255&gt;=5,"A+",IF('Data Source'!Z255&gt;=4,"A",IF('Data Source'!Z255&gt;=3.5,"A-",IF('Data Source'!Z255&gt;=3,"B",IF('Data Source'!Z255&gt;=2,"C",IF('Data Source'!Z255&gt;=1,"D","F")))))))</f>
        <v/>
      </c>
      <c r="I255" s="3">
        <f>IF('Data Source'!B255="","",IF('Data Source'!AA255&gt;=5,"A+",IF('Data Source'!AA255&gt;=4,"A",IF('Data Source'!AA255&gt;=3.5,"A-",IF('Data Source'!AA255&gt;=3,"B",IF('Data Source'!AA255&gt;=2,"C",IF('Data Source'!AA255&gt;=1,"D","F")))))))</f>
        <v/>
      </c>
      <c r="J255" s="3">
        <f>IF('Data Source'!B255="","",IF('Data Source'!AB255&gt;=5,"A+",IF('Data Source'!AB255&gt;=4,"A",IF('Data Source'!AB255&gt;=3.5,"A-",IF('Data Source'!AB255&gt;=3,"B",IF('Data Source'!AB255&gt;=2,"C",IF('Data Source'!AB255&gt;=1,"D","F")))))))</f>
        <v/>
      </c>
      <c r="K255" s="3">
        <f>IF('Data Source'!B255="","",IF('Data Source'!AC255&gt;=5,"A+",IF('Data Source'!AC255&gt;=4,"A",IF('Data Source'!AC255&gt;=3.5,"A-",IF('Data Source'!AC255&gt;=3,"B",IF('Data Source'!AC255&gt;=2,"C",IF('Data Source'!AC255&gt;=1,"D","F")))))))</f>
        <v/>
      </c>
      <c r="L255" s="3">
        <f>IF('Data Source'!B255="","",IF('Data Source'!AD255&gt;=5,"A+",IF('Data Source'!AD255&gt;=4,"A",IF('Data Source'!AD255&gt;=3.5,"A-",IF('Data Source'!AD255&gt;=3,"B",IF('Data Source'!AD255&gt;=2,"C",IF('Data Source'!AD255&gt;=1,"D","F")))))))</f>
        <v/>
      </c>
      <c r="M255" s="3">
        <f>IF('Data Source'!B255="","",IF('Data Source'!AE255&gt;=5,"A+",IF('Data Source'!AE255&gt;=4,"A",IF('Data Source'!AE255&gt;=3.5,"A-",IF('Data Source'!AE255&gt;=3,"B",IF('Data Source'!AE255&gt;=2,"C",IF('Data Source'!AE255&gt;=1,"D","F")))))))</f>
        <v/>
      </c>
      <c r="N255" s="3">
        <f>IF('Data Source'!B255="","",IF('Data Source'!AF255&gt;=5,"A+",IF('Data Source'!AF255&gt;=4,"A",IF('Data Source'!AF255&gt;=3.5,"A-",IF('Data Source'!AF255&gt;=3,"B",IF('Data Source'!AF255&gt;=2,"C",IF('Data Source'!AF255&gt;=1,"D","F")))))))</f>
        <v/>
      </c>
      <c r="O255" s="3">
        <f>IF('Data Source'!B255="","",IF('Data Source'!AG255&gt;=5,"A+",IF('Data Source'!AG255&gt;=4,"A",IF('Data Source'!AG255&gt;=3.5,"A-",IF('Data Source'!AG255&gt;=3,"B",IF('Data Source'!AG255&gt;=2,"C",IF('Data Source'!AG255&gt;=1,"D","F")))))))</f>
        <v/>
      </c>
      <c r="P255" s="5">
        <f>IF('Data Source'!B255="","",'Data Source'!R255)</f>
        <v/>
      </c>
      <c r="Q255" s="3">
        <f>IF('Data Source'!B255="","",'Data Source'!S255)</f>
        <v/>
      </c>
    </row>
    <row r="256">
      <c r="A256" s="3">
        <f>IF('Data Source'!B256="","",'Data Source'!A256)</f>
        <v/>
      </c>
      <c r="B256">
        <f>IF('Data Source'!B256="","",'Data Source'!B256)</f>
        <v/>
      </c>
      <c r="C256" s="3">
        <f>IF('Data Source'!B256="","",IF('Data Source'!U256&gt;=5,"A+",IF('Data Source'!U256&gt;=4,"A",IF('Data Source'!U256&gt;=3.5,"A-",IF('Data Source'!U256&gt;=3,"B",IF('Data Source'!U256&gt;=2,"C",IF('Data Source'!U256&gt;=1,"D","F")))))))</f>
        <v/>
      </c>
      <c r="D256" s="3">
        <f>IF('Data Source'!B256="","",IF('Data Source'!V256&gt;=5,"A+",IF('Data Source'!V256&gt;=4,"A",IF('Data Source'!V256&gt;=3.5,"A-",IF('Data Source'!V256&gt;=3,"B",IF('Data Source'!V256&gt;=2,"C",IF('Data Source'!V256&gt;=1,"D","F")))))))</f>
        <v/>
      </c>
      <c r="E256" s="3">
        <f>IF('Data Source'!B256="","",IF('Data Source'!W256&gt;=5,"A+",IF('Data Source'!W256&gt;=4,"A",IF('Data Source'!W256&gt;=3.5,"A-",IF('Data Source'!W256&gt;=3,"B",IF('Data Source'!W256&gt;=2,"C",IF('Data Source'!W256&gt;=1,"D","F")))))))</f>
        <v/>
      </c>
      <c r="F256" s="3">
        <f>IF('Data Source'!B256="","",IF('Data Source'!X256&gt;=5,"A+",IF('Data Source'!X256&gt;=4,"A",IF('Data Source'!X256&gt;=3.5,"A-",IF('Data Source'!X256&gt;=3,"B",IF('Data Source'!X256&gt;=2,"C",IF('Data Source'!X256&gt;=1,"D","F")))))))</f>
        <v/>
      </c>
      <c r="G256" s="3">
        <f>IF('Data Source'!B256="","",IF('Data Source'!Y256&gt;=5,"A+",IF('Data Source'!Y256&gt;=4,"A",IF('Data Source'!Y256&gt;=3.5,"A-",IF('Data Source'!Y256&gt;=3,"B",IF('Data Source'!Y256&gt;=2,"C",IF('Data Source'!Y256&gt;=1,"D","F")))))))</f>
        <v/>
      </c>
      <c r="H256" s="3">
        <f>IF('Data Source'!B256="","",IF('Data Source'!Z256&gt;=5,"A+",IF('Data Source'!Z256&gt;=4,"A",IF('Data Source'!Z256&gt;=3.5,"A-",IF('Data Source'!Z256&gt;=3,"B",IF('Data Source'!Z256&gt;=2,"C",IF('Data Source'!Z256&gt;=1,"D","F")))))))</f>
        <v/>
      </c>
      <c r="I256" s="3">
        <f>IF('Data Source'!B256="","",IF('Data Source'!AA256&gt;=5,"A+",IF('Data Source'!AA256&gt;=4,"A",IF('Data Source'!AA256&gt;=3.5,"A-",IF('Data Source'!AA256&gt;=3,"B",IF('Data Source'!AA256&gt;=2,"C",IF('Data Source'!AA256&gt;=1,"D","F")))))))</f>
        <v/>
      </c>
      <c r="J256" s="3">
        <f>IF('Data Source'!B256="","",IF('Data Source'!AB256&gt;=5,"A+",IF('Data Source'!AB256&gt;=4,"A",IF('Data Source'!AB256&gt;=3.5,"A-",IF('Data Source'!AB256&gt;=3,"B",IF('Data Source'!AB256&gt;=2,"C",IF('Data Source'!AB256&gt;=1,"D","F")))))))</f>
        <v/>
      </c>
      <c r="K256" s="3">
        <f>IF('Data Source'!B256="","",IF('Data Source'!AC256&gt;=5,"A+",IF('Data Source'!AC256&gt;=4,"A",IF('Data Source'!AC256&gt;=3.5,"A-",IF('Data Source'!AC256&gt;=3,"B",IF('Data Source'!AC256&gt;=2,"C",IF('Data Source'!AC256&gt;=1,"D","F")))))))</f>
        <v/>
      </c>
      <c r="L256" s="3">
        <f>IF('Data Source'!B256="","",IF('Data Source'!AD256&gt;=5,"A+",IF('Data Source'!AD256&gt;=4,"A",IF('Data Source'!AD256&gt;=3.5,"A-",IF('Data Source'!AD256&gt;=3,"B",IF('Data Source'!AD256&gt;=2,"C",IF('Data Source'!AD256&gt;=1,"D","F")))))))</f>
        <v/>
      </c>
      <c r="M256" s="3">
        <f>IF('Data Source'!B256="","",IF('Data Source'!AE256&gt;=5,"A+",IF('Data Source'!AE256&gt;=4,"A",IF('Data Source'!AE256&gt;=3.5,"A-",IF('Data Source'!AE256&gt;=3,"B",IF('Data Source'!AE256&gt;=2,"C",IF('Data Source'!AE256&gt;=1,"D","F")))))))</f>
        <v/>
      </c>
      <c r="N256" s="3">
        <f>IF('Data Source'!B256="","",IF('Data Source'!AF256&gt;=5,"A+",IF('Data Source'!AF256&gt;=4,"A",IF('Data Source'!AF256&gt;=3.5,"A-",IF('Data Source'!AF256&gt;=3,"B",IF('Data Source'!AF256&gt;=2,"C",IF('Data Source'!AF256&gt;=1,"D","F")))))))</f>
        <v/>
      </c>
      <c r="O256" s="3">
        <f>IF('Data Source'!B256="","",IF('Data Source'!AG256&gt;=5,"A+",IF('Data Source'!AG256&gt;=4,"A",IF('Data Source'!AG256&gt;=3.5,"A-",IF('Data Source'!AG256&gt;=3,"B",IF('Data Source'!AG256&gt;=2,"C",IF('Data Source'!AG256&gt;=1,"D","F")))))))</f>
        <v/>
      </c>
      <c r="P256" s="5">
        <f>IF('Data Source'!B256="","",'Data Source'!R256)</f>
        <v/>
      </c>
      <c r="Q256" s="3">
        <f>IF('Data Source'!B256="","",'Data Source'!S256)</f>
        <v/>
      </c>
    </row>
    <row r="257">
      <c r="A257" s="3">
        <f>IF('Data Source'!B257="","",'Data Source'!A257)</f>
        <v/>
      </c>
      <c r="B257">
        <f>IF('Data Source'!B257="","",'Data Source'!B257)</f>
        <v/>
      </c>
      <c r="C257" s="3">
        <f>IF('Data Source'!B257="","",IF('Data Source'!U257&gt;=5,"A+",IF('Data Source'!U257&gt;=4,"A",IF('Data Source'!U257&gt;=3.5,"A-",IF('Data Source'!U257&gt;=3,"B",IF('Data Source'!U257&gt;=2,"C",IF('Data Source'!U257&gt;=1,"D","F")))))))</f>
        <v/>
      </c>
      <c r="D257" s="3">
        <f>IF('Data Source'!B257="","",IF('Data Source'!V257&gt;=5,"A+",IF('Data Source'!V257&gt;=4,"A",IF('Data Source'!V257&gt;=3.5,"A-",IF('Data Source'!V257&gt;=3,"B",IF('Data Source'!V257&gt;=2,"C",IF('Data Source'!V257&gt;=1,"D","F")))))))</f>
        <v/>
      </c>
      <c r="E257" s="3">
        <f>IF('Data Source'!B257="","",IF('Data Source'!W257&gt;=5,"A+",IF('Data Source'!W257&gt;=4,"A",IF('Data Source'!W257&gt;=3.5,"A-",IF('Data Source'!W257&gt;=3,"B",IF('Data Source'!W257&gt;=2,"C",IF('Data Source'!W257&gt;=1,"D","F")))))))</f>
        <v/>
      </c>
      <c r="F257" s="3">
        <f>IF('Data Source'!B257="","",IF('Data Source'!X257&gt;=5,"A+",IF('Data Source'!X257&gt;=4,"A",IF('Data Source'!X257&gt;=3.5,"A-",IF('Data Source'!X257&gt;=3,"B",IF('Data Source'!X257&gt;=2,"C",IF('Data Source'!X257&gt;=1,"D","F")))))))</f>
        <v/>
      </c>
      <c r="G257" s="3">
        <f>IF('Data Source'!B257="","",IF('Data Source'!Y257&gt;=5,"A+",IF('Data Source'!Y257&gt;=4,"A",IF('Data Source'!Y257&gt;=3.5,"A-",IF('Data Source'!Y257&gt;=3,"B",IF('Data Source'!Y257&gt;=2,"C",IF('Data Source'!Y257&gt;=1,"D","F")))))))</f>
        <v/>
      </c>
      <c r="H257" s="3">
        <f>IF('Data Source'!B257="","",IF('Data Source'!Z257&gt;=5,"A+",IF('Data Source'!Z257&gt;=4,"A",IF('Data Source'!Z257&gt;=3.5,"A-",IF('Data Source'!Z257&gt;=3,"B",IF('Data Source'!Z257&gt;=2,"C",IF('Data Source'!Z257&gt;=1,"D","F")))))))</f>
        <v/>
      </c>
      <c r="I257" s="3">
        <f>IF('Data Source'!B257="","",IF('Data Source'!AA257&gt;=5,"A+",IF('Data Source'!AA257&gt;=4,"A",IF('Data Source'!AA257&gt;=3.5,"A-",IF('Data Source'!AA257&gt;=3,"B",IF('Data Source'!AA257&gt;=2,"C",IF('Data Source'!AA257&gt;=1,"D","F")))))))</f>
        <v/>
      </c>
      <c r="J257" s="3">
        <f>IF('Data Source'!B257="","",IF('Data Source'!AB257&gt;=5,"A+",IF('Data Source'!AB257&gt;=4,"A",IF('Data Source'!AB257&gt;=3.5,"A-",IF('Data Source'!AB257&gt;=3,"B",IF('Data Source'!AB257&gt;=2,"C",IF('Data Source'!AB257&gt;=1,"D","F")))))))</f>
        <v/>
      </c>
      <c r="K257" s="3">
        <f>IF('Data Source'!B257="","",IF('Data Source'!AC257&gt;=5,"A+",IF('Data Source'!AC257&gt;=4,"A",IF('Data Source'!AC257&gt;=3.5,"A-",IF('Data Source'!AC257&gt;=3,"B",IF('Data Source'!AC257&gt;=2,"C",IF('Data Source'!AC257&gt;=1,"D","F")))))))</f>
        <v/>
      </c>
      <c r="L257" s="3">
        <f>IF('Data Source'!B257="","",IF('Data Source'!AD257&gt;=5,"A+",IF('Data Source'!AD257&gt;=4,"A",IF('Data Source'!AD257&gt;=3.5,"A-",IF('Data Source'!AD257&gt;=3,"B",IF('Data Source'!AD257&gt;=2,"C",IF('Data Source'!AD257&gt;=1,"D","F")))))))</f>
        <v/>
      </c>
      <c r="M257" s="3">
        <f>IF('Data Source'!B257="","",IF('Data Source'!AE257&gt;=5,"A+",IF('Data Source'!AE257&gt;=4,"A",IF('Data Source'!AE257&gt;=3.5,"A-",IF('Data Source'!AE257&gt;=3,"B",IF('Data Source'!AE257&gt;=2,"C",IF('Data Source'!AE257&gt;=1,"D","F")))))))</f>
        <v/>
      </c>
      <c r="N257" s="3">
        <f>IF('Data Source'!B257="","",IF('Data Source'!AF257&gt;=5,"A+",IF('Data Source'!AF257&gt;=4,"A",IF('Data Source'!AF257&gt;=3.5,"A-",IF('Data Source'!AF257&gt;=3,"B",IF('Data Source'!AF257&gt;=2,"C",IF('Data Source'!AF257&gt;=1,"D","F")))))))</f>
        <v/>
      </c>
      <c r="O257" s="3">
        <f>IF('Data Source'!B257="","",IF('Data Source'!AG257&gt;=5,"A+",IF('Data Source'!AG257&gt;=4,"A",IF('Data Source'!AG257&gt;=3.5,"A-",IF('Data Source'!AG257&gt;=3,"B",IF('Data Source'!AG257&gt;=2,"C",IF('Data Source'!AG257&gt;=1,"D","F")))))))</f>
        <v/>
      </c>
      <c r="P257" s="5">
        <f>IF('Data Source'!B257="","",'Data Source'!R257)</f>
        <v/>
      </c>
      <c r="Q257" s="3">
        <f>IF('Data Source'!B257="","",'Data Source'!S257)</f>
        <v/>
      </c>
    </row>
    <row r="258">
      <c r="A258" s="3">
        <f>IF('Data Source'!B258="","",'Data Source'!A258)</f>
        <v/>
      </c>
      <c r="B258">
        <f>IF('Data Source'!B258="","",'Data Source'!B258)</f>
        <v/>
      </c>
      <c r="C258" s="3">
        <f>IF('Data Source'!B258="","",IF('Data Source'!U258&gt;=5,"A+",IF('Data Source'!U258&gt;=4,"A",IF('Data Source'!U258&gt;=3.5,"A-",IF('Data Source'!U258&gt;=3,"B",IF('Data Source'!U258&gt;=2,"C",IF('Data Source'!U258&gt;=1,"D","F")))))))</f>
        <v/>
      </c>
      <c r="D258" s="3">
        <f>IF('Data Source'!B258="","",IF('Data Source'!V258&gt;=5,"A+",IF('Data Source'!V258&gt;=4,"A",IF('Data Source'!V258&gt;=3.5,"A-",IF('Data Source'!V258&gt;=3,"B",IF('Data Source'!V258&gt;=2,"C",IF('Data Source'!V258&gt;=1,"D","F")))))))</f>
        <v/>
      </c>
      <c r="E258" s="3">
        <f>IF('Data Source'!B258="","",IF('Data Source'!W258&gt;=5,"A+",IF('Data Source'!W258&gt;=4,"A",IF('Data Source'!W258&gt;=3.5,"A-",IF('Data Source'!W258&gt;=3,"B",IF('Data Source'!W258&gt;=2,"C",IF('Data Source'!W258&gt;=1,"D","F")))))))</f>
        <v/>
      </c>
      <c r="F258" s="3">
        <f>IF('Data Source'!B258="","",IF('Data Source'!X258&gt;=5,"A+",IF('Data Source'!X258&gt;=4,"A",IF('Data Source'!X258&gt;=3.5,"A-",IF('Data Source'!X258&gt;=3,"B",IF('Data Source'!X258&gt;=2,"C",IF('Data Source'!X258&gt;=1,"D","F")))))))</f>
        <v/>
      </c>
      <c r="G258" s="3">
        <f>IF('Data Source'!B258="","",IF('Data Source'!Y258&gt;=5,"A+",IF('Data Source'!Y258&gt;=4,"A",IF('Data Source'!Y258&gt;=3.5,"A-",IF('Data Source'!Y258&gt;=3,"B",IF('Data Source'!Y258&gt;=2,"C",IF('Data Source'!Y258&gt;=1,"D","F")))))))</f>
        <v/>
      </c>
      <c r="H258" s="3">
        <f>IF('Data Source'!B258="","",IF('Data Source'!Z258&gt;=5,"A+",IF('Data Source'!Z258&gt;=4,"A",IF('Data Source'!Z258&gt;=3.5,"A-",IF('Data Source'!Z258&gt;=3,"B",IF('Data Source'!Z258&gt;=2,"C",IF('Data Source'!Z258&gt;=1,"D","F")))))))</f>
        <v/>
      </c>
      <c r="I258" s="3">
        <f>IF('Data Source'!B258="","",IF('Data Source'!AA258&gt;=5,"A+",IF('Data Source'!AA258&gt;=4,"A",IF('Data Source'!AA258&gt;=3.5,"A-",IF('Data Source'!AA258&gt;=3,"B",IF('Data Source'!AA258&gt;=2,"C",IF('Data Source'!AA258&gt;=1,"D","F")))))))</f>
        <v/>
      </c>
      <c r="J258" s="3">
        <f>IF('Data Source'!B258="","",IF('Data Source'!AB258&gt;=5,"A+",IF('Data Source'!AB258&gt;=4,"A",IF('Data Source'!AB258&gt;=3.5,"A-",IF('Data Source'!AB258&gt;=3,"B",IF('Data Source'!AB258&gt;=2,"C",IF('Data Source'!AB258&gt;=1,"D","F")))))))</f>
        <v/>
      </c>
      <c r="K258" s="3">
        <f>IF('Data Source'!B258="","",IF('Data Source'!AC258&gt;=5,"A+",IF('Data Source'!AC258&gt;=4,"A",IF('Data Source'!AC258&gt;=3.5,"A-",IF('Data Source'!AC258&gt;=3,"B",IF('Data Source'!AC258&gt;=2,"C",IF('Data Source'!AC258&gt;=1,"D","F")))))))</f>
        <v/>
      </c>
      <c r="L258" s="3">
        <f>IF('Data Source'!B258="","",IF('Data Source'!AD258&gt;=5,"A+",IF('Data Source'!AD258&gt;=4,"A",IF('Data Source'!AD258&gt;=3.5,"A-",IF('Data Source'!AD258&gt;=3,"B",IF('Data Source'!AD258&gt;=2,"C",IF('Data Source'!AD258&gt;=1,"D","F")))))))</f>
        <v/>
      </c>
      <c r="M258" s="3">
        <f>IF('Data Source'!B258="","",IF('Data Source'!AE258&gt;=5,"A+",IF('Data Source'!AE258&gt;=4,"A",IF('Data Source'!AE258&gt;=3.5,"A-",IF('Data Source'!AE258&gt;=3,"B",IF('Data Source'!AE258&gt;=2,"C",IF('Data Source'!AE258&gt;=1,"D","F")))))))</f>
        <v/>
      </c>
      <c r="N258" s="3">
        <f>IF('Data Source'!B258="","",IF('Data Source'!AF258&gt;=5,"A+",IF('Data Source'!AF258&gt;=4,"A",IF('Data Source'!AF258&gt;=3.5,"A-",IF('Data Source'!AF258&gt;=3,"B",IF('Data Source'!AF258&gt;=2,"C",IF('Data Source'!AF258&gt;=1,"D","F")))))))</f>
        <v/>
      </c>
      <c r="O258" s="3">
        <f>IF('Data Source'!B258="","",IF('Data Source'!AG258&gt;=5,"A+",IF('Data Source'!AG258&gt;=4,"A",IF('Data Source'!AG258&gt;=3.5,"A-",IF('Data Source'!AG258&gt;=3,"B",IF('Data Source'!AG258&gt;=2,"C",IF('Data Source'!AG258&gt;=1,"D","F")))))))</f>
        <v/>
      </c>
      <c r="P258" s="5">
        <f>IF('Data Source'!B258="","",'Data Source'!R258)</f>
        <v/>
      </c>
      <c r="Q258" s="3">
        <f>IF('Data Source'!B258="","",'Data Source'!S258)</f>
        <v/>
      </c>
    </row>
    <row r="259">
      <c r="A259" s="3">
        <f>IF('Data Source'!B259="","",'Data Source'!A259)</f>
        <v/>
      </c>
      <c r="B259">
        <f>IF('Data Source'!B259="","",'Data Source'!B259)</f>
        <v/>
      </c>
      <c r="C259" s="3">
        <f>IF('Data Source'!B259="","",IF('Data Source'!U259&gt;=5,"A+",IF('Data Source'!U259&gt;=4,"A",IF('Data Source'!U259&gt;=3.5,"A-",IF('Data Source'!U259&gt;=3,"B",IF('Data Source'!U259&gt;=2,"C",IF('Data Source'!U259&gt;=1,"D","F")))))))</f>
        <v/>
      </c>
      <c r="D259" s="3">
        <f>IF('Data Source'!B259="","",IF('Data Source'!V259&gt;=5,"A+",IF('Data Source'!V259&gt;=4,"A",IF('Data Source'!V259&gt;=3.5,"A-",IF('Data Source'!V259&gt;=3,"B",IF('Data Source'!V259&gt;=2,"C",IF('Data Source'!V259&gt;=1,"D","F")))))))</f>
        <v/>
      </c>
      <c r="E259" s="3">
        <f>IF('Data Source'!B259="","",IF('Data Source'!W259&gt;=5,"A+",IF('Data Source'!W259&gt;=4,"A",IF('Data Source'!W259&gt;=3.5,"A-",IF('Data Source'!W259&gt;=3,"B",IF('Data Source'!W259&gt;=2,"C",IF('Data Source'!W259&gt;=1,"D","F")))))))</f>
        <v/>
      </c>
      <c r="F259" s="3">
        <f>IF('Data Source'!B259="","",IF('Data Source'!X259&gt;=5,"A+",IF('Data Source'!X259&gt;=4,"A",IF('Data Source'!X259&gt;=3.5,"A-",IF('Data Source'!X259&gt;=3,"B",IF('Data Source'!X259&gt;=2,"C",IF('Data Source'!X259&gt;=1,"D","F")))))))</f>
        <v/>
      </c>
      <c r="G259" s="3">
        <f>IF('Data Source'!B259="","",IF('Data Source'!Y259&gt;=5,"A+",IF('Data Source'!Y259&gt;=4,"A",IF('Data Source'!Y259&gt;=3.5,"A-",IF('Data Source'!Y259&gt;=3,"B",IF('Data Source'!Y259&gt;=2,"C",IF('Data Source'!Y259&gt;=1,"D","F")))))))</f>
        <v/>
      </c>
      <c r="H259" s="3">
        <f>IF('Data Source'!B259="","",IF('Data Source'!Z259&gt;=5,"A+",IF('Data Source'!Z259&gt;=4,"A",IF('Data Source'!Z259&gt;=3.5,"A-",IF('Data Source'!Z259&gt;=3,"B",IF('Data Source'!Z259&gt;=2,"C",IF('Data Source'!Z259&gt;=1,"D","F")))))))</f>
        <v/>
      </c>
      <c r="I259" s="3">
        <f>IF('Data Source'!B259="","",IF('Data Source'!AA259&gt;=5,"A+",IF('Data Source'!AA259&gt;=4,"A",IF('Data Source'!AA259&gt;=3.5,"A-",IF('Data Source'!AA259&gt;=3,"B",IF('Data Source'!AA259&gt;=2,"C",IF('Data Source'!AA259&gt;=1,"D","F")))))))</f>
        <v/>
      </c>
      <c r="J259" s="3">
        <f>IF('Data Source'!B259="","",IF('Data Source'!AB259&gt;=5,"A+",IF('Data Source'!AB259&gt;=4,"A",IF('Data Source'!AB259&gt;=3.5,"A-",IF('Data Source'!AB259&gt;=3,"B",IF('Data Source'!AB259&gt;=2,"C",IF('Data Source'!AB259&gt;=1,"D","F")))))))</f>
        <v/>
      </c>
      <c r="K259" s="3">
        <f>IF('Data Source'!B259="","",IF('Data Source'!AC259&gt;=5,"A+",IF('Data Source'!AC259&gt;=4,"A",IF('Data Source'!AC259&gt;=3.5,"A-",IF('Data Source'!AC259&gt;=3,"B",IF('Data Source'!AC259&gt;=2,"C",IF('Data Source'!AC259&gt;=1,"D","F")))))))</f>
        <v/>
      </c>
      <c r="L259" s="3">
        <f>IF('Data Source'!B259="","",IF('Data Source'!AD259&gt;=5,"A+",IF('Data Source'!AD259&gt;=4,"A",IF('Data Source'!AD259&gt;=3.5,"A-",IF('Data Source'!AD259&gt;=3,"B",IF('Data Source'!AD259&gt;=2,"C",IF('Data Source'!AD259&gt;=1,"D","F")))))))</f>
        <v/>
      </c>
      <c r="M259" s="3">
        <f>IF('Data Source'!B259="","",IF('Data Source'!AE259&gt;=5,"A+",IF('Data Source'!AE259&gt;=4,"A",IF('Data Source'!AE259&gt;=3.5,"A-",IF('Data Source'!AE259&gt;=3,"B",IF('Data Source'!AE259&gt;=2,"C",IF('Data Source'!AE259&gt;=1,"D","F")))))))</f>
        <v/>
      </c>
      <c r="N259" s="3">
        <f>IF('Data Source'!B259="","",IF('Data Source'!AF259&gt;=5,"A+",IF('Data Source'!AF259&gt;=4,"A",IF('Data Source'!AF259&gt;=3.5,"A-",IF('Data Source'!AF259&gt;=3,"B",IF('Data Source'!AF259&gt;=2,"C",IF('Data Source'!AF259&gt;=1,"D","F")))))))</f>
        <v/>
      </c>
      <c r="O259" s="3">
        <f>IF('Data Source'!B259="","",IF('Data Source'!AG259&gt;=5,"A+",IF('Data Source'!AG259&gt;=4,"A",IF('Data Source'!AG259&gt;=3.5,"A-",IF('Data Source'!AG259&gt;=3,"B",IF('Data Source'!AG259&gt;=2,"C",IF('Data Source'!AG259&gt;=1,"D","F")))))))</f>
        <v/>
      </c>
      <c r="P259" s="5">
        <f>IF('Data Source'!B259="","",'Data Source'!R259)</f>
        <v/>
      </c>
      <c r="Q259" s="3">
        <f>IF('Data Source'!B259="","",'Data Source'!S259)</f>
        <v/>
      </c>
    </row>
    <row r="260">
      <c r="A260" s="3">
        <f>IF('Data Source'!B260="","",'Data Source'!A260)</f>
        <v/>
      </c>
      <c r="B260">
        <f>IF('Data Source'!B260="","",'Data Source'!B260)</f>
        <v/>
      </c>
      <c r="C260" s="3">
        <f>IF('Data Source'!B260="","",IF('Data Source'!U260&gt;=5,"A+",IF('Data Source'!U260&gt;=4,"A",IF('Data Source'!U260&gt;=3.5,"A-",IF('Data Source'!U260&gt;=3,"B",IF('Data Source'!U260&gt;=2,"C",IF('Data Source'!U260&gt;=1,"D","F")))))))</f>
        <v/>
      </c>
      <c r="D260" s="3">
        <f>IF('Data Source'!B260="","",IF('Data Source'!V260&gt;=5,"A+",IF('Data Source'!V260&gt;=4,"A",IF('Data Source'!V260&gt;=3.5,"A-",IF('Data Source'!V260&gt;=3,"B",IF('Data Source'!V260&gt;=2,"C",IF('Data Source'!V260&gt;=1,"D","F")))))))</f>
        <v/>
      </c>
      <c r="E260" s="3">
        <f>IF('Data Source'!B260="","",IF('Data Source'!W260&gt;=5,"A+",IF('Data Source'!W260&gt;=4,"A",IF('Data Source'!W260&gt;=3.5,"A-",IF('Data Source'!W260&gt;=3,"B",IF('Data Source'!W260&gt;=2,"C",IF('Data Source'!W260&gt;=1,"D","F")))))))</f>
        <v/>
      </c>
      <c r="F260" s="3">
        <f>IF('Data Source'!B260="","",IF('Data Source'!X260&gt;=5,"A+",IF('Data Source'!X260&gt;=4,"A",IF('Data Source'!X260&gt;=3.5,"A-",IF('Data Source'!X260&gt;=3,"B",IF('Data Source'!X260&gt;=2,"C",IF('Data Source'!X260&gt;=1,"D","F")))))))</f>
        <v/>
      </c>
      <c r="G260" s="3">
        <f>IF('Data Source'!B260="","",IF('Data Source'!Y260&gt;=5,"A+",IF('Data Source'!Y260&gt;=4,"A",IF('Data Source'!Y260&gt;=3.5,"A-",IF('Data Source'!Y260&gt;=3,"B",IF('Data Source'!Y260&gt;=2,"C",IF('Data Source'!Y260&gt;=1,"D","F")))))))</f>
        <v/>
      </c>
      <c r="H260" s="3">
        <f>IF('Data Source'!B260="","",IF('Data Source'!Z260&gt;=5,"A+",IF('Data Source'!Z260&gt;=4,"A",IF('Data Source'!Z260&gt;=3.5,"A-",IF('Data Source'!Z260&gt;=3,"B",IF('Data Source'!Z260&gt;=2,"C",IF('Data Source'!Z260&gt;=1,"D","F")))))))</f>
        <v/>
      </c>
      <c r="I260" s="3">
        <f>IF('Data Source'!B260="","",IF('Data Source'!AA260&gt;=5,"A+",IF('Data Source'!AA260&gt;=4,"A",IF('Data Source'!AA260&gt;=3.5,"A-",IF('Data Source'!AA260&gt;=3,"B",IF('Data Source'!AA260&gt;=2,"C",IF('Data Source'!AA260&gt;=1,"D","F")))))))</f>
        <v/>
      </c>
      <c r="J260" s="3">
        <f>IF('Data Source'!B260="","",IF('Data Source'!AB260&gt;=5,"A+",IF('Data Source'!AB260&gt;=4,"A",IF('Data Source'!AB260&gt;=3.5,"A-",IF('Data Source'!AB260&gt;=3,"B",IF('Data Source'!AB260&gt;=2,"C",IF('Data Source'!AB260&gt;=1,"D","F")))))))</f>
        <v/>
      </c>
      <c r="K260" s="3">
        <f>IF('Data Source'!B260="","",IF('Data Source'!AC260&gt;=5,"A+",IF('Data Source'!AC260&gt;=4,"A",IF('Data Source'!AC260&gt;=3.5,"A-",IF('Data Source'!AC260&gt;=3,"B",IF('Data Source'!AC260&gt;=2,"C",IF('Data Source'!AC260&gt;=1,"D","F")))))))</f>
        <v/>
      </c>
      <c r="L260" s="3">
        <f>IF('Data Source'!B260="","",IF('Data Source'!AD260&gt;=5,"A+",IF('Data Source'!AD260&gt;=4,"A",IF('Data Source'!AD260&gt;=3.5,"A-",IF('Data Source'!AD260&gt;=3,"B",IF('Data Source'!AD260&gt;=2,"C",IF('Data Source'!AD260&gt;=1,"D","F")))))))</f>
        <v/>
      </c>
      <c r="M260" s="3">
        <f>IF('Data Source'!B260="","",IF('Data Source'!AE260&gt;=5,"A+",IF('Data Source'!AE260&gt;=4,"A",IF('Data Source'!AE260&gt;=3.5,"A-",IF('Data Source'!AE260&gt;=3,"B",IF('Data Source'!AE260&gt;=2,"C",IF('Data Source'!AE260&gt;=1,"D","F")))))))</f>
        <v/>
      </c>
      <c r="N260" s="3">
        <f>IF('Data Source'!B260="","",IF('Data Source'!AF260&gt;=5,"A+",IF('Data Source'!AF260&gt;=4,"A",IF('Data Source'!AF260&gt;=3.5,"A-",IF('Data Source'!AF260&gt;=3,"B",IF('Data Source'!AF260&gt;=2,"C",IF('Data Source'!AF260&gt;=1,"D","F")))))))</f>
        <v/>
      </c>
      <c r="O260" s="3">
        <f>IF('Data Source'!B260="","",IF('Data Source'!AG260&gt;=5,"A+",IF('Data Source'!AG260&gt;=4,"A",IF('Data Source'!AG260&gt;=3.5,"A-",IF('Data Source'!AG260&gt;=3,"B",IF('Data Source'!AG260&gt;=2,"C",IF('Data Source'!AG260&gt;=1,"D","F")))))))</f>
        <v/>
      </c>
      <c r="P260" s="5">
        <f>IF('Data Source'!B260="","",'Data Source'!R260)</f>
        <v/>
      </c>
      <c r="Q260" s="3">
        <f>IF('Data Source'!B260="","",'Data Source'!S260)</f>
        <v/>
      </c>
    </row>
    <row r="261">
      <c r="A261" s="3">
        <f>IF('Data Source'!B261="","",'Data Source'!A261)</f>
        <v/>
      </c>
      <c r="B261">
        <f>IF('Data Source'!B261="","",'Data Source'!B261)</f>
        <v/>
      </c>
      <c r="C261" s="3">
        <f>IF('Data Source'!B261="","",IF('Data Source'!U261&gt;=5,"A+",IF('Data Source'!U261&gt;=4,"A",IF('Data Source'!U261&gt;=3.5,"A-",IF('Data Source'!U261&gt;=3,"B",IF('Data Source'!U261&gt;=2,"C",IF('Data Source'!U261&gt;=1,"D","F")))))))</f>
        <v/>
      </c>
      <c r="D261" s="3">
        <f>IF('Data Source'!B261="","",IF('Data Source'!V261&gt;=5,"A+",IF('Data Source'!V261&gt;=4,"A",IF('Data Source'!V261&gt;=3.5,"A-",IF('Data Source'!V261&gt;=3,"B",IF('Data Source'!V261&gt;=2,"C",IF('Data Source'!V261&gt;=1,"D","F")))))))</f>
        <v/>
      </c>
      <c r="E261" s="3">
        <f>IF('Data Source'!B261="","",IF('Data Source'!W261&gt;=5,"A+",IF('Data Source'!W261&gt;=4,"A",IF('Data Source'!W261&gt;=3.5,"A-",IF('Data Source'!W261&gt;=3,"B",IF('Data Source'!W261&gt;=2,"C",IF('Data Source'!W261&gt;=1,"D","F")))))))</f>
        <v/>
      </c>
      <c r="F261" s="3">
        <f>IF('Data Source'!B261="","",IF('Data Source'!X261&gt;=5,"A+",IF('Data Source'!X261&gt;=4,"A",IF('Data Source'!X261&gt;=3.5,"A-",IF('Data Source'!X261&gt;=3,"B",IF('Data Source'!X261&gt;=2,"C",IF('Data Source'!X261&gt;=1,"D","F")))))))</f>
        <v/>
      </c>
      <c r="G261" s="3">
        <f>IF('Data Source'!B261="","",IF('Data Source'!Y261&gt;=5,"A+",IF('Data Source'!Y261&gt;=4,"A",IF('Data Source'!Y261&gt;=3.5,"A-",IF('Data Source'!Y261&gt;=3,"B",IF('Data Source'!Y261&gt;=2,"C",IF('Data Source'!Y261&gt;=1,"D","F")))))))</f>
        <v/>
      </c>
      <c r="H261" s="3">
        <f>IF('Data Source'!B261="","",IF('Data Source'!Z261&gt;=5,"A+",IF('Data Source'!Z261&gt;=4,"A",IF('Data Source'!Z261&gt;=3.5,"A-",IF('Data Source'!Z261&gt;=3,"B",IF('Data Source'!Z261&gt;=2,"C",IF('Data Source'!Z261&gt;=1,"D","F")))))))</f>
        <v/>
      </c>
      <c r="I261" s="3">
        <f>IF('Data Source'!B261="","",IF('Data Source'!AA261&gt;=5,"A+",IF('Data Source'!AA261&gt;=4,"A",IF('Data Source'!AA261&gt;=3.5,"A-",IF('Data Source'!AA261&gt;=3,"B",IF('Data Source'!AA261&gt;=2,"C",IF('Data Source'!AA261&gt;=1,"D","F")))))))</f>
        <v/>
      </c>
      <c r="J261" s="3">
        <f>IF('Data Source'!B261="","",IF('Data Source'!AB261&gt;=5,"A+",IF('Data Source'!AB261&gt;=4,"A",IF('Data Source'!AB261&gt;=3.5,"A-",IF('Data Source'!AB261&gt;=3,"B",IF('Data Source'!AB261&gt;=2,"C",IF('Data Source'!AB261&gt;=1,"D","F")))))))</f>
        <v/>
      </c>
      <c r="K261" s="3">
        <f>IF('Data Source'!B261="","",IF('Data Source'!AC261&gt;=5,"A+",IF('Data Source'!AC261&gt;=4,"A",IF('Data Source'!AC261&gt;=3.5,"A-",IF('Data Source'!AC261&gt;=3,"B",IF('Data Source'!AC261&gt;=2,"C",IF('Data Source'!AC261&gt;=1,"D","F")))))))</f>
        <v/>
      </c>
      <c r="L261" s="3">
        <f>IF('Data Source'!B261="","",IF('Data Source'!AD261&gt;=5,"A+",IF('Data Source'!AD261&gt;=4,"A",IF('Data Source'!AD261&gt;=3.5,"A-",IF('Data Source'!AD261&gt;=3,"B",IF('Data Source'!AD261&gt;=2,"C",IF('Data Source'!AD261&gt;=1,"D","F")))))))</f>
        <v/>
      </c>
      <c r="M261" s="3">
        <f>IF('Data Source'!B261="","",IF('Data Source'!AE261&gt;=5,"A+",IF('Data Source'!AE261&gt;=4,"A",IF('Data Source'!AE261&gt;=3.5,"A-",IF('Data Source'!AE261&gt;=3,"B",IF('Data Source'!AE261&gt;=2,"C",IF('Data Source'!AE261&gt;=1,"D","F")))))))</f>
        <v/>
      </c>
      <c r="N261" s="3">
        <f>IF('Data Source'!B261="","",IF('Data Source'!AF261&gt;=5,"A+",IF('Data Source'!AF261&gt;=4,"A",IF('Data Source'!AF261&gt;=3.5,"A-",IF('Data Source'!AF261&gt;=3,"B",IF('Data Source'!AF261&gt;=2,"C",IF('Data Source'!AF261&gt;=1,"D","F")))))))</f>
        <v/>
      </c>
      <c r="O261" s="3">
        <f>IF('Data Source'!B261="","",IF('Data Source'!AG261&gt;=5,"A+",IF('Data Source'!AG261&gt;=4,"A",IF('Data Source'!AG261&gt;=3.5,"A-",IF('Data Source'!AG261&gt;=3,"B",IF('Data Source'!AG261&gt;=2,"C",IF('Data Source'!AG261&gt;=1,"D","F")))))))</f>
        <v/>
      </c>
      <c r="P261" s="5">
        <f>IF('Data Source'!B261="","",'Data Source'!R261)</f>
        <v/>
      </c>
      <c r="Q261" s="3">
        <f>IF('Data Source'!B261="","",'Data Source'!S261)</f>
        <v/>
      </c>
    </row>
    <row r="262">
      <c r="A262" s="3">
        <f>IF('Data Source'!B262="","",'Data Source'!A262)</f>
        <v/>
      </c>
      <c r="B262">
        <f>IF('Data Source'!B262="","",'Data Source'!B262)</f>
        <v/>
      </c>
      <c r="C262" s="3">
        <f>IF('Data Source'!B262="","",IF('Data Source'!U262&gt;=5,"A+",IF('Data Source'!U262&gt;=4,"A",IF('Data Source'!U262&gt;=3.5,"A-",IF('Data Source'!U262&gt;=3,"B",IF('Data Source'!U262&gt;=2,"C",IF('Data Source'!U262&gt;=1,"D","F")))))))</f>
        <v/>
      </c>
      <c r="D262" s="3">
        <f>IF('Data Source'!B262="","",IF('Data Source'!V262&gt;=5,"A+",IF('Data Source'!V262&gt;=4,"A",IF('Data Source'!V262&gt;=3.5,"A-",IF('Data Source'!V262&gt;=3,"B",IF('Data Source'!V262&gt;=2,"C",IF('Data Source'!V262&gt;=1,"D","F")))))))</f>
        <v/>
      </c>
      <c r="E262" s="3">
        <f>IF('Data Source'!B262="","",IF('Data Source'!W262&gt;=5,"A+",IF('Data Source'!W262&gt;=4,"A",IF('Data Source'!W262&gt;=3.5,"A-",IF('Data Source'!W262&gt;=3,"B",IF('Data Source'!W262&gt;=2,"C",IF('Data Source'!W262&gt;=1,"D","F")))))))</f>
        <v/>
      </c>
      <c r="F262" s="3">
        <f>IF('Data Source'!B262="","",IF('Data Source'!X262&gt;=5,"A+",IF('Data Source'!X262&gt;=4,"A",IF('Data Source'!X262&gt;=3.5,"A-",IF('Data Source'!X262&gt;=3,"B",IF('Data Source'!X262&gt;=2,"C",IF('Data Source'!X262&gt;=1,"D","F")))))))</f>
        <v/>
      </c>
      <c r="G262" s="3">
        <f>IF('Data Source'!B262="","",IF('Data Source'!Y262&gt;=5,"A+",IF('Data Source'!Y262&gt;=4,"A",IF('Data Source'!Y262&gt;=3.5,"A-",IF('Data Source'!Y262&gt;=3,"B",IF('Data Source'!Y262&gt;=2,"C",IF('Data Source'!Y262&gt;=1,"D","F")))))))</f>
        <v/>
      </c>
      <c r="H262" s="3">
        <f>IF('Data Source'!B262="","",IF('Data Source'!Z262&gt;=5,"A+",IF('Data Source'!Z262&gt;=4,"A",IF('Data Source'!Z262&gt;=3.5,"A-",IF('Data Source'!Z262&gt;=3,"B",IF('Data Source'!Z262&gt;=2,"C",IF('Data Source'!Z262&gt;=1,"D","F")))))))</f>
        <v/>
      </c>
      <c r="I262" s="3">
        <f>IF('Data Source'!B262="","",IF('Data Source'!AA262&gt;=5,"A+",IF('Data Source'!AA262&gt;=4,"A",IF('Data Source'!AA262&gt;=3.5,"A-",IF('Data Source'!AA262&gt;=3,"B",IF('Data Source'!AA262&gt;=2,"C",IF('Data Source'!AA262&gt;=1,"D","F")))))))</f>
        <v/>
      </c>
      <c r="J262" s="3">
        <f>IF('Data Source'!B262="","",IF('Data Source'!AB262&gt;=5,"A+",IF('Data Source'!AB262&gt;=4,"A",IF('Data Source'!AB262&gt;=3.5,"A-",IF('Data Source'!AB262&gt;=3,"B",IF('Data Source'!AB262&gt;=2,"C",IF('Data Source'!AB262&gt;=1,"D","F")))))))</f>
        <v/>
      </c>
      <c r="K262" s="3">
        <f>IF('Data Source'!B262="","",IF('Data Source'!AC262&gt;=5,"A+",IF('Data Source'!AC262&gt;=4,"A",IF('Data Source'!AC262&gt;=3.5,"A-",IF('Data Source'!AC262&gt;=3,"B",IF('Data Source'!AC262&gt;=2,"C",IF('Data Source'!AC262&gt;=1,"D","F")))))))</f>
        <v/>
      </c>
      <c r="L262" s="3">
        <f>IF('Data Source'!B262="","",IF('Data Source'!AD262&gt;=5,"A+",IF('Data Source'!AD262&gt;=4,"A",IF('Data Source'!AD262&gt;=3.5,"A-",IF('Data Source'!AD262&gt;=3,"B",IF('Data Source'!AD262&gt;=2,"C",IF('Data Source'!AD262&gt;=1,"D","F")))))))</f>
        <v/>
      </c>
      <c r="M262" s="3">
        <f>IF('Data Source'!B262="","",IF('Data Source'!AE262&gt;=5,"A+",IF('Data Source'!AE262&gt;=4,"A",IF('Data Source'!AE262&gt;=3.5,"A-",IF('Data Source'!AE262&gt;=3,"B",IF('Data Source'!AE262&gt;=2,"C",IF('Data Source'!AE262&gt;=1,"D","F")))))))</f>
        <v/>
      </c>
      <c r="N262" s="3">
        <f>IF('Data Source'!B262="","",IF('Data Source'!AF262&gt;=5,"A+",IF('Data Source'!AF262&gt;=4,"A",IF('Data Source'!AF262&gt;=3.5,"A-",IF('Data Source'!AF262&gt;=3,"B",IF('Data Source'!AF262&gt;=2,"C",IF('Data Source'!AF262&gt;=1,"D","F")))))))</f>
        <v/>
      </c>
      <c r="O262" s="3">
        <f>IF('Data Source'!B262="","",IF('Data Source'!AG262&gt;=5,"A+",IF('Data Source'!AG262&gt;=4,"A",IF('Data Source'!AG262&gt;=3.5,"A-",IF('Data Source'!AG262&gt;=3,"B",IF('Data Source'!AG262&gt;=2,"C",IF('Data Source'!AG262&gt;=1,"D","F")))))))</f>
        <v/>
      </c>
      <c r="P262" s="5">
        <f>IF('Data Source'!B262="","",'Data Source'!R262)</f>
        <v/>
      </c>
      <c r="Q262" s="3">
        <f>IF('Data Source'!B262="","",'Data Source'!S262)</f>
        <v/>
      </c>
    </row>
    <row r="263">
      <c r="A263" s="3">
        <f>IF('Data Source'!B263="","",'Data Source'!A263)</f>
        <v/>
      </c>
      <c r="B263">
        <f>IF('Data Source'!B263="","",'Data Source'!B263)</f>
        <v/>
      </c>
      <c r="C263" s="3">
        <f>IF('Data Source'!B263="","",IF('Data Source'!U263&gt;=5,"A+",IF('Data Source'!U263&gt;=4,"A",IF('Data Source'!U263&gt;=3.5,"A-",IF('Data Source'!U263&gt;=3,"B",IF('Data Source'!U263&gt;=2,"C",IF('Data Source'!U263&gt;=1,"D","F")))))))</f>
        <v/>
      </c>
      <c r="D263" s="3">
        <f>IF('Data Source'!B263="","",IF('Data Source'!V263&gt;=5,"A+",IF('Data Source'!V263&gt;=4,"A",IF('Data Source'!V263&gt;=3.5,"A-",IF('Data Source'!V263&gt;=3,"B",IF('Data Source'!V263&gt;=2,"C",IF('Data Source'!V263&gt;=1,"D","F")))))))</f>
        <v/>
      </c>
      <c r="E263" s="3">
        <f>IF('Data Source'!B263="","",IF('Data Source'!W263&gt;=5,"A+",IF('Data Source'!W263&gt;=4,"A",IF('Data Source'!W263&gt;=3.5,"A-",IF('Data Source'!W263&gt;=3,"B",IF('Data Source'!W263&gt;=2,"C",IF('Data Source'!W263&gt;=1,"D","F")))))))</f>
        <v/>
      </c>
      <c r="F263" s="3">
        <f>IF('Data Source'!B263="","",IF('Data Source'!X263&gt;=5,"A+",IF('Data Source'!X263&gt;=4,"A",IF('Data Source'!X263&gt;=3.5,"A-",IF('Data Source'!X263&gt;=3,"B",IF('Data Source'!X263&gt;=2,"C",IF('Data Source'!X263&gt;=1,"D","F")))))))</f>
        <v/>
      </c>
      <c r="G263" s="3">
        <f>IF('Data Source'!B263="","",IF('Data Source'!Y263&gt;=5,"A+",IF('Data Source'!Y263&gt;=4,"A",IF('Data Source'!Y263&gt;=3.5,"A-",IF('Data Source'!Y263&gt;=3,"B",IF('Data Source'!Y263&gt;=2,"C",IF('Data Source'!Y263&gt;=1,"D","F")))))))</f>
        <v/>
      </c>
      <c r="H263" s="3">
        <f>IF('Data Source'!B263="","",IF('Data Source'!Z263&gt;=5,"A+",IF('Data Source'!Z263&gt;=4,"A",IF('Data Source'!Z263&gt;=3.5,"A-",IF('Data Source'!Z263&gt;=3,"B",IF('Data Source'!Z263&gt;=2,"C",IF('Data Source'!Z263&gt;=1,"D","F")))))))</f>
        <v/>
      </c>
      <c r="I263" s="3">
        <f>IF('Data Source'!B263="","",IF('Data Source'!AA263&gt;=5,"A+",IF('Data Source'!AA263&gt;=4,"A",IF('Data Source'!AA263&gt;=3.5,"A-",IF('Data Source'!AA263&gt;=3,"B",IF('Data Source'!AA263&gt;=2,"C",IF('Data Source'!AA263&gt;=1,"D","F")))))))</f>
        <v/>
      </c>
      <c r="J263" s="3">
        <f>IF('Data Source'!B263="","",IF('Data Source'!AB263&gt;=5,"A+",IF('Data Source'!AB263&gt;=4,"A",IF('Data Source'!AB263&gt;=3.5,"A-",IF('Data Source'!AB263&gt;=3,"B",IF('Data Source'!AB263&gt;=2,"C",IF('Data Source'!AB263&gt;=1,"D","F")))))))</f>
        <v/>
      </c>
      <c r="K263" s="3">
        <f>IF('Data Source'!B263="","",IF('Data Source'!AC263&gt;=5,"A+",IF('Data Source'!AC263&gt;=4,"A",IF('Data Source'!AC263&gt;=3.5,"A-",IF('Data Source'!AC263&gt;=3,"B",IF('Data Source'!AC263&gt;=2,"C",IF('Data Source'!AC263&gt;=1,"D","F")))))))</f>
        <v/>
      </c>
      <c r="L263" s="3">
        <f>IF('Data Source'!B263="","",IF('Data Source'!AD263&gt;=5,"A+",IF('Data Source'!AD263&gt;=4,"A",IF('Data Source'!AD263&gt;=3.5,"A-",IF('Data Source'!AD263&gt;=3,"B",IF('Data Source'!AD263&gt;=2,"C",IF('Data Source'!AD263&gt;=1,"D","F")))))))</f>
        <v/>
      </c>
      <c r="M263" s="3">
        <f>IF('Data Source'!B263="","",IF('Data Source'!AE263&gt;=5,"A+",IF('Data Source'!AE263&gt;=4,"A",IF('Data Source'!AE263&gt;=3.5,"A-",IF('Data Source'!AE263&gt;=3,"B",IF('Data Source'!AE263&gt;=2,"C",IF('Data Source'!AE263&gt;=1,"D","F")))))))</f>
        <v/>
      </c>
      <c r="N263" s="3">
        <f>IF('Data Source'!B263="","",IF('Data Source'!AF263&gt;=5,"A+",IF('Data Source'!AF263&gt;=4,"A",IF('Data Source'!AF263&gt;=3.5,"A-",IF('Data Source'!AF263&gt;=3,"B",IF('Data Source'!AF263&gt;=2,"C",IF('Data Source'!AF263&gt;=1,"D","F")))))))</f>
        <v/>
      </c>
      <c r="O263" s="3">
        <f>IF('Data Source'!B263="","",IF('Data Source'!AG263&gt;=5,"A+",IF('Data Source'!AG263&gt;=4,"A",IF('Data Source'!AG263&gt;=3.5,"A-",IF('Data Source'!AG263&gt;=3,"B",IF('Data Source'!AG263&gt;=2,"C",IF('Data Source'!AG263&gt;=1,"D","F")))))))</f>
        <v/>
      </c>
      <c r="P263" s="5">
        <f>IF('Data Source'!B263="","",'Data Source'!R263)</f>
        <v/>
      </c>
      <c r="Q263" s="3">
        <f>IF('Data Source'!B263="","",'Data Source'!S263)</f>
        <v/>
      </c>
    </row>
    <row r="264">
      <c r="A264" s="3">
        <f>IF('Data Source'!B264="","",'Data Source'!A264)</f>
        <v/>
      </c>
      <c r="B264">
        <f>IF('Data Source'!B264="","",'Data Source'!B264)</f>
        <v/>
      </c>
      <c r="C264" s="3">
        <f>IF('Data Source'!B264="","",IF('Data Source'!U264&gt;=5,"A+",IF('Data Source'!U264&gt;=4,"A",IF('Data Source'!U264&gt;=3.5,"A-",IF('Data Source'!U264&gt;=3,"B",IF('Data Source'!U264&gt;=2,"C",IF('Data Source'!U264&gt;=1,"D","F")))))))</f>
        <v/>
      </c>
      <c r="D264" s="3">
        <f>IF('Data Source'!B264="","",IF('Data Source'!V264&gt;=5,"A+",IF('Data Source'!V264&gt;=4,"A",IF('Data Source'!V264&gt;=3.5,"A-",IF('Data Source'!V264&gt;=3,"B",IF('Data Source'!V264&gt;=2,"C",IF('Data Source'!V264&gt;=1,"D","F")))))))</f>
        <v/>
      </c>
      <c r="E264" s="3">
        <f>IF('Data Source'!B264="","",IF('Data Source'!W264&gt;=5,"A+",IF('Data Source'!W264&gt;=4,"A",IF('Data Source'!W264&gt;=3.5,"A-",IF('Data Source'!W264&gt;=3,"B",IF('Data Source'!W264&gt;=2,"C",IF('Data Source'!W264&gt;=1,"D","F")))))))</f>
        <v/>
      </c>
      <c r="F264" s="3">
        <f>IF('Data Source'!B264="","",IF('Data Source'!X264&gt;=5,"A+",IF('Data Source'!X264&gt;=4,"A",IF('Data Source'!X264&gt;=3.5,"A-",IF('Data Source'!X264&gt;=3,"B",IF('Data Source'!X264&gt;=2,"C",IF('Data Source'!X264&gt;=1,"D","F")))))))</f>
        <v/>
      </c>
      <c r="G264" s="3">
        <f>IF('Data Source'!B264="","",IF('Data Source'!Y264&gt;=5,"A+",IF('Data Source'!Y264&gt;=4,"A",IF('Data Source'!Y264&gt;=3.5,"A-",IF('Data Source'!Y264&gt;=3,"B",IF('Data Source'!Y264&gt;=2,"C",IF('Data Source'!Y264&gt;=1,"D","F")))))))</f>
        <v/>
      </c>
      <c r="H264" s="3">
        <f>IF('Data Source'!B264="","",IF('Data Source'!Z264&gt;=5,"A+",IF('Data Source'!Z264&gt;=4,"A",IF('Data Source'!Z264&gt;=3.5,"A-",IF('Data Source'!Z264&gt;=3,"B",IF('Data Source'!Z264&gt;=2,"C",IF('Data Source'!Z264&gt;=1,"D","F")))))))</f>
        <v/>
      </c>
      <c r="I264" s="3">
        <f>IF('Data Source'!B264="","",IF('Data Source'!AA264&gt;=5,"A+",IF('Data Source'!AA264&gt;=4,"A",IF('Data Source'!AA264&gt;=3.5,"A-",IF('Data Source'!AA264&gt;=3,"B",IF('Data Source'!AA264&gt;=2,"C",IF('Data Source'!AA264&gt;=1,"D","F")))))))</f>
        <v/>
      </c>
      <c r="J264" s="3">
        <f>IF('Data Source'!B264="","",IF('Data Source'!AB264&gt;=5,"A+",IF('Data Source'!AB264&gt;=4,"A",IF('Data Source'!AB264&gt;=3.5,"A-",IF('Data Source'!AB264&gt;=3,"B",IF('Data Source'!AB264&gt;=2,"C",IF('Data Source'!AB264&gt;=1,"D","F")))))))</f>
        <v/>
      </c>
      <c r="K264" s="3">
        <f>IF('Data Source'!B264="","",IF('Data Source'!AC264&gt;=5,"A+",IF('Data Source'!AC264&gt;=4,"A",IF('Data Source'!AC264&gt;=3.5,"A-",IF('Data Source'!AC264&gt;=3,"B",IF('Data Source'!AC264&gt;=2,"C",IF('Data Source'!AC264&gt;=1,"D","F")))))))</f>
        <v/>
      </c>
      <c r="L264" s="3">
        <f>IF('Data Source'!B264="","",IF('Data Source'!AD264&gt;=5,"A+",IF('Data Source'!AD264&gt;=4,"A",IF('Data Source'!AD264&gt;=3.5,"A-",IF('Data Source'!AD264&gt;=3,"B",IF('Data Source'!AD264&gt;=2,"C",IF('Data Source'!AD264&gt;=1,"D","F")))))))</f>
        <v/>
      </c>
      <c r="M264" s="3">
        <f>IF('Data Source'!B264="","",IF('Data Source'!AE264&gt;=5,"A+",IF('Data Source'!AE264&gt;=4,"A",IF('Data Source'!AE264&gt;=3.5,"A-",IF('Data Source'!AE264&gt;=3,"B",IF('Data Source'!AE264&gt;=2,"C",IF('Data Source'!AE264&gt;=1,"D","F")))))))</f>
        <v/>
      </c>
      <c r="N264" s="3">
        <f>IF('Data Source'!B264="","",IF('Data Source'!AF264&gt;=5,"A+",IF('Data Source'!AF264&gt;=4,"A",IF('Data Source'!AF264&gt;=3.5,"A-",IF('Data Source'!AF264&gt;=3,"B",IF('Data Source'!AF264&gt;=2,"C",IF('Data Source'!AF264&gt;=1,"D","F")))))))</f>
        <v/>
      </c>
      <c r="O264" s="3">
        <f>IF('Data Source'!B264="","",IF('Data Source'!AG264&gt;=5,"A+",IF('Data Source'!AG264&gt;=4,"A",IF('Data Source'!AG264&gt;=3.5,"A-",IF('Data Source'!AG264&gt;=3,"B",IF('Data Source'!AG264&gt;=2,"C",IF('Data Source'!AG264&gt;=1,"D","F")))))))</f>
        <v/>
      </c>
      <c r="P264" s="5">
        <f>IF('Data Source'!B264="","",'Data Source'!R264)</f>
        <v/>
      </c>
      <c r="Q264" s="3">
        <f>IF('Data Source'!B264="","",'Data Source'!S264)</f>
        <v/>
      </c>
    </row>
    <row r="265">
      <c r="A265" s="3">
        <f>IF('Data Source'!B265="","",'Data Source'!A265)</f>
        <v/>
      </c>
      <c r="B265">
        <f>IF('Data Source'!B265="","",'Data Source'!B265)</f>
        <v/>
      </c>
      <c r="C265" s="3">
        <f>IF('Data Source'!B265="","",IF('Data Source'!U265&gt;=5,"A+",IF('Data Source'!U265&gt;=4,"A",IF('Data Source'!U265&gt;=3.5,"A-",IF('Data Source'!U265&gt;=3,"B",IF('Data Source'!U265&gt;=2,"C",IF('Data Source'!U265&gt;=1,"D","F")))))))</f>
        <v/>
      </c>
      <c r="D265" s="3">
        <f>IF('Data Source'!B265="","",IF('Data Source'!V265&gt;=5,"A+",IF('Data Source'!V265&gt;=4,"A",IF('Data Source'!V265&gt;=3.5,"A-",IF('Data Source'!V265&gt;=3,"B",IF('Data Source'!V265&gt;=2,"C",IF('Data Source'!V265&gt;=1,"D","F")))))))</f>
        <v/>
      </c>
      <c r="E265" s="3">
        <f>IF('Data Source'!B265="","",IF('Data Source'!W265&gt;=5,"A+",IF('Data Source'!W265&gt;=4,"A",IF('Data Source'!W265&gt;=3.5,"A-",IF('Data Source'!W265&gt;=3,"B",IF('Data Source'!W265&gt;=2,"C",IF('Data Source'!W265&gt;=1,"D","F")))))))</f>
        <v/>
      </c>
      <c r="F265" s="3">
        <f>IF('Data Source'!B265="","",IF('Data Source'!X265&gt;=5,"A+",IF('Data Source'!X265&gt;=4,"A",IF('Data Source'!X265&gt;=3.5,"A-",IF('Data Source'!X265&gt;=3,"B",IF('Data Source'!X265&gt;=2,"C",IF('Data Source'!X265&gt;=1,"D","F")))))))</f>
        <v/>
      </c>
      <c r="G265" s="3">
        <f>IF('Data Source'!B265="","",IF('Data Source'!Y265&gt;=5,"A+",IF('Data Source'!Y265&gt;=4,"A",IF('Data Source'!Y265&gt;=3.5,"A-",IF('Data Source'!Y265&gt;=3,"B",IF('Data Source'!Y265&gt;=2,"C",IF('Data Source'!Y265&gt;=1,"D","F")))))))</f>
        <v/>
      </c>
      <c r="H265" s="3">
        <f>IF('Data Source'!B265="","",IF('Data Source'!Z265&gt;=5,"A+",IF('Data Source'!Z265&gt;=4,"A",IF('Data Source'!Z265&gt;=3.5,"A-",IF('Data Source'!Z265&gt;=3,"B",IF('Data Source'!Z265&gt;=2,"C",IF('Data Source'!Z265&gt;=1,"D","F")))))))</f>
        <v/>
      </c>
      <c r="I265" s="3">
        <f>IF('Data Source'!B265="","",IF('Data Source'!AA265&gt;=5,"A+",IF('Data Source'!AA265&gt;=4,"A",IF('Data Source'!AA265&gt;=3.5,"A-",IF('Data Source'!AA265&gt;=3,"B",IF('Data Source'!AA265&gt;=2,"C",IF('Data Source'!AA265&gt;=1,"D","F")))))))</f>
        <v/>
      </c>
      <c r="J265" s="3">
        <f>IF('Data Source'!B265="","",IF('Data Source'!AB265&gt;=5,"A+",IF('Data Source'!AB265&gt;=4,"A",IF('Data Source'!AB265&gt;=3.5,"A-",IF('Data Source'!AB265&gt;=3,"B",IF('Data Source'!AB265&gt;=2,"C",IF('Data Source'!AB265&gt;=1,"D","F")))))))</f>
        <v/>
      </c>
      <c r="K265" s="3">
        <f>IF('Data Source'!B265="","",IF('Data Source'!AC265&gt;=5,"A+",IF('Data Source'!AC265&gt;=4,"A",IF('Data Source'!AC265&gt;=3.5,"A-",IF('Data Source'!AC265&gt;=3,"B",IF('Data Source'!AC265&gt;=2,"C",IF('Data Source'!AC265&gt;=1,"D","F")))))))</f>
        <v/>
      </c>
      <c r="L265" s="3">
        <f>IF('Data Source'!B265="","",IF('Data Source'!AD265&gt;=5,"A+",IF('Data Source'!AD265&gt;=4,"A",IF('Data Source'!AD265&gt;=3.5,"A-",IF('Data Source'!AD265&gt;=3,"B",IF('Data Source'!AD265&gt;=2,"C",IF('Data Source'!AD265&gt;=1,"D","F")))))))</f>
        <v/>
      </c>
      <c r="M265" s="3">
        <f>IF('Data Source'!B265="","",IF('Data Source'!AE265&gt;=5,"A+",IF('Data Source'!AE265&gt;=4,"A",IF('Data Source'!AE265&gt;=3.5,"A-",IF('Data Source'!AE265&gt;=3,"B",IF('Data Source'!AE265&gt;=2,"C",IF('Data Source'!AE265&gt;=1,"D","F")))))))</f>
        <v/>
      </c>
      <c r="N265" s="3">
        <f>IF('Data Source'!B265="","",IF('Data Source'!AF265&gt;=5,"A+",IF('Data Source'!AF265&gt;=4,"A",IF('Data Source'!AF265&gt;=3.5,"A-",IF('Data Source'!AF265&gt;=3,"B",IF('Data Source'!AF265&gt;=2,"C",IF('Data Source'!AF265&gt;=1,"D","F")))))))</f>
        <v/>
      </c>
      <c r="O265" s="3">
        <f>IF('Data Source'!B265="","",IF('Data Source'!AG265&gt;=5,"A+",IF('Data Source'!AG265&gt;=4,"A",IF('Data Source'!AG265&gt;=3.5,"A-",IF('Data Source'!AG265&gt;=3,"B",IF('Data Source'!AG265&gt;=2,"C",IF('Data Source'!AG265&gt;=1,"D","F")))))))</f>
        <v/>
      </c>
      <c r="P265" s="5">
        <f>IF('Data Source'!B265="","",'Data Source'!R265)</f>
        <v/>
      </c>
      <c r="Q265" s="3">
        <f>IF('Data Source'!B265="","",'Data Source'!S265)</f>
        <v/>
      </c>
    </row>
    <row r="266">
      <c r="A266" s="3">
        <f>IF('Data Source'!B266="","",'Data Source'!A266)</f>
        <v/>
      </c>
      <c r="B266">
        <f>IF('Data Source'!B266="","",'Data Source'!B266)</f>
        <v/>
      </c>
      <c r="C266" s="3">
        <f>IF('Data Source'!B266="","",IF('Data Source'!U266&gt;=5,"A+",IF('Data Source'!U266&gt;=4,"A",IF('Data Source'!U266&gt;=3.5,"A-",IF('Data Source'!U266&gt;=3,"B",IF('Data Source'!U266&gt;=2,"C",IF('Data Source'!U266&gt;=1,"D","F")))))))</f>
        <v/>
      </c>
      <c r="D266" s="3">
        <f>IF('Data Source'!B266="","",IF('Data Source'!V266&gt;=5,"A+",IF('Data Source'!V266&gt;=4,"A",IF('Data Source'!V266&gt;=3.5,"A-",IF('Data Source'!V266&gt;=3,"B",IF('Data Source'!V266&gt;=2,"C",IF('Data Source'!V266&gt;=1,"D","F")))))))</f>
        <v/>
      </c>
      <c r="E266" s="3">
        <f>IF('Data Source'!B266="","",IF('Data Source'!W266&gt;=5,"A+",IF('Data Source'!W266&gt;=4,"A",IF('Data Source'!W266&gt;=3.5,"A-",IF('Data Source'!W266&gt;=3,"B",IF('Data Source'!W266&gt;=2,"C",IF('Data Source'!W266&gt;=1,"D","F")))))))</f>
        <v/>
      </c>
      <c r="F266" s="3">
        <f>IF('Data Source'!B266="","",IF('Data Source'!X266&gt;=5,"A+",IF('Data Source'!X266&gt;=4,"A",IF('Data Source'!X266&gt;=3.5,"A-",IF('Data Source'!X266&gt;=3,"B",IF('Data Source'!X266&gt;=2,"C",IF('Data Source'!X266&gt;=1,"D","F")))))))</f>
        <v/>
      </c>
      <c r="G266" s="3">
        <f>IF('Data Source'!B266="","",IF('Data Source'!Y266&gt;=5,"A+",IF('Data Source'!Y266&gt;=4,"A",IF('Data Source'!Y266&gt;=3.5,"A-",IF('Data Source'!Y266&gt;=3,"B",IF('Data Source'!Y266&gt;=2,"C",IF('Data Source'!Y266&gt;=1,"D","F")))))))</f>
        <v/>
      </c>
      <c r="H266" s="3">
        <f>IF('Data Source'!B266="","",IF('Data Source'!Z266&gt;=5,"A+",IF('Data Source'!Z266&gt;=4,"A",IF('Data Source'!Z266&gt;=3.5,"A-",IF('Data Source'!Z266&gt;=3,"B",IF('Data Source'!Z266&gt;=2,"C",IF('Data Source'!Z266&gt;=1,"D","F")))))))</f>
        <v/>
      </c>
      <c r="I266" s="3">
        <f>IF('Data Source'!B266="","",IF('Data Source'!AA266&gt;=5,"A+",IF('Data Source'!AA266&gt;=4,"A",IF('Data Source'!AA266&gt;=3.5,"A-",IF('Data Source'!AA266&gt;=3,"B",IF('Data Source'!AA266&gt;=2,"C",IF('Data Source'!AA266&gt;=1,"D","F")))))))</f>
        <v/>
      </c>
      <c r="J266" s="3">
        <f>IF('Data Source'!B266="","",IF('Data Source'!AB266&gt;=5,"A+",IF('Data Source'!AB266&gt;=4,"A",IF('Data Source'!AB266&gt;=3.5,"A-",IF('Data Source'!AB266&gt;=3,"B",IF('Data Source'!AB266&gt;=2,"C",IF('Data Source'!AB266&gt;=1,"D","F")))))))</f>
        <v/>
      </c>
      <c r="K266" s="3">
        <f>IF('Data Source'!B266="","",IF('Data Source'!AC266&gt;=5,"A+",IF('Data Source'!AC266&gt;=4,"A",IF('Data Source'!AC266&gt;=3.5,"A-",IF('Data Source'!AC266&gt;=3,"B",IF('Data Source'!AC266&gt;=2,"C",IF('Data Source'!AC266&gt;=1,"D","F")))))))</f>
        <v/>
      </c>
      <c r="L266" s="3">
        <f>IF('Data Source'!B266="","",IF('Data Source'!AD266&gt;=5,"A+",IF('Data Source'!AD266&gt;=4,"A",IF('Data Source'!AD266&gt;=3.5,"A-",IF('Data Source'!AD266&gt;=3,"B",IF('Data Source'!AD266&gt;=2,"C",IF('Data Source'!AD266&gt;=1,"D","F")))))))</f>
        <v/>
      </c>
      <c r="M266" s="3">
        <f>IF('Data Source'!B266="","",IF('Data Source'!AE266&gt;=5,"A+",IF('Data Source'!AE266&gt;=4,"A",IF('Data Source'!AE266&gt;=3.5,"A-",IF('Data Source'!AE266&gt;=3,"B",IF('Data Source'!AE266&gt;=2,"C",IF('Data Source'!AE266&gt;=1,"D","F")))))))</f>
        <v/>
      </c>
      <c r="N266" s="3">
        <f>IF('Data Source'!B266="","",IF('Data Source'!AF266&gt;=5,"A+",IF('Data Source'!AF266&gt;=4,"A",IF('Data Source'!AF266&gt;=3.5,"A-",IF('Data Source'!AF266&gt;=3,"B",IF('Data Source'!AF266&gt;=2,"C",IF('Data Source'!AF266&gt;=1,"D","F")))))))</f>
        <v/>
      </c>
      <c r="O266" s="3">
        <f>IF('Data Source'!B266="","",IF('Data Source'!AG266&gt;=5,"A+",IF('Data Source'!AG266&gt;=4,"A",IF('Data Source'!AG266&gt;=3.5,"A-",IF('Data Source'!AG266&gt;=3,"B",IF('Data Source'!AG266&gt;=2,"C",IF('Data Source'!AG266&gt;=1,"D","F")))))))</f>
        <v/>
      </c>
      <c r="P266" s="5">
        <f>IF('Data Source'!B266="","",'Data Source'!R266)</f>
        <v/>
      </c>
      <c r="Q266" s="3">
        <f>IF('Data Source'!B266="","",'Data Source'!S266)</f>
        <v/>
      </c>
    </row>
    <row r="267">
      <c r="A267" s="3">
        <f>IF('Data Source'!B267="","",'Data Source'!A267)</f>
        <v/>
      </c>
      <c r="B267">
        <f>IF('Data Source'!B267="","",'Data Source'!B267)</f>
        <v/>
      </c>
      <c r="C267" s="3">
        <f>IF('Data Source'!B267="","",IF('Data Source'!U267&gt;=5,"A+",IF('Data Source'!U267&gt;=4,"A",IF('Data Source'!U267&gt;=3.5,"A-",IF('Data Source'!U267&gt;=3,"B",IF('Data Source'!U267&gt;=2,"C",IF('Data Source'!U267&gt;=1,"D","F")))))))</f>
        <v/>
      </c>
      <c r="D267" s="3">
        <f>IF('Data Source'!B267="","",IF('Data Source'!V267&gt;=5,"A+",IF('Data Source'!V267&gt;=4,"A",IF('Data Source'!V267&gt;=3.5,"A-",IF('Data Source'!V267&gt;=3,"B",IF('Data Source'!V267&gt;=2,"C",IF('Data Source'!V267&gt;=1,"D","F")))))))</f>
        <v/>
      </c>
      <c r="E267" s="3">
        <f>IF('Data Source'!B267="","",IF('Data Source'!W267&gt;=5,"A+",IF('Data Source'!W267&gt;=4,"A",IF('Data Source'!W267&gt;=3.5,"A-",IF('Data Source'!W267&gt;=3,"B",IF('Data Source'!W267&gt;=2,"C",IF('Data Source'!W267&gt;=1,"D","F")))))))</f>
        <v/>
      </c>
      <c r="F267" s="3">
        <f>IF('Data Source'!B267="","",IF('Data Source'!X267&gt;=5,"A+",IF('Data Source'!X267&gt;=4,"A",IF('Data Source'!X267&gt;=3.5,"A-",IF('Data Source'!X267&gt;=3,"B",IF('Data Source'!X267&gt;=2,"C",IF('Data Source'!X267&gt;=1,"D","F")))))))</f>
        <v/>
      </c>
      <c r="G267" s="3">
        <f>IF('Data Source'!B267="","",IF('Data Source'!Y267&gt;=5,"A+",IF('Data Source'!Y267&gt;=4,"A",IF('Data Source'!Y267&gt;=3.5,"A-",IF('Data Source'!Y267&gt;=3,"B",IF('Data Source'!Y267&gt;=2,"C",IF('Data Source'!Y267&gt;=1,"D","F")))))))</f>
        <v/>
      </c>
      <c r="H267" s="3">
        <f>IF('Data Source'!B267="","",IF('Data Source'!Z267&gt;=5,"A+",IF('Data Source'!Z267&gt;=4,"A",IF('Data Source'!Z267&gt;=3.5,"A-",IF('Data Source'!Z267&gt;=3,"B",IF('Data Source'!Z267&gt;=2,"C",IF('Data Source'!Z267&gt;=1,"D","F")))))))</f>
        <v/>
      </c>
      <c r="I267" s="3">
        <f>IF('Data Source'!B267="","",IF('Data Source'!AA267&gt;=5,"A+",IF('Data Source'!AA267&gt;=4,"A",IF('Data Source'!AA267&gt;=3.5,"A-",IF('Data Source'!AA267&gt;=3,"B",IF('Data Source'!AA267&gt;=2,"C",IF('Data Source'!AA267&gt;=1,"D","F")))))))</f>
        <v/>
      </c>
      <c r="J267" s="3">
        <f>IF('Data Source'!B267="","",IF('Data Source'!AB267&gt;=5,"A+",IF('Data Source'!AB267&gt;=4,"A",IF('Data Source'!AB267&gt;=3.5,"A-",IF('Data Source'!AB267&gt;=3,"B",IF('Data Source'!AB267&gt;=2,"C",IF('Data Source'!AB267&gt;=1,"D","F")))))))</f>
        <v/>
      </c>
      <c r="K267" s="3">
        <f>IF('Data Source'!B267="","",IF('Data Source'!AC267&gt;=5,"A+",IF('Data Source'!AC267&gt;=4,"A",IF('Data Source'!AC267&gt;=3.5,"A-",IF('Data Source'!AC267&gt;=3,"B",IF('Data Source'!AC267&gt;=2,"C",IF('Data Source'!AC267&gt;=1,"D","F")))))))</f>
        <v/>
      </c>
      <c r="L267" s="3">
        <f>IF('Data Source'!B267="","",IF('Data Source'!AD267&gt;=5,"A+",IF('Data Source'!AD267&gt;=4,"A",IF('Data Source'!AD267&gt;=3.5,"A-",IF('Data Source'!AD267&gt;=3,"B",IF('Data Source'!AD267&gt;=2,"C",IF('Data Source'!AD267&gt;=1,"D","F")))))))</f>
        <v/>
      </c>
      <c r="M267" s="3">
        <f>IF('Data Source'!B267="","",IF('Data Source'!AE267&gt;=5,"A+",IF('Data Source'!AE267&gt;=4,"A",IF('Data Source'!AE267&gt;=3.5,"A-",IF('Data Source'!AE267&gt;=3,"B",IF('Data Source'!AE267&gt;=2,"C",IF('Data Source'!AE267&gt;=1,"D","F")))))))</f>
        <v/>
      </c>
      <c r="N267" s="3">
        <f>IF('Data Source'!B267="","",IF('Data Source'!AF267&gt;=5,"A+",IF('Data Source'!AF267&gt;=4,"A",IF('Data Source'!AF267&gt;=3.5,"A-",IF('Data Source'!AF267&gt;=3,"B",IF('Data Source'!AF267&gt;=2,"C",IF('Data Source'!AF267&gt;=1,"D","F")))))))</f>
        <v/>
      </c>
      <c r="O267" s="3">
        <f>IF('Data Source'!B267="","",IF('Data Source'!AG267&gt;=5,"A+",IF('Data Source'!AG267&gt;=4,"A",IF('Data Source'!AG267&gt;=3.5,"A-",IF('Data Source'!AG267&gt;=3,"B",IF('Data Source'!AG267&gt;=2,"C",IF('Data Source'!AG267&gt;=1,"D","F")))))))</f>
        <v/>
      </c>
      <c r="P267" s="5">
        <f>IF('Data Source'!B267="","",'Data Source'!R267)</f>
        <v/>
      </c>
      <c r="Q267" s="3">
        <f>IF('Data Source'!B267="","",'Data Source'!S267)</f>
        <v/>
      </c>
    </row>
    <row r="268">
      <c r="A268" s="3">
        <f>IF('Data Source'!B268="","",'Data Source'!A268)</f>
        <v/>
      </c>
      <c r="B268">
        <f>IF('Data Source'!B268="","",'Data Source'!B268)</f>
        <v/>
      </c>
      <c r="C268" s="3">
        <f>IF('Data Source'!B268="","",IF('Data Source'!U268&gt;=5,"A+",IF('Data Source'!U268&gt;=4,"A",IF('Data Source'!U268&gt;=3.5,"A-",IF('Data Source'!U268&gt;=3,"B",IF('Data Source'!U268&gt;=2,"C",IF('Data Source'!U268&gt;=1,"D","F")))))))</f>
        <v/>
      </c>
      <c r="D268" s="3">
        <f>IF('Data Source'!B268="","",IF('Data Source'!V268&gt;=5,"A+",IF('Data Source'!V268&gt;=4,"A",IF('Data Source'!V268&gt;=3.5,"A-",IF('Data Source'!V268&gt;=3,"B",IF('Data Source'!V268&gt;=2,"C",IF('Data Source'!V268&gt;=1,"D","F")))))))</f>
        <v/>
      </c>
      <c r="E268" s="3">
        <f>IF('Data Source'!B268="","",IF('Data Source'!W268&gt;=5,"A+",IF('Data Source'!W268&gt;=4,"A",IF('Data Source'!W268&gt;=3.5,"A-",IF('Data Source'!W268&gt;=3,"B",IF('Data Source'!W268&gt;=2,"C",IF('Data Source'!W268&gt;=1,"D","F")))))))</f>
        <v/>
      </c>
      <c r="F268" s="3">
        <f>IF('Data Source'!B268="","",IF('Data Source'!X268&gt;=5,"A+",IF('Data Source'!X268&gt;=4,"A",IF('Data Source'!X268&gt;=3.5,"A-",IF('Data Source'!X268&gt;=3,"B",IF('Data Source'!X268&gt;=2,"C",IF('Data Source'!X268&gt;=1,"D","F")))))))</f>
        <v/>
      </c>
      <c r="G268" s="3">
        <f>IF('Data Source'!B268="","",IF('Data Source'!Y268&gt;=5,"A+",IF('Data Source'!Y268&gt;=4,"A",IF('Data Source'!Y268&gt;=3.5,"A-",IF('Data Source'!Y268&gt;=3,"B",IF('Data Source'!Y268&gt;=2,"C",IF('Data Source'!Y268&gt;=1,"D","F")))))))</f>
        <v/>
      </c>
      <c r="H268" s="3">
        <f>IF('Data Source'!B268="","",IF('Data Source'!Z268&gt;=5,"A+",IF('Data Source'!Z268&gt;=4,"A",IF('Data Source'!Z268&gt;=3.5,"A-",IF('Data Source'!Z268&gt;=3,"B",IF('Data Source'!Z268&gt;=2,"C",IF('Data Source'!Z268&gt;=1,"D","F")))))))</f>
        <v/>
      </c>
      <c r="I268" s="3">
        <f>IF('Data Source'!B268="","",IF('Data Source'!AA268&gt;=5,"A+",IF('Data Source'!AA268&gt;=4,"A",IF('Data Source'!AA268&gt;=3.5,"A-",IF('Data Source'!AA268&gt;=3,"B",IF('Data Source'!AA268&gt;=2,"C",IF('Data Source'!AA268&gt;=1,"D","F")))))))</f>
        <v/>
      </c>
      <c r="J268" s="3">
        <f>IF('Data Source'!B268="","",IF('Data Source'!AB268&gt;=5,"A+",IF('Data Source'!AB268&gt;=4,"A",IF('Data Source'!AB268&gt;=3.5,"A-",IF('Data Source'!AB268&gt;=3,"B",IF('Data Source'!AB268&gt;=2,"C",IF('Data Source'!AB268&gt;=1,"D","F")))))))</f>
        <v/>
      </c>
      <c r="K268" s="3">
        <f>IF('Data Source'!B268="","",IF('Data Source'!AC268&gt;=5,"A+",IF('Data Source'!AC268&gt;=4,"A",IF('Data Source'!AC268&gt;=3.5,"A-",IF('Data Source'!AC268&gt;=3,"B",IF('Data Source'!AC268&gt;=2,"C",IF('Data Source'!AC268&gt;=1,"D","F")))))))</f>
        <v/>
      </c>
      <c r="L268" s="3">
        <f>IF('Data Source'!B268="","",IF('Data Source'!AD268&gt;=5,"A+",IF('Data Source'!AD268&gt;=4,"A",IF('Data Source'!AD268&gt;=3.5,"A-",IF('Data Source'!AD268&gt;=3,"B",IF('Data Source'!AD268&gt;=2,"C",IF('Data Source'!AD268&gt;=1,"D","F")))))))</f>
        <v/>
      </c>
      <c r="M268" s="3">
        <f>IF('Data Source'!B268="","",IF('Data Source'!AE268&gt;=5,"A+",IF('Data Source'!AE268&gt;=4,"A",IF('Data Source'!AE268&gt;=3.5,"A-",IF('Data Source'!AE268&gt;=3,"B",IF('Data Source'!AE268&gt;=2,"C",IF('Data Source'!AE268&gt;=1,"D","F")))))))</f>
        <v/>
      </c>
      <c r="N268" s="3">
        <f>IF('Data Source'!B268="","",IF('Data Source'!AF268&gt;=5,"A+",IF('Data Source'!AF268&gt;=4,"A",IF('Data Source'!AF268&gt;=3.5,"A-",IF('Data Source'!AF268&gt;=3,"B",IF('Data Source'!AF268&gt;=2,"C",IF('Data Source'!AF268&gt;=1,"D","F")))))))</f>
        <v/>
      </c>
      <c r="O268" s="3">
        <f>IF('Data Source'!B268="","",IF('Data Source'!AG268&gt;=5,"A+",IF('Data Source'!AG268&gt;=4,"A",IF('Data Source'!AG268&gt;=3.5,"A-",IF('Data Source'!AG268&gt;=3,"B",IF('Data Source'!AG268&gt;=2,"C",IF('Data Source'!AG268&gt;=1,"D","F")))))))</f>
        <v/>
      </c>
      <c r="P268" s="5">
        <f>IF('Data Source'!B268="","",'Data Source'!R268)</f>
        <v/>
      </c>
      <c r="Q268" s="3">
        <f>IF('Data Source'!B268="","",'Data Source'!S268)</f>
        <v/>
      </c>
    </row>
    <row r="269">
      <c r="A269" s="3">
        <f>IF('Data Source'!B269="","",'Data Source'!A269)</f>
        <v/>
      </c>
      <c r="B269">
        <f>IF('Data Source'!B269="","",'Data Source'!B269)</f>
        <v/>
      </c>
      <c r="C269" s="3">
        <f>IF('Data Source'!B269="","",IF('Data Source'!U269&gt;=5,"A+",IF('Data Source'!U269&gt;=4,"A",IF('Data Source'!U269&gt;=3.5,"A-",IF('Data Source'!U269&gt;=3,"B",IF('Data Source'!U269&gt;=2,"C",IF('Data Source'!U269&gt;=1,"D","F")))))))</f>
        <v/>
      </c>
      <c r="D269" s="3">
        <f>IF('Data Source'!B269="","",IF('Data Source'!V269&gt;=5,"A+",IF('Data Source'!V269&gt;=4,"A",IF('Data Source'!V269&gt;=3.5,"A-",IF('Data Source'!V269&gt;=3,"B",IF('Data Source'!V269&gt;=2,"C",IF('Data Source'!V269&gt;=1,"D","F")))))))</f>
        <v/>
      </c>
      <c r="E269" s="3">
        <f>IF('Data Source'!B269="","",IF('Data Source'!W269&gt;=5,"A+",IF('Data Source'!W269&gt;=4,"A",IF('Data Source'!W269&gt;=3.5,"A-",IF('Data Source'!W269&gt;=3,"B",IF('Data Source'!W269&gt;=2,"C",IF('Data Source'!W269&gt;=1,"D","F")))))))</f>
        <v/>
      </c>
      <c r="F269" s="3">
        <f>IF('Data Source'!B269="","",IF('Data Source'!X269&gt;=5,"A+",IF('Data Source'!X269&gt;=4,"A",IF('Data Source'!X269&gt;=3.5,"A-",IF('Data Source'!X269&gt;=3,"B",IF('Data Source'!X269&gt;=2,"C",IF('Data Source'!X269&gt;=1,"D","F")))))))</f>
        <v/>
      </c>
      <c r="G269" s="3">
        <f>IF('Data Source'!B269="","",IF('Data Source'!Y269&gt;=5,"A+",IF('Data Source'!Y269&gt;=4,"A",IF('Data Source'!Y269&gt;=3.5,"A-",IF('Data Source'!Y269&gt;=3,"B",IF('Data Source'!Y269&gt;=2,"C",IF('Data Source'!Y269&gt;=1,"D","F")))))))</f>
        <v/>
      </c>
      <c r="H269" s="3">
        <f>IF('Data Source'!B269="","",IF('Data Source'!Z269&gt;=5,"A+",IF('Data Source'!Z269&gt;=4,"A",IF('Data Source'!Z269&gt;=3.5,"A-",IF('Data Source'!Z269&gt;=3,"B",IF('Data Source'!Z269&gt;=2,"C",IF('Data Source'!Z269&gt;=1,"D","F")))))))</f>
        <v/>
      </c>
      <c r="I269" s="3">
        <f>IF('Data Source'!B269="","",IF('Data Source'!AA269&gt;=5,"A+",IF('Data Source'!AA269&gt;=4,"A",IF('Data Source'!AA269&gt;=3.5,"A-",IF('Data Source'!AA269&gt;=3,"B",IF('Data Source'!AA269&gt;=2,"C",IF('Data Source'!AA269&gt;=1,"D","F")))))))</f>
        <v/>
      </c>
      <c r="J269" s="3">
        <f>IF('Data Source'!B269="","",IF('Data Source'!AB269&gt;=5,"A+",IF('Data Source'!AB269&gt;=4,"A",IF('Data Source'!AB269&gt;=3.5,"A-",IF('Data Source'!AB269&gt;=3,"B",IF('Data Source'!AB269&gt;=2,"C",IF('Data Source'!AB269&gt;=1,"D","F")))))))</f>
        <v/>
      </c>
      <c r="K269" s="3">
        <f>IF('Data Source'!B269="","",IF('Data Source'!AC269&gt;=5,"A+",IF('Data Source'!AC269&gt;=4,"A",IF('Data Source'!AC269&gt;=3.5,"A-",IF('Data Source'!AC269&gt;=3,"B",IF('Data Source'!AC269&gt;=2,"C",IF('Data Source'!AC269&gt;=1,"D","F")))))))</f>
        <v/>
      </c>
      <c r="L269" s="3">
        <f>IF('Data Source'!B269="","",IF('Data Source'!AD269&gt;=5,"A+",IF('Data Source'!AD269&gt;=4,"A",IF('Data Source'!AD269&gt;=3.5,"A-",IF('Data Source'!AD269&gt;=3,"B",IF('Data Source'!AD269&gt;=2,"C",IF('Data Source'!AD269&gt;=1,"D","F")))))))</f>
        <v/>
      </c>
      <c r="M269" s="3">
        <f>IF('Data Source'!B269="","",IF('Data Source'!AE269&gt;=5,"A+",IF('Data Source'!AE269&gt;=4,"A",IF('Data Source'!AE269&gt;=3.5,"A-",IF('Data Source'!AE269&gt;=3,"B",IF('Data Source'!AE269&gt;=2,"C",IF('Data Source'!AE269&gt;=1,"D","F")))))))</f>
        <v/>
      </c>
      <c r="N269" s="3">
        <f>IF('Data Source'!B269="","",IF('Data Source'!AF269&gt;=5,"A+",IF('Data Source'!AF269&gt;=4,"A",IF('Data Source'!AF269&gt;=3.5,"A-",IF('Data Source'!AF269&gt;=3,"B",IF('Data Source'!AF269&gt;=2,"C",IF('Data Source'!AF269&gt;=1,"D","F")))))))</f>
        <v/>
      </c>
      <c r="O269" s="3">
        <f>IF('Data Source'!B269="","",IF('Data Source'!AG269&gt;=5,"A+",IF('Data Source'!AG269&gt;=4,"A",IF('Data Source'!AG269&gt;=3.5,"A-",IF('Data Source'!AG269&gt;=3,"B",IF('Data Source'!AG269&gt;=2,"C",IF('Data Source'!AG269&gt;=1,"D","F")))))))</f>
        <v/>
      </c>
      <c r="P269" s="5">
        <f>IF('Data Source'!B269="","",'Data Source'!R269)</f>
        <v/>
      </c>
      <c r="Q269" s="3">
        <f>IF('Data Source'!B269="","",'Data Source'!S269)</f>
        <v/>
      </c>
    </row>
    <row r="270">
      <c r="A270" s="3">
        <f>IF('Data Source'!B270="","",'Data Source'!A270)</f>
        <v/>
      </c>
      <c r="B270">
        <f>IF('Data Source'!B270="","",'Data Source'!B270)</f>
        <v/>
      </c>
      <c r="C270" s="3">
        <f>IF('Data Source'!B270="","",IF('Data Source'!U270&gt;=5,"A+",IF('Data Source'!U270&gt;=4,"A",IF('Data Source'!U270&gt;=3.5,"A-",IF('Data Source'!U270&gt;=3,"B",IF('Data Source'!U270&gt;=2,"C",IF('Data Source'!U270&gt;=1,"D","F")))))))</f>
        <v/>
      </c>
      <c r="D270" s="3">
        <f>IF('Data Source'!B270="","",IF('Data Source'!V270&gt;=5,"A+",IF('Data Source'!V270&gt;=4,"A",IF('Data Source'!V270&gt;=3.5,"A-",IF('Data Source'!V270&gt;=3,"B",IF('Data Source'!V270&gt;=2,"C",IF('Data Source'!V270&gt;=1,"D","F")))))))</f>
        <v/>
      </c>
      <c r="E270" s="3">
        <f>IF('Data Source'!B270="","",IF('Data Source'!W270&gt;=5,"A+",IF('Data Source'!W270&gt;=4,"A",IF('Data Source'!W270&gt;=3.5,"A-",IF('Data Source'!W270&gt;=3,"B",IF('Data Source'!W270&gt;=2,"C",IF('Data Source'!W270&gt;=1,"D","F")))))))</f>
        <v/>
      </c>
      <c r="F270" s="3">
        <f>IF('Data Source'!B270="","",IF('Data Source'!X270&gt;=5,"A+",IF('Data Source'!X270&gt;=4,"A",IF('Data Source'!X270&gt;=3.5,"A-",IF('Data Source'!X270&gt;=3,"B",IF('Data Source'!X270&gt;=2,"C",IF('Data Source'!X270&gt;=1,"D","F")))))))</f>
        <v/>
      </c>
      <c r="G270" s="3">
        <f>IF('Data Source'!B270="","",IF('Data Source'!Y270&gt;=5,"A+",IF('Data Source'!Y270&gt;=4,"A",IF('Data Source'!Y270&gt;=3.5,"A-",IF('Data Source'!Y270&gt;=3,"B",IF('Data Source'!Y270&gt;=2,"C",IF('Data Source'!Y270&gt;=1,"D","F")))))))</f>
        <v/>
      </c>
      <c r="H270" s="3">
        <f>IF('Data Source'!B270="","",IF('Data Source'!Z270&gt;=5,"A+",IF('Data Source'!Z270&gt;=4,"A",IF('Data Source'!Z270&gt;=3.5,"A-",IF('Data Source'!Z270&gt;=3,"B",IF('Data Source'!Z270&gt;=2,"C",IF('Data Source'!Z270&gt;=1,"D","F")))))))</f>
        <v/>
      </c>
      <c r="I270" s="3">
        <f>IF('Data Source'!B270="","",IF('Data Source'!AA270&gt;=5,"A+",IF('Data Source'!AA270&gt;=4,"A",IF('Data Source'!AA270&gt;=3.5,"A-",IF('Data Source'!AA270&gt;=3,"B",IF('Data Source'!AA270&gt;=2,"C",IF('Data Source'!AA270&gt;=1,"D","F")))))))</f>
        <v/>
      </c>
      <c r="J270" s="3">
        <f>IF('Data Source'!B270="","",IF('Data Source'!AB270&gt;=5,"A+",IF('Data Source'!AB270&gt;=4,"A",IF('Data Source'!AB270&gt;=3.5,"A-",IF('Data Source'!AB270&gt;=3,"B",IF('Data Source'!AB270&gt;=2,"C",IF('Data Source'!AB270&gt;=1,"D","F")))))))</f>
        <v/>
      </c>
      <c r="K270" s="3">
        <f>IF('Data Source'!B270="","",IF('Data Source'!AC270&gt;=5,"A+",IF('Data Source'!AC270&gt;=4,"A",IF('Data Source'!AC270&gt;=3.5,"A-",IF('Data Source'!AC270&gt;=3,"B",IF('Data Source'!AC270&gt;=2,"C",IF('Data Source'!AC270&gt;=1,"D","F")))))))</f>
        <v/>
      </c>
      <c r="L270" s="3">
        <f>IF('Data Source'!B270="","",IF('Data Source'!AD270&gt;=5,"A+",IF('Data Source'!AD270&gt;=4,"A",IF('Data Source'!AD270&gt;=3.5,"A-",IF('Data Source'!AD270&gt;=3,"B",IF('Data Source'!AD270&gt;=2,"C",IF('Data Source'!AD270&gt;=1,"D","F")))))))</f>
        <v/>
      </c>
      <c r="M270" s="3">
        <f>IF('Data Source'!B270="","",IF('Data Source'!AE270&gt;=5,"A+",IF('Data Source'!AE270&gt;=4,"A",IF('Data Source'!AE270&gt;=3.5,"A-",IF('Data Source'!AE270&gt;=3,"B",IF('Data Source'!AE270&gt;=2,"C",IF('Data Source'!AE270&gt;=1,"D","F")))))))</f>
        <v/>
      </c>
      <c r="N270" s="3">
        <f>IF('Data Source'!B270="","",IF('Data Source'!AF270&gt;=5,"A+",IF('Data Source'!AF270&gt;=4,"A",IF('Data Source'!AF270&gt;=3.5,"A-",IF('Data Source'!AF270&gt;=3,"B",IF('Data Source'!AF270&gt;=2,"C",IF('Data Source'!AF270&gt;=1,"D","F")))))))</f>
        <v/>
      </c>
      <c r="O270" s="3">
        <f>IF('Data Source'!B270="","",IF('Data Source'!AG270&gt;=5,"A+",IF('Data Source'!AG270&gt;=4,"A",IF('Data Source'!AG270&gt;=3.5,"A-",IF('Data Source'!AG270&gt;=3,"B",IF('Data Source'!AG270&gt;=2,"C",IF('Data Source'!AG270&gt;=1,"D","F")))))))</f>
        <v/>
      </c>
      <c r="P270" s="5">
        <f>IF('Data Source'!B270="","",'Data Source'!R270)</f>
        <v/>
      </c>
      <c r="Q270" s="3">
        <f>IF('Data Source'!B270="","",'Data Source'!S270)</f>
        <v/>
      </c>
    </row>
    <row r="271">
      <c r="A271" s="3">
        <f>IF('Data Source'!B271="","",'Data Source'!A271)</f>
        <v/>
      </c>
      <c r="B271">
        <f>IF('Data Source'!B271="","",'Data Source'!B271)</f>
        <v/>
      </c>
      <c r="C271" s="3">
        <f>IF('Data Source'!B271="","",IF('Data Source'!U271&gt;=5,"A+",IF('Data Source'!U271&gt;=4,"A",IF('Data Source'!U271&gt;=3.5,"A-",IF('Data Source'!U271&gt;=3,"B",IF('Data Source'!U271&gt;=2,"C",IF('Data Source'!U271&gt;=1,"D","F")))))))</f>
        <v/>
      </c>
      <c r="D271" s="3">
        <f>IF('Data Source'!B271="","",IF('Data Source'!V271&gt;=5,"A+",IF('Data Source'!V271&gt;=4,"A",IF('Data Source'!V271&gt;=3.5,"A-",IF('Data Source'!V271&gt;=3,"B",IF('Data Source'!V271&gt;=2,"C",IF('Data Source'!V271&gt;=1,"D","F")))))))</f>
        <v/>
      </c>
      <c r="E271" s="3">
        <f>IF('Data Source'!B271="","",IF('Data Source'!W271&gt;=5,"A+",IF('Data Source'!W271&gt;=4,"A",IF('Data Source'!W271&gt;=3.5,"A-",IF('Data Source'!W271&gt;=3,"B",IF('Data Source'!W271&gt;=2,"C",IF('Data Source'!W271&gt;=1,"D","F")))))))</f>
        <v/>
      </c>
      <c r="F271" s="3">
        <f>IF('Data Source'!B271="","",IF('Data Source'!X271&gt;=5,"A+",IF('Data Source'!X271&gt;=4,"A",IF('Data Source'!X271&gt;=3.5,"A-",IF('Data Source'!X271&gt;=3,"B",IF('Data Source'!X271&gt;=2,"C",IF('Data Source'!X271&gt;=1,"D","F")))))))</f>
        <v/>
      </c>
      <c r="G271" s="3">
        <f>IF('Data Source'!B271="","",IF('Data Source'!Y271&gt;=5,"A+",IF('Data Source'!Y271&gt;=4,"A",IF('Data Source'!Y271&gt;=3.5,"A-",IF('Data Source'!Y271&gt;=3,"B",IF('Data Source'!Y271&gt;=2,"C",IF('Data Source'!Y271&gt;=1,"D","F")))))))</f>
        <v/>
      </c>
      <c r="H271" s="3">
        <f>IF('Data Source'!B271="","",IF('Data Source'!Z271&gt;=5,"A+",IF('Data Source'!Z271&gt;=4,"A",IF('Data Source'!Z271&gt;=3.5,"A-",IF('Data Source'!Z271&gt;=3,"B",IF('Data Source'!Z271&gt;=2,"C",IF('Data Source'!Z271&gt;=1,"D","F")))))))</f>
        <v/>
      </c>
      <c r="I271" s="3">
        <f>IF('Data Source'!B271="","",IF('Data Source'!AA271&gt;=5,"A+",IF('Data Source'!AA271&gt;=4,"A",IF('Data Source'!AA271&gt;=3.5,"A-",IF('Data Source'!AA271&gt;=3,"B",IF('Data Source'!AA271&gt;=2,"C",IF('Data Source'!AA271&gt;=1,"D","F")))))))</f>
        <v/>
      </c>
      <c r="J271" s="3">
        <f>IF('Data Source'!B271="","",IF('Data Source'!AB271&gt;=5,"A+",IF('Data Source'!AB271&gt;=4,"A",IF('Data Source'!AB271&gt;=3.5,"A-",IF('Data Source'!AB271&gt;=3,"B",IF('Data Source'!AB271&gt;=2,"C",IF('Data Source'!AB271&gt;=1,"D","F")))))))</f>
        <v/>
      </c>
      <c r="K271" s="3">
        <f>IF('Data Source'!B271="","",IF('Data Source'!AC271&gt;=5,"A+",IF('Data Source'!AC271&gt;=4,"A",IF('Data Source'!AC271&gt;=3.5,"A-",IF('Data Source'!AC271&gt;=3,"B",IF('Data Source'!AC271&gt;=2,"C",IF('Data Source'!AC271&gt;=1,"D","F")))))))</f>
        <v/>
      </c>
      <c r="L271" s="3">
        <f>IF('Data Source'!B271="","",IF('Data Source'!AD271&gt;=5,"A+",IF('Data Source'!AD271&gt;=4,"A",IF('Data Source'!AD271&gt;=3.5,"A-",IF('Data Source'!AD271&gt;=3,"B",IF('Data Source'!AD271&gt;=2,"C",IF('Data Source'!AD271&gt;=1,"D","F")))))))</f>
        <v/>
      </c>
      <c r="M271" s="3">
        <f>IF('Data Source'!B271="","",IF('Data Source'!AE271&gt;=5,"A+",IF('Data Source'!AE271&gt;=4,"A",IF('Data Source'!AE271&gt;=3.5,"A-",IF('Data Source'!AE271&gt;=3,"B",IF('Data Source'!AE271&gt;=2,"C",IF('Data Source'!AE271&gt;=1,"D","F")))))))</f>
        <v/>
      </c>
      <c r="N271" s="3">
        <f>IF('Data Source'!B271="","",IF('Data Source'!AF271&gt;=5,"A+",IF('Data Source'!AF271&gt;=4,"A",IF('Data Source'!AF271&gt;=3.5,"A-",IF('Data Source'!AF271&gt;=3,"B",IF('Data Source'!AF271&gt;=2,"C",IF('Data Source'!AF271&gt;=1,"D","F")))))))</f>
        <v/>
      </c>
      <c r="O271" s="3">
        <f>IF('Data Source'!B271="","",IF('Data Source'!AG271&gt;=5,"A+",IF('Data Source'!AG271&gt;=4,"A",IF('Data Source'!AG271&gt;=3.5,"A-",IF('Data Source'!AG271&gt;=3,"B",IF('Data Source'!AG271&gt;=2,"C",IF('Data Source'!AG271&gt;=1,"D","F")))))))</f>
        <v/>
      </c>
      <c r="P271" s="5">
        <f>IF('Data Source'!B271="","",'Data Source'!R271)</f>
        <v/>
      </c>
      <c r="Q271" s="3">
        <f>IF('Data Source'!B271="","",'Data Source'!S271)</f>
        <v/>
      </c>
    </row>
    <row r="272">
      <c r="A272" s="3">
        <f>IF('Data Source'!B272="","",'Data Source'!A272)</f>
        <v/>
      </c>
      <c r="B272">
        <f>IF('Data Source'!B272="","",'Data Source'!B272)</f>
        <v/>
      </c>
      <c r="C272" s="3">
        <f>IF('Data Source'!B272="","",IF('Data Source'!U272&gt;=5,"A+",IF('Data Source'!U272&gt;=4,"A",IF('Data Source'!U272&gt;=3.5,"A-",IF('Data Source'!U272&gt;=3,"B",IF('Data Source'!U272&gt;=2,"C",IF('Data Source'!U272&gt;=1,"D","F")))))))</f>
        <v/>
      </c>
      <c r="D272" s="3">
        <f>IF('Data Source'!B272="","",IF('Data Source'!V272&gt;=5,"A+",IF('Data Source'!V272&gt;=4,"A",IF('Data Source'!V272&gt;=3.5,"A-",IF('Data Source'!V272&gt;=3,"B",IF('Data Source'!V272&gt;=2,"C",IF('Data Source'!V272&gt;=1,"D","F")))))))</f>
        <v/>
      </c>
      <c r="E272" s="3">
        <f>IF('Data Source'!B272="","",IF('Data Source'!W272&gt;=5,"A+",IF('Data Source'!W272&gt;=4,"A",IF('Data Source'!W272&gt;=3.5,"A-",IF('Data Source'!W272&gt;=3,"B",IF('Data Source'!W272&gt;=2,"C",IF('Data Source'!W272&gt;=1,"D","F")))))))</f>
        <v/>
      </c>
      <c r="F272" s="3">
        <f>IF('Data Source'!B272="","",IF('Data Source'!X272&gt;=5,"A+",IF('Data Source'!X272&gt;=4,"A",IF('Data Source'!X272&gt;=3.5,"A-",IF('Data Source'!X272&gt;=3,"B",IF('Data Source'!X272&gt;=2,"C",IF('Data Source'!X272&gt;=1,"D","F")))))))</f>
        <v/>
      </c>
      <c r="G272" s="3">
        <f>IF('Data Source'!B272="","",IF('Data Source'!Y272&gt;=5,"A+",IF('Data Source'!Y272&gt;=4,"A",IF('Data Source'!Y272&gt;=3.5,"A-",IF('Data Source'!Y272&gt;=3,"B",IF('Data Source'!Y272&gt;=2,"C",IF('Data Source'!Y272&gt;=1,"D","F")))))))</f>
        <v/>
      </c>
      <c r="H272" s="3">
        <f>IF('Data Source'!B272="","",IF('Data Source'!Z272&gt;=5,"A+",IF('Data Source'!Z272&gt;=4,"A",IF('Data Source'!Z272&gt;=3.5,"A-",IF('Data Source'!Z272&gt;=3,"B",IF('Data Source'!Z272&gt;=2,"C",IF('Data Source'!Z272&gt;=1,"D","F")))))))</f>
        <v/>
      </c>
      <c r="I272" s="3">
        <f>IF('Data Source'!B272="","",IF('Data Source'!AA272&gt;=5,"A+",IF('Data Source'!AA272&gt;=4,"A",IF('Data Source'!AA272&gt;=3.5,"A-",IF('Data Source'!AA272&gt;=3,"B",IF('Data Source'!AA272&gt;=2,"C",IF('Data Source'!AA272&gt;=1,"D","F")))))))</f>
        <v/>
      </c>
      <c r="J272" s="3">
        <f>IF('Data Source'!B272="","",IF('Data Source'!AB272&gt;=5,"A+",IF('Data Source'!AB272&gt;=4,"A",IF('Data Source'!AB272&gt;=3.5,"A-",IF('Data Source'!AB272&gt;=3,"B",IF('Data Source'!AB272&gt;=2,"C",IF('Data Source'!AB272&gt;=1,"D","F")))))))</f>
        <v/>
      </c>
      <c r="K272" s="3">
        <f>IF('Data Source'!B272="","",IF('Data Source'!AC272&gt;=5,"A+",IF('Data Source'!AC272&gt;=4,"A",IF('Data Source'!AC272&gt;=3.5,"A-",IF('Data Source'!AC272&gt;=3,"B",IF('Data Source'!AC272&gt;=2,"C",IF('Data Source'!AC272&gt;=1,"D","F")))))))</f>
        <v/>
      </c>
      <c r="L272" s="3">
        <f>IF('Data Source'!B272="","",IF('Data Source'!AD272&gt;=5,"A+",IF('Data Source'!AD272&gt;=4,"A",IF('Data Source'!AD272&gt;=3.5,"A-",IF('Data Source'!AD272&gt;=3,"B",IF('Data Source'!AD272&gt;=2,"C",IF('Data Source'!AD272&gt;=1,"D","F")))))))</f>
        <v/>
      </c>
      <c r="M272" s="3">
        <f>IF('Data Source'!B272="","",IF('Data Source'!AE272&gt;=5,"A+",IF('Data Source'!AE272&gt;=4,"A",IF('Data Source'!AE272&gt;=3.5,"A-",IF('Data Source'!AE272&gt;=3,"B",IF('Data Source'!AE272&gt;=2,"C",IF('Data Source'!AE272&gt;=1,"D","F")))))))</f>
        <v/>
      </c>
      <c r="N272" s="3">
        <f>IF('Data Source'!B272="","",IF('Data Source'!AF272&gt;=5,"A+",IF('Data Source'!AF272&gt;=4,"A",IF('Data Source'!AF272&gt;=3.5,"A-",IF('Data Source'!AF272&gt;=3,"B",IF('Data Source'!AF272&gt;=2,"C",IF('Data Source'!AF272&gt;=1,"D","F")))))))</f>
        <v/>
      </c>
      <c r="O272" s="3">
        <f>IF('Data Source'!B272="","",IF('Data Source'!AG272&gt;=5,"A+",IF('Data Source'!AG272&gt;=4,"A",IF('Data Source'!AG272&gt;=3.5,"A-",IF('Data Source'!AG272&gt;=3,"B",IF('Data Source'!AG272&gt;=2,"C",IF('Data Source'!AG272&gt;=1,"D","F")))))))</f>
        <v/>
      </c>
      <c r="P272" s="5">
        <f>IF('Data Source'!B272="","",'Data Source'!R272)</f>
        <v/>
      </c>
      <c r="Q272" s="3">
        <f>IF('Data Source'!B272="","",'Data Source'!S272)</f>
        <v/>
      </c>
    </row>
    <row r="273">
      <c r="A273" s="3">
        <f>IF('Data Source'!B273="","",'Data Source'!A273)</f>
        <v/>
      </c>
      <c r="B273">
        <f>IF('Data Source'!B273="","",'Data Source'!B273)</f>
        <v/>
      </c>
      <c r="C273" s="3">
        <f>IF('Data Source'!B273="","",IF('Data Source'!U273&gt;=5,"A+",IF('Data Source'!U273&gt;=4,"A",IF('Data Source'!U273&gt;=3.5,"A-",IF('Data Source'!U273&gt;=3,"B",IF('Data Source'!U273&gt;=2,"C",IF('Data Source'!U273&gt;=1,"D","F")))))))</f>
        <v/>
      </c>
      <c r="D273" s="3">
        <f>IF('Data Source'!B273="","",IF('Data Source'!V273&gt;=5,"A+",IF('Data Source'!V273&gt;=4,"A",IF('Data Source'!V273&gt;=3.5,"A-",IF('Data Source'!V273&gt;=3,"B",IF('Data Source'!V273&gt;=2,"C",IF('Data Source'!V273&gt;=1,"D","F")))))))</f>
        <v/>
      </c>
      <c r="E273" s="3">
        <f>IF('Data Source'!B273="","",IF('Data Source'!W273&gt;=5,"A+",IF('Data Source'!W273&gt;=4,"A",IF('Data Source'!W273&gt;=3.5,"A-",IF('Data Source'!W273&gt;=3,"B",IF('Data Source'!W273&gt;=2,"C",IF('Data Source'!W273&gt;=1,"D","F")))))))</f>
        <v/>
      </c>
      <c r="F273" s="3">
        <f>IF('Data Source'!B273="","",IF('Data Source'!X273&gt;=5,"A+",IF('Data Source'!X273&gt;=4,"A",IF('Data Source'!X273&gt;=3.5,"A-",IF('Data Source'!X273&gt;=3,"B",IF('Data Source'!X273&gt;=2,"C",IF('Data Source'!X273&gt;=1,"D","F")))))))</f>
        <v/>
      </c>
      <c r="G273" s="3">
        <f>IF('Data Source'!B273="","",IF('Data Source'!Y273&gt;=5,"A+",IF('Data Source'!Y273&gt;=4,"A",IF('Data Source'!Y273&gt;=3.5,"A-",IF('Data Source'!Y273&gt;=3,"B",IF('Data Source'!Y273&gt;=2,"C",IF('Data Source'!Y273&gt;=1,"D","F")))))))</f>
        <v/>
      </c>
      <c r="H273" s="3">
        <f>IF('Data Source'!B273="","",IF('Data Source'!Z273&gt;=5,"A+",IF('Data Source'!Z273&gt;=4,"A",IF('Data Source'!Z273&gt;=3.5,"A-",IF('Data Source'!Z273&gt;=3,"B",IF('Data Source'!Z273&gt;=2,"C",IF('Data Source'!Z273&gt;=1,"D","F")))))))</f>
        <v/>
      </c>
      <c r="I273" s="3">
        <f>IF('Data Source'!B273="","",IF('Data Source'!AA273&gt;=5,"A+",IF('Data Source'!AA273&gt;=4,"A",IF('Data Source'!AA273&gt;=3.5,"A-",IF('Data Source'!AA273&gt;=3,"B",IF('Data Source'!AA273&gt;=2,"C",IF('Data Source'!AA273&gt;=1,"D","F")))))))</f>
        <v/>
      </c>
      <c r="J273" s="3">
        <f>IF('Data Source'!B273="","",IF('Data Source'!AB273&gt;=5,"A+",IF('Data Source'!AB273&gt;=4,"A",IF('Data Source'!AB273&gt;=3.5,"A-",IF('Data Source'!AB273&gt;=3,"B",IF('Data Source'!AB273&gt;=2,"C",IF('Data Source'!AB273&gt;=1,"D","F")))))))</f>
        <v/>
      </c>
      <c r="K273" s="3">
        <f>IF('Data Source'!B273="","",IF('Data Source'!AC273&gt;=5,"A+",IF('Data Source'!AC273&gt;=4,"A",IF('Data Source'!AC273&gt;=3.5,"A-",IF('Data Source'!AC273&gt;=3,"B",IF('Data Source'!AC273&gt;=2,"C",IF('Data Source'!AC273&gt;=1,"D","F")))))))</f>
        <v/>
      </c>
      <c r="L273" s="3">
        <f>IF('Data Source'!B273="","",IF('Data Source'!AD273&gt;=5,"A+",IF('Data Source'!AD273&gt;=4,"A",IF('Data Source'!AD273&gt;=3.5,"A-",IF('Data Source'!AD273&gt;=3,"B",IF('Data Source'!AD273&gt;=2,"C",IF('Data Source'!AD273&gt;=1,"D","F")))))))</f>
        <v/>
      </c>
      <c r="M273" s="3">
        <f>IF('Data Source'!B273="","",IF('Data Source'!AE273&gt;=5,"A+",IF('Data Source'!AE273&gt;=4,"A",IF('Data Source'!AE273&gt;=3.5,"A-",IF('Data Source'!AE273&gt;=3,"B",IF('Data Source'!AE273&gt;=2,"C",IF('Data Source'!AE273&gt;=1,"D","F")))))))</f>
        <v/>
      </c>
      <c r="N273" s="3">
        <f>IF('Data Source'!B273="","",IF('Data Source'!AF273&gt;=5,"A+",IF('Data Source'!AF273&gt;=4,"A",IF('Data Source'!AF273&gt;=3.5,"A-",IF('Data Source'!AF273&gt;=3,"B",IF('Data Source'!AF273&gt;=2,"C",IF('Data Source'!AF273&gt;=1,"D","F")))))))</f>
        <v/>
      </c>
      <c r="O273" s="3">
        <f>IF('Data Source'!B273="","",IF('Data Source'!AG273&gt;=5,"A+",IF('Data Source'!AG273&gt;=4,"A",IF('Data Source'!AG273&gt;=3.5,"A-",IF('Data Source'!AG273&gt;=3,"B",IF('Data Source'!AG273&gt;=2,"C",IF('Data Source'!AG273&gt;=1,"D","F")))))))</f>
        <v/>
      </c>
      <c r="P273" s="5">
        <f>IF('Data Source'!B273="","",'Data Source'!R273)</f>
        <v/>
      </c>
      <c r="Q273" s="3">
        <f>IF('Data Source'!B273="","",'Data Source'!S273)</f>
        <v/>
      </c>
    </row>
    <row r="274">
      <c r="A274" s="3">
        <f>IF('Data Source'!B274="","",'Data Source'!A274)</f>
        <v/>
      </c>
      <c r="B274">
        <f>IF('Data Source'!B274="","",'Data Source'!B274)</f>
        <v/>
      </c>
      <c r="C274" s="3">
        <f>IF('Data Source'!B274="","",IF('Data Source'!U274&gt;=5,"A+",IF('Data Source'!U274&gt;=4,"A",IF('Data Source'!U274&gt;=3.5,"A-",IF('Data Source'!U274&gt;=3,"B",IF('Data Source'!U274&gt;=2,"C",IF('Data Source'!U274&gt;=1,"D","F")))))))</f>
        <v/>
      </c>
      <c r="D274" s="3">
        <f>IF('Data Source'!B274="","",IF('Data Source'!V274&gt;=5,"A+",IF('Data Source'!V274&gt;=4,"A",IF('Data Source'!V274&gt;=3.5,"A-",IF('Data Source'!V274&gt;=3,"B",IF('Data Source'!V274&gt;=2,"C",IF('Data Source'!V274&gt;=1,"D","F")))))))</f>
        <v/>
      </c>
      <c r="E274" s="3">
        <f>IF('Data Source'!B274="","",IF('Data Source'!W274&gt;=5,"A+",IF('Data Source'!W274&gt;=4,"A",IF('Data Source'!W274&gt;=3.5,"A-",IF('Data Source'!W274&gt;=3,"B",IF('Data Source'!W274&gt;=2,"C",IF('Data Source'!W274&gt;=1,"D","F")))))))</f>
        <v/>
      </c>
      <c r="F274" s="3">
        <f>IF('Data Source'!B274="","",IF('Data Source'!X274&gt;=5,"A+",IF('Data Source'!X274&gt;=4,"A",IF('Data Source'!X274&gt;=3.5,"A-",IF('Data Source'!X274&gt;=3,"B",IF('Data Source'!X274&gt;=2,"C",IF('Data Source'!X274&gt;=1,"D","F")))))))</f>
        <v/>
      </c>
      <c r="G274" s="3">
        <f>IF('Data Source'!B274="","",IF('Data Source'!Y274&gt;=5,"A+",IF('Data Source'!Y274&gt;=4,"A",IF('Data Source'!Y274&gt;=3.5,"A-",IF('Data Source'!Y274&gt;=3,"B",IF('Data Source'!Y274&gt;=2,"C",IF('Data Source'!Y274&gt;=1,"D","F")))))))</f>
        <v/>
      </c>
      <c r="H274" s="3">
        <f>IF('Data Source'!B274="","",IF('Data Source'!Z274&gt;=5,"A+",IF('Data Source'!Z274&gt;=4,"A",IF('Data Source'!Z274&gt;=3.5,"A-",IF('Data Source'!Z274&gt;=3,"B",IF('Data Source'!Z274&gt;=2,"C",IF('Data Source'!Z274&gt;=1,"D","F")))))))</f>
        <v/>
      </c>
      <c r="I274" s="3">
        <f>IF('Data Source'!B274="","",IF('Data Source'!AA274&gt;=5,"A+",IF('Data Source'!AA274&gt;=4,"A",IF('Data Source'!AA274&gt;=3.5,"A-",IF('Data Source'!AA274&gt;=3,"B",IF('Data Source'!AA274&gt;=2,"C",IF('Data Source'!AA274&gt;=1,"D","F")))))))</f>
        <v/>
      </c>
      <c r="J274" s="3">
        <f>IF('Data Source'!B274="","",IF('Data Source'!AB274&gt;=5,"A+",IF('Data Source'!AB274&gt;=4,"A",IF('Data Source'!AB274&gt;=3.5,"A-",IF('Data Source'!AB274&gt;=3,"B",IF('Data Source'!AB274&gt;=2,"C",IF('Data Source'!AB274&gt;=1,"D","F")))))))</f>
        <v/>
      </c>
      <c r="K274" s="3">
        <f>IF('Data Source'!B274="","",IF('Data Source'!AC274&gt;=5,"A+",IF('Data Source'!AC274&gt;=4,"A",IF('Data Source'!AC274&gt;=3.5,"A-",IF('Data Source'!AC274&gt;=3,"B",IF('Data Source'!AC274&gt;=2,"C",IF('Data Source'!AC274&gt;=1,"D","F")))))))</f>
        <v/>
      </c>
      <c r="L274" s="3">
        <f>IF('Data Source'!B274="","",IF('Data Source'!AD274&gt;=5,"A+",IF('Data Source'!AD274&gt;=4,"A",IF('Data Source'!AD274&gt;=3.5,"A-",IF('Data Source'!AD274&gt;=3,"B",IF('Data Source'!AD274&gt;=2,"C",IF('Data Source'!AD274&gt;=1,"D","F")))))))</f>
        <v/>
      </c>
      <c r="M274" s="3">
        <f>IF('Data Source'!B274="","",IF('Data Source'!AE274&gt;=5,"A+",IF('Data Source'!AE274&gt;=4,"A",IF('Data Source'!AE274&gt;=3.5,"A-",IF('Data Source'!AE274&gt;=3,"B",IF('Data Source'!AE274&gt;=2,"C",IF('Data Source'!AE274&gt;=1,"D","F")))))))</f>
        <v/>
      </c>
      <c r="N274" s="3">
        <f>IF('Data Source'!B274="","",IF('Data Source'!AF274&gt;=5,"A+",IF('Data Source'!AF274&gt;=4,"A",IF('Data Source'!AF274&gt;=3.5,"A-",IF('Data Source'!AF274&gt;=3,"B",IF('Data Source'!AF274&gt;=2,"C",IF('Data Source'!AF274&gt;=1,"D","F")))))))</f>
        <v/>
      </c>
      <c r="O274" s="3">
        <f>IF('Data Source'!B274="","",IF('Data Source'!AG274&gt;=5,"A+",IF('Data Source'!AG274&gt;=4,"A",IF('Data Source'!AG274&gt;=3.5,"A-",IF('Data Source'!AG274&gt;=3,"B",IF('Data Source'!AG274&gt;=2,"C",IF('Data Source'!AG274&gt;=1,"D","F")))))))</f>
        <v/>
      </c>
      <c r="P274" s="5">
        <f>IF('Data Source'!B274="","",'Data Source'!R274)</f>
        <v/>
      </c>
      <c r="Q274" s="3">
        <f>IF('Data Source'!B274="","",'Data Source'!S274)</f>
        <v/>
      </c>
    </row>
    <row r="275">
      <c r="A275" s="3">
        <f>IF('Data Source'!B275="","",'Data Source'!A275)</f>
        <v/>
      </c>
      <c r="B275">
        <f>IF('Data Source'!B275="","",'Data Source'!B275)</f>
        <v/>
      </c>
      <c r="C275" s="3">
        <f>IF('Data Source'!B275="","",IF('Data Source'!U275&gt;=5,"A+",IF('Data Source'!U275&gt;=4,"A",IF('Data Source'!U275&gt;=3.5,"A-",IF('Data Source'!U275&gt;=3,"B",IF('Data Source'!U275&gt;=2,"C",IF('Data Source'!U275&gt;=1,"D","F")))))))</f>
        <v/>
      </c>
      <c r="D275" s="3">
        <f>IF('Data Source'!B275="","",IF('Data Source'!V275&gt;=5,"A+",IF('Data Source'!V275&gt;=4,"A",IF('Data Source'!V275&gt;=3.5,"A-",IF('Data Source'!V275&gt;=3,"B",IF('Data Source'!V275&gt;=2,"C",IF('Data Source'!V275&gt;=1,"D","F")))))))</f>
        <v/>
      </c>
      <c r="E275" s="3">
        <f>IF('Data Source'!B275="","",IF('Data Source'!W275&gt;=5,"A+",IF('Data Source'!W275&gt;=4,"A",IF('Data Source'!W275&gt;=3.5,"A-",IF('Data Source'!W275&gt;=3,"B",IF('Data Source'!W275&gt;=2,"C",IF('Data Source'!W275&gt;=1,"D","F")))))))</f>
        <v/>
      </c>
      <c r="F275" s="3">
        <f>IF('Data Source'!B275="","",IF('Data Source'!X275&gt;=5,"A+",IF('Data Source'!X275&gt;=4,"A",IF('Data Source'!X275&gt;=3.5,"A-",IF('Data Source'!X275&gt;=3,"B",IF('Data Source'!X275&gt;=2,"C",IF('Data Source'!X275&gt;=1,"D","F")))))))</f>
        <v/>
      </c>
      <c r="G275" s="3">
        <f>IF('Data Source'!B275="","",IF('Data Source'!Y275&gt;=5,"A+",IF('Data Source'!Y275&gt;=4,"A",IF('Data Source'!Y275&gt;=3.5,"A-",IF('Data Source'!Y275&gt;=3,"B",IF('Data Source'!Y275&gt;=2,"C",IF('Data Source'!Y275&gt;=1,"D","F")))))))</f>
        <v/>
      </c>
      <c r="H275" s="3">
        <f>IF('Data Source'!B275="","",IF('Data Source'!Z275&gt;=5,"A+",IF('Data Source'!Z275&gt;=4,"A",IF('Data Source'!Z275&gt;=3.5,"A-",IF('Data Source'!Z275&gt;=3,"B",IF('Data Source'!Z275&gt;=2,"C",IF('Data Source'!Z275&gt;=1,"D","F")))))))</f>
        <v/>
      </c>
      <c r="I275" s="3">
        <f>IF('Data Source'!B275="","",IF('Data Source'!AA275&gt;=5,"A+",IF('Data Source'!AA275&gt;=4,"A",IF('Data Source'!AA275&gt;=3.5,"A-",IF('Data Source'!AA275&gt;=3,"B",IF('Data Source'!AA275&gt;=2,"C",IF('Data Source'!AA275&gt;=1,"D","F")))))))</f>
        <v/>
      </c>
      <c r="J275" s="3">
        <f>IF('Data Source'!B275="","",IF('Data Source'!AB275&gt;=5,"A+",IF('Data Source'!AB275&gt;=4,"A",IF('Data Source'!AB275&gt;=3.5,"A-",IF('Data Source'!AB275&gt;=3,"B",IF('Data Source'!AB275&gt;=2,"C",IF('Data Source'!AB275&gt;=1,"D","F")))))))</f>
        <v/>
      </c>
      <c r="K275" s="3">
        <f>IF('Data Source'!B275="","",IF('Data Source'!AC275&gt;=5,"A+",IF('Data Source'!AC275&gt;=4,"A",IF('Data Source'!AC275&gt;=3.5,"A-",IF('Data Source'!AC275&gt;=3,"B",IF('Data Source'!AC275&gt;=2,"C",IF('Data Source'!AC275&gt;=1,"D","F")))))))</f>
        <v/>
      </c>
      <c r="L275" s="3">
        <f>IF('Data Source'!B275="","",IF('Data Source'!AD275&gt;=5,"A+",IF('Data Source'!AD275&gt;=4,"A",IF('Data Source'!AD275&gt;=3.5,"A-",IF('Data Source'!AD275&gt;=3,"B",IF('Data Source'!AD275&gt;=2,"C",IF('Data Source'!AD275&gt;=1,"D","F")))))))</f>
        <v/>
      </c>
      <c r="M275" s="3">
        <f>IF('Data Source'!B275="","",IF('Data Source'!AE275&gt;=5,"A+",IF('Data Source'!AE275&gt;=4,"A",IF('Data Source'!AE275&gt;=3.5,"A-",IF('Data Source'!AE275&gt;=3,"B",IF('Data Source'!AE275&gt;=2,"C",IF('Data Source'!AE275&gt;=1,"D","F")))))))</f>
        <v/>
      </c>
      <c r="N275" s="3">
        <f>IF('Data Source'!B275="","",IF('Data Source'!AF275&gt;=5,"A+",IF('Data Source'!AF275&gt;=4,"A",IF('Data Source'!AF275&gt;=3.5,"A-",IF('Data Source'!AF275&gt;=3,"B",IF('Data Source'!AF275&gt;=2,"C",IF('Data Source'!AF275&gt;=1,"D","F")))))))</f>
        <v/>
      </c>
      <c r="O275" s="3">
        <f>IF('Data Source'!B275="","",IF('Data Source'!AG275&gt;=5,"A+",IF('Data Source'!AG275&gt;=4,"A",IF('Data Source'!AG275&gt;=3.5,"A-",IF('Data Source'!AG275&gt;=3,"B",IF('Data Source'!AG275&gt;=2,"C",IF('Data Source'!AG275&gt;=1,"D","F")))))))</f>
        <v/>
      </c>
      <c r="P275" s="5">
        <f>IF('Data Source'!B275="","",'Data Source'!R275)</f>
        <v/>
      </c>
      <c r="Q275" s="3">
        <f>IF('Data Source'!B275="","",'Data Source'!S275)</f>
        <v/>
      </c>
    </row>
    <row r="276">
      <c r="A276" s="3">
        <f>IF('Data Source'!B276="","",'Data Source'!A276)</f>
        <v/>
      </c>
      <c r="B276">
        <f>IF('Data Source'!B276="","",'Data Source'!B276)</f>
        <v/>
      </c>
      <c r="C276" s="3">
        <f>IF('Data Source'!B276="","",IF('Data Source'!U276&gt;=5,"A+",IF('Data Source'!U276&gt;=4,"A",IF('Data Source'!U276&gt;=3.5,"A-",IF('Data Source'!U276&gt;=3,"B",IF('Data Source'!U276&gt;=2,"C",IF('Data Source'!U276&gt;=1,"D","F")))))))</f>
        <v/>
      </c>
      <c r="D276" s="3">
        <f>IF('Data Source'!B276="","",IF('Data Source'!V276&gt;=5,"A+",IF('Data Source'!V276&gt;=4,"A",IF('Data Source'!V276&gt;=3.5,"A-",IF('Data Source'!V276&gt;=3,"B",IF('Data Source'!V276&gt;=2,"C",IF('Data Source'!V276&gt;=1,"D","F")))))))</f>
        <v/>
      </c>
      <c r="E276" s="3">
        <f>IF('Data Source'!B276="","",IF('Data Source'!W276&gt;=5,"A+",IF('Data Source'!W276&gt;=4,"A",IF('Data Source'!W276&gt;=3.5,"A-",IF('Data Source'!W276&gt;=3,"B",IF('Data Source'!W276&gt;=2,"C",IF('Data Source'!W276&gt;=1,"D","F")))))))</f>
        <v/>
      </c>
      <c r="F276" s="3">
        <f>IF('Data Source'!B276="","",IF('Data Source'!X276&gt;=5,"A+",IF('Data Source'!X276&gt;=4,"A",IF('Data Source'!X276&gt;=3.5,"A-",IF('Data Source'!X276&gt;=3,"B",IF('Data Source'!X276&gt;=2,"C",IF('Data Source'!X276&gt;=1,"D","F")))))))</f>
        <v/>
      </c>
      <c r="G276" s="3">
        <f>IF('Data Source'!B276="","",IF('Data Source'!Y276&gt;=5,"A+",IF('Data Source'!Y276&gt;=4,"A",IF('Data Source'!Y276&gt;=3.5,"A-",IF('Data Source'!Y276&gt;=3,"B",IF('Data Source'!Y276&gt;=2,"C",IF('Data Source'!Y276&gt;=1,"D","F")))))))</f>
        <v/>
      </c>
      <c r="H276" s="3">
        <f>IF('Data Source'!B276="","",IF('Data Source'!Z276&gt;=5,"A+",IF('Data Source'!Z276&gt;=4,"A",IF('Data Source'!Z276&gt;=3.5,"A-",IF('Data Source'!Z276&gt;=3,"B",IF('Data Source'!Z276&gt;=2,"C",IF('Data Source'!Z276&gt;=1,"D","F")))))))</f>
        <v/>
      </c>
      <c r="I276" s="3">
        <f>IF('Data Source'!B276="","",IF('Data Source'!AA276&gt;=5,"A+",IF('Data Source'!AA276&gt;=4,"A",IF('Data Source'!AA276&gt;=3.5,"A-",IF('Data Source'!AA276&gt;=3,"B",IF('Data Source'!AA276&gt;=2,"C",IF('Data Source'!AA276&gt;=1,"D","F")))))))</f>
        <v/>
      </c>
      <c r="J276" s="3">
        <f>IF('Data Source'!B276="","",IF('Data Source'!AB276&gt;=5,"A+",IF('Data Source'!AB276&gt;=4,"A",IF('Data Source'!AB276&gt;=3.5,"A-",IF('Data Source'!AB276&gt;=3,"B",IF('Data Source'!AB276&gt;=2,"C",IF('Data Source'!AB276&gt;=1,"D","F")))))))</f>
        <v/>
      </c>
      <c r="K276" s="3">
        <f>IF('Data Source'!B276="","",IF('Data Source'!AC276&gt;=5,"A+",IF('Data Source'!AC276&gt;=4,"A",IF('Data Source'!AC276&gt;=3.5,"A-",IF('Data Source'!AC276&gt;=3,"B",IF('Data Source'!AC276&gt;=2,"C",IF('Data Source'!AC276&gt;=1,"D","F")))))))</f>
        <v/>
      </c>
      <c r="L276" s="3">
        <f>IF('Data Source'!B276="","",IF('Data Source'!AD276&gt;=5,"A+",IF('Data Source'!AD276&gt;=4,"A",IF('Data Source'!AD276&gt;=3.5,"A-",IF('Data Source'!AD276&gt;=3,"B",IF('Data Source'!AD276&gt;=2,"C",IF('Data Source'!AD276&gt;=1,"D","F")))))))</f>
        <v/>
      </c>
      <c r="M276" s="3">
        <f>IF('Data Source'!B276="","",IF('Data Source'!AE276&gt;=5,"A+",IF('Data Source'!AE276&gt;=4,"A",IF('Data Source'!AE276&gt;=3.5,"A-",IF('Data Source'!AE276&gt;=3,"B",IF('Data Source'!AE276&gt;=2,"C",IF('Data Source'!AE276&gt;=1,"D","F")))))))</f>
        <v/>
      </c>
      <c r="N276" s="3">
        <f>IF('Data Source'!B276="","",IF('Data Source'!AF276&gt;=5,"A+",IF('Data Source'!AF276&gt;=4,"A",IF('Data Source'!AF276&gt;=3.5,"A-",IF('Data Source'!AF276&gt;=3,"B",IF('Data Source'!AF276&gt;=2,"C",IF('Data Source'!AF276&gt;=1,"D","F")))))))</f>
        <v/>
      </c>
      <c r="O276" s="3">
        <f>IF('Data Source'!B276="","",IF('Data Source'!AG276&gt;=5,"A+",IF('Data Source'!AG276&gt;=4,"A",IF('Data Source'!AG276&gt;=3.5,"A-",IF('Data Source'!AG276&gt;=3,"B",IF('Data Source'!AG276&gt;=2,"C",IF('Data Source'!AG276&gt;=1,"D","F")))))))</f>
        <v/>
      </c>
      <c r="P276" s="5">
        <f>IF('Data Source'!B276="","",'Data Source'!R276)</f>
        <v/>
      </c>
      <c r="Q276" s="3">
        <f>IF('Data Source'!B276="","",'Data Source'!S276)</f>
        <v/>
      </c>
    </row>
    <row r="277">
      <c r="A277" s="3">
        <f>IF('Data Source'!B277="","",'Data Source'!A277)</f>
        <v/>
      </c>
      <c r="B277">
        <f>IF('Data Source'!B277="","",'Data Source'!B277)</f>
        <v/>
      </c>
      <c r="C277" s="3">
        <f>IF('Data Source'!B277="","",IF('Data Source'!U277&gt;=5,"A+",IF('Data Source'!U277&gt;=4,"A",IF('Data Source'!U277&gt;=3.5,"A-",IF('Data Source'!U277&gt;=3,"B",IF('Data Source'!U277&gt;=2,"C",IF('Data Source'!U277&gt;=1,"D","F")))))))</f>
        <v/>
      </c>
      <c r="D277" s="3">
        <f>IF('Data Source'!B277="","",IF('Data Source'!V277&gt;=5,"A+",IF('Data Source'!V277&gt;=4,"A",IF('Data Source'!V277&gt;=3.5,"A-",IF('Data Source'!V277&gt;=3,"B",IF('Data Source'!V277&gt;=2,"C",IF('Data Source'!V277&gt;=1,"D","F")))))))</f>
        <v/>
      </c>
      <c r="E277" s="3">
        <f>IF('Data Source'!B277="","",IF('Data Source'!W277&gt;=5,"A+",IF('Data Source'!W277&gt;=4,"A",IF('Data Source'!W277&gt;=3.5,"A-",IF('Data Source'!W277&gt;=3,"B",IF('Data Source'!W277&gt;=2,"C",IF('Data Source'!W277&gt;=1,"D","F")))))))</f>
        <v/>
      </c>
      <c r="F277" s="3">
        <f>IF('Data Source'!B277="","",IF('Data Source'!X277&gt;=5,"A+",IF('Data Source'!X277&gt;=4,"A",IF('Data Source'!X277&gt;=3.5,"A-",IF('Data Source'!X277&gt;=3,"B",IF('Data Source'!X277&gt;=2,"C",IF('Data Source'!X277&gt;=1,"D","F")))))))</f>
        <v/>
      </c>
      <c r="G277" s="3">
        <f>IF('Data Source'!B277="","",IF('Data Source'!Y277&gt;=5,"A+",IF('Data Source'!Y277&gt;=4,"A",IF('Data Source'!Y277&gt;=3.5,"A-",IF('Data Source'!Y277&gt;=3,"B",IF('Data Source'!Y277&gt;=2,"C",IF('Data Source'!Y277&gt;=1,"D","F")))))))</f>
        <v/>
      </c>
      <c r="H277" s="3">
        <f>IF('Data Source'!B277="","",IF('Data Source'!Z277&gt;=5,"A+",IF('Data Source'!Z277&gt;=4,"A",IF('Data Source'!Z277&gt;=3.5,"A-",IF('Data Source'!Z277&gt;=3,"B",IF('Data Source'!Z277&gt;=2,"C",IF('Data Source'!Z277&gt;=1,"D","F")))))))</f>
        <v/>
      </c>
      <c r="I277" s="3">
        <f>IF('Data Source'!B277="","",IF('Data Source'!AA277&gt;=5,"A+",IF('Data Source'!AA277&gt;=4,"A",IF('Data Source'!AA277&gt;=3.5,"A-",IF('Data Source'!AA277&gt;=3,"B",IF('Data Source'!AA277&gt;=2,"C",IF('Data Source'!AA277&gt;=1,"D","F")))))))</f>
        <v/>
      </c>
      <c r="J277" s="3">
        <f>IF('Data Source'!B277="","",IF('Data Source'!AB277&gt;=5,"A+",IF('Data Source'!AB277&gt;=4,"A",IF('Data Source'!AB277&gt;=3.5,"A-",IF('Data Source'!AB277&gt;=3,"B",IF('Data Source'!AB277&gt;=2,"C",IF('Data Source'!AB277&gt;=1,"D","F")))))))</f>
        <v/>
      </c>
      <c r="K277" s="3">
        <f>IF('Data Source'!B277="","",IF('Data Source'!AC277&gt;=5,"A+",IF('Data Source'!AC277&gt;=4,"A",IF('Data Source'!AC277&gt;=3.5,"A-",IF('Data Source'!AC277&gt;=3,"B",IF('Data Source'!AC277&gt;=2,"C",IF('Data Source'!AC277&gt;=1,"D","F")))))))</f>
        <v/>
      </c>
      <c r="L277" s="3">
        <f>IF('Data Source'!B277="","",IF('Data Source'!AD277&gt;=5,"A+",IF('Data Source'!AD277&gt;=4,"A",IF('Data Source'!AD277&gt;=3.5,"A-",IF('Data Source'!AD277&gt;=3,"B",IF('Data Source'!AD277&gt;=2,"C",IF('Data Source'!AD277&gt;=1,"D","F")))))))</f>
        <v/>
      </c>
      <c r="M277" s="3">
        <f>IF('Data Source'!B277="","",IF('Data Source'!AE277&gt;=5,"A+",IF('Data Source'!AE277&gt;=4,"A",IF('Data Source'!AE277&gt;=3.5,"A-",IF('Data Source'!AE277&gt;=3,"B",IF('Data Source'!AE277&gt;=2,"C",IF('Data Source'!AE277&gt;=1,"D","F")))))))</f>
        <v/>
      </c>
      <c r="N277" s="3">
        <f>IF('Data Source'!B277="","",IF('Data Source'!AF277&gt;=5,"A+",IF('Data Source'!AF277&gt;=4,"A",IF('Data Source'!AF277&gt;=3.5,"A-",IF('Data Source'!AF277&gt;=3,"B",IF('Data Source'!AF277&gt;=2,"C",IF('Data Source'!AF277&gt;=1,"D","F")))))))</f>
        <v/>
      </c>
      <c r="O277" s="3">
        <f>IF('Data Source'!B277="","",IF('Data Source'!AG277&gt;=5,"A+",IF('Data Source'!AG277&gt;=4,"A",IF('Data Source'!AG277&gt;=3.5,"A-",IF('Data Source'!AG277&gt;=3,"B",IF('Data Source'!AG277&gt;=2,"C",IF('Data Source'!AG277&gt;=1,"D","F")))))))</f>
        <v/>
      </c>
      <c r="P277" s="5">
        <f>IF('Data Source'!B277="","",'Data Source'!R277)</f>
        <v/>
      </c>
      <c r="Q277" s="3">
        <f>IF('Data Source'!B277="","",'Data Source'!S277)</f>
        <v/>
      </c>
    </row>
    <row r="278">
      <c r="A278" s="3">
        <f>IF('Data Source'!B278="","",'Data Source'!A278)</f>
        <v/>
      </c>
      <c r="B278">
        <f>IF('Data Source'!B278="","",'Data Source'!B278)</f>
        <v/>
      </c>
      <c r="C278" s="3">
        <f>IF('Data Source'!B278="","",IF('Data Source'!U278&gt;=5,"A+",IF('Data Source'!U278&gt;=4,"A",IF('Data Source'!U278&gt;=3.5,"A-",IF('Data Source'!U278&gt;=3,"B",IF('Data Source'!U278&gt;=2,"C",IF('Data Source'!U278&gt;=1,"D","F")))))))</f>
        <v/>
      </c>
      <c r="D278" s="3">
        <f>IF('Data Source'!B278="","",IF('Data Source'!V278&gt;=5,"A+",IF('Data Source'!V278&gt;=4,"A",IF('Data Source'!V278&gt;=3.5,"A-",IF('Data Source'!V278&gt;=3,"B",IF('Data Source'!V278&gt;=2,"C",IF('Data Source'!V278&gt;=1,"D","F")))))))</f>
        <v/>
      </c>
      <c r="E278" s="3">
        <f>IF('Data Source'!B278="","",IF('Data Source'!W278&gt;=5,"A+",IF('Data Source'!W278&gt;=4,"A",IF('Data Source'!W278&gt;=3.5,"A-",IF('Data Source'!W278&gt;=3,"B",IF('Data Source'!W278&gt;=2,"C",IF('Data Source'!W278&gt;=1,"D","F")))))))</f>
        <v/>
      </c>
      <c r="F278" s="3">
        <f>IF('Data Source'!B278="","",IF('Data Source'!X278&gt;=5,"A+",IF('Data Source'!X278&gt;=4,"A",IF('Data Source'!X278&gt;=3.5,"A-",IF('Data Source'!X278&gt;=3,"B",IF('Data Source'!X278&gt;=2,"C",IF('Data Source'!X278&gt;=1,"D","F")))))))</f>
        <v/>
      </c>
      <c r="G278" s="3">
        <f>IF('Data Source'!B278="","",IF('Data Source'!Y278&gt;=5,"A+",IF('Data Source'!Y278&gt;=4,"A",IF('Data Source'!Y278&gt;=3.5,"A-",IF('Data Source'!Y278&gt;=3,"B",IF('Data Source'!Y278&gt;=2,"C",IF('Data Source'!Y278&gt;=1,"D","F")))))))</f>
        <v/>
      </c>
      <c r="H278" s="3">
        <f>IF('Data Source'!B278="","",IF('Data Source'!Z278&gt;=5,"A+",IF('Data Source'!Z278&gt;=4,"A",IF('Data Source'!Z278&gt;=3.5,"A-",IF('Data Source'!Z278&gt;=3,"B",IF('Data Source'!Z278&gt;=2,"C",IF('Data Source'!Z278&gt;=1,"D","F")))))))</f>
        <v/>
      </c>
      <c r="I278" s="3">
        <f>IF('Data Source'!B278="","",IF('Data Source'!AA278&gt;=5,"A+",IF('Data Source'!AA278&gt;=4,"A",IF('Data Source'!AA278&gt;=3.5,"A-",IF('Data Source'!AA278&gt;=3,"B",IF('Data Source'!AA278&gt;=2,"C",IF('Data Source'!AA278&gt;=1,"D","F")))))))</f>
        <v/>
      </c>
      <c r="J278" s="3">
        <f>IF('Data Source'!B278="","",IF('Data Source'!AB278&gt;=5,"A+",IF('Data Source'!AB278&gt;=4,"A",IF('Data Source'!AB278&gt;=3.5,"A-",IF('Data Source'!AB278&gt;=3,"B",IF('Data Source'!AB278&gt;=2,"C",IF('Data Source'!AB278&gt;=1,"D","F")))))))</f>
        <v/>
      </c>
      <c r="K278" s="3">
        <f>IF('Data Source'!B278="","",IF('Data Source'!AC278&gt;=5,"A+",IF('Data Source'!AC278&gt;=4,"A",IF('Data Source'!AC278&gt;=3.5,"A-",IF('Data Source'!AC278&gt;=3,"B",IF('Data Source'!AC278&gt;=2,"C",IF('Data Source'!AC278&gt;=1,"D","F")))))))</f>
        <v/>
      </c>
      <c r="L278" s="3">
        <f>IF('Data Source'!B278="","",IF('Data Source'!AD278&gt;=5,"A+",IF('Data Source'!AD278&gt;=4,"A",IF('Data Source'!AD278&gt;=3.5,"A-",IF('Data Source'!AD278&gt;=3,"B",IF('Data Source'!AD278&gt;=2,"C",IF('Data Source'!AD278&gt;=1,"D","F")))))))</f>
        <v/>
      </c>
      <c r="M278" s="3">
        <f>IF('Data Source'!B278="","",IF('Data Source'!AE278&gt;=5,"A+",IF('Data Source'!AE278&gt;=4,"A",IF('Data Source'!AE278&gt;=3.5,"A-",IF('Data Source'!AE278&gt;=3,"B",IF('Data Source'!AE278&gt;=2,"C",IF('Data Source'!AE278&gt;=1,"D","F")))))))</f>
        <v/>
      </c>
      <c r="N278" s="3">
        <f>IF('Data Source'!B278="","",IF('Data Source'!AF278&gt;=5,"A+",IF('Data Source'!AF278&gt;=4,"A",IF('Data Source'!AF278&gt;=3.5,"A-",IF('Data Source'!AF278&gt;=3,"B",IF('Data Source'!AF278&gt;=2,"C",IF('Data Source'!AF278&gt;=1,"D","F")))))))</f>
        <v/>
      </c>
      <c r="O278" s="3">
        <f>IF('Data Source'!B278="","",IF('Data Source'!AG278&gt;=5,"A+",IF('Data Source'!AG278&gt;=4,"A",IF('Data Source'!AG278&gt;=3.5,"A-",IF('Data Source'!AG278&gt;=3,"B",IF('Data Source'!AG278&gt;=2,"C",IF('Data Source'!AG278&gt;=1,"D","F")))))))</f>
        <v/>
      </c>
      <c r="P278" s="5">
        <f>IF('Data Source'!B278="","",'Data Source'!R278)</f>
        <v/>
      </c>
      <c r="Q278" s="3">
        <f>IF('Data Source'!B278="","",'Data Source'!S278)</f>
        <v/>
      </c>
    </row>
    <row r="279">
      <c r="A279" s="3">
        <f>IF('Data Source'!B279="","",'Data Source'!A279)</f>
        <v/>
      </c>
      <c r="B279">
        <f>IF('Data Source'!B279="","",'Data Source'!B279)</f>
        <v/>
      </c>
      <c r="C279" s="3">
        <f>IF('Data Source'!B279="","",IF('Data Source'!U279&gt;=5,"A+",IF('Data Source'!U279&gt;=4,"A",IF('Data Source'!U279&gt;=3.5,"A-",IF('Data Source'!U279&gt;=3,"B",IF('Data Source'!U279&gt;=2,"C",IF('Data Source'!U279&gt;=1,"D","F")))))))</f>
        <v/>
      </c>
      <c r="D279" s="3">
        <f>IF('Data Source'!B279="","",IF('Data Source'!V279&gt;=5,"A+",IF('Data Source'!V279&gt;=4,"A",IF('Data Source'!V279&gt;=3.5,"A-",IF('Data Source'!V279&gt;=3,"B",IF('Data Source'!V279&gt;=2,"C",IF('Data Source'!V279&gt;=1,"D","F")))))))</f>
        <v/>
      </c>
      <c r="E279" s="3">
        <f>IF('Data Source'!B279="","",IF('Data Source'!W279&gt;=5,"A+",IF('Data Source'!W279&gt;=4,"A",IF('Data Source'!W279&gt;=3.5,"A-",IF('Data Source'!W279&gt;=3,"B",IF('Data Source'!W279&gt;=2,"C",IF('Data Source'!W279&gt;=1,"D","F")))))))</f>
        <v/>
      </c>
      <c r="F279" s="3">
        <f>IF('Data Source'!B279="","",IF('Data Source'!X279&gt;=5,"A+",IF('Data Source'!X279&gt;=4,"A",IF('Data Source'!X279&gt;=3.5,"A-",IF('Data Source'!X279&gt;=3,"B",IF('Data Source'!X279&gt;=2,"C",IF('Data Source'!X279&gt;=1,"D","F")))))))</f>
        <v/>
      </c>
      <c r="G279" s="3">
        <f>IF('Data Source'!B279="","",IF('Data Source'!Y279&gt;=5,"A+",IF('Data Source'!Y279&gt;=4,"A",IF('Data Source'!Y279&gt;=3.5,"A-",IF('Data Source'!Y279&gt;=3,"B",IF('Data Source'!Y279&gt;=2,"C",IF('Data Source'!Y279&gt;=1,"D","F")))))))</f>
        <v/>
      </c>
      <c r="H279" s="3">
        <f>IF('Data Source'!B279="","",IF('Data Source'!Z279&gt;=5,"A+",IF('Data Source'!Z279&gt;=4,"A",IF('Data Source'!Z279&gt;=3.5,"A-",IF('Data Source'!Z279&gt;=3,"B",IF('Data Source'!Z279&gt;=2,"C",IF('Data Source'!Z279&gt;=1,"D","F")))))))</f>
        <v/>
      </c>
      <c r="I279" s="3">
        <f>IF('Data Source'!B279="","",IF('Data Source'!AA279&gt;=5,"A+",IF('Data Source'!AA279&gt;=4,"A",IF('Data Source'!AA279&gt;=3.5,"A-",IF('Data Source'!AA279&gt;=3,"B",IF('Data Source'!AA279&gt;=2,"C",IF('Data Source'!AA279&gt;=1,"D","F")))))))</f>
        <v/>
      </c>
      <c r="J279" s="3">
        <f>IF('Data Source'!B279="","",IF('Data Source'!AB279&gt;=5,"A+",IF('Data Source'!AB279&gt;=4,"A",IF('Data Source'!AB279&gt;=3.5,"A-",IF('Data Source'!AB279&gt;=3,"B",IF('Data Source'!AB279&gt;=2,"C",IF('Data Source'!AB279&gt;=1,"D","F")))))))</f>
        <v/>
      </c>
      <c r="K279" s="3">
        <f>IF('Data Source'!B279="","",IF('Data Source'!AC279&gt;=5,"A+",IF('Data Source'!AC279&gt;=4,"A",IF('Data Source'!AC279&gt;=3.5,"A-",IF('Data Source'!AC279&gt;=3,"B",IF('Data Source'!AC279&gt;=2,"C",IF('Data Source'!AC279&gt;=1,"D","F")))))))</f>
        <v/>
      </c>
      <c r="L279" s="3">
        <f>IF('Data Source'!B279="","",IF('Data Source'!AD279&gt;=5,"A+",IF('Data Source'!AD279&gt;=4,"A",IF('Data Source'!AD279&gt;=3.5,"A-",IF('Data Source'!AD279&gt;=3,"B",IF('Data Source'!AD279&gt;=2,"C",IF('Data Source'!AD279&gt;=1,"D","F")))))))</f>
        <v/>
      </c>
      <c r="M279" s="3">
        <f>IF('Data Source'!B279="","",IF('Data Source'!AE279&gt;=5,"A+",IF('Data Source'!AE279&gt;=4,"A",IF('Data Source'!AE279&gt;=3.5,"A-",IF('Data Source'!AE279&gt;=3,"B",IF('Data Source'!AE279&gt;=2,"C",IF('Data Source'!AE279&gt;=1,"D","F")))))))</f>
        <v/>
      </c>
      <c r="N279" s="3">
        <f>IF('Data Source'!B279="","",IF('Data Source'!AF279&gt;=5,"A+",IF('Data Source'!AF279&gt;=4,"A",IF('Data Source'!AF279&gt;=3.5,"A-",IF('Data Source'!AF279&gt;=3,"B",IF('Data Source'!AF279&gt;=2,"C",IF('Data Source'!AF279&gt;=1,"D","F")))))))</f>
        <v/>
      </c>
      <c r="O279" s="3">
        <f>IF('Data Source'!B279="","",IF('Data Source'!AG279&gt;=5,"A+",IF('Data Source'!AG279&gt;=4,"A",IF('Data Source'!AG279&gt;=3.5,"A-",IF('Data Source'!AG279&gt;=3,"B",IF('Data Source'!AG279&gt;=2,"C",IF('Data Source'!AG279&gt;=1,"D","F")))))))</f>
        <v/>
      </c>
      <c r="P279" s="5">
        <f>IF('Data Source'!B279="","",'Data Source'!R279)</f>
        <v/>
      </c>
      <c r="Q279" s="3">
        <f>IF('Data Source'!B279="","",'Data Source'!S279)</f>
        <v/>
      </c>
    </row>
    <row r="280">
      <c r="A280" s="3">
        <f>IF('Data Source'!B280="","",'Data Source'!A280)</f>
        <v/>
      </c>
      <c r="B280">
        <f>IF('Data Source'!B280="","",'Data Source'!B280)</f>
        <v/>
      </c>
      <c r="C280" s="3">
        <f>IF('Data Source'!B280="","",IF('Data Source'!U280&gt;=5,"A+",IF('Data Source'!U280&gt;=4,"A",IF('Data Source'!U280&gt;=3.5,"A-",IF('Data Source'!U280&gt;=3,"B",IF('Data Source'!U280&gt;=2,"C",IF('Data Source'!U280&gt;=1,"D","F")))))))</f>
        <v/>
      </c>
      <c r="D280" s="3">
        <f>IF('Data Source'!B280="","",IF('Data Source'!V280&gt;=5,"A+",IF('Data Source'!V280&gt;=4,"A",IF('Data Source'!V280&gt;=3.5,"A-",IF('Data Source'!V280&gt;=3,"B",IF('Data Source'!V280&gt;=2,"C",IF('Data Source'!V280&gt;=1,"D","F")))))))</f>
        <v/>
      </c>
      <c r="E280" s="3">
        <f>IF('Data Source'!B280="","",IF('Data Source'!W280&gt;=5,"A+",IF('Data Source'!W280&gt;=4,"A",IF('Data Source'!W280&gt;=3.5,"A-",IF('Data Source'!W280&gt;=3,"B",IF('Data Source'!W280&gt;=2,"C",IF('Data Source'!W280&gt;=1,"D","F")))))))</f>
        <v/>
      </c>
      <c r="F280" s="3">
        <f>IF('Data Source'!B280="","",IF('Data Source'!X280&gt;=5,"A+",IF('Data Source'!X280&gt;=4,"A",IF('Data Source'!X280&gt;=3.5,"A-",IF('Data Source'!X280&gt;=3,"B",IF('Data Source'!X280&gt;=2,"C",IF('Data Source'!X280&gt;=1,"D","F")))))))</f>
        <v/>
      </c>
      <c r="G280" s="3">
        <f>IF('Data Source'!B280="","",IF('Data Source'!Y280&gt;=5,"A+",IF('Data Source'!Y280&gt;=4,"A",IF('Data Source'!Y280&gt;=3.5,"A-",IF('Data Source'!Y280&gt;=3,"B",IF('Data Source'!Y280&gt;=2,"C",IF('Data Source'!Y280&gt;=1,"D","F")))))))</f>
        <v/>
      </c>
      <c r="H280" s="3">
        <f>IF('Data Source'!B280="","",IF('Data Source'!Z280&gt;=5,"A+",IF('Data Source'!Z280&gt;=4,"A",IF('Data Source'!Z280&gt;=3.5,"A-",IF('Data Source'!Z280&gt;=3,"B",IF('Data Source'!Z280&gt;=2,"C",IF('Data Source'!Z280&gt;=1,"D","F")))))))</f>
        <v/>
      </c>
      <c r="I280" s="3">
        <f>IF('Data Source'!B280="","",IF('Data Source'!AA280&gt;=5,"A+",IF('Data Source'!AA280&gt;=4,"A",IF('Data Source'!AA280&gt;=3.5,"A-",IF('Data Source'!AA280&gt;=3,"B",IF('Data Source'!AA280&gt;=2,"C",IF('Data Source'!AA280&gt;=1,"D","F")))))))</f>
        <v/>
      </c>
      <c r="J280" s="3">
        <f>IF('Data Source'!B280="","",IF('Data Source'!AB280&gt;=5,"A+",IF('Data Source'!AB280&gt;=4,"A",IF('Data Source'!AB280&gt;=3.5,"A-",IF('Data Source'!AB280&gt;=3,"B",IF('Data Source'!AB280&gt;=2,"C",IF('Data Source'!AB280&gt;=1,"D","F")))))))</f>
        <v/>
      </c>
      <c r="K280" s="3">
        <f>IF('Data Source'!B280="","",IF('Data Source'!AC280&gt;=5,"A+",IF('Data Source'!AC280&gt;=4,"A",IF('Data Source'!AC280&gt;=3.5,"A-",IF('Data Source'!AC280&gt;=3,"B",IF('Data Source'!AC280&gt;=2,"C",IF('Data Source'!AC280&gt;=1,"D","F")))))))</f>
        <v/>
      </c>
      <c r="L280" s="3">
        <f>IF('Data Source'!B280="","",IF('Data Source'!AD280&gt;=5,"A+",IF('Data Source'!AD280&gt;=4,"A",IF('Data Source'!AD280&gt;=3.5,"A-",IF('Data Source'!AD280&gt;=3,"B",IF('Data Source'!AD280&gt;=2,"C",IF('Data Source'!AD280&gt;=1,"D","F")))))))</f>
        <v/>
      </c>
      <c r="M280" s="3">
        <f>IF('Data Source'!B280="","",IF('Data Source'!AE280&gt;=5,"A+",IF('Data Source'!AE280&gt;=4,"A",IF('Data Source'!AE280&gt;=3.5,"A-",IF('Data Source'!AE280&gt;=3,"B",IF('Data Source'!AE280&gt;=2,"C",IF('Data Source'!AE280&gt;=1,"D","F")))))))</f>
        <v/>
      </c>
      <c r="N280" s="3">
        <f>IF('Data Source'!B280="","",IF('Data Source'!AF280&gt;=5,"A+",IF('Data Source'!AF280&gt;=4,"A",IF('Data Source'!AF280&gt;=3.5,"A-",IF('Data Source'!AF280&gt;=3,"B",IF('Data Source'!AF280&gt;=2,"C",IF('Data Source'!AF280&gt;=1,"D","F")))))))</f>
        <v/>
      </c>
      <c r="O280" s="3">
        <f>IF('Data Source'!B280="","",IF('Data Source'!AG280&gt;=5,"A+",IF('Data Source'!AG280&gt;=4,"A",IF('Data Source'!AG280&gt;=3.5,"A-",IF('Data Source'!AG280&gt;=3,"B",IF('Data Source'!AG280&gt;=2,"C",IF('Data Source'!AG280&gt;=1,"D","F")))))))</f>
        <v/>
      </c>
      <c r="P280" s="5">
        <f>IF('Data Source'!B280="","",'Data Source'!R280)</f>
        <v/>
      </c>
      <c r="Q280" s="3">
        <f>IF('Data Source'!B280="","",'Data Source'!S280)</f>
        <v/>
      </c>
    </row>
    <row r="281">
      <c r="A281" s="3">
        <f>IF('Data Source'!B281="","",'Data Source'!A281)</f>
        <v/>
      </c>
      <c r="B281">
        <f>IF('Data Source'!B281="","",'Data Source'!B281)</f>
        <v/>
      </c>
      <c r="C281" s="3">
        <f>IF('Data Source'!B281="","",IF('Data Source'!U281&gt;=5,"A+",IF('Data Source'!U281&gt;=4,"A",IF('Data Source'!U281&gt;=3.5,"A-",IF('Data Source'!U281&gt;=3,"B",IF('Data Source'!U281&gt;=2,"C",IF('Data Source'!U281&gt;=1,"D","F")))))))</f>
        <v/>
      </c>
      <c r="D281" s="3">
        <f>IF('Data Source'!B281="","",IF('Data Source'!V281&gt;=5,"A+",IF('Data Source'!V281&gt;=4,"A",IF('Data Source'!V281&gt;=3.5,"A-",IF('Data Source'!V281&gt;=3,"B",IF('Data Source'!V281&gt;=2,"C",IF('Data Source'!V281&gt;=1,"D","F")))))))</f>
        <v/>
      </c>
      <c r="E281" s="3">
        <f>IF('Data Source'!B281="","",IF('Data Source'!W281&gt;=5,"A+",IF('Data Source'!W281&gt;=4,"A",IF('Data Source'!W281&gt;=3.5,"A-",IF('Data Source'!W281&gt;=3,"B",IF('Data Source'!W281&gt;=2,"C",IF('Data Source'!W281&gt;=1,"D","F")))))))</f>
        <v/>
      </c>
      <c r="F281" s="3">
        <f>IF('Data Source'!B281="","",IF('Data Source'!X281&gt;=5,"A+",IF('Data Source'!X281&gt;=4,"A",IF('Data Source'!X281&gt;=3.5,"A-",IF('Data Source'!X281&gt;=3,"B",IF('Data Source'!X281&gt;=2,"C",IF('Data Source'!X281&gt;=1,"D","F")))))))</f>
        <v/>
      </c>
      <c r="G281" s="3">
        <f>IF('Data Source'!B281="","",IF('Data Source'!Y281&gt;=5,"A+",IF('Data Source'!Y281&gt;=4,"A",IF('Data Source'!Y281&gt;=3.5,"A-",IF('Data Source'!Y281&gt;=3,"B",IF('Data Source'!Y281&gt;=2,"C",IF('Data Source'!Y281&gt;=1,"D","F")))))))</f>
        <v/>
      </c>
      <c r="H281" s="3">
        <f>IF('Data Source'!B281="","",IF('Data Source'!Z281&gt;=5,"A+",IF('Data Source'!Z281&gt;=4,"A",IF('Data Source'!Z281&gt;=3.5,"A-",IF('Data Source'!Z281&gt;=3,"B",IF('Data Source'!Z281&gt;=2,"C",IF('Data Source'!Z281&gt;=1,"D","F")))))))</f>
        <v/>
      </c>
      <c r="I281" s="3">
        <f>IF('Data Source'!B281="","",IF('Data Source'!AA281&gt;=5,"A+",IF('Data Source'!AA281&gt;=4,"A",IF('Data Source'!AA281&gt;=3.5,"A-",IF('Data Source'!AA281&gt;=3,"B",IF('Data Source'!AA281&gt;=2,"C",IF('Data Source'!AA281&gt;=1,"D","F")))))))</f>
        <v/>
      </c>
      <c r="J281" s="3">
        <f>IF('Data Source'!B281="","",IF('Data Source'!AB281&gt;=5,"A+",IF('Data Source'!AB281&gt;=4,"A",IF('Data Source'!AB281&gt;=3.5,"A-",IF('Data Source'!AB281&gt;=3,"B",IF('Data Source'!AB281&gt;=2,"C",IF('Data Source'!AB281&gt;=1,"D","F")))))))</f>
        <v/>
      </c>
      <c r="K281" s="3">
        <f>IF('Data Source'!B281="","",IF('Data Source'!AC281&gt;=5,"A+",IF('Data Source'!AC281&gt;=4,"A",IF('Data Source'!AC281&gt;=3.5,"A-",IF('Data Source'!AC281&gt;=3,"B",IF('Data Source'!AC281&gt;=2,"C",IF('Data Source'!AC281&gt;=1,"D","F")))))))</f>
        <v/>
      </c>
      <c r="L281" s="3">
        <f>IF('Data Source'!B281="","",IF('Data Source'!AD281&gt;=5,"A+",IF('Data Source'!AD281&gt;=4,"A",IF('Data Source'!AD281&gt;=3.5,"A-",IF('Data Source'!AD281&gt;=3,"B",IF('Data Source'!AD281&gt;=2,"C",IF('Data Source'!AD281&gt;=1,"D","F")))))))</f>
        <v/>
      </c>
      <c r="M281" s="3">
        <f>IF('Data Source'!B281="","",IF('Data Source'!AE281&gt;=5,"A+",IF('Data Source'!AE281&gt;=4,"A",IF('Data Source'!AE281&gt;=3.5,"A-",IF('Data Source'!AE281&gt;=3,"B",IF('Data Source'!AE281&gt;=2,"C",IF('Data Source'!AE281&gt;=1,"D","F")))))))</f>
        <v/>
      </c>
      <c r="N281" s="3">
        <f>IF('Data Source'!B281="","",IF('Data Source'!AF281&gt;=5,"A+",IF('Data Source'!AF281&gt;=4,"A",IF('Data Source'!AF281&gt;=3.5,"A-",IF('Data Source'!AF281&gt;=3,"B",IF('Data Source'!AF281&gt;=2,"C",IF('Data Source'!AF281&gt;=1,"D","F")))))))</f>
        <v/>
      </c>
      <c r="O281" s="3">
        <f>IF('Data Source'!B281="","",IF('Data Source'!AG281&gt;=5,"A+",IF('Data Source'!AG281&gt;=4,"A",IF('Data Source'!AG281&gt;=3.5,"A-",IF('Data Source'!AG281&gt;=3,"B",IF('Data Source'!AG281&gt;=2,"C",IF('Data Source'!AG281&gt;=1,"D","F")))))))</f>
        <v/>
      </c>
      <c r="P281" s="5">
        <f>IF('Data Source'!B281="","",'Data Source'!R281)</f>
        <v/>
      </c>
      <c r="Q281" s="3">
        <f>IF('Data Source'!B281="","",'Data Source'!S281)</f>
        <v/>
      </c>
    </row>
    <row r="282">
      <c r="A282" s="3">
        <f>IF('Data Source'!B282="","",'Data Source'!A282)</f>
        <v/>
      </c>
      <c r="B282">
        <f>IF('Data Source'!B282="","",'Data Source'!B282)</f>
        <v/>
      </c>
      <c r="C282" s="3">
        <f>IF('Data Source'!B282="","",IF('Data Source'!U282&gt;=5,"A+",IF('Data Source'!U282&gt;=4,"A",IF('Data Source'!U282&gt;=3.5,"A-",IF('Data Source'!U282&gt;=3,"B",IF('Data Source'!U282&gt;=2,"C",IF('Data Source'!U282&gt;=1,"D","F")))))))</f>
        <v/>
      </c>
      <c r="D282" s="3">
        <f>IF('Data Source'!B282="","",IF('Data Source'!V282&gt;=5,"A+",IF('Data Source'!V282&gt;=4,"A",IF('Data Source'!V282&gt;=3.5,"A-",IF('Data Source'!V282&gt;=3,"B",IF('Data Source'!V282&gt;=2,"C",IF('Data Source'!V282&gt;=1,"D","F")))))))</f>
        <v/>
      </c>
      <c r="E282" s="3">
        <f>IF('Data Source'!B282="","",IF('Data Source'!W282&gt;=5,"A+",IF('Data Source'!W282&gt;=4,"A",IF('Data Source'!W282&gt;=3.5,"A-",IF('Data Source'!W282&gt;=3,"B",IF('Data Source'!W282&gt;=2,"C",IF('Data Source'!W282&gt;=1,"D","F")))))))</f>
        <v/>
      </c>
      <c r="F282" s="3">
        <f>IF('Data Source'!B282="","",IF('Data Source'!X282&gt;=5,"A+",IF('Data Source'!X282&gt;=4,"A",IF('Data Source'!X282&gt;=3.5,"A-",IF('Data Source'!X282&gt;=3,"B",IF('Data Source'!X282&gt;=2,"C",IF('Data Source'!X282&gt;=1,"D","F")))))))</f>
        <v/>
      </c>
      <c r="G282" s="3">
        <f>IF('Data Source'!B282="","",IF('Data Source'!Y282&gt;=5,"A+",IF('Data Source'!Y282&gt;=4,"A",IF('Data Source'!Y282&gt;=3.5,"A-",IF('Data Source'!Y282&gt;=3,"B",IF('Data Source'!Y282&gt;=2,"C",IF('Data Source'!Y282&gt;=1,"D","F")))))))</f>
        <v/>
      </c>
      <c r="H282" s="3">
        <f>IF('Data Source'!B282="","",IF('Data Source'!Z282&gt;=5,"A+",IF('Data Source'!Z282&gt;=4,"A",IF('Data Source'!Z282&gt;=3.5,"A-",IF('Data Source'!Z282&gt;=3,"B",IF('Data Source'!Z282&gt;=2,"C",IF('Data Source'!Z282&gt;=1,"D","F")))))))</f>
        <v/>
      </c>
      <c r="I282" s="3">
        <f>IF('Data Source'!B282="","",IF('Data Source'!AA282&gt;=5,"A+",IF('Data Source'!AA282&gt;=4,"A",IF('Data Source'!AA282&gt;=3.5,"A-",IF('Data Source'!AA282&gt;=3,"B",IF('Data Source'!AA282&gt;=2,"C",IF('Data Source'!AA282&gt;=1,"D","F")))))))</f>
        <v/>
      </c>
      <c r="J282" s="3">
        <f>IF('Data Source'!B282="","",IF('Data Source'!AB282&gt;=5,"A+",IF('Data Source'!AB282&gt;=4,"A",IF('Data Source'!AB282&gt;=3.5,"A-",IF('Data Source'!AB282&gt;=3,"B",IF('Data Source'!AB282&gt;=2,"C",IF('Data Source'!AB282&gt;=1,"D","F")))))))</f>
        <v/>
      </c>
      <c r="K282" s="3">
        <f>IF('Data Source'!B282="","",IF('Data Source'!AC282&gt;=5,"A+",IF('Data Source'!AC282&gt;=4,"A",IF('Data Source'!AC282&gt;=3.5,"A-",IF('Data Source'!AC282&gt;=3,"B",IF('Data Source'!AC282&gt;=2,"C",IF('Data Source'!AC282&gt;=1,"D","F")))))))</f>
        <v/>
      </c>
      <c r="L282" s="3">
        <f>IF('Data Source'!B282="","",IF('Data Source'!AD282&gt;=5,"A+",IF('Data Source'!AD282&gt;=4,"A",IF('Data Source'!AD282&gt;=3.5,"A-",IF('Data Source'!AD282&gt;=3,"B",IF('Data Source'!AD282&gt;=2,"C",IF('Data Source'!AD282&gt;=1,"D","F")))))))</f>
        <v/>
      </c>
      <c r="M282" s="3">
        <f>IF('Data Source'!B282="","",IF('Data Source'!AE282&gt;=5,"A+",IF('Data Source'!AE282&gt;=4,"A",IF('Data Source'!AE282&gt;=3.5,"A-",IF('Data Source'!AE282&gt;=3,"B",IF('Data Source'!AE282&gt;=2,"C",IF('Data Source'!AE282&gt;=1,"D","F")))))))</f>
        <v/>
      </c>
      <c r="N282" s="3">
        <f>IF('Data Source'!B282="","",IF('Data Source'!AF282&gt;=5,"A+",IF('Data Source'!AF282&gt;=4,"A",IF('Data Source'!AF282&gt;=3.5,"A-",IF('Data Source'!AF282&gt;=3,"B",IF('Data Source'!AF282&gt;=2,"C",IF('Data Source'!AF282&gt;=1,"D","F")))))))</f>
        <v/>
      </c>
      <c r="O282" s="3">
        <f>IF('Data Source'!B282="","",IF('Data Source'!AG282&gt;=5,"A+",IF('Data Source'!AG282&gt;=4,"A",IF('Data Source'!AG282&gt;=3.5,"A-",IF('Data Source'!AG282&gt;=3,"B",IF('Data Source'!AG282&gt;=2,"C",IF('Data Source'!AG282&gt;=1,"D","F")))))))</f>
        <v/>
      </c>
      <c r="P282" s="5">
        <f>IF('Data Source'!B282="","",'Data Source'!R282)</f>
        <v/>
      </c>
      <c r="Q282" s="3">
        <f>IF('Data Source'!B282="","",'Data Source'!S282)</f>
        <v/>
      </c>
    </row>
    <row r="283">
      <c r="A283" s="3">
        <f>IF('Data Source'!B283="","",'Data Source'!A283)</f>
        <v/>
      </c>
      <c r="B283">
        <f>IF('Data Source'!B283="","",'Data Source'!B283)</f>
        <v/>
      </c>
      <c r="C283" s="3">
        <f>IF('Data Source'!B283="","",IF('Data Source'!U283&gt;=5,"A+",IF('Data Source'!U283&gt;=4,"A",IF('Data Source'!U283&gt;=3.5,"A-",IF('Data Source'!U283&gt;=3,"B",IF('Data Source'!U283&gt;=2,"C",IF('Data Source'!U283&gt;=1,"D","F")))))))</f>
        <v/>
      </c>
      <c r="D283" s="3">
        <f>IF('Data Source'!B283="","",IF('Data Source'!V283&gt;=5,"A+",IF('Data Source'!V283&gt;=4,"A",IF('Data Source'!V283&gt;=3.5,"A-",IF('Data Source'!V283&gt;=3,"B",IF('Data Source'!V283&gt;=2,"C",IF('Data Source'!V283&gt;=1,"D","F")))))))</f>
        <v/>
      </c>
      <c r="E283" s="3">
        <f>IF('Data Source'!B283="","",IF('Data Source'!W283&gt;=5,"A+",IF('Data Source'!W283&gt;=4,"A",IF('Data Source'!W283&gt;=3.5,"A-",IF('Data Source'!W283&gt;=3,"B",IF('Data Source'!W283&gt;=2,"C",IF('Data Source'!W283&gt;=1,"D","F")))))))</f>
        <v/>
      </c>
      <c r="F283" s="3">
        <f>IF('Data Source'!B283="","",IF('Data Source'!X283&gt;=5,"A+",IF('Data Source'!X283&gt;=4,"A",IF('Data Source'!X283&gt;=3.5,"A-",IF('Data Source'!X283&gt;=3,"B",IF('Data Source'!X283&gt;=2,"C",IF('Data Source'!X283&gt;=1,"D","F")))))))</f>
        <v/>
      </c>
      <c r="G283" s="3">
        <f>IF('Data Source'!B283="","",IF('Data Source'!Y283&gt;=5,"A+",IF('Data Source'!Y283&gt;=4,"A",IF('Data Source'!Y283&gt;=3.5,"A-",IF('Data Source'!Y283&gt;=3,"B",IF('Data Source'!Y283&gt;=2,"C",IF('Data Source'!Y283&gt;=1,"D","F")))))))</f>
        <v/>
      </c>
      <c r="H283" s="3">
        <f>IF('Data Source'!B283="","",IF('Data Source'!Z283&gt;=5,"A+",IF('Data Source'!Z283&gt;=4,"A",IF('Data Source'!Z283&gt;=3.5,"A-",IF('Data Source'!Z283&gt;=3,"B",IF('Data Source'!Z283&gt;=2,"C",IF('Data Source'!Z283&gt;=1,"D","F")))))))</f>
        <v/>
      </c>
      <c r="I283" s="3">
        <f>IF('Data Source'!B283="","",IF('Data Source'!AA283&gt;=5,"A+",IF('Data Source'!AA283&gt;=4,"A",IF('Data Source'!AA283&gt;=3.5,"A-",IF('Data Source'!AA283&gt;=3,"B",IF('Data Source'!AA283&gt;=2,"C",IF('Data Source'!AA283&gt;=1,"D","F")))))))</f>
        <v/>
      </c>
      <c r="J283" s="3">
        <f>IF('Data Source'!B283="","",IF('Data Source'!AB283&gt;=5,"A+",IF('Data Source'!AB283&gt;=4,"A",IF('Data Source'!AB283&gt;=3.5,"A-",IF('Data Source'!AB283&gt;=3,"B",IF('Data Source'!AB283&gt;=2,"C",IF('Data Source'!AB283&gt;=1,"D","F")))))))</f>
        <v/>
      </c>
      <c r="K283" s="3">
        <f>IF('Data Source'!B283="","",IF('Data Source'!AC283&gt;=5,"A+",IF('Data Source'!AC283&gt;=4,"A",IF('Data Source'!AC283&gt;=3.5,"A-",IF('Data Source'!AC283&gt;=3,"B",IF('Data Source'!AC283&gt;=2,"C",IF('Data Source'!AC283&gt;=1,"D","F")))))))</f>
        <v/>
      </c>
      <c r="L283" s="3">
        <f>IF('Data Source'!B283="","",IF('Data Source'!AD283&gt;=5,"A+",IF('Data Source'!AD283&gt;=4,"A",IF('Data Source'!AD283&gt;=3.5,"A-",IF('Data Source'!AD283&gt;=3,"B",IF('Data Source'!AD283&gt;=2,"C",IF('Data Source'!AD283&gt;=1,"D","F")))))))</f>
        <v/>
      </c>
      <c r="M283" s="3">
        <f>IF('Data Source'!B283="","",IF('Data Source'!AE283&gt;=5,"A+",IF('Data Source'!AE283&gt;=4,"A",IF('Data Source'!AE283&gt;=3.5,"A-",IF('Data Source'!AE283&gt;=3,"B",IF('Data Source'!AE283&gt;=2,"C",IF('Data Source'!AE283&gt;=1,"D","F")))))))</f>
        <v/>
      </c>
      <c r="N283" s="3">
        <f>IF('Data Source'!B283="","",IF('Data Source'!AF283&gt;=5,"A+",IF('Data Source'!AF283&gt;=4,"A",IF('Data Source'!AF283&gt;=3.5,"A-",IF('Data Source'!AF283&gt;=3,"B",IF('Data Source'!AF283&gt;=2,"C",IF('Data Source'!AF283&gt;=1,"D","F")))))))</f>
        <v/>
      </c>
      <c r="O283" s="3">
        <f>IF('Data Source'!B283="","",IF('Data Source'!AG283&gt;=5,"A+",IF('Data Source'!AG283&gt;=4,"A",IF('Data Source'!AG283&gt;=3.5,"A-",IF('Data Source'!AG283&gt;=3,"B",IF('Data Source'!AG283&gt;=2,"C",IF('Data Source'!AG283&gt;=1,"D","F")))))))</f>
        <v/>
      </c>
      <c r="P283" s="5">
        <f>IF('Data Source'!B283="","",'Data Source'!R283)</f>
        <v/>
      </c>
      <c r="Q283" s="3">
        <f>IF('Data Source'!B283="","",'Data Source'!S283)</f>
        <v/>
      </c>
    </row>
    <row r="284">
      <c r="A284" s="3">
        <f>IF('Data Source'!B284="","",'Data Source'!A284)</f>
        <v/>
      </c>
      <c r="B284">
        <f>IF('Data Source'!B284="","",'Data Source'!B284)</f>
        <v/>
      </c>
      <c r="C284" s="3">
        <f>IF('Data Source'!B284="","",IF('Data Source'!U284&gt;=5,"A+",IF('Data Source'!U284&gt;=4,"A",IF('Data Source'!U284&gt;=3.5,"A-",IF('Data Source'!U284&gt;=3,"B",IF('Data Source'!U284&gt;=2,"C",IF('Data Source'!U284&gt;=1,"D","F")))))))</f>
        <v/>
      </c>
      <c r="D284" s="3">
        <f>IF('Data Source'!B284="","",IF('Data Source'!V284&gt;=5,"A+",IF('Data Source'!V284&gt;=4,"A",IF('Data Source'!V284&gt;=3.5,"A-",IF('Data Source'!V284&gt;=3,"B",IF('Data Source'!V284&gt;=2,"C",IF('Data Source'!V284&gt;=1,"D","F")))))))</f>
        <v/>
      </c>
      <c r="E284" s="3">
        <f>IF('Data Source'!B284="","",IF('Data Source'!W284&gt;=5,"A+",IF('Data Source'!W284&gt;=4,"A",IF('Data Source'!W284&gt;=3.5,"A-",IF('Data Source'!W284&gt;=3,"B",IF('Data Source'!W284&gt;=2,"C",IF('Data Source'!W284&gt;=1,"D","F")))))))</f>
        <v/>
      </c>
      <c r="F284" s="3">
        <f>IF('Data Source'!B284="","",IF('Data Source'!X284&gt;=5,"A+",IF('Data Source'!X284&gt;=4,"A",IF('Data Source'!X284&gt;=3.5,"A-",IF('Data Source'!X284&gt;=3,"B",IF('Data Source'!X284&gt;=2,"C",IF('Data Source'!X284&gt;=1,"D","F")))))))</f>
        <v/>
      </c>
      <c r="G284" s="3">
        <f>IF('Data Source'!B284="","",IF('Data Source'!Y284&gt;=5,"A+",IF('Data Source'!Y284&gt;=4,"A",IF('Data Source'!Y284&gt;=3.5,"A-",IF('Data Source'!Y284&gt;=3,"B",IF('Data Source'!Y284&gt;=2,"C",IF('Data Source'!Y284&gt;=1,"D","F")))))))</f>
        <v/>
      </c>
      <c r="H284" s="3">
        <f>IF('Data Source'!B284="","",IF('Data Source'!Z284&gt;=5,"A+",IF('Data Source'!Z284&gt;=4,"A",IF('Data Source'!Z284&gt;=3.5,"A-",IF('Data Source'!Z284&gt;=3,"B",IF('Data Source'!Z284&gt;=2,"C",IF('Data Source'!Z284&gt;=1,"D","F")))))))</f>
        <v/>
      </c>
      <c r="I284" s="3">
        <f>IF('Data Source'!B284="","",IF('Data Source'!AA284&gt;=5,"A+",IF('Data Source'!AA284&gt;=4,"A",IF('Data Source'!AA284&gt;=3.5,"A-",IF('Data Source'!AA284&gt;=3,"B",IF('Data Source'!AA284&gt;=2,"C",IF('Data Source'!AA284&gt;=1,"D","F")))))))</f>
        <v/>
      </c>
      <c r="J284" s="3">
        <f>IF('Data Source'!B284="","",IF('Data Source'!AB284&gt;=5,"A+",IF('Data Source'!AB284&gt;=4,"A",IF('Data Source'!AB284&gt;=3.5,"A-",IF('Data Source'!AB284&gt;=3,"B",IF('Data Source'!AB284&gt;=2,"C",IF('Data Source'!AB284&gt;=1,"D","F")))))))</f>
        <v/>
      </c>
      <c r="K284" s="3">
        <f>IF('Data Source'!B284="","",IF('Data Source'!AC284&gt;=5,"A+",IF('Data Source'!AC284&gt;=4,"A",IF('Data Source'!AC284&gt;=3.5,"A-",IF('Data Source'!AC284&gt;=3,"B",IF('Data Source'!AC284&gt;=2,"C",IF('Data Source'!AC284&gt;=1,"D","F")))))))</f>
        <v/>
      </c>
      <c r="L284" s="3">
        <f>IF('Data Source'!B284="","",IF('Data Source'!AD284&gt;=5,"A+",IF('Data Source'!AD284&gt;=4,"A",IF('Data Source'!AD284&gt;=3.5,"A-",IF('Data Source'!AD284&gt;=3,"B",IF('Data Source'!AD284&gt;=2,"C",IF('Data Source'!AD284&gt;=1,"D","F")))))))</f>
        <v/>
      </c>
      <c r="M284" s="3">
        <f>IF('Data Source'!B284="","",IF('Data Source'!AE284&gt;=5,"A+",IF('Data Source'!AE284&gt;=4,"A",IF('Data Source'!AE284&gt;=3.5,"A-",IF('Data Source'!AE284&gt;=3,"B",IF('Data Source'!AE284&gt;=2,"C",IF('Data Source'!AE284&gt;=1,"D","F")))))))</f>
        <v/>
      </c>
      <c r="N284" s="3">
        <f>IF('Data Source'!B284="","",IF('Data Source'!AF284&gt;=5,"A+",IF('Data Source'!AF284&gt;=4,"A",IF('Data Source'!AF284&gt;=3.5,"A-",IF('Data Source'!AF284&gt;=3,"B",IF('Data Source'!AF284&gt;=2,"C",IF('Data Source'!AF284&gt;=1,"D","F")))))))</f>
        <v/>
      </c>
      <c r="O284" s="3">
        <f>IF('Data Source'!B284="","",IF('Data Source'!AG284&gt;=5,"A+",IF('Data Source'!AG284&gt;=4,"A",IF('Data Source'!AG284&gt;=3.5,"A-",IF('Data Source'!AG284&gt;=3,"B",IF('Data Source'!AG284&gt;=2,"C",IF('Data Source'!AG284&gt;=1,"D","F")))))))</f>
        <v/>
      </c>
      <c r="P284" s="5">
        <f>IF('Data Source'!B284="","",'Data Source'!R284)</f>
        <v/>
      </c>
      <c r="Q284" s="3">
        <f>IF('Data Source'!B284="","",'Data Source'!S284)</f>
        <v/>
      </c>
    </row>
    <row r="285">
      <c r="A285" s="3">
        <f>IF('Data Source'!B285="","",'Data Source'!A285)</f>
        <v/>
      </c>
      <c r="B285">
        <f>IF('Data Source'!B285="","",'Data Source'!B285)</f>
        <v/>
      </c>
      <c r="C285" s="3">
        <f>IF('Data Source'!B285="","",IF('Data Source'!U285&gt;=5,"A+",IF('Data Source'!U285&gt;=4,"A",IF('Data Source'!U285&gt;=3.5,"A-",IF('Data Source'!U285&gt;=3,"B",IF('Data Source'!U285&gt;=2,"C",IF('Data Source'!U285&gt;=1,"D","F")))))))</f>
        <v/>
      </c>
      <c r="D285" s="3">
        <f>IF('Data Source'!B285="","",IF('Data Source'!V285&gt;=5,"A+",IF('Data Source'!V285&gt;=4,"A",IF('Data Source'!V285&gt;=3.5,"A-",IF('Data Source'!V285&gt;=3,"B",IF('Data Source'!V285&gt;=2,"C",IF('Data Source'!V285&gt;=1,"D","F")))))))</f>
        <v/>
      </c>
      <c r="E285" s="3">
        <f>IF('Data Source'!B285="","",IF('Data Source'!W285&gt;=5,"A+",IF('Data Source'!W285&gt;=4,"A",IF('Data Source'!W285&gt;=3.5,"A-",IF('Data Source'!W285&gt;=3,"B",IF('Data Source'!W285&gt;=2,"C",IF('Data Source'!W285&gt;=1,"D","F")))))))</f>
        <v/>
      </c>
      <c r="F285" s="3">
        <f>IF('Data Source'!B285="","",IF('Data Source'!X285&gt;=5,"A+",IF('Data Source'!X285&gt;=4,"A",IF('Data Source'!X285&gt;=3.5,"A-",IF('Data Source'!X285&gt;=3,"B",IF('Data Source'!X285&gt;=2,"C",IF('Data Source'!X285&gt;=1,"D","F")))))))</f>
        <v/>
      </c>
      <c r="G285" s="3">
        <f>IF('Data Source'!B285="","",IF('Data Source'!Y285&gt;=5,"A+",IF('Data Source'!Y285&gt;=4,"A",IF('Data Source'!Y285&gt;=3.5,"A-",IF('Data Source'!Y285&gt;=3,"B",IF('Data Source'!Y285&gt;=2,"C",IF('Data Source'!Y285&gt;=1,"D","F")))))))</f>
        <v/>
      </c>
      <c r="H285" s="3">
        <f>IF('Data Source'!B285="","",IF('Data Source'!Z285&gt;=5,"A+",IF('Data Source'!Z285&gt;=4,"A",IF('Data Source'!Z285&gt;=3.5,"A-",IF('Data Source'!Z285&gt;=3,"B",IF('Data Source'!Z285&gt;=2,"C",IF('Data Source'!Z285&gt;=1,"D","F")))))))</f>
        <v/>
      </c>
      <c r="I285" s="3">
        <f>IF('Data Source'!B285="","",IF('Data Source'!AA285&gt;=5,"A+",IF('Data Source'!AA285&gt;=4,"A",IF('Data Source'!AA285&gt;=3.5,"A-",IF('Data Source'!AA285&gt;=3,"B",IF('Data Source'!AA285&gt;=2,"C",IF('Data Source'!AA285&gt;=1,"D","F")))))))</f>
        <v/>
      </c>
      <c r="J285" s="3">
        <f>IF('Data Source'!B285="","",IF('Data Source'!AB285&gt;=5,"A+",IF('Data Source'!AB285&gt;=4,"A",IF('Data Source'!AB285&gt;=3.5,"A-",IF('Data Source'!AB285&gt;=3,"B",IF('Data Source'!AB285&gt;=2,"C",IF('Data Source'!AB285&gt;=1,"D","F")))))))</f>
        <v/>
      </c>
      <c r="K285" s="3">
        <f>IF('Data Source'!B285="","",IF('Data Source'!AC285&gt;=5,"A+",IF('Data Source'!AC285&gt;=4,"A",IF('Data Source'!AC285&gt;=3.5,"A-",IF('Data Source'!AC285&gt;=3,"B",IF('Data Source'!AC285&gt;=2,"C",IF('Data Source'!AC285&gt;=1,"D","F")))))))</f>
        <v/>
      </c>
      <c r="L285" s="3">
        <f>IF('Data Source'!B285="","",IF('Data Source'!AD285&gt;=5,"A+",IF('Data Source'!AD285&gt;=4,"A",IF('Data Source'!AD285&gt;=3.5,"A-",IF('Data Source'!AD285&gt;=3,"B",IF('Data Source'!AD285&gt;=2,"C",IF('Data Source'!AD285&gt;=1,"D","F")))))))</f>
        <v/>
      </c>
      <c r="M285" s="3">
        <f>IF('Data Source'!B285="","",IF('Data Source'!AE285&gt;=5,"A+",IF('Data Source'!AE285&gt;=4,"A",IF('Data Source'!AE285&gt;=3.5,"A-",IF('Data Source'!AE285&gt;=3,"B",IF('Data Source'!AE285&gt;=2,"C",IF('Data Source'!AE285&gt;=1,"D","F")))))))</f>
        <v/>
      </c>
      <c r="N285" s="3">
        <f>IF('Data Source'!B285="","",IF('Data Source'!AF285&gt;=5,"A+",IF('Data Source'!AF285&gt;=4,"A",IF('Data Source'!AF285&gt;=3.5,"A-",IF('Data Source'!AF285&gt;=3,"B",IF('Data Source'!AF285&gt;=2,"C",IF('Data Source'!AF285&gt;=1,"D","F")))))))</f>
        <v/>
      </c>
      <c r="O285" s="3">
        <f>IF('Data Source'!B285="","",IF('Data Source'!AG285&gt;=5,"A+",IF('Data Source'!AG285&gt;=4,"A",IF('Data Source'!AG285&gt;=3.5,"A-",IF('Data Source'!AG285&gt;=3,"B",IF('Data Source'!AG285&gt;=2,"C",IF('Data Source'!AG285&gt;=1,"D","F")))))))</f>
        <v/>
      </c>
      <c r="P285" s="5">
        <f>IF('Data Source'!B285="","",'Data Source'!R285)</f>
        <v/>
      </c>
      <c r="Q285" s="3">
        <f>IF('Data Source'!B285="","",'Data Source'!S285)</f>
        <v/>
      </c>
    </row>
    <row r="286">
      <c r="A286" s="3">
        <f>IF('Data Source'!B286="","",'Data Source'!A286)</f>
        <v/>
      </c>
      <c r="B286">
        <f>IF('Data Source'!B286="","",'Data Source'!B286)</f>
        <v/>
      </c>
      <c r="C286" s="3">
        <f>IF('Data Source'!B286="","",IF('Data Source'!U286&gt;=5,"A+",IF('Data Source'!U286&gt;=4,"A",IF('Data Source'!U286&gt;=3.5,"A-",IF('Data Source'!U286&gt;=3,"B",IF('Data Source'!U286&gt;=2,"C",IF('Data Source'!U286&gt;=1,"D","F")))))))</f>
        <v/>
      </c>
      <c r="D286" s="3">
        <f>IF('Data Source'!B286="","",IF('Data Source'!V286&gt;=5,"A+",IF('Data Source'!V286&gt;=4,"A",IF('Data Source'!V286&gt;=3.5,"A-",IF('Data Source'!V286&gt;=3,"B",IF('Data Source'!V286&gt;=2,"C",IF('Data Source'!V286&gt;=1,"D","F")))))))</f>
        <v/>
      </c>
      <c r="E286" s="3">
        <f>IF('Data Source'!B286="","",IF('Data Source'!W286&gt;=5,"A+",IF('Data Source'!W286&gt;=4,"A",IF('Data Source'!W286&gt;=3.5,"A-",IF('Data Source'!W286&gt;=3,"B",IF('Data Source'!W286&gt;=2,"C",IF('Data Source'!W286&gt;=1,"D","F")))))))</f>
        <v/>
      </c>
      <c r="F286" s="3">
        <f>IF('Data Source'!B286="","",IF('Data Source'!X286&gt;=5,"A+",IF('Data Source'!X286&gt;=4,"A",IF('Data Source'!X286&gt;=3.5,"A-",IF('Data Source'!X286&gt;=3,"B",IF('Data Source'!X286&gt;=2,"C",IF('Data Source'!X286&gt;=1,"D","F")))))))</f>
        <v/>
      </c>
      <c r="G286" s="3">
        <f>IF('Data Source'!B286="","",IF('Data Source'!Y286&gt;=5,"A+",IF('Data Source'!Y286&gt;=4,"A",IF('Data Source'!Y286&gt;=3.5,"A-",IF('Data Source'!Y286&gt;=3,"B",IF('Data Source'!Y286&gt;=2,"C",IF('Data Source'!Y286&gt;=1,"D","F")))))))</f>
        <v/>
      </c>
      <c r="H286" s="3">
        <f>IF('Data Source'!B286="","",IF('Data Source'!Z286&gt;=5,"A+",IF('Data Source'!Z286&gt;=4,"A",IF('Data Source'!Z286&gt;=3.5,"A-",IF('Data Source'!Z286&gt;=3,"B",IF('Data Source'!Z286&gt;=2,"C",IF('Data Source'!Z286&gt;=1,"D","F")))))))</f>
        <v/>
      </c>
      <c r="I286" s="3">
        <f>IF('Data Source'!B286="","",IF('Data Source'!AA286&gt;=5,"A+",IF('Data Source'!AA286&gt;=4,"A",IF('Data Source'!AA286&gt;=3.5,"A-",IF('Data Source'!AA286&gt;=3,"B",IF('Data Source'!AA286&gt;=2,"C",IF('Data Source'!AA286&gt;=1,"D","F")))))))</f>
        <v/>
      </c>
      <c r="J286" s="3">
        <f>IF('Data Source'!B286="","",IF('Data Source'!AB286&gt;=5,"A+",IF('Data Source'!AB286&gt;=4,"A",IF('Data Source'!AB286&gt;=3.5,"A-",IF('Data Source'!AB286&gt;=3,"B",IF('Data Source'!AB286&gt;=2,"C",IF('Data Source'!AB286&gt;=1,"D","F")))))))</f>
        <v/>
      </c>
      <c r="K286" s="3">
        <f>IF('Data Source'!B286="","",IF('Data Source'!AC286&gt;=5,"A+",IF('Data Source'!AC286&gt;=4,"A",IF('Data Source'!AC286&gt;=3.5,"A-",IF('Data Source'!AC286&gt;=3,"B",IF('Data Source'!AC286&gt;=2,"C",IF('Data Source'!AC286&gt;=1,"D","F")))))))</f>
        <v/>
      </c>
      <c r="L286" s="3">
        <f>IF('Data Source'!B286="","",IF('Data Source'!AD286&gt;=5,"A+",IF('Data Source'!AD286&gt;=4,"A",IF('Data Source'!AD286&gt;=3.5,"A-",IF('Data Source'!AD286&gt;=3,"B",IF('Data Source'!AD286&gt;=2,"C",IF('Data Source'!AD286&gt;=1,"D","F")))))))</f>
        <v/>
      </c>
      <c r="M286" s="3">
        <f>IF('Data Source'!B286="","",IF('Data Source'!AE286&gt;=5,"A+",IF('Data Source'!AE286&gt;=4,"A",IF('Data Source'!AE286&gt;=3.5,"A-",IF('Data Source'!AE286&gt;=3,"B",IF('Data Source'!AE286&gt;=2,"C",IF('Data Source'!AE286&gt;=1,"D","F")))))))</f>
        <v/>
      </c>
      <c r="N286" s="3">
        <f>IF('Data Source'!B286="","",IF('Data Source'!AF286&gt;=5,"A+",IF('Data Source'!AF286&gt;=4,"A",IF('Data Source'!AF286&gt;=3.5,"A-",IF('Data Source'!AF286&gt;=3,"B",IF('Data Source'!AF286&gt;=2,"C",IF('Data Source'!AF286&gt;=1,"D","F")))))))</f>
        <v/>
      </c>
      <c r="O286" s="3">
        <f>IF('Data Source'!B286="","",IF('Data Source'!AG286&gt;=5,"A+",IF('Data Source'!AG286&gt;=4,"A",IF('Data Source'!AG286&gt;=3.5,"A-",IF('Data Source'!AG286&gt;=3,"B",IF('Data Source'!AG286&gt;=2,"C",IF('Data Source'!AG286&gt;=1,"D","F")))))))</f>
        <v/>
      </c>
      <c r="P286" s="5">
        <f>IF('Data Source'!B286="","",'Data Source'!R286)</f>
        <v/>
      </c>
      <c r="Q286" s="3">
        <f>IF('Data Source'!B286="","",'Data Source'!S286)</f>
        <v/>
      </c>
    </row>
    <row r="287">
      <c r="A287" s="3">
        <f>IF('Data Source'!B287="","",'Data Source'!A287)</f>
        <v/>
      </c>
      <c r="B287">
        <f>IF('Data Source'!B287="","",'Data Source'!B287)</f>
        <v/>
      </c>
      <c r="C287" s="3">
        <f>IF('Data Source'!B287="","",IF('Data Source'!U287&gt;=5,"A+",IF('Data Source'!U287&gt;=4,"A",IF('Data Source'!U287&gt;=3.5,"A-",IF('Data Source'!U287&gt;=3,"B",IF('Data Source'!U287&gt;=2,"C",IF('Data Source'!U287&gt;=1,"D","F")))))))</f>
        <v/>
      </c>
      <c r="D287" s="3">
        <f>IF('Data Source'!B287="","",IF('Data Source'!V287&gt;=5,"A+",IF('Data Source'!V287&gt;=4,"A",IF('Data Source'!V287&gt;=3.5,"A-",IF('Data Source'!V287&gt;=3,"B",IF('Data Source'!V287&gt;=2,"C",IF('Data Source'!V287&gt;=1,"D","F")))))))</f>
        <v/>
      </c>
      <c r="E287" s="3">
        <f>IF('Data Source'!B287="","",IF('Data Source'!W287&gt;=5,"A+",IF('Data Source'!W287&gt;=4,"A",IF('Data Source'!W287&gt;=3.5,"A-",IF('Data Source'!W287&gt;=3,"B",IF('Data Source'!W287&gt;=2,"C",IF('Data Source'!W287&gt;=1,"D","F")))))))</f>
        <v/>
      </c>
      <c r="F287" s="3">
        <f>IF('Data Source'!B287="","",IF('Data Source'!X287&gt;=5,"A+",IF('Data Source'!X287&gt;=4,"A",IF('Data Source'!X287&gt;=3.5,"A-",IF('Data Source'!X287&gt;=3,"B",IF('Data Source'!X287&gt;=2,"C",IF('Data Source'!X287&gt;=1,"D","F")))))))</f>
        <v/>
      </c>
      <c r="G287" s="3">
        <f>IF('Data Source'!B287="","",IF('Data Source'!Y287&gt;=5,"A+",IF('Data Source'!Y287&gt;=4,"A",IF('Data Source'!Y287&gt;=3.5,"A-",IF('Data Source'!Y287&gt;=3,"B",IF('Data Source'!Y287&gt;=2,"C",IF('Data Source'!Y287&gt;=1,"D","F")))))))</f>
        <v/>
      </c>
      <c r="H287" s="3">
        <f>IF('Data Source'!B287="","",IF('Data Source'!Z287&gt;=5,"A+",IF('Data Source'!Z287&gt;=4,"A",IF('Data Source'!Z287&gt;=3.5,"A-",IF('Data Source'!Z287&gt;=3,"B",IF('Data Source'!Z287&gt;=2,"C",IF('Data Source'!Z287&gt;=1,"D","F")))))))</f>
        <v/>
      </c>
      <c r="I287" s="3">
        <f>IF('Data Source'!B287="","",IF('Data Source'!AA287&gt;=5,"A+",IF('Data Source'!AA287&gt;=4,"A",IF('Data Source'!AA287&gt;=3.5,"A-",IF('Data Source'!AA287&gt;=3,"B",IF('Data Source'!AA287&gt;=2,"C",IF('Data Source'!AA287&gt;=1,"D","F")))))))</f>
        <v/>
      </c>
      <c r="J287" s="3">
        <f>IF('Data Source'!B287="","",IF('Data Source'!AB287&gt;=5,"A+",IF('Data Source'!AB287&gt;=4,"A",IF('Data Source'!AB287&gt;=3.5,"A-",IF('Data Source'!AB287&gt;=3,"B",IF('Data Source'!AB287&gt;=2,"C",IF('Data Source'!AB287&gt;=1,"D","F")))))))</f>
        <v/>
      </c>
      <c r="K287" s="3">
        <f>IF('Data Source'!B287="","",IF('Data Source'!AC287&gt;=5,"A+",IF('Data Source'!AC287&gt;=4,"A",IF('Data Source'!AC287&gt;=3.5,"A-",IF('Data Source'!AC287&gt;=3,"B",IF('Data Source'!AC287&gt;=2,"C",IF('Data Source'!AC287&gt;=1,"D","F")))))))</f>
        <v/>
      </c>
      <c r="L287" s="3">
        <f>IF('Data Source'!B287="","",IF('Data Source'!AD287&gt;=5,"A+",IF('Data Source'!AD287&gt;=4,"A",IF('Data Source'!AD287&gt;=3.5,"A-",IF('Data Source'!AD287&gt;=3,"B",IF('Data Source'!AD287&gt;=2,"C",IF('Data Source'!AD287&gt;=1,"D","F")))))))</f>
        <v/>
      </c>
      <c r="M287" s="3">
        <f>IF('Data Source'!B287="","",IF('Data Source'!AE287&gt;=5,"A+",IF('Data Source'!AE287&gt;=4,"A",IF('Data Source'!AE287&gt;=3.5,"A-",IF('Data Source'!AE287&gt;=3,"B",IF('Data Source'!AE287&gt;=2,"C",IF('Data Source'!AE287&gt;=1,"D","F")))))))</f>
        <v/>
      </c>
      <c r="N287" s="3">
        <f>IF('Data Source'!B287="","",IF('Data Source'!AF287&gt;=5,"A+",IF('Data Source'!AF287&gt;=4,"A",IF('Data Source'!AF287&gt;=3.5,"A-",IF('Data Source'!AF287&gt;=3,"B",IF('Data Source'!AF287&gt;=2,"C",IF('Data Source'!AF287&gt;=1,"D","F")))))))</f>
        <v/>
      </c>
      <c r="O287" s="3">
        <f>IF('Data Source'!B287="","",IF('Data Source'!AG287&gt;=5,"A+",IF('Data Source'!AG287&gt;=4,"A",IF('Data Source'!AG287&gt;=3.5,"A-",IF('Data Source'!AG287&gt;=3,"B",IF('Data Source'!AG287&gt;=2,"C",IF('Data Source'!AG287&gt;=1,"D","F")))))))</f>
        <v/>
      </c>
      <c r="P287" s="5">
        <f>IF('Data Source'!B287="","",'Data Source'!R287)</f>
        <v/>
      </c>
      <c r="Q287" s="3">
        <f>IF('Data Source'!B287="","",'Data Source'!S287)</f>
        <v/>
      </c>
    </row>
    <row r="288">
      <c r="A288" s="3">
        <f>IF('Data Source'!B288="","",'Data Source'!A288)</f>
        <v/>
      </c>
      <c r="B288">
        <f>IF('Data Source'!B288="","",'Data Source'!B288)</f>
        <v/>
      </c>
      <c r="C288" s="3">
        <f>IF('Data Source'!B288="","",IF('Data Source'!U288&gt;=5,"A+",IF('Data Source'!U288&gt;=4,"A",IF('Data Source'!U288&gt;=3.5,"A-",IF('Data Source'!U288&gt;=3,"B",IF('Data Source'!U288&gt;=2,"C",IF('Data Source'!U288&gt;=1,"D","F")))))))</f>
        <v/>
      </c>
      <c r="D288" s="3">
        <f>IF('Data Source'!B288="","",IF('Data Source'!V288&gt;=5,"A+",IF('Data Source'!V288&gt;=4,"A",IF('Data Source'!V288&gt;=3.5,"A-",IF('Data Source'!V288&gt;=3,"B",IF('Data Source'!V288&gt;=2,"C",IF('Data Source'!V288&gt;=1,"D","F")))))))</f>
        <v/>
      </c>
      <c r="E288" s="3">
        <f>IF('Data Source'!B288="","",IF('Data Source'!W288&gt;=5,"A+",IF('Data Source'!W288&gt;=4,"A",IF('Data Source'!W288&gt;=3.5,"A-",IF('Data Source'!W288&gt;=3,"B",IF('Data Source'!W288&gt;=2,"C",IF('Data Source'!W288&gt;=1,"D","F")))))))</f>
        <v/>
      </c>
      <c r="F288" s="3">
        <f>IF('Data Source'!B288="","",IF('Data Source'!X288&gt;=5,"A+",IF('Data Source'!X288&gt;=4,"A",IF('Data Source'!X288&gt;=3.5,"A-",IF('Data Source'!X288&gt;=3,"B",IF('Data Source'!X288&gt;=2,"C",IF('Data Source'!X288&gt;=1,"D","F")))))))</f>
        <v/>
      </c>
      <c r="G288" s="3">
        <f>IF('Data Source'!B288="","",IF('Data Source'!Y288&gt;=5,"A+",IF('Data Source'!Y288&gt;=4,"A",IF('Data Source'!Y288&gt;=3.5,"A-",IF('Data Source'!Y288&gt;=3,"B",IF('Data Source'!Y288&gt;=2,"C",IF('Data Source'!Y288&gt;=1,"D","F")))))))</f>
        <v/>
      </c>
      <c r="H288" s="3">
        <f>IF('Data Source'!B288="","",IF('Data Source'!Z288&gt;=5,"A+",IF('Data Source'!Z288&gt;=4,"A",IF('Data Source'!Z288&gt;=3.5,"A-",IF('Data Source'!Z288&gt;=3,"B",IF('Data Source'!Z288&gt;=2,"C",IF('Data Source'!Z288&gt;=1,"D","F")))))))</f>
        <v/>
      </c>
      <c r="I288" s="3">
        <f>IF('Data Source'!B288="","",IF('Data Source'!AA288&gt;=5,"A+",IF('Data Source'!AA288&gt;=4,"A",IF('Data Source'!AA288&gt;=3.5,"A-",IF('Data Source'!AA288&gt;=3,"B",IF('Data Source'!AA288&gt;=2,"C",IF('Data Source'!AA288&gt;=1,"D","F")))))))</f>
        <v/>
      </c>
      <c r="J288" s="3">
        <f>IF('Data Source'!B288="","",IF('Data Source'!AB288&gt;=5,"A+",IF('Data Source'!AB288&gt;=4,"A",IF('Data Source'!AB288&gt;=3.5,"A-",IF('Data Source'!AB288&gt;=3,"B",IF('Data Source'!AB288&gt;=2,"C",IF('Data Source'!AB288&gt;=1,"D","F")))))))</f>
        <v/>
      </c>
      <c r="K288" s="3">
        <f>IF('Data Source'!B288="","",IF('Data Source'!AC288&gt;=5,"A+",IF('Data Source'!AC288&gt;=4,"A",IF('Data Source'!AC288&gt;=3.5,"A-",IF('Data Source'!AC288&gt;=3,"B",IF('Data Source'!AC288&gt;=2,"C",IF('Data Source'!AC288&gt;=1,"D","F")))))))</f>
        <v/>
      </c>
      <c r="L288" s="3">
        <f>IF('Data Source'!B288="","",IF('Data Source'!AD288&gt;=5,"A+",IF('Data Source'!AD288&gt;=4,"A",IF('Data Source'!AD288&gt;=3.5,"A-",IF('Data Source'!AD288&gt;=3,"B",IF('Data Source'!AD288&gt;=2,"C",IF('Data Source'!AD288&gt;=1,"D","F")))))))</f>
        <v/>
      </c>
      <c r="M288" s="3">
        <f>IF('Data Source'!B288="","",IF('Data Source'!AE288&gt;=5,"A+",IF('Data Source'!AE288&gt;=4,"A",IF('Data Source'!AE288&gt;=3.5,"A-",IF('Data Source'!AE288&gt;=3,"B",IF('Data Source'!AE288&gt;=2,"C",IF('Data Source'!AE288&gt;=1,"D","F")))))))</f>
        <v/>
      </c>
      <c r="N288" s="3">
        <f>IF('Data Source'!B288="","",IF('Data Source'!AF288&gt;=5,"A+",IF('Data Source'!AF288&gt;=4,"A",IF('Data Source'!AF288&gt;=3.5,"A-",IF('Data Source'!AF288&gt;=3,"B",IF('Data Source'!AF288&gt;=2,"C",IF('Data Source'!AF288&gt;=1,"D","F")))))))</f>
        <v/>
      </c>
      <c r="O288" s="3">
        <f>IF('Data Source'!B288="","",IF('Data Source'!AG288&gt;=5,"A+",IF('Data Source'!AG288&gt;=4,"A",IF('Data Source'!AG288&gt;=3.5,"A-",IF('Data Source'!AG288&gt;=3,"B",IF('Data Source'!AG288&gt;=2,"C",IF('Data Source'!AG288&gt;=1,"D","F")))))))</f>
        <v/>
      </c>
      <c r="P288" s="5">
        <f>IF('Data Source'!B288="","",'Data Source'!R288)</f>
        <v/>
      </c>
      <c r="Q288" s="3">
        <f>IF('Data Source'!B288="","",'Data Source'!S288)</f>
        <v/>
      </c>
    </row>
    <row r="289">
      <c r="A289" s="3">
        <f>IF('Data Source'!B289="","",'Data Source'!A289)</f>
        <v/>
      </c>
      <c r="B289">
        <f>IF('Data Source'!B289="","",'Data Source'!B289)</f>
        <v/>
      </c>
      <c r="C289" s="3">
        <f>IF('Data Source'!B289="","",IF('Data Source'!U289&gt;=5,"A+",IF('Data Source'!U289&gt;=4,"A",IF('Data Source'!U289&gt;=3.5,"A-",IF('Data Source'!U289&gt;=3,"B",IF('Data Source'!U289&gt;=2,"C",IF('Data Source'!U289&gt;=1,"D","F")))))))</f>
        <v/>
      </c>
      <c r="D289" s="3">
        <f>IF('Data Source'!B289="","",IF('Data Source'!V289&gt;=5,"A+",IF('Data Source'!V289&gt;=4,"A",IF('Data Source'!V289&gt;=3.5,"A-",IF('Data Source'!V289&gt;=3,"B",IF('Data Source'!V289&gt;=2,"C",IF('Data Source'!V289&gt;=1,"D","F")))))))</f>
        <v/>
      </c>
      <c r="E289" s="3">
        <f>IF('Data Source'!B289="","",IF('Data Source'!W289&gt;=5,"A+",IF('Data Source'!W289&gt;=4,"A",IF('Data Source'!W289&gt;=3.5,"A-",IF('Data Source'!W289&gt;=3,"B",IF('Data Source'!W289&gt;=2,"C",IF('Data Source'!W289&gt;=1,"D","F")))))))</f>
        <v/>
      </c>
      <c r="F289" s="3">
        <f>IF('Data Source'!B289="","",IF('Data Source'!X289&gt;=5,"A+",IF('Data Source'!X289&gt;=4,"A",IF('Data Source'!X289&gt;=3.5,"A-",IF('Data Source'!X289&gt;=3,"B",IF('Data Source'!X289&gt;=2,"C",IF('Data Source'!X289&gt;=1,"D","F")))))))</f>
        <v/>
      </c>
      <c r="G289" s="3">
        <f>IF('Data Source'!B289="","",IF('Data Source'!Y289&gt;=5,"A+",IF('Data Source'!Y289&gt;=4,"A",IF('Data Source'!Y289&gt;=3.5,"A-",IF('Data Source'!Y289&gt;=3,"B",IF('Data Source'!Y289&gt;=2,"C",IF('Data Source'!Y289&gt;=1,"D","F")))))))</f>
        <v/>
      </c>
      <c r="H289" s="3">
        <f>IF('Data Source'!B289="","",IF('Data Source'!Z289&gt;=5,"A+",IF('Data Source'!Z289&gt;=4,"A",IF('Data Source'!Z289&gt;=3.5,"A-",IF('Data Source'!Z289&gt;=3,"B",IF('Data Source'!Z289&gt;=2,"C",IF('Data Source'!Z289&gt;=1,"D","F")))))))</f>
        <v/>
      </c>
      <c r="I289" s="3">
        <f>IF('Data Source'!B289="","",IF('Data Source'!AA289&gt;=5,"A+",IF('Data Source'!AA289&gt;=4,"A",IF('Data Source'!AA289&gt;=3.5,"A-",IF('Data Source'!AA289&gt;=3,"B",IF('Data Source'!AA289&gt;=2,"C",IF('Data Source'!AA289&gt;=1,"D","F")))))))</f>
        <v/>
      </c>
      <c r="J289" s="3">
        <f>IF('Data Source'!B289="","",IF('Data Source'!AB289&gt;=5,"A+",IF('Data Source'!AB289&gt;=4,"A",IF('Data Source'!AB289&gt;=3.5,"A-",IF('Data Source'!AB289&gt;=3,"B",IF('Data Source'!AB289&gt;=2,"C",IF('Data Source'!AB289&gt;=1,"D","F")))))))</f>
        <v/>
      </c>
      <c r="K289" s="3">
        <f>IF('Data Source'!B289="","",IF('Data Source'!AC289&gt;=5,"A+",IF('Data Source'!AC289&gt;=4,"A",IF('Data Source'!AC289&gt;=3.5,"A-",IF('Data Source'!AC289&gt;=3,"B",IF('Data Source'!AC289&gt;=2,"C",IF('Data Source'!AC289&gt;=1,"D","F")))))))</f>
        <v/>
      </c>
      <c r="L289" s="3">
        <f>IF('Data Source'!B289="","",IF('Data Source'!AD289&gt;=5,"A+",IF('Data Source'!AD289&gt;=4,"A",IF('Data Source'!AD289&gt;=3.5,"A-",IF('Data Source'!AD289&gt;=3,"B",IF('Data Source'!AD289&gt;=2,"C",IF('Data Source'!AD289&gt;=1,"D","F")))))))</f>
        <v/>
      </c>
      <c r="M289" s="3">
        <f>IF('Data Source'!B289="","",IF('Data Source'!AE289&gt;=5,"A+",IF('Data Source'!AE289&gt;=4,"A",IF('Data Source'!AE289&gt;=3.5,"A-",IF('Data Source'!AE289&gt;=3,"B",IF('Data Source'!AE289&gt;=2,"C",IF('Data Source'!AE289&gt;=1,"D","F")))))))</f>
        <v/>
      </c>
      <c r="N289" s="3">
        <f>IF('Data Source'!B289="","",IF('Data Source'!AF289&gt;=5,"A+",IF('Data Source'!AF289&gt;=4,"A",IF('Data Source'!AF289&gt;=3.5,"A-",IF('Data Source'!AF289&gt;=3,"B",IF('Data Source'!AF289&gt;=2,"C",IF('Data Source'!AF289&gt;=1,"D","F")))))))</f>
        <v/>
      </c>
      <c r="O289" s="3">
        <f>IF('Data Source'!B289="","",IF('Data Source'!AG289&gt;=5,"A+",IF('Data Source'!AG289&gt;=4,"A",IF('Data Source'!AG289&gt;=3.5,"A-",IF('Data Source'!AG289&gt;=3,"B",IF('Data Source'!AG289&gt;=2,"C",IF('Data Source'!AG289&gt;=1,"D","F")))))))</f>
        <v/>
      </c>
      <c r="P289" s="5">
        <f>IF('Data Source'!B289="","",'Data Source'!R289)</f>
        <v/>
      </c>
      <c r="Q289" s="3">
        <f>IF('Data Source'!B289="","",'Data Source'!S289)</f>
        <v/>
      </c>
    </row>
    <row r="290">
      <c r="A290" s="3">
        <f>IF('Data Source'!B290="","",'Data Source'!A290)</f>
        <v/>
      </c>
      <c r="B290">
        <f>IF('Data Source'!B290="","",'Data Source'!B290)</f>
        <v/>
      </c>
      <c r="C290" s="3">
        <f>IF('Data Source'!B290="","",IF('Data Source'!U290&gt;=5,"A+",IF('Data Source'!U290&gt;=4,"A",IF('Data Source'!U290&gt;=3.5,"A-",IF('Data Source'!U290&gt;=3,"B",IF('Data Source'!U290&gt;=2,"C",IF('Data Source'!U290&gt;=1,"D","F")))))))</f>
        <v/>
      </c>
      <c r="D290" s="3">
        <f>IF('Data Source'!B290="","",IF('Data Source'!V290&gt;=5,"A+",IF('Data Source'!V290&gt;=4,"A",IF('Data Source'!V290&gt;=3.5,"A-",IF('Data Source'!V290&gt;=3,"B",IF('Data Source'!V290&gt;=2,"C",IF('Data Source'!V290&gt;=1,"D","F")))))))</f>
        <v/>
      </c>
      <c r="E290" s="3">
        <f>IF('Data Source'!B290="","",IF('Data Source'!W290&gt;=5,"A+",IF('Data Source'!W290&gt;=4,"A",IF('Data Source'!W290&gt;=3.5,"A-",IF('Data Source'!W290&gt;=3,"B",IF('Data Source'!W290&gt;=2,"C",IF('Data Source'!W290&gt;=1,"D","F")))))))</f>
        <v/>
      </c>
      <c r="F290" s="3">
        <f>IF('Data Source'!B290="","",IF('Data Source'!X290&gt;=5,"A+",IF('Data Source'!X290&gt;=4,"A",IF('Data Source'!X290&gt;=3.5,"A-",IF('Data Source'!X290&gt;=3,"B",IF('Data Source'!X290&gt;=2,"C",IF('Data Source'!X290&gt;=1,"D","F")))))))</f>
        <v/>
      </c>
      <c r="G290" s="3">
        <f>IF('Data Source'!B290="","",IF('Data Source'!Y290&gt;=5,"A+",IF('Data Source'!Y290&gt;=4,"A",IF('Data Source'!Y290&gt;=3.5,"A-",IF('Data Source'!Y290&gt;=3,"B",IF('Data Source'!Y290&gt;=2,"C",IF('Data Source'!Y290&gt;=1,"D","F")))))))</f>
        <v/>
      </c>
      <c r="H290" s="3">
        <f>IF('Data Source'!B290="","",IF('Data Source'!Z290&gt;=5,"A+",IF('Data Source'!Z290&gt;=4,"A",IF('Data Source'!Z290&gt;=3.5,"A-",IF('Data Source'!Z290&gt;=3,"B",IF('Data Source'!Z290&gt;=2,"C",IF('Data Source'!Z290&gt;=1,"D","F")))))))</f>
        <v/>
      </c>
      <c r="I290" s="3">
        <f>IF('Data Source'!B290="","",IF('Data Source'!AA290&gt;=5,"A+",IF('Data Source'!AA290&gt;=4,"A",IF('Data Source'!AA290&gt;=3.5,"A-",IF('Data Source'!AA290&gt;=3,"B",IF('Data Source'!AA290&gt;=2,"C",IF('Data Source'!AA290&gt;=1,"D","F")))))))</f>
        <v/>
      </c>
      <c r="J290" s="3">
        <f>IF('Data Source'!B290="","",IF('Data Source'!AB290&gt;=5,"A+",IF('Data Source'!AB290&gt;=4,"A",IF('Data Source'!AB290&gt;=3.5,"A-",IF('Data Source'!AB290&gt;=3,"B",IF('Data Source'!AB290&gt;=2,"C",IF('Data Source'!AB290&gt;=1,"D","F")))))))</f>
        <v/>
      </c>
      <c r="K290" s="3">
        <f>IF('Data Source'!B290="","",IF('Data Source'!AC290&gt;=5,"A+",IF('Data Source'!AC290&gt;=4,"A",IF('Data Source'!AC290&gt;=3.5,"A-",IF('Data Source'!AC290&gt;=3,"B",IF('Data Source'!AC290&gt;=2,"C",IF('Data Source'!AC290&gt;=1,"D","F")))))))</f>
        <v/>
      </c>
      <c r="L290" s="3">
        <f>IF('Data Source'!B290="","",IF('Data Source'!AD290&gt;=5,"A+",IF('Data Source'!AD290&gt;=4,"A",IF('Data Source'!AD290&gt;=3.5,"A-",IF('Data Source'!AD290&gt;=3,"B",IF('Data Source'!AD290&gt;=2,"C",IF('Data Source'!AD290&gt;=1,"D","F")))))))</f>
        <v/>
      </c>
      <c r="M290" s="3">
        <f>IF('Data Source'!B290="","",IF('Data Source'!AE290&gt;=5,"A+",IF('Data Source'!AE290&gt;=4,"A",IF('Data Source'!AE290&gt;=3.5,"A-",IF('Data Source'!AE290&gt;=3,"B",IF('Data Source'!AE290&gt;=2,"C",IF('Data Source'!AE290&gt;=1,"D","F")))))))</f>
        <v/>
      </c>
      <c r="N290" s="3">
        <f>IF('Data Source'!B290="","",IF('Data Source'!AF290&gt;=5,"A+",IF('Data Source'!AF290&gt;=4,"A",IF('Data Source'!AF290&gt;=3.5,"A-",IF('Data Source'!AF290&gt;=3,"B",IF('Data Source'!AF290&gt;=2,"C",IF('Data Source'!AF290&gt;=1,"D","F")))))))</f>
        <v/>
      </c>
      <c r="O290" s="3">
        <f>IF('Data Source'!B290="","",IF('Data Source'!AG290&gt;=5,"A+",IF('Data Source'!AG290&gt;=4,"A",IF('Data Source'!AG290&gt;=3.5,"A-",IF('Data Source'!AG290&gt;=3,"B",IF('Data Source'!AG290&gt;=2,"C",IF('Data Source'!AG290&gt;=1,"D","F")))))))</f>
        <v/>
      </c>
      <c r="P290" s="5">
        <f>IF('Data Source'!B290="","",'Data Source'!R290)</f>
        <v/>
      </c>
      <c r="Q290" s="3">
        <f>IF('Data Source'!B290="","",'Data Source'!S290)</f>
        <v/>
      </c>
    </row>
    <row r="291">
      <c r="A291" s="3">
        <f>IF('Data Source'!B291="","",'Data Source'!A291)</f>
        <v/>
      </c>
      <c r="B291">
        <f>IF('Data Source'!B291="","",'Data Source'!B291)</f>
        <v/>
      </c>
      <c r="C291" s="3">
        <f>IF('Data Source'!B291="","",IF('Data Source'!U291&gt;=5,"A+",IF('Data Source'!U291&gt;=4,"A",IF('Data Source'!U291&gt;=3.5,"A-",IF('Data Source'!U291&gt;=3,"B",IF('Data Source'!U291&gt;=2,"C",IF('Data Source'!U291&gt;=1,"D","F")))))))</f>
        <v/>
      </c>
      <c r="D291" s="3">
        <f>IF('Data Source'!B291="","",IF('Data Source'!V291&gt;=5,"A+",IF('Data Source'!V291&gt;=4,"A",IF('Data Source'!V291&gt;=3.5,"A-",IF('Data Source'!V291&gt;=3,"B",IF('Data Source'!V291&gt;=2,"C",IF('Data Source'!V291&gt;=1,"D","F")))))))</f>
        <v/>
      </c>
      <c r="E291" s="3">
        <f>IF('Data Source'!B291="","",IF('Data Source'!W291&gt;=5,"A+",IF('Data Source'!W291&gt;=4,"A",IF('Data Source'!W291&gt;=3.5,"A-",IF('Data Source'!W291&gt;=3,"B",IF('Data Source'!W291&gt;=2,"C",IF('Data Source'!W291&gt;=1,"D","F")))))))</f>
        <v/>
      </c>
      <c r="F291" s="3">
        <f>IF('Data Source'!B291="","",IF('Data Source'!X291&gt;=5,"A+",IF('Data Source'!X291&gt;=4,"A",IF('Data Source'!X291&gt;=3.5,"A-",IF('Data Source'!X291&gt;=3,"B",IF('Data Source'!X291&gt;=2,"C",IF('Data Source'!X291&gt;=1,"D","F")))))))</f>
        <v/>
      </c>
      <c r="G291" s="3">
        <f>IF('Data Source'!B291="","",IF('Data Source'!Y291&gt;=5,"A+",IF('Data Source'!Y291&gt;=4,"A",IF('Data Source'!Y291&gt;=3.5,"A-",IF('Data Source'!Y291&gt;=3,"B",IF('Data Source'!Y291&gt;=2,"C",IF('Data Source'!Y291&gt;=1,"D","F")))))))</f>
        <v/>
      </c>
      <c r="H291" s="3">
        <f>IF('Data Source'!B291="","",IF('Data Source'!Z291&gt;=5,"A+",IF('Data Source'!Z291&gt;=4,"A",IF('Data Source'!Z291&gt;=3.5,"A-",IF('Data Source'!Z291&gt;=3,"B",IF('Data Source'!Z291&gt;=2,"C",IF('Data Source'!Z291&gt;=1,"D","F")))))))</f>
        <v/>
      </c>
      <c r="I291" s="3">
        <f>IF('Data Source'!B291="","",IF('Data Source'!AA291&gt;=5,"A+",IF('Data Source'!AA291&gt;=4,"A",IF('Data Source'!AA291&gt;=3.5,"A-",IF('Data Source'!AA291&gt;=3,"B",IF('Data Source'!AA291&gt;=2,"C",IF('Data Source'!AA291&gt;=1,"D","F")))))))</f>
        <v/>
      </c>
      <c r="J291" s="3">
        <f>IF('Data Source'!B291="","",IF('Data Source'!AB291&gt;=5,"A+",IF('Data Source'!AB291&gt;=4,"A",IF('Data Source'!AB291&gt;=3.5,"A-",IF('Data Source'!AB291&gt;=3,"B",IF('Data Source'!AB291&gt;=2,"C",IF('Data Source'!AB291&gt;=1,"D","F")))))))</f>
        <v/>
      </c>
      <c r="K291" s="3">
        <f>IF('Data Source'!B291="","",IF('Data Source'!AC291&gt;=5,"A+",IF('Data Source'!AC291&gt;=4,"A",IF('Data Source'!AC291&gt;=3.5,"A-",IF('Data Source'!AC291&gt;=3,"B",IF('Data Source'!AC291&gt;=2,"C",IF('Data Source'!AC291&gt;=1,"D","F")))))))</f>
        <v/>
      </c>
      <c r="L291" s="3">
        <f>IF('Data Source'!B291="","",IF('Data Source'!AD291&gt;=5,"A+",IF('Data Source'!AD291&gt;=4,"A",IF('Data Source'!AD291&gt;=3.5,"A-",IF('Data Source'!AD291&gt;=3,"B",IF('Data Source'!AD291&gt;=2,"C",IF('Data Source'!AD291&gt;=1,"D","F")))))))</f>
        <v/>
      </c>
      <c r="M291" s="3">
        <f>IF('Data Source'!B291="","",IF('Data Source'!AE291&gt;=5,"A+",IF('Data Source'!AE291&gt;=4,"A",IF('Data Source'!AE291&gt;=3.5,"A-",IF('Data Source'!AE291&gt;=3,"B",IF('Data Source'!AE291&gt;=2,"C",IF('Data Source'!AE291&gt;=1,"D","F")))))))</f>
        <v/>
      </c>
      <c r="N291" s="3">
        <f>IF('Data Source'!B291="","",IF('Data Source'!AF291&gt;=5,"A+",IF('Data Source'!AF291&gt;=4,"A",IF('Data Source'!AF291&gt;=3.5,"A-",IF('Data Source'!AF291&gt;=3,"B",IF('Data Source'!AF291&gt;=2,"C",IF('Data Source'!AF291&gt;=1,"D","F")))))))</f>
        <v/>
      </c>
      <c r="O291" s="3">
        <f>IF('Data Source'!B291="","",IF('Data Source'!AG291&gt;=5,"A+",IF('Data Source'!AG291&gt;=4,"A",IF('Data Source'!AG291&gt;=3.5,"A-",IF('Data Source'!AG291&gt;=3,"B",IF('Data Source'!AG291&gt;=2,"C",IF('Data Source'!AG291&gt;=1,"D","F")))))))</f>
        <v/>
      </c>
      <c r="P291" s="5">
        <f>IF('Data Source'!B291="","",'Data Source'!R291)</f>
        <v/>
      </c>
      <c r="Q291" s="3">
        <f>IF('Data Source'!B291="","",'Data Source'!S291)</f>
        <v/>
      </c>
    </row>
    <row r="292">
      <c r="A292" s="3">
        <f>IF('Data Source'!B292="","",'Data Source'!A292)</f>
        <v/>
      </c>
      <c r="B292">
        <f>IF('Data Source'!B292="","",'Data Source'!B292)</f>
        <v/>
      </c>
      <c r="C292" s="3">
        <f>IF('Data Source'!B292="","",IF('Data Source'!U292&gt;=5,"A+",IF('Data Source'!U292&gt;=4,"A",IF('Data Source'!U292&gt;=3.5,"A-",IF('Data Source'!U292&gt;=3,"B",IF('Data Source'!U292&gt;=2,"C",IF('Data Source'!U292&gt;=1,"D","F")))))))</f>
        <v/>
      </c>
      <c r="D292" s="3">
        <f>IF('Data Source'!B292="","",IF('Data Source'!V292&gt;=5,"A+",IF('Data Source'!V292&gt;=4,"A",IF('Data Source'!V292&gt;=3.5,"A-",IF('Data Source'!V292&gt;=3,"B",IF('Data Source'!V292&gt;=2,"C",IF('Data Source'!V292&gt;=1,"D","F")))))))</f>
        <v/>
      </c>
      <c r="E292" s="3">
        <f>IF('Data Source'!B292="","",IF('Data Source'!W292&gt;=5,"A+",IF('Data Source'!W292&gt;=4,"A",IF('Data Source'!W292&gt;=3.5,"A-",IF('Data Source'!W292&gt;=3,"B",IF('Data Source'!W292&gt;=2,"C",IF('Data Source'!W292&gt;=1,"D","F")))))))</f>
        <v/>
      </c>
      <c r="F292" s="3">
        <f>IF('Data Source'!B292="","",IF('Data Source'!X292&gt;=5,"A+",IF('Data Source'!X292&gt;=4,"A",IF('Data Source'!X292&gt;=3.5,"A-",IF('Data Source'!X292&gt;=3,"B",IF('Data Source'!X292&gt;=2,"C",IF('Data Source'!X292&gt;=1,"D","F")))))))</f>
        <v/>
      </c>
      <c r="G292" s="3">
        <f>IF('Data Source'!B292="","",IF('Data Source'!Y292&gt;=5,"A+",IF('Data Source'!Y292&gt;=4,"A",IF('Data Source'!Y292&gt;=3.5,"A-",IF('Data Source'!Y292&gt;=3,"B",IF('Data Source'!Y292&gt;=2,"C",IF('Data Source'!Y292&gt;=1,"D","F")))))))</f>
        <v/>
      </c>
      <c r="H292" s="3">
        <f>IF('Data Source'!B292="","",IF('Data Source'!Z292&gt;=5,"A+",IF('Data Source'!Z292&gt;=4,"A",IF('Data Source'!Z292&gt;=3.5,"A-",IF('Data Source'!Z292&gt;=3,"B",IF('Data Source'!Z292&gt;=2,"C",IF('Data Source'!Z292&gt;=1,"D","F")))))))</f>
        <v/>
      </c>
      <c r="I292" s="3">
        <f>IF('Data Source'!B292="","",IF('Data Source'!AA292&gt;=5,"A+",IF('Data Source'!AA292&gt;=4,"A",IF('Data Source'!AA292&gt;=3.5,"A-",IF('Data Source'!AA292&gt;=3,"B",IF('Data Source'!AA292&gt;=2,"C",IF('Data Source'!AA292&gt;=1,"D","F")))))))</f>
        <v/>
      </c>
      <c r="J292" s="3">
        <f>IF('Data Source'!B292="","",IF('Data Source'!AB292&gt;=5,"A+",IF('Data Source'!AB292&gt;=4,"A",IF('Data Source'!AB292&gt;=3.5,"A-",IF('Data Source'!AB292&gt;=3,"B",IF('Data Source'!AB292&gt;=2,"C",IF('Data Source'!AB292&gt;=1,"D","F")))))))</f>
        <v/>
      </c>
      <c r="K292" s="3">
        <f>IF('Data Source'!B292="","",IF('Data Source'!AC292&gt;=5,"A+",IF('Data Source'!AC292&gt;=4,"A",IF('Data Source'!AC292&gt;=3.5,"A-",IF('Data Source'!AC292&gt;=3,"B",IF('Data Source'!AC292&gt;=2,"C",IF('Data Source'!AC292&gt;=1,"D","F")))))))</f>
        <v/>
      </c>
      <c r="L292" s="3">
        <f>IF('Data Source'!B292="","",IF('Data Source'!AD292&gt;=5,"A+",IF('Data Source'!AD292&gt;=4,"A",IF('Data Source'!AD292&gt;=3.5,"A-",IF('Data Source'!AD292&gt;=3,"B",IF('Data Source'!AD292&gt;=2,"C",IF('Data Source'!AD292&gt;=1,"D","F")))))))</f>
        <v/>
      </c>
      <c r="M292" s="3">
        <f>IF('Data Source'!B292="","",IF('Data Source'!AE292&gt;=5,"A+",IF('Data Source'!AE292&gt;=4,"A",IF('Data Source'!AE292&gt;=3.5,"A-",IF('Data Source'!AE292&gt;=3,"B",IF('Data Source'!AE292&gt;=2,"C",IF('Data Source'!AE292&gt;=1,"D","F")))))))</f>
        <v/>
      </c>
      <c r="N292" s="3">
        <f>IF('Data Source'!B292="","",IF('Data Source'!AF292&gt;=5,"A+",IF('Data Source'!AF292&gt;=4,"A",IF('Data Source'!AF292&gt;=3.5,"A-",IF('Data Source'!AF292&gt;=3,"B",IF('Data Source'!AF292&gt;=2,"C",IF('Data Source'!AF292&gt;=1,"D","F")))))))</f>
        <v/>
      </c>
      <c r="O292" s="3">
        <f>IF('Data Source'!B292="","",IF('Data Source'!AG292&gt;=5,"A+",IF('Data Source'!AG292&gt;=4,"A",IF('Data Source'!AG292&gt;=3.5,"A-",IF('Data Source'!AG292&gt;=3,"B",IF('Data Source'!AG292&gt;=2,"C",IF('Data Source'!AG292&gt;=1,"D","F")))))))</f>
        <v/>
      </c>
      <c r="P292" s="5">
        <f>IF('Data Source'!B292="","",'Data Source'!R292)</f>
        <v/>
      </c>
      <c r="Q292" s="3">
        <f>IF('Data Source'!B292="","",'Data Source'!S292)</f>
        <v/>
      </c>
    </row>
    <row r="293">
      <c r="A293" s="3">
        <f>IF('Data Source'!B293="","",'Data Source'!A293)</f>
        <v/>
      </c>
      <c r="B293">
        <f>IF('Data Source'!B293="","",'Data Source'!B293)</f>
        <v/>
      </c>
      <c r="C293" s="3">
        <f>IF('Data Source'!B293="","",IF('Data Source'!U293&gt;=5,"A+",IF('Data Source'!U293&gt;=4,"A",IF('Data Source'!U293&gt;=3.5,"A-",IF('Data Source'!U293&gt;=3,"B",IF('Data Source'!U293&gt;=2,"C",IF('Data Source'!U293&gt;=1,"D","F")))))))</f>
        <v/>
      </c>
      <c r="D293" s="3">
        <f>IF('Data Source'!B293="","",IF('Data Source'!V293&gt;=5,"A+",IF('Data Source'!V293&gt;=4,"A",IF('Data Source'!V293&gt;=3.5,"A-",IF('Data Source'!V293&gt;=3,"B",IF('Data Source'!V293&gt;=2,"C",IF('Data Source'!V293&gt;=1,"D","F")))))))</f>
        <v/>
      </c>
      <c r="E293" s="3">
        <f>IF('Data Source'!B293="","",IF('Data Source'!W293&gt;=5,"A+",IF('Data Source'!W293&gt;=4,"A",IF('Data Source'!W293&gt;=3.5,"A-",IF('Data Source'!W293&gt;=3,"B",IF('Data Source'!W293&gt;=2,"C",IF('Data Source'!W293&gt;=1,"D","F")))))))</f>
        <v/>
      </c>
      <c r="F293" s="3">
        <f>IF('Data Source'!B293="","",IF('Data Source'!X293&gt;=5,"A+",IF('Data Source'!X293&gt;=4,"A",IF('Data Source'!X293&gt;=3.5,"A-",IF('Data Source'!X293&gt;=3,"B",IF('Data Source'!X293&gt;=2,"C",IF('Data Source'!X293&gt;=1,"D","F")))))))</f>
        <v/>
      </c>
      <c r="G293" s="3">
        <f>IF('Data Source'!B293="","",IF('Data Source'!Y293&gt;=5,"A+",IF('Data Source'!Y293&gt;=4,"A",IF('Data Source'!Y293&gt;=3.5,"A-",IF('Data Source'!Y293&gt;=3,"B",IF('Data Source'!Y293&gt;=2,"C",IF('Data Source'!Y293&gt;=1,"D","F")))))))</f>
        <v/>
      </c>
      <c r="H293" s="3">
        <f>IF('Data Source'!B293="","",IF('Data Source'!Z293&gt;=5,"A+",IF('Data Source'!Z293&gt;=4,"A",IF('Data Source'!Z293&gt;=3.5,"A-",IF('Data Source'!Z293&gt;=3,"B",IF('Data Source'!Z293&gt;=2,"C",IF('Data Source'!Z293&gt;=1,"D","F")))))))</f>
        <v/>
      </c>
      <c r="I293" s="3">
        <f>IF('Data Source'!B293="","",IF('Data Source'!AA293&gt;=5,"A+",IF('Data Source'!AA293&gt;=4,"A",IF('Data Source'!AA293&gt;=3.5,"A-",IF('Data Source'!AA293&gt;=3,"B",IF('Data Source'!AA293&gt;=2,"C",IF('Data Source'!AA293&gt;=1,"D","F")))))))</f>
        <v/>
      </c>
      <c r="J293" s="3">
        <f>IF('Data Source'!B293="","",IF('Data Source'!AB293&gt;=5,"A+",IF('Data Source'!AB293&gt;=4,"A",IF('Data Source'!AB293&gt;=3.5,"A-",IF('Data Source'!AB293&gt;=3,"B",IF('Data Source'!AB293&gt;=2,"C",IF('Data Source'!AB293&gt;=1,"D","F")))))))</f>
        <v/>
      </c>
      <c r="K293" s="3">
        <f>IF('Data Source'!B293="","",IF('Data Source'!AC293&gt;=5,"A+",IF('Data Source'!AC293&gt;=4,"A",IF('Data Source'!AC293&gt;=3.5,"A-",IF('Data Source'!AC293&gt;=3,"B",IF('Data Source'!AC293&gt;=2,"C",IF('Data Source'!AC293&gt;=1,"D","F")))))))</f>
        <v/>
      </c>
      <c r="L293" s="3">
        <f>IF('Data Source'!B293="","",IF('Data Source'!AD293&gt;=5,"A+",IF('Data Source'!AD293&gt;=4,"A",IF('Data Source'!AD293&gt;=3.5,"A-",IF('Data Source'!AD293&gt;=3,"B",IF('Data Source'!AD293&gt;=2,"C",IF('Data Source'!AD293&gt;=1,"D","F")))))))</f>
        <v/>
      </c>
      <c r="M293" s="3">
        <f>IF('Data Source'!B293="","",IF('Data Source'!AE293&gt;=5,"A+",IF('Data Source'!AE293&gt;=4,"A",IF('Data Source'!AE293&gt;=3.5,"A-",IF('Data Source'!AE293&gt;=3,"B",IF('Data Source'!AE293&gt;=2,"C",IF('Data Source'!AE293&gt;=1,"D","F")))))))</f>
        <v/>
      </c>
      <c r="N293" s="3">
        <f>IF('Data Source'!B293="","",IF('Data Source'!AF293&gt;=5,"A+",IF('Data Source'!AF293&gt;=4,"A",IF('Data Source'!AF293&gt;=3.5,"A-",IF('Data Source'!AF293&gt;=3,"B",IF('Data Source'!AF293&gt;=2,"C",IF('Data Source'!AF293&gt;=1,"D","F")))))))</f>
        <v/>
      </c>
      <c r="O293" s="3">
        <f>IF('Data Source'!B293="","",IF('Data Source'!AG293&gt;=5,"A+",IF('Data Source'!AG293&gt;=4,"A",IF('Data Source'!AG293&gt;=3.5,"A-",IF('Data Source'!AG293&gt;=3,"B",IF('Data Source'!AG293&gt;=2,"C",IF('Data Source'!AG293&gt;=1,"D","F")))))))</f>
        <v/>
      </c>
      <c r="P293" s="5">
        <f>IF('Data Source'!B293="","",'Data Source'!R293)</f>
        <v/>
      </c>
      <c r="Q293" s="3">
        <f>IF('Data Source'!B293="","",'Data Source'!S293)</f>
        <v/>
      </c>
    </row>
    <row r="294">
      <c r="A294" s="3">
        <f>IF('Data Source'!B294="","",'Data Source'!A294)</f>
        <v/>
      </c>
      <c r="B294">
        <f>IF('Data Source'!B294="","",'Data Source'!B294)</f>
        <v/>
      </c>
      <c r="C294" s="3">
        <f>IF('Data Source'!B294="","",IF('Data Source'!U294&gt;=5,"A+",IF('Data Source'!U294&gt;=4,"A",IF('Data Source'!U294&gt;=3.5,"A-",IF('Data Source'!U294&gt;=3,"B",IF('Data Source'!U294&gt;=2,"C",IF('Data Source'!U294&gt;=1,"D","F")))))))</f>
        <v/>
      </c>
      <c r="D294" s="3">
        <f>IF('Data Source'!B294="","",IF('Data Source'!V294&gt;=5,"A+",IF('Data Source'!V294&gt;=4,"A",IF('Data Source'!V294&gt;=3.5,"A-",IF('Data Source'!V294&gt;=3,"B",IF('Data Source'!V294&gt;=2,"C",IF('Data Source'!V294&gt;=1,"D","F")))))))</f>
        <v/>
      </c>
      <c r="E294" s="3">
        <f>IF('Data Source'!B294="","",IF('Data Source'!W294&gt;=5,"A+",IF('Data Source'!W294&gt;=4,"A",IF('Data Source'!W294&gt;=3.5,"A-",IF('Data Source'!W294&gt;=3,"B",IF('Data Source'!W294&gt;=2,"C",IF('Data Source'!W294&gt;=1,"D","F")))))))</f>
        <v/>
      </c>
      <c r="F294" s="3">
        <f>IF('Data Source'!B294="","",IF('Data Source'!X294&gt;=5,"A+",IF('Data Source'!X294&gt;=4,"A",IF('Data Source'!X294&gt;=3.5,"A-",IF('Data Source'!X294&gt;=3,"B",IF('Data Source'!X294&gt;=2,"C",IF('Data Source'!X294&gt;=1,"D","F")))))))</f>
        <v/>
      </c>
      <c r="G294" s="3">
        <f>IF('Data Source'!B294="","",IF('Data Source'!Y294&gt;=5,"A+",IF('Data Source'!Y294&gt;=4,"A",IF('Data Source'!Y294&gt;=3.5,"A-",IF('Data Source'!Y294&gt;=3,"B",IF('Data Source'!Y294&gt;=2,"C",IF('Data Source'!Y294&gt;=1,"D","F")))))))</f>
        <v/>
      </c>
      <c r="H294" s="3">
        <f>IF('Data Source'!B294="","",IF('Data Source'!Z294&gt;=5,"A+",IF('Data Source'!Z294&gt;=4,"A",IF('Data Source'!Z294&gt;=3.5,"A-",IF('Data Source'!Z294&gt;=3,"B",IF('Data Source'!Z294&gt;=2,"C",IF('Data Source'!Z294&gt;=1,"D","F")))))))</f>
        <v/>
      </c>
      <c r="I294" s="3">
        <f>IF('Data Source'!B294="","",IF('Data Source'!AA294&gt;=5,"A+",IF('Data Source'!AA294&gt;=4,"A",IF('Data Source'!AA294&gt;=3.5,"A-",IF('Data Source'!AA294&gt;=3,"B",IF('Data Source'!AA294&gt;=2,"C",IF('Data Source'!AA294&gt;=1,"D","F")))))))</f>
        <v/>
      </c>
      <c r="J294" s="3">
        <f>IF('Data Source'!B294="","",IF('Data Source'!AB294&gt;=5,"A+",IF('Data Source'!AB294&gt;=4,"A",IF('Data Source'!AB294&gt;=3.5,"A-",IF('Data Source'!AB294&gt;=3,"B",IF('Data Source'!AB294&gt;=2,"C",IF('Data Source'!AB294&gt;=1,"D","F")))))))</f>
        <v/>
      </c>
      <c r="K294" s="3">
        <f>IF('Data Source'!B294="","",IF('Data Source'!AC294&gt;=5,"A+",IF('Data Source'!AC294&gt;=4,"A",IF('Data Source'!AC294&gt;=3.5,"A-",IF('Data Source'!AC294&gt;=3,"B",IF('Data Source'!AC294&gt;=2,"C",IF('Data Source'!AC294&gt;=1,"D","F")))))))</f>
        <v/>
      </c>
      <c r="L294" s="3">
        <f>IF('Data Source'!B294="","",IF('Data Source'!AD294&gt;=5,"A+",IF('Data Source'!AD294&gt;=4,"A",IF('Data Source'!AD294&gt;=3.5,"A-",IF('Data Source'!AD294&gt;=3,"B",IF('Data Source'!AD294&gt;=2,"C",IF('Data Source'!AD294&gt;=1,"D","F")))))))</f>
        <v/>
      </c>
      <c r="M294" s="3">
        <f>IF('Data Source'!B294="","",IF('Data Source'!AE294&gt;=5,"A+",IF('Data Source'!AE294&gt;=4,"A",IF('Data Source'!AE294&gt;=3.5,"A-",IF('Data Source'!AE294&gt;=3,"B",IF('Data Source'!AE294&gt;=2,"C",IF('Data Source'!AE294&gt;=1,"D","F")))))))</f>
        <v/>
      </c>
      <c r="N294" s="3">
        <f>IF('Data Source'!B294="","",IF('Data Source'!AF294&gt;=5,"A+",IF('Data Source'!AF294&gt;=4,"A",IF('Data Source'!AF294&gt;=3.5,"A-",IF('Data Source'!AF294&gt;=3,"B",IF('Data Source'!AF294&gt;=2,"C",IF('Data Source'!AF294&gt;=1,"D","F")))))))</f>
        <v/>
      </c>
      <c r="O294" s="3">
        <f>IF('Data Source'!B294="","",IF('Data Source'!AG294&gt;=5,"A+",IF('Data Source'!AG294&gt;=4,"A",IF('Data Source'!AG294&gt;=3.5,"A-",IF('Data Source'!AG294&gt;=3,"B",IF('Data Source'!AG294&gt;=2,"C",IF('Data Source'!AG294&gt;=1,"D","F")))))))</f>
        <v/>
      </c>
      <c r="P294" s="5">
        <f>IF('Data Source'!B294="","",'Data Source'!R294)</f>
        <v/>
      </c>
      <c r="Q294" s="3">
        <f>IF('Data Source'!B294="","",'Data Source'!S294)</f>
        <v/>
      </c>
    </row>
    <row r="295">
      <c r="A295" s="3">
        <f>IF('Data Source'!B295="","",'Data Source'!A295)</f>
        <v/>
      </c>
      <c r="B295">
        <f>IF('Data Source'!B295="","",'Data Source'!B295)</f>
        <v/>
      </c>
      <c r="C295" s="3">
        <f>IF('Data Source'!B295="","",IF('Data Source'!U295&gt;=5,"A+",IF('Data Source'!U295&gt;=4,"A",IF('Data Source'!U295&gt;=3.5,"A-",IF('Data Source'!U295&gt;=3,"B",IF('Data Source'!U295&gt;=2,"C",IF('Data Source'!U295&gt;=1,"D","F")))))))</f>
        <v/>
      </c>
      <c r="D295" s="3">
        <f>IF('Data Source'!B295="","",IF('Data Source'!V295&gt;=5,"A+",IF('Data Source'!V295&gt;=4,"A",IF('Data Source'!V295&gt;=3.5,"A-",IF('Data Source'!V295&gt;=3,"B",IF('Data Source'!V295&gt;=2,"C",IF('Data Source'!V295&gt;=1,"D","F")))))))</f>
        <v/>
      </c>
      <c r="E295" s="3">
        <f>IF('Data Source'!B295="","",IF('Data Source'!W295&gt;=5,"A+",IF('Data Source'!W295&gt;=4,"A",IF('Data Source'!W295&gt;=3.5,"A-",IF('Data Source'!W295&gt;=3,"B",IF('Data Source'!W295&gt;=2,"C",IF('Data Source'!W295&gt;=1,"D","F")))))))</f>
        <v/>
      </c>
      <c r="F295" s="3">
        <f>IF('Data Source'!B295="","",IF('Data Source'!X295&gt;=5,"A+",IF('Data Source'!X295&gt;=4,"A",IF('Data Source'!X295&gt;=3.5,"A-",IF('Data Source'!X295&gt;=3,"B",IF('Data Source'!X295&gt;=2,"C",IF('Data Source'!X295&gt;=1,"D","F")))))))</f>
        <v/>
      </c>
      <c r="G295" s="3">
        <f>IF('Data Source'!B295="","",IF('Data Source'!Y295&gt;=5,"A+",IF('Data Source'!Y295&gt;=4,"A",IF('Data Source'!Y295&gt;=3.5,"A-",IF('Data Source'!Y295&gt;=3,"B",IF('Data Source'!Y295&gt;=2,"C",IF('Data Source'!Y295&gt;=1,"D","F")))))))</f>
        <v/>
      </c>
      <c r="H295" s="3">
        <f>IF('Data Source'!B295="","",IF('Data Source'!Z295&gt;=5,"A+",IF('Data Source'!Z295&gt;=4,"A",IF('Data Source'!Z295&gt;=3.5,"A-",IF('Data Source'!Z295&gt;=3,"B",IF('Data Source'!Z295&gt;=2,"C",IF('Data Source'!Z295&gt;=1,"D","F")))))))</f>
        <v/>
      </c>
      <c r="I295" s="3">
        <f>IF('Data Source'!B295="","",IF('Data Source'!AA295&gt;=5,"A+",IF('Data Source'!AA295&gt;=4,"A",IF('Data Source'!AA295&gt;=3.5,"A-",IF('Data Source'!AA295&gt;=3,"B",IF('Data Source'!AA295&gt;=2,"C",IF('Data Source'!AA295&gt;=1,"D","F")))))))</f>
        <v/>
      </c>
      <c r="J295" s="3">
        <f>IF('Data Source'!B295="","",IF('Data Source'!AB295&gt;=5,"A+",IF('Data Source'!AB295&gt;=4,"A",IF('Data Source'!AB295&gt;=3.5,"A-",IF('Data Source'!AB295&gt;=3,"B",IF('Data Source'!AB295&gt;=2,"C",IF('Data Source'!AB295&gt;=1,"D","F")))))))</f>
        <v/>
      </c>
      <c r="K295" s="3">
        <f>IF('Data Source'!B295="","",IF('Data Source'!AC295&gt;=5,"A+",IF('Data Source'!AC295&gt;=4,"A",IF('Data Source'!AC295&gt;=3.5,"A-",IF('Data Source'!AC295&gt;=3,"B",IF('Data Source'!AC295&gt;=2,"C",IF('Data Source'!AC295&gt;=1,"D","F")))))))</f>
        <v/>
      </c>
      <c r="L295" s="3">
        <f>IF('Data Source'!B295="","",IF('Data Source'!AD295&gt;=5,"A+",IF('Data Source'!AD295&gt;=4,"A",IF('Data Source'!AD295&gt;=3.5,"A-",IF('Data Source'!AD295&gt;=3,"B",IF('Data Source'!AD295&gt;=2,"C",IF('Data Source'!AD295&gt;=1,"D","F")))))))</f>
        <v/>
      </c>
      <c r="M295" s="3">
        <f>IF('Data Source'!B295="","",IF('Data Source'!AE295&gt;=5,"A+",IF('Data Source'!AE295&gt;=4,"A",IF('Data Source'!AE295&gt;=3.5,"A-",IF('Data Source'!AE295&gt;=3,"B",IF('Data Source'!AE295&gt;=2,"C",IF('Data Source'!AE295&gt;=1,"D","F")))))))</f>
        <v/>
      </c>
      <c r="N295" s="3">
        <f>IF('Data Source'!B295="","",IF('Data Source'!AF295&gt;=5,"A+",IF('Data Source'!AF295&gt;=4,"A",IF('Data Source'!AF295&gt;=3.5,"A-",IF('Data Source'!AF295&gt;=3,"B",IF('Data Source'!AF295&gt;=2,"C",IF('Data Source'!AF295&gt;=1,"D","F")))))))</f>
        <v/>
      </c>
      <c r="O295" s="3">
        <f>IF('Data Source'!B295="","",IF('Data Source'!AG295&gt;=5,"A+",IF('Data Source'!AG295&gt;=4,"A",IF('Data Source'!AG295&gt;=3.5,"A-",IF('Data Source'!AG295&gt;=3,"B",IF('Data Source'!AG295&gt;=2,"C",IF('Data Source'!AG295&gt;=1,"D","F")))))))</f>
        <v/>
      </c>
      <c r="P295" s="5">
        <f>IF('Data Source'!B295="","",'Data Source'!R295)</f>
        <v/>
      </c>
      <c r="Q295" s="3">
        <f>IF('Data Source'!B295="","",'Data Source'!S295)</f>
        <v/>
      </c>
    </row>
    <row r="296">
      <c r="A296" s="3">
        <f>IF('Data Source'!B296="","",'Data Source'!A296)</f>
        <v/>
      </c>
      <c r="B296">
        <f>IF('Data Source'!B296="","",'Data Source'!B296)</f>
        <v/>
      </c>
      <c r="C296" s="3">
        <f>IF('Data Source'!B296="","",IF('Data Source'!U296&gt;=5,"A+",IF('Data Source'!U296&gt;=4,"A",IF('Data Source'!U296&gt;=3.5,"A-",IF('Data Source'!U296&gt;=3,"B",IF('Data Source'!U296&gt;=2,"C",IF('Data Source'!U296&gt;=1,"D","F")))))))</f>
        <v/>
      </c>
      <c r="D296" s="3">
        <f>IF('Data Source'!B296="","",IF('Data Source'!V296&gt;=5,"A+",IF('Data Source'!V296&gt;=4,"A",IF('Data Source'!V296&gt;=3.5,"A-",IF('Data Source'!V296&gt;=3,"B",IF('Data Source'!V296&gt;=2,"C",IF('Data Source'!V296&gt;=1,"D","F")))))))</f>
        <v/>
      </c>
      <c r="E296" s="3">
        <f>IF('Data Source'!B296="","",IF('Data Source'!W296&gt;=5,"A+",IF('Data Source'!W296&gt;=4,"A",IF('Data Source'!W296&gt;=3.5,"A-",IF('Data Source'!W296&gt;=3,"B",IF('Data Source'!W296&gt;=2,"C",IF('Data Source'!W296&gt;=1,"D","F")))))))</f>
        <v/>
      </c>
      <c r="F296" s="3">
        <f>IF('Data Source'!B296="","",IF('Data Source'!X296&gt;=5,"A+",IF('Data Source'!X296&gt;=4,"A",IF('Data Source'!X296&gt;=3.5,"A-",IF('Data Source'!X296&gt;=3,"B",IF('Data Source'!X296&gt;=2,"C",IF('Data Source'!X296&gt;=1,"D","F")))))))</f>
        <v/>
      </c>
      <c r="G296" s="3">
        <f>IF('Data Source'!B296="","",IF('Data Source'!Y296&gt;=5,"A+",IF('Data Source'!Y296&gt;=4,"A",IF('Data Source'!Y296&gt;=3.5,"A-",IF('Data Source'!Y296&gt;=3,"B",IF('Data Source'!Y296&gt;=2,"C",IF('Data Source'!Y296&gt;=1,"D","F")))))))</f>
        <v/>
      </c>
      <c r="H296" s="3">
        <f>IF('Data Source'!B296="","",IF('Data Source'!Z296&gt;=5,"A+",IF('Data Source'!Z296&gt;=4,"A",IF('Data Source'!Z296&gt;=3.5,"A-",IF('Data Source'!Z296&gt;=3,"B",IF('Data Source'!Z296&gt;=2,"C",IF('Data Source'!Z296&gt;=1,"D","F")))))))</f>
        <v/>
      </c>
      <c r="I296" s="3">
        <f>IF('Data Source'!B296="","",IF('Data Source'!AA296&gt;=5,"A+",IF('Data Source'!AA296&gt;=4,"A",IF('Data Source'!AA296&gt;=3.5,"A-",IF('Data Source'!AA296&gt;=3,"B",IF('Data Source'!AA296&gt;=2,"C",IF('Data Source'!AA296&gt;=1,"D","F")))))))</f>
        <v/>
      </c>
      <c r="J296" s="3">
        <f>IF('Data Source'!B296="","",IF('Data Source'!AB296&gt;=5,"A+",IF('Data Source'!AB296&gt;=4,"A",IF('Data Source'!AB296&gt;=3.5,"A-",IF('Data Source'!AB296&gt;=3,"B",IF('Data Source'!AB296&gt;=2,"C",IF('Data Source'!AB296&gt;=1,"D","F")))))))</f>
        <v/>
      </c>
      <c r="K296" s="3">
        <f>IF('Data Source'!B296="","",IF('Data Source'!AC296&gt;=5,"A+",IF('Data Source'!AC296&gt;=4,"A",IF('Data Source'!AC296&gt;=3.5,"A-",IF('Data Source'!AC296&gt;=3,"B",IF('Data Source'!AC296&gt;=2,"C",IF('Data Source'!AC296&gt;=1,"D","F")))))))</f>
        <v/>
      </c>
      <c r="L296" s="3">
        <f>IF('Data Source'!B296="","",IF('Data Source'!AD296&gt;=5,"A+",IF('Data Source'!AD296&gt;=4,"A",IF('Data Source'!AD296&gt;=3.5,"A-",IF('Data Source'!AD296&gt;=3,"B",IF('Data Source'!AD296&gt;=2,"C",IF('Data Source'!AD296&gt;=1,"D","F")))))))</f>
        <v/>
      </c>
      <c r="M296" s="3">
        <f>IF('Data Source'!B296="","",IF('Data Source'!AE296&gt;=5,"A+",IF('Data Source'!AE296&gt;=4,"A",IF('Data Source'!AE296&gt;=3.5,"A-",IF('Data Source'!AE296&gt;=3,"B",IF('Data Source'!AE296&gt;=2,"C",IF('Data Source'!AE296&gt;=1,"D","F")))))))</f>
        <v/>
      </c>
      <c r="N296" s="3">
        <f>IF('Data Source'!B296="","",IF('Data Source'!AF296&gt;=5,"A+",IF('Data Source'!AF296&gt;=4,"A",IF('Data Source'!AF296&gt;=3.5,"A-",IF('Data Source'!AF296&gt;=3,"B",IF('Data Source'!AF296&gt;=2,"C",IF('Data Source'!AF296&gt;=1,"D","F")))))))</f>
        <v/>
      </c>
      <c r="O296" s="3">
        <f>IF('Data Source'!B296="","",IF('Data Source'!AG296&gt;=5,"A+",IF('Data Source'!AG296&gt;=4,"A",IF('Data Source'!AG296&gt;=3.5,"A-",IF('Data Source'!AG296&gt;=3,"B",IF('Data Source'!AG296&gt;=2,"C",IF('Data Source'!AG296&gt;=1,"D","F")))))))</f>
        <v/>
      </c>
      <c r="P296" s="5">
        <f>IF('Data Source'!B296="","",'Data Source'!R296)</f>
        <v/>
      </c>
      <c r="Q296" s="3">
        <f>IF('Data Source'!B296="","",'Data Source'!S296)</f>
        <v/>
      </c>
    </row>
    <row r="297">
      <c r="A297" s="3">
        <f>IF('Data Source'!B297="","",'Data Source'!A297)</f>
        <v/>
      </c>
      <c r="B297">
        <f>IF('Data Source'!B297="","",'Data Source'!B297)</f>
        <v/>
      </c>
      <c r="C297" s="3">
        <f>IF('Data Source'!B297="","",IF('Data Source'!U297&gt;=5,"A+",IF('Data Source'!U297&gt;=4,"A",IF('Data Source'!U297&gt;=3.5,"A-",IF('Data Source'!U297&gt;=3,"B",IF('Data Source'!U297&gt;=2,"C",IF('Data Source'!U297&gt;=1,"D","F")))))))</f>
        <v/>
      </c>
      <c r="D297" s="3">
        <f>IF('Data Source'!B297="","",IF('Data Source'!V297&gt;=5,"A+",IF('Data Source'!V297&gt;=4,"A",IF('Data Source'!V297&gt;=3.5,"A-",IF('Data Source'!V297&gt;=3,"B",IF('Data Source'!V297&gt;=2,"C",IF('Data Source'!V297&gt;=1,"D","F")))))))</f>
        <v/>
      </c>
      <c r="E297" s="3">
        <f>IF('Data Source'!B297="","",IF('Data Source'!W297&gt;=5,"A+",IF('Data Source'!W297&gt;=4,"A",IF('Data Source'!W297&gt;=3.5,"A-",IF('Data Source'!W297&gt;=3,"B",IF('Data Source'!W297&gt;=2,"C",IF('Data Source'!W297&gt;=1,"D","F")))))))</f>
        <v/>
      </c>
      <c r="F297" s="3">
        <f>IF('Data Source'!B297="","",IF('Data Source'!X297&gt;=5,"A+",IF('Data Source'!X297&gt;=4,"A",IF('Data Source'!X297&gt;=3.5,"A-",IF('Data Source'!X297&gt;=3,"B",IF('Data Source'!X297&gt;=2,"C",IF('Data Source'!X297&gt;=1,"D","F")))))))</f>
        <v/>
      </c>
      <c r="G297" s="3">
        <f>IF('Data Source'!B297="","",IF('Data Source'!Y297&gt;=5,"A+",IF('Data Source'!Y297&gt;=4,"A",IF('Data Source'!Y297&gt;=3.5,"A-",IF('Data Source'!Y297&gt;=3,"B",IF('Data Source'!Y297&gt;=2,"C",IF('Data Source'!Y297&gt;=1,"D","F")))))))</f>
        <v/>
      </c>
      <c r="H297" s="3">
        <f>IF('Data Source'!B297="","",IF('Data Source'!Z297&gt;=5,"A+",IF('Data Source'!Z297&gt;=4,"A",IF('Data Source'!Z297&gt;=3.5,"A-",IF('Data Source'!Z297&gt;=3,"B",IF('Data Source'!Z297&gt;=2,"C",IF('Data Source'!Z297&gt;=1,"D","F")))))))</f>
        <v/>
      </c>
      <c r="I297" s="3">
        <f>IF('Data Source'!B297="","",IF('Data Source'!AA297&gt;=5,"A+",IF('Data Source'!AA297&gt;=4,"A",IF('Data Source'!AA297&gt;=3.5,"A-",IF('Data Source'!AA297&gt;=3,"B",IF('Data Source'!AA297&gt;=2,"C",IF('Data Source'!AA297&gt;=1,"D","F")))))))</f>
        <v/>
      </c>
      <c r="J297" s="3">
        <f>IF('Data Source'!B297="","",IF('Data Source'!AB297&gt;=5,"A+",IF('Data Source'!AB297&gt;=4,"A",IF('Data Source'!AB297&gt;=3.5,"A-",IF('Data Source'!AB297&gt;=3,"B",IF('Data Source'!AB297&gt;=2,"C",IF('Data Source'!AB297&gt;=1,"D","F")))))))</f>
        <v/>
      </c>
      <c r="K297" s="3">
        <f>IF('Data Source'!B297="","",IF('Data Source'!AC297&gt;=5,"A+",IF('Data Source'!AC297&gt;=4,"A",IF('Data Source'!AC297&gt;=3.5,"A-",IF('Data Source'!AC297&gt;=3,"B",IF('Data Source'!AC297&gt;=2,"C",IF('Data Source'!AC297&gt;=1,"D","F")))))))</f>
        <v/>
      </c>
      <c r="L297" s="3">
        <f>IF('Data Source'!B297="","",IF('Data Source'!AD297&gt;=5,"A+",IF('Data Source'!AD297&gt;=4,"A",IF('Data Source'!AD297&gt;=3.5,"A-",IF('Data Source'!AD297&gt;=3,"B",IF('Data Source'!AD297&gt;=2,"C",IF('Data Source'!AD297&gt;=1,"D","F")))))))</f>
        <v/>
      </c>
      <c r="M297" s="3">
        <f>IF('Data Source'!B297="","",IF('Data Source'!AE297&gt;=5,"A+",IF('Data Source'!AE297&gt;=4,"A",IF('Data Source'!AE297&gt;=3.5,"A-",IF('Data Source'!AE297&gt;=3,"B",IF('Data Source'!AE297&gt;=2,"C",IF('Data Source'!AE297&gt;=1,"D","F")))))))</f>
        <v/>
      </c>
      <c r="N297" s="3">
        <f>IF('Data Source'!B297="","",IF('Data Source'!AF297&gt;=5,"A+",IF('Data Source'!AF297&gt;=4,"A",IF('Data Source'!AF297&gt;=3.5,"A-",IF('Data Source'!AF297&gt;=3,"B",IF('Data Source'!AF297&gt;=2,"C",IF('Data Source'!AF297&gt;=1,"D","F")))))))</f>
        <v/>
      </c>
      <c r="O297" s="3">
        <f>IF('Data Source'!B297="","",IF('Data Source'!AG297&gt;=5,"A+",IF('Data Source'!AG297&gt;=4,"A",IF('Data Source'!AG297&gt;=3.5,"A-",IF('Data Source'!AG297&gt;=3,"B",IF('Data Source'!AG297&gt;=2,"C",IF('Data Source'!AG297&gt;=1,"D","F")))))))</f>
        <v/>
      </c>
      <c r="P297" s="5">
        <f>IF('Data Source'!B297="","",'Data Source'!R297)</f>
        <v/>
      </c>
      <c r="Q297" s="3">
        <f>IF('Data Source'!B297="","",'Data Source'!S297)</f>
        <v/>
      </c>
    </row>
    <row r="298">
      <c r="A298" s="3">
        <f>IF('Data Source'!B298="","",'Data Source'!A298)</f>
        <v/>
      </c>
      <c r="B298">
        <f>IF('Data Source'!B298="","",'Data Source'!B298)</f>
        <v/>
      </c>
      <c r="C298" s="3">
        <f>IF('Data Source'!B298="","",IF('Data Source'!U298&gt;=5,"A+",IF('Data Source'!U298&gt;=4,"A",IF('Data Source'!U298&gt;=3.5,"A-",IF('Data Source'!U298&gt;=3,"B",IF('Data Source'!U298&gt;=2,"C",IF('Data Source'!U298&gt;=1,"D","F")))))))</f>
        <v/>
      </c>
      <c r="D298" s="3">
        <f>IF('Data Source'!B298="","",IF('Data Source'!V298&gt;=5,"A+",IF('Data Source'!V298&gt;=4,"A",IF('Data Source'!V298&gt;=3.5,"A-",IF('Data Source'!V298&gt;=3,"B",IF('Data Source'!V298&gt;=2,"C",IF('Data Source'!V298&gt;=1,"D","F")))))))</f>
        <v/>
      </c>
      <c r="E298" s="3">
        <f>IF('Data Source'!B298="","",IF('Data Source'!W298&gt;=5,"A+",IF('Data Source'!W298&gt;=4,"A",IF('Data Source'!W298&gt;=3.5,"A-",IF('Data Source'!W298&gt;=3,"B",IF('Data Source'!W298&gt;=2,"C",IF('Data Source'!W298&gt;=1,"D","F")))))))</f>
        <v/>
      </c>
      <c r="F298" s="3">
        <f>IF('Data Source'!B298="","",IF('Data Source'!X298&gt;=5,"A+",IF('Data Source'!X298&gt;=4,"A",IF('Data Source'!X298&gt;=3.5,"A-",IF('Data Source'!X298&gt;=3,"B",IF('Data Source'!X298&gt;=2,"C",IF('Data Source'!X298&gt;=1,"D","F")))))))</f>
        <v/>
      </c>
      <c r="G298" s="3">
        <f>IF('Data Source'!B298="","",IF('Data Source'!Y298&gt;=5,"A+",IF('Data Source'!Y298&gt;=4,"A",IF('Data Source'!Y298&gt;=3.5,"A-",IF('Data Source'!Y298&gt;=3,"B",IF('Data Source'!Y298&gt;=2,"C",IF('Data Source'!Y298&gt;=1,"D","F")))))))</f>
        <v/>
      </c>
      <c r="H298" s="3">
        <f>IF('Data Source'!B298="","",IF('Data Source'!Z298&gt;=5,"A+",IF('Data Source'!Z298&gt;=4,"A",IF('Data Source'!Z298&gt;=3.5,"A-",IF('Data Source'!Z298&gt;=3,"B",IF('Data Source'!Z298&gt;=2,"C",IF('Data Source'!Z298&gt;=1,"D","F")))))))</f>
        <v/>
      </c>
      <c r="I298" s="3">
        <f>IF('Data Source'!B298="","",IF('Data Source'!AA298&gt;=5,"A+",IF('Data Source'!AA298&gt;=4,"A",IF('Data Source'!AA298&gt;=3.5,"A-",IF('Data Source'!AA298&gt;=3,"B",IF('Data Source'!AA298&gt;=2,"C",IF('Data Source'!AA298&gt;=1,"D","F")))))))</f>
        <v/>
      </c>
      <c r="J298" s="3">
        <f>IF('Data Source'!B298="","",IF('Data Source'!AB298&gt;=5,"A+",IF('Data Source'!AB298&gt;=4,"A",IF('Data Source'!AB298&gt;=3.5,"A-",IF('Data Source'!AB298&gt;=3,"B",IF('Data Source'!AB298&gt;=2,"C",IF('Data Source'!AB298&gt;=1,"D","F")))))))</f>
        <v/>
      </c>
      <c r="K298" s="3">
        <f>IF('Data Source'!B298="","",IF('Data Source'!AC298&gt;=5,"A+",IF('Data Source'!AC298&gt;=4,"A",IF('Data Source'!AC298&gt;=3.5,"A-",IF('Data Source'!AC298&gt;=3,"B",IF('Data Source'!AC298&gt;=2,"C",IF('Data Source'!AC298&gt;=1,"D","F")))))))</f>
        <v/>
      </c>
      <c r="L298" s="3">
        <f>IF('Data Source'!B298="","",IF('Data Source'!AD298&gt;=5,"A+",IF('Data Source'!AD298&gt;=4,"A",IF('Data Source'!AD298&gt;=3.5,"A-",IF('Data Source'!AD298&gt;=3,"B",IF('Data Source'!AD298&gt;=2,"C",IF('Data Source'!AD298&gt;=1,"D","F")))))))</f>
        <v/>
      </c>
      <c r="M298" s="3">
        <f>IF('Data Source'!B298="","",IF('Data Source'!AE298&gt;=5,"A+",IF('Data Source'!AE298&gt;=4,"A",IF('Data Source'!AE298&gt;=3.5,"A-",IF('Data Source'!AE298&gt;=3,"B",IF('Data Source'!AE298&gt;=2,"C",IF('Data Source'!AE298&gt;=1,"D","F")))))))</f>
        <v/>
      </c>
      <c r="N298" s="3">
        <f>IF('Data Source'!B298="","",IF('Data Source'!AF298&gt;=5,"A+",IF('Data Source'!AF298&gt;=4,"A",IF('Data Source'!AF298&gt;=3.5,"A-",IF('Data Source'!AF298&gt;=3,"B",IF('Data Source'!AF298&gt;=2,"C",IF('Data Source'!AF298&gt;=1,"D","F")))))))</f>
        <v/>
      </c>
      <c r="O298" s="3">
        <f>IF('Data Source'!B298="","",IF('Data Source'!AG298&gt;=5,"A+",IF('Data Source'!AG298&gt;=4,"A",IF('Data Source'!AG298&gt;=3.5,"A-",IF('Data Source'!AG298&gt;=3,"B",IF('Data Source'!AG298&gt;=2,"C",IF('Data Source'!AG298&gt;=1,"D","F")))))))</f>
        <v/>
      </c>
      <c r="P298" s="5">
        <f>IF('Data Source'!B298="","",'Data Source'!R298)</f>
        <v/>
      </c>
      <c r="Q298" s="3">
        <f>IF('Data Source'!B298="","",'Data Source'!S298)</f>
        <v/>
      </c>
    </row>
    <row r="299">
      <c r="A299" s="3">
        <f>IF('Data Source'!B299="","",'Data Source'!A299)</f>
        <v/>
      </c>
      <c r="B299">
        <f>IF('Data Source'!B299="","",'Data Source'!B299)</f>
        <v/>
      </c>
      <c r="C299" s="3">
        <f>IF('Data Source'!B299="","",IF('Data Source'!U299&gt;=5,"A+",IF('Data Source'!U299&gt;=4,"A",IF('Data Source'!U299&gt;=3.5,"A-",IF('Data Source'!U299&gt;=3,"B",IF('Data Source'!U299&gt;=2,"C",IF('Data Source'!U299&gt;=1,"D","F")))))))</f>
        <v/>
      </c>
      <c r="D299" s="3">
        <f>IF('Data Source'!B299="","",IF('Data Source'!V299&gt;=5,"A+",IF('Data Source'!V299&gt;=4,"A",IF('Data Source'!V299&gt;=3.5,"A-",IF('Data Source'!V299&gt;=3,"B",IF('Data Source'!V299&gt;=2,"C",IF('Data Source'!V299&gt;=1,"D","F")))))))</f>
        <v/>
      </c>
      <c r="E299" s="3">
        <f>IF('Data Source'!B299="","",IF('Data Source'!W299&gt;=5,"A+",IF('Data Source'!W299&gt;=4,"A",IF('Data Source'!W299&gt;=3.5,"A-",IF('Data Source'!W299&gt;=3,"B",IF('Data Source'!W299&gt;=2,"C",IF('Data Source'!W299&gt;=1,"D","F")))))))</f>
        <v/>
      </c>
      <c r="F299" s="3">
        <f>IF('Data Source'!B299="","",IF('Data Source'!X299&gt;=5,"A+",IF('Data Source'!X299&gt;=4,"A",IF('Data Source'!X299&gt;=3.5,"A-",IF('Data Source'!X299&gt;=3,"B",IF('Data Source'!X299&gt;=2,"C",IF('Data Source'!X299&gt;=1,"D","F")))))))</f>
        <v/>
      </c>
      <c r="G299" s="3">
        <f>IF('Data Source'!B299="","",IF('Data Source'!Y299&gt;=5,"A+",IF('Data Source'!Y299&gt;=4,"A",IF('Data Source'!Y299&gt;=3.5,"A-",IF('Data Source'!Y299&gt;=3,"B",IF('Data Source'!Y299&gt;=2,"C",IF('Data Source'!Y299&gt;=1,"D","F")))))))</f>
        <v/>
      </c>
      <c r="H299" s="3">
        <f>IF('Data Source'!B299="","",IF('Data Source'!Z299&gt;=5,"A+",IF('Data Source'!Z299&gt;=4,"A",IF('Data Source'!Z299&gt;=3.5,"A-",IF('Data Source'!Z299&gt;=3,"B",IF('Data Source'!Z299&gt;=2,"C",IF('Data Source'!Z299&gt;=1,"D","F")))))))</f>
        <v/>
      </c>
      <c r="I299" s="3">
        <f>IF('Data Source'!B299="","",IF('Data Source'!AA299&gt;=5,"A+",IF('Data Source'!AA299&gt;=4,"A",IF('Data Source'!AA299&gt;=3.5,"A-",IF('Data Source'!AA299&gt;=3,"B",IF('Data Source'!AA299&gt;=2,"C",IF('Data Source'!AA299&gt;=1,"D","F")))))))</f>
        <v/>
      </c>
      <c r="J299" s="3">
        <f>IF('Data Source'!B299="","",IF('Data Source'!AB299&gt;=5,"A+",IF('Data Source'!AB299&gt;=4,"A",IF('Data Source'!AB299&gt;=3.5,"A-",IF('Data Source'!AB299&gt;=3,"B",IF('Data Source'!AB299&gt;=2,"C",IF('Data Source'!AB299&gt;=1,"D","F")))))))</f>
        <v/>
      </c>
      <c r="K299" s="3">
        <f>IF('Data Source'!B299="","",IF('Data Source'!AC299&gt;=5,"A+",IF('Data Source'!AC299&gt;=4,"A",IF('Data Source'!AC299&gt;=3.5,"A-",IF('Data Source'!AC299&gt;=3,"B",IF('Data Source'!AC299&gt;=2,"C",IF('Data Source'!AC299&gt;=1,"D","F")))))))</f>
        <v/>
      </c>
      <c r="L299" s="3">
        <f>IF('Data Source'!B299="","",IF('Data Source'!AD299&gt;=5,"A+",IF('Data Source'!AD299&gt;=4,"A",IF('Data Source'!AD299&gt;=3.5,"A-",IF('Data Source'!AD299&gt;=3,"B",IF('Data Source'!AD299&gt;=2,"C",IF('Data Source'!AD299&gt;=1,"D","F")))))))</f>
        <v/>
      </c>
      <c r="M299" s="3">
        <f>IF('Data Source'!B299="","",IF('Data Source'!AE299&gt;=5,"A+",IF('Data Source'!AE299&gt;=4,"A",IF('Data Source'!AE299&gt;=3.5,"A-",IF('Data Source'!AE299&gt;=3,"B",IF('Data Source'!AE299&gt;=2,"C",IF('Data Source'!AE299&gt;=1,"D","F")))))))</f>
        <v/>
      </c>
      <c r="N299" s="3">
        <f>IF('Data Source'!B299="","",IF('Data Source'!AF299&gt;=5,"A+",IF('Data Source'!AF299&gt;=4,"A",IF('Data Source'!AF299&gt;=3.5,"A-",IF('Data Source'!AF299&gt;=3,"B",IF('Data Source'!AF299&gt;=2,"C",IF('Data Source'!AF299&gt;=1,"D","F")))))))</f>
        <v/>
      </c>
      <c r="O299" s="3">
        <f>IF('Data Source'!B299="","",IF('Data Source'!AG299&gt;=5,"A+",IF('Data Source'!AG299&gt;=4,"A",IF('Data Source'!AG299&gt;=3.5,"A-",IF('Data Source'!AG299&gt;=3,"B",IF('Data Source'!AG299&gt;=2,"C",IF('Data Source'!AG299&gt;=1,"D","F")))))))</f>
        <v/>
      </c>
      <c r="P299" s="5">
        <f>IF('Data Source'!B299="","",'Data Source'!R299)</f>
        <v/>
      </c>
      <c r="Q299" s="3">
        <f>IF('Data Source'!B299="","",'Data Source'!S299)</f>
        <v/>
      </c>
    </row>
    <row r="300">
      <c r="A300" s="3">
        <f>IF('Data Source'!B300="","",'Data Source'!A300)</f>
        <v/>
      </c>
      <c r="B300">
        <f>IF('Data Source'!B300="","",'Data Source'!B300)</f>
        <v/>
      </c>
      <c r="C300" s="3">
        <f>IF('Data Source'!B300="","",IF('Data Source'!U300&gt;=5,"A+",IF('Data Source'!U300&gt;=4,"A",IF('Data Source'!U300&gt;=3.5,"A-",IF('Data Source'!U300&gt;=3,"B",IF('Data Source'!U300&gt;=2,"C",IF('Data Source'!U300&gt;=1,"D","F")))))))</f>
        <v/>
      </c>
      <c r="D300" s="3">
        <f>IF('Data Source'!B300="","",IF('Data Source'!V300&gt;=5,"A+",IF('Data Source'!V300&gt;=4,"A",IF('Data Source'!V300&gt;=3.5,"A-",IF('Data Source'!V300&gt;=3,"B",IF('Data Source'!V300&gt;=2,"C",IF('Data Source'!V300&gt;=1,"D","F")))))))</f>
        <v/>
      </c>
      <c r="E300" s="3">
        <f>IF('Data Source'!B300="","",IF('Data Source'!W300&gt;=5,"A+",IF('Data Source'!W300&gt;=4,"A",IF('Data Source'!W300&gt;=3.5,"A-",IF('Data Source'!W300&gt;=3,"B",IF('Data Source'!W300&gt;=2,"C",IF('Data Source'!W300&gt;=1,"D","F")))))))</f>
        <v/>
      </c>
      <c r="F300" s="3">
        <f>IF('Data Source'!B300="","",IF('Data Source'!X300&gt;=5,"A+",IF('Data Source'!X300&gt;=4,"A",IF('Data Source'!X300&gt;=3.5,"A-",IF('Data Source'!X300&gt;=3,"B",IF('Data Source'!X300&gt;=2,"C",IF('Data Source'!X300&gt;=1,"D","F")))))))</f>
        <v/>
      </c>
      <c r="G300" s="3">
        <f>IF('Data Source'!B300="","",IF('Data Source'!Y300&gt;=5,"A+",IF('Data Source'!Y300&gt;=4,"A",IF('Data Source'!Y300&gt;=3.5,"A-",IF('Data Source'!Y300&gt;=3,"B",IF('Data Source'!Y300&gt;=2,"C",IF('Data Source'!Y300&gt;=1,"D","F")))))))</f>
        <v/>
      </c>
      <c r="H300" s="3">
        <f>IF('Data Source'!B300="","",IF('Data Source'!Z300&gt;=5,"A+",IF('Data Source'!Z300&gt;=4,"A",IF('Data Source'!Z300&gt;=3.5,"A-",IF('Data Source'!Z300&gt;=3,"B",IF('Data Source'!Z300&gt;=2,"C",IF('Data Source'!Z300&gt;=1,"D","F")))))))</f>
        <v/>
      </c>
      <c r="I300" s="3">
        <f>IF('Data Source'!B300="","",IF('Data Source'!AA300&gt;=5,"A+",IF('Data Source'!AA300&gt;=4,"A",IF('Data Source'!AA300&gt;=3.5,"A-",IF('Data Source'!AA300&gt;=3,"B",IF('Data Source'!AA300&gt;=2,"C",IF('Data Source'!AA300&gt;=1,"D","F")))))))</f>
        <v/>
      </c>
      <c r="J300" s="3">
        <f>IF('Data Source'!B300="","",IF('Data Source'!AB300&gt;=5,"A+",IF('Data Source'!AB300&gt;=4,"A",IF('Data Source'!AB300&gt;=3.5,"A-",IF('Data Source'!AB300&gt;=3,"B",IF('Data Source'!AB300&gt;=2,"C",IF('Data Source'!AB300&gt;=1,"D","F")))))))</f>
        <v/>
      </c>
      <c r="K300" s="3">
        <f>IF('Data Source'!B300="","",IF('Data Source'!AC300&gt;=5,"A+",IF('Data Source'!AC300&gt;=4,"A",IF('Data Source'!AC300&gt;=3.5,"A-",IF('Data Source'!AC300&gt;=3,"B",IF('Data Source'!AC300&gt;=2,"C",IF('Data Source'!AC300&gt;=1,"D","F")))))))</f>
        <v/>
      </c>
      <c r="L300" s="3">
        <f>IF('Data Source'!B300="","",IF('Data Source'!AD300&gt;=5,"A+",IF('Data Source'!AD300&gt;=4,"A",IF('Data Source'!AD300&gt;=3.5,"A-",IF('Data Source'!AD300&gt;=3,"B",IF('Data Source'!AD300&gt;=2,"C",IF('Data Source'!AD300&gt;=1,"D","F")))))))</f>
        <v/>
      </c>
      <c r="M300" s="3">
        <f>IF('Data Source'!B300="","",IF('Data Source'!AE300&gt;=5,"A+",IF('Data Source'!AE300&gt;=4,"A",IF('Data Source'!AE300&gt;=3.5,"A-",IF('Data Source'!AE300&gt;=3,"B",IF('Data Source'!AE300&gt;=2,"C",IF('Data Source'!AE300&gt;=1,"D","F")))))))</f>
        <v/>
      </c>
      <c r="N300" s="3">
        <f>IF('Data Source'!B300="","",IF('Data Source'!AF300&gt;=5,"A+",IF('Data Source'!AF300&gt;=4,"A",IF('Data Source'!AF300&gt;=3.5,"A-",IF('Data Source'!AF300&gt;=3,"B",IF('Data Source'!AF300&gt;=2,"C",IF('Data Source'!AF300&gt;=1,"D","F")))))))</f>
        <v/>
      </c>
      <c r="O300" s="3">
        <f>IF('Data Source'!B300="","",IF('Data Source'!AG300&gt;=5,"A+",IF('Data Source'!AG300&gt;=4,"A",IF('Data Source'!AG300&gt;=3.5,"A-",IF('Data Source'!AG300&gt;=3,"B",IF('Data Source'!AG300&gt;=2,"C",IF('Data Source'!AG300&gt;=1,"D","F")))))))</f>
        <v/>
      </c>
      <c r="P300" s="5">
        <f>IF('Data Source'!B300="","",'Data Source'!R300)</f>
        <v/>
      </c>
      <c r="Q300" s="3">
        <f>IF('Data Source'!B300="","",'Data Source'!S300)</f>
        <v/>
      </c>
    </row>
    <row r="301">
      <c r="A301" s="3">
        <f>IF('Data Source'!B301="","",'Data Source'!A301)</f>
        <v/>
      </c>
      <c r="B301">
        <f>IF('Data Source'!B301="","",'Data Source'!B301)</f>
        <v/>
      </c>
      <c r="C301" s="3">
        <f>IF('Data Source'!B301="","",IF('Data Source'!U301&gt;=5,"A+",IF('Data Source'!U301&gt;=4,"A",IF('Data Source'!U301&gt;=3.5,"A-",IF('Data Source'!U301&gt;=3,"B",IF('Data Source'!U301&gt;=2,"C",IF('Data Source'!U301&gt;=1,"D","F")))))))</f>
        <v/>
      </c>
      <c r="D301" s="3">
        <f>IF('Data Source'!B301="","",IF('Data Source'!V301&gt;=5,"A+",IF('Data Source'!V301&gt;=4,"A",IF('Data Source'!V301&gt;=3.5,"A-",IF('Data Source'!V301&gt;=3,"B",IF('Data Source'!V301&gt;=2,"C",IF('Data Source'!V301&gt;=1,"D","F")))))))</f>
        <v/>
      </c>
      <c r="E301" s="3">
        <f>IF('Data Source'!B301="","",IF('Data Source'!W301&gt;=5,"A+",IF('Data Source'!W301&gt;=4,"A",IF('Data Source'!W301&gt;=3.5,"A-",IF('Data Source'!W301&gt;=3,"B",IF('Data Source'!W301&gt;=2,"C",IF('Data Source'!W301&gt;=1,"D","F")))))))</f>
        <v/>
      </c>
      <c r="F301" s="3">
        <f>IF('Data Source'!B301="","",IF('Data Source'!X301&gt;=5,"A+",IF('Data Source'!X301&gt;=4,"A",IF('Data Source'!X301&gt;=3.5,"A-",IF('Data Source'!X301&gt;=3,"B",IF('Data Source'!X301&gt;=2,"C",IF('Data Source'!X301&gt;=1,"D","F")))))))</f>
        <v/>
      </c>
      <c r="G301" s="3">
        <f>IF('Data Source'!B301="","",IF('Data Source'!Y301&gt;=5,"A+",IF('Data Source'!Y301&gt;=4,"A",IF('Data Source'!Y301&gt;=3.5,"A-",IF('Data Source'!Y301&gt;=3,"B",IF('Data Source'!Y301&gt;=2,"C",IF('Data Source'!Y301&gt;=1,"D","F")))))))</f>
        <v/>
      </c>
      <c r="H301" s="3">
        <f>IF('Data Source'!B301="","",IF('Data Source'!Z301&gt;=5,"A+",IF('Data Source'!Z301&gt;=4,"A",IF('Data Source'!Z301&gt;=3.5,"A-",IF('Data Source'!Z301&gt;=3,"B",IF('Data Source'!Z301&gt;=2,"C",IF('Data Source'!Z301&gt;=1,"D","F")))))))</f>
        <v/>
      </c>
      <c r="I301" s="3">
        <f>IF('Data Source'!B301="","",IF('Data Source'!AA301&gt;=5,"A+",IF('Data Source'!AA301&gt;=4,"A",IF('Data Source'!AA301&gt;=3.5,"A-",IF('Data Source'!AA301&gt;=3,"B",IF('Data Source'!AA301&gt;=2,"C",IF('Data Source'!AA301&gt;=1,"D","F")))))))</f>
        <v/>
      </c>
      <c r="J301" s="3">
        <f>IF('Data Source'!B301="","",IF('Data Source'!AB301&gt;=5,"A+",IF('Data Source'!AB301&gt;=4,"A",IF('Data Source'!AB301&gt;=3.5,"A-",IF('Data Source'!AB301&gt;=3,"B",IF('Data Source'!AB301&gt;=2,"C",IF('Data Source'!AB301&gt;=1,"D","F")))))))</f>
        <v/>
      </c>
      <c r="K301" s="3">
        <f>IF('Data Source'!B301="","",IF('Data Source'!AC301&gt;=5,"A+",IF('Data Source'!AC301&gt;=4,"A",IF('Data Source'!AC301&gt;=3.5,"A-",IF('Data Source'!AC301&gt;=3,"B",IF('Data Source'!AC301&gt;=2,"C",IF('Data Source'!AC301&gt;=1,"D","F")))))))</f>
        <v/>
      </c>
      <c r="L301" s="3">
        <f>IF('Data Source'!B301="","",IF('Data Source'!AD301&gt;=5,"A+",IF('Data Source'!AD301&gt;=4,"A",IF('Data Source'!AD301&gt;=3.5,"A-",IF('Data Source'!AD301&gt;=3,"B",IF('Data Source'!AD301&gt;=2,"C",IF('Data Source'!AD301&gt;=1,"D","F")))))))</f>
        <v/>
      </c>
      <c r="M301" s="3">
        <f>IF('Data Source'!B301="","",IF('Data Source'!AE301&gt;=5,"A+",IF('Data Source'!AE301&gt;=4,"A",IF('Data Source'!AE301&gt;=3.5,"A-",IF('Data Source'!AE301&gt;=3,"B",IF('Data Source'!AE301&gt;=2,"C",IF('Data Source'!AE301&gt;=1,"D","F")))))))</f>
        <v/>
      </c>
      <c r="N301" s="3">
        <f>IF('Data Source'!B301="","",IF('Data Source'!AF301&gt;=5,"A+",IF('Data Source'!AF301&gt;=4,"A",IF('Data Source'!AF301&gt;=3.5,"A-",IF('Data Source'!AF301&gt;=3,"B",IF('Data Source'!AF301&gt;=2,"C",IF('Data Source'!AF301&gt;=1,"D","F")))))))</f>
        <v/>
      </c>
      <c r="O301" s="3">
        <f>IF('Data Source'!B301="","",IF('Data Source'!AG301&gt;=5,"A+",IF('Data Source'!AG301&gt;=4,"A",IF('Data Source'!AG301&gt;=3.5,"A-",IF('Data Source'!AG301&gt;=3,"B",IF('Data Source'!AG301&gt;=2,"C",IF('Data Source'!AG301&gt;=1,"D","F")))))))</f>
        <v/>
      </c>
      <c r="P301" s="5">
        <f>IF('Data Source'!B301="","",'Data Source'!R301)</f>
        <v/>
      </c>
      <c r="Q301" s="3">
        <f>IF('Data Source'!B301="","",'Data Source'!S301)</f>
        <v/>
      </c>
    </row>
    <row r="302">
      <c r="A302" s="3">
        <f>IF('Data Source'!B302="","",'Data Source'!A302)</f>
        <v/>
      </c>
      <c r="B302">
        <f>IF('Data Source'!B302="","",'Data Source'!B302)</f>
        <v/>
      </c>
      <c r="C302" s="3">
        <f>IF('Data Source'!B302="","",IF('Data Source'!U302&gt;=5,"A+",IF('Data Source'!U302&gt;=4,"A",IF('Data Source'!U302&gt;=3.5,"A-",IF('Data Source'!U302&gt;=3,"B",IF('Data Source'!U302&gt;=2,"C",IF('Data Source'!U302&gt;=1,"D","F")))))))</f>
        <v/>
      </c>
      <c r="D302" s="3">
        <f>IF('Data Source'!B302="","",IF('Data Source'!V302&gt;=5,"A+",IF('Data Source'!V302&gt;=4,"A",IF('Data Source'!V302&gt;=3.5,"A-",IF('Data Source'!V302&gt;=3,"B",IF('Data Source'!V302&gt;=2,"C",IF('Data Source'!V302&gt;=1,"D","F")))))))</f>
        <v/>
      </c>
      <c r="E302" s="3">
        <f>IF('Data Source'!B302="","",IF('Data Source'!W302&gt;=5,"A+",IF('Data Source'!W302&gt;=4,"A",IF('Data Source'!W302&gt;=3.5,"A-",IF('Data Source'!W302&gt;=3,"B",IF('Data Source'!W302&gt;=2,"C",IF('Data Source'!W302&gt;=1,"D","F")))))))</f>
        <v/>
      </c>
      <c r="F302" s="3">
        <f>IF('Data Source'!B302="","",IF('Data Source'!X302&gt;=5,"A+",IF('Data Source'!X302&gt;=4,"A",IF('Data Source'!X302&gt;=3.5,"A-",IF('Data Source'!X302&gt;=3,"B",IF('Data Source'!X302&gt;=2,"C",IF('Data Source'!X302&gt;=1,"D","F")))))))</f>
        <v/>
      </c>
      <c r="G302" s="3">
        <f>IF('Data Source'!B302="","",IF('Data Source'!Y302&gt;=5,"A+",IF('Data Source'!Y302&gt;=4,"A",IF('Data Source'!Y302&gt;=3.5,"A-",IF('Data Source'!Y302&gt;=3,"B",IF('Data Source'!Y302&gt;=2,"C",IF('Data Source'!Y302&gt;=1,"D","F")))))))</f>
        <v/>
      </c>
      <c r="H302" s="3">
        <f>IF('Data Source'!B302="","",IF('Data Source'!Z302&gt;=5,"A+",IF('Data Source'!Z302&gt;=4,"A",IF('Data Source'!Z302&gt;=3.5,"A-",IF('Data Source'!Z302&gt;=3,"B",IF('Data Source'!Z302&gt;=2,"C",IF('Data Source'!Z302&gt;=1,"D","F")))))))</f>
        <v/>
      </c>
      <c r="I302" s="3">
        <f>IF('Data Source'!B302="","",IF('Data Source'!AA302&gt;=5,"A+",IF('Data Source'!AA302&gt;=4,"A",IF('Data Source'!AA302&gt;=3.5,"A-",IF('Data Source'!AA302&gt;=3,"B",IF('Data Source'!AA302&gt;=2,"C",IF('Data Source'!AA302&gt;=1,"D","F")))))))</f>
        <v/>
      </c>
      <c r="J302" s="3">
        <f>IF('Data Source'!B302="","",IF('Data Source'!AB302&gt;=5,"A+",IF('Data Source'!AB302&gt;=4,"A",IF('Data Source'!AB302&gt;=3.5,"A-",IF('Data Source'!AB302&gt;=3,"B",IF('Data Source'!AB302&gt;=2,"C",IF('Data Source'!AB302&gt;=1,"D","F")))))))</f>
        <v/>
      </c>
      <c r="K302" s="3">
        <f>IF('Data Source'!B302="","",IF('Data Source'!AC302&gt;=5,"A+",IF('Data Source'!AC302&gt;=4,"A",IF('Data Source'!AC302&gt;=3.5,"A-",IF('Data Source'!AC302&gt;=3,"B",IF('Data Source'!AC302&gt;=2,"C",IF('Data Source'!AC302&gt;=1,"D","F")))))))</f>
        <v/>
      </c>
      <c r="L302" s="3">
        <f>IF('Data Source'!B302="","",IF('Data Source'!AD302&gt;=5,"A+",IF('Data Source'!AD302&gt;=4,"A",IF('Data Source'!AD302&gt;=3.5,"A-",IF('Data Source'!AD302&gt;=3,"B",IF('Data Source'!AD302&gt;=2,"C",IF('Data Source'!AD302&gt;=1,"D","F")))))))</f>
        <v/>
      </c>
      <c r="M302" s="3">
        <f>IF('Data Source'!B302="","",IF('Data Source'!AE302&gt;=5,"A+",IF('Data Source'!AE302&gt;=4,"A",IF('Data Source'!AE302&gt;=3.5,"A-",IF('Data Source'!AE302&gt;=3,"B",IF('Data Source'!AE302&gt;=2,"C",IF('Data Source'!AE302&gt;=1,"D","F")))))))</f>
        <v/>
      </c>
      <c r="N302" s="3">
        <f>IF('Data Source'!B302="","",IF('Data Source'!AF302&gt;=5,"A+",IF('Data Source'!AF302&gt;=4,"A",IF('Data Source'!AF302&gt;=3.5,"A-",IF('Data Source'!AF302&gt;=3,"B",IF('Data Source'!AF302&gt;=2,"C",IF('Data Source'!AF302&gt;=1,"D","F")))))))</f>
        <v/>
      </c>
      <c r="O302" s="3">
        <f>IF('Data Source'!B302="","",IF('Data Source'!AG302&gt;=5,"A+",IF('Data Source'!AG302&gt;=4,"A",IF('Data Source'!AG302&gt;=3.5,"A-",IF('Data Source'!AG302&gt;=3,"B",IF('Data Source'!AG302&gt;=2,"C",IF('Data Source'!AG302&gt;=1,"D","F")))))))</f>
        <v/>
      </c>
      <c r="P302" s="5">
        <f>IF('Data Source'!B302="","",'Data Source'!R302)</f>
        <v/>
      </c>
      <c r="Q302" s="3">
        <f>IF('Data Source'!B302="","",'Data Source'!S302)</f>
        <v/>
      </c>
    </row>
    <row r="303">
      <c r="A303" s="3">
        <f>IF('Data Source'!B303="","",'Data Source'!A303)</f>
        <v/>
      </c>
      <c r="B303">
        <f>IF('Data Source'!B303="","",'Data Source'!B303)</f>
        <v/>
      </c>
      <c r="C303" s="3">
        <f>IF('Data Source'!B303="","",IF('Data Source'!U303&gt;=5,"A+",IF('Data Source'!U303&gt;=4,"A",IF('Data Source'!U303&gt;=3.5,"A-",IF('Data Source'!U303&gt;=3,"B",IF('Data Source'!U303&gt;=2,"C",IF('Data Source'!U303&gt;=1,"D","F")))))))</f>
        <v/>
      </c>
      <c r="D303" s="3">
        <f>IF('Data Source'!B303="","",IF('Data Source'!V303&gt;=5,"A+",IF('Data Source'!V303&gt;=4,"A",IF('Data Source'!V303&gt;=3.5,"A-",IF('Data Source'!V303&gt;=3,"B",IF('Data Source'!V303&gt;=2,"C",IF('Data Source'!V303&gt;=1,"D","F")))))))</f>
        <v/>
      </c>
      <c r="E303" s="3">
        <f>IF('Data Source'!B303="","",IF('Data Source'!W303&gt;=5,"A+",IF('Data Source'!W303&gt;=4,"A",IF('Data Source'!W303&gt;=3.5,"A-",IF('Data Source'!W303&gt;=3,"B",IF('Data Source'!W303&gt;=2,"C",IF('Data Source'!W303&gt;=1,"D","F")))))))</f>
        <v/>
      </c>
      <c r="F303" s="3">
        <f>IF('Data Source'!B303="","",IF('Data Source'!X303&gt;=5,"A+",IF('Data Source'!X303&gt;=4,"A",IF('Data Source'!X303&gt;=3.5,"A-",IF('Data Source'!X303&gt;=3,"B",IF('Data Source'!X303&gt;=2,"C",IF('Data Source'!X303&gt;=1,"D","F")))))))</f>
        <v/>
      </c>
      <c r="G303" s="3">
        <f>IF('Data Source'!B303="","",IF('Data Source'!Y303&gt;=5,"A+",IF('Data Source'!Y303&gt;=4,"A",IF('Data Source'!Y303&gt;=3.5,"A-",IF('Data Source'!Y303&gt;=3,"B",IF('Data Source'!Y303&gt;=2,"C",IF('Data Source'!Y303&gt;=1,"D","F")))))))</f>
        <v/>
      </c>
      <c r="H303" s="3">
        <f>IF('Data Source'!B303="","",IF('Data Source'!Z303&gt;=5,"A+",IF('Data Source'!Z303&gt;=4,"A",IF('Data Source'!Z303&gt;=3.5,"A-",IF('Data Source'!Z303&gt;=3,"B",IF('Data Source'!Z303&gt;=2,"C",IF('Data Source'!Z303&gt;=1,"D","F")))))))</f>
        <v/>
      </c>
      <c r="I303" s="3">
        <f>IF('Data Source'!B303="","",IF('Data Source'!AA303&gt;=5,"A+",IF('Data Source'!AA303&gt;=4,"A",IF('Data Source'!AA303&gt;=3.5,"A-",IF('Data Source'!AA303&gt;=3,"B",IF('Data Source'!AA303&gt;=2,"C",IF('Data Source'!AA303&gt;=1,"D","F")))))))</f>
        <v/>
      </c>
      <c r="J303" s="3">
        <f>IF('Data Source'!B303="","",IF('Data Source'!AB303&gt;=5,"A+",IF('Data Source'!AB303&gt;=4,"A",IF('Data Source'!AB303&gt;=3.5,"A-",IF('Data Source'!AB303&gt;=3,"B",IF('Data Source'!AB303&gt;=2,"C",IF('Data Source'!AB303&gt;=1,"D","F")))))))</f>
        <v/>
      </c>
      <c r="K303" s="3">
        <f>IF('Data Source'!B303="","",IF('Data Source'!AC303&gt;=5,"A+",IF('Data Source'!AC303&gt;=4,"A",IF('Data Source'!AC303&gt;=3.5,"A-",IF('Data Source'!AC303&gt;=3,"B",IF('Data Source'!AC303&gt;=2,"C",IF('Data Source'!AC303&gt;=1,"D","F")))))))</f>
        <v/>
      </c>
      <c r="L303" s="3">
        <f>IF('Data Source'!B303="","",IF('Data Source'!AD303&gt;=5,"A+",IF('Data Source'!AD303&gt;=4,"A",IF('Data Source'!AD303&gt;=3.5,"A-",IF('Data Source'!AD303&gt;=3,"B",IF('Data Source'!AD303&gt;=2,"C",IF('Data Source'!AD303&gt;=1,"D","F")))))))</f>
        <v/>
      </c>
      <c r="M303" s="3">
        <f>IF('Data Source'!B303="","",IF('Data Source'!AE303&gt;=5,"A+",IF('Data Source'!AE303&gt;=4,"A",IF('Data Source'!AE303&gt;=3.5,"A-",IF('Data Source'!AE303&gt;=3,"B",IF('Data Source'!AE303&gt;=2,"C",IF('Data Source'!AE303&gt;=1,"D","F")))))))</f>
        <v/>
      </c>
      <c r="N303" s="3">
        <f>IF('Data Source'!B303="","",IF('Data Source'!AF303&gt;=5,"A+",IF('Data Source'!AF303&gt;=4,"A",IF('Data Source'!AF303&gt;=3.5,"A-",IF('Data Source'!AF303&gt;=3,"B",IF('Data Source'!AF303&gt;=2,"C",IF('Data Source'!AF303&gt;=1,"D","F")))))))</f>
        <v/>
      </c>
      <c r="O303" s="3">
        <f>IF('Data Source'!B303="","",IF('Data Source'!AG303&gt;=5,"A+",IF('Data Source'!AG303&gt;=4,"A",IF('Data Source'!AG303&gt;=3.5,"A-",IF('Data Source'!AG303&gt;=3,"B",IF('Data Source'!AG303&gt;=2,"C",IF('Data Source'!AG303&gt;=1,"D","F")))))))</f>
        <v/>
      </c>
      <c r="P303" s="5">
        <f>IF('Data Source'!B303="","",'Data Source'!R303)</f>
        <v/>
      </c>
      <c r="Q303" s="3">
        <f>IF('Data Source'!B303="","",'Data Source'!S303)</f>
        <v/>
      </c>
    </row>
    <row r="304">
      <c r="A304" s="3">
        <f>IF('Data Source'!B304="","",'Data Source'!A304)</f>
        <v/>
      </c>
      <c r="B304">
        <f>IF('Data Source'!B304="","",'Data Source'!B304)</f>
        <v/>
      </c>
      <c r="C304" s="3">
        <f>IF('Data Source'!B304="","",IF('Data Source'!U304&gt;=5,"A+",IF('Data Source'!U304&gt;=4,"A",IF('Data Source'!U304&gt;=3.5,"A-",IF('Data Source'!U304&gt;=3,"B",IF('Data Source'!U304&gt;=2,"C",IF('Data Source'!U304&gt;=1,"D","F")))))))</f>
        <v/>
      </c>
      <c r="D304" s="3">
        <f>IF('Data Source'!B304="","",IF('Data Source'!V304&gt;=5,"A+",IF('Data Source'!V304&gt;=4,"A",IF('Data Source'!V304&gt;=3.5,"A-",IF('Data Source'!V304&gt;=3,"B",IF('Data Source'!V304&gt;=2,"C",IF('Data Source'!V304&gt;=1,"D","F")))))))</f>
        <v/>
      </c>
      <c r="E304" s="3">
        <f>IF('Data Source'!B304="","",IF('Data Source'!W304&gt;=5,"A+",IF('Data Source'!W304&gt;=4,"A",IF('Data Source'!W304&gt;=3.5,"A-",IF('Data Source'!W304&gt;=3,"B",IF('Data Source'!W304&gt;=2,"C",IF('Data Source'!W304&gt;=1,"D","F")))))))</f>
        <v/>
      </c>
      <c r="F304" s="3">
        <f>IF('Data Source'!B304="","",IF('Data Source'!X304&gt;=5,"A+",IF('Data Source'!X304&gt;=4,"A",IF('Data Source'!X304&gt;=3.5,"A-",IF('Data Source'!X304&gt;=3,"B",IF('Data Source'!X304&gt;=2,"C",IF('Data Source'!X304&gt;=1,"D","F")))))))</f>
        <v/>
      </c>
      <c r="G304" s="3">
        <f>IF('Data Source'!B304="","",IF('Data Source'!Y304&gt;=5,"A+",IF('Data Source'!Y304&gt;=4,"A",IF('Data Source'!Y304&gt;=3.5,"A-",IF('Data Source'!Y304&gt;=3,"B",IF('Data Source'!Y304&gt;=2,"C",IF('Data Source'!Y304&gt;=1,"D","F")))))))</f>
        <v/>
      </c>
      <c r="H304" s="3">
        <f>IF('Data Source'!B304="","",IF('Data Source'!Z304&gt;=5,"A+",IF('Data Source'!Z304&gt;=4,"A",IF('Data Source'!Z304&gt;=3.5,"A-",IF('Data Source'!Z304&gt;=3,"B",IF('Data Source'!Z304&gt;=2,"C",IF('Data Source'!Z304&gt;=1,"D","F")))))))</f>
        <v/>
      </c>
      <c r="I304" s="3">
        <f>IF('Data Source'!B304="","",IF('Data Source'!AA304&gt;=5,"A+",IF('Data Source'!AA304&gt;=4,"A",IF('Data Source'!AA304&gt;=3.5,"A-",IF('Data Source'!AA304&gt;=3,"B",IF('Data Source'!AA304&gt;=2,"C",IF('Data Source'!AA304&gt;=1,"D","F")))))))</f>
        <v/>
      </c>
      <c r="J304" s="3">
        <f>IF('Data Source'!B304="","",IF('Data Source'!AB304&gt;=5,"A+",IF('Data Source'!AB304&gt;=4,"A",IF('Data Source'!AB304&gt;=3.5,"A-",IF('Data Source'!AB304&gt;=3,"B",IF('Data Source'!AB304&gt;=2,"C",IF('Data Source'!AB304&gt;=1,"D","F")))))))</f>
        <v/>
      </c>
      <c r="K304" s="3">
        <f>IF('Data Source'!B304="","",IF('Data Source'!AC304&gt;=5,"A+",IF('Data Source'!AC304&gt;=4,"A",IF('Data Source'!AC304&gt;=3.5,"A-",IF('Data Source'!AC304&gt;=3,"B",IF('Data Source'!AC304&gt;=2,"C",IF('Data Source'!AC304&gt;=1,"D","F")))))))</f>
        <v/>
      </c>
      <c r="L304" s="3">
        <f>IF('Data Source'!B304="","",IF('Data Source'!AD304&gt;=5,"A+",IF('Data Source'!AD304&gt;=4,"A",IF('Data Source'!AD304&gt;=3.5,"A-",IF('Data Source'!AD304&gt;=3,"B",IF('Data Source'!AD304&gt;=2,"C",IF('Data Source'!AD304&gt;=1,"D","F")))))))</f>
        <v/>
      </c>
      <c r="M304" s="3">
        <f>IF('Data Source'!B304="","",IF('Data Source'!AE304&gt;=5,"A+",IF('Data Source'!AE304&gt;=4,"A",IF('Data Source'!AE304&gt;=3.5,"A-",IF('Data Source'!AE304&gt;=3,"B",IF('Data Source'!AE304&gt;=2,"C",IF('Data Source'!AE304&gt;=1,"D","F")))))))</f>
        <v/>
      </c>
      <c r="N304" s="3">
        <f>IF('Data Source'!B304="","",IF('Data Source'!AF304&gt;=5,"A+",IF('Data Source'!AF304&gt;=4,"A",IF('Data Source'!AF304&gt;=3.5,"A-",IF('Data Source'!AF304&gt;=3,"B",IF('Data Source'!AF304&gt;=2,"C",IF('Data Source'!AF304&gt;=1,"D","F")))))))</f>
        <v/>
      </c>
      <c r="O304" s="3">
        <f>IF('Data Source'!B304="","",IF('Data Source'!AG304&gt;=5,"A+",IF('Data Source'!AG304&gt;=4,"A",IF('Data Source'!AG304&gt;=3.5,"A-",IF('Data Source'!AG304&gt;=3,"B",IF('Data Source'!AG304&gt;=2,"C",IF('Data Source'!AG304&gt;=1,"D","F")))))))</f>
        <v/>
      </c>
      <c r="P304" s="5">
        <f>IF('Data Source'!B304="","",'Data Source'!R304)</f>
        <v/>
      </c>
      <c r="Q304" s="3">
        <f>IF('Data Source'!B304="","",'Data Source'!S304)</f>
        <v/>
      </c>
    </row>
    <row r="305">
      <c r="A305" s="3">
        <f>IF('Data Source'!B305="","",'Data Source'!A305)</f>
        <v/>
      </c>
      <c r="B305">
        <f>IF('Data Source'!B305="","",'Data Source'!B305)</f>
        <v/>
      </c>
      <c r="C305" s="3">
        <f>IF('Data Source'!B305="","",IF('Data Source'!U305&gt;=5,"A+",IF('Data Source'!U305&gt;=4,"A",IF('Data Source'!U305&gt;=3.5,"A-",IF('Data Source'!U305&gt;=3,"B",IF('Data Source'!U305&gt;=2,"C",IF('Data Source'!U305&gt;=1,"D","F")))))))</f>
        <v/>
      </c>
      <c r="D305" s="3">
        <f>IF('Data Source'!B305="","",IF('Data Source'!V305&gt;=5,"A+",IF('Data Source'!V305&gt;=4,"A",IF('Data Source'!V305&gt;=3.5,"A-",IF('Data Source'!V305&gt;=3,"B",IF('Data Source'!V305&gt;=2,"C",IF('Data Source'!V305&gt;=1,"D","F")))))))</f>
        <v/>
      </c>
      <c r="E305" s="3">
        <f>IF('Data Source'!B305="","",IF('Data Source'!W305&gt;=5,"A+",IF('Data Source'!W305&gt;=4,"A",IF('Data Source'!W305&gt;=3.5,"A-",IF('Data Source'!W305&gt;=3,"B",IF('Data Source'!W305&gt;=2,"C",IF('Data Source'!W305&gt;=1,"D","F")))))))</f>
        <v/>
      </c>
      <c r="F305" s="3">
        <f>IF('Data Source'!B305="","",IF('Data Source'!X305&gt;=5,"A+",IF('Data Source'!X305&gt;=4,"A",IF('Data Source'!X305&gt;=3.5,"A-",IF('Data Source'!X305&gt;=3,"B",IF('Data Source'!X305&gt;=2,"C",IF('Data Source'!X305&gt;=1,"D","F")))))))</f>
        <v/>
      </c>
      <c r="G305" s="3">
        <f>IF('Data Source'!B305="","",IF('Data Source'!Y305&gt;=5,"A+",IF('Data Source'!Y305&gt;=4,"A",IF('Data Source'!Y305&gt;=3.5,"A-",IF('Data Source'!Y305&gt;=3,"B",IF('Data Source'!Y305&gt;=2,"C",IF('Data Source'!Y305&gt;=1,"D","F")))))))</f>
        <v/>
      </c>
      <c r="H305" s="3">
        <f>IF('Data Source'!B305="","",IF('Data Source'!Z305&gt;=5,"A+",IF('Data Source'!Z305&gt;=4,"A",IF('Data Source'!Z305&gt;=3.5,"A-",IF('Data Source'!Z305&gt;=3,"B",IF('Data Source'!Z305&gt;=2,"C",IF('Data Source'!Z305&gt;=1,"D","F")))))))</f>
        <v/>
      </c>
      <c r="I305" s="3">
        <f>IF('Data Source'!B305="","",IF('Data Source'!AA305&gt;=5,"A+",IF('Data Source'!AA305&gt;=4,"A",IF('Data Source'!AA305&gt;=3.5,"A-",IF('Data Source'!AA305&gt;=3,"B",IF('Data Source'!AA305&gt;=2,"C",IF('Data Source'!AA305&gt;=1,"D","F")))))))</f>
        <v/>
      </c>
      <c r="J305" s="3">
        <f>IF('Data Source'!B305="","",IF('Data Source'!AB305&gt;=5,"A+",IF('Data Source'!AB305&gt;=4,"A",IF('Data Source'!AB305&gt;=3.5,"A-",IF('Data Source'!AB305&gt;=3,"B",IF('Data Source'!AB305&gt;=2,"C",IF('Data Source'!AB305&gt;=1,"D","F")))))))</f>
        <v/>
      </c>
      <c r="K305" s="3">
        <f>IF('Data Source'!B305="","",IF('Data Source'!AC305&gt;=5,"A+",IF('Data Source'!AC305&gt;=4,"A",IF('Data Source'!AC305&gt;=3.5,"A-",IF('Data Source'!AC305&gt;=3,"B",IF('Data Source'!AC305&gt;=2,"C",IF('Data Source'!AC305&gt;=1,"D","F")))))))</f>
        <v/>
      </c>
      <c r="L305" s="3">
        <f>IF('Data Source'!B305="","",IF('Data Source'!AD305&gt;=5,"A+",IF('Data Source'!AD305&gt;=4,"A",IF('Data Source'!AD305&gt;=3.5,"A-",IF('Data Source'!AD305&gt;=3,"B",IF('Data Source'!AD305&gt;=2,"C",IF('Data Source'!AD305&gt;=1,"D","F")))))))</f>
        <v/>
      </c>
      <c r="M305" s="3">
        <f>IF('Data Source'!B305="","",IF('Data Source'!AE305&gt;=5,"A+",IF('Data Source'!AE305&gt;=4,"A",IF('Data Source'!AE305&gt;=3.5,"A-",IF('Data Source'!AE305&gt;=3,"B",IF('Data Source'!AE305&gt;=2,"C",IF('Data Source'!AE305&gt;=1,"D","F")))))))</f>
        <v/>
      </c>
      <c r="N305" s="3">
        <f>IF('Data Source'!B305="","",IF('Data Source'!AF305&gt;=5,"A+",IF('Data Source'!AF305&gt;=4,"A",IF('Data Source'!AF305&gt;=3.5,"A-",IF('Data Source'!AF305&gt;=3,"B",IF('Data Source'!AF305&gt;=2,"C",IF('Data Source'!AF305&gt;=1,"D","F")))))))</f>
        <v/>
      </c>
      <c r="O305" s="3">
        <f>IF('Data Source'!B305="","",IF('Data Source'!AG305&gt;=5,"A+",IF('Data Source'!AG305&gt;=4,"A",IF('Data Source'!AG305&gt;=3.5,"A-",IF('Data Source'!AG305&gt;=3,"B",IF('Data Source'!AG305&gt;=2,"C",IF('Data Source'!AG305&gt;=1,"D","F")))))))</f>
        <v/>
      </c>
      <c r="P305" s="5">
        <f>IF('Data Source'!B305="","",'Data Source'!R305)</f>
        <v/>
      </c>
      <c r="Q305" s="3">
        <f>IF('Data Source'!B305="","",'Data Source'!S305)</f>
        <v/>
      </c>
    </row>
    <row r="306">
      <c r="A306" s="3">
        <f>IF('Data Source'!B306="","",'Data Source'!A306)</f>
        <v/>
      </c>
      <c r="B306">
        <f>IF('Data Source'!B306="","",'Data Source'!B306)</f>
        <v/>
      </c>
      <c r="C306" s="3">
        <f>IF('Data Source'!B306="","",IF('Data Source'!U306&gt;=5,"A+",IF('Data Source'!U306&gt;=4,"A",IF('Data Source'!U306&gt;=3.5,"A-",IF('Data Source'!U306&gt;=3,"B",IF('Data Source'!U306&gt;=2,"C",IF('Data Source'!U306&gt;=1,"D","F")))))))</f>
        <v/>
      </c>
      <c r="D306" s="3">
        <f>IF('Data Source'!B306="","",IF('Data Source'!V306&gt;=5,"A+",IF('Data Source'!V306&gt;=4,"A",IF('Data Source'!V306&gt;=3.5,"A-",IF('Data Source'!V306&gt;=3,"B",IF('Data Source'!V306&gt;=2,"C",IF('Data Source'!V306&gt;=1,"D","F")))))))</f>
        <v/>
      </c>
      <c r="E306" s="3">
        <f>IF('Data Source'!B306="","",IF('Data Source'!W306&gt;=5,"A+",IF('Data Source'!W306&gt;=4,"A",IF('Data Source'!W306&gt;=3.5,"A-",IF('Data Source'!W306&gt;=3,"B",IF('Data Source'!W306&gt;=2,"C",IF('Data Source'!W306&gt;=1,"D","F")))))))</f>
        <v/>
      </c>
      <c r="F306" s="3">
        <f>IF('Data Source'!B306="","",IF('Data Source'!X306&gt;=5,"A+",IF('Data Source'!X306&gt;=4,"A",IF('Data Source'!X306&gt;=3.5,"A-",IF('Data Source'!X306&gt;=3,"B",IF('Data Source'!X306&gt;=2,"C",IF('Data Source'!X306&gt;=1,"D","F")))))))</f>
        <v/>
      </c>
      <c r="G306" s="3">
        <f>IF('Data Source'!B306="","",IF('Data Source'!Y306&gt;=5,"A+",IF('Data Source'!Y306&gt;=4,"A",IF('Data Source'!Y306&gt;=3.5,"A-",IF('Data Source'!Y306&gt;=3,"B",IF('Data Source'!Y306&gt;=2,"C",IF('Data Source'!Y306&gt;=1,"D","F")))))))</f>
        <v/>
      </c>
      <c r="H306" s="3">
        <f>IF('Data Source'!B306="","",IF('Data Source'!Z306&gt;=5,"A+",IF('Data Source'!Z306&gt;=4,"A",IF('Data Source'!Z306&gt;=3.5,"A-",IF('Data Source'!Z306&gt;=3,"B",IF('Data Source'!Z306&gt;=2,"C",IF('Data Source'!Z306&gt;=1,"D","F")))))))</f>
        <v/>
      </c>
      <c r="I306" s="3">
        <f>IF('Data Source'!B306="","",IF('Data Source'!AA306&gt;=5,"A+",IF('Data Source'!AA306&gt;=4,"A",IF('Data Source'!AA306&gt;=3.5,"A-",IF('Data Source'!AA306&gt;=3,"B",IF('Data Source'!AA306&gt;=2,"C",IF('Data Source'!AA306&gt;=1,"D","F")))))))</f>
        <v/>
      </c>
      <c r="J306" s="3">
        <f>IF('Data Source'!B306="","",IF('Data Source'!AB306&gt;=5,"A+",IF('Data Source'!AB306&gt;=4,"A",IF('Data Source'!AB306&gt;=3.5,"A-",IF('Data Source'!AB306&gt;=3,"B",IF('Data Source'!AB306&gt;=2,"C",IF('Data Source'!AB306&gt;=1,"D","F")))))))</f>
        <v/>
      </c>
      <c r="K306" s="3">
        <f>IF('Data Source'!B306="","",IF('Data Source'!AC306&gt;=5,"A+",IF('Data Source'!AC306&gt;=4,"A",IF('Data Source'!AC306&gt;=3.5,"A-",IF('Data Source'!AC306&gt;=3,"B",IF('Data Source'!AC306&gt;=2,"C",IF('Data Source'!AC306&gt;=1,"D","F")))))))</f>
        <v/>
      </c>
      <c r="L306" s="3">
        <f>IF('Data Source'!B306="","",IF('Data Source'!AD306&gt;=5,"A+",IF('Data Source'!AD306&gt;=4,"A",IF('Data Source'!AD306&gt;=3.5,"A-",IF('Data Source'!AD306&gt;=3,"B",IF('Data Source'!AD306&gt;=2,"C",IF('Data Source'!AD306&gt;=1,"D","F")))))))</f>
        <v/>
      </c>
      <c r="M306" s="3">
        <f>IF('Data Source'!B306="","",IF('Data Source'!AE306&gt;=5,"A+",IF('Data Source'!AE306&gt;=4,"A",IF('Data Source'!AE306&gt;=3.5,"A-",IF('Data Source'!AE306&gt;=3,"B",IF('Data Source'!AE306&gt;=2,"C",IF('Data Source'!AE306&gt;=1,"D","F")))))))</f>
        <v/>
      </c>
      <c r="N306" s="3">
        <f>IF('Data Source'!B306="","",IF('Data Source'!AF306&gt;=5,"A+",IF('Data Source'!AF306&gt;=4,"A",IF('Data Source'!AF306&gt;=3.5,"A-",IF('Data Source'!AF306&gt;=3,"B",IF('Data Source'!AF306&gt;=2,"C",IF('Data Source'!AF306&gt;=1,"D","F")))))))</f>
        <v/>
      </c>
      <c r="O306" s="3">
        <f>IF('Data Source'!B306="","",IF('Data Source'!AG306&gt;=5,"A+",IF('Data Source'!AG306&gt;=4,"A",IF('Data Source'!AG306&gt;=3.5,"A-",IF('Data Source'!AG306&gt;=3,"B",IF('Data Source'!AG306&gt;=2,"C",IF('Data Source'!AG306&gt;=1,"D","F")))))))</f>
        <v/>
      </c>
      <c r="P306" s="5">
        <f>IF('Data Source'!B306="","",'Data Source'!R306)</f>
        <v/>
      </c>
      <c r="Q306" s="3">
        <f>IF('Data Source'!B306="","",'Data Source'!S306)</f>
        <v/>
      </c>
    </row>
    <row r="307">
      <c r="A307" s="3">
        <f>IF('Data Source'!B307="","",'Data Source'!A307)</f>
        <v/>
      </c>
      <c r="B307">
        <f>IF('Data Source'!B307="","",'Data Source'!B307)</f>
        <v/>
      </c>
      <c r="C307" s="3">
        <f>IF('Data Source'!B307="","",IF('Data Source'!U307&gt;=5,"A+",IF('Data Source'!U307&gt;=4,"A",IF('Data Source'!U307&gt;=3.5,"A-",IF('Data Source'!U307&gt;=3,"B",IF('Data Source'!U307&gt;=2,"C",IF('Data Source'!U307&gt;=1,"D","F")))))))</f>
        <v/>
      </c>
      <c r="D307" s="3">
        <f>IF('Data Source'!B307="","",IF('Data Source'!V307&gt;=5,"A+",IF('Data Source'!V307&gt;=4,"A",IF('Data Source'!V307&gt;=3.5,"A-",IF('Data Source'!V307&gt;=3,"B",IF('Data Source'!V307&gt;=2,"C",IF('Data Source'!V307&gt;=1,"D","F")))))))</f>
        <v/>
      </c>
      <c r="E307" s="3">
        <f>IF('Data Source'!B307="","",IF('Data Source'!W307&gt;=5,"A+",IF('Data Source'!W307&gt;=4,"A",IF('Data Source'!W307&gt;=3.5,"A-",IF('Data Source'!W307&gt;=3,"B",IF('Data Source'!W307&gt;=2,"C",IF('Data Source'!W307&gt;=1,"D","F")))))))</f>
        <v/>
      </c>
      <c r="F307" s="3">
        <f>IF('Data Source'!B307="","",IF('Data Source'!X307&gt;=5,"A+",IF('Data Source'!X307&gt;=4,"A",IF('Data Source'!X307&gt;=3.5,"A-",IF('Data Source'!X307&gt;=3,"B",IF('Data Source'!X307&gt;=2,"C",IF('Data Source'!X307&gt;=1,"D","F")))))))</f>
        <v/>
      </c>
      <c r="G307" s="3">
        <f>IF('Data Source'!B307="","",IF('Data Source'!Y307&gt;=5,"A+",IF('Data Source'!Y307&gt;=4,"A",IF('Data Source'!Y307&gt;=3.5,"A-",IF('Data Source'!Y307&gt;=3,"B",IF('Data Source'!Y307&gt;=2,"C",IF('Data Source'!Y307&gt;=1,"D","F")))))))</f>
        <v/>
      </c>
      <c r="H307" s="3">
        <f>IF('Data Source'!B307="","",IF('Data Source'!Z307&gt;=5,"A+",IF('Data Source'!Z307&gt;=4,"A",IF('Data Source'!Z307&gt;=3.5,"A-",IF('Data Source'!Z307&gt;=3,"B",IF('Data Source'!Z307&gt;=2,"C",IF('Data Source'!Z307&gt;=1,"D","F")))))))</f>
        <v/>
      </c>
      <c r="I307" s="3">
        <f>IF('Data Source'!B307="","",IF('Data Source'!AA307&gt;=5,"A+",IF('Data Source'!AA307&gt;=4,"A",IF('Data Source'!AA307&gt;=3.5,"A-",IF('Data Source'!AA307&gt;=3,"B",IF('Data Source'!AA307&gt;=2,"C",IF('Data Source'!AA307&gt;=1,"D","F")))))))</f>
        <v/>
      </c>
      <c r="J307" s="3">
        <f>IF('Data Source'!B307="","",IF('Data Source'!AB307&gt;=5,"A+",IF('Data Source'!AB307&gt;=4,"A",IF('Data Source'!AB307&gt;=3.5,"A-",IF('Data Source'!AB307&gt;=3,"B",IF('Data Source'!AB307&gt;=2,"C",IF('Data Source'!AB307&gt;=1,"D","F")))))))</f>
        <v/>
      </c>
      <c r="K307" s="3">
        <f>IF('Data Source'!B307="","",IF('Data Source'!AC307&gt;=5,"A+",IF('Data Source'!AC307&gt;=4,"A",IF('Data Source'!AC307&gt;=3.5,"A-",IF('Data Source'!AC307&gt;=3,"B",IF('Data Source'!AC307&gt;=2,"C",IF('Data Source'!AC307&gt;=1,"D","F")))))))</f>
        <v/>
      </c>
      <c r="L307" s="3">
        <f>IF('Data Source'!B307="","",IF('Data Source'!AD307&gt;=5,"A+",IF('Data Source'!AD307&gt;=4,"A",IF('Data Source'!AD307&gt;=3.5,"A-",IF('Data Source'!AD307&gt;=3,"B",IF('Data Source'!AD307&gt;=2,"C",IF('Data Source'!AD307&gt;=1,"D","F")))))))</f>
        <v/>
      </c>
      <c r="M307" s="3">
        <f>IF('Data Source'!B307="","",IF('Data Source'!AE307&gt;=5,"A+",IF('Data Source'!AE307&gt;=4,"A",IF('Data Source'!AE307&gt;=3.5,"A-",IF('Data Source'!AE307&gt;=3,"B",IF('Data Source'!AE307&gt;=2,"C",IF('Data Source'!AE307&gt;=1,"D","F")))))))</f>
        <v/>
      </c>
      <c r="N307" s="3">
        <f>IF('Data Source'!B307="","",IF('Data Source'!AF307&gt;=5,"A+",IF('Data Source'!AF307&gt;=4,"A",IF('Data Source'!AF307&gt;=3.5,"A-",IF('Data Source'!AF307&gt;=3,"B",IF('Data Source'!AF307&gt;=2,"C",IF('Data Source'!AF307&gt;=1,"D","F")))))))</f>
        <v/>
      </c>
      <c r="O307" s="3">
        <f>IF('Data Source'!B307="","",IF('Data Source'!AG307&gt;=5,"A+",IF('Data Source'!AG307&gt;=4,"A",IF('Data Source'!AG307&gt;=3.5,"A-",IF('Data Source'!AG307&gt;=3,"B",IF('Data Source'!AG307&gt;=2,"C",IF('Data Source'!AG307&gt;=1,"D","F")))))))</f>
        <v/>
      </c>
      <c r="P307" s="5">
        <f>IF('Data Source'!B307="","",'Data Source'!R307)</f>
        <v/>
      </c>
      <c r="Q307" s="3">
        <f>IF('Data Source'!B307="","",'Data Source'!S307)</f>
        <v/>
      </c>
    </row>
    <row r="308">
      <c r="A308" s="3">
        <f>IF('Data Source'!B308="","",'Data Source'!A308)</f>
        <v/>
      </c>
      <c r="B308">
        <f>IF('Data Source'!B308="","",'Data Source'!B308)</f>
        <v/>
      </c>
      <c r="C308" s="3">
        <f>IF('Data Source'!B308="","",IF('Data Source'!U308&gt;=5,"A+",IF('Data Source'!U308&gt;=4,"A",IF('Data Source'!U308&gt;=3.5,"A-",IF('Data Source'!U308&gt;=3,"B",IF('Data Source'!U308&gt;=2,"C",IF('Data Source'!U308&gt;=1,"D","F")))))))</f>
        <v/>
      </c>
      <c r="D308" s="3">
        <f>IF('Data Source'!B308="","",IF('Data Source'!V308&gt;=5,"A+",IF('Data Source'!V308&gt;=4,"A",IF('Data Source'!V308&gt;=3.5,"A-",IF('Data Source'!V308&gt;=3,"B",IF('Data Source'!V308&gt;=2,"C",IF('Data Source'!V308&gt;=1,"D","F")))))))</f>
        <v/>
      </c>
      <c r="E308" s="3">
        <f>IF('Data Source'!B308="","",IF('Data Source'!W308&gt;=5,"A+",IF('Data Source'!W308&gt;=4,"A",IF('Data Source'!W308&gt;=3.5,"A-",IF('Data Source'!W308&gt;=3,"B",IF('Data Source'!W308&gt;=2,"C",IF('Data Source'!W308&gt;=1,"D","F")))))))</f>
        <v/>
      </c>
      <c r="F308" s="3">
        <f>IF('Data Source'!B308="","",IF('Data Source'!X308&gt;=5,"A+",IF('Data Source'!X308&gt;=4,"A",IF('Data Source'!X308&gt;=3.5,"A-",IF('Data Source'!X308&gt;=3,"B",IF('Data Source'!X308&gt;=2,"C",IF('Data Source'!X308&gt;=1,"D","F")))))))</f>
        <v/>
      </c>
      <c r="G308" s="3">
        <f>IF('Data Source'!B308="","",IF('Data Source'!Y308&gt;=5,"A+",IF('Data Source'!Y308&gt;=4,"A",IF('Data Source'!Y308&gt;=3.5,"A-",IF('Data Source'!Y308&gt;=3,"B",IF('Data Source'!Y308&gt;=2,"C",IF('Data Source'!Y308&gt;=1,"D","F")))))))</f>
        <v/>
      </c>
      <c r="H308" s="3">
        <f>IF('Data Source'!B308="","",IF('Data Source'!Z308&gt;=5,"A+",IF('Data Source'!Z308&gt;=4,"A",IF('Data Source'!Z308&gt;=3.5,"A-",IF('Data Source'!Z308&gt;=3,"B",IF('Data Source'!Z308&gt;=2,"C",IF('Data Source'!Z308&gt;=1,"D","F")))))))</f>
        <v/>
      </c>
      <c r="I308" s="3">
        <f>IF('Data Source'!B308="","",IF('Data Source'!AA308&gt;=5,"A+",IF('Data Source'!AA308&gt;=4,"A",IF('Data Source'!AA308&gt;=3.5,"A-",IF('Data Source'!AA308&gt;=3,"B",IF('Data Source'!AA308&gt;=2,"C",IF('Data Source'!AA308&gt;=1,"D","F")))))))</f>
        <v/>
      </c>
      <c r="J308" s="3">
        <f>IF('Data Source'!B308="","",IF('Data Source'!AB308&gt;=5,"A+",IF('Data Source'!AB308&gt;=4,"A",IF('Data Source'!AB308&gt;=3.5,"A-",IF('Data Source'!AB308&gt;=3,"B",IF('Data Source'!AB308&gt;=2,"C",IF('Data Source'!AB308&gt;=1,"D","F")))))))</f>
        <v/>
      </c>
      <c r="K308" s="3">
        <f>IF('Data Source'!B308="","",IF('Data Source'!AC308&gt;=5,"A+",IF('Data Source'!AC308&gt;=4,"A",IF('Data Source'!AC308&gt;=3.5,"A-",IF('Data Source'!AC308&gt;=3,"B",IF('Data Source'!AC308&gt;=2,"C",IF('Data Source'!AC308&gt;=1,"D","F")))))))</f>
        <v/>
      </c>
      <c r="L308" s="3">
        <f>IF('Data Source'!B308="","",IF('Data Source'!AD308&gt;=5,"A+",IF('Data Source'!AD308&gt;=4,"A",IF('Data Source'!AD308&gt;=3.5,"A-",IF('Data Source'!AD308&gt;=3,"B",IF('Data Source'!AD308&gt;=2,"C",IF('Data Source'!AD308&gt;=1,"D","F")))))))</f>
        <v/>
      </c>
      <c r="M308" s="3">
        <f>IF('Data Source'!B308="","",IF('Data Source'!AE308&gt;=5,"A+",IF('Data Source'!AE308&gt;=4,"A",IF('Data Source'!AE308&gt;=3.5,"A-",IF('Data Source'!AE308&gt;=3,"B",IF('Data Source'!AE308&gt;=2,"C",IF('Data Source'!AE308&gt;=1,"D","F")))))))</f>
        <v/>
      </c>
      <c r="N308" s="3">
        <f>IF('Data Source'!B308="","",IF('Data Source'!AF308&gt;=5,"A+",IF('Data Source'!AF308&gt;=4,"A",IF('Data Source'!AF308&gt;=3.5,"A-",IF('Data Source'!AF308&gt;=3,"B",IF('Data Source'!AF308&gt;=2,"C",IF('Data Source'!AF308&gt;=1,"D","F")))))))</f>
        <v/>
      </c>
      <c r="O308" s="3">
        <f>IF('Data Source'!B308="","",IF('Data Source'!AG308&gt;=5,"A+",IF('Data Source'!AG308&gt;=4,"A",IF('Data Source'!AG308&gt;=3.5,"A-",IF('Data Source'!AG308&gt;=3,"B",IF('Data Source'!AG308&gt;=2,"C",IF('Data Source'!AG308&gt;=1,"D","F")))))))</f>
        <v/>
      </c>
      <c r="P308" s="5">
        <f>IF('Data Source'!B308="","",'Data Source'!R308)</f>
        <v/>
      </c>
      <c r="Q308" s="3">
        <f>IF('Data Source'!B308="","",'Data Source'!S308)</f>
        <v/>
      </c>
    </row>
    <row r="309">
      <c r="A309" s="3">
        <f>IF('Data Source'!B309="","",'Data Source'!A309)</f>
        <v/>
      </c>
      <c r="B309">
        <f>IF('Data Source'!B309="","",'Data Source'!B309)</f>
        <v/>
      </c>
      <c r="C309" s="3">
        <f>IF('Data Source'!B309="","",IF('Data Source'!U309&gt;=5,"A+",IF('Data Source'!U309&gt;=4,"A",IF('Data Source'!U309&gt;=3.5,"A-",IF('Data Source'!U309&gt;=3,"B",IF('Data Source'!U309&gt;=2,"C",IF('Data Source'!U309&gt;=1,"D","F")))))))</f>
        <v/>
      </c>
      <c r="D309" s="3">
        <f>IF('Data Source'!B309="","",IF('Data Source'!V309&gt;=5,"A+",IF('Data Source'!V309&gt;=4,"A",IF('Data Source'!V309&gt;=3.5,"A-",IF('Data Source'!V309&gt;=3,"B",IF('Data Source'!V309&gt;=2,"C",IF('Data Source'!V309&gt;=1,"D","F")))))))</f>
        <v/>
      </c>
      <c r="E309" s="3">
        <f>IF('Data Source'!B309="","",IF('Data Source'!W309&gt;=5,"A+",IF('Data Source'!W309&gt;=4,"A",IF('Data Source'!W309&gt;=3.5,"A-",IF('Data Source'!W309&gt;=3,"B",IF('Data Source'!W309&gt;=2,"C",IF('Data Source'!W309&gt;=1,"D","F")))))))</f>
        <v/>
      </c>
      <c r="F309" s="3">
        <f>IF('Data Source'!B309="","",IF('Data Source'!X309&gt;=5,"A+",IF('Data Source'!X309&gt;=4,"A",IF('Data Source'!X309&gt;=3.5,"A-",IF('Data Source'!X309&gt;=3,"B",IF('Data Source'!X309&gt;=2,"C",IF('Data Source'!X309&gt;=1,"D","F")))))))</f>
        <v/>
      </c>
      <c r="G309" s="3">
        <f>IF('Data Source'!B309="","",IF('Data Source'!Y309&gt;=5,"A+",IF('Data Source'!Y309&gt;=4,"A",IF('Data Source'!Y309&gt;=3.5,"A-",IF('Data Source'!Y309&gt;=3,"B",IF('Data Source'!Y309&gt;=2,"C",IF('Data Source'!Y309&gt;=1,"D","F")))))))</f>
        <v/>
      </c>
      <c r="H309" s="3">
        <f>IF('Data Source'!B309="","",IF('Data Source'!Z309&gt;=5,"A+",IF('Data Source'!Z309&gt;=4,"A",IF('Data Source'!Z309&gt;=3.5,"A-",IF('Data Source'!Z309&gt;=3,"B",IF('Data Source'!Z309&gt;=2,"C",IF('Data Source'!Z309&gt;=1,"D","F")))))))</f>
        <v/>
      </c>
      <c r="I309" s="3">
        <f>IF('Data Source'!B309="","",IF('Data Source'!AA309&gt;=5,"A+",IF('Data Source'!AA309&gt;=4,"A",IF('Data Source'!AA309&gt;=3.5,"A-",IF('Data Source'!AA309&gt;=3,"B",IF('Data Source'!AA309&gt;=2,"C",IF('Data Source'!AA309&gt;=1,"D","F")))))))</f>
        <v/>
      </c>
      <c r="J309" s="3">
        <f>IF('Data Source'!B309="","",IF('Data Source'!AB309&gt;=5,"A+",IF('Data Source'!AB309&gt;=4,"A",IF('Data Source'!AB309&gt;=3.5,"A-",IF('Data Source'!AB309&gt;=3,"B",IF('Data Source'!AB309&gt;=2,"C",IF('Data Source'!AB309&gt;=1,"D","F")))))))</f>
        <v/>
      </c>
      <c r="K309" s="3">
        <f>IF('Data Source'!B309="","",IF('Data Source'!AC309&gt;=5,"A+",IF('Data Source'!AC309&gt;=4,"A",IF('Data Source'!AC309&gt;=3.5,"A-",IF('Data Source'!AC309&gt;=3,"B",IF('Data Source'!AC309&gt;=2,"C",IF('Data Source'!AC309&gt;=1,"D","F")))))))</f>
        <v/>
      </c>
      <c r="L309" s="3">
        <f>IF('Data Source'!B309="","",IF('Data Source'!AD309&gt;=5,"A+",IF('Data Source'!AD309&gt;=4,"A",IF('Data Source'!AD309&gt;=3.5,"A-",IF('Data Source'!AD309&gt;=3,"B",IF('Data Source'!AD309&gt;=2,"C",IF('Data Source'!AD309&gt;=1,"D","F")))))))</f>
        <v/>
      </c>
      <c r="M309" s="3">
        <f>IF('Data Source'!B309="","",IF('Data Source'!AE309&gt;=5,"A+",IF('Data Source'!AE309&gt;=4,"A",IF('Data Source'!AE309&gt;=3.5,"A-",IF('Data Source'!AE309&gt;=3,"B",IF('Data Source'!AE309&gt;=2,"C",IF('Data Source'!AE309&gt;=1,"D","F")))))))</f>
        <v/>
      </c>
      <c r="N309" s="3">
        <f>IF('Data Source'!B309="","",IF('Data Source'!AF309&gt;=5,"A+",IF('Data Source'!AF309&gt;=4,"A",IF('Data Source'!AF309&gt;=3.5,"A-",IF('Data Source'!AF309&gt;=3,"B",IF('Data Source'!AF309&gt;=2,"C",IF('Data Source'!AF309&gt;=1,"D","F")))))))</f>
        <v/>
      </c>
      <c r="O309" s="3">
        <f>IF('Data Source'!B309="","",IF('Data Source'!AG309&gt;=5,"A+",IF('Data Source'!AG309&gt;=4,"A",IF('Data Source'!AG309&gt;=3.5,"A-",IF('Data Source'!AG309&gt;=3,"B",IF('Data Source'!AG309&gt;=2,"C",IF('Data Source'!AG309&gt;=1,"D","F")))))))</f>
        <v/>
      </c>
      <c r="P309" s="5">
        <f>IF('Data Source'!B309="","",'Data Source'!R309)</f>
        <v/>
      </c>
      <c r="Q309" s="3">
        <f>IF('Data Source'!B309="","",'Data Source'!S309)</f>
        <v/>
      </c>
    </row>
    <row r="310">
      <c r="A310" s="3">
        <f>IF('Data Source'!B310="","",'Data Source'!A310)</f>
        <v/>
      </c>
      <c r="B310">
        <f>IF('Data Source'!B310="","",'Data Source'!B310)</f>
        <v/>
      </c>
      <c r="C310" s="3">
        <f>IF('Data Source'!B310="","",IF('Data Source'!U310&gt;=5,"A+",IF('Data Source'!U310&gt;=4,"A",IF('Data Source'!U310&gt;=3.5,"A-",IF('Data Source'!U310&gt;=3,"B",IF('Data Source'!U310&gt;=2,"C",IF('Data Source'!U310&gt;=1,"D","F")))))))</f>
        <v/>
      </c>
      <c r="D310" s="3">
        <f>IF('Data Source'!B310="","",IF('Data Source'!V310&gt;=5,"A+",IF('Data Source'!V310&gt;=4,"A",IF('Data Source'!V310&gt;=3.5,"A-",IF('Data Source'!V310&gt;=3,"B",IF('Data Source'!V310&gt;=2,"C",IF('Data Source'!V310&gt;=1,"D","F")))))))</f>
        <v/>
      </c>
      <c r="E310" s="3">
        <f>IF('Data Source'!B310="","",IF('Data Source'!W310&gt;=5,"A+",IF('Data Source'!W310&gt;=4,"A",IF('Data Source'!W310&gt;=3.5,"A-",IF('Data Source'!W310&gt;=3,"B",IF('Data Source'!W310&gt;=2,"C",IF('Data Source'!W310&gt;=1,"D","F")))))))</f>
        <v/>
      </c>
      <c r="F310" s="3">
        <f>IF('Data Source'!B310="","",IF('Data Source'!X310&gt;=5,"A+",IF('Data Source'!X310&gt;=4,"A",IF('Data Source'!X310&gt;=3.5,"A-",IF('Data Source'!X310&gt;=3,"B",IF('Data Source'!X310&gt;=2,"C",IF('Data Source'!X310&gt;=1,"D","F")))))))</f>
        <v/>
      </c>
      <c r="G310" s="3">
        <f>IF('Data Source'!B310="","",IF('Data Source'!Y310&gt;=5,"A+",IF('Data Source'!Y310&gt;=4,"A",IF('Data Source'!Y310&gt;=3.5,"A-",IF('Data Source'!Y310&gt;=3,"B",IF('Data Source'!Y310&gt;=2,"C",IF('Data Source'!Y310&gt;=1,"D","F")))))))</f>
        <v/>
      </c>
      <c r="H310" s="3">
        <f>IF('Data Source'!B310="","",IF('Data Source'!Z310&gt;=5,"A+",IF('Data Source'!Z310&gt;=4,"A",IF('Data Source'!Z310&gt;=3.5,"A-",IF('Data Source'!Z310&gt;=3,"B",IF('Data Source'!Z310&gt;=2,"C",IF('Data Source'!Z310&gt;=1,"D","F")))))))</f>
        <v/>
      </c>
      <c r="I310" s="3">
        <f>IF('Data Source'!B310="","",IF('Data Source'!AA310&gt;=5,"A+",IF('Data Source'!AA310&gt;=4,"A",IF('Data Source'!AA310&gt;=3.5,"A-",IF('Data Source'!AA310&gt;=3,"B",IF('Data Source'!AA310&gt;=2,"C",IF('Data Source'!AA310&gt;=1,"D","F")))))))</f>
        <v/>
      </c>
      <c r="J310" s="3">
        <f>IF('Data Source'!B310="","",IF('Data Source'!AB310&gt;=5,"A+",IF('Data Source'!AB310&gt;=4,"A",IF('Data Source'!AB310&gt;=3.5,"A-",IF('Data Source'!AB310&gt;=3,"B",IF('Data Source'!AB310&gt;=2,"C",IF('Data Source'!AB310&gt;=1,"D","F")))))))</f>
        <v/>
      </c>
      <c r="K310" s="3">
        <f>IF('Data Source'!B310="","",IF('Data Source'!AC310&gt;=5,"A+",IF('Data Source'!AC310&gt;=4,"A",IF('Data Source'!AC310&gt;=3.5,"A-",IF('Data Source'!AC310&gt;=3,"B",IF('Data Source'!AC310&gt;=2,"C",IF('Data Source'!AC310&gt;=1,"D","F")))))))</f>
        <v/>
      </c>
      <c r="L310" s="3">
        <f>IF('Data Source'!B310="","",IF('Data Source'!AD310&gt;=5,"A+",IF('Data Source'!AD310&gt;=4,"A",IF('Data Source'!AD310&gt;=3.5,"A-",IF('Data Source'!AD310&gt;=3,"B",IF('Data Source'!AD310&gt;=2,"C",IF('Data Source'!AD310&gt;=1,"D","F")))))))</f>
        <v/>
      </c>
      <c r="M310" s="3">
        <f>IF('Data Source'!B310="","",IF('Data Source'!AE310&gt;=5,"A+",IF('Data Source'!AE310&gt;=4,"A",IF('Data Source'!AE310&gt;=3.5,"A-",IF('Data Source'!AE310&gt;=3,"B",IF('Data Source'!AE310&gt;=2,"C",IF('Data Source'!AE310&gt;=1,"D","F")))))))</f>
        <v/>
      </c>
      <c r="N310" s="3">
        <f>IF('Data Source'!B310="","",IF('Data Source'!AF310&gt;=5,"A+",IF('Data Source'!AF310&gt;=4,"A",IF('Data Source'!AF310&gt;=3.5,"A-",IF('Data Source'!AF310&gt;=3,"B",IF('Data Source'!AF310&gt;=2,"C",IF('Data Source'!AF310&gt;=1,"D","F")))))))</f>
        <v/>
      </c>
      <c r="O310" s="3">
        <f>IF('Data Source'!B310="","",IF('Data Source'!AG310&gt;=5,"A+",IF('Data Source'!AG310&gt;=4,"A",IF('Data Source'!AG310&gt;=3.5,"A-",IF('Data Source'!AG310&gt;=3,"B",IF('Data Source'!AG310&gt;=2,"C",IF('Data Source'!AG310&gt;=1,"D","F")))))))</f>
        <v/>
      </c>
      <c r="P310" s="5">
        <f>IF('Data Source'!B310="","",'Data Source'!R310)</f>
        <v/>
      </c>
      <c r="Q310" s="3">
        <f>IF('Data Source'!B310="","",'Data Source'!S310)</f>
        <v/>
      </c>
    </row>
    <row r="311">
      <c r="A311" s="3">
        <f>IF('Data Source'!B311="","",'Data Source'!A311)</f>
        <v/>
      </c>
      <c r="B311">
        <f>IF('Data Source'!B311="","",'Data Source'!B311)</f>
        <v/>
      </c>
      <c r="C311" s="3">
        <f>IF('Data Source'!B311="","",IF('Data Source'!U311&gt;=5,"A+",IF('Data Source'!U311&gt;=4,"A",IF('Data Source'!U311&gt;=3.5,"A-",IF('Data Source'!U311&gt;=3,"B",IF('Data Source'!U311&gt;=2,"C",IF('Data Source'!U311&gt;=1,"D","F")))))))</f>
        <v/>
      </c>
      <c r="D311" s="3">
        <f>IF('Data Source'!B311="","",IF('Data Source'!V311&gt;=5,"A+",IF('Data Source'!V311&gt;=4,"A",IF('Data Source'!V311&gt;=3.5,"A-",IF('Data Source'!V311&gt;=3,"B",IF('Data Source'!V311&gt;=2,"C",IF('Data Source'!V311&gt;=1,"D","F")))))))</f>
        <v/>
      </c>
      <c r="E311" s="3">
        <f>IF('Data Source'!B311="","",IF('Data Source'!W311&gt;=5,"A+",IF('Data Source'!W311&gt;=4,"A",IF('Data Source'!W311&gt;=3.5,"A-",IF('Data Source'!W311&gt;=3,"B",IF('Data Source'!W311&gt;=2,"C",IF('Data Source'!W311&gt;=1,"D","F")))))))</f>
        <v/>
      </c>
      <c r="F311" s="3">
        <f>IF('Data Source'!B311="","",IF('Data Source'!X311&gt;=5,"A+",IF('Data Source'!X311&gt;=4,"A",IF('Data Source'!X311&gt;=3.5,"A-",IF('Data Source'!X311&gt;=3,"B",IF('Data Source'!X311&gt;=2,"C",IF('Data Source'!X311&gt;=1,"D","F")))))))</f>
        <v/>
      </c>
      <c r="G311" s="3">
        <f>IF('Data Source'!B311="","",IF('Data Source'!Y311&gt;=5,"A+",IF('Data Source'!Y311&gt;=4,"A",IF('Data Source'!Y311&gt;=3.5,"A-",IF('Data Source'!Y311&gt;=3,"B",IF('Data Source'!Y311&gt;=2,"C",IF('Data Source'!Y311&gt;=1,"D","F")))))))</f>
        <v/>
      </c>
      <c r="H311" s="3">
        <f>IF('Data Source'!B311="","",IF('Data Source'!Z311&gt;=5,"A+",IF('Data Source'!Z311&gt;=4,"A",IF('Data Source'!Z311&gt;=3.5,"A-",IF('Data Source'!Z311&gt;=3,"B",IF('Data Source'!Z311&gt;=2,"C",IF('Data Source'!Z311&gt;=1,"D","F")))))))</f>
        <v/>
      </c>
      <c r="I311" s="3">
        <f>IF('Data Source'!B311="","",IF('Data Source'!AA311&gt;=5,"A+",IF('Data Source'!AA311&gt;=4,"A",IF('Data Source'!AA311&gt;=3.5,"A-",IF('Data Source'!AA311&gt;=3,"B",IF('Data Source'!AA311&gt;=2,"C",IF('Data Source'!AA311&gt;=1,"D","F")))))))</f>
        <v/>
      </c>
      <c r="J311" s="3">
        <f>IF('Data Source'!B311="","",IF('Data Source'!AB311&gt;=5,"A+",IF('Data Source'!AB311&gt;=4,"A",IF('Data Source'!AB311&gt;=3.5,"A-",IF('Data Source'!AB311&gt;=3,"B",IF('Data Source'!AB311&gt;=2,"C",IF('Data Source'!AB311&gt;=1,"D","F")))))))</f>
        <v/>
      </c>
      <c r="K311" s="3">
        <f>IF('Data Source'!B311="","",IF('Data Source'!AC311&gt;=5,"A+",IF('Data Source'!AC311&gt;=4,"A",IF('Data Source'!AC311&gt;=3.5,"A-",IF('Data Source'!AC311&gt;=3,"B",IF('Data Source'!AC311&gt;=2,"C",IF('Data Source'!AC311&gt;=1,"D","F")))))))</f>
        <v/>
      </c>
      <c r="L311" s="3">
        <f>IF('Data Source'!B311="","",IF('Data Source'!AD311&gt;=5,"A+",IF('Data Source'!AD311&gt;=4,"A",IF('Data Source'!AD311&gt;=3.5,"A-",IF('Data Source'!AD311&gt;=3,"B",IF('Data Source'!AD311&gt;=2,"C",IF('Data Source'!AD311&gt;=1,"D","F")))))))</f>
        <v/>
      </c>
      <c r="M311" s="3">
        <f>IF('Data Source'!B311="","",IF('Data Source'!AE311&gt;=5,"A+",IF('Data Source'!AE311&gt;=4,"A",IF('Data Source'!AE311&gt;=3.5,"A-",IF('Data Source'!AE311&gt;=3,"B",IF('Data Source'!AE311&gt;=2,"C",IF('Data Source'!AE311&gt;=1,"D","F")))))))</f>
        <v/>
      </c>
      <c r="N311" s="3">
        <f>IF('Data Source'!B311="","",IF('Data Source'!AF311&gt;=5,"A+",IF('Data Source'!AF311&gt;=4,"A",IF('Data Source'!AF311&gt;=3.5,"A-",IF('Data Source'!AF311&gt;=3,"B",IF('Data Source'!AF311&gt;=2,"C",IF('Data Source'!AF311&gt;=1,"D","F")))))))</f>
        <v/>
      </c>
      <c r="O311" s="3">
        <f>IF('Data Source'!B311="","",IF('Data Source'!AG311&gt;=5,"A+",IF('Data Source'!AG311&gt;=4,"A",IF('Data Source'!AG311&gt;=3.5,"A-",IF('Data Source'!AG311&gt;=3,"B",IF('Data Source'!AG311&gt;=2,"C",IF('Data Source'!AG311&gt;=1,"D","F")))))))</f>
        <v/>
      </c>
      <c r="P311" s="5">
        <f>IF('Data Source'!B311="","",'Data Source'!R311)</f>
        <v/>
      </c>
      <c r="Q311" s="3">
        <f>IF('Data Source'!B311="","",'Data Source'!S311)</f>
        <v/>
      </c>
    </row>
    <row r="312">
      <c r="A312" s="3">
        <f>IF('Data Source'!B312="","",'Data Source'!A312)</f>
        <v/>
      </c>
      <c r="B312">
        <f>IF('Data Source'!B312="","",'Data Source'!B312)</f>
        <v/>
      </c>
      <c r="C312" s="3">
        <f>IF('Data Source'!B312="","",IF('Data Source'!U312&gt;=5,"A+",IF('Data Source'!U312&gt;=4,"A",IF('Data Source'!U312&gt;=3.5,"A-",IF('Data Source'!U312&gt;=3,"B",IF('Data Source'!U312&gt;=2,"C",IF('Data Source'!U312&gt;=1,"D","F")))))))</f>
        <v/>
      </c>
      <c r="D312" s="3">
        <f>IF('Data Source'!B312="","",IF('Data Source'!V312&gt;=5,"A+",IF('Data Source'!V312&gt;=4,"A",IF('Data Source'!V312&gt;=3.5,"A-",IF('Data Source'!V312&gt;=3,"B",IF('Data Source'!V312&gt;=2,"C",IF('Data Source'!V312&gt;=1,"D","F")))))))</f>
        <v/>
      </c>
      <c r="E312" s="3">
        <f>IF('Data Source'!B312="","",IF('Data Source'!W312&gt;=5,"A+",IF('Data Source'!W312&gt;=4,"A",IF('Data Source'!W312&gt;=3.5,"A-",IF('Data Source'!W312&gt;=3,"B",IF('Data Source'!W312&gt;=2,"C",IF('Data Source'!W312&gt;=1,"D","F")))))))</f>
        <v/>
      </c>
      <c r="F312" s="3">
        <f>IF('Data Source'!B312="","",IF('Data Source'!X312&gt;=5,"A+",IF('Data Source'!X312&gt;=4,"A",IF('Data Source'!X312&gt;=3.5,"A-",IF('Data Source'!X312&gt;=3,"B",IF('Data Source'!X312&gt;=2,"C",IF('Data Source'!X312&gt;=1,"D","F")))))))</f>
        <v/>
      </c>
      <c r="G312" s="3">
        <f>IF('Data Source'!B312="","",IF('Data Source'!Y312&gt;=5,"A+",IF('Data Source'!Y312&gt;=4,"A",IF('Data Source'!Y312&gt;=3.5,"A-",IF('Data Source'!Y312&gt;=3,"B",IF('Data Source'!Y312&gt;=2,"C",IF('Data Source'!Y312&gt;=1,"D","F")))))))</f>
        <v/>
      </c>
      <c r="H312" s="3">
        <f>IF('Data Source'!B312="","",IF('Data Source'!Z312&gt;=5,"A+",IF('Data Source'!Z312&gt;=4,"A",IF('Data Source'!Z312&gt;=3.5,"A-",IF('Data Source'!Z312&gt;=3,"B",IF('Data Source'!Z312&gt;=2,"C",IF('Data Source'!Z312&gt;=1,"D","F")))))))</f>
        <v/>
      </c>
      <c r="I312" s="3">
        <f>IF('Data Source'!B312="","",IF('Data Source'!AA312&gt;=5,"A+",IF('Data Source'!AA312&gt;=4,"A",IF('Data Source'!AA312&gt;=3.5,"A-",IF('Data Source'!AA312&gt;=3,"B",IF('Data Source'!AA312&gt;=2,"C",IF('Data Source'!AA312&gt;=1,"D","F")))))))</f>
        <v/>
      </c>
      <c r="J312" s="3">
        <f>IF('Data Source'!B312="","",IF('Data Source'!AB312&gt;=5,"A+",IF('Data Source'!AB312&gt;=4,"A",IF('Data Source'!AB312&gt;=3.5,"A-",IF('Data Source'!AB312&gt;=3,"B",IF('Data Source'!AB312&gt;=2,"C",IF('Data Source'!AB312&gt;=1,"D","F")))))))</f>
        <v/>
      </c>
      <c r="K312" s="3">
        <f>IF('Data Source'!B312="","",IF('Data Source'!AC312&gt;=5,"A+",IF('Data Source'!AC312&gt;=4,"A",IF('Data Source'!AC312&gt;=3.5,"A-",IF('Data Source'!AC312&gt;=3,"B",IF('Data Source'!AC312&gt;=2,"C",IF('Data Source'!AC312&gt;=1,"D","F")))))))</f>
        <v/>
      </c>
      <c r="L312" s="3">
        <f>IF('Data Source'!B312="","",IF('Data Source'!AD312&gt;=5,"A+",IF('Data Source'!AD312&gt;=4,"A",IF('Data Source'!AD312&gt;=3.5,"A-",IF('Data Source'!AD312&gt;=3,"B",IF('Data Source'!AD312&gt;=2,"C",IF('Data Source'!AD312&gt;=1,"D","F")))))))</f>
        <v/>
      </c>
      <c r="M312" s="3">
        <f>IF('Data Source'!B312="","",IF('Data Source'!AE312&gt;=5,"A+",IF('Data Source'!AE312&gt;=4,"A",IF('Data Source'!AE312&gt;=3.5,"A-",IF('Data Source'!AE312&gt;=3,"B",IF('Data Source'!AE312&gt;=2,"C",IF('Data Source'!AE312&gt;=1,"D","F")))))))</f>
        <v/>
      </c>
      <c r="N312" s="3">
        <f>IF('Data Source'!B312="","",IF('Data Source'!AF312&gt;=5,"A+",IF('Data Source'!AF312&gt;=4,"A",IF('Data Source'!AF312&gt;=3.5,"A-",IF('Data Source'!AF312&gt;=3,"B",IF('Data Source'!AF312&gt;=2,"C",IF('Data Source'!AF312&gt;=1,"D","F")))))))</f>
        <v/>
      </c>
      <c r="O312" s="3">
        <f>IF('Data Source'!B312="","",IF('Data Source'!AG312&gt;=5,"A+",IF('Data Source'!AG312&gt;=4,"A",IF('Data Source'!AG312&gt;=3.5,"A-",IF('Data Source'!AG312&gt;=3,"B",IF('Data Source'!AG312&gt;=2,"C",IF('Data Source'!AG312&gt;=1,"D","F")))))))</f>
        <v/>
      </c>
      <c r="P312" s="5">
        <f>IF('Data Source'!B312="","",'Data Source'!R312)</f>
        <v/>
      </c>
      <c r="Q312" s="3">
        <f>IF('Data Source'!B312="","",'Data Source'!S312)</f>
        <v/>
      </c>
    </row>
    <row r="313">
      <c r="A313" s="3">
        <f>IF('Data Source'!B313="","",'Data Source'!A313)</f>
        <v/>
      </c>
      <c r="B313">
        <f>IF('Data Source'!B313="","",'Data Source'!B313)</f>
        <v/>
      </c>
      <c r="C313" s="3">
        <f>IF('Data Source'!B313="","",IF('Data Source'!U313&gt;=5,"A+",IF('Data Source'!U313&gt;=4,"A",IF('Data Source'!U313&gt;=3.5,"A-",IF('Data Source'!U313&gt;=3,"B",IF('Data Source'!U313&gt;=2,"C",IF('Data Source'!U313&gt;=1,"D","F")))))))</f>
        <v/>
      </c>
      <c r="D313" s="3">
        <f>IF('Data Source'!B313="","",IF('Data Source'!V313&gt;=5,"A+",IF('Data Source'!V313&gt;=4,"A",IF('Data Source'!V313&gt;=3.5,"A-",IF('Data Source'!V313&gt;=3,"B",IF('Data Source'!V313&gt;=2,"C",IF('Data Source'!V313&gt;=1,"D","F")))))))</f>
        <v/>
      </c>
      <c r="E313" s="3">
        <f>IF('Data Source'!B313="","",IF('Data Source'!W313&gt;=5,"A+",IF('Data Source'!W313&gt;=4,"A",IF('Data Source'!W313&gt;=3.5,"A-",IF('Data Source'!W313&gt;=3,"B",IF('Data Source'!W313&gt;=2,"C",IF('Data Source'!W313&gt;=1,"D","F")))))))</f>
        <v/>
      </c>
      <c r="F313" s="3">
        <f>IF('Data Source'!B313="","",IF('Data Source'!X313&gt;=5,"A+",IF('Data Source'!X313&gt;=4,"A",IF('Data Source'!X313&gt;=3.5,"A-",IF('Data Source'!X313&gt;=3,"B",IF('Data Source'!X313&gt;=2,"C",IF('Data Source'!X313&gt;=1,"D","F")))))))</f>
        <v/>
      </c>
      <c r="G313" s="3">
        <f>IF('Data Source'!B313="","",IF('Data Source'!Y313&gt;=5,"A+",IF('Data Source'!Y313&gt;=4,"A",IF('Data Source'!Y313&gt;=3.5,"A-",IF('Data Source'!Y313&gt;=3,"B",IF('Data Source'!Y313&gt;=2,"C",IF('Data Source'!Y313&gt;=1,"D","F")))))))</f>
        <v/>
      </c>
      <c r="H313" s="3">
        <f>IF('Data Source'!B313="","",IF('Data Source'!Z313&gt;=5,"A+",IF('Data Source'!Z313&gt;=4,"A",IF('Data Source'!Z313&gt;=3.5,"A-",IF('Data Source'!Z313&gt;=3,"B",IF('Data Source'!Z313&gt;=2,"C",IF('Data Source'!Z313&gt;=1,"D","F")))))))</f>
        <v/>
      </c>
      <c r="I313" s="3">
        <f>IF('Data Source'!B313="","",IF('Data Source'!AA313&gt;=5,"A+",IF('Data Source'!AA313&gt;=4,"A",IF('Data Source'!AA313&gt;=3.5,"A-",IF('Data Source'!AA313&gt;=3,"B",IF('Data Source'!AA313&gt;=2,"C",IF('Data Source'!AA313&gt;=1,"D","F")))))))</f>
        <v/>
      </c>
      <c r="J313" s="3">
        <f>IF('Data Source'!B313="","",IF('Data Source'!AB313&gt;=5,"A+",IF('Data Source'!AB313&gt;=4,"A",IF('Data Source'!AB313&gt;=3.5,"A-",IF('Data Source'!AB313&gt;=3,"B",IF('Data Source'!AB313&gt;=2,"C",IF('Data Source'!AB313&gt;=1,"D","F")))))))</f>
        <v/>
      </c>
      <c r="K313" s="3">
        <f>IF('Data Source'!B313="","",IF('Data Source'!AC313&gt;=5,"A+",IF('Data Source'!AC313&gt;=4,"A",IF('Data Source'!AC313&gt;=3.5,"A-",IF('Data Source'!AC313&gt;=3,"B",IF('Data Source'!AC313&gt;=2,"C",IF('Data Source'!AC313&gt;=1,"D","F")))))))</f>
        <v/>
      </c>
      <c r="L313" s="3">
        <f>IF('Data Source'!B313="","",IF('Data Source'!AD313&gt;=5,"A+",IF('Data Source'!AD313&gt;=4,"A",IF('Data Source'!AD313&gt;=3.5,"A-",IF('Data Source'!AD313&gt;=3,"B",IF('Data Source'!AD313&gt;=2,"C",IF('Data Source'!AD313&gt;=1,"D","F")))))))</f>
        <v/>
      </c>
      <c r="M313" s="3">
        <f>IF('Data Source'!B313="","",IF('Data Source'!AE313&gt;=5,"A+",IF('Data Source'!AE313&gt;=4,"A",IF('Data Source'!AE313&gt;=3.5,"A-",IF('Data Source'!AE313&gt;=3,"B",IF('Data Source'!AE313&gt;=2,"C",IF('Data Source'!AE313&gt;=1,"D","F")))))))</f>
        <v/>
      </c>
      <c r="N313" s="3">
        <f>IF('Data Source'!B313="","",IF('Data Source'!AF313&gt;=5,"A+",IF('Data Source'!AF313&gt;=4,"A",IF('Data Source'!AF313&gt;=3.5,"A-",IF('Data Source'!AF313&gt;=3,"B",IF('Data Source'!AF313&gt;=2,"C",IF('Data Source'!AF313&gt;=1,"D","F")))))))</f>
        <v/>
      </c>
      <c r="O313" s="3">
        <f>IF('Data Source'!B313="","",IF('Data Source'!AG313&gt;=5,"A+",IF('Data Source'!AG313&gt;=4,"A",IF('Data Source'!AG313&gt;=3.5,"A-",IF('Data Source'!AG313&gt;=3,"B",IF('Data Source'!AG313&gt;=2,"C",IF('Data Source'!AG313&gt;=1,"D","F")))))))</f>
        <v/>
      </c>
      <c r="P313" s="5">
        <f>IF('Data Source'!B313="","",'Data Source'!R313)</f>
        <v/>
      </c>
      <c r="Q313" s="3">
        <f>IF('Data Source'!B313="","",'Data Source'!S313)</f>
        <v/>
      </c>
    </row>
    <row r="314">
      <c r="A314" s="3">
        <f>IF('Data Source'!B314="","",'Data Source'!A314)</f>
        <v/>
      </c>
      <c r="B314">
        <f>IF('Data Source'!B314="","",'Data Source'!B314)</f>
        <v/>
      </c>
      <c r="C314" s="3">
        <f>IF('Data Source'!B314="","",IF('Data Source'!U314&gt;=5,"A+",IF('Data Source'!U314&gt;=4,"A",IF('Data Source'!U314&gt;=3.5,"A-",IF('Data Source'!U314&gt;=3,"B",IF('Data Source'!U314&gt;=2,"C",IF('Data Source'!U314&gt;=1,"D","F")))))))</f>
        <v/>
      </c>
      <c r="D314" s="3">
        <f>IF('Data Source'!B314="","",IF('Data Source'!V314&gt;=5,"A+",IF('Data Source'!V314&gt;=4,"A",IF('Data Source'!V314&gt;=3.5,"A-",IF('Data Source'!V314&gt;=3,"B",IF('Data Source'!V314&gt;=2,"C",IF('Data Source'!V314&gt;=1,"D","F")))))))</f>
        <v/>
      </c>
      <c r="E314" s="3">
        <f>IF('Data Source'!B314="","",IF('Data Source'!W314&gt;=5,"A+",IF('Data Source'!W314&gt;=4,"A",IF('Data Source'!W314&gt;=3.5,"A-",IF('Data Source'!W314&gt;=3,"B",IF('Data Source'!W314&gt;=2,"C",IF('Data Source'!W314&gt;=1,"D","F")))))))</f>
        <v/>
      </c>
      <c r="F314" s="3">
        <f>IF('Data Source'!B314="","",IF('Data Source'!X314&gt;=5,"A+",IF('Data Source'!X314&gt;=4,"A",IF('Data Source'!X314&gt;=3.5,"A-",IF('Data Source'!X314&gt;=3,"B",IF('Data Source'!X314&gt;=2,"C",IF('Data Source'!X314&gt;=1,"D","F")))))))</f>
        <v/>
      </c>
      <c r="G314" s="3">
        <f>IF('Data Source'!B314="","",IF('Data Source'!Y314&gt;=5,"A+",IF('Data Source'!Y314&gt;=4,"A",IF('Data Source'!Y314&gt;=3.5,"A-",IF('Data Source'!Y314&gt;=3,"B",IF('Data Source'!Y314&gt;=2,"C",IF('Data Source'!Y314&gt;=1,"D","F")))))))</f>
        <v/>
      </c>
      <c r="H314" s="3">
        <f>IF('Data Source'!B314="","",IF('Data Source'!Z314&gt;=5,"A+",IF('Data Source'!Z314&gt;=4,"A",IF('Data Source'!Z314&gt;=3.5,"A-",IF('Data Source'!Z314&gt;=3,"B",IF('Data Source'!Z314&gt;=2,"C",IF('Data Source'!Z314&gt;=1,"D","F")))))))</f>
        <v/>
      </c>
      <c r="I314" s="3">
        <f>IF('Data Source'!B314="","",IF('Data Source'!AA314&gt;=5,"A+",IF('Data Source'!AA314&gt;=4,"A",IF('Data Source'!AA314&gt;=3.5,"A-",IF('Data Source'!AA314&gt;=3,"B",IF('Data Source'!AA314&gt;=2,"C",IF('Data Source'!AA314&gt;=1,"D","F")))))))</f>
        <v/>
      </c>
      <c r="J314" s="3">
        <f>IF('Data Source'!B314="","",IF('Data Source'!AB314&gt;=5,"A+",IF('Data Source'!AB314&gt;=4,"A",IF('Data Source'!AB314&gt;=3.5,"A-",IF('Data Source'!AB314&gt;=3,"B",IF('Data Source'!AB314&gt;=2,"C",IF('Data Source'!AB314&gt;=1,"D","F")))))))</f>
        <v/>
      </c>
      <c r="K314" s="3">
        <f>IF('Data Source'!B314="","",IF('Data Source'!AC314&gt;=5,"A+",IF('Data Source'!AC314&gt;=4,"A",IF('Data Source'!AC314&gt;=3.5,"A-",IF('Data Source'!AC314&gt;=3,"B",IF('Data Source'!AC314&gt;=2,"C",IF('Data Source'!AC314&gt;=1,"D","F")))))))</f>
        <v/>
      </c>
      <c r="L314" s="3">
        <f>IF('Data Source'!B314="","",IF('Data Source'!AD314&gt;=5,"A+",IF('Data Source'!AD314&gt;=4,"A",IF('Data Source'!AD314&gt;=3.5,"A-",IF('Data Source'!AD314&gt;=3,"B",IF('Data Source'!AD314&gt;=2,"C",IF('Data Source'!AD314&gt;=1,"D","F")))))))</f>
        <v/>
      </c>
      <c r="M314" s="3">
        <f>IF('Data Source'!B314="","",IF('Data Source'!AE314&gt;=5,"A+",IF('Data Source'!AE314&gt;=4,"A",IF('Data Source'!AE314&gt;=3.5,"A-",IF('Data Source'!AE314&gt;=3,"B",IF('Data Source'!AE314&gt;=2,"C",IF('Data Source'!AE314&gt;=1,"D","F")))))))</f>
        <v/>
      </c>
      <c r="N314" s="3">
        <f>IF('Data Source'!B314="","",IF('Data Source'!AF314&gt;=5,"A+",IF('Data Source'!AF314&gt;=4,"A",IF('Data Source'!AF314&gt;=3.5,"A-",IF('Data Source'!AF314&gt;=3,"B",IF('Data Source'!AF314&gt;=2,"C",IF('Data Source'!AF314&gt;=1,"D","F")))))))</f>
        <v/>
      </c>
      <c r="O314" s="3">
        <f>IF('Data Source'!B314="","",IF('Data Source'!AG314&gt;=5,"A+",IF('Data Source'!AG314&gt;=4,"A",IF('Data Source'!AG314&gt;=3.5,"A-",IF('Data Source'!AG314&gt;=3,"B",IF('Data Source'!AG314&gt;=2,"C",IF('Data Source'!AG314&gt;=1,"D","F")))))))</f>
        <v/>
      </c>
      <c r="P314" s="5">
        <f>IF('Data Source'!B314="","",'Data Source'!R314)</f>
        <v/>
      </c>
      <c r="Q314" s="3">
        <f>IF('Data Source'!B314="","",'Data Source'!S314)</f>
        <v/>
      </c>
    </row>
    <row r="315">
      <c r="A315" s="3">
        <f>IF('Data Source'!B315="","",'Data Source'!A315)</f>
        <v/>
      </c>
      <c r="B315">
        <f>IF('Data Source'!B315="","",'Data Source'!B315)</f>
        <v/>
      </c>
      <c r="C315" s="3">
        <f>IF('Data Source'!B315="","",IF('Data Source'!U315&gt;=5,"A+",IF('Data Source'!U315&gt;=4,"A",IF('Data Source'!U315&gt;=3.5,"A-",IF('Data Source'!U315&gt;=3,"B",IF('Data Source'!U315&gt;=2,"C",IF('Data Source'!U315&gt;=1,"D","F")))))))</f>
        <v/>
      </c>
      <c r="D315" s="3">
        <f>IF('Data Source'!B315="","",IF('Data Source'!V315&gt;=5,"A+",IF('Data Source'!V315&gt;=4,"A",IF('Data Source'!V315&gt;=3.5,"A-",IF('Data Source'!V315&gt;=3,"B",IF('Data Source'!V315&gt;=2,"C",IF('Data Source'!V315&gt;=1,"D","F")))))))</f>
        <v/>
      </c>
      <c r="E315" s="3">
        <f>IF('Data Source'!B315="","",IF('Data Source'!W315&gt;=5,"A+",IF('Data Source'!W315&gt;=4,"A",IF('Data Source'!W315&gt;=3.5,"A-",IF('Data Source'!W315&gt;=3,"B",IF('Data Source'!W315&gt;=2,"C",IF('Data Source'!W315&gt;=1,"D","F")))))))</f>
        <v/>
      </c>
      <c r="F315" s="3">
        <f>IF('Data Source'!B315="","",IF('Data Source'!X315&gt;=5,"A+",IF('Data Source'!X315&gt;=4,"A",IF('Data Source'!X315&gt;=3.5,"A-",IF('Data Source'!X315&gt;=3,"B",IF('Data Source'!X315&gt;=2,"C",IF('Data Source'!X315&gt;=1,"D","F")))))))</f>
        <v/>
      </c>
      <c r="G315" s="3">
        <f>IF('Data Source'!B315="","",IF('Data Source'!Y315&gt;=5,"A+",IF('Data Source'!Y315&gt;=4,"A",IF('Data Source'!Y315&gt;=3.5,"A-",IF('Data Source'!Y315&gt;=3,"B",IF('Data Source'!Y315&gt;=2,"C",IF('Data Source'!Y315&gt;=1,"D","F")))))))</f>
        <v/>
      </c>
      <c r="H315" s="3">
        <f>IF('Data Source'!B315="","",IF('Data Source'!Z315&gt;=5,"A+",IF('Data Source'!Z315&gt;=4,"A",IF('Data Source'!Z315&gt;=3.5,"A-",IF('Data Source'!Z315&gt;=3,"B",IF('Data Source'!Z315&gt;=2,"C",IF('Data Source'!Z315&gt;=1,"D","F")))))))</f>
        <v/>
      </c>
      <c r="I315" s="3">
        <f>IF('Data Source'!B315="","",IF('Data Source'!AA315&gt;=5,"A+",IF('Data Source'!AA315&gt;=4,"A",IF('Data Source'!AA315&gt;=3.5,"A-",IF('Data Source'!AA315&gt;=3,"B",IF('Data Source'!AA315&gt;=2,"C",IF('Data Source'!AA315&gt;=1,"D","F")))))))</f>
        <v/>
      </c>
      <c r="J315" s="3">
        <f>IF('Data Source'!B315="","",IF('Data Source'!AB315&gt;=5,"A+",IF('Data Source'!AB315&gt;=4,"A",IF('Data Source'!AB315&gt;=3.5,"A-",IF('Data Source'!AB315&gt;=3,"B",IF('Data Source'!AB315&gt;=2,"C",IF('Data Source'!AB315&gt;=1,"D","F")))))))</f>
        <v/>
      </c>
      <c r="K315" s="3">
        <f>IF('Data Source'!B315="","",IF('Data Source'!AC315&gt;=5,"A+",IF('Data Source'!AC315&gt;=4,"A",IF('Data Source'!AC315&gt;=3.5,"A-",IF('Data Source'!AC315&gt;=3,"B",IF('Data Source'!AC315&gt;=2,"C",IF('Data Source'!AC315&gt;=1,"D","F")))))))</f>
        <v/>
      </c>
      <c r="L315" s="3">
        <f>IF('Data Source'!B315="","",IF('Data Source'!AD315&gt;=5,"A+",IF('Data Source'!AD315&gt;=4,"A",IF('Data Source'!AD315&gt;=3.5,"A-",IF('Data Source'!AD315&gt;=3,"B",IF('Data Source'!AD315&gt;=2,"C",IF('Data Source'!AD315&gt;=1,"D","F")))))))</f>
        <v/>
      </c>
      <c r="M315" s="3">
        <f>IF('Data Source'!B315="","",IF('Data Source'!AE315&gt;=5,"A+",IF('Data Source'!AE315&gt;=4,"A",IF('Data Source'!AE315&gt;=3.5,"A-",IF('Data Source'!AE315&gt;=3,"B",IF('Data Source'!AE315&gt;=2,"C",IF('Data Source'!AE315&gt;=1,"D","F")))))))</f>
        <v/>
      </c>
      <c r="N315" s="3">
        <f>IF('Data Source'!B315="","",IF('Data Source'!AF315&gt;=5,"A+",IF('Data Source'!AF315&gt;=4,"A",IF('Data Source'!AF315&gt;=3.5,"A-",IF('Data Source'!AF315&gt;=3,"B",IF('Data Source'!AF315&gt;=2,"C",IF('Data Source'!AF315&gt;=1,"D","F")))))))</f>
        <v/>
      </c>
      <c r="O315" s="3">
        <f>IF('Data Source'!B315="","",IF('Data Source'!AG315&gt;=5,"A+",IF('Data Source'!AG315&gt;=4,"A",IF('Data Source'!AG315&gt;=3.5,"A-",IF('Data Source'!AG315&gt;=3,"B",IF('Data Source'!AG315&gt;=2,"C",IF('Data Source'!AG315&gt;=1,"D","F")))))))</f>
        <v/>
      </c>
      <c r="P315" s="5">
        <f>IF('Data Source'!B315="","",'Data Source'!R315)</f>
        <v/>
      </c>
      <c r="Q315" s="3">
        <f>IF('Data Source'!B315="","",'Data Source'!S315)</f>
        <v/>
      </c>
    </row>
    <row r="316">
      <c r="A316" s="3">
        <f>IF('Data Source'!B316="","",'Data Source'!A316)</f>
        <v/>
      </c>
      <c r="B316">
        <f>IF('Data Source'!B316="","",'Data Source'!B316)</f>
        <v/>
      </c>
      <c r="C316" s="3">
        <f>IF('Data Source'!B316="","",IF('Data Source'!U316&gt;=5,"A+",IF('Data Source'!U316&gt;=4,"A",IF('Data Source'!U316&gt;=3.5,"A-",IF('Data Source'!U316&gt;=3,"B",IF('Data Source'!U316&gt;=2,"C",IF('Data Source'!U316&gt;=1,"D","F")))))))</f>
        <v/>
      </c>
      <c r="D316" s="3">
        <f>IF('Data Source'!B316="","",IF('Data Source'!V316&gt;=5,"A+",IF('Data Source'!V316&gt;=4,"A",IF('Data Source'!V316&gt;=3.5,"A-",IF('Data Source'!V316&gt;=3,"B",IF('Data Source'!V316&gt;=2,"C",IF('Data Source'!V316&gt;=1,"D","F")))))))</f>
        <v/>
      </c>
      <c r="E316" s="3">
        <f>IF('Data Source'!B316="","",IF('Data Source'!W316&gt;=5,"A+",IF('Data Source'!W316&gt;=4,"A",IF('Data Source'!W316&gt;=3.5,"A-",IF('Data Source'!W316&gt;=3,"B",IF('Data Source'!W316&gt;=2,"C",IF('Data Source'!W316&gt;=1,"D","F")))))))</f>
        <v/>
      </c>
      <c r="F316" s="3">
        <f>IF('Data Source'!B316="","",IF('Data Source'!X316&gt;=5,"A+",IF('Data Source'!X316&gt;=4,"A",IF('Data Source'!X316&gt;=3.5,"A-",IF('Data Source'!X316&gt;=3,"B",IF('Data Source'!X316&gt;=2,"C",IF('Data Source'!X316&gt;=1,"D","F")))))))</f>
        <v/>
      </c>
      <c r="G316" s="3">
        <f>IF('Data Source'!B316="","",IF('Data Source'!Y316&gt;=5,"A+",IF('Data Source'!Y316&gt;=4,"A",IF('Data Source'!Y316&gt;=3.5,"A-",IF('Data Source'!Y316&gt;=3,"B",IF('Data Source'!Y316&gt;=2,"C",IF('Data Source'!Y316&gt;=1,"D","F")))))))</f>
        <v/>
      </c>
      <c r="H316" s="3">
        <f>IF('Data Source'!B316="","",IF('Data Source'!Z316&gt;=5,"A+",IF('Data Source'!Z316&gt;=4,"A",IF('Data Source'!Z316&gt;=3.5,"A-",IF('Data Source'!Z316&gt;=3,"B",IF('Data Source'!Z316&gt;=2,"C",IF('Data Source'!Z316&gt;=1,"D","F")))))))</f>
        <v/>
      </c>
      <c r="I316" s="3">
        <f>IF('Data Source'!B316="","",IF('Data Source'!AA316&gt;=5,"A+",IF('Data Source'!AA316&gt;=4,"A",IF('Data Source'!AA316&gt;=3.5,"A-",IF('Data Source'!AA316&gt;=3,"B",IF('Data Source'!AA316&gt;=2,"C",IF('Data Source'!AA316&gt;=1,"D","F")))))))</f>
        <v/>
      </c>
      <c r="J316" s="3">
        <f>IF('Data Source'!B316="","",IF('Data Source'!AB316&gt;=5,"A+",IF('Data Source'!AB316&gt;=4,"A",IF('Data Source'!AB316&gt;=3.5,"A-",IF('Data Source'!AB316&gt;=3,"B",IF('Data Source'!AB316&gt;=2,"C",IF('Data Source'!AB316&gt;=1,"D","F")))))))</f>
        <v/>
      </c>
      <c r="K316" s="3">
        <f>IF('Data Source'!B316="","",IF('Data Source'!AC316&gt;=5,"A+",IF('Data Source'!AC316&gt;=4,"A",IF('Data Source'!AC316&gt;=3.5,"A-",IF('Data Source'!AC316&gt;=3,"B",IF('Data Source'!AC316&gt;=2,"C",IF('Data Source'!AC316&gt;=1,"D","F")))))))</f>
        <v/>
      </c>
      <c r="L316" s="3">
        <f>IF('Data Source'!B316="","",IF('Data Source'!AD316&gt;=5,"A+",IF('Data Source'!AD316&gt;=4,"A",IF('Data Source'!AD316&gt;=3.5,"A-",IF('Data Source'!AD316&gt;=3,"B",IF('Data Source'!AD316&gt;=2,"C",IF('Data Source'!AD316&gt;=1,"D","F")))))))</f>
        <v/>
      </c>
      <c r="M316" s="3">
        <f>IF('Data Source'!B316="","",IF('Data Source'!AE316&gt;=5,"A+",IF('Data Source'!AE316&gt;=4,"A",IF('Data Source'!AE316&gt;=3.5,"A-",IF('Data Source'!AE316&gt;=3,"B",IF('Data Source'!AE316&gt;=2,"C",IF('Data Source'!AE316&gt;=1,"D","F")))))))</f>
        <v/>
      </c>
      <c r="N316" s="3">
        <f>IF('Data Source'!B316="","",IF('Data Source'!AF316&gt;=5,"A+",IF('Data Source'!AF316&gt;=4,"A",IF('Data Source'!AF316&gt;=3.5,"A-",IF('Data Source'!AF316&gt;=3,"B",IF('Data Source'!AF316&gt;=2,"C",IF('Data Source'!AF316&gt;=1,"D","F")))))))</f>
        <v/>
      </c>
      <c r="O316" s="3">
        <f>IF('Data Source'!B316="","",IF('Data Source'!AG316&gt;=5,"A+",IF('Data Source'!AG316&gt;=4,"A",IF('Data Source'!AG316&gt;=3.5,"A-",IF('Data Source'!AG316&gt;=3,"B",IF('Data Source'!AG316&gt;=2,"C",IF('Data Source'!AG316&gt;=1,"D","F")))))))</f>
        <v/>
      </c>
      <c r="P316" s="5">
        <f>IF('Data Source'!B316="","",'Data Source'!R316)</f>
        <v/>
      </c>
      <c r="Q316" s="3">
        <f>IF('Data Source'!B316="","",'Data Source'!S316)</f>
        <v/>
      </c>
    </row>
    <row r="317">
      <c r="A317" s="3">
        <f>IF('Data Source'!B317="","",'Data Source'!A317)</f>
        <v/>
      </c>
      <c r="B317">
        <f>IF('Data Source'!B317="","",'Data Source'!B317)</f>
        <v/>
      </c>
      <c r="C317" s="3">
        <f>IF('Data Source'!B317="","",IF('Data Source'!U317&gt;=5,"A+",IF('Data Source'!U317&gt;=4,"A",IF('Data Source'!U317&gt;=3.5,"A-",IF('Data Source'!U317&gt;=3,"B",IF('Data Source'!U317&gt;=2,"C",IF('Data Source'!U317&gt;=1,"D","F")))))))</f>
        <v/>
      </c>
      <c r="D317" s="3">
        <f>IF('Data Source'!B317="","",IF('Data Source'!V317&gt;=5,"A+",IF('Data Source'!V317&gt;=4,"A",IF('Data Source'!V317&gt;=3.5,"A-",IF('Data Source'!V317&gt;=3,"B",IF('Data Source'!V317&gt;=2,"C",IF('Data Source'!V317&gt;=1,"D","F")))))))</f>
        <v/>
      </c>
      <c r="E317" s="3">
        <f>IF('Data Source'!B317="","",IF('Data Source'!W317&gt;=5,"A+",IF('Data Source'!W317&gt;=4,"A",IF('Data Source'!W317&gt;=3.5,"A-",IF('Data Source'!W317&gt;=3,"B",IF('Data Source'!W317&gt;=2,"C",IF('Data Source'!W317&gt;=1,"D","F")))))))</f>
        <v/>
      </c>
      <c r="F317" s="3">
        <f>IF('Data Source'!B317="","",IF('Data Source'!X317&gt;=5,"A+",IF('Data Source'!X317&gt;=4,"A",IF('Data Source'!X317&gt;=3.5,"A-",IF('Data Source'!X317&gt;=3,"B",IF('Data Source'!X317&gt;=2,"C",IF('Data Source'!X317&gt;=1,"D","F")))))))</f>
        <v/>
      </c>
      <c r="G317" s="3">
        <f>IF('Data Source'!B317="","",IF('Data Source'!Y317&gt;=5,"A+",IF('Data Source'!Y317&gt;=4,"A",IF('Data Source'!Y317&gt;=3.5,"A-",IF('Data Source'!Y317&gt;=3,"B",IF('Data Source'!Y317&gt;=2,"C",IF('Data Source'!Y317&gt;=1,"D","F")))))))</f>
        <v/>
      </c>
      <c r="H317" s="3">
        <f>IF('Data Source'!B317="","",IF('Data Source'!Z317&gt;=5,"A+",IF('Data Source'!Z317&gt;=4,"A",IF('Data Source'!Z317&gt;=3.5,"A-",IF('Data Source'!Z317&gt;=3,"B",IF('Data Source'!Z317&gt;=2,"C",IF('Data Source'!Z317&gt;=1,"D","F")))))))</f>
        <v/>
      </c>
      <c r="I317" s="3">
        <f>IF('Data Source'!B317="","",IF('Data Source'!AA317&gt;=5,"A+",IF('Data Source'!AA317&gt;=4,"A",IF('Data Source'!AA317&gt;=3.5,"A-",IF('Data Source'!AA317&gt;=3,"B",IF('Data Source'!AA317&gt;=2,"C",IF('Data Source'!AA317&gt;=1,"D","F")))))))</f>
        <v/>
      </c>
      <c r="J317" s="3">
        <f>IF('Data Source'!B317="","",IF('Data Source'!AB317&gt;=5,"A+",IF('Data Source'!AB317&gt;=4,"A",IF('Data Source'!AB317&gt;=3.5,"A-",IF('Data Source'!AB317&gt;=3,"B",IF('Data Source'!AB317&gt;=2,"C",IF('Data Source'!AB317&gt;=1,"D","F")))))))</f>
        <v/>
      </c>
      <c r="K317" s="3">
        <f>IF('Data Source'!B317="","",IF('Data Source'!AC317&gt;=5,"A+",IF('Data Source'!AC317&gt;=4,"A",IF('Data Source'!AC317&gt;=3.5,"A-",IF('Data Source'!AC317&gt;=3,"B",IF('Data Source'!AC317&gt;=2,"C",IF('Data Source'!AC317&gt;=1,"D","F")))))))</f>
        <v/>
      </c>
      <c r="L317" s="3">
        <f>IF('Data Source'!B317="","",IF('Data Source'!AD317&gt;=5,"A+",IF('Data Source'!AD317&gt;=4,"A",IF('Data Source'!AD317&gt;=3.5,"A-",IF('Data Source'!AD317&gt;=3,"B",IF('Data Source'!AD317&gt;=2,"C",IF('Data Source'!AD317&gt;=1,"D","F")))))))</f>
        <v/>
      </c>
      <c r="M317" s="3">
        <f>IF('Data Source'!B317="","",IF('Data Source'!AE317&gt;=5,"A+",IF('Data Source'!AE317&gt;=4,"A",IF('Data Source'!AE317&gt;=3.5,"A-",IF('Data Source'!AE317&gt;=3,"B",IF('Data Source'!AE317&gt;=2,"C",IF('Data Source'!AE317&gt;=1,"D","F")))))))</f>
        <v/>
      </c>
      <c r="N317" s="3">
        <f>IF('Data Source'!B317="","",IF('Data Source'!AF317&gt;=5,"A+",IF('Data Source'!AF317&gt;=4,"A",IF('Data Source'!AF317&gt;=3.5,"A-",IF('Data Source'!AF317&gt;=3,"B",IF('Data Source'!AF317&gt;=2,"C",IF('Data Source'!AF317&gt;=1,"D","F")))))))</f>
        <v/>
      </c>
      <c r="O317" s="3">
        <f>IF('Data Source'!B317="","",IF('Data Source'!AG317&gt;=5,"A+",IF('Data Source'!AG317&gt;=4,"A",IF('Data Source'!AG317&gt;=3.5,"A-",IF('Data Source'!AG317&gt;=3,"B",IF('Data Source'!AG317&gt;=2,"C",IF('Data Source'!AG317&gt;=1,"D","F")))))))</f>
        <v/>
      </c>
      <c r="P317" s="5">
        <f>IF('Data Source'!B317="","",'Data Source'!R317)</f>
        <v/>
      </c>
      <c r="Q317" s="3">
        <f>IF('Data Source'!B317="","",'Data Source'!S317)</f>
        <v/>
      </c>
    </row>
    <row r="318">
      <c r="A318" s="3">
        <f>IF('Data Source'!B318="","",'Data Source'!A318)</f>
        <v/>
      </c>
      <c r="B318">
        <f>IF('Data Source'!B318="","",'Data Source'!B318)</f>
        <v/>
      </c>
      <c r="C318" s="3">
        <f>IF('Data Source'!B318="","",IF('Data Source'!U318&gt;=5,"A+",IF('Data Source'!U318&gt;=4,"A",IF('Data Source'!U318&gt;=3.5,"A-",IF('Data Source'!U318&gt;=3,"B",IF('Data Source'!U318&gt;=2,"C",IF('Data Source'!U318&gt;=1,"D","F")))))))</f>
        <v/>
      </c>
      <c r="D318" s="3">
        <f>IF('Data Source'!B318="","",IF('Data Source'!V318&gt;=5,"A+",IF('Data Source'!V318&gt;=4,"A",IF('Data Source'!V318&gt;=3.5,"A-",IF('Data Source'!V318&gt;=3,"B",IF('Data Source'!V318&gt;=2,"C",IF('Data Source'!V318&gt;=1,"D","F")))))))</f>
        <v/>
      </c>
      <c r="E318" s="3">
        <f>IF('Data Source'!B318="","",IF('Data Source'!W318&gt;=5,"A+",IF('Data Source'!W318&gt;=4,"A",IF('Data Source'!W318&gt;=3.5,"A-",IF('Data Source'!W318&gt;=3,"B",IF('Data Source'!W318&gt;=2,"C",IF('Data Source'!W318&gt;=1,"D","F")))))))</f>
        <v/>
      </c>
      <c r="F318" s="3">
        <f>IF('Data Source'!B318="","",IF('Data Source'!X318&gt;=5,"A+",IF('Data Source'!X318&gt;=4,"A",IF('Data Source'!X318&gt;=3.5,"A-",IF('Data Source'!X318&gt;=3,"B",IF('Data Source'!X318&gt;=2,"C",IF('Data Source'!X318&gt;=1,"D","F")))))))</f>
        <v/>
      </c>
      <c r="G318" s="3">
        <f>IF('Data Source'!B318="","",IF('Data Source'!Y318&gt;=5,"A+",IF('Data Source'!Y318&gt;=4,"A",IF('Data Source'!Y318&gt;=3.5,"A-",IF('Data Source'!Y318&gt;=3,"B",IF('Data Source'!Y318&gt;=2,"C",IF('Data Source'!Y318&gt;=1,"D","F")))))))</f>
        <v/>
      </c>
      <c r="H318" s="3">
        <f>IF('Data Source'!B318="","",IF('Data Source'!Z318&gt;=5,"A+",IF('Data Source'!Z318&gt;=4,"A",IF('Data Source'!Z318&gt;=3.5,"A-",IF('Data Source'!Z318&gt;=3,"B",IF('Data Source'!Z318&gt;=2,"C",IF('Data Source'!Z318&gt;=1,"D","F")))))))</f>
        <v/>
      </c>
      <c r="I318" s="3">
        <f>IF('Data Source'!B318="","",IF('Data Source'!AA318&gt;=5,"A+",IF('Data Source'!AA318&gt;=4,"A",IF('Data Source'!AA318&gt;=3.5,"A-",IF('Data Source'!AA318&gt;=3,"B",IF('Data Source'!AA318&gt;=2,"C",IF('Data Source'!AA318&gt;=1,"D","F")))))))</f>
        <v/>
      </c>
      <c r="J318" s="3">
        <f>IF('Data Source'!B318="","",IF('Data Source'!AB318&gt;=5,"A+",IF('Data Source'!AB318&gt;=4,"A",IF('Data Source'!AB318&gt;=3.5,"A-",IF('Data Source'!AB318&gt;=3,"B",IF('Data Source'!AB318&gt;=2,"C",IF('Data Source'!AB318&gt;=1,"D","F")))))))</f>
        <v/>
      </c>
      <c r="K318" s="3">
        <f>IF('Data Source'!B318="","",IF('Data Source'!AC318&gt;=5,"A+",IF('Data Source'!AC318&gt;=4,"A",IF('Data Source'!AC318&gt;=3.5,"A-",IF('Data Source'!AC318&gt;=3,"B",IF('Data Source'!AC318&gt;=2,"C",IF('Data Source'!AC318&gt;=1,"D","F")))))))</f>
        <v/>
      </c>
      <c r="L318" s="3">
        <f>IF('Data Source'!B318="","",IF('Data Source'!AD318&gt;=5,"A+",IF('Data Source'!AD318&gt;=4,"A",IF('Data Source'!AD318&gt;=3.5,"A-",IF('Data Source'!AD318&gt;=3,"B",IF('Data Source'!AD318&gt;=2,"C",IF('Data Source'!AD318&gt;=1,"D","F")))))))</f>
        <v/>
      </c>
      <c r="M318" s="3">
        <f>IF('Data Source'!B318="","",IF('Data Source'!AE318&gt;=5,"A+",IF('Data Source'!AE318&gt;=4,"A",IF('Data Source'!AE318&gt;=3.5,"A-",IF('Data Source'!AE318&gt;=3,"B",IF('Data Source'!AE318&gt;=2,"C",IF('Data Source'!AE318&gt;=1,"D","F")))))))</f>
        <v/>
      </c>
      <c r="N318" s="3">
        <f>IF('Data Source'!B318="","",IF('Data Source'!AF318&gt;=5,"A+",IF('Data Source'!AF318&gt;=4,"A",IF('Data Source'!AF318&gt;=3.5,"A-",IF('Data Source'!AF318&gt;=3,"B",IF('Data Source'!AF318&gt;=2,"C",IF('Data Source'!AF318&gt;=1,"D","F")))))))</f>
        <v/>
      </c>
      <c r="O318" s="3">
        <f>IF('Data Source'!B318="","",IF('Data Source'!AG318&gt;=5,"A+",IF('Data Source'!AG318&gt;=4,"A",IF('Data Source'!AG318&gt;=3.5,"A-",IF('Data Source'!AG318&gt;=3,"B",IF('Data Source'!AG318&gt;=2,"C",IF('Data Source'!AG318&gt;=1,"D","F")))))))</f>
        <v/>
      </c>
      <c r="P318" s="5">
        <f>IF('Data Source'!B318="","",'Data Source'!R318)</f>
        <v/>
      </c>
      <c r="Q318" s="3">
        <f>IF('Data Source'!B318="","",'Data Source'!S318)</f>
        <v/>
      </c>
    </row>
    <row r="319">
      <c r="A319" s="3">
        <f>IF('Data Source'!B319="","",'Data Source'!A319)</f>
        <v/>
      </c>
      <c r="B319">
        <f>IF('Data Source'!B319="","",'Data Source'!B319)</f>
        <v/>
      </c>
      <c r="C319" s="3">
        <f>IF('Data Source'!B319="","",IF('Data Source'!U319&gt;=5,"A+",IF('Data Source'!U319&gt;=4,"A",IF('Data Source'!U319&gt;=3.5,"A-",IF('Data Source'!U319&gt;=3,"B",IF('Data Source'!U319&gt;=2,"C",IF('Data Source'!U319&gt;=1,"D","F")))))))</f>
        <v/>
      </c>
      <c r="D319" s="3">
        <f>IF('Data Source'!B319="","",IF('Data Source'!V319&gt;=5,"A+",IF('Data Source'!V319&gt;=4,"A",IF('Data Source'!V319&gt;=3.5,"A-",IF('Data Source'!V319&gt;=3,"B",IF('Data Source'!V319&gt;=2,"C",IF('Data Source'!V319&gt;=1,"D","F")))))))</f>
        <v/>
      </c>
      <c r="E319" s="3">
        <f>IF('Data Source'!B319="","",IF('Data Source'!W319&gt;=5,"A+",IF('Data Source'!W319&gt;=4,"A",IF('Data Source'!W319&gt;=3.5,"A-",IF('Data Source'!W319&gt;=3,"B",IF('Data Source'!W319&gt;=2,"C",IF('Data Source'!W319&gt;=1,"D","F")))))))</f>
        <v/>
      </c>
      <c r="F319" s="3">
        <f>IF('Data Source'!B319="","",IF('Data Source'!X319&gt;=5,"A+",IF('Data Source'!X319&gt;=4,"A",IF('Data Source'!X319&gt;=3.5,"A-",IF('Data Source'!X319&gt;=3,"B",IF('Data Source'!X319&gt;=2,"C",IF('Data Source'!X319&gt;=1,"D","F")))))))</f>
        <v/>
      </c>
      <c r="G319" s="3">
        <f>IF('Data Source'!B319="","",IF('Data Source'!Y319&gt;=5,"A+",IF('Data Source'!Y319&gt;=4,"A",IF('Data Source'!Y319&gt;=3.5,"A-",IF('Data Source'!Y319&gt;=3,"B",IF('Data Source'!Y319&gt;=2,"C",IF('Data Source'!Y319&gt;=1,"D","F")))))))</f>
        <v/>
      </c>
      <c r="H319" s="3">
        <f>IF('Data Source'!B319="","",IF('Data Source'!Z319&gt;=5,"A+",IF('Data Source'!Z319&gt;=4,"A",IF('Data Source'!Z319&gt;=3.5,"A-",IF('Data Source'!Z319&gt;=3,"B",IF('Data Source'!Z319&gt;=2,"C",IF('Data Source'!Z319&gt;=1,"D","F")))))))</f>
        <v/>
      </c>
      <c r="I319" s="3">
        <f>IF('Data Source'!B319="","",IF('Data Source'!AA319&gt;=5,"A+",IF('Data Source'!AA319&gt;=4,"A",IF('Data Source'!AA319&gt;=3.5,"A-",IF('Data Source'!AA319&gt;=3,"B",IF('Data Source'!AA319&gt;=2,"C",IF('Data Source'!AA319&gt;=1,"D","F")))))))</f>
        <v/>
      </c>
      <c r="J319" s="3">
        <f>IF('Data Source'!B319="","",IF('Data Source'!AB319&gt;=5,"A+",IF('Data Source'!AB319&gt;=4,"A",IF('Data Source'!AB319&gt;=3.5,"A-",IF('Data Source'!AB319&gt;=3,"B",IF('Data Source'!AB319&gt;=2,"C",IF('Data Source'!AB319&gt;=1,"D","F")))))))</f>
        <v/>
      </c>
      <c r="K319" s="3">
        <f>IF('Data Source'!B319="","",IF('Data Source'!AC319&gt;=5,"A+",IF('Data Source'!AC319&gt;=4,"A",IF('Data Source'!AC319&gt;=3.5,"A-",IF('Data Source'!AC319&gt;=3,"B",IF('Data Source'!AC319&gt;=2,"C",IF('Data Source'!AC319&gt;=1,"D","F")))))))</f>
        <v/>
      </c>
      <c r="L319" s="3">
        <f>IF('Data Source'!B319="","",IF('Data Source'!AD319&gt;=5,"A+",IF('Data Source'!AD319&gt;=4,"A",IF('Data Source'!AD319&gt;=3.5,"A-",IF('Data Source'!AD319&gt;=3,"B",IF('Data Source'!AD319&gt;=2,"C",IF('Data Source'!AD319&gt;=1,"D","F")))))))</f>
        <v/>
      </c>
      <c r="M319" s="3">
        <f>IF('Data Source'!B319="","",IF('Data Source'!AE319&gt;=5,"A+",IF('Data Source'!AE319&gt;=4,"A",IF('Data Source'!AE319&gt;=3.5,"A-",IF('Data Source'!AE319&gt;=3,"B",IF('Data Source'!AE319&gt;=2,"C",IF('Data Source'!AE319&gt;=1,"D","F")))))))</f>
        <v/>
      </c>
      <c r="N319" s="3">
        <f>IF('Data Source'!B319="","",IF('Data Source'!AF319&gt;=5,"A+",IF('Data Source'!AF319&gt;=4,"A",IF('Data Source'!AF319&gt;=3.5,"A-",IF('Data Source'!AF319&gt;=3,"B",IF('Data Source'!AF319&gt;=2,"C",IF('Data Source'!AF319&gt;=1,"D","F")))))))</f>
        <v/>
      </c>
      <c r="O319" s="3">
        <f>IF('Data Source'!B319="","",IF('Data Source'!AG319&gt;=5,"A+",IF('Data Source'!AG319&gt;=4,"A",IF('Data Source'!AG319&gt;=3.5,"A-",IF('Data Source'!AG319&gt;=3,"B",IF('Data Source'!AG319&gt;=2,"C",IF('Data Source'!AG319&gt;=1,"D","F")))))))</f>
        <v/>
      </c>
      <c r="P319" s="5">
        <f>IF('Data Source'!B319="","",'Data Source'!R319)</f>
        <v/>
      </c>
      <c r="Q319" s="3">
        <f>IF('Data Source'!B319="","",'Data Source'!S319)</f>
        <v/>
      </c>
    </row>
    <row r="320">
      <c r="A320" s="3">
        <f>IF('Data Source'!B320="","",'Data Source'!A320)</f>
        <v/>
      </c>
      <c r="B320">
        <f>IF('Data Source'!B320="","",'Data Source'!B320)</f>
        <v/>
      </c>
      <c r="C320" s="3">
        <f>IF('Data Source'!B320="","",IF('Data Source'!U320&gt;=5,"A+",IF('Data Source'!U320&gt;=4,"A",IF('Data Source'!U320&gt;=3.5,"A-",IF('Data Source'!U320&gt;=3,"B",IF('Data Source'!U320&gt;=2,"C",IF('Data Source'!U320&gt;=1,"D","F")))))))</f>
        <v/>
      </c>
      <c r="D320" s="3">
        <f>IF('Data Source'!B320="","",IF('Data Source'!V320&gt;=5,"A+",IF('Data Source'!V320&gt;=4,"A",IF('Data Source'!V320&gt;=3.5,"A-",IF('Data Source'!V320&gt;=3,"B",IF('Data Source'!V320&gt;=2,"C",IF('Data Source'!V320&gt;=1,"D","F")))))))</f>
        <v/>
      </c>
      <c r="E320" s="3">
        <f>IF('Data Source'!B320="","",IF('Data Source'!W320&gt;=5,"A+",IF('Data Source'!W320&gt;=4,"A",IF('Data Source'!W320&gt;=3.5,"A-",IF('Data Source'!W320&gt;=3,"B",IF('Data Source'!W320&gt;=2,"C",IF('Data Source'!W320&gt;=1,"D","F")))))))</f>
        <v/>
      </c>
      <c r="F320" s="3">
        <f>IF('Data Source'!B320="","",IF('Data Source'!X320&gt;=5,"A+",IF('Data Source'!X320&gt;=4,"A",IF('Data Source'!X320&gt;=3.5,"A-",IF('Data Source'!X320&gt;=3,"B",IF('Data Source'!X320&gt;=2,"C",IF('Data Source'!X320&gt;=1,"D","F")))))))</f>
        <v/>
      </c>
      <c r="G320" s="3">
        <f>IF('Data Source'!B320="","",IF('Data Source'!Y320&gt;=5,"A+",IF('Data Source'!Y320&gt;=4,"A",IF('Data Source'!Y320&gt;=3.5,"A-",IF('Data Source'!Y320&gt;=3,"B",IF('Data Source'!Y320&gt;=2,"C",IF('Data Source'!Y320&gt;=1,"D","F")))))))</f>
        <v/>
      </c>
      <c r="H320" s="3">
        <f>IF('Data Source'!B320="","",IF('Data Source'!Z320&gt;=5,"A+",IF('Data Source'!Z320&gt;=4,"A",IF('Data Source'!Z320&gt;=3.5,"A-",IF('Data Source'!Z320&gt;=3,"B",IF('Data Source'!Z320&gt;=2,"C",IF('Data Source'!Z320&gt;=1,"D","F")))))))</f>
        <v/>
      </c>
      <c r="I320" s="3">
        <f>IF('Data Source'!B320="","",IF('Data Source'!AA320&gt;=5,"A+",IF('Data Source'!AA320&gt;=4,"A",IF('Data Source'!AA320&gt;=3.5,"A-",IF('Data Source'!AA320&gt;=3,"B",IF('Data Source'!AA320&gt;=2,"C",IF('Data Source'!AA320&gt;=1,"D","F")))))))</f>
        <v/>
      </c>
      <c r="J320" s="3">
        <f>IF('Data Source'!B320="","",IF('Data Source'!AB320&gt;=5,"A+",IF('Data Source'!AB320&gt;=4,"A",IF('Data Source'!AB320&gt;=3.5,"A-",IF('Data Source'!AB320&gt;=3,"B",IF('Data Source'!AB320&gt;=2,"C",IF('Data Source'!AB320&gt;=1,"D","F")))))))</f>
        <v/>
      </c>
      <c r="K320" s="3">
        <f>IF('Data Source'!B320="","",IF('Data Source'!AC320&gt;=5,"A+",IF('Data Source'!AC320&gt;=4,"A",IF('Data Source'!AC320&gt;=3.5,"A-",IF('Data Source'!AC320&gt;=3,"B",IF('Data Source'!AC320&gt;=2,"C",IF('Data Source'!AC320&gt;=1,"D","F")))))))</f>
        <v/>
      </c>
      <c r="L320" s="3">
        <f>IF('Data Source'!B320="","",IF('Data Source'!AD320&gt;=5,"A+",IF('Data Source'!AD320&gt;=4,"A",IF('Data Source'!AD320&gt;=3.5,"A-",IF('Data Source'!AD320&gt;=3,"B",IF('Data Source'!AD320&gt;=2,"C",IF('Data Source'!AD320&gt;=1,"D","F")))))))</f>
        <v/>
      </c>
      <c r="M320" s="3">
        <f>IF('Data Source'!B320="","",IF('Data Source'!AE320&gt;=5,"A+",IF('Data Source'!AE320&gt;=4,"A",IF('Data Source'!AE320&gt;=3.5,"A-",IF('Data Source'!AE320&gt;=3,"B",IF('Data Source'!AE320&gt;=2,"C",IF('Data Source'!AE320&gt;=1,"D","F")))))))</f>
        <v/>
      </c>
      <c r="N320" s="3">
        <f>IF('Data Source'!B320="","",IF('Data Source'!AF320&gt;=5,"A+",IF('Data Source'!AF320&gt;=4,"A",IF('Data Source'!AF320&gt;=3.5,"A-",IF('Data Source'!AF320&gt;=3,"B",IF('Data Source'!AF320&gt;=2,"C",IF('Data Source'!AF320&gt;=1,"D","F")))))))</f>
        <v/>
      </c>
      <c r="O320" s="3">
        <f>IF('Data Source'!B320="","",IF('Data Source'!AG320&gt;=5,"A+",IF('Data Source'!AG320&gt;=4,"A",IF('Data Source'!AG320&gt;=3.5,"A-",IF('Data Source'!AG320&gt;=3,"B",IF('Data Source'!AG320&gt;=2,"C",IF('Data Source'!AG320&gt;=1,"D","F")))))))</f>
        <v/>
      </c>
      <c r="P320" s="5">
        <f>IF('Data Source'!B320="","",'Data Source'!R320)</f>
        <v/>
      </c>
      <c r="Q320" s="3">
        <f>IF('Data Source'!B320="","",'Data Source'!S320)</f>
        <v/>
      </c>
    </row>
    <row r="321">
      <c r="A321" s="3">
        <f>IF('Data Source'!B321="","",'Data Source'!A321)</f>
        <v/>
      </c>
      <c r="B321">
        <f>IF('Data Source'!B321="","",'Data Source'!B321)</f>
        <v/>
      </c>
      <c r="C321" s="3">
        <f>IF('Data Source'!B321="","",IF('Data Source'!U321&gt;=5,"A+",IF('Data Source'!U321&gt;=4,"A",IF('Data Source'!U321&gt;=3.5,"A-",IF('Data Source'!U321&gt;=3,"B",IF('Data Source'!U321&gt;=2,"C",IF('Data Source'!U321&gt;=1,"D","F")))))))</f>
        <v/>
      </c>
      <c r="D321" s="3">
        <f>IF('Data Source'!B321="","",IF('Data Source'!V321&gt;=5,"A+",IF('Data Source'!V321&gt;=4,"A",IF('Data Source'!V321&gt;=3.5,"A-",IF('Data Source'!V321&gt;=3,"B",IF('Data Source'!V321&gt;=2,"C",IF('Data Source'!V321&gt;=1,"D","F")))))))</f>
        <v/>
      </c>
      <c r="E321" s="3">
        <f>IF('Data Source'!B321="","",IF('Data Source'!W321&gt;=5,"A+",IF('Data Source'!W321&gt;=4,"A",IF('Data Source'!W321&gt;=3.5,"A-",IF('Data Source'!W321&gt;=3,"B",IF('Data Source'!W321&gt;=2,"C",IF('Data Source'!W321&gt;=1,"D","F")))))))</f>
        <v/>
      </c>
      <c r="F321" s="3">
        <f>IF('Data Source'!B321="","",IF('Data Source'!X321&gt;=5,"A+",IF('Data Source'!X321&gt;=4,"A",IF('Data Source'!X321&gt;=3.5,"A-",IF('Data Source'!X321&gt;=3,"B",IF('Data Source'!X321&gt;=2,"C",IF('Data Source'!X321&gt;=1,"D","F")))))))</f>
        <v/>
      </c>
      <c r="G321" s="3">
        <f>IF('Data Source'!B321="","",IF('Data Source'!Y321&gt;=5,"A+",IF('Data Source'!Y321&gt;=4,"A",IF('Data Source'!Y321&gt;=3.5,"A-",IF('Data Source'!Y321&gt;=3,"B",IF('Data Source'!Y321&gt;=2,"C",IF('Data Source'!Y321&gt;=1,"D","F")))))))</f>
        <v/>
      </c>
      <c r="H321" s="3">
        <f>IF('Data Source'!B321="","",IF('Data Source'!Z321&gt;=5,"A+",IF('Data Source'!Z321&gt;=4,"A",IF('Data Source'!Z321&gt;=3.5,"A-",IF('Data Source'!Z321&gt;=3,"B",IF('Data Source'!Z321&gt;=2,"C",IF('Data Source'!Z321&gt;=1,"D","F")))))))</f>
        <v/>
      </c>
      <c r="I321" s="3">
        <f>IF('Data Source'!B321="","",IF('Data Source'!AA321&gt;=5,"A+",IF('Data Source'!AA321&gt;=4,"A",IF('Data Source'!AA321&gt;=3.5,"A-",IF('Data Source'!AA321&gt;=3,"B",IF('Data Source'!AA321&gt;=2,"C",IF('Data Source'!AA321&gt;=1,"D","F")))))))</f>
        <v/>
      </c>
      <c r="J321" s="3">
        <f>IF('Data Source'!B321="","",IF('Data Source'!AB321&gt;=5,"A+",IF('Data Source'!AB321&gt;=4,"A",IF('Data Source'!AB321&gt;=3.5,"A-",IF('Data Source'!AB321&gt;=3,"B",IF('Data Source'!AB321&gt;=2,"C",IF('Data Source'!AB321&gt;=1,"D","F")))))))</f>
        <v/>
      </c>
      <c r="K321" s="3">
        <f>IF('Data Source'!B321="","",IF('Data Source'!AC321&gt;=5,"A+",IF('Data Source'!AC321&gt;=4,"A",IF('Data Source'!AC321&gt;=3.5,"A-",IF('Data Source'!AC321&gt;=3,"B",IF('Data Source'!AC321&gt;=2,"C",IF('Data Source'!AC321&gt;=1,"D","F")))))))</f>
        <v/>
      </c>
      <c r="L321" s="3">
        <f>IF('Data Source'!B321="","",IF('Data Source'!AD321&gt;=5,"A+",IF('Data Source'!AD321&gt;=4,"A",IF('Data Source'!AD321&gt;=3.5,"A-",IF('Data Source'!AD321&gt;=3,"B",IF('Data Source'!AD321&gt;=2,"C",IF('Data Source'!AD321&gt;=1,"D","F")))))))</f>
        <v/>
      </c>
      <c r="M321" s="3">
        <f>IF('Data Source'!B321="","",IF('Data Source'!AE321&gt;=5,"A+",IF('Data Source'!AE321&gt;=4,"A",IF('Data Source'!AE321&gt;=3.5,"A-",IF('Data Source'!AE321&gt;=3,"B",IF('Data Source'!AE321&gt;=2,"C",IF('Data Source'!AE321&gt;=1,"D","F")))))))</f>
        <v/>
      </c>
      <c r="N321" s="3">
        <f>IF('Data Source'!B321="","",IF('Data Source'!AF321&gt;=5,"A+",IF('Data Source'!AF321&gt;=4,"A",IF('Data Source'!AF321&gt;=3.5,"A-",IF('Data Source'!AF321&gt;=3,"B",IF('Data Source'!AF321&gt;=2,"C",IF('Data Source'!AF321&gt;=1,"D","F")))))))</f>
        <v/>
      </c>
      <c r="O321" s="3">
        <f>IF('Data Source'!B321="","",IF('Data Source'!AG321&gt;=5,"A+",IF('Data Source'!AG321&gt;=4,"A",IF('Data Source'!AG321&gt;=3.5,"A-",IF('Data Source'!AG321&gt;=3,"B",IF('Data Source'!AG321&gt;=2,"C",IF('Data Source'!AG321&gt;=1,"D","F")))))))</f>
        <v/>
      </c>
      <c r="P321" s="5">
        <f>IF('Data Source'!B321="","",'Data Source'!R321)</f>
        <v/>
      </c>
      <c r="Q321" s="3">
        <f>IF('Data Source'!B321="","",'Data Source'!S321)</f>
        <v/>
      </c>
    </row>
    <row r="322">
      <c r="A322" s="3">
        <f>IF('Data Source'!B322="","",'Data Source'!A322)</f>
        <v/>
      </c>
      <c r="B322">
        <f>IF('Data Source'!B322="","",'Data Source'!B322)</f>
        <v/>
      </c>
      <c r="C322" s="3">
        <f>IF('Data Source'!B322="","",IF('Data Source'!U322&gt;=5,"A+",IF('Data Source'!U322&gt;=4,"A",IF('Data Source'!U322&gt;=3.5,"A-",IF('Data Source'!U322&gt;=3,"B",IF('Data Source'!U322&gt;=2,"C",IF('Data Source'!U322&gt;=1,"D","F")))))))</f>
        <v/>
      </c>
      <c r="D322" s="3">
        <f>IF('Data Source'!B322="","",IF('Data Source'!V322&gt;=5,"A+",IF('Data Source'!V322&gt;=4,"A",IF('Data Source'!V322&gt;=3.5,"A-",IF('Data Source'!V322&gt;=3,"B",IF('Data Source'!V322&gt;=2,"C",IF('Data Source'!V322&gt;=1,"D","F")))))))</f>
        <v/>
      </c>
      <c r="E322" s="3">
        <f>IF('Data Source'!B322="","",IF('Data Source'!W322&gt;=5,"A+",IF('Data Source'!W322&gt;=4,"A",IF('Data Source'!W322&gt;=3.5,"A-",IF('Data Source'!W322&gt;=3,"B",IF('Data Source'!W322&gt;=2,"C",IF('Data Source'!W322&gt;=1,"D","F")))))))</f>
        <v/>
      </c>
      <c r="F322" s="3">
        <f>IF('Data Source'!B322="","",IF('Data Source'!X322&gt;=5,"A+",IF('Data Source'!X322&gt;=4,"A",IF('Data Source'!X322&gt;=3.5,"A-",IF('Data Source'!X322&gt;=3,"B",IF('Data Source'!X322&gt;=2,"C",IF('Data Source'!X322&gt;=1,"D","F")))))))</f>
        <v/>
      </c>
      <c r="G322" s="3">
        <f>IF('Data Source'!B322="","",IF('Data Source'!Y322&gt;=5,"A+",IF('Data Source'!Y322&gt;=4,"A",IF('Data Source'!Y322&gt;=3.5,"A-",IF('Data Source'!Y322&gt;=3,"B",IF('Data Source'!Y322&gt;=2,"C",IF('Data Source'!Y322&gt;=1,"D","F")))))))</f>
        <v/>
      </c>
      <c r="H322" s="3">
        <f>IF('Data Source'!B322="","",IF('Data Source'!Z322&gt;=5,"A+",IF('Data Source'!Z322&gt;=4,"A",IF('Data Source'!Z322&gt;=3.5,"A-",IF('Data Source'!Z322&gt;=3,"B",IF('Data Source'!Z322&gt;=2,"C",IF('Data Source'!Z322&gt;=1,"D","F")))))))</f>
        <v/>
      </c>
      <c r="I322" s="3">
        <f>IF('Data Source'!B322="","",IF('Data Source'!AA322&gt;=5,"A+",IF('Data Source'!AA322&gt;=4,"A",IF('Data Source'!AA322&gt;=3.5,"A-",IF('Data Source'!AA322&gt;=3,"B",IF('Data Source'!AA322&gt;=2,"C",IF('Data Source'!AA322&gt;=1,"D","F")))))))</f>
        <v/>
      </c>
      <c r="J322" s="3">
        <f>IF('Data Source'!B322="","",IF('Data Source'!AB322&gt;=5,"A+",IF('Data Source'!AB322&gt;=4,"A",IF('Data Source'!AB322&gt;=3.5,"A-",IF('Data Source'!AB322&gt;=3,"B",IF('Data Source'!AB322&gt;=2,"C",IF('Data Source'!AB322&gt;=1,"D","F")))))))</f>
        <v/>
      </c>
      <c r="K322" s="3">
        <f>IF('Data Source'!B322="","",IF('Data Source'!AC322&gt;=5,"A+",IF('Data Source'!AC322&gt;=4,"A",IF('Data Source'!AC322&gt;=3.5,"A-",IF('Data Source'!AC322&gt;=3,"B",IF('Data Source'!AC322&gt;=2,"C",IF('Data Source'!AC322&gt;=1,"D","F")))))))</f>
        <v/>
      </c>
      <c r="L322" s="3">
        <f>IF('Data Source'!B322="","",IF('Data Source'!AD322&gt;=5,"A+",IF('Data Source'!AD322&gt;=4,"A",IF('Data Source'!AD322&gt;=3.5,"A-",IF('Data Source'!AD322&gt;=3,"B",IF('Data Source'!AD322&gt;=2,"C",IF('Data Source'!AD322&gt;=1,"D","F")))))))</f>
        <v/>
      </c>
      <c r="M322" s="3">
        <f>IF('Data Source'!B322="","",IF('Data Source'!AE322&gt;=5,"A+",IF('Data Source'!AE322&gt;=4,"A",IF('Data Source'!AE322&gt;=3.5,"A-",IF('Data Source'!AE322&gt;=3,"B",IF('Data Source'!AE322&gt;=2,"C",IF('Data Source'!AE322&gt;=1,"D","F")))))))</f>
        <v/>
      </c>
      <c r="N322" s="3">
        <f>IF('Data Source'!B322="","",IF('Data Source'!AF322&gt;=5,"A+",IF('Data Source'!AF322&gt;=4,"A",IF('Data Source'!AF322&gt;=3.5,"A-",IF('Data Source'!AF322&gt;=3,"B",IF('Data Source'!AF322&gt;=2,"C",IF('Data Source'!AF322&gt;=1,"D","F")))))))</f>
        <v/>
      </c>
      <c r="O322" s="3">
        <f>IF('Data Source'!B322="","",IF('Data Source'!AG322&gt;=5,"A+",IF('Data Source'!AG322&gt;=4,"A",IF('Data Source'!AG322&gt;=3.5,"A-",IF('Data Source'!AG322&gt;=3,"B",IF('Data Source'!AG322&gt;=2,"C",IF('Data Source'!AG322&gt;=1,"D","F")))))))</f>
        <v/>
      </c>
      <c r="P322" s="5">
        <f>IF('Data Source'!B322="","",'Data Source'!R322)</f>
        <v/>
      </c>
      <c r="Q322" s="3">
        <f>IF('Data Source'!B322="","",'Data Source'!S322)</f>
        <v/>
      </c>
    </row>
    <row r="323">
      <c r="A323" s="3">
        <f>IF('Data Source'!B323="","",'Data Source'!A323)</f>
        <v/>
      </c>
      <c r="B323">
        <f>IF('Data Source'!B323="","",'Data Source'!B323)</f>
        <v/>
      </c>
      <c r="C323" s="3">
        <f>IF('Data Source'!B323="","",IF('Data Source'!U323&gt;=5,"A+",IF('Data Source'!U323&gt;=4,"A",IF('Data Source'!U323&gt;=3.5,"A-",IF('Data Source'!U323&gt;=3,"B",IF('Data Source'!U323&gt;=2,"C",IF('Data Source'!U323&gt;=1,"D","F")))))))</f>
        <v/>
      </c>
      <c r="D323" s="3">
        <f>IF('Data Source'!B323="","",IF('Data Source'!V323&gt;=5,"A+",IF('Data Source'!V323&gt;=4,"A",IF('Data Source'!V323&gt;=3.5,"A-",IF('Data Source'!V323&gt;=3,"B",IF('Data Source'!V323&gt;=2,"C",IF('Data Source'!V323&gt;=1,"D","F")))))))</f>
        <v/>
      </c>
      <c r="E323" s="3">
        <f>IF('Data Source'!B323="","",IF('Data Source'!W323&gt;=5,"A+",IF('Data Source'!W323&gt;=4,"A",IF('Data Source'!W323&gt;=3.5,"A-",IF('Data Source'!W323&gt;=3,"B",IF('Data Source'!W323&gt;=2,"C",IF('Data Source'!W323&gt;=1,"D","F")))))))</f>
        <v/>
      </c>
      <c r="F323" s="3">
        <f>IF('Data Source'!B323="","",IF('Data Source'!X323&gt;=5,"A+",IF('Data Source'!X323&gt;=4,"A",IF('Data Source'!X323&gt;=3.5,"A-",IF('Data Source'!X323&gt;=3,"B",IF('Data Source'!X323&gt;=2,"C",IF('Data Source'!X323&gt;=1,"D","F")))))))</f>
        <v/>
      </c>
      <c r="G323" s="3">
        <f>IF('Data Source'!B323="","",IF('Data Source'!Y323&gt;=5,"A+",IF('Data Source'!Y323&gt;=4,"A",IF('Data Source'!Y323&gt;=3.5,"A-",IF('Data Source'!Y323&gt;=3,"B",IF('Data Source'!Y323&gt;=2,"C",IF('Data Source'!Y323&gt;=1,"D","F")))))))</f>
        <v/>
      </c>
      <c r="H323" s="3">
        <f>IF('Data Source'!B323="","",IF('Data Source'!Z323&gt;=5,"A+",IF('Data Source'!Z323&gt;=4,"A",IF('Data Source'!Z323&gt;=3.5,"A-",IF('Data Source'!Z323&gt;=3,"B",IF('Data Source'!Z323&gt;=2,"C",IF('Data Source'!Z323&gt;=1,"D","F")))))))</f>
        <v/>
      </c>
      <c r="I323" s="3">
        <f>IF('Data Source'!B323="","",IF('Data Source'!AA323&gt;=5,"A+",IF('Data Source'!AA323&gt;=4,"A",IF('Data Source'!AA323&gt;=3.5,"A-",IF('Data Source'!AA323&gt;=3,"B",IF('Data Source'!AA323&gt;=2,"C",IF('Data Source'!AA323&gt;=1,"D","F")))))))</f>
        <v/>
      </c>
      <c r="J323" s="3">
        <f>IF('Data Source'!B323="","",IF('Data Source'!AB323&gt;=5,"A+",IF('Data Source'!AB323&gt;=4,"A",IF('Data Source'!AB323&gt;=3.5,"A-",IF('Data Source'!AB323&gt;=3,"B",IF('Data Source'!AB323&gt;=2,"C",IF('Data Source'!AB323&gt;=1,"D","F")))))))</f>
        <v/>
      </c>
      <c r="K323" s="3">
        <f>IF('Data Source'!B323="","",IF('Data Source'!AC323&gt;=5,"A+",IF('Data Source'!AC323&gt;=4,"A",IF('Data Source'!AC323&gt;=3.5,"A-",IF('Data Source'!AC323&gt;=3,"B",IF('Data Source'!AC323&gt;=2,"C",IF('Data Source'!AC323&gt;=1,"D","F")))))))</f>
        <v/>
      </c>
      <c r="L323" s="3">
        <f>IF('Data Source'!B323="","",IF('Data Source'!AD323&gt;=5,"A+",IF('Data Source'!AD323&gt;=4,"A",IF('Data Source'!AD323&gt;=3.5,"A-",IF('Data Source'!AD323&gt;=3,"B",IF('Data Source'!AD323&gt;=2,"C",IF('Data Source'!AD323&gt;=1,"D","F")))))))</f>
        <v/>
      </c>
      <c r="M323" s="3">
        <f>IF('Data Source'!B323="","",IF('Data Source'!AE323&gt;=5,"A+",IF('Data Source'!AE323&gt;=4,"A",IF('Data Source'!AE323&gt;=3.5,"A-",IF('Data Source'!AE323&gt;=3,"B",IF('Data Source'!AE323&gt;=2,"C",IF('Data Source'!AE323&gt;=1,"D","F")))))))</f>
        <v/>
      </c>
      <c r="N323" s="3">
        <f>IF('Data Source'!B323="","",IF('Data Source'!AF323&gt;=5,"A+",IF('Data Source'!AF323&gt;=4,"A",IF('Data Source'!AF323&gt;=3.5,"A-",IF('Data Source'!AF323&gt;=3,"B",IF('Data Source'!AF323&gt;=2,"C",IF('Data Source'!AF323&gt;=1,"D","F")))))))</f>
        <v/>
      </c>
      <c r="O323" s="3">
        <f>IF('Data Source'!B323="","",IF('Data Source'!AG323&gt;=5,"A+",IF('Data Source'!AG323&gt;=4,"A",IF('Data Source'!AG323&gt;=3.5,"A-",IF('Data Source'!AG323&gt;=3,"B",IF('Data Source'!AG323&gt;=2,"C",IF('Data Source'!AG323&gt;=1,"D","F")))))))</f>
        <v/>
      </c>
      <c r="P323" s="5">
        <f>IF('Data Source'!B323="","",'Data Source'!R323)</f>
        <v/>
      </c>
      <c r="Q323" s="3">
        <f>IF('Data Source'!B323="","",'Data Source'!S323)</f>
        <v/>
      </c>
    </row>
    <row r="324">
      <c r="A324" s="3">
        <f>IF('Data Source'!B324="","",'Data Source'!A324)</f>
        <v/>
      </c>
      <c r="B324">
        <f>IF('Data Source'!B324="","",'Data Source'!B324)</f>
        <v/>
      </c>
      <c r="C324" s="3">
        <f>IF('Data Source'!B324="","",IF('Data Source'!U324&gt;=5,"A+",IF('Data Source'!U324&gt;=4,"A",IF('Data Source'!U324&gt;=3.5,"A-",IF('Data Source'!U324&gt;=3,"B",IF('Data Source'!U324&gt;=2,"C",IF('Data Source'!U324&gt;=1,"D","F")))))))</f>
        <v/>
      </c>
      <c r="D324" s="3">
        <f>IF('Data Source'!B324="","",IF('Data Source'!V324&gt;=5,"A+",IF('Data Source'!V324&gt;=4,"A",IF('Data Source'!V324&gt;=3.5,"A-",IF('Data Source'!V324&gt;=3,"B",IF('Data Source'!V324&gt;=2,"C",IF('Data Source'!V324&gt;=1,"D","F")))))))</f>
        <v/>
      </c>
      <c r="E324" s="3">
        <f>IF('Data Source'!B324="","",IF('Data Source'!W324&gt;=5,"A+",IF('Data Source'!W324&gt;=4,"A",IF('Data Source'!W324&gt;=3.5,"A-",IF('Data Source'!W324&gt;=3,"B",IF('Data Source'!W324&gt;=2,"C",IF('Data Source'!W324&gt;=1,"D","F")))))))</f>
        <v/>
      </c>
      <c r="F324" s="3">
        <f>IF('Data Source'!B324="","",IF('Data Source'!X324&gt;=5,"A+",IF('Data Source'!X324&gt;=4,"A",IF('Data Source'!X324&gt;=3.5,"A-",IF('Data Source'!X324&gt;=3,"B",IF('Data Source'!X324&gt;=2,"C",IF('Data Source'!X324&gt;=1,"D","F")))))))</f>
        <v/>
      </c>
      <c r="G324" s="3">
        <f>IF('Data Source'!B324="","",IF('Data Source'!Y324&gt;=5,"A+",IF('Data Source'!Y324&gt;=4,"A",IF('Data Source'!Y324&gt;=3.5,"A-",IF('Data Source'!Y324&gt;=3,"B",IF('Data Source'!Y324&gt;=2,"C",IF('Data Source'!Y324&gt;=1,"D","F")))))))</f>
        <v/>
      </c>
      <c r="H324" s="3">
        <f>IF('Data Source'!B324="","",IF('Data Source'!Z324&gt;=5,"A+",IF('Data Source'!Z324&gt;=4,"A",IF('Data Source'!Z324&gt;=3.5,"A-",IF('Data Source'!Z324&gt;=3,"B",IF('Data Source'!Z324&gt;=2,"C",IF('Data Source'!Z324&gt;=1,"D","F")))))))</f>
        <v/>
      </c>
      <c r="I324" s="3">
        <f>IF('Data Source'!B324="","",IF('Data Source'!AA324&gt;=5,"A+",IF('Data Source'!AA324&gt;=4,"A",IF('Data Source'!AA324&gt;=3.5,"A-",IF('Data Source'!AA324&gt;=3,"B",IF('Data Source'!AA324&gt;=2,"C",IF('Data Source'!AA324&gt;=1,"D","F")))))))</f>
        <v/>
      </c>
      <c r="J324" s="3">
        <f>IF('Data Source'!B324="","",IF('Data Source'!AB324&gt;=5,"A+",IF('Data Source'!AB324&gt;=4,"A",IF('Data Source'!AB324&gt;=3.5,"A-",IF('Data Source'!AB324&gt;=3,"B",IF('Data Source'!AB324&gt;=2,"C",IF('Data Source'!AB324&gt;=1,"D","F")))))))</f>
        <v/>
      </c>
      <c r="K324" s="3">
        <f>IF('Data Source'!B324="","",IF('Data Source'!AC324&gt;=5,"A+",IF('Data Source'!AC324&gt;=4,"A",IF('Data Source'!AC324&gt;=3.5,"A-",IF('Data Source'!AC324&gt;=3,"B",IF('Data Source'!AC324&gt;=2,"C",IF('Data Source'!AC324&gt;=1,"D","F")))))))</f>
        <v/>
      </c>
      <c r="L324" s="3">
        <f>IF('Data Source'!B324="","",IF('Data Source'!AD324&gt;=5,"A+",IF('Data Source'!AD324&gt;=4,"A",IF('Data Source'!AD324&gt;=3.5,"A-",IF('Data Source'!AD324&gt;=3,"B",IF('Data Source'!AD324&gt;=2,"C",IF('Data Source'!AD324&gt;=1,"D","F")))))))</f>
        <v/>
      </c>
      <c r="M324" s="3">
        <f>IF('Data Source'!B324="","",IF('Data Source'!AE324&gt;=5,"A+",IF('Data Source'!AE324&gt;=4,"A",IF('Data Source'!AE324&gt;=3.5,"A-",IF('Data Source'!AE324&gt;=3,"B",IF('Data Source'!AE324&gt;=2,"C",IF('Data Source'!AE324&gt;=1,"D","F")))))))</f>
        <v/>
      </c>
      <c r="N324" s="3">
        <f>IF('Data Source'!B324="","",IF('Data Source'!AF324&gt;=5,"A+",IF('Data Source'!AF324&gt;=4,"A",IF('Data Source'!AF324&gt;=3.5,"A-",IF('Data Source'!AF324&gt;=3,"B",IF('Data Source'!AF324&gt;=2,"C",IF('Data Source'!AF324&gt;=1,"D","F")))))))</f>
        <v/>
      </c>
      <c r="O324" s="3">
        <f>IF('Data Source'!B324="","",IF('Data Source'!AG324&gt;=5,"A+",IF('Data Source'!AG324&gt;=4,"A",IF('Data Source'!AG324&gt;=3.5,"A-",IF('Data Source'!AG324&gt;=3,"B",IF('Data Source'!AG324&gt;=2,"C",IF('Data Source'!AG324&gt;=1,"D","F")))))))</f>
        <v/>
      </c>
      <c r="P324" s="5">
        <f>IF('Data Source'!B324="","",'Data Source'!R324)</f>
        <v/>
      </c>
      <c r="Q324" s="3">
        <f>IF('Data Source'!B324="","",'Data Source'!S324)</f>
        <v/>
      </c>
    </row>
    <row r="325">
      <c r="A325" s="3">
        <f>IF('Data Source'!B325="","",'Data Source'!A325)</f>
        <v/>
      </c>
      <c r="B325">
        <f>IF('Data Source'!B325="","",'Data Source'!B325)</f>
        <v/>
      </c>
      <c r="C325" s="3">
        <f>IF('Data Source'!B325="","",IF('Data Source'!U325&gt;=5,"A+",IF('Data Source'!U325&gt;=4,"A",IF('Data Source'!U325&gt;=3.5,"A-",IF('Data Source'!U325&gt;=3,"B",IF('Data Source'!U325&gt;=2,"C",IF('Data Source'!U325&gt;=1,"D","F")))))))</f>
        <v/>
      </c>
      <c r="D325" s="3">
        <f>IF('Data Source'!B325="","",IF('Data Source'!V325&gt;=5,"A+",IF('Data Source'!V325&gt;=4,"A",IF('Data Source'!V325&gt;=3.5,"A-",IF('Data Source'!V325&gt;=3,"B",IF('Data Source'!V325&gt;=2,"C",IF('Data Source'!V325&gt;=1,"D","F")))))))</f>
        <v/>
      </c>
      <c r="E325" s="3">
        <f>IF('Data Source'!B325="","",IF('Data Source'!W325&gt;=5,"A+",IF('Data Source'!W325&gt;=4,"A",IF('Data Source'!W325&gt;=3.5,"A-",IF('Data Source'!W325&gt;=3,"B",IF('Data Source'!W325&gt;=2,"C",IF('Data Source'!W325&gt;=1,"D","F")))))))</f>
        <v/>
      </c>
      <c r="F325" s="3">
        <f>IF('Data Source'!B325="","",IF('Data Source'!X325&gt;=5,"A+",IF('Data Source'!X325&gt;=4,"A",IF('Data Source'!X325&gt;=3.5,"A-",IF('Data Source'!X325&gt;=3,"B",IF('Data Source'!X325&gt;=2,"C",IF('Data Source'!X325&gt;=1,"D","F")))))))</f>
        <v/>
      </c>
      <c r="G325" s="3">
        <f>IF('Data Source'!B325="","",IF('Data Source'!Y325&gt;=5,"A+",IF('Data Source'!Y325&gt;=4,"A",IF('Data Source'!Y325&gt;=3.5,"A-",IF('Data Source'!Y325&gt;=3,"B",IF('Data Source'!Y325&gt;=2,"C",IF('Data Source'!Y325&gt;=1,"D","F")))))))</f>
        <v/>
      </c>
      <c r="H325" s="3">
        <f>IF('Data Source'!B325="","",IF('Data Source'!Z325&gt;=5,"A+",IF('Data Source'!Z325&gt;=4,"A",IF('Data Source'!Z325&gt;=3.5,"A-",IF('Data Source'!Z325&gt;=3,"B",IF('Data Source'!Z325&gt;=2,"C",IF('Data Source'!Z325&gt;=1,"D","F")))))))</f>
        <v/>
      </c>
      <c r="I325" s="3">
        <f>IF('Data Source'!B325="","",IF('Data Source'!AA325&gt;=5,"A+",IF('Data Source'!AA325&gt;=4,"A",IF('Data Source'!AA325&gt;=3.5,"A-",IF('Data Source'!AA325&gt;=3,"B",IF('Data Source'!AA325&gt;=2,"C",IF('Data Source'!AA325&gt;=1,"D","F")))))))</f>
        <v/>
      </c>
      <c r="J325" s="3">
        <f>IF('Data Source'!B325="","",IF('Data Source'!AB325&gt;=5,"A+",IF('Data Source'!AB325&gt;=4,"A",IF('Data Source'!AB325&gt;=3.5,"A-",IF('Data Source'!AB325&gt;=3,"B",IF('Data Source'!AB325&gt;=2,"C",IF('Data Source'!AB325&gt;=1,"D","F")))))))</f>
        <v/>
      </c>
      <c r="K325" s="3">
        <f>IF('Data Source'!B325="","",IF('Data Source'!AC325&gt;=5,"A+",IF('Data Source'!AC325&gt;=4,"A",IF('Data Source'!AC325&gt;=3.5,"A-",IF('Data Source'!AC325&gt;=3,"B",IF('Data Source'!AC325&gt;=2,"C",IF('Data Source'!AC325&gt;=1,"D","F")))))))</f>
        <v/>
      </c>
      <c r="L325" s="3">
        <f>IF('Data Source'!B325="","",IF('Data Source'!AD325&gt;=5,"A+",IF('Data Source'!AD325&gt;=4,"A",IF('Data Source'!AD325&gt;=3.5,"A-",IF('Data Source'!AD325&gt;=3,"B",IF('Data Source'!AD325&gt;=2,"C",IF('Data Source'!AD325&gt;=1,"D","F")))))))</f>
        <v/>
      </c>
      <c r="M325" s="3">
        <f>IF('Data Source'!B325="","",IF('Data Source'!AE325&gt;=5,"A+",IF('Data Source'!AE325&gt;=4,"A",IF('Data Source'!AE325&gt;=3.5,"A-",IF('Data Source'!AE325&gt;=3,"B",IF('Data Source'!AE325&gt;=2,"C",IF('Data Source'!AE325&gt;=1,"D","F")))))))</f>
        <v/>
      </c>
      <c r="N325" s="3">
        <f>IF('Data Source'!B325="","",IF('Data Source'!AF325&gt;=5,"A+",IF('Data Source'!AF325&gt;=4,"A",IF('Data Source'!AF325&gt;=3.5,"A-",IF('Data Source'!AF325&gt;=3,"B",IF('Data Source'!AF325&gt;=2,"C",IF('Data Source'!AF325&gt;=1,"D","F")))))))</f>
        <v/>
      </c>
      <c r="O325" s="3">
        <f>IF('Data Source'!B325="","",IF('Data Source'!AG325&gt;=5,"A+",IF('Data Source'!AG325&gt;=4,"A",IF('Data Source'!AG325&gt;=3.5,"A-",IF('Data Source'!AG325&gt;=3,"B",IF('Data Source'!AG325&gt;=2,"C",IF('Data Source'!AG325&gt;=1,"D","F")))))))</f>
        <v/>
      </c>
      <c r="P325" s="5">
        <f>IF('Data Source'!B325="","",'Data Source'!R325)</f>
        <v/>
      </c>
      <c r="Q325" s="3">
        <f>IF('Data Source'!B325="","",'Data Source'!S325)</f>
        <v/>
      </c>
    </row>
    <row r="326">
      <c r="A326" s="3">
        <f>IF('Data Source'!B326="","",'Data Source'!A326)</f>
        <v/>
      </c>
      <c r="B326">
        <f>IF('Data Source'!B326="","",'Data Source'!B326)</f>
        <v/>
      </c>
      <c r="C326" s="3">
        <f>IF('Data Source'!B326="","",IF('Data Source'!U326&gt;=5,"A+",IF('Data Source'!U326&gt;=4,"A",IF('Data Source'!U326&gt;=3.5,"A-",IF('Data Source'!U326&gt;=3,"B",IF('Data Source'!U326&gt;=2,"C",IF('Data Source'!U326&gt;=1,"D","F")))))))</f>
        <v/>
      </c>
      <c r="D326" s="3">
        <f>IF('Data Source'!B326="","",IF('Data Source'!V326&gt;=5,"A+",IF('Data Source'!V326&gt;=4,"A",IF('Data Source'!V326&gt;=3.5,"A-",IF('Data Source'!V326&gt;=3,"B",IF('Data Source'!V326&gt;=2,"C",IF('Data Source'!V326&gt;=1,"D","F")))))))</f>
        <v/>
      </c>
      <c r="E326" s="3">
        <f>IF('Data Source'!B326="","",IF('Data Source'!W326&gt;=5,"A+",IF('Data Source'!W326&gt;=4,"A",IF('Data Source'!W326&gt;=3.5,"A-",IF('Data Source'!W326&gt;=3,"B",IF('Data Source'!W326&gt;=2,"C",IF('Data Source'!W326&gt;=1,"D","F")))))))</f>
        <v/>
      </c>
      <c r="F326" s="3">
        <f>IF('Data Source'!B326="","",IF('Data Source'!X326&gt;=5,"A+",IF('Data Source'!X326&gt;=4,"A",IF('Data Source'!X326&gt;=3.5,"A-",IF('Data Source'!X326&gt;=3,"B",IF('Data Source'!X326&gt;=2,"C",IF('Data Source'!X326&gt;=1,"D","F")))))))</f>
        <v/>
      </c>
      <c r="G326" s="3">
        <f>IF('Data Source'!B326="","",IF('Data Source'!Y326&gt;=5,"A+",IF('Data Source'!Y326&gt;=4,"A",IF('Data Source'!Y326&gt;=3.5,"A-",IF('Data Source'!Y326&gt;=3,"B",IF('Data Source'!Y326&gt;=2,"C",IF('Data Source'!Y326&gt;=1,"D","F")))))))</f>
        <v/>
      </c>
      <c r="H326" s="3">
        <f>IF('Data Source'!B326="","",IF('Data Source'!Z326&gt;=5,"A+",IF('Data Source'!Z326&gt;=4,"A",IF('Data Source'!Z326&gt;=3.5,"A-",IF('Data Source'!Z326&gt;=3,"B",IF('Data Source'!Z326&gt;=2,"C",IF('Data Source'!Z326&gt;=1,"D","F")))))))</f>
        <v/>
      </c>
      <c r="I326" s="3">
        <f>IF('Data Source'!B326="","",IF('Data Source'!AA326&gt;=5,"A+",IF('Data Source'!AA326&gt;=4,"A",IF('Data Source'!AA326&gt;=3.5,"A-",IF('Data Source'!AA326&gt;=3,"B",IF('Data Source'!AA326&gt;=2,"C",IF('Data Source'!AA326&gt;=1,"D","F")))))))</f>
        <v/>
      </c>
      <c r="J326" s="3">
        <f>IF('Data Source'!B326="","",IF('Data Source'!AB326&gt;=5,"A+",IF('Data Source'!AB326&gt;=4,"A",IF('Data Source'!AB326&gt;=3.5,"A-",IF('Data Source'!AB326&gt;=3,"B",IF('Data Source'!AB326&gt;=2,"C",IF('Data Source'!AB326&gt;=1,"D","F")))))))</f>
        <v/>
      </c>
      <c r="K326" s="3">
        <f>IF('Data Source'!B326="","",IF('Data Source'!AC326&gt;=5,"A+",IF('Data Source'!AC326&gt;=4,"A",IF('Data Source'!AC326&gt;=3.5,"A-",IF('Data Source'!AC326&gt;=3,"B",IF('Data Source'!AC326&gt;=2,"C",IF('Data Source'!AC326&gt;=1,"D","F")))))))</f>
        <v/>
      </c>
      <c r="L326" s="3">
        <f>IF('Data Source'!B326="","",IF('Data Source'!AD326&gt;=5,"A+",IF('Data Source'!AD326&gt;=4,"A",IF('Data Source'!AD326&gt;=3.5,"A-",IF('Data Source'!AD326&gt;=3,"B",IF('Data Source'!AD326&gt;=2,"C",IF('Data Source'!AD326&gt;=1,"D","F")))))))</f>
        <v/>
      </c>
      <c r="M326" s="3">
        <f>IF('Data Source'!B326="","",IF('Data Source'!AE326&gt;=5,"A+",IF('Data Source'!AE326&gt;=4,"A",IF('Data Source'!AE326&gt;=3.5,"A-",IF('Data Source'!AE326&gt;=3,"B",IF('Data Source'!AE326&gt;=2,"C",IF('Data Source'!AE326&gt;=1,"D","F")))))))</f>
        <v/>
      </c>
      <c r="N326" s="3">
        <f>IF('Data Source'!B326="","",IF('Data Source'!AF326&gt;=5,"A+",IF('Data Source'!AF326&gt;=4,"A",IF('Data Source'!AF326&gt;=3.5,"A-",IF('Data Source'!AF326&gt;=3,"B",IF('Data Source'!AF326&gt;=2,"C",IF('Data Source'!AF326&gt;=1,"D","F")))))))</f>
        <v/>
      </c>
      <c r="O326" s="3">
        <f>IF('Data Source'!B326="","",IF('Data Source'!AG326&gt;=5,"A+",IF('Data Source'!AG326&gt;=4,"A",IF('Data Source'!AG326&gt;=3.5,"A-",IF('Data Source'!AG326&gt;=3,"B",IF('Data Source'!AG326&gt;=2,"C",IF('Data Source'!AG326&gt;=1,"D","F")))))))</f>
        <v/>
      </c>
      <c r="P326" s="5">
        <f>IF('Data Source'!B326="","",'Data Source'!R326)</f>
        <v/>
      </c>
      <c r="Q326" s="3">
        <f>IF('Data Source'!B326="","",'Data Source'!S326)</f>
        <v/>
      </c>
    </row>
    <row r="327">
      <c r="A327" s="3">
        <f>IF('Data Source'!B327="","",'Data Source'!A327)</f>
        <v/>
      </c>
      <c r="B327">
        <f>IF('Data Source'!B327="","",'Data Source'!B327)</f>
        <v/>
      </c>
      <c r="C327" s="3">
        <f>IF('Data Source'!B327="","",IF('Data Source'!U327&gt;=5,"A+",IF('Data Source'!U327&gt;=4,"A",IF('Data Source'!U327&gt;=3.5,"A-",IF('Data Source'!U327&gt;=3,"B",IF('Data Source'!U327&gt;=2,"C",IF('Data Source'!U327&gt;=1,"D","F")))))))</f>
        <v/>
      </c>
      <c r="D327" s="3">
        <f>IF('Data Source'!B327="","",IF('Data Source'!V327&gt;=5,"A+",IF('Data Source'!V327&gt;=4,"A",IF('Data Source'!V327&gt;=3.5,"A-",IF('Data Source'!V327&gt;=3,"B",IF('Data Source'!V327&gt;=2,"C",IF('Data Source'!V327&gt;=1,"D","F")))))))</f>
        <v/>
      </c>
      <c r="E327" s="3">
        <f>IF('Data Source'!B327="","",IF('Data Source'!W327&gt;=5,"A+",IF('Data Source'!W327&gt;=4,"A",IF('Data Source'!W327&gt;=3.5,"A-",IF('Data Source'!W327&gt;=3,"B",IF('Data Source'!W327&gt;=2,"C",IF('Data Source'!W327&gt;=1,"D","F")))))))</f>
        <v/>
      </c>
      <c r="F327" s="3">
        <f>IF('Data Source'!B327="","",IF('Data Source'!X327&gt;=5,"A+",IF('Data Source'!X327&gt;=4,"A",IF('Data Source'!X327&gt;=3.5,"A-",IF('Data Source'!X327&gt;=3,"B",IF('Data Source'!X327&gt;=2,"C",IF('Data Source'!X327&gt;=1,"D","F")))))))</f>
        <v/>
      </c>
      <c r="G327" s="3">
        <f>IF('Data Source'!B327="","",IF('Data Source'!Y327&gt;=5,"A+",IF('Data Source'!Y327&gt;=4,"A",IF('Data Source'!Y327&gt;=3.5,"A-",IF('Data Source'!Y327&gt;=3,"B",IF('Data Source'!Y327&gt;=2,"C",IF('Data Source'!Y327&gt;=1,"D","F")))))))</f>
        <v/>
      </c>
      <c r="H327" s="3">
        <f>IF('Data Source'!B327="","",IF('Data Source'!Z327&gt;=5,"A+",IF('Data Source'!Z327&gt;=4,"A",IF('Data Source'!Z327&gt;=3.5,"A-",IF('Data Source'!Z327&gt;=3,"B",IF('Data Source'!Z327&gt;=2,"C",IF('Data Source'!Z327&gt;=1,"D","F")))))))</f>
        <v/>
      </c>
      <c r="I327" s="3">
        <f>IF('Data Source'!B327="","",IF('Data Source'!AA327&gt;=5,"A+",IF('Data Source'!AA327&gt;=4,"A",IF('Data Source'!AA327&gt;=3.5,"A-",IF('Data Source'!AA327&gt;=3,"B",IF('Data Source'!AA327&gt;=2,"C",IF('Data Source'!AA327&gt;=1,"D","F")))))))</f>
        <v/>
      </c>
      <c r="J327" s="3">
        <f>IF('Data Source'!B327="","",IF('Data Source'!AB327&gt;=5,"A+",IF('Data Source'!AB327&gt;=4,"A",IF('Data Source'!AB327&gt;=3.5,"A-",IF('Data Source'!AB327&gt;=3,"B",IF('Data Source'!AB327&gt;=2,"C",IF('Data Source'!AB327&gt;=1,"D","F")))))))</f>
        <v/>
      </c>
      <c r="K327" s="3">
        <f>IF('Data Source'!B327="","",IF('Data Source'!AC327&gt;=5,"A+",IF('Data Source'!AC327&gt;=4,"A",IF('Data Source'!AC327&gt;=3.5,"A-",IF('Data Source'!AC327&gt;=3,"B",IF('Data Source'!AC327&gt;=2,"C",IF('Data Source'!AC327&gt;=1,"D","F")))))))</f>
        <v/>
      </c>
      <c r="L327" s="3">
        <f>IF('Data Source'!B327="","",IF('Data Source'!AD327&gt;=5,"A+",IF('Data Source'!AD327&gt;=4,"A",IF('Data Source'!AD327&gt;=3.5,"A-",IF('Data Source'!AD327&gt;=3,"B",IF('Data Source'!AD327&gt;=2,"C",IF('Data Source'!AD327&gt;=1,"D","F")))))))</f>
        <v/>
      </c>
      <c r="M327" s="3">
        <f>IF('Data Source'!B327="","",IF('Data Source'!AE327&gt;=5,"A+",IF('Data Source'!AE327&gt;=4,"A",IF('Data Source'!AE327&gt;=3.5,"A-",IF('Data Source'!AE327&gt;=3,"B",IF('Data Source'!AE327&gt;=2,"C",IF('Data Source'!AE327&gt;=1,"D","F")))))))</f>
        <v/>
      </c>
      <c r="N327" s="3">
        <f>IF('Data Source'!B327="","",IF('Data Source'!AF327&gt;=5,"A+",IF('Data Source'!AF327&gt;=4,"A",IF('Data Source'!AF327&gt;=3.5,"A-",IF('Data Source'!AF327&gt;=3,"B",IF('Data Source'!AF327&gt;=2,"C",IF('Data Source'!AF327&gt;=1,"D","F")))))))</f>
        <v/>
      </c>
      <c r="O327" s="3">
        <f>IF('Data Source'!B327="","",IF('Data Source'!AG327&gt;=5,"A+",IF('Data Source'!AG327&gt;=4,"A",IF('Data Source'!AG327&gt;=3.5,"A-",IF('Data Source'!AG327&gt;=3,"B",IF('Data Source'!AG327&gt;=2,"C",IF('Data Source'!AG327&gt;=1,"D","F")))))))</f>
        <v/>
      </c>
      <c r="P327" s="5">
        <f>IF('Data Source'!B327="","",'Data Source'!R327)</f>
        <v/>
      </c>
      <c r="Q327" s="3">
        <f>IF('Data Source'!B327="","",'Data Source'!S327)</f>
        <v/>
      </c>
    </row>
    <row r="328">
      <c r="A328" s="3">
        <f>IF('Data Source'!B328="","",'Data Source'!A328)</f>
        <v/>
      </c>
      <c r="B328">
        <f>IF('Data Source'!B328="","",'Data Source'!B328)</f>
        <v/>
      </c>
      <c r="C328" s="3">
        <f>IF('Data Source'!B328="","",IF('Data Source'!U328&gt;=5,"A+",IF('Data Source'!U328&gt;=4,"A",IF('Data Source'!U328&gt;=3.5,"A-",IF('Data Source'!U328&gt;=3,"B",IF('Data Source'!U328&gt;=2,"C",IF('Data Source'!U328&gt;=1,"D","F")))))))</f>
        <v/>
      </c>
      <c r="D328" s="3">
        <f>IF('Data Source'!B328="","",IF('Data Source'!V328&gt;=5,"A+",IF('Data Source'!V328&gt;=4,"A",IF('Data Source'!V328&gt;=3.5,"A-",IF('Data Source'!V328&gt;=3,"B",IF('Data Source'!V328&gt;=2,"C",IF('Data Source'!V328&gt;=1,"D","F")))))))</f>
        <v/>
      </c>
      <c r="E328" s="3">
        <f>IF('Data Source'!B328="","",IF('Data Source'!W328&gt;=5,"A+",IF('Data Source'!W328&gt;=4,"A",IF('Data Source'!W328&gt;=3.5,"A-",IF('Data Source'!W328&gt;=3,"B",IF('Data Source'!W328&gt;=2,"C",IF('Data Source'!W328&gt;=1,"D","F")))))))</f>
        <v/>
      </c>
      <c r="F328" s="3">
        <f>IF('Data Source'!B328="","",IF('Data Source'!X328&gt;=5,"A+",IF('Data Source'!X328&gt;=4,"A",IF('Data Source'!X328&gt;=3.5,"A-",IF('Data Source'!X328&gt;=3,"B",IF('Data Source'!X328&gt;=2,"C",IF('Data Source'!X328&gt;=1,"D","F")))))))</f>
        <v/>
      </c>
      <c r="G328" s="3">
        <f>IF('Data Source'!B328="","",IF('Data Source'!Y328&gt;=5,"A+",IF('Data Source'!Y328&gt;=4,"A",IF('Data Source'!Y328&gt;=3.5,"A-",IF('Data Source'!Y328&gt;=3,"B",IF('Data Source'!Y328&gt;=2,"C",IF('Data Source'!Y328&gt;=1,"D","F")))))))</f>
        <v/>
      </c>
      <c r="H328" s="3">
        <f>IF('Data Source'!B328="","",IF('Data Source'!Z328&gt;=5,"A+",IF('Data Source'!Z328&gt;=4,"A",IF('Data Source'!Z328&gt;=3.5,"A-",IF('Data Source'!Z328&gt;=3,"B",IF('Data Source'!Z328&gt;=2,"C",IF('Data Source'!Z328&gt;=1,"D","F")))))))</f>
        <v/>
      </c>
      <c r="I328" s="3">
        <f>IF('Data Source'!B328="","",IF('Data Source'!AA328&gt;=5,"A+",IF('Data Source'!AA328&gt;=4,"A",IF('Data Source'!AA328&gt;=3.5,"A-",IF('Data Source'!AA328&gt;=3,"B",IF('Data Source'!AA328&gt;=2,"C",IF('Data Source'!AA328&gt;=1,"D","F")))))))</f>
        <v/>
      </c>
      <c r="J328" s="3">
        <f>IF('Data Source'!B328="","",IF('Data Source'!AB328&gt;=5,"A+",IF('Data Source'!AB328&gt;=4,"A",IF('Data Source'!AB328&gt;=3.5,"A-",IF('Data Source'!AB328&gt;=3,"B",IF('Data Source'!AB328&gt;=2,"C",IF('Data Source'!AB328&gt;=1,"D","F")))))))</f>
        <v/>
      </c>
      <c r="K328" s="3">
        <f>IF('Data Source'!B328="","",IF('Data Source'!AC328&gt;=5,"A+",IF('Data Source'!AC328&gt;=4,"A",IF('Data Source'!AC328&gt;=3.5,"A-",IF('Data Source'!AC328&gt;=3,"B",IF('Data Source'!AC328&gt;=2,"C",IF('Data Source'!AC328&gt;=1,"D","F")))))))</f>
        <v/>
      </c>
      <c r="L328" s="3">
        <f>IF('Data Source'!B328="","",IF('Data Source'!AD328&gt;=5,"A+",IF('Data Source'!AD328&gt;=4,"A",IF('Data Source'!AD328&gt;=3.5,"A-",IF('Data Source'!AD328&gt;=3,"B",IF('Data Source'!AD328&gt;=2,"C",IF('Data Source'!AD328&gt;=1,"D","F")))))))</f>
        <v/>
      </c>
      <c r="M328" s="3">
        <f>IF('Data Source'!B328="","",IF('Data Source'!AE328&gt;=5,"A+",IF('Data Source'!AE328&gt;=4,"A",IF('Data Source'!AE328&gt;=3.5,"A-",IF('Data Source'!AE328&gt;=3,"B",IF('Data Source'!AE328&gt;=2,"C",IF('Data Source'!AE328&gt;=1,"D","F")))))))</f>
        <v/>
      </c>
      <c r="N328" s="3">
        <f>IF('Data Source'!B328="","",IF('Data Source'!AF328&gt;=5,"A+",IF('Data Source'!AF328&gt;=4,"A",IF('Data Source'!AF328&gt;=3.5,"A-",IF('Data Source'!AF328&gt;=3,"B",IF('Data Source'!AF328&gt;=2,"C",IF('Data Source'!AF328&gt;=1,"D","F")))))))</f>
        <v/>
      </c>
      <c r="O328" s="3">
        <f>IF('Data Source'!B328="","",IF('Data Source'!AG328&gt;=5,"A+",IF('Data Source'!AG328&gt;=4,"A",IF('Data Source'!AG328&gt;=3.5,"A-",IF('Data Source'!AG328&gt;=3,"B",IF('Data Source'!AG328&gt;=2,"C",IF('Data Source'!AG328&gt;=1,"D","F")))))))</f>
        <v/>
      </c>
      <c r="P328" s="5">
        <f>IF('Data Source'!B328="","",'Data Source'!R328)</f>
        <v/>
      </c>
      <c r="Q328" s="3">
        <f>IF('Data Source'!B328="","",'Data Source'!S328)</f>
        <v/>
      </c>
    </row>
    <row r="329">
      <c r="A329" s="3">
        <f>IF('Data Source'!B329="","",'Data Source'!A329)</f>
        <v/>
      </c>
      <c r="B329">
        <f>IF('Data Source'!B329="","",'Data Source'!B329)</f>
        <v/>
      </c>
      <c r="C329" s="3">
        <f>IF('Data Source'!B329="","",IF('Data Source'!U329&gt;=5,"A+",IF('Data Source'!U329&gt;=4,"A",IF('Data Source'!U329&gt;=3.5,"A-",IF('Data Source'!U329&gt;=3,"B",IF('Data Source'!U329&gt;=2,"C",IF('Data Source'!U329&gt;=1,"D","F")))))))</f>
        <v/>
      </c>
      <c r="D329" s="3">
        <f>IF('Data Source'!B329="","",IF('Data Source'!V329&gt;=5,"A+",IF('Data Source'!V329&gt;=4,"A",IF('Data Source'!V329&gt;=3.5,"A-",IF('Data Source'!V329&gt;=3,"B",IF('Data Source'!V329&gt;=2,"C",IF('Data Source'!V329&gt;=1,"D","F")))))))</f>
        <v/>
      </c>
      <c r="E329" s="3">
        <f>IF('Data Source'!B329="","",IF('Data Source'!W329&gt;=5,"A+",IF('Data Source'!W329&gt;=4,"A",IF('Data Source'!W329&gt;=3.5,"A-",IF('Data Source'!W329&gt;=3,"B",IF('Data Source'!W329&gt;=2,"C",IF('Data Source'!W329&gt;=1,"D","F")))))))</f>
        <v/>
      </c>
      <c r="F329" s="3">
        <f>IF('Data Source'!B329="","",IF('Data Source'!X329&gt;=5,"A+",IF('Data Source'!X329&gt;=4,"A",IF('Data Source'!X329&gt;=3.5,"A-",IF('Data Source'!X329&gt;=3,"B",IF('Data Source'!X329&gt;=2,"C",IF('Data Source'!X329&gt;=1,"D","F")))))))</f>
        <v/>
      </c>
      <c r="G329" s="3">
        <f>IF('Data Source'!B329="","",IF('Data Source'!Y329&gt;=5,"A+",IF('Data Source'!Y329&gt;=4,"A",IF('Data Source'!Y329&gt;=3.5,"A-",IF('Data Source'!Y329&gt;=3,"B",IF('Data Source'!Y329&gt;=2,"C",IF('Data Source'!Y329&gt;=1,"D","F")))))))</f>
        <v/>
      </c>
      <c r="H329" s="3">
        <f>IF('Data Source'!B329="","",IF('Data Source'!Z329&gt;=5,"A+",IF('Data Source'!Z329&gt;=4,"A",IF('Data Source'!Z329&gt;=3.5,"A-",IF('Data Source'!Z329&gt;=3,"B",IF('Data Source'!Z329&gt;=2,"C",IF('Data Source'!Z329&gt;=1,"D","F")))))))</f>
        <v/>
      </c>
      <c r="I329" s="3">
        <f>IF('Data Source'!B329="","",IF('Data Source'!AA329&gt;=5,"A+",IF('Data Source'!AA329&gt;=4,"A",IF('Data Source'!AA329&gt;=3.5,"A-",IF('Data Source'!AA329&gt;=3,"B",IF('Data Source'!AA329&gt;=2,"C",IF('Data Source'!AA329&gt;=1,"D","F")))))))</f>
        <v/>
      </c>
      <c r="J329" s="3">
        <f>IF('Data Source'!B329="","",IF('Data Source'!AB329&gt;=5,"A+",IF('Data Source'!AB329&gt;=4,"A",IF('Data Source'!AB329&gt;=3.5,"A-",IF('Data Source'!AB329&gt;=3,"B",IF('Data Source'!AB329&gt;=2,"C",IF('Data Source'!AB329&gt;=1,"D","F")))))))</f>
        <v/>
      </c>
      <c r="K329" s="3">
        <f>IF('Data Source'!B329="","",IF('Data Source'!AC329&gt;=5,"A+",IF('Data Source'!AC329&gt;=4,"A",IF('Data Source'!AC329&gt;=3.5,"A-",IF('Data Source'!AC329&gt;=3,"B",IF('Data Source'!AC329&gt;=2,"C",IF('Data Source'!AC329&gt;=1,"D","F")))))))</f>
        <v/>
      </c>
      <c r="L329" s="3">
        <f>IF('Data Source'!B329="","",IF('Data Source'!AD329&gt;=5,"A+",IF('Data Source'!AD329&gt;=4,"A",IF('Data Source'!AD329&gt;=3.5,"A-",IF('Data Source'!AD329&gt;=3,"B",IF('Data Source'!AD329&gt;=2,"C",IF('Data Source'!AD329&gt;=1,"D","F")))))))</f>
        <v/>
      </c>
      <c r="M329" s="3">
        <f>IF('Data Source'!B329="","",IF('Data Source'!AE329&gt;=5,"A+",IF('Data Source'!AE329&gt;=4,"A",IF('Data Source'!AE329&gt;=3.5,"A-",IF('Data Source'!AE329&gt;=3,"B",IF('Data Source'!AE329&gt;=2,"C",IF('Data Source'!AE329&gt;=1,"D","F")))))))</f>
        <v/>
      </c>
      <c r="N329" s="3">
        <f>IF('Data Source'!B329="","",IF('Data Source'!AF329&gt;=5,"A+",IF('Data Source'!AF329&gt;=4,"A",IF('Data Source'!AF329&gt;=3.5,"A-",IF('Data Source'!AF329&gt;=3,"B",IF('Data Source'!AF329&gt;=2,"C",IF('Data Source'!AF329&gt;=1,"D","F")))))))</f>
        <v/>
      </c>
      <c r="O329" s="3">
        <f>IF('Data Source'!B329="","",IF('Data Source'!AG329&gt;=5,"A+",IF('Data Source'!AG329&gt;=4,"A",IF('Data Source'!AG329&gt;=3.5,"A-",IF('Data Source'!AG329&gt;=3,"B",IF('Data Source'!AG329&gt;=2,"C",IF('Data Source'!AG329&gt;=1,"D","F")))))))</f>
        <v/>
      </c>
      <c r="P329" s="5">
        <f>IF('Data Source'!B329="","",'Data Source'!R329)</f>
        <v/>
      </c>
      <c r="Q329" s="3">
        <f>IF('Data Source'!B329="","",'Data Source'!S329)</f>
        <v/>
      </c>
    </row>
    <row r="330">
      <c r="A330" s="3">
        <f>IF('Data Source'!B330="","",'Data Source'!A330)</f>
        <v/>
      </c>
      <c r="B330">
        <f>IF('Data Source'!B330="","",'Data Source'!B330)</f>
        <v/>
      </c>
      <c r="C330" s="3">
        <f>IF('Data Source'!B330="","",IF('Data Source'!U330&gt;=5,"A+",IF('Data Source'!U330&gt;=4,"A",IF('Data Source'!U330&gt;=3.5,"A-",IF('Data Source'!U330&gt;=3,"B",IF('Data Source'!U330&gt;=2,"C",IF('Data Source'!U330&gt;=1,"D","F")))))))</f>
        <v/>
      </c>
      <c r="D330" s="3">
        <f>IF('Data Source'!B330="","",IF('Data Source'!V330&gt;=5,"A+",IF('Data Source'!V330&gt;=4,"A",IF('Data Source'!V330&gt;=3.5,"A-",IF('Data Source'!V330&gt;=3,"B",IF('Data Source'!V330&gt;=2,"C",IF('Data Source'!V330&gt;=1,"D","F")))))))</f>
        <v/>
      </c>
      <c r="E330" s="3">
        <f>IF('Data Source'!B330="","",IF('Data Source'!W330&gt;=5,"A+",IF('Data Source'!W330&gt;=4,"A",IF('Data Source'!W330&gt;=3.5,"A-",IF('Data Source'!W330&gt;=3,"B",IF('Data Source'!W330&gt;=2,"C",IF('Data Source'!W330&gt;=1,"D","F")))))))</f>
        <v/>
      </c>
      <c r="F330" s="3">
        <f>IF('Data Source'!B330="","",IF('Data Source'!X330&gt;=5,"A+",IF('Data Source'!X330&gt;=4,"A",IF('Data Source'!X330&gt;=3.5,"A-",IF('Data Source'!X330&gt;=3,"B",IF('Data Source'!X330&gt;=2,"C",IF('Data Source'!X330&gt;=1,"D","F")))))))</f>
        <v/>
      </c>
      <c r="G330" s="3">
        <f>IF('Data Source'!B330="","",IF('Data Source'!Y330&gt;=5,"A+",IF('Data Source'!Y330&gt;=4,"A",IF('Data Source'!Y330&gt;=3.5,"A-",IF('Data Source'!Y330&gt;=3,"B",IF('Data Source'!Y330&gt;=2,"C",IF('Data Source'!Y330&gt;=1,"D","F")))))))</f>
        <v/>
      </c>
      <c r="H330" s="3">
        <f>IF('Data Source'!B330="","",IF('Data Source'!Z330&gt;=5,"A+",IF('Data Source'!Z330&gt;=4,"A",IF('Data Source'!Z330&gt;=3.5,"A-",IF('Data Source'!Z330&gt;=3,"B",IF('Data Source'!Z330&gt;=2,"C",IF('Data Source'!Z330&gt;=1,"D","F")))))))</f>
        <v/>
      </c>
      <c r="I330" s="3">
        <f>IF('Data Source'!B330="","",IF('Data Source'!AA330&gt;=5,"A+",IF('Data Source'!AA330&gt;=4,"A",IF('Data Source'!AA330&gt;=3.5,"A-",IF('Data Source'!AA330&gt;=3,"B",IF('Data Source'!AA330&gt;=2,"C",IF('Data Source'!AA330&gt;=1,"D","F")))))))</f>
        <v/>
      </c>
      <c r="J330" s="3">
        <f>IF('Data Source'!B330="","",IF('Data Source'!AB330&gt;=5,"A+",IF('Data Source'!AB330&gt;=4,"A",IF('Data Source'!AB330&gt;=3.5,"A-",IF('Data Source'!AB330&gt;=3,"B",IF('Data Source'!AB330&gt;=2,"C",IF('Data Source'!AB330&gt;=1,"D","F")))))))</f>
        <v/>
      </c>
      <c r="K330" s="3">
        <f>IF('Data Source'!B330="","",IF('Data Source'!AC330&gt;=5,"A+",IF('Data Source'!AC330&gt;=4,"A",IF('Data Source'!AC330&gt;=3.5,"A-",IF('Data Source'!AC330&gt;=3,"B",IF('Data Source'!AC330&gt;=2,"C",IF('Data Source'!AC330&gt;=1,"D","F")))))))</f>
        <v/>
      </c>
      <c r="L330" s="3">
        <f>IF('Data Source'!B330="","",IF('Data Source'!AD330&gt;=5,"A+",IF('Data Source'!AD330&gt;=4,"A",IF('Data Source'!AD330&gt;=3.5,"A-",IF('Data Source'!AD330&gt;=3,"B",IF('Data Source'!AD330&gt;=2,"C",IF('Data Source'!AD330&gt;=1,"D","F")))))))</f>
        <v/>
      </c>
      <c r="M330" s="3">
        <f>IF('Data Source'!B330="","",IF('Data Source'!AE330&gt;=5,"A+",IF('Data Source'!AE330&gt;=4,"A",IF('Data Source'!AE330&gt;=3.5,"A-",IF('Data Source'!AE330&gt;=3,"B",IF('Data Source'!AE330&gt;=2,"C",IF('Data Source'!AE330&gt;=1,"D","F")))))))</f>
        <v/>
      </c>
      <c r="N330" s="3">
        <f>IF('Data Source'!B330="","",IF('Data Source'!AF330&gt;=5,"A+",IF('Data Source'!AF330&gt;=4,"A",IF('Data Source'!AF330&gt;=3.5,"A-",IF('Data Source'!AF330&gt;=3,"B",IF('Data Source'!AF330&gt;=2,"C",IF('Data Source'!AF330&gt;=1,"D","F")))))))</f>
        <v/>
      </c>
      <c r="O330" s="3">
        <f>IF('Data Source'!B330="","",IF('Data Source'!AG330&gt;=5,"A+",IF('Data Source'!AG330&gt;=4,"A",IF('Data Source'!AG330&gt;=3.5,"A-",IF('Data Source'!AG330&gt;=3,"B",IF('Data Source'!AG330&gt;=2,"C",IF('Data Source'!AG330&gt;=1,"D","F")))))))</f>
        <v/>
      </c>
      <c r="P330" s="5">
        <f>IF('Data Source'!B330="","",'Data Source'!R330)</f>
        <v/>
      </c>
      <c r="Q330" s="3">
        <f>IF('Data Source'!B330="","",'Data Source'!S330)</f>
        <v/>
      </c>
    </row>
    <row r="331">
      <c r="A331" s="3">
        <f>IF('Data Source'!B331="","",'Data Source'!A331)</f>
        <v/>
      </c>
      <c r="B331">
        <f>IF('Data Source'!B331="","",'Data Source'!B331)</f>
        <v/>
      </c>
      <c r="C331" s="3">
        <f>IF('Data Source'!B331="","",IF('Data Source'!U331&gt;=5,"A+",IF('Data Source'!U331&gt;=4,"A",IF('Data Source'!U331&gt;=3.5,"A-",IF('Data Source'!U331&gt;=3,"B",IF('Data Source'!U331&gt;=2,"C",IF('Data Source'!U331&gt;=1,"D","F")))))))</f>
        <v/>
      </c>
      <c r="D331" s="3">
        <f>IF('Data Source'!B331="","",IF('Data Source'!V331&gt;=5,"A+",IF('Data Source'!V331&gt;=4,"A",IF('Data Source'!V331&gt;=3.5,"A-",IF('Data Source'!V331&gt;=3,"B",IF('Data Source'!V331&gt;=2,"C",IF('Data Source'!V331&gt;=1,"D","F")))))))</f>
        <v/>
      </c>
      <c r="E331" s="3">
        <f>IF('Data Source'!B331="","",IF('Data Source'!W331&gt;=5,"A+",IF('Data Source'!W331&gt;=4,"A",IF('Data Source'!W331&gt;=3.5,"A-",IF('Data Source'!W331&gt;=3,"B",IF('Data Source'!W331&gt;=2,"C",IF('Data Source'!W331&gt;=1,"D","F")))))))</f>
        <v/>
      </c>
      <c r="F331" s="3">
        <f>IF('Data Source'!B331="","",IF('Data Source'!X331&gt;=5,"A+",IF('Data Source'!X331&gt;=4,"A",IF('Data Source'!X331&gt;=3.5,"A-",IF('Data Source'!X331&gt;=3,"B",IF('Data Source'!X331&gt;=2,"C",IF('Data Source'!X331&gt;=1,"D","F")))))))</f>
        <v/>
      </c>
      <c r="G331" s="3">
        <f>IF('Data Source'!B331="","",IF('Data Source'!Y331&gt;=5,"A+",IF('Data Source'!Y331&gt;=4,"A",IF('Data Source'!Y331&gt;=3.5,"A-",IF('Data Source'!Y331&gt;=3,"B",IF('Data Source'!Y331&gt;=2,"C",IF('Data Source'!Y331&gt;=1,"D","F")))))))</f>
        <v/>
      </c>
      <c r="H331" s="3">
        <f>IF('Data Source'!B331="","",IF('Data Source'!Z331&gt;=5,"A+",IF('Data Source'!Z331&gt;=4,"A",IF('Data Source'!Z331&gt;=3.5,"A-",IF('Data Source'!Z331&gt;=3,"B",IF('Data Source'!Z331&gt;=2,"C",IF('Data Source'!Z331&gt;=1,"D","F")))))))</f>
        <v/>
      </c>
      <c r="I331" s="3">
        <f>IF('Data Source'!B331="","",IF('Data Source'!AA331&gt;=5,"A+",IF('Data Source'!AA331&gt;=4,"A",IF('Data Source'!AA331&gt;=3.5,"A-",IF('Data Source'!AA331&gt;=3,"B",IF('Data Source'!AA331&gt;=2,"C",IF('Data Source'!AA331&gt;=1,"D","F")))))))</f>
        <v/>
      </c>
      <c r="J331" s="3">
        <f>IF('Data Source'!B331="","",IF('Data Source'!AB331&gt;=5,"A+",IF('Data Source'!AB331&gt;=4,"A",IF('Data Source'!AB331&gt;=3.5,"A-",IF('Data Source'!AB331&gt;=3,"B",IF('Data Source'!AB331&gt;=2,"C",IF('Data Source'!AB331&gt;=1,"D","F")))))))</f>
        <v/>
      </c>
      <c r="K331" s="3">
        <f>IF('Data Source'!B331="","",IF('Data Source'!AC331&gt;=5,"A+",IF('Data Source'!AC331&gt;=4,"A",IF('Data Source'!AC331&gt;=3.5,"A-",IF('Data Source'!AC331&gt;=3,"B",IF('Data Source'!AC331&gt;=2,"C",IF('Data Source'!AC331&gt;=1,"D","F")))))))</f>
        <v/>
      </c>
      <c r="L331" s="3">
        <f>IF('Data Source'!B331="","",IF('Data Source'!AD331&gt;=5,"A+",IF('Data Source'!AD331&gt;=4,"A",IF('Data Source'!AD331&gt;=3.5,"A-",IF('Data Source'!AD331&gt;=3,"B",IF('Data Source'!AD331&gt;=2,"C",IF('Data Source'!AD331&gt;=1,"D","F")))))))</f>
        <v/>
      </c>
      <c r="M331" s="3">
        <f>IF('Data Source'!B331="","",IF('Data Source'!AE331&gt;=5,"A+",IF('Data Source'!AE331&gt;=4,"A",IF('Data Source'!AE331&gt;=3.5,"A-",IF('Data Source'!AE331&gt;=3,"B",IF('Data Source'!AE331&gt;=2,"C",IF('Data Source'!AE331&gt;=1,"D","F")))))))</f>
        <v/>
      </c>
      <c r="N331" s="3">
        <f>IF('Data Source'!B331="","",IF('Data Source'!AF331&gt;=5,"A+",IF('Data Source'!AF331&gt;=4,"A",IF('Data Source'!AF331&gt;=3.5,"A-",IF('Data Source'!AF331&gt;=3,"B",IF('Data Source'!AF331&gt;=2,"C",IF('Data Source'!AF331&gt;=1,"D","F")))))))</f>
        <v/>
      </c>
      <c r="O331" s="3">
        <f>IF('Data Source'!B331="","",IF('Data Source'!AG331&gt;=5,"A+",IF('Data Source'!AG331&gt;=4,"A",IF('Data Source'!AG331&gt;=3.5,"A-",IF('Data Source'!AG331&gt;=3,"B",IF('Data Source'!AG331&gt;=2,"C",IF('Data Source'!AG331&gt;=1,"D","F")))))))</f>
        <v/>
      </c>
      <c r="P331" s="5">
        <f>IF('Data Source'!B331="","",'Data Source'!R331)</f>
        <v/>
      </c>
      <c r="Q331" s="3">
        <f>IF('Data Source'!B331="","",'Data Source'!S331)</f>
        <v/>
      </c>
    </row>
    <row r="332">
      <c r="A332" s="3">
        <f>IF('Data Source'!B332="","",'Data Source'!A332)</f>
        <v/>
      </c>
      <c r="B332">
        <f>IF('Data Source'!B332="","",'Data Source'!B332)</f>
        <v/>
      </c>
      <c r="C332" s="3">
        <f>IF('Data Source'!B332="","",IF('Data Source'!U332&gt;=5,"A+",IF('Data Source'!U332&gt;=4,"A",IF('Data Source'!U332&gt;=3.5,"A-",IF('Data Source'!U332&gt;=3,"B",IF('Data Source'!U332&gt;=2,"C",IF('Data Source'!U332&gt;=1,"D","F")))))))</f>
        <v/>
      </c>
      <c r="D332" s="3">
        <f>IF('Data Source'!B332="","",IF('Data Source'!V332&gt;=5,"A+",IF('Data Source'!V332&gt;=4,"A",IF('Data Source'!V332&gt;=3.5,"A-",IF('Data Source'!V332&gt;=3,"B",IF('Data Source'!V332&gt;=2,"C",IF('Data Source'!V332&gt;=1,"D","F")))))))</f>
        <v/>
      </c>
      <c r="E332" s="3">
        <f>IF('Data Source'!B332="","",IF('Data Source'!W332&gt;=5,"A+",IF('Data Source'!W332&gt;=4,"A",IF('Data Source'!W332&gt;=3.5,"A-",IF('Data Source'!W332&gt;=3,"B",IF('Data Source'!W332&gt;=2,"C",IF('Data Source'!W332&gt;=1,"D","F")))))))</f>
        <v/>
      </c>
      <c r="F332" s="3">
        <f>IF('Data Source'!B332="","",IF('Data Source'!X332&gt;=5,"A+",IF('Data Source'!X332&gt;=4,"A",IF('Data Source'!X332&gt;=3.5,"A-",IF('Data Source'!X332&gt;=3,"B",IF('Data Source'!X332&gt;=2,"C",IF('Data Source'!X332&gt;=1,"D","F")))))))</f>
        <v/>
      </c>
      <c r="G332" s="3">
        <f>IF('Data Source'!B332="","",IF('Data Source'!Y332&gt;=5,"A+",IF('Data Source'!Y332&gt;=4,"A",IF('Data Source'!Y332&gt;=3.5,"A-",IF('Data Source'!Y332&gt;=3,"B",IF('Data Source'!Y332&gt;=2,"C",IF('Data Source'!Y332&gt;=1,"D","F")))))))</f>
        <v/>
      </c>
      <c r="H332" s="3">
        <f>IF('Data Source'!B332="","",IF('Data Source'!Z332&gt;=5,"A+",IF('Data Source'!Z332&gt;=4,"A",IF('Data Source'!Z332&gt;=3.5,"A-",IF('Data Source'!Z332&gt;=3,"B",IF('Data Source'!Z332&gt;=2,"C",IF('Data Source'!Z332&gt;=1,"D","F")))))))</f>
        <v/>
      </c>
      <c r="I332" s="3">
        <f>IF('Data Source'!B332="","",IF('Data Source'!AA332&gt;=5,"A+",IF('Data Source'!AA332&gt;=4,"A",IF('Data Source'!AA332&gt;=3.5,"A-",IF('Data Source'!AA332&gt;=3,"B",IF('Data Source'!AA332&gt;=2,"C",IF('Data Source'!AA332&gt;=1,"D","F")))))))</f>
        <v/>
      </c>
      <c r="J332" s="3">
        <f>IF('Data Source'!B332="","",IF('Data Source'!AB332&gt;=5,"A+",IF('Data Source'!AB332&gt;=4,"A",IF('Data Source'!AB332&gt;=3.5,"A-",IF('Data Source'!AB332&gt;=3,"B",IF('Data Source'!AB332&gt;=2,"C",IF('Data Source'!AB332&gt;=1,"D","F")))))))</f>
        <v/>
      </c>
      <c r="K332" s="3">
        <f>IF('Data Source'!B332="","",IF('Data Source'!AC332&gt;=5,"A+",IF('Data Source'!AC332&gt;=4,"A",IF('Data Source'!AC332&gt;=3.5,"A-",IF('Data Source'!AC332&gt;=3,"B",IF('Data Source'!AC332&gt;=2,"C",IF('Data Source'!AC332&gt;=1,"D","F")))))))</f>
        <v/>
      </c>
      <c r="L332" s="3">
        <f>IF('Data Source'!B332="","",IF('Data Source'!AD332&gt;=5,"A+",IF('Data Source'!AD332&gt;=4,"A",IF('Data Source'!AD332&gt;=3.5,"A-",IF('Data Source'!AD332&gt;=3,"B",IF('Data Source'!AD332&gt;=2,"C",IF('Data Source'!AD332&gt;=1,"D","F")))))))</f>
        <v/>
      </c>
      <c r="M332" s="3">
        <f>IF('Data Source'!B332="","",IF('Data Source'!AE332&gt;=5,"A+",IF('Data Source'!AE332&gt;=4,"A",IF('Data Source'!AE332&gt;=3.5,"A-",IF('Data Source'!AE332&gt;=3,"B",IF('Data Source'!AE332&gt;=2,"C",IF('Data Source'!AE332&gt;=1,"D","F")))))))</f>
        <v/>
      </c>
      <c r="N332" s="3">
        <f>IF('Data Source'!B332="","",IF('Data Source'!AF332&gt;=5,"A+",IF('Data Source'!AF332&gt;=4,"A",IF('Data Source'!AF332&gt;=3.5,"A-",IF('Data Source'!AF332&gt;=3,"B",IF('Data Source'!AF332&gt;=2,"C",IF('Data Source'!AF332&gt;=1,"D","F")))))))</f>
        <v/>
      </c>
      <c r="O332" s="3">
        <f>IF('Data Source'!B332="","",IF('Data Source'!AG332&gt;=5,"A+",IF('Data Source'!AG332&gt;=4,"A",IF('Data Source'!AG332&gt;=3.5,"A-",IF('Data Source'!AG332&gt;=3,"B",IF('Data Source'!AG332&gt;=2,"C",IF('Data Source'!AG332&gt;=1,"D","F")))))))</f>
        <v/>
      </c>
      <c r="P332" s="5">
        <f>IF('Data Source'!B332="","",'Data Source'!R332)</f>
        <v/>
      </c>
      <c r="Q332" s="3">
        <f>IF('Data Source'!B332="","",'Data Source'!S332)</f>
        <v/>
      </c>
    </row>
    <row r="333">
      <c r="A333" s="3">
        <f>IF('Data Source'!B333="","",'Data Source'!A333)</f>
        <v/>
      </c>
      <c r="B333">
        <f>IF('Data Source'!B333="","",'Data Source'!B333)</f>
        <v/>
      </c>
      <c r="C333" s="3">
        <f>IF('Data Source'!B333="","",IF('Data Source'!U333&gt;=5,"A+",IF('Data Source'!U333&gt;=4,"A",IF('Data Source'!U333&gt;=3.5,"A-",IF('Data Source'!U333&gt;=3,"B",IF('Data Source'!U333&gt;=2,"C",IF('Data Source'!U333&gt;=1,"D","F")))))))</f>
        <v/>
      </c>
      <c r="D333" s="3">
        <f>IF('Data Source'!B333="","",IF('Data Source'!V333&gt;=5,"A+",IF('Data Source'!V333&gt;=4,"A",IF('Data Source'!V333&gt;=3.5,"A-",IF('Data Source'!V333&gt;=3,"B",IF('Data Source'!V333&gt;=2,"C",IF('Data Source'!V333&gt;=1,"D","F")))))))</f>
        <v/>
      </c>
      <c r="E333" s="3">
        <f>IF('Data Source'!B333="","",IF('Data Source'!W333&gt;=5,"A+",IF('Data Source'!W333&gt;=4,"A",IF('Data Source'!W333&gt;=3.5,"A-",IF('Data Source'!W333&gt;=3,"B",IF('Data Source'!W333&gt;=2,"C",IF('Data Source'!W333&gt;=1,"D","F")))))))</f>
        <v/>
      </c>
      <c r="F333" s="3">
        <f>IF('Data Source'!B333="","",IF('Data Source'!X333&gt;=5,"A+",IF('Data Source'!X333&gt;=4,"A",IF('Data Source'!X333&gt;=3.5,"A-",IF('Data Source'!X333&gt;=3,"B",IF('Data Source'!X333&gt;=2,"C",IF('Data Source'!X333&gt;=1,"D","F")))))))</f>
        <v/>
      </c>
      <c r="G333" s="3">
        <f>IF('Data Source'!B333="","",IF('Data Source'!Y333&gt;=5,"A+",IF('Data Source'!Y333&gt;=4,"A",IF('Data Source'!Y333&gt;=3.5,"A-",IF('Data Source'!Y333&gt;=3,"B",IF('Data Source'!Y333&gt;=2,"C",IF('Data Source'!Y333&gt;=1,"D","F")))))))</f>
        <v/>
      </c>
      <c r="H333" s="3">
        <f>IF('Data Source'!B333="","",IF('Data Source'!Z333&gt;=5,"A+",IF('Data Source'!Z333&gt;=4,"A",IF('Data Source'!Z333&gt;=3.5,"A-",IF('Data Source'!Z333&gt;=3,"B",IF('Data Source'!Z333&gt;=2,"C",IF('Data Source'!Z333&gt;=1,"D","F")))))))</f>
        <v/>
      </c>
      <c r="I333" s="3">
        <f>IF('Data Source'!B333="","",IF('Data Source'!AA333&gt;=5,"A+",IF('Data Source'!AA333&gt;=4,"A",IF('Data Source'!AA333&gt;=3.5,"A-",IF('Data Source'!AA333&gt;=3,"B",IF('Data Source'!AA333&gt;=2,"C",IF('Data Source'!AA333&gt;=1,"D","F")))))))</f>
        <v/>
      </c>
      <c r="J333" s="3">
        <f>IF('Data Source'!B333="","",IF('Data Source'!AB333&gt;=5,"A+",IF('Data Source'!AB333&gt;=4,"A",IF('Data Source'!AB333&gt;=3.5,"A-",IF('Data Source'!AB333&gt;=3,"B",IF('Data Source'!AB333&gt;=2,"C",IF('Data Source'!AB333&gt;=1,"D","F")))))))</f>
        <v/>
      </c>
      <c r="K333" s="3">
        <f>IF('Data Source'!B333="","",IF('Data Source'!AC333&gt;=5,"A+",IF('Data Source'!AC333&gt;=4,"A",IF('Data Source'!AC333&gt;=3.5,"A-",IF('Data Source'!AC333&gt;=3,"B",IF('Data Source'!AC333&gt;=2,"C",IF('Data Source'!AC333&gt;=1,"D","F")))))))</f>
        <v/>
      </c>
      <c r="L333" s="3">
        <f>IF('Data Source'!B333="","",IF('Data Source'!AD333&gt;=5,"A+",IF('Data Source'!AD333&gt;=4,"A",IF('Data Source'!AD333&gt;=3.5,"A-",IF('Data Source'!AD333&gt;=3,"B",IF('Data Source'!AD333&gt;=2,"C",IF('Data Source'!AD333&gt;=1,"D","F")))))))</f>
        <v/>
      </c>
      <c r="M333" s="3">
        <f>IF('Data Source'!B333="","",IF('Data Source'!AE333&gt;=5,"A+",IF('Data Source'!AE333&gt;=4,"A",IF('Data Source'!AE333&gt;=3.5,"A-",IF('Data Source'!AE333&gt;=3,"B",IF('Data Source'!AE333&gt;=2,"C",IF('Data Source'!AE333&gt;=1,"D","F")))))))</f>
        <v/>
      </c>
      <c r="N333" s="3">
        <f>IF('Data Source'!B333="","",IF('Data Source'!AF333&gt;=5,"A+",IF('Data Source'!AF333&gt;=4,"A",IF('Data Source'!AF333&gt;=3.5,"A-",IF('Data Source'!AF333&gt;=3,"B",IF('Data Source'!AF333&gt;=2,"C",IF('Data Source'!AF333&gt;=1,"D","F")))))))</f>
        <v/>
      </c>
      <c r="O333" s="3">
        <f>IF('Data Source'!B333="","",IF('Data Source'!AG333&gt;=5,"A+",IF('Data Source'!AG333&gt;=4,"A",IF('Data Source'!AG333&gt;=3.5,"A-",IF('Data Source'!AG333&gt;=3,"B",IF('Data Source'!AG333&gt;=2,"C",IF('Data Source'!AG333&gt;=1,"D","F")))))))</f>
        <v/>
      </c>
      <c r="P333" s="5">
        <f>IF('Data Source'!B333="","",'Data Source'!R333)</f>
        <v/>
      </c>
      <c r="Q333" s="3">
        <f>IF('Data Source'!B333="","",'Data Source'!S333)</f>
        <v/>
      </c>
    </row>
    <row r="334">
      <c r="A334" s="3">
        <f>IF('Data Source'!B334="","",'Data Source'!A334)</f>
        <v/>
      </c>
      <c r="B334">
        <f>IF('Data Source'!B334="","",'Data Source'!B334)</f>
        <v/>
      </c>
      <c r="C334" s="3">
        <f>IF('Data Source'!B334="","",IF('Data Source'!U334&gt;=5,"A+",IF('Data Source'!U334&gt;=4,"A",IF('Data Source'!U334&gt;=3.5,"A-",IF('Data Source'!U334&gt;=3,"B",IF('Data Source'!U334&gt;=2,"C",IF('Data Source'!U334&gt;=1,"D","F")))))))</f>
        <v/>
      </c>
      <c r="D334" s="3">
        <f>IF('Data Source'!B334="","",IF('Data Source'!V334&gt;=5,"A+",IF('Data Source'!V334&gt;=4,"A",IF('Data Source'!V334&gt;=3.5,"A-",IF('Data Source'!V334&gt;=3,"B",IF('Data Source'!V334&gt;=2,"C",IF('Data Source'!V334&gt;=1,"D","F")))))))</f>
        <v/>
      </c>
      <c r="E334" s="3">
        <f>IF('Data Source'!B334="","",IF('Data Source'!W334&gt;=5,"A+",IF('Data Source'!W334&gt;=4,"A",IF('Data Source'!W334&gt;=3.5,"A-",IF('Data Source'!W334&gt;=3,"B",IF('Data Source'!W334&gt;=2,"C",IF('Data Source'!W334&gt;=1,"D","F")))))))</f>
        <v/>
      </c>
      <c r="F334" s="3">
        <f>IF('Data Source'!B334="","",IF('Data Source'!X334&gt;=5,"A+",IF('Data Source'!X334&gt;=4,"A",IF('Data Source'!X334&gt;=3.5,"A-",IF('Data Source'!X334&gt;=3,"B",IF('Data Source'!X334&gt;=2,"C",IF('Data Source'!X334&gt;=1,"D","F")))))))</f>
        <v/>
      </c>
      <c r="G334" s="3">
        <f>IF('Data Source'!B334="","",IF('Data Source'!Y334&gt;=5,"A+",IF('Data Source'!Y334&gt;=4,"A",IF('Data Source'!Y334&gt;=3.5,"A-",IF('Data Source'!Y334&gt;=3,"B",IF('Data Source'!Y334&gt;=2,"C",IF('Data Source'!Y334&gt;=1,"D","F")))))))</f>
        <v/>
      </c>
      <c r="H334" s="3">
        <f>IF('Data Source'!B334="","",IF('Data Source'!Z334&gt;=5,"A+",IF('Data Source'!Z334&gt;=4,"A",IF('Data Source'!Z334&gt;=3.5,"A-",IF('Data Source'!Z334&gt;=3,"B",IF('Data Source'!Z334&gt;=2,"C",IF('Data Source'!Z334&gt;=1,"D","F")))))))</f>
        <v/>
      </c>
      <c r="I334" s="3">
        <f>IF('Data Source'!B334="","",IF('Data Source'!AA334&gt;=5,"A+",IF('Data Source'!AA334&gt;=4,"A",IF('Data Source'!AA334&gt;=3.5,"A-",IF('Data Source'!AA334&gt;=3,"B",IF('Data Source'!AA334&gt;=2,"C",IF('Data Source'!AA334&gt;=1,"D","F")))))))</f>
        <v/>
      </c>
      <c r="J334" s="3">
        <f>IF('Data Source'!B334="","",IF('Data Source'!AB334&gt;=5,"A+",IF('Data Source'!AB334&gt;=4,"A",IF('Data Source'!AB334&gt;=3.5,"A-",IF('Data Source'!AB334&gt;=3,"B",IF('Data Source'!AB334&gt;=2,"C",IF('Data Source'!AB334&gt;=1,"D","F")))))))</f>
        <v/>
      </c>
      <c r="K334" s="3">
        <f>IF('Data Source'!B334="","",IF('Data Source'!AC334&gt;=5,"A+",IF('Data Source'!AC334&gt;=4,"A",IF('Data Source'!AC334&gt;=3.5,"A-",IF('Data Source'!AC334&gt;=3,"B",IF('Data Source'!AC334&gt;=2,"C",IF('Data Source'!AC334&gt;=1,"D","F")))))))</f>
        <v/>
      </c>
      <c r="L334" s="3">
        <f>IF('Data Source'!B334="","",IF('Data Source'!AD334&gt;=5,"A+",IF('Data Source'!AD334&gt;=4,"A",IF('Data Source'!AD334&gt;=3.5,"A-",IF('Data Source'!AD334&gt;=3,"B",IF('Data Source'!AD334&gt;=2,"C",IF('Data Source'!AD334&gt;=1,"D","F")))))))</f>
        <v/>
      </c>
      <c r="M334" s="3">
        <f>IF('Data Source'!B334="","",IF('Data Source'!AE334&gt;=5,"A+",IF('Data Source'!AE334&gt;=4,"A",IF('Data Source'!AE334&gt;=3.5,"A-",IF('Data Source'!AE334&gt;=3,"B",IF('Data Source'!AE334&gt;=2,"C",IF('Data Source'!AE334&gt;=1,"D","F")))))))</f>
        <v/>
      </c>
      <c r="N334" s="3">
        <f>IF('Data Source'!B334="","",IF('Data Source'!AF334&gt;=5,"A+",IF('Data Source'!AF334&gt;=4,"A",IF('Data Source'!AF334&gt;=3.5,"A-",IF('Data Source'!AF334&gt;=3,"B",IF('Data Source'!AF334&gt;=2,"C",IF('Data Source'!AF334&gt;=1,"D","F")))))))</f>
        <v/>
      </c>
      <c r="O334" s="3">
        <f>IF('Data Source'!B334="","",IF('Data Source'!AG334&gt;=5,"A+",IF('Data Source'!AG334&gt;=4,"A",IF('Data Source'!AG334&gt;=3.5,"A-",IF('Data Source'!AG334&gt;=3,"B",IF('Data Source'!AG334&gt;=2,"C",IF('Data Source'!AG334&gt;=1,"D","F")))))))</f>
        <v/>
      </c>
      <c r="P334" s="5">
        <f>IF('Data Source'!B334="","",'Data Source'!R334)</f>
        <v/>
      </c>
      <c r="Q334" s="3">
        <f>IF('Data Source'!B334="","",'Data Source'!S334)</f>
        <v/>
      </c>
    </row>
    <row r="335">
      <c r="A335" s="3">
        <f>IF('Data Source'!B335="","",'Data Source'!A335)</f>
        <v/>
      </c>
      <c r="B335">
        <f>IF('Data Source'!B335="","",'Data Source'!B335)</f>
        <v/>
      </c>
      <c r="C335" s="3">
        <f>IF('Data Source'!B335="","",IF('Data Source'!U335&gt;=5,"A+",IF('Data Source'!U335&gt;=4,"A",IF('Data Source'!U335&gt;=3.5,"A-",IF('Data Source'!U335&gt;=3,"B",IF('Data Source'!U335&gt;=2,"C",IF('Data Source'!U335&gt;=1,"D","F")))))))</f>
        <v/>
      </c>
      <c r="D335" s="3">
        <f>IF('Data Source'!B335="","",IF('Data Source'!V335&gt;=5,"A+",IF('Data Source'!V335&gt;=4,"A",IF('Data Source'!V335&gt;=3.5,"A-",IF('Data Source'!V335&gt;=3,"B",IF('Data Source'!V335&gt;=2,"C",IF('Data Source'!V335&gt;=1,"D","F")))))))</f>
        <v/>
      </c>
      <c r="E335" s="3">
        <f>IF('Data Source'!B335="","",IF('Data Source'!W335&gt;=5,"A+",IF('Data Source'!W335&gt;=4,"A",IF('Data Source'!W335&gt;=3.5,"A-",IF('Data Source'!W335&gt;=3,"B",IF('Data Source'!W335&gt;=2,"C",IF('Data Source'!W335&gt;=1,"D","F")))))))</f>
        <v/>
      </c>
      <c r="F335" s="3">
        <f>IF('Data Source'!B335="","",IF('Data Source'!X335&gt;=5,"A+",IF('Data Source'!X335&gt;=4,"A",IF('Data Source'!X335&gt;=3.5,"A-",IF('Data Source'!X335&gt;=3,"B",IF('Data Source'!X335&gt;=2,"C",IF('Data Source'!X335&gt;=1,"D","F")))))))</f>
        <v/>
      </c>
      <c r="G335" s="3">
        <f>IF('Data Source'!B335="","",IF('Data Source'!Y335&gt;=5,"A+",IF('Data Source'!Y335&gt;=4,"A",IF('Data Source'!Y335&gt;=3.5,"A-",IF('Data Source'!Y335&gt;=3,"B",IF('Data Source'!Y335&gt;=2,"C",IF('Data Source'!Y335&gt;=1,"D","F")))))))</f>
        <v/>
      </c>
      <c r="H335" s="3">
        <f>IF('Data Source'!B335="","",IF('Data Source'!Z335&gt;=5,"A+",IF('Data Source'!Z335&gt;=4,"A",IF('Data Source'!Z335&gt;=3.5,"A-",IF('Data Source'!Z335&gt;=3,"B",IF('Data Source'!Z335&gt;=2,"C",IF('Data Source'!Z335&gt;=1,"D","F")))))))</f>
        <v/>
      </c>
      <c r="I335" s="3">
        <f>IF('Data Source'!B335="","",IF('Data Source'!AA335&gt;=5,"A+",IF('Data Source'!AA335&gt;=4,"A",IF('Data Source'!AA335&gt;=3.5,"A-",IF('Data Source'!AA335&gt;=3,"B",IF('Data Source'!AA335&gt;=2,"C",IF('Data Source'!AA335&gt;=1,"D","F")))))))</f>
        <v/>
      </c>
      <c r="J335" s="3">
        <f>IF('Data Source'!B335="","",IF('Data Source'!AB335&gt;=5,"A+",IF('Data Source'!AB335&gt;=4,"A",IF('Data Source'!AB335&gt;=3.5,"A-",IF('Data Source'!AB335&gt;=3,"B",IF('Data Source'!AB335&gt;=2,"C",IF('Data Source'!AB335&gt;=1,"D","F")))))))</f>
        <v/>
      </c>
      <c r="K335" s="3">
        <f>IF('Data Source'!B335="","",IF('Data Source'!AC335&gt;=5,"A+",IF('Data Source'!AC335&gt;=4,"A",IF('Data Source'!AC335&gt;=3.5,"A-",IF('Data Source'!AC335&gt;=3,"B",IF('Data Source'!AC335&gt;=2,"C",IF('Data Source'!AC335&gt;=1,"D","F")))))))</f>
        <v/>
      </c>
      <c r="L335" s="3">
        <f>IF('Data Source'!B335="","",IF('Data Source'!AD335&gt;=5,"A+",IF('Data Source'!AD335&gt;=4,"A",IF('Data Source'!AD335&gt;=3.5,"A-",IF('Data Source'!AD335&gt;=3,"B",IF('Data Source'!AD335&gt;=2,"C",IF('Data Source'!AD335&gt;=1,"D","F")))))))</f>
        <v/>
      </c>
      <c r="M335" s="3">
        <f>IF('Data Source'!B335="","",IF('Data Source'!AE335&gt;=5,"A+",IF('Data Source'!AE335&gt;=4,"A",IF('Data Source'!AE335&gt;=3.5,"A-",IF('Data Source'!AE335&gt;=3,"B",IF('Data Source'!AE335&gt;=2,"C",IF('Data Source'!AE335&gt;=1,"D","F")))))))</f>
        <v/>
      </c>
      <c r="N335" s="3">
        <f>IF('Data Source'!B335="","",IF('Data Source'!AF335&gt;=5,"A+",IF('Data Source'!AF335&gt;=4,"A",IF('Data Source'!AF335&gt;=3.5,"A-",IF('Data Source'!AF335&gt;=3,"B",IF('Data Source'!AF335&gt;=2,"C",IF('Data Source'!AF335&gt;=1,"D","F")))))))</f>
        <v/>
      </c>
      <c r="O335" s="3">
        <f>IF('Data Source'!B335="","",IF('Data Source'!AG335&gt;=5,"A+",IF('Data Source'!AG335&gt;=4,"A",IF('Data Source'!AG335&gt;=3.5,"A-",IF('Data Source'!AG335&gt;=3,"B",IF('Data Source'!AG335&gt;=2,"C",IF('Data Source'!AG335&gt;=1,"D","F")))))))</f>
        <v/>
      </c>
      <c r="P335" s="5">
        <f>IF('Data Source'!B335="","",'Data Source'!R335)</f>
        <v/>
      </c>
      <c r="Q335" s="3">
        <f>IF('Data Source'!B335="","",'Data Source'!S335)</f>
        <v/>
      </c>
    </row>
    <row r="336">
      <c r="A336" s="3">
        <f>IF('Data Source'!B336="","",'Data Source'!A336)</f>
        <v/>
      </c>
      <c r="B336">
        <f>IF('Data Source'!B336="","",'Data Source'!B336)</f>
        <v/>
      </c>
      <c r="C336" s="3">
        <f>IF('Data Source'!B336="","",IF('Data Source'!U336&gt;=5,"A+",IF('Data Source'!U336&gt;=4,"A",IF('Data Source'!U336&gt;=3.5,"A-",IF('Data Source'!U336&gt;=3,"B",IF('Data Source'!U336&gt;=2,"C",IF('Data Source'!U336&gt;=1,"D","F")))))))</f>
        <v/>
      </c>
      <c r="D336" s="3">
        <f>IF('Data Source'!B336="","",IF('Data Source'!V336&gt;=5,"A+",IF('Data Source'!V336&gt;=4,"A",IF('Data Source'!V336&gt;=3.5,"A-",IF('Data Source'!V336&gt;=3,"B",IF('Data Source'!V336&gt;=2,"C",IF('Data Source'!V336&gt;=1,"D","F")))))))</f>
        <v/>
      </c>
      <c r="E336" s="3">
        <f>IF('Data Source'!B336="","",IF('Data Source'!W336&gt;=5,"A+",IF('Data Source'!W336&gt;=4,"A",IF('Data Source'!W336&gt;=3.5,"A-",IF('Data Source'!W336&gt;=3,"B",IF('Data Source'!W336&gt;=2,"C",IF('Data Source'!W336&gt;=1,"D","F")))))))</f>
        <v/>
      </c>
      <c r="F336" s="3">
        <f>IF('Data Source'!B336="","",IF('Data Source'!X336&gt;=5,"A+",IF('Data Source'!X336&gt;=4,"A",IF('Data Source'!X336&gt;=3.5,"A-",IF('Data Source'!X336&gt;=3,"B",IF('Data Source'!X336&gt;=2,"C",IF('Data Source'!X336&gt;=1,"D","F")))))))</f>
        <v/>
      </c>
      <c r="G336" s="3">
        <f>IF('Data Source'!B336="","",IF('Data Source'!Y336&gt;=5,"A+",IF('Data Source'!Y336&gt;=4,"A",IF('Data Source'!Y336&gt;=3.5,"A-",IF('Data Source'!Y336&gt;=3,"B",IF('Data Source'!Y336&gt;=2,"C",IF('Data Source'!Y336&gt;=1,"D","F")))))))</f>
        <v/>
      </c>
      <c r="H336" s="3">
        <f>IF('Data Source'!B336="","",IF('Data Source'!Z336&gt;=5,"A+",IF('Data Source'!Z336&gt;=4,"A",IF('Data Source'!Z336&gt;=3.5,"A-",IF('Data Source'!Z336&gt;=3,"B",IF('Data Source'!Z336&gt;=2,"C",IF('Data Source'!Z336&gt;=1,"D","F")))))))</f>
        <v/>
      </c>
      <c r="I336" s="3">
        <f>IF('Data Source'!B336="","",IF('Data Source'!AA336&gt;=5,"A+",IF('Data Source'!AA336&gt;=4,"A",IF('Data Source'!AA336&gt;=3.5,"A-",IF('Data Source'!AA336&gt;=3,"B",IF('Data Source'!AA336&gt;=2,"C",IF('Data Source'!AA336&gt;=1,"D","F")))))))</f>
        <v/>
      </c>
      <c r="J336" s="3">
        <f>IF('Data Source'!B336="","",IF('Data Source'!AB336&gt;=5,"A+",IF('Data Source'!AB336&gt;=4,"A",IF('Data Source'!AB336&gt;=3.5,"A-",IF('Data Source'!AB336&gt;=3,"B",IF('Data Source'!AB336&gt;=2,"C",IF('Data Source'!AB336&gt;=1,"D","F")))))))</f>
        <v/>
      </c>
      <c r="K336" s="3">
        <f>IF('Data Source'!B336="","",IF('Data Source'!AC336&gt;=5,"A+",IF('Data Source'!AC336&gt;=4,"A",IF('Data Source'!AC336&gt;=3.5,"A-",IF('Data Source'!AC336&gt;=3,"B",IF('Data Source'!AC336&gt;=2,"C",IF('Data Source'!AC336&gt;=1,"D","F")))))))</f>
        <v/>
      </c>
      <c r="L336" s="3">
        <f>IF('Data Source'!B336="","",IF('Data Source'!AD336&gt;=5,"A+",IF('Data Source'!AD336&gt;=4,"A",IF('Data Source'!AD336&gt;=3.5,"A-",IF('Data Source'!AD336&gt;=3,"B",IF('Data Source'!AD336&gt;=2,"C",IF('Data Source'!AD336&gt;=1,"D","F")))))))</f>
        <v/>
      </c>
      <c r="M336" s="3">
        <f>IF('Data Source'!B336="","",IF('Data Source'!AE336&gt;=5,"A+",IF('Data Source'!AE336&gt;=4,"A",IF('Data Source'!AE336&gt;=3.5,"A-",IF('Data Source'!AE336&gt;=3,"B",IF('Data Source'!AE336&gt;=2,"C",IF('Data Source'!AE336&gt;=1,"D","F")))))))</f>
        <v/>
      </c>
      <c r="N336" s="3">
        <f>IF('Data Source'!B336="","",IF('Data Source'!AF336&gt;=5,"A+",IF('Data Source'!AF336&gt;=4,"A",IF('Data Source'!AF336&gt;=3.5,"A-",IF('Data Source'!AF336&gt;=3,"B",IF('Data Source'!AF336&gt;=2,"C",IF('Data Source'!AF336&gt;=1,"D","F")))))))</f>
        <v/>
      </c>
      <c r="O336" s="3">
        <f>IF('Data Source'!B336="","",IF('Data Source'!AG336&gt;=5,"A+",IF('Data Source'!AG336&gt;=4,"A",IF('Data Source'!AG336&gt;=3.5,"A-",IF('Data Source'!AG336&gt;=3,"B",IF('Data Source'!AG336&gt;=2,"C",IF('Data Source'!AG336&gt;=1,"D","F")))))))</f>
        <v/>
      </c>
      <c r="P336" s="5">
        <f>IF('Data Source'!B336="","",'Data Source'!R336)</f>
        <v/>
      </c>
      <c r="Q336" s="3">
        <f>IF('Data Source'!B336="","",'Data Source'!S336)</f>
        <v/>
      </c>
    </row>
    <row r="337">
      <c r="A337" s="3">
        <f>IF('Data Source'!B337="","",'Data Source'!A337)</f>
        <v/>
      </c>
      <c r="B337">
        <f>IF('Data Source'!B337="","",'Data Source'!B337)</f>
        <v/>
      </c>
      <c r="C337" s="3">
        <f>IF('Data Source'!B337="","",IF('Data Source'!U337&gt;=5,"A+",IF('Data Source'!U337&gt;=4,"A",IF('Data Source'!U337&gt;=3.5,"A-",IF('Data Source'!U337&gt;=3,"B",IF('Data Source'!U337&gt;=2,"C",IF('Data Source'!U337&gt;=1,"D","F")))))))</f>
        <v/>
      </c>
      <c r="D337" s="3">
        <f>IF('Data Source'!B337="","",IF('Data Source'!V337&gt;=5,"A+",IF('Data Source'!V337&gt;=4,"A",IF('Data Source'!V337&gt;=3.5,"A-",IF('Data Source'!V337&gt;=3,"B",IF('Data Source'!V337&gt;=2,"C",IF('Data Source'!V337&gt;=1,"D","F")))))))</f>
        <v/>
      </c>
      <c r="E337" s="3">
        <f>IF('Data Source'!B337="","",IF('Data Source'!W337&gt;=5,"A+",IF('Data Source'!W337&gt;=4,"A",IF('Data Source'!W337&gt;=3.5,"A-",IF('Data Source'!W337&gt;=3,"B",IF('Data Source'!W337&gt;=2,"C",IF('Data Source'!W337&gt;=1,"D","F")))))))</f>
        <v/>
      </c>
      <c r="F337" s="3">
        <f>IF('Data Source'!B337="","",IF('Data Source'!X337&gt;=5,"A+",IF('Data Source'!X337&gt;=4,"A",IF('Data Source'!X337&gt;=3.5,"A-",IF('Data Source'!X337&gt;=3,"B",IF('Data Source'!X337&gt;=2,"C",IF('Data Source'!X337&gt;=1,"D","F")))))))</f>
        <v/>
      </c>
      <c r="G337" s="3">
        <f>IF('Data Source'!B337="","",IF('Data Source'!Y337&gt;=5,"A+",IF('Data Source'!Y337&gt;=4,"A",IF('Data Source'!Y337&gt;=3.5,"A-",IF('Data Source'!Y337&gt;=3,"B",IF('Data Source'!Y337&gt;=2,"C",IF('Data Source'!Y337&gt;=1,"D","F")))))))</f>
        <v/>
      </c>
      <c r="H337" s="3">
        <f>IF('Data Source'!B337="","",IF('Data Source'!Z337&gt;=5,"A+",IF('Data Source'!Z337&gt;=4,"A",IF('Data Source'!Z337&gt;=3.5,"A-",IF('Data Source'!Z337&gt;=3,"B",IF('Data Source'!Z337&gt;=2,"C",IF('Data Source'!Z337&gt;=1,"D","F")))))))</f>
        <v/>
      </c>
      <c r="I337" s="3">
        <f>IF('Data Source'!B337="","",IF('Data Source'!AA337&gt;=5,"A+",IF('Data Source'!AA337&gt;=4,"A",IF('Data Source'!AA337&gt;=3.5,"A-",IF('Data Source'!AA337&gt;=3,"B",IF('Data Source'!AA337&gt;=2,"C",IF('Data Source'!AA337&gt;=1,"D","F")))))))</f>
        <v/>
      </c>
      <c r="J337" s="3">
        <f>IF('Data Source'!B337="","",IF('Data Source'!AB337&gt;=5,"A+",IF('Data Source'!AB337&gt;=4,"A",IF('Data Source'!AB337&gt;=3.5,"A-",IF('Data Source'!AB337&gt;=3,"B",IF('Data Source'!AB337&gt;=2,"C",IF('Data Source'!AB337&gt;=1,"D","F")))))))</f>
        <v/>
      </c>
      <c r="K337" s="3">
        <f>IF('Data Source'!B337="","",IF('Data Source'!AC337&gt;=5,"A+",IF('Data Source'!AC337&gt;=4,"A",IF('Data Source'!AC337&gt;=3.5,"A-",IF('Data Source'!AC337&gt;=3,"B",IF('Data Source'!AC337&gt;=2,"C",IF('Data Source'!AC337&gt;=1,"D","F")))))))</f>
        <v/>
      </c>
      <c r="L337" s="3">
        <f>IF('Data Source'!B337="","",IF('Data Source'!AD337&gt;=5,"A+",IF('Data Source'!AD337&gt;=4,"A",IF('Data Source'!AD337&gt;=3.5,"A-",IF('Data Source'!AD337&gt;=3,"B",IF('Data Source'!AD337&gt;=2,"C",IF('Data Source'!AD337&gt;=1,"D","F")))))))</f>
        <v/>
      </c>
      <c r="M337" s="3">
        <f>IF('Data Source'!B337="","",IF('Data Source'!AE337&gt;=5,"A+",IF('Data Source'!AE337&gt;=4,"A",IF('Data Source'!AE337&gt;=3.5,"A-",IF('Data Source'!AE337&gt;=3,"B",IF('Data Source'!AE337&gt;=2,"C",IF('Data Source'!AE337&gt;=1,"D","F")))))))</f>
        <v/>
      </c>
      <c r="N337" s="3">
        <f>IF('Data Source'!B337="","",IF('Data Source'!AF337&gt;=5,"A+",IF('Data Source'!AF337&gt;=4,"A",IF('Data Source'!AF337&gt;=3.5,"A-",IF('Data Source'!AF337&gt;=3,"B",IF('Data Source'!AF337&gt;=2,"C",IF('Data Source'!AF337&gt;=1,"D","F")))))))</f>
        <v/>
      </c>
      <c r="O337" s="3">
        <f>IF('Data Source'!B337="","",IF('Data Source'!AG337&gt;=5,"A+",IF('Data Source'!AG337&gt;=4,"A",IF('Data Source'!AG337&gt;=3.5,"A-",IF('Data Source'!AG337&gt;=3,"B",IF('Data Source'!AG337&gt;=2,"C",IF('Data Source'!AG337&gt;=1,"D","F")))))))</f>
        <v/>
      </c>
      <c r="P337" s="5">
        <f>IF('Data Source'!B337="","",'Data Source'!R337)</f>
        <v/>
      </c>
      <c r="Q337" s="3">
        <f>IF('Data Source'!B337="","",'Data Source'!S337)</f>
        <v/>
      </c>
    </row>
    <row r="338">
      <c r="A338" s="3">
        <f>IF('Data Source'!B338="","",'Data Source'!A338)</f>
        <v/>
      </c>
      <c r="B338">
        <f>IF('Data Source'!B338="","",'Data Source'!B338)</f>
        <v/>
      </c>
      <c r="C338" s="3">
        <f>IF('Data Source'!B338="","",IF('Data Source'!U338&gt;=5,"A+",IF('Data Source'!U338&gt;=4,"A",IF('Data Source'!U338&gt;=3.5,"A-",IF('Data Source'!U338&gt;=3,"B",IF('Data Source'!U338&gt;=2,"C",IF('Data Source'!U338&gt;=1,"D","F")))))))</f>
        <v/>
      </c>
      <c r="D338" s="3">
        <f>IF('Data Source'!B338="","",IF('Data Source'!V338&gt;=5,"A+",IF('Data Source'!V338&gt;=4,"A",IF('Data Source'!V338&gt;=3.5,"A-",IF('Data Source'!V338&gt;=3,"B",IF('Data Source'!V338&gt;=2,"C",IF('Data Source'!V338&gt;=1,"D","F")))))))</f>
        <v/>
      </c>
      <c r="E338" s="3">
        <f>IF('Data Source'!B338="","",IF('Data Source'!W338&gt;=5,"A+",IF('Data Source'!W338&gt;=4,"A",IF('Data Source'!W338&gt;=3.5,"A-",IF('Data Source'!W338&gt;=3,"B",IF('Data Source'!W338&gt;=2,"C",IF('Data Source'!W338&gt;=1,"D","F")))))))</f>
        <v/>
      </c>
      <c r="F338" s="3">
        <f>IF('Data Source'!B338="","",IF('Data Source'!X338&gt;=5,"A+",IF('Data Source'!X338&gt;=4,"A",IF('Data Source'!X338&gt;=3.5,"A-",IF('Data Source'!X338&gt;=3,"B",IF('Data Source'!X338&gt;=2,"C",IF('Data Source'!X338&gt;=1,"D","F")))))))</f>
        <v/>
      </c>
      <c r="G338" s="3">
        <f>IF('Data Source'!B338="","",IF('Data Source'!Y338&gt;=5,"A+",IF('Data Source'!Y338&gt;=4,"A",IF('Data Source'!Y338&gt;=3.5,"A-",IF('Data Source'!Y338&gt;=3,"B",IF('Data Source'!Y338&gt;=2,"C",IF('Data Source'!Y338&gt;=1,"D","F")))))))</f>
        <v/>
      </c>
      <c r="H338" s="3">
        <f>IF('Data Source'!B338="","",IF('Data Source'!Z338&gt;=5,"A+",IF('Data Source'!Z338&gt;=4,"A",IF('Data Source'!Z338&gt;=3.5,"A-",IF('Data Source'!Z338&gt;=3,"B",IF('Data Source'!Z338&gt;=2,"C",IF('Data Source'!Z338&gt;=1,"D","F")))))))</f>
        <v/>
      </c>
      <c r="I338" s="3">
        <f>IF('Data Source'!B338="","",IF('Data Source'!AA338&gt;=5,"A+",IF('Data Source'!AA338&gt;=4,"A",IF('Data Source'!AA338&gt;=3.5,"A-",IF('Data Source'!AA338&gt;=3,"B",IF('Data Source'!AA338&gt;=2,"C",IF('Data Source'!AA338&gt;=1,"D","F")))))))</f>
        <v/>
      </c>
      <c r="J338" s="3">
        <f>IF('Data Source'!B338="","",IF('Data Source'!AB338&gt;=5,"A+",IF('Data Source'!AB338&gt;=4,"A",IF('Data Source'!AB338&gt;=3.5,"A-",IF('Data Source'!AB338&gt;=3,"B",IF('Data Source'!AB338&gt;=2,"C",IF('Data Source'!AB338&gt;=1,"D","F")))))))</f>
        <v/>
      </c>
      <c r="K338" s="3">
        <f>IF('Data Source'!B338="","",IF('Data Source'!AC338&gt;=5,"A+",IF('Data Source'!AC338&gt;=4,"A",IF('Data Source'!AC338&gt;=3.5,"A-",IF('Data Source'!AC338&gt;=3,"B",IF('Data Source'!AC338&gt;=2,"C",IF('Data Source'!AC338&gt;=1,"D","F")))))))</f>
        <v/>
      </c>
      <c r="L338" s="3">
        <f>IF('Data Source'!B338="","",IF('Data Source'!AD338&gt;=5,"A+",IF('Data Source'!AD338&gt;=4,"A",IF('Data Source'!AD338&gt;=3.5,"A-",IF('Data Source'!AD338&gt;=3,"B",IF('Data Source'!AD338&gt;=2,"C",IF('Data Source'!AD338&gt;=1,"D","F")))))))</f>
        <v/>
      </c>
      <c r="M338" s="3">
        <f>IF('Data Source'!B338="","",IF('Data Source'!AE338&gt;=5,"A+",IF('Data Source'!AE338&gt;=4,"A",IF('Data Source'!AE338&gt;=3.5,"A-",IF('Data Source'!AE338&gt;=3,"B",IF('Data Source'!AE338&gt;=2,"C",IF('Data Source'!AE338&gt;=1,"D","F")))))))</f>
        <v/>
      </c>
      <c r="N338" s="3">
        <f>IF('Data Source'!B338="","",IF('Data Source'!AF338&gt;=5,"A+",IF('Data Source'!AF338&gt;=4,"A",IF('Data Source'!AF338&gt;=3.5,"A-",IF('Data Source'!AF338&gt;=3,"B",IF('Data Source'!AF338&gt;=2,"C",IF('Data Source'!AF338&gt;=1,"D","F")))))))</f>
        <v/>
      </c>
      <c r="O338" s="3">
        <f>IF('Data Source'!B338="","",IF('Data Source'!AG338&gt;=5,"A+",IF('Data Source'!AG338&gt;=4,"A",IF('Data Source'!AG338&gt;=3.5,"A-",IF('Data Source'!AG338&gt;=3,"B",IF('Data Source'!AG338&gt;=2,"C",IF('Data Source'!AG338&gt;=1,"D","F")))))))</f>
        <v/>
      </c>
      <c r="P338" s="5">
        <f>IF('Data Source'!B338="","",'Data Source'!R338)</f>
        <v/>
      </c>
      <c r="Q338" s="3">
        <f>IF('Data Source'!B338="","",'Data Source'!S338)</f>
        <v/>
      </c>
    </row>
    <row r="339">
      <c r="A339" s="3">
        <f>IF('Data Source'!B339="","",'Data Source'!A339)</f>
        <v/>
      </c>
      <c r="B339">
        <f>IF('Data Source'!B339="","",'Data Source'!B339)</f>
        <v/>
      </c>
      <c r="C339" s="3">
        <f>IF('Data Source'!B339="","",IF('Data Source'!U339&gt;=5,"A+",IF('Data Source'!U339&gt;=4,"A",IF('Data Source'!U339&gt;=3.5,"A-",IF('Data Source'!U339&gt;=3,"B",IF('Data Source'!U339&gt;=2,"C",IF('Data Source'!U339&gt;=1,"D","F")))))))</f>
        <v/>
      </c>
      <c r="D339" s="3">
        <f>IF('Data Source'!B339="","",IF('Data Source'!V339&gt;=5,"A+",IF('Data Source'!V339&gt;=4,"A",IF('Data Source'!V339&gt;=3.5,"A-",IF('Data Source'!V339&gt;=3,"B",IF('Data Source'!V339&gt;=2,"C",IF('Data Source'!V339&gt;=1,"D","F")))))))</f>
        <v/>
      </c>
      <c r="E339" s="3">
        <f>IF('Data Source'!B339="","",IF('Data Source'!W339&gt;=5,"A+",IF('Data Source'!W339&gt;=4,"A",IF('Data Source'!W339&gt;=3.5,"A-",IF('Data Source'!W339&gt;=3,"B",IF('Data Source'!W339&gt;=2,"C",IF('Data Source'!W339&gt;=1,"D","F")))))))</f>
        <v/>
      </c>
      <c r="F339" s="3">
        <f>IF('Data Source'!B339="","",IF('Data Source'!X339&gt;=5,"A+",IF('Data Source'!X339&gt;=4,"A",IF('Data Source'!X339&gt;=3.5,"A-",IF('Data Source'!X339&gt;=3,"B",IF('Data Source'!X339&gt;=2,"C",IF('Data Source'!X339&gt;=1,"D","F")))))))</f>
        <v/>
      </c>
      <c r="G339" s="3">
        <f>IF('Data Source'!B339="","",IF('Data Source'!Y339&gt;=5,"A+",IF('Data Source'!Y339&gt;=4,"A",IF('Data Source'!Y339&gt;=3.5,"A-",IF('Data Source'!Y339&gt;=3,"B",IF('Data Source'!Y339&gt;=2,"C",IF('Data Source'!Y339&gt;=1,"D","F")))))))</f>
        <v/>
      </c>
      <c r="H339" s="3">
        <f>IF('Data Source'!B339="","",IF('Data Source'!Z339&gt;=5,"A+",IF('Data Source'!Z339&gt;=4,"A",IF('Data Source'!Z339&gt;=3.5,"A-",IF('Data Source'!Z339&gt;=3,"B",IF('Data Source'!Z339&gt;=2,"C",IF('Data Source'!Z339&gt;=1,"D","F")))))))</f>
        <v/>
      </c>
      <c r="I339" s="3">
        <f>IF('Data Source'!B339="","",IF('Data Source'!AA339&gt;=5,"A+",IF('Data Source'!AA339&gt;=4,"A",IF('Data Source'!AA339&gt;=3.5,"A-",IF('Data Source'!AA339&gt;=3,"B",IF('Data Source'!AA339&gt;=2,"C",IF('Data Source'!AA339&gt;=1,"D","F")))))))</f>
        <v/>
      </c>
      <c r="J339" s="3">
        <f>IF('Data Source'!B339="","",IF('Data Source'!AB339&gt;=5,"A+",IF('Data Source'!AB339&gt;=4,"A",IF('Data Source'!AB339&gt;=3.5,"A-",IF('Data Source'!AB339&gt;=3,"B",IF('Data Source'!AB339&gt;=2,"C",IF('Data Source'!AB339&gt;=1,"D","F")))))))</f>
        <v/>
      </c>
      <c r="K339" s="3">
        <f>IF('Data Source'!B339="","",IF('Data Source'!AC339&gt;=5,"A+",IF('Data Source'!AC339&gt;=4,"A",IF('Data Source'!AC339&gt;=3.5,"A-",IF('Data Source'!AC339&gt;=3,"B",IF('Data Source'!AC339&gt;=2,"C",IF('Data Source'!AC339&gt;=1,"D","F")))))))</f>
        <v/>
      </c>
      <c r="L339" s="3">
        <f>IF('Data Source'!B339="","",IF('Data Source'!AD339&gt;=5,"A+",IF('Data Source'!AD339&gt;=4,"A",IF('Data Source'!AD339&gt;=3.5,"A-",IF('Data Source'!AD339&gt;=3,"B",IF('Data Source'!AD339&gt;=2,"C",IF('Data Source'!AD339&gt;=1,"D","F")))))))</f>
        <v/>
      </c>
      <c r="M339" s="3">
        <f>IF('Data Source'!B339="","",IF('Data Source'!AE339&gt;=5,"A+",IF('Data Source'!AE339&gt;=4,"A",IF('Data Source'!AE339&gt;=3.5,"A-",IF('Data Source'!AE339&gt;=3,"B",IF('Data Source'!AE339&gt;=2,"C",IF('Data Source'!AE339&gt;=1,"D","F")))))))</f>
        <v/>
      </c>
      <c r="N339" s="3">
        <f>IF('Data Source'!B339="","",IF('Data Source'!AF339&gt;=5,"A+",IF('Data Source'!AF339&gt;=4,"A",IF('Data Source'!AF339&gt;=3.5,"A-",IF('Data Source'!AF339&gt;=3,"B",IF('Data Source'!AF339&gt;=2,"C",IF('Data Source'!AF339&gt;=1,"D","F")))))))</f>
        <v/>
      </c>
      <c r="O339" s="3">
        <f>IF('Data Source'!B339="","",IF('Data Source'!AG339&gt;=5,"A+",IF('Data Source'!AG339&gt;=4,"A",IF('Data Source'!AG339&gt;=3.5,"A-",IF('Data Source'!AG339&gt;=3,"B",IF('Data Source'!AG339&gt;=2,"C",IF('Data Source'!AG339&gt;=1,"D","F")))))))</f>
        <v/>
      </c>
      <c r="P339" s="5">
        <f>IF('Data Source'!B339="","",'Data Source'!R339)</f>
        <v/>
      </c>
      <c r="Q339" s="3">
        <f>IF('Data Source'!B339="","",'Data Source'!S339)</f>
        <v/>
      </c>
    </row>
    <row r="340">
      <c r="A340" s="3">
        <f>IF('Data Source'!B340="","",'Data Source'!A340)</f>
        <v/>
      </c>
      <c r="B340">
        <f>IF('Data Source'!B340="","",'Data Source'!B340)</f>
        <v/>
      </c>
      <c r="C340" s="3">
        <f>IF('Data Source'!B340="","",IF('Data Source'!U340&gt;=5,"A+",IF('Data Source'!U340&gt;=4,"A",IF('Data Source'!U340&gt;=3.5,"A-",IF('Data Source'!U340&gt;=3,"B",IF('Data Source'!U340&gt;=2,"C",IF('Data Source'!U340&gt;=1,"D","F")))))))</f>
        <v/>
      </c>
      <c r="D340" s="3">
        <f>IF('Data Source'!B340="","",IF('Data Source'!V340&gt;=5,"A+",IF('Data Source'!V340&gt;=4,"A",IF('Data Source'!V340&gt;=3.5,"A-",IF('Data Source'!V340&gt;=3,"B",IF('Data Source'!V340&gt;=2,"C",IF('Data Source'!V340&gt;=1,"D","F")))))))</f>
        <v/>
      </c>
      <c r="E340" s="3">
        <f>IF('Data Source'!B340="","",IF('Data Source'!W340&gt;=5,"A+",IF('Data Source'!W340&gt;=4,"A",IF('Data Source'!W340&gt;=3.5,"A-",IF('Data Source'!W340&gt;=3,"B",IF('Data Source'!W340&gt;=2,"C",IF('Data Source'!W340&gt;=1,"D","F")))))))</f>
        <v/>
      </c>
      <c r="F340" s="3">
        <f>IF('Data Source'!B340="","",IF('Data Source'!X340&gt;=5,"A+",IF('Data Source'!X340&gt;=4,"A",IF('Data Source'!X340&gt;=3.5,"A-",IF('Data Source'!X340&gt;=3,"B",IF('Data Source'!X340&gt;=2,"C",IF('Data Source'!X340&gt;=1,"D","F")))))))</f>
        <v/>
      </c>
      <c r="G340" s="3">
        <f>IF('Data Source'!B340="","",IF('Data Source'!Y340&gt;=5,"A+",IF('Data Source'!Y340&gt;=4,"A",IF('Data Source'!Y340&gt;=3.5,"A-",IF('Data Source'!Y340&gt;=3,"B",IF('Data Source'!Y340&gt;=2,"C",IF('Data Source'!Y340&gt;=1,"D","F")))))))</f>
        <v/>
      </c>
      <c r="H340" s="3">
        <f>IF('Data Source'!B340="","",IF('Data Source'!Z340&gt;=5,"A+",IF('Data Source'!Z340&gt;=4,"A",IF('Data Source'!Z340&gt;=3.5,"A-",IF('Data Source'!Z340&gt;=3,"B",IF('Data Source'!Z340&gt;=2,"C",IF('Data Source'!Z340&gt;=1,"D","F")))))))</f>
        <v/>
      </c>
      <c r="I340" s="3">
        <f>IF('Data Source'!B340="","",IF('Data Source'!AA340&gt;=5,"A+",IF('Data Source'!AA340&gt;=4,"A",IF('Data Source'!AA340&gt;=3.5,"A-",IF('Data Source'!AA340&gt;=3,"B",IF('Data Source'!AA340&gt;=2,"C",IF('Data Source'!AA340&gt;=1,"D","F")))))))</f>
        <v/>
      </c>
      <c r="J340" s="3">
        <f>IF('Data Source'!B340="","",IF('Data Source'!AB340&gt;=5,"A+",IF('Data Source'!AB340&gt;=4,"A",IF('Data Source'!AB340&gt;=3.5,"A-",IF('Data Source'!AB340&gt;=3,"B",IF('Data Source'!AB340&gt;=2,"C",IF('Data Source'!AB340&gt;=1,"D","F")))))))</f>
        <v/>
      </c>
      <c r="K340" s="3">
        <f>IF('Data Source'!B340="","",IF('Data Source'!AC340&gt;=5,"A+",IF('Data Source'!AC340&gt;=4,"A",IF('Data Source'!AC340&gt;=3.5,"A-",IF('Data Source'!AC340&gt;=3,"B",IF('Data Source'!AC340&gt;=2,"C",IF('Data Source'!AC340&gt;=1,"D","F")))))))</f>
        <v/>
      </c>
      <c r="L340" s="3">
        <f>IF('Data Source'!B340="","",IF('Data Source'!AD340&gt;=5,"A+",IF('Data Source'!AD340&gt;=4,"A",IF('Data Source'!AD340&gt;=3.5,"A-",IF('Data Source'!AD340&gt;=3,"B",IF('Data Source'!AD340&gt;=2,"C",IF('Data Source'!AD340&gt;=1,"D","F")))))))</f>
        <v/>
      </c>
      <c r="M340" s="3">
        <f>IF('Data Source'!B340="","",IF('Data Source'!AE340&gt;=5,"A+",IF('Data Source'!AE340&gt;=4,"A",IF('Data Source'!AE340&gt;=3.5,"A-",IF('Data Source'!AE340&gt;=3,"B",IF('Data Source'!AE340&gt;=2,"C",IF('Data Source'!AE340&gt;=1,"D","F")))))))</f>
        <v/>
      </c>
      <c r="N340" s="3">
        <f>IF('Data Source'!B340="","",IF('Data Source'!AF340&gt;=5,"A+",IF('Data Source'!AF340&gt;=4,"A",IF('Data Source'!AF340&gt;=3.5,"A-",IF('Data Source'!AF340&gt;=3,"B",IF('Data Source'!AF340&gt;=2,"C",IF('Data Source'!AF340&gt;=1,"D","F")))))))</f>
        <v/>
      </c>
      <c r="O340" s="3">
        <f>IF('Data Source'!B340="","",IF('Data Source'!AG340&gt;=5,"A+",IF('Data Source'!AG340&gt;=4,"A",IF('Data Source'!AG340&gt;=3.5,"A-",IF('Data Source'!AG340&gt;=3,"B",IF('Data Source'!AG340&gt;=2,"C",IF('Data Source'!AG340&gt;=1,"D","F")))))))</f>
        <v/>
      </c>
      <c r="P340" s="5">
        <f>IF('Data Source'!B340="","",'Data Source'!R340)</f>
        <v/>
      </c>
      <c r="Q340" s="3">
        <f>IF('Data Source'!B340="","",'Data Source'!S340)</f>
        <v/>
      </c>
    </row>
    <row r="341">
      <c r="A341" s="3">
        <f>IF('Data Source'!B341="","",'Data Source'!A341)</f>
        <v/>
      </c>
      <c r="B341">
        <f>IF('Data Source'!B341="","",'Data Source'!B341)</f>
        <v/>
      </c>
      <c r="C341" s="3">
        <f>IF('Data Source'!B341="","",IF('Data Source'!U341&gt;=5,"A+",IF('Data Source'!U341&gt;=4,"A",IF('Data Source'!U341&gt;=3.5,"A-",IF('Data Source'!U341&gt;=3,"B",IF('Data Source'!U341&gt;=2,"C",IF('Data Source'!U341&gt;=1,"D","F")))))))</f>
        <v/>
      </c>
      <c r="D341" s="3">
        <f>IF('Data Source'!B341="","",IF('Data Source'!V341&gt;=5,"A+",IF('Data Source'!V341&gt;=4,"A",IF('Data Source'!V341&gt;=3.5,"A-",IF('Data Source'!V341&gt;=3,"B",IF('Data Source'!V341&gt;=2,"C",IF('Data Source'!V341&gt;=1,"D","F")))))))</f>
        <v/>
      </c>
      <c r="E341" s="3">
        <f>IF('Data Source'!B341="","",IF('Data Source'!W341&gt;=5,"A+",IF('Data Source'!W341&gt;=4,"A",IF('Data Source'!W341&gt;=3.5,"A-",IF('Data Source'!W341&gt;=3,"B",IF('Data Source'!W341&gt;=2,"C",IF('Data Source'!W341&gt;=1,"D","F")))))))</f>
        <v/>
      </c>
      <c r="F341" s="3">
        <f>IF('Data Source'!B341="","",IF('Data Source'!X341&gt;=5,"A+",IF('Data Source'!X341&gt;=4,"A",IF('Data Source'!X341&gt;=3.5,"A-",IF('Data Source'!X341&gt;=3,"B",IF('Data Source'!X341&gt;=2,"C",IF('Data Source'!X341&gt;=1,"D","F")))))))</f>
        <v/>
      </c>
      <c r="G341" s="3">
        <f>IF('Data Source'!B341="","",IF('Data Source'!Y341&gt;=5,"A+",IF('Data Source'!Y341&gt;=4,"A",IF('Data Source'!Y341&gt;=3.5,"A-",IF('Data Source'!Y341&gt;=3,"B",IF('Data Source'!Y341&gt;=2,"C",IF('Data Source'!Y341&gt;=1,"D","F")))))))</f>
        <v/>
      </c>
      <c r="H341" s="3">
        <f>IF('Data Source'!B341="","",IF('Data Source'!Z341&gt;=5,"A+",IF('Data Source'!Z341&gt;=4,"A",IF('Data Source'!Z341&gt;=3.5,"A-",IF('Data Source'!Z341&gt;=3,"B",IF('Data Source'!Z341&gt;=2,"C",IF('Data Source'!Z341&gt;=1,"D","F")))))))</f>
        <v/>
      </c>
      <c r="I341" s="3">
        <f>IF('Data Source'!B341="","",IF('Data Source'!AA341&gt;=5,"A+",IF('Data Source'!AA341&gt;=4,"A",IF('Data Source'!AA341&gt;=3.5,"A-",IF('Data Source'!AA341&gt;=3,"B",IF('Data Source'!AA341&gt;=2,"C",IF('Data Source'!AA341&gt;=1,"D","F")))))))</f>
        <v/>
      </c>
      <c r="J341" s="3">
        <f>IF('Data Source'!B341="","",IF('Data Source'!AB341&gt;=5,"A+",IF('Data Source'!AB341&gt;=4,"A",IF('Data Source'!AB341&gt;=3.5,"A-",IF('Data Source'!AB341&gt;=3,"B",IF('Data Source'!AB341&gt;=2,"C",IF('Data Source'!AB341&gt;=1,"D","F")))))))</f>
        <v/>
      </c>
      <c r="K341" s="3">
        <f>IF('Data Source'!B341="","",IF('Data Source'!AC341&gt;=5,"A+",IF('Data Source'!AC341&gt;=4,"A",IF('Data Source'!AC341&gt;=3.5,"A-",IF('Data Source'!AC341&gt;=3,"B",IF('Data Source'!AC341&gt;=2,"C",IF('Data Source'!AC341&gt;=1,"D","F")))))))</f>
        <v/>
      </c>
      <c r="L341" s="3">
        <f>IF('Data Source'!B341="","",IF('Data Source'!AD341&gt;=5,"A+",IF('Data Source'!AD341&gt;=4,"A",IF('Data Source'!AD341&gt;=3.5,"A-",IF('Data Source'!AD341&gt;=3,"B",IF('Data Source'!AD341&gt;=2,"C",IF('Data Source'!AD341&gt;=1,"D","F")))))))</f>
        <v/>
      </c>
      <c r="M341" s="3">
        <f>IF('Data Source'!B341="","",IF('Data Source'!AE341&gt;=5,"A+",IF('Data Source'!AE341&gt;=4,"A",IF('Data Source'!AE341&gt;=3.5,"A-",IF('Data Source'!AE341&gt;=3,"B",IF('Data Source'!AE341&gt;=2,"C",IF('Data Source'!AE341&gt;=1,"D","F")))))))</f>
        <v/>
      </c>
      <c r="N341" s="3">
        <f>IF('Data Source'!B341="","",IF('Data Source'!AF341&gt;=5,"A+",IF('Data Source'!AF341&gt;=4,"A",IF('Data Source'!AF341&gt;=3.5,"A-",IF('Data Source'!AF341&gt;=3,"B",IF('Data Source'!AF341&gt;=2,"C",IF('Data Source'!AF341&gt;=1,"D","F")))))))</f>
        <v/>
      </c>
      <c r="O341" s="3">
        <f>IF('Data Source'!B341="","",IF('Data Source'!AG341&gt;=5,"A+",IF('Data Source'!AG341&gt;=4,"A",IF('Data Source'!AG341&gt;=3.5,"A-",IF('Data Source'!AG341&gt;=3,"B",IF('Data Source'!AG341&gt;=2,"C",IF('Data Source'!AG341&gt;=1,"D","F")))))))</f>
        <v/>
      </c>
      <c r="P341" s="5">
        <f>IF('Data Source'!B341="","",'Data Source'!R341)</f>
        <v/>
      </c>
      <c r="Q341" s="3">
        <f>IF('Data Source'!B341="","",'Data Source'!S341)</f>
        <v/>
      </c>
    </row>
    <row r="342">
      <c r="A342" s="3">
        <f>IF('Data Source'!B342="","",'Data Source'!A342)</f>
        <v/>
      </c>
      <c r="B342">
        <f>IF('Data Source'!B342="","",'Data Source'!B342)</f>
        <v/>
      </c>
      <c r="C342" s="3">
        <f>IF('Data Source'!B342="","",IF('Data Source'!U342&gt;=5,"A+",IF('Data Source'!U342&gt;=4,"A",IF('Data Source'!U342&gt;=3.5,"A-",IF('Data Source'!U342&gt;=3,"B",IF('Data Source'!U342&gt;=2,"C",IF('Data Source'!U342&gt;=1,"D","F")))))))</f>
        <v/>
      </c>
      <c r="D342" s="3">
        <f>IF('Data Source'!B342="","",IF('Data Source'!V342&gt;=5,"A+",IF('Data Source'!V342&gt;=4,"A",IF('Data Source'!V342&gt;=3.5,"A-",IF('Data Source'!V342&gt;=3,"B",IF('Data Source'!V342&gt;=2,"C",IF('Data Source'!V342&gt;=1,"D","F")))))))</f>
        <v/>
      </c>
      <c r="E342" s="3">
        <f>IF('Data Source'!B342="","",IF('Data Source'!W342&gt;=5,"A+",IF('Data Source'!W342&gt;=4,"A",IF('Data Source'!W342&gt;=3.5,"A-",IF('Data Source'!W342&gt;=3,"B",IF('Data Source'!W342&gt;=2,"C",IF('Data Source'!W342&gt;=1,"D","F")))))))</f>
        <v/>
      </c>
      <c r="F342" s="3">
        <f>IF('Data Source'!B342="","",IF('Data Source'!X342&gt;=5,"A+",IF('Data Source'!X342&gt;=4,"A",IF('Data Source'!X342&gt;=3.5,"A-",IF('Data Source'!X342&gt;=3,"B",IF('Data Source'!X342&gt;=2,"C",IF('Data Source'!X342&gt;=1,"D","F")))))))</f>
        <v/>
      </c>
      <c r="G342" s="3">
        <f>IF('Data Source'!B342="","",IF('Data Source'!Y342&gt;=5,"A+",IF('Data Source'!Y342&gt;=4,"A",IF('Data Source'!Y342&gt;=3.5,"A-",IF('Data Source'!Y342&gt;=3,"B",IF('Data Source'!Y342&gt;=2,"C",IF('Data Source'!Y342&gt;=1,"D","F")))))))</f>
        <v/>
      </c>
      <c r="H342" s="3">
        <f>IF('Data Source'!B342="","",IF('Data Source'!Z342&gt;=5,"A+",IF('Data Source'!Z342&gt;=4,"A",IF('Data Source'!Z342&gt;=3.5,"A-",IF('Data Source'!Z342&gt;=3,"B",IF('Data Source'!Z342&gt;=2,"C",IF('Data Source'!Z342&gt;=1,"D","F")))))))</f>
        <v/>
      </c>
      <c r="I342" s="3">
        <f>IF('Data Source'!B342="","",IF('Data Source'!AA342&gt;=5,"A+",IF('Data Source'!AA342&gt;=4,"A",IF('Data Source'!AA342&gt;=3.5,"A-",IF('Data Source'!AA342&gt;=3,"B",IF('Data Source'!AA342&gt;=2,"C",IF('Data Source'!AA342&gt;=1,"D","F")))))))</f>
        <v/>
      </c>
      <c r="J342" s="3">
        <f>IF('Data Source'!B342="","",IF('Data Source'!AB342&gt;=5,"A+",IF('Data Source'!AB342&gt;=4,"A",IF('Data Source'!AB342&gt;=3.5,"A-",IF('Data Source'!AB342&gt;=3,"B",IF('Data Source'!AB342&gt;=2,"C",IF('Data Source'!AB342&gt;=1,"D","F")))))))</f>
        <v/>
      </c>
      <c r="K342" s="3">
        <f>IF('Data Source'!B342="","",IF('Data Source'!AC342&gt;=5,"A+",IF('Data Source'!AC342&gt;=4,"A",IF('Data Source'!AC342&gt;=3.5,"A-",IF('Data Source'!AC342&gt;=3,"B",IF('Data Source'!AC342&gt;=2,"C",IF('Data Source'!AC342&gt;=1,"D","F")))))))</f>
        <v/>
      </c>
      <c r="L342" s="3">
        <f>IF('Data Source'!B342="","",IF('Data Source'!AD342&gt;=5,"A+",IF('Data Source'!AD342&gt;=4,"A",IF('Data Source'!AD342&gt;=3.5,"A-",IF('Data Source'!AD342&gt;=3,"B",IF('Data Source'!AD342&gt;=2,"C",IF('Data Source'!AD342&gt;=1,"D","F")))))))</f>
        <v/>
      </c>
      <c r="M342" s="3">
        <f>IF('Data Source'!B342="","",IF('Data Source'!AE342&gt;=5,"A+",IF('Data Source'!AE342&gt;=4,"A",IF('Data Source'!AE342&gt;=3.5,"A-",IF('Data Source'!AE342&gt;=3,"B",IF('Data Source'!AE342&gt;=2,"C",IF('Data Source'!AE342&gt;=1,"D","F")))))))</f>
        <v/>
      </c>
      <c r="N342" s="3">
        <f>IF('Data Source'!B342="","",IF('Data Source'!AF342&gt;=5,"A+",IF('Data Source'!AF342&gt;=4,"A",IF('Data Source'!AF342&gt;=3.5,"A-",IF('Data Source'!AF342&gt;=3,"B",IF('Data Source'!AF342&gt;=2,"C",IF('Data Source'!AF342&gt;=1,"D","F")))))))</f>
        <v/>
      </c>
      <c r="O342" s="3">
        <f>IF('Data Source'!B342="","",IF('Data Source'!AG342&gt;=5,"A+",IF('Data Source'!AG342&gt;=4,"A",IF('Data Source'!AG342&gt;=3.5,"A-",IF('Data Source'!AG342&gt;=3,"B",IF('Data Source'!AG342&gt;=2,"C",IF('Data Source'!AG342&gt;=1,"D","F")))))))</f>
        <v/>
      </c>
      <c r="P342" s="5">
        <f>IF('Data Source'!B342="","",'Data Source'!R342)</f>
        <v/>
      </c>
      <c r="Q342" s="3">
        <f>IF('Data Source'!B342="","",'Data Source'!S342)</f>
        <v/>
      </c>
    </row>
    <row r="343">
      <c r="A343" s="3">
        <f>IF('Data Source'!B343="","",'Data Source'!A343)</f>
        <v/>
      </c>
      <c r="B343">
        <f>IF('Data Source'!B343="","",'Data Source'!B343)</f>
        <v/>
      </c>
      <c r="C343" s="3">
        <f>IF('Data Source'!B343="","",IF('Data Source'!U343&gt;=5,"A+",IF('Data Source'!U343&gt;=4,"A",IF('Data Source'!U343&gt;=3.5,"A-",IF('Data Source'!U343&gt;=3,"B",IF('Data Source'!U343&gt;=2,"C",IF('Data Source'!U343&gt;=1,"D","F")))))))</f>
        <v/>
      </c>
      <c r="D343" s="3">
        <f>IF('Data Source'!B343="","",IF('Data Source'!V343&gt;=5,"A+",IF('Data Source'!V343&gt;=4,"A",IF('Data Source'!V343&gt;=3.5,"A-",IF('Data Source'!V343&gt;=3,"B",IF('Data Source'!V343&gt;=2,"C",IF('Data Source'!V343&gt;=1,"D","F")))))))</f>
        <v/>
      </c>
      <c r="E343" s="3">
        <f>IF('Data Source'!B343="","",IF('Data Source'!W343&gt;=5,"A+",IF('Data Source'!W343&gt;=4,"A",IF('Data Source'!W343&gt;=3.5,"A-",IF('Data Source'!W343&gt;=3,"B",IF('Data Source'!W343&gt;=2,"C",IF('Data Source'!W343&gt;=1,"D","F")))))))</f>
        <v/>
      </c>
      <c r="F343" s="3">
        <f>IF('Data Source'!B343="","",IF('Data Source'!X343&gt;=5,"A+",IF('Data Source'!X343&gt;=4,"A",IF('Data Source'!X343&gt;=3.5,"A-",IF('Data Source'!X343&gt;=3,"B",IF('Data Source'!X343&gt;=2,"C",IF('Data Source'!X343&gt;=1,"D","F")))))))</f>
        <v/>
      </c>
      <c r="G343" s="3">
        <f>IF('Data Source'!B343="","",IF('Data Source'!Y343&gt;=5,"A+",IF('Data Source'!Y343&gt;=4,"A",IF('Data Source'!Y343&gt;=3.5,"A-",IF('Data Source'!Y343&gt;=3,"B",IF('Data Source'!Y343&gt;=2,"C",IF('Data Source'!Y343&gt;=1,"D","F")))))))</f>
        <v/>
      </c>
      <c r="H343" s="3">
        <f>IF('Data Source'!B343="","",IF('Data Source'!Z343&gt;=5,"A+",IF('Data Source'!Z343&gt;=4,"A",IF('Data Source'!Z343&gt;=3.5,"A-",IF('Data Source'!Z343&gt;=3,"B",IF('Data Source'!Z343&gt;=2,"C",IF('Data Source'!Z343&gt;=1,"D","F")))))))</f>
        <v/>
      </c>
      <c r="I343" s="3">
        <f>IF('Data Source'!B343="","",IF('Data Source'!AA343&gt;=5,"A+",IF('Data Source'!AA343&gt;=4,"A",IF('Data Source'!AA343&gt;=3.5,"A-",IF('Data Source'!AA343&gt;=3,"B",IF('Data Source'!AA343&gt;=2,"C",IF('Data Source'!AA343&gt;=1,"D","F")))))))</f>
        <v/>
      </c>
      <c r="J343" s="3">
        <f>IF('Data Source'!B343="","",IF('Data Source'!AB343&gt;=5,"A+",IF('Data Source'!AB343&gt;=4,"A",IF('Data Source'!AB343&gt;=3.5,"A-",IF('Data Source'!AB343&gt;=3,"B",IF('Data Source'!AB343&gt;=2,"C",IF('Data Source'!AB343&gt;=1,"D","F")))))))</f>
        <v/>
      </c>
      <c r="K343" s="3">
        <f>IF('Data Source'!B343="","",IF('Data Source'!AC343&gt;=5,"A+",IF('Data Source'!AC343&gt;=4,"A",IF('Data Source'!AC343&gt;=3.5,"A-",IF('Data Source'!AC343&gt;=3,"B",IF('Data Source'!AC343&gt;=2,"C",IF('Data Source'!AC343&gt;=1,"D","F")))))))</f>
        <v/>
      </c>
      <c r="L343" s="3">
        <f>IF('Data Source'!B343="","",IF('Data Source'!AD343&gt;=5,"A+",IF('Data Source'!AD343&gt;=4,"A",IF('Data Source'!AD343&gt;=3.5,"A-",IF('Data Source'!AD343&gt;=3,"B",IF('Data Source'!AD343&gt;=2,"C",IF('Data Source'!AD343&gt;=1,"D","F")))))))</f>
        <v/>
      </c>
      <c r="M343" s="3">
        <f>IF('Data Source'!B343="","",IF('Data Source'!AE343&gt;=5,"A+",IF('Data Source'!AE343&gt;=4,"A",IF('Data Source'!AE343&gt;=3.5,"A-",IF('Data Source'!AE343&gt;=3,"B",IF('Data Source'!AE343&gt;=2,"C",IF('Data Source'!AE343&gt;=1,"D","F")))))))</f>
        <v/>
      </c>
      <c r="N343" s="3">
        <f>IF('Data Source'!B343="","",IF('Data Source'!AF343&gt;=5,"A+",IF('Data Source'!AF343&gt;=4,"A",IF('Data Source'!AF343&gt;=3.5,"A-",IF('Data Source'!AF343&gt;=3,"B",IF('Data Source'!AF343&gt;=2,"C",IF('Data Source'!AF343&gt;=1,"D","F")))))))</f>
        <v/>
      </c>
      <c r="O343" s="3">
        <f>IF('Data Source'!B343="","",IF('Data Source'!AG343&gt;=5,"A+",IF('Data Source'!AG343&gt;=4,"A",IF('Data Source'!AG343&gt;=3.5,"A-",IF('Data Source'!AG343&gt;=3,"B",IF('Data Source'!AG343&gt;=2,"C",IF('Data Source'!AG343&gt;=1,"D","F")))))))</f>
        <v/>
      </c>
      <c r="P343" s="5">
        <f>IF('Data Source'!B343="","",'Data Source'!R343)</f>
        <v/>
      </c>
      <c r="Q343" s="3">
        <f>IF('Data Source'!B343="","",'Data Source'!S343)</f>
        <v/>
      </c>
    </row>
    <row r="344">
      <c r="A344" s="3">
        <f>IF('Data Source'!B344="","",'Data Source'!A344)</f>
        <v/>
      </c>
      <c r="B344">
        <f>IF('Data Source'!B344="","",'Data Source'!B344)</f>
        <v/>
      </c>
      <c r="C344" s="3">
        <f>IF('Data Source'!B344="","",IF('Data Source'!U344&gt;=5,"A+",IF('Data Source'!U344&gt;=4,"A",IF('Data Source'!U344&gt;=3.5,"A-",IF('Data Source'!U344&gt;=3,"B",IF('Data Source'!U344&gt;=2,"C",IF('Data Source'!U344&gt;=1,"D","F")))))))</f>
        <v/>
      </c>
      <c r="D344" s="3">
        <f>IF('Data Source'!B344="","",IF('Data Source'!V344&gt;=5,"A+",IF('Data Source'!V344&gt;=4,"A",IF('Data Source'!V344&gt;=3.5,"A-",IF('Data Source'!V344&gt;=3,"B",IF('Data Source'!V344&gt;=2,"C",IF('Data Source'!V344&gt;=1,"D","F")))))))</f>
        <v/>
      </c>
      <c r="E344" s="3">
        <f>IF('Data Source'!B344="","",IF('Data Source'!W344&gt;=5,"A+",IF('Data Source'!W344&gt;=4,"A",IF('Data Source'!W344&gt;=3.5,"A-",IF('Data Source'!W344&gt;=3,"B",IF('Data Source'!W344&gt;=2,"C",IF('Data Source'!W344&gt;=1,"D","F")))))))</f>
        <v/>
      </c>
      <c r="F344" s="3">
        <f>IF('Data Source'!B344="","",IF('Data Source'!X344&gt;=5,"A+",IF('Data Source'!X344&gt;=4,"A",IF('Data Source'!X344&gt;=3.5,"A-",IF('Data Source'!X344&gt;=3,"B",IF('Data Source'!X344&gt;=2,"C",IF('Data Source'!X344&gt;=1,"D","F")))))))</f>
        <v/>
      </c>
      <c r="G344" s="3">
        <f>IF('Data Source'!B344="","",IF('Data Source'!Y344&gt;=5,"A+",IF('Data Source'!Y344&gt;=4,"A",IF('Data Source'!Y344&gt;=3.5,"A-",IF('Data Source'!Y344&gt;=3,"B",IF('Data Source'!Y344&gt;=2,"C",IF('Data Source'!Y344&gt;=1,"D","F")))))))</f>
        <v/>
      </c>
      <c r="H344" s="3">
        <f>IF('Data Source'!B344="","",IF('Data Source'!Z344&gt;=5,"A+",IF('Data Source'!Z344&gt;=4,"A",IF('Data Source'!Z344&gt;=3.5,"A-",IF('Data Source'!Z344&gt;=3,"B",IF('Data Source'!Z344&gt;=2,"C",IF('Data Source'!Z344&gt;=1,"D","F")))))))</f>
        <v/>
      </c>
      <c r="I344" s="3">
        <f>IF('Data Source'!B344="","",IF('Data Source'!AA344&gt;=5,"A+",IF('Data Source'!AA344&gt;=4,"A",IF('Data Source'!AA344&gt;=3.5,"A-",IF('Data Source'!AA344&gt;=3,"B",IF('Data Source'!AA344&gt;=2,"C",IF('Data Source'!AA344&gt;=1,"D","F")))))))</f>
        <v/>
      </c>
      <c r="J344" s="3">
        <f>IF('Data Source'!B344="","",IF('Data Source'!AB344&gt;=5,"A+",IF('Data Source'!AB344&gt;=4,"A",IF('Data Source'!AB344&gt;=3.5,"A-",IF('Data Source'!AB344&gt;=3,"B",IF('Data Source'!AB344&gt;=2,"C",IF('Data Source'!AB344&gt;=1,"D","F")))))))</f>
        <v/>
      </c>
      <c r="K344" s="3">
        <f>IF('Data Source'!B344="","",IF('Data Source'!AC344&gt;=5,"A+",IF('Data Source'!AC344&gt;=4,"A",IF('Data Source'!AC344&gt;=3.5,"A-",IF('Data Source'!AC344&gt;=3,"B",IF('Data Source'!AC344&gt;=2,"C",IF('Data Source'!AC344&gt;=1,"D","F")))))))</f>
        <v/>
      </c>
      <c r="L344" s="3">
        <f>IF('Data Source'!B344="","",IF('Data Source'!AD344&gt;=5,"A+",IF('Data Source'!AD344&gt;=4,"A",IF('Data Source'!AD344&gt;=3.5,"A-",IF('Data Source'!AD344&gt;=3,"B",IF('Data Source'!AD344&gt;=2,"C",IF('Data Source'!AD344&gt;=1,"D","F")))))))</f>
        <v/>
      </c>
      <c r="M344" s="3">
        <f>IF('Data Source'!B344="","",IF('Data Source'!AE344&gt;=5,"A+",IF('Data Source'!AE344&gt;=4,"A",IF('Data Source'!AE344&gt;=3.5,"A-",IF('Data Source'!AE344&gt;=3,"B",IF('Data Source'!AE344&gt;=2,"C",IF('Data Source'!AE344&gt;=1,"D","F")))))))</f>
        <v/>
      </c>
      <c r="N344" s="3">
        <f>IF('Data Source'!B344="","",IF('Data Source'!AF344&gt;=5,"A+",IF('Data Source'!AF344&gt;=4,"A",IF('Data Source'!AF344&gt;=3.5,"A-",IF('Data Source'!AF344&gt;=3,"B",IF('Data Source'!AF344&gt;=2,"C",IF('Data Source'!AF344&gt;=1,"D","F")))))))</f>
        <v/>
      </c>
      <c r="O344" s="3">
        <f>IF('Data Source'!B344="","",IF('Data Source'!AG344&gt;=5,"A+",IF('Data Source'!AG344&gt;=4,"A",IF('Data Source'!AG344&gt;=3.5,"A-",IF('Data Source'!AG344&gt;=3,"B",IF('Data Source'!AG344&gt;=2,"C",IF('Data Source'!AG344&gt;=1,"D","F")))))))</f>
        <v/>
      </c>
      <c r="P344" s="5">
        <f>IF('Data Source'!B344="","",'Data Source'!R344)</f>
        <v/>
      </c>
      <c r="Q344" s="3">
        <f>IF('Data Source'!B344="","",'Data Source'!S344)</f>
        <v/>
      </c>
    </row>
    <row r="345">
      <c r="A345" s="3">
        <f>IF('Data Source'!B345="","",'Data Source'!A345)</f>
        <v/>
      </c>
      <c r="B345">
        <f>IF('Data Source'!B345="","",'Data Source'!B345)</f>
        <v/>
      </c>
      <c r="C345" s="3">
        <f>IF('Data Source'!B345="","",IF('Data Source'!U345&gt;=5,"A+",IF('Data Source'!U345&gt;=4,"A",IF('Data Source'!U345&gt;=3.5,"A-",IF('Data Source'!U345&gt;=3,"B",IF('Data Source'!U345&gt;=2,"C",IF('Data Source'!U345&gt;=1,"D","F")))))))</f>
        <v/>
      </c>
      <c r="D345" s="3">
        <f>IF('Data Source'!B345="","",IF('Data Source'!V345&gt;=5,"A+",IF('Data Source'!V345&gt;=4,"A",IF('Data Source'!V345&gt;=3.5,"A-",IF('Data Source'!V345&gt;=3,"B",IF('Data Source'!V345&gt;=2,"C",IF('Data Source'!V345&gt;=1,"D","F")))))))</f>
        <v/>
      </c>
      <c r="E345" s="3">
        <f>IF('Data Source'!B345="","",IF('Data Source'!W345&gt;=5,"A+",IF('Data Source'!W345&gt;=4,"A",IF('Data Source'!W345&gt;=3.5,"A-",IF('Data Source'!W345&gt;=3,"B",IF('Data Source'!W345&gt;=2,"C",IF('Data Source'!W345&gt;=1,"D","F")))))))</f>
        <v/>
      </c>
      <c r="F345" s="3">
        <f>IF('Data Source'!B345="","",IF('Data Source'!X345&gt;=5,"A+",IF('Data Source'!X345&gt;=4,"A",IF('Data Source'!X345&gt;=3.5,"A-",IF('Data Source'!X345&gt;=3,"B",IF('Data Source'!X345&gt;=2,"C",IF('Data Source'!X345&gt;=1,"D","F")))))))</f>
        <v/>
      </c>
      <c r="G345" s="3">
        <f>IF('Data Source'!B345="","",IF('Data Source'!Y345&gt;=5,"A+",IF('Data Source'!Y345&gt;=4,"A",IF('Data Source'!Y345&gt;=3.5,"A-",IF('Data Source'!Y345&gt;=3,"B",IF('Data Source'!Y345&gt;=2,"C",IF('Data Source'!Y345&gt;=1,"D","F")))))))</f>
        <v/>
      </c>
      <c r="H345" s="3">
        <f>IF('Data Source'!B345="","",IF('Data Source'!Z345&gt;=5,"A+",IF('Data Source'!Z345&gt;=4,"A",IF('Data Source'!Z345&gt;=3.5,"A-",IF('Data Source'!Z345&gt;=3,"B",IF('Data Source'!Z345&gt;=2,"C",IF('Data Source'!Z345&gt;=1,"D","F")))))))</f>
        <v/>
      </c>
      <c r="I345" s="3">
        <f>IF('Data Source'!B345="","",IF('Data Source'!AA345&gt;=5,"A+",IF('Data Source'!AA345&gt;=4,"A",IF('Data Source'!AA345&gt;=3.5,"A-",IF('Data Source'!AA345&gt;=3,"B",IF('Data Source'!AA345&gt;=2,"C",IF('Data Source'!AA345&gt;=1,"D","F")))))))</f>
        <v/>
      </c>
      <c r="J345" s="3">
        <f>IF('Data Source'!B345="","",IF('Data Source'!AB345&gt;=5,"A+",IF('Data Source'!AB345&gt;=4,"A",IF('Data Source'!AB345&gt;=3.5,"A-",IF('Data Source'!AB345&gt;=3,"B",IF('Data Source'!AB345&gt;=2,"C",IF('Data Source'!AB345&gt;=1,"D","F")))))))</f>
        <v/>
      </c>
      <c r="K345" s="3">
        <f>IF('Data Source'!B345="","",IF('Data Source'!AC345&gt;=5,"A+",IF('Data Source'!AC345&gt;=4,"A",IF('Data Source'!AC345&gt;=3.5,"A-",IF('Data Source'!AC345&gt;=3,"B",IF('Data Source'!AC345&gt;=2,"C",IF('Data Source'!AC345&gt;=1,"D","F")))))))</f>
        <v/>
      </c>
      <c r="L345" s="3">
        <f>IF('Data Source'!B345="","",IF('Data Source'!AD345&gt;=5,"A+",IF('Data Source'!AD345&gt;=4,"A",IF('Data Source'!AD345&gt;=3.5,"A-",IF('Data Source'!AD345&gt;=3,"B",IF('Data Source'!AD345&gt;=2,"C",IF('Data Source'!AD345&gt;=1,"D","F")))))))</f>
        <v/>
      </c>
      <c r="M345" s="3">
        <f>IF('Data Source'!B345="","",IF('Data Source'!AE345&gt;=5,"A+",IF('Data Source'!AE345&gt;=4,"A",IF('Data Source'!AE345&gt;=3.5,"A-",IF('Data Source'!AE345&gt;=3,"B",IF('Data Source'!AE345&gt;=2,"C",IF('Data Source'!AE345&gt;=1,"D","F")))))))</f>
        <v/>
      </c>
      <c r="N345" s="3">
        <f>IF('Data Source'!B345="","",IF('Data Source'!AF345&gt;=5,"A+",IF('Data Source'!AF345&gt;=4,"A",IF('Data Source'!AF345&gt;=3.5,"A-",IF('Data Source'!AF345&gt;=3,"B",IF('Data Source'!AF345&gt;=2,"C",IF('Data Source'!AF345&gt;=1,"D","F")))))))</f>
        <v/>
      </c>
      <c r="O345" s="3">
        <f>IF('Data Source'!B345="","",IF('Data Source'!AG345&gt;=5,"A+",IF('Data Source'!AG345&gt;=4,"A",IF('Data Source'!AG345&gt;=3.5,"A-",IF('Data Source'!AG345&gt;=3,"B",IF('Data Source'!AG345&gt;=2,"C",IF('Data Source'!AG345&gt;=1,"D","F")))))))</f>
        <v/>
      </c>
      <c r="P345" s="5">
        <f>IF('Data Source'!B345="","",'Data Source'!R345)</f>
        <v/>
      </c>
      <c r="Q345" s="3">
        <f>IF('Data Source'!B345="","",'Data Source'!S345)</f>
        <v/>
      </c>
    </row>
    <row r="346">
      <c r="A346" s="3">
        <f>IF('Data Source'!B346="","",'Data Source'!A346)</f>
        <v/>
      </c>
      <c r="B346">
        <f>IF('Data Source'!B346="","",'Data Source'!B346)</f>
        <v/>
      </c>
      <c r="C346" s="3">
        <f>IF('Data Source'!B346="","",IF('Data Source'!U346&gt;=5,"A+",IF('Data Source'!U346&gt;=4,"A",IF('Data Source'!U346&gt;=3.5,"A-",IF('Data Source'!U346&gt;=3,"B",IF('Data Source'!U346&gt;=2,"C",IF('Data Source'!U346&gt;=1,"D","F")))))))</f>
        <v/>
      </c>
      <c r="D346" s="3">
        <f>IF('Data Source'!B346="","",IF('Data Source'!V346&gt;=5,"A+",IF('Data Source'!V346&gt;=4,"A",IF('Data Source'!V346&gt;=3.5,"A-",IF('Data Source'!V346&gt;=3,"B",IF('Data Source'!V346&gt;=2,"C",IF('Data Source'!V346&gt;=1,"D","F")))))))</f>
        <v/>
      </c>
      <c r="E346" s="3">
        <f>IF('Data Source'!B346="","",IF('Data Source'!W346&gt;=5,"A+",IF('Data Source'!W346&gt;=4,"A",IF('Data Source'!W346&gt;=3.5,"A-",IF('Data Source'!W346&gt;=3,"B",IF('Data Source'!W346&gt;=2,"C",IF('Data Source'!W346&gt;=1,"D","F")))))))</f>
        <v/>
      </c>
      <c r="F346" s="3">
        <f>IF('Data Source'!B346="","",IF('Data Source'!X346&gt;=5,"A+",IF('Data Source'!X346&gt;=4,"A",IF('Data Source'!X346&gt;=3.5,"A-",IF('Data Source'!X346&gt;=3,"B",IF('Data Source'!X346&gt;=2,"C",IF('Data Source'!X346&gt;=1,"D","F")))))))</f>
        <v/>
      </c>
      <c r="G346" s="3">
        <f>IF('Data Source'!B346="","",IF('Data Source'!Y346&gt;=5,"A+",IF('Data Source'!Y346&gt;=4,"A",IF('Data Source'!Y346&gt;=3.5,"A-",IF('Data Source'!Y346&gt;=3,"B",IF('Data Source'!Y346&gt;=2,"C",IF('Data Source'!Y346&gt;=1,"D","F")))))))</f>
        <v/>
      </c>
      <c r="H346" s="3">
        <f>IF('Data Source'!B346="","",IF('Data Source'!Z346&gt;=5,"A+",IF('Data Source'!Z346&gt;=4,"A",IF('Data Source'!Z346&gt;=3.5,"A-",IF('Data Source'!Z346&gt;=3,"B",IF('Data Source'!Z346&gt;=2,"C",IF('Data Source'!Z346&gt;=1,"D","F")))))))</f>
        <v/>
      </c>
      <c r="I346" s="3">
        <f>IF('Data Source'!B346="","",IF('Data Source'!AA346&gt;=5,"A+",IF('Data Source'!AA346&gt;=4,"A",IF('Data Source'!AA346&gt;=3.5,"A-",IF('Data Source'!AA346&gt;=3,"B",IF('Data Source'!AA346&gt;=2,"C",IF('Data Source'!AA346&gt;=1,"D","F")))))))</f>
        <v/>
      </c>
      <c r="J346" s="3">
        <f>IF('Data Source'!B346="","",IF('Data Source'!AB346&gt;=5,"A+",IF('Data Source'!AB346&gt;=4,"A",IF('Data Source'!AB346&gt;=3.5,"A-",IF('Data Source'!AB346&gt;=3,"B",IF('Data Source'!AB346&gt;=2,"C",IF('Data Source'!AB346&gt;=1,"D","F")))))))</f>
        <v/>
      </c>
      <c r="K346" s="3">
        <f>IF('Data Source'!B346="","",IF('Data Source'!AC346&gt;=5,"A+",IF('Data Source'!AC346&gt;=4,"A",IF('Data Source'!AC346&gt;=3.5,"A-",IF('Data Source'!AC346&gt;=3,"B",IF('Data Source'!AC346&gt;=2,"C",IF('Data Source'!AC346&gt;=1,"D","F")))))))</f>
        <v/>
      </c>
      <c r="L346" s="3">
        <f>IF('Data Source'!B346="","",IF('Data Source'!AD346&gt;=5,"A+",IF('Data Source'!AD346&gt;=4,"A",IF('Data Source'!AD346&gt;=3.5,"A-",IF('Data Source'!AD346&gt;=3,"B",IF('Data Source'!AD346&gt;=2,"C",IF('Data Source'!AD346&gt;=1,"D","F")))))))</f>
        <v/>
      </c>
      <c r="M346" s="3">
        <f>IF('Data Source'!B346="","",IF('Data Source'!AE346&gt;=5,"A+",IF('Data Source'!AE346&gt;=4,"A",IF('Data Source'!AE346&gt;=3.5,"A-",IF('Data Source'!AE346&gt;=3,"B",IF('Data Source'!AE346&gt;=2,"C",IF('Data Source'!AE346&gt;=1,"D","F")))))))</f>
        <v/>
      </c>
      <c r="N346" s="3">
        <f>IF('Data Source'!B346="","",IF('Data Source'!AF346&gt;=5,"A+",IF('Data Source'!AF346&gt;=4,"A",IF('Data Source'!AF346&gt;=3.5,"A-",IF('Data Source'!AF346&gt;=3,"B",IF('Data Source'!AF346&gt;=2,"C",IF('Data Source'!AF346&gt;=1,"D","F")))))))</f>
        <v/>
      </c>
      <c r="O346" s="3">
        <f>IF('Data Source'!B346="","",IF('Data Source'!AG346&gt;=5,"A+",IF('Data Source'!AG346&gt;=4,"A",IF('Data Source'!AG346&gt;=3.5,"A-",IF('Data Source'!AG346&gt;=3,"B",IF('Data Source'!AG346&gt;=2,"C",IF('Data Source'!AG346&gt;=1,"D","F")))))))</f>
        <v/>
      </c>
      <c r="P346" s="5">
        <f>IF('Data Source'!B346="","",'Data Source'!R346)</f>
        <v/>
      </c>
      <c r="Q346" s="3">
        <f>IF('Data Source'!B346="","",'Data Source'!S346)</f>
        <v/>
      </c>
    </row>
    <row r="347">
      <c r="A347" s="3">
        <f>IF('Data Source'!B347="","",'Data Source'!A347)</f>
        <v/>
      </c>
      <c r="B347">
        <f>IF('Data Source'!B347="","",'Data Source'!B347)</f>
        <v/>
      </c>
      <c r="C347" s="3">
        <f>IF('Data Source'!B347="","",IF('Data Source'!U347&gt;=5,"A+",IF('Data Source'!U347&gt;=4,"A",IF('Data Source'!U347&gt;=3.5,"A-",IF('Data Source'!U347&gt;=3,"B",IF('Data Source'!U347&gt;=2,"C",IF('Data Source'!U347&gt;=1,"D","F")))))))</f>
        <v/>
      </c>
      <c r="D347" s="3">
        <f>IF('Data Source'!B347="","",IF('Data Source'!V347&gt;=5,"A+",IF('Data Source'!V347&gt;=4,"A",IF('Data Source'!V347&gt;=3.5,"A-",IF('Data Source'!V347&gt;=3,"B",IF('Data Source'!V347&gt;=2,"C",IF('Data Source'!V347&gt;=1,"D","F")))))))</f>
        <v/>
      </c>
      <c r="E347" s="3">
        <f>IF('Data Source'!B347="","",IF('Data Source'!W347&gt;=5,"A+",IF('Data Source'!W347&gt;=4,"A",IF('Data Source'!W347&gt;=3.5,"A-",IF('Data Source'!W347&gt;=3,"B",IF('Data Source'!W347&gt;=2,"C",IF('Data Source'!W347&gt;=1,"D","F")))))))</f>
        <v/>
      </c>
      <c r="F347" s="3">
        <f>IF('Data Source'!B347="","",IF('Data Source'!X347&gt;=5,"A+",IF('Data Source'!X347&gt;=4,"A",IF('Data Source'!X347&gt;=3.5,"A-",IF('Data Source'!X347&gt;=3,"B",IF('Data Source'!X347&gt;=2,"C",IF('Data Source'!X347&gt;=1,"D","F")))))))</f>
        <v/>
      </c>
      <c r="G347" s="3">
        <f>IF('Data Source'!B347="","",IF('Data Source'!Y347&gt;=5,"A+",IF('Data Source'!Y347&gt;=4,"A",IF('Data Source'!Y347&gt;=3.5,"A-",IF('Data Source'!Y347&gt;=3,"B",IF('Data Source'!Y347&gt;=2,"C",IF('Data Source'!Y347&gt;=1,"D","F")))))))</f>
        <v/>
      </c>
      <c r="H347" s="3">
        <f>IF('Data Source'!B347="","",IF('Data Source'!Z347&gt;=5,"A+",IF('Data Source'!Z347&gt;=4,"A",IF('Data Source'!Z347&gt;=3.5,"A-",IF('Data Source'!Z347&gt;=3,"B",IF('Data Source'!Z347&gt;=2,"C",IF('Data Source'!Z347&gt;=1,"D","F")))))))</f>
        <v/>
      </c>
      <c r="I347" s="3">
        <f>IF('Data Source'!B347="","",IF('Data Source'!AA347&gt;=5,"A+",IF('Data Source'!AA347&gt;=4,"A",IF('Data Source'!AA347&gt;=3.5,"A-",IF('Data Source'!AA347&gt;=3,"B",IF('Data Source'!AA347&gt;=2,"C",IF('Data Source'!AA347&gt;=1,"D","F")))))))</f>
        <v/>
      </c>
      <c r="J347" s="3">
        <f>IF('Data Source'!B347="","",IF('Data Source'!AB347&gt;=5,"A+",IF('Data Source'!AB347&gt;=4,"A",IF('Data Source'!AB347&gt;=3.5,"A-",IF('Data Source'!AB347&gt;=3,"B",IF('Data Source'!AB347&gt;=2,"C",IF('Data Source'!AB347&gt;=1,"D","F")))))))</f>
        <v/>
      </c>
      <c r="K347" s="3">
        <f>IF('Data Source'!B347="","",IF('Data Source'!AC347&gt;=5,"A+",IF('Data Source'!AC347&gt;=4,"A",IF('Data Source'!AC347&gt;=3.5,"A-",IF('Data Source'!AC347&gt;=3,"B",IF('Data Source'!AC347&gt;=2,"C",IF('Data Source'!AC347&gt;=1,"D","F")))))))</f>
        <v/>
      </c>
      <c r="L347" s="3">
        <f>IF('Data Source'!B347="","",IF('Data Source'!AD347&gt;=5,"A+",IF('Data Source'!AD347&gt;=4,"A",IF('Data Source'!AD347&gt;=3.5,"A-",IF('Data Source'!AD347&gt;=3,"B",IF('Data Source'!AD347&gt;=2,"C",IF('Data Source'!AD347&gt;=1,"D","F")))))))</f>
        <v/>
      </c>
      <c r="M347" s="3">
        <f>IF('Data Source'!B347="","",IF('Data Source'!AE347&gt;=5,"A+",IF('Data Source'!AE347&gt;=4,"A",IF('Data Source'!AE347&gt;=3.5,"A-",IF('Data Source'!AE347&gt;=3,"B",IF('Data Source'!AE347&gt;=2,"C",IF('Data Source'!AE347&gt;=1,"D","F")))))))</f>
        <v/>
      </c>
      <c r="N347" s="3">
        <f>IF('Data Source'!B347="","",IF('Data Source'!AF347&gt;=5,"A+",IF('Data Source'!AF347&gt;=4,"A",IF('Data Source'!AF347&gt;=3.5,"A-",IF('Data Source'!AF347&gt;=3,"B",IF('Data Source'!AF347&gt;=2,"C",IF('Data Source'!AF347&gt;=1,"D","F")))))))</f>
        <v/>
      </c>
      <c r="O347" s="3">
        <f>IF('Data Source'!B347="","",IF('Data Source'!AG347&gt;=5,"A+",IF('Data Source'!AG347&gt;=4,"A",IF('Data Source'!AG347&gt;=3.5,"A-",IF('Data Source'!AG347&gt;=3,"B",IF('Data Source'!AG347&gt;=2,"C",IF('Data Source'!AG347&gt;=1,"D","F")))))))</f>
        <v/>
      </c>
      <c r="P347" s="5">
        <f>IF('Data Source'!B347="","",'Data Source'!R347)</f>
        <v/>
      </c>
      <c r="Q347" s="3">
        <f>IF('Data Source'!B347="","",'Data Source'!S347)</f>
        <v/>
      </c>
    </row>
    <row r="348">
      <c r="A348" s="3">
        <f>IF('Data Source'!B348="","",'Data Source'!A348)</f>
        <v/>
      </c>
      <c r="B348">
        <f>IF('Data Source'!B348="","",'Data Source'!B348)</f>
        <v/>
      </c>
      <c r="C348" s="3">
        <f>IF('Data Source'!B348="","",IF('Data Source'!U348&gt;=5,"A+",IF('Data Source'!U348&gt;=4,"A",IF('Data Source'!U348&gt;=3.5,"A-",IF('Data Source'!U348&gt;=3,"B",IF('Data Source'!U348&gt;=2,"C",IF('Data Source'!U348&gt;=1,"D","F")))))))</f>
        <v/>
      </c>
      <c r="D348" s="3">
        <f>IF('Data Source'!B348="","",IF('Data Source'!V348&gt;=5,"A+",IF('Data Source'!V348&gt;=4,"A",IF('Data Source'!V348&gt;=3.5,"A-",IF('Data Source'!V348&gt;=3,"B",IF('Data Source'!V348&gt;=2,"C",IF('Data Source'!V348&gt;=1,"D","F")))))))</f>
        <v/>
      </c>
      <c r="E348" s="3">
        <f>IF('Data Source'!B348="","",IF('Data Source'!W348&gt;=5,"A+",IF('Data Source'!W348&gt;=4,"A",IF('Data Source'!W348&gt;=3.5,"A-",IF('Data Source'!W348&gt;=3,"B",IF('Data Source'!W348&gt;=2,"C",IF('Data Source'!W348&gt;=1,"D","F")))))))</f>
        <v/>
      </c>
      <c r="F348" s="3">
        <f>IF('Data Source'!B348="","",IF('Data Source'!X348&gt;=5,"A+",IF('Data Source'!X348&gt;=4,"A",IF('Data Source'!X348&gt;=3.5,"A-",IF('Data Source'!X348&gt;=3,"B",IF('Data Source'!X348&gt;=2,"C",IF('Data Source'!X348&gt;=1,"D","F")))))))</f>
        <v/>
      </c>
      <c r="G348" s="3">
        <f>IF('Data Source'!B348="","",IF('Data Source'!Y348&gt;=5,"A+",IF('Data Source'!Y348&gt;=4,"A",IF('Data Source'!Y348&gt;=3.5,"A-",IF('Data Source'!Y348&gt;=3,"B",IF('Data Source'!Y348&gt;=2,"C",IF('Data Source'!Y348&gt;=1,"D","F")))))))</f>
        <v/>
      </c>
      <c r="H348" s="3">
        <f>IF('Data Source'!B348="","",IF('Data Source'!Z348&gt;=5,"A+",IF('Data Source'!Z348&gt;=4,"A",IF('Data Source'!Z348&gt;=3.5,"A-",IF('Data Source'!Z348&gt;=3,"B",IF('Data Source'!Z348&gt;=2,"C",IF('Data Source'!Z348&gt;=1,"D","F")))))))</f>
        <v/>
      </c>
      <c r="I348" s="3">
        <f>IF('Data Source'!B348="","",IF('Data Source'!AA348&gt;=5,"A+",IF('Data Source'!AA348&gt;=4,"A",IF('Data Source'!AA348&gt;=3.5,"A-",IF('Data Source'!AA348&gt;=3,"B",IF('Data Source'!AA348&gt;=2,"C",IF('Data Source'!AA348&gt;=1,"D","F")))))))</f>
        <v/>
      </c>
      <c r="J348" s="3">
        <f>IF('Data Source'!B348="","",IF('Data Source'!AB348&gt;=5,"A+",IF('Data Source'!AB348&gt;=4,"A",IF('Data Source'!AB348&gt;=3.5,"A-",IF('Data Source'!AB348&gt;=3,"B",IF('Data Source'!AB348&gt;=2,"C",IF('Data Source'!AB348&gt;=1,"D","F")))))))</f>
        <v/>
      </c>
      <c r="K348" s="3">
        <f>IF('Data Source'!B348="","",IF('Data Source'!AC348&gt;=5,"A+",IF('Data Source'!AC348&gt;=4,"A",IF('Data Source'!AC348&gt;=3.5,"A-",IF('Data Source'!AC348&gt;=3,"B",IF('Data Source'!AC348&gt;=2,"C",IF('Data Source'!AC348&gt;=1,"D","F")))))))</f>
        <v/>
      </c>
      <c r="L348" s="3">
        <f>IF('Data Source'!B348="","",IF('Data Source'!AD348&gt;=5,"A+",IF('Data Source'!AD348&gt;=4,"A",IF('Data Source'!AD348&gt;=3.5,"A-",IF('Data Source'!AD348&gt;=3,"B",IF('Data Source'!AD348&gt;=2,"C",IF('Data Source'!AD348&gt;=1,"D","F")))))))</f>
        <v/>
      </c>
      <c r="M348" s="3">
        <f>IF('Data Source'!B348="","",IF('Data Source'!AE348&gt;=5,"A+",IF('Data Source'!AE348&gt;=4,"A",IF('Data Source'!AE348&gt;=3.5,"A-",IF('Data Source'!AE348&gt;=3,"B",IF('Data Source'!AE348&gt;=2,"C",IF('Data Source'!AE348&gt;=1,"D","F")))))))</f>
        <v/>
      </c>
      <c r="N348" s="3">
        <f>IF('Data Source'!B348="","",IF('Data Source'!AF348&gt;=5,"A+",IF('Data Source'!AF348&gt;=4,"A",IF('Data Source'!AF348&gt;=3.5,"A-",IF('Data Source'!AF348&gt;=3,"B",IF('Data Source'!AF348&gt;=2,"C",IF('Data Source'!AF348&gt;=1,"D","F")))))))</f>
        <v/>
      </c>
      <c r="O348" s="3">
        <f>IF('Data Source'!B348="","",IF('Data Source'!AG348&gt;=5,"A+",IF('Data Source'!AG348&gt;=4,"A",IF('Data Source'!AG348&gt;=3.5,"A-",IF('Data Source'!AG348&gt;=3,"B",IF('Data Source'!AG348&gt;=2,"C",IF('Data Source'!AG348&gt;=1,"D","F")))))))</f>
        <v/>
      </c>
      <c r="P348" s="5">
        <f>IF('Data Source'!B348="","",'Data Source'!R348)</f>
        <v/>
      </c>
      <c r="Q348" s="3">
        <f>IF('Data Source'!B348="","",'Data Source'!S348)</f>
        <v/>
      </c>
    </row>
    <row r="349">
      <c r="A349" s="3">
        <f>IF('Data Source'!B349="","",'Data Source'!A349)</f>
        <v/>
      </c>
      <c r="B349">
        <f>IF('Data Source'!B349="","",'Data Source'!B349)</f>
        <v/>
      </c>
      <c r="C349" s="3">
        <f>IF('Data Source'!B349="","",IF('Data Source'!U349&gt;=5,"A+",IF('Data Source'!U349&gt;=4,"A",IF('Data Source'!U349&gt;=3.5,"A-",IF('Data Source'!U349&gt;=3,"B",IF('Data Source'!U349&gt;=2,"C",IF('Data Source'!U349&gt;=1,"D","F")))))))</f>
        <v/>
      </c>
      <c r="D349" s="3">
        <f>IF('Data Source'!B349="","",IF('Data Source'!V349&gt;=5,"A+",IF('Data Source'!V349&gt;=4,"A",IF('Data Source'!V349&gt;=3.5,"A-",IF('Data Source'!V349&gt;=3,"B",IF('Data Source'!V349&gt;=2,"C",IF('Data Source'!V349&gt;=1,"D","F")))))))</f>
        <v/>
      </c>
      <c r="E349" s="3">
        <f>IF('Data Source'!B349="","",IF('Data Source'!W349&gt;=5,"A+",IF('Data Source'!W349&gt;=4,"A",IF('Data Source'!W349&gt;=3.5,"A-",IF('Data Source'!W349&gt;=3,"B",IF('Data Source'!W349&gt;=2,"C",IF('Data Source'!W349&gt;=1,"D","F")))))))</f>
        <v/>
      </c>
      <c r="F349" s="3">
        <f>IF('Data Source'!B349="","",IF('Data Source'!X349&gt;=5,"A+",IF('Data Source'!X349&gt;=4,"A",IF('Data Source'!X349&gt;=3.5,"A-",IF('Data Source'!X349&gt;=3,"B",IF('Data Source'!X349&gt;=2,"C",IF('Data Source'!X349&gt;=1,"D","F")))))))</f>
        <v/>
      </c>
      <c r="G349" s="3">
        <f>IF('Data Source'!B349="","",IF('Data Source'!Y349&gt;=5,"A+",IF('Data Source'!Y349&gt;=4,"A",IF('Data Source'!Y349&gt;=3.5,"A-",IF('Data Source'!Y349&gt;=3,"B",IF('Data Source'!Y349&gt;=2,"C",IF('Data Source'!Y349&gt;=1,"D","F")))))))</f>
        <v/>
      </c>
      <c r="H349" s="3">
        <f>IF('Data Source'!B349="","",IF('Data Source'!Z349&gt;=5,"A+",IF('Data Source'!Z349&gt;=4,"A",IF('Data Source'!Z349&gt;=3.5,"A-",IF('Data Source'!Z349&gt;=3,"B",IF('Data Source'!Z349&gt;=2,"C",IF('Data Source'!Z349&gt;=1,"D","F")))))))</f>
        <v/>
      </c>
      <c r="I349" s="3">
        <f>IF('Data Source'!B349="","",IF('Data Source'!AA349&gt;=5,"A+",IF('Data Source'!AA349&gt;=4,"A",IF('Data Source'!AA349&gt;=3.5,"A-",IF('Data Source'!AA349&gt;=3,"B",IF('Data Source'!AA349&gt;=2,"C",IF('Data Source'!AA349&gt;=1,"D","F")))))))</f>
        <v/>
      </c>
      <c r="J349" s="3">
        <f>IF('Data Source'!B349="","",IF('Data Source'!AB349&gt;=5,"A+",IF('Data Source'!AB349&gt;=4,"A",IF('Data Source'!AB349&gt;=3.5,"A-",IF('Data Source'!AB349&gt;=3,"B",IF('Data Source'!AB349&gt;=2,"C",IF('Data Source'!AB349&gt;=1,"D","F")))))))</f>
        <v/>
      </c>
      <c r="K349" s="3">
        <f>IF('Data Source'!B349="","",IF('Data Source'!AC349&gt;=5,"A+",IF('Data Source'!AC349&gt;=4,"A",IF('Data Source'!AC349&gt;=3.5,"A-",IF('Data Source'!AC349&gt;=3,"B",IF('Data Source'!AC349&gt;=2,"C",IF('Data Source'!AC349&gt;=1,"D","F")))))))</f>
        <v/>
      </c>
      <c r="L349" s="3">
        <f>IF('Data Source'!B349="","",IF('Data Source'!AD349&gt;=5,"A+",IF('Data Source'!AD349&gt;=4,"A",IF('Data Source'!AD349&gt;=3.5,"A-",IF('Data Source'!AD349&gt;=3,"B",IF('Data Source'!AD349&gt;=2,"C",IF('Data Source'!AD349&gt;=1,"D","F")))))))</f>
        <v/>
      </c>
      <c r="M349" s="3">
        <f>IF('Data Source'!B349="","",IF('Data Source'!AE349&gt;=5,"A+",IF('Data Source'!AE349&gt;=4,"A",IF('Data Source'!AE349&gt;=3.5,"A-",IF('Data Source'!AE349&gt;=3,"B",IF('Data Source'!AE349&gt;=2,"C",IF('Data Source'!AE349&gt;=1,"D","F")))))))</f>
        <v/>
      </c>
      <c r="N349" s="3">
        <f>IF('Data Source'!B349="","",IF('Data Source'!AF349&gt;=5,"A+",IF('Data Source'!AF349&gt;=4,"A",IF('Data Source'!AF349&gt;=3.5,"A-",IF('Data Source'!AF349&gt;=3,"B",IF('Data Source'!AF349&gt;=2,"C",IF('Data Source'!AF349&gt;=1,"D","F")))))))</f>
        <v/>
      </c>
      <c r="O349" s="3">
        <f>IF('Data Source'!B349="","",IF('Data Source'!AG349&gt;=5,"A+",IF('Data Source'!AG349&gt;=4,"A",IF('Data Source'!AG349&gt;=3.5,"A-",IF('Data Source'!AG349&gt;=3,"B",IF('Data Source'!AG349&gt;=2,"C",IF('Data Source'!AG349&gt;=1,"D","F")))))))</f>
        <v/>
      </c>
      <c r="P349" s="5">
        <f>IF('Data Source'!B349="","",'Data Source'!R349)</f>
        <v/>
      </c>
      <c r="Q349" s="3">
        <f>IF('Data Source'!B349="","",'Data Source'!S349)</f>
        <v/>
      </c>
    </row>
    <row r="350">
      <c r="A350" s="3">
        <f>IF('Data Source'!B350="","",'Data Source'!A350)</f>
        <v/>
      </c>
      <c r="B350">
        <f>IF('Data Source'!B350="","",'Data Source'!B350)</f>
        <v/>
      </c>
      <c r="C350" s="3">
        <f>IF('Data Source'!B350="","",IF('Data Source'!U350&gt;=5,"A+",IF('Data Source'!U350&gt;=4,"A",IF('Data Source'!U350&gt;=3.5,"A-",IF('Data Source'!U350&gt;=3,"B",IF('Data Source'!U350&gt;=2,"C",IF('Data Source'!U350&gt;=1,"D","F")))))))</f>
        <v/>
      </c>
      <c r="D350" s="3">
        <f>IF('Data Source'!B350="","",IF('Data Source'!V350&gt;=5,"A+",IF('Data Source'!V350&gt;=4,"A",IF('Data Source'!V350&gt;=3.5,"A-",IF('Data Source'!V350&gt;=3,"B",IF('Data Source'!V350&gt;=2,"C",IF('Data Source'!V350&gt;=1,"D","F")))))))</f>
        <v/>
      </c>
      <c r="E350" s="3">
        <f>IF('Data Source'!B350="","",IF('Data Source'!W350&gt;=5,"A+",IF('Data Source'!W350&gt;=4,"A",IF('Data Source'!W350&gt;=3.5,"A-",IF('Data Source'!W350&gt;=3,"B",IF('Data Source'!W350&gt;=2,"C",IF('Data Source'!W350&gt;=1,"D","F")))))))</f>
        <v/>
      </c>
      <c r="F350" s="3">
        <f>IF('Data Source'!B350="","",IF('Data Source'!X350&gt;=5,"A+",IF('Data Source'!X350&gt;=4,"A",IF('Data Source'!X350&gt;=3.5,"A-",IF('Data Source'!X350&gt;=3,"B",IF('Data Source'!X350&gt;=2,"C",IF('Data Source'!X350&gt;=1,"D","F")))))))</f>
        <v/>
      </c>
      <c r="G350" s="3">
        <f>IF('Data Source'!B350="","",IF('Data Source'!Y350&gt;=5,"A+",IF('Data Source'!Y350&gt;=4,"A",IF('Data Source'!Y350&gt;=3.5,"A-",IF('Data Source'!Y350&gt;=3,"B",IF('Data Source'!Y350&gt;=2,"C",IF('Data Source'!Y350&gt;=1,"D","F")))))))</f>
        <v/>
      </c>
      <c r="H350" s="3">
        <f>IF('Data Source'!B350="","",IF('Data Source'!Z350&gt;=5,"A+",IF('Data Source'!Z350&gt;=4,"A",IF('Data Source'!Z350&gt;=3.5,"A-",IF('Data Source'!Z350&gt;=3,"B",IF('Data Source'!Z350&gt;=2,"C",IF('Data Source'!Z350&gt;=1,"D","F")))))))</f>
        <v/>
      </c>
      <c r="I350" s="3">
        <f>IF('Data Source'!B350="","",IF('Data Source'!AA350&gt;=5,"A+",IF('Data Source'!AA350&gt;=4,"A",IF('Data Source'!AA350&gt;=3.5,"A-",IF('Data Source'!AA350&gt;=3,"B",IF('Data Source'!AA350&gt;=2,"C",IF('Data Source'!AA350&gt;=1,"D","F")))))))</f>
        <v/>
      </c>
      <c r="J350" s="3">
        <f>IF('Data Source'!B350="","",IF('Data Source'!AB350&gt;=5,"A+",IF('Data Source'!AB350&gt;=4,"A",IF('Data Source'!AB350&gt;=3.5,"A-",IF('Data Source'!AB350&gt;=3,"B",IF('Data Source'!AB350&gt;=2,"C",IF('Data Source'!AB350&gt;=1,"D","F")))))))</f>
        <v/>
      </c>
      <c r="K350" s="3">
        <f>IF('Data Source'!B350="","",IF('Data Source'!AC350&gt;=5,"A+",IF('Data Source'!AC350&gt;=4,"A",IF('Data Source'!AC350&gt;=3.5,"A-",IF('Data Source'!AC350&gt;=3,"B",IF('Data Source'!AC350&gt;=2,"C",IF('Data Source'!AC350&gt;=1,"D","F")))))))</f>
        <v/>
      </c>
      <c r="L350" s="3">
        <f>IF('Data Source'!B350="","",IF('Data Source'!AD350&gt;=5,"A+",IF('Data Source'!AD350&gt;=4,"A",IF('Data Source'!AD350&gt;=3.5,"A-",IF('Data Source'!AD350&gt;=3,"B",IF('Data Source'!AD350&gt;=2,"C",IF('Data Source'!AD350&gt;=1,"D","F")))))))</f>
        <v/>
      </c>
      <c r="M350" s="3">
        <f>IF('Data Source'!B350="","",IF('Data Source'!AE350&gt;=5,"A+",IF('Data Source'!AE350&gt;=4,"A",IF('Data Source'!AE350&gt;=3.5,"A-",IF('Data Source'!AE350&gt;=3,"B",IF('Data Source'!AE350&gt;=2,"C",IF('Data Source'!AE350&gt;=1,"D","F")))))))</f>
        <v/>
      </c>
      <c r="N350" s="3">
        <f>IF('Data Source'!B350="","",IF('Data Source'!AF350&gt;=5,"A+",IF('Data Source'!AF350&gt;=4,"A",IF('Data Source'!AF350&gt;=3.5,"A-",IF('Data Source'!AF350&gt;=3,"B",IF('Data Source'!AF350&gt;=2,"C",IF('Data Source'!AF350&gt;=1,"D","F")))))))</f>
        <v/>
      </c>
      <c r="O350" s="3">
        <f>IF('Data Source'!B350="","",IF('Data Source'!AG350&gt;=5,"A+",IF('Data Source'!AG350&gt;=4,"A",IF('Data Source'!AG350&gt;=3.5,"A-",IF('Data Source'!AG350&gt;=3,"B",IF('Data Source'!AG350&gt;=2,"C",IF('Data Source'!AG350&gt;=1,"D","F")))))))</f>
        <v/>
      </c>
      <c r="P350" s="5">
        <f>IF('Data Source'!B350="","",'Data Source'!R350)</f>
        <v/>
      </c>
      <c r="Q350" s="3">
        <f>IF('Data Source'!B350="","",'Data Source'!S350)</f>
        <v/>
      </c>
    </row>
    <row r="351">
      <c r="A351" s="3">
        <f>IF('Data Source'!B351="","",'Data Source'!A351)</f>
        <v/>
      </c>
      <c r="B351">
        <f>IF('Data Source'!B351="","",'Data Source'!B351)</f>
        <v/>
      </c>
      <c r="C351" s="3">
        <f>IF('Data Source'!B351="","",IF('Data Source'!U351&gt;=5,"A+",IF('Data Source'!U351&gt;=4,"A",IF('Data Source'!U351&gt;=3.5,"A-",IF('Data Source'!U351&gt;=3,"B",IF('Data Source'!U351&gt;=2,"C",IF('Data Source'!U351&gt;=1,"D","F")))))))</f>
        <v/>
      </c>
      <c r="D351" s="3">
        <f>IF('Data Source'!B351="","",IF('Data Source'!V351&gt;=5,"A+",IF('Data Source'!V351&gt;=4,"A",IF('Data Source'!V351&gt;=3.5,"A-",IF('Data Source'!V351&gt;=3,"B",IF('Data Source'!V351&gt;=2,"C",IF('Data Source'!V351&gt;=1,"D","F")))))))</f>
        <v/>
      </c>
      <c r="E351" s="3">
        <f>IF('Data Source'!B351="","",IF('Data Source'!W351&gt;=5,"A+",IF('Data Source'!W351&gt;=4,"A",IF('Data Source'!W351&gt;=3.5,"A-",IF('Data Source'!W351&gt;=3,"B",IF('Data Source'!W351&gt;=2,"C",IF('Data Source'!W351&gt;=1,"D","F")))))))</f>
        <v/>
      </c>
      <c r="F351" s="3">
        <f>IF('Data Source'!B351="","",IF('Data Source'!X351&gt;=5,"A+",IF('Data Source'!X351&gt;=4,"A",IF('Data Source'!X351&gt;=3.5,"A-",IF('Data Source'!X351&gt;=3,"B",IF('Data Source'!X351&gt;=2,"C",IF('Data Source'!X351&gt;=1,"D","F")))))))</f>
        <v/>
      </c>
      <c r="G351" s="3">
        <f>IF('Data Source'!B351="","",IF('Data Source'!Y351&gt;=5,"A+",IF('Data Source'!Y351&gt;=4,"A",IF('Data Source'!Y351&gt;=3.5,"A-",IF('Data Source'!Y351&gt;=3,"B",IF('Data Source'!Y351&gt;=2,"C",IF('Data Source'!Y351&gt;=1,"D","F")))))))</f>
        <v/>
      </c>
      <c r="H351" s="3">
        <f>IF('Data Source'!B351="","",IF('Data Source'!Z351&gt;=5,"A+",IF('Data Source'!Z351&gt;=4,"A",IF('Data Source'!Z351&gt;=3.5,"A-",IF('Data Source'!Z351&gt;=3,"B",IF('Data Source'!Z351&gt;=2,"C",IF('Data Source'!Z351&gt;=1,"D","F")))))))</f>
        <v/>
      </c>
      <c r="I351" s="3">
        <f>IF('Data Source'!B351="","",IF('Data Source'!AA351&gt;=5,"A+",IF('Data Source'!AA351&gt;=4,"A",IF('Data Source'!AA351&gt;=3.5,"A-",IF('Data Source'!AA351&gt;=3,"B",IF('Data Source'!AA351&gt;=2,"C",IF('Data Source'!AA351&gt;=1,"D","F")))))))</f>
        <v/>
      </c>
      <c r="J351" s="3">
        <f>IF('Data Source'!B351="","",IF('Data Source'!AB351&gt;=5,"A+",IF('Data Source'!AB351&gt;=4,"A",IF('Data Source'!AB351&gt;=3.5,"A-",IF('Data Source'!AB351&gt;=3,"B",IF('Data Source'!AB351&gt;=2,"C",IF('Data Source'!AB351&gt;=1,"D","F")))))))</f>
        <v/>
      </c>
      <c r="K351" s="3">
        <f>IF('Data Source'!B351="","",IF('Data Source'!AC351&gt;=5,"A+",IF('Data Source'!AC351&gt;=4,"A",IF('Data Source'!AC351&gt;=3.5,"A-",IF('Data Source'!AC351&gt;=3,"B",IF('Data Source'!AC351&gt;=2,"C",IF('Data Source'!AC351&gt;=1,"D","F")))))))</f>
        <v/>
      </c>
      <c r="L351" s="3">
        <f>IF('Data Source'!B351="","",IF('Data Source'!AD351&gt;=5,"A+",IF('Data Source'!AD351&gt;=4,"A",IF('Data Source'!AD351&gt;=3.5,"A-",IF('Data Source'!AD351&gt;=3,"B",IF('Data Source'!AD351&gt;=2,"C",IF('Data Source'!AD351&gt;=1,"D","F")))))))</f>
        <v/>
      </c>
      <c r="M351" s="3">
        <f>IF('Data Source'!B351="","",IF('Data Source'!AE351&gt;=5,"A+",IF('Data Source'!AE351&gt;=4,"A",IF('Data Source'!AE351&gt;=3.5,"A-",IF('Data Source'!AE351&gt;=3,"B",IF('Data Source'!AE351&gt;=2,"C",IF('Data Source'!AE351&gt;=1,"D","F")))))))</f>
        <v/>
      </c>
      <c r="N351" s="3">
        <f>IF('Data Source'!B351="","",IF('Data Source'!AF351&gt;=5,"A+",IF('Data Source'!AF351&gt;=4,"A",IF('Data Source'!AF351&gt;=3.5,"A-",IF('Data Source'!AF351&gt;=3,"B",IF('Data Source'!AF351&gt;=2,"C",IF('Data Source'!AF351&gt;=1,"D","F")))))))</f>
        <v/>
      </c>
      <c r="O351" s="3">
        <f>IF('Data Source'!B351="","",IF('Data Source'!AG351&gt;=5,"A+",IF('Data Source'!AG351&gt;=4,"A",IF('Data Source'!AG351&gt;=3.5,"A-",IF('Data Source'!AG351&gt;=3,"B",IF('Data Source'!AG351&gt;=2,"C",IF('Data Source'!AG351&gt;=1,"D","F")))))))</f>
        <v/>
      </c>
      <c r="P351" s="5">
        <f>IF('Data Source'!B351="","",'Data Source'!R351)</f>
        <v/>
      </c>
      <c r="Q351" s="3">
        <f>IF('Data Source'!B351="","",'Data Source'!S351)</f>
        <v/>
      </c>
    </row>
    <row r="352">
      <c r="A352" s="3">
        <f>IF('Data Source'!B352="","",'Data Source'!A352)</f>
        <v/>
      </c>
      <c r="B352">
        <f>IF('Data Source'!B352="","",'Data Source'!B352)</f>
        <v/>
      </c>
      <c r="C352" s="3">
        <f>IF('Data Source'!B352="","",IF('Data Source'!U352&gt;=5,"A+",IF('Data Source'!U352&gt;=4,"A",IF('Data Source'!U352&gt;=3.5,"A-",IF('Data Source'!U352&gt;=3,"B",IF('Data Source'!U352&gt;=2,"C",IF('Data Source'!U352&gt;=1,"D","F")))))))</f>
        <v/>
      </c>
      <c r="D352" s="3">
        <f>IF('Data Source'!B352="","",IF('Data Source'!V352&gt;=5,"A+",IF('Data Source'!V352&gt;=4,"A",IF('Data Source'!V352&gt;=3.5,"A-",IF('Data Source'!V352&gt;=3,"B",IF('Data Source'!V352&gt;=2,"C",IF('Data Source'!V352&gt;=1,"D","F")))))))</f>
        <v/>
      </c>
      <c r="E352" s="3">
        <f>IF('Data Source'!B352="","",IF('Data Source'!W352&gt;=5,"A+",IF('Data Source'!W352&gt;=4,"A",IF('Data Source'!W352&gt;=3.5,"A-",IF('Data Source'!W352&gt;=3,"B",IF('Data Source'!W352&gt;=2,"C",IF('Data Source'!W352&gt;=1,"D","F")))))))</f>
        <v/>
      </c>
      <c r="F352" s="3">
        <f>IF('Data Source'!B352="","",IF('Data Source'!X352&gt;=5,"A+",IF('Data Source'!X352&gt;=4,"A",IF('Data Source'!X352&gt;=3.5,"A-",IF('Data Source'!X352&gt;=3,"B",IF('Data Source'!X352&gt;=2,"C",IF('Data Source'!X352&gt;=1,"D","F")))))))</f>
        <v/>
      </c>
      <c r="G352" s="3">
        <f>IF('Data Source'!B352="","",IF('Data Source'!Y352&gt;=5,"A+",IF('Data Source'!Y352&gt;=4,"A",IF('Data Source'!Y352&gt;=3.5,"A-",IF('Data Source'!Y352&gt;=3,"B",IF('Data Source'!Y352&gt;=2,"C",IF('Data Source'!Y352&gt;=1,"D","F")))))))</f>
        <v/>
      </c>
      <c r="H352" s="3">
        <f>IF('Data Source'!B352="","",IF('Data Source'!Z352&gt;=5,"A+",IF('Data Source'!Z352&gt;=4,"A",IF('Data Source'!Z352&gt;=3.5,"A-",IF('Data Source'!Z352&gt;=3,"B",IF('Data Source'!Z352&gt;=2,"C",IF('Data Source'!Z352&gt;=1,"D","F")))))))</f>
        <v/>
      </c>
      <c r="I352" s="3">
        <f>IF('Data Source'!B352="","",IF('Data Source'!AA352&gt;=5,"A+",IF('Data Source'!AA352&gt;=4,"A",IF('Data Source'!AA352&gt;=3.5,"A-",IF('Data Source'!AA352&gt;=3,"B",IF('Data Source'!AA352&gt;=2,"C",IF('Data Source'!AA352&gt;=1,"D","F")))))))</f>
        <v/>
      </c>
      <c r="J352" s="3">
        <f>IF('Data Source'!B352="","",IF('Data Source'!AB352&gt;=5,"A+",IF('Data Source'!AB352&gt;=4,"A",IF('Data Source'!AB352&gt;=3.5,"A-",IF('Data Source'!AB352&gt;=3,"B",IF('Data Source'!AB352&gt;=2,"C",IF('Data Source'!AB352&gt;=1,"D","F")))))))</f>
        <v/>
      </c>
      <c r="K352" s="3">
        <f>IF('Data Source'!B352="","",IF('Data Source'!AC352&gt;=5,"A+",IF('Data Source'!AC352&gt;=4,"A",IF('Data Source'!AC352&gt;=3.5,"A-",IF('Data Source'!AC352&gt;=3,"B",IF('Data Source'!AC352&gt;=2,"C",IF('Data Source'!AC352&gt;=1,"D","F")))))))</f>
        <v/>
      </c>
      <c r="L352" s="3">
        <f>IF('Data Source'!B352="","",IF('Data Source'!AD352&gt;=5,"A+",IF('Data Source'!AD352&gt;=4,"A",IF('Data Source'!AD352&gt;=3.5,"A-",IF('Data Source'!AD352&gt;=3,"B",IF('Data Source'!AD352&gt;=2,"C",IF('Data Source'!AD352&gt;=1,"D","F")))))))</f>
        <v/>
      </c>
      <c r="M352" s="3">
        <f>IF('Data Source'!B352="","",IF('Data Source'!AE352&gt;=5,"A+",IF('Data Source'!AE352&gt;=4,"A",IF('Data Source'!AE352&gt;=3.5,"A-",IF('Data Source'!AE352&gt;=3,"B",IF('Data Source'!AE352&gt;=2,"C",IF('Data Source'!AE352&gt;=1,"D","F")))))))</f>
        <v/>
      </c>
      <c r="N352" s="3">
        <f>IF('Data Source'!B352="","",IF('Data Source'!AF352&gt;=5,"A+",IF('Data Source'!AF352&gt;=4,"A",IF('Data Source'!AF352&gt;=3.5,"A-",IF('Data Source'!AF352&gt;=3,"B",IF('Data Source'!AF352&gt;=2,"C",IF('Data Source'!AF352&gt;=1,"D","F")))))))</f>
        <v/>
      </c>
      <c r="O352" s="3">
        <f>IF('Data Source'!B352="","",IF('Data Source'!AG352&gt;=5,"A+",IF('Data Source'!AG352&gt;=4,"A",IF('Data Source'!AG352&gt;=3.5,"A-",IF('Data Source'!AG352&gt;=3,"B",IF('Data Source'!AG352&gt;=2,"C",IF('Data Source'!AG352&gt;=1,"D","F")))))))</f>
        <v/>
      </c>
      <c r="P352" s="5">
        <f>IF('Data Source'!B352="","",'Data Source'!R352)</f>
        <v/>
      </c>
      <c r="Q352" s="3">
        <f>IF('Data Source'!B352="","",'Data Source'!S352)</f>
        <v/>
      </c>
    </row>
    <row r="353">
      <c r="A353" s="3">
        <f>IF('Data Source'!B353="","",'Data Source'!A353)</f>
        <v/>
      </c>
      <c r="B353">
        <f>IF('Data Source'!B353="","",'Data Source'!B353)</f>
        <v/>
      </c>
      <c r="C353" s="3">
        <f>IF('Data Source'!B353="","",IF('Data Source'!U353&gt;=5,"A+",IF('Data Source'!U353&gt;=4,"A",IF('Data Source'!U353&gt;=3.5,"A-",IF('Data Source'!U353&gt;=3,"B",IF('Data Source'!U353&gt;=2,"C",IF('Data Source'!U353&gt;=1,"D","F")))))))</f>
        <v/>
      </c>
      <c r="D353" s="3">
        <f>IF('Data Source'!B353="","",IF('Data Source'!V353&gt;=5,"A+",IF('Data Source'!V353&gt;=4,"A",IF('Data Source'!V353&gt;=3.5,"A-",IF('Data Source'!V353&gt;=3,"B",IF('Data Source'!V353&gt;=2,"C",IF('Data Source'!V353&gt;=1,"D","F")))))))</f>
        <v/>
      </c>
      <c r="E353" s="3">
        <f>IF('Data Source'!B353="","",IF('Data Source'!W353&gt;=5,"A+",IF('Data Source'!W353&gt;=4,"A",IF('Data Source'!W353&gt;=3.5,"A-",IF('Data Source'!W353&gt;=3,"B",IF('Data Source'!W353&gt;=2,"C",IF('Data Source'!W353&gt;=1,"D","F")))))))</f>
        <v/>
      </c>
      <c r="F353" s="3">
        <f>IF('Data Source'!B353="","",IF('Data Source'!X353&gt;=5,"A+",IF('Data Source'!X353&gt;=4,"A",IF('Data Source'!X353&gt;=3.5,"A-",IF('Data Source'!X353&gt;=3,"B",IF('Data Source'!X353&gt;=2,"C",IF('Data Source'!X353&gt;=1,"D","F")))))))</f>
        <v/>
      </c>
      <c r="G353" s="3">
        <f>IF('Data Source'!B353="","",IF('Data Source'!Y353&gt;=5,"A+",IF('Data Source'!Y353&gt;=4,"A",IF('Data Source'!Y353&gt;=3.5,"A-",IF('Data Source'!Y353&gt;=3,"B",IF('Data Source'!Y353&gt;=2,"C",IF('Data Source'!Y353&gt;=1,"D","F")))))))</f>
        <v/>
      </c>
      <c r="H353" s="3">
        <f>IF('Data Source'!B353="","",IF('Data Source'!Z353&gt;=5,"A+",IF('Data Source'!Z353&gt;=4,"A",IF('Data Source'!Z353&gt;=3.5,"A-",IF('Data Source'!Z353&gt;=3,"B",IF('Data Source'!Z353&gt;=2,"C",IF('Data Source'!Z353&gt;=1,"D","F")))))))</f>
        <v/>
      </c>
      <c r="I353" s="3">
        <f>IF('Data Source'!B353="","",IF('Data Source'!AA353&gt;=5,"A+",IF('Data Source'!AA353&gt;=4,"A",IF('Data Source'!AA353&gt;=3.5,"A-",IF('Data Source'!AA353&gt;=3,"B",IF('Data Source'!AA353&gt;=2,"C",IF('Data Source'!AA353&gt;=1,"D","F")))))))</f>
        <v/>
      </c>
      <c r="J353" s="3">
        <f>IF('Data Source'!B353="","",IF('Data Source'!AB353&gt;=5,"A+",IF('Data Source'!AB353&gt;=4,"A",IF('Data Source'!AB353&gt;=3.5,"A-",IF('Data Source'!AB353&gt;=3,"B",IF('Data Source'!AB353&gt;=2,"C",IF('Data Source'!AB353&gt;=1,"D","F")))))))</f>
        <v/>
      </c>
      <c r="K353" s="3">
        <f>IF('Data Source'!B353="","",IF('Data Source'!AC353&gt;=5,"A+",IF('Data Source'!AC353&gt;=4,"A",IF('Data Source'!AC353&gt;=3.5,"A-",IF('Data Source'!AC353&gt;=3,"B",IF('Data Source'!AC353&gt;=2,"C",IF('Data Source'!AC353&gt;=1,"D","F")))))))</f>
        <v/>
      </c>
      <c r="L353" s="3">
        <f>IF('Data Source'!B353="","",IF('Data Source'!AD353&gt;=5,"A+",IF('Data Source'!AD353&gt;=4,"A",IF('Data Source'!AD353&gt;=3.5,"A-",IF('Data Source'!AD353&gt;=3,"B",IF('Data Source'!AD353&gt;=2,"C",IF('Data Source'!AD353&gt;=1,"D","F")))))))</f>
        <v/>
      </c>
      <c r="M353" s="3">
        <f>IF('Data Source'!B353="","",IF('Data Source'!AE353&gt;=5,"A+",IF('Data Source'!AE353&gt;=4,"A",IF('Data Source'!AE353&gt;=3.5,"A-",IF('Data Source'!AE353&gt;=3,"B",IF('Data Source'!AE353&gt;=2,"C",IF('Data Source'!AE353&gt;=1,"D","F")))))))</f>
        <v/>
      </c>
      <c r="N353" s="3">
        <f>IF('Data Source'!B353="","",IF('Data Source'!AF353&gt;=5,"A+",IF('Data Source'!AF353&gt;=4,"A",IF('Data Source'!AF353&gt;=3.5,"A-",IF('Data Source'!AF353&gt;=3,"B",IF('Data Source'!AF353&gt;=2,"C",IF('Data Source'!AF353&gt;=1,"D","F")))))))</f>
        <v/>
      </c>
      <c r="O353" s="3">
        <f>IF('Data Source'!B353="","",IF('Data Source'!AG353&gt;=5,"A+",IF('Data Source'!AG353&gt;=4,"A",IF('Data Source'!AG353&gt;=3.5,"A-",IF('Data Source'!AG353&gt;=3,"B",IF('Data Source'!AG353&gt;=2,"C",IF('Data Source'!AG353&gt;=1,"D","F")))))))</f>
        <v/>
      </c>
      <c r="P353" s="5">
        <f>IF('Data Source'!B353="","",'Data Source'!R353)</f>
        <v/>
      </c>
      <c r="Q353" s="3">
        <f>IF('Data Source'!B353="","",'Data Source'!S353)</f>
        <v/>
      </c>
    </row>
    <row r="354">
      <c r="A354" s="3">
        <f>IF('Data Source'!B354="","",'Data Source'!A354)</f>
        <v/>
      </c>
      <c r="B354">
        <f>IF('Data Source'!B354="","",'Data Source'!B354)</f>
        <v/>
      </c>
      <c r="C354" s="3">
        <f>IF('Data Source'!B354="","",IF('Data Source'!U354&gt;=5,"A+",IF('Data Source'!U354&gt;=4,"A",IF('Data Source'!U354&gt;=3.5,"A-",IF('Data Source'!U354&gt;=3,"B",IF('Data Source'!U354&gt;=2,"C",IF('Data Source'!U354&gt;=1,"D","F")))))))</f>
        <v/>
      </c>
      <c r="D354" s="3">
        <f>IF('Data Source'!B354="","",IF('Data Source'!V354&gt;=5,"A+",IF('Data Source'!V354&gt;=4,"A",IF('Data Source'!V354&gt;=3.5,"A-",IF('Data Source'!V354&gt;=3,"B",IF('Data Source'!V354&gt;=2,"C",IF('Data Source'!V354&gt;=1,"D","F")))))))</f>
        <v/>
      </c>
      <c r="E354" s="3">
        <f>IF('Data Source'!B354="","",IF('Data Source'!W354&gt;=5,"A+",IF('Data Source'!W354&gt;=4,"A",IF('Data Source'!W354&gt;=3.5,"A-",IF('Data Source'!W354&gt;=3,"B",IF('Data Source'!W354&gt;=2,"C",IF('Data Source'!W354&gt;=1,"D","F")))))))</f>
        <v/>
      </c>
      <c r="F354" s="3">
        <f>IF('Data Source'!B354="","",IF('Data Source'!X354&gt;=5,"A+",IF('Data Source'!X354&gt;=4,"A",IF('Data Source'!X354&gt;=3.5,"A-",IF('Data Source'!X354&gt;=3,"B",IF('Data Source'!X354&gt;=2,"C",IF('Data Source'!X354&gt;=1,"D","F")))))))</f>
        <v/>
      </c>
      <c r="G354" s="3">
        <f>IF('Data Source'!B354="","",IF('Data Source'!Y354&gt;=5,"A+",IF('Data Source'!Y354&gt;=4,"A",IF('Data Source'!Y354&gt;=3.5,"A-",IF('Data Source'!Y354&gt;=3,"B",IF('Data Source'!Y354&gt;=2,"C",IF('Data Source'!Y354&gt;=1,"D","F")))))))</f>
        <v/>
      </c>
      <c r="H354" s="3">
        <f>IF('Data Source'!B354="","",IF('Data Source'!Z354&gt;=5,"A+",IF('Data Source'!Z354&gt;=4,"A",IF('Data Source'!Z354&gt;=3.5,"A-",IF('Data Source'!Z354&gt;=3,"B",IF('Data Source'!Z354&gt;=2,"C",IF('Data Source'!Z354&gt;=1,"D","F")))))))</f>
        <v/>
      </c>
      <c r="I354" s="3">
        <f>IF('Data Source'!B354="","",IF('Data Source'!AA354&gt;=5,"A+",IF('Data Source'!AA354&gt;=4,"A",IF('Data Source'!AA354&gt;=3.5,"A-",IF('Data Source'!AA354&gt;=3,"B",IF('Data Source'!AA354&gt;=2,"C",IF('Data Source'!AA354&gt;=1,"D","F")))))))</f>
        <v/>
      </c>
      <c r="J354" s="3">
        <f>IF('Data Source'!B354="","",IF('Data Source'!AB354&gt;=5,"A+",IF('Data Source'!AB354&gt;=4,"A",IF('Data Source'!AB354&gt;=3.5,"A-",IF('Data Source'!AB354&gt;=3,"B",IF('Data Source'!AB354&gt;=2,"C",IF('Data Source'!AB354&gt;=1,"D","F")))))))</f>
        <v/>
      </c>
      <c r="K354" s="3">
        <f>IF('Data Source'!B354="","",IF('Data Source'!AC354&gt;=5,"A+",IF('Data Source'!AC354&gt;=4,"A",IF('Data Source'!AC354&gt;=3.5,"A-",IF('Data Source'!AC354&gt;=3,"B",IF('Data Source'!AC354&gt;=2,"C",IF('Data Source'!AC354&gt;=1,"D","F")))))))</f>
        <v/>
      </c>
      <c r="L354" s="3">
        <f>IF('Data Source'!B354="","",IF('Data Source'!AD354&gt;=5,"A+",IF('Data Source'!AD354&gt;=4,"A",IF('Data Source'!AD354&gt;=3.5,"A-",IF('Data Source'!AD354&gt;=3,"B",IF('Data Source'!AD354&gt;=2,"C",IF('Data Source'!AD354&gt;=1,"D","F")))))))</f>
        <v/>
      </c>
      <c r="M354" s="3">
        <f>IF('Data Source'!B354="","",IF('Data Source'!AE354&gt;=5,"A+",IF('Data Source'!AE354&gt;=4,"A",IF('Data Source'!AE354&gt;=3.5,"A-",IF('Data Source'!AE354&gt;=3,"B",IF('Data Source'!AE354&gt;=2,"C",IF('Data Source'!AE354&gt;=1,"D","F")))))))</f>
        <v/>
      </c>
      <c r="N354" s="3">
        <f>IF('Data Source'!B354="","",IF('Data Source'!AF354&gt;=5,"A+",IF('Data Source'!AF354&gt;=4,"A",IF('Data Source'!AF354&gt;=3.5,"A-",IF('Data Source'!AF354&gt;=3,"B",IF('Data Source'!AF354&gt;=2,"C",IF('Data Source'!AF354&gt;=1,"D","F")))))))</f>
        <v/>
      </c>
      <c r="O354" s="3">
        <f>IF('Data Source'!B354="","",IF('Data Source'!AG354&gt;=5,"A+",IF('Data Source'!AG354&gt;=4,"A",IF('Data Source'!AG354&gt;=3.5,"A-",IF('Data Source'!AG354&gt;=3,"B",IF('Data Source'!AG354&gt;=2,"C",IF('Data Source'!AG354&gt;=1,"D","F")))))))</f>
        <v/>
      </c>
      <c r="P354" s="5">
        <f>IF('Data Source'!B354="","",'Data Source'!R354)</f>
        <v/>
      </c>
      <c r="Q354" s="3">
        <f>IF('Data Source'!B354="","",'Data Source'!S354)</f>
        <v/>
      </c>
    </row>
    <row r="355">
      <c r="A355" s="3">
        <f>IF('Data Source'!B355="","",'Data Source'!A355)</f>
        <v/>
      </c>
      <c r="B355">
        <f>IF('Data Source'!B355="","",'Data Source'!B355)</f>
        <v/>
      </c>
      <c r="C355" s="3">
        <f>IF('Data Source'!B355="","",IF('Data Source'!U355&gt;=5,"A+",IF('Data Source'!U355&gt;=4,"A",IF('Data Source'!U355&gt;=3.5,"A-",IF('Data Source'!U355&gt;=3,"B",IF('Data Source'!U355&gt;=2,"C",IF('Data Source'!U355&gt;=1,"D","F")))))))</f>
        <v/>
      </c>
      <c r="D355" s="3">
        <f>IF('Data Source'!B355="","",IF('Data Source'!V355&gt;=5,"A+",IF('Data Source'!V355&gt;=4,"A",IF('Data Source'!V355&gt;=3.5,"A-",IF('Data Source'!V355&gt;=3,"B",IF('Data Source'!V355&gt;=2,"C",IF('Data Source'!V355&gt;=1,"D","F")))))))</f>
        <v/>
      </c>
      <c r="E355" s="3">
        <f>IF('Data Source'!B355="","",IF('Data Source'!W355&gt;=5,"A+",IF('Data Source'!W355&gt;=4,"A",IF('Data Source'!W355&gt;=3.5,"A-",IF('Data Source'!W355&gt;=3,"B",IF('Data Source'!W355&gt;=2,"C",IF('Data Source'!W355&gt;=1,"D","F")))))))</f>
        <v/>
      </c>
      <c r="F355" s="3">
        <f>IF('Data Source'!B355="","",IF('Data Source'!X355&gt;=5,"A+",IF('Data Source'!X355&gt;=4,"A",IF('Data Source'!X355&gt;=3.5,"A-",IF('Data Source'!X355&gt;=3,"B",IF('Data Source'!X355&gt;=2,"C",IF('Data Source'!X355&gt;=1,"D","F")))))))</f>
        <v/>
      </c>
      <c r="G355" s="3">
        <f>IF('Data Source'!B355="","",IF('Data Source'!Y355&gt;=5,"A+",IF('Data Source'!Y355&gt;=4,"A",IF('Data Source'!Y355&gt;=3.5,"A-",IF('Data Source'!Y355&gt;=3,"B",IF('Data Source'!Y355&gt;=2,"C",IF('Data Source'!Y355&gt;=1,"D","F")))))))</f>
        <v/>
      </c>
      <c r="H355" s="3">
        <f>IF('Data Source'!B355="","",IF('Data Source'!Z355&gt;=5,"A+",IF('Data Source'!Z355&gt;=4,"A",IF('Data Source'!Z355&gt;=3.5,"A-",IF('Data Source'!Z355&gt;=3,"B",IF('Data Source'!Z355&gt;=2,"C",IF('Data Source'!Z355&gt;=1,"D","F")))))))</f>
        <v/>
      </c>
      <c r="I355" s="3">
        <f>IF('Data Source'!B355="","",IF('Data Source'!AA355&gt;=5,"A+",IF('Data Source'!AA355&gt;=4,"A",IF('Data Source'!AA355&gt;=3.5,"A-",IF('Data Source'!AA355&gt;=3,"B",IF('Data Source'!AA355&gt;=2,"C",IF('Data Source'!AA355&gt;=1,"D","F")))))))</f>
        <v/>
      </c>
      <c r="J355" s="3">
        <f>IF('Data Source'!B355="","",IF('Data Source'!AB355&gt;=5,"A+",IF('Data Source'!AB355&gt;=4,"A",IF('Data Source'!AB355&gt;=3.5,"A-",IF('Data Source'!AB355&gt;=3,"B",IF('Data Source'!AB355&gt;=2,"C",IF('Data Source'!AB355&gt;=1,"D","F")))))))</f>
        <v/>
      </c>
      <c r="K355" s="3">
        <f>IF('Data Source'!B355="","",IF('Data Source'!AC355&gt;=5,"A+",IF('Data Source'!AC355&gt;=4,"A",IF('Data Source'!AC355&gt;=3.5,"A-",IF('Data Source'!AC355&gt;=3,"B",IF('Data Source'!AC355&gt;=2,"C",IF('Data Source'!AC355&gt;=1,"D","F")))))))</f>
        <v/>
      </c>
      <c r="L355" s="3">
        <f>IF('Data Source'!B355="","",IF('Data Source'!AD355&gt;=5,"A+",IF('Data Source'!AD355&gt;=4,"A",IF('Data Source'!AD355&gt;=3.5,"A-",IF('Data Source'!AD355&gt;=3,"B",IF('Data Source'!AD355&gt;=2,"C",IF('Data Source'!AD355&gt;=1,"D","F")))))))</f>
        <v/>
      </c>
      <c r="M355" s="3">
        <f>IF('Data Source'!B355="","",IF('Data Source'!AE355&gt;=5,"A+",IF('Data Source'!AE355&gt;=4,"A",IF('Data Source'!AE355&gt;=3.5,"A-",IF('Data Source'!AE355&gt;=3,"B",IF('Data Source'!AE355&gt;=2,"C",IF('Data Source'!AE355&gt;=1,"D","F")))))))</f>
        <v/>
      </c>
      <c r="N355" s="3">
        <f>IF('Data Source'!B355="","",IF('Data Source'!AF355&gt;=5,"A+",IF('Data Source'!AF355&gt;=4,"A",IF('Data Source'!AF355&gt;=3.5,"A-",IF('Data Source'!AF355&gt;=3,"B",IF('Data Source'!AF355&gt;=2,"C",IF('Data Source'!AF355&gt;=1,"D","F")))))))</f>
        <v/>
      </c>
      <c r="O355" s="3">
        <f>IF('Data Source'!B355="","",IF('Data Source'!AG355&gt;=5,"A+",IF('Data Source'!AG355&gt;=4,"A",IF('Data Source'!AG355&gt;=3.5,"A-",IF('Data Source'!AG355&gt;=3,"B",IF('Data Source'!AG355&gt;=2,"C",IF('Data Source'!AG355&gt;=1,"D","F")))))))</f>
        <v/>
      </c>
      <c r="P355" s="5">
        <f>IF('Data Source'!B355="","",'Data Source'!R355)</f>
        <v/>
      </c>
      <c r="Q355" s="3">
        <f>IF('Data Source'!B355="","",'Data Source'!S355)</f>
        <v/>
      </c>
    </row>
    <row r="356">
      <c r="A356" s="3">
        <f>IF('Data Source'!B356="","",'Data Source'!A356)</f>
        <v/>
      </c>
      <c r="B356">
        <f>IF('Data Source'!B356="","",'Data Source'!B356)</f>
        <v/>
      </c>
      <c r="C356" s="3">
        <f>IF('Data Source'!B356="","",IF('Data Source'!U356&gt;=5,"A+",IF('Data Source'!U356&gt;=4,"A",IF('Data Source'!U356&gt;=3.5,"A-",IF('Data Source'!U356&gt;=3,"B",IF('Data Source'!U356&gt;=2,"C",IF('Data Source'!U356&gt;=1,"D","F")))))))</f>
        <v/>
      </c>
      <c r="D356" s="3">
        <f>IF('Data Source'!B356="","",IF('Data Source'!V356&gt;=5,"A+",IF('Data Source'!V356&gt;=4,"A",IF('Data Source'!V356&gt;=3.5,"A-",IF('Data Source'!V356&gt;=3,"B",IF('Data Source'!V356&gt;=2,"C",IF('Data Source'!V356&gt;=1,"D","F")))))))</f>
        <v/>
      </c>
      <c r="E356" s="3">
        <f>IF('Data Source'!B356="","",IF('Data Source'!W356&gt;=5,"A+",IF('Data Source'!W356&gt;=4,"A",IF('Data Source'!W356&gt;=3.5,"A-",IF('Data Source'!W356&gt;=3,"B",IF('Data Source'!W356&gt;=2,"C",IF('Data Source'!W356&gt;=1,"D","F")))))))</f>
        <v/>
      </c>
      <c r="F356" s="3">
        <f>IF('Data Source'!B356="","",IF('Data Source'!X356&gt;=5,"A+",IF('Data Source'!X356&gt;=4,"A",IF('Data Source'!X356&gt;=3.5,"A-",IF('Data Source'!X356&gt;=3,"B",IF('Data Source'!X356&gt;=2,"C",IF('Data Source'!X356&gt;=1,"D","F")))))))</f>
        <v/>
      </c>
      <c r="G356" s="3">
        <f>IF('Data Source'!B356="","",IF('Data Source'!Y356&gt;=5,"A+",IF('Data Source'!Y356&gt;=4,"A",IF('Data Source'!Y356&gt;=3.5,"A-",IF('Data Source'!Y356&gt;=3,"B",IF('Data Source'!Y356&gt;=2,"C",IF('Data Source'!Y356&gt;=1,"D","F")))))))</f>
        <v/>
      </c>
      <c r="H356" s="3">
        <f>IF('Data Source'!B356="","",IF('Data Source'!Z356&gt;=5,"A+",IF('Data Source'!Z356&gt;=4,"A",IF('Data Source'!Z356&gt;=3.5,"A-",IF('Data Source'!Z356&gt;=3,"B",IF('Data Source'!Z356&gt;=2,"C",IF('Data Source'!Z356&gt;=1,"D","F")))))))</f>
        <v/>
      </c>
      <c r="I356" s="3">
        <f>IF('Data Source'!B356="","",IF('Data Source'!AA356&gt;=5,"A+",IF('Data Source'!AA356&gt;=4,"A",IF('Data Source'!AA356&gt;=3.5,"A-",IF('Data Source'!AA356&gt;=3,"B",IF('Data Source'!AA356&gt;=2,"C",IF('Data Source'!AA356&gt;=1,"D","F")))))))</f>
        <v/>
      </c>
      <c r="J356" s="3">
        <f>IF('Data Source'!B356="","",IF('Data Source'!AB356&gt;=5,"A+",IF('Data Source'!AB356&gt;=4,"A",IF('Data Source'!AB356&gt;=3.5,"A-",IF('Data Source'!AB356&gt;=3,"B",IF('Data Source'!AB356&gt;=2,"C",IF('Data Source'!AB356&gt;=1,"D","F")))))))</f>
        <v/>
      </c>
      <c r="K356" s="3">
        <f>IF('Data Source'!B356="","",IF('Data Source'!AC356&gt;=5,"A+",IF('Data Source'!AC356&gt;=4,"A",IF('Data Source'!AC356&gt;=3.5,"A-",IF('Data Source'!AC356&gt;=3,"B",IF('Data Source'!AC356&gt;=2,"C",IF('Data Source'!AC356&gt;=1,"D","F")))))))</f>
        <v/>
      </c>
      <c r="L356" s="3">
        <f>IF('Data Source'!B356="","",IF('Data Source'!AD356&gt;=5,"A+",IF('Data Source'!AD356&gt;=4,"A",IF('Data Source'!AD356&gt;=3.5,"A-",IF('Data Source'!AD356&gt;=3,"B",IF('Data Source'!AD356&gt;=2,"C",IF('Data Source'!AD356&gt;=1,"D","F")))))))</f>
        <v/>
      </c>
      <c r="M356" s="3">
        <f>IF('Data Source'!B356="","",IF('Data Source'!AE356&gt;=5,"A+",IF('Data Source'!AE356&gt;=4,"A",IF('Data Source'!AE356&gt;=3.5,"A-",IF('Data Source'!AE356&gt;=3,"B",IF('Data Source'!AE356&gt;=2,"C",IF('Data Source'!AE356&gt;=1,"D","F")))))))</f>
        <v/>
      </c>
      <c r="N356" s="3">
        <f>IF('Data Source'!B356="","",IF('Data Source'!AF356&gt;=5,"A+",IF('Data Source'!AF356&gt;=4,"A",IF('Data Source'!AF356&gt;=3.5,"A-",IF('Data Source'!AF356&gt;=3,"B",IF('Data Source'!AF356&gt;=2,"C",IF('Data Source'!AF356&gt;=1,"D","F")))))))</f>
        <v/>
      </c>
      <c r="O356" s="3">
        <f>IF('Data Source'!B356="","",IF('Data Source'!AG356&gt;=5,"A+",IF('Data Source'!AG356&gt;=4,"A",IF('Data Source'!AG356&gt;=3.5,"A-",IF('Data Source'!AG356&gt;=3,"B",IF('Data Source'!AG356&gt;=2,"C",IF('Data Source'!AG356&gt;=1,"D","F")))))))</f>
        <v/>
      </c>
      <c r="P356" s="5">
        <f>IF('Data Source'!B356="","",'Data Source'!R356)</f>
        <v/>
      </c>
      <c r="Q356" s="3">
        <f>IF('Data Source'!B356="","",'Data Source'!S356)</f>
        <v/>
      </c>
    </row>
    <row r="357">
      <c r="A357" s="3">
        <f>IF('Data Source'!B357="","",'Data Source'!A357)</f>
        <v/>
      </c>
      <c r="B357">
        <f>IF('Data Source'!B357="","",'Data Source'!B357)</f>
        <v/>
      </c>
      <c r="C357" s="3">
        <f>IF('Data Source'!B357="","",IF('Data Source'!U357&gt;=5,"A+",IF('Data Source'!U357&gt;=4,"A",IF('Data Source'!U357&gt;=3.5,"A-",IF('Data Source'!U357&gt;=3,"B",IF('Data Source'!U357&gt;=2,"C",IF('Data Source'!U357&gt;=1,"D","F")))))))</f>
        <v/>
      </c>
      <c r="D357" s="3">
        <f>IF('Data Source'!B357="","",IF('Data Source'!V357&gt;=5,"A+",IF('Data Source'!V357&gt;=4,"A",IF('Data Source'!V357&gt;=3.5,"A-",IF('Data Source'!V357&gt;=3,"B",IF('Data Source'!V357&gt;=2,"C",IF('Data Source'!V357&gt;=1,"D","F")))))))</f>
        <v/>
      </c>
      <c r="E357" s="3">
        <f>IF('Data Source'!B357="","",IF('Data Source'!W357&gt;=5,"A+",IF('Data Source'!W357&gt;=4,"A",IF('Data Source'!W357&gt;=3.5,"A-",IF('Data Source'!W357&gt;=3,"B",IF('Data Source'!W357&gt;=2,"C",IF('Data Source'!W357&gt;=1,"D","F")))))))</f>
        <v/>
      </c>
      <c r="F357" s="3">
        <f>IF('Data Source'!B357="","",IF('Data Source'!X357&gt;=5,"A+",IF('Data Source'!X357&gt;=4,"A",IF('Data Source'!X357&gt;=3.5,"A-",IF('Data Source'!X357&gt;=3,"B",IF('Data Source'!X357&gt;=2,"C",IF('Data Source'!X357&gt;=1,"D","F")))))))</f>
        <v/>
      </c>
      <c r="G357" s="3">
        <f>IF('Data Source'!B357="","",IF('Data Source'!Y357&gt;=5,"A+",IF('Data Source'!Y357&gt;=4,"A",IF('Data Source'!Y357&gt;=3.5,"A-",IF('Data Source'!Y357&gt;=3,"B",IF('Data Source'!Y357&gt;=2,"C",IF('Data Source'!Y357&gt;=1,"D","F")))))))</f>
        <v/>
      </c>
      <c r="H357" s="3">
        <f>IF('Data Source'!B357="","",IF('Data Source'!Z357&gt;=5,"A+",IF('Data Source'!Z357&gt;=4,"A",IF('Data Source'!Z357&gt;=3.5,"A-",IF('Data Source'!Z357&gt;=3,"B",IF('Data Source'!Z357&gt;=2,"C",IF('Data Source'!Z357&gt;=1,"D","F")))))))</f>
        <v/>
      </c>
      <c r="I357" s="3">
        <f>IF('Data Source'!B357="","",IF('Data Source'!AA357&gt;=5,"A+",IF('Data Source'!AA357&gt;=4,"A",IF('Data Source'!AA357&gt;=3.5,"A-",IF('Data Source'!AA357&gt;=3,"B",IF('Data Source'!AA357&gt;=2,"C",IF('Data Source'!AA357&gt;=1,"D","F")))))))</f>
        <v/>
      </c>
      <c r="J357" s="3">
        <f>IF('Data Source'!B357="","",IF('Data Source'!AB357&gt;=5,"A+",IF('Data Source'!AB357&gt;=4,"A",IF('Data Source'!AB357&gt;=3.5,"A-",IF('Data Source'!AB357&gt;=3,"B",IF('Data Source'!AB357&gt;=2,"C",IF('Data Source'!AB357&gt;=1,"D","F")))))))</f>
        <v/>
      </c>
      <c r="K357" s="3">
        <f>IF('Data Source'!B357="","",IF('Data Source'!AC357&gt;=5,"A+",IF('Data Source'!AC357&gt;=4,"A",IF('Data Source'!AC357&gt;=3.5,"A-",IF('Data Source'!AC357&gt;=3,"B",IF('Data Source'!AC357&gt;=2,"C",IF('Data Source'!AC357&gt;=1,"D","F")))))))</f>
        <v/>
      </c>
      <c r="L357" s="3">
        <f>IF('Data Source'!B357="","",IF('Data Source'!AD357&gt;=5,"A+",IF('Data Source'!AD357&gt;=4,"A",IF('Data Source'!AD357&gt;=3.5,"A-",IF('Data Source'!AD357&gt;=3,"B",IF('Data Source'!AD357&gt;=2,"C",IF('Data Source'!AD357&gt;=1,"D","F")))))))</f>
        <v/>
      </c>
      <c r="M357" s="3">
        <f>IF('Data Source'!B357="","",IF('Data Source'!AE357&gt;=5,"A+",IF('Data Source'!AE357&gt;=4,"A",IF('Data Source'!AE357&gt;=3.5,"A-",IF('Data Source'!AE357&gt;=3,"B",IF('Data Source'!AE357&gt;=2,"C",IF('Data Source'!AE357&gt;=1,"D","F")))))))</f>
        <v/>
      </c>
      <c r="N357" s="3">
        <f>IF('Data Source'!B357="","",IF('Data Source'!AF357&gt;=5,"A+",IF('Data Source'!AF357&gt;=4,"A",IF('Data Source'!AF357&gt;=3.5,"A-",IF('Data Source'!AF357&gt;=3,"B",IF('Data Source'!AF357&gt;=2,"C",IF('Data Source'!AF357&gt;=1,"D","F")))))))</f>
        <v/>
      </c>
      <c r="O357" s="3">
        <f>IF('Data Source'!B357="","",IF('Data Source'!AG357&gt;=5,"A+",IF('Data Source'!AG357&gt;=4,"A",IF('Data Source'!AG357&gt;=3.5,"A-",IF('Data Source'!AG357&gt;=3,"B",IF('Data Source'!AG357&gt;=2,"C",IF('Data Source'!AG357&gt;=1,"D","F")))))))</f>
        <v/>
      </c>
      <c r="P357" s="5">
        <f>IF('Data Source'!B357="","",'Data Source'!R357)</f>
        <v/>
      </c>
      <c r="Q357" s="3">
        <f>IF('Data Source'!B357="","",'Data Source'!S357)</f>
        <v/>
      </c>
    </row>
    <row r="358">
      <c r="A358" s="3">
        <f>IF('Data Source'!B358="","",'Data Source'!A358)</f>
        <v/>
      </c>
      <c r="B358">
        <f>IF('Data Source'!B358="","",'Data Source'!B358)</f>
        <v/>
      </c>
      <c r="C358" s="3">
        <f>IF('Data Source'!B358="","",IF('Data Source'!U358&gt;=5,"A+",IF('Data Source'!U358&gt;=4,"A",IF('Data Source'!U358&gt;=3.5,"A-",IF('Data Source'!U358&gt;=3,"B",IF('Data Source'!U358&gt;=2,"C",IF('Data Source'!U358&gt;=1,"D","F")))))))</f>
        <v/>
      </c>
      <c r="D358" s="3">
        <f>IF('Data Source'!B358="","",IF('Data Source'!V358&gt;=5,"A+",IF('Data Source'!V358&gt;=4,"A",IF('Data Source'!V358&gt;=3.5,"A-",IF('Data Source'!V358&gt;=3,"B",IF('Data Source'!V358&gt;=2,"C",IF('Data Source'!V358&gt;=1,"D","F")))))))</f>
        <v/>
      </c>
      <c r="E358" s="3">
        <f>IF('Data Source'!B358="","",IF('Data Source'!W358&gt;=5,"A+",IF('Data Source'!W358&gt;=4,"A",IF('Data Source'!W358&gt;=3.5,"A-",IF('Data Source'!W358&gt;=3,"B",IF('Data Source'!W358&gt;=2,"C",IF('Data Source'!W358&gt;=1,"D","F")))))))</f>
        <v/>
      </c>
      <c r="F358" s="3">
        <f>IF('Data Source'!B358="","",IF('Data Source'!X358&gt;=5,"A+",IF('Data Source'!X358&gt;=4,"A",IF('Data Source'!X358&gt;=3.5,"A-",IF('Data Source'!X358&gt;=3,"B",IF('Data Source'!X358&gt;=2,"C",IF('Data Source'!X358&gt;=1,"D","F")))))))</f>
        <v/>
      </c>
      <c r="G358" s="3">
        <f>IF('Data Source'!B358="","",IF('Data Source'!Y358&gt;=5,"A+",IF('Data Source'!Y358&gt;=4,"A",IF('Data Source'!Y358&gt;=3.5,"A-",IF('Data Source'!Y358&gt;=3,"B",IF('Data Source'!Y358&gt;=2,"C",IF('Data Source'!Y358&gt;=1,"D","F")))))))</f>
        <v/>
      </c>
      <c r="H358" s="3">
        <f>IF('Data Source'!B358="","",IF('Data Source'!Z358&gt;=5,"A+",IF('Data Source'!Z358&gt;=4,"A",IF('Data Source'!Z358&gt;=3.5,"A-",IF('Data Source'!Z358&gt;=3,"B",IF('Data Source'!Z358&gt;=2,"C",IF('Data Source'!Z358&gt;=1,"D","F")))))))</f>
        <v/>
      </c>
      <c r="I358" s="3">
        <f>IF('Data Source'!B358="","",IF('Data Source'!AA358&gt;=5,"A+",IF('Data Source'!AA358&gt;=4,"A",IF('Data Source'!AA358&gt;=3.5,"A-",IF('Data Source'!AA358&gt;=3,"B",IF('Data Source'!AA358&gt;=2,"C",IF('Data Source'!AA358&gt;=1,"D","F")))))))</f>
        <v/>
      </c>
      <c r="J358" s="3">
        <f>IF('Data Source'!B358="","",IF('Data Source'!AB358&gt;=5,"A+",IF('Data Source'!AB358&gt;=4,"A",IF('Data Source'!AB358&gt;=3.5,"A-",IF('Data Source'!AB358&gt;=3,"B",IF('Data Source'!AB358&gt;=2,"C",IF('Data Source'!AB358&gt;=1,"D","F")))))))</f>
        <v/>
      </c>
      <c r="K358" s="3">
        <f>IF('Data Source'!B358="","",IF('Data Source'!AC358&gt;=5,"A+",IF('Data Source'!AC358&gt;=4,"A",IF('Data Source'!AC358&gt;=3.5,"A-",IF('Data Source'!AC358&gt;=3,"B",IF('Data Source'!AC358&gt;=2,"C",IF('Data Source'!AC358&gt;=1,"D","F")))))))</f>
        <v/>
      </c>
      <c r="L358" s="3">
        <f>IF('Data Source'!B358="","",IF('Data Source'!AD358&gt;=5,"A+",IF('Data Source'!AD358&gt;=4,"A",IF('Data Source'!AD358&gt;=3.5,"A-",IF('Data Source'!AD358&gt;=3,"B",IF('Data Source'!AD358&gt;=2,"C",IF('Data Source'!AD358&gt;=1,"D","F")))))))</f>
        <v/>
      </c>
      <c r="M358" s="3">
        <f>IF('Data Source'!B358="","",IF('Data Source'!AE358&gt;=5,"A+",IF('Data Source'!AE358&gt;=4,"A",IF('Data Source'!AE358&gt;=3.5,"A-",IF('Data Source'!AE358&gt;=3,"B",IF('Data Source'!AE358&gt;=2,"C",IF('Data Source'!AE358&gt;=1,"D","F")))))))</f>
        <v/>
      </c>
      <c r="N358" s="3">
        <f>IF('Data Source'!B358="","",IF('Data Source'!AF358&gt;=5,"A+",IF('Data Source'!AF358&gt;=4,"A",IF('Data Source'!AF358&gt;=3.5,"A-",IF('Data Source'!AF358&gt;=3,"B",IF('Data Source'!AF358&gt;=2,"C",IF('Data Source'!AF358&gt;=1,"D","F")))))))</f>
        <v/>
      </c>
      <c r="O358" s="3">
        <f>IF('Data Source'!B358="","",IF('Data Source'!AG358&gt;=5,"A+",IF('Data Source'!AG358&gt;=4,"A",IF('Data Source'!AG358&gt;=3.5,"A-",IF('Data Source'!AG358&gt;=3,"B",IF('Data Source'!AG358&gt;=2,"C",IF('Data Source'!AG358&gt;=1,"D","F")))))))</f>
        <v/>
      </c>
      <c r="P358" s="5">
        <f>IF('Data Source'!B358="","",'Data Source'!R358)</f>
        <v/>
      </c>
      <c r="Q358" s="3">
        <f>IF('Data Source'!B358="","",'Data Source'!S358)</f>
        <v/>
      </c>
    </row>
    <row r="359">
      <c r="A359" s="3">
        <f>IF('Data Source'!B359="","",'Data Source'!A359)</f>
        <v/>
      </c>
      <c r="B359">
        <f>IF('Data Source'!B359="","",'Data Source'!B359)</f>
        <v/>
      </c>
      <c r="C359" s="3">
        <f>IF('Data Source'!B359="","",IF('Data Source'!U359&gt;=5,"A+",IF('Data Source'!U359&gt;=4,"A",IF('Data Source'!U359&gt;=3.5,"A-",IF('Data Source'!U359&gt;=3,"B",IF('Data Source'!U359&gt;=2,"C",IF('Data Source'!U359&gt;=1,"D","F")))))))</f>
        <v/>
      </c>
      <c r="D359" s="3">
        <f>IF('Data Source'!B359="","",IF('Data Source'!V359&gt;=5,"A+",IF('Data Source'!V359&gt;=4,"A",IF('Data Source'!V359&gt;=3.5,"A-",IF('Data Source'!V359&gt;=3,"B",IF('Data Source'!V359&gt;=2,"C",IF('Data Source'!V359&gt;=1,"D","F")))))))</f>
        <v/>
      </c>
      <c r="E359" s="3">
        <f>IF('Data Source'!B359="","",IF('Data Source'!W359&gt;=5,"A+",IF('Data Source'!W359&gt;=4,"A",IF('Data Source'!W359&gt;=3.5,"A-",IF('Data Source'!W359&gt;=3,"B",IF('Data Source'!W359&gt;=2,"C",IF('Data Source'!W359&gt;=1,"D","F")))))))</f>
        <v/>
      </c>
      <c r="F359" s="3">
        <f>IF('Data Source'!B359="","",IF('Data Source'!X359&gt;=5,"A+",IF('Data Source'!X359&gt;=4,"A",IF('Data Source'!X359&gt;=3.5,"A-",IF('Data Source'!X359&gt;=3,"B",IF('Data Source'!X359&gt;=2,"C",IF('Data Source'!X359&gt;=1,"D","F")))))))</f>
        <v/>
      </c>
      <c r="G359" s="3">
        <f>IF('Data Source'!B359="","",IF('Data Source'!Y359&gt;=5,"A+",IF('Data Source'!Y359&gt;=4,"A",IF('Data Source'!Y359&gt;=3.5,"A-",IF('Data Source'!Y359&gt;=3,"B",IF('Data Source'!Y359&gt;=2,"C",IF('Data Source'!Y359&gt;=1,"D","F")))))))</f>
        <v/>
      </c>
      <c r="H359" s="3">
        <f>IF('Data Source'!B359="","",IF('Data Source'!Z359&gt;=5,"A+",IF('Data Source'!Z359&gt;=4,"A",IF('Data Source'!Z359&gt;=3.5,"A-",IF('Data Source'!Z359&gt;=3,"B",IF('Data Source'!Z359&gt;=2,"C",IF('Data Source'!Z359&gt;=1,"D","F")))))))</f>
        <v/>
      </c>
      <c r="I359" s="3">
        <f>IF('Data Source'!B359="","",IF('Data Source'!AA359&gt;=5,"A+",IF('Data Source'!AA359&gt;=4,"A",IF('Data Source'!AA359&gt;=3.5,"A-",IF('Data Source'!AA359&gt;=3,"B",IF('Data Source'!AA359&gt;=2,"C",IF('Data Source'!AA359&gt;=1,"D","F")))))))</f>
        <v/>
      </c>
      <c r="J359" s="3">
        <f>IF('Data Source'!B359="","",IF('Data Source'!AB359&gt;=5,"A+",IF('Data Source'!AB359&gt;=4,"A",IF('Data Source'!AB359&gt;=3.5,"A-",IF('Data Source'!AB359&gt;=3,"B",IF('Data Source'!AB359&gt;=2,"C",IF('Data Source'!AB359&gt;=1,"D","F")))))))</f>
        <v/>
      </c>
      <c r="K359" s="3">
        <f>IF('Data Source'!B359="","",IF('Data Source'!AC359&gt;=5,"A+",IF('Data Source'!AC359&gt;=4,"A",IF('Data Source'!AC359&gt;=3.5,"A-",IF('Data Source'!AC359&gt;=3,"B",IF('Data Source'!AC359&gt;=2,"C",IF('Data Source'!AC359&gt;=1,"D","F")))))))</f>
        <v/>
      </c>
      <c r="L359" s="3">
        <f>IF('Data Source'!B359="","",IF('Data Source'!AD359&gt;=5,"A+",IF('Data Source'!AD359&gt;=4,"A",IF('Data Source'!AD359&gt;=3.5,"A-",IF('Data Source'!AD359&gt;=3,"B",IF('Data Source'!AD359&gt;=2,"C",IF('Data Source'!AD359&gt;=1,"D","F")))))))</f>
        <v/>
      </c>
      <c r="M359" s="3">
        <f>IF('Data Source'!B359="","",IF('Data Source'!AE359&gt;=5,"A+",IF('Data Source'!AE359&gt;=4,"A",IF('Data Source'!AE359&gt;=3.5,"A-",IF('Data Source'!AE359&gt;=3,"B",IF('Data Source'!AE359&gt;=2,"C",IF('Data Source'!AE359&gt;=1,"D","F")))))))</f>
        <v/>
      </c>
      <c r="N359" s="3">
        <f>IF('Data Source'!B359="","",IF('Data Source'!AF359&gt;=5,"A+",IF('Data Source'!AF359&gt;=4,"A",IF('Data Source'!AF359&gt;=3.5,"A-",IF('Data Source'!AF359&gt;=3,"B",IF('Data Source'!AF359&gt;=2,"C",IF('Data Source'!AF359&gt;=1,"D","F")))))))</f>
        <v/>
      </c>
      <c r="O359" s="3">
        <f>IF('Data Source'!B359="","",IF('Data Source'!AG359&gt;=5,"A+",IF('Data Source'!AG359&gt;=4,"A",IF('Data Source'!AG359&gt;=3.5,"A-",IF('Data Source'!AG359&gt;=3,"B",IF('Data Source'!AG359&gt;=2,"C",IF('Data Source'!AG359&gt;=1,"D","F")))))))</f>
        <v/>
      </c>
      <c r="P359" s="5">
        <f>IF('Data Source'!B359="","",'Data Source'!R359)</f>
        <v/>
      </c>
      <c r="Q359" s="3">
        <f>IF('Data Source'!B359="","",'Data Source'!S359)</f>
        <v/>
      </c>
    </row>
    <row r="360">
      <c r="A360" s="3">
        <f>IF('Data Source'!B360="","",'Data Source'!A360)</f>
        <v/>
      </c>
      <c r="B360">
        <f>IF('Data Source'!B360="","",'Data Source'!B360)</f>
        <v/>
      </c>
      <c r="C360" s="3">
        <f>IF('Data Source'!B360="","",IF('Data Source'!U360&gt;=5,"A+",IF('Data Source'!U360&gt;=4,"A",IF('Data Source'!U360&gt;=3.5,"A-",IF('Data Source'!U360&gt;=3,"B",IF('Data Source'!U360&gt;=2,"C",IF('Data Source'!U360&gt;=1,"D","F")))))))</f>
        <v/>
      </c>
      <c r="D360" s="3">
        <f>IF('Data Source'!B360="","",IF('Data Source'!V360&gt;=5,"A+",IF('Data Source'!V360&gt;=4,"A",IF('Data Source'!V360&gt;=3.5,"A-",IF('Data Source'!V360&gt;=3,"B",IF('Data Source'!V360&gt;=2,"C",IF('Data Source'!V360&gt;=1,"D","F")))))))</f>
        <v/>
      </c>
      <c r="E360" s="3">
        <f>IF('Data Source'!B360="","",IF('Data Source'!W360&gt;=5,"A+",IF('Data Source'!W360&gt;=4,"A",IF('Data Source'!W360&gt;=3.5,"A-",IF('Data Source'!W360&gt;=3,"B",IF('Data Source'!W360&gt;=2,"C",IF('Data Source'!W360&gt;=1,"D","F")))))))</f>
        <v/>
      </c>
      <c r="F360" s="3">
        <f>IF('Data Source'!B360="","",IF('Data Source'!X360&gt;=5,"A+",IF('Data Source'!X360&gt;=4,"A",IF('Data Source'!X360&gt;=3.5,"A-",IF('Data Source'!X360&gt;=3,"B",IF('Data Source'!X360&gt;=2,"C",IF('Data Source'!X360&gt;=1,"D","F")))))))</f>
        <v/>
      </c>
      <c r="G360" s="3">
        <f>IF('Data Source'!B360="","",IF('Data Source'!Y360&gt;=5,"A+",IF('Data Source'!Y360&gt;=4,"A",IF('Data Source'!Y360&gt;=3.5,"A-",IF('Data Source'!Y360&gt;=3,"B",IF('Data Source'!Y360&gt;=2,"C",IF('Data Source'!Y360&gt;=1,"D","F")))))))</f>
        <v/>
      </c>
      <c r="H360" s="3">
        <f>IF('Data Source'!B360="","",IF('Data Source'!Z360&gt;=5,"A+",IF('Data Source'!Z360&gt;=4,"A",IF('Data Source'!Z360&gt;=3.5,"A-",IF('Data Source'!Z360&gt;=3,"B",IF('Data Source'!Z360&gt;=2,"C",IF('Data Source'!Z360&gt;=1,"D","F")))))))</f>
        <v/>
      </c>
      <c r="I360" s="3">
        <f>IF('Data Source'!B360="","",IF('Data Source'!AA360&gt;=5,"A+",IF('Data Source'!AA360&gt;=4,"A",IF('Data Source'!AA360&gt;=3.5,"A-",IF('Data Source'!AA360&gt;=3,"B",IF('Data Source'!AA360&gt;=2,"C",IF('Data Source'!AA360&gt;=1,"D","F")))))))</f>
        <v/>
      </c>
      <c r="J360" s="3">
        <f>IF('Data Source'!B360="","",IF('Data Source'!AB360&gt;=5,"A+",IF('Data Source'!AB360&gt;=4,"A",IF('Data Source'!AB360&gt;=3.5,"A-",IF('Data Source'!AB360&gt;=3,"B",IF('Data Source'!AB360&gt;=2,"C",IF('Data Source'!AB360&gt;=1,"D","F")))))))</f>
        <v/>
      </c>
      <c r="K360" s="3">
        <f>IF('Data Source'!B360="","",IF('Data Source'!AC360&gt;=5,"A+",IF('Data Source'!AC360&gt;=4,"A",IF('Data Source'!AC360&gt;=3.5,"A-",IF('Data Source'!AC360&gt;=3,"B",IF('Data Source'!AC360&gt;=2,"C",IF('Data Source'!AC360&gt;=1,"D","F")))))))</f>
        <v/>
      </c>
      <c r="L360" s="3">
        <f>IF('Data Source'!B360="","",IF('Data Source'!AD360&gt;=5,"A+",IF('Data Source'!AD360&gt;=4,"A",IF('Data Source'!AD360&gt;=3.5,"A-",IF('Data Source'!AD360&gt;=3,"B",IF('Data Source'!AD360&gt;=2,"C",IF('Data Source'!AD360&gt;=1,"D","F")))))))</f>
        <v/>
      </c>
      <c r="M360" s="3">
        <f>IF('Data Source'!B360="","",IF('Data Source'!AE360&gt;=5,"A+",IF('Data Source'!AE360&gt;=4,"A",IF('Data Source'!AE360&gt;=3.5,"A-",IF('Data Source'!AE360&gt;=3,"B",IF('Data Source'!AE360&gt;=2,"C",IF('Data Source'!AE360&gt;=1,"D","F")))))))</f>
        <v/>
      </c>
      <c r="N360" s="3">
        <f>IF('Data Source'!B360="","",IF('Data Source'!AF360&gt;=5,"A+",IF('Data Source'!AF360&gt;=4,"A",IF('Data Source'!AF360&gt;=3.5,"A-",IF('Data Source'!AF360&gt;=3,"B",IF('Data Source'!AF360&gt;=2,"C",IF('Data Source'!AF360&gt;=1,"D","F")))))))</f>
        <v/>
      </c>
      <c r="O360" s="3">
        <f>IF('Data Source'!B360="","",IF('Data Source'!AG360&gt;=5,"A+",IF('Data Source'!AG360&gt;=4,"A",IF('Data Source'!AG360&gt;=3.5,"A-",IF('Data Source'!AG360&gt;=3,"B",IF('Data Source'!AG360&gt;=2,"C",IF('Data Source'!AG360&gt;=1,"D","F")))))))</f>
        <v/>
      </c>
      <c r="P360" s="5">
        <f>IF('Data Source'!B360="","",'Data Source'!R360)</f>
        <v/>
      </c>
      <c r="Q360" s="3">
        <f>IF('Data Source'!B360="","",'Data Source'!S360)</f>
        <v/>
      </c>
    </row>
    <row r="361">
      <c r="A361" s="3">
        <f>IF('Data Source'!B361="","",'Data Source'!A361)</f>
        <v/>
      </c>
      <c r="B361">
        <f>IF('Data Source'!B361="","",'Data Source'!B361)</f>
        <v/>
      </c>
      <c r="C361" s="3">
        <f>IF('Data Source'!B361="","",IF('Data Source'!U361&gt;=5,"A+",IF('Data Source'!U361&gt;=4,"A",IF('Data Source'!U361&gt;=3.5,"A-",IF('Data Source'!U361&gt;=3,"B",IF('Data Source'!U361&gt;=2,"C",IF('Data Source'!U361&gt;=1,"D","F")))))))</f>
        <v/>
      </c>
      <c r="D361" s="3">
        <f>IF('Data Source'!B361="","",IF('Data Source'!V361&gt;=5,"A+",IF('Data Source'!V361&gt;=4,"A",IF('Data Source'!V361&gt;=3.5,"A-",IF('Data Source'!V361&gt;=3,"B",IF('Data Source'!V361&gt;=2,"C",IF('Data Source'!V361&gt;=1,"D","F")))))))</f>
        <v/>
      </c>
      <c r="E361" s="3">
        <f>IF('Data Source'!B361="","",IF('Data Source'!W361&gt;=5,"A+",IF('Data Source'!W361&gt;=4,"A",IF('Data Source'!W361&gt;=3.5,"A-",IF('Data Source'!W361&gt;=3,"B",IF('Data Source'!W361&gt;=2,"C",IF('Data Source'!W361&gt;=1,"D","F")))))))</f>
        <v/>
      </c>
      <c r="F361" s="3">
        <f>IF('Data Source'!B361="","",IF('Data Source'!X361&gt;=5,"A+",IF('Data Source'!X361&gt;=4,"A",IF('Data Source'!X361&gt;=3.5,"A-",IF('Data Source'!X361&gt;=3,"B",IF('Data Source'!X361&gt;=2,"C",IF('Data Source'!X361&gt;=1,"D","F")))))))</f>
        <v/>
      </c>
      <c r="G361" s="3">
        <f>IF('Data Source'!B361="","",IF('Data Source'!Y361&gt;=5,"A+",IF('Data Source'!Y361&gt;=4,"A",IF('Data Source'!Y361&gt;=3.5,"A-",IF('Data Source'!Y361&gt;=3,"B",IF('Data Source'!Y361&gt;=2,"C",IF('Data Source'!Y361&gt;=1,"D","F")))))))</f>
        <v/>
      </c>
      <c r="H361" s="3">
        <f>IF('Data Source'!B361="","",IF('Data Source'!Z361&gt;=5,"A+",IF('Data Source'!Z361&gt;=4,"A",IF('Data Source'!Z361&gt;=3.5,"A-",IF('Data Source'!Z361&gt;=3,"B",IF('Data Source'!Z361&gt;=2,"C",IF('Data Source'!Z361&gt;=1,"D","F")))))))</f>
        <v/>
      </c>
      <c r="I361" s="3">
        <f>IF('Data Source'!B361="","",IF('Data Source'!AA361&gt;=5,"A+",IF('Data Source'!AA361&gt;=4,"A",IF('Data Source'!AA361&gt;=3.5,"A-",IF('Data Source'!AA361&gt;=3,"B",IF('Data Source'!AA361&gt;=2,"C",IF('Data Source'!AA361&gt;=1,"D","F")))))))</f>
        <v/>
      </c>
      <c r="J361" s="3">
        <f>IF('Data Source'!B361="","",IF('Data Source'!AB361&gt;=5,"A+",IF('Data Source'!AB361&gt;=4,"A",IF('Data Source'!AB361&gt;=3.5,"A-",IF('Data Source'!AB361&gt;=3,"B",IF('Data Source'!AB361&gt;=2,"C",IF('Data Source'!AB361&gt;=1,"D","F")))))))</f>
        <v/>
      </c>
      <c r="K361" s="3">
        <f>IF('Data Source'!B361="","",IF('Data Source'!AC361&gt;=5,"A+",IF('Data Source'!AC361&gt;=4,"A",IF('Data Source'!AC361&gt;=3.5,"A-",IF('Data Source'!AC361&gt;=3,"B",IF('Data Source'!AC361&gt;=2,"C",IF('Data Source'!AC361&gt;=1,"D","F")))))))</f>
        <v/>
      </c>
      <c r="L361" s="3">
        <f>IF('Data Source'!B361="","",IF('Data Source'!AD361&gt;=5,"A+",IF('Data Source'!AD361&gt;=4,"A",IF('Data Source'!AD361&gt;=3.5,"A-",IF('Data Source'!AD361&gt;=3,"B",IF('Data Source'!AD361&gt;=2,"C",IF('Data Source'!AD361&gt;=1,"D","F")))))))</f>
        <v/>
      </c>
      <c r="M361" s="3">
        <f>IF('Data Source'!B361="","",IF('Data Source'!AE361&gt;=5,"A+",IF('Data Source'!AE361&gt;=4,"A",IF('Data Source'!AE361&gt;=3.5,"A-",IF('Data Source'!AE361&gt;=3,"B",IF('Data Source'!AE361&gt;=2,"C",IF('Data Source'!AE361&gt;=1,"D","F")))))))</f>
        <v/>
      </c>
      <c r="N361" s="3">
        <f>IF('Data Source'!B361="","",IF('Data Source'!AF361&gt;=5,"A+",IF('Data Source'!AF361&gt;=4,"A",IF('Data Source'!AF361&gt;=3.5,"A-",IF('Data Source'!AF361&gt;=3,"B",IF('Data Source'!AF361&gt;=2,"C",IF('Data Source'!AF361&gt;=1,"D","F")))))))</f>
        <v/>
      </c>
      <c r="O361" s="3">
        <f>IF('Data Source'!B361="","",IF('Data Source'!AG361&gt;=5,"A+",IF('Data Source'!AG361&gt;=4,"A",IF('Data Source'!AG361&gt;=3.5,"A-",IF('Data Source'!AG361&gt;=3,"B",IF('Data Source'!AG361&gt;=2,"C",IF('Data Source'!AG361&gt;=1,"D","F")))))))</f>
        <v/>
      </c>
      <c r="P361" s="5">
        <f>IF('Data Source'!B361="","",'Data Source'!R361)</f>
        <v/>
      </c>
      <c r="Q361" s="3">
        <f>IF('Data Source'!B361="","",'Data Source'!S361)</f>
        <v/>
      </c>
    </row>
    <row r="362">
      <c r="A362" s="3">
        <f>IF('Data Source'!B362="","",'Data Source'!A362)</f>
        <v/>
      </c>
      <c r="B362">
        <f>IF('Data Source'!B362="","",'Data Source'!B362)</f>
        <v/>
      </c>
      <c r="C362" s="3">
        <f>IF('Data Source'!B362="","",IF('Data Source'!U362&gt;=5,"A+",IF('Data Source'!U362&gt;=4,"A",IF('Data Source'!U362&gt;=3.5,"A-",IF('Data Source'!U362&gt;=3,"B",IF('Data Source'!U362&gt;=2,"C",IF('Data Source'!U362&gt;=1,"D","F")))))))</f>
        <v/>
      </c>
      <c r="D362" s="3">
        <f>IF('Data Source'!B362="","",IF('Data Source'!V362&gt;=5,"A+",IF('Data Source'!V362&gt;=4,"A",IF('Data Source'!V362&gt;=3.5,"A-",IF('Data Source'!V362&gt;=3,"B",IF('Data Source'!V362&gt;=2,"C",IF('Data Source'!V362&gt;=1,"D","F")))))))</f>
        <v/>
      </c>
      <c r="E362" s="3">
        <f>IF('Data Source'!B362="","",IF('Data Source'!W362&gt;=5,"A+",IF('Data Source'!W362&gt;=4,"A",IF('Data Source'!W362&gt;=3.5,"A-",IF('Data Source'!W362&gt;=3,"B",IF('Data Source'!W362&gt;=2,"C",IF('Data Source'!W362&gt;=1,"D","F")))))))</f>
        <v/>
      </c>
      <c r="F362" s="3">
        <f>IF('Data Source'!B362="","",IF('Data Source'!X362&gt;=5,"A+",IF('Data Source'!X362&gt;=4,"A",IF('Data Source'!X362&gt;=3.5,"A-",IF('Data Source'!X362&gt;=3,"B",IF('Data Source'!X362&gt;=2,"C",IF('Data Source'!X362&gt;=1,"D","F")))))))</f>
        <v/>
      </c>
      <c r="G362" s="3">
        <f>IF('Data Source'!B362="","",IF('Data Source'!Y362&gt;=5,"A+",IF('Data Source'!Y362&gt;=4,"A",IF('Data Source'!Y362&gt;=3.5,"A-",IF('Data Source'!Y362&gt;=3,"B",IF('Data Source'!Y362&gt;=2,"C",IF('Data Source'!Y362&gt;=1,"D","F")))))))</f>
        <v/>
      </c>
      <c r="H362" s="3">
        <f>IF('Data Source'!B362="","",IF('Data Source'!Z362&gt;=5,"A+",IF('Data Source'!Z362&gt;=4,"A",IF('Data Source'!Z362&gt;=3.5,"A-",IF('Data Source'!Z362&gt;=3,"B",IF('Data Source'!Z362&gt;=2,"C",IF('Data Source'!Z362&gt;=1,"D","F")))))))</f>
        <v/>
      </c>
      <c r="I362" s="3">
        <f>IF('Data Source'!B362="","",IF('Data Source'!AA362&gt;=5,"A+",IF('Data Source'!AA362&gt;=4,"A",IF('Data Source'!AA362&gt;=3.5,"A-",IF('Data Source'!AA362&gt;=3,"B",IF('Data Source'!AA362&gt;=2,"C",IF('Data Source'!AA362&gt;=1,"D","F")))))))</f>
        <v/>
      </c>
      <c r="J362" s="3">
        <f>IF('Data Source'!B362="","",IF('Data Source'!AB362&gt;=5,"A+",IF('Data Source'!AB362&gt;=4,"A",IF('Data Source'!AB362&gt;=3.5,"A-",IF('Data Source'!AB362&gt;=3,"B",IF('Data Source'!AB362&gt;=2,"C",IF('Data Source'!AB362&gt;=1,"D","F")))))))</f>
        <v/>
      </c>
      <c r="K362" s="3">
        <f>IF('Data Source'!B362="","",IF('Data Source'!AC362&gt;=5,"A+",IF('Data Source'!AC362&gt;=4,"A",IF('Data Source'!AC362&gt;=3.5,"A-",IF('Data Source'!AC362&gt;=3,"B",IF('Data Source'!AC362&gt;=2,"C",IF('Data Source'!AC362&gt;=1,"D","F")))))))</f>
        <v/>
      </c>
      <c r="L362" s="3">
        <f>IF('Data Source'!B362="","",IF('Data Source'!AD362&gt;=5,"A+",IF('Data Source'!AD362&gt;=4,"A",IF('Data Source'!AD362&gt;=3.5,"A-",IF('Data Source'!AD362&gt;=3,"B",IF('Data Source'!AD362&gt;=2,"C",IF('Data Source'!AD362&gt;=1,"D","F")))))))</f>
        <v/>
      </c>
      <c r="M362" s="3">
        <f>IF('Data Source'!B362="","",IF('Data Source'!AE362&gt;=5,"A+",IF('Data Source'!AE362&gt;=4,"A",IF('Data Source'!AE362&gt;=3.5,"A-",IF('Data Source'!AE362&gt;=3,"B",IF('Data Source'!AE362&gt;=2,"C",IF('Data Source'!AE362&gt;=1,"D","F")))))))</f>
        <v/>
      </c>
      <c r="N362" s="3">
        <f>IF('Data Source'!B362="","",IF('Data Source'!AF362&gt;=5,"A+",IF('Data Source'!AF362&gt;=4,"A",IF('Data Source'!AF362&gt;=3.5,"A-",IF('Data Source'!AF362&gt;=3,"B",IF('Data Source'!AF362&gt;=2,"C",IF('Data Source'!AF362&gt;=1,"D","F")))))))</f>
        <v/>
      </c>
      <c r="O362" s="3">
        <f>IF('Data Source'!B362="","",IF('Data Source'!AG362&gt;=5,"A+",IF('Data Source'!AG362&gt;=4,"A",IF('Data Source'!AG362&gt;=3.5,"A-",IF('Data Source'!AG362&gt;=3,"B",IF('Data Source'!AG362&gt;=2,"C",IF('Data Source'!AG362&gt;=1,"D","F")))))))</f>
        <v/>
      </c>
      <c r="P362" s="5">
        <f>IF('Data Source'!B362="","",'Data Source'!R362)</f>
        <v/>
      </c>
      <c r="Q362" s="3">
        <f>IF('Data Source'!B362="","",'Data Source'!S362)</f>
        <v/>
      </c>
    </row>
    <row r="363">
      <c r="A363" s="3">
        <f>IF('Data Source'!B363="","",'Data Source'!A363)</f>
        <v/>
      </c>
      <c r="B363">
        <f>IF('Data Source'!B363="","",'Data Source'!B363)</f>
        <v/>
      </c>
      <c r="C363" s="3">
        <f>IF('Data Source'!B363="","",IF('Data Source'!U363&gt;=5,"A+",IF('Data Source'!U363&gt;=4,"A",IF('Data Source'!U363&gt;=3.5,"A-",IF('Data Source'!U363&gt;=3,"B",IF('Data Source'!U363&gt;=2,"C",IF('Data Source'!U363&gt;=1,"D","F")))))))</f>
        <v/>
      </c>
      <c r="D363" s="3">
        <f>IF('Data Source'!B363="","",IF('Data Source'!V363&gt;=5,"A+",IF('Data Source'!V363&gt;=4,"A",IF('Data Source'!V363&gt;=3.5,"A-",IF('Data Source'!V363&gt;=3,"B",IF('Data Source'!V363&gt;=2,"C",IF('Data Source'!V363&gt;=1,"D","F")))))))</f>
        <v/>
      </c>
      <c r="E363" s="3">
        <f>IF('Data Source'!B363="","",IF('Data Source'!W363&gt;=5,"A+",IF('Data Source'!W363&gt;=4,"A",IF('Data Source'!W363&gt;=3.5,"A-",IF('Data Source'!W363&gt;=3,"B",IF('Data Source'!W363&gt;=2,"C",IF('Data Source'!W363&gt;=1,"D","F")))))))</f>
        <v/>
      </c>
      <c r="F363" s="3">
        <f>IF('Data Source'!B363="","",IF('Data Source'!X363&gt;=5,"A+",IF('Data Source'!X363&gt;=4,"A",IF('Data Source'!X363&gt;=3.5,"A-",IF('Data Source'!X363&gt;=3,"B",IF('Data Source'!X363&gt;=2,"C",IF('Data Source'!X363&gt;=1,"D","F")))))))</f>
        <v/>
      </c>
      <c r="G363" s="3">
        <f>IF('Data Source'!B363="","",IF('Data Source'!Y363&gt;=5,"A+",IF('Data Source'!Y363&gt;=4,"A",IF('Data Source'!Y363&gt;=3.5,"A-",IF('Data Source'!Y363&gt;=3,"B",IF('Data Source'!Y363&gt;=2,"C",IF('Data Source'!Y363&gt;=1,"D","F")))))))</f>
        <v/>
      </c>
      <c r="H363" s="3">
        <f>IF('Data Source'!B363="","",IF('Data Source'!Z363&gt;=5,"A+",IF('Data Source'!Z363&gt;=4,"A",IF('Data Source'!Z363&gt;=3.5,"A-",IF('Data Source'!Z363&gt;=3,"B",IF('Data Source'!Z363&gt;=2,"C",IF('Data Source'!Z363&gt;=1,"D","F")))))))</f>
        <v/>
      </c>
      <c r="I363" s="3">
        <f>IF('Data Source'!B363="","",IF('Data Source'!AA363&gt;=5,"A+",IF('Data Source'!AA363&gt;=4,"A",IF('Data Source'!AA363&gt;=3.5,"A-",IF('Data Source'!AA363&gt;=3,"B",IF('Data Source'!AA363&gt;=2,"C",IF('Data Source'!AA363&gt;=1,"D","F")))))))</f>
        <v/>
      </c>
      <c r="J363" s="3">
        <f>IF('Data Source'!B363="","",IF('Data Source'!AB363&gt;=5,"A+",IF('Data Source'!AB363&gt;=4,"A",IF('Data Source'!AB363&gt;=3.5,"A-",IF('Data Source'!AB363&gt;=3,"B",IF('Data Source'!AB363&gt;=2,"C",IF('Data Source'!AB363&gt;=1,"D","F")))))))</f>
        <v/>
      </c>
      <c r="K363" s="3">
        <f>IF('Data Source'!B363="","",IF('Data Source'!AC363&gt;=5,"A+",IF('Data Source'!AC363&gt;=4,"A",IF('Data Source'!AC363&gt;=3.5,"A-",IF('Data Source'!AC363&gt;=3,"B",IF('Data Source'!AC363&gt;=2,"C",IF('Data Source'!AC363&gt;=1,"D","F")))))))</f>
        <v/>
      </c>
      <c r="L363" s="3">
        <f>IF('Data Source'!B363="","",IF('Data Source'!AD363&gt;=5,"A+",IF('Data Source'!AD363&gt;=4,"A",IF('Data Source'!AD363&gt;=3.5,"A-",IF('Data Source'!AD363&gt;=3,"B",IF('Data Source'!AD363&gt;=2,"C",IF('Data Source'!AD363&gt;=1,"D","F")))))))</f>
        <v/>
      </c>
      <c r="M363" s="3">
        <f>IF('Data Source'!B363="","",IF('Data Source'!AE363&gt;=5,"A+",IF('Data Source'!AE363&gt;=4,"A",IF('Data Source'!AE363&gt;=3.5,"A-",IF('Data Source'!AE363&gt;=3,"B",IF('Data Source'!AE363&gt;=2,"C",IF('Data Source'!AE363&gt;=1,"D","F")))))))</f>
        <v/>
      </c>
      <c r="N363" s="3">
        <f>IF('Data Source'!B363="","",IF('Data Source'!AF363&gt;=5,"A+",IF('Data Source'!AF363&gt;=4,"A",IF('Data Source'!AF363&gt;=3.5,"A-",IF('Data Source'!AF363&gt;=3,"B",IF('Data Source'!AF363&gt;=2,"C",IF('Data Source'!AF363&gt;=1,"D","F")))))))</f>
        <v/>
      </c>
      <c r="O363" s="3">
        <f>IF('Data Source'!B363="","",IF('Data Source'!AG363&gt;=5,"A+",IF('Data Source'!AG363&gt;=4,"A",IF('Data Source'!AG363&gt;=3.5,"A-",IF('Data Source'!AG363&gt;=3,"B",IF('Data Source'!AG363&gt;=2,"C",IF('Data Source'!AG363&gt;=1,"D","F")))))))</f>
        <v/>
      </c>
      <c r="P363" s="5">
        <f>IF('Data Source'!B363="","",'Data Source'!R363)</f>
        <v/>
      </c>
      <c r="Q363" s="3">
        <f>IF('Data Source'!B363="","",'Data Source'!S363)</f>
        <v/>
      </c>
    </row>
    <row r="364">
      <c r="A364" s="3">
        <f>IF('Data Source'!B364="","",'Data Source'!A364)</f>
        <v/>
      </c>
      <c r="B364">
        <f>IF('Data Source'!B364="","",'Data Source'!B364)</f>
        <v/>
      </c>
      <c r="C364" s="3">
        <f>IF('Data Source'!B364="","",IF('Data Source'!U364&gt;=5,"A+",IF('Data Source'!U364&gt;=4,"A",IF('Data Source'!U364&gt;=3.5,"A-",IF('Data Source'!U364&gt;=3,"B",IF('Data Source'!U364&gt;=2,"C",IF('Data Source'!U364&gt;=1,"D","F")))))))</f>
        <v/>
      </c>
      <c r="D364" s="3">
        <f>IF('Data Source'!B364="","",IF('Data Source'!V364&gt;=5,"A+",IF('Data Source'!V364&gt;=4,"A",IF('Data Source'!V364&gt;=3.5,"A-",IF('Data Source'!V364&gt;=3,"B",IF('Data Source'!V364&gt;=2,"C",IF('Data Source'!V364&gt;=1,"D","F")))))))</f>
        <v/>
      </c>
      <c r="E364" s="3">
        <f>IF('Data Source'!B364="","",IF('Data Source'!W364&gt;=5,"A+",IF('Data Source'!W364&gt;=4,"A",IF('Data Source'!W364&gt;=3.5,"A-",IF('Data Source'!W364&gt;=3,"B",IF('Data Source'!W364&gt;=2,"C",IF('Data Source'!W364&gt;=1,"D","F")))))))</f>
        <v/>
      </c>
      <c r="F364" s="3">
        <f>IF('Data Source'!B364="","",IF('Data Source'!X364&gt;=5,"A+",IF('Data Source'!X364&gt;=4,"A",IF('Data Source'!X364&gt;=3.5,"A-",IF('Data Source'!X364&gt;=3,"B",IF('Data Source'!X364&gt;=2,"C",IF('Data Source'!X364&gt;=1,"D","F")))))))</f>
        <v/>
      </c>
      <c r="G364" s="3">
        <f>IF('Data Source'!B364="","",IF('Data Source'!Y364&gt;=5,"A+",IF('Data Source'!Y364&gt;=4,"A",IF('Data Source'!Y364&gt;=3.5,"A-",IF('Data Source'!Y364&gt;=3,"B",IF('Data Source'!Y364&gt;=2,"C",IF('Data Source'!Y364&gt;=1,"D","F")))))))</f>
        <v/>
      </c>
      <c r="H364" s="3">
        <f>IF('Data Source'!B364="","",IF('Data Source'!Z364&gt;=5,"A+",IF('Data Source'!Z364&gt;=4,"A",IF('Data Source'!Z364&gt;=3.5,"A-",IF('Data Source'!Z364&gt;=3,"B",IF('Data Source'!Z364&gt;=2,"C",IF('Data Source'!Z364&gt;=1,"D","F")))))))</f>
        <v/>
      </c>
      <c r="I364" s="3">
        <f>IF('Data Source'!B364="","",IF('Data Source'!AA364&gt;=5,"A+",IF('Data Source'!AA364&gt;=4,"A",IF('Data Source'!AA364&gt;=3.5,"A-",IF('Data Source'!AA364&gt;=3,"B",IF('Data Source'!AA364&gt;=2,"C",IF('Data Source'!AA364&gt;=1,"D","F")))))))</f>
        <v/>
      </c>
      <c r="J364" s="3">
        <f>IF('Data Source'!B364="","",IF('Data Source'!AB364&gt;=5,"A+",IF('Data Source'!AB364&gt;=4,"A",IF('Data Source'!AB364&gt;=3.5,"A-",IF('Data Source'!AB364&gt;=3,"B",IF('Data Source'!AB364&gt;=2,"C",IF('Data Source'!AB364&gt;=1,"D","F")))))))</f>
        <v/>
      </c>
      <c r="K364" s="3">
        <f>IF('Data Source'!B364="","",IF('Data Source'!AC364&gt;=5,"A+",IF('Data Source'!AC364&gt;=4,"A",IF('Data Source'!AC364&gt;=3.5,"A-",IF('Data Source'!AC364&gt;=3,"B",IF('Data Source'!AC364&gt;=2,"C",IF('Data Source'!AC364&gt;=1,"D","F")))))))</f>
        <v/>
      </c>
      <c r="L364" s="3">
        <f>IF('Data Source'!B364="","",IF('Data Source'!AD364&gt;=5,"A+",IF('Data Source'!AD364&gt;=4,"A",IF('Data Source'!AD364&gt;=3.5,"A-",IF('Data Source'!AD364&gt;=3,"B",IF('Data Source'!AD364&gt;=2,"C",IF('Data Source'!AD364&gt;=1,"D","F")))))))</f>
        <v/>
      </c>
      <c r="M364" s="3">
        <f>IF('Data Source'!B364="","",IF('Data Source'!AE364&gt;=5,"A+",IF('Data Source'!AE364&gt;=4,"A",IF('Data Source'!AE364&gt;=3.5,"A-",IF('Data Source'!AE364&gt;=3,"B",IF('Data Source'!AE364&gt;=2,"C",IF('Data Source'!AE364&gt;=1,"D","F")))))))</f>
        <v/>
      </c>
      <c r="N364" s="3">
        <f>IF('Data Source'!B364="","",IF('Data Source'!AF364&gt;=5,"A+",IF('Data Source'!AF364&gt;=4,"A",IF('Data Source'!AF364&gt;=3.5,"A-",IF('Data Source'!AF364&gt;=3,"B",IF('Data Source'!AF364&gt;=2,"C",IF('Data Source'!AF364&gt;=1,"D","F")))))))</f>
        <v/>
      </c>
      <c r="O364" s="3">
        <f>IF('Data Source'!B364="","",IF('Data Source'!AG364&gt;=5,"A+",IF('Data Source'!AG364&gt;=4,"A",IF('Data Source'!AG364&gt;=3.5,"A-",IF('Data Source'!AG364&gt;=3,"B",IF('Data Source'!AG364&gt;=2,"C",IF('Data Source'!AG364&gt;=1,"D","F")))))))</f>
        <v/>
      </c>
      <c r="P364" s="5">
        <f>IF('Data Source'!B364="","",'Data Source'!R364)</f>
        <v/>
      </c>
      <c r="Q364" s="3">
        <f>IF('Data Source'!B364="","",'Data Source'!S364)</f>
        <v/>
      </c>
    </row>
    <row r="365">
      <c r="A365" s="3">
        <f>IF('Data Source'!B365="","",'Data Source'!A365)</f>
        <v/>
      </c>
      <c r="B365">
        <f>IF('Data Source'!B365="","",'Data Source'!B365)</f>
        <v/>
      </c>
      <c r="C365" s="3">
        <f>IF('Data Source'!B365="","",IF('Data Source'!U365&gt;=5,"A+",IF('Data Source'!U365&gt;=4,"A",IF('Data Source'!U365&gt;=3.5,"A-",IF('Data Source'!U365&gt;=3,"B",IF('Data Source'!U365&gt;=2,"C",IF('Data Source'!U365&gt;=1,"D","F")))))))</f>
        <v/>
      </c>
      <c r="D365" s="3">
        <f>IF('Data Source'!B365="","",IF('Data Source'!V365&gt;=5,"A+",IF('Data Source'!V365&gt;=4,"A",IF('Data Source'!V365&gt;=3.5,"A-",IF('Data Source'!V365&gt;=3,"B",IF('Data Source'!V365&gt;=2,"C",IF('Data Source'!V365&gt;=1,"D","F")))))))</f>
        <v/>
      </c>
      <c r="E365" s="3">
        <f>IF('Data Source'!B365="","",IF('Data Source'!W365&gt;=5,"A+",IF('Data Source'!W365&gt;=4,"A",IF('Data Source'!W365&gt;=3.5,"A-",IF('Data Source'!W365&gt;=3,"B",IF('Data Source'!W365&gt;=2,"C",IF('Data Source'!W365&gt;=1,"D","F")))))))</f>
        <v/>
      </c>
      <c r="F365" s="3">
        <f>IF('Data Source'!B365="","",IF('Data Source'!X365&gt;=5,"A+",IF('Data Source'!X365&gt;=4,"A",IF('Data Source'!X365&gt;=3.5,"A-",IF('Data Source'!X365&gt;=3,"B",IF('Data Source'!X365&gt;=2,"C",IF('Data Source'!X365&gt;=1,"D","F")))))))</f>
        <v/>
      </c>
      <c r="G365" s="3">
        <f>IF('Data Source'!B365="","",IF('Data Source'!Y365&gt;=5,"A+",IF('Data Source'!Y365&gt;=4,"A",IF('Data Source'!Y365&gt;=3.5,"A-",IF('Data Source'!Y365&gt;=3,"B",IF('Data Source'!Y365&gt;=2,"C",IF('Data Source'!Y365&gt;=1,"D","F")))))))</f>
        <v/>
      </c>
      <c r="H365" s="3">
        <f>IF('Data Source'!B365="","",IF('Data Source'!Z365&gt;=5,"A+",IF('Data Source'!Z365&gt;=4,"A",IF('Data Source'!Z365&gt;=3.5,"A-",IF('Data Source'!Z365&gt;=3,"B",IF('Data Source'!Z365&gt;=2,"C",IF('Data Source'!Z365&gt;=1,"D","F")))))))</f>
        <v/>
      </c>
      <c r="I365" s="3">
        <f>IF('Data Source'!B365="","",IF('Data Source'!AA365&gt;=5,"A+",IF('Data Source'!AA365&gt;=4,"A",IF('Data Source'!AA365&gt;=3.5,"A-",IF('Data Source'!AA365&gt;=3,"B",IF('Data Source'!AA365&gt;=2,"C",IF('Data Source'!AA365&gt;=1,"D","F")))))))</f>
        <v/>
      </c>
      <c r="J365" s="3">
        <f>IF('Data Source'!B365="","",IF('Data Source'!AB365&gt;=5,"A+",IF('Data Source'!AB365&gt;=4,"A",IF('Data Source'!AB365&gt;=3.5,"A-",IF('Data Source'!AB365&gt;=3,"B",IF('Data Source'!AB365&gt;=2,"C",IF('Data Source'!AB365&gt;=1,"D","F")))))))</f>
        <v/>
      </c>
      <c r="K365" s="3">
        <f>IF('Data Source'!B365="","",IF('Data Source'!AC365&gt;=5,"A+",IF('Data Source'!AC365&gt;=4,"A",IF('Data Source'!AC365&gt;=3.5,"A-",IF('Data Source'!AC365&gt;=3,"B",IF('Data Source'!AC365&gt;=2,"C",IF('Data Source'!AC365&gt;=1,"D","F")))))))</f>
        <v/>
      </c>
      <c r="L365" s="3">
        <f>IF('Data Source'!B365="","",IF('Data Source'!AD365&gt;=5,"A+",IF('Data Source'!AD365&gt;=4,"A",IF('Data Source'!AD365&gt;=3.5,"A-",IF('Data Source'!AD365&gt;=3,"B",IF('Data Source'!AD365&gt;=2,"C",IF('Data Source'!AD365&gt;=1,"D","F")))))))</f>
        <v/>
      </c>
      <c r="M365" s="3">
        <f>IF('Data Source'!B365="","",IF('Data Source'!AE365&gt;=5,"A+",IF('Data Source'!AE365&gt;=4,"A",IF('Data Source'!AE365&gt;=3.5,"A-",IF('Data Source'!AE365&gt;=3,"B",IF('Data Source'!AE365&gt;=2,"C",IF('Data Source'!AE365&gt;=1,"D","F")))))))</f>
        <v/>
      </c>
      <c r="N365" s="3">
        <f>IF('Data Source'!B365="","",IF('Data Source'!AF365&gt;=5,"A+",IF('Data Source'!AF365&gt;=4,"A",IF('Data Source'!AF365&gt;=3.5,"A-",IF('Data Source'!AF365&gt;=3,"B",IF('Data Source'!AF365&gt;=2,"C",IF('Data Source'!AF365&gt;=1,"D","F")))))))</f>
        <v/>
      </c>
      <c r="O365" s="3">
        <f>IF('Data Source'!B365="","",IF('Data Source'!AG365&gt;=5,"A+",IF('Data Source'!AG365&gt;=4,"A",IF('Data Source'!AG365&gt;=3.5,"A-",IF('Data Source'!AG365&gt;=3,"B",IF('Data Source'!AG365&gt;=2,"C",IF('Data Source'!AG365&gt;=1,"D","F")))))))</f>
        <v/>
      </c>
      <c r="P365" s="5">
        <f>IF('Data Source'!B365="","",'Data Source'!R365)</f>
        <v/>
      </c>
      <c r="Q365" s="3">
        <f>IF('Data Source'!B365="","",'Data Source'!S365)</f>
        <v/>
      </c>
    </row>
    <row r="366">
      <c r="A366" s="3">
        <f>IF('Data Source'!B366="","",'Data Source'!A366)</f>
        <v/>
      </c>
      <c r="B366">
        <f>IF('Data Source'!B366="","",'Data Source'!B366)</f>
        <v/>
      </c>
      <c r="C366" s="3">
        <f>IF('Data Source'!B366="","",IF('Data Source'!U366&gt;=5,"A+",IF('Data Source'!U366&gt;=4,"A",IF('Data Source'!U366&gt;=3.5,"A-",IF('Data Source'!U366&gt;=3,"B",IF('Data Source'!U366&gt;=2,"C",IF('Data Source'!U366&gt;=1,"D","F")))))))</f>
        <v/>
      </c>
      <c r="D366" s="3">
        <f>IF('Data Source'!B366="","",IF('Data Source'!V366&gt;=5,"A+",IF('Data Source'!V366&gt;=4,"A",IF('Data Source'!V366&gt;=3.5,"A-",IF('Data Source'!V366&gt;=3,"B",IF('Data Source'!V366&gt;=2,"C",IF('Data Source'!V366&gt;=1,"D","F")))))))</f>
        <v/>
      </c>
      <c r="E366" s="3">
        <f>IF('Data Source'!B366="","",IF('Data Source'!W366&gt;=5,"A+",IF('Data Source'!W366&gt;=4,"A",IF('Data Source'!W366&gt;=3.5,"A-",IF('Data Source'!W366&gt;=3,"B",IF('Data Source'!W366&gt;=2,"C",IF('Data Source'!W366&gt;=1,"D","F")))))))</f>
        <v/>
      </c>
      <c r="F366" s="3">
        <f>IF('Data Source'!B366="","",IF('Data Source'!X366&gt;=5,"A+",IF('Data Source'!X366&gt;=4,"A",IF('Data Source'!X366&gt;=3.5,"A-",IF('Data Source'!X366&gt;=3,"B",IF('Data Source'!X366&gt;=2,"C",IF('Data Source'!X366&gt;=1,"D","F")))))))</f>
        <v/>
      </c>
      <c r="G366" s="3">
        <f>IF('Data Source'!B366="","",IF('Data Source'!Y366&gt;=5,"A+",IF('Data Source'!Y366&gt;=4,"A",IF('Data Source'!Y366&gt;=3.5,"A-",IF('Data Source'!Y366&gt;=3,"B",IF('Data Source'!Y366&gt;=2,"C",IF('Data Source'!Y366&gt;=1,"D","F")))))))</f>
        <v/>
      </c>
      <c r="H366" s="3">
        <f>IF('Data Source'!B366="","",IF('Data Source'!Z366&gt;=5,"A+",IF('Data Source'!Z366&gt;=4,"A",IF('Data Source'!Z366&gt;=3.5,"A-",IF('Data Source'!Z366&gt;=3,"B",IF('Data Source'!Z366&gt;=2,"C",IF('Data Source'!Z366&gt;=1,"D","F")))))))</f>
        <v/>
      </c>
      <c r="I366" s="3">
        <f>IF('Data Source'!B366="","",IF('Data Source'!AA366&gt;=5,"A+",IF('Data Source'!AA366&gt;=4,"A",IF('Data Source'!AA366&gt;=3.5,"A-",IF('Data Source'!AA366&gt;=3,"B",IF('Data Source'!AA366&gt;=2,"C",IF('Data Source'!AA366&gt;=1,"D","F")))))))</f>
        <v/>
      </c>
      <c r="J366" s="3">
        <f>IF('Data Source'!B366="","",IF('Data Source'!AB366&gt;=5,"A+",IF('Data Source'!AB366&gt;=4,"A",IF('Data Source'!AB366&gt;=3.5,"A-",IF('Data Source'!AB366&gt;=3,"B",IF('Data Source'!AB366&gt;=2,"C",IF('Data Source'!AB366&gt;=1,"D","F")))))))</f>
        <v/>
      </c>
      <c r="K366" s="3">
        <f>IF('Data Source'!B366="","",IF('Data Source'!AC366&gt;=5,"A+",IF('Data Source'!AC366&gt;=4,"A",IF('Data Source'!AC366&gt;=3.5,"A-",IF('Data Source'!AC366&gt;=3,"B",IF('Data Source'!AC366&gt;=2,"C",IF('Data Source'!AC366&gt;=1,"D","F")))))))</f>
        <v/>
      </c>
      <c r="L366" s="3">
        <f>IF('Data Source'!B366="","",IF('Data Source'!AD366&gt;=5,"A+",IF('Data Source'!AD366&gt;=4,"A",IF('Data Source'!AD366&gt;=3.5,"A-",IF('Data Source'!AD366&gt;=3,"B",IF('Data Source'!AD366&gt;=2,"C",IF('Data Source'!AD366&gt;=1,"D","F")))))))</f>
        <v/>
      </c>
      <c r="M366" s="3">
        <f>IF('Data Source'!B366="","",IF('Data Source'!AE366&gt;=5,"A+",IF('Data Source'!AE366&gt;=4,"A",IF('Data Source'!AE366&gt;=3.5,"A-",IF('Data Source'!AE366&gt;=3,"B",IF('Data Source'!AE366&gt;=2,"C",IF('Data Source'!AE366&gt;=1,"D","F")))))))</f>
        <v/>
      </c>
      <c r="N366" s="3">
        <f>IF('Data Source'!B366="","",IF('Data Source'!AF366&gt;=5,"A+",IF('Data Source'!AF366&gt;=4,"A",IF('Data Source'!AF366&gt;=3.5,"A-",IF('Data Source'!AF366&gt;=3,"B",IF('Data Source'!AF366&gt;=2,"C",IF('Data Source'!AF366&gt;=1,"D","F")))))))</f>
        <v/>
      </c>
      <c r="O366" s="3">
        <f>IF('Data Source'!B366="","",IF('Data Source'!AG366&gt;=5,"A+",IF('Data Source'!AG366&gt;=4,"A",IF('Data Source'!AG366&gt;=3.5,"A-",IF('Data Source'!AG366&gt;=3,"B",IF('Data Source'!AG366&gt;=2,"C",IF('Data Source'!AG366&gt;=1,"D","F")))))))</f>
        <v/>
      </c>
      <c r="P366" s="5">
        <f>IF('Data Source'!B366="","",'Data Source'!R366)</f>
        <v/>
      </c>
      <c r="Q366" s="3">
        <f>IF('Data Source'!B366="","",'Data Source'!S366)</f>
        <v/>
      </c>
    </row>
    <row r="367">
      <c r="A367" s="3">
        <f>IF('Data Source'!B367="","",'Data Source'!A367)</f>
        <v/>
      </c>
      <c r="B367">
        <f>IF('Data Source'!B367="","",'Data Source'!B367)</f>
        <v/>
      </c>
      <c r="C367" s="3">
        <f>IF('Data Source'!B367="","",IF('Data Source'!U367&gt;=5,"A+",IF('Data Source'!U367&gt;=4,"A",IF('Data Source'!U367&gt;=3.5,"A-",IF('Data Source'!U367&gt;=3,"B",IF('Data Source'!U367&gt;=2,"C",IF('Data Source'!U367&gt;=1,"D","F")))))))</f>
        <v/>
      </c>
      <c r="D367" s="3">
        <f>IF('Data Source'!B367="","",IF('Data Source'!V367&gt;=5,"A+",IF('Data Source'!V367&gt;=4,"A",IF('Data Source'!V367&gt;=3.5,"A-",IF('Data Source'!V367&gt;=3,"B",IF('Data Source'!V367&gt;=2,"C",IF('Data Source'!V367&gt;=1,"D","F")))))))</f>
        <v/>
      </c>
      <c r="E367" s="3">
        <f>IF('Data Source'!B367="","",IF('Data Source'!W367&gt;=5,"A+",IF('Data Source'!W367&gt;=4,"A",IF('Data Source'!W367&gt;=3.5,"A-",IF('Data Source'!W367&gt;=3,"B",IF('Data Source'!W367&gt;=2,"C",IF('Data Source'!W367&gt;=1,"D","F")))))))</f>
        <v/>
      </c>
      <c r="F367" s="3">
        <f>IF('Data Source'!B367="","",IF('Data Source'!X367&gt;=5,"A+",IF('Data Source'!X367&gt;=4,"A",IF('Data Source'!X367&gt;=3.5,"A-",IF('Data Source'!X367&gt;=3,"B",IF('Data Source'!X367&gt;=2,"C",IF('Data Source'!X367&gt;=1,"D","F")))))))</f>
        <v/>
      </c>
      <c r="G367" s="3">
        <f>IF('Data Source'!B367="","",IF('Data Source'!Y367&gt;=5,"A+",IF('Data Source'!Y367&gt;=4,"A",IF('Data Source'!Y367&gt;=3.5,"A-",IF('Data Source'!Y367&gt;=3,"B",IF('Data Source'!Y367&gt;=2,"C",IF('Data Source'!Y367&gt;=1,"D","F")))))))</f>
        <v/>
      </c>
      <c r="H367" s="3">
        <f>IF('Data Source'!B367="","",IF('Data Source'!Z367&gt;=5,"A+",IF('Data Source'!Z367&gt;=4,"A",IF('Data Source'!Z367&gt;=3.5,"A-",IF('Data Source'!Z367&gt;=3,"B",IF('Data Source'!Z367&gt;=2,"C",IF('Data Source'!Z367&gt;=1,"D","F")))))))</f>
        <v/>
      </c>
      <c r="I367" s="3">
        <f>IF('Data Source'!B367="","",IF('Data Source'!AA367&gt;=5,"A+",IF('Data Source'!AA367&gt;=4,"A",IF('Data Source'!AA367&gt;=3.5,"A-",IF('Data Source'!AA367&gt;=3,"B",IF('Data Source'!AA367&gt;=2,"C",IF('Data Source'!AA367&gt;=1,"D","F")))))))</f>
        <v/>
      </c>
      <c r="J367" s="3">
        <f>IF('Data Source'!B367="","",IF('Data Source'!AB367&gt;=5,"A+",IF('Data Source'!AB367&gt;=4,"A",IF('Data Source'!AB367&gt;=3.5,"A-",IF('Data Source'!AB367&gt;=3,"B",IF('Data Source'!AB367&gt;=2,"C",IF('Data Source'!AB367&gt;=1,"D","F")))))))</f>
        <v/>
      </c>
      <c r="K367" s="3">
        <f>IF('Data Source'!B367="","",IF('Data Source'!AC367&gt;=5,"A+",IF('Data Source'!AC367&gt;=4,"A",IF('Data Source'!AC367&gt;=3.5,"A-",IF('Data Source'!AC367&gt;=3,"B",IF('Data Source'!AC367&gt;=2,"C",IF('Data Source'!AC367&gt;=1,"D","F")))))))</f>
        <v/>
      </c>
      <c r="L367" s="3">
        <f>IF('Data Source'!B367="","",IF('Data Source'!AD367&gt;=5,"A+",IF('Data Source'!AD367&gt;=4,"A",IF('Data Source'!AD367&gt;=3.5,"A-",IF('Data Source'!AD367&gt;=3,"B",IF('Data Source'!AD367&gt;=2,"C",IF('Data Source'!AD367&gt;=1,"D","F")))))))</f>
        <v/>
      </c>
      <c r="M367" s="3">
        <f>IF('Data Source'!B367="","",IF('Data Source'!AE367&gt;=5,"A+",IF('Data Source'!AE367&gt;=4,"A",IF('Data Source'!AE367&gt;=3.5,"A-",IF('Data Source'!AE367&gt;=3,"B",IF('Data Source'!AE367&gt;=2,"C",IF('Data Source'!AE367&gt;=1,"D","F")))))))</f>
        <v/>
      </c>
      <c r="N367" s="3">
        <f>IF('Data Source'!B367="","",IF('Data Source'!AF367&gt;=5,"A+",IF('Data Source'!AF367&gt;=4,"A",IF('Data Source'!AF367&gt;=3.5,"A-",IF('Data Source'!AF367&gt;=3,"B",IF('Data Source'!AF367&gt;=2,"C",IF('Data Source'!AF367&gt;=1,"D","F")))))))</f>
        <v/>
      </c>
      <c r="O367" s="3">
        <f>IF('Data Source'!B367="","",IF('Data Source'!AG367&gt;=5,"A+",IF('Data Source'!AG367&gt;=4,"A",IF('Data Source'!AG367&gt;=3.5,"A-",IF('Data Source'!AG367&gt;=3,"B",IF('Data Source'!AG367&gt;=2,"C",IF('Data Source'!AG367&gt;=1,"D","F")))))))</f>
        <v/>
      </c>
      <c r="P367" s="5">
        <f>IF('Data Source'!B367="","",'Data Source'!R367)</f>
        <v/>
      </c>
      <c r="Q367" s="3">
        <f>IF('Data Source'!B367="","",'Data Source'!S367)</f>
        <v/>
      </c>
    </row>
    <row r="368">
      <c r="A368" s="3">
        <f>IF('Data Source'!B368="","",'Data Source'!A368)</f>
        <v/>
      </c>
      <c r="B368">
        <f>IF('Data Source'!B368="","",'Data Source'!B368)</f>
        <v/>
      </c>
      <c r="C368" s="3">
        <f>IF('Data Source'!B368="","",IF('Data Source'!U368&gt;=5,"A+",IF('Data Source'!U368&gt;=4,"A",IF('Data Source'!U368&gt;=3.5,"A-",IF('Data Source'!U368&gt;=3,"B",IF('Data Source'!U368&gt;=2,"C",IF('Data Source'!U368&gt;=1,"D","F")))))))</f>
        <v/>
      </c>
      <c r="D368" s="3">
        <f>IF('Data Source'!B368="","",IF('Data Source'!V368&gt;=5,"A+",IF('Data Source'!V368&gt;=4,"A",IF('Data Source'!V368&gt;=3.5,"A-",IF('Data Source'!V368&gt;=3,"B",IF('Data Source'!V368&gt;=2,"C",IF('Data Source'!V368&gt;=1,"D","F")))))))</f>
        <v/>
      </c>
      <c r="E368" s="3">
        <f>IF('Data Source'!B368="","",IF('Data Source'!W368&gt;=5,"A+",IF('Data Source'!W368&gt;=4,"A",IF('Data Source'!W368&gt;=3.5,"A-",IF('Data Source'!W368&gt;=3,"B",IF('Data Source'!W368&gt;=2,"C",IF('Data Source'!W368&gt;=1,"D","F")))))))</f>
        <v/>
      </c>
      <c r="F368" s="3">
        <f>IF('Data Source'!B368="","",IF('Data Source'!X368&gt;=5,"A+",IF('Data Source'!X368&gt;=4,"A",IF('Data Source'!X368&gt;=3.5,"A-",IF('Data Source'!X368&gt;=3,"B",IF('Data Source'!X368&gt;=2,"C",IF('Data Source'!X368&gt;=1,"D","F")))))))</f>
        <v/>
      </c>
      <c r="G368" s="3">
        <f>IF('Data Source'!B368="","",IF('Data Source'!Y368&gt;=5,"A+",IF('Data Source'!Y368&gt;=4,"A",IF('Data Source'!Y368&gt;=3.5,"A-",IF('Data Source'!Y368&gt;=3,"B",IF('Data Source'!Y368&gt;=2,"C",IF('Data Source'!Y368&gt;=1,"D","F")))))))</f>
        <v/>
      </c>
      <c r="H368" s="3">
        <f>IF('Data Source'!B368="","",IF('Data Source'!Z368&gt;=5,"A+",IF('Data Source'!Z368&gt;=4,"A",IF('Data Source'!Z368&gt;=3.5,"A-",IF('Data Source'!Z368&gt;=3,"B",IF('Data Source'!Z368&gt;=2,"C",IF('Data Source'!Z368&gt;=1,"D","F")))))))</f>
        <v/>
      </c>
      <c r="I368" s="3">
        <f>IF('Data Source'!B368="","",IF('Data Source'!AA368&gt;=5,"A+",IF('Data Source'!AA368&gt;=4,"A",IF('Data Source'!AA368&gt;=3.5,"A-",IF('Data Source'!AA368&gt;=3,"B",IF('Data Source'!AA368&gt;=2,"C",IF('Data Source'!AA368&gt;=1,"D","F")))))))</f>
        <v/>
      </c>
      <c r="J368" s="3">
        <f>IF('Data Source'!B368="","",IF('Data Source'!AB368&gt;=5,"A+",IF('Data Source'!AB368&gt;=4,"A",IF('Data Source'!AB368&gt;=3.5,"A-",IF('Data Source'!AB368&gt;=3,"B",IF('Data Source'!AB368&gt;=2,"C",IF('Data Source'!AB368&gt;=1,"D","F")))))))</f>
        <v/>
      </c>
      <c r="K368" s="3">
        <f>IF('Data Source'!B368="","",IF('Data Source'!AC368&gt;=5,"A+",IF('Data Source'!AC368&gt;=4,"A",IF('Data Source'!AC368&gt;=3.5,"A-",IF('Data Source'!AC368&gt;=3,"B",IF('Data Source'!AC368&gt;=2,"C",IF('Data Source'!AC368&gt;=1,"D","F")))))))</f>
        <v/>
      </c>
      <c r="L368" s="3">
        <f>IF('Data Source'!B368="","",IF('Data Source'!AD368&gt;=5,"A+",IF('Data Source'!AD368&gt;=4,"A",IF('Data Source'!AD368&gt;=3.5,"A-",IF('Data Source'!AD368&gt;=3,"B",IF('Data Source'!AD368&gt;=2,"C",IF('Data Source'!AD368&gt;=1,"D","F")))))))</f>
        <v/>
      </c>
      <c r="M368" s="3">
        <f>IF('Data Source'!B368="","",IF('Data Source'!AE368&gt;=5,"A+",IF('Data Source'!AE368&gt;=4,"A",IF('Data Source'!AE368&gt;=3.5,"A-",IF('Data Source'!AE368&gt;=3,"B",IF('Data Source'!AE368&gt;=2,"C",IF('Data Source'!AE368&gt;=1,"D","F")))))))</f>
        <v/>
      </c>
      <c r="N368" s="3">
        <f>IF('Data Source'!B368="","",IF('Data Source'!AF368&gt;=5,"A+",IF('Data Source'!AF368&gt;=4,"A",IF('Data Source'!AF368&gt;=3.5,"A-",IF('Data Source'!AF368&gt;=3,"B",IF('Data Source'!AF368&gt;=2,"C",IF('Data Source'!AF368&gt;=1,"D","F")))))))</f>
        <v/>
      </c>
      <c r="O368" s="3">
        <f>IF('Data Source'!B368="","",IF('Data Source'!AG368&gt;=5,"A+",IF('Data Source'!AG368&gt;=4,"A",IF('Data Source'!AG368&gt;=3.5,"A-",IF('Data Source'!AG368&gt;=3,"B",IF('Data Source'!AG368&gt;=2,"C",IF('Data Source'!AG368&gt;=1,"D","F")))))))</f>
        <v/>
      </c>
      <c r="P368" s="5">
        <f>IF('Data Source'!B368="","",'Data Source'!R368)</f>
        <v/>
      </c>
      <c r="Q368" s="3">
        <f>IF('Data Source'!B368="","",'Data Source'!S368)</f>
        <v/>
      </c>
    </row>
    <row r="369">
      <c r="A369" s="3">
        <f>IF('Data Source'!B369="","",'Data Source'!A369)</f>
        <v/>
      </c>
      <c r="B369">
        <f>IF('Data Source'!B369="","",'Data Source'!B369)</f>
        <v/>
      </c>
      <c r="C369" s="3">
        <f>IF('Data Source'!B369="","",IF('Data Source'!U369&gt;=5,"A+",IF('Data Source'!U369&gt;=4,"A",IF('Data Source'!U369&gt;=3.5,"A-",IF('Data Source'!U369&gt;=3,"B",IF('Data Source'!U369&gt;=2,"C",IF('Data Source'!U369&gt;=1,"D","F")))))))</f>
        <v/>
      </c>
      <c r="D369" s="3">
        <f>IF('Data Source'!B369="","",IF('Data Source'!V369&gt;=5,"A+",IF('Data Source'!V369&gt;=4,"A",IF('Data Source'!V369&gt;=3.5,"A-",IF('Data Source'!V369&gt;=3,"B",IF('Data Source'!V369&gt;=2,"C",IF('Data Source'!V369&gt;=1,"D","F")))))))</f>
        <v/>
      </c>
      <c r="E369" s="3">
        <f>IF('Data Source'!B369="","",IF('Data Source'!W369&gt;=5,"A+",IF('Data Source'!W369&gt;=4,"A",IF('Data Source'!W369&gt;=3.5,"A-",IF('Data Source'!W369&gt;=3,"B",IF('Data Source'!W369&gt;=2,"C",IF('Data Source'!W369&gt;=1,"D","F")))))))</f>
        <v/>
      </c>
      <c r="F369" s="3">
        <f>IF('Data Source'!B369="","",IF('Data Source'!X369&gt;=5,"A+",IF('Data Source'!X369&gt;=4,"A",IF('Data Source'!X369&gt;=3.5,"A-",IF('Data Source'!X369&gt;=3,"B",IF('Data Source'!X369&gt;=2,"C",IF('Data Source'!X369&gt;=1,"D","F")))))))</f>
        <v/>
      </c>
      <c r="G369" s="3">
        <f>IF('Data Source'!B369="","",IF('Data Source'!Y369&gt;=5,"A+",IF('Data Source'!Y369&gt;=4,"A",IF('Data Source'!Y369&gt;=3.5,"A-",IF('Data Source'!Y369&gt;=3,"B",IF('Data Source'!Y369&gt;=2,"C",IF('Data Source'!Y369&gt;=1,"D","F")))))))</f>
        <v/>
      </c>
      <c r="H369" s="3">
        <f>IF('Data Source'!B369="","",IF('Data Source'!Z369&gt;=5,"A+",IF('Data Source'!Z369&gt;=4,"A",IF('Data Source'!Z369&gt;=3.5,"A-",IF('Data Source'!Z369&gt;=3,"B",IF('Data Source'!Z369&gt;=2,"C",IF('Data Source'!Z369&gt;=1,"D","F")))))))</f>
        <v/>
      </c>
      <c r="I369" s="3">
        <f>IF('Data Source'!B369="","",IF('Data Source'!AA369&gt;=5,"A+",IF('Data Source'!AA369&gt;=4,"A",IF('Data Source'!AA369&gt;=3.5,"A-",IF('Data Source'!AA369&gt;=3,"B",IF('Data Source'!AA369&gt;=2,"C",IF('Data Source'!AA369&gt;=1,"D","F")))))))</f>
        <v/>
      </c>
      <c r="J369" s="3">
        <f>IF('Data Source'!B369="","",IF('Data Source'!AB369&gt;=5,"A+",IF('Data Source'!AB369&gt;=4,"A",IF('Data Source'!AB369&gt;=3.5,"A-",IF('Data Source'!AB369&gt;=3,"B",IF('Data Source'!AB369&gt;=2,"C",IF('Data Source'!AB369&gt;=1,"D","F")))))))</f>
        <v/>
      </c>
      <c r="K369" s="3">
        <f>IF('Data Source'!B369="","",IF('Data Source'!AC369&gt;=5,"A+",IF('Data Source'!AC369&gt;=4,"A",IF('Data Source'!AC369&gt;=3.5,"A-",IF('Data Source'!AC369&gt;=3,"B",IF('Data Source'!AC369&gt;=2,"C",IF('Data Source'!AC369&gt;=1,"D","F")))))))</f>
        <v/>
      </c>
      <c r="L369" s="3">
        <f>IF('Data Source'!B369="","",IF('Data Source'!AD369&gt;=5,"A+",IF('Data Source'!AD369&gt;=4,"A",IF('Data Source'!AD369&gt;=3.5,"A-",IF('Data Source'!AD369&gt;=3,"B",IF('Data Source'!AD369&gt;=2,"C",IF('Data Source'!AD369&gt;=1,"D","F")))))))</f>
        <v/>
      </c>
      <c r="M369" s="3">
        <f>IF('Data Source'!B369="","",IF('Data Source'!AE369&gt;=5,"A+",IF('Data Source'!AE369&gt;=4,"A",IF('Data Source'!AE369&gt;=3.5,"A-",IF('Data Source'!AE369&gt;=3,"B",IF('Data Source'!AE369&gt;=2,"C",IF('Data Source'!AE369&gt;=1,"D","F")))))))</f>
        <v/>
      </c>
      <c r="N369" s="3">
        <f>IF('Data Source'!B369="","",IF('Data Source'!AF369&gt;=5,"A+",IF('Data Source'!AF369&gt;=4,"A",IF('Data Source'!AF369&gt;=3.5,"A-",IF('Data Source'!AF369&gt;=3,"B",IF('Data Source'!AF369&gt;=2,"C",IF('Data Source'!AF369&gt;=1,"D","F")))))))</f>
        <v/>
      </c>
      <c r="O369" s="3">
        <f>IF('Data Source'!B369="","",IF('Data Source'!AG369&gt;=5,"A+",IF('Data Source'!AG369&gt;=4,"A",IF('Data Source'!AG369&gt;=3.5,"A-",IF('Data Source'!AG369&gt;=3,"B",IF('Data Source'!AG369&gt;=2,"C",IF('Data Source'!AG369&gt;=1,"D","F")))))))</f>
        <v/>
      </c>
      <c r="P369" s="5">
        <f>IF('Data Source'!B369="","",'Data Source'!R369)</f>
        <v/>
      </c>
      <c r="Q369" s="3">
        <f>IF('Data Source'!B369="","",'Data Source'!S369)</f>
        <v/>
      </c>
    </row>
    <row r="370">
      <c r="A370" s="3">
        <f>IF('Data Source'!B370="","",'Data Source'!A370)</f>
        <v/>
      </c>
      <c r="B370">
        <f>IF('Data Source'!B370="","",'Data Source'!B370)</f>
        <v/>
      </c>
      <c r="C370" s="3">
        <f>IF('Data Source'!B370="","",IF('Data Source'!U370&gt;=5,"A+",IF('Data Source'!U370&gt;=4,"A",IF('Data Source'!U370&gt;=3.5,"A-",IF('Data Source'!U370&gt;=3,"B",IF('Data Source'!U370&gt;=2,"C",IF('Data Source'!U370&gt;=1,"D","F")))))))</f>
        <v/>
      </c>
      <c r="D370" s="3">
        <f>IF('Data Source'!B370="","",IF('Data Source'!V370&gt;=5,"A+",IF('Data Source'!V370&gt;=4,"A",IF('Data Source'!V370&gt;=3.5,"A-",IF('Data Source'!V370&gt;=3,"B",IF('Data Source'!V370&gt;=2,"C",IF('Data Source'!V370&gt;=1,"D","F")))))))</f>
        <v/>
      </c>
      <c r="E370" s="3">
        <f>IF('Data Source'!B370="","",IF('Data Source'!W370&gt;=5,"A+",IF('Data Source'!W370&gt;=4,"A",IF('Data Source'!W370&gt;=3.5,"A-",IF('Data Source'!W370&gt;=3,"B",IF('Data Source'!W370&gt;=2,"C",IF('Data Source'!W370&gt;=1,"D","F")))))))</f>
        <v/>
      </c>
      <c r="F370" s="3">
        <f>IF('Data Source'!B370="","",IF('Data Source'!X370&gt;=5,"A+",IF('Data Source'!X370&gt;=4,"A",IF('Data Source'!X370&gt;=3.5,"A-",IF('Data Source'!X370&gt;=3,"B",IF('Data Source'!X370&gt;=2,"C",IF('Data Source'!X370&gt;=1,"D","F")))))))</f>
        <v/>
      </c>
      <c r="G370" s="3">
        <f>IF('Data Source'!B370="","",IF('Data Source'!Y370&gt;=5,"A+",IF('Data Source'!Y370&gt;=4,"A",IF('Data Source'!Y370&gt;=3.5,"A-",IF('Data Source'!Y370&gt;=3,"B",IF('Data Source'!Y370&gt;=2,"C",IF('Data Source'!Y370&gt;=1,"D","F")))))))</f>
        <v/>
      </c>
      <c r="H370" s="3">
        <f>IF('Data Source'!B370="","",IF('Data Source'!Z370&gt;=5,"A+",IF('Data Source'!Z370&gt;=4,"A",IF('Data Source'!Z370&gt;=3.5,"A-",IF('Data Source'!Z370&gt;=3,"B",IF('Data Source'!Z370&gt;=2,"C",IF('Data Source'!Z370&gt;=1,"D","F")))))))</f>
        <v/>
      </c>
      <c r="I370" s="3">
        <f>IF('Data Source'!B370="","",IF('Data Source'!AA370&gt;=5,"A+",IF('Data Source'!AA370&gt;=4,"A",IF('Data Source'!AA370&gt;=3.5,"A-",IF('Data Source'!AA370&gt;=3,"B",IF('Data Source'!AA370&gt;=2,"C",IF('Data Source'!AA370&gt;=1,"D","F")))))))</f>
        <v/>
      </c>
      <c r="J370" s="3">
        <f>IF('Data Source'!B370="","",IF('Data Source'!AB370&gt;=5,"A+",IF('Data Source'!AB370&gt;=4,"A",IF('Data Source'!AB370&gt;=3.5,"A-",IF('Data Source'!AB370&gt;=3,"B",IF('Data Source'!AB370&gt;=2,"C",IF('Data Source'!AB370&gt;=1,"D","F")))))))</f>
        <v/>
      </c>
      <c r="K370" s="3">
        <f>IF('Data Source'!B370="","",IF('Data Source'!AC370&gt;=5,"A+",IF('Data Source'!AC370&gt;=4,"A",IF('Data Source'!AC370&gt;=3.5,"A-",IF('Data Source'!AC370&gt;=3,"B",IF('Data Source'!AC370&gt;=2,"C",IF('Data Source'!AC370&gt;=1,"D","F")))))))</f>
        <v/>
      </c>
      <c r="L370" s="3">
        <f>IF('Data Source'!B370="","",IF('Data Source'!AD370&gt;=5,"A+",IF('Data Source'!AD370&gt;=4,"A",IF('Data Source'!AD370&gt;=3.5,"A-",IF('Data Source'!AD370&gt;=3,"B",IF('Data Source'!AD370&gt;=2,"C",IF('Data Source'!AD370&gt;=1,"D","F")))))))</f>
        <v/>
      </c>
      <c r="M370" s="3">
        <f>IF('Data Source'!B370="","",IF('Data Source'!AE370&gt;=5,"A+",IF('Data Source'!AE370&gt;=4,"A",IF('Data Source'!AE370&gt;=3.5,"A-",IF('Data Source'!AE370&gt;=3,"B",IF('Data Source'!AE370&gt;=2,"C",IF('Data Source'!AE370&gt;=1,"D","F")))))))</f>
        <v/>
      </c>
      <c r="N370" s="3">
        <f>IF('Data Source'!B370="","",IF('Data Source'!AF370&gt;=5,"A+",IF('Data Source'!AF370&gt;=4,"A",IF('Data Source'!AF370&gt;=3.5,"A-",IF('Data Source'!AF370&gt;=3,"B",IF('Data Source'!AF370&gt;=2,"C",IF('Data Source'!AF370&gt;=1,"D","F")))))))</f>
        <v/>
      </c>
      <c r="O370" s="3">
        <f>IF('Data Source'!B370="","",IF('Data Source'!AG370&gt;=5,"A+",IF('Data Source'!AG370&gt;=4,"A",IF('Data Source'!AG370&gt;=3.5,"A-",IF('Data Source'!AG370&gt;=3,"B",IF('Data Source'!AG370&gt;=2,"C",IF('Data Source'!AG370&gt;=1,"D","F")))))))</f>
        <v/>
      </c>
      <c r="P370" s="5">
        <f>IF('Data Source'!B370="","",'Data Source'!R370)</f>
        <v/>
      </c>
      <c r="Q370" s="3">
        <f>IF('Data Source'!B370="","",'Data Source'!S370)</f>
        <v/>
      </c>
    </row>
    <row r="371">
      <c r="A371" s="3">
        <f>IF('Data Source'!B371="","",'Data Source'!A371)</f>
        <v/>
      </c>
      <c r="B371">
        <f>IF('Data Source'!B371="","",'Data Source'!B371)</f>
        <v/>
      </c>
      <c r="C371" s="3">
        <f>IF('Data Source'!B371="","",IF('Data Source'!U371&gt;=5,"A+",IF('Data Source'!U371&gt;=4,"A",IF('Data Source'!U371&gt;=3.5,"A-",IF('Data Source'!U371&gt;=3,"B",IF('Data Source'!U371&gt;=2,"C",IF('Data Source'!U371&gt;=1,"D","F")))))))</f>
        <v/>
      </c>
      <c r="D371" s="3">
        <f>IF('Data Source'!B371="","",IF('Data Source'!V371&gt;=5,"A+",IF('Data Source'!V371&gt;=4,"A",IF('Data Source'!V371&gt;=3.5,"A-",IF('Data Source'!V371&gt;=3,"B",IF('Data Source'!V371&gt;=2,"C",IF('Data Source'!V371&gt;=1,"D","F")))))))</f>
        <v/>
      </c>
      <c r="E371" s="3">
        <f>IF('Data Source'!B371="","",IF('Data Source'!W371&gt;=5,"A+",IF('Data Source'!W371&gt;=4,"A",IF('Data Source'!W371&gt;=3.5,"A-",IF('Data Source'!W371&gt;=3,"B",IF('Data Source'!W371&gt;=2,"C",IF('Data Source'!W371&gt;=1,"D","F")))))))</f>
        <v/>
      </c>
      <c r="F371" s="3">
        <f>IF('Data Source'!B371="","",IF('Data Source'!X371&gt;=5,"A+",IF('Data Source'!X371&gt;=4,"A",IF('Data Source'!X371&gt;=3.5,"A-",IF('Data Source'!X371&gt;=3,"B",IF('Data Source'!X371&gt;=2,"C",IF('Data Source'!X371&gt;=1,"D","F")))))))</f>
        <v/>
      </c>
      <c r="G371" s="3">
        <f>IF('Data Source'!B371="","",IF('Data Source'!Y371&gt;=5,"A+",IF('Data Source'!Y371&gt;=4,"A",IF('Data Source'!Y371&gt;=3.5,"A-",IF('Data Source'!Y371&gt;=3,"B",IF('Data Source'!Y371&gt;=2,"C",IF('Data Source'!Y371&gt;=1,"D","F")))))))</f>
        <v/>
      </c>
      <c r="H371" s="3">
        <f>IF('Data Source'!B371="","",IF('Data Source'!Z371&gt;=5,"A+",IF('Data Source'!Z371&gt;=4,"A",IF('Data Source'!Z371&gt;=3.5,"A-",IF('Data Source'!Z371&gt;=3,"B",IF('Data Source'!Z371&gt;=2,"C",IF('Data Source'!Z371&gt;=1,"D","F")))))))</f>
        <v/>
      </c>
      <c r="I371" s="3">
        <f>IF('Data Source'!B371="","",IF('Data Source'!AA371&gt;=5,"A+",IF('Data Source'!AA371&gt;=4,"A",IF('Data Source'!AA371&gt;=3.5,"A-",IF('Data Source'!AA371&gt;=3,"B",IF('Data Source'!AA371&gt;=2,"C",IF('Data Source'!AA371&gt;=1,"D","F")))))))</f>
        <v/>
      </c>
      <c r="J371" s="3">
        <f>IF('Data Source'!B371="","",IF('Data Source'!AB371&gt;=5,"A+",IF('Data Source'!AB371&gt;=4,"A",IF('Data Source'!AB371&gt;=3.5,"A-",IF('Data Source'!AB371&gt;=3,"B",IF('Data Source'!AB371&gt;=2,"C",IF('Data Source'!AB371&gt;=1,"D","F")))))))</f>
        <v/>
      </c>
      <c r="K371" s="3">
        <f>IF('Data Source'!B371="","",IF('Data Source'!AC371&gt;=5,"A+",IF('Data Source'!AC371&gt;=4,"A",IF('Data Source'!AC371&gt;=3.5,"A-",IF('Data Source'!AC371&gt;=3,"B",IF('Data Source'!AC371&gt;=2,"C",IF('Data Source'!AC371&gt;=1,"D","F")))))))</f>
        <v/>
      </c>
      <c r="L371" s="3">
        <f>IF('Data Source'!B371="","",IF('Data Source'!AD371&gt;=5,"A+",IF('Data Source'!AD371&gt;=4,"A",IF('Data Source'!AD371&gt;=3.5,"A-",IF('Data Source'!AD371&gt;=3,"B",IF('Data Source'!AD371&gt;=2,"C",IF('Data Source'!AD371&gt;=1,"D","F")))))))</f>
        <v/>
      </c>
      <c r="M371" s="3">
        <f>IF('Data Source'!B371="","",IF('Data Source'!AE371&gt;=5,"A+",IF('Data Source'!AE371&gt;=4,"A",IF('Data Source'!AE371&gt;=3.5,"A-",IF('Data Source'!AE371&gt;=3,"B",IF('Data Source'!AE371&gt;=2,"C",IF('Data Source'!AE371&gt;=1,"D","F")))))))</f>
        <v/>
      </c>
      <c r="N371" s="3">
        <f>IF('Data Source'!B371="","",IF('Data Source'!AF371&gt;=5,"A+",IF('Data Source'!AF371&gt;=4,"A",IF('Data Source'!AF371&gt;=3.5,"A-",IF('Data Source'!AF371&gt;=3,"B",IF('Data Source'!AF371&gt;=2,"C",IF('Data Source'!AF371&gt;=1,"D","F")))))))</f>
        <v/>
      </c>
      <c r="O371" s="3">
        <f>IF('Data Source'!B371="","",IF('Data Source'!AG371&gt;=5,"A+",IF('Data Source'!AG371&gt;=4,"A",IF('Data Source'!AG371&gt;=3.5,"A-",IF('Data Source'!AG371&gt;=3,"B",IF('Data Source'!AG371&gt;=2,"C",IF('Data Source'!AG371&gt;=1,"D","F")))))))</f>
        <v/>
      </c>
      <c r="P371" s="5">
        <f>IF('Data Source'!B371="","",'Data Source'!R371)</f>
        <v/>
      </c>
      <c r="Q371" s="3">
        <f>IF('Data Source'!B371="","",'Data Source'!S371)</f>
        <v/>
      </c>
    </row>
    <row r="372">
      <c r="A372" s="3">
        <f>IF('Data Source'!B372="","",'Data Source'!A372)</f>
        <v/>
      </c>
      <c r="B372">
        <f>IF('Data Source'!B372="","",'Data Source'!B372)</f>
        <v/>
      </c>
      <c r="C372" s="3">
        <f>IF('Data Source'!B372="","",IF('Data Source'!U372&gt;=5,"A+",IF('Data Source'!U372&gt;=4,"A",IF('Data Source'!U372&gt;=3.5,"A-",IF('Data Source'!U372&gt;=3,"B",IF('Data Source'!U372&gt;=2,"C",IF('Data Source'!U372&gt;=1,"D","F")))))))</f>
        <v/>
      </c>
      <c r="D372" s="3">
        <f>IF('Data Source'!B372="","",IF('Data Source'!V372&gt;=5,"A+",IF('Data Source'!V372&gt;=4,"A",IF('Data Source'!V372&gt;=3.5,"A-",IF('Data Source'!V372&gt;=3,"B",IF('Data Source'!V372&gt;=2,"C",IF('Data Source'!V372&gt;=1,"D","F")))))))</f>
        <v/>
      </c>
      <c r="E372" s="3">
        <f>IF('Data Source'!B372="","",IF('Data Source'!W372&gt;=5,"A+",IF('Data Source'!W372&gt;=4,"A",IF('Data Source'!W372&gt;=3.5,"A-",IF('Data Source'!W372&gt;=3,"B",IF('Data Source'!W372&gt;=2,"C",IF('Data Source'!W372&gt;=1,"D","F")))))))</f>
        <v/>
      </c>
      <c r="F372" s="3">
        <f>IF('Data Source'!B372="","",IF('Data Source'!X372&gt;=5,"A+",IF('Data Source'!X372&gt;=4,"A",IF('Data Source'!X372&gt;=3.5,"A-",IF('Data Source'!X372&gt;=3,"B",IF('Data Source'!X372&gt;=2,"C",IF('Data Source'!X372&gt;=1,"D","F")))))))</f>
        <v/>
      </c>
      <c r="G372" s="3">
        <f>IF('Data Source'!B372="","",IF('Data Source'!Y372&gt;=5,"A+",IF('Data Source'!Y372&gt;=4,"A",IF('Data Source'!Y372&gt;=3.5,"A-",IF('Data Source'!Y372&gt;=3,"B",IF('Data Source'!Y372&gt;=2,"C",IF('Data Source'!Y372&gt;=1,"D","F")))))))</f>
        <v/>
      </c>
      <c r="H372" s="3">
        <f>IF('Data Source'!B372="","",IF('Data Source'!Z372&gt;=5,"A+",IF('Data Source'!Z372&gt;=4,"A",IF('Data Source'!Z372&gt;=3.5,"A-",IF('Data Source'!Z372&gt;=3,"B",IF('Data Source'!Z372&gt;=2,"C",IF('Data Source'!Z372&gt;=1,"D","F")))))))</f>
        <v/>
      </c>
      <c r="I372" s="3">
        <f>IF('Data Source'!B372="","",IF('Data Source'!AA372&gt;=5,"A+",IF('Data Source'!AA372&gt;=4,"A",IF('Data Source'!AA372&gt;=3.5,"A-",IF('Data Source'!AA372&gt;=3,"B",IF('Data Source'!AA372&gt;=2,"C",IF('Data Source'!AA372&gt;=1,"D","F")))))))</f>
        <v/>
      </c>
      <c r="J372" s="3">
        <f>IF('Data Source'!B372="","",IF('Data Source'!AB372&gt;=5,"A+",IF('Data Source'!AB372&gt;=4,"A",IF('Data Source'!AB372&gt;=3.5,"A-",IF('Data Source'!AB372&gt;=3,"B",IF('Data Source'!AB372&gt;=2,"C",IF('Data Source'!AB372&gt;=1,"D","F")))))))</f>
        <v/>
      </c>
      <c r="K372" s="3">
        <f>IF('Data Source'!B372="","",IF('Data Source'!AC372&gt;=5,"A+",IF('Data Source'!AC372&gt;=4,"A",IF('Data Source'!AC372&gt;=3.5,"A-",IF('Data Source'!AC372&gt;=3,"B",IF('Data Source'!AC372&gt;=2,"C",IF('Data Source'!AC372&gt;=1,"D","F")))))))</f>
        <v/>
      </c>
      <c r="L372" s="3">
        <f>IF('Data Source'!B372="","",IF('Data Source'!AD372&gt;=5,"A+",IF('Data Source'!AD372&gt;=4,"A",IF('Data Source'!AD372&gt;=3.5,"A-",IF('Data Source'!AD372&gt;=3,"B",IF('Data Source'!AD372&gt;=2,"C",IF('Data Source'!AD372&gt;=1,"D","F")))))))</f>
        <v/>
      </c>
      <c r="M372" s="3">
        <f>IF('Data Source'!B372="","",IF('Data Source'!AE372&gt;=5,"A+",IF('Data Source'!AE372&gt;=4,"A",IF('Data Source'!AE372&gt;=3.5,"A-",IF('Data Source'!AE372&gt;=3,"B",IF('Data Source'!AE372&gt;=2,"C",IF('Data Source'!AE372&gt;=1,"D","F")))))))</f>
        <v/>
      </c>
      <c r="N372" s="3">
        <f>IF('Data Source'!B372="","",IF('Data Source'!AF372&gt;=5,"A+",IF('Data Source'!AF372&gt;=4,"A",IF('Data Source'!AF372&gt;=3.5,"A-",IF('Data Source'!AF372&gt;=3,"B",IF('Data Source'!AF372&gt;=2,"C",IF('Data Source'!AF372&gt;=1,"D","F")))))))</f>
        <v/>
      </c>
      <c r="O372" s="3">
        <f>IF('Data Source'!B372="","",IF('Data Source'!AG372&gt;=5,"A+",IF('Data Source'!AG372&gt;=4,"A",IF('Data Source'!AG372&gt;=3.5,"A-",IF('Data Source'!AG372&gt;=3,"B",IF('Data Source'!AG372&gt;=2,"C",IF('Data Source'!AG372&gt;=1,"D","F")))))))</f>
        <v/>
      </c>
      <c r="P372" s="5">
        <f>IF('Data Source'!B372="","",'Data Source'!R372)</f>
        <v/>
      </c>
      <c r="Q372" s="3">
        <f>IF('Data Source'!B372="","",'Data Source'!S372)</f>
        <v/>
      </c>
    </row>
    <row r="373">
      <c r="A373" s="3">
        <f>IF('Data Source'!B373="","",'Data Source'!A373)</f>
        <v/>
      </c>
      <c r="B373">
        <f>IF('Data Source'!B373="","",'Data Source'!B373)</f>
        <v/>
      </c>
      <c r="C373" s="3">
        <f>IF('Data Source'!B373="","",IF('Data Source'!U373&gt;=5,"A+",IF('Data Source'!U373&gt;=4,"A",IF('Data Source'!U373&gt;=3.5,"A-",IF('Data Source'!U373&gt;=3,"B",IF('Data Source'!U373&gt;=2,"C",IF('Data Source'!U373&gt;=1,"D","F")))))))</f>
        <v/>
      </c>
      <c r="D373" s="3">
        <f>IF('Data Source'!B373="","",IF('Data Source'!V373&gt;=5,"A+",IF('Data Source'!V373&gt;=4,"A",IF('Data Source'!V373&gt;=3.5,"A-",IF('Data Source'!V373&gt;=3,"B",IF('Data Source'!V373&gt;=2,"C",IF('Data Source'!V373&gt;=1,"D","F")))))))</f>
        <v/>
      </c>
      <c r="E373" s="3">
        <f>IF('Data Source'!B373="","",IF('Data Source'!W373&gt;=5,"A+",IF('Data Source'!W373&gt;=4,"A",IF('Data Source'!W373&gt;=3.5,"A-",IF('Data Source'!W373&gt;=3,"B",IF('Data Source'!W373&gt;=2,"C",IF('Data Source'!W373&gt;=1,"D","F")))))))</f>
        <v/>
      </c>
      <c r="F373" s="3">
        <f>IF('Data Source'!B373="","",IF('Data Source'!X373&gt;=5,"A+",IF('Data Source'!X373&gt;=4,"A",IF('Data Source'!X373&gt;=3.5,"A-",IF('Data Source'!X373&gt;=3,"B",IF('Data Source'!X373&gt;=2,"C",IF('Data Source'!X373&gt;=1,"D","F")))))))</f>
        <v/>
      </c>
      <c r="G373" s="3">
        <f>IF('Data Source'!B373="","",IF('Data Source'!Y373&gt;=5,"A+",IF('Data Source'!Y373&gt;=4,"A",IF('Data Source'!Y373&gt;=3.5,"A-",IF('Data Source'!Y373&gt;=3,"B",IF('Data Source'!Y373&gt;=2,"C",IF('Data Source'!Y373&gt;=1,"D","F")))))))</f>
        <v/>
      </c>
      <c r="H373" s="3">
        <f>IF('Data Source'!B373="","",IF('Data Source'!Z373&gt;=5,"A+",IF('Data Source'!Z373&gt;=4,"A",IF('Data Source'!Z373&gt;=3.5,"A-",IF('Data Source'!Z373&gt;=3,"B",IF('Data Source'!Z373&gt;=2,"C",IF('Data Source'!Z373&gt;=1,"D","F")))))))</f>
        <v/>
      </c>
      <c r="I373" s="3">
        <f>IF('Data Source'!B373="","",IF('Data Source'!AA373&gt;=5,"A+",IF('Data Source'!AA373&gt;=4,"A",IF('Data Source'!AA373&gt;=3.5,"A-",IF('Data Source'!AA373&gt;=3,"B",IF('Data Source'!AA373&gt;=2,"C",IF('Data Source'!AA373&gt;=1,"D","F")))))))</f>
        <v/>
      </c>
      <c r="J373" s="3">
        <f>IF('Data Source'!B373="","",IF('Data Source'!AB373&gt;=5,"A+",IF('Data Source'!AB373&gt;=4,"A",IF('Data Source'!AB373&gt;=3.5,"A-",IF('Data Source'!AB373&gt;=3,"B",IF('Data Source'!AB373&gt;=2,"C",IF('Data Source'!AB373&gt;=1,"D","F")))))))</f>
        <v/>
      </c>
      <c r="K373" s="3">
        <f>IF('Data Source'!B373="","",IF('Data Source'!AC373&gt;=5,"A+",IF('Data Source'!AC373&gt;=4,"A",IF('Data Source'!AC373&gt;=3.5,"A-",IF('Data Source'!AC373&gt;=3,"B",IF('Data Source'!AC373&gt;=2,"C",IF('Data Source'!AC373&gt;=1,"D","F")))))))</f>
        <v/>
      </c>
      <c r="L373" s="3">
        <f>IF('Data Source'!B373="","",IF('Data Source'!AD373&gt;=5,"A+",IF('Data Source'!AD373&gt;=4,"A",IF('Data Source'!AD373&gt;=3.5,"A-",IF('Data Source'!AD373&gt;=3,"B",IF('Data Source'!AD373&gt;=2,"C",IF('Data Source'!AD373&gt;=1,"D","F")))))))</f>
        <v/>
      </c>
      <c r="M373" s="3">
        <f>IF('Data Source'!B373="","",IF('Data Source'!AE373&gt;=5,"A+",IF('Data Source'!AE373&gt;=4,"A",IF('Data Source'!AE373&gt;=3.5,"A-",IF('Data Source'!AE373&gt;=3,"B",IF('Data Source'!AE373&gt;=2,"C",IF('Data Source'!AE373&gt;=1,"D","F")))))))</f>
        <v/>
      </c>
      <c r="N373" s="3">
        <f>IF('Data Source'!B373="","",IF('Data Source'!AF373&gt;=5,"A+",IF('Data Source'!AF373&gt;=4,"A",IF('Data Source'!AF373&gt;=3.5,"A-",IF('Data Source'!AF373&gt;=3,"B",IF('Data Source'!AF373&gt;=2,"C",IF('Data Source'!AF373&gt;=1,"D","F")))))))</f>
        <v/>
      </c>
      <c r="O373" s="3">
        <f>IF('Data Source'!B373="","",IF('Data Source'!AG373&gt;=5,"A+",IF('Data Source'!AG373&gt;=4,"A",IF('Data Source'!AG373&gt;=3.5,"A-",IF('Data Source'!AG373&gt;=3,"B",IF('Data Source'!AG373&gt;=2,"C",IF('Data Source'!AG373&gt;=1,"D","F")))))))</f>
        <v/>
      </c>
      <c r="P373" s="5">
        <f>IF('Data Source'!B373="","",'Data Source'!R373)</f>
        <v/>
      </c>
      <c r="Q373" s="3">
        <f>IF('Data Source'!B373="","",'Data Source'!S373)</f>
        <v/>
      </c>
    </row>
    <row r="374">
      <c r="A374" s="3">
        <f>IF('Data Source'!B374="","",'Data Source'!A374)</f>
        <v/>
      </c>
      <c r="B374">
        <f>IF('Data Source'!B374="","",'Data Source'!B374)</f>
        <v/>
      </c>
      <c r="C374" s="3">
        <f>IF('Data Source'!B374="","",IF('Data Source'!U374&gt;=5,"A+",IF('Data Source'!U374&gt;=4,"A",IF('Data Source'!U374&gt;=3.5,"A-",IF('Data Source'!U374&gt;=3,"B",IF('Data Source'!U374&gt;=2,"C",IF('Data Source'!U374&gt;=1,"D","F")))))))</f>
        <v/>
      </c>
      <c r="D374" s="3">
        <f>IF('Data Source'!B374="","",IF('Data Source'!V374&gt;=5,"A+",IF('Data Source'!V374&gt;=4,"A",IF('Data Source'!V374&gt;=3.5,"A-",IF('Data Source'!V374&gt;=3,"B",IF('Data Source'!V374&gt;=2,"C",IF('Data Source'!V374&gt;=1,"D","F")))))))</f>
        <v/>
      </c>
      <c r="E374" s="3">
        <f>IF('Data Source'!B374="","",IF('Data Source'!W374&gt;=5,"A+",IF('Data Source'!W374&gt;=4,"A",IF('Data Source'!W374&gt;=3.5,"A-",IF('Data Source'!W374&gt;=3,"B",IF('Data Source'!W374&gt;=2,"C",IF('Data Source'!W374&gt;=1,"D","F")))))))</f>
        <v/>
      </c>
      <c r="F374" s="3">
        <f>IF('Data Source'!B374="","",IF('Data Source'!X374&gt;=5,"A+",IF('Data Source'!X374&gt;=4,"A",IF('Data Source'!X374&gt;=3.5,"A-",IF('Data Source'!X374&gt;=3,"B",IF('Data Source'!X374&gt;=2,"C",IF('Data Source'!X374&gt;=1,"D","F")))))))</f>
        <v/>
      </c>
      <c r="G374" s="3">
        <f>IF('Data Source'!B374="","",IF('Data Source'!Y374&gt;=5,"A+",IF('Data Source'!Y374&gt;=4,"A",IF('Data Source'!Y374&gt;=3.5,"A-",IF('Data Source'!Y374&gt;=3,"B",IF('Data Source'!Y374&gt;=2,"C",IF('Data Source'!Y374&gt;=1,"D","F")))))))</f>
        <v/>
      </c>
      <c r="H374" s="3">
        <f>IF('Data Source'!B374="","",IF('Data Source'!Z374&gt;=5,"A+",IF('Data Source'!Z374&gt;=4,"A",IF('Data Source'!Z374&gt;=3.5,"A-",IF('Data Source'!Z374&gt;=3,"B",IF('Data Source'!Z374&gt;=2,"C",IF('Data Source'!Z374&gt;=1,"D","F")))))))</f>
        <v/>
      </c>
      <c r="I374" s="3">
        <f>IF('Data Source'!B374="","",IF('Data Source'!AA374&gt;=5,"A+",IF('Data Source'!AA374&gt;=4,"A",IF('Data Source'!AA374&gt;=3.5,"A-",IF('Data Source'!AA374&gt;=3,"B",IF('Data Source'!AA374&gt;=2,"C",IF('Data Source'!AA374&gt;=1,"D","F")))))))</f>
        <v/>
      </c>
      <c r="J374" s="3">
        <f>IF('Data Source'!B374="","",IF('Data Source'!AB374&gt;=5,"A+",IF('Data Source'!AB374&gt;=4,"A",IF('Data Source'!AB374&gt;=3.5,"A-",IF('Data Source'!AB374&gt;=3,"B",IF('Data Source'!AB374&gt;=2,"C",IF('Data Source'!AB374&gt;=1,"D","F")))))))</f>
        <v/>
      </c>
      <c r="K374" s="3">
        <f>IF('Data Source'!B374="","",IF('Data Source'!AC374&gt;=5,"A+",IF('Data Source'!AC374&gt;=4,"A",IF('Data Source'!AC374&gt;=3.5,"A-",IF('Data Source'!AC374&gt;=3,"B",IF('Data Source'!AC374&gt;=2,"C",IF('Data Source'!AC374&gt;=1,"D","F")))))))</f>
        <v/>
      </c>
      <c r="L374" s="3">
        <f>IF('Data Source'!B374="","",IF('Data Source'!AD374&gt;=5,"A+",IF('Data Source'!AD374&gt;=4,"A",IF('Data Source'!AD374&gt;=3.5,"A-",IF('Data Source'!AD374&gt;=3,"B",IF('Data Source'!AD374&gt;=2,"C",IF('Data Source'!AD374&gt;=1,"D","F")))))))</f>
        <v/>
      </c>
      <c r="M374" s="3">
        <f>IF('Data Source'!B374="","",IF('Data Source'!AE374&gt;=5,"A+",IF('Data Source'!AE374&gt;=4,"A",IF('Data Source'!AE374&gt;=3.5,"A-",IF('Data Source'!AE374&gt;=3,"B",IF('Data Source'!AE374&gt;=2,"C",IF('Data Source'!AE374&gt;=1,"D","F")))))))</f>
        <v/>
      </c>
      <c r="N374" s="3">
        <f>IF('Data Source'!B374="","",IF('Data Source'!AF374&gt;=5,"A+",IF('Data Source'!AF374&gt;=4,"A",IF('Data Source'!AF374&gt;=3.5,"A-",IF('Data Source'!AF374&gt;=3,"B",IF('Data Source'!AF374&gt;=2,"C",IF('Data Source'!AF374&gt;=1,"D","F")))))))</f>
        <v/>
      </c>
      <c r="O374" s="3">
        <f>IF('Data Source'!B374="","",IF('Data Source'!AG374&gt;=5,"A+",IF('Data Source'!AG374&gt;=4,"A",IF('Data Source'!AG374&gt;=3.5,"A-",IF('Data Source'!AG374&gt;=3,"B",IF('Data Source'!AG374&gt;=2,"C",IF('Data Source'!AG374&gt;=1,"D","F")))))))</f>
        <v/>
      </c>
      <c r="P374" s="5">
        <f>IF('Data Source'!B374="","",'Data Source'!R374)</f>
        <v/>
      </c>
      <c r="Q374" s="3">
        <f>IF('Data Source'!B374="","",'Data Source'!S374)</f>
        <v/>
      </c>
    </row>
    <row r="375">
      <c r="A375" s="3">
        <f>IF('Data Source'!B375="","",'Data Source'!A375)</f>
        <v/>
      </c>
      <c r="B375">
        <f>IF('Data Source'!B375="","",'Data Source'!B375)</f>
        <v/>
      </c>
      <c r="C375" s="3">
        <f>IF('Data Source'!B375="","",IF('Data Source'!U375&gt;=5,"A+",IF('Data Source'!U375&gt;=4,"A",IF('Data Source'!U375&gt;=3.5,"A-",IF('Data Source'!U375&gt;=3,"B",IF('Data Source'!U375&gt;=2,"C",IF('Data Source'!U375&gt;=1,"D","F")))))))</f>
        <v/>
      </c>
      <c r="D375" s="3">
        <f>IF('Data Source'!B375="","",IF('Data Source'!V375&gt;=5,"A+",IF('Data Source'!V375&gt;=4,"A",IF('Data Source'!V375&gt;=3.5,"A-",IF('Data Source'!V375&gt;=3,"B",IF('Data Source'!V375&gt;=2,"C",IF('Data Source'!V375&gt;=1,"D","F")))))))</f>
        <v/>
      </c>
      <c r="E375" s="3">
        <f>IF('Data Source'!B375="","",IF('Data Source'!W375&gt;=5,"A+",IF('Data Source'!W375&gt;=4,"A",IF('Data Source'!W375&gt;=3.5,"A-",IF('Data Source'!W375&gt;=3,"B",IF('Data Source'!W375&gt;=2,"C",IF('Data Source'!W375&gt;=1,"D","F")))))))</f>
        <v/>
      </c>
      <c r="F375" s="3">
        <f>IF('Data Source'!B375="","",IF('Data Source'!X375&gt;=5,"A+",IF('Data Source'!X375&gt;=4,"A",IF('Data Source'!X375&gt;=3.5,"A-",IF('Data Source'!X375&gt;=3,"B",IF('Data Source'!X375&gt;=2,"C",IF('Data Source'!X375&gt;=1,"D","F")))))))</f>
        <v/>
      </c>
      <c r="G375" s="3">
        <f>IF('Data Source'!B375="","",IF('Data Source'!Y375&gt;=5,"A+",IF('Data Source'!Y375&gt;=4,"A",IF('Data Source'!Y375&gt;=3.5,"A-",IF('Data Source'!Y375&gt;=3,"B",IF('Data Source'!Y375&gt;=2,"C",IF('Data Source'!Y375&gt;=1,"D","F")))))))</f>
        <v/>
      </c>
      <c r="H375" s="3">
        <f>IF('Data Source'!B375="","",IF('Data Source'!Z375&gt;=5,"A+",IF('Data Source'!Z375&gt;=4,"A",IF('Data Source'!Z375&gt;=3.5,"A-",IF('Data Source'!Z375&gt;=3,"B",IF('Data Source'!Z375&gt;=2,"C",IF('Data Source'!Z375&gt;=1,"D","F")))))))</f>
        <v/>
      </c>
      <c r="I375" s="3">
        <f>IF('Data Source'!B375="","",IF('Data Source'!AA375&gt;=5,"A+",IF('Data Source'!AA375&gt;=4,"A",IF('Data Source'!AA375&gt;=3.5,"A-",IF('Data Source'!AA375&gt;=3,"B",IF('Data Source'!AA375&gt;=2,"C",IF('Data Source'!AA375&gt;=1,"D","F")))))))</f>
        <v/>
      </c>
      <c r="J375" s="3">
        <f>IF('Data Source'!B375="","",IF('Data Source'!AB375&gt;=5,"A+",IF('Data Source'!AB375&gt;=4,"A",IF('Data Source'!AB375&gt;=3.5,"A-",IF('Data Source'!AB375&gt;=3,"B",IF('Data Source'!AB375&gt;=2,"C",IF('Data Source'!AB375&gt;=1,"D","F")))))))</f>
        <v/>
      </c>
      <c r="K375" s="3">
        <f>IF('Data Source'!B375="","",IF('Data Source'!AC375&gt;=5,"A+",IF('Data Source'!AC375&gt;=4,"A",IF('Data Source'!AC375&gt;=3.5,"A-",IF('Data Source'!AC375&gt;=3,"B",IF('Data Source'!AC375&gt;=2,"C",IF('Data Source'!AC375&gt;=1,"D","F")))))))</f>
        <v/>
      </c>
      <c r="L375" s="3">
        <f>IF('Data Source'!B375="","",IF('Data Source'!AD375&gt;=5,"A+",IF('Data Source'!AD375&gt;=4,"A",IF('Data Source'!AD375&gt;=3.5,"A-",IF('Data Source'!AD375&gt;=3,"B",IF('Data Source'!AD375&gt;=2,"C",IF('Data Source'!AD375&gt;=1,"D","F")))))))</f>
        <v/>
      </c>
      <c r="M375" s="3">
        <f>IF('Data Source'!B375="","",IF('Data Source'!AE375&gt;=5,"A+",IF('Data Source'!AE375&gt;=4,"A",IF('Data Source'!AE375&gt;=3.5,"A-",IF('Data Source'!AE375&gt;=3,"B",IF('Data Source'!AE375&gt;=2,"C",IF('Data Source'!AE375&gt;=1,"D","F")))))))</f>
        <v/>
      </c>
      <c r="N375" s="3">
        <f>IF('Data Source'!B375="","",IF('Data Source'!AF375&gt;=5,"A+",IF('Data Source'!AF375&gt;=4,"A",IF('Data Source'!AF375&gt;=3.5,"A-",IF('Data Source'!AF375&gt;=3,"B",IF('Data Source'!AF375&gt;=2,"C",IF('Data Source'!AF375&gt;=1,"D","F")))))))</f>
        <v/>
      </c>
      <c r="O375" s="3">
        <f>IF('Data Source'!B375="","",IF('Data Source'!AG375&gt;=5,"A+",IF('Data Source'!AG375&gt;=4,"A",IF('Data Source'!AG375&gt;=3.5,"A-",IF('Data Source'!AG375&gt;=3,"B",IF('Data Source'!AG375&gt;=2,"C",IF('Data Source'!AG375&gt;=1,"D","F")))))))</f>
        <v/>
      </c>
      <c r="P375" s="5">
        <f>IF('Data Source'!B375="","",'Data Source'!R375)</f>
        <v/>
      </c>
      <c r="Q375" s="3">
        <f>IF('Data Source'!B375="","",'Data Source'!S375)</f>
        <v/>
      </c>
    </row>
    <row r="376">
      <c r="A376" s="3">
        <f>IF('Data Source'!B376="","",'Data Source'!A376)</f>
        <v/>
      </c>
      <c r="B376">
        <f>IF('Data Source'!B376="","",'Data Source'!B376)</f>
        <v/>
      </c>
      <c r="C376" s="3">
        <f>IF('Data Source'!B376="","",IF('Data Source'!U376&gt;=5,"A+",IF('Data Source'!U376&gt;=4,"A",IF('Data Source'!U376&gt;=3.5,"A-",IF('Data Source'!U376&gt;=3,"B",IF('Data Source'!U376&gt;=2,"C",IF('Data Source'!U376&gt;=1,"D","F")))))))</f>
        <v/>
      </c>
      <c r="D376" s="3">
        <f>IF('Data Source'!B376="","",IF('Data Source'!V376&gt;=5,"A+",IF('Data Source'!V376&gt;=4,"A",IF('Data Source'!V376&gt;=3.5,"A-",IF('Data Source'!V376&gt;=3,"B",IF('Data Source'!V376&gt;=2,"C",IF('Data Source'!V376&gt;=1,"D","F")))))))</f>
        <v/>
      </c>
      <c r="E376" s="3">
        <f>IF('Data Source'!B376="","",IF('Data Source'!W376&gt;=5,"A+",IF('Data Source'!W376&gt;=4,"A",IF('Data Source'!W376&gt;=3.5,"A-",IF('Data Source'!W376&gt;=3,"B",IF('Data Source'!W376&gt;=2,"C",IF('Data Source'!W376&gt;=1,"D","F")))))))</f>
        <v/>
      </c>
      <c r="F376" s="3">
        <f>IF('Data Source'!B376="","",IF('Data Source'!X376&gt;=5,"A+",IF('Data Source'!X376&gt;=4,"A",IF('Data Source'!X376&gt;=3.5,"A-",IF('Data Source'!X376&gt;=3,"B",IF('Data Source'!X376&gt;=2,"C",IF('Data Source'!X376&gt;=1,"D","F")))))))</f>
        <v/>
      </c>
      <c r="G376" s="3">
        <f>IF('Data Source'!B376="","",IF('Data Source'!Y376&gt;=5,"A+",IF('Data Source'!Y376&gt;=4,"A",IF('Data Source'!Y376&gt;=3.5,"A-",IF('Data Source'!Y376&gt;=3,"B",IF('Data Source'!Y376&gt;=2,"C",IF('Data Source'!Y376&gt;=1,"D","F")))))))</f>
        <v/>
      </c>
      <c r="H376" s="3">
        <f>IF('Data Source'!B376="","",IF('Data Source'!Z376&gt;=5,"A+",IF('Data Source'!Z376&gt;=4,"A",IF('Data Source'!Z376&gt;=3.5,"A-",IF('Data Source'!Z376&gt;=3,"B",IF('Data Source'!Z376&gt;=2,"C",IF('Data Source'!Z376&gt;=1,"D","F")))))))</f>
        <v/>
      </c>
      <c r="I376" s="3">
        <f>IF('Data Source'!B376="","",IF('Data Source'!AA376&gt;=5,"A+",IF('Data Source'!AA376&gt;=4,"A",IF('Data Source'!AA376&gt;=3.5,"A-",IF('Data Source'!AA376&gt;=3,"B",IF('Data Source'!AA376&gt;=2,"C",IF('Data Source'!AA376&gt;=1,"D","F")))))))</f>
        <v/>
      </c>
      <c r="J376" s="3">
        <f>IF('Data Source'!B376="","",IF('Data Source'!AB376&gt;=5,"A+",IF('Data Source'!AB376&gt;=4,"A",IF('Data Source'!AB376&gt;=3.5,"A-",IF('Data Source'!AB376&gt;=3,"B",IF('Data Source'!AB376&gt;=2,"C",IF('Data Source'!AB376&gt;=1,"D","F")))))))</f>
        <v/>
      </c>
      <c r="K376" s="3">
        <f>IF('Data Source'!B376="","",IF('Data Source'!AC376&gt;=5,"A+",IF('Data Source'!AC376&gt;=4,"A",IF('Data Source'!AC376&gt;=3.5,"A-",IF('Data Source'!AC376&gt;=3,"B",IF('Data Source'!AC376&gt;=2,"C",IF('Data Source'!AC376&gt;=1,"D","F")))))))</f>
        <v/>
      </c>
      <c r="L376" s="3">
        <f>IF('Data Source'!B376="","",IF('Data Source'!AD376&gt;=5,"A+",IF('Data Source'!AD376&gt;=4,"A",IF('Data Source'!AD376&gt;=3.5,"A-",IF('Data Source'!AD376&gt;=3,"B",IF('Data Source'!AD376&gt;=2,"C",IF('Data Source'!AD376&gt;=1,"D","F")))))))</f>
        <v/>
      </c>
      <c r="M376" s="3">
        <f>IF('Data Source'!B376="","",IF('Data Source'!AE376&gt;=5,"A+",IF('Data Source'!AE376&gt;=4,"A",IF('Data Source'!AE376&gt;=3.5,"A-",IF('Data Source'!AE376&gt;=3,"B",IF('Data Source'!AE376&gt;=2,"C",IF('Data Source'!AE376&gt;=1,"D","F")))))))</f>
        <v/>
      </c>
      <c r="N376" s="3">
        <f>IF('Data Source'!B376="","",IF('Data Source'!AF376&gt;=5,"A+",IF('Data Source'!AF376&gt;=4,"A",IF('Data Source'!AF376&gt;=3.5,"A-",IF('Data Source'!AF376&gt;=3,"B",IF('Data Source'!AF376&gt;=2,"C",IF('Data Source'!AF376&gt;=1,"D","F")))))))</f>
        <v/>
      </c>
      <c r="O376" s="3">
        <f>IF('Data Source'!B376="","",IF('Data Source'!AG376&gt;=5,"A+",IF('Data Source'!AG376&gt;=4,"A",IF('Data Source'!AG376&gt;=3.5,"A-",IF('Data Source'!AG376&gt;=3,"B",IF('Data Source'!AG376&gt;=2,"C",IF('Data Source'!AG376&gt;=1,"D","F")))))))</f>
        <v/>
      </c>
      <c r="P376" s="5">
        <f>IF('Data Source'!B376="","",'Data Source'!R376)</f>
        <v/>
      </c>
      <c r="Q376" s="3">
        <f>IF('Data Source'!B376="","",'Data Source'!S376)</f>
        <v/>
      </c>
    </row>
    <row r="377">
      <c r="A377" s="3">
        <f>IF('Data Source'!B377="","",'Data Source'!A377)</f>
        <v/>
      </c>
      <c r="B377">
        <f>IF('Data Source'!B377="","",'Data Source'!B377)</f>
        <v/>
      </c>
      <c r="C377" s="3">
        <f>IF('Data Source'!B377="","",IF('Data Source'!U377&gt;=5,"A+",IF('Data Source'!U377&gt;=4,"A",IF('Data Source'!U377&gt;=3.5,"A-",IF('Data Source'!U377&gt;=3,"B",IF('Data Source'!U377&gt;=2,"C",IF('Data Source'!U377&gt;=1,"D","F")))))))</f>
        <v/>
      </c>
      <c r="D377" s="3">
        <f>IF('Data Source'!B377="","",IF('Data Source'!V377&gt;=5,"A+",IF('Data Source'!V377&gt;=4,"A",IF('Data Source'!V377&gt;=3.5,"A-",IF('Data Source'!V377&gt;=3,"B",IF('Data Source'!V377&gt;=2,"C",IF('Data Source'!V377&gt;=1,"D","F")))))))</f>
        <v/>
      </c>
      <c r="E377" s="3">
        <f>IF('Data Source'!B377="","",IF('Data Source'!W377&gt;=5,"A+",IF('Data Source'!W377&gt;=4,"A",IF('Data Source'!W377&gt;=3.5,"A-",IF('Data Source'!W377&gt;=3,"B",IF('Data Source'!W377&gt;=2,"C",IF('Data Source'!W377&gt;=1,"D","F")))))))</f>
        <v/>
      </c>
      <c r="F377" s="3">
        <f>IF('Data Source'!B377="","",IF('Data Source'!X377&gt;=5,"A+",IF('Data Source'!X377&gt;=4,"A",IF('Data Source'!X377&gt;=3.5,"A-",IF('Data Source'!X377&gt;=3,"B",IF('Data Source'!X377&gt;=2,"C",IF('Data Source'!X377&gt;=1,"D","F")))))))</f>
        <v/>
      </c>
      <c r="G377" s="3">
        <f>IF('Data Source'!B377="","",IF('Data Source'!Y377&gt;=5,"A+",IF('Data Source'!Y377&gt;=4,"A",IF('Data Source'!Y377&gt;=3.5,"A-",IF('Data Source'!Y377&gt;=3,"B",IF('Data Source'!Y377&gt;=2,"C",IF('Data Source'!Y377&gt;=1,"D","F")))))))</f>
        <v/>
      </c>
      <c r="H377" s="3">
        <f>IF('Data Source'!B377="","",IF('Data Source'!Z377&gt;=5,"A+",IF('Data Source'!Z377&gt;=4,"A",IF('Data Source'!Z377&gt;=3.5,"A-",IF('Data Source'!Z377&gt;=3,"B",IF('Data Source'!Z377&gt;=2,"C",IF('Data Source'!Z377&gt;=1,"D","F")))))))</f>
        <v/>
      </c>
      <c r="I377" s="3">
        <f>IF('Data Source'!B377="","",IF('Data Source'!AA377&gt;=5,"A+",IF('Data Source'!AA377&gt;=4,"A",IF('Data Source'!AA377&gt;=3.5,"A-",IF('Data Source'!AA377&gt;=3,"B",IF('Data Source'!AA377&gt;=2,"C",IF('Data Source'!AA377&gt;=1,"D","F")))))))</f>
        <v/>
      </c>
      <c r="J377" s="3">
        <f>IF('Data Source'!B377="","",IF('Data Source'!AB377&gt;=5,"A+",IF('Data Source'!AB377&gt;=4,"A",IF('Data Source'!AB377&gt;=3.5,"A-",IF('Data Source'!AB377&gt;=3,"B",IF('Data Source'!AB377&gt;=2,"C",IF('Data Source'!AB377&gt;=1,"D","F")))))))</f>
        <v/>
      </c>
      <c r="K377" s="3">
        <f>IF('Data Source'!B377="","",IF('Data Source'!AC377&gt;=5,"A+",IF('Data Source'!AC377&gt;=4,"A",IF('Data Source'!AC377&gt;=3.5,"A-",IF('Data Source'!AC377&gt;=3,"B",IF('Data Source'!AC377&gt;=2,"C",IF('Data Source'!AC377&gt;=1,"D","F")))))))</f>
        <v/>
      </c>
      <c r="L377" s="3">
        <f>IF('Data Source'!B377="","",IF('Data Source'!AD377&gt;=5,"A+",IF('Data Source'!AD377&gt;=4,"A",IF('Data Source'!AD377&gt;=3.5,"A-",IF('Data Source'!AD377&gt;=3,"B",IF('Data Source'!AD377&gt;=2,"C",IF('Data Source'!AD377&gt;=1,"D","F")))))))</f>
        <v/>
      </c>
      <c r="M377" s="3">
        <f>IF('Data Source'!B377="","",IF('Data Source'!AE377&gt;=5,"A+",IF('Data Source'!AE377&gt;=4,"A",IF('Data Source'!AE377&gt;=3.5,"A-",IF('Data Source'!AE377&gt;=3,"B",IF('Data Source'!AE377&gt;=2,"C",IF('Data Source'!AE377&gt;=1,"D","F")))))))</f>
        <v/>
      </c>
      <c r="N377" s="3">
        <f>IF('Data Source'!B377="","",IF('Data Source'!AF377&gt;=5,"A+",IF('Data Source'!AF377&gt;=4,"A",IF('Data Source'!AF377&gt;=3.5,"A-",IF('Data Source'!AF377&gt;=3,"B",IF('Data Source'!AF377&gt;=2,"C",IF('Data Source'!AF377&gt;=1,"D","F")))))))</f>
        <v/>
      </c>
      <c r="O377" s="3">
        <f>IF('Data Source'!B377="","",IF('Data Source'!AG377&gt;=5,"A+",IF('Data Source'!AG377&gt;=4,"A",IF('Data Source'!AG377&gt;=3.5,"A-",IF('Data Source'!AG377&gt;=3,"B",IF('Data Source'!AG377&gt;=2,"C",IF('Data Source'!AG377&gt;=1,"D","F")))))))</f>
        <v/>
      </c>
      <c r="P377" s="5">
        <f>IF('Data Source'!B377="","",'Data Source'!R377)</f>
        <v/>
      </c>
      <c r="Q377" s="3">
        <f>IF('Data Source'!B377="","",'Data Source'!S377)</f>
        <v/>
      </c>
    </row>
    <row r="378">
      <c r="A378" s="3">
        <f>IF('Data Source'!B378="","",'Data Source'!A378)</f>
        <v/>
      </c>
      <c r="B378">
        <f>IF('Data Source'!B378="","",'Data Source'!B378)</f>
        <v/>
      </c>
      <c r="C378" s="3">
        <f>IF('Data Source'!B378="","",IF('Data Source'!U378&gt;=5,"A+",IF('Data Source'!U378&gt;=4,"A",IF('Data Source'!U378&gt;=3.5,"A-",IF('Data Source'!U378&gt;=3,"B",IF('Data Source'!U378&gt;=2,"C",IF('Data Source'!U378&gt;=1,"D","F")))))))</f>
        <v/>
      </c>
      <c r="D378" s="3">
        <f>IF('Data Source'!B378="","",IF('Data Source'!V378&gt;=5,"A+",IF('Data Source'!V378&gt;=4,"A",IF('Data Source'!V378&gt;=3.5,"A-",IF('Data Source'!V378&gt;=3,"B",IF('Data Source'!V378&gt;=2,"C",IF('Data Source'!V378&gt;=1,"D","F")))))))</f>
        <v/>
      </c>
      <c r="E378" s="3">
        <f>IF('Data Source'!B378="","",IF('Data Source'!W378&gt;=5,"A+",IF('Data Source'!W378&gt;=4,"A",IF('Data Source'!W378&gt;=3.5,"A-",IF('Data Source'!W378&gt;=3,"B",IF('Data Source'!W378&gt;=2,"C",IF('Data Source'!W378&gt;=1,"D","F")))))))</f>
        <v/>
      </c>
      <c r="F378" s="3">
        <f>IF('Data Source'!B378="","",IF('Data Source'!X378&gt;=5,"A+",IF('Data Source'!X378&gt;=4,"A",IF('Data Source'!X378&gt;=3.5,"A-",IF('Data Source'!X378&gt;=3,"B",IF('Data Source'!X378&gt;=2,"C",IF('Data Source'!X378&gt;=1,"D","F")))))))</f>
        <v/>
      </c>
      <c r="G378" s="3">
        <f>IF('Data Source'!B378="","",IF('Data Source'!Y378&gt;=5,"A+",IF('Data Source'!Y378&gt;=4,"A",IF('Data Source'!Y378&gt;=3.5,"A-",IF('Data Source'!Y378&gt;=3,"B",IF('Data Source'!Y378&gt;=2,"C",IF('Data Source'!Y378&gt;=1,"D","F")))))))</f>
        <v/>
      </c>
      <c r="H378" s="3">
        <f>IF('Data Source'!B378="","",IF('Data Source'!Z378&gt;=5,"A+",IF('Data Source'!Z378&gt;=4,"A",IF('Data Source'!Z378&gt;=3.5,"A-",IF('Data Source'!Z378&gt;=3,"B",IF('Data Source'!Z378&gt;=2,"C",IF('Data Source'!Z378&gt;=1,"D","F")))))))</f>
        <v/>
      </c>
      <c r="I378" s="3">
        <f>IF('Data Source'!B378="","",IF('Data Source'!AA378&gt;=5,"A+",IF('Data Source'!AA378&gt;=4,"A",IF('Data Source'!AA378&gt;=3.5,"A-",IF('Data Source'!AA378&gt;=3,"B",IF('Data Source'!AA378&gt;=2,"C",IF('Data Source'!AA378&gt;=1,"D","F")))))))</f>
        <v/>
      </c>
      <c r="J378" s="3">
        <f>IF('Data Source'!B378="","",IF('Data Source'!AB378&gt;=5,"A+",IF('Data Source'!AB378&gt;=4,"A",IF('Data Source'!AB378&gt;=3.5,"A-",IF('Data Source'!AB378&gt;=3,"B",IF('Data Source'!AB378&gt;=2,"C",IF('Data Source'!AB378&gt;=1,"D","F")))))))</f>
        <v/>
      </c>
      <c r="K378" s="3">
        <f>IF('Data Source'!B378="","",IF('Data Source'!AC378&gt;=5,"A+",IF('Data Source'!AC378&gt;=4,"A",IF('Data Source'!AC378&gt;=3.5,"A-",IF('Data Source'!AC378&gt;=3,"B",IF('Data Source'!AC378&gt;=2,"C",IF('Data Source'!AC378&gt;=1,"D","F")))))))</f>
        <v/>
      </c>
      <c r="L378" s="3">
        <f>IF('Data Source'!B378="","",IF('Data Source'!AD378&gt;=5,"A+",IF('Data Source'!AD378&gt;=4,"A",IF('Data Source'!AD378&gt;=3.5,"A-",IF('Data Source'!AD378&gt;=3,"B",IF('Data Source'!AD378&gt;=2,"C",IF('Data Source'!AD378&gt;=1,"D","F")))))))</f>
        <v/>
      </c>
      <c r="M378" s="3">
        <f>IF('Data Source'!B378="","",IF('Data Source'!AE378&gt;=5,"A+",IF('Data Source'!AE378&gt;=4,"A",IF('Data Source'!AE378&gt;=3.5,"A-",IF('Data Source'!AE378&gt;=3,"B",IF('Data Source'!AE378&gt;=2,"C",IF('Data Source'!AE378&gt;=1,"D","F")))))))</f>
        <v/>
      </c>
      <c r="N378" s="3">
        <f>IF('Data Source'!B378="","",IF('Data Source'!AF378&gt;=5,"A+",IF('Data Source'!AF378&gt;=4,"A",IF('Data Source'!AF378&gt;=3.5,"A-",IF('Data Source'!AF378&gt;=3,"B",IF('Data Source'!AF378&gt;=2,"C",IF('Data Source'!AF378&gt;=1,"D","F")))))))</f>
        <v/>
      </c>
      <c r="O378" s="3">
        <f>IF('Data Source'!B378="","",IF('Data Source'!AG378&gt;=5,"A+",IF('Data Source'!AG378&gt;=4,"A",IF('Data Source'!AG378&gt;=3.5,"A-",IF('Data Source'!AG378&gt;=3,"B",IF('Data Source'!AG378&gt;=2,"C",IF('Data Source'!AG378&gt;=1,"D","F")))))))</f>
        <v/>
      </c>
      <c r="P378" s="5">
        <f>IF('Data Source'!B378="","",'Data Source'!R378)</f>
        <v/>
      </c>
      <c r="Q378" s="3">
        <f>IF('Data Source'!B378="","",'Data Source'!S378)</f>
        <v/>
      </c>
    </row>
    <row r="379">
      <c r="A379" s="3">
        <f>IF('Data Source'!B379="","",'Data Source'!A379)</f>
        <v/>
      </c>
      <c r="B379">
        <f>IF('Data Source'!B379="","",'Data Source'!B379)</f>
        <v/>
      </c>
      <c r="C379" s="3">
        <f>IF('Data Source'!B379="","",IF('Data Source'!U379&gt;=5,"A+",IF('Data Source'!U379&gt;=4,"A",IF('Data Source'!U379&gt;=3.5,"A-",IF('Data Source'!U379&gt;=3,"B",IF('Data Source'!U379&gt;=2,"C",IF('Data Source'!U379&gt;=1,"D","F")))))))</f>
        <v/>
      </c>
      <c r="D379" s="3">
        <f>IF('Data Source'!B379="","",IF('Data Source'!V379&gt;=5,"A+",IF('Data Source'!V379&gt;=4,"A",IF('Data Source'!V379&gt;=3.5,"A-",IF('Data Source'!V379&gt;=3,"B",IF('Data Source'!V379&gt;=2,"C",IF('Data Source'!V379&gt;=1,"D","F")))))))</f>
        <v/>
      </c>
      <c r="E379" s="3">
        <f>IF('Data Source'!B379="","",IF('Data Source'!W379&gt;=5,"A+",IF('Data Source'!W379&gt;=4,"A",IF('Data Source'!W379&gt;=3.5,"A-",IF('Data Source'!W379&gt;=3,"B",IF('Data Source'!W379&gt;=2,"C",IF('Data Source'!W379&gt;=1,"D","F")))))))</f>
        <v/>
      </c>
      <c r="F379" s="3">
        <f>IF('Data Source'!B379="","",IF('Data Source'!X379&gt;=5,"A+",IF('Data Source'!X379&gt;=4,"A",IF('Data Source'!X379&gt;=3.5,"A-",IF('Data Source'!X379&gt;=3,"B",IF('Data Source'!X379&gt;=2,"C",IF('Data Source'!X379&gt;=1,"D","F")))))))</f>
        <v/>
      </c>
      <c r="G379" s="3">
        <f>IF('Data Source'!B379="","",IF('Data Source'!Y379&gt;=5,"A+",IF('Data Source'!Y379&gt;=4,"A",IF('Data Source'!Y379&gt;=3.5,"A-",IF('Data Source'!Y379&gt;=3,"B",IF('Data Source'!Y379&gt;=2,"C",IF('Data Source'!Y379&gt;=1,"D","F")))))))</f>
        <v/>
      </c>
      <c r="H379" s="3">
        <f>IF('Data Source'!B379="","",IF('Data Source'!Z379&gt;=5,"A+",IF('Data Source'!Z379&gt;=4,"A",IF('Data Source'!Z379&gt;=3.5,"A-",IF('Data Source'!Z379&gt;=3,"B",IF('Data Source'!Z379&gt;=2,"C",IF('Data Source'!Z379&gt;=1,"D","F")))))))</f>
        <v/>
      </c>
      <c r="I379" s="3">
        <f>IF('Data Source'!B379="","",IF('Data Source'!AA379&gt;=5,"A+",IF('Data Source'!AA379&gt;=4,"A",IF('Data Source'!AA379&gt;=3.5,"A-",IF('Data Source'!AA379&gt;=3,"B",IF('Data Source'!AA379&gt;=2,"C",IF('Data Source'!AA379&gt;=1,"D","F")))))))</f>
        <v/>
      </c>
      <c r="J379" s="3">
        <f>IF('Data Source'!B379="","",IF('Data Source'!AB379&gt;=5,"A+",IF('Data Source'!AB379&gt;=4,"A",IF('Data Source'!AB379&gt;=3.5,"A-",IF('Data Source'!AB379&gt;=3,"B",IF('Data Source'!AB379&gt;=2,"C",IF('Data Source'!AB379&gt;=1,"D","F")))))))</f>
        <v/>
      </c>
      <c r="K379" s="3">
        <f>IF('Data Source'!B379="","",IF('Data Source'!AC379&gt;=5,"A+",IF('Data Source'!AC379&gt;=4,"A",IF('Data Source'!AC379&gt;=3.5,"A-",IF('Data Source'!AC379&gt;=3,"B",IF('Data Source'!AC379&gt;=2,"C",IF('Data Source'!AC379&gt;=1,"D","F")))))))</f>
        <v/>
      </c>
      <c r="L379" s="3">
        <f>IF('Data Source'!B379="","",IF('Data Source'!AD379&gt;=5,"A+",IF('Data Source'!AD379&gt;=4,"A",IF('Data Source'!AD379&gt;=3.5,"A-",IF('Data Source'!AD379&gt;=3,"B",IF('Data Source'!AD379&gt;=2,"C",IF('Data Source'!AD379&gt;=1,"D","F")))))))</f>
        <v/>
      </c>
      <c r="M379" s="3">
        <f>IF('Data Source'!B379="","",IF('Data Source'!AE379&gt;=5,"A+",IF('Data Source'!AE379&gt;=4,"A",IF('Data Source'!AE379&gt;=3.5,"A-",IF('Data Source'!AE379&gt;=3,"B",IF('Data Source'!AE379&gt;=2,"C",IF('Data Source'!AE379&gt;=1,"D","F")))))))</f>
        <v/>
      </c>
      <c r="N379" s="3">
        <f>IF('Data Source'!B379="","",IF('Data Source'!AF379&gt;=5,"A+",IF('Data Source'!AF379&gt;=4,"A",IF('Data Source'!AF379&gt;=3.5,"A-",IF('Data Source'!AF379&gt;=3,"B",IF('Data Source'!AF379&gt;=2,"C",IF('Data Source'!AF379&gt;=1,"D","F")))))))</f>
        <v/>
      </c>
      <c r="O379" s="3">
        <f>IF('Data Source'!B379="","",IF('Data Source'!AG379&gt;=5,"A+",IF('Data Source'!AG379&gt;=4,"A",IF('Data Source'!AG379&gt;=3.5,"A-",IF('Data Source'!AG379&gt;=3,"B",IF('Data Source'!AG379&gt;=2,"C",IF('Data Source'!AG379&gt;=1,"D","F")))))))</f>
        <v/>
      </c>
      <c r="P379" s="5">
        <f>IF('Data Source'!B379="","",'Data Source'!R379)</f>
        <v/>
      </c>
      <c r="Q379" s="3">
        <f>IF('Data Source'!B379="","",'Data Source'!S379)</f>
        <v/>
      </c>
    </row>
    <row r="380">
      <c r="A380" s="3">
        <f>IF('Data Source'!B380="","",'Data Source'!A380)</f>
        <v/>
      </c>
      <c r="B380">
        <f>IF('Data Source'!B380="","",'Data Source'!B380)</f>
        <v/>
      </c>
      <c r="C380" s="3">
        <f>IF('Data Source'!B380="","",IF('Data Source'!U380&gt;=5,"A+",IF('Data Source'!U380&gt;=4,"A",IF('Data Source'!U380&gt;=3.5,"A-",IF('Data Source'!U380&gt;=3,"B",IF('Data Source'!U380&gt;=2,"C",IF('Data Source'!U380&gt;=1,"D","F")))))))</f>
        <v/>
      </c>
      <c r="D380" s="3">
        <f>IF('Data Source'!B380="","",IF('Data Source'!V380&gt;=5,"A+",IF('Data Source'!V380&gt;=4,"A",IF('Data Source'!V380&gt;=3.5,"A-",IF('Data Source'!V380&gt;=3,"B",IF('Data Source'!V380&gt;=2,"C",IF('Data Source'!V380&gt;=1,"D","F")))))))</f>
        <v/>
      </c>
      <c r="E380" s="3">
        <f>IF('Data Source'!B380="","",IF('Data Source'!W380&gt;=5,"A+",IF('Data Source'!W380&gt;=4,"A",IF('Data Source'!W380&gt;=3.5,"A-",IF('Data Source'!W380&gt;=3,"B",IF('Data Source'!W380&gt;=2,"C",IF('Data Source'!W380&gt;=1,"D","F")))))))</f>
        <v/>
      </c>
      <c r="F380" s="3">
        <f>IF('Data Source'!B380="","",IF('Data Source'!X380&gt;=5,"A+",IF('Data Source'!X380&gt;=4,"A",IF('Data Source'!X380&gt;=3.5,"A-",IF('Data Source'!X380&gt;=3,"B",IF('Data Source'!X380&gt;=2,"C",IF('Data Source'!X380&gt;=1,"D","F")))))))</f>
        <v/>
      </c>
      <c r="G380" s="3">
        <f>IF('Data Source'!B380="","",IF('Data Source'!Y380&gt;=5,"A+",IF('Data Source'!Y380&gt;=4,"A",IF('Data Source'!Y380&gt;=3.5,"A-",IF('Data Source'!Y380&gt;=3,"B",IF('Data Source'!Y380&gt;=2,"C",IF('Data Source'!Y380&gt;=1,"D","F")))))))</f>
        <v/>
      </c>
      <c r="H380" s="3">
        <f>IF('Data Source'!B380="","",IF('Data Source'!Z380&gt;=5,"A+",IF('Data Source'!Z380&gt;=4,"A",IF('Data Source'!Z380&gt;=3.5,"A-",IF('Data Source'!Z380&gt;=3,"B",IF('Data Source'!Z380&gt;=2,"C",IF('Data Source'!Z380&gt;=1,"D","F")))))))</f>
        <v/>
      </c>
      <c r="I380" s="3">
        <f>IF('Data Source'!B380="","",IF('Data Source'!AA380&gt;=5,"A+",IF('Data Source'!AA380&gt;=4,"A",IF('Data Source'!AA380&gt;=3.5,"A-",IF('Data Source'!AA380&gt;=3,"B",IF('Data Source'!AA380&gt;=2,"C",IF('Data Source'!AA380&gt;=1,"D","F")))))))</f>
        <v/>
      </c>
      <c r="J380" s="3">
        <f>IF('Data Source'!B380="","",IF('Data Source'!AB380&gt;=5,"A+",IF('Data Source'!AB380&gt;=4,"A",IF('Data Source'!AB380&gt;=3.5,"A-",IF('Data Source'!AB380&gt;=3,"B",IF('Data Source'!AB380&gt;=2,"C",IF('Data Source'!AB380&gt;=1,"D","F")))))))</f>
        <v/>
      </c>
      <c r="K380" s="3">
        <f>IF('Data Source'!B380="","",IF('Data Source'!AC380&gt;=5,"A+",IF('Data Source'!AC380&gt;=4,"A",IF('Data Source'!AC380&gt;=3.5,"A-",IF('Data Source'!AC380&gt;=3,"B",IF('Data Source'!AC380&gt;=2,"C",IF('Data Source'!AC380&gt;=1,"D","F")))))))</f>
        <v/>
      </c>
      <c r="L380" s="3">
        <f>IF('Data Source'!B380="","",IF('Data Source'!AD380&gt;=5,"A+",IF('Data Source'!AD380&gt;=4,"A",IF('Data Source'!AD380&gt;=3.5,"A-",IF('Data Source'!AD380&gt;=3,"B",IF('Data Source'!AD380&gt;=2,"C",IF('Data Source'!AD380&gt;=1,"D","F")))))))</f>
        <v/>
      </c>
      <c r="M380" s="3">
        <f>IF('Data Source'!B380="","",IF('Data Source'!AE380&gt;=5,"A+",IF('Data Source'!AE380&gt;=4,"A",IF('Data Source'!AE380&gt;=3.5,"A-",IF('Data Source'!AE380&gt;=3,"B",IF('Data Source'!AE380&gt;=2,"C",IF('Data Source'!AE380&gt;=1,"D","F")))))))</f>
        <v/>
      </c>
      <c r="N380" s="3">
        <f>IF('Data Source'!B380="","",IF('Data Source'!AF380&gt;=5,"A+",IF('Data Source'!AF380&gt;=4,"A",IF('Data Source'!AF380&gt;=3.5,"A-",IF('Data Source'!AF380&gt;=3,"B",IF('Data Source'!AF380&gt;=2,"C",IF('Data Source'!AF380&gt;=1,"D","F")))))))</f>
        <v/>
      </c>
      <c r="O380" s="3">
        <f>IF('Data Source'!B380="","",IF('Data Source'!AG380&gt;=5,"A+",IF('Data Source'!AG380&gt;=4,"A",IF('Data Source'!AG380&gt;=3.5,"A-",IF('Data Source'!AG380&gt;=3,"B",IF('Data Source'!AG380&gt;=2,"C",IF('Data Source'!AG380&gt;=1,"D","F")))))))</f>
        <v/>
      </c>
      <c r="P380" s="5">
        <f>IF('Data Source'!B380="","",'Data Source'!R380)</f>
        <v/>
      </c>
      <c r="Q380" s="3">
        <f>IF('Data Source'!B380="","",'Data Source'!S380)</f>
        <v/>
      </c>
    </row>
    <row r="381">
      <c r="A381" s="3">
        <f>IF('Data Source'!B381="","",'Data Source'!A381)</f>
        <v/>
      </c>
      <c r="B381">
        <f>IF('Data Source'!B381="","",'Data Source'!B381)</f>
        <v/>
      </c>
      <c r="C381" s="3">
        <f>IF('Data Source'!B381="","",IF('Data Source'!U381&gt;=5,"A+",IF('Data Source'!U381&gt;=4,"A",IF('Data Source'!U381&gt;=3.5,"A-",IF('Data Source'!U381&gt;=3,"B",IF('Data Source'!U381&gt;=2,"C",IF('Data Source'!U381&gt;=1,"D","F")))))))</f>
        <v/>
      </c>
      <c r="D381" s="3">
        <f>IF('Data Source'!B381="","",IF('Data Source'!V381&gt;=5,"A+",IF('Data Source'!V381&gt;=4,"A",IF('Data Source'!V381&gt;=3.5,"A-",IF('Data Source'!V381&gt;=3,"B",IF('Data Source'!V381&gt;=2,"C",IF('Data Source'!V381&gt;=1,"D","F")))))))</f>
        <v/>
      </c>
      <c r="E381" s="3">
        <f>IF('Data Source'!B381="","",IF('Data Source'!W381&gt;=5,"A+",IF('Data Source'!W381&gt;=4,"A",IF('Data Source'!W381&gt;=3.5,"A-",IF('Data Source'!W381&gt;=3,"B",IF('Data Source'!W381&gt;=2,"C",IF('Data Source'!W381&gt;=1,"D","F")))))))</f>
        <v/>
      </c>
      <c r="F381" s="3">
        <f>IF('Data Source'!B381="","",IF('Data Source'!X381&gt;=5,"A+",IF('Data Source'!X381&gt;=4,"A",IF('Data Source'!X381&gt;=3.5,"A-",IF('Data Source'!X381&gt;=3,"B",IF('Data Source'!X381&gt;=2,"C",IF('Data Source'!X381&gt;=1,"D","F")))))))</f>
        <v/>
      </c>
      <c r="G381" s="3">
        <f>IF('Data Source'!B381="","",IF('Data Source'!Y381&gt;=5,"A+",IF('Data Source'!Y381&gt;=4,"A",IF('Data Source'!Y381&gt;=3.5,"A-",IF('Data Source'!Y381&gt;=3,"B",IF('Data Source'!Y381&gt;=2,"C",IF('Data Source'!Y381&gt;=1,"D","F")))))))</f>
        <v/>
      </c>
      <c r="H381" s="3">
        <f>IF('Data Source'!B381="","",IF('Data Source'!Z381&gt;=5,"A+",IF('Data Source'!Z381&gt;=4,"A",IF('Data Source'!Z381&gt;=3.5,"A-",IF('Data Source'!Z381&gt;=3,"B",IF('Data Source'!Z381&gt;=2,"C",IF('Data Source'!Z381&gt;=1,"D","F")))))))</f>
        <v/>
      </c>
      <c r="I381" s="3">
        <f>IF('Data Source'!B381="","",IF('Data Source'!AA381&gt;=5,"A+",IF('Data Source'!AA381&gt;=4,"A",IF('Data Source'!AA381&gt;=3.5,"A-",IF('Data Source'!AA381&gt;=3,"B",IF('Data Source'!AA381&gt;=2,"C",IF('Data Source'!AA381&gt;=1,"D","F")))))))</f>
        <v/>
      </c>
      <c r="J381" s="3">
        <f>IF('Data Source'!B381="","",IF('Data Source'!AB381&gt;=5,"A+",IF('Data Source'!AB381&gt;=4,"A",IF('Data Source'!AB381&gt;=3.5,"A-",IF('Data Source'!AB381&gt;=3,"B",IF('Data Source'!AB381&gt;=2,"C",IF('Data Source'!AB381&gt;=1,"D","F")))))))</f>
        <v/>
      </c>
      <c r="K381" s="3">
        <f>IF('Data Source'!B381="","",IF('Data Source'!AC381&gt;=5,"A+",IF('Data Source'!AC381&gt;=4,"A",IF('Data Source'!AC381&gt;=3.5,"A-",IF('Data Source'!AC381&gt;=3,"B",IF('Data Source'!AC381&gt;=2,"C",IF('Data Source'!AC381&gt;=1,"D","F")))))))</f>
        <v/>
      </c>
      <c r="L381" s="3">
        <f>IF('Data Source'!B381="","",IF('Data Source'!AD381&gt;=5,"A+",IF('Data Source'!AD381&gt;=4,"A",IF('Data Source'!AD381&gt;=3.5,"A-",IF('Data Source'!AD381&gt;=3,"B",IF('Data Source'!AD381&gt;=2,"C",IF('Data Source'!AD381&gt;=1,"D","F")))))))</f>
        <v/>
      </c>
      <c r="M381" s="3">
        <f>IF('Data Source'!B381="","",IF('Data Source'!AE381&gt;=5,"A+",IF('Data Source'!AE381&gt;=4,"A",IF('Data Source'!AE381&gt;=3.5,"A-",IF('Data Source'!AE381&gt;=3,"B",IF('Data Source'!AE381&gt;=2,"C",IF('Data Source'!AE381&gt;=1,"D","F")))))))</f>
        <v/>
      </c>
      <c r="N381" s="3">
        <f>IF('Data Source'!B381="","",IF('Data Source'!AF381&gt;=5,"A+",IF('Data Source'!AF381&gt;=4,"A",IF('Data Source'!AF381&gt;=3.5,"A-",IF('Data Source'!AF381&gt;=3,"B",IF('Data Source'!AF381&gt;=2,"C",IF('Data Source'!AF381&gt;=1,"D","F")))))))</f>
        <v/>
      </c>
      <c r="O381" s="3">
        <f>IF('Data Source'!B381="","",IF('Data Source'!AG381&gt;=5,"A+",IF('Data Source'!AG381&gt;=4,"A",IF('Data Source'!AG381&gt;=3.5,"A-",IF('Data Source'!AG381&gt;=3,"B",IF('Data Source'!AG381&gt;=2,"C",IF('Data Source'!AG381&gt;=1,"D","F")))))))</f>
        <v/>
      </c>
      <c r="P381" s="5">
        <f>IF('Data Source'!B381="","",'Data Source'!R381)</f>
        <v/>
      </c>
      <c r="Q381" s="3">
        <f>IF('Data Source'!B381="","",'Data Source'!S381)</f>
        <v/>
      </c>
    </row>
    <row r="382">
      <c r="A382" s="3">
        <f>IF('Data Source'!B382="","",'Data Source'!A382)</f>
        <v/>
      </c>
      <c r="B382">
        <f>IF('Data Source'!B382="","",'Data Source'!B382)</f>
        <v/>
      </c>
      <c r="C382" s="3">
        <f>IF('Data Source'!B382="","",IF('Data Source'!U382&gt;=5,"A+",IF('Data Source'!U382&gt;=4,"A",IF('Data Source'!U382&gt;=3.5,"A-",IF('Data Source'!U382&gt;=3,"B",IF('Data Source'!U382&gt;=2,"C",IF('Data Source'!U382&gt;=1,"D","F")))))))</f>
        <v/>
      </c>
      <c r="D382" s="3">
        <f>IF('Data Source'!B382="","",IF('Data Source'!V382&gt;=5,"A+",IF('Data Source'!V382&gt;=4,"A",IF('Data Source'!V382&gt;=3.5,"A-",IF('Data Source'!V382&gt;=3,"B",IF('Data Source'!V382&gt;=2,"C",IF('Data Source'!V382&gt;=1,"D","F")))))))</f>
        <v/>
      </c>
      <c r="E382" s="3">
        <f>IF('Data Source'!B382="","",IF('Data Source'!W382&gt;=5,"A+",IF('Data Source'!W382&gt;=4,"A",IF('Data Source'!W382&gt;=3.5,"A-",IF('Data Source'!W382&gt;=3,"B",IF('Data Source'!W382&gt;=2,"C",IF('Data Source'!W382&gt;=1,"D","F")))))))</f>
        <v/>
      </c>
      <c r="F382" s="3">
        <f>IF('Data Source'!B382="","",IF('Data Source'!X382&gt;=5,"A+",IF('Data Source'!X382&gt;=4,"A",IF('Data Source'!X382&gt;=3.5,"A-",IF('Data Source'!X382&gt;=3,"B",IF('Data Source'!X382&gt;=2,"C",IF('Data Source'!X382&gt;=1,"D","F")))))))</f>
        <v/>
      </c>
      <c r="G382" s="3">
        <f>IF('Data Source'!B382="","",IF('Data Source'!Y382&gt;=5,"A+",IF('Data Source'!Y382&gt;=4,"A",IF('Data Source'!Y382&gt;=3.5,"A-",IF('Data Source'!Y382&gt;=3,"B",IF('Data Source'!Y382&gt;=2,"C",IF('Data Source'!Y382&gt;=1,"D","F")))))))</f>
        <v/>
      </c>
      <c r="H382" s="3">
        <f>IF('Data Source'!B382="","",IF('Data Source'!Z382&gt;=5,"A+",IF('Data Source'!Z382&gt;=4,"A",IF('Data Source'!Z382&gt;=3.5,"A-",IF('Data Source'!Z382&gt;=3,"B",IF('Data Source'!Z382&gt;=2,"C",IF('Data Source'!Z382&gt;=1,"D","F")))))))</f>
        <v/>
      </c>
      <c r="I382" s="3">
        <f>IF('Data Source'!B382="","",IF('Data Source'!AA382&gt;=5,"A+",IF('Data Source'!AA382&gt;=4,"A",IF('Data Source'!AA382&gt;=3.5,"A-",IF('Data Source'!AA382&gt;=3,"B",IF('Data Source'!AA382&gt;=2,"C",IF('Data Source'!AA382&gt;=1,"D","F")))))))</f>
        <v/>
      </c>
      <c r="J382" s="3">
        <f>IF('Data Source'!B382="","",IF('Data Source'!AB382&gt;=5,"A+",IF('Data Source'!AB382&gt;=4,"A",IF('Data Source'!AB382&gt;=3.5,"A-",IF('Data Source'!AB382&gt;=3,"B",IF('Data Source'!AB382&gt;=2,"C",IF('Data Source'!AB382&gt;=1,"D","F")))))))</f>
        <v/>
      </c>
      <c r="K382" s="3">
        <f>IF('Data Source'!B382="","",IF('Data Source'!AC382&gt;=5,"A+",IF('Data Source'!AC382&gt;=4,"A",IF('Data Source'!AC382&gt;=3.5,"A-",IF('Data Source'!AC382&gt;=3,"B",IF('Data Source'!AC382&gt;=2,"C",IF('Data Source'!AC382&gt;=1,"D","F")))))))</f>
        <v/>
      </c>
      <c r="L382" s="3">
        <f>IF('Data Source'!B382="","",IF('Data Source'!AD382&gt;=5,"A+",IF('Data Source'!AD382&gt;=4,"A",IF('Data Source'!AD382&gt;=3.5,"A-",IF('Data Source'!AD382&gt;=3,"B",IF('Data Source'!AD382&gt;=2,"C",IF('Data Source'!AD382&gt;=1,"D","F")))))))</f>
        <v/>
      </c>
      <c r="M382" s="3">
        <f>IF('Data Source'!B382="","",IF('Data Source'!AE382&gt;=5,"A+",IF('Data Source'!AE382&gt;=4,"A",IF('Data Source'!AE382&gt;=3.5,"A-",IF('Data Source'!AE382&gt;=3,"B",IF('Data Source'!AE382&gt;=2,"C",IF('Data Source'!AE382&gt;=1,"D","F")))))))</f>
        <v/>
      </c>
      <c r="N382" s="3">
        <f>IF('Data Source'!B382="","",IF('Data Source'!AF382&gt;=5,"A+",IF('Data Source'!AF382&gt;=4,"A",IF('Data Source'!AF382&gt;=3.5,"A-",IF('Data Source'!AF382&gt;=3,"B",IF('Data Source'!AF382&gt;=2,"C",IF('Data Source'!AF382&gt;=1,"D","F")))))))</f>
        <v/>
      </c>
      <c r="O382" s="3">
        <f>IF('Data Source'!B382="","",IF('Data Source'!AG382&gt;=5,"A+",IF('Data Source'!AG382&gt;=4,"A",IF('Data Source'!AG382&gt;=3.5,"A-",IF('Data Source'!AG382&gt;=3,"B",IF('Data Source'!AG382&gt;=2,"C",IF('Data Source'!AG382&gt;=1,"D","F")))))))</f>
        <v/>
      </c>
      <c r="P382" s="5">
        <f>IF('Data Source'!B382="","",'Data Source'!R382)</f>
        <v/>
      </c>
      <c r="Q382" s="3">
        <f>IF('Data Source'!B382="","",'Data Source'!S382)</f>
        <v/>
      </c>
    </row>
    <row r="383">
      <c r="A383" s="3">
        <f>IF('Data Source'!B383="","",'Data Source'!A383)</f>
        <v/>
      </c>
      <c r="B383">
        <f>IF('Data Source'!B383="","",'Data Source'!B383)</f>
        <v/>
      </c>
      <c r="C383" s="3">
        <f>IF('Data Source'!B383="","",IF('Data Source'!U383&gt;=5,"A+",IF('Data Source'!U383&gt;=4,"A",IF('Data Source'!U383&gt;=3.5,"A-",IF('Data Source'!U383&gt;=3,"B",IF('Data Source'!U383&gt;=2,"C",IF('Data Source'!U383&gt;=1,"D","F")))))))</f>
        <v/>
      </c>
      <c r="D383" s="3">
        <f>IF('Data Source'!B383="","",IF('Data Source'!V383&gt;=5,"A+",IF('Data Source'!V383&gt;=4,"A",IF('Data Source'!V383&gt;=3.5,"A-",IF('Data Source'!V383&gt;=3,"B",IF('Data Source'!V383&gt;=2,"C",IF('Data Source'!V383&gt;=1,"D","F")))))))</f>
        <v/>
      </c>
      <c r="E383" s="3">
        <f>IF('Data Source'!B383="","",IF('Data Source'!W383&gt;=5,"A+",IF('Data Source'!W383&gt;=4,"A",IF('Data Source'!W383&gt;=3.5,"A-",IF('Data Source'!W383&gt;=3,"B",IF('Data Source'!W383&gt;=2,"C",IF('Data Source'!W383&gt;=1,"D","F")))))))</f>
        <v/>
      </c>
      <c r="F383" s="3">
        <f>IF('Data Source'!B383="","",IF('Data Source'!X383&gt;=5,"A+",IF('Data Source'!X383&gt;=4,"A",IF('Data Source'!X383&gt;=3.5,"A-",IF('Data Source'!X383&gt;=3,"B",IF('Data Source'!X383&gt;=2,"C",IF('Data Source'!X383&gt;=1,"D","F")))))))</f>
        <v/>
      </c>
      <c r="G383" s="3">
        <f>IF('Data Source'!B383="","",IF('Data Source'!Y383&gt;=5,"A+",IF('Data Source'!Y383&gt;=4,"A",IF('Data Source'!Y383&gt;=3.5,"A-",IF('Data Source'!Y383&gt;=3,"B",IF('Data Source'!Y383&gt;=2,"C",IF('Data Source'!Y383&gt;=1,"D","F")))))))</f>
        <v/>
      </c>
      <c r="H383" s="3">
        <f>IF('Data Source'!B383="","",IF('Data Source'!Z383&gt;=5,"A+",IF('Data Source'!Z383&gt;=4,"A",IF('Data Source'!Z383&gt;=3.5,"A-",IF('Data Source'!Z383&gt;=3,"B",IF('Data Source'!Z383&gt;=2,"C",IF('Data Source'!Z383&gt;=1,"D","F")))))))</f>
        <v/>
      </c>
      <c r="I383" s="3">
        <f>IF('Data Source'!B383="","",IF('Data Source'!AA383&gt;=5,"A+",IF('Data Source'!AA383&gt;=4,"A",IF('Data Source'!AA383&gt;=3.5,"A-",IF('Data Source'!AA383&gt;=3,"B",IF('Data Source'!AA383&gt;=2,"C",IF('Data Source'!AA383&gt;=1,"D","F")))))))</f>
        <v/>
      </c>
      <c r="J383" s="3">
        <f>IF('Data Source'!B383="","",IF('Data Source'!AB383&gt;=5,"A+",IF('Data Source'!AB383&gt;=4,"A",IF('Data Source'!AB383&gt;=3.5,"A-",IF('Data Source'!AB383&gt;=3,"B",IF('Data Source'!AB383&gt;=2,"C",IF('Data Source'!AB383&gt;=1,"D","F")))))))</f>
        <v/>
      </c>
      <c r="K383" s="3">
        <f>IF('Data Source'!B383="","",IF('Data Source'!AC383&gt;=5,"A+",IF('Data Source'!AC383&gt;=4,"A",IF('Data Source'!AC383&gt;=3.5,"A-",IF('Data Source'!AC383&gt;=3,"B",IF('Data Source'!AC383&gt;=2,"C",IF('Data Source'!AC383&gt;=1,"D","F")))))))</f>
        <v/>
      </c>
      <c r="L383" s="3">
        <f>IF('Data Source'!B383="","",IF('Data Source'!AD383&gt;=5,"A+",IF('Data Source'!AD383&gt;=4,"A",IF('Data Source'!AD383&gt;=3.5,"A-",IF('Data Source'!AD383&gt;=3,"B",IF('Data Source'!AD383&gt;=2,"C",IF('Data Source'!AD383&gt;=1,"D","F")))))))</f>
        <v/>
      </c>
      <c r="M383" s="3">
        <f>IF('Data Source'!B383="","",IF('Data Source'!AE383&gt;=5,"A+",IF('Data Source'!AE383&gt;=4,"A",IF('Data Source'!AE383&gt;=3.5,"A-",IF('Data Source'!AE383&gt;=3,"B",IF('Data Source'!AE383&gt;=2,"C",IF('Data Source'!AE383&gt;=1,"D","F")))))))</f>
        <v/>
      </c>
      <c r="N383" s="3">
        <f>IF('Data Source'!B383="","",IF('Data Source'!AF383&gt;=5,"A+",IF('Data Source'!AF383&gt;=4,"A",IF('Data Source'!AF383&gt;=3.5,"A-",IF('Data Source'!AF383&gt;=3,"B",IF('Data Source'!AF383&gt;=2,"C",IF('Data Source'!AF383&gt;=1,"D","F")))))))</f>
        <v/>
      </c>
      <c r="O383" s="3">
        <f>IF('Data Source'!B383="","",IF('Data Source'!AG383&gt;=5,"A+",IF('Data Source'!AG383&gt;=4,"A",IF('Data Source'!AG383&gt;=3.5,"A-",IF('Data Source'!AG383&gt;=3,"B",IF('Data Source'!AG383&gt;=2,"C",IF('Data Source'!AG383&gt;=1,"D","F")))))))</f>
        <v/>
      </c>
      <c r="P383" s="5">
        <f>IF('Data Source'!B383="","",'Data Source'!R383)</f>
        <v/>
      </c>
      <c r="Q383" s="3">
        <f>IF('Data Source'!B383="","",'Data Source'!S383)</f>
        <v/>
      </c>
    </row>
    <row r="384">
      <c r="A384" s="3">
        <f>IF('Data Source'!B384="","",'Data Source'!A384)</f>
        <v/>
      </c>
      <c r="B384">
        <f>IF('Data Source'!B384="","",'Data Source'!B384)</f>
        <v/>
      </c>
      <c r="C384" s="3">
        <f>IF('Data Source'!B384="","",IF('Data Source'!U384&gt;=5,"A+",IF('Data Source'!U384&gt;=4,"A",IF('Data Source'!U384&gt;=3.5,"A-",IF('Data Source'!U384&gt;=3,"B",IF('Data Source'!U384&gt;=2,"C",IF('Data Source'!U384&gt;=1,"D","F")))))))</f>
        <v/>
      </c>
      <c r="D384" s="3">
        <f>IF('Data Source'!B384="","",IF('Data Source'!V384&gt;=5,"A+",IF('Data Source'!V384&gt;=4,"A",IF('Data Source'!V384&gt;=3.5,"A-",IF('Data Source'!V384&gt;=3,"B",IF('Data Source'!V384&gt;=2,"C",IF('Data Source'!V384&gt;=1,"D","F")))))))</f>
        <v/>
      </c>
      <c r="E384" s="3">
        <f>IF('Data Source'!B384="","",IF('Data Source'!W384&gt;=5,"A+",IF('Data Source'!W384&gt;=4,"A",IF('Data Source'!W384&gt;=3.5,"A-",IF('Data Source'!W384&gt;=3,"B",IF('Data Source'!W384&gt;=2,"C",IF('Data Source'!W384&gt;=1,"D","F")))))))</f>
        <v/>
      </c>
      <c r="F384" s="3">
        <f>IF('Data Source'!B384="","",IF('Data Source'!X384&gt;=5,"A+",IF('Data Source'!X384&gt;=4,"A",IF('Data Source'!X384&gt;=3.5,"A-",IF('Data Source'!X384&gt;=3,"B",IF('Data Source'!X384&gt;=2,"C",IF('Data Source'!X384&gt;=1,"D","F")))))))</f>
        <v/>
      </c>
      <c r="G384" s="3">
        <f>IF('Data Source'!B384="","",IF('Data Source'!Y384&gt;=5,"A+",IF('Data Source'!Y384&gt;=4,"A",IF('Data Source'!Y384&gt;=3.5,"A-",IF('Data Source'!Y384&gt;=3,"B",IF('Data Source'!Y384&gt;=2,"C",IF('Data Source'!Y384&gt;=1,"D","F")))))))</f>
        <v/>
      </c>
      <c r="H384" s="3">
        <f>IF('Data Source'!B384="","",IF('Data Source'!Z384&gt;=5,"A+",IF('Data Source'!Z384&gt;=4,"A",IF('Data Source'!Z384&gt;=3.5,"A-",IF('Data Source'!Z384&gt;=3,"B",IF('Data Source'!Z384&gt;=2,"C",IF('Data Source'!Z384&gt;=1,"D","F")))))))</f>
        <v/>
      </c>
      <c r="I384" s="3">
        <f>IF('Data Source'!B384="","",IF('Data Source'!AA384&gt;=5,"A+",IF('Data Source'!AA384&gt;=4,"A",IF('Data Source'!AA384&gt;=3.5,"A-",IF('Data Source'!AA384&gt;=3,"B",IF('Data Source'!AA384&gt;=2,"C",IF('Data Source'!AA384&gt;=1,"D","F")))))))</f>
        <v/>
      </c>
      <c r="J384" s="3">
        <f>IF('Data Source'!B384="","",IF('Data Source'!AB384&gt;=5,"A+",IF('Data Source'!AB384&gt;=4,"A",IF('Data Source'!AB384&gt;=3.5,"A-",IF('Data Source'!AB384&gt;=3,"B",IF('Data Source'!AB384&gt;=2,"C",IF('Data Source'!AB384&gt;=1,"D","F")))))))</f>
        <v/>
      </c>
      <c r="K384" s="3">
        <f>IF('Data Source'!B384="","",IF('Data Source'!AC384&gt;=5,"A+",IF('Data Source'!AC384&gt;=4,"A",IF('Data Source'!AC384&gt;=3.5,"A-",IF('Data Source'!AC384&gt;=3,"B",IF('Data Source'!AC384&gt;=2,"C",IF('Data Source'!AC384&gt;=1,"D","F")))))))</f>
        <v/>
      </c>
      <c r="L384" s="3">
        <f>IF('Data Source'!B384="","",IF('Data Source'!AD384&gt;=5,"A+",IF('Data Source'!AD384&gt;=4,"A",IF('Data Source'!AD384&gt;=3.5,"A-",IF('Data Source'!AD384&gt;=3,"B",IF('Data Source'!AD384&gt;=2,"C",IF('Data Source'!AD384&gt;=1,"D","F")))))))</f>
        <v/>
      </c>
      <c r="M384" s="3">
        <f>IF('Data Source'!B384="","",IF('Data Source'!AE384&gt;=5,"A+",IF('Data Source'!AE384&gt;=4,"A",IF('Data Source'!AE384&gt;=3.5,"A-",IF('Data Source'!AE384&gt;=3,"B",IF('Data Source'!AE384&gt;=2,"C",IF('Data Source'!AE384&gt;=1,"D","F")))))))</f>
        <v/>
      </c>
      <c r="N384" s="3">
        <f>IF('Data Source'!B384="","",IF('Data Source'!AF384&gt;=5,"A+",IF('Data Source'!AF384&gt;=4,"A",IF('Data Source'!AF384&gt;=3.5,"A-",IF('Data Source'!AF384&gt;=3,"B",IF('Data Source'!AF384&gt;=2,"C",IF('Data Source'!AF384&gt;=1,"D","F")))))))</f>
        <v/>
      </c>
      <c r="O384" s="3">
        <f>IF('Data Source'!B384="","",IF('Data Source'!AG384&gt;=5,"A+",IF('Data Source'!AG384&gt;=4,"A",IF('Data Source'!AG384&gt;=3.5,"A-",IF('Data Source'!AG384&gt;=3,"B",IF('Data Source'!AG384&gt;=2,"C",IF('Data Source'!AG384&gt;=1,"D","F")))))))</f>
        <v/>
      </c>
      <c r="P384" s="5">
        <f>IF('Data Source'!B384="","",'Data Source'!R384)</f>
        <v/>
      </c>
      <c r="Q384" s="3">
        <f>IF('Data Source'!B384="","",'Data Source'!S384)</f>
        <v/>
      </c>
    </row>
    <row r="385">
      <c r="A385" s="3">
        <f>IF('Data Source'!B385="","",'Data Source'!A385)</f>
        <v/>
      </c>
      <c r="B385">
        <f>IF('Data Source'!B385="","",'Data Source'!B385)</f>
        <v/>
      </c>
      <c r="C385" s="3">
        <f>IF('Data Source'!B385="","",IF('Data Source'!U385&gt;=5,"A+",IF('Data Source'!U385&gt;=4,"A",IF('Data Source'!U385&gt;=3.5,"A-",IF('Data Source'!U385&gt;=3,"B",IF('Data Source'!U385&gt;=2,"C",IF('Data Source'!U385&gt;=1,"D","F")))))))</f>
        <v/>
      </c>
      <c r="D385" s="3">
        <f>IF('Data Source'!B385="","",IF('Data Source'!V385&gt;=5,"A+",IF('Data Source'!V385&gt;=4,"A",IF('Data Source'!V385&gt;=3.5,"A-",IF('Data Source'!V385&gt;=3,"B",IF('Data Source'!V385&gt;=2,"C",IF('Data Source'!V385&gt;=1,"D","F")))))))</f>
        <v/>
      </c>
      <c r="E385" s="3">
        <f>IF('Data Source'!B385="","",IF('Data Source'!W385&gt;=5,"A+",IF('Data Source'!W385&gt;=4,"A",IF('Data Source'!W385&gt;=3.5,"A-",IF('Data Source'!W385&gt;=3,"B",IF('Data Source'!W385&gt;=2,"C",IF('Data Source'!W385&gt;=1,"D","F")))))))</f>
        <v/>
      </c>
      <c r="F385" s="3">
        <f>IF('Data Source'!B385="","",IF('Data Source'!X385&gt;=5,"A+",IF('Data Source'!X385&gt;=4,"A",IF('Data Source'!X385&gt;=3.5,"A-",IF('Data Source'!X385&gt;=3,"B",IF('Data Source'!X385&gt;=2,"C",IF('Data Source'!X385&gt;=1,"D","F")))))))</f>
        <v/>
      </c>
      <c r="G385" s="3">
        <f>IF('Data Source'!B385="","",IF('Data Source'!Y385&gt;=5,"A+",IF('Data Source'!Y385&gt;=4,"A",IF('Data Source'!Y385&gt;=3.5,"A-",IF('Data Source'!Y385&gt;=3,"B",IF('Data Source'!Y385&gt;=2,"C",IF('Data Source'!Y385&gt;=1,"D","F")))))))</f>
        <v/>
      </c>
      <c r="H385" s="3">
        <f>IF('Data Source'!B385="","",IF('Data Source'!Z385&gt;=5,"A+",IF('Data Source'!Z385&gt;=4,"A",IF('Data Source'!Z385&gt;=3.5,"A-",IF('Data Source'!Z385&gt;=3,"B",IF('Data Source'!Z385&gt;=2,"C",IF('Data Source'!Z385&gt;=1,"D","F")))))))</f>
        <v/>
      </c>
      <c r="I385" s="3">
        <f>IF('Data Source'!B385="","",IF('Data Source'!AA385&gt;=5,"A+",IF('Data Source'!AA385&gt;=4,"A",IF('Data Source'!AA385&gt;=3.5,"A-",IF('Data Source'!AA385&gt;=3,"B",IF('Data Source'!AA385&gt;=2,"C",IF('Data Source'!AA385&gt;=1,"D","F")))))))</f>
        <v/>
      </c>
      <c r="J385" s="3">
        <f>IF('Data Source'!B385="","",IF('Data Source'!AB385&gt;=5,"A+",IF('Data Source'!AB385&gt;=4,"A",IF('Data Source'!AB385&gt;=3.5,"A-",IF('Data Source'!AB385&gt;=3,"B",IF('Data Source'!AB385&gt;=2,"C",IF('Data Source'!AB385&gt;=1,"D","F")))))))</f>
        <v/>
      </c>
      <c r="K385" s="3">
        <f>IF('Data Source'!B385="","",IF('Data Source'!AC385&gt;=5,"A+",IF('Data Source'!AC385&gt;=4,"A",IF('Data Source'!AC385&gt;=3.5,"A-",IF('Data Source'!AC385&gt;=3,"B",IF('Data Source'!AC385&gt;=2,"C",IF('Data Source'!AC385&gt;=1,"D","F")))))))</f>
        <v/>
      </c>
      <c r="L385" s="3">
        <f>IF('Data Source'!B385="","",IF('Data Source'!AD385&gt;=5,"A+",IF('Data Source'!AD385&gt;=4,"A",IF('Data Source'!AD385&gt;=3.5,"A-",IF('Data Source'!AD385&gt;=3,"B",IF('Data Source'!AD385&gt;=2,"C",IF('Data Source'!AD385&gt;=1,"D","F")))))))</f>
        <v/>
      </c>
      <c r="M385" s="3">
        <f>IF('Data Source'!B385="","",IF('Data Source'!AE385&gt;=5,"A+",IF('Data Source'!AE385&gt;=4,"A",IF('Data Source'!AE385&gt;=3.5,"A-",IF('Data Source'!AE385&gt;=3,"B",IF('Data Source'!AE385&gt;=2,"C",IF('Data Source'!AE385&gt;=1,"D","F")))))))</f>
        <v/>
      </c>
      <c r="N385" s="3">
        <f>IF('Data Source'!B385="","",IF('Data Source'!AF385&gt;=5,"A+",IF('Data Source'!AF385&gt;=4,"A",IF('Data Source'!AF385&gt;=3.5,"A-",IF('Data Source'!AF385&gt;=3,"B",IF('Data Source'!AF385&gt;=2,"C",IF('Data Source'!AF385&gt;=1,"D","F")))))))</f>
        <v/>
      </c>
      <c r="O385" s="3">
        <f>IF('Data Source'!B385="","",IF('Data Source'!AG385&gt;=5,"A+",IF('Data Source'!AG385&gt;=4,"A",IF('Data Source'!AG385&gt;=3.5,"A-",IF('Data Source'!AG385&gt;=3,"B",IF('Data Source'!AG385&gt;=2,"C",IF('Data Source'!AG385&gt;=1,"D","F")))))))</f>
        <v/>
      </c>
      <c r="P385" s="5">
        <f>IF('Data Source'!B385="","",'Data Source'!R385)</f>
        <v/>
      </c>
      <c r="Q385" s="3">
        <f>IF('Data Source'!B385="","",'Data Source'!S385)</f>
        <v/>
      </c>
    </row>
    <row r="386">
      <c r="A386" s="3">
        <f>IF('Data Source'!B386="","",'Data Source'!A386)</f>
        <v/>
      </c>
      <c r="B386">
        <f>IF('Data Source'!B386="","",'Data Source'!B386)</f>
        <v/>
      </c>
      <c r="C386" s="3">
        <f>IF('Data Source'!B386="","",IF('Data Source'!U386&gt;=5,"A+",IF('Data Source'!U386&gt;=4,"A",IF('Data Source'!U386&gt;=3.5,"A-",IF('Data Source'!U386&gt;=3,"B",IF('Data Source'!U386&gt;=2,"C",IF('Data Source'!U386&gt;=1,"D","F")))))))</f>
        <v/>
      </c>
      <c r="D386" s="3">
        <f>IF('Data Source'!B386="","",IF('Data Source'!V386&gt;=5,"A+",IF('Data Source'!V386&gt;=4,"A",IF('Data Source'!V386&gt;=3.5,"A-",IF('Data Source'!V386&gt;=3,"B",IF('Data Source'!V386&gt;=2,"C",IF('Data Source'!V386&gt;=1,"D","F")))))))</f>
        <v/>
      </c>
      <c r="E386" s="3">
        <f>IF('Data Source'!B386="","",IF('Data Source'!W386&gt;=5,"A+",IF('Data Source'!W386&gt;=4,"A",IF('Data Source'!W386&gt;=3.5,"A-",IF('Data Source'!W386&gt;=3,"B",IF('Data Source'!W386&gt;=2,"C",IF('Data Source'!W386&gt;=1,"D","F")))))))</f>
        <v/>
      </c>
      <c r="F386" s="3">
        <f>IF('Data Source'!B386="","",IF('Data Source'!X386&gt;=5,"A+",IF('Data Source'!X386&gt;=4,"A",IF('Data Source'!X386&gt;=3.5,"A-",IF('Data Source'!X386&gt;=3,"B",IF('Data Source'!X386&gt;=2,"C",IF('Data Source'!X386&gt;=1,"D","F")))))))</f>
        <v/>
      </c>
      <c r="G386" s="3">
        <f>IF('Data Source'!B386="","",IF('Data Source'!Y386&gt;=5,"A+",IF('Data Source'!Y386&gt;=4,"A",IF('Data Source'!Y386&gt;=3.5,"A-",IF('Data Source'!Y386&gt;=3,"B",IF('Data Source'!Y386&gt;=2,"C",IF('Data Source'!Y386&gt;=1,"D","F")))))))</f>
        <v/>
      </c>
      <c r="H386" s="3">
        <f>IF('Data Source'!B386="","",IF('Data Source'!Z386&gt;=5,"A+",IF('Data Source'!Z386&gt;=4,"A",IF('Data Source'!Z386&gt;=3.5,"A-",IF('Data Source'!Z386&gt;=3,"B",IF('Data Source'!Z386&gt;=2,"C",IF('Data Source'!Z386&gt;=1,"D","F")))))))</f>
        <v/>
      </c>
      <c r="I386" s="3">
        <f>IF('Data Source'!B386="","",IF('Data Source'!AA386&gt;=5,"A+",IF('Data Source'!AA386&gt;=4,"A",IF('Data Source'!AA386&gt;=3.5,"A-",IF('Data Source'!AA386&gt;=3,"B",IF('Data Source'!AA386&gt;=2,"C",IF('Data Source'!AA386&gt;=1,"D","F")))))))</f>
        <v/>
      </c>
      <c r="J386" s="3">
        <f>IF('Data Source'!B386="","",IF('Data Source'!AB386&gt;=5,"A+",IF('Data Source'!AB386&gt;=4,"A",IF('Data Source'!AB386&gt;=3.5,"A-",IF('Data Source'!AB386&gt;=3,"B",IF('Data Source'!AB386&gt;=2,"C",IF('Data Source'!AB386&gt;=1,"D","F")))))))</f>
        <v/>
      </c>
      <c r="K386" s="3">
        <f>IF('Data Source'!B386="","",IF('Data Source'!AC386&gt;=5,"A+",IF('Data Source'!AC386&gt;=4,"A",IF('Data Source'!AC386&gt;=3.5,"A-",IF('Data Source'!AC386&gt;=3,"B",IF('Data Source'!AC386&gt;=2,"C",IF('Data Source'!AC386&gt;=1,"D","F")))))))</f>
        <v/>
      </c>
      <c r="L386" s="3">
        <f>IF('Data Source'!B386="","",IF('Data Source'!AD386&gt;=5,"A+",IF('Data Source'!AD386&gt;=4,"A",IF('Data Source'!AD386&gt;=3.5,"A-",IF('Data Source'!AD386&gt;=3,"B",IF('Data Source'!AD386&gt;=2,"C",IF('Data Source'!AD386&gt;=1,"D","F")))))))</f>
        <v/>
      </c>
      <c r="M386" s="3">
        <f>IF('Data Source'!B386="","",IF('Data Source'!AE386&gt;=5,"A+",IF('Data Source'!AE386&gt;=4,"A",IF('Data Source'!AE386&gt;=3.5,"A-",IF('Data Source'!AE386&gt;=3,"B",IF('Data Source'!AE386&gt;=2,"C",IF('Data Source'!AE386&gt;=1,"D","F")))))))</f>
        <v/>
      </c>
      <c r="N386" s="3">
        <f>IF('Data Source'!B386="","",IF('Data Source'!AF386&gt;=5,"A+",IF('Data Source'!AF386&gt;=4,"A",IF('Data Source'!AF386&gt;=3.5,"A-",IF('Data Source'!AF386&gt;=3,"B",IF('Data Source'!AF386&gt;=2,"C",IF('Data Source'!AF386&gt;=1,"D","F")))))))</f>
        <v/>
      </c>
      <c r="O386" s="3">
        <f>IF('Data Source'!B386="","",IF('Data Source'!AG386&gt;=5,"A+",IF('Data Source'!AG386&gt;=4,"A",IF('Data Source'!AG386&gt;=3.5,"A-",IF('Data Source'!AG386&gt;=3,"B",IF('Data Source'!AG386&gt;=2,"C",IF('Data Source'!AG386&gt;=1,"D","F")))))))</f>
        <v/>
      </c>
      <c r="P386" s="5">
        <f>IF('Data Source'!B386="","",'Data Source'!R386)</f>
        <v/>
      </c>
      <c r="Q386" s="3">
        <f>IF('Data Source'!B386="","",'Data Source'!S386)</f>
        <v/>
      </c>
    </row>
    <row r="387">
      <c r="A387" s="3">
        <f>IF('Data Source'!B387="","",'Data Source'!A387)</f>
        <v/>
      </c>
      <c r="B387">
        <f>IF('Data Source'!B387="","",'Data Source'!B387)</f>
        <v/>
      </c>
      <c r="C387" s="3">
        <f>IF('Data Source'!B387="","",IF('Data Source'!U387&gt;=5,"A+",IF('Data Source'!U387&gt;=4,"A",IF('Data Source'!U387&gt;=3.5,"A-",IF('Data Source'!U387&gt;=3,"B",IF('Data Source'!U387&gt;=2,"C",IF('Data Source'!U387&gt;=1,"D","F")))))))</f>
        <v/>
      </c>
      <c r="D387" s="3">
        <f>IF('Data Source'!B387="","",IF('Data Source'!V387&gt;=5,"A+",IF('Data Source'!V387&gt;=4,"A",IF('Data Source'!V387&gt;=3.5,"A-",IF('Data Source'!V387&gt;=3,"B",IF('Data Source'!V387&gt;=2,"C",IF('Data Source'!V387&gt;=1,"D","F")))))))</f>
        <v/>
      </c>
      <c r="E387" s="3">
        <f>IF('Data Source'!B387="","",IF('Data Source'!W387&gt;=5,"A+",IF('Data Source'!W387&gt;=4,"A",IF('Data Source'!W387&gt;=3.5,"A-",IF('Data Source'!W387&gt;=3,"B",IF('Data Source'!W387&gt;=2,"C",IF('Data Source'!W387&gt;=1,"D","F")))))))</f>
        <v/>
      </c>
      <c r="F387" s="3">
        <f>IF('Data Source'!B387="","",IF('Data Source'!X387&gt;=5,"A+",IF('Data Source'!X387&gt;=4,"A",IF('Data Source'!X387&gt;=3.5,"A-",IF('Data Source'!X387&gt;=3,"B",IF('Data Source'!X387&gt;=2,"C",IF('Data Source'!X387&gt;=1,"D","F")))))))</f>
        <v/>
      </c>
      <c r="G387" s="3">
        <f>IF('Data Source'!B387="","",IF('Data Source'!Y387&gt;=5,"A+",IF('Data Source'!Y387&gt;=4,"A",IF('Data Source'!Y387&gt;=3.5,"A-",IF('Data Source'!Y387&gt;=3,"B",IF('Data Source'!Y387&gt;=2,"C",IF('Data Source'!Y387&gt;=1,"D","F")))))))</f>
        <v/>
      </c>
      <c r="H387" s="3">
        <f>IF('Data Source'!B387="","",IF('Data Source'!Z387&gt;=5,"A+",IF('Data Source'!Z387&gt;=4,"A",IF('Data Source'!Z387&gt;=3.5,"A-",IF('Data Source'!Z387&gt;=3,"B",IF('Data Source'!Z387&gt;=2,"C",IF('Data Source'!Z387&gt;=1,"D","F")))))))</f>
        <v/>
      </c>
      <c r="I387" s="3">
        <f>IF('Data Source'!B387="","",IF('Data Source'!AA387&gt;=5,"A+",IF('Data Source'!AA387&gt;=4,"A",IF('Data Source'!AA387&gt;=3.5,"A-",IF('Data Source'!AA387&gt;=3,"B",IF('Data Source'!AA387&gt;=2,"C",IF('Data Source'!AA387&gt;=1,"D","F")))))))</f>
        <v/>
      </c>
      <c r="J387" s="3">
        <f>IF('Data Source'!B387="","",IF('Data Source'!AB387&gt;=5,"A+",IF('Data Source'!AB387&gt;=4,"A",IF('Data Source'!AB387&gt;=3.5,"A-",IF('Data Source'!AB387&gt;=3,"B",IF('Data Source'!AB387&gt;=2,"C",IF('Data Source'!AB387&gt;=1,"D","F")))))))</f>
        <v/>
      </c>
      <c r="K387" s="3">
        <f>IF('Data Source'!B387="","",IF('Data Source'!AC387&gt;=5,"A+",IF('Data Source'!AC387&gt;=4,"A",IF('Data Source'!AC387&gt;=3.5,"A-",IF('Data Source'!AC387&gt;=3,"B",IF('Data Source'!AC387&gt;=2,"C",IF('Data Source'!AC387&gt;=1,"D","F")))))))</f>
        <v/>
      </c>
      <c r="L387" s="3">
        <f>IF('Data Source'!B387="","",IF('Data Source'!AD387&gt;=5,"A+",IF('Data Source'!AD387&gt;=4,"A",IF('Data Source'!AD387&gt;=3.5,"A-",IF('Data Source'!AD387&gt;=3,"B",IF('Data Source'!AD387&gt;=2,"C",IF('Data Source'!AD387&gt;=1,"D","F")))))))</f>
        <v/>
      </c>
      <c r="M387" s="3">
        <f>IF('Data Source'!B387="","",IF('Data Source'!AE387&gt;=5,"A+",IF('Data Source'!AE387&gt;=4,"A",IF('Data Source'!AE387&gt;=3.5,"A-",IF('Data Source'!AE387&gt;=3,"B",IF('Data Source'!AE387&gt;=2,"C",IF('Data Source'!AE387&gt;=1,"D","F")))))))</f>
        <v/>
      </c>
      <c r="N387" s="3">
        <f>IF('Data Source'!B387="","",IF('Data Source'!AF387&gt;=5,"A+",IF('Data Source'!AF387&gt;=4,"A",IF('Data Source'!AF387&gt;=3.5,"A-",IF('Data Source'!AF387&gt;=3,"B",IF('Data Source'!AF387&gt;=2,"C",IF('Data Source'!AF387&gt;=1,"D","F")))))))</f>
        <v/>
      </c>
      <c r="O387" s="3">
        <f>IF('Data Source'!B387="","",IF('Data Source'!AG387&gt;=5,"A+",IF('Data Source'!AG387&gt;=4,"A",IF('Data Source'!AG387&gt;=3.5,"A-",IF('Data Source'!AG387&gt;=3,"B",IF('Data Source'!AG387&gt;=2,"C",IF('Data Source'!AG387&gt;=1,"D","F")))))))</f>
        <v/>
      </c>
      <c r="P387" s="5">
        <f>IF('Data Source'!B387="","",'Data Source'!R387)</f>
        <v/>
      </c>
      <c r="Q387" s="3">
        <f>IF('Data Source'!B387="","",'Data Source'!S387)</f>
        <v/>
      </c>
    </row>
    <row r="388">
      <c r="A388" s="3">
        <f>IF('Data Source'!B388="","",'Data Source'!A388)</f>
        <v/>
      </c>
      <c r="B388">
        <f>IF('Data Source'!B388="","",'Data Source'!B388)</f>
        <v/>
      </c>
      <c r="C388" s="3">
        <f>IF('Data Source'!B388="","",IF('Data Source'!U388&gt;=5,"A+",IF('Data Source'!U388&gt;=4,"A",IF('Data Source'!U388&gt;=3.5,"A-",IF('Data Source'!U388&gt;=3,"B",IF('Data Source'!U388&gt;=2,"C",IF('Data Source'!U388&gt;=1,"D","F")))))))</f>
        <v/>
      </c>
      <c r="D388" s="3">
        <f>IF('Data Source'!B388="","",IF('Data Source'!V388&gt;=5,"A+",IF('Data Source'!V388&gt;=4,"A",IF('Data Source'!V388&gt;=3.5,"A-",IF('Data Source'!V388&gt;=3,"B",IF('Data Source'!V388&gt;=2,"C",IF('Data Source'!V388&gt;=1,"D","F")))))))</f>
        <v/>
      </c>
      <c r="E388" s="3">
        <f>IF('Data Source'!B388="","",IF('Data Source'!W388&gt;=5,"A+",IF('Data Source'!W388&gt;=4,"A",IF('Data Source'!W388&gt;=3.5,"A-",IF('Data Source'!W388&gt;=3,"B",IF('Data Source'!W388&gt;=2,"C",IF('Data Source'!W388&gt;=1,"D","F")))))))</f>
        <v/>
      </c>
      <c r="F388" s="3">
        <f>IF('Data Source'!B388="","",IF('Data Source'!X388&gt;=5,"A+",IF('Data Source'!X388&gt;=4,"A",IF('Data Source'!X388&gt;=3.5,"A-",IF('Data Source'!X388&gt;=3,"B",IF('Data Source'!X388&gt;=2,"C",IF('Data Source'!X388&gt;=1,"D","F")))))))</f>
        <v/>
      </c>
      <c r="G388" s="3">
        <f>IF('Data Source'!B388="","",IF('Data Source'!Y388&gt;=5,"A+",IF('Data Source'!Y388&gt;=4,"A",IF('Data Source'!Y388&gt;=3.5,"A-",IF('Data Source'!Y388&gt;=3,"B",IF('Data Source'!Y388&gt;=2,"C",IF('Data Source'!Y388&gt;=1,"D","F")))))))</f>
        <v/>
      </c>
      <c r="H388" s="3">
        <f>IF('Data Source'!B388="","",IF('Data Source'!Z388&gt;=5,"A+",IF('Data Source'!Z388&gt;=4,"A",IF('Data Source'!Z388&gt;=3.5,"A-",IF('Data Source'!Z388&gt;=3,"B",IF('Data Source'!Z388&gt;=2,"C",IF('Data Source'!Z388&gt;=1,"D","F")))))))</f>
        <v/>
      </c>
      <c r="I388" s="3">
        <f>IF('Data Source'!B388="","",IF('Data Source'!AA388&gt;=5,"A+",IF('Data Source'!AA388&gt;=4,"A",IF('Data Source'!AA388&gt;=3.5,"A-",IF('Data Source'!AA388&gt;=3,"B",IF('Data Source'!AA388&gt;=2,"C",IF('Data Source'!AA388&gt;=1,"D","F")))))))</f>
        <v/>
      </c>
      <c r="J388" s="3">
        <f>IF('Data Source'!B388="","",IF('Data Source'!AB388&gt;=5,"A+",IF('Data Source'!AB388&gt;=4,"A",IF('Data Source'!AB388&gt;=3.5,"A-",IF('Data Source'!AB388&gt;=3,"B",IF('Data Source'!AB388&gt;=2,"C",IF('Data Source'!AB388&gt;=1,"D","F")))))))</f>
        <v/>
      </c>
      <c r="K388" s="3">
        <f>IF('Data Source'!B388="","",IF('Data Source'!AC388&gt;=5,"A+",IF('Data Source'!AC388&gt;=4,"A",IF('Data Source'!AC388&gt;=3.5,"A-",IF('Data Source'!AC388&gt;=3,"B",IF('Data Source'!AC388&gt;=2,"C",IF('Data Source'!AC388&gt;=1,"D","F")))))))</f>
        <v/>
      </c>
      <c r="L388" s="3">
        <f>IF('Data Source'!B388="","",IF('Data Source'!AD388&gt;=5,"A+",IF('Data Source'!AD388&gt;=4,"A",IF('Data Source'!AD388&gt;=3.5,"A-",IF('Data Source'!AD388&gt;=3,"B",IF('Data Source'!AD388&gt;=2,"C",IF('Data Source'!AD388&gt;=1,"D","F")))))))</f>
        <v/>
      </c>
      <c r="M388" s="3">
        <f>IF('Data Source'!B388="","",IF('Data Source'!AE388&gt;=5,"A+",IF('Data Source'!AE388&gt;=4,"A",IF('Data Source'!AE388&gt;=3.5,"A-",IF('Data Source'!AE388&gt;=3,"B",IF('Data Source'!AE388&gt;=2,"C",IF('Data Source'!AE388&gt;=1,"D","F")))))))</f>
        <v/>
      </c>
      <c r="N388" s="3">
        <f>IF('Data Source'!B388="","",IF('Data Source'!AF388&gt;=5,"A+",IF('Data Source'!AF388&gt;=4,"A",IF('Data Source'!AF388&gt;=3.5,"A-",IF('Data Source'!AF388&gt;=3,"B",IF('Data Source'!AF388&gt;=2,"C",IF('Data Source'!AF388&gt;=1,"D","F")))))))</f>
        <v/>
      </c>
      <c r="O388" s="3">
        <f>IF('Data Source'!B388="","",IF('Data Source'!AG388&gt;=5,"A+",IF('Data Source'!AG388&gt;=4,"A",IF('Data Source'!AG388&gt;=3.5,"A-",IF('Data Source'!AG388&gt;=3,"B",IF('Data Source'!AG388&gt;=2,"C",IF('Data Source'!AG388&gt;=1,"D","F")))))))</f>
        <v/>
      </c>
      <c r="P388" s="5">
        <f>IF('Data Source'!B388="","",'Data Source'!R388)</f>
        <v/>
      </c>
      <c r="Q388" s="3">
        <f>IF('Data Source'!B388="","",'Data Source'!S388)</f>
        <v/>
      </c>
    </row>
    <row r="389">
      <c r="A389" s="3">
        <f>IF('Data Source'!B389="","",'Data Source'!A389)</f>
        <v/>
      </c>
      <c r="B389">
        <f>IF('Data Source'!B389="","",'Data Source'!B389)</f>
        <v/>
      </c>
      <c r="C389" s="3">
        <f>IF('Data Source'!B389="","",IF('Data Source'!U389&gt;=5,"A+",IF('Data Source'!U389&gt;=4,"A",IF('Data Source'!U389&gt;=3.5,"A-",IF('Data Source'!U389&gt;=3,"B",IF('Data Source'!U389&gt;=2,"C",IF('Data Source'!U389&gt;=1,"D","F")))))))</f>
        <v/>
      </c>
      <c r="D389" s="3">
        <f>IF('Data Source'!B389="","",IF('Data Source'!V389&gt;=5,"A+",IF('Data Source'!V389&gt;=4,"A",IF('Data Source'!V389&gt;=3.5,"A-",IF('Data Source'!V389&gt;=3,"B",IF('Data Source'!V389&gt;=2,"C",IF('Data Source'!V389&gt;=1,"D","F")))))))</f>
        <v/>
      </c>
      <c r="E389" s="3">
        <f>IF('Data Source'!B389="","",IF('Data Source'!W389&gt;=5,"A+",IF('Data Source'!W389&gt;=4,"A",IF('Data Source'!W389&gt;=3.5,"A-",IF('Data Source'!W389&gt;=3,"B",IF('Data Source'!W389&gt;=2,"C",IF('Data Source'!W389&gt;=1,"D","F")))))))</f>
        <v/>
      </c>
      <c r="F389" s="3">
        <f>IF('Data Source'!B389="","",IF('Data Source'!X389&gt;=5,"A+",IF('Data Source'!X389&gt;=4,"A",IF('Data Source'!X389&gt;=3.5,"A-",IF('Data Source'!X389&gt;=3,"B",IF('Data Source'!X389&gt;=2,"C",IF('Data Source'!X389&gt;=1,"D","F")))))))</f>
        <v/>
      </c>
      <c r="G389" s="3">
        <f>IF('Data Source'!B389="","",IF('Data Source'!Y389&gt;=5,"A+",IF('Data Source'!Y389&gt;=4,"A",IF('Data Source'!Y389&gt;=3.5,"A-",IF('Data Source'!Y389&gt;=3,"B",IF('Data Source'!Y389&gt;=2,"C",IF('Data Source'!Y389&gt;=1,"D","F")))))))</f>
        <v/>
      </c>
      <c r="H389" s="3">
        <f>IF('Data Source'!B389="","",IF('Data Source'!Z389&gt;=5,"A+",IF('Data Source'!Z389&gt;=4,"A",IF('Data Source'!Z389&gt;=3.5,"A-",IF('Data Source'!Z389&gt;=3,"B",IF('Data Source'!Z389&gt;=2,"C",IF('Data Source'!Z389&gt;=1,"D","F")))))))</f>
        <v/>
      </c>
      <c r="I389" s="3">
        <f>IF('Data Source'!B389="","",IF('Data Source'!AA389&gt;=5,"A+",IF('Data Source'!AA389&gt;=4,"A",IF('Data Source'!AA389&gt;=3.5,"A-",IF('Data Source'!AA389&gt;=3,"B",IF('Data Source'!AA389&gt;=2,"C",IF('Data Source'!AA389&gt;=1,"D","F")))))))</f>
        <v/>
      </c>
      <c r="J389" s="3">
        <f>IF('Data Source'!B389="","",IF('Data Source'!AB389&gt;=5,"A+",IF('Data Source'!AB389&gt;=4,"A",IF('Data Source'!AB389&gt;=3.5,"A-",IF('Data Source'!AB389&gt;=3,"B",IF('Data Source'!AB389&gt;=2,"C",IF('Data Source'!AB389&gt;=1,"D","F")))))))</f>
        <v/>
      </c>
      <c r="K389" s="3">
        <f>IF('Data Source'!B389="","",IF('Data Source'!AC389&gt;=5,"A+",IF('Data Source'!AC389&gt;=4,"A",IF('Data Source'!AC389&gt;=3.5,"A-",IF('Data Source'!AC389&gt;=3,"B",IF('Data Source'!AC389&gt;=2,"C",IF('Data Source'!AC389&gt;=1,"D","F")))))))</f>
        <v/>
      </c>
      <c r="L389" s="3">
        <f>IF('Data Source'!B389="","",IF('Data Source'!AD389&gt;=5,"A+",IF('Data Source'!AD389&gt;=4,"A",IF('Data Source'!AD389&gt;=3.5,"A-",IF('Data Source'!AD389&gt;=3,"B",IF('Data Source'!AD389&gt;=2,"C",IF('Data Source'!AD389&gt;=1,"D","F")))))))</f>
        <v/>
      </c>
      <c r="M389" s="3">
        <f>IF('Data Source'!B389="","",IF('Data Source'!AE389&gt;=5,"A+",IF('Data Source'!AE389&gt;=4,"A",IF('Data Source'!AE389&gt;=3.5,"A-",IF('Data Source'!AE389&gt;=3,"B",IF('Data Source'!AE389&gt;=2,"C",IF('Data Source'!AE389&gt;=1,"D","F")))))))</f>
        <v/>
      </c>
      <c r="N389" s="3">
        <f>IF('Data Source'!B389="","",IF('Data Source'!AF389&gt;=5,"A+",IF('Data Source'!AF389&gt;=4,"A",IF('Data Source'!AF389&gt;=3.5,"A-",IF('Data Source'!AF389&gt;=3,"B",IF('Data Source'!AF389&gt;=2,"C",IF('Data Source'!AF389&gt;=1,"D","F")))))))</f>
        <v/>
      </c>
      <c r="O389" s="3">
        <f>IF('Data Source'!B389="","",IF('Data Source'!AG389&gt;=5,"A+",IF('Data Source'!AG389&gt;=4,"A",IF('Data Source'!AG389&gt;=3.5,"A-",IF('Data Source'!AG389&gt;=3,"B",IF('Data Source'!AG389&gt;=2,"C",IF('Data Source'!AG389&gt;=1,"D","F")))))))</f>
        <v/>
      </c>
      <c r="P389" s="5">
        <f>IF('Data Source'!B389="","",'Data Source'!R389)</f>
        <v/>
      </c>
      <c r="Q389" s="3">
        <f>IF('Data Source'!B389="","",'Data Source'!S389)</f>
        <v/>
      </c>
    </row>
    <row r="390">
      <c r="A390" s="3">
        <f>IF('Data Source'!B390="","",'Data Source'!A390)</f>
        <v/>
      </c>
      <c r="B390">
        <f>IF('Data Source'!B390="","",'Data Source'!B390)</f>
        <v/>
      </c>
      <c r="C390" s="3">
        <f>IF('Data Source'!B390="","",IF('Data Source'!U390&gt;=5,"A+",IF('Data Source'!U390&gt;=4,"A",IF('Data Source'!U390&gt;=3.5,"A-",IF('Data Source'!U390&gt;=3,"B",IF('Data Source'!U390&gt;=2,"C",IF('Data Source'!U390&gt;=1,"D","F")))))))</f>
        <v/>
      </c>
      <c r="D390" s="3">
        <f>IF('Data Source'!B390="","",IF('Data Source'!V390&gt;=5,"A+",IF('Data Source'!V390&gt;=4,"A",IF('Data Source'!V390&gt;=3.5,"A-",IF('Data Source'!V390&gt;=3,"B",IF('Data Source'!V390&gt;=2,"C",IF('Data Source'!V390&gt;=1,"D","F")))))))</f>
        <v/>
      </c>
      <c r="E390" s="3">
        <f>IF('Data Source'!B390="","",IF('Data Source'!W390&gt;=5,"A+",IF('Data Source'!W390&gt;=4,"A",IF('Data Source'!W390&gt;=3.5,"A-",IF('Data Source'!W390&gt;=3,"B",IF('Data Source'!W390&gt;=2,"C",IF('Data Source'!W390&gt;=1,"D","F")))))))</f>
        <v/>
      </c>
      <c r="F390" s="3">
        <f>IF('Data Source'!B390="","",IF('Data Source'!X390&gt;=5,"A+",IF('Data Source'!X390&gt;=4,"A",IF('Data Source'!X390&gt;=3.5,"A-",IF('Data Source'!X390&gt;=3,"B",IF('Data Source'!X390&gt;=2,"C",IF('Data Source'!X390&gt;=1,"D","F")))))))</f>
        <v/>
      </c>
      <c r="G390" s="3">
        <f>IF('Data Source'!B390="","",IF('Data Source'!Y390&gt;=5,"A+",IF('Data Source'!Y390&gt;=4,"A",IF('Data Source'!Y390&gt;=3.5,"A-",IF('Data Source'!Y390&gt;=3,"B",IF('Data Source'!Y390&gt;=2,"C",IF('Data Source'!Y390&gt;=1,"D","F")))))))</f>
        <v/>
      </c>
      <c r="H390" s="3">
        <f>IF('Data Source'!B390="","",IF('Data Source'!Z390&gt;=5,"A+",IF('Data Source'!Z390&gt;=4,"A",IF('Data Source'!Z390&gt;=3.5,"A-",IF('Data Source'!Z390&gt;=3,"B",IF('Data Source'!Z390&gt;=2,"C",IF('Data Source'!Z390&gt;=1,"D","F")))))))</f>
        <v/>
      </c>
      <c r="I390" s="3">
        <f>IF('Data Source'!B390="","",IF('Data Source'!AA390&gt;=5,"A+",IF('Data Source'!AA390&gt;=4,"A",IF('Data Source'!AA390&gt;=3.5,"A-",IF('Data Source'!AA390&gt;=3,"B",IF('Data Source'!AA390&gt;=2,"C",IF('Data Source'!AA390&gt;=1,"D","F")))))))</f>
        <v/>
      </c>
      <c r="J390" s="3">
        <f>IF('Data Source'!B390="","",IF('Data Source'!AB390&gt;=5,"A+",IF('Data Source'!AB390&gt;=4,"A",IF('Data Source'!AB390&gt;=3.5,"A-",IF('Data Source'!AB390&gt;=3,"B",IF('Data Source'!AB390&gt;=2,"C",IF('Data Source'!AB390&gt;=1,"D","F")))))))</f>
        <v/>
      </c>
      <c r="K390" s="3">
        <f>IF('Data Source'!B390="","",IF('Data Source'!AC390&gt;=5,"A+",IF('Data Source'!AC390&gt;=4,"A",IF('Data Source'!AC390&gt;=3.5,"A-",IF('Data Source'!AC390&gt;=3,"B",IF('Data Source'!AC390&gt;=2,"C",IF('Data Source'!AC390&gt;=1,"D","F")))))))</f>
        <v/>
      </c>
      <c r="L390" s="3">
        <f>IF('Data Source'!B390="","",IF('Data Source'!AD390&gt;=5,"A+",IF('Data Source'!AD390&gt;=4,"A",IF('Data Source'!AD390&gt;=3.5,"A-",IF('Data Source'!AD390&gt;=3,"B",IF('Data Source'!AD390&gt;=2,"C",IF('Data Source'!AD390&gt;=1,"D","F")))))))</f>
        <v/>
      </c>
      <c r="M390" s="3">
        <f>IF('Data Source'!B390="","",IF('Data Source'!AE390&gt;=5,"A+",IF('Data Source'!AE390&gt;=4,"A",IF('Data Source'!AE390&gt;=3.5,"A-",IF('Data Source'!AE390&gt;=3,"B",IF('Data Source'!AE390&gt;=2,"C",IF('Data Source'!AE390&gt;=1,"D","F")))))))</f>
        <v/>
      </c>
      <c r="N390" s="3">
        <f>IF('Data Source'!B390="","",IF('Data Source'!AF390&gt;=5,"A+",IF('Data Source'!AF390&gt;=4,"A",IF('Data Source'!AF390&gt;=3.5,"A-",IF('Data Source'!AF390&gt;=3,"B",IF('Data Source'!AF390&gt;=2,"C",IF('Data Source'!AF390&gt;=1,"D","F")))))))</f>
        <v/>
      </c>
      <c r="O390" s="3">
        <f>IF('Data Source'!B390="","",IF('Data Source'!AG390&gt;=5,"A+",IF('Data Source'!AG390&gt;=4,"A",IF('Data Source'!AG390&gt;=3.5,"A-",IF('Data Source'!AG390&gt;=3,"B",IF('Data Source'!AG390&gt;=2,"C",IF('Data Source'!AG390&gt;=1,"D","F")))))))</f>
        <v/>
      </c>
      <c r="P390" s="5">
        <f>IF('Data Source'!B390="","",'Data Source'!R390)</f>
        <v/>
      </c>
      <c r="Q390" s="3">
        <f>IF('Data Source'!B390="","",'Data Source'!S390)</f>
        <v/>
      </c>
    </row>
    <row r="391">
      <c r="A391" s="3">
        <f>IF('Data Source'!B391="","",'Data Source'!A391)</f>
        <v/>
      </c>
      <c r="B391">
        <f>IF('Data Source'!B391="","",'Data Source'!B391)</f>
        <v/>
      </c>
      <c r="C391" s="3">
        <f>IF('Data Source'!B391="","",IF('Data Source'!U391&gt;=5,"A+",IF('Data Source'!U391&gt;=4,"A",IF('Data Source'!U391&gt;=3.5,"A-",IF('Data Source'!U391&gt;=3,"B",IF('Data Source'!U391&gt;=2,"C",IF('Data Source'!U391&gt;=1,"D","F")))))))</f>
        <v/>
      </c>
      <c r="D391" s="3">
        <f>IF('Data Source'!B391="","",IF('Data Source'!V391&gt;=5,"A+",IF('Data Source'!V391&gt;=4,"A",IF('Data Source'!V391&gt;=3.5,"A-",IF('Data Source'!V391&gt;=3,"B",IF('Data Source'!V391&gt;=2,"C",IF('Data Source'!V391&gt;=1,"D","F")))))))</f>
        <v/>
      </c>
      <c r="E391" s="3">
        <f>IF('Data Source'!B391="","",IF('Data Source'!W391&gt;=5,"A+",IF('Data Source'!W391&gt;=4,"A",IF('Data Source'!W391&gt;=3.5,"A-",IF('Data Source'!W391&gt;=3,"B",IF('Data Source'!W391&gt;=2,"C",IF('Data Source'!W391&gt;=1,"D","F")))))))</f>
        <v/>
      </c>
      <c r="F391" s="3">
        <f>IF('Data Source'!B391="","",IF('Data Source'!X391&gt;=5,"A+",IF('Data Source'!X391&gt;=4,"A",IF('Data Source'!X391&gt;=3.5,"A-",IF('Data Source'!X391&gt;=3,"B",IF('Data Source'!X391&gt;=2,"C",IF('Data Source'!X391&gt;=1,"D","F")))))))</f>
        <v/>
      </c>
      <c r="G391" s="3">
        <f>IF('Data Source'!B391="","",IF('Data Source'!Y391&gt;=5,"A+",IF('Data Source'!Y391&gt;=4,"A",IF('Data Source'!Y391&gt;=3.5,"A-",IF('Data Source'!Y391&gt;=3,"B",IF('Data Source'!Y391&gt;=2,"C",IF('Data Source'!Y391&gt;=1,"D","F")))))))</f>
        <v/>
      </c>
      <c r="H391" s="3">
        <f>IF('Data Source'!B391="","",IF('Data Source'!Z391&gt;=5,"A+",IF('Data Source'!Z391&gt;=4,"A",IF('Data Source'!Z391&gt;=3.5,"A-",IF('Data Source'!Z391&gt;=3,"B",IF('Data Source'!Z391&gt;=2,"C",IF('Data Source'!Z391&gt;=1,"D","F")))))))</f>
        <v/>
      </c>
      <c r="I391" s="3">
        <f>IF('Data Source'!B391="","",IF('Data Source'!AA391&gt;=5,"A+",IF('Data Source'!AA391&gt;=4,"A",IF('Data Source'!AA391&gt;=3.5,"A-",IF('Data Source'!AA391&gt;=3,"B",IF('Data Source'!AA391&gt;=2,"C",IF('Data Source'!AA391&gt;=1,"D","F")))))))</f>
        <v/>
      </c>
      <c r="J391" s="3">
        <f>IF('Data Source'!B391="","",IF('Data Source'!AB391&gt;=5,"A+",IF('Data Source'!AB391&gt;=4,"A",IF('Data Source'!AB391&gt;=3.5,"A-",IF('Data Source'!AB391&gt;=3,"B",IF('Data Source'!AB391&gt;=2,"C",IF('Data Source'!AB391&gt;=1,"D","F")))))))</f>
        <v/>
      </c>
      <c r="K391" s="3">
        <f>IF('Data Source'!B391="","",IF('Data Source'!AC391&gt;=5,"A+",IF('Data Source'!AC391&gt;=4,"A",IF('Data Source'!AC391&gt;=3.5,"A-",IF('Data Source'!AC391&gt;=3,"B",IF('Data Source'!AC391&gt;=2,"C",IF('Data Source'!AC391&gt;=1,"D","F")))))))</f>
        <v/>
      </c>
      <c r="L391" s="3">
        <f>IF('Data Source'!B391="","",IF('Data Source'!AD391&gt;=5,"A+",IF('Data Source'!AD391&gt;=4,"A",IF('Data Source'!AD391&gt;=3.5,"A-",IF('Data Source'!AD391&gt;=3,"B",IF('Data Source'!AD391&gt;=2,"C",IF('Data Source'!AD391&gt;=1,"D","F")))))))</f>
        <v/>
      </c>
      <c r="M391" s="3">
        <f>IF('Data Source'!B391="","",IF('Data Source'!AE391&gt;=5,"A+",IF('Data Source'!AE391&gt;=4,"A",IF('Data Source'!AE391&gt;=3.5,"A-",IF('Data Source'!AE391&gt;=3,"B",IF('Data Source'!AE391&gt;=2,"C",IF('Data Source'!AE391&gt;=1,"D","F")))))))</f>
        <v/>
      </c>
      <c r="N391" s="3">
        <f>IF('Data Source'!B391="","",IF('Data Source'!AF391&gt;=5,"A+",IF('Data Source'!AF391&gt;=4,"A",IF('Data Source'!AF391&gt;=3.5,"A-",IF('Data Source'!AF391&gt;=3,"B",IF('Data Source'!AF391&gt;=2,"C",IF('Data Source'!AF391&gt;=1,"D","F")))))))</f>
        <v/>
      </c>
      <c r="O391" s="3">
        <f>IF('Data Source'!B391="","",IF('Data Source'!AG391&gt;=5,"A+",IF('Data Source'!AG391&gt;=4,"A",IF('Data Source'!AG391&gt;=3.5,"A-",IF('Data Source'!AG391&gt;=3,"B",IF('Data Source'!AG391&gt;=2,"C",IF('Data Source'!AG391&gt;=1,"D","F")))))))</f>
        <v/>
      </c>
      <c r="P391" s="5">
        <f>IF('Data Source'!B391="","",'Data Source'!R391)</f>
        <v/>
      </c>
      <c r="Q391" s="3">
        <f>IF('Data Source'!B391="","",'Data Source'!S391)</f>
        <v/>
      </c>
    </row>
    <row r="392">
      <c r="A392" s="3">
        <f>IF('Data Source'!B392="","",'Data Source'!A392)</f>
        <v/>
      </c>
      <c r="B392">
        <f>IF('Data Source'!B392="","",'Data Source'!B392)</f>
        <v/>
      </c>
      <c r="C392" s="3">
        <f>IF('Data Source'!B392="","",IF('Data Source'!U392&gt;=5,"A+",IF('Data Source'!U392&gt;=4,"A",IF('Data Source'!U392&gt;=3.5,"A-",IF('Data Source'!U392&gt;=3,"B",IF('Data Source'!U392&gt;=2,"C",IF('Data Source'!U392&gt;=1,"D","F")))))))</f>
        <v/>
      </c>
      <c r="D392" s="3">
        <f>IF('Data Source'!B392="","",IF('Data Source'!V392&gt;=5,"A+",IF('Data Source'!V392&gt;=4,"A",IF('Data Source'!V392&gt;=3.5,"A-",IF('Data Source'!V392&gt;=3,"B",IF('Data Source'!V392&gt;=2,"C",IF('Data Source'!V392&gt;=1,"D","F")))))))</f>
        <v/>
      </c>
      <c r="E392" s="3">
        <f>IF('Data Source'!B392="","",IF('Data Source'!W392&gt;=5,"A+",IF('Data Source'!W392&gt;=4,"A",IF('Data Source'!W392&gt;=3.5,"A-",IF('Data Source'!W392&gt;=3,"B",IF('Data Source'!W392&gt;=2,"C",IF('Data Source'!W392&gt;=1,"D","F")))))))</f>
        <v/>
      </c>
      <c r="F392" s="3">
        <f>IF('Data Source'!B392="","",IF('Data Source'!X392&gt;=5,"A+",IF('Data Source'!X392&gt;=4,"A",IF('Data Source'!X392&gt;=3.5,"A-",IF('Data Source'!X392&gt;=3,"B",IF('Data Source'!X392&gt;=2,"C",IF('Data Source'!X392&gt;=1,"D","F")))))))</f>
        <v/>
      </c>
      <c r="G392" s="3">
        <f>IF('Data Source'!B392="","",IF('Data Source'!Y392&gt;=5,"A+",IF('Data Source'!Y392&gt;=4,"A",IF('Data Source'!Y392&gt;=3.5,"A-",IF('Data Source'!Y392&gt;=3,"B",IF('Data Source'!Y392&gt;=2,"C",IF('Data Source'!Y392&gt;=1,"D","F")))))))</f>
        <v/>
      </c>
      <c r="H392" s="3">
        <f>IF('Data Source'!B392="","",IF('Data Source'!Z392&gt;=5,"A+",IF('Data Source'!Z392&gt;=4,"A",IF('Data Source'!Z392&gt;=3.5,"A-",IF('Data Source'!Z392&gt;=3,"B",IF('Data Source'!Z392&gt;=2,"C",IF('Data Source'!Z392&gt;=1,"D","F")))))))</f>
        <v/>
      </c>
      <c r="I392" s="3">
        <f>IF('Data Source'!B392="","",IF('Data Source'!AA392&gt;=5,"A+",IF('Data Source'!AA392&gt;=4,"A",IF('Data Source'!AA392&gt;=3.5,"A-",IF('Data Source'!AA392&gt;=3,"B",IF('Data Source'!AA392&gt;=2,"C",IF('Data Source'!AA392&gt;=1,"D","F")))))))</f>
        <v/>
      </c>
      <c r="J392" s="3">
        <f>IF('Data Source'!B392="","",IF('Data Source'!AB392&gt;=5,"A+",IF('Data Source'!AB392&gt;=4,"A",IF('Data Source'!AB392&gt;=3.5,"A-",IF('Data Source'!AB392&gt;=3,"B",IF('Data Source'!AB392&gt;=2,"C",IF('Data Source'!AB392&gt;=1,"D","F")))))))</f>
        <v/>
      </c>
      <c r="K392" s="3">
        <f>IF('Data Source'!B392="","",IF('Data Source'!AC392&gt;=5,"A+",IF('Data Source'!AC392&gt;=4,"A",IF('Data Source'!AC392&gt;=3.5,"A-",IF('Data Source'!AC392&gt;=3,"B",IF('Data Source'!AC392&gt;=2,"C",IF('Data Source'!AC392&gt;=1,"D","F")))))))</f>
        <v/>
      </c>
      <c r="L392" s="3">
        <f>IF('Data Source'!B392="","",IF('Data Source'!AD392&gt;=5,"A+",IF('Data Source'!AD392&gt;=4,"A",IF('Data Source'!AD392&gt;=3.5,"A-",IF('Data Source'!AD392&gt;=3,"B",IF('Data Source'!AD392&gt;=2,"C",IF('Data Source'!AD392&gt;=1,"D","F")))))))</f>
        <v/>
      </c>
      <c r="M392" s="3">
        <f>IF('Data Source'!B392="","",IF('Data Source'!AE392&gt;=5,"A+",IF('Data Source'!AE392&gt;=4,"A",IF('Data Source'!AE392&gt;=3.5,"A-",IF('Data Source'!AE392&gt;=3,"B",IF('Data Source'!AE392&gt;=2,"C",IF('Data Source'!AE392&gt;=1,"D","F")))))))</f>
        <v/>
      </c>
      <c r="N392" s="3">
        <f>IF('Data Source'!B392="","",IF('Data Source'!AF392&gt;=5,"A+",IF('Data Source'!AF392&gt;=4,"A",IF('Data Source'!AF392&gt;=3.5,"A-",IF('Data Source'!AF392&gt;=3,"B",IF('Data Source'!AF392&gt;=2,"C",IF('Data Source'!AF392&gt;=1,"D","F")))))))</f>
        <v/>
      </c>
      <c r="O392" s="3">
        <f>IF('Data Source'!B392="","",IF('Data Source'!AG392&gt;=5,"A+",IF('Data Source'!AG392&gt;=4,"A",IF('Data Source'!AG392&gt;=3.5,"A-",IF('Data Source'!AG392&gt;=3,"B",IF('Data Source'!AG392&gt;=2,"C",IF('Data Source'!AG392&gt;=1,"D","F")))))))</f>
        <v/>
      </c>
      <c r="P392" s="5">
        <f>IF('Data Source'!B392="","",'Data Source'!R392)</f>
        <v/>
      </c>
      <c r="Q392" s="3">
        <f>IF('Data Source'!B392="","",'Data Source'!S392)</f>
        <v/>
      </c>
    </row>
    <row r="393">
      <c r="A393" s="3">
        <f>IF('Data Source'!B393="","",'Data Source'!A393)</f>
        <v/>
      </c>
      <c r="B393">
        <f>IF('Data Source'!B393="","",'Data Source'!B393)</f>
        <v/>
      </c>
      <c r="C393" s="3">
        <f>IF('Data Source'!B393="","",IF('Data Source'!U393&gt;=5,"A+",IF('Data Source'!U393&gt;=4,"A",IF('Data Source'!U393&gt;=3.5,"A-",IF('Data Source'!U393&gt;=3,"B",IF('Data Source'!U393&gt;=2,"C",IF('Data Source'!U393&gt;=1,"D","F")))))))</f>
        <v/>
      </c>
      <c r="D393" s="3">
        <f>IF('Data Source'!B393="","",IF('Data Source'!V393&gt;=5,"A+",IF('Data Source'!V393&gt;=4,"A",IF('Data Source'!V393&gt;=3.5,"A-",IF('Data Source'!V393&gt;=3,"B",IF('Data Source'!V393&gt;=2,"C",IF('Data Source'!V393&gt;=1,"D","F")))))))</f>
        <v/>
      </c>
      <c r="E393" s="3">
        <f>IF('Data Source'!B393="","",IF('Data Source'!W393&gt;=5,"A+",IF('Data Source'!W393&gt;=4,"A",IF('Data Source'!W393&gt;=3.5,"A-",IF('Data Source'!W393&gt;=3,"B",IF('Data Source'!W393&gt;=2,"C",IF('Data Source'!W393&gt;=1,"D","F")))))))</f>
        <v/>
      </c>
      <c r="F393" s="3">
        <f>IF('Data Source'!B393="","",IF('Data Source'!X393&gt;=5,"A+",IF('Data Source'!X393&gt;=4,"A",IF('Data Source'!X393&gt;=3.5,"A-",IF('Data Source'!X393&gt;=3,"B",IF('Data Source'!X393&gt;=2,"C",IF('Data Source'!X393&gt;=1,"D","F")))))))</f>
        <v/>
      </c>
      <c r="G393" s="3">
        <f>IF('Data Source'!B393="","",IF('Data Source'!Y393&gt;=5,"A+",IF('Data Source'!Y393&gt;=4,"A",IF('Data Source'!Y393&gt;=3.5,"A-",IF('Data Source'!Y393&gt;=3,"B",IF('Data Source'!Y393&gt;=2,"C",IF('Data Source'!Y393&gt;=1,"D","F")))))))</f>
        <v/>
      </c>
      <c r="H393" s="3">
        <f>IF('Data Source'!B393="","",IF('Data Source'!Z393&gt;=5,"A+",IF('Data Source'!Z393&gt;=4,"A",IF('Data Source'!Z393&gt;=3.5,"A-",IF('Data Source'!Z393&gt;=3,"B",IF('Data Source'!Z393&gt;=2,"C",IF('Data Source'!Z393&gt;=1,"D","F")))))))</f>
        <v/>
      </c>
      <c r="I393" s="3">
        <f>IF('Data Source'!B393="","",IF('Data Source'!AA393&gt;=5,"A+",IF('Data Source'!AA393&gt;=4,"A",IF('Data Source'!AA393&gt;=3.5,"A-",IF('Data Source'!AA393&gt;=3,"B",IF('Data Source'!AA393&gt;=2,"C",IF('Data Source'!AA393&gt;=1,"D","F")))))))</f>
        <v/>
      </c>
      <c r="J393" s="3">
        <f>IF('Data Source'!B393="","",IF('Data Source'!AB393&gt;=5,"A+",IF('Data Source'!AB393&gt;=4,"A",IF('Data Source'!AB393&gt;=3.5,"A-",IF('Data Source'!AB393&gt;=3,"B",IF('Data Source'!AB393&gt;=2,"C",IF('Data Source'!AB393&gt;=1,"D","F")))))))</f>
        <v/>
      </c>
      <c r="K393" s="3">
        <f>IF('Data Source'!B393="","",IF('Data Source'!AC393&gt;=5,"A+",IF('Data Source'!AC393&gt;=4,"A",IF('Data Source'!AC393&gt;=3.5,"A-",IF('Data Source'!AC393&gt;=3,"B",IF('Data Source'!AC393&gt;=2,"C",IF('Data Source'!AC393&gt;=1,"D","F")))))))</f>
        <v/>
      </c>
      <c r="L393" s="3">
        <f>IF('Data Source'!B393="","",IF('Data Source'!AD393&gt;=5,"A+",IF('Data Source'!AD393&gt;=4,"A",IF('Data Source'!AD393&gt;=3.5,"A-",IF('Data Source'!AD393&gt;=3,"B",IF('Data Source'!AD393&gt;=2,"C",IF('Data Source'!AD393&gt;=1,"D","F")))))))</f>
        <v/>
      </c>
      <c r="M393" s="3">
        <f>IF('Data Source'!B393="","",IF('Data Source'!AE393&gt;=5,"A+",IF('Data Source'!AE393&gt;=4,"A",IF('Data Source'!AE393&gt;=3.5,"A-",IF('Data Source'!AE393&gt;=3,"B",IF('Data Source'!AE393&gt;=2,"C",IF('Data Source'!AE393&gt;=1,"D","F")))))))</f>
        <v/>
      </c>
      <c r="N393" s="3">
        <f>IF('Data Source'!B393="","",IF('Data Source'!AF393&gt;=5,"A+",IF('Data Source'!AF393&gt;=4,"A",IF('Data Source'!AF393&gt;=3.5,"A-",IF('Data Source'!AF393&gt;=3,"B",IF('Data Source'!AF393&gt;=2,"C",IF('Data Source'!AF393&gt;=1,"D","F")))))))</f>
        <v/>
      </c>
      <c r="O393" s="3">
        <f>IF('Data Source'!B393="","",IF('Data Source'!AG393&gt;=5,"A+",IF('Data Source'!AG393&gt;=4,"A",IF('Data Source'!AG393&gt;=3.5,"A-",IF('Data Source'!AG393&gt;=3,"B",IF('Data Source'!AG393&gt;=2,"C",IF('Data Source'!AG393&gt;=1,"D","F")))))))</f>
        <v/>
      </c>
      <c r="P393" s="5">
        <f>IF('Data Source'!B393="","",'Data Source'!R393)</f>
        <v/>
      </c>
      <c r="Q393" s="3">
        <f>IF('Data Source'!B393="","",'Data Source'!S393)</f>
        <v/>
      </c>
    </row>
    <row r="394">
      <c r="A394" s="3">
        <f>IF('Data Source'!B394="","",'Data Source'!A394)</f>
        <v/>
      </c>
      <c r="B394">
        <f>IF('Data Source'!B394="","",'Data Source'!B394)</f>
        <v/>
      </c>
      <c r="C394" s="3">
        <f>IF('Data Source'!B394="","",IF('Data Source'!U394&gt;=5,"A+",IF('Data Source'!U394&gt;=4,"A",IF('Data Source'!U394&gt;=3.5,"A-",IF('Data Source'!U394&gt;=3,"B",IF('Data Source'!U394&gt;=2,"C",IF('Data Source'!U394&gt;=1,"D","F")))))))</f>
        <v/>
      </c>
      <c r="D394" s="3">
        <f>IF('Data Source'!B394="","",IF('Data Source'!V394&gt;=5,"A+",IF('Data Source'!V394&gt;=4,"A",IF('Data Source'!V394&gt;=3.5,"A-",IF('Data Source'!V394&gt;=3,"B",IF('Data Source'!V394&gt;=2,"C",IF('Data Source'!V394&gt;=1,"D","F")))))))</f>
        <v/>
      </c>
      <c r="E394" s="3">
        <f>IF('Data Source'!B394="","",IF('Data Source'!W394&gt;=5,"A+",IF('Data Source'!W394&gt;=4,"A",IF('Data Source'!W394&gt;=3.5,"A-",IF('Data Source'!W394&gt;=3,"B",IF('Data Source'!W394&gt;=2,"C",IF('Data Source'!W394&gt;=1,"D","F")))))))</f>
        <v/>
      </c>
      <c r="F394" s="3">
        <f>IF('Data Source'!B394="","",IF('Data Source'!X394&gt;=5,"A+",IF('Data Source'!X394&gt;=4,"A",IF('Data Source'!X394&gt;=3.5,"A-",IF('Data Source'!X394&gt;=3,"B",IF('Data Source'!X394&gt;=2,"C",IF('Data Source'!X394&gt;=1,"D","F")))))))</f>
        <v/>
      </c>
      <c r="G394" s="3">
        <f>IF('Data Source'!B394="","",IF('Data Source'!Y394&gt;=5,"A+",IF('Data Source'!Y394&gt;=4,"A",IF('Data Source'!Y394&gt;=3.5,"A-",IF('Data Source'!Y394&gt;=3,"B",IF('Data Source'!Y394&gt;=2,"C",IF('Data Source'!Y394&gt;=1,"D","F")))))))</f>
        <v/>
      </c>
      <c r="H394" s="3">
        <f>IF('Data Source'!B394="","",IF('Data Source'!Z394&gt;=5,"A+",IF('Data Source'!Z394&gt;=4,"A",IF('Data Source'!Z394&gt;=3.5,"A-",IF('Data Source'!Z394&gt;=3,"B",IF('Data Source'!Z394&gt;=2,"C",IF('Data Source'!Z394&gt;=1,"D","F")))))))</f>
        <v/>
      </c>
      <c r="I394" s="3">
        <f>IF('Data Source'!B394="","",IF('Data Source'!AA394&gt;=5,"A+",IF('Data Source'!AA394&gt;=4,"A",IF('Data Source'!AA394&gt;=3.5,"A-",IF('Data Source'!AA394&gt;=3,"B",IF('Data Source'!AA394&gt;=2,"C",IF('Data Source'!AA394&gt;=1,"D","F")))))))</f>
        <v/>
      </c>
      <c r="J394" s="3">
        <f>IF('Data Source'!B394="","",IF('Data Source'!AB394&gt;=5,"A+",IF('Data Source'!AB394&gt;=4,"A",IF('Data Source'!AB394&gt;=3.5,"A-",IF('Data Source'!AB394&gt;=3,"B",IF('Data Source'!AB394&gt;=2,"C",IF('Data Source'!AB394&gt;=1,"D","F")))))))</f>
        <v/>
      </c>
      <c r="K394" s="3">
        <f>IF('Data Source'!B394="","",IF('Data Source'!AC394&gt;=5,"A+",IF('Data Source'!AC394&gt;=4,"A",IF('Data Source'!AC394&gt;=3.5,"A-",IF('Data Source'!AC394&gt;=3,"B",IF('Data Source'!AC394&gt;=2,"C",IF('Data Source'!AC394&gt;=1,"D","F")))))))</f>
        <v/>
      </c>
      <c r="L394" s="3">
        <f>IF('Data Source'!B394="","",IF('Data Source'!AD394&gt;=5,"A+",IF('Data Source'!AD394&gt;=4,"A",IF('Data Source'!AD394&gt;=3.5,"A-",IF('Data Source'!AD394&gt;=3,"B",IF('Data Source'!AD394&gt;=2,"C",IF('Data Source'!AD394&gt;=1,"D","F")))))))</f>
        <v/>
      </c>
      <c r="M394" s="3">
        <f>IF('Data Source'!B394="","",IF('Data Source'!AE394&gt;=5,"A+",IF('Data Source'!AE394&gt;=4,"A",IF('Data Source'!AE394&gt;=3.5,"A-",IF('Data Source'!AE394&gt;=3,"B",IF('Data Source'!AE394&gt;=2,"C",IF('Data Source'!AE394&gt;=1,"D","F")))))))</f>
        <v/>
      </c>
      <c r="N394" s="3">
        <f>IF('Data Source'!B394="","",IF('Data Source'!AF394&gt;=5,"A+",IF('Data Source'!AF394&gt;=4,"A",IF('Data Source'!AF394&gt;=3.5,"A-",IF('Data Source'!AF394&gt;=3,"B",IF('Data Source'!AF394&gt;=2,"C",IF('Data Source'!AF394&gt;=1,"D","F")))))))</f>
        <v/>
      </c>
      <c r="O394" s="3">
        <f>IF('Data Source'!B394="","",IF('Data Source'!AG394&gt;=5,"A+",IF('Data Source'!AG394&gt;=4,"A",IF('Data Source'!AG394&gt;=3.5,"A-",IF('Data Source'!AG394&gt;=3,"B",IF('Data Source'!AG394&gt;=2,"C",IF('Data Source'!AG394&gt;=1,"D","F")))))))</f>
        <v/>
      </c>
      <c r="P394" s="5">
        <f>IF('Data Source'!B394="","",'Data Source'!R394)</f>
        <v/>
      </c>
      <c r="Q394" s="3">
        <f>IF('Data Source'!B394="","",'Data Source'!S394)</f>
        <v/>
      </c>
    </row>
    <row r="395">
      <c r="A395" s="3">
        <f>IF('Data Source'!B395="","",'Data Source'!A395)</f>
        <v/>
      </c>
      <c r="B395">
        <f>IF('Data Source'!B395="","",'Data Source'!B395)</f>
        <v/>
      </c>
      <c r="C395" s="3">
        <f>IF('Data Source'!B395="","",IF('Data Source'!U395&gt;=5,"A+",IF('Data Source'!U395&gt;=4,"A",IF('Data Source'!U395&gt;=3.5,"A-",IF('Data Source'!U395&gt;=3,"B",IF('Data Source'!U395&gt;=2,"C",IF('Data Source'!U395&gt;=1,"D","F")))))))</f>
        <v/>
      </c>
      <c r="D395" s="3">
        <f>IF('Data Source'!B395="","",IF('Data Source'!V395&gt;=5,"A+",IF('Data Source'!V395&gt;=4,"A",IF('Data Source'!V395&gt;=3.5,"A-",IF('Data Source'!V395&gt;=3,"B",IF('Data Source'!V395&gt;=2,"C",IF('Data Source'!V395&gt;=1,"D","F")))))))</f>
        <v/>
      </c>
      <c r="E395" s="3">
        <f>IF('Data Source'!B395="","",IF('Data Source'!W395&gt;=5,"A+",IF('Data Source'!W395&gt;=4,"A",IF('Data Source'!W395&gt;=3.5,"A-",IF('Data Source'!W395&gt;=3,"B",IF('Data Source'!W395&gt;=2,"C",IF('Data Source'!W395&gt;=1,"D","F")))))))</f>
        <v/>
      </c>
      <c r="F395" s="3">
        <f>IF('Data Source'!B395="","",IF('Data Source'!X395&gt;=5,"A+",IF('Data Source'!X395&gt;=4,"A",IF('Data Source'!X395&gt;=3.5,"A-",IF('Data Source'!X395&gt;=3,"B",IF('Data Source'!X395&gt;=2,"C",IF('Data Source'!X395&gt;=1,"D","F")))))))</f>
        <v/>
      </c>
      <c r="G395" s="3">
        <f>IF('Data Source'!B395="","",IF('Data Source'!Y395&gt;=5,"A+",IF('Data Source'!Y395&gt;=4,"A",IF('Data Source'!Y395&gt;=3.5,"A-",IF('Data Source'!Y395&gt;=3,"B",IF('Data Source'!Y395&gt;=2,"C",IF('Data Source'!Y395&gt;=1,"D","F")))))))</f>
        <v/>
      </c>
      <c r="H395" s="3">
        <f>IF('Data Source'!B395="","",IF('Data Source'!Z395&gt;=5,"A+",IF('Data Source'!Z395&gt;=4,"A",IF('Data Source'!Z395&gt;=3.5,"A-",IF('Data Source'!Z395&gt;=3,"B",IF('Data Source'!Z395&gt;=2,"C",IF('Data Source'!Z395&gt;=1,"D","F")))))))</f>
        <v/>
      </c>
      <c r="I395" s="3">
        <f>IF('Data Source'!B395="","",IF('Data Source'!AA395&gt;=5,"A+",IF('Data Source'!AA395&gt;=4,"A",IF('Data Source'!AA395&gt;=3.5,"A-",IF('Data Source'!AA395&gt;=3,"B",IF('Data Source'!AA395&gt;=2,"C",IF('Data Source'!AA395&gt;=1,"D","F")))))))</f>
        <v/>
      </c>
      <c r="J395" s="3">
        <f>IF('Data Source'!B395="","",IF('Data Source'!AB395&gt;=5,"A+",IF('Data Source'!AB395&gt;=4,"A",IF('Data Source'!AB395&gt;=3.5,"A-",IF('Data Source'!AB395&gt;=3,"B",IF('Data Source'!AB395&gt;=2,"C",IF('Data Source'!AB395&gt;=1,"D","F")))))))</f>
        <v/>
      </c>
      <c r="K395" s="3">
        <f>IF('Data Source'!B395="","",IF('Data Source'!AC395&gt;=5,"A+",IF('Data Source'!AC395&gt;=4,"A",IF('Data Source'!AC395&gt;=3.5,"A-",IF('Data Source'!AC395&gt;=3,"B",IF('Data Source'!AC395&gt;=2,"C",IF('Data Source'!AC395&gt;=1,"D","F")))))))</f>
        <v/>
      </c>
      <c r="L395" s="3">
        <f>IF('Data Source'!B395="","",IF('Data Source'!AD395&gt;=5,"A+",IF('Data Source'!AD395&gt;=4,"A",IF('Data Source'!AD395&gt;=3.5,"A-",IF('Data Source'!AD395&gt;=3,"B",IF('Data Source'!AD395&gt;=2,"C",IF('Data Source'!AD395&gt;=1,"D","F")))))))</f>
        <v/>
      </c>
      <c r="M395" s="3">
        <f>IF('Data Source'!B395="","",IF('Data Source'!AE395&gt;=5,"A+",IF('Data Source'!AE395&gt;=4,"A",IF('Data Source'!AE395&gt;=3.5,"A-",IF('Data Source'!AE395&gt;=3,"B",IF('Data Source'!AE395&gt;=2,"C",IF('Data Source'!AE395&gt;=1,"D","F")))))))</f>
        <v/>
      </c>
      <c r="N395" s="3">
        <f>IF('Data Source'!B395="","",IF('Data Source'!AF395&gt;=5,"A+",IF('Data Source'!AF395&gt;=4,"A",IF('Data Source'!AF395&gt;=3.5,"A-",IF('Data Source'!AF395&gt;=3,"B",IF('Data Source'!AF395&gt;=2,"C",IF('Data Source'!AF395&gt;=1,"D","F")))))))</f>
        <v/>
      </c>
      <c r="O395" s="3">
        <f>IF('Data Source'!B395="","",IF('Data Source'!AG395&gt;=5,"A+",IF('Data Source'!AG395&gt;=4,"A",IF('Data Source'!AG395&gt;=3.5,"A-",IF('Data Source'!AG395&gt;=3,"B",IF('Data Source'!AG395&gt;=2,"C",IF('Data Source'!AG395&gt;=1,"D","F")))))))</f>
        <v/>
      </c>
      <c r="P395" s="5">
        <f>IF('Data Source'!B395="","",'Data Source'!R395)</f>
        <v/>
      </c>
      <c r="Q395" s="3">
        <f>IF('Data Source'!B395="","",'Data Source'!S395)</f>
        <v/>
      </c>
    </row>
    <row r="396">
      <c r="A396" s="3">
        <f>IF('Data Source'!B396="","",'Data Source'!A396)</f>
        <v/>
      </c>
      <c r="B396">
        <f>IF('Data Source'!B396="","",'Data Source'!B396)</f>
        <v/>
      </c>
      <c r="C396" s="3">
        <f>IF('Data Source'!B396="","",IF('Data Source'!U396&gt;=5,"A+",IF('Data Source'!U396&gt;=4,"A",IF('Data Source'!U396&gt;=3.5,"A-",IF('Data Source'!U396&gt;=3,"B",IF('Data Source'!U396&gt;=2,"C",IF('Data Source'!U396&gt;=1,"D","F")))))))</f>
        <v/>
      </c>
      <c r="D396" s="3">
        <f>IF('Data Source'!B396="","",IF('Data Source'!V396&gt;=5,"A+",IF('Data Source'!V396&gt;=4,"A",IF('Data Source'!V396&gt;=3.5,"A-",IF('Data Source'!V396&gt;=3,"B",IF('Data Source'!V396&gt;=2,"C",IF('Data Source'!V396&gt;=1,"D","F")))))))</f>
        <v/>
      </c>
      <c r="E396" s="3">
        <f>IF('Data Source'!B396="","",IF('Data Source'!W396&gt;=5,"A+",IF('Data Source'!W396&gt;=4,"A",IF('Data Source'!W396&gt;=3.5,"A-",IF('Data Source'!W396&gt;=3,"B",IF('Data Source'!W396&gt;=2,"C",IF('Data Source'!W396&gt;=1,"D","F")))))))</f>
        <v/>
      </c>
      <c r="F396" s="3">
        <f>IF('Data Source'!B396="","",IF('Data Source'!X396&gt;=5,"A+",IF('Data Source'!X396&gt;=4,"A",IF('Data Source'!X396&gt;=3.5,"A-",IF('Data Source'!X396&gt;=3,"B",IF('Data Source'!X396&gt;=2,"C",IF('Data Source'!X396&gt;=1,"D","F")))))))</f>
        <v/>
      </c>
      <c r="G396" s="3">
        <f>IF('Data Source'!B396="","",IF('Data Source'!Y396&gt;=5,"A+",IF('Data Source'!Y396&gt;=4,"A",IF('Data Source'!Y396&gt;=3.5,"A-",IF('Data Source'!Y396&gt;=3,"B",IF('Data Source'!Y396&gt;=2,"C",IF('Data Source'!Y396&gt;=1,"D","F")))))))</f>
        <v/>
      </c>
      <c r="H396" s="3">
        <f>IF('Data Source'!B396="","",IF('Data Source'!Z396&gt;=5,"A+",IF('Data Source'!Z396&gt;=4,"A",IF('Data Source'!Z396&gt;=3.5,"A-",IF('Data Source'!Z396&gt;=3,"B",IF('Data Source'!Z396&gt;=2,"C",IF('Data Source'!Z396&gt;=1,"D","F")))))))</f>
        <v/>
      </c>
      <c r="I396" s="3">
        <f>IF('Data Source'!B396="","",IF('Data Source'!AA396&gt;=5,"A+",IF('Data Source'!AA396&gt;=4,"A",IF('Data Source'!AA396&gt;=3.5,"A-",IF('Data Source'!AA396&gt;=3,"B",IF('Data Source'!AA396&gt;=2,"C",IF('Data Source'!AA396&gt;=1,"D","F")))))))</f>
        <v/>
      </c>
      <c r="J396" s="3">
        <f>IF('Data Source'!B396="","",IF('Data Source'!AB396&gt;=5,"A+",IF('Data Source'!AB396&gt;=4,"A",IF('Data Source'!AB396&gt;=3.5,"A-",IF('Data Source'!AB396&gt;=3,"B",IF('Data Source'!AB396&gt;=2,"C",IF('Data Source'!AB396&gt;=1,"D","F")))))))</f>
        <v/>
      </c>
      <c r="K396" s="3">
        <f>IF('Data Source'!B396="","",IF('Data Source'!AC396&gt;=5,"A+",IF('Data Source'!AC396&gt;=4,"A",IF('Data Source'!AC396&gt;=3.5,"A-",IF('Data Source'!AC396&gt;=3,"B",IF('Data Source'!AC396&gt;=2,"C",IF('Data Source'!AC396&gt;=1,"D","F")))))))</f>
        <v/>
      </c>
      <c r="L396" s="3">
        <f>IF('Data Source'!B396="","",IF('Data Source'!AD396&gt;=5,"A+",IF('Data Source'!AD396&gt;=4,"A",IF('Data Source'!AD396&gt;=3.5,"A-",IF('Data Source'!AD396&gt;=3,"B",IF('Data Source'!AD396&gt;=2,"C",IF('Data Source'!AD396&gt;=1,"D","F")))))))</f>
        <v/>
      </c>
      <c r="M396" s="3">
        <f>IF('Data Source'!B396="","",IF('Data Source'!AE396&gt;=5,"A+",IF('Data Source'!AE396&gt;=4,"A",IF('Data Source'!AE396&gt;=3.5,"A-",IF('Data Source'!AE396&gt;=3,"B",IF('Data Source'!AE396&gt;=2,"C",IF('Data Source'!AE396&gt;=1,"D","F")))))))</f>
        <v/>
      </c>
      <c r="N396" s="3">
        <f>IF('Data Source'!B396="","",IF('Data Source'!AF396&gt;=5,"A+",IF('Data Source'!AF396&gt;=4,"A",IF('Data Source'!AF396&gt;=3.5,"A-",IF('Data Source'!AF396&gt;=3,"B",IF('Data Source'!AF396&gt;=2,"C",IF('Data Source'!AF396&gt;=1,"D","F")))))))</f>
        <v/>
      </c>
      <c r="O396" s="3">
        <f>IF('Data Source'!B396="","",IF('Data Source'!AG396&gt;=5,"A+",IF('Data Source'!AG396&gt;=4,"A",IF('Data Source'!AG396&gt;=3.5,"A-",IF('Data Source'!AG396&gt;=3,"B",IF('Data Source'!AG396&gt;=2,"C",IF('Data Source'!AG396&gt;=1,"D","F")))))))</f>
        <v/>
      </c>
      <c r="P396" s="5">
        <f>IF('Data Source'!B396="","",'Data Source'!R396)</f>
        <v/>
      </c>
      <c r="Q396" s="3">
        <f>IF('Data Source'!B396="","",'Data Source'!S396)</f>
        <v/>
      </c>
    </row>
    <row r="397">
      <c r="A397" s="3">
        <f>IF('Data Source'!B397="","",'Data Source'!A397)</f>
        <v/>
      </c>
      <c r="B397">
        <f>IF('Data Source'!B397="","",'Data Source'!B397)</f>
        <v/>
      </c>
      <c r="C397" s="3">
        <f>IF('Data Source'!B397="","",IF('Data Source'!U397&gt;=5,"A+",IF('Data Source'!U397&gt;=4,"A",IF('Data Source'!U397&gt;=3.5,"A-",IF('Data Source'!U397&gt;=3,"B",IF('Data Source'!U397&gt;=2,"C",IF('Data Source'!U397&gt;=1,"D","F")))))))</f>
        <v/>
      </c>
      <c r="D397" s="3">
        <f>IF('Data Source'!B397="","",IF('Data Source'!V397&gt;=5,"A+",IF('Data Source'!V397&gt;=4,"A",IF('Data Source'!V397&gt;=3.5,"A-",IF('Data Source'!V397&gt;=3,"B",IF('Data Source'!V397&gt;=2,"C",IF('Data Source'!V397&gt;=1,"D","F")))))))</f>
        <v/>
      </c>
      <c r="E397" s="3">
        <f>IF('Data Source'!B397="","",IF('Data Source'!W397&gt;=5,"A+",IF('Data Source'!W397&gt;=4,"A",IF('Data Source'!W397&gt;=3.5,"A-",IF('Data Source'!W397&gt;=3,"B",IF('Data Source'!W397&gt;=2,"C",IF('Data Source'!W397&gt;=1,"D","F")))))))</f>
        <v/>
      </c>
      <c r="F397" s="3">
        <f>IF('Data Source'!B397="","",IF('Data Source'!X397&gt;=5,"A+",IF('Data Source'!X397&gt;=4,"A",IF('Data Source'!X397&gt;=3.5,"A-",IF('Data Source'!X397&gt;=3,"B",IF('Data Source'!X397&gt;=2,"C",IF('Data Source'!X397&gt;=1,"D","F")))))))</f>
        <v/>
      </c>
      <c r="G397" s="3">
        <f>IF('Data Source'!B397="","",IF('Data Source'!Y397&gt;=5,"A+",IF('Data Source'!Y397&gt;=4,"A",IF('Data Source'!Y397&gt;=3.5,"A-",IF('Data Source'!Y397&gt;=3,"B",IF('Data Source'!Y397&gt;=2,"C",IF('Data Source'!Y397&gt;=1,"D","F")))))))</f>
        <v/>
      </c>
      <c r="H397" s="3">
        <f>IF('Data Source'!B397="","",IF('Data Source'!Z397&gt;=5,"A+",IF('Data Source'!Z397&gt;=4,"A",IF('Data Source'!Z397&gt;=3.5,"A-",IF('Data Source'!Z397&gt;=3,"B",IF('Data Source'!Z397&gt;=2,"C",IF('Data Source'!Z397&gt;=1,"D","F")))))))</f>
        <v/>
      </c>
      <c r="I397" s="3">
        <f>IF('Data Source'!B397="","",IF('Data Source'!AA397&gt;=5,"A+",IF('Data Source'!AA397&gt;=4,"A",IF('Data Source'!AA397&gt;=3.5,"A-",IF('Data Source'!AA397&gt;=3,"B",IF('Data Source'!AA397&gt;=2,"C",IF('Data Source'!AA397&gt;=1,"D","F")))))))</f>
        <v/>
      </c>
      <c r="J397" s="3">
        <f>IF('Data Source'!B397="","",IF('Data Source'!AB397&gt;=5,"A+",IF('Data Source'!AB397&gt;=4,"A",IF('Data Source'!AB397&gt;=3.5,"A-",IF('Data Source'!AB397&gt;=3,"B",IF('Data Source'!AB397&gt;=2,"C",IF('Data Source'!AB397&gt;=1,"D","F")))))))</f>
        <v/>
      </c>
      <c r="K397" s="3">
        <f>IF('Data Source'!B397="","",IF('Data Source'!AC397&gt;=5,"A+",IF('Data Source'!AC397&gt;=4,"A",IF('Data Source'!AC397&gt;=3.5,"A-",IF('Data Source'!AC397&gt;=3,"B",IF('Data Source'!AC397&gt;=2,"C",IF('Data Source'!AC397&gt;=1,"D","F")))))))</f>
        <v/>
      </c>
      <c r="L397" s="3">
        <f>IF('Data Source'!B397="","",IF('Data Source'!AD397&gt;=5,"A+",IF('Data Source'!AD397&gt;=4,"A",IF('Data Source'!AD397&gt;=3.5,"A-",IF('Data Source'!AD397&gt;=3,"B",IF('Data Source'!AD397&gt;=2,"C",IF('Data Source'!AD397&gt;=1,"D","F")))))))</f>
        <v/>
      </c>
      <c r="M397" s="3">
        <f>IF('Data Source'!B397="","",IF('Data Source'!AE397&gt;=5,"A+",IF('Data Source'!AE397&gt;=4,"A",IF('Data Source'!AE397&gt;=3.5,"A-",IF('Data Source'!AE397&gt;=3,"B",IF('Data Source'!AE397&gt;=2,"C",IF('Data Source'!AE397&gt;=1,"D","F")))))))</f>
        <v/>
      </c>
      <c r="N397" s="3">
        <f>IF('Data Source'!B397="","",IF('Data Source'!AF397&gt;=5,"A+",IF('Data Source'!AF397&gt;=4,"A",IF('Data Source'!AF397&gt;=3.5,"A-",IF('Data Source'!AF397&gt;=3,"B",IF('Data Source'!AF397&gt;=2,"C",IF('Data Source'!AF397&gt;=1,"D","F")))))))</f>
        <v/>
      </c>
      <c r="O397" s="3">
        <f>IF('Data Source'!B397="","",IF('Data Source'!AG397&gt;=5,"A+",IF('Data Source'!AG397&gt;=4,"A",IF('Data Source'!AG397&gt;=3.5,"A-",IF('Data Source'!AG397&gt;=3,"B",IF('Data Source'!AG397&gt;=2,"C",IF('Data Source'!AG397&gt;=1,"D","F")))))))</f>
        <v/>
      </c>
      <c r="P397" s="5">
        <f>IF('Data Source'!B397="","",'Data Source'!R397)</f>
        <v/>
      </c>
      <c r="Q397" s="3">
        <f>IF('Data Source'!B397="","",'Data Source'!S397)</f>
        <v/>
      </c>
    </row>
    <row r="398">
      <c r="A398" s="3">
        <f>IF('Data Source'!B398="","",'Data Source'!A398)</f>
        <v/>
      </c>
      <c r="B398">
        <f>IF('Data Source'!B398="","",'Data Source'!B398)</f>
        <v/>
      </c>
      <c r="C398" s="3">
        <f>IF('Data Source'!B398="","",IF('Data Source'!U398&gt;=5,"A+",IF('Data Source'!U398&gt;=4,"A",IF('Data Source'!U398&gt;=3.5,"A-",IF('Data Source'!U398&gt;=3,"B",IF('Data Source'!U398&gt;=2,"C",IF('Data Source'!U398&gt;=1,"D","F")))))))</f>
        <v/>
      </c>
      <c r="D398" s="3">
        <f>IF('Data Source'!B398="","",IF('Data Source'!V398&gt;=5,"A+",IF('Data Source'!V398&gt;=4,"A",IF('Data Source'!V398&gt;=3.5,"A-",IF('Data Source'!V398&gt;=3,"B",IF('Data Source'!V398&gt;=2,"C",IF('Data Source'!V398&gt;=1,"D","F")))))))</f>
        <v/>
      </c>
      <c r="E398" s="3">
        <f>IF('Data Source'!B398="","",IF('Data Source'!W398&gt;=5,"A+",IF('Data Source'!W398&gt;=4,"A",IF('Data Source'!W398&gt;=3.5,"A-",IF('Data Source'!W398&gt;=3,"B",IF('Data Source'!W398&gt;=2,"C",IF('Data Source'!W398&gt;=1,"D","F")))))))</f>
        <v/>
      </c>
      <c r="F398" s="3">
        <f>IF('Data Source'!B398="","",IF('Data Source'!X398&gt;=5,"A+",IF('Data Source'!X398&gt;=4,"A",IF('Data Source'!X398&gt;=3.5,"A-",IF('Data Source'!X398&gt;=3,"B",IF('Data Source'!X398&gt;=2,"C",IF('Data Source'!X398&gt;=1,"D","F")))))))</f>
        <v/>
      </c>
      <c r="G398" s="3">
        <f>IF('Data Source'!B398="","",IF('Data Source'!Y398&gt;=5,"A+",IF('Data Source'!Y398&gt;=4,"A",IF('Data Source'!Y398&gt;=3.5,"A-",IF('Data Source'!Y398&gt;=3,"B",IF('Data Source'!Y398&gt;=2,"C",IF('Data Source'!Y398&gt;=1,"D","F")))))))</f>
        <v/>
      </c>
      <c r="H398" s="3">
        <f>IF('Data Source'!B398="","",IF('Data Source'!Z398&gt;=5,"A+",IF('Data Source'!Z398&gt;=4,"A",IF('Data Source'!Z398&gt;=3.5,"A-",IF('Data Source'!Z398&gt;=3,"B",IF('Data Source'!Z398&gt;=2,"C",IF('Data Source'!Z398&gt;=1,"D","F")))))))</f>
        <v/>
      </c>
      <c r="I398" s="3">
        <f>IF('Data Source'!B398="","",IF('Data Source'!AA398&gt;=5,"A+",IF('Data Source'!AA398&gt;=4,"A",IF('Data Source'!AA398&gt;=3.5,"A-",IF('Data Source'!AA398&gt;=3,"B",IF('Data Source'!AA398&gt;=2,"C",IF('Data Source'!AA398&gt;=1,"D","F")))))))</f>
        <v/>
      </c>
      <c r="J398" s="3">
        <f>IF('Data Source'!B398="","",IF('Data Source'!AB398&gt;=5,"A+",IF('Data Source'!AB398&gt;=4,"A",IF('Data Source'!AB398&gt;=3.5,"A-",IF('Data Source'!AB398&gt;=3,"B",IF('Data Source'!AB398&gt;=2,"C",IF('Data Source'!AB398&gt;=1,"D","F")))))))</f>
        <v/>
      </c>
      <c r="K398" s="3">
        <f>IF('Data Source'!B398="","",IF('Data Source'!AC398&gt;=5,"A+",IF('Data Source'!AC398&gt;=4,"A",IF('Data Source'!AC398&gt;=3.5,"A-",IF('Data Source'!AC398&gt;=3,"B",IF('Data Source'!AC398&gt;=2,"C",IF('Data Source'!AC398&gt;=1,"D","F")))))))</f>
        <v/>
      </c>
      <c r="L398" s="3">
        <f>IF('Data Source'!B398="","",IF('Data Source'!AD398&gt;=5,"A+",IF('Data Source'!AD398&gt;=4,"A",IF('Data Source'!AD398&gt;=3.5,"A-",IF('Data Source'!AD398&gt;=3,"B",IF('Data Source'!AD398&gt;=2,"C",IF('Data Source'!AD398&gt;=1,"D","F")))))))</f>
        <v/>
      </c>
      <c r="M398" s="3">
        <f>IF('Data Source'!B398="","",IF('Data Source'!AE398&gt;=5,"A+",IF('Data Source'!AE398&gt;=4,"A",IF('Data Source'!AE398&gt;=3.5,"A-",IF('Data Source'!AE398&gt;=3,"B",IF('Data Source'!AE398&gt;=2,"C",IF('Data Source'!AE398&gt;=1,"D","F")))))))</f>
        <v/>
      </c>
      <c r="N398" s="3">
        <f>IF('Data Source'!B398="","",IF('Data Source'!AF398&gt;=5,"A+",IF('Data Source'!AF398&gt;=4,"A",IF('Data Source'!AF398&gt;=3.5,"A-",IF('Data Source'!AF398&gt;=3,"B",IF('Data Source'!AF398&gt;=2,"C",IF('Data Source'!AF398&gt;=1,"D","F")))))))</f>
        <v/>
      </c>
      <c r="O398" s="3">
        <f>IF('Data Source'!B398="","",IF('Data Source'!AG398&gt;=5,"A+",IF('Data Source'!AG398&gt;=4,"A",IF('Data Source'!AG398&gt;=3.5,"A-",IF('Data Source'!AG398&gt;=3,"B",IF('Data Source'!AG398&gt;=2,"C",IF('Data Source'!AG398&gt;=1,"D","F")))))))</f>
        <v/>
      </c>
      <c r="P398" s="5">
        <f>IF('Data Source'!B398="","",'Data Source'!R398)</f>
        <v/>
      </c>
      <c r="Q398" s="3">
        <f>IF('Data Source'!B398="","",'Data Source'!S398)</f>
        <v/>
      </c>
    </row>
    <row r="399">
      <c r="A399" s="3">
        <f>IF('Data Source'!B399="","",'Data Source'!A399)</f>
        <v/>
      </c>
      <c r="B399">
        <f>IF('Data Source'!B399="","",'Data Source'!B399)</f>
        <v/>
      </c>
      <c r="C399" s="3">
        <f>IF('Data Source'!B399="","",IF('Data Source'!U399&gt;=5,"A+",IF('Data Source'!U399&gt;=4,"A",IF('Data Source'!U399&gt;=3.5,"A-",IF('Data Source'!U399&gt;=3,"B",IF('Data Source'!U399&gt;=2,"C",IF('Data Source'!U399&gt;=1,"D","F")))))))</f>
        <v/>
      </c>
      <c r="D399" s="3">
        <f>IF('Data Source'!B399="","",IF('Data Source'!V399&gt;=5,"A+",IF('Data Source'!V399&gt;=4,"A",IF('Data Source'!V399&gt;=3.5,"A-",IF('Data Source'!V399&gt;=3,"B",IF('Data Source'!V399&gt;=2,"C",IF('Data Source'!V399&gt;=1,"D","F")))))))</f>
        <v/>
      </c>
      <c r="E399" s="3">
        <f>IF('Data Source'!B399="","",IF('Data Source'!W399&gt;=5,"A+",IF('Data Source'!W399&gt;=4,"A",IF('Data Source'!W399&gt;=3.5,"A-",IF('Data Source'!W399&gt;=3,"B",IF('Data Source'!W399&gt;=2,"C",IF('Data Source'!W399&gt;=1,"D","F")))))))</f>
        <v/>
      </c>
      <c r="F399" s="3">
        <f>IF('Data Source'!B399="","",IF('Data Source'!X399&gt;=5,"A+",IF('Data Source'!X399&gt;=4,"A",IF('Data Source'!X399&gt;=3.5,"A-",IF('Data Source'!X399&gt;=3,"B",IF('Data Source'!X399&gt;=2,"C",IF('Data Source'!X399&gt;=1,"D","F")))))))</f>
        <v/>
      </c>
      <c r="G399" s="3">
        <f>IF('Data Source'!B399="","",IF('Data Source'!Y399&gt;=5,"A+",IF('Data Source'!Y399&gt;=4,"A",IF('Data Source'!Y399&gt;=3.5,"A-",IF('Data Source'!Y399&gt;=3,"B",IF('Data Source'!Y399&gt;=2,"C",IF('Data Source'!Y399&gt;=1,"D","F")))))))</f>
        <v/>
      </c>
      <c r="H399" s="3">
        <f>IF('Data Source'!B399="","",IF('Data Source'!Z399&gt;=5,"A+",IF('Data Source'!Z399&gt;=4,"A",IF('Data Source'!Z399&gt;=3.5,"A-",IF('Data Source'!Z399&gt;=3,"B",IF('Data Source'!Z399&gt;=2,"C",IF('Data Source'!Z399&gt;=1,"D","F")))))))</f>
        <v/>
      </c>
      <c r="I399" s="3">
        <f>IF('Data Source'!B399="","",IF('Data Source'!AA399&gt;=5,"A+",IF('Data Source'!AA399&gt;=4,"A",IF('Data Source'!AA399&gt;=3.5,"A-",IF('Data Source'!AA399&gt;=3,"B",IF('Data Source'!AA399&gt;=2,"C",IF('Data Source'!AA399&gt;=1,"D","F")))))))</f>
        <v/>
      </c>
      <c r="J399" s="3">
        <f>IF('Data Source'!B399="","",IF('Data Source'!AB399&gt;=5,"A+",IF('Data Source'!AB399&gt;=4,"A",IF('Data Source'!AB399&gt;=3.5,"A-",IF('Data Source'!AB399&gt;=3,"B",IF('Data Source'!AB399&gt;=2,"C",IF('Data Source'!AB399&gt;=1,"D","F")))))))</f>
        <v/>
      </c>
      <c r="K399" s="3">
        <f>IF('Data Source'!B399="","",IF('Data Source'!AC399&gt;=5,"A+",IF('Data Source'!AC399&gt;=4,"A",IF('Data Source'!AC399&gt;=3.5,"A-",IF('Data Source'!AC399&gt;=3,"B",IF('Data Source'!AC399&gt;=2,"C",IF('Data Source'!AC399&gt;=1,"D","F")))))))</f>
        <v/>
      </c>
      <c r="L399" s="3">
        <f>IF('Data Source'!B399="","",IF('Data Source'!AD399&gt;=5,"A+",IF('Data Source'!AD399&gt;=4,"A",IF('Data Source'!AD399&gt;=3.5,"A-",IF('Data Source'!AD399&gt;=3,"B",IF('Data Source'!AD399&gt;=2,"C",IF('Data Source'!AD399&gt;=1,"D","F")))))))</f>
        <v/>
      </c>
      <c r="M399" s="3">
        <f>IF('Data Source'!B399="","",IF('Data Source'!AE399&gt;=5,"A+",IF('Data Source'!AE399&gt;=4,"A",IF('Data Source'!AE399&gt;=3.5,"A-",IF('Data Source'!AE399&gt;=3,"B",IF('Data Source'!AE399&gt;=2,"C",IF('Data Source'!AE399&gt;=1,"D","F")))))))</f>
        <v/>
      </c>
      <c r="N399" s="3">
        <f>IF('Data Source'!B399="","",IF('Data Source'!AF399&gt;=5,"A+",IF('Data Source'!AF399&gt;=4,"A",IF('Data Source'!AF399&gt;=3.5,"A-",IF('Data Source'!AF399&gt;=3,"B",IF('Data Source'!AF399&gt;=2,"C",IF('Data Source'!AF399&gt;=1,"D","F")))))))</f>
        <v/>
      </c>
      <c r="O399" s="3">
        <f>IF('Data Source'!B399="","",IF('Data Source'!AG399&gt;=5,"A+",IF('Data Source'!AG399&gt;=4,"A",IF('Data Source'!AG399&gt;=3.5,"A-",IF('Data Source'!AG399&gt;=3,"B",IF('Data Source'!AG399&gt;=2,"C",IF('Data Source'!AG399&gt;=1,"D","F")))))))</f>
        <v/>
      </c>
      <c r="P399" s="5">
        <f>IF('Data Source'!B399="","",'Data Source'!R399)</f>
        <v/>
      </c>
      <c r="Q399" s="3">
        <f>IF('Data Source'!B399="","",'Data Source'!S399)</f>
        <v/>
      </c>
    </row>
    <row r="400">
      <c r="A400" s="3">
        <f>IF('Data Source'!B400="","",'Data Source'!A400)</f>
        <v/>
      </c>
      <c r="B400">
        <f>IF('Data Source'!B400="","",'Data Source'!B400)</f>
        <v/>
      </c>
      <c r="C400" s="3">
        <f>IF('Data Source'!B400="","",IF('Data Source'!U400&gt;=5,"A+",IF('Data Source'!U400&gt;=4,"A",IF('Data Source'!U400&gt;=3.5,"A-",IF('Data Source'!U400&gt;=3,"B",IF('Data Source'!U400&gt;=2,"C",IF('Data Source'!U400&gt;=1,"D","F")))))))</f>
        <v/>
      </c>
      <c r="D400" s="3">
        <f>IF('Data Source'!B400="","",IF('Data Source'!V400&gt;=5,"A+",IF('Data Source'!V400&gt;=4,"A",IF('Data Source'!V400&gt;=3.5,"A-",IF('Data Source'!V400&gt;=3,"B",IF('Data Source'!V400&gt;=2,"C",IF('Data Source'!V400&gt;=1,"D","F")))))))</f>
        <v/>
      </c>
      <c r="E400" s="3">
        <f>IF('Data Source'!B400="","",IF('Data Source'!W400&gt;=5,"A+",IF('Data Source'!W400&gt;=4,"A",IF('Data Source'!W400&gt;=3.5,"A-",IF('Data Source'!W400&gt;=3,"B",IF('Data Source'!W400&gt;=2,"C",IF('Data Source'!W400&gt;=1,"D","F")))))))</f>
        <v/>
      </c>
      <c r="F400" s="3">
        <f>IF('Data Source'!B400="","",IF('Data Source'!X400&gt;=5,"A+",IF('Data Source'!X400&gt;=4,"A",IF('Data Source'!X400&gt;=3.5,"A-",IF('Data Source'!X400&gt;=3,"B",IF('Data Source'!X400&gt;=2,"C",IF('Data Source'!X400&gt;=1,"D","F")))))))</f>
        <v/>
      </c>
      <c r="G400" s="3">
        <f>IF('Data Source'!B400="","",IF('Data Source'!Y400&gt;=5,"A+",IF('Data Source'!Y400&gt;=4,"A",IF('Data Source'!Y400&gt;=3.5,"A-",IF('Data Source'!Y400&gt;=3,"B",IF('Data Source'!Y400&gt;=2,"C",IF('Data Source'!Y400&gt;=1,"D","F")))))))</f>
        <v/>
      </c>
      <c r="H400" s="3">
        <f>IF('Data Source'!B400="","",IF('Data Source'!Z400&gt;=5,"A+",IF('Data Source'!Z400&gt;=4,"A",IF('Data Source'!Z400&gt;=3.5,"A-",IF('Data Source'!Z400&gt;=3,"B",IF('Data Source'!Z400&gt;=2,"C",IF('Data Source'!Z400&gt;=1,"D","F")))))))</f>
        <v/>
      </c>
      <c r="I400" s="3">
        <f>IF('Data Source'!B400="","",IF('Data Source'!AA400&gt;=5,"A+",IF('Data Source'!AA400&gt;=4,"A",IF('Data Source'!AA400&gt;=3.5,"A-",IF('Data Source'!AA400&gt;=3,"B",IF('Data Source'!AA400&gt;=2,"C",IF('Data Source'!AA400&gt;=1,"D","F")))))))</f>
        <v/>
      </c>
      <c r="J400" s="3">
        <f>IF('Data Source'!B400="","",IF('Data Source'!AB400&gt;=5,"A+",IF('Data Source'!AB400&gt;=4,"A",IF('Data Source'!AB400&gt;=3.5,"A-",IF('Data Source'!AB400&gt;=3,"B",IF('Data Source'!AB400&gt;=2,"C",IF('Data Source'!AB400&gt;=1,"D","F")))))))</f>
        <v/>
      </c>
      <c r="K400" s="3">
        <f>IF('Data Source'!B400="","",IF('Data Source'!AC400&gt;=5,"A+",IF('Data Source'!AC400&gt;=4,"A",IF('Data Source'!AC400&gt;=3.5,"A-",IF('Data Source'!AC400&gt;=3,"B",IF('Data Source'!AC400&gt;=2,"C",IF('Data Source'!AC400&gt;=1,"D","F")))))))</f>
        <v/>
      </c>
      <c r="L400" s="3">
        <f>IF('Data Source'!B400="","",IF('Data Source'!AD400&gt;=5,"A+",IF('Data Source'!AD400&gt;=4,"A",IF('Data Source'!AD400&gt;=3.5,"A-",IF('Data Source'!AD400&gt;=3,"B",IF('Data Source'!AD400&gt;=2,"C",IF('Data Source'!AD400&gt;=1,"D","F")))))))</f>
        <v/>
      </c>
      <c r="M400" s="3">
        <f>IF('Data Source'!B400="","",IF('Data Source'!AE400&gt;=5,"A+",IF('Data Source'!AE400&gt;=4,"A",IF('Data Source'!AE400&gt;=3.5,"A-",IF('Data Source'!AE400&gt;=3,"B",IF('Data Source'!AE400&gt;=2,"C",IF('Data Source'!AE400&gt;=1,"D","F")))))))</f>
        <v/>
      </c>
      <c r="N400" s="3">
        <f>IF('Data Source'!B400="","",IF('Data Source'!AF400&gt;=5,"A+",IF('Data Source'!AF400&gt;=4,"A",IF('Data Source'!AF400&gt;=3.5,"A-",IF('Data Source'!AF400&gt;=3,"B",IF('Data Source'!AF400&gt;=2,"C",IF('Data Source'!AF400&gt;=1,"D","F")))))))</f>
        <v/>
      </c>
      <c r="O400" s="3">
        <f>IF('Data Source'!B400="","",IF('Data Source'!AG400&gt;=5,"A+",IF('Data Source'!AG400&gt;=4,"A",IF('Data Source'!AG400&gt;=3.5,"A-",IF('Data Source'!AG400&gt;=3,"B",IF('Data Source'!AG400&gt;=2,"C",IF('Data Source'!AG400&gt;=1,"D","F")))))))</f>
        <v/>
      </c>
      <c r="P400" s="5">
        <f>IF('Data Source'!B400="","",'Data Source'!R400)</f>
        <v/>
      </c>
      <c r="Q400" s="3">
        <f>IF('Data Source'!B400="","",'Data Source'!S400)</f>
        <v/>
      </c>
    </row>
    <row r="401">
      <c r="A401" s="3">
        <f>IF('Data Source'!B401="","",'Data Source'!A401)</f>
        <v/>
      </c>
      <c r="B401">
        <f>IF('Data Source'!B401="","",'Data Source'!B401)</f>
        <v/>
      </c>
      <c r="C401" s="3">
        <f>IF('Data Source'!B401="","",IF('Data Source'!U401&gt;=5,"A+",IF('Data Source'!U401&gt;=4,"A",IF('Data Source'!U401&gt;=3.5,"A-",IF('Data Source'!U401&gt;=3,"B",IF('Data Source'!U401&gt;=2,"C",IF('Data Source'!U401&gt;=1,"D","F")))))))</f>
        <v/>
      </c>
      <c r="D401" s="3">
        <f>IF('Data Source'!B401="","",IF('Data Source'!V401&gt;=5,"A+",IF('Data Source'!V401&gt;=4,"A",IF('Data Source'!V401&gt;=3.5,"A-",IF('Data Source'!V401&gt;=3,"B",IF('Data Source'!V401&gt;=2,"C",IF('Data Source'!V401&gt;=1,"D","F")))))))</f>
        <v/>
      </c>
      <c r="E401" s="3">
        <f>IF('Data Source'!B401="","",IF('Data Source'!W401&gt;=5,"A+",IF('Data Source'!W401&gt;=4,"A",IF('Data Source'!W401&gt;=3.5,"A-",IF('Data Source'!W401&gt;=3,"B",IF('Data Source'!W401&gt;=2,"C",IF('Data Source'!W401&gt;=1,"D","F")))))))</f>
        <v/>
      </c>
      <c r="F401" s="3">
        <f>IF('Data Source'!B401="","",IF('Data Source'!X401&gt;=5,"A+",IF('Data Source'!X401&gt;=4,"A",IF('Data Source'!X401&gt;=3.5,"A-",IF('Data Source'!X401&gt;=3,"B",IF('Data Source'!X401&gt;=2,"C",IF('Data Source'!X401&gt;=1,"D","F")))))))</f>
        <v/>
      </c>
      <c r="G401" s="3">
        <f>IF('Data Source'!B401="","",IF('Data Source'!Y401&gt;=5,"A+",IF('Data Source'!Y401&gt;=4,"A",IF('Data Source'!Y401&gt;=3.5,"A-",IF('Data Source'!Y401&gt;=3,"B",IF('Data Source'!Y401&gt;=2,"C",IF('Data Source'!Y401&gt;=1,"D","F")))))))</f>
        <v/>
      </c>
      <c r="H401" s="3">
        <f>IF('Data Source'!B401="","",IF('Data Source'!Z401&gt;=5,"A+",IF('Data Source'!Z401&gt;=4,"A",IF('Data Source'!Z401&gt;=3.5,"A-",IF('Data Source'!Z401&gt;=3,"B",IF('Data Source'!Z401&gt;=2,"C",IF('Data Source'!Z401&gt;=1,"D","F")))))))</f>
        <v/>
      </c>
      <c r="I401" s="3">
        <f>IF('Data Source'!B401="","",IF('Data Source'!AA401&gt;=5,"A+",IF('Data Source'!AA401&gt;=4,"A",IF('Data Source'!AA401&gt;=3.5,"A-",IF('Data Source'!AA401&gt;=3,"B",IF('Data Source'!AA401&gt;=2,"C",IF('Data Source'!AA401&gt;=1,"D","F")))))))</f>
        <v/>
      </c>
      <c r="J401" s="3">
        <f>IF('Data Source'!B401="","",IF('Data Source'!AB401&gt;=5,"A+",IF('Data Source'!AB401&gt;=4,"A",IF('Data Source'!AB401&gt;=3.5,"A-",IF('Data Source'!AB401&gt;=3,"B",IF('Data Source'!AB401&gt;=2,"C",IF('Data Source'!AB401&gt;=1,"D","F")))))))</f>
        <v/>
      </c>
      <c r="K401" s="3">
        <f>IF('Data Source'!B401="","",IF('Data Source'!AC401&gt;=5,"A+",IF('Data Source'!AC401&gt;=4,"A",IF('Data Source'!AC401&gt;=3.5,"A-",IF('Data Source'!AC401&gt;=3,"B",IF('Data Source'!AC401&gt;=2,"C",IF('Data Source'!AC401&gt;=1,"D","F")))))))</f>
        <v/>
      </c>
      <c r="L401" s="3">
        <f>IF('Data Source'!B401="","",IF('Data Source'!AD401&gt;=5,"A+",IF('Data Source'!AD401&gt;=4,"A",IF('Data Source'!AD401&gt;=3.5,"A-",IF('Data Source'!AD401&gt;=3,"B",IF('Data Source'!AD401&gt;=2,"C",IF('Data Source'!AD401&gt;=1,"D","F")))))))</f>
        <v/>
      </c>
      <c r="M401" s="3">
        <f>IF('Data Source'!B401="","",IF('Data Source'!AE401&gt;=5,"A+",IF('Data Source'!AE401&gt;=4,"A",IF('Data Source'!AE401&gt;=3.5,"A-",IF('Data Source'!AE401&gt;=3,"B",IF('Data Source'!AE401&gt;=2,"C",IF('Data Source'!AE401&gt;=1,"D","F")))))))</f>
        <v/>
      </c>
      <c r="N401" s="3">
        <f>IF('Data Source'!B401="","",IF('Data Source'!AF401&gt;=5,"A+",IF('Data Source'!AF401&gt;=4,"A",IF('Data Source'!AF401&gt;=3.5,"A-",IF('Data Source'!AF401&gt;=3,"B",IF('Data Source'!AF401&gt;=2,"C",IF('Data Source'!AF401&gt;=1,"D","F")))))))</f>
        <v/>
      </c>
      <c r="O401" s="3">
        <f>IF('Data Source'!B401="","",IF('Data Source'!AG401&gt;=5,"A+",IF('Data Source'!AG401&gt;=4,"A",IF('Data Source'!AG401&gt;=3.5,"A-",IF('Data Source'!AG401&gt;=3,"B",IF('Data Source'!AG401&gt;=2,"C",IF('Data Source'!AG401&gt;=1,"D","F")))))))</f>
        <v/>
      </c>
      <c r="P401" s="5">
        <f>IF('Data Source'!B401="","",'Data Source'!R401)</f>
        <v/>
      </c>
      <c r="Q401" s="3">
        <f>IF('Data Source'!B401="","",'Data Source'!S401)</f>
        <v/>
      </c>
    </row>
    <row r="402">
      <c r="A402" s="3">
        <f>IF('Data Source'!B402="","",'Data Source'!A402)</f>
        <v/>
      </c>
      <c r="B402">
        <f>IF('Data Source'!B402="","",'Data Source'!B402)</f>
        <v/>
      </c>
      <c r="C402" s="3">
        <f>IF('Data Source'!B402="","",IF('Data Source'!U402&gt;=5,"A+",IF('Data Source'!U402&gt;=4,"A",IF('Data Source'!U402&gt;=3.5,"A-",IF('Data Source'!U402&gt;=3,"B",IF('Data Source'!U402&gt;=2,"C",IF('Data Source'!U402&gt;=1,"D","F")))))))</f>
        <v/>
      </c>
      <c r="D402" s="3">
        <f>IF('Data Source'!B402="","",IF('Data Source'!V402&gt;=5,"A+",IF('Data Source'!V402&gt;=4,"A",IF('Data Source'!V402&gt;=3.5,"A-",IF('Data Source'!V402&gt;=3,"B",IF('Data Source'!V402&gt;=2,"C",IF('Data Source'!V402&gt;=1,"D","F")))))))</f>
        <v/>
      </c>
      <c r="E402" s="3">
        <f>IF('Data Source'!B402="","",IF('Data Source'!W402&gt;=5,"A+",IF('Data Source'!W402&gt;=4,"A",IF('Data Source'!W402&gt;=3.5,"A-",IF('Data Source'!W402&gt;=3,"B",IF('Data Source'!W402&gt;=2,"C",IF('Data Source'!W402&gt;=1,"D","F")))))))</f>
        <v/>
      </c>
      <c r="F402" s="3">
        <f>IF('Data Source'!B402="","",IF('Data Source'!X402&gt;=5,"A+",IF('Data Source'!X402&gt;=4,"A",IF('Data Source'!X402&gt;=3.5,"A-",IF('Data Source'!X402&gt;=3,"B",IF('Data Source'!X402&gt;=2,"C",IF('Data Source'!X402&gt;=1,"D","F")))))))</f>
        <v/>
      </c>
      <c r="G402" s="3">
        <f>IF('Data Source'!B402="","",IF('Data Source'!Y402&gt;=5,"A+",IF('Data Source'!Y402&gt;=4,"A",IF('Data Source'!Y402&gt;=3.5,"A-",IF('Data Source'!Y402&gt;=3,"B",IF('Data Source'!Y402&gt;=2,"C",IF('Data Source'!Y402&gt;=1,"D","F")))))))</f>
        <v/>
      </c>
      <c r="H402" s="3">
        <f>IF('Data Source'!B402="","",IF('Data Source'!Z402&gt;=5,"A+",IF('Data Source'!Z402&gt;=4,"A",IF('Data Source'!Z402&gt;=3.5,"A-",IF('Data Source'!Z402&gt;=3,"B",IF('Data Source'!Z402&gt;=2,"C",IF('Data Source'!Z402&gt;=1,"D","F")))))))</f>
        <v/>
      </c>
      <c r="I402" s="3">
        <f>IF('Data Source'!B402="","",IF('Data Source'!AA402&gt;=5,"A+",IF('Data Source'!AA402&gt;=4,"A",IF('Data Source'!AA402&gt;=3.5,"A-",IF('Data Source'!AA402&gt;=3,"B",IF('Data Source'!AA402&gt;=2,"C",IF('Data Source'!AA402&gt;=1,"D","F")))))))</f>
        <v/>
      </c>
      <c r="J402" s="3">
        <f>IF('Data Source'!B402="","",IF('Data Source'!AB402&gt;=5,"A+",IF('Data Source'!AB402&gt;=4,"A",IF('Data Source'!AB402&gt;=3.5,"A-",IF('Data Source'!AB402&gt;=3,"B",IF('Data Source'!AB402&gt;=2,"C",IF('Data Source'!AB402&gt;=1,"D","F")))))))</f>
        <v/>
      </c>
      <c r="K402" s="3">
        <f>IF('Data Source'!B402="","",IF('Data Source'!AC402&gt;=5,"A+",IF('Data Source'!AC402&gt;=4,"A",IF('Data Source'!AC402&gt;=3.5,"A-",IF('Data Source'!AC402&gt;=3,"B",IF('Data Source'!AC402&gt;=2,"C",IF('Data Source'!AC402&gt;=1,"D","F")))))))</f>
        <v/>
      </c>
      <c r="L402" s="3">
        <f>IF('Data Source'!B402="","",IF('Data Source'!AD402&gt;=5,"A+",IF('Data Source'!AD402&gt;=4,"A",IF('Data Source'!AD402&gt;=3.5,"A-",IF('Data Source'!AD402&gt;=3,"B",IF('Data Source'!AD402&gt;=2,"C",IF('Data Source'!AD402&gt;=1,"D","F")))))))</f>
        <v/>
      </c>
      <c r="M402" s="3">
        <f>IF('Data Source'!B402="","",IF('Data Source'!AE402&gt;=5,"A+",IF('Data Source'!AE402&gt;=4,"A",IF('Data Source'!AE402&gt;=3.5,"A-",IF('Data Source'!AE402&gt;=3,"B",IF('Data Source'!AE402&gt;=2,"C",IF('Data Source'!AE402&gt;=1,"D","F")))))))</f>
        <v/>
      </c>
      <c r="N402" s="3">
        <f>IF('Data Source'!B402="","",IF('Data Source'!AF402&gt;=5,"A+",IF('Data Source'!AF402&gt;=4,"A",IF('Data Source'!AF402&gt;=3.5,"A-",IF('Data Source'!AF402&gt;=3,"B",IF('Data Source'!AF402&gt;=2,"C",IF('Data Source'!AF402&gt;=1,"D","F")))))))</f>
        <v/>
      </c>
      <c r="O402" s="3">
        <f>IF('Data Source'!B402="","",IF('Data Source'!AG402&gt;=5,"A+",IF('Data Source'!AG402&gt;=4,"A",IF('Data Source'!AG402&gt;=3.5,"A-",IF('Data Source'!AG402&gt;=3,"B",IF('Data Source'!AG402&gt;=2,"C",IF('Data Source'!AG402&gt;=1,"D","F")))))))</f>
        <v/>
      </c>
      <c r="P402" s="5">
        <f>IF('Data Source'!B402="","",'Data Source'!R402)</f>
        <v/>
      </c>
      <c r="Q402" s="3">
        <f>IF('Data Source'!B402="","",'Data Source'!S402)</f>
        <v/>
      </c>
    </row>
    <row r="403">
      <c r="A403" s="3">
        <f>IF('Data Source'!B403="","",'Data Source'!A403)</f>
        <v/>
      </c>
      <c r="B403">
        <f>IF('Data Source'!B403="","",'Data Source'!B403)</f>
        <v/>
      </c>
      <c r="C403" s="3">
        <f>IF('Data Source'!B403="","",IF('Data Source'!U403&gt;=5,"A+",IF('Data Source'!U403&gt;=4,"A",IF('Data Source'!U403&gt;=3.5,"A-",IF('Data Source'!U403&gt;=3,"B",IF('Data Source'!U403&gt;=2,"C",IF('Data Source'!U403&gt;=1,"D","F")))))))</f>
        <v/>
      </c>
      <c r="D403" s="3">
        <f>IF('Data Source'!B403="","",IF('Data Source'!V403&gt;=5,"A+",IF('Data Source'!V403&gt;=4,"A",IF('Data Source'!V403&gt;=3.5,"A-",IF('Data Source'!V403&gt;=3,"B",IF('Data Source'!V403&gt;=2,"C",IF('Data Source'!V403&gt;=1,"D","F")))))))</f>
        <v/>
      </c>
      <c r="E403" s="3">
        <f>IF('Data Source'!B403="","",IF('Data Source'!W403&gt;=5,"A+",IF('Data Source'!W403&gt;=4,"A",IF('Data Source'!W403&gt;=3.5,"A-",IF('Data Source'!W403&gt;=3,"B",IF('Data Source'!W403&gt;=2,"C",IF('Data Source'!W403&gt;=1,"D","F")))))))</f>
        <v/>
      </c>
      <c r="F403" s="3">
        <f>IF('Data Source'!B403="","",IF('Data Source'!X403&gt;=5,"A+",IF('Data Source'!X403&gt;=4,"A",IF('Data Source'!X403&gt;=3.5,"A-",IF('Data Source'!X403&gt;=3,"B",IF('Data Source'!X403&gt;=2,"C",IF('Data Source'!X403&gt;=1,"D","F")))))))</f>
        <v/>
      </c>
      <c r="G403" s="3">
        <f>IF('Data Source'!B403="","",IF('Data Source'!Y403&gt;=5,"A+",IF('Data Source'!Y403&gt;=4,"A",IF('Data Source'!Y403&gt;=3.5,"A-",IF('Data Source'!Y403&gt;=3,"B",IF('Data Source'!Y403&gt;=2,"C",IF('Data Source'!Y403&gt;=1,"D","F")))))))</f>
        <v/>
      </c>
      <c r="H403" s="3">
        <f>IF('Data Source'!B403="","",IF('Data Source'!Z403&gt;=5,"A+",IF('Data Source'!Z403&gt;=4,"A",IF('Data Source'!Z403&gt;=3.5,"A-",IF('Data Source'!Z403&gt;=3,"B",IF('Data Source'!Z403&gt;=2,"C",IF('Data Source'!Z403&gt;=1,"D","F")))))))</f>
        <v/>
      </c>
      <c r="I403" s="3">
        <f>IF('Data Source'!B403="","",IF('Data Source'!AA403&gt;=5,"A+",IF('Data Source'!AA403&gt;=4,"A",IF('Data Source'!AA403&gt;=3.5,"A-",IF('Data Source'!AA403&gt;=3,"B",IF('Data Source'!AA403&gt;=2,"C",IF('Data Source'!AA403&gt;=1,"D","F")))))))</f>
        <v/>
      </c>
      <c r="J403" s="3">
        <f>IF('Data Source'!B403="","",IF('Data Source'!AB403&gt;=5,"A+",IF('Data Source'!AB403&gt;=4,"A",IF('Data Source'!AB403&gt;=3.5,"A-",IF('Data Source'!AB403&gt;=3,"B",IF('Data Source'!AB403&gt;=2,"C",IF('Data Source'!AB403&gt;=1,"D","F")))))))</f>
        <v/>
      </c>
      <c r="K403" s="3">
        <f>IF('Data Source'!B403="","",IF('Data Source'!AC403&gt;=5,"A+",IF('Data Source'!AC403&gt;=4,"A",IF('Data Source'!AC403&gt;=3.5,"A-",IF('Data Source'!AC403&gt;=3,"B",IF('Data Source'!AC403&gt;=2,"C",IF('Data Source'!AC403&gt;=1,"D","F")))))))</f>
        <v/>
      </c>
      <c r="L403" s="3">
        <f>IF('Data Source'!B403="","",IF('Data Source'!AD403&gt;=5,"A+",IF('Data Source'!AD403&gt;=4,"A",IF('Data Source'!AD403&gt;=3.5,"A-",IF('Data Source'!AD403&gt;=3,"B",IF('Data Source'!AD403&gt;=2,"C",IF('Data Source'!AD403&gt;=1,"D","F")))))))</f>
        <v/>
      </c>
      <c r="M403" s="3">
        <f>IF('Data Source'!B403="","",IF('Data Source'!AE403&gt;=5,"A+",IF('Data Source'!AE403&gt;=4,"A",IF('Data Source'!AE403&gt;=3.5,"A-",IF('Data Source'!AE403&gt;=3,"B",IF('Data Source'!AE403&gt;=2,"C",IF('Data Source'!AE403&gt;=1,"D","F")))))))</f>
        <v/>
      </c>
      <c r="N403" s="3">
        <f>IF('Data Source'!B403="","",IF('Data Source'!AF403&gt;=5,"A+",IF('Data Source'!AF403&gt;=4,"A",IF('Data Source'!AF403&gt;=3.5,"A-",IF('Data Source'!AF403&gt;=3,"B",IF('Data Source'!AF403&gt;=2,"C",IF('Data Source'!AF403&gt;=1,"D","F")))))))</f>
        <v/>
      </c>
      <c r="O403" s="3">
        <f>IF('Data Source'!B403="","",IF('Data Source'!AG403&gt;=5,"A+",IF('Data Source'!AG403&gt;=4,"A",IF('Data Source'!AG403&gt;=3.5,"A-",IF('Data Source'!AG403&gt;=3,"B",IF('Data Source'!AG403&gt;=2,"C",IF('Data Source'!AG403&gt;=1,"D","F")))))))</f>
        <v/>
      </c>
      <c r="P403" s="5">
        <f>IF('Data Source'!B403="","",'Data Source'!R403)</f>
        <v/>
      </c>
      <c r="Q403" s="3">
        <f>IF('Data Source'!B403="","",'Data Source'!S403)</f>
        <v/>
      </c>
    </row>
    <row r="404">
      <c r="A404" s="3">
        <f>IF('Data Source'!B404="","",'Data Source'!A404)</f>
        <v/>
      </c>
      <c r="B404">
        <f>IF('Data Source'!B404="","",'Data Source'!B404)</f>
        <v/>
      </c>
      <c r="C404" s="3">
        <f>IF('Data Source'!B404="","",IF('Data Source'!U404&gt;=5,"A+",IF('Data Source'!U404&gt;=4,"A",IF('Data Source'!U404&gt;=3.5,"A-",IF('Data Source'!U404&gt;=3,"B",IF('Data Source'!U404&gt;=2,"C",IF('Data Source'!U404&gt;=1,"D","F")))))))</f>
        <v/>
      </c>
      <c r="D404" s="3">
        <f>IF('Data Source'!B404="","",IF('Data Source'!V404&gt;=5,"A+",IF('Data Source'!V404&gt;=4,"A",IF('Data Source'!V404&gt;=3.5,"A-",IF('Data Source'!V404&gt;=3,"B",IF('Data Source'!V404&gt;=2,"C",IF('Data Source'!V404&gt;=1,"D","F")))))))</f>
        <v/>
      </c>
      <c r="E404" s="3">
        <f>IF('Data Source'!B404="","",IF('Data Source'!W404&gt;=5,"A+",IF('Data Source'!W404&gt;=4,"A",IF('Data Source'!W404&gt;=3.5,"A-",IF('Data Source'!W404&gt;=3,"B",IF('Data Source'!W404&gt;=2,"C",IF('Data Source'!W404&gt;=1,"D","F")))))))</f>
        <v/>
      </c>
      <c r="F404" s="3">
        <f>IF('Data Source'!B404="","",IF('Data Source'!X404&gt;=5,"A+",IF('Data Source'!X404&gt;=4,"A",IF('Data Source'!X404&gt;=3.5,"A-",IF('Data Source'!X404&gt;=3,"B",IF('Data Source'!X404&gt;=2,"C",IF('Data Source'!X404&gt;=1,"D","F")))))))</f>
        <v/>
      </c>
      <c r="G404" s="3">
        <f>IF('Data Source'!B404="","",IF('Data Source'!Y404&gt;=5,"A+",IF('Data Source'!Y404&gt;=4,"A",IF('Data Source'!Y404&gt;=3.5,"A-",IF('Data Source'!Y404&gt;=3,"B",IF('Data Source'!Y404&gt;=2,"C",IF('Data Source'!Y404&gt;=1,"D","F")))))))</f>
        <v/>
      </c>
      <c r="H404" s="3">
        <f>IF('Data Source'!B404="","",IF('Data Source'!Z404&gt;=5,"A+",IF('Data Source'!Z404&gt;=4,"A",IF('Data Source'!Z404&gt;=3.5,"A-",IF('Data Source'!Z404&gt;=3,"B",IF('Data Source'!Z404&gt;=2,"C",IF('Data Source'!Z404&gt;=1,"D","F")))))))</f>
        <v/>
      </c>
      <c r="I404" s="3">
        <f>IF('Data Source'!B404="","",IF('Data Source'!AA404&gt;=5,"A+",IF('Data Source'!AA404&gt;=4,"A",IF('Data Source'!AA404&gt;=3.5,"A-",IF('Data Source'!AA404&gt;=3,"B",IF('Data Source'!AA404&gt;=2,"C",IF('Data Source'!AA404&gt;=1,"D","F")))))))</f>
        <v/>
      </c>
      <c r="J404" s="3">
        <f>IF('Data Source'!B404="","",IF('Data Source'!AB404&gt;=5,"A+",IF('Data Source'!AB404&gt;=4,"A",IF('Data Source'!AB404&gt;=3.5,"A-",IF('Data Source'!AB404&gt;=3,"B",IF('Data Source'!AB404&gt;=2,"C",IF('Data Source'!AB404&gt;=1,"D","F")))))))</f>
        <v/>
      </c>
      <c r="K404" s="3">
        <f>IF('Data Source'!B404="","",IF('Data Source'!AC404&gt;=5,"A+",IF('Data Source'!AC404&gt;=4,"A",IF('Data Source'!AC404&gt;=3.5,"A-",IF('Data Source'!AC404&gt;=3,"B",IF('Data Source'!AC404&gt;=2,"C",IF('Data Source'!AC404&gt;=1,"D","F")))))))</f>
        <v/>
      </c>
      <c r="L404" s="3">
        <f>IF('Data Source'!B404="","",IF('Data Source'!AD404&gt;=5,"A+",IF('Data Source'!AD404&gt;=4,"A",IF('Data Source'!AD404&gt;=3.5,"A-",IF('Data Source'!AD404&gt;=3,"B",IF('Data Source'!AD404&gt;=2,"C",IF('Data Source'!AD404&gt;=1,"D","F")))))))</f>
        <v/>
      </c>
      <c r="M404" s="3">
        <f>IF('Data Source'!B404="","",IF('Data Source'!AE404&gt;=5,"A+",IF('Data Source'!AE404&gt;=4,"A",IF('Data Source'!AE404&gt;=3.5,"A-",IF('Data Source'!AE404&gt;=3,"B",IF('Data Source'!AE404&gt;=2,"C",IF('Data Source'!AE404&gt;=1,"D","F")))))))</f>
        <v/>
      </c>
      <c r="N404" s="3">
        <f>IF('Data Source'!B404="","",IF('Data Source'!AF404&gt;=5,"A+",IF('Data Source'!AF404&gt;=4,"A",IF('Data Source'!AF404&gt;=3.5,"A-",IF('Data Source'!AF404&gt;=3,"B",IF('Data Source'!AF404&gt;=2,"C",IF('Data Source'!AF404&gt;=1,"D","F")))))))</f>
        <v/>
      </c>
      <c r="O404" s="3">
        <f>IF('Data Source'!B404="","",IF('Data Source'!AG404&gt;=5,"A+",IF('Data Source'!AG404&gt;=4,"A",IF('Data Source'!AG404&gt;=3.5,"A-",IF('Data Source'!AG404&gt;=3,"B",IF('Data Source'!AG404&gt;=2,"C",IF('Data Source'!AG404&gt;=1,"D","F")))))))</f>
        <v/>
      </c>
      <c r="P404" s="5">
        <f>IF('Data Source'!B404="","",'Data Source'!R404)</f>
        <v/>
      </c>
      <c r="Q404" s="3">
        <f>IF('Data Source'!B404="","",'Data Source'!S404)</f>
        <v/>
      </c>
    </row>
    <row r="405">
      <c r="A405" s="3">
        <f>IF('Data Source'!B405="","",'Data Source'!A405)</f>
        <v/>
      </c>
      <c r="B405">
        <f>IF('Data Source'!B405="","",'Data Source'!B405)</f>
        <v/>
      </c>
      <c r="C405" s="3">
        <f>IF('Data Source'!B405="","",IF('Data Source'!U405&gt;=5,"A+",IF('Data Source'!U405&gt;=4,"A",IF('Data Source'!U405&gt;=3.5,"A-",IF('Data Source'!U405&gt;=3,"B",IF('Data Source'!U405&gt;=2,"C",IF('Data Source'!U405&gt;=1,"D","F")))))))</f>
        <v/>
      </c>
      <c r="D405" s="3">
        <f>IF('Data Source'!B405="","",IF('Data Source'!V405&gt;=5,"A+",IF('Data Source'!V405&gt;=4,"A",IF('Data Source'!V405&gt;=3.5,"A-",IF('Data Source'!V405&gt;=3,"B",IF('Data Source'!V405&gt;=2,"C",IF('Data Source'!V405&gt;=1,"D","F")))))))</f>
        <v/>
      </c>
      <c r="E405" s="3">
        <f>IF('Data Source'!B405="","",IF('Data Source'!W405&gt;=5,"A+",IF('Data Source'!W405&gt;=4,"A",IF('Data Source'!W405&gt;=3.5,"A-",IF('Data Source'!W405&gt;=3,"B",IF('Data Source'!W405&gt;=2,"C",IF('Data Source'!W405&gt;=1,"D","F")))))))</f>
        <v/>
      </c>
      <c r="F405" s="3">
        <f>IF('Data Source'!B405="","",IF('Data Source'!X405&gt;=5,"A+",IF('Data Source'!X405&gt;=4,"A",IF('Data Source'!X405&gt;=3.5,"A-",IF('Data Source'!X405&gt;=3,"B",IF('Data Source'!X405&gt;=2,"C",IF('Data Source'!X405&gt;=1,"D","F")))))))</f>
        <v/>
      </c>
      <c r="G405" s="3">
        <f>IF('Data Source'!B405="","",IF('Data Source'!Y405&gt;=5,"A+",IF('Data Source'!Y405&gt;=4,"A",IF('Data Source'!Y405&gt;=3.5,"A-",IF('Data Source'!Y405&gt;=3,"B",IF('Data Source'!Y405&gt;=2,"C",IF('Data Source'!Y405&gt;=1,"D","F")))))))</f>
        <v/>
      </c>
      <c r="H405" s="3">
        <f>IF('Data Source'!B405="","",IF('Data Source'!Z405&gt;=5,"A+",IF('Data Source'!Z405&gt;=4,"A",IF('Data Source'!Z405&gt;=3.5,"A-",IF('Data Source'!Z405&gt;=3,"B",IF('Data Source'!Z405&gt;=2,"C",IF('Data Source'!Z405&gt;=1,"D","F")))))))</f>
        <v/>
      </c>
      <c r="I405" s="3">
        <f>IF('Data Source'!B405="","",IF('Data Source'!AA405&gt;=5,"A+",IF('Data Source'!AA405&gt;=4,"A",IF('Data Source'!AA405&gt;=3.5,"A-",IF('Data Source'!AA405&gt;=3,"B",IF('Data Source'!AA405&gt;=2,"C",IF('Data Source'!AA405&gt;=1,"D","F")))))))</f>
        <v/>
      </c>
      <c r="J405" s="3">
        <f>IF('Data Source'!B405="","",IF('Data Source'!AB405&gt;=5,"A+",IF('Data Source'!AB405&gt;=4,"A",IF('Data Source'!AB405&gt;=3.5,"A-",IF('Data Source'!AB405&gt;=3,"B",IF('Data Source'!AB405&gt;=2,"C",IF('Data Source'!AB405&gt;=1,"D","F")))))))</f>
        <v/>
      </c>
      <c r="K405" s="3">
        <f>IF('Data Source'!B405="","",IF('Data Source'!AC405&gt;=5,"A+",IF('Data Source'!AC405&gt;=4,"A",IF('Data Source'!AC405&gt;=3.5,"A-",IF('Data Source'!AC405&gt;=3,"B",IF('Data Source'!AC405&gt;=2,"C",IF('Data Source'!AC405&gt;=1,"D","F")))))))</f>
        <v/>
      </c>
      <c r="L405" s="3">
        <f>IF('Data Source'!B405="","",IF('Data Source'!AD405&gt;=5,"A+",IF('Data Source'!AD405&gt;=4,"A",IF('Data Source'!AD405&gt;=3.5,"A-",IF('Data Source'!AD405&gt;=3,"B",IF('Data Source'!AD405&gt;=2,"C",IF('Data Source'!AD405&gt;=1,"D","F")))))))</f>
        <v/>
      </c>
      <c r="M405" s="3">
        <f>IF('Data Source'!B405="","",IF('Data Source'!AE405&gt;=5,"A+",IF('Data Source'!AE405&gt;=4,"A",IF('Data Source'!AE405&gt;=3.5,"A-",IF('Data Source'!AE405&gt;=3,"B",IF('Data Source'!AE405&gt;=2,"C",IF('Data Source'!AE405&gt;=1,"D","F")))))))</f>
        <v/>
      </c>
      <c r="N405" s="3">
        <f>IF('Data Source'!B405="","",IF('Data Source'!AF405&gt;=5,"A+",IF('Data Source'!AF405&gt;=4,"A",IF('Data Source'!AF405&gt;=3.5,"A-",IF('Data Source'!AF405&gt;=3,"B",IF('Data Source'!AF405&gt;=2,"C",IF('Data Source'!AF405&gt;=1,"D","F")))))))</f>
        <v/>
      </c>
      <c r="O405" s="3">
        <f>IF('Data Source'!B405="","",IF('Data Source'!AG405&gt;=5,"A+",IF('Data Source'!AG405&gt;=4,"A",IF('Data Source'!AG405&gt;=3.5,"A-",IF('Data Source'!AG405&gt;=3,"B",IF('Data Source'!AG405&gt;=2,"C",IF('Data Source'!AG405&gt;=1,"D","F")))))))</f>
        <v/>
      </c>
      <c r="P405" s="5">
        <f>IF('Data Source'!B405="","",'Data Source'!R405)</f>
        <v/>
      </c>
      <c r="Q405" s="3">
        <f>IF('Data Source'!B405="","",'Data Source'!S405)</f>
        <v/>
      </c>
    </row>
    <row r="406">
      <c r="A406" s="3">
        <f>IF('Data Source'!B406="","",'Data Source'!A406)</f>
        <v/>
      </c>
      <c r="B406">
        <f>IF('Data Source'!B406="","",'Data Source'!B406)</f>
        <v/>
      </c>
      <c r="C406" s="3">
        <f>IF('Data Source'!B406="","",IF('Data Source'!U406&gt;=5,"A+",IF('Data Source'!U406&gt;=4,"A",IF('Data Source'!U406&gt;=3.5,"A-",IF('Data Source'!U406&gt;=3,"B",IF('Data Source'!U406&gt;=2,"C",IF('Data Source'!U406&gt;=1,"D","F")))))))</f>
        <v/>
      </c>
      <c r="D406" s="3">
        <f>IF('Data Source'!B406="","",IF('Data Source'!V406&gt;=5,"A+",IF('Data Source'!V406&gt;=4,"A",IF('Data Source'!V406&gt;=3.5,"A-",IF('Data Source'!V406&gt;=3,"B",IF('Data Source'!V406&gt;=2,"C",IF('Data Source'!V406&gt;=1,"D","F")))))))</f>
        <v/>
      </c>
      <c r="E406" s="3">
        <f>IF('Data Source'!B406="","",IF('Data Source'!W406&gt;=5,"A+",IF('Data Source'!W406&gt;=4,"A",IF('Data Source'!W406&gt;=3.5,"A-",IF('Data Source'!W406&gt;=3,"B",IF('Data Source'!W406&gt;=2,"C",IF('Data Source'!W406&gt;=1,"D","F")))))))</f>
        <v/>
      </c>
      <c r="F406" s="3">
        <f>IF('Data Source'!B406="","",IF('Data Source'!X406&gt;=5,"A+",IF('Data Source'!X406&gt;=4,"A",IF('Data Source'!X406&gt;=3.5,"A-",IF('Data Source'!X406&gt;=3,"B",IF('Data Source'!X406&gt;=2,"C",IF('Data Source'!X406&gt;=1,"D","F")))))))</f>
        <v/>
      </c>
      <c r="G406" s="3">
        <f>IF('Data Source'!B406="","",IF('Data Source'!Y406&gt;=5,"A+",IF('Data Source'!Y406&gt;=4,"A",IF('Data Source'!Y406&gt;=3.5,"A-",IF('Data Source'!Y406&gt;=3,"B",IF('Data Source'!Y406&gt;=2,"C",IF('Data Source'!Y406&gt;=1,"D","F")))))))</f>
        <v/>
      </c>
      <c r="H406" s="3">
        <f>IF('Data Source'!B406="","",IF('Data Source'!Z406&gt;=5,"A+",IF('Data Source'!Z406&gt;=4,"A",IF('Data Source'!Z406&gt;=3.5,"A-",IF('Data Source'!Z406&gt;=3,"B",IF('Data Source'!Z406&gt;=2,"C",IF('Data Source'!Z406&gt;=1,"D","F")))))))</f>
        <v/>
      </c>
      <c r="I406" s="3">
        <f>IF('Data Source'!B406="","",IF('Data Source'!AA406&gt;=5,"A+",IF('Data Source'!AA406&gt;=4,"A",IF('Data Source'!AA406&gt;=3.5,"A-",IF('Data Source'!AA406&gt;=3,"B",IF('Data Source'!AA406&gt;=2,"C",IF('Data Source'!AA406&gt;=1,"D","F")))))))</f>
        <v/>
      </c>
      <c r="J406" s="3">
        <f>IF('Data Source'!B406="","",IF('Data Source'!AB406&gt;=5,"A+",IF('Data Source'!AB406&gt;=4,"A",IF('Data Source'!AB406&gt;=3.5,"A-",IF('Data Source'!AB406&gt;=3,"B",IF('Data Source'!AB406&gt;=2,"C",IF('Data Source'!AB406&gt;=1,"D","F")))))))</f>
        <v/>
      </c>
      <c r="K406" s="3">
        <f>IF('Data Source'!B406="","",IF('Data Source'!AC406&gt;=5,"A+",IF('Data Source'!AC406&gt;=4,"A",IF('Data Source'!AC406&gt;=3.5,"A-",IF('Data Source'!AC406&gt;=3,"B",IF('Data Source'!AC406&gt;=2,"C",IF('Data Source'!AC406&gt;=1,"D","F")))))))</f>
        <v/>
      </c>
      <c r="L406" s="3">
        <f>IF('Data Source'!B406="","",IF('Data Source'!AD406&gt;=5,"A+",IF('Data Source'!AD406&gt;=4,"A",IF('Data Source'!AD406&gt;=3.5,"A-",IF('Data Source'!AD406&gt;=3,"B",IF('Data Source'!AD406&gt;=2,"C",IF('Data Source'!AD406&gt;=1,"D","F")))))))</f>
        <v/>
      </c>
      <c r="M406" s="3">
        <f>IF('Data Source'!B406="","",IF('Data Source'!AE406&gt;=5,"A+",IF('Data Source'!AE406&gt;=4,"A",IF('Data Source'!AE406&gt;=3.5,"A-",IF('Data Source'!AE406&gt;=3,"B",IF('Data Source'!AE406&gt;=2,"C",IF('Data Source'!AE406&gt;=1,"D","F")))))))</f>
        <v/>
      </c>
      <c r="N406" s="3">
        <f>IF('Data Source'!B406="","",IF('Data Source'!AF406&gt;=5,"A+",IF('Data Source'!AF406&gt;=4,"A",IF('Data Source'!AF406&gt;=3.5,"A-",IF('Data Source'!AF406&gt;=3,"B",IF('Data Source'!AF406&gt;=2,"C",IF('Data Source'!AF406&gt;=1,"D","F")))))))</f>
        <v/>
      </c>
      <c r="O406" s="3">
        <f>IF('Data Source'!B406="","",IF('Data Source'!AG406&gt;=5,"A+",IF('Data Source'!AG406&gt;=4,"A",IF('Data Source'!AG406&gt;=3.5,"A-",IF('Data Source'!AG406&gt;=3,"B",IF('Data Source'!AG406&gt;=2,"C",IF('Data Source'!AG406&gt;=1,"D","F")))))))</f>
        <v/>
      </c>
      <c r="P406" s="5">
        <f>IF('Data Source'!B406="","",'Data Source'!R406)</f>
        <v/>
      </c>
      <c r="Q406" s="3">
        <f>IF('Data Source'!B406="","",'Data Source'!S406)</f>
        <v/>
      </c>
    </row>
    <row r="407">
      <c r="A407" s="3">
        <f>IF('Data Source'!B407="","",'Data Source'!A407)</f>
        <v/>
      </c>
      <c r="B407">
        <f>IF('Data Source'!B407="","",'Data Source'!B407)</f>
        <v/>
      </c>
      <c r="C407" s="3">
        <f>IF('Data Source'!B407="","",IF('Data Source'!U407&gt;=5,"A+",IF('Data Source'!U407&gt;=4,"A",IF('Data Source'!U407&gt;=3.5,"A-",IF('Data Source'!U407&gt;=3,"B",IF('Data Source'!U407&gt;=2,"C",IF('Data Source'!U407&gt;=1,"D","F")))))))</f>
        <v/>
      </c>
      <c r="D407" s="3">
        <f>IF('Data Source'!B407="","",IF('Data Source'!V407&gt;=5,"A+",IF('Data Source'!V407&gt;=4,"A",IF('Data Source'!V407&gt;=3.5,"A-",IF('Data Source'!V407&gt;=3,"B",IF('Data Source'!V407&gt;=2,"C",IF('Data Source'!V407&gt;=1,"D","F")))))))</f>
        <v/>
      </c>
      <c r="E407" s="3">
        <f>IF('Data Source'!B407="","",IF('Data Source'!W407&gt;=5,"A+",IF('Data Source'!W407&gt;=4,"A",IF('Data Source'!W407&gt;=3.5,"A-",IF('Data Source'!W407&gt;=3,"B",IF('Data Source'!W407&gt;=2,"C",IF('Data Source'!W407&gt;=1,"D","F")))))))</f>
        <v/>
      </c>
      <c r="F407" s="3">
        <f>IF('Data Source'!B407="","",IF('Data Source'!X407&gt;=5,"A+",IF('Data Source'!X407&gt;=4,"A",IF('Data Source'!X407&gt;=3.5,"A-",IF('Data Source'!X407&gt;=3,"B",IF('Data Source'!X407&gt;=2,"C",IF('Data Source'!X407&gt;=1,"D","F")))))))</f>
        <v/>
      </c>
      <c r="G407" s="3">
        <f>IF('Data Source'!B407="","",IF('Data Source'!Y407&gt;=5,"A+",IF('Data Source'!Y407&gt;=4,"A",IF('Data Source'!Y407&gt;=3.5,"A-",IF('Data Source'!Y407&gt;=3,"B",IF('Data Source'!Y407&gt;=2,"C",IF('Data Source'!Y407&gt;=1,"D","F")))))))</f>
        <v/>
      </c>
      <c r="H407" s="3">
        <f>IF('Data Source'!B407="","",IF('Data Source'!Z407&gt;=5,"A+",IF('Data Source'!Z407&gt;=4,"A",IF('Data Source'!Z407&gt;=3.5,"A-",IF('Data Source'!Z407&gt;=3,"B",IF('Data Source'!Z407&gt;=2,"C",IF('Data Source'!Z407&gt;=1,"D","F")))))))</f>
        <v/>
      </c>
      <c r="I407" s="3">
        <f>IF('Data Source'!B407="","",IF('Data Source'!AA407&gt;=5,"A+",IF('Data Source'!AA407&gt;=4,"A",IF('Data Source'!AA407&gt;=3.5,"A-",IF('Data Source'!AA407&gt;=3,"B",IF('Data Source'!AA407&gt;=2,"C",IF('Data Source'!AA407&gt;=1,"D","F")))))))</f>
        <v/>
      </c>
      <c r="J407" s="3">
        <f>IF('Data Source'!B407="","",IF('Data Source'!AB407&gt;=5,"A+",IF('Data Source'!AB407&gt;=4,"A",IF('Data Source'!AB407&gt;=3.5,"A-",IF('Data Source'!AB407&gt;=3,"B",IF('Data Source'!AB407&gt;=2,"C",IF('Data Source'!AB407&gt;=1,"D","F")))))))</f>
        <v/>
      </c>
      <c r="K407" s="3">
        <f>IF('Data Source'!B407="","",IF('Data Source'!AC407&gt;=5,"A+",IF('Data Source'!AC407&gt;=4,"A",IF('Data Source'!AC407&gt;=3.5,"A-",IF('Data Source'!AC407&gt;=3,"B",IF('Data Source'!AC407&gt;=2,"C",IF('Data Source'!AC407&gt;=1,"D","F")))))))</f>
        <v/>
      </c>
      <c r="L407" s="3">
        <f>IF('Data Source'!B407="","",IF('Data Source'!AD407&gt;=5,"A+",IF('Data Source'!AD407&gt;=4,"A",IF('Data Source'!AD407&gt;=3.5,"A-",IF('Data Source'!AD407&gt;=3,"B",IF('Data Source'!AD407&gt;=2,"C",IF('Data Source'!AD407&gt;=1,"D","F")))))))</f>
        <v/>
      </c>
      <c r="M407" s="3">
        <f>IF('Data Source'!B407="","",IF('Data Source'!AE407&gt;=5,"A+",IF('Data Source'!AE407&gt;=4,"A",IF('Data Source'!AE407&gt;=3.5,"A-",IF('Data Source'!AE407&gt;=3,"B",IF('Data Source'!AE407&gt;=2,"C",IF('Data Source'!AE407&gt;=1,"D","F")))))))</f>
        <v/>
      </c>
      <c r="N407" s="3">
        <f>IF('Data Source'!B407="","",IF('Data Source'!AF407&gt;=5,"A+",IF('Data Source'!AF407&gt;=4,"A",IF('Data Source'!AF407&gt;=3.5,"A-",IF('Data Source'!AF407&gt;=3,"B",IF('Data Source'!AF407&gt;=2,"C",IF('Data Source'!AF407&gt;=1,"D","F")))))))</f>
        <v/>
      </c>
      <c r="O407" s="3">
        <f>IF('Data Source'!B407="","",IF('Data Source'!AG407&gt;=5,"A+",IF('Data Source'!AG407&gt;=4,"A",IF('Data Source'!AG407&gt;=3.5,"A-",IF('Data Source'!AG407&gt;=3,"B",IF('Data Source'!AG407&gt;=2,"C",IF('Data Source'!AG407&gt;=1,"D","F")))))))</f>
        <v/>
      </c>
      <c r="P407" s="5">
        <f>IF('Data Source'!B407="","",'Data Source'!R407)</f>
        <v/>
      </c>
      <c r="Q407" s="3">
        <f>IF('Data Source'!B407="","",'Data Source'!S407)</f>
        <v/>
      </c>
    </row>
    <row r="408">
      <c r="A408" s="3">
        <f>IF('Data Source'!B408="","",'Data Source'!A408)</f>
        <v/>
      </c>
      <c r="B408">
        <f>IF('Data Source'!B408="","",'Data Source'!B408)</f>
        <v/>
      </c>
      <c r="C408" s="3">
        <f>IF('Data Source'!B408="","",IF('Data Source'!U408&gt;=5,"A+",IF('Data Source'!U408&gt;=4,"A",IF('Data Source'!U408&gt;=3.5,"A-",IF('Data Source'!U408&gt;=3,"B",IF('Data Source'!U408&gt;=2,"C",IF('Data Source'!U408&gt;=1,"D","F")))))))</f>
        <v/>
      </c>
      <c r="D408" s="3">
        <f>IF('Data Source'!B408="","",IF('Data Source'!V408&gt;=5,"A+",IF('Data Source'!V408&gt;=4,"A",IF('Data Source'!V408&gt;=3.5,"A-",IF('Data Source'!V408&gt;=3,"B",IF('Data Source'!V408&gt;=2,"C",IF('Data Source'!V408&gt;=1,"D","F")))))))</f>
        <v/>
      </c>
      <c r="E408" s="3">
        <f>IF('Data Source'!B408="","",IF('Data Source'!W408&gt;=5,"A+",IF('Data Source'!W408&gt;=4,"A",IF('Data Source'!W408&gt;=3.5,"A-",IF('Data Source'!W408&gt;=3,"B",IF('Data Source'!W408&gt;=2,"C",IF('Data Source'!W408&gt;=1,"D","F")))))))</f>
        <v/>
      </c>
      <c r="F408" s="3">
        <f>IF('Data Source'!B408="","",IF('Data Source'!X408&gt;=5,"A+",IF('Data Source'!X408&gt;=4,"A",IF('Data Source'!X408&gt;=3.5,"A-",IF('Data Source'!X408&gt;=3,"B",IF('Data Source'!X408&gt;=2,"C",IF('Data Source'!X408&gt;=1,"D","F")))))))</f>
        <v/>
      </c>
      <c r="G408" s="3">
        <f>IF('Data Source'!B408="","",IF('Data Source'!Y408&gt;=5,"A+",IF('Data Source'!Y408&gt;=4,"A",IF('Data Source'!Y408&gt;=3.5,"A-",IF('Data Source'!Y408&gt;=3,"B",IF('Data Source'!Y408&gt;=2,"C",IF('Data Source'!Y408&gt;=1,"D","F")))))))</f>
        <v/>
      </c>
      <c r="H408" s="3">
        <f>IF('Data Source'!B408="","",IF('Data Source'!Z408&gt;=5,"A+",IF('Data Source'!Z408&gt;=4,"A",IF('Data Source'!Z408&gt;=3.5,"A-",IF('Data Source'!Z408&gt;=3,"B",IF('Data Source'!Z408&gt;=2,"C",IF('Data Source'!Z408&gt;=1,"D","F")))))))</f>
        <v/>
      </c>
      <c r="I408" s="3">
        <f>IF('Data Source'!B408="","",IF('Data Source'!AA408&gt;=5,"A+",IF('Data Source'!AA408&gt;=4,"A",IF('Data Source'!AA408&gt;=3.5,"A-",IF('Data Source'!AA408&gt;=3,"B",IF('Data Source'!AA408&gt;=2,"C",IF('Data Source'!AA408&gt;=1,"D","F")))))))</f>
        <v/>
      </c>
      <c r="J408" s="3">
        <f>IF('Data Source'!B408="","",IF('Data Source'!AB408&gt;=5,"A+",IF('Data Source'!AB408&gt;=4,"A",IF('Data Source'!AB408&gt;=3.5,"A-",IF('Data Source'!AB408&gt;=3,"B",IF('Data Source'!AB408&gt;=2,"C",IF('Data Source'!AB408&gt;=1,"D","F")))))))</f>
        <v/>
      </c>
      <c r="K408" s="3">
        <f>IF('Data Source'!B408="","",IF('Data Source'!AC408&gt;=5,"A+",IF('Data Source'!AC408&gt;=4,"A",IF('Data Source'!AC408&gt;=3.5,"A-",IF('Data Source'!AC408&gt;=3,"B",IF('Data Source'!AC408&gt;=2,"C",IF('Data Source'!AC408&gt;=1,"D","F")))))))</f>
        <v/>
      </c>
      <c r="L408" s="3">
        <f>IF('Data Source'!B408="","",IF('Data Source'!AD408&gt;=5,"A+",IF('Data Source'!AD408&gt;=4,"A",IF('Data Source'!AD408&gt;=3.5,"A-",IF('Data Source'!AD408&gt;=3,"B",IF('Data Source'!AD408&gt;=2,"C",IF('Data Source'!AD408&gt;=1,"D","F")))))))</f>
        <v/>
      </c>
      <c r="M408" s="3">
        <f>IF('Data Source'!B408="","",IF('Data Source'!AE408&gt;=5,"A+",IF('Data Source'!AE408&gt;=4,"A",IF('Data Source'!AE408&gt;=3.5,"A-",IF('Data Source'!AE408&gt;=3,"B",IF('Data Source'!AE408&gt;=2,"C",IF('Data Source'!AE408&gt;=1,"D","F")))))))</f>
        <v/>
      </c>
      <c r="N408" s="3">
        <f>IF('Data Source'!B408="","",IF('Data Source'!AF408&gt;=5,"A+",IF('Data Source'!AF408&gt;=4,"A",IF('Data Source'!AF408&gt;=3.5,"A-",IF('Data Source'!AF408&gt;=3,"B",IF('Data Source'!AF408&gt;=2,"C",IF('Data Source'!AF408&gt;=1,"D","F")))))))</f>
        <v/>
      </c>
      <c r="O408" s="3">
        <f>IF('Data Source'!B408="","",IF('Data Source'!AG408&gt;=5,"A+",IF('Data Source'!AG408&gt;=4,"A",IF('Data Source'!AG408&gt;=3.5,"A-",IF('Data Source'!AG408&gt;=3,"B",IF('Data Source'!AG408&gt;=2,"C",IF('Data Source'!AG408&gt;=1,"D","F")))))))</f>
        <v/>
      </c>
      <c r="P408" s="5">
        <f>IF('Data Source'!B408="","",'Data Source'!R408)</f>
        <v/>
      </c>
      <c r="Q408" s="3">
        <f>IF('Data Source'!B408="","",'Data Source'!S408)</f>
        <v/>
      </c>
    </row>
    <row r="409">
      <c r="A409" s="3">
        <f>IF('Data Source'!B409="","",'Data Source'!A409)</f>
        <v/>
      </c>
      <c r="B409">
        <f>IF('Data Source'!B409="","",'Data Source'!B409)</f>
        <v/>
      </c>
      <c r="C409" s="3">
        <f>IF('Data Source'!B409="","",IF('Data Source'!U409&gt;=5,"A+",IF('Data Source'!U409&gt;=4,"A",IF('Data Source'!U409&gt;=3.5,"A-",IF('Data Source'!U409&gt;=3,"B",IF('Data Source'!U409&gt;=2,"C",IF('Data Source'!U409&gt;=1,"D","F")))))))</f>
        <v/>
      </c>
      <c r="D409" s="3">
        <f>IF('Data Source'!B409="","",IF('Data Source'!V409&gt;=5,"A+",IF('Data Source'!V409&gt;=4,"A",IF('Data Source'!V409&gt;=3.5,"A-",IF('Data Source'!V409&gt;=3,"B",IF('Data Source'!V409&gt;=2,"C",IF('Data Source'!V409&gt;=1,"D","F")))))))</f>
        <v/>
      </c>
      <c r="E409" s="3">
        <f>IF('Data Source'!B409="","",IF('Data Source'!W409&gt;=5,"A+",IF('Data Source'!W409&gt;=4,"A",IF('Data Source'!W409&gt;=3.5,"A-",IF('Data Source'!W409&gt;=3,"B",IF('Data Source'!W409&gt;=2,"C",IF('Data Source'!W409&gt;=1,"D","F")))))))</f>
        <v/>
      </c>
      <c r="F409" s="3">
        <f>IF('Data Source'!B409="","",IF('Data Source'!X409&gt;=5,"A+",IF('Data Source'!X409&gt;=4,"A",IF('Data Source'!X409&gt;=3.5,"A-",IF('Data Source'!X409&gt;=3,"B",IF('Data Source'!X409&gt;=2,"C",IF('Data Source'!X409&gt;=1,"D","F")))))))</f>
        <v/>
      </c>
      <c r="G409" s="3">
        <f>IF('Data Source'!B409="","",IF('Data Source'!Y409&gt;=5,"A+",IF('Data Source'!Y409&gt;=4,"A",IF('Data Source'!Y409&gt;=3.5,"A-",IF('Data Source'!Y409&gt;=3,"B",IF('Data Source'!Y409&gt;=2,"C",IF('Data Source'!Y409&gt;=1,"D","F")))))))</f>
        <v/>
      </c>
      <c r="H409" s="3">
        <f>IF('Data Source'!B409="","",IF('Data Source'!Z409&gt;=5,"A+",IF('Data Source'!Z409&gt;=4,"A",IF('Data Source'!Z409&gt;=3.5,"A-",IF('Data Source'!Z409&gt;=3,"B",IF('Data Source'!Z409&gt;=2,"C",IF('Data Source'!Z409&gt;=1,"D","F")))))))</f>
        <v/>
      </c>
      <c r="I409" s="3">
        <f>IF('Data Source'!B409="","",IF('Data Source'!AA409&gt;=5,"A+",IF('Data Source'!AA409&gt;=4,"A",IF('Data Source'!AA409&gt;=3.5,"A-",IF('Data Source'!AA409&gt;=3,"B",IF('Data Source'!AA409&gt;=2,"C",IF('Data Source'!AA409&gt;=1,"D","F")))))))</f>
        <v/>
      </c>
      <c r="J409" s="3">
        <f>IF('Data Source'!B409="","",IF('Data Source'!AB409&gt;=5,"A+",IF('Data Source'!AB409&gt;=4,"A",IF('Data Source'!AB409&gt;=3.5,"A-",IF('Data Source'!AB409&gt;=3,"B",IF('Data Source'!AB409&gt;=2,"C",IF('Data Source'!AB409&gt;=1,"D","F")))))))</f>
        <v/>
      </c>
      <c r="K409" s="3">
        <f>IF('Data Source'!B409="","",IF('Data Source'!AC409&gt;=5,"A+",IF('Data Source'!AC409&gt;=4,"A",IF('Data Source'!AC409&gt;=3.5,"A-",IF('Data Source'!AC409&gt;=3,"B",IF('Data Source'!AC409&gt;=2,"C",IF('Data Source'!AC409&gt;=1,"D","F")))))))</f>
        <v/>
      </c>
      <c r="L409" s="3">
        <f>IF('Data Source'!B409="","",IF('Data Source'!AD409&gt;=5,"A+",IF('Data Source'!AD409&gt;=4,"A",IF('Data Source'!AD409&gt;=3.5,"A-",IF('Data Source'!AD409&gt;=3,"B",IF('Data Source'!AD409&gt;=2,"C",IF('Data Source'!AD409&gt;=1,"D","F")))))))</f>
        <v/>
      </c>
      <c r="M409" s="3">
        <f>IF('Data Source'!B409="","",IF('Data Source'!AE409&gt;=5,"A+",IF('Data Source'!AE409&gt;=4,"A",IF('Data Source'!AE409&gt;=3.5,"A-",IF('Data Source'!AE409&gt;=3,"B",IF('Data Source'!AE409&gt;=2,"C",IF('Data Source'!AE409&gt;=1,"D","F")))))))</f>
        <v/>
      </c>
      <c r="N409" s="3">
        <f>IF('Data Source'!B409="","",IF('Data Source'!AF409&gt;=5,"A+",IF('Data Source'!AF409&gt;=4,"A",IF('Data Source'!AF409&gt;=3.5,"A-",IF('Data Source'!AF409&gt;=3,"B",IF('Data Source'!AF409&gt;=2,"C",IF('Data Source'!AF409&gt;=1,"D","F")))))))</f>
        <v/>
      </c>
      <c r="O409" s="3">
        <f>IF('Data Source'!B409="","",IF('Data Source'!AG409&gt;=5,"A+",IF('Data Source'!AG409&gt;=4,"A",IF('Data Source'!AG409&gt;=3.5,"A-",IF('Data Source'!AG409&gt;=3,"B",IF('Data Source'!AG409&gt;=2,"C",IF('Data Source'!AG409&gt;=1,"D","F")))))))</f>
        <v/>
      </c>
      <c r="P409" s="5">
        <f>IF('Data Source'!B409="","",'Data Source'!R409)</f>
        <v/>
      </c>
      <c r="Q409" s="3">
        <f>IF('Data Source'!B409="","",'Data Source'!S409)</f>
        <v/>
      </c>
    </row>
    <row r="410">
      <c r="A410" s="3">
        <f>IF('Data Source'!B410="","",'Data Source'!A410)</f>
        <v/>
      </c>
      <c r="B410">
        <f>IF('Data Source'!B410="","",'Data Source'!B410)</f>
        <v/>
      </c>
      <c r="C410" s="3">
        <f>IF('Data Source'!B410="","",IF('Data Source'!U410&gt;=5,"A+",IF('Data Source'!U410&gt;=4,"A",IF('Data Source'!U410&gt;=3.5,"A-",IF('Data Source'!U410&gt;=3,"B",IF('Data Source'!U410&gt;=2,"C",IF('Data Source'!U410&gt;=1,"D","F")))))))</f>
        <v/>
      </c>
      <c r="D410" s="3">
        <f>IF('Data Source'!B410="","",IF('Data Source'!V410&gt;=5,"A+",IF('Data Source'!V410&gt;=4,"A",IF('Data Source'!V410&gt;=3.5,"A-",IF('Data Source'!V410&gt;=3,"B",IF('Data Source'!V410&gt;=2,"C",IF('Data Source'!V410&gt;=1,"D","F")))))))</f>
        <v/>
      </c>
      <c r="E410" s="3">
        <f>IF('Data Source'!B410="","",IF('Data Source'!W410&gt;=5,"A+",IF('Data Source'!W410&gt;=4,"A",IF('Data Source'!W410&gt;=3.5,"A-",IF('Data Source'!W410&gt;=3,"B",IF('Data Source'!W410&gt;=2,"C",IF('Data Source'!W410&gt;=1,"D","F")))))))</f>
        <v/>
      </c>
      <c r="F410" s="3">
        <f>IF('Data Source'!B410="","",IF('Data Source'!X410&gt;=5,"A+",IF('Data Source'!X410&gt;=4,"A",IF('Data Source'!X410&gt;=3.5,"A-",IF('Data Source'!X410&gt;=3,"B",IF('Data Source'!X410&gt;=2,"C",IF('Data Source'!X410&gt;=1,"D","F")))))))</f>
        <v/>
      </c>
      <c r="G410" s="3">
        <f>IF('Data Source'!B410="","",IF('Data Source'!Y410&gt;=5,"A+",IF('Data Source'!Y410&gt;=4,"A",IF('Data Source'!Y410&gt;=3.5,"A-",IF('Data Source'!Y410&gt;=3,"B",IF('Data Source'!Y410&gt;=2,"C",IF('Data Source'!Y410&gt;=1,"D","F")))))))</f>
        <v/>
      </c>
      <c r="H410" s="3">
        <f>IF('Data Source'!B410="","",IF('Data Source'!Z410&gt;=5,"A+",IF('Data Source'!Z410&gt;=4,"A",IF('Data Source'!Z410&gt;=3.5,"A-",IF('Data Source'!Z410&gt;=3,"B",IF('Data Source'!Z410&gt;=2,"C",IF('Data Source'!Z410&gt;=1,"D","F")))))))</f>
        <v/>
      </c>
      <c r="I410" s="3">
        <f>IF('Data Source'!B410="","",IF('Data Source'!AA410&gt;=5,"A+",IF('Data Source'!AA410&gt;=4,"A",IF('Data Source'!AA410&gt;=3.5,"A-",IF('Data Source'!AA410&gt;=3,"B",IF('Data Source'!AA410&gt;=2,"C",IF('Data Source'!AA410&gt;=1,"D","F")))))))</f>
        <v/>
      </c>
      <c r="J410" s="3">
        <f>IF('Data Source'!B410="","",IF('Data Source'!AB410&gt;=5,"A+",IF('Data Source'!AB410&gt;=4,"A",IF('Data Source'!AB410&gt;=3.5,"A-",IF('Data Source'!AB410&gt;=3,"B",IF('Data Source'!AB410&gt;=2,"C",IF('Data Source'!AB410&gt;=1,"D","F")))))))</f>
        <v/>
      </c>
      <c r="K410" s="3">
        <f>IF('Data Source'!B410="","",IF('Data Source'!AC410&gt;=5,"A+",IF('Data Source'!AC410&gt;=4,"A",IF('Data Source'!AC410&gt;=3.5,"A-",IF('Data Source'!AC410&gt;=3,"B",IF('Data Source'!AC410&gt;=2,"C",IF('Data Source'!AC410&gt;=1,"D","F")))))))</f>
        <v/>
      </c>
      <c r="L410" s="3">
        <f>IF('Data Source'!B410="","",IF('Data Source'!AD410&gt;=5,"A+",IF('Data Source'!AD410&gt;=4,"A",IF('Data Source'!AD410&gt;=3.5,"A-",IF('Data Source'!AD410&gt;=3,"B",IF('Data Source'!AD410&gt;=2,"C",IF('Data Source'!AD410&gt;=1,"D","F")))))))</f>
        <v/>
      </c>
      <c r="M410" s="3">
        <f>IF('Data Source'!B410="","",IF('Data Source'!AE410&gt;=5,"A+",IF('Data Source'!AE410&gt;=4,"A",IF('Data Source'!AE410&gt;=3.5,"A-",IF('Data Source'!AE410&gt;=3,"B",IF('Data Source'!AE410&gt;=2,"C",IF('Data Source'!AE410&gt;=1,"D","F")))))))</f>
        <v/>
      </c>
      <c r="N410" s="3">
        <f>IF('Data Source'!B410="","",IF('Data Source'!AF410&gt;=5,"A+",IF('Data Source'!AF410&gt;=4,"A",IF('Data Source'!AF410&gt;=3.5,"A-",IF('Data Source'!AF410&gt;=3,"B",IF('Data Source'!AF410&gt;=2,"C",IF('Data Source'!AF410&gt;=1,"D","F")))))))</f>
        <v/>
      </c>
      <c r="O410" s="3">
        <f>IF('Data Source'!B410="","",IF('Data Source'!AG410&gt;=5,"A+",IF('Data Source'!AG410&gt;=4,"A",IF('Data Source'!AG410&gt;=3.5,"A-",IF('Data Source'!AG410&gt;=3,"B",IF('Data Source'!AG410&gt;=2,"C",IF('Data Source'!AG410&gt;=1,"D","F")))))))</f>
        <v/>
      </c>
      <c r="P410" s="5">
        <f>IF('Data Source'!B410="","",'Data Source'!R410)</f>
        <v/>
      </c>
      <c r="Q410" s="3">
        <f>IF('Data Source'!B410="","",'Data Source'!S410)</f>
        <v/>
      </c>
    </row>
    <row r="411">
      <c r="A411" s="3">
        <f>IF('Data Source'!B411="","",'Data Source'!A411)</f>
        <v/>
      </c>
      <c r="B411">
        <f>IF('Data Source'!B411="","",'Data Source'!B411)</f>
        <v/>
      </c>
      <c r="C411" s="3">
        <f>IF('Data Source'!B411="","",IF('Data Source'!U411&gt;=5,"A+",IF('Data Source'!U411&gt;=4,"A",IF('Data Source'!U411&gt;=3.5,"A-",IF('Data Source'!U411&gt;=3,"B",IF('Data Source'!U411&gt;=2,"C",IF('Data Source'!U411&gt;=1,"D","F")))))))</f>
        <v/>
      </c>
      <c r="D411" s="3">
        <f>IF('Data Source'!B411="","",IF('Data Source'!V411&gt;=5,"A+",IF('Data Source'!V411&gt;=4,"A",IF('Data Source'!V411&gt;=3.5,"A-",IF('Data Source'!V411&gt;=3,"B",IF('Data Source'!V411&gt;=2,"C",IF('Data Source'!V411&gt;=1,"D","F")))))))</f>
        <v/>
      </c>
      <c r="E411" s="3">
        <f>IF('Data Source'!B411="","",IF('Data Source'!W411&gt;=5,"A+",IF('Data Source'!W411&gt;=4,"A",IF('Data Source'!W411&gt;=3.5,"A-",IF('Data Source'!W411&gt;=3,"B",IF('Data Source'!W411&gt;=2,"C",IF('Data Source'!W411&gt;=1,"D","F")))))))</f>
        <v/>
      </c>
      <c r="F411" s="3">
        <f>IF('Data Source'!B411="","",IF('Data Source'!X411&gt;=5,"A+",IF('Data Source'!X411&gt;=4,"A",IF('Data Source'!X411&gt;=3.5,"A-",IF('Data Source'!X411&gt;=3,"B",IF('Data Source'!X411&gt;=2,"C",IF('Data Source'!X411&gt;=1,"D","F")))))))</f>
        <v/>
      </c>
      <c r="G411" s="3">
        <f>IF('Data Source'!B411="","",IF('Data Source'!Y411&gt;=5,"A+",IF('Data Source'!Y411&gt;=4,"A",IF('Data Source'!Y411&gt;=3.5,"A-",IF('Data Source'!Y411&gt;=3,"B",IF('Data Source'!Y411&gt;=2,"C",IF('Data Source'!Y411&gt;=1,"D","F")))))))</f>
        <v/>
      </c>
      <c r="H411" s="3">
        <f>IF('Data Source'!B411="","",IF('Data Source'!Z411&gt;=5,"A+",IF('Data Source'!Z411&gt;=4,"A",IF('Data Source'!Z411&gt;=3.5,"A-",IF('Data Source'!Z411&gt;=3,"B",IF('Data Source'!Z411&gt;=2,"C",IF('Data Source'!Z411&gt;=1,"D","F")))))))</f>
        <v/>
      </c>
      <c r="I411" s="3">
        <f>IF('Data Source'!B411="","",IF('Data Source'!AA411&gt;=5,"A+",IF('Data Source'!AA411&gt;=4,"A",IF('Data Source'!AA411&gt;=3.5,"A-",IF('Data Source'!AA411&gt;=3,"B",IF('Data Source'!AA411&gt;=2,"C",IF('Data Source'!AA411&gt;=1,"D","F")))))))</f>
        <v/>
      </c>
      <c r="J411" s="3">
        <f>IF('Data Source'!B411="","",IF('Data Source'!AB411&gt;=5,"A+",IF('Data Source'!AB411&gt;=4,"A",IF('Data Source'!AB411&gt;=3.5,"A-",IF('Data Source'!AB411&gt;=3,"B",IF('Data Source'!AB411&gt;=2,"C",IF('Data Source'!AB411&gt;=1,"D","F")))))))</f>
        <v/>
      </c>
      <c r="K411" s="3">
        <f>IF('Data Source'!B411="","",IF('Data Source'!AC411&gt;=5,"A+",IF('Data Source'!AC411&gt;=4,"A",IF('Data Source'!AC411&gt;=3.5,"A-",IF('Data Source'!AC411&gt;=3,"B",IF('Data Source'!AC411&gt;=2,"C",IF('Data Source'!AC411&gt;=1,"D","F")))))))</f>
        <v/>
      </c>
      <c r="L411" s="3">
        <f>IF('Data Source'!B411="","",IF('Data Source'!AD411&gt;=5,"A+",IF('Data Source'!AD411&gt;=4,"A",IF('Data Source'!AD411&gt;=3.5,"A-",IF('Data Source'!AD411&gt;=3,"B",IF('Data Source'!AD411&gt;=2,"C",IF('Data Source'!AD411&gt;=1,"D","F")))))))</f>
        <v/>
      </c>
      <c r="M411" s="3">
        <f>IF('Data Source'!B411="","",IF('Data Source'!AE411&gt;=5,"A+",IF('Data Source'!AE411&gt;=4,"A",IF('Data Source'!AE411&gt;=3.5,"A-",IF('Data Source'!AE411&gt;=3,"B",IF('Data Source'!AE411&gt;=2,"C",IF('Data Source'!AE411&gt;=1,"D","F")))))))</f>
        <v/>
      </c>
      <c r="N411" s="3">
        <f>IF('Data Source'!B411="","",IF('Data Source'!AF411&gt;=5,"A+",IF('Data Source'!AF411&gt;=4,"A",IF('Data Source'!AF411&gt;=3.5,"A-",IF('Data Source'!AF411&gt;=3,"B",IF('Data Source'!AF411&gt;=2,"C",IF('Data Source'!AF411&gt;=1,"D","F")))))))</f>
        <v/>
      </c>
      <c r="O411" s="3">
        <f>IF('Data Source'!B411="","",IF('Data Source'!AG411&gt;=5,"A+",IF('Data Source'!AG411&gt;=4,"A",IF('Data Source'!AG411&gt;=3.5,"A-",IF('Data Source'!AG411&gt;=3,"B",IF('Data Source'!AG411&gt;=2,"C",IF('Data Source'!AG411&gt;=1,"D","F")))))))</f>
        <v/>
      </c>
      <c r="P411" s="5">
        <f>IF('Data Source'!B411="","",'Data Source'!R411)</f>
        <v/>
      </c>
      <c r="Q411" s="3">
        <f>IF('Data Source'!B411="","",'Data Source'!S411)</f>
        <v/>
      </c>
    </row>
    <row r="412">
      <c r="A412" s="3">
        <f>IF('Data Source'!B412="","",'Data Source'!A412)</f>
        <v/>
      </c>
      <c r="B412">
        <f>IF('Data Source'!B412="","",'Data Source'!B412)</f>
        <v/>
      </c>
      <c r="C412" s="3">
        <f>IF('Data Source'!B412="","",IF('Data Source'!U412&gt;=5,"A+",IF('Data Source'!U412&gt;=4,"A",IF('Data Source'!U412&gt;=3.5,"A-",IF('Data Source'!U412&gt;=3,"B",IF('Data Source'!U412&gt;=2,"C",IF('Data Source'!U412&gt;=1,"D","F")))))))</f>
        <v/>
      </c>
      <c r="D412" s="3">
        <f>IF('Data Source'!B412="","",IF('Data Source'!V412&gt;=5,"A+",IF('Data Source'!V412&gt;=4,"A",IF('Data Source'!V412&gt;=3.5,"A-",IF('Data Source'!V412&gt;=3,"B",IF('Data Source'!V412&gt;=2,"C",IF('Data Source'!V412&gt;=1,"D","F")))))))</f>
        <v/>
      </c>
      <c r="E412" s="3">
        <f>IF('Data Source'!B412="","",IF('Data Source'!W412&gt;=5,"A+",IF('Data Source'!W412&gt;=4,"A",IF('Data Source'!W412&gt;=3.5,"A-",IF('Data Source'!W412&gt;=3,"B",IF('Data Source'!W412&gt;=2,"C",IF('Data Source'!W412&gt;=1,"D","F")))))))</f>
        <v/>
      </c>
      <c r="F412" s="3">
        <f>IF('Data Source'!B412="","",IF('Data Source'!X412&gt;=5,"A+",IF('Data Source'!X412&gt;=4,"A",IF('Data Source'!X412&gt;=3.5,"A-",IF('Data Source'!X412&gt;=3,"B",IF('Data Source'!X412&gt;=2,"C",IF('Data Source'!X412&gt;=1,"D","F")))))))</f>
        <v/>
      </c>
      <c r="G412" s="3">
        <f>IF('Data Source'!B412="","",IF('Data Source'!Y412&gt;=5,"A+",IF('Data Source'!Y412&gt;=4,"A",IF('Data Source'!Y412&gt;=3.5,"A-",IF('Data Source'!Y412&gt;=3,"B",IF('Data Source'!Y412&gt;=2,"C",IF('Data Source'!Y412&gt;=1,"D","F")))))))</f>
        <v/>
      </c>
      <c r="H412" s="3">
        <f>IF('Data Source'!B412="","",IF('Data Source'!Z412&gt;=5,"A+",IF('Data Source'!Z412&gt;=4,"A",IF('Data Source'!Z412&gt;=3.5,"A-",IF('Data Source'!Z412&gt;=3,"B",IF('Data Source'!Z412&gt;=2,"C",IF('Data Source'!Z412&gt;=1,"D","F")))))))</f>
        <v/>
      </c>
      <c r="I412" s="3">
        <f>IF('Data Source'!B412="","",IF('Data Source'!AA412&gt;=5,"A+",IF('Data Source'!AA412&gt;=4,"A",IF('Data Source'!AA412&gt;=3.5,"A-",IF('Data Source'!AA412&gt;=3,"B",IF('Data Source'!AA412&gt;=2,"C",IF('Data Source'!AA412&gt;=1,"D","F")))))))</f>
        <v/>
      </c>
      <c r="J412" s="3">
        <f>IF('Data Source'!B412="","",IF('Data Source'!AB412&gt;=5,"A+",IF('Data Source'!AB412&gt;=4,"A",IF('Data Source'!AB412&gt;=3.5,"A-",IF('Data Source'!AB412&gt;=3,"B",IF('Data Source'!AB412&gt;=2,"C",IF('Data Source'!AB412&gt;=1,"D","F")))))))</f>
        <v/>
      </c>
      <c r="K412" s="3">
        <f>IF('Data Source'!B412="","",IF('Data Source'!AC412&gt;=5,"A+",IF('Data Source'!AC412&gt;=4,"A",IF('Data Source'!AC412&gt;=3.5,"A-",IF('Data Source'!AC412&gt;=3,"B",IF('Data Source'!AC412&gt;=2,"C",IF('Data Source'!AC412&gt;=1,"D","F")))))))</f>
        <v/>
      </c>
      <c r="L412" s="3">
        <f>IF('Data Source'!B412="","",IF('Data Source'!AD412&gt;=5,"A+",IF('Data Source'!AD412&gt;=4,"A",IF('Data Source'!AD412&gt;=3.5,"A-",IF('Data Source'!AD412&gt;=3,"B",IF('Data Source'!AD412&gt;=2,"C",IF('Data Source'!AD412&gt;=1,"D","F")))))))</f>
        <v/>
      </c>
      <c r="M412" s="3">
        <f>IF('Data Source'!B412="","",IF('Data Source'!AE412&gt;=5,"A+",IF('Data Source'!AE412&gt;=4,"A",IF('Data Source'!AE412&gt;=3.5,"A-",IF('Data Source'!AE412&gt;=3,"B",IF('Data Source'!AE412&gt;=2,"C",IF('Data Source'!AE412&gt;=1,"D","F")))))))</f>
        <v/>
      </c>
      <c r="N412" s="3">
        <f>IF('Data Source'!B412="","",IF('Data Source'!AF412&gt;=5,"A+",IF('Data Source'!AF412&gt;=4,"A",IF('Data Source'!AF412&gt;=3.5,"A-",IF('Data Source'!AF412&gt;=3,"B",IF('Data Source'!AF412&gt;=2,"C",IF('Data Source'!AF412&gt;=1,"D","F")))))))</f>
        <v/>
      </c>
      <c r="O412" s="3">
        <f>IF('Data Source'!B412="","",IF('Data Source'!AG412&gt;=5,"A+",IF('Data Source'!AG412&gt;=4,"A",IF('Data Source'!AG412&gt;=3.5,"A-",IF('Data Source'!AG412&gt;=3,"B",IF('Data Source'!AG412&gt;=2,"C",IF('Data Source'!AG412&gt;=1,"D","F")))))))</f>
        <v/>
      </c>
      <c r="P412" s="5">
        <f>IF('Data Source'!B412="","",'Data Source'!R412)</f>
        <v/>
      </c>
      <c r="Q412" s="3">
        <f>IF('Data Source'!B412="","",'Data Source'!S412)</f>
        <v/>
      </c>
    </row>
    <row r="413">
      <c r="A413" s="3">
        <f>IF('Data Source'!B413="","",'Data Source'!A413)</f>
        <v/>
      </c>
      <c r="B413">
        <f>IF('Data Source'!B413="","",'Data Source'!B413)</f>
        <v/>
      </c>
      <c r="C413" s="3">
        <f>IF('Data Source'!B413="","",IF('Data Source'!U413&gt;=5,"A+",IF('Data Source'!U413&gt;=4,"A",IF('Data Source'!U413&gt;=3.5,"A-",IF('Data Source'!U413&gt;=3,"B",IF('Data Source'!U413&gt;=2,"C",IF('Data Source'!U413&gt;=1,"D","F")))))))</f>
        <v/>
      </c>
      <c r="D413" s="3">
        <f>IF('Data Source'!B413="","",IF('Data Source'!V413&gt;=5,"A+",IF('Data Source'!V413&gt;=4,"A",IF('Data Source'!V413&gt;=3.5,"A-",IF('Data Source'!V413&gt;=3,"B",IF('Data Source'!V413&gt;=2,"C",IF('Data Source'!V413&gt;=1,"D","F")))))))</f>
        <v/>
      </c>
      <c r="E413" s="3">
        <f>IF('Data Source'!B413="","",IF('Data Source'!W413&gt;=5,"A+",IF('Data Source'!W413&gt;=4,"A",IF('Data Source'!W413&gt;=3.5,"A-",IF('Data Source'!W413&gt;=3,"B",IF('Data Source'!W413&gt;=2,"C",IF('Data Source'!W413&gt;=1,"D","F")))))))</f>
        <v/>
      </c>
      <c r="F413" s="3">
        <f>IF('Data Source'!B413="","",IF('Data Source'!X413&gt;=5,"A+",IF('Data Source'!X413&gt;=4,"A",IF('Data Source'!X413&gt;=3.5,"A-",IF('Data Source'!X413&gt;=3,"B",IF('Data Source'!X413&gt;=2,"C",IF('Data Source'!X413&gt;=1,"D","F")))))))</f>
        <v/>
      </c>
      <c r="G413" s="3">
        <f>IF('Data Source'!B413="","",IF('Data Source'!Y413&gt;=5,"A+",IF('Data Source'!Y413&gt;=4,"A",IF('Data Source'!Y413&gt;=3.5,"A-",IF('Data Source'!Y413&gt;=3,"B",IF('Data Source'!Y413&gt;=2,"C",IF('Data Source'!Y413&gt;=1,"D","F")))))))</f>
        <v/>
      </c>
      <c r="H413" s="3">
        <f>IF('Data Source'!B413="","",IF('Data Source'!Z413&gt;=5,"A+",IF('Data Source'!Z413&gt;=4,"A",IF('Data Source'!Z413&gt;=3.5,"A-",IF('Data Source'!Z413&gt;=3,"B",IF('Data Source'!Z413&gt;=2,"C",IF('Data Source'!Z413&gt;=1,"D","F")))))))</f>
        <v/>
      </c>
      <c r="I413" s="3">
        <f>IF('Data Source'!B413="","",IF('Data Source'!AA413&gt;=5,"A+",IF('Data Source'!AA413&gt;=4,"A",IF('Data Source'!AA413&gt;=3.5,"A-",IF('Data Source'!AA413&gt;=3,"B",IF('Data Source'!AA413&gt;=2,"C",IF('Data Source'!AA413&gt;=1,"D","F")))))))</f>
        <v/>
      </c>
      <c r="J413" s="3">
        <f>IF('Data Source'!B413="","",IF('Data Source'!AB413&gt;=5,"A+",IF('Data Source'!AB413&gt;=4,"A",IF('Data Source'!AB413&gt;=3.5,"A-",IF('Data Source'!AB413&gt;=3,"B",IF('Data Source'!AB413&gt;=2,"C",IF('Data Source'!AB413&gt;=1,"D","F")))))))</f>
        <v/>
      </c>
      <c r="K413" s="3">
        <f>IF('Data Source'!B413="","",IF('Data Source'!AC413&gt;=5,"A+",IF('Data Source'!AC413&gt;=4,"A",IF('Data Source'!AC413&gt;=3.5,"A-",IF('Data Source'!AC413&gt;=3,"B",IF('Data Source'!AC413&gt;=2,"C",IF('Data Source'!AC413&gt;=1,"D","F")))))))</f>
        <v/>
      </c>
      <c r="L413" s="3">
        <f>IF('Data Source'!B413="","",IF('Data Source'!AD413&gt;=5,"A+",IF('Data Source'!AD413&gt;=4,"A",IF('Data Source'!AD413&gt;=3.5,"A-",IF('Data Source'!AD413&gt;=3,"B",IF('Data Source'!AD413&gt;=2,"C",IF('Data Source'!AD413&gt;=1,"D","F")))))))</f>
        <v/>
      </c>
      <c r="M413" s="3">
        <f>IF('Data Source'!B413="","",IF('Data Source'!AE413&gt;=5,"A+",IF('Data Source'!AE413&gt;=4,"A",IF('Data Source'!AE413&gt;=3.5,"A-",IF('Data Source'!AE413&gt;=3,"B",IF('Data Source'!AE413&gt;=2,"C",IF('Data Source'!AE413&gt;=1,"D","F")))))))</f>
        <v/>
      </c>
      <c r="N413" s="3">
        <f>IF('Data Source'!B413="","",IF('Data Source'!AF413&gt;=5,"A+",IF('Data Source'!AF413&gt;=4,"A",IF('Data Source'!AF413&gt;=3.5,"A-",IF('Data Source'!AF413&gt;=3,"B",IF('Data Source'!AF413&gt;=2,"C",IF('Data Source'!AF413&gt;=1,"D","F")))))))</f>
        <v/>
      </c>
      <c r="O413" s="3">
        <f>IF('Data Source'!B413="","",IF('Data Source'!AG413&gt;=5,"A+",IF('Data Source'!AG413&gt;=4,"A",IF('Data Source'!AG413&gt;=3.5,"A-",IF('Data Source'!AG413&gt;=3,"B",IF('Data Source'!AG413&gt;=2,"C",IF('Data Source'!AG413&gt;=1,"D","F")))))))</f>
        <v/>
      </c>
      <c r="P413" s="5">
        <f>IF('Data Source'!B413="","",'Data Source'!R413)</f>
        <v/>
      </c>
      <c r="Q413" s="3">
        <f>IF('Data Source'!B413="","",'Data Source'!S413)</f>
        <v/>
      </c>
    </row>
    <row r="414">
      <c r="A414" s="3">
        <f>IF('Data Source'!B414="","",'Data Source'!A414)</f>
        <v/>
      </c>
      <c r="B414">
        <f>IF('Data Source'!B414="","",'Data Source'!B414)</f>
        <v/>
      </c>
      <c r="C414" s="3">
        <f>IF('Data Source'!B414="","",IF('Data Source'!U414&gt;=5,"A+",IF('Data Source'!U414&gt;=4,"A",IF('Data Source'!U414&gt;=3.5,"A-",IF('Data Source'!U414&gt;=3,"B",IF('Data Source'!U414&gt;=2,"C",IF('Data Source'!U414&gt;=1,"D","F")))))))</f>
        <v/>
      </c>
      <c r="D414" s="3">
        <f>IF('Data Source'!B414="","",IF('Data Source'!V414&gt;=5,"A+",IF('Data Source'!V414&gt;=4,"A",IF('Data Source'!V414&gt;=3.5,"A-",IF('Data Source'!V414&gt;=3,"B",IF('Data Source'!V414&gt;=2,"C",IF('Data Source'!V414&gt;=1,"D","F")))))))</f>
        <v/>
      </c>
      <c r="E414" s="3">
        <f>IF('Data Source'!B414="","",IF('Data Source'!W414&gt;=5,"A+",IF('Data Source'!W414&gt;=4,"A",IF('Data Source'!W414&gt;=3.5,"A-",IF('Data Source'!W414&gt;=3,"B",IF('Data Source'!W414&gt;=2,"C",IF('Data Source'!W414&gt;=1,"D","F")))))))</f>
        <v/>
      </c>
      <c r="F414" s="3">
        <f>IF('Data Source'!B414="","",IF('Data Source'!X414&gt;=5,"A+",IF('Data Source'!X414&gt;=4,"A",IF('Data Source'!X414&gt;=3.5,"A-",IF('Data Source'!X414&gt;=3,"B",IF('Data Source'!X414&gt;=2,"C",IF('Data Source'!X414&gt;=1,"D","F")))))))</f>
        <v/>
      </c>
      <c r="G414" s="3">
        <f>IF('Data Source'!B414="","",IF('Data Source'!Y414&gt;=5,"A+",IF('Data Source'!Y414&gt;=4,"A",IF('Data Source'!Y414&gt;=3.5,"A-",IF('Data Source'!Y414&gt;=3,"B",IF('Data Source'!Y414&gt;=2,"C",IF('Data Source'!Y414&gt;=1,"D","F")))))))</f>
        <v/>
      </c>
      <c r="H414" s="3">
        <f>IF('Data Source'!B414="","",IF('Data Source'!Z414&gt;=5,"A+",IF('Data Source'!Z414&gt;=4,"A",IF('Data Source'!Z414&gt;=3.5,"A-",IF('Data Source'!Z414&gt;=3,"B",IF('Data Source'!Z414&gt;=2,"C",IF('Data Source'!Z414&gt;=1,"D","F")))))))</f>
        <v/>
      </c>
      <c r="I414" s="3">
        <f>IF('Data Source'!B414="","",IF('Data Source'!AA414&gt;=5,"A+",IF('Data Source'!AA414&gt;=4,"A",IF('Data Source'!AA414&gt;=3.5,"A-",IF('Data Source'!AA414&gt;=3,"B",IF('Data Source'!AA414&gt;=2,"C",IF('Data Source'!AA414&gt;=1,"D","F")))))))</f>
        <v/>
      </c>
      <c r="J414" s="3">
        <f>IF('Data Source'!B414="","",IF('Data Source'!AB414&gt;=5,"A+",IF('Data Source'!AB414&gt;=4,"A",IF('Data Source'!AB414&gt;=3.5,"A-",IF('Data Source'!AB414&gt;=3,"B",IF('Data Source'!AB414&gt;=2,"C",IF('Data Source'!AB414&gt;=1,"D","F")))))))</f>
        <v/>
      </c>
      <c r="K414" s="3">
        <f>IF('Data Source'!B414="","",IF('Data Source'!AC414&gt;=5,"A+",IF('Data Source'!AC414&gt;=4,"A",IF('Data Source'!AC414&gt;=3.5,"A-",IF('Data Source'!AC414&gt;=3,"B",IF('Data Source'!AC414&gt;=2,"C",IF('Data Source'!AC414&gt;=1,"D","F")))))))</f>
        <v/>
      </c>
      <c r="L414" s="3">
        <f>IF('Data Source'!B414="","",IF('Data Source'!AD414&gt;=5,"A+",IF('Data Source'!AD414&gt;=4,"A",IF('Data Source'!AD414&gt;=3.5,"A-",IF('Data Source'!AD414&gt;=3,"B",IF('Data Source'!AD414&gt;=2,"C",IF('Data Source'!AD414&gt;=1,"D","F")))))))</f>
        <v/>
      </c>
      <c r="M414" s="3">
        <f>IF('Data Source'!B414="","",IF('Data Source'!AE414&gt;=5,"A+",IF('Data Source'!AE414&gt;=4,"A",IF('Data Source'!AE414&gt;=3.5,"A-",IF('Data Source'!AE414&gt;=3,"B",IF('Data Source'!AE414&gt;=2,"C",IF('Data Source'!AE414&gt;=1,"D","F")))))))</f>
        <v/>
      </c>
      <c r="N414" s="3">
        <f>IF('Data Source'!B414="","",IF('Data Source'!AF414&gt;=5,"A+",IF('Data Source'!AF414&gt;=4,"A",IF('Data Source'!AF414&gt;=3.5,"A-",IF('Data Source'!AF414&gt;=3,"B",IF('Data Source'!AF414&gt;=2,"C",IF('Data Source'!AF414&gt;=1,"D","F")))))))</f>
        <v/>
      </c>
      <c r="O414" s="3">
        <f>IF('Data Source'!B414="","",IF('Data Source'!AG414&gt;=5,"A+",IF('Data Source'!AG414&gt;=4,"A",IF('Data Source'!AG414&gt;=3.5,"A-",IF('Data Source'!AG414&gt;=3,"B",IF('Data Source'!AG414&gt;=2,"C",IF('Data Source'!AG414&gt;=1,"D","F")))))))</f>
        <v/>
      </c>
      <c r="P414" s="5">
        <f>IF('Data Source'!B414="","",'Data Source'!R414)</f>
        <v/>
      </c>
      <c r="Q414" s="3">
        <f>IF('Data Source'!B414="","",'Data Source'!S414)</f>
        <v/>
      </c>
    </row>
    <row r="415">
      <c r="A415" s="3">
        <f>IF('Data Source'!B415="","",'Data Source'!A415)</f>
        <v/>
      </c>
      <c r="B415">
        <f>IF('Data Source'!B415="","",'Data Source'!B415)</f>
        <v/>
      </c>
      <c r="C415" s="3">
        <f>IF('Data Source'!B415="","",IF('Data Source'!U415&gt;=5,"A+",IF('Data Source'!U415&gt;=4,"A",IF('Data Source'!U415&gt;=3.5,"A-",IF('Data Source'!U415&gt;=3,"B",IF('Data Source'!U415&gt;=2,"C",IF('Data Source'!U415&gt;=1,"D","F")))))))</f>
        <v/>
      </c>
      <c r="D415" s="3">
        <f>IF('Data Source'!B415="","",IF('Data Source'!V415&gt;=5,"A+",IF('Data Source'!V415&gt;=4,"A",IF('Data Source'!V415&gt;=3.5,"A-",IF('Data Source'!V415&gt;=3,"B",IF('Data Source'!V415&gt;=2,"C",IF('Data Source'!V415&gt;=1,"D","F")))))))</f>
        <v/>
      </c>
      <c r="E415" s="3">
        <f>IF('Data Source'!B415="","",IF('Data Source'!W415&gt;=5,"A+",IF('Data Source'!W415&gt;=4,"A",IF('Data Source'!W415&gt;=3.5,"A-",IF('Data Source'!W415&gt;=3,"B",IF('Data Source'!W415&gt;=2,"C",IF('Data Source'!W415&gt;=1,"D","F")))))))</f>
        <v/>
      </c>
      <c r="F415" s="3">
        <f>IF('Data Source'!B415="","",IF('Data Source'!X415&gt;=5,"A+",IF('Data Source'!X415&gt;=4,"A",IF('Data Source'!X415&gt;=3.5,"A-",IF('Data Source'!X415&gt;=3,"B",IF('Data Source'!X415&gt;=2,"C",IF('Data Source'!X415&gt;=1,"D","F")))))))</f>
        <v/>
      </c>
      <c r="G415" s="3">
        <f>IF('Data Source'!B415="","",IF('Data Source'!Y415&gt;=5,"A+",IF('Data Source'!Y415&gt;=4,"A",IF('Data Source'!Y415&gt;=3.5,"A-",IF('Data Source'!Y415&gt;=3,"B",IF('Data Source'!Y415&gt;=2,"C",IF('Data Source'!Y415&gt;=1,"D","F")))))))</f>
        <v/>
      </c>
      <c r="H415" s="3">
        <f>IF('Data Source'!B415="","",IF('Data Source'!Z415&gt;=5,"A+",IF('Data Source'!Z415&gt;=4,"A",IF('Data Source'!Z415&gt;=3.5,"A-",IF('Data Source'!Z415&gt;=3,"B",IF('Data Source'!Z415&gt;=2,"C",IF('Data Source'!Z415&gt;=1,"D","F")))))))</f>
        <v/>
      </c>
      <c r="I415" s="3">
        <f>IF('Data Source'!B415="","",IF('Data Source'!AA415&gt;=5,"A+",IF('Data Source'!AA415&gt;=4,"A",IF('Data Source'!AA415&gt;=3.5,"A-",IF('Data Source'!AA415&gt;=3,"B",IF('Data Source'!AA415&gt;=2,"C",IF('Data Source'!AA415&gt;=1,"D","F")))))))</f>
        <v/>
      </c>
      <c r="J415" s="3">
        <f>IF('Data Source'!B415="","",IF('Data Source'!AB415&gt;=5,"A+",IF('Data Source'!AB415&gt;=4,"A",IF('Data Source'!AB415&gt;=3.5,"A-",IF('Data Source'!AB415&gt;=3,"B",IF('Data Source'!AB415&gt;=2,"C",IF('Data Source'!AB415&gt;=1,"D","F")))))))</f>
        <v/>
      </c>
      <c r="K415" s="3">
        <f>IF('Data Source'!B415="","",IF('Data Source'!AC415&gt;=5,"A+",IF('Data Source'!AC415&gt;=4,"A",IF('Data Source'!AC415&gt;=3.5,"A-",IF('Data Source'!AC415&gt;=3,"B",IF('Data Source'!AC415&gt;=2,"C",IF('Data Source'!AC415&gt;=1,"D","F")))))))</f>
        <v/>
      </c>
      <c r="L415" s="3">
        <f>IF('Data Source'!B415="","",IF('Data Source'!AD415&gt;=5,"A+",IF('Data Source'!AD415&gt;=4,"A",IF('Data Source'!AD415&gt;=3.5,"A-",IF('Data Source'!AD415&gt;=3,"B",IF('Data Source'!AD415&gt;=2,"C",IF('Data Source'!AD415&gt;=1,"D","F")))))))</f>
        <v/>
      </c>
      <c r="M415" s="3">
        <f>IF('Data Source'!B415="","",IF('Data Source'!AE415&gt;=5,"A+",IF('Data Source'!AE415&gt;=4,"A",IF('Data Source'!AE415&gt;=3.5,"A-",IF('Data Source'!AE415&gt;=3,"B",IF('Data Source'!AE415&gt;=2,"C",IF('Data Source'!AE415&gt;=1,"D","F")))))))</f>
        <v/>
      </c>
      <c r="N415" s="3">
        <f>IF('Data Source'!B415="","",IF('Data Source'!AF415&gt;=5,"A+",IF('Data Source'!AF415&gt;=4,"A",IF('Data Source'!AF415&gt;=3.5,"A-",IF('Data Source'!AF415&gt;=3,"B",IF('Data Source'!AF415&gt;=2,"C",IF('Data Source'!AF415&gt;=1,"D","F")))))))</f>
        <v/>
      </c>
      <c r="O415" s="3">
        <f>IF('Data Source'!B415="","",IF('Data Source'!AG415&gt;=5,"A+",IF('Data Source'!AG415&gt;=4,"A",IF('Data Source'!AG415&gt;=3.5,"A-",IF('Data Source'!AG415&gt;=3,"B",IF('Data Source'!AG415&gt;=2,"C",IF('Data Source'!AG415&gt;=1,"D","F")))))))</f>
        <v/>
      </c>
      <c r="P415" s="5">
        <f>IF('Data Source'!B415="","",'Data Source'!R415)</f>
        <v/>
      </c>
      <c r="Q415" s="3">
        <f>IF('Data Source'!B415="","",'Data Source'!S415)</f>
        <v/>
      </c>
    </row>
    <row r="416">
      <c r="A416" s="3">
        <f>IF('Data Source'!B416="","",'Data Source'!A416)</f>
        <v/>
      </c>
      <c r="B416">
        <f>IF('Data Source'!B416="","",'Data Source'!B416)</f>
        <v/>
      </c>
      <c r="C416" s="3">
        <f>IF('Data Source'!B416="","",IF('Data Source'!U416&gt;=5,"A+",IF('Data Source'!U416&gt;=4,"A",IF('Data Source'!U416&gt;=3.5,"A-",IF('Data Source'!U416&gt;=3,"B",IF('Data Source'!U416&gt;=2,"C",IF('Data Source'!U416&gt;=1,"D","F")))))))</f>
        <v/>
      </c>
      <c r="D416" s="3">
        <f>IF('Data Source'!B416="","",IF('Data Source'!V416&gt;=5,"A+",IF('Data Source'!V416&gt;=4,"A",IF('Data Source'!V416&gt;=3.5,"A-",IF('Data Source'!V416&gt;=3,"B",IF('Data Source'!V416&gt;=2,"C",IF('Data Source'!V416&gt;=1,"D","F")))))))</f>
        <v/>
      </c>
      <c r="E416" s="3">
        <f>IF('Data Source'!B416="","",IF('Data Source'!W416&gt;=5,"A+",IF('Data Source'!W416&gt;=4,"A",IF('Data Source'!W416&gt;=3.5,"A-",IF('Data Source'!W416&gt;=3,"B",IF('Data Source'!W416&gt;=2,"C",IF('Data Source'!W416&gt;=1,"D","F")))))))</f>
        <v/>
      </c>
      <c r="F416" s="3">
        <f>IF('Data Source'!B416="","",IF('Data Source'!X416&gt;=5,"A+",IF('Data Source'!X416&gt;=4,"A",IF('Data Source'!X416&gt;=3.5,"A-",IF('Data Source'!X416&gt;=3,"B",IF('Data Source'!X416&gt;=2,"C",IF('Data Source'!X416&gt;=1,"D","F")))))))</f>
        <v/>
      </c>
      <c r="G416" s="3">
        <f>IF('Data Source'!B416="","",IF('Data Source'!Y416&gt;=5,"A+",IF('Data Source'!Y416&gt;=4,"A",IF('Data Source'!Y416&gt;=3.5,"A-",IF('Data Source'!Y416&gt;=3,"B",IF('Data Source'!Y416&gt;=2,"C",IF('Data Source'!Y416&gt;=1,"D","F")))))))</f>
        <v/>
      </c>
      <c r="H416" s="3">
        <f>IF('Data Source'!B416="","",IF('Data Source'!Z416&gt;=5,"A+",IF('Data Source'!Z416&gt;=4,"A",IF('Data Source'!Z416&gt;=3.5,"A-",IF('Data Source'!Z416&gt;=3,"B",IF('Data Source'!Z416&gt;=2,"C",IF('Data Source'!Z416&gt;=1,"D","F")))))))</f>
        <v/>
      </c>
      <c r="I416" s="3">
        <f>IF('Data Source'!B416="","",IF('Data Source'!AA416&gt;=5,"A+",IF('Data Source'!AA416&gt;=4,"A",IF('Data Source'!AA416&gt;=3.5,"A-",IF('Data Source'!AA416&gt;=3,"B",IF('Data Source'!AA416&gt;=2,"C",IF('Data Source'!AA416&gt;=1,"D","F")))))))</f>
        <v/>
      </c>
      <c r="J416" s="3">
        <f>IF('Data Source'!B416="","",IF('Data Source'!AB416&gt;=5,"A+",IF('Data Source'!AB416&gt;=4,"A",IF('Data Source'!AB416&gt;=3.5,"A-",IF('Data Source'!AB416&gt;=3,"B",IF('Data Source'!AB416&gt;=2,"C",IF('Data Source'!AB416&gt;=1,"D","F")))))))</f>
        <v/>
      </c>
      <c r="K416" s="3">
        <f>IF('Data Source'!B416="","",IF('Data Source'!AC416&gt;=5,"A+",IF('Data Source'!AC416&gt;=4,"A",IF('Data Source'!AC416&gt;=3.5,"A-",IF('Data Source'!AC416&gt;=3,"B",IF('Data Source'!AC416&gt;=2,"C",IF('Data Source'!AC416&gt;=1,"D","F")))))))</f>
        <v/>
      </c>
      <c r="L416" s="3">
        <f>IF('Data Source'!B416="","",IF('Data Source'!AD416&gt;=5,"A+",IF('Data Source'!AD416&gt;=4,"A",IF('Data Source'!AD416&gt;=3.5,"A-",IF('Data Source'!AD416&gt;=3,"B",IF('Data Source'!AD416&gt;=2,"C",IF('Data Source'!AD416&gt;=1,"D","F")))))))</f>
        <v/>
      </c>
      <c r="M416" s="3">
        <f>IF('Data Source'!B416="","",IF('Data Source'!AE416&gt;=5,"A+",IF('Data Source'!AE416&gt;=4,"A",IF('Data Source'!AE416&gt;=3.5,"A-",IF('Data Source'!AE416&gt;=3,"B",IF('Data Source'!AE416&gt;=2,"C",IF('Data Source'!AE416&gt;=1,"D","F")))))))</f>
        <v/>
      </c>
      <c r="N416" s="3">
        <f>IF('Data Source'!B416="","",IF('Data Source'!AF416&gt;=5,"A+",IF('Data Source'!AF416&gt;=4,"A",IF('Data Source'!AF416&gt;=3.5,"A-",IF('Data Source'!AF416&gt;=3,"B",IF('Data Source'!AF416&gt;=2,"C",IF('Data Source'!AF416&gt;=1,"D","F")))))))</f>
        <v/>
      </c>
      <c r="O416" s="3">
        <f>IF('Data Source'!B416="","",IF('Data Source'!AG416&gt;=5,"A+",IF('Data Source'!AG416&gt;=4,"A",IF('Data Source'!AG416&gt;=3.5,"A-",IF('Data Source'!AG416&gt;=3,"B",IF('Data Source'!AG416&gt;=2,"C",IF('Data Source'!AG416&gt;=1,"D","F")))))))</f>
        <v/>
      </c>
      <c r="P416" s="5">
        <f>IF('Data Source'!B416="","",'Data Source'!R416)</f>
        <v/>
      </c>
      <c r="Q416" s="3">
        <f>IF('Data Source'!B416="","",'Data Source'!S416)</f>
        <v/>
      </c>
    </row>
    <row r="417">
      <c r="A417" s="3">
        <f>IF('Data Source'!B417="","",'Data Source'!A417)</f>
        <v/>
      </c>
      <c r="B417">
        <f>IF('Data Source'!B417="","",'Data Source'!B417)</f>
        <v/>
      </c>
      <c r="C417" s="3">
        <f>IF('Data Source'!B417="","",IF('Data Source'!U417&gt;=5,"A+",IF('Data Source'!U417&gt;=4,"A",IF('Data Source'!U417&gt;=3.5,"A-",IF('Data Source'!U417&gt;=3,"B",IF('Data Source'!U417&gt;=2,"C",IF('Data Source'!U417&gt;=1,"D","F")))))))</f>
        <v/>
      </c>
      <c r="D417" s="3">
        <f>IF('Data Source'!B417="","",IF('Data Source'!V417&gt;=5,"A+",IF('Data Source'!V417&gt;=4,"A",IF('Data Source'!V417&gt;=3.5,"A-",IF('Data Source'!V417&gt;=3,"B",IF('Data Source'!V417&gt;=2,"C",IF('Data Source'!V417&gt;=1,"D","F")))))))</f>
        <v/>
      </c>
      <c r="E417" s="3">
        <f>IF('Data Source'!B417="","",IF('Data Source'!W417&gt;=5,"A+",IF('Data Source'!W417&gt;=4,"A",IF('Data Source'!W417&gt;=3.5,"A-",IF('Data Source'!W417&gt;=3,"B",IF('Data Source'!W417&gt;=2,"C",IF('Data Source'!W417&gt;=1,"D","F")))))))</f>
        <v/>
      </c>
      <c r="F417" s="3">
        <f>IF('Data Source'!B417="","",IF('Data Source'!X417&gt;=5,"A+",IF('Data Source'!X417&gt;=4,"A",IF('Data Source'!X417&gt;=3.5,"A-",IF('Data Source'!X417&gt;=3,"B",IF('Data Source'!X417&gt;=2,"C",IF('Data Source'!X417&gt;=1,"D","F")))))))</f>
        <v/>
      </c>
      <c r="G417" s="3">
        <f>IF('Data Source'!B417="","",IF('Data Source'!Y417&gt;=5,"A+",IF('Data Source'!Y417&gt;=4,"A",IF('Data Source'!Y417&gt;=3.5,"A-",IF('Data Source'!Y417&gt;=3,"B",IF('Data Source'!Y417&gt;=2,"C",IF('Data Source'!Y417&gt;=1,"D","F")))))))</f>
        <v/>
      </c>
      <c r="H417" s="3">
        <f>IF('Data Source'!B417="","",IF('Data Source'!Z417&gt;=5,"A+",IF('Data Source'!Z417&gt;=4,"A",IF('Data Source'!Z417&gt;=3.5,"A-",IF('Data Source'!Z417&gt;=3,"B",IF('Data Source'!Z417&gt;=2,"C",IF('Data Source'!Z417&gt;=1,"D","F")))))))</f>
        <v/>
      </c>
      <c r="I417" s="3">
        <f>IF('Data Source'!B417="","",IF('Data Source'!AA417&gt;=5,"A+",IF('Data Source'!AA417&gt;=4,"A",IF('Data Source'!AA417&gt;=3.5,"A-",IF('Data Source'!AA417&gt;=3,"B",IF('Data Source'!AA417&gt;=2,"C",IF('Data Source'!AA417&gt;=1,"D","F")))))))</f>
        <v/>
      </c>
      <c r="J417" s="3">
        <f>IF('Data Source'!B417="","",IF('Data Source'!AB417&gt;=5,"A+",IF('Data Source'!AB417&gt;=4,"A",IF('Data Source'!AB417&gt;=3.5,"A-",IF('Data Source'!AB417&gt;=3,"B",IF('Data Source'!AB417&gt;=2,"C",IF('Data Source'!AB417&gt;=1,"D","F")))))))</f>
        <v/>
      </c>
      <c r="K417" s="3">
        <f>IF('Data Source'!B417="","",IF('Data Source'!AC417&gt;=5,"A+",IF('Data Source'!AC417&gt;=4,"A",IF('Data Source'!AC417&gt;=3.5,"A-",IF('Data Source'!AC417&gt;=3,"B",IF('Data Source'!AC417&gt;=2,"C",IF('Data Source'!AC417&gt;=1,"D","F")))))))</f>
        <v/>
      </c>
      <c r="L417" s="3">
        <f>IF('Data Source'!B417="","",IF('Data Source'!AD417&gt;=5,"A+",IF('Data Source'!AD417&gt;=4,"A",IF('Data Source'!AD417&gt;=3.5,"A-",IF('Data Source'!AD417&gt;=3,"B",IF('Data Source'!AD417&gt;=2,"C",IF('Data Source'!AD417&gt;=1,"D","F")))))))</f>
        <v/>
      </c>
      <c r="M417" s="3">
        <f>IF('Data Source'!B417="","",IF('Data Source'!AE417&gt;=5,"A+",IF('Data Source'!AE417&gt;=4,"A",IF('Data Source'!AE417&gt;=3.5,"A-",IF('Data Source'!AE417&gt;=3,"B",IF('Data Source'!AE417&gt;=2,"C",IF('Data Source'!AE417&gt;=1,"D","F")))))))</f>
        <v/>
      </c>
      <c r="N417" s="3">
        <f>IF('Data Source'!B417="","",IF('Data Source'!AF417&gt;=5,"A+",IF('Data Source'!AF417&gt;=4,"A",IF('Data Source'!AF417&gt;=3.5,"A-",IF('Data Source'!AF417&gt;=3,"B",IF('Data Source'!AF417&gt;=2,"C",IF('Data Source'!AF417&gt;=1,"D","F")))))))</f>
        <v/>
      </c>
      <c r="O417" s="3">
        <f>IF('Data Source'!B417="","",IF('Data Source'!AG417&gt;=5,"A+",IF('Data Source'!AG417&gt;=4,"A",IF('Data Source'!AG417&gt;=3.5,"A-",IF('Data Source'!AG417&gt;=3,"B",IF('Data Source'!AG417&gt;=2,"C",IF('Data Source'!AG417&gt;=1,"D","F")))))))</f>
        <v/>
      </c>
      <c r="P417" s="5">
        <f>IF('Data Source'!B417="","",'Data Source'!R417)</f>
        <v/>
      </c>
      <c r="Q417" s="3">
        <f>IF('Data Source'!B417="","",'Data Source'!S417)</f>
        <v/>
      </c>
    </row>
    <row r="418">
      <c r="A418" s="3">
        <f>IF('Data Source'!B418="","",'Data Source'!A418)</f>
        <v/>
      </c>
      <c r="B418">
        <f>IF('Data Source'!B418="","",'Data Source'!B418)</f>
        <v/>
      </c>
      <c r="C418" s="3">
        <f>IF('Data Source'!B418="","",IF('Data Source'!U418&gt;=5,"A+",IF('Data Source'!U418&gt;=4,"A",IF('Data Source'!U418&gt;=3.5,"A-",IF('Data Source'!U418&gt;=3,"B",IF('Data Source'!U418&gt;=2,"C",IF('Data Source'!U418&gt;=1,"D","F")))))))</f>
        <v/>
      </c>
      <c r="D418" s="3">
        <f>IF('Data Source'!B418="","",IF('Data Source'!V418&gt;=5,"A+",IF('Data Source'!V418&gt;=4,"A",IF('Data Source'!V418&gt;=3.5,"A-",IF('Data Source'!V418&gt;=3,"B",IF('Data Source'!V418&gt;=2,"C",IF('Data Source'!V418&gt;=1,"D","F")))))))</f>
        <v/>
      </c>
      <c r="E418" s="3">
        <f>IF('Data Source'!B418="","",IF('Data Source'!W418&gt;=5,"A+",IF('Data Source'!W418&gt;=4,"A",IF('Data Source'!W418&gt;=3.5,"A-",IF('Data Source'!W418&gt;=3,"B",IF('Data Source'!W418&gt;=2,"C",IF('Data Source'!W418&gt;=1,"D","F")))))))</f>
        <v/>
      </c>
      <c r="F418" s="3">
        <f>IF('Data Source'!B418="","",IF('Data Source'!X418&gt;=5,"A+",IF('Data Source'!X418&gt;=4,"A",IF('Data Source'!X418&gt;=3.5,"A-",IF('Data Source'!X418&gt;=3,"B",IF('Data Source'!X418&gt;=2,"C",IF('Data Source'!X418&gt;=1,"D","F")))))))</f>
        <v/>
      </c>
      <c r="G418" s="3">
        <f>IF('Data Source'!B418="","",IF('Data Source'!Y418&gt;=5,"A+",IF('Data Source'!Y418&gt;=4,"A",IF('Data Source'!Y418&gt;=3.5,"A-",IF('Data Source'!Y418&gt;=3,"B",IF('Data Source'!Y418&gt;=2,"C",IF('Data Source'!Y418&gt;=1,"D","F")))))))</f>
        <v/>
      </c>
      <c r="H418" s="3">
        <f>IF('Data Source'!B418="","",IF('Data Source'!Z418&gt;=5,"A+",IF('Data Source'!Z418&gt;=4,"A",IF('Data Source'!Z418&gt;=3.5,"A-",IF('Data Source'!Z418&gt;=3,"B",IF('Data Source'!Z418&gt;=2,"C",IF('Data Source'!Z418&gt;=1,"D","F")))))))</f>
        <v/>
      </c>
      <c r="I418" s="3">
        <f>IF('Data Source'!B418="","",IF('Data Source'!AA418&gt;=5,"A+",IF('Data Source'!AA418&gt;=4,"A",IF('Data Source'!AA418&gt;=3.5,"A-",IF('Data Source'!AA418&gt;=3,"B",IF('Data Source'!AA418&gt;=2,"C",IF('Data Source'!AA418&gt;=1,"D","F")))))))</f>
        <v/>
      </c>
      <c r="J418" s="3">
        <f>IF('Data Source'!B418="","",IF('Data Source'!AB418&gt;=5,"A+",IF('Data Source'!AB418&gt;=4,"A",IF('Data Source'!AB418&gt;=3.5,"A-",IF('Data Source'!AB418&gt;=3,"B",IF('Data Source'!AB418&gt;=2,"C",IF('Data Source'!AB418&gt;=1,"D","F")))))))</f>
        <v/>
      </c>
      <c r="K418" s="3">
        <f>IF('Data Source'!B418="","",IF('Data Source'!AC418&gt;=5,"A+",IF('Data Source'!AC418&gt;=4,"A",IF('Data Source'!AC418&gt;=3.5,"A-",IF('Data Source'!AC418&gt;=3,"B",IF('Data Source'!AC418&gt;=2,"C",IF('Data Source'!AC418&gt;=1,"D","F")))))))</f>
        <v/>
      </c>
      <c r="L418" s="3">
        <f>IF('Data Source'!B418="","",IF('Data Source'!AD418&gt;=5,"A+",IF('Data Source'!AD418&gt;=4,"A",IF('Data Source'!AD418&gt;=3.5,"A-",IF('Data Source'!AD418&gt;=3,"B",IF('Data Source'!AD418&gt;=2,"C",IF('Data Source'!AD418&gt;=1,"D","F")))))))</f>
        <v/>
      </c>
      <c r="M418" s="3">
        <f>IF('Data Source'!B418="","",IF('Data Source'!AE418&gt;=5,"A+",IF('Data Source'!AE418&gt;=4,"A",IF('Data Source'!AE418&gt;=3.5,"A-",IF('Data Source'!AE418&gt;=3,"B",IF('Data Source'!AE418&gt;=2,"C",IF('Data Source'!AE418&gt;=1,"D","F")))))))</f>
        <v/>
      </c>
      <c r="N418" s="3">
        <f>IF('Data Source'!B418="","",IF('Data Source'!AF418&gt;=5,"A+",IF('Data Source'!AF418&gt;=4,"A",IF('Data Source'!AF418&gt;=3.5,"A-",IF('Data Source'!AF418&gt;=3,"B",IF('Data Source'!AF418&gt;=2,"C",IF('Data Source'!AF418&gt;=1,"D","F")))))))</f>
        <v/>
      </c>
      <c r="O418" s="3">
        <f>IF('Data Source'!B418="","",IF('Data Source'!AG418&gt;=5,"A+",IF('Data Source'!AG418&gt;=4,"A",IF('Data Source'!AG418&gt;=3.5,"A-",IF('Data Source'!AG418&gt;=3,"B",IF('Data Source'!AG418&gt;=2,"C",IF('Data Source'!AG418&gt;=1,"D","F")))))))</f>
        <v/>
      </c>
      <c r="P418" s="5">
        <f>IF('Data Source'!B418="","",'Data Source'!R418)</f>
        <v/>
      </c>
      <c r="Q418" s="3">
        <f>IF('Data Source'!B418="","",'Data Source'!S418)</f>
        <v/>
      </c>
    </row>
    <row r="419">
      <c r="A419" s="3">
        <f>IF('Data Source'!B419="","",'Data Source'!A419)</f>
        <v/>
      </c>
      <c r="B419">
        <f>IF('Data Source'!B419="","",'Data Source'!B419)</f>
        <v/>
      </c>
      <c r="C419" s="3">
        <f>IF('Data Source'!B419="","",IF('Data Source'!U419&gt;=5,"A+",IF('Data Source'!U419&gt;=4,"A",IF('Data Source'!U419&gt;=3.5,"A-",IF('Data Source'!U419&gt;=3,"B",IF('Data Source'!U419&gt;=2,"C",IF('Data Source'!U419&gt;=1,"D","F")))))))</f>
        <v/>
      </c>
      <c r="D419" s="3">
        <f>IF('Data Source'!B419="","",IF('Data Source'!V419&gt;=5,"A+",IF('Data Source'!V419&gt;=4,"A",IF('Data Source'!V419&gt;=3.5,"A-",IF('Data Source'!V419&gt;=3,"B",IF('Data Source'!V419&gt;=2,"C",IF('Data Source'!V419&gt;=1,"D","F")))))))</f>
        <v/>
      </c>
      <c r="E419" s="3">
        <f>IF('Data Source'!B419="","",IF('Data Source'!W419&gt;=5,"A+",IF('Data Source'!W419&gt;=4,"A",IF('Data Source'!W419&gt;=3.5,"A-",IF('Data Source'!W419&gt;=3,"B",IF('Data Source'!W419&gt;=2,"C",IF('Data Source'!W419&gt;=1,"D","F")))))))</f>
        <v/>
      </c>
      <c r="F419" s="3">
        <f>IF('Data Source'!B419="","",IF('Data Source'!X419&gt;=5,"A+",IF('Data Source'!X419&gt;=4,"A",IF('Data Source'!X419&gt;=3.5,"A-",IF('Data Source'!X419&gt;=3,"B",IF('Data Source'!X419&gt;=2,"C",IF('Data Source'!X419&gt;=1,"D","F")))))))</f>
        <v/>
      </c>
      <c r="G419" s="3">
        <f>IF('Data Source'!B419="","",IF('Data Source'!Y419&gt;=5,"A+",IF('Data Source'!Y419&gt;=4,"A",IF('Data Source'!Y419&gt;=3.5,"A-",IF('Data Source'!Y419&gt;=3,"B",IF('Data Source'!Y419&gt;=2,"C",IF('Data Source'!Y419&gt;=1,"D","F")))))))</f>
        <v/>
      </c>
      <c r="H419" s="3">
        <f>IF('Data Source'!B419="","",IF('Data Source'!Z419&gt;=5,"A+",IF('Data Source'!Z419&gt;=4,"A",IF('Data Source'!Z419&gt;=3.5,"A-",IF('Data Source'!Z419&gt;=3,"B",IF('Data Source'!Z419&gt;=2,"C",IF('Data Source'!Z419&gt;=1,"D","F")))))))</f>
        <v/>
      </c>
      <c r="I419" s="3">
        <f>IF('Data Source'!B419="","",IF('Data Source'!AA419&gt;=5,"A+",IF('Data Source'!AA419&gt;=4,"A",IF('Data Source'!AA419&gt;=3.5,"A-",IF('Data Source'!AA419&gt;=3,"B",IF('Data Source'!AA419&gt;=2,"C",IF('Data Source'!AA419&gt;=1,"D","F")))))))</f>
        <v/>
      </c>
      <c r="J419" s="3">
        <f>IF('Data Source'!B419="","",IF('Data Source'!AB419&gt;=5,"A+",IF('Data Source'!AB419&gt;=4,"A",IF('Data Source'!AB419&gt;=3.5,"A-",IF('Data Source'!AB419&gt;=3,"B",IF('Data Source'!AB419&gt;=2,"C",IF('Data Source'!AB419&gt;=1,"D","F")))))))</f>
        <v/>
      </c>
      <c r="K419" s="3">
        <f>IF('Data Source'!B419="","",IF('Data Source'!AC419&gt;=5,"A+",IF('Data Source'!AC419&gt;=4,"A",IF('Data Source'!AC419&gt;=3.5,"A-",IF('Data Source'!AC419&gt;=3,"B",IF('Data Source'!AC419&gt;=2,"C",IF('Data Source'!AC419&gt;=1,"D","F")))))))</f>
        <v/>
      </c>
      <c r="L419" s="3">
        <f>IF('Data Source'!B419="","",IF('Data Source'!AD419&gt;=5,"A+",IF('Data Source'!AD419&gt;=4,"A",IF('Data Source'!AD419&gt;=3.5,"A-",IF('Data Source'!AD419&gt;=3,"B",IF('Data Source'!AD419&gt;=2,"C",IF('Data Source'!AD419&gt;=1,"D","F")))))))</f>
        <v/>
      </c>
      <c r="M419" s="3">
        <f>IF('Data Source'!B419="","",IF('Data Source'!AE419&gt;=5,"A+",IF('Data Source'!AE419&gt;=4,"A",IF('Data Source'!AE419&gt;=3.5,"A-",IF('Data Source'!AE419&gt;=3,"B",IF('Data Source'!AE419&gt;=2,"C",IF('Data Source'!AE419&gt;=1,"D","F")))))))</f>
        <v/>
      </c>
      <c r="N419" s="3">
        <f>IF('Data Source'!B419="","",IF('Data Source'!AF419&gt;=5,"A+",IF('Data Source'!AF419&gt;=4,"A",IF('Data Source'!AF419&gt;=3.5,"A-",IF('Data Source'!AF419&gt;=3,"B",IF('Data Source'!AF419&gt;=2,"C",IF('Data Source'!AF419&gt;=1,"D","F")))))))</f>
        <v/>
      </c>
      <c r="O419" s="3">
        <f>IF('Data Source'!B419="","",IF('Data Source'!AG419&gt;=5,"A+",IF('Data Source'!AG419&gt;=4,"A",IF('Data Source'!AG419&gt;=3.5,"A-",IF('Data Source'!AG419&gt;=3,"B",IF('Data Source'!AG419&gt;=2,"C",IF('Data Source'!AG419&gt;=1,"D","F")))))))</f>
        <v/>
      </c>
      <c r="P419" s="5">
        <f>IF('Data Source'!B419="","",'Data Source'!R419)</f>
        <v/>
      </c>
      <c r="Q419" s="3">
        <f>IF('Data Source'!B419="","",'Data Source'!S419)</f>
        <v/>
      </c>
    </row>
    <row r="420">
      <c r="A420" s="3">
        <f>IF('Data Source'!B420="","",'Data Source'!A420)</f>
        <v/>
      </c>
      <c r="B420">
        <f>IF('Data Source'!B420="","",'Data Source'!B420)</f>
        <v/>
      </c>
      <c r="C420" s="3">
        <f>IF('Data Source'!B420="","",IF('Data Source'!U420&gt;=5,"A+",IF('Data Source'!U420&gt;=4,"A",IF('Data Source'!U420&gt;=3.5,"A-",IF('Data Source'!U420&gt;=3,"B",IF('Data Source'!U420&gt;=2,"C",IF('Data Source'!U420&gt;=1,"D","F")))))))</f>
        <v/>
      </c>
      <c r="D420" s="3">
        <f>IF('Data Source'!B420="","",IF('Data Source'!V420&gt;=5,"A+",IF('Data Source'!V420&gt;=4,"A",IF('Data Source'!V420&gt;=3.5,"A-",IF('Data Source'!V420&gt;=3,"B",IF('Data Source'!V420&gt;=2,"C",IF('Data Source'!V420&gt;=1,"D","F")))))))</f>
        <v/>
      </c>
      <c r="E420" s="3">
        <f>IF('Data Source'!B420="","",IF('Data Source'!W420&gt;=5,"A+",IF('Data Source'!W420&gt;=4,"A",IF('Data Source'!W420&gt;=3.5,"A-",IF('Data Source'!W420&gt;=3,"B",IF('Data Source'!W420&gt;=2,"C",IF('Data Source'!W420&gt;=1,"D","F")))))))</f>
        <v/>
      </c>
      <c r="F420" s="3">
        <f>IF('Data Source'!B420="","",IF('Data Source'!X420&gt;=5,"A+",IF('Data Source'!X420&gt;=4,"A",IF('Data Source'!X420&gt;=3.5,"A-",IF('Data Source'!X420&gt;=3,"B",IF('Data Source'!X420&gt;=2,"C",IF('Data Source'!X420&gt;=1,"D","F")))))))</f>
        <v/>
      </c>
      <c r="G420" s="3">
        <f>IF('Data Source'!B420="","",IF('Data Source'!Y420&gt;=5,"A+",IF('Data Source'!Y420&gt;=4,"A",IF('Data Source'!Y420&gt;=3.5,"A-",IF('Data Source'!Y420&gt;=3,"B",IF('Data Source'!Y420&gt;=2,"C",IF('Data Source'!Y420&gt;=1,"D","F")))))))</f>
        <v/>
      </c>
      <c r="H420" s="3">
        <f>IF('Data Source'!B420="","",IF('Data Source'!Z420&gt;=5,"A+",IF('Data Source'!Z420&gt;=4,"A",IF('Data Source'!Z420&gt;=3.5,"A-",IF('Data Source'!Z420&gt;=3,"B",IF('Data Source'!Z420&gt;=2,"C",IF('Data Source'!Z420&gt;=1,"D","F")))))))</f>
        <v/>
      </c>
      <c r="I420" s="3">
        <f>IF('Data Source'!B420="","",IF('Data Source'!AA420&gt;=5,"A+",IF('Data Source'!AA420&gt;=4,"A",IF('Data Source'!AA420&gt;=3.5,"A-",IF('Data Source'!AA420&gt;=3,"B",IF('Data Source'!AA420&gt;=2,"C",IF('Data Source'!AA420&gt;=1,"D","F")))))))</f>
        <v/>
      </c>
      <c r="J420" s="3">
        <f>IF('Data Source'!B420="","",IF('Data Source'!AB420&gt;=5,"A+",IF('Data Source'!AB420&gt;=4,"A",IF('Data Source'!AB420&gt;=3.5,"A-",IF('Data Source'!AB420&gt;=3,"B",IF('Data Source'!AB420&gt;=2,"C",IF('Data Source'!AB420&gt;=1,"D","F")))))))</f>
        <v/>
      </c>
      <c r="K420" s="3">
        <f>IF('Data Source'!B420="","",IF('Data Source'!AC420&gt;=5,"A+",IF('Data Source'!AC420&gt;=4,"A",IF('Data Source'!AC420&gt;=3.5,"A-",IF('Data Source'!AC420&gt;=3,"B",IF('Data Source'!AC420&gt;=2,"C",IF('Data Source'!AC420&gt;=1,"D","F")))))))</f>
        <v/>
      </c>
      <c r="L420" s="3">
        <f>IF('Data Source'!B420="","",IF('Data Source'!AD420&gt;=5,"A+",IF('Data Source'!AD420&gt;=4,"A",IF('Data Source'!AD420&gt;=3.5,"A-",IF('Data Source'!AD420&gt;=3,"B",IF('Data Source'!AD420&gt;=2,"C",IF('Data Source'!AD420&gt;=1,"D","F")))))))</f>
        <v/>
      </c>
      <c r="M420" s="3">
        <f>IF('Data Source'!B420="","",IF('Data Source'!AE420&gt;=5,"A+",IF('Data Source'!AE420&gt;=4,"A",IF('Data Source'!AE420&gt;=3.5,"A-",IF('Data Source'!AE420&gt;=3,"B",IF('Data Source'!AE420&gt;=2,"C",IF('Data Source'!AE420&gt;=1,"D","F")))))))</f>
        <v/>
      </c>
      <c r="N420" s="3">
        <f>IF('Data Source'!B420="","",IF('Data Source'!AF420&gt;=5,"A+",IF('Data Source'!AF420&gt;=4,"A",IF('Data Source'!AF420&gt;=3.5,"A-",IF('Data Source'!AF420&gt;=3,"B",IF('Data Source'!AF420&gt;=2,"C",IF('Data Source'!AF420&gt;=1,"D","F")))))))</f>
        <v/>
      </c>
      <c r="O420" s="3">
        <f>IF('Data Source'!B420="","",IF('Data Source'!AG420&gt;=5,"A+",IF('Data Source'!AG420&gt;=4,"A",IF('Data Source'!AG420&gt;=3.5,"A-",IF('Data Source'!AG420&gt;=3,"B",IF('Data Source'!AG420&gt;=2,"C",IF('Data Source'!AG420&gt;=1,"D","F")))))))</f>
        <v/>
      </c>
      <c r="P420" s="5">
        <f>IF('Data Source'!B420="","",'Data Source'!R420)</f>
        <v/>
      </c>
      <c r="Q420" s="3">
        <f>IF('Data Source'!B420="","",'Data Source'!S420)</f>
        <v/>
      </c>
    </row>
    <row r="421">
      <c r="A421" s="3">
        <f>IF('Data Source'!B421="","",'Data Source'!A421)</f>
        <v/>
      </c>
      <c r="B421">
        <f>IF('Data Source'!B421="","",'Data Source'!B421)</f>
        <v/>
      </c>
      <c r="C421" s="3">
        <f>IF('Data Source'!B421="","",IF('Data Source'!U421&gt;=5,"A+",IF('Data Source'!U421&gt;=4,"A",IF('Data Source'!U421&gt;=3.5,"A-",IF('Data Source'!U421&gt;=3,"B",IF('Data Source'!U421&gt;=2,"C",IF('Data Source'!U421&gt;=1,"D","F")))))))</f>
        <v/>
      </c>
      <c r="D421" s="3">
        <f>IF('Data Source'!B421="","",IF('Data Source'!V421&gt;=5,"A+",IF('Data Source'!V421&gt;=4,"A",IF('Data Source'!V421&gt;=3.5,"A-",IF('Data Source'!V421&gt;=3,"B",IF('Data Source'!V421&gt;=2,"C",IF('Data Source'!V421&gt;=1,"D","F")))))))</f>
        <v/>
      </c>
      <c r="E421" s="3">
        <f>IF('Data Source'!B421="","",IF('Data Source'!W421&gt;=5,"A+",IF('Data Source'!W421&gt;=4,"A",IF('Data Source'!W421&gt;=3.5,"A-",IF('Data Source'!W421&gt;=3,"B",IF('Data Source'!W421&gt;=2,"C",IF('Data Source'!W421&gt;=1,"D","F")))))))</f>
        <v/>
      </c>
      <c r="F421" s="3">
        <f>IF('Data Source'!B421="","",IF('Data Source'!X421&gt;=5,"A+",IF('Data Source'!X421&gt;=4,"A",IF('Data Source'!X421&gt;=3.5,"A-",IF('Data Source'!X421&gt;=3,"B",IF('Data Source'!X421&gt;=2,"C",IF('Data Source'!X421&gt;=1,"D","F")))))))</f>
        <v/>
      </c>
      <c r="G421" s="3">
        <f>IF('Data Source'!B421="","",IF('Data Source'!Y421&gt;=5,"A+",IF('Data Source'!Y421&gt;=4,"A",IF('Data Source'!Y421&gt;=3.5,"A-",IF('Data Source'!Y421&gt;=3,"B",IF('Data Source'!Y421&gt;=2,"C",IF('Data Source'!Y421&gt;=1,"D","F")))))))</f>
        <v/>
      </c>
      <c r="H421" s="3">
        <f>IF('Data Source'!B421="","",IF('Data Source'!Z421&gt;=5,"A+",IF('Data Source'!Z421&gt;=4,"A",IF('Data Source'!Z421&gt;=3.5,"A-",IF('Data Source'!Z421&gt;=3,"B",IF('Data Source'!Z421&gt;=2,"C",IF('Data Source'!Z421&gt;=1,"D","F")))))))</f>
        <v/>
      </c>
      <c r="I421" s="3">
        <f>IF('Data Source'!B421="","",IF('Data Source'!AA421&gt;=5,"A+",IF('Data Source'!AA421&gt;=4,"A",IF('Data Source'!AA421&gt;=3.5,"A-",IF('Data Source'!AA421&gt;=3,"B",IF('Data Source'!AA421&gt;=2,"C",IF('Data Source'!AA421&gt;=1,"D","F")))))))</f>
        <v/>
      </c>
      <c r="J421" s="3">
        <f>IF('Data Source'!B421="","",IF('Data Source'!AB421&gt;=5,"A+",IF('Data Source'!AB421&gt;=4,"A",IF('Data Source'!AB421&gt;=3.5,"A-",IF('Data Source'!AB421&gt;=3,"B",IF('Data Source'!AB421&gt;=2,"C",IF('Data Source'!AB421&gt;=1,"D","F")))))))</f>
        <v/>
      </c>
      <c r="K421" s="3">
        <f>IF('Data Source'!B421="","",IF('Data Source'!AC421&gt;=5,"A+",IF('Data Source'!AC421&gt;=4,"A",IF('Data Source'!AC421&gt;=3.5,"A-",IF('Data Source'!AC421&gt;=3,"B",IF('Data Source'!AC421&gt;=2,"C",IF('Data Source'!AC421&gt;=1,"D","F")))))))</f>
        <v/>
      </c>
      <c r="L421" s="3">
        <f>IF('Data Source'!B421="","",IF('Data Source'!AD421&gt;=5,"A+",IF('Data Source'!AD421&gt;=4,"A",IF('Data Source'!AD421&gt;=3.5,"A-",IF('Data Source'!AD421&gt;=3,"B",IF('Data Source'!AD421&gt;=2,"C",IF('Data Source'!AD421&gt;=1,"D","F")))))))</f>
        <v/>
      </c>
      <c r="M421" s="3">
        <f>IF('Data Source'!B421="","",IF('Data Source'!AE421&gt;=5,"A+",IF('Data Source'!AE421&gt;=4,"A",IF('Data Source'!AE421&gt;=3.5,"A-",IF('Data Source'!AE421&gt;=3,"B",IF('Data Source'!AE421&gt;=2,"C",IF('Data Source'!AE421&gt;=1,"D","F")))))))</f>
        <v/>
      </c>
      <c r="N421" s="3">
        <f>IF('Data Source'!B421="","",IF('Data Source'!AF421&gt;=5,"A+",IF('Data Source'!AF421&gt;=4,"A",IF('Data Source'!AF421&gt;=3.5,"A-",IF('Data Source'!AF421&gt;=3,"B",IF('Data Source'!AF421&gt;=2,"C",IF('Data Source'!AF421&gt;=1,"D","F")))))))</f>
        <v/>
      </c>
      <c r="O421" s="3">
        <f>IF('Data Source'!B421="","",IF('Data Source'!AG421&gt;=5,"A+",IF('Data Source'!AG421&gt;=4,"A",IF('Data Source'!AG421&gt;=3.5,"A-",IF('Data Source'!AG421&gt;=3,"B",IF('Data Source'!AG421&gt;=2,"C",IF('Data Source'!AG421&gt;=1,"D","F")))))))</f>
        <v/>
      </c>
      <c r="P421" s="5">
        <f>IF('Data Source'!B421="","",'Data Source'!R421)</f>
        <v/>
      </c>
      <c r="Q421" s="3">
        <f>IF('Data Source'!B421="","",'Data Source'!S421)</f>
        <v/>
      </c>
    </row>
    <row r="422">
      <c r="A422" s="3">
        <f>IF('Data Source'!B422="","",'Data Source'!A422)</f>
        <v/>
      </c>
      <c r="B422">
        <f>IF('Data Source'!B422="","",'Data Source'!B422)</f>
        <v/>
      </c>
      <c r="C422" s="3">
        <f>IF('Data Source'!B422="","",IF('Data Source'!U422&gt;=5,"A+",IF('Data Source'!U422&gt;=4,"A",IF('Data Source'!U422&gt;=3.5,"A-",IF('Data Source'!U422&gt;=3,"B",IF('Data Source'!U422&gt;=2,"C",IF('Data Source'!U422&gt;=1,"D","F")))))))</f>
        <v/>
      </c>
      <c r="D422" s="3">
        <f>IF('Data Source'!B422="","",IF('Data Source'!V422&gt;=5,"A+",IF('Data Source'!V422&gt;=4,"A",IF('Data Source'!V422&gt;=3.5,"A-",IF('Data Source'!V422&gt;=3,"B",IF('Data Source'!V422&gt;=2,"C",IF('Data Source'!V422&gt;=1,"D","F")))))))</f>
        <v/>
      </c>
      <c r="E422" s="3">
        <f>IF('Data Source'!B422="","",IF('Data Source'!W422&gt;=5,"A+",IF('Data Source'!W422&gt;=4,"A",IF('Data Source'!W422&gt;=3.5,"A-",IF('Data Source'!W422&gt;=3,"B",IF('Data Source'!W422&gt;=2,"C",IF('Data Source'!W422&gt;=1,"D","F")))))))</f>
        <v/>
      </c>
      <c r="F422" s="3">
        <f>IF('Data Source'!B422="","",IF('Data Source'!X422&gt;=5,"A+",IF('Data Source'!X422&gt;=4,"A",IF('Data Source'!X422&gt;=3.5,"A-",IF('Data Source'!X422&gt;=3,"B",IF('Data Source'!X422&gt;=2,"C",IF('Data Source'!X422&gt;=1,"D","F")))))))</f>
        <v/>
      </c>
      <c r="G422" s="3">
        <f>IF('Data Source'!B422="","",IF('Data Source'!Y422&gt;=5,"A+",IF('Data Source'!Y422&gt;=4,"A",IF('Data Source'!Y422&gt;=3.5,"A-",IF('Data Source'!Y422&gt;=3,"B",IF('Data Source'!Y422&gt;=2,"C",IF('Data Source'!Y422&gt;=1,"D","F")))))))</f>
        <v/>
      </c>
      <c r="H422" s="3">
        <f>IF('Data Source'!B422="","",IF('Data Source'!Z422&gt;=5,"A+",IF('Data Source'!Z422&gt;=4,"A",IF('Data Source'!Z422&gt;=3.5,"A-",IF('Data Source'!Z422&gt;=3,"B",IF('Data Source'!Z422&gt;=2,"C",IF('Data Source'!Z422&gt;=1,"D","F")))))))</f>
        <v/>
      </c>
      <c r="I422" s="3">
        <f>IF('Data Source'!B422="","",IF('Data Source'!AA422&gt;=5,"A+",IF('Data Source'!AA422&gt;=4,"A",IF('Data Source'!AA422&gt;=3.5,"A-",IF('Data Source'!AA422&gt;=3,"B",IF('Data Source'!AA422&gt;=2,"C",IF('Data Source'!AA422&gt;=1,"D","F")))))))</f>
        <v/>
      </c>
      <c r="J422" s="3">
        <f>IF('Data Source'!B422="","",IF('Data Source'!AB422&gt;=5,"A+",IF('Data Source'!AB422&gt;=4,"A",IF('Data Source'!AB422&gt;=3.5,"A-",IF('Data Source'!AB422&gt;=3,"B",IF('Data Source'!AB422&gt;=2,"C",IF('Data Source'!AB422&gt;=1,"D","F")))))))</f>
        <v/>
      </c>
      <c r="K422" s="3">
        <f>IF('Data Source'!B422="","",IF('Data Source'!AC422&gt;=5,"A+",IF('Data Source'!AC422&gt;=4,"A",IF('Data Source'!AC422&gt;=3.5,"A-",IF('Data Source'!AC422&gt;=3,"B",IF('Data Source'!AC422&gt;=2,"C",IF('Data Source'!AC422&gt;=1,"D","F")))))))</f>
        <v/>
      </c>
      <c r="L422" s="3">
        <f>IF('Data Source'!B422="","",IF('Data Source'!AD422&gt;=5,"A+",IF('Data Source'!AD422&gt;=4,"A",IF('Data Source'!AD422&gt;=3.5,"A-",IF('Data Source'!AD422&gt;=3,"B",IF('Data Source'!AD422&gt;=2,"C",IF('Data Source'!AD422&gt;=1,"D","F")))))))</f>
        <v/>
      </c>
      <c r="M422" s="3">
        <f>IF('Data Source'!B422="","",IF('Data Source'!AE422&gt;=5,"A+",IF('Data Source'!AE422&gt;=4,"A",IF('Data Source'!AE422&gt;=3.5,"A-",IF('Data Source'!AE422&gt;=3,"B",IF('Data Source'!AE422&gt;=2,"C",IF('Data Source'!AE422&gt;=1,"D","F")))))))</f>
        <v/>
      </c>
      <c r="N422" s="3">
        <f>IF('Data Source'!B422="","",IF('Data Source'!AF422&gt;=5,"A+",IF('Data Source'!AF422&gt;=4,"A",IF('Data Source'!AF422&gt;=3.5,"A-",IF('Data Source'!AF422&gt;=3,"B",IF('Data Source'!AF422&gt;=2,"C",IF('Data Source'!AF422&gt;=1,"D","F")))))))</f>
        <v/>
      </c>
      <c r="O422" s="3">
        <f>IF('Data Source'!B422="","",IF('Data Source'!AG422&gt;=5,"A+",IF('Data Source'!AG422&gt;=4,"A",IF('Data Source'!AG422&gt;=3.5,"A-",IF('Data Source'!AG422&gt;=3,"B",IF('Data Source'!AG422&gt;=2,"C",IF('Data Source'!AG422&gt;=1,"D","F")))))))</f>
        <v/>
      </c>
      <c r="P422" s="5">
        <f>IF('Data Source'!B422="","",'Data Source'!R422)</f>
        <v/>
      </c>
      <c r="Q422" s="3">
        <f>IF('Data Source'!B422="","",'Data Source'!S422)</f>
        <v/>
      </c>
    </row>
    <row r="423">
      <c r="A423" s="3">
        <f>IF('Data Source'!B423="","",'Data Source'!A423)</f>
        <v/>
      </c>
      <c r="B423">
        <f>IF('Data Source'!B423="","",'Data Source'!B423)</f>
        <v/>
      </c>
      <c r="C423" s="3">
        <f>IF('Data Source'!B423="","",IF('Data Source'!U423&gt;=5,"A+",IF('Data Source'!U423&gt;=4,"A",IF('Data Source'!U423&gt;=3.5,"A-",IF('Data Source'!U423&gt;=3,"B",IF('Data Source'!U423&gt;=2,"C",IF('Data Source'!U423&gt;=1,"D","F")))))))</f>
        <v/>
      </c>
      <c r="D423" s="3">
        <f>IF('Data Source'!B423="","",IF('Data Source'!V423&gt;=5,"A+",IF('Data Source'!V423&gt;=4,"A",IF('Data Source'!V423&gt;=3.5,"A-",IF('Data Source'!V423&gt;=3,"B",IF('Data Source'!V423&gt;=2,"C",IF('Data Source'!V423&gt;=1,"D","F")))))))</f>
        <v/>
      </c>
      <c r="E423" s="3">
        <f>IF('Data Source'!B423="","",IF('Data Source'!W423&gt;=5,"A+",IF('Data Source'!W423&gt;=4,"A",IF('Data Source'!W423&gt;=3.5,"A-",IF('Data Source'!W423&gt;=3,"B",IF('Data Source'!W423&gt;=2,"C",IF('Data Source'!W423&gt;=1,"D","F")))))))</f>
        <v/>
      </c>
      <c r="F423" s="3">
        <f>IF('Data Source'!B423="","",IF('Data Source'!X423&gt;=5,"A+",IF('Data Source'!X423&gt;=4,"A",IF('Data Source'!X423&gt;=3.5,"A-",IF('Data Source'!X423&gt;=3,"B",IF('Data Source'!X423&gt;=2,"C",IF('Data Source'!X423&gt;=1,"D","F")))))))</f>
        <v/>
      </c>
      <c r="G423" s="3">
        <f>IF('Data Source'!B423="","",IF('Data Source'!Y423&gt;=5,"A+",IF('Data Source'!Y423&gt;=4,"A",IF('Data Source'!Y423&gt;=3.5,"A-",IF('Data Source'!Y423&gt;=3,"B",IF('Data Source'!Y423&gt;=2,"C",IF('Data Source'!Y423&gt;=1,"D","F")))))))</f>
        <v/>
      </c>
      <c r="H423" s="3">
        <f>IF('Data Source'!B423="","",IF('Data Source'!Z423&gt;=5,"A+",IF('Data Source'!Z423&gt;=4,"A",IF('Data Source'!Z423&gt;=3.5,"A-",IF('Data Source'!Z423&gt;=3,"B",IF('Data Source'!Z423&gt;=2,"C",IF('Data Source'!Z423&gt;=1,"D","F")))))))</f>
        <v/>
      </c>
      <c r="I423" s="3">
        <f>IF('Data Source'!B423="","",IF('Data Source'!AA423&gt;=5,"A+",IF('Data Source'!AA423&gt;=4,"A",IF('Data Source'!AA423&gt;=3.5,"A-",IF('Data Source'!AA423&gt;=3,"B",IF('Data Source'!AA423&gt;=2,"C",IF('Data Source'!AA423&gt;=1,"D","F")))))))</f>
        <v/>
      </c>
      <c r="J423" s="3">
        <f>IF('Data Source'!B423="","",IF('Data Source'!AB423&gt;=5,"A+",IF('Data Source'!AB423&gt;=4,"A",IF('Data Source'!AB423&gt;=3.5,"A-",IF('Data Source'!AB423&gt;=3,"B",IF('Data Source'!AB423&gt;=2,"C",IF('Data Source'!AB423&gt;=1,"D","F")))))))</f>
        <v/>
      </c>
      <c r="K423" s="3">
        <f>IF('Data Source'!B423="","",IF('Data Source'!AC423&gt;=5,"A+",IF('Data Source'!AC423&gt;=4,"A",IF('Data Source'!AC423&gt;=3.5,"A-",IF('Data Source'!AC423&gt;=3,"B",IF('Data Source'!AC423&gt;=2,"C",IF('Data Source'!AC423&gt;=1,"D","F")))))))</f>
        <v/>
      </c>
      <c r="L423" s="3">
        <f>IF('Data Source'!B423="","",IF('Data Source'!AD423&gt;=5,"A+",IF('Data Source'!AD423&gt;=4,"A",IF('Data Source'!AD423&gt;=3.5,"A-",IF('Data Source'!AD423&gt;=3,"B",IF('Data Source'!AD423&gt;=2,"C",IF('Data Source'!AD423&gt;=1,"D","F")))))))</f>
        <v/>
      </c>
      <c r="M423" s="3">
        <f>IF('Data Source'!B423="","",IF('Data Source'!AE423&gt;=5,"A+",IF('Data Source'!AE423&gt;=4,"A",IF('Data Source'!AE423&gt;=3.5,"A-",IF('Data Source'!AE423&gt;=3,"B",IF('Data Source'!AE423&gt;=2,"C",IF('Data Source'!AE423&gt;=1,"D","F")))))))</f>
        <v/>
      </c>
      <c r="N423" s="3">
        <f>IF('Data Source'!B423="","",IF('Data Source'!AF423&gt;=5,"A+",IF('Data Source'!AF423&gt;=4,"A",IF('Data Source'!AF423&gt;=3.5,"A-",IF('Data Source'!AF423&gt;=3,"B",IF('Data Source'!AF423&gt;=2,"C",IF('Data Source'!AF423&gt;=1,"D","F")))))))</f>
        <v/>
      </c>
      <c r="O423" s="3">
        <f>IF('Data Source'!B423="","",IF('Data Source'!AG423&gt;=5,"A+",IF('Data Source'!AG423&gt;=4,"A",IF('Data Source'!AG423&gt;=3.5,"A-",IF('Data Source'!AG423&gt;=3,"B",IF('Data Source'!AG423&gt;=2,"C",IF('Data Source'!AG423&gt;=1,"D","F")))))))</f>
        <v/>
      </c>
      <c r="P423" s="5">
        <f>IF('Data Source'!B423="","",'Data Source'!R423)</f>
        <v/>
      </c>
      <c r="Q423" s="3">
        <f>IF('Data Source'!B423="","",'Data Source'!S423)</f>
        <v/>
      </c>
    </row>
    <row r="424">
      <c r="A424" s="3">
        <f>IF('Data Source'!B424="","",'Data Source'!A424)</f>
        <v/>
      </c>
      <c r="B424">
        <f>IF('Data Source'!B424="","",'Data Source'!B424)</f>
        <v/>
      </c>
      <c r="C424" s="3">
        <f>IF('Data Source'!B424="","",IF('Data Source'!U424&gt;=5,"A+",IF('Data Source'!U424&gt;=4,"A",IF('Data Source'!U424&gt;=3.5,"A-",IF('Data Source'!U424&gt;=3,"B",IF('Data Source'!U424&gt;=2,"C",IF('Data Source'!U424&gt;=1,"D","F")))))))</f>
        <v/>
      </c>
      <c r="D424" s="3">
        <f>IF('Data Source'!B424="","",IF('Data Source'!V424&gt;=5,"A+",IF('Data Source'!V424&gt;=4,"A",IF('Data Source'!V424&gt;=3.5,"A-",IF('Data Source'!V424&gt;=3,"B",IF('Data Source'!V424&gt;=2,"C",IF('Data Source'!V424&gt;=1,"D","F")))))))</f>
        <v/>
      </c>
      <c r="E424" s="3">
        <f>IF('Data Source'!B424="","",IF('Data Source'!W424&gt;=5,"A+",IF('Data Source'!W424&gt;=4,"A",IF('Data Source'!W424&gt;=3.5,"A-",IF('Data Source'!W424&gt;=3,"B",IF('Data Source'!W424&gt;=2,"C",IF('Data Source'!W424&gt;=1,"D","F")))))))</f>
        <v/>
      </c>
      <c r="F424" s="3">
        <f>IF('Data Source'!B424="","",IF('Data Source'!X424&gt;=5,"A+",IF('Data Source'!X424&gt;=4,"A",IF('Data Source'!X424&gt;=3.5,"A-",IF('Data Source'!X424&gt;=3,"B",IF('Data Source'!X424&gt;=2,"C",IF('Data Source'!X424&gt;=1,"D","F")))))))</f>
        <v/>
      </c>
      <c r="G424" s="3">
        <f>IF('Data Source'!B424="","",IF('Data Source'!Y424&gt;=5,"A+",IF('Data Source'!Y424&gt;=4,"A",IF('Data Source'!Y424&gt;=3.5,"A-",IF('Data Source'!Y424&gt;=3,"B",IF('Data Source'!Y424&gt;=2,"C",IF('Data Source'!Y424&gt;=1,"D","F")))))))</f>
        <v/>
      </c>
      <c r="H424" s="3">
        <f>IF('Data Source'!B424="","",IF('Data Source'!Z424&gt;=5,"A+",IF('Data Source'!Z424&gt;=4,"A",IF('Data Source'!Z424&gt;=3.5,"A-",IF('Data Source'!Z424&gt;=3,"B",IF('Data Source'!Z424&gt;=2,"C",IF('Data Source'!Z424&gt;=1,"D","F")))))))</f>
        <v/>
      </c>
      <c r="I424" s="3">
        <f>IF('Data Source'!B424="","",IF('Data Source'!AA424&gt;=5,"A+",IF('Data Source'!AA424&gt;=4,"A",IF('Data Source'!AA424&gt;=3.5,"A-",IF('Data Source'!AA424&gt;=3,"B",IF('Data Source'!AA424&gt;=2,"C",IF('Data Source'!AA424&gt;=1,"D","F")))))))</f>
        <v/>
      </c>
      <c r="J424" s="3">
        <f>IF('Data Source'!B424="","",IF('Data Source'!AB424&gt;=5,"A+",IF('Data Source'!AB424&gt;=4,"A",IF('Data Source'!AB424&gt;=3.5,"A-",IF('Data Source'!AB424&gt;=3,"B",IF('Data Source'!AB424&gt;=2,"C",IF('Data Source'!AB424&gt;=1,"D","F")))))))</f>
        <v/>
      </c>
      <c r="K424" s="3">
        <f>IF('Data Source'!B424="","",IF('Data Source'!AC424&gt;=5,"A+",IF('Data Source'!AC424&gt;=4,"A",IF('Data Source'!AC424&gt;=3.5,"A-",IF('Data Source'!AC424&gt;=3,"B",IF('Data Source'!AC424&gt;=2,"C",IF('Data Source'!AC424&gt;=1,"D","F")))))))</f>
        <v/>
      </c>
      <c r="L424" s="3">
        <f>IF('Data Source'!B424="","",IF('Data Source'!AD424&gt;=5,"A+",IF('Data Source'!AD424&gt;=4,"A",IF('Data Source'!AD424&gt;=3.5,"A-",IF('Data Source'!AD424&gt;=3,"B",IF('Data Source'!AD424&gt;=2,"C",IF('Data Source'!AD424&gt;=1,"D","F")))))))</f>
        <v/>
      </c>
      <c r="M424" s="3">
        <f>IF('Data Source'!B424="","",IF('Data Source'!AE424&gt;=5,"A+",IF('Data Source'!AE424&gt;=4,"A",IF('Data Source'!AE424&gt;=3.5,"A-",IF('Data Source'!AE424&gt;=3,"B",IF('Data Source'!AE424&gt;=2,"C",IF('Data Source'!AE424&gt;=1,"D","F")))))))</f>
        <v/>
      </c>
      <c r="N424" s="3">
        <f>IF('Data Source'!B424="","",IF('Data Source'!AF424&gt;=5,"A+",IF('Data Source'!AF424&gt;=4,"A",IF('Data Source'!AF424&gt;=3.5,"A-",IF('Data Source'!AF424&gt;=3,"B",IF('Data Source'!AF424&gt;=2,"C",IF('Data Source'!AF424&gt;=1,"D","F")))))))</f>
        <v/>
      </c>
      <c r="O424" s="3">
        <f>IF('Data Source'!B424="","",IF('Data Source'!AG424&gt;=5,"A+",IF('Data Source'!AG424&gt;=4,"A",IF('Data Source'!AG424&gt;=3.5,"A-",IF('Data Source'!AG424&gt;=3,"B",IF('Data Source'!AG424&gt;=2,"C",IF('Data Source'!AG424&gt;=1,"D","F")))))))</f>
        <v/>
      </c>
      <c r="P424" s="5">
        <f>IF('Data Source'!B424="","",'Data Source'!R424)</f>
        <v/>
      </c>
      <c r="Q424" s="3">
        <f>IF('Data Source'!B424="","",'Data Source'!S424)</f>
        <v/>
      </c>
    </row>
    <row r="425">
      <c r="A425" s="3">
        <f>IF('Data Source'!B425="","",'Data Source'!A425)</f>
        <v/>
      </c>
      <c r="B425">
        <f>IF('Data Source'!B425="","",'Data Source'!B425)</f>
        <v/>
      </c>
      <c r="C425" s="3">
        <f>IF('Data Source'!B425="","",IF('Data Source'!U425&gt;=5,"A+",IF('Data Source'!U425&gt;=4,"A",IF('Data Source'!U425&gt;=3.5,"A-",IF('Data Source'!U425&gt;=3,"B",IF('Data Source'!U425&gt;=2,"C",IF('Data Source'!U425&gt;=1,"D","F")))))))</f>
        <v/>
      </c>
      <c r="D425" s="3">
        <f>IF('Data Source'!B425="","",IF('Data Source'!V425&gt;=5,"A+",IF('Data Source'!V425&gt;=4,"A",IF('Data Source'!V425&gt;=3.5,"A-",IF('Data Source'!V425&gt;=3,"B",IF('Data Source'!V425&gt;=2,"C",IF('Data Source'!V425&gt;=1,"D","F")))))))</f>
        <v/>
      </c>
      <c r="E425" s="3">
        <f>IF('Data Source'!B425="","",IF('Data Source'!W425&gt;=5,"A+",IF('Data Source'!W425&gt;=4,"A",IF('Data Source'!W425&gt;=3.5,"A-",IF('Data Source'!W425&gt;=3,"B",IF('Data Source'!W425&gt;=2,"C",IF('Data Source'!W425&gt;=1,"D","F")))))))</f>
        <v/>
      </c>
      <c r="F425" s="3">
        <f>IF('Data Source'!B425="","",IF('Data Source'!X425&gt;=5,"A+",IF('Data Source'!X425&gt;=4,"A",IF('Data Source'!X425&gt;=3.5,"A-",IF('Data Source'!X425&gt;=3,"B",IF('Data Source'!X425&gt;=2,"C",IF('Data Source'!X425&gt;=1,"D","F")))))))</f>
        <v/>
      </c>
      <c r="G425" s="3">
        <f>IF('Data Source'!B425="","",IF('Data Source'!Y425&gt;=5,"A+",IF('Data Source'!Y425&gt;=4,"A",IF('Data Source'!Y425&gt;=3.5,"A-",IF('Data Source'!Y425&gt;=3,"B",IF('Data Source'!Y425&gt;=2,"C",IF('Data Source'!Y425&gt;=1,"D","F")))))))</f>
        <v/>
      </c>
      <c r="H425" s="3">
        <f>IF('Data Source'!B425="","",IF('Data Source'!Z425&gt;=5,"A+",IF('Data Source'!Z425&gt;=4,"A",IF('Data Source'!Z425&gt;=3.5,"A-",IF('Data Source'!Z425&gt;=3,"B",IF('Data Source'!Z425&gt;=2,"C",IF('Data Source'!Z425&gt;=1,"D","F")))))))</f>
        <v/>
      </c>
      <c r="I425" s="3">
        <f>IF('Data Source'!B425="","",IF('Data Source'!AA425&gt;=5,"A+",IF('Data Source'!AA425&gt;=4,"A",IF('Data Source'!AA425&gt;=3.5,"A-",IF('Data Source'!AA425&gt;=3,"B",IF('Data Source'!AA425&gt;=2,"C",IF('Data Source'!AA425&gt;=1,"D","F")))))))</f>
        <v/>
      </c>
      <c r="J425" s="3">
        <f>IF('Data Source'!B425="","",IF('Data Source'!AB425&gt;=5,"A+",IF('Data Source'!AB425&gt;=4,"A",IF('Data Source'!AB425&gt;=3.5,"A-",IF('Data Source'!AB425&gt;=3,"B",IF('Data Source'!AB425&gt;=2,"C",IF('Data Source'!AB425&gt;=1,"D","F")))))))</f>
        <v/>
      </c>
      <c r="K425" s="3">
        <f>IF('Data Source'!B425="","",IF('Data Source'!AC425&gt;=5,"A+",IF('Data Source'!AC425&gt;=4,"A",IF('Data Source'!AC425&gt;=3.5,"A-",IF('Data Source'!AC425&gt;=3,"B",IF('Data Source'!AC425&gt;=2,"C",IF('Data Source'!AC425&gt;=1,"D","F")))))))</f>
        <v/>
      </c>
      <c r="L425" s="3">
        <f>IF('Data Source'!B425="","",IF('Data Source'!AD425&gt;=5,"A+",IF('Data Source'!AD425&gt;=4,"A",IF('Data Source'!AD425&gt;=3.5,"A-",IF('Data Source'!AD425&gt;=3,"B",IF('Data Source'!AD425&gt;=2,"C",IF('Data Source'!AD425&gt;=1,"D","F")))))))</f>
        <v/>
      </c>
      <c r="M425" s="3">
        <f>IF('Data Source'!B425="","",IF('Data Source'!AE425&gt;=5,"A+",IF('Data Source'!AE425&gt;=4,"A",IF('Data Source'!AE425&gt;=3.5,"A-",IF('Data Source'!AE425&gt;=3,"B",IF('Data Source'!AE425&gt;=2,"C",IF('Data Source'!AE425&gt;=1,"D","F")))))))</f>
        <v/>
      </c>
      <c r="N425" s="3">
        <f>IF('Data Source'!B425="","",IF('Data Source'!AF425&gt;=5,"A+",IF('Data Source'!AF425&gt;=4,"A",IF('Data Source'!AF425&gt;=3.5,"A-",IF('Data Source'!AF425&gt;=3,"B",IF('Data Source'!AF425&gt;=2,"C",IF('Data Source'!AF425&gt;=1,"D","F")))))))</f>
        <v/>
      </c>
      <c r="O425" s="3">
        <f>IF('Data Source'!B425="","",IF('Data Source'!AG425&gt;=5,"A+",IF('Data Source'!AG425&gt;=4,"A",IF('Data Source'!AG425&gt;=3.5,"A-",IF('Data Source'!AG425&gt;=3,"B",IF('Data Source'!AG425&gt;=2,"C",IF('Data Source'!AG425&gt;=1,"D","F")))))))</f>
        <v/>
      </c>
      <c r="P425" s="5">
        <f>IF('Data Source'!B425="","",'Data Source'!R425)</f>
        <v/>
      </c>
      <c r="Q425" s="3">
        <f>IF('Data Source'!B425="","",'Data Source'!S425)</f>
        <v/>
      </c>
    </row>
    <row r="426">
      <c r="A426" s="3">
        <f>IF('Data Source'!B426="","",'Data Source'!A426)</f>
        <v/>
      </c>
      <c r="B426">
        <f>IF('Data Source'!B426="","",'Data Source'!B426)</f>
        <v/>
      </c>
      <c r="C426" s="3">
        <f>IF('Data Source'!B426="","",IF('Data Source'!U426&gt;=5,"A+",IF('Data Source'!U426&gt;=4,"A",IF('Data Source'!U426&gt;=3.5,"A-",IF('Data Source'!U426&gt;=3,"B",IF('Data Source'!U426&gt;=2,"C",IF('Data Source'!U426&gt;=1,"D","F")))))))</f>
        <v/>
      </c>
      <c r="D426" s="3">
        <f>IF('Data Source'!B426="","",IF('Data Source'!V426&gt;=5,"A+",IF('Data Source'!V426&gt;=4,"A",IF('Data Source'!V426&gt;=3.5,"A-",IF('Data Source'!V426&gt;=3,"B",IF('Data Source'!V426&gt;=2,"C",IF('Data Source'!V426&gt;=1,"D","F")))))))</f>
        <v/>
      </c>
      <c r="E426" s="3">
        <f>IF('Data Source'!B426="","",IF('Data Source'!W426&gt;=5,"A+",IF('Data Source'!W426&gt;=4,"A",IF('Data Source'!W426&gt;=3.5,"A-",IF('Data Source'!W426&gt;=3,"B",IF('Data Source'!W426&gt;=2,"C",IF('Data Source'!W426&gt;=1,"D","F")))))))</f>
        <v/>
      </c>
      <c r="F426" s="3">
        <f>IF('Data Source'!B426="","",IF('Data Source'!X426&gt;=5,"A+",IF('Data Source'!X426&gt;=4,"A",IF('Data Source'!X426&gt;=3.5,"A-",IF('Data Source'!X426&gt;=3,"B",IF('Data Source'!X426&gt;=2,"C",IF('Data Source'!X426&gt;=1,"D","F")))))))</f>
        <v/>
      </c>
      <c r="G426" s="3">
        <f>IF('Data Source'!B426="","",IF('Data Source'!Y426&gt;=5,"A+",IF('Data Source'!Y426&gt;=4,"A",IF('Data Source'!Y426&gt;=3.5,"A-",IF('Data Source'!Y426&gt;=3,"B",IF('Data Source'!Y426&gt;=2,"C",IF('Data Source'!Y426&gt;=1,"D","F")))))))</f>
        <v/>
      </c>
      <c r="H426" s="3">
        <f>IF('Data Source'!B426="","",IF('Data Source'!Z426&gt;=5,"A+",IF('Data Source'!Z426&gt;=4,"A",IF('Data Source'!Z426&gt;=3.5,"A-",IF('Data Source'!Z426&gt;=3,"B",IF('Data Source'!Z426&gt;=2,"C",IF('Data Source'!Z426&gt;=1,"D","F")))))))</f>
        <v/>
      </c>
      <c r="I426" s="3">
        <f>IF('Data Source'!B426="","",IF('Data Source'!AA426&gt;=5,"A+",IF('Data Source'!AA426&gt;=4,"A",IF('Data Source'!AA426&gt;=3.5,"A-",IF('Data Source'!AA426&gt;=3,"B",IF('Data Source'!AA426&gt;=2,"C",IF('Data Source'!AA426&gt;=1,"D","F")))))))</f>
        <v/>
      </c>
      <c r="J426" s="3">
        <f>IF('Data Source'!B426="","",IF('Data Source'!AB426&gt;=5,"A+",IF('Data Source'!AB426&gt;=4,"A",IF('Data Source'!AB426&gt;=3.5,"A-",IF('Data Source'!AB426&gt;=3,"B",IF('Data Source'!AB426&gt;=2,"C",IF('Data Source'!AB426&gt;=1,"D","F")))))))</f>
        <v/>
      </c>
      <c r="K426" s="3">
        <f>IF('Data Source'!B426="","",IF('Data Source'!AC426&gt;=5,"A+",IF('Data Source'!AC426&gt;=4,"A",IF('Data Source'!AC426&gt;=3.5,"A-",IF('Data Source'!AC426&gt;=3,"B",IF('Data Source'!AC426&gt;=2,"C",IF('Data Source'!AC426&gt;=1,"D","F")))))))</f>
        <v/>
      </c>
      <c r="L426" s="3">
        <f>IF('Data Source'!B426="","",IF('Data Source'!AD426&gt;=5,"A+",IF('Data Source'!AD426&gt;=4,"A",IF('Data Source'!AD426&gt;=3.5,"A-",IF('Data Source'!AD426&gt;=3,"B",IF('Data Source'!AD426&gt;=2,"C",IF('Data Source'!AD426&gt;=1,"D","F")))))))</f>
        <v/>
      </c>
      <c r="M426" s="3">
        <f>IF('Data Source'!B426="","",IF('Data Source'!AE426&gt;=5,"A+",IF('Data Source'!AE426&gt;=4,"A",IF('Data Source'!AE426&gt;=3.5,"A-",IF('Data Source'!AE426&gt;=3,"B",IF('Data Source'!AE426&gt;=2,"C",IF('Data Source'!AE426&gt;=1,"D","F")))))))</f>
        <v/>
      </c>
      <c r="N426" s="3">
        <f>IF('Data Source'!B426="","",IF('Data Source'!AF426&gt;=5,"A+",IF('Data Source'!AF426&gt;=4,"A",IF('Data Source'!AF426&gt;=3.5,"A-",IF('Data Source'!AF426&gt;=3,"B",IF('Data Source'!AF426&gt;=2,"C",IF('Data Source'!AF426&gt;=1,"D","F")))))))</f>
        <v/>
      </c>
      <c r="O426" s="3">
        <f>IF('Data Source'!B426="","",IF('Data Source'!AG426&gt;=5,"A+",IF('Data Source'!AG426&gt;=4,"A",IF('Data Source'!AG426&gt;=3.5,"A-",IF('Data Source'!AG426&gt;=3,"B",IF('Data Source'!AG426&gt;=2,"C",IF('Data Source'!AG426&gt;=1,"D","F")))))))</f>
        <v/>
      </c>
      <c r="P426" s="5">
        <f>IF('Data Source'!B426="","",'Data Source'!R426)</f>
        <v/>
      </c>
      <c r="Q426" s="3">
        <f>IF('Data Source'!B426="","",'Data Source'!S426)</f>
        <v/>
      </c>
    </row>
    <row r="427">
      <c r="A427" s="3">
        <f>IF('Data Source'!B427="","",'Data Source'!A427)</f>
        <v/>
      </c>
      <c r="B427">
        <f>IF('Data Source'!B427="","",'Data Source'!B427)</f>
        <v/>
      </c>
      <c r="C427" s="3">
        <f>IF('Data Source'!B427="","",IF('Data Source'!U427&gt;=5,"A+",IF('Data Source'!U427&gt;=4,"A",IF('Data Source'!U427&gt;=3.5,"A-",IF('Data Source'!U427&gt;=3,"B",IF('Data Source'!U427&gt;=2,"C",IF('Data Source'!U427&gt;=1,"D","F")))))))</f>
        <v/>
      </c>
      <c r="D427" s="3">
        <f>IF('Data Source'!B427="","",IF('Data Source'!V427&gt;=5,"A+",IF('Data Source'!V427&gt;=4,"A",IF('Data Source'!V427&gt;=3.5,"A-",IF('Data Source'!V427&gt;=3,"B",IF('Data Source'!V427&gt;=2,"C",IF('Data Source'!V427&gt;=1,"D","F")))))))</f>
        <v/>
      </c>
      <c r="E427" s="3">
        <f>IF('Data Source'!B427="","",IF('Data Source'!W427&gt;=5,"A+",IF('Data Source'!W427&gt;=4,"A",IF('Data Source'!W427&gt;=3.5,"A-",IF('Data Source'!W427&gt;=3,"B",IF('Data Source'!W427&gt;=2,"C",IF('Data Source'!W427&gt;=1,"D","F")))))))</f>
        <v/>
      </c>
      <c r="F427" s="3">
        <f>IF('Data Source'!B427="","",IF('Data Source'!X427&gt;=5,"A+",IF('Data Source'!X427&gt;=4,"A",IF('Data Source'!X427&gt;=3.5,"A-",IF('Data Source'!X427&gt;=3,"B",IF('Data Source'!X427&gt;=2,"C",IF('Data Source'!X427&gt;=1,"D","F")))))))</f>
        <v/>
      </c>
      <c r="G427" s="3">
        <f>IF('Data Source'!B427="","",IF('Data Source'!Y427&gt;=5,"A+",IF('Data Source'!Y427&gt;=4,"A",IF('Data Source'!Y427&gt;=3.5,"A-",IF('Data Source'!Y427&gt;=3,"B",IF('Data Source'!Y427&gt;=2,"C",IF('Data Source'!Y427&gt;=1,"D","F")))))))</f>
        <v/>
      </c>
      <c r="H427" s="3">
        <f>IF('Data Source'!B427="","",IF('Data Source'!Z427&gt;=5,"A+",IF('Data Source'!Z427&gt;=4,"A",IF('Data Source'!Z427&gt;=3.5,"A-",IF('Data Source'!Z427&gt;=3,"B",IF('Data Source'!Z427&gt;=2,"C",IF('Data Source'!Z427&gt;=1,"D","F")))))))</f>
        <v/>
      </c>
      <c r="I427" s="3">
        <f>IF('Data Source'!B427="","",IF('Data Source'!AA427&gt;=5,"A+",IF('Data Source'!AA427&gt;=4,"A",IF('Data Source'!AA427&gt;=3.5,"A-",IF('Data Source'!AA427&gt;=3,"B",IF('Data Source'!AA427&gt;=2,"C",IF('Data Source'!AA427&gt;=1,"D","F")))))))</f>
        <v/>
      </c>
      <c r="J427" s="3">
        <f>IF('Data Source'!B427="","",IF('Data Source'!AB427&gt;=5,"A+",IF('Data Source'!AB427&gt;=4,"A",IF('Data Source'!AB427&gt;=3.5,"A-",IF('Data Source'!AB427&gt;=3,"B",IF('Data Source'!AB427&gt;=2,"C",IF('Data Source'!AB427&gt;=1,"D","F")))))))</f>
        <v/>
      </c>
      <c r="K427" s="3">
        <f>IF('Data Source'!B427="","",IF('Data Source'!AC427&gt;=5,"A+",IF('Data Source'!AC427&gt;=4,"A",IF('Data Source'!AC427&gt;=3.5,"A-",IF('Data Source'!AC427&gt;=3,"B",IF('Data Source'!AC427&gt;=2,"C",IF('Data Source'!AC427&gt;=1,"D","F")))))))</f>
        <v/>
      </c>
      <c r="L427" s="3">
        <f>IF('Data Source'!B427="","",IF('Data Source'!AD427&gt;=5,"A+",IF('Data Source'!AD427&gt;=4,"A",IF('Data Source'!AD427&gt;=3.5,"A-",IF('Data Source'!AD427&gt;=3,"B",IF('Data Source'!AD427&gt;=2,"C",IF('Data Source'!AD427&gt;=1,"D","F")))))))</f>
        <v/>
      </c>
      <c r="M427" s="3">
        <f>IF('Data Source'!B427="","",IF('Data Source'!AE427&gt;=5,"A+",IF('Data Source'!AE427&gt;=4,"A",IF('Data Source'!AE427&gt;=3.5,"A-",IF('Data Source'!AE427&gt;=3,"B",IF('Data Source'!AE427&gt;=2,"C",IF('Data Source'!AE427&gt;=1,"D","F")))))))</f>
        <v/>
      </c>
      <c r="N427" s="3">
        <f>IF('Data Source'!B427="","",IF('Data Source'!AF427&gt;=5,"A+",IF('Data Source'!AF427&gt;=4,"A",IF('Data Source'!AF427&gt;=3.5,"A-",IF('Data Source'!AF427&gt;=3,"B",IF('Data Source'!AF427&gt;=2,"C",IF('Data Source'!AF427&gt;=1,"D","F")))))))</f>
        <v/>
      </c>
      <c r="O427" s="3">
        <f>IF('Data Source'!B427="","",IF('Data Source'!AG427&gt;=5,"A+",IF('Data Source'!AG427&gt;=4,"A",IF('Data Source'!AG427&gt;=3.5,"A-",IF('Data Source'!AG427&gt;=3,"B",IF('Data Source'!AG427&gt;=2,"C",IF('Data Source'!AG427&gt;=1,"D","F")))))))</f>
        <v/>
      </c>
      <c r="P427" s="5">
        <f>IF('Data Source'!B427="","",'Data Source'!R427)</f>
        <v/>
      </c>
      <c r="Q427" s="3">
        <f>IF('Data Source'!B427="","",'Data Source'!S427)</f>
        <v/>
      </c>
    </row>
    <row r="428">
      <c r="A428" s="3">
        <f>IF('Data Source'!B428="","",'Data Source'!A428)</f>
        <v/>
      </c>
      <c r="B428">
        <f>IF('Data Source'!B428="","",'Data Source'!B428)</f>
        <v/>
      </c>
      <c r="C428" s="3">
        <f>IF('Data Source'!B428="","",IF('Data Source'!U428&gt;=5,"A+",IF('Data Source'!U428&gt;=4,"A",IF('Data Source'!U428&gt;=3.5,"A-",IF('Data Source'!U428&gt;=3,"B",IF('Data Source'!U428&gt;=2,"C",IF('Data Source'!U428&gt;=1,"D","F")))))))</f>
        <v/>
      </c>
      <c r="D428" s="3">
        <f>IF('Data Source'!B428="","",IF('Data Source'!V428&gt;=5,"A+",IF('Data Source'!V428&gt;=4,"A",IF('Data Source'!V428&gt;=3.5,"A-",IF('Data Source'!V428&gt;=3,"B",IF('Data Source'!V428&gt;=2,"C",IF('Data Source'!V428&gt;=1,"D","F")))))))</f>
        <v/>
      </c>
      <c r="E428" s="3">
        <f>IF('Data Source'!B428="","",IF('Data Source'!W428&gt;=5,"A+",IF('Data Source'!W428&gt;=4,"A",IF('Data Source'!W428&gt;=3.5,"A-",IF('Data Source'!W428&gt;=3,"B",IF('Data Source'!W428&gt;=2,"C",IF('Data Source'!W428&gt;=1,"D","F")))))))</f>
        <v/>
      </c>
      <c r="F428" s="3">
        <f>IF('Data Source'!B428="","",IF('Data Source'!X428&gt;=5,"A+",IF('Data Source'!X428&gt;=4,"A",IF('Data Source'!X428&gt;=3.5,"A-",IF('Data Source'!X428&gt;=3,"B",IF('Data Source'!X428&gt;=2,"C",IF('Data Source'!X428&gt;=1,"D","F")))))))</f>
        <v/>
      </c>
      <c r="G428" s="3">
        <f>IF('Data Source'!B428="","",IF('Data Source'!Y428&gt;=5,"A+",IF('Data Source'!Y428&gt;=4,"A",IF('Data Source'!Y428&gt;=3.5,"A-",IF('Data Source'!Y428&gt;=3,"B",IF('Data Source'!Y428&gt;=2,"C",IF('Data Source'!Y428&gt;=1,"D","F")))))))</f>
        <v/>
      </c>
      <c r="H428" s="3">
        <f>IF('Data Source'!B428="","",IF('Data Source'!Z428&gt;=5,"A+",IF('Data Source'!Z428&gt;=4,"A",IF('Data Source'!Z428&gt;=3.5,"A-",IF('Data Source'!Z428&gt;=3,"B",IF('Data Source'!Z428&gt;=2,"C",IF('Data Source'!Z428&gt;=1,"D","F")))))))</f>
        <v/>
      </c>
      <c r="I428" s="3">
        <f>IF('Data Source'!B428="","",IF('Data Source'!AA428&gt;=5,"A+",IF('Data Source'!AA428&gt;=4,"A",IF('Data Source'!AA428&gt;=3.5,"A-",IF('Data Source'!AA428&gt;=3,"B",IF('Data Source'!AA428&gt;=2,"C",IF('Data Source'!AA428&gt;=1,"D","F")))))))</f>
        <v/>
      </c>
      <c r="J428" s="3">
        <f>IF('Data Source'!B428="","",IF('Data Source'!AB428&gt;=5,"A+",IF('Data Source'!AB428&gt;=4,"A",IF('Data Source'!AB428&gt;=3.5,"A-",IF('Data Source'!AB428&gt;=3,"B",IF('Data Source'!AB428&gt;=2,"C",IF('Data Source'!AB428&gt;=1,"D","F")))))))</f>
        <v/>
      </c>
      <c r="K428" s="3">
        <f>IF('Data Source'!B428="","",IF('Data Source'!AC428&gt;=5,"A+",IF('Data Source'!AC428&gt;=4,"A",IF('Data Source'!AC428&gt;=3.5,"A-",IF('Data Source'!AC428&gt;=3,"B",IF('Data Source'!AC428&gt;=2,"C",IF('Data Source'!AC428&gt;=1,"D","F")))))))</f>
        <v/>
      </c>
      <c r="L428" s="3">
        <f>IF('Data Source'!B428="","",IF('Data Source'!AD428&gt;=5,"A+",IF('Data Source'!AD428&gt;=4,"A",IF('Data Source'!AD428&gt;=3.5,"A-",IF('Data Source'!AD428&gt;=3,"B",IF('Data Source'!AD428&gt;=2,"C",IF('Data Source'!AD428&gt;=1,"D","F")))))))</f>
        <v/>
      </c>
      <c r="M428" s="3">
        <f>IF('Data Source'!B428="","",IF('Data Source'!AE428&gt;=5,"A+",IF('Data Source'!AE428&gt;=4,"A",IF('Data Source'!AE428&gt;=3.5,"A-",IF('Data Source'!AE428&gt;=3,"B",IF('Data Source'!AE428&gt;=2,"C",IF('Data Source'!AE428&gt;=1,"D","F")))))))</f>
        <v/>
      </c>
      <c r="N428" s="3">
        <f>IF('Data Source'!B428="","",IF('Data Source'!AF428&gt;=5,"A+",IF('Data Source'!AF428&gt;=4,"A",IF('Data Source'!AF428&gt;=3.5,"A-",IF('Data Source'!AF428&gt;=3,"B",IF('Data Source'!AF428&gt;=2,"C",IF('Data Source'!AF428&gt;=1,"D","F")))))))</f>
        <v/>
      </c>
      <c r="O428" s="3">
        <f>IF('Data Source'!B428="","",IF('Data Source'!AG428&gt;=5,"A+",IF('Data Source'!AG428&gt;=4,"A",IF('Data Source'!AG428&gt;=3.5,"A-",IF('Data Source'!AG428&gt;=3,"B",IF('Data Source'!AG428&gt;=2,"C",IF('Data Source'!AG428&gt;=1,"D","F")))))))</f>
        <v/>
      </c>
      <c r="P428" s="5">
        <f>IF('Data Source'!B428="","",'Data Source'!R428)</f>
        <v/>
      </c>
      <c r="Q428" s="3">
        <f>IF('Data Source'!B428="","",'Data Source'!S428)</f>
        <v/>
      </c>
    </row>
    <row r="429">
      <c r="A429" s="3">
        <f>IF('Data Source'!B429="","",'Data Source'!A429)</f>
        <v/>
      </c>
      <c r="B429">
        <f>IF('Data Source'!B429="","",'Data Source'!B429)</f>
        <v/>
      </c>
      <c r="C429" s="3">
        <f>IF('Data Source'!B429="","",IF('Data Source'!U429&gt;=5,"A+",IF('Data Source'!U429&gt;=4,"A",IF('Data Source'!U429&gt;=3.5,"A-",IF('Data Source'!U429&gt;=3,"B",IF('Data Source'!U429&gt;=2,"C",IF('Data Source'!U429&gt;=1,"D","F")))))))</f>
        <v/>
      </c>
      <c r="D429" s="3">
        <f>IF('Data Source'!B429="","",IF('Data Source'!V429&gt;=5,"A+",IF('Data Source'!V429&gt;=4,"A",IF('Data Source'!V429&gt;=3.5,"A-",IF('Data Source'!V429&gt;=3,"B",IF('Data Source'!V429&gt;=2,"C",IF('Data Source'!V429&gt;=1,"D","F")))))))</f>
        <v/>
      </c>
      <c r="E429" s="3">
        <f>IF('Data Source'!B429="","",IF('Data Source'!W429&gt;=5,"A+",IF('Data Source'!W429&gt;=4,"A",IF('Data Source'!W429&gt;=3.5,"A-",IF('Data Source'!W429&gt;=3,"B",IF('Data Source'!W429&gt;=2,"C",IF('Data Source'!W429&gt;=1,"D","F")))))))</f>
        <v/>
      </c>
      <c r="F429" s="3">
        <f>IF('Data Source'!B429="","",IF('Data Source'!X429&gt;=5,"A+",IF('Data Source'!X429&gt;=4,"A",IF('Data Source'!X429&gt;=3.5,"A-",IF('Data Source'!X429&gt;=3,"B",IF('Data Source'!X429&gt;=2,"C",IF('Data Source'!X429&gt;=1,"D","F")))))))</f>
        <v/>
      </c>
      <c r="G429" s="3">
        <f>IF('Data Source'!B429="","",IF('Data Source'!Y429&gt;=5,"A+",IF('Data Source'!Y429&gt;=4,"A",IF('Data Source'!Y429&gt;=3.5,"A-",IF('Data Source'!Y429&gt;=3,"B",IF('Data Source'!Y429&gt;=2,"C",IF('Data Source'!Y429&gt;=1,"D","F")))))))</f>
        <v/>
      </c>
      <c r="H429" s="3">
        <f>IF('Data Source'!B429="","",IF('Data Source'!Z429&gt;=5,"A+",IF('Data Source'!Z429&gt;=4,"A",IF('Data Source'!Z429&gt;=3.5,"A-",IF('Data Source'!Z429&gt;=3,"B",IF('Data Source'!Z429&gt;=2,"C",IF('Data Source'!Z429&gt;=1,"D","F")))))))</f>
        <v/>
      </c>
      <c r="I429" s="3">
        <f>IF('Data Source'!B429="","",IF('Data Source'!AA429&gt;=5,"A+",IF('Data Source'!AA429&gt;=4,"A",IF('Data Source'!AA429&gt;=3.5,"A-",IF('Data Source'!AA429&gt;=3,"B",IF('Data Source'!AA429&gt;=2,"C",IF('Data Source'!AA429&gt;=1,"D","F")))))))</f>
        <v/>
      </c>
      <c r="J429" s="3">
        <f>IF('Data Source'!B429="","",IF('Data Source'!AB429&gt;=5,"A+",IF('Data Source'!AB429&gt;=4,"A",IF('Data Source'!AB429&gt;=3.5,"A-",IF('Data Source'!AB429&gt;=3,"B",IF('Data Source'!AB429&gt;=2,"C",IF('Data Source'!AB429&gt;=1,"D","F")))))))</f>
        <v/>
      </c>
      <c r="K429" s="3">
        <f>IF('Data Source'!B429="","",IF('Data Source'!AC429&gt;=5,"A+",IF('Data Source'!AC429&gt;=4,"A",IF('Data Source'!AC429&gt;=3.5,"A-",IF('Data Source'!AC429&gt;=3,"B",IF('Data Source'!AC429&gt;=2,"C",IF('Data Source'!AC429&gt;=1,"D","F")))))))</f>
        <v/>
      </c>
      <c r="L429" s="3">
        <f>IF('Data Source'!B429="","",IF('Data Source'!AD429&gt;=5,"A+",IF('Data Source'!AD429&gt;=4,"A",IF('Data Source'!AD429&gt;=3.5,"A-",IF('Data Source'!AD429&gt;=3,"B",IF('Data Source'!AD429&gt;=2,"C",IF('Data Source'!AD429&gt;=1,"D","F")))))))</f>
        <v/>
      </c>
      <c r="M429" s="3">
        <f>IF('Data Source'!B429="","",IF('Data Source'!AE429&gt;=5,"A+",IF('Data Source'!AE429&gt;=4,"A",IF('Data Source'!AE429&gt;=3.5,"A-",IF('Data Source'!AE429&gt;=3,"B",IF('Data Source'!AE429&gt;=2,"C",IF('Data Source'!AE429&gt;=1,"D","F")))))))</f>
        <v/>
      </c>
      <c r="N429" s="3">
        <f>IF('Data Source'!B429="","",IF('Data Source'!AF429&gt;=5,"A+",IF('Data Source'!AF429&gt;=4,"A",IF('Data Source'!AF429&gt;=3.5,"A-",IF('Data Source'!AF429&gt;=3,"B",IF('Data Source'!AF429&gt;=2,"C",IF('Data Source'!AF429&gt;=1,"D","F")))))))</f>
        <v/>
      </c>
      <c r="O429" s="3">
        <f>IF('Data Source'!B429="","",IF('Data Source'!AG429&gt;=5,"A+",IF('Data Source'!AG429&gt;=4,"A",IF('Data Source'!AG429&gt;=3.5,"A-",IF('Data Source'!AG429&gt;=3,"B",IF('Data Source'!AG429&gt;=2,"C",IF('Data Source'!AG429&gt;=1,"D","F")))))))</f>
        <v/>
      </c>
      <c r="P429" s="5">
        <f>IF('Data Source'!B429="","",'Data Source'!R429)</f>
        <v/>
      </c>
      <c r="Q429" s="3">
        <f>IF('Data Source'!B429="","",'Data Source'!S429)</f>
        <v/>
      </c>
    </row>
    <row r="430">
      <c r="A430" s="3">
        <f>IF('Data Source'!B430="","",'Data Source'!A430)</f>
        <v/>
      </c>
      <c r="B430">
        <f>IF('Data Source'!B430="","",'Data Source'!B430)</f>
        <v/>
      </c>
      <c r="C430" s="3">
        <f>IF('Data Source'!B430="","",IF('Data Source'!U430&gt;=5,"A+",IF('Data Source'!U430&gt;=4,"A",IF('Data Source'!U430&gt;=3.5,"A-",IF('Data Source'!U430&gt;=3,"B",IF('Data Source'!U430&gt;=2,"C",IF('Data Source'!U430&gt;=1,"D","F")))))))</f>
        <v/>
      </c>
      <c r="D430" s="3">
        <f>IF('Data Source'!B430="","",IF('Data Source'!V430&gt;=5,"A+",IF('Data Source'!V430&gt;=4,"A",IF('Data Source'!V430&gt;=3.5,"A-",IF('Data Source'!V430&gt;=3,"B",IF('Data Source'!V430&gt;=2,"C",IF('Data Source'!V430&gt;=1,"D","F")))))))</f>
        <v/>
      </c>
      <c r="E430" s="3">
        <f>IF('Data Source'!B430="","",IF('Data Source'!W430&gt;=5,"A+",IF('Data Source'!W430&gt;=4,"A",IF('Data Source'!W430&gt;=3.5,"A-",IF('Data Source'!W430&gt;=3,"B",IF('Data Source'!W430&gt;=2,"C",IF('Data Source'!W430&gt;=1,"D","F")))))))</f>
        <v/>
      </c>
      <c r="F430" s="3">
        <f>IF('Data Source'!B430="","",IF('Data Source'!X430&gt;=5,"A+",IF('Data Source'!X430&gt;=4,"A",IF('Data Source'!X430&gt;=3.5,"A-",IF('Data Source'!X430&gt;=3,"B",IF('Data Source'!X430&gt;=2,"C",IF('Data Source'!X430&gt;=1,"D","F")))))))</f>
        <v/>
      </c>
      <c r="G430" s="3">
        <f>IF('Data Source'!B430="","",IF('Data Source'!Y430&gt;=5,"A+",IF('Data Source'!Y430&gt;=4,"A",IF('Data Source'!Y430&gt;=3.5,"A-",IF('Data Source'!Y430&gt;=3,"B",IF('Data Source'!Y430&gt;=2,"C",IF('Data Source'!Y430&gt;=1,"D","F")))))))</f>
        <v/>
      </c>
      <c r="H430" s="3">
        <f>IF('Data Source'!B430="","",IF('Data Source'!Z430&gt;=5,"A+",IF('Data Source'!Z430&gt;=4,"A",IF('Data Source'!Z430&gt;=3.5,"A-",IF('Data Source'!Z430&gt;=3,"B",IF('Data Source'!Z430&gt;=2,"C",IF('Data Source'!Z430&gt;=1,"D","F")))))))</f>
        <v/>
      </c>
      <c r="I430" s="3">
        <f>IF('Data Source'!B430="","",IF('Data Source'!AA430&gt;=5,"A+",IF('Data Source'!AA430&gt;=4,"A",IF('Data Source'!AA430&gt;=3.5,"A-",IF('Data Source'!AA430&gt;=3,"B",IF('Data Source'!AA430&gt;=2,"C",IF('Data Source'!AA430&gt;=1,"D","F")))))))</f>
        <v/>
      </c>
      <c r="J430" s="3">
        <f>IF('Data Source'!B430="","",IF('Data Source'!AB430&gt;=5,"A+",IF('Data Source'!AB430&gt;=4,"A",IF('Data Source'!AB430&gt;=3.5,"A-",IF('Data Source'!AB430&gt;=3,"B",IF('Data Source'!AB430&gt;=2,"C",IF('Data Source'!AB430&gt;=1,"D","F")))))))</f>
        <v/>
      </c>
      <c r="K430" s="3">
        <f>IF('Data Source'!B430="","",IF('Data Source'!AC430&gt;=5,"A+",IF('Data Source'!AC430&gt;=4,"A",IF('Data Source'!AC430&gt;=3.5,"A-",IF('Data Source'!AC430&gt;=3,"B",IF('Data Source'!AC430&gt;=2,"C",IF('Data Source'!AC430&gt;=1,"D","F")))))))</f>
        <v/>
      </c>
      <c r="L430" s="3">
        <f>IF('Data Source'!B430="","",IF('Data Source'!AD430&gt;=5,"A+",IF('Data Source'!AD430&gt;=4,"A",IF('Data Source'!AD430&gt;=3.5,"A-",IF('Data Source'!AD430&gt;=3,"B",IF('Data Source'!AD430&gt;=2,"C",IF('Data Source'!AD430&gt;=1,"D","F")))))))</f>
        <v/>
      </c>
      <c r="M430" s="3">
        <f>IF('Data Source'!B430="","",IF('Data Source'!AE430&gt;=5,"A+",IF('Data Source'!AE430&gt;=4,"A",IF('Data Source'!AE430&gt;=3.5,"A-",IF('Data Source'!AE430&gt;=3,"B",IF('Data Source'!AE430&gt;=2,"C",IF('Data Source'!AE430&gt;=1,"D","F")))))))</f>
        <v/>
      </c>
      <c r="N430" s="3">
        <f>IF('Data Source'!B430="","",IF('Data Source'!AF430&gt;=5,"A+",IF('Data Source'!AF430&gt;=4,"A",IF('Data Source'!AF430&gt;=3.5,"A-",IF('Data Source'!AF430&gt;=3,"B",IF('Data Source'!AF430&gt;=2,"C",IF('Data Source'!AF430&gt;=1,"D","F")))))))</f>
        <v/>
      </c>
      <c r="O430" s="3">
        <f>IF('Data Source'!B430="","",IF('Data Source'!AG430&gt;=5,"A+",IF('Data Source'!AG430&gt;=4,"A",IF('Data Source'!AG430&gt;=3.5,"A-",IF('Data Source'!AG430&gt;=3,"B",IF('Data Source'!AG430&gt;=2,"C",IF('Data Source'!AG430&gt;=1,"D","F")))))))</f>
        <v/>
      </c>
      <c r="P430" s="5">
        <f>IF('Data Source'!B430="","",'Data Source'!R430)</f>
        <v/>
      </c>
      <c r="Q430" s="3">
        <f>IF('Data Source'!B430="","",'Data Source'!S430)</f>
        <v/>
      </c>
    </row>
    <row r="431">
      <c r="A431" s="3">
        <f>IF('Data Source'!B431="","",'Data Source'!A431)</f>
        <v/>
      </c>
      <c r="B431">
        <f>IF('Data Source'!B431="","",'Data Source'!B431)</f>
        <v/>
      </c>
      <c r="C431" s="3">
        <f>IF('Data Source'!B431="","",IF('Data Source'!U431&gt;=5,"A+",IF('Data Source'!U431&gt;=4,"A",IF('Data Source'!U431&gt;=3.5,"A-",IF('Data Source'!U431&gt;=3,"B",IF('Data Source'!U431&gt;=2,"C",IF('Data Source'!U431&gt;=1,"D","F")))))))</f>
        <v/>
      </c>
      <c r="D431" s="3">
        <f>IF('Data Source'!B431="","",IF('Data Source'!V431&gt;=5,"A+",IF('Data Source'!V431&gt;=4,"A",IF('Data Source'!V431&gt;=3.5,"A-",IF('Data Source'!V431&gt;=3,"B",IF('Data Source'!V431&gt;=2,"C",IF('Data Source'!V431&gt;=1,"D","F")))))))</f>
        <v/>
      </c>
      <c r="E431" s="3">
        <f>IF('Data Source'!B431="","",IF('Data Source'!W431&gt;=5,"A+",IF('Data Source'!W431&gt;=4,"A",IF('Data Source'!W431&gt;=3.5,"A-",IF('Data Source'!W431&gt;=3,"B",IF('Data Source'!W431&gt;=2,"C",IF('Data Source'!W431&gt;=1,"D","F")))))))</f>
        <v/>
      </c>
      <c r="F431" s="3">
        <f>IF('Data Source'!B431="","",IF('Data Source'!X431&gt;=5,"A+",IF('Data Source'!X431&gt;=4,"A",IF('Data Source'!X431&gt;=3.5,"A-",IF('Data Source'!X431&gt;=3,"B",IF('Data Source'!X431&gt;=2,"C",IF('Data Source'!X431&gt;=1,"D","F")))))))</f>
        <v/>
      </c>
      <c r="G431" s="3">
        <f>IF('Data Source'!B431="","",IF('Data Source'!Y431&gt;=5,"A+",IF('Data Source'!Y431&gt;=4,"A",IF('Data Source'!Y431&gt;=3.5,"A-",IF('Data Source'!Y431&gt;=3,"B",IF('Data Source'!Y431&gt;=2,"C",IF('Data Source'!Y431&gt;=1,"D","F")))))))</f>
        <v/>
      </c>
      <c r="H431" s="3">
        <f>IF('Data Source'!B431="","",IF('Data Source'!Z431&gt;=5,"A+",IF('Data Source'!Z431&gt;=4,"A",IF('Data Source'!Z431&gt;=3.5,"A-",IF('Data Source'!Z431&gt;=3,"B",IF('Data Source'!Z431&gt;=2,"C",IF('Data Source'!Z431&gt;=1,"D","F")))))))</f>
        <v/>
      </c>
      <c r="I431" s="3">
        <f>IF('Data Source'!B431="","",IF('Data Source'!AA431&gt;=5,"A+",IF('Data Source'!AA431&gt;=4,"A",IF('Data Source'!AA431&gt;=3.5,"A-",IF('Data Source'!AA431&gt;=3,"B",IF('Data Source'!AA431&gt;=2,"C",IF('Data Source'!AA431&gt;=1,"D","F")))))))</f>
        <v/>
      </c>
      <c r="J431" s="3">
        <f>IF('Data Source'!B431="","",IF('Data Source'!AB431&gt;=5,"A+",IF('Data Source'!AB431&gt;=4,"A",IF('Data Source'!AB431&gt;=3.5,"A-",IF('Data Source'!AB431&gt;=3,"B",IF('Data Source'!AB431&gt;=2,"C",IF('Data Source'!AB431&gt;=1,"D","F")))))))</f>
        <v/>
      </c>
      <c r="K431" s="3">
        <f>IF('Data Source'!B431="","",IF('Data Source'!AC431&gt;=5,"A+",IF('Data Source'!AC431&gt;=4,"A",IF('Data Source'!AC431&gt;=3.5,"A-",IF('Data Source'!AC431&gt;=3,"B",IF('Data Source'!AC431&gt;=2,"C",IF('Data Source'!AC431&gt;=1,"D","F")))))))</f>
        <v/>
      </c>
      <c r="L431" s="3">
        <f>IF('Data Source'!B431="","",IF('Data Source'!AD431&gt;=5,"A+",IF('Data Source'!AD431&gt;=4,"A",IF('Data Source'!AD431&gt;=3.5,"A-",IF('Data Source'!AD431&gt;=3,"B",IF('Data Source'!AD431&gt;=2,"C",IF('Data Source'!AD431&gt;=1,"D","F")))))))</f>
        <v/>
      </c>
      <c r="M431" s="3">
        <f>IF('Data Source'!B431="","",IF('Data Source'!AE431&gt;=5,"A+",IF('Data Source'!AE431&gt;=4,"A",IF('Data Source'!AE431&gt;=3.5,"A-",IF('Data Source'!AE431&gt;=3,"B",IF('Data Source'!AE431&gt;=2,"C",IF('Data Source'!AE431&gt;=1,"D","F")))))))</f>
        <v/>
      </c>
      <c r="N431" s="3">
        <f>IF('Data Source'!B431="","",IF('Data Source'!AF431&gt;=5,"A+",IF('Data Source'!AF431&gt;=4,"A",IF('Data Source'!AF431&gt;=3.5,"A-",IF('Data Source'!AF431&gt;=3,"B",IF('Data Source'!AF431&gt;=2,"C",IF('Data Source'!AF431&gt;=1,"D","F")))))))</f>
        <v/>
      </c>
      <c r="O431" s="3">
        <f>IF('Data Source'!B431="","",IF('Data Source'!AG431&gt;=5,"A+",IF('Data Source'!AG431&gt;=4,"A",IF('Data Source'!AG431&gt;=3.5,"A-",IF('Data Source'!AG431&gt;=3,"B",IF('Data Source'!AG431&gt;=2,"C",IF('Data Source'!AG431&gt;=1,"D","F")))))))</f>
        <v/>
      </c>
      <c r="P431" s="5">
        <f>IF('Data Source'!B431="","",'Data Source'!R431)</f>
        <v/>
      </c>
      <c r="Q431" s="3">
        <f>IF('Data Source'!B431="","",'Data Source'!S431)</f>
        <v/>
      </c>
    </row>
    <row r="432">
      <c r="A432" s="3">
        <f>IF('Data Source'!B432="","",'Data Source'!A432)</f>
        <v/>
      </c>
      <c r="B432">
        <f>IF('Data Source'!B432="","",'Data Source'!B432)</f>
        <v/>
      </c>
      <c r="C432" s="3">
        <f>IF('Data Source'!B432="","",IF('Data Source'!U432&gt;=5,"A+",IF('Data Source'!U432&gt;=4,"A",IF('Data Source'!U432&gt;=3.5,"A-",IF('Data Source'!U432&gt;=3,"B",IF('Data Source'!U432&gt;=2,"C",IF('Data Source'!U432&gt;=1,"D","F")))))))</f>
        <v/>
      </c>
      <c r="D432" s="3">
        <f>IF('Data Source'!B432="","",IF('Data Source'!V432&gt;=5,"A+",IF('Data Source'!V432&gt;=4,"A",IF('Data Source'!V432&gt;=3.5,"A-",IF('Data Source'!V432&gt;=3,"B",IF('Data Source'!V432&gt;=2,"C",IF('Data Source'!V432&gt;=1,"D","F")))))))</f>
        <v/>
      </c>
      <c r="E432" s="3">
        <f>IF('Data Source'!B432="","",IF('Data Source'!W432&gt;=5,"A+",IF('Data Source'!W432&gt;=4,"A",IF('Data Source'!W432&gt;=3.5,"A-",IF('Data Source'!W432&gt;=3,"B",IF('Data Source'!W432&gt;=2,"C",IF('Data Source'!W432&gt;=1,"D","F")))))))</f>
        <v/>
      </c>
      <c r="F432" s="3">
        <f>IF('Data Source'!B432="","",IF('Data Source'!X432&gt;=5,"A+",IF('Data Source'!X432&gt;=4,"A",IF('Data Source'!X432&gt;=3.5,"A-",IF('Data Source'!X432&gt;=3,"B",IF('Data Source'!X432&gt;=2,"C",IF('Data Source'!X432&gt;=1,"D","F")))))))</f>
        <v/>
      </c>
      <c r="G432" s="3">
        <f>IF('Data Source'!B432="","",IF('Data Source'!Y432&gt;=5,"A+",IF('Data Source'!Y432&gt;=4,"A",IF('Data Source'!Y432&gt;=3.5,"A-",IF('Data Source'!Y432&gt;=3,"B",IF('Data Source'!Y432&gt;=2,"C",IF('Data Source'!Y432&gt;=1,"D","F")))))))</f>
        <v/>
      </c>
      <c r="H432" s="3">
        <f>IF('Data Source'!B432="","",IF('Data Source'!Z432&gt;=5,"A+",IF('Data Source'!Z432&gt;=4,"A",IF('Data Source'!Z432&gt;=3.5,"A-",IF('Data Source'!Z432&gt;=3,"B",IF('Data Source'!Z432&gt;=2,"C",IF('Data Source'!Z432&gt;=1,"D","F")))))))</f>
        <v/>
      </c>
      <c r="I432" s="3">
        <f>IF('Data Source'!B432="","",IF('Data Source'!AA432&gt;=5,"A+",IF('Data Source'!AA432&gt;=4,"A",IF('Data Source'!AA432&gt;=3.5,"A-",IF('Data Source'!AA432&gt;=3,"B",IF('Data Source'!AA432&gt;=2,"C",IF('Data Source'!AA432&gt;=1,"D","F")))))))</f>
        <v/>
      </c>
      <c r="J432" s="3">
        <f>IF('Data Source'!B432="","",IF('Data Source'!AB432&gt;=5,"A+",IF('Data Source'!AB432&gt;=4,"A",IF('Data Source'!AB432&gt;=3.5,"A-",IF('Data Source'!AB432&gt;=3,"B",IF('Data Source'!AB432&gt;=2,"C",IF('Data Source'!AB432&gt;=1,"D","F")))))))</f>
        <v/>
      </c>
      <c r="K432" s="3">
        <f>IF('Data Source'!B432="","",IF('Data Source'!AC432&gt;=5,"A+",IF('Data Source'!AC432&gt;=4,"A",IF('Data Source'!AC432&gt;=3.5,"A-",IF('Data Source'!AC432&gt;=3,"B",IF('Data Source'!AC432&gt;=2,"C",IF('Data Source'!AC432&gt;=1,"D","F")))))))</f>
        <v/>
      </c>
      <c r="L432" s="3">
        <f>IF('Data Source'!B432="","",IF('Data Source'!AD432&gt;=5,"A+",IF('Data Source'!AD432&gt;=4,"A",IF('Data Source'!AD432&gt;=3.5,"A-",IF('Data Source'!AD432&gt;=3,"B",IF('Data Source'!AD432&gt;=2,"C",IF('Data Source'!AD432&gt;=1,"D","F")))))))</f>
        <v/>
      </c>
      <c r="M432" s="3">
        <f>IF('Data Source'!B432="","",IF('Data Source'!AE432&gt;=5,"A+",IF('Data Source'!AE432&gt;=4,"A",IF('Data Source'!AE432&gt;=3.5,"A-",IF('Data Source'!AE432&gt;=3,"B",IF('Data Source'!AE432&gt;=2,"C",IF('Data Source'!AE432&gt;=1,"D","F")))))))</f>
        <v/>
      </c>
      <c r="N432" s="3">
        <f>IF('Data Source'!B432="","",IF('Data Source'!AF432&gt;=5,"A+",IF('Data Source'!AF432&gt;=4,"A",IF('Data Source'!AF432&gt;=3.5,"A-",IF('Data Source'!AF432&gt;=3,"B",IF('Data Source'!AF432&gt;=2,"C",IF('Data Source'!AF432&gt;=1,"D","F")))))))</f>
        <v/>
      </c>
      <c r="O432" s="3">
        <f>IF('Data Source'!B432="","",IF('Data Source'!AG432&gt;=5,"A+",IF('Data Source'!AG432&gt;=4,"A",IF('Data Source'!AG432&gt;=3.5,"A-",IF('Data Source'!AG432&gt;=3,"B",IF('Data Source'!AG432&gt;=2,"C",IF('Data Source'!AG432&gt;=1,"D","F")))))))</f>
        <v/>
      </c>
      <c r="P432" s="5">
        <f>IF('Data Source'!B432="","",'Data Source'!R432)</f>
        <v/>
      </c>
      <c r="Q432" s="3">
        <f>IF('Data Source'!B432="","",'Data Source'!S432)</f>
        <v/>
      </c>
    </row>
    <row r="433">
      <c r="A433" s="3">
        <f>IF('Data Source'!B433="","",'Data Source'!A433)</f>
        <v/>
      </c>
      <c r="B433">
        <f>IF('Data Source'!B433="","",'Data Source'!B433)</f>
        <v/>
      </c>
      <c r="C433" s="3">
        <f>IF('Data Source'!B433="","",IF('Data Source'!U433&gt;=5,"A+",IF('Data Source'!U433&gt;=4,"A",IF('Data Source'!U433&gt;=3.5,"A-",IF('Data Source'!U433&gt;=3,"B",IF('Data Source'!U433&gt;=2,"C",IF('Data Source'!U433&gt;=1,"D","F")))))))</f>
        <v/>
      </c>
      <c r="D433" s="3">
        <f>IF('Data Source'!B433="","",IF('Data Source'!V433&gt;=5,"A+",IF('Data Source'!V433&gt;=4,"A",IF('Data Source'!V433&gt;=3.5,"A-",IF('Data Source'!V433&gt;=3,"B",IF('Data Source'!V433&gt;=2,"C",IF('Data Source'!V433&gt;=1,"D","F")))))))</f>
        <v/>
      </c>
      <c r="E433" s="3">
        <f>IF('Data Source'!B433="","",IF('Data Source'!W433&gt;=5,"A+",IF('Data Source'!W433&gt;=4,"A",IF('Data Source'!W433&gt;=3.5,"A-",IF('Data Source'!W433&gt;=3,"B",IF('Data Source'!W433&gt;=2,"C",IF('Data Source'!W433&gt;=1,"D","F")))))))</f>
        <v/>
      </c>
      <c r="F433" s="3">
        <f>IF('Data Source'!B433="","",IF('Data Source'!X433&gt;=5,"A+",IF('Data Source'!X433&gt;=4,"A",IF('Data Source'!X433&gt;=3.5,"A-",IF('Data Source'!X433&gt;=3,"B",IF('Data Source'!X433&gt;=2,"C",IF('Data Source'!X433&gt;=1,"D","F")))))))</f>
        <v/>
      </c>
      <c r="G433" s="3">
        <f>IF('Data Source'!B433="","",IF('Data Source'!Y433&gt;=5,"A+",IF('Data Source'!Y433&gt;=4,"A",IF('Data Source'!Y433&gt;=3.5,"A-",IF('Data Source'!Y433&gt;=3,"B",IF('Data Source'!Y433&gt;=2,"C",IF('Data Source'!Y433&gt;=1,"D","F")))))))</f>
        <v/>
      </c>
      <c r="H433" s="3">
        <f>IF('Data Source'!B433="","",IF('Data Source'!Z433&gt;=5,"A+",IF('Data Source'!Z433&gt;=4,"A",IF('Data Source'!Z433&gt;=3.5,"A-",IF('Data Source'!Z433&gt;=3,"B",IF('Data Source'!Z433&gt;=2,"C",IF('Data Source'!Z433&gt;=1,"D","F")))))))</f>
        <v/>
      </c>
      <c r="I433" s="3">
        <f>IF('Data Source'!B433="","",IF('Data Source'!AA433&gt;=5,"A+",IF('Data Source'!AA433&gt;=4,"A",IF('Data Source'!AA433&gt;=3.5,"A-",IF('Data Source'!AA433&gt;=3,"B",IF('Data Source'!AA433&gt;=2,"C",IF('Data Source'!AA433&gt;=1,"D","F")))))))</f>
        <v/>
      </c>
      <c r="J433" s="3">
        <f>IF('Data Source'!B433="","",IF('Data Source'!AB433&gt;=5,"A+",IF('Data Source'!AB433&gt;=4,"A",IF('Data Source'!AB433&gt;=3.5,"A-",IF('Data Source'!AB433&gt;=3,"B",IF('Data Source'!AB433&gt;=2,"C",IF('Data Source'!AB433&gt;=1,"D","F")))))))</f>
        <v/>
      </c>
      <c r="K433" s="3">
        <f>IF('Data Source'!B433="","",IF('Data Source'!AC433&gt;=5,"A+",IF('Data Source'!AC433&gt;=4,"A",IF('Data Source'!AC433&gt;=3.5,"A-",IF('Data Source'!AC433&gt;=3,"B",IF('Data Source'!AC433&gt;=2,"C",IF('Data Source'!AC433&gt;=1,"D","F")))))))</f>
        <v/>
      </c>
      <c r="L433" s="3">
        <f>IF('Data Source'!B433="","",IF('Data Source'!AD433&gt;=5,"A+",IF('Data Source'!AD433&gt;=4,"A",IF('Data Source'!AD433&gt;=3.5,"A-",IF('Data Source'!AD433&gt;=3,"B",IF('Data Source'!AD433&gt;=2,"C",IF('Data Source'!AD433&gt;=1,"D","F")))))))</f>
        <v/>
      </c>
      <c r="M433" s="3">
        <f>IF('Data Source'!B433="","",IF('Data Source'!AE433&gt;=5,"A+",IF('Data Source'!AE433&gt;=4,"A",IF('Data Source'!AE433&gt;=3.5,"A-",IF('Data Source'!AE433&gt;=3,"B",IF('Data Source'!AE433&gt;=2,"C",IF('Data Source'!AE433&gt;=1,"D","F")))))))</f>
        <v/>
      </c>
      <c r="N433" s="3">
        <f>IF('Data Source'!B433="","",IF('Data Source'!AF433&gt;=5,"A+",IF('Data Source'!AF433&gt;=4,"A",IF('Data Source'!AF433&gt;=3.5,"A-",IF('Data Source'!AF433&gt;=3,"B",IF('Data Source'!AF433&gt;=2,"C",IF('Data Source'!AF433&gt;=1,"D","F")))))))</f>
        <v/>
      </c>
      <c r="O433" s="3">
        <f>IF('Data Source'!B433="","",IF('Data Source'!AG433&gt;=5,"A+",IF('Data Source'!AG433&gt;=4,"A",IF('Data Source'!AG433&gt;=3.5,"A-",IF('Data Source'!AG433&gt;=3,"B",IF('Data Source'!AG433&gt;=2,"C",IF('Data Source'!AG433&gt;=1,"D","F")))))))</f>
        <v/>
      </c>
      <c r="P433" s="5">
        <f>IF('Data Source'!B433="","",'Data Source'!R433)</f>
        <v/>
      </c>
      <c r="Q433" s="3">
        <f>IF('Data Source'!B433="","",'Data Source'!S433)</f>
        <v/>
      </c>
    </row>
    <row r="434">
      <c r="A434" s="3">
        <f>IF('Data Source'!B434="","",'Data Source'!A434)</f>
        <v/>
      </c>
      <c r="B434">
        <f>IF('Data Source'!B434="","",'Data Source'!B434)</f>
        <v/>
      </c>
      <c r="C434" s="3">
        <f>IF('Data Source'!B434="","",IF('Data Source'!U434&gt;=5,"A+",IF('Data Source'!U434&gt;=4,"A",IF('Data Source'!U434&gt;=3.5,"A-",IF('Data Source'!U434&gt;=3,"B",IF('Data Source'!U434&gt;=2,"C",IF('Data Source'!U434&gt;=1,"D","F")))))))</f>
        <v/>
      </c>
      <c r="D434" s="3">
        <f>IF('Data Source'!B434="","",IF('Data Source'!V434&gt;=5,"A+",IF('Data Source'!V434&gt;=4,"A",IF('Data Source'!V434&gt;=3.5,"A-",IF('Data Source'!V434&gt;=3,"B",IF('Data Source'!V434&gt;=2,"C",IF('Data Source'!V434&gt;=1,"D","F")))))))</f>
        <v/>
      </c>
      <c r="E434" s="3">
        <f>IF('Data Source'!B434="","",IF('Data Source'!W434&gt;=5,"A+",IF('Data Source'!W434&gt;=4,"A",IF('Data Source'!W434&gt;=3.5,"A-",IF('Data Source'!W434&gt;=3,"B",IF('Data Source'!W434&gt;=2,"C",IF('Data Source'!W434&gt;=1,"D","F")))))))</f>
        <v/>
      </c>
      <c r="F434" s="3">
        <f>IF('Data Source'!B434="","",IF('Data Source'!X434&gt;=5,"A+",IF('Data Source'!X434&gt;=4,"A",IF('Data Source'!X434&gt;=3.5,"A-",IF('Data Source'!X434&gt;=3,"B",IF('Data Source'!X434&gt;=2,"C",IF('Data Source'!X434&gt;=1,"D","F")))))))</f>
        <v/>
      </c>
      <c r="G434" s="3">
        <f>IF('Data Source'!B434="","",IF('Data Source'!Y434&gt;=5,"A+",IF('Data Source'!Y434&gt;=4,"A",IF('Data Source'!Y434&gt;=3.5,"A-",IF('Data Source'!Y434&gt;=3,"B",IF('Data Source'!Y434&gt;=2,"C",IF('Data Source'!Y434&gt;=1,"D","F")))))))</f>
        <v/>
      </c>
      <c r="H434" s="3">
        <f>IF('Data Source'!B434="","",IF('Data Source'!Z434&gt;=5,"A+",IF('Data Source'!Z434&gt;=4,"A",IF('Data Source'!Z434&gt;=3.5,"A-",IF('Data Source'!Z434&gt;=3,"B",IF('Data Source'!Z434&gt;=2,"C",IF('Data Source'!Z434&gt;=1,"D","F")))))))</f>
        <v/>
      </c>
      <c r="I434" s="3">
        <f>IF('Data Source'!B434="","",IF('Data Source'!AA434&gt;=5,"A+",IF('Data Source'!AA434&gt;=4,"A",IF('Data Source'!AA434&gt;=3.5,"A-",IF('Data Source'!AA434&gt;=3,"B",IF('Data Source'!AA434&gt;=2,"C",IF('Data Source'!AA434&gt;=1,"D","F")))))))</f>
        <v/>
      </c>
      <c r="J434" s="3">
        <f>IF('Data Source'!B434="","",IF('Data Source'!AB434&gt;=5,"A+",IF('Data Source'!AB434&gt;=4,"A",IF('Data Source'!AB434&gt;=3.5,"A-",IF('Data Source'!AB434&gt;=3,"B",IF('Data Source'!AB434&gt;=2,"C",IF('Data Source'!AB434&gt;=1,"D","F")))))))</f>
        <v/>
      </c>
      <c r="K434" s="3">
        <f>IF('Data Source'!B434="","",IF('Data Source'!AC434&gt;=5,"A+",IF('Data Source'!AC434&gt;=4,"A",IF('Data Source'!AC434&gt;=3.5,"A-",IF('Data Source'!AC434&gt;=3,"B",IF('Data Source'!AC434&gt;=2,"C",IF('Data Source'!AC434&gt;=1,"D","F")))))))</f>
        <v/>
      </c>
      <c r="L434" s="3">
        <f>IF('Data Source'!B434="","",IF('Data Source'!AD434&gt;=5,"A+",IF('Data Source'!AD434&gt;=4,"A",IF('Data Source'!AD434&gt;=3.5,"A-",IF('Data Source'!AD434&gt;=3,"B",IF('Data Source'!AD434&gt;=2,"C",IF('Data Source'!AD434&gt;=1,"D","F")))))))</f>
        <v/>
      </c>
      <c r="M434" s="3">
        <f>IF('Data Source'!B434="","",IF('Data Source'!AE434&gt;=5,"A+",IF('Data Source'!AE434&gt;=4,"A",IF('Data Source'!AE434&gt;=3.5,"A-",IF('Data Source'!AE434&gt;=3,"B",IF('Data Source'!AE434&gt;=2,"C",IF('Data Source'!AE434&gt;=1,"D","F")))))))</f>
        <v/>
      </c>
      <c r="N434" s="3">
        <f>IF('Data Source'!B434="","",IF('Data Source'!AF434&gt;=5,"A+",IF('Data Source'!AF434&gt;=4,"A",IF('Data Source'!AF434&gt;=3.5,"A-",IF('Data Source'!AF434&gt;=3,"B",IF('Data Source'!AF434&gt;=2,"C",IF('Data Source'!AF434&gt;=1,"D","F")))))))</f>
        <v/>
      </c>
      <c r="O434" s="3">
        <f>IF('Data Source'!B434="","",IF('Data Source'!AG434&gt;=5,"A+",IF('Data Source'!AG434&gt;=4,"A",IF('Data Source'!AG434&gt;=3.5,"A-",IF('Data Source'!AG434&gt;=3,"B",IF('Data Source'!AG434&gt;=2,"C",IF('Data Source'!AG434&gt;=1,"D","F")))))))</f>
        <v/>
      </c>
      <c r="P434" s="5">
        <f>IF('Data Source'!B434="","",'Data Source'!R434)</f>
        <v/>
      </c>
      <c r="Q434" s="3">
        <f>IF('Data Source'!B434="","",'Data Source'!S434)</f>
        <v/>
      </c>
    </row>
    <row r="435">
      <c r="A435" s="3">
        <f>IF('Data Source'!B435="","",'Data Source'!A435)</f>
        <v/>
      </c>
      <c r="B435">
        <f>IF('Data Source'!B435="","",'Data Source'!B435)</f>
        <v/>
      </c>
      <c r="C435" s="3">
        <f>IF('Data Source'!B435="","",IF('Data Source'!U435&gt;=5,"A+",IF('Data Source'!U435&gt;=4,"A",IF('Data Source'!U435&gt;=3.5,"A-",IF('Data Source'!U435&gt;=3,"B",IF('Data Source'!U435&gt;=2,"C",IF('Data Source'!U435&gt;=1,"D","F")))))))</f>
        <v/>
      </c>
      <c r="D435" s="3">
        <f>IF('Data Source'!B435="","",IF('Data Source'!V435&gt;=5,"A+",IF('Data Source'!V435&gt;=4,"A",IF('Data Source'!V435&gt;=3.5,"A-",IF('Data Source'!V435&gt;=3,"B",IF('Data Source'!V435&gt;=2,"C",IF('Data Source'!V435&gt;=1,"D","F")))))))</f>
        <v/>
      </c>
      <c r="E435" s="3">
        <f>IF('Data Source'!B435="","",IF('Data Source'!W435&gt;=5,"A+",IF('Data Source'!W435&gt;=4,"A",IF('Data Source'!W435&gt;=3.5,"A-",IF('Data Source'!W435&gt;=3,"B",IF('Data Source'!W435&gt;=2,"C",IF('Data Source'!W435&gt;=1,"D","F")))))))</f>
        <v/>
      </c>
      <c r="F435" s="3">
        <f>IF('Data Source'!B435="","",IF('Data Source'!X435&gt;=5,"A+",IF('Data Source'!X435&gt;=4,"A",IF('Data Source'!X435&gt;=3.5,"A-",IF('Data Source'!X435&gt;=3,"B",IF('Data Source'!X435&gt;=2,"C",IF('Data Source'!X435&gt;=1,"D","F")))))))</f>
        <v/>
      </c>
      <c r="G435" s="3">
        <f>IF('Data Source'!B435="","",IF('Data Source'!Y435&gt;=5,"A+",IF('Data Source'!Y435&gt;=4,"A",IF('Data Source'!Y435&gt;=3.5,"A-",IF('Data Source'!Y435&gt;=3,"B",IF('Data Source'!Y435&gt;=2,"C",IF('Data Source'!Y435&gt;=1,"D","F")))))))</f>
        <v/>
      </c>
      <c r="H435" s="3">
        <f>IF('Data Source'!B435="","",IF('Data Source'!Z435&gt;=5,"A+",IF('Data Source'!Z435&gt;=4,"A",IF('Data Source'!Z435&gt;=3.5,"A-",IF('Data Source'!Z435&gt;=3,"B",IF('Data Source'!Z435&gt;=2,"C",IF('Data Source'!Z435&gt;=1,"D","F")))))))</f>
        <v/>
      </c>
      <c r="I435" s="3">
        <f>IF('Data Source'!B435="","",IF('Data Source'!AA435&gt;=5,"A+",IF('Data Source'!AA435&gt;=4,"A",IF('Data Source'!AA435&gt;=3.5,"A-",IF('Data Source'!AA435&gt;=3,"B",IF('Data Source'!AA435&gt;=2,"C",IF('Data Source'!AA435&gt;=1,"D","F")))))))</f>
        <v/>
      </c>
      <c r="J435" s="3">
        <f>IF('Data Source'!B435="","",IF('Data Source'!AB435&gt;=5,"A+",IF('Data Source'!AB435&gt;=4,"A",IF('Data Source'!AB435&gt;=3.5,"A-",IF('Data Source'!AB435&gt;=3,"B",IF('Data Source'!AB435&gt;=2,"C",IF('Data Source'!AB435&gt;=1,"D","F")))))))</f>
        <v/>
      </c>
      <c r="K435" s="3">
        <f>IF('Data Source'!B435="","",IF('Data Source'!AC435&gt;=5,"A+",IF('Data Source'!AC435&gt;=4,"A",IF('Data Source'!AC435&gt;=3.5,"A-",IF('Data Source'!AC435&gt;=3,"B",IF('Data Source'!AC435&gt;=2,"C",IF('Data Source'!AC435&gt;=1,"D","F")))))))</f>
        <v/>
      </c>
      <c r="L435" s="3">
        <f>IF('Data Source'!B435="","",IF('Data Source'!AD435&gt;=5,"A+",IF('Data Source'!AD435&gt;=4,"A",IF('Data Source'!AD435&gt;=3.5,"A-",IF('Data Source'!AD435&gt;=3,"B",IF('Data Source'!AD435&gt;=2,"C",IF('Data Source'!AD435&gt;=1,"D","F")))))))</f>
        <v/>
      </c>
      <c r="M435" s="3">
        <f>IF('Data Source'!B435="","",IF('Data Source'!AE435&gt;=5,"A+",IF('Data Source'!AE435&gt;=4,"A",IF('Data Source'!AE435&gt;=3.5,"A-",IF('Data Source'!AE435&gt;=3,"B",IF('Data Source'!AE435&gt;=2,"C",IF('Data Source'!AE435&gt;=1,"D","F")))))))</f>
        <v/>
      </c>
      <c r="N435" s="3">
        <f>IF('Data Source'!B435="","",IF('Data Source'!AF435&gt;=5,"A+",IF('Data Source'!AF435&gt;=4,"A",IF('Data Source'!AF435&gt;=3.5,"A-",IF('Data Source'!AF435&gt;=3,"B",IF('Data Source'!AF435&gt;=2,"C",IF('Data Source'!AF435&gt;=1,"D","F")))))))</f>
        <v/>
      </c>
      <c r="O435" s="3">
        <f>IF('Data Source'!B435="","",IF('Data Source'!AG435&gt;=5,"A+",IF('Data Source'!AG435&gt;=4,"A",IF('Data Source'!AG435&gt;=3.5,"A-",IF('Data Source'!AG435&gt;=3,"B",IF('Data Source'!AG435&gt;=2,"C",IF('Data Source'!AG435&gt;=1,"D","F")))))))</f>
        <v/>
      </c>
      <c r="P435" s="5">
        <f>IF('Data Source'!B435="","",'Data Source'!R435)</f>
        <v/>
      </c>
      <c r="Q435" s="3">
        <f>IF('Data Source'!B435="","",'Data Source'!S435)</f>
        <v/>
      </c>
    </row>
    <row r="436">
      <c r="A436" s="3">
        <f>IF('Data Source'!B436="","",'Data Source'!A436)</f>
        <v/>
      </c>
      <c r="B436">
        <f>IF('Data Source'!B436="","",'Data Source'!B436)</f>
        <v/>
      </c>
      <c r="C436" s="3">
        <f>IF('Data Source'!B436="","",IF('Data Source'!U436&gt;=5,"A+",IF('Data Source'!U436&gt;=4,"A",IF('Data Source'!U436&gt;=3.5,"A-",IF('Data Source'!U436&gt;=3,"B",IF('Data Source'!U436&gt;=2,"C",IF('Data Source'!U436&gt;=1,"D","F")))))))</f>
        <v/>
      </c>
      <c r="D436" s="3">
        <f>IF('Data Source'!B436="","",IF('Data Source'!V436&gt;=5,"A+",IF('Data Source'!V436&gt;=4,"A",IF('Data Source'!V436&gt;=3.5,"A-",IF('Data Source'!V436&gt;=3,"B",IF('Data Source'!V436&gt;=2,"C",IF('Data Source'!V436&gt;=1,"D","F")))))))</f>
        <v/>
      </c>
      <c r="E436" s="3">
        <f>IF('Data Source'!B436="","",IF('Data Source'!W436&gt;=5,"A+",IF('Data Source'!W436&gt;=4,"A",IF('Data Source'!W436&gt;=3.5,"A-",IF('Data Source'!W436&gt;=3,"B",IF('Data Source'!W436&gt;=2,"C",IF('Data Source'!W436&gt;=1,"D","F")))))))</f>
        <v/>
      </c>
      <c r="F436" s="3">
        <f>IF('Data Source'!B436="","",IF('Data Source'!X436&gt;=5,"A+",IF('Data Source'!X436&gt;=4,"A",IF('Data Source'!X436&gt;=3.5,"A-",IF('Data Source'!X436&gt;=3,"B",IF('Data Source'!X436&gt;=2,"C",IF('Data Source'!X436&gt;=1,"D","F")))))))</f>
        <v/>
      </c>
      <c r="G436" s="3">
        <f>IF('Data Source'!B436="","",IF('Data Source'!Y436&gt;=5,"A+",IF('Data Source'!Y436&gt;=4,"A",IF('Data Source'!Y436&gt;=3.5,"A-",IF('Data Source'!Y436&gt;=3,"B",IF('Data Source'!Y436&gt;=2,"C",IF('Data Source'!Y436&gt;=1,"D","F")))))))</f>
        <v/>
      </c>
      <c r="H436" s="3">
        <f>IF('Data Source'!B436="","",IF('Data Source'!Z436&gt;=5,"A+",IF('Data Source'!Z436&gt;=4,"A",IF('Data Source'!Z436&gt;=3.5,"A-",IF('Data Source'!Z436&gt;=3,"B",IF('Data Source'!Z436&gt;=2,"C",IF('Data Source'!Z436&gt;=1,"D","F")))))))</f>
        <v/>
      </c>
      <c r="I436" s="3">
        <f>IF('Data Source'!B436="","",IF('Data Source'!AA436&gt;=5,"A+",IF('Data Source'!AA436&gt;=4,"A",IF('Data Source'!AA436&gt;=3.5,"A-",IF('Data Source'!AA436&gt;=3,"B",IF('Data Source'!AA436&gt;=2,"C",IF('Data Source'!AA436&gt;=1,"D","F")))))))</f>
        <v/>
      </c>
      <c r="J436" s="3">
        <f>IF('Data Source'!B436="","",IF('Data Source'!AB436&gt;=5,"A+",IF('Data Source'!AB436&gt;=4,"A",IF('Data Source'!AB436&gt;=3.5,"A-",IF('Data Source'!AB436&gt;=3,"B",IF('Data Source'!AB436&gt;=2,"C",IF('Data Source'!AB436&gt;=1,"D","F")))))))</f>
        <v/>
      </c>
      <c r="K436" s="3">
        <f>IF('Data Source'!B436="","",IF('Data Source'!AC436&gt;=5,"A+",IF('Data Source'!AC436&gt;=4,"A",IF('Data Source'!AC436&gt;=3.5,"A-",IF('Data Source'!AC436&gt;=3,"B",IF('Data Source'!AC436&gt;=2,"C",IF('Data Source'!AC436&gt;=1,"D","F")))))))</f>
        <v/>
      </c>
      <c r="L436" s="3">
        <f>IF('Data Source'!B436="","",IF('Data Source'!AD436&gt;=5,"A+",IF('Data Source'!AD436&gt;=4,"A",IF('Data Source'!AD436&gt;=3.5,"A-",IF('Data Source'!AD436&gt;=3,"B",IF('Data Source'!AD436&gt;=2,"C",IF('Data Source'!AD436&gt;=1,"D","F")))))))</f>
        <v/>
      </c>
      <c r="M436" s="3">
        <f>IF('Data Source'!B436="","",IF('Data Source'!AE436&gt;=5,"A+",IF('Data Source'!AE436&gt;=4,"A",IF('Data Source'!AE436&gt;=3.5,"A-",IF('Data Source'!AE436&gt;=3,"B",IF('Data Source'!AE436&gt;=2,"C",IF('Data Source'!AE436&gt;=1,"D","F")))))))</f>
        <v/>
      </c>
      <c r="N436" s="3">
        <f>IF('Data Source'!B436="","",IF('Data Source'!AF436&gt;=5,"A+",IF('Data Source'!AF436&gt;=4,"A",IF('Data Source'!AF436&gt;=3.5,"A-",IF('Data Source'!AF436&gt;=3,"B",IF('Data Source'!AF436&gt;=2,"C",IF('Data Source'!AF436&gt;=1,"D","F")))))))</f>
        <v/>
      </c>
      <c r="O436" s="3">
        <f>IF('Data Source'!B436="","",IF('Data Source'!AG436&gt;=5,"A+",IF('Data Source'!AG436&gt;=4,"A",IF('Data Source'!AG436&gt;=3.5,"A-",IF('Data Source'!AG436&gt;=3,"B",IF('Data Source'!AG436&gt;=2,"C",IF('Data Source'!AG436&gt;=1,"D","F")))))))</f>
        <v/>
      </c>
      <c r="P436" s="5">
        <f>IF('Data Source'!B436="","",'Data Source'!R436)</f>
        <v/>
      </c>
      <c r="Q436" s="3">
        <f>IF('Data Source'!B436="","",'Data Source'!S436)</f>
        <v/>
      </c>
    </row>
    <row r="437">
      <c r="A437" s="3">
        <f>IF('Data Source'!B437="","",'Data Source'!A437)</f>
        <v/>
      </c>
      <c r="B437">
        <f>IF('Data Source'!B437="","",'Data Source'!B437)</f>
        <v/>
      </c>
      <c r="C437" s="3">
        <f>IF('Data Source'!B437="","",IF('Data Source'!U437&gt;=5,"A+",IF('Data Source'!U437&gt;=4,"A",IF('Data Source'!U437&gt;=3.5,"A-",IF('Data Source'!U437&gt;=3,"B",IF('Data Source'!U437&gt;=2,"C",IF('Data Source'!U437&gt;=1,"D","F")))))))</f>
        <v/>
      </c>
      <c r="D437" s="3">
        <f>IF('Data Source'!B437="","",IF('Data Source'!V437&gt;=5,"A+",IF('Data Source'!V437&gt;=4,"A",IF('Data Source'!V437&gt;=3.5,"A-",IF('Data Source'!V437&gt;=3,"B",IF('Data Source'!V437&gt;=2,"C",IF('Data Source'!V437&gt;=1,"D","F")))))))</f>
        <v/>
      </c>
      <c r="E437" s="3">
        <f>IF('Data Source'!B437="","",IF('Data Source'!W437&gt;=5,"A+",IF('Data Source'!W437&gt;=4,"A",IF('Data Source'!W437&gt;=3.5,"A-",IF('Data Source'!W437&gt;=3,"B",IF('Data Source'!W437&gt;=2,"C",IF('Data Source'!W437&gt;=1,"D","F")))))))</f>
        <v/>
      </c>
      <c r="F437" s="3">
        <f>IF('Data Source'!B437="","",IF('Data Source'!X437&gt;=5,"A+",IF('Data Source'!X437&gt;=4,"A",IF('Data Source'!X437&gt;=3.5,"A-",IF('Data Source'!X437&gt;=3,"B",IF('Data Source'!X437&gt;=2,"C",IF('Data Source'!X437&gt;=1,"D","F")))))))</f>
        <v/>
      </c>
      <c r="G437" s="3">
        <f>IF('Data Source'!B437="","",IF('Data Source'!Y437&gt;=5,"A+",IF('Data Source'!Y437&gt;=4,"A",IF('Data Source'!Y437&gt;=3.5,"A-",IF('Data Source'!Y437&gt;=3,"B",IF('Data Source'!Y437&gt;=2,"C",IF('Data Source'!Y437&gt;=1,"D","F")))))))</f>
        <v/>
      </c>
      <c r="H437" s="3">
        <f>IF('Data Source'!B437="","",IF('Data Source'!Z437&gt;=5,"A+",IF('Data Source'!Z437&gt;=4,"A",IF('Data Source'!Z437&gt;=3.5,"A-",IF('Data Source'!Z437&gt;=3,"B",IF('Data Source'!Z437&gt;=2,"C",IF('Data Source'!Z437&gt;=1,"D","F")))))))</f>
        <v/>
      </c>
      <c r="I437" s="3">
        <f>IF('Data Source'!B437="","",IF('Data Source'!AA437&gt;=5,"A+",IF('Data Source'!AA437&gt;=4,"A",IF('Data Source'!AA437&gt;=3.5,"A-",IF('Data Source'!AA437&gt;=3,"B",IF('Data Source'!AA437&gt;=2,"C",IF('Data Source'!AA437&gt;=1,"D","F")))))))</f>
        <v/>
      </c>
      <c r="J437" s="3">
        <f>IF('Data Source'!B437="","",IF('Data Source'!AB437&gt;=5,"A+",IF('Data Source'!AB437&gt;=4,"A",IF('Data Source'!AB437&gt;=3.5,"A-",IF('Data Source'!AB437&gt;=3,"B",IF('Data Source'!AB437&gt;=2,"C",IF('Data Source'!AB437&gt;=1,"D","F")))))))</f>
        <v/>
      </c>
      <c r="K437" s="3">
        <f>IF('Data Source'!B437="","",IF('Data Source'!AC437&gt;=5,"A+",IF('Data Source'!AC437&gt;=4,"A",IF('Data Source'!AC437&gt;=3.5,"A-",IF('Data Source'!AC437&gt;=3,"B",IF('Data Source'!AC437&gt;=2,"C",IF('Data Source'!AC437&gt;=1,"D","F")))))))</f>
        <v/>
      </c>
      <c r="L437" s="3">
        <f>IF('Data Source'!B437="","",IF('Data Source'!AD437&gt;=5,"A+",IF('Data Source'!AD437&gt;=4,"A",IF('Data Source'!AD437&gt;=3.5,"A-",IF('Data Source'!AD437&gt;=3,"B",IF('Data Source'!AD437&gt;=2,"C",IF('Data Source'!AD437&gt;=1,"D","F")))))))</f>
        <v/>
      </c>
      <c r="M437" s="3">
        <f>IF('Data Source'!B437="","",IF('Data Source'!AE437&gt;=5,"A+",IF('Data Source'!AE437&gt;=4,"A",IF('Data Source'!AE437&gt;=3.5,"A-",IF('Data Source'!AE437&gt;=3,"B",IF('Data Source'!AE437&gt;=2,"C",IF('Data Source'!AE437&gt;=1,"D","F")))))))</f>
        <v/>
      </c>
      <c r="N437" s="3">
        <f>IF('Data Source'!B437="","",IF('Data Source'!AF437&gt;=5,"A+",IF('Data Source'!AF437&gt;=4,"A",IF('Data Source'!AF437&gt;=3.5,"A-",IF('Data Source'!AF437&gt;=3,"B",IF('Data Source'!AF437&gt;=2,"C",IF('Data Source'!AF437&gt;=1,"D","F")))))))</f>
        <v/>
      </c>
      <c r="O437" s="3">
        <f>IF('Data Source'!B437="","",IF('Data Source'!AG437&gt;=5,"A+",IF('Data Source'!AG437&gt;=4,"A",IF('Data Source'!AG437&gt;=3.5,"A-",IF('Data Source'!AG437&gt;=3,"B",IF('Data Source'!AG437&gt;=2,"C",IF('Data Source'!AG437&gt;=1,"D","F")))))))</f>
        <v/>
      </c>
      <c r="P437" s="5">
        <f>IF('Data Source'!B437="","",'Data Source'!R437)</f>
        <v/>
      </c>
      <c r="Q437" s="3">
        <f>IF('Data Source'!B437="","",'Data Source'!S437)</f>
        <v/>
      </c>
    </row>
    <row r="438">
      <c r="A438" s="3">
        <f>IF('Data Source'!B438="","",'Data Source'!A438)</f>
        <v/>
      </c>
      <c r="B438">
        <f>IF('Data Source'!B438="","",'Data Source'!B438)</f>
        <v/>
      </c>
      <c r="C438" s="3">
        <f>IF('Data Source'!B438="","",IF('Data Source'!U438&gt;=5,"A+",IF('Data Source'!U438&gt;=4,"A",IF('Data Source'!U438&gt;=3.5,"A-",IF('Data Source'!U438&gt;=3,"B",IF('Data Source'!U438&gt;=2,"C",IF('Data Source'!U438&gt;=1,"D","F")))))))</f>
        <v/>
      </c>
      <c r="D438" s="3">
        <f>IF('Data Source'!B438="","",IF('Data Source'!V438&gt;=5,"A+",IF('Data Source'!V438&gt;=4,"A",IF('Data Source'!V438&gt;=3.5,"A-",IF('Data Source'!V438&gt;=3,"B",IF('Data Source'!V438&gt;=2,"C",IF('Data Source'!V438&gt;=1,"D","F")))))))</f>
        <v/>
      </c>
      <c r="E438" s="3">
        <f>IF('Data Source'!B438="","",IF('Data Source'!W438&gt;=5,"A+",IF('Data Source'!W438&gt;=4,"A",IF('Data Source'!W438&gt;=3.5,"A-",IF('Data Source'!W438&gt;=3,"B",IF('Data Source'!W438&gt;=2,"C",IF('Data Source'!W438&gt;=1,"D","F")))))))</f>
        <v/>
      </c>
      <c r="F438" s="3">
        <f>IF('Data Source'!B438="","",IF('Data Source'!X438&gt;=5,"A+",IF('Data Source'!X438&gt;=4,"A",IF('Data Source'!X438&gt;=3.5,"A-",IF('Data Source'!X438&gt;=3,"B",IF('Data Source'!X438&gt;=2,"C",IF('Data Source'!X438&gt;=1,"D","F")))))))</f>
        <v/>
      </c>
      <c r="G438" s="3">
        <f>IF('Data Source'!B438="","",IF('Data Source'!Y438&gt;=5,"A+",IF('Data Source'!Y438&gt;=4,"A",IF('Data Source'!Y438&gt;=3.5,"A-",IF('Data Source'!Y438&gt;=3,"B",IF('Data Source'!Y438&gt;=2,"C",IF('Data Source'!Y438&gt;=1,"D","F")))))))</f>
        <v/>
      </c>
      <c r="H438" s="3">
        <f>IF('Data Source'!B438="","",IF('Data Source'!Z438&gt;=5,"A+",IF('Data Source'!Z438&gt;=4,"A",IF('Data Source'!Z438&gt;=3.5,"A-",IF('Data Source'!Z438&gt;=3,"B",IF('Data Source'!Z438&gt;=2,"C",IF('Data Source'!Z438&gt;=1,"D","F")))))))</f>
        <v/>
      </c>
      <c r="I438" s="3">
        <f>IF('Data Source'!B438="","",IF('Data Source'!AA438&gt;=5,"A+",IF('Data Source'!AA438&gt;=4,"A",IF('Data Source'!AA438&gt;=3.5,"A-",IF('Data Source'!AA438&gt;=3,"B",IF('Data Source'!AA438&gt;=2,"C",IF('Data Source'!AA438&gt;=1,"D","F")))))))</f>
        <v/>
      </c>
      <c r="J438" s="3">
        <f>IF('Data Source'!B438="","",IF('Data Source'!AB438&gt;=5,"A+",IF('Data Source'!AB438&gt;=4,"A",IF('Data Source'!AB438&gt;=3.5,"A-",IF('Data Source'!AB438&gt;=3,"B",IF('Data Source'!AB438&gt;=2,"C",IF('Data Source'!AB438&gt;=1,"D","F")))))))</f>
        <v/>
      </c>
      <c r="K438" s="3">
        <f>IF('Data Source'!B438="","",IF('Data Source'!AC438&gt;=5,"A+",IF('Data Source'!AC438&gt;=4,"A",IF('Data Source'!AC438&gt;=3.5,"A-",IF('Data Source'!AC438&gt;=3,"B",IF('Data Source'!AC438&gt;=2,"C",IF('Data Source'!AC438&gt;=1,"D","F")))))))</f>
        <v/>
      </c>
      <c r="L438" s="3">
        <f>IF('Data Source'!B438="","",IF('Data Source'!AD438&gt;=5,"A+",IF('Data Source'!AD438&gt;=4,"A",IF('Data Source'!AD438&gt;=3.5,"A-",IF('Data Source'!AD438&gt;=3,"B",IF('Data Source'!AD438&gt;=2,"C",IF('Data Source'!AD438&gt;=1,"D","F")))))))</f>
        <v/>
      </c>
      <c r="M438" s="3">
        <f>IF('Data Source'!B438="","",IF('Data Source'!AE438&gt;=5,"A+",IF('Data Source'!AE438&gt;=4,"A",IF('Data Source'!AE438&gt;=3.5,"A-",IF('Data Source'!AE438&gt;=3,"B",IF('Data Source'!AE438&gt;=2,"C",IF('Data Source'!AE438&gt;=1,"D","F")))))))</f>
        <v/>
      </c>
      <c r="N438" s="3">
        <f>IF('Data Source'!B438="","",IF('Data Source'!AF438&gt;=5,"A+",IF('Data Source'!AF438&gt;=4,"A",IF('Data Source'!AF438&gt;=3.5,"A-",IF('Data Source'!AF438&gt;=3,"B",IF('Data Source'!AF438&gt;=2,"C",IF('Data Source'!AF438&gt;=1,"D","F")))))))</f>
        <v/>
      </c>
      <c r="O438" s="3">
        <f>IF('Data Source'!B438="","",IF('Data Source'!AG438&gt;=5,"A+",IF('Data Source'!AG438&gt;=4,"A",IF('Data Source'!AG438&gt;=3.5,"A-",IF('Data Source'!AG438&gt;=3,"B",IF('Data Source'!AG438&gt;=2,"C",IF('Data Source'!AG438&gt;=1,"D","F")))))))</f>
        <v/>
      </c>
      <c r="P438" s="5">
        <f>IF('Data Source'!B438="","",'Data Source'!R438)</f>
        <v/>
      </c>
      <c r="Q438" s="3">
        <f>IF('Data Source'!B438="","",'Data Source'!S438)</f>
        <v/>
      </c>
    </row>
    <row r="439">
      <c r="A439" s="3">
        <f>IF('Data Source'!B439="","",'Data Source'!A439)</f>
        <v/>
      </c>
      <c r="B439">
        <f>IF('Data Source'!B439="","",'Data Source'!B439)</f>
        <v/>
      </c>
      <c r="C439" s="3">
        <f>IF('Data Source'!B439="","",IF('Data Source'!U439&gt;=5,"A+",IF('Data Source'!U439&gt;=4,"A",IF('Data Source'!U439&gt;=3.5,"A-",IF('Data Source'!U439&gt;=3,"B",IF('Data Source'!U439&gt;=2,"C",IF('Data Source'!U439&gt;=1,"D","F")))))))</f>
        <v/>
      </c>
      <c r="D439" s="3">
        <f>IF('Data Source'!B439="","",IF('Data Source'!V439&gt;=5,"A+",IF('Data Source'!V439&gt;=4,"A",IF('Data Source'!V439&gt;=3.5,"A-",IF('Data Source'!V439&gt;=3,"B",IF('Data Source'!V439&gt;=2,"C",IF('Data Source'!V439&gt;=1,"D","F")))))))</f>
        <v/>
      </c>
      <c r="E439" s="3">
        <f>IF('Data Source'!B439="","",IF('Data Source'!W439&gt;=5,"A+",IF('Data Source'!W439&gt;=4,"A",IF('Data Source'!W439&gt;=3.5,"A-",IF('Data Source'!W439&gt;=3,"B",IF('Data Source'!W439&gt;=2,"C",IF('Data Source'!W439&gt;=1,"D","F")))))))</f>
        <v/>
      </c>
      <c r="F439" s="3">
        <f>IF('Data Source'!B439="","",IF('Data Source'!X439&gt;=5,"A+",IF('Data Source'!X439&gt;=4,"A",IF('Data Source'!X439&gt;=3.5,"A-",IF('Data Source'!X439&gt;=3,"B",IF('Data Source'!X439&gt;=2,"C",IF('Data Source'!X439&gt;=1,"D","F")))))))</f>
        <v/>
      </c>
      <c r="G439" s="3">
        <f>IF('Data Source'!B439="","",IF('Data Source'!Y439&gt;=5,"A+",IF('Data Source'!Y439&gt;=4,"A",IF('Data Source'!Y439&gt;=3.5,"A-",IF('Data Source'!Y439&gt;=3,"B",IF('Data Source'!Y439&gt;=2,"C",IF('Data Source'!Y439&gt;=1,"D","F")))))))</f>
        <v/>
      </c>
      <c r="H439" s="3">
        <f>IF('Data Source'!B439="","",IF('Data Source'!Z439&gt;=5,"A+",IF('Data Source'!Z439&gt;=4,"A",IF('Data Source'!Z439&gt;=3.5,"A-",IF('Data Source'!Z439&gt;=3,"B",IF('Data Source'!Z439&gt;=2,"C",IF('Data Source'!Z439&gt;=1,"D","F")))))))</f>
        <v/>
      </c>
      <c r="I439" s="3">
        <f>IF('Data Source'!B439="","",IF('Data Source'!AA439&gt;=5,"A+",IF('Data Source'!AA439&gt;=4,"A",IF('Data Source'!AA439&gt;=3.5,"A-",IF('Data Source'!AA439&gt;=3,"B",IF('Data Source'!AA439&gt;=2,"C",IF('Data Source'!AA439&gt;=1,"D","F")))))))</f>
        <v/>
      </c>
      <c r="J439" s="3">
        <f>IF('Data Source'!B439="","",IF('Data Source'!AB439&gt;=5,"A+",IF('Data Source'!AB439&gt;=4,"A",IF('Data Source'!AB439&gt;=3.5,"A-",IF('Data Source'!AB439&gt;=3,"B",IF('Data Source'!AB439&gt;=2,"C",IF('Data Source'!AB439&gt;=1,"D","F")))))))</f>
        <v/>
      </c>
      <c r="K439" s="3">
        <f>IF('Data Source'!B439="","",IF('Data Source'!AC439&gt;=5,"A+",IF('Data Source'!AC439&gt;=4,"A",IF('Data Source'!AC439&gt;=3.5,"A-",IF('Data Source'!AC439&gt;=3,"B",IF('Data Source'!AC439&gt;=2,"C",IF('Data Source'!AC439&gt;=1,"D","F")))))))</f>
        <v/>
      </c>
      <c r="L439" s="3">
        <f>IF('Data Source'!B439="","",IF('Data Source'!AD439&gt;=5,"A+",IF('Data Source'!AD439&gt;=4,"A",IF('Data Source'!AD439&gt;=3.5,"A-",IF('Data Source'!AD439&gt;=3,"B",IF('Data Source'!AD439&gt;=2,"C",IF('Data Source'!AD439&gt;=1,"D","F")))))))</f>
        <v/>
      </c>
      <c r="M439" s="3">
        <f>IF('Data Source'!B439="","",IF('Data Source'!AE439&gt;=5,"A+",IF('Data Source'!AE439&gt;=4,"A",IF('Data Source'!AE439&gt;=3.5,"A-",IF('Data Source'!AE439&gt;=3,"B",IF('Data Source'!AE439&gt;=2,"C",IF('Data Source'!AE439&gt;=1,"D","F")))))))</f>
        <v/>
      </c>
      <c r="N439" s="3">
        <f>IF('Data Source'!B439="","",IF('Data Source'!AF439&gt;=5,"A+",IF('Data Source'!AF439&gt;=4,"A",IF('Data Source'!AF439&gt;=3.5,"A-",IF('Data Source'!AF439&gt;=3,"B",IF('Data Source'!AF439&gt;=2,"C",IF('Data Source'!AF439&gt;=1,"D","F")))))))</f>
        <v/>
      </c>
      <c r="O439" s="3">
        <f>IF('Data Source'!B439="","",IF('Data Source'!AG439&gt;=5,"A+",IF('Data Source'!AG439&gt;=4,"A",IF('Data Source'!AG439&gt;=3.5,"A-",IF('Data Source'!AG439&gt;=3,"B",IF('Data Source'!AG439&gt;=2,"C",IF('Data Source'!AG439&gt;=1,"D","F")))))))</f>
        <v/>
      </c>
      <c r="P439" s="5">
        <f>IF('Data Source'!B439="","",'Data Source'!R439)</f>
        <v/>
      </c>
      <c r="Q439" s="3">
        <f>IF('Data Source'!B439="","",'Data Source'!S439)</f>
        <v/>
      </c>
    </row>
    <row r="440">
      <c r="A440" s="3">
        <f>IF('Data Source'!B440="","",'Data Source'!A440)</f>
        <v/>
      </c>
      <c r="B440">
        <f>IF('Data Source'!B440="","",'Data Source'!B440)</f>
        <v/>
      </c>
      <c r="C440" s="3">
        <f>IF('Data Source'!B440="","",IF('Data Source'!U440&gt;=5,"A+",IF('Data Source'!U440&gt;=4,"A",IF('Data Source'!U440&gt;=3.5,"A-",IF('Data Source'!U440&gt;=3,"B",IF('Data Source'!U440&gt;=2,"C",IF('Data Source'!U440&gt;=1,"D","F")))))))</f>
        <v/>
      </c>
      <c r="D440" s="3">
        <f>IF('Data Source'!B440="","",IF('Data Source'!V440&gt;=5,"A+",IF('Data Source'!V440&gt;=4,"A",IF('Data Source'!V440&gt;=3.5,"A-",IF('Data Source'!V440&gt;=3,"B",IF('Data Source'!V440&gt;=2,"C",IF('Data Source'!V440&gt;=1,"D","F")))))))</f>
        <v/>
      </c>
      <c r="E440" s="3">
        <f>IF('Data Source'!B440="","",IF('Data Source'!W440&gt;=5,"A+",IF('Data Source'!W440&gt;=4,"A",IF('Data Source'!W440&gt;=3.5,"A-",IF('Data Source'!W440&gt;=3,"B",IF('Data Source'!W440&gt;=2,"C",IF('Data Source'!W440&gt;=1,"D","F")))))))</f>
        <v/>
      </c>
      <c r="F440" s="3">
        <f>IF('Data Source'!B440="","",IF('Data Source'!X440&gt;=5,"A+",IF('Data Source'!X440&gt;=4,"A",IF('Data Source'!X440&gt;=3.5,"A-",IF('Data Source'!X440&gt;=3,"B",IF('Data Source'!X440&gt;=2,"C",IF('Data Source'!X440&gt;=1,"D","F")))))))</f>
        <v/>
      </c>
      <c r="G440" s="3">
        <f>IF('Data Source'!B440="","",IF('Data Source'!Y440&gt;=5,"A+",IF('Data Source'!Y440&gt;=4,"A",IF('Data Source'!Y440&gt;=3.5,"A-",IF('Data Source'!Y440&gt;=3,"B",IF('Data Source'!Y440&gt;=2,"C",IF('Data Source'!Y440&gt;=1,"D","F")))))))</f>
        <v/>
      </c>
      <c r="H440" s="3">
        <f>IF('Data Source'!B440="","",IF('Data Source'!Z440&gt;=5,"A+",IF('Data Source'!Z440&gt;=4,"A",IF('Data Source'!Z440&gt;=3.5,"A-",IF('Data Source'!Z440&gt;=3,"B",IF('Data Source'!Z440&gt;=2,"C",IF('Data Source'!Z440&gt;=1,"D","F")))))))</f>
        <v/>
      </c>
      <c r="I440" s="3">
        <f>IF('Data Source'!B440="","",IF('Data Source'!AA440&gt;=5,"A+",IF('Data Source'!AA440&gt;=4,"A",IF('Data Source'!AA440&gt;=3.5,"A-",IF('Data Source'!AA440&gt;=3,"B",IF('Data Source'!AA440&gt;=2,"C",IF('Data Source'!AA440&gt;=1,"D","F")))))))</f>
        <v/>
      </c>
      <c r="J440" s="3">
        <f>IF('Data Source'!B440="","",IF('Data Source'!AB440&gt;=5,"A+",IF('Data Source'!AB440&gt;=4,"A",IF('Data Source'!AB440&gt;=3.5,"A-",IF('Data Source'!AB440&gt;=3,"B",IF('Data Source'!AB440&gt;=2,"C",IF('Data Source'!AB440&gt;=1,"D","F")))))))</f>
        <v/>
      </c>
      <c r="K440" s="3">
        <f>IF('Data Source'!B440="","",IF('Data Source'!AC440&gt;=5,"A+",IF('Data Source'!AC440&gt;=4,"A",IF('Data Source'!AC440&gt;=3.5,"A-",IF('Data Source'!AC440&gt;=3,"B",IF('Data Source'!AC440&gt;=2,"C",IF('Data Source'!AC440&gt;=1,"D","F")))))))</f>
        <v/>
      </c>
      <c r="L440" s="3">
        <f>IF('Data Source'!B440="","",IF('Data Source'!AD440&gt;=5,"A+",IF('Data Source'!AD440&gt;=4,"A",IF('Data Source'!AD440&gt;=3.5,"A-",IF('Data Source'!AD440&gt;=3,"B",IF('Data Source'!AD440&gt;=2,"C",IF('Data Source'!AD440&gt;=1,"D","F")))))))</f>
        <v/>
      </c>
      <c r="M440" s="3">
        <f>IF('Data Source'!B440="","",IF('Data Source'!AE440&gt;=5,"A+",IF('Data Source'!AE440&gt;=4,"A",IF('Data Source'!AE440&gt;=3.5,"A-",IF('Data Source'!AE440&gt;=3,"B",IF('Data Source'!AE440&gt;=2,"C",IF('Data Source'!AE440&gt;=1,"D","F")))))))</f>
        <v/>
      </c>
      <c r="N440" s="3">
        <f>IF('Data Source'!B440="","",IF('Data Source'!AF440&gt;=5,"A+",IF('Data Source'!AF440&gt;=4,"A",IF('Data Source'!AF440&gt;=3.5,"A-",IF('Data Source'!AF440&gt;=3,"B",IF('Data Source'!AF440&gt;=2,"C",IF('Data Source'!AF440&gt;=1,"D","F")))))))</f>
        <v/>
      </c>
      <c r="O440" s="3">
        <f>IF('Data Source'!B440="","",IF('Data Source'!AG440&gt;=5,"A+",IF('Data Source'!AG440&gt;=4,"A",IF('Data Source'!AG440&gt;=3.5,"A-",IF('Data Source'!AG440&gt;=3,"B",IF('Data Source'!AG440&gt;=2,"C",IF('Data Source'!AG440&gt;=1,"D","F")))))))</f>
        <v/>
      </c>
      <c r="P440" s="5">
        <f>IF('Data Source'!B440="","",'Data Source'!R440)</f>
        <v/>
      </c>
      <c r="Q440" s="3">
        <f>IF('Data Source'!B440="","",'Data Source'!S440)</f>
        <v/>
      </c>
    </row>
    <row r="441">
      <c r="A441" s="3">
        <f>IF('Data Source'!B441="","",'Data Source'!A441)</f>
        <v/>
      </c>
      <c r="B441">
        <f>IF('Data Source'!B441="","",'Data Source'!B441)</f>
        <v/>
      </c>
      <c r="C441" s="3">
        <f>IF('Data Source'!B441="","",IF('Data Source'!U441&gt;=5,"A+",IF('Data Source'!U441&gt;=4,"A",IF('Data Source'!U441&gt;=3.5,"A-",IF('Data Source'!U441&gt;=3,"B",IF('Data Source'!U441&gt;=2,"C",IF('Data Source'!U441&gt;=1,"D","F")))))))</f>
        <v/>
      </c>
      <c r="D441" s="3">
        <f>IF('Data Source'!B441="","",IF('Data Source'!V441&gt;=5,"A+",IF('Data Source'!V441&gt;=4,"A",IF('Data Source'!V441&gt;=3.5,"A-",IF('Data Source'!V441&gt;=3,"B",IF('Data Source'!V441&gt;=2,"C",IF('Data Source'!V441&gt;=1,"D","F")))))))</f>
        <v/>
      </c>
      <c r="E441" s="3">
        <f>IF('Data Source'!B441="","",IF('Data Source'!W441&gt;=5,"A+",IF('Data Source'!W441&gt;=4,"A",IF('Data Source'!W441&gt;=3.5,"A-",IF('Data Source'!W441&gt;=3,"B",IF('Data Source'!W441&gt;=2,"C",IF('Data Source'!W441&gt;=1,"D","F")))))))</f>
        <v/>
      </c>
      <c r="F441" s="3">
        <f>IF('Data Source'!B441="","",IF('Data Source'!X441&gt;=5,"A+",IF('Data Source'!X441&gt;=4,"A",IF('Data Source'!X441&gt;=3.5,"A-",IF('Data Source'!X441&gt;=3,"B",IF('Data Source'!X441&gt;=2,"C",IF('Data Source'!X441&gt;=1,"D","F")))))))</f>
        <v/>
      </c>
      <c r="G441" s="3">
        <f>IF('Data Source'!B441="","",IF('Data Source'!Y441&gt;=5,"A+",IF('Data Source'!Y441&gt;=4,"A",IF('Data Source'!Y441&gt;=3.5,"A-",IF('Data Source'!Y441&gt;=3,"B",IF('Data Source'!Y441&gt;=2,"C",IF('Data Source'!Y441&gt;=1,"D","F")))))))</f>
        <v/>
      </c>
      <c r="H441" s="3">
        <f>IF('Data Source'!B441="","",IF('Data Source'!Z441&gt;=5,"A+",IF('Data Source'!Z441&gt;=4,"A",IF('Data Source'!Z441&gt;=3.5,"A-",IF('Data Source'!Z441&gt;=3,"B",IF('Data Source'!Z441&gt;=2,"C",IF('Data Source'!Z441&gt;=1,"D","F")))))))</f>
        <v/>
      </c>
      <c r="I441" s="3">
        <f>IF('Data Source'!B441="","",IF('Data Source'!AA441&gt;=5,"A+",IF('Data Source'!AA441&gt;=4,"A",IF('Data Source'!AA441&gt;=3.5,"A-",IF('Data Source'!AA441&gt;=3,"B",IF('Data Source'!AA441&gt;=2,"C",IF('Data Source'!AA441&gt;=1,"D","F")))))))</f>
        <v/>
      </c>
      <c r="J441" s="3">
        <f>IF('Data Source'!B441="","",IF('Data Source'!AB441&gt;=5,"A+",IF('Data Source'!AB441&gt;=4,"A",IF('Data Source'!AB441&gt;=3.5,"A-",IF('Data Source'!AB441&gt;=3,"B",IF('Data Source'!AB441&gt;=2,"C",IF('Data Source'!AB441&gt;=1,"D","F")))))))</f>
        <v/>
      </c>
      <c r="K441" s="3">
        <f>IF('Data Source'!B441="","",IF('Data Source'!AC441&gt;=5,"A+",IF('Data Source'!AC441&gt;=4,"A",IF('Data Source'!AC441&gt;=3.5,"A-",IF('Data Source'!AC441&gt;=3,"B",IF('Data Source'!AC441&gt;=2,"C",IF('Data Source'!AC441&gt;=1,"D","F")))))))</f>
        <v/>
      </c>
      <c r="L441" s="3">
        <f>IF('Data Source'!B441="","",IF('Data Source'!AD441&gt;=5,"A+",IF('Data Source'!AD441&gt;=4,"A",IF('Data Source'!AD441&gt;=3.5,"A-",IF('Data Source'!AD441&gt;=3,"B",IF('Data Source'!AD441&gt;=2,"C",IF('Data Source'!AD441&gt;=1,"D","F")))))))</f>
        <v/>
      </c>
      <c r="M441" s="3">
        <f>IF('Data Source'!B441="","",IF('Data Source'!AE441&gt;=5,"A+",IF('Data Source'!AE441&gt;=4,"A",IF('Data Source'!AE441&gt;=3.5,"A-",IF('Data Source'!AE441&gt;=3,"B",IF('Data Source'!AE441&gt;=2,"C",IF('Data Source'!AE441&gt;=1,"D","F")))))))</f>
        <v/>
      </c>
      <c r="N441" s="3">
        <f>IF('Data Source'!B441="","",IF('Data Source'!AF441&gt;=5,"A+",IF('Data Source'!AF441&gt;=4,"A",IF('Data Source'!AF441&gt;=3.5,"A-",IF('Data Source'!AF441&gt;=3,"B",IF('Data Source'!AF441&gt;=2,"C",IF('Data Source'!AF441&gt;=1,"D","F")))))))</f>
        <v/>
      </c>
      <c r="O441" s="3">
        <f>IF('Data Source'!B441="","",IF('Data Source'!AG441&gt;=5,"A+",IF('Data Source'!AG441&gt;=4,"A",IF('Data Source'!AG441&gt;=3.5,"A-",IF('Data Source'!AG441&gt;=3,"B",IF('Data Source'!AG441&gt;=2,"C",IF('Data Source'!AG441&gt;=1,"D","F")))))))</f>
        <v/>
      </c>
      <c r="P441" s="5">
        <f>IF('Data Source'!B441="","",'Data Source'!R441)</f>
        <v/>
      </c>
      <c r="Q441" s="3">
        <f>IF('Data Source'!B441="","",'Data Source'!S441)</f>
        <v/>
      </c>
    </row>
    <row r="442">
      <c r="A442" s="3">
        <f>IF('Data Source'!B442="","",'Data Source'!A442)</f>
        <v/>
      </c>
      <c r="B442">
        <f>IF('Data Source'!B442="","",'Data Source'!B442)</f>
        <v/>
      </c>
      <c r="C442" s="3">
        <f>IF('Data Source'!B442="","",IF('Data Source'!U442&gt;=5,"A+",IF('Data Source'!U442&gt;=4,"A",IF('Data Source'!U442&gt;=3.5,"A-",IF('Data Source'!U442&gt;=3,"B",IF('Data Source'!U442&gt;=2,"C",IF('Data Source'!U442&gt;=1,"D","F")))))))</f>
        <v/>
      </c>
      <c r="D442" s="3">
        <f>IF('Data Source'!B442="","",IF('Data Source'!V442&gt;=5,"A+",IF('Data Source'!V442&gt;=4,"A",IF('Data Source'!V442&gt;=3.5,"A-",IF('Data Source'!V442&gt;=3,"B",IF('Data Source'!V442&gt;=2,"C",IF('Data Source'!V442&gt;=1,"D","F")))))))</f>
        <v/>
      </c>
      <c r="E442" s="3">
        <f>IF('Data Source'!B442="","",IF('Data Source'!W442&gt;=5,"A+",IF('Data Source'!W442&gt;=4,"A",IF('Data Source'!W442&gt;=3.5,"A-",IF('Data Source'!W442&gt;=3,"B",IF('Data Source'!W442&gt;=2,"C",IF('Data Source'!W442&gt;=1,"D","F")))))))</f>
        <v/>
      </c>
      <c r="F442" s="3">
        <f>IF('Data Source'!B442="","",IF('Data Source'!X442&gt;=5,"A+",IF('Data Source'!X442&gt;=4,"A",IF('Data Source'!X442&gt;=3.5,"A-",IF('Data Source'!X442&gt;=3,"B",IF('Data Source'!X442&gt;=2,"C",IF('Data Source'!X442&gt;=1,"D","F")))))))</f>
        <v/>
      </c>
      <c r="G442" s="3">
        <f>IF('Data Source'!B442="","",IF('Data Source'!Y442&gt;=5,"A+",IF('Data Source'!Y442&gt;=4,"A",IF('Data Source'!Y442&gt;=3.5,"A-",IF('Data Source'!Y442&gt;=3,"B",IF('Data Source'!Y442&gt;=2,"C",IF('Data Source'!Y442&gt;=1,"D","F")))))))</f>
        <v/>
      </c>
      <c r="H442" s="3">
        <f>IF('Data Source'!B442="","",IF('Data Source'!Z442&gt;=5,"A+",IF('Data Source'!Z442&gt;=4,"A",IF('Data Source'!Z442&gt;=3.5,"A-",IF('Data Source'!Z442&gt;=3,"B",IF('Data Source'!Z442&gt;=2,"C",IF('Data Source'!Z442&gt;=1,"D","F")))))))</f>
        <v/>
      </c>
      <c r="I442" s="3">
        <f>IF('Data Source'!B442="","",IF('Data Source'!AA442&gt;=5,"A+",IF('Data Source'!AA442&gt;=4,"A",IF('Data Source'!AA442&gt;=3.5,"A-",IF('Data Source'!AA442&gt;=3,"B",IF('Data Source'!AA442&gt;=2,"C",IF('Data Source'!AA442&gt;=1,"D","F")))))))</f>
        <v/>
      </c>
      <c r="J442" s="3">
        <f>IF('Data Source'!B442="","",IF('Data Source'!AB442&gt;=5,"A+",IF('Data Source'!AB442&gt;=4,"A",IF('Data Source'!AB442&gt;=3.5,"A-",IF('Data Source'!AB442&gt;=3,"B",IF('Data Source'!AB442&gt;=2,"C",IF('Data Source'!AB442&gt;=1,"D","F")))))))</f>
        <v/>
      </c>
      <c r="K442" s="3">
        <f>IF('Data Source'!B442="","",IF('Data Source'!AC442&gt;=5,"A+",IF('Data Source'!AC442&gt;=4,"A",IF('Data Source'!AC442&gt;=3.5,"A-",IF('Data Source'!AC442&gt;=3,"B",IF('Data Source'!AC442&gt;=2,"C",IF('Data Source'!AC442&gt;=1,"D","F")))))))</f>
        <v/>
      </c>
      <c r="L442" s="3">
        <f>IF('Data Source'!B442="","",IF('Data Source'!AD442&gt;=5,"A+",IF('Data Source'!AD442&gt;=4,"A",IF('Data Source'!AD442&gt;=3.5,"A-",IF('Data Source'!AD442&gt;=3,"B",IF('Data Source'!AD442&gt;=2,"C",IF('Data Source'!AD442&gt;=1,"D","F")))))))</f>
        <v/>
      </c>
      <c r="M442" s="3">
        <f>IF('Data Source'!B442="","",IF('Data Source'!AE442&gt;=5,"A+",IF('Data Source'!AE442&gt;=4,"A",IF('Data Source'!AE442&gt;=3.5,"A-",IF('Data Source'!AE442&gt;=3,"B",IF('Data Source'!AE442&gt;=2,"C",IF('Data Source'!AE442&gt;=1,"D","F")))))))</f>
        <v/>
      </c>
      <c r="N442" s="3">
        <f>IF('Data Source'!B442="","",IF('Data Source'!AF442&gt;=5,"A+",IF('Data Source'!AF442&gt;=4,"A",IF('Data Source'!AF442&gt;=3.5,"A-",IF('Data Source'!AF442&gt;=3,"B",IF('Data Source'!AF442&gt;=2,"C",IF('Data Source'!AF442&gt;=1,"D","F")))))))</f>
        <v/>
      </c>
      <c r="O442" s="3">
        <f>IF('Data Source'!B442="","",IF('Data Source'!AG442&gt;=5,"A+",IF('Data Source'!AG442&gt;=4,"A",IF('Data Source'!AG442&gt;=3.5,"A-",IF('Data Source'!AG442&gt;=3,"B",IF('Data Source'!AG442&gt;=2,"C",IF('Data Source'!AG442&gt;=1,"D","F")))))))</f>
        <v/>
      </c>
      <c r="P442" s="5">
        <f>IF('Data Source'!B442="","",'Data Source'!R442)</f>
        <v/>
      </c>
      <c r="Q442" s="3">
        <f>IF('Data Source'!B442="","",'Data Source'!S442)</f>
        <v/>
      </c>
    </row>
    <row r="443">
      <c r="A443" s="3">
        <f>IF('Data Source'!B443="","",'Data Source'!A443)</f>
        <v/>
      </c>
      <c r="B443">
        <f>IF('Data Source'!B443="","",'Data Source'!B443)</f>
        <v/>
      </c>
      <c r="C443" s="3">
        <f>IF('Data Source'!B443="","",IF('Data Source'!U443&gt;=5,"A+",IF('Data Source'!U443&gt;=4,"A",IF('Data Source'!U443&gt;=3.5,"A-",IF('Data Source'!U443&gt;=3,"B",IF('Data Source'!U443&gt;=2,"C",IF('Data Source'!U443&gt;=1,"D","F")))))))</f>
        <v/>
      </c>
      <c r="D443" s="3">
        <f>IF('Data Source'!B443="","",IF('Data Source'!V443&gt;=5,"A+",IF('Data Source'!V443&gt;=4,"A",IF('Data Source'!V443&gt;=3.5,"A-",IF('Data Source'!V443&gt;=3,"B",IF('Data Source'!V443&gt;=2,"C",IF('Data Source'!V443&gt;=1,"D","F")))))))</f>
        <v/>
      </c>
      <c r="E443" s="3">
        <f>IF('Data Source'!B443="","",IF('Data Source'!W443&gt;=5,"A+",IF('Data Source'!W443&gt;=4,"A",IF('Data Source'!W443&gt;=3.5,"A-",IF('Data Source'!W443&gt;=3,"B",IF('Data Source'!W443&gt;=2,"C",IF('Data Source'!W443&gt;=1,"D","F")))))))</f>
        <v/>
      </c>
      <c r="F443" s="3">
        <f>IF('Data Source'!B443="","",IF('Data Source'!X443&gt;=5,"A+",IF('Data Source'!X443&gt;=4,"A",IF('Data Source'!X443&gt;=3.5,"A-",IF('Data Source'!X443&gt;=3,"B",IF('Data Source'!X443&gt;=2,"C",IF('Data Source'!X443&gt;=1,"D","F")))))))</f>
        <v/>
      </c>
      <c r="G443" s="3">
        <f>IF('Data Source'!B443="","",IF('Data Source'!Y443&gt;=5,"A+",IF('Data Source'!Y443&gt;=4,"A",IF('Data Source'!Y443&gt;=3.5,"A-",IF('Data Source'!Y443&gt;=3,"B",IF('Data Source'!Y443&gt;=2,"C",IF('Data Source'!Y443&gt;=1,"D","F")))))))</f>
        <v/>
      </c>
      <c r="H443" s="3">
        <f>IF('Data Source'!B443="","",IF('Data Source'!Z443&gt;=5,"A+",IF('Data Source'!Z443&gt;=4,"A",IF('Data Source'!Z443&gt;=3.5,"A-",IF('Data Source'!Z443&gt;=3,"B",IF('Data Source'!Z443&gt;=2,"C",IF('Data Source'!Z443&gt;=1,"D","F")))))))</f>
        <v/>
      </c>
      <c r="I443" s="3">
        <f>IF('Data Source'!B443="","",IF('Data Source'!AA443&gt;=5,"A+",IF('Data Source'!AA443&gt;=4,"A",IF('Data Source'!AA443&gt;=3.5,"A-",IF('Data Source'!AA443&gt;=3,"B",IF('Data Source'!AA443&gt;=2,"C",IF('Data Source'!AA443&gt;=1,"D","F")))))))</f>
        <v/>
      </c>
      <c r="J443" s="3">
        <f>IF('Data Source'!B443="","",IF('Data Source'!AB443&gt;=5,"A+",IF('Data Source'!AB443&gt;=4,"A",IF('Data Source'!AB443&gt;=3.5,"A-",IF('Data Source'!AB443&gt;=3,"B",IF('Data Source'!AB443&gt;=2,"C",IF('Data Source'!AB443&gt;=1,"D","F")))))))</f>
        <v/>
      </c>
      <c r="K443" s="3">
        <f>IF('Data Source'!B443="","",IF('Data Source'!AC443&gt;=5,"A+",IF('Data Source'!AC443&gt;=4,"A",IF('Data Source'!AC443&gt;=3.5,"A-",IF('Data Source'!AC443&gt;=3,"B",IF('Data Source'!AC443&gt;=2,"C",IF('Data Source'!AC443&gt;=1,"D","F")))))))</f>
        <v/>
      </c>
      <c r="L443" s="3">
        <f>IF('Data Source'!B443="","",IF('Data Source'!AD443&gt;=5,"A+",IF('Data Source'!AD443&gt;=4,"A",IF('Data Source'!AD443&gt;=3.5,"A-",IF('Data Source'!AD443&gt;=3,"B",IF('Data Source'!AD443&gt;=2,"C",IF('Data Source'!AD443&gt;=1,"D","F")))))))</f>
        <v/>
      </c>
      <c r="M443" s="3">
        <f>IF('Data Source'!B443="","",IF('Data Source'!AE443&gt;=5,"A+",IF('Data Source'!AE443&gt;=4,"A",IF('Data Source'!AE443&gt;=3.5,"A-",IF('Data Source'!AE443&gt;=3,"B",IF('Data Source'!AE443&gt;=2,"C",IF('Data Source'!AE443&gt;=1,"D","F")))))))</f>
        <v/>
      </c>
      <c r="N443" s="3">
        <f>IF('Data Source'!B443="","",IF('Data Source'!AF443&gt;=5,"A+",IF('Data Source'!AF443&gt;=4,"A",IF('Data Source'!AF443&gt;=3.5,"A-",IF('Data Source'!AF443&gt;=3,"B",IF('Data Source'!AF443&gt;=2,"C",IF('Data Source'!AF443&gt;=1,"D","F")))))))</f>
        <v/>
      </c>
      <c r="O443" s="3">
        <f>IF('Data Source'!B443="","",IF('Data Source'!AG443&gt;=5,"A+",IF('Data Source'!AG443&gt;=4,"A",IF('Data Source'!AG443&gt;=3.5,"A-",IF('Data Source'!AG443&gt;=3,"B",IF('Data Source'!AG443&gt;=2,"C",IF('Data Source'!AG443&gt;=1,"D","F")))))))</f>
        <v/>
      </c>
      <c r="P443" s="5">
        <f>IF('Data Source'!B443="","",'Data Source'!R443)</f>
        <v/>
      </c>
      <c r="Q443" s="3">
        <f>IF('Data Source'!B443="","",'Data Source'!S443)</f>
        <v/>
      </c>
    </row>
    <row r="444">
      <c r="A444" s="3">
        <f>IF('Data Source'!B444="","",'Data Source'!A444)</f>
        <v/>
      </c>
      <c r="B444">
        <f>IF('Data Source'!B444="","",'Data Source'!B444)</f>
        <v/>
      </c>
      <c r="C444" s="3">
        <f>IF('Data Source'!B444="","",IF('Data Source'!U444&gt;=5,"A+",IF('Data Source'!U444&gt;=4,"A",IF('Data Source'!U444&gt;=3.5,"A-",IF('Data Source'!U444&gt;=3,"B",IF('Data Source'!U444&gt;=2,"C",IF('Data Source'!U444&gt;=1,"D","F")))))))</f>
        <v/>
      </c>
      <c r="D444" s="3">
        <f>IF('Data Source'!B444="","",IF('Data Source'!V444&gt;=5,"A+",IF('Data Source'!V444&gt;=4,"A",IF('Data Source'!V444&gt;=3.5,"A-",IF('Data Source'!V444&gt;=3,"B",IF('Data Source'!V444&gt;=2,"C",IF('Data Source'!V444&gt;=1,"D","F")))))))</f>
        <v/>
      </c>
      <c r="E444" s="3">
        <f>IF('Data Source'!B444="","",IF('Data Source'!W444&gt;=5,"A+",IF('Data Source'!W444&gt;=4,"A",IF('Data Source'!W444&gt;=3.5,"A-",IF('Data Source'!W444&gt;=3,"B",IF('Data Source'!W444&gt;=2,"C",IF('Data Source'!W444&gt;=1,"D","F")))))))</f>
        <v/>
      </c>
      <c r="F444" s="3">
        <f>IF('Data Source'!B444="","",IF('Data Source'!X444&gt;=5,"A+",IF('Data Source'!X444&gt;=4,"A",IF('Data Source'!X444&gt;=3.5,"A-",IF('Data Source'!X444&gt;=3,"B",IF('Data Source'!X444&gt;=2,"C",IF('Data Source'!X444&gt;=1,"D","F")))))))</f>
        <v/>
      </c>
      <c r="G444" s="3">
        <f>IF('Data Source'!B444="","",IF('Data Source'!Y444&gt;=5,"A+",IF('Data Source'!Y444&gt;=4,"A",IF('Data Source'!Y444&gt;=3.5,"A-",IF('Data Source'!Y444&gt;=3,"B",IF('Data Source'!Y444&gt;=2,"C",IF('Data Source'!Y444&gt;=1,"D","F")))))))</f>
        <v/>
      </c>
      <c r="H444" s="3">
        <f>IF('Data Source'!B444="","",IF('Data Source'!Z444&gt;=5,"A+",IF('Data Source'!Z444&gt;=4,"A",IF('Data Source'!Z444&gt;=3.5,"A-",IF('Data Source'!Z444&gt;=3,"B",IF('Data Source'!Z444&gt;=2,"C",IF('Data Source'!Z444&gt;=1,"D","F")))))))</f>
        <v/>
      </c>
      <c r="I444" s="3">
        <f>IF('Data Source'!B444="","",IF('Data Source'!AA444&gt;=5,"A+",IF('Data Source'!AA444&gt;=4,"A",IF('Data Source'!AA444&gt;=3.5,"A-",IF('Data Source'!AA444&gt;=3,"B",IF('Data Source'!AA444&gt;=2,"C",IF('Data Source'!AA444&gt;=1,"D","F")))))))</f>
        <v/>
      </c>
      <c r="J444" s="3">
        <f>IF('Data Source'!B444="","",IF('Data Source'!AB444&gt;=5,"A+",IF('Data Source'!AB444&gt;=4,"A",IF('Data Source'!AB444&gt;=3.5,"A-",IF('Data Source'!AB444&gt;=3,"B",IF('Data Source'!AB444&gt;=2,"C",IF('Data Source'!AB444&gt;=1,"D","F")))))))</f>
        <v/>
      </c>
      <c r="K444" s="3">
        <f>IF('Data Source'!B444="","",IF('Data Source'!AC444&gt;=5,"A+",IF('Data Source'!AC444&gt;=4,"A",IF('Data Source'!AC444&gt;=3.5,"A-",IF('Data Source'!AC444&gt;=3,"B",IF('Data Source'!AC444&gt;=2,"C",IF('Data Source'!AC444&gt;=1,"D","F")))))))</f>
        <v/>
      </c>
      <c r="L444" s="3">
        <f>IF('Data Source'!B444="","",IF('Data Source'!AD444&gt;=5,"A+",IF('Data Source'!AD444&gt;=4,"A",IF('Data Source'!AD444&gt;=3.5,"A-",IF('Data Source'!AD444&gt;=3,"B",IF('Data Source'!AD444&gt;=2,"C",IF('Data Source'!AD444&gt;=1,"D","F")))))))</f>
        <v/>
      </c>
      <c r="M444" s="3">
        <f>IF('Data Source'!B444="","",IF('Data Source'!AE444&gt;=5,"A+",IF('Data Source'!AE444&gt;=4,"A",IF('Data Source'!AE444&gt;=3.5,"A-",IF('Data Source'!AE444&gt;=3,"B",IF('Data Source'!AE444&gt;=2,"C",IF('Data Source'!AE444&gt;=1,"D","F")))))))</f>
        <v/>
      </c>
      <c r="N444" s="3">
        <f>IF('Data Source'!B444="","",IF('Data Source'!AF444&gt;=5,"A+",IF('Data Source'!AF444&gt;=4,"A",IF('Data Source'!AF444&gt;=3.5,"A-",IF('Data Source'!AF444&gt;=3,"B",IF('Data Source'!AF444&gt;=2,"C",IF('Data Source'!AF444&gt;=1,"D","F")))))))</f>
        <v/>
      </c>
      <c r="O444" s="3">
        <f>IF('Data Source'!B444="","",IF('Data Source'!AG444&gt;=5,"A+",IF('Data Source'!AG444&gt;=4,"A",IF('Data Source'!AG444&gt;=3.5,"A-",IF('Data Source'!AG444&gt;=3,"B",IF('Data Source'!AG444&gt;=2,"C",IF('Data Source'!AG444&gt;=1,"D","F")))))))</f>
        <v/>
      </c>
      <c r="P444" s="5">
        <f>IF('Data Source'!B444="","",'Data Source'!R444)</f>
        <v/>
      </c>
      <c r="Q444" s="3">
        <f>IF('Data Source'!B444="","",'Data Source'!S444)</f>
        <v/>
      </c>
    </row>
    <row r="445">
      <c r="A445" s="3">
        <f>IF('Data Source'!B445="","",'Data Source'!A445)</f>
        <v/>
      </c>
      <c r="B445">
        <f>IF('Data Source'!B445="","",'Data Source'!B445)</f>
        <v/>
      </c>
      <c r="C445" s="3">
        <f>IF('Data Source'!B445="","",IF('Data Source'!U445&gt;=5,"A+",IF('Data Source'!U445&gt;=4,"A",IF('Data Source'!U445&gt;=3.5,"A-",IF('Data Source'!U445&gt;=3,"B",IF('Data Source'!U445&gt;=2,"C",IF('Data Source'!U445&gt;=1,"D","F")))))))</f>
        <v/>
      </c>
      <c r="D445" s="3">
        <f>IF('Data Source'!B445="","",IF('Data Source'!V445&gt;=5,"A+",IF('Data Source'!V445&gt;=4,"A",IF('Data Source'!V445&gt;=3.5,"A-",IF('Data Source'!V445&gt;=3,"B",IF('Data Source'!V445&gt;=2,"C",IF('Data Source'!V445&gt;=1,"D","F")))))))</f>
        <v/>
      </c>
      <c r="E445" s="3">
        <f>IF('Data Source'!B445="","",IF('Data Source'!W445&gt;=5,"A+",IF('Data Source'!W445&gt;=4,"A",IF('Data Source'!W445&gt;=3.5,"A-",IF('Data Source'!W445&gt;=3,"B",IF('Data Source'!W445&gt;=2,"C",IF('Data Source'!W445&gt;=1,"D","F")))))))</f>
        <v/>
      </c>
      <c r="F445" s="3">
        <f>IF('Data Source'!B445="","",IF('Data Source'!X445&gt;=5,"A+",IF('Data Source'!X445&gt;=4,"A",IF('Data Source'!X445&gt;=3.5,"A-",IF('Data Source'!X445&gt;=3,"B",IF('Data Source'!X445&gt;=2,"C",IF('Data Source'!X445&gt;=1,"D","F")))))))</f>
        <v/>
      </c>
      <c r="G445" s="3">
        <f>IF('Data Source'!B445="","",IF('Data Source'!Y445&gt;=5,"A+",IF('Data Source'!Y445&gt;=4,"A",IF('Data Source'!Y445&gt;=3.5,"A-",IF('Data Source'!Y445&gt;=3,"B",IF('Data Source'!Y445&gt;=2,"C",IF('Data Source'!Y445&gt;=1,"D","F")))))))</f>
        <v/>
      </c>
      <c r="H445" s="3">
        <f>IF('Data Source'!B445="","",IF('Data Source'!Z445&gt;=5,"A+",IF('Data Source'!Z445&gt;=4,"A",IF('Data Source'!Z445&gt;=3.5,"A-",IF('Data Source'!Z445&gt;=3,"B",IF('Data Source'!Z445&gt;=2,"C",IF('Data Source'!Z445&gt;=1,"D","F")))))))</f>
        <v/>
      </c>
      <c r="I445" s="3">
        <f>IF('Data Source'!B445="","",IF('Data Source'!AA445&gt;=5,"A+",IF('Data Source'!AA445&gt;=4,"A",IF('Data Source'!AA445&gt;=3.5,"A-",IF('Data Source'!AA445&gt;=3,"B",IF('Data Source'!AA445&gt;=2,"C",IF('Data Source'!AA445&gt;=1,"D","F")))))))</f>
        <v/>
      </c>
      <c r="J445" s="3">
        <f>IF('Data Source'!B445="","",IF('Data Source'!AB445&gt;=5,"A+",IF('Data Source'!AB445&gt;=4,"A",IF('Data Source'!AB445&gt;=3.5,"A-",IF('Data Source'!AB445&gt;=3,"B",IF('Data Source'!AB445&gt;=2,"C",IF('Data Source'!AB445&gt;=1,"D","F")))))))</f>
        <v/>
      </c>
      <c r="K445" s="3">
        <f>IF('Data Source'!B445="","",IF('Data Source'!AC445&gt;=5,"A+",IF('Data Source'!AC445&gt;=4,"A",IF('Data Source'!AC445&gt;=3.5,"A-",IF('Data Source'!AC445&gt;=3,"B",IF('Data Source'!AC445&gt;=2,"C",IF('Data Source'!AC445&gt;=1,"D","F")))))))</f>
        <v/>
      </c>
      <c r="L445" s="3">
        <f>IF('Data Source'!B445="","",IF('Data Source'!AD445&gt;=5,"A+",IF('Data Source'!AD445&gt;=4,"A",IF('Data Source'!AD445&gt;=3.5,"A-",IF('Data Source'!AD445&gt;=3,"B",IF('Data Source'!AD445&gt;=2,"C",IF('Data Source'!AD445&gt;=1,"D","F")))))))</f>
        <v/>
      </c>
      <c r="M445" s="3">
        <f>IF('Data Source'!B445="","",IF('Data Source'!AE445&gt;=5,"A+",IF('Data Source'!AE445&gt;=4,"A",IF('Data Source'!AE445&gt;=3.5,"A-",IF('Data Source'!AE445&gt;=3,"B",IF('Data Source'!AE445&gt;=2,"C",IF('Data Source'!AE445&gt;=1,"D","F")))))))</f>
        <v/>
      </c>
      <c r="N445" s="3">
        <f>IF('Data Source'!B445="","",IF('Data Source'!AF445&gt;=5,"A+",IF('Data Source'!AF445&gt;=4,"A",IF('Data Source'!AF445&gt;=3.5,"A-",IF('Data Source'!AF445&gt;=3,"B",IF('Data Source'!AF445&gt;=2,"C",IF('Data Source'!AF445&gt;=1,"D","F")))))))</f>
        <v/>
      </c>
      <c r="O445" s="3">
        <f>IF('Data Source'!B445="","",IF('Data Source'!AG445&gt;=5,"A+",IF('Data Source'!AG445&gt;=4,"A",IF('Data Source'!AG445&gt;=3.5,"A-",IF('Data Source'!AG445&gt;=3,"B",IF('Data Source'!AG445&gt;=2,"C",IF('Data Source'!AG445&gt;=1,"D","F")))))))</f>
        <v/>
      </c>
      <c r="P445" s="5">
        <f>IF('Data Source'!B445="","",'Data Source'!R445)</f>
        <v/>
      </c>
      <c r="Q445" s="3">
        <f>IF('Data Source'!B445="","",'Data Source'!S445)</f>
        <v/>
      </c>
    </row>
    <row r="446">
      <c r="A446" s="3">
        <f>IF('Data Source'!B446="","",'Data Source'!A446)</f>
        <v/>
      </c>
      <c r="B446">
        <f>IF('Data Source'!B446="","",'Data Source'!B446)</f>
        <v/>
      </c>
      <c r="C446" s="3">
        <f>IF('Data Source'!B446="","",IF('Data Source'!U446&gt;=5,"A+",IF('Data Source'!U446&gt;=4,"A",IF('Data Source'!U446&gt;=3.5,"A-",IF('Data Source'!U446&gt;=3,"B",IF('Data Source'!U446&gt;=2,"C",IF('Data Source'!U446&gt;=1,"D","F")))))))</f>
        <v/>
      </c>
      <c r="D446" s="3">
        <f>IF('Data Source'!B446="","",IF('Data Source'!V446&gt;=5,"A+",IF('Data Source'!V446&gt;=4,"A",IF('Data Source'!V446&gt;=3.5,"A-",IF('Data Source'!V446&gt;=3,"B",IF('Data Source'!V446&gt;=2,"C",IF('Data Source'!V446&gt;=1,"D","F")))))))</f>
        <v/>
      </c>
      <c r="E446" s="3">
        <f>IF('Data Source'!B446="","",IF('Data Source'!W446&gt;=5,"A+",IF('Data Source'!W446&gt;=4,"A",IF('Data Source'!W446&gt;=3.5,"A-",IF('Data Source'!W446&gt;=3,"B",IF('Data Source'!W446&gt;=2,"C",IF('Data Source'!W446&gt;=1,"D","F")))))))</f>
        <v/>
      </c>
      <c r="F446" s="3">
        <f>IF('Data Source'!B446="","",IF('Data Source'!X446&gt;=5,"A+",IF('Data Source'!X446&gt;=4,"A",IF('Data Source'!X446&gt;=3.5,"A-",IF('Data Source'!X446&gt;=3,"B",IF('Data Source'!X446&gt;=2,"C",IF('Data Source'!X446&gt;=1,"D","F")))))))</f>
        <v/>
      </c>
      <c r="G446" s="3">
        <f>IF('Data Source'!B446="","",IF('Data Source'!Y446&gt;=5,"A+",IF('Data Source'!Y446&gt;=4,"A",IF('Data Source'!Y446&gt;=3.5,"A-",IF('Data Source'!Y446&gt;=3,"B",IF('Data Source'!Y446&gt;=2,"C",IF('Data Source'!Y446&gt;=1,"D","F")))))))</f>
        <v/>
      </c>
      <c r="H446" s="3">
        <f>IF('Data Source'!B446="","",IF('Data Source'!Z446&gt;=5,"A+",IF('Data Source'!Z446&gt;=4,"A",IF('Data Source'!Z446&gt;=3.5,"A-",IF('Data Source'!Z446&gt;=3,"B",IF('Data Source'!Z446&gt;=2,"C",IF('Data Source'!Z446&gt;=1,"D","F")))))))</f>
        <v/>
      </c>
      <c r="I446" s="3">
        <f>IF('Data Source'!B446="","",IF('Data Source'!AA446&gt;=5,"A+",IF('Data Source'!AA446&gt;=4,"A",IF('Data Source'!AA446&gt;=3.5,"A-",IF('Data Source'!AA446&gt;=3,"B",IF('Data Source'!AA446&gt;=2,"C",IF('Data Source'!AA446&gt;=1,"D","F")))))))</f>
        <v/>
      </c>
      <c r="J446" s="3">
        <f>IF('Data Source'!B446="","",IF('Data Source'!AB446&gt;=5,"A+",IF('Data Source'!AB446&gt;=4,"A",IF('Data Source'!AB446&gt;=3.5,"A-",IF('Data Source'!AB446&gt;=3,"B",IF('Data Source'!AB446&gt;=2,"C",IF('Data Source'!AB446&gt;=1,"D","F")))))))</f>
        <v/>
      </c>
      <c r="K446" s="3">
        <f>IF('Data Source'!B446="","",IF('Data Source'!AC446&gt;=5,"A+",IF('Data Source'!AC446&gt;=4,"A",IF('Data Source'!AC446&gt;=3.5,"A-",IF('Data Source'!AC446&gt;=3,"B",IF('Data Source'!AC446&gt;=2,"C",IF('Data Source'!AC446&gt;=1,"D","F")))))))</f>
        <v/>
      </c>
      <c r="L446" s="3">
        <f>IF('Data Source'!B446="","",IF('Data Source'!AD446&gt;=5,"A+",IF('Data Source'!AD446&gt;=4,"A",IF('Data Source'!AD446&gt;=3.5,"A-",IF('Data Source'!AD446&gt;=3,"B",IF('Data Source'!AD446&gt;=2,"C",IF('Data Source'!AD446&gt;=1,"D","F")))))))</f>
        <v/>
      </c>
      <c r="M446" s="3">
        <f>IF('Data Source'!B446="","",IF('Data Source'!AE446&gt;=5,"A+",IF('Data Source'!AE446&gt;=4,"A",IF('Data Source'!AE446&gt;=3.5,"A-",IF('Data Source'!AE446&gt;=3,"B",IF('Data Source'!AE446&gt;=2,"C",IF('Data Source'!AE446&gt;=1,"D","F")))))))</f>
        <v/>
      </c>
      <c r="N446" s="3">
        <f>IF('Data Source'!B446="","",IF('Data Source'!AF446&gt;=5,"A+",IF('Data Source'!AF446&gt;=4,"A",IF('Data Source'!AF446&gt;=3.5,"A-",IF('Data Source'!AF446&gt;=3,"B",IF('Data Source'!AF446&gt;=2,"C",IF('Data Source'!AF446&gt;=1,"D","F")))))))</f>
        <v/>
      </c>
      <c r="O446" s="3">
        <f>IF('Data Source'!B446="","",IF('Data Source'!AG446&gt;=5,"A+",IF('Data Source'!AG446&gt;=4,"A",IF('Data Source'!AG446&gt;=3.5,"A-",IF('Data Source'!AG446&gt;=3,"B",IF('Data Source'!AG446&gt;=2,"C",IF('Data Source'!AG446&gt;=1,"D","F")))))))</f>
        <v/>
      </c>
      <c r="P446" s="5">
        <f>IF('Data Source'!B446="","",'Data Source'!R446)</f>
        <v/>
      </c>
      <c r="Q446" s="3">
        <f>IF('Data Source'!B446="","",'Data Source'!S446)</f>
        <v/>
      </c>
    </row>
    <row r="447">
      <c r="A447" s="3">
        <f>IF('Data Source'!B447="","",'Data Source'!A447)</f>
        <v/>
      </c>
      <c r="B447">
        <f>IF('Data Source'!B447="","",'Data Source'!B447)</f>
        <v/>
      </c>
      <c r="C447" s="3">
        <f>IF('Data Source'!B447="","",IF('Data Source'!U447&gt;=5,"A+",IF('Data Source'!U447&gt;=4,"A",IF('Data Source'!U447&gt;=3.5,"A-",IF('Data Source'!U447&gt;=3,"B",IF('Data Source'!U447&gt;=2,"C",IF('Data Source'!U447&gt;=1,"D","F")))))))</f>
        <v/>
      </c>
      <c r="D447" s="3">
        <f>IF('Data Source'!B447="","",IF('Data Source'!V447&gt;=5,"A+",IF('Data Source'!V447&gt;=4,"A",IF('Data Source'!V447&gt;=3.5,"A-",IF('Data Source'!V447&gt;=3,"B",IF('Data Source'!V447&gt;=2,"C",IF('Data Source'!V447&gt;=1,"D","F")))))))</f>
        <v/>
      </c>
      <c r="E447" s="3">
        <f>IF('Data Source'!B447="","",IF('Data Source'!W447&gt;=5,"A+",IF('Data Source'!W447&gt;=4,"A",IF('Data Source'!W447&gt;=3.5,"A-",IF('Data Source'!W447&gt;=3,"B",IF('Data Source'!W447&gt;=2,"C",IF('Data Source'!W447&gt;=1,"D","F")))))))</f>
        <v/>
      </c>
      <c r="F447" s="3">
        <f>IF('Data Source'!B447="","",IF('Data Source'!X447&gt;=5,"A+",IF('Data Source'!X447&gt;=4,"A",IF('Data Source'!X447&gt;=3.5,"A-",IF('Data Source'!X447&gt;=3,"B",IF('Data Source'!X447&gt;=2,"C",IF('Data Source'!X447&gt;=1,"D","F")))))))</f>
        <v/>
      </c>
      <c r="G447" s="3">
        <f>IF('Data Source'!B447="","",IF('Data Source'!Y447&gt;=5,"A+",IF('Data Source'!Y447&gt;=4,"A",IF('Data Source'!Y447&gt;=3.5,"A-",IF('Data Source'!Y447&gt;=3,"B",IF('Data Source'!Y447&gt;=2,"C",IF('Data Source'!Y447&gt;=1,"D","F")))))))</f>
        <v/>
      </c>
      <c r="H447" s="3">
        <f>IF('Data Source'!B447="","",IF('Data Source'!Z447&gt;=5,"A+",IF('Data Source'!Z447&gt;=4,"A",IF('Data Source'!Z447&gt;=3.5,"A-",IF('Data Source'!Z447&gt;=3,"B",IF('Data Source'!Z447&gt;=2,"C",IF('Data Source'!Z447&gt;=1,"D","F")))))))</f>
        <v/>
      </c>
      <c r="I447" s="3">
        <f>IF('Data Source'!B447="","",IF('Data Source'!AA447&gt;=5,"A+",IF('Data Source'!AA447&gt;=4,"A",IF('Data Source'!AA447&gt;=3.5,"A-",IF('Data Source'!AA447&gt;=3,"B",IF('Data Source'!AA447&gt;=2,"C",IF('Data Source'!AA447&gt;=1,"D","F")))))))</f>
        <v/>
      </c>
      <c r="J447" s="3">
        <f>IF('Data Source'!B447="","",IF('Data Source'!AB447&gt;=5,"A+",IF('Data Source'!AB447&gt;=4,"A",IF('Data Source'!AB447&gt;=3.5,"A-",IF('Data Source'!AB447&gt;=3,"B",IF('Data Source'!AB447&gt;=2,"C",IF('Data Source'!AB447&gt;=1,"D","F")))))))</f>
        <v/>
      </c>
      <c r="K447" s="3">
        <f>IF('Data Source'!B447="","",IF('Data Source'!AC447&gt;=5,"A+",IF('Data Source'!AC447&gt;=4,"A",IF('Data Source'!AC447&gt;=3.5,"A-",IF('Data Source'!AC447&gt;=3,"B",IF('Data Source'!AC447&gt;=2,"C",IF('Data Source'!AC447&gt;=1,"D","F")))))))</f>
        <v/>
      </c>
      <c r="L447" s="3">
        <f>IF('Data Source'!B447="","",IF('Data Source'!AD447&gt;=5,"A+",IF('Data Source'!AD447&gt;=4,"A",IF('Data Source'!AD447&gt;=3.5,"A-",IF('Data Source'!AD447&gt;=3,"B",IF('Data Source'!AD447&gt;=2,"C",IF('Data Source'!AD447&gt;=1,"D","F")))))))</f>
        <v/>
      </c>
      <c r="M447" s="3">
        <f>IF('Data Source'!B447="","",IF('Data Source'!AE447&gt;=5,"A+",IF('Data Source'!AE447&gt;=4,"A",IF('Data Source'!AE447&gt;=3.5,"A-",IF('Data Source'!AE447&gt;=3,"B",IF('Data Source'!AE447&gt;=2,"C",IF('Data Source'!AE447&gt;=1,"D","F")))))))</f>
        <v/>
      </c>
      <c r="N447" s="3">
        <f>IF('Data Source'!B447="","",IF('Data Source'!AF447&gt;=5,"A+",IF('Data Source'!AF447&gt;=4,"A",IF('Data Source'!AF447&gt;=3.5,"A-",IF('Data Source'!AF447&gt;=3,"B",IF('Data Source'!AF447&gt;=2,"C",IF('Data Source'!AF447&gt;=1,"D","F")))))))</f>
        <v/>
      </c>
      <c r="O447" s="3">
        <f>IF('Data Source'!B447="","",IF('Data Source'!AG447&gt;=5,"A+",IF('Data Source'!AG447&gt;=4,"A",IF('Data Source'!AG447&gt;=3.5,"A-",IF('Data Source'!AG447&gt;=3,"B",IF('Data Source'!AG447&gt;=2,"C",IF('Data Source'!AG447&gt;=1,"D","F")))))))</f>
        <v/>
      </c>
      <c r="P447" s="5">
        <f>IF('Data Source'!B447="","",'Data Source'!R447)</f>
        <v/>
      </c>
      <c r="Q447" s="3">
        <f>IF('Data Source'!B447="","",'Data Source'!S447)</f>
        <v/>
      </c>
    </row>
    <row r="448">
      <c r="A448" s="3">
        <f>IF('Data Source'!B448="","",'Data Source'!A448)</f>
        <v/>
      </c>
      <c r="B448">
        <f>IF('Data Source'!B448="","",'Data Source'!B448)</f>
        <v/>
      </c>
      <c r="C448" s="3">
        <f>IF('Data Source'!B448="","",IF('Data Source'!U448&gt;=5,"A+",IF('Data Source'!U448&gt;=4,"A",IF('Data Source'!U448&gt;=3.5,"A-",IF('Data Source'!U448&gt;=3,"B",IF('Data Source'!U448&gt;=2,"C",IF('Data Source'!U448&gt;=1,"D","F")))))))</f>
        <v/>
      </c>
      <c r="D448" s="3">
        <f>IF('Data Source'!B448="","",IF('Data Source'!V448&gt;=5,"A+",IF('Data Source'!V448&gt;=4,"A",IF('Data Source'!V448&gt;=3.5,"A-",IF('Data Source'!V448&gt;=3,"B",IF('Data Source'!V448&gt;=2,"C",IF('Data Source'!V448&gt;=1,"D","F")))))))</f>
        <v/>
      </c>
      <c r="E448" s="3">
        <f>IF('Data Source'!B448="","",IF('Data Source'!W448&gt;=5,"A+",IF('Data Source'!W448&gt;=4,"A",IF('Data Source'!W448&gt;=3.5,"A-",IF('Data Source'!W448&gt;=3,"B",IF('Data Source'!W448&gt;=2,"C",IF('Data Source'!W448&gt;=1,"D","F")))))))</f>
        <v/>
      </c>
      <c r="F448" s="3">
        <f>IF('Data Source'!B448="","",IF('Data Source'!X448&gt;=5,"A+",IF('Data Source'!X448&gt;=4,"A",IF('Data Source'!X448&gt;=3.5,"A-",IF('Data Source'!X448&gt;=3,"B",IF('Data Source'!X448&gt;=2,"C",IF('Data Source'!X448&gt;=1,"D","F")))))))</f>
        <v/>
      </c>
      <c r="G448" s="3">
        <f>IF('Data Source'!B448="","",IF('Data Source'!Y448&gt;=5,"A+",IF('Data Source'!Y448&gt;=4,"A",IF('Data Source'!Y448&gt;=3.5,"A-",IF('Data Source'!Y448&gt;=3,"B",IF('Data Source'!Y448&gt;=2,"C",IF('Data Source'!Y448&gt;=1,"D","F")))))))</f>
        <v/>
      </c>
      <c r="H448" s="3">
        <f>IF('Data Source'!B448="","",IF('Data Source'!Z448&gt;=5,"A+",IF('Data Source'!Z448&gt;=4,"A",IF('Data Source'!Z448&gt;=3.5,"A-",IF('Data Source'!Z448&gt;=3,"B",IF('Data Source'!Z448&gt;=2,"C",IF('Data Source'!Z448&gt;=1,"D","F")))))))</f>
        <v/>
      </c>
      <c r="I448" s="3">
        <f>IF('Data Source'!B448="","",IF('Data Source'!AA448&gt;=5,"A+",IF('Data Source'!AA448&gt;=4,"A",IF('Data Source'!AA448&gt;=3.5,"A-",IF('Data Source'!AA448&gt;=3,"B",IF('Data Source'!AA448&gt;=2,"C",IF('Data Source'!AA448&gt;=1,"D","F")))))))</f>
        <v/>
      </c>
      <c r="J448" s="3">
        <f>IF('Data Source'!B448="","",IF('Data Source'!AB448&gt;=5,"A+",IF('Data Source'!AB448&gt;=4,"A",IF('Data Source'!AB448&gt;=3.5,"A-",IF('Data Source'!AB448&gt;=3,"B",IF('Data Source'!AB448&gt;=2,"C",IF('Data Source'!AB448&gt;=1,"D","F")))))))</f>
        <v/>
      </c>
      <c r="K448" s="3">
        <f>IF('Data Source'!B448="","",IF('Data Source'!AC448&gt;=5,"A+",IF('Data Source'!AC448&gt;=4,"A",IF('Data Source'!AC448&gt;=3.5,"A-",IF('Data Source'!AC448&gt;=3,"B",IF('Data Source'!AC448&gt;=2,"C",IF('Data Source'!AC448&gt;=1,"D","F")))))))</f>
        <v/>
      </c>
      <c r="L448" s="3">
        <f>IF('Data Source'!B448="","",IF('Data Source'!AD448&gt;=5,"A+",IF('Data Source'!AD448&gt;=4,"A",IF('Data Source'!AD448&gt;=3.5,"A-",IF('Data Source'!AD448&gt;=3,"B",IF('Data Source'!AD448&gt;=2,"C",IF('Data Source'!AD448&gt;=1,"D","F")))))))</f>
        <v/>
      </c>
      <c r="M448" s="3">
        <f>IF('Data Source'!B448="","",IF('Data Source'!AE448&gt;=5,"A+",IF('Data Source'!AE448&gt;=4,"A",IF('Data Source'!AE448&gt;=3.5,"A-",IF('Data Source'!AE448&gt;=3,"B",IF('Data Source'!AE448&gt;=2,"C",IF('Data Source'!AE448&gt;=1,"D","F")))))))</f>
        <v/>
      </c>
      <c r="N448" s="3">
        <f>IF('Data Source'!B448="","",IF('Data Source'!AF448&gt;=5,"A+",IF('Data Source'!AF448&gt;=4,"A",IF('Data Source'!AF448&gt;=3.5,"A-",IF('Data Source'!AF448&gt;=3,"B",IF('Data Source'!AF448&gt;=2,"C",IF('Data Source'!AF448&gt;=1,"D","F")))))))</f>
        <v/>
      </c>
      <c r="O448" s="3">
        <f>IF('Data Source'!B448="","",IF('Data Source'!AG448&gt;=5,"A+",IF('Data Source'!AG448&gt;=4,"A",IF('Data Source'!AG448&gt;=3.5,"A-",IF('Data Source'!AG448&gt;=3,"B",IF('Data Source'!AG448&gt;=2,"C",IF('Data Source'!AG448&gt;=1,"D","F")))))))</f>
        <v/>
      </c>
      <c r="P448" s="5">
        <f>IF('Data Source'!B448="","",'Data Source'!R448)</f>
        <v/>
      </c>
      <c r="Q448" s="3">
        <f>IF('Data Source'!B448="","",'Data Source'!S448)</f>
        <v/>
      </c>
    </row>
    <row r="449">
      <c r="A449" s="3">
        <f>IF('Data Source'!B449="","",'Data Source'!A449)</f>
        <v/>
      </c>
      <c r="B449">
        <f>IF('Data Source'!B449="","",'Data Source'!B449)</f>
        <v/>
      </c>
      <c r="C449" s="3">
        <f>IF('Data Source'!B449="","",IF('Data Source'!U449&gt;=5,"A+",IF('Data Source'!U449&gt;=4,"A",IF('Data Source'!U449&gt;=3.5,"A-",IF('Data Source'!U449&gt;=3,"B",IF('Data Source'!U449&gt;=2,"C",IF('Data Source'!U449&gt;=1,"D","F")))))))</f>
        <v/>
      </c>
      <c r="D449" s="3">
        <f>IF('Data Source'!B449="","",IF('Data Source'!V449&gt;=5,"A+",IF('Data Source'!V449&gt;=4,"A",IF('Data Source'!V449&gt;=3.5,"A-",IF('Data Source'!V449&gt;=3,"B",IF('Data Source'!V449&gt;=2,"C",IF('Data Source'!V449&gt;=1,"D","F")))))))</f>
        <v/>
      </c>
      <c r="E449" s="3">
        <f>IF('Data Source'!B449="","",IF('Data Source'!W449&gt;=5,"A+",IF('Data Source'!W449&gt;=4,"A",IF('Data Source'!W449&gt;=3.5,"A-",IF('Data Source'!W449&gt;=3,"B",IF('Data Source'!W449&gt;=2,"C",IF('Data Source'!W449&gt;=1,"D","F")))))))</f>
        <v/>
      </c>
      <c r="F449" s="3">
        <f>IF('Data Source'!B449="","",IF('Data Source'!X449&gt;=5,"A+",IF('Data Source'!X449&gt;=4,"A",IF('Data Source'!X449&gt;=3.5,"A-",IF('Data Source'!X449&gt;=3,"B",IF('Data Source'!X449&gt;=2,"C",IF('Data Source'!X449&gt;=1,"D","F")))))))</f>
        <v/>
      </c>
      <c r="G449" s="3">
        <f>IF('Data Source'!B449="","",IF('Data Source'!Y449&gt;=5,"A+",IF('Data Source'!Y449&gt;=4,"A",IF('Data Source'!Y449&gt;=3.5,"A-",IF('Data Source'!Y449&gt;=3,"B",IF('Data Source'!Y449&gt;=2,"C",IF('Data Source'!Y449&gt;=1,"D","F")))))))</f>
        <v/>
      </c>
      <c r="H449" s="3">
        <f>IF('Data Source'!B449="","",IF('Data Source'!Z449&gt;=5,"A+",IF('Data Source'!Z449&gt;=4,"A",IF('Data Source'!Z449&gt;=3.5,"A-",IF('Data Source'!Z449&gt;=3,"B",IF('Data Source'!Z449&gt;=2,"C",IF('Data Source'!Z449&gt;=1,"D","F")))))))</f>
        <v/>
      </c>
      <c r="I449" s="3">
        <f>IF('Data Source'!B449="","",IF('Data Source'!AA449&gt;=5,"A+",IF('Data Source'!AA449&gt;=4,"A",IF('Data Source'!AA449&gt;=3.5,"A-",IF('Data Source'!AA449&gt;=3,"B",IF('Data Source'!AA449&gt;=2,"C",IF('Data Source'!AA449&gt;=1,"D","F")))))))</f>
        <v/>
      </c>
      <c r="J449" s="3">
        <f>IF('Data Source'!B449="","",IF('Data Source'!AB449&gt;=5,"A+",IF('Data Source'!AB449&gt;=4,"A",IF('Data Source'!AB449&gt;=3.5,"A-",IF('Data Source'!AB449&gt;=3,"B",IF('Data Source'!AB449&gt;=2,"C",IF('Data Source'!AB449&gt;=1,"D","F")))))))</f>
        <v/>
      </c>
      <c r="K449" s="3">
        <f>IF('Data Source'!B449="","",IF('Data Source'!AC449&gt;=5,"A+",IF('Data Source'!AC449&gt;=4,"A",IF('Data Source'!AC449&gt;=3.5,"A-",IF('Data Source'!AC449&gt;=3,"B",IF('Data Source'!AC449&gt;=2,"C",IF('Data Source'!AC449&gt;=1,"D","F")))))))</f>
        <v/>
      </c>
      <c r="L449" s="3">
        <f>IF('Data Source'!B449="","",IF('Data Source'!AD449&gt;=5,"A+",IF('Data Source'!AD449&gt;=4,"A",IF('Data Source'!AD449&gt;=3.5,"A-",IF('Data Source'!AD449&gt;=3,"B",IF('Data Source'!AD449&gt;=2,"C",IF('Data Source'!AD449&gt;=1,"D","F")))))))</f>
        <v/>
      </c>
      <c r="M449" s="3">
        <f>IF('Data Source'!B449="","",IF('Data Source'!AE449&gt;=5,"A+",IF('Data Source'!AE449&gt;=4,"A",IF('Data Source'!AE449&gt;=3.5,"A-",IF('Data Source'!AE449&gt;=3,"B",IF('Data Source'!AE449&gt;=2,"C",IF('Data Source'!AE449&gt;=1,"D","F")))))))</f>
        <v/>
      </c>
      <c r="N449" s="3">
        <f>IF('Data Source'!B449="","",IF('Data Source'!AF449&gt;=5,"A+",IF('Data Source'!AF449&gt;=4,"A",IF('Data Source'!AF449&gt;=3.5,"A-",IF('Data Source'!AF449&gt;=3,"B",IF('Data Source'!AF449&gt;=2,"C",IF('Data Source'!AF449&gt;=1,"D","F")))))))</f>
        <v/>
      </c>
      <c r="O449" s="3">
        <f>IF('Data Source'!B449="","",IF('Data Source'!AG449&gt;=5,"A+",IF('Data Source'!AG449&gt;=4,"A",IF('Data Source'!AG449&gt;=3.5,"A-",IF('Data Source'!AG449&gt;=3,"B",IF('Data Source'!AG449&gt;=2,"C",IF('Data Source'!AG449&gt;=1,"D","F")))))))</f>
        <v/>
      </c>
      <c r="P449" s="5">
        <f>IF('Data Source'!B449="","",'Data Source'!R449)</f>
        <v/>
      </c>
      <c r="Q449" s="3">
        <f>IF('Data Source'!B449="","",'Data Source'!S449)</f>
        <v/>
      </c>
    </row>
    <row r="450">
      <c r="A450" s="3">
        <f>IF('Data Source'!B450="","",'Data Source'!A450)</f>
        <v/>
      </c>
      <c r="B450">
        <f>IF('Data Source'!B450="","",'Data Source'!B450)</f>
        <v/>
      </c>
      <c r="C450" s="3">
        <f>IF('Data Source'!B450="","",IF('Data Source'!U450&gt;=5,"A+",IF('Data Source'!U450&gt;=4,"A",IF('Data Source'!U450&gt;=3.5,"A-",IF('Data Source'!U450&gt;=3,"B",IF('Data Source'!U450&gt;=2,"C",IF('Data Source'!U450&gt;=1,"D","F")))))))</f>
        <v/>
      </c>
      <c r="D450" s="3">
        <f>IF('Data Source'!B450="","",IF('Data Source'!V450&gt;=5,"A+",IF('Data Source'!V450&gt;=4,"A",IF('Data Source'!V450&gt;=3.5,"A-",IF('Data Source'!V450&gt;=3,"B",IF('Data Source'!V450&gt;=2,"C",IF('Data Source'!V450&gt;=1,"D","F")))))))</f>
        <v/>
      </c>
      <c r="E450" s="3">
        <f>IF('Data Source'!B450="","",IF('Data Source'!W450&gt;=5,"A+",IF('Data Source'!W450&gt;=4,"A",IF('Data Source'!W450&gt;=3.5,"A-",IF('Data Source'!W450&gt;=3,"B",IF('Data Source'!W450&gt;=2,"C",IF('Data Source'!W450&gt;=1,"D","F")))))))</f>
        <v/>
      </c>
      <c r="F450" s="3">
        <f>IF('Data Source'!B450="","",IF('Data Source'!X450&gt;=5,"A+",IF('Data Source'!X450&gt;=4,"A",IF('Data Source'!X450&gt;=3.5,"A-",IF('Data Source'!X450&gt;=3,"B",IF('Data Source'!X450&gt;=2,"C",IF('Data Source'!X450&gt;=1,"D","F")))))))</f>
        <v/>
      </c>
      <c r="G450" s="3">
        <f>IF('Data Source'!B450="","",IF('Data Source'!Y450&gt;=5,"A+",IF('Data Source'!Y450&gt;=4,"A",IF('Data Source'!Y450&gt;=3.5,"A-",IF('Data Source'!Y450&gt;=3,"B",IF('Data Source'!Y450&gt;=2,"C",IF('Data Source'!Y450&gt;=1,"D","F")))))))</f>
        <v/>
      </c>
      <c r="H450" s="3">
        <f>IF('Data Source'!B450="","",IF('Data Source'!Z450&gt;=5,"A+",IF('Data Source'!Z450&gt;=4,"A",IF('Data Source'!Z450&gt;=3.5,"A-",IF('Data Source'!Z450&gt;=3,"B",IF('Data Source'!Z450&gt;=2,"C",IF('Data Source'!Z450&gt;=1,"D","F")))))))</f>
        <v/>
      </c>
      <c r="I450" s="3">
        <f>IF('Data Source'!B450="","",IF('Data Source'!AA450&gt;=5,"A+",IF('Data Source'!AA450&gt;=4,"A",IF('Data Source'!AA450&gt;=3.5,"A-",IF('Data Source'!AA450&gt;=3,"B",IF('Data Source'!AA450&gt;=2,"C",IF('Data Source'!AA450&gt;=1,"D","F")))))))</f>
        <v/>
      </c>
      <c r="J450" s="3">
        <f>IF('Data Source'!B450="","",IF('Data Source'!AB450&gt;=5,"A+",IF('Data Source'!AB450&gt;=4,"A",IF('Data Source'!AB450&gt;=3.5,"A-",IF('Data Source'!AB450&gt;=3,"B",IF('Data Source'!AB450&gt;=2,"C",IF('Data Source'!AB450&gt;=1,"D","F")))))))</f>
        <v/>
      </c>
      <c r="K450" s="3">
        <f>IF('Data Source'!B450="","",IF('Data Source'!AC450&gt;=5,"A+",IF('Data Source'!AC450&gt;=4,"A",IF('Data Source'!AC450&gt;=3.5,"A-",IF('Data Source'!AC450&gt;=3,"B",IF('Data Source'!AC450&gt;=2,"C",IF('Data Source'!AC450&gt;=1,"D","F")))))))</f>
        <v/>
      </c>
      <c r="L450" s="3">
        <f>IF('Data Source'!B450="","",IF('Data Source'!AD450&gt;=5,"A+",IF('Data Source'!AD450&gt;=4,"A",IF('Data Source'!AD450&gt;=3.5,"A-",IF('Data Source'!AD450&gt;=3,"B",IF('Data Source'!AD450&gt;=2,"C",IF('Data Source'!AD450&gt;=1,"D","F")))))))</f>
        <v/>
      </c>
      <c r="M450" s="3">
        <f>IF('Data Source'!B450="","",IF('Data Source'!AE450&gt;=5,"A+",IF('Data Source'!AE450&gt;=4,"A",IF('Data Source'!AE450&gt;=3.5,"A-",IF('Data Source'!AE450&gt;=3,"B",IF('Data Source'!AE450&gt;=2,"C",IF('Data Source'!AE450&gt;=1,"D","F")))))))</f>
        <v/>
      </c>
      <c r="N450" s="3">
        <f>IF('Data Source'!B450="","",IF('Data Source'!AF450&gt;=5,"A+",IF('Data Source'!AF450&gt;=4,"A",IF('Data Source'!AF450&gt;=3.5,"A-",IF('Data Source'!AF450&gt;=3,"B",IF('Data Source'!AF450&gt;=2,"C",IF('Data Source'!AF450&gt;=1,"D","F")))))))</f>
        <v/>
      </c>
      <c r="O450" s="3">
        <f>IF('Data Source'!B450="","",IF('Data Source'!AG450&gt;=5,"A+",IF('Data Source'!AG450&gt;=4,"A",IF('Data Source'!AG450&gt;=3.5,"A-",IF('Data Source'!AG450&gt;=3,"B",IF('Data Source'!AG450&gt;=2,"C",IF('Data Source'!AG450&gt;=1,"D","F")))))))</f>
        <v/>
      </c>
      <c r="P450" s="5">
        <f>IF('Data Source'!B450="","",'Data Source'!R450)</f>
        <v/>
      </c>
      <c r="Q450" s="3">
        <f>IF('Data Source'!B450="","",'Data Source'!S450)</f>
        <v/>
      </c>
    </row>
    <row r="451">
      <c r="A451" s="3">
        <f>IF('Data Source'!B451="","",'Data Source'!A451)</f>
        <v/>
      </c>
      <c r="B451">
        <f>IF('Data Source'!B451="","",'Data Source'!B451)</f>
        <v/>
      </c>
      <c r="C451" s="3">
        <f>IF('Data Source'!B451="","",IF('Data Source'!U451&gt;=5,"A+",IF('Data Source'!U451&gt;=4,"A",IF('Data Source'!U451&gt;=3.5,"A-",IF('Data Source'!U451&gt;=3,"B",IF('Data Source'!U451&gt;=2,"C",IF('Data Source'!U451&gt;=1,"D","F")))))))</f>
        <v/>
      </c>
      <c r="D451" s="3">
        <f>IF('Data Source'!B451="","",IF('Data Source'!V451&gt;=5,"A+",IF('Data Source'!V451&gt;=4,"A",IF('Data Source'!V451&gt;=3.5,"A-",IF('Data Source'!V451&gt;=3,"B",IF('Data Source'!V451&gt;=2,"C",IF('Data Source'!V451&gt;=1,"D","F")))))))</f>
        <v/>
      </c>
      <c r="E451" s="3">
        <f>IF('Data Source'!B451="","",IF('Data Source'!W451&gt;=5,"A+",IF('Data Source'!W451&gt;=4,"A",IF('Data Source'!W451&gt;=3.5,"A-",IF('Data Source'!W451&gt;=3,"B",IF('Data Source'!W451&gt;=2,"C",IF('Data Source'!W451&gt;=1,"D","F")))))))</f>
        <v/>
      </c>
      <c r="F451" s="3">
        <f>IF('Data Source'!B451="","",IF('Data Source'!X451&gt;=5,"A+",IF('Data Source'!X451&gt;=4,"A",IF('Data Source'!X451&gt;=3.5,"A-",IF('Data Source'!X451&gt;=3,"B",IF('Data Source'!X451&gt;=2,"C",IF('Data Source'!X451&gt;=1,"D","F")))))))</f>
        <v/>
      </c>
      <c r="G451" s="3">
        <f>IF('Data Source'!B451="","",IF('Data Source'!Y451&gt;=5,"A+",IF('Data Source'!Y451&gt;=4,"A",IF('Data Source'!Y451&gt;=3.5,"A-",IF('Data Source'!Y451&gt;=3,"B",IF('Data Source'!Y451&gt;=2,"C",IF('Data Source'!Y451&gt;=1,"D","F")))))))</f>
        <v/>
      </c>
      <c r="H451" s="3">
        <f>IF('Data Source'!B451="","",IF('Data Source'!Z451&gt;=5,"A+",IF('Data Source'!Z451&gt;=4,"A",IF('Data Source'!Z451&gt;=3.5,"A-",IF('Data Source'!Z451&gt;=3,"B",IF('Data Source'!Z451&gt;=2,"C",IF('Data Source'!Z451&gt;=1,"D","F")))))))</f>
        <v/>
      </c>
      <c r="I451" s="3">
        <f>IF('Data Source'!B451="","",IF('Data Source'!AA451&gt;=5,"A+",IF('Data Source'!AA451&gt;=4,"A",IF('Data Source'!AA451&gt;=3.5,"A-",IF('Data Source'!AA451&gt;=3,"B",IF('Data Source'!AA451&gt;=2,"C",IF('Data Source'!AA451&gt;=1,"D","F")))))))</f>
        <v/>
      </c>
      <c r="J451" s="3">
        <f>IF('Data Source'!B451="","",IF('Data Source'!AB451&gt;=5,"A+",IF('Data Source'!AB451&gt;=4,"A",IF('Data Source'!AB451&gt;=3.5,"A-",IF('Data Source'!AB451&gt;=3,"B",IF('Data Source'!AB451&gt;=2,"C",IF('Data Source'!AB451&gt;=1,"D","F")))))))</f>
        <v/>
      </c>
      <c r="K451" s="3">
        <f>IF('Data Source'!B451="","",IF('Data Source'!AC451&gt;=5,"A+",IF('Data Source'!AC451&gt;=4,"A",IF('Data Source'!AC451&gt;=3.5,"A-",IF('Data Source'!AC451&gt;=3,"B",IF('Data Source'!AC451&gt;=2,"C",IF('Data Source'!AC451&gt;=1,"D","F")))))))</f>
        <v/>
      </c>
      <c r="L451" s="3">
        <f>IF('Data Source'!B451="","",IF('Data Source'!AD451&gt;=5,"A+",IF('Data Source'!AD451&gt;=4,"A",IF('Data Source'!AD451&gt;=3.5,"A-",IF('Data Source'!AD451&gt;=3,"B",IF('Data Source'!AD451&gt;=2,"C",IF('Data Source'!AD451&gt;=1,"D","F")))))))</f>
        <v/>
      </c>
      <c r="M451" s="3">
        <f>IF('Data Source'!B451="","",IF('Data Source'!AE451&gt;=5,"A+",IF('Data Source'!AE451&gt;=4,"A",IF('Data Source'!AE451&gt;=3.5,"A-",IF('Data Source'!AE451&gt;=3,"B",IF('Data Source'!AE451&gt;=2,"C",IF('Data Source'!AE451&gt;=1,"D","F")))))))</f>
        <v/>
      </c>
      <c r="N451" s="3">
        <f>IF('Data Source'!B451="","",IF('Data Source'!AF451&gt;=5,"A+",IF('Data Source'!AF451&gt;=4,"A",IF('Data Source'!AF451&gt;=3.5,"A-",IF('Data Source'!AF451&gt;=3,"B",IF('Data Source'!AF451&gt;=2,"C",IF('Data Source'!AF451&gt;=1,"D","F")))))))</f>
        <v/>
      </c>
      <c r="O451" s="3">
        <f>IF('Data Source'!B451="","",IF('Data Source'!AG451&gt;=5,"A+",IF('Data Source'!AG451&gt;=4,"A",IF('Data Source'!AG451&gt;=3.5,"A-",IF('Data Source'!AG451&gt;=3,"B",IF('Data Source'!AG451&gt;=2,"C",IF('Data Source'!AG451&gt;=1,"D","F")))))))</f>
        <v/>
      </c>
      <c r="P451" s="5">
        <f>IF('Data Source'!B451="","",'Data Source'!R451)</f>
        <v/>
      </c>
      <c r="Q451" s="3">
        <f>IF('Data Source'!B451="","",'Data Source'!S451)</f>
        <v/>
      </c>
    </row>
    <row r="452">
      <c r="A452" s="3">
        <f>IF('Data Source'!B452="","",'Data Source'!A452)</f>
        <v/>
      </c>
      <c r="B452">
        <f>IF('Data Source'!B452="","",'Data Source'!B452)</f>
        <v/>
      </c>
      <c r="C452" s="3">
        <f>IF('Data Source'!B452="","",IF('Data Source'!U452&gt;=5,"A+",IF('Data Source'!U452&gt;=4,"A",IF('Data Source'!U452&gt;=3.5,"A-",IF('Data Source'!U452&gt;=3,"B",IF('Data Source'!U452&gt;=2,"C",IF('Data Source'!U452&gt;=1,"D","F")))))))</f>
        <v/>
      </c>
      <c r="D452" s="3">
        <f>IF('Data Source'!B452="","",IF('Data Source'!V452&gt;=5,"A+",IF('Data Source'!V452&gt;=4,"A",IF('Data Source'!V452&gt;=3.5,"A-",IF('Data Source'!V452&gt;=3,"B",IF('Data Source'!V452&gt;=2,"C",IF('Data Source'!V452&gt;=1,"D","F")))))))</f>
        <v/>
      </c>
      <c r="E452" s="3">
        <f>IF('Data Source'!B452="","",IF('Data Source'!W452&gt;=5,"A+",IF('Data Source'!W452&gt;=4,"A",IF('Data Source'!W452&gt;=3.5,"A-",IF('Data Source'!W452&gt;=3,"B",IF('Data Source'!W452&gt;=2,"C",IF('Data Source'!W452&gt;=1,"D","F")))))))</f>
        <v/>
      </c>
      <c r="F452" s="3">
        <f>IF('Data Source'!B452="","",IF('Data Source'!X452&gt;=5,"A+",IF('Data Source'!X452&gt;=4,"A",IF('Data Source'!X452&gt;=3.5,"A-",IF('Data Source'!X452&gt;=3,"B",IF('Data Source'!X452&gt;=2,"C",IF('Data Source'!X452&gt;=1,"D","F")))))))</f>
        <v/>
      </c>
      <c r="G452" s="3">
        <f>IF('Data Source'!B452="","",IF('Data Source'!Y452&gt;=5,"A+",IF('Data Source'!Y452&gt;=4,"A",IF('Data Source'!Y452&gt;=3.5,"A-",IF('Data Source'!Y452&gt;=3,"B",IF('Data Source'!Y452&gt;=2,"C",IF('Data Source'!Y452&gt;=1,"D","F")))))))</f>
        <v/>
      </c>
      <c r="H452" s="3">
        <f>IF('Data Source'!B452="","",IF('Data Source'!Z452&gt;=5,"A+",IF('Data Source'!Z452&gt;=4,"A",IF('Data Source'!Z452&gt;=3.5,"A-",IF('Data Source'!Z452&gt;=3,"B",IF('Data Source'!Z452&gt;=2,"C",IF('Data Source'!Z452&gt;=1,"D","F")))))))</f>
        <v/>
      </c>
      <c r="I452" s="3">
        <f>IF('Data Source'!B452="","",IF('Data Source'!AA452&gt;=5,"A+",IF('Data Source'!AA452&gt;=4,"A",IF('Data Source'!AA452&gt;=3.5,"A-",IF('Data Source'!AA452&gt;=3,"B",IF('Data Source'!AA452&gt;=2,"C",IF('Data Source'!AA452&gt;=1,"D","F")))))))</f>
        <v/>
      </c>
      <c r="J452" s="3">
        <f>IF('Data Source'!B452="","",IF('Data Source'!AB452&gt;=5,"A+",IF('Data Source'!AB452&gt;=4,"A",IF('Data Source'!AB452&gt;=3.5,"A-",IF('Data Source'!AB452&gt;=3,"B",IF('Data Source'!AB452&gt;=2,"C",IF('Data Source'!AB452&gt;=1,"D","F")))))))</f>
        <v/>
      </c>
      <c r="K452" s="3">
        <f>IF('Data Source'!B452="","",IF('Data Source'!AC452&gt;=5,"A+",IF('Data Source'!AC452&gt;=4,"A",IF('Data Source'!AC452&gt;=3.5,"A-",IF('Data Source'!AC452&gt;=3,"B",IF('Data Source'!AC452&gt;=2,"C",IF('Data Source'!AC452&gt;=1,"D","F")))))))</f>
        <v/>
      </c>
      <c r="L452" s="3">
        <f>IF('Data Source'!B452="","",IF('Data Source'!AD452&gt;=5,"A+",IF('Data Source'!AD452&gt;=4,"A",IF('Data Source'!AD452&gt;=3.5,"A-",IF('Data Source'!AD452&gt;=3,"B",IF('Data Source'!AD452&gt;=2,"C",IF('Data Source'!AD452&gt;=1,"D","F")))))))</f>
        <v/>
      </c>
      <c r="M452" s="3">
        <f>IF('Data Source'!B452="","",IF('Data Source'!AE452&gt;=5,"A+",IF('Data Source'!AE452&gt;=4,"A",IF('Data Source'!AE452&gt;=3.5,"A-",IF('Data Source'!AE452&gt;=3,"B",IF('Data Source'!AE452&gt;=2,"C",IF('Data Source'!AE452&gt;=1,"D","F")))))))</f>
        <v/>
      </c>
      <c r="N452" s="3">
        <f>IF('Data Source'!B452="","",IF('Data Source'!AF452&gt;=5,"A+",IF('Data Source'!AF452&gt;=4,"A",IF('Data Source'!AF452&gt;=3.5,"A-",IF('Data Source'!AF452&gt;=3,"B",IF('Data Source'!AF452&gt;=2,"C",IF('Data Source'!AF452&gt;=1,"D","F")))))))</f>
        <v/>
      </c>
      <c r="O452" s="3">
        <f>IF('Data Source'!B452="","",IF('Data Source'!AG452&gt;=5,"A+",IF('Data Source'!AG452&gt;=4,"A",IF('Data Source'!AG452&gt;=3.5,"A-",IF('Data Source'!AG452&gt;=3,"B",IF('Data Source'!AG452&gt;=2,"C",IF('Data Source'!AG452&gt;=1,"D","F")))))))</f>
        <v/>
      </c>
      <c r="P452" s="5">
        <f>IF('Data Source'!B452="","",'Data Source'!R452)</f>
        <v/>
      </c>
      <c r="Q452" s="3">
        <f>IF('Data Source'!B452="","",'Data Source'!S452)</f>
        <v/>
      </c>
    </row>
    <row r="453">
      <c r="A453" s="3">
        <f>IF('Data Source'!B453="","",'Data Source'!A453)</f>
        <v/>
      </c>
      <c r="B453">
        <f>IF('Data Source'!B453="","",'Data Source'!B453)</f>
        <v/>
      </c>
      <c r="C453" s="3">
        <f>IF('Data Source'!B453="","",IF('Data Source'!U453&gt;=5,"A+",IF('Data Source'!U453&gt;=4,"A",IF('Data Source'!U453&gt;=3.5,"A-",IF('Data Source'!U453&gt;=3,"B",IF('Data Source'!U453&gt;=2,"C",IF('Data Source'!U453&gt;=1,"D","F")))))))</f>
        <v/>
      </c>
      <c r="D453" s="3">
        <f>IF('Data Source'!B453="","",IF('Data Source'!V453&gt;=5,"A+",IF('Data Source'!V453&gt;=4,"A",IF('Data Source'!V453&gt;=3.5,"A-",IF('Data Source'!V453&gt;=3,"B",IF('Data Source'!V453&gt;=2,"C",IF('Data Source'!V453&gt;=1,"D","F")))))))</f>
        <v/>
      </c>
      <c r="E453" s="3">
        <f>IF('Data Source'!B453="","",IF('Data Source'!W453&gt;=5,"A+",IF('Data Source'!W453&gt;=4,"A",IF('Data Source'!W453&gt;=3.5,"A-",IF('Data Source'!W453&gt;=3,"B",IF('Data Source'!W453&gt;=2,"C",IF('Data Source'!W453&gt;=1,"D","F")))))))</f>
        <v/>
      </c>
      <c r="F453" s="3">
        <f>IF('Data Source'!B453="","",IF('Data Source'!X453&gt;=5,"A+",IF('Data Source'!X453&gt;=4,"A",IF('Data Source'!X453&gt;=3.5,"A-",IF('Data Source'!X453&gt;=3,"B",IF('Data Source'!X453&gt;=2,"C",IF('Data Source'!X453&gt;=1,"D","F")))))))</f>
        <v/>
      </c>
      <c r="G453" s="3">
        <f>IF('Data Source'!B453="","",IF('Data Source'!Y453&gt;=5,"A+",IF('Data Source'!Y453&gt;=4,"A",IF('Data Source'!Y453&gt;=3.5,"A-",IF('Data Source'!Y453&gt;=3,"B",IF('Data Source'!Y453&gt;=2,"C",IF('Data Source'!Y453&gt;=1,"D","F")))))))</f>
        <v/>
      </c>
      <c r="H453" s="3">
        <f>IF('Data Source'!B453="","",IF('Data Source'!Z453&gt;=5,"A+",IF('Data Source'!Z453&gt;=4,"A",IF('Data Source'!Z453&gt;=3.5,"A-",IF('Data Source'!Z453&gt;=3,"B",IF('Data Source'!Z453&gt;=2,"C",IF('Data Source'!Z453&gt;=1,"D","F")))))))</f>
        <v/>
      </c>
      <c r="I453" s="3">
        <f>IF('Data Source'!B453="","",IF('Data Source'!AA453&gt;=5,"A+",IF('Data Source'!AA453&gt;=4,"A",IF('Data Source'!AA453&gt;=3.5,"A-",IF('Data Source'!AA453&gt;=3,"B",IF('Data Source'!AA453&gt;=2,"C",IF('Data Source'!AA453&gt;=1,"D","F")))))))</f>
        <v/>
      </c>
      <c r="J453" s="3">
        <f>IF('Data Source'!B453="","",IF('Data Source'!AB453&gt;=5,"A+",IF('Data Source'!AB453&gt;=4,"A",IF('Data Source'!AB453&gt;=3.5,"A-",IF('Data Source'!AB453&gt;=3,"B",IF('Data Source'!AB453&gt;=2,"C",IF('Data Source'!AB453&gt;=1,"D","F")))))))</f>
        <v/>
      </c>
      <c r="K453" s="3">
        <f>IF('Data Source'!B453="","",IF('Data Source'!AC453&gt;=5,"A+",IF('Data Source'!AC453&gt;=4,"A",IF('Data Source'!AC453&gt;=3.5,"A-",IF('Data Source'!AC453&gt;=3,"B",IF('Data Source'!AC453&gt;=2,"C",IF('Data Source'!AC453&gt;=1,"D","F")))))))</f>
        <v/>
      </c>
      <c r="L453" s="3">
        <f>IF('Data Source'!B453="","",IF('Data Source'!AD453&gt;=5,"A+",IF('Data Source'!AD453&gt;=4,"A",IF('Data Source'!AD453&gt;=3.5,"A-",IF('Data Source'!AD453&gt;=3,"B",IF('Data Source'!AD453&gt;=2,"C",IF('Data Source'!AD453&gt;=1,"D","F")))))))</f>
        <v/>
      </c>
      <c r="M453" s="3">
        <f>IF('Data Source'!B453="","",IF('Data Source'!AE453&gt;=5,"A+",IF('Data Source'!AE453&gt;=4,"A",IF('Data Source'!AE453&gt;=3.5,"A-",IF('Data Source'!AE453&gt;=3,"B",IF('Data Source'!AE453&gt;=2,"C",IF('Data Source'!AE453&gt;=1,"D","F")))))))</f>
        <v/>
      </c>
      <c r="N453" s="3">
        <f>IF('Data Source'!B453="","",IF('Data Source'!AF453&gt;=5,"A+",IF('Data Source'!AF453&gt;=4,"A",IF('Data Source'!AF453&gt;=3.5,"A-",IF('Data Source'!AF453&gt;=3,"B",IF('Data Source'!AF453&gt;=2,"C",IF('Data Source'!AF453&gt;=1,"D","F")))))))</f>
        <v/>
      </c>
      <c r="O453" s="3">
        <f>IF('Data Source'!B453="","",IF('Data Source'!AG453&gt;=5,"A+",IF('Data Source'!AG453&gt;=4,"A",IF('Data Source'!AG453&gt;=3.5,"A-",IF('Data Source'!AG453&gt;=3,"B",IF('Data Source'!AG453&gt;=2,"C",IF('Data Source'!AG453&gt;=1,"D","F")))))))</f>
        <v/>
      </c>
      <c r="P453" s="5">
        <f>IF('Data Source'!B453="","",'Data Source'!R453)</f>
        <v/>
      </c>
      <c r="Q453" s="3">
        <f>IF('Data Source'!B453="","",'Data Source'!S453)</f>
        <v/>
      </c>
    </row>
    <row r="454">
      <c r="A454" s="3">
        <f>IF('Data Source'!B454="","",'Data Source'!A454)</f>
        <v/>
      </c>
      <c r="B454">
        <f>IF('Data Source'!B454="","",'Data Source'!B454)</f>
        <v/>
      </c>
      <c r="C454" s="3">
        <f>IF('Data Source'!B454="","",IF('Data Source'!U454&gt;=5,"A+",IF('Data Source'!U454&gt;=4,"A",IF('Data Source'!U454&gt;=3.5,"A-",IF('Data Source'!U454&gt;=3,"B",IF('Data Source'!U454&gt;=2,"C",IF('Data Source'!U454&gt;=1,"D","F")))))))</f>
        <v/>
      </c>
      <c r="D454" s="3">
        <f>IF('Data Source'!B454="","",IF('Data Source'!V454&gt;=5,"A+",IF('Data Source'!V454&gt;=4,"A",IF('Data Source'!V454&gt;=3.5,"A-",IF('Data Source'!V454&gt;=3,"B",IF('Data Source'!V454&gt;=2,"C",IF('Data Source'!V454&gt;=1,"D","F")))))))</f>
        <v/>
      </c>
      <c r="E454" s="3">
        <f>IF('Data Source'!B454="","",IF('Data Source'!W454&gt;=5,"A+",IF('Data Source'!W454&gt;=4,"A",IF('Data Source'!W454&gt;=3.5,"A-",IF('Data Source'!W454&gt;=3,"B",IF('Data Source'!W454&gt;=2,"C",IF('Data Source'!W454&gt;=1,"D","F")))))))</f>
        <v/>
      </c>
      <c r="F454" s="3">
        <f>IF('Data Source'!B454="","",IF('Data Source'!X454&gt;=5,"A+",IF('Data Source'!X454&gt;=4,"A",IF('Data Source'!X454&gt;=3.5,"A-",IF('Data Source'!X454&gt;=3,"B",IF('Data Source'!X454&gt;=2,"C",IF('Data Source'!X454&gt;=1,"D","F")))))))</f>
        <v/>
      </c>
      <c r="G454" s="3">
        <f>IF('Data Source'!B454="","",IF('Data Source'!Y454&gt;=5,"A+",IF('Data Source'!Y454&gt;=4,"A",IF('Data Source'!Y454&gt;=3.5,"A-",IF('Data Source'!Y454&gt;=3,"B",IF('Data Source'!Y454&gt;=2,"C",IF('Data Source'!Y454&gt;=1,"D","F")))))))</f>
        <v/>
      </c>
      <c r="H454" s="3">
        <f>IF('Data Source'!B454="","",IF('Data Source'!Z454&gt;=5,"A+",IF('Data Source'!Z454&gt;=4,"A",IF('Data Source'!Z454&gt;=3.5,"A-",IF('Data Source'!Z454&gt;=3,"B",IF('Data Source'!Z454&gt;=2,"C",IF('Data Source'!Z454&gt;=1,"D","F")))))))</f>
        <v/>
      </c>
      <c r="I454" s="3">
        <f>IF('Data Source'!B454="","",IF('Data Source'!AA454&gt;=5,"A+",IF('Data Source'!AA454&gt;=4,"A",IF('Data Source'!AA454&gt;=3.5,"A-",IF('Data Source'!AA454&gt;=3,"B",IF('Data Source'!AA454&gt;=2,"C",IF('Data Source'!AA454&gt;=1,"D","F")))))))</f>
        <v/>
      </c>
      <c r="J454" s="3">
        <f>IF('Data Source'!B454="","",IF('Data Source'!AB454&gt;=5,"A+",IF('Data Source'!AB454&gt;=4,"A",IF('Data Source'!AB454&gt;=3.5,"A-",IF('Data Source'!AB454&gt;=3,"B",IF('Data Source'!AB454&gt;=2,"C",IF('Data Source'!AB454&gt;=1,"D","F")))))))</f>
        <v/>
      </c>
      <c r="K454" s="3">
        <f>IF('Data Source'!B454="","",IF('Data Source'!AC454&gt;=5,"A+",IF('Data Source'!AC454&gt;=4,"A",IF('Data Source'!AC454&gt;=3.5,"A-",IF('Data Source'!AC454&gt;=3,"B",IF('Data Source'!AC454&gt;=2,"C",IF('Data Source'!AC454&gt;=1,"D","F")))))))</f>
        <v/>
      </c>
      <c r="L454" s="3">
        <f>IF('Data Source'!B454="","",IF('Data Source'!AD454&gt;=5,"A+",IF('Data Source'!AD454&gt;=4,"A",IF('Data Source'!AD454&gt;=3.5,"A-",IF('Data Source'!AD454&gt;=3,"B",IF('Data Source'!AD454&gt;=2,"C",IF('Data Source'!AD454&gt;=1,"D","F")))))))</f>
        <v/>
      </c>
      <c r="M454" s="3">
        <f>IF('Data Source'!B454="","",IF('Data Source'!AE454&gt;=5,"A+",IF('Data Source'!AE454&gt;=4,"A",IF('Data Source'!AE454&gt;=3.5,"A-",IF('Data Source'!AE454&gt;=3,"B",IF('Data Source'!AE454&gt;=2,"C",IF('Data Source'!AE454&gt;=1,"D","F")))))))</f>
        <v/>
      </c>
      <c r="N454" s="3">
        <f>IF('Data Source'!B454="","",IF('Data Source'!AF454&gt;=5,"A+",IF('Data Source'!AF454&gt;=4,"A",IF('Data Source'!AF454&gt;=3.5,"A-",IF('Data Source'!AF454&gt;=3,"B",IF('Data Source'!AF454&gt;=2,"C",IF('Data Source'!AF454&gt;=1,"D","F")))))))</f>
        <v/>
      </c>
      <c r="O454" s="3">
        <f>IF('Data Source'!B454="","",IF('Data Source'!AG454&gt;=5,"A+",IF('Data Source'!AG454&gt;=4,"A",IF('Data Source'!AG454&gt;=3.5,"A-",IF('Data Source'!AG454&gt;=3,"B",IF('Data Source'!AG454&gt;=2,"C",IF('Data Source'!AG454&gt;=1,"D","F")))))))</f>
        <v/>
      </c>
      <c r="P454" s="5">
        <f>IF('Data Source'!B454="","",'Data Source'!R454)</f>
        <v/>
      </c>
      <c r="Q454" s="3">
        <f>IF('Data Source'!B454="","",'Data Source'!S454)</f>
        <v/>
      </c>
    </row>
    <row r="455">
      <c r="A455" s="3">
        <f>IF('Data Source'!B455="","",'Data Source'!A455)</f>
        <v/>
      </c>
      <c r="B455">
        <f>IF('Data Source'!B455="","",'Data Source'!B455)</f>
        <v/>
      </c>
      <c r="C455" s="3">
        <f>IF('Data Source'!B455="","",IF('Data Source'!U455&gt;=5,"A+",IF('Data Source'!U455&gt;=4,"A",IF('Data Source'!U455&gt;=3.5,"A-",IF('Data Source'!U455&gt;=3,"B",IF('Data Source'!U455&gt;=2,"C",IF('Data Source'!U455&gt;=1,"D","F")))))))</f>
        <v/>
      </c>
      <c r="D455" s="3">
        <f>IF('Data Source'!B455="","",IF('Data Source'!V455&gt;=5,"A+",IF('Data Source'!V455&gt;=4,"A",IF('Data Source'!V455&gt;=3.5,"A-",IF('Data Source'!V455&gt;=3,"B",IF('Data Source'!V455&gt;=2,"C",IF('Data Source'!V455&gt;=1,"D","F")))))))</f>
        <v/>
      </c>
      <c r="E455" s="3">
        <f>IF('Data Source'!B455="","",IF('Data Source'!W455&gt;=5,"A+",IF('Data Source'!W455&gt;=4,"A",IF('Data Source'!W455&gt;=3.5,"A-",IF('Data Source'!W455&gt;=3,"B",IF('Data Source'!W455&gt;=2,"C",IF('Data Source'!W455&gt;=1,"D","F")))))))</f>
        <v/>
      </c>
      <c r="F455" s="3">
        <f>IF('Data Source'!B455="","",IF('Data Source'!X455&gt;=5,"A+",IF('Data Source'!X455&gt;=4,"A",IF('Data Source'!X455&gt;=3.5,"A-",IF('Data Source'!X455&gt;=3,"B",IF('Data Source'!X455&gt;=2,"C",IF('Data Source'!X455&gt;=1,"D","F")))))))</f>
        <v/>
      </c>
      <c r="G455" s="3">
        <f>IF('Data Source'!B455="","",IF('Data Source'!Y455&gt;=5,"A+",IF('Data Source'!Y455&gt;=4,"A",IF('Data Source'!Y455&gt;=3.5,"A-",IF('Data Source'!Y455&gt;=3,"B",IF('Data Source'!Y455&gt;=2,"C",IF('Data Source'!Y455&gt;=1,"D","F")))))))</f>
        <v/>
      </c>
      <c r="H455" s="3">
        <f>IF('Data Source'!B455="","",IF('Data Source'!Z455&gt;=5,"A+",IF('Data Source'!Z455&gt;=4,"A",IF('Data Source'!Z455&gt;=3.5,"A-",IF('Data Source'!Z455&gt;=3,"B",IF('Data Source'!Z455&gt;=2,"C",IF('Data Source'!Z455&gt;=1,"D","F")))))))</f>
        <v/>
      </c>
      <c r="I455" s="3">
        <f>IF('Data Source'!B455="","",IF('Data Source'!AA455&gt;=5,"A+",IF('Data Source'!AA455&gt;=4,"A",IF('Data Source'!AA455&gt;=3.5,"A-",IF('Data Source'!AA455&gt;=3,"B",IF('Data Source'!AA455&gt;=2,"C",IF('Data Source'!AA455&gt;=1,"D","F")))))))</f>
        <v/>
      </c>
      <c r="J455" s="3">
        <f>IF('Data Source'!B455="","",IF('Data Source'!AB455&gt;=5,"A+",IF('Data Source'!AB455&gt;=4,"A",IF('Data Source'!AB455&gt;=3.5,"A-",IF('Data Source'!AB455&gt;=3,"B",IF('Data Source'!AB455&gt;=2,"C",IF('Data Source'!AB455&gt;=1,"D","F")))))))</f>
        <v/>
      </c>
      <c r="K455" s="3">
        <f>IF('Data Source'!B455="","",IF('Data Source'!AC455&gt;=5,"A+",IF('Data Source'!AC455&gt;=4,"A",IF('Data Source'!AC455&gt;=3.5,"A-",IF('Data Source'!AC455&gt;=3,"B",IF('Data Source'!AC455&gt;=2,"C",IF('Data Source'!AC455&gt;=1,"D","F")))))))</f>
        <v/>
      </c>
      <c r="L455" s="3">
        <f>IF('Data Source'!B455="","",IF('Data Source'!AD455&gt;=5,"A+",IF('Data Source'!AD455&gt;=4,"A",IF('Data Source'!AD455&gt;=3.5,"A-",IF('Data Source'!AD455&gt;=3,"B",IF('Data Source'!AD455&gt;=2,"C",IF('Data Source'!AD455&gt;=1,"D","F")))))))</f>
        <v/>
      </c>
      <c r="M455" s="3">
        <f>IF('Data Source'!B455="","",IF('Data Source'!AE455&gt;=5,"A+",IF('Data Source'!AE455&gt;=4,"A",IF('Data Source'!AE455&gt;=3.5,"A-",IF('Data Source'!AE455&gt;=3,"B",IF('Data Source'!AE455&gt;=2,"C",IF('Data Source'!AE455&gt;=1,"D","F")))))))</f>
        <v/>
      </c>
      <c r="N455" s="3">
        <f>IF('Data Source'!B455="","",IF('Data Source'!AF455&gt;=5,"A+",IF('Data Source'!AF455&gt;=4,"A",IF('Data Source'!AF455&gt;=3.5,"A-",IF('Data Source'!AF455&gt;=3,"B",IF('Data Source'!AF455&gt;=2,"C",IF('Data Source'!AF455&gt;=1,"D","F")))))))</f>
        <v/>
      </c>
      <c r="O455" s="3">
        <f>IF('Data Source'!B455="","",IF('Data Source'!AG455&gt;=5,"A+",IF('Data Source'!AG455&gt;=4,"A",IF('Data Source'!AG455&gt;=3.5,"A-",IF('Data Source'!AG455&gt;=3,"B",IF('Data Source'!AG455&gt;=2,"C",IF('Data Source'!AG455&gt;=1,"D","F")))))))</f>
        <v/>
      </c>
      <c r="P455" s="5">
        <f>IF('Data Source'!B455="","",'Data Source'!R455)</f>
        <v/>
      </c>
      <c r="Q455" s="3">
        <f>IF('Data Source'!B455="","",'Data Source'!S455)</f>
        <v/>
      </c>
    </row>
    <row r="456">
      <c r="A456" s="3">
        <f>IF('Data Source'!B456="","",'Data Source'!A456)</f>
        <v/>
      </c>
      <c r="B456">
        <f>IF('Data Source'!B456="","",'Data Source'!B456)</f>
        <v/>
      </c>
      <c r="C456" s="3">
        <f>IF('Data Source'!B456="","",IF('Data Source'!U456&gt;=5,"A+",IF('Data Source'!U456&gt;=4,"A",IF('Data Source'!U456&gt;=3.5,"A-",IF('Data Source'!U456&gt;=3,"B",IF('Data Source'!U456&gt;=2,"C",IF('Data Source'!U456&gt;=1,"D","F")))))))</f>
        <v/>
      </c>
      <c r="D456" s="3">
        <f>IF('Data Source'!B456="","",IF('Data Source'!V456&gt;=5,"A+",IF('Data Source'!V456&gt;=4,"A",IF('Data Source'!V456&gt;=3.5,"A-",IF('Data Source'!V456&gt;=3,"B",IF('Data Source'!V456&gt;=2,"C",IF('Data Source'!V456&gt;=1,"D","F")))))))</f>
        <v/>
      </c>
      <c r="E456" s="3">
        <f>IF('Data Source'!B456="","",IF('Data Source'!W456&gt;=5,"A+",IF('Data Source'!W456&gt;=4,"A",IF('Data Source'!W456&gt;=3.5,"A-",IF('Data Source'!W456&gt;=3,"B",IF('Data Source'!W456&gt;=2,"C",IF('Data Source'!W456&gt;=1,"D","F")))))))</f>
        <v/>
      </c>
      <c r="F456" s="3">
        <f>IF('Data Source'!B456="","",IF('Data Source'!X456&gt;=5,"A+",IF('Data Source'!X456&gt;=4,"A",IF('Data Source'!X456&gt;=3.5,"A-",IF('Data Source'!X456&gt;=3,"B",IF('Data Source'!X456&gt;=2,"C",IF('Data Source'!X456&gt;=1,"D","F")))))))</f>
        <v/>
      </c>
      <c r="G456" s="3">
        <f>IF('Data Source'!B456="","",IF('Data Source'!Y456&gt;=5,"A+",IF('Data Source'!Y456&gt;=4,"A",IF('Data Source'!Y456&gt;=3.5,"A-",IF('Data Source'!Y456&gt;=3,"B",IF('Data Source'!Y456&gt;=2,"C",IF('Data Source'!Y456&gt;=1,"D","F")))))))</f>
        <v/>
      </c>
      <c r="H456" s="3">
        <f>IF('Data Source'!B456="","",IF('Data Source'!Z456&gt;=5,"A+",IF('Data Source'!Z456&gt;=4,"A",IF('Data Source'!Z456&gt;=3.5,"A-",IF('Data Source'!Z456&gt;=3,"B",IF('Data Source'!Z456&gt;=2,"C",IF('Data Source'!Z456&gt;=1,"D","F")))))))</f>
        <v/>
      </c>
      <c r="I456" s="3">
        <f>IF('Data Source'!B456="","",IF('Data Source'!AA456&gt;=5,"A+",IF('Data Source'!AA456&gt;=4,"A",IF('Data Source'!AA456&gt;=3.5,"A-",IF('Data Source'!AA456&gt;=3,"B",IF('Data Source'!AA456&gt;=2,"C",IF('Data Source'!AA456&gt;=1,"D","F")))))))</f>
        <v/>
      </c>
      <c r="J456" s="3">
        <f>IF('Data Source'!B456="","",IF('Data Source'!AB456&gt;=5,"A+",IF('Data Source'!AB456&gt;=4,"A",IF('Data Source'!AB456&gt;=3.5,"A-",IF('Data Source'!AB456&gt;=3,"B",IF('Data Source'!AB456&gt;=2,"C",IF('Data Source'!AB456&gt;=1,"D","F")))))))</f>
        <v/>
      </c>
      <c r="K456" s="3">
        <f>IF('Data Source'!B456="","",IF('Data Source'!AC456&gt;=5,"A+",IF('Data Source'!AC456&gt;=4,"A",IF('Data Source'!AC456&gt;=3.5,"A-",IF('Data Source'!AC456&gt;=3,"B",IF('Data Source'!AC456&gt;=2,"C",IF('Data Source'!AC456&gt;=1,"D","F")))))))</f>
        <v/>
      </c>
      <c r="L456" s="3">
        <f>IF('Data Source'!B456="","",IF('Data Source'!AD456&gt;=5,"A+",IF('Data Source'!AD456&gt;=4,"A",IF('Data Source'!AD456&gt;=3.5,"A-",IF('Data Source'!AD456&gt;=3,"B",IF('Data Source'!AD456&gt;=2,"C",IF('Data Source'!AD456&gt;=1,"D","F")))))))</f>
        <v/>
      </c>
      <c r="M456" s="3">
        <f>IF('Data Source'!B456="","",IF('Data Source'!AE456&gt;=5,"A+",IF('Data Source'!AE456&gt;=4,"A",IF('Data Source'!AE456&gt;=3.5,"A-",IF('Data Source'!AE456&gt;=3,"B",IF('Data Source'!AE456&gt;=2,"C",IF('Data Source'!AE456&gt;=1,"D","F")))))))</f>
        <v/>
      </c>
      <c r="N456" s="3">
        <f>IF('Data Source'!B456="","",IF('Data Source'!AF456&gt;=5,"A+",IF('Data Source'!AF456&gt;=4,"A",IF('Data Source'!AF456&gt;=3.5,"A-",IF('Data Source'!AF456&gt;=3,"B",IF('Data Source'!AF456&gt;=2,"C",IF('Data Source'!AF456&gt;=1,"D","F")))))))</f>
        <v/>
      </c>
      <c r="O456" s="3">
        <f>IF('Data Source'!B456="","",IF('Data Source'!AG456&gt;=5,"A+",IF('Data Source'!AG456&gt;=4,"A",IF('Data Source'!AG456&gt;=3.5,"A-",IF('Data Source'!AG456&gt;=3,"B",IF('Data Source'!AG456&gt;=2,"C",IF('Data Source'!AG456&gt;=1,"D","F")))))))</f>
        <v/>
      </c>
      <c r="P456" s="5">
        <f>IF('Data Source'!B456="","",'Data Source'!R456)</f>
        <v/>
      </c>
      <c r="Q456" s="3">
        <f>IF('Data Source'!B456="","",'Data Source'!S456)</f>
        <v/>
      </c>
    </row>
    <row r="457">
      <c r="A457" s="3">
        <f>IF('Data Source'!B457="","",'Data Source'!A457)</f>
        <v/>
      </c>
      <c r="B457">
        <f>IF('Data Source'!B457="","",'Data Source'!B457)</f>
        <v/>
      </c>
      <c r="C457" s="3">
        <f>IF('Data Source'!B457="","",IF('Data Source'!U457&gt;=5,"A+",IF('Data Source'!U457&gt;=4,"A",IF('Data Source'!U457&gt;=3.5,"A-",IF('Data Source'!U457&gt;=3,"B",IF('Data Source'!U457&gt;=2,"C",IF('Data Source'!U457&gt;=1,"D","F")))))))</f>
        <v/>
      </c>
      <c r="D457" s="3">
        <f>IF('Data Source'!B457="","",IF('Data Source'!V457&gt;=5,"A+",IF('Data Source'!V457&gt;=4,"A",IF('Data Source'!V457&gt;=3.5,"A-",IF('Data Source'!V457&gt;=3,"B",IF('Data Source'!V457&gt;=2,"C",IF('Data Source'!V457&gt;=1,"D","F")))))))</f>
        <v/>
      </c>
      <c r="E457" s="3">
        <f>IF('Data Source'!B457="","",IF('Data Source'!W457&gt;=5,"A+",IF('Data Source'!W457&gt;=4,"A",IF('Data Source'!W457&gt;=3.5,"A-",IF('Data Source'!W457&gt;=3,"B",IF('Data Source'!W457&gt;=2,"C",IF('Data Source'!W457&gt;=1,"D","F")))))))</f>
        <v/>
      </c>
      <c r="F457" s="3">
        <f>IF('Data Source'!B457="","",IF('Data Source'!X457&gt;=5,"A+",IF('Data Source'!X457&gt;=4,"A",IF('Data Source'!X457&gt;=3.5,"A-",IF('Data Source'!X457&gt;=3,"B",IF('Data Source'!X457&gt;=2,"C",IF('Data Source'!X457&gt;=1,"D","F")))))))</f>
        <v/>
      </c>
      <c r="G457" s="3">
        <f>IF('Data Source'!B457="","",IF('Data Source'!Y457&gt;=5,"A+",IF('Data Source'!Y457&gt;=4,"A",IF('Data Source'!Y457&gt;=3.5,"A-",IF('Data Source'!Y457&gt;=3,"B",IF('Data Source'!Y457&gt;=2,"C",IF('Data Source'!Y457&gt;=1,"D","F")))))))</f>
        <v/>
      </c>
      <c r="H457" s="3">
        <f>IF('Data Source'!B457="","",IF('Data Source'!Z457&gt;=5,"A+",IF('Data Source'!Z457&gt;=4,"A",IF('Data Source'!Z457&gt;=3.5,"A-",IF('Data Source'!Z457&gt;=3,"B",IF('Data Source'!Z457&gt;=2,"C",IF('Data Source'!Z457&gt;=1,"D","F")))))))</f>
        <v/>
      </c>
      <c r="I457" s="3">
        <f>IF('Data Source'!B457="","",IF('Data Source'!AA457&gt;=5,"A+",IF('Data Source'!AA457&gt;=4,"A",IF('Data Source'!AA457&gt;=3.5,"A-",IF('Data Source'!AA457&gt;=3,"B",IF('Data Source'!AA457&gt;=2,"C",IF('Data Source'!AA457&gt;=1,"D","F")))))))</f>
        <v/>
      </c>
      <c r="J457" s="3">
        <f>IF('Data Source'!B457="","",IF('Data Source'!AB457&gt;=5,"A+",IF('Data Source'!AB457&gt;=4,"A",IF('Data Source'!AB457&gt;=3.5,"A-",IF('Data Source'!AB457&gt;=3,"B",IF('Data Source'!AB457&gt;=2,"C",IF('Data Source'!AB457&gt;=1,"D","F")))))))</f>
        <v/>
      </c>
      <c r="K457" s="3">
        <f>IF('Data Source'!B457="","",IF('Data Source'!AC457&gt;=5,"A+",IF('Data Source'!AC457&gt;=4,"A",IF('Data Source'!AC457&gt;=3.5,"A-",IF('Data Source'!AC457&gt;=3,"B",IF('Data Source'!AC457&gt;=2,"C",IF('Data Source'!AC457&gt;=1,"D","F")))))))</f>
        <v/>
      </c>
      <c r="L457" s="3">
        <f>IF('Data Source'!B457="","",IF('Data Source'!AD457&gt;=5,"A+",IF('Data Source'!AD457&gt;=4,"A",IF('Data Source'!AD457&gt;=3.5,"A-",IF('Data Source'!AD457&gt;=3,"B",IF('Data Source'!AD457&gt;=2,"C",IF('Data Source'!AD457&gt;=1,"D","F")))))))</f>
        <v/>
      </c>
      <c r="M457" s="3">
        <f>IF('Data Source'!B457="","",IF('Data Source'!AE457&gt;=5,"A+",IF('Data Source'!AE457&gt;=4,"A",IF('Data Source'!AE457&gt;=3.5,"A-",IF('Data Source'!AE457&gt;=3,"B",IF('Data Source'!AE457&gt;=2,"C",IF('Data Source'!AE457&gt;=1,"D","F")))))))</f>
        <v/>
      </c>
      <c r="N457" s="3">
        <f>IF('Data Source'!B457="","",IF('Data Source'!AF457&gt;=5,"A+",IF('Data Source'!AF457&gt;=4,"A",IF('Data Source'!AF457&gt;=3.5,"A-",IF('Data Source'!AF457&gt;=3,"B",IF('Data Source'!AF457&gt;=2,"C",IF('Data Source'!AF457&gt;=1,"D","F")))))))</f>
        <v/>
      </c>
      <c r="O457" s="3">
        <f>IF('Data Source'!B457="","",IF('Data Source'!AG457&gt;=5,"A+",IF('Data Source'!AG457&gt;=4,"A",IF('Data Source'!AG457&gt;=3.5,"A-",IF('Data Source'!AG457&gt;=3,"B",IF('Data Source'!AG457&gt;=2,"C",IF('Data Source'!AG457&gt;=1,"D","F")))))))</f>
        <v/>
      </c>
      <c r="P457" s="5">
        <f>IF('Data Source'!B457="","",'Data Source'!R457)</f>
        <v/>
      </c>
      <c r="Q457" s="3">
        <f>IF('Data Source'!B457="","",'Data Source'!S457)</f>
        <v/>
      </c>
    </row>
    <row r="458">
      <c r="A458" s="3">
        <f>IF('Data Source'!B458="","",'Data Source'!A458)</f>
        <v/>
      </c>
      <c r="B458">
        <f>IF('Data Source'!B458="","",'Data Source'!B458)</f>
        <v/>
      </c>
      <c r="C458" s="3">
        <f>IF('Data Source'!B458="","",IF('Data Source'!U458&gt;=5,"A+",IF('Data Source'!U458&gt;=4,"A",IF('Data Source'!U458&gt;=3.5,"A-",IF('Data Source'!U458&gt;=3,"B",IF('Data Source'!U458&gt;=2,"C",IF('Data Source'!U458&gt;=1,"D","F")))))))</f>
        <v/>
      </c>
      <c r="D458" s="3">
        <f>IF('Data Source'!B458="","",IF('Data Source'!V458&gt;=5,"A+",IF('Data Source'!V458&gt;=4,"A",IF('Data Source'!V458&gt;=3.5,"A-",IF('Data Source'!V458&gt;=3,"B",IF('Data Source'!V458&gt;=2,"C",IF('Data Source'!V458&gt;=1,"D","F")))))))</f>
        <v/>
      </c>
      <c r="E458" s="3">
        <f>IF('Data Source'!B458="","",IF('Data Source'!W458&gt;=5,"A+",IF('Data Source'!W458&gt;=4,"A",IF('Data Source'!W458&gt;=3.5,"A-",IF('Data Source'!W458&gt;=3,"B",IF('Data Source'!W458&gt;=2,"C",IF('Data Source'!W458&gt;=1,"D","F")))))))</f>
        <v/>
      </c>
      <c r="F458" s="3">
        <f>IF('Data Source'!B458="","",IF('Data Source'!X458&gt;=5,"A+",IF('Data Source'!X458&gt;=4,"A",IF('Data Source'!X458&gt;=3.5,"A-",IF('Data Source'!X458&gt;=3,"B",IF('Data Source'!X458&gt;=2,"C",IF('Data Source'!X458&gt;=1,"D","F")))))))</f>
        <v/>
      </c>
      <c r="G458" s="3">
        <f>IF('Data Source'!B458="","",IF('Data Source'!Y458&gt;=5,"A+",IF('Data Source'!Y458&gt;=4,"A",IF('Data Source'!Y458&gt;=3.5,"A-",IF('Data Source'!Y458&gt;=3,"B",IF('Data Source'!Y458&gt;=2,"C",IF('Data Source'!Y458&gt;=1,"D","F")))))))</f>
        <v/>
      </c>
      <c r="H458" s="3">
        <f>IF('Data Source'!B458="","",IF('Data Source'!Z458&gt;=5,"A+",IF('Data Source'!Z458&gt;=4,"A",IF('Data Source'!Z458&gt;=3.5,"A-",IF('Data Source'!Z458&gt;=3,"B",IF('Data Source'!Z458&gt;=2,"C",IF('Data Source'!Z458&gt;=1,"D","F")))))))</f>
        <v/>
      </c>
      <c r="I458" s="3">
        <f>IF('Data Source'!B458="","",IF('Data Source'!AA458&gt;=5,"A+",IF('Data Source'!AA458&gt;=4,"A",IF('Data Source'!AA458&gt;=3.5,"A-",IF('Data Source'!AA458&gt;=3,"B",IF('Data Source'!AA458&gt;=2,"C",IF('Data Source'!AA458&gt;=1,"D","F")))))))</f>
        <v/>
      </c>
      <c r="J458" s="3">
        <f>IF('Data Source'!B458="","",IF('Data Source'!AB458&gt;=5,"A+",IF('Data Source'!AB458&gt;=4,"A",IF('Data Source'!AB458&gt;=3.5,"A-",IF('Data Source'!AB458&gt;=3,"B",IF('Data Source'!AB458&gt;=2,"C",IF('Data Source'!AB458&gt;=1,"D","F")))))))</f>
        <v/>
      </c>
      <c r="K458" s="3">
        <f>IF('Data Source'!B458="","",IF('Data Source'!AC458&gt;=5,"A+",IF('Data Source'!AC458&gt;=4,"A",IF('Data Source'!AC458&gt;=3.5,"A-",IF('Data Source'!AC458&gt;=3,"B",IF('Data Source'!AC458&gt;=2,"C",IF('Data Source'!AC458&gt;=1,"D","F")))))))</f>
        <v/>
      </c>
      <c r="L458" s="3">
        <f>IF('Data Source'!B458="","",IF('Data Source'!AD458&gt;=5,"A+",IF('Data Source'!AD458&gt;=4,"A",IF('Data Source'!AD458&gt;=3.5,"A-",IF('Data Source'!AD458&gt;=3,"B",IF('Data Source'!AD458&gt;=2,"C",IF('Data Source'!AD458&gt;=1,"D","F")))))))</f>
        <v/>
      </c>
      <c r="M458" s="3">
        <f>IF('Data Source'!B458="","",IF('Data Source'!AE458&gt;=5,"A+",IF('Data Source'!AE458&gt;=4,"A",IF('Data Source'!AE458&gt;=3.5,"A-",IF('Data Source'!AE458&gt;=3,"B",IF('Data Source'!AE458&gt;=2,"C",IF('Data Source'!AE458&gt;=1,"D","F")))))))</f>
        <v/>
      </c>
      <c r="N458" s="3">
        <f>IF('Data Source'!B458="","",IF('Data Source'!AF458&gt;=5,"A+",IF('Data Source'!AF458&gt;=4,"A",IF('Data Source'!AF458&gt;=3.5,"A-",IF('Data Source'!AF458&gt;=3,"B",IF('Data Source'!AF458&gt;=2,"C",IF('Data Source'!AF458&gt;=1,"D","F")))))))</f>
        <v/>
      </c>
      <c r="O458" s="3">
        <f>IF('Data Source'!B458="","",IF('Data Source'!AG458&gt;=5,"A+",IF('Data Source'!AG458&gt;=4,"A",IF('Data Source'!AG458&gt;=3.5,"A-",IF('Data Source'!AG458&gt;=3,"B",IF('Data Source'!AG458&gt;=2,"C",IF('Data Source'!AG458&gt;=1,"D","F")))))))</f>
        <v/>
      </c>
      <c r="P458" s="5">
        <f>IF('Data Source'!B458="","",'Data Source'!R458)</f>
        <v/>
      </c>
      <c r="Q458" s="3">
        <f>IF('Data Source'!B458="","",'Data Source'!S458)</f>
        <v/>
      </c>
    </row>
    <row r="459">
      <c r="A459" s="3">
        <f>IF('Data Source'!B459="","",'Data Source'!A459)</f>
        <v/>
      </c>
      <c r="B459">
        <f>IF('Data Source'!B459="","",'Data Source'!B459)</f>
        <v/>
      </c>
      <c r="C459" s="3">
        <f>IF('Data Source'!B459="","",IF('Data Source'!U459&gt;=5,"A+",IF('Data Source'!U459&gt;=4,"A",IF('Data Source'!U459&gt;=3.5,"A-",IF('Data Source'!U459&gt;=3,"B",IF('Data Source'!U459&gt;=2,"C",IF('Data Source'!U459&gt;=1,"D","F")))))))</f>
        <v/>
      </c>
      <c r="D459" s="3">
        <f>IF('Data Source'!B459="","",IF('Data Source'!V459&gt;=5,"A+",IF('Data Source'!V459&gt;=4,"A",IF('Data Source'!V459&gt;=3.5,"A-",IF('Data Source'!V459&gt;=3,"B",IF('Data Source'!V459&gt;=2,"C",IF('Data Source'!V459&gt;=1,"D","F")))))))</f>
        <v/>
      </c>
      <c r="E459" s="3">
        <f>IF('Data Source'!B459="","",IF('Data Source'!W459&gt;=5,"A+",IF('Data Source'!W459&gt;=4,"A",IF('Data Source'!W459&gt;=3.5,"A-",IF('Data Source'!W459&gt;=3,"B",IF('Data Source'!W459&gt;=2,"C",IF('Data Source'!W459&gt;=1,"D","F")))))))</f>
        <v/>
      </c>
      <c r="F459" s="3">
        <f>IF('Data Source'!B459="","",IF('Data Source'!X459&gt;=5,"A+",IF('Data Source'!X459&gt;=4,"A",IF('Data Source'!X459&gt;=3.5,"A-",IF('Data Source'!X459&gt;=3,"B",IF('Data Source'!X459&gt;=2,"C",IF('Data Source'!X459&gt;=1,"D","F")))))))</f>
        <v/>
      </c>
      <c r="G459" s="3">
        <f>IF('Data Source'!B459="","",IF('Data Source'!Y459&gt;=5,"A+",IF('Data Source'!Y459&gt;=4,"A",IF('Data Source'!Y459&gt;=3.5,"A-",IF('Data Source'!Y459&gt;=3,"B",IF('Data Source'!Y459&gt;=2,"C",IF('Data Source'!Y459&gt;=1,"D","F")))))))</f>
        <v/>
      </c>
      <c r="H459" s="3">
        <f>IF('Data Source'!B459="","",IF('Data Source'!Z459&gt;=5,"A+",IF('Data Source'!Z459&gt;=4,"A",IF('Data Source'!Z459&gt;=3.5,"A-",IF('Data Source'!Z459&gt;=3,"B",IF('Data Source'!Z459&gt;=2,"C",IF('Data Source'!Z459&gt;=1,"D","F")))))))</f>
        <v/>
      </c>
      <c r="I459" s="3">
        <f>IF('Data Source'!B459="","",IF('Data Source'!AA459&gt;=5,"A+",IF('Data Source'!AA459&gt;=4,"A",IF('Data Source'!AA459&gt;=3.5,"A-",IF('Data Source'!AA459&gt;=3,"B",IF('Data Source'!AA459&gt;=2,"C",IF('Data Source'!AA459&gt;=1,"D","F")))))))</f>
        <v/>
      </c>
      <c r="J459" s="3">
        <f>IF('Data Source'!B459="","",IF('Data Source'!AB459&gt;=5,"A+",IF('Data Source'!AB459&gt;=4,"A",IF('Data Source'!AB459&gt;=3.5,"A-",IF('Data Source'!AB459&gt;=3,"B",IF('Data Source'!AB459&gt;=2,"C",IF('Data Source'!AB459&gt;=1,"D","F")))))))</f>
        <v/>
      </c>
      <c r="K459" s="3">
        <f>IF('Data Source'!B459="","",IF('Data Source'!AC459&gt;=5,"A+",IF('Data Source'!AC459&gt;=4,"A",IF('Data Source'!AC459&gt;=3.5,"A-",IF('Data Source'!AC459&gt;=3,"B",IF('Data Source'!AC459&gt;=2,"C",IF('Data Source'!AC459&gt;=1,"D","F")))))))</f>
        <v/>
      </c>
      <c r="L459" s="3">
        <f>IF('Data Source'!B459="","",IF('Data Source'!AD459&gt;=5,"A+",IF('Data Source'!AD459&gt;=4,"A",IF('Data Source'!AD459&gt;=3.5,"A-",IF('Data Source'!AD459&gt;=3,"B",IF('Data Source'!AD459&gt;=2,"C",IF('Data Source'!AD459&gt;=1,"D","F")))))))</f>
        <v/>
      </c>
      <c r="M459" s="3">
        <f>IF('Data Source'!B459="","",IF('Data Source'!AE459&gt;=5,"A+",IF('Data Source'!AE459&gt;=4,"A",IF('Data Source'!AE459&gt;=3.5,"A-",IF('Data Source'!AE459&gt;=3,"B",IF('Data Source'!AE459&gt;=2,"C",IF('Data Source'!AE459&gt;=1,"D","F")))))))</f>
        <v/>
      </c>
      <c r="N459" s="3">
        <f>IF('Data Source'!B459="","",IF('Data Source'!AF459&gt;=5,"A+",IF('Data Source'!AF459&gt;=4,"A",IF('Data Source'!AF459&gt;=3.5,"A-",IF('Data Source'!AF459&gt;=3,"B",IF('Data Source'!AF459&gt;=2,"C",IF('Data Source'!AF459&gt;=1,"D","F")))))))</f>
        <v/>
      </c>
      <c r="O459" s="3">
        <f>IF('Data Source'!B459="","",IF('Data Source'!AG459&gt;=5,"A+",IF('Data Source'!AG459&gt;=4,"A",IF('Data Source'!AG459&gt;=3.5,"A-",IF('Data Source'!AG459&gt;=3,"B",IF('Data Source'!AG459&gt;=2,"C",IF('Data Source'!AG459&gt;=1,"D","F")))))))</f>
        <v/>
      </c>
      <c r="P459" s="5">
        <f>IF('Data Source'!B459="","",'Data Source'!R459)</f>
        <v/>
      </c>
      <c r="Q459" s="3">
        <f>IF('Data Source'!B459="","",'Data Source'!S459)</f>
        <v/>
      </c>
    </row>
    <row r="460">
      <c r="A460" s="3">
        <f>IF('Data Source'!B460="","",'Data Source'!A460)</f>
        <v/>
      </c>
      <c r="B460">
        <f>IF('Data Source'!B460="","",'Data Source'!B460)</f>
        <v/>
      </c>
      <c r="C460" s="3">
        <f>IF('Data Source'!B460="","",IF('Data Source'!U460&gt;=5,"A+",IF('Data Source'!U460&gt;=4,"A",IF('Data Source'!U460&gt;=3.5,"A-",IF('Data Source'!U460&gt;=3,"B",IF('Data Source'!U460&gt;=2,"C",IF('Data Source'!U460&gt;=1,"D","F")))))))</f>
        <v/>
      </c>
      <c r="D460" s="3">
        <f>IF('Data Source'!B460="","",IF('Data Source'!V460&gt;=5,"A+",IF('Data Source'!V460&gt;=4,"A",IF('Data Source'!V460&gt;=3.5,"A-",IF('Data Source'!V460&gt;=3,"B",IF('Data Source'!V460&gt;=2,"C",IF('Data Source'!V460&gt;=1,"D","F")))))))</f>
        <v/>
      </c>
      <c r="E460" s="3">
        <f>IF('Data Source'!B460="","",IF('Data Source'!W460&gt;=5,"A+",IF('Data Source'!W460&gt;=4,"A",IF('Data Source'!W460&gt;=3.5,"A-",IF('Data Source'!W460&gt;=3,"B",IF('Data Source'!W460&gt;=2,"C",IF('Data Source'!W460&gt;=1,"D","F")))))))</f>
        <v/>
      </c>
      <c r="F460" s="3">
        <f>IF('Data Source'!B460="","",IF('Data Source'!X460&gt;=5,"A+",IF('Data Source'!X460&gt;=4,"A",IF('Data Source'!X460&gt;=3.5,"A-",IF('Data Source'!X460&gt;=3,"B",IF('Data Source'!X460&gt;=2,"C",IF('Data Source'!X460&gt;=1,"D","F")))))))</f>
        <v/>
      </c>
      <c r="G460" s="3">
        <f>IF('Data Source'!B460="","",IF('Data Source'!Y460&gt;=5,"A+",IF('Data Source'!Y460&gt;=4,"A",IF('Data Source'!Y460&gt;=3.5,"A-",IF('Data Source'!Y460&gt;=3,"B",IF('Data Source'!Y460&gt;=2,"C",IF('Data Source'!Y460&gt;=1,"D","F")))))))</f>
        <v/>
      </c>
      <c r="H460" s="3">
        <f>IF('Data Source'!B460="","",IF('Data Source'!Z460&gt;=5,"A+",IF('Data Source'!Z460&gt;=4,"A",IF('Data Source'!Z460&gt;=3.5,"A-",IF('Data Source'!Z460&gt;=3,"B",IF('Data Source'!Z460&gt;=2,"C",IF('Data Source'!Z460&gt;=1,"D","F")))))))</f>
        <v/>
      </c>
      <c r="I460" s="3">
        <f>IF('Data Source'!B460="","",IF('Data Source'!AA460&gt;=5,"A+",IF('Data Source'!AA460&gt;=4,"A",IF('Data Source'!AA460&gt;=3.5,"A-",IF('Data Source'!AA460&gt;=3,"B",IF('Data Source'!AA460&gt;=2,"C",IF('Data Source'!AA460&gt;=1,"D","F")))))))</f>
        <v/>
      </c>
      <c r="J460" s="3">
        <f>IF('Data Source'!B460="","",IF('Data Source'!AB460&gt;=5,"A+",IF('Data Source'!AB460&gt;=4,"A",IF('Data Source'!AB460&gt;=3.5,"A-",IF('Data Source'!AB460&gt;=3,"B",IF('Data Source'!AB460&gt;=2,"C",IF('Data Source'!AB460&gt;=1,"D","F")))))))</f>
        <v/>
      </c>
      <c r="K460" s="3">
        <f>IF('Data Source'!B460="","",IF('Data Source'!AC460&gt;=5,"A+",IF('Data Source'!AC460&gt;=4,"A",IF('Data Source'!AC460&gt;=3.5,"A-",IF('Data Source'!AC460&gt;=3,"B",IF('Data Source'!AC460&gt;=2,"C",IF('Data Source'!AC460&gt;=1,"D","F")))))))</f>
        <v/>
      </c>
      <c r="L460" s="3">
        <f>IF('Data Source'!B460="","",IF('Data Source'!AD460&gt;=5,"A+",IF('Data Source'!AD460&gt;=4,"A",IF('Data Source'!AD460&gt;=3.5,"A-",IF('Data Source'!AD460&gt;=3,"B",IF('Data Source'!AD460&gt;=2,"C",IF('Data Source'!AD460&gt;=1,"D","F")))))))</f>
        <v/>
      </c>
      <c r="M460" s="3">
        <f>IF('Data Source'!B460="","",IF('Data Source'!AE460&gt;=5,"A+",IF('Data Source'!AE460&gt;=4,"A",IF('Data Source'!AE460&gt;=3.5,"A-",IF('Data Source'!AE460&gt;=3,"B",IF('Data Source'!AE460&gt;=2,"C",IF('Data Source'!AE460&gt;=1,"D","F")))))))</f>
        <v/>
      </c>
      <c r="N460" s="3">
        <f>IF('Data Source'!B460="","",IF('Data Source'!AF460&gt;=5,"A+",IF('Data Source'!AF460&gt;=4,"A",IF('Data Source'!AF460&gt;=3.5,"A-",IF('Data Source'!AF460&gt;=3,"B",IF('Data Source'!AF460&gt;=2,"C",IF('Data Source'!AF460&gt;=1,"D","F")))))))</f>
        <v/>
      </c>
      <c r="O460" s="3">
        <f>IF('Data Source'!B460="","",IF('Data Source'!AG460&gt;=5,"A+",IF('Data Source'!AG460&gt;=4,"A",IF('Data Source'!AG460&gt;=3.5,"A-",IF('Data Source'!AG460&gt;=3,"B",IF('Data Source'!AG460&gt;=2,"C",IF('Data Source'!AG460&gt;=1,"D","F")))))))</f>
        <v/>
      </c>
      <c r="P460" s="5">
        <f>IF('Data Source'!B460="","",'Data Source'!R460)</f>
        <v/>
      </c>
      <c r="Q460" s="3">
        <f>IF('Data Source'!B460="","",'Data Source'!S460)</f>
        <v/>
      </c>
    </row>
    <row r="461">
      <c r="A461" s="3">
        <f>IF('Data Source'!B461="","",'Data Source'!A461)</f>
        <v/>
      </c>
      <c r="B461">
        <f>IF('Data Source'!B461="","",'Data Source'!B461)</f>
        <v/>
      </c>
      <c r="C461" s="3">
        <f>IF('Data Source'!B461="","",IF('Data Source'!U461&gt;=5,"A+",IF('Data Source'!U461&gt;=4,"A",IF('Data Source'!U461&gt;=3.5,"A-",IF('Data Source'!U461&gt;=3,"B",IF('Data Source'!U461&gt;=2,"C",IF('Data Source'!U461&gt;=1,"D","F")))))))</f>
        <v/>
      </c>
      <c r="D461" s="3">
        <f>IF('Data Source'!B461="","",IF('Data Source'!V461&gt;=5,"A+",IF('Data Source'!V461&gt;=4,"A",IF('Data Source'!V461&gt;=3.5,"A-",IF('Data Source'!V461&gt;=3,"B",IF('Data Source'!V461&gt;=2,"C",IF('Data Source'!V461&gt;=1,"D","F")))))))</f>
        <v/>
      </c>
      <c r="E461" s="3">
        <f>IF('Data Source'!B461="","",IF('Data Source'!W461&gt;=5,"A+",IF('Data Source'!W461&gt;=4,"A",IF('Data Source'!W461&gt;=3.5,"A-",IF('Data Source'!W461&gt;=3,"B",IF('Data Source'!W461&gt;=2,"C",IF('Data Source'!W461&gt;=1,"D","F")))))))</f>
        <v/>
      </c>
      <c r="F461" s="3">
        <f>IF('Data Source'!B461="","",IF('Data Source'!X461&gt;=5,"A+",IF('Data Source'!X461&gt;=4,"A",IF('Data Source'!X461&gt;=3.5,"A-",IF('Data Source'!X461&gt;=3,"B",IF('Data Source'!X461&gt;=2,"C",IF('Data Source'!X461&gt;=1,"D","F")))))))</f>
        <v/>
      </c>
      <c r="G461" s="3">
        <f>IF('Data Source'!B461="","",IF('Data Source'!Y461&gt;=5,"A+",IF('Data Source'!Y461&gt;=4,"A",IF('Data Source'!Y461&gt;=3.5,"A-",IF('Data Source'!Y461&gt;=3,"B",IF('Data Source'!Y461&gt;=2,"C",IF('Data Source'!Y461&gt;=1,"D","F")))))))</f>
        <v/>
      </c>
      <c r="H461" s="3">
        <f>IF('Data Source'!B461="","",IF('Data Source'!Z461&gt;=5,"A+",IF('Data Source'!Z461&gt;=4,"A",IF('Data Source'!Z461&gt;=3.5,"A-",IF('Data Source'!Z461&gt;=3,"B",IF('Data Source'!Z461&gt;=2,"C",IF('Data Source'!Z461&gt;=1,"D","F")))))))</f>
        <v/>
      </c>
      <c r="I461" s="3">
        <f>IF('Data Source'!B461="","",IF('Data Source'!AA461&gt;=5,"A+",IF('Data Source'!AA461&gt;=4,"A",IF('Data Source'!AA461&gt;=3.5,"A-",IF('Data Source'!AA461&gt;=3,"B",IF('Data Source'!AA461&gt;=2,"C",IF('Data Source'!AA461&gt;=1,"D","F")))))))</f>
        <v/>
      </c>
      <c r="J461" s="3">
        <f>IF('Data Source'!B461="","",IF('Data Source'!AB461&gt;=5,"A+",IF('Data Source'!AB461&gt;=4,"A",IF('Data Source'!AB461&gt;=3.5,"A-",IF('Data Source'!AB461&gt;=3,"B",IF('Data Source'!AB461&gt;=2,"C",IF('Data Source'!AB461&gt;=1,"D","F")))))))</f>
        <v/>
      </c>
      <c r="K461" s="3">
        <f>IF('Data Source'!B461="","",IF('Data Source'!AC461&gt;=5,"A+",IF('Data Source'!AC461&gt;=4,"A",IF('Data Source'!AC461&gt;=3.5,"A-",IF('Data Source'!AC461&gt;=3,"B",IF('Data Source'!AC461&gt;=2,"C",IF('Data Source'!AC461&gt;=1,"D","F")))))))</f>
        <v/>
      </c>
      <c r="L461" s="3">
        <f>IF('Data Source'!B461="","",IF('Data Source'!AD461&gt;=5,"A+",IF('Data Source'!AD461&gt;=4,"A",IF('Data Source'!AD461&gt;=3.5,"A-",IF('Data Source'!AD461&gt;=3,"B",IF('Data Source'!AD461&gt;=2,"C",IF('Data Source'!AD461&gt;=1,"D","F")))))))</f>
        <v/>
      </c>
      <c r="M461" s="3">
        <f>IF('Data Source'!B461="","",IF('Data Source'!AE461&gt;=5,"A+",IF('Data Source'!AE461&gt;=4,"A",IF('Data Source'!AE461&gt;=3.5,"A-",IF('Data Source'!AE461&gt;=3,"B",IF('Data Source'!AE461&gt;=2,"C",IF('Data Source'!AE461&gt;=1,"D","F")))))))</f>
        <v/>
      </c>
      <c r="N461" s="3">
        <f>IF('Data Source'!B461="","",IF('Data Source'!AF461&gt;=5,"A+",IF('Data Source'!AF461&gt;=4,"A",IF('Data Source'!AF461&gt;=3.5,"A-",IF('Data Source'!AF461&gt;=3,"B",IF('Data Source'!AF461&gt;=2,"C",IF('Data Source'!AF461&gt;=1,"D","F")))))))</f>
        <v/>
      </c>
      <c r="O461" s="3">
        <f>IF('Data Source'!B461="","",IF('Data Source'!AG461&gt;=5,"A+",IF('Data Source'!AG461&gt;=4,"A",IF('Data Source'!AG461&gt;=3.5,"A-",IF('Data Source'!AG461&gt;=3,"B",IF('Data Source'!AG461&gt;=2,"C",IF('Data Source'!AG461&gt;=1,"D","F")))))))</f>
        <v/>
      </c>
      <c r="P461" s="5">
        <f>IF('Data Source'!B461="","",'Data Source'!R461)</f>
        <v/>
      </c>
      <c r="Q461" s="3">
        <f>IF('Data Source'!B461="","",'Data Source'!S461)</f>
        <v/>
      </c>
    </row>
    <row r="462">
      <c r="A462" s="3">
        <f>IF('Data Source'!B462="","",'Data Source'!A462)</f>
        <v/>
      </c>
      <c r="B462">
        <f>IF('Data Source'!B462="","",'Data Source'!B462)</f>
        <v/>
      </c>
      <c r="C462" s="3">
        <f>IF('Data Source'!B462="","",IF('Data Source'!U462&gt;=5,"A+",IF('Data Source'!U462&gt;=4,"A",IF('Data Source'!U462&gt;=3.5,"A-",IF('Data Source'!U462&gt;=3,"B",IF('Data Source'!U462&gt;=2,"C",IF('Data Source'!U462&gt;=1,"D","F")))))))</f>
        <v/>
      </c>
      <c r="D462" s="3">
        <f>IF('Data Source'!B462="","",IF('Data Source'!V462&gt;=5,"A+",IF('Data Source'!V462&gt;=4,"A",IF('Data Source'!V462&gt;=3.5,"A-",IF('Data Source'!V462&gt;=3,"B",IF('Data Source'!V462&gt;=2,"C",IF('Data Source'!V462&gt;=1,"D","F")))))))</f>
        <v/>
      </c>
      <c r="E462" s="3">
        <f>IF('Data Source'!B462="","",IF('Data Source'!W462&gt;=5,"A+",IF('Data Source'!W462&gt;=4,"A",IF('Data Source'!W462&gt;=3.5,"A-",IF('Data Source'!W462&gt;=3,"B",IF('Data Source'!W462&gt;=2,"C",IF('Data Source'!W462&gt;=1,"D","F")))))))</f>
        <v/>
      </c>
      <c r="F462" s="3">
        <f>IF('Data Source'!B462="","",IF('Data Source'!X462&gt;=5,"A+",IF('Data Source'!X462&gt;=4,"A",IF('Data Source'!X462&gt;=3.5,"A-",IF('Data Source'!X462&gt;=3,"B",IF('Data Source'!X462&gt;=2,"C",IF('Data Source'!X462&gt;=1,"D","F")))))))</f>
        <v/>
      </c>
      <c r="G462" s="3">
        <f>IF('Data Source'!B462="","",IF('Data Source'!Y462&gt;=5,"A+",IF('Data Source'!Y462&gt;=4,"A",IF('Data Source'!Y462&gt;=3.5,"A-",IF('Data Source'!Y462&gt;=3,"B",IF('Data Source'!Y462&gt;=2,"C",IF('Data Source'!Y462&gt;=1,"D","F")))))))</f>
        <v/>
      </c>
      <c r="H462" s="3">
        <f>IF('Data Source'!B462="","",IF('Data Source'!Z462&gt;=5,"A+",IF('Data Source'!Z462&gt;=4,"A",IF('Data Source'!Z462&gt;=3.5,"A-",IF('Data Source'!Z462&gt;=3,"B",IF('Data Source'!Z462&gt;=2,"C",IF('Data Source'!Z462&gt;=1,"D","F")))))))</f>
        <v/>
      </c>
      <c r="I462" s="3">
        <f>IF('Data Source'!B462="","",IF('Data Source'!AA462&gt;=5,"A+",IF('Data Source'!AA462&gt;=4,"A",IF('Data Source'!AA462&gt;=3.5,"A-",IF('Data Source'!AA462&gt;=3,"B",IF('Data Source'!AA462&gt;=2,"C",IF('Data Source'!AA462&gt;=1,"D","F")))))))</f>
        <v/>
      </c>
      <c r="J462" s="3">
        <f>IF('Data Source'!B462="","",IF('Data Source'!AB462&gt;=5,"A+",IF('Data Source'!AB462&gt;=4,"A",IF('Data Source'!AB462&gt;=3.5,"A-",IF('Data Source'!AB462&gt;=3,"B",IF('Data Source'!AB462&gt;=2,"C",IF('Data Source'!AB462&gt;=1,"D","F")))))))</f>
        <v/>
      </c>
      <c r="K462" s="3">
        <f>IF('Data Source'!B462="","",IF('Data Source'!AC462&gt;=5,"A+",IF('Data Source'!AC462&gt;=4,"A",IF('Data Source'!AC462&gt;=3.5,"A-",IF('Data Source'!AC462&gt;=3,"B",IF('Data Source'!AC462&gt;=2,"C",IF('Data Source'!AC462&gt;=1,"D","F")))))))</f>
        <v/>
      </c>
      <c r="L462" s="3">
        <f>IF('Data Source'!B462="","",IF('Data Source'!AD462&gt;=5,"A+",IF('Data Source'!AD462&gt;=4,"A",IF('Data Source'!AD462&gt;=3.5,"A-",IF('Data Source'!AD462&gt;=3,"B",IF('Data Source'!AD462&gt;=2,"C",IF('Data Source'!AD462&gt;=1,"D","F")))))))</f>
        <v/>
      </c>
      <c r="M462" s="3">
        <f>IF('Data Source'!B462="","",IF('Data Source'!AE462&gt;=5,"A+",IF('Data Source'!AE462&gt;=4,"A",IF('Data Source'!AE462&gt;=3.5,"A-",IF('Data Source'!AE462&gt;=3,"B",IF('Data Source'!AE462&gt;=2,"C",IF('Data Source'!AE462&gt;=1,"D","F")))))))</f>
        <v/>
      </c>
      <c r="N462" s="3">
        <f>IF('Data Source'!B462="","",IF('Data Source'!AF462&gt;=5,"A+",IF('Data Source'!AF462&gt;=4,"A",IF('Data Source'!AF462&gt;=3.5,"A-",IF('Data Source'!AF462&gt;=3,"B",IF('Data Source'!AF462&gt;=2,"C",IF('Data Source'!AF462&gt;=1,"D","F")))))))</f>
        <v/>
      </c>
      <c r="O462" s="3">
        <f>IF('Data Source'!B462="","",IF('Data Source'!AG462&gt;=5,"A+",IF('Data Source'!AG462&gt;=4,"A",IF('Data Source'!AG462&gt;=3.5,"A-",IF('Data Source'!AG462&gt;=3,"B",IF('Data Source'!AG462&gt;=2,"C",IF('Data Source'!AG462&gt;=1,"D","F")))))))</f>
        <v/>
      </c>
      <c r="P462" s="5">
        <f>IF('Data Source'!B462="","",'Data Source'!R462)</f>
        <v/>
      </c>
      <c r="Q462" s="3">
        <f>IF('Data Source'!B462="","",'Data Source'!S462)</f>
        <v/>
      </c>
    </row>
    <row r="463">
      <c r="A463" s="3">
        <f>IF('Data Source'!B463="","",'Data Source'!A463)</f>
        <v/>
      </c>
      <c r="B463">
        <f>IF('Data Source'!B463="","",'Data Source'!B463)</f>
        <v/>
      </c>
      <c r="C463" s="3">
        <f>IF('Data Source'!B463="","",IF('Data Source'!U463&gt;=5,"A+",IF('Data Source'!U463&gt;=4,"A",IF('Data Source'!U463&gt;=3.5,"A-",IF('Data Source'!U463&gt;=3,"B",IF('Data Source'!U463&gt;=2,"C",IF('Data Source'!U463&gt;=1,"D","F")))))))</f>
        <v/>
      </c>
      <c r="D463" s="3">
        <f>IF('Data Source'!B463="","",IF('Data Source'!V463&gt;=5,"A+",IF('Data Source'!V463&gt;=4,"A",IF('Data Source'!V463&gt;=3.5,"A-",IF('Data Source'!V463&gt;=3,"B",IF('Data Source'!V463&gt;=2,"C",IF('Data Source'!V463&gt;=1,"D","F")))))))</f>
        <v/>
      </c>
      <c r="E463" s="3">
        <f>IF('Data Source'!B463="","",IF('Data Source'!W463&gt;=5,"A+",IF('Data Source'!W463&gt;=4,"A",IF('Data Source'!W463&gt;=3.5,"A-",IF('Data Source'!W463&gt;=3,"B",IF('Data Source'!W463&gt;=2,"C",IF('Data Source'!W463&gt;=1,"D","F")))))))</f>
        <v/>
      </c>
      <c r="F463" s="3">
        <f>IF('Data Source'!B463="","",IF('Data Source'!X463&gt;=5,"A+",IF('Data Source'!X463&gt;=4,"A",IF('Data Source'!X463&gt;=3.5,"A-",IF('Data Source'!X463&gt;=3,"B",IF('Data Source'!X463&gt;=2,"C",IF('Data Source'!X463&gt;=1,"D","F")))))))</f>
        <v/>
      </c>
      <c r="G463" s="3">
        <f>IF('Data Source'!B463="","",IF('Data Source'!Y463&gt;=5,"A+",IF('Data Source'!Y463&gt;=4,"A",IF('Data Source'!Y463&gt;=3.5,"A-",IF('Data Source'!Y463&gt;=3,"B",IF('Data Source'!Y463&gt;=2,"C",IF('Data Source'!Y463&gt;=1,"D","F")))))))</f>
        <v/>
      </c>
      <c r="H463" s="3">
        <f>IF('Data Source'!B463="","",IF('Data Source'!Z463&gt;=5,"A+",IF('Data Source'!Z463&gt;=4,"A",IF('Data Source'!Z463&gt;=3.5,"A-",IF('Data Source'!Z463&gt;=3,"B",IF('Data Source'!Z463&gt;=2,"C",IF('Data Source'!Z463&gt;=1,"D","F")))))))</f>
        <v/>
      </c>
      <c r="I463" s="3">
        <f>IF('Data Source'!B463="","",IF('Data Source'!AA463&gt;=5,"A+",IF('Data Source'!AA463&gt;=4,"A",IF('Data Source'!AA463&gt;=3.5,"A-",IF('Data Source'!AA463&gt;=3,"B",IF('Data Source'!AA463&gt;=2,"C",IF('Data Source'!AA463&gt;=1,"D","F")))))))</f>
        <v/>
      </c>
      <c r="J463" s="3">
        <f>IF('Data Source'!B463="","",IF('Data Source'!AB463&gt;=5,"A+",IF('Data Source'!AB463&gt;=4,"A",IF('Data Source'!AB463&gt;=3.5,"A-",IF('Data Source'!AB463&gt;=3,"B",IF('Data Source'!AB463&gt;=2,"C",IF('Data Source'!AB463&gt;=1,"D","F")))))))</f>
        <v/>
      </c>
      <c r="K463" s="3">
        <f>IF('Data Source'!B463="","",IF('Data Source'!AC463&gt;=5,"A+",IF('Data Source'!AC463&gt;=4,"A",IF('Data Source'!AC463&gt;=3.5,"A-",IF('Data Source'!AC463&gt;=3,"B",IF('Data Source'!AC463&gt;=2,"C",IF('Data Source'!AC463&gt;=1,"D","F")))))))</f>
        <v/>
      </c>
      <c r="L463" s="3">
        <f>IF('Data Source'!B463="","",IF('Data Source'!AD463&gt;=5,"A+",IF('Data Source'!AD463&gt;=4,"A",IF('Data Source'!AD463&gt;=3.5,"A-",IF('Data Source'!AD463&gt;=3,"B",IF('Data Source'!AD463&gt;=2,"C",IF('Data Source'!AD463&gt;=1,"D","F")))))))</f>
        <v/>
      </c>
      <c r="M463" s="3">
        <f>IF('Data Source'!B463="","",IF('Data Source'!AE463&gt;=5,"A+",IF('Data Source'!AE463&gt;=4,"A",IF('Data Source'!AE463&gt;=3.5,"A-",IF('Data Source'!AE463&gt;=3,"B",IF('Data Source'!AE463&gt;=2,"C",IF('Data Source'!AE463&gt;=1,"D","F")))))))</f>
        <v/>
      </c>
      <c r="N463" s="3">
        <f>IF('Data Source'!B463="","",IF('Data Source'!AF463&gt;=5,"A+",IF('Data Source'!AF463&gt;=4,"A",IF('Data Source'!AF463&gt;=3.5,"A-",IF('Data Source'!AF463&gt;=3,"B",IF('Data Source'!AF463&gt;=2,"C",IF('Data Source'!AF463&gt;=1,"D","F")))))))</f>
        <v/>
      </c>
      <c r="O463" s="3">
        <f>IF('Data Source'!B463="","",IF('Data Source'!AG463&gt;=5,"A+",IF('Data Source'!AG463&gt;=4,"A",IF('Data Source'!AG463&gt;=3.5,"A-",IF('Data Source'!AG463&gt;=3,"B",IF('Data Source'!AG463&gt;=2,"C",IF('Data Source'!AG463&gt;=1,"D","F")))))))</f>
        <v/>
      </c>
      <c r="P463" s="5">
        <f>IF('Data Source'!B463="","",'Data Source'!R463)</f>
        <v/>
      </c>
      <c r="Q463" s="3">
        <f>IF('Data Source'!B463="","",'Data Source'!S463)</f>
        <v/>
      </c>
    </row>
    <row r="464">
      <c r="A464" s="3">
        <f>IF('Data Source'!B464="","",'Data Source'!A464)</f>
        <v/>
      </c>
      <c r="B464">
        <f>IF('Data Source'!B464="","",'Data Source'!B464)</f>
        <v/>
      </c>
      <c r="C464" s="3">
        <f>IF('Data Source'!B464="","",IF('Data Source'!U464&gt;=5,"A+",IF('Data Source'!U464&gt;=4,"A",IF('Data Source'!U464&gt;=3.5,"A-",IF('Data Source'!U464&gt;=3,"B",IF('Data Source'!U464&gt;=2,"C",IF('Data Source'!U464&gt;=1,"D","F")))))))</f>
        <v/>
      </c>
      <c r="D464" s="3">
        <f>IF('Data Source'!B464="","",IF('Data Source'!V464&gt;=5,"A+",IF('Data Source'!V464&gt;=4,"A",IF('Data Source'!V464&gt;=3.5,"A-",IF('Data Source'!V464&gt;=3,"B",IF('Data Source'!V464&gt;=2,"C",IF('Data Source'!V464&gt;=1,"D","F")))))))</f>
        <v/>
      </c>
      <c r="E464" s="3">
        <f>IF('Data Source'!B464="","",IF('Data Source'!W464&gt;=5,"A+",IF('Data Source'!W464&gt;=4,"A",IF('Data Source'!W464&gt;=3.5,"A-",IF('Data Source'!W464&gt;=3,"B",IF('Data Source'!W464&gt;=2,"C",IF('Data Source'!W464&gt;=1,"D","F")))))))</f>
        <v/>
      </c>
      <c r="F464" s="3">
        <f>IF('Data Source'!B464="","",IF('Data Source'!X464&gt;=5,"A+",IF('Data Source'!X464&gt;=4,"A",IF('Data Source'!X464&gt;=3.5,"A-",IF('Data Source'!X464&gt;=3,"B",IF('Data Source'!X464&gt;=2,"C",IF('Data Source'!X464&gt;=1,"D","F")))))))</f>
        <v/>
      </c>
      <c r="G464" s="3">
        <f>IF('Data Source'!B464="","",IF('Data Source'!Y464&gt;=5,"A+",IF('Data Source'!Y464&gt;=4,"A",IF('Data Source'!Y464&gt;=3.5,"A-",IF('Data Source'!Y464&gt;=3,"B",IF('Data Source'!Y464&gt;=2,"C",IF('Data Source'!Y464&gt;=1,"D","F")))))))</f>
        <v/>
      </c>
      <c r="H464" s="3">
        <f>IF('Data Source'!B464="","",IF('Data Source'!Z464&gt;=5,"A+",IF('Data Source'!Z464&gt;=4,"A",IF('Data Source'!Z464&gt;=3.5,"A-",IF('Data Source'!Z464&gt;=3,"B",IF('Data Source'!Z464&gt;=2,"C",IF('Data Source'!Z464&gt;=1,"D","F")))))))</f>
        <v/>
      </c>
      <c r="I464" s="3">
        <f>IF('Data Source'!B464="","",IF('Data Source'!AA464&gt;=5,"A+",IF('Data Source'!AA464&gt;=4,"A",IF('Data Source'!AA464&gt;=3.5,"A-",IF('Data Source'!AA464&gt;=3,"B",IF('Data Source'!AA464&gt;=2,"C",IF('Data Source'!AA464&gt;=1,"D","F")))))))</f>
        <v/>
      </c>
      <c r="J464" s="3">
        <f>IF('Data Source'!B464="","",IF('Data Source'!AB464&gt;=5,"A+",IF('Data Source'!AB464&gt;=4,"A",IF('Data Source'!AB464&gt;=3.5,"A-",IF('Data Source'!AB464&gt;=3,"B",IF('Data Source'!AB464&gt;=2,"C",IF('Data Source'!AB464&gt;=1,"D","F")))))))</f>
        <v/>
      </c>
      <c r="K464" s="3">
        <f>IF('Data Source'!B464="","",IF('Data Source'!AC464&gt;=5,"A+",IF('Data Source'!AC464&gt;=4,"A",IF('Data Source'!AC464&gt;=3.5,"A-",IF('Data Source'!AC464&gt;=3,"B",IF('Data Source'!AC464&gt;=2,"C",IF('Data Source'!AC464&gt;=1,"D","F")))))))</f>
        <v/>
      </c>
      <c r="L464" s="3">
        <f>IF('Data Source'!B464="","",IF('Data Source'!AD464&gt;=5,"A+",IF('Data Source'!AD464&gt;=4,"A",IF('Data Source'!AD464&gt;=3.5,"A-",IF('Data Source'!AD464&gt;=3,"B",IF('Data Source'!AD464&gt;=2,"C",IF('Data Source'!AD464&gt;=1,"D","F")))))))</f>
        <v/>
      </c>
      <c r="M464" s="3">
        <f>IF('Data Source'!B464="","",IF('Data Source'!AE464&gt;=5,"A+",IF('Data Source'!AE464&gt;=4,"A",IF('Data Source'!AE464&gt;=3.5,"A-",IF('Data Source'!AE464&gt;=3,"B",IF('Data Source'!AE464&gt;=2,"C",IF('Data Source'!AE464&gt;=1,"D","F")))))))</f>
        <v/>
      </c>
      <c r="N464" s="3">
        <f>IF('Data Source'!B464="","",IF('Data Source'!AF464&gt;=5,"A+",IF('Data Source'!AF464&gt;=4,"A",IF('Data Source'!AF464&gt;=3.5,"A-",IF('Data Source'!AF464&gt;=3,"B",IF('Data Source'!AF464&gt;=2,"C",IF('Data Source'!AF464&gt;=1,"D","F")))))))</f>
        <v/>
      </c>
      <c r="O464" s="3">
        <f>IF('Data Source'!B464="","",IF('Data Source'!AG464&gt;=5,"A+",IF('Data Source'!AG464&gt;=4,"A",IF('Data Source'!AG464&gt;=3.5,"A-",IF('Data Source'!AG464&gt;=3,"B",IF('Data Source'!AG464&gt;=2,"C",IF('Data Source'!AG464&gt;=1,"D","F")))))))</f>
        <v/>
      </c>
      <c r="P464" s="5">
        <f>IF('Data Source'!B464="","",'Data Source'!R464)</f>
        <v/>
      </c>
      <c r="Q464" s="3">
        <f>IF('Data Source'!B464="","",'Data Source'!S464)</f>
        <v/>
      </c>
    </row>
    <row r="465">
      <c r="A465" s="3">
        <f>IF('Data Source'!B465="","",'Data Source'!A465)</f>
        <v/>
      </c>
      <c r="B465">
        <f>IF('Data Source'!B465="","",'Data Source'!B465)</f>
        <v/>
      </c>
      <c r="C465" s="3">
        <f>IF('Data Source'!B465="","",IF('Data Source'!U465&gt;=5,"A+",IF('Data Source'!U465&gt;=4,"A",IF('Data Source'!U465&gt;=3.5,"A-",IF('Data Source'!U465&gt;=3,"B",IF('Data Source'!U465&gt;=2,"C",IF('Data Source'!U465&gt;=1,"D","F")))))))</f>
        <v/>
      </c>
      <c r="D465" s="3">
        <f>IF('Data Source'!B465="","",IF('Data Source'!V465&gt;=5,"A+",IF('Data Source'!V465&gt;=4,"A",IF('Data Source'!V465&gt;=3.5,"A-",IF('Data Source'!V465&gt;=3,"B",IF('Data Source'!V465&gt;=2,"C",IF('Data Source'!V465&gt;=1,"D","F")))))))</f>
        <v/>
      </c>
      <c r="E465" s="3">
        <f>IF('Data Source'!B465="","",IF('Data Source'!W465&gt;=5,"A+",IF('Data Source'!W465&gt;=4,"A",IF('Data Source'!W465&gt;=3.5,"A-",IF('Data Source'!W465&gt;=3,"B",IF('Data Source'!W465&gt;=2,"C",IF('Data Source'!W465&gt;=1,"D","F")))))))</f>
        <v/>
      </c>
      <c r="F465" s="3">
        <f>IF('Data Source'!B465="","",IF('Data Source'!X465&gt;=5,"A+",IF('Data Source'!X465&gt;=4,"A",IF('Data Source'!X465&gt;=3.5,"A-",IF('Data Source'!X465&gt;=3,"B",IF('Data Source'!X465&gt;=2,"C",IF('Data Source'!X465&gt;=1,"D","F")))))))</f>
        <v/>
      </c>
      <c r="G465" s="3">
        <f>IF('Data Source'!B465="","",IF('Data Source'!Y465&gt;=5,"A+",IF('Data Source'!Y465&gt;=4,"A",IF('Data Source'!Y465&gt;=3.5,"A-",IF('Data Source'!Y465&gt;=3,"B",IF('Data Source'!Y465&gt;=2,"C",IF('Data Source'!Y465&gt;=1,"D","F")))))))</f>
        <v/>
      </c>
      <c r="H465" s="3">
        <f>IF('Data Source'!B465="","",IF('Data Source'!Z465&gt;=5,"A+",IF('Data Source'!Z465&gt;=4,"A",IF('Data Source'!Z465&gt;=3.5,"A-",IF('Data Source'!Z465&gt;=3,"B",IF('Data Source'!Z465&gt;=2,"C",IF('Data Source'!Z465&gt;=1,"D","F")))))))</f>
        <v/>
      </c>
      <c r="I465" s="3">
        <f>IF('Data Source'!B465="","",IF('Data Source'!AA465&gt;=5,"A+",IF('Data Source'!AA465&gt;=4,"A",IF('Data Source'!AA465&gt;=3.5,"A-",IF('Data Source'!AA465&gt;=3,"B",IF('Data Source'!AA465&gt;=2,"C",IF('Data Source'!AA465&gt;=1,"D","F")))))))</f>
        <v/>
      </c>
      <c r="J465" s="3">
        <f>IF('Data Source'!B465="","",IF('Data Source'!AB465&gt;=5,"A+",IF('Data Source'!AB465&gt;=4,"A",IF('Data Source'!AB465&gt;=3.5,"A-",IF('Data Source'!AB465&gt;=3,"B",IF('Data Source'!AB465&gt;=2,"C",IF('Data Source'!AB465&gt;=1,"D","F")))))))</f>
        <v/>
      </c>
      <c r="K465" s="3">
        <f>IF('Data Source'!B465="","",IF('Data Source'!AC465&gt;=5,"A+",IF('Data Source'!AC465&gt;=4,"A",IF('Data Source'!AC465&gt;=3.5,"A-",IF('Data Source'!AC465&gt;=3,"B",IF('Data Source'!AC465&gt;=2,"C",IF('Data Source'!AC465&gt;=1,"D","F")))))))</f>
        <v/>
      </c>
      <c r="L465" s="3">
        <f>IF('Data Source'!B465="","",IF('Data Source'!AD465&gt;=5,"A+",IF('Data Source'!AD465&gt;=4,"A",IF('Data Source'!AD465&gt;=3.5,"A-",IF('Data Source'!AD465&gt;=3,"B",IF('Data Source'!AD465&gt;=2,"C",IF('Data Source'!AD465&gt;=1,"D","F")))))))</f>
        <v/>
      </c>
      <c r="M465" s="3">
        <f>IF('Data Source'!B465="","",IF('Data Source'!AE465&gt;=5,"A+",IF('Data Source'!AE465&gt;=4,"A",IF('Data Source'!AE465&gt;=3.5,"A-",IF('Data Source'!AE465&gt;=3,"B",IF('Data Source'!AE465&gt;=2,"C",IF('Data Source'!AE465&gt;=1,"D","F")))))))</f>
        <v/>
      </c>
      <c r="N465" s="3">
        <f>IF('Data Source'!B465="","",IF('Data Source'!AF465&gt;=5,"A+",IF('Data Source'!AF465&gt;=4,"A",IF('Data Source'!AF465&gt;=3.5,"A-",IF('Data Source'!AF465&gt;=3,"B",IF('Data Source'!AF465&gt;=2,"C",IF('Data Source'!AF465&gt;=1,"D","F")))))))</f>
        <v/>
      </c>
      <c r="O465" s="3">
        <f>IF('Data Source'!B465="","",IF('Data Source'!AG465&gt;=5,"A+",IF('Data Source'!AG465&gt;=4,"A",IF('Data Source'!AG465&gt;=3.5,"A-",IF('Data Source'!AG465&gt;=3,"B",IF('Data Source'!AG465&gt;=2,"C",IF('Data Source'!AG465&gt;=1,"D","F")))))))</f>
        <v/>
      </c>
      <c r="P465" s="5">
        <f>IF('Data Source'!B465="","",'Data Source'!R465)</f>
        <v/>
      </c>
      <c r="Q465" s="3">
        <f>IF('Data Source'!B465="","",'Data Source'!S465)</f>
        <v/>
      </c>
    </row>
    <row r="466">
      <c r="A466" s="3">
        <f>IF('Data Source'!B466="","",'Data Source'!A466)</f>
        <v/>
      </c>
      <c r="B466">
        <f>IF('Data Source'!B466="","",'Data Source'!B466)</f>
        <v/>
      </c>
      <c r="C466" s="3">
        <f>IF('Data Source'!B466="","",IF('Data Source'!U466&gt;=5,"A+",IF('Data Source'!U466&gt;=4,"A",IF('Data Source'!U466&gt;=3.5,"A-",IF('Data Source'!U466&gt;=3,"B",IF('Data Source'!U466&gt;=2,"C",IF('Data Source'!U466&gt;=1,"D","F")))))))</f>
        <v/>
      </c>
      <c r="D466" s="3">
        <f>IF('Data Source'!B466="","",IF('Data Source'!V466&gt;=5,"A+",IF('Data Source'!V466&gt;=4,"A",IF('Data Source'!V466&gt;=3.5,"A-",IF('Data Source'!V466&gt;=3,"B",IF('Data Source'!V466&gt;=2,"C",IF('Data Source'!V466&gt;=1,"D","F")))))))</f>
        <v/>
      </c>
      <c r="E466" s="3">
        <f>IF('Data Source'!B466="","",IF('Data Source'!W466&gt;=5,"A+",IF('Data Source'!W466&gt;=4,"A",IF('Data Source'!W466&gt;=3.5,"A-",IF('Data Source'!W466&gt;=3,"B",IF('Data Source'!W466&gt;=2,"C",IF('Data Source'!W466&gt;=1,"D","F")))))))</f>
        <v/>
      </c>
      <c r="F466" s="3">
        <f>IF('Data Source'!B466="","",IF('Data Source'!X466&gt;=5,"A+",IF('Data Source'!X466&gt;=4,"A",IF('Data Source'!X466&gt;=3.5,"A-",IF('Data Source'!X466&gt;=3,"B",IF('Data Source'!X466&gt;=2,"C",IF('Data Source'!X466&gt;=1,"D","F")))))))</f>
        <v/>
      </c>
      <c r="G466" s="3">
        <f>IF('Data Source'!B466="","",IF('Data Source'!Y466&gt;=5,"A+",IF('Data Source'!Y466&gt;=4,"A",IF('Data Source'!Y466&gt;=3.5,"A-",IF('Data Source'!Y466&gt;=3,"B",IF('Data Source'!Y466&gt;=2,"C",IF('Data Source'!Y466&gt;=1,"D","F")))))))</f>
        <v/>
      </c>
      <c r="H466" s="3">
        <f>IF('Data Source'!B466="","",IF('Data Source'!Z466&gt;=5,"A+",IF('Data Source'!Z466&gt;=4,"A",IF('Data Source'!Z466&gt;=3.5,"A-",IF('Data Source'!Z466&gt;=3,"B",IF('Data Source'!Z466&gt;=2,"C",IF('Data Source'!Z466&gt;=1,"D","F")))))))</f>
        <v/>
      </c>
      <c r="I466" s="3">
        <f>IF('Data Source'!B466="","",IF('Data Source'!AA466&gt;=5,"A+",IF('Data Source'!AA466&gt;=4,"A",IF('Data Source'!AA466&gt;=3.5,"A-",IF('Data Source'!AA466&gt;=3,"B",IF('Data Source'!AA466&gt;=2,"C",IF('Data Source'!AA466&gt;=1,"D","F")))))))</f>
        <v/>
      </c>
      <c r="J466" s="3">
        <f>IF('Data Source'!B466="","",IF('Data Source'!AB466&gt;=5,"A+",IF('Data Source'!AB466&gt;=4,"A",IF('Data Source'!AB466&gt;=3.5,"A-",IF('Data Source'!AB466&gt;=3,"B",IF('Data Source'!AB466&gt;=2,"C",IF('Data Source'!AB466&gt;=1,"D","F")))))))</f>
        <v/>
      </c>
      <c r="K466" s="3">
        <f>IF('Data Source'!B466="","",IF('Data Source'!AC466&gt;=5,"A+",IF('Data Source'!AC466&gt;=4,"A",IF('Data Source'!AC466&gt;=3.5,"A-",IF('Data Source'!AC466&gt;=3,"B",IF('Data Source'!AC466&gt;=2,"C",IF('Data Source'!AC466&gt;=1,"D","F")))))))</f>
        <v/>
      </c>
      <c r="L466" s="3">
        <f>IF('Data Source'!B466="","",IF('Data Source'!AD466&gt;=5,"A+",IF('Data Source'!AD466&gt;=4,"A",IF('Data Source'!AD466&gt;=3.5,"A-",IF('Data Source'!AD466&gt;=3,"B",IF('Data Source'!AD466&gt;=2,"C",IF('Data Source'!AD466&gt;=1,"D","F")))))))</f>
        <v/>
      </c>
      <c r="M466" s="3">
        <f>IF('Data Source'!B466="","",IF('Data Source'!AE466&gt;=5,"A+",IF('Data Source'!AE466&gt;=4,"A",IF('Data Source'!AE466&gt;=3.5,"A-",IF('Data Source'!AE466&gt;=3,"B",IF('Data Source'!AE466&gt;=2,"C",IF('Data Source'!AE466&gt;=1,"D","F")))))))</f>
        <v/>
      </c>
      <c r="N466" s="3">
        <f>IF('Data Source'!B466="","",IF('Data Source'!AF466&gt;=5,"A+",IF('Data Source'!AF466&gt;=4,"A",IF('Data Source'!AF466&gt;=3.5,"A-",IF('Data Source'!AF466&gt;=3,"B",IF('Data Source'!AF466&gt;=2,"C",IF('Data Source'!AF466&gt;=1,"D","F")))))))</f>
        <v/>
      </c>
      <c r="O466" s="3">
        <f>IF('Data Source'!B466="","",IF('Data Source'!AG466&gt;=5,"A+",IF('Data Source'!AG466&gt;=4,"A",IF('Data Source'!AG466&gt;=3.5,"A-",IF('Data Source'!AG466&gt;=3,"B",IF('Data Source'!AG466&gt;=2,"C",IF('Data Source'!AG466&gt;=1,"D","F")))))))</f>
        <v/>
      </c>
      <c r="P466" s="5">
        <f>IF('Data Source'!B466="","",'Data Source'!R466)</f>
        <v/>
      </c>
      <c r="Q466" s="3">
        <f>IF('Data Source'!B466="","",'Data Source'!S466)</f>
        <v/>
      </c>
    </row>
    <row r="467">
      <c r="A467" s="3">
        <f>IF('Data Source'!B467="","",'Data Source'!A467)</f>
        <v/>
      </c>
      <c r="B467">
        <f>IF('Data Source'!B467="","",'Data Source'!B467)</f>
        <v/>
      </c>
      <c r="C467" s="3">
        <f>IF('Data Source'!B467="","",IF('Data Source'!U467&gt;=5,"A+",IF('Data Source'!U467&gt;=4,"A",IF('Data Source'!U467&gt;=3.5,"A-",IF('Data Source'!U467&gt;=3,"B",IF('Data Source'!U467&gt;=2,"C",IF('Data Source'!U467&gt;=1,"D","F")))))))</f>
        <v/>
      </c>
      <c r="D467" s="3">
        <f>IF('Data Source'!B467="","",IF('Data Source'!V467&gt;=5,"A+",IF('Data Source'!V467&gt;=4,"A",IF('Data Source'!V467&gt;=3.5,"A-",IF('Data Source'!V467&gt;=3,"B",IF('Data Source'!V467&gt;=2,"C",IF('Data Source'!V467&gt;=1,"D","F")))))))</f>
        <v/>
      </c>
      <c r="E467" s="3">
        <f>IF('Data Source'!B467="","",IF('Data Source'!W467&gt;=5,"A+",IF('Data Source'!W467&gt;=4,"A",IF('Data Source'!W467&gt;=3.5,"A-",IF('Data Source'!W467&gt;=3,"B",IF('Data Source'!W467&gt;=2,"C",IF('Data Source'!W467&gt;=1,"D","F")))))))</f>
        <v/>
      </c>
      <c r="F467" s="3">
        <f>IF('Data Source'!B467="","",IF('Data Source'!X467&gt;=5,"A+",IF('Data Source'!X467&gt;=4,"A",IF('Data Source'!X467&gt;=3.5,"A-",IF('Data Source'!X467&gt;=3,"B",IF('Data Source'!X467&gt;=2,"C",IF('Data Source'!X467&gt;=1,"D","F")))))))</f>
        <v/>
      </c>
      <c r="G467" s="3">
        <f>IF('Data Source'!B467="","",IF('Data Source'!Y467&gt;=5,"A+",IF('Data Source'!Y467&gt;=4,"A",IF('Data Source'!Y467&gt;=3.5,"A-",IF('Data Source'!Y467&gt;=3,"B",IF('Data Source'!Y467&gt;=2,"C",IF('Data Source'!Y467&gt;=1,"D","F")))))))</f>
        <v/>
      </c>
      <c r="H467" s="3">
        <f>IF('Data Source'!B467="","",IF('Data Source'!Z467&gt;=5,"A+",IF('Data Source'!Z467&gt;=4,"A",IF('Data Source'!Z467&gt;=3.5,"A-",IF('Data Source'!Z467&gt;=3,"B",IF('Data Source'!Z467&gt;=2,"C",IF('Data Source'!Z467&gt;=1,"D","F")))))))</f>
        <v/>
      </c>
      <c r="I467" s="3">
        <f>IF('Data Source'!B467="","",IF('Data Source'!AA467&gt;=5,"A+",IF('Data Source'!AA467&gt;=4,"A",IF('Data Source'!AA467&gt;=3.5,"A-",IF('Data Source'!AA467&gt;=3,"B",IF('Data Source'!AA467&gt;=2,"C",IF('Data Source'!AA467&gt;=1,"D","F")))))))</f>
        <v/>
      </c>
      <c r="J467" s="3">
        <f>IF('Data Source'!B467="","",IF('Data Source'!AB467&gt;=5,"A+",IF('Data Source'!AB467&gt;=4,"A",IF('Data Source'!AB467&gt;=3.5,"A-",IF('Data Source'!AB467&gt;=3,"B",IF('Data Source'!AB467&gt;=2,"C",IF('Data Source'!AB467&gt;=1,"D","F")))))))</f>
        <v/>
      </c>
      <c r="K467" s="3">
        <f>IF('Data Source'!B467="","",IF('Data Source'!AC467&gt;=5,"A+",IF('Data Source'!AC467&gt;=4,"A",IF('Data Source'!AC467&gt;=3.5,"A-",IF('Data Source'!AC467&gt;=3,"B",IF('Data Source'!AC467&gt;=2,"C",IF('Data Source'!AC467&gt;=1,"D","F")))))))</f>
        <v/>
      </c>
      <c r="L467" s="3">
        <f>IF('Data Source'!B467="","",IF('Data Source'!AD467&gt;=5,"A+",IF('Data Source'!AD467&gt;=4,"A",IF('Data Source'!AD467&gt;=3.5,"A-",IF('Data Source'!AD467&gt;=3,"B",IF('Data Source'!AD467&gt;=2,"C",IF('Data Source'!AD467&gt;=1,"D","F")))))))</f>
        <v/>
      </c>
      <c r="M467" s="3">
        <f>IF('Data Source'!B467="","",IF('Data Source'!AE467&gt;=5,"A+",IF('Data Source'!AE467&gt;=4,"A",IF('Data Source'!AE467&gt;=3.5,"A-",IF('Data Source'!AE467&gt;=3,"B",IF('Data Source'!AE467&gt;=2,"C",IF('Data Source'!AE467&gt;=1,"D","F")))))))</f>
        <v/>
      </c>
      <c r="N467" s="3">
        <f>IF('Data Source'!B467="","",IF('Data Source'!AF467&gt;=5,"A+",IF('Data Source'!AF467&gt;=4,"A",IF('Data Source'!AF467&gt;=3.5,"A-",IF('Data Source'!AF467&gt;=3,"B",IF('Data Source'!AF467&gt;=2,"C",IF('Data Source'!AF467&gt;=1,"D","F")))))))</f>
        <v/>
      </c>
      <c r="O467" s="3">
        <f>IF('Data Source'!B467="","",IF('Data Source'!AG467&gt;=5,"A+",IF('Data Source'!AG467&gt;=4,"A",IF('Data Source'!AG467&gt;=3.5,"A-",IF('Data Source'!AG467&gt;=3,"B",IF('Data Source'!AG467&gt;=2,"C",IF('Data Source'!AG467&gt;=1,"D","F")))))))</f>
        <v/>
      </c>
      <c r="P467" s="5">
        <f>IF('Data Source'!B467="","",'Data Source'!R467)</f>
        <v/>
      </c>
      <c r="Q467" s="3">
        <f>IF('Data Source'!B467="","",'Data Source'!S467)</f>
        <v/>
      </c>
    </row>
    <row r="468">
      <c r="A468" s="3">
        <f>IF('Data Source'!B468="","",'Data Source'!A468)</f>
        <v/>
      </c>
      <c r="B468">
        <f>IF('Data Source'!B468="","",'Data Source'!B468)</f>
        <v/>
      </c>
      <c r="C468" s="3">
        <f>IF('Data Source'!B468="","",IF('Data Source'!U468&gt;=5,"A+",IF('Data Source'!U468&gt;=4,"A",IF('Data Source'!U468&gt;=3.5,"A-",IF('Data Source'!U468&gt;=3,"B",IF('Data Source'!U468&gt;=2,"C",IF('Data Source'!U468&gt;=1,"D","F")))))))</f>
        <v/>
      </c>
      <c r="D468" s="3">
        <f>IF('Data Source'!B468="","",IF('Data Source'!V468&gt;=5,"A+",IF('Data Source'!V468&gt;=4,"A",IF('Data Source'!V468&gt;=3.5,"A-",IF('Data Source'!V468&gt;=3,"B",IF('Data Source'!V468&gt;=2,"C",IF('Data Source'!V468&gt;=1,"D","F")))))))</f>
        <v/>
      </c>
      <c r="E468" s="3">
        <f>IF('Data Source'!B468="","",IF('Data Source'!W468&gt;=5,"A+",IF('Data Source'!W468&gt;=4,"A",IF('Data Source'!W468&gt;=3.5,"A-",IF('Data Source'!W468&gt;=3,"B",IF('Data Source'!W468&gt;=2,"C",IF('Data Source'!W468&gt;=1,"D","F")))))))</f>
        <v/>
      </c>
      <c r="F468" s="3">
        <f>IF('Data Source'!B468="","",IF('Data Source'!X468&gt;=5,"A+",IF('Data Source'!X468&gt;=4,"A",IF('Data Source'!X468&gt;=3.5,"A-",IF('Data Source'!X468&gt;=3,"B",IF('Data Source'!X468&gt;=2,"C",IF('Data Source'!X468&gt;=1,"D","F")))))))</f>
        <v/>
      </c>
      <c r="G468" s="3">
        <f>IF('Data Source'!B468="","",IF('Data Source'!Y468&gt;=5,"A+",IF('Data Source'!Y468&gt;=4,"A",IF('Data Source'!Y468&gt;=3.5,"A-",IF('Data Source'!Y468&gt;=3,"B",IF('Data Source'!Y468&gt;=2,"C",IF('Data Source'!Y468&gt;=1,"D","F")))))))</f>
        <v/>
      </c>
      <c r="H468" s="3">
        <f>IF('Data Source'!B468="","",IF('Data Source'!Z468&gt;=5,"A+",IF('Data Source'!Z468&gt;=4,"A",IF('Data Source'!Z468&gt;=3.5,"A-",IF('Data Source'!Z468&gt;=3,"B",IF('Data Source'!Z468&gt;=2,"C",IF('Data Source'!Z468&gt;=1,"D","F")))))))</f>
        <v/>
      </c>
      <c r="I468" s="3">
        <f>IF('Data Source'!B468="","",IF('Data Source'!AA468&gt;=5,"A+",IF('Data Source'!AA468&gt;=4,"A",IF('Data Source'!AA468&gt;=3.5,"A-",IF('Data Source'!AA468&gt;=3,"B",IF('Data Source'!AA468&gt;=2,"C",IF('Data Source'!AA468&gt;=1,"D","F")))))))</f>
        <v/>
      </c>
      <c r="J468" s="3">
        <f>IF('Data Source'!B468="","",IF('Data Source'!AB468&gt;=5,"A+",IF('Data Source'!AB468&gt;=4,"A",IF('Data Source'!AB468&gt;=3.5,"A-",IF('Data Source'!AB468&gt;=3,"B",IF('Data Source'!AB468&gt;=2,"C",IF('Data Source'!AB468&gt;=1,"D","F")))))))</f>
        <v/>
      </c>
      <c r="K468" s="3">
        <f>IF('Data Source'!B468="","",IF('Data Source'!AC468&gt;=5,"A+",IF('Data Source'!AC468&gt;=4,"A",IF('Data Source'!AC468&gt;=3.5,"A-",IF('Data Source'!AC468&gt;=3,"B",IF('Data Source'!AC468&gt;=2,"C",IF('Data Source'!AC468&gt;=1,"D","F")))))))</f>
        <v/>
      </c>
      <c r="L468" s="3">
        <f>IF('Data Source'!B468="","",IF('Data Source'!AD468&gt;=5,"A+",IF('Data Source'!AD468&gt;=4,"A",IF('Data Source'!AD468&gt;=3.5,"A-",IF('Data Source'!AD468&gt;=3,"B",IF('Data Source'!AD468&gt;=2,"C",IF('Data Source'!AD468&gt;=1,"D","F")))))))</f>
        <v/>
      </c>
      <c r="M468" s="3">
        <f>IF('Data Source'!B468="","",IF('Data Source'!AE468&gt;=5,"A+",IF('Data Source'!AE468&gt;=4,"A",IF('Data Source'!AE468&gt;=3.5,"A-",IF('Data Source'!AE468&gt;=3,"B",IF('Data Source'!AE468&gt;=2,"C",IF('Data Source'!AE468&gt;=1,"D","F")))))))</f>
        <v/>
      </c>
      <c r="N468" s="3">
        <f>IF('Data Source'!B468="","",IF('Data Source'!AF468&gt;=5,"A+",IF('Data Source'!AF468&gt;=4,"A",IF('Data Source'!AF468&gt;=3.5,"A-",IF('Data Source'!AF468&gt;=3,"B",IF('Data Source'!AF468&gt;=2,"C",IF('Data Source'!AF468&gt;=1,"D","F")))))))</f>
        <v/>
      </c>
      <c r="O468" s="3">
        <f>IF('Data Source'!B468="","",IF('Data Source'!AG468&gt;=5,"A+",IF('Data Source'!AG468&gt;=4,"A",IF('Data Source'!AG468&gt;=3.5,"A-",IF('Data Source'!AG468&gt;=3,"B",IF('Data Source'!AG468&gt;=2,"C",IF('Data Source'!AG468&gt;=1,"D","F")))))))</f>
        <v/>
      </c>
      <c r="P468" s="5">
        <f>IF('Data Source'!B468="","",'Data Source'!R468)</f>
        <v/>
      </c>
      <c r="Q468" s="3">
        <f>IF('Data Source'!B468="","",'Data Source'!S468)</f>
        <v/>
      </c>
    </row>
    <row r="469">
      <c r="A469" s="3">
        <f>IF('Data Source'!B469="","",'Data Source'!A469)</f>
        <v/>
      </c>
      <c r="B469">
        <f>IF('Data Source'!B469="","",'Data Source'!B469)</f>
        <v/>
      </c>
      <c r="C469" s="3">
        <f>IF('Data Source'!B469="","",IF('Data Source'!U469&gt;=5,"A+",IF('Data Source'!U469&gt;=4,"A",IF('Data Source'!U469&gt;=3.5,"A-",IF('Data Source'!U469&gt;=3,"B",IF('Data Source'!U469&gt;=2,"C",IF('Data Source'!U469&gt;=1,"D","F")))))))</f>
        <v/>
      </c>
      <c r="D469" s="3">
        <f>IF('Data Source'!B469="","",IF('Data Source'!V469&gt;=5,"A+",IF('Data Source'!V469&gt;=4,"A",IF('Data Source'!V469&gt;=3.5,"A-",IF('Data Source'!V469&gt;=3,"B",IF('Data Source'!V469&gt;=2,"C",IF('Data Source'!V469&gt;=1,"D","F")))))))</f>
        <v/>
      </c>
      <c r="E469" s="3">
        <f>IF('Data Source'!B469="","",IF('Data Source'!W469&gt;=5,"A+",IF('Data Source'!W469&gt;=4,"A",IF('Data Source'!W469&gt;=3.5,"A-",IF('Data Source'!W469&gt;=3,"B",IF('Data Source'!W469&gt;=2,"C",IF('Data Source'!W469&gt;=1,"D","F")))))))</f>
        <v/>
      </c>
      <c r="F469" s="3">
        <f>IF('Data Source'!B469="","",IF('Data Source'!X469&gt;=5,"A+",IF('Data Source'!X469&gt;=4,"A",IF('Data Source'!X469&gt;=3.5,"A-",IF('Data Source'!X469&gt;=3,"B",IF('Data Source'!X469&gt;=2,"C",IF('Data Source'!X469&gt;=1,"D","F")))))))</f>
        <v/>
      </c>
      <c r="G469" s="3">
        <f>IF('Data Source'!B469="","",IF('Data Source'!Y469&gt;=5,"A+",IF('Data Source'!Y469&gt;=4,"A",IF('Data Source'!Y469&gt;=3.5,"A-",IF('Data Source'!Y469&gt;=3,"B",IF('Data Source'!Y469&gt;=2,"C",IF('Data Source'!Y469&gt;=1,"D","F")))))))</f>
        <v/>
      </c>
      <c r="H469" s="3">
        <f>IF('Data Source'!B469="","",IF('Data Source'!Z469&gt;=5,"A+",IF('Data Source'!Z469&gt;=4,"A",IF('Data Source'!Z469&gt;=3.5,"A-",IF('Data Source'!Z469&gt;=3,"B",IF('Data Source'!Z469&gt;=2,"C",IF('Data Source'!Z469&gt;=1,"D","F")))))))</f>
        <v/>
      </c>
      <c r="I469" s="3">
        <f>IF('Data Source'!B469="","",IF('Data Source'!AA469&gt;=5,"A+",IF('Data Source'!AA469&gt;=4,"A",IF('Data Source'!AA469&gt;=3.5,"A-",IF('Data Source'!AA469&gt;=3,"B",IF('Data Source'!AA469&gt;=2,"C",IF('Data Source'!AA469&gt;=1,"D","F")))))))</f>
        <v/>
      </c>
      <c r="J469" s="3">
        <f>IF('Data Source'!B469="","",IF('Data Source'!AB469&gt;=5,"A+",IF('Data Source'!AB469&gt;=4,"A",IF('Data Source'!AB469&gt;=3.5,"A-",IF('Data Source'!AB469&gt;=3,"B",IF('Data Source'!AB469&gt;=2,"C",IF('Data Source'!AB469&gt;=1,"D","F")))))))</f>
        <v/>
      </c>
      <c r="K469" s="3">
        <f>IF('Data Source'!B469="","",IF('Data Source'!AC469&gt;=5,"A+",IF('Data Source'!AC469&gt;=4,"A",IF('Data Source'!AC469&gt;=3.5,"A-",IF('Data Source'!AC469&gt;=3,"B",IF('Data Source'!AC469&gt;=2,"C",IF('Data Source'!AC469&gt;=1,"D","F")))))))</f>
        <v/>
      </c>
      <c r="L469" s="3">
        <f>IF('Data Source'!B469="","",IF('Data Source'!AD469&gt;=5,"A+",IF('Data Source'!AD469&gt;=4,"A",IF('Data Source'!AD469&gt;=3.5,"A-",IF('Data Source'!AD469&gt;=3,"B",IF('Data Source'!AD469&gt;=2,"C",IF('Data Source'!AD469&gt;=1,"D","F")))))))</f>
        <v/>
      </c>
      <c r="M469" s="3">
        <f>IF('Data Source'!B469="","",IF('Data Source'!AE469&gt;=5,"A+",IF('Data Source'!AE469&gt;=4,"A",IF('Data Source'!AE469&gt;=3.5,"A-",IF('Data Source'!AE469&gt;=3,"B",IF('Data Source'!AE469&gt;=2,"C",IF('Data Source'!AE469&gt;=1,"D","F")))))))</f>
        <v/>
      </c>
      <c r="N469" s="3">
        <f>IF('Data Source'!B469="","",IF('Data Source'!AF469&gt;=5,"A+",IF('Data Source'!AF469&gt;=4,"A",IF('Data Source'!AF469&gt;=3.5,"A-",IF('Data Source'!AF469&gt;=3,"B",IF('Data Source'!AF469&gt;=2,"C",IF('Data Source'!AF469&gt;=1,"D","F")))))))</f>
        <v/>
      </c>
      <c r="O469" s="3">
        <f>IF('Data Source'!B469="","",IF('Data Source'!AG469&gt;=5,"A+",IF('Data Source'!AG469&gt;=4,"A",IF('Data Source'!AG469&gt;=3.5,"A-",IF('Data Source'!AG469&gt;=3,"B",IF('Data Source'!AG469&gt;=2,"C",IF('Data Source'!AG469&gt;=1,"D","F")))))))</f>
        <v/>
      </c>
      <c r="P469" s="5">
        <f>IF('Data Source'!B469="","",'Data Source'!R469)</f>
        <v/>
      </c>
      <c r="Q469" s="3">
        <f>IF('Data Source'!B469="","",'Data Source'!S469)</f>
        <v/>
      </c>
    </row>
    <row r="470">
      <c r="A470" s="3">
        <f>IF('Data Source'!B470="","",'Data Source'!A470)</f>
        <v/>
      </c>
      <c r="B470">
        <f>IF('Data Source'!B470="","",'Data Source'!B470)</f>
        <v/>
      </c>
      <c r="C470" s="3">
        <f>IF('Data Source'!B470="","",IF('Data Source'!U470&gt;=5,"A+",IF('Data Source'!U470&gt;=4,"A",IF('Data Source'!U470&gt;=3.5,"A-",IF('Data Source'!U470&gt;=3,"B",IF('Data Source'!U470&gt;=2,"C",IF('Data Source'!U470&gt;=1,"D","F")))))))</f>
        <v/>
      </c>
      <c r="D470" s="3">
        <f>IF('Data Source'!B470="","",IF('Data Source'!V470&gt;=5,"A+",IF('Data Source'!V470&gt;=4,"A",IF('Data Source'!V470&gt;=3.5,"A-",IF('Data Source'!V470&gt;=3,"B",IF('Data Source'!V470&gt;=2,"C",IF('Data Source'!V470&gt;=1,"D","F")))))))</f>
        <v/>
      </c>
      <c r="E470" s="3">
        <f>IF('Data Source'!B470="","",IF('Data Source'!W470&gt;=5,"A+",IF('Data Source'!W470&gt;=4,"A",IF('Data Source'!W470&gt;=3.5,"A-",IF('Data Source'!W470&gt;=3,"B",IF('Data Source'!W470&gt;=2,"C",IF('Data Source'!W470&gt;=1,"D","F")))))))</f>
        <v/>
      </c>
      <c r="F470" s="3">
        <f>IF('Data Source'!B470="","",IF('Data Source'!X470&gt;=5,"A+",IF('Data Source'!X470&gt;=4,"A",IF('Data Source'!X470&gt;=3.5,"A-",IF('Data Source'!X470&gt;=3,"B",IF('Data Source'!X470&gt;=2,"C",IF('Data Source'!X470&gt;=1,"D","F")))))))</f>
        <v/>
      </c>
      <c r="G470" s="3">
        <f>IF('Data Source'!B470="","",IF('Data Source'!Y470&gt;=5,"A+",IF('Data Source'!Y470&gt;=4,"A",IF('Data Source'!Y470&gt;=3.5,"A-",IF('Data Source'!Y470&gt;=3,"B",IF('Data Source'!Y470&gt;=2,"C",IF('Data Source'!Y470&gt;=1,"D","F")))))))</f>
        <v/>
      </c>
      <c r="H470" s="3">
        <f>IF('Data Source'!B470="","",IF('Data Source'!Z470&gt;=5,"A+",IF('Data Source'!Z470&gt;=4,"A",IF('Data Source'!Z470&gt;=3.5,"A-",IF('Data Source'!Z470&gt;=3,"B",IF('Data Source'!Z470&gt;=2,"C",IF('Data Source'!Z470&gt;=1,"D","F")))))))</f>
        <v/>
      </c>
      <c r="I470" s="3">
        <f>IF('Data Source'!B470="","",IF('Data Source'!AA470&gt;=5,"A+",IF('Data Source'!AA470&gt;=4,"A",IF('Data Source'!AA470&gt;=3.5,"A-",IF('Data Source'!AA470&gt;=3,"B",IF('Data Source'!AA470&gt;=2,"C",IF('Data Source'!AA470&gt;=1,"D","F")))))))</f>
        <v/>
      </c>
      <c r="J470" s="3">
        <f>IF('Data Source'!B470="","",IF('Data Source'!AB470&gt;=5,"A+",IF('Data Source'!AB470&gt;=4,"A",IF('Data Source'!AB470&gt;=3.5,"A-",IF('Data Source'!AB470&gt;=3,"B",IF('Data Source'!AB470&gt;=2,"C",IF('Data Source'!AB470&gt;=1,"D","F")))))))</f>
        <v/>
      </c>
      <c r="K470" s="3">
        <f>IF('Data Source'!B470="","",IF('Data Source'!AC470&gt;=5,"A+",IF('Data Source'!AC470&gt;=4,"A",IF('Data Source'!AC470&gt;=3.5,"A-",IF('Data Source'!AC470&gt;=3,"B",IF('Data Source'!AC470&gt;=2,"C",IF('Data Source'!AC470&gt;=1,"D","F")))))))</f>
        <v/>
      </c>
      <c r="L470" s="3">
        <f>IF('Data Source'!B470="","",IF('Data Source'!AD470&gt;=5,"A+",IF('Data Source'!AD470&gt;=4,"A",IF('Data Source'!AD470&gt;=3.5,"A-",IF('Data Source'!AD470&gt;=3,"B",IF('Data Source'!AD470&gt;=2,"C",IF('Data Source'!AD470&gt;=1,"D","F")))))))</f>
        <v/>
      </c>
      <c r="M470" s="3">
        <f>IF('Data Source'!B470="","",IF('Data Source'!AE470&gt;=5,"A+",IF('Data Source'!AE470&gt;=4,"A",IF('Data Source'!AE470&gt;=3.5,"A-",IF('Data Source'!AE470&gt;=3,"B",IF('Data Source'!AE470&gt;=2,"C",IF('Data Source'!AE470&gt;=1,"D","F")))))))</f>
        <v/>
      </c>
      <c r="N470" s="3">
        <f>IF('Data Source'!B470="","",IF('Data Source'!AF470&gt;=5,"A+",IF('Data Source'!AF470&gt;=4,"A",IF('Data Source'!AF470&gt;=3.5,"A-",IF('Data Source'!AF470&gt;=3,"B",IF('Data Source'!AF470&gt;=2,"C",IF('Data Source'!AF470&gt;=1,"D","F")))))))</f>
        <v/>
      </c>
      <c r="O470" s="3">
        <f>IF('Data Source'!B470="","",IF('Data Source'!AG470&gt;=5,"A+",IF('Data Source'!AG470&gt;=4,"A",IF('Data Source'!AG470&gt;=3.5,"A-",IF('Data Source'!AG470&gt;=3,"B",IF('Data Source'!AG470&gt;=2,"C",IF('Data Source'!AG470&gt;=1,"D","F")))))))</f>
        <v/>
      </c>
      <c r="P470" s="5">
        <f>IF('Data Source'!B470="","",'Data Source'!R470)</f>
        <v/>
      </c>
      <c r="Q470" s="3">
        <f>IF('Data Source'!B470="","",'Data Source'!S470)</f>
        <v/>
      </c>
    </row>
    <row r="471">
      <c r="A471" s="3">
        <f>IF('Data Source'!B471="","",'Data Source'!A471)</f>
        <v/>
      </c>
      <c r="B471">
        <f>IF('Data Source'!B471="","",'Data Source'!B471)</f>
        <v/>
      </c>
      <c r="C471" s="3">
        <f>IF('Data Source'!B471="","",IF('Data Source'!U471&gt;=5,"A+",IF('Data Source'!U471&gt;=4,"A",IF('Data Source'!U471&gt;=3.5,"A-",IF('Data Source'!U471&gt;=3,"B",IF('Data Source'!U471&gt;=2,"C",IF('Data Source'!U471&gt;=1,"D","F")))))))</f>
        <v/>
      </c>
      <c r="D471" s="3">
        <f>IF('Data Source'!B471="","",IF('Data Source'!V471&gt;=5,"A+",IF('Data Source'!V471&gt;=4,"A",IF('Data Source'!V471&gt;=3.5,"A-",IF('Data Source'!V471&gt;=3,"B",IF('Data Source'!V471&gt;=2,"C",IF('Data Source'!V471&gt;=1,"D","F")))))))</f>
        <v/>
      </c>
      <c r="E471" s="3">
        <f>IF('Data Source'!B471="","",IF('Data Source'!W471&gt;=5,"A+",IF('Data Source'!W471&gt;=4,"A",IF('Data Source'!W471&gt;=3.5,"A-",IF('Data Source'!W471&gt;=3,"B",IF('Data Source'!W471&gt;=2,"C",IF('Data Source'!W471&gt;=1,"D","F")))))))</f>
        <v/>
      </c>
      <c r="F471" s="3">
        <f>IF('Data Source'!B471="","",IF('Data Source'!X471&gt;=5,"A+",IF('Data Source'!X471&gt;=4,"A",IF('Data Source'!X471&gt;=3.5,"A-",IF('Data Source'!X471&gt;=3,"B",IF('Data Source'!X471&gt;=2,"C",IF('Data Source'!X471&gt;=1,"D","F")))))))</f>
        <v/>
      </c>
      <c r="G471" s="3">
        <f>IF('Data Source'!B471="","",IF('Data Source'!Y471&gt;=5,"A+",IF('Data Source'!Y471&gt;=4,"A",IF('Data Source'!Y471&gt;=3.5,"A-",IF('Data Source'!Y471&gt;=3,"B",IF('Data Source'!Y471&gt;=2,"C",IF('Data Source'!Y471&gt;=1,"D","F")))))))</f>
        <v/>
      </c>
      <c r="H471" s="3">
        <f>IF('Data Source'!B471="","",IF('Data Source'!Z471&gt;=5,"A+",IF('Data Source'!Z471&gt;=4,"A",IF('Data Source'!Z471&gt;=3.5,"A-",IF('Data Source'!Z471&gt;=3,"B",IF('Data Source'!Z471&gt;=2,"C",IF('Data Source'!Z471&gt;=1,"D","F")))))))</f>
        <v/>
      </c>
      <c r="I471" s="3">
        <f>IF('Data Source'!B471="","",IF('Data Source'!AA471&gt;=5,"A+",IF('Data Source'!AA471&gt;=4,"A",IF('Data Source'!AA471&gt;=3.5,"A-",IF('Data Source'!AA471&gt;=3,"B",IF('Data Source'!AA471&gt;=2,"C",IF('Data Source'!AA471&gt;=1,"D","F")))))))</f>
        <v/>
      </c>
      <c r="J471" s="3">
        <f>IF('Data Source'!B471="","",IF('Data Source'!AB471&gt;=5,"A+",IF('Data Source'!AB471&gt;=4,"A",IF('Data Source'!AB471&gt;=3.5,"A-",IF('Data Source'!AB471&gt;=3,"B",IF('Data Source'!AB471&gt;=2,"C",IF('Data Source'!AB471&gt;=1,"D","F")))))))</f>
        <v/>
      </c>
      <c r="K471" s="3">
        <f>IF('Data Source'!B471="","",IF('Data Source'!AC471&gt;=5,"A+",IF('Data Source'!AC471&gt;=4,"A",IF('Data Source'!AC471&gt;=3.5,"A-",IF('Data Source'!AC471&gt;=3,"B",IF('Data Source'!AC471&gt;=2,"C",IF('Data Source'!AC471&gt;=1,"D","F")))))))</f>
        <v/>
      </c>
      <c r="L471" s="3">
        <f>IF('Data Source'!B471="","",IF('Data Source'!AD471&gt;=5,"A+",IF('Data Source'!AD471&gt;=4,"A",IF('Data Source'!AD471&gt;=3.5,"A-",IF('Data Source'!AD471&gt;=3,"B",IF('Data Source'!AD471&gt;=2,"C",IF('Data Source'!AD471&gt;=1,"D","F")))))))</f>
        <v/>
      </c>
      <c r="M471" s="3">
        <f>IF('Data Source'!B471="","",IF('Data Source'!AE471&gt;=5,"A+",IF('Data Source'!AE471&gt;=4,"A",IF('Data Source'!AE471&gt;=3.5,"A-",IF('Data Source'!AE471&gt;=3,"B",IF('Data Source'!AE471&gt;=2,"C",IF('Data Source'!AE471&gt;=1,"D","F")))))))</f>
        <v/>
      </c>
      <c r="N471" s="3">
        <f>IF('Data Source'!B471="","",IF('Data Source'!AF471&gt;=5,"A+",IF('Data Source'!AF471&gt;=4,"A",IF('Data Source'!AF471&gt;=3.5,"A-",IF('Data Source'!AF471&gt;=3,"B",IF('Data Source'!AF471&gt;=2,"C",IF('Data Source'!AF471&gt;=1,"D","F")))))))</f>
        <v/>
      </c>
      <c r="O471" s="3">
        <f>IF('Data Source'!B471="","",IF('Data Source'!AG471&gt;=5,"A+",IF('Data Source'!AG471&gt;=4,"A",IF('Data Source'!AG471&gt;=3.5,"A-",IF('Data Source'!AG471&gt;=3,"B",IF('Data Source'!AG471&gt;=2,"C",IF('Data Source'!AG471&gt;=1,"D","F")))))))</f>
        <v/>
      </c>
      <c r="P471" s="5">
        <f>IF('Data Source'!B471="","",'Data Source'!R471)</f>
        <v/>
      </c>
      <c r="Q471" s="3">
        <f>IF('Data Source'!B471="","",'Data Source'!S471)</f>
        <v/>
      </c>
    </row>
    <row r="472">
      <c r="A472" s="3">
        <f>IF('Data Source'!B472="","",'Data Source'!A472)</f>
        <v/>
      </c>
      <c r="B472">
        <f>IF('Data Source'!B472="","",'Data Source'!B472)</f>
        <v/>
      </c>
      <c r="C472" s="3">
        <f>IF('Data Source'!B472="","",IF('Data Source'!U472&gt;=5,"A+",IF('Data Source'!U472&gt;=4,"A",IF('Data Source'!U472&gt;=3.5,"A-",IF('Data Source'!U472&gt;=3,"B",IF('Data Source'!U472&gt;=2,"C",IF('Data Source'!U472&gt;=1,"D","F")))))))</f>
        <v/>
      </c>
      <c r="D472" s="3">
        <f>IF('Data Source'!B472="","",IF('Data Source'!V472&gt;=5,"A+",IF('Data Source'!V472&gt;=4,"A",IF('Data Source'!V472&gt;=3.5,"A-",IF('Data Source'!V472&gt;=3,"B",IF('Data Source'!V472&gt;=2,"C",IF('Data Source'!V472&gt;=1,"D","F")))))))</f>
        <v/>
      </c>
      <c r="E472" s="3">
        <f>IF('Data Source'!B472="","",IF('Data Source'!W472&gt;=5,"A+",IF('Data Source'!W472&gt;=4,"A",IF('Data Source'!W472&gt;=3.5,"A-",IF('Data Source'!W472&gt;=3,"B",IF('Data Source'!W472&gt;=2,"C",IF('Data Source'!W472&gt;=1,"D","F")))))))</f>
        <v/>
      </c>
      <c r="F472" s="3">
        <f>IF('Data Source'!B472="","",IF('Data Source'!X472&gt;=5,"A+",IF('Data Source'!X472&gt;=4,"A",IF('Data Source'!X472&gt;=3.5,"A-",IF('Data Source'!X472&gt;=3,"B",IF('Data Source'!X472&gt;=2,"C",IF('Data Source'!X472&gt;=1,"D","F")))))))</f>
        <v/>
      </c>
      <c r="G472" s="3">
        <f>IF('Data Source'!B472="","",IF('Data Source'!Y472&gt;=5,"A+",IF('Data Source'!Y472&gt;=4,"A",IF('Data Source'!Y472&gt;=3.5,"A-",IF('Data Source'!Y472&gt;=3,"B",IF('Data Source'!Y472&gt;=2,"C",IF('Data Source'!Y472&gt;=1,"D","F")))))))</f>
        <v/>
      </c>
      <c r="H472" s="3">
        <f>IF('Data Source'!B472="","",IF('Data Source'!Z472&gt;=5,"A+",IF('Data Source'!Z472&gt;=4,"A",IF('Data Source'!Z472&gt;=3.5,"A-",IF('Data Source'!Z472&gt;=3,"B",IF('Data Source'!Z472&gt;=2,"C",IF('Data Source'!Z472&gt;=1,"D","F")))))))</f>
        <v/>
      </c>
      <c r="I472" s="3">
        <f>IF('Data Source'!B472="","",IF('Data Source'!AA472&gt;=5,"A+",IF('Data Source'!AA472&gt;=4,"A",IF('Data Source'!AA472&gt;=3.5,"A-",IF('Data Source'!AA472&gt;=3,"B",IF('Data Source'!AA472&gt;=2,"C",IF('Data Source'!AA472&gt;=1,"D","F")))))))</f>
        <v/>
      </c>
      <c r="J472" s="3">
        <f>IF('Data Source'!B472="","",IF('Data Source'!AB472&gt;=5,"A+",IF('Data Source'!AB472&gt;=4,"A",IF('Data Source'!AB472&gt;=3.5,"A-",IF('Data Source'!AB472&gt;=3,"B",IF('Data Source'!AB472&gt;=2,"C",IF('Data Source'!AB472&gt;=1,"D","F")))))))</f>
        <v/>
      </c>
      <c r="K472" s="3">
        <f>IF('Data Source'!B472="","",IF('Data Source'!AC472&gt;=5,"A+",IF('Data Source'!AC472&gt;=4,"A",IF('Data Source'!AC472&gt;=3.5,"A-",IF('Data Source'!AC472&gt;=3,"B",IF('Data Source'!AC472&gt;=2,"C",IF('Data Source'!AC472&gt;=1,"D","F")))))))</f>
        <v/>
      </c>
      <c r="L472" s="3">
        <f>IF('Data Source'!B472="","",IF('Data Source'!AD472&gt;=5,"A+",IF('Data Source'!AD472&gt;=4,"A",IF('Data Source'!AD472&gt;=3.5,"A-",IF('Data Source'!AD472&gt;=3,"B",IF('Data Source'!AD472&gt;=2,"C",IF('Data Source'!AD472&gt;=1,"D","F")))))))</f>
        <v/>
      </c>
      <c r="M472" s="3">
        <f>IF('Data Source'!B472="","",IF('Data Source'!AE472&gt;=5,"A+",IF('Data Source'!AE472&gt;=4,"A",IF('Data Source'!AE472&gt;=3.5,"A-",IF('Data Source'!AE472&gt;=3,"B",IF('Data Source'!AE472&gt;=2,"C",IF('Data Source'!AE472&gt;=1,"D","F")))))))</f>
        <v/>
      </c>
      <c r="N472" s="3">
        <f>IF('Data Source'!B472="","",IF('Data Source'!AF472&gt;=5,"A+",IF('Data Source'!AF472&gt;=4,"A",IF('Data Source'!AF472&gt;=3.5,"A-",IF('Data Source'!AF472&gt;=3,"B",IF('Data Source'!AF472&gt;=2,"C",IF('Data Source'!AF472&gt;=1,"D","F")))))))</f>
        <v/>
      </c>
      <c r="O472" s="3">
        <f>IF('Data Source'!B472="","",IF('Data Source'!AG472&gt;=5,"A+",IF('Data Source'!AG472&gt;=4,"A",IF('Data Source'!AG472&gt;=3.5,"A-",IF('Data Source'!AG472&gt;=3,"B",IF('Data Source'!AG472&gt;=2,"C",IF('Data Source'!AG472&gt;=1,"D","F")))))))</f>
        <v/>
      </c>
      <c r="P472" s="5">
        <f>IF('Data Source'!B472="","",'Data Source'!R472)</f>
        <v/>
      </c>
      <c r="Q472" s="3">
        <f>IF('Data Source'!B472="","",'Data Source'!S472)</f>
        <v/>
      </c>
    </row>
    <row r="473">
      <c r="A473" s="3">
        <f>IF('Data Source'!B473="","",'Data Source'!A473)</f>
        <v/>
      </c>
      <c r="B473">
        <f>IF('Data Source'!B473="","",'Data Source'!B473)</f>
        <v/>
      </c>
      <c r="C473" s="3">
        <f>IF('Data Source'!B473="","",IF('Data Source'!U473&gt;=5,"A+",IF('Data Source'!U473&gt;=4,"A",IF('Data Source'!U473&gt;=3.5,"A-",IF('Data Source'!U473&gt;=3,"B",IF('Data Source'!U473&gt;=2,"C",IF('Data Source'!U473&gt;=1,"D","F")))))))</f>
        <v/>
      </c>
      <c r="D473" s="3">
        <f>IF('Data Source'!B473="","",IF('Data Source'!V473&gt;=5,"A+",IF('Data Source'!V473&gt;=4,"A",IF('Data Source'!V473&gt;=3.5,"A-",IF('Data Source'!V473&gt;=3,"B",IF('Data Source'!V473&gt;=2,"C",IF('Data Source'!V473&gt;=1,"D","F")))))))</f>
        <v/>
      </c>
      <c r="E473" s="3">
        <f>IF('Data Source'!B473="","",IF('Data Source'!W473&gt;=5,"A+",IF('Data Source'!W473&gt;=4,"A",IF('Data Source'!W473&gt;=3.5,"A-",IF('Data Source'!W473&gt;=3,"B",IF('Data Source'!W473&gt;=2,"C",IF('Data Source'!W473&gt;=1,"D","F")))))))</f>
        <v/>
      </c>
      <c r="F473" s="3">
        <f>IF('Data Source'!B473="","",IF('Data Source'!X473&gt;=5,"A+",IF('Data Source'!X473&gt;=4,"A",IF('Data Source'!X473&gt;=3.5,"A-",IF('Data Source'!X473&gt;=3,"B",IF('Data Source'!X473&gt;=2,"C",IF('Data Source'!X473&gt;=1,"D","F")))))))</f>
        <v/>
      </c>
      <c r="G473" s="3">
        <f>IF('Data Source'!B473="","",IF('Data Source'!Y473&gt;=5,"A+",IF('Data Source'!Y473&gt;=4,"A",IF('Data Source'!Y473&gt;=3.5,"A-",IF('Data Source'!Y473&gt;=3,"B",IF('Data Source'!Y473&gt;=2,"C",IF('Data Source'!Y473&gt;=1,"D","F")))))))</f>
        <v/>
      </c>
      <c r="H473" s="3">
        <f>IF('Data Source'!B473="","",IF('Data Source'!Z473&gt;=5,"A+",IF('Data Source'!Z473&gt;=4,"A",IF('Data Source'!Z473&gt;=3.5,"A-",IF('Data Source'!Z473&gt;=3,"B",IF('Data Source'!Z473&gt;=2,"C",IF('Data Source'!Z473&gt;=1,"D","F")))))))</f>
        <v/>
      </c>
      <c r="I473" s="3">
        <f>IF('Data Source'!B473="","",IF('Data Source'!AA473&gt;=5,"A+",IF('Data Source'!AA473&gt;=4,"A",IF('Data Source'!AA473&gt;=3.5,"A-",IF('Data Source'!AA473&gt;=3,"B",IF('Data Source'!AA473&gt;=2,"C",IF('Data Source'!AA473&gt;=1,"D","F")))))))</f>
        <v/>
      </c>
      <c r="J473" s="3">
        <f>IF('Data Source'!B473="","",IF('Data Source'!AB473&gt;=5,"A+",IF('Data Source'!AB473&gt;=4,"A",IF('Data Source'!AB473&gt;=3.5,"A-",IF('Data Source'!AB473&gt;=3,"B",IF('Data Source'!AB473&gt;=2,"C",IF('Data Source'!AB473&gt;=1,"D","F")))))))</f>
        <v/>
      </c>
      <c r="K473" s="3">
        <f>IF('Data Source'!B473="","",IF('Data Source'!AC473&gt;=5,"A+",IF('Data Source'!AC473&gt;=4,"A",IF('Data Source'!AC473&gt;=3.5,"A-",IF('Data Source'!AC473&gt;=3,"B",IF('Data Source'!AC473&gt;=2,"C",IF('Data Source'!AC473&gt;=1,"D","F")))))))</f>
        <v/>
      </c>
      <c r="L473" s="3">
        <f>IF('Data Source'!B473="","",IF('Data Source'!AD473&gt;=5,"A+",IF('Data Source'!AD473&gt;=4,"A",IF('Data Source'!AD473&gt;=3.5,"A-",IF('Data Source'!AD473&gt;=3,"B",IF('Data Source'!AD473&gt;=2,"C",IF('Data Source'!AD473&gt;=1,"D","F")))))))</f>
        <v/>
      </c>
      <c r="M473" s="3">
        <f>IF('Data Source'!B473="","",IF('Data Source'!AE473&gt;=5,"A+",IF('Data Source'!AE473&gt;=4,"A",IF('Data Source'!AE473&gt;=3.5,"A-",IF('Data Source'!AE473&gt;=3,"B",IF('Data Source'!AE473&gt;=2,"C",IF('Data Source'!AE473&gt;=1,"D","F")))))))</f>
        <v/>
      </c>
      <c r="N473" s="3">
        <f>IF('Data Source'!B473="","",IF('Data Source'!AF473&gt;=5,"A+",IF('Data Source'!AF473&gt;=4,"A",IF('Data Source'!AF473&gt;=3.5,"A-",IF('Data Source'!AF473&gt;=3,"B",IF('Data Source'!AF473&gt;=2,"C",IF('Data Source'!AF473&gt;=1,"D","F")))))))</f>
        <v/>
      </c>
      <c r="O473" s="3">
        <f>IF('Data Source'!B473="","",IF('Data Source'!AG473&gt;=5,"A+",IF('Data Source'!AG473&gt;=4,"A",IF('Data Source'!AG473&gt;=3.5,"A-",IF('Data Source'!AG473&gt;=3,"B",IF('Data Source'!AG473&gt;=2,"C",IF('Data Source'!AG473&gt;=1,"D","F")))))))</f>
        <v/>
      </c>
      <c r="P473" s="5">
        <f>IF('Data Source'!B473="","",'Data Source'!R473)</f>
        <v/>
      </c>
      <c r="Q473" s="3">
        <f>IF('Data Source'!B473="","",'Data Source'!S473)</f>
        <v/>
      </c>
    </row>
    <row r="474">
      <c r="A474" s="3">
        <f>IF('Data Source'!B474="","",'Data Source'!A474)</f>
        <v/>
      </c>
      <c r="B474">
        <f>IF('Data Source'!B474="","",'Data Source'!B474)</f>
        <v/>
      </c>
      <c r="C474" s="3">
        <f>IF('Data Source'!B474="","",IF('Data Source'!U474&gt;=5,"A+",IF('Data Source'!U474&gt;=4,"A",IF('Data Source'!U474&gt;=3.5,"A-",IF('Data Source'!U474&gt;=3,"B",IF('Data Source'!U474&gt;=2,"C",IF('Data Source'!U474&gt;=1,"D","F")))))))</f>
        <v/>
      </c>
      <c r="D474" s="3">
        <f>IF('Data Source'!B474="","",IF('Data Source'!V474&gt;=5,"A+",IF('Data Source'!V474&gt;=4,"A",IF('Data Source'!V474&gt;=3.5,"A-",IF('Data Source'!V474&gt;=3,"B",IF('Data Source'!V474&gt;=2,"C",IF('Data Source'!V474&gt;=1,"D","F")))))))</f>
        <v/>
      </c>
      <c r="E474" s="3">
        <f>IF('Data Source'!B474="","",IF('Data Source'!W474&gt;=5,"A+",IF('Data Source'!W474&gt;=4,"A",IF('Data Source'!W474&gt;=3.5,"A-",IF('Data Source'!W474&gt;=3,"B",IF('Data Source'!W474&gt;=2,"C",IF('Data Source'!W474&gt;=1,"D","F")))))))</f>
        <v/>
      </c>
      <c r="F474" s="3">
        <f>IF('Data Source'!B474="","",IF('Data Source'!X474&gt;=5,"A+",IF('Data Source'!X474&gt;=4,"A",IF('Data Source'!X474&gt;=3.5,"A-",IF('Data Source'!X474&gt;=3,"B",IF('Data Source'!X474&gt;=2,"C",IF('Data Source'!X474&gt;=1,"D","F")))))))</f>
        <v/>
      </c>
      <c r="G474" s="3">
        <f>IF('Data Source'!B474="","",IF('Data Source'!Y474&gt;=5,"A+",IF('Data Source'!Y474&gt;=4,"A",IF('Data Source'!Y474&gt;=3.5,"A-",IF('Data Source'!Y474&gt;=3,"B",IF('Data Source'!Y474&gt;=2,"C",IF('Data Source'!Y474&gt;=1,"D","F")))))))</f>
        <v/>
      </c>
      <c r="H474" s="3">
        <f>IF('Data Source'!B474="","",IF('Data Source'!Z474&gt;=5,"A+",IF('Data Source'!Z474&gt;=4,"A",IF('Data Source'!Z474&gt;=3.5,"A-",IF('Data Source'!Z474&gt;=3,"B",IF('Data Source'!Z474&gt;=2,"C",IF('Data Source'!Z474&gt;=1,"D","F")))))))</f>
        <v/>
      </c>
      <c r="I474" s="3">
        <f>IF('Data Source'!B474="","",IF('Data Source'!AA474&gt;=5,"A+",IF('Data Source'!AA474&gt;=4,"A",IF('Data Source'!AA474&gt;=3.5,"A-",IF('Data Source'!AA474&gt;=3,"B",IF('Data Source'!AA474&gt;=2,"C",IF('Data Source'!AA474&gt;=1,"D","F")))))))</f>
        <v/>
      </c>
      <c r="J474" s="3">
        <f>IF('Data Source'!B474="","",IF('Data Source'!AB474&gt;=5,"A+",IF('Data Source'!AB474&gt;=4,"A",IF('Data Source'!AB474&gt;=3.5,"A-",IF('Data Source'!AB474&gt;=3,"B",IF('Data Source'!AB474&gt;=2,"C",IF('Data Source'!AB474&gt;=1,"D","F")))))))</f>
        <v/>
      </c>
      <c r="K474" s="3">
        <f>IF('Data Source'!B474="","",IF('Data Source'!AC474&gt;=5,"A+",IF('Data Source'!AC474&gt;=4,"A",IF('Data Source'!AC474&gt;=3.5,"A-",IF('Data Source'!AC474&gt;=3,"B",IF('Data Source'!AC474&gt;=2,"C",IF('Data Source'!AC474&gt;=1,"D","F")))))))</f>
        <v/>
      </c>
      <c r="L474" s="3">
        <f>IF('Data Source'!B474="","",IF('Data Source'!AD474&gt;=5,"A+",IF('Data Source'!AD474&gt;=4,"A",IF('Data Source'!AD474&gt;=3.5,"A-",IF('Data Source'!AD474&gt;=3,"B",IF('Data Source'!AD474&gt;=2,"C",IF('Data Source'!AD474&gt;=1,"D","F")))))))</f>
        <v/>
      </c>
      <c r="M474" s="3">
        <f>IF('Data Source'!B474="","",IF('Data Source'!AE474&gt;=5,"A+",IF('Data Source'!AE474&gt;=4,"A",IF('Data Source'!AE474&gt;=3.5,"A-",IF('Data Source'!AE474&gt;=3,"B",IF('Data Source'!AE474&gt;=2,"C",IF('Data Source'!AE474&gt;=1,"D","F")))))))</f>
        <v/>
      </c>
      <c r="N474" s="3">
        <f>IF('Data Source'!B474="","",IF('Data Source'!AF474&gt;=5,"A+",IF('Data Source'!AF474&gt;=4,"A",IF('Data Source'!AF474&gt;=3.5,"A-",IF('Data Source'!AF474&gt;=3,"B",IF('Data Source'!AF474&gt;=2,"C",IF('Data Source'!AF474&gt;=1,"D","F")))))))</f>
        <v/>
      </c>
      <c r="O474" s="3">
        <f>IF('Data Source'!B474="","",IF('Data Source'!AG474&gt;=5,"A+",IF('Data Source'!AG474&gt;=4,"A",IF('Data Source'!AG474&gt;=3.5,"A-",IF('Data Source'!AG474&gt;=3,"B",IF('Data Source'!AG474&gt;=2,"C",IF('Data Source'!AG474&gt;=1,"D","F")))))))</f>
        <v/>
      </c>
      <c r="P474" s="5">
        <f>IF('Data Source'!B474="","",'Data Source'!R474)</f>
        <v/>
      </c>
      <c r="Q474" s="3">
        <f>IF('Data Source'!B474="","",'Data Source'!S474)</f>
        <v/>
      </c>
    </row>
    <row r="475">
      <c r="A475" s="3">
        <f>IF('Data Source'!B475="","",'Data Source'!A475)</f>
        <v/>
      </c>
      <c r="B475">
        <f>IF('Data Source'!B475="","",'Data Source'!B475)</f>
        <v/>
      </c>
      <c r="C475" s="3">
        <f>IF('Data Source'!B475="","",IF('Data Source'!U475&gt;=5,"A+",IF('Data Source'!U475&gt;=4,"A",IF('Data Source'!U475&gt;=3.5,"A-",IF('Data Source'!U475&gt;=3,"B",IF('Data Source'!U475&gt;=2,"C",IF('Data Source'!U475&gt;=1,"D","F")))))))</f>
        <v/>
      </c>
      <c r="D475" s="3">
        <f>IF('Data Source'!B475="","",IF('Data Source'!V475&gt;=5,"A+",IF('Data Source'!V475&gt;=4,"A",IF('Data Source'!V475&gt;=3.5,"A-",IF('Data Source'!V475&gt;=3,"B",IF('Data Source'!V475&gt;=2,"C",IF('Data Source'!V475&gt;=1,"D","F")))))))</f>
        <v/>
      </c>
      <c r="E475" s="3">
        <f>IF('Data Source'!B475="","",IF('Data Source'!W475&gt;=5,"A+",IF('Data Source'!W475&gt;=4,"A",IF('Data Source'!W475&gt;=3.5,"A-",IF('Data Source'!W475&gt;=3,"B",IF('Data Source'!W475&gt;=2,"C",IF('Data Source'!W475&gt;=1,"D","F")))))))</f>
        <v/>
      </c>
      <c r="F475" s="3">
        <f>IF('Data Source'!B475="","",IF('Data Source'!X475&gt;=5,"A+",IF('Data Source'!X475&gt;=4,"A",IF('Data Source'!X475&gt;=3.5,"A-",IF('Data Source'!X475&gt;=3,"B",IF('Data Source'!X475&gt;=2,"C",IF('Data Source'!X475&gt;=1,"D","F")))))))</f>
        <v/>
      </c>
      <c r="G475" s="3">
        <f>IF('Data Source'!B475="","",IF('Data Source'!Y475&gt;=5,"A+",IF('Data Source'!Y475&gt;=4,"A",IF('Data Source'!Y475&gt;=3.5,"A-",IF('Data Source'!Y475&gt;=3,"B",IF('Data Source'!Y475&gt;=2,"C",IF('Data Source'!Y475&gt;=1,"D","F")))))))</f>
        <v/>
      </c>
      <c r="H475" s="3">
        <f>IF('Data Source'!B475="","",IF('Data Source'!Z475&gt;=5,"A+",IF('Data Source'!Z475&gt;=4,"A",IF('Data Source'!Z475&gt;=3.5,"A-",IF('Data Source'!Z475&gt;=3,"B",IF('Data Source'!Z475&gt;=2,"C",IF('Data Source'!Z475&gt;=1,"D","F")))))))</f>
        <v/>
      </c>
      <c r="I475" s="3">
        <f>IF('Data Source'!B475="","",IF('Data Source'!AA475&gt;=5,"A+",IF('Data Source'!AA475&gt;=4,"A",IF('Data Source'!AA475&gt;=3.5,"A-",IF('Data Source'!AA475&gt;=3,"B",IF('Data Source'!AA475&gt;=2,"C",IF('Data Source'!AA475&gt;=1,"D","F")))))))</f>
        <v/>
      </c>
      <c r="J475" s="3">
        <f>IF('Data Source'!B475="","",IF('Data Source'!AB475&gt;=5,"A+",IF('Data Source'!AB475&gt;=4,"A",IF('Data Source'!AB475&gt;=3.5,"A-",IF('Data Source'!AB475&gt;=3,"B",IF('Data Source'!AB475&gt;=2,"C",IF('Data Source'!AB475&gt;=1,"D","F")))))))</f>
        <v/>
      </c>
      <c r="K475" s="3">
        <f>IF('Data Source'!B475="","",IF('Data Source'!AC475&gt;=5,"A+",IF('Data Source'!AC475&gt;=4,"A",IF('Data Source'!AC475&gt;=3.5,"A-",IF('Data Source'!AC475&gt;=3,"B",IF('Data Source'!AC475&gt;=2,"C",IF('Data Source'!AC475&gt;=1,"D","F")))))))</f>
        <v/>
      </c>
      <c r="L475" s="3">
        <f>IF('Data Source'!B475="","",IF('Data Source'!AD475&gt;=5,"A+",IF('Data Source'!AD475&gt;=4,"A",IF('Data Source'!AD475&gt;=3.5,"A-",IF('Data Source'!AD475&gt;=3,"B",IF('Data Source'!AD475&gt;=2,"C",IF('Data Source'!AD475&gt;=1,"D","F")))))))</f>
        <v/>
      </c>
      <c r="M475" s="3">
        <f>IF('Data Source'!B475="","",IF('Data Source'!AE475&gt;=5,"A+",IF('Data Source'!AE475&gt;=4,"A",IF('Data Source'!AE475&gt;=3.5,"A-",IF('Data Source'!AE475&gt;=3,"B",IF('Data Source'!AE475&gt;=2,"C",IF('Data Source'!AE475&gt;=1,"D","F")))))))</f>
        <v/>
      </c>
      <c r="N475" s="3">
        <f>IF('Data Source'!B475="","",IF('Data Source'!AF475&gt;=5,"A+",IF('Data Source'!AF475&gt;=4,"A",IF('Data Source'!AF475&gt;=3.5,"A-",IF('Data Source'!AF475&gt;=3,"B",IF('Data Source'!AF475&gt;=2,"C",IF('Data Source'!AF475&gt;=1,"D","F")))))))</f>
        <v/>
      </c>
      <c r="O475" s="3">
        <f>IF('Data Source'!B475="","",IF('Data Source'!AG475&gt;=5,"A+",IF('Data Source'!AG475&gt;=4,"A",IF('Data Source'!AG475&gt;=3.5,"A-",IF('Data Source'!AG475&gt;=3,"B",IF('Data Source'!AG475&gt;=2,"C",IF('Data Source'!AG475&gt;=1,"D","F")))))))</f>
        <v/>
      </c>
      <c r="P475" s="5">
        <f>IF('Data Source'!B475="","",'Data Source'!R475)</f>
        <v/>
      </c>
      <c r="Q475" s="3">
        <f>IF('Data Source'!B475="","",'Data Source'!S475)</f>
        <v/>
      </c>
    </row>
    <row r="476">
      <c r="A476" s="3">
        <f>IF('Data Source'!B476="","",'Data Source'!A476)</f>
        <v/>
      </c>
      <c r="B476">
        <f>IF('Data Source'!B476="","",'Data Source'!B476)</f>
        <v/>
      </c>
      <c r="C476" s="3">
        <f>IF('Data Source'!B476="","",IF('Data Source'!U476&gt;=5,"A+",IF('Data Source'!U476&gt;=4,"A",IF('Data Source'!U476&gt;=3.5,"A-",IF('Data Source'!U476&gt;=3,"B",IF('Data Source'!U476&gt;=2,"C",IF('Data Source'!U476&gt;=1,"D","F")))))))</f>
        <v/>
      </c>
      <c r="D476" s="3">
        <f>IF('Data Source'!B476="","",IF('Data Source'!V476&gt;=5,"A+",IF('Data Source'!V476&gt;=4,"A",IF('Data Source'!V476&gt;=3.5,"A-",IF('Data Source'!V476&gt;=3,"B",IF('Data Source'!V476&gt;=2,"C",IF('Data Source'!V476&gt;=1,"D","F")))))))</f>
        <v/>
      </c>
      <c r="E476" s="3">
        <f>IF('Data Source'!B476="","",IF('Data Source'!W476&gt;=5,"A+",IF('Data Source'!W476&gt;=4,"A",IF('Data Source'!W476&gt;=3.5,"A-",IF('Data Source'!W476&gt;=3,"B",IF('Data Source'!W476&gt;=2,"C",IF('Data Source'!W476&gt;=1,"D","F")))))))</f>
        <v/>
      </c>
      <c r="F476" s="3">
        <f>IF('Data Source'!B476="","",IF('Data Source'!X476&gt;=5,"A+",IF('Data Source'!X476&gt;=4,"A",IF('Data Source'!X476&gt;=3.5,"A-",IF('Data Source'!X476&gt;=3,"B",IF('Data Source'!X476&gt;=2,"C",IF('Data Source'!X476&gt;=1,"D","F")))))))</f>
        <v/>
      </c>
      <c r="G476" s="3">
        <f>IF('Data Source'!B476="","",IF('Data Source'!Y476&gt;=5,"A+",IF('Data Source'!Y476&gt;=4,"A",IF('Data Source'!Y476&gt;=3.5,"A-",IF('Data Source'!Y476&gt;=3,"B",IF('Data Source'!Y476&gt;=2,"C",IF('Data Source'!Y476&gt;=1,"D","F")))))))</f>
        <v/>
      </c>
      <c r="H476" s="3">
        <f>IF('Data Source'!B476="","",IF('Data Source'!Z476&gt;=5,"A+",IF('Data Source'!Z476&gt;=4,"A",IF('Data Source'!Z476&gt;=3.5,"A-",IF('Data Source'!Z476&gt;=3,"B",IF('Data Source'!Z476&gt;=2,"C",IF('Data Source'!Z476&gt;=1,"D","F")))))))</f>
        <v/>
      </c>
      <c r="I476" s="3">
        <f>IF('Data Source'!B476="","",IF('Data Source'!AA476&gt;=5,"A+",IF('Data Source'!AA476&gt;=4,"A",IF('Data Source'!AA476&gt;=3.5,"A-",IF('Data Source'!AA476&gt;=3,"B",IF('Data Source'!AA476&gt;=2,"C",IF('Data Source'!AA476&gt;=1,"D","F")))))))</f>
        <v/>
      </c>
      <c r="J476" s="3">
        <f>IF('Data Source'!B476="","",IF('Data Source'!AB476&gt;=5,"A+",IF('Data Source'!AB476&gt;=4,"A",IF('Data Source'!AB476&gt;=3.5,"A-",IF('Data Source'!AB476&gt;=3,"B",IF('Data Source'!AB476&gt;=2,"C",IF('Data Source'!AB476&gt;=1,"D","F")))))))</f>
        <v/>
      </c>
      <c r="K476" s="3">
        <f>IF('Data Source'!B476="","",IF('Data Source'!AC476&gt;=5,"A+",IF('Data Source'!AC476&gt;=4,"A",IF('Data Source'!AC476&gt;=3.5,"A-",IF('Data Source'!AC476&gt;=3,"B",IF('Data Source'!AC476&gt;=2,"C",IF('Data Source'!AC476&gt;=1,"D","F")))))))</f>
        <v/>
      </c>
      <c r="L476" s="3">
        <f>IF('Data Source'!B476="","",IF('Data Source'!AD476&gt;=5,"A+",IF('Data Source'!AD476&gt;=4,"A",IF('Data Source'!AD476&gt;=3.5,"A-",IF('Data Source'!AD476&gt;=3,"B",IF('Data Source'!AD476&gt;=2,"C",IF('Data Source'!AD476&gt;=1,"D","F")))))))</f>
        <v/>
      </c>
      <c r="M476" s="3">
        <f>IF('Data Source'!B476="","",IF('Data Source'!AE476&gt;=5,"A+",IF('Data Source'!AE476&gt;=4,"A",IF('Data Source'!AE476&gt;=3.5,"A-",IF('Data Source'!AE476&gt;=3,"B",IF('Data Source'!AE476&gt;=2,"C",IF('Data Source'!AE476&gt;=1,"D","F")))))))</f>
        <v/>
      </c>
      <c r="N476" s="3">
        <f>IF('Data Source'!B476="","",IF('Data Source'!AF476&gt;=5,"A+",IF('Data Source'!AF476&gt;=4,"A",IF('Data Source'!AF476&gt;=3.5,"A-",IF('Data Source'!AF476&gt;=3,"B",IF('Data Source'!AF476&gt;=2,"C",IF('Data Source'!AF476&gt;=1,"D","F")))))))</f>
        <v/>
      </c>
      <c r="O476" s="3">
        <f>IF('Data Source'!B476="","",IF('Data Source'!AG476&gt;=5,"A+",IF('Data Source'!AG476&gt;=4,"A",IF('Data Source'!AG476&gt;=3.5,"A-",IF('Data Source'!AG476&gt;=3,"B",IF('Data Source'!AG476&gt;=2,"C",IF('Data Source'!AG476&gt;=1,"D","F")))))))</f>
        <v/>
      </c>
      <c r="P476" s="5">
        <f>IF('Data Source'!B476="","",'Data Source'!R476)</f>
        <v/>
      </c>
      <c r="Q476" s="3">
        <f>IF('Data Source'!B476="","",'Data Source'!S476)</f>
        <v/>
      </c>
    </row>
    <row r="477">
      <c r="A477" s="3">
        <f>IF('Data Source'!B477="","",'Data Source'!A477)</f>
        <v/>
      </c>
      <c r="B477">
        <f>IF('Data Source'!B477="","",'Data Source'!B477)</f>
        <v/>
      </c>
      <c r="C477" s="3">
        <f>IF('Data Source'!B477="","",IF('Data Source'!U477&gt;=5,"A+",IF('Data Source'!U477&gt;=4,"A",IF('Data Source'!U477&gt;=3.5,"A-",IF('Data Source'!U477&gt;=3,"B",IF('Data Source'!U477&gt;=2,"C",IF('Data Source'!U477&gt;=1,"D","F")))))))</f>
        <v/>
      </c>
      <c r="D477" s="3">
        <f>IF('Data Source'!B477="","",IF('Data Source'!V477&gt;=5,"A+",IF('Data Source'!V477&gt;=4,"A",IF('Data Source'!V477&gt;=3.5,"A-",IF('Data Source'!V477&gt;=3,"B",IF('Data Source'!V477&gt;=2,"C",IF('Data Source'!V477&gt;=1,"D","F")))))))</f>
        <v/>
      </c>
      <c r="E477" s="3">
        <f>IF('Data Source'!B477="","",IF('Data Source'!W477&gt;=5,"A+",IF('Data Source'!W477&gt;=4,"A",IF('Data Source'!W477&gt;=3.5,"A-",IF('Data Source'!W477&gt;=3,"B",IF('Data Source'!W477&gt;=2,"C",IF('Data Source'!W477&gt;=1,"D","F")))))))</f>
        <v/>
      </c>
      <c r="F477" s="3">
        <f>IF('Data Source'!B477="","",IF('Data Source'!X477&gt;=5,"A+",IF('Data Source'!X477&gt;=4,"A",IF('Data Source'!X477&gt;=3.5,"A-",IF('Data Source'!X477&gt;=3,"B",IF('Data Source'!X477&gt;=2,"C",IF('Data Source'!X477&gt;=1,"D","F")))))))</f>
        <v/>
      </c>
      <c r="G477" s="3">
        <f>IF('Data Source'!B477="","",IF('Data Source'!Y477&gt;=5,"A+",IF('Data Source'!Y477&gt;=4,"A",IF('Data Source'!Y477&gt;=3.5,"A-",IF('Data Source'!Y477&gt;=3,"B",IF('Data Source'!Y477&gt;=2,"C",IF('Data Source'!Y477&gt;=1,"D","F")))))))</f>
        <v/>
      </c>
      <c r="H477" s="3">
        <f>IF('Data Source'!B477="","",IF('Data Source'!Z477&gt;=5,"A+",IF('Data Source'!Z477&gt;=4,"A",IF('Data Source'!Z477&gt;=3.5,"A-",IF('Data Source'!Z477&gt;=3,"B",IF('Data Source'!Z477&gt;=2,"C",IF('Data Source'!Z477&gt;=1,"D","F")))))))</f>
        <v/>
      </c>
      <c r="I477" s="3">
        <f>IF('Data Source'!B477="","",IF('Data Source'!AA477&gt;=5,"A+",IF('Data Source'!AA477&gt;=4,"A",IF('Data Source'!AA477&gt;=3.5,"A-",IF('Data Source'!AA477&gt;=3,"B",IF('Data Source'!AA477&gt;=2,"C",IF('Data Source'!AA477&gt;=1,"D","F")))))))</f>
        <v/>
      </c>
      <c r="J477" s="3">
        <f>IF('Data Source'!B477="","",IF('Data Source'!AB477&gt;=5,"A+",IF('Data Source'!AB477&gt;=4,"A",IF('Data Source'!AB477&gt;=3.5,"A-",IF('Data Source'!AB477&gt;=3,"B",IF('Data Source'!AB477&gt;=2,"C",IF('Data Source'!AB477&gt;=1,"D","F")))))))</f>
        <v/>
      </c>
      <c r="K477" s="3">
        <f>IF('Data Source'!B477="","",IF('Data Source'!AC477&gt;=5,"A+",IF('Data Source'!AC477&gt;=4,"A",IF('Data Source'!AC477&gt;=3.5,"A-",IF('Data Source'!AC477&gt;=3,"B",IF('Data Source'!AC477&gt;=2,"C",IF('Data Source'!AC477&gt;=1,"D","F")))))))</f>
        <v/>
      </c>
      <c r="L477" s="3">
        <f>IF('Data Source'!B477="","",IF('Data Source'!AD477&gt;=5,"A+",IF('Data Source'!AD477&gt;=4,"A",IF('Data Source'!AD477&gt;=3.5,"A-",IF('Data Source'!AD477&gt;=3,"B",IF('Data Source'!AD477&gt;=2,"C",IF('Data Source'!AD477&gt;=1,"D","F")))))))</f>
        <v/>
      </c>
      <c r="M477" s="3">
        <f>IF('Data Source'!B477="","",IF('Data Source'!AE477&gt;=5,"A+",IF('Data Source'!AE477&gt;=4,"A",IF('Data Source'!AE477&gt;=3.5,"A-",IF('Data Source'!AE477&gt;=3,"B",IF('Data Source'!AE477&gt;=2,"C",IF('Data Source'!AE477&gt;=1,"D","F")))))))</f>
        <v/>
      </c>
      <c r="N477" s="3">
        <f>IF('Data Source'!B477="","",IF('Data Source'!AF477&gt;=5,"A+",IF('Data Source'!AF477&gt;=4,"A",IF('Data Source'!AF477&gt;=3.5,"A-",IF('Data Source'!AF477&gt;=3,"B",IF('Data Source'!AF477&gt;=2,"C",IF('Data Source'!AF477&gt;=1,"D","F")))))))</f>
        <v/>
      </c>
      <c r="O477" s="3">
        <f>IF('Data Source'!B477="","",IF('Data Source'!AG477&gt;=5,"A+",IF('Data Source'!AG477&gt;=4,"A",IF('Data Source'!AG477&gt;=3.5,"A-",IF('Data Source'!AG477&gt;=3,"B",IF('Data Source'!AG477&gt;=2,"C",IF('Data Source'!AG477&gt;=1,"D","F")))))))</f>
        <v/>
      </c>
      <c r="P477" s="5">
        <f>IF('Data Source'!B477="","",'Data Source'!R477)</f>
        <v/>
      </c>
      <c r="Q477" s="3">
        <f>IF('Data Source'!B477="","",'Data Source'!S477)</f>
        <v/>
      </c>
    </row>
    <row r="478">
      <c r="A478" s="3">
        <f>IF('Data Source'!B478="","",'Data Source'!A478)</f>
        <v/>
      </c>
      <c r="B478">
        <f>IF('Data Source'!B478="","",'Data Source'!B478)</f>
        <v/>
      </c>
      <c r="C478" s="3">
        <f>IF('Data Source'!B478="","",IF('Data Source'!U478&gt;=5,"A+",IF('Data Source'!U478&gt;=4,"A",IF('Data Source'!U478&gt;=3.5,"A-",IF('Data Source'!U478&gt;=3,"B",IF('Data Source'!U478&gt;=2,"C",IF('Data Source'!U478&gt;=1,"D","F")))))))</f>
        <v/>
      </c>
      <c r="D478" s="3">
        <f>IF('Data Source'!B478="","",IF('Data Source'!V478&gt;=5,"A+",IF('Data Source'!V478&gt;=4,"A",IF('Data Source'!V478&gt;=3.5,"A-",IF('Data Source'!V478&gt;=3,"B",IF('Data Source'!V478&gt;=2,"C",IF('Data Source'!V478&gt;=1,"D","F")))))))</f>
        <v/>
      </c>
      <c r="E478" s="3">
        <f>IF('Data Source'!B478="","",IF('Data Source'!W478&gt;=5,"A+",IF('Data Source'!W478&gt;=4,"A",IF('Data Source'!W478&gt;=3.5,"A-",IF('Data Source'!W478&gt;=3,"B",IF('Data Source'!W478&gt;=2,"C",IF('Data Source'!W478&gt;=1,"D","F")))))))</f>
        <v/>
      </c>
      <c r="F478" s="3">
        <f>IF('Data Source'!B478="","",IF('Data Source'!X478&gt;=5,"A+",IF('Data Source'!X478&gt;=4,"A",IF('Data Source'!X478&gt;=3.5,"A-",IF('Data Source'!X478&gt;=3,"B",IF('Data Source'!X478&gt;=2,"C",IF('Data Source'!X478&gt;=1,"D","F")))))))</f>
        <v/>
      </c>
      <c r="G478" s="3">
        <f>IF('Data Source'!B478="","",IF('Data Source'!Y478&gt;=5,"A+",IF('Data Source'!Y478&gt;=4,"A",IF('Data Source'!Y478&gt;=3.5,"A-",IF('Data Source'!Y478&gt;=3,"B",IF('Data Source'!Y478&gt;=2,"C",IF('Data Source'!Y478&gt;=1,"D","F")))))))</f>
        <v/>
      </c>
      <c r="H478" s="3">
        <f>IF('Data Source'!B478="","",IF('Data Source'!Z478&gt;=5,"A+",IF('Data Source'!Z478&gt;=4,"A",IF('Data Source'!Z478&gt;=3.5,"A-",IF('Data Source'!Z478&gt;=3,"B",IF('Data Source'!Z478&gt;=2,"C",IF('Data Source'!Z478&gt;=1,"D","F")))))))</f>
        <v/>
      </c>
      <c r="I478" s="3">
        <f>IF('Data Source'!B478="","",IF('Data Source'!AA478&gt;=5,"A+",IF('Data Source'!AA478&gt;=4,"A",IF('Data Source'!AA478&gt;=3.5,"A-",IF('Data Source'!AA478&gt;=3,"B",IF('Data Source'!AA478&gt;=2,"C",IF('Data Source'!AA478&gt;=1,"D","F")))))))</f>
        <v/>
      </c>
      <c r="J478" s="3">
        <f>IF('Data Source'!B478="","",IF('Data Source'!AB478&gt;=5,"A+",IF('Data Source'!AB478&gt;=4,"A",IF('Data Source'!AB478&gt;=3.5,"A-",IF('Data Source'!AB478&gt;=3,"B",IF('Data Source'!AB478&gt;=2,"C",IF('Data Source'!AB478&gt;=1,"D","F")))))))</f>
        <v/>
      </c>
      <c r="K478" s="3">
        <f>IF('Data Source'!B478="","",IF('Data Source'!AC478&gt;=5,"A+",IF('Data Source'!AC478&gt;=4,"A",IF('Data Source'!AC478&gt;=3.5,"A-",IF('Data Source'!AC478&gt;=3,"B",IF('Data Source'!AC478&gt;=2,"C",IF('Data Source'!AC478&gt;=1,"D","F")))))))</f>
        <v/>
      </c>
      <c r="L478" s="3">
        <f>IF('Data Source'!B478="","",IF('Data Source'!AD478&gt;=5,"A+",IF('Data Source'!AD478&gt;=4,"A",IF('Data Source'!AD478&gt;=3.5,"A-",IF('Data Source'!AD478&gt;=3,"B",IF('Data Source'!AD478&gt;=2,"C",IF('Data Source'!AD478&gt;=1,"D","F")))))))</f>
        <v/>
      </c>
      <c r="M478" s="3">
        <f>IF('Data Source'!B478="","",IF('Data Source'!AE478&gt;=5,"A+",IF('Data Source'!AE478&gt;=4,"A",IF('Data Source'!AE478&gt;=3.5,"A-",IF('Data Source'!AE478&gt;=3,"B",IF('Data Source'!AE478&gt;=2,"C",IF('Data Source'!AE478&gt;=1,"D","F")))))))</f>
        <v/>
      </c>
      <c r="N478" s="3">
        <f>IF('Data Source'!B478="","",IF('Data Source'!AF478&gt;=5,"A+",IF('Data Source'!AF478&gt;=4,"A",IF('Data Source'!AF478&gt;=3.5,"A-",IF('Data Source'!AF478&gt;=3,"B",IF('Data Source'!AF478&gt;=2,"C",IF('Data Source'!AF478&gt;=1,"D","F")))))))</f>
        <v/>
      </c>
      <c r="O478" s="3">
        <f>IF('Data Source'!B478="","",IF('Data Source'!AG478&gt;=5,"A+",IF('Data Source'!AG478&gt;=4,"A",IF('Data Source'!AG478&gt;=3.5,"A-",IF('Data Source'!AG478&gt;=3,"B",IF('Data Source'!AG478&gt;=2,"C",IF('Data Source'!AG478&gt;=1,"D","F")))))))</f>
        <v/>
      </c>
      <c r="P478" s="5">
        <f>IF('Data Source'!B478="","",'Data Source'!R478)</f>
        <v/>
      </c>
      <c r="Q478" s="3">
        <f>IF('Data Source'!B478="","",'Data Source'!S478)</f>
        <v/>
      </c>
    </row>
    <row r="479">
      <c r="A479" s="3">
        <f>IF('Data Source'!B479="","",'Data Source'!A479)</f>
        <v/>
      </c>
      <c r="B479">
        <f>IF('Data Source'!B479="","",'Data Source'!B479)</f>
        <v/>
      </c>
      <c r="C479" s="3">
        <f>IF('Data Source'!B479="","",IF('Data Source'!U479&gt;=5,"A+",IF('Data Source'!U479&gt;=4,"A",IF('Data Source'!U479&gt;=3.5,"A-",IF('Data Source'!U479&gt;=3,"B",IF('Data Source'!U479&gt;=2,"C",IF('Data Source'!U479&gt;=1,"D","F")))))))</f>
        <v/>
      </c>
      <c r="D479" s="3">
        <f>IF('Data Source'!B479="","",IF('Data Source'!V479&gt;=5,"A+",IF('Data Source'!V479&gt;=4,"A",IF('Data Source'!V479&gt;=3.5,"A-",IF('Data Source'!V479&gt;=3,"B",IF('Data Source'!V479&gt;=2,"C",IF('Data Source'!V479&gt;=1,"D","F")))))))</f>
        <v/>
      </c>
      <c r="E479" s="3">
        <f>IF('Data Source'!B479="","",IF('Data Source'!W479&gt;=5,"A+",IF('Data Source'!W479&gt;=4,"A",IF('Data Source'!W479&gt;=3.5,"A-",IF('Data Source'!W479&gt;=3,"B",IF('Data Source'!W479&gt;=2,"C",IF('Data Source'!W479&gt;=1,"D","F")))))))</f>
        <v/>
      </c>
      <c r="F479" s="3">
        <f>IF('Data Source'!B479="","",IF('Data Source'!X479&gt;=5,"A+",IF('Data Source'!X479&gt;=4,"A",IF('Data Source'!X479&gt;=3.5,"A-",IF('Data Source'!X479&gt;=3,"B",IF('Data Source'!X479&gt;=2,"C",IF('Data Source'!X479&gt;=1,"D","F")))))))</f>
        <v/>
      </c>
      <c r="G479" s="3">
        <f>IF('Data Source'!B479="","",IF('Data Source'!Y479&gt;=5,"A+",IF('Data Source'!Y479&gt;=4,"A",IF('Data Source'!Y479&gt;=3.5,"A-",IF('Data Source'!Y479&gt;=3,"B",IF('Data Source'!Y479&gt;=2,"C",IF('Data Source'!Y479&gt;=1,"D","F")))))))</f>
        <v/>
      </c>
      <c r="H479" s="3">
        <f>IF('Data Source'!B479="","",IF('Data Source'!Z479&gt;=5,"A+",IF('Data Source'!Z479&gt;=4,"A",IF('Data Source'!Z479&gt;=3.5,"A-",IF('Data Source'!Z479&gt;=3,"B",IF('Data Source'!Z479&gt;=2,"C",IF('Data Source'!Z479&gt;=1,"D","F")))))))</f>
        <v/>
      </c>
      <c r="I479" s="3">
        <f>IF('Data Source'!B479="","",IF('Data Source'!AA479&gt;=5,"A+",IF('Data Source'!AA479&gt;=4,"A",IF('Data Source'!AA479&gt;=3.5,"A-",IF('Data Source'!AA479&gt;=3,"B",IF('Data Source'!AA479&gt;=2,"C",IF('Data Source'!AA479&gt;=1,"D","F")))))))</f>
        <v/>
      </c>
      <c r="J479" s="3">
        <f>IF('Data Source'!B479="","",IF('Data Source'!AB479&gt;=5,"A+",IF('Data Source'!AB479&gt;=4,"A",IF('Data Source'!AB479&gt;=3.5,"A-",IF('Data Source'!AB479&gt;=3,"B",IF('Data Source'!AB479&gt;=2,"C",IF('Data Source'!AB479&gt;=1,"D","F")))))))</f>
        <v/>
      </c>
      <c r="K479" s="3">
        <f>IF('Data Source'!B479="","",IF('Data Source'!AC479&gt;=5,"A+",IF('Data Source'!AC479&gt;=4,"A",IF('Data Source'!AC479&gt;=3.5,"A-",IF('Data Source'!AC479&gt;=3,"B",IF('Data Source'!AC479&gt;=2,"C",IF('Data Source'!AC479&gt;=1,"D","F")))))))</f>
        <v/>
      </c>
      <c r="L479" s="3">
        <f>IF('Data Source'!B479="","",IF('Data Source'!AD479&gt;=5,"A+",IF('Data Source'!AD479&gt;=4,"A",IF('Data Source'!AD479&gt;=3.5,"A-",IF('Data Source'!AD479&gt;=3,"B",IF('Data Source'!AD479&gt;=2,"C",IF('Data Source'!AD479&gt;=1,"D","F")))))))</f>
        <v/>
      </c>
      <c r="M479" s="3">
        <f>IF('Data Source'!B479="","",IF('Data Source'!AE479&gt;=5,"A+",IF('Data Source'!AE479&gt;=4,"A",IF('Data Source'!AE479&gt;=3.5,"A-",IF('Data Source'!AE479&gt;=3,"B",IF('Data Source'!AE479&gt;=2,"C",IF('Data Source'!AE479&gt;=1,"D","F")))))))</f>
        <v/>
      </c>
      <c r="N479" s="3">
        <f>IF('Data Source'!B479="","",IF('Data Source'!AF479&gt;=5,"A+",IF('Data Source'!AF479&gt;=4,"A",IF('Data Source'!AF479&gt;=3.5,"A-",IF('Data Source'!AF479&gt;=3,"B",IF('Data Source'!AF479&gt;=2,"C",IF('Data Source'!AF479&gt;=1,"D","F")))))))</f>
        <v/>
      </c>
      <c r="O479" s="3">
        <f>IF('Data Source'!B479="","",IF('Data Source'!AG479&gt;=5,"A+",IF('Data Source'!AG479&gt;=4,"A",IF('Data Source'!AG479&gt;=3.5,"A-",IF('Data Source'!AG479&gt;=3,"B",IF('Data Source'!AG479&gt;=2,"C",IF('Data Source'!AG479&gt;=1,"D","F")))))))</f>
        <v/>
      </c>
      <c r="P479" s="5">
        <f>IF('Data Source'!B479="","",'Data Source'!R479)</f>
        <v/>
      </c>
      <c r="Q479" s="3">
        <f>IF('Data Source'!B479="","",'Data Source'!S479)</f>
        <v/>
      </c>
    </row>
    <row r="480">
      <c r="A480" s="3">
        <f>IF('Data Source'!B480="","",'Data Source'!A480)</f>
        <v/>
      </c>
      <c r="B480">
        <f>IF('Data Source'!B480="","",'Data Source'!B480)</f>
        <v/>
      </c>
      <c r="C480" s="3">
        <f>IF('Data Source'!B480="","",IF('Data Source'!U480&gt;=5,"A+",IF('Data Source'!U480&gt;=4,"A",IF('Data Source'!U480&gt;=3.5,"A-",IF('Data Source'!U480&gt;=3,"B",IF('Data Source'!U480&gt;=2,"C",IF('Data Source'!U480&gt;=1,"D","F")))))))</f>
        <v/>
      </c>
      <c r="D480" s="3">
        <f>IF('Data Source'!B480="","",IF('Data Source'!V480&gt;=5,"A+",IF('Data Source'!V480&gt;=4,"A",IF('Data Source'!V480&gt;=3.5,"A-",IF('Data Source'!V480&gt;=3,"B",IF('Data Source'!V480&gt;=2,"C",IF('Data Source'!V480&gt;=1,"D","F")))))))</f>
        <v/>
      </c>
      <c r="E480" s="3">
        <f>IF('Data Source'!B480="","",IF('Data Source'!W480&gt;=5,"A+",IF('Data Source'!W480&gt;=4,"A",IF('Data Source'!W480&gt;=3.5,"A-",IF('Data Source'!W480&gt;=3,"B",IF('Data Source'!W480&gt;=2,"C",IF('Data Source'!W480&gt;=1,"D","F")))))))</f>
        <v/>
      </c>
      <c r="F480" s="3">
        <f>IF('Data Source'!B480="","",IF('Data Source'!X480&gt;=5,"A+",IF('Data Source'!X480&gt;=4,"A",IF('Data Source'!X480&gt;=3.5,"A-",IF('Data Source'!X480&gt;=3,"B",IF('Data Source'!X480&gt;=2,"C",IF('Data Source'!X480&gt;=1,"D","F")))))))</f>
        <v/>
      </c>
      <c r="G480" s="3">
        <f>IF('Data Source'!B480="","",IF('Data Source'!Y480&gt;=5,"A+",IF('Data Source'!Y480&gt;=4,"A",IF('Data Source'!Y480&gt;=3.5,"A-",IF('Data Source'!Y480&gt;=3,"B",IF('Data Source'!Y480&gt;=2,"C",IF('Data Source'!Y480&gt;=1,"D","F")))))))</f>
        <v/>
      </c>
      <c r="H480" s="3">
        <f>IF('Data Source'!B480="","",IF('Data Source'!Z480&gt;=5,"A+",IF('Data Source'!Z480&gt;=4,"A",IF('Data Source'!Z480&gt;=3.5,"A-",IF('Data Source'!Z480&gt;=3,"B",IF('Data Source'!Z480&gt;=2,"C",IF('Data Source'!Z480&gt;=1,"D","F")))))))</f>
        <v/>
      </c>
      <c r="I480" s="3">
        <f>IF('Data Source'!B480="","",IF('Data Source'!AA480&gt;=5,"A+",IF('Data Source'!AA480&gt;=4,"A",IF('Data Source'!AA480&gt;=3.5,"A-",IF('Data Source'!AA480&gt;=3,"B",IF('Data Source'!AA480&gt;=2,"C",IF('Data Source'!AA480&gt;=1,"D","F")))))))</f>
        <v/>
      </c>
      <c r="J480" s="3">
        <f>IF('Data Source'!B480="","",IF('Data Source'!AB480&gt;=5,"A+",IF('Data Source'!AB480&gt;=4,"A",IF('Data Source'!AB480&gt;=3.5,"A-",IF('Data Source'!AB480&gt;=3,"B",IF('Data Source'!AB480&gt;=2,"C",IF('Data Source'!AB480&gt;=1,"D","F")))))))</f>
        <v/>
      </c>
      <c r="K480" s="3">
        <f>IF('Data Source'!B480="","",IF('Data Source'!AC480&gt;=5,"A+",IF('Data Source'!AC480&gt;=4,"A",IF('Data Source'!AC480&gt;=3.5,"A-",IF('Data Source'!AC480&gt;=3,"B",IF('Data Source'!AC480&gt;=2,"C",IF('Data Source'!AC480&gt;=1,"D","F")))))))</f>
        <v/>
      </c>
      <c r="L480" s="3">
        <f>IF('Data Source'!B480="","",IF('Data Source'!AD480&gt;=5,"A+",IF('Data Source'!AD480&gt;=4,"A",IF('Data Source'!AD480&gt;=3.5,"A-",IF('Data Source'!AD480&gt;=3,"B",IF('Data Source'!AD480&gt;=2,"C",IF('Data Source'!AD480&gt;=1,"D","F")))))))</f>
        <v/>
      </c>
      <c r="M480" s="3">
        <f>IF('Data Source'!B480="","",IF('Data Source'!AE480&gt;=5,"A+",IF('Data Source'!AE480&gt;=4,"A",IF('Data Source'!AE480&gt;=3.5,"A-",IF('Data Source'!AE480&gt;=3,"B",IF('Data Source'!AE480&gt;=2,"C",IF('Data Source'!AE480&gt;=1,"D","F")))))))</f>
        <v/>
      </c>
      <c r="N480" s="3">
        <f>IF('Data Source'!B480="","",IF('Data Source'!AF480&gt;=5,"A+",IF('Data Source'!AF480&gt;=4,"A",IF('Data Source'!AF480&gt;=3.5,"A-",IF('Data Source'!AF480&gt;=3,"B",IF('Data Source'!AF480&gt;=2,"C",IF('Data Source'!AF480&gt;=1,"D","F")))))))</f>
        <v/>
      </c>
      <c r="O480" s="3">
        <f>IF('Data Source'!B480="","",IF('Data Source'!AG480&gt;=5,"A+",IF('Data Source'!AG480&gt;=4,"A",IF('Data Source'!AG480&gt;=3.5,"A-",IF('Data Source'!AG480&gt;=3,"B",IF('Data Source'!AG480&gt;=2,"C",IF('Data Source'!AG480&gt;=1,"D","F")))))))</f>
        <v/>
      </c>
      <c r="P480" s="5">
        <f>IF('Data Source'!B480="","",'Data Source'!R480)</f>
        <v/>
      </c>
      <c r="Q480" s="3">
        <f>IF('Data Source'!B480="","",'Data Source'!S480)</f>
        <v/>
      </c>
    </row>
    <row r="481">
      <c r="A481" s="3">
        <f>IF('Data Source'!B481="","",'Data Source'!A481)</f>
        <v/>
      </c>
      <c r="B481">
        <f>IF('Data Source'!B481="","",'Data Source'!B481)</f>
        <v/>
      </c>
      <c r="C481" s="3">
        <f>IF('Data Source'!B481="","",IF('Data Source'!U481&gt;=5,"A+",IF('Data Source'!U481&gt;=4,"A",IF('Data Source'!U481&gt;=3.5,"A-",IF('Data Source'!U481&gt;=3,"B",IF('Data Source'!U481&gt;=2,"C",IF('Data Source'!U481&gt;=1,"D","F")))))))</f>
        <v/>
      </c>
      <c r="D481" s="3">
        <f>IF('Data Source'!B481="","",IF('Data Source'!V481&gt;=5,"A+",IF('Data Source'!V481&gt;=4,"A",IF('Data Source'!V481&gt;=3.5,"A-",IF('Data Source'!V481&gt;=3,"B",IF('Data Source'!V481&gt;=2,"C",IF('Data Source'!V481&gt;=1,"D","F")))))))</f>
        <v/>
      </c>
      <c r="E481" s="3">
        <f>IF('Data Source'!B481="","",IF('Data Source'!W481&gt;=5,"A+",IF('Data Source'!W481&gt;=4,"A",IF('Data Source'!W481&gt;=3.5,"A-",IF('Data Source'!W481&gt;=3,"B",IF('Data Source'!W481&gt;=2,"C",IF('Data Source'!W481&gt;=1,"D","F")))))))</f>
        <v/>
      </c>
      <c r="F481" s="3">
        <f>IF('Data Source'!B481="","",IF('Data Source'!X481&gt;=5,"A+",IF('Data Source'!X481&gt;=4,"A",IF('Data Source'!X481&gt;=3.5,"A-",IF('Data Source'!X481&gt;=3,"B",IF('Data Source'!X481&gt;=2,"C",IF('Data Source'!X481&gt;=1,"D","F")))))))</f>
        <v/>
      </c>
      <c r="G481" s="3">
        <f>IF('Data Source'!B481="","",IF('Data Source'!Y481&gt;=5,"A+",IF('Data Source'!Y481&gt;=4,"A",IF('Data Source'!Y481&gt;=3.5,"A-",IF('Data Source'!Y481&gt;=3,"B",IF('Data Source'!Y481&gt;=2,"C",IF('Data Source'!Y481&gt;=1,"D","F")))))))</f>
        <v/>
      </c>
      <c r="H481" s="3">
        <f>IF('Data Source'!B481="","",IF('Data Source'!Z481&gt;=5,"A+",IF('Data Source'!Z481&gt;=4,"A",IF('Data Source'!Z481&gt;=3.5,"A-",IF('Data Source'!Z481&gt;=3,"B",IF('Data Source'!Z481&gt;=2,"C",IF('Data Source'!Z481&gt;=1,"D","F")))))))</f>
        <v/>
      </c>
      <c r="I481" s="3">
        <f>IF('Data Source'!B481="","",IF('Data Source'!AA481&gt;=5,"A+",IF('Data Source'!AA481&gt;=4,"A",IF('Data Source'!AA481&gt;=3.5,"A-",IF('Data Source'!AA481&gt;=3,"B",IF('Data Source'!AA481&gt;=2,"C",IF('Data Source'!AA481&gt;=1,"D","F")))))))</f>
        <v/>
      </c>
      <c r="J481" s="3">
        <f>IF('Data Source'!B481="","",IF('Data Source'!AB481&gt;=5,"A+",IF('Data Source'!AB481&gt;=4,"A",IF('Data Source'!AB481&gt;=3.5,"A-",IF('Data Source'!AB481&gt;=3,"B",IF('Data Source'!AB481&gt;=2,"C",IF('Data Source'!AB481&gt;=1,"D","F")))))))</f>
        <v/>
      </c>
      <c r="K481" s="3">
        <f>IF('Data Source'!B481="","",IF('Data Source'!AC481&gt;=5,"A+",IF('Data Source'!AC481&gt;=4,"A",IF('Data Source'!AC481&gt;=3.5,"A-",IF('Data Source'!AC481&gt;=3,"B",IF('Data Source'!AC481&gt;=2,"C",IF('Data Source'!AC481&gt;=1,"D","F")))))))</f>
        <v/>
      </c>
      <c r="L481" s="3">
        <f>IF('Data Source'!B481="","",IF('Data Source'!AD481&gt;=5,"A+",IF('Data Source'!AD481&gt;=4,"A",IF('Data Source'!AD481&gt;=3.5,"A-",IF('Data Source'!AD481&gt;=3,"B",IF('Data Source'!AD481&gt;=2,"C",IF('Data Source'!AD481&gt;=1,"D","F")))))))</f>
        <v/>
      </c>
      <c r="M481" s="3">
        <f>IF('Data Source'!B481="","",IF('Data Source'!AE481&gt;=5,"A+",IF('Data Source'!AE481&gt;=4,"A",IF('Data Source'!AE481&gt;=3.5,"A-",IF('Data Source'!AE481&gt;=3,"B",IF('Data Source'!AE481&gt;=2,"C",IF('Data Source'!AE481&gt;=1,"D","F")))))))</f>
        <v/>
      </c>
      <c r="N481" s="3">
        <f>IF('Data Source'!B481="","",IF('Data Source'!AF481&gt;=5,"A+",IF('Data Source'!AF481&gt;=4,"A",IF('Data Source'!AF481&gt;=3.5,"A-",IF('Data Source'!AF481&gt;=3,"B",IF('Data Source'!AF481&gt;=2,"C",IF('Data Source'!AF481&gt;=1,"D","F")))))))</f>
        <v/>
      </c>
      <c r="O481" s="3">
        <f>IF('Data Source'!B481="","",IF('Data Source'!AG481&gt;=5,"A+",IF('Data Source'!AG481&gt;=4,"A",IF('Data Source'!AG481&gt;=3.5,"A-",IF('Data Source'!AG481&gt;=3,"B",IF('Data Source'!AG481&gt;=2,"C",IF('Data Source'!AG481&gt;=1,"D","F")))))))</f>
        <v/>
      </c>
      <c r="P481" s="5">
        <f>IF('Data Source'!B481="","",'Data Source'!R481)</f>
        <v/>
      </c>
      <c r="Q481" s="3">
        <f>IF('Data Source'!B481="","",'Data Source'!S481)</f>
        <v/>
      </c>
    </row>
    <row r="482">
      <c r="A482" s="3">
        <f>IF('Data Source'!B482="","",'Data Source'!A482)</f>
        <v/>
      </c>
      <c r="B482">
        <f>IF('Data Source'!B482="","",'Data Source'!B482)</f>
        <v/>
      </c>
      <c r="C482" s="3">
        <f>IF('Data Source'!B482="","",IF('Data Source'!U482&gt;=5,"A+",IF('Data Source'!U482&gt;=4,"A",IF('Data Source'!U482&gt;=3.5,"A-",IF('Data Source'!U482&gt;=3,"B",IF('Data Source'!U482&gt;=2,"C",IF('Data Source'!U482&gt;=1,"D","F")))))))</f>
        <v/>
      </c>
      <c r="D482" s="3">
        <f>IF('Data Source'!B482="","",IF('Data Source'!V482&gt;=5,"A+",IF('Data Source'!V482&gt;=4,"A",IF('Data Source'!V482&gt;=3.5,"A-",IF('Data Source'!V482&gt;=3,"B",IF('Data Source'!V482&gt;=2,"C",IF('Data Source'!V482&gt;=1,"D","F")))))))</f>
        <v/>
      </c>
      <c r="E482" s="3">
        <f>IF('Data Source'!B482="","",IF('Data Source'!W482&gt;=5,"A+",IF('Data Source'!W482&gt;=4,"A",IF('Data Source'!W482&gt;=3.5,"A-",IF('Data Source'!W482&gt;=3,"B",IF('Data Source'!W482&gt;=2,"C",IF('Data Source'!W482&gt;=1,"D","F")))))))</f>
        <v/>
      </c>
      <c r="F482" s="3">
        <f>IF('Data Source'!B482="","",IF('Data Source'!X482&gt;=5,"A+",IF('Data Source'!X482&gt;=4,"A",IF('Data Source'!X482&gt;=3.5,"A-",IF('Data Source'!X482&gt;=3,"B",IF('Data Source'!X482&gt;=2,"C",IF('Data Source'!X482&gt;=1,"D","F")))))))</f>
        <v/>
      </c>
      <c r="G482" s="3">
        <f>IF('Data Source'!B482="","",IF('Data Source'!Y482&gt;=5,"A+",IF('Data Source'!Y482&gt;=4,"A",IF('Data Source'!Y482&gt;=3.5,"A-",IF('Data Source'!Y482&gt;=3,"B",IF('Data Source'!Y482&gt;=2,"C",IF('Data Source'!Y482&gt;=1,"D","F")))))))</f>
        <v/>
      </c>
      <c r="H482" s="3">
        <f>IF('Data Source'!B482="","",IF('Data Source'!Z482&gt;=5,"A+",IF('Data Source'!Z482&gt;=4,"A",IF('Data Source'!Z482&gt;=3.5,"A-",IF('Data Source'!Z482&gt;=3,"B",IF('Data Source'!Z482&gt;=2,"C",IF('Data Source'!Z482&gt;=1,"D","F")))))))</f>
        <v/>
      </c>
      <c r="I482" s="3">
        <f>IF('Data Source'!B482="","",IF('Data Source'!AA482&gt;=5,"A+",IF('Data Source'!AA482&gt;=4,"A",IF('Data Source'!AA482&gt;=3.5,"A-",IF('Data Source'!AA482&gt;=3,"B",IF('Data Source'!AA482&gt;=2,"C",IF('Data Source'!AA482&gt;=1,"D","F")))))))</f>
        <v/>
      </c>
      <c r="J482" s="3">
        <f>IF('Data Source'!B482="","",IF('Data Source'!AB482&gt;=5,"A+",IF('Data Source'!AB482&gt;=4,"A",IF('Data Source'!AB482&gt;=3.5,"A-",IF('Data Source'!AB482&gt;=3,"B",IF('Data Source'!AB482&gt;=2,"C",IF('Data Source'!AB482&gt;=1,"D","F")))))))</f>
        <v/>
      </c>
      <c r="K482" s="3">
        <f>IF('Data Source'!B482="","",IF('Data Source'!AC482&gt;=5,"A+",IF('Data Source'!AC482&gt;=4,"A",IF('Data Source'!AC482&gt;=3.5,"A-",IF('Data Source'!AC482&gt;=3,"B",IF('Data Source'!AC482&gt;=2,"C",IF('Data Source'!AC482&gt;=1,"D","F")))))))</f>
        <v/>
      </c>
      <c r="L482" s="3">
        <f>IF('Data Source'!B482="","",IF('Data Source'!AD482&gt;=5,"A+",IF('Data Source'!AD482&gt;=4,"A",IF('Data Source'!AD482&gt;=3.5,"A-",IF('Data Source'!AD482&gt;=3,"B",IF('Data Source'!AD482&gt;=2,"C",IF('Data Source'!AD482&gt;=1,"D","F")))))))</f>
        <v/>
      </c>
      <c r="M482" s="3">
        <f>IF('Data Source'!B482="","",IF('Data Source'!AE482&gt;=5,"A+",IF('Data Source'!AE482&gt;=4,"A",IF('Data Source'!AE482&gt;=3.5,"A-",IF('Data Source'!AE482&gt;=3,"B",IF('Data Source'!AE482&gt;=2,"C",IF('Data Source'!AE482&gt;=1,"D","F")))))))</f>
        <v/>
      </c>
      <c r="N482" s="3">
        <f>IF('Data Source'!B482="","",IF('Data Source'!AF482&gt;=5,"A+",IF('Data Source'!AF482&gt;=4,"A",IF('Data Source'!AF482&gt;=3.5,"A-",IF('Data Source'!AF482&gt;=3,"B",IF('Data Source'!AF482&gt;=2,"C",IF('Data Source'!AF482&gt;=1,"D","F")))))))</f>
        <v/>
      </c>
      <c r="O482" s="3">
        <f>IF('Data Source'!B482="","",IF('Data Source'!AG482&gt;=5,"A+",IF('Data Source'!AG482&gt;=4,"A",IF('Data Source'!AG482&gt;=3.5,"A-",IF('Data Source'!AG482&gt;=3,"B",IF('Data Source'!AG482&gt;=2,"C",IF('Data Source'!AG482&gt;=1,"D","F")))))))</f>
        <v/>
      </c>
      <c r="P482" s="5">
        <f>IF('Data Source'!B482="","",'Data Source'!R482)</f>
        <v/>
      </c>
      <c r="Q482" s="3">
        <f>IF('Data Source'!B482="","",'Data Source'!S482)</f>
        <v/>
      </c>
    </row>
    <row r="483">
      <c r="A483" s="3">
        <f>IF('Data Source'!B483="","",'Data Source'!A483)</f>
        <v/>
      </c>
      <c r="B483">
        <f>IF('Data Source'!B483="","",'Data Source'!B483)</f>
        <v/>
      </c>
      <c r="C483" s="3">
        <f>IF('Data Source'!B483="","",IF('Data Source'!U483&gt;=5,"A+",IF('Data Source'!U483&gt;=4,"A",IF('Data Source'!U483&gt;=3.5,"A-",IF('Data Source'!U483&gt;=3,"B",IF('Data Source'!U483&gt;=2,"C",IF('Data Source'!U483&gt;=1,"D","F")))))))</f>
        <v/>
      </c>
      <c r="D483" s="3">
        <f>IF('Data Source'!B483="","",IF('Data Source'!V483&gt;=5,"A+",IF('Data Source'!V483&gt;=4,"A",IF('Data Source'!V483&gt;=3.5,"A-",IF('Data Source'!V483&gt;=3,"B",IF('Data Source'!V483&gt;=2,"C",IF('Data Source'!V483&gt;=1,"D","F")))))))</f>
        <v/>
      </c>
      <c r="E483" s="3">
        <f>IF('Data Source'!B483="","",IF('Data Source'!W483&gt;=5,"A+",IF('Data Source'!W483&gt;=4,"A",IF('Data Source'!W483&gt;=3.5,"A-",IF('Data Source'!W483&gt;=3,"B",IF('Data Source'!W483&gt;=2,"C",IF('Data Source'!W483&gt;=1,"D","F")))))))</f>
        <v/>
      </c>
      <c r="F483" s="3">
        <f>IF('Data Source'!B483="","",IF('Data Source'!X483&gt;=5,"A+",IF('Data Source'!X483&gt;=4,"A",IF('Data Source'!X483&gt;=3.5,"A-",IF('Data Source'!X483&gt;=3,"B",IF('Data Source'!X483&gt;=2,"C",IF('Data Source'!X483&gt;=1,"D","F")))))))</f>
        <v/>
      </c>
      <c r="G483" s="3">
        <f>IF('Data Source'!B483="","",IF('Data Source'!Y483&gt;=5,"A+",IF('Data Source'!Y483&gt;=4,"A",IF('Data Source'!Y483&gt;=3.5,"A-",IF('Data Source'!Y483&gt;=3,"B",IF('Data Source'!Y483&gt;=2,"C",IF('Data Source'!Y483&gt;=1,"D","F")))))))</f>
        <v/>
      </c>
      <c r="H483" s="3">
        <f>IF('Data Source'!B483="","",IF('Data Source'!Z483&gt;=5,"A+",IF('Data Source'!Z483&gt;=4,"A",IF('Data Source'!Z483&gt;=3.5,"A-",IF('Data Source'!Z483&gt;=3,"B",IF('Data Source'!Z483&gt;=2,"C",IF('Data Source'!Z483&gt;=1,"D","F")))))))</f>
        <v/>
      </c>
      <c r="I483" s="3">
        <f>IF('Data Source'!B483="","",IF('Data Source'!AA483&gt;=5,"A+",IF('Data Source'!AA483&gt;=4,"A",IF('Data Source'!AA483&gt;=3.5,"A-",IF('Data Source'!AA483&gt;=3,"B",IF('Data Source'!AA483&gt;=2,"C",IF('Data Source'!AA483&gt;=1,"D","F")))))))</f>
        <v/>
      </c>
      <c r="J483" s="3">
        <f>IF('Data Source'!B483="","",IF('Data Source'!AB483&gt;=5,"A+",IF('Data Source'!AB483&gt;=4,"A",IF('Data Source'!AB483&gt;=3.5,"A-",IF('Data Source'!AB483&gt;=3,"B",IF('Data Source'!AB483&gt;=2,"C",IF('Data Source'!AB483&gt;=1,"D","F")))))))</f>
        <v/>
      </c>
      <c r="K483" s="3">
        <f>IF('Data Source'!B483="","",IF('Data Source'!AC483&gt;=5,"A+",IF('Data Source'!AC483&gt;=4,"A",IF('Data Source'!AC483&gt;=3.5,"A-",IF('Data Source'!AC483&gt;=3,"B",IF('Data Source'!AC483&gt;=2,"C",IF('Data Source'!AC483&gt;=1,"D","F")))))))</f>
        <v/>
      </c>
      <c r="L483" s="3">
        <f>IF('Data Source'!B483="","",IF('Data Source'!AD483&gt;=5,"A+",IF('Data Source'!AD483&gt;=4,"A",IF('Data Source'!AD483&gt;=3.5,"A-",IF('Data Source'!AD483&gt;=3,"B",IF('Data Source'!AD483&gt;=2,"C",IF('Data Source'!AD483&gt;=1,"D","F")))))))</f>
        <v/>
      </c>
      <c r="M483" s="3">
        <f>IF('Data Source'!B483="","",IF('Data Source'!AE483&gt;=5,"A+",IF('Data Source'!AE483&gt;=4,"A",IF('Data Source'!AE483&gt;=3.5,"A-",IF('Data Source'!AE483&gt;=3,"B",IF('Data Source'!AE483&gt;=2,"C",IF('Data Source'!AE483&gt;=1,"D","F")))))))</f>
        <v/>
      </c>
      <c r="N483" s="3">
        <f>IF('Data Source'!B483="","",IF('Data Source'!AF483&gt;=5,"A+",IF('Data Source'!AF483&gt;=4,"A",IF('Data Source'!AF483&gt;=3.5,"A-",IF('Data Source'!AF483&gt;=3,"B",IF('Data Source'!AF483&gt;=2,"C",IF('Data Source'!AF483&gt;=1,"D","F")))))))</f>
        <v/>
      </c>
      <c r="O483" s="3">
        <f>IF('Data Source'!B483="","",IF('Data Source'!AG483&gt;=5,"A+",IF('Data Source'!AG483&gt;=4,"A",IF('Data Source'!AG483&gt;=3.5,"A-",IF('Data Source'!AG483&gt;=3,"B",IF('Data Source'!AG483&gt;=2,"C",IF('Data Source'!AG483&gt;=1,"D","F")))))))</f>
        <v/>
      </c>
      <c r="P483" s="5">
        <f>IF('Data Source'!B483="","",'Data Source'!R483)</f>
        <v/>
      </c>
      <c r="Q483" s="3">
        <f>IF('Data Source'!B483="","",'Data Source'!S483)</f>
        <v/>
      </c>
    </row>
    <row r="484">
      <c r="A484" s="3">
        <f>IF('Data Source'!B484="","",'Data Source'!A484)</f>
        <v/>
      </c>
      <c r="B484">
        <f>IF('Data Source'!B484="","",'Data Source'!B484)</f>
        <v/>
      </c>
      <c r="C484" s="3">
        <f>IF('Data Source'!B484="","",IF('Data Source'!U484&gt;=5,"A+",IF('Data Source'!U484&gt;=4,"A",IF('Data Source'!U484&gt;=3.5,"A-",IF('Data Source'!U484&gt;=3,"B",IF('Data Source'!U484&gt;=2,"C",IF('Data Source'!U484&gt;=1,"D","F")))))))</f>
        <v/>
      </c>
      <c r="D484" s="3">
        <f>IF('Data Source'!B484="","",IF('Data Source'!V484&gt;=5,"A+",IF('Data Source'!V484&gt;=4,"A",IF('Data Source'!V484&gt;=3.5,"A-",IF('Data Source'!V484&gt;=3,"B",IF('Data Source'!V484&gt;=2,"C",IF('Data Source'!V484&gt;=1,"D","F")))))))</f>
        <v/>
      </c>
      <c r="E484" s="3">
        <f>IF('Data Source'!B484="","",IF('Data Source'!W484&gt;=5,"A+",IF('Data Source'!W484&gt;=4,"A",IF('Data Source'!W484&gt;=3.5,"A-",IF('Data Source'!W484&gt;=3,"B",IF('Data Source'!W484&gt;=2,"C",IF('Data Source'!W484&gt;=1,"D","F")))))))</f>
        <v/>
      </c>
      <c r="F484" s="3">
        <f>IF('Data Source'!B484="","",IF('Data Source'!X484&gt;=5,"A+",IF('Data Source'!X484&gt;=4,"A",IF('Data Source'!X484&gt;=3.5,"A-",IF('Data Source'!X484&gt;=3,"B",IF('Data Source'!X484&gt;=2,"C",IF('Data Source'!X484&gt;=1,"D","F")))))))</f>
        <v/>
      </c>
      <c r="G484" s="3">
        <f>IF('Data Source'!B484="","",IF('Data Source'!Y484&gt;=5,"A+",IF('Data Source'!Y484&gt;=4,"A",IF('Data Source'!Y484&gt;=3.5,"A-",IF('Data Source'!Y484&gt;=3,"B",IF('Data Source'!Y484&gt;=2,"C",IF('Data Source'!Y484&gt;=1,"D","F")))))))</f>
        <v/>
      </c>
      <c r="H484" s="3">
        <f>IF('Data Source'!B484="","",IF('Data Source'!Z484&gt;=5,"A+",IF('Data Source'!Z484&gt;=4,"A",IF('Data Source'!Z484&gt;=3.5,"A-",IF('Data Source'!Z484&gt;=3,"B",IF('Data Source'!Z484&gt;=2,"C",IF('Data Source'!Z484&gt;=1,"D","F")))))))</f>
        <v/>
      </c>
      <c r="I484" s="3">
        <f>IF('Data Source'!B484="","",IF('Data Source'!AA484&gt;=5,"A+",IF('Data Source'!AA484&gt;=4,"A",IF('Data Source'!AA484&gt;=3.5,"A-",IF('Data Source'!AA484&gt;=3,"B",IF('Data Source'!AA484&gt;=2,"C",IF('Data Source'!AA484&gt;=1,"D","F")))))))</f>
        <v/>
      </c>
      <c r="J484" s="3">
        <f>IF('Data Source'!B484="","",IF('Data Source'!AB484&gt;=5,"A+",IF('Data Source'!AB484&gt;=4,"A",IF('Data Source'!AB484&gt;=3.5,"A-",IF('Data Source'!AB484&gt;=3,"B",IF('Data Source'!AB484&gt;=2,"C",IF('Data Source'!AB484&gt;=1,"D","F")))))))</f>
        <v/>
      </c>
      <c r="K484" s="3">
        <f>IF('Data Source'!B484="","",IF('Data Source'!AC484&gt;=5,"A+",IF('Data Source'!AC484&gt;=4,"A",IF('Data Source'!AC484&gt;=3.5,"A-",IF('Data Source'!AC484&gt;=3,"B",IF('Data Source'!AC484&gt;=2,"C",IF('Data Source'!AC484&gt;=1,"D","F")))))))</f>
        <v/>
      </c>
      <c r="L484" s="3">
        <f>IF('Data Source'!B484="","",IF('Data Source'!AD484&gt;=5,"A+",IF('Data Source'!AD484&gt;=4,"A",IF('Data Source'!AD484&gt;=3.5,"A-",IF('Data Source'!AD484&gt;=3,"B",IF('Data Source'!AD484&gt;=2,"C",IF('Data Source'!AD484&gt;=1,"D","F")))))))</f>
        <v/>
      </c>
      <c r="M484" s="3">
        <f>IF('Data Source'!B484="","",IF('Data Source'!AE484&gt;=5,"A+",IF('Data Source'!AE484&gt;=4,"A",IF('Data Source'!AE484&gt;=3.5,"A-",IF('Data Source'!AE484&gt;=3,"B",IF('Data Source'!AE484&gt;=2,"C",IF('Data Source'!AE484&gt;=1,"D","F")))))))</f>
        <v/>
      </c>
      <c r="N484" s="3">
        <f>IF('Data Source'!B484="","",IF('Data Source'!AF484&gt;=5,"A+",IF('Data Source'!AF484&gt;=4,"A",IF('Data Source'!AF484&gt;=3.5,"A-",IF('Data Source'!AF484&gt;=3,"B",IF('Data Source'!AF484&gt;=2,"C",IF('Data Source'!AF484&gt;=1,"D","F")))))))</f>
        <v/>
      </c>
      <c r="O484" s="3">
        <f>IF('Data Source'!B484="","",IF('Data Source'!AG484&gt;=5,"A+",IF('Data Source'!AG484&gt;=4,"A",IF('Data Source'!AG484&gt;=3.5,"A-",IF('Data Source'!AG484&gt;=3,"B",IF('Data Source'!AG484&gt;=2,"C",IF('Data Source'!AG484&gt;=1,"D","F")))))))</f>
        <v/>
      </c>
      <c r="P484" s="5">
        <f>IF('Data Source'!B484="","",'Data Source'!R484)</f>
        <v/>
      </c>
      <c r="Q484" s="3">
        <f>IF('Data Source'!B484="","",'Data Source'!S484)</f>
        <v/>
      </c>
    </row>
    <row r="485">
      <c r="A485" s="3">
        <f>IF('Data Source'!B485="","",'Data Source'!A485)</f>
        <v/>
      </c>
      <c r="B485">
        <f>IF('Data Source'!B485="","",'Data Source'!B485)</f>
        <v/>
      </c>
      <c r="C485" s="3">
        <f>IF('Data Source'!B485="","",IF('Data Source'!U485&gt;=5,"A+",IF('Data Source'!U485&gt;=4,"A",IF('Data Source'!U485&gt;=3.5,"A-",IF('Data Source'!U485&gt;=3,"B",IF('Data Source'!U485&gt;=2,"C",IF('Data Source'!U485&gt;=1,"D","F")))))))</f>
        <v/>
      </c>
      <c r="D485" s="3">
        <f>IF('Data Source'!B485="","",IF('Data Source'!V485&gt;=5,"A+",IF('Data Source'!V485&gt;=4,"A",IF('Data Source'!V485&gt;=3.5,"A-",IF('Data Source'!V485&gt;=3,"B",IF('Data Source'!V485&gt;=2,"C",IF('Data Source'!V485&gt;=1,"D","F")))))))</f>
        <v/>
      </c>
      <c r="E485" s="3">
        <f>IF('Data Source'!B485="","",IF('Data Source'!W485&gt;=5,"A+",IF('Data Source'!W485&gt;=4,"A",IF('Data Source'!W485&gt;=3.5,"A-",IF('Data Source'!W485&gt;=3,"B",IF('Data Source'!W485&gt;=2,"C",IF('Data Source'!W485&gt;=1,"D","F")))))))</f>
        <v/>
      </c>
      <c r="F485" s="3">
        <f>IF('Data Source'!B485="","",IF('Data Source'!X485&gt;=5,"A+",IF('Data Source'!X485&gt;=4,"A",IF('Data Source'!X485&gt;=3.5,"A-",IF('Data Source'!X485&gt;=3,"B",IF('Data Source'!X485&gt;=2,"C",IF('Data Source'!X485&gt;=1,"D","F")))))))</f>
        <v/>
      </c>
      <c r="G485" s="3">
        <f>IF('Data Source'!B485="","",IF('Data Source'!Y485&gt;=5,"A+",IF('Data Source'!Y485&gt;=4,"A",IF('Data Source'!Y485&gt;=3.5,"A-",IF('Data Source'!Y485&gt;=3,"B",IF('Data Source'!Y485&gt;=2,"C",IF('Data Source'!Y485&gt;=1,"D","F")))))))</f>
        <v/>
      </c>
      <c r="H485" s="3">
        <f>IF('Data Source'!B485="","",IF('Data Source'!Z485&gt;=5,"A+",IF('Data Source'!Z485&gt;=4,"A",IF('Data Source'!Z485&gt;=3.5,"A-",IF('Data Source'!Z485&gt;=3,"B",IF('Data Source'!Z485&gt;=2,"C",IF('Data Source'!Z485&gt;=1,"D","F")))))))</f>
        <v/>
      </c>
      <c r="I485" s="3">
        <f>IF('Data Source'!B485="","",IF('Data Source'!AA485&gt;=5,"A+",IF('Data Source'!AA485&gt;=4,"A",IF('Data Source'!AA485&gt;=3.5,"A-",IF('Data Source'!AA485&gt;=3,"B",IF('Data Source'!AA485&gt;=2,"C",IF('Data Source'!AA485&gt;=1,"D","F")))))))</f>
        <v/>
      </c>
      <c r="J485" s="3">
        <f>IF('Data Source'!B485="","",IF('Data Source'!AB485&gt;=5,"A+",IF('Data Source'!AB485&gt;=4,"A",IF('Data Source'!AB485&gt;=3.5,"A-",IF('Data Source'!AB485&gt;=3,"B",IF('Data Source'!AB485&gt;=2,"C",IF('Data Source'!AB485&gt;=1,"D","F")))))))</f>
        <v/>
      </c>
      <c r="K485" s="3">
        <f>IF('Data Source'!B485="","",IF('Data Source'!AC485&gt;=5,"A+",IF('Data Source'!AC485&gt;=4,"A",IF('Data Source'!AC485&gt;=3.5,"A-",IF('Data Source'!AC485&gt;=3,"B",IF('Data Source'!AC485&gt;=2,"C",IF('Data Source'!AC485&gt;=1,"D","F")))))))</f>
        <v/>
      </c>
      <c r="L485" s="3">
        <f>IF('Data Source'!B485="","",IF('Data Source'!AD485&gt;=5,"A+",IF('Data Source'!AD485&gt;=4,"A",IF('Data Source'!AD485&gt;=3.5,"A-",IF('Data Source'!AD485&gt;=3,"B",IF('Data Source'!AD485&gt;=2,"C",IF('Data Source'!AD485&gt;=1,"D","F")))))))</f>
        <v/>
      </c>
      <c r="M485" s="3">
        <f>IF('Data Source'!B485="","",IF('Data Source'!AE485&gt;=5,"A+",IF('Data Source'!AE485&gt;=4,"A",IF('Data Source'!AE485&gt;=3.5,"A-",IF('Data Source'!AE485&gt;=3,"B",IF('Data Source'!AE485&gt;=2,"C",IF('Data Source'!AE485&gt;=1,"D","F")))))))</f>
        <v/>
      </c>
      <c r="N485" s="3">
        <f>IF('Data Source'!B485="","",IF('Data Source'!AF485&gt;=5,"A+",IF('Data Source'!AF485&gt;=4,"A",IF('Data Source'!AF485&gt;=3.5,"A-",IF('Data Source'!AF485&gt;=3,"B",IF('Data Source'!AF485&gt;=2,"C",IF('Data Source'!AF485&gt;=1,"D","F")))))))</f>
        <v/>
      </c>
      <c r="O485" s="3">
        <f>IF('Data Source'!B485="","",IF('Data Source'!AG485&gt;=5,"A+",IF('Data Source'!AG485&gt;=4,"A",IF('Data Source'!AG485&gt;=3.5,"A-",IF('Data Source'!AG485&gt;=3,"B",IF('Data Source'!AG485&gt;=2,"C",IF('Data Source'!AG485&gt;=1,"D","F")))))))</f>
        <v/>
      </c>
      <c r="P485" s="5">
        <f>IF('Data Source'!B485="","",'Data Source'!R485)</f>
        <v/>
      </c>
      <c r="Q485" s="3">
        <f>IF('Data Source'!B485="","",'Data Source'!S485)</f>
        <v/>
      </c>
    </row>
    <row r="486">
      <c r="A486" s="3">
        <f>IF('Data Source'!B486="","",'Data Source'!A486)</f>
        <v/>
      </c>
      <c r="B486">
        <f>IF('Data Source'!B486="","",'Data Source'!B486)</f>
        <v/>
      </c>
      <c r="C486" s="3">
        <f>IF('Data Source'!B486="","",IF('Data Source'!U486&gt;=5,"A+",IF('Data Source'!U486&gt;=4,"A",IF('Data Source'!U486&gt;=3.5,"A-",IF('Data Source'!U486&gt;=3,"B",IF('Data Source'!U486&gt;=2,"C",IF('Data Source'!U486&gt;=1,"D","F")))))))</f>
        <v/>
      </c>
      <c r="D486" s="3">
        <f>IF('Data Source'!B486="","",IF('Data Source'!V486&gt;=5,"A+",IF('Data Source'!V486&gt;=4,"A",IF('Data Source'!V486&gt;=3.5,"A-",IF('Data Source'!V486&gt;=3,"B",IF('Data Source'!V486&gt;=2,"C",IF('Data Source'!V486&gt;=1,"D","F")))))))</f>
        <v/>
      </c>
      <c r="E486" s="3">
        <f>IF('Data Source'!B486="","",IF('Data Source'!W486&gt;=5,"A+",IF('Data Source'!W486&gt;=4,"A",IF('Data Source'!W486&gt;=3.5,"A-",IF('Data Source'!W486&gt;=3,"B",IF('Data Source'!W486&gt;=2,"C",IF('Data Source'!W486&gt;=1,"D","F")))))))</f>
        <v/>
      </c>
      <c r="F486" s="3">
        <f>IF('Data Source'!B486="","",IF('Data Source'!X486&gt;=5,"A+",IF('Data Source'!X486&gt;=4,"A",IF('Data Source'!X486&gt;=3.5,"A-",IF('Data Source'!X486&gt;=3,"B",IF('Data Source'!X486&gt;=2,"C",IF('Data Source'!X486&gt;=1,"D","F")))))))</f>
        <v/>
      </c>
      <c r="G486" s="3">
        <f>IF('Data Source'!B486="","",IF('Data Source'!Y486&gt;=5,"A+",IF('Data Source'!Y486&gt;=4,"A",IF('Data Source'!Y486&gt;=3.5,"A-",IF('Data Source'!Y486&gt;=3,"B",IF('Data Source'!Y486&gt;=2,"C",IF('Data Source'!Y486&gt;=1,"D","F")))))))</f>
        <v/>
      </c>
      <c r="H486" s="3">
        <f>IF('Data Source'!B486="","",IF('Data Source'!Z486&gt;=5,"A+",IF('Data Source'!Z486&gt;=4,"A",IF('Data Source'!Z486&gt;=3.5,"A-",IF('Data Source'!Z486&gt;=3,"B",IF('Data Source'!Z486&gt;=2,"C",IF('Data Source'!Z486&gt;=1,"D","F")))))))</f>
        <v/>
      </c>
      <c r="I486" s="3">
        <f>IF('Data Source'!B486="","",IF('Data Source'!AA486&gt;=5,"A+",IF('Data Source'!AA486&gt;=4,"A",IF('Data Source'!AA486&gt;=3.5,"A-",IF('Data Source'!AA486&gt;=3,"B",IF('Data Source'!AA486&gt;=2,"C",IF('Data Source'!AA486&gt;=1,"D","F")))))))</f>
        <v/>
      </c>
      <c r="J486" s="3">
        <f>IF('Data Source'!B486="","",IF('Data Source'!AB486&gt;=5,"A+",IF('Data Source'!AB486&gt;=4,"A",IF('Data Source'!AB486&gt;=3.5,"A-",IF('Data Source'!AB486&gt;=3,"B",IF('Data Source'!AB486&gt;=2,"C",IF('Data Source'!AB486&gt;=1,"D","F")))))))</f>
        <v/>
      </c>
      <c r="K486" s="3">
        <f>IF('Data Source'!B486="","",IF('Data Source'!AC486&gt;=5,"A+",IF('Data Source'!AC486&gt;=4,"A",IF('Data Source'!AC486&gt;=3.5,"A-",IF('Data Source'!AC486&gt;=3,"B",IF('Data Source'!AC486&gt;=2,"C",IF('Data Source'!AC486&gt;=1,"D","F")))))))</f>
        <v/>
      </c>
      <c r="L486" s="3">
        <f>IF('Data Source'!B486="","",IF('Data Source'!AD486&gt;=5,"A+",IF('Data Source'!AD486&gt;=4,"A",IF('Data Source'!AD486&gt;=3.5,"A-",IF('Data Source'!AD486&gt;=3,"B",IF('Data Source'!AD486&gt;=2,"C",IF('Data Source'!AD486&gt;=1,"D","F")))))))</f>
        <v/>
      </c>
      <c r="M486" s="3">
        <f>IF('Data Source'!B486="","",IF('Data Source'!AE486&gt;=5,"A+",IF('Data Source'!AE486&gt;=4,"A",IF('Data Source'!AE486&gt;=3.5,"A-",IF('Data Source'!AE486&gt;=3,"B",IF('Data Source'!AE486&gt;=2,"C",IF('Data Source'!AE486&gt;=1,"D","F")))))))</f>
        <v/>
      </c>
      <c r="N486" s="3">
        <f>IF('Data Source'!B486="","",IF('Data Source'!AF486&gt;=5,"A+",IF('Data Source'!AF486&gt;=4,"A",IF('Data Source'!AF486&gt;=3.5,"A-",IF('Data Source'!AF486&gt;=3,"B",IF('Data Source'!AF486&gt;=2,"C",IF('Data Source'!AF486&gt;=1,"D","F")))))))</f>
        <v/>
      </c>
      <c r="O486" s="3">
        <f>IF('Data Source'!B486="","",IF('Data Source'!AG486&gt;=5,"A+",IF('Data Source'!AG486&gt;=4,"A",IF('Data Source'!AG486&gt;=3.5,"A-",IF('Data Source'!AG486&gt;=3,"B",IF('Data Source'!AG486&gt;=2,"C",IF('Data Source'!AG486&gt;=1,"D","F")))))))</f>
        <v/>
      </c>
      <c r="P486" s="5">
        <f>IF('Data Source'!B486="","",'Data Source'!R486)</f>
        <v/>
      </c>
      <c r="Q486" s="3">
        <f>IF('Data Source'!B486="","",'Data Source'!S486)</f>
        <v/>
      </c>
    </row>
    <row r="487">
      <c r="A487" s="3">
        <f>IF('Data Source'!B487="","",'Data Source'!A487)</f>
        <v/>
      </c>
      <c r="B487">
        <f>IF('Data Source'!B487="","",'Data Source'!B487)</f>
        <v/>
      </c>
      <c r="C487" s="3">
        <f>IF('Data Source'!B487="","",IF('Data Source'!U487&gt;=5,"A+",IF('Data Source'!U487&gt;=4,"A",IF('Data Source'!U487&gt;=3.5,"A-",IF('Data Source'!U487&gt;=3,"B",IF('Data Source'!U487&gt;=2,"C",IF('Data Source'!U487&gt;=1,"D","F")))))))</f>
        <v/>
      </c>
      <c r="D487" s="3">
        <f>IF('Data Source'!B487="","",IF('Data Source'!V487&gt;=5,"A+",IF('Data Source'!V487&gt;=4,"A",IF('Data Source'!V487&gt;=3.5,"A-",IF('Data Source'!V487&gt;=3,"B",IF('Data Source'!V487&gt;=2,"C",IF('Data Source'!V487&gt;=1,"D","F")))))))</f>
        <v/>
      </c>
      <c r="E487" s="3">
        <f>IF('Data Source'!B487="","",IF('Data Source'!W487&gt;=5,"A+",IF('Data Source'!W487&gt;=4,"A",IF('Data Source'!W487&gt;=3.5,"A-",IF('Data Source'!W487&gt;=3,"B",IF('Data Source'!W487&gt;=2,"C",IF('Data Source'!W487&gt;=1,"D","F")))))))</f>
        <v/>
      </c>
      <c r="F487" s="3">
        <f>IF('Data Source'!B487="","",IF('Data Source'!X487&gt;=5,"A+",IF('Data Source'!X487&gt;=4,"A",IF('Data Source'!X487&gt;=3.5,"A-",IF('Data Source'!X487&gt;=3,"B",IF('Data Source'!X487&gt;=2,"C",IF('Data Source'!X487&gt;=1,"D","F")))))))</f>
        <v/>
      </c>
      <c r="G487" s="3">
        <f>IF('Data Source'!B487="","",IF('Data Source'!Y487&gt;=5,"A+",IF('Data Source'!Y487&gt;=4,"A",IF('Data Source'!Y487&gt;=3.5,"A-",IF('Data Source'!Y487&gt;=3,"B",IF('Data Source'!Y487&gt;=2,"C",IF('Data Source'!Y487&gt;=1,"D","F")))))))</f>
        <v/>
      </c>
      <c r="H487" s="3">
        <f>IF('Data Source'!B487="","",IF('Data Source'!Z487&gt;=5,"A+",IF('Data Source'!Z487&gt;=4,"A",IF('Data Source'!Z487&gt;=3.5,"A-",IF('Data Source'!Z487&gt;=3,"B",IF('Data Source'!Z487&gt;=2,"C",IF('Data Source'!Z487&gt;=1,"D","F")))))))</f>
        <v/>
      </c>
      <c r="I487" s="3">
        <f>IF('Data Source'!B487="","",IF('Data Source'!AA487&gt;=5,"A+",IF('Data Source'!AA487&gt;=4,"A",IF('Data Source'!AA487&gt;=3.5,"A-",IF('Data Source'!AA487&gt;=3,"B",IF('Data Source'!AA487&gt;=2,"C",IF('Data Source'!AA487&gt;=1,"D","F")))))))</f>
        <v/>
      </c>
      <c r="J487" s="3">
        <f>IF('Data Source'!B487="","",IF('Data Source'!AB487&gt;=5,"A+",IF('Data Source'!AB487&gt;=4,"A",IF('Data Source'!AB487&gt;=3.5,"A-",IF('Data Source'!AB487&gt;=3,"B",IF('Data Source'!AB487&gt;=2,"C",IF('Data Source'!AB487&gt;=1,"D","F")))))))</f>
        <v/>
      </c>
      <c r="K487" s="3">
        <f>IF('Data Source'!B487="","",IF('Data Source'!AC487&gt;=5,"A+",IF('Data Source'!AC487&gt;=4,"A",IF('Data Source'!AC487&gt;=3.5,"A-",IF('Data Source'!AC487&gt;=3,"B",IF('Data Source'!AC487&gt;=2,"C",IF('Data Source'!AC487&gt;=1,"D","F")))))))</f>
        <v/>
      </c>
      <c r="L487" s="3">
        <f>IF('Data Source'!B487="","",IF('Data Source'!AD487&gt;=5,"A+",IF('Data Source'!AD487&gt;=4,"A",IF('Data Source'!AD487&gt;=3.5,"A-",IF('Data Source'!AD487&gt;=3,"B",IF('Data Source'!AD487&gt;=2,"C",IF('Data Source'!AD487&gt;=1,"D","F")))))))</f>
        <v/>
      </c>
      <c r="M487" s="3">
        <f>IF('Data Source'!B487="","",IF('Data Source'!AE487&gt;=5,"A+",IF('Data Source'!AE487&gt;=4,"A",IF('Data Source'!AE487&gt;=3.5,"A-",IF('Data Source'!AE487&gt;=3,"B",IF('Data Source'!AE487&gt;=2,"C",IF('Data Source'!AE487&gt;=1,"D","F")))))))</f>
        <v/>
      </c>
      <c r="N487" s="3">
        <f>IF('Data Source'!B487="","",IF('Data Source'!AF487&gt;=5,"A+",IF('Data Source'!AF487&gt;=4,"A",IF('Data Source'!AF487&gt;=3.5,"A-",IF('Data Source'!AF487&gt;=3,"B",IF('Data Source'!AF487&gt;=2,"C",IF('Data Source'!AF487&gt;=1,"D","F")))))))</f>
        <v/>
      </c>
      <c r="O487" s="3">
        <f>IF('Data Source'!B487="","",IF('Data Source'!AG487&gt;=5,"A+",IF('Data Source'!AG487&gt;=4,"A",IF('Data Source'!AG487&gt;=3.5,"A-",IF('Data Source'!AG487&gt;=3,"B",IF('Data Source'!AG487&gt;=2,"C",IF('Data Source'!AG487&gt;=1,"D","F")))))))</f>
        <v/>
      </c>
      <c r="P487" s="5">
        <f>IF('Data Source'!B487="","",'Data Source'!R487)</f>
        <v/>
      </c>
      <c r="Q487" s="3">
        <f>IF('Data Source'!B487="","",'Data Source'!S487)</f>
        <v/>
      </c>
    </row>
    <row r="488">
      <c r="A488" s="3">
        <f>IF('Data Source'!B488="","",'Data Source'!A488)</f>
        <v/>
      </c>
      <c r="B488">
        <f>IF('Data Source'!B488="","",'Data Source'!B488)</f>
        <v/>
      </c>
      <c r="C488" s="3">
        <f>IF('Data Source'!B488="","",IF('Data Source'!U488&gt;=5,"A+",IF('Data Source'!U488&gt;=4,"A",IF('Data Source'!U488&gt;=3.5,"A-",IF('Data Source'!U488&gt;=3,"B",IF('Data Source'!U488&gt;=2,"C",IF('Data Source'!U488&gt;=1,"D","F")))))))</f>
        <v/>
      </c>
      <c r="D488" s="3">
        <f>IF('Data Source'!B488="","",IF('Data Source'!V488&gt;=5,"A+",IF('Data Source'!V488&gt;=4,"A",IF('Data Source'!V488&gt;=3.5,"A-",IF('Data Source'!V488&gt;=3,"B",IF('Data Source'!V488&gt;=2,"C",IF('Data Source'!V488&gt;=1,"D","F")))))))</f>
        <v/>
      </c>
      <c r="E488" s="3">
        <f>IF('Data Source'!B488="","",IF('Data Source'!W488&gt;=5,"A+",IF('Data Source'!W488&gt;=4,"A",IF('Data Source'!W488&gt;=3.5,"A-",IF('Data Source'!W488&gt;=3,"B",IF('Data Source'!W488&gt;=2,"C",IF('Data Source'!W488&gt;=1,"D","F")))))))</f>
        <v/>
      </c>
      <c r="F488" s="3">
        <f>IF('Data Source'!B488="","",IF('Data Source'!X488&gt;=5,"A+",IF('Data Source'!X488&gt;=4,"A",IF('Data Source'!X488&gt;=3.5,"A-",IF('Data Source'!X488&gt;=3,"B",IF('Data Source'!X488&gt;=2,"C",IF('Data Source'!X488&gt;=1,"D","F")))))))</f>
        <v/>
      </c>
      <c r="G488" s="3">
        <f>IF('Data Source'!B488="","",IF('Data Source'!Y488&gt;=5,"A+",IF('Data Source'!Y488&gt;=4,"A",IF('Data Source'!Y488&gt;=3.5,"A-",IF('Data Source'!Y488&gt;=3,"B",IF('Data Source'!Y488&gt;=2,"C",IF('Data Source'!Y488&gt;=1,"D","F")))))))</f>
        <v/>
      </c>
      <c r="H488" s="3">
        <f>IF('Data Source'!B488="","",IF('Data Source'!Z488&gt;=5,"A+",IF('Data Source'!Z488&gt;=4,"A",IF('Data Source'!Z488&gt;=3.5,"A-",IF('Data Source'!Z488&gt;=3,"B",IF('Data Source'!Z488&gt;=2,"C",IF('Data Source'!Z488&gt;=1,"D","F")))))))</f>
        <v/>
      </c>
      <c r="I488" s="3">
        <f>IF('Data Source'!B488="","",IF('Data Source'!AA488&gt;=5,"A+",IF('Data Source'!AA488&gt;=4,"A",IF('Data Source'!AA488&gt;=3.5,"A-",IF('Data Source'!AA488&gt;=3,"B",IF('Data Source'!AA488&gt;=2,"C",IF('Data Source'!AA488&gt;=1,"D","F")))))))</f>
        <v/>
      </c>
      <c r="J488" s="3">
        <f>IF('Data Source'!B488="","",IF('Data Source'!AB488&gt;=5,"A+",IF('Data Source'!AB488&gt;=4,"A",IF('Data Source'!AB488&gt;=3.5,"A-",IF('Data Source'!AB488&gt;=3,"B",IF('Data Source'!AB488&gt;=2,"C",IF('Data Source'!AB488&gt;=1,"D","F")))))))</f>
        <v/>
      </c>
      <c r="K488" s="3">
        <f>IF('Data Source'!B488="","",IF('Data Source'!AC488&gt;=5,"A+",IF('Data Source'!AC488&gt;=4,"A",IF('Data Source'!AC488&gt;=3.5,"A-",IF('Data Source'!AC488&gt;=3,"B",IF('Data Source'!AC488&gt;=2,"C",IF('Data Source'!AC488&gt;=1,"D","F")))))))</f>
        <v/>
      </c>
      <c r="L488" s="3">
        <f>IF('Data Source'!B488="","",IF('Data Source'!AD488&gt;=5,"A+",IF('Data Source'!AD488&gt;=4,"A",IF('Data Source'!AD488&gt;=3.5,"A-",IF('Data Source'!AD488&gt;=3,"B",IF('Data Source'!AD488&gt;=2,"C",IF('Data Source'!AD488&gt;=1,"D","F")))))))</f>
        <v/>
      </c>
      <c r="M488" s="3">
        <f>IF('Data Source'!B488="","",IF('Data Source'!AE488&gt;=5,"A+",IF('Data Source'!AE488&gt;=4,"A",IF('Data Source'!AE488&gt;=3.5,"A-",IF('Data Source'!AE488&gt;=3,"B",IF('Data Source'!AE488&gt;=2,"C",IF('Data Source'!AE488&gt;=1,"D","F")))))))</f>
        <v/>
      </c>
      <c r="N488" s="3">
        <f>IF('Data Source'!B488="","",IF('Data Source'!AF488&gt;=5,"A+",IF('Data Source'!AF488&gt;=4,"A",IF('Data Source'!AF488&gt;=3.5,"A-",IF('Data Source'!AF488&gt;=3,"B",IF('Data Source'!AF488&gt;=2,"C",IF('Data Source'!AF488&gt;=1,"D","F")))))))</f>
        <v/>
      </c>
      <c r="O488" s="3">
        <f>IF('Data Source'!B488="","",IF('Data Source'!AG488&gt;=5,"A+",IF('Data Source'!AG488&gt;=4,"A",IF('Data Source'!AG488&gt;=3.5,"A-",IF('Data Source'!AG488&gt;=3,"B",IF('Data Source'!AG488&gt;=2,"C",IF('Data Source'!AG488&gt;=1,"D","F")))))))</f>
        <v/>
      </c>
      <c r="P488" s="5">
        <f>IF('Data Source'!B488="","",'Data Source'!R488)</f>
        <v/>
      </c>
      <c r="Q488" s="3">
        <f>IF('Data Source'!B488="","",'Data Source'!S488)</f>
        <v/>
      </c>
    </row>
    <row r="489">
      <c r="A489" s="3">
        <f>IF('Data Source'!B489="","",'Data Source'!A489)</f>
        <v/>
      </c>
      <c r="B489">
        <f>IF('Data Source'!B489="","",'Data Source'!B489)</f>
        <v/>
      </c>
      <c r="C489" s="3">
        <f>IF('Data Source'!B489="","",IF('Data Source'!U489&gt;=5,"A+",IF('Data Source'!U489&gt;=4,"A",IF('Data Source'!U489&gt;=3.5,"A-",IF('Data Source'!U489&gt;=3,"B",IF('Data Source'!U489&gt;=2,"C",IF('Data Source'!U489&gt;=1,"D","F")))))))</f>
        <v/>
      </c>
      <c r="D489" s="3">
        <f>IF('Data Source'!B489="","",IF('Data Source'!V489&gt;=5,"A+",IF('Data Source'!V489&gt;=4,"A",IF('Data Source'!V489&gt;=3.5,"A-",IF('Data Source'!V489&gt;=3,"B",IF('Data Source'!V489&gt;=2,"C",IF('Data Source'!V489&gt;=1,"D","F")))))))</f>
        <v/>
      </c>
      <c r="E489" s="3">
        <f>IF('Data Source'!B489="","",IF('Data Source'!W489&gt;=5,"A+",IF('Data Source'!W489&gt;=4,"A",IF('Data Source'!W489&gt;=3.5,"A-",IF('Data Source'!W489&gt;=3,"B",IF('Data Source'!W489&gt;=2,"C",IF('Data Source'!W489&gt;=1,"D","F")))))))</f>
        <v/>
      </c>
      <c r="F489" s="3">
        <f>IF('Data Source'!B489="","",IF('Data Source'!X489&gt;=5,"A+",IF('Data Source'!X489&gt;=4,"A",IF('Data Source'!X489&gt;=3.5,"A-",IF('Data Source'!X489&gt;=3,"B",IF('Data Source'!X489&gt;=2,"C",IF('Data Source'!X489&gt;=1,"D","F")))))))</f>
        <v/>
      </c>
      <c r="G489" s="3">
        <f>IF('Data Source'!B489="","",IF('Data Source'!Y489&gt;=5,"A+",IF('Data Source'!Y489&gt;=4,"A",IF('Data Source'!Y489&gt;=3.5,"A-",IF('Data Source'!Y489&gt;=3,"B",IF('Data Source'!Y489&gt;=2,"C",IF('Data Source'!Y489&gt;=1,"D","F")))))))</f>
        <v/>
      </c>
      <c r="H489" s="3">
        <f>IF('Data Source'!B489="","",IF('Data Source'!Z489&gt;=5,"A+",IF('Data Source'!Z489&gt;=4,"A",IF('Data Source'!Z489&gt;=3.5,"A-",IF('Data Source'!Z489&gt;=3,"B",IF('Data Source'!Z489&gt;=2,"C",IF('Data Source'!Z489&gt;=1,"D","F")))))))</f>
        <v/>
      </c>
      <c r="I489" s="3">
        <f>IF('Data Source'!B489="","",IF('Data Source'!AA489&gt;=5,"A+",IF('Data Source'!AA489&gt;=4,"A",IF('Data Source'!AA489&gt;=3.5,"A-",IF('Data Source'!AA489&gt;=3,"B",IF('Data Source'!AA489&gt;=2,"C",IF('Data Source'!AA489&gt;=1,"D","F")))))))</f>
        <v/>
      </c>
      <c r="J489" s="3">
        <f>IF('Data Source'!B489="","",IF('Data Source'!AB489&gt;=5,"A+",IF('Data Source'!AB489&gt;=4,"A",IF('Data Source'!AB489&gt;=3.5,"A-",IF('Data Source'!AB489&gt;=3,"B",IF('Data Source'!AB489&gt;=2,"C",IF('Data Source'!AB489&gt;=1,"D","F")))))))</f>
        <v/>
      </c>
      <c r="K489" s="3">
        <f>IF('Data Source'!B489="","",IF('Data Source'!AC489&gt;=5,"A+",IF('Data Source'!AC489&gt;=4,"A",IF('Data Source'!AC489&gt;=3.5,"A-",IF('Data Source'!AC489&gt;=3,"B",IF('Data Source'!AC489&gt;=2,"C",IF('Data Source'!AC489&gt;=1,"D","F")))))))</f>
        <v/>
      </c>
      <c r="L489" s="3">
        <f>IF('Data Source'!B489="","",IF('Data Source'!AD489&gt;=5,"A+",IF('Data Source'!AD489&gt;=4,"A",IF('Data Source'!AD489&gt;=3.5,"A-",IF('Data Source'!AD489&gt;=3,"B",IF('Data Source'!AD489&gt;=2,"C",IF('Data Source'!AD489&gt;=1,"D","F")))))))</f>
        <v/>
      </c>
      <c r="M489" s="3">
        <f>IF('Data Source'!B489="","",IF('Data Source'!AE489&gt;=5,"A+",IF('Data Source'!AE489&gt;=4,"A",IF('Data Source'!AE489&gt;=3.5,"A-",IF('Data Source'!AE489&gt;=3,"B",IF('Data Source'!AE489&gt;=2,"C",IF('Data Source'!AE489&gt;=1,"D","F")))))))</f>
        <v/>
      </c>
      <c r="N489" s="3">
        <f>IF('Data Source'!B489="","",IF('Data Source'!AF489&gt;=5,"A+",IF('Data Source'!AF489&gt;=4,"A",IF('Data Source'!AF489&gt;=3.5,"A-",IF('Data Source'!AF489&gt;=3,"B",IF('Data Source'!AF489&gt;=2,"C",IF('Data Source'!AF489&gt;=1,"D","F")))))))</f>
        <v/>
      </c>
      <c r="O489" s="3">
        <f>IF('Data Source'!B489="","",IF('Data Source'!AG489&gt;=5,"A+",IF('Data Source'!AG489&gt;=4,"A",IF('Data Source'!AG489&gt;=3.5,"A-",IF('Data Source'!AG489&gt;=3,"B",IF('Data Source'!AG489&gt;=2,"C",IF('Data Source'!AG489&gt;=1,"D","F")))))))</f>
        <v/>
      </c>
      <c r="P489" s="5">
        <f>IF('Data Source'!B489="","",'Data Source'!R489)</f>
        <v/>
      </c>
      <c r="Q489" s="3">
        <f>IF('Data Source'!B489="","",'Data Source'!S489)</f>
        <v/>
      </c>
    </row>
    <row r="490">
      <c r="A490" s="3">
        <f>IF('Data Source'!B490="","",'Data Source'!A490)</f>
        <v/>
      </c>
      <c r="B490">
        <f>IF('Data Source'!B490="","",'Data Source'!B490)</f>
        <v/>
      </c>
      <c r="C490" s="3">
        <f>IF('Data Source'!B490="","",IF('Data Source'!U490&gt;=5,"A+",IF('Data Source'!U490&gt;=4,"A",IF('Data Source'!U490&gt;=3.5,"A-",IF('Data Source'!U490&gt;=3,"B",IF('Data Source'!U490&gt;=2,"C",IF('Data Source'!U490&gt;=1,"D","F")))))))</f>
        <v/>
      </c>
      <c r="D490" s="3">
        <f>IF('Data Source'!B490="","",IF('Data Source'!V490&gt;=5,"A+",IF('Data Source'!V490&gt;=4,"A",IF('Data Source'!V490&gt;=3.5,"A-",IF('Data Source'!V490&gt;=3,"B",IF('Data Source'!V490&gt;=2,"C",IF('Data Source'!V490&gt;=1,"D","F")))))))</f>
        <v/>
      </c>
      <c r="E490" s="3">
        <f>IF('Data Source'!B490="","",IF('Data Source'!W490&gt;=5,"A+",IF('Data Source'!W490&gt;=4,"A",IF('Data Source'!W490&gt;=3.5,"A-",IF('Data Source'!W490&gt;=3,"B",IF('Data Source'!W490&gt;=2,"C",IF('Data Source'!W490&gt;=1,"D","F")))))))</f>
        <v/>
      </c>
      <c r="F490" s="3">
        <f>IF('Data Source'!B490="","",IF('Data Source'!X490&gt;=5,"A+",IF('Data Source'!X490&gt;=4,"A",IF('Data Source'!X490&gt;=3.5,"A-",IF('Data Source'!X490&gt;=3,"B",IF('Data Source'!X490&gt;=2,"C",IF('Data Source'!X490&gt;=1,"D","F")))))))</f>
        <v/>
      </c>
      <c r="G490" s="3">
        <f>IF('Data Source'!B490="","",IF('Data Source'!Y490&gt;=5,"A+",IF('Data Source'!Y490&gt;=4,"A",IF('Data Source'!Y490&gt;=3.5,"A-",IF('Data Source'!Y490&gt;=3,"B",IF('Data Source'!Y490&gt;=2,"C",IF('Data Source'!Y490&gt;=1,"D","F")))))))</f>
        <v/>
      </c>
      <c r="H490" s="3">
        <f>IF('Data Source'!B490="","",IF('Data Source'!Z490&gt;=5,"A+",IF('Data Source'!Z490&gt;=4,"A",IF('Data Source'!Z490&gt;=3.5,"A-",IF('Data Source'!Z490&gt;=3,"B",IF('Data Source'!Z490&gt;=2,"C",IF('Data Source'!Z490&gt;=1,"D","F")))))))</f>
        <v/>
      </c>
      <c r="I490" s="3">
        <f>IF('Data Source'!B490="","",IF('Data Source'!AA490&gt;=5,"A+",IF('Data Source'!AA490&gt;=4,"A",IF('Data Source'!AA490&gt;=3.5,"A-",IF('Data Source'!AA490&gt;=3,"B",IF('Data Source'!AA490&gt;=2,"C",IF('Data Source'!AA490&gt;=1,"D","F")))))))</f>
        <v/>
      </c>
      <c r="J490" s="3">
        <f>IF('Data Source'!B490="","",IF('Data Source'!AB490&gt;=5,"A+",IF('Data Source'!AB490&gt;=4,"A",IF('Data Source'!AB490&gt;=3.5,"A-",IF('Data Source'!AB490&gt;=3,"B",IF('Data Source'!AB490&gt;=2,"C",IF('Data Source'!AB490&gt;=1,"D","F")))))))</f>
        <v/>
      </c>
      <c r="K490" s="3">
        <f>IF('Data Source'!B490="","",IF('Data Source'!AC490&gt;=5,"A+",IF('Data Source'!AC490&gt;=4,"A",IF('Data Source'!AC490&gt;=3.5,"A-",IF('Data Source'!AC490&gt;=3,"B",IF('Data Source'!AC490&gt;=2,"C",IF('Data Source'!AC490&gt;=1,"D","F")))))))</f>
        <v/>
      </c>
      <c r="L490" s="3">
        <f>IF('Data Source'!B490="","",IF('Data Source'!AD490&gt;=5,"A+",IF('Data Source'!AD490&gt;=4,"A",IF('Data Source'!AD490&gt;=3.5,"A-",IF('Data Source'!AD490&gt;=3,"B",IF('Data Source'!AD490&gt;=2,"C",IF('Data Source'!AD490&gt;=1,"D","F")))))))</f>
        <v/>
      </c>
      <c r="M490" s="3">
        <f>IF('Data Source'!B490="","",IF('Data Source'!AE490&gt;=5,"A+",IF('Data Source'!AE490&gt;=4,"A",IF('Data Source'!AE490&gt;=3.5,"A-",IF('Data Source'!AE490&gt;=3,"B",IF('Data Source'!AE490&gt;=2,"C",IF('Data Source'!AE490&gt;=1,"D","F")))))))</f>
        <v/>
      </c>
      <c r="N490" s="3">
        <f>IF('Data Source'!B490="","",IF('Data Source'!AF490&gt;=5,"A+",IF('Data Source'!AF490&gt;=4,"A",IF('Data Source'!AF490&gt;=3.5,"A-",IF('Data Source'!AF490&gt;=3,"B",IF('Data Source'!AF490&gt;=2,"C",IF('Data Source'!AF490&gt;=1,"D","F")))))))</f>
        <v/>
      </c>
      <c r="O490" s="3">
        <f>IF('Data Source'!B490="","",IF('Data Source'!AG490&gt;=5,"A+",IF('Data Source'!AG490&gt;=4,"A",IF('Data Source'!AG490&gt;=3.5,"A-",IF('Data Source'!AG490&gt;=3,"B",IF('Data Source'!AG490&gt;=2,"C",IF('Data Source'!AG490&gt;=1,"D","F")))))))</f>
        <v/>
      </c>
      <c r="P490" s="5">
        <f>IF('Data Source'!B490="","",'Data Source'!R490)</f>
        <v/>
      </c>
      <c r="Q490" s="3">
        <f>IF('Data Source'!B490="","",'Data Source'!S490)</f>
        <v/>
      </c>
    </row>
    <row r="491">
      <c r="A491" s="3">
        <f>IF('Data Source'!B491="","",'Data Source'!A491)</f>
        <v/>
      </c>
      <c r="B491">
        <f>IF('Data Source'!B491="","",'Data Source'!B491)</f>
        <v/>
      </c>
      <c r="C491" s="3">
        <f>IF('Data Source'!B491="","",IF('Data Source'!U491&gt;=5,"A+",IF('Data Source'!U491&gt;=4,"A",IF('Data Source'!U491&gt;=3.5,"A-",IF('Data Source'!U491&gt;=3,"B",IF('Data Source'!U491&gt;=2,"C",IF('Data Source'!U491&gt;=1,"D","F")))))))</f>
        <v/>
      </c>
      <c r="D491" s="3">
        <f>IF('Data Source'!B491="","",IF('Data Source'!V491&gt;=5,"A+",IF('Data Source'!V491&gt;=4,"A",IF('Data Source'!V491&gt;=3.5,"A-",IF('Data Source'!V491&gt;=3,"B",IF('Data Source'!V491&gt;=2,"C",IF('Data Source'!V491&gt;=1,"D","F")))))))</f>
        <v/>
      </c>
      <c r="E491" s="3">
        <f>IF('Data Source'!B491="","",IF('Data Source'!W491&gt;=5,"A+",IF('Data Source'!W491&gt;=4,"A",IF('Data Source'!W491&gt;=3.5,"A-",IF('Data Source'!W491&gt;=3,"B",IF('Data Source'!W491&gt;=2,"C",IF('Data Source'!W491&gt;=1,"D","F")))))))</f>
        <v/>
      </c>
      <c r="F491" s="3">
        <f>IF('Data Source'!B491="","",IF('Data Source'!X491&gt;=5,"A+",IF('Data Source'!X491&gt;=4,"A",IF('Data Source'!X491&gt;=3.5,"A-",IF('Data Source'!X491&gt;=3,"B",IF('Data Source'!X491&gt;=2,"C",IF('Data Source'!X491&gt;=1,"D","F")))))))</f>
        <v/>
      </c>
      <c r="G491" s="3">
        <f>IF('Data Source'!B491="","",IF('Data Source'!Y491&gt;=5,"A+",IF('Data Source'!Y491&gt;=4,"A",IF('Data Source'!Y491&gt;=3.5,"A-",IF('Data Source'!Y491&gt;=3,"B",IF('Data Source'!Y491&gt;=2,"C",IF('Data Source'!Y491&gt;=1,"D","F")))))))</f>
        <v/>
      </c>
      <c r="H491" s="3">
        <f>IF('Data Source'!B491="","",IF('Data Source'!Z491&gt;=5,"A+",IF('Data Source'!Z491&gt;=4,"A",IF('Data Source'!Z491&gt;=3.5,"A-",IF('Data Source'!Z491&gt;=3,"B",IF('Data Source'!Z491&gt;=2,"C",IF('Data Source'!Z491&gt;=1,"D","F")))))))</f>
        <v/>
      </c>
      <c r="I491" s="3">
        <f>IF('Data Source'!B491="","",IF('Data Source'!AA491&gt;=5,"A+",IF('Data Source'!AA491&gt;=4,"A",IF('Data Source'!AA491&gt;=3.5,"A-",IF('Data Source'!AA491&gt;=3,"B",IF('Data Source'!AA491&gt;=2,"C",IF('Data Source'!AA491&gt;=1,"D","F")))))))</f>
        <v/>
      </c>
      <c r="J491" s="3">
        <f>IF('Data Source'!B491="","",IF('Data Source'!AB491&gt;=5,"A+",IF('Data Source'!AB491&gt;=4,"A",IF('Data Source'!AB491&gt;=3.5,"A-",IF('Data Source'!AB491&gt;=3,"B",IF('Data Source'!AB491&gt;=2,"C",IF('Data Source'!AB491&gt;=1,"D","F")))))))</f>
        <v/>
      </c>
      <c r="K491" s="3">
        <f>IF('Data Source'!B491="","",IF('Data Source'!AC491&gt;=5,"A+",IF('Data Source'!AC491&gt;=4,"A",IF('Data Source'!AC491&gt;=3.5,"A-",IF('Data Source'!AC491&gt;=3,"B",IF('Data Source'!AC491&gt;=2,"C",IF('Data Source'!AC491&gt;=1,"D","F")))))))</f>
        <v/>
      </c>
      <c r="L491" s="3">
        <f>IF('Data Source'!B491="","",IF('Data Source'!AD491&gt;=5,"A+",IF('Data Source'!AD491&gt;=4,"A",IF('Data Source'!AD491&gt;=3.5,"A-",IF('Data Source'!AD491&gt;=3,"B",IF('Data Source'!AD491&gt;=2,"C",IF('Data Source'!AD491&gt;=1,"D","F")))))))</f>
        <v/>
      </c>
      <c r="M491" s="3">
        <f>IF('Data Source'!B491="","",IF('Data Source'!AE491&gt;=5,"A+",IF('Data Source'!AE491&gt;=4,"A",IF('Data Source'!AE491&gt;=3.5,"A-",IF('Data Source'!AE491&gt;=3,"B",IF('Data Source'!AE491&gt;=2,"C",IF('Data Source'!AE491&gt;=1,"D","F")))))))</f>
        <v/>
      </c>
      <c r="N491" s="3">
        <f>IF('Data Source'!B491="","",IF('Data Source'!AF491&gt;=5,"A+",IF('Data Source'!AF491&gt;=4,"A",IF('Data Source'!AF491&gt;=3.5,"A-",IF('Data Source'!AF491&gt;=3,"B",IF('Data Source'!AF491&gt;=2,"C",IF('Data Source'!AF491&gt;=1,"D","F")))))))</f>
        <v/>
      </c>
      <c r="O491" s="3">
        <f>IF('Data Source'!B491="","",IF('Data Source'!AG491&gt;=5,"A+",IF('Data Source'!AG491&gt;=4,"A",IF('Data Source'!AG491&gt;=3.5,"A-",IF('Data Source'!AG491&gt;=3,"B",IF('Data Source'!AG491&gt;=2,"C",IF('Data Source'!AG491&gt;=1,"D","F")))))))</f>
        <v/>
      </c>
      <c r="P491" s="5">
        <f>IF('Data Source'!B491="","",'Data Source'!R491)</f>
        <v/>
      </c>
      <c r="Q491" s="3">
        <f>IF('Data Source'!B491="","",'Data Source'!S491)</f>
        <v/>
      </c>
    </row>
    <row r="492">
      <c r="A492" s="3">
        <f>IF('Data Source'!B492="","",'Data Source'!A492)</f>
        <v/>
      </c>
      <c r="B492">
        <f>IF('Data Source'!B492="","",'Data Source'!B492)</f>
        <v/>
      </c>
      <c r="C492" s="3">
        <f>IF('Data Source'!B492="","",IF('Data Source'!U492&gt;=5,"A+",IF('Data Source'!U492&gt;=4,"A",IF('Data Source'!U492&gt;=3.5,"A-",IF('Data Source'!U492&gt;=3,"B",IF('Data Source'!U492&gt;=2,"C",IF('Data Source'!U492&gt;=1,"D","F")))))))</f>
        <v/>
      </c>
      <c r="D492" s="3">
        <f>IF('Data Source'!B492="","",IF('Data Source'!V492&gt;=5,"A+",IF('Data Source'!V492&gt;=4,"A",IF('Data Source'!V492&gt;=3.5,"A-",IF('Data Source'!V492&gt;=3,"B",IF('Data Source'!V492&gt;=2,"C",IF('Data Source'!V492&gt;=1,"D","F")))))))</f>
        <v/>
      </c>
      <c r="E492" s="3">
        <f>IF('Data Source'!B492="","",IF('Data Source'!W492&gt;=5,"A+",IF('Data Source'!W492&gt;=4,"A",IF('Data Source'!W492&gt;=3.5,"A-",IF('Data Source'!W492&gt;=3,"B",IF('Data Source'!W492&gt;=2,"C",IF('Data Source'!W492&gt;=1,"D","F")))))))</f>
        <v/>
      </c>
      <c r="F492" s="3">
        <f>IF('Data Source'!B492="","",IF('Data Source'!X492&gt;=5,"A+",IF('Data Source'!X492&gt;=4,"A",IF('Data Source'!X492&gt;=3.5,"A-",IF('Data Source'!X492&gt;=3,"B",IF('Data Source'!X492&gt;=2,"C",IF('Data Source'!X492&gt;=1,"D","F")))))))</f>
        <v/>
      </c>
      <c r="G492" s="3">
        <f>IF('Data Source'!B492="","",IF('Data Source'!Y492&gt;=5,"A+",IF('Data Source'!Y492&gt;=4,"A",IF('Data Source'!Y492&gt;=3.5,"A-",IF('Data Source'!Y492&gt;=3,"B",IF('Data Source'!Y492&gt;=2,"C",IF('Data Source'!Y492&gt;=1,"D","F")))))))</f>
        <v/>
      </c>
      <c r="H492" s="3">
        <f>IF('Data Source'!B492="","",IF('Data Source'!Z492&gt;=5,"A+",IF('Data Source'!Z492&gt;=4,"A",IF('Data Source'!Z492&gt;=3.5,"A-",IF('Data Source'!Z492&gt;=3,"B",IF('Data Source'!Z492&gt;=2,"C",IF('Data Source'!Z492&gt;=1,"D","F")))))))</f>
        <v/>
      </c>
      <c r="I492" s="3">
        <f>IF('Data Source'!B492="","",IF('Data Source'!AA492&gt;=5,"A+",IF('Data Source'!AA492&gt;=4,"A",IF('Data Source'!AA492&gt;=3.5,"A-",IF('Data Source'!AA492&gt;=3,"B",IF('Data Source'!AA492&gt;=2,"C",IF('Data Source'!AA492&gt;=1,"D","F")))))))</f>
        <v/>
      </c>
      <c r="J492" s="3">
        <f>IF('Data Source'!B492="","",IF('Data Source'!AB492&gt;=5,"A+",IF('Data Source'!AB492&gt;=4,"A",IF('Data Source'!AB492&gt;=3.5,"A-",IF('Data Source'!AB492&gt;=3,"B",IF('Data Source'!AB492&gt;=2,"C",IF('Data Source'!AB492&gt;=1,"D","F")))))))</f>
        <v/>
      </c>
      <c r="K492" s="3">
        <f>IF('Data Source'!B492="","",IF('Data Source'!AC492&gt;=5,"A+",IF('Data Source'!AC492&gt;=4,"A",IF('Data Source'!AC492&gt;=3.5,"A-",IF('Data Source'!AC492&gt;=3,"B",IF('Data Source'!AC492&gt;=2,"C",IF('Data Source'!AC492&gt;=1,"D","F")))))))</f>
        <v/>
      </c>
      <c r="L492" s="3">
        <f>IF('Data Source'!B492="","",IF('Data Source'!AD492&gt;=5,"A+",IF('Data Source'!AD492&gt;=4,"A",IF('Data Source'!AD492&gt;=3.5,"A-",IF('Data Source'!AD492&gt;=3,"B",IF('Data Source'!AD492&gt;=2,"C",IF('Data Source'!AD492&gt;=1,"D","F")))))))</f>
        <v/>
      </c>
      <c r="M492" s="3">
        <f>IF('Data Source'!B492="","",IF('Data Source'!AE492&gt;=5,"A+",IF('Data Source'!AE492&gt;=4,"A",IF('Data Source'!AE492&gt;=3.5,"A-",IF('Data Source'!AE492&gt;=3,"B",IF('Data Source'!AE492&gt;=2,"C",IF('Data Source'!AE492&gt;=1,"D","F")))))))</f>
        <v/>
      </c>
      <c r="N492" s="3">
        <f>IF('Data Source'!B492="","",IF('Data Source'!AF492&gt;=5,"A+",IF('Data Source'!AF492&gt;=4,"A",IF('Data Source'!AF492&gt;=3.5,"A-",IF('Data Source'!AF492&gt;=3,"B",IF('Data Source'!AF492&gt;=2,"C",IF('Data Source'!AF492&gt;=1,"D","F")))))))</f>
        <v/>
      </c>
      <c r="O492" s="3">
        <f>IF('Data Source'!B492="","",IF('Data Source'!AG492&gt;=5,"A+",IF('Data Source'!AG492&gt;=4,"A",IF('Data Source'!AG492&gt;=3.5,"A-",IF('Data Source'!AG492&gt;=3,"B",IF('Data Source'!AG492&gt;=2,"C",IF('Data Source'!AG492&gt;=1,"D","F")))))))</f>
        <v/>
      </c>
      <c r="P492" s="5">
        <f>IF('Data Source'!B492="","",'Data Source'!R492)</f>
        <v/>
      </c>
      <c r="Q492" s="3">
        <f>IF('Data Source'!B492="","",'Data Source'!S492)</f>
        <v/>
      </c>
    </row>
    <row r="493">
      <c r="A493" s="3">
        <f>IF('Data Source'!B493="","",'Data Source'!A493)</f>
        <v/>
      </c>
      <c r="B493">
        <f>IF('Data Source'!B493="","",'Data Source'!B493)</f>
        <v/>
      </c>
      <c r="C493" s="3">
        <f>IF('Data Source'!B493="","",IF('Data Source'!U493&gt;=5,"A+",IF('Data Source'!U493&gt;=4,"A",IF('Data Source'!U493&gt;=3.5,"A-",IF('Data Source'!U493&gt;=3,"B",IF('Data Source'!U493&gt;=2,"C",IF('Data Source'!U493&gt;=1,"D","F")))))))</f>
        <v/>
      </c>
      <c r="D493" s="3">
        <f>IF('Data Source'!B493="","",IF('Data Source'!V493&gt;=5,"A+",IF('Data Source'!V493&gt;=4,"A",IF('Data Source'!V493&gt;=3.5,"A-",IF('Data Source'!V493&gt;=3,"B",IF('Data Source'!V493&gt;=2,"C",IF('Data Source'!V493&gt;=1,"D","F")))))))</f>
        <v/>
      </c>
      <c r="E493" s="3">
        <f>IF('Data Source'!B493="","",IF('Data Source'!W493&gt;=5,"A+",IF('Data Source'!W493&gt;=4,"A",IF('Data Source'!W493&gt;=3.5,"A-",IF('Data Source'!W493&gt;=3,"B",IF('Data Source'!W493&gt;=2,"C",IF('Data Source'!W493&gt;=1,"D","F")))))))</f>
        <v/>
      </c>
      <c r="F493" s="3">
        <f>IF('Data Source'!B493="","",IF('Data Source'!X493&gt;=5,"A+",IF('Data Source'!X493&gt;=4,"A",IF('Data Source'!X493&gt;=3.5,"A-",IF('Data Source'!X493&gt;=3,"B",IF('Data Source'!X493&gt;=2,"C",IF('Data Source'!X493&gt;=1,"D","F")))))))</f>
        <v/>
      </c>
      <c r="G493" s="3">
        <f>IF('Data Source'!B493="","",IF('Data Source'!Y493&gt;=5,"A+",IF('Data Source'!Y493&gt;=4,"A",IF('Data Source'!Y493&gt;=3.5,"A-",IF('Data Source'!Y493&gt;=3,"B",IF('Data Source'!Y493&gt;=2,"C",IF('Data Source'!Y493&gt;=1,"D","F")))))))</f>
        <v/>
      </c>
      <c r="H493" s="3">
        <f>IF('Data Source'!B493="","",IF('Data Source'!Z493&gt;=5,"A+",IF('Data Source'!Z493&gt;=4,"A",IF('Data Source'!Z493&gt;=3.5,"A-",IF('Data Source'!Z493&gt;=3,"B",IF('Data Source'!Z493&gt;=2,"C",IF('Data Source'!Z493&gt;=1,"D","F")))))))</f>
        <v/>
      </c>
      <c r="I493" s="3">
        <f>IF('Data Source'!B493="","",IF('Data Source'!AA493&gt;=5,"A+",IF('Data Source'!AA493&gt;=4,"A",IF('Data Source'!AA493&gt;=3.5,"A-",IF('Data Source'!AA493&gt;=3,"B",IF('Data Source'!AA493&gt;=2,"C",IF('Data Source'!AA493&gt;=1,"D","F")))))))</f>
        <v/>
      </c>
      <c r="J493" s="3">
        <f>IF('Data Source'!B493="","",IF('Data Source'!AB493&gt;=5,"A+",IF('Data Source'!AB493&gt;=4,"A",IF('Data Source'!AB493&gt;=3.5,"A-",IF('Data Source'!AB493&gt;=3,"B",IF('Data Source'!AB493&gt;=2,"C",IF('Data Source'!AB493&gt;=1,"D","F")))))))</f>
        <v/>
      </c>
      <c r="K493" s="3">
        <f>IF('Data Source'!B493="","",IF('Data Source'!AC493&gt;=5,"A+",IF('Data Source'!AC493&gt;=4,"A",IF('Data Source'!AC493&gt;=3.5,"A-",IF('Data Source'!AC493&gt;=3,"B",IF('Data Source'!AC493&gt;=2,"C",IF('Data Source'!AC493&gt;=1,"D","F")))))))</f>
        <v/>
      </c>
      <c r="L493" s="3">
        <f>IF('Data Source'!B493="","",IF('Data Source'!AD493&gt;=5,"A+",IF('Data Source'!AD493&gt;=4,"A",IF('Data Source'!AD493&gt;=3.5,"A-",IF('Data Source'!AD493&gt;=3,"B",IF('Data Source'!AD493&gt;=2,"C",IF('Data Source'!AD493&gt;=1,"D","F")))))))</f>
        <v/>
      </c>
      <c r="M493" s="3">
        <f>IF('Data Source'!B493="","",IF('Data Source'!AE493&gt;=5,"A+",IF('Data Source'!AE493&gt;=4,"A",IF('Data Source'!AE493&gt;=3.5,"A-",IF('Data Source'!AE493&gt;=3,"B",IF('Data Source'!AE493&gt;=2,"C",IF('Data Source'!AE493&gt;=1,"D","F")))))))</f>
        <v/>
      </c>
      <c r="N493" s="3">
        <f>IF('Data Source'!B493="","",IF('Data Source'!AF493&gt;=5,"A+",IF('Data Source'!AF493&gt;=4,"A",IF('Data Source'!AF493&gt;=3.5,"A-",IF('Data Source'!AF493&gt;=3,"B",IF('Data Source'!AF493&gt;=2,"C",IF('Data Source'!AF493&gt;=1,"D","F")))))))</f>
        <v/>
      </c>
      <c r="O493" s="3">
        <f>IF('Data Source'!B493="","",IF('Data Source'!AG493&gt;=5,"A+",IF('Data Source'!AG493&gt;=4,"A",IF('Data Source'!AG493&gt;=3.5,"A-",IF('Data Source'!AG493&gt;=3,"B",IF('Data Source'!AG493&gt;=2,"C",IF('Data Source'!AG493&gt;=1,"D","F")))))))</f>
        <v/>
      </c>
      <c r="P493" s="5">
        <f>IF('Data Source'!B493="","",'Data Source'!R493)</f>
        <v/>
      </c>
      <c r="Q493" s="3">
        <f>IF('Data Source'!B493="","",'Data Source'!S493)</f>
        <v/>
      </c>
    </row>
    <row r="494">
      <c r="A494" s="3">
        <f>IF('Data Source'!B494="","",'Data Source'!A494)</f>
        <v/>
      </c>
      <c r="B494">
        <f>IF('Data Source'!B494="","",'Data Source'!B494)</f>
        <v/>
      </c>
      <c r="C494" s="3">
        <f>IF('Data Source'!B494="","",IF('Data Source'!U494&gt;=5,"A+",IF('Data Source'!U494&gt;=4,"A",IF('Data Source'!U494&gt;=3.5,"A-",IF('Data Source'!U494&gt;=3,"B",IF('Data Source'!U494&gt;=2,"C",IF('Data Source'!U494&gt;=1,"D","F")))))))</f>
        <v/>
      </c>
      <c r="D494" s="3">
        <f>IF('Data Source'!B494="","",IF('Data Source'!V494&gt;=5,"A+",IF('Data Source'!V494&gt;=4,"A",IF('Data Source'!V494&gt;=3.5,"A-",IF('Data Source'!V494&gt;=3,"B",IF('Data Source'!V494&gt;=2,"C",IF('Data Source'!V494&gt;=1,"D","F")))))))</f>
        <v/>
      </c>
      <c r="E494" s="3">
        <f>IF('Data Source'!B494="","",IF('Data Source'!W494&gt;=5,"A+",IF('Data Source'!W494&gt;=4,"A",IF('Data Source'!W494&gt;=3.5,"A-",IF('Data Source'!W494&gt;=3,"B",IF('Data Source'!W494&gt;=2,"C",IF('Data Source'!W494&gt;=1,"D","F")))))))</f>
        <v/>
      </c>
      <c r="F494" s="3">
        <f>IF('Data Source'!B494="","",IF('Data Source'!X494&gt;=5,"A+",IF('Data Source'!X494&gt;=4,"A",IF('Data Source'!X494&gt;=3.5,"A-",IF('Data Source'!X494&gt;=3,"B",IF('Data Source'!X494&gt;=2,"C",IF('Data Source'!X494&gt;=1,"D","F")))))))</f>
        <v/>
      </c>
      <c r="G494" s="3">
        <f>IF('Data Source'!B494="","",IF('Data Source'!Y494&gt;=5,"A+",IF('Data Source'!Y494&gt;=4,"A",IF('Data Source'!Y494&gt;=3.5,"A-",IF('Data Source'!Y494&gt;=3,"B",IF('Data Source'!Y494&gt;=2,"C",IF('Data Source'!Y494&gt;=1,"D","F")))))))</f>
        <v/>
      </c>
      <c r="H494" s="3">
        <f>IF('Data Source'!B494="","",IF('Data Source'!Z494&gt;=5,"A+",IF('Data Source'!Z494&gt;=4,"A",IF('Data Source'!Z494&gt;=3.5,"A-",IF('Data Source'!Z494&gt;=3,"B",IF('Data Source'!Z494&gt;=2,"C",IF('Data Source'!Z494&gt;=1,"D","F")))))))</f>
        <v/>
      </c>
      <c r="I494" s="3">
        <f>IF('Data Source'!B494="","",IF('Data Source'!AA494&gt;=5,"A+",IF('Data Source'!AA494&gt;=4,"A",IF('Data Source'!AA494&gt;=3.5,"A-",IF('Data Source'!AA494&gt;=3,"B",IF('Data Source'!AA494&gt;=2,"C",IF('Data Source'!AA494&gt;=1,"D","F")))))))</f>
        <v/>
      </c>
      <c r="J494" s="3">
        <f>IF('Data Source'!B494="","",IF('Data Source'!AB494&gt;=5,"A+",IF('Data Source'!AB494&gt;=4,"A",IF('Data Source'!AB494&gt;=3.5,"A-",IF('Data Source'!AB494&gt;=3,"B",IF('Data Source'!AB494&gt;=2,"C",IF('Data Source'!AB494&gt;=1,"D","F")))))))</f>
        <v/>
      </c>
      <c r="K494" s="3">
        <f>IF('Data Source'!B494="","",IF('Data Source'!AC494&gt;=5,"A+",IF('Data Source'!AC494&gt;=4,"A",IF('Data Source'!AC494&gt;=3.5,"A-",IF('Data Source'!AC494&gt;=3,"B",IF('Data Source'!AC494&gt;=2,"C",IF('Data Source'!AC494&gt;=1,"D","F")))))))</f>
        <v/>
      </c>
      <c r="L494" s="3">
        <f>IF('Data Source'!B494="","",IF('Data Source'!AD494&gt;=5,"A+",IF('Data Source'!AD494&gt;=4,"A",IF('Data Source'!AD494&gt;=3.5,"A-",IF('Data Source'!AD494&gt;=3,"B",IF('Data Source'!AD494&gt;=2,"C",IF('Data Source'!AD494&gt;=1,"D","F")))))))</f>
        <v/>
      </c>
      <c r="M494" s="3">
        <f>IF('Data Source'!B494="","",IF('Data Source'!AE494&gt;=5,"A+",IF('Data Source'!AE494&gt;=4,"A",IF('Data Source'!AE494&gt;=3.5,"A-",IF('Data Source'!AE494&gt;=3,"B",IF('Data Source'!AE494&gt;=2,"C",IF('Data Source'!AE494&gt;=1,"D","F")))))))</f>
        <v/>
      </c>
      <c r="N494" s="3">
        <f>IF('Data Source'!B494="","",IF('Data Source'!AF494&gt;=5,"A+",IF('Data Source'!AF494&gt;=4,"A",IF('Data Source'!AF494&gt;=3.5,"A-",IF('Data Source'!AF494&gt;=3,"B",IF('Data Source'!AF494&gt;=2,"C",IF('Data Source'!AF494&gt;=1,"D","F")))))))</f>
        <v/>
      </c>
      <c r="O494" s="3">
        <f>IF('Data Source'!B494="","",IF('Data Source'!AG494&gt;=5,"A+",IF('Data Source'!AG494&gt;=4,"A",IF('Data Source'!AG494&gt;=3.5,"A-",IF('Data Source'!AG494&gt;=3,"B",IF('Data Source'!AG494&gt;=2,"C",IF('Data Source'!AG494&gt;=1,"D","F")))))))</f>
        <v/>
      </c>
      <c r="P494" s="5">
        <f>IF('Data Source'!B494="","",'Data Source'!R494)</f>
        <v/>
      </c>
      <c r="Q494" s="3">
        <f>IF('Data Source'!B494="","",'Data Source'!S494)</f>
        <v/>
      </c>
    </row>
    <row r="495">
      <c r="A495" s="3">
        <f>IF('Data Source'!B495="","",'Data Source'!A495)</f>
        <v/>
      </c>
      <c r="B495">
        <f>IF('Data Source'!B495="","",'Data Source'!B495)</f>
        <v/>
      </c>
      <c r="C495" s="3">
        <f>IF('Data Source'!B495="","",IF('Data Source'!U495&gt;=5,"A+",IF('Data Source'!U495&gt;=4,"A",IF('Data Source'!U495&gt;=3.5,"A-",IF('Data Source'!U495&gt;=3,"B",IF('Data Source'!U495&gt;=2,"C",IF('Data Source'!U495&gt;=1,"D","F")))))))</f>
        <v/>
      </c>
      <c r="D495" s="3">
        <f>IF('Data Source'!B495="","",IF('Data Source'!V495&gt;=5,"A+",IF('Data Source'!V495&gt;=4,"A",IF('Data Source'!V495&gt;=3.5,"A-",IF('Data Source'!V495&gt;=3,"B",IF('Data Source'!V495&gt;=2,"C",IF('Data Source'!V495&gt;=1,"D","F")))))))</f>
        <v/>
      </c>
      <c r="E495" s="3">
        <f>IF('Data Source'!B495="","",IF('Data Source'!W495&gt;=5,"A+",IF('Data Source'!W495&gt;=4,"A",IF('Data Source'!W495&gt;=3.5,"A-",IF('Data Source'!W495&gt;=3,"B",IF('Data Source'!W495&gt;=2,"C",IF('Data Source'!W495&gt;=1,"D","F")))))))</f>
        <v/>
      </c>
      <c r="F495" s="3">
        <f>IF('Data Source'!B495="","",IF('Data Source'!X495&gt;=5,"A+",IF('Data Source'!X495&gt;=4,"A",IF('Data Source'!X495&gt;=3.5,"A-",IF('Data Source'!X495&gt;=3,"B",IF('Data Source'!X495&gt;=2,"C",IF('Data Source'!X495&gt;=1,"D","F")))))))</f>
        <v/>
      </c>
      <c r="G495" s="3">
        <f>IF('Data Source'!B495="","",IF('Data Source'!Y495&gt;=5,"A+",IF('Data Source'!Y495&gt;=4,"A",IF('Data Source'!Y495&gt;=3.5,"A-",IF('Data Source'!Y495&gt;=3,"B",IF('Data Source'!Y495&gt;=2,"C",IF('Data Source'!Y495&gt;=1,"D","F")))))))</f>
        <v/>
      </c>
      <c r="H495" s="3">
        <f>IF('Data Source'!B495="","",IF('Data Source'!Z495&gt;=5,"A+",IF('Data Source'!Z495&gt;=4,"A",IF('Data Source'!Z495&gt;=3.5,"A-",IF('Data Source'!Z495&gt;=3,"B",IF('Data Source'!Z495&gt;=2,"C",IF('Data Source'!Z495&gt;=1,"D","F")))))))</f>
        <v/>
      </c>
      <c r="I495" s="3">
        <f>IF('Data Source'!B495="","",IF('Data Source'!AA495&gt;=5,"A+",IF('Data Source'!AA495&gt;=4,"A",IF('Data Source'!AA495&gt;=3.5,"A-",IF('Data Source'!AA495&gt;=3,"B",IF('Data Source'!AA495&gt;=2,"C",IF('Data Source'!AA495&gt;=1,"D","F")))))))</f>
        <v/>
      </c>
      <c r="J495" s="3">
        <f>IF('Data Source'!B495="","",IF('Data Source'!AB495&gt;=5,"A+",IF('Data Source'!AB495&gt;=4,"A",IF('Data Source'!AB495&gt;=3.5,"A-",IF('Data Source'!AB495&gt;=3,"B",IF('Data Source'!AB495&gt;=2,"C",IF('Data Source'!AB495&gt;=1,"D","F")))))))</f>
        <v/>
      </c>
      <c r="K495" s="3">
        <f>IF('Data Source'!B495="","",IF('Data Source'!AC495&gt;=5,"A+",IF('Data Source'!AC495&gt;=4,"A",IF('Data Source'!AC495&gt;=3.5,"A-",IF('Data Source'!AC495&gt;=3,"B",IF('Data Source'!AC495&gt;=2,"C",IF('Data Source'!AC495&gt;=1,"D","F")))))))</f>
        <v/>
      </c>
      <c r="L495" s="3">
        <f>IF('Data Source'!B495="","",IF('Data Source'!AD495&gt;=5,"A+",IF('Data Source'!AD495&gt;=4,"A",IF('Data Source'!AD495&gt;=3.5,"A-",IF('Data Source'!AD495&gt;=3,"B",IF('Data Source'!AD495&gt;=2,"C",IF('Data Source'!AD495&gt;=1,"D","F")))))))</f>
        <v/>
      </c>
      <c r="M495" s="3">
        <f>IF('Data Source'!B495="","",IF('Data Source'!AE495&gt;=5,"A+",IF('Data Source'!AE495&gt;=4,"A",IF('Data Source'!AE495&gt;=3.5,"A-",IF('Data Source'!AE495&gt;=3,"B",IF('Data Source'!AE495&gt;=2,"C",IF('Data Source'!AE495&gt;=1,"D","F")))))))</f>
        <v/>
      </c>
      <c r="N495" s="3">
        <f>IF('Data Source'!B495="","",IF('Data Source'!AF495&gt;=5,"A+",IF('Data Source'!AF495&gt;=4,"A",IF('Data Source'!AF495&gt;=3.5,"A-",IF('Data Source'!AF495&gt;=3,"B",IF('Data Source'!AF495&gt;=2,"C",IF('Data Source'!AF495&gt;=1,"D","F")))))))</f>
        <v/>
      </c>
      <c r="O495" s="3">
        <f>IF('Data Source'!B495="","",IF('Data Source'!AG495&gt;=5,"A+",IF('Data Source'!AG495&gt;=4,"A",IF('Data Source'!AG495&gt;=3.5,"A-",IF('Data Source'!AG495&gt;=3,"B",IF('Data Source'!AG495&gt;=2,"C",IF('Data Source'!AG495&gt;=1,"D","F")))))))</f>
        <v/>
      </c>
      <c r="P495" s="5">
        <f>IF('Data Source'!B495="","",'Data Source'!R495)</f>
        <v/>
      </c>
      <c r="Q495" s="3">
        <f>IF('Data Source'!B495="","",'Data Source'!S495)</f>
        <v/>
      </c>
    </row>
    <row r="496">
      <c r="A496" s="3">
        <f>IF('Data Source'!B496="","",'Data Source'!A496)</f>
        <v/>
      </c>
      <c r="B496">
        <f>IF('Data Source'!B496="","",'Data Source'!B496)</f>
        <v/>
      </c>
      <c r="C496" s="3">
        <f>IF('Data Source'!B496="","",IF('Data Source'!U496&gt;=5,"A+",IF('Data Source'!U496&gt;=4,"A",IF('Data Source'!U496&gt;=3.5,"A-",IF('Data Source'!U496&gt;=3,"B",IF('Data Source'!U496&gt;=2,"C",IF('Data Source'!U496&gt;=1,"D","F")))))))</f>
        <v/>
      </c>
      <c r="D496" s="3">
        <f>IF('Data Source'!B496="","",IF('Data Source'!V496&gt;=5,"A+",IF('Data Source'!V496&gt;=4,"A",IF('Data Source'!V496&gt;=3.5,"A-",IF('Data Source'!V496&gt;=3,"B",IF('Data Source'!V496&gt;=2,"C",IF('Data Source'!V496&gt;=1,"D","F")))))))</f>
        <v/>
      </c>
      <c r="E496" s="3">
        <f>IF('Data Source'!B496="","",IF('Data Source'!W496&gt;=5,"A+",IF('Data Source'!W496&gt;=4,"A",IF('Data Source'!W496&gt;=3.5,"A-",IF('Data Source'!W496&gt;=3,"B",IF('Data Source'!W496&gt;=2,"C",IF('Data Source'!W496&gt;=1,"D","F")))))))</f>
        <v/>
      </c>
      <c r="F496" s="3">
        <f>IF('Data Source'!B496="","",IF('Data Source'!X496&gt;=5,"A+",IF('Data Source'!X496&gt;=4,"A",IF('Data Source'!X496&gt;=3.5,"A-",IF('Data Source'!X496&gt;=3,"B",IF('Data Source'!X496&gt;=2,"C",IF('Data Source'!X496&gt;=1,"D","F")))))))</f>
        <v/>
      </c>
      <c r="G496" s="3">
        <f>IF('Data Source'!B496="","",IF('Data Source'!Y496&gt;=5,"A+",IF('Data Source'!Y496&gt;=4,"A",IF('Data Source'!Y496&gt;=3.5,"A-",IF('Data Source'!Y496&gt;=3,"B",IF('Data Source'!Y496&gt;=2,"C",IF('Data Source'!Y496&gt;=1,"D","F")))))))</f>
        <v/>
      </c>
      <c r="H496" s="3">
        <f>IF('Data Source'!B496="","",IF('Data Source'!Z496&gt;=5,"A+",IF('Data Source'!Z496&gt;=4,"A",IF('Data Source'!Z496&gt;=3.5,"A-",IF('Data Source'!Z496&gt;=3,"B",IF('Data Source'!Z496&gt;=2,"C",IF('Data Source'!Z496&gt;=1,"D","F")))))))</f>
        <v/>
      </c>
      <c r="I496" s="3">
        <f>IF('Data Source'!B496="","",IF('Data Source'!AA496&gt;=5,"A+",IF('Data Source'!AA496&gt;=4,"A",IF('Data Source'!AA496&gt;=3.5,"A-",IF('Data Source'!AA496&gt;=3,"B",IF('Data Source'!AA496&gt;=2,"C",IF('Data Source'!AA496&gt;=1,"D","F")))))))</f>
        <v/>
      </c>
      <c r="J496" s="3">
        <f>IF('Data Source'!B496="","",IF('Data Source'!AB496&gt;=5,"A+",IF('Data Source'!AB496&gt;=4,"A",IF('Data Source'!AB496&gt;=3.5,"A-",IF('Data Source'!AB496&gt;=3,"B",IF('Data Source'!AB496&gt;=2,"C",IF('Data Source'!AB496&gt;=1,"D","F")))))))</f>
        <v/>
      </c>
      <c r="K496" s="3">
        <f>IF('Data Source'!B496="","",IF('Data Source'!AC496&gt;=5,"A+",IF('Data Source'!AC496&gt;=4,"A",IF('Data Source'!AC496&gt;=3.5,"A-",IF('Data Source'!AC496&gt;=3,"B",IF('Data Source'!AC496&gt;=2,"C",IF('Data Source'!AC496&gt;=1,"D","F")))))))</f>
        <v/>
      </c>
      <c r="L496" s="3">
        <f>IF('Data Source'!B496="","",IF('Data Source'!AD496&gt;=5,"A+",IF('Data Source'!AD496&gt;=4,"A",IF('Data Source'!AD496&gt;=3.5,"A-",IF('Data Source'!AD496&gt;=3,"B",IF('Data Source'!AD496&gt;=2,"C",IF('Data Source'!AD496&gt;=1,"D","F")))))))</f>
        <v/>
      </c>
      <c r="M496" s="3">
        <f>IF('Data Source'!B496="","",IF('Data Source'!AE496&gt;=5,"A+",IF('Data Source'!AE496&gt;=4,"A",IF('Data Source'!AE496&gt;=3.5,"A-",IF('Data Source'!AE496&gt;=3,"B",IF('Data Source'!AE496&gt;=2,"C",IF('Data Source'!AE496&gt;=1,"D","F")))))))</f>
        <v/>
      </c>
      <c r="N496" s="3">
        <f>IF('Data Source'!B496="","",IF('Data Source'!AF496&gt;=5,"A+",IF('Data Source'!AF496&gt;=4,"A",IF('Data Source'!AF496&gt;=3.5,"A-",IF('Data Source'!AF496&gt;=3,"B",IF('Data Source'!AF496&gt;=2,"C",IF('Data Source'!AF496&gt;=1,"D","F")))))))</f>
        <v/>
      </c>
      <c r="O496" s="3">
        <f>IF('Data Source'!B496="","",IF('Data Source'!AG496&gt;=5,"A+",IF('Data Source'!AG496&gt;=4,"A",IF('Data Source'!AG496&gt;=3.5,"A-",IF('Data Source'!AG496&gt;=3,"B",IF('Data Source'!AG496&gt;=2,"C",IF('Data Source'!AG496&gt;=1,"D","F")))))))</f>
        <v/>
      </c>
      <c r="P496" s="5">
        <f>IF('Data Source'!B496="","",'Data Source'!R496)</f>
        <v/>
      </c>
      <c r="Q496" s="3">
        <f>IF('Data Source'!B496="","",'Data Source'!S496)</f>
        <v/>
      </c>
    </row>
    <row r="497">
      <c r="A497" s="3">
        <f>IF('Data Source'!B497="","",'Data Source'!A497)</f>
        <v/>
      </c>
      <c r="B497">
        <f>IF('Data Source'!B497="","",'Data Source'!B497)</f>
        <v/>
      </c>
      <c r="C497" s="3">
        <f>IF('Data Source'!B497="","",IF('Data Source'!U497&gt;=5,"A+",IF('Data Source'!U497&gt;=4,"A",IF('Data Source'!U497&gt;=3.5,"A-",IF('Data Source'!U497&gt;=3,"B",IF('Data Source'!U497&gt;=2,"C",IF('Data Source'!U497&gt;=1,"D","F")))))))</f>
        <v/>
      </c>
      <c r="D497" s="3">
        <f>IF('Data Source'!B497="","",IF('Data Source'!V497&gt;=5,"A+",IF('Data Source'!V497&gt;=4,"A",IF('Data Source'!V497&gt;=3.5,"A-",IF('Data Source'!V497&gt;=3,"B",IF('Data Source'!V497&gt;=2,"C",IF('Data Source'!V497&gt;=1,"D","F")))))))</f>
        <v/>
      </c>
      <c r="E497" s="3">
        <f>IF('Data Source'!B497="","",IF('Data Source'!W497&gt;=5,"A+",IF('Data Source'!W497&gt;=4,"A",IF('Data Source'!W497&gt;=3.5,"A-",IF('Data Source'!W497&gt;=3,"B",IF('Data Source'!W497&gt;=2,"C",IF('Data Source'!W497&gt;=1,"D","F")))))))</f>
        <v/>
      </c>
      <c r="F497" s="3">
        <f>IF('Data Source'!B497="","",IF('Data Source'!X497&gt;=5,"A+",IF('Data Source'!X497&gt;=4,"A",IF('Data Source'!X497&gt;=3.5,"A-",IF('Data Source'!X497&gt;=3,"B",IF('Data Source'!X497&gt;=2,"C",IF('Data Source'!X497&gt;=1,"D","F")))))))</f>
        <v/>
      </c>
      <c r="G497" s="3">
        <f>IF('Data Source'!B497="","",IF('Data Source'!Y497&gt;=5,"A+",IF('Data Source'!Y497&gt;=4,"A",IF('Data Source'!Y497&gt;=3.5,"A-",IF('Data Source'!Y497&gt;=3,"B",IF('Data Source'!Y497&gt;=2,"C",IF('Data Source'!Y497&gt;=1,"D","F")))))))</f>
        <v/>
      </c>
      <c r="H497" s="3">
        <f>IF('Data Source'!B497="","",IF('Data Source'!Z497&gt;=5,"A+",IF('Data Source'!Z497&gt;=4,"A",IF('Data Source'!Z497&gt;=3.5,"A-",IF('Data Source'!Z497&gt;=3,"B",IF('Data Source'!Z497&gt;=2,"C",IF('Data Source'!Z497&gt;=1,"D","F")))))))</f>
        <v/>
      </c>
      <c r="I497" s="3">
        <f>IF('Data Source'!B497="","",IF('Data Source'!AA497&gt;=5,"A+",IF('Data Source'!AA497&gt;=4,"A",IF('Data Source'!AA497&gt;=3.5,"A-",IF('Data Source'!AA497&gt;=3,"B",IF('Data Source'!AA497&gt;=2,"C",IF('Data Source'!AA497&gt;=1,"D","F")))))))</f>
        <v/>
      </c>
      <c r="J497" s="3">
        <f>IF('Data Source'!B497="","",IF('Data Source'!AB497&gt;=5,"A+",IF('Data Source'!AB497&gt;=4,"A",IF('Data Source'!AB497&gt;=3.5,"A-",IF('Data Source'!AB497&gt;=3,"B",IF('Data Source'!AB497&gt;=2,"C",IF('Data Source'!AB497&gt;=1,"D","F")))))))</f>
        <v/>
      </c>
      <c r="K497" s="3">
        <f>IF('Data Source'!B497="","",IF('Data Source'!AC497&gt;=5,"A+",IF('Data Source'!AC497&gt;=4,"A",IF('Data Source'!AC497&gt;=3.5,"A-",IF('Data Source'!AC497&gt;=3,"B",IF('Data Source'!AC497&gt;=2,"C",IF('Data Source'!AC497&gt;=1,"D","F")))))))</f>
        <v/>
      </c>
      <c r="L497" s="3">
        <f>IF('Data Source'!B497="","",IF('Data Source'!AD497&gt;=5,"A+",IF('Data Source'!AD497&gt;=4,"A",IF('Data Source'!AD497&gt;=3.5,"A-",IF('Data Source'!AD497&gt;=3,"B",IF('Data Source'!AD497&gt;=2,"C",IF('Data Source'!AD497&gt;=1,"D","F")))))))</f>
        <v/>
      </c>
      <c r="M497" s="3">
        <f>IF('Data Source'!B497="","",IF('Data Source'!AE497&gt;=5,"A+",IF('Data Source'!AE497&gt;=4,"A",IF('Data Source'!AE497&gt;=3.5,"A-",IF('Data Source'!AE497&gt;=3,"B",IF('Data Source'!AE497&gt;=2,"C",IF('Data Source'!AE497&gt;=1,"D","F")))))))</f>
        <v/>
      </c>
      <c r="N497" s="3">
        <f>IF('Data Source'!B497="","",IF('Data Source'!AF497&gt;=5,"A+",IF('Data Source'!AF497&gt;=4,"A",IF('Data Source'!AF497&gt;=3.5,"A-",IF('Data Source'!AF497&gt;=3,"B",IF('Data Source'!AF497&gt;=2,"C",IF('Data Source'!AF497&gt;=1,"D","F")))))))</f>
        <v/>
      </c>
      <c r="O497" s="3">
        <f>IF('Data Source'!B497="","",IF('Data Source'!AG497&gt;=5,"A+",IF('Data Source'!AG497&gt;=4,"A",IF('Data Source'!AG497&gt;=3.5,"A-",IF('Data Source'!AG497&gt;=3,"B",IF('Data Source'!AG497&gt;=2,"C",IF('Data Source'!AG497&gt;=1,"D","F")))))))</f>
        <v/>
      </c>
      <c r="P497" s="5">
        <f>IF('Data Source'!B497="","",'Data Source'!R497)</f>
        <v/>
      </c>
      <c r="Q497" s="3">
        <f>IF('Data Source'!B497="","",'Data Source'!S497)</f>
        <v/>
      </c>
    </row>
    <row r="498">
      <c r="A498" s="3">
        <f>IF('Data Source'!B498="","",'Data Source'!A498)</f>
        <v/>
      </c>
      <c r="B498">
        <f>IF('Data Source'!B498="","",'Data Source'!B498)</f>
        <v/>
      </c>
      <c r="C498" s="3">
        <f>IF('Data Source'!B498="","",IF('Data Source'!U498&gt;=5,"A+",IF('Data Source'!U498&gt;=4,"A",IF('Data Source'!U498&gt;=3.5,"A-",IF('Data Source'!U498&gt;=3,"B",IF('Data Source'!U498&gt;=2,"C",IF('Data Source'!U498&gt;=1,"D","F")))))))</f>
        <v/>
      </c>
      <c r="D498" s="3">
        <f>IF('Data Source'!B498="","",IF('Data Source'!V498&gt;=5,"A+",IF('Data Source'!V498&gt;=4,"A",IF('Data Source'!V498&gt;=3.5,"A-",IF('Data Source'!V498&gt;=3,"B",IF('Data Source'!V498&gt;=2,"C",IF('Data Source'!V498&gt;=1,"D","F")))))))</f>
        <v/>
      </c>
      <c r="E498" s="3">
        <f>IF('Data Source'!B498="","",IF('Data Source'!W498&gt;=5,"A+",IF('Data Source'!W498&gt;=4,"A",IF('Data Source'!W498&gt;=3.5,"A-",IF('Data Source'!W498&gt;=3,"B",IF('Data Source'!W498&gt;=2,"C",IF('Data Source'!W498&gt;=1,"D","F")))))))</f>
        <v/>
      </c>
      <c r="F498" s="3">
        <f>IF('Data Source'!B498="","",IF('Data Source'!X498&gt;=5,"A+",IF('Data Source'!X498&gt;=4,"A",IF('Data Source'!X498&gt;=3.5,"A-",IF('Data Source'!X498&gt;=3,"B",IF('Data Source'!X498&gt;=2,"C",IF('Data Source'!X498&gt;=1,"D","F")))))))</f>
        <v/>
      </c>
      <c r="G498" s="3">
        <f>IF('Data Source'!B498="","",IF('Data Source'!Y498&gt;=5,"A+",IF('Data Source'!Y498&gt;=4,"A",IF('Data Source'!Y498&gt;=3.5,"A-",IF('Data Source'!Y498&gt;=3,"B",IF('Data Source'!Y498&gt;=2,"C",IF('Data Source'!Y498&gt;=1,"D","F")))))))</f>
        <v/>
      </c>
      <c r="H498" s="3">
        <f>IF('Data Source'!B498="","",IF('Data Source'!Z498&gt;=5,"A+",IF('Data Source'!Z498&gt;=4,"A",IF('Data Source'!Z498&gt;=3.5,"A-",IF('Data Source'!Z498&gt;=3,"B",IF('Data Source'!Z498&gt;=2,"C",IF('Data Source'!Z498&gt;=1,"D","F")))))))</f>
        <v/>
      </c>
      <c r="I498" s="3">
        <f>IF('Data Source'!B498="","",IF('Data Source'!AA498&gt;=5,"A+",IF('Data Source'!AA498&gt;=4,"A",IF('Data Source'!AA498&gt;=3.5,"A-",IF('Data Source'!AA498&gt;=3,"B",IF('Data Source'!AA498&gt;=2,"C",IF('Data Source'!AA498&gt;=1,"D","F")))))))</f>
        <v/>
      </c>
      <c r="J498" s="3">
        <f>IF('Data Source'!B498="","",IF('Data Source'!AB498&gt;=5,"A+",IF('Data Source'!AB498&gt;=4,"A",IF('Data Source'!AB498&gt;=3.5,"A-",IF('Data Source'!AB498&gt;=3,"B",IF('Data Source'!AB498&gt;=2,"C",IF('Data Source'!AB498&gt;=1,"D","F")))))))</f>
        <v/>
      </c>
      <c r="K498" s="3">
        <f>IF('Data Source'!B498="","",IF('Data Source'!AC498&gt;=5,"A+",IF('Data Source'!AC498&gt;=4,"A",IF('Data Source'!AC498&gt;=3.5,"A-",IF('Data Source'!AC498&gt;=3,"B",IF('Data Source'!AC498&gt;=2,"C",IF('Data Source'!AC498&gt;=1,"D","F")))))))</f>
        <v/>
      </c>
      <c r="L498" s="3">
        <f>IF('Data Source'!B498="","",IF('Data Source'!AD498&gt;=5,"A+",IF('Data Source'!AD498&gt;=4,"A",IF('Data Source'!AD498&gt;=3.5,"A-",IF('Data Source'!AD498&gt;=3,"B",IF('Data Source'!AD498&gt;=2,"C",IF('Data Source'!AD498&gt;=1,"D","F")))))))</f>
        <v/>
      </c>
      <c r="M498" s="3">
        <f>IF('Data Source'!B498="","",IF('Data Source'!AE498&gt;=5,"A+",IF('Data Source'!AE498&gt;=4,"A",IF('Data Source'!AE498&gt;=3.5,"A-",IF('Data Source'!AE498&gt;=3,"B",IF('Data Source'!AE498&gt;=2,"C",IF('Data Source'!AE498&gt;=1,"D","F")))))))</f>
        <v/>
      </c>
      <c r="N498" s="3">
        <f>IF('Data Source'!B498="","",IF('Data Source'!AF498&gt;=5,"A+",IF('Data Source'!AF498&gt;=4,"A",IF('Data Source'!AF498&gt;=3.5,"A-",IF('Data Source'!AF498&gt;=3,"B",IF('Data Source'!AF498&gt;=2,"C",IF('Data Source'!AF498&gt;=1,"D","F")))))))</f>
        <v/>
      </c>
      <c r="O498" s="3">
        <f>IF('Data Source'!B498="","",IF('Data Source'!AG498&gt;=5,"A+",IF('Data Source'!AG498&gt;=4,"A",IF('Data Source'!AG498&gt;=3.5,"A-",IF('Data Source'!AG498&gt;=3,"B",IF('Data Source'!AG498&gt;=2,"C",IF('Data Source'!AG498&gt;=1,"D","F")))))))</f>
        <v/>
      </c>
      <c r="P498" s="5">
        <f>IF('Data Source'!B498="","",'Data Source'!R498)</f>
        <v/>
      </c>
      <c r="Q498" s="3">
        <f>IF('Data Source'!B498="","",'Data Source'!S498)</f>
        <v/>
      </c>
    </row>
    <row r="499">
      <c r="A499" s="3">
        <f>IF('Data Source'!B499="","",'Data Source'!A499)</f>
        <v/>
      </c>
      <c r="B499">
        <f>IF('Data Source'!B499="","",'Data Source'!B499)</f>
        <v/>
      </c>
      <c r="C499" s="3">
        <f>IF('Data Source'!B499="","",IF('Data Source'!U499&gt;=5,"A+",IF('Data Source'!U499&gt;=4,"A",IF('Data Source'!U499&gt;=3.5,"A-",IF('Data Source'!U499&gt;=3,"B",IF('Data Source'!U499&gt;=2,"C",IF('Data Source'!U499&gt;=1,"D","F")))))))</f>
        <v/>
      </c>
      <c r="D499" s="3">
        <f>IF('Data Source'!B499="","",IF('Data Source'!V499&gt;=5,"A+",IF('Data Source'!V499&gt;=4,"A",IF('Data Source'!V499&gt;=3.5,"A-",IF('Data Source'!V499&gt;=3,"B",IF('Data Source'!V499&gt;=2,"C",IF('Data Source'!V499&gt;=1,"D","F")))))))</f>
        <v/>
      </c>
      <c r="E499" s="3">
        <f>IF('Data Source'!B499="","",IF('Data Source'!W499&gt;=5,"A+",IF('Data Source'!W499&gt;=4,"A",IF('Data Source'!W499&gt;=3.5,"A-",IF('Data Source'!W499&gt;=3,"B",IF('Data Source'!W499&gt;=2,"C",IF('Data Source'!W499&gt;=1,"D","F")))))))</f>
        <v/>
      </c>
      <c r="F499" s="3">
        <f>IF('Data Source'!B499="","",IF('Data Source'!X499&gt;=5,"A+",IF('Data Source'!X499&gt;=4,"A",IF('Data Source'!X499&gt;=3.5,"A-",IF('Data Source'!X499&gt;=3,"B",IF('Data Source'!X499&gt;=2,"C",IF('Data Source'!X499&gt;=1,"D","F")))))))</f>
        <v/>
      </c>
      <c r="G499" s="3">
        <f>IF('Data Source'!B499="","",IF('Data Source'!Y499&gt;=5,"A+",IF('Data Source'!Y499&gt;=4,"A",IF('Data Source'!Y499&gt;=3.5,"A-",IF('Data Source'!Y499&gt;=3,"B",IF('Data Source'!Y499&gt;=2,"C",IF('Data Source'!Y499&gt;=1,"D","F")))))))</f>
        <v/>
      </c>
      <c r="H499" s="3">
        <f>IF('Data Source'!B499="","",IF('Data Source'!Z499&gt;=5,"A+",IF('Data Source'!Z499&gt;=4,"A",IF('Data Source'!Z499&gt;=3.5,"A-",IF('Data Source'!Z499&gt;=3,"B",IF('Data Source'!Z499&gt;=2,"C",IF('Data Source'!Z499&gt;=1,"D","F")))))))</f>
        <v/>
      </c>
      <c r="I499" s="3">
        <f>IF('Data Source'!B499="","",IF('Data Source'!AA499&gt;=5,"A+",IF('Data Source'!AA499&gt;=4,"A",IF('Data Source'!AA499&gt;=3.5,"A-",IF('Data Source'!AA499&gt;=3,"B",IF('Data Source'!AA499&gt;=2,"C",IF('Data Source'!AA499&gt;=1,"D","F")))))))</f>
        <v/>
      </c>
      <c r="J499" s="3">
        <f>IF('Data Source'!B499="","",IF('Data Source'!AB499&gt;=5,"A+",IF('Data Source'!AB499&gt;=4,"A",IF('Data Source'!AB499&gt;=3.5,"A-",IF('Data Source'!AB499&gt;=3,"B",IF('Data Source'!AB499&gt;=2,"C",IF('Data Source'!AB499&gt;=1,"D","F")))))))</f>
        <v/>
      </c>
      <c r="K499" s="3">
        <f>IF('Data Source'!B499="","",IF('Data Source'!AC499&gt;=5,"A+",IF('Data Source'!AC499&gt;=4,"A",IF('Data Source'!AC499&gt;=3.5,"A-",IF('Data Source'!AC499&gt;=3,"B",IF('Data Source'!AC499&gt;=2,"C",IF('Data Source'!AC499&gt;=1,"D","F")))))))</f>
        <v/>
      </c>
      <c r="L499" s="3">
        <f>IF('Data Source'!B499="","",IF('Data Source'!AD499&gt;=5,"A+",IF('Data Source'!AD499&gt;=4,"A",IF('Data Source'!AD499&gt;=3.5,"A-",IF('Data Source'!AD499&gt;=3,"B",IF('Data Source'!AD499&gt;=2,"C",IF('Data Source'!AD499&gt;=1,"D","F")))))))</f>
        <v/>
      </c>
      <c r="M499" s="3">
        <f>IF('Data Source'!B499="","",IF('Data Source'!AE499&gt;=5,"A+",IF('Data Source'!AE499&gt;=4,"A",IF('Data Source'!AE499&gt;=3.5,"A-",IF('Data Source'!AE499&gt;=3,"B",IF('Data Source'!AE499&gt;=2,"C",IF('Data Source'!AE499&gt;=1,"D","F")))))))</f>
        <v/>
      </c>
      <c r="N499" s="3">
        <f>IF('Data Source'!B499="","",IF('Data Source'!AF499&gt;=5,"A+",IF('Data Source'!AF499&gt;=4,"A",IF('Data Source'!AF499&gt;=3.5,"A-",IF('Data Source'!AF499&gt;=3,"B",IF('Data Source'!AF499&gt;=2,"C",IF('Data Source'!AF499&gt;=1,"D","F")))))))</f>
        <v/>
      </c>
      <c r="O499" s="3">
        <f>IF('Data Source'!B499="","",IF('Data Source'!AG499&gt;=5,"A+",IF('Data Source'!AG499&gt;=4,"A",IF('Data Source'!AG499&gt;=3.5,"A-",IF('Data Source'!AG499&gt;=3,"B",IF('Data Source'!AG499&gt;=2,"C",IF('Data Source'!AG499&gt;=1,"D","F")))))))</f>
        <v/>
      </c>
      <c r="P499" s="5">
        <f>IF('Data Source'!B499="","",'Data Source'!R499)</f>
        <v/>
      </c>
      <c r="Q499" s="3">
        <f>IF('Data Source'!B499="","",'Data Source'!S499)</f>
        <v/>
      </c>
    </row>
    <row r="500">
      <c r="A500" s="3">
        <f>IF('Data Source'!B500="","",'Data Source'!A500)</f>
        <v/>
      </c>
      <c r="B500">
        <f>IF('Data Source'!B500="","",'Data Source'!B500)</f>
        <v/>
      </c>
      <c r="C500" s="3">
        <f>IF('Data Source'!B500="","",IF('Data Source'!U500&gt;=5,"A+",IF('Data Source'!U500&gt;=4,"A",IF('Data Source'!U500&gt;=3.5,"A-",IF('Data Source'!U500&gt;=3,"B",IF('Data Source'!U500&gt;=2,"C",IF('Data Source'!U500&gt;=1,"D","F")))))))</f>
        <v/>
      </c>
      <c r="D500" s="3">
        <f>IF('Data Source'!B500="","",IF('Data Source'!V500&gt;=5,"A+",IF('Data Source'!V500&gt;=4,"A",IF('Data Source'!V500&gt;=3.5,"A-",IF('Data Source'!V500&gt;=3,"B",IF('Data Source'!V500&gt;=2,"C",IF('Data Source'!V500&gt;=1,"D","F")))))))</f>
        <v/>
      </c>
      <c r="E500" s="3">
        <f>IF('Data Source'!B500="","",IF('Data Source'!W500&gt;=5,"A+",IF('Data Source'!W500&gt;=4,"A",IF('Data Source'!W500&gt;=3.5,"A-",IF('Data Source'!W500&gt;=3,"B",IF('Data Source'!W500&gt;=2,"C",IF('Data Source'!W500&gt;=1,"D","F")))))))</f>
        <v/>
      </c>
      <c r="F500" s="3">
        <f>IF('Data Source'!B500="","",IF('Data Source'!X500&gt;=5,"A+",IF('Data Source'!X500&gt;=4,"A",IF('Data Source'!X500&gt;=3.5,"A-",IF('Data Source'!X500&gt;=3,"B",IF('Data Source'!X500&gt;=2,"C",IF('Data Source'!X500&gt;=1,"D","F")))))))</f>
        <v/>
      </c>
      <c r="G500" s="3">
        <f>IF('Data Source'!B500="","",IF('Data Source'!Y500&gt;=5,"A+",IF('Data Source'!Y500&gt;=4,"A",IF('Data Source'!Y500&gt;=3.5,"A-",IF('Data Source'!Y500&gt;=3,"B",IF('Data Source'!Y500&gt;=2,"C",IF('Data Source'!Y500&gt;=1,"D","F")))))))</f>
        <v/>
      </c>
      <c r="H500" s="3">
        <f>IF('Data Source'!B500="","",IF('Data Source'!Z500&gt;=5,"A+",IF('Data Source'!Z500&gt;=4,"A",IF('Data Source'!Z500&gt;=3.5,"A-",IF('Data Source'!Z500&gt;=3,"B",IF('Data Source'!Z500&gt;=2,"C",IF('Data Source'!Z500&gt;=1,"D","F")))))))</f>
        <v/>
      </c>
      <c r="I500" s="3">
        <f>IF('Data Source'!B500="","",IF('Data Source'!AA500&gt;=5,"A+",IF('Data Source'!AA500&gt;=4,"A",IF('Data Source'!AA500&gt;=3.5,"A-",IF('Data Source'!AA500&gt;=3,"B",IF('Data Source'!AA500&gt;=2,"C",IF('Data Source'!AA500&gt;=1,"D","F")))))))</f>
        <v/>
      </c>
      <c r="J500" s="3">
        <f>IF('Data Source'!B500="","",IF('Data Source'!AB500&gt;=5,"A+",IF('Data Source'!AB500&gt;=4,"A",IF('Data Source'!AB500&gt;=3.5,"A-",IF('Data Source'!AB500&gt;=3,"B",IF('Data Source'!AB500&gt;=2,"C",IF('Data Source'!AB500&gt;=1,"D","F")))))))</f>
        <v/>
      </c>
      <c r="K500" s="3">
        <f>IF('Data Source'!B500="","",IF('Data Source'!AC500&gt;=5,"A+",IF('Data Source'!AC500&gt;=4,"A",IF('Data Source'!AC500&gt;=3.5,"A-",IF('Data Source'!AC500&gt;=3,"B",IF('Data Source'!AC500&gt;=2,"C",IF('Data Source'!AC500&gt;=1,"D","F")))))))</f>
        <v/>
      </c>
      <c r="L500" s="3">
        <f>IF('Data Source'!B500="","",IF('Data Source'!AD500&gt;=5,"A+",IF('Data Source'!AD500&gt;=4,"A",IF('Data Source'!AD500&gt;=3.5,"A-",IF('Data Source'!AD500&gt;=3,"B",IF('Data Source'!AD500&gt;=2,"C",IF('Data Source'!AD500&gt;=1,"D","F")))))))</f>
        <v/>
      </c>
      <c r="M500" s="3">
        <f>IF('Data Source'!B500="","",IF('Data Source'!AE500&gt;=5,"A+",IF('Data Source'!AE500&gt;=4,"A",IF('Data Source'!AE500&gt;=3.5,"A-",IF('Data Source'!AE500&gt;=3,"B",IF('Data Source'!AE500&gt;=2,"C",IF('Data Source'!AE500&gt;=1,"D","F")))))))</f>
        <v/>
      </c>
      <c r="N500" s="3">
        <f>IF('Data Source'!B500="","",IF('Data Source'!AF500&gt;=5,"A+",IF('Data Source'!AF500&gt;=4,"A",IF('Data Source'!AF500&gt;=3.5,"A-",IF('Data Source'!AF500&gt;=3,"B",IF('Data Source'!AF500&gt;=2,"C",IF('Data Source'!AF500&gt;=1,"D","F")))))))</f>
        <v/>
      </c>
      <c r="O500" s="3">
        <f>IF('Data Source'!B500="","",IF('Data Source'!AG500&gt;=5,"A+",IF('Data Source'!AG500&gt;=4,"A",IF('Data Source'!AG500&gt;=3.5,"A-",IF('Data Source'!AG500&gt;=3,"B",IF('Data Source'!AG500&gt;=2,"C",IF('Data Source'!AG500&gt;=1,"D","F")))))))</f>
        <v/>
      </c>
      <c r="P500" s="5">
        <f>IF('Data Source'!B500="","",'Data Source'!R500)</f>
        <v/>
      </c>
      <c r="Q500" s="3">
        <f>IF('Data Source'!B500="","",'Data Source'!S500)</f>
        <v/>
      </c>
    </row>
    <row r="501">
      <c r="A501" s="3">
        <f>IF('Data Source'!B501="","",'Data Source'!A501)</f>
        <v/>
      </c>
      <c r="B501">
        <f>IF('Data Source'!B501="","",'Data Source'!B501)</f>
        <v/>
      </c>
      <c r="C501" s="3">
        <f>IF('Data Source'!B501="","",IF('Data Source'!U501&gt;=5,"A+",IF('Data Source'!U501&gt;=4,"A",IF('Data Source'!U501&gt;=3.5,"A-",IF('Data Source'!U501&gt;=3,"B",IF('Data Source'!U501&gt;=2,"C",IF('Data Source'!U501&gt;=1,"D","F")))))))</f>
        <v/>
      </c>
      <c r="D501" s="3">
        <f>IF('Data Source'!B501="","",IF('Data Source'!V501&gt;=5,"A+",IF('Data Source'!V501&gt;=4,"A",IF('Data Source'!V501&gt;=3.5,"A-",IF('Data Source'!V501&gt;=3,"B",IF('Data Source'!V501&gt;=2,"C",IF('Data Source'!V501&gt;=1,"D","F")))))))</f>
        <v/>
      </c>
      <c r="E501" s="3">
        <f>IF('Data Source'!B501="","",IF('Data Source'!W501&gt;=5,"A+",IF('Data Source'!W501&gt;=4,"A",IF('Data Source'!W501&gt;=3.5,"A-",IF('Data Source'!W501&gt;=3,"B",IF('Data Source'!W501&gt;=2,"C",IF('Data Source'!W501&gt;=1,"D","F")))))))</f>
        <v/>
      </c>
      <c r="F501" s="3">
        <f>IF('Data Source'!B501="","",IF('Data Source'!X501&gt;=5,"A+",IF('Data Source'!X501&gt;=4,"A",IF('Data Source'!X501&gt;=3.5,"A-",IF('Data Source'!X501&gt;=3,"B",IF('Data Source'!X501&gt;=2,"C",IF('Data Source'!X501&gt;=1,"D","F")))))))</f>
        <v/>
      </c>
      <c r="G501" s="3">
        <f>IF('Data Source'!B501="","",IF('Data Source'!Y501&gt;=5,"A+",IF('Data Source'!Y501&gt;=4,"A",IF('Data Source'!Y501&gt;=3.5,"A-",IF('Data Source'!Y501&gt;=3,"B",IF('Data Source'!Y501&gt;=2,"C",IF('Data Source'!Y501&gt;=1,"D","F")))))))</f>
        <v/>
      </c>
      <c r="H501" s="3">
        <f>IF('Data Source'!B501="","",IF('Data Source'!Z501&gt;=5,"A+",IF('Data Source'!Z501&gt;=4,"A",IF('Data Source'!Z501&gt;=3.5,"A-",IF('Data Source'!Z501&gt;=3,"B",IF('Data Source'!Z501&gt;=2,"C",IF('Data Source'!Z501&gt;=1,"D","F")))))))</f>
        <v/>
      </c>
      <c r="I501" s="3">
        <f>IF('Data Source'!B501="","",IF('Data Source'!AA501&gt;=5,"A+",IF('Data Source'!AA501&gt;=4,"A",IF('Data Source'!AA501&gt;=3.5,"A-",IF('Data Source'!AA501&gt;=3,"B",IF('Data Source'!AA501&gt;=2,"C",IF('Data Source'!AA501&gt;=1,"D","F")))))))</f>
        <v/>
      </c>
      <c r="J501" s="3">
        <f>IF('Data Source'!B501="","",IF('Data Source'!AB501&gt;=5,"A+",IF('Data Source'!AB501&gt;=4,"A",IF('Data Source'!AB501&gt;=3.5,"A-",IF('Data Source'!AB501&gt;=3,"B",IF('Data Source'!AB501&gt;=2,"C",IF('Data Source'!AB501&gt;=1,"D","F")))))))</f>
        <v/>
      </c>
      <c r="K501" s="3">
        <f>IF('Data Source'!B501="","",IF('Data Source'!AC501&gt;=5,"A+",IF('Data Source'!AC501&gt;=4,"A",IF('Data Source'!AC501&gt;=3.5,"A-",IF('Data Source'!AC501&gt;=3,"B",IF('Data Source'!AC501&gt;=2,"C",IF('Data Source'!AC501&gt;=1,"D","F")))))))</f>
        <v/>
      </c>
      <c r="L501" s="3">
        <f>IF('Data Source'!B501="","",IF('Data Source'!AD501&gt;=5,"A+",IF('Data Source'!AD501&gt;=4,"A",IF('Data Source'!AD501&gt;=3.5,"A-",IF('Data Source'!AD501&gt;=3,"B",IF('Data Source'!AD501&gt;=2,"C",IF('Data Source'!AD501&gt;=1,"D","F")))))))</f>
        <v/>
      </c>
      <c r="M501" s="3">
        <f>IF('Data Source'!B501="","",IF('Data Source'!AE501&gt;=5,"A+",IF('Data Source'!AE501&gt;=4,"A",IF('Data Source'!AE501&gt;=3.5,"A-",IF('Data Source'!AE501&gt;=3,"B",IF('Data Source'!AE501&gt;=2,"C",IF('Data Source'!AE501&gt;=1,"D","F")))))))</f>
        <v/>
      </c>
      <c r="N501" s="3">
        <f>IF('Data Source'!B501="","",IF('Data Source'!AF501&gt;=5,"A+",IF('Data Source'!AF501&gt;=4,"A",IF('Data Source'!AF501&gt;=3.5,"A-",IF('Data Source'!AF501&gt;=3,"B",IF('Data Source'!AF501&gt;=2,"C",IF('Data Source'!AF501&gt;=1,"D","F")))))))</f>
        <v/>
      </c>
      <c r="O501" s="3">
        <f>IF('Data Source'!B501="","",IF('Data Source'!AG501&gt;=5,"A+",IF('Data Source'!AG501&gt;=4,"A",IF('Data Source'!AG501&gt;=3.5,"A-",IF('Data Source'!AG501&gt;=3,"B",IF('Data Source'!AG501&gt;=2,"C",IF('Data Source'!AG501&gt;=1,"D","F")))))))</f>
        <v/>
      </c>
      <c r="P501" s="5">
        <f>IF('Data Source'!B501="","",'Data Source'!R501)</f>
        <v/>
      </c>
      <c r="Q501" s="3">
        <f>IF('Data Source'!B501="","",'Data Source'!S501)</f>
        <v/>
      </c>
    </row>
    <row r="502">
      <c r="A502" s="3">
        <f>IF('Data Source'!B502="","",'Data Source'!A502)</f>
        <v/>
      </c>
      <c r="B502">
        <f>IF('Data Source'!B502="","",'Data Source'!B502)</f>
        <v/>
      </c>
      <c r="C502" s="3">
        <f>IF('Data Source'!B502="","",IF('Data Source'!U502&gt;=5,"A+",IF('Data Source'!U502&gt;=4,"A",IF('Data Source'!U502&gt;=3.5,"A-",IF('Data Source'!U502&gt;=3,"B",IF('Data Source'!U502&gt;=2,"C",IF('Data Source'!U502&gt;=1,"D","F")))))))</f>
        <v/>
      </c>
      <c r="D502" s="3">
        <f>IF('Data Source'!B502="","",IF('Data Source'!V502&gt;=5,"A+",IF('Data Source'!V502&gt;=4,"A",IF('Data Source'!V502&gt;=3.5,"A-",IF('Data Source'!V502&gt;=3,"B",IF('Data Source'!V502&gt;=2,"C",IF('Data Source'!V502&gt;=1,"D","F")))))))</f>
        <v/>
      </c>
      <c r="E502" s="3">
        <f>IF('Data Source'!B502="","",IF('Data Source'!W502&gt;=5,"A+",IF('Data Source'!W502&gt;=4,"A",IF('Data Source'!W502&gt;=3.5,"A-",IF('Data Source'!W502&gt;=3,"B",IF('Data Source'!W502&gt;=2,"C",IF('Data Source'!W502&gt;=1,"D","F")))))))</f>
        <v/>
      </c>
      <c r="F502" s="3">
        <f>IF('Data Source'!B502="","",IF('Data Source'!X502&gt;=5,"A+",IF('Data Source'!X502&gt;=4,"A",IF('Data Source'!X502&gt;=3.5,"A-",IF('Data Source'!X502&gt;=3,"B",IF('Data Source'!X502&gt;=2,"C",IF('Data Source'!X502&gt;=1,"D","F")))))))</f>
        <v/>
      </c>
      <c r="G502" s="3">
        <f>IF('Data Source'!B502="","",IF('Data Source'!Y502&gt;=5,"A+",IF('Data Source'!Y502&gt;=4,"A",IF('Data Source'!Y502&gt;=3.5,"A-",IF('Data Source'!Y502&gt;=3,"B",IF('Data Source'!Y502&gt;=2,"C",IF('Data Source'!Y502&gt;=1,"D","F")))))))</f>
        <v/>
      </c>
      <c r="H502" s="3">
        <f>IF('Data Source'!B502="","",IF('Data Source'!Z502&gt;=5,"A+",IF('Data Source'!Z502&gt;=4,"A",IF('Data Source'!Z502&gt;=3.5,"A-",IF('Data Source'!Z502&gt;=3,"B",IF('Data Source'!Z502&gt;=2,"C",IF('Data Source'!Z502&gt;=1,"D","F")))))))</f>
        <v/>
      </c>
      <c r="I502" s="3">
        <f>IF('Data Source'!B502="","",IF('Data Source'!AA502&gt;=5,"A+",IF('Data Source'!AA502&gt;=4,"A",IF('Data Source'!AA502&gt;=3.5,"A-",IF('Data Source'!AA502&gt;=3,"B",IF('Data Source'!AA502&gt;=2,"C",IF('Data Source'!AA502&gt;=1,"D","F")))))))</f>
        <v/>
      </c>
      <c r="J502" s="3">
        <f>IF('Data Source'!B502="","",IF('Data Source'!AB502&gt;=5,"A+",IF('Data Source'!AB502&gt;=4,"A",IF('Data Source'!AB502&gt;=3.5,"A-",IF('Data Source'!AB502&gt;=3,"B",IF('Data Source'!AB502&gt;=2,"C",IF('Data Source'!AB502&gt;=1,"D","F")))))))</f>
        <v/>
      </c>
      <c r="K502" s="3">
        <f>IF('Data Source'!B502="","",IF('Data Source'!AC502&gt;=5,"A+",IF('Data Source'!AC502&gt;=4,"A",IF('Data Source'!AC502&gt;=3.5,"A-",IF('Data Source'!AC502&gt;=3,"B",IF('Data Source'!AC502&gt;=2,"C",IF('Data Source'!AC502&gt;=1,"D","F")))))))</f>
        <v/>
      </c>
      <c r="L502" s="3">
        <f>IF('Data Source'!B502="","",IF('Data Source'!AD502&gt;=5,"A+",IF('Data Source'!AD502&gt;=4,"A",IF('Data Source'!AD502&gt;=3.5,"A-",IF('Data Source'!AD502&gt;=3,"B",IF('Data Source'!AD502&gt;=2,"C",IF('Data Source'!AD502&gt;=1,"D","F")))))))</f>
        <v/>
      </c>
      <c r="M502" s="3">
        <f>IF('Data Source'!B502="","",IF('Data Source'!AE502&gt;=5,"A+",IF('Data Source'!AE502&gt;=4,"A",IF('Data Source'!AE502&gt;=3.5,"A-",IF('Data Source'!AE502&gt;=3,"B",IF('Data Source'!AE502&gt;=2,"C",IF('Data Source'!AE502&gt;=1,"D","F")))))))</f>
        <v/>
      </c>
      <c r="N502" s="3">
        <f>IF('Data Source'!B502="","",IF('Data Source'!AF502&gt;=5,"A+",IF('Data Source'!AF502&gt;=4,"A",IF('Data Source'!AF502&gt;=3.5,"A-",IF('Data Source'!AF502&gt;=3,"B",IF('Data Source'!AF502&gt;=2,"C",IF('Data Source'!AF502&gt;=1,"D","F")))))))</f>
        <v/>
      </c>
      <c r="O502" s="3">
        <f>IF('Data Source'!B502="","",IF('Data Source'!AG502&gt;=5,"A+",IF('Data Source'!AG502&gt;=4,"A",IF('Data Source'!AG502&gt;=3.5,"A-",IF('Data Source'!AG502&gt;=3,"B",IF('Data Source'!AG502&gt;=2,"C",IF('Data Source'!AG502&gt;=1,"D","F")))))))</f>
        <v/>
      </c>
      <c r="P502" s="5">
        <f>IF('Data Source'!B502="","",'Data Source'!R502)</f>
        <v/>
      </c>
      <c r="Q502" s="3">
        <f>IF('Data Source'!B502="","",'Data Source'!S502)</f>
        <v/>
      </c>
    </row>
    <row r="503">
      <c r="A503" s="3">
        <f>IF('Data Source'!B503="","",'Data Source'!A503)</f>
        <v/>
      </c>
      <c r="B503">
        <f>IF('Data Source'!B503="","",'Data Source'!B503)</f>
        <v/>
      </c>
      <c r="C503" s="3">
        <f>IF('Data Source'!B503="","",IF('Data Source'!U503&gt;=5,"A+",IF('Data Source'!U503&gt;=4,"A",IF('Data Source'!U503&gt;=3.5,"A-",IF('Data Source'!U503&gt;=3,"B",IF('Data Source'!U503&gt;=2,"C",IF('Data Source'!U503&gt;=1,"D","F")))))))</f>
        <v/>
      </c>
      <c r="D503" s="3">
        <f>IF('Data Source'!B503="","",IF('Data Source'!V503&gt;=5,"A+",IF('Data Source'!V503&gt;=4,"A",IF('Data Source'!V503&gt;=3.5,"A-",IF('Data Source'!V503&gt;=3,"B",IF('Data Source'!V503&gt;=2,"C",IF('Data Source'!V503&gt;=1,"D","F")))))))</f>
        <v/>
      </c>
      <c r="E503" s="3">
        <f>IF('Data Source'!B503="","",IF('Data Source'!W503&gt;=5,"A+",IF('Data Source'!W503&gt;=4,"A",IF('Data Source'!W503&gt;=3.5,"A-",IF('Data Source'!W503&gt;=3,"B",IF('Data Source'!W503&gt;=2,"C",IF('Data Source'!W503&gt;=1,"D","F")))))))</f>
        <v/>
      </c>
      <c r="F503" s="3">
        <f>IF('Data Source'!B503="","",IF('Data Source'!X503&gt;=5,"A+",IF('Data Source'!X503&gt;=4,"A",IF('Data Source'!X503&gt;=3.5,"A-",IF('Data Source'!X503&gt;=3,"B",IF('Data Source'!X503&gt;=2,"C",IF('Data Source'!X503&gt;=1,"D","F")))))))</f>
        <v/>
      </c>
      <c r="G503" s="3">
        <f>IF('Data Source'!B503="","",IF('Data Source'!Y503&gt;=5,"A+",IF('Data Source'!Y503&gt;=4,"A",IF('Data Source'!Y503&gt;=3.5,"A-",IF('Data Source'!Y503&gt;=3,"B",IF('Data Source'!Y503&gt;=2,"C",IF('Data Source'!Y503&gt;=1,"D","F")))))))</f>
        <v/>
      </c>
      <c r="H503" s="3">
        <f>IF('Data Source'!B503="","",IF('Data Source'!Z503&gt;=5,"A+",IF('Data Source'!Z503&gt;=4,"A",IF('Data Source'!Z503&gt;=3.5,"A-",IF('Data Source'!Z503&gt;=3,"B",IF('Data Source'!Z503&gt;=2,"C",IF('Data Source'!Z503&gt;=1,"D","F")))))))</f>
        <v/>
      </c>
      <c r="I503" s="3">
        <f>IF('Data Source'!B503="","",IF('Data Source'!AA503&gt;=5,"A+",IF('Data Source'!AA503&gt;=4,"A",IF('Data Source'!AA503&gt;=3.5,"A-",IF('Data Source'!AA503&gt;=3,"B",IF('Data Source'!AA503&gt;=2,"C",IF('Data Source'!AA503&gt;=1,"D","F")))))))</f>
        <v/>
      </c>
      <c r="J503" s="3">
        <f>IF('Data Source'!B503="","",IF('Data Source'!AB503&gt;=5,"A+",IF('Data Source'!AB503&gt;=4,"A",IF('Data Source'!AB503&gt;=3.5,"A-",IF('Data Source'!AB503&gt;=3,"B",IF('Data Source'!AB503&gt;=2,"C",IF('Data Source'!AB503&gt;=1,"D","F")))))))</f>
        <v/>
      </c>
      <c r="K503" s="3">
        <f>IF('Data Source'!B503="","",IF('Data Source'!AC503&gt;=5,"A+",IF('Data Source'!AC503&gt;=4,"A",IF('Data Source'!AC503&gt;=3.5,"A-",IF('Data Source'!AC503&gt;=3,"B",IF('Data Source'!AC503&gt;=2,"C",IF('Data Source'!AC503&gt;=1,"D","F")))))))</f>
        <v/>
      </c>
      <c r="L503" s="3">
        <f>IF('Data Source'!B503="","",IF('Data Source'!AD503&gt;=5,"A+",IF('Data Source'!AD503&gt;=4,"A",IF('Data Source'!AD503&gt;=3.5,"A-",IF('Data Source'!AD503&gt;=3,"B",IF('Data Source'!AD503&gt;=2,"C",IF('Data Source'!AD503&gt;=1,"D","F")))))))</f>
        <v/>
      </c>
      <c r="M503" s="3">
        <f>IF('Data Source'!B503="","",IF('Data Source'!AE503&gt;=5,"A+",IF('Data Source'!AE503&gt;=4,"A",IF('Data Source'!AE503&gt;=3.5,"A-",IF('Data Source'!AE503&gt;=3,"B",IF('Data Source'!AE503&gt;=2,"C",IF('Data Source'!AE503&gt;=1,"D","F")))))))</f>
        <v/>
      </c>
      <c r="N503" s="3">
        <f>IF('Data Source'!B503="","",IF('Data Source'!AF503&gt;=5,"A+",IF('Data Source'!AF503&gt;=4,"A",IF('Data Source'!AF503&gt;=3.5,"A-",IF('Data Source'!AF503&gt;=3,"B",IF('Data Source'!AF503&gt;=2,"C",IF('Data Source'!AF503&gt;=1,"D","F")))))))</f>
        <v/>
      </c>
      <c r="O503" s="3">
        <f>IF('Data Source'!B503="","",IF('Data Source'!AG503&gt;=5,"A+",IF('Data Source'!AG503&gt;=4,"A",IF('Data Source'!AG503&gt;=3.5,"A-",IF('Data Source'!AG503&gt;=3,"B",IF('Data Source'!AG503&gt;=2,"C",IF('Data Source'!AG503&gt;=1,"D","F")))))))</f>
        <v/>
      </c>
      <c r="P503" s="5">
        <f>IF('Data Source'!B503="","",'Data Source'!R503)</f>
        <v/>
      </c>
      <c r="Q503" s="3">
        <f>IF('Data Source'!B503="","",'Data Source'!S503)</f>
        <v/>
      </c>
    </row>
    <row r="504">
      <c r="A504" s="3">
        <f>IF('Data Source'!B504="","",'Data Source'!A504)</f>
        <v/>
      </c>
      <c r="B504">
        <f>IF('Data Source'!B504="","",'Data Source'!B504)</f>
        <v/>
      </c>
      <c r="C504" s="3">
        <f>IF('Data Source'!B504="","",IF('Data Source'!U504&gt;=5,"A+",IF('Data Source'!U504&gt;=4,"A",IF('Data Source'!U504&gt;=3.5,"A-",IF('Data Source'!U504&gt;=3,"B",IF('Data Source'!U504&gt;=2,"C",IF('Data Source'!U504&gt;=1,"D","F")))))))</f>
        <v/>
      </c>
      <c r="D504" s="3">
        <f>IF('Data Source'!B504="","",IF('Data Source'!V504&gt;=5,"A+",IF('Data Source'!V504&gt;=4,"A",IF('Data Source'!V504&gt;=3.5,"A-",IF('Data Source'!V504&gt;=3,"B",IF('Data Source'!V504&gt;=2,"C",IF('Data Source'!V504&gt;=1,"D","F")))))))</f>
        <v/>
      </c>
      <c r="E504" s="3">
        <f>IF('Data Source'!B504="","",IF('Data Source'!W504&gt;=5,"A+",IF('Data Source'!W504&gt;=4,"A",IF('Data Source'!W504&gt;=3.5,"A-",IF('Data Source'!W504&gt;=3,"B",IF('Data Source'!W504&gt;=2,"C",IF('Data Source'!W504&gt;=1,"D","F")))))))</f>
        <v/>
      </c>
      <c r="F504" s="3">
        <f>IF('Data Source'!B504="","",IF('Data Source'!X504&gt;=5,"A+",IF('Data Source'!X504&gt;=4,"A",IF('Data Source'!X504&gt;=3.5,"A-",IF('Data Source'!X504&gt;=3,"B",IF('Data Source'!X504&gt;=2,"C",IF('Data Source'!X504&gt;=1,"D","F")))))))</f>
        <v/>
      </c>
      <c r="G504" s="3">
        <f>IF('Data Source'!B504="","",IF('Data Source'!Y504&gt;=5,"A+",IF('Data Source'!Y504&gt;=4,"A",IF('Data Source'!Y504&gt;=3.5,"A-",IF('Data Source'!Y504&gt;=3,"B",IF('Data Source'!Y504&gt;=2,"C",IF('Data Source'!Y504&gt;=1,"D","F")))))))</f>
        <v/>
      </c>
      <c r="H504" s="3">
        <f>IF('Data Source'!B504="","",IF('Data Source'!Z504&gt;=5,"A+",IF('Data Source'!Z504&gt;=4,"A",IF('Data Source'!Z504&gt;=3.5,"A-",IF('Data Source'!Z504&gt;=3,"B",IF('Data Source'!Z504&gt;=2,"C",IF('Data Source'!Z504&gt;=1,"D","F")))))))</f>
        <v/>
      </c>
      <c r="I504" s="3">
        <f>IF('Data Source'!B504="","",IF('Data Source'!AA504&gt;=5,"A+",IF('Data Source'!AA504&gt;=4,"A",IF('Data Source'!AA504&gt;=3.5,"A-",IF('Data Source'!AA504&gt;=3,"B",IF('Data Source'!AA504&gt;=2,"C",IF('Data Source'!AA504&gt;=1,"D","F")))))))</f>
        <v/>
      </c>
      <c r="J504" s="3">
        <f>IF('Data Source'!B504="","",IF('Data Source'!AB504&gt;=5,"A+",IF('Data Source'!AB504&gt;=4,"A",IF('Data Source'!AB504&gt;=3.5,"A-",IF('Data Source'!AB504&gt;=3,"B",IF('Data Source'!AB504&gt;=2,"C",IF('Data Source'!AB504&gt;=1,"D","F")))))))</f>
        <v/>
      </c>
      <c r="K504" s="3">
        <f>IF('Data Source'!B504="","",IF('Data Source'!AC504&gt;=5,"A+",IF('Data Source'!AC504&gt;=4,"A",IF('Data Source'!AC504&gt;=3.5,"A-",IF('Data Source'!AC504&gt;=3,"B",IF('Data Source'!AC504&gt;=2,"C",IF('Data Source'!AC504&gt;=1,"D","F")))))))</f>
        <v/>
      </c>
      <c r="L504" s="3">
        <f>IF('Data Source'!B504="","",IF('Data Source'!AD504&gt;=5,"A+",IF('Data Source'!AD504&gt;=4,"A",IF('Data Source'!AD504&gt;=3.5,"A-",IF('Data Source'!AD504&gt;=3,"B",IF('Data Source'!AD504&gt;=2,"C",IF('Data Source'!AD504&gt;=1,"D","F")))))))</f>
        <v/>
      </c>
      <c r="M504" s="3">
        <f>IF('Data Source'!B504="","",IF('Data Source'!AE504&gt;=5,"A+",IF('Data Source'!AE504&gt;=4,"A",IF('Data Source'!AE504&gt;=3.5,"A-",IF('Data Source'!AE504&gt;=3,"B",IF('Data Source'!AE504&gt;=2,"C",IF('Data Source'!AE504&gt;=1,"D","F")))))))</f>
        <v/>
      </c>
      <c r="N504" s="3">
        <f>IF('Data Source'!B504="","",IF('Data Source'!AF504&gt;=5,"A+",IF('Data Source'!AF504&gt;=4,"A",IF('Data Source'!AF504&gt;=3.5,"A-",IF('Data Source'!AF504&gt;=3,"B",IF('Data Source'!AF504&gt;=2,"C",IF('Data Source'!AF504&gt;=1,"D","F")))))))</f>
        <v/>
      </c>
      <c r="O504" s="3">
        <f>IF('Data Source'!B504="","",IF('Data Source'!AG504&gt;=5,"A+",IF('Data Source'!AG504&gt;=4,"A",IF('Data Source'!AG504&gt;=3.5,"A-",IF('Data Source'!AG504&gt;=3,"B",IF('Data Source'!AG504&gt;=2,"C",IF('Data Source'!AG504&gt;=1,"D","F")))))))</f>
        <v/>
      </c>
      <c r="P504" s="5">
        <f>IF('Data Source'!B504="","",'Data Source'!R504)</f>
        <v/>
      </c>
      <c r="Q504" s="3">
        <f>IF('Data Source'!B504="","",'Data Source'!S504)</f>
        <v/>
      </c>
    </row>
    <row r="505">
      <c r="A505" s="3">
        <f>IF('Data Source'!B505="","",'Data Source'!A505)</f>
        <v/>
      </c>
      <c r="B505">
        <f>IF('Data Source'!B505="","",'Data Source'!B505)</f>
        <v/>
      </c>
      <c r="C505" s="3">
        <f>IF('Data Source'!B505="","",IF('Data Source'!U505&gt;=5,"A+",IF('Data Source'!U505&gt;=4,"A",IF('Data Source'!U505&gt;=3.5,"A-",IF('Data Source'!U505&gt;=3,"B",IF('Data Source'!U505&gt;=2,"C",IF('Data Source'!U505&gt;=1,"D","F")))))))</f>
        <v/>
      </c>
      <c r="D505" s="3">
        <f>IF('Data Source'!B505="","",IF('Data Source'!V505&gt;=5,"A+",IF('Data Source'!V505&gt;=4,"A",IF('Data Source'!V505&gt;=3.5,"A-",IF('Data Source'!V505&gt;=3,"B",IF('Data Source'!V505&gt;=2,"C",IF('Data Source'!V505&gt;=1,"D","F")))))))</f>
        <v/>
      </c>
      <c r="E505" s="3">
        <f>IF('Data Source'!B505="","",IF('Data Source'!W505&gt;=5,"A+",IF('Data Source'!W505&gt;=4,"A",IF('Data Source'!W505&gt;=3.5,"A-",IF('Data Source'!W505&gt;=3,"B",IF('Data Source'!W505&gt;=2,"C",IF('Data Source'!W505&gt;=1,"D","F")))))))</f>
        <v/>
      </c>
      <c r="F505" s="3">
        <f>IF('Data Source'!B505="","",IF('Data Source'!X505&gt;=5,"A+",IF('Data Source'!X505&gt;=4,"A",IF('Data Source'!X505&gt;=3.5,"A-",IF('Data Source'!X505&gt;=3,"B",IF('Data Source'!X505&gt;=2,"C",IF('Data Source'!X505&gt;=1,"D","F")))))))</f>
        <v/>
      </c>
      <c r="G505" s="3">
        <f>IF('Data Source'!B505="","",IF('Data Source'!Y505&gt;=5,"A+",IF('Data Source'!Y505&gt;=4,"A",IF('Data Source'!Y505&gt;=3.5,"A-",IF('Data Source'!Y505&gt;=3,"B",IF('Data Source'!Y505&gt;=2,"C",IF('Data Source'!Y505&gt;=1,"D","F")))))))</f>
        <v/>
      </c>
      <c r="H505" s="3">
        <f>IF('Data Source'!B505="","",IF('Data Source'!Z505&gt;=5,"A+",IF('Data Source'!Z505&gt;=4,"A",IF('Data Source'!Z505&gt;=3.5,"A-",IF('Data Source'!Z505&gt;=3,"B",IF('Data Source'!Z505&gt;=2,"C",IF('Data Source'!Z505&gt;=1,"D","F")))))))</f>
        <v/>
      </c>
      <c r="I505" s="3">
        <f>IF('Data Source'!B505="","",IF('Data Source'!AA505&gt;=5,"A+",IF('Data Source'!AA505&gt;=4,"A",IF('Data Source'!AA505&gt;=3.5,"A-",IF('Data Source'!AA505&gt;=3,"B",IF('Data Source'!AA505&gt;=2,"C",IF('Data Source'!AA505&gt;=1,"D","F")))))))</f>
        <v/>
      </c>
      <c r="J505" s="3">
        <f>IF('Data Source'!B505="","",IF('Data Source'!AB505&gt;=5,"A+",IF('Data Source'!AB505&gt;=4,"A",IF('Data Source'!AB505&gt;=3.5,"A-",IF('Data Source'!AB505&gt;=3,"B",IF('Data Source'!AB505&gt;=2,"C",IF('Data Source'!AB505&gt;=1,"D","F")))))))</f>
        <v/>
      </c>
      <c r="K505" s="3">
        <f>IF('Data Source'!B505="","",IF('Data Source'!AC505&gt;=5,"A+",IF('Data Source'!AC505&gt;=4,"A",IF('Data Source'!AC505&gt;=3.5,"A-",IF('Data Source'!AC505&gt;=3,"B",IF('Data Source'!AC505&gt;=2,"C",IF('Data Source'!AC505&gt;=1,"D","F")))))))</f>
        <v/>
      </c>
      <c r="L505" s="3">
        <f>IF('Data Source'!B505="","",IF('Data Source'!AD505&gt;=5,"A+",IF('Data Source'!AD505&gt;=4,"A",IF('Data Source'!AD505&gt;=3.5,"A-",IF('Data Source'!AD505&gt;=3,"B",IF('Data Source'!AD505&gt;=2,"C",IF('Data Source'!AD505&gt;=1,"D","F")))))))</f>
        <v/>
      </c>
      <c r="M505" s="3">
        <f>IF('Data Source'!B505="","",IF('Data Source'!AE505&gt;=5,"A+",IF('Data Source'!AE505&gt;=4,"A",IF('Data Source'!AE505&gt;=3.5,"A-",IF('Data Source'!AE505&gt;=3,"B",IF('Data Source'!AE505&gt;=2,"C",IF('Data Source'!AE505&gt;=1,"D","F")))))))</f>
        <v/>
      </c>
      <c r="N505" s="3">
        <f>IF('Data Source'!B505="","",IF('Data Source'!AF505&gt;=5,"A+",IF('Data Source'!AF505&gt;=4,"A",IF('Data Source'!AF505&gt;=3.5,"A-",IF('Data Source'!AF505&gt;=3,"B",IF('Data Source'!AF505&gt;=2,"C",IF('Data Source'!AF505&gt;=1,"D","F")))))))</f>
        <v/>
      </c>
      <c r="O505" s="3">
        <f>IF('Data Source'!B505="","",IF('Data Source'!AG505&gt;=5,"A+",IF('Data Source'!AG505&gt;=4,"A",IF('Data Source'!AG505&gt;=3.5,"A-",IF('Data Source'!AG505&gt;=3,"B",IF('Data Source'!AG505&gt;=2,"C",IF('Data Source'!AG505&gt;=1,"D","F")))))))</f>
        <v/>
      </c>
      <c r="P505" s="5">
        <f>IF('Data Source'!B505="","",'Data Source'!R505)</f>
        <v/>
      </c>
      <c r="Q505" s="3">
        <f>IF('Data Source'!B505="","",'Data Source'!S505)</f>
        <v/>
      </c>
    </row>
    <row r="506">
      <c r="A506" s="3">
        <f>IF('Data Source'!B506="","",'Data Source'!A506)</f>
        <v/>
      </c>
      <c r="B506">
        <f>IF('Data Source'!B506="","",'Data Source'!B506)</f>
        <v/>
      </c>
      <c r="C506" s="3">
        <f>IF('Data Source'!B506="","",IF('Data Source'!U506&gt;=5,"A+",IF('Data Source'!U506&gt;=4,"A",IF('Data Source'!U506&gt;=3.5,"A-",IF('Data Source'!U506&gt;=3,"B",IF('Data Source'!U506&gt;=2,"C",IF('Data Source'!U506&gt;=1,"D","F")))))))</f>
        <v/>
      </c>
      <c r="D506" s="3">
        <f>IF('Data Source'!B506="","",IF('Data Source'!V506&gt;=5,"A+",IF('Data Source'!V506&gt;=4,"A",IF('Data Source'!V506&gt;=3.5,"A-",IF('Data Source'!V506&gt;=3,"B",IF('Data Source'!V506&gt;=2,"C",IF('Data Source'!V506&gt;=1,"D","F")))))))</f>
        <v/>
      </c>
      <c r="E506" s="3">
        <f>IF('Data Source'!B506="","",IF('Data Source'!W506&gt;=5,"A+",IF('Data Source'!W506&gt;=4,"A",IF('Data Source'!W506&gt;=3.5,"A-",IF('Data Source'!W506&gt;=3,"B",IF('Data Source'!W506&gt;=2,"C",IF('Data Source'!W506&gt;=1,"D","F")))))))</f>
        <v/>
      </c>
      <c r="F506" s="3">
        <f>IF('Data Source'!B506="","",IF('Data Source'!X506&gt;=5,"A+",IF('Data Source'!X506&gt;=4,"A",IF('Data Source'!X506&gt;=3.5,"A-",IF('Data Source'!X506&gt;=3,"B",IF('Data Source'!X506&gt;=2,"C",IF('Data Source'!X506&gt;=1,"D","F")))))))</f>
        <v/>
      </c>
      <c r="G506" s="3">
        <f>IF('Data Source'!B506="","",IF('Data Source'!Y506&gt;=5,"A+",IF('Data Source'!Y506&gt;=4,"A",IF('Data Source'!Y506&gt;=3.5,"A-",IF('Data Source'!Y506&gt;=3,"B",IF('Data Source'!Y506&gt;=2,"C",IF('Data Source'!Y506&gt;=1,"D","F")))))))</f>
        <v/>
      </c>
      <c r="H506" s="3">
        <f>IF('Data Source'!B506="","",IF('Data Source'!Z506&gt;=5,"A+",IF('Data Source'!Z506&gt;=4,"A",IF('Data Source'!Z506&gt;=3.5,"A-",IF('Data Source'!Z506&gt;=3,"B",IF('Data Source'!Z506&gt;=2,"C",IF('Data Source'!Z506&gt;=1,"D","F")))))))</f>
        <v/>
      </c>
      <c r="I506" s="3">
        <f>IF('Data Source'!B506="","",IF('Data Source'!AA506&gt;=5,"A+",IF('Data Source'!AA506&gt;=4,"A",IF('Data Source'!AA506&gt;=3.5,"A-",IF('Data Source'!AA506&gt;=3,"B",IF('Data Source'!AA506&gt;=2,"C",IF('Data Source'!AA506&gt;=1,"D","F")))))))</f>
        <v/>
      </c>
      <c r="J506" s="3">
        <f>IF('Data Source'!B506="","",IF('Data Source'!AB506&gt;=5,"A+",IF('Data Source'!AB506&gt;=4,"A",IF('Data Source'!AB506&gt;=3.5,"A-",IF('Data Source'!AB506&gt;=3,"B",IF('Data Source'!AB506&gt;=2,"C",IF('Data Source'!AB506&gt;=1,"D","F")))))))</f>
        <v/>
      </c>
      <c r="K506" s="3">
        <f>IF('Data Source'!B506="","",IF('Data Source'!AC506&gt;=5,"A+",IF('Data Source'!AC506&gt;=4,"A",IF('Data Source'!AC506&gt;=3.5,"A-",IF('Data Source'!AC506&gt;=3,"B",IF('Data Source'!AC506&gt;=2,"C",IF('Data Source'!AC506&gt;=1,"D","F")))))))</f>
        <v/>
      </c>
      <c r="L506" s="3">
        <f>IF('Data Source'!B506="","",IF('Data Source'!AD506&gt;=5,"A+",IF('Data Source'!AD506&gt;=4,"A",IF('Data Source'!AD506&gt;=3.5,"A-",IF('Data Source'!AD506&gt;=3,"B",IF('Data Source'!AD506&gt;=2,"C",IF('Data Source'!AD506&gt;=1,"D","F")))))))</f>
        <v/>
      </c>
      <c r="M506" s="3">
        <f>IF('Data Source'!B506="","",IF('Data Source'!AE506&gt;=5,"A+",IF('Data Source'!AE506&gt;=4,"A",IF('Data Source'!AE506&gt;=3.5,"A-",IF('Data Source'!AE506&gt;=3,"B",IF('Data Source'!AE506&gt;=2,"C",IF('Data Source'!AE506&gt;=1,"D","F")))))))</f>
        <v/>
      </c>
      <c r="N506" s="3">
        <f>IF('Data Source'!B506="","",IF('Data Source'!AF506&gt;=5,"A+",IF('Data Source'!AF506&gt;=4,"A",IF('Data Source'!AF506&gt;=3.5,"A-",IF('Data Source'!AF506&gt;=3,"B",IF('Data Source'!AF506&gt;=2,"C",IF('Data Source'!AF506&gt;=1,"D","F")))))))</f>
        <v/>
      </c>
      <c r="O506" s="3">
        <f>IF('Data Source'!B506="","",IF('Data Source'!AG506&gt;=5,"A+",IF('Data Source'!AG506&gt;=4,"A",IF('Data Source'!AG506&gt;=3.5,"A-",IF('Data Source'!AG506&gt;=3,"B",IF('Data Source'!AG506&gt;=2,"C",IF('Data Source'!AG506&gt;=1,"D","F")))))))</f>
        <v/>
      </c>
      <c r="P506" s="5">
        <f>IF('Data Source'!B506="","",'Data Source'!R506)</f>
        <v/>
      </c>
      <c r="Q506" s="3">
        <f>IF('Data Source'!B506="","",'Data Source'!S506)</f>
        <v/>
      </c>
    </row>
    <row r="507">
      <c r="A507" s="3">
        <f>IF('Data Source'!B507="","",'Data Source'!A507)</f>
        <v/>
      </c>
      <c r="B507">
        <f>IF('Data Source'!B507="","",'Data Source'!B507)</f>
        <v/>
      </c>
      <c r="C507" s="3">
        <f>IF('Data Source'!B507="","",IF('Data Source'!U507&gt;=5,"A+",IF('Data Source'!U507&gt;=4,"A",IF('Data Source'!U507&gt;=3.5,"A-",IF('Data Source'!U507&gt;=3,"B",IF('Data Source'!U507&gt;=2,"C",IF('Data Source'!U507&gt;=1,"D","F")))))))</f>
        <v/>
      </c>
      <c r="D507" s="3">
        <f>IF('Data Source'!B507="","",IF('Data Source'!V507&gt;=5,"A+",IF('Data Source'!V507&gt;=4,"A",IF('Data Source'!V507&gt;=3.5,"A-",IF('Data Source'!V507&gt;=3,"B",IF('Data Source'!V507&gt;=2,"C",IF('Data Source'!V507&gt;=1,"D","F")))))))</f>
        <v/>
      </c>
      <c r="E507" s="3">
        <f>IF('Data Source'!B507="","",IF('Data Source'!W507&gt;=5,"A+",IF('Data Source'!W507&gt;=4,"A",IF('Data Source'!W507&gt;=3.5,"A-",IF('Data Source'!W507&gt;=3,"B",IF('Data Source'!W507&gt;=2,"C",IF('Data Source'!W507&gt;=1,"D","F")))))))</f>
        <v/>
      </c>
      <c r="F507" s="3">
        <f>IF('Data Source'!B507="","",IF('Data Source'!X507&gt;=5,"A+",IF('Data Source'!X507&gt;=4,"A",IF('Data Source'!X507&gt;=3.5,"A-",IF('Data Source'!X507&gt;=3,"B",IF('Data Source'!X507&gt;=2,"C",IF('Data Source'!X507&gt;=1,"D","F")))))))</f>
        <v/>
      </c>
      <c r="G507" s="3">
        <f>IF('Data Source'!B507="","",IF('Data Source'!Y507&gt;=5,"A+",IF('Data Source'!Y507&gt;=4,"A",IF('Data Source'!Y507&gt;=3.5,"A-",IF('Data Source'!Y507&gt;=3,"B",IF('Data Source'!Y507&gt;=2,"C",IF('Data Source'!Y507&gt;=1,"D","F")))))))</f>
        <v/>
      </c>
      <c r="H507" s="3">
        <f>IF('Data Source'!B507="","",IF('Data Source'!Z507&gt;=5,"A+",IF('Data Source'!Z507&gt;=4,"A",IF('Data Source'!Z507&gt;=3.5,"A-",IF('Data Source'!Z507&gt;=3,"B",IF('Data Source'!Z507&gt;=2,"C",IF('Data Source'!Z507&gt;=1,"D","F")))))))</f>
        <v/>
      </c>
      <c r="I507" s="3">
        <f>IF('Data Source'!B507="","",IF('Data Source'!AA507&gt;=5,"A+",IF('Data Source'!AA507&gt;=4,"A",IF('Data Source'!AA507&gt;=3.5,"A-",IF('Data Source'!AA507&gt;=3,"B",IF('Data Source'!AA507&gt;=2,"C",IF('Data Source'!AA507&gt;=1,"D","F")))))))</f>
        <v/>
      </c>
      <c r="J507" s="3">
        <f>IF('Data Source'!B507="","",IF('Data Source'!AB507&gt;=5,"A+",IF('Data Source'!AB507&gt;=4,"A",IF('Data Source'!AB507&gt;=3.5,"A-",IF('Data Source'!AB507&gt;=3,"B",IF('Data Source'!AB507&gt;=2,"C",IF('Data Source'!AB507&gt;=1,"D","F")))))))</f>
        <v/>
      </c>
      <c r="K507" s="3">
        <f>IF('Data Source'!B507="","",IF('Data Source'!AC507&gt;=5,"A+",IF('Data Source'!AC507&gt;=4,"A",IF('Data Source'!AC507&gt;=3.5,"A-",IF('Data Source'!AC507&gt;=3,"B",IF('Data Source'!AC507&gt;=2,"C",IF('Data Source'!AC507&gt;=1,"D","F")))))))</f>
        <v/>
      </c>
      <c r="L507" s="3">
        <f>IF('Data Source'!B507="","",IF('Data Source'!AD507&gt;=5,"A+",IF('Data Source'!AD507&gt;=4,"A",IF('Data Source'!AD507&gt;=3.5,"A-",IF('Data Source'!AD507&gt;=3,"B",IF('Data Source'!AD507&gt;=2,"C",IF('Data Source'!AD507&gt;=1,"D","F")))))))</f>
        <v/>
      </c>
      <c r="M507" s="3">
        <f>IF('Data Source'!B507="","",IF('Data Source'!AE507&gt;=5,"A+",IF('Data Source'!AE507&gt;=4,"A",IF('Data Source'!AE507&gt;=3.5,"A-",IF('Data Source'!AE507&gt;=3,"B",IF('Data Source'!AE507&gt;=2,"C",IF('Data Source'!AE507&gt;=1,"D","F")))))))</f>
        <v/>
      </c>
      <c r="N507" s="3">
        <f>IF('Data Source'!B507="","",IF('Data Source'!AF507&gt;=5,"A+",IF('Data Source'!AF507&gt;=4,"A",IF('Data Source'!AF507&gt;=3.5,"A-",IF('Data Source'!AF507&gt;=3,"B",IF('Data Source'!AF507&gt;=2,"C",IF('Data Source'!AF507&gt;=1,"D","F")))))))</f>
        <v/>
      </c>
      <c r="O507" s="3">
        <f>IF('Data Source'!B507="","",IF('Data Source'!AG507&gt;=5,"A+",IF('Data Source'!AG507&gt;=4,"A",IF('Data Source'!AG507&gt;=3.5,"A-",IF('Data Source'!AG507&gt;=3,"B",IF('Data Source'!AG507&gt;=2,"C",IF('Data Source'!AG507&gt;=1,"D","F")))))))</f>
        <v/>
      </c>
      <c r="P507" s="5">
        <f>IF('Data Source'!B507="","",'Data Source'!R507)</f>
        <v/>
      </c>
      <c r="Q507" s="3">
        <f>IF('Data Source'!B507="","",'Data Source'!S507)</f>
        <v/>
      </c>
    </row>
    <row r="508">
      <c r="A508" s="3">
        <f>IF('Data Source'!B508="","",'Data Source'!A508)</f>
        <v/>
      </c>
      <c r="B508">
        <f>IF('Data Source'!B508="","",'Data Source'!B508)</f>
        <v/>
      </c>
      <c r="C508" s="3">
        <f>IF('Data Source'!B508="","",IF('Data Source'!U508&gt;=5,"A+",IF('Data Source'!U508&gt;=4,"A",IF('Data Source'!U508&gt;=3.5,"A-",IF('Data Source'!U508&gt;=3,"B",IF('Data Source'!U508&gt;=2,"C",IF('Data Source'!U508&gt;=1,"D","F")))))))</f>
        <v/>
      </c>
      <c r="D508" s="3">
        <f>IF('Data Source'!B508="","",IF('Data Source'!V508&gt;=5,"A+",IF('Data Source'!V508&gt;=4,"A",IF('Data Source'!V508&gt;=3.5,"A-",IF('Data Source'!V508&gt;=3,"B",IF('Data Source'!V508&gt;=2,"C",IF('Data Source'!V508&gt;=1,"D","F")))))))</f>
        <v/>
      </c>
      <c r="E508" s="3">
        <f>IF('Data Source'!B508="","",IF('Data Source'!W508&gt;=5,"A+",IF('Data Source'!W508&gt;=4,"A",IF('Data Source'!W508&gt;=3.5,"A-",IF('Data Source'!W508&gt;=3,"B",IF('Data Source'!W508&gt;=2,"C",IF('Data Source'!W508&gt;=1,"D","F")))))))</f>
        <v/>
      </c>
      <c r="F508" s="3">
        <f>IF('Data Source'!B508="","",IF('Data Source'!X508&gt;=5,"A+",IF('Data Source'!X508&gt;=4,"A",IF('Data Source'!X508&gt;=3.5,"A-",IF('Data Source'!X508&gt;=3,"B",IF('Data Source'!X508&gt;=2,"C",IF('Data Source'!X508&gt;=1,"D","F")))))))</f>
        <v/>
      </c>
      <c r="G508" s="3">
        <f>IF('Data Source'!B508="","",IF('Data Source'!Y508&gt;=5,"A+",IF('Data Source'!Y508&gt;=4,"A",IF('Data Source'!Y508&gt;=3.5,"A-",IF('Data Source'!Y508&gt;=3,"B",IF('Data Source'!Y508&gt;=2,"C",IF('Data Source'!Y508&gt;=1,"D","F")))))))</f>
        <v/>
      </c>
      <c r="H508" s="3">
        <f>IF('Data Source'!B508="","",IF('Data Source'!Z508&gt;=5,"A+",IF('Data Source'!Z508&gt;=4,"A",IF('Data Source'!Z508&gt;=3.5,"A-",IF('Data Source'!Z508&gt;=3,"B",IF('Data Source'!Z508&gt;=2,"C",IF('Data Source'!Z508&gt;=1,"D","F")))))))</f>
        <v/>
      </c>
      <c r="I508" s="3">
        <f>IF('Data Source'!B508="","",IF('Data Source'!AA508&gt;=5,"A+",IF('Data Source'!AA508&gt;=4,"A",IF('Data Source'!AA508&gt;=3.5,"A-",IF('Data Source'!AA508&gt;=3,"B",IF('Data Source'!AA508&gt;=2,"C",IF('Data Source'!AA508&gt;=1,"D","F")))))))</f>
        <v/>
      </c>
      <c r="J508" s="3">
        <f>IF('Data Source'!B508="","",IF('Data Source'!AB508&gt;=5,"A+",IF('Data Source'!AB508&gt;=4,"A",IF('Data Source'!AB508&gt;=3.5,"A-",IF('Data Source'!AB508&gt;=3,"B",IF('Data Source'!AB508&gt;=2,"C",IF('Data Source'!AB508&gt;=1,"D","F")))))))</f>
        <v/>
      </c>
      <c r="K508" s="3">
        <f>IF('Data Source'!B508="","",IF('Data Source'!AC508&gt;=5,"A+",IF('Data Source'!AC508&gt;=4,"A",IF('Data Source'!AC508&gt;=3.5,"A-",IF('Data Source'!AC508&gt;=3,"B",IF('Data Source'!AC508&gt;=2,"C",IF('Data Source'!AC508&gt;=1,"D","F")))))))</f>
        <v/>
      </c>
      <c r="L508" s="3">
        <f>IF('Data Source'!B508="","",IF('Data Source'!AD508&gt;=5,"A+",IF('Data Source'!AD508&gt;=4,"A",IF('Data Source'!AD508&gt;=3.5,"A-",IF('Data Source'!AD508&gt;=3,"B",IF('Data Source'!AD508&gt;=2,"C",IF('Data Source'!AD508&gt;=1,"D","F")))))))</f>
        <v/>
      </c>
      <c r="M508" s="3">
        <f>IF('Data Source'!B508="","",IF('Data Source'!AE508&gt;=5,"A+",IF('Data Source'!AE508&gt;=4,"A",IF('Data Source'!AE508&gt;=3.5,"A-",IF('Data Source'!AE508&gt;=3,"B",IF('Data Source'!AE508&gt;=2,"C",IF('Data Source'!AE508&gt;=1,"D","F")))))))</f>
        <v/>
      </c>
      <c r="N508" s="3">
        <f>IF('Data Source'!B508="","",IF('Data Source'!AF508&gt;=5,"A+",IF('Data Source'!AF508&gt;=4,"A",IF('Data Source'!AF508&gt;=3.5,"A-",IF('Data Source'!AF508&gt;=3,"B",IF('Data Source'!AF508&gt;=2,"C",IF('Data Source'!AF508&gt;=1,"D","F")))))))</f>
        <v/>
      </c>
      <c r="O508" s="3">
        <f>IF('Data Source'!B508="","",IF('Data Source'!AG508&gt;=5,"A+",IF('Data Source'!AG508&gt;=4,"A",IF('Data Source'!AG508&gt;=3.5,"A-",IF('Data Source'!AG508&gt;=3,"B",IF('Data Source'!AG508&gt;=2,"C",IF('Data Source'!AG508&gt;=1,"D","F")))))))</f>
        <v/>
      </c>
      <c r="P508" s="5">
        <f>IF('Data Source'!B508="","",'Data Source'!R508)</f>
        <v/>
      </c>
      <c r="Q508" s="3">
        <f>IF('Data Source'!B508="","",'Data Source'!S508)</f>
        <v/>
      </c>
    </row>
    <row r="509">
      <c r="A509" s="3">
        <f>IF('Data Source'!B509="","",'Data Source'!A509)</f>
        <v/>
      </c>
      <c r="B509">
        <f>IF('Data Source'!B509="","",'Data Source'!B509)</f>
        <v/>
      </c>
      <c r="C509" s="3">
        <f>IF('Data Source'!B509="","",IF('Data Source'!U509&gt;=5,"A+",IF('Data Source'!U509&gt;=4,"A",IF('Data Source'!U509&gt;=3.5,"A-",IF('Data Source'!U509&gt;=3,"B",IF('Data Source'!U509&gt;=2,"C",IF('Data Source'!U509&gt;=1,"D","F")))))))</f>
        <v/>
      </c>
      <c r="D509" s="3">
        <f>IF('Data Source'!B509="","",IF('Data Source'!V509&gt;=5,"A+",IF('Data Source'!V509&gt;=4,"A",IF('Data Source'!V509&gt;=3.5,"A-",IF('Data Source'!V509&gt;=3,"B",IF('Data Source'!V509&gt;=2,"C",IF('Data Source'!V509&gt;=1,"D","F")))))))</f>
        <v/>
      </c>
      <c r="E509" s="3">
        <f>IF('Data Source'!B509="","",IF('Data Source'!W509&gt;=5,"A+",IF('Data Source'!W509&gt;=4,"A",IF('Data Source'!W509&gt;=3.5,"A-",IF('Data Source'!W509&gt;=3,"B",IF('Data Source'!W509&gt;=2,"C",IF('Data Source'!W509&gt;=1,"D","F")))))))</f>
        <v/>
      </c>
      <c r="F509" s="3">
        <f>IF('Data Source'!B509="","",IF('Data Source'!X509&gt;=5,"A+",IF('Data Source'!X509&gt;=4,"A",IF('Data Source'!X509&gt;=3.5,"A-",IF('Data Source'!X509&gt;=3,"B",IF('Data Source'!X509&gt;=2,"C",IF('Data Source'!X509&gt;=1,"D","F")))))))</f>
        <v/>
      </c>
      <c r="G509" s="3">
        <f>IF('Data Source'!B509="","",IF('Data Source'!Y509&gt;=5,"A+",IF('Data Source'!Y509&gt;=4,"A",IF('Data Source'!Y509&gt;=3.5,"A-",IF('Data Source'!Y509&gt;=3,"B",IF('Data Source'!Y509&gt;=2,"C",IF('Data Source'!Y509&gt;=1,"D","F")))))))</f>
        <v/>
      </c>
      <c r="H509" s="3">
        <f>IF('Data Source'!B509="","",IF('Data Source'!Z509&gt;=5,"A+",IF('Data Source'!Z509&gt;=4,"A",IF('Data Source'!Z509&gt;=3.5,"A-",IF('Data Source'!Z509&gt;=3,"B",IF('Data Source'!Z509&gt;=2,"C",IF('Data Source'!Z509&gt;=1,"D","F")))))))</f>
        <v/>
      </c>
      <c r="I509" s="3">
        <f>IF('Data Source'!B509="","",IF('Data Source'!AA509&gt;=5,"A+",IF('Data Source'!AA509&gt;=4,"A",IF('Data Source'!AA509&gt;=3.5,"A-",IF('Data Source'!AA509&gt;=3,"B",IF('Data Source'!AA509&gt;=2,"C",IF('Data Source'!AA509&gt;=1,"D","F")))))))</f>
        <v/>
      </c>
      <c r="J509" s="3">
        <f>IF('Data Source'!B509="","",IF('Data Source'!AB509&gt;=5,"A+",IF('Data Source'!AB509&gt;=4,"A",IF('Data Source'!AB509&gt;=3.5,"A-",IF('Data Source'!AB509&gt;=3,"B",IF('Data Source'!AB509&gt;=2,"C",IF('Data Source'!AB509&gt;=1,"D","F")))))))</f>
        <v/>
      </c>
      <c r="K509" s="3">
        <f>IF('Data Source'!B509="","",IF('Data Source'!AC509&gt;=5,"A+",IF('Data Source'!AC509&gt;=4,"A",IF('Data Source'!AC509&gt;=3.5,"A-",IF('Data Source'!AC509&gt;=3,"B",IF('Data Source'!AC509&gt;=2,"C",IF('Data Source'!AC509&gt;=1,"D","F")))))))</f>
        <v/>
      </c>
      <c r="L509" s="3">
        <f>IF('Data Source'!B509="","",IF('Data Source'!AD509&gt;=5,"A+",IF('Data Source'!AD509&gt;=4,"A",IF('Data Source'!AD509&gt;=3.5,"A-",IF('Data Source'!AD509&gt;=3,"B",IF('Data Source'!AD509&gt;=2,"C",IF('Data Source'!AD509&gt;=1,"D","F")))))))</f>
        <v/>
      </c>
      <c r="M509" s="3">
        <f>IF('Data Source'!B509="","",IF('Data Source'!AE509&gt;=5,"A+",IF('Data Source'!AE509&gt;=4,"A",IF('Data Source'!AE509&gt;=3.5,"A-",IF('Data Source'!AE509&gt;=3,"B",IF('Data Source'!AE509&gt;=2,"C",IF('Data Source'!AE509&gt;=1,"D","F")))))))</f>
        <v/>
      </c>
      <c r="N509" s="3">
        <f>IF('Data Source'!B509="","",IF('Data Source'!AF509&gt;=5,"A+",IF('Data Source'!AF509&gt;=4,"A",IF('Data Source'!AF509&gt;=3.5,"A-",IF('Data Source'!AF509&gt;=3,"B",IF('Data Source'!AF509&gt;=2,"C",IF('Data Source'!AF509&gt;=1,"D","F")))))))</f>
        <v/>
      </c>
      <c r="O509" s="3">
        <f>IF('Data Source'!B509="","",IF('Data Source'!AG509&gt;=5,"A+",IF('Data Source'!AG509&gt;=4,"A",IF('Data Source'!AG509&gt;=3.5,"A-",IF('Data Source'!AG509&gt;=3,"B",IF('Data Source'!AG509&gt;=2,"C",IF('Data Source'!AG509&gt;=1,"D","F")))))))</f>
        <v/>
      </c>
      <c r="P509" s="5">
        <f>IF('Data Source'!B509="","",'Data Source'!R509)</f>
        <v/>
      </c>
      <c r="Q509" s="3">
        <f>IF('Data Source'!B509="","",'Data Source'!S509)</f>
        <v/>
      </c>
    </row>
    <row r="510">
      <c r="A510" s="3">
        <f>IF('Data Source'!B510="","",'Data Source'!A510)</f>
        <v/>
      </c>
      <c r="B510">
        <f>IF('Data Source'!B510="","",'Data Source'!B510)</f>
        <v/>
      </c>
      <c r="C510" s="3">
        <f>IF('Data Source'!B510="","",IF('Data Source'!U510&gt;=5,"A+",IF('Data Source'!U510&gt;=4,"A",IF('Data Source'!U510&gt;=3.5,"A-",IF('Data Source'!U510&gt;=3,"B",IF('Data Source'!U510&gt;=2,"C",IF('Data Source'!U510&gt;=1,"D","F")))))))</f>
        <v/>
      </c>
      <c r="D510" s="3">
        <f>IF('Data Source'!B510="","",IF('Data Source'!V510&gt;=5,"A+",IF('Data Source'!V510&gt;=4,"A",IF('Data Source'!V510&gt;=3.5,"A-",IF('Data Source'!V510&gt;=3,"B",IF('Data Source'!V510&gt;=2,"C",IF('Data Source'!V510&gt;=1,"D","F")))))))</f>
        <v/>
      </c>
      <c r="E510" s="3">
        <f>IF('Data Source'!B510="","",IF('Data Source'!W510&gt;=5,"A+",IF('Data Source'!W510&gt;=4,"A",IF('Data Source'!W510&gt;=3.5,"A-",IF('Data Source'!W510&gt;=3,"B",IF('Data Source'!W510&gt;=2,"C",IF('Data Source'!W510&gt;=1,"D","F")))))))</f>
        <v/>
      </c>
      <c r="F510" s="3">
        <f>IF('Data Source'!B510="","",IF('Data Source'!X510&gt;=5,"A+",IF('Data Source'!X510&gt;=4,"A",IF('Data Source'!X510&gt;=3.5,"A-",IF('Data Source'!X510&gt;=3,"B",IF('Data Source'!X510&gt;=2,"C",IF('Data Source'!X510&gt;=1,"D","F")))))))</f>
        <v/>
      </c>
      <c r="G510" s="3">
        <f>IF('Data Source'!B510="","",IF('Data Source'!Y510&gt;=5,"A+",IF('Data Source'!Y510&gt;=4,"A",IF('Data Source'!Y510&gt;=3.5,"A-",IF('Data Source'!Y510&gt;=3,"B",IF('Data Source'!Y510&gt;=2,"C",IF('Data Source'!Y510&gt;=1,"D","F")))))))</f>
        <v/>
      </c>
      <c r="H510" s="3">
        <f>IF('Data Source'!B510="","",IF('Data Source'!Z510&gt;=5,"A+",IF('Data Source'!Z510&gt;=4,"A",IF('Data Source'!Z510&gt;=3.5,"A-",IF('Data Source'!Z510&gt;=3,"B",IF('Data Source'!Z510&gt;=2,"C",IF('Data Source'!Z510&gt;=1,"D","F")))))))</f>
        <v/>
      </c>
      <c r="I510" s="3">
        <f>IF('Data Source'!B510="","",IF('Data Source'!AA510&gt;=5,"A+",IF('Data Source'!AA510&gt;=4,"A",IF('Data Source'!AA510&gt;=3.5,"A-",IF('Data Source'!AA510&gt;=3,"B",IF('Data Source'!AA510&gt;=2,"C",IF('Data Source'!AA510&gt;=1,"D","F")))))))</f>
        <v/>
      </c>
      <c r="J510" s="3">
        <f>IF('Data Source'!B510="","",IF('Data Source'!AB510&gt;=5,"A+",IF('Data Source'!AB510&gt;=4,"A",IF('Data Source'!AB510&gt;=3.5,"A-",IF('Data Source'!AB510&gt;=3,"B",IF('Data Source'!AB510&gt;=2,"C",IF('Data Source'!AB510&gt;=1,"D","F")))))))</f>
        <v/>
      </c>
      <c r="K510" s="3">
        <f>IF('Data Source'!B510="","",IF('Data Source'!AC510&gt;=5,"A+",IF('Data Source'!AC510&gt;=4,"A",IF('Data Source'!AC510&gt;=3.5,"A-",IF('Data Source'!AC510&gt;=3,"B",IF('Data Source'!AC510&gt;=2,"C",IF('Data Source'!AC510&gt;=1,"D","F")))))))</f>
        <v/>
      </c>
      <c r="L510" s="3">
        <f>IF('Data Source'!B510="","",IF('Data Source'!AD510&gt;=5,"A+",IF('Data Source'!AD510&gt;=4,"A",IF('Data Source'!AD510&gt;=3.5,"A-",IF('Data Source'!AD510&gt;=3,"B",IF('Data Source'!AD510&gt;=2,"C",IF('Data Source'!AD510&gt;=1,"D","F")))))))</f>
        <v/>
      </c>
      <c r="M510" s="3">
        <f>IF('Data Source'!B510="","",IF('Data Source'!AE510&gt;=5,"A+",IF('Data Source'!AE510&gt;=4,"A",IF('Data Source'!AE510&gt;=3.5,"A-",IF('Data Source'!AE510&gt;=3,"B",IF('Data Source'!AE510&gt;=2,"C",IF('Data Source'!AE510&gt;=1,"D","F")))))))</f>
        <v/>
      </c>
      <c r="N510" s="3">
        <f>IF('Data Source'!B510="","",IF('Data Source'!AF510&gt;=5,"A+",IF('Data Source'!AF510&gt;=4,"A",IF('Data Source'!AF510&gt;=3.5,"A-",IF('Data Source'!AF510&gt;=3,"B",IF('Data Source'!AF510&gt;=2,"C",IF('Data Source'!AF510&gt;=1,"D","F")))))))</f>
        <v/>
      </c>
      <c r="O510" s="3">
        <f>IF('Data Source'!B510="","",IF('Data Source'!AG510&gt;=5,"A+",IF('Data Source'!AG510&gt;=4,"A",IF('Data Source'!AG510&gt;=3.5,"A-",IF('Data Source'!AG510&gt;=3,"B",IF('Data Source'!AG510&gt;=2,"C",IF('Data Source'!AG510&gt;=1,"D","F")))))))</f>
        <v/>
      </c>
      <c r="P510" s="5">
        <f>IF('Data Source'!B510="","",'Data Source'!R510)</f>
        <v/>
      </c>
      <c r="Q510" s="3">
        <f>IF('Data Source'!B510="","",'Data Source'!S510)</f>
        <v/>
      </c>
    </row>
    <row r="511">
      <c r="A511" s="3">
        <f>IF('Data Source'!B511="","",'Data Source'!A511)</f>
        <v/>
      </c>
      <c r="B511">
        <f>IF('Data Source'!B511="","",'Data Source'!B511)</f>
        <v/>
      </c>
      <c r="C511" s="3">
        <f>IF('Data Source'!B511="","",IF('Data Source'!U511&gt;=5,"A+",IF('Data Source'!U511&gt;=4,"A",IF('Data Source'!U511&gt;=3.5,"A-",IF('Data Source'!U511&gt;=3,"B",IF('Data Source'!U511&gt;=2,"C",IF('Data Source'!U511&gt;=1,"D","F")))))))</f>
        <v/>
      </c>
      <c r="D511" s="3">
        <f>IF('Data Source'!B511="","",IF('Data Source'!V511&gt;=5,"A+",IF('Data Source'!V511&gt;=4,"A",IF('Data Source'!V511&gt;=3.5,"A-",IF('Data Source'!V511&gt;=3,"B",IF('Data Source'!V511&gt;=2,"C",IF('Data Source'!V511&gt;=1,"D","F")))))))</f>
        <v/>
      </c>
      <c r="E511" s="3">
        <f>IF('Data Source'!B511="","",IF('Data Source'!W511&gt;=5,"A+",IF('Data Source'!W511&gt;=4,"A",IF('Data Source'!W511&gt;=3.5,"A-",IF('Data Source'!W511&gt;=3,"B",IF('Data Source'!W511&gt;=2,"C",IF('Data Source'!W511&gt;=1,"D","F")))))))</f>
        <v/>
      </c>
      <c r="F511" s="3">
        <f>IF('Data Source'!B511="","",IF('Data Source'!X511&gt;=5,"A+",IF('Data Source'!X511&gt;=4,"A",IF('Data Source'!X511&gt;=3.5,"A-",IF('Data Source'!X511&gt;=3,"B",IF('Data Source'!X511&gt;=2,"C",IF('Data Source'!X511&gt;=1,"D","F")))))))</f>
        <v/>
      </c>
      <c r="G511" s="3">
        <f>IF('Data Source'!B511="","",IF('Data Source'!Y511&gt;=5,"A+",IF('Data Source'!Y511&gt;=4,"A",IF('Data Source'!Y511&gt;=3.5,"A-",IF('Data Source'!Y511&gt;=3,"B",IF('Data Source'!Y511&gt;=2,"C",IF('Data Source'!Y511&gt;=1,"D","F")))))))</f>
        <v/>
      </c>
      <c r="H511" s="3">
        <f>IF('Data Source'!B511="","",IF('Data Source'!Z511&gt;=5,"A+",IF('Data Source'!Z511&gt;=4,"A",IF('Data Source'!Z511&gt;=3.5,"A-",IF('Data Source'!Z511&gt;=3,"B",IF('Data Source'!Z511&gt;=2,"C",IF('Data Source'!Z511&gt;=1,"D","F")))))))</f>
        <v/>
      </c>
      <c r="I511" s="3">
        <f>IF('Data Source'!B511="","",IF('Data Source'!AA511&gt;=5,"A+",IF('Data Source'!AA511&gt;=4,"A",IF('Data Source'!AA511&gt;=3.5,"A-",IF('Data Source'!AA511&gt;=3,"B",IF('Data Source'!AA511&gt;=2,"C",IF('Data Source'!AA511&gt;=1,"D","F")))))))</f>
        <v/>
      </c>
      <c r="J511" s="3">
        <f>IF('Data Source'!B511="","",IF('Data Source'!AB511&gt;=5,"A+",IF('Data Source'!AB511&gt;=4,"A",IF('Data Source'!AB511&gt;=3.5,"A-",IF('Data Source'!AB511&gt;=3,"B",IF('Data Source'!AB511&gt;=2,"C",IF('Data Source'!AB511&gt;=1,"D","F")))))))</f>
        <v/>
      </c>
      <c r="K511" s="3">
        <f>IF('Data Source'!B511="","",IF('Data Source'!AC511&gt;=5,"A+",IF('Data Source'!AC511&gt;=4,"A",IF('Data Source'!AC511&gt;=3.5,"A-",IF('Data Source'!AC511&gt;=3,"B",IF('Data Source'!AC511&gt;=2,"C",IF('Data Source'!AC511&gt;=1,"D","F")))))))</f>
        <v/>
      </c>
      <c r="L511" s="3">
        <f>IF('Data Source'!B511="","",IF('Data Source'!AD511&gt;=5,"A+",IF('Data Source'!AD511&gt;=4,"A",IF('Data Source'!AD511&gt;=3.5,"A-",IF('Data Source'!AD511&gt;=3,"B",IF('Data Source'!AD511&gt;=2,"C",IF('Data Source'!AD511&gt;=1,"D","F")))))))</f>
        <v/>
      </c>
      <c r="M511" s="3">
        <f>IF('Data Source'!B511="","",IF('Data Source'!AE511&gt;=5,"A+",IF('Data Source'!AE511&gt;=4,"A",IF('Data Source'!AE511&gt;=3.5,"A-",IF('Data Source'!AE511&gt;=3,"B",IF('Data Source'!AE511&gt;=2,"C",IF('Data Source'!AE511&gt;=1,"D","F")))))))</f>
        <v/>
      </c>
      <c r="N511" s="3">
        <f>IF('Data Source'!B511="","",IF('Data Source'!AF511&gt;=5,"A+",IF('Data Source'!AF511&gt;=4,"A",IF('Data Source'!AF511&gt;=3.5,"A-",IF('Data Source'!AF511&gt;=3,"B",IF('Data Source'!AF511&gt;=2,"C",IF('Data Source'!AF511&gt;=1,"D","F")))))))</f>
        <v/>
      </c>
      <c r="O511" s="3">
        <f>IF('Data Source'!B511="","",IF('Data Source'!AG511&gt;=5,"A+",IF('Data Source'!AG511&gt;=4,"A",IF('Data Source'!AG511&gt;=3.5,"A-",IF('Data Source'!AG511&gt;=3,"B",IF('Data Source'!AG511&gt;=2,"C",IF('Data Source'!AG511&gt;=1,"D","F")))))))</f>
        <v/>
      </c>
      <c r="P511" s="5">
        <f>IF('Data Source'!B511="","",'Data Source'!R511)</f>
        <v/>
      </c>
      <c r="Q511" s="3">
        <f>IF('Data Source'!B511="","",'Data Source'!S511)</f>
        <v/>
      </c>
    </row>
    <row r="512">
      <c r="A512" s="3">
        <f>IF('Data Source'!B512="","",'Data Source'!A512)</f>
        <v/>
      </c>
      <c r="B512">
        <f>IF('Data Source'!B512="","",'Data Source'!B512)</f>
        <v/>
      </c>
      <c r="C512" s="3">
        <f>IF('Data Source'!B512="","",IF('Data Source'!U512&gt;=5,"A+",IF('Data Source'!U512&gt;=4,"A",IF('Data Source'!U512&gt;=3.5,"A-",IF('Data Source'!U512&gt;=3,"B",IF('Data Source'!U512&gt;=2,"C",IF('Data Source'!U512&gt;=1,"D","F")))))))</f>
        <v/>
      </c>
      <c r="D512" s="3">
        <f>IF('Data Source'!B512="","",IF('Data Source'!V512&gt;=5,"A+",IF('Data Source'!V512&gt;=4,"A",IF('Data Source'!V512&gt;=3.5,"A-",IF('Data Source'!V512&gt;=3,"B",IF('Data Source'!V512&gt;=2,"C",IF('Data Source'!V512&gt;=1,"D","F")))))))</f>
        <v/>
      </c>
      <c r="E512" s="3">
        <f>IF('Data Source'!B512="","",IF('Data Source'!W512&gt;=5,"A+",IF('Data Source'!W512&gt;=4,"A",IF('Data Source'!W512&gt;=3.5,"A-",IF('Data Source'!W512&gt;=3,"B",IF('Data Source'!W512&gt;=2,"C",IF('Data Source'!W512&gt;=1,"D","F")))))))</f>
        <v/>
      </c>
      <c r="F512" s="3">
        <f>IF('Data Source'!B512="","",IF('Data Source'!X512&gt;=5,"A+",IF('Data Source'!X512&gt;=4,"A",IF('Data Source'!X512&gt;=3.5,"A-",IF('Data Source'!X512&gt;=3,"B",IF('Data Source'!X512&gt;=2,"C",IF('Data Source'!X512&gt;=1,"D","F")))))))</f>
        <v/>
      </c>
      <c r="G512" s="3">
        <f>IF('Data Source'!B512="","",IF('Data Source'!Y512&gt;=5,"A+",IF('Data Source'!Y512&gt;=4,"A",IF('Data Source'!Y512&gt;=3.5,"A-",IF('Data Source'!Y512&gt;=3,"B",IF('Data Source'!Y512&gt;=2,"C",IF('Data Source'!Y512&gt;=1,"D","F")))))))</f>
        <v/>
      </c>
      <c r="H512" s="3">
        <f>IF('Data Source'!B512="","",IF('Data Source'!Z512&gt;=5,"A+",IF('Data Source'!Z512&gt;=4,"A",IF('Data Source'!Z512&gt;=3.5,"A-",IF('Data Source'!Z512&gt;=3,"B",IF('Data Source'!Z512&gt;=2,"C",IF('Data Source'!Z512&gt;=1,"D","F")))))))</f>
        <v/>
      </c>
      <c r="I512" s="3">
        <f>IF('Data Source'!B512="","",IF('Data Source'!AA512&gt;=5,"A+",IF('Data Source'!AA512&gt;=4,"A",IF('Data Source'!AA512&gt;=3.5,"A-",IF('Data Source'!AA512&gt;=3,"B",IF('Data Source'!AA512&gt;=2,"C",IF('Data Source'!AA512&gt;=1,"D","F")))))))</f>
        <v/>
      </c>
      <c r="J512" s="3">
        <f>IF('Data Source'!B512="","",IF('Data Source'!AB512&gt;=5,"A+",IF('Data Source'!AB512&gt;=4,"A",IF('Data Source'!AB512&gt;=3.5,"A-",IF('Data Source'!AB512&gt;=3,"B",IF('Data Source'!AB512&gt;=2,"C",IF('Data Source'!AB512&gt;=1,"D","F")))))))</f>
        <v/>
      </c>
      <c r="K512" s="3">
        <f>IF('Data Source'!B512="","",IF('Data Source'!AC512&gt;=5,"A+",IF('Data Source'!AC512&gt;=4,"A",IF('Data Source'!AC512&gt;=3.5,"A-",IF('Data Source'!AC512&gt;=3,"B",IF('Data Source'!AC512&gt;=2,"C",IF('Data Source'!AC512&gt;=1,"D","F")))))))</f>
        <v/>
      </c>
      <c r="L512" s="3">
        <f>IF('Data Source'!B512="","",IF('Data Source'!AD512&gt;=5,"A+",IF('Data Source'!AD512&gt;=4,"A",IF('Data Source'!AD512&gt;=3.5,"A-",IF('Data Source'!AD512&gt;=3,"B",IF('Data Source'!AD512&gt;=2,"C",IF('Data Source'!AD512&gt;=1,"D","F")))))))</f>
        <v/>
      </c>
      <c r="M512" s="3">
        <f>IF('Data Source'!B512="","",IF('Data Source'!AE512&gt;=5,"A+",IF('Data Source'!AE512&gt;=4,"A",IF('Data Source'!AE512&gt;=3.5,"A-",IF('Data Source'!AE512&gt;=3,"B",IF('Data Source'!AE512&gt;=2,"C",IF('Data Source'!AE512&gt;=1,"D","F")))))))</f>
        <v/>
      </c>
      <c r="N512" s="3">
        <f>IF('Data Source'!B512="","",IF('Data Source'!AF512&gt;=5,"A+",IF('Data Source'!AF512&gt;=4,"A",IF('Data Source'!AF512&gt;=3.5,"A-",IF('Data Source'!AF512&gt;=3,"B",IF('Data Source'!AF512&gt;=2,"C",IF('Data Source'!AF512&gt;=1,"D","F")))))))</f>
        <v/>
      </c>
      <c r="O512" s="3">
        <f>IF('Data Source'!B512="","",IF('Data Source'!AG512&gt;=5,"A+",IF('Data Source'!AG512&gt;=4,"A",IF('Data Source'!AG512&gt;=3.5,"A-",IF('Data Source'!AG512&gt;=3,"B",IF('Data Source'!AG512&gt;=2,"C",IF('Data Source'!AG512&gt;=1,"D","F")))))))</f>
        <v/>
      </c>
      <c r="P512" s="5">
        <f>IF('Data Source'!B512="","",'Data Source'!R512)</f>
        <v/>
      </c>
      <c r="Q512" s="3">
        <f>IF('Data Source'!B512="","",'Data Source'!S512)</f>
        <v/>
      </c>
    </row>
    <row r="513">
      <c r="A513" s="3">
        <f>IF('Data Source'!B513="","",'Data Source'!A513)</f>
        <v/>
      </c>
      <c r="B513">
        <f>IF('Data Source'!B513="","",'Data Source'!B513)</f>
        <v/>
      </c>
      <c r="C513" s="3">
        <f>IF('Data Source'!B513="","",IF('Data Source'!U513&gt;=5,"A+",IF('Data Source'!U513&gt;=4,"A",IF('Data Source'!U513&gt;=3.5,"A-",IF('Data Source'!U513&gt;=3,"B",IF('Data Source'!U513&gt;=2,"C",IF('Data Source'!U513&gt;=1,"D","F")))))))</f>
        <v/>
      </c>
      <c r="D513" s="3">
        <f>IF('Data Source'!B513="","",IF('Data Source'!V513&gt;=5,"A+",IF('Data Source'!V513&gt;=4,"A",IF('Data Source'!V513&gt;=3.5,"A-",IF('Data Source'!V513&gt;=3,"B",IF('Data Source'!V513&gt;=2,"C",IF('Data Source'!V513&gt;=1,"D","F")))))))</f>
        <v/>
      </c>
      <c r="E513" s="3">
        <f>IF('Data Source'!B513="","",IF('Data Source'!W513&gt;=5,"A+",IF('Data Source'!W513&gt;=4,"A",IF('Data Source'!W513&gt;=3.5,"A-",IF('Data Source'!W513&gt;=3,"B",IF('Data Source'!W513&gt;=2,"C",IF('Data Source'!W513&gt;=1,"D","F")))))))</f>
        <v/>
      </c>
      <c r="F513" s="3">
        <f>IF('Data Source'!B513="","",IF('Data Source'!X513&gt;=5,"A+",IF('Data Source'!X513&gt;=4,"A",IF('Data Source'!X513&gt;=3.5,"A-",IF('Data Source'!X513&gt;=3,"B",IF('Data Source'!X513&gt;=2,"C",IF('Data Source'!X513&gt;=1,"D","F")))))))</f>
        <v/>
      </c>
      <c r="G513" s="3">
        <f>IF('Data Source'!B513="","",IF('Data Source'!Y513&gt;=5,"A+",IF('Data Source'!Y513&gt;=4,"A",IF('Data Source'!Y513&gt;=3.5,"A-",IF('Data Source'!Y513&gt;=3,"B",IF('Data Source'!Y513&gt;=2,"C",IF('Data Source'!Y513&gt;=1,"D","F")))))))</f>
        <v/>
      </c>
      <c r="H513" s="3">
        <f>IF('Data Source'!B513="","",IF('Data Source'!Z513&gt;=5,"A+",IF('Data Source'!Z513&gt;=4,"A",IF('Data Source'!Z513&gt;=3.5,"A-",IF('Data Source'!Z513&gt;=3,"B",IF('Data Source'!Z513&gt;=2,"C",IF('Data Source'!Z513&gt;=1,"D","F")))))))</f>
        <v/>
      </c>
      <c r="I513" s="3">
        <f>IF('Data Source'!B513="","",IF('Data Source'!AA513&gt;=5,"A+",IF('Data Source'!AA513&gt;=4,"A",IF('Data Source'!AA513&gt;=3.5,"A-",IF('Data Source'!AA513&gt;=3,"B",IF('Data Source'!AA513&gt;=2,"C",IF('Data Source'!AA513&gt;=1,"D","F")))))))</f>
        <v/>
      </c>
      <c r="J513" s="3">
        <f>IF('Data Source'!B513="","",IF('Data Source'!AB513&gt;=5,"A+",IF('Data Source'!AB513&gt;=4,"A",IF('Data Source'!AB513&gt;=3.5,"A-",IF('Data Source'!AB513&gt;=3,"B",IF('Data Source'!AB513&gt;=2,"C",IF('Data Source'!AB513&gt;=1,"D","F")))))))</f>
        <v/>
      </c>
      <c r="K513" s="3">
        <f>IF('Data Source'!B513="","",IF('Data Source'!AC513&gt;=5,"A+",IF('Data Source'!AC513&gt;=4,"A",IF('Data Source'!AC513&gt;=3.5,"A-",IF('Data Source'!AC513&gt;=3,"B",IF('Data Source'!AC513&gt;=2,"C",IF('Data Source'!AC513&gt;=1,"D","F")))))))</f>
        <v/>
      </c>
      <c r="L513" s="3">
        <f>IF('Data Source'!B513="","",IF('Data Source'!AD513&gt;=5,"A+",IF('Data Source'!AD513&gt;=4,"A",IF('Data Source'!AD513&gt;=3.5,"A-",IF('Data Source'!AD513&gt;=3,"B",IF('Data Source'!AD513&gt;=2,"C",IF('Data Source'!AD513&gt;=1,"D","F")))))))</f>
        <v/>
      </c>
      <c r="M513" s="3">
        <f>IF('Data Source'!B513="","",IF('Data Source'!AE513&gt;=5,"A+",IF('Data Source'!AE513&gt;=4,"A",IF('Data Source'!AE513&gt;=3.5,"A-",IF('Data Source'!AE513&gt;=3,"B",IF('Data Source'!AE513&gt;=2,"C",IF('Data Source'!AE513&gt;=1,"D","F")))))))</f>
        <v/>
      </c>
      <c r="N513" s="3">
        <f>IF('Data Source'!B513="","",IF('Data Source'!AF513&gt;=5,"A+",IF('Data Source'!AF513&gt;=4,"A",IF('Data Source'!AF513&gt;=3.5,"A-",IF('Data Source'!AF513&gt;=3,"B",IF('Data Source'!AF513&gt;=2,"C",IF('Data Source'!AF513&gt;=1,"D","F")))))))</f>
        <v/>
      </c>
      <c r="O513" s="3">
        <f>IF('Data Source'!B513="","",IF('Data Source'!AG513&gt;=5,"A+",IF('Data Source'!AG513&gt;=4,"A",IF('Data Source'!AG513&gt;=3.5,"A-",IF('Data Source'!AG513&gt;=3,"B",IF('Data Source'!AG513&gt;=2,"C",IF('Data Source'!AG513&gt;=1,"D","F")))))))</f>
        <v/>
      </c>
      <c r="P513" s="5">
        <f>IF('Data Source'!B513="","",'Data Source'!R513)</f>
        <v/>
      </c>
      <c r="Q513" s="3">
        <f>IF('Data Source'!B513="","",'Data Source'!S513)</f>
        <v/>
      </c>
    </row>
    <row r="514">
      <c r="A514" s="3">
        <f>IF('Data Source'!B514="","",'Data Source'!A514)</f>
        <v/>
      </c>
      <c r="B514">
        <f>IF('Data Source'!B514="","",'Data Source'!B514)</f>
        <v/>
      </c>
      <c r="C514" s="3">
        <f>IF('Data Source'!B514="","",IF('Data Source'!U514&gt;=5,"A+",IF('Data Source'!U514&gt;=4,"A",IF('Data Source'!U514&gt;=3.5,"A-",IF('Data Source'!U514&gt;=3,"B",IF('Data Source'!U514&gt;=2,"C",IF('Data Source'!U514&gt;=1,"D","F")))))))</f>
        <v/>
      </c>
      <c r="D514" s="3">
        <f>IF('Data Source'!B514="","",IF('Data Source'!V514&gt;=5,"A+",IF('Data Source'!V514&gt;=4,"A",IF('Data Source'!V514&gt;=3.5,"A-",IF('Data Source'!V514&gt;=3,"B",IF('Data Source'!V514&gt;=2,"C",IF('Data Source'!V514&gt;=1,"D","F")))))))</f>
        <v/>
      </c>
      <c r="E514" s="3">
        <f>IF('Data Source'!B514="","",IF('Data Source'!W514&gt;=5,"A+",IF('Data Source'!W514&gt;=4,"A",IF('Data Source'!W514&gt;=3.5,"A-",IF('Data Source'!W514&gt;=3,"B",IF('Data Source'!W514&gt;=2,"C",IF('Data Source'!W514&gt;=1,"D","F")))))))</f>
        <v/>
      </c>
      <c r="F514" s="3">
        <f>IF('Data Source'!B514="","",IF('Data Source'!X514&gt;=5,"A+",IF('Data Source'!X514&gt;=4,"A",IF('Data Source'!X514&gt;=3.5,"A-",IF('Data Source'!X514&gt;=3,"B",IF('Data Source'!X514&gt;=2,"C",IF('Data Source'!X514&gt;=1,"D","F")))))))</f>
        <v/>
      </c>
      <c r="G514" s="3">
        <f>IF('Data Source'!B514="","",IF('Data Source'!Y514&gt;=5,"A+",IF('Data Source'!Y514&gt;=4,"A",IF('Data Source'!Y514&gt;=3.5,"A-",IF('Data Source'!Y514&gt;=3,"B",IF('Data Source'!Y514&gt;=2,"C",IF('Data Source'!Y514&gt;=1,"D","F")))))))</f>
        <v/>
      </c>
      <c r="H514" s="3">
        <f>IF('Data Source'!B514="","",IF('Data Source'!Z514&gt;=5,"A+",IF('Data Source'!Z514&gt;=4,"A",IF('Data Source'!Z514&gt;=3.5,"A-",IF('Data Source'!Z514&gt;=3,"B",IF('Data Source'!Z514&gt;=2,"C",IF('Data Source'!Z514&gt;=1,"D","F")))))))</f>
        <v/>
      </c>
      <c r="I514" s="3">
        <f>IF('Data Source'!B514="","",IF('Data Source'!AA514&gt;=5,"A+",IF('Data Source'!AA514&gt;=4,"A",IF('Data Source'!AA514&gt;=3.5,"A-",IF('Data Source'!AA514&gt;=3,"B",IF('Data Source'!AA514&gt;=2,"C",IF('Data Source'!AA514&gt;=1,"D","F")))))))</f>
        <v/>
      </c>
      <c r="J514" s="3">
        <f>IF('Data Source'!B514="","",IF('Data Source'!AB514&gt;=5,"A+",IF('Data Source'!AB514&gt;=4,"A",IF('Data Source'!AB514&gt;=3.5,"A-",IF('Data Source'!AB514&gt;=3,"B",IF('Data Source'!AB514&gt;=2,"C",IF('Data Source'!AB514&gt;=1,"D","F")))))))</f>
        <v/>
      </c>
      <c r="K514" s="3">
        <f>IF('Data Source'!B514="","",IF('Data Source'!AC514&gt;=5,"A+",IF('Data Source'!AC514&gt;=4,"A",IF('Data Source'!AC514&gt;=3.5,"A-",IF('Data Source'!AC514&gt;=3,"B",IF('Data Source'!AC514&gt;=2,"C",IF('Data Source'!AC514&gt;=1,"D","F")))))))</f>
        <v/>
      </c>
      <c r="L514" s="3">
        <f>IF('Data Source'!B514="","",IF('Data Source'!AD514&gt;=5,"A+",IF('Data Source'!AD514&gt;=4,"A",IF('Data Source'!AD514&gt;=3.5,"A-",IF('Data Source'!AD514&gt;=3,"B",IF('Data Source'!AD514&gt;=2,"C",IF('Data Source'!AD514&gt;=1,"D","F")))))))</f>
        <v/>
      </c>
      <c r="M514" s="3">
        <f>IF('Data Source'!B514="","",IF('Data Source'!AE514&gt;=5,"A+",IF('Data Source'!AE514&gt;=4,"A",IF('Data Source'!AE514&gt;=3.5,"A-",IF('Data Source'!AE514&gt;=3,"B",IF('Data Source'!AE514&gt;=2,"C",IF('Data Source'!AE514&gt;=1,"D","F")))))))</f>
        <v/>
      </c>
      <c r="N514" s="3">
        <f>IF('Data Source'!B514="","",IF('Data Source'!AF514&gt;=5,"A+",IF('Data Source'!AF514&gt;=4,"A",IF('Data Source'!AF514&gt;=3.5,"A-",IF('Data Source'!AF514&gt;=3,"B",IF('Data Source'!AF514&gt;=2,"C",IF('Data Source'!AF514&gt;=1,"D","F")))))))</f>
        <v/>
      </c>
      <c r="O514" s="3">
        <f>IF('Data Source'!B514="","",IF('Data Source'!AG514&gt;=5,"A+",IF('Data Source'!AG514&gt;=4,"A",IF('Data Source'!AG514&gt;=3.5,"A-",IF('Data Source'!AG514&gt;=3,"B",IF('Data Source'!AG514&gt;=2,"C",IF('Data Source'!AG514&gt;=1,"D","F")))))))</f>
        <v/>
      </c>
      <c r="P514" s="5">
        <f>IF('Data Source'!B514="","",'Data Source'!R514)</f>
        <v/>
      </c>
      <c r="Q514" s="3">
        <f>IF('Data Source'!B514="","",'Data Source'!S514)</f>
        <v/>
      </c>
    </row>
    <row r="515">
      <c r="A515" s="3">
        <f>IF('Data Source'!B515="","",'Data Source'!A515)</f>
        <v/>
      </c>
      <c r="B515">
        <f>IF('Data Source'!B515="","",'Data Source'!B515)</f>
        <v/>
      </c>
      <c r="C515" s="3">
        <f>IF('Data Source'!B515="","",IF('Data Source'!U515&gt;=5,"A+",IF('Data Source'!U515&gt;=4,"A",IF('Data Source'!U515&gt;=3.5,"A-",IF('Data Source'!U515&gt;=3,"B",IF('Data Source'!U515&gt;=2,"C",IF('Data Source'!U515&gt;=1,"D","F")))))))</f>
        <v/>
      </c>
      <c r="D515" s="3">
        <f>IF('Data Source'!B515="","",IF('Data Source'!V515&gt;=5,"A+",IF('Data Source'!V515&gt;=4,"A",IF('Data Source'!V515&gt;=3.5,"A-",IF('Data Source'!V515&gt;=3,"B",IF('Data Source'!V515&gt;=2,"C",IF('Data Source'!V515&gt;=1,"D","F")))))))</f>
        <v/>
      </c>
      <c r="E515" s="3">
        <f>IF('Data Source'!B515="","",IF('Data Source'!W515&gt;=5,"A+",IF('Data Source'!W515&gt;=4,"A",IF('Data Source'!W515&gt;=3.5,"A-",IF('Data Source'!W515&gt;=3,"B",IF('Data Source'!W515&gt;=2,"C",IF('Data Source'!W515&gt;=1,"D","F")))))))</f>
        <v/>
      </c>
      <c r="F515" s="3">
        <f>IF('Data Source'!B515="","",IF('Data Source'!X515&gt;=5,"A+",IF('Data Source'!X515&gt;=4,"A",IF('Data Source'!X515&gt;=3.5,"A-",IF('Data Source'!X515&gt;=3,"B",IF('Data Source'!X515&gt;=2,"C",IF('Data Source'!X515&gt;=1,"D","F")))))))</f>
        <v/>
      </c>
      <c r="G515" s="3">
        <f>IF('Data Source'!B515="","",IF('Data Source'!Y515&gt;=5,"A+",IF('Data Source'!Y515&gt;=4,"A",IF('Data Source'!Y515&gt;=3.5,"A-",IF('Data Source'!Y515&gt;=3,"B",IF('Data Source'!Y515&gt;=2,"C",IF('Data Source'!Y515&gt;=1,"D","F")))))))</f>
        <v/>
      </c>
      <c r="H515" s="3">
        <f>IF('Data Source'!B515="","",IF('Data Source'!Z515&gt;=5,"A+",IF('Data Source'!Z515&gt;=4,"A",IF('Data Source'!Z515&gt;=3.5,"A-",IF('Data Source'!Z515&gt;=3,"B",IF('Data Source'!Z515&gt;=2,"C",IF('Data Source'!Z515&gt;=1,"D","F")))))))</f>
        <v/>
      </c>
      <c r="I515" s="3">
        <f>IF('Data Source'!B515="","",IF('Data Source'!AA515&gt;=5,"A+",IF('Data Source'!AA515&gt;=4,"A",IF('Data Source'!AA515&gt;=3.5,"A-",IF('Data Source'!AA515&gt;=3,"B",IF('Data Source'!AA515&gt;=2,"C",IF('Data Source'!AA515&gt;=1,"D","F")))))))</f>
        <v/>
      </c>
      <c r="J515" s="3">
        <f>IF('Data Source'!B515="","",IF('Data Source'!AB515&gt;=5,"A+",IF('Data Source'!AB515&gt;=4,"A",IF('Data Source'!AB515&gt;=3.5,"A-",IF('Data Source'!AB515&gt;=3,"B",IF('Data Source'!AB515&gt;=2,"C",IF('Data Source'!AB515&gt;=1,"D","F")))))))</f>
        <v/>
      </c>
      <c r="K515" s="3">
        <f>IF('Data Source'!B515="","",IF('Data Source'!AC515&gt;=5,"A+",IF('Data Source'!AC515&gt;=4,"A",IF('Data Source'!AC515&gt;=3.5,"A-",IF('Data Source'!AC515&gt;=3,"B",IF('Data Source'!AC515&gt;=2,"C",IF('Data Source'!AC515&gt;=1,"D","F")))))))</f>
        <v/>
      </c>
      <c r="L515" s="3">
        <f>IF('Data Source'!B515="","",IF('Data Source'!AD515&gt;=5,"A+",IF('Data Source'!AD515&gt;=4,"A",IF('Data Source'!AD515&gt;=3.5,"A-",IF('Data Source'!AD515&gt;=3,"B",IF('Data Source'!AD515&gt;=2,"C",IF('Data Source'!AD515&gt;=1,"D","F")))))))</f>
        <v/>
      </c>
      <c r="M515" s="3">
        <f>IF('Data Source'!B515="","",IF('Data Source'!AE515&gt;=5,"A+",IF('Data Source'!AE515&gt;=4,"A",IF('Data Source'!AE515&gt;=3.5,"A-",IF('Data Source'!AE515&gt;=3,"B",IF('Data Source'!AE515&gt;=2,"C",IF('Data Source'!AE515&gt;=1,"D","F")))))))</f>
        <v/>
      </c>
      <c r="N515" s="3">
        <f>IF('Data Source'!B515="","",IF('Data Source'!AF515&gt;=5,"A+",IF('Data Source'!AF515&gt;=4,"A",IF('Data Source'!AF515&gt;=3.5,"A-",IF('Data Source'!AF515&gt;=3,"B",IF('Data Source'!AF515&gt;=2,"C",IF('Data Source'!AF515&gt;=1,"D","F")))))))</f>
        <v/>
      </c>
      <c r="O515" s="3">
        <f>IF('Data Source'!B515="","",IF('Data Source'!AG515&gt;=5,"A+",IF('Data Source'!AG515&gt;=4,"A",IF('Data Source'!AG515&gt;=3.5,"A-",IF('Data Source'!AG515&gt;=3,"B",IF('Data Source'!AG515&gt;=2,"C",IF('Data Source'!AG515&gt;=1,"D","F")))))))</f>
        <v/>
      </c>
      <c r="P515" s="5">
        <f>IF('Data Source'!B515="","",'Data Source'!R515)</f>
        <v/>
      </c>
      <c r="Q515" s="3">
        <f>IF('Data Source'!B515="","",'Data Source'!S515)</f>
        <v/>
      </c>
    </row>
    <row r="516">
      <c r="A516" s="3">
        <f>IF('Data Source'!B516="","",'Data Source'!A516)</f>
        <v/>
      </c>
      <c r="B516">
        <f>IF('Data Source'!B516="","",'Data Source'!B516)</f>
        <v/>
      </c>
      <c r="C516" s="3">
        <f>IF('Data Source'!B516="","",IF('Data Source'!U516&gt;=5,"A+",IF('Data Source'!U516&gt;=4,"A",IF('Data Source'!U516&gt;=3.5,"A-",IF('Data Source'!U516&gt;=3,"B",IF('Data Source'!U516&gt;=2,"C",IF('Data Source'!U516&gt;=1,"D","F")))))))</f>
        <v/>
      </c>
      <c r="D516" s="3">
        <f>IF('Data Source'!B516="","",IF('Data Source'!V516&gt;=5,"A+",IF('Data Source'!V516&gt;=4,"A",IF('Data Source'!V516&gt;=3.5,"A-",IF('Data Source'!V516&gt;=3,"B",IF('Data Source'!V516&gt;=2,"C",IF('Data Source'!V516&gt;=1,"D","F")))))))</f>
        <v/>
      </c>
      <c r="E516" s="3">
        <f>IF('Data Source'!B516="","",IF('Data Source'!W516&gt;=5,"A+",IF('Data Source'!W516&gt;=4,"A",IF('Data Source'!W516&gt;=3.5,"A-",IF('Data Source'!W516&gt;=3,"B",IF('Data Source'!W516&gt;=2,"C",IF('Data Source'!W516&gt;=1,"D","F")))))))</f>
        <v/>
      </c>
      <c r="F516" s="3">
        <f>IF('Data Source'!B516="","",IF('Data Source'!X516&gt;=5,"A+",IF('Data Source'!X516&gt;=4,"A",IF('Data Source'!X516&gt;=3.5,"A-",IF('Data Source'!X516&gt;=3,"B",IF('Data Source'!X516&gt;=2,"C",IF('Data Source'!X516&gt;=1,"D","F")))))))</f>
        <v/>
      </c>
      <c r="G516" s="3">
        <f>IF('Data Source'!B516="","",IF('Data Source'!Y516&gt;=5,"A+",IF('Data Source'!Y516&gt;=4,"A",IF('Data Source'!Y516&gt;=3.5,"A-",IF('Data Source'!Y516&gt;=3,"B",IF('Data Source'!Y516&gt;=2,"C",IF('Data Source'!Y516&gt;=1,"D","F")))))))</f>
        <v/>
      </c>
      <c r="H516" s="3">
        <f>IF('Data Source'!B516="","",IF('Data Source'!Z516&gt;=5,"A+",IF('Data Source'!Z516&gt;=4,"A",IF('Data Source'!Z516&gt;=3.5,"A-",IF('Data Source'!Z516&gt;=3,"B",IF('Data Source'!Z516&gt;=2,"C",IF('Data Source'!Z516&gt;=1,"D","F")))))))</f>
        <v/>
      </c>
      <c r="I516" s="3">
        <f>IF('Data Source'!B516="","",IF('Data Source'!AA516&gt;=5,"A+",IF('Data Source'!AA516&gt;=4,"A",IF('Data Source'!AA516&gt;=3.5,"A-",IF('Data Source'!AA516&gt;=3,"B",IF('Data Source'!AA516&gt;=2,"C",IF('Data Source'!AA516&gt;=1,"D","F")))))))</f>
        <v/>
      </c>
      <c r="J516" s="3">
        <f>IF('Data Source'!B516="","",IF('Data Source'!AB516&gt;=5,"A+",IF('Data Source'!AB516&gt;=4,"A",IF('Data Source'!AB516&gt;=3.5,"A-",IF('Data Source'!AB516&gt;=3,"B",IF('Data Source'!AB516&gt;=2,"C",IF('Data Source'!AB516&gt;=1,"D","F")))))))</f>
        <v/>
      </c>
      <c r="K516" s="3">
        <f>IF('Data Source'!B516="","",IF('Data Source'!AC516&gt;=5,"A+",IF('Data Source'!AC516&gt;=4,"A",IF('Data Source'!AC516&gt;=3.5,"A-",IF('Data Source'!AC516&gt;=3,"B",IF('Data Source'!AC516&gt;=2,"C",IF('Data Source'!AC516&gt;=1,"D","F")))))))</f>
        <v/>
      </c>
      <c r="L516" s="3">
        <f>IF('Data Source'!B516="","",IF('Data Source'!AD516&gt;=5,"A+",IF('Data Source'!AD516&gt;=4,"A",IF('Data Source'!AD516&gt;=3.5,"A-",IF('Data Source'!AD516&gt;=3,"B",IF('Data Source'!AD516&gt;=2,"C",IF('Data Source'!AD516&gt;=1,"D","F")))))))</f>
        <v/>
      </c>
      <c r="M516" s="3">
        <f>IF('Data Source'!B516="","",IF('Data Source'!AE516&gt;=5,"A+",IF('Data Source'!AE516&gt;=4,"A",IF('Data Source'!AE516&gt;=3.5,"A-",IF('Data Source'!AE516&gt;=3,"B",IF('Data Source'!AE516&gt;=2,"C",IF('Data Source'!AE516&gt;=1,"D","F")))))))</f>
        <v/>
      </c>
      <c r="N516" s="3">
        <f>IF('Data Source'!B516="","",IF('Data Source'!AF516&gt;=5,"A+",IF('Data Source'!AF516&gt;=4,"A",IF('Data Source'!AF516&gt;=3.5,"A-",IF('Data Source'!AF516&gt;=3,"B",IF('Data Source'!AF516&gt;=2,"C",IF('Data Source'!AF516&gt;=1,"D","F")))))))</f>
        <v/>
      </c>
      <c r="O516" s="3">
        <f>IF('Data Source'!B516="","",IF('Data Source'!AG516&gt;=5,"A+",IF('Data Source'!AG516&gt;=4,"A",IF('Data Source'!AG516&gt;=3.5,"A-",IF('Data Source'!AG516&gt;=3,"B",IF('Data Source'!AG516&gt;=2,"C",IF('Data Source'!AG516&gt;=1,"D","F")))))))</f>
        <v/>
      </c>
      <c r="P516" s="5">
        <f>IF('Data Source'!B516="","",'Data Source'!R516)</f>
        <v/>
      </c>
      <c r="Q516" s="3">
        <f>IF('Data Source'!B516="","",'Data Source'!S516)</f>
        <v/>
      </c>
    </row>
    <row r="517">
      <c r="A517" s="3">
        <f>IF('Data Source'!B517="","",'Data Source'!A517)</f>
        <v/>
      </c>
      <c r="B517">
        <f>IF('Data Source'!B517="","",'Data Source'!B517)</f>
        <v/>
      </c>
      <c r="C517" s="3">
        <f>IF('Data Source'!B517="","",IF('Data Source'!U517&gt;=5,"A+",IF('Data Source'!U517&gt;=4,"A",IF('Data Source'!U517&gt;=3.5,"A-",IF('Data Source'!U517&gt;=3,"B",IF('Data Source'!U517&gt;=2,"C",IF('Data Source'!U517&gt;=1,"D","F")))))))</f>
        <v/>
      </c>
      <c r="D517" s="3">
        <f>IF('Data Source'!B517="","",IF('Data Source'!V517&gt;=5,"A+",IF('Data Source'!V517&gt;=4,"A",IF('Data Source'!V517&gt;=3.5,"A-",IF('Data Source'!V517&gt;=3,"B",IF('Data Source'!V517&gt;=2,"C",IF('Data Source'!V517&gt;=1,"D","F")))))))</f>
        <v/>
      </c>
      <c r="E517" s="3">
        <f>IF('Data Source'!B517="","",IF('Data Source'!W517&gt;=5,"A+",IF('Data Source'!W517&gt;=4,"A",IF('Data Source'!W517&gt;=3.5,"A-",IF('Data Source'!W517&gt;=3,"B",IF('Data Source'!W517&gt;=2,"C",IF('Data Source'!W517&gt;=1,"D","F")))))))</f>
        <v/>
      </c>
      <c r="F517" s="3">
        <f>IF('Data Source'!B517="","",IF('Data Source'!X517&gt;=5,"A+",IF('Data Source'!X517&gt;=4,"A",IF('Data Source'!X517&gt;=3.5,"A-",IF('Data Source'!X517&gt;=3,"B",IF('Data Source'!X517&gt;=2,"C",IF('Data Source'!X517&gt;=1,"D","F")))))))</f>
        <v/>
      </c>
      <c r="G517" s="3">
        <f>IF('Data Source'!B517="","",IF('Data Source'!Y517&gt;=5,"A+",IF('Data Source'!Y517&gt;=4,"A",IF('Data Source'!Y517&gt;=3.5,"A-",IF('Data Source'!Y517&gt;=3,"B",IF('Data Source'!Y517&gt;=2,"C",IF('Data Source'!Y517&gt;=1,"D","F")))))))</f>
        <v/>
      </c>
      <c r="H517" s="3">
        <f>IF('Data Source'!B517="","",IF('Data Source'!Z517&gt;=5,"A+",IF('Data Source'!Z517&gt;=4,"A",IF('Data Source'!Z517&gt;=3.5,"A-",IF('Data Source'!Z517&gt;=3,"B",IF('Data Source'!Z517&gt;=2,"C",IF('Data Source'!Z517&gt;=1,"D","F")))))))</f>
        <v/>
      </c>
      <c r="I517" s="3">
        <f>IF('Data Source'!B517="","",IF('Data Source'!AA517&gt;=5,"A+",IF('Data Source'!AA517&gt;=4,"A",IF('Data Source'!AA517&gt;=3.5,"A-",IF('Data Source'!AA517&gt;=3,"B",IF('Data Source'!AA517&gt;=2,"C",IF('Data Source'!AA517&gt;=1,"D","F")))))))</f>
        <v/>
      </c>
      <c r="J517" s="3">
        <f>IF('Data Source'!B517="","",IF('Data Source'!AB517&gt;=5,"A+",IF('Data Source'!AB517&gt;=4,"A",IF('Data Source'!AB517&gt;=3.5,"A-",IF('Data Source'!AB517&gt;=3,"B",IF('Data Source'!AB517&gt;=2,"C",IF('Data Source'!AB517&gt;=1,"D","F")))))))</f>
        <v/>
      </c>
      <c r="K517" s="3">
        <f>IF('Data Source'!B517="","",IF('Data Source'!AC517&gt;=5,"A+",IF('Data Source'!AC517&gt;=4,"A",IF('Data Source'!AC517&gt;=3.5,"A-",IF('Data Source'!AC517&gt;=3,"B",IF('Data Source'!AC517&gt;=2,"C",IF('Data Source'!AC517&gt;=1,"D","F")))))))</f>
        <v/>
      </c>
      <c r="L517" s="3">
        <f>IF('Data Source'!B517="","",IF('Data Source'!AD517&gt;=5,"A+",IF('Data Source'!AD517&gt;=4,"A",IF('Data Source'!AD517&gt;=3.5,"A-",IF('Data Source'!AD517&gt;=3,"B",IF('Data Source'!AD517&gt;=2,"C",IF('Data Source'!AD517&gt;=1,"D","F")))))))</f>
        <v/>
      </c>
      <c r="M517" s="3">
        <f>IF('Data Source'!B517="","",IF('Data Source'!AE517&gt;=5,"A+",IF('Data Source'!AE517&gt;=4,"A",IF('Data Source'!AE517&gt;=3.5,"A-",IF('Data Source'!AE517&gt;=3,"B",IF('Data Source'!AE517&gt;=2,"C",IF('Data Source'!AE517&gt;=1,"D","F")))))))</f>
        <v/>
      </c>
      <c r="N517" s="3">
        <f>IF('Data Source'!B517="","",IF('Data Source'!AF517&gt;=5,"A+",IF('Data Source'!AF517&gt;=4,"A",IF('Data Source'!AF517&gt;=3.5,"A-",IF('Data Source'!AF517&gt;=3,"B",IF('Data Source'!AF517&gt;=2,"C",IF('Data Source'!AF517&gt;=1,"D","F")))))))</f>
        <v/>
      </c>
      <c r="O517" s="3">
        <f>IF('Data Source'!B517="","",IF('Data Source'!AG517&gt;=5,"A+",IF('Data Source'!AG517&gt;=4,"A",IF('Data Source'!AG517&gt;=3.5,"A-",IF('Data Source'!AG517&gt;=3,"B",IF('Data Source'!AG517&gt;=2,"C",IF('Data Source'!AG517&gt;=1,"D","F")))))))</f>
        <v/>
      </c>
      <c r="P517" s="5">
        <f>IF('Data Source'!B517="","",'Data Source'!R517)</f>
        <v/>
      </c>
      <c r="Q517" s="3">
        <f>IF('Data Source'!B517="","",'Data Source'!S517)</f>
        <v/>
      </c>
    </row>
    <row r="518">
      <c r="A518" s="3">
        <f>IF('Data Source'!B518="","",'Data Source'!A518)</f>
        <v/>
      </c>
      <c r="B518">
        <f>IF('Data Source'!B518="","",'Data Source'!B518)</f>
        <v/>
      </c>
      <c r="C518" s="3">
        <f>IF('Data Source'!B518="","",IF('Data Source'!U518&gt;=5,"A+",IF('Data Source'!U518&gt;=4,"A",IF('Data Source'!U518&gt;=3.5,"A-",IF('Data Source'!U518&gt;=3,"B",IF('Data Source'!U518&gt;=2,"C",IF('Data Source'!U518&gt;=1,"D","F")))))))</f>
        <v/>
      </c>
      <c r="D518" s="3">
        <f>IF('Data Source'!B518="","",IF('Data Source'!V518&gt;=5,"A+",IF('Data Source'!V518&gt;=4,"A",IF('Data Source'!V518&gt;=3.5,"A-",IF('Data Source'!V518&gt;=3,"B",IF('Data Source'!V518&gt;=2,"C",IF('Data Source'!V518&gt;=1,"D","F")))))))</f>
        <v/>
      </c>
      <c r="E518" s="3">
        <f>IF('Data Source'!B518="","",IF('Data Source'!W518&gt;=5,"A+",IF('Data Source'!W518&gt;=4,"A",IF('Data Source'!W518&gt;=3.5,"A-",IF('Data Source'!W518&gt;=3,"B",IF('Data Source'!W518&gt;=2,"C",IF('Data Source'!W518&gt;=1,"D","F")))))))</f>
        <v/>
      </c>
      <c r="F518" s="3">
        <f>IF('Data Source'!B518="","",IF('Data Source'!X518&gt;=5,"A+",IF('Data Source'!X518&gt;=4,"A",IF('Data Source'!X518&gt;=3.5,"A-",IF('Data Source'!X518&gt;=3,"B",IF('Data Source'!X518&gt;=2,"C",IF('Data Source'!X518&gt;=1,"D","F")))))))</f>
        <v/>
      </c>
      <c r="G518" s="3">
        <f>IF('Data Source'!B518="","",IF('Data Source'!Y518&gt;=5,"A+",IF('Data Source'!Y518&gt;=4,"A",IF('Data Source'!Y518&gt;=3.5,"A-",IF('Data Source'!Y518&gt;=3,"B",IF('Data Source'!Y518&gt;=2,"C",IF('Data Source'!Y518&gt;=1,"D","F")))))))</f>
        <v/>
      </c>
      <c r="H518" s="3">
        <f>IF('Data Source'!B518="","",IF('Data Source'!Z518&gt;=5,"A+",IF('Data Source'!Z518&gt;=4,"A",IF('Data Source'!Z518&gt;=3.5,"A-",IF('Data Source'!Z518&gt;=3,"B",IF('Data Source'!Z518&gt;=2,"C",IF('Data Source'!Z518&gt;=1,"D","F")))))))</f>
        <v/>
      </c>
      <c r="I518" s="3">
        <f>IF('Data Source'!B518="","",IF('Data Source'!AA518&gt;=5,"A+",IF('Data Source'!AA518&gt;=4,"A",IF('Data Source'!AA518&gt;=3.5,"A-",IF('Data Source'!AA518&gt;=3,"B",IF('Data Source'!AA518&gt;=2,"C",IF('Data Source'!AA518&gt;=1,"D","F")))))))</f>
        <v/>
      </c>
      <c r="J518" s="3">
        <f>IF('Data Source'!B518="","",IF('Data Source'!AB518&gt;=5,"A+",IF('Data Source'!AB518&gt;=4,"A",IF('Data Source'!AB518&gt;=3.5,"A-",IF('Data Source'!AB518&gt;=3,"B",IF('Data Source'!AB518&gt;=2,"C",IF('Data Source'!AB518&gt;=1,"D","F")))))))</f>
        <v/>
      </c>
      <c r="K518" s="3">
        <f>IF('Data Source'!B518="","",IF('Data Source'!AC518&gt;=5,"A+",IF('Data Source'!AC518&gt;=4,"A",IF('Data Source'!AC518&gt;=3.5,"A-",IF('Data Source'!AC518&gt;=3,"B",IF('Data Source'!AC518&gt;=2,"C",IF('Data Source'!AC518&gt;=1,"D","F")))))))</f>
        <v/>
      </c>
      <c r="L518" s="3">
        <f>IF('Data Source'!B518="","",IF('Data Source'!AD518&gt;=5,"A+",IF('Data Source'!AD518&gt;=4,"A",IF('Data Source'!AD518&gt;=3.5,"A-",IF('Data Source'!AD518&gt;=3,"B",IF('Data Source'!AD518&gt;=2,"C",IF('Data Source'!AD518&gt;=1,"D","F")))))))</f>
        <v/>
      </c>
      <c r="M518" s="3">
        <f>IF('Data Source'!B518="","",IF('Data Source'!AE518&gt;=5,"A+",IF('Data Source'!AE518&gt;=4,"A",IF('Data Source'!AE518&gt;=3.5,"A-",IF('Data Source'!AE518&gt;=3,"B",IF('Data Source'!AE518&gt;=2,"C",IF('Data Source'!AE518&gt;=1,"D","F")))))))</f>
        <v/>
      </c>
      <c r="N518" s="3">
        <f>IF('Data Source'!B518="","",IF('Data Source'!AF518&gt;=5,"A+",IF('Data Source'!AF518&gt;=4,"A",IF('Data Source'!AF518&gt;=3.5,"A-",IF('Data Source'!AF518&gt;=3,"B",IF('Data Source'!AF518&gt;=2,"C",IF('Data Source'!AF518&gt;=1,"D","F")))))))</f>
        <v/>
      </c>
      <c r="O518" s="3">
        <f>IF('Data Source'!B518="","",IF('Data Source'!AG518&gt;=5,"A+",IF('Data Source'!AG518&gt;=4,"A",IF('Data Source'!AG518&gt;=3.5,"A-",IF('Data Source'!AG518&gt;=3,"B",IF('Data Source'!AG518&gt;=2,"C",IF('Data Source'!AG518&gt;=1,"D","F")))))))</f>
        <v/>
      </c>
      <c r="P518" s="5">
        <f>IF('Data Source'!B518="","",'Data Source'!R518)</f>
        <v/>
      </c>
      <c r="Q518" s="3">
        <f>IF('Data Source'!B518="","",'Data Source'!S518)</f>
        <v/>
      </c>
    </row>
    <row r="519">
      <c r="A519" s="3">
        <f>IF('Data Source'!B519="","",'Data Source'!A519)</f>
        <v/>
      </c>
      <c r="B519">
        <f>IF('Data Source'!B519="","",'Data Source'!B519)</f>
        <v/>
      </c>
      <c r="C519" s="3">
        <f>IF('Data Source'!B519="","",IF('Data Source'!U519&gt;=5,"A+",IF('Data Source'!U519&gt;=4,"A",IF('Data Source'!U519&gt;=3.5,"A-",IF('Data Source'!U519&gt;=3,"B",IF('Data Source'!U519&gt;=2,"C",IF('Data Source'!U519&gt;=1,"D","F")))))))</f>
        <v/>
      </c>
      <c r="D519" s="3">
        <f>IF('Data Source'!B519="","",IF('Data Source'!V519&gt;=5,"A+",IF('Data Source'!V519&gt;=4,"A",IF('Data Source'!V519&gt;=3.5,"A-",IF('Data Source'!V519&gt;=3,"B",IF('Data Source'!V519&gt;=2,"C",IF('Data Source'!V519&gt;=1,"D","F")))))))</f>
        <v/>
      </c>
      <c r="E519" s="3">
        <f>IF('Data Source'!B519="","",IF('Data Source'!W519&gt;=5,"A+",IF('Data Source'!W519&gt;=4,"A",IF('Data Source'!W519&gt;=3.5,"A-",IF('Data Source'!W519&gt;=3,"B",IF('Data Source'!W519&gt;=2,"C",IF('Data Source'!W519&gt;=1,"D","F")))))))</f>
        <v/>
      </c>
      <c r="F519" s="3">
        <f>IF('Data Source'!B519="","",IF('Data Source'!X519&gt;=5,"A+",IF('Data Source'!X519&gt;=4,"A",IF('Data Source'!X519&gt;=3.5,"A-",IF('Data Source'!X519&gt;=3,"B",IF('Data Source'!X519&gt;=2,"C",IF('Data Source'!X519&gt;=1,"D","F")))))))</f>
        <v/>
      </c>
      <c r="G519" s="3">
        <f>IF('Data Source'!B519="","",IF('Data Source'!Y519&gt;=5,"A+",IF('Data Source'!Y519&gt;=4,"A",IF('Data Source'!Y519&gt;=3.5,"A-",IF('Data Source'!Y519&gt;=3,"B",IF('Data Source'!Y519&gt;=2,"C",IF('Data Source'!Y519&gt;=1,"D","F")))))))</f>
        <v/>
      </c>
      <c r="H519" s="3">
        <f>IF('Data Source'!B519="","",IF('Data Source'!Z519&gt;=5,"A+",IF('Data Source'!Z519&gt;=4,"A",IF('Data Source'!Z519&gt;=3.5,"A-",IF('Data Source'!Z519&gt;=3,"B",IF('Data Source'!Z519&gt;=2,"C",IF('Data Source'!Z519&gt;=1,"D","F")))))))</f>
        <v/>
      </c>
      <c r="I519" s="3">
        <f>IF('Data Source'!B519="","",IF('Data Source'!AA519&gt;=5,"A+",IF('Data Source'!AA519&gt;=4,"A",IF('Data Source'!AA519&gt;=3.5,"A-",IF('Data Source'!AA519&gt;=3,"B",IF('Data Source'!AA519&gt;=2,"C",IF('Data Source'!AA519&gt;=1,"D","F")))))))</f>
        <v/>
      </c>
      <c r="J519" s="3">
        <f>IF('Data Source'!B519="","",IF('Data Source'!AB519&gt;=5,"A+",IF('Data Source'!AB519&gt;=4,"A",IF('Data Source'!AB519&gt;=3.5,"A-",IF('Data Source'!AB519&gt;=3,"B",IF('Data Source'!AB519&gt;=2,"C",IF('Data Source'!AB519&gt;=1,"D","F")))))))</f>
        <v/>
      </c>
      <c r="K519" s="3">
        <f>IF('Data Source'!B519="","",IF('Data Source'!AC519&gt;=5,"A+",IF('Data Source'!AC519&gt;=4,"A",IF('Data Source'!AC519&gt;=3.5,"A-",IF('Data Source'!AC519&gt;=3,"B",IF('Data Source'!AC519&gt;=2,"C",IF('Data Source'!AC519&gt;=1,"D","F")))))))</f>
        <v/>
      </c>
      <c r="L519" s="3">
        <f>IF('Data Source'!B519="","",IF('Data Source'!AD519&gt;=5,"A+",IF('Data Source'!AD519&gt;=4,"A",IF('Data Source'!AD519&gt;=3.5,"A-",IF('Data Source'!AD519&gt;=3,"B",IF('Data Source'!AD519&gt;=2,"C",IF('Data Source'!AD519&gt;=1,"D","F")))))))</f>
        <v/>
      </c>
      <c r="M519" s="3">
        <f>IF('Data Source'!B519="","",IF('Data Source'!AE519&gt;=5,"A+",IF('Data Source'!AE519&gt;=4,"A",IF('Data Source'!AE519&gt;=3.5,"A-",IF('Data Source'!AE519&gt;=3,"B",IF('Data Source'!AE519&gt;=2,"C",IF('Data Source'!AE519&gt;=1,"D","F")))))))</f>
        <v/>
      </c>
      <c r="N519" s="3">
        <f>IF('Data Source'!B519="","",IF('Data Source'!AF519&gt;=5,"A+",IF('Data Source'!AF519&gt;=4,"A",IF('Data Source'!AF519&gt;=3.5,"A-",IF('Data Source'!AF519&gt;=3,"B",IF('Data Source'!AF519&gt;=2,"C",IF('Data Source'!AF519&gt;=1,"D","F")))))))</f>
        <v/>
      </c>
      <c r="O519" s="3">
        <f>IF('Data Source'!B519="","",IF('Data Source'!AG519&gt;=5,"A+",IF('Data Source'!AG519&gt;=4,"A",IF('Data Source'!AG519&gt;=3.5,"A-",IF('Data Source'!AG519&gt;=3,"B",IF('Data Source'!AG519&gt;=2,"C",IF('Data Source'!AG519&gt;=1,"D","F")))))))</f>
        <v/>
      </c>
      <c r="P519" s="5">
        <f>IF('Data Source'!B519="","",'Data Source'!R519)</f>
        <v/>
      </c>
      <c r="Q519" s="3">
        <f>IF('Data Source'!B519="","",'Data Source'!S519)</f>
        <v/>
      </c>
    </row>
    <row r="520">
      <c r="A520" s="3">
        <f>IF('Data Source'!B520="","",'Data Source'!A520)</f>
        <v/>
      </c>
      <c r="B520">
        <f>IF('Data Source'!B520="","",'Data Source'!B520)</f>
        <v/>
      </c>
      <c r="C520" s="3">
        <f>IF('Data Source'!B520="","",IF('Data Source'!U520&gt;=5,"A+",IF('Data Source'!U520&gt;=4,"A",IF('Data Source'!U520&gt;=3.5,"A-",IF('Data Source'!U520&gt;=3,"B",IF('Data Source'!U520&gt;=2,"C",IF('Data Source'!U520&gt;=1,"D","F")))))))</f>
        <v/>
      </c>
      <c r="D520" s="3">
        <f>IF('Data Source'!B520="","",IF('Data Source'!V520&gt;=5,"A+",IF('Data Source'!V520&gt;=4,"A",IF('Data Source'!V520&gt;=3.5,"A-",IF('Data Source'!V520&gt;=3,"B",IF('Data Source'!V520&gt;=2,"C",IF('Data Source'!V520&gt;=1,"D","F")))))))</f>
        <v/>
      </c>
      <c r="E520" s="3">
        <f>IF('Data Source'!B520="","",IF('Data Source'!W520&gt;=5,"A+",IF('Data Source'!W520&gt;=4,"A",IF('Data Source'!W520&gt;=3.5,"A-",IF('Data Source'!W520&gt;=3,"B",IF('Data Source'!W520&gt;=2,"C",IF('Data Source'!W520&gt;=1,"D","F")))))))</f>
        <v/>
      </c>
      <c r="F520" s="3">
        <f>IF('Data Source'!B520="","",IF('Data Source'!X520&gt;=5,"A+",IF('Data Source'!X520&gt;=4,"A",IF('Data Source'!X520&gt;=3.5,"A-",IF('Data Source'!X520&gt;=3,"B",IF('Data Source'!X520&gt;=2,"C",IF('Data Source'!X520&gt;=1,"D","F")))))))</f>
        <v/>
      </c>
      <c r="G520" s="3">
        <f>IF('Data Source'!B520="","",IF('Data Source'!Y520&gt;=5,"A+",IF('Data Source'!Y520&gt;=4,"A",IF('Data Source'!Y520&gt;=3.5,"A-",IF('Data Source'!Y520&gt;=3,"B",IF('Data Source'!Y520&gt;=2,"C",IF('Data Source'!Y520&gt;=1,"D","F")))))))</f>
        <v/>
      </c>
      <c r="H520" s="3">
        <f>IF('Data Source'!B520="","",IF('Data Source'!Z520&gt;=5,"A+",IF('Data Source'!Z520&gt;=4,"A",IF('Data Source'!Z520&gt;=3.5,"A-",IF('Data Source'!Z520&gt;=3,"B",IF('Data Source'!Z520&gt;=2,"C",IF('Data Source'!Z520&gt;=1,"D","F")))))))</f>
        <v/>
      </c>
      <c r="I520" s="3">
        <f>IF('Data Source'!B520="","",IF('Data Source'!AA520&gt;=5,"A+",IF('Data Source'!AA520&gt;=4,"A",IF('Data Source'!AA520&gt;=3.5,"A-",IF('Data Source'!AA520&gt;=3,"B",IF('Data Source'!AA520&gt;=2,"C",IF('Data Source'!AA520&gt;=1,"D","F")))))))</f>
        <v/>
      </c>
      <c r="J520" s="3">
        <f>IF('Data Source'!B520="","",IF('Data Source'!AB520&gt;=5,"A+",IF('Data Source'!AB520&gt;=4,"A",IF('Data Source'!AB520&gt;=3.5,"A-",IF('Data Source'!AB520&gt;=3,"B",IF('Data Source'!AB520&gt;=2,"C",IF('Data Source'!AB520&gt;=1,"D","F")))))))</f>
        <v/>
      </c>
      <c r="K520" s="3">
        <f>IF('Data Source'!B520="","",IF('Data Source'!AC520&gt;=5,"A+",IF('Data Source'!AC520&gt;=4,"A",IF('Data Source'!AC520&gt;=3.5,"A-",IF('Data Source'!AC520&gt;=3,"B",IF('Data Source'!AC520&gt;=2,"C",IF('Data Source'!AC520&gt;=1,"D","F")))))))</f>
        <v/>
      </c>
      <c r="L520" s="3">
        <f>IF('Data Source'!B520="","",IF('Data Source'!AD520&gt;=5,"A+",IF('Data Source'!AD520&gt;=4,"A",IF('Data Source'!AD520&gt;=3.5,"A-",IF('Data Source'!AD520&gt;=3,"B",IF('Data Source'!AD520&gt;=2,"C",IF('Data Source'!AD520&gt;=1,"D","F")))))))</f>
        <v/>
      </c>
      <c r="M520" s="3">
        <f>IF('Data Source'!B520="","",IF('Data Source'!AE520&gt;=5,"A+",IF('Data Source'!AE520&gt;=4,"A",IF('Data Source'!AE520&gt;=3.5,"A-",IF('Data Source'!AE520&gt;=3,"B",IF('Data Source'!AE520&gt;=2,"C",IF('Data Source'!AE520&gt;=1,"D","F")))))))</f>
        <v/>
      </c>
      <c r="N520" s="3">
        <f>IF('Data Source'!B520="","",IF('Data Source'!AF520&gt;=5,"A+",IF('Data Source'!AF520&gt;=4,"A",IF('Data Source'!AF520&gt;=3.5,"A-",IF('Data Source'!AF520&gt;=3,"B",IF('Data Source'!AF520&gt;=2,"C",IF('Data Source'!AF520&gt;=1,"D","F")))))))</f>
        <v/>
      </c>
      <c r="O520" s="3">
        <f>IF('Data Source'!B520="","",IF('Data Source'!AG520&gt;=5,"A+",IF('Data Source'!AG520&gt;=4,"A",IF('Data Source'!AG520&gt;=3.5,"A-",IF('Data Source'!AG520&gt;=3,"B",IF('Data Source'!AG520&gt;=2,"C",IF('Data Source'!AG520&gt;=1,"D","F")))))))</f>
        <v/>
      </c>
      <c r="P520" s="5">
        <f>IF('Data Source'!B520="","",'Data Source'!R520)</f>
        <v/>
      </c>
      <c r="Q520" s="3">
        <f>IF('Data Source'!B520="","",'Data Source'!S520)</f>
        <v/>
      </c>
    </row>
    <row r="521">
      <c r="A521" s="3">
        <f>IF('Data Source'!B521="","",'Data Source'!A521)</f>
        <v/>
      </c>
      <c r="B521">
        <f>IF('Data Source'!B521="","",'Data Source'!B521)</f>
        <v/>
      </c>
      <c r="C521" s="3">
        <f>IF('Data Source'!B521="","",IF('Data Source'!U521&gt;=5,"A+",IF('Data Source'!U521&gt;=4,"A",IF('Data Source'!U521&gt;=3.5,"A-",IF('Data Source'!U521&gt;=3,"B",IF('Data Source'!U521&gt;=2,"C",IF('Data Source'!U521&gt;=1,"D","F")))))))</f>
        <v/>
      </c>
      <c r="D521" s="3">
        <f>IF('Data Source'!B521="","",IF('Data Source'!V521&gt;=5,"A+",IF('Data Source'!V521&gt;=4,"A",IF('Data Source'!V521&gt;=3.5,"A-",IF('Data Source'!V521&gt;=3,"B",IF('Data Source'!V521&gt;=2,"C",IF('Data Source'!V521&gt;=1,"D","F")))))))</f>
        <v/>
      </c>
      <c r="E521" s="3">
        <f>IF('Data Source'!B521="","",IF('Data Source'!W521&gt;=5,"A+",IF('Data Source'!W521&gt;=4,"A",IF('Data Source'!W521&gt;=3.5,"A-",IF('Data Source'!W521&gt;=3,"B",IF('Data Source'!W521&gt;=2,"C",IF('Data Source'!W521&gt;=1,"D","F")))))))</f>
        <v/>
      </c>
      <c r="F521" s="3">
        <f>IF('Data Source'!B521="","",IF('Data Source'!X521&gt;=5,"A+",IF('Data Source'!X521&gt;=4,"A",IF('Data Source'!X521&gt;=3.5,"A-",IF('Data Source'!X521&gt;=3,"B",IF('Data Source'!X521&gt;=2,"C",IF('Data Source'!X521&gt;=1,"D","F")))))))</f>
        <v/>
      </c>
      <c r="G521" s="3">
        <f>IF('Data Source'!B521="","",IF('Data Source'!Y521&gt;=5,"A+",IF('Data Source'!Y521&gt;=4,"A",IF('Data Source'!Y521&gt;=3.5,"A-",IF('Data Source'!Y521&gt;=3,"B",IF('Data Source'!Y521&gt;=2,"C",IF('Data Source'!Y521&gt;=1,"D","F")))))))</f>
        <v/>
      </c>
      <c r="H521" s="3">
        <f>IF('Data Source'!B521="","",IF('Data Source'!Z521&gt;=5,"A+",IF('Data Source'!Z521&gt;=4,"A",IF('Data Source'!Z521&gt;=3.5,"A-",IF('Data Source'!Z521&gt;=3,"B",IF('Data Source'!Z521&gt;=2,"C",IF('Data Source'!Z521&gt;=1,"D","F")))))))</f>
        <v/>
      </c>
      <c r="I521" s="3">
        <f>IF('Data Source'!B521="","",IF('Data Source'!AA521&gt;=5,"A+",IF('Data Source'!AA521&gt;=4,"A",IF('Data Source'!AA521&gt;=3.5,"A-",IF('Data Source'!AA521&gt;=3,"B",IF('Data Source'!AA521&gt;=2,"C",IF('Data Source'!AA521&gt;=1,"D","F")))))))</f>
        <v/>
      </c>
      <c r="J521" s="3">
        <f>IF('Data Source'!B521="","",IF('Data Source'!AB521&gt;=5,"A+",IF('Data Source'!AB521&gt;=4,"A",IF('Data Source'!AB521&gt;=3.5,"A-",IF('Data Source'!AB521&gt;=3,"B",IF('Data Source'!AB521&gt;=2,"C",IF('Data Source'!AB521&gt;=1,"D","F")))))))</f>
        <v/>
      </c>
      <c r="K521" s="3">
        <f>IF('Data Source'!B521="","",IF('Data Source'!AC521&gt;=5,"A+",IF('Data Source'!AC521&gt;=4,"A",IF('Data Source'!AC521&gt;=3.5,"A-",IF('Data Source'!AC521&gt;=3,"B",IF('Data Source'!AC521&gt;=2,"C",IF('Data Source'!AC521&gt;=1,"D","F")))))))</f>
        <v/>
      </c>
      <c r="L521" s="3">
        <f>IF('Data Source'!B521="","",IF('Data Source'!AD521&gt;=5,"A+",IF('Data Source'!AD521&gt;=4,"A",IF('Data Source'!AD521&gt;=3.5,"A-",IF('Data Source'!AD521&gt;=3,"B",IF('Data Source'!AD521&gt;=2,"C",IF('Data Source'!AD521&gt;=1,"D","F")))))))</f>
        <v/>
      </c>
      <c r="M521" s="3">
        <f>IF('Data Source'!B521="","",IF('Data Source'!AE521&gt;=5,"A+",IF('Data Source'!AE521&gt;=4,"A",IF('Data Source'!AE521&gt;=3.5,"A-",IF('Data Source'!AE521&gt;=3,"B",IF('Data Source'!AE521&gt;=2,"C",IF('Data Source'!AE521&gt;=1,"D","F")))))))</f>
        <v/>
      </c>
      <c r="N521" s="3">
        <f>IF('Data Source'!B521="","",IF('Data Source'!AF521&gt;=5,"A+",IF('Data Source'!AF521&gt;=4,"A",IF('Data Source'!AF521&gt;=3.5,"A-",IF('Data Source'!AF521&gt;=3,"B",IF('Data Source'!AF521&gt;=2,"C",IF('Data Source'!AF521&gt;=1,"D","F")))))))</f>
        <v/>
      </c>
      <c r="O521" s="3">
        <f>IF('Data Source'!B521="","",IF('Data Source'!AG521&gt;=5,"A+",IF('Data Source'!AG521&gt;=4,"A",IF('Data Source'!AG521&gt;=3.5,"A-",IF('Data Source'!AG521&gt;=3,"B",IF('Data Source'!AG521&gt;=2,"C",IF('Data Source'!AG521&gt;=1,"D","F")))))))</f>
        <v/>
      </c>
      <c r="P521" s="5">
        <f>IF('Data Source'!B521="","",'Data Source'!R521)</f>
        <v/>
      </c>
      <c r="Q521" s="3">
        <f>IF('Data Source'!B521="","",'Data Source'!S521)</f>
        <v/>
      </c>
    </row>
    <row r="522">
      <c r="A522" s="3">
        <f>IF('Data Source'!B522="","",'Data Source'!A522)</f>
        <v/>
      </c>
      <c r="B522">
        <f>IF('Data Source'!B522="","",'Data Source'!B522)</f>
        <v/>
      </c>
      <c r="C522" s="3">
        <f>IF('Data Source'!B522="","",IF('Data Source'!U522&gt;=5,"A+",IF('Data Source'!U522&gt;=4,"A",IF('Data Source'!U522&gt;=3.5,"A-",IF('Data Source'!U522&gt;=3,"B",IF('Data Source'!U522&gt;=2,"C",IF('Data Source'!U522&gt;=1,"D","F")))))))</f>
        <v/>
      </c>
      <c r="D522" s="3">
        <f>IF('Data Source'!B522="","",IF('Data Source'!V522&gt;=5,"A+",IF('Data Source'!V522&gt;=4,"A",IF('Data Source'!V522&gt;=3.5,"A-",IF('Data Source'!V522&gt;=3,"B",IF('Data Source'!V522&gt;=2,"C",IF('Data Source'!V522&gt;=1,"D","F")))))))</f>
        <v/>
      </c>
      <c r="E522" s="3">
        <f>IF('Data Source'!B522="","",IF('Data Source'!W522&gt;=5,"A+",IF('Data Source'!W522&gt;=4,"A",IF('Data Source'!W522&gt;=3.5,"A-",IF('Data Source'!W522&gt;=3,"B",IF('Data Source'!W522&gt;=2,"C",IF('Data Source'!W522&gt;=1,"D","F")))))))</f>
        <v/>
      </c>
      <c r="F522" s="3">
        <f>IF('Data Source'!B522="","",IF('Data Source'!X522&gt;=5,"A+",IF('Data Source'!X522&gt;=4,"A",IF('Data Source'!X522&gt;=3.5,"A-",IF('Data Source'!X522&gt;=3,"B",IF('Data Source'!X522&gt;=2,"C",IF('Data Source'!X522&gt;=1,"D","F")))))))</f>
        <v/>
      </c>
      <c r="G522" s="3">
        <f>IF('Data Source'!B522="","",IF('Data Source'!Y522&gt;=5,"A+",IF('Data Source'!Y522&gt;=4,"A",IF('Data Source'!Y522&gt;=3.5,"A-",IF('Data Source'!Y522&gt;=3,"B",IF('Data Source'!Y522&gt;=2,"C",IF('Data Source'!Y522&gt;=1,"D","F")))))))</f>
        <v/>
      </c>
      <c r="H522" s="3">
        <f>IF('Data Source'!B522="","",IF('Data Source'!Z522&gt;=5,"A+",IF('Data Source'!Z522&gt;=4,"A",IF('Data Source'!Z522&gt;=3.5,"A-",IF('Data Source'!Z522&gt;=3,"B",IF('Data Source'!Z522&gt;=2,"C",IF('Data Source'!Z522&gt;=1,"D","F")))))))</f>
        <v/>
      </c>
      <c r="I522" s="3">
        <f>IF('Data Source'!B522="","",IF('Data Source'!AA522&gt;=5,"A+",IF('Data Source'!AA522&gt;=4,"A",IF('Data Source'!AA522&gt;=3.5,"A-",IF('Data Source'!AA522&gt;=3,"B",IF('Data Source'!AA522&gt;=2,"C",IF('Data Source'!AA522&gt;=1,"D","F")))))))</f>
        <v/>
      </c>
      <c r="J522" s="3">
        <f>IF('Data Source'!B522="","",IF('Data Source'!AB522&gt;=5,"A+",IF('Data Source'!AB522&gt;=4,"A",IF('Data Source'!AB522&gt;=3.5,"A-",IF('Data Source'!AB522&gt;=3,"B",IF('Data Source'!AB522&gt;=2,"C",IF('Data Source'!AB522&gt;=1,"D","F")))))))</f>
        <v/>
      </c>
      <c r="K522" s="3">
        <f>IF('Data Source'!B522="","",IF('Data Source'!AC522&gt;=5,"A+",IF('Data Source'!AC522&gt;=4,"A",IF('Data Source'!AC522&gt;=3.5,"A-",IF('Data Source'!AC522&gt;=3,"B",IF('Data Source'!AC522&gt;=2,"C",IF('Data Source'!AC522&gt;=1,"D","F")))))))</f>
        <v/>
      </c>
      <c r="L522" s="3">
        <f>IF('Data Source'!B522="","",IF('Data Source'!AD522&gt;=5,"A+",IF('Data Source'!AD522&gt;=4,"A",IF('Data Source'!AD522&gt;=3.5,"A-",IF('Data Source'!AD522&gt;=3,"B",IF('Data Source'!AD522&gt;=2,"C",IF('Data Source'!AD522&gt;=1,"D","F")))))))</f>
        <v/>
      </c>
      <c r="M522" s="3">
        <f>IF('Data Source'!B522="","",IF('Data Source'!AE522&gt;=5,"A+",IF('Data Source'!AE522&gt;=4,"A",IF('Data Source'!AE522&gt;=3.5,"A-",IF('Data Source'!AE522&gt;=3,"B",IF('Data Source'!AE522&gt;=2,"C",IF('Data Source'!AE522&gt;=1,"D","F")))))))</f>
        <v/>
      </c>
      <c r="N522" s="3">
        <f>IF('Data Source'!B522="","",IF('Data Source'!AF522&gt;=5,"A+",IF('Data Source'!AF522&gt;=4,"A",IF('Data Source'!AF522&gt;=3.5,"A-",IF('Data Source'!AF522&gt;=3,"B",IF('Data Source'!AF522&gt;=2,"C",IF('Data Source'!AF522&gt;=1,"D","F")))))))</f>
        <v/>
      </c>
      <c r="O522" s="3">
        <f>IF('Data Source'!B522="","",IF('Data Source'!AG522&gt;=5,"A+",IF('Data Source'!AG522&gt;=4,"A",IF('Data Source'!AG522&gt;=3.5,"A-",IF('Data Source'!AG522&gt;=3,"B",IF('Data Source'!AG522&gt;=2,"C",IF('Data Source'!AG522&gt;=1,"D","F")))))))</f>
        <v/>
      </c>
      <c r="P522" s="5">
        <f>IF('Data Source'!B522="","",'Data Source'!R522)</f>
        <v/>
      </c>
      <c r="Q522" s="3">
        <f>IF('Data Source'!B522="","",'Data Source'!S522)</f>
        <v/>
      </c>
    </row>
    <row r="523">
      <c r="A523" s="3">
        <f>IF('Data Source'!B523="","",'Data Source'!A523)</f>
        <v/>
      </c>
      <c r="B523">
        <f>IF('Data Source'!B523="","",'Data Source'!B523)</f>
        <v/>
      </c>
      <c r="C523" s="3">
        <f>IF('Data Source'!B523="","",IF('Data Source'!U523&gt;=5,"A+",IF('Data Source'!U523&gt;=4,"A",IF('Data Source'!U523&gt;=3.5,"A-",IF('Data Source'!U523&gt;=3,"B",IF('Data Source'!U523&gt;=2,"C",IF('Data Source'!U523&gt;=1,"D","F")))))))</f>
        <v/>
      </c>
      <c r="D523" s="3">
        <f>IF('Data Source'!B523="","",IF('Data Source'!V523&gt;=5,"A+",IF('Data Source'!V523&gt;=4,"A",IF('Data Source'!V523&gt;=3.5,"A-",IF('Data Source'!V523&gt;=3,"B",IF('Data Source'!V523&gt;=2,"C",IF('Data Source'!V523&gt;=1,"D","F")))))))</f>
        <v/>
      </c>
      <c r="E523" s="3">
        <f>IF('Data Source'!B523="","",IF('Data Source'!W523&gt;=5,"A+",IF('Data Source'!W523&gt;=4,"A",IF('Data Source'!W523&gt;=3.5,"A-",IF('Data Source'!W523&gt;=3,"B",IF('Data Source'!W523&gt;=2,"C",IF('Data Source'!W523&gt;=1,"D","F")))))))</f>
        <v/>
      </c>
      <c r="F523" s="3">
        <f>IF('Data Source'!B523="","",IF('Data Source'!X523&gt;=5,"A+",IF('Data Source'!X523&gt;=4,"A",IF('Data Source'!X523&gt;=3.5,"A-",IF('Data Source'!X523&gt;=3,"B",IF('Data Source'!X523&gt;=2,"C",IF('Data Source'!X523&gt;=1,"D","F")))))))</f>
        <v/>
      </c>
      <c r="G523" s="3">
        <f>IF('Data Source'!B523="","",IF('Data Source'!Y523&gt;=5,"A+",IF('Data Source'!Y523&gt;=4,"A",IF('Data Source'!Y523&gt;=3.5,"A-",IF('Data Source'!Y523&gt;=3,"B",IF('Data Source'!Y523&gt;=2,"C",IF('Data Source'!Y523&gt;=1,"D","F")))))))</f>
        <v/>
      </c>
      <c r="H523" s="3">
        <f>IF('Data Source'!B523="","",IF('Data Source'!Z523&gt;=5,"A+",IF('Data Source'!Z523&gt;=4,"A",IF('Data Source'!Z523&gt;=3.5,"A-",IF('Data Source'!Z523&gt;=3,"B",IF('Data Source'!Z523&gt;=2,"C",IF('Data Source'!Z523&gt;=1,"D","F")))))))</f>
        <v/>
      </c>
      <c r="I523" s="3">
        <f>IF('Data Source'!B523="","",IF('Data Source'!AA523&gt;=5,"A+",IF('Data Source'!AA523&gt;=4,"A",IF('Data Source'!AA523&gt;=3.5,"A-",IF('Data Source'!AA523&gt;=3,"B",IF('Data Source'!AA523&gt;=2,"C",IF('Data Source'!AA523&gt;=1,"D","F")))))))</f>
        <v/>
      </c>
      <c r="J523" s="3">
        <f>IF('Data Source'!B523="","",IF('Data Source'!AB523&gt;=5,"A+",IF('Data Source'!AB523&gt;=4,"A",IF('Data Source'!AB523&gt;=3.5,"A-",IF('Data Source'!AB523&gt;=3,"B",IF('Data Source'!AB523&gt;=2,"C",IF('Data Source'!AB523&gt;=1,"D","F")))))))</f>
        <v/>
      </c>
      <c r="K523" s="3">
        <f>IF('Data Source'!B523="","",IF('Data Source'!AC523&gt;=5,"A+",IF('Data Source'!AC523&gt;=4,"A",IF('Data Source'!AC523&gt;=3.5,"A-",IF('Data Source'!AC523&gt;=3,"B",IF('Data Source'!AC523&gt;=2,"C",IF('Data Source'!AC523&gt;=1,"D","F")))))))</f>
        <v/>
      </c>
      <c r="L523" s="3">
        <f>IF('Data Source'!B523="","",IF('Data Source'!AD523&gt;=5,"A+",IF('Data Source'!AD523&gt;=4,"A",IF('Data Source'!AD523&gt;=3.5,"A-",IF('Data Source'!AD523&gt;=3,"B",IF('Data Source'!AD523&gt;=2,"C",IF('Data Source'!AD523&gt;=1,"D","F")))))))</f>
        <v/>
      </c>
      <c r="M523" s="3">
        <f>IF('Data Source'!B523="","",IF('Data Source'!AE523&gt;=5,"A+",IF('Data Source'!AE523&gt;=4,"A",IF('Data Source'!AE523&gt;=3.5,"A-",IF('Data Source'!AE523&gt;=3,"B",IF('Data Source'!AE523&gt;=2,"C",IF('Data Source'!AE523&gt;=1,"D","F")))))))</f>
        <v/>
      </c>
      <c r="N523" s="3">
        <f>IF('Data Source'!B523="","",IF('Data Source'!AF523&gt;=5,"A+",IF('Data Source'!AF523&gt;=4,"A",IF('Data Source'!AF523&gt;=3.5,"A-",IF('Data Source'!AF523&gt;=3,"B",IF('Data Source'!AF523&gt;=2,"C",IF('Data Source'!AF523&gt;=1,"D","F")))))))</f>
        <v/>
      </c>
      <c r="O523" s="3">
        <f>IF('Data Source'!B523="","",IF('Data Source'!AG523&gt;=5,"A+",IF('Data Source'!AG523&gt;=4,"A",IF('Data Source'!AG523&gt;=3.5,"A-",IF('Data Source'!AG523&gt;=3,"B",IF('Data Source'!AG523&gt;=2,"C",IF('Data Source'!AG523&gt;=1,"D","F")))))))</f>
        <v/>
      </c>
      <c r="P523" s="5">
        <f>IF('Data Source'!B523="","",'Data Source'!R523)</f>
        <v/>
      </c>
      <c r="Q523" s="3">
        <f>IF('Data Source'!B523="","",'Data Source'!S523)</f>
        <v/>
      </c>
    </row>
    <row r="524">
      <c r="A524" s="3">
        <f>IF('Data Source'!B524="","",'Data Source'!A524)</f>
        <v/>
      </c>
      <c r="B524">
        <f>IF('Data Source'!B524="","",'Data Source'!B524)</f>
        <v/>
      </c>
      <c r="C524" s="3">
        <f>IF('Data Source'!B524="","",IF('Data Source'!U524&gt;=5,"A+",IF('Data Source'!U524&gt;=4,"A",IF('Data Source'!U524&gt;=3.5,"A-",IF('Data Source'!U524&gt;=3,"B",IF('Data Source'!U524&gt;=2,"C",IF('Data Source'!U524&gt;=1,"D","F")))))))</f>
        <v/>
      </c>
      <c r="D524" s="3">
        <f>IF('Data Source'!B524="","",IF('Data Source'!V524&gt;=5,"A+",IF('Data Source'!V524&gt;=4,"A",IF('Data Source'!V524&gt;=3.5,"A-",IF('Data Source'!V524&gt;=3,"B",IF('Data Source'!V524&gt;=2,"C",IF('Data Source'!V524&gt;=1,"D","F")))))))</f>
        <v/>
      </c>
      <c r="E524" s="3">
        <f>IF('Data Source'!B524="","",IF('Data Source'!W524&gt;=5,"A+",IF('Data Source'!W524&gt;=4,"A",IF('Data Source'!W524&gt;=3.5,"A-",IF('Data Source'!W524&gt;=3,"B",IF('Data Source'!W524&gt;=2,"C",IF('Data Source'!W524&gt;=1,"D","F")))))))</f>
        <v/>
      </c>
      <c r="F524" s="3">
        <f>IF('Data Source'!B524="","",IF('Data Source'!X524&gt;=5,"A+",IF('Data Source'!X524&gt;=4,"A",IF('Data Source'!X524&gt;=3.5,"A-",IF('Data Source'!X524&gt;=3,"B",IF('Data Source'!X524&gt;=2,"C",IF('Data Source'!X524&gt;=1,"D","F")))))))</f>
        <v/>
      </c>
      <c r="G524" s="3">
        <f>IF('Data Source'!B524="","",IF('Data Source'!Y524&gt;=5,"A+",IF('Data Source'!Y524&gt;=4,"A",IF('Data Source'!Y524&gt;=3.5,"A-",IF('Data Source'!Y524&gt;=3,"B",IF('Data Source'!Y524&gt;=2,"C",IF('Data Source'!Y524&gt;=1,"D","F")))))))</f>
        <v/>
      </c>
      <c r="H524" s="3">
        <f>IF('Data Source'!B524="","",IF('Data Source'!Z524&gt;=5,"A+",IF('Data Source'!Z524&gt;=4,"A",IF('Data Source'!Z524&gt;=3.5,"A-",IF('Data Source'!Z524&gt;=3,"B",IF('Data Source'!Z524&gt;=2,"C",IF('Data Source'!Z524&gt;=1,"D","F")))))))</f>
        <v/>
      </c>
      <c r="I524" s="3">
        <f>IF('Data Source'!B524="","",IF('Data Source'!AA524&gt;=5,"A+",IF('Data Source'!AA524&gt;=4,"A",IF('Data Source'!AA524&gt;=3.5,"A-",IF('Data Source'!AA524&gt;=3,"B",IF('Data Source'!AA524&gt;=2,"C",IF('Data Source'!AA524&gt;=1,"D","F")))))))</f>
        <v/>
      </c>
      <c r="J524" s="3">
        <f>IF('Data Source'!B524="","",IF('Data Source'!AB524&gt;=5,"A+",IF('Data Source'!AB524&gt;=4,"A",IF('Data Source'!AB524&gt;=3.5,"A-",IF('Data Source'!AB524&gt;=3,"B",IF('Data Source'!AB524&gt;=2,"C",IF('Data Source'!AB524&gt;=1,"D","F")))))))</f>
        <v/>
      </c>
      <c r="K524" s="3">
        <f>IF('Data Source'!B524="","",IF('Data Source'!AC524&gt;=5,"A+",IF('Data Source'!AC524&gt;=4,"A",IF('Data Source'!AC524&gt;=3.5,"A-",IF('Data Source'!AC524&gt;=3,"B",IF('Data Source'!AC524&gt;=2,"C",IF('Data Source'!AC524&gt;=1,"D","F")))))))</f>
        <v/>
      </c>
      <c r="L524" s="3">
        <f>IF('Data Source'!B524="","",IF('Data Source'!AD524&gt;=5,"A+",IF('Data Source'!AD524&gt;=4,"A",IF('Data Source'!AD524&gt;=3.5,"A-",IF('Data Source'!AD524&gt;=3,"B",IF('Data Source'!AD524&gt;=2,"C",IF('Data Source'!AD524&gt;=1,"D","F")))))))</f>
        <v/>
      </c>
      <c r="M524" s="3">
        <f>IF('Data Source'!B524="","",IF('Data Source'!AE524&gt;=5,"A+",IF('Data Source'!AE524&gt;=4,"A",IF('Data Source'!AE524&gt;=3.5,"A-",IF('Data Source'!AE524&gt;=3,"B",IF('Data Source'!AE524&gt;=2,"C",IF('Data Source'!AE524&gt;=1,"D","F")))))))</f>
        <v/>
      </c>
      <c r="N524" s="3">
        <f>IF('Data Source'!B524="","",IF('Data Source'!AF524&gt;=5,"A+",IF('Data Source'!AF524&gt;=4,"A",IF('Data Source'!AF524&gt;=3.5,"A-",IF('Data Source'!AF524&gt;=3,"B",IF('Data Source'!AF524&gt;=2,"C",IF('Data Source'!AF524&gt;=1,"D","F")))))))</f>
        <v/>
      </c>
      <c r="O524" s="3">
        <f>IF('Data Source'!B524="","",IF('Data Source'!AG524&gt;=5,"A+",IF('Data Source'!AG524&gt;=4,"A",IF('Data Source'!AG524&gt;=3.5,"A-",IF('Data Source'!AG524&gt;=3,"B",IF('Data Source'!AG524&gt;=2,"C",IF('Data Source'!AG524&gt;=1,"D","F")))))))</f>
        <v/>
      </c>
      <c r="P524" s="5">
        <f>IF('Data Source'!B524="","",'Data Source'!R524)</f>
        <v/>
      </c>
      <c r="Q524" s="3">
        <f>IF('Data Source'!B524="","",'Data Source'!S524)</f>
        <v/>
      </c>
    </row>
    <row r="525">
      <c r="A525" s="3">
        <f>IF('Data Source'!B525="","",'Data Source'!A525)</f>
        <v/>
      </c>
      <c r="B525">
        <f>IF('Data Source'!B525="","",'Data Source'!B525)</f>
        <v/>
      </c>
      <c r="C525" s="3">
        <f>IF('Data Source'!B525="","",IF('Data Source'!U525&gt;=5,"A+",IF('Data Source'!U525&gt;=4,"A",IF('Data Source'!U525&gt;=3.5,"A-",IF('Data Source'!U525&gt;=3,"B",IF('Data Source'!U525&gt;=2,"C",IF('Data Source'!U525&gt;=1,"D","F")))))))</f>
        <v/>
      </c>
      <c r="D525" s="3">
        <f>IF('Data Source'!B525="","",IF('Data Source'!V525&gt;=5,"A+",IF('Data Source'!V525&gt;=4,"A",IF('Data Source'!V525&gt;=3.5,"A-",IF('Data Source'!V525&gt;=3,"B",IF('Data Source'!V525&gt;=2,"C",IF('Data Source'!V525&gt;=1,"D","F")))))))</f>
        <v/>
      </c>
      <c r="E525" s="3">
        <f>IF('Data Source'!B525="","",IF('Data Source'!W525&gt;=5,"A+",IF('Data Source'!W525&gt;=4,"A",IF('Data Source'!W525&gt;=3.5,"A-",IF('Data Source'!W525&gt;=3,"B",IF('Data Source'!W525&gt;=2,"C",IF('Data Source'!W525&gt;=1,"D","F")))))))</f>
        <v/>
      </c>
      <c r="F525" s="3">
        <f>IF('Data Source'!B525="","",IF('Data Source'!X525&gt;=5,"A+",IF('Data Source'!X525&gt;=4,"A",IF('Data Source'!X525&gt;=3.5,"A-",IF('Data Source'!X525&gt;=3,"B",IF('Data Source'!X525&gt;=2,"C",IF('Data Source'!X525&gt;=1,"D","F")))))))</f>
        <v/>
      </c>
      <c r="G525" s="3">
        <f>IF('Data Source'!B525="","",IF('Data Source'!Y525&gt;=5,"A+",IF('Data Source'!Y525&gt;=4,"A",IF('Data Source'!Y525&gt;=3.5,"A-",IF('Data Source'!Y525&gt;=3,"B",IF('Data Source'!Y525&gt;=2,"C",IF('Data Source'!Y525&gt;=1,"D","F")))))))</f>
        <v/>
      </c>
      <c r="H525" s="3">
        <f>IF('Data Source'!B525="","",IF('Data Source'!Z525&gt;=5,"A+",IF('Data Source'!Z525&gt;=4,"A",IF('Data Source'!Z525&gt;=3.5,"A-",IF('Data Source'!Z525&gt;=3,"B",IF('Data Source'!Z525&gt;=2,"C",IF('Data Source'!Z525&gt;=1,"D","F")))))))</f>
        <v/>
      </c>
      <c r="I525" s="3">
        <f>IF('Data Source'!B525="","",IF('Data Source'!AA525&gt;=5,"A+",IF('Data Source'!AA525&gt;=4,"A",IF('Data Source'!AA525&gt;=3.5,"A-",IF('Data Source'!AA525&gt;=3,"B",IF('Data Source'!AA525&gt;=2,"C",IF('Data Source'!AA525&gt;=1,"D","F")))))))</f>
        <v/>
      </c>
      <c r="J525" s="3">
        <f>IF('Data Source'!B525="","",IF('Data Source'!AB525&gt;=5,"A+",IF('Data Source'!AB525&gt;=4,"A",IF('Data Source'!AB525&gt;=3.5,"A-",IF('Data Source'!AB525&gt;=3,"B",IF('Data Source'!AB525&gt;=2,"C",IF('Data Source'!AB525&gt;=1,"D","F")))))))</f>
        <v/>
      </c>
      <c r="K525" s="3">
        <f>IF('Data Source'!B525="","",IF('Data Source'!AC525&gt;=5,"A+",IF('Data Source'!AC525&gt;=4,"A",IF('Data Source'!AC525&gt;=3.5,"A-",IF('Data Source'!AC525&gt;=3,"B",IF('Data Source'!AC525&gt;=2,"C",IF('Data Source'!AC525&gt;=1,"D","F")))))))</f>
        <v/>
      </c>
      <c r="L525" s="3">
        <f>IF('Data Source'!B525="","",IF('Data Source'!AD525&gt;=5,"A+",IF('Data Source'!AD525&gt;=4,"A",IF('Data Source'!AD525&gt;=3.5,"A-",IF('Data Source'!AD525&gt;=3,"B",IF('Data Source'!AD525&gt;=2,"C",IF('Data Source'!AD525&gt;=1,"D","F")))))))</f>
        <v/>
      </c>
      <c r="M525" s="3">
        <f>IF('Data Source'!B525="","",IF('Data Source'!AE525&gt;=5,"A+",IF('Data Source'!AE525&gt;=4,"A",IF('Data Source'!AE525&gt;=3.5,"A-",IF('Data Source'!AE525&gt;=3,"B",IF('Data Source'!AE525&gt;=2,"C",IF('Data Source'!AE525&gt;=1,"D","F")))))))</f>
        <v/>
      </c>
      <c r="N525" s="3">
        <f>IF('Data Source'!B525="","",IF('Data Source'!AF525&gt;=5,"A+",IF('Data Source'!AF525&gt;=4,"A",IF('Data Source'!AF525&gt;=3.5,"A-",IF('Data Source'!AF525&gt;=3,"B",IF('Data Source'!AF525&gt;=2,"C",IF('Data Source'!AF525&gt;=1,"D","F")))))))</f>
        <v/>
      </c>
      <c r="O525" s="3">
        <f>IF('Data Source'!B525="","",IF('Data Source'!AG525&gt;=5,"A+",IF('Data Source'!AG525&gt;=4,"A",IF('Data Source'!AG525&gt;=3.5,"A-",IF('Data Source'!AG525&gt;=3,"B",IF('Data Source'!AG525&gt;=2,"C",IF('Data Source'!AG525&gt;=1,"D","F")))))))</f>
        <v/>
      </c>
      <c r="P525" s="5">
        <f>IF('Data Source'!B525="","",'Data Source'!R525)</f>
        <v/>
      </c>
      <c r="Q525" s="3">
        <f>IF('Data Source'!B525="","",'Data Source'!S525)</f>
        <v/>
      </c>
    </row>
    <row r="526">
      <c r="A526" s="3">
        <f>IF('Data Source'!B526="","",'Data Source'!A526)</f>
        <v/>
      </c>
      <c r="B526">
        <f>IF('Data Source'!B526="","",'Data Source'!B526)</f>
        <v/>
      </c>
      <c r="C526" s="3">
        <f>IF('Data Source'!B526="","",IF('Data Source'!U526&gt;=5,"A+",IF('Data Source'!U526&gt;=4,"A",IF('Data Source'!U526&gt;=3.5,"A-",IF('Data Source'!U526&gt;=3,"B",IF('Data Source'!U526&gt;=2,"C",IF('Data Source'!U526&gt;=1,"D","F")))))))</f>
        <v/>
      </c>
      <c r="D526" s="3">
        <f>IF('Data Source'!B526="","",IF('Data Source'!V526&gt;=5,"A+",IF('Data Source'!V526&gt;=4,"A",IF('Data Source'!V526&gt;=3.5,"A-",IF('Data Source'!V526&gt;=3,"B",IF('Data Source'!V526&gt;=2,"C",IF('Data Source'!V526&gt;=1,"D","F")))))))</f>
        <v/>
      </c>
      <c r="E526" s="3">
        <f>IF('Data Source'!B526="","",IF('Data Source'!W526&gt;=5,"A+",IF('Data Source'!W526&gt;=4,"A",IF('Data Source'!W526&gt;=3.5,"A-",IF('Data Source'!W526&gt;=3,"B",IF('Data Source'!W526&gt;=2,"C",IF('Data Source'!W526&gt;=1,"D","F")))))))</f>
        <v/>
      </c>
      <c r="F526" s="3">
        <f>IF('Data Source'!B526="","",IF('Data Source'!X526&gt;=5,"A+",IF('Data Source'!X526&gt;=4,"A",IF('Data Source'!X526&gt;=3.5,"A-",IF('Data Source'!X526&gt;=3,"B",IF('Data Source'!X526&gt;=2,"C",IF('Data Source'!X526&gt;=1,"D","F")))))))</f>
        <v/>
      </c>
      <c r="G526" s="3">
        <f>IF('Data Source'!B526="","",IF('Data Source'!Y526&gt;=5,"A+",IF('Data Source'!Y526&gt;=4,"A",IF('Data Source'!Y526&gt;=3.5,"A-",IF('Data Source'!Y526&gt;=3,"B",IF('Data Source'!Y526&gt;=2,"C",IF('Data Source'!Y526&gt;=1,"D","F")))))))</f>
        <v/>
      </c>
      <c r="H526" s="3">
        <f>IF('Data Source'!B526="","",IF('Data Source'!Z526&gt;=5,"A+",IF('Data Source'!Z526&gt;=4,"A",IF('Data Source'!Z526&gt;=3.5,"A-",IF('Data Source'!Z526&gt;=3,"B",IF('Data Source'!Z526&gt;=2,"C",IF('Data Source'!Z526&gt;=1,"D","F")))))))</f>
        <v/>
      </c>
      <c r="I526" s="3">
        <f>IF('Data Source'!B526="","",IF('Data Source'!AA526&gt;=5,"A+",IF('Data Source'!AA526&gt;=4,"A",IF('Data Source'!AA526&gt;=3.5,"A-",IF('Data Source'!AA526&gt;=3,"B",IF('Data Source'!AA526&gt;=2,"C",IF('Data Source'!AA526&gt;=1,"D","F")))))))</f>
        <v/>
      </c>
      <c r="J526" s="3">
        <f>IF('Data Source'!B526="","",IF('Data Source'!AB526&gt;=5,"A+",IF('Data Source'!AB526&gt;=4,"A",IF('Data Source'!AB526&gt;=3.5,"A-",IF('Data Source'!AB526&gt;=3,"B",IF('Data Source'!AB526&gt;=2,"C",IF('Data Source'!AB526&gt;=1,"D","F")))))))</f>
        <v/>
      </c>
      <c r="K526" s="3">
        <f>IF('Data Source'!B526="","",IF('Data Source'!AC526&gt;=5,"A+",IF('Data Source'!AC526&gt;=4,"A",IF('Data Source'!AC526&gt;=3.5,"A-",IF('Data Source'!AC526&gt;=3,"B",IF('Data Source'!AC526&gt;=2,"C",IF('Data Source'!AC526&gt;=1,"D","F")))))))</f>
        <v/>
      </c>
      <c r="L526" s="3">
        <f>IF('Data Source'!B526="","",IF('Data Source'!AD526&gt;=5,"A+",IF('Data Source'!AD526&gt;=4,"A",IF('Data Source'!AD526&gt;=3.5,"A-",IF('Data Source'!AD526&gt;=3,"B",IF('Data Source'!AD526&gt;=2,"C",IF('Data Source'!AD526&gt;=1,"D","F")))))))</f>
        <v/>
      </c>
      <c r="M526" s="3">
        <f>IF('Data Source'!B526="","",IF('Data Source'!AE526&gt;=5,"A+",IF('Data Source'!AE526&gt;=4,"A",IF('Data Source'!AE526&gt;=3.5,"A-",IF('Data Source'!AE526&gt;=3,"B",IF('Data Source'!AE526&gt;=2,"C",IF('Data Source'!AE526&gt;=1,"D","F")))))))</f>
        <v/>
      </c>
      <c r="N526" s="3">
        <f>IF('Data Source'!B526="","",IF('Data Source'!AF526&gt;=5,"A+",IF('Data Source'!AF526&gt;=4,"A",IF('Data Source'!AF526&gt;=3.5,"A-",IF('Data Source'!AF526&gt;=3,"B",IF('Data Source'!AF526&gt;=2,"C",IF('Data Source'!AF526&gt;=1,"D","F")))))))</f>
        <v/>
      </c>
      <c r="O526" s="3">
        <f>IF('Data Source'!B526="","",IF('Data Source'!AG526&gt;=5,"A+",IF('Data Source'!AG526&gt;=4,"A",IF('Data Source'!AG526&gt;=3.5,"A-",IF('Data Source'!AG526&gt;=3,"B",IF('Data Source'!AG526&gt;=2,"C",IF('Data Source'!AG526&gt;=1,"D","F")))))))</f>
        <v/>
      </c>
      <c r="P526" s="5">
        <f>IF('Data Source'!B526="","",'Data Source'!R526)</f>
        <v/>
      </c>
      <c r="Q526" s="3">
        <f>IF('Data Source'!B526="","",'Data Source'!S526)</f>
        <v/>
      </c>
    </row>
    <row r="527">
      <c r="A527" s="3">
        <f>IF('Data Source'!B527="","",'Data Source'!A527)</f>
        <v/>
      </c>
      <c r="B527">
        <f>IF('Data Source'!B527="","",'Data Source'!B527)</f>
        <v/>
      </c>
      <c r="C527" s="3">
        <f>IF('Data Source'!B527="","",IF('Data Source'!U527&gt;=5,"A+",IF('Data Source'!U527&gt;=4,"A",IF('Data Source'!U527&gt;=3.5,"A-",IF('Data Source'!U527&gt;=3,"B",IF('Data Source'!U527&gt;=2,"C",IF('Data Source'!U527&gt;=1,"D","F")))))))</f>
        <v/>
      </c>
      <c r="D527" s="3">
        <f>IF('Data Source'!B527="","",IF('Data Source'!V527&gt;=5,"A+",IF('Data Source'!V527&gt;=4,"A",IF('Data Source'!V527&gt;=3.5,"A-",IF('Data Source'!V527&gt;=3,"B",IF('Data Source'!V527&gt;=2,"C",IF('Data Source'!V527&gt;=1,"D","F")))))))</f>
        <v/>
      </c>
      <c r="E527" s="3">
        <f>IF('Data Source'!B527="","",IF('Data Source'!W527&gt;=5,"A+",IF('Data Source'!W527&gt;=4,"A",IF('Data Source'!W527&gt;=3.5,"A-",IF('Data Source'!W527&gt;=3,"B",IF('Data Source'!W527&gt;=2,"C",IF('Data Source'!W527&gt;=1,"D","F")))))))</f>
        <v/>
      </c>
      <c r="F527" s="3">
        <f>IF('Data Source'!B527="","",IF('Data Source'!X527&gt;=5,"A+",IF('Data Source'!X527&gt;=4,"A",IF('Data Source'!X527&gt;=3.5,"A-",IF('Data Source'!X527&gt;=3,"B",IF('Data Source'!X527&gt;=2,"C",IF('Data Source'!X527&gt;=1,"D","F")))))))</f>
        <v/>
      </c>
      <c r="G527" s="3">
        <f>IF('Data Source'!B527="","",IF('Data Source'!Y527&gt;=5,"A+",IF('Data Source'!Y527&gt;=4,"A",IF('Data Source'!Y527&gt;=3.5,"A-",IF('Data Source'!Y527&gt;=3,"B",IF('Data Source'!Y527&gt;=2,"C",IF('Data Source'!Y527&gt;=1,"D","F")))))))</f>
        <v/>
      </c>
      <c r="H527" s="3">
        <f>IF('Data Source'!B527="","",IF('Data Source'!Z527&gt;=5,"A+",IF('Data Source'!Z527&gt;=4,"A",IF('Data Source'!Z527&gt;=3.5,"A-",IF('Data Source'!Z527&gt;=3,"B",IF('Data Source'!Z527&gt;=2,"C",IF('Data Source'!Z527&gt;=1,"D","F")))))))</f>
        <v/>
      </c>
      <c r="I527" s="3">
        <f>IF('Data Source'!B527="","",IF('Data Source'!AA527&gt;=5,"A+",IF('Data Source'!AA527&gt;=4,"A",IF('Data Source'!AA527&gt;=3.5,"A-",IF('Data Source'!AA527&gt;=3,"B",IF('Data Source'!AA527&gt;=2,"C",IF('Data Source'!AA527&gt;=1,"D","F")))))))</f>
        <v/>
      </c>
      <c r="J527" s="3">
        <f>IF('Data Source'!B527="","",IF('Data Source'!AB527&gt;=5,"A+",IF('Data Source'!AB527&gt;=4,"A",IF('Data Source'!AB527&gt;=3.5,"A-",IF('Data Source'!AB527&gt;=3,"B",IF('Data Source'!AB527&gt;=2,"C",IF('Data Source'!AB527&gt;=1,"D","F")))))))</f>
        <v/>
      </c>
      <c r="K527" s="3">
        <f>IF('Data Source'!B527="","",IF('Data Source'!AC527&gt;=5,"A+",IF('Data Source'!AC527&gt;=4,"A",IF('Data Source'!AC527&gt;=3.5,"A-",IF('Data Source'!AC527&gt;=3,"B",IF('Data Source'!AC527&gt;=2,"C",IF('Data Source'!AC527&gt;=1,"D","F")))))))</f>
        <v/>
      </c>
      <c r="L527" s="3">
        <f>IF('Data Source'!B527="","",IF('Data Source'!AD527&gt;=5,"A+",IF('Data Source'!AD527&gt;=4,"A",IF('Data Source'!AD527&gt;=3.5,"A-",IF('Data Source'!AD527&gt;=3,"B",IF('Data Source'!AD527&gt;=2,"C",IF('Data Source'!AD527&gt;=1,"D","F")))))))</f>
        <v/>
      </c>
      <c r="M527" s="3">
        <f>IF('Data Source'!B527="","",IF('Data Source'!AE527&gt;=5,"A+",IF('Data Source'!AE527&gt;=4,"A",IF('Data Source'!AE527&gt;=3.5,"A-",IF('Data Source'!AE527&gt;=3,"B",IF('Data Source'!AE527&gt;=2,"C",IF('Data Source'!AE527&gt;=1,"D","F")))))))</f>
        <v/>
      </c>
      <c r="N527" s="3">
        <f>IF('Data Source'!B527="","",IF('Data Source'!AF527&gt;=5,"A+",IF('Data Source'!AF527&gt;=4,"A",IF('Data Source'!AF527&gt;=3.5,"A-",IF('Data Source'!AF527&gt;=3,"B",IF('Data Source'!AF527&gt;=2,"C",IF('Data Source'!AF527&gt;=1,"D","F")))))))</f>
        <v/>
      </c>
      <c r="O527" s="3">
        <f>IF('Data Source'!B527="","",IF('Data Source'!AG527&gt;=5,"A+",IF('Data Source'!AG527&gt;=4,"A",IF('Data Source'!AG527&gt;=3.5,"A-",IF('Data Source'!AG527&gt;=3,"B",IF('Data Source'!AG527&gt;=2,"C",IF('Data Source'!AG527&gt;=1,"D","F")))))))</f>
        <v/>
      </c>
      <c r="P527" s="5">
        <f>IF('Data Source'!B527="","",'Data Source'!R527)</f>
        <v/>
      </c>
      <c r="Q527" s="3">
        <f>IF('Data Source'!B527="","",'Data Source'!S527)</f>
        <v/>
      </c>
    </row>
    <row r="528">
      <c r="A528" s="3">
        <f>IF('Data Source'!B528="","",'Data Source'!A528)</f>
        <v/>
      </c>
      <c r="B528">
        <f>IF('Data Source'!B528="","",'Data Source'!B528)</f>
        <v/>
      </c>
      <c r="C528" s="3">
        <f>IF('Data Source'!B528="","",IF('Data Source'!U528&gt;=5,"A+",IF('Data Source'!U528&gt;=4,"A",IF('Data Source'!U528&gt;=3.5,"A-",IF('Data Source'!U528&gt;=3,"B",IF('Data Source'!U528&gt;=2,"C",IF('Data Source'!U528&gt;=1,"D","F")))))))</f>
        <v/>
      </c>
      <c r="D528" s="3">
        <f>IF('Data Source'!B528="","",IF('Data Source'!V528&gt;=5,"A+",IF('Data Source'!V528&gt;=4,"A",IF('Data Source'!V528&gt;=3.5,"A-",IF('Data Source'!V528&gt;=3,"B",IF('Data Source'!V528&gt;=2,"C",IF('Data Source'!V528&gt;=1,"D","F")))))))</f>
        <v/>
      </c>
      <c r="E528" s="3">
        <f>IF('Data Source'!B528="","",IF('Data Source'!W528&gt;=5,"A+",IF('Data Source'!W528&gt;=4,"A",IF('Data Source'!W528&gt;=3.5,"A-",IF('Data Source'!W528&gt;=3,"B",IF('Data Source'!W528&gt;=2,"C",IF('Data Source'!W528&gt;=1,"D","F")))))))</f>
        <v/>
      </c>
      <c r="F528" s="3">
        <f>IF('Data Source'!B528="","",IF('Data Source'!X528&gt;=5,"A+",IF('Data Source'!X528&gt;=4,"A",IF('Data Source'!X528&gt;=3.5,"A-",IF('Data Source'!X528&gt;=3,"B",IF('Data Source'!X528&gt;=2,"C",IF('Data Source'!X528&gt;=1,"D","F")))))))</f>
        <v/>
      </c>
      <c r="G528" s="3">
        <f>IF('Data Source'!B528="","",IF('Data Source'!Y528&gt;=5,"A+",IF('Data Source'!Y528&gt;=4,"A",IF('Data Source'!Y528&gt;=3.5,"A-",IF('Data Source'!Y528&gt;=3,"B",IF('Data Source'!Y528&gt;=2,"C",IF('Data Source'!Y528&gt;=1,"D","F")))))))</f>
        <v/>
      </c>
      <c r="H528" s="3">
        <f>IF('Data Source'!B528="","",IF('Data Source'!Z528&gt;=5,"A+",IF('Data Source'!Z528&gt;=4,"A",IF('Data Source'!Z528&gt;=3.5,"A-",IF('Data Source'!Z528&gt;=3,"B",IF('Data Source'!Z528&gt;=2,"C",IF('Data Source'!Z528&gt;=1,"D","F")))))))</f>
        <v/>
      </c>
      <c r="I528" s="3">
        <f>IF('Data Source'!B528="","",IF('Data Source'!AA528&gt;=5,"A+",IF('Data Source'!AA528&gt;=4,"A",IF('Data Source'!AA528&gt;=3.5,"A-",IF('Data Source'!AA528&gt;=3,"B",IF('Data Source'!AA528&gt;=2,"C",IF('Data Source'!AA528&gt;=1,"D","F")))))))</f>
        <v/>
      </c>
      <c r="J528" s="3">
        <f>IF('Data Source'!B528="","",IF('Data Source'!AB528&gt;=5,"A+",IF('Data Source'!AB528&gt;=4,"A",IF('Data Source'!AB528&gt;=3.5,"A-",IF('Data Source'!AB528&gt;=3,"B",IF('Data Source'!AB528&gt;=2,"C",IF('Data Source'!AB528&gt;=1,"D","F")))))))</f>
        <v/>
      </c>
      <c r="K528" s="3">
        <f>IF('Data Source'!B528="","",IF('Data Source'!AC528&gt;=5,"A+",IF('Data Source'!AC528&gt;=4,"A",IF('Data Source'!AC528&gt;=3.5,"A-",IF('Data Source'!AC528&gt;=3,"B",IF('Data Source'!AC528&gt;=2,"C",IF('Data Source'!AC528&gt;=1,"D","F")))))))</f>
        <v/>
      </c>
      <c r="L528" s="3">
        <f>IF('Data Source'!B528="","",IF('Data Source'!AD528&gt;=5,"A+",IF('Data Source'!AD528&gt;=4,"A",IF('Data Source'!AD528&gt;=3.5,"A-",IF('Data Source'!AD528&gt;=3,"B",IF('Data Source'!AD528&gt;=2,"C",IF('Data Source'!AD528&gt;=1,"D","F")))))))</f>
        <v/>
      </c>
      <c r="M528" s="3">
        <f>IF('Data Source'!B528="","",IF('Data Source'!AE528&gt;=5,"A+",IF('Data Source'!AE528&gt;=4,"A",IF('Data Source'!AE528&gt;=3.5,"A-",IF('Data Source'!AE528&gt;=3,"B",IF('Data Source'!AE528&gt;=2,"C",IF('Data Source'!AE528&gt;=1,"D","F")))))))</f>
        <v/>
      </c>
      <c r="N528" s="3">
        <f>IF('Data Source'!B528="","",IF('Data Source'!AF528&gt;=5,"A+",IF('Data Source'!AF528&gt;=4,"A",IF('Data Source'!AF528&gt;=3.5,"A-",IF('Data Source'!AF528&gt;=3,"B",IF('Data Source'!AF528&gt;=2,"C",IF('Data Source'!AF528&gt;=1,"D","F")))))))</f>
        <v/>
      </c>
      <c r="O528" s="3">
        <f>IF('Data Source'!B528="","",IF('Data Source'!AG528&gt;=5,"A+",IF('Data Source'!AG528&gt;=4,"A",IF('Data Source'!AG528&gt;=3.5,"A-",IF('Data Source'!AG528&gt;=3,"B",IF('Data Source'!AG528&gt;=2,"C",IF('Data Source'!AG528&gt;=1,"D","F")))))))</f>
        <v/>
      </c>
      <c r="P528" s="5">
        <f>IF('Data Source'!B528="","",'Data Source'!R528)</f>
        <v/>
      </c>
      <c r="Q528" s="3">
        <f>IF('Data Source'!B528="","",'Data Source'!S528)</f>
        <v/>
      </c>
    </row>
    <row r="529">
      <c r="A529" s="3">
        <f>IF('Data Source'!B529="","",'Data Source'!A529)</f>
        <v/>
      </c>
      <c r="B529">
        <f>IF('Data Source'!B529="","",'Data Source'!B529)</f>
        <v/>
      </c>
      <c r="C529" s="3">
        <f>IF('Data Source'!B529="","",IF('Data Source'!U529&gt;=5,"A+",IF('Data Source'!U529&gt;=4,"A",IF('Data Source'!U529&gt;=3.5,"A-",IF('Data Source'!U529&gt;=3,"B",IF('Data Source'!U529&gt;=2,"C",IF('Data Source'!U529&gt;=1,"D","F")))))))</f>
        <v/>
      </c>
      <c r="D529" s="3">
        <f>IF('Data Source'!B529="","",IF('Data Source'!V529&gt;=5,"A+",IF('Data Source'!V529&gt;=4,"A",IF('Data Source'!V529&gt;=3.5,"A-",IF('Data Source'!V529&gt;=3,"B",IF('Data Source'!V529&gt;=2,"C",IF('Data Source'!V529&gt;=1,"D","F")))))))</f>
        <v/>
      </c>
      <c r="E529" s="3">
        <f>IF('Data Source'!B529="","",IF('Data Source'!W529&gt;=5,"A+",IF('Data Source'!W529&gt;=4,"A",IF('Data Source'!W529&gt;=3.5,"A-",IF('Data Source'!W529&gt;=3,"B",IF('Data Source'!W529&gt;=2,"C",IF('Data Source'!W529&gt;=1,"D","F")))))))</f>
        <v/>
      </c>
      <c r="F529" s="3">
        <f>IF('Data Source'!B529="","",IF('Data Source'!X529&gt;=5,"A+",IF('Data Source'!X529&gt;=4,"A",IF('Data Source'!X529&gt;=3.5,"A-",IF('Data Source'!X529&gt;=3,"B",IF('Data Source'!X529&gt;=2,"C",IF('Data Source'!X529&gt;=1,"D","F")))))))</f>
        <v/>
      </c>
      <c r="G529" s="3">
        <f>IF('Data Source'!B529="","",IF('Data Source'!Y529&gt;=5,"A+",IF('Data Source'!Y529&gt;=4,"A",IF('Data Source'!Y529&gt;=3.5,"A-",IF('Data Source'!Y529&gt;=3,"B",IF('Data Source'!Y529&gt;=2,"C",IF('Data Source'!Y529&gt;=1,"D","F")))))))</f>
        <v/>
      </c>
      <c r="H529" s="3">
        <f>IF('Data Source'!B529="","",IF('Data Source'!Z529&gt;=5,"A+",IF('Data Source'!Z529&gt;=4,"A",IF('Data Source'!Z529&gt;=3.5,"A-",IF('Data Source'!Z529&gt;=3,"B",IF('Data Source'!Z529&gt;=2,"C",IF('Data Source'!Z529&gt;=1,"D","F")))))))</f>
        <v/>
      </c>
      <c r="I529" s="3">
        <f>IF('Data Source'!B529="","",IF('Data Source'!AA529&gt;=5,"A+",IF('Data Source'!AA529&gt;=4,"A",IF('Data Source'!AA529&gt;=3.5,"A-",IF('Data Source'!AA529&gt;=3,"B",IF('Data Source'!AA529&gt;=2,"C",IF('Data Source'!AA529&gt;=1,"D","F")))))))</f>
        <v/>
      </c>
      <c r="J529" s="3">
        <f>IF('Data Source'!B529="","",IF('Data Source'!AB529&gt;=5,"A+",IF('Data Source'!AB529&gt;=4,"A",IF('Data Source'!AB529&gt;=3.5,"A-",IF('Data Source'!AB529&gt;=3,"B",IF('Data Source'!AB529&gt;=2,"C",IF('Data Source'!AB529&gt;=1,"D","F")))))))</f>
        <v/>
      </c>
      <c r="K529" s="3">
        <f>IF('Data Source'!B529="","",IF('Data Source'!AC529&gt;=5,"A+",IF('Data Source'!AC529&gt;=4,"A",IF('Data Source'!AC529&gt;=3.5,"A-",IF('Data Source'!AC529&gt;=3,"B",IF('Data Source'!AC529&gt;=2,"C",IF('Data Source'!AC529&gt;=1,"D","F")))))))</f>
        <v/>
      </c>
      <c r="L529" s="3">
        <f>IF('Data Source'!B529="","",IF('Data Source'!AD529&gt;=5,"A+",IF('Data Source'!AD529&gt;=4,"A",IF('Data Source'!AD529&gt;=3.5,"A-",IF('Data Source'!AD529&gt;=3,"B",IF('Data Source'!AD529&gt;=2,"C",IF('Data Source'!AD529&gt;=1,"D","F")))))))</f>
        <v/>
      </c>
      <c r="M529" s="3">
        <f>IF('Data Source'!B529="","",IF('Data Source'!AE529&gt;=5,"A+",IF('Data Source'!AE529&gt;=4,"A",IF('Data Source'!AE529&gt;=3.5,"A-",IF('Data Source'!AE529&gt;=3,"B",IF('Data Source'!AE529&gt;=2,"C",IF('Data Source'!AE529&gt;=1,"D","F")))))))</f>
        <v/>
      </c>
      <c r="N529" s="3">
        <f>IF('Data Source'!B529="","",IF('Data Source'!AF529&gt;=5,"A+",IF('Data Source'!AF529&gt;=4,"A",IF('Data Source'!AF529&gt;=3.5,"A-",IF('Data Source'!AF529&gt;=3,"B",IF('Data Source'!AF529&gt;=2,"C",IF('Data Source'!AF529&gt;=1,"D","F")))))))</f>
        <v/>
      </c>
      <c r="O529" s="3">
        <f>IF('Data Source'!B529="","",IF('Data Source'!AG529&gt;=5,"A+",IF('Data Source'!AG529&gt;=4,"A",IF('Data Source'!AG529&gt;=3.5,"A-",IF('Data Source'!AG529&gt;=3,"B",IF('Data Source'!AG529&gt;=2,"C",IF('Data Source'!AG529&gt;=1,"D","F")))))))</f>
        <v/>
      </c>
      <c r="P529" s="5">
        <f>IF('Data Source'!B529="","",'Data Source'!R529)</f>
        <v/>
      </c>
      <c r="Q529" s="3">
        <f>IF('Data Source'!B529="","",'Data Source'!S529)</f>
        <v/>
      </c>
    </row>
    <row r="530">
      <c r="A530" s="3">
        <f>IF('Data Source'!B530="","",'Data Source'!A530)</f>
        <v/>
      </c>
      <c r="B530">
        <f>IF('Data Source'!B530="","",'Data Source'!B530)</f>
        <v/>
      </c>
      <c r="C530" s="3">
        <f>IF('Data Source'!B530="","",IF('Data Source'!U530&gt;=5,"A+",IF('Data Source'!U530&gt;=4,"A",IF('Data Source'!U530&gt;=3.5,"A-",IF('Data Source'!U530&gt;=3,"B",IF('Data Source'!U530&gt;=2,"C",IF('Data Source'!U530&gt;=1,"D","F")))))))</f>
        <v/>
      </c>
      <c r="D530" s="3">
        <f>IF('Data Source'!B530="","",IF('Data Source'!V530&gt;=5,"A+",IF('Data Source'!V530&gt;=4,"A",IF('Data Source'!V530&gt;=3.5,"A-",IF('Data Source'!V530&gt;=3,"B",IF('Data Source'!V530&gt;=2,"C",IF('Data Source'!V530&gt;=1,"D","F")))))))</f>
        <v/>
      </c>
      <c r="E530" s="3">
        <f>IF('Data Source'!B530="","",IF('Data Source'!W530&gt;=5,"A+",IF('Data Source'!W530&gt;=4,"A",IF('Data Source'!W530&gt;=3.5,"A-",IF('Data Source'!W530&gt;=3,"B",IF('Data Source'!W530&gt;=2,"C",IF('Data Source'!W530&gt;=1,"D","F")))))))</f>
        <v/>
      </c>
      <c r="F530" s="3">
        <f>IF('Data Source'!B530="","",IF('Data Source'!X530&gt;=5,"A+",IF('Data Source'!X530&gt;=4,"A",IF('Data Source'!X530&gt;=3.5,"A-",IF('Data Source'!X530&gt;=3,"B",IF('Data Source'!X530&gt;=2,"C",IF('Data Source'!X530&gt;=1,"D","F")))))))</f>
        <v/>
      </c>
      <c r="G530" s="3">
        <f>IF('Data Source'!B530="","",IF('Data Source'!Y530&gt;=5,"A+",IF('Data Source'!Y530&gt;=4,"A",IF('Data Source'!Y530&gt;=3.5,"A-",IF('Data Source'!Y530&gt;=3,"B",IF('Data Source'!Y530&gt;=2,"C",IF('Data Source'!Y530&gt;=1,"D","F")))))))</f>
        <v/>
      </c>
      <c r="H530" s="3">
        <f>IF('Data Source'!B530="","",IF('Data Source'!Z530&gt;=5,"A+",IF('Data Source'!Z530&gt;=4,"A",IF('Data Source'!Z530&gt;=3.5,"A-",IF('Data Source'!Z530&gt;=3,"B",IF('Data Source'!Z530&gt;=2,"C",IF('Data Source'!Z530&gt;=1,"D","F")))))))</f>
        <v/>
      </c>
      <c r="I530" s="3">
        <f>IF('Data Source'!B530="","",IF('Data Source'!AA530&gt;=5,"A+",IF('Data Source'!AA530&gt;=4,"A",IF('Data Source'!AA530&gt;=3.5,"A-",IF('Data Source'!AA530&gt;=3,"B",IF('Data Source'!AA530&gt;=2,"C",IF('Data Source'!AA530&gt;=1,"D","F")))))))</f>
        <v/>
      </c>
      <c r="J530" s="3">
        <f>IF('Data Source'!B530="","",IF('Data Source'!AB530&gt;=5,"A+",IF('Data Source'!AB530&gt;=4,"A",IF('Data Source'!AB530&gt;=3.5,"A-",IF('Data Source'!AB530&gt;=3,"B",IF('Data Source'!AB530&gt;=2,"C",IF('Data Source'!AB530&gt;=1,"D","F")))))))</f>
        <v/>
      </c>
      <c r="K530" s="3">
        <f>IF('Data Source'!B530="","",IF('Data Source'!AC530&gt;=5,"A+",IF('Data Source'!AC530&gt;=4,"A",IF('Data Source'!AC530&gt;=3.5,"A-",IF('Data Source'!AC530&gt;=3,"B",IF('Data Source'!AC530&gt;=2,"C",IF('Data Source'!AC530&gt;=1,"D","F")))))))</f>
        <v/>
      </c>
      <c r="L530" s="3">
        <f>IF('Data Source'!B530="","",IF('Data Source'!AD530&gt;=5,"A+",IF('Data Source'!AD530&gt;=4,"A",IF('Data Source'!AD530&gt;=3.5,"A-",IF('Data Source'!AD530&gt;=3,"B",IF('Data Source'!AD530&gt;=2,"C",IF('Data Source'!AD530&gt;=1,"D","F")))))))</f>
        <v/>
      </c>
      <c r="M530" s="3">
        <f>IF('Data Source'!B530="","",IF('Data Source'!AE530&gt;=5,"A+",IF('Data Source'!AE530&gt;=4,"A",IF('Data Source'!AE530&gt;=3.5,"A-",IF('Data Source'!AE530&gt;=3,"B",IF('Data Source'!AE530&gt;=2,"C",IF('Data Source'!AE530&gt;=1,"D","F")))))))</f>
        <v/>
      </c>
      <c r="N530" s="3">
        <f>IF('Data Source'!B530="","",IF('Data Source'!AF530&gt;=5,"A+",IF('Data Source'!AF530&gt;=4,"A",IF('Data Source'!AF530&gt;=3.5,"A-",IF('Data Source'!AF530&gt;=3,"B",IF('Data Source'!AF530&gt;=2,"C",IF('Data Source'!AF530&gt;=1,"D","F")))))))</f>
        <v/>
      </c>
      <c r="O530" s="3">
        <f>IF('Data Source'!B530="","",IF('Data Source'!AG530&gt;=5,"A+",IF('Data Source'!AG530&gt;=4,"A",IF('Data Source'!AG530&gt;=3.5,"A-",IF('Data Source'!AG530&gt;=3,"B",IF('Data Source'!AG530&gt;=2,"C",IF('Data Source'!AG530&gt;=1,"D","F")))))))</f>
        <v/>
      </c>
      <c r="P530" s="5">
        <f>IF('Data Source'!B530="","",'Data Source'!R530)</f>
        <v/>
      </c>
      <c r="Q530" s="3">
        <f>IF('Data Source'!B530="","",'Data Source'!S530)</f>
        <v/>
      </c>
    </row>
    <row r="531">
      <c r="A531" s="3">
        <f>IF('Data Source'!B531="","",'Data Source'!A531)</f>
        <v/>
      </c>
      <c r="B531">
        <f>IF('Data Source'!B531="","",'Data Source'!B531)</f>
        <v/>
      </c>
      <c r="C531" s="3">
        <f>IF('Data Source'!B531="","",IF('Data Source'!U531&gt;=5,"A+",IF('Data Source'!U531&gt;=4,"A",IF('Data Source'!U531&gt;=3.5,"A-",IF('Data Source'!U531&gt;=3,"B",IF('Data Source'!U531&gt;=2,"C",IF('Data Source'!U531&gt;=1,"D","F")))))))</f>
        <v/>
      </c>
      <c r="D531" s="3">
        <f>IF('Data Source'!B531="","",IF('Data Source'!V531&gt;=5,"A+",IF('Data Source'!V531&gt;=4,"A",IF('Data Source'!V531&gt;=3.5,"A-",IF('Data Source'!V531&gt;=3,"B",IF('Data Source'!V531&gt;=2,"C",IF('Data Source'!V531&gt;=1,"D","F")))))))</f>
        <v/>
      </c>
      <c r="E531" s="3">
        <f>IF('Data Source'!B531="","",IF('Data Source'!W531&gt;=5,"A+",IF('Data Source'!W531&gt;=4,"A",IF('Data Source'!W531&gt;=3.5,"A-",IF('Data Source'!W531&gt;=3,"B",IF('Data Source'!W531&gt;=2,"C",IF('Data Source'!W531&gt;=1,"D","F")))))))</f>
        <v/>
      </c>
      <c r="F531" s="3">
        <f>IF('Data Source'!B531="","",IF('Data Source'!X531&gt;=5,"A+",IF('Data Source'!X531&gt;=4,"A",IF('Data Source'!X531&gt;=3.5,"A-",IF('Data Source'!X531&gt;=3,"B",IF('Data Source'!X531&gt;=2,"C",IF('Data Source'!X531&gt;=1,"D","F")))))))</f>
        <v/>
      </c>
      <c r="G531" s="3">
        <f>IF('Data Source'!B531="","",IF('Data Source'!Y531&gt;=5,"A+",IF('Data Source'!Y531&gt;=4,"A",IF('Data Source'!Y531&gt;=3.5,"A-",IF('Data Source'!Y531&gt;=3,"B",IF('Data Source'!Y531&gt;=2,"C",IF('Data Source'!Y531&gt;=1,"D","F")))))))</f>
        <v/>
      </c>
      <c r="H531" s="3">
        <f>IF('Data Source'!B531="","",IF('Data Source'!Z531&gt;=5,"A+",IF('Data Source'!Z531&gt;=4,"A",IF('Data Source'!Z531&gt;=3.5,"A-",IF('Data Source'!Z531&gt;=3,"B",IF('Data Source'!Z531&gt;=2,"C",IF('Data Source'!Z531&gt;=1,"D","F")))))))</f>
        <v/>
      </c>
      <c r="I531" s="3">
        <f>IF('Data Source'!B531="","",IF('Data Source'!AA531&gt;=5,"A+",IF('Data Source'!AA531&gt;=4,"A",IF('Data Source'!AA531&gt;=3.5,"A-",IF('Data Source'!AA531&gt;=3,"B",IF('Data Source'!AA531&gt;=2,"C",IF('Data Source'!AA531&gt;=1,"D","F")))))))</f>
        <v/>
      </c>
      <c r="J531" s="3">
        <f>IF('Data Source'!B531="","",IF('Data Source'!AB531&gt;=5,"A+",IF('Data Source'!AB531&gt;=4,"A",IF('Data Source'!AB531&gt;=3.5,"A-",IF('Data Source'!AB531&gt;=3,"B",IF('Data Source'!AB531&gt;=2,"C",IF('Data Source'!AB531&gt;=1,"D","F")))))))</f>
        <v/>
      </c>
      <c r="K531" s="3">
        <f>IF('Data Source'!B531="","",IF('Data Source'!AC531&gt;=5,"A+",IF('Data Source'!AC531&gt;=4,"A",IF('Data Source'!AC531&gt;=3.5,"A-",IF('Data Source'!AC531&gt;=3,"B",IF('Data Source'!AC531&gt;=2,"C",IF('Data Source'!AC531&gt;=1,"D","F")))))))</f>
        <v/>
      </c>
      <c r="L531" s="3">
        <f>IF('Data Source'!B531="","",IF('Data Source'!AD531&gt;=5,"A+",IF('Data Source'!AD531&gt;=4,"A",IF('Data Source'!AD531&gt;=3.5,"A-",IF('Data Source'!AD531&gt;=3,"B",IF('Data Source'!AD531&gt;=2,"C",IF('Data Source'!AD531&gt;=1,"D","F")))))))</f>
        <v/>
      </c>
      <c r="M531" s="3">
        <f>IF('Data Source'!B531="","",IF('Data Source'!AE531&gt;=5,"A+",IF('Data Source'!AE531&gt;=4,"A",IF('Data Source'!AE531&gt;=3.5,"A-",IF('Data Source'!AE531&gt;=3,"B",IF('Data Source'!AE531&gt;=2,"C",IF('Data Source'!AE531&gt;=1,"D","F")))))))</f>
        <v/>
      </c>
      <c r="N531" s="3">
        <f>IF('Data Source'!B531="","",IF('Data Source'!AF531&gt;=5,"A+",IF('Data Source'!AF531&gt;=4,"A",IF('Data Source'!AF531&gt;=3.5,"A-",IF('Data Source'!AF531&gt;=3,"B",IF('Data Source'!AF531&gt;=2,"C",IF('Data Source'!AF531&gt;=1,"D","F")))))))</f>
        <v/>
      </c>
      <c r="O531" s="3">
        <f>IF('Data Source'!B531="","",IF('Data Source'!AG531&gt;=5,"A+",IF('Data Source'!AG531&gt;=4,"A",IF('Data Source'!AG531&gt;=3.5,"A-",IF('Data Source'!AG531&gt;=3,"B",IF('Data Source'!AG531&gt;=2,"C",IF('Data Source'!AG531&gt;=1,"D","F")))))))</f>
        <v/>
      </c>
      <c r="P531" s="5">
        <f>IF('Data Source'!B531="","",'Data Source'!R531)</f>
        <v/>
      </c>
      <c r="Q531" s="3">
        <f>IF('Data Source'!B531="","",'Data Source'!S531)</f>
        <v/>
      </c>
    </row>
    <row r="532">
      <c r="A532" s="3">
        <f>IF('Data Source'!B532="","",'Data Source'!A532)</f>
        <v/>
      </c>
      <c r="B532">
        <f>IF('Data Source'!B532="","",'Data Source'!B532)</f>
        <v/>
      </c>
      <c r="C532" s="3">
        <f>IF('Data Source'!B532="","",IF('Data Source'!U532&gt;=5,"A+",IF('Data Source'!U532&gt;=4,"A",IF('Data Source'!U532&gt;=3.5,"A-",IF('Data Source'!U532&gt;=3,"B",IF('Data Source'!U532&gt;=2,"C",IF('Data Source'!U532&gt;=1,"D","F")))))))</f>
        <v/>
      </c>
      <c r="D532" s="3">
        <f>IF('Data Source'!B532="","",IF('Data Source'!V532&gt;=5,"A+",IF('Data Source'!V532&gt;=4,"A",IF('Data Source'!V532&gt;=3.5,"A-",IF('Data Source'!V532&gt;=3,"B",IF('Data Source'!V532&gt;=2,"C",IF('Data Source'!V532&gt;=1,"D","F")))))))</f>
        <v/>
      </c>
      <c r="E532" s="3">
        <f>IF('Data Source'!B532="","",IF('Data Source'!W532&gt;=5,"A+",IF('Data Source'!W532&gt;=4,"A",IF('Data Source'!W532&gt;=3.5,"A-",IF('Data Source'!W532&gt;=3,"B",IF('Data Source'!W532&gt;=2,"C",IF('Data Source'!W532&gt;=1,"D","F")))))))</f>
        <v/>
      </c>
      <c r="F532" s="3">
        <f>IF('Data Source'!B532="","",IF('Data Source'!X532&gt;=5,"A+",IF('Data Source'!X532&gt;=4,"A",IF('Data Source'!X532&gt;=3.5,"A-",IF('Data Source'!X532&gt;=3,"B",IF('Data Source'!X532&gt;=2,"C",IF('Data Source'!X532&gt;=1,"D","F")))))))</f>
        <v/>
      </c>
      <c r="G532" s="3">
        <f>IF('Data Source'!B532="","",IF('Data Source'!Y532&gt;=5,"A+",IF('Data Source'!Y532&gt;=4,"A",IF('Data Source'!Y532&gt;=3.5,"A-",IF('Data Source'!Y532&gt;=3,"B",IF('Data Source'!Y532&gt;=2,"C",IF('Data Source'!Y532&gt;=1,"D","F")))))))</f>
        <v/>
      </c>
      <c r="H532" s="3">
        <f>IF('Data Source'!B532="","",IF('Data Source'!Z532&gt;=5,"A+",IF('Data Source'!Z532&gt;=4,"A",IF('Data Source'!Z532&gt;=3.5,"A-",IF('Data Source'!Z532&gt;=3,"B",IF('Data Source'!Z532&gt;=2,"C",IF('Data Source'!Z532&gt;=1,"D","F")))))))</f>
        <v/>
      </c>
      <c r="I532" s="3">
        <f>IF('Data Source'!B532="","",IF('Data Source'!AA532&gt;=5,"A+",IF('Data Source'!AA532&gt;=4,"A",IF('Data Source'!AA532&gt;=3.5,"A-",IF('Data Source'!AA532&gt;=3,"B",IF('Data Source'!AA532&gt;=2,"C",IF('Data Source'!AA532&gt;=1,"D","F")))))))</f>
        <v/>
      </c>
      <c r="J532" s="3">
        <f>IF('Data Source'!B532="","",IF('Data Source'!AB532&gt;=5,"A+",IF('Data Source'!AB532&gt;=4,"A",IF('Data Source'!AB532&gt;=3.5,"A-",IF('Data Source'!AB532&gt;=3,"B",IF('Data Source'!AB532&gt;=2,"C",IF('Data Source'!AB532&gt;=1,"D","F")))))))</f>
        <v/>
      </c>
      <c r="K532" s="3">
        <f>IF('Data Source'!B532="","",IF('Data Source'!AC532&gt;=5,"A+",IF('Data Source'!AC532&gt;=4,"A",IF('Data Source'!AC532&gt;=3.5,"A-",IF('Data Source'!AC532&gt;=3,"B",IF('Data Source'!AC532&gt;=2,"C",IF('Data Source'!AC532&gt;=1,"D","F")))))))</f>
        <v/>
      </c>
      <c r="L532" s="3">
        <f>IF('Data Source'!B532="","",IF('Data Source'!AD532&gt;=5,"A+",IF('Data Source'!AD532&gt;=4,"A",IF('Data Source'!AD532&gt;=3.5,"A-",IF('Data Source'!AD532&gt;=3,"B",IF('Data Source'!AD532&gt;=2,"C",IF('Data Source'!AD532&gt;=1,"D","F")))))))</f>
        <v/>
      </c>
      <c r="M532" s="3">
        <f>IF('Data Source'!B532="","",IF('Data Source'!AE532&gt;=5,"A+",IF('Data Source'!AE532&gt;=4,"A",IF('Data Source'!AE532&gt;=3.5,"A-",IF('Data Source'!AE532&gt;=3,"B",IF('Data Source'!AE532&gt;=2,"C",IF('Data Source'!AE532&gt;=1,"D","F")))))))</f>
        <v/>
      </c>
      <c r="N532" s="3">
        <f>IF('Data Source'!B532="","",IF('Data Source'!AF532&gt;=5,"A+",IF('Data Source'!AF532&gt;=4,"A",IF('Data Source'!AF532&gt;=3.5,"A-",IF('Data Source'!AF532&gt;=3,"B",IF('Data Source'!AF532&gt;=2,"C",IF('Data Source'!AF532&gt;=1,"D","F")))))))</f>
        <v/>
      </c>
      <c r="O532" s="3">
        <f>IF('Data Source'!B532="","",IF('Data Source'!AG532&gt;=5,"A+",IF('Data Source'!AG532&gt;=4,"A",IF('Data Source'!AG532&gt;=3.5,"A-",IF('Data Source'!AG532&gt;=3,"B",IF('Data Source'!AG532&gt;=2,"C",IF('Data Source'!AG532&gt;=1,"D","F")))))))</f>
        <v/>
      </c>
      <c r="P532" s="5">
        <f>IF('Data Source'!B532="","",'Data Source'!R532)</f>
        <v/>
      </c>
      <c r="Q532" s="3">
        <f>IF('Data Source'!B532="","",'Data Source'!S532)</f>
        <v/>
      </c>
    </row>
    <row r="533">
      <c r="A533" s="3">
        <f>IF('Data Source'!B533="","",'Data Source'!A533)</f>
        <v/>
      </c>
      <c r="B533">
        <f>IF('Data Source'!B533="","",'Data Source'!B533)</f>
        <v/>
      </c>
      <c r="C533" s="3">
        <f>IF('Data Source'!B533="","",IF('Data Source'!U533&gt;=5,"A+",IF('Data Source'!U533&gt;=4,"A",IF('Data Source'!U533&gt;=3.5,"A-",IF('Data Source'!U533&gt;=3,"B",IF('Data Source'!U533&gt;=2,"C",IF('Data Source'!U533&gt;=1,"D","F")))))))</f>
        <v/>
      </c>
      <c r="D533" s="3">
        <f>IF('Data Source'!B533="","",IF('Data Source'!V533&gt;=5,"A+",IF('Data Source'!V533&gt;=4,"A",IF('Data Source'!V533&gt;=3.5,"A-",IF('Data Source'!V533&gt;=3,"B",IF('Data Source'!V533&gt;=2,"C",IF('Data Source'!V533&gt;=1,"D","F")))))))</f>
        <v/>
      </c>
      <c r="E533" s="3">
        <f>IF('Data Source'!B533="","",IF('Data Source'!W533&gt;=5,"A+",IF('Data Source'!W533&gt;=4,"A",IF('Data Source'!W533&gt;=3.5,"A-",IF('Data Source'!W533&gt;=3,"B",IF('Data Source'!W533&gt;=2,"C",IF('Data Source'!W533&gt;=1,"D","F")))))))</f>
        <v/>
      </c>
      <c r="F533" s="3">
        <f>IF('Data Source'!B533="","",IF('Data Source'!X533&gt;=5,"A+",IF('Data Source'!X533&gt;=4,"A",IF('Data Source'!X533&gt;=3.5,"A-",IF('Data Source'!X533&gt;=3,"B",IF('Data Source'!X533&gt;=2,"C",IF('Data Source'!X533&gt;=1,"D","F")))))))</f>
        <v/>
      </c>
      <c r="G533" s="3">
        <f>IF('Data Source'!B533="","",IF('Data Source'!Y533&gt;=5,"A+",IF('Data Source'!Y533&gt;=4,"A",IF('Data Source'!Y533&gt;=3.5,"A-",IF('Data Source'!Y533&gt;=3,"B",IF('Data Source'!Y533&gt;=2,"C",IF('Data Source'!Y533&gt;=1,"D","F")))))))</f>
        <v/>
      </c>
      <c r="H533" s="3">
        <f>IF('Data Source'!B533="","",IF('Data Source'!Z533&gt;=5,"A+",IF('Data Source'!Z533&gt;=4,"A",IF('Data Source'!Z533&gt;=3.5,"A-",IF('Data Source'!Z533&gt;=3,"B",IF('Data Source'!Z533&gt;=2,"C",IF('Data Source'!Z533&gt;=1,"D","F")))))))</f>
        <v/>
      </c>
      <c r="I533" s="3">
        <f>IF('Data Source'!B533="","",IF('Data Source'!AA533&gt;=5,"A+",IF('Data Source'!AA533&gt;=4,"A",IF('Data Source'!AA533&gt;=3.5,"A-",IF('Data Source'!AA533&gt;=3,"B",IF('Data Source'!AA533&gt;=2,"C",IF('Data Source'!AA533&gt;=1,"D","F")))))))</f>
        <v/>
      </c>
      <c r="J533" s="3">
        <f>IF('Data Source'!B533="","",IF('Data Source'!AB533&gt;=5,"A+",IF('Data Source'!AB533&gt;=4,"A",IF('Data Source'!AB533&gt;=3.5,"A-",IF('Data Source'!AB533&gt;=3,"B",IF('Data Source'!AB533&gt;=2,"C",IF('Data Source'!AB533&gt;=1,"D","F")))))))</f>
        <v/>
      </c>
      <c r="K533" s="3">
        <f>IF('Data Source'!B533="","",IF('Data Source'!AC533&gt;=5,"A+",IF('Data Source'!AC533&gt;=4,"A",IF('Data Source'!AC533&gt;=3.5,"A-",IF('Data Source'!AC533&gt;=3,"B",IF('Data Source'!AC533&gt;=2,"C",IF('Data Source'!AC533&gt;=1,"D","F")))))))</f>
        <v/>
      </c>
      <c r="L533" s="3">
        <f>IF('Data Source'!B533="","",IF('Data Source'!AD533&gt;=5,"A+",IF('Data Source'!AD533&gt;=4,"A",IF('Data Source'!AD533&gt;=3.5,"A-",IF('Data Source'!AD533&gt;=3,"B",IF('Data Source'!AD533&gt;=2,"C",IF('Data Source'!AD533&gt;=1,"D","F")))))))</f>
        <v/>
      </c>
      <c r="M533" s="3">
        <f>IF('Data Source'!B533="","",IF('Data Source'!AE533&gt;=5,"A+",IF('Data Source'!AE533&gt;=4,"A",IF('Data Source'!AE533&gt;=3.5,"A-",IF('Data Source'!AE533&gt;=3,"B",IF('Data Source'!AE533&gt;=2,"C",IF('Data Source'!AE533&gt;=1,"D","F")))))))</f>
        <v/>
      </c>
      <c r="N533" s="3">
        <f>IF('Data Source'!B533="","",IF('Data Source'!AF533&gt;=5,"A+",IF('Data Source'!AF533&gt;=4,"A",IF('Data Source'!AF533&gt;=3.5,"A-",IF('Data Source'!AF533&gt;=3,"B",IF('Data Source'!AF533&gt;=2,"C",IF('Data Source'!AF533&gt;=1,"D","F")))))))</f>
        <v/>
      </c>
      <c r="O533" s="3">
        <f>IF('Data Source'!B533="","",IF('Data Source'!AG533&gt;=5,"A+",IF('Data Source'!AG533&gt;=4,"A",IF('Data Source'!AG533&gt;=3.5,"A-",IF('Data Source'!AG533&gt;=3,"B",IF('Data Source'!AG533&gt;=2,"C",IF('Data Source'!AG533&gt;=1,"D","F")))))))</f>
        <v/>
      </c>
      <c r="P533" s="5">
        <f>IF('Data Source'!B533="","",'Data Source'!R533)</f>
        <v/>
      </c>
      <c r="Q533" s="3">
        <f>IF('Data Source'!B533="","",'Data Source'!S533)</f>
        <v/>
      </c>
    </row>
    <row r="534">
      <c r="A534" s="3">
        <f>IF('Data Source'!B534="","",'Data Source'!A534)</f>
        <v/>
      </c>
      <c r="B534">
        <f>IF('Data Source'!B534="","",'Data Source'!B534)</f>
        <v/>
      </c>
      <c r="C534" s="3">
        <f>IF('Data Source'!B534="","",IF('Data Source'!U534&gt;=5,"A+",IF('Data Source'!U534&gt;=4,"A",IF('Data Source'!U534&gt;=3.5,"A-",IF('Data Source'!U534&gt;=3,"B",IF('Data Source'!U534&gt;=2,"C",IF('Data Source'!U534&gt;=1,"D","F")))))))</f>
        <v/>
      </c>
      <c r="D534" s="3">
        <f>IF('Data Source'!B534="","",IF('Data Source'!V534&gt;=5,"A+",IF('Data Source'!V534&gt;=4,"A",IF('Data Source'!V534&gt;=3.5,"A-",IF('Data Source'!V534&gt;=3,"B",IF('Data Source'!V534&gt;=2,"C",IF('Data Source'!V534&gt;=1,"D","F")))))))</f>
        <v/>
      </c>
      <c r="E534" s="3">
        <f>IF('Data Source'!B534="","",IF('Data Source'!W534&gt;=5,"A+",IF('Data Source'!W534&gt;=4,"A",IF('Data Source'!W534&gt;=3.5,"A-",IF('Data Source'!W534&gt;=3,"B",IF('Data Source'!W534&gt;=2,"C",IF('Data Source'!W534&gt;=1,"D","F")))))))</f>
        <v/>
      </c>
      <c r="F534" s="3">
        <f>IF('Data Source'!B534="","",IF('Data Source'!X534&gt;=5,"A+",IF('Data Source'!X534&gt;=4,"A",IF('Data Source'!X534&gt;=3.5,"A-",IF('Data Source'!X534&gt;=3,"B",IF('Data Source'!X534&gt;=2,"C",IF('Data Source'!X534&gt;=1,"D","F")))))))</f>
        <v/>
      </c>
      <c r="G534" s="3">
        <f>IF('Data Source'!B534="","",IF('Data Source'!Y534&gt;=5,"A+",IF('Data Source'!Y534&gt;=4,"A",IF('Data Source'!Y534&gt;=3.5,"A-",IF('Data Source'!Y534&gt;=3,"B",IF('Data Source'!Y534&gt;=2,"C",IF('Data Source'!Y534&gt;=1,"D","F")))))))</f>
        <v/>
      </c>
      <c r="H534" s="3">
        <f>IF('Data Source'!B534="","",IF('Data Source'!Z534&gt;=5,"A+",IF('Data Source'!Z534&gt;=4,"A",IF('Data Source'!Z534&gt;=3.5,"A-",IF('Data Source'!Z534&gt;=3,"B",IF('Data Source'!Z534&gt;=2,"C",IF('Data Source'!Z534&gt;=1,"D","F")))))))</f>
        <v/>
      </c>
      <c r="I534" s="3">
        <f>IF('Data Source'!B534="","",IF('Data Source'!AA534&gt;=5,"A+",IF('Data Source'!AA534&gt;=4,"A",IF('Data Source'!AA534&gt;=3.5,"A-",IF('Data Source'!AA534&gt;=3,"B",IF('Data Source'!AA534&gt;=2,"C",IF('Data Source'!AA534&gt;=1,"D","F")))))))</f>
        <v/>
      </c>
      <c r="J534" s="3">
        <f>IF('Data Source'!B534="","",IF('Data Source'!AB534&gt;=5,"A+",IF('Data Source'!AB534&gt;=4,"A",IF('Data Source'!AB534&gt;=3.5,"A-",IF('Data Source'!AB534&gt;=3,"B",IF('Data Source'!AB534&gt;=2,"C",IF('Data Source'!AB534&gt;=1,"D","F")))))))</f>
        <v/>
      </c>
      <c r="K534" s="3">
        <f>IF('Data Source'!B534="","",IF('Data Source'!AC534&gt;=5,"A+",IF('Data Source'!AC534&gt;=4,"A",IF('Data Source'!AC534&gt;=3.5,"A-",IF('Data Source'!AC534&gt;=3,"B",IF('Data Source'!AC534&gt;=2,"C",IF('Data Source'!AC534&gt;=1,"D","F")))))))</f>
        <v/>
      </c>
      <c r="L534" s="3">
        <f>IF('Data Source'!B534="","",IF('Data Source'!AD534&gt;=5,"A+",IF('Data Source'!AD534&gt;=4,"A",IF('Data Source'!AD534&gt;=3.5,"A-",IF('Data Source'!AD534&gt;=3,"B",IF('Data Source'!AD534&gt;=2,"C",IF('Data Source'!AD534&gt;=1,"D","F")))))))</f>
        <v/>
      </c>
      <c r="M534" s="3">
        <f>IF('Data Source'!B534="","",IF('Data Source'!AE534&gt;=5,"A+",IF('Data Source'!AE534&gt;=4,"A",IF('Data Source'!AE534&gt;=3.5,"A-",IF('Data Source'!AE534&gt;=3,"B",IF('Data Source'!AE534&gt;=2,"C",IF('Data Source'!AE534&gt;=1,"D","F")))))))</f>
        <v/>
      </c>
      <c r="N534" s="3">
        <f>IF('Data Source'!B534="","",IF('Data Source'!AF534&gt;=5,"A+",IF('Data Source'!AF534&gt;=4,"A",IF('Data Source'!AF534&gt;=3.5,"A-",IF('Data Source'!AF534&gt;=3,"B",IF('Data Source'!AF534&gt;=2,"C",IF('Data Source'!AF534&gt;=1,"D","F")))))))</f>
        <v/>
      </c>
      <c r="O534" s="3">
        <f>IF('Data Source'!B534="","",IF('Data Source'!AG534&gt;=5,"A+",IF('Data Source'!AG534&gt;=4,"A",IF('Data Source'!AG534&gt;=3.5,"A-",IF('Data Source'!AG534&gt;=3,"B",IF('Data Source'!AG534&gt;=2,"C",IF('Data Source'!AG534&gt;=1,"D","F")))))))</f>
        <v/>
      </c>
      <c r="P534" s="5">
        <f>IF('Data Source'!B534="","",'Data Source'!R534)</f>
        <v/>
      </c>
      <c r="Q534" s="3">
        <f>IF('Data Source'!B534="","",'Data Source'!S534)</f>
        <v/>
      </c>
    </row>
    <row r="535">
      <c r="A535" s="3">
        <f>IF('Data Source'!B535="","",'Data Source'!A535)</f>
        <v/>
      </c>
      <c r="B535">
        <f>IF('Data Source'!B535="","",'Data Source'!B535)</f>
        <v/>
      </c>
      <c r="C535" s="3">
        <f>IF('Data Source'!B535="","",IF('Data Source'!U535&gt;=5,"A+",IF('Data Source'!U535&gt;=4,"A",IF('Data Source'!U535&gt;=3.5,"A-",IF('Data Source'!U535&gt;=3,"B",IF('Data Source'!U535&gt;=2,"C",IF('Data Source'!U535&gt;=1,"D","F")))))))</f>
        <v/>
      </c>
      <c r="D535" s="3">
        <f>IF('Data Source'!B535="","",IF('Data Source'!V535&gt;=5,"A+",IF('Data Source'!V535&gt;=4,"A",IF('Data Source'!V535&gt;=3.5,"A-",IF('Data Source'!V535&gt;=3,"B",IF('Data Source'!V535&gt;=2,"C",IF('Data Source'!V535&gt;=1,"D","F")))))))</f>
        <v/>
      </c>
      <c r="E535" s="3">
        <f>IF('Data Source'!B535="","",IF('Data Source'!W535&gt;=5,"A+",IF('Data Source'!W535&gt;=4,"A",IF('Data Source'!W535&gt;=3.5,"A-",IF('Data Source'!W535&gt;=3,"B",IF('Data Source'!W535&gt;=2,"C",IF('Data Source'!W535&gt;=1,"D","F")))))))</f>
        <v/>
      </c>
      <c r="F535" s="3">
        <f>IF('Data Source'!B535="","",IF('Data Source'!X535&gt;=5,"A+",IF('Data Source'!X535&gt;=4,"A",IF('Data Source'!X535&gt;=3.5,"A-",IF('Data Source'!X535&gt;=3,"B",IF('Data Source'!X535&gt;=2,"C",IF('Data Source'!X535&gt;=1,"D","F")))))))</f>
        <v/>
      </c>
      <c r="G535" s="3">
        <f>IF('Data Source'!B535="","",IF('Data Source'!Y535&gt;=5,"A+",IF('Data Source'!Y535&gt;=4,"A",IF('Data Source'!Y535&gt;=3.5,"A-",IF('Data Source'!Y535&gt;=3,"B",IF('Data Source'!Y535&gt;=2,"C",IF('Data Source'!Y535&gt;=1,"D","F")))))))</f>
        <v/>
      </c>
      <c r="H535" s="3">
        <f>IF('Data Source'!B535="","",IF('Data Source'!Z535&gt;=5,"A+",IF('Data Source'!Z535&gt;=4,"A",IF('Data Source'!Z535&gt;=3.5,"A-",IF('Data Source'!Z535&gt;=3,"B",IF('Data Source'!Z535&gt;=2,"C",IF('Data Source'!Z535&gt;=1,"D","F")))))))</f>
        <v/>
      </c>
      <c r="I535" s="3">
        <f>IF('Data Source'!B535="","",IF('Data Source'!AA535&gt;=5,"A+",IF('Data Source'!AA535&gt;=4,"A",IF('Data Source'!AA535&gt;=3.5,"A-",IF('Data Source'!AA535&gt;=3,"B",IF('Data Source'!AA535&gt;=2,"C",IF('Data Source'!AA535&gt;=1,"D","F")))))))</f>
        <v/>
      </c>
      <c r="J535" s="3">
        <f>IF('Data Source'!B535="","",IF('Data Source'!AB535&gt;=5,"A+",IF('Data Source'!AB535&gt;=4,"A",IF('Data Source'!AB535&gt;=3.5,"A-",IF('Data Source'!AB535&gt;=3,"B",IF('Data Source'!AB535&gt;=2,"C",IF('Data Source'!AB535&gt;=1,"D","F")))))))</f>
        <v/>
      </c>
      <c r="K535" s="3">
        <f>IF('Data Source'!B535="","",IF('Data Source'!AC535&gt;=5,"A+",IF('Data Source'!AC535&gt;=4,"A",IF('Data Source'!AC535&gt;=3.5,"A-",IF('Data Source'!AC535&gt;=3,"B",IF('Data Source'!AC535&gt;=2,"C",IF('Data Source'!AC535&gt;=1,"D","F")))))))</f>
        <v/>
      </c>
      <c r="L535" s="3">
        <f>IF('Data Source'!B535="","",IF('Data Source'!AD535&gt;=5,"A+",IF('Data Source'!AD535&gt;=4,"A",IF('Data Source'!AD535&gt;=3.5,"A-",IF('Data Source'!AD535&gt;=3,"B",IF('Data Source'!AD535&gt;=2,"C",IF('Data Source'!AD535&gt;=1,"D","F")))))))</f>
        <v/>
      </c>
      <c r="M535" s="3">
        <f>IF('Data Source'!B535="","",IF('Data Source'!AE535&gt;=5,"A+",IF('Data Source'!AE535&gt;=4,"A",IF('Data Source'!AE535&gt;=3.5,"A-",IF('Data Source'!AE535&gt;=3,"B",IF('Data Source'!AE535&gt;=2,"C",IF('Data Source'!AE535&gt;=1,"D","F")))))))</f>
        <v/>
      </c>
      <c r="N535" s="3">
        <f>IF('Data Source'!B535="","",IF('Data Source'!AF535&gt;=5,"A+",IF('Data Source'!AF535&gt;=4,"A",IF('Data Source'!AF535&gt;=3.5,"A-",IF('Data Source'!AF535&gt;=3,"B",IF('Data Source'!AF535&gt;=2,"C",IF('Data Source'!AF535&gt;=1,"D","F")))))))</f>
        <v/>
      </c>
      <c r="O535" s="3">
        <f>IF('Data Source'!B535="","",IF('Data Source'!AG535&gt;=5,"A+",IF('Data Source'!AG535&gt;=4,"A",IF('Data Source'!AG535&gt;=3.5,"A-",IF('Data Source'!AG535&gt;=3,"B",IF('Data Source'!AG535&gt;=2,"C",IF('Data Source'!AG535&gt;=1,"D","F")))))))</f>
        <v/>
      </c>
      <c r="P535" s="5">
        <f>IF('Data Source'!B535="","",'Data Source'!R535)</f>
        <v/>
      </c>
      <c r="Q535" s="3">
        <f>IF('Data Source'!B535="","",'Data Source'!S535)</f>
        <v/>
      </c>
    </row>
    <row r="536">
      <c r="A536" s="3">
        <f>IF('Data Source'!B536="","",'Data Source'!A536)</f>
        <v/>
      </c>
      <c r="B536">
        <f>IF('Data Source'!B536="","",'Data Source'!B536)</f>
        <v/>
      </c>
      <c r="C536" s="3">
        <f>IF('Data Source'!B536="","",IF('Data Source'!U536&gt;=5,"A+",IF('Data Source'!U536&gt;=4,"A",IF('Data Source'!U536&gt;=3.5,"A-",IF('Data Source'!U536&gt;=3,"B",IF('Data Source'!U536&gt;=2,"C",IF('Data Source'!U536&gt;=1,"D","F")))))))</f>
        <v/>
      </c>
      <c r="D536" s="3">
        <f>IF('Data Source'!B536="","",IF('Data Source'!V536&gt;=5,"A+",IF('Data Source'!V536&gt;=4,"A",IF('Data Source'!V536&gt;=3.5,"A-",IF('Data Source'!V536&gt;=3,"B",IF('Data Source'!V536&gt;=2,"C",IF('Data Source'!V536&gt;=1,"D","F")))))))</f>
        <v/>
      </c>
      <c r="E536" s="3">
        <f>IF('Data Source'!B536="","",IF('Data Source'!W536&gt;=5,"A+",IF('Data Source'!W536&gt;=4,"A",IF('Data Source'!W536&gt;=3.5,"A-",IF('Data Source'!W536&gt;=3,"B",IF('Data Source'!W536&gt;=2,"C",IF('Data Source'!W536&gt;=1,"D","F")))))))</f>
        <v/>
      </c>
      <c r="F536" s="3">
        <f>IF('Data Source'!B536="","",IF('Data Source'!X536&gt;=5,"A+",IF('Data Source'!X536&gt;=4,"A",IF('Data Source'!X536&gt;=3.5,"A-",IF('Data Source'!X536&gt;=3,"B",IF('Data Source'!X536&gt;=2,"C",IF('Data Source'!X536&gt;=1,"D","F")))))))</f>
        <v/>
      </c>
      <c r="G536" s="3">
        <f>IF('Data Source'!B536="","",IF('Data Source'!Y536&gt;=5,"A+",IF('Data Source'!Y536&gt;=4,"A",IF('Data Source'!Y536&gt;=3.5,"A-",IF('Data Source'!Y536&gt;=3,"B",IF('Data Source'!Y536&gt;=2,"C",IF('Data Source'!Y536&gt;=1,"D","F")))))))</f>
        <v/>
      </c>
      <c r="H536" s="3">
        <f>IF('Data Source'!B536="","",IF('Data Source'!Z536&gt;=5,"A+",IF('Data Source'!Z536&gt;=4,"A",IF('Data Source'!Z536&gt;=3.5,"A-",IF('Data Source'!Z536&gt;=3,"B",IF('Data Source'!Z536&gt;=2,"C",IF('Data Source'!Z536&gt;=1,"D","F")))))))</f>
        <v/>
      </c>
      <c r="I536" s="3">
        <f>IF('Data Source'!B536="","",IF('Data Source'!AA536&gt;=5,"A+",IF('Data Source'!AA536&gt;=4,"A",IF('Data Source'!AA536&gt;=3.5,"A-",IF('Data Source'!AA536&gt;=3,"B",IF('Data Source'!AA536&gt;=2,"C",IF('Data Source'!AA536&gt;=1,"D","F")))))))</f>
        <v/>
      </c>
      <c r="J536" s="3">
        <f>IF('Data Source'!B536="","",IF('Data Source'!AB536&gt;=5,"A+",IF('Data Source'!AB536&gt;=4,"A",IF('Data Source'!AB536&gt;=3.5,"A-",IF('Data Source'!AB536&gt;=3,"B",IF('Data Source'!AB536&gt;=2,"C",IF('Data Source'!AB536&gt;=1,"D","F")))))))</f>
        <v/>
      </c>
      <c r="K536" s="3">
        <f>IF('Data Source'!B536="","",IF('Data Source'!AC536&gt;=5,"A+",IF('Data Source'!AC536&gt;=4,"A",IF('Data Source'!AC536&gt;=3.5,"A-",IF('Data Source'!AC536&gt;=3,"B",IF('Data Source'!AC536&gt;=2,"C",IF('Data Source'!AC536&gt;=1,"D","F")))))))</f>
        <v/>
      </c>
      <c r="L536" s="3">
        <f>IF('Data Source'!B536="","",IF('Data Source'!AD536&gt;=5,"A+",IF('Data Source'!AD536&gt;=4,"A",IF('Data Source'!AD536&gt;=3.5,"A-",IF('Data Source'!AD536&gt;=3,"B",IF('Data Source'!AD536&gt;=2,"C",IF('Data Source'!AD536&gt;=1,"D","F")))))))</f>
        <v/>
      </c>
      <c r="M536" s="3">
        <f>IF('Data Source'!B536="","",IF('Data Source'!AE536&gt;=5,"A+",IF('Data Source'!AE536&gt;=4,"A",IF('Data Source'!AE536&gt;=3.5,"A-",IF('Data Source'!AE536&gt;=3,"B",IF('Data Source'!AE536&gt;=2,"C",IF('Data Source'!AE536&gt;=1,"D","F")))))))</f>
        <v/>
      </c>
      <c r="N536" s="3">
        <f>IF('Data Source'!B536="","",IF('Data Source'!AF536&gt;=5,"A+",IF('Data Source'!AF536&gt;=4,"A",IF('Data Source'!AF536&gt;=3.5,"A-",IF('Data Source'!AF536&gt;=3,"B",IF('Data Source'!AF536&gt;=2,"C",IF('Data Source'!AF536&gt;=1,"D","F")))))))</f>
        <v/>
      </c>
      <c r="O536" s="3">
        <f>IF('Data Source'!B536="","",IF('Data Source'!AG536&gt;=5,"A+",IF('Data Source'!AG536&gt;=4,"A",IF('Data Source'!AG536&gt;=3.5,"A-",IF('Data Source'!AG536&gt;=3,"B",IF('Data Source'!AG536&gt;=2,"C",IF('Data Source'!AG536&gt;=1,"D","F")))))))</f>
        <v/>
      </c>
      <c r="P536" s="5">
        <f>IF('Data Source'!B536="","",'Data Source'!R536)</f>
        <v/>
      </c>
      <c r="Q536" s="3">
        <f>IF('Data Source'!B536="","",'Data Source'!S536)</f>
        <v/>
      </c>
    </row>
    <row r="537">
      <c r="A537" s="3">
        <f>IF('Data Source'!B537="","",'Data Source'!A537)</f>
        <v/>
      </c>
      <c r="B537">
        <f>IF('Data Source'!B537="","",'Data Source'!B537)</f>
        <v/>
      </c>
      <c r="C537" s="3">
        <f>IF('Data Source'!B537="","",IF('Data Source'!U537&gt;=5,"A+",IF('Data Source'!U537&gt;=4,"A",IF('Data Source'!U537&gt;=3.5,"A-",IF('Data Source'!U537&gt;=3,"B",IF('Data Source'!U537&gt;=2,"C",IF('Data Source'!U537&gt;=1,"D","F")))))))</f>
        <v/>
      </c>
      <c r="D537" s="3">
        <f>IF('Data Source'!B537="","",IF('Data Source'!V537&gt;=5,"A+",IF('Data Source'!V537&gt;=4,"A",IF('Data Source'!V537&gt;=3.5,"A-",IF('Data Source'!V537&gt;=3,"B",IF('Data Source'!V537&gt;=2,"C",IF('Data Source'!V537&gt;=1,"D","F")))))))</f>
        <v/>
      </c>
      <c r="E537" s="3">
        <f>IF('Data Source'!B537="","",IF('Data Source'!W537&gt;=5,"A+",IF('Data Source'!W537&gt;=4,"A",IF('Data Source'!W537&gt;=3.5,"A-",IF('Data Source'!W537&gt;=3,"B",IF('Data Source'!W537&gt;=2,"C",IF('Data Source'!W537&gt;=1,"D","F")))))))</f>
        <v/>
      </c>
      <c r="F537" s="3">
        <f>IF('Data Source'!B537="","",IF('Data Source'!X537&gt;=5,"A+",IF('Data Source'!X537&gt;=4,"A",IF('Data Source'!X537&gt;=3.5,"A-",IF('Data Source'!X537&gt;=3,"B",IF('Data Source'!X537&gt;=2,"C",IF('Data Source'!X537&gt;=1,"D","F")))))))</f>
        <v/>
      </c>
      <c r="G537" s="3">
        <f>IF('Data Source'!B537="","",IF('Data Source'!Y537&gt;=5,"A+",IF('Data Source'!Y537&gt;=4,"A",IF('Data Source'!Y537&gt;=3.5,"A-",IF('Data Source'!Y537&gt;=3,"B",IF('Data Source'!Y537&gt;=2,"C",IF('Data Source'!Y537&gt;=1,"D","F")))))))</f>
        <v/>
      </c>
      <c r="H537" s="3">
        <f>IF('Data Source'!B537="","",IF('Data Source'!Z537&gt;=5,"A+",IF('Data Source'!Z537&gt;=4,"A",IF('Data Source'!Z537&gt;=3.5,"A-",IF('Data Source'!Z537&gt;=3,"B",IF('Data Source'!Z537&gt;=2,"C",IF('Data Source'!Z537&gt;=1,"D","F")))))))</f>
        <v/>
      </c>
      <c r="I537" s="3">
        <f>IF('Data Source'!B537="","",IF('Data Source'!AA537&gt;=5,"A+",IF('Data Source'!AA537&gt;=4,"A",IF('Data Source'!AA537&gt;=3.5,"A-",IF('Data Source'!AA537&gt;=3,"B",IF('Data Source'!AA537&gt;=2,"C",IF('Data Source'!AA537&gt;=1,"D","F")))))))</f>
        <v/>
      </c>
      <c r="J537" s="3">
        <f>IF('Data Source'!B537="","",IF('Data Source'!AB537&gt;=5,"A+",IF('Data Source'!AB537&gt;=4,"A",IF('Data Source'!AB537&gt;=3.5,"A-",IF('Data Source'!AB537&gt;=3,"B",IF('Data Source'!AB537&gt;=2,"C",IF('Data Source'!AB537&gt;=1,"D","F")))))))</f>
        <v/>
      </c>
      <c r="K537" s="3">
        <f>IF('Data Source'!B537="","",IF('Data Source'!AC537&gt;=5,"A+",IF('Data Source'!AC537&gt;=4,"A",IF('Data Source'!AC537&gt;=3.5,"A-",IF('Data Source'!AC537&gt;=3,"B",IF('Data Source'!AC537&gt;=2,"C",IF('Data Source'!AC537&gt;=1,"D","F")))))))</f>
        <v/>
      </c>
      <c r="L537" s="3">
        <f>IF('Data Source'!B537="","",IF('Data Source'!AD537&gt;=5,"A+",IF('Data Source'!AD537&gt;=4,"A",IF('Data Source'!AD537&gt;=3.5,"A-",IF('Data Source'!AD537&gt;=3,"B",IF('Data Source'!AD537&gt;=2,"C",IF('Data Source'!AD537&gt;=1,"D","F")))))))</f>
        <v/>
      </c>
      <c r="M537" s="3">
        <f>IF('Data Source'!B537="","",IF('Data Source'!AE537&gt;=5,"A+",IF('Data Source'!AE537&gt;=4,"A",IF('Data Source'!AE537&gt;=3.5,"A-",IF('Data Source'!AE537&gt;=3,"B",IF('Data Source'!AE537&gt;=2,"C",IF('Data Source'!AE537&gt;=1,"D","F")))))))</f>
        <v/>
      </c>
      <c r="N537" s="3">
        <f>IF('Data Source'!B537="","",IF('Data Source'!AF537&gt;=5,"A+",IF('Data Source'!AF537&gt;=4,"A",IF('Data Source'!AF537&gt;=3.5,"A-",IF('Data Source'!AF537&gt;=3,"B",IF('Data Source'!AF537&gt;=2,"C",IF('Data Source'!AF537&gt;=1,"D","F")))))))</f>
        <v/>
      </c>
      <c r="O537" s="3">
        <f>IF('Data Source'!B537="","",IF('Data Source'!AG537&gt;=5,"A+",IF('Data Source'!AG537&gt;=4,"A",IF('Data Source'!AG537&gt;=3.5,"A-",IF('Data Source'!AG537&gt;=3,"B",IF('Data Source'!AG537&gt;=2,"C",IF('Data Source'!AG537&gt;=1,"D","F")))))))</f>
        <v/>
      </c>
      <c r="P537" s="5">
        <f>IF('Data Source'!B537="","",'Data Source'!R537)</f>
        <v/>
      </c>
      <c r="Q537" s="3">
        <f>IF('Data Source'!B537="","",'Data Source'!S537)</f>
        <v/>
      </c>
    </row>
    <row r="538">
      <c r="A538" s="3">
        <f>IF('Data Source'!B538="","",'Data Source'!A538)</f>
        <v/>
      </c>
      <c r="B538">
        <f>IF('Data Source'!B538="","",'Data Source'!B538)</f>
        <v/>
      </c>
      <c r="C538" s="3">
        <f>IF('Data Source'!B538="","",IF('Data Source'!U538&gt;=5,"A+",IF('Data Source'!U538&gt;=4,"A",IF('Data Source'!U538&gt;=3.5,"A-",IF('Data Source'!U538&gt;=3,"B",IF('Data Source'!U538&gt;=2,"C",IF('Data Source'!U538&gt;=1,"D","F")))))))</f>
        <v/>
      </c>
      <c r="D538" s="3">
        <f>IF('Data Source'!B538="","",IF('Data Source'!V538&gt;=5,"A+",IF('Data Source'!V538&gt;=4,"A",IF('Data Source'!V538&gt;=3.5,"A-",IF('Data Source'!V538&gt;=3,"B",IF('Data Source'!V538&gt;=2,"C",IF('Data Source'!V538&gt;=1,"D","F")))))))</f>
        <v/>
      </c>
      <c r="E538" s="3">
        <f>IF('Data Source'!B538="","",IF('Data Source'!W538&gt;=5,"A+",IF('Data Source'!W538&gt;=4,"A",IF('Data Source'!W538&gt;=3.5,"A-",IF('Data Source'!W538&gt;=3,"B",IF('Data Source'!W538&gt;=2,"C",IF('Data Source'!W538&gt;=1,"D","F")))))))</f>
        <v/>
      </c>
      <c r="F538" s="3">
        <f>IF('Data Source'!B538="","",IF('Data Source'!X538&gt;=5,"A+",IF('Data Source'!X538&gt;=4,"A",IF('Data Source'!X538&gt;=3.5,"A-",IF('Data Source'!X538&gt;=3,"B",IF('Data Source'!X538&gt;=2,"C",IF('Data Source'!X538&gt;=1,"D","F")))))))</f>
        <v/>
      </c>
      <c r="G538" s="3">
        <f>IF('Data Source'!B538="","",IF('Data Source'!Y538&gt;=5,"A+",IF('Data Source'!Y538&gt;=4,"A",IF('Data Source'!Y538&gt;=3.5,"A-",IF('Data Source'!Y538&gt;=3,"B",IF('Data Source'!Y538&gt;=2,"C",IF('Data Source'!Y538&gt;=1,"D","F")))))))</f>
        <v/>
      </c>
      <c r="H538" s="3">
        <f>IF('Data Source'!B538="","",IF('Data Source'!Z538&gt;=5,"A+",IF('Data Source'!Z538&gt;=4,"A",IF('Data Source'!Z538&gt;=3.5,"A-",IF('Data Source'!Z538&gt;=3,"B",IF('Data Source'!Z538&gt;=2,"C",IF('Data Source'!Z538&gt;=1,"D","F")))))))</f>
        <v/>
      </c>
      <c r="I538" s="3">
        <f>IF('Data Source'!B538="","",IF('Data Source'!AA538&gt;=5,"A+",IF('Data Source'!AA538&gt;=4,"A",IF('Data Source'!AA538&gt;=3.5,"A-",IF('Data Source'!AA538&gt;=3,"B",IF('Data Source'!AA538&gt;=2,"C",IF('Data Source'!AA538&gt;=1,"D","F")))))))</f>
        <v/>
      </c>
      <c r="J538" s="3">
        <f>IF('Data Source'!B538="","",IF('Data Source'!AB538&gt;=5,"A+",IF('Data Source'!AB538&gt;=4,"A",IF('Data Source'!AB538&gt;=3.5,"A-",IF('Data Source'!AB538&gt;=3,"B",IF('Data Source'!AB538&gt;=2,"C",IF('Data Source'!AB538&gt;=1,"D","F")))))))</f>
        <v/>
      </c>
      <c r="K538" s="3">
        <f>IF('Data Source'!B538="","",IF('Data Source'!AC538&gt;=5,"A+",IF('Data Source'!AC538&gt;=4,"A",IF('Data Source'!AC538&gt;=3.5,"A-",IF('Data Source'!AC538&gt;=3,"B",IF('Data Source'!AC538&gt;=2,"C",IF('Data Source'!AC538&gt;=1,"D","F")))))))</f>
        <v/>
      </c>
      <c r="L538" s="3">
        <f>IF('Data Source'!B538="","",IF('Data Source'!AD538&gt;=5,"A+",IF('Data Source'!AD538&gt;=4,"A",IF('Data Source'!AD538&gt;=3.5,"A-",IF('Data Source'!AD538&gt;=3,"B",IF('Data Source'!AD538&gt;=2,"C",IF('Data Source'!AD538&gt;=1,"D","F")))))))</f>
        <v/>
      </c>
      <c r="M538" s="3">
        <f>IF('Data Source'!B538="","",IF('Data Source'!AE538&gt;=5,"A+",IF('Data Source'!AE538&gt;=4,"A",IF('Data Source'!AE538&gt;=3.5,"A-",IF('Data Source'!AE538&gt;=3,"B",IF('Data Source'!AE538&gt;=2,"C",IF('Data Source'!AE538&gt;=1,"D","F")))))))</f>
        <v/>
      </c>
      <c r="N538" s="3">
        <f>IF('Data Source'!B538="","",IF('Data Source'!AF538&gt;=5,"A+",IF('Data Source'!AF538&gt;=4,"A",IF('Data Source'!AF538&gt;=3.5,"A-",IF('Data Source'!AF538&gt;=3,"B",IF('Data Source'!AF538&gt;=2,"C",IF('Data Source'!AF538&gt;=1,"D","F")))))))</f>
        <v/>
      </c>
      <c r="O538" s="3">
        <f>IF('Data Source'!B538="","",IF('Data Source'!AG538&gt;=5,"A+",IF('Data Source'!AG538&gt;=4,"A",IF('Data Source'!AG538&gt;=3.5,"A-",IF('Data Source'!AG538&gt;=3,"B",IF('Data Source'!AG538&gt;=2,"C",IF('Data Source'!AG538&gt;=1,"D","F")))))))</f>
        <v/>
      </c>
      <c r="P538" s="5">
        <f>IF('Data Source'!B538="","",'Data Source'!R538)</f>
        <v/>
      </c>
      <c r="Q538" s="3">
        <f>IF('Data Source'!B538="","",'Data Source'!S538)</f>
        <v/>
      </c>
    </row>
    <row r="539">
      <c r="A539" s="3">
        <f>IF('Data Source'!B539="","",'Data Source'!A539)</f>
        <v/>
      </c>
      <c r="B539">
        <f>IF('Data Source'!B539="","",'Data Source'!B539)</f>
        <v/>
      </c>
      <c r="C539" s="3">
        <f>IF('Data Source'!B539="","",IF('Data Source'!U539&gt;=5,"A+",IF('Data Source'!U539&gt;=4,"A",IF('Data Source'!U539&gt;=3.5,"A-",IF('Data Source'!U539&gt;=3,"B",IF('Data Source'!U539&gt;=2,"C",IF('Data Source'!U539&gt;=1,"D","F")))))))</f>
        <v/>
      </c>
      <c r="D539" s="3">
        <f>IF('Data Source'!B539="","",IF('Data Source'!V539&gt;=5,"A+",IF('Data Source'!V539&gt;=4,"A",IF('Data Source'!V539&gt;=3.5,"A-",IF('Data Source'!V539&gt;=3,"B",IF('Data Source'!V539&gt;=2,"C",IF('Data Source'!V539&gt;=1,"D","F")))))))</f>
        <v/>
      </c>
      <c r="E539" s="3">
        <f>IF('Data Source'!B539="","",IF('Data Source'!W539&gt;=5,"A+",IF('Data Source'!W539&gt;=4,"A",IF('Data Source'!W539&gt;=3.5,"A-",IF('Data Source'!W539&gt;=3,"B",IF('Data Source'!W539&gt;=2,"C",IF('Data Source'!W539&gt;=1,"D","F")))))))</f>
        <v/>
      </c>
      <c r="F539" s="3">
        <f>IF('Data Source'!B539="","",IF('Data Source'!X539&gt;=5,"A+",IF('Data Source'!X539&gt;=4,"A",IF('Data Source'!X539&gt;=3.5,"A-",IF('Data Source'!X539&gt;=3,"B",IF('Data Source'!X539&gt;=2,"C",IF('Data Source'!X539&gt;=1,"D","F")))))))</f>
        <v/>
      </c>
      <c r="G539" s="3">
        <f>IF('Data Source'!B539="","",IF('Data Source'!Y539&gt;=5,"A+",IF('Data Source'!Y539&gt;=4,"A",IF('Data Source'!Y539&gt;=3.5,"A-",IF('Data Source'!Y539&gt;=3,"B",IF('Data Source'!Y539&gt;=2,"C",IF('Data Source'!Y539&gt;=1,"D","F")))))))</f>
        <v/>
      </c>
      <c r="H539" s="3">
        <f>IF('Data Source'!B539="","",IF('Data Source'!Z539&gt;=5,"A+",IF('Data Source'!Z539&gt;=4,"A",IF('Data Source'!Z539&gt;=3.5,"A-",IF('Data Source'!Z539&gt;=3,"B",IF('Data Source'!Z539&gt;=2,"C",IF('Data Source'!Z539&gt;=1,"D","F")))))))</f>
        <v/>
      </c>
      <c r="I539" s="3">
        <f>IF('Data Source'!B539="","",IF('Data Source'!AA539&gt;=5,"A+",IF('Data Source'!AA539&gt;=4,"A",IF('Data Source'!AA539&gt;=3.5,"A-",IF('Data Source'!AA539&gt;=3,"B",IF('Data Source'!AA539&gt;=2,"C",IF('Data Source'!AA539&gt;=1,"D","F")))))))</f>
        <v/>
      </c>
      <c r="J539" s="3">
        <f>IF('Data Source'!B539="","",IF('Data Source'!AB539&gt;=5,"A+",IF('Data Source'!AB539&gt;=4,"A",IF('Data Source'!AB539&gt;=3.5,"A-",IF('Data Source'!AB539&gt;=3,"B",IF('Data Source'!AB539&gt;=2,"C",IF('Data Source'!AB539&gt;=1,"D","F")))))))</f>
        <v/>
      </c>
      <c r="K539" s="3">
        <f>IF('Data Source'!B539="","",IF('Data Source'!AC539&gt;=5,"A+",IF('Data Source'!AC539&gt;=4,"A",IF('Data Source'!AC539&gt;=3.5,"A-",IF('Data Source'!AC539&gt;=3,"B",IF('Data Source'!AC539&gt;=2,"C",IF('Data Source'!AC539&gt;=1,"D","F")))))))</f>
        <v/>
      </c>
      <c r="L539" s="3">
        <f>IF('Data Source'!B539="","",IF('Data Source'!AD539&gt;=5,"A+",IF('Data Source'!AD539&gt;=4,"A",IF('Data Source'!AD539&gt;=3.5,"A-",IF('Data Source'!AD539&gt;=3,"B",IF('Data Source'!AD539&gt;=2,"C",IF('Data Source'!AD539&gt;=1,"D","F")))))))</f>
        <v/>
      </c>
      <c r="M539" s="3">
        <f>IF('Data Source'!B539="","",IF('Data Source'!AE539&gt;=5,"A+",IF('Data Source'!AE539&gt;=4,"A",IF('Data Source'!AE539&gt;=3.5,"A-",IF('Data Source'!AE539&gt;=3,"B",IF('Data Source'!AE539&gt;=2,"C",IF('Data Source'!AE539&gt;=1,"D","F")))))))</f>
        <v/>
      </c>
      <c r="N539" s="3">
        <f>IF('Data Source'!B539="","",IF('Data Source'!AF539&gt;=5,"A+",IF('Data Source'!AF539&gt;=4,"A",IF('Data Source'!AF539&gt;=3.5,"A-",IF('Data Source'!AF539&gt;=3,"B",IF('Data Source'!AF539&gt;=2,"C",IF('Data Source'!AF539&gt;=1,"D","F")))))))</f>
        <v/>
      </c>
      <c r="O539" s="3">
        <f>IF('Data Source'!B539="","",IF('Data Source'!AG539&gt;=5,"A+",IF('Data Source'!AG539&gt;=4,"A",IF('Data Source'!AG539&gt;=3.5,"A-",IF('Data Source'!AG539&gt;=3,"B",IF('Data Source'!AG539&gt;=2,"C",IF('Data Source'!AG539&gt;=1,"D","F")))))))</f>
        <v/>
      </c>
      <c r="P539" s="5">
        <f>IF('Data Source'!B539="","",'Data Source'!R539)</f>
        <v/>
      </c>
      <c r="Q539" s="3">
        <f>IF('Data Source'!B539="","",'Data Source'!S539)</f>
        <v/>
      </c>
    </row>
    <row r="540">
      <c r="A540" s="3">
        <f>IF('Data Source'!B540="","",'Data Source'!A540)</f>
        <v/>
      </c>
      <c r="B540">
        <f>IF('Data Source'!B540="","",'Data Source'!B540)</f>
        <v/>
      </c>
      <c r="C540" s="3">
        <f>IF('Data Source'!B540="","",IF('Data Source'!U540&gt;=5,"A+",IF('Data Source'!U540&gt;=4,"A",IF('Data Source'!U540&gt;=3.5,"A-",IF('Data Source'!U540&gt;=3,"B",IF('Data Source'!U540&gt;=2,"C",IF('Data Source'!U540&gt;=1,"D","F")))))))</f>
        <v/>
      </c>
      <c r="D540" s="3">
        <f>IF('Data Source'!B540="","",IF('Data Source'!V540&gt;=5,"A+",IF('Data Source'!V540&gt;=4,"A",IF('Data Source'!V540&gt;=3.5,"A-",IF('Data Source'!V540&gt;=3,"B",IF('Data Source'!V540&gt;=2,"C",IF('Data Source'!V540&gt;=1,"D","F")))))))</f>
        <v/>
      </c>
      <c r="E540" s="3">
        <f>IF('Data Source'!B540="","",IF('Data Source'!W540&gt;=5,"A+",IF('Data Source'!W540&gt;=4,"A",IF('Data Source'!W540&gt;=3.5,"A-",IF('Data Source'!W540&gt;=3,"B",IF('Data Source'!W540&gt;=2,"C",IF('Data Source'!W540&gt;=1,"D","F")))))))</f>
        <v/>
      </c>
      <c r="F540" s="3">
        <f>IF('Data Source'!B540="","",IF('Data Source'!X540&gt;=5,"A+",IF('Data Source'!X540&gt;=4,"A",IF('Data Source'!X540&gt;=3.5,"A-",IF('Data Source'!X540&gt;=3,"B",IF('Data Source'!X540&gt;=2,"C",IF('Data Source'!X540&gt;=1,"D","F")))))))</f>
        <v/>
      </c>
      <c r="G540" s="3">
        <f>IF('Data Source'!B540="","",IF('Data Source'!Y540&gt;=5,"A+",IF('Data Source'!Y540&gt;=4,"A",IF('Data Source'!Y540&gt;=3.5,"A-",IF('Data Source'!Y540&gt;=3,"B",IF('Data Source'!Y540&gt;=2,"C",IF('Data Source'!Y540&gt;=1,"D","F")))))))</f>
        <v/>
      </c>
      <c r="H540" s="3">
        <f>IF('Data Source'!B540="","",IF('Data Source'!Z540&gt;=5,"A+",IF('Data Source'!Z540&gt;=4,"A",IF('Data Source'!Z540&gt;=3.5,"A-",IF('Data Source'!Z540&gt;=3,"B",IF('Data Source'!Z540&gt;=2,"C",IF('Data Source'!Z540&gt;=1,"D","F")))))))</f>
        <v/>
      </c>
      <c r="I540" s="3">
        <f>IF('Data Source'!B540="","",IF('Data Source'!AA540&gt;=5,"A+",IF('Data Source'!AA540&gt;=4,"A",IF('Data Source'!AA540&gt;=3.5,"A-",IF('Data Source'!AA540&gt;=3,"B",IF('Data Source'!AA540&gt;=2,"C",IF('Data Source'!AA540&gt;=1,"D","F")))))))</f>
        <v/>
      </c>
      <c r="J540" s="3">
        <f>IF('Data Source'!B540="","",IF('Data Source'!AB540&gt;=5,"A+",IF('Data Source'!AB540&gt;=4,"A",IF('Data Source'!AB540&gt;=3.5,"A-",IF('Data Source'!AB540&gt;=3,"B",IF('Data Source'!AB540&gt;=2,"C",IF('Data Source'!AB540&gt;=1,"D","F")))))))</f>
        <v/>
      </c>
      <c r="K540" s="3">
        <f>IF('Data Source'!B540="","",IF('Data Source'!AC540&gt;=5,"A+",IF('Data Source'!AC540&gt;=4,"A",IF('Data Source'!AC540&gt;=3.5,"A-",IF('Data Source'!AC540&gt;=3,"B",IF('Data Source'!AC540&gt;=2,"C",IF('Data Source'!AC540&gt;=1,"D","F")))))))</f>
        <v/>
      </c>
      <c r="L540" s="3">
        <f>IF('Data Source'!B540="","",IF('Data Source'!AD540&gt;=5,"A+",IF('Data Source'!AD540&gt;=4,"A",IF('Data Source'!AD540&gt;=3.5,"A-",IF('Data Source'!AD540&gt;=3,"B",IF('Data Source'!AD540&gt;=2,"C",IF('Data Source'!AD540&gt;=1,"D","F")))))))</f>
        <v/>
      </c>
      <c r="M540" s="3">
        <f>IF('Data Source'!B540="","",IF('Data Source'!AE540&gt;=5,"A+",IF('Data Source'!AE540&gt;=4,"A",IF('Data Source'!AE540&gt;=3.5,"A-",IF('Data Source'!AE540&gt;=3,"B",IF('Data Source'!AE540&gt;=2,"C",IF('Data Source'!AE540&gt;=1,"D","F")))))))</f>
        <v/>
      </c>
      <c r="N540" s="3">
        <f>IF('Data Source'!B540="","",IF('Data Source'!AF540&gt;=5,"A+",IF('Data Source'!AF540&gt;=4,"A",IF('Data Source'!AF540&gt;=3.5,"A-",IF('Data Source'!AF540&gt;=3,"B",IF('Data Source'!AF540&gt;=2,"C",IF('Data Source'!AF540&gt;=1,"D","F")))))))</f>
        <v/>
      </c>
      <c r="O540" s="3">
        <f>IF('Data Source'!B540="","",IF('Data Source'!AG540&gt;=5,"A+",IF('Data Source'!AG540&gt;=4,"A",IF('Data Source'!AG540&gt;=3.5,"A-",IF('Data Source'!AG540&gt;=3,"B",IF('Data Source'!AG540&gt;=2,"C",IF('Data Source'!AG540&gt;=1,"D","F")))))))</f>
        <v/>
      </c>
      <c r="P540" s="5">
        <f>IF('Data Source'!B540="","",'Data Source'!R540)</f>
        <v/>
      </c>
      <c r="Q540" s="3">
        <f>IF('Data Source'!B540="","",'Data Source'!S540)</f>
        <v/>
      </c>
    </row>
    <row r="541">
      <c r="A541" s="3">
        <f>IF('Data Source'!B541="","",'Data Source'!A541)</f>
        <v/>
      </c>
      <c r="B541">
        <f>IF('Data Source'!B541="","",'Data Source'!B541)</f>
        <v/>
      </c>
      <c r="C541" s="3">
        <f>IF('Data Source'!B541="","",IF('Data Source'!U541&gt;=5,"A+",IF('Data Source'!U541&gt;=4,"A",IF('Data Source'!U541&gt;=3.5,"A-",IF('Data Source'!U541&gt;=3,"B",IF('Data Source'!U541&gt;=2,"C",IF('Data Source'!U541&gt;=1,"D","F")))))))</f>
        <v/>
      </c>
      <c r="D541" s="3">
        <f>IF('Data Source'!B541="","",IF('Data Source'!V541&gt;=5,"A+",IF('Data Source'!V541&gt;=4,"A",IF('Data Source'!V541&gt;=3.5,"A-",IF('Data Source'!V541&gt;=3,"B",IF('Data Source'!V541&gt;=2,"C",IF('Data Source'!V541&gt;=1,"D","F")))))))</f>
        <v/>
      </c>
      <c r="E541" s="3">
        <f>IF('Data Source'!B541="","",IF('Data Source'!W541&gt;=5,"A+",IF('Data Source'!W541&gt;=4,"A",IF('Data Source'!W541&gt;=3.5,"A-",IF('Data Source'!W541&gt;=3,"B",IF('Data Source'!W541&gt;=2,"C",IF('Data Source'!W541&gt;=1,"D","F")))))))</f>
        <v/>
      </c>
      <c r="F541" s="3">
        <f>IF('Data Source'!B541="","",IF('Data Source'!X541&gt;=5,"A+",IF('Data Source'!X541&gt;=4,"A",IF('Data Source'!X541&gt;=3.5,"A-",IF('Data Source'!X541&gt;=3,"B",IF('Data Source'!X541&gt;=2,"C",IF('Data Source'!X541&gt;=1,"D","F")))))))</f>
        <v/>
      </c>
      <c r="G541" s="3">
        <f>IF('Data Source'!B541="","",IF('Data Source'!Y541&gt;=5,"A+",IF('Data Source'!Y541&gt;=4,"A",IF('Data Source'!Y541&gt;=3.5,"A-",IF('Data Source'!Y541&gt;=3,"B",IF('Data Source'!Y541&gt;=2,"C",IF('Data Source'!Y541&gt;=1,"D","F")))))))</f>
        <v/>
      </c>
      <c r="H541" s="3">
        <f>IF('Data Source'!B541="","",IF('Data Source'!Z541&gt;=5,"A+",IF('Data Source'!Z541&gt;=4,"A",IF('Data Source'!Z541&gt;=3.5,"A-",IF('Data Source'!Z541&gt;=3,"B",IF('Data Source'!Z541&gt;=2,"C",IF('Data Source'!Z541&gt;=1,"D","F")))))))</f>
        <v/>
      </c>
      <c r="I541" s="3">
        <f>IF('Data Source'!B541="","",IF('Data Source'!AA541&gt;=5,"A+",IF('Data Source'!AA541&gt;=4,"A",IF('Data Source'!AA541&gt;=3.5,"A-",IF('Data Source'!AA541&gt;=3,"B",IF('Data Source'!AA541&gt;=2,"C",IF('Data Source'!AA541&gt;=1,"D","F")))))))</f>
        <v/>
      </c>
      <c r="J541" s="3">
        <f>IF('Data Source'!B541="","",IF('Data Source'!AB541&gt;=5,"A+",IF('Data Source'!AB541&gt;=4,"A",IF('Data Source'!AB541&gt;=3.5,"A-",IF('Data Source'!AB541&gt;=3,"B",IF('Data Source'!AB541&gt;=2,"C",IF('Data Source'!AB541&gt;=1,"D","F")))))))</f>
        <v/>
      </c>
      <c r="K541" s="3">
        <f>IF('Data Source'!B541="","",IF('Data Source'!AC541&gt;=5,"A+",IF('Data Source'!AC541&gt;=4,"A",IF('Data Source'!AC541&gt;=3.5,"A-",IF('Data Source'!AC541&gt;=3,"B",IF('Data Source'!AC541&gt;=2,"C",IF('Data Source'!AC541&gt;=1,"D","F")))))))</f>
        <v/>
      </c>
      <c r="L541" s="3">
        <f>IF('Data Source'!B541="","",IF('Data Source'!AD541&gt;=5,"A+",IF('Data Source'!AD541&gt;=4,"A",IF('Data Source'!AD541&gt;=3.5,"A-",IF('Data Source'!AD541&gt;=3,"B",IF('Data Source'!AD541&gt;=2,"C",IF('Data Source'!AD541&gt;=1,"D","F")))))))</f>
        <v/>
      </c>
      <c r="M541" s="3">
        <f>IF('Data Source'!B541="","",IF('Data Source'!AE541&gt;=5,"A+",IF('Data Source'!AE541&gt;=4,"A",IF('Data Source'!AE541&gt;=3.5,"A-",IF('Data Source'!AE541&gt;=3,"B",IF('Data Source'!AE541&gt;=2,"C",IF('Data Source'!AE541&gt;=1,"D","F")))))))</f>
        <v/>
      </c>
      <c r="N541" s="3">
        <f>IF('Data Source'!B541="","",IF('Data Source'!AF541&gt;=5,"A+",IF('Data Source'!AF541&gt;=4,"A",IF('Data Source'!AF541&gt;=3.5,"A-",IF('Data Source'!AF541&gt;=3,"B",IF('Data Source'!AF541&gt;=2,"C",IF('Data Source'!AF541&gt;=1,"D","F")))))))</f>
        <v/>
      </c>
      <c r="O541" s="3">
        <f>IF('Data Source'!B541="","",IF('Data Source'!AG541&gt;=5,"A+",IF('Data Source'!AG541&gt;=4,"A",IF('Data Source'!AG541&gt;=3.5,"A-",IF('Data Source'!AG541&gt;=3,"B",IF('Data Source'!AG541&gt;=2,"C",IF('Data Source'!AG541&gt;=1,"D","F")))))))</f>
        <v/>
      </c>
      <c r="P541" s="5">
        <f>IF('Data Source'!B541="","",'Data Source'!R541)</f>
        <v/>
      </c>
      <c r="Q541" s="3">
        <f>IF('Data Source'!B541="","",'Data Source'!S541)</f>
        <v/>
      </c>
    </row>
    <row r="542">
      <c r="A542" s="3">
        <f>IF('Data Source'!B542="","",'Data Source'!A542)</f>
        <v/>
      </c>
      <c r="B542">
        <f>IF('Data Source'!B542="","",'Data Source'!B542)</f>
        <v/>
      </c>
      <c r="C542" s="3">
        <f>IF('Data Source'!B542="","",IF('Data Source'!U542&gt;=5,"A+",IF('Data Source'!U542&gt;=4,"A",IF('Data Source'!U542&gt;=3.5,"A-",IF('Data Source'!U542&gt;=3,"B",IF('Data Source'!U542&gt;=2,"C",IF('Data Source'!U542&gt;=1,"D","F")))))))</f>
        <v/>
      </c>
      <c r="D542" s="3">
        <f>IF('Data Source'!B542="","",IF('Data Source'!V542&gt;=5,"A+",IF('Data Source'!V542&gt;=4,"A",IF('Data Source'!V542&gt;=3.5,"A-",IF('Data Source'!V542&gt;=3,"B",IF('Data Source'!V542&gt;=2,"C",IF('Data Source'!V542&gt;=1,"D","F")))))))</f>
        <v/>
      </c>
      <c r="E542" s="3">
        <f>IF('Data Source'!B542="","",IF('Data Source'!W542&gt;=5,"A+",IF('Data Source'!W542&gt;=4,"A",IF('Data Source'!W542&gt;=3.5,"A-",IF('Data Source'!W542&gt;=3,"B",IF('Data Source'!W542&gt;=2,"C",IF('Data Source'!W542&gt;=1,"D","F")))))))</f>
        <v/>
      </c>
      <c r="F542" s="3">
        <f>IF('Data Source'!B542="","",IF('Data Source'!X542&gt;=5,"A+",IF('Data Source'!X542&gt;=4,"A",IF('Data Source'!X542&gt;=3.5,"A-",IF('Data Source'!X542&gt;=3,"B",IF('Data Source'!X542&gt;=2,"C",IF('Data Source'!X542&gt;=1,"D","F")))))))</f>
        <v/>
      </c>
      <c r="G542" s="3">
        <f>IF('Data Source'!B542="","",IF('Data Source'!Y542&gt;=5,"A+",IF('Data Source'!Y542&gt;=4,"A",IF('Data Source'!Y542&gt;=3.5,"A-",IF('Data Source'!Y542&gt;=3,"B",IF('Data Source'!Y542&gt;=2,"C",IF('Data Source'!Y542&gt;=1,"D","F")))))))</f>
        <v/>
      </c>
      <c r="H542" s="3">
        <f>IF('Data Source'!B542="","",IF('Data Source'!Z542&gt;=5,"A+",IF('Data Source'!Z542&gt;=4,"A",IF('Data Source'!Z542&gt;=3.5,"A-",IF('Data Source'!Z542&gt;=3,"B",IF('Data Source'!Z542&gt;=2,"C",IF('Data Source'!Z542&gt;=1,"D","F")))))))</f>
        <v/>
      </c>
      <c r="I542" s="3">
        <f>IF('Data Source'!B542="","",IF('Data Source'!AA542&gt;=5,"A+",IF('Data Source'!AA542&gt;=4,"A",IF('Data Source'!AA542&gt;=3.5,"A-",IF('Data Source'!AA542&gt;=3,"B",IF('Data Source'!AA542&gt;=2,"C",IF('Data Source'!AA542&gt;=1,"D","F")))))))</f>
        <v/>
      </c>
      <c r="J542" s="3">
        <f>IF('Data Source'!B542="","",IF('Data Source'!AB542&gt;=5,"A+",IF('Data Source'!AB542&gt;=4,"A",IF('Data Source'!AB542&gt;=3.5,"A-",IF('Data Source'!AB542&gt;=3,"B",IF('Data Source'!AB542&gt;=2,"C",IF('Data Source'!AB542&gt;=1,"D","F")))))))</f>
        <v/>
      </c>
      <c r="K542" s="3">
        <f>IF('Data Source'!B542="","",IF('Data Source'!AC542&gt;=5,"A+",IF('Data Source'!AC542&gt;=4,"A",IF('Data Source'!AC542&gt;=3.5,"A-",IF('Data Source'!AC542&gt;=3,"B",IF('Data Source'!AC542&gt;=2,"C",IF('Data Source'!AC542&gt;=1,"D","F")))))))</f>
        <v/>
      </c>
      <c r="L542" s="3">
        <f>IF('Data Source'!B542="","",IF('Data Source'!AD542&gt;=5,"A+",IF('Data Source'!AD542&gt;=4,"A",IF('Data Source'!AD542&gt;=3.5,"A-",IF('Data Source'!AD542&gt;=3,"B",IF('Data Source'!AD542&gt;=2,"C",IF('Data Source'!AD542&gt;=1,"D","F")))))))</f>
        <v/>
      </c>
      <c r="M542" s="3">
        <f>IF('Data Source'!B542="","",IF('Data Source'!AE542&gt;=5,"A+",IF('Data Source'!AE542&gt;=4,"A",IF('Data Source'!AE542&gt;=3.5,"A-",IF('Data Source'!AE542&gt;=3,"B",IF('Data Source'!AE542&gt;=2,"C",IF('Data Source'!AE542&gt;=1,"D","F")))))))</f>
        <v/>
      </c>
      <c r="N542" s="3">
        <f>IF('Data Source'!B542="","",IF('Data Source'!AF542&gt;=5,"A+",IF('Data Source'!AF542&gt;=4,"A",IF('Data Source'!AF542&gt;=3.5,"A-",IF('Data Source'!AF542&gt;=3,"B",IF('Data Source'!AF542&gt;=2,"C",IF('Data Source'!AF542&gt;=1,"D","F")))))))</f>
        <v/>
      </c>
      <c r="O542" s="3">
        <f>IF('Data Source'!B542="","",IF('Data Source'!AG542&gt;=5,"A+",IF('Data Source'!AG542&gt;=4,"A",IF('Data Source'!AG542&gt;=3.5,"A-",IF('Data Source'!AG542&gt;=3,"B",IF('Data Source'!AG542&gt;=2,"C",IF('Data Source'!AG542&gt;=1,"D","F")))))))</f>
        <v/>
      </c>
      <c r="P542" s="5">
        <f>IF('Data Source'!B542="","",'Data Source'!R542)</f>
        <v/>
      </c>
      <c r="Q542" s="3">
        <f>IF('Data Source'!B542="","",'Data Source'!S542)</f>
        <v/>
      </c>
    </row>
    <row r="543">
      <c r="A543" s="3">
        <f>IF('Data Source'!B543="","",'Data Source'!A543)</f>
        <v/>
      </c>
      <c r="B543">
        <f>IF('Data Source'!B543="","",'Data Source'!B543)</f>
        <v/>
      </c>
      <c r="C543" s="3">
        <f>IF('Data Source'!B543="","",IF('Data Source'!U543&gt;=5,"A+",IF('Data Source'!U543&gt;=4,"A",IF('Data Source'!U543&gt;=3.5,"A-",IF('Data Source'!U543&gt;=3,"B",IF('Data Source'!U543&gt;=2,"C",IF('Data Source'!U543&gt;=1,"D","F")))))))</f>
        <v/>
      </c>
      <c r="D543" s="3">
        <f>IF('Data Source'!B543="","",IF('Data Source'!V543&gt;=5,"A+",IF('Data Source'!V543&gt;=4,"A",IF('Data Source'!V543&gt;=3.5,"A-",IF('Data Source'!V543&gt;=3,"B",IF('Data Source'!V543&gt;=2,"C",IF('Data Source'!V543&gt;=1,"D","F")))))))</f>
        <v/>
      </c>
      <c r="E543" s="3">
        <f>IF('Data Source'!B543="","",IF('Data Source'!W543&gt;=5,"A+",IF('Data Source'!W543&gt;=4,"A",IF('Data Source'!W543&gt;=3.5,"A-",IF('Data Source'!W543&gt;=3,"B",IF('Data Source'!W543&gt;=2,"C",IF('Data Source'!W543&gt;=1,"D","F")))))))</f>
        <v/>
      </c>
      <c r="F543" s="3">
        <f>IF('Data Source'!B543="","",IF('Data Source'!X543&gt;=5,"A+",IF('Data Source'!X543&gt;=4,"A",IF('Data Source'!X543&gt;=3.5,"A-",IF('Data Source'!X543&gt;=3,"B",IF('Data Source'!X543&gt;=2,"C",IF('Data Source'!X543&gt;=1,"D","F")))))))</f>
        <v/>
      </c>
      <c r="G543" s="3">
        <f>IF('Data Source'!B543="","",IF('Data Source'!Y543&gt;=5,"A+",IF('Data Source'!Y543&gt;=4,"A",IF('Data Source'!Y543&gt;=3.5,"A-",IF('Data Source'!Y543&gt;=3,"B",IF('Data Source'!Y543&gt;=2,"C",IF('Data Source'!Y543&gt;=1,"D","F")))))))</f>
        <v/>
      </c>
      <c r="H543" s="3">
        <f>IF('Data Source'!B543="","",IF('Data Source'!Z543&gt;=5,"A+",IF('Data Source'!Z543&gt;=4,"A",IF('Data Source'!Z543&gt;=3.5,"A-",IF('Data Source'!Z543&gt;=3,"B",IF('Data Source'!Z543&gt;=2,"C",IF('Data Source'!Z543&gt;=1,"D","F")))))))</f>
        <v/>
      </c>
      <c r="I543" s="3">
        <f>IF('Data Source'!B543="","",IF('Data Source'!AA543&gt;=5,"A+",IF('Data Source'!AA543&gt;=4,"A",IF('Data Source'!AA543&gt;=3.5,"A-",IF('Data Source'!AA543&gt;=3,"B",IF('Data Source'!AA543&gt;=2,"C",IF('Data Source'!AA543&gt;=1,"D","F")))))))</f>
        <v/>
      </c>
      <c r="J543" s="3">
        <f>IF('Data Source'!B543="","",IF('Data Source'!AB543&gt;=5,"A+",IF('Data Source'!AB543&gt;=4,"A",IF('Data Source'!AB543&gt;=3.5,"A-",IF('Data Source'!AB543&gt;=3,"B",IF('Data Source'!AB543&gt;=2,"C",IF('Data Source'!AB543&gt;=1,"D","F")))))))</f>
        <v/>
      </c>
      <c r="K543" s="3">
        <f>IF('Data Source'!B543="","",IF('Data Source'!AC543&gt;=5,"A+",IF('Data Source'!AC543&gt;=4,"A",IF('Data Source'!AC543&gt;=3.5,"A-",IF('Data Source'!AC543&gt;=3,"B",IF('Data Source'!AC543&gt;=2,"C",IF('Data Source'!AC543&gt;=1,"D","F")))))))</f>
        <v/>
      </c>
      <c r="L543" s="3">
        <f>IF('Data Source'!B543="","",IF('Data Source'!AD543&gt;=5,"A+",IF('Data Source'!AD543&gt;=4,"A",IF('Data Source'!AD543&gt;=3.5,"A-",IF('Data Source'!AD543&gt;=3,"B",IF('Data Source'!AD543&gt;=2,"C",IF('Data Source'!AD543&gt;=1,"D","F")))))))</f>
        <v/>
      </c>
      <c r="M543" s="3">
        <f>IF('Data Source'!B543="","",IF('Data Source'!AE543&gt;=5,"A+",IF('Data Source'!AE543&gt;=4,"A",IF('Data Source'!AE543&gt;=3.5,"A-",IF('Data Source'!AE543&gt;=3,"B",IF('Data Source'!AE543&gt;=2,"C",IF('Data Source'!AE543&gt;=1,"D","F")))))))</f>
        <v/>
      </c>
      <c r="N543" s="3">
        <f>IF('Data Source'!B543="","",IF('Data Source'!AF543&gt;=5,"A+",IF('Data Source'!AF543&gt;=4,"A",IF('Data Source'!AF543&gt;=3.5,"A-",IF('Data Source'!AF543&gt;=3,"B",IF('Data Source'!AF543&gt;=2,"C",IF('Data Source'!AF543&gt;=1,"D","F")))))))</f>
        <v/>
      </c>
      <c r="O543" s="3">
        <f>IF('Data Source'!B543="","",IF('Data Source'!AG543&gt;=5,"A+",IF('Data Source'!AG543&gt;=4,"A",IF('Data Source'!AG543&gt;=3.5,"A-",IF('Data Source'!AG543&gt;=3,"B",IF('Data Source'!AG543&gt;=2,"C",IF('Data Source'!AG543&gt;=1,"D","F")))))))</f>
        <v/>
      </c>
      <c r="P543" s="5">
        <f>IF('Data Source'!B543="","",'Data Source'!R543)</f>
        <v/>
      </c>
      <c r="Q543" s="3">
        <f>IF('Data Source'!B543="","",'Data Source'!S543)</f>
        <v/>
      </c>
    </row>
    <row r="544">
      <c r="A544" s="3">
        <f>IF('Data Source'!B544="","",'Data Source'!A544)</f>
        <v/>
      </c>
      <c r="B544">
        <f>IF('Data Source'!B544="","",'Data Source'!B544)</f>
        <v/>
      </c>
      <c r="C544" s="3">
        <f>IF('Data Source'!B544="","",IF('Data Source'!U544&gt;=5,"A+",IF('Data Source'!U544&gt;=4,"A",IF('Data Source'!U544&gt;=3.5,"A-",IF('Data Source'!U544&gt;=3,"B",IF('Data Source'!U544&gt;=2,"C",IF('Data Source'!U544&gt;=1,"D","F")))))))</f>
        <v/>
      </c>
      <c r="D544" s="3">
        <f>IF('Data Source'!B544="","",IF('Data Source'!V544&gt;=5,"A+",IF('Data Source'!V544&gt;=4,"A",IF('Data Source'!V544&gt;=3.5,"A-",IF('Data Source'!V544&gt;=3,"B",IF('Data Source'!V544&gt;=2,"C",IF('Data Source'!V544&gt;=1,"D","F")))))))</f>
        <v/>
      </c>
      <c r="E544" s="3">
        <f>IF('Data Source'!B544="","",IF('Data Source'!W544&gt;=5,"A+",IF('Data Source'!W544&gt;=4,"A",IF('Data Source'!W544&gt;=3.5,"A-",IF('Data Source'!W544&gt;=3,"B",IF('Data Source'!W544&gt;=2,"C",IF('Data Source'!W544&gt;=1,"D","F")))))))</f>
        <v/>
      </c>
      <c r="F544" s="3">
        <f>IF('Data Source'!B544="","",IF('Data Source'!X544&gt;=5,"A+",IF('Data Source'!X544&gt;=4,"A",IF('Data Source'!X544&gt;=3.5,"A-",IF('Data Source'!X544&gt;=3,"B",IF('Data Source'!X544&gt;=2,"C",IF('Data Source'!X544&gt;=1,"D","F")))))))</f>
        <v/>
      </c>
      <c r="G544" s="3">
        <f>IF('Data Source'!B544="","",IF('Data Source'!Y544&gt;=5,"A+",IF('Data Source'!Y544&gt;=4,"A",IF('Data Source'!Y544&gt;=3.5,"A-",IF('Data Source'!Y544&gt;=3,"B",IF('Data Source'!Y544&gt;=2,"C",IF('Data Source'!Y544&gt;=1,"D","F")))))))</f>
        <v/>
      </c>
      <c r="H544" s="3">
        <f>IF('Data Source'!B544="","",IF('Data Source'!Z544&gt;=5,"A+",IF('Data Source'!Z544&gt;=4,"A",IF('Data Source'!Z544&gt;=3.5,"A-",IF('Data Source'!Z544&gt;=3,"B",IF('Data Source'!Z544&gt;=2,"C",IF('Data Source'!Z544&gt;=1,"D","F")))))))</f>
        <v/>
      </c>
      <c r="I544" s="3">
        <f>IF('Data Source'!B544="","",IF('Data Source'!AA544&gt;=5,"A+",IF('Data Source'!AA544&gt;=4,"A",IF('Data Source'!AA544&gt;=3.5,"A-",IF('Data Source'!AA544&gt;=3,"B",IF('Data Source'!AA544&gt;=2,"C",IF('Data Source'!AA544&gt;=1,"D","F")))))))</f>
        <v/>
      </c>
      <c r="J544" s="3">
        <f>IF('Data Source'!B544="","",IF('Data Source'!AB544&gt;=5,"A+",IF('Data Source'!AB544&gt;=4,"A",IF('Data Source'!AB544&gt;=3.5,"A-",IF('Data Source'!AB544&gt;=3,"B",IF('Data Source'!AB544&gt;=2,"C",IF('Data Source'!AB544&gt;=1,"D","F")))))))</f>
        <v/>
      </c>
      <c r="K544" s="3">
        <f>IF('Data Source'!B544="","",IF('Data Source'!AC544&gt;=5,"A+",IF('Data Source'!AC544&gt;=4,"A",IF('Data Source'!AC544&gt;=3.5,"A-",IF('Data Source'!AC544&gt;=3,"B",IF('Data Source'!AC544&gt;=2,"C",IF('Data Source'!AC544&gt;=1,"D","F")))))))</f>
        <v/>
      </c>
      <c r="L544" s="3">
        <f>IF('Data Source'!B544="","",IF('Data Source'!AD544&gt;=5,"A+",IF('Data Source'!AD544&gt;=4,"A",IF('Data Source'!AD544&gt;=3.5,"A-",IF('Data Source'!AD544&gt;=3,"B",IF('Data Source'!AD544&gt;=2,"C",IF('Data Source'!AD544&gt;=1,"D","F")))))))</f>
        <v/>
      </c>
      <c r="M544" s="3">
        <f>IF('Data Source'!B544="","",IF('Data Source'!AE544&gt;=5,"A+",IF('Data Source'!AE544&gt;=4,"A",IF('Data Source'!AE544&gt;=3.5,"A-",IF('Data Source'!AE544&gt;=3,"B",IF('Data Source'!AE544&gt;=2,"C",IF('Data Source'!AE544&gt;=1,"D","F")))))))</f>
        <v/>
      </c>
      <c r="N544" s="3">
        <f>IF('Data Source'!B544="","",IF('Data Source'!AF544&gt;=5,"A+",IF('Data Source'!AF544&gt;=4,"A",IF('Data Source'!AF544&gt;=3.5,"A-",IF('Data Source'!AF544&gt;=3,"B",IF('Data Source'!AF544&gt;=2,"C",IF('Data Source'!AF544&gt;=1,"D","F")))))))</f>
        <v/>
      </c>
      <c r="O544" s="3">
        <f>IF('Data Source'!B544="","",IF('Data Source'!AG544&gt;=5,"A+",IF('Data Source'!AG544&gt;=4,"A",IF('Data Source'!AG544&gt;=3.5,"A-",IF('Data Source'!AG544&gt;=3,"B",IF('Data Source'!AG544&gt;=2,"C",IF('Data Source'!AG544&gt;=1,"D","F")))))))</f>
        <v/>
      </c>
      <c r="P544" s="5">
        <f>IF('Data Source'!B544="","",'Data Source'!R544)</f>
        <v/>
      </c>
      <c r="Q544" s="3">
        <f>IF('Data Source'!B544="","",'Data Source'!S544)</f>
        <v/>
      </c>
    </row>
    <row r="545">
      <c r="A545" s="3">
        <f>IF('Data Source'!B545="","",'Data Source'!A545)</f>
        <v/>
      </c>
      <c r="B545">
        <f>IF('Data Source'!B545="","",'Data Source'!B545)</f>
        <v/>
      </c>
      <c r="C545" s="3">
        <f>IF('Data Source'!B545="","",IF('Data Source'!U545&gt;=5,"A+",IF('Data Source'!U545&gt;=4,"A",IF('Data Source'!U545&gt;=3.5,"A-",IF('Data Source'!U545&gt;=3,"B",IF('Data Source'!U545&gt;=2,"C",IF('Data Source'!U545&gt;=1,"D","F")))))))</f>
        <v/>
      </c>
      <c r="D545" s="3">
        <f>IF('Data Source'!B545="","",IF('Data Source'!V545&gt;=5,"A+",IF('Data Source'!V545&gt;=4,"A",IF('Data Source'!V545&gt;=3.5,"A-",IF('Data Source'!V545&gt;=3,"B",IF('Data Source'!V545&gt;=2,"C",IF('Data Source'!V545&gt;=1,"D","F")))))))</f>
        <v/>
      </c>
      <c r="E545" s="3">
        <f>IF('Data Source'!B545="","",IF('Data Source'!W545&gt;=5,"A+",IF('Data Source'!W545&gt;=4,"A",IF('Data Source'!W545&gt;=3.5,"A-",IF('Data Source'!W545&gt;=3,"B",IF('Data Source'!W545&gt;=2,"C",IF('Data Source'!W545&gt;=1,"D","F")))))))</f>
        <v/>
      </c>
      <c r="F545" s="3">
        <f>IF('Data Source'!B545="","",IF('Data Source'!X545&gt;=5,"A+",IF('Data Source'!X545&gt;=4,"A",IF('Data Source'!X545&gt;=3.5,"A-",IF('Data Source'!X545&gt;=3,"B",IF('Data Source'!X545&gt;=2,"C",IF('Data Source'!X545&gt;=1,"D","F")))))))</f>
        <v/>
      </c>
      <c r="G545" s="3">
        <f>IF('Data Source'!B545="","",IF('Data Source'!Y545&gt;=5,"A+",IF('Data Source'!Y545&gt;=4,"A",IF('Data Source'!Y545&gt;=3.5,"A-",IF('Data Source'!Y545&gt;=3,"B",IF('Data Source'!Y545&gt;=2,"C",IF('Data Source'!Y545&gt;=1,"D","F")))))))</f>
        <v/>
      </c>
      <c r="H545" s="3">
        <f>IF('Data Source'!B545="","",IF('Data Source'!Z545&gt;=5,"A+",IF('Data Source'!Z545&gt;=4,"A",IF('Data Source'!Z545&gt;=3.5,"A-",IF('Data Source'!Z545&gt;=3,"B",IF('Data Source'!Z545&gt;=2,"C",IF('Data Source'!Z545&gt;=1,"D","F")))))))</f>
        <v/>
      </c>
      <c r="I545" s="3">
        <f>IF('Data Source'!B545="","",IF('Data Source'!AA545&gt;=5,"A+",IF('Data Source'!AA545&gt;=4,"A",IF('Data Source'!AA545&gt;=3.5,"A-",IF('Data Source'!AA545&gt;=3,"B",IF('Data Source'!AA545&gt;=2,"C",IF('Data Source'!AA545&gt;=1,"D","F")))))))</f>
        <v/>
      </c>
      <c r="J545" s="3">
        <f>IF('Data Source'!B545="","",IF('Data Source'!AB545&gt;=5,"A+",IF('Data Source'!AB545&gt;=4,"A",IF('Data Source'!AB545&gt;=3.5,"A-",IF('Data Source'!AB545&gt;=3,"B",IF('Data Source'!AB545&gt;=2,"C",IF('Data Source'!AB545&gt;=1,"D","F")))))))</f>
        <v/>
      </c>
      <c r="K545" s="3">
        <f>IF('Data Source'!B545="","",IF('Data Source'!AC545&gt;=5,"A+",IF('Data Source'!AC545&gt;=4,"A",IF('Data Source'!AC545&gt;=3.5,"A-",IF('Data Source'!AC545&gt;=3,"B",IF('Data Source'!AC545&gt;=2,"C",IF('Data Source'!AC545&gt;=1,"D","F")))))))</f>
        <v/>
      </c>
      <c r="L545" s="3">
        <f>IF('Data Source'!B545="","",IF('Data Source'!AD545&gt;=5,"A+",IF('Data Source'!AD545&gt;=4,"A",IF('Data Source'!AD545&gt;=3.5,"A-",IF('Data Source'!AD545&gt;=3,"B",IF('Data Source'!AD545&gt;=2,"C",IF('Data Source'!AD545&gt;=1,"D","F")))))))</f>
        <v/>
      </c>
      <c r="M545" s="3">
        <f>IF('Data Source'!B545="","",IF('Data Source'!AE545&gt;=5,"A+",IF('Data Source'!AE545&gt;=4,"A",IF('Data Source'!AE545&gt;=3.5,"A-",IF('Data Source'!AE545&gt;=3,"B",IF('Data Source'!AE545&gt;=2,"C",IF('Data Source'!AE545&gt;=1,"D","F")))))))</f>
        <v/>
      </c>
      <c r="N545" s="3">
        <f>IF('Data Source'!B545="","",IF('Data Source'!AF545&gt;=5,"A+",IF('Data Source'!AF545&gt;=4,"A",IF('Data Source'!AF545&gt;=3.5,"A-",IF('Data Source'!AF545&gt;=3,"B",IF('Data Source'!AF545&gt;=2,"C",IF('Data Source'!AF545&gt;=1,"D","F")))))))</f>
        <v/>
      </c>
      <c r="O545" s="3">
        <f>IF('Data Source'!B545="","",IF('Data Source'!AG545&gt;=5,"A+",IF('Data Source'!AG545&gt;=4,"A",IF('Data Source'!AG545&gt;=3.5,"A-",IF('Data Source'!AG545&gt;=3,"B",IF('Data Source'!AG545&gt;=2,"C",IF('Data Source'!AG545&gt;=1,"D","F")))))))</f>
        <v/>
      </c>
      <c r="P545" s="5">
        <f>IF('Data Source'!B545="","",'Data Source'!R545)</f>
        <v/>
      </c>
      <c r="Q545" s="3">
        <f>IF('Data Source'!B545="","",'Data Source'!S545)</f>
        <v/>
      </c>
    </row>
    <row r="546">
      <c r="A546" s="3">
        <f>IF('Data Source'!B546="","",'Data Source'!A546)</f>
        <v/>
      </c>
      <c r="B546">
        <f>IF('Data Source'!B546="","",'Data Source'!B546)</f>
        <v/>
      </c>
      <c r="C546" s="3">
        <f>IF('Data Source'!B546="","",IF('Data Source'!U546&gt;=5,"A+",IF('Data Source'!U546&gt;=4,"A",IF('Data Source'!U546&gt;=3.5,"A-",IF('Data Source'!U546&gt;=3,"B",IF('Data Source'!U546&gt;=2,"C",IF('Data Source'!U546&gt;=1,"D","F")))))))</f>
        <v/>
      </c>
      <c r="D546" s="3">
        <f>IF('Data Source'!B546="","",IF('Data Source'!V546&gt;=5,"A+",IF('Data Source'!V546&gt;=4,"A",IF('Data Source'!V546&gt;=3.5,"A-",IF('Data Source'!V546&gt;=3,"B",IF('Data Source'!V546&gt;=2,"C",IF('Data Source'!V546&gt;=1,"D","F")))))))</f>
        <v/>
      </c>
      <c r="E546" s="3">
        <f>IF('Data Source'!B546="","",IF('Data Source'!W546&gt;=5,"A+",IF('Data Source'!W546&gt;=4,"A",IF('Data Source'!W546&gt;=3.5,"A-",IF('Data Source'!W546&gt;=3,"B",IF('Data Source'!W546&gt;=2,"C",IF('Data Source'!W546&gt;=1,"D","F")))))))</f>
        <v/>
      </c>
      <c r="F546" s="3">
        <f>IF('Data Source'!B546="","",IF('Data Source'!X546&gt;=5,"A+",IF('Data Source'!X546&gt;=4,"A",IF('Data Source'!X546&gt;=3.5,"A-",IF('Data Source'!X546&gt;=3,"B",IF('Data Source'!X546&gt;=2,"C",IF('Data Source'!X546&gt;=1,"D","F")))))))</f>
        <v/>
      </c>
      <c r="G546" s="3">
        <f>IF('Data Source'!B546="","",IF('Data Source'!Y546&gt;=5,"A+",IF('Data Source'!Y546&gt;=4,"A",IF('Data Source'!Y546&gt;=3.5,"A-",IF('Data Source'!Y546&gt;=3,"B",IF('Data Source'!Y546&gt;=2,"C",IF('Data Source'!Y546&gt;=1,"D","F")))))))</f>
        <v/>
      </c>
      <c r="H546" s="3">
        <f>IF('Data Source'!B546="","",IF('Data Source'!Z546&gt;=5,"A+",IF('Data Source'!Z546&gt;=4,"A",IF('Data Source'!Z546&gt;=3.5,"A-",IF('Data Source'!Z546&gt;=3,"B",IF('Data Source'!Z546&gt;=2,"C",IF('Data Source'!Z546&gt;=1,"D","F")))))))</f>
        <v/>
      </c>
      <c r="I546" s="3">
        <f>IF('Data Source'!B546="","",IF('Data Source'!AA546&gt;=5,"A+",IF('Data Source'!AA546&gt;=4,"A",IF('Data Source'!AA546&gt;=3.5,"A-",IF('Data Source'!AA546&gt;=3,"B",IF('Data Source'!AA546&gt;=2,"C",IF('Data Source'!AA546&gt;=1,"D","F")))))))</f>
        <v/>
      </c>
      <c r="J546" s="3">
        <f>IF('Data Source'!B546="","",IF('Data Source'!AB546&gt;=5,"A+",IF('Data Source'!AB546&gt;=4,"A",IF('Data Source'!AB546&gt;=3.5,"A-",IF('Data Source'!AB546&gt;=3,"B",IF('Data Source'!AB546&gt;=2,"C",IF('Data Source'!AB546&gt;=1,"D","F")))))))</f>
        <v/>
      </c>
      <c r="K546" s="3">
        <f>IF('Data Source'!B546="","",IF('Data Source'!AC546&gt;=5,"A+",IF('Data Source'!AC546&gt;=4,"A",IF('Data Source'!AC546&gt;=3.5,"A-",IF('Data Source'!AC546&gt;=3,"B",IF('Data Source'!AC546&gt;=2,"C",IF('Data Source'!AC546&gt;=1,"D","F")))))))</f>
        <v/>
      </c>
      <c r="L546" s="3">
        <f>IF('Data Source'!B546="","",IF('Data Source'!AD546&gt;=5,"A+",IF('Data Source'!AD546&gt;=4,"A",IF('Data Source'!AD546&gt;=3.5,"A-",IF('Data Source'!AD546&gt;=3,"B",IF('Data Source'!AD546&gt;=2,"C",IF('Data Source'!AD546&gt;=1,"D","F")))))))</f>
        <v/>
      </c>
      <c r="M546" s="3">
        <f>IF('Data Source'!B546="","",IF('Data Source'!AE546&gt;=5,"A+",IF('Data Source'!AE546&gt;=4,"A",IF('Data Source'!AE546&gt;=3.5,"A-",IF('Data Source'!AE546&gt;=3,"B",IF('Data Source'!AE546&gt;=2,"C",IF('Data Source'!AE546&gt;=1,"D","F")))))))</f>
        <v/>
      </c>
      <c r="N546" s="3">
        <f>IF('Data Source'!B546="","",IF('Data Source'!AF546&gt;=5,"A+",IF('Data Source'!AF546&gt;=4,"A",IF('Data Source'!AF546&gt;=3.5,"A-",IF('Data Source'!AF546&gt;=3,"B",IF('Data Source'!AF546&gt;=2,"C",IF('Data Source'!AF546&gt;=1,"D","F")))))))</f>
        <v/>
      </c>
      <c r="O546" s="3">
        <f>IF('Data Source'!B546="","",IF('Data Source'!AG546&gt;=5,"A+",IF('Data Source'!AG546&gt;=4,"A",IF('Data Source'!AG546&gt;=3.5,"A-",IF('Data Source'!AG546&gt;=3,"B",IF('Data Source'!AG546&gt;=2,"C",IF('Data Source'!AG546&gt;=1,"D","F")))))))</f>
        <v/>
      </c>
      <c r="P546" s="5">
        <f>IF('Data Source'!B546="","",'Data Source'!R546)</f>
        <v/>
      </c>
      <c r="Q546" s="3">
        <f>IF('Data Source'!B546="","",'Data Source'!S546)</f>
        <v/>
      </c>
    </row>
    <row r="547">
      <c r="A547" s="3">
        <f>IF('Data Source'!B547="","",'Data Source'!A547)</f>
        <v/>
      </c>
      <c r="B547">
        <f>IF('Data Source'!B547="","",'Data Source'!B547)</f>
        <v/>
      </c>
      <c r="C547" s="3">
        <f>IF('Data Source'!B547="","",IF('Data Source'!U547&gt;=5,"A+",IF('Data Source'!U547&gt;=4,"A",IF('Data Source'!U547&gt;=3.5,"A-",IF('Data Source'!U547&gt;=3,"B",IF('Data Source'!U547&gt;=2,"C",IF('Data Source'!U547&gt;=1,"D","F")))))))</f>
        <v/>
      </c>
      <c r="D547" s="3">
        <f>IF('Data Source'!B547="","",IF('Data Source'!V547&gt;=5,"A+",IF('Data Source'!V547&gt;=4,"A",IF('Data Source'!V547&gt;=3.5,"A-",IF('Data Source'!V547&gt;=3,"B",IF('Data Source'!V547&gt;=2,"C",IF('Data Source'!V547&gt;=1,"D","F")))))))</f>
        <v/>
      </c>
      <c r="E547" s="3">
        <f>IF('Data Source'!B547="","",IF('Data Source'!W547&gt;=5,"A+",IF('Data Source'!W547&gt;=4,"A",IF('Data Source'!W547&gt;=3.5,"A-",IF('Data Source'!W547&gt;=3,"B",IF('Data Source'!W547&gt;=2,"C",IF('Data Source'!W547&gt;=1,"D","F")))))))</f>
        <v/>
      </c>
      <c r="F547" s="3">
        <f>IF('Data Source'!B547="","",IF('Data Source'!X547&gt;=5,"A+",IF('Data Source'!X547&gt;=4,"A",IF('Data Source'!X547&gt;=3.5,"A-",IF('Data Source'!X547&gt;=3,"B",IF('Data Source'!X547&gt;=2,"C",IF('Data Source'!X547&gt;=1,"D","F")))))))</f>
        <v/>
      </c>
      <c r="G547" s="3">
        <f>IF('Data Source'!B547="","",IF('Data Source'!Y547&gt;=5,"A+",IF('Data Source'!Y547&gt;=4,"A",IF('Data Source'!Y547&gt;=3.5,"A-",IF('Data Source'!Y547&gt;=3,"B",IF('Data Source'!Y547&gt;=2,"C",IF('Data Source'!Y547&gt;=1,"D","F")))))))</f>
        <v/>
      </c>
      <c r="H547" s="3">
        <f>IF('Data Source'!B547="","",IF('Data Source'!Z547&gt;=5,"A+",IF('Data Source'!Z547&gt;=4,"A",IF('Data Source'!Z547&gt;=3.5,"A-",IF('Data Source'!Z547&gt;=3,"B",IF('Data Source'!Z547&gt;=2,"C",IF('Data Source'!Z547&gt;=1,"D","F")))))))</f>
        <v/>
      </c>
      <c r="I547" s="3">
        <f>IF('Data Source'!B547="","",IF('Data Source'!AA547&gt;=5,"A+",IF('Data Source'!AA547&gt;=4,"A",IF('Data Source'!AA547&gt;=3.5,"A-",IF('Data Source'!AA547&gt;=3,"B",IF('Data Source'!AA547&gt;=2,"C",IF('Data Source'!AA547&gt;=1,"D","F")))))))</f>
        <v/>
      </c>
      <c r="J547" s="3">
        <f>IF('Data Source'!B547="","",IF('Data Source'!AB547&gt;=5,"A+",IF('Data Source'!AB547&gt;=4,"A",IF('Data Source'!AB547&gt;=3.5,"A-",IF('Data Source'!AB547&gt;=3,"B",IF('Data Source'!AB547&gt;=2,"C",IF('Data Source'!AB547&gt;=1,"D","F")))))))</f>
        <v/>
      </c>
      <c r="K547" s="3">
        <f>IF('Data Source'!B547="","",IF('Data Source'!AC547&gt;=5,"A+",IF('Data Source'!AC547&gt;=4,"A",IF('Data Source'!AC547&gt;=3.5,"A-",IF('Data Source'!AC547&gt;=3,"B",IF('Data Source'!AC547&gt;=2,"C",IF('Data Source'!AC547&gt;=1,"D","F")))))))</f>
        <v/>
      </c>
      <c r="L547" s="3">
        <f>IF('Data Source'!B547="","",IF('Data Source'!AD547&gt;=5,"A+",IF('Data Source'!AD547&gt;=4,"A",IF('Data Source'!AD547&gt;=3.5,"A-",IF('Data Source'!AD547&gt;=3,"B",IF('Data Source'!AD547&gt;=2,"C",IF('Data Source'!AD547&gt;=1,"D","F")))))))</f>
        <v/>
      </c>
      <c r="M547" s="3">
        <f>IF('Data Source'!B547="","",IF('Data Source'!AE547&gt;=5,"A+",IF('Data Source'!AE547&gt;=4,"A",IF('Data Source'!AE547&gt;=3.5,"A-",IF('Data Source'!AE547&gt;=3,"B",IF('Data Source'!AE547&gt;=2,"C",IF('Data Source'!AE547&gt;=1,"D","F")))))))</f>
        <v/>
      </c>
      <c r="N547" s="3">
        <f>IF('Data Source'!B547="","",IF('Data Source'!AF547&gt;=5,"A+",IF('Data Source'!AF547&gt;=4,"A",IF('Data Source'!AF547&gt;=3.5,"A-",IF('Data Source'!AF547&gt;=3,"B",IF('Data Source'!AF547&gt;=2,"C",IF('Data Source'!AF547&gt;=1,"D","F")))))))</f>
        <v/>
      </c>
      <c r="O547" s="3">
        <f>IF('Data Source'!B547="","",IF('Data Source'!AG547&gt;=5,"A+",IF('Data Source'!AG547&gt;=4,"A",IF('Data Source'!AG547&gt;=3.5,"A-",IF('Data Source'!AG547&gt;=3,"B",IF('Data Source'!AG547&gt;=2,"C",IF('Data Source'!AG547&gt;=1,"D","F")))))))</f>
        <v/>
      </c>
      <c r="P547" s="5">
        <f>IF('Data Source'!B547="","",'Data Source'!R547)</f>
        <v/>
      </c>
      <c r="Q547" s="3">
        <f>IF('Data Source'!B547="","",'Data Source'!S547)</f>
        <v/>
      </c>
    </row>
    <row r="548">
      <c r="A548" s="3">
        <f>IF('Data Source'!B548="","",'Data Source'!A548)</f>
        <v/>
      </c>
      <c r="B548">
        <f>IF('Data Source'!B548="","",'Data Source'!B548)</f>
        <v/>
      </c>
      <c r="C548" s="3">
        <f>IF('Data Source'!B548="","",IF('Data Source'!U548&gt;=5,"A+",IF('Data Source'!U548&gt;=4,"A",IF('Data Source'!U548&gt;=3.5,"A-",IF('Data Source'!U548&gt;=3,"B",IF('Data Source'!U548&gt;=2,"C",IF('Data Source'!U548&gt;=1,"D","F")))))))</f>
        <v/>
      </c>
      <c r="D548" s="3">
        <f>IF('Data Source'!B548="","",IF('Data Source'!V548&gt;=5,"A+",IF('Data Source'!V548&gt;=4,"A",IF('Data Source'!V548&gt;=3.5,"A-",IF('Data Source'!V548&gt;=3,"B",IF('Data Source'!V548&gt;=2,"C",IF('Data Source'!V548&gt;=1,"D","F")))))))</f>
        <v/>
      </c>
      <c r="E548" s="3">
        <f>IF('Data Source'!B548="","",IF('Data Source'!W548&gt;=5,"A+",IF('Data Source'!W548&gt;=4,"A",IF('Data Source'!W548&gt;=3.5,"A-",IF('Data Source'!W548&gt;=3,"B",IF('Data Source'!W548&gt;=2,"C",IF('Data Source'!W548&gt;=1,"D","F")))))))</f>
        <v/>
      </c>
      <c r="F548" s="3">
        <f>IF('Data Source'!B548="","",IF('Data Source'!X548&gt;=5,"A+",IF('Data Source'!X548&gt;=4,"A",IF('Data Source'!X548&gt;=3.5,"A-",IF('Data Source'!X548&gt;=3,"B",IF('Data Source'!X548&gt;=2,"C",IF('Data Source'!X548&gt;=1,"D","F")))))))</f>
        <v/>
      </c>
      <c r="G548" s="3">
        <f>IF('Data Source'!B548="","",IF('Data Source'!Y548&gt;=5,"A+",IF('Data Source'!Y548&gt;=4,"A",IF('Data Source'!Y548&gt;=3.5,"A-",IF('Data Source'!Y548&gt;=3,"B",IF('Data Source'!Y548&gt;=2,"C",IF('Data Source'!Y548&gt;=1,"D","F")))))))</f>
        <v/>
      </c>
      <c r="H548" s="3">
        <f>IF('Data Source'!B548="","",IF('Data Source'!Z548&gt;=5,"A+",IF('Data Source'!Z548&gt;=4,"A",IF('Data Source'!Z548&gt;=3.5,"A-",IF('Data Source'!Z548&gt;=3,"B",IF('Data Source'!Z548&gt;=2,"C",IF('Data Source'!Z548&gt;=1,"D","F")))))))</f>
        <v/>
      </c>
      <c r="I548" s="3">
        <f>IF('Data Source'!B548="","",IF('Data Source'!AA548&gt;=5,"A+",IF('Data Source'!AA548&gt;=4,"A",IF('Data Source'!AA548&gt;=3.5,"A-",IF('Data Source'!AA548&gt;=3,"B",IF('Data Source'!AA548&gt;=2,"C",IF('Data Source'!AA548&gt;=1,"D","F")))))))</f>
        <v/>
      </c>
      <c r="J548" s="3">
        <f>IF('Data Source'!B548="","",IF('Data Source'!AB548&gt;=5,"A+",IF('Data Source'!AB548&gt;=4,"A",IF('Data Source'!AB548&gt;=3.5,"A-",IF('Data Source'!AB548&gt;=3,"B",IF('Data Source'!AB548&gt;=2,"C",IF('Data Source'!AB548&gt;=1,"D","F")))))))</f>
        <v/>
      </c>
      <c r="K548" s="3">
        <f>IF('Data Source'!B548="","",IF('Data Source'!AC548&gt;=5,"A+",IF('Data Source'!AC548&gt;=4,"A",IF('Data Source'!AC548&gt;=3.5,"A-",IF('Data Source'!AC548&gt;=3,"B",IF('Data Source'!AC548&gt;=2,"C",IF('Data Source'!AC548&gt;=1,"D","F")))))))</f>
        <v/>
      </c>
      <c r="L548" s="3">
        <f>IF('Data Source'!B548="","",IF('Data Source'!AD548&gt;=5,"A+",IF('Data Source'!AD548&gt;=4,"A",IF('Data Source'!AD548&gt;=3.5,"A-",IF('Data Source'!AD548&gt;=3,"B",IF('Data Source'!AD548&gt;=2,"C",IF('Data Source'!AD548&gt;=1,"D","F")))))))</f>
        <v/>
      </c>
      <c r="M548" s="3">
        <f>IF('Data Source'!B548="","",IF('Data Source'!AE548&gt;=5,"A+",IF('Data Source'!AE548&gt;=4,"A",IF('Data Source'!AE548&gt;=3.5,"A-",IF('Data Source'!AE548&gt;=3,"B",IF('Data Source'!AE548&gt;=2,"C",IF('Data Source'!AE548&gt;=1,"D","F")))))))</f>
        <v/>
      </c>
      <c r="N548" s="3">
        <f>IF('Data Source'!B548="","",IF('Data Source'!AF548&gt;=5,"A+",IF('Data Source'!AF548&gt;=4,"A",IF('Data Source'!AF548&gt;=3.5,"A-",IF('Data Source'!AF548&gt;=3,"B",IF('Data Source'!AF548&gt;=2,"C",IF('Data Source'!AF548&gt;=1,"D","F")))))))</f>
        <v/>
      </c>
      <c r="O548" s="3">
        <f>IF('Data Source'!B548="","",IF('Data Source'!AG548&gt;=5,"A+",IF('Data Source'!AG548&gt;=4,"A",IF('Data Source'!AG548&gt;=3.5,"A-",IF('Data Source'!AG548&gt;=3,"B",IF('Data Source'!AG548&gt;=2,"C",IF('Data Source'!AG548&gt;=1,"D","F")))))))</f>
        <v/>
      </c>
      <c r="P548" s="5">
        <f>IF('Data Source'!B548="","",'Data Source'!R548)</f>
        <v/>
      </c>
      <c r="Q548" s="3">
        <f>IF('Data Source'!B548="","",'Data Source'!S548)</f>
        <v/>
      </c>
    </row>
    <row r="549">
      <c r="A549" s="3">
        <f>IF('Data Source'!B549="","",'Data Source'!A549)</f>
        <v/>
      </c>
      <c r="B549">
        <f>IF('Data Source'!B549="","",'Data Source'!B549)</f>
        <v/>
      </c>
      <c r="C549" s="3">
        <f>IF('Data Source'!B549="","",IF('Data Source'!U549&gt;=5,"A+",IF('Data Source'!U549&gt;=4,"A",IF('Data Source'!U549&gt;=3.5,"A-",IF('Data Source'!U549&gt;=3,"B",IF('Data Source'!U549&gt;=2,"C",IF('Data Source'!U549&gt;=1,"D","F")))))))</f>
        <v/>
      </c>
      <c r="D549" s="3">
        <f>IF('Data Source'!B549="","",IF('Data Source'!V549&gt;=5,"A+",IF('Data Source'!V549&gt;=4,"A",IF('Data Source'!V549&gt;=3.5,"A-",IF('Data Source'!V549&gt;=3,"B",IF('Data Source'!V549&gt;=2,"C",IF('Data Source'!V549&gt;=1,"D","F")))))))</f>
        <v/>
      </c>
      <c r="E549" s="3">
        <f>IF('Data Source'!B549="","",IF('Data Source'!W549&gt;=5,"A+",IF('Data Source'!W549&gt;=4,"A",IF('Data Source'!W549&gt;=3.5,"A-",IF('Data Source'!W549&gt;=3,"B",IF('Data Source'!W549&gt;=2,"C",IF('Data Source'!W549&gt;=1,"D","F")))))))</f>
        <v/>
      </c>
      <c r="F549" s="3">
        <f>IF('Data Source'!B549="","",IF('Data Source'!X549&gt;=5,"A+",IF('Data Source'!X549&gt;=4,"A",IF('Data Source'!X549&gt;=3.5,"A-",IF('Data Source'!X549&gt;=3,"B",IF('Data Source'!X549&gt;=2,"C",IF('Data Source'!X549&gt;=1,"D","F")))))))</f>
        <v/>
      </c>
      <c r="G549" s="3">
        <f>IF('Data Source'!B549="","",IF('Data Source'!Y549&gt;=5,"A+",IF('Data Source'!Y549&gt;=4,"A",IF('Data Source'!Y549&gt;=3.5,"A-",IF('Data Source'!Y549&gt;=3,"B",IF('Data Source'!Y549&gt;=2,"C",IF('Data Source'!Y549&gt;=1,"D","F")))))))</f>
        <v/>
      </c>
      <c r="H549" s="3">
        <f>IF('Data Source'!B549="","",IF('Data Source'!Z549&gt;=5,"A+",IF('Data Source'!Z549&gt;=4,"A",IF('Data Source'!Z549&gt;=3.5,"A-",IF('Data Source'!Z549&gt;=3,"B",IF('Data Source'!Z549&gt;=2,"C",IF('Data Source'!Z549&gt;=1,"D","F")))))))</f>
        <v/>
      </c>
      <c r="I549" s="3">
        <f>IF('Data Source'!B549="","",IF('Data Source'!AA549&gt;=5,"A+",IF('Data Source'!AA549&gt;=4,"A",IF('Data Source'!AA549&gt;=3.5,"A-",IF('Data Source'!AA549&gt;=3,"B",IF('Data Source'!AA549&gt;=2,"C",IF('Data Source'!AA549&gt;=1,"D","F")))))))</f>
        <v/>
      </c>
      <c r="J549" s="3">
        <f>IF('Data Source'!B549="","",IF('Data Source'!AB549&gt;=5,"A+",IF('Data Source'!AB549&gt;=4,"A",IF('Data Source'!AB549&gt;=3.5,"A-",IF('Data Source'!AB549&gt;=3,"B",IF('Data Source'!AB549&gt;=2,"C",IF('Data Source'!AB549&gt;=1,"D","F")))))))</f>
        <v/>
      </c>
      <c r="K549" s="3">
        <f>IF('Data Source'!B549="","",IF('Data Source'!AC549&gt;=5,"A+",IF('Data Source'!AC549&gt;=4,"A",IF('Data Source'!AC549&gt;=3.5,"A-",IF('Data Source'!AC549&gt;=3,"B",IF('Data Source'!AC549&gt;=2,"C",IF('Data Source'!AC549&gt;=1,"D","F")))))))</f>
        <v/>
      </c>
      <c r="L549" s="3">
        <f>IF('Data Source'!B549="","",IF('Data Source'!AD549&gt;=5,"A+",IF('Data Source'!AD549&gt;=4,"A",IF('Data Source'!AD549&gt;=3.5,"A-",IF('Data Source'!AD549&gt;=3,"B",IF('Data Source'!AD549&gt;=2,"C",IF('Data Source'!AD549&gt;=1,"D","F")))))))</f>
        <v/>
      </c>
      <c r="M549" s="3">
        <f>IF('Data Source'!B549="","",IF('Data Source'!AE549&gt;=5,"A+",IF('Data Source'!AE549&gt;=4,"A",IF('Data Source'!AE549&gt;=3.5,"A-",IF('Data Source'!AE549&gt;=3,"B",IF('Data Source'!AE549&gt;=2,"C",IF('Data Source'!AE549&gt;=1,"D","F")))))))</f>
        <v/>
      </c>
      <c r="N549" s="3">
        <f>IF('Data Source'!B549="","",IF('Data Source'!AF549&gt;=5,"A+",IF('Data Source'!AF549&gt;=4,"A",IF('Data Source'!AF549&gt;=3.5,"A-",IF('Data Source'!AF549&gt;=3,"B",IF('Data Source'!AF549&gt;=2,"C",IF('Data Source'!AF549&gt;=1,"D","F")))))))</f>
        <v/>
      </c>
      <c r="O549" s="3">
        <f>IF('Data Source'!B549="","",IF('Data Source'!AG549&gt;=5,"A+",IF('Data Source'!AG549&gt;=4,"A",IF('Data Source'!AG549&gt;=3.5,"A-",IF('Data Source'!AG549&gt;=3,"B",IF('Data Source'!AG549&gt;=2,"C",IF('Data Source'!AG549&gt;=1,"D","F")))))))</f>
        <v/>
      </c>
      <c r="P549" s="5">
        <f>IF('Data Source'!B549="","",'Data Source'!R549)</f>
        <v/>
      </c>
      <c r="Q549" s="3">
        <f>IF('Data Source'!B549="","",'Data Source'!S549)</f>
        <v/>
      </c>
    </row>
    <row r="550">
      <c r="A550" s="3">
        <f>IF('Data Source'!B550="","",'Data Source'!A550)</f>
        <v/>
      </c>
      <c r="B550">
        <f>IF('Data Source'!B550="","",'Data Source'!B550)</f>
        <v/>
      </c>
      <c r="C550" s="3">
        <f>IF('Data Source'!B550="","",IF('Data Source'!U550&gt;=5,"A+",IF('Data Source'!U550&gt;=4,"A",IF('Data Source'!U550&gt;=3.5,"A-",IF('Data Source'!U550&gt;=3,"B",IF('Data Source'!U550&gt;=2,"C",IF('Data Source'!U550&gt;=1,"D","F")))))))</f>
        <v/>
      </c>
      <c r="D550" s="3">
        <f>IF('Data Source'!B550="","",IF('Data Source'!V550&gt;=5,"A+",IF('Data Source'!V550&gt;=4,"A",IF('Data Source'!V550&gt;=3.5,"A-",IF('Data Source'!V550&gt;=3,"B",IF('Data Source'!V550&gt;=2,"C",IF('Data Source'!V550&gt;=1,"D","F")))))))</f>
        <v/>
      </c>
      <c r="E550" s="3">
        <f>IF('Data Source'!B550="","",IF('Data Source'!W550&gt;=5,"A+",IF('Data Source'!W550&gt;=4,"A",IF('Data Source'!W550&gt;=3.5,"A-",IF('Data Source'!W550&gt;=3,"B",IF('Data Source'!W550&gt;=2,"C",IF('Data Source'!W550&gt;=1,"D","F")))))))</f>
        <v/>
      </c>
      <c r="F550" s="3">
        <f>IF('Data Source'!B550="","",IF('Data Source'!X550&gt;=5,"A+",IF('Data Source'!X550&gt;=4,"A",IF('Data Source'!X550&gt;=3.5,"A-",IF('Data Source'!X550&gt;=3,"B",IF('Data Source'!X550&gt;=2,"C",IF('Data Source'!X550&gt;=1,"D","F")))))))</f>
        <v/>
      </c>
      <c r="G550" s="3">
        <f>IF('Data Source'!B550="","",IF('Data Source'!Y550&gt;=5,"A+",IF('Data Source'!Y550&gt;=4,"A",IF('Data Source'!Y550&gt;=3.5,"A-",IF('Data Source'!Y550&gt;=3,"B",IF('Data Source'!Y550&gt;=2,"C",IF('Data Source'!Y550&gt;=1,"D","F")))))))</f>
        <v/>
      </c>
      <c r="H550" s="3">
        <f>IF('Data Source'!B550="","",IF('Data Source'!Z550&gt;=5,"A+",IF('Data Source'!Z550&gt;=4,"A",IF('Data Source'!Z550&gt;=3.5,"A-",IF('Data Source'!Z550&gt;=3,"B",IF('Data Source'!Z550&gt;=2,"C",IF('Data Source'!Z550&gt;=1,"D","F")))))))</f>
        <v/>
      </c>
      <c r="I550" s="3">
        <f>IF('Data Source'!B550="","",IF('Data Source'!AA550&gt;=5,"A+",IF('Data Source'!AA550&gt;=4,"A",IF('Data Source'!AA550&gt;=3.5,"A-",IF('Data Source'!AA550&gt;=3,"B",IF('Data Source'!AA550&gt;=2,"C",IF('Data Source'!AA550&gt;=1,"D","F")))))))</f>
        <v/>
      </c>
      <c r="J550" s="3">
        <f>IF('Data Source'!B550="","",IF('Data Source'!AB550&gt;=5,"A+",IF('Data Source'!AB550&gt;=4,"A",IF('Data Source'!AB550&gt;=3.5,"A-",IF('Data Source'!AB550&gt;=3,"B",IF('Data Source'!AB550&gt;=2,"C",IF('Data Source'!AB550&gt;=1,"D","F")))))))</f>
        <v/>
      </c>
      <c r="K550" s="3">
        <f>IF('Data Source'!B550="","",IF('Data Source'!AC550&gt;=5,"A+",IF('Data Source'!AC550&gt;=4,"A",IF('Data Source'!AC550&gt;=3.5,"A-",IF('Data Source'!AC550&gt;=3,"B",IF('Data Source'!AC550&gt;=2,"C",IF('Data Source'!AC550&gt;=1,"D","F")))))))</f>
        <v/>
      </c>
      <c r="L550" s="3">
        <f>IF('Data Source'!B550="","",IF('Data Source'!AD550&gt;=5,"A+",IF('Data Source'!AD550&gt;=4,"A",IF('Data Source'!AD550&gt;=3.5,"A-",IF('Data Source'!AD550&gt;=3,"B",IF('Data Source'!AD550&gt;=2,"C",IF('Data Source'!AD550&gt;=1,"D","F")))))))</f>
        <v/>
      </c>
      <c r="M550" s="3">
        <f>IF('Data Source'!B550="","",IF('Data Source'!AE550&gt;=5,"A+",IF('Data Source'!AE550&gt;=4,"A",IF('Data Source'!AE550&gt;=3.5,"A-",IF('Data Source'!AE550&gt;=3,"B",IF('Data Source'!AE550&gt;=2,"C",IF('Data Source'!AE550&gt;=1,"D","F")))))))</f>
        <v/>
      </c>
      <c r="N550" s="3">
        <f>IF('Data Source'!B550="","",IF('Data Source'!AF550&gt;=5,"A+",IF('Data Source'!AF550&gt;=4,"A",IF('Data Source'!AF550&gt;=3.5,"A-",IF('Data Source'!AF550&gt;=3,"B",IF('Data Source'!AF550&gt;=2,"C",IF('Data Source'!AF550&gt;=1,"D","F")))))))</f>
        <v/>
      </c>
      <c r="O550" s="3">
        <f>IF('Data Source'!B550="","",IF('Data Source'!AG550&gt;=5,"A+",IF('Data Source'!AG550&gt;=4,"A",IF('Data Source'!AG550&gt;=3.5,"A-",IF('Data Source'!AG550&gt;=3,"B",IF('Data Source'!AG550&gt;=2,"C",IF('Data Source'!AG550&gt;=1,"D","F")))))))</f>
        <v/>
      </c>
      <c r="P550" s="5">
        <f>IF('Data Source'!B550="","",'Data Source'!R550)</f>
        <v/>
      </c>
      <c r="Q550" s="3">
        <f>IF('Data Source'!B550="","",'Data Source'!S550)</f>
        <v/>
      </c>
    </row>
    <row r="551">
      <c r="A551" s="3">
        <f>IF('Data Source'!B551="","",'Data Source'!A551)</f>
        <v/>
      </c>
      <c r="B551">
        <f>IF('Data Source'!B551="","",'Data Source'!B551)</f>
        <v/>
      </c>
      <c r="C551" s="3">
        <f>IF('Data Source'!B551="","",IF('Data Source'!U551&gt;=5,"A+",IF('Data Source'!U551&gt;=4,"A",IF('Data Source'!U551&gt;=3.5,"A-",IF('Data Source'!U551&gt;=3,"B",IF('Data Source'!U551&gt;=2,"C",IF('Data Source'!U551&gt;=1,"D","F")))))))</f>
        <v/>
      </c>
      <c r="D551" s="3">
        <f>IF('Data Source'!B551="","",IF('Data Source'!V551&gt;=5,"A+",IF('Data Source'!V551&gt;=4,"A",IF('Data Source'!V551&gt;=3.5,"A-",IF('Data Source'!V551&gt;=3,"B",IF('Data Source'!V551&gt;=2,"C",IF('Data Source'!V551&gt;=1,"D","F")))))))</f>
        <v/>
      </c>
      <c r="E551" s="3">
        <f>IF('Data Source'!B551="","",IF('Data Source'!W551&gt;=5,"A+",IF('Data Source'!W551&gt;=4,"A",IF('Data Source'!W551&gt;=3.5,"A-",IF('Data Source'!W551&gt;=3,"B",IF('Data Source'!W551&gt;=2,"C",IF('Data Source'!W551&gt;=1,"D","F")))))))</f>
        <v/>
      </c>
      <c r="F551" s="3">
        <f>IF('Data Source'!B551="","",IF('Data Source'!X551&gt;=5,"A+",IF('Data Source'!X551&gt;=4,"A",IF('Data Source'!X551&gt;=3.5,"A-",IF('Data Source'!X551&gt;=3,"B",IF('Data Source'!X551&gt;=2,"C",IF('Data Source'!X551&gt;=1,"D","F")))))))</f>
        <v/>
      </c>
      <c r="G551" s="3">
        <f>IF('Data Source'!B551="","",IF('Data Source'!Y551&gt;=5,"A+",IF('Data Source'!Y551&gt;=4,"A",IF('Data Source'!Y551&gt;=3.5,"A-",IF('Data Source'!Y551&gt;=3,"B",IF('Data Source'!Y551&gt;=2,"C",IF('Data Source'!Y551&gt;=1,"D","F")))))))</f>
        <v/>
      </c>
      <c r="H551" s="3">
        <f>IF('Data Source'!B551="","",IF('Data Source'!Z551&gt;=5,"A+",IF('Data Source'!Z551&gt;=4,"A",IF('Data Source'!Z551&gt;=3.5,"A-",IF('Data Source'!Z551&gt;=3,"B",IF('Data Source'!Z551&gt;=2,"C",IF('Data Source'!Z551&gt;=1,"D","F")))))))</f>
        <v/>
      </c>
      <c r="I551" s="3">
        <f>IF('Data Source'!B551="","",IF('Data Source'!AA551&gt;=5,"A+",IF('Data Source'!AA551&gt;=4,"A",IF('Data Source'!AA551&gt;=3.5,"A-",IF('Data Source'!AA551&gt;=3,"B",IF('Data Source'!AA551&gt;=2,"C",IF('Data Source'!AA551&gt;=1,"D","F")))))))</f>
        <v/>
      </c>
      <c r="J551" s="3">
        <f>IF('Data Source'!B551="","",IF('Data Source'!AB551&gt;=5,"A+",IF('Data Source'!AB551&gt;=4,"A",IF('Data Source'!AB551&gt;=3.5,"A-",IF('Data Source'!AB551&gt;=3,"B",IF('Data Source'!AB551&gt;=2,"C",IF('Data Source'!AB551&gt;=1,"D","F")))))))</f>
        <v/>
      </c>
      <c r="K551" s="3">
        <f>IF('Data Source'!B551="","",IF('Data Source'!AC551&gt;=5,"A+",IF('Data Source'!AC551&gt;=4,"A",IF('Data Source'!AC551&gt;=3.5,"A-",IF('Data Source'!AC551&gt;=3,"B",IF('Data Source'!AC551&gt;=2,"C",IF('Data Source'!AC551&gt;=1,"D","F")))))))</f>
        <v/>
      </c>
      <c r="L551" s="3">
        <f>IF('Data Source'!B551="","",IF('Data Source'!AD551&gt;=5,"A+",IF('Data Source'!AD551&gt;=4,"A",IF('Data Source'!AD551&gt;=3.5,"A-",IF('Data Source'!AD551&gt;=3,"B",IF('Data Source'!AD551&gt;=2,"C",IF('Data Source'!AD551&gt;=1,"D","F")))))))</f>
        <v/>
      </c>
      <c r="M551" s="3">
        <f>IF('Data Source'!B551="","",IF('Data Source'!AE551&gt;=5,"A+",IF('Data Source'!AE551&gt;=4,"A",IF('Data Source'!AE551&gt;=3.5,"A-",IF('Data Source'!AE551&gt;=3,"B",IF('Data Source'!AE551&gt;=2,"C",IF('Data Source'!AE551&gt;=1,"D","F")))))))</f>
        <v/>
      </c>
      <c r="N551" s="3">
        <f>IF('Data Source'!B551="","",IF('Data Source'!AF551&gt;=5,"A+",IF('Data Source'!AF551&gt;=4,"A",IF('Data Source'!AF551&gt;=3.5,"A-",IF('Data Source'!AF551&gt;=3,"B",IF('Data Source'!AF551&gt;=2,"C",IF('Data Source'!AF551&gt;=1,"D","F")))))))</f>
        <v/>
      </c>
      <c r="O551" s="3">
        <f>IF('Data Source'!B551="","",IF('Data Source'!AG551&gt;=5,"A+",IF('Data Source'!AG551&gt;=4,"A",IF('Data Source'!AG551&gt;=3.5,"A-",IF('Data Source'!AG551&gt;=3,"B",IF('Data Source'!AG551&gt;=2,"C",IF('Data Source'!AG551&gt;=1,"D","F")))))))</f>
        <v/>
      </c>
      <c r="P551" s="5">
        <f>IF('Data Source'!B551="","",'Data Source'!R551)</f>
        <v/>
      </c>
      <c r="Q551" s="3">
        <f>IF('Data Source'!B551="","",'Data Source'!S551)</f>
        <v/>
      </c>
    </row>
    <row r="552">
      <c r="A552" s="3">
        <f>IF('Data Source'!B552="","",'Data Source'!A552)</f>
        <v/>
      </c>
      <c r="B552">
        <f>IF('Data Source'!B552="","",'Data Source'!B552)</f>
        <v/>
      </c>
      <c r="C552" s="3">
        <f>IF('Data Source'!B552="","",IF('Data Source'!U552&gt;=5,"A+",IF('Data Source'!U552&gt;=4,"A",IF('Data Source'!U552&gt;=3.5,"A-",IF('Data Source'!U552&gt;=3,"B",IF('Data Source'!U552&gt;=2,"C",IF('Data Source'!U552&gt;=1,"D","F")))))))</f>
        <v/>
      </c>
      <c r="D552" s="3">
        <f>IF('Data Source'!B552="","",IF('Data Source'!V552&gt;=5,"A+",IF('Data Source'!V552&gt;=4,"A",IF('Data Source'!V552&gt;=3.5,"A-",IF('Data Source'!V552&gt;=3,"B",IF('Data Source'!V552&gt;=2,"C",IF('Data Source'!V552&gt;=1,"D","F")))))))</f>
        <v/>
      </c>
      <c r="E552" s="3">
        <f>IF('Data Source'!B552="","",IF('Data Source'!W552&gt;=5,"A+",IF('Data Source'!W552&gt;=4,"A",IF('Data Source'!W552&gt;=3.5,"A-",IF('Data Source'!W552&gt;=3,"B",IF('Data Source'!W552&gt;=2,"C",IF('Data Source'!W552&gt;=1,"D","F")))))))</f>
        <v/>
      </c>
      <c r="F552" s="3">
        <f>IF('Data Source'!B552="","",IF('Data Source'!X552&gt;=5,"A+",IF('Data Source'!X552&gt;=4,"A",IF('Data Source'!X552&gt;=3.5,"A-",IF('Data Source'!X552&gt;=3,"B",IF('Data Source'!X552&gt;=2,"C",IF('Data Source'!X552&gt;=1,"D","F")))))))</f>
        <v/>
      </c>
      <c r="G552" s="3">
        <f>IF('Data Source'!B552="","",IF('Data Source'!Y552&gt;=5,"A+",IF('Data Source'!Y552&gt;=4,"A",IF('Data Source'!Y552&gt;=3.5,"A-",IF('Data Source'!Y552&gt;=3,"B",IF('Data Source'!Y552&gt;=2,"C",IF('Data Source'!Y552&gt;=1,"D","F")))))))</f>
        <v/>
      </c>
      <c r="H552" s="3">
        <f>IF('Data Source'!B552="","",IF('Data Source'!Z552&gt;=5,"A+",IF('Data Source'!Z552&gt;=4,"A",IF('Data Source'!Z552&gt;=3.5,"A-",IF('Data Source'!Z552&gt;=3,"B",IF('Data Source'!Z552&gt;=2,"C",IF('Data Source'!Z552&gt;=1,"D","F")))))))</f>
        <v/>
      </c>
      <c r="I552" s="3">
        <f>IF('Data Source'!B552="","",IF('Data Source'!AA552&gt;=5,"A+",IF('Data Source'!AA552&gt;=4,"A",IF('Data Source'!AA552&gt;=3.5,"A-",IF('Data Source'!AA552&gt;=3,"B",IF('Data Source'!AA552&gt;=2,"C",IF('Data Source'!AA552&gt;=1,"D","F")))))))</f>
        <v/>
      </c>
      <c r="J552" s="3">
        <f>IF('Data Source'!B552="","",IF('Data Source'!AB552&gt;=5,"A+",IF('Data Source'!AB552&gt;=4,"A",IF('Data Source'!AB552&gt;=3.5,"A-",IF('Data Source'!AB552&gt;=3,"B",IF('Data Source'!AB552&gt;=2,"C",IF('Data Source'!AB552&gt;=1,"D","F")))))))</f>
        <v/>
      </c>
      <c r="K552" s="3">
        <f>IF('Data Source'!B552="","",IF('Data Source'!AC552&gt;=5,"A+",IF('Data Source'!AC552&gt;=4,"A",IF('Data Source'!AC552&gt;=3.5,"A-",IF('Data Source'!AC552&gt;=3,"B",IF('Data Source'!AC552&gt;=2,"C",IF('Data Source'!AC552&gt;=1,"D","F")))))))</f>
        <v/>
      </c>
      <c r="L552" s="3">
        <f>IF('Data Source'!B552="","",IF('Data Source'!AD552&gt;=5,"A+",IF('Data Source'!AD552&gt;=4,"A",IF('Data Source'!AD552&gt;=3.5,"A-",IF('Data Source'!AD552&gt;=3,"B",IF('Data Source'!AD552&gt;=2,"C",IF('Data Source'!AD552&gt;=1,"D","F")))))))</f>
        <v/>
      </c>
      <c r="M552" s="3">
        <f>IF('Data Source'!B552="","",IF('Data Source'!AE552&gt;=5,"A+",IF('Data Source'!AE552&gt;=4,"A",IF('Data Source'!AE552&gt;=3.5,"A-",IF('Data Source'!AE552&gt;=3,"B",IF('Data Source'!AE552&gt;=2,"C",IF('Data Source'!AE552&gt;=1,"D","F")))))))</f>
        <v/>
      </c>
      <c r="N552" s="3">
        <f>IF('Data Source'!B552="","",IF('Data Source'!AF552&gt;=5,"A+",IF('Data Source'!AF552&gt;=4,"A",IF('Data Source'!AF552&gt;=3.5,"A-",IF('Data Source'!AF552&gt;=3,"B",IF('Data Source'!AF552&gt;=2,"C",IF('Data Source'!AF552&gt;=1,"D","F")))))))</f>
        <v/>
      </c>
      <c r="O552" s="3">
        <f>IF('Data Source'!B552="","",IF('Data Source'!AG552&gt;=5,"A+",IF('Data Source'!AG552&gt;=4,"A",IF('Data Source'!AG552&gt;=3.5,"A-",IF('Data Source'!AG552&gt;=3,"B",IF('Data Source'!AG552&gt;=2,"C",IF('Data Source'!AG552&gt;=1,"D","F")))))))</f>
        <v/>
      </c>
      <c r="P552" s="5">
        <f>IF('Data Source'!B552="","",'Data Source'!R552)</f>
        <v/>
      </c>
      <c r="Q552" s="3">
        <f>IF('Data Source'!B552="","",'Data Source'!S552)</f>
        <v/>
      </c>
    </row>
    <row r="553">
      <c r="A553" s="3">
        <f>IF('Data Source'!B553="","",'Data Source'!A553)</f>
        <v/>
      </c>
      <c r="B553">
        <f>IF('Data Source'!B553="","",'Data Source'!B553)</f>
        <v/>
      </c>
      <c r="C553" s="3">
        <f>IF('Data Source'!B553="","",IF('Data Source'!U553&gt;=5,"A+",IF('Data Source'!U553&gt;=4,"A",IF('Data Source'!U553&gt;=3.5,"A-",IF('Data Source'!U553&gt;=3,"B",IF('Data Source'!U553&gt;=2,"C",IF('Data Source'!U553&gt;=1,"D","F")))))))</f>
        <v/>
      </c>
      <c r="D553" s="3">
        <f>IF('Data Source'!B553="","",IF('Data Source'!V553&gt;=5,"A+",IF('Data Source'!V553&gt;=4,"A",IF('Data Source'!V553&gt;=3.5,"A-",IF('Data Source'!V553&gt;=3,"B",IF('Data Source'!V553&gt;=2,"C",IF('Data Source'!V553&gt;=1,"D","F")))))))</f>
        <v/>
      </c>
      <c r="E553" s="3">
        <f>IF('Data Source'!B553="","",IF('Data Source'!W553&gt;=5,"A+",IF('Data Source'!W553&gt;=4,"A",IF('Data Source'!W553&gt;=3.5,"A-",IF('Data Source'!W553&gt;=3,"B",IF('Data Source'!W553&gt;=2,"C",IF('Data Source'!W553&gt;=1,"D","F")))))))</f>
        <v/>
      </c>
      <c r="F553" s="3">
        <f>IF('Data Source'!B553="","",IF('Data Source'!X553&gt;=5,"A+",IF('Data Source'!X553&gt;=4,"A",IF('Data Source'!X553&gt;=3.5,"A-",IF('Data Source'!X553&gt;=3,"B",IF('Data Source'!X553&gt;=2,"C",IF('Data Source'!X553&gt;=1,"D","F")))))))</f>
        <v/>
      </c>
      <c r="G553" s="3">
        <f>IF('Data Source'!B553="","",IF('Data Source'!Y553&gt;=5,"A+",IF('Data Source'!Y553&gt;=4,"A",IF('Data Source'!Y553&gt;=3.5,"A-",IF('Data Source'!Y553&gt;=3,"B",IF('Data Source'!Y553&gt;=2,"C",IF('Data Source'!Y553&gt;=1,"D","F")))))))</f>
        <v/>
      </c>
      <c r="H553" s="3">
        <f>IF('Data Source'!B553="","",IF('Data Source'!Z553&gt;=5,"A+",IF('Data Source'!Z553&gt;=4,"A",IF('Data Source'!Z553&gt;=3.5,"A-",IF('Data Source'!Z553&gt;=3,"B",IF('Data Source'!Z553&gt;=2,"C",IF('Data Source'!Z553&gt;=1,"D","F")))))))</f>
        <v/>
      </c>
      <c r="I553" s="3">
        <f>IF('Data Source'!B553="","",IF('Data Source'!AA553&gt;=5,"A+",IF('Data Source'!AA553&gt;=4,"A",IF('Data Source'!AA553&gt;=3.5,"A-",IF('Data Source'!AA553&gt;=3,"B",IF('Data Source'!AA553&gt;=2,"C",IF('Data Source'!AA553&gt;=1,"D","F")))))))</f>
        <v/>
      </c>
      <c r="J553" s="3">
        <f>IF('Data Source'!B553="","",IF('Data Source'!AB553&gt;=5,"A+",IF('Data Source'!AB553&gt;=4,"A",IF('Data Source'!AB553&gt;=3.5,"A-",IF('Data Source'!AB553&gt;=3,"B",IF('Data Source'!AB553&gt;=2,"C",IF('Data Source'!AB553&gt;=1,"D","F")))))))</f>
        <v/>
      </c>
      <c r="K553" s="3">
        <f>IF('Data Source'!B553="","",IF('Data Source'!AC553&gt;=5,"A+",IF('Data Source'!AC553&gt;=4,"A",IF('Data Source'!AC553&gt;=3.5,"A-",IF('Data Source'!AC553&gt;=3,"B",IF('Data Source'!AC553&gt;=2,"C",IF('Data Source'!AC553&gt;=1,"D","F")))))))</f>
        <v/>
      </c>
      <c r="L553" s="3">
        <f>IF('Data Source'!B553="","",IF('Data Source'!AD553&gt;=5,"A+",IF('Data Source'!AD553&gt;=4,"A",IF('Data Source'!AD553&gt;=3.5,"A-",IF('Data Source'!AD553&gt;=3,"B",IF('Data Source'!AD553&gt;=2,"C",IF('Data Source'!AD553&gt;=1,"D","F")))))))</f>
        <v/>
      </c>
      <c r="M553" s="3">
        <f>IF('Data Source'!B553="","",IF('Data Source'!AE553&gt;=5,"A+",IF('Data Source'!AE553&gt;=4,"A",IF('Data Source'!AE553&gt;=3.5,"A-",IF('Data Source'!AE553&gt;=3,"B",IF('Data Source'!AE553&gt;=2,"C",IF('Data Source'!AE553&gt;=1,"D","F")))))))</f>
        <v/>
      </c>
      <c r="N553" s="3">
        <f>IF('Data Source'!B553="","",IF('Data Source'!AF553&gt;=5,"A+",IF('Data Source'!AF553&gt;=4,"A",IF('Data Source'!AF553&gt;=3.5,"A-",IF('Data Source'!AF553&gt;=3,"B",IF('Data Source'!AF553&gt;=2,"C",IF('Data Source'!AF553&gt;=1,"D","F")))))))</f>
        <v/>
      </c>
      <c r="O553" s="3">
        <f>IF('Data Source'!B553="","",IF('Data Source'!AG553&gt;=5,"A+",IF('Data Source'!AG553&gt;=4,"A",IF('Data Source'!AG553&gt;=3.5,"A-",IF('Data Source'!AG553&gt;=3,"B",IF('Data Source'!AG553&gt;=2,"C",IF('Data Source'!AG553&gt;=1,"D","F")))))))</f>
        <v/>
      </c>
      <c r="P553" s="5">
        <f>IF('Data Source'!B553="","",'Data Source'!R553)</f>
        <v/>
      </c>
      <c r="Q553" s="3">
        <f>IF('Data Source'!B553="","",'Data Source'!S553)</f>
        <v/>
      </c>
    </row>
    <row r="554">
      <c r="A554" s="3">
        <f>IF('Data Source'!B554="","",'Data Source'!A554)</f>
        <v/>
      </c>
      <c r="B554">
        <f>IF('Data Source'!B554="","",'Data Source'!B554)</f>
        <v/>
      </c>
      <c r="C554" s="3">
        <f>IF('Data Source'!B554="","",IF('Data Source'!U554&gt;=5,"A+",IF('Data Source'!U554&gt;=4,"A",IF('Data Source'!U554&gt;=3.5,"A-",IF('Data Source'!U554&gt;=3,"B",IF('Data Source'!U554&gt;=2,"C",IF('Data Source'!U554&gt;=1,"D","F")))))))</f>
        <v/>
      </c>
      <c r="D554" s="3">
        <f>IF('Data Source'!B554="","",IF('Data Source'!V554&gt;=5,"A+",IF('Data Source'!V554&gt;=4,"A",IF('Data Source'!V554&gt;=3.5,"A-",IF('Data Source'!V554&gt;=3,"B",IF('Data Source'!V554&gt;=2,"C",IF('Data Source'!V554&gt;=1,"D","F")))))))</f>
        <v/>
      </c>
      <c r="E554" s="3">
        <f>IF('Data Source'!B554="","",IF('Data Source'!W554&gt;=5,"A+",IF('Data Source'!W554&gt;=4,"A",IF('Data Source'!W554&gt;=3.5,"A-",IF('Data Source'!W554&gt;=3,"B",IF('Data Source'!W554&gt;=2,"C",IF('Data Source'!W554&gt;=1,"D","F")))))))</f>
        <v/>
      </c>
      <c r="F554" s="3">
        <f>IF('Data Source'!B554="","",IF('Data Source'!X554&gt;=5,"A+",IF('Data Source'!X554&gt;=4,"A",IF('Data Source'!X554&gt;=3.5,"A-",IF('Data Source'!X554&gt;=3,"B",IF('Data Source'!X554&gt;=2,"C",IF('Data Source'!X554&gt;=1,"D","F")))))))</f>
        <v/>
      </c>
      <c r="G554" s="3">
        <f>IF('Data Source'!B554="","",IF('Data Source'!Y554&gt;=5,"A+",IF('Data Source'!Y554&gt;=4,"A",IF('Data Source'!Y554&gt;=3.5,"A-",IF('Data Source'!Y554&gt;=3,"B",IF('Data Source'!Y554&gt;=2,"C",IF('Data Source'!Y554&gt;=1,"D","F")))))))</f>
        <v/>
      </c>
      <c r="H554" s="3">
        <f>IF('Data Source'!B554="","",IF('Data Source'!Z554&gt;=5,"A+",IF('Data Source'!Z554&gt;=4,"A",IF('Data Source'!Z554&gt;=3.5,"A-",IF('Data Source'!Z554&gt;=3,"B",IF('Data Source'!Z554&gt;=2,"C",IF('Data Source'!Z554&gt;=1,"D","F")))))))</f>
        <v/>
      </c>
      <c r="I554" s="3">
        <f>IF('Data Source'!B554="","",IF('Data Source'!AA554&gt;=5,"A+",IF('Data Source'!AA554&gt;=4,"A",IF('Data Source'!AA554&gt;=3.5,"A-",IF('Data Source'!AA554&gt;=3,"B",IF('Data Source'!AA554&gt;=2,"C",IF('Data Source'!AA554&gt;=1,"D","F")))))))</f>
        <v/>
      </c>
      <c r="J554" s="3">
        <f>IF('Data Source'!B554="","",IF('Data Source'!AB554&gt;=5,"A+",IF('Data Source'!AB554&gt;=4,"A",IF('Data Source'!AB554&gt;=3.5,"A-",IF('Data Source'!AB554&gt;=3,"B",IF('Data Source'!AB554&gt;=2,"C",IF('Data Source'!AB554&gt;=1,"D","F")))))))</f>
        <v/>
      </c>
      <c r="K554" s="3">
        <f>IF('Data Source'!B554="","",IF('Data Source'!AC554&gt;=5,"A+",IF('Data Source'!AC554&gt;=4,"A",IF('Data Source'!AC554&gt;=3.5,"A-",IF('Data Source'!AC554&gt;=3,"B",IF('Data Source'!AC554&gt;=2,"C",IF('Data Source'!AC554&gt;=1,"D","F")))))))</f>
        <v/>
      </c>
      <c r="L554" s="3">
        <f>IF('Data Source'!B554="","",IF('Data Source'!AD554&gt;=5,"A+",IF('Data Source'!AD554&gt;=4,"A",IF('Data Source'!AD554&gt;=3.5,"A-",IF('Data Source'!AD554&gt;=3,"B",IF('Data Source'!AD554&gt;=2,"C",IF('Data Source'!AD554&gt;=1,"D","F")))))))</f>
        <v/>
      </c>
      <c r="M554" s="3">
        <f>IF('Data Source'!B554="","",IF('Data Source'!AE554&gt;=5,"A+",IF('Data Source'!AE554&gt;=4,"A",IF('Data Source'!AE554&gt;=3.5,"A-",IF('Data Source'!AE554&gt;=3,"B",IF('Data Source'!AE554&gt;=2,"C",IF('Data Source'!AE554&gt;=1,"D","F")))))))</f>
        <v/>
      </c>
      <c r="N554" s="3">
        <f>IF('Data Source'!B554="","",IF('Data Source'!AF554&gt;=5,"A+",IF('Data Source'!AF554&gt;=4,"A",IF('Data Source'!AF554&gt;=3.5,"A-",IF('Data Source'!AF554&gt;=3,"B",IF('Data Source'!AF554&gt;=2,"C",IF('Data Source'!AF554&gt;=1,"D","F")))))))</f>
        <v/>
      </c>
      <c r="O554" s="3">
        <f>IF('Data Source'!B554="","",IF('Data Source'!AG554&gt;=5,"A+",IF('Data Source'!AG554&gt;=4,"A",IF('Data Source'!AG554&gt;=3.5,"A-",IF('Data Source'!AG554&gt;=3,"B",IF('Data Source'!AG554&gt;=2,"C",IF('Data Source'!AG554&gt;=1,"D","F")))))))</f>
        <v/>
      </c>
      <c r="P554" s="5">
        <f>IF('Data Source'!B554="","",'Data Source'!R554)</f>
        <v/>
      </c>
      <c r="Q554" s="3">
        <f>IF('Data Source'!B554="","",'Data Source'!S554)</f>
        <v/>
      </c>
    </row>
    <row r="555">
      <c r="A555" s="3">
        <f>IF('Data Source'!B555="","",'Data Source'!A555)</f>
        <v/>
      </c>
      <c r="B555">
        <f>IF('Data Source'!B555="","",'Data Source'!B555)</f>
        <v/>
      </c>
      <c r="C555" s="3">
        <f>IF('Data Source'!B555="","",IF('Data Source'!U555&gt;=5,"A+",IF('Data Source'!U555&gt;=4,"A",IF('Data Source'!U555&gt;=3.5,"A-",IF('Data Source'!U555&gt;=3,"B",IF('Data Source'!U555&gt;=2,"C",IF('Data Source'!U555&gt;=1,"D","F")))))))</f>
        <v/>
      </c>
      <c r="D555" s="3">
        <f>IF('Data Source'!B555="","",IF('Data Source'!V555&gt;=5,"A+",IF('Data Source'!V555&gt;=4,"A",IF('Data Source'!V555&gt;=3.5,"A-",IF('Data Source'!V555&gt;=3,"B",IF('Data Source'!V555&gt;=2,"C",IF('Data Source'!V555&gt;=1,"D","F")))))))</f>
        <v/>
      </c>
      <c r="E555" s="3">
        <f>IF('Data Source'!B555="","",IF('Data Source'!W555&gt;=5,"A+",IF('Data Source'!W555&gt;=4,"A",IF('Data Source'!W555&gt;=3.5,"A-",IF('Data Source'!W555&gt;=3,"B",IF('Data Source'!W555&gt;=2,"C",IF('Data Source'!W555&gt;=1,"D","F")))))))</f>
        <v/>
      </c>
      <c r="F555" s="3">
        <f>IF('Data Source'!B555="","",IF('Data Source'!X555&gt;=5,"A+",IF('Data Source'!X555&gt;=4,"A",IF('Data Source'!X555&gt;=3.5,"A-",IF('Data Source'!X555&gt;=3,"B",IF('Data Source'!X555&gt;=2,"C",IF('Data Source'!X555&gt;=1,"D","F")))))))</f>
        <v/>
      </c>
      <c r="G555" s="3">
        <f>IF('Data Source'!B555="","",IF('Data Source'!Y555&gt;=5,"A+",IF('Data Source'!Y555&gt;=4,"A",IF('Data Source'!Y555&gt;=3.5,"A-",IF('Data Source'!Y555&gt;=3,"B",IF('Data Source'!Y555&gt;=2,"C",IF('Data Source'!Y555&gt;=1,"D","F")))))))</f>
        <v/>
      </c>
      <c r="H555" s="3">
        <f>IF('Data Source'!B555="","",IF('Data Source'!Z555&gt;=5,"A+",IF('Data Source'!Z555&gt;=4,"A",IF('Data Source'!Z555&gt;=3.5,"A-",IF('Data Source'!Z555&gt;=3,"B",IF('Data Source'!Z555&gt;=2,"C",IF('Data Source'!Z555&gt;=1,"D","F")))))))</f>
        <v/>
      </c>
      <c r="I555" s="3">
        <f>IF('Data Source'!B555="","",IF('Data Source'!AA555&gt;=5,"A+",IF('Data Source'!AA555&gt;=4,"A",IF('Data Source'!AA555&gt;=3.5,"A-",IF('Data Source'!AA555&gt;=3,"B",IF('Data Source'!AA555&gt;=2,"C",IF('Data Source'!AA555&gt;=1,"D","F")))))))</f>
        <v/>
      </c>
      <c r="J555" s="3">
        <f>IF('Data Source'!B555="","",IF('Data Source'!AB555&gt;=5,"A+",IF('Data Source'!AB555&gt;=4,"A",IF('Data Source'!AB555&gt;=3.5,"A-",IF('Data Source'!AB555&gt;=3,"B",IF('Data Source'!AB555&gt;=2,"C",IF('Data Source'!AB555&gt;=1,"D","F")))))))</f>
        <v/>
      </c>
      <c r="K555" s="3">
        <f>IF('Data Source'!B555="","",IF('Data Source'!AC555&gt;=5,"A+",IF('Data Source'!AC555&gt;=4,"A",IF('Data Source'!AC555&gt;=3.5,"A-",IF('Data Source'!AC555&gt;=3,"B",IF('Data Source'!AC555&gt;=2,"C",IF('Data Source'!AC555&gt;=1,"D","F")))))))</f>
        <v/>
      </c>
      <c r="L555" s="3">
        <f>IF('Data Source'!B555="","",IF('Data Source'!AD555&gt;=5,"A+",IF('Data Source'!AD555&gt;=4,"A",IF('Data Source'!AD555&gt;=3.5,"A-",IF('Data Source'!AD555&gt;=3,"B",IF('Data Source'!AD555&gt;=2,"C",IF('Data Source'!AD555&gt;=1,"D","F")))))))</f>
        <v/>
      </c>
      <c r="M555" s="3">
        <f>IF('Data Source'!B555="","",IF('Data Source'!AE555&gt;=5,"A+",IF('Data Source'!AE555&gt;=4,"A",IF('Data Source'!AE555&gt;=3.5,"A-",IF('Data Source'!AE555&gt;=3,"B",IF('Data Source'!AE555&gt;=2,"C",IF('Data Source'!AE555&gt;=1,"D","F")))))))</f>
        <v/>
      </c>
      <c r="N555" s="3">
        <f>IF('Data Source'!B555="","",IF('Data Source'!AF555&gt;=5,"A+",IF('Data Source'!AF555&gt;=4,"A",IF('Data Source'!AF555&gt;=3.5,"A-",IF('Data Source'!AF555&gt;=3,"B",IF('Data Source'!AF555&gt;=2,"C",IF('Data Source'!AF555&gt;=1,"D","F")))))))</f>
        <v/>
      </c>
      <c r="O555" s="3">
        <f>IF('Data Source'!B555="","",IF('Data Source'!AG555&gt;=5,"A+",IF('Data Source'!AG555&gt;=4,"A",IF('Data Source'!AG555&gt;=3.5,"A-",IF('Data Source'!AG555&gt;=3,"B",IF('Data Source'!AG555&gt;=2,"C",IF('Data Source'!AG555&gt;=1,"D","F")))))))</f>
        <v/>
      </c>
      <c r="P555" s="5">
        <f>IF('Data Source'!B555="","",'Data Source'!R555)</f>
        <v/>
      </c>
      <c r="Q555" s="3">
        <f>IF('Data Source'!B555="","",'Data Source'!S555)</f>
        <v/>
      </c>
    </row>
    <row r="556">
      <c r="A556" s="3">
        <f>IF('Data Source'!B556="","",'Data Source'!A556)</f>
        <v/>
      </c>
      <c r="B556">
        <f>IF('Data Source'!B556="","",'Data Source'!B556)</f>
        <v/>
      </c>
      <c r="C556" s="3">
        <f>IF('Data Source'!B556="","",IF('Data Source'!U556&gt;=5,"A+",IF('Data Source'!U556&gt;=4,"A",IF('Data Source'!U556&gt;=3.5,"A-",IF('Data Source'!U556&gt;=3,"B",IF('Data Source'!U556&gt;=2,"C",IF('Data Source'!U556&gt;=1,"D","F")))))))</f>
        <v/>
      </c>
      <c r="D556" s="3">
        <f>IF('Data Source'!B556="","",IF('Data Source'!V556&gt;=5,"A+",IF('Data Source'!V556&gt;=4,"A",IF('Data Source'!V556&gt;=3.5,"A-",IF('Data Source'!V556&gt;=3,"B",IF('Data Source'!V556&gt;=2,"C",IF('Data Source'!V556&gt;=1,"D","F")))))))</f>
        <v/>
      </c>
      <c r="E556" s="3">
        <f>IF('Data Source'!B556="","",IF('Data Source'!W556&gt;=5,"A+",IF('Data Source'!W556&gt;=4,"A",IF('Data Source'!W556&gt;=3.5,"A-",IF('Data Source'!W556&gt;=3,"B",IF('Data Source'!W556&gt;=2,"C",IF('Data Source'!W556&gt;=1,"D","F")))))))</f>
        <v/>
      </c>
      <c r="F556" s="3">
        <f>IF('Data Source'!B556="","",IF('Data Source'!X556&gt;=5,"A+",IF('Data Source'!X556&gt;=4,"A",IF('Data Source'!X556&gt;=3.5,"A-",IF('Data Source'!X556&gt;=3,"B",IF('Data Source'!X556&gt;=2,"C",IF('Data Source'!X556&gt;=1,"D","F")))))))</f>
        <v/>
      </c>
      <c r="G556" s="3">
        <f>IF('Data Source'!B556="","",IF('Data Source'!Y556&gt;=5,"A+",IF('Data Source'!Y556&gt;=4,"A",IF('Data Source'!Y556&gt;=3.5,"A-",IF('Data Source'!Y556&gt;=3,"B",IF('Data Source'!Y556&gt;=2,"C",IF('Data Source'!Y556&gt;=1,"D","F")))))))</f>
        <v/>
      </c>
      <c r="H556" s="3">
        <f>IF('Data Source'!B556="","",IF('Data Source'!Z556&gt;=5,"A+",IF('Data Source'!Z556&gt;=4,"A",IF('Data Source'!Z556&gt;=3.5,"A-",IF('Data Source'!Z556&gt;=3,"B",IF('Data Source'!Z556&gt;=2,"C",IF('Data Source'!Z556&gt;=1,"D","F")))))))</f>
        <v/>
      </c>
      <c r="I556" s="3">
        <f>IF('Data Source'!B556="","",IF('Data Source'!AA556&gt;=5,"A+",IF('Data Source'!AA556&gt;=4,"A",IF('Data Source'!AA556&gt;=3.5,"A-",IF('Data Source'!AA556&gt;=3,"B",IF('Data Source'!AA556&gt;=2,"C",IF('Data Source'!AA556&gt;=1,"D","F")))))))</f>
        <v/>
      </c>
      <c r="J556" s="3">
        <f>IF('Data Source'!B556="","",IF('Data Source'!AB556&gt;=5,"A+",IF('Data Source'!AB556&gt;=4,"A",IF('Data Source'!AB556&gt;=3.5,"A-",IF('Data Source'!AB556&gt;=3,"B",IF('Data Source'!AB556&gt;=2,"C",IF('Data Source'!AB556&gt;=1,"D","F")))))))</f>
        <v/>
      </c>
      <c r="K556" s="3">
        <f>IF('Data Source'!B556="","",IF('Data Source'!AC556&gt;=5,"A+",IF('Data Source'!AC556&gt;=4,"A",IF('Data Source'!AC556&gt;=3.5,"A-",IF('Data Source'!AC556&gt;=3,"B",IF('Data Source'!AC556&gt;=2,"C",IF('Data Source'!AC556&gt;=1,"D","F")))))))</f>
        <v/>
      </c>
      <c r="L556" s="3">
        <f>IF('Data Source'!B556="","",IF('Data Source'!AD556&gt;=5,"A+",IF('Data Source'!AD556&gt;=4,"A",IF('Data Source'!AD556&gt;=3.5,"A-",IF('Data Source'!AD556&gt;=3,"B",IF('Data Source'!AD556&gt;=2,"C",IF('Data Source'!AD556&gt;=1,"D","F")))))))</f>
        <v/>
      </c>
      <c r="M556" s="3">
        <f>IF('Data Source'!B556="","",IF('Data Source'!AE556&gt;=5,"A+",IF('Data Source'!AE556&gt;=4,"A",IF('Data Source'!AE556&gt;=3.5,"A-",IF('Data Source'!AE556&gt;=3,"B",IF('Data Source'!AE556&gt;=2,"C",IF('Data Source'!AE556&gt;=1,"D","F")))))))</f>
        <v/>
      </c>
      <c r="N556" s="3">
        <f>IF('Data Source'!B556="","",IF('Data Source'!AF556&gt;=5,"A+",IF('Data Source'!AF556&gt;=4,"A",IF('Data Source'!AF556&gt;=3.5,"A-",IF('Data Source'!AF556&gt;=3,"B",IF('Data Source'!AF556&gt;=2,"C",IF('Data Source'!AF556&gt;=1,"D","F")))))))</f>
        <v/>
      </c>
      <c r="O556" s="3">
        <f>IF('Data Source'!B556="","",IF('Data Source'!AG556&gt;=5,"A+",IF('Data Source'!AG556&gt;=4,"A",IF('Data Source'!AG556&gt;=3.5,"A-",IF('Data Source'!AG556&gt;=3,"B",IF('Data Source'!AG556&gt;=2,"C",IF('Data Source'!AG556&gt;=1,"D","F")))))))</f>
        <v/>
      </c>
      <c r="P556" s="5">
        <f>IF('Data Source'!B556="","",'Data Source'!R556)</f>
        <v/>
      </c>
      <c r="Q556" s="3">
        <f>IF('Data Source'!B556="","",'Data Source'!S556)</f>
        <v/>
      </c>
    </row>
    <row r="557">
      <c r="A557" s="3">
        <f>IF('Data Source'!B557="","",'Data Source'!A557)</f>
        <v/>
      </c>
      <c r="B557">
        <f>IF('Data Source'!B557="","",'Data Source'!B557)</f>
        <v/>
      </c>
      <c r="C557" s="3">
        <f>IF('Data Source'!B557="","",IF('Data Source'!U557&gt;=5,"A+",IF('Data Source'!U557&gt;=4,"A",IF('Data Source'!U557&gt;=3.5,"A-",IF('Data Source'!U557&gt;=3,"B",IF('Data Source'!U557&gt;=2,"C",IF('Data Source'!U557&gt;=1,"D","F")))))))</f>
        <v/>
      </c>
      <c r="D557" s="3">
        <f>IF('Data Source'!B557="","",IF('Data Source'!V557&gt;=5,"A+",IF('Data Source'!V557&gt;=4,"A",IF('Data Source'!V557&gt;=3.5,"A-",IF('Data Source'!V557&gt;=3,"B",IF('Data Source'!V557&gt;=2,"C",IF('Data Source'!V557&gt;=1,"D","F")))))))</f>
        <v/>
      </c>
      <c r="E557" s="3">
        <f>IF('Data Source'!B557="","",IF('Data Source'!W557&gt;=5,"A+",IF('Data Source'!W557&gt;=4,"A",IF('Data Source'!W557&gt;=3.5,"A-",IF('Data Source'!W557&gt;=3,"B",IF('Data Source'!W557&gt;=2,"C",IF('Data Source'!W557&gt;=1,"D","F")))))))</f>
        <v/>
      </c>
      <c r="F557" s="3">
        <f>IF('Data Source'!B557="","",IF('Data Source'!X557&gt;=5,"A+",IF('Data Source'!X557&gt;=4,"A",IF('Data Source'!X557&gt;=3.5,"A-",IF('Data Source'!X557&gt;=3,"B",IF('Data Source'!X557&gt;=2,"C",IF('Data Source'!X557&gt;=1,"D","F")))))))</f>
        <v/>
      </c>
      <c r="G557" s="3">
        <f>IF('Data Source'!B557="","",IF('Data Source'!Y557&gt;=5,"A+",IF('Data Source'!Y557&gt;=4,"A",IF('Data Source'!Y557&gt;=3.5,"A-",IF('Data Source'!Y557&gt;=3,"B",IF('Data Source'!Y557&gt;=2,"C",IF('Data Source'!Y557&gt;=1,"D","F")))))))</f>
        <v/>
      </c>
      <c r="H557" s="3">
        <f>IF('Data Source'!B557="","",IF('Data Source'!Z557&gt;=5,"A+",IF('Data Source'!Z557&gt;=4,"A",IF('Data Source'!Z557&gt;=3.5,"A-",IF('Data Source'!Z557&gt;=3,"B",IF('Data Source'!Z557&gt;=2,"C",IF('Data Source'!Z557&gt;=1,"D","F")))))))</f>
        <v/>
      </c>
      <c r="I557" s="3">
        <f>IF('Data Source'!B557="","",IF('Data Source'!AA557&gt;=5,"A+",IF('Data Source'!AA557&gt;=4,"A",IF('Data Source'!AA557&gt;=3.5,"A-",IF('Data Source'!AA557&gt;=3,"B",IF('Data Source'!AA557&gt;=2,"C",IF('Data Source'!AA557&gt;=1,"D","F")))))))</f>
        <v/>
      </c>
      <c r="J557" s="3">
        <f>IF('Data Source'!B557="","",IF('Data Source'!AB557&gt;=5,"A+",IF('Data Source'!AB557&gt;=4,"A",IF('Data Source'!AB557&gt;=3.5,"A-",IF('Data Source'!AB557&gt;=3,"B",IF('Data Source'!AB557&gt;=2,"C",IF('Data Source'!AB557&gt;=1,"D","F")))))))</f>
        <v/>
      </c>
      <c r="K557" s="3">
        <f>IF('Data Source'!B557="","",IF('Data Source'!AC557&gt;=5,"A+",IF('Data Source'!AC557&gt;=4,"A",IF('Data Source'!AC557&gt;=3.5,"A-",IF('Data Source'!AC557&gt;=3,"B",IF('Data Source'!AC557&gt;=2,"C",IF('Data Source'!AC557&gt;=1,"D","F")))))))</f>
        <v/>
      </c>
      <c r="L557" s="3">
        <f>IF('Data Source'!B557="","",IF('Data Source'!AD557&gt;=5,"A+",IF('Data Source'!AD557&gt;=4,"A",IF('Data Source'!AD557&gt;=3.5,"A-",IF('Data Source'!AD557&gt;=3,"B",IF('Data Source'!AD557&gt;=2,"C",IF('Data Source'!AD557&gt;=1,"D","F")))))))</f>
        <v/>
      </c>
      <c r="M557" s="3">
        <f>IF('Data Source'!B557="","",IF('Data Source'!AE557&gt;=5,"A+",IF('Data Source'!AE557&gt;=4,"A",IF('Data Source'!AE557&gt;=3.5,"A-",IF('Data Source'!AE557&gt;=3,"B",IF('Data Source'!AE557&gt;=2,"C",IF('Data Source'!AE557&gt;=1,"D","F")))))))</f>
        <v/>
      </c>
      <c r="N557" s="3">
        <f>IF('Data Source'!B557="","",IF('Data Source'!AF557&gt;=5,"A+",IF('Data Source'!AF557&gt;=4,"A",IF('Data Source'!AF557&gt;=3.5,"A-",IF('Data Source'!AF557&gt;=3,"B",IF('Data Source'!AF557&gt;=2,"C",IF('Data Source'!AF557&gt;=1,"D","F")))))))</f>
        <v/>
      </c>
      <c r="O557" s="3">
        <f>IF('Data Source'!B557="","",IF('Data Source'!AG557&gt;=5,"A+",IF('Data Source'!AG557&gt;=4,"A",IF('Data Source'!AG557&gt;=3.5,"A-",IF('Data Source'!AG557&gt;=3,"B",IF('Data Source'!AG557&gt;=2,"C",IF('Data Source'!AG557&gt;=1,"D","F")))))))</f>
        <v/>
      </c>
      <c r="P557" s="5">
        <f>IF('Data Source'!B557="","",'Data Source'!R557)</f>
        <v/>
      </c>
      <c r="Q557" s="3">
        <f>IF('Data Source'!B557="","",'Data Source'!S557)</f>
        <v/>
      </c>
    </row>
    <row r="558">
      <c r="A558" s="3">
        <f>IF('Data Source'!B558="","",'Data Source'!A558)</f>
        <v/>
      </c>
      <c r="B558">
        <f>IF('Data Source'!B558="","",'Data Source'!B558)</f>
        <v/>
      </c>
      <c r="C558" s="3">
        <f>IF('Data Source'!B558="","",IF('Data Source'!U558&gt;=5,"A+",IF('Data Source'!U558&gt;=4,"A",IF('Data Source'!U558&gt;=3.5,"A-",IF('Data Source'!U558&gt;=3,"B",IF('Data Source'!U558&gt;=2,"C",IF('Data Source'!U558&gt;=1,"D","F")))))))</f>
        <v/>
      </c>
      <c r="D558" s="3">
        <f>IF('Data Source'!B558="","",IF('Data Source'!V558&gt;=5,"A+",IF('Data Source'!V558&gt;=4,"A",IF('Data Source'!V558&gt;=3.5,"A-",IF('Data Source'!V558&gt;=3,"B",IF('Data Source'!V558&gt;=2,"C",IF('Data Source'!V558&gt;=1,"D","F")))))))</f>
        <v/>
      </c>
      <c r="E558" s="3">
        <f>IF('Data Source'!B558="","",IF('Data Source'!W558&gt;=5,"A+",IF('Data Source'!W558&gt;=4,"A",IF('Data Source'!W558&gt;=3.5,"A-",IF('Data Source'!W558&gt;=3,"B",IF('Data Source'!W558&gt;=2,"C",IF('Data Source'!W558&gt;=1,"D","F")))))))</f>
        <v/>
      </c>
      <c r="F558" s="3">
        <f>IF('Data Source'!B558="","",IF('Data Source'!X558&gt;=5,"A+",IF('Data Source'!X558&gt;=4,"A",IF('Data Source'!X558&gt;=3.5,"A-",IF('Data Source'!X558&gt;=3,"B",IF('Data Source'!X558&gt;=2,"C",IF('Data Source'!X558&gt;=1,"D","F")))))))</f>
        <v/>
      </c>
      <c r="G558" s="3">
        <f>IF('Data Source'!B558="","",IF('Data Source'!Y558&gt;=5,"A+",IF('Data Source'!Y558&gt;=4,"A",IF('Data Source'!Y558&gt;=3.5,"A-",IF('Data Source'!Y558&gt;=3,"B",IF('Data Source'!Y558&gt;=2,"C",IF('Data Source'!Y558&gt;=1,"D","F")))))))</f>
        <v/>
      </c>
      <c r="H558" s="3">
        <f>IF('Data Source'!B558="","",IF('Data Source'!Z558&gt;=5,"A+",IF('Data Source'!Z558&gt;=4,"A",IF('Data Source'!Z558&gt;=3.5,"A-",IF('Data Source'!Z558&gt;=3,"B",IF('Data Source'!Z558&gt;=2,"C",IF('Data Source'!Z558&gt;=1,"D","F")))))))</f>
        <v/>
      </c>
      <c r="I558" s="3">
        <f>IF('Data Source'!B558="","",IF('Data Source'!AA558&gt;=5,"A+",IF('Data Source'!AA558&gt;=4,"A",IF('Data Source'!AA558&gt;=3.5,"A-",IF('Data Source'!AA558&gt;=3,"B",IF('Data Source'!AA558&gt;=2,"C",IF('Data Source'!AA558&gt;=1,"D","F")))))))</f>
        <v/>
      </c>
      <c r="J558" s="3">
        <f>IF('Data Source'!B558="","",IF('Data Source'!AB558&gt;=5,"A+",IF('Data Source'!AB558&gt;=4,"A",IF('Data Source'!AB558&gt;=3.5,"A-",IF('Data Source'!AB558&gt;=3,"B",IF('Data Source'!AB558&gt;=2,"C",IF('Data Source'!AB558&gt;=1,"D","F")))))))</f>
        <v/>
      </c>
      <c r="K558" s="3">
        <f>IF('Data Source'!B558="","",IF('Data Source'!AC558&gt;=5,"A+",IF('Data Source'!AC558&gt;=4,"A",IF('Data Source'!AC558&gt;=3.5,"A-",IF('Data Source'!AC558&gt;=3,"B",IF('Data Source'!AC558&gt;=2,"C",IF('Data Source'!AC558&gt;=1,"D","F")))))))</f>
        <v/>
      </c>
      <c r="L558" s="3">
        <f>IF('Data Source'!B558="","",IF('Data Source'!AD558&gt;=5,"A+",IF('Data Source'!AD558&gt;=4,"A",IF('Data Source'!AD558&gt;=3.5,"A-",IF('Data Source'!AD558&gt;=3,"B",IF('Data Source'!AD558&gt;=2,"C",IF('Data Source'!AD558&gt;=1,"D","F")))))))</f>
        <v/>
      </c>
      <c r="M558" s="3">
        <f>IF('Data Source'!B558="","",IF('Data Source'!AE558&gt;=5,"A+",IF('Data Source'!AE558&gt;=4,"A",IF('Data Source'!AE558&gt;=3.5,"A-",IF('Data Source'!AE558&gt;=3,"B",IF('Data Source'!AE558&gt;=2,"C",IF('Data Source'!AE558&gt;=1,"D","F")))))))</f>
        <v/>
      </c>
      <c r="N558" s="3">
        <f>IF('Data Source'!B558="","",IF('Data Source'!AF558&gt;=5,"A+",IF('Data Source'!AF558&gt;=4,"A",IF('Data Source'!AF558&gt;=3.5,"A-",IF('Data Source'!AF558&gt;=3,"B",IF('Data Source'!AF558&gt;=2,"C",IF('Data Source'!AF558&gt;=1,"D","F")))))))</f>
        <v/>
      </c>
      <c r="O558" s="3">
        <f>IF('Data Source'!B558="","",IF('Data Source'!AG558&gt;=5,"A+",IF('Data Source'!AG558&gt;=4,"A",IF('Data Source'!AG558&gt;=3.5,"A-",IF('Data Source'!AG558&gt;=3,"B",IF('Data Source'!AG558&gt;=2,"C",IF('Data Source'!AG558&gt;=1,"D","F")))))))</f>
        <v/>
      </c>
      <c r="P558" s="5">
        <f>IF('Data Source'!B558="","",'Data Source'!R558)</f>
        <v/>
      </c>
      <c r="Q558" s="3">
        <f>IF('Data Source'!B558="","",'Data Source'!S558)</f>
        <v/>
      </c>
    </row>
    <row r="559">
      <c r="A559" s="3">
        <f>IF('Data Source'!B559="","",'Data Source'!A559)</f>
        <v/>
      </c>
      <c r="B559">
        <f>IF('Data Source'!B559="","",'Data Source'!B559)</f>
        <v/>
      </c>
      <c r="C559" s="3">
        <f>IF('Data Source'!B559="","",IF('Data Source'!U559&gt;=5,"A+",IF('Data Source'!U559&gt;=4,"A",IF('Data Source'!U559&gt;=3.5,"A-",IF('Data Source'!U559&gt;=3,"B",IF('Data Source'!U559&gt;=2,"C",IF('Data Source'!U559&gt;=1,"D","F")))))))</f>
        <v/>
      </c>
      <c r="D559" s="3">
        <f>IF('Data Source'!B559="","",IF('Data Source'!V559&gt;=5,"A+",IF('Data Source'!V559&gt;=4,"A",IF('Data Source'!V559&gt;=3.5,"A-",IF('Data Source'!V559&gt;=3,"B",IF('Data Source'!V559&gt;=2,"C",IF('Data Source'!V559&gt;=1,"D","F")))))))</f>
        <v/>
      </c>
      <c r="E559" s="3">
        <f>IF('Data Source'!B559="","",IF('Data Source'!W559&gt;=5,"A+",IF('Data Source'!W559&gt;=4,"A",IF('Data Source'!W559&gt;=3.5,"A-",IF('Data Source'!W559&gt;=3,"B",IF('Data Source'!W559&gt;=2,"C",IF('Data Source'!W559&gt;=1,"D","F")))))))</f>
        <v/>
      </c>
      <c r="F559" s="3">
        <f>IF('Data Source'!B559="","",IF('Data Source'!X559&gt;=5,"A+",IF('Data Source'!X559&gt;=4,"A",IF('Data Source'!X559&gt;=3.5,"A-",IF('Data Source'!X559&gt;=3,"B",IF('Data Source'!X559&gt;=2,"C",IF('Data Source'!X559&gt;=1,"D","F")))))))</f>
        <v/>
      </c>
      <c r="G559" s="3">
        <f>IF('Data Source'!B559="","",IF('Data Source'!Y559&gt;=5,"A+",IF('Data Source'!Y559&gt;=4,"A",IF('Data Source'!Y559&gt;=3.5,"A-",IF('Data Source'!Y559&gt;=3,"B",IF('Data Source'!Y559&gt;=2,"C",IF('Data Source'!Y559&gt;=1,"D","F")))))))</f>
        <v/>
      </c>
      <c r="H559" s="3">
        <f>IF('Data Source'!B559="","",IF('Data Source'!Z559&gt;=5,"A+",IF('Data Source'!Z559&gt;=4,"A",IF('Data Source'!Z559&gt;=3.5,"A-",IF('Data Source'!Z559&gt;=3,"B",IF('Data Source'!Z559&gt;=2,"C",IF('Data Source'!Z559&gt;=1,"D","F")))))))</f>
        <v/>
      </c>
      <c r="I559" s="3">
        <f>IF('Data Source'!B559="","",IF('Data Source'!AA559&gt;=5,"A+",IF('Data Source'!AA559&gt;=4,"A",IF('Data Source'!AA559&gt;=3.5,"A-",IF('Data Source'!AA559&gt;=3,"B",IF('Data Source'!AA559&gt;=2,"C",IF('Data Source'!AA559&gt;=1,"D","F")))))))</f>
        <v/>
      </c>
      <c r="J559" s="3">
        <f>IF('Data Source'!B559="","",IF('Data Source'!AB559&gt;=5,"A+",IF('Data Source'!AB559&gt;=4,"A",IF('Data Source'!AB559&gt;=3.5,"A-",IF('Data Source'!AB559&gt;=3,"B",IF('Data Source'!AB559&gt;=2,"C",IF('Data Source'!AB559&gt;=1,"D","F")))))))</f>
        <v/>
      </c>
      <c r="K559" s="3">
        <f>IF('Data Source'!B559="","",IF('Data Source'!AC559&gt;=5,"A+",IF('Data Source'!AC559&gt;=4,"A",IF('Data Source'!AC559&gt;=3.5,"A-",IF('Data Source'!AC559&gt;=3,"B",IF('Data Source'!AC559&gt;=2,"C",IF('Data Source'!AC559&gt;=1,"D","F")))))))</f>
        <v/>
      </c>
      <c r="L559" s="3">
        <f>IF('Data Source'!B559="","",IF('Data Source'!AD559&gt;=5,"A+",IF('Data Source'!AD559&gt;=4,"A",IF('Data Source'!AD559&gt;=3.5,"A-",IF('Data Source'!AD559&gt;=3,"B",IF('Data Source'!AD559&gt;=2,"C",IF('Data Source'!AD559&gt;=1,"D","F")))))))</f>
        <v/>
      </c>
      <c r="M559" s="3">
        <f>IF('Data Source'!B559="","",IF('Data Source'!AE559&gt;=5,"A+",IF('Data Source'!AE559&gt;=4,"A",IF('Data Source'!AE559&gt;=3.5,"A-",IF('Data Source'!AE559&gt;=3,"B",IF('Data Source'!AE559&gt;=2,"C",IF('Data Source'!AE559&gt;=1,"D","F")))))))</f>
        <v/>
      </c>
      <c r="N559" s="3">
        <f>IF('Data Source'!B559="","",IF('Data Source'!AF559&gt;=5,"A+",IF('Data Source'!AF559&gt;=4,"A",IF('Data Source'!AF559&gt;=3.5,"A-",IF('Data Source'!AF559&gt;=3,"B",IF('Data Source'!AF559&gt;=2,"C",IF('Data Source'!AF559&gt;=1,"D","F")))))))</f>
        <v/>
      </c>
      <c r="O559" s="3">
        <f>IF('Data Source'!B559="","",IF('Data Source'!AG559&gt;=5,"A+",IF('Data Source'!AG559&gt;=4,"A",IF('Data Source'!AG559&gt;=3.5,"A-",IF('Data Source'!AG559&gt;=3,"B",IF('Data Source'!AG559&gt;=2,"C",IF('Data Source'!AG559&gt;=1,"D","F")))))))</f>
        <v/>
      </c>
      <c r="P559" s="5">
        <f>IF('Data Source'!B559="","",'Data Source'!R559)</f>
        <v/>
      </c>
      <c r="Q559" s="3">
        <f>IF('Data Source'!B559="","",'Data Source'!S559)</f>
        <v/>
      </c>
    </row>
    <row r="560">
      <c r="A560" s="3">
        <f>IF('Data Source'!B560="","",'Data Source'!A560)</f>
        <v/>
      </c>
      <c r="B560">
        <f>IF('Data Source'!B560="","",'Data Source'!B560)</f>
        <v/>
      </c>
      <c r="C560" s="3">
        <f>IF('Data Source'!B560="","",IF('Data Source'!U560&gt;=5,"A+",IF('Data Source'!U560&gt;=4,"A",IF('Data Source'!U560&gt;=3.5,"A-",IF('Data Source'!U560&gt;=3,"B",IF('Data Source'!U560&gt;=2,"C",IF('Data Source'!U560&gt;=1,"D","F")))))))</f>
        <v/>
      </c>
      <c r="D560" s="3">
        <f>IF('Data Source'!B560="","",IF('Data Source'!V560&gt;=5,"A+",IF('Data Source'!V560&gt;=4,"A",IF('Data Source'!V560&gt;=3.5,"A-",IF('Data Source'!V560&gt;=3,"B",IF('Data Source'!V560&gt;=2,"C",IF('Data Source'!V560&gt;=1,"D","F")))))))</f>
        <v/>
      </c>
      <c r="E560" s="3">
        <f>IF('Data Source'!B560="","",IF('Data Source'!W560&gt;=5,"A+",IF('Data Source'!W560&gt;=4,"A",IF('Data Source'!W560&gt;=3.5,"A-",IF('Data Source'!W560&gt;=3,"B",IF('Data Source'!W560&gt;=2,"C",IF('Data Source'!W560&gt;=1,"D","F")))))))</f>
        <v/>
      </c>
      <c r="F560" s="3">
        <f>IF('Data Source'!B560="","",IF('Data Source'!X560&gt;=5,"A+",IF('Data Source'!X560&gt;=4,"A",IF('Data Source'!X560&gt;=3.5,"A-",IF('Data Source'!X560&gt;=3,"B",IF('Data Source'!X560&gt;=2,"C",IF('Data Source'!X560&gt;=1,"D","F")))))))</f>
        <v/>
      </c>
      <c r="G560" s="3">
        <f>IF('Data Source'!B560="","",IF('Data Source'!Y560&gt;=5,"A+",IF('Data Source'!Y560&gt;=4,"A",IF('Data Source'!Y560&gt;=3.5,"A-",IF('Data Source'!Y560&gt;=3,"B",IF('Data Source'!Y560&gt;=2,"C",IF('Data Source'!Y560&gt;=1,"D","F")))))))</f>
        <v/>
      </c>
      <c r="H560" s="3">
        <f>IF('Data Source'!B560="","",IF('Data Source'!Z560&gt;=5,"A+",IF('Data Source'!Z560&gt;=4,"A",IF('Data Source'!Z560&gt;=3.5,"A-",IF('Data Source'!Z560&gt;=3,"B",IF('Data Source'!Z560&gt;=2,"C",IF('Data Source'!Z560&gt;=1,"D","F")))))))</f>
        <v/>
      </c>
      <c r="I560" s="3">
        <f>IF('Data Source'!B560="","",IF('Data Source'!AA560&gt;=5,"A+",IF('Data Source'!AA560&gt;=4,"A",IF('Data Source'!AA560&gt;=3.5,"A-",IF('Data Source'!AA560&gt;=3,"B",IF('Data Source'!AA560&gt;=2,"C",IF('Data Source'!AA560&gt;=1,"D","F")))))))</f>
        <v/>
      </c>
      <c r="J560" s="3">
        <f>IF('Data Source'!B560="","",IF('Data Source'!AB560&gt;=5,"A+",IF('Data Source'!AB560&gt;=4,"A",IF('Data Source'!AB560&gt;=3.5,"A-",IF('Data Source'!AB560&gt;=3,"B",IF('Data Source'!AB560&gt;=2,"C",IF('Data Source'!AB560&gt;=1,"D","F")))))))</f>
        <v/>
      </c>
      <c r="K560" s="3">
        <f>IF('Data Source'!B560="","",IF('Data Source'!AC560&gt;=5,"A+",IF('Data Source'!AC560&gt;=4,"A",IF('Data Source'!AC560&gt;=3.5,"A-",IF('Data Source'!AC560&gt;=3,"B",IF('Data Source'!AC560&gt;=2,"C",IF('Data Source'!AC560&gt;=1,"D","F")))))))</f>
        <v/>
      </c>
      <c r="L560" s="3">
        <f>IF('Data Source'!B560="","",IF('Data Source'!AD560&gt;=5,"A+",IF('Data Source'!AD560&gt;=4,"A",IF('Data Source'!AD560&gt;=3.5,"A-",IF('Data Source'!AD560&gt;=3,"B",IF('Data Source'!AD560&gt;=2,"C",IF('Data Source'!AD560&gt;=1,"D","F")))))))</f>
        <v/>
      </c>
      <c r="M560" s="3">
        <f>IF('Data Source'!B560="","",IF('Data Source'!AE560&gt;=5,"A+",IF('Data Source'!AE560&gt;=4,"A",IF('Data Source'!AE560&gt;=3.5,"A-",IF('Data Source'!AE560&gt;=3,"B",IF('Data Source'!AE560&gt;=2,"C",IF('Data Source'!AE560&gt;=1,"D","F")))))))</f>
        <v/>
      </c>
      <c r="N560" s="3">
        <f>IF('Data Source'!B560="","",IF('Data Source'!AF560&gt;=5,"A+",IF('Data Source'!AF560&gt;=4,"A",IF('Data Source'!AF560&gt;=3.5,"A-",IF('Data Source'!AF560&gt;=3,"B",IF('Data Source'!AF560&gt;=2,"C",IF('Data Source'!AF560&gt;=1,"D","F")))))))</f>
        <v/>
      </c>
      <c r="O560" s="3">
        <f>IF('Data Source'!B560="","",IF('Data Source'!AG560&gt;=5,"A+",IF('Data Source'!AG560&gt;=4,"A",IF('Data Source'!AG560&gt;=3.5,"A-",IF('Data Source'!AG560&gt;=3,"B",IF('Data Source'!AG560&gt;=2,"C",IF('Data Source'!AG560&gt;=1,"D","F")))))))</f>
        <v/>
      </c>
      <c r="P560" s="5">
        <f>IF('Data Source'!B560="","",'Data Source'!R560)</f>
        <v/>
      </c>
      <c r="Q560" s="3">
        <f>IF('Data Source'!B560="","",'Data Source'!S560)</f>
        <v/>
      </c>
    </row>
    <row r="561">
      <c r="A561" s="3">
        <f>IF('Data Source'!B561="","",'Data Source'!A561)</f>
        <v/>
      </c>
      <c r="B561">
        <f>IF('Data Source'!B561="","",'Data Source'!B561)</f>
        <v/>
      </c>
      <c r="C561" s="3">
        <f>IF('Data Source'!B561="","",IF('Data Source'!U561&gt;=5,"A+",IF('Data Source'!U561&gt;=4,"A",IF('Data Source'!U561&gt;=3.5,"A-",IF('Data Source'!U561&gt;=3,"B",IF('Data Source'!U561&gt;=2,"C",IF('Data Source'!U561&gt;=1,"D","F")))))))</f>
        <v/>
      </c>
      <c r="D561" s="3">
        <f>IF('Data Source'!B561="","",IF('Data Source'!V561&gt;=5,"A+",IF('Data Source'!V561&gt;=4,"A",IF('Data Source'!V561&gt;=3.5,"A-",IF('Data Source'!V561&gt;=3,"B",IF('Data Source'!V561&gt;=2,"C",IF('Data Source'!V561&gt;=1,"D","F")))))))</f>
        <v/>
      </c>
      <c r="E561" s="3">
        <f>IF('Data Source'!B561="","",IF('Data Source'!W561&gt;=5,"A+",IF('Data Source'!W561&gt;=4,"A",IF('Data Source'!W561&gt;=3.5,"A-",IF('Data Source'!W561&gt;=3,"B",IF('Data Source'!W561&gt;=2,"C",IF('Data Source'!W561&gt;=1,"D","F")))))))</f>
        <v/>
      </c>
      <c r="F561" s="3">
        <f>IF('Data Source'!B561="","",IF('Data Source'!X561&gt;=5,"A+",IF('Data Source'!X561&gt;=4,"A",IF('Data Source'!X561&gt;=3.5,"A-",IF('Data Source'!X561&gt;=3,"B",IF('Data Source'!X561&gt;=2,"C",IF('Data Source'!X561&gt;=1,"D","F")))))))</f>
        <v/>
      </c>
      <c r="G561" s="3">
        <f>IF('Data Source'!B561="","",IF('Data Source'!Y561&gt;=5,"A+",IF('Data Source'!Y561&gt;=4,"A",IF('Data Source'!Y561&gt;=3.5,"A-",IF('Data Source'!Y561&gt;=3,"B",IF('Data Source'!Y561&gt;=2,"C",IF('Data Source'!Y561&gt;=1,"D","F")))))))</f>
        <v/>
      </c>
      <c r="H561" s="3">
        <f>IF('Data Source'!B561="","",IF('Data Source'!Z561&gt;=5,"A+",IF('Data Source'!Z561&gt;=4,"A",IF('Data Source'!Z561&gt;=3.5,"A-",IF('Data Source'!Z561&gt;=3,"B",IF('Data Source'!Z561&gt;=2,"C",IF('Data Source'!Z561&gt;=1,"D","F")))))))</f>
        <v/>
      </c>
      <c r="I561" s="3">
        <f>IF('Data Source'!B561="","",IF('Data Source'!AA561&gt;=5,"A+",IF('Data Source'!AA561&gt;=4,"A",IF('Data Source'!AA561&gt;=3.5,"A-",IF('Data Source'!AA561&gt;=3,"B",IF('Data Source'!AA561&gt;=2,"C",IF('Data Source'!AA561&gt;=1,"D","F")))))))</f>
        <v/>
      </c>
      <c r="J561" s="3">
        <f>IF('Data Source'!B561="","",IF('Data Source'!AB561&gt;=5,"A+",IF('Data Source'!AB561&gt;=4,"A",IF('Data Source'!AB561&gt;=3.5,"A-",IF('Data Source'!AB561&gt;=3,"B",IF('Data Source'!AB561&gt;=2,"C",IF('Data Source'!AB561&gt;=1,"D","F")))))))</f>
        <v/>
      </c>
      <c r="K561" s="3">
        <f>IF('Data Source'!B561="","",IF('Data Source'!AC561&gt;=5,"A+",IF('Data Source'!AC561&gt;=4,"A",IF('Data Source'!AC561&gt;=3.5,"A-",IF('Data Source'!AC561&gt;=3,"B",IF('Data Source'!AC561&gt;=2,"C",IF('Data Source'!AC561&gt;=1,"D","F")))))))</f>
        <v/>
      </c>
      <c r="L561" s="3">
        <f>IF('Data Source'!B561="","",IF('Data Source'!AD561&gt;=5,"A+",IF('Data Source'!AD561&gt;=4,"A",IF('Data Source'!AD561&gt;=3.5,"A-",IF('Data Source'!AD561&gt;=3,"B",IF('Data Source'!AD561&gt;=2,"C",IF('Data Source'!AD561&gt;=1,"D","F")))))))</f>
        <v/>
      </c>
      <c r="M561" s="3">
        <f>IF('Data Source'!B561="","",IF('Data Source'!AE561&gt;=5,"A+",IF('Data Source'!AE561&gt;=4,"A",IF('Data Source'!AE561&gt;=3.5,"A-",IF('Data Source'!AE561&gt;=3,"B",IF('Data Source'!AE561&gt;=2,"C",IF('Data Source'!AE561&gt;=1,"D","F")))))))</f>
        <v/>
      </c>
      <c r="N561" s="3">
        <f>IF('Data Source'!B561="","",IF('Data Source'!AF561&gt;=5,"A+",IF('Data Source'!AF561&gt;=4,"A",IF('Data Source'!AF561&gt;=3.5,"A-",IF('Data Source'!AF561&gt;=3,"B",IF('Data Source'!AF561&gt;=2,"C",IF('Data Source'!AF561&gt;=1,"D","F")))))))</f>
        <v/>
      </c>
      <c r="O561" s="3">
        <f>IF('Data Source'!B561="","",IF('Data Source'!AG561&gt;=5,"A+",IF('Data Source'!AG561&gt;=4,"A",IF('Data Source'!AG561&gt;=3.5,"A-",IF('Data Source'!AG561&gt;=3,"B",IF('Data Source'!AG561&gt;=2,"C",IF('Data Source'!AG561&gt;=1,"D","F")))))))</f>
        <v/>
      </c>
      <c r="P561" s="5">
        <f>IF('Data Source'!B561="","",'Data Source'!R561)</f>
        <v/>
      </c>
      <c r="Q561" s="3">
        <f>IF('Data Source'!B561="","",'Data Source'!S561)</f>
        <v/>
      </c>
    </row>
    <row r="562">
      <c r="A562" s="3">
        <f>IF('Data Source'!B562="","",'Data Source'!A562)</f>
        <v/>
      </c>
      <c r="B562">
        <f>IF('Data Source'!B562="","",'Data Source'!B562)</f>
        <v/>
      </c>
      <c r="C562" s="3">
        <f>IF('Data Source'!B562="","",IF('Data Source'!U562&gt;=5,"A+",IF('Data Source'!U562&gt;=4,"A",IF('Data Source'!U562&gt;=3.5,"A-",IF('Data Source'!U562&gt;=3,"B",IF('Data Source'!U562&gt;=2,"C",IF('Data Source'!U562&gt;=1,"D","F")))))))</f>
        <v/>
      </c>
      <c r="D562" s="3">
        <f>IF('Data Source'!B562="","",IF('Data Source'!V562&gt;=5,"A+",IF('Data Source'!V562&gt;=4,"A",IF('Data Source'!V562&gt;=3.5,"A-",IF('Data Source'!V562&gt;=3,"B",IF('Data Source'!V562&gt;=2,"C",IF('Data Source'!V562&gt;=1,"D","F")))))))</f>
        <v/>
      </c>
      <c r="E562" s="3">
        <f>IF('Data Source'!B562="","",IF('Data Source'!W562&gt;=5,"A+",IF('Data Source'!W562&gt;=4,"A",IF('Data Source'!W562&gt;=3.5,"A-",IF('Data Source'!W562&gt;=3,"B",IF('Data Source'!W562&gt;=2,"C",IF('Data Source'!W562&gt;=1,"D","F")))))))</f>
        <v/>
      </c>
      <c r="F562" s="3">
        <f>IF('Data Source'!B562="","",IF('Data Source'!X562&gt;=5,"A+",IF('Data Source'!X562&gt;=4,"A",IF('Data Source'!X562&gt;=3.5,"A-",IF('Data Source'!X562&gt;=3,"B",IF('Data Source'!X562&gt;=2,"C",IF('Data Source'!X562&gt;=1,"D","F")))))))</f>
        <v/>
      </c>
      <c r="G562" s="3">
        <f>IF('Data Source'!B562="","",IF('Data Source'!Y562&gt;=5,"A+",IF('Data Source'!Y562&gt;=4,"A",IF('Data Source'!Y562&gt;=3.5,"A-",IF('Data Source'!Y562&gt;=3,"B",IF('Data Source'!Y562&gt;=2,"C",IF('Data Source'!Y562&gt;=1,"D","F")))))))</f>
        <v/>
      </c>
      <c r="H562" s="3">
        <f>IF('Data Source'!B562="","",IF('Data Source'!Z562&gt;=5,"A+",IF('Data Source'!Z562&gt;=4,"A",IF('Data Source'!Z562&gt;=3.5,"A-",IF('Data Source'!Z562&gt;=3,"B",IF('Data Source'!Z562&gt;=2,"C",IF('Data Source'!Z562&gt;=1,"D","F")))))))</f>
        <v/>
      </c>
      <c r="I562" s="3">
        <f>IF('Data Source'!B562="","",IF('Data Source'!AA562&gt;=5,"A+",IF('Data Source'!AA562&gt;=4,"A",IF('Data Source'!AA562&gt;=3.5,"A-",IF('Data Source'!AA562&gt;=3,"B",IF('Data Source'!AA562&gt;=2,"C",IF('Data Source'!AA562&gt;=1,"D","F")))))))</f>
        <v/>
      </c>
      <c r="J562" s="3">
        <f>IF('Data Source'!B562="","",IF('Data Source'!AB562&gt;=5,"A+",IF('Data Source'!AB562&gt;=4,"A",IF('Data Source'!AB562&gt;=3.5,"A-",IF('Data Source'!AB562&gt;=3,"B",IF('Data Source'!AB562&gt;=2,"C",IF('Data Source'!AB562&gt;=1,"D","F")))))))</f>
        <v/>
      </c>
      <c r="K562" s="3">
        <f>IF('Data Source'!B562="","",IF('Data Source'!AC562&gt;=5,"A+",IF('Data Source'!AC562&gt;=4,"A",IF('Data Source'!AC562&gt;=3.5,"A-",IF('Data Source'!AC562&gt;=3,"B",IF('Data Source'!AC562&gt;=2,"C",IF('Data Source'!AC562&gt;=1,"D","F")))))))</f>
        <v/>
      </c>
      <c r="L562" s="3">
        <f>IF('Data Source'!B562="","",IF('Data Source'!AD562&gt;=5,"A+",IF('Data Source'!AD562&gt;=4,"A",IF('Data Source'!AD562&gt;=3.5,"A-",IF('Data Source'!AD562&gt;=3,"B",IF('Data Source'!AD562&gt;=2,"C",IF('Data Source'!AD562&gt;=1,"D","F")))))))</f>
        <v/>
      </c>
      <c r="M562" s="3">
        <f>IF('Data Source'!B562="","",IF('Data Source'!AE562&gt;=5,"A+",IF('Data Source'!AE562&gt;=4,"A",IF('Data Source'!AE562&gt;=3.5,"A-",IF('Data Source'!AE562&gt;=3,"B",IF('Data Source'!AE562&gt;=2,"C",IF('Data Source'!AE562&gt;=1,"D","F")))))))</f>
        <v/>
      </c>
      <c r="N562" s="3">
        <f>IF('Data Source'!B562="","",IF('Data Source'!AF562&gt;=5,"A+",IF('Data Source'!AF562&gt;=4,"A",IF('Data Source'!AF562&gt;=3.5,"A-",IF('Data Source'!AF562&gt;=3,"B",IF('Data Source'!AF562&gt;=2,"C",IF('Data Source'!AF562&gt;=1,"D","F")))))))</f>
        <v/>
      </c>
      <c r="O562" s="3">
        <f>IF('Data Source'!B562="","",IF('Data Source'!AG562&gt;=5,"A+",IF('Data Source'!AG562&gt;=4,"A",IF('Data Source'!AG562&gt;=3.5,"A-",IF('Data Source'!AG562&gt;=3,"B",IF('Data Source'!AG562&gt;=2,"C",IF('Data Source'!AG562&gt;=1,"D","F")))))))</f>
        <v/>
      </c>
      <c r="P562" s="5">
        <f>IF('Data Source'!B562="","",'Data Source'!R562)</f>
        <v/>
      </c>
      <c r="Q562" s="3">
        <f>IF('Data Source'!B562="","",'Data Source'!S562)</f>
        <v/>
      </c>
    </row>
    <row r="563">
      <c r="A563" s="3">
        <f>IF('Data Source'!B563="","",'Data Source'!A563)</f>
        <v/>
      </c>
      <c r="B563">
        <f>IF('Data Source'!B563="","",'Data Source'!B563)</f>
        <v/>
      </c>
      <c r="C563" s="3">
        <f>IF('Data Source'!B563="","",IF('Data Source'!U563&gt;=5,"A+",IF('Data Source'!U563&gt;=4,"A",IF('Data Source'!U563&gt;=3.5,"A-",IF('Data Source'!U563&gt;=3,"B",IF('Data Source'!U563&gt;=2,"C",IF('Data Source'!U563&gt;=1,"D","F")))))))</f>
        <v/>
      </c>
      <c r="D563" s="3">
        <f>IF('Data Source'!B563="","",IF('Data Source'!V563&gt;=5,"A+",IF('Data Source'!V563&gt;=4,"A",IF('Data Source'!V563&gt;=3.5,"A-",IF('Data Source'!V563&gt;=3,"B",IF('Data Source'!V563&gt;=2,"C",IF('Data Source'!V563&gt;=1,"D","F")))))))</f>
        <v/>
      </c>
      <c r="E563" s="3">
        <f>IF('Data Source'!B563="","",IF('Data Source'!W563&gt;=5,"A+",IF('Data Source'!W563&gt;=4,"A",IF('Data Source'!W563&gt;=3.5,"A-",IF('Data Source'!W563&gt;=3,"B",IF('Data Source'!W563&gt;=2,"C",IF('Data Source'!W563&gt;=1,"D","F")))))))</f>
        <v/>
      </c>
      <c r="F563" s="3">
        <f>IF('Data Source'!B563="","",IF('Data Source'!X563&gt;=5,"A+",IF('Data Source'!X563&gt;=4,"A",IF('Data Source'!X563&gt;=3.5,"A-",IF('Data Source'!X563&gt;=3,"B",IF('Data Source'!X563&gt;=2,"C",IF('Data Source'!X563&gt;=1,"D","F")))))))</f>
        <v/>
      </c>
      <c r="G563" s="3">
        <f>IF('Data Source'!B563="","",IF('Data Source'!Y563&gt;=5,"A+",IF('Data Source'!Y563&gt;=4,"A",IF('Data Source'!Y563&gt;=3.5,"A-",IF('Data Source'!Y563&gt;=3,"B",IF('Data Source'!Y563&gt;=2,"C",IF('Data Source'!Y563&gt;=1,"D","F")))))))</f>
        <v/>
      </c>
      <c r="H563" s="3">
        <f>IF('Data Source'!B563="","",IF('Data Source'!Z563&gt;=5,"A+",IF('Data Source'!Z563&gt;=4,"A",IF('Data Source'!Z563&gt;=3.5,"A-",IF('Data Source'!Z563&gt;=3,"B",IF('Data Source'!Z563&gt;=2,"C",IF('Data Source'!Z563&gt;=1,"D","F")))))))</f>
        <v/>
      </c>
      <c r="I563" s="3">
        <f>IF('Data Source'!B563="","",IF('Data Source'!AA563&gt;=5,"A+",IF('Data Source'!AA563&gt;=4,"A",IF('Data Source'!AA563&gt;=3.5,"A-",IF('Data Source'!AA563&gt;=3,"B",IF('Data Source'!AA563&gt;=2,"C",IF('Data Source'!AA563&gt;=1,"D","F")))))))</f>
        <v/>
      </c>
      <c r="J563" s="3">
        <f>IF('Data Source'!B563="","",IF('Data Source'!AB563&gt;=5,"A+",IF('Data Source'!AB563&gt;=4,"A",IF('Data Source'!AB563&gt;=3.5,"A-",IF('Data Source'!AB563&gt;=3,"B",IF('Data Source'!AB563&gt;=2,"C",IF('Data Source'!AB563&gt;=1,"D","F")))))))</f>
        <v/>
      </c>
      <c r="K563" s="3">
        <f>IF('Data Source'!B563="","",IF('Data Source'!AC563&gt;=5,"A+",IF('Data Source'!AC563&gt;=4,"A",IF('Data Source'!AC563&gt;=3.5,"A-",IF('Data Source'!AC563&gt;=3,"B",IF('Data Source'!AC563&gt;=2,"C",IF('Data Source'!AC563&gt;=1,"D","F")))))))</f>
        <v/>
      </c>
      <c r="L563" s="3">
        <f>IF('Data Source'!B563="","",IF('Data Source'!AD563&gt;=5,"A+",IF('Data Source'!AD563&gt;=4,"A",IF('Data Source'!AD563&gt;=3.5,"A-",IF('Data Source'!AD563&gt;=3,"B",IF('Data Source'!AD563&gt;=2,"C",IF('Data Source'!AD563&gt;=1,"D","F")))))))</f>
        <v/>
      </c>
      <c r="M563" s="3">
        <f>IF('Data Source'!B563="","",IF('Data Source'!AE563&gt;=5,"A+",IF('Data Source'!AE563&gt;=4,"A",IF('Data Source'!AE563&gt;=3.5,"A-",IF('Data Source'!AE563&gt;=3,"B",IF('Data Source'!AE563&gt;=2,"C",IF('Data Source'!AE563&gt;=1,"D","F")))))))</f>
        <v/>
      </c>
      <c r="N563" s="3">
        <f>IF('Data Source'!B563="","",IF('Data Source'!AF563&gt;=5,"A+",IF('Data Source'!AF563&gt;=4,"A",IF('Data Source'!AF563&gt;=3.5,"A-",IF('Data Source'!AF563&gt;=3,"B",IF('Data Source'!AF563&gt;=2,"C",IF('Data Source'!AF563&gt;=1,"D","F")))))))</f>
        <v/>
      </c>
      <c r="O563" s="3">
        <f>IF('Data Source'!B563="","",IF('Data Source'!AG563&gt;=5,"A+",IF('Data Source'!AG563&gt;=4,"A",IF('Data Source'!AG563&gt;=3.5,"A-",IF('Data Source'!AG563&gt;=3,"B",IF('Data Source'!AG563&gt;=2,"C",IF('Data Source'!AG563&gt;=1,"D","F")))))))</f>
        <v/>
      </c>
      <c r="P563" s="5">
        <f>IF('Data Source'!B563="","",'Data Source'!R563)</f>
        <v/>
      </c>
      <c r="Q563" s="3">
        <f>IF('Data Source'!B563="","",'Data Source'!S563)</f>
        <v/>
      </c>
    </row>
    <row r="564">
      <c r="A564" s="3">
        <f>IF('Data Source'!B564="","",'Data Source'!A564)</f>
        <v/>
      </c>
      <c r="B564">
        <f>IF('Data Source'!B564="","",'Data Source'!B564)</f>
        <v/>
      </c>
      <c r="C564" s="3">
        <f>IF('Data Source'!B564="","",IF('Data Source'!U564&gt;=5,"A+",IF('Data Source'!U564&gt;=4,"A",IF('Data Source'!U564&gt;=3.5,"A-",IF('Data Source'!U564&gt;=3,"B",IF('Data Source'!U564&gt;=2,"C",IF('Data Source'!U564&gt;=1,"D","F")))))))</f>
        <v/>
      </c>
      <c r="D564" s="3">
        <f>IF('Data Source'!B564="","",IF('Data Source'!V564&gt;=5,"A+",IF('Data Source'!V564&gt;=4,"A",IF('Data Source'!V564&gt;=3.5,"A-",IF('Data Source'!V564&gt;=3,"B",IF('Data Source'!V564&gt;=2,"C",IF('Data Source'!V564&gt;=1,"D","F")))))))</f>
        <v/>
      </c>
      <c r="E564" s="3">
        <f>IF('Data Source'!B564="","",IF('Data Source'!W564&gt;=5,"A+",IF('Data Source'!W564&gt;=4,"A",IF('Data Source'!W564&gt;=3.5,"A-",IF('Data Source'!W564&gt;=3,"B",IF('Data Source'!W564&gt;=2,"C",IF('Data Source'!W564&gt;=1,"D","F")))))))</f>
        <v/>
      </c>
      <c r="F564" s="3">
        <f>IF('Data Source'!B564="","",IF('Data Source'!X564&gt;=5,"A+",IF('Data Source'!X564&gt;=4,"A",IF('Data Source'!X564&gt;=3.5,"A-",IF('Data Source'!X564&gt;=3,"B",IF('Data Source'!X564&gt;=2,"C",IF('Data Source'!X564&gt;=1,"D","F")))))))</f>
        <v/>
      </c>
      <c r="G564" s="3">
        <f>IF('Data Source'!B564="","",IF('Data Source'!Y564&gt;=5,"A+",IF('Data Source'!Y564&gt;=4,"A",IF('Data Source'!Y564&gt;=3.5,"A-",IF('Data Source'!Y564&gt;=3,"B",IF('Data Source'!Y564&gt;=2,"C",IF('Data Source'!Y564&gt;=1,"D","F")))))))</f>
        <v/>
      </c>
      <c r="H564" s="3">
        <f>IF('Data Source'!B564="","",IF('Data Source'!Z564&gt;=5,"A+",IF('Data Source'!Z564&gt;=4,"A",IF('Data Source'!Z564&gt;=3.5,"A-",IF('Data Source'!Z564&gt;=3,"B",IF('Data Source'!Z564&gt;=2,"C",IF('Data Source'!Z564&gt;=1,"D","F")))))))</f>
        <v/>
      </c>
      <c r="I564" s="3">
        <f>IF('Data Source'!B564="","",IF('Data Source'!AA564&gt;=5,"A+",IF('Data Source'!AA564&gt;=4,"A",IF('Data Source'!AA564&gt;=3.5,"A-",IF('Data Source'!AA564&gt;=3,"B",IF('Data Source'!AA564&gt;=2,"C",IF('Data Source'!AA564&gt;=1,"D","F")))))))</f>
        <v/>
      </c>
      <c r="J564" s="3">
        <f>IF('Data Source'!B564="","",IF('Data Source'!AB564&gt;=5,"A+",IF('Data Source'!AB564&gt;=4,"A",IF('Data Source'!AB564&gt;=3.5,"A-",IF('Data Source'!AB564&gt;=3,"B",IF('Data Source'!AB564&gt;=2,"C",IF('Data Source'!AB564&gt;=1,"D","F")))))))</f>
        <v/>
      </c>
      <c r="K564" s="3">
        <f>IF('Data Source'!B564="","",IF('Data Source'!AC564&gt;=5,"A+",IF('Data Source'!AC564&gt;=4,"A",IF('Data Source'!AC564&gt;=3.5,"A-",IF('Data Source'!AC564&gt;=3,"B",IF('Data Source'!AC564&gt;=2,"C",IF('Data Source'!AC564&gt;=1,"D","F")))))))</f>
        <v/>
      </c>
      <c r="L564" s="3">
        <f>IF('Data Source'!B564="","",IF('Data Source'!AD564&gt;=5,"A+",IF('Data Source'!AD564&gt;=4,"A",IF('Data Source'!AD564&gt;=3.5,"A-",IF('Data Source'!AD564&gt;=3,"B",IF('Data Source'!AD564&gt;=2,"C",IF('Data Source'!AD564&gt;=1,"D","F")))))))</f>
        <v/>
      </c>
      <c r="M564" s="3">
        <f>IF('Data Source'!B564="","",IF('Data Source'!AE564&gt;=5,"A+",IF('Data Source'!AE564&gt;=4,"A",IF('Data Source'!AE564&gt;=3.5,"A-",IF('Data Source'!AE564&gt;=3,"B",IF('Data Source'!AE564&gt;=2,"C",IF('Data Source'!AE564&gt;=1,"D","F")))))))</f>
        <v/>
      </c>
      <c r="N564" s="3">
        <f>IF('Data Source'!B564="","",IF('Data Source'!AF564&gt;=5,"A+",IF('Data Source'!AF564&gt;=4,"A",IF('Data Source'!AF564&gt;=3.5,"A-",IF('Data Source'!AF564&gt;=3,"B",IF('Data Source'!AF564&gt;=2,"C",IF('Data Source'!AF564&gt;=1,"D","F")))))))</f>
        <v/>
      </c>
      <c r="O564" s="3">
        <f>IF('Data Source'!B564="","",IF('Data Source'!AG564&gt;=5,"A+",IF('Data Source'!AG564&gt;=4,"A",IF('Data Source'!AG564&gt;=3.5,"A-",IF('Data Source'!AG564&gt;=3,"B",IF('Data Source'!AG564&gt;=2,"C",IF('Data Source'!AG564&gt;=1,"D","F")))))))</f>
        <v/>
      </c>
      <c r="P564" s="5">
        <f>IF('Data Source'!B564="","",'Data Source'!R564)</f>
        <v/>
      </c>
      <c r="Q564" s="3">
        <f>IF('Data Source'!B564="","",'Data Source'!S564)</f>
        <v/>
      </c>
    </row>
    <row r="565">
      <c r="A565" s="3">
        <f>IF('Data Source'!B565="","",'Data Source'!A565)</f>
        <v/>
      </c>
      <c r="B565">
        <f>IF('Data Source'!B565="","",'Data Source'!B565)</f>
        <v/>
      </c>
      <c r="C565" s="3">
        <f>IF('Data Source'!B565="","",IF('Data Source'!U565&gt;=5,"A+",IF('Data Source'!U565&gt;=4,"A",IF('Data Source'!U565&gt;=3.5,"A-",IF('Data Source'!U565&gt;=3,"B",IF('Data Source'!U565&gt;=2,"C",IF('Data Source'!U565&gt;=1,"D","F")))))))</f>
        <v/>
      </c>
      <c r="D565" s="3">
        <f>IF('Data Source'!B565="","",IF('Data Source'!V565&gt;=5,"A+",IF('Data Source'!V565&gt;=4,"A",IF('Data Source'!V565&gt;=3.5,"A-",IF('Data Source'!V565&gt;=3,"B",IF('Data Source'!V565&gt;=2,"C",IF('Data Source'!V565&gt;=1,"D","F")))))))</f>
        <v/>
      </c>
      <c r="E565" s="3">
        <f>IF('Data Source'!B565="","",IF('Data Source'!W565&gt;=5,"A+",IF('Data Source'!W565&gt;=4,"A",IF('Data Source'!W565&gt;=3.5,"A-",IF('Data Source'!W565&gt;=3,"B",IF('Data Source'!W565&gt;=2,"C",IF('Data Source'!W565&gt;=1,"D","F")))))))</f>
        <v/>
      </c>
      <c r="F565" s="3">
        <f>IF('Data Source'!B565="","",IF('Data Source'!X565&gt;=5,"A+",IF('Data Source'!X565&gt;=4,"A",IF('Data Source'!X565&gt;=3.5,"A-",IF('Data Source'!X565&gt;=3,"B",IF('Data Source'!X565&gt;=2,"C",IF('Data Source'!X565&gt;=1,"D","F")))))))</f>
        <v/>
      </c>
      <c r="G565" s="3">
        <f>IF('Data Source'!B565="","",IF('Data Source'!Y565&gt;=5,"A+",IF('Data Source'!Y565&gt;=4,"A",IF('Data Source'!Y565&gt;=3.5,"A-",IF('Data Source'!Y565&gt;=3,"B",IF('Data Source'!Y565&gt;=2,"C",IF('Data Source'!Y565&gt;=1,"D","F")))))))</f>
        <v/>
      </c>
      <c r="H565" s="3">
        <f>IF('Data Source'!B565="","",IF('Data Source'!Z565&gt;=5,"A+",IF('Data Source'!Z565&gt;=4,"A",IF('Data Source'!Z565&gt;=3.5,"A-",IF('Data Source'!Z565&gt;=3,"B",IF('Data Source'!Z565&gt;=2,"C",IF('Data Source'!Z565&gt;=1,"D","F")))))))</f>
        <v/>
      </c>
      <c r="I565" s="3">
        <f>IF('Data Source'!B565="","",IF('Data Source'!AA565&gt;=5,"A+",IF('Data Source'!AA565&gt;=4,"A",IF('Data Source'!AA565&gt;=3.5,"A-",IF('Data Source'!AA565&gt;=3,"B",IF('Data Source'!AA565&gt;=2,"C",IF('Data Source'!AA565&gt;=1,"D","F")))))))</f>
        <v/>
      </c>
      <c r="J565" s="3">
        <f>IF('Data Source'!B565="","",IF('Data Source'!AB565&gt;=5,"A+",IF('Data Source'!AB565&gt;=4,"A",IF('Data Source'!AB565&gt;=3.5,"A-",IF('Data Source'!AB565&gt;=3,"B",IF('Data Source'!AB565&gt;=2,"C",IF('Data Source'!AB565&gt;=1,"D","F")))))))</f>
        <v/>
      </c>
      <c r="K565" s="3">
        <f>IF('Data Source'!B565="","",IF('Data Source'!AC565&gt;=5,"A+",IF('Data Source'!AC565&gt;=4,"A",IF('Data Source'!AC565&gt;=3.5,"A-",IF('Data Source'!AC565&gt;=3,"B",IF('Data Source'!AC565&gt;=2,"C",IF('Data Source'!AC565&gt;=1,"D","F")))))))</f>
        <v/>
      </c>
      <c r="L565" s="3">
        <f>IF('Data Source'!B565="","",IF('Data Source'!AD565&gt;=5,"A+",IF('Data Source'!AD565&gt;=4,"A",IF('Data Source'!AD565&gt;=3.5,"A-",IF('Data Source'!AD565&gt;=3,"B",IF('Data Source'!AD565&gt;=2,"C",IF('Data Source'!AD565&gt;=1,"D","F")))))))</f>
        <v/>
      </c>
      <c r="M565" s="3">
        <f>IF('Data Source'!B565="","",IF('Data Source'!AE565&gt;=5,"A+",IF('Data Source'!AE565&gt;=4,"A",IF('Data Source'!AE565&gt;=3.5,"A-",IF('Data Source'!AE565&gt;=3,"B",IF('Data Source'!AE565&gt;=2,"C",IF('Data Source'!AE565&gt;=1,"D","F")))))))</f>
        <v/>
      </c>
      <c r="N565" s="3">
        <f>IF('Data Source'!B565="","",IF('Data Source'!AF565&gt;=5,"A+",IF('Data Source'!AF565&gt;=4,"A",IF('Data Source'!AF565&gt;=3.5,"A-",IF('Data Source'!AF565&gt;=3,"B",IF('Data Source'!AF565&gt;=2,"C",IF('Data Source'!AF565&gt;=1,"D","F")))))))</f>
        <v/>
      </c>
      <c r="O565" s="3">
        <f>IF('Data Source'!B565="","",IF('Data Source'!AG565&gt;=5,"A+",IF('Data Source'!AG565&gt;=4,"A",IF('Data Source'!AG565&gt;=3.5,"A-",IF('Data Source'!AG565&gt;=3,"B",IF('Data Source'!AG565&gt;=2,"C",IF('Data Source'!AG565&gt;=1,"D","F")))))))</f>
        <v/>
      </c>
      <c r="P565" s="5">
        <f>IF('Data Source'!B565="","",'Data Source'!R565)</f>
        <v/>
      </c>
      <c r="Q565" s="3">
        <f>IF('Data Source'!B565="","",'Data Source'!S565)</f>
        <v/>
      </c>
    </row>
    <row r="566">
      <c r="A566" s="3">
        <f>IF('Data Source'!B566="","",'Data Source'!A566)</f>
        <v/>
      </c>
      <c r="B566">
        <f>IF('Data Source'!B566="","",'Data Source'!B566)</f>
        <v/>
      </c>
      <c r="C566" s="3">
        <f>IF('Data Source'!B566="","",IF('Data Source'!U566&gt;=5,"A+",IF('Data Source'!U566&gt;=4,"A",IF('Data Source'!U566&gt;=3.5,"A-",IF('Data Source'!U566&gt;=3,"B",IF('Data Source'!U566&gt;=2,"C",IF('Data Source'!U566&gt;=1,"D","F")))))))</f>
        <v/>
      </c>
      <c r="D566" s="3">
        <f>IF('Data Source'!B566="","",IF('Data Source'!V566&gt;=5,"A+",IF('Data Source'!V566&gt;=4,"A",IF('Data Source'!V566&gt;=3.5,"A-",IF('Data Source'!V566&gt;=3,"B",IF('Data Source'!V566&gt;=2,"C",IF('Data Source'!V566&gt;=1,"D","F")))))))</f>
        <v/>
      </c>
      <c r="E566" s="3">
        <f>IF('Data Source'!B566="","",IF('Data Source'!W566&gt;=5,"A+",IF('Data Source'!W566&gt;=4,"A",IF('Data Source'!W566&gt;=3.5,"A-",IF('Data Source'!W566&gt;=3,"B",IF('Data Source'!W566&gt;=2,"C",IF('Data Source'!W566&gt;=1,"D","F")))))))</f>
        <v/>
      </c>
      <c r="F566" s="3">
        <f>IF('Data Source'!B566="","",IF('Data Source'!X566&gt;=5,"A+",IF('Data Source'!X566&gt;=4,"A",IF('Data Source'!X566&gt;=3.5,"A-",IF('Data Source'!X566&gt;=3,"B",IF('Data Source'!X566&gt;=2,"C",IF('Data Source'!X566&gt;=1,"D","F")))))))</f>
        <v/>
      </c>
      <c r="G566" s="3">
        <f>IF('Data Source'!B566="","",IF('Data Source'!Y566&gt;=5,"A+",IF('Data Source'!Y566&gt;=4,"A",IF('Data Source'!Y566&gt;=3.5,"A-",IF('Data Source'!Y566&gt;=3,"B",IF('Data Source'!Y566&gt;=2,"C",IF('Data Source'!Y566&gt;=1,"D","F")))))))</f>
        <v/>
      </c>
      <c r="H566" s="3">
        <f>IF('Data Source'!B566="","",IF('Data Source'!Z566&gt;=5,"A+",IF('Data Source'!Z566&gt;=4,"A",IF('Data Source'!Z566&gt;=3.5,"A-",IF('Data Source'!Z566&gt;=3,"B",IF('Data Source'!Z566&gt;=2,"C",IF('Data Source'!Z566&gt;=1,"D","F")))))))</f>
        <v/>
      </c>
      <c r="I566" s="3">
        <f>IF('Data Source'!B566="","",IF('Data Source'!AA566&gt;=5,"A+",IF('Data Source'!AA566&gt;=4,"A",IF('Data Source'!AA566&gt;=3.5,"A-",IF('Data Source'!AA566&gt;=3,"B",IF('Data Source'!AA566&gt;=2,"C",IF('Data Source'!AA566&gt;=1,"D","F")))))))</f>
        <v/>
      </c>
      <c r="J566" s="3">
        <f>IF('Data Source'!B566="","",IF('Data Source'!AB566&gt;=5,"A+",IF('Data Source'!AB566&gt;=4,"A",IF('Data Source'!AB566&gt;=3.5,"A-",IF('Data Source'!AB566&gt;=3,"B",IF('Data Source'!AB566&gt;=2,"C",IF('Data Source'!AB566&gt;=1,"D","F")))))))</f>
        <v/>
      </c>
      <c r="K566" s="3">
        <f>IF('Data Source'!B566="","",IF('Data Source'!AC566&gt;=5,"A+",IF('Data Source'!AC566&gt;=4,"A",IF('Data Source'!AC566&gt;=3.5,"A-",IF('Data Source'!AC566&gt;=3,"B",IF('Data Source'!AC566&gt;=2,"C",IF('Data Source'!AC566&gt;=1,"D","F")))))))</f>
        <v/>
      </c>
      <c r="L566" s="3">
        <f>IF('Data Source'!B566="","",IF('Data Source'!AD566&gt;=5,"A+",IF('Data Source'!AD566&gt;=4,"A",IF('Data Source'!AD566&gt;=3.5,"A-",IF('Data Source'!AD566&gt;=3,"B",IF('Data Source'!AD566&gt;=2,"C",IF('Data Source'!AD566&gt;=1,"D","F")))))))</f>
        <v/>
      </c>
      <c r="M566" s="3">
        <f>IF('Data Source'!B566="","",IF('Data Source'!AE566&gt;=5,"A+",IF('Data Source'!AE566&gt;=4,"A",IF('Data Source'!AE566&gt;=3.5,"A-",IF('Data Source'!AE566&gt;=3,"B",IF('Data Source'!AE566&gt;=2,"C",IF('Data Source'!AE566&gt;=1,"D","F")))))))</f>
        <v/>
      </c>
      <c r="N566" s="3">
        <f>IF('Data Source'!B566="","",IF('Data Source'!AF566&gt;=5,"A+",IF('Data Source'!AF566&gt;=4,"A",IF('Data Source'!AF566&gt;=3.5,"A-",IF('Data Source'!AF566&gt;=3,"B",IF('Data Source'!AF566&gt;=2,"C",IF('Data Source'!AF566&gt;=1,"D","F")))))))</f>
        <v/>
      </c>
      <c r="O566" s="3">
        <f>IF('Data Source'!B566="","",IF('Data Source'!AG566&gt;=5,"A+",IF('Data Source'!AG566&gt;=4,"A",IF('Data Source'!AG566&gt;=3.5,"A-",IF('Data Source'!AG566&gt;=3,"B",IF('Data Source'!AG566&gt;=2,"C",IF('Data Source'!AG566&gt;=1,"D","F")))))))</f>
        <v/>
      </c>
      <c r="P566" s="5">
        <f>IF('Data Source'!B566="","",'Data Source'!R566)</f>
        <v/>
      </c>
      <c r="Q566" s="3">
        <f>IF('Data Source'!B566="","",'Data Source'!S566)</f>
        <v/>
      </c>
    </row>
    <row r="567">
      <c r="A567" s="3">
        <f>IF('Data Source'!B567="","",'Data Source'!A567)</f>
        <v/>
      </c>
      <c r="B567">
        <f>IF('Data Source'!B567="","",'Data Source'!B567)</f>
        <v/>
      </c>
      <c r="C567" s="3">
        <f>IF('Data Source'!B567="","",IF('Data Source'!U567&gt;=5,"A+",IF('Data Source'!U567&gt;=4,"A",IF('Data Source'!U567&gt;=3.5,"A-",IF('Data Source'!U567&gt;=3,"B",IF('Data Source'!U567&gt;=2,"C",IF('Data Source'!U567&gt;=1,"D","F")))))))</f>
        <v/>
      </c>
      <c r="D567" s="3">
        <f>IF('Data Source'!B567="","",IF('Data Source'!V567&gt;=5,"A+",IF('Data Source'!V567&gt;=4,"A",IF('Data Source'!V567&gt;=3.5,"A-",IF('Data Source'!V567&gt;=3,"B",IF('Data Source'!V567&gt;=2,"C",IF('Data Source'!V567&gt;=1,"D","F")))))))</f>
        <v/>
      </c>
      <c r="E567" s="3">
        <f>IF('Data Source'!B567="","",IF('Data Source'!W567&gt;=5,"A+",IF('Data Source'!W567&gt;=4,"A",IF('Data Source'!W567&gt;=3.5,"A-",IF('Data Source'!W567&gt;=3,"B",IF('Data Source'!W567&gt;=2,"C",IF('Data Source'!W567&gt;=1,"D","F")))))))</f>
        <v/>
      </c>
      <c r="F567" s="3">
        <f>IF('Data Source'!B567="","",IF('Data Source'!X567&gt;=5,"A+",IF('Data Source'!X567&gt;=4,"A",IF('Data Source'!X567&gt;=3.5,"A-",IF('Data Source'!X567&gt;=3,"B",IF('Data Source'!X567&gt;=2,"C",IF('Data Source'!X567&gt;=1,"D","F")))))))</f>
        <v/>
      </c>
      <c r="G567" s="3">
        <f>IF('Data Source'!B567="","",IF('Data Source'!Y567&gt;=5,"A+",IF('Data Source'!Y567&gt;=4,"A",IF('Data Source'!Y567&gt;=3.5,"A-",IF('Data Source'!Y567&gt;=3,"B",IF('Data Source'!Y567&gt;=2,"C",IF('Data Source'!Y567&gt;=1,"D","F")))))))</f>
        <v/>
      </c>
      <c r="H567" s="3">
        <f>IF('Data Source'!B567="","",IF('Data Source'!Z567&gt;=5,"A+",IF('Data Source'!Z567&gt;=4,"A",IF('Data Source'!Z567&gt;=3.5,"A-",IF('Data Source'!Z567&gt;=3,"B",IF('Data Source'!Z567&gt;=2,"C",IF('Data Source'!Z567&gt;=1,"D","F")))))))</f>
        <v/>
      </c>
      <c r="I567" s="3">
        <f>IF('Data Source'!B567="","",IF('Data Source'!AA567&gt;=5,"A+",IF('Data Source'!AA567&gt;=4,"A",IF('Data Source'!AA567&gt;=3.5,"A-",IF('Data Source'!AA567&gt;=3,"B",IF('Data Source'!AA567&gt;=2,"C",IF('Data Source'!AA567&gt;=1,"D","F")))))))</f>
        <v/>
      </c>
      <c r="J567" s="3">
        <f>IF('Data Source'!B567="","",IF('Data Source'!AB567&gt;=5,"A+",IF('Data Source'!AB567&gt;=4,"A",IF('Data Source'!AB567&gt;=3.5,"A-",IF('Data Source'!AB567&gt;=3,"B",IF('Data Source'!AB567&gt;=2,"C",IF('Data Source'!AB567&gt;=1,"D","F")))))))</f>
        <v/>
      </c>
      <c r="K567" s="3">
        <f>IF('Data Source'!B567="","",IF('Data Source'!AC567&gt;=5,"A+",IF('Data Source'!AC567&gt;=4,"A",IF('Data Source'!AC567&gt;=3.5,"A-",IF('Data Source'!AC567&gt;=3,"B",IF('Data Source'!AC567&gt;=2,"C",IF('Data Source'!AC567&gt;=1,"D","F")))))))</f>
        <v/>
      </c>
      <c r="L567" s="3">
        <f>IF('Data Source'!B567="","",IF('Data Source'!AD567&gt;=5,"A+",IF('Data Source'!AD567&gt;=4,"A",IF('Data Source'!AD567&gt;=3.5,"A-",IF('Data Source'!AD567&gt;=3,"B",IF('Data Source'!AD567&gt;=2,"C",IF('Data Source'!AD567&gt;=1,"D","F")))))))</f>
        <v/>
      </c>
      <c r="M567" s="3">
        <f>IF('Data Source'!B567="","",IF('Data Source'!AE567&gt;=5,"A+",IF('Data Source'!AE567&gt;=4,"A",IF('Data Source'!AE567&gt;=3.5,"A-",IF('Data Source'!AE567&gt;=3,"B",IF('Data Source'!AE567&gt;=2,"C",IF('Data Source'!AE567&gt;=1,"D","F")))))))</f>
        <v/>
      </c>
      <c r="N567" s="3">
        <f>IF('Data Source'!B567="","",IF('Data Source'!AF567&gt;=5,"A+",IF('Data Source'!AF567&gt;=4,"A",IF('Data Source'!AF567&gt;=3.5,"A-",IF('Data Source'!AF567&gt;=3,"B",IF('Data Source'!AF567&gt;=2,"C",IF('Data Source'!AF567&gt;=1,"D","F")))))))</f>
        <v/>
      </c>
      <c r="O567" s="3">
        <f>IF('Data Source'!B567="","",IF('Data Source'!AG567&gt;=5,"A+",IF('Data Source'!AG567&gt;=4,"A",IF('Data Source'!AG567&gt;=3.5,"A-",IF('Data Source'!AG567&gt;=3,"B",IF('Data Source'!AG567&gt;=2,"C",IF('Data Source'!AG567&gt;=1,"D","F")))))))</f>
        <v/>
      </c>
      <c r="P567" s="5">
        <f>IF('Data Source'!B567="","",'Data Source'!R567)</f>
        <v/>
      </c>
      <c r="Q567" s="3">
        <f>IF('Data Source'!B567="","",'Data Source'!S567)</f>
        <v/>
      </c>
    </row>
    <row r="568">
      <c r="A568" s="3">
        <f>IF('Data Source'!B568="","",'Data Source'!A568)</f>
        <v/>
      </c>
      <c r="B568">
        <f>IF('Data Source'!B568="","",'Data Source'!B568)</f>
        <v/>
      </c>
      <c r="C568" s="3">
        <f>IF('Data Source'!B568="","",IF('Data Source'!U568&gt;=5,"A+",IF('Data Source'!U568&gt;=4,"A",IF('Data Source'!U568&gt;=3.5,"A-",IF('Data Source'!U568&gt;=3,"B",IF('Data Source'!U568&gt;=2,"C",IF('Data Source'!U568&gt;=1,"D","F")))))))</f>
        <v/>
      </c>
      <c r="D568" s="3">
        <f>IF('Data Source'!B568="","",IF('Data Source'!V568&gt;=5,"A+",IF('Data Source'!V568&gt;=4,"A",IF('Data Source'!V568&gt;=3.5,"A-",IF('Data Source'!V568&gt;=3,"B",IF('Data Source'!V568&gt;=2,"C",IF('Data Source'!V568&gt;=1,"D","F")))))))</f>
        <v/>
      </c>
      <c r="E568" s="3">
        <f>IF('Data Source'!B568="","",IF('Data Source'!W568&gt;=5,"A+",IF('Data Source'!W568&gt;=4,"A",IF('Data Source'!W568&gt;=3.5,"A-",IF('Data Source'!W568&gt;=3,"B",IF('Data Source'!W568&gt;=2,"C",IF('Data Source'!W568&gt;=1,"D","F")))))))</f>
        <v/>
      </c>
      <c r="F568" s="3">
        <f>IF('Data Source'!B568="","",IF('Data Source'!X568&gt;=5,"A+",IF('Data Source'!X568&gt;=4,"A",IF('Data Source'!X568&gt;=3.5,"A-",IF('Data Source'!X568&gt;=3,"B",IF('Data Source'!X568&gt;=2,"C",IF('Data Source'!X568&gt;=1,"D","F")))))))</f>
        <v/>
      </c>
      <c r="G568" s="3">
        <f>IF('Data Source'!B568="","",IF('Data Source'!Y568&gt;=5,"A+",IF('Data Source'!Y568&gt;=4,"A",IF('Data Source'!Y568&gt;=3.5,"A-",IF('Data Source'!Y568&gt;=3,"B",IF('Data Source'!Y568&gt;=2,"C",IF('Data Source'!Y568&gt;=1,"D","F")))))))</f>
        <v/>
      </c>
      <c r="H568" s="3">
        <f>IF('Data Source'!B568="","",IF('Data Source'!Z568&gt;=5,"A+",IF('Data Source'!Z568&gt;=4,"A",IF('Data Source'!Z568&gt;=3.5,"A-",IF('Data Source'!Z568&gt;=3,"B",IF('Data Source'!Z568&gt;=2,"C",IF('Data Source'!Z568&gt;=1,"D","F")))))))</f>
        <v/>
      </c>
      <c r="I568" s="3">
        <f>IF('Data Source'!B568="","",IF('Data Source'!AA568&gt;=5,"A+",IF('Data Source'!AA568&gt;=4,"A",IF('Data Source'!AA568&gt;=3.5,"A-",IF('Data Source'!AA568&gt;=3,"B",IF('Data Source'!AA568&gt;=2,"C",IF('Data Source'!AA568&gt;=1,"D","F")))))))</f>
        <v/>
      </c>
      <c r="J568" s="3">
        <f>IF('Data Source'!B568="","",IF('Data Source'!AB568&gt;=5,"A+",IF('Data Source'!AB568&gt;=4,"A",IF('Data Source'!AB568&gt;=3.5,"A-",IF('Data Source'!AB568&gt;=3,"B",IF('Data Source'!AB568&gt;=2,"C",IF('Data Source'!AB568&gt;=1,"D","F")))))))</f>
        <v/>
      </c>
      <c r="K568" s="3">
        <f>IF('Data Source'!B568="","",IF('Data Source'!AC568&gt;=5,"A+",IF('Data Source'!AC568&gt;=4,"A",IF('Data Source'!AC568&gt;=3.5,"A-",IF('Data Source'!AC568&gt;=3,"B",IF('Data Source'!AC568&gt;=2,"C",IF('Data Source'!AC568&gt;=1,"D","F")))))))</f>
        <v/>
      </c>
      <c r="L568" s="3">
        <f>IF('Data Source'!B568="","",IF('Data Source'!AD568&gt;=5,"A+",IF('Data Source'!AD568&gt;=4,"A",IF('Data Source'!AD568&gt;=3.5,"A-",IF('Data Source'!AD568&gt;=3,"B",IF('Data Source'!AD568&gt;=2,"C",IF('Data Source'!AD568&gt;=1,"D","F")))))))</f>
        <v/>
      </c>
      <c r="M568" s="3">
        <f>IF('Data Source'!B568="","",IF('Data Source'!AE568&gt;=5,"A+",IF('Data Source'!AE568&gt;=4,"A",IF('Data Source'!AE568&gt;=3.5,"A-",IF('Data Source'!AE568&gt;=3,"B",IF('Data Source'!AE568&gt;=2,"C",IF('Data Source'!AE568&gt;=1,"D","F")))))))</f>
        <v/>
      </c>
      <c r="N568" s="3">
        <f>IF('Data Source'!B568="","",IF('Data Source'!AF568&gt;=5,"A+",IF('Data Source'!AF568&gt;=4,"A",IF('Data Source'!AF568&gt;=3.5,"A-",IF('Data Source'!AF568&gt;=3,"B",IF('Data Source'!AF568&gt;=2,"C",IF('Data Source'!AF568&gt;=1,"D","F")))))))</f>
        <v/>
      </c>
      <c r="O568" s="3">
        <f>IF('Data Source'!B568="","",IF('Data Source'!AG568&gt;=5,"A+",IF('Data Source'!AG568&gt;=4,"A",IF('Data Source'!AG568&gt;=3.5,"A-",IF('Data Source'!AG568&gt;=3,"B",IF('Data Source'!AG568&gt;=2,"C",IF('Data Source'!AG568&gt;=1,"D","F")))))))</f>
        <v/>
      </c>
      <c r="P568" s="5">
        <f>IF('Data Source'!B568="","",'Data Source'!R568)</f>
        <v/>
      </c>
      <c r="Q568" s="3">
        <f>IF('Data Source'!B568="","",'Data Source'!S568)</f>
        <v/>
      </c>
    </row>
    <row r="569">
      <c r="A569" s="3">
        <f>IF('Data Source'!B569="","",'Data Source'!A569)</f>
        <v/>
      </c>
      <c r="B569">
        <f>IF('Data Source'!B569="","",'Data Source'!B569)</f>
        <v/>
      </c>
      <c r="C569" s="3">
        <f>IF('Data Source'!B569="","",IF('Data Source'!U569&gt;=5,"A+",IF('Data Source'!U569&gt;=4,"A",IF('Data Source'!U569&gt;=3.5,"A-",IF('Data Source'!U569&gt;=3,"B",IF('Data Source'!U569&gt;=2,"C",IF('Data Source'!U569&gt;=1,"D","F")))))))</f>
        <v/>
      </c>
      <c r="D569" s="3">
        <f>IF('Data Source'!B569="","",IF('Data Source'!V569&gt;=5,"A+",IF('Data Source'!V569&gt;=4,"A",IF('Data Source'!V569&gt;=3.5,"A-",IF('Data Source'!V569&gt;=3,"B",IF('Data Source'!V569&gt;=2,"C",IF('Data Source'!V569&gt;=1,"D","F")))))))</f>
        <v/>
      </c>
      <c r="E569" s="3">
        <f>IF('Data Source'!B569="","",IF('Data Source'!W569&gt;=5,"A+",IF('Data Source'!W569&gt;=4,"A",IF('Data Source'!W569&gt;=3.5,"A-",IF('Data Source'!W569&gt;=3,"B",IF('Data Source'!W569&gt;=2,"C",IF('Data Source'!W569&gt;=1,"D","F")))))))</f>
        <v/>
      </c>
      <c r="F569" s="3">
        <f>IF('Data Source'!B569="","",IF('Data Source'!X569&gt;=5,"A+",IF('Data Source'!X569&gt;=4,"A",IF('Data Source'!X569&gt;=3.5,"A-",IF('Data Source'!X569&gt;=3,"B",IF('Data Source'!X569&gt;=2,"C",IF('Data Source'!X569&gt;=1,"D","F")))))))</f>
        <v/>
      </c>
      <c r="G569" s="3">
        <f>IF('Data Source'!B569="","",IF('Data Source'!Y569&gt;=5,"A+",IF('Data Source'!Y569&gt;=4,"A",IF('Data Source'!Y569&gt;=3.5,"A-",IF('Data Source'!Y569&gt;=3,"B",IF('Data Source'!Y569&gt;=2,"C",IF('Data Source'!Y569&gt;=1,"D","F")))))))</f>
        <v/>
      </c>
      <c r="H569" s="3">
        <f>IF('Data Source'!B569="","",IF('Data Source'!Z569&gt;=5,"A+",IF('Data Source'!Z569&gt;=4,"A",IF('Data Source'!Z569&gt;=3.5,"A-",IF('Data Source'!Z569&gt;=3,"B",IF('Data Source'!Z569&gt;=2,"C",IF('Data Source'!Z569&gt;=1,"D","F")))))))</f>
        <v/>
      </c>
      <c r="I569" s="3">
        <f>IF('Data Source'!B569="","",IF('Data Source'!AA569&gt;=5,"A+",IF('Data Source'!AA569&gt;=4,"A",IF('Data Source'!AA569&gt;=3.5,"A-",IF('Data Source'!AA569&gt;=3,"B",IF('Data Source'!AA569&gt;=2,"C",IF('Data Source'!AA569&gt;=1,"D","F")))))))</f>
        <v/>
      </c>
      <c r="J569" s="3">
        <f>IF('Data Source'!B569="","",IF('Data Source'!AB569&gt;=5,"A+",IF('Data Source'!AB569&gt;=4,"A",IF('Data Source'!AB569&gt;=3.5,"A-",IF('Data Source'!AB569&gt;=3,"B",IF('Data Source'!AB569&gt;=2,"C",IF('Data Source'!AB569&gt;=1,"D","F")))))))</f>
        <v/>
      </c>
      <c r="K569" s="3">
        <f>IF('Data Source'!B569="","",IF('Data Source'!AC569&gt;=5,"A+",IF('Data Source'!AC569&gt;=4,"A",IF('Data Source'!AC569&gt;=3.5,"A-",IF('Data Source'!AC569&gt;=3,"B",IF('Data Source'!AC569&gt;=2,"C",IF('Data Source'!AC569&gt;=1,"D","F")))))))</f>
        <v/>
      </c>
      <c r="L569" s="3">
        <f>IF('Data Source'!B569="","",IF('Data Source'!AD569&gt;=5,"A+",IF('Data Source'!AD569&gt;=4,"A",IF('Data Source'!AD569&gt;=3.5,"A-",IF('Data Source'!AD569&gt;=3,"B",IF('Data Source'!AD569&gt;=2,"C",IF('Data Source'!AD569&gt;=1,"D","F")))))))</f>
        <v/>
      </c>
      <c r="M569" s="3">
        <f>IF('Data Source'!B569="","",IF('Data Source'!AE569&gt;=5,"A+",IF('Data Source'!AE569&gt;=4,"A",IF('Data Source'!AE569&gt;=3.5,"A-",IF('Data Source'!AE569&gt;=3,"B",IF('Data Source'!AE569&gt;=2,"C",IF('Data Source'!AE569&gt;=1,"D","F")))))))</f>
        <v/>
      </c>
      <c r="N569" s="3">
        <f>IF('Data Source'!B569="","",IF('Data Source'!AF569&gt;=5,"A+",IF('Data Source'!AF569&gt;=4,"A",IF('Data Source'!AF569&gt;=3.5,"A-",IF('Data Source'!AF569&gt;=3,"B",IF('Data Source'!AF569&gt;=2,"C",IF('Data Source'!AF569&gt;=1,"D","F")))))))</f>
        <v/>
      </c>
      <c r="O569" s="3">
        <f>IF('Data Source'!B569="","",IF('Data Source'!AG569&gt;=5,"A+",IF('Data Source'!AG569&gt;=4,"A",IF('Data Source'!AG569&gt;=3.5,"A-",IF('Data Source'!AG569&gt;=3,"B",IF('Data Source'!AG569&gt;=2,"C",IF('Data Source'!AG569&gt;=1,"D","F")))))))</f>
        <v/>
      </c>
      <c r="P569" s="5">
        <f>IF('Data Source'!B569="","",'Data Source'!R569)</f>
        <v/>
      </c>
      <c r="Q569" s="3">
        <f>IF('Data Source'!B569="","",'Data Source'!S569)</f>
        <v/>
      </c>
    </row>
    <row r="570">
      <c r="A570" s="3">
        <f>IF('Data Source'!B570="","",'Data Source'!A570)</f>
        <v/>
      </c>
      <c r="B570">
        <f>IF('Data Source'!B570="","",'Data Source'!B570)</f>
        <v/>
      </c>
      <c r="C570" s="3">
        <f>IF('Data Source'!B570="","",IF('Data Source'!U570&gt;=5,"A+",IF('Data Source'!U570&gt;=4,"A",IF('Data Source'!U570&gt;=3.5,"A-",IF('Data Source'!U570&gt;=3,"B",IF('Data Source'!U570&gt;=2,"C",IF('Data Source'!U570&gt;=1,"D","F")))))))</f>
        <v/>
      </c>
      <c r="D570" s="3">
        <f>IF('Data Source'!B570="","",IF('Data Source'!V570&gt;=5,"A+",IF('Data Source'!V570&gt;=4,"A",IF('Data Source'!V570&gt;=3.5,"A-",IF('Data Source'!V570&gt;=3,"B",IF('Data Source'!V570&gt;=2,"C",IF('Data Source'!V570&gt;=1,"D","F")))))))</f>
        <v/>
      </c>
      <c r="E570" s="3">
        <f>IF('Data Source'!B570="","",IF('Data Source'!W570&gt;=5,"A+",IF('Data Source'!W570&gt;=4,"A",IF('Data Source'!W570&gt;=3.5,"A-",IF('Data Source'!W570&gt;=3,"B",IF('Data Source'!W570&gt;=2,"C",IF('Data Source'!W570&gt;=1,"D","F")))))))</f>
        <v/>
      </c>
      <c r="F570" s="3">
        <f>IF('Data Source'!B570="","",IF('Data Source'!X570&gt;=5,"A+",IF('Data Source'!X570&gt;=4,"A",IF('Data Source'!X570&gt;=3.5,"A-",IF('Data Source'!X570&gt;=3,"B",IF('Data Source'!X570&gt;=2,"C",IF('Data Source'!X570&gt;=1,"D","F")))))))</f>
        <v/>
      </c>
      <c r="G570" s="3">
        <f>IF('Data Source'!B570="","",IF('Data Source'!Y570&gt;=5,"A+",IF('Data Source'!Y570&gt;=4,"A",IF('Data Source'!Y570&gt;=3.5,"A-",IF('Data Source'!Y570&gt;=3,"B",IF('Data Source'!Y570&gt;=2,"C",IF('Data Source'!Y570&gt;=1,"D","F")))))))</f>
        <v/>
      </c>
      <c r="H570" s="3">
        <f>IF('Data Source'!B570="","",IF('Data Source'!Z570&gt;=5,"A+",IF('Data Source'!Z570&gt;=4,"A",IF('Data Source'!Z570&gt;=3.5,"A-",IF('Data Source'!Z570&gt;=3,"B",IF('Data Source'!Z570&gt;=2,"C",IF('Data Source'!Z570&gt;=1,"D","F")))))))</f>
        <v/>
      </c>
      <c r="I570" s="3">
        <f>IF('Data Source'!B570="","",IF('Data Source'!AA570&gt;=5,"A+",IF('Data Source'!AA570&gt;=4,"A",IF('Data Source'!AA570&gt;=3.5,"A-",IF('Data Source'!AA570&gt;=3,"B",IF('Data Source'!AA570&gt;=2,"C",IF('Data Source'!AA570&gt;=1,"D","F")))))))</f>
        <v/>
      </c>
      <c r="J570" s="3">
        <f>IF('Data Source'!B570="","",IF('Data Source'!AB570&gt;=5,"A+",IF('Data Source'!AB570&gt;=4,"A",IF('Data Source'!AB570&gt;=3.5,"A-",IF('Data Source'!AB570&gt;=3,"B",IF('Data Source'!AB570&gt;=2,"C",IF('Data Source'!AB570&gt;=1,"D","F")))))))</f>
        <v/>
      </c>
      <c r="K570" s="3">
        <f>IF('Data Source'!B570="","",IF('Data Source'!AC570&gt;=5,"A+",IF('Data Source'!AC570&gt;=4,"A",IF('Data Source'!AC570&gt;=3.5,"A-",IF('Data Source'!AC570&gt;=3,"B",IF('Data Source'!AC570&gt;=2,"C",IF('Data Source'!AC570&gt;=1,"D","F")))))))</f>
        <v/>
      </c>
      <c r="L570" s="3">
        <f>IF('Data Source'!B570="","",IF('Data Source'!AD570&gt;=5,"A+",IF('Data Source'!AD570&gt;=4,"A",IF('Data Source'!AD570&gt;=3.5,"A-",IF('Data Source'!AD570&gt;=3,"B",IF('Data Source'!AD570&gt;=2,"C",IF('Data Source'!AD570&gt;=1,"D","F")))))))</f>
        <v/>
      </c>
      <c r="M570" s="3">
        <f>IF('Data Source'!B570="","",IF('Data Source'!AE570&gt;=5,"A+",IF('Data Source'!AE570&gt;=4,"A",IF('Data Source'!AE570&gt;=3.5,"A-",IF('Data Source'!AE570&gt;=3,"B",IF('Data Source'!AE570&gt;=2,"C",IF('Data Source'!AE570&gt;=1,"D","F")))))))</f>
        <v/>
      </c>
      <c r="N570" s="3">
        <f>IF('Data Source'!B570="","",IF('Data Source'!AF570&gt;=5,"A+",IF('Data Source'!AF570&gt;=4,"A",IF('Data Source'!AF570&gt;=3.5,"A-",IF('Data Source'!AF570&gt;=3,"B",IF('Data Source'!AF570&gt;=2,"C",IF('Data Source'!AF570&gt;=1,"D","F")))))))</f>
        <v/>
      </c>
      <c r="O570" s="3">
        <f>IF('Data Source'!B570="","",IF('Data Source'!AG570&gt;=5,"A+",IF('Data Source'!AG570&gt;=4,"A",IF('Data Source'!AG570&gt;=3.5,"A-",IF('Data Source'!AG570&gt;=3,"B",IF('Data Source'!AG570&gt;=2,"C",IF('Data Source'!AG570&gt;=1,"D","F")))))))</f>
        <v/>
      </c>
      <c r="P570" s="5">
        <f>IF('Data Source'!B570="","",'Data Source'!R570)</f>
        <v/>
      </c>
      <c r="Q570" s="3">
        <f>IF('Data Source'!B570="","",'Data Source'!S570)</f>
        <v/>
      </c>
    </row>
    <row r="571">
      <c r="A571" s="3">
        <f>IF('Data Source'!B571="","",'Data Source'!A571)</f>
        <v/>
      </c>
      <c r="B571">
        <f>IF('Data Source'!B571="","",'Data Source'!B571)</f>
        <v/>
      </c>
      <c r="C571" s="3">
        <f>IF('Data Source'!B571="","",IF('Data Source'!U571&gt;=5,"A+",IF('Data Source'!U571&gt;=4,"A",IF('Data Source'!U571&gt;=3.5,"A-",IF('Data Source'!U571&gt;=3,"B",IF('Data Source'!U571&gt;=2,"C",IF('Data Source'!U571&gt;=1,"D","F")))))))</f>
        <v/>
      </c>
      <c r="D571" s="3">
        <f>IF('Data Source'!B571="","",IF('Data Source'!V571&gt;=5,"A+",IF('Data Source'!V571&gt;=4,"A",IF('Data Source'!V571&gt;=3.5,"A-",IF('Data Source'!V571&gt;=3,"B",IF('Data Source'!V571&gt;=2,"C",IF('Data Source'!V571&gt;=1,"D","F")))))))</f>
        <v/>
      </c>
      <c r="E571" s="3">
        <f>IF('Data Source'!B571="","",IF('Data Source'!W571&gt;=5,"A+",IF('Data Source'!W571&gt;=4,"A",IF('Data Source'!W571&gt;=3.5,"A-",IF('Data Source'!W571&gt;=3,"B",IF('Data Source'!W571&gt;=2,"C",IF('Data Source'!W571&gt;=1,"D","F")))))))</f>
        <v/>
      </c>
      <c r="F571" s="3">
        <f>IF('Data Source'!B571="","",IF('Data Source'!X571&gt;=5,"A+",IF('Data Source'!X571&gt;=4,"A",IF('Data Source'!X571&gt;=3.5,"A-",IF('Data Source'!X571&gt;=3,"B",IF('Data Source'!X571&gt;=2,"C",IF('Data Source'!X571&gt;=1,"D","F")))))))</f>
        <v/>
      </c>
      <c r="G571" s="3">
        <f>IF('Data Source'!B571="","",IF('Data Source'!Y571&gt;=5,"A+",IF('Data Source'!Y571&gt;=4,"A",IF('Data Source'!Y571&gt;=3.5,"A-",IF('Data Source'!Y571&gt;=3,"B",IF('Data Source'!Y571&gt;=2,"C",IF('Data Source'!Y571&gt;=1,"D","F")))))))</f>
        <v/>
      </c>
      <c r="H571" s="3">
        <f>IF('Data Source'!B571="","",IF('Data Source'!Z571&gt;=5,"A+",IF('Data Source'!Z571&gt;=4,"A",IF('Data Source'!Z571&gt;=3.5,"A-",IF('Data Source'!Z571&gt;=3,"B",IF('Data Source'!Z571&gt;=2,"C",IF('Data Source'!Z571&gt;=1,"D","F")))))))</f>
        <v/>
      </c>
      <c r="I571" s="3">
        <f>IF('Data Source'!B571="","",IF('Data Source'!AA571&gt;=5,"A+",IF('Data Source'!AA571&gt;=4,"A",IF('Data Source'!AA571&gt;=3.5,"A-",IF('Data Source'!AA571&gt;=3,"B",IF('Data Source'!AA571&gt;=2,"C",IF('Data Source'!AA571&gt;=1,"D","F")))))))</f>
        <v/>
      </c>
      <c r="J571" s="3">
        <f>IF('Data Source'!B571="","",IF('Data Source'!AB571&gt;=5,"A+",IF('Data Source'!AB571&gt;=4,"A",IF('Data Source'!AB571&gt;=3.5,"A-",IF('Data Source'!AB571&gt;=3,"B",IF('Data Source'!AB571&gt;=2,"C",IF('Data Source'!AB571&gt;=1,"D","F")))))))</f>
        <v/>
      </c>
      <c r="K571" s="3">
        <f>IF('Data Source'!B571="","",IF('Data Source'!AC571&gt;=5,"A+",IF('Data Source'!AC571&gt;=4,"A",IF('Data Source'!AC571&gt;=3.5,"A-",IF('Data Source'!AC571&gt;=3,"B",IF('Data Source'!AC571&gt;=2,"C",IF('Data Source'!AC571&gt;=1,"D","F")))))))</f>
        <v/>
      </c>
      <c r="L571" s="3">
        <f>IF('Data Source'!B571="","",IF('Data Source'!AD571&gt;=5,"A+",IF('Data Source'!AD571&gt;=4,"A",IF('Data Source'!AD571&gt;=3.5,"A-",IF('Data Source'!AD571&gt;=3,"B",IF('Data Source'!AD571&gt;=2,"C",IF('Data Source'!AD571&gt;=1,"D","F")))))))</f>
        <v/>
      </c>
      <c r="M571" s="3">
        <f>IF('Data Source'!B571="","",IF('Data Source'!AE571&gt;=5,"A+",IF('Data Source'!AE571&gt;=4,"A",IF('Data Source'!AE571&gt;=3.5,"A-",IF('Data Source'!AE571&gt;=3,"B",IF('Data Source'!AE571&gt;=2,"C",IF('Data Source'!AE571&gt;=1,"D","F")))))))</f>
        <v/>
      </c>
      <c r="N571" s="3">
        <f>IF('Data Source'!B571="","",IF('Data Source'!AF571&gt;=5,"A+",IF('Data Source'!AF571&gt;=4,"A",IF('Data Source'!AF571&gt;=3.5,"A-",IF('Data Source'!AF571&gt;=3,"B",IF('Data Source'!AF571&gt;=2,"C",IF('Data Source'!AF571&gt;=1,"D","F")))))))</f>
        <v/>
      </c>
      <c r="O571" s="3">
        <f>IF('Data Source'!B571="","",IF('Data Source'!AG571&gt;=5,"A+",IF('Data Source'!AG571&gt;=4,"A",IF('Data Source'!AG571&gt;=3.5,"A-",IF('Data Source'!AG571&gt;=3,"B",IF('Data Source'!AG571&gt;=2,"C",IF('Data Source'!AG571&gt;=1,"D","F")))))))</f>
        <v/>
      </c>
      <c r="P571" s="5">
        <f>IF('Data Source'!B571="","",'Data Source'!R571)</f>
        <v/>
      </c>
      <c r="Q571" s="3">
        <f>IF('Data Source'!B571="","",'Data Source'!S571)</f>
        <v/>
      </c>
    </row>
    <row r="572">
      <c r="A572" s="3">
        <f>IF('Data Source'!B572="","",'Data Source'!A572)</f>
        <v/>
      </c>
      <c r="B572">
        <f>IF('Data Source'!B572="","",'Data Source'!B572)</f>
        <v/>
      </c>
      <c r="C572" s="3">
        <f>IF('Data Source'!B572="","",IF('Data Source'!U572&gt;=5,"A+",IF('Data Source'!U572&gt;=4,"A",IF('Data Source'!U572&gt;=3.5,"A-",IF('Data Source'!U572&gt;=3,"B",IF('Data Source'!U572&gt;=2,"C",IF('Data Source'!U572&gt;=1,"D","F")))))))</f>
        <v/>
      </c>
      <c r="D572" s="3">
        <f>IF('Data Source'!B572="","",IF('Data Source'!V572&gt;=5,"A+",IF('Data Source'!V572&gt;=4,"A",IF('Data Source'!V572&gt;=3.5,"A-",IF('Data Source'!V572&gt;=3,"B",IF('Data Source'!V572&gt;=2,"C",IF('Data Source'!V572&gt;=1,"D","F")))))))</f>
        <v/>
      </c>
      <c r="E572" s="3">
        <f>IF('Data Source'!B572="","",IF('Data Source'!W572&gt;=5,"A+",IF('Data Source'!W572&gt;=4,"A",IF('Data Source'!W572&gt;=3.5,"A-",IF('Data Source'!W572&gt;=3,"B",IF('Data Source'!W572&gt;=2,"C",IF('Data Source'!W572&gt;=1,"D","F")))))))</f>
        <v/>
      </c>
      <c r="F572" s="3">
        <f>IF('Data Source'!B572="","",IF('Data Source'!X572&gt;=5,"A+",IF('Data Source'!X572&gt;=4,"A",IF('Data Source'!X572&gt;=3.5,"A-",IF('Data Source'!X572&gt;=3,"B",IF('Data Source'!X572&gt;=2,"C",IF('Data Source'!X572&gt;=1,"D","F")))))))</f>
        <v/>
      </c>
      <c r="G572" s="3">
        <f>IF('Data Source'!B572="","",IF('Data Source'!Y572&gt;=5,"A+",IF('Data Source'!Y572&gt;=4,"A",IF('Data Source'!Y572&gt;=3.5,"A-",IF('Data Source'!Y572&gt;=3,"B",IF('Data Source'!Y572&gt;=2,"C",IF('Data Source'!Y572&gt;=1,"D","F")))))))</f>
        <v/>
      </c>
      <c r="H572" s="3">
        <f>IF('Data Source'!B572="","",IF('Data Source'!Z572&gt;=5,"A+",IF('Data Source'!Z572&gt;=4,"A",IF('Data Source'!Z572&gt;=3.5,"A-",IF('Data Source'!Z572&gt;=3,"B",IF('Data Source'!Z572&gt;=2,"C",IF('Data Source'!Z572&gt;=1,"D","F")))))))</f>
        <v/>
      </c>
      <c r="I572" s="3">
        <f>IF('Data Source'!B572="","",IF('Data Source'!AA572&gt;=5,"A+",IF('Data Source'!AA572&gt;=4,"A",IF('Data Source'!AA572&gt;=3.5,"A-",IF('Data Source'!AA572&gt;=3,"B",IF('Data Source'!AA572&gt;=2,"C",IF('Data Source'!AA572&gt;=1,"D","F")))))))</f>
        <v/>
      </c>
      <c r="J572" s="3">
        <f>IF('Data Source'!B572="","",IF('Data Source'!AB572&gt;=5,"A+",IF('Data Source'!AB572&gt;=4,"A",IF('Data Source'!AB572&gt;=3.5,"A-",IF('Data Source'!AB572&gt;=3,"B",IF('Data Source'!AB572&gt;=2,"C",IF('Data Source'!AB572&gt;=1,"D","F")))))))</f>
        <v/>
      </c>
      <c r="K572" s="3">
        <f>IF('Data Source'!B572="","",IF('Data Source'!AC572&gt;=5,"A+",IF('Data Source'!AC572&gt;=4,"A",IF('Data Source'!AC572&gt;=3.5,"A-",IF('Data Source'!AC572&gt;=3,"B",IF('Data Source'!AC572&gt;=2,"C",IF('Data Source'!AC572&gt;=1,"D","F")))))))</f>
        <v/>
      </c>
      <c r="L572" s="3">
        <f>IF('Data Source'!B572="","",IF('Data Source'!AD572&gt;=5,"A+",IF('Data Source'!AD572&gt;=4,"A",IF('Data Source'!AD572&gt;=3.5,"A-",IF('Data Source'!AD572&gt;=3,"B",IF('Data Source'!AD572&gt;=2,"C",IF('Data Source'!AD572&gt;=1,"D","F")))))))</f>
        <v/>
      </c>
      <c r="M572" s="3">
        <f>IF('Data Source'!B572="","",IF('Data Source'!AE572&gt;=5,"A+",IF('Data Source'!AE572&gt;=4,"A",IF('Data Source'!AE572&gt;=3.5,"A-",IF('Data Source'!AE572&gt;=3,"B",IF('Data Source'!AE572&gt;=2,"C",IF('Data Source'!AE572&gt;=1,"D","F")))))))</f>
        <v/>
      </c>
      <c r="N572" s="3">
        <f>IF('Data Source'!B572="","",IF('Data Source'!AF572&gt;=5,"A+",IF('Data Source'!AF572&gt;=4,"A",IF('Data Source'!AF572&gt;=3.5,"A-",IF('Data Source'!AF572&gt;=3,"B",IF('Data Source'!AF572&gt;=2,"C",IF('Data Source'!AF572&gt;=1,"D","F")))))))</f>
        <v/>
      </c>
      <c r="O572" s="3">
        <f>IF('Data Source'!B572="","",IF('Data Source'!AG572&gt;=5,"A+",IF('Data Source'!AG572&gt;=4,"A",IF('Data Source'!AG572&gt;=3.5,"A-",IF('Data Source'!AG572&gt;=3,"B",IF('Data Source'!AG572&gt;=2,"C",IF('Data Source'!AG572&gt;=1,"D","F")))))))</f>
        <v/>
      </c>
      <c r="P572" s="5">
        <f>IF('Data Source'!B572="","",'Data Source'!R572)</f>
        <v/>
      </c>
      <c r="Q572" s="3">
        <f>IF('Data Source'!B572="","",'Data Source'!S572)</f>
        <v/>
      </c>
    </row>
    <row r="573">
      <c r="A573" s="3">
        <f>IF('Data Source'!B573="","",'Data Source'!A573)</f>
        <v/>
      </c>
      <c r="B573">
        <f>IF('Data Source'!B573="","",'Data Source'!B573)</f>
        <v/>
      </c>
      <c r="C573" s="3">
        <f>IF('Data Source'!B573="","",IF('Data Source'!U573&gt;=5,"A+",IF('Data Source'!U573&gt;=4,"A",IF('Data Source'!U573&gt;=3.5,"A-",IF('Data Source'!U573&gt;=3,"B",IF('Data Source'!U573&gt;=2,"C",IF('Data Source'!U573&gt;=1,"D","F")))))))</f>
        <v/>
      </c>
      <c r="D573" s="3">
        <f>IF('Data Source'!B573="","",IF('Data Source'!V573&gt;=5,"A+",IF('Data Source'!V573&gt;=4,"A",IF('Data Source'!V573&gt;=3.5,"A-",IF('Data Source'!V573&gt;=3,"B",IF('Data Source'!V573&gt;=2,"C",IF('Data Source'!V573&gt;=1,"D","F")))))))</f>
        <v/>
      </c>
      <c r="E573" s="3">
        <f>IF('Data Source'!B573="","",IF('Data Source'!W573&gt;=5,"A+",IF('Data Source'!W573&gt;=4,"A",IF('Data Source'!W573&gt;=3.5,"A-",IF('Data Source'!W573&gt;=3,"B",IF('Data Source'!W573&gt;=2,"C",IF('Data Source'!W573&gt;=1,"D","F")))))))</f>
        <v/>
      </c>
      <c r="F573" s="3">
        <f>IF('Data Source'!B573="","",IF('Data Source'!X573&gt;=5,"A+",IF('Data Source'!X573&gt;=4,"A",IF('Data Source'!X573&gt;=3.5,"A-",IF('Data Source'!X573&gt;=3,"B",IF('Data Source'!X573&gt;=2,"C",IF('Data Source'!X573&gt;=1,"D","F")))))))</f>
        <v/>
      </c>
      <c r="G573" s="3">
        <f>IF('Data Source'!B573="","",IF('Data Source'!Y573&gt;=5,"A+",IF('Data Source'!Y573&gt;=4,"A",IF('Data Source'!Y573&gt;=3.5,"A-",IF('Data Source'!Y573&gt;=3,"B",IF('Data Source'!Y573&gt;=2,"C",IF('Data Source'!Y573&gt;=1,"D","F")))))))</f>
        <v/>
      </c>
      <c r="H573" s="3">
        <f>IF('Data Source'!B573="","",IF('Data Source'!Z573&gt;=5,"A+",IF('Data Source'!Z573&gt;=4,"A",IF('Data Source'!Z573&gt;=3.5,"A-",IF('Data Source'!Z573&gt;=3,"B",IF('Data Source'!Z573&gt;=2,"C",IF('Data Source'!Z573&gt;=1,"D","F")))))))</f>
        <v/>
      </c>
      <c r="I573" s="3">
        <f>IF('Data Source'!B573="","",IF('Data Source'!AA573&gt;=5,"A+",IF('Data Source'!AA573&gt;=4,"A",IF('Data Source'!AA573&gt;=3.5,"A-",IF('Data Source'!AA573&gt;=3,"B",IF('Data Source'!AA573&gt;=2,"C",IF('Data Source'!AA573&gt;=1,"D","F")))))))</f>
        <v/>
      </c>
      <c r="J573" s="3">
        <f>IF('Data Source'!B573="","",IF('Data Source'!AB573&gt;=5,"A+",IF('Data Source'!AB573&gt;=4,"A",IF('Data Source'!AB573&gt;=3.5,"A-",IF('Data Source'!AB573&gt;=3,"B",IF('Data Source'!AB573&gt;=2,"C",IF('Data Source'!AB573&gt;=1,"D","F")))))))</f>
        <v/>
      </c>
      <c r="K573" s="3">
        <f>IF('Data Source'!B573="","",IF('Data Source'!AC573&gt;=5,"A+",IF('Data Source'!AC573&gt;=4,"A",IF('Data Source'!AC573&gt;=3.5,"A-",IF('Data Source'!AC573&gt;=3,"B",IF('Data Source'!AC573&gt;=2,"C",IF('Data Source'!AC573&gt;=1,"D","F")))))))</f>
        <v/>
      </c>
      <c r="L573" s="3">
        <f>IF('Data Source'!B573="","",IF('Data Source'!AD573&gt;=5,"A+",IF('Data Source'!AD573&gt;=4,"A",IF('Data Source'!AD573&gt;=3.5,"A-",IF('Data Source'!AD573&gt;=3,"B",IF('Data Source'!AD573&gt;=2,"C",IF('Data Source'!AD573&gt;=1,"D","F")))))))</f>
        <v/>
      </c>
      <c r="M573" s="3">
        <f>IF('Data Source'!B573="","",IF('Data Source'!AE573&gt;=5,"A+",IF('Data Source'!AE573&gt;=4,"A",IF('Data Source'!AE573&gt;=3.5,"A-",IF('Data Source'!AE573&gt;=3,"B",IF('Data Source'!AE573&gt;=2,"C",IF('Data Source'!AE573&gt;=1,"D","F")))))))</f>
        <v/>
      </c>
      <c r="N573" s="3">
        <f>IF('Data Source'!B573="","",IF('Data Source'!AF573&gt;=5,"A+",IF('Data Source'!AF573&gt;=4,"A",IF('Data Source'!AF573&gt;=3.5,"A-",IF('Data Source'!AF573&gt;=3,"B",IF('Data Source'!AF573&gt;=2,"C",IF('Data Source'!AF573&gt;=1,"D","F")))))))</f>
        <v/>
      </c>
      <c r="O573" s="3">
        <f>IF('Data Source'!B573="","",IF('Data Source'!AG573&gt;=5,"A+",IF('Data Source'!AG573&gt;=4,"A",IF('Data Source'!AG573&gt;=3.5,"A-",IF('Data Source'!AG573&gt;=3,"B",IF('Data Source'!AG573&gt;=2,"C",IF('Data Source'!AG573&gt;=1,"D","F")))))))</f>
        <v/>
      </c>
      <c r="P573" s="5">
        <f>IF('Data Source'!B573="","",'Data Source'!R573)</f>
        <v/>
      </c>
      <c r="Q573" s="3">
        <f>IF('Data Source'!B573="","",'Data Source'!S573)</f>
        <v/>
      </c>
    </row>
    <row r="574">
      <c r="A574" s="3">
        <f>IF('Data Source'!B574="","",'Data Source'!A574)</f>
        <v/>
      </c>
      <c r="B574">
        <f>IF('Data Source'!B574="","",'Data Source'!B574)</f>
        <v/>
      </c>
      <c r="C574" s="3">
        <f>IF('Data Source'!B574="","",IF('Data Source'!U574&gt;=5,"A+",IF('Data Source'!U574&gt;=4,"A",IF('Data Source'!U574&gt;=3.5,"A-",IF('Data Source'!U574&gt;=3,"B",IF('Data Source'!U574&gt;=2,"C",IF('Data Source'!U574&gt;=1,"D","F")))))))</f>
        <v/>
      </c>
      <c r="D574" s="3">
        <f>IF('Data Source'!B574="","",IF('Data Source'!V574&gt;=5,"A+",IF('Data Source'!V574&gt;=4,"A",IF('Data Source'!V574&gt;=3.5,"A-",IF('Data Source'!V574&gt;=3,"B",IF('Data Source'!V574&gt;=2,"C",IF('Data Source'!V574&gt;=1,"D","F")))))))</f>
        <v/>
      </c>
      <c r="E574" s="3">
        <f>IF('Data Source'!B574="","",IF('Data Source'!W574&gt;=5,"A+",IF('Data Source'!W574&gt;=4,"A",IF('Data Source'!W574&gt;=3.5,"A-",IF('Data Source'!W574&gt;=3,"B",IF('Data Source'!W574&gt;=2,"C",IF('Data Source'!W574&gt;=1,"D","F")))))))</f>
        <v/>
      </c>
      <c r="F574" s="3">
        <f>IF('Data Source'!B574="","",IF('Data Source'!X574&gt;=5,"A+",IF('Data Source'!X574&gt;=4,"A",IF('Data Source'!X574&gt;=3.5,"A-",IF('Data Source'!X574&gt;=3,"B",IF('Data Source'!X574&gt;=2,"C",IF('Data Source'!X574&gt;=1,"D","F")))))))</f>
        <v/>
      </c>
      <c r="G574" s="3">
        <f>IF('Data Source'!B574="","",IF('Data Source'!Y574&gt;=5,"A+",IF('Data Source'!Y574&gt;=4,"A",IF('Data Source'!Y574&gt;=3.5,"A-",IF('Data Source'!Y574&gt;=3,"B",IF('Data Source'!Y574&gt;=2,"C",IF('Data Source'!Y574&gt;=1,"D","F")))))))</f>
        <v/>
      </c>
      <c r="H574" s="3">
        <f>IF('Data Source'!B574="","",IF('Data Source'!Z574&gt;=5,"A+",IF('Data Source'!Z574&gt;=4,"A",IF('Data Source'!Z574&gt;=3.5,"A-",IF('Data Source'!Z574&gt;=3,"B",IF('Data Source'!Z574&gt;=2,"C",IF('Data Source'!Z574&gt;=1,"D","F")))))))</f>
        <v/>
      </c>
      <c r="I574" s="3">
        <f>IF('Data Source'!B574="","",IF('Data Source'!AA574&gt;=5,"A+",IF('Data Source'!AA574&gt;=4,"A",IF('Data Source'!AA574&gt;=3.5,"A-",IF('Data Source'!AA574&gt;=3,"B",IF('Data Source'!AA574&gt;=2,"C",IF('Data Source'!AA574&gt;=1,"D","F")))))))</f>
        <v/>
      </c>
      <c r="J574" s="3">
        <f>IF('Data Source'!B574="","",IF('Data Source'!AB574&gt;=5,"A+",IF('Data Source'!AB574&gt;=4,"A",IF('Data Source'!AB574&gt;=3.5,"A-",IF('Data Source'!AB574&gt;=3,"B",IF('Data Source'!AB574&gt;=2,"C",IF('Data Source'!AB574&gt;=1,"D","F")))))))</f>
        <v/>
      </c>
      <c r="K574" s="3">
        <f>IF('Data Source'!B574="","",IF('Data Source'!AC574&gt;=5,"A+",IF('Data Source'!AC574&gt;=4,"A",IF('Data Source'!AC574&gt;=3.5,"A-",IF('Data Source'!AC574&gt;=3,"B",IF('Data Source'!AC574&gt;=2,"C",IF('Data Source'!AC574&gt;=1,"D","F")))))))</f>
        <v/>
      </c>
      <c r="L574" s="3">
        <f>IF('Data Source'!B574="","",IF('Data Source'!AD574&gt;=5,"A+",IF('Data Source'!AD574&gt;=4,"A",IF('Data Source'!AD574&gt;=3.5,"A-",IF('Data Source'!AD574&gt;=3,"B",IF('Data Source'!AD574&gt;=2,"C",IF('Data Source'!AD574&gt;=1,"D","F")))))))</f>
        <v/>
      </c>
      <c r="M574" s="3">
        <f>IF('Data Source'!B574="","",IF('Data Source'!AE574&gt;=5,"A+",IF('Data Source'!AE574&gt;=4,"A",IF('Data Source'!AE574&gt;=3.5,"A-",IF('Data Source'!AE574&gt;=3,"B",IF('Data Source'!AE574&gt;=2,"C",IF('Data Source'!AE574&gt;=1,"D","F")))))))</f>
        <v/>
      </c>
      <c r="N574" s="3">
        <f>IF('Data Source'!B574="","",IF('Data Source'!AF574&gt;=5,"A+",IF('Data Source'!AF574&gt;=4,"A",IF('Data Source'!AF574&gt;=3.5,"A-",IF('Data Source'!AF574&gt;=3,"B",IF('Data Source'!AF574&gt;=2,"C",IF('Data Source'!AF574&gt;=1,"D","F")))))))</f>
        <v/>
      </c>
      <c r="O574" s="3">
        <f>IF('Data Source'!B574="","",IF('Data Source'!AG574&gt;=5,"A+",IF('Data Source'!AG574&gt;=4,"A",IF('Data Source'!AG574&gt;=3.5,"A-",IF('Data Source'!AG574&gt;=3,"B",IF('Data Source'!AG574&gt;=2,"C",IF('Data Source'!AG574&gt;=1,"D","F")))))))</f>
        <v/>
      </c>
      <c r="P574" s="5">
        <f>IF('Data Source'!B574="","",'Data Source'!R574)</f>
        <v/>
      </c>
      <c r="Q574" s="3">
        <f>IF('Data Source'!B574="","",'Data Source'!S574)</f>
        <v/>
      </c>
    </row>
    <row r="575">
      <c r="A575" s="3">
        <f>IF('Data Source'!B575="","",'Data Source'!A575)</f>
        <v/>
      </c>
      <c r="B575">
        <f>IF('Data Source'!B575="","",'Data Source'!B575)</f>
        <v/>
      </c>
      <c r="C575" s="3">
        <f>IF('Data Source'!B575="","",IF('Data Source'!U575&gt;=5,"A+",IF('Data Source'!U575&gt;=4,"A",IF('Data Source'!U575&gt;=3.5,"A-",IF('Data Source'!U575&gt;=3,"B",IF('Data Source'!U575&gt;=2,"C",IF('Data Source'!U575&gt;=1,"D","F")))))))</f>
        <v/>
      </c>
      <c r="D575" s="3">
        <f>IF('Data Source'!B575="","",IF('Data Source'!V575&gt;=5,"A+",IF('Data Source'!V575&gt;=4,"A",IF('Data Source'!V575&gt;=3.5,"A-",IF('Data Source'!V575&gt;=3,"B",IF('Data Source'!V575&gt;=2,"C",IF('Data Source'!V575&gt;=1,"D","F")))))))</f>
        <v/>
      </c>
      <c r="E575" s="3">
        <f>IF('Data Source'!B575="","",IF('Data Source'!W575&gt;=5,"A+",IF('Data Source'!W575&gt;=4,"A",IF('Data Source'!W575&gt;=3.5,"A-",IF('Data Source'!W575&gt;=3,"B",IF('Data Source'!W575&gt;=2,"C",IF('Data Source'!W575&gt;=1,"D","F")))))))</f>
        <v/>
      </c>
      <c r="F575" s="3">
        <f>IF('Data Source'!B575="","",IF('Data Source'!X575&gt;=5,"A+",IF('Data Source'!X575&gt;=4,"A",IF('Data Source'!X575&gt;=3.5,"A-",IF('Data Source'!X575&gt;=3,"B",IF('Data Source'!X575&gt;=2,"C",IF('Data Source'!X575&gt;=1,"D","F")))))))</f>
        <v/>
      </c>
      <c r="G575" s="3">
        <f>IF('Data Source'!B575="","",IF('Data Source'!Y575&gt;=5,"A+",IF('Data Source'!Y575&gt;=4,"A",IF('Data Source'!Y575&gt;=3.5,"A-",IF('Data Source'!Y575&gt;=3,"B",IF('Data Source'!Y575&gt;=2,"C",IF('Data Source'!Y575&gt;=1,"D","F")))))))</f>
        <v/>
      </c>
      <c r="H575" s="3">
        <f>IF('Data Source'!B575="","",IF('Data Source'!Z575&gt;=5,"A+",IF('Data Source'!Z575&gt;=4,"A",IF('Data Source'!Z575&gt;=3.5,"A-",IF('Data Source'!Z575&gt;=3,"B",IF('Data Source'!Z575&gt;=2,"C",IF('Data Source'!Z575&gt;=1,"D","F")))))))</f>
        <v/>
      </c>
      <c r="I575" s="3">
        <f>IF('Data Source'!B575="","",IF('Data Source'!AA575&gt;=5,"A+",IF('Data Source'!AA575&gt;=4,"A",IF('Data Source'!AA575&gt;=3.5,"A-",IF('Data Source'!AA575&gt;=3,"B",IF('Data Source'!AA575&gt;=2,"C",IF('Data Source'!AA575&gt;=1,"D","F")))))))</f>
        <v/>
      </c>
      <c r="J575" s="3">
        <f>IF('Data Source'!B575="","",IF('Data Source'!AB575&gt;=5,"A+",IF('Data Source'!AB575&gt;=4,"A",IF('Data Source'!AB575&gt;=3.5,"A-",IF('Data Source'!AB575&gt;=3,"B",IF('Data Source'!AB575&gt;=2,"C",IF('Data Source'!AB575&gt;=1,"D","F")))))))</f>
        <v/>
      </c>
      <c r="K575" s="3">
        <f>IF('Data Source'!B575="","",IF('Data Source'!AC575&gt;=5,"A+",IF('Data Source'!AC575&gt;=4,"A",IF('Data Source'!AC575&gt;=3.5,"A-",IF('Data Source'!AC575&gt;=3,"B",IF('Data Source'!AC575&gt;=2,"C",IF('Data Source'!AC575&gt;=1,"D","F")))))))</f>
        <v/>
      </c>
      <c r="L575" s="3">
        <f>IF('Data Source'!B575="","",IF('Data Source'!AD575&gt;=5,"A+",IF('Data Source'!AD575&gt;=4,"A",IF('Data Source'!AD575&gt;=3.5,"A-",IF('Data Source'!AD575&gt;=3,"B",IF('Data Source'!AD575&gt;=2,"C",IF('Data Source'!AD575&gt;=1,"D","F")))))))</f>
        <v/>
      </c>
      <c r="M575" s="3">
        <f>IF('Data Source'!B575="","",IF('Data Source'!AE575&gt;=5,"A+",IF('Data Source'!AE575&gt;=4,"A",IF('Data Source'!AE575&gt;=3.5,"A-",IF('Data Source'!AE575&gt;=3,"B",IF('Data Source'!AE575&gt;=2,"C",IF('Data Source'!AE575&gt;=1,"D","F")))))))</f>
        <v/>
      </c>
      <c r="N575" s="3">
        <f>IF('Data Source'!B575="","",IF('Data Source'!AF575&gt;=5,"A+",IF('Data Source'!AF575&gt;=4,"A",IF('Data Source'!AF575&gt;=3.5,"A-",IF('Data Source'!AF575&gt;=3,"B",IF('Data Source'!AF575&gt;=2,"C",IF('Data Source'!AF575&gt;=1,"D","F")))))))</f>
        <v/>
      </c>
      <c r="O575" s="3">
        <f>IF('Data Source'!B575="","",IF('Data Source'!AG575&gt;=5,"A+",IF('Data Source'!AG575&gt;=4,"A",IF('Data Source'!AG575&gt;=3.5,"A-",IF('Data Source'!AG575&gt;=3,"B",IF('Data Source'!AG575&gt;=2,"C",IF('Data Source'!AG575&gt;=1,"D","F")))))))</f>
        <v/>
      </c>
      <c r="P575" s="5">
        <f>IF('Data Source'!B575="","",'Data Source'!R575)</f>
        <v/>
      </c>
      <c r="Q575" s="3">
        <f>IF('Data Source'!B575="","",'Data Source'!S575)</f>
        <v/>
      </c>
    </row>
    <row r="576">
      <c r="A576" s="3">
        <f>IF('Data Source'!B576="","",'Data Source'!A576)</f>
        <v/>
      </c>
      <c r="B576">
        <f>IF('Data Source'!B576="","",'Data Source'!B576)</f>
        <v/>
      </c>
      <c r="C576" s="3">
        <f>IF('Data Source'!B576="","",IF('Data Source'!U576&gt;=5,"A+",IF('Data Source'!U576&gt;=4,"A",IF('Data Source'!U576&gt;=3.5,"A-",IF('Data Source'!U576&gt;=3,"B",IF('Data Source'!U576&gt;=2,"C",IF('Data Source'!U576&gt;=1,"D","F")))))))</f>
        <v/>
      </c>
      <c r="D576" s="3">
        <f>IF('Data Source'!B576="","",IF('Data Source'!V576&gt;=5,"A+",IF('Data Source'!V576&gt;=4,"A",IF('Data Source'!V576&gt;=3.5,"A-",IF('Data Source'!V576&gt;=3,"B",IF('Data Source'!V576&gt;=2,"C",IF('Data Source'!V576&gt;=1,"D","F")))))))</f>
        <v/>
      </c>
      <c r="E576" s="3">
        <f>IF('Data Source'!B576="","",IF('Data Source'!W576&gt;=5,"A+",IF('Data Source'!W576&gt;=4,"A",IF('Data Source'!W576&gt;=3.5,"A-",IF('Data Source'!W576&gt;=3,"B",IF('Data Source'!W576&gt;=2,"C",IF('Data Source'!W576&gt;=1,"D","F")))))))</f>
        <v/>
      </c>
      <c r="F576" s="3">
        <f>IF('Data Source'!B576="","",IF('Data Source'!X576&gt;=5,"A+",IF('Data Source'!X576&gt;=4,"A",IF('Data Source'!X576&gt;=3.5,"A-",IF('Data Source'!X576&gt;=3,"B",IF('Data Source'!X576&gt;=2,"C",IF('Data Source'!X576&gt;=1,"D","F")))))))</f>
        <v/>
      </c>
      <c r="G576" s="3">
        <f>IF('Data Source'!B576="","",IF('Data Source'!Y576&gt;=5,"A+",IF('Data Source'!Y576&gt;=4,"A",IF('Data Source'!Y576&gt;=3.5,"A-",IF('Data Source'!Y576&gt;=3,"B",IF('Data Source'!Y576&gt;=2,"C",IF('Data Source'!Y576&gt;=1,"D","F")))))))</f>
        <v/>
      </c>
      <c r="H576" s="3">
        <f>IF('Data Source'!B576="","",IF('Data Source'!Z576&gt;=5,"A+",IF('Data Source'!Z576&gt;=4,"A",IF('Data Source'!Z576&gt;=3.5,"A-",IF('Data Source'!Z576&gt;=3,"B",IF('Data Source'!Z576&gt;=2,"C",IF('Data Source'!Z576&gt;=1,"D","F")))))))</f>
        <v/>
      </c>
      <c r="I576" s="3">
        <f>IF('Data Source'!B576="","",IF('Data Source'!AA576&gt;=5,"A+",IF('Data Source'!AA576&gt;=4,"A",IF('Data Source'!AA576&gt;=3.5,"A-",IF('Data Source'!AA576&gt;=3,"B",IF('Data Source'!AA576&gt;=2,"C",IF('Data Source'!AA576&gt;=1,"D","F")))))))</f>
        <v/>
      </c>
      <c r="J576" s="3">
        <f>IF('Data Source'!B576="","",IF('Data Source'!AB576&gt;=5,"A+",IF('Data Source'!AB576&gt;=4,"A",IF('Data Source'!AB576&gt;=3.5,"A-",IF('Data Source'!AB576&gt;=3,"B",IF('Data Source'!AB576&gt;=2,"C",IF('Data Source'!AB576&gt;=1,"D","F")))))))</f>
        <v/>
      </c>
      <c r="K576" s="3">
        <f>IF('Data Source'!B576="","",IF('Data Source'!AC576&gt;=5,"A+",IF('Data Source'!AC576&gt;=4,"A",IF('Data Source'!AC576&gt;=3.5,"A-",IF('Data Source'!AC576&gt;=3,"B",IF('Data Source'!AC576&gt;=2,"C",IF('Data Source'!AC576&gt;=1,"D","F")))))))</f>
        <v/>
      </c>
      <c r="L576" s="3">
        <f>IF('Data Source'!B576="","",IF('Data Source'!AD576&gt;=5,"A+",IF('Data Source'!AD576&gt;=4,"A",IF('Data Source'!AD576&gt;=3.5,"A-",IF('Data Source'!AD576&gt;=3,"B",IF('Data Source'!AD576&gt;=2,"C",IF('Data Source'!AD576&gt;=1,"D","F")))))))</f>
        <v/>
      </c>
      <c r="M576" s="3">
        <f>IF('Data Source'!B576="","",IF('Data Source'!AE576&gt;=5,"A+",IF('Data Source'!AE576&gt;=4,"A",IF('Data Source'!AE576&gt;=3.5,"A-",IF('Data Source'!AE576&gt;=3,"B",IF('Data Source'!AE576&gt;=2,"C",IF('Data Source'!AE576&gt;=1,"D","F")))))))</f>
        <v/>
      </c>
      <c r="N576" s="3">
        <f>IF('Data Source'!B576="","",IF('Data Source'!AF576&gt;=5,"A+",IF('Data Source'!AF576&gt;=4,"A",IF('Data Source'!AF576&gt;=3.5,"A-",IF('Data Source'!AF576&gt;=3,"B",IF('Data Source'!AF576&gt;=2,"C",IF('Data Source'!AF576&gt;=1,"D","F")))))))</f>
        <v/>
      </c>
      <c r="O576" s="3">
        <f>IF('Data Source'!B576="","",IF('Data Source'!AG576&gt;=5,"A+",IF('Data Source'!AG576&gt;=4,"A",IF('Data Source'!AG576&gt;=3.5,"A-",IF('Data Source'!AG576&gt;=3,"B",IF('Data Source'!AG576&gt;=2,"C",IF('Data Source'!AG576&gt;=1,"D","F")))))))</f>
        <v/>
      </c>
      <c r="P576" s="5">
        <f>IF('Data Source'!B576="","",'Data Source'!R576)</f>
        <v/>
      </c>
      <c r="Q576" s="3">
        <f>IF('Data Source'!B576="","",'Data Source'!S576)</f>
        <v/>
      </c>
    </row>
    <row r="577">
      <c r="A577" s="3">
        <f>IF('Data Source'!B577="","",'Data Source'!A577)</f>
        <v/>
      </c>
      <c r="B577">
        <f>IF('Data Source'!B577="","",'Data Source'!B577)</f>
        <v/>
      </c>
      <c r="C577" s="3">
        <f>IF('Data Source'!B577="","",IF('Data Source'!U577&gt;=5,"A+",IF('Data Source'!U577&gt;=4,"A",IF('Data Source'!U577&gt;=3.5,"A-",IF('Data Source'!U577&gt;=3,"B",IF('Data Source'!U577&gt;=2,"C",IF('Data Source'!U577&gt;=1,"D","F")))))))</f>
        <v/>
      </c>
      <c r="D577" s="3">
        <f>IF('Data Source'!B577="","",IF('Data Source'!V577&gt;=5,"A+",IF('Data Source'!V577&gt;=4,"A",IF('Data Source'!V577&gt;=3.5,"A-",IF('Data Source'!V577&gt;=3,"B",IF('Data Source'!V577&gt;=2,"C",IF('Data Source'!V577&gt;=1,"D","F")))))))</f>
        <v/>
      </c>
      <c r="E577" s="3">
        <f>IF('Data Source'!B577="","",IF('Data Source'!W577&gt;=5,"A+",IF('Data Source'!W577&gt;=4,"A",IF('Data Source'!W577&gt;=3.5,"A-",IF('Data Source'!W577&gt;=3,"B",IF('Data Source'!W577&gt;=2,"C",IF('Data Source'!W577&gt;=1,"D","F")))))))</f>
        <v/>
      </c>
      <c r="F577" s="3">
        <f>IF('Data Source'!B577="","",IF('Data Source'!X577&gt;=5,"A+",IF('Data Source'!X577&gt;=4,"A",IF('Data Source'!X577&gt;=3.5,"A-",IF('Data Source'!X577&gt;=3,"B",IF('Data Source'!X577&gt;=2,"C",IF('Data Source'!X577&gt;=1,"D","F")))))))</f>
        <v/>
      </c>
      <c r="G577" s="3">
        <f>IF('Data Source'!B577="","",IF('Data Source'!Y577&gt;=5,"A+",IF('Data Source'!Y577&gt;=4,"A",IF('Data Source'!Y577&gt;=3.5,"A-",IF('Data Source'!Y577&gt;=3,"B",IF('Data Source'!Y577&gt;=2,"C",IF('Data Source'!Y577&gt;=1,"D","F")))))))</f>
        <v/>
      </c>
      <c r="H577" s="3">
        <f>IF('Data Source'!B577="","",IF('Data Source'!Z577&gt;=5,"A+",IF('Data Source'!Z577&gt;=4,"A",IF('Data Source'!Z577&gt;=3.5,"A-",IF('Data Source'!Z577&gt;=3,"B",IF('Data Source'!Z577&gt;=2,"C",IF('Data Source'!Z577&gt;=1,"D","F")))))))</f>
        <v/>
      </c>
      <c r="I577" s="3">
        <f>IF('Data Source'!B577="","",IF('Data Source'!AA577&gt;=5,"A+",IF('Data Source'!AA577&gt;=4,"A",IF('Data Source'!AA577&gt;=3.5,"A-",IF('Data Source'!AA577&gt;=3,"B",IF('Data Source'!AA577&gt;=2,"C",IF('Data Source'!AA577&gt;=1,"D","F")))))))</f>
        <v/>
      </c>
      <c r="J577" s="3">
        <f>IF('Data Source'!B577="","",IF('Data Source'!AB577&gt;=5,"A+",IF('Data Source'!AB577&gt;=4,"A",IF('Data Source'!AB577&gt;=3.5,"A-",IF('Data Source'!AB577&gt;=3,"B",IF('Data Source'!AB577&gt;=2,"C",IF('Data Source'!AB577&gt;=1,"D","F")))))))</f>
        <v/>
      </c>
      <c r="K577" s="3">
        <f>IF('Data Source'!B577="","",IF('Data Source'!AC577&gt;=5,"A+",IF('Data Source'!AC577&gt;=4,"A",IF('Data Source'!AC577&gt;=3.5,"A-",IF('Data Source'!AC577&gt;=3,"B",IF('Data Source'!AC577&gt;=2,"C",IF('Data Source'!AC577&gt;=1,"D","F")))))))</f>
        <v/>
      </c>
      <c r="L577" s="3">
        <f>IF('Data Source'!B577="","",IF('Data Source'!AD577&gt;=5,"A+",IF('Data Source'!AD577&gt;=4,"A",IF('Data Source'!AD577&gt;=3.5,"A-",IF('Data Source'!AD577&gt;=3,"B",IF('Data Source'!AD577&gt;=2,"C",IF('Data Source'!AD577&gt;=1,"D","F")))))))</f>
        <v/>
      </c>
      <c r="M577" s="3">
        <f>IF('Data Source'!B577="","",IF('Data Source'!AE577&gt;=5,"A+",IF('Data Source'!AE577&gt;=4,"A",IF('Data Source'!AE577&gt;=3.5,"A-",IF('Data Source'!AE577&gt;=3,"B",IF('Data Source'!AE577&gt;=2,"C",IF('Data Source'!AE577&gt;=1,"D","F")))))))</f>
        <v/>
      </c>
      <c r="N577" s="3">
        <f>IF('Data Source'!B577="","",IF('Data Source'!AF577&gt;=5,"A+",IF('Data Source'!AF577&gt;=4,"A",IF('Data Source'!AF577&gt;=3.5,"A-",IF('Data Source'!AF577&gt;=3,"B",IF('Data Source'!AF577&gt;=2,"C",IF('Data Source'!AF577&gt;=1,"D","F")))))))</f>
        <v/>
      </c>
      <c r="O577" s="3">
        <f>IF('Data Source'!B577="","",IF('Data Source'!AG577&gt;=5,"A+",IF('Data Source'!AG577&gt;=4,"A",IF('Data Source'!AG577&gt;=3.5,"A-",IF('Data Source'!AG577&gt;=3,"B",IF('Data Source'!AG577&gt;=2,"C",IF('Data Source'!AG577&gt;=1,"D","F")))))))</f>
        <v/>
      </c>
      <c r="P577" s="5">
        <f>IF('Data Source'!B577="","",'Data Source'!R577)</f>
        <v/>
      </c>
      <c r="Q577" s="3">
        <f>IF('Data Source'!B577="","",'Data Source'!S577)</f>
        <v/>
      </c>
    </row>
    <row r="578">
      <c r="A578" s="3">
        <f>IF('Data Source'!B578="","",'Data Source'!A578)</f>
        <v/>
      </c>
      <c r="B578">
        <f>IF('Data Source'!B578="","",'Data Source'!B578)</f>
        <v/>
      </c>
      <c r="C578" s="3">
        <f>IF('Data Source'!B578="","",IF('Data Source'!U578&gt;=5,"A+",IF('Data Source'!U578&gt;=4,"A",IF('Data Source'!U578&gt;=3.5,"A-",IF('Data Source'!U578&gt;=3,"B",IF('Data Source'!U578&gt;=2,"C",IF('Data Source'!U578&gt;=1,"D","F")))))))</f>
        <v/>
      </c>
      <c r="D578" s="3">
        <f>IF('Data Source'!B578="","",IF('Data Source'!V578&gt;=5,"A+",IF('Data Source'!V578&gt;=4,"A",IF('Data Source'!V578&gt;=3.5,"A-",IF('Data Source'!V578&gt;=3,"B",IF('Data Source'!V578&gt;=2,"C",IF('Data Source'!V578&gt;=1,"D","F")))))))</f>
        <v/>
      </c>
      <c r="E578" s="3">
        <f>IF('Data Source'!B578="","",IF('Data Source'!W578&gt;=5,"A+",IF('Data Source'!W578&gt;=4,"A",IF('Data Source'!W578&gt;=3.5,"A-",IF('Data Source'!W578&gt;=3,"B",IF('Data Source'!W578&gt;=2,"C",IF('Data Source'!W578&gt;=1,"D","F")))))))</f>
        <v/>
      </c>
      <c r="F578" s="3">
        <f>IF('Data Source'!B578="","",IF('Data Source'!X578&gt;=5,"A+",IF('Data Source'!X578&gt;=4,"A",IF('Data Source'!X578&gt;=3.5,"A-",IF('Data Source'!X578&gt;=3,"B",IF('Data Source'!X578&gt;=2,"C",IF('Data Source'!X578&gt;=1,"D","F")))))))</f>
        <v/>
      </c>
      <c r="G578" s="3">
        <f>IF('Data Source'!B578="","",IF('Data Source'!Y578&gt;=5,"A+",IF('Data Source'!Y578&gt;=4,"A",IF('Data Source'!Y578&gt;=3.5,"A-",IF('Data Source'!Y578&gt;=3,"B",IF('Data Source'!Y578&gt;=2,"C",IF('Data Source'!Y578&gt;=1,"D","F")))))))</f>
        <v/>
      </c>
      <c r="H578" s="3">
        <f>IF('Data Source'!B578="","",IF('Data Source'!Z578&gt;=5,"A+",IF('Data Source'!Z578&gt;=4,"A",IF('Data Source'!Z578&gt;=3.5,"A-",IF('Data Source'!Z578&gt;=3,"B",IF('Data Source'!Z578&gt;=2,"C",IF('Data Source'!Z578&gt;=1,"D","F")))))))</f>
        <v/>
      </c>
      <c r="I578" s="3">
        <f>IF('Data Source'!B578="","",IF('Data Source'!AA578&gt;=5,"A+",IF('Data Source'!AA578&gt;=4,"A",IF('Data Source'!AA578&gt;=3.5,"A-",IF('Data Source'!AA578&gt;=3,"B",IF('Data Source'!AA578&gt;=2,"C",IF('Data Source'!AA578&gt;=1,"D","F")))))))</f>
        <v/>
      </c>
      <c r="J578" s="3">
        <f>IF('Data Source'!B578="","",IF('Data Source'!AB578&gt;=5,"A+",IF('Data Source'!AB578&gt;=4,"A",IF('Data Source'!AB578&gt;=3.5,"A-",IF('Data Source'!AB578&gt;=3,"B",IF('Data Source'!AB578&gt;=2,"C",IF('Data Source'!AB578&gt;=1,"D","F")))))))</f>
        <v/>
      </c>
      <c r="K578" s="3">
        <f>IF('Data Source'!B578="","",IF('Data Source'!AC578&gt;=5,"A+",IF('Data Source'!AC578&gt;=4,"A",IF('Data Source'!AC578&gt;=3.5,"A-",IF('Data Source'!AC578&gt;=3,"B",IF('Data Source'!AC578&gt;=2,"C",IF('Data Source'!AC578&gt;=1,"D","F")))))))</f>
        <v/>
      </c>
      <c r="L578" s="3">
        <f>IF('Data Source'!B578="","",IF('Data Source'!AD578&gt;=5,"A+",IF('Data Source'!AD578&gt;=4,"A",IF('Data Source'!AD578&gt;=3.5,"A-",IF('Data Source'!AD578&gt;=3,"B",IF('Data Source'!AD578&gt;=2,"C",IF('Data Source'!AD578&gt;=1,"D","F")))))))</f>
        <v/>
      </c>
      <c r="M578" s="3">
        <f>IF('Data Source'!B578="","",IF('Data Source'!AE578&gt;=5,"A+",IF('Data Source'!AE578&gt;=4,"A",IF('Data Source'!AE578&gt;=3.5,"A-",IF('Data Source'!AE578&gt;=3,"B",IF('Data Source'!AE578&gt;=2,"C",IF('Data Source'!AE578&gt;=1,"D","F")))))))</f>
        <v/>
      </c>
      <c r="N578" s="3">
        <f>IF('Data Source'!B578="","",IF('Data Source'!AF578&gt;=5,"A+",IF('Data Source'!AF578&gt;=4,"A",IF('Data Source'!AF578&gt;=3.5,"A-",IF('Data Source'!AF578&gt;=3,"B",IF('Data Source'!AF578&gt;=2,"C",IF('Data Source'!AF578&gt;=1,"D","F")))))))</f>
        <v/>
      </c>
      <c r="O578" s="3">
        <f>IF('Data Source'!B578="","",IF('Data Source'!AG578&gt;=5,"A+",IF('Data Source'!AG578&gt;=4,"A",IF('Data Source'!AG578&gt;=3.5,"A-",IF('Data Source'!AG578&gt;=3,"B",IF('Data Source'!AG578&gt;=2,"C",IF('Data Source'!AG578&gt;=1,"D","F")))))))</f>
        <v/>
      </c>
      <c r="P578" s="5">
        <f>IF('Data Source'!B578="","",'Data Source'!R578)</f>
        <v/>
      </c>
      <c r="Q578" s="3">
        <f>IF('Data Source'!B578="","",'Data Source'!S578)</f>
        <v/>
      </c>
    </row>
    <row r="579">
      <c r="A579" s="3">
        <f>IF('Data Source'!B579="","",'Data Source'!A579)</f>
        <v/>
      </c>
      <c r="B579">
        <f>IF('Data Source'!B579="","",'Data Source'!B579)</f>
        <v/>
      </c>
      <c r="C579" s="3">
        <f>IF('Data Source'!B579="","",IF('Data Source'!U579&gt;=5,"A+",IF('Data Source'!U579&gt;=4,"A",IF('Data Source'!U579&gt;=3.5,"A-",IF('Data Source'!U579&gt;=3,"B",IF('Data Source'!U579&gt;=2,"C",IF('Data Source'!U579&gt;=1,"D","F")))))))</f>
        <v/>
      </c>
      <c r="D579" s="3">
        <f>IF('Data Source'!B579="","",IF('Data Source'!V579&gt;=5,"A+",IF('Data Source'!V579&gt;=4,"A",IF('Data Source'!V579&gt;=3.5,"A-",IF('Data Source'!V579&gt;=3,"B",IF('Data Source'!V579&gt;=2,"C",IF('Data Source'!V579&gt;=1,"D","F")))))))</f>
        <v/>
      </c>
      <c r="E579" s="3">
        <f>IF('Data Source'!B579="","",IF('Data Source'!W579&gt;=5,"A+",IF('Data Source'!W579&gt;=4,"A",IF('Data Source'!W579&gt;=3.5,"A-",IF('Data Source'!W579&gt;=3,"B",IF('Data Source'!W579&gt;=2,"C",IF('Data Source'!W579&gt;=1,"D","F")))))))</f>
        <v/>
      </c>
      <c r="F579" s="3">
        <f>IF('Data Source'!B579="","",IF('Data Source'!X579&gt;=5,"A+",IF('Data Source'!X579&gt;=4,"A",IF('Data Source'!X579&gt;=3.5,"A-",IF('Data Source'!X579&gt;=3,"B",IF('Data Source'!X579&gt;=2,"C",IF('Data Source'!X579&gt;=1,"D","F")))))))</f>
        <v/>
      </c>
      <c r="G579" s="3">
        <f>IF('Data Source'!B579="","",IF('Data Source'!Y579&gt;=5,"A+",IF('Data Source'!Y579&gt;=4,"A",IF('Data Source'!Y579&gt;=3.5,"A-",IF('Data Source'!Y579&gt;=3,"B",IF('Data Source'!Y579&gt;=2,"C",IF('Data Source'!Y579&gt;=1,"D","F")))))))</f>
        <v/>
      </c>
      <c r="H579" s="3">
        <f>IF('Data Source'!B579="","",IF('Data Source'!Z579&gt;=5,"A+",IF('Data Source'!Z579&gt;=4,"A",IF('Data Source'!Z579&gt;=3.5,"A-",IF('Data Source'!Z579&gt;=3,"B",IF('Data Source'!Z579&gt;=2,"C",IF('Data Source'!Z579&gt;=1,"D","F")))))))</f>
        <v/>
      </c>
      <c r="I579" s="3">
        <f>IF('Data Source'!B579="","",IF('Data Source'!AA579&gt;=5,"A+",IF('Data Source'!AA579&gt;=4,"A",IF('Data Source'!AA579&gt;=3.5,"A-",IF('Data Source'!AA579&gt;=3,"B",IF('Data Source'!AA579&gt;=2,"C",IF('Data Source'!AA579&gt;=1,"D","F")))))))</f>
        <v/>
      </c>
      <c r="J579" s="3">
        <f>IF('Data Source'!B579="","",IF('Data Source'!AB579&gt;=5,"A+",IF('Data Source'!AB579&gt;=4,"A",IF('Data Source'!AB579&gt;=3.5,"A-",IF('Data Source'!AB579&gt;=3,"B",IF('Data Source'!AB579&gt;=2,"C",IF('Data Source'!AB579&gt;=1,"D","F")))))))</f>
        <v/>
      </c>
      <c r="K579" s="3">
        <f>IF('Data Source'!B579="","",IF('Data Source'!AC579&gt;=5,"A+",IF('Data Source'!AC579&gt;=4,"A",IF('Data Source'!AC579&gt;=3.5,"A-",IF('Data Source'!AC579&gt;=3,"B",IF('Data Source'!AC579&gt;=2,"C",IF('Data Source'!AC579&gt;=1,"D","F")))))))</f>
        <v/>
      </c>
      <c r="L579" s="3">
        <f>IF('Data Source'!B579="","",IF('Data Source'!AD579&gt;=5,"A+",IF('Data Source'!AD579&gt;=4,"A",IF('Data Source'!AD579&gt;=3.5,"A-",IF('Data Source'!AD579&gt;=3,"B",IF('Data Source'!AD579&gt;=2,"C",IF('Data Source'!AD579&gt;=1,"D","F")))))))</f>
        <v/>
      </c>
      <c r="M579" s="3">
        <f>IF('Data Source'!B579="","",IF('Data Source'!AE579&gt;=5,"A+",IF('Data Source'!AE579&gt;=4,"A",IF('Data Source'!AE579&gt;=3.5,"A-",IF('Data Source'!AE579&gt;=3,"B",IF('Data Source'!AE579&gt;=2,"C",IF('Data Source'!AE579&gt;=1,"D","F")))))))</f>
        <v/>
      </c>
      <c r="N579" s="3">
        <f>IF('Data Source'!B579="","",IF('Data Source'!AF579&gt;=5,"A+",IF('Data Source'!AF579&gt;=4,"A",IF('Data Source'!AF579&gt;=3.5,"A-",IF('Data Source'!AF579&gt;=3,"B",IF('Data Source'!AF579&gt;=2,"C",IF('Data Source'!AF579&gt;=1,"D","F")))))))</f>
        <v/>
      </c>
      <c r="O579" s="3">
        <f>IF('Data Source'!B579="","",IF('Data Source'!AG579&gt;=5,"A+",IF('Data Source'!AG579&gt;=4,"A",IF('Data Source'!AG579&gt;=3.5,"A-",IF('Data Source'!AG579&gt;=3,"B",IF('Data Source'!AG579&gt;=2,"C",IF('Data Source'!AG579&gt;=1,"D","F")))))))</f>
        <v/>
      </c>
      <c r="P579" s="5">
        <f>IF('Data Source'!B579="","",'Data Source'!R579)</f>
        <v/>
      </c>
      <c r="Q579" s="3">
        <f>IF('Data Source'!B579="","",'Data Source'!S579)</f>
        <v/>
      </c>
    </row>
    <row r="580">
      <c r="A580" s="3">
        <f>IF('Data Source'!B580="","",'Data Source'!A580)</f>
        <v/>
      </c>
      <c r="B580">
        <f>IF('Data Source'!B580="","",'Data Source'!B580)</f>
        <v/>
      </c>
      <c r="C580" s="3">
        <f>IF('Data Source'!B580="","",IF('Data Source'!U580&gt;=5,"A+",IF('Data Source'!U580&gt;=4,"A",IF('Data Source'!U580&gt;=3.5,"A-",IF('Data Source'!U580&gt;=3,"B",IF('Data Source'!U580&gt;=2,"C",IF('Data Source'!U580&gt;=1,"D","F")))))))</f>
        <v/>
      </c>
      <c r="D580" s="3">
        <f>IF('Data Source'!B580="","",IF('Data Source'!V580&gt;=5,"A+",IF('Data Source'!V580&gt;=4,"A",IF('Data Source'!V580&gt;=3.5,"A-",IF('Data Source'!V580&gt;=3,"B",IF('Data Source'!V580&gt;=2,"C",IF('Data Source'!V580&gt;=1,"D","F")))))))</f>
        <v/>
      </c>
      <c r="E580" s="3">
        <f>IF('Data Source'!B580="","",IF('Data Source'!W580&gt;=5,"A+",IF('Data Source'!W580&gt;=4,"A",IF('Data Source'!W580&gt;=3.5,"A-",IF('Data Source'!W580&gt;=3,"B",IF('Data Source'!W580&gt;=2,"C",IF('Data Source'!W580&gt;=1,"D","F")))))))</f>
        <v/>
      </c>
      <c r="F580" s="3">
        <f>IF('Data Source'!B580="","",IF('Data Source'!X580&gt;=5,"A+",IF('Data Source'!X580&gt;=4,"A",IF('Data Source'!X580&gt;=3.5,"A-",IF('Data Source'!X580&gt;=3,"B",IF('Data Source'!X580&gt;=2,"C",IF('Data Source'!X580&gt;=1,"D","F")))))))</f>
        <v/>
      </c>
      <c r="G580" s="3">
        <f>IF('Data Source'!B580="","",IF('Data Source'!Y580&gt;=5,"A+",IF('Data Source'!Y580&gt;=4,"A",IF('Data Source'!Y580&gt;=3.5,"A-",IF('Data Source'!Y580&gt;=3,"B",IF('Data Source'!Y580&gt;=2,"C",IF('Data Source'!Y580&gt;=1,"D","F")))))))</f>
        <v/>
      </c>
      <c r="H580" s="3">
        <f>IF('Data Source'!B580="","",IF('Data Source'!Z580&gt;=5,"A+",IF('Data Source'!Z580&gt;=4,"A",IF('Data Source'!Z580&gt;=3.5,"A-",IF('Data Source'!Z580&gt;=3,"B",IF('Data Source'!Z580&gt;=2,"C",IF('Data Source'!Z580&gt;=1,"D","F")))))))</f>
        <v/>
      </c>
      <c r="I580" s="3">
        <f>IF('Data Source'!B580="","",IF('Data Source'!AA580&gt;=5,"A+",IF('Data Source'!AA580&gt;=4,"A",IF('Data Source'!AA580&gt;=3.5,"A-",IF('Data Source'!AA580&gt;=3,"B",IF('Data Source'!AA580&gt;=2,"C",IF('Data Source'!AA580&gt;=1,"D","F")))))))</f>
        <v/>
      </c>
      <c r="J580" s="3">
        <f>IF('Data Source'!B580="","",IF('Data Source'!AB580&gt;=5,"A+",IF('Data Source'!AB580&gt;=4,"A",IF('Data Source'!AB580&gt;=3.5,"A-",IF('Data Source'!AB580&gt;=3,"B",IF('Data Source'!AB580&gt;=2,"C",IF('Data Source'!AB580&gt;=1,"D","F")))))))</f>
        <v/>
      </c>
      <c r="K580" s="3">
        <f>IF('Data Source'!B580="","",IF('Data Source'!AC580&gt;=5,"A+",IF('Data Source'!AC580&gt;=4,"A",IF('Data Source'!AC580&gt;=3.5,"A-",IF('Data Source'!AC580&gt;=3,"B",IF('Data Source'!AC580&gt;=2,"C",IF('Data Source'!AC580&gt;=1,"D","F")))))))</f>
        <v/>
      </c>
      <c r="L580" s="3">
        <f>IF('Data Source'!B580="","",IF('Data Source'!AD580&gt;=5,"A+",IF('Data Source'!AD580&gt;=4,"A",IF('Data Source'!AD580&gt;=3.5,"A-",IF('Data Source'!AD580&gt;=3,"B",IF('Data Source'!AD580&gt;=2,"C",IF('Data Source'!AD580&gt;=1,"D","F")))))))</f>
        <v/>
      </c>
      <c r="M580" s="3">
        <f>IF('Data Source'!B580="","",IF('Data Source'!AE580&gt;=5,"A+",IF('Data Source'!AE580&gt;=4,"A",IF('Data Source'!AE580&gt;=3.5,"A-",IF('Data Source'!AE580&gt;=3,"B",IF('Data Source'!AE580&gt;=2,"C",IF('Data Source'!AE580&gt;=1,"D","F")))))))</f>
        <v/>
      </c>
      <c r="N580" s="3">
        <f>IF('Data Source'!B580="","",IF('Data Source'!AF580&gt;=5,"A+",IF('Data Source'!AF580&gt;=4,"A",IF('Data Source'!AF580&gt;=3.5,"A-",IF('Data Source'!AF580&gt;=3,"B",IF('Data Source'!AF580&gt;=2,"C",IF('Data Source'!AF580&gt;=1,"D","F")))))))</f>
        <v/>
      </c>
      <c r="O580" s="3">
        <f>IF('Data Source'!B580="","",IF('Data Source'!AG580&gt;=5,"A+",IF('Data Source'!AG580&gt;=4,"A",IF('Data Source'!AG580&gt;=3.5,"A-",IF('Data Source'!AG580&gt;=3,"B",IF('Data Source'!AG580&gt;=2,"C",IF('Data Source'!AG580&gt;=1,"D","F")))))))</f>
        <v/>
      </c>
      <c r="P580" s="5">
        <f>IF('Data Source'!B580="","",'Data Source'!R580)</f>
        <v/>
      </c>
      <c r="Q580" s="3">
        <f>IF('Data Source'!B580="","",'Data Source'!S580)</f>
        <v/>
      </c>
    </row>
    <row r="581">
      <c r="A581" s="3">
        <f>IF('Data Source'!B581="","",'Data Source'!A581)</f>
        <v/>
      </c>
      <c r="B581">
        <f>IF('Data Source'!B581="","",'Data Source'!B581)</f>
        <v/>
      </c>
      <c r="C581" s="3">
        <f>IF('Data Source'!B581="","",IF('Data Source'!U581&gt;=5,"A+",IF('Data Source'!U581&gt;=4,"A",IF('Data Source'!U581&gt;=3.5,"A-",IF('Data Source'!U581&gt;=3,"B",IF('Data Source'!U581&gt;=2,"C",IF('Data Source'!U581&gt;=1,"D","F")))))))</f>
        <v/>
      </c>
      <c r="D581" s="3">
        <f>IF('Data Source'!B581="","",IF('Data Source'!V581&gt;=5,"A+",IF('Data Source'!V581&gt;=4,"A",IF('Data Source'!V581&gt;=3.5,"A-",IF('Data Source'!V581&gt;=3,"B",IF('Data Source'!V581&gt;=2,"C",IF('Data Source'!V581&gt;=1,"D","F")))))))</f>
        <v/>
      </c>
      <c r="E581" s="3">
        <f>IF('Data Source'!B581="","",IF('Data Source'!W581&gt;=5,"A+",IF('Data Source'!W581&gt;=4,"A",IF('Data Source'!W581&gt;=3.5,"A-",IF('Data Source'!W581&gt;=3,"B",IF('Data Source'!W581&gt;=2,"C",IF('Data Source'!W581&gt;=1,"D","F")))))))</f>
        <v/>
      </c>
      <c r="F581" s="3">
        <f>IF('Data Source'!B581="","",IF('Data Source'!X581&gt;=5,"A+",IF('Data Source'!X581&gt;=4,"A",IF('Data Source'!X581&gt;=3.5,"A-",IF('Data Source'!X581&gt;=3,"B",IF('Data Source'!X581&gt;=2,"C",IF('Data Source'!X581&gt;=1,"D","F")))))))</f>
        <v/>
      </c>
      <c r="G581" s="3">
        <f>IF('Data Source'!B581="","",IF('Data Source'!Y581&gt;=5,"A+",IF('Data Source'!Y581&gt;=4,"A",IF('Data Source'!Y581&gt;=3.5,"A-",IF('Data Source'!Y581&gt;=3,"B",IF('Data Source'!Y581&gt;=2,"C",IF('Data Source'!Y581&gt;=1,"D","F")))))))</f>
        <v/>
      </c>
      <c r="H581" s="3">
        <f>IF('Data Source'!B581="","",IF('Data Source'!Z581&gt;=5,"A+",IF('Data Source'!Z581&gt;=4,"A",IF('Data Source'!Z581&gt;=3.5,"A-",IF('Data Source'!Z581&gt;=3,"B",IF('Data Source'!Z581&gt;=2,"C",IF('Data Source'!Z581&gt;=1,"D","F")))))))</f>
        <v/>
      </c>
      <c r="I581" s="3">
        <f>IF('Data Source'!B581="","",IF('Data Source'!AA581&gt;=5,"A+",IF('Data Source'!AA581&gt;=4,"A",IF('Data Source'!AA581&gt;=3.5,"A-",IF('Data Source'!AA581&gt;=3,"B",IF('Data Source'!AA581&gt;=2,"C",IF('Data Source'!AA581&gt;=1,"D","F")))))))</f>
        <v/>
      </c>
      <c r="J581" s="3">
        <f>IF('Data Source'!B581="","",IF('Data Source'!AB581&gt;=5,"A+",IF('Data Source'!AB581&gt;=4,"A",IF('Data Source'!AB581&gt;=3.5,"A-",IF('Data Source'!AB581&gt;=3,"B",IF('Data Source'!AB581&gt;=2,"C",IF('Data Source'!AB581&gt;=1,"D","F")))))))</f>
        <v/>
      </c>
      <c r="K581" s="3">
        <f>IF('Data Source'!B581="","",IF('Data Source'!AC581&gt;=5,"A+",IF('Data Source'!AC581&gt;=4,"A",IF('Data Source'!AC581&gt;=3.5,"A-",IF('Data Source'!AC581&gt;=3,"B",IF('Data Source'!AC581&gt;=2,"C",IF('Data Source'!AC581&gt;=1,"D","F")))))))</f>
        <v/>
      </c>
      <c r="L581" s="3">
        <f>IF('Data Source'!B581="","",IF('Data Source'!AD581&gt;=5,"A+",IF('Data Source'!AD581&gt;=4,"A",IF('Data Source'!AD581&gt;=3.5,"A-",IF('Data Source'!AD581&gt;=3,"B",IF('Data Source'!AD581&gt;=2,"C",IF('Data Source'!AD581&gt;=1,"D","F")))))))</f>
        <v/>
      </c>
      <c r="M581" s="3">
        <f>IF('Data Source'!B581="","",IF('Data Source'!AE581&gt;=5,"A+",IF('Data Source'!AE581&gt;=4,"A",IF('Data Source'!AE581&gt;=3.5,"A-",IF('Data Source'!AE581&gt;=3,"B",IF('Data Source'!AE581&gt;=2,"C",IF('Data Source'!AE581&gt;=1,"D","F")))))))</f>
        <v/>
      </c>
      <c r="N581" s="3">
        <f>IF('Data Source'!B581="","",IF('Data Source'!AF581&gt;=5,"A+",IF('Data Source'!AF581&gt;=4,"A",IF('Data Source'!AF581&gt;=3.5,"A-",IF('Data Source'!AF581&gt;=3,"B",IF('Data Source'!AF581&gt;=2,"C",IF('Data Source'!AF581&gt;=1,"D","F")))))))</f>
        <v/>
      </c>
      <c r="O581" s="3">
        <f>IF('Data Source'!B581="","",IF('Data Source'!AG581&gt;=5,"A+",IF('Data Source'!AG581&gt;=4,"A",IF('Data Source'!AG581&gt;=3.5,"A-",IF('Data Source'!AG581&gt;=3,"B",IF('Data Source'!AG581&gt;=2,"C",IF('Data Source'!AG581&gt;=1,"D","F")))))))</f>
        <v/>
      </c>
      <c r="P581" s="5">
        <f>IF('Data Source'!B581="","",'Data Source'!R581)</f>
        <v/>
      </c>
      <c r="Q581" s="3">
        <f>IF('Data Source'!B581="","",'Data Source'!S581)</f>
        <v/>
      </c>
    </row>
    <row r="582">
      <c r="A582" s="3">
        <f>IF('Data Source'!B582="","",'Data Source'!A582)</f>
        <v/>
      </c>
      <c r="B582">
        <f>IF('Data Source'!B582="","",'Data Source'!B582)</f>
        <v/>
      </c>
      <c r="C582" s="3">
        <f>IF('Data Source'!B582="","",IF('Data Source'!U582&gt;=5,"A+",IF('Data Source'!U582&gt;=4,"A",IF('Data Source'!U582&gt;=3.5,"A-",IF('Data Source'!U582&gt;=3,"B",IF('Data Source'!U582&gt;=2,"C",IF('Data Source'!U582&gt;=1,"D","F")))))))</f>
        <v/>
      </c>
      <c r="D582" s="3">
        <f>IF('Data Source'!B582="","",IF('Data Source'!V582&gt;=5,"A+",IF('Data Source'!V582&gt;=4,"A",IF('Data Source'!V582&gt;=3.5,"A-",IF('Data Source'!V582&gt;=3,"B",IF('Data Source'!V582&gt;=2,"C",IF('Data Source'!V582&gt;=1,"D","F")))))))</f>
        <v/>
      </c>
      <c r="E582" s="3">
        <f>IF('Data Source'!B582="","",IF('Data Source'!W582&gt;=5,"A+",IF('Data Source'!W582&gt;=4,"A",IF('Data Source'!W582&gt;=3.5,"A-",IF('Data Source'!W582&gt;=3,"B",IF('Data Source'!W582&gt;=2,"C",IF('Data Source'!W582&gt;=1,"D","F")))))))</f>
        <v/>
      </c>
      <c r="F582" s="3">
        <f>IF('Data Source'!B582="","",IF('Data Source'!X582&gt;=5,"A+",IF('Data Source'!X582&gt;=4,"A",IF('Data Source'!X582&gt;=3.5,"A-",IF('Data Source'!X582&gt;=3,"B",IF('Data Source'!X582&gt;=2,"C",IF('Data Source'!X582&gt;=1,"D","F")))))))</f>
        <v/>
      </c>
      <c r="G582" s="3">
        <f>IF('Data Source'!B582="","",IF('Data Source'!Y582&gt;=5,"A+",IF('Data Source'!Y582&gt;=4,"A",IF('Data Source'!Y582&gt;=3.5,"A-",IF('Data Source'!Y582&gt;=3,"B",IF('Data Source'!Y582&gt;=2,"C",IF('Data Source'!Y582&gt;=1,"D","F")))))))</f>
        <v/>
      </c>
      <c r="H582" s="3">
        <f>IF('Data Source'!B582="","",IF('Data Source'!Z582&gt;=5,"A+",IF('Data Source'!Z582&gt;=4,"A",IF('Data Source'!Z582&gt;=3.5,"A-",IF('Data Source'!Z582&gt;=3,"B",IF('Data Source'!Z582&gt;=2,"C",IF('Data Source'!Z582&gt;=1,"D","F")))))))</f>
        <v/>
      </c>
      <c r="I582" s="3">
        <f>IF('Data Source'!B582="","",IF('Data Source'!AA582&gt;=5,"A+",IF('Data Source'!AA582&gt;=4,"A",IF('Data Source'!AA582&gt;=3.5,"A-",IF('Data Source'!AA582&gt;=3,"B",IF('Data Source'!AA582&gt;=2,"C",IF('Data Source'!AA582&gt;=1,"D","F")))))))</f>
        <v/>
      </c>
      <c r="J582" s="3">
        <f>IF('Data Source'!B582="","",IF('Data Source'!AB582&gt;=5,"A+",IF('Data Source'!AB582&gt;=4,"A",IF('Data Source'!AB582&gt;=3.5,"A-",IF('Data Source'!AB582&gt;=3,"B",IF('Data Source'!AB582&gt;=2,"C",IF('Data Source'!AB582&gt;=1,"D","F")))))))</f>
        <v/>
      </c>
      <c r="K582" s="3">
        <f>IF('Data Source'!B582="","",IF('Data Source'!AC582&gt;=5,"A+",IF('Data Source'!AC582&gt;=4,"A",IF('Data Source'!AC582&gt;=3.5,"A-",IF('Data Source'!AC582&gt;=3,"B",IF('Data Source'!AC582&gt;=2,"C",IF('Data Source'!AC582&gt;=1,"D","F")))))))</f>
        <v/>
      </c>
      <c r="L582" s="3">
        <f>IF('Data Source'!B582="","",IF('Data Source'!AD582&gt;=5,"A+",IF('Data Source'!AD582&gt;=4,"A",IF('Data Source'!AD582&gt;=3.5,"A-",IF('Data Source'!AD582&gt;=3,"B",IF('Data Source'!AD582&gt;=2,"C",IF('Data Source'!AD582&gt;=1,"D","F")))))))</f>
        <v/>
      </c>
      <c r="M582" s="3">
        <f>IF('Data Source'!B582="","",IF('Data Source'!AE582&gt;=5,"A+",IF('Data Source'!AE582&gt;=4,"A",IF('Data Source'!AE582&gt;=3.5,"A-",IF('Data Source'!AE582&gt;=3,"B",IF('Data Source'!AE582&gt;=2,"C",IF('Data Source'!AE582&gt;=1,"D","F")))))))</f>
        <v/>
      </c>
      <c r="N582" s="3">
        <f>IF('Data Source'!B582="","",IF('Data Source'!AF582&gt;=5,"A+",IF('Data Source'!AF582&gt;=4,"A",IF('Data Source'!AF582&gt;=3.5,"A-",IF('Data Source'!AF582&gt;=3,"B",IF('Data Source'!AF582&gt;=2,"C",IF('Data Source'!AF582&gt;=1,"D","F")))))))</f>
        <v/>
      </c>
      <c r="O582" s="3">
        <f>IF('Data Source'!B582="","",IF('Data Source'!AG582&gt;=5,"A+",IF('Data Source'!AG582&gt;=4,"A",IF('Data Source'!AG582&gt;=3.5,"A-",IF('Data Source'!AG582&gt;=3,"B",IF('Data Source'!AG582&gt;=2,"C",IF('Data Source'!AG582&gt;=1,"D","F")))))))</f>
        <v/>
      </c>
      <c r="P582" s="5">
        <f>IF('Data Source'!B582="","",'Data Source'!R582)</f>
        <v/>
      </c>
      <c r="Q582" s="3">
        <f>IF('Data Source'!B582="","",'Data Source'!S582)</f>
        <v/>
      </c>
    </row>
    <row r="583">
      <c r="A583" s="3">
        <f>IF('Data Source'!B583="","",'Data Source'!A583)</f>
        <v/>
      </c>
      <c r="B583">
        <f>IF('Data Source'!B583="","",'Data Source'!B583)</f>
        <v/>
      </c>
      <c r="C583" s="3">
        <f>IF('Data Source'!B583="","",IF('Data Source'!U583&gt;=5,"A+",IF('Data Source'!U583&gt;=4,"A",IF('Data Source'!U583&gt;=3.5,"A-",IF('Data Source'!U583&gt;=3,"B",IF('Data Source'!U583&gt;=2,"C",IF('Data Source'!U583&gt;=1,"D","F")))))))</f>
        <v/>
      </c>
      <c r="D583" s="3">
        <f>IF('Data Source'!B583="","",IF('Data Source'!V583&gt;=5,"A+",IF('Data Source'!V583&gt;=4,"A",IF('Data Source'!V583&gt;=3.5,"A-",IF('Data Source'!V583&gt;=3,"B",IF('Data Source'!V583&gt;=2,"C",IF('Data Source'!V583&gt;=1,"D","F")))))))</f>
        <v/>
      </c>
      <c r="E583" s="3">
        <f>IF('Data Source'!B583="","",IF('Data Source'!W583&gt;=5,"A+",IF('Data Source'!W583&gt;=4,"A",IF('Data Source'!W583&gt;=3.5,"A-",IF('Data Source'!W583&gt;=3,"B",IF('Data Source'!W583&gt;=2,"C",IF('Data Source'!W583&gt;=1,"D","F")))))))</f>
        <v/>
      </c>
      <c r="F583" s="3">
        <f>IF('Data Source'!B583="","",IF('Data Source'!X583&gt;=5,"A+",IF('Data Source'!X583&gt;=4,"A",IF('Data Source'!X583&gt;=3.5,"A-",IF('Data Source'!X583&gt;=3,"B",IF('Data Source'!X583&gt;=2,"C",IF('Data Source'!X583&gt;=1,"D","F")))))))</f>
        <v/>
      </c>
      <c r="G583" s="3">
        <f>IF('Data Source'!B583="","",IF('Data Source'!Y583&gt;=5,"A+",IF('Data Source'!Y583&gt;=4,"A",IF('Data Source'!Y583&gt;=3.5,"A-",IF('Data Source'!Y583&gt;=3,"B",IF('Data Source'!Y583&gt;=2,"C",IF('Data Source'!Y583&gt;=1,"D","F")))))))</f>
        <v/>
      </c>
      <c r="H583" s="3">
        <f>IF('Data Source'!B583="","",IF('Data Source'!Z583&gt;=5,"A+",IF('Data Source'!Z583&gt;=4,"A",IF('Data Source'!Z583&gt;=3.5,"A-",IF('Data Source'!Z583&gt;=3,"B",IF('Data Source'!Z583&gt;=2,"C",IF('Data Source'!Z583&gt;=1,"D","F")))))))</f>
        <v/>
      </c>
      <c r="I583" s="3">
        <f>IF('Data Source'!B583="","",IF('Data Source'!AA583&gt;=5,"A+",IF('Data Source'!AA583&gt;=4,"A",IF('Data Source'!AA583&gt;=3.5,"A-",IF('Data Source'!AA583&gt;=3,"B",IF('Data Source'!AA583&gt;=2,"C",IF('Data Source'!AA583&gt;=1,"D","F")))))))</f>
        <v/>
      </c>
      <c r="J583" s="3">
        <f>IF('Data Source'!B583="","",IF('Data Source'!AB583&gt;=5,"A+",IF('Data Source'!AB583&gt;=4,"A",IF('Data Source'!AB583&gt;=3.5,"A-",IF('Data Source'!AB583&gt;=3,"B",IF('Data Source'!AB583&gt;=2,"C",IF('Data Source'!AB583&gt;=1,"D","F")))))))</f>
        <v/>
      </c>
      <c r="K583" s="3">
        <f>IF('Data Source'!B583="","",IF('Data Source'!AC583&gt;=5,"A+",IF('Data Source'!AC583&gt;=4,"A",IF('Data Source'!AC583&gt;=3.5,"A-",IF('Data Source'!AC583&gt;=3,"B",IF('Data Source'!AC583&gt;=2,"C",IF('Data Source'!AC583&gt;=1,"D","F")))))))</f>
        <v/>
      </c>
      <c r="L583" s="3">
        <f>IF('Data Source'!B583="","",IF('Data Source'!AD583&gt;=5,"A+",IF('Data Source'!AD583&gt;=4,"A",IF('Data Source'!AD583&gt;=3.5,"A-",IF('Data Source'!AD583&gt;=3,"B",IF('Data Source'!AD583&gt;=2,"C",IF('Data Source'!AD583&gt;=1,"D","F")))))))</f>
        <v/>
      </c>
      <c r="M583" s="3">
        <f>IF('Data Source'!B583="","",IF('Data Source'!AE583&gt;=5,"A+",IF('Data Source'!AE583&gt;=4,"A",IF('Data Source'!AE583&gt;=3.5,"A-",IF('Data Source'!AE583&gt;=3,"B",IF('Data Source'!AE583&gt;=2,"C",IF('Data Source'!AE583&gt;=1,"D","F")))))))</f>
        <v/>
      </c>
      <c r="N583" s="3">
        <f>IF('Data Source'!B583="","",IF('Data Source'!AF583&gt;=5,"A+",IF('Data Source'!AF583&gt;=4,"A",IF('Data Source'!AF583&gt;=3.5,"A-",IF('Data Source'!AF583&gt;=3,"B",IF('Data Source'!AF583&gt;=2,"C",IF('Data Source'!AF583&gt;=1,"D","F")))))))</f>
        <v/>
      </c>
      <c r="O583" s="3">
        <f>IF('Data Source'!B583="","",IF('Data Source'!AG583&gt;=5,"A+",IF('Data Source'!AG583&gt;=4,"A",IF('Data Source'!AG583&gt;=3.5,"A-",IF('Data Source'!AG583&gt;=3,"B",IF('Data Source'!AG583&gt;=2,"C",IF('Data Source'!AG583&gt;=1,"D","F")))))))</f>
        <v/>
      </c>
      <c r="P583" s="5">
        <f>IF('Data Source'!B583="","",'Data Source'!R583)</f>
        <v/>
      </c>
      <c r="Q583" s="3">
        <f>IF('Data Source'!B583="","",'Data Source'!S583)</f>
        <v/>
      </c>
    </row>
    <row r="584">
      <c r="A584" s="3">
        <f>IF('Data Source'!B584="","",'Data Source'!A584)</f>
        <v/>
      </c>
      <c r="B584">
        <f>IF('Data Source'!B584="","",'Data Source'!B584)</f>
        <v/>
      </c>
      <c r="C584" s="3">
        <f>IF('Data Source'!B584="","",IF('Data Source'!U584&gt;=5,"A+",IF('Data Source'!U584&gt;=4,"A",IF('Data Source'!U584&gt;=3.5,"A-",IF('Data Source'!U584&gt;=3,"B",IF('Data Source'!U584&gt;=2,"C",IF('Data Source'!U584&gt;=1,"D","F")))))))</f>
        <v/>
      </c>
      <c r="D584" s="3">
        <f>IF('Data Source'!B584="","",IF('Data Source'!V584&gt;=5,"A+",IF('Data Source'!V584&gt;=4,"A",IF('Data Source'!V584&gt;=3.5,"A-",IF('Data Source'!V584&gt;=3,"B",IF('Data Source'!V584&gt;=2,"C",IF('Data Source'!V584&gt;=1,"D","F")))))))</f>
        <v/>
      </c>
      <c r="E584" s="3">
        <f>IF('Data Source'!B584="","",IF('Data Source'!W584&gt;=5,"A+",IF('Data Source'!W584&gt;=4,"A",IF('Data Source'!W584&gt;=3.5,"A-",IF('Data Source'!W584&gt;=3,"B",IF('Data Source'!W584&gt;=2,"C",IF('Data Source'!W584&gt;=1,"D","F")))))))</f>
        <v/>
      </c>
      <c r="F584" s="3">
        <f>IF('Data Source'!B584="","",IF('Data Source'!X584&gt;=5,"A+",IF('Data Source'!X584&gt;=4,"A",IF('Data Source'!X584&gt;=3.5,"A-",IF('Data Source'!X584&gt;=3,"B",IF('Data Source'!X584&gt;=2,"C",IF('Data Source'!X584&gt;=1,"D","F")))))))</f>
        <v/>
      </c>
      <c r="G584" s="3">
        <f>IF('Data Source'!B584="","",IF('Data Source'!Y584&gt;=5,"A+",IF('Data Source'!Y584&gt;=4,"A",IF('Data Source'!Y584&gt;=3.5,"A-",IF('Data Source'!Y584&gt;=3,"B",IF('Data Source'!Y584&gt;=2,"C",IF('Data Source'!Y584&gt;=1,"D","F")))))))</f>
        <v/>
      </c>
      <c r="H584" s="3">
        <f>IF('Data Source'!B584="","",IF('Data Source'!Z584&gt;=5,"A+",IF('Data Source'!Z584&gt;=4,"A",IF('Data Source'!Z584&gt;=3.5,"A-",IF('Data Source'!Z584&gt;=3,"B",IF('Data Source'!Z584&gt;=2,"C",IF('Data Source'!Z584&gt;=1,"D","F")))))))</f>
        <v/>
      </c>
      <c r="I584" s="3">
        <f>IF('Data Source'!B584="","",IF('Data Source'!AA584&gt;=5,"A+",IF('Data Source'!AA584&gt;=4,"A",IF('Data Source'!AA584&gt;=3.5,"A-",IF('Data Source'!AA584&gt;=3,"B",IF('Data Source'!AA584&gt;=2,"C",IF('Data Source'!AA584&gt;=1,"D","F")))))))</f>
        <v/>
      </c>
      <c r="J584" s="3">
        <f>IF('Data Source'!B584="","",IF('Data Source'!AB584&gt;=5,"A+",IF('Data Source'!AB584&gt;=4,"A",IF('Data Source'!AB584&gt;=3.5,"A-",IF('Data Source'!AB584&gt;=3,"B",IF('Data Source'!AB584&gt;=2,"C",IF('Data Source'!AB584&gt;=1,"D","F")))))))</f>
        <v/>
      </c>
      <c r="K584" s="3">
        <f>IF('Data Source'!B584="","",IF('Data Source'!AC584&gt;=5,"A+",IF('Data Source'!AC584&gt;=4,"A",IF('Data Source'!AC584&gt;=3.5,"A-",IF('Data Source'!AC584&gt;=3,"B",IF('Data Source'!AC584&gt;=2,"C",IF('Data Source'!AC584&gt;=1,"D","F")))))))</f>
        <v/>
      </c>
      <c r="L584" s="3">
        <f>IF('Data Source'!B584="","",IF('Data Source'!AD584&gt;=5,"A+",IF('Data Source'!AD584&gt;=4,"A",IF('Data Source'!AD584&gt;=3.5,"A-",IF('Data Source'!AD584&gt;=3,"B",IF('Data Source'!AD584&gt;=2,"C",IF('Data Source'!AD584&gt;=1,"D","F")))))))</f>
        <v/>
      </c>
      <c r="M584" s="3">
        <f>IF('Data Source'!B584="","",IF('Data Source'!AE584&gt;=5,"A+",IF('Data Source'!AE584&gt;=4,"A",IF('Data Source'!AE584&gt;=3.5,"A-",IF('Data Source'!AE584&gt;=3,"B",IF('Data Source'!AE584&gt;=2,"C",IF('Data Source'!AE584&gt;=1,"D","F")))))))</f>
        <v/>
      </c>
      <c r="N584" s="3">
        <f>IF('Data Source'!B584="","",IF('Data Source'!AF584&gt;=5,"A+",IF('Data Source'!AF584&gt;=4,"A",IF('Data Source'!AF584&gt;=3.5,"A-",IF('Data Source'!AF584&gt;=3,"B",IF('Data Source'!AF584&gt;=2,"C",IF('Data Source'!AF584&gt;=1,"D","F")))))))</f>
        <v/>
      </c>
      <c r="O584" s="3">
        <f>IF('Data Source'!B584="","",IF('Data Source'!AG584&gt;=5,"A+",IF('Data Source'!AG584&gt;=4,"A",IF('Data Source'!AG584&gt;=3.5,"A-",IF('Data Source'!AG584&gt;=3,"B",IF('Data Source'!AG584&gt;=2,"C",IF('Data Source'!AG584&gt;=1,"D","F")))))))</f>
        <v/>
      </c>
      <c r="P584" s="5">
        <f>IF('Data Source'!B584="","",'Data Source'!R584)</f>
        <v/>
      </c>
      <c r="Q584" s="3">
        <f>IF('Data Source'!B584="","",'Data Source'!S584)</f>
        <v/>
      </c>
    </row>
    <row r="585">
      <c r="A585" s="3">
        <f>IF('Data Source'!B585="","",'Data Source'!A585)</f>
        <v/>
      </c>
      <c r="B585">
        <f>IF('Data Source'!B585="","",'Data Source'!B585)</f>
        <v/>
      </c>
      <c r="C585" s="3">
        <f>IF('Data Source'!B585="","",IF('Data Source'!U585&gt;=5,"A+",IF('Data Source'!U585&gt;=4,"A",IF('Data Source'!U585&gt;=3.5,"A-",IF('Data Source'!U585&gt;=3,"B",IF('Data Source'!U585&gt;=2,"C",IF('Data Source'!U585&gt;=1,"D","F")))))))</f>
        <v/>
      </c>
      <c r="D585" s="3">
        <f>IF('Data Source'!B585="","",IF('Data Source'!V585&gt;=5,"A+",IF('Data Source'!V585&gt;=4,"A",IF('Data Source'!V585&gt;=3.5,"A-",IF('Data Source'!V585&gt;=3,"B",IF('Data Source'!V585&gt;=2,"C",IF('Data Source'!V585&gt;=1,"D","F")))))))</f>
        <v/>
      </c>
      <c r="E585" s="3">
        <f>IF('Data Source'!B585="","",IF('Data Source'!W585&gt;=5,"A+",IF('Data Source'!W585&gt;=4,"A",IF('Data Source'!W585&gt;=3.5,"A-",IF('Data Source'!W585&gt;=3,"B",IF('Data Source'!W585&gt;=2,"C",IF('Data Source'!W585&gt;=1,"D","F")))))))</f>
        <v/>
      </c>
      <c r="F585" s="3">
        <f>IF('Data Source'!B585="","",IF('Data Source'!X585&gt;=5,"A+",IF('Data Source'!X585&gt;=4,"A",IF('Data Source'!X585&gt;=3.5,"A-",IF('Data Source'!X585&gt;=3,"B",IF('Data Source'!X585&gt;=2,"C",IF('Data Source'!X585&gt;=1,"D","F")))))))</f>
        <v/>
      </c>
      <c r="G585" s="3">
        <f>IF('Data Source'!B585="","",IF('Data Source'!Y585&gt;=5,"A+",IF('Data Source'!Y585&gt;=4,"A",IF('Data Source'!Y585&gt;=3.5,"A-",IF('Data Source'!Y585&gt;=3,"B",IF('Data Source'!Y585&gt;=2,"C",IF('Data Source'!Y585&gt;=1,"D","F")))))))</f>
        <v/>
      </c>
      <c r="H585" s="3">
        <f>IF('Data Source'!B585="","",IF('Data Source'!Z585&gt;=5,"A+",IF('Data Source'!Z585&gt;=4,"A",IF('Data Source'!Z585&gt;=3.5,"A-",IF('Data Source'!Z585&gt;=3,"B",IF('Data Source'!Z585&gt;=2,"C",IF('Data Source'!Z585&gt;=1,"D","F")))))))</f>
        <v/>
      </c>
      <c r="I585" s="3">
        <f>IF('Data Source'!B585="","",IF('Data Source'!AA585&gt;=5,"A+",IF('Data Source'!AA585&gt;=4,"A",IF('Data Source'!AA585&gt;=3.5,"A-",IF('Data Source'!AA585&gt;=3,"B",IF('Data Source'!AA585&gt;=2,"C",IF('Data Source'!AA585&gt;=1,"D","F")))))))</f>
        <v/>
      </c>
      <c r="J585" s="3">
        <f>IF('Data Source'!B585="","",IF('Data Source'!AB585&gt;=5,"A+",IF('Data Source'!AB585&gt;=4,"A",IF('Data Source'!AB585&gt;=3.5,"A-",IF('Data Source'!AB585&gt;=3,"B",IF('Data Source'!AB585&gt;=2,"C",IF('Data Source'!AB585&gt;=1,"D","F")))))))</f>
        <v/>
      </c>
      <c r="K585" s="3">
        <f>IF('Data Source'!B585="","",IF('Data Source'!AC585&gt;=5,"A+",IF('Data Source'!AC585&gt;=4,"A",IF('Data Source'!AC585&gt;=3.5,"A-",IF('Data Source'!AC585&gt;=3,"B",IF('Data Source'!AC585&gt;=2,"C",IF('Data Source'!AC585&gt;=1,"D","F")))))))</f>
        <v/>
      </c>
      <c r="L585" s="3">
        <f>IF('Data Source'!B585="","",IF('Data Source'!AD585&gt;=5,"A+",IF('Data Source'!AD585&gt;=4,"A",IF('Data Source'!AD585&gt;=3.5,"A-",IF('Data Source'!AD585&gt;=3,"B",IF('Data Source'!AD585&gt;=2,"C",IF('Data Source'!AD585&gt;=1,"D","F")))))))</f>
        <v/>
      </c>
      <c r="M585" s="3">
        <f>IF('Data Source'!B585="","",IF('Data Source'!AE585&gt;=5,"A+",IF('Data Source'!AE585&gt;=4,"A",IF('Data Source'!AE585&gt;=3.5,"A-",IF('Data Source'!AE585&gt;=3,"B",IF('Data Source'!AE585&gt;=2,"C",IF('Data Source'!AE585&gt;=1,"D","F")))))))</f>
        <v/>
      </c>
      <c r="N585" s="3">
        <f>IF('Data Source'!B585="","",IF('Data Source'!AF585&gt;=5,"A+",IF('Data Source'!AF585&gt;=4,"A",IF('Data Source'!AF585&gt;=3.5,"A-",IF('Data Source'!AF585&gt;=3,"B",IF('Data Source'!AF585&gt;=2,"C",IF('Data Source'!AF585&gt;=1,"D","F")))))))</f>
        <v/>
      </c>
      <c r="O585" s="3">
        <f>IF('Data Source'!B585="","",IF('Data Source'!AG585&gt;=5,"A+",IF('Data Source'!AG585&gt;=4,"A",IF('Data Source'!AG585&gt;=3.5,"A-",IF('Data Source'!AG585&gt;=3,"B",IF('Data Source'!AG585&gt;=2,"C",IF('Data Source'!AG585&gt;=1,"D","F")))))))</f>
        <v/>
      </c>
      <c r="P585" s="5">
        <f>IF('Data Source'!B585="","",'Data Source'!R585)</f>
        <v/>
      </c>
      <c r="Q585" s="3">
        <f>IF('Data Source'!B585="","",'Data Source'!S585)</f>
        <v/>
      </c>
    </row>
    <row r="586">
      <c r="A586" s="3">
        <f>IF('Data Source'!B586="","",'Data Source'!A586)</f>
        <v/>
      </c>
      <c r="B586">
        <f>IF('Data Source'!B586="","",'Data Source'!B586)</f>
        <v/>
      </c>
      <c r="C586" s="3">
        <f>IF('Data Source'!B586="","",IF('Data Source'!U586&gt;=5,"A+",IF('Data Source'!U586&gt;=4,"A",IF('Data Source'!U586&gt;=3.5,"A-",IF('Data Source'!U586&gt;=3,"B",IF('Data Source'!U586&gt;=2,"C",IF('Data Source'!U586&gt;=1,"D","F")))))))</f>
        <v/>
      </c>
      <c r="D586" s="3">
        <f>IF('Data Source'!B586="","",IF('Data Source'!V586&gt;=5,"A+",IF('Data Source'!V586&gt;=4,"A",IF('Data Source'!V586&gt;=3.5,"A-",IF('Data Source'!V586&gt;=3,"B",IF('Data Source'!V586&gt;=2,"C",IF('Data Source'!V586&gt;=1,"D","F")))))))</f>
        <v/>
      </c>
      <c r="E586" s="3">
        <f>IF('Data Source'!B586="","",IF('Data Source'!W586&gt;=5,"A+",IF('Data Source'!W586&gt;=4,"A",IF('Data Source'!W586&gt;=3.5,"A-",IF('Data Source'!W586&gt;=3,"B",IF('Data Source'!W586&gt;=2,"C",IF('Data Source'!W586&gt;=1,"D","F")))))))</f>
        <v/>
      </c>
      <c r="F586" s="3">
        <f>IF('Data Source'!B586="","",IF('Data Source'!X586&gt;=5,"A+",IF('Data Source'!X586&gt;=4,"A",IF('Data Source'!X586&gt;=3.5,"A-",IF('Data Source'!X586&gt;=3,"B",IF('Data Source'!X586&gt;=2,"C",IF('Data Source'!X586&gt;=1,"D","F")))))))</f>
        <v/>
      </c>
      <c r="G586" s="3">
        <f>IF('Data Source'!B586="","",IF('Data Source'!Y586&gt;=5,"A+",IF('Data Source'!Y586&gt;=4,"A",IF('Data Source'!Y586&gt;=3.5,"A-",IF('Data Source'!Y586&gt;=3,"B",IF('Data Source'!Y586&gt;=2,"C",IF('Data Source'!Y586&gt;=1,"D","F")))))))</f>
        <v/>
      </c>
      <c r="H586" s="3">
        <f>IF('Data Source'!B586="","",IF('Data Source'!Z586&gt;=5,"A+",IF('Data Source'!Z586&gt;=4,"A",IF('Data Source'!Z586&gt;=3.5,"A-",IF('Data Source'!Z586&gt;=3,"B",IF('Data Source'!Z586&gt;=2,"C",IF('Data Source'!Z586&gt;=1,"D","F")))))))</f>
        <v/>
      </c>
      <c r="I586" s="3">
        <f>IF('Data Source'!B586="","",IF('Data Source'!AA586&gt;=5,"A+",IF('Data Source'!AA586&gt;=4,"A",IF('Data Source'!AA586&gt;=3.5,"A-",IF('Data Source'!AA586&gt;=3,"B",IF('Data Source'!AA586&gt;=2,"C",IF('Data Source'!AA586&gt;=1,"D","F")))))))</f>
        <v/>
      </c>
      <c r="J586" s="3">
        <f>IF('Data Source'!B586="","",IF('Data Source'!AB586&gt;=5,"A+",IF('Data Source'!AB586&gt;=4,"A",IF('Data Source'!AB586&gt;=3.5,"A-",IF('Data Source'!AB586&gt;=3,"B",IF('Data Source'!AB586&gt;=2,"C",IF('Data Source'!AB586&gt;=1,"D","F")))))))</f>
        <v/>
      </c>
      <c r="K586" s="3">
        <f>IF('Data Source'!B586="","",IF('Data Source'!AC586&gt;=5,"A+",IF('Data Source'!AC586&gt;=4,"A",IF('Data Source'!AC586&gt;=3.5,"A-",IF('Data Source'!AC586&gt;=3,"B",IF('Data Source'!AC586&gt;=2,"C",IF('Data Source'!AC586&gt;=1,"D","F")))))))</f>
        <v/>
      </c>
      <c r="L586" s="3">
        <f>IF('Data Source'!B586="","",IF('Data Source'!AD586&gt;=5,"A+",IF('Data Source'!AD586&gt;=4,"A",IF('Data Source'!AD586&gt;=3.5,"A-",IF('Data Source'!AD586&gt;=3,"B",IF('Data Source'!AD586&gt;=2,"C",IF('Data Source'!AD586&gt;=1,"D","F")))))))</f>
        <v/>
      </c>
      <c r="M586" s="3">
        <f>IF('Data Source'!B586="","",IF('Data Source'!AE586&gt;=5,"A+",IF('Data Source'!AE586&gt;=4,"A",IF('Data Source'!AE586&gt;=3.5,"A-",IF('Data Source'!AE586&gt;=3,"B",IF('Data Source'!AE586&gt;=2,"C",IF('Data Source'!AE586&gt;=1,"D","F")))))))</f>
        <v/>
      </c>
      <c r="N586" s="3">
        <f>IF('Data Source'!B586="","",IF('Data Source'!AF586&gt;=5,"A+",IF('Data Source'!AF586&gt;=4,"A",IF('Data Source'!AF586&gt;=3.5,"A-",IF('Data Source'!AF586&gt;=3,"B",IF('Data Source'!AF586&gt;=2,"C",IF('Data Source'!AF586&gt;=1,"D","F")))))))</f>
        <v/>
      </c>
      <c r="O586" s="3">
        <f>IF('Data Source'!B586="","",IF('Data Source'!AG586&gt;=5,"A+",IF('Data Source'!AG586&gt;=4,"A",IF('Data Source'!AG586&gt;=3.5,"A-",IF('Data Source'!AG586&gt;=3,"B",IF('Data Source'!AG586&gt;=2,"C",IF('Data Source'!AG586&gt;=1,"D","F")))))))</f>
        <v/>
      </c>
      <c r="P586" s="5">
        <f>IF('Data Source'!B586="","",'Data Source'!R586)</f>
        <v/>
      </c>
      <c r="Q586" s="3">
        <f>IF('Data Source'!B586="","",'Data Source'!S586)</f>
        <v/>
      </c>
    </row>
    <row r="587">
      <c r="A587" s="3">
        <f>IF('Data Source'!B587="","",'Data Source'!A587)</f>
        <v/>
      </c>
      <c r="B587">
        <f>IF('Data Source'!B587="","",'Data Source'!B587)</f>
        <v/>
      </c>
      <c r="C587" s="3">
        <f>IF('Data Source'!B587="","",IF('Data Source'!U587&gt;=5,"A+",IF('Data Source'!U587&gt;=4,"A",IF('Data Source'!U587&gt;=3.5,"A-",IF('Data Source'!U587&gt;=3,"B",IF('Data Source'!U587&gt;=2,"C",IF('Data Source'!U587&gt;=1,"D","F")))))))</f>
        <v/>
      </c>
      <c r="D587" s="3">
        <f>IF('Data Source'!B587="","",IF('Data Source'!V587&gt;=5,"A+",IF('Data Source'!V587&gt;=4,"A",IF('Data Source'!V587&gt;=3.5,"A-",IF('Data Source'!V587&gt;=3,"B",IF('Data Source'!V587&gt;=2,"C",IF('Data Source'!V587&gt;=1,"D","F")))))))</f>
        <v/>
      </c>
      <c r="E587" s="3">
        <f>IF('Data Source'!B587="","",IF('Data Source'!W587&gt;=5,"A+",IF('Data Source'!W587&gt;=4,"A",IF('Data Source'!W587&gt;=3.5,"A-",IF('Data Source'!W587&gt;=3,"B",IF('Data Source'!W587&gt;=2,"C",IF('Data Source'!W587&gt;=1,"D","F")))))))</f>
        <v/>
      </c>
      <c r="F587" s="3">
        <f>IF('Data Source'!B587="","",IF('Data Source'!X587&gt;=5,"A+",IF('Data Source'!X587&gt;=4,"A",IF('Data Source'!X587&gt;=3.5,"A-",IF('Data Source'!X587&gt;=3,"B",IF('Data Source'!X587&gt;=2,"C",IF('Data Source'!X587&gt;=1,"D","F")))))))</f>
        <v/>
      </c>
      <c r="G587" s="3">
        <f>IF('Data Source'!B587="","",IF('Data Source'!Y587&gt;=5,"A+",IF('Data Source'!Y587&gt;=4,"A",IF('Data Source'!Y587&gt;=3.5,"A-",IF('Data Source'!Y587&gt;=3,"B",IF('Data Source'!Y587&gt;=2,"C",IF('Data Source'!Y587&gt;=1,"D","F")))))))</f>
        <v/>
      </c>
      <c r="H587" s="3">
        <f>IF('Data Source'!B587="","",IF('Data Source'!Z587&gt;=5,"A+",IF('Data Source'!Z587&gt;=4,"A",IF('Data Source'!Z587&gt;=3.5,"A-",IF('Data Source'!Z587&gt;=3,"B",IF('Data Source'!Z587&gt;=2,"C",IF('Data Source'!Z587&gt;=1,"D","F")))))))</f>
        <v/>
      </c>
      <c r="I587" s="3">
        <f>IF('Data Source'!B587="","",IF('Data Source'!AA587&gt;=5,"A+",IF('Data Source'!AA587&gt;=4,"A",IF('Data Source'!AA587&gt;=3.5,"A-",IF('Data Source'!AA587&gt;=3,"B",IF('Data Source'!AA587&gt;=2,"C",IF('Data Source'!AA587&gt;=1,"D","F")))))))</f>
        <v/>
      </c>
      <c r="J587" s="3">
        <f>IF('Data Source'!B587="","",IF('Data Source'!AB587&gt;=5,"A+",IF('Data Source'!AB587&gt;=4,"A",IF('Data Source'!AB587&gt;=3.5,"A-",IF('Data Source'!AB587&gt;=3,"B",IF('Data Source'!AB587&gt;=2,"C",IF('Data Source'!AB587&gt;=1,"D","F")))))))</f>
        <v/>
      </c>
      <c r="K587" s="3">
        <f>IF('Data Source'!B587="","",IF('Data Source'!AC587&gt;=5,"A+",IF('Data Source'!AC587&gt;=4,"A",IF('Data Source'!AC587&gt;=3.5,"A-",IF('Data Source'!AC587&gt;=3,"B",IF('Data Source'!AC587&gt;=2,"C",IF('Data Source'!AC587&gt;=1,"D","F")))))))</f>
        <v/>
      </c>
      <c r="L587" s="3">
        <f>IF('Data Source'!B587="","",IF('Data Source'!AD587&gt;=5,"A+",IF('Data Source'!AD587&gt;=4,"A",IF('Data Source'!AD587&gt;=3.5,"A-",IF('Data Source'!AD587&gt;=3,"B",IF('Data Source'!AD587&gt;=2,"C",IF('Data Source'!AD587&gt;=1,"D","F")))))))</f>
        <v/>
      </c>
      <c r="M587" s="3">
        <f>IF('Data Source'!B587="","",IF('Data Source'!AE587&gt;=5,"A+",IF('Data Source'!AE587&gt;=4,"A",IF('Data Source'!AE587&gt;=3.5,"A-",IF('Data Source'!AE587&gt;=3,"B",IF('Data Source'!AE587&gt;=2,"C",IF('Data Source'!AE587&gt;=1,"D","F")))))))</f>
        <v/>
      </c>
      <c r="N587" s="3">
        <f>IF('Data Source'!B587="","",IF('Data Source'!AF587&gt;=5,"A+",IF('Data Source'!AF587&gt;=4,"A",IF('Data Source'!AF587&gt;=3.5,"A-",IF('Data Source'!AF587&gt;=3,"B",IF('Data Source'!AF587&gt;=2,"C",IF('Data Source'!AF587&gt;=1,"D","F")))))))</f>
        <v/>
      </c>
      <c r="O587" s="3">
        <f>IF('Data Source'!B587="","",IF('Data Source'!AG587&gt;=5,"A+",IF('Data Source'!AG587&gt;=4,"A",IF('Data Source'!AG587&gt;=3.5,"A-",IF('Data Source'!AG587&gt;=3,"B",IF('Data Source'!AG587&gt;=2,"C",IF('Data Source'!AG587&gt;=1,"D","F")))))))</f>
        <v/>
      </c>
      <c r="P587" s="5">
        <f>IF('Data Source'!B587="","",'Data Source'!R587)</f>
        <v/>
      </c>
      <c r="Q587" s="3">
        <f>IF('Data Source'!B587="","",'Data Source'!S587)</f>
        <v/>
      </c>
    </row>
    <row r="588">
      <c r="A588" s="3">
        <f>IF('Data Source'!B588="","",'Data Source'!A588)</f>
        <v/>
      </c>
      <c r="B588">
        <f>IF('Data Source'!B588="","",'Data Source'!B588)</f>
        <v/>
      </c>
      <c r="C588" s="3">
        <f>IF('Data Source'!B588="","",IF('Data Source'!U588&gt;=5,"A+",IF('Data Source'!U588&gt;=4,"A",IF('Data Source'!U588&gt;=3.5,"A-",IF('Data Source'!U588&gt;=3,"B",IF('Data Source'!U588&gt;=2,"C",IF('Data Source'!U588&gt;=1,"D","F")))))))</f>
        <v/>
      </c>
      <c r="D588" s="3">
        <f>IF('Data Source'!B588="","",IF('Data Source'!V588&gt;=5,"A+",IF('Data Source'!V588&gt;=4,"A",IF('Data Source'!V588&gt;=3.5,"A-",IF('Data Source'!V588&gt;=3,"B",IF('Data Source'!V588&gt;=2,"C",IF('Data Source'!V588&gt;=1,"D","F")))))))</f>
        <v/>
      </c>
      <c r="E588" s="3">
        <f>IF('Data Source'!B588="","",IF('Data Source'!W588&gt;=5,"A+",IF('Data Source'!W588&gt;=4,"A",IF('Data Source'!W588&gt;=3.5,"A-",IF('Data Source'!W588&gt;=3,"B",IF('Data Source'!W588&gt;=2,"C",IF('Data Source'!W588&gt;=1,"D","F")))))))</f>
        <v/>
      </c>
      <c r="F588" s="3">
        <f>IF('Data Source'!B588="","",IF('Data Source'!X588&gt;=5,"A+",IF('Data Source'!X588&gt;=4,"A",IF('Data Source'!X588&gt;=3.5,"A-",IF('Data Source'!X588&gt;=3,"B",IF('Data Source'!X588&gt;=2,"C",IF('Data Source'!X588&gt;=1,"D","F")))))))</f>
        <v/>
      </c>
      <c r="G588" s="3">
        <f>IF('Data Source'!B588="","",IF('Data Source'!Y588&gt;=5,"A+",IF('Data Source'!Y588&gt;=4,"A",IF('Data Source'!Y588&gt;=3.5,"A-",IF('Data Source'!Y588&gt;=3,"B",IF('Data Source'!Y588&gt;=2,"C",IF('Data Source'!Y588&gt;=1,"D","F")))))))</f>
        <v/>
      </c>
      <c r="H588" s="3">
        <f>IF('Data Source'!B588="","",IF('Data Source'!Z588&gt;=5,"A+",IF('Data Source'!Z588&gt;=4,"A",IF('Data Source'!Z588&gt;=3.5,"A-",IF('Data Source'!Z588&gt;=3,"B",IF('Data Source'!Z588&gt;=2,"C",IF('Data Source'!Z588&gt;=1,"D","F")))))))</f>
        <v/>
      </c>
      <c r="I588" s="3">
        <f>IF('Data Source'!B588="","",IF('Data Source'!AA588&gt;=5,"A+",IF('Data Source'!AA588&gt;=4,"A",IF('Data Source'!AA588&gt;=3.5,"A-",IF('Data Source'!AA588&gt;=3,"B",IF('Data Source'!AA588&gt;=2,"C",IF('Data Source'!AA588&gt;=1,"D","F")))))))</f>
        <v/>
      </c>
      <c r="J588" s="3">
        <f>IF('Data Source'!B588="","",IF('Data Source'!AB588&gt;=5,"A+",IF('Data Source'!AB588&gt;=4,"A",IF('Data Source'!AB588&gt;=3.5,"A-",IF('Data Source'!AB588&gt;=3,"B",IF('Data Source'!AB588&gt;=2,"C",IF('Data Source'!AB588&gt;=1,"D","F")))))))</f>
        <v/>
      </c>
      <c r="K588" s="3">
        <f>IF('Data Source'!B588="","",IF('Data Source'!AC588&gt;=5,"A+",IF('Data Source'!AC588&gt;=4,"A",IF('Data Source'!AC588&gt;=3.5,"A-",IF('Data Source'!AC588&gt;=3,"B",IF('Data Source'!AC588&gt;=2,"C",IF('Data Source'!AC588&gt;=1,"D","F")))))))</f>
        <v/>
      </c>
      <c r="L588" s="3">
        <f>IF('Data Source'!B588="","",IF('Data Source'!AD588&gt;=5,"A+",IF('Data Source'!AD588&gt;=4,"A",IF('Data Source'!AD588&gt;=3.5,"A-",IF('Data Source'!AD588&gt;=3,"B",IF('Data Source'!AD588&gt;=2,"C",IF('Data Source'!AD588&gt;=1,"D","F")))))))</f>
        <v/>
      </c>
      <c r="M588" s="3">
        <f>IF('Data Source'!B588="","",IF('Data Source'!AE588&gt;=5,"A+",IF('Data Source'!AE588&gt;=4,"A",IF('Data Source'!AE588&gt;=3.5,"A-",IF('Data Source'!AE588&gt;=3,"B",IF('Data Source'!AE588&gt;=2,"C",IF('Data Source'!AE588&gt;=1,"D","F")))))))</f>
        <v/>
      </c>
      <c r="N588" s="3">
        <f>IF('Data Source'!B588="","",IF('Data Source'!AF588&gt;=5,"A+",IF('Data Source'!AF588&gt;=4,"A",IF('Data Source'!AF588&gt;=3.5,"A-",IF('Data Source'!AF588&gt;=3,"B",IF('Data Source'!AF588&gt;=2,"C",IF('Data Source'!AF588&gt;=1,"D","F")))))))</f>
        <v/>
      </c>
      <c r="O588" s="3">
        <f>IF('Data Source'!B588="","",IF('Data Source'!AG588&gt;=5,"A+",IF('Data Source'!AG588&gt;=4,"A",IF('Data Source'!AG588&gt;=3.5,"A-",IF('Data Source'!AG588&gt;=3,"B",IF('Data Source'!AG588&gt;=2,"C",IF('Data Source'!AG588&gt;=1,"D","F")))))))</f>
        <v/>
      </c>
      <c r="P588" s="5">
        <f>IF('Data Source'!B588="","",'Data Source'!R588)</f>
        <v/>
      </c>
      <c r="Q588" s="3">
        <f>IF('Data Source'!B588="","",'Data Source'!S588)</f>
        <v/>
      </c>
    </row>
    <row r="589">
      <c r="A589" s="3">
        <f>IF('Data Source'!B589="","",'Data Source'!A589)</f>
        <v/>
      </c>
      <c r="B589">
        <f>IF('Data Source'!B589="","",'Data Source'!B589)</f>
        <v/>
      </c>
      <c r="C589" s="3">
        <f>IF('Data Source'!B589="","",IF('Data Source'!U589&gt;=5,"A+",IF('Data Source'!U589&gt;=4,"A",IF('Data Source'!U589&gt;=3.5,"A-",IF('Data Source'!U589&gt;=3,"B",IF('Data Source'!U589&gt;=2,"C",IF('Data Source'!U589&gt;=1,"D","F")))))))</f>
        <v/>
      </c>
      <c r="D589" s="3">
        <f>IF('Data Source'!B589="","",IF('Data Source'!V589&gt;=5,"A+",IF('Data Source'!V589&gt;=4,"A",IF('Data Source'!V589&gt;=3.5,"A-",IF('Data Source'!V589&gt;=3,"B",IF('Data Source'!V589&gt;=2,"C",IF('Data Source'!V589&gt;=1,"D","F")))))))</f>
        <v/>
      </c>
      <c r="E589" s="3">
        <f>IF('Data Source'!B589="","",IF('Data Source'!W589&gt;=5,"A+",IF('Data Source'!W589&gt;=4,"A",IF('Data Source'!W589&gt;=3.5,"A-",IF('Data Source'!W589&gt;=3,"B",IF('Data Source'!W589&gt;=2,"C",IF('Data Source'!W589&gt;=1,"D","F")))))))</f>
        <v/>
      </c>
      <c r="F589" s="3">
        <f>IF('Data Source'!B589="","",IF('Data Source'!X589&gt;=5,"A+",IF('Data Source'!X589&gt;=4,"A",IF('Data Source'!X589&gt;=3.5,"A-",IF('Data Source'!X589&gt;=3,"B",IF('Data Source'!X589&gt;=2,"C",IF('Data Source'!X589&gt;=1,"D","F")))))))</f>
        <v/>
      </c>
      <c r="G589" s="3">
        <f>IF('Data Source'!B589="","",IF('Data Source'!Y589&gt;=5,"A+",IF('Data Source'!Y589&gt;=4,"A",IF('Data Source'!Y589&gt;=3.5,"A-",IF('Data Source'!Y589&gt;=3,"B",IF('Data Source'!Y589&gt;=2,"C",IF('Data Source'!Y589&gt;=1,"D","F")))))))</f>
        <v/>
      </c>
      <c r="H589" s="3">
        <f>IF('Data Source'!B589="","",IF('Data Source'!Z589&gt;=5,"A+",IF('Data Source'!Z589&gt;=4,"A",IF('Data Source'!Z589&gt;=3.5,"A-",IF('Data Source'!Z589&gt;=3,"B",IF('Data Source'!Z589&gt;=2,"C",IF('Data Source'!Z589&gt;=1,"D","F")))))))</f>
        <v/>
      </c>
      <c r="I589" s="3">
        <f>IF('Data Source'!B589="","",IF('Data Source'!AA589&gt;=5,"A+",IF('Data Source'!AA589&gt;=4,"A",IF('Data Source'!AA589&gt;=3.5,"A-",IF('Data Source'!AA589&gt;=3,"B",IF('Data Source'!AA589&gt;=2,"C",IF('Data Source'!AA589&gt;=1,"D","F")))))))</f>
        <v/>
      </c>
      <c r="J589" s="3">
        <f>IF('Data Source'!B589="","",IF('Data Source'!AB589&gt;=5,"A+",IF('Data Source'!AB589&gt;=4,"A",IF('Data Source'!AB589&gt;=3.5,"A-",IF('Data Source'!AB589&gt;=3,"B",IF('Data Source'!AB589&gt;=2,"C",IF('Data Source'!AB589&gt;=1,"D","F")))))))</f>
        <v/>
      </c>
      <c r="K589" s="3">
        <f>IF('Data Source'!B589="","",IF('Data Source'!AC589&gt;=5,"A+",IF('Data Source'!AC589&gt;=4,"A",IF('Data Source'!AC589&gt;=3.5,"A-",IF('Data Source'!AC589&gt;=3,"B",IF('Data Source'!AC589&gt;=2,"C",IF('Data Source'!AC589&gt;=1,"D","F")))))))</f>
        <v/>
      </c>
      <c r="L589" s="3">
        <f>IF('Data Source'!B589="","",IF('Data Source'!AD589&gt;=5,"A+",IF('Data Source'!AD589&gt;=4,"A",IF('Data Source'!AD589&gt;=3.5,"A-",IF('Data Source'!AD589&gt;=3,"B",IF('Data Source'!AD589&gt;=2,"C",IF('Data Source'!AD589&gt;=1,"D","F")))))))</f>
        <v/>
      </c>
      <c r="M589" s="3">
        <f>IF('Data Source'!B589="","",IF('Data Source'!AE589&gt;=5,"A+",IF('Data Source'!AE589&gt;=4,"A",IF('Data Source'!AE589&gt;=3.5,"A-",IF('Data Source'!AE589&gt;=3,"B",IF('Data Source'!AE589&gt;=2,"C",IF('Data Source'!AE589&gt;=1,"D","F")))))))</f>
        <v/>
      </c>
      <c r="N589" s="3">
        <f>IF('Data Source'!B589="","",IF('Data Source'!AF589&gt;=5,"A+",IF('Data Source'!AF589&gt;=4,"A",IF('Data Source'!AF589&gt;=3.5,"A-",IF('Data Source'!AF589&gt;=3,"B",IF('Data Source'!AF589&gt;=2,"C",IF('Data Source'!AF589&gt;=1,"D","F")))))))</f>
        <v/>
      </c>
      <c r="O589" s="3">
        <f>IF('Data Source'!B589="","",IF('Data Source'!AG589&gt;=5,"A+",IF('Data Source'!AG589&gt;=4,"A",IF('Data Source'!AG589&gt;=3.5,"A-",IF('Data Source'!AG589&gt;=3,"B",IF('Data Source'!AG589&gt;=2,"C",IF('Data Source'!AG589&gt;=1,"D","F")))))))</f>
        <v/>
      </c>
      <c r="P589" s="5">
        <f>IF('Data Source'!B589="","",'Data Source'!R589)</f>
        <v/>
      </c>
      <c r="Q589" s="3">
        <f>IF('Data Source'!B589="","",'Data Source'!S589)</f>
        <v/>
      </c>
    </row>
    <row r="590">
      <c r="A590" s="3">
        <f>IF('Data Source'!B590="","",'Data Source'!A590)</f>
        <v/>
      </c>
      <c r="B590">
        <f>IF('Data Source'!B590="","",'Data Source'!B590)</f>
        <v/>
      </c>
      <c r="C590" s="3">
        <f>IF('Data Source'!B590="","",IF('Data Source'!U590&gt;=5,"A+",IF('Data Source'!U590&gt;=4,"A",IF('Data Source'!U590&gt;=3.5,"A-",IF('Data Source'!U590&gt;=3,"B",IF('Data Source'!U590&gt;=2,"C",IF('Data Source'!U590&gt;=1,"D","F")))))))</f>
        <v/>
      </c>
      <c r="D590" s="3">
        <f>IF('Data Source'!B590="","",IF('Data Source'!V590&gt;=5,"A+",IF('Data Source'!V590&gt;=4,"A",IF('Data Source'!V590&gt;=3.5,"A-",IF('Data Source'!V590&gt;=3,"B",IF('Data Source'!V590&gt;=2,"C",IF('Data Source'!V590&gt;=1,"D","F")))))))</f>
        <v/>
      </c>
      <c r="E590" s="3">
        <f>IF('Data Source'!B590="","",IF('Data Source'!W590&gt;=5,"A+",IF('Data Source'!W590&gt;=4,"A",IF('Data Source'!W590&gt;=3.5,"A-",IF('Data Source'!W590&gt;=3,"B",IF('Data Source'!W590&gt;=2,"C",IF('Data Source'!W590&gt;=1,"D","F")))))))</f>
        <v/>
      </c>
      <c r="F590" s="3">
        <f>IF('Data Source'!B590="","",IF('Data Source'!X590&gt;=5,"A+",IF('Data Source'!X590&gt;=4,"A",IF('Data Source'!X590&gt;=3.5,"A-",IF('Data Source'!X590&gt;=3,"B",IF('Data Source'!X590&gt;=2,"C",IF('Data Source'!X590&gt;=1,"D","F")))))))</f>
        <v/>
      </c>
      <c r="G590" s="3">
        <f>IF('Data Source'!B590="","",IF('Data Source'!Y590&gt;=5,"A+",IF('Data Source'!Y590&gt;=4,"A",IF('Data Source'!Y590&gt;=3.5,"A-",IF('Data Source'!Y590&gt;=3,"B",IF('Data Source'!Y590&gt;=2,"C",IF('Data Source'!Y590&gt;=1,"D","F")))))))</f>
        <v/>
      </c>
      <c r="H590" s="3">
        <f>IF('Data Source'!B590="","",IF('Data Source'!Z590&gt;=5,"A+",IF('Data Source'!Z590&gt;=4,"A",IF('Data Source'!Z590&gt;=3.5,"A-",IF('Data Source'!Z590&gt;=3,"B",IF('Data Source'!Z590&gt;=2,"C",IF('Data Source'!Z590&gt;=1,"D","F")))))))</f>
        <v/>
      </c>
      <c r="I590" s="3">
        <f>IF('Data Source'!B590="","",IF('Data Source'!AA590&gt;=5,"A+",IF('Data Source'!AA590&gt;=4,"A",IF('Data Source'!AA590&gt;=3.5,"A-",IF('Data Source'!AA590&gt;=3,"B",IF('Data Source'!AA590&gt;=2,"C",IF('Data Source'!AA590&gt;=1,"D","F")))))))</f>
        <v/>
      </c>
      <c r="J590" s="3">
        <f>IF('Data Source'!B590="","",IF('Data Source'!AB590&gt;=5,"A+",IF('Data Source'!AB590&gt;=4,"A",IF('Data Source'!AB590&gt;=3.5,"A-",IF('Data Source'!AB590&gt;=3,"B",IF('Data Source'!AB590&gt;=2,"C",IF('Data Source'!AB590&gt;=1,"D","F")))))))</f>
        <v/>
      </c>
      <c r="K590" s="3">
        <f>IF('Data Source'!B590="","",IF('Data Source'!AC590&gt;=5,"A+",IF('Data Source'!AC590&gt;=4,"A",IF('Data Source'!AC590&gt;=3.5,"A-",IF('Data Source'!AC590&gt;=3,"B",IF('Data Source'!AC590&gt;=2,"C",IF('Data Source'!AC590&gt;=1,"D","F")))))))</f>
        <v/>
      </c>
      <c r="L590" s="3">
        <f>IF('Data Source'!B590="","",IF('Data Source'!AD590&gt;=5,"A+",IF('Data Source'!AD590&gt;=4,"A",IF('Data Source'!AD590&gt;=3.5,"A-",IF('Data Source'!AD590&gt;=3,"B",IF('Data Source'!AD590&gt;=2,"C",IF('Data Source'!AD590&gt;=1,"D","F")))))))</f>
        <v/>
      </c>
      <c r="M590" s="3">
        <f>IF('Data Source'!B590="","",IF('Data Source'!AE590&gt;=5,"A+",IF('Data Source'!AE590&gt;=4,"A",IF('Data Source'!AE590&gt;=3.5,"A-",IF('Data Source'!AE590&gt;=3,"B",IF('Data Source'!AE590&gt;=2,"C",IF('Data Source'!AE590&gt;=1,"D","F")))))))</f>
        <v/>
      </c>
      <c r="N590" s="3">
        <f>IF('Data Source'!B590="","",IF('Data Source'!AF590&gt;=5,"A+",IF('Data Source'!AF590&gt;=4,"A",IF('Data Source'!AF590&gt;=3.5,"A-",IF('Data Source'!AF590&gt;=3,"B",IF('Data Source'!AF590&gt;=2,"C",IF('Data Source'!AF590&gt;=1,"D","F")))))))</f>
        <v/>
      </c>
      <c r="O590" s="3">
        <f>IF('Data Source'!B590="","",IF('Data Source'!AG590&gt;=5,"A+",IF('Data Source'!AG590&gt;=4,"A",IF('Data Source'!AG590&gt;=3.5,"A-",IF('Data Source'!AG590&gt;=3,"B",IF('Data Source'!AG590&gt;=2,"C",IF('Data Source'!AG590&gt;=1,"D","F")))))))</f>
        <v/>
      </c>
      <c r="P590" s="5">
        <f>IF('Data Source'!B590="","",'Data Source'!R590)</f>
        <v/>
      </c>
      <c r="Q590" s="3">
        <f>IF('Data Source'!B590="","",'Data Source'!S590)</f>
        <v/>
      </c>
    </row>
    <row r="591">
      <c r="A591" s="3">
        <f>IF('Data Source'!B591="","",'Data Source'!A591)</f>
        <v/>
      </c>
      <c r="B591">
        <f>IF('Data Source'!B591="","",'Data Source'!B591)</f>
        <v/>
      </c>
      <c r="C591" s="3">
        <f>IF('Data Source'!B591="","",IF('Data Source'!U591&gt;=5,"A+",IF('Data Source'!U591&gt;=4,"A",IF('Data Source'!U591&gt;=3.5,"A-",IF('Data Source'!U591&gt;=3,"B",IF('Data Source'!U591&gt;=2,"C",IF('Data Source'!U591&gt;=1,"D","F")))))))</f>
        <v/>
      </c>
      <c r="D591" s="3">
        <f>IF('Data Source'!B591="","",IF('Data Source'!V591&gt;=5,"A+",IF('Data Source'!V591&gt;=4,"A",IF('Data Source'!V591&gt;=3.5,"A-",IF('Data Source'!V591&gt;=3,"B",IF('Data Source'!V591&gt;=2,"C",IF('Data Source'!V591&gt;=1,"D","F")))))))</f>
        <v/>
      </c>
      <c r="E591" s="3">
        <f>IF('Data Source'!B591="","",IF('Data Source'!W591&gt;=5,"A+",IF('Data Source'!W591&gt;=4,"A",IF('Data Source'!W591&gt;=3.5,"A-",IF('Data Source'!W591&gt;=3,"B",IF('Data Source'!W591&gt;=2,"C",IF('Data Source'!W591&gt;=1,"D","F")))))))</f>
        <v/>
      </c>
      <c r="F591" s="3">
        <f>IF('Data Source'!B591="","",IF('Data Source'!X591&gt;=5,"A+",IF('Data Source'!X591&gt;=4,"A",IF('Data Source'!X591&gt;=3.5,"A-",IF('Data Source'!X591&gt;=3,"B",IF('Data Source'!X591&gt;=2,"C",IF('Data Source'!X591&gt;=1,"D","F")))))))</f>
        <v/>
      </c>
      <c r="G591" s="3">
        <f>IF('Data Source'!B591="","",IF('Data Source'!Y591&gt;=5,"A+",IF('Data Source'!Y591&gt;=4,"A",IF('Data Source'!Y591&gt;=3.5,"A-",IF('Data Source'!Y591&gt;=3,"B",IF('Data Source'!Y591&gt;=2,"C",IF('Data Source'!Y591&gt;=1,"D","F")))))))</f>
        <v/>
      </c>
      <c r="H591" s="3">
        <f>IF('Data Source'!B591="","",IF('Data Source'!Z591&gt;=5,"A+",IF('Data Source'!Z591&gt;=4,"A",IF('Data Source'!Z591&gt;=3.5,"A-",IF('Data Source'!Z591&gt;=3,"B",IF('Data Source'!Z591&gt;=2,"C",IF('Data Source'!Z591&gt;=1,"D","F")))))))</f>
        <v/>
      </c>
      <c r="I591" s="3">
        <f>IF('Data Source'!B591="","",IF('Data Source'!AA591&gt;=5,"A+",IF('Data Source'!AA591&gt;=4,"A",IF('Data Source'!AA591&gt;=3.5,"A-",IF('Data Source'!AA591&gt;=3,"B",IF('Data Source'!AA591&gt;=2,"C",IF('Data Source'!AA591&gt;=1,"D","F")))))))</f>
        <v/>
      </c>
      <c r="J591" s="3">
        <f>IF('Data Source'!B591="","",IF('Data Source'!AB591&gt;=5,"A+",IF('Data Source'!AB591&gt;=4,"A",IF('Data Source'!AB591&gt;=3.5,"A-",IF('Data Source'!AB591&gt;=3,"B",IF('Data Source'!AB591&gt;=2,"C",IF('Data Source'!AB591&gt;=1,"D","F")))))))</f>
        <v/>
      </c>
      <c r="K591" s="3">
        <f>IF('Data Source'!B591="","",IF('Data Source'!AC591&gt;=5,"A+",IF('Data Source'!AC591&gt;=4,"A",IF('Data Source'!AC591&gt;=3.5,"A-",IF('Data Source'!AC591&gt;=3,"B",IF('Data Source'!AC591&gt;=2,"C",IF('Data Source'!AC591&gt;=1,"D","F")))))))</f>
        <v/>
      </c>
      <c r="L591" s="3">
        <f>IF('Data Source'!B591="","",IF('Data Source'!AD591&gt;=5,"A+",IF('Data Source'!AD591&gt;=4,"A",IF('Data Source'!AD591&gt;=3.5,"A-",IF('Data Source'!AD591&gt;=3,"B",IF('Data Source'!AD591&gt;=2,"C",IF('Data Source'!AD591&gt;=1,"D","F")))))))</f>
        <v/>
      </c>
      <c r="M591" s="3">
        <f>IF('Data Source'!B591="","",IF('Data Source'!AE591&gt;=5,"A+",IF('Data Source'!AE591&gt;=4,"A",IF('Data Source'!AE591&gt;=3.5,"A-",IF('Data Source'!AE591&gt;=3,"B",IF('Data Source'!AE591&gt;=2,"C",IF('Data Source'!AE591&gt;=1,"D","F")))))))</f>
        <v/>
      </c>
      <c r="N591" s="3">
        <f>IF('Data Source'!B591="","",IF('Data Source'!AF591&gt;=5,"A+",IF('Data Source'!AF591&gt;=4,"A",IF('Data Source'!AF591&gt;=3.5,"A-",IF('Data Source'!AF591&gt;=3,"B",IF('Data Source'!AF591&gt;=2,"C",IF('Data Source'!AF591&gt;=1,"D","F")))))))</f>
        <v/>
      </c>
      <c r="O591" s="3">
        <f>IF('Data Source'!B591="","",IF('Data Source'!AG591&gt;=5,"A+",IF('Data Source'!AG591&gt;=4,"A",IF('Data Source'!AG591&gt;=3.5,"A-",IF('Data Source'!AG591&gt;=3,"B",IF('Data Source'!AG591&gt;=2,"C",IF('Data Source'!AG591&gt;=1,"D","F")))))))</f>
        <v/>
      </c>
      <c r="P591" s="5">
        <f>IF('Data Source'!B591="","",'Data Source'!R591)</f>
        <v/>
      </c>
      <c r="Q591" s="3">
        <f>IF('Data Source'!B591="","",'Data Source'!S591)</f>
        <v/>
      </c>
    </row>
    <row r="592">
      <c r="A592" s="3">
        <f>IF('Data Source'!B592="","",'Data Source'!A592)</f>
        <v/>
      </c>
      <c r="B592">
        <f>IF('Data Source'!B592="","",'Data Source'!B592)</f>
        <v/>
      </c>
      <c r="C592" s="3">
        <f>IF('Data Source'!B592="","",IF('Data Source'!U592&gt;=5,"A+",IF('Data Source'!U592&gt;=4,"A",IF('Data Source'!U592&gt;=3.5,"A-",IF('Data Source'!U592&gt;=3,"B",IF('Data Source'!U592&gt;=2,"C",IF('Data Source'!U592&gt;=1,"D","F")))))))</f>
        <v/>
      </c>
      <c r="D592" s="3">
        <f>IF('Data Source'!B592="","",IF('Data Source'!V592&gt;=5,"A+",IF('Data Source'!V592&gt;=4,"A",IF('Data Source'!V592&gt;=3.5,"A-",IF('Data Source'!V592&gt;=3,"B",IF('Data Source'!V592&gt;=2,"C",IF('Data Source'!V592&gt;=1,"D","F")))))))</f>
        <v/>
      </c>
      <c r="E592" s="3">
        <f>IF('Data Source'!B592="","",IF('Data Source'!W592&gt;=5,"A+",IF('Data Source'!W592&gt;=4,"A",IF('Data Source'!W592&gt;=3.5,"A-",IF('Data Source'!W592&gt;=3,"B",IF('Data Source'!W592&gt;=2,"C",IF('Data Source'!W592&gt;=1,"D","F")))))))</f>
        <v/>
      </c>
      <c r="F592" s="3">
        <f>IF('Data Source'!B592="","",IF('Data Source'!X592&gt;=5,"A+",IF('Data Source'!X592&gt;=4,"A",IF('Data Source'!X592&gt;=3.5,"A-",IF('Data Source'!X592&gt;=3,"B",IF('Data Source'!X592&gt;=2,"C",IF('Data Source'!X592&gt;=1,"D","F")))))))</f>
        <v/>
      </c>
      <c r="G592" s="3">
        <f>IF('Data Source'!B592="","",IF('Data Source'!Y592&gt;=5,"A+",IF('Data Source'!Y592&gt;=4,"A",IF('Data Source'!Y592&gt;=3.5,"A-",IF('Data Source'!Y592&gt;=3,"B",IF('Data Source'!Y592&gt;=2,"C",IF('Data Source'!Y592&gt;=1,"D","F")))))))</f>
        <v/>
      </c>
      <c r="H592" s="3">
        <f>IF('Data Source'!B592="","",IF('Data Source'!Z592&gt;=5,"A+",IF('Data Source'!Z592&gt;=4,"A",IF('Data Source'!Z592&gt;=3.5,"A-",IF('Data Source'!Z592&gt;=3,"B",IF('Data Source'!Z592&gt;=2,"C",IF('Data Source'!Z592&gt;=1,"D","F")))))))</f>
        <v/>
      </c>
      <c r="I592" s="3">
        <f>IF('Data Source'!B592="","",IF('Data Source'!AA592&gt;=5,"A+",IF('Data Source'!AA592&gt;=4,"A",IF('Data Source'!AA592&gt;=3.5,"A-",IF('Data Source'!AA592&gt;=3,"B",IF('Data Source'!AA592&gt;=2,"C",IF('Data Source'!AA592&gt;=1,"D","F")))))))</f>
        <v/>
      </c>
      <c r="J592" s="3">
        <f>IF('Data Source'!B592="","",IF('Data Source'!AB592&gt;=5,"A+",IF('Data Source'!AB592&gt;=4,"A",IF('Data Source'!AB592&gt;=3.5,"A-",IF('Data Source'!AB592&gt;=3,"B",IF('Data Source'!AB592&gt;=2,"C",IF('Data Source'!AB592&gt;=1,"D","F")))))))</f>
        <v/>
      </c>
      <c r="K592" s="3">
        <f>IF('Data Source'!B592="","",IF('Data Source'!AC592&gt;=5,"A+",IF('Data Source'!AC592&gt;=4,"A",IF('Data Source'!AC592&gt;=3.5,"A-",IF('Data Source'!AC592&gt;=3,"B",IF('Data Source'!AC592&gt;=2,"C",IF('Data Source'!AC592&gt;=1,"D","F")))))))</f>
        <v/>
      </c>
      <c r="L592" s="3">
        <f>IF('Data Source'!B592="","",IF('Data Source'!AD592&gt;=5,"A+",IF('Data Source'!AD592&gt;=4,"A",IF('Data Source'!AD592&gt;=3.5,"A-",IF('Data Source'!AD592&gt;=3,"B",IF('Data Source'!AD592&gt;=2,"C",IF('Data Source'!AD592&gt;=1,"D","F")))))))</f>
        <v/>
      </c>
      <c r="M592" s="3">
        <f>IF('Data Source'!B592="","",IF('Data Source'!AE592&gt;=5,"A+",IF('Data Source'!AE592&gt;=4,"A",IF('Data Source'!AE592&gt;=3.5,"A-",IF('Data Source'!AE592&gt;=3,"B",IF('Data Source'!AE592&gt;=2,"C",IF('Data Source'!AE592&gt;=1,"D","F")))))))</f>
        <v/>
      </c>
      <c r="N592" s="3">
        <f>IF('Data Source'!B592="","",IF('Data Source'!AF592&gt;=5,"A+",IF('Data Source'!AF592&gt;=4,"A",IF('Data Source'!AF592&gt;=3.5,"A-",IF('Data Source'!AF592&gt;=3,"B",IF('Data Source'!AF592&gt;=2,"C",IF('Data Source'!AF592&gt;=1,"D","F")))))))</f>
        <v/>
      </c>
      <c r="O592" s="3">
        <f>IF('Data Source'!B592="","",IF('Data Source'!AG592&gt;=5,"A+",IF('Data Source'!AG592&gt;=4,"A",IF('Data Source'!AG592&gt;=3.5,"A-",IF('Data Source'!AG592&gt;=3,"B",IF('Data Source'!AG592&gt;=2,"C",IF('Data Source'!AG592&gt;=1,"D","F")))))))</f>
        <v/>
      </c>
      <c r="P592" s="5">
        <f>IF('Data Source'!B592="","",'Data Source'!R592)</f>
        <v/>
      </c>
      <c r="Q592" s="3">
        <f>IF('Data Source'!B592="","",'Data Source'!S592)</f>
        <v/>
      </c>
    </row>
    <row r="593">
      <c r="A593" s="3">
        <f>IF('Data Source'!B593="","",'Data Source'!A593)</f>
        <v/>
      </c>
      <c r="B593">
        <f>IF('Data Source'!B593="","",'Data Source'!B593)</f>
        <v/>
      </c>
      <c r="C593" s="3">
        <f>IF('Data Source'!B593="","",IF('Data Source'!U593&gt;=5,"A+",IF('Data Source'!U593&gt;=4,"A",IF('Data Source'!U593&gt;=3.5,"A-",IF('Data Source'!U593&gt;=3,"B",IF('Data Source'!U593&gt;=2,"C",IF('Data Source'!U593&gt;=1,"D","F")))))))</f>
        <v/>
      </c>
      <c r="D593" s="3">
        <f>IF('Data Source'!B593="","",IF('Data Source'!V593&gt;=5,"A+",IF('Data Source'!V593&gt;=4,"A",IF('Data Source'!V593&gt;=3.5,"A-",IF('Data Source'!V593&gt;=3,"B",IF('Data Source'!V593&gt;=2,"C",IF('Data Source'!V593&gt;=1,"D","F")))))))</f>
        <v/>
      </c>
      <c r="E593" s="3">
        <f>IF('Data Source'!B593="","",IF('Data Source'!W593&gt;=5,"A+",IF('Data Source'!W593&gt;=4,"A",IF('Data Source'!W593&gt;=3.5,"A-",IF('Data Source'!W593&gt;=3,"B",IF('Data Source'!W593&gt;=2,"C",IF('Data Source'!W593&gt;=1,"D","F")))))))</f>
        <v/>
      </c>
      <c r="F593" s="3">
        <f>IF('Data Source'!B593="","",IF('Data Source'!X593&gt;=5,"A+",IF('Data Source'!X593&gt;=4,"A",IF('Data Source'!X593&gt;=3.5,"A-",IF('Data Source'!X593&gt;=3,"B",IF('Data Source'!X593&gt;=2,"C",IF('Data Source'!X593&gt;=1,"D","F")))))))</f>
        <v/>
      </c>
      <c r="G593" s="3">
        <f>IF('Data Source'!B593="","",IF('Data Source'!Y593&gt;=5,"A+",IF('Data Source'!Y593&gt;=4,"A",IF('Data Source'!Y593&gt;=3.5,"A-",IF('Data Source'!Y593&gt;=3,"B",IF('Data Source'!Y593&gt;=2,"C",IF('Data Source'!Y593&gt;=1,"D","F")))))))</f>
        <v/>
      </c>
      <c r="H593" s="3">
        <f>IF('Data Source'!B593="","",IF('Data Source'!Z593&gt;=5,"A+",IF('Data Source'!Z593&gt;=4,"A",IF('Data Source'!Z593&gt;=3.5,"A-",IF('Data Source'!Z593&gt;=3,"B",IF('Data Source'!Z593&gt;=2,"C",IF('Data Source'!Z593&gt;=1,"D","F")))))))</f>
        <v/>
      </c>
      <c r="I593" s="3">
        <f>IF('Data Source'!B593="","",IF('Data Source'!AA593&gt;=5,"A+",IF('Data Source'!AA593&gt;=4,"A",IF('Data Source'!AA593&gt;=3.5,"A-",IF('Data Source'!AA593&gt;=3,"B",IF('Data Source'!AA593&gt;=2,"C",IF('Data Source'!AA593&gt;=1,"D","F")))))))</f>
        <v/>
      </c>
      <c r="J593" s="3">
        <f>IF('Data Source'!B593="","",IF('Data Source'!AB593&gt;=5,"A+",IF('Data Source'!AB593&gt;=4,"A",IF('Data Source'!AB593&gt;=3.5,"A-",IF('Data Source'!AB593&gt;=3,"B",IF('Data Source'!AB593&gt;=2,"C",IF('Data Source'!AB593&gt;=1,"D","F")))))))</f>
        <v/>
      </c>
      <c r="K593" s="3">
        <f>IF('Data Source'!B593="","",IF('Data Source'!AC593&gt;=5,"A+",IF('Data Source'!AC593&gt;=4,"A",IF('Data Source'!AC593&gt;=3.5,"A-",IF('Data Source'!AC593&gt;=3,"B",IF('Data Source'!AC593&gt;=2,"C",IF('Data Source'!AC593&gt;=1,"D","F")))))))</f>
        <v/>
      </c>
      <c r="L593" s="3">
        <f>IF('Data Source'!B593="","",IF('Data Source'!AD593&gt;=5,"A+",IF('Data Source'!AD593&gt;=4,"A",IF('Data Source'!AD593&gt;=3.5,"A-",IF('Data Source'!AD593&gt;=3,"B",IF('Data Source'!AD593&gt;=2,"C",IF('Data Source'!AD593&gt;=1,"D","F")))))))</f>
        <v/>
      </c>
      <c r="M593" s="3">
        <f>IF('Data Source'!B593="","",IF('Data Source'!AE593&gt;=5,"A+",IF('Data Source'!AE593&gt;=4,"A",IF('Data Source'!AE593&gt;=3.5,"A-",IF('Data Source'!AE593&gt;=3,"B",IF('Data Source'!AE593&gt;=2,"C",IF('Data Source'!AE593&gt;=1,"D","F")))))))</f>
        <v/>
      </c>
      <c r="N593" s="3">
        <f>IF('Data Source'!B593="","",IF('Data Source'!AF593&gt;=5,"A+",IF('Data Source'!AF593&gt;=4,"A",IF('Data Source'!AF593&gt;=3.5,"A-",IF('Data Source'!AF593&gt;=3,"B",IF('Data Source'!AF593&gt;=2,"C",IF('Data Source'!AF593&gt;=1,"D","F")))))))</f>
        <v/>
      </c>
      <c r="O593" s="3">
        <f>IF('Data Source'!B593="","",IF('Data Source'!AG593&gt;=5,"A+",IF('Data Source'!AG593&gt;=4,"A",IF('Data Source'!AG593&gt;=3.5,"A-",IF('Data Source'!AG593&gt;=3,"B",IF('Data Source'!AG593&gt;=2,"C",IF('Data Source'!AG593&gt;=1,"D","F")))))))</f>
        <v/>
      </c>
      <c r="P593" s="5">
        <f>IF('Data Source'!B593="","",'Data Source'!R593)</f>
        <v/>
      </c>
      <c r="Q593" s="3">
        <f>IF('Data Source'!B593="","",'Data Source'!S593)</f>
        <v/>
      </c>
    </row>
    <row r="594">
      <c r="A594" s="3">
        <f>IF('Data Source'!B594="","",'Data Source'!A594)</f>
        <v/>
      </c>
      <c r="B594">
        <f>IF('Data Source'!B594="","",'Data Source'!B594)</f>
        <v/>
      </c>
      <c r="C594" s="3">
        <f>IF('Data Source'!B594="","",IF('Data Source'!U594&gt;=5,"A+",IF('Data Source'!U594&gt;=4,"A",IF('Data Source'!U594&gt;=3.5,"A-",IF('Data Source'!U594&gt;=3,"B",IF('Data Source'!U594&gt;=2,"C",IF('Data Source'!U594&gt;=1,"D","F")))))))</f>
        <v/>
      </c>
      <c r="D594" s="3">
        <f>IF('Data Source'!B594="","",IF('Data Source'!V594&gt;=5,"A+",IF('Data Source'!V594&gt;=4,"A",IF('Data Source'!V594&gt;=3.5,"A-",IF('Data Source'!V594&gt;=3,"B",IF('Data Source'!V594&gt;=2,"C",IF('Data Source'!V594&gt;=1,"D","F")))))))</f>
        <v/>
      </c>
      <c r="E594" s="3">
        <f>IF('Data Source'!B594="","",IF('Data Source'!W594&gt;=5,"A+",IF('Data Source'!W594&gt;=4,"A",IF('Data Source'!W594&gt;=3.5,"A-",IF('Data Source'!W594&gt;=3,"B",IF('Data Source'!W594&gt;=2,"C",IF('Data Source'!W594&gt;=1,"D","F")))))))</f>
        <v/>
      </c>
      <c r="F594" s="3">
        <f>IF('Data Source'!B594="","",IF('Data Source'!X594&gt;=5,"A+",IF('Data Source'!X594&gt;=4,"A",IF('Data Source'!X594&gt;=3.5,"A-",IF('Data Source'!X594&gt;=3,"B",IF('Data Source'!X594&gt;=2,"C",IF('Data Source'!X594&gt;=1,"D","F")))))))</f>
        <v/>
      </c>
      <c r="G594" s="3">
        <f>IF('Data Source'!B594="","",IF('Data Source'!Y594&gt;=5,"A+",IF('Data Source'!Y594&gt;=4,"A",IF('Data Source'!Y594&gt;=3.5,"A-",IF('Data Source'!Y594&gt;=3,"B",IF('Data Source'!Y594&gt;=2,"C",IF('Data Source'!Y594&gt;=1,"D","F")))))))</f>
        <v/>
      </c>
      <c r="H594" s="3">
        <f>IF('Data Source'!B594="","",IF('Data Source'!Z594&gt;=5,"A+",IF('Data Source'!Z594&gt;=4,"A",IF('Data Source'!Z594&gt;=3.5,"A-",IF('Data Source'!Z594&gt;=3,"B",IF('Data Source'!Z594&gt;=2,"C",IF('Data Source'!Z594&gt;=1,"D","F")))))))</f>
        <v/>
      </c>
      <c r="I594" s="3">
        <f>IF('Data Source'!B594="","",IF('Data Source'!AA594&gt;=5,"A+",IF('Data Source'!AA594&gt;=4,"A",IF('Data Source'!AA594&gt;=3.5,"A-",IF('Data Source'!AA594&gt;=3,"B",IF('Data Source'!AA594&gt;=2,"C",IF('Data Source'!AA594&gt;=1,"D","F")))))))</f>
        <v/>
      </c>
      <c r="J594" s="3">
        <f>IF('Data Source'!B594="","",IF('Data Source'!AB594&gt;=5,"A+",IF('Data Source'!AB594&gt;=4,"A",IF('Data Source'!AB594&gt;=3.5,"A-",IF('Data Source'!AB594&gt;=3,"B",IF('Data Source'!AB594&gt;=2,"C",IF('Data Source'!AB594&gt;=1,"D","F")))))))</f>
        <v/>
      </c>
      <c r="K594" s="3">
        <f>IF('Data Source'!B594="","",IF('Data Source'!AC594&gt;=5,"A+",IF('Data Source'!AC594&gt;=4,"A",IF('Data Source'!AC594&gt;=3.5,"A-",IF('Data Source'!AC594&gt;=3,"B",IF('Data Source'!AC594&gt;=2,"C",IF('Data Source'!AC594&gt;=1,"D","F")))))))</f>
        <v/>
      </c>
      <c r="L594" s="3">
        <f>IF('Data Source'!B594="","",IF('Data Source'!AD594&gt;=5,"A+",IF('Data Source'!AD594&gt;=4,"A",IF('Data Source'!AD594&gt;=3.5,"A-",IF('Data Source'!AD594&gt;=3,"B",IF('Data Source'!AD594&gt;=2,"C",IF('Data Source'!AD594&gt;=1,"D","F")))))))</f>
        <v/>
      </c>
      <c r="M594" s="3">
        <f>IF('Data Source'!B594="","",IF('Data Source'!AE594&gt;=5,"A+",IF('Data Source'!AE594&gt;=4,"A",IF('Data Source'!AE594&gt;=3.5,"A-",IF('Data Source'!AE594&gt;=3,"B",IF('Data Source'!AE594&gt;=2,"C",IF('Data Source'!AE594&gt;=1,"D","F")))))))</f>
        <v/>
      </c>
      <c r="N594" s="3">
        <f>IF('Data Source'!B594="","",IF('Data Source'!AF594&gt;=5,"A+",IF('Data Source'!AF594&gt;=4,"A",IF('Data Source'!AF594&gt;=3.5,"A-",IF('Data Source'!AF594&gt;=3,"B",IF('Data Source'!AF594&gt;=2,"C",IF('Data Source'!AF594&gt;=1,"D","F")))))))</f>
        <v/>
      </c>
      <c r="O594" s="3">
        <f>IF('Data Source'!B594="","",IF('Data Source'!AG594&gt;=5,"A+",IF('Data Source'!AG594&gt;=4,"A",IF('Data Source'!AG594&gt;=3.5,"A-",IF('Data Source'!AG594&gt;=3,"B",IF('Data Source'!AG594&gt;=2,"C",IF('Data Source'!AG594&gt;=1,"D","F")))))))</f>
        <v/>
      </c>
      <c r="P594" s="5">
        <f>IF('Data Source'!B594="","",'Data Source'!R594)</f>
        <v/>
      </c>
      <c r="Q594" s="3">
        <f>IF('Data Source'!B594="","",'Data Source'!S594)</f>
        <v/>
      </c>
    </row>
    <row r="595">
      <c r="A595" s="3">
        <f>IF('Data Source'!B595="","",'Data Source'!A595)</f>
        <v/>
      </c>
      <c r="B595">
        <f>IF('Data Source'!B595="","",'Data Source'!B595)</f>
        <v/>
      </c>
      <c r="C595" s="3">
        <f>IF('Data Source'!B595="","",IF('Data Source'!U595&gt;=5,"A+",IF('Data Source'!U595&gt;=4,"A",IF('Data Source'!U595&gt;=3.5,"A-",IF('Data Source'!U595&gt;=3,"B",IF('Data Source'!U595&gt;=2,"C",IF('Data Source'!U595&gt;=1,"D","F")))))))</f>
        <v/>
      </c>
      <c r="D595" s="3">
        <f>IF('Data Source'!B595="","",IF('Data Source'!V595&gt;=5,"A+",IF('Data Source'!V595&gt;=4,"A",IF('Data Source'!V595&gt;=3.5,"A-",IF('Data Source'!V595&gt;=3,"B",IF('Data Source'!V595&gt;=2,"C",IF('Data Source'!V595&gt;=1,"D","F")))))))</f>
        <v/>
      </c>
      <c r="E595" s="3">
        <f>IF('Data Source'!B595="","",IF('Data Source'!W595&gt;=5,"A+",IF('Data Source'!W595&gt;=4,"A",IF('Data Source'!W595&gt;=3.5,"A-",IF('Data Source'!W595&gt;=3,"B",IF('Data Source'!W595&gt;=2,"C",IF('Data Source'!W595&gt;=1,"D","F")))))))</f>
        <v/>
      </c>
      <c r="F595" s="3">
        <f>IF('Data Source'!B595="","",IF('Data Source'!X595&gt;=5,"A+",IF('Data Source'!X595&gt;=4,"A",IF('Data Source'!X595&gt;=3.5,"A-",IF('Data Source'!X595&gt;=3,"B",IF('Data Source'!X595&gt;=2,"C",IF('Data Source'!X595&gt;=1,"D","F")))))))</f>
        <v/>
      </c>
      <c r="G595" s="3">
        <f>IF('Data Source'!B595="","",IF('Data Source'!Y595&gt;=5,"A+",IF('Data Source'!Y595&gt;=4,"A",IF('Data Source'!Y595&gt;=3.5,"A-",IF('Data Source'!Y595&gt;=3,"B",IF('Data Source'!Y595&gt;=2,"C",IF('Data Source'!Y595&gt;=1,"D","F")))))))</f>
        <v/>
      </c>
      <c r="H595" s="3">
        <f>IF('Data Source'!B595="","",IF('Data Source'!Z595&gt;=5,"A+",IF('Data Source'!Z595&gt;=4,"A",IF('Data Source'!Z595&gt;=3.5,"A-",IF('Data Source'!Z595&gt;=3,"B",IF('Data Source'!Z595&gt;=2,"C",IF('Data Source'!Z595&gt;=1,"D","F")))))))</f>
        <v/>
      </c>
      <c r="I595" s="3">
        <f>IF('Data Source'!B595="","",IF('Data Source'!AA595&gt;=5,"A+",IF('Data Source'!AA595&gt;=4,"A",IF('Data Source'!AA595&gt;=3.5,"A-",IF('Data Source'!AA595&gt;=3,"B",IF('Data Source'!AA595&gt;=2,"C",IF('Data Source'!AA595&gt;=1,"D","F")))))))</f>
        <v/>
      </c>
      <c r="J595" s="3">
        <f>IF('Data Source'!B595="","",IF('Data Source'!AB595&gt;=5,"A+",IF('Data Source'!AB595&gt;=4,"A",IF('Data Source'!AB595&gt;=3.5,"A-",IF('Data Source'!AB595&gt;=3,"B",IF('Data Source'!AB595&gt;=2,"C",IF('Data Source'!AB595&gt;=1,"D","F")))))))</f>
        <v/>
      </c>
      <c r="K595" s="3">
        <f>IF('Data Source'!B595="","",IF('Data Source'!AC595&gt;=5,"A+",IF('Data Source'!AC595&gt;=4,"A",IF('Data Source'!AC595&gt;=3.5,"A-",IF('Data Source'!AC595&gt;=3,"B",IF('Data Source'!AC595&gt;=2,"C",IF('Data Source'!AC595&gt;=1,"D","F")))))))</f>
        <v/>
      </c>
      <c r="L595" s="3">
        <f>IF('Data Source'!B595="","",IF('Data Source'!AD595&gt;=5,"A+",IF('Data Source'!AD595&gt;=4,"A",IF('Data Source'!AD595&gt;=3.5,"A-",IF('Data Source'!AD595&gt;=3,"B",IF('Data Source'!AD595&gt;=2,"C",IF('Data Source'!AD595&gt;=1,"D","F")))))))</f>
        <v/>
      </c>
      <c r="M595" s="3">
        <f>IF('Data Source'!B595="","",IF('Data Source'!AE595&gt;=5,"A+",IF('Data Source'!AE595&gt;=4,"A",IF('Data Source'!AE595&gt;=3.5,"A-",IF('Data Source'!AE595&gt;=3,"B",IF('Data Source'!AE595&gt;=2,"C",IF('Data Source'!AE595&gt;=1,"D","F")))))))</f>
        <v/>
      </c>
      <c r="N595" s="3">
        <f>IF('Data Source'!B595="","",IF('Data Source'!AF595&gt;=5,"A+",IF('Data Source'!AF595&gt;=4,"A",IF('Data Source'!AF595&gt;=3.5,"A-",IF('Data Source'!AF595&gt;=3,"B",IF('Data Source'!AF595&gt;=2,"C",IF('Data Source'!AF595&gt;=1,"D","F")))))))</f>
        <v/>
      </c>
      <c r="O595" s="3">
        <f>IF('Data Source'!B595="","",IF('Data Source'!AG595&gt;=5,"A+",IF('Data Source'!AG595&gt;=4,"A",IF('Data Source'!AG595&gt;=3.5,"A-",IF('Data Source'!AG595&gt;=3,"B",IF('Data Source'!AG595&gt;=2,"C",IF('Data Source'!AG595&gt;=1,"D","F")))))))</f>
        <v/>
      </c>
      <c r="P595" s="5">
        <f>IF('Data Source'!B595="","",'Data Source'!R595)</f>
        <v/>
      </c>
      <c r="Q595" s="3">
        <f>IF('Data Source'!B595="","",'Data Source'!S595)</f>
        <v/>
      </c>
    </row>
    <row r="596">
      <c r="A596" s="3">
        <f>IF('Data Source'!B596="","",'Data Source'!A596)</f>
        <v/>
      </c>
      <c r="B596">
        <f>IF('Data Source'!B596="","",'Data Source'!B596)</f>
        <v/>
      </c>
      <c r="C596" s="3">
        <f>IF('Data Source'!B596="","",IF('Data Source'!U596&gt;=5,"A+",IF('Data Source'!U596&gt;=4,"A",IF('Data Source'!U596&gt;=3.5,"A-",IF('Data Source'!U596&gt;=3,"B",IF('Data Source'!U596&gt;=2,"C",IF('Data Source'!U596&gt;=1,"D","F")))))))</f>
        <v/>
      </c>
      <c r="D596" s="3">
        <f>IF('Data Source'!B596="","",IF('Data Source'!V596&gt;=5,"A+",IF('Data Source'!V596&gt;=4,"A",IF('Data Source'!V596&gt;=3.5,"A-",IF('Data Source'!V596&gt;=3,"B",IF('Data Source'!V596&gt;=2,"C",IF('Data Source'!V596&gt;=1,"D","F")))))))</f>
        <v/>
      </c>
      <c r="E596" s="3">
        <f>IF('Data Source'!B596="","",IF('Data Source'!W596&gt;=5,"A+",IF('Data Source'!W596&gt;=4,"A",IF('Data Source'!W596&gt;=3.5,"A-",IF('Data Source'!W596&gt;=3,"B",IF('Data Source'!W596&gt;=2,"C",IF('Data Source'!W596&gt;=1,"D","F")))))))</f>
        <v/>
      </c>
      <c r="F596" s="3">
        <f>IF('Data Source'!B596="","",IF('Data Source'!X596&gt;=5,"A+",IF('Data Source'!X596&gt;=4,"A",IF('Data Source'!X596&gt;=3.5,"A-",IF('Data Source'!X596&gt;=3,"B",IF('Data Source'!X596&gt;=2,"C",IF('Data Source'!X596&gt;=1,"D","F")))))))</f>
        <v/>
      </c>
      <c r="G596" s="3">
        <f>IF('Data Source'!B596="","",IF('Data Source'!Y596&gt;=5,"A+",IF('Data Source'!Y596&gt;=4,"A",IF('Data Source'!Y596&gt;=3.5,"A-",IF('Data Source'!Y596&gt;=3,"B",IF('Data Source'!Y596&gt;=2,"C",IF('Data Source'!Y596&gt;=1,"D","F")))))))</f>
        <v/>
      </c>
      <c r="H596" s="3">
        <f>IF('Data Source'!B596="","",IF('Data Source'!Z596&gt;=5,"A+",IF('Data Source'!Z596&gt;=4,"A",IF('Data Source'!Z596&gt;=3.5,"A-",IF('Data Source'!Z596&gt;=3,"B",IF('Data Source'!Z596&gt;=2,"C",IF('Data Source'!Z596&gt;=1,"D","F")))))))</f>
        <v/>
      </c>
      <c r="I596" s="3">
        <f>IF('Data Source'!B596="","",IF('Data Source'!AA596&gt;=5,"A+",IF('Data Source'!AA596&gt;=4,"A",IF('Data Source'!AA596&gt;=3.5,"A-",IF('Data Source'!AA596&gt;=3,"B",IF('Data Source'!AA596&gt;=2,"C",IF('Data Source'!AA596&gt;=1,"D","F")))))))</f>
        <v/>
      </c>
      <c r="J596" s="3">
        <f>IF('Data Source'!B596="","",IF('Data Source'!AB596&gt;=5,"A+",IF('Data Source'!AB596&gt;=4,"A",IF('Data Source'!AB596&gt;=3.5,"A-",IF('Data Source'!AB596&gt;=3,"B",IF('Data Source'!AB596&gt;=2,"C",IF('Data Source'!AB596&gt;=1,"D","F")))))))</f>
        <v/>
      </c>
      <c r="K596" s="3">
        <f>IF('Data Source'!B596="","",IF('Data Source'!AC596&gt;=5,"A+",IF('Data Source'!AC596&gt;=4,"A",IF('Data Source'!AC596&gt;=3.5,"A-",IF('Data Source'!AC596&gt;=3,"B",IF('Data Source'!AC596&gt;=2,"C",IF('Data Source'!AC596&gt;=1,"D","F")))))))</f>
        <v/>
      </c>
      <c r="L596" s="3">
        <f>IF('Data Source'!B596="","",IF('Data Source'!AD596&gt;=5,"A+",IF('Data Source'!AD596&gt;=4,"A",IF('Data Source'!AD596&gt;=3.5,"A-",IF('Data Source'!AD596&gt;=3,"B",IF('Data Source'!AD596&gt;=2,"C",IF('Data Source'!AD596&gt;=1,"D","F")))))))</f>
        <v/>
      </c>
      <c r="M596" s="3">
        <f>IF('Data Source'!B596="","",IF('Data Source'!AE596&gt;=5,"A+",IF('Data Source'!AE596&gt;=4,"A",IF('Data Source'!AE596&gt;=3.5,"A-",IF('Data Source'!AE596&gt;=3,"B",IF('Data Source'!AE596&gt;=2,"C",IF('Data Source'!AE596&gt;=1,"D","F")))))))</f>
        <v/>
      </c>
      <c r="N596" s="3">
        <f>IF('Data Source'!B596="","",IF('Data Source'!AF596&gt;=5,"A+",IF('Data Source'!AF596&gt;=4,"A",IF('Data Source'!AF596&gt;=3.5,"A-",IF('Data Source'!AF596&gt;=3,"B",IF('Data Source'!AF596&gt;=2,"C",IF('Data Source'!AF596&gt;=1,"D","F")))))))</f>
        <v/>
      </c>
      <c r="O596" s="3">
        <f>IF('Data Source'!B596="","",IF('Data Source'!AG596&gt;=5,"A+",IF('Data Source'!AG596&gt;=4,"A",IF('Data Source'!AG596&gt;=3.5,"A-",IF('Data Source'!AG596&gt;=3,"B",IF('Data Source'!AG596&gt;=2,"C",IF('Data Source'!AG596&gt;=1,"D","F")))))))</f>
        <v/>
      </c>
      <c r="P596" s="5">
        <f>IF('Data Source'!B596="","",'Data Source'!R596)</f>
        <v/>
      </c>
      <c r="Q596" s="3">
        <f>IF('Data Source'!B596="","",'Data Source'!S596)</f>
        <v/>
      </c>
    </row>
    <row r="597">
      <c r="A597" s="3">
        <f>IF('Data Source'!B597="","",'Data Source'!A597)</f>
        <v/>
      </c>
      <c r="B597">
        <f>IF('Data Source'!B597="","",'Data Source'!B597)</f>
        <v/>
      </c>
      <c r="C597" s="3">
        <f>IF('Data Source'!B597="","",IF('Data Source'!U597&gt;=5,"A+",IF('Data Source'!U597&gt;=4,"A",IF('Data Source'!U597&gt;=3.5,"A-",IF('Data Source'!U597&gt;=3,"B",IF('Data Source'!U597&gt;=2,"C",IF('Data Source'!U597&gt;=1,"D","F")))))))</f>
        <v/>
      </c>
      <c r="D597" s="3">
        <f>IF('Data Source'!B597="","",IF('Data Source'!V597&gt;=5,"A+",IF('Data Source'!V597&gt;=4,"A",IF('Data Source'!V597&gt;=3.5,"A-",IF('Data Source'!V597&gt;=3,"B",IF('Data Source'!V597&gt;=2,"C",IF('Data Source'!V597&gt;=1,"D","F")))))))</f>
        <v/>
      </c>
      <c r="E597" s="3">
        <f>IF('Data Source'!B597="","",IF('Data Source'!W597&gt;=5,"A+",IF('Data Source'!W597&gt;=4,"A",IF('Data Source'!W597&gt;=3.5,"A-",IF('Data Source'!W597&gt;=3,"B",IF('Data Source'!W597&gt;=2,"C",IF('Data Source'!W597&gt;=1,"D","F")))))))</f>
        <v/>
      </c>
      <c r="F597" s="3">
        <f>IF('Data Source'!B597="","",IF('Data Source'!X597&gt;=5,"A+",IF('Data Source'!X597&gt;=4,"A",IF('Data Source'!X597&gt;=3.5,"A-",IF('Data Source'!X597&gt;=3,"B",IF('Data Source'!X597&gt;=2,"C",IF('Data Source'!X597&gt;=1,"D","F")))))))</f>
        <v/>
      </c>
      <c r="G597" s="3">
        <f>IF('Data Source'!B597="","",IF('Data Source'!Y597&gt;=5,"A+",IF('Data Source'!Y597&gt;=4,"A",IF('Data Source'!Y597&gt;=3.5,"A-",IF('Data Source'!Y597&gt;=3,"B",IF('Data Source'!Y597&gt;=2,"C",IF('Data Source'!Y597&gt;=1,"D","F")))))))</f>
        <v/>
      </c>
      <c r="H597" s="3">
        <f>IF('Data Source'!B597="","",IF('Data Source'!Z597&gt;=5,"A+",IF('Data Source'!Z597&gt;=4,"A",IF('Data Source'!Z597&gt;=3.5,"A-",IF('Data Source'!Z597&gt;=3,"B",IF('Data Source'!Z597&gt;=2,"C",IF('Data Source'!Z597&gt;=1,"D","F")))))))</f>
        <v/>
      </c>
      <c r="I597" s="3">
        <f>IF('Data Source'!B597="","",IF('Data Source'!AA597&gt;=5,"A+",IF('Data Source'!AA597&gt;=4,"A",IF('Data Source'!AA597&gt;=3.5,"A-",IF('Data Source'!AA597&gt;=3,"B",IF('Data Source'!AA597&gt;=2,"C",IF('Data Source'!AA597&gt;=1,"D","F")))))))</f>
        <v/>
      </c>
      <c r="J597" s="3">
        <f>IF('Data Source'!B597="","",IF('Data Source'!AB597&gt;=5,"A+",IF('Data Source'!AB597&gt;=4,"A",IF('Data Source'!AB597&gt;=3.5,"A-",IF('Data Source'!AB597&gt;=3,"B",IF('Data Source'!AB597&gt;=2,"C",IF('Data Source'!AB597&gt;=1,"D","F")))))))</f>
        <v/>
      </c>
      <c r="K597" s="3">
        <f>IF('Data Source'!B597="","",IF('Data Source'!AC597&gt;=5,"A+",IF('Data Source'!AC597&gt;=4,"A",IF('Data Source'!AC597&gt;=3.5,"A-",IF('Data Source'!AC597&gt;=3,"B",IF('Data Source'!AC597&gt;=2,"C",IF('Data Source'!AC597&gt;=1,"D","F")))))))</f>
        <v/>
      </c>
      <c r="L597" s="3">
        <f>IF('Data Source'!B597="","",IF('Data Source'!AD597&gt;=5,"A+",IF('Data Source'!AD597&gt;=4,"A",IF('Data Source'!AD597&gt;=3.5,"A-",IF('Data Source'!AD597&gt;=3,"B",IF('Data Source'!AD597&gt;=2,"C",IF('Data Source'!AD597&gt;=1,"D","F")))))))</f>
        <v/>
      </c>
      <c r="M597" s="3">
        <f>IF('Data Source'!B597="","",IF('Data Source'!AE597&gt;=5,"A+",IF('Data Source'!AE597&gt;=4,"A",IF('Data Source'!AE597&gt;=3.5,"A-",IF('Data Source'!AE597&gt;=3,"B",IF('Data Source'!AE597&gt;=2,"C",IF('Data Source'!AE597&gt;=1,"D","F")))))))</f>
        <v/>
      </c>
      <c r="N597" s="3">
        <f>IF('Data Source'!B597="","",IF('Data Source'!AF597&gt;=5,"A+",IF('Data Source'!AF597&gt;=4,"A",IF('Data Source'!AF597&gt;=3.5,"A-",IF('Data Source'!AF597&gt;=3,"B",IF('Data Source'!AF597&gt;=2,"C",IF('Data Source'!AF597&gt;=1,"D","F")))))))</f>
        <v/>
      </c>
      <c r="O597" s="3">
        <f>IF('Data Source'!B597="","",IF('Data Source'!AG597&gt;=5,"A+",IF('Data Source'!AG597&gt;=4,"A",IF('Data Source'!AG597&gt;=3.5,"A-",IF('Data Source'!AG597&gt;=3,"B",IF('Data Source'!AG597&gt;=2,"C",IF('Data Source'!AG597&gt;=1,"D","F")))))))</f>
        <v/>
      </c>
      <c r="P597" s="5">
        <f>IF('Data Source'!B597="","",'Data Source'!R597)</f>
        <v/>
      </c>
      <c r="Q597" s="3">
        <f>IF('Data Source'!B597="","",'Data Source'!S597)</f>
        <v/>
      </c>
    </row>
    <row r="598">
      <c r="A598" s="3">
        <f>IF('Data Source'!B598="","",'Data Source'!A598)</f>
        <v/>
      </c>
      <c r="B598">
        <f>IF('Data Source'!B598="","",'Data Source'!B598)</f>
        <v/>
      </c>
      <c r="C598" s="3">
        <f>IF('Data Source'!B598="","",IF('Data Source'!U598&gt;=5,"A+",IF('Data Source'!U598&gt;=4,"A",IF('Data Source'!U598&gt;=3.5,"A-",IF('Data Source'!U598&gt;=3,"B",IF('Data Source'!U598&gt;=2,"C",IF('Data Source'!U598&gt;=1,"D","F")))))))</f>
        <v/>
      </c>
      <c r="D598" s="3">
        <f>IF('Data Source'!B598="","",IF('Data Source'!V598&gt;=5,"A+",IF('Data Source'!V598&gt;=4,"A",IF('Data Source'!V598&gt;=3.5,"A-",IF('Data Source'!V598&gt;=3,"B",IF('Data Source'!V598&gt;=2,"C",IF('Data Source'!V598&gt;=1,"D","F")))))))</f>
        <v/>
      </c>
      <c r="E598" s="3">
        <f>IF('Data Source'!B598="","",IF('Data Source'!W598&gt;=5,"A+",IF('Data Source'!W598&gt;=4,"A",IF('Data Source'!W598&gt;=3.5,"A-",IF('Data Source'!W598&gt;=3,"B",IF('Data Source'!W598&gt;=2,"C",IF('Data Source'!W598&gt;=1,"D","F")))))))</f>
        <v/>
      </c>
      <c r="F598" s="3">
        <f>IF('Data Source'!B598="","",IF('Data Source'!X598&gt;=5,"A+",IF('Data Source'!X598&gt;=4,"A",IF('Data Source'!X598&gt;=3.5,"A-",IF('Data Source'!X598&gt;=3,"B",IF('Data Source'!X598&gt;=2,"C",IF('Data Source'!X598&gt;=1,"D","F")))))))</f>
        <v/>
      </c>
      <c r="G598" s="3">
        <f>IF('Data Source'!B598="","",IF('Data Source'!Y598&gt;=5,"A+",IF('Data Source'!Y598&gt;=4,"A",IF('Data Source'!Y598&gt;=3.5,"A-",IF('Data Source'!Y598&gt;=3,"B",IF('Data Source'!Y598&gt;=2,"C",IF('Data Source'!Y598&gt;=1,"D","F")))))))</f>
        <v/>
      </c>
      <c r="H598" s="3">
        <f>IF('Data Source'!B598="","",IF('Data Source'!Z598&gt;=5,"A+",IF('Data Source'!Z598&gt;=4,"A",IF('Data Source'!Z598&gt;=3.5,"A-",IF('Data Source'!Z598&gt;=3,"B",IF('Data Source'!Z598&gt;=2,"C",IF('Data Source'!Z598&gt;=1,"D","F")))))))</f>
        <v/>
      </c>
      <c r="I598" s="3">
        <f>IF('Data Source'!B598="","",IF('Data Source'!AA598&gt;=5,"A+",IF('Data Source'!AA598&gt;=4,"A",IF('Data Source'!AA598&gt;=3.5,"A-",IF('Data Source'!AA598&gt;=3,"B",IF('Data Source'!AA598&gt;=2,"C",IF('Data Source'!AA598&gt;=1,"D","F")))))))</f>
        <v/>
      </c>
      <c r="J598" s="3">
        <f>IF('Data Source'!B598="","",IF('Data Source'!AB598&gt;=5,"A+",IF('Data Source'!AB598&gt;=4,"A",IF('Data Source'!AB598&gt;=3.5,"A-",IF('Data Source'!AB598&gt;=3,"B",IF('Data Source'!AB598&gt;=2,"C",IF('Data Source'!AB598&gt;=1,"D","F")))))))</f>
        <v/>
      </c>
      <c r="K598" s="3">
        <f>IF('Data Source'!B598="","",IF('Data Source'!AC598&gt;=5,"A+",IF('Data Source'!AC598&gt;=4,"A",IF('Data Source'!AC598&gt;=3.5,"A-",IF('Data Source'!AC598&gt;=3,"B",IF('Data Source'!AC598&gt;=2,"C",IF('Data Source'!AC598&gt;=1,"D","F")))))))</f>
        <v/>
      </c>
      <c r="L598" s="3">
        <f>IF('Data Source'!B598="","",IF('Data Source'!AD598&gt;=5,"A+",IF('Data Source'!AD598&gt;=4,"A",IF('Data Source'!AD598&gt;=3.5,"A-",IF('Data Source'!AD598&gt;=3,"B",IF('Data Source'!AD598&gt;=2,"C",IF('Data Source'!AD598&gt;=1,"D","F")))))))</f>
        <v/>
      </c>
      <c r="M598" s="3">
        <f>IF('Data Source'!B598="","",IF('Data Source'!AE598&gt;=5,"A+",IF('Data Source'!AE598&gt;=4,"A",IF('Data Source'!AE598&gt;=3.5,"A-",IF('Data Source'!AE598&gt;=3,"B",IF('Data Source'!AE598&gt;=2,"C",IF('Data Source'!AE598&gt;=1,"D","F")))))))</f>
        <v/>
      </c>
      <c r="N598" s="3">
        <f>IF('Data Source'!B598="","",IF('Data Source'!AF598&gt;=5,"A+",IF('Data Source'!AF598&gt;=4,"A",IF('Data Source'!AF598&gt;=3.5,"A-",IF('Data Source'!AF598&gt;=3,"B",IF('Data Source'!AF598&gt;=2,"C",IF('Data Source'!AF598&gt;=1,"D","F")))))))</f>
        <v/>
      </c>
      <c r="O598" s="3">
        <f>IF('Data Source'!B598="","",IF('Data Source'!AG598&gt;=5,"A+",IF('Data Source'!AG598&gt;=4,"A",IF('Data Source'!AG598&gt;=3.5,"A-",IF('Data Source'!AG598&gt;=3,"B",IF('Data Source'!AG598&gt;=2,"C",IF('Data Source'!AG598&gt;=1,"D","F")))))))</f>
        <v/>
      </c>
      <c r="P598" s="5">
        <f>IF('Data Source'!B598="","",'Data Source'!R598)</f>
        <v/>
      </c>
      <c r="Q598" s="3">
        <f>IF('Data Source'!B598="","",'Data Source'!S598)</f>
        <v/>
      </c>
    </row>
    <row r="599">
      <c r="A599" s="3">
        <f>IF('Data Source'!B599="","",'Data Source'!A599)</f>
        <v/>
      </c>
      <c r="B599">
        <f>IF('Data Source'!B599="","",'Data Source'!B599)</f>
        <v/>
      </c>
      <c r="C599" s="3">
        <f>IF('Data Source'!B599="","",IF('Data Source'!U599&gt;=5,"A+",IF('Data Source'!U599&gt;=4,"A",IF('Data Source'!U599&gt;=3.5,"A-",IF('Data Source'!U599&gt;=3,"B",IF('Data Source'!U599&gt;=2,"C",IF('Data Source'!U599&gt;=1,"D","F")))))))</f>
        <v/>
      </c>
      <c r="D599" s="3">
        <f>IF('Data Source'!B599="","",IF('Data Source'!V599&gt;=5,"A+",IF('Data Source'!V599&gt;=4,"A",IF('Data Source'!V599&gt;=3.5,"A-",IF('Data Source'!V599&gt;=3,"B",IF('Data Source'!V599&gt;=2,"C",IF('Data Source'!V599&gt;=1,"D","F")))))))</f>
        <v/>
      </c>
      <c r="E599" s="3">
        <f>IF('Data Source'!B599="","",IF('Data Source'!W599&gt;=5,"A+",IF('Data Source'!W599&gt;=4,"A",IF('Data Source'!W599&gt;=3.5,"A-",IF('Data Source'!W599&gt;=3,"B",IF('Data Source'!W599&gt;=2,"C",IF('Data Source'!W599&gt;=1,"D","F")))))))</f>
        <v/>
      </c>
      <c r="F599" s="3">
        <f>IF('Data Source'!B599="","",IF('Data Source'!X599&gt;=5,"A+",IF('Data Source'!X599&gt;=4,"A",IF('Data Source'!X599&gt;=3.5,"A-",IF('Data Source'!X599&gt;=3,"B",IF('Data Source'!X599&gt;=2,"C",IF('Data Source'!X599&gt;=1,"D","F")))))))</f>
        <v/>
      </c>
      <c r="G599" s="3">
        <f>IF('Data Source'!B599="","",IF('Data Source'!Y599&gt;=5,"A+",IF('Data Source'!Y599&gt;=4,"A",IF('Data Source'!Y599&gt;=3.5,"A-",IF('Data Source'!Y599&gt;=3,"B",IF('Data Source'!Y599&gt;=2,"C",IF('Data Source'!Y599&gt;=1,"D","F")))))))</f>
        <v/>
      </c>
      <c r="H599" s="3">
        <f>IF('Data Source'!B599="","",IF('Data Source'!Z599&gt;=5,"A+",IF('Data Source'!Z599&gt;=4,"A",IF('Data Source'!Z599&gt;=3.5,"A-",IF('Data Source'!Z599&gt;=3,"B",IF('Data Source'!Z599&gt;=2,"C",IF('Data Source'!Z599&gt;=1,"D","F")))))))</f>
        <v/>
      </c>
      <c r="I599" s="3">
        <f>IF('Data Source'!B599="","",IF('Data Source'!AA599&gt;=5,"A+",IF('Data Source'!AA599&gt;=4,"A",IF('Data Source'!AA599&gt;=3.5,"A-",IF('Data Source'!AA599&gt;=3,"B",IF('Data Source'!AA599&gt;=2,"C",IF('Data Source'!AA599&gt;=1,"D","F")))))))</f>
        <v/>
      </c>
      <c r="J599" s="3">
        <f>IF('Data Source'!B599="","",IF('Data Source'!AB599&gt;=5,"A+",IF('Data Source'!AB599&gt;=4,"A",IF('Data Source'!AB599&gt;=3.5,"A-",IF('Data Source'!AB599&gt;=3,"B",IF('Data Source'!AB599&gt;=2,"C",IF('Data Source'!AB599&gt;=1,"D","F")))))))</f>
        <v/>
      </c>
      <c r="K599" s="3">
        <f>IF('Data Source'!B599="","",IF('Data Source'!AC599&gt;=5,"A+",IF('Data Source'!AC599&gt;=4,"A",IF('Data Source'!AC599&gt;=3.5,"A-",IF('Data Source'!AC599&gt;=3,"B",IF('Data Source'!AC599&gt;=2,"C",IF('Data Source'!AC599&gt;=1,"D","F")))))))</f>
        <v/>
      </c>
      <c r="L599" s="3">
        <f>IF('Data Source'!B599="","",IF('Data Source'!AD599&gt;=5,"A+",IF('Data Source'!AD599&gt;=4,"A",IF('Data Source'!AD599&gt;=3.5,"A-",IF('Data Source'!AD599&gt;=3,"B",IF('Data Source'!AD599&gt;=2,"C",IF('Data Source'!AD599&gt;=1,"D","F")))))))</f>
        <v/>
      </c>
      <c r="M599" s="3">
        <f>IF('Data Source'!B599="","",IF('Data Source'!AE599&gt;=5,"A+",IF('Data Source'!AE599&gt;=4,"A",IF('Data Source'!AE599&gt;=3.5,"A-",IF('Data Source'!AE599&gt;=3,"B",IF('Data Source'!AE599&gt;=2,"C",IF('Data Source'!AE599&gt;=1,"D","F")))))))</f>
        <v/>
      </c>
      <c r="N599" s="3">
        <f>IF('Data Source'!B599="","",IF('Data Source'!AF599&gt;=5,"A+",IF('Data Source'!AF599&gt;=4,"A",IF('Data Source'!AF599&gt;=3.5,"A-",IF('Data Source'!AF599&gt;=3,"B",IF('Data Source'!AF599&gt;=2,"C",IF('Data Source'!AF599&gt;=1,"D","F")))))))</f>
        <v/>
      </c>
      <c r="O599" s="3">
        <f>IF('Data Source'!B599="","",IF('Data Source'!AG599&gt;=5,"A+",IF('Data Source'!AG599&gt;=4,"A",IF('Data Source'!AG599&gt;=3.5,"A-",IF('Data Source'!AG599&gt;=3,"B",IF('Data Source'!AG599&gt;=2,"C",IF('Data Source'!AG599&gt;=1,"D","F")))))))</f>
        <v/>
      </c>
      <c r="P599" s="5">
        <f>IF('Data Source'!B599="","",'Data Source'!R599)</f>
        <v/>
      </c>
      <c r="Q599" s="3">
        <f>IF('Data Source'!B599="","",'Data Source'!S599)</f>
        <v/>
      </c>
    </row>
    <row r="600">
      <c r="A600" s="3">
        <f>IF('Data Source'!B600="","",'Data Source'!A600)</f>
        <v/>
      </c>
      <c r="B600">
        <f>IF('Data Source'!B600="","",'Data Source'!B600)</f>
        <v/>
      </c>
      <c r="C600" s="3">
        <f>IF('Data Source'!B600="","",IF('Data Source'!U600&gt;=5,"A+",IF('Data Source'!U600&gt;=4,"A",IF('Data Source'!U600&gt;=3.5,"A-",IF('Data Source'!U600&gt;=3,"B",IF('Data Source'!U600&gt;=2,"C",IF('Data Source'!U600&gt;=1,"D","F")))))))</f>
        <v/>
      </c>
      <c r="D600" s="3">
        <f>IF('Data Source'!B600="","",IF('Data Source'!V600&gt;=5,"A+",IF('Data Source'!V600&gt;=4,"A",IF('Data Source'!V600&gt;=3.5,"A-",IF('Data Source'!V600&gt;=3,"B",IF('Data Source'!V600&gt;=2,"C",IF('Data Source'!V600&gt;=1,"D","F")))))))</f>
        <v/>
      </c>
      <c r="E600" s="3">
        <f>IF('Data Source'!B600="","",IF('Data Source'!W600&gt;=5,"A+",IF('Data Source'!W600&gt;=4,"A",IF('Data Source'!W600&gt;=3.5,"A-",IF('Data Source'!W600&gt;=3,"B",IF('Data Source'!W600&gt;=2,"C",IF('Data Source'!W600&gt;=1,"D","F")))))))</f>
        <v/>
      </c>
      <c r="F600" s="3">
        <f>IF('Data Source'!B600="","",IF('Data Source'!X600&gt;=5,"A+",IF('Data Source'!X600&gt;=4,"A",IF('Data Source'!X600&gt;=3.5,"A-",IF('Data Source'!X600&gt;=3,"B",IF('Data Source'!X600&gt;=2,"C",IF('Data Source'!X600&gt;=1,"D","F")))))))</f>
        <v/>
      </c>
      <c r="G600" s="3">
        <f>IF('Data Source'!B600="","",IF('Data Source'!Y600&gt;=5,"A+",IF('Data Source'!Y600&gt;=4,"A",IF('Data Source'!Y600&gt;=3.5,"A-",IF('Data Source'!Y600&gt;=3,"B",IF('Data Source'!Y600&gt;=2,"C",IF('Data Source'!Y600&gt;=1,"D","F")))))))</f>
        <v/>
      </c>
      <c r="H600" s="3">
        <f>IF('Data Source'!B600="","",IF('Data Source'!Z600&gt;=5,"A+",IF('Data Source'!Z600&gt;=4,"A",IF('Data Source'!Z600&gt;=3.5,"A-",IF('Data Source'!Z600&gt;=3,"B",IF('Data Source'!Z600&gt;=2,"C",IF('Data Source'!Z600&gt;=1,"D","F")))))))</f>
        <v/>
      </c>
      <c r="I600" s="3">
        <f>IF('Data Source'!B600="","",IF('Data Source'!AA600&gt;=5,"A+",IF('Data Source'!AA600&gt;=4,"A",IF('Data Source'!AA600&gt;=3.5,"A-",IF('Data Source'!AA600&gt;=3,"B",IF('Data Source'!AA600&gt;=2,"C",IF('Data Source'!AA600&gt;=1,"D","F")))))))</f>
        <v/>
      </c>
      <c r="J600" s="3">
        <f>IF('Data Source'!B600="","",IF('Data Source'!AB600&gt;=5,"A+",IF('Data Source'!AB600&gt;=4,"A",IF('Data Source'!AB600&gt;=3.5,"A-",IF('Data Source'!AB600&gt;=3,"B",IF('Data Source'!AB600&gt;=2,"C",IF('Data Source'!AB600&gt;=1,"D","F")))))))</f>
        <v/>
      </c>
      <c r="K600" s="3">
        <f>IF('Data Source'!B600="","",IF('Data Source'!AC600&gt;=5,"A+",IF('Data Source'!AC600&gt;=4,"A",IF('Data Source'!AC600&gt;=3.5,"A-",IF('Data Source'!AC600&gt;=3,"B",IF('Data Source'!AC600&gt;=2,"C",IF('Data Source'!AC600&gt;=1,"D","F")))))))</f>
        <v/>
      </c>
      <c r="L600" s="3">
        <f>IF('Data Source'!B600="","",IF('Data Source'!AD600&gt;=5,"A+",IF('Data Source'!AD600&gt;=4,"A",IF('Data Source'!AD600&gt;=3.5,"A-",IF('Data Source'!AD600&gt;=3,"B",IF('Data Source'!AD600&gt;=2,"C",IF('Data Source'!AD600&gt;=1,"D","F")))))))</f>
        <v/>
      </c>
      <c r="M600" s="3">
        <f>IF('Data Source'!B600="","",IF('Data Source'!AE600&gt;=5,"A+",IF('Data Source'!AE600&gt;=4,"A",IF('Data Source'!AE600&gt;=3.5,"A-",IF('Data Source'!AE600&gt;=3,"B",IF('Data Source'!AE600&gt;=2,"C",IF('Data Source'!AE600&gt;=1,"D","F")))))))</f>
        <v/>
      </c>
      <c r="N600" s="3">
        <f>IF('Data Source'!B600="","",IF('Data Source'!AF600&gt;=5,"A+",IF('Data Source'!AF600&gt;=4,"A",IF('Data Source'!AF600&gt;=3.5,"A-",IF('Data Source'!AF600&gt;=3,"B",IF('Data Source'!AF600&gt;=2,"C",IF('Data Source'!AF600&gt;=1,"D","F")))))))</f>
        <v/>
      </c>
      <c r="O600" s="3">
        <f>IF('Data Source'!B600="","",IF('Data Source'!AG600&gt;=5,"A+",IF('Data Source'!AG600&gt;=4,"A",IF('Data Source'!AG600&gt;=3.5,"A-",IF('Data Source'!AG600&gt;=3,"B",IF('Data Source'!AG600&gt;=2,"C",IF('Data Source'!AG600&gt;=1,"D","F")))))))</f>
        <v/>
      </c>
      <c r="P600" s="5">
        <f>IF('Data Source'!B600="","",'Data Source'!R600)</f>
        <v/>
      </c>
      <c r="Q600" s="3">
        <f>IF('Data Source'!B600="","",'Data Source'!S600)</f>
        <v/>
      </c>
    </row>
    <row r="601">
      <c r="A601" s="3">
        <f>IF('Data Source'!B601="","",'Data Source'!A601)</f>
        <v/>
      </c>
      <c r="B601">
        <f>IF('Data Source'!B601="","",'Data Source'!B601)</f>
        <v/>
      </c>
      <c r="C601" s="3">
        <f>IF('Data Source'!B601="","",IF('Data Source'!U601&gt;=5,"A+",IF('Data Source'!U601&gt;=4,"A",IF('Data Source'!U601&gt;=3.5,"A-",IF('Data Source'!U601&gt;=3,"B",IF('Data Source'!U601&gt;=2,"C",IF('Data Source'!U601&gt;=1,"D","F")))))))</f>
        <v/>
      </c>
      <c r="D601" s="3">
        <f>IF('Data Source'!B601="","",IF('Data Source'!V601&gt;=5,"A+",IF('Data Source'!V601&gt;=4,"A",IF('Data Source'!V601&gt;=3.5,"A-",IF('Data Source'!V601&gt;=3,"B",IF('Data Source'!V601&gt;=2,"C",IF('Data Source'!V601&gt;=1,"D","F")))))))</f>
        <v/>
      </c>
      <c r="E601" s="3">
        <f>IF('Data Source'!B601="","",IF('Data Source'!W601&gt;=5,"A+",IF('Data Source'!W601&gt;=4,"A",IF('Data Source'!W601&gt;=3.5,"A-",IF('Data Source'!W601&gt;=3,"B",IF('Data Source'!W601&gt;=2,"C",IF('Data Source'!W601&gt;=1,"D","F")))))))</f>
        <v/>
      </c>
      <c r="F601" s="3">
        <f>IF('Data Source'!B601="","",IF('Data Source'!X601&gt;=5,"A+",IF('Data Source'!X601&gt;=4,"A",IF('Data Source'!X601&gt;=3.5,"A-",IF('Data Source'!X601&gt;=3,"B",IF('Data Source'!X601&gt;=2,"C",IF('Data Source'!X601&gt;=1,"D","F")))))))</f>
        <v/>
      </c>
      <c r="G601" s="3">
        <f>IF('Data Source'!B601="","",IF('Data Source'!Y601&gt;=5,"A+",IF('Data Source'!Y601&gt;=4,"A",IF('Data Source'!Y601&gt;=3.5,"A-",IF('Data Source'!Y601&gt;=3,"B",IF('Data Source'!Y601&gt;=2,"C",IF('Data Source'!Y601&gt;=1,"D","F")))))))</f>
        <v/>
      </c>
      <c r="H601" s="3">
        <f>IF('Data Source'!B601="","",IF('Data Source'!Z601&gt;=5,"A+",IF('Data Source'!Z601&gt;=4,"A",IF('Data Source'!Z601&gt;=3.5,"A-",IF('Data Source'!Z601&gt;=3,"B",IF('Data Source'!Z601&gt;=2,"C",IF('Data Source'!Z601&gt;=1,"D","F")))))))</f>
        <v/>
      </c>
      <c r="I601" s="3">
        <f>IF('Data Source'!B601="","",IF('Data Source'!AA601&gt;=5,"A+",IF('Data Source'!AA601&gt;=4,"A",IF('Data Source'!AA601&gt;=3.5,"A-",IF('Data Source'!AA601&gt;=3,"B",IF('Data Source'!AA601&gt;=2,"C",IF('Data Source'!AA601&gt;=1,"D","F")))))))</f>
        <v/>
      </c>
      <c r="J601" s="3">
        <f>IF('Data Source'!B601="","",IF('Data Source'!AB601&gt;=5,"A+",IF('Data Source'!AB601&gt;=4,"A",IF('Data Source'!AB601&gt;=3.5,"A-",IF('Data Source'!AB601&gt;=3,"B",IF('Data Source'!AB601&gt;=2,"C",IF('Data Source'!AB601&gt;=1,"D","F")))))))</f>
        <v/>
      </c>
      <c r="K601" s="3">
        <f>IF('Data Source'!B601="","",IF('Data Source'!AC601&gt;=5,"A+",IF('Data Source'!AC601&gt;=4,"A",IF('Data Source'!AC601&gt;=3.5,"A-",IF('Data Source'!AC601&gt;=3,"B",IF('Data Source'!AC601&gt;=2,"C",IF('Data Source'!AC601&gt;=1,"D","F")))))))</f>
        <v/>
      </c>
      <c r="L601" s="3">
        <f>IF('Data Source'!B601="","",IF('Data Source'!AD601&gt;=5,"A+",IF('Data Source'!AD601&gt;=4,"A",IF('Data Source'!AD601&gt;=3.5,"A-",IF('Data Source'!AD601&gt;=3,"B",IF('Data Source'!AD601&gt;=2,"C",IF('Data Source'!AD601&gt;=1,"D","F")))))))</f>
        <v/>
      </c>
      <c r="M601" s="3">
        <f>IF('Data Source'!B601="","",IF('Data Source'!AE601&gt;=5,"A+",IF('Data Source'!AE601&gt;=4,"A",IF('Data Source'!AE601&gt;=3.5,"A-",IF('Data Source'!AE601&gt;=3,"B",IF('Data Source'!AE601&gt;=2,"C",IF('Data Source'!AE601&gt;=1,"D","F")))))))</f>
        <v/>
      </c>
      <c r="N601" s="3">
        <f>IF('Data Source'!B601="","",IF('Data Source'!AF601&gt;=5,"A+",IF('Data Source'!AF601&gt;=4,"A",IF('Data Source'!AF601&gt;=3.5,"A-",IF('Data Source'!AF601&gt;=3,"B",IF('Data Source'!AF601&gt;=2,"C",IF('Data Source'!AF601&gt;=1,"D","F")))))))</f>
        <v/>
      </c>
      <c r="O601" s="3">
        <f>IF('Data Source'!B601="","",IF('Data Source'!AG601&gt;=5,"A+",IF('Data Source'!AG601&gt;=4,"A",IF('Data Source'!AG601&gt;=3.5,"A-",IF('Data Source'!AG601&gt;=3,"B",IF('Data Source'!AG601&gt;=2,"C",IF('Data Source'!AG601&gt;=1,"D","F")))))))</f>
        <v/>
      </c>
      <c r="P601" s="5">
        <f>IF('Data Source'!B601="","",'Data Source'!R601)</f>
        <v/>
      </c>
      <c r="Q601" s="3">
        <f>IF('Data Source'!B601="","",'Data Source'!S601)</f>
        <v/>
      </c>
    </row>
    <row r="602">
      <c r="A602" s="3">
        <f>IF('Data Source'!B602="","",'Data Source'!A602)</f>
        <v/>
      </c>
      <c r="B602">
        <f>IF('Data Source'!B602="","",'Data Source'!B602)</f>
        <v/>
      </c>
      <c r="C602" s="3">
        <f>IF('Data Source'!B602="","",IF('Data Source'!U602&gt;=5,"A+",IF('Data Source'!U602&gt;=4,"A",IF('Data Source'!U602&gt;=3.5,"A-",IF('Data Source'!U602&gt;=3,"B",IF('Data Source'!U602&gt;=2,"C",IF('Data Source'!U602&gt;=1,"D","F")))))))</f>
        <v/>
      </c>
      <c r="D602" s="3">
        <f>IF('Data Source'!B602="","",IF('Data Source'!V602&gt;=5,"A+",IF('Data Source'!V602&gt;=4,"A",IF('Data Source'!V602&gt;=3.5,"A-",IF('Data Source'!V602&gt;=3,"B",IF('Data Source'!V602&gt;=2,"C",IF('Data Source'!V602&gt;=1,"D","F")))))))</f>
        <v/>
      </c>
      <c r="E602" s="3">
        <f>IF('Data Source'!B602="","",IF('Data Source'!W602&gt;=5,"A+",IF('Data Source'!W602&gt;=4,"A",IF('Data Source'!W602&gt;=3.5,"A-",IF('Data Source'!W602&gt;=3,"B",IF('Data Source'!W602&gt;=2,"C",IF('Data Source'!W602&gt;=1,"D","F")))))))</f>
        <v/>
      </c>
      <c r="F602" s="3">
        <f>IF('Data Source'!B602="","",IF('Data Source'!X602&gt;=5,"A+",IF('Data Source'!X602&gt;=4,"A",IF('Data Source'!X602&gt;=3.5,"A-",IF('Data Source'!X602&gt;=3,"B",IF('Data Source'!X602&gt;=2,"C",IF('Data Source'!X602&gt;=1,"D","F")))))))</f>
        <v/>
      </c>
      <c r="G602" s="3">
        <f>IF('Data Source'!B602="","",IF('Data Source'!Y602&gt;=5,"A+",IF('Data Source'!Y602&gt;=4,"A",IF('Data Source'!Y602&gt;=3.5,"A-",IF('Data Source'!Y602&gt;=3,"B",IF('Data Source'!Y602&gt;=2,"C",IF('Data Source'!Y602&gt;=1,"D","F")))))))</f>
        <v/>
      </c>
      <c r="H602" s="3">
        <f>IF('Data Source'!B602="","",IF('Data Source'!Z602&gt;=5,"A+",IF('Data Source'!Z602&gt;=4,"A",IF('Data Source'!Z602&gt;=3.5,"A-",IF('Data Source'!Z602&gt;=3,"B",IF('Data Source'!Z602&gt;=2,"C",IF('Data Source'!Z602&gt;=1,"D","F")))))))</f>
        <v/>
      </c>
      <c r="I602" s="3">
        <f>IF('Data Source'!B602="","",IF('Data Source'!AA602&gt;=5,"A+",IF('Data Source'!AA602&gt;=4,"A",IF('Data Source'!AA602&gt;=3.5,"A-",IF('Data Source'!AA602&gt;=3,"B",IF('Data Source'!AA602&gt;=2,"C",IF('Data Source'!AA602&gt;=1,"D","F")))))))</f>
        <v/>
      </c>
      <c r="J602" s="3">
        <f>IF('Data Source'!B602="","",IF('Data Source'!AB602&gt;=5,"A+",IF('Data Source'!AB602&gt;=4,"A",IF('Data Source'!AB602&gt;=3.5,"A-",IF('Data Source'!AB602&gt;=3,"B",IF('Data Source'!AB602&gt;=2,"C",IF('Data Source'!AB602&gt;=1,"D","F")))))))</f>
        <v/>
      </c>
      <c r="K602" s="3">
        <f>IF('Data Source'!B602="","",IF('Data Source'!AC602&gt;=5,"A+",IF('Data Source'!AC602&gt;=4,"A",IF('Data Source'!AC602&gt;=3.5,"A-",IF('Data Source'!AC602&gt;=3,"B",IF('Data Source'!AC602&gt;=2,"C",IF('Data Source'!AC602&gt;=1,"D","F")))))))</f>
        <v/>
      </c>
      <c r="L602" s="3">
        <f>IF('Data Source'!B602="","",IF('Data Source'!AD602&gt;=5,"A+",IF('Data Source'!AD602&gt;=4,"A",IF('Data Source'!AD602&gt;=3.5,"A-",IF('Data Source'!AD602&gt;=3,"B",IF('Data Source'!AD602&gt;=2,"C",IF('Data Source'!AD602&gt;=1,"D","F")))))))</f>
        <v/>
      </c>
      <c r="M602" s="3">
        <f>IF('Data Source'!B602="","",IF('Data Source'!AE602&gt;=5,"A+",IF('Data Source'!AE602&gt;=4,"A",IF('Data Source'!AE602&gt;=3.5,"A-",IF('Data Source'!AE602&gt;=3,"B",IF('Data Source'!AE602&gt;=2,"C",IF('Data Source'!AE602&gt;=1,"D","F")))))))</f>
        <v/>
      </c>
      <c r="N602" s="3">
        <f>IF('Data Source'!B602="","",IF('Data Source'!AF602&gt;=5,"A+",IF('Data Source'!AF602&gt;=4,"A",IF('Data Source'!AF602&gt;=3.5,"A-",IF('Data Source'!AF602&gt;=3,"B",IF('Data Source'!AF602&gt;=2,"C",IF('Data Source'!AF602&gt;=1,"D","F")))))))</f>
        <v/>
      </c>
      <c r="O602" s="3">
        <f>IF('Data Source'!B602="","",IF('Data Source'!AG602&gt;=5,"A+",IF('Data Source'!AG602&gt;=4,"A",IF('Data Source'!AG602&gt;=3.5,"A-",IF('Data Source'!AG602&gt;=3,"B",IF('Data Source'!AG602&gt;=2,"C",IF('Data Source'!AG602&gt;=1,"D","F")))))))</f>
        <v/>
      </c>
      <c r="P602" s="5">
        <f>IF('Data Source'!B602="","",'Data Source'!R602)</f>
        <v/>
      </c>
      <c r="Q602" s="3">
        <f>IF('Data Source'!B602="","",'Data Source'!S602)</f>
        <v/>
      </c>
    </row>
    <row r="603">
      <c r="A603" s="3">
        <f>IF('Data Source'!B603="","",'Data Source'!A603)</f>
        <v/>
      </c>
      <c r="B603">
        <f>IF('Data Source'!B603="","",'Data Source'!B603)</f>
        <v/>
      </c>
      <c r="C603" s="3">
        <f>IF('Data Source'!B603="","",IF('Data Source'!U603&gt;=5,"A+",IF('Data Source'!U603&gt;=4,"A",IF('Data Source'!U603&gt;=3.5,"A-",IF('Data Source'!U603&gt;=3,"B",IF('Data Source'!U603&gt;=2,"C",IF('Data Source'!U603&gt;=1,"D","F")))))))</f>
        <v/>
      </c>
      <c r="D603" s="3">
        <f>IF('Data Source'!B603="","",IF('Data Source'!V603&gt;=5,"A+",IF('Data Source'!V603&gt;=4,"A",IF('Data Source'!V603&gt;=3.5,"A-",IF('Data Source'!V603&gt;=3,"B",IF('Data Source'!V603&gt;=2,"C",IF('Data Source'!V603&gt;=1,"D","F")))))))</f>
        <v/>
      </c>
      <c r="E603" s="3">
        <f>IF('Data Source'!B603="","",IF('Data Source'!W603&gt;=5,"A+",IF('Data Source'!W603&gt;=4,"A",IF('Data Source'!W603&gt;=3.5,"A-",IF('Data Source'!W603&gt;=3,"B",IF('Data Source'!W603&gt;=2,"C",IF('Data Source'!W603&gt;=1,"D","F")))))))</f>
        <v/>
      </c>
      <c r="F603" s="3">
        <f>IF('Data Source'!B603="","",IF('Data Source'!X603&gt;=5,"A+",IF('Data Source'!X603&gt;=4,"A",IF('Data Source'!X603&gt;=3.5,"A-",IF('Data Source'!X603&gt;=3,"B",IF('Data Source'!X603&gt;=2,"C",IF('Data Source'!X603&gt;=1,"D","F")))))))</f>
        <v/>
      </c>
      <c r="G603" s="3">
        <f>IF('Data Source'!B603="","",IF('Data Source'!Y603&gt;=5,"A+",IF('Data Source'!Y603&gt;=4,"A",IF('Data Source'!Y603&gt;=3.5,"A-",IF('Data Source'!Y603&gt;=3,"B",IF('Data Source'!Y603&gt;=2,"C",IF('Data Source'!Y603&gt;=1,"D","F")))))))</f>
        <v/>
      </c>
      <c r="H603" s="3">
        <f>IF('Data Source'!B603="","",IF('Data Source'!Z603&gt;=5,"A+",IF('Data Source'!Z603&gt;=4,"A",IF('Data Source'!Z603&gt;=3.5,"A-",IF('Data Source'!Z603&gt;=3,"B",IF('Data Source'!Z603&gt;=2,"C",IF('Data Source'!Z603&gt;=1,"D","F")))))))</f>
        <v/>
      </c>
      <c r="I603" s="3">
        <f>IF('Data Source'!B603="","",IF('Data Source'!AA603&gt;=5,"A+",IF('Data Source'!AA603&gt;=4,"A",IF('Data Source'!AA603&gt;=3.5,"A-",IF('Data Source'!AA603&gt;=3,"B",IF('Data Source'!AA603&gt;=2,"C",IF('Data Source'!AA603&gt;=1,"D","F")))))))</f>
        <v/>
      </c>
      <c r="J603" s="3">
        <f>IF('Data Source'!B603="","",IF('Data Source'!AB603&gt;=5,"A+",IF('Data Source'!AB603&gt;=4,"A",IF('Data Source'!AB603&gt;=3.5,"A-",IF('Data Source'!AB603&gt;=3,"B",IF('Data Source'!AB603&gt;=2,"C",IF('Data Source'!AB603&gt;=1,"D","F")))))))</f>
        <v/>
      </c>
      <c r="K603" s="3">
        <f>IF('Data Source'!B603="","",IF('Data Source'!AC603&gt;=5,"A+",IF('Data Source'!AC603&gt;=4,"A",IF('Data Source'!AC603&gt;=3.5,"A-",IF('Data Source'!AC603&gt;=3,"B",IF('Data Source'!AC603&gt;=2,"C",IF('Data Source'!AC603&gt;=1,"D","F")))))))</f>
        <v/>
      </c>
      <c r="L603" s="3">
        <f>IF('Data Source'!B603="","",IF('Data Source'!AD603&gt;=5,"A+",IF('Data Source'!AD603&gt;=4,"A",IF('Data Source'!AD603&gt;=3.5,"A-",IF('Data Source'!AD603&gt;=3,"B",IF('Data Source'!AD603&gt;=2,"C",IF('Data Source'!AD603&gt;=1,"D","F")))))))</f>
        <v/>
      </c>
      <c r="M603" s="3">
        <f>IF('Data Source'!B603="","",IF('Data Source'!AE603&gt;=5,"A+",IF('Data Source'!AE603&gt;=4,"A",IF('Data Source'!AE603&gt;=3.5,"A-",IF('Data Source'!AE603&gt;=3,"B",IF('Data Source'!AE603&gt;=2,"C",IF('Data Source'!AE603&gt;=1,"D","F")))))))</f>
        <v/>
      </c>
      <c r="N603" s="3">
        <f>IF('Data Source'!B603="","",IF('Data Source'!AF603&gt;=5,"A+",IF('Data Source'!AF603&gt;=4,"A",IF('Data Source'!AF603&gt;=3.5,"A-",IF('Data Source'!AF603&gt;=3,"B",IF('Data Source'!AF603&gt;=2,"C",IF('Data Source'!AF603&gt;=1,"D","F")))))))</f>
        <v/>
      </c>
      <c r="O603" s="3">
        <f>IF('Data Source'!B603="","",IF('Data Source'!AG603&gt;=5,"A+",IF('Data Source'!AG603&gt;=4,"A",IF('Data Source'!AG603&gt;=3.5,"A-",IF('Data Source'!AG603&gt;=3,"B",IF('Data Source'!AG603&gt;=2,"C",IF('Data Source'!AG603&gt;=1,"D","F")))))))</f>
        <v/>
      </c>
      <c r="P603" s="5">
        <f>IF('Data Source'!B603="","",'Data Source'!R603)</f>
        <v/>
      </c>
      <c r="Q603" s="3">
        <f>IF('Data Source'!B603="","",'Data Source'!S603)</f>
        <v/>
      </c>
    </row>
    <row r="604">
      <c r="A604" s="3">
        <f>IF('Data Source'!B604="","",'Data Source'!A604)</f>
        <v/>
      </c>
      <c r="B604">
        <f>IF('Data Source'!B604="","",'Data Source'!B604)</f>
        <v/>
      </c>
      <c r="C604" s="3">
        <f>IF('Data Source'!B604="","",IF('Data Source'!U604&gt;=5,"A+",IF('Data Source'!U604&gt;=4,"A",IF('Data Source'!U604&gt;=3.5,"A-",IF('Data Source'!U604&gt;=3,"B",IF('Data Source'!U604&gt;=2,"C",IF('Data Source'!U604&gt;=1,"D","F")))))))</f>
        <v/>
      </c>
      <c r="D604" s="3">
        <f>IF('Data Source'!B604="","",IF('Data Source'!V604&gt;=5,"A+",IF('Data Source'!V604&gt;=4,"A",IF('Data Source'!V604&gt;=3.5,"A-",IF('Data Source'!V604&gt;=3,"B",IF('Data Source'!V604&gt;=2,"C",IF('Data Source'!V604&gt;=1,"D","F")))))))</f>
        <v/>
      </c>
      <c r="E604" s="3">
        <f>IF('Data Source'!B604="","",IF('Data Source'!W604&gt;=5,"A+",IF('Data Source'!W604&gt;=4,"A",IF('Data Source'!W604&gt;=3.5,"A-",IF('Data Source'!W604&gt;=3,"B",IF('Data Source'!W604&gt;=2,"C",IF('Data Source'!W604&gt;=1,"D","F")))))))</f>
        <v/>
      </c>
      <c r="F604" s="3">
        <f>IF('Data Source'!B604="","",IF('Data Source'!X604&gt;=5,"A+",IF('Data Source'!X604&gt;=4,"A",IF('Data Source'!X604&gt;=3.5,"A-",IF('Data Source'!X604&gt;=3,"B",IF('Data Source'!X604&gt;=2,"C",IF('Data Source'!X604&gt;=1,"D","F")))))))</f>
        <v/>
      </c>
      <c r="G604" s="3">
        <f>IF('Data Source'!B604="","",IF('Data Source'!Y604&gt;=5,"A+",IF('Data Source'!Y604&gt;=4,"A",IF('Data Source'!Y604&gt;=3.5,"A-",IF('Data Source'!Y604&gt;=3,"B",IF('Data Source'!Y604&gt;=2,"C",IF('Data Source'!Y604&gt;=1,"D","F")))))))</f>
        <v/>
      </c>
      <c r="H604" s="3">
        <f>IF('Data Source'!B604="","",IF('Data Source'!Z604&gt;=5,"A+",IF('Data Source'!Z604&gt;=4,"A",IF('Data Source'!Z604&gt;=3.5,"A-",IF('Data Source'!Z604&gt;=3,"B",IF('Data Source'!Z604&gt;=2,"C",IF('Data Source'!Z604&gt;=1,"D","F")))))))</f>
        <v/>
      </c>
      <c r="I604" s="3">
        <f>IF('Data Source'!B604="","",IF('Data Source'!AA604&gt;=5,"A+",IF('Data Source'!AA604&gt;=4,"A",IF('Data Source'!AA604&gt;=3.5,"A-",IF('Data Source'!AA604&gt;=3,"B",IF('Data Source'!AA604&gt;=2,"C",IF('Data Source'!AA604&gt;=1,"D","F")))))))</f>
        <v/>
      </c>
      <c r="J604" s="3">
        <f>IF('Data Source'!B604="","",IF('Data Source'!AB604&gt;=5,"A+",IF('Data Source'!AB604&gt;=4,"A",IF('Data Source'!AB604&gt;=3.5,"A-",IF('Data Source'!AB604&gt;=3,"B",IF('Data Source'!AB604&gt;=2,"C",IF('Data Source'!AB604&gt;=1,"D","F")))))))</f>
        <v/>
      </c>
      <c r="K604" s="3">
        <f>IF('Data Source'!B604="","",IF('Data Source'!AC604&gt;=5,"A+",IF('Data Source'!AC604&gt;=4,"A",IF('Data Source'!AC604&gt;=3.5,"A-",IF('Data Source'!AC604&gt;=3,"B",IF('Data Source'!AC604&gt;=2,"C",IF('Data Source'!AC604&gt;=1,"D","F")))))))</f>
        <v/>
      </c>
      <c r="L604" s="3">
        <f>IF('Data Source'!B604="","",IF('Data Source'!AD604&gt;=5,"A+",IF('Data Source'!AD604&gt;=4,"A",IF('Data Source'!AD604&gt;=3.5,"A-",IF('Data Source'!AD604&gt;=3,"B",IF('Data Source'!AD604&gt;=2,"C",IF('Data Source'!AD604&gt;=1,"D","F")))))))</f>
        <v/>
      </c>
      <c r="M604" s="3">
        <f>IF('Data Source'!B604="","",IF('Data Source'!AE604&gt;=5,"A+",IF('Data Source'!AE604&gt;=4,"A",IF('Data Source'!AE604&gt;=3.5,"A-",IF('Data Source'!AE604&gt;=3,"B",IF('Data Source'!AE604&gt;=2,"C",IF('Data Source'!AE604&gt;=1,"D","F")))))))</f>
        <v/>
      </c>
      <c r="N604" s="3">
        <f>IF('Data Source'!B604="","",IF('Data Source'!AF604&gt;=5,"A+",IF('Data Source'!AF604&gt;=4,"A",IF('Data Source'!AF604&gt;=3.5,"A-",IF('Data Source'!AF604&gt;=3,"B",IF('Data Source'!AF604&gt;=2,"C",IF('Data Source'!AF604&gt;=1,"D","F")))))))</f>
        <v/>
      </c>
      <c r="O604" s="3">
        <f>IF('Data Source'!B604="","",IF('Data Source'!AG604&gt;=5,"A+",IF('Data Source'!AG604&gt;=4,"A",IF('Data Source'!AG604&gt;=3.5,"A-",IF('Data Source'!AG604&gt;=3,"B",IF('Data Source'!AG604&gt;=2,"C",IF('Data Source'!AG604&gt;=1,"D","F")))))))</f>
        <v/>
      </c>
      <c r="P604" s="5">
        <f>IF('Data Source'!B604="","",'Data Source'!R604)</f>
        <v/>
      </c>
      <c r="Q604" s="3">
        <f>IF('Data Source'!B604="","",'Data Source'!S604)</f>
        <v/>
      </c>
    </row>
    <row r="605">
      <c r="A605" s="3">
        <f>IF('Data Source'!B605="","",'Data Source'!A605)</f>
        <v/>
      </c>
      <c r="B605">
        <f>IF('Data Source'!B605="","",'Data Source'!B605)</f>
        <v/>
      </c>
      <c r="C605" s="3">
        <f>IF('Data Source'!B605="","",IF('Data Source'!U605&gt;=5,"A+",IF('Data Source'!U605&gt;=4,"A",IF('Data Source'!U605&gt;=3.5,"A-",IF('Data Source'!U605&gt;=3,"B",IF('Data Source'!U605&gt;=2,"C",IF('Data Source'!U605&gt;=1,"D","F")))))))</f>
        <v/>
      </c>
      <c r="D605" s="3">
        <f>IF('Data Source'!B605="","",IF('Data Source'!V605&gt;=5,"A+",IF('Data Source'!V605&gt;=4,"A",IF('Data Source'!V605&gt;=3.5,"A-",IF('Data Source'!V605&gt;=3,"B",IF('Data Source'!V605&gt;=2,"C",IF('Data Source'!V605&gt;=1,"D","F")))))))</f>
        <v/>
      </c>
      <c r="E605" s="3">
        <f>IF('Data Source'!B605="","",IF('Data Source'!W605&gt;=5,"A+",IF('Data Source'!W605&gt;=4,"A",IF('Data Source'!W605&gt;=3.5,"A-",IF('Data Source'!W605&gt;=3,"B",IF('Data Source'!W605&gt;=2,"C",IF('Data Source'!W605&gt;=1,"D","F")))))))</f>
        <v/>
      </c>
      <c r="F605" s="3">
        <f>IF('Data Source'!B605="","",IF('Data Source'!X605&gt;=5,"A+",IF('Data Source'!X605&gt;=4,"A",IF('Data Source'!X605&gt;=3.5,"A-",IF('Data Source'!X605&gt;=3,"B",IF('Data Source'!X605&gt;=2,"C",IF('Data Source'!X605&gt;=1,"D","F")))))))</f>
        <v/>
      </c>
      <c r="G605" s="3">
        <f>IF('Data Source'!B605="","",IF('Data Source'!Y605&gt;=5,"A+",IF('Data Source'!Y605&gt;=4,"A",IF('Data Source'!Y605&gt;=3.5,"A-",IF('Data Source'!Y605&gt;=3,"B",IF('Data Source'!Y605&gt;=2,"C",IF('Data Source'!Y605&gt;=1,"D","F")))))))</f>
        <v/>
      </c>
      <c r="H605" s="3">
        <f>IF('Data Source'!B605="","",IF('Data Source'!Z605&gt;=5,"A+",IF('Data Source'!Z605&gt;=4,"A",IF('Data Source'!Z605&gt;=3.5,"A-",IF('Data Source'!Z605&gt;=3,"B",IF('Data Source'!Z605&gt;=2,"C",IF('Data Source'!Z605&gt;=1,"D","F")))))))</f>
        <v/>
      </c>
      <c r="I605" s="3">
        <f>IF('Data Source'!B605="","",IF('Data Source'!AA605&gt;=5,"A+",IF('Data Source'!AA605&gt;=4,"A",IF('Data Source'!AA605&gt;=3.5,"A-",IF('Data Source'!AA605&gt;=3,"B",IF('Data Source'!AA605&gt;=2,"C",IF('Data Source'!AA605&gt;=1,"D","F")))))))</f>
        <v/>
      </c>
      <c r="J605" s="3">
        <f>IF('Data Source'!B605="","",IF('Data Source'!AB605&gt;=5,"A+",IF('Data Source'!AB605&gt;=4,"A",IF('Data Source'!AB605&gt;=3.5,"A-",IF('Data Source'!AB605&gt;=3,"B",IF('Data Source'!AB605&gt;=2,"C",IF('Data Source'!AB605&gt;=1,"D","F")))))))</f>
        <v/>
      </c>
      <c r="K605" s="3">
        <f>IF('Data Source'!B605="","",IF('Data Source'!AC605&gt;=5,"A+",IF('Data Source'!AC605&gt;=4,"A",IF('Data Source'!AC605&gt;=3.5,"A-",IF('Data Source'!AC605&gt;=3,"B",IF('Data Source'!AC605&gt;=2,"C",IF('Data Source'!AC605&gt;=1,"D","F")))))))</f>
        <v/>
      </c>
      <c r="L605" s="3">
        <f>IF('Data Source'!B605="","",IF('Data Source'!AD605&gt;=5,"A+",IF('Data Source'!AD605&gt;=4,"A",IF('Data Source'!AD605&gt;=3.5,"A-",IF('Data Source'!AD605&gt;=3,"B",IF('Data Source'!AD605&gt;=2,"C",IF('Data Source'!AD605&gt;=1,"D","F")))))))</f>
        <v/>
      </c>
      <c r="M605" s="3">
        <f>IF('Data Source'!B605="","",IF('Data Source'!AE605&gt;=5,"A+",IF('Data Source'!AE605&gt;=4,"A",IF('Data Source'!AE605&gt;=3.5,"A-",IF('Data Source'!AE605&gt;=3,"B",IF('Data Source'!AE605&gt;=2,"C",IF('Data Source'!AE605&gt;=1,"D","F")))))))</f>
        <v/>
      </c>
      <c r="N605" s="3">
        <f>IF('Data Source'!B605="","",IF('Data Source'!AF605&gt;=5,"A+",IF('Data Source'!AF605&gt;=4,"A",IF('Data Source'!AF605&gt;=3.5,"A-",IF('Data Source'!AF605&gt;=3,"B",IF('Data Source'!AF605&gt;=2,"C",IF('Data Source'!AF605&gt;=1,"D","F")))))))</f>
        <v/>
      </c>
      <c r="O605" s="3">
        <f>IF('Data Source'!B605="","",IF('Data Source'!AG605&gt;=5,"A+",IF('Data Source'!AG605&gt;=4,"A",IF('Data Source'!AG605&gt;=3.5,"A-",IF('Data Source'!AG605&gt;=3,"B",IF('Data Source'!AG605&gt;=2,"C",IF('Data Source'!AG605&gt;=1,"D","F")))))))</f>
        <v/>
      </c>
      <c r="P605" s="5">
        <f>IF('Data Source'!B605="","",'Data Source'!R605)</f>
        <v/>
      </c>
      <c r="Q605" s="3">
        <f>IF('Data Source'!B605="","",'Data Source'!S605)</f>
        <v/>
      </c>
    </row>
    <row r="606">
      <c r="A606" s="3">
        <f>IF('Data Source'!B606="","",'Data Source'!A606)</f>
        <v/>
      </c>
      <c r="B606">
        <f>IF('Data Source'!B606="","",'Data Source'!B606)</f>
        <v/>
      </c>
      <c r="C606" s="3">
        <f>IF('Data Source'!B606="","",IF('Data Source'!U606&gt;=5,"A+",IF('Data Source'!U606&gt;=4,"A",IF('Data Source'!U606&gt;=3.5,"A-",IF('Data Source'!U606&gt;=3,"B",IF('Data Source'!U606&gt;=2,"C",IF('Data Source'!U606&gt;=1,"D","F")))))))</f>
        <v/>
      </c>
      <c r="D606" s="3">
        <f>IF('Data Source'!B606="","",IF('Data Source'!V606&gt;=5,"A+",IF('Data Source'!V606&gt;=4,"A",IF('Data Source'!V606&gt;=3.5,"A-",IF('Data Source'!V606&gt;=3,"B",IF('Data Source'!V606&gt;=2,"C",IF('Data Source'!V606&gt;=1,"D","F")))))))</f>
        <v/>
      </c>
      <c r="E606" s="3">
        <f>IF('Data Source'!B606="","",IF('Data Source'!W606&gt;=5,"A+",IF('Data Source'!W606&gt;=4,"A",IF('Data Source'!W606&gt;=3.5,"A-",IF('Data Source'!W606&gt;=3,"B",IF('Data Source'!W606&gt;=2,"C",IF('Data Source'!W606&gt;=1,"D","F")))))))</f>
        <v/>
      </c>
      <c r="F606" s="3">
        <f>IF('Data Source'!B606="","",IF('Data Source'!X606&gt;=5,"A+",IF('Data Source'!X606&gt;=4,"A",IF('Data Source'!X606&gt;=3.5,"A-",IF('Data Source'!X606&gt;=3,"B",IF('Data Source'!X606&gt;=2,"C",IF('Data Source'!X606&gt;=1,"D","F")))))))</f>
        <v/>
      </c>
      <c r="G606" s="3">
        <f>IF('Data Source'!B606="","",IF('Data Source'!Y606&gt;=5,"A+",IF('Data Source'!Y606&gt;=4,"A",IF('Data Source'!Y606&gt;=3.5,"A-",IF('Data Source'!Y606&gt;=3,"B",IF('Data Source'!Y606&gt;=2,"C",IF('Data Source'!Y606&gt;=1,"D","F")))))))</f>
        <v/>
      </c>
      <c r="H606" s="3">
        <f>IF('Data Source'!B606="","",IF('Data Source'!Z606&gt;=5,"A+",IF('Data Source'!Z606&gt;=4,"A",IF('Data Source'!Z606&gt;=3.5,"A-",IF('Data Source'!Z606&gt;=3,"B",IF('Data Source'!Z606&gt;=2,"C",IF('Data Source'!Z606&gt;=1,"D","F")))))))</f>
        <v/>
      </c>
      <c r="I606" s="3">
        <f>IF('Data Source'!B606="","",IF('Data Source'!AA606&gt;=5,"A+",IF('Data Source'!AA606&gt;=4,"A",IF('Data Source'!AA606&gt;=3.5,"A-",IF('Data Source'!AA606&gt;=3,"B",IF('Data Source'!AA606&gt;=2,"C",IF('Data Source'!AA606&gt;=1,"D","F")))))))</f>
        <v/>
      </c>
      <c r="J606" s="3">
        <f>IF('Data Source'!B606="","",IF('Data Source'!AB606&gt;=5,"A+",IF('Data Source'!AB606&gt;=4,"A",IF('Data Source'!AB606&gt;=3.5,"A-",IF('Data Source'!AB606&gt;=3,"B",IF('Data Source'!AB606&gt;=2,"C",IF('Data Source'!AB606&gt;=1,"D","F")))))))</f>
        <v/>
      </c>
      <c r="K606" s="3">
        <f>IF('Data Source'!B606="","",IF('Data Source'!AC606&gt;=5,"A+",IF('Data Source'!AC606&gt;=4,"A",IF('Data Source'!AC606&gt;=3.5,"A-",IF('Data Source'!AC606&gt;=3,"B",IF('Data Source'!AC606&gt;=2,"C",IF('Data Source'!AC606&gt;=1,"D","F")))))))</f>
        <v/>
      </c>
      <c r="L606" s="3">
        <f>IF('Data Source'!B606="","",IF('Data Source'!AD606&gt;=5,"A+",IF('Data Source'!AD606&gt;=4,"A",IF('Data Source'!AD606&gt;=3.5,"A-",IF('Data Source'!AD606&gt;=3,"B",IF('Data Source'!AD606&gt;=2,"C",IF('Data Source'!AD606&gt;=1,"D","F")))))))</f>
        <v/>
      </c>
      <c r="M606" s="3">
        <f>IF('Data Source'!B606="","",IF('Data Source'!AE606&gt;=5,"A+",IF('Data Source'!AE606&gt;=4,"A",IF('Data Source'!AE606&gt;=3.5,"A-",IF('Data Source'!AE606&gt;=3,"B",IF('Data Source'!AE606&gt;=2,"C",IF('Data Source'!AE606&gt;=1,"D","F")))))))</f>
        <v/>
      </c>
      <c r="N606" s="3">
        <f>IF('Data Source'!B606="","",IF('Data Source'!AF606&gt;=5,"A+",IF('Data Source'!AF606&gt;=4,"A",IF('Data Source'!AF606&gt;=3.5,"A-",IF('Data Source'!AF606&gt;=3,"B",IF('Data Source'!AF606&gt;=2,"C",IF('Data Source'!AF606&gt;=1,"D","F")))))))</f>
        <v/>
      </c>
      <c r="O606" s="3">
        <f>IF('Data Source'!B606="","",IF('Data Source'!AG606&gt;=5,"A+",IF('Data Source'!AG606&gt;=4,"A",IF('Data Source'!AG606&gt;=3.5,"A-",IF('Data Source'!AG606&gt;=3,"B",IF('Data Source'!AG606&gt;=2,"C",IF('Data Source'!AG606&gt;=1,"D","F")))))))</f>
        <v/>
      </c>
      <c r="P606" s="5">
        <f>IF('Data Source'!B606="","",'Data Source'!R606)</f>
        <v/>
      </c>
      <c r="Q606" s="3">
        <f>IF('Data Source'!B606="","",'Data Source'!S606)</f>
        <v/>
      </c>
    </row>
    <row r="607">
      <c r="A607" s="3">
        <f>IF('Data Source'!B607="","",'Data Source'!A607)</f>
        <v/>
      </c>
      <c r="B607">
        <f>IF('Data Source'!B607="","",'Data Source'!B607)</f>
        <v/>
      </c>
      <c r="C607" s="3">
        <f>IF('Data Source'!B607="","",IF('Data Source'!U607&gt;=5,"A+",IF('Data Source'!U607&gt;=4,"A",IF('Data Source'!U607&gt;=3.5,"A-",IF('Data Source'!U607&gt;=3,"B",IF('Data Source'!U607&gt;=2,"C",IF('Data Source'!U607&gt;=1,"D","F")))))))</f>
        <v/>
      </c>
      <c r="D607" s="3">
        <f>IF('Data Source'!B607="","",IF('Data Source'!V607&gt;=5,"A+",IF('Data Source'!V607&gt;=4,"A",IF('Data Source'!V607&gt;=3.5,"A-",IF('Data Source'!V607&gt;=3,"B",IF('Data Source'!V607&gt;=2,"C",IF('Data Source'!V607&gt;=1,"D","F")))))))</f>
        <v/>
      </c>
      <c r="E607" s="3">
        <f>IF('Data Source'!B607="","",IF('Data Source'!W607&gt;=5,"A+",IF('Data Source'!W607&gt;=4,"A",IF('Data Source'!W607&gt;=3.5,"A-",IF('Data Source'!W607&gt;=3,"B",IF('Data Source'!W607&gt;=2,"C",IF('Data Source'!W607&gt;=1,"D","F")))))))</f>
        <v/>
      </c>
      <c r="F607" s="3">
        <f>IF('Data Source'!B607="","",IF('Data Source'!X607&gt;=5,"A+",IF('Data Source'!X607&gt;=4,"A",IF('Data Source'!X607&gt;=3.5,"A-",IF('Data Source'!X607&gt;=3,"B",IF('Data Source'!X607&gt;=2,"C",IF('Data Source'!X607&gt;=1,"D","F")))))))</f>
        <v/>
      </c>
      <c r="G607" s="3">
        <f>IF('Data Source'!B607="","",IF('Data Source'!Y607&gt;=5,"A+",IF('Data Source'!Y607&gt;=4,"A",IF('Data Source'!Y607&gt;=3.5,"A-",IF('Data Source'!Y607&gt;=3,"B",IF('Data Source'!Y607&gt;=2,"C",IF('Data Source'!Y607&gt;=1,"D","F")))))))</f>
        <v/>
      </c>
      <c r="H607" s="3">
        <f>IF('Data Source'!B607="","",IF('Data Source'!Z607&gt;=5,"A+",IF('Data Source'!Z607&gt;=4,"A",IF('Data Source'!Z607&gt;=3.5,"A-",IF('Data Source'!Z607&gt;=3,"B",IF('Data Source'!Z607&gt;=2,"C",IF('Data Source'!Z607&gt;=1,"D","F")))))))</f>
        <v/>
      </c>
      <c r="I607" s="3">
        <f>IF('Data Source'!B607="","",IF('Data Source'!AA607&gt;=5,"A+",IF('Data Source'!AA607&gt;=4,"A",IF('Data Source'!AA607&gt;=3.5,"A-",IF('Data Source'!AA607&gt;=3,"B",IF('Data Source'!AA607&gt;=2,"C",IF('Data Source'!AA607&gt;=1,"D","F")))))))</f>
        <v/>
      </c>
      <c r="J607" s="3">
        <f>IF('Data Source'!B607="","",IF('Data Source'!AB607&gt;=5,"A+",IF('Data Source'!AB607&gt;=4,"A",IF('Data Source'!AB607&gt;=3.5,"A-",IF('Data Source'!AB607&gt;=3,"B",IF('Data Source'!AB607&gt;=2,"C",IF('Data Source'!AB607&gt;=1,"D","F")))))))</f>
        <v/>
      </c>
      <c r="K607" s="3">
        <f>IF('Data Source'!B607="","",IF('Data Source'!AC607&gt;=5,"A+",IF('Data Source'!AC607&gt;=4,"A",IF('Data Source'!AC607&gt;=3.5,"A-",IF('Data Source'!AC607&gt;=3,"B",IF('Data Source'!AC607&gt;=2,"C",IF('Data Source'!AC607&gt;=1,"D","F")))))))</f>
        <v/>
      </c>
      <c r="L607" s="3">
        <f>IF('Data Source'!B607="","",IF('Data Source'!AD607&gt;=5,"A+",IF('Data Source'!AD607&gt;=4,"A",IF('Data Source'!AD607&gt;=3.5,"A-",IF('Data Source'!AD607&gt;=3,"B",IF('Data Source'!AD607&gt;=2,"C",IF('Data Source'!AD607&gt;=1,"D","F")))))))</f>
        <v/>
      </c>
      <c r="M607" s="3">
        <f>IF('Data Source'!B607="","",IF('Data Source'!AE607&gt;=5,"A+",IF('Data Source'!AE607&gt;=4,"A",IF('Data Source'!AE607&gt;=3.5,"A-",IF('Data Source'!AE607&gt;=3,"B",IF('Data Source'!AE607&gt;=2,"C",IF('Data Source'!AE607&gt;=1,"D","F")))))))</f>
        <v/>
      </c>
      <c r="N607" s="3">
        <f>IF('Data Source'!B607="","",IF('Data Source'!AF607&gt;=5,"A+",IF('Data Source'!AF607&gt;=4,"A",IF('Data Source'!AF607&gt;=3.5,"A-",IF('Data Source'!AF607&gt;=3,"B",IF('Data Source'!AF607&gt;=2,"C",IF('Data Source'!AF607&gt;=1,"D","F")))))))</f>
        <v/>
      </c>
      <c r="O607" s="3">
        <f>IF('Data Source'!B607="","",IF('Data Source'!AG607&gt;=5,"A+",IF('Data Source'!AG607&gt;=4,"A",IF('Data Source'!AG607&gt;=3.5,"A-",IF('Data Source'!AG607&gt;=3,"B",IF('Data Source'!AG607&gt;=2,"C",IF('Data Source'!AG607&gt;=1,"D","F")))))))</f>
        <v/>
      </c>
      <c r="P607" s="5">
        <f>IF('Data Source'!B607="","",'Data Source'!R607)</f>
        <v/>
      </c>
      <c r="Q607" s="3">
        <f>IF('Data Source'!B607="","",'Data Source'!S607)</f>
        <v/>
      </c>
    </row>
    <row r="608">
      <c r="A608" s="3">
        <f>IF('Data Source'!B608="","",'Data Source'!A608)</f>
        <v/>
      </c>
      <c r="B608">
        <f>IF('Data Source'!B608="","",'Data Source'!B608)</f>
        <v/>
      </c>
      <c r="C608" s="3">
        <f>IF('Data Source'!B608="","",IF('Data Source'!U608&gt;=5,"A+",IF('Data Source'!U608&gt;=4,"A",IF('Data Source'!U608&gt;=3.5,"A-",IF('Data Source'!U608&gt;=3,"B",IF('Data Source'!U608&gt;=2,"C",IF('Data Source'!U608&gt;=1,"D","F")))))))</f>
        <v/>
      </c>
      <c r="D608" s="3">
        <f>IF('Data Source'!B608="","",IF('Data Source'!V608&gt;=5,"A+",IF('Data Source'!V608&gt;=4,"A",IF('Data Source'!V608&gt;=3.5,"A-",IF('Data Source'!V608&gt;=3,"B",IF('Data Source'!V608&gt;=2,"C",IF('Data Source'!V608&gt;=1,"D","F")))))))</f>
        <v/>
      </c>
      <c r="E608" s="3">
        <f>IF('Data Source'!B608="","",IF('Data Source'!W608&gt;=5,"A+",IF('Data Source'!W608&gt;=4,"A",IF('Data Source'!W608&gt;=3.5,"A-",IF('Data Source'!W608&gt;=3,"B",IF('Data Source'!W608&gt;=2,"C",IF('Data Source'!W608&gt;=1,"D","F")))))))</f>
        <v/>
      </c>
      <c r="F608" s="3">
        <f>IF('Data Source'!B608="","",IF('Data Source'!X608&gt;=5,"A+",IF('Data Source'!X608&gt;=4,"A",IF('Data Source'!X608&gt;=3.5,"A-",IF('Data Source'!X608&gt;=3,"B",IF('Data Source'!X608&gt;=2,"C",IF('Data Source'!X608&gt;=1,"D","F")))))))</f>
        <v/>
      </c>
      <c r="G608" s="3">
        <f>IF('Data Source'!B608="","",IF('Data Source'!Y608&gt;=5,"A+",IF('Data Source'!Y608&gt;=4,"A",IF('Data Source'!Y608&gt;=3.5,"A-",IF('Data Source'!Y608&gt;=3,"B",IF('Data Source'!Y608&gt;=2,"C",IF('Data Source'!Y608&gt;=1,"D","F")))))))</f>
        <v/>
      </c>
      <c r="H608" s="3">
        <f>IF('Data Source'!B608="","",IF('Data Source'!Z608&gt;=5,"A+",IF('Data Source'!Z608&gt;=4,"A",IF('Data Source'!Z608&gt;=3.5,"A-",IF('Data Source'!Z608&gt;=3,"B",IF('Data Source'!Z608&gt;=2,"C",IF('Data Source'!Z608&gt;=1,"D","F")))))))</f>
        <v/>
      </c>
      <c r="I608" s="3">
        <f>IF('Data Source'!B608="","",IF('Data Source'!AA608&gt;=5,"A+",IF('Data Source'!AA608&gt;=4,"A",IF('Data Source'!AA608&gt;=3.5,"A-",IF('Data Source'!AA608&gt;=3,"B",IF('Data Source'!AA608&gt;=2,"C",IF('Data Source'!AA608&gt;=1,"D","F")))))))</f>
        <v/>
      </c>
      <c r="J608" s="3">
        <f>IF('Data Source'!B608="","",IF('Data Source'!AB608&gt;=5,"A+",IF('Data Source'!AB608&gt;=4,"A",IF('Data Source'!AB608&gt;=3.5,"A-",IF('Data Source'!AB608&gt;=3,"B",IF('Data Source'!AB608&gt;=2,"C",IF('Data Source'!AB608&gt;=1,"D","F")))))))</f>
        <v/>
      </c>
      <c r="K608" s="3">
        <f>IF('Data Source'!B608="","",IF('Data Source'!AC608&gt;=5,"A+",IF('Data Source'!AC608&gt;=4,"A",IF('Data Source'!AC608&gt;=3.5,"A-",IF('Data Source'!AC608&gt;=3,"B",IF('Data Source'!AC608&gt;=2,"C",IF('Data Source'!AC608&gt;=1,"D","F")))))))</f>
        <v/>
      </c>
      <c r="L608" s="3">
        <f>IF('Data Source'!B608="","",IF('Data Source'!AD608&gt;=5,"A+",IF('Data Source'!AD608&gt;=4,"A",IF('Data Source'!AD608&gt;=3.5,"A-",IF('Data Source'!AD608&gt;=3,"B",IF('Data Source'!AD608&gt;=2,"C",IF('Data Source'!AD608&gt;=1,"D","F")))))))</f>
        <v/>
      </c>
      <c r="M608" s="3">
        <f>IF('Data Source'!B608="","",IF('Data Source'!AE608&gt;=5,"A+",IF('Data Source'!AE608&gt;=4,"A",IF('Data Source'!AE608&gt;=3.5,"A-",IF('Data Source'!AE608&gt;=3,"B",IF('Data Source'!AE608&gt;=2,"C",IF('Data Source'!AE608&gt;=1,"D","F")))))))</f>
        <v/>
      </c>
      <c r="N608" s="3">
        <f>IF('Data Source'!B608="","",IF('Data Source'!AF608&gt;=5,"A+",IF('Data Source'!AF608&gt;=4,"A",IF('Data Source'!AF608&gt;=3.5,"A-",IF('Data Source'!AF608&gt;=3,"B",IF('Data Source'!AF608&gt;=2,"C",IF('Data Source'!AF608&gt;=1,"D","F")))))))</f>
        <v/>
      </c>
      <c r="O608" s="3">
        <f>IF('Data Source'!B608="","",IF('Data Source'!AG608&gt;=5,"A+",IF('Data Source'!AG608&gt;=4,"A",IF('Data Source'!AG608&gt;=3.5,"A-",IF('Data Source'!AG608&gt;=3,"B",IF('Data Source'!AG608&gt;=2,"C",IF('Data Source'!AG608&gt;=1,"D","F")))))))</f>
        <v/>
      </c>
      <c r="P608" s="5">
        <f>IF('Data Source'!B608="","",'Data Source'!R608)</f>
        <v/>
      </c>
      <c r="Q608" s="3">
        <f>IF('Data Source'!B608="","",'Data Source'!S608)</f>
        <v/>
      </c>
    </row>
    <row r="609">
      <c r="A609" s="3">
        <f>IF('Data Source'!B609="","",'Data Source'!A609)</f>
        <v/>
      </c>
      <c r="B609">
        <f>IF('Data Source'!B609="","",'Data Source'!B609)</f>
        <v/>
      </c>
      <c r="C609" s="3">
        <f>IF('Data Source'!B609="","",IF('Data Source'!U609&gt;=5,"A+",IF('Data Source'!U609&gt;=4,"A",IF('Data Source'!U609&gt;=3.5,"A-",IF('Data Source'!U609&gt;=3,"B",IF('Data Source'!U609&gt;=2,"C",IF('Data Source'!U609&gt;=1,"D","F")))))))</f>
        <v/>
      </c>
      <c r="D609" s="3">
        <f>IF('Data Source'!B609="","",IF('Data Source'!V609&gt;=5,"A+",IF('Data Source'!V609&gt;=4,"A",IF('Data Source'!V609&gt;=3.5,"A-",IF('Data Source'!V609&gt;=3,"B",IF('Data Source'!V609&gt;=2,"C",IF('Data Source'!V609&gt;=1,"D","F")))))))</f>
        <v/>
      </c>
      <c r="E609" s="3">
        <f>IF('Data Source'!B609="","",IF('Data Source'!W609&gt;=5,"A+",IF('Data Source'!W609&gt;=4,"A",IF('Data Source'!W609&gt;=3.5,"A-",IF('Data Source'!W609&gt;=3,"B",IF('Data Source'!W609&gt;=2,"C",IF('Data Source'!W609&gt;=1,"D","F")))))))</f>
        <v/>
      </c>
      <c r="F609" s="3">
        <f>IF('Data Source'!B609="","",IF('Data Source'!X609&gt;=5,"A+",IF('Data Source'!X609&gt;=4,"A",IF('Data Source'!X609&gt;=3.5,"A-",IF('Data Source'!X609&gt;=3,"B",IF('Data Source'!X609&gt;=2,"C",IF('Data Source'!X609&gt;=1,"D","F")))))))</f>
        <v/>
      </c>
      <c r="G609" s="3">
        <f>IF('Data Source'!B609="","",IF('Data Source'!Y609&gt;=5,"A+",IF('Data Source'!Y609&gt;=4,"A",IF('Data Source'!Y609&gt;=3.5,"A-",IF('Data Source'!Y609&gt;=3,"B",IF('Data Source'!Y609&gt;=2,"C",IF('Data Source'!Y609&gt;=1,"D","F")))))))</f>
        <v/>
      </c>
      <c r="H609" s="3">
        <f>IF('Data Source'!B609="","",IF('Data Source'!Z609&gt;=5,"A+",IF('Data Source'!Z609&gt;=4,"A",IF('Data Source'!Z609&gt;=3.5,"A-",IF('Data Source'!Z609&gt;=3,"B",IF('Data Source'!Z609&gt;=2,"C",IF('Data Source'!Z609&gt;=1,"D","F")))))))</f>
        <v/>
      </c>
      <c r="I609" s="3">
        <f>IF('Data Source'!B609="","",IF('Data Source'!AA609&gt;=5,"A+",IF('Data Source'!AA609&gt;=4,"A",IF('Data Source'!AA609&gt;=3.5,"A-",IF('Data Source'!AA609&gt;=3,"B",IF('Data Source'!AA609&gt;=2,"C",IF('Data Source'!AA609&gt;=1,"D","F")))))))</f>
        <v/>
      </c>
      <c r="J609" s="3">
        <f>IF('Data Source'!B609="","",IF('Data Source'!AB609&gt;=5,"A+",IF('Data Source'!AB609&gt;=4,"A",IF('Data Source'!AB609&gt;=3.5,"A-",IF('Data Source'!AB609&gt;=3,"B",IF('Data Source'!AB609&gt;=2,"C",IF('Data Source'!AB609&gt;=1,"D","F")))))))</f>
        <v/>
      </c>
      <c r="K609" s="3">
        <f>IF('Data Source'!B609="","",IF('Data Source'!AC609&gt;=5,"A+",IF('Data Source'!AC609&gt;=4,"A",IF('Data Source'!AC609&gt;=3.5,"A-",IF('Data Source'!AC609&gt;=3,"B",IF('Data Source'!AC609&gt;=2,"C",IF('Data Source'!AC609&gt;=1,"D","F")))))))</f>
        <v/>
      </c>
      <c r="L609" s="3">
        <f>IF('Data Source'!B609="","",IF('Data Source'!AD609&gt;=5,"A+",IF('Data Source'!AD609&gt;=4,"A",IF('Data Source'!AD609&gt;=3.5,"A-",IF('Data Source'!AD609&gt;=3,"B",IF('Data Source'!AD609&gt;=2,"C",IF('Data Source'!AD609&gt;=1,"D","F")))))))</f>
        <v/>
      </c>
      <c r="M609" s="3">
        <f>IF('Data Source'!B609="","",IF('Data Source'!AE609&gt;=5,"A+",IF('Data Source'!AE609&gt;=4,"A",IF('Data Source'!AE609&gt;=3.5,"A-",IF('Data Source'!AE609&gt;=3,"B",IF('Data Source'!AE609&gt;=2,"C",IF('Data Source'!AE609&gt;=1,"D","F")))))))</f>
        <v/>
      </c>
      <c r="N609" s="3">
        <f>IF('Data Source'!B609="","",IF('Data Source'!AF609&gt;=5,"A+",IF('Data Source'!AF609&gt;=4,"A",IF('Data Source'!AF609&gt;=3.5,"A-",IF('Data Source'!AF609&gt;=3,"B",IF('Data Source'!AF609&gt;=2,"C",IF('Data Source'!AF609&gt;=1,"D","F")))))))</f>
        <v/>
      </c>
      <c r="O609" s="3">
        <f>IF('Data Source'!B609="","",IF('Data Source'!AG609&gt;=5,"A+",IF('Data Source'!AG609&gt;=4,"A",IF('Data Source'!AG609&gt;=3.5,"A-",IF('Data Source'!AG609&gt;=3,"B",IF('Data Source'!AG609&gt;=2,"C",IF('Data Source'!AG609&gt;=1,"D","F")))))))</f>
        <v/>
      </c>
      <c r="P609" s="5">
        <f>IF('Data Source'!B609="","",'Data Source'!R609)</f>
        <v/>
      </c>
      <c r="Q609" s="3">
        <f>IF('Data Source'!B609="","",'Data Source'!S609)</f>
        <v/>
      </c>
    </row>
    <row r="610">
      <c r="A610" s="3">
        <f>IF('Data Source'!B610="","",'Data Source'!A610)</f>
        <v/>
      </c>
      <c r="B610">
        <f>IF('Data Source'!B610="","",'Data Source'!B610)</f>
        <v/>
      </c>
      <c r="C610" s="3">
        <f>IF('Data Source'!B610="","",IF('Data Source'!U610&gt;=5,"A+",IF('Data Source'!U610&gt;=4,"A",IF('Data Source'!U610&gt;=3.5,"A-",IF('Data Source'!U610&gt;=3,"B",IF('Data Source'!U610&gt;=2,"C",IF('Data Source'!U610&gt;=1,"D","F")))))))</f>
        <v/>
      </c>
      <c r="D610" s="3">
        <f>IF('Data Source'!B610="","",IF('Data Source'!V610&gt;=5,"A+",IF('Data Source'!V610&gt;=4,"A",IF('Data Source'!V610&gt;=3.5,"A-",IF('Data Source'!V610&gt;=3,"B",IF('Data Source'!V610&gt;=2,"C",IF('Data Source'!V610&gt;=1,"D","F")))))))</f>
        <v/>
      </c>
      <c r="E610" s="3">
        <f>IF('Data Source'!B610="","",IF('Data Source'!W610&gt;=5,"A+",IF('Data Source'!W610&gt;=4,"A",IF('Data Source'!W610&gt;=3.5,"A-",IF('Data Source'!W610&gt;=3,"B",IF('Data Source'!W610&gt;=2,"C",IF('Data Source'!W610&gt;=1,"D","F")))))))</f>
        <v/>
      </c>
      <c r="F610" s="3">
        <f>IF('Data Source'!B610="","",IF('Data Source'!X610&gt;=5,"A+",IF('Data Source'!X610&gt;=4,"A",IF('Data Source'!X610&gt;=3.5,"A-",IF('Data Source'!X610&gt;=3,"B",IF('Data Source'!X610&gt;=2,"C",IF('Data Source'!X610&gt;=1,"D","F")))))))</f>
        <v/>
      </c>
      <c r="G610" s="3">
        <f>IF('Data Source'!B610="","",IF('Data Source'!Y610&gt;=5,"A+",IF('Data Source'!Y610&gt;=4,"A",IF('Data Source'!Y610&gt;=3.5,"A-",IF('Data Source'!Y610&gt;=3,"B",IF('Data Source'!Y610&gt;=2,"C",IF('Data Source'!Y610&gt;=1,"D","F")))))))</f>
        <v/>
      </c>
      <c r="H610" s="3">
        <f>IF('Data Source'!B610="","",IF('Data Source'!Z610&gt;=5,"A+",IF('Data Source'!Z610&gt;=4,"A",IF('Data Source'!Z610&gt;=3.5,"A-",IF('Data Source'!Z610&gt;=3,"B",IF('Data Source'!Z610&gt;=2,"C",IF('Data Source'!Z610&gt;=1,"D","F")))))))</f>
        <v/>
      </c>
      <c r="I610" s="3">
        <f>IF('Data Source'!B610="","",IF('Data Source'!AA610&gt;=5,"A+",IF('Data Source'!AA610&gt;=4,"A",IF('Data Source'!AA610&gt;=3.5,"A-",IF('Data Source'!AA610&gt;=3,"B",IF('Data Source'!AA610&gt;=2,"C",IF('Data Source'!AA610&gt;=1,"D","F")))))))</f>
        <v/>
      </c>
      <c r="J610" s="3">
        <f>IF('Data Source'!B610="","",IF('Data Source'!AB610&gt;=5,"A+",IF('Data Source'!AB610&gt;=4,"A",IF('Data Source'!AB610&gt;=3.5,"A-",IF('Data Source'!AB610&gt;=3,"B",IF('Data Source'!AB610&gt;=2,"C",IF('Data Source'!AB610&gt;=1,"D","F")))))))</f>
        <v/>
      </c>
      <c r="K610" s="3">
        <f>IF('Data Source'!B610="","",IF('Data Source'!AC610&gt;=5,"A+",IF('Data Source'!AC610&gt;=4,"A",IF('Data Source'!AC610&gt;=3.5,"A-",IF('Data Source'!AC610&gt;=3,"B",IF('Data Source'!AC610&gt;=2,"C",IF('Data Source'!AC610&gt;=1,"D","F")))))))</f>
        <v/>
      </c>
      <c r="L610" s="3">
        <f>IF('Data Source'!B610="","",IF('Data Source'!AD610&gt;=5,"A+",IF('Data Source'!AD610&gt;=4,"A",IF('Data Source'!AD610&gt;=3.5,"A-",IF('Data Source'!AD610&gt;=3,"B",IF('Data Source'!AD610&gt;=2,"C",IF('Data Source'!AD610&gt;=1,"D","F")))))))</f>
        <v/>
      </c>
      <c r="M610" s="3">
        <f>IF('Data Source'!B610="","",IF('Data Source'!AE610&gt;=5,"A+",IF('Data Source'!AE610&gt;=4,"A",IF('Data Source'!AE610&gt;=3.5,"A-",IF('Data Source'!AE610&gt;=3,"B",IF('Data Source'!AE610&gt;=2,"C",IF('Data Source'!AE610&gt;=1,"D","F")))))))</f>
        <v/>
      </c>
      <c r="N610" s="3">
        <f>IF('Data Source'!B610="","",IF('Data Source'!AF610&gt;=5,"A+",IF('Data Source'!AF610&gt;=4,"A",IF('Data Source'!AF610&gt;=3.5,"A-",IF('Data Source'!AF610&gt;=3,"B",IF('Data Source'!AF610&gt;=2,"C",IF('Data Source'!AF610&gt;=1,"D","F")))))))</f>
        <v/>
      </c>
      <c r="O610" s="3">
        <f>IF('Data Source'!B610="","",IF('Data Source'!AG610&gt;=5,"A+",IF('Data Source'!AG610&gt;=4,"A",IF('Data Source'!AG610&gt;=3.5,"A-",IF('Data Source'!AG610&gt;=3,"B",IF('Data Source'!AG610&gt;=2,"C",IF('Data Source'!AG610&gt;=1,"D","F")))))))</f>
        <v/>
      </c>
      <c r="P610" s="5">
        <f>IF('Data Source'!B610="","",'Data Source'!R610)</f>
        <v/>
      </c>
      <c r="Q610" s="3">
        <f>IF('Data Source'!B610="","",'Data Source'!S610)</f>
        <v/>
      </c>
    </row>
    <row r="611">
      <c r="A611" s="3">
        <f>IF('Data Source'!B611="","",'Data Source'!A611)</f>
        <v/>
      </c>
      <c r="B611">
        <f>IF('Data Source'!B611="","",'Data Source'!B611)</f>
        <v/>
      </c>
      <c r="C611" s="3">
        <f>IF('Data Source'!B611="","",IF('Data Source'!U611&gt;=5,"A+",IF('Data Source'!U611&gt;=4,"A",IF('Data Source'!U611&gt;=3.5,"A-",IF('Data Source'!U611&gt;=3,"B",IF('Data Source'!U611&gt;=2,"C",IF('Data Source'!U611&gt;=1,"D","F")))))))</f>
        <v/>
      </c>
      <c r="D611" s="3">
        <f>IF('Data Source'!B611="","",IF('Data Source'!V611&gt;=5,"A+",IF('Data Source'!V611&gt;=4,"A",IF('Data Source'!V611&gt;=3.5,"A-",IF('Data Source'!V611&gt;=3,"B",IF('Data Source'!V611&gt;=2,"C",IF('Data Source'!V611&gt;=1,"D","F")))))))</f>
        <v/>
      </c>
      <c r="E611" s="3">
        <f>IF('Data Source'!B611="","",IF('Data Source'!W611&gt;=5,"A+",IF('Data Source'!W611&gt;=4,"A",IF('Data Source'!W611&gt;=3.5,"A-",IF('Data Source'!W611&gt;=3,"B",IF('Data Source'!W611&gt;=2,"C",IF('Data Source'!W611&gt;=1,"D","F")))))))</f>
        <v/>
      </c>
      <c r="F611" s="3">
        <f>IF('Data Source'!B611="","",IF('Data Source'!X611&gt;=5,"A+",IF('Data Source'!X611&gt;=4,"A",IF('Data Source'!X611&gt;=3.5,"A-",IF('Data Source'!X611&gt;=3,"B",IF('Data Source'!X611&gt;=2,"C",IF('Data Source'!X611&gt;=1,"D","F")))))))</f>
        <v/>
      </c>
      <c r="G611" s="3">
        <f>IF('Data Source'!B611="","",IF('Data Source'!Y611&gt;=5,"A+",IF('Data Source'!Y611&gt;=4,"A",IF('Data Source'!Y611&gt;=3.5,"A-",IF('Data Source'!Y611&gt;=3,"B",IF('Data Source'!Y611&gt;=2,"C",IF('Data Source'!Y611&gt;=1,"D","F")))))))</f>
        <v/>
      </c>
      <c r="H611" s="3">
        <f>IF('Data Source'!B611="","",IF('Data Source'!Z611&gt;=5,"A+",IF('Data Source'!Z611&gt;=4,"A",IF('Data Source'!Z611&gt;=3.5,"A-",IF('Data Source'!Z611&gt;=3,"B",IF('Data Source'!Z611&gt;=2,"C",IF('Data Source'!Z611&gt;=1,"D","F")))))))</f>
        <v/>
      </c>
      <c r="I611" s="3">
        <f>IF('Data Source'!B611="","",IF('Data Source'!AA611&gt;=5,"A+",IF('Data Source'!AA611&gt;=4,"A",IF('Data Source'!AA611&gt;=3.5,"A-",IF('Data Source'!AA611&gt;=3,"B",IF('Data Source'!AA611&gt;=2,"C",IF('Data Source'!AA611&gt;=1,"D","F")))))))</f>
        <v/>
      </c>
      <c r="J611" s="3">
        <f>IF('Data Source'!B611="","",IF('Data Source'!AB611&gt;=5,"A+",IF('Data Source'!AB611&gt;=4,"A",IF('Data Source'!AB611&gt;=3.5,"A-",IF('Data Source'!AB611&gt;=3,"B",IF('Data Source'!AB611&gt;=2,"C",IF('Data Source'!AB611&gt;=1,"D","F")))))))</f>
        <v/>
      </c>
      <c r="K611" s="3">
        <f>IF('Data Source'!B611="","",IF('Data Source'!AC611&gt;=5,"A+",IF('Data Source'!AC611&gt;=4,"A",IF('Data Source'!AC611&gt;=3.5,"A-",IF('Data Source'!AC611&gt;=3,"B",IF('Data Source'!AC611&gt;=2,"C",IF('Data Source'!AC611&gt;=1,"D","F")))))))</f>
        <v/>
      </c>
      <c r="L611" s="3">
        <f>IF('Data Source'!B611="","",IF('Data Source'!AD611&gt;=5,"A+",IF('Data Source'!AD611&gt;=4,"A",IF('Data Source'!AD611&gt;=3.5,"A-",IF('Data Source'!AD611&gt;=3,"B",IF('Data Source'!AD611&gt;=2,"C",IF('Data Source'!AD611&gt;=1,"D","F")))))))</f>
        <v/>
      </c>
      <c r="M611" s="3">
        <f>IF('Data Source'!B611="","",IF('Data Source'!AE611&gt;=5,"A+",IF('Data Source'!AE611&gt;=4,"A",IF('Data Source'!AE611&gt;=3.5,"A-",IF('Data Source'!AE611&gt;=3,"B",IF('Data Source'!AE611&gt;=2,"C",IF('Data Source'!AE611&gt;=1,"D","F")))))))</f>
        <v/>
      </c>
      <c r="N611" s="3">
        <f>IF('Data Source'!B611="","",IF('Data Source'!AF611&gt;=5,"A+",IF('Data Source'!AF611&gt;=4,"A",IF('Data Source'!AF611&gt;=3.5,"A-",IF('Data Source'!AF611&gt;=3,"B",IF('Data Source'!AF611&gt;=2,"C",IF('Data Source'!AF611&gt;=1,"D","F")))))))</f>
        <v/>
      </c>
      <c r="O611" s="3">
        <f>IF('Data Source'!B611="","",IF('Data Source'!AG611&gt;=5,"A+",IF('Data Source'!AG611&gt;=4,"A",IF('Data Source'!AG611&gt;=3.5,"A-",IF('Data Source'!AG611&gt;=3,"B",IF('Data Source'!AG611&gt;=2,"C",IF('Data Source'!AG611&gt;=1,"D","F")))))))</f>
        <v/>
      </c>
      <c r="P611" s="5">
        <f>IF('Data Source'!B611="","",'Data Source'!R611)</f>
        <v/>
      </c>
      <c r="Q611" s="3">
        <f>IF('Data Source'!B611="","",'Data Source'!S611)</f>
        <v/>
      </c>
    </row>
    <row r="612">
      <c r="A612" s="3">
        <f>IF('Data Source'!B612="","",'Data Source'!A612)</f>
        <v/>
      </c>
      <c r="B612">
        <f>IF('Data Source'!B612="","",'Data Source'!B612)</f>
        <v/>
      </c>
      <c r="C612" s="3">
        <f>IF('Data Source'!B612="","",IF('Data Source'!U612&gt;=5,"A+",IF('Data Source'!U612&gt;=4,"A",IF('Data Source'!U612&gt;=3.5,"A-",IF('Data Source'!U612&gt;=3,"B",IF('Data Source'!U612&gt;=2,"C",IF('Data Source'!U612&gt;=1,"D","F")))))))</f>
        <v/>
      </c>
      <c r="D612" s="3">
        <f>IF('Data Source'!B612="","",IF('Data Source'!V612&gt;=5,"A+",IF('Data Source'!V612&gt;=4,"A",IF('Data Source'!V612&gt;=3.5,"A-",IF('Data Source'!V612&gt;=3,"B",IF('Data Source'!V612&gt;=2,"C",IF('Data Source'!V612&gt;=1,"D","F")))))))</f>
        <v/>
      </c>
      <c r="E612" s="3">
        <f>IF('Data Source'!B612="","",IF('Data Source'!W612&gt;=5,"A+",IF('Data Source'!W612&gt;=4,"A",IF('Data Source'!W612&gt;=3.5,"A-",IF('Data Source'!W612&gt;=3,"B",IF('Data Source'!W612&gt;=2,"C",IF('Data Source'!W612&gt;=1,"D","F")))))))</f>
        <v/>
      </c>
      <c r="F612" s="3">
        <f>IF('Data Source'!B612="","",IF('Data Source'!X612&gt;=5,"A+",IF('Data Source'!X612&gt;=4,"A",IF('Data Source'!X612&gt;=3.5,"A-",IF('Data Source'!X612&gt;=3,"B",IF('Data Source'!X612&gt;=2,"C",IF('Data Source'!X612&gt;=1,"D","F")))))))</f>
        <v/>
      </c>
      <c r="G612" s="3">
        <f>IF('Data Source'!B612="","",IF('Data Source'!Y612&gt;=5,"A+",IF('Data Source'!Y612&gt;=4,"A",IF('Data Source'!Y612&gt;=3.5,"A-",IF('Data Source'!Y612&gt;=3,"B",IF('Data Source'!Y612&gt;=2,"C",IF('Data Source'!Y612&gt;=1,"D","F")))))))</f>
        <v/>
      </c>
      <c r="H612" s="3">
        <f>IF('Data Source'!B612="","",IF('Data Source'!Z612&gt;=5,"A+",IF('Data Source'!Z612&gt;=4,"A",IF('Data Source'!Z612&gt;=3.5,"A-",IF('Data Source'!Z612&gt;=3,"B",IF('Data Source'!Z612&gt;=2,"C",IF('Data Source'!Z612&gt;=1,"D","F")))))))</f>
        <v/>
      </c>
      <c r="I612" s="3">
        <f>IF('Data Source'!B612="","",IF('Data Source'!AA612&gt;=5,"A+",IF('Data Source'!AA612&gt;=4,"A",IF('Data Source'!AA612&gt;=3.5,"A-",IF('Data Source'!AA612&gt;=3,"B",IF('Data Source'!AA612&gt;=2,"C",IF('Data Source'!AA612&gt;=1,"D","F")))))))</f>
        <v/>
      </c>
      <c r="J612" s="3">
        <f>IF('Data Source'!B612="","",IF('Data Source'!AB612&gt;=5,"A+",IF('Data Source'!AB612&gt;=4,"A",IF('Data Source'!AB612&gt;=3.5,"A-",IF('Data Source'!AB612&gt;=3,"B",IF('Data Source'!AB612&gt;=2,"C",IF('Data Source'!AB612&gt;=1,"D","F")))))))</f>
        <v/>
      </c>
      <c r="K612" s="3">
        <f>IF('Data Source'!B612="","",IF('Data Source'!AC612&gt;=5,"A+",IF('Data Source'!AC612&gt;=4,"A",IF('Data Source'!AC612&gt;=3.5,"A-",IF('Data Source'!AC612&gt;=3,"B",IF('Data Source'!AC612&gt;=2,"C",IF('Data Source'!AC612&gt;=1,"D","F")))))))</f>
        <v/>
      </c>
      <c r="L612" s="3">
        <f>IF('Data Source'!B612="","",IF('Data Source'!AD612&gt;=5,"A+",IF('Data Source'!AD612&gt;=4,"A",IF('Data Source'!AD612&gt;=3.5,"A-",IF('Data Source'!AD612&gt;=3,"B",IF('Data Source'!AD612&gt;=2,"C",IF('Data Source'!AD612&gt;=1,"D","F")))))))</f>
        <v/>
      </c>
      <c r="M612" s="3">
        <f>IF('Data Source'!B612="","",IF('Data Source'!AE612&gt;=5,"A+",IF('Data Source'!AE612&gt;=4,"A",IF('Data Source'!AE612&gt;=3.5,"A-",IF('Data Source'!AE612&gt;=3,"B",IF('Data Source'!AE612&gt;=2,"C",IF('Data Source'!AE612&gt;=1,"D","F")))))))</f>
        <v/>
      </c>
      <c r="N612" s="3">
        <f>IF('Data Source'!B612="","",IF('Data Source'!AF612&gt;=5,"A+",IF('Data Source'!AF612&gt;=4,"A",IF('Data Source'!AF612&gt;=3.5,"A-",IF('Data Source'!AF612&gt;=3,"B",IF('Data Source'!AF612&gt;=2,"C",IF('Data Source'!AF612&gt;=1,"D","F")))))))</f>
        <v/>
      </c>
      <c r="O612" s="3">
        <f>IF('Data Source'!B612="","",IF('Data Source'!AG612&gt;=5,"A+",IF('Data Source'!AG612&gt;=4,"A",IF('Data Source'!AG612&gt;=3.5,"A-",IF('Data Source'!AG612&gt;=3,"B",IF('Data Source'!AG612&gt;=2,"C",IF('Data Source'!AG612&gt;=1,"D","F")))))))</f>
        <v/>
      </c>
      <c r="P612" s="5">
        <f>IF('Data Source'!B612="","",'Data Source'!R612)</f>
        <v/>
      </c>
      <c r="Q612" s="3">
        <f>IF('Data Source'!B612="","",'Data Source'!S612)</f>
        <v/>
      </c>
    </row>
    <row r="613">
      <c r="A613" s="3">
        <f>IF('Data Source'!B613="","",'Data Source'!A613)</f>
        <v/>
      </c>
      <c r="B613">
        <f>IF('Data Source'!B613="","",'Data Source'!B613)</f>
        <v/>
      </c>
      <c r="C613" s="3">
        <f>IF('Data Source'!B613="","",IF('Data Source'!U613&gt;=5,"A+",IF('Data Source'!U613&gt;=4,"A",IF('Data Source'!U613&gt;=3.5,"A-",IF('Data Source'!U613&gt;=3,"B",IF('Data Source'!U613&gt;=2,"C",IF('Data Source'!U613&gt;=1,"D","F")))))))</f>
        <v/>
      </c>
      <c r="D613" s="3">
        <f>IF('Data Source'!B613="","",IF('Data Source'!V613&gt;=5,"A+",IF('Data Source'!V613&gt;=4,"A",IF('Data Source'!V613&gt;=3.5,"A-",IF('Data Source'!V613&gt;=3,"B",IF('Data Source'!V613&gt;=2,"C",IF('Data Source'!V613&gt;=1,"D","F")))))))</f>
        <v/>
      </c>
      <c r="E613" s="3">
        <f>IF('Data Source'!B613="","",IF('Data Source'!W613&gt;=5,"A+",IF('Data Source'!W613&gt;=4,"A",IF('Data Source'!W613&gt;=3.5,"A-",IF('Data Source'!W613&gt;=3,"B",IF('Data Source'!W613&gt;=2,"C",IF('Data Source'!W613&gt;=1,"D","F")))))))</f>
        <v/>
      </c>
      <c r="F613" s="3">
        <f>IF('Data Source'!B613="","",IF('Data Source'!X613&gt;=5,"A+",IF('Data Source'!X613&gt;=4,"A",IF('Data Source'!X613&gt;=3.5,"A-",IF('Data Source'!X613&gt;=3,"B",IF('Data Source'!X613&gt;=2,"C",IF('Data Source'!X613&gt;=1,"D","F")))))))</f>
        <v/>
      </c>
      <c r="G613" s="3">
        <f>IF('Data Source'!B613="","",IF('Data Source'!Y613&gt;=5,"A+",IF('Data Source'!Y613&gt;=4,"A",IF('Data Source'!Y613&gt;=3.5,"A-",IF('Data Source'!Y613&gt;=3,"B",IF('Data Source'!Y613&gt;=2,"C",IF('Data Source'!Y613&gt;=1,"D","F")))))))</f>
        <v/>
      </c>
      <c r="H613" s="3">
        <f>IF('Data Source'!B613="","",IF('Data Source'!Z613&gt;=5,"A+",IF('Data Source'!Z613&gt;=4,"A",IF('Data Source'!Z613&gt;=3.5,"A-",IF('Data Source'!Z613&gt;=3,"B",IF('Data Source'!Z613&gt;=2,"C",IF('Data Source'!Z613&gt;=1,"D","F")))))))</f>
        <v/>
      </c>
      <c r="I613" s="3">
        <f>IF('Data Source'!B613="","",IF('Data Source'!AA613&gt;=5,"A+",IF('Data Source'!AA613&gt;=4,"A",IF('Data Source'!AA613&gt;=3.5,"A-",IF('Data Source'!AA613&gt;=3,"B",IF('Data Source'!AA613&gt;=2,"C",IF('Data Source'!AA613&gt;=1,"D","F")))))))</f>
        <v/>
      </c>
      <c r="J613" s="3">
        <f>IF('Data Source'!B613="","",IF('Data Source'!AB613&gt;=5,"A+",IF('Data Source'!AB613&gt;=4,"A",IF('Data Source'!AB613&gt;=3.5,"A-",IF('Data Source'!AB613&gt;=3,"B",IF('Data Source'!AB613&gt;=2,"C",IF('Data Source'!AB613&gt;=1,"D","F")))))))</f>
        <v/>
      </c>
      <c r="K613" s="3">
        <f>IF('Data Source'!B613="","",IF('Data Source'!AC613&gt;=5,"A+",IF('Data Source'!AC613&gt;=4,"A",IF('Data Source'!AC613&gt;=3.5,"A-",IF('Data Source'!AC613&gt;=3,"B",IF('Data Source'!AC613&gt;=2,"C",IF('Data Source'!AC613&gt;=1,"D","F")))))))</f>
        <v/>
      </c>
      <c r="L613" s="3">
        <f>IF('Data Source'!B613="","",IF('Data Source'!AD613&gt;=5,"A+",IF('Data Source'!AD613&gt;=4,"A",IF('Data Source'!AD613&gt;=3.5,"A-",IF('Data Source'!AD613&gt;=3,"B",IF('Data Source'!AD613&gt;=2,"C",IF('Data Source'!AD613&gt;=1,"D","F")))))))</f>
        <v/>
      </c>
      <c r="M613" s="3">
        <f>IF('Data Source'!B613="","",IF('Data Source'!AE613&gt;=5,"A+",IF('Data Source'!AE613&gt;=4,"A",IF('Data Source'!AE613&gt;=3.5,"A-",IF('Data Source'!AE613&gt;=3,"B",IF('Data Source'!AE613&gt;=2,"C",IF('Data Source'!AE613&gt;=1,"D","F")))))))</f>
        <v/>
      </c>
      <c r="N613" s="3">
        <f>IF('Data Source'!B613="","",IF('Data Source'!AF613&gt;=5,"A+",IF('Data Source'!AF613&gt;=4,"A",IF('Data Source'!AF613&gt;=3.5,"A-",IF('Data Source'!AF613&gt;=3,"B",IF('Data Source'!AF613&gt;=2,"C",IF('Data Source'!AF613&gt;=1,"D","F")))))))</f>
        <v/>
      </c>
      <c r="O613" s="3">
        <f>IF('Data Source'!B613="","",IF('Data Source'!AG613&gt;=5,"A+",IF('Data Source'!AG613&gt;=4,"A",IF('Data Source'!AG613&gt;=3.5,"A-",IF('Data Source'!AG613&gt;=3,"B",IF('Data Source'!AG613&gt;=2,"C",IF('Data Source'!AG613&gt;=1,"D","F")))))))</f>
        <v/>
      </c>
      <c r="P613" s="5">
        <f>IF('Data Source'!B613="","",'Data Source'!R613)</f>
        <v/>
      </c>
      <c r="Q613" s="3">
        <f>IF('Data Source'!B613="","",'Data Source'!S613)</f>
        <v/>
      </c>
    </row>
    <row r="614">
      <c r="A614" s="3">
        <f>IF('Data Source'!B614="","",'Data Source'!A614)</f>
        <v/>
      </c>
      <c r="B614">
        <f>IF('Data Source'!B614="","",'Data Source'!B614)</f>
        <v/>
      </c>
      <c r="C614" s="3">
        <f>IF('Data Source'!B614="","",IF('Data Source'!U614&gt;=5,"A+",IF('Data Source'!U614&gt;=4,"A",IF('Data Source'!U614&gt;=3.5,"A-",IF('Data Source'!U614&gt;=3,"B",IF('Data Source'!U614&gt;=2,"C",IF('Data Source'!U614&gt;=1,"D","F")))))))</f>
        <v/>
      </c>
      <c r="D614" s="3">
        <f>IF('Data Source'!B614="","",IF('Data Source'!V614&gt;=5,"A+",IF('Data Source'!V614&gt;=4,"A",IF('Data Source'!V614&gt;=3.5,"A-",IF('Data Source'!V614&gt;=3,"B",IF('Data Source'!V614&gt;=2,"C",IF('Data Source'!V614&gt;=1,"D","F")))))))</f>
        <v/>
      </c>
      <c r="E614" s="3">
        <f>IF('Data Source'!B614="","",IF('Data Source'!W614&gt;=5,"A+",IF('Data Source'!W614&gt;=4,"A",IF('Data Source'!W614&gt;=3.5,"A-",IF('Data Source'!W614&gt;=3,"B",IF('Data Source'!W614&gt;=2,"C",IF('Data Source'!W614&gt;=1,"D","F")))))))</f>
        <v/>
      </c>
      <c r="F614" s="3">
        <f>IF('Data Source'!B614="","",IF('Data Source'!X614&gt;=5,"A+",IF('Data Source'!X614&gt;=4,"A",IF('Data Source'!X614&gt;=3.5,"A-",IF('Data Source'!X614&gt;=3,"B",IF('Data Source'!X614&gt;=2,"C",IF('Data Source'!X614&gt;=1,"D","F")))))))</f>
        <v/>
      </c>
      <c r="G614" s="3">
        <f>IF('Data Source'!B614="","",IF('Data Source'!Y614&gt;=5,"A+",IF('Data Source'!Y614&gt;=4,"A",IF('Data Source'!Y614&gt;=3.5,"A-",IF('Data Source'!Y614&gt;=3,"B",IF('Data Source'!Y614&gt;=2,"C",IF('Data Source'!Y614&gt;=1,"D","F")))))))</f>
        <v/>
      </c>
      <c r="H614" s="3">
        <f>IF('Data Source'!B614="","",IF('Data Source'!Z614&gt;=5,"A+",IF('Data Source'!Z614&gt;=4,"A",IF('Data Source'!Z614&gt;=3.5,"A-",IF('Data Source'!Z614&gt;=3,"B",IF('Data Source'!Z614&gt;=2,"C",IF('Data Source'!Z614&gt;=1,"D","F")))))))</f>
        <v/>
      </c>
      <c r="I614" s="3">
        <f>IF('Data Source'!B614="","",IF('Data Source'!AA614&gt;=5,"A+",IF('Data Source'!AA614&gt;=4,"A",IF('Data Source'!AA614&gt;=3.5,"A-",IF('Data Source'!AA614&gt;=3,"B",IF('Data Source'!AA614&gt;=2,"C",IF('Data Source'!AA614&gt;=1,"D","F")))))))</f>
        <v/>
      </c>
      <c r="J614" s="3">
        <f>IF('Data Source'!B614="","",IF('Data Source'!AB614&gt;=5,"A+",IF('Data Source'!AB614&gt;=4,"A",IF('Data Source'!AB614&gt;=3.5,"A-",IF('Data Source'!AB614&gt;=3,"B",IF('Data Source'!AB614&gt;=2,"C",IF('Data Source'!AB614&gt;=1,"D","F")))))))</f>
        <v/>
      </c>
      <c r="K614" s="3">
        <f>IF('Data Source'!B614="","",IF('Data Source'!AC614&gt;=5,"A+",IF('Data Source'!AC614&gt;=4,"A",IF('Data Source'!AC614&gt;=3.5,"A-",IF('Data Source'!AC614&gt;=3,"B",IF('Data Source'!AC614&gt;=2,"C",IF('Data Source'!AC614&gt;=1,"D","F")))))))</f>
        <v/>
      </c>
      <c r="L614" s="3">
        <f>IF('Data Source'!B614="","",IF('Data Source'!AD614&gt;=5,"A+",IF('Data Source'!AD614&gt;=4,"A",IF('Data Source'!AD614&gt;=3.5,"A-",IF('Data Source'!AD614&gt;=3,"B",IF('Data Source'!AD614&gt;=2,"C",IF('Data Source'!AD614&gt;=1,"D","F")))))))</f>
        <v/>
      </c>
      <c r="M614" s="3">
        <f>IF('Data Source'!B614="","",IF('Data Source'!AE614&gt;=5,"A+",IF('Data Source'!AE614&gt;=4,"A",IF('Data Source'!AE614&gt;=3.5,"A-",IF('Data Source'!AE614&gt;=3,"B",IF('Data Source'!AE614&gt;=2,"C",IF('Data Source'!AE614&gt;=1,"D","F")))))))</f>
        <v/>
      </c>
      <c r="N614" s="3">
        <f>IF('Data Source'!B614="","",IF('Data Source'!AF614&gt;=5,"A+",IF('Data Source'!AF614&gt;=4,"A",IF('Data Source'!AF614&gt;=3.5,"A-",IF('Data Source'!AF614&gt;=3,"B",IF('Data Source'!AF614&gt;=2,"C",IF('Data Source'!AF614&gt;=1,"D","F")))))))</f>
        <v/>
      </c>
      <c r="O614" s="3">
        <f>IF('Data Source'!B614="","",IF('Data Source'!AG614&gt;=5,"A+",IF('Data Source'!AG614&gt;=4,"A",IF('Data Source'!AG614&gt;=3.5,"A-",IF('Data Source'!AG614&gt;=3,"B",IF('Data Source'!AG614&gt;=2,"C",IF('Data Source'!AG614&gt;=1,"D","F")))))))</f>
        <v/>
      </c>
      <c r="P614" s="5">
        <f>IF('Data Source'!B614="","",'Data Source'!R614)</f>
        <v/>
      </c>
      <c r="Q614" s="3">
        <f>IF('Data Source'!B614="","",'Data Source'!S614)</f>
        <v/>
      </c>
    </row>
    <row r="615">
      <c r="A615" s="3">
        <f>IF('Data Source'!B615="","",'Data Source'!A615)</f>
        <v/>
      </c>
      <c r="B615">
        <f>IF('Data Source'!B615="","",'Data Source'!B615)</f>
        <v/>
      </c>
      <c r="C615" s="3">
        <f>IF('Data Source'!B615="","",IF('Data Source'!U615&gt;=5,"A+",IF('Data Source'!U615&gt;=4,"A",IF('Data Source'!U615&gt;=3.5,"A-",IF('Data Source'!U615&gt;=3,"B",IF('Data Source'!U615&gt;=2,"C",IF('Data Source'!U615&gt;=1,"D","F")))))))</f>
        <v/>
      </c>
      <c r="D615" s="3">
        <f>IF('Data Source'!B615="","",IF('Data Source'!V615&gt;=5,"A+",IF('Data Source'!V615&gt;=4,"A",IF('Data Source'!V615&gt;=3.5,"A-",IF('Data Source'!V615&gt;=3,"B",IF('Data Source'!V615&gt;=2,"C",IF('Data Source'!V615&gt;=1,"D","F")))))))</f>
        <v/>
      </c>
      <c r="E615" s="3">
        <f>IF('Data Source'!B615="","",IF('Data Source'!W615&gt;=5,"A+",IF('Data Source'!W615&gt;=4,"A",IF('Data Source'!W615&gt;=3.5,"A-",IF('Data Source'!W615&gt;=3,"B",IF('Data Source'!W615&gt;=2,"C",IF('Data Source'!W615&gt;=1,"D","F")))))))</f>
        <v/>
      </c>
      <c r="F615" s="3">
        <f>IF('Data Source'!B615="","",IF('Data Source'!X615&gt;=5,"A+",IF('Data Source'!X615&gt;=4,"A",IF('Data Source'!X615&gt;=3.5,"A-",IF('Data Source'!X615&gt;=3,"B",IF('Data Source'!X615&gt;=2,"C",IF('Data Source'!X615&gt;=1,"D","F")))))))</f>
        <v/>
      </c>
      <c r="G615" s="3">
        <f>IF('Data Source'!B615="","",IF('Data Source'!Y615&gt;=5,"A+",IF('Data Source'!Y615&gt;=4,"A",IF('Data Source'!Y615&gt;=3.5,"A-",IF('Data Source'!Y615&gt;=3,"B",IF('Data Source'!Y615&gt;=2,"C",IF('Data Source'!Y615&gt;=1,"D","F")))))))</f>
        <v/>
      </c>
      <c r="H615" s="3">
        <f>IF('Data Source'!B615="","",IF('Data Source'!Z615&gt;=5,"A+",IF('Data Source'!Z615&gt;=4,"A",IF('Data Source'!Z615&gt;=3.5,"A-",IF('Data Source'!Z615&gt;=3,"B",IF('Data Source'!Z615&gt;=2,"C",IF('Data Source'!Z615&gt;=1,"D","F")))))))</f>
        <v/>
      </c>
      <c r="I615" s="3">
        <f>IF('Data Source'!B615="","",IF('Data Source'!AA615&gt;=5,"A+",IF('Data Source'!AA615&gt;=4,"A",IF('Data Source'!AA615&gt;=3.5,"A-",IF('Data Source'!AA615&gt;=3,"B",IF('Data Source'!AA615&gt;=2,"C",IF('Data Source'!AA615&gt;=1,"D","F")))))))</f>
        <v/>
      </c>
      <c r="J615" s="3">
        <f>IF('Data Source'!B615="","",IF('Data Source'!AB615&gt;=5,"A+",IF('Data Source'!AB615&gt;=4,"A",IF('Data Source'!AB615&gt;=3.5,"A-",IF('Data Source'!AB615&gt;=3,"B",IF('Data Source'!AB615&gt;=2,"C",IF('Data Source'!AB615&gt;=1,"D","F")))))))</f>
        <v/>
      </c>
      <c r="K615" s="3">
        <f>IF('Data Source'!B615="","",IF('Data Source'!AC615&gt;=5,"A+",IF('Data Source'!AC615&gt;=4,"A",IF('Data Source'!AC615&gt;=3.5,"A-",IF('Data Source'!AC615&gt;=3,"B",IF('Data Source'!AC615&gt;=2,"C",IF('Data Source'!AC615&gt;=1,"D","F")))))))</f>
        <v/>
      </c>
      <c r="L615" s="3">
        <f>IF('Data Source'!B615="","",IF('Data Source'!AD615&gt;=5,"A+",IF('Data Source'!AD615&gt;=4,"A",IF('Data Source'!AD615&gt;=3.5,"A-",IF('Data Source'!AD615&gt;=3,"B",IF('Data Source'!AD615&gt;=2,"C",IF('Data Source'!AD615&gt;=1,"D","F")))))))</f>
        <v/>
      </c>
      <c r="M615" s="3">
        <f>IF('Data Source'!B615="","",IF('Data Source'!AE615&gt;=5,"A+",IF('Data Source'!AE615&gt;=4,"A",IF('Data Source'!AE615&gt;=3.5,"A-",IF('Data Source'!AE615&gt;=3,"B",IF('Data Source'!AE615&gt;=2,"C",IF('Data Source'!AE615&gt;=1,"D","F")))))))</f>
        <v/>
      </c>
      <c r="N615" s="3">
        <f>IF('Data Source'!B615="","",IF('Data Source'!AF615&gt;=5,"A+",IF('Data Source'!AF615&gt;=4,"A",IF('Data Source'!AF615&gt;=3.5,"A-",IF('Data Source'!AF615&gt;=3,"B",IF('Data Source'!AF615&gt;=2,"C",IF('Data Source'!AF615&gt;=1,"D","F")))))))</f>
        <v/>
      </c>
      <c r="O615" s="3">
        <f>IF('Data Source'!B615="","",IF('Data Source'!AG615&gt;=5,"A+",IF('Data Source'!AG615&gt;=4,"A",IF('Data Source'!AG615&gt;=3.5,"A-",IF('Data Source'!AG615&gt;=3,"B",IF('Data Source'!AG615&gt;=2,"C",IF('Data Source'!AG615&gt;=1,"D","F")))))))</f>
        <v/>
      </c>
      <c r="P615" s="5">
        <f>IF('Data Source'!B615="","",'Data Source'!R615)</f>
        <v/>
      </c>
      <c r="Q615" s="3">
        <f>IF('Data Source'!B615="","",'Data Source'!S615)</f>
        <v/>
      </c>
    </row>
    <row r="616">
      <c r="A616" s="3">
        <f>IF('Data Source'!B616="","",'Data Source'!A616)</f>
        <v/>
      </c>
      <c r="B616">
        <f>IF('Data Source'!B616="","",'Data Source'!B616)</f>
        <v/>
      </c>
      <c r="C616" s="3">
        <f>IF('Data Source'!B616="","",IF('Data Source'!U616&gt;=5,"A+",IF('Data Source'!U616&gt;=4,"A",IF('Data Source'!U616&gt;=3.5,"A-",IF('Data Source'!U616&gt;=3,"B",IF('Data Source'!U616&gt;=2,"C",IF('Data Source'!U616&gt;=1,"D","F")))))))</f>
        <v/>
      </c>
      <c r="D616" s="3">
        <f>IF('Data Source'!B616="","",IF('Data Source'!V616&gt;=5,"A+",IF('Data Source'!V616&gt;=4,"A",IF('Data Source'!V616&gt;=3.5,"A-",IF('Data Source'!V616&gt;=3,"B",IF('Data Source'!V616&gt;=2,"C",IF('Data Source'!V616&gt;=1,"D","F")))))))</f>
        <v/>
      </c>
      <c r="E616" s="3">
        <f>IF('Data Source'!B616="","",IF('Data Source'!W616&gt;=5,"A+",IF('Data Source'!W616&gt;=4,"A",IF('Data Source'!W616&gt;=3.5,"A-",IF('Data Source'!W616&gt;=3,"B",IF('Data Source'!W616&gt;=2,"C",IF('Data Source'!W616&gt;=1,"D","F")))))))</f>
        <v/>
      </c>
      <c r="F616" s="3">
        <f>IF('Data Source'!B616="","",IF('Data Source'!X616&gt;=5,"A+",IF('Data Source'!X616&gt;=4,"A",IF('Data Source'!X616&gt;=3.5,"A-",IF('Data Source'!X616&gt;=3,"B",IF('Data Source'!X616&gt;=2,"C",IF('Data Source'!X616&gt;=1,"D","F")))))))</f>
        <v/>
      </c>
      <c r="G616" s="3">
        <f>IF('Data Source'!B616="","",IF('Data Source'!Y616&gt;=5,"A+",IF('Data Source'!Y616&gt;=4,"A",IF('Data Source'!Y616&gt;=3.5,"A-",IF('Data Source'!Y616&gt;=3,"B",IF('Data Source'!Y616&gt;=2,"C",IF('Data Source'!Y616&gt;=1,"D","F")))))))</f>
        <v/>
      </c>
      <c r="H616" s="3">
        <f>IF('Data Source'!B616="","",IF('Data Source'!Z616&gt;=5,"A+",IF('Data Source'!Z616&gt;=4,"A",IF('Data Source'!Z616&gt;=3.5,"A-",IF('Data Source'!Z616&gt;=3,"B",IF('Data Source'!Z616&gt;=2,"C",IF('Data Source'!Z616&gt;=1,"D","F")))))))</f>
        <v/>
      </c>
      <c r="I616" s="3">
        <f>IF('Data Source'!B616="","",IF('Data Source'!AA616&gt;=5,"A+",IF('Data Source'!AA616&gt;=4,"A",IF('Data Source'!AA616&gt;=3.5,"A-",IF('Data Source'!AA616&gt;=3,"B",IF('Data Source'!AA616&gt;=2,"C",IF('Data Source'!AA616&gt;=1,"D","F")))))))</f>
        <v/>
      </c>
      <c r="J616" s="3">
        <f>IF('Data Source'!B616="","",IF('Data Source'!AB616&gt;=5,"A+",IF('Data Source'!AB616&gt;=4,"A",IF('Data Source'!AB616&gt;=3.5,"A-",IF('Data Source'!AB616&gt;=3,"B",IF('Data Source'!AB616&gt;=2,"C",IF('Data Source'!AB616&gt;=1,"D","F")))))))</f>
        <v/>
      </c>
      <c r="K616" s="3">
        <f>IF('Data Source'!B616="","",IF('Data Source'!AC616&gt;=5,"A+",IF('Data Source'!AC616&gt;=4,"A",IF('Data Source'!AC616&gt;=3.5,"A-",IF('Data Source'!AC616&gt;=3,"B",IF('Data Source'!AC616&gt;=2,"C",IF('Data Source'!AC616&gt;=1,"D","F")))))))</f>
        <v/>
      </c>
      <c r="L616" s="3">
        <f>IF('Data Source'!B616="","",IF('Data Source'!AD616&gt;=5,"A+",IF('Data Source'!AD616&gt;=4,"A",IF('Data Source'!AD616&gt;=3.5,"A-",IF('Data Source'!AD616&gt;=3,"B",IF('Data Source'!AD616&gt;=2,"C",IF('Data Source'!AD616&gt;=1,"D","F")))))))</f>
        <v/>
      </c>
      <c r="M616" s="3">
        <f>IF('Data Source'!B616="","",IF('Data Source'!AE616&gt;=5,"A+",IF('Data Source'!AE616&gt;=4,"A",IF('Data Source'!AE616&gt;=3.5,"A-",IF('Data Source'!AE616&gt;=3,"B",IF('Data Source'!AE616&gt;=2,"C",IF('Data Source'!AE616&gt;=1,"D","F")))))))</f>
        <v/>
      </c>
      <c r="N616" s="3">
        <f>IF('Data Source'!B616="","",IF('Data Source'!AF616&gt;=5,"A+",IF('Data Source'!AF616&gt;=4,"A",IF('Data Source'!AF616&gt;=3.5,"A-",IF('Data Source'!AF616&gt;=3,"B",IF('Data Source'!AF616&gt;=2,"C",IF('Data Source'!AF616&gt;=1,"D","F")))))))</f>
        <v/>
      </c>
      <c r="O616" s="3">
        <f>IF('Data Source'!B616="","",IF('Data Source'!AG616&gt;=5,"A+",IF('Data Source'!AG616&gt;=4,"A",IF('Data Source'!AG616&gt;=3.5,"A-",IF('Data Source'!AG616&gt;=3,"B",IF('Data Source'!AG616&gt;=2,"C",IF('Data Source'!AG616&gt;=1,"D","F")))))))</f>
        <v/>
      </c>
      <c r="P616" s="5">
        <f>IF('Data Source'!B616="","",'Data Source'!R616)</f>
        <v/>
      </c>
      <c r="Q616" s="3">
        <f>IF('Data Source'!B616="","",'Data Source'!S616)</f>
        <v/>
      </c>
    </row>
    <row r="617">
      <c r="A617" s="3">
        <f>IF('Data Source'!B617="","",'Data Source'!A617)</f>
        <v/>
      </c>
      <c r="B617">
        <f>IF('Data Source'!B617="","",'Data Source'!B617)</f>
        <v/>
      </c>
      <c r="C617" s="3">
        <f>IF('Data Source'!B617="","",IF('Data Source'!U617&gt;=5,"A+",IF('Data Source'!U617&gt;=4,"A",IF('Data Source'!U617&gt;=3.5,"A-",IF('Data Source'!U617&gt;=3,"B",IF('Data Source'!U617&gt;=2,"C",IF('Data Source'!U617&gt;=1,"D","F")))))))</f>
        <v/>
      </c>
      <c r="D617" s="3">
        <f>IF('Data Source'!B617="","",IF('Data Source'!V617&gt;=5,"A+",IF('Data Source'!V617&gt;=4,"A",IF('Data Source'!V617&gt;=3.5,"A-",IF('Data Source'!V617&gt;=3,"B",IF('Data Source'!V617&gt;=2,"C",IF('Data Source'!V617&gt;=1,"D","F")))))))</f>
        <v/>
      </c>
      <c r="E617" s="3">
        <f>IF('Data Source'!B617="","",IF('Data Source'!W617&gt;=5,"A+",IF('Data Source'!W617&gt;=4,"A",IF('Data Source'!W617&gt;=3.5,"A-",IF('Data Source'!W617&gt;=3,"B",IF('Data Source'!W617&gt;=2,"C",IF('Data Source'!W617&gt;=1,"D","F")))))))</f>
        <v/>
      </c>
      <c r="F617" s="3">
        <f>IF('Data Source'!B617="","",IF('Data Source'!X617&gt;=5,"A+",IF('Data Source'!X617&gt;=4,"A",IF('Data Source'!X617&gt;=3.5,"A-",IF('Data Source'!X617&gt;=3,"B",IF('Data Source'!X617&gt;=2,"C",IF('Data Source'!X617&gt;=1,"D","F")))))))</f>
        <v/>
      </c>
      <c r="G617" s="3">
        <f>IF('Data Source'!B617="","",IF('Data Source'!Y617&gt;=5,"A+",IF('Data Source'!Y617&gt;=4,"A",IF('Data Source'!Y617&gt;=3.5,"A-",IF('Data Source'!Y617&gt;=3,"B",IF('Data Source'!Y617&gt;=2,"C",IF('Data Source'!Y617&gt;=1,"D","F")))))))</f>
        <v/>
      </c>
      <c r="H617" s="3">
        <f>IF('Data Source'!B617="","",IF('Data Source'!Z617&gt;=5,"A+",IF('Data Source'!Z617&gt;=4,"A",IF('Data Source'!Z617&gt;=3.5,"A-",IF('Data Source'!Z617&gt;=3,"B",IF('Data Source'!Z617&gt;=2,"C",IF('Data Source'!Z617&gt;=1,"D","F")))))))</f>
        <v/>
      </c>
      <c r="I617" s="3">
        <f>IF('Data Source'!B617="","",IF('Data Source'!AA617&gt;=5,"A+",IF('Data Source'!AA617&gt;=4,"A",IF('Data Source'!AA617&gt;=3.5,"A-",IF('Data Source'!AA617&gt;=3,"B",IF('Data Source'!AA617&gt;=2,"C",IF('Data Source'!AA617&gt;=1,"D","F")))))))</f>
        <v/>
      </c>
      <c r="J617" s="3">
        <f>IF('Data Source'!B617="","",IF('Data Source'!AB617&gt;=5,"A+",IF('Data Source'!AB617&gt;=4,"A",IF('Data Source'!AB617&gt;=3.5,"A-",IF('Data Source'!AB617&gt;=3,"B",IF('Data Source'!AB617&gt;=2,"C",IF('Data Source'!AB617&gt;=1,"D","F")))))))</f>
        <v/>
      </c>
      <c r="K617" s="3">
        <f>IF('Data Source'!B617="","",IF('Data Source'!AC617&gt;=5,"A+",IF('Data Source'!AC617&gt;=4,"A",IF('Data Source'!AC617&gt;=3.5,"A-",IF('Data Source'!AC617&gt;=3,"B",IF('Data Source'!AC617&gt;=2,"C",IF('Data Source'!AC617&gt;=1,"D","F")))))))</f>
        <v/>
      </c>
      <c r="L617" s="3">
        <f>IF('Data Source'!B617="","",IF('Data Source'!AD617&gt;=5,"A+",IF('Data Source'!AD617&gt;=4,"A",IF('Data Source'!AD617&gt;=3.5,"A-",IF('Data Source'!AD617&gt;=3,"B",IF('Data Source'!AD617&gt;=2,"C",IF('Data Source'!AD617&gt;=1,"D","F")))))))</f>
        <v/>
      </c>
      <c r="M617" s="3">
        <f>IF('Data Source'!B617="","",IF('Data Source'!AE617&gt;=5,"A+",IF('Data Source'!AE617&gt;=4,"A",IF('Data Source'!AE617&gt;=3.5,"A-",IF('Data Source'!AE617&gt;=3,"B",IF('Data Source'!AE617&gt;=2,"C",IF('Data Source'!AE617&gt;=1,"D","F")))))))</f>
        <v/>
      </c>
      <c r="N617" s="3">
        <f>IF('Data Source'!B617="","",IF('Data Source'!AF617&gt;=5,"A+",IF('Data Source'!AF617&gt;=4,"A",IF('Data Source'!AF617&gt;=3.5,"A-",IF('Data Source'!AF617&gt;=3,"B",IF('Data Source'!AF617&gt;=2,"C",IF('Data Source'!AF617&gt;=1,"D","F")))))))</f>
        <v/>
      </c>
      <c r="O617" s="3">
        <f>IF('Data Source'!B617="","",IF('Data Source'!AG617&gt;=5,"A+",IF('Data Source'!AG617&gt;=4,"A",IF('Data Source'!AG617&gt;=3.5,"A-",IF('Data Source'!AG617&gt;=3,"B",IF('Data Source'!AG617&gt;=2,"C",IF('Data Source'!AG617&gt;=1,"D","F")))))))</f>
        <v/>
      </c>
      <c r="P617" s="5">
        <f>IF('Data Source'!B617="","",'Data Source'!R617)</f>
        <v/>
      </c>
      <c r="Q617" s="3">
        <f>IF('Data Source'!B617="","",'Data Source'!S617)</f>
        <v/>
      </c>
    </row>
    <row r="618">
      <c r="A618" s="3">
        <f>IF('Data Source'!B618="","",'Data Source'!A618)</f>
        <v/>
      </c>
      <c r="B618">
        <f>IF('Data Source'!B618="","",'Data Source'!B618)</f>
        <v/>
      </c>
      <c r="C618" s="3">
        <f>IF('Data Source'!B618="","",IF('Data Source'!U618&gt;=5,"A+",IF('Data Source'!U618&gt;=4,"A",IF('Data Source'!U618&gt;=3.5,"A-",IF('Data Source'!U618&gt;=3,"B",IF('Data Source'!U618&gt;=2,"C",IF('Data Source'!U618&gt;=1,"D","F")))))))</f>
        <v/>
      </c>
      <c r="D618" s="3">
        <f>IF('Data Source'!B618="","",IF('Data Source'!V618&gt;=5,"A+",IF('Data Source'!V618&gt;=4,"A",IF('Data Source'!V618&gt;=3.5,"A-",IF('Data Source'!V618&gt;=3,"B",IF('Data Source'!V618&gt;=2,"C",IF('Data Source'!V618&gt;=1,"D","F")))))))</f>
        <v/>
      </c>
      <c r="E618" s="3">
        <f>IF('Data Source'!B618="","",IF('Data Source'!W618&gt;=5,"A+",IF('Data Source'!W618&gt;=4,"A",IF('Data Source'!W618&gt;=3.5,"A-",IF('Data Source'!W618&gt;=3,"B",IF('Data Source'!W618&gt;=2,"C",IF('Data Source'!W618&gt;=1,"D","F")))))))</f>
        <v/>
      </c>
      <c r="F618" s="3">
        <f>IF('Data Source'!B618="","",IF('Data Source'!X618&gt;=5,"A+",IF('Data Source'!X618&gt;=4,"A",IF('Data Source'!X618&gt;=3.5,"A-",IF('Data Source'!X618&gt;=3,"B",IF('Data Source'!X618&gt;=2,"C",IF('Data Source'!X618&gt;=1,"D","F")))))))</f>
        <v/>
      </c>
      <c r="G618" s="3">
        <f>IF('Data Source'!B618="","",IF('Data Source'!Y618&gt;=5,"A+",IF('Data Source'!Y618&gt;=4,"A",IF('Data Source'!Y618&gt;=3.5,"A-",IF('Data Source'!Y618&gt;=3,"B",IF('Data Source'!Y618&gt;=2,"C",IF('Data Source'!Y618&gt;=1,"D","F")))))))</f>
        <v/>
      </c>
      <c r="H618" s="3">
        <f>IF('Data Source'!B618="","",IF('Data Source'!Z618&gt;=5,"A+",IF('Data Source'!Z618&gt;=4,"A",IF('Data Source'!Z618&gt;=3.5,"A-",IF('Data Source'!Z618&gt;=3,"B",IF('Data Source'!Z618&gt;=2,"C",IF('Data Source'!Z618&gt;=1,"D","F")))))))</f>
        <v/>
      </c>
      <c r="I618" s="3">
        <f>IF('Data Source'!B618="","",IF('Data Source'!AA618&gt;=5,"A+",IF('Data Source'!AA618&gt;=4,"A",IF('Data Source'!AA618&gt;=3.5,"A-",IF('Data Source'!AA618&gt;=3,"B",IF('Data Source'!AA618&gt;=2,"C",IF('Data Source'!AA618&gt;=1,"D","F")))))))</f>
        <v/>
      </c>
      <c r="J618" s="3">
        <f>IF('Data Source'!B618="","",IF('Data Source'!AB618&gt;=5,"A+",IF('Data Source'!AB618&gt;=4,"A",IF('Data Source'!AB618&gt;=3.5,"A-",IF('Data Source'!AB618&gt;=3,"B",IF('Data Source'!AB618&gt;=2,"C",IF('Data Source'!AB618&gt;=1,"D","F")))))))</f>
        <v/>
      </c>
      <c r="K618" s="3">
        <f>IF('Data Source'!B618="","",IF('Data Source'!AC618&gt;=5,"A+",IF('Data Source'!AC618&gt;=4,"A",IF('Data Source'!AC618&gt;=3.5,"A-",IF('Data Source'!AC618&gt;=3,"B",IF('Data Source'!AC618&gt;=2,"C",IF('Data Source'!AC618&gt;=1,"D","F")))))))</f>
        <v/>
      </c>
      <c r="L618" s="3">
        <f>IF('Data Source'!B618="","",IF('Data Source'!AD618&gt;=5,"A+",IF('Data Source'!AD618&gt;=4,"A",IF('Data Source'!AD618&gt;=3.5,"A-",IF('Data Source'!AD618&gt;=3,"B",IF('Data Source'!AD618&gt;=2,"C",IF('Data Source'!AD618&gt;=1,"D","F")))))))</f>
        <v/>
      </c>
      <c r="M618" s="3">
        <f>IF('Data Source'!B618="","",IF('Data Source'!AE618&gt;=5,"A+",IF('Data Source'!AE618&gt;=4,"A",IF('Data Source'!AE618&gt;=3.5,"A-",IF('Data Source'!AE618&gt;=3,"B",IF('Data Source'!AE618&gt;=2,"C",IF('Data Source'!AE618&gt;=1,"D","F")))))))</f>
        <v/>
      </c>
      <c r="N618" s="3">
        <f>IF('Data Source'!B618="","",IF('Data Source'!AF618&gt;=5,"A+",IF('Data Source'!AF618&gt;=4,"A",IF('Data Source'!AF618&gt;=3.5,"A-",IF('Data Source'!AF618&gt;=3,"B",IF('Data Source'!AF618&gt;=2,"C",IF('Data Source'!AF618&gt;=1,"D","F")))))))</f>
        <v/>
      </c>
      <c r="O618" s="3">
        <f>IF('Data Source'!B618="","",IF('Data Source'!AG618&gt;=5,"A+",IF('Data Source'!AG618&gt;=4,"A",IF('Data Source'!AG618&gt;=3.5,"A-",IF('Data Source'!AG618&gt;=3,"B",IF('Data Source'!AG618&gt;=2,"C",IF('Data Source'!AG618&gt;=1,"D","F")))))))</f>
        <v/>
      </c>
      <c r="P618" s="5">
        <f>IF('Data Source'!B618="","",'Data Source'!R618)</f>
        <v/>
      </c>
      <c r="Q618" s="3">
        <f>IF('Data Source'!B618="","",'Data Source'!S618)</f>
        <v/>
      </c>
    </row>
    <row r="619">
      <c r="A619" s="3">
        <f>IF('Data Source'!B619="","",'Data Source'!A619)</f>
        <v/>
      </c>
      <c r="B619">
        <f>IF('Data Source'!B619="","",'Data Source'!B619)</f>
        <v/>
      </c>
      <c r="C619" s="3">
        <f>IF('Data Source'!B619="","",IF('Data Source'!U619&gt;=5,"A+",IF('Data Source'!U619&gt;=4,"A",IF('Data Source'!U619&gt;=3.5,"A-",IF('Data Source'!U619&gt;=3,"B",IF('Data Source'!U619&gt;=2,"C",IF('Data Source'!U619&gt;=1,"D","F")))))))</f>
        <v/>
      </c>
      <c r="D619" s="3">
        <f>IF('Data Source'!B619="","",IF('Data Source'!V619&gt;=5,"A+",IF('Data Source'!V619&gt;=4,"A",IF('Data Source'!V619&gt;=3.5,"A-",IF('Data Source'!V619&gt;=3,"B",IF('Data Source'!V619&gt;=2,"C",IF('Data Source'!V619&gt;=1,"D","F")))))))</f>
        <v/>
      </c>
      <c r="E619" s="3">
        <f>IF('Data Source'!B619="","",IF('Data Source'!W619&gt;=5,"A+",IF('Data Source'!W619&gt;=4,"A",IF('Data Source'!W619&gt;=3.5,"A-",IF('Data Source'!W619&gt;=3,"B",IF('Data Source'!W619&gt;=2,"C",IF('Data Source'!W619&gt;=1,"D","F")))))))</f>
        <v/>
      </c>
      <c r="F619" s="3">
        <f>IF('Data Source'!B619="","",IF('Data Source'!X619&gt;=5,"A+",IF('Data Source'!X619&gt;=4,"A",IF('Data Source'!X619&gt;=3.5,"A-",IF('Data Source'!X619&gt;=3,"B",IF('Data Source'!X619&gt;=2,"C",IF('Data Source'!X619&gt;=1,"D","F")))))))</f>
        <v/>
      </c>
      <c r="G619" s="3">
        <f>IF('Data Source'!B619="","",IF('Data Source'!Y619&gt;=5,"A+",IF('Data Source'!Y619&gt;=4,"A",IF('Data Source'!Y619&gt;=3.5,"A-",IF('Data Source'!Y619&gt;=3,"B",IF('Data Source'!Y619&gt;=2,"C",IF('Data Source'!Y619&gt;=1,"D","F")))))))</f>
        <v/>
      </c>
      <c r="H619" s="3">
        <f>IF('Data Source'!B619="","",IF('Data Source'!Z619&gt;=5,"A+",IF('Data Source'!Z619&gt;=4,"A",IF('Data Source'!Z619&gt;=3.5,"A-",IF('Data Source'!Z619&gt;=3,"B",IF('Data Source'!Z619&gt;=2,"C",IF('Data Source'!Z619&gt;=1,"D","F")))))))</f>
        <v/>
      </c>
      <c r="I619" s="3">
        <f>IF('Data Source'!B619="","",IF('Data Source'!AA619&gt;=5,"A+",IF('Data Source'!AA619&gt;=4,"A",IF('Data Source'!AA619&gt;=3.5,"A-",IF('Data Source'!AA619&gt;=3,"B",IF('Data Source'!AA619&gt;=2,"C",IF('Data Source'!AA619&gt;=1,"D","F")))))))</f>
        <v/>
      </c>
      <c r="J619" s="3">
        <f>IF('Data Source'!B619="","",IF('Data Source'!AB619&gt;=5,"A+",IF('Data Source'!AB619&gt;=4,"A",IF('Data Source'!AB619&gt;=3.5,"A-",IF('Data Source'!AB619&gt;=3,"B",IF('Data Source'!AB619&gt;=2,"C",IF('Data Source'!AB619&gt;=1,"D","F")))))))</f>
        <v/>
      </c>
      <c r="K619" s="3">
        <f>IF('Data Source'!B619="","",IF('Data Source'!AC619&gt;=5,"A+",IF('Data Source'!AC619&gt;=4,"A",IF('Data Source'!AC619&gt;=3.5,"A-",IF('Data Source'!AC619&gt;=3,"B",IF('Data Source'!AC619&gt;=2,"C",IF('Data Source'!AC619&gt;=1,"D","F")))))))</f>
        <v/>
      </c>
      <c r="L619" s="3">
        <f>IF('Data Source'!B619="","",IF('Data Source'!AD619&gt;=5,"A+",IF('Data Source'!AD619&gt;=4,"A",IF('Data Source'!AD619&gt;=3.5,"A-",IF('Data Source'!AD619&gt;=3,"B",IF('Data Source'!AD619&gt;=2,"C",IF('Data Source'!AD619&gt;=1,"D","F")))))))</f>
        <v/>
      </c>
      <c r="M619" s="3">
        <f>IF('Data Source'!B619="","",IF('Data Source'!AE619&gt;=5,"A+",IF('Data Source'!AE619&gt;=4,"A",IF('Data Source'!AE619&gt;=3.5,"A-",IF('Data Source'!AE619&gt;=3,"B",IF('Data Source'!AE619&gt;=2,"C",IF('Data Source'!AE619&gt;=1,"D","F")))))))</f>
        <v/>
      </c>
      <c r="N619" s="3">
        <f>IF('Data Source'!B619="","",IF('Data Source'!AF619&gt;=5,"A+",IF('Data Source'!AF619&gt;=4,"A",IF('Data Source'!AF619&gt;=3.5,"A-",IF('Data Source'!AF619&gt;=3,"B",IF('Data Source'!AF619&gt;=2,"C",IF('Data Source'!AF619&gt;=1,"D","F")))))))</f>
        <v/>
      </c>
      <c r="O619" s="3">
        <f>IF('Data Source'!B619="","",IF('Data Source'!AG619&gt;=5,"A+",IF('Data Source'!AG619&gt;=4,"A",IF('Data Source'!AG619&gt;=3.5,"A-",IF('Data Source'!AG619&gt;=3,"B",IF('Data Source'!AG619&gt;=2,"C",IF('Data Source'!AG619&gt;=1,"D","F")))))))</f>
        <v/>
      </c>
      <c r="P619" s="5">
        <f>IF('Data Source'!B619="","",'Data Source'!R619)</f>
        <v/>
      </c>
      <c r="Q619" s="3">
        <f>IF('Data Source'!B619="","",'Data Source'!S619)</f>
        <v/>
      </c>
    </row>
    <row r="620">
      <c r="A620" s="3">
        <f>IF('Data Source'!B620="","",'Data Source'!A620)</f>
        <v/>
      </c>
      <c r="B620">
        <f>IF('Data Source'!B620="","",'Data Source'!B620)</f>
        <v/>
      </c>
      <c r="C620" s="3">
        <f>IF('Data Source'!B620="","",IF('Data Source'!U620&gt;=5,"A+",IF('Data Source'!U620&gt;=4,"A",IF('Data Source'!U620&gt;=3.5,"A-",IF('Data Source'!U620&gt;=3,"B",IF('Data Source'!U620&gt;=2,"C",IF('Data Source'!U620&gt;=1,"D","F")))))))</f>
        <v/>
      </c>
      <c r="D620" s="3">
        <f>IF('Data Source'!B620="","",IF('Data Source'!V620&gt;=5,"A+",IF('Data Source'!V620&gt;=4,"A",IF('Data Source'!V620&gt;=3.5,"A-",IF('Data Source'!V620&gt;=3,"B",IF('Data Source'!V620&gt;=2,"C",IF('Data Source'!V620&gt;=1,"D","F")))))))</f>
        <v/>
      </c>
      <c r="E620" s="3">
        <f>IF('Data Source'!B620="","",IF('Data Source'!W620&gt;=5,"A+",IF('Data Source'!W620&gt;=4,"A",IF('Data Source'!W620&gt;=3.5,"A-",IF('Data Source'!W620&gt;=3,"B",IF('Data Source'!W620&gt;=2,"C",IF('Data Source'!W620&gt;=1,"D","F")))))))</f>
        <v/>
      </c>
      <c r="F620" s="3">
        <f>IF('Data Source'!B620="","",IF('Data Source'!X620&gt;=5,"A+",IF('Data Source'!X620&gt;=4,"A",IF('Data Source'!X620&gt;=3.5,"A-",IF('Data Source'!X620&gt;=3,"B",IF('Data Source'!X620&gt;=2,"C",IF('Data Source'!X620&gt;=1,"D","F")))))))</f>
        <v/>
      </c>
      <c r="G620" s="3">
        <f>IF('Data Source'!B620="","",IF('Data Source'!Y620&gt;=5,"A+",IF('Data Source'!Y620&gt;=4,"A",IF('Data Source'!Y620&gt;=3.5,"A-",IF('Data Source'!Y620&gt;=3,"B",IF('Data Source'!Y620&gt;=2,"C",IF('Data Source'!Y620&gt;=1,"D","F")))))))</f>
        <v/>
      </c>
      <c r="H620" s="3">
        <f>IF('Data Source'!B620="","",IF('Data Source'!Z620&gt;=5,"A+",IF('Data Source'!Z620&gt;=4,"A",IF('Data Source'!Z620&gt;=3.5,"A-",IF('Data Source'!Z620&gt;=3,"B",IF('Data Source'!Z620&gt;=2,"C",IF('Data Source'!Z620&gt;=1,"D","F")))))))</f>
        <v/>
      </c>
      <c r="I620" s="3">
        <f>IF('Data Source'!B620="","",IF('Data Source'!AA620&gt;=5,"A+",IF('Data Source'!AA620&gt;=4,"A",IF('Data Source'!AA620&gt;=3.5,"A-",IF('Data Source'!AA620&gt;=3,"B",IF('Data Source'!AA620&gt;=2,"C",IF('Data Source'!AA620&gt;=1,"D","F")))))))</f>
        <v/>
      </c>
      <c r="J620" s="3">
        <f>IF('Data Source'!B620="","",IF('Data Source'!AB620&gt;=5,"A+",IF('Data Source'!AB620&gt;=4,"A",IF('Data Source'!AB620&gt;=3.5,"A-",IF('Data Source'!AB620&gt;=3,"B",IF('Data Source'!AB620&gt;=2,"C",IF('Data Source'!AB620&gt;=1,"D","F")))))))</f>
        <v/>
      </c>
      <c r="K620" s="3">
        <f>IF('Data Source'!B620="","",IF('Data Source'!AC620&gt;=5,"A+",IF('Data Source'!AC620&gt;=4,"A",IF('Data Source'!AC620&gt;=3.5,"A-",IF('Data Source'!AC620&gt;=3,"B",IF('Data Source'!AC620&gt;=2,"C",IF('Data Source'!AC620&gt;=1,"D","F")))))))</f>
        <v/>
      </c>
      <c r="L620" s="3">
        <f>IF('Data Source'!B620="","",IF('Data Source'!AD620&gt;=5,"A+",IF('Data Source'!AD620&gt;=4,"A",IF('Data Source'!AD620&gt;=3.5,"A-",IF('Data Source'!AD620&gt;=3,"B",IF('Data Source'!AD620&gt;=2,"C",IF('Data Source'!AD620&gt;=1,"D","F")))))))</f>
        <v/>
      </c>
      <c r="M620" s="3">
        <f>IF('Data Source'!B620="","",IF('Data Source'!AE620&gt;=5,"A+",IF('Data Source'!AE620&gt;=4,"A",IF('Data Source'!AE620&gt;=3.5,"A-",IF('Data Source'!AE620&gt;=3,"B",IF('Data Source'!AE620&gt;=2,"C",IF('Data Source'!AE620&gt;=1,"D","F")))))))</f>
        <v/>
      </c>
      <c r="N620" s="3">
        <f>IF('Data Source'!B620="","",IF('Data Source'!AF620&gt;=5,"A+",IF('Data Source'!AF620&gt;=4,"A",IF('Data Source'!AF620&gt;=3.5,"A-",IF('Data Source'!AF620&gt;=3,"B",IF('Data Source'!AF620&gt;=2,"C",IF('Data Source'!AF620&gt;=1,"D","F")))))))</f>
        <v/>
      </c>
      <c r="O620" s="3">
        <f>IF('Data Source'!B620="","",IF('Data Source'!AG620&gt;=5,"A+",IF('Data Source'!AG620&gt;=4,"A",IF('Data Source'!AG620&gt;=3.5,"A-",IF('Data Source'!AG620&gt;=3,"B",IF('Data Source'!AG620&gt;=2,"C",IF('Data Source'!AG620&gt;=1,"D","F")))))))</f>
        <v/>
      </c>
      <c r="P620" s="5">
        <f>IF('Data Source'!B620="","",'Data Source'!R620)</f>
        <v/>
      </c>
      <c r="Q620" s="3">
        <f>IF('Data Source'!B620="","",'Data Source'!S620)</f>
        <v/>
      </c>
    </row>
    <row r="621">
      <c r="A621" s="3">
        <f>IF('Data Source'!B621="","",'Data Source'!A621)</f>
        <v/>
      </c>
      <c r="B621">
        <f>IF('Data Source'!B621="","",'Data Source'!B621)</f>
        <v/>
      </c>
      <c r="C621" s="3">
        <f>IF('Data Source'!B621="","",IF('Data Source'!U621&gt;=5,"A+",IF('Data Source'!U621&gt;=4,"A",IF('Data Source'!U621&gt;=3.5,"A-",IF('Data Source'!U621&gt;=3,"B",IF('Data Source'!U621&gt;=2,"C",IF('Data Source'!U621&gt;=1,"D","F")))))))</f>
        <v/>
      </c>
      <c r="D621" s="3">
        <f>IF('Data Source'!B621="","",IF('Data Source'!V621&gt;=5,"A+",IF('Data Source'!V621&gt;=4,"A",IF('Data Source'!V621&gt;=3.5,"A-",IF('Data Source'!V621&gt;=3,"B",IF('Data Source'!V621&gt;=2,"C",IF('Data Source'!V621&gt;=1,"D","F")))))))</f>
        <v/>
      </c>
      <c r="E621" s="3">
        <f>IF('Data Source'!B621="","",IF('Data Source'!W621&gt;=5,"A+",IF('Data Source'!W621&gt;=4,"A",IF('Data Source'!W621&gt;=3.5,"A-",IF('Data Source'!W621&gt;=3,"B",IF('Data Source'!W621&gt;=2,"C",IF('Data Source'!W621&gt;=1,"D","F")))))))</f>
        <v/>
      </c>
      <c r="F621" s="3">
        <f>IF('Data Source'!B621="","",IF('Data Source'!X621&gt;=5,"A+",IF('Data Source'!X621&gt;=4,"A",IF('Data Source'!X621&gt;=3.5,"A-",IF('Data Source'!X621&gt;=3,"B",IF('Data Source'!X621&gt;=2,"C",IF('Data Source'!X621&gt;=1,"D","F")))))))</f>
        <v/>
      </c>
      <c r="G621" s="3">
        <f>IF('Data Source'!B621="","",IF('Data Source'!Y621&gt;=5,"A+",IF('Data Source'!Y621&gt;=4,"A",IF('Data Source'!Y621&gt;=3.5,"A-",IF('Data Source'!Y621&gt;=3,"B",IF('Data Source'!Y621&gt;=2,"C",IF('Data Source'!Y621&gt;=1,"D","F")))))))</f>
        <v/>
      </c>
      <c r="H621" s="3">
        <f>IF('Data Source'!B621="","",IF('Data Source'!Z621&gt;=5,"A+",IF('Data Source'!Z621&gt;=4,"A",IF('Data Source'!Z621&gt;=3.5,"A-",IF('Data Source'!Z621&gt;=3,"B",IF('Data Source'!Z621&gt;=2,"C",IF('Data Source'!Z621&gt;=1,"D","F")))))))</f>
        <v/>
      </c>
      <c r="I621" s="3">
        <f>IF('Data Source'!B621="","",IF('Data Source'!AA621&gt;=5,"A+",IF('Data Source'!AA621&gt;=4,"A",IF('Data Source'!AA621&gt;=3.5,"A-",IF('Data Source'!AA621&gt;=3,"B",IF('Data Source'!AA621&gt;=2,"C",IF('Data Source'!AA621&gt;=1,"D","F")))))))</f>
        <v/>
      </c>
      <c r="J621" s="3">
        <f>IF('Data Source'!B621="","",IF('Data Source'!AB621&gt;=5,"A+",IF('Data Source'!AB621&gt;=4,"A",IF('Data Source'!AB621&gt;=3.5,"A-",IF('Data Source'!AB621&gt;=3,"B",IF('Data Source'!AB621&gt;=2,"C",IF('Data Source'!AB621&gt;=1,"D","F")))))))</f>
        <v/>
      </c>
      <c r="K621" s="3">
        <f>IF('Data Source'!B621="","",IF('Data Source'!AC621&gt;=5,"A+",IF('Data Source'!AC621&gt;=4,"A",IF('Data Source'!AC621&gt;=3.5,"A-",IF('Data Source'!AC621&gt;=3,"B",IF('Data Source'!AC621&gt;=2,"C",IF('Data Source'!AC621&gt;=1,"D","F")))))))</f>
        <v/>
      </c>
      <c r="L621" s="3">
        <f>IF('Data Source'!B621="","",IF('Data Source'!AD621&gt;=5,"A+",IF('Data Source'!AD621&gt;=4,"A",IF('Data Source'!AD621&gt;=3.5,"A-",IF('Data Source'!AD621&gt;=3,"B",IF('Data Source'!AD621&gt;=2,"C",IF('Data Source'!AD621&gt;=1,"D","F")))))))</f>
        <v/>
      </c>
      <c r="M621" s="3">
        <f>IF('Data Source'!B621="","",IF('Data Source'!AE621&gt;=5,"A+",IF('Data Source'!AE621&gt;=4,"A",IF('Data Source'!AE621&gt;=3.5,"A-",IF('Data Source'!AE621&gt;=3,"B",IF('Data Source'!AE621&gt;=2,"C",IF('Data Source'!AE621&gt;=1,"D","F")))))))</f>
        <v/>
      </c>
      <c r="N621" s="3">
        <f>IF('Data Source'!B621="","",IF('Data Source'!AF621&gt;=5,"A+",IF('Data Source'!AF621&gt;=4,"A",IF('Data Source'!AF621&gt;=3.5,"A-",IF('Data Source'!AF621&gt;=3,"B",IF('Data Source'!AF621&gt;=2,"C",IF('Data Source'!AF621&gt;=1,"D","F")))))))</f>
        <v/>
      </c>
      <c r="O621" s="3">
        <f>IF('Data Source'!B621="","",IF('Data Source'!AG621&gt;=5,"A+",IF('Data Source'!AG621&gt;=4,"A",IF('Data Source'!AG621&gt;=3.5,"A-",IF('Data Source'!AG621&gt;=3,"B",IF('Data Source'!AG621&gt;=2,"C",IF('Data Source'!AG621&gt;=1,"D","F")))))))</f>
        <v/>
      </c>
      <c r="P621" s="5">
        <f>IF('Data Source'!B621="","",'Data Source'!R621)</f>
        <v/>
      </c>
      <c r="Q621" s="3">
        <f>IF('Data Source'!B621="","",'Data Source'!S621)</f>
        <v/>
      </c>
    </row>
    <row r="622">
      <c r="A622" s="3">
        <f>IF('Data Source'!B622="","",'Data Source'!A622)</f>
        <v/>
      </c>
      <c r="B622">
        <f>IF('Data Source'!B622="","",'Data Source'!B622)</f>
        <v/>
      </c>
      <c r="C622" s="3">
        <f>IF('Data Source'!B622="","",IF('Data Source'!U622&gt;=5,"A+",IF('Data Source'!U622&gt;=4,"A",IF('Data Source'!U622&gt;=3.5,"A-",IF('Data Source'!U622&gt;=3,"B",IF('Data Source'!U622&gt;=2,"C",IF('Data Source'!U622&gt;=1,"D","F")))))))</f>
        <v/>
      </c>
      <c r="D622" s="3">
        <f>IF('Data Source'!B622="","",IF('Data Source'!V622&gt;=5,"A+",IF('Data Source'!V622&gt;=4,"A",IF('Data Source'!V622&gt;=3.5,"A-",IF('Data Source'!V622&gt;=3,"B",IF('Data Source'!V622&gt;=2,"C",IF('Data Source'!V622&gt;=1,"D","F")))))))</f>
        <v/>
      </c>
      <c r="E622" s="3">
        <f>IF('Data Source'!B622="","",IF('Data Source'!W622&gt;=5,"A+",IF('Data Source'!W622&gt;=4,"A",IF('Data Source'!W622&gt;=3.5,"A-",IF('Data Source'!W622&gt;=3,"B",IF('Data Source'!W622&gt;=2,"C",IF('Data Source'!W622&gt;=1,"D","F")))))))</f>
        <v/>
      </c>
      <c r="F622" s="3">
        <f>IF('Data Source'!B622="","",IF('Data Source'!X622&gt;=5,"A+",IF('Data Source'!X622&gt;=4,"A",IF('Data Source'!X622&gt;=3.5,"A-",IF('Data Source'!X622&gt;=3,"B",IF('Data Source'!X622&gt;=2,"C",IF('Data Source'!X622&gt;=1,"D","F")))))))</f>
        <v/>
      </c>
      <c r="G622" s="3">
        <f>IF('Data Source'!B622="","",IF('Data Source'!Y622&gt;=5,"A+",IF('Data Source'!Y622&gt;=4,"A",IF('Data Source'!Y622&gt;=3.5,"A-",IF('Data Source'!Y622&gt;=3,"B",IF('Data Source'!Y622&gt;=2,"C",IF('Data Source'!Y622&gt;=1,"D","F")))))))</f>
        <v/>
      </c>
      <c r="H622" s="3">
        <f>IF('Data Source'!B622="","",IF('Data Source'!Z622&gt;=5,"A+",IF('Data Source'!Z622&gt;=4,"A",IF('Data Source'!Z622&gt;=3.5,"A-",IF('Data Source'!Z622&gt;=3,"B",IF('Data Source'!Z622&gt;=2,"C",IF('Data Source'!Z622&gt;=1,"D","F")))))))</f>
        <v/>
      </c>
      <c r="I622" s="3">
        <f>IF('Data Source'!B622="","",IF('Data Source'!AA622&gt;=5,"A+",IF('Data Source'!AA622&gt;=4,"A",IF('Data Source'!AA622&gt;=3.5,"A-",IF('Data Source'!AA622&gt;=3,"B",IF('Data Source'!AA622&gt;=2,"C",IF('Data Source'!AA622&gt;=1,"D","F")))))))</f>
        <v/>
      </c>
      <c r="J622" s="3">
        <f>IF('Data Source'!B622="","",IF('Data Source'!AB622&gt;=5,"A+",IF('Data Source'!AB622&gt;=4,"A",IF('Data Source'!AB622&gt;=3.5,"A-",IF('Data Source'!AB622&gt;=3,"B",IF('Data Source'!AB622&gt;=2,"C",IF('Data Source'!AB622&gt;=1,"D","F")))))))</f>
        <v/>
      </c>
      <c r="K622" s="3">
        <f>IF('Data Source'!B622="","",IF('Data Source'!AC622&gt;=5,"A+",IF('Data Source'!AC622&gt;=4,"A",IF('Data Source'!AC622&gt;=3.5,"A-",IF('Data Source'!AC622&gt;=3,"B",IF('Data Source'!AC622&gt;=2,"C",IF('Data Source'!AC622&gt;=1,"D","F")))))))</f>
        <v/>
      </c>
      <c r="L622" s="3">
        <f>IF('Data Source'!B622="","",IF('Data Source'!AD622&gt;=5,"A+",IF('Data Source'!AD622&gt;=4,"A",IF('Data Source'!AD622&gt;=3.5,"A-",IF('Data Source'!AD622&gt;=3,"B",IF('Data Source'!AD622&gt;=2,"C",IF('Data Source'!AD622&gt;=1,"D","F")))))))</f>
        <v/>
      </c>
      <c r="M622" s="3">
        <f>IF('Data Source'!B622="","",IF('Data Source'!AE622&gt;=5,"A+",IF('Data Source'!AE622&gt;=4,"A",IF('Data Source'!AE622&gt;=3.5,"A-",IF('Data Source'!AE622&gt;=3,"B",IF('Data Source'!AE622&gt;=2,"C",IF('Data Source'!AE622&gt;=1,"D","F")))))))</f>
        <v/>
      </c>
      <c r="N622" s="3">
        <f>IF('Data Source'!B622="","",IF('Data Source'!AF622&gt;=5,"A+",IF('Data Source'!AF622&gt;=4,"A",IF('Data Source'!AF622&gt;=3.5,"A-",IF('Data Source'!AF622&gt;=3,"B",IF('Data Source'!AF622&gt;=2,"C",IF('Data Source'!AF622&gt;=1,"D","F")))))))</f>
        <v/>
      </c>
      <c r="O622" s="3">
        <f>IF('Data Source'!B622="","",IF('Data Source'!AG622&gt;=5,"A+",IF('Data Source'!AG622&gt;=4,"A",IF('Data Source'!AG622&gt;=3.5,"A-",IF('Data Source'!AG622&gt;=3,"B",IF('Data Source'!AG622&gt;=2,"C",IF('Data Source'!AG622&gt;=1,"D","F")))))))</f>
        <v/>
      </c>
      <c r="P622" s="5">
        <f>IF('Data Source'!B622="","",'Data Source'!R622)</f>
        <v/>
      </c>
      <c r="Q622" s="3">
        <f>IF('Data Source'!B622="","",'Data Source'!S622)</f>
        <v/>
      </c>
    </row>
    <row r="623">
      <c r="A623" s="3">
        <f>IF('Data Source'!B623="","",'Data Source'!A623)</f>
        <v/>
      </c>
      <c r="B623">
        <f>IF('Data Source'!B623="","",'Data Source'!B623)</f>
        <v/>
      </c>
      <c r="C623" s="3">
        <f>IF('Data Source'!B623="","",IF('Data Source'!U623&gt;=5,"A+",IF('Data Source'!U623&gt;=4,"A",IF('Data Source'!U623&gt;=3.5,"A-",IF('Data Source'!U623&gt;=3,"B",IF('Data Source'!U623&gt;=2,"C",IF('Data Source'!U623&gt;=1,"D","F")))))))</f>
        <v/>
      </c>
      <c r="D623" s="3">
        <f>IF('Data Source'!B623="","",IF('Data Source'!V623&gt;=5,"A+",IF('Data Source'!V623&gt;=4,"A",IF('Data Source'!V623&gt;=3.5,"A-",IF('Data Source'!V623&gt;=3,"B",IF('Data Source'!V623&gt;=2,"C",IF('Data Source'!V623&gt;=1,"D","F")))))))</f>
        <v/>
      </c>
      <c r="E623" s="3">
        <f>IF('Data Source'!B623="","",IF('Data Source'!W623&gt;=5,"A+",IF('Data Source'!W623&gt;=4,"A",IF('Data Source'!W623&gt;=3.5,"A-",IF('Data Source'!W623&gt;=3,"B",IF('Data Source'!W623&gt;=2,"C",IF('Data Source'!W623&gt;=1,"D","F")))))))</f>
        <v/>
      </c>
      <c r="F623" s="3">
        <f>IF('Data Source'!B623="","",IF('Data Source'!X623&gt;=5,"A+",IF('Data Source'!X623&gt;=4,"A",IF('Data Source'!X623&gt;=3.5,"A-",IF('Data Source'!X623&gt;=3,"B",IF('Data Source'!X623&gt;=2,"C",IF('Data Source'!X623&gt;=1,"D","F")))))))</f>
        <v/>
      </c>
      <c r="G623" s="3">
        <f>IF('Data Source'!B623="","",IF('Data Source'!Y623&gt;=5,"A+",IF('Data Source'!Y623&gt;=4,"A",IF('Data Source'!Y623&gt;=3.5,"A-",IF('Data Source'!Y623&gt;=3,"B",IF('Data Source'!Y623&gt;=2,"C",IF('Data Source'!Y623&gt;=1,"D","F")))))))</f>
        <v/>
      </c>
      <c r="H623" s="3">
        <f>IF('Data Source'!B623="","",IF('Data Source'!Z623&gt;=5,"A+",IF('Data Source'!Z623&gt;=4,"A",IF('Data Source'!Z623&gt;=3.5,"A-",IF('Data Source'!Z623&gt;=3,"B",IF('Data Source'!Z623&gt;=2,"C",IF('Data Source'!Z623&gt;=1,"D","F")))))))</f>
        <v/>
      </c>
      <c r="I623" s="3">
        <f>IF('Data Source'!B623="","",IF('Data Source'!AA623&gt;=5,"A+",IF('Data Source'!AA623&gt;=4,"A",IF('Data Source'!AA623&gt;=3.5,"A-",IF('Data Source'!AA623&gt;=3,"B",IF('Data Source'!AA623&gt;=2,"C",IF('Data Source'!AA623&gt;=1,"D","F")))))))</f>
        <v/>
      </c>
      <c r="J623" s="3">
        <f>IF('Data Source'!B623="","",IF('Data Source'!AB623&gt;=5,"A+",IF('Data Source'!AB623&gt;=4,"A",IF('Data Source'!AB623&gt;=3.5,"A-",IF('Data Source'!AB623&gt;=3,"B",IF('Data Source'!AB623&gt;=2,"C",IF('Data Source'!AB623&gt;=1,"D","F")))))))</f>
        <v/>
      </c>
      <c r="K623" s="3">
        <f>IF('Data Source'!B623="","",IF('Data Source'!AC623&gt;=5,"A+",IF('Data Source'!AC623&gt;=4,"A",IF('Data Source'!AC623&gt;=3.5,"A-",IF('Data Source'!AC623&gt;=3,"B",IF('Data Source'!AC623&gt;=2,"C",IF('Data Source'!AC623&gt;=1,"D","F")))))))</f>
        <v/>
      </c>
      <c r="L623" s="3">
        <f>IF('Data Source'!B623="","",IF('Data Source'!AD623&gt;=5,"A+",IF('Data Source'!AD623&gt;=4,"A",IF('Data Source'!AD623&gt;=3.5,"A-",IF('Data Source'!AD623&gt;=3,"B",IF('Data Source'!AD623&gt;=2,"C",IF('Data Source'!AD623&gt;=1,"D","F")))))))</f>
        <v/>
      </c>
      <c r="M623" s="3">
        <f>IF('Data Source'!B623="","",IF('Data Source'!AE623&gt;=5,"A+",IF('Data Source'!AE623&gt;=4,"A",IF('Data Source'!AE623&gt;=3.5,"A-",IF('Data Source'!AE623&gt;=3,"B",IF('Data Source'!AE623&gt;=2,"C",IF('Data Source'!AE623&gt;=1,"D","F")))))))</f>
        <v/>
      </c>
      <c r="N623" s="3">
        <f>IF('Data Source'!B623="","",IF('Data Source'!AF623&gt;=5,"A+",IF('Data Source'!AF623&gt;=4,"A",IF('Data Source'!AF623&gt;=3.5,"A-",IF('Data Source'!AF623&gt;=3,"B",IF('Data Source'!AF623&gt;=2,"C",IF('Data Source'!AF623&gt;=1,"D","F")))))))</f>
        <v/>
      </c>
      <c r="O623" s="3">
        <f>IF('Data Source'!B623="","",IF('Data Source'!AG623&gt;=5,"A+",IF('Data Source'!AG623&gt;=4,"A",IF('Data Source'!AG623&gt;=3.5,"A-",IF('Data Source'!AG623&gt;=3,"B",IF('Data Source'!AG623&gt;=2,"C",IF('Data Source'!AG623&gt;=1,"D","F")))))))</f>
        <v/>
      </c>
      <c r="P623" s="5">
        <f>IF('Data Source'!B623="","",'Data Source'!R623)</f>
        <v/>
      </c>
      <c r="Q623" s="3">
        <f>IF('Data Source'!B623="","",'Data Source'!S623)</f>
        <v/>
      </c>
    </row>
    <row r="624">
      <c r="A624" s="3">
        <f>IF('Data Source'!B624="","",'Data Source'!A624)</f>
        <v/>
      </c>
      <c r="B624">
        <f>IF('Data Source'!B624="","",'Data Source'!B624)</f>
        <v/>
      </c>
      <c r="C624" s="3">
        <f>IF('Data Source'!B624="","",IF('Data Source'!U624&gt;=5,"A+",IF('Data Source'!U624&gt;=4,"A",IF('Data Source'!U624&gt;=3.5,"A-",IF('Data Source'!U624&gt;=3,"B",IF('Data Source'!U624&gt;=2,"C",IF('Data Source'!U624&gt;=1,"D","F")))))))</f>
        <v/>
      </c>
      <c r="D624" s="3">
        <f>IF('Data Source'!B624="","",IF('Data Source'!V624&gt;=5,"A+",IF('Data Source'!V624&gt;=4,"A",IF('Data Source'!V624&gt;=3.5,"A-",IF('Data Source'!V624&gt;=3,"B",IF('Data Source'!V624&gt;=2,"C",IF('Data Source'!V624&gt;=1,"D","F")))))))</f>
        <v/>
      </c>
      <c r="E624" s="3">
        <f>IF('Data Source'!B624="","",IF('Data Source'!W624&gt;=5,"A+",IF('Data Source'!W624&gt;=4,"A",IF('Data Source'!W624&gt;=3.5,"A-",IF('Data Source'!W624&gt;=3,"B",IF('Data Source'!W624&gt;=2,"C",IF('Data Source'!W624&gt;=1,"D","F")))))))</f>
        <v/>
      </c>
      <c r="F624" s="3">
        <f>IF('Data Source'!B624="","",IF('Data Source'!X624&gt;=5,"A+",IF('Data Source'!X624&gt;=4,"A",IF('Data Source'!X624&gt;=3.5,"A-",IF('Data Source'!X624&gt;=3,"B",IF('Data Source'!X624&gt;=2,"C",IF('Data Source'!X624&gt;=1,"D","F")))))))</f>
        <v/>
      </c>
      <c r="G624" s="3">
        <f>IF('Data Source'!B624="","",IF('Data Source'!Y624&gt;=5,"A+",IF('Data Source'!Y624&gt;=4,"A",IF('Data Source'!Y624&gt;=3.5,"A-",IF('Data Source'!Y624&gt;=3,"B",IF('Data Source'!Y624&gt;=2,"C",IF('Data Source'!Y624&gt;=1,"D","F")))))))</f>
        <v/>
      </c>
      <c r="H624" s="3">
        <f>IF('Data Source'!B624="","",IF('Data Source'!Z624&gt;=5,"A+",IF('Data Source'!Z624&gt;=4,"A",IF('Data Source'!Z624&gt;=3.5,"A-",IF('Data Source'!Z624&gt;=3,"B",IF('Data Source'!Z624&gt;=2,"C",IF('Data Source'!Z624&gt;=1,"D","F")))))))</f>
        <v/>
      </c>
      <c r="I624" s="3">
        <f>IF('Data Source'!B624="","",IF('Data Source'!AA624&gt;=5,"A+",IF('Data Source'!AA624&gt;=4,"A",IF('Data Source'!AA624&gt;=3.5,"A-",IF('Data Source'!AA624&gt;=3,"B",IF('Data Source'!AA624&gt;=2,"C",IF('Data Source'!AA624&gt;=1,"D","F")))))))</f>
        <v/>
      </c>
      <c r="J624" s="3">
        <f>IF('Data Source'!B624="","",IF('Data Source'!AB624&gt;=5,"A+",IF('Data Source'!AB624&gt;=4,"A",IF('Data Source'!AB624&gt;=3.5,"A-",IF('Data Source'!AB624&gt;=3,"B",IF('Data Source'!AB624&gt;=2,"C",IF('Data Source'!AB624&gt;=1,"D","F")))))))</f>
        <v/>
      </c>
      <c r="K624" s="3">
        <f>IF('Data Source'!B624="","",IF('Data Source'!AC624&gt;=5,"A+",IF('Data Source'!AC624&gt;=4,"A",IF('Data Source'!AC624&gt;=3.5,"A-",IF('Data Source'!AC624&gt;=3,"B",IF('Data Source'!AC624&gt;=2,"C",IF('Data Source'!AC624&gt;=1,"D","F")))))))</f>
        <v/>
      </c>
      <c r="L624" s="3">
        <f>IF('Data Source'!B624="","",IF('Data Source'!AD624&gt;=5,"A+",IF('Data Source'!AD624&gt;=4,"A",IF('Data Source'!AD624&gt;=3.5,"A-",IF('Data Source'!AD624&gt;=3,"B",IF('Data Source'!AD624&gt;=2,"C",IF('Data Source'!AD624&gt;=1,"D","F")))))))</f>
        <v/>
      </c>
      <c r="M624" s="3">
        <f>IF('Data Source'!B624="","",IF('Data Source'!AE624&gt;=5,"A+",IF('Data Source'!AE624&gt;=4,"A",IF('Data Source'!AE624&gt;=3.5,"A-",IF('Data Source'!AE624&gt;=3,"B",IF('Data Source'!AE624&gt;=2,"C",IF('Data Source'!AE624&gt;=1,"D","F")))))))</f>
        <v/>
      </c>
      <c r="N624" s="3">
        <f>IF('Data Source'!B624="","",IF('Data Source'!AF624&gt;=5,"A+",IF('Data Source'!AF624&gt;=4,"A",IF('Data Source'!AF624&gt;=3.5,"A-",IF('Data Source'!AF624&gt;=3,"B",IF('Data Source'!AF624&gt;=2,"C",IF('Data Source'!AF624&gt;=1,"D","F")))))))</f>
        <v/>
      </c>
      <c r="O624" s="3">
        <f>IF('Data Source'!B624="","",IF('Data Source'!AG624&gt;=5,"A+",IF('Data Source'!AG624&gt;=4,"A",IF('Data Source'!AG624&gt;=3.5,"A-",IF('Data Source'!AG624&gt;=3,"B",IF('Data Source'!AG624&gt;=2,"C",IF('Data Source'!AG624&gt;=1,"D","F")))))))</f>
        <v/>
      </c>
      <c r="P624" s="5">
        <f>IF('Data Source'!B624="","",'Data Source'!R624)</f>
        <v/>
      </c>
      <c r="Q624" s="3">
        <f>IF('Data Source'!B624="","",'Data Source'!S624)</f>
        <v/>
      </c>
    </row>
    <row r="625">
      <c r="A625" s="3">
        <f>IF('Data Source'!B625="","",'Data Source'!A625)</f>
        <v/>
      </c>
      <c r="B625">
        <f>IF('Data Source'!B625="","",'Data Source'!B625)</f>
        <v/>
      </c>
      <c r="C625" s="3">
        <f>IF('Data Source'!B625="","",IF('Data Source'!U625&gt;=5,"A+",IF('Data Source'!U625&gt;=4,"A",IF('Data Source'!U625&gt;=3.5,"A-",IF('Data Source'!U625&gt;=3,"B",IF('Data Source'!U625&gt;=2,"C",IF('Data Source'!U625&gt;=1,"D","F")))))))</f>
        <v/>
      </c>
      <c r="D625" s="3">
        <f>IF('Data Source'!B625="","",IF('Data Source'!V625&gt;=5,"A+",IF('Data Source'!V625&gt;=4,"A",IF('Data Source'!V625&gt;=3.5,"A-",IF('Data Source'!V625&gt;=3,"B",IF('Data Source'!V625&gt;=2,"C",IF('Data Source'!V625&gt;=1,"D","F")))))))</f>
        <v/>
      </c>
      <c r="E625" s="3">
        <f>IF('Data Source'!B625="","",IF('Data Source'!W625&gt;=5,"A+",IF('Data Source'!W625&gt;=4,"A",IF('Data Source'!W625&gt;=3.5,"A-",IF('Data Source'!W625&gt;=3,"B",IF('Data Source'!W625&gt;=2,"C",IF('Data Source'!W625&gt;=1,"D","F")))))))</f>
        <v/>
      </c>
      <c r="F625" s="3">
        <f>IF('Data Source'!B625="","",IF('Data Source'!X625&gt;=5,"A+",IF('Data Source'!X625&gt;=4,"A",IF('Data Source'!X625&gt;=3.5,"A-",IF('Data Source'!X625&gt;=3,"B",IF('Data Source'!X625&gt;=2,"C",IF('Data Source'!X625&gt;=1,"D","F")))))))</f>
        <v/>
      </c>
      <c r="G625" s="3">
        <f>IF('Data Source'!B625="","",IF('Data Source'!Y625&gt;=5,"A+",IF('Data Source'!Y625&gt;=4,"A",IF('Data Source'!Y625&gt;=3.5,"A-",IF('Data Source'!Y625&gt;=3,"B",IF('Data Source'!Y625&gt;=2,"C",IF('Data Source'!Y625&gt;=1,"D","F")))))))</f>
        <v/>
      </c>
      <c r="H625" s="3">
        <f>IF('Data Source'!B625="","",IF('Data Source'!Z625&gt;=5,"A+",IF('Data Source'!Z625&gt;=4,"A",IF('Data Source'!Z625&gt;=3.5,"A-",IF('Data Source'!Z625&gt;=3,"B",IF('Data Source'!Z625&gt;=2,"C",IF('Data Source'!Z625&gt;=1,"D","F")))))))</f>
        <v/>
      </c>
      <c r="I625" s="3">
        <f>IF('Data Source'!B625="","",IF('Data Source'!AA625&gt;=5,"A+",IF('Data Source'!AA625&gt;=4,"A",IF('Data Source'!AA625&gt;=3.5,"A-",IF('Data Source'!AA625&gt;=3,"B",IF('Data Source'!AA625&gt;=2,"C",IF('Data Source'!AA625&gt;=1,"D","F")))))))</f>
        <v/>
      </c>
      <c r="J625" s="3">
        <f>IF('Data Source'!B625="","",IF('Data Source'!AB625&gt;=5,"A+",IF('Data Source'!AB625&gt;=4,"A",IF('Data Source'!AB625&gt;=3.5,"A-",IF('Data Source'!AB625&gt;=3,"B",IF('Data Source'!AB625&gt;=2,"C",IF('Data Source'!AB625&gt;=1,"D","F")))))))</f>
        <v/>
      </c>
      <c r="K625" s="3">
        <f>IF('Data Source'!B625="","",IF('Data Source'!AC625&gt;=5,"A+",IF('Data Source'!AC625&gt;=4,"A",IF('Data Source'!AC625&gt;=3.5,"A-",IF('Data Source'!AC625&gt;=3,"B",IF('Data Source'!AC625&gt;=2,"C",IF('Data Source'!AC625&gt;=1,"D","F")))))))</f>
        <v/>
      </c>
      <c r="L625" s="3">
        <f>IF('Data Source'!B625="","",IF('Data Source'!AD625&gt;=5,"A+",IF('Data Source'!AD625&gt;=4,"A",IF('Data Source'!AD625&gt;=3.5,"A-",IF('Data Source'!AD625&gt;=3,"B",IF('Data Source'!AD625&gt;=2,"C",IF('Data Source'!AD625&gt;=1,"D","F")))))))</f>
        <v/>
      </c>
      <c r="M625" s="3">
        <f>IF('Data Source'!B625="","",IF('Data Source'!AE625&gt;=5,"A+",IF('Data Source'!AE625&gt;=4,"A",IF('Data Source'!AE625&gt;=3.5,"A-",IF('Data Source'!AE625&gt;=3,"B",IF('Data Source'!AE625&gt;=2,"C",IF('Data Source'!AE625&gt;=1,"D","F")))))))</f>
        <v/>
      </c>
      <c r="N625" s="3">
        <f>IF('Data Source'!B625="","",IF('Data Source'!AF625&gt;=5,"A+",IF('Data Source'!AF625&gt;=4,"A",IF('Data Source'!AF625&gt;=3.5,"A-",IF('Data Source'!AF625&gt;=3,"B",IF('Data Source'!AF625&gt;=2,"C",IF('Data Source'!AF625&gt;=1,"D","F")))))))</f>
        <v/>
      </c>
      <c r="O625" s="3">
        <f>IF('Data Source'!B625="","",IF('Data Source'!AG625&gt;=5,"A+",IF('Data Source'!AG625&gt;=4,"A",IF('Data Source'!AG625&gt;=3.5,"A-",IF('Data Source'!AG625&gt;=3,"B",IF('Data Source'!AG625&gt;=2,"C",IF('Data Source'!AG625&gt;=1,"D","F")))))))</f>
        <v/>
      </c>
      <c r="P625" s="5">
        <f>IF('Data Source'!B625="","",'Data Source'!R625)</f>
        <v/>
      </c>
      <c r="Q625" s="3">
        <f>IF('Data Source'!B625="","",'Data Source'!S625)</f>
        <v/>
      </c>
    </row>
    <row r="626">
      <c r="A626" s="3">
        <f>IF('Data Source'!B626="","",'Data Source'!A626)</f>
        <v/>
      </c>
      <c r="B626">
        <f>IF('Data Source'!B626="","",'Data Source'!B626)</f>
        <v/>
      </c>
      <c r="C626" s="3">
        <f>IF('Data Source'!B626="","",IF('Data Source'!U626&gt;=5,"A+",IF('Data Source'!U626&gt;=4,"A",IF('Data Source'!U626&gt;=3.5,"A-",IF('Data Source'!U626&gt;=3,"B",IF('Data Source'!U626&gt;=2,"C",IF('Data Source'!U626&gt;=1,"D","F")))))))</f>
        <v/>
      </c>
      <c r="D626" s="3">
        <f>IF('Data Source'!B626="","",IF('Data Source'!V626&gt;=5,"A+",IF('Data Source'!V626&gt;=4,"A",IF('Data Source'!V626&gt;=3.5,"A-",IF('Data Source'!V626&gt;=3,"B",IF('Data Source'!V626&gt;=2,"C",IF('Data Source'!V626&gt;=1,"D","F")))))))</f>
        <v/>
      </c>
      <c r="E626" s="3">
        <f>IF('Data Source'!B626="","",IF('Data Source'!W626&gt;=5,"A+",IF('Data Source'!W626&gt;=4,"A",IF('Data Source'!W626&gt;=3.5,"A-",IF('Data Source'!W626&gt;=3,"B",IF('Data Source'!W626&gt;=2,"C",IF('Data Source'!W626&gt;=1,"D","F")))))))</f>
        <v/>
      </c>
      <c r="F626" s="3">
        <f>IF('Data Source'!B626="","",IF('Data Source'!X626&gt;=5,"A+",IF('Data Source'!X626&gt;=4,"A",IF('Data Source'!X626&gt;=3.5,"A-",IF('Data Source'!X626&gt;=3,"B",IF('Data Source'!X626&gt;=2,"C",IF('Data Source'!X626&gt;=1,"D","F")))))))</f>
        <v/>
      </c>
      <c r="G626" s="3">
        <f>IF('Data Source'!B626="","",IF('Data Source'!Y626&gt;=5,"A+",IF('Data Source'!Y626&gt;=4,"A",IF('Data Source'!Y626&gt;=3.5,"A-",IF('Data Source'!Y626&gt;=3,"B",IF('Data Source'!Y626&gt;=2,"C",IF('Data Source'!Y626&gt;=1,"D","F")))))))</f>
        <v/>
      </c>
      <c r="H626" s="3">
        <f>IF('Data Source'!B626="","",IF('Data Source'!Z626&gt;=5,"A+",IF('Data Source'!Z626&gt;=4,"A",IF('Data Source'!Z626&gt;=3.5,"A-",IF('Data Source'!Z626&gt;=3,"B",IF('Data Source'!Z626&gt;=2,"C",IF('Data Source'!Z626&gt;=1,"D","F")))))))</f>
        <v/>
      </c>
      <c r="I626" s="3">
        <f>IF('Data Source'!B626="","",IF('Data Source'!AA626&gt;=5,"A+",IF('Data Source'!AA626&gt;=4,"A",IF('Data Source'!AA626&gt;=3.5,"A-",IF('Data Source'!AA626&gt;=3,"B",IF('Data Source'!AA626&gt;=2,"C",IF('Data Source'!AA626&gt;=1,"D","F")))))))</f>
        <v/>
      </c>
      <c r="J626" s="3">
        <f>IF('Data Source'!B626="","",IF('Data Source'!AB626&gt;=5,"A+",IF('Data Source'!AB626&gt;=4,"A",IF('Data Source'!AB626&gt;=3.5,"A-",IF('Data Source'!AB626&gt;=3,"B",IF('Data Source'!AB626&gt;=2,"C",IF('Data Source'!AB626&gt;=1,"D","F")))))))</f>
        <v/>
      </c>
      <c r="K626" s="3">
        <f>IF('Data Source'!B626="","",IF('Data Source'!AC626&gt;=5,"A+",IF('Data Source'!AC626&gt;=4,"A",IF('Data Source'!AC626&gt;=3.5,"A-",IF('Data Source'!AC626&gt;=3,"B",IF('Data Source'!AC626&gt;=2,"C",IF('Data Source'!AC626&gt;=1,"D","F")))))))</f>
        <v/>
      </c>
      <c r="L626" s="3">
        <f>IF('Data Source'!B626="","",IF('Data Source'!AD626&gt;=5,"A+",IF('Data Source'!AD626&gt;=4,"A",IF('Data Source'!AD626&gt;=3.5,"A-",IF('Data Source'!AD626&gt;=3,"B",IF('Data Source'!AD626&gt;=2,"C",IF('Data Source'!AD626&gt;=1,"D","F")))))))</f>
        <v/>
      </c>
      <c r="M626" s="3">
        <f>IF('Data Source'!B626="","",IF('Data Source'!AE626&gt;=5,"A+",IF('Data Source'!AE626&gt;=4,"A",IF('Data Source'!AE626&gt;=3.5,"A-",IF('Data Source'!AE626&gt;=3,"B",IF('Data Source'!AE626&gt;=2,"C",IF('Data Source'!AE626&gt;=1,"D","F")))))))</f>
        <v/>
      </c>
      <c r="N626" s="3">
        <f>IF('Data Source'!B626="","",IF('Data Source'!AF626&gt;=5,"A+",IF('Data Source'!AF626&gt;=4,"A",IF('Data Source'!AF626&gt;=3.5,"A-",IF('Data Source'!AF626&gt;=3,"B",IF('Data Source'!AF626&gt;=2,"C",IF('Data Source'!AF626&gt;=1,"D","F")))))))</f>
        <v/>
      </c>
      <c r="O626" s="3">
        <f>IF('Data Source'!B626="","",IF('Data Source'!AG626&gt;=5,"A+",IF('Data Source'!AG626&gt;=4,"A",IF('Data Source'!AG626&gt;=3.5,"A-",IF('Data Source'!AG626&gt;=3,"B",IF('Data Source'!AG626&gt;=2,"C",IF('Data Source'!AG626&gt;=1,"D","F")))))))</f>
        <v/>
      </c>
      <c r="P626" s="5">
        <f>IF('Data Source'!B626="","",'Data Source'!R626)</f>
        <v/>
      </c>
      <c r="Q626" s="3">
        <f>IF('Data Source'!B626="","",'Data Source'!S626)</f>
        <v/>
      </c>
    </row>
    <row r="627">
      <c r="A627" s="3">
        <f>IF('Data Source'!B627="","",'Data Source'!A627)</f>
        <v/>
      </c>
      <c r="B627">
        <f>IF('Data Source'!B627="","",'Data Source'!B627)</f>
        <v/>
      </c>
      <c r="C627" s="3">
        <f>IF('Data Source'!B627="","",IF('Data Source'!U627&gt;=5,"A+",IF('Data Source'!U627&gt;=4,"A",IF('Data Source'!U627&gt;=3.5,"A-",IF('Data Source'!U627&gt;=3,"B",IF('Data Source'!U627&gt;=2,"C",IF('Data Source'!U627&gt;=1,"D","F")))))))</f>
        <v/>
      </c>
      <c r="D627" s="3">
        <f>IF('Data Source'!B627="","",IF('Data Source'!V627&gt;=5,"A+",IF('Data Source'!V627&gt;=4,"A",IF('Data Source'!V627&gt;=3.5,"A-",IF('Data Source'!V627&gt;=3,"B",IF('Data Source'!V627&gt;=2,"C",IF('Data Source'!V627&gt;=1,"D","F")))))))</f>
        <v/>
      </c>
      <c r="E627" s="3">
        <f>IF('Data Source'!B627="","",IF('Data Source'!W627&gt;=5,"A+",IF('Data Source'!W627&gt;=4,"A",IF('Data Source'!W627&gt;=3.5,"A-",IF('Data Source'!W627&gt;=3,"B",IF('Data Source'!W627&gt;=2,"C",IF('Data Source'!W627&gt;=1,"D","F")))))))</f>
        <v/>
      </c>
      <c r="F627" s="3">
        <f>IF('Data Source'!B627="","",IF('Data Source'!X627&gt;=5,"A+",IF('Data Source'!X627&gt;=4,"A",IF('Data Source'!X627&gt;=3.5,"A-",IF('Data Source'!X627&gt;=3,"B",IF('Data Source'!X627&gt;=2,"C",IF('Data Source'!X627&gt;=1,"D","F")))))))</f>
        <v/>
      </c>
      <c r="G627" s="3">
        <f>IF('Data Source'!B627="","",IF('Data Source'!Y627&gt;=5,"A+",IF('Data Source'!Y627&gt;=4,"A",IF('Data Source'!Y627&gt;=3.5,"A-",IF('Data Source'!Y627&gt;=3,"B",IF('Data Source'!Y627&gt;=2,"C",IF('Data Source'!Y627&gt;=1,"D","F")))))))</f>
        <v/>
      </c>
      <c r="H627" s="3">
        <f>IF('Data Source'!B627="","",IF('Data Source'!Z627&gt;=5,"A+",IF('Data Source'!Z627&gt;=4,"A",IF('Data Source'!Z627&gt;=3.5,"A-",IF('Data Source'!Z627&gt;=3,"B",IF('Data Source'!Z627&gt;=2,"C",IF('Data Source'!Z627&gt;=1,"D","F")))))))</f>
        <v/>
      </c>
      <c r="I627" s="3">
        <f>IF('Data Source'!B627="","",IF('Data Source'!AA627&gt;=5,"A+",IF('Data Source'!AA627&gt;=4,"A",IF('Data Source'!AA627&gt;=3.5,"A-",IF('Data Source'!AA627&gt;=3,"B",IF('Data Source'!AA627&gt;=2,"C",IF('Data Source'!AA627&gt;=1,"D","F")))))))</f>
        <v/>
      </c>
      <c r="J627" s="3">
        <f>IF('Data Source'!B627="","",IF('Data Source'!AB627&gt;=5,"A+",IF('Data Source'!AB627&gt;=4,"A",IF('Data Source'!AB627&gt;=3.5,"A-",IF('Data Source'!AB627&gt;=3,"B",IF('Data Source'!AB627&gt;=2,"C",IF('Data Source'!AB627&gt;=1,"D","F")))))))</f>
        <v/>
      </c>
      <c r="K627" s="3">
        <f>IF('Data Source'!B627="","",IF('Data Source'!AC627&gt;=5,"A+",IF('Data Source'!AC627&gt;=4,"A",IF('Data Source'!AC627&gt;=3.5,"A-",IF('Data Source'!AC627&gt;=3,"B",IF('Data Source'!AC627&gt;=2,"C",IF('Data Source'!AC627&gt;=1,"D","F")))))))</f>
        <v/>
      </c>
      <c r="L627" s="3">
        <f>IF('Data Source'!B627="","",IF('Data Source'!AD627&gt;=5,"A+",IF('Data Source'!AD627&gt;=4,"A",IF('Data Source'!AD627&gt;=3.5,"A-",IF('Data Source'!AD627&gt;=3,"B",IF('Data Source'!AD627&gt;=2,"C",IF('Data Source'!AD627&gt;=1,"D","F")))))))</f>
        <v/>
      </c>
      <c r="M627" s="3">
        <f>IF('Data Source'!B627="","",IF('Data Source'!AE627&gt;=5,"A+",IF('Data Source'!AE627&gt;=4,"A",IF('Data Source'!AE627&gt;=3.5,"A-",IF('Data Source'!AE627&gt;=3,"B",IF('Data Source'!AE627&gt;=2,"C",IF('Data Source'!AE627&gt;=1,"D","F")))))))</f>
        <v/>
      </c>
      <c r="N627" s="3">
        <f>IF('Data Source'!B627="","",IF('Data Source'!AF627&gt;=5,"A+",IF('Data Source'!AF627&gt;=4,"A",IF('Data Source'!AF627&gt;=3.5,"A-",IF('Data Source'!AF627&gt;=3,"B",IF('Data Source'!AF627&gt;=2,"C",IF('Data Source'!AF627&gt;=1,"D","F")))))))</f>
        <v/>
      </c>
      <c r="O627" s="3">
        <f>IF('Data Source'!B627="","",IF('Data Source'!AG627&gt;=5,"A+",IF('Data Source'!AG627&gt;=4,"A",IF('Data Source'!AG627&gt;=3.5,"A-",IF('Data Source'!AG627&gt;=3,"B",IF('Data Source'!AG627&gt;=2,"C",IF('Data Source'!AG627&gt;=1,"D","F")))))))</f>
        <v/>
      </c>
      <c r="P627" s="5">
        <f>IF('Data Source'!B627="","",'Data Source'!R627)</f>
        <v/>
      </c>
      <c r="Q627" s="3">
        <f>IF('Data Source'!B627="","",'Data Source'!S627)</f>
        <v/>
      </c>
    </row>
    <row r="628">
      <c r="A628" s="3">
        <f>IF('Data Source'!B628="","",'Data Source'!A628)</f>
        <v/>
      </c>
      <c r="B628">
        <f>IF('Data Source'!B628="","",'Data Source'!B628)</f>
        <v/>
      </c>
      <c r="C628" s="3">
        <f>IF('Data Source'!B628="","",IF('Data Source'!U628&gt;=5,"A+",IF('Data Source'!U628&gt;=4,"A",IF('Data Source'!U628&gt;=3.5,"A-",IF('Data Source'!U628&gt;=3,"B",IF('Data Source'!U628&gt;=2,"C",IF('Data Source'!U628&gt;=1,"D","F")))))))</f>
        <v/>
      </c>
      <c r="D628" s="3">
        <f>IF('Data Source'!B628="","",IF('Data Source'!V628&gt;=5,"A+",IF('Data Source'!V628&gt;=4,"A",IF('Data Source'!V628&gt;=3.5,"A-",IF('Data Source'!V628&gt;=3,"B",IF('Data Source'!V628&gt;=2,"C",IF('Data Source'!V628&gt;=1,"D","F")))))))</f>
        <v/>
      </c>
      <c r="E628" s="3">
        <f>IF('Data Source'!B628="","",IF('Data Source'!W628&gt;=5,"A+",IF('Data Source'!W628&gt;=4,"A",IF('Data Source'!W628&gt;=3.5,"A-",IF('Data Source'!W628&gt;=3,"B",IF('Data Source'!W628&gt;=2,"C",IF('Data Source'!W628&gt;=1,"D","F")))))))</f>
        <v/>
      </c>
      <c r="F628" s="3">
        <f>IF('Data Source'!B628="","",IF('Data Source'!X628&gt;=5,"A+",IF('Data Source'!X628&gt;=4,"A",IF('Data Source'!X628&gt;=3.5,"A-",IF('Data Source'!X628&gt;=3,"B",IF('Data Source'!X628&gt;=2,"C",IF('Data Source'!X628&gt;=1,"D","F")))))))</f>
        <v/>
      </c>
      <c r="G628" s="3">
        <f>IF('Data Source'!B628="","",IF('Data Source'!Y628&gt;=5,"A+",IF('Data Source'!Y628&gt;=4,"A",IF('Data Source'!Y628&gt;=3.5,"A-",IF('Data Source'!Y628&gt;=3,"B",IF('Data Source'!Y628&gt;=2,"C",IF('Data Source'!Y628&gt;=1,"D","F")))))))</f>
        <v/>
      </c>
      <c r="H628" s="3">
        <f>IF('Data Source'!B628="","",IF('Data Source'!Z628&gt;=5,"A+",IF('Data Source'!Z628&gt;=4,"A",IF('Data Source'!Z628&gt;=3.5,"A-",IF('Data Source'!Z628&gt;=3,"B",IF('Data Source'!Z628&gt;=2,"C",IF('Data Source'!Z628&gt;=1,"D","F")))))))</f>
        <v/>
      </c>
      <c r="I628" s="3">
        <f>IF('Data Source'!B628="","",IF('Data Source'!AA628&gt;=5,"A+",IF('Data Source'!AA628&gt;=4,"A",IF('Data Source'!AA628&gt;=3.5,"A-",IF('Data Source'!AA628&gt;=3,"B",IF('Data Source'!AA628&gt;=2,"C",IF('Data Source'!AA628&gt;=1,"D","F")))))))</f>
        <v/>
      </c>
      <c r="J628" s="3">
        <f>IF('Data Source'!B628="","",IF('Data Source'!AB628&gt;=5,"A+",IF('Data Source'!AB628&gt;=4,"A",IF('Data Source'!AB628&gt;=3.5,"A-",IF('Data Source'!AB628&gt;=3,"B",IF('Data Source'!AB628&gt;=2,"C",IF('Data Source'!AB628&gt;=1,"D","F")))))))</f>
        <v/>
      </c>
      <c r="K628" s="3">
        <f>IF('Data Source'!B628="","",IF('Data Source'!AC628&gt;=5,"A+",IF('Data Source'!AC628&gt;=4,"A",IF('Data Source'!AC628&gt;=3.5,"A-",IF('Data Source'!AC628&gt;=3,"B",IF('Data Source'!AC628&gt;=2,"C",IF('Data Source'!AC628&gt;=1,"D","F")))))))</f>
        <v/>
      </c>
      <c r="L628" s="3">
        <f>IF('Data Source'!B628="","",IF('Data Source'!AD628&gt;=5,"A+",IF('Data Source'!AD628&gt;=4,"A",IF('Data Source'!AD628&gt;=3.5,"A-",IF('Data Source'!AD628&gt;=3,"B",IF('Data Source'!AD628&gt;=2,"C",IF('Data Source'!AD628&gt;=1,"D","F")))))))</f>
        <v/>
      </c>
      <c r="M628" s="3">
        <f>IF('Data Source'!B628="","",IF('Data Source'!AE628&gt;=5,"A+",IF('Data Source'!AE628&gt;=4,"A",IF('Data Source'!AE628&gt;=3.5,"A-",IF('Data Source'!AE628&gt;=3,"B",IF('Data Source'!AE628&gt;=2,"C",IF('Data Source'!AE628&gt;=1,"D","F")))))))</f>
        <v/>
      </c>
      <c r="N628" s="3">
        <f>IF('Data Source'!B628="","",IF('Data Source'!AF628&gt;=5,"A+",IF('Data Source'!AF628&gt;=4,"A",IF('Data Source'!AF628&gt;=3.5,"A-",IF('Data Source'!AF628&gt;=3,"B",IF('Data Source'!AF628&gt;=2,"C",IF('Data Source'!AF628&gt;=1,"D","F")))))))</f>
        <v/>
      </c>
      <c r="O628" s="3">
        <f>IF('Data Source'!B628="","",IF('Data Source'!AG628&gt;=5,"A+",IF('Data Source'!AG628&gt;=4,"A",IF('Data Source'!AG628&gt;=3.5,"A-",IF('Data Source'!AG628&gt;=3,"B",IF('Data Source'!AG628&gt;=2,"C",IF('Data Source'!AG628&gt;=1,"D","F")))))))</f>
        <v/>
      </c>
      <c r="P628" s="5">
        <f>IF('Data Source'!B628="","",'Data Source'!R628)</f>
        <v/>
      </c>
      <c r="Q628" s="3">
        <f>IF('Data Source'!B628="","",'Data Source'!S628)</f>
        <v/>
      </c>
    </row>
    <row r="629">
      <c r="A629" s="3">
        <f>IF('Data Source'!B629="","",'Data Source'!A629)</f>
        <v/>
      </c>
      <c r="B629">
        <f>IF('Data Source'!B629="","",'Data Source'!B629)</f>
        <v/>
      </c>
      <c r="C629" s="3">
        <f>IF('Data Source'!B629="","",IF('Data Source'!U629&gt;=5,"A+",IF('Data Source'!U629&gt;=4,"A",IF('Data Source'!U629&gt;=3.5,"A-",IF('Data Source'!U629&gt;=3,"B",IF('Data Source'!U629&gt;=2,"C",IF('Data Source'!U629&gt;=1,"D","F")))))))</f>
        <v/>
      </c>
      <c r="D629" s="3">
        <f>IF('Data Source'!B629="","",IF('Data Source'!V629&gt;=5,"A+",IF('Data Source'!V629&gt;=4,"A",IF('Data Source'!V629&gt;=3.5,"A-",IF('Data Source'!V629&gt;=3,"B",IF('Data Source'!V629&gt;=2,"C",IF('Data Source'!V629&gt;=1,"D","F")))))))</f>
        <v/>
      </c>
      <c r="E629" s="3">
        <f>IF('Data Source'!B629="","",IF('Data Source'!W629&gt;=5,"A+",IF('Data Source'!W629&gt;=4,"A",IF('Data Source'!W629&gt;=3.5,"A-",IF('Data Source'!W629&gt;=3,"B",IF('Data Source'!W629&gt;=2,"C",IF('Data Source'!W629&gt;=1,"D","F")))))))</f>
        <v/>
      </c>
      <c r="F629" s="3">
        <f>IF('Data Source'!B629="","",IF('Data Source'!X629&gt;=5,"A+",IF('Data Source'!X629&gt;=4,"A",IF('Data Source'!X629&gt;=3.5,"A-",IF('Data Source'!X629&gt;=3,"B",IF('Data Source'!X629&gt;=2,"C",IF('Data Source'!X629&gt;=1,"D","F")))))))</f>
        <v/>
      </c>
      <c r="G629" s="3">
        <f>IF('Data Source'!B629="","",IF('Data Source'!Y629&gt;=5,"A+",IF('Data Source'!Y629&gt;=4,"A",IF('Data Source'!Y629&gt;=3.5,"A-",IF('Data Source'!Y629&gt;=3,"B",IF('Data Source'!Y629&gt;=2,"C",IF('Data Source'!Y629&gt;=1,"D","F")))))))</f>
        <v/>
      </c>
      <c r="H629" s="3">
        <f>IF('Data Source'!B629="","",IF('Data Source'!Z629&gt;=5,"A+",IF('Data Source'!Z629&gt;=4,"A",IF('Data Source'!Z629&gt;=3.5,"A-",IF('Data Source'!Z629&gt;=3,"B",IF('Data Source'!Z629&gt;=2,"C",IF('Data Source'!Z629&gt;=1,"D","F")))))))</f>
        <v/>
      </c>
      <c r="I629" s="3">
        <f>IF('Data Source'!B629="","",IF('Data Source'!AA629&gt;=5,"A+",IF('Data Source'!AA629&gt;=4,"A",IF('Data Source'!AA629&gt;=3.5,"A-",IF('Data Source'!AA629&gt;=3,"B",IF('Data Source'!AA629&gt;=2,"C",IF('Data Source'!AA629&gt;=1,"D","F")))))))</f>
        <v/>
      </c>
      <c r="J629" s="3">
        <f>IF('Data Source'!B629="","",IF('Data Source'!AB629&gt;=5,"A+",IF('Data Source'!AB629&gt;=4,"A",IF('Data Source'!AB629&gt;=3.5,"A-",IF('Data Source'!AB629&gt;=3,"B",IF('Data Source'!AB629&gt;=2,"C",IF('Data Source'!AB629&gt;=1,"D","F")))))))</f>
        <v/>
      </c>
      <c r="K629" s="3">
        <f>IF('Data Source'!B629="","",IF('Data Source'!AC629&gt;=5,"A+",IF('Data Source'!AC629&gt;=4,"A",IF('Data Source'!AC629&gt;=3.5,"A-",IF('Data Source'!AC629&gt;=3,"B",IF('Data Source'!AC629&gt;=2,"C",IF('Data Source'!AC629&gt;=1,"D","F")))))))</f>
        <v/>
      </c>
      <c r="L629" s="3">
        <f>IF('Data Source'!B629="","",IF('Data Source'!AD629&gt;=5,"A+",IF('Data Source'!AD629&gt;=4,"A",IF('Data Source'!AD629&gt;=3.5,"A-",IF('Data Source'!AD629&gt;=3,"B",IF('Data Source'!AD629&gt;=2,"C",IF('Data Source'!AD629&gt;=1,"D","F")))))))</f>
        <v/>
      </c>
      <c r="M629" s="3">
        <f>IF('Data Source'!B629="","",IF('Data Source'!AE629&gt;=5,"A+",IF('Data Source'!AE629&gt;=4,"A",IF('Data Source'!AE629&gt;=3.5,"A-",IF('Data Source'!AE629&gt;=3,"B",IF('Data Source'!AE629&gt;=2,"C",IF('Data Source'!AE629&gt;=1,"D","F")))))))</f>
        <v/>
      </c>
      <c r="N629" s="3">
        <f>IF('Data Source'!B629="","",IF('Data Source'!AF629&gt;=5,"A+",IF('Data Source'!AF629&gt;=4,"A",IF('Data Source'!AF629&gt;=3.5,"A-",IF('Data Source'!AF629&gt;=3,"B",IF('Data Source'!AF629&gt;=2,"C",IF('Data Source'!AF629&gt;=1,"D","F")))))))</f>
        <v/>
      </c>
      <c r="O629" s="3">
        <f>IF('Data Source'!B629="","",IF('Data Source'!AG629&gt;=5,"A+",IF('Data Source'!AG629&gt;=4,"A",IF('Data Source'!AG629&gt;=3.5,"A-",IF('Data Source'!AG629&gt;=3,"B",IF('Data Source'!AG629&gt;=2,"C",IF('Data Source'!AG629&gt;=1,"D","F")))))))</f>
        <v/>
      </c>
      <c r="P629" s="5">
        <f>IF('Data Source'!B629="","",'Data Source'!R629)</f>
        <v/>
      </c>
      <c r="Q629" s="3">
        <f>IF('Data Source'!B629="","",'Data Source'!S629)</f>
        <v/>
      </c>
    </row>
    <row r="630">
      <c r="A630" s="3">
        <f>IF('Data Source'!B630="","",'Data Source'!A630)</f>
        <v/>
      </c>
      <c r="B630">
        <f>IF('Data Source'!B630="","",'Data Source'!B630)</f>
        <v/>
      </c>
      <c r="C630" s="3">
        <f>IF('Data Source'!B630="","",IF('Data Source'!U630&gt;=5,"A+",IF('Data Source'!U630&gt;=4,"A",IF('Data Source'!U630&gt;=3.5,"A-",IF('Data Source'!U630&gt;=3,"B",IF('Data Source'!U630&gt;=2,"C",IF('Data Source'!U630&gt;=1,"D","F")))))))</f>
        <v/>
      </c>
      <c r="D630" s="3">
        <f>IF('Data Source'!B630="","",IF('Data Source'!V630&gt;=5,"A+",IF('Data Source'!V630&gt;=4,"A",IF('Data Source'!V630&gt;=3.5,"A-",IF('Data Source'!V630&gt;=3,"B",IF('Data Source'!V630&gt;=2,"C",IF('Data Source'!V630&gt;=1,"D","F")))))))</f>
        <v/>
      </c>
      <c r="E630" s="3">
        <f>IF('Data Source'!B630="","",IF('Data Source'!W630&gt;=5,"A+",IF('Data Source'!W630&gt;=4,"A",IF('Data Source'!W630&gt;=3.5,"A-",IF('Data Source'!W630&gt;=3,"B",IF('Data Source'!W630&gt;=2,"C",IF('Data Source'!W630&gt;=1,"D","F")))))))</f>
        <v/>
      </c>
      <c r="F630" s="3">
        <f>IF('Data Source'!B630="","",IF('Data Source'!X630&gt;=5,"A+",IF('Data Source'!X630&gt;=4,"A",IF('Data Source'!X630&gt;=3.5,"A-",IF('Data Source'!X630&gt;=3,"B",IF('Data Source'!X630&gt;=2,"C",IF('Data Source'!X630&gt;=1,"D","F")))))))</f>
        <v/>
      </c>
      <c r="G630" s="3">
        <f>IF('Data Source'!B630="","",IF('Data Source'!Y630&gt;=5,"A+",IF('Data Source'!Y630&gt;=4,"A",IF('Data Source'!Y630&gt;=3.5,"A-",IF('Data Source'!Y630&gt;=3,"B",IF('Data Source'!Y630&gt;=2,"C",IF('Data Source'!Y630&gt;=1,"D","F")))))))</f>
        <v/>
      </c>
      <c r="H630" s="3">
        <f>IF('Data Source'!B630="","",IF('Data Source'!Z630&gt;=5,"A+",IF('Data Source'!Z630&gt;=4,"A",IF('Data Source'!Z630&gt;=3.5,"A-",IF('Data Source'!Z630&gt;=3,"B",IF('Data Source'!Z630&gt;=2,"C",IF('Data Source'!Z630&gt;=1,"D","F")))))))</f>
        <v/>
      </c>
      <c r="I630" s="3">
        <f>IF('Data Source'!B630="","",IF('Data Source'!AA630&gt;=5,"A+",IF('Data Source'!AA630&gt;=4,"A",IF('Data Source'!AA630&gt;=3.5,"A-",IF('Data Source'!AA630&gt;=3,"B",IF('Data Source'!AA630&gt;=2,"C",IF('Data Source'!AA630&gt;=1,"D","F")))))))</f>
        <v/>
      </c>
      <c r="J630" s="3">
        <f>IF('Data Source'!B630="","",IF('Data Source'!AB630&gt;=5,"A+",IF('Data Source'!AB630&gt;=4,"A",IF('Data Source'!AB630&gt;=3.5,"A-",IF('Data Source'!AB630&gt;=3,"B",IF('Data Source'!AB630&gt;=2,"C",IF('Data Source'!AB630&gt;=1,"D","F")))))))</f>
        <v/>
      </c>
      <c r="K630" s="3">
        <f>IF('Data Source'!B630="","",IF('Data Source'!AC630&gt;=5,"A+",IF('Data Source'!AC630&gt;=4,"A",IF('Data Source'!AC630&gt;=3.5,"A-",IF('Data Source'!AC630&gt;=3,"B",IF('Data Source'!AC630&gt;=2,"C",IF('Data Source'!AC630&gt;=1,"D","F")))))))</f>
        <v/>
      </c>
      <c r="L630" s="3">
        <f>IF('Data Source'!B630="","",IF('Data Source'!AD630&gt;=5,"A+",IF('Data Source'!AD630&gt;=4,"A",IF('Data Source'!AD630&gt;=3.5,"A-",IF('Data Source'!AD630&gt;=3,"B",IF('Data Source'!AD630&gt;=2,"C",IF('Data Source'!AD630&gt;=1,"D","F")))))))</f>
        <v/>
      </c>
      <c r="M630" s="3">
        <f>IF('Data Source'!B630="","",IF('Data Source'!AE630&gt;=5,"A+",IF('Data Source'!AE630&gt;=4,"A",IF('Data Source'!AE630&gt;=3.5,"A-",IF('Data Source'!AE630&gt;=3,"B",IF('Data Source'!AE630&gt;=2,"C",IF('Data Source'!AE630&gt;=1,"D","F")))))))</f>
        <v/>
      </c>
      <c r="N630" s="3">
        <f>IF('Data Source'!B630="","",IF('Data Source'!AF630&gt;=5,"A+",IF('Data Source'!AF630&gt;=4,"A",IF('Data Source'!AF630&gt;=3.5,"A-",IF('Data Source'!AF630&gt;=3,"B",IF('Data Source'!AF630&gt;=2,"C",IF('Data Source'!AF630&gt;=1,"D","F")))))))</f>
        <v/>
      </c>
      <c r="O630" s="3">
        <f>IF('Data Source'!B630="","",IF('Data Source'!AG630&gt;=5,"A+",IF('Data Source'!AG630&gt;=4,"A",IF('Data Source'!AG630&gt;=3.5,"A-",IF('Data Source'!AG630&gt;=3,"B",IF('Data Source'!AG630&gt;=2,"C",IF('Data Source'!AG630&gt;=1,"D","F")))))))</f>
        <v/>
      </c>
      <c r="P630" s="5">
        <f>IF('Data Source'!B630="","",'Data Source'!R630)</f>
        <v/>
      </c>
      <c r="Q630" s="3">
        <f>IF('Data Source'!B630="","",'Data Source'!S630)</f>
        <v/>
      </c>
    </row>
    <row r="631">
      <c r="A631" s="3">
        <f>IF('Data Source'!B631="","",'Data Source'!A631)</f>
        <v/>
      </c>
      <c r="B631">
        <f>IF('Data Source'!B631="","",'Data Source'!B631)</f>
        <v/>
      </c>
      <c r="C631" s="3">
        <f>IF('Data Source'!B631="","",IF('Data Source'!U631&gt;=5,"A+",IF('Data Source'!U631&gt;=4,"A",IF('Data Source'!U631&gt;=3.5,"A-",IF('Data Source'!U631&gt;=3,"B",IF('Data Source'!U631&gt;=2,"C",IF('Data Source'!U631&gt;=1,"D","F")))))))</f>
        <v/>
      </c>
      <c r="D631" s="3">
        <f>IF('Data Source'!B631="","",IF('Data Source'!V631&gt;=5,"A+",IF('Data Source'!V631&gt;=4,"A",IF('Data Source'!V631&gt;=3.5,"A-",IF('Data Source'!V631&gt;=3,"B",IF('Data Source'!V631&gt;=2,"C",IF('Data Source'!V631&gt;=1,"D","F")))))))</f>
        <v/>
      </c>
      <c r="E631" s="3">
        <f>IF('Data Source'!B631="","",IF('Data Source'!W631&gt;=5,"A+",IF('Data Source'!W631&gt;=4,"A",IF('Data Source'!W631&gt;=3.5,"A-",IF('Data Source'!W631&gt;=3,"B",IF('Data Source'!W631&gt;=2,"C",IF('Data Source'!W631&gt;=1,"D","F")))))))</f>
        <v/>
      </c>
      <c r="F631" s="3">
        <f>IF('Data Source'!B631="","",IF('Data Source'!X631&gt;=5,"A+",IF('Data Source'!X631&gt;=4,"A",IF('Data Source'!X631&gt;=3.5,"A-",IF('Data Source'!X631&gt;=3,"B",IF('Data Source'!X631&gt;=2,"C",IF('Data Source'!X631&gt;=1,"D","F")))))))</f>
        <v/>
      </c>
      <c r="G631" s="3">
        <f>IF('Data Source'!B631="","",IF('Data Source'!Y631&gt;=5,"A+",IF('Data Source'!Y631&gt;=4,"A",IF('Data Source'!Y631&gt;=3.5,"A-",IF('Data Source'!Y631&gt;=3,"B",IF('Data Source'!Y631&gt;=2,"C",IF('Data Source'!Y631&gt;=1,"D","F")))))))</f>
        <v/>
      </c>
      <c r="H631" s="3">
        <f>IF('Data Source'!B631="","",IF('Data Source'!Z631&gt;=5,"A+",IF('Data Source'!Z631&gt;=4,"A",IF('Data Source'!Z631&gt;=3.5,"A-",IF('Data Source'!Z631&gt;=3,"B",IF('Data Source'!Z631&gt;=2,"C",IF('Data Source'!Z631&gt;=1,"D","F")))))))</f>
        <v/>
      </c>
      <c r="I631" s="3">
        <f>IF('Data Source'!B631="","",IF('Data Source'!AA631&gt;=5,"A+",IF('Data Source'!AA631&gt;=4,"A",IF('Data Source'!AA631&gt;=3.5,"A-",IF('Data Source'!AA631&gt;=3,"B",IF('Data Source'!AA631&gt;=2,"C",IF('Data Source'!AA631&gt;=1,"D","F")))))))</f>
        <v/>
      </c>
      <c r="J631" s="3">
        <f>IF('Data Source'!B631="","",IF('Data Source'!AB631&gt;=5,"A+",IF('Data Source'!AB631&gt;=4,"A",IF('Data Source'!AB631&gt;=3.5,"A-",IF('Data Source'!AB631&gt;=3,"B",IF('Data Source'!AB631&gt;=2,"C",IF('Data Source'!AB631&gt;=1,"D","F")))))))</f>
        <v/>
      </c>
      <c r="K631" s="3">
        <f>IF('Data Source'!B631="","",IF('Data Source'!AC631&gt;=5,"A+",IF('Data Source'!AC631&gt;=4,"A",IF('Data Source'!AC631&gt;=3.5,"A-",IF('Data Source'!AC631&gt;=3,"B",IF('Data Source'!AC631&gt;=2,"C",IF('Data Source'!AC631&gt;=1,"D","F")))))))</f>
        <v/>
      </c>
      <c r="L631" s="3">
        <f>IF('Data Source'!B631="","",IF('Data Source'!AD631&gt;=5,"A+",IF('Data Source'!AD631&gt;=4,"A",IF('Data Source'!AD631&gt;=3.5,"A-",IF('Data Source'!AD631&gt;=3,"B",IF('Data Source'!AD631&gt;=2,"C",IF('Data Source'!AD631&gt;=1,"D","F")))))))</f>
        <v/>
      </c>
      <c r="M631" s="3">
        <f>IF('Data Source'!B631="","",IF('Data Source'!AE631&gt;=5,"A+",IF('Data Source'!AE631&gt;=4,"A",IF('Data Source'!AE631&gt;=3.5,"A-",IF('Data Source'!AE631&gt;=3,"B",IF('Data Source'!AE631&gt;=2,"C",IF('Data Source'!AE631&gt;=1,"D","F")))))))</f>
        <v/>
      </c>
      <c r="N631" s="3">
        <f>IF('Data Source'!B631="","",IF('Data Source'!AF631&gt;=5,"A+",IF('Data Source'!AF631&gt;=4,"A",IF('Data Source'!AF631&gt;=3.5,"A-",IF('Data Source'!AF631&gt;=3,"B",IF('Data Source'!AF631&gt;=2,"C",IF('Data Source'!AF631&gt;=1,"D","F")))))))</f>
        <v/>
      </c>
      <c r="O631" s="3">
        <f>IF('Data Source'!B631="","",IF('Data Source'!AG631&gt;=5,"A+",IF('Data Source'!AG631&gt;=4,"A",IF('Data Source'!AG631&gt;=3.5,"A-",IF('Data Source'!AG631&gt;=3,"B",IF('Data Source'!AG631&gt;=2,"C",IF('Data Source'!AG631&gt;=1,"D","F")))))))</f>
        <v/>
      </c>
      <c r="P631" s="5">
        <f>IF('Data Source'!B631="","",'Data Source'!R631)</f>
        <v/>
      </c>
      <c r="Q631" s="3">
        <f>IF('Data Source'!B631="","",'Data Source'!S631)</f>
        <v/>
      </c>
    </row>
    <row r="632">
      <c r="A632" s="3">
        <f>IF('Data Source'!B632="","",'Data Source'!A632)</f>
        <v/>
      </c>
      <c r="B632">
        <f>IF('Data Source'!B632="","",'Data Source'!B632)</f>
        <v/>
      </c>
      <c r="C632" s="3">
        <f>IF('Data Source'!B632="","",IF('Data Source'!U632&gt;=5,"A+",IF('Data Source'!U632&gt;=4,"A",IF('Data Source'!U632&gt;=3.5,"A-",IF('Data Source'!U632&gt;=3,"B",IF('Data Source'!U632&gt;=2,"C",IF('Data Source'!U632&gt;=1,"D","F")))))))</f>
        <v/>
      </c>
      <c r="D632" s="3">
        <f>IF('Data Source'!B632="","",IF('Data Source'!V632&gt;=5,"A+",IF('Data Source'!V632&gt;=4,"A",IF('Data Source'!V632&gt;=3.5,"A-",IF('Data Source'!V632&gt;=3,"B",IF('Data Source'!V632&gt;=2,"C",IF('Data Source'!V632&gt;=1,"D","F")))))))</f>
        <v/>
      </c>
      <c r="E632" s="3">
        <f>IF('Data Source'!B632="","",IF('Data Source'!W632&gt;=5,"A+",IF('Data Source'!W632&gt;=4,"A",IF('Data Source'!W632&gt;=3.5,"A-",IF('Data Source'!W632&gt;=3,"B",IF('Data Source'!W632&gt;=2,"C",IF('Data Source'!W632&gt;=1,"D","F")))))))</f>
        <v/>
      </c>
      <c r="F632" s="3">
        <f>IF('Data Source'!B632="","",IF('Data Source'!X632&gt;=5,"A+",IF('Data Source'!X632&gt;=4,"A",IF('Data Source'!X632&gt;=3.5,"A-",IF('Data Source'!X632&gt;=3,"B",IF('Data Source'!X632&gt;=2,"C",IF('Data Source'!X632&gt;=1,"D","F")))))))</f>
        <v/>
      </c>
      <c r="G632" s="3">
        <f>IF('Data Source'!B632="","",IF('Data Source'!Y632&gt;=5,"A+",IF('Data Source'!Y632&gt;=4,"A",IF('Data Source'!Y632&gt;=3.5,"A-",IF('Data Source'!Y632&gt;=3,"B",IF('Data Source'!Y632&gt;=2,"C",IF('Data Source'!Y632&gt;=1,"D","F")))))))</f>
        <v/>
      </c>
      <c r="H632" s="3">
        <f>IF('Data Source'!B632="","",IF('Data Source'!Z632&gt;=5,"A+",IF('Data Source'!Z632&gt;=4,"A",IF('Data Source'!Z632&gt;=3.5,"A-",IF('Data Source'!Z632&gt;=3,"B",IF('Data Source'!Z632&gt;=2,"C",IF('Data Source'!Z632&gt;=1,"D","F")))))))</f>
        <v/>
      </c>
      <c r="I632" s="3">
        <f>IF('Data Source'!B632="","",IF('Data Source'!AA632&gt;=5,"A+",IF('Data Source'!AA632&gt;=4,"A",IF('Data Source'!AA632&gt;=3.5,"A-",IF('Data Source'!AA632&gt;=3,"B",IF('Data Source'!AA632&gt;=2,"C",IF('Data Source'!AA632&gt;=1,"D","F")))))))</f>
        <v/>
      </c>
      <c r="J632" s="3">
        <f>IF('Data Source'!B632="","",IF('Data Source'!AB632&gt;=5,"A+",IF('Data Source'!AB632&gt;=4,"A",IF('Data Source'!AB632&gt;=3.5,"A-",IF('Data Source'!AB632&gt;=3,"B",IF('Data Source'!AB632&gt;=2,"C",IF('Data Source'!AB632&gt;=1,"D","F")))))))</f>
        <v/>
      </c>
      <c r="K632" s="3">
        <f>IF('Data Source'!B632="","",IF('Data Source'!AC632&gt;=5,"A+",IF('Data Source'!AC632&gt;=4,"A",IF('Data Source'!AC632&gt;=3.5,"A-",IF('Data Source'!AC632&gt;=3,"B",IF('Data Source'!AC632&gt;=2,"C",IF('Data Source'!AC632&gt;=1,"D","F")))))))</f>
        <v/>
      </c>
      <c r="L632" s="3">
        <f>IF('Data Source'!B632="","",IF('Data Source'!AD632&gt;=5,"A+",IF('Data Source'!AD632&gt;=4,"A",IF('Data Source'!AD632&gt;=3.5,"A-",IF('Data Source'!AD632&gt;=3,"B",IF('Data Source'!AD632&gt;=2,"C",IF('Data Source'!AD632&gt;=1,"D","F")))))))</f>
        <v/>
      </c>
      <c r="M632" s="3">
        <f>IF('Data Source'!B632="","",IF('Data Source'!AE632&gt;=5,"A+",IF('Data Source'!AE632&gt;=4,"A",IF('Data Source'!AE632&gt;=3.5,"A-",IF('Data Source'!AE632&gt;=3,"B",IF('Data Source'!AE632&gt;=2,"C",IF('Data Source'!AE632&gt;=1,"D","F")))))))</f>
        <v/>
      </c>
      <c r="N632" s="3">
        <f>IF('Data Source'!B632="","",IF('Data Source'!AF632&gt;=5,"A+",IF('Data Source'!AF632&gt;=4,"A",IF('Data Source'!AF632&gt;=3.5,"A-",IF('Data Source'!AF632&gt;=3,"B",IF('Data Source'!AF632&gt;=2,"C",IF('Data Source'!AF632&gt;=1,"D","F")))))))</f>
        <v/>
      </c>
      <c r="O632" s="3">
        <f>IF('Data Source'!B632="","",IF('Data Source'!AG632&gt;=5,"A+",IF('Data Source'!AG632&gt;=4,"A",IF('Data Source'!AG632&gt;=3.5,"A-",IF('Data Source'!AG632&gt;=3,"B",IF('Data Source'!AG632&gt;=2,"C",IF('Data Source'!AG632&gt;=1,"D","F")))))))</f>
        <v/>
      </c>
      <c r="P632" s="5">
        <f>IF('Data Source'!B632="","",'Data Source'!R632)</f>
        <v/>
      </c>
      <c r="Q632" s="3">
        <f>IF('Data Source'!B632="","",'Data Source'!S632)</f>
        <v/>
      </c>
    </row>
    <row r="633">
      <c r="A633" s="3">
        <f>IF('Data Source'!B633="","",'Data Source'!A633)</f>
        <v/>
      </c>
      <c r="B633">
        <f>IF('Data Source'!B633="","",'Data Source'!B633)</f>
        <v/>
      </c>
      <c r="C633" s="3">
        <f>IF('Data Source'!B633="","",IF('Data Source'!U633&gt;=5,"A+",IF('Data Source'!U633&gt;=4,"A",IF('Data Source'!U633&gt;=3.5,"A-",IF('Data Source'!U633&gt;=3,"B",IF('Data Source'!U633&gt;=2,"C",IF('Data Source'!U633&gt;=1,"D","F")))))))</f>
        <v/>
      </c>
      <c r="D633" s="3">
        <f>IF('Data Source'!B633="","",IF('Data Source'!V633&gt;=5,"A+",IF('Data Source'!V633&gt;=4,"A",IF('Data Source'!V633&gt;=3.5,"A-",IF('Data Source'!V633&gt;=3,"B",IF('Data Source'!V633&gt;=2,"C",IF('Data Source'!V633&gt;=1,"D","F")))))))</f>
        <v/>
      </c>
      <c r="E633" s="3">
        <f>IF('Data Source'!B633="","",IF('Data Source'!W633&gt;=5,"A+",IF('Data Source'!W633&gt;=4,"A",IF('Data Source'!W633&gt;=3.5,"A-",IF('Data Source'!W633&gt;=3,"B",IF('Data Source'!W633&gt;=2,"C",IF('Data Source'!W633&gt;=1,"D","F")))))))</f>
        <v/>
      </c>
      <c r="F633" s="3">
        <f>IF('Data Source'!B633="","",IF('Data Source'!X633&gt;=5,"A+",IF('Data Source'!X633&gt;=4,"A",IF('Data Source'!X633&gt;=3.5,"A-",IF('Data Source'!X633&gt;=3,"B",IF('Data Source'!X633&gt;=2,"C",IF('Data Source'!X633&gt;=1,"D","F")))))))</f>
        <v/>
      </c>
      <c r="G633" s="3">
        <f>IF('Data Source'!B633="","",IF('Data Source'!Y633&gt;=5,"A+",IF('Data Source'!Y633&gt;=4,"A",IF('Data Source'!Y633&gt;=3.5,"A-",IF('Data Source'!Y633&gt;=3,"B",IF('Data Source'!Y633&gt;=2,"C",IF('Data Source'!Y633&gt;=1,"D","F")))))))</f>
        <v/>
      </c>
      <c r="H633" s="3">
        <f>IF('Data Source'!B633="","",IF('Data Source'!Z633&gt;=5,"A+",IF('Data Source'!Z633&gt;=4,"A",IF('Data Source'!Z633&gt;=3.5,"A-",IF('Data Source'!Z633&gt;=3,"B",IF('Data Source'!Z633&gt;=2,"C",IF('Data Source'!Z633&gt;=1,"D","F")))))))</f>
        <v/>
      </c>
      <c r="I633" s="3">
        <f>IF('Data Source'!B633="","",IF('Data Source'!AA633&gt;=5,"A+",IF('Data Source'!AA633&gt;=4,"A",IF('Data Source'!AA633&gt;=3.5,"A-",IF('Data Source'!AA633&gt;=3,"B",IF('Data Source'!AA633&gt;=2,"C",IF('Data Source'!AA633&gt;=1,"D","F")))))))</f>
        <v/>
      </c>
      <c r="J633" s="3">
        <f>IF('Data Source'!B633="","",IF('Data Source'!AB633&gt;=5,"A+",IF('Data Source'!AB633&gt;=4,"A",IF('Data Source'!AB633&gt;=3.5,"A-",IF('Data Source'!AB633&gt;=3,"B",IF('Data Source'!AB633&gt;=2,"C",IF('Data Source'!AB633&gt;=1,"D","F")))))))</f>
        <v/>
      </c>
      <c r="K633" s="3">
        <f>IF('Data Source'!B633="","",IF('Data Source'!AC633&gt;=5,"A+",IF('Data Source'!AC633&gt;=4,"A",IF('Data Source'!AC633&gt;=3.5,"A-",IF('Data Source'!AC633&gt;=3,"B",IF('Data Source'!AC633&gt;=2,"C",IF('Data Source'!AC633&gt;=1,"D","F")))))))</f>
        <v/>
      </c>
      <c r="L633" s="3">
        <f>IF('Data Source'!B633="","",IF('Data Source'!AD633&gt;=5,"A+",IF('Data Source'!AD633&gt;=4,"A",IF('Data Source'!AD633&gt;=3.5,"A-",IF('Data Source'!AD633&gt;=3,"B",IF('Data Source'!AD633&gt;=2,"C",IF('Data Source'!AD633&gt;=1,"D","F")))))))</f>
        <v/>
      </c>
      <c r="M633" s="3">
        <f>IF('Data Source'!B633="","",IF('Data Source'!AE633&gt;=5,"A+",IF('Data Source'!AE633&gt;=4,"A",IF('Data Source'!AE633&gt;=3.5,"A-",IF('Data Source'!AE633&gt;=3,"B",IF('Data Source'!AE633&gt;=2,"C",IF('Data Source'!AE633&gt;=1,"D","F")))))))</f>
        <v/>
      </c>
      <c r="N633" s="3">
        <f>IF('Data Source'!B633="","",IF('Data Source'!AF633&gt;=5,"A+",IF('Data Source'!AF633&gt;=4,"A",IF('Data Source'!AF633&gt;=3.5,"A-",IF('Data Source'!AF633&gt;=3,"B",IF('Data Source'!AF633&gt;=2,"C",IF('Data Source'!AF633&gt;=1,"D","F")))))))</f>
        <v/>
      </c>
      <c r="O633" s="3">
        <f>IF('Data Source'!B633="","",IF('Data Source'!AG633&gt;=5,"A+",IF('Data Source'!AG633&gt;=4,"A",IF('Data Source'!AG633&gt;=3.5,"A-",IF('Data Source'!AG633&gt;=3,"B",IF('Data Source'!AG633&gt;=2,"C",IF('Data Source'!AG633&gt;=1,"D","F")))))))</f>
        <v/>
      </c>
      <c r="P633" s="5">
        <f>IF('Data Source'!B633="","",'Data Source'!R633)</f>
        <v/>
      </c>
      <c r="Q633" s="3">
        <f>IF('Data Source'!B633="","",'Data Source'!S633)</f>
        <v/>
      </c>
    </row>
    <row r="634">
      <c r="A634" s="3">
        <f>IF('Data Source'!B634="","",'Data Source'!A634)</f>
        <v/>
      </c>
      <c r="B634">
        <f>IF('Data Source'!B634="","",'Data Source'!B634)</f>
        <v/>
      </c>
      <c r="C634" s="3">
        <f>IF('Data Source'!B634="","",IF('Data Source'!U634&gt;=5,"A+",IF('Data Source'!U634&gt;=4,"A",IF('Data Source'!U634&gt;=3.5,"A-",IF('Data Source'!U634&gt;=3,"B",IF('Data Source'!U634&gt;=2,"C",IF('Data Source'!U634&gt;=1,"D","F")))))))</f>
        <v/>
      </c>
      <c r="D634" s="3">
        <f>IF('Data Source'!B634="","",IF('Data Source'!V634&gt;=5,"A+",IF('Data Source'!V634&gt;=4,"A",IF('Data Source'!V634&gt;=3.5,"A-",IF('Data Source'!V634&gt;=3,"B",IF('Data Source'!V634&gt;=2,"C",IF('Data Source'!V634&gt;=1,"D","F")))))))</f>
        <v/>
      </c>
      <c r="E634" s="3">
        <f>IF('Data Source'!B634="","",IF('Data Source'!W634&gt;=5,"A+",IF('Data Source'!W634&gt;=4,"A",IF('Data Source'!W634&gt;=3.5,"A-",IF('Data Source'!W634&gt;=3,"B",IF('Data Source'!W634&gt;=2,"C",IF('Data Source'!W634&gt;=1,"D","F")))))))</f>
        <v/>
      </c>
      <c r="F634" s="3">
        <f>IF('Data Source'!B634="","",IF('Data Source'!X634&gt;=5,"A+",IF('Data Source'!X634&gt;=4,"A",IF('Data Source'!X634&gt;=3.5,"A-",IF('Data Source'!X634&gt;=3,"B",IF('Data Source'!X634&gt;=2,"C",IF('Data Source'!X634&gt;=1,"D","F")))))))</f>
        <v/>
      </c>
      <c r="G634" s="3">
        <f>IF('Data Source'!B634="","",IF('Data Source'!Y634&gt;=5,"A+",IF('Data Source'!Y634&gt;=4,"A",IF('Data Source'!Y634&gt;=3.5,"A-",IF('Data Source'!Y634&gt;=3,"B",IF('Data Source'!Y634&gt;=2,"C",IF('Data Source'!Y634&gt;=1,"D","F")))))))</f>
        <v/>
      </c>
      <c r="H634" s="3">
        <f>IF('Data Source'!B634="","",IF('Data Source'!Z634&gt;=5,"A+",IF('Data Source'!Z634&gt;=4,"A",IF('Data Source'!Z634&gt;=3.5,"A-",IF('Data Source'!Z634&gt;=3,"B",IF('Data Source'!Z634&gt;=2,"C",IF('Data Source'!Z634&gt;=1,"D","F")))))))</f>
        <v/>
      </c>
      <c r="I634" s="3">
        <f>IF('Data Source'!B634="","",IF('Data Source'!AA634&gt;=5,"A+",IF('Data Source'!AA634&gt;=4,"A",IF('Data Source'!AA634&gt;=3.5,"A-",IF('Data Source'!AA634&gt;=3,"B",IF('Data Source'!AA634&gt;=2,"C",IF('Data Source'!AA634&gt;=1,"D","F")))))))</f>
        <v/>
      </c>
      <c r="J634" s="3">
        <f>IF('Data Source'!B634="","",IF('Data Source'!AB634&gt;=5,"A+",IF('Data Source'!AB634&gt;=4,"A",IF('Data Source'!AB634&gt;=3.5,"A-",IF('Data Source'!AB634&gt;=3,"B",IF('Data Source'!AB634&gt;=2,"C",IF('Data Source'!AB634&gt;=1,"D","F")))))))</f>
        <v/>
      </c>
      <c r="K634" s="3">
        <f>IF('Data Source'!B634="","",IF('Data Source'!AC634&gt;=5,"A+",IF('Data Source'!AC634&gt;=4,"A",IF('Data Source'!AC634&gt;=3.5,"A-",IF('Data Source'!AC634&gt;=3,"B",IF('Data Source'!AC634&gt;=2,"C",IF('Data Source'!AC634&gt;=1,"D","F")))))))</f>
        <v/>
      </c>
      <c r="L634" s="3">
        <f>IF('Data Source'!B634="","",IF('Data Source'!AD634&gt;=5,"A+",IF('Data Source'!AD634&gt;=4,"A",IF('Data Source'!AD634&gt;=3.5,"A-",IF('Data Source'!AD634&gt;=3,"B",IF('Data Source'!AD634&gt;=2,"C",IF('Data Source'!AD634&gt;=1,"D","F")))))))</f>
        <v/>
      </c>
      <c r="M634" s="3">
        <f>IF('Data Source'!B634="","",IF('Data Source'!AE634&gt;=5,"A+",IF('Data Source'!AE634&gt;=4,"A",IF('Data Source'!AE634&gt;=3.5,"A-",IF('Data Source'!AE634&gt;=3,"B",IF('Data Source'!AE634&gt;=2,"C",IF('Data Source'!AE634&gt;=1,"D","F")))))))</f>
        <v/>
      </c>
      <c r="N634" s="3">
        <f>IF('Data Source'!B634="","",IF('Data Source'!AF634&gt;=5,"A+",IF('Data Source'!AF634&gt;=4,"A",IF('Data Source'!AF634&gt;=3.5,"A-",IF('Data Source'!AF634&gt;=3,"B",IF('Data Source'!AF634&gt;=2,"C",IF('Data Source'!AF634&gt;=1,"D","F")))))))</f>
        <v/>
      </c>
      <c r="O634" s="3">
        <f>IF('Data Source'!B634="","",IF('Data Source'!AG634&gt;=5,"A+",IF('Data Source'!AG634&gt;=4,"A",IF('Data Source'!AG634&gt;=3.5,"A-",IF('Data Source'!AG634&gt;=3,"B",IF('Data Source'!AG634&gt;=2,"C",IF('Data Source'!AG634&gt;=1,"D","F")))))))</f>
        <v/>
      </c>
      <c r="P634" s="5">
        <f>IF('Data Source'!B634="","",'Data Source'!R634)</f>
        <v/>
      </c>
      <c r="Q634" s="3">
        <f>IF('Data Source'!B634="","",'Data Source'!S634)</f>
        <v/>
      </c>
    </row>
    <row r="635">
      <c r="A635" s="3">
        <f>IF('Data Source'!B635="","",'Data Source'!A635)</f>
        <v/>
      </c>
      <c r="B635">
        <f>IF('Data Source'!B635="","",'Data Source'!B635)</f>
        <v/>
      </c>
      <c r="C635" s="3">
        <f>IF('Data Source'!B635="","",IF('Data Source'!U635&gt;=5,"A+",IF('Data Source'!U635&gt;=4,"A",IF('Data Source'!U635&gt;=3.5,"A-",IF('Data Source'!U635&gt;=3,"B",IF('Data Source'!U635&gt;=2,"C",IF('Data Source'!U635&gt;=1,"D","F")))))))</f>
        <v/>
      </c>
      <c r="D635" s="3">
        <f>IF('Data Source'!B635="","",IF('Data Source'!V635&gt;=5,"A+",IF('Data Source'!V635&gt;=4,"A",IF('Data Source'!V635&gt;=3.5,"A-",IF('Data Source'!V635&gt;=3,"B",IF('Data Source'!V635&gt;=2,"C",IF('Data Source'!V635&gt;=1,"D","F")))))))</f>
        <v/>
      </c>
      <c r="E635" s="3">
        <f>IF('Data Source'!B635="","",IF('Data Source'!W635&gt;=5,"A+",IF('Data Source'!W635&gt;=4,"A",IF('Data Source'!W635&gt;=3.5,"A-",IF('Data Source'!W635&gt;=3,"B",IF('Data Source'!W635&gt;=2,"C",IF('Data Source'!W635&gt;=1,"D","F")))))))</f>
        <v/>
      </c>
      <c r="F635" s="3">
        <f>IF('Data Source'!B635="","",IF('Data Source'!X635&gt;=5,"A+",IF('Data Source'!X635&gt;=4,"A",IF('Data Source'!X635&gt;=3.5,"A-",IF('Data Source'!X635&gt;=3,"B",IF('Data Source'!X635&gt;=2,"C",IF('Data Source'!X635&gt;=1,"D","F")))))))</f>
        <v/>
      </c>
      <c r="G635" s="3">
        <f>IF('Data Source'!B635="","",IF('Data Source'!Y635&gt;=5,"A+",IF('Data Source'!Y635&gt;=4,"A",IF('Data Source'!Y635&gt;=3.5,"A-",IF('Data Source'!Y635&gt;=3,"B",IF('Data Source'!Y635&gt;=2,"C",IF('Data Source'!Y635&gt;=1,"D","F")))))))</f>
        <v/>
      </c>
      <c r="H635" s="3">
        <f>IF('Data Source'!B635="","",IF('Data Source'!Z635&gt;=5,"A+",IF('Data Source'!Z635&gt;=4,"A",IF('Data Source'!Z635&gt;=3.5,"A-",IF('Data Source'!Z635&gt;=3,"B",IF('Data Source'!Z635&gt;=2,"C",IF('Data Source'!Z635&gt;=1,"D","F")))))))</f>
        <v/>
      </c>
      <c r="I635" s="3">
        <f>IF('Data Source'!B635="","",IF('Data Source'!AA635&gt;=5,"A+",IF('Data Source'!AA635&gt;=4,"A",IF('Data Source'!AA635&gt;=3.5,"A-",IF('Data Source'!AA635&gt;=3,"B",IF('Data Source'!AA635&gt;=2,"C",IF('Data Source'!AA635&gt;=1,"D","F")))))))</f>
        <v/>
      </c>
      <c r="J635" s="3">
        <f>IF('Data Source'!B635="","",IF('Data Source'!AB635&gt;=5,"A+",IF('Data Source'!AB635&gt;=4,"A",IF('Data Source'!AB635&gt;=3.5,"A-",IF('Data Source'!AB635&gt;=3,"B",IF('Data Source'!AB635&gt;=2,"C",IF('Data Source'!AB635&gt;=1,"D","F")))))))</f>
        <v/>
      </c>
      <c r="K635" s="3">
        <f>IF('Data Source'!B635="","",IF('Data Source'!AC635&gt;=5,"A+",IF('Data Source'!AC635&gt;=4,"A",IF('Data Source'!AC635&gt;=3.5,"A-",IF('Data Source'!AC635&gt;=3,"B",IF('Data Source'!AC635&gt;=2,"C",IF('Data Source'!AC635&gt;=1,"D","F")))))))</f>
        <v/>
      </c>
      <c r="L635" s="3">
        <f>IF('Data Source'!B635="","",IF('Data Source'!AD635&gt;=5,"A+",IF('Data Source'!AD635&gt;=4,"A",IF('Data Source'!AD635&gt;=3.5,"A-",IF('Data Source'!AD635&gt;=3,"B",IF('Data Source'!AD635&gt;=2,"C",IF('Data Source'!AD635&gt;=1,"D","F")))))))</f>
        <v/>
      </c>
      <c r="M635" s="3">
        <f>IF('Data Source'!B635="","",IF('Data Source'!AE635&gt;=5,"A+",IF('Data Source'!AE635&gt;=4,"A",IF('Data Source'!AE635&gt;=3.5,"A-",IF('Data Source'!AE635&gt;=3,"B",IF('Data Source'!AE635&gt;=2,"C",IF('Data Source'!AE635&gt;=1,"D","F")))))))</f>
        <v/>
      </c>
      <c r="N635" s="3">
        <f>IF('Data Source'!B635="","",IF('Data Source'!AF635&gt;=5,"A+",IF('Data Source'!AF635&gt;=4,"A",IF('Data Source'!AF635&gt;=3.5,"A-",IF('Data Source'!AF635&gt;=3,"B",IF('Data Source'!AF635&gt;=2,"C",IF('Data Source'!AF635&gt;=1,"D","F")))))))</f>
        <v/>
      </c>
      <c r="O635" s="3">
        <f>IF('Data Source'!B635="","",IF('Data Source'!AG635&gt;=5,"A+",IF('Data Source'!AG635&gt;=4,"A",IF('Data Source'!AG635&gt;=3.5,"A-",IF('Data Source'!AG635&gt;=3,"B",IF('Data Source'!AG635&gt;=2,"C",IF('Data Source'!AG635&gt;=1,"D","F")))))))</f>
        <v/>
      </c>
      <c r="P635" s="5">
        <f>IF('Data Source'!B635="","",'Data Source'!R635)</f>
        <v/>
      </c>
      <c r="Q635" s="3">
        <f>IF('Data Source'!B635="","",'Data Source'!S635)</f>
        <v/>
      </c>
    </row>
    <row r="636">
      <c r="A636" s="3">
        <f>IF('Data Source'!B636="","",'Data Source'!A636)</f>
        <v/>
      </c>
      <c r="B636">
        <f>IF('Data Source'!B636="","",'Data Source'!B636)</f>
        <v/>
      </c>
      <c r="C636" s="3">
        <f>IF('Data Source'!B636="","",IF('Data Source'!U636&gt;=5,"A+",IF('Data Source'!U636&gt;=4,"A",IF('Data Source'!U636&gt;=3.5,"A-",IF('Data Source'!U636&gt;=3,"B",IF('Data Source'!U636&gt;=2,"C",IF('Data Source'!U636&gt;=1,"D","F")))))))</f>
        <v/>
      </c>
      <c r="D636" s="3">
        <f>IF('Data Source'!B636="","",IF('Data Source'!V636&gt;=5,"A+",IF('Data Source'!V636&gt;=4,"A",IF('Data Source'!V636&gt;=3.5,"A-",IF('Data Source'!V636&gt;=3,"B",IF('Data Source'!V636&gt;=2,"C",IF('Data Source'!V636&gt;=1,"D","F")))))))</f>
        <v/>
      </c>
      <c r="E636" s="3">
        <f>IF('Data Source'!B636="","",IF('Data Source'!W636&gt;=5,"A+",IF('Data Source'!W636&gt;=4,"A",IF('Data Source'!W636&gt;=3.5,"A-",IF('Data Source'!W636&gt;=3,"B",IF('Data Source'!W636&gt;=2,"C",IF('Data Source'!W636&gt;=1,"D","F")))))))</f>
        <v/>
      </c>
      <c r="F636" s="3">
        <f>IF('Data Source'!B636="","",IF('Data Source'!X636&gt;=5,"A+",IF('Data Source'!X636&gt;=4,"A",IF('Data Source'!X636&gt;=3.5,"A-",IF('Data Source'!X636&gt;=3,"B",IF('Data Source'!X636&gt;=2,"C",IF('Data Source'!X636&gt;=1,"D","F")))))))</f>
        <v/>
      </c>
      <c r="G636" s="3">
        <f>IF('Data Source'!B636="","",IF('Data Source'!Y636&gt;=5,"A+",IF('Data Source'!Y636&gt;=4,"A",IF('Data Source'!Y636&gt;=3.5,"A-",IF('Data Source'!Y636&gt;=3,"B",IF('Data Source'!Y636&gt;=2,"C",IF('Data Source'!Y636&gt;=1,"D","F")))))))</f>
        <v/>
      </c>
      <c r="H636" s="3">
        <f>IF('Data Source'!B636="","",IF('Data Source'!Z636&gt;=5,"A+",IF('Data Source'!Z636&gt;=4,"A",IF('Data Source'!Z636&gt;=3.5,"A-",IF('Data Source'!Z636&gt;=3,"B",IF('Data Source'!Z636&gt;=2,"C",IF('Data Source'!Z636&gt;=1,"D","F")))))))</f>
        <v/>
      </c>
      <c r="I636" s="3">
        <f>IF('Data Source'!B636="","",IF('Data Source'!AA636&gt;=5,"A+",IF('Data Source'!AA636&gt;=4,"A",IF('Data Source'!AA636&gt;=3.5,"A-",IF('Data Source'!AA636&gt;=3,"B",IF('Data Source'!AA636&gt;=2,"C",IF('Data Source'!AA636&gt;=1,"D","F")))))))</f>
        <v/>
      </c>
      <c r="J636" s="3">
        <f>IF('Data Source'!B636="","",IF('Data Source'!AB636&gt;=5,"A+",IF('Data Source'!AB636&gt;=4,"A",IF('Data Source'!AB636&gt;=3.5,"A-",IF('Data Source'!AB636&gt;=3,"B",IF('Data Source'!AB636&gt;=2,"C",IF('Data Source'!AB636&gt;=1,"D","F")))))))</f>
        <v/>
      </c>
      <c r="K636" s="3">
        <f>IF('Data Source'!B636="","",IF('Data Source'!AC636&gt;=5,"A+",IF('Data Source'!AC636&gt;=4,"A",IF('Data Source'!AC636&gt;=3.5,"A-",IF('Data Source'!AC636&gt;=3,"B",IF('Data Source'!AC636&gt;=2,"C",IF('Data Source'!AC636&gt;=1,"D","F")))))))</f>
        <v/>
      </c>
      <c r="L636" s="3">
        <f>IF('Data Source'!B636="","",IF('Data Source'!AD636&gt;=5,"A+",IF('Data Source'!AD636&gt;=4,"A",IF('Data Source'!AD636&gt;=3.5,"A-",IF('Data Source'!AD636&gt;=3,"B",IF('Data Source'!AD636&gt;=2,"C",IF('Data Source'!AD636&gt;=1,"D","F")))))))</f>
        <v/>
      </c>
      <c r="M636" s="3">
        <f>IF('Data Source'!B636="","",IF('Data Source'!AE636&gt;=5,"A+",IF('Data Source'!AE636&gt;=4,"A",IF('Data Source'!AE636&gt;=3.5,"A-",IF('Data Source'!AE636&gt;=3,"B",IF('Data Source'!AE636&gt;=2,"C",IF('Data Source'!AE636&gt;=1,"D","F")))))))</f>
        <v/>
      </c>
      <c r="N636" s="3">
        <f>IF('Data Source'!B636="","",IF('Data Source'!AF636&gt;=5,"A+",IF('Data Source'!AF636&gt;=4,"A",IF('Data Source'!AF636&gt;=3.5,"A-",IF('Data Source'!AF636&gt;=3,"B",IF('Data Source'!AF636&gt;=2,"C",IF('Data Source'!AF636&gt;=1,"D","F")))))))</f>
        <v/>
      </c>
      <c r="O636" s="3">
        <f>IF('Data Source'!B636="","",IF('Data Source'!AG636&gt;=5,"A+",IF('Data Source'!AG636&gt;=4,"A",IF('Data Source'!AG636&gt;=3.5,"A-",IF('Data Source'!AG636&gt;=3,"B",IF('Data Source'!AG636&gt;=2,"C",IF('Data Source'!AG636&gt;=1,"D","F")))))))</f>
        <v/>
      </c>
      <c r="P636" s="5">
        <f>IF('Data Source'!B636="","",'Data Source'!R636)</f>
        <v/>
      </c>
      <c r="Q636" s="3">
        <f>IF('Data Source'!B636="","",'Data Source'!S636)</f>
        <v/>
      </c>
    </row>
    <row r="637">
      <c r="A637" s="3">
        <f>IF('Data Source'!B637="","",'Data Source'!A637)</f>
        <v/>
      </c>
      <c r="B637">
        <f>IF('Data Source'!B637="","",'Data Source'!B637)</f>
        <v/>
      </c>
      <c r="C637" s="3">
        <f>IF('Data Source'!B637="","",IF('Data Source'!U637&gt;=5,"A+",IF('Data Source'!U637&gt;=4,"A",IF('Data Source'!U637&gt;=3.5,"A-",IF('Data Source'!U637&gt;=3,"B",IF('Data Source'!U637&gt;=2,"C",IF('Data Source'!U637&gt;=1,"D","F")))))))</f>
        <v/>
      </c>
      <c r="D637" s="3">
        <f>IF('Data Source'!B637="","",IF('Data Source'!V637&gt;=5,"A+",IF('Data Source'!V637&gt;=4,"A",IF('Data Source'!V637&gt;=3.5,"A-",IF('Data Source'!V637&gt;=3,"B",IF('Data Source'!V637&gt;=2,"C",IF('Data Source'!V637&gt;=1,"D","F")))))))</f>
        <v/>
      </c>
      <c r="E637" s="3">
        <f>IF('Data Source'!B637="","",IF('Data Source'!W637&gt;=5,"A+",IF('Data Source'!W637&gt;=4,"A",IF('Data Source'!W637&gt;=3.5,"A-",IF('Data Source'!W637&gt;=3,"B",IF('Data Source'!W637&gt;=2,"C",IF('Data Source'!W637&gt;=1,"D","F")))))))</f>
        <v/>
      </c>
      <c r="F637" s="3">
        <f>IF('Data Source'!B637="","",IF('Data Source'!X637&gt;=5,"A+",IF('Data Source'!X637&gt;=4,"A",IF('Data Source'!X637&gt;=3.5,"A-",IF('Data Source'!X637&gt;=3,"B",IF('Data Source'!X637&gt;=2,"C",IF('Data Source'!X637&gt;=1,"D","F")))))))</f>
        <v/>
      </c>
      <c r="G637" s="3">
        <f>IF('Data Source'!B637="","",IF('Data Source'!Y637&gt;=5,"A+",IF('Data Source'!Y637&gt;=4,"A",IF('Data Source'!Y637&gt;=3.5,"A-",IF('Data Source'!Y637&gt;=3,"B",IF('Data Source'!Y637&gt;=2,"C",IF('Data Source'!Y637&gt;=1,"D","F")))))))</f>
        <v/>
      </c>
      <c r="H637" s="3">
        <f>IF('Data Source'!B637="","",IF('Data Source'!Z637&gt;=5,"A+",IF('Data Source'!Z637&gt;=4,"A",IF('Data Source'!Z637&gt;=3.5,"A-",IF('Data Source'!Z637&gt;=3,"B",IF('Data Source'!Z637&gt;=2,"C",IF('Data Source'!Z637&gt;=1,"D","F")))))))</f>
        <v/>
      </c>
      <c r="I637" s="3">
        <f>IF('Data Source'!B637="","",IF('Data Source'!AA637&gt;=5,"A+",IF('Data Source'!AA637&gt;=4,"A",IF('Data Source'!AA637&gt;=3.5,"A-",IF('Data Source'!AA637&gt;=3,"B",IF('Data Source'!AA637&gt;=2,"C",IF('Data Source'!AA637&gt;=1,"D","F")))))))</f>
        <v/>
      </c>
      <c r="J637" s="3">
        <f>IF('Data Source'!B637="","",IF('Data Source'!AB637&gt;=5,"A+",IF('Data Source'!AB637&gt;=4,"A",IF('Data Source'!AB637&gt;=3.5,"A-",IF('Data Source'!AB637&gt;=3,"B",IF('Data Source'!AB637&gt;=2,"C",IF('Data Source'!AB637&gt;=1,"D","F")))))))</f>
        <v/>
      </c>
      <c r="K637" s="3">
        <f>IF('Data Source'!B637="","",IF('Data Source'!AC637&gt;=5,"A+",IF('Data Source'!AC637&gt;=4,"A",IF('Data Source'!AC637&gt;=3.5,"A-",IF('Data Source'!AC637&gt;=3,"B",IF('Data Source'!AC637&gt;=2,"C",IF('Data Source'!AC637&gt;=1,"D","F")))))))</f>
        <v/>
      </c>
      <c r="L637" s="3">
        <f>IF('Data Source'!B637="","",IF('Data Source'!AD637&gt;=5,"A+",IF('Data Source'!AD637&gt;=4,"A",IF('Data Source'!AD637&gt;=3.5,"A-",IF('Data Source'!AD637&gt;=3,"B",IF('Data Source'!AD637&gt;=2,"C",IF('Data Source'!AD637&gt;=1,"D","F")))))))</f>
        <v/>
      </c>
      <c r="M637" s="3">
        <f>IF('Data Source'!B637="","",IF('Data Source'!AE637&gt;=5,"A+",IF('Data Source'!AE637&gt;=4,"A",IF('Data Source'!AE637&gt;=3.5,"A-",IF('Data Source'!AE637&gt;=3,"B",IF('Data Source'!AE637&gt;=2,"C",IF('Data Source'!AE637&gt;=1,"D","F")))))))</f>
        <v/>
      </c>
      <c r="N637" s="3">
        <f>IF('Data Source'!B637="","",IF('Data Source'!AF637&gt;=5,"A+",IF('Data Source'!AF637&gt;=4,"A",IF('Data Source'!AF637&gt;=3.5,"A-",IF('Data Source'!AF637&gt;=3,"B",IF('Data Source'!AF637&gt;=2,"C",IF('Data Source'!AF637&gt;=1,"D","F")))))))</f>
        <v/>
      </c>
      <c r="O637" s="3">
        <f>IF('Data Source'!B637="","",IF('Data Source'!AG637&gt;=5,"A+",IF('Data Source'!AG637&gt;=4,"A",IF('Data Source'!AG637&gt;=3.5,"A-",IF('Data Source'!AG637&gt;=3,"B",IF('Data Source'!AG637&gt;=2,"C",IF('Data Source'!AG637&gt;=1,"D","F")))))))</f>
        <v/>
      </c>
      <c r="P637" s="5">
        <f>IF('Data Source'!B637="","",'Data Source'!R637)</f>
        <v/>
      </c>
      <c r="Q637" s="3">
        <f>IF('Data Source'!B637="","",'Data Source'!S637)</f>
        <v/>
      </c>
    </row>
    <row r="638">
      <c r="A638" s="3">
        <f>IF('Data Source'!B638="","",'Data Source'!A638)</f>
        <v/>
      </c>
      <c r="B638">
        <f>IF('Data Source'!B638="","",'Data Source'!B638)</f>
        <v/>
      </c>
      <c r="C638" s="3">
        <f>IF('Data Source'!B638="","",IF('Data Source'!U638&gt;=5,"A+",IF('Data Source'!U638&gt;=4,"A",IF('Data Source'!U638&gt;=3.5,"A-",IF('Data Source'!U638&gt;=3,"B",IF('Data Source'!U638&gt;=2,"C",IF('Data Source'!U638&gt;=1,"D","F")))))))</f>
        <v/>
      </c>
      <c r="D638" s="3">
        <f>IF('Data Source'!B638="","",IF('Data Source'!V638&gt;=5,"A+",IF('Data Source'!V638&gt;=4,"A",IF('Data Source'!V638&gt;=3.5,"A-",IF('Data Source'!V638&gt;=3,"B",IF('Data Source'!V638&gt;=2,"C",IF('Data Source'!V638&gt;=1,"D","F")))))))</f>
        <v/>
      </c>
      <c r="E638" s="3">
        <f>IF('Data Source'!B638="","",IF('Data Source'!W638&gt;=5,"A+",IF('Data Source'!W638&gt;=4,"A",IF('Data Source'!W638&gt;=3.5,"A-",IF('Data Source'!W638&gt;=3,"B",IF('Data Source'!W638&gt;=2,"C",IF('Data Source'!W638&gt;=1,"D","F")))))))</f>
        <v/>
      </c>
      <c r="F638" s="3">
        <f>IF('Data Source'!B638="","",IF('Data Source'!X638&gt;=5,"A+",IF('Data Source'!X638&gt;=4,"A",IF('Data Source'!X638&gt;=3.5,"A-",IF('Data Source'!X638&gt;=3,"B",IF('Data Source'!X638&gt;=2,"C",IF('Data Source'!X638&gt;=1,"D","F")))))))</f>
        <v/>
      </c>
      <c r="G638" s="3">
        <f>IF('Data Source'!B638="","",IF('Data Source'!Y638&gt;=5,"A+",IF('Data Source'!Y638&gt;=4,"A",IF('Data Source'!Y638&gt;=3.5,"A-",IF('Data Source'!Y638&gt;=3,"B",IF('Data Source'!Y638&gt;=2,"C",IF('Data Source'!Y638&gt;=1,"D","F")))))))</f>
        <v/>
      </c>
      <c r="H638" s="3">
        <f>IF('Data Source'!B638="","",IF('Data Source'!Z638&gt;=5,"A+",IF('Data Source'!Z638&gt;=4,"A",IF('Data Source'!Z638&gt;=3.5,"A-",IF('Data Source'!Z638&gt;=3,"B",IF('Data Source'!Z638&gt;=2,"C",IF('Data Source'!Z638&gt;=1,"D","F")))))))</f>
        <v/>
      </c>
      <c r="I638" s="3">
        <f>IF('Data Source'!B638="","",IF('Data Source'!AA638&gt;=5,"A+",IF('Data Source'!AA638&gt;=4,"A",IF('Data Source'!AA638&gt;=3.5,"A-",IF('Data Source'!AA638&gt;=3,"B",IF('Data Source'!AA638&gt;=2,"C",IF('Data Source'!AA638&gt;=1,"D","F")))))))</f>
        <v/>
      </c>
      <c r="J638" s="3">
        <f>IF('Data Source'!B638="","",IF('Data Source'!AB638&gt;=5,"A+",IF('Data Source'!AB638&gt;=4,"A",IF('Data Source'!AB638&gt;=3.5,"A-",IF('Data Source'!AB638&gt;=3,"B",IF('Data Source'!AB638&gt;=2,"C",IF('Data Source'!AB638&gt;=1,"D","F")))))))</f>
        <v/>
      </c>
      <c r="K638" s="3">
        <f>IF('Data Source'!B638="","",IF('Data Source'!AC638&gt;=5,"A+",IF('Data Source'!AC638&gt;=4,"A",IF('Data Source'!AC638&gt;=3.5,"A-",IF('Data Source'!AC638&gt;=3,"B",IF('Data Source'!AC638&gt;=2,"C",IF('Data Source'!AC638&gt;=1,"D","F")))))))</f>
        <v/>
      </c>
      <c r="L638" s="3">
        <f>IF('Data Source'!B638="","",IF('Data Source'!AD638&gt;=5,"A+",IF('Data Source'!AD638&gt;=4,"A",IF('Data Source'!AD638&gt;=3.5,"A-",IF('Data Source'!AD638&gt;=3,"B",IF('Data Source'!AD638&gt;=2,"C",IF('Data Source'!AD638&gt;=1,"D","F")))))))</f>
        <v/>
      </c>
      <c r="M638" s="3">
        <f>IF('Data Source'!B638="","",IF('Data Source'!AE638&gt;=5,"A+",IF('Data Source'!AE638&gt;=4,"A",IF('Data Source'!AE638&gt;=3.5,"A-",IF('Data Source'!AE638&gt;=3,"B",IF('Data Source'!AE638&gt;=2,"C",IF('Data Source'!AE638&gt;=1,"D","F")))))))</f>
        <v/>
      </c>
      <c r="N638" s="3">
        <f>IF('Data Source'!B638="","",IF('Data Source'!AF638&gt;=5,"A+",IF('Data Source'!AF638&gt;=4,"A",IF('Data Source'!AF638&gt;=3.5,"A-",IF('Data Source'!AF638&gt;=3,"B",IF('Data Source'!AF638&gt;=2,"C",IF('Data Source'!AF638&gt;=1,"D","F")))))))</f>
        <v/>
      </c>
      <c r="O638" s="3">
        <f>IF('Data Source'!B638="","",IF('Data Source'!AG638&gt;=5,"A+",IF('Data Source'!AG638&gt;=4,"A",IF('Data Source'!AG638&gt;=3.5,"A-",IF('Data Source'!AG638&gt;=3,"B",IF('Data Source'!AG638&gt;=2,"C",IF('Data Source'!AG638&gt;=1,"D","F")))))))</f>
        <v/>
      </c>
      <c r="P638" s="5">
        <f>IF('Data Source'!B638="","",'Data Source'!R638)</f>
        <v/>
      </c>
      <c r="Q638" s="3">
        <f>IF('Data Source'!B638="","",'Data Source'!S638)</f>
        <v/>
      </c>
    </row>
    <row r="639">
      <c r="A639" s="3">
        <f>IF('Data Source'!B639="","",'Data Source'!A639)</f>
        <v/>
      </c>
      <c r="B639">
        <f>IF('Data Source'!B639="","",'Data Source'!B639)</f>
        <v/>
      </c>
      <c r="C639" s="3">
        <f>IF('Data Source'!B639="","",IF('Data Source'!U639&gt;=5,"A+",IF('Data Source'!U639&gt;=4,"A",IF('Data Source'!U639&gt;=3.5,"A-",IF('Data Source'!U639&gt;=3,"B",IF('Data Source'!U639&gt;=2,"C",IF('Data Source'!U639&gt;=1,"D","F")))))))</f>
        <v/>
      </c>
      <c r="D639" s="3">
        <f>IF('Data Source'!B639="","",IF('Data Source'!V639&gt;=5,"A+",IF('Data Source'!V639&gt;=4,"A",IF('Data Source'!V639&gt;=3.5,"A-",IF('Data Source'!V639&gt;=3,"B",IF('Data Source'!V639&gt;=2,"C",IF('Data Source'!V639&gt;=1,"D","F")))))))</f>
        <v/>
      </c>
      <c r="E639" s="3">
        <f>IF('Data Source'!B639="","",IF('Data Source'!W639&gt;=5,"A+",IF('Data Source'!W639&gt;=4,"A",IF('Data Source'!W639&gt;=3.5,"A-",IF('Data Source'!W639&gt;=3,"B",IF('Data Source'!W639&gt;=2,"C",IF('Data Source'!W639&gt;=1,"D","F")))))))</f>
        <v/>
      </c>
      <c r="F639" s="3">
        <f>IF('Data Source'!B639="","",IF('Data Source'!X639&gt;=5,"A+",IF('Data Source'!X639&gt;=4,"A",IF('Data Source'!X639&gt;=3.5,"A-",IF('Data Source'!X639&gt;=3,"B",IF('Data Source'!X639&gt;=2,"C",IF('Data Source'!X639&gt;=1,"D","F")))))))</f>
        <v/>
      </c>
      <c r="G639" s="3">
        <f>IF('Data Source'!B639="","",IF('Data Source'!Y639&gt;=5,"A+",IF('Data Source'!Y639&gt;=4,"A",IF('Data Source'!Y639&gt;=3.5,"A-",IF('Data Source'!Y639&gt;=3,"B",IF('Data Source'!Y639&gt;=2,"C",IF('Data Source'!Y639&gt;=1,"D","F")))))))</f>
        <v/>
      </c>
      <c r="H639" s="3">
        <f>IF('Data Source'!B639="","",IF('Data Source'!Z639&gt;=5,"A+",IF('Data Source'!Z639&gt;=4,"A",IF('Data Source'!Z639&gt;=3.5,"A-",IF('Data Source'!Z639&gt;=3,"B",IF('Data Source'!Z639&gt;=2,"C",IF('Data Source'!Z639&gt;=1,"D","F")))))))</f>
        <v/>
      </c>
      <c r="I639" s="3">
        <f>IF('Data Source'!B639="","",IF('Data Source'!AA639&gt;=5,"A+",IF('Data Source'!AA639&gt;=4,"A",IF('Data Source'!AA639&gt;=3.5,"A-",IF('Data Source'!AA639&gt;=3,"B",IF('Data Source'!AA639&gt;=2,"C",IF('Data Source'!AA639&gt;=1,"D","F")))))))</f>
        <v/>
      </c>
      <c r="J639" s="3">
        <f>IF('Data Source'!B639="","",IF('Data Source'!AB639&gt;=5,"A+",IF('Data Source'!AB639&gt;=4,"A",IF('Data Source'!AB639&gt;=3.5,"A-",IF('Data Source'!AB639&gt;=3,"B",IF('Data Source'!AB639&gt;=2,"C",IF('Data Source'!AB639&gt;=1,"D","F")))))))</f>
        <v/>
      </c>
      <c r="K639" s="3">
        <f>IF('Data Source'!B639="","",IF('Data Source'!AC639&gt;=5,"A+",IF('Data Source'!AC639&gt;=4,"A",IF('Data Source'!AC639&gt;=3.5,"A-",IF('Data Source'!AC639&gt;=3,"B",IF('Data Source'!AC639&gt;=2,"C",IF('Data Source'!AC639&gt;=1,"D","F")))))))</f>
        <v/>
      </c>
      <c r="L639" s="3">
        <f>IF('Data Source'!B639="","",IF('Data Source'!AD639&gt;=5,"A+",IF('Data Source'!AD639&gt;=4,"A",IF('Data Source'!AD639&gt;=3.5,"A-",IF('Data Source'!AD639&gt;=3,"B",IF('Data Source'!AD639&gt;=2,"C",IF('Data Source'!AD639&gt;=1,"D","F")))))))</f>
        <v/>
      </c>
      <c r="M639" s="3">
        <f>IF('Data Source'!B639="","",IF('Data Source'!AE639&gt;=5,"A+",IF('Data Source'!AE639&gt;=4,"A",IF('Data Source'!AE639&gt;=3.5,"A-",IF('Data Source'!AE639&gt;=3,"B",IF('Data Source'!AE639&gt;=2,"C",IF('Data Source'!AE639&gt;=1,"D","F")))))))</f>
        <v/>
      </c>
      <c r="N639" s="3">
        <f>IF('Data Source'!B639="","",IF('Data Source'!AF639&gt;=5,"A+",IF('Data Source'!AF639&gt;=4,"A",IF('Data Source'!AF639&gt;=3.5,"A-",IF('Data Source'!AF639&gt;=3,"B",IF('Data Source'!AF639&gt;=2,"C",IF('Data Source'!AF639&gt;=1,"D","F")))))))</f>
        <v/>
      </c>
      <c r="O639" s="3">
        <f>IF('Data Source'!B639="","",IF('Data Source'!AG639&gt;=5,"A+",IF('Data Source'!AG639&gt;=4,"A",IF('Data Source'!AG639&gt;=3.5,"A-",IF('Data Source'!AG639&gt;=3,"B",IF('Data Source'!AG639&gt;=2,"C",IF('Data Source'!AG639&gt;=1,"D","F")))))))</f>
        <v/>
      </c>
      <c r="P639" s="5">
        <f>IF('Data Source'!B639="","",'Data Source'!R639)</f>
        <v/>
      </c>
      <c r="Q639" s="3">
        <f>IF('Data Source'!B639="","",'Data Source'!S639)</f>
        <v/>
      </c>
    </row>
    <row r="640">
      <c r="A640" s="3">
        <f>IF('Data Source'!B640="","",'Data Source'!A640)</f>
        <v/>
      </c>
      <c r="B640">
        <f>IF('Data Source'!B640="","",'Data Source'!B640)</f>
        <v/>
      </c>
      <c r="C640" s="3">
        <f>IF('Data Source'!B640="","",IF('Data Source'!U640&gt;=5,"A+",IF('Data Source'!U640&gt;=4,"A",IF('Data Source'!U640&gt;=3.5,"A-",IF('Data Source'!U640&gt;=3,"B",IF('Data Source'!U640&gt;=2,"C",IF('Data Source'!U640&gt;=1,"D","F")))))))</f>
        <v/>
      </c>
      <c r="D640" s="3">
        <f>IF('Data Source'!B640="","",IF('Data Source'!V640&gt;=5,"A+",IF('Data Source'!V640&gt;=4,"A",IF('Data Source'!V640&gt;=3.5,"A-",IF('Data Source'!V640&gt;=3,"B",IF('Data Source'!V640&gt;=2,"C",IF('Data Source'!V640&gt;=1,"D","F")))))))</f>
        <v/>
      </c>
      <c r="E640" s="3">
        <f>IF('Data Source'!B640="","",IF('Data Source'!W640&gt;=5,"A+",IF('Data Source'!W640&gt;=4,"A",IF('Data Source'!W640&gt;=3.5,"A-",IF('Data Source'!W640&gt;=3,"B",IF('Data Source'!W640&gt;=2,"C",IF('Data Source'!W640&gt;=1,"D","F")))))))</f>
        <v/>
      </c>
      <c r="F640" s="3">
        <f>IF('Data Source'!B640="","",IF('Data Source'!X640&gt;=5,"A+",IF('Data Source'!X640&gt;=4,"A",IF('Data Source'!X640&gt;=3.5,"A-",IF('Data Source'!X640&gt;=3,"B",IF('Data Source'!X640&gt;=2,"C",IF('Data Source'!X640&gt;=1,"D","F")))))))</f>
        <v/>
      </c>
      <c r="G640" s="3">
        <f>IF('Data Source'!B640="","",IF('Data Source'!Y640&gt;=5,"A+",IF('Data Source'!Y640&gt;=4,"A",IF('Data Source'!Y640&gt;=3.5,"A-",IF('Data Source'!Y640&gt;=3,"B",IF('Data Source'!Y640&gt;=2,"C",IF('Data Source'!Y640&gt;=1,"D","F")))))))</f>
        <v/>
      </c>
      <c r="H640" s="3">
        <f>IF('Data Source'!B640="","",IF('Data Source'!Z640&gt;=5,"A+",IF('Data Source'!Z640&gt;=4,"A",IF('Data Source'!Z640&gt;=3.5,"A-",IF('Data Source'!Z640&gt;=3,"B",IF('Data Source'!Z640&gt;=2,"C",IF('Data Source'!Z640&gt;=1,"D","F")))))))</f>
        <v/>
      </c>
      <c r="I640" s="3">
        <f>IF('Data Source'!B640="","",IF('Data Source'!AA640&gt;=5,"A+",IF('Data Source'!AA640&gt;=4,"A",IF('Data Source'!AA640&gt;=3.5,"A-",IF('Data Source'!AA640&gt;=3,"B",IF('Data Source'!AA640&gt;=2,"C",IF('Data Source'!AA640&gt;=1,"D","F")))))))</f>
        <v/>
      </c>
      <c r="J640" s="3">
        <f>IF('Data Source'!B640="","",IF('Data Source'!AB640&gt;=5,"A+",IF('Data Source'!AB640&gt;=4,"A",IF('Data Source'!AB640&gt;=3.5,"A-",IF('Data Source'!AB640&gt;=3,"B",IF('Data Source'!AB640&gt;=2,"C",IF('Data Source'!AB640&gt;=1,"D","F")))))))</f>
        <v/>
      </c>
      <c r="K640" s="3">
        <f>IF('Data Source'!B640="","",IF('Data Source'!AC640&gt;=5,"A+",IF('Data Source'!AC640&gt;=4,"A",IF('Data Source'!AC640&gt;=3.5,"A-",IF('Data Source'!AC640&gt;=3,"B",IF('Data Source'!AC640&gt;=2,"C",IF('Data Source'!AC640&gt;=1,"D","F")))))))</f>
        <v/>
      </c>
      <c r="L640" s="3">
        <f>IF('Data Source'!B640="","",IF('Data Source'!AD640&gt;=5,"A+",IF('Data Source'!AD640&gt;=4,"A",IF('Data Source'!AD640&gt;=3.5,"A-",IF('Data Source'!AD640&gt;=3,"B",IF('Data Source'!AD640&gt;=2,"C",IF('Data Source'!AD640&gt;=1,"D","F")))))))</f>
        <v/>
      </c>
      <c r="M640" s="3">
        <f>IF('Data Source'!B640="","",IF('Data Source'!AE640&gt;=5,"A+",IF('Data Source'!AE640&gt;=4,"A",IF('Data Source'!AE640&gt;=3.5,"A-",IF('Data Source'!AE640&gt;=3,"B",IF('Data Source'!AE640&gt;=2,"C",IF('Data Source'!AE640&gt;=1,"D","F")))))))</f>
        <v/>
      </c>
      <c r="N640" s="3">
        <f>IF('Data Source'!B640="","",IF('Data Source'!AF640&gt;=5,"A+",IF('Data Source'!AF640&gt;=4,"A",IF('Data Source'!AF640&gt;=3.5,"A-",IF('Data Source'!AF640&gt;=3,"B",IF('Data Source'!AF640&gt;=2,"C",IF('Data Source'!AF640&gt;=1,"D","F")))))))</f>
        <v/>
      </c>
      <c r="O640" s="3">
        <f>IF('Data Source'!B640="","",IF('Data Source'!AG640&gt;=5,"A+",IF('Data Source'!AG640&gt;=4,"A",IF('Data Source'!AG640&gt;=3.5,"A-",IF('Data Source'!AG640&gt;=3,"B",IF('Data Source'!AG640&gt;=2,"C",IF('Data Source'!AG640&gt;=1,"D","F")))))))</f>
        <v/>
      </c>
      <c r="P640" s="5">
        <f>IF('Data Source'!B640="","",'Data Source'!R640)</f>
        <v/>
      </c>
      <c r="Q640" s="3">
        <f>IF('Data Source'!B640="","",'Data Source'!S640)</f>
        <v/>
      </c>
    </row>
    <row r="641">
      <c r="A641" s="3">
        <f>IF('Data Source'!B641="","",'Data Source'!A641)</f>
        <v/>
      </c>
      <c r="B641">
        <f>IF('Data Source'!B641="","",'Data Source'!B641)</f>
        <v/>
      </c>
      <c r="C641" s="3">
        <f>IF('Data Source'!B641="","",IF('Data Source'!U641&gt;=5,"A+",IF('Data Source'!U641&gt;=4,"A",IF('Data Source'!U641&gt;=3.5,"A-",IF('Data Source'!U641&gt;=3,"B",IF('Data Source'!U641&gt;=2,"C",IF('Data Source'!U641&gt;=1,"D","F")))))))</f>
        <v/>
      </c>
      <c r="D641" s="3">
        <f>IF('Data Source'!B641="","",IF('Data Source'!V641&gt;=5,"A+",IF('Data Source'!V641&gt;=4,"A",IF('Data Source'!V641&gt;=3.5,"A-",IF('Data Source'!V641&gt;=3,"B",IF('Data Source'!V641&gt;=2,"C",IF('Data Source'!V641&gt;=1,"D","F")))))))</f>
        <v/>
      </c>
      <c r="E641" s="3">
        <f>IF('Data Source'!B641="","",IF('Data Source'!W641&gt;=5,"A+",IF('Data Source'!W641&gt;=4,"A",IF('Data Source'!W641&gt;=3.5,"A-",IF('Data Source'!W641&gt;=3,"B",IF('Data Source'!W641&gt;=2,"C",IF('Data Source'!W641&gt;=1,"D","F")))))))</f>
        <v/>
      </c>
      <c r="F641" s="3">
        <f>IF('Data Source'!B641="","",IF('Data Source'!X641&gt;=5,"A+",IF('Data Source'!X641&gt;=4,"A",IF('Data Source'!X641&gt;=3.5,"A-",IF('Data Source'!X641&gt;=3,"B",IF('Data Source'!X641&gt;=2,"C",IF('Data Source'!X641&gt;=1,"D","F")))))))</f>
        <v/>
      </c>
      <c r="G641" s="3">
        <f>IF('Data Source'!B641="","",IF('Data Source'!Y641&gt;=5,"A+",IF('Data Source'!Y641&gt;=4,"A",IF('Data Source'!Y641&gt;=3.5,"A-",IF('Data Source'!Y641&gt;=3,"B",IF('Data Source'!Y641&gt;=2,"C",IF('Data Source'!Y641&gt;=1,"D","F")))))))</f>
        <v/>
      </c>
      <c r="H641" s="3">
        <f>IF('Data Source'!B641="","",IF('Data Source'!Z641&gt;=5,"A+",IF('Data Source'!Z641&gt;=4,"A",IF('Data Source'!Z641&gt;=3.5,"A-",IF('Data Source'!Z641&gt;=3,"B",IF('Data Source'!Z641&gt;=2,"C",IF('Data Source'!Z641&gt;=1,"D","F")))))))</f>
        <v/>
      </c>
      <c r="I641" s="3">
        <f>IF('Data Source'!B641="","",IF('Data Source'!AA641&gt;=5,"A+",IF('Data Source'!AA641&gt;=4,"A",IF('Data Source'!AA641&gt;=3.5,"A-",IF('Data Source'!AA641&gt;=3,"B",IF('Data Source'!AA641&gt;=2,"C",IF('Data Source'!AA641&gt;=1,"D","F")))))))</f>
        <v/>
      </c>
      <c r="J641" s="3">
        <f>IF('Data Source'!B641="","",IF('Data Source'!AB641&gt;=5,"A+",IF('Data Source'!AB641&gt;=4,"A",IF('Data Source'!AB641&gt;=3.5,"A-",IF('Data Source'!AB641&gt;=3,"B",IF('Data Source'!AB641&gt;=2,"C",IF('Data Source'!AB641&gt;=1,"D","F")))))))</f>
        <v/>
      </c>
      <c r="K641" s="3">
        <f>IF('Data Source'!B641="","",IF('Data Source'!AC641&gt;=5,"A+",IF('Data Source'!AC641&gt;=4,"A",IF('Data Source'!AC641&gt;=3.5,"A-",IF('Data Source'!AC641&gt;=3,"B",IF('Data Source'!AC641&gt;=2,"C",IF('Data Source'!AC641&gt;=1,"D","F")))))))</f>
        <v/>
      </c>
      <c r="L641" s="3">
        <f>IF('Data Source'!B641="","",IF('Data Source'!AD641&gt;=5,"A+",IF('Data Source'!AD641&gt;=4,"A",IF('Data Source'!AD641&gt;=3.5,"A-",IF('Data Source'!AD641&gt;=3,"B",IF('Data Source'!AD641&gt;=2,"C",IF('Data Source'!AD641&gt;=1,"D","F")))))))</f>
        <v/>
      </c>
      <c r="M641" s="3">
        <f>IF('Data Source'!B641="","",IF('Data Source'!AE641&gt;=5,"A+",IF('Data Source'!AE641&gt;=4,"A",IF('Data Source'!AE641&gt;=3.5,"A-",IF('Data Source'!AE641&gt;=3,"B",IF('Data Source'!AE641&gt;=2,"C",IF('Data Source'!AE641&gt;=1,"D","F")))))))</f>
        <v/>
      </c>
      <c r="N641" s="3">
        <f>IF('Data Source'!B641="","",IF('Data Source'!AF641&gt;=5,"A+",IF('Data Source'!AF641&gt;=4,"A",IF('Data Source'!AF641&gt;=3.5,"A-",IF('Data Source'!AF641&gt;=3,"B",IF('Data Source'!AF641&gt;=2,"C",IF('Data Source'!AF641&gt;=1,"D","F")))))))</f>
        <v/>
      </c>
      <c r="O641" s="3">
        <f>IF('Data Source'!B641="","",IF('Data Source'!AG641&gt;=5,"A+",IF('Data Source'!AG641&gt;=4,"A",IF('Data Source'!AG641&gt;=3.5,"A-",IF('Data Source'!AG641&gt;=3,"B",IF('Data Source'!AG641&gt;=2,"C",IF('Data Source'!AG641&gt;=1,"D","F")))))))</f>
        <v/>
      </c>
      <c r="P641" s="5">
        <f>IF('Data Source'!B641="","",'Data Source'!R641)</f>
        <v/>
      </c>
      <c r="Q641" s="3">
        <f>IF('Data Source'!B641="","",'Data Source'!S641)</f>
        <v/>
      </c>
    </row>
    <row r="642">
      <c r="A642" s="3">
        <f>IF('Data Source'!B642="","",'Data Source'!A642)</f>
        <v/>
      </c>
      <c r="B642">
        <f>IF('Data Source'!B642="","",'Data Source'!B642)</f>
        <v/>
      </c>
      <c r="C642" s="3">
        <f>IF('Data Source'!B642="","",IF('Data Source'!U642&gt;=5,"A+",IF('Data Source'!U642&gt;=4,"A",IF('Data Source'!U642&gt;=3.5,"A-",IF('Data Source'!U642&gt;=3,"B",IF('Data Source'!U642&gt;=2,"C",IF('Data Source'!U642&gt;=1,"D","F")))))))</f>
        <v/>
      </c>
      <c r="D642" s="3">
        <f>IF('Data Source'!B642="","",IF('Data Source'!V642&gt;=5,"A+",IF('Data Source'!V642&gt;=4,"A",IF('Data Source'!V642&gt;=3.5,"A-",IF('Data Source'!V642&gt;=3,"B",IF('Data Source'!V642&gt;=2,"C",IF('Data Source'!V642&gt;=1,"D","F")))))))</f>
        <v/>
      </c>
      <c r="E642" s="3">
        <f>IF('Data Source'!B642="","",IF('Data Source'!W642&gt;=5,"A+",IF('Data Source'!W642&gt;=4,"A",IF('Data Source'!W642&gt;=3.5,"A-",IF('Data Source'!W642&gt;=3,"B",IF('Data Source'!W642&gt;=2,"C",IF('Data Source'!W642&gt;=1,"D","F")))))))</f>
        <v/>
      </c>
      <c r="F642" s="3">
        <f>IF('Data Source'!B642="","",IF('Data Source'!X642&gt;=5,"A+",IF('Data Source'!X642&gt;=4,"A",IF('Data Source'!X642&gt;=3.5,"A-",IF('Data Source'!X642&gt;=3,"B",IF('Data Source'!X642&gt;=2,"C",IF('Data Source'!X642&gt;=1,"D","F")))))))</f>
        <v/>
      </c>
      <c r="G642" s="3">
        <f>IF('Data Source'!B642="","",IF('Data Source'!Y642&gt;=5,"A+",IF('Data Source'!Y642&gt;=4,"A",IF('Data Source'!Y642&gt;=3.5,"A-",IF('Data Source'!Y642&gt;=3,"B",IF('Data Source'!Y642&gt;=2,"C",IF('Data Source'!Y642&gt;=1,"D","F")))))))</f>
        <v/>
      </c>
      <c r="H642" s="3">
        <f>IF('Data Source'!B642="","",IF('Data Source'!Z642&gt;=5,"A+",IF('Data Source'!Z642&gt;=4,"A",IF('Data Source'!Z642&gt;=3.5,"A-",IF('Data Source'!Z642&gt;=3,"B",IF('Data Source'!Z642&gt;=2,"C",IF('Data Source'!Z642&gt;=1,"D","F")))))))</f>
        <v/>
      </c>
      <c r="I642" s="3">
        <f>IF('Data Source'!B642="","",IF('Data Source'!AA642&gt;=5,"A+",IF('Data Source'!AA642&gt;=4,"A",IF('Data Source'!AA642&gt;=3.5,"A-",IF('Data Source'!AA642&gt;=3,"B",IF('Data Source'!AA642&gt;=2,"C",IF('Data Source'!AA642&gt;=1,"D","F")))))))</f>
        <v/>
      </c>
      <c r="J642" s="3">
        <f>IF('Data Source'!B642="","",IF('Data Source'!AB642&gt;=5,"A+",IF('Data Source'!AB642&gt;=4,"A",IF('Data Source'!AB642&gt;=3.5,"A-",IF('Data Source'!AB642&gt;=3,"B",IF('Data Source'!AB642&gt;=2,"C",IF('Data Source'!AB642&gt;=1,"D","F")))))))</f>
        <v/>
      </c>
      <c r="K642" s="3">
        <f>IF('Data Source'!B642="","",IF('Data Source'!AC642&gt;=5,"A+",IF('Data Source'!AC642&gt;=4,"A",IF('Data Source'!AC642&gt;=3.5,"A-",IF('Data Source'!AC642&gt;=3,"B",IF('Data Source'!AC642&gt;=2,"C",IF('Data Source'!AC642&gt;=1,"D","F")))))))</f>
        <v/>
      </c>
      <c r="L642" s="3">
        <f>IF('Data Source'!B642="","",IF('Data Source'!AD642&gt;=5,"A+",IF('Data Source'!AD642&gt;=4,"A",IF('Data Source'!AD642&gt;=3.5,"A-",IF('Data Source'!AD642&gt;=3,"B",IF('Data Source'!AD642&gt;=2,"C",IF('Data Source'!AD642&gt;=1,"D","F")))))))</f>
        <v/>
      </c>
      <c r="M642" s="3">
        <f>IF('Data Source'!B642="","",IF('Data Source'!AE642&gt;=5,"A+",IF('Data Source'!AE642&gt;=4,"A",IF('Data Source'!AE642&gt;=3.5,"A-",IF('Data Source'!AE642&gt;=3,"B",IF('Data Source'!AE642&gt;=2,"C",IF('Data Source'!AE642&gt;=1,"D","F")))))))</f>
        <v/>
      </c>
      <c r="N642" s="3">
        <f>IF('Data Source'!B642="","",IF('Data Source'!AF642&gt;=5,"A+",IF('Data Source'!AF642&gt;=4,"A",IF('Data Source'!AF642&gt;=3.5,"A-",IF('Data Source'!AF642&gt;=3,"B",IF('Data Source'!AF642&gt;=2,"C",IF('Data Source'!AF642&gt;=1,"D","F")))))))</f>
        <v/>
      </c>
      <c r="O642" s="3">
        <f>IF('Data Source'!B642="","",IF('Data Source'!AG642&gt;=5,"A+",IF('Data Source'!AG642&gt;=4,"A",IF('Data Source'!AG642&gt;=3.5,"A-",IF('Data Source'!AG642&gt;=3,"B",IF('Data Source'!AG642&gt;=2,"C",IF('Data Source'!AG642&gt;=1,"D","F")))))))</f>
        <v/>
      </c>
      <c r="P642" s="5">
        <f>IF('Data Source'!B642="","",'Data Source'!R642)</f>
        <v/>
      </c>
      <c r="Q642" s="3">
        <f>IF('Data Source'!B642="","",'Data Source'!S642)</f>
        <v/>
      </c>
    </row>
    <row r="643">
      <c r="A643" s="3">
        <f>IF('Data Source'!B643="","",'Data Source'!A643)</f>
        <v/>
      </c>
      <c r="B643">
        <f>IF('Data Source'!B643="","",'Data Source'!B643)</f>
        <v/>
      </c>
      <c r="C643" s="3">
        <f>IF('Data Source'!B643="","",IF('Data Source'!U643&gt;=5,"A+",IF('Data Source'!U643&gt;=4,"A",IF('Data Source'!U643&gt;=3.5,"A-",IF('Data Source'!U643&gt;=3,"B",IF('Data Source'!U643&gt;=2,"C",IF('Data Source'!U643&gt;=1,"D","F")))))))</f>
        <v/>
      </c>
      <c r="D643" s="3">
        <f>IF('Data Source'!B643="","",IF('Data Source'!V643&gt;=5,"A+",IF('Data Source'!V643&gt;=4,"A",IF('Data Source'!V643&gt;=3.5,"A-",IF('Data Source'!V643&gt;=3,"B",IF('Data Source'!V643&gt;=2,"C",IF('Data Source'!V643&gt;=1,"D","F")))))))</f>
        <v/>
      </c>
      <c r="E643" s="3">
        <f>IF('Data Source'!B643="","",IF('Data Source'!W643&gt;=5,"A+",IF('Data Source'!W643&gt;=4,"A",IF('Data Source'!W643&gt;=3.5,"A-",IF('Data Source'!W643&gt;=3,"B",IF('Data Source'!W643&gt;=2,"C",IF('Data Source'!W643&gt;=1,"D","F")))))))</f>
        <v/>
      </c>
      <c r="F643" s="3">
        <f>IF('Data Source'!B643="","",IF('Data Source'!X643&gt;=5,"A+",IF('Data Source'!X643&gt;=4,"A",IF('Data Source'!X643&gt;=3.5,"A-",IF('Data Source'!X643&gt;=3,"B",IF('Data Source'!X643&gt;=2,"C",IF('Data Source'!X643&gt;=1,"D","F")))))))</f>
        <v/>
      </c>
      <c r="G643" s="3">
        <f>IF('Data Source'!B643="","",IF('Data Source'!Y643&gt;=5,"A+",IF('Data Source'!Y643&gt;=4,"A",IF('Data Source'!Y643&gt;=3.5,"A-",IF('Data Source'!Y643&gt;=3,"B",IF('Data Source'!Y643&gt;=2,"C",IF('Data Source'!Y643&gt;=1,"D","F")))))))</f>
        <v/>
      </c>
      <c r="H643" s="3">
        <f>IF('Data Source'!B643="","",IF('Data Source'!Z643&gt;=5,"A+",IF('Data Source'!Z643&gt;=4,"A",IF('Data Source'!Z643&gt;=3.5,"A-",IF('Data Source'!Z643&gt;=3,"B",IF('Data Source'!Z643&gt;=2,"C",IF('Data Source'!Z643&gt;=1,"D","F")))))))</f>
        <v/>
      </c>
      <c r="I643" s="3">
        <f>IF('Data Source'!B643="","",IF('Data Source'!AA643&gt;=5,"A+",IF('Data Source'!AA643&gt;=4,"A",IF('Data Source'!AA643&gt;=3.5,"A-",IF('Data Source'!AA643&gt;=3,"B",IF('Data Source'!AA643&gt;=2,"C",IF('Data Source'!AA643&gt;=1,"D","F")))))))</f>
        <v/>
      </c>
      <c r="J643" s="3">
        <f>IF('Data Source'!B643="","",IF('Data Source'!AB643&gt;=5,"A+",IF('Data Source'!AB643&gt;=4,"A",IF('Data Source'!AB643&gt;=3.5,"A-",IF('Data Source'!AB643&gt;=3,"B",IF('Data Source'!AB643&gt;=2,"C",IF('Data Source'!AB643&gt;=1,"D","F")))))))</f>
        <v/>
      </c>
      <c r="K643" s="3">
        <f>IF('Data Source'!B643="","",IF('Data Source'!AC643&gt;=5,"A+",IF('Data Source'!AC643&gt;=4,"A",IF('Data Source'!AC643&gt;=3.5,"A-",IF('Data Source'!AC643&gt;=3,"B",IF('Data Source'!AC643&gt;=2,"C",IF('Data Source'!AC643&gt;=1,"D","F")))))))</f>
        <v/>
      </c>
      <c r="L643" s="3">
        <f>IF('Data Source'!B643="","",IF('Data Source'!AD643&gt;=5,"A+",IF('Data Source'!AD643&gt;=4,"A",IF('Data Source'!AD643&gt;=3.5,"A-",IF('Data Source'!AD643&gt;=3,"B",IF('Data Source'!AD643&gt;=2,"C",IF('Data Source'!AD643&gt;=1,"D","F")))))))</f>
        <v/>
      </c>
      <c r="M643" s="3">
        <f>IF('Data Source'!B643="","",IF('Data Source'!AE643&gt;=5,"A+",IF('Data Source'!AE643&gt;=4,"A",IF('Data Source'!AE643&gt;=3.5,"A-",IF('Data Source'!AE643&gt;=3,"B",IF('Data Source'!AE643&gt;=2,"C",IF('Data Source'!AE643&gt;=1,"D","F")))))))</f>
        <v/>
      </c>
      <c r="N643" s="3">
        <f>IF('Data Source'!B643="","",IF('Data Source'!AF643&gt;=5,"A+",IF('Data Source'!AF643&gt;=4,"A",IF('Data Source'!AF643&gt;=3.5,"A-",IF('Data Source'!AF643&gt;=3,"B",IF('Data Source'!AF643&gt;=2,"C",IF('Data Source'!AF643&gt;=1,"D","F")))))))</f>
        <v/>
      </c>
      <c r="O643" s="3">
        <f>IF('Data Source'!B643="","",IF('Data Source'!AG643&gt;=5,"A+",IF('Data Source'!AG643&gt;=4,"A",IF('Data Source'!AG643&gt;=3.5,"A-",IF('Data Source'!AG643&gt;=3,"B",IF('Data Source'!AG643&gt;=2,"C",IF('Data Source'!AG643&gt;=1,"D","F")))))))</f>
        <v/>
      </c>
      <c r="P643" s="5">
        <f>IF('Data Source'!B643="","",'Data Source'!R643)</f>
        <v/>
      </c>
      <c r="Q643" s="3">
        <f>IF('Data Source'!B643="","",'Data Source'!S643)</f>
        <v/>
      </c>
    </row>
    <row r="644">
      <c r="A644" s="3">
        <f>IF('Data Source'!B644="","",'Data Source'!A644)</f>
        <v/>
      </c>
      <c r="B644">
        <f>IF('Data Source'!B644="","",'Data Source'!B644)</f>
        <v/>
      </c>
      <c r="C644" s="3">
        <f>IF('Data Source'!B644="","",IF('Data Source'!U644&gt;=5,"A+",IF('Data Source'!U644&gt;=4,"A",IF('Data Source'!U644&gt;=3.5,"A-",IF('Data Source'!U644&gt;=3,"B",IF('Data Source'!U644&gt;=2,"C",IF('Data Source'!U644&gt;=1,"D","F")))))))</f>
        <v/>
      </c>
      <c r="D644" s="3">
        <f>IF('Data Source'!B644="","",IF('Data Source'!V644&gt;=5,"A+",IF('Data Source'!V644&gt;=4,"A",IF('Data Source'!V644&gt;=3.5,"A-",IF('Data Source'!V644&gt;=3,"B",IF('Data Source'!V644&gt;=2,"C",IF('Data Source'!V644&gt;=1,"D","F")))))))</f>
        <v/>
      </c>
      <c r="E644" s="3">
        <f>IF('Data Source'!B644="","",IF('Data Source'!W644&gt;=5,"A+",IF('Data Source'!W644&gt;=4,"A",IF('Data Source'!W644&gt;=3.5,"A-",IF('Data Source'!W644&gt;=3,"B",IF('Data Source'!W644&gt;=2,"C",IF('Data Source'!W644&gt;=1,"D","F")))))))</f>
        <v/>
      </c>
      <c r="F644" s="3">
        <f>IF('Data Source'!B644="","",IF('Data Source'!X644&gt;=5,"A+",IF('Data Source'!X644&gt;=4,"A",IF('Data Source'!X644&gt;=3.5,"A-",IF('Data Source'!X644&gt;=3,"B",IF('Data Source'!X644&gt;=2,"C",IF('Data Source'!X644&gt;=1,"D","F")))))))</f>
        <v/>
      </c>
      <c r="G644" s="3">
        <f>IF('Data Source'!B644="","",IF('Data Source'!Y644&gt;=5,"A+",IF('Data Source'!Y644&gt;=4,"A",IF('Data Source'!Y644&gt;=3.5,"A-",IF('Data Source'!Y644&gt;=3,"B",IF('Data Source'!Y644&gt;=2,"C",IF('Data Source'!Y644&gt;=1,"D","F")))))))</f>
        <v/>
      </c>
      <c r="H644" s="3">
        <f>IF('Data Source'!B644="","",IF('Data Source'!Z644&gt;=5,"A+",IF('Data Source'!Z644&gt;=4,"A",IF('Data Source'!Z644&gt;=3.5,"A-",IF('Data Source'!Z644&gt;=3,"B",IF('Data Source'!Z644&gt;=2,"C",IF('Data Source'!Z644&gt;=1,"D","F")))))))</f>
        <v/>
      </c>
      <c r="I644" s="3">
        <f>IF('Data Source'!B644="","",IF('Data Source'!AA644&gt;=5,"A+",IF('Data Source'!AA644&gt;=4,"A",IF('Data Source'!AA644&gt;=3.5,"A-",IF('Data Source'!AA644&gt;=3,"B",IF('Data Source'!AA644&gt;=2,"C",IF('Data Source'!AA644&gt;=1,"D","F")))))))</f>
        <v/>
      </c>
      <c r="J644" s="3">
        <f>IF('Data Source'!B644="","",IF('Data Source'!AB644&gt;=5,"A+",IF('Data Source'!AB644&gt;=4,"A",IF('Data Source'!AB644&gt;=3.5,"A-",IF('Data Source'!AB644&gt;=3,"B",IF('Data Source'!AB644&gt;=2,"C",IF('Data Source'!AB644&gt;=1,"D","F")))))))</f>
        <v/>
      </c>
      <c r="K644" s="3">
        <f>IF('Data Source'!B644="","",IF('Data Source'!AC644&gt;=5,"A+",IF('Data Source'!AC644&gt;=4,"A",IF('Data Source'!AC644&gt;=3.5,"A-",IF('Data Source'!AC644&gt;=3,"B",IF('Data Source'!AC644&gt;=2,"C",IF('Data Source'!AC644&gt;=1,"D","F")))))))</f>
        <v/>
      </c>
      <c r="L644" s="3">
        <f>IF('Data Source'!B644="","",IF('Data Source'!AD644&gt;=5,"A+",IF('Data Source'!AD644&gt;=4,"A",IF('Data Source'!AD644&gt;=3.5,"A-",IF('Data Source'!AD644&gt;=3,"B",IF('Data Source'!AD644&gt;=2,"C",IF('Data Source'!AD644&gt;=1,"D","F")))))))</f>
        <v/>
      </c>
      <c r="M644" s="3">
        <f>IF('Data Source'!B644="","",IF('Data Source'!AE644&gt;=5,"A+",IF('Data Source'!AE644&gt;=4,"A",IF('Data Source'!AE644&gt;=3.5,"A-",IF('Data Source'!AE644&gt;=3,"B",IF('Data Source'!AE644&gt;=2,"C",IF('Data Source'!AE644&gt;=1,"D","F")))))))</f>
        <v/>
      </c>
      <c r="N644" s="3">
        <f>IF('Data Source'!B644="","",IF('Data Source'!AF644&gt;=5,"A+",IF('Data Source'!AF644&gt;=4,"A",IF('Data Source'!AF644&gt;=3.5,"A-",IF('Data Source'!AF644&gt;=3,"B",IF('Data Source'!AF644&gt;=2,"C",IF('Data Source'!AF644&gt;=1,"D","F")))))))</f>
        <v/>
      </c>
      <c r="O644" s="3">
        <f>IF('Data Source'!B644="","",IF('Data Source'!AG644&gt;=5,"A+",IF('Data Source'!AG644&gt;=4,"A",IF('Data Source'!AG644&gt;=3.5,"A-",IF('Data Source'!AG644&gt;=3,"B",IF('Data Source'!AG644&gt;=2,"C",IF('Data Source'!AG644&gt;=1,"D","F")))))))</f>
        <v/>
      </c>
      <c r="P644" s="5">
        <f>IF('Data Source'!B644="","",'Data Source'!R644)</f>
        <v/>
      </c>
      <c r="Q644" s="3">
        <f>IF('Data Source'!B644="","",'Data Source'!S644)</f>
        <v/>
      </c>
    </row>
    <row r="645">
      <c r="A645" s="3">
        <f>IF('Data Source'!B645="","",'Data Source'!A645)</f>
        <v/>
      </c>
      <c r="B645">
        <f>IF('Data Source'!B645="","",'Data Source'!B645)</f>
        <v/>
      </c>
      <c r="C645" s="3">
        <f>IF('Data Source'!B645="","",IF('Data Source'!U645&gt;=5,"A+",IF('Data Source'!U645&gt;=4,"A",IF('Data Source'!U645&gt;=3.5,"A-",IF('Data Source'!U645&gt;=3,"B",IF('Data Source'!U645&gt;=2,"C",IF('Data Source'!U645&gt;=1,"D","F")))))))</f>
        <v/>
      </c>
      <c r="D645" s="3">
        <f>IF('Data Source'!B645="","",IF('Data Source'!V645&gt;=5,"A+",IF('Data Source'!V645&gt;=4,"A",IF('Data Source'!V645&gt;=3.5,"A-",IF('Data Source'!V645&gt;=3,"B",IF('Data Source'!V645&gt;=2,"C",IF('Data Source'!V645&gt;=1,"D","F")))))))</f>
        <v/>
      </c>
      <c r="E645" s="3">
        <f>IF('Data Source'!B645="","",IF('Data Source'!W645&gt;=5,"A+",IF('Data Source'!W645&gt;=4,"A",IF('Data Source'!W645&gt;=3.5,"A-",IF('Data Source'!W645&gt;=3,"B",IF('Data Source'!W645&gt;=2,"C",IF('Data Source'!W645&gt;=1,"D","F")))))))</f>
        <v/>
      </c>
      <c r="F645" s="3">
        <f>IF('Data Source'!B645="","",IF('Data Source'!X645&gt;=5,"A+",IF('Data Source'!X645&gt;=4,"A",IF('Data Source'!X645&gt;=3.5,"A-",IF('Data Source'!X645&gt;=3,"B",IF('Data Source'!X645&gt;=2,"C",IF('Data Source'!X645&gt;=1,"D","F")))))))</f>
        <v/>
      </c>
      <c r="G645" s="3">
        <f>IF('Data Source'!B645="","",IF('Data Source'!Y645&gt;=5,"A+",IF('Data Source'!Y645&gt;=4,"A",IF('Data Source'!Y645&gt;=3.5,"A-",IF('Data Source'!Y645&gt;=3,"B",IF('Data Source'!Y645&gt;=2,"C",IF('Data Source'!Y645&gt;=1,"D","F")))))))</f>
        <v/>
      </c>
      <c r="H645" s="3">
        <f>IF('Data Source'!B645="","",IF('Data Source'!Z645&gt;=5,"A+",IF('Data Source'!Z645&gt;=4,"A",IF('Data Source'!Z645&gt;=3.5,"A-",IF('Data Source'!Z645&gt;=3,"B",IF('Data Source'!Z645&gt;=2,"C",IF('Data Source'!Z645&gt;=1,"D","F")))))))</f>
        <v/>
      </c>
      <c r="I645" s="3">
        <f>IF('Data Source'!B645="","",IF('Data Source'!AA645&gt;=5,"A+",IF('Data Source'!AA645&gt;=4,"A",IF('Data Source'!AA645&gt;=3.5,"A-",IF('Data Source'!AA645&gt;=3,"B",IF('Data Source'!AA645&gt;=2,"C",IF('Data Source'!AA645&gt;=1,"D","F")))))))</f>
        <v/>
      </c>
      <c r="J645" s="3">
        <f>IF('Data Source'!B645="","",IF('Data Source'!AB645&gt;=5,"A+",IF('Data Source'!AB645&gt;=4,"A",IF('Data Source'!AB645&gt;=3.5,"A-",IF('Data Source'!AB645&gt;=3,"B",IF('Data Source'!AB645&gt;=2,"C",IF('Data Source'!AB645&gt;=1,"D","F")))))))</f>
        <v/>
      </c>
      <c r="K645" s="3">
        <f>IF('Data Source'!B645="","",IF('Data Source'!AC645&gt;=5,"A+",IF('Data Source'!AC645&gt;=4,"A",IF('Data Source'!AC645&gt;=3.5,"A-",IF('Data Source'!AC645&gt;=3,"B",IF('Data Source'!AC645&gt;=2,"C",IF('Data Source'!AC645&gt;=1,"D","F")))))))</f>
        <v/>
      </c>
      <c r="L645" s="3">
        <f>IF('Data Source'!B645="","",IF('Data Source'!AD645&gt;=5,"A+",IF('Data Source'!AD645&gt;=4,"A",IF('Data Source'!AD645&gt;=3.5,"A-",IF('Data Source'!AD645&gt;=3,"B",IF('Data Source'!AD645&gt;=2,"C",IF('Data Source'!AD645&gt;=1,"D","F")))))))</f>
        <v/>
      </c>
      <c r="M645" s="3">
        <f>IF('Data Source'!B645="","",IF('Data Source'!AE645&gt;=5,"A+",IF('Data Source'!AE645&gt;=4,"A",IF('Data Source'!AE645&gt;=3.5,"A-",IF('Data Source'!AE645&gt;=3,"B",IF('Data Source'!AE645&gt;=2,"C",IF('Data Source'!AE645&gt;=1,"D","F")))))))</f>
        <v/>
      </c>
      <c r="N645" s="3">
        <f>IF('Data Source'!B645="","",IF('Data Source'!AF645&gt;=5,"A+",IF('Data Source'!AF645&gt;=4,"A",IF('Data Source'!AF645&gt;=3.5,"A-",IF('Data Source'!AF645&gt;=3,"B",IF('Data Source'!AF645&gt;=2,"C",IF('Data Source'!AF645&gt;=1,"D","F")))))))</f>
        <v/>
      </c>
      <c r="O645" s="3">
        <f>IF('Data Source'!B645="","",IF('Data Source'!AG645&gt;=5,"A+",IF('Data Source'!AG645&gt;=4,"A",IF('Data Source'!AG645&gt;=3.5,"A-",IF('Data Source'!AG645&gt;=3,"B",IF('Data Source'!AG645&gt;=2,"C",IF('Data Source'!AG645&gt;=1,"D","F")))))))</f>
        <v/>
      </c>
      <c r="P645" s="5">
        <f>IF('Data Source'!B645="","",'Data Source'!R645)</f>
        <v/>
      </c>
      <c r="Q645" s="3">
        <f>IF('Data Source'!B645="","",'Data Source'!S645)</f>
        <v/>
      </c>
    </row>
    <row r="646">
      <c r="A646" s="3">
        <f>IF('Data Source'!B646="","",'Data Source'!A646)</f>
        <v/>
      </c>
      <c r="B646">
        <f>IF('Data Source'!B646="","",'Data Source'!B646)</f>
        <v/>
      </c>
      <c r="C646" s="3">
        <f>IF('Data Source'!B646="","",IF('Data Source'!U646&gt;=5,"A+",IF('Data Source'!U646&gt;=4,"A",IF('Data Source'!U646&gt;=3.5,"A-",IF('Data Source'!U646&gt;=3,"B",IF('Data Source'!U646&gt;=2,"C",IF('Data Source'!U646&gt;=1,"D","F")))))))</f>
        <v/>
      </c>
      <c r="D646" s="3">
        <f>IF('Data Source'!B646="","",IF('Data Source'!V646&gt;=5,"A+",IF('Data Source'!V646&gt;=4,"A",IF('Data Source'!V646&gt;=3.5,"A-",IF('Data Source'!V646&gt;=3,"B",IF('Data Source'!V646&gt;=2,"C",IF('Data Source'!V646&gt;=1,"D","F")))))))</f>
        <v/>
      </c>
      <c r="E646" s="3">
        <f>IF('Data Source'!B646="","",IF('Data Source'!W646&gt;=5,"A+",IF('Data Source'!W646&gt;=4,"A",IF('Data Source'!W646&gt;=3.5,"A-",IF('Data Source'!W646&gt;=3,"B",IF('Data Source'!W646&gt;=2,"C",IF('Data Source'!W646&gt;=1,"D","F")))))))</f>
        <v/>
      </c>
      <c r="F646" s="3">
        <f>IF('Data Source'!B646="","",IF('Data Source'!X646&gt;=5,"A+",IF('Data Source'!X646&gt;=4,"A",IF('Data Source'!X646&gt;=3.5,"A-",IF('Data Source'!X646&gt;=3,"B",IF('Data Source'!X646&gt;=2,"C",IF('Data Source'!X646&gt;=1,"D","F")))))))</f>
        <v/>
      </c>
      <c r="G646" s="3">
        <f>IF('Data Source'!B646="","",IF('Data Source'!Y646&gt;=5,"A+",IF('Data Source'!Y646&gt;=4,"A",IF('Data Source'!Y646&gt;=3.5,"A-",IF('Data Source'!Y646&gt;=3,"B",IF('Data Source'!Y646&gt;=2,"C",IF('Data Source'!Y646&gt;=1,"D","F")))))))</f>
        <v/>
      </c>
      <c r="H646" s="3">
        <f>IF('Data Source'!B646="","",IF('Data Source'!Z646&gt;=5,"A+",IF('Data Source'!Z646&gt;=4,"A",IF('Data Source'!Z646&gt;=3.5,"A-",IF('Data Source'!Z646&gt;=3,"B",IF('Data Source'!Z646&gt;=2,"C",IF('Data Source'!Z646&gt;=1,"D","F")))))))</f>
        <v/>
      </c>
      <c r="I646" s="3">
        <f>IF('Data Source'!B646="","",IF('Data Source'!AA646&gt;=5,"A+",IF('Data Source'!AA646&gt;=4,"A",IF('Data Source'!AA646&gt;=3.5,"A-",IF('Data Source'!AA646&gt;=3,"B",IF('Data Source'!AA646&gt;=2,"C",IF('Data Source'!AA646&gt;=1,"D","F")))))))</f>
        <v/>
      </c>
      <c r="J646" s="3">
        <f>IF('Data Source'!B646="","",IF('Data Source'!AB646&gt;=5,"A+",IF('Data Source'!AB646&gt;=4,"A",IF('Data Source'!AB646&gt;=3.5,"A-",IF('Data Source'!AB646&gt;=3,"B",IF('Data Source'!AB646&gt;=2,"C",IF('Data Source'!AB646&gt;=1,"D","F")))))))</f>
        <v/>
      </c>
      <c r="K646" s="3">
        <f>IF('Data Source'!B646="","",IF('Data Source'!AC646&gt;=5,"A+",IF('Data Source'!AC646&gt;=4,"A",IF('Data Source'!AC646&gt;=3.5,"A-",IF('Data Source'!AC646&gt;=3,"B",IF('Data Source'!AC646&gt;=2,"C",IF('Data Source'!AC646&gt;=1,"D","F")))))))</f>
        <v/>
      </c>
      <c r="L646" s="3">
        <f>IF('Data Source'!B646="","",IF('Data Source'!AD646&gt;=5,"A+",IF('Data Source'!AD646&gt;=4,"A",IF('Data Source'!AD646&gt;=3.5,"A-",IF('Data Source'!AD646&gt;=3,"B",IF('Data Source'!AD646&gt;=2,"C",IF('Data Source'!AD646&gt;=1,"D","F")))))))</f>
        <v/>
      </c>
      <c r="M646" s="3">
        <f>IF('Data Source'!B646="","",IF('Data Source'!AE646&gt;=5,"A+",IF('Data Source'!AE646&gt;=4,"A",IF('Data Source'!AE646&gt;=3.5,"A-",IF('Data Source'!AE646&gt;=3,"B",IF('Data Source'!AE646&gt;=2,"C",IF('Data Source'!AE646&gt;=1,"D","F")))))))</f>
        <v/>
      </c>
      <c r="N646" s="3">
        <f>IF('Data Source'!B646="","",IF('Data Source'!AF646&gt;=5,"A+",IF('Data Source'!AF646&gt;=4,"A",IF('Data Source'!AF646&gt;=3.5,"A-",IF('Data Source'!AF646&gt;=3,"B",IF('Data Source'!AF646&gt;=2,"C",IF('Data Source'!AF646&gt;=1,"D","F")))))))</f>
        <v/>
      </c>
      <c r="O646" s="3">
        <f>IF('Data Source'!B646="","",IF('Data Source'!AG646&gt;=5,"A+",IF('Data Source'!AG646&gt;=4,"A",IF('Data Source'!AG646&gt;=3.5,"A-",IF('Data Source'!AG646&gt;=3,"B",IF('Data Source'!AG646&gt;=2,"C",IF('Data Source'!AG646&gt;=1,"D","F")))))))</f>
        <v/>
      </c>
      <c r="P646" s="5">
        <f>IF('Data Source'!B646="","",'Data Source'!R646)</f>
        <v/>
      </c>
      <c r="Q646" s="3">
        <f>IF('Data Source'!B646="","",'Data Source'!S646)</f>
        <v/>
      </c>
    </row>
    <row r="647">
      <c r="A647" s="3">
        <f>IF('Data Source'!B647="","",'Data Source'!A647)</f>
        <v/>
      </c>
      <c r="B647">
        <f>IF('Data Source'!B647="","",'Data Source'!B647)</f>
        <v/>
      </c>
      <c r="C647" s="3">
        <f>IF('Data Source'!B647="","",IF('Data Source'!U647&gt;=5,"A+",IF('Data Source'!U647&gt;=4,"A",IF('Data Source'!U647&gt;=3.5,"A-",IF('Data Source'!U647&gt;=3,"B",IF('Data Source'!U647&gt;=2,"C",IF('Data Source'!U647&gt;=1,"D","F")))))))</f>
        <v/>
      </c>
      <c r="D647" s="3">
        <f>IF('Data Source'!B647="","",IF('Data Source'!V647&gt;=5,"A+",IF('Data Source'!V647&gt;=4,"A",IF('Data Source'!V647&gt;=3.5,"A-",IF('Data Source'!V647&gt;=3,"B",IF('Data Source'!V647&gt;=2,"C",IF('Data Source'!V647&gt;=1,"D","F")))))))</f>
        <v/>
      </c>
      <c r="E647" s="3">
        <f>IF('Data Source'!B647="","",IF('Data Source'!W647&gt;=5,"A+",IF('Data Source'!W647&gt;=4,"A",IF('Data Source'!W647&gt;=3.5,"A-",IF('Data Source'!W647&gt;=3,"B",IF('Data Source'!W647&gt;=2,"C",IF('Data Source'!W647&gt;=1,"D","F")))))))</f>
        <v/>
      </c>
      <c r="F647" s="3">
        <f>IF('Data Source'!B647="","",IF('Data Source'!X647&gt;=5,"A+",IF('Data Source'!X647&gt;=4,"A",IF('Data Source'!X647&gt;=3.5,"A-",IF('Data Source'!X647&gt;=3,"B",IF('Data Source'!X647&gt;=2,"C",IF('Data Source'!X647&gt;=1,"D","F")))))))</f>
        <v/>
      </c>
      <c r="G647" s="3">
        <f>IF('Data Source'!B647="","",IF('Data Source'!Y647&gt;=5,"A+",IF('Data Source'!Y647&gt;=4,"A",IF('Data Source'!Y647&gt;=3.5,"A-",IF('Data Source'!Y647&gt;=3,"B",IF('Data Source'!Y647&gt;=2,"C",IF('Data Source'!Y647&gt;=1,"D","F")))))))</f>
        <v/>
      </c>
      <c r="H647" s="3">
        <f>IF('Data Source'!B647="","",IF('Data Source'!Z647&gt;=5,"A+",IF('Data Source'!Z647&gt;=4,"A",IF('Data Source'!Z647&gt;=3.5,"A-",IF('Data Source'!Z647&gt;=3,"B",IF('Data Source'!Z647&gt;=2,"C",IF('Data Source'!Z647&gt;=1,"D","F")))))))</f>
        <v/>
      </c>
      <c r="I647" s="3">
        <f>IF('Data Source'!B647="","",IF('Data Source'!AA647&gt;=5,"A+",IF('Data Source'!AA647&gt;=4,"A",IF('Data Source'!AA647&gt;=3.5,"A-",IF('Data Source'!AA647&gt;=3,"B",IF('Data Source'!AA647&gt;=2,"C",IF('Data Source'!AA647&gt;=1,"D","F")))))))</f>
        <v/>
      </c>
      <c r="J647" s="3">
        <f>IF('Data Source'!B647="","",IF('Data Source'!AB647&gt;=5,"A+",IF('Data Source'!AB647&gt;=4,"A",IF('Data Source'!AB647&gt;=3.5,"A-",IF('Data Source'!AB647&gt;=3,"B",IF('Data Source'!AB647&gt;=2,"C",IF('Data Source'!AB647&gt;=1,"D","F")))))))</f>
        <v/>
      </c>
      <c r="K647" s="3">
        <f>IF('Data Source'!B647="","",IF('Data Source'!AC647&gt;=5,"A+",IF('Data Source'!AC647&gt;=4,"A",IF('Data Source'!AC647&gt;=3.5,"A-",IF('Data Source'!AC647&gt;=3,"B",IF('Data Source'!AC647&gt;=2,"C",IF('Data Source'!AC647&gt;=1,"D","F")))))))</f>
        <v/>
      </c>
      <c r="L647" s="3">
        <f>IF('Data Source'!B647="","",IF('Data Source'!AD647&gt;=5,"A+",IF('Data Source'!AD647&gt;=4,"A",IF('Data Source'!AD647&gt;=3.5,"A-",IF('Data Source'!AD647&gt;=3,"B",IF('Data Source'!AD647&gt;=2,"C",IF('Data Source'!AD647&gt;=1,"D","F")))))))</f>
        <v/>
      </c>
      <c r="M647" s="3">
        <f>IF('Data Source'!B647="","",IF('Data Source'!AE647&gt;=5,"A+",IF('Data Source'!AE647&gt;=4,"A",IF('Data Source'!AE647&gt;=3.5,"A-",IF('Data Source'!AE647&gt;=3,"B",IF('Data Source'!AE647&gt;=2,"C",IF('Data Source'!AE647&gt;=1,"D","F")))))))</f>
        <v/>
      </c>
      <c r="N647" s="3">
        <f>IF('Data Source'!B647="","",IF('Data Source'!AF647&gt;=5,"A+",IF('Data Source'!AF647&gt;=4,"A",IF('Data Source'!AF647&gt;=3.5,"A-",IF('Data Source'!AF647&gt;=3,"B",IF('Data Source'!AF647&gt;=2,"C",IF('Data Source'!AF647&gt;=1,"D","F")))))))</f>
        <v/>
      </c>
      <c r="O647" s="3">
        <f>IF('Data Source'!B647="","",IF('Data Source'!AG647&gt;=5,"A+",IF('Data Source'!AG647&gt;=4,"A",IF('Data Source'!AG647&gt;=3.5,"A-",IF('Data Source'!AG647&gt;=3,"B",IF('Data Source'!AG647&gt;=2,"C",IF('Data Source'!AG647&gt;=1,"D","F")))))))</f>
        <v/>
      </c>
      <c r="P647" s="5">
        <f>IF('Data Source'!B647="","",'Data Source'!R647)</f>
        <v/>
      </c>
      <c r="Q647" s="3">
        <f>IF('Data Source'!B647="","",'Data Source'!S647)</f>
        <v/>
      </c>
    </row>
    <row r="648">
      <c r="A648" s="3">
        <f>IF('Data Source'!B648="","",'Data Source'!A648)</f>
        <v/>
      </c>
      <c r="B648">
        <f>IF('Data Source'!B648="","",'Data Source'!B648)</f>
        <v/>
      </c>
      <c r="C648" s="3">
        <f>IF('Data Source'!B648="","",IF('Data Source'!U648&gt;=5,"A+",IF('Data Source'!U648&gt;=4,"A",IF('Data Source'!U648&gt;=3.5,"A-",IF('Data Source'!U648&gt;=3,"B",IF('Data Source'!U648&gt;=2,"C",IF('Data Source'!U648&gt;=1,"D","F")))))))</f>
        <v/>
      </c>
      <c r="D648" s="3">
        <f>IF('Data Source'!B648="","",IF('Data Source'!V648&gt;=5,"A+",IF('Data Source'!V648&gt;=4,"A",IF('Data Source'!V648&gt;=3.5,"A-",IF('Data Source'!V648&gt;=3,"B",IF('Data Source'!V648&gt;=2,"C",IF('Data Source'!V648&gt;=1,"D","F")))))))</f>
        <v/>
      </c>
      <c r="E648" s="3">
        <f>IF('Data Source'!B648="","",IF('Data Source'!W648&gt;=5,"A+",IF('Data Source'!W648&gt;=4,"A",IF('Data Source'!W648&gt;=3.5,"A-",IF('Data Source'!W648&gt;=3,"B",IF('Data Source'!W648&gt;=2,"C",IF('Data Source'!W648&gt;=1,"D","F")))))))</f>
        <v/>
      </c>
      <c r="F648" s="3">
        <f>IF('Data Source'!B648="","",IF('Data Source'!X648&gt;=5,"A+",IF('Data Source'!X648&gt;=4,"A",IF('Data Source'!X648&gt;=3.5,"A-",IF('Data Source'!X648&gt;=3,"B",IF('Data Source'!X648&gt;=2,"C",IF('Data Source'!X648&gt;=1,"D","F")))))))</f>
        <v/>
      </c>
      <c r="G648" s="3">
        <f>IF('Data Source'!B648="","",IF('Data Source'!Y648&gt;=5,"A+",IF('Data Source'!Y648&gt;=4,"A",IF('Data Source'!Y648&gt;=3.5,"A-",IF('Data Source'!Y648&gt;=3,"B",IF('Data Source'!Y648&gt;=2,"C",IF('Data Source'!Y648&gt;=1,"D","F")))))))</f>
        <v/>
      </c>
      <c r="H648" s="3">
        <f>IF('Data Source'!B648="","",IF('Data Source'!Z648&gt;=5,"A+",IF('Data Source'!Z648&gt;=4,"A",IF('Data Source'!Z648&gt;=3.5,"A-",IF('Data Source'!Z648&gt;=3,"B",IF('Data Source'!Z648&gt;=2,"C",IF('Data Source'!Z648&gt;=1,"D","F")))))))</f>
        <v/>
      </c>
      <c r="I648" s="3">
        <f>IF('Data Source'!B648="","",IF('Data Source'!AA648&gt;=5,"A+",IF('Data Source'!AA648&gt;=4,"A",IF('Data Source'!AA648&gt;=3.5,"A-",IF('Data Source'!AA648&gt;=3,"B",IF('Data Source'!AA648&gt;=2,"C",IF('Data Source'!AA648&gt;=1,"D","F")))))))</f>
        <v/>
      </c>
      <c r="J648" s="3">
        <f>IF('Data Source'!B648="","",IF('Data Source'!AB648&gt;=5,"A+",IF('Data Source'!AB648&gt;=4,"A",IF('Data Source'!AB648&gt;=3.5,"A-",IF('Data Source'!AB648&gt;=3,"B",IF('Data Source'!AB648&gt;=2,"C",IF('Data Source'!AB648&gt;=1,"D","F")))))))</f>
        <v/>
      </c>
      <c r="K648" s="3">
        <f>IF('Data Source'!B648="","",IF('Data Source'!AC648&gt;=5,"A+",IF('Data Source'!AC648&gt;=4,"A",IF('Data Source'!AC648&gt;=3.5,"A-",IF('Data Source'!AC648&gt;=3,"B",IF('Data Source'!AC648&gt;=2,"C",IF('Data Source'!AC648&gt;=1,"D","F")))))))</f>
        <v/>
      </c>
      <c r="L648" s="3">
        <f>IF('Data Source'!B648="","",IF('Data Source'!AD648&gt;=5,"A+",IF('Data Source'!AD648&gt;=4,"A",IF('Data Source'!AD648&gt;=3.5,"A-",IF('Data Source'!AD648&gt;=3,"B",IF('Data Source'!AD648&gt;=2,"C",IF('Data Source'!AD648&gt;=1,"D","F")))))))</f>
        <v/>
      </c>
      <c r="M648" s="3">
        <f>IF('Data Source'!B648="","",IF('Data Source'!AE648&gt;=5,"A+",IF('Data Source'!AE648&gt;=4,"A",IF('Data Source'!AE648&gt;=3.5,"A-",IF('Data Source'!AE648&gt;=3,"B",IF('Data Source'!AE648&gt;=2,"C",IF('Data Source'!AE648&gt;=1,"D","F")))))))</f>
        <v/>
      </c>
      <c r="N648" s="3">
        <f>IF('Data Source'!B648="","",IF('Data Source'!AF648&gt;=5,"A+",IF('Data Source'!AF648&gt;=4,"A",IF('Data Source'!AF648&gt;=3.5,"A-",IF('Data Source'!AF648&gt;=3,"B",IF('Data Source'!AF648&gt;=2,"C",IF('Data Source'!AF648&gt;=1,"D","F")))))))</f>
        <v/>
      </c>
      <c r="O648" s="3">
        <f>IF('Data Source'!B648="","",IF('Data Source'!AG648&gt;=5,"A+",IF('Data Source'!AG648&gt;=4,"A",IF('Data Source'!AG648&gt;=3.5,"A-",IF('Data Source'!AG648&gt;=3,"B",IF('Data Source'!AG648&gt;=2,"C",IF('Data Source'!AG648&gt;=1,"D","F")))))))</f>
        <v/>
      </c>
      <c r="P648" s="5">
        <f>IF('Data Source'!B648="","",'Data Source'!R648)</f>
        <v/>
      </c>
      <c r="Q648" s="3">
        <f>IF('Data Source'!B648="","",'Data Source'!S648)</f>
        <v/>
      </c>
    </row>
    <row r="649">
      <c r="A649" s="3">
        <f>IF('Data Source'!B649="","",'Data Source'!A649)</f>
        <v/>
      </c>
      <c r="B649">
        <f>IF('Data Source'!B649="","",'Data Source'!B649)</f>
        <v/>
      </c>
      <c r="C649" s="3">
        <f>IF('Data Source'!B649="","",IF('Data Source'!U649&gt;=5,"A+",IF('Data Source'!U649&gt;=4,"A",IF('Data Source'!U649&gt;=3.5,"A-",IF('Data Source'!U649&gt;=3,"B",IF('Data Source'!U649&gt;=2,"C",IF('Data Source'!U649&gt;=1,"D","F")))))))</f>
        <v/>
      </c>
      <c r="D649" s="3">
        <f>IF('Data Source'!B649="","",IF('Data Source'!V649&gt;=5,"A+",IF('Data Source'!V649&gt;=4,"A",IF('Data Source'!V649&gt;=3.5,"A-",IF('Data Source'!V649&gt;=3,"B",IF('Data Source'!V649&gt;=2,"C",IF('Data Source'!V649&gt;=1,"D","F")))))))</f>
        <v/>
      </c>
      <c r="E649" s="3">
        <f>IF('Data Source'!B649="","",IF('Data Source'!W649&gt;=5,"A+",IF('Data Source'!W649&gt;=4,"A",IF('Data Source'!W649&gt;=3.5,"A-",IF('Data Source'!W649&gt;=3,"B",IF('Data Source'!W649&gt;=2,"C",IF('Data Source'!W649&gt;=1,"D","F")))))))</f>
        <v/>
      </c>
      <c r="F649" s="3">
        <f>IF('Data Source'!B649="","",IF('Data Source'!X649&gt;=5,"A+",IF('Data Source'!X649&gt;=4,"A",IF('Data Source'!X649&gt;=3.5,"A-",IF('Data Source'!X649&gt;=3,"B",IF('Data Source'!X649&gt;=2,"C",IF('Data Source'!X649&gt;=1,"D","F")))))))</f>
        <v/>
      </c>
      <c r="G649" s="3">
        <f>IF('Data Source'!B649="","",IF('Data Source'!Y649&gt;=5,"A+",IF('Data Source'!Y649&gt;=4,"A",IF('Data Source'!Y649&gt;=3.5,"A-",IF('Data Source'!Y649&gt;=3,"B",IF('Data Source'!Y649&gt;=2,"C",IF('Data Source'!Y649&gt;=1,"D","F")))))))</f>
        <v/>
      </c>
      <c r="H649" s="3">
        <f>IF('Data Source'!B649="","",IF('Data Source'!Z649&gt;=5,"A+",IF('Data Source'!Z649&gt;=4,"A",IF('Data Source'!Z649&gt;=3.5,"A-",IF('Data Source'!Z649&gt;=3,"B",IF('Data Source'!Z649&gt;=2,"C",IF('Data Source'!Z649&gt;=1,"D","F")))))))</f>
        <v/>
      </c>
      <c r="I649" s="3">
        <f>IF('Data Source'!B649="","",IF('Data Source'!AA649&gt;=5,"A+",IF('Data Source'!AA649&gt;=4,"A",IF('Data Source'!AA649&gt;=3.5,"A-",IF('Data Source'!AA649&gt;=3,"B",IF('Data Source'!AA649&gt;=2,"C",IF('Data Source'!AA649&gt;=1,"D","F")))))))</f>
        <v/>
      </c>
      <c r="J649" s="3">
        <f>IF('Data Source'!B649="","",IF('Data Source'!AB649&gt;=5,"A+",IF('Data Source'!AB649&gt;=4,"A",IF('Data Source'!AB649&gt;=3.5,"A-",IF('Data Source'!AB649&gt;=3,"B",IF('Data Source'!AB649&gt;=2,"C",IF('Data Source'!AB649&gt;=1,"D","F")))))))</f>
        <v/>
      </c>
      <c r="K649" s="3">
        <f>IF('Data Source'!B649="","",IF('Data Source'!AC649&gt;=5,"A+",IF('Data Source'!AC649&gt;=4,"A",IF('Data Source'!AC649&gt;=3.5,"A-",IF('Data Source'!AC649&gt;=3,"B",IF('Data Source'!AC649&gt;=2,"C",IF('Data Source'!AC649&gt;=1,"D","F")))))))</f>
        <v/>
      </c>
      <c r="L649" s="3">
        <f>IF('Data Source'!B649="","",IF('Data Source'!AD649&gt;=5,"A+",IF('Data Source'!AD649&gt;=4,"A",IF('Data Source'!AD649&gt;=3.5,"A-",IF('Data Source'!AD649&gt;=3,"B",IF('Data Source'!AD649&gt;=2,"C",IF('Data Source'!AD649&gt;=1,"D","F")))))))</f>
        <v/>
      </c>
      <c r="M649" s="3">
        <f>IF('Data Source'!B649="","",IF('Data Source'!AE649&gt;=5,"A+",IF('Data Source'!AE649&gt;=4,"A",IF('Data Source'!AE649&gt;=3.5,"A-",IF('Data Source'!AE649&gt;=3,"B",IF('Data Source'!AE649&gt;=2,"C",IF('Data Source'!AE649&gt;=1,"D","F")))))))</f>
        <v/>
      </c>
      <c r="N649" s="3">
        <f>IF('Data Source'!B649="","",IF('Data Source'!AF649&gt;=5,"A+",IF('Data Source'!AF649&gt;=4,"A",IF('Data Source'!AF649&gt;=3.5,"A-",IF('Data Source'!AF649&gt;=3,"B",IF('Data Source'!AF649&gt;=2,"C",IF('Data Source'!AF649&gt;=1,"D","F")))))))</f>
        <v/>
      </c>
      <c r="O649" s="3">
        <f>IF('Data Source'!B649="","",IF('Data Source'!AG649&gt;=5,"A+",IF('Data Source'!AG649&gt;=4,"A",IF('Data Source'!AG649&gt;=3.5,"A-",IF('Data Source'!AG649&gt;=3,"B",IF('Data Source'!AG649&gt;=2,"C",IF('Data Source'!AG649&gt;=1,"D","F")))))))</f>
        <v/>
      </c>
      <c r="P649" s="5">
        <f>IF('Data Source'!B649="","",'Data Source'!R649)</f>
        <v/>
      </c>
      <c r="Q649" s="3">
        <f>IF('Data Source'!B649="","",'Data Source'!S649)</f>
        <v/>
      </c>
    </row>
    <row r="650">
      <c r="A650" s="3">
        <f>IF('Data Source'!B650="","",'Data Source'!A650)</f>
        <v/>
      </c>
      <c r="B650">
        <f>IF('Data Source'!B650="","",'Data Source'!B650)</f>
        <v/>
      </c>
      <c r="C650" s="3">
        <f>IF('Data Source'!B650="","",IF('Data Source'!U650&gt;=5,"A+",IF('Data Source'!U650&gt;=4,"A",IF('Data Source'!U650&gt;=3.5,"A-",IF('Data Source'!U650&gt;=3,"B",IF('Data Source'!U650&gt;=2,"C",IF('Data Source'!U650&gt;=1,"D","F")))))))</f>
        <v/>
      </c>
      <c r="D650" s="3">
        <f>IF('Data Source'!B650="","",IF('Data Source'!V650&gt;=5,"A+",IF('Data Source'!V650&gt;=4,"A",IF('Data Source'!V650&gt;=3.5,"A-",IF('Data Source'!V650&gt;=3,"B",IF('Data Source'!V650&gt;=2,"C",IF('Data Source'!V650&gt;=1,"D","F")))))))</f>
        <v/>
      </c>
      <c r="E650" s="3">
        <f>IF('Data Source'!B650="","",IF('Data Source'!W650&gt;=5,"A+",IF('Data Source'!W650&gt;=4,"A",IF('Data Source'!W650&gt;=3.5,"A-",IF('Data Source'!W650&gt;=3,"B",IF('Data Source'!W650&gt;=2,"C",IF('Data Source'!W650&gt;=1,"D","F")))))))</f>
        <v/>
      </c>
      <c r="F650" s="3">
        <f>IF('Data Source'!B650="","",IF('Data Source'!X650&gt;=5,"A+",IF('Data Source'!X650&gt;=4,"A",IF('Data Source'!X650&gt;=3.5,"A-",IF('Data Source'!X650&gt;=3,"B",IF('Data Source'!X650&gt;=2,"C",IF('Data Source'!X650&gt;=1,"D","F")))))))</f>
        <v/>
      </c>
      <c r="G650" s="3">
        <f>IF('Data Source'!B650="","",IF('Data Source'!Y650&gt;=5,"A+",IF('Data Source'!Y650&gt;=4,"A",IF('Data Source'!Y650&gt;=3.5,"A-",IF('Data Source'!Y650&gt;=3,"B",IF('Data Source'!Y650&gt;=2,"C",IF('Data Source'!Y650&gt;=1,"D","F")))))))</f>
        <v/>
      </c>
      <c r="H650" s="3">
        <f>IF('Data Source'!B650="","",IF('Data Source'!Z650&gt;=5,"A+",IF('Data Source'!Z650&gt;=4,"A",IF('Data Source'!Z650&gt;=3.5,"A-",IF('Data Source'!Z650&gt;=3,"B",IF('Data Source'!Z650&gt;=2,"C",IF('Data Source'!Z650&gt;=1,"D","F")))))))</f>
        <v/>
      </c>
      <c r="I650" s="3">
        <f>IF('Data Source'!B650="","",IF('Data Source'!AA650&gt;=5,"A+",IF('Data Source'!AA650&gt;=4,"A",IF('Data Source'!AA650&gt;=3.5,"A-",IF('Data Source'!AA650&gt;=3,"B",IF('Data Source'!AA650&gt;=2,"C",IF('Data Source'!AA650&gt;=1,"D","F")))))))</f>
        <v/>
      </c>
      <c r="J650" s="3">
        <f>IF('Data Source'!B650="","",IF('Data Source'!AB650&gt;=5,"A+",IF('Data Source'!AB650&gt;=4,"A",IF('Data Source'!AB650&gt;=3.5,"A-",IF('Data Source'!AB650&gt;=3,"B",IF('Data Source'!AB650&gt;=2,"C",IF('Data Source'!AB650&gt;=1,"D","F")))))))</f>
        <v/>
      </c>
      <c r="K650" s="3">
        <f>IF('Data Source'!B650="","",IF('Data Source'!AC650&gt;=5,"A+",IF('Data Source'!AC650&gt;=4,"A",IF('Data Source'!AC650&gt;=3.5,"A-",IF('Data Source'!AC650&gt;=3,"B",IF('Data Source'!AC650&gt;=2,"C",IF('Data Source'!AC650&gt;=1,"D","F")))))))</f>
        <v/>
      </c>
      <c r="L650" s="3">
        <f>IF('Data Source'!B650="","",IF('Data Source'!AD650&gt;=5,"A+",IF('Data Source'!AD650&gt;=4,"A",IF('Data Source'!AD650&gt;=3.5,"A-",IF('Data Source'!AD650&gt;=3,"B",IF('Data Source'!AD650&gt;=2,"C",IF('Data Source'!AD650&gt;=1,"D","F")))))))</f>
        <v/>
      </c>
      <c r="M650" s="3">
        <f>IF('Data Source'!B650="","",IF('Data Source'!AE650&gt;=5,"A+",IF('Data Source'!AE650&gt;=4,"A",IF('Data Source'!AE650&gt;=3.5,"A-",IF('Data Source'!AE650&gt;=3,"B",IF('Data Source'!AE650&gt;=2,"C",IF('Data Source'!AE650&gt;=1,"D","F")))))))</f>
        <v/>
      </c>
      <c r="N650" s="3">
        <f>IF('Data Source'!B650="","",IF('Data Source'!AF650&gt;=5,"A+",IF('Data Source'!AF650&gt;=4,"A",IF('Data Source'!AF650&gt;=3.5,"A-",IF('Data Source'!AF650&gt;=3,"B",IF('Data Source'!AF650&gt;=2,"C",IF('Data Source'!AF650&gt;=1,"D","F")))))))</f>
        <v/>
      </c>
      <c r="O650" s="3">
        <f>IF('Data Source'!B650="","",IF('Data Source'!AG650&gt;=5,"A+",IF('Data Source'!AG650&gt;=4,"A",IF('Data Source'!AG650&gt;=3.5,"A-",IF('Data Source'!AG650&gt;=3,"B",IF('Data Source'!AG650&gt;=2,"C",IF('Data Source'!AG650&gt;=1,"D","F")))))))</f>
        <v/>
      </c>
      <c r="P650" s="5">
        <f>IF('Data Source'!B650="","",'Data Source'!R650)</f>
        <v/>
      </c>
      <c r="Q650" s="3">
        <f>IF('Data Source'!B650="","",'Data Source'!S650)</f>
        <v/>
      </c>
    </row>
    <row r="651">
      <c r="A651" s="3">
        <f>IF('Data Source'!B651="","",'Data Source'!A651)</f>
        <v/>
      </c>
      <c r="B651">
        <f>IF('Data Source'!B651="","",'Data Source'!B651)</f>
        <v/>
      </c>
      <c r="C651" s="3">
        <f>IF('Data Source'!B651="","",IF('Data Source'!U651&gt;=5,"A+",IF('Data Source'!U651&gt;=4,"A",IF('Data Source'!U651&gt;=3.5,"A-",IF('Data Source'!U651&gt;=3,"B",IF('Data Source'!U651&gt;=2,"C",IF('Data Source'!U651&gt;=1,"D","F")))))))</f>
        <v/>
      </c>
      <c r="D651" s="3">
        <f>IF('Data Source'!B651="","",IF('Data Source'!V651&gt;=5,"A+",IF('Data Source'!V651&gt;=4,"A",IF('Data Source'!V651&gt;=3.5,"A-",IF('Data Source'!V651&gt;=3,"B",IF('Data Source'!V651&gt;=2,"C",IF('Data Source'!V651&gt;=1,"D","F")))))))</f>
        <v/>
      </c>
      <c r="E651" s="3">
        <f>IF('Data Source'!B651="","",IF('Data Source'!W651&gt;=5,"A+",IF('Data Source'!W651&gt;=4,"A",IF('Data Source'!W651&gt;=3.5,"A-",IF('Data Source'!W651&gt;=3,"B",IF('Data Source'!W651&gt;=2,"C",IF('Data Source'!W651&gt;=1,"D","F")))))))</f>
        <v/>
      </c>
      <c r="F651" s="3">
        <f>IF('Data Source'!B651="","",IF('Data Source'!X651&gt;=5,"A+",IF('Data Source'!X651&gt;=4,"A",IF('Data Source'!X651&gt;=3.5,"A-",IF('Data Source'!X651&gt;=3,"B",IF('Data Source'!X651&gt;=2,"C",IF('Data Source'!X651&gt;=1,"D","F")))))))</f>
        <v/>
      </c>
      <c r="G651" s="3">
        <f>IF('Data Source'!B651="","",IF('Data Source'!Y651&gt;=5,"A+",IF('Data Source'!Y651&gt;=4,"A",IF('Data Source'!Y651&gt;=3.5,"A-",IF('Data Source'!Y651&gt;=3,"B",IF('Data Source'!Y651&gt;=2,"C",IF('Data Source'!Y651&gt;=1,"D","F")))))))</f>
        <v/>
      </c>
      <c r="H651" s="3">
        <f>IF('Data Source'!B651="","",IF('Data Source'!Z651&gt;=5,"A+",IF('Data Source'!Z651&gt;=4,"A",IF('Data Source'!Z651&gt;=3.5,"A-",IF('Data Source'!Z651&gt;=3,"B",IF('Data Source'!Z651&gt;=2,"C",IF('Data Source'!Z651&gt;=1,"D","F")))))))</f>
        <v/>
      </c>
      <c r="I651" s="3">
        <f>IF('Data Source'!B651="","",IF('Data Source'!AA651&gt;=5,"A+",IF('Data Source'!AA651&gt;=4,"A",IF('Data Source'!AA651&gt;=3.5,"A-",IF('Data Source'!AA651&gt;=3,"B",IF('Data Source'!AA651&gt;=2,"C",IF('Data Source'!AA651&gt;=1,"D","F")))))))</f>
        <v/>
      </c>
      <c r="J651" s="3">
        <f>IF('Data Source'!B651="","",IF('Data Source'!AB651&gt;=5,"A+",IF('Data Source'!AB651&gt;=4,"A",IF('Data Source'!AB651&gt;=3.5,"A-",IF('Data Source'!AB651&gt;=3,"B",IF('Data Source'!AB651&gt;=2,"C",IF('Data Source'!AB651&gt;=1,"D","F")))))))</f>
        <v/>
      </c>
      <c r="K651" s="3">
        <f>IF('Data Source'!B651="","",IF('Data Source'!AC651&gt;=5,"A+",IF('Data Source'!AC651&gt;=4,"A",IF('Data Source'!AC651&gt;=3.5,"A-",IF('Data Source'!AC651&gt;=3,"B",IF('Data Source'!AC651&gt;=2,"C",IF('Data Source'!AC651&gt;=1,"D","F")))))))</f>
        <v/>
      </c>
      <c r="L651" s="3">
        <f>IF('Data Source'!B651="","",IF('Data Source'!AD651&gt;=5,"A+",IF('Data Source'!AD651&gt;=4,"A",IF('Data Source'!AD651&gt;=3.5,"A-",IF('Data Source'!AD651&gt;=3,"B",IF('Data Source'!AD651&gt;=2,"C",IF('Data Source'!AD651&gt;=1,"D","F")))))))</f>
        <v/>
      </c>
      <c r="M651" s="3">
        <f>IF('Data Source'!B651="","",IF('Data Source'!AE651&gt;=5,"A+",IF('Data Source'!AE651&gt;=4,"A",IF('Data Source'!AE651&gt;=3.5,"A-",IF('Data Source'!AE651&gt;=3,"B",IF('Data Source'!AE651&gt;=2,"C",IF('Data Source'!AE651&gt;=1,"D","F")))))))</f>
        <v/>
      </c>
      <c r="N651" s="3">
        <f>IF('Data Source'!B651="","",IF('Data Source'!AF651&gt;=5,"A+",IF('Data Source'!AF651&gt;=4,"A",IF('Data Source'!AF651&gt;=3.5,"A-",IF('Data Source'!AF651&gt;=3,"B",IF('Data Source'!AF651&gt;=2,"C",IF('Data Source'!AF651&gt;=1,"D","F")))))))</f>
        <v/>
      </c>
      <c r="O651" s="3">
        <f>IF('Data Source'!B651="","",IF('Data Source'!AG651&gt;=5,"A+",IF('Data Source'!AG651&gt;=4,"A",IF('Data Source'!AG651&gt;=3.5,"A-",IF('Data Source'!AG651&gt;=3,"B",IF('Data Source'!AG651&gt;=2,"C",IF('Data Source'!AG651&gt;=1,"D","F")))))))</f>
        <v/>
      </c>
      <c r="P651" s="5">
        <f>IF('Data Source'!B651="","",'Data Source'!R651)</f>
        <v/>
      </c>
      <c r="Q651" s="3">
        <f>IF('Data Source'!B651="","",'Data Source'!S651)</f>
        <v/>
      </c>
    </row>
    <row r="652">
      <c r="A652" s="3">
        <f>IF('Data Source'!B652="","",'Data Source'!A652)</f>
        <v/>
      </c>
      <c r="B652">
        <f>IF('Data Source'!B652="","",'Data Source'!B652)</f>
        <v/>
      </c>
      <c r="C652" s="3">
        <f>IF('Data Source'!B652="","",IF('Data Source'!U652&gt;=5,"A+",IF('Data Source'!U652&gt;=4,"A",IF('Data Source'!U652&gt;=3.5,"A-",IF('Data Source'!U652&gt;=3,"B",IF('Data Source'!U652&gt;=2,"C",IF('Data Source'!U652&gt;=1,"D","F")))))))</f>
        <v/>
      </c>
      <c r="D652" s="3">
        <f>IF('Data Source'!B652="","",IF('Data Source'!V652&gt;=5,"A+",IF('Data Source'!V652&gt;=4,"A",IF('Data Source'!V652&gt;=3.5,"A-",IF('Data Source'!V652&gt;=3,"B",IF('Data Source'!V652&gt;=2,"C",IF('Data Source'!V652&gt;=1,"D","F")))))))</f>
        <v/>
      </c>
      <c r="E652" s="3">
        <f>IF('Data Source'!B652="","",IF('Data Source'!W652&gt;=5,"A+",IF('Data Source'!W652&gt;=4,"A",IF('Data Source'!W652&gt;=3.5,"A-",IF('Data Source'!W652&gt;=3,"B",IF('Data Source'!W652&gt;=2,"C",IF('Data Source'!W652&gt;=1,"D","F")))))))</f>
        <v/>
      </c>
      <c r="F652" s="3">
        <f>IF('Data Source'!B652="","",IF('Data Source'!X652&gt;=5,"A+",IF('Data Source'!X652&gt;=4,"A",IF('Data Source'!X652&gt;=3.5,"A-",IF('Data Source'!X652&gt;=3,"B",IF('Data Source'!X652&gt;=2,"C",IF('Data Source'!X652&gt;=1,"D","F")))))))</f>
        <v/>
      </c>
      <c r="G652" s="3">
        <f>IF('Data Source'!B652="","",IF('Data Source'!Y652&gt;=5,"A+",IF('Data Source'!Y652&gt;=4,"A",IF('Data Source'!Y652&gt;=3.5,"A-",IF('Data Source'!Y652&gt;=3,"B",IF('Data Source'!Y652&gt;=2,"C",IF('Data Source'!Y652&gt;=1,"D","F")))))))</f>
        <v/>
      </c>
      <c r="H652" s="3">
        <f>IF('Data Source'!B652="","",IF('Data Source'!Z652&gt;=5,"A+",IF('Data Source'!Z652&gt;=4,"A",IF('Data Source'!Z652&gt;=3.5,"A-",IF('Data Source'!Z652&gt;=3,"B",IF('Data Source'!Z652&gt;=2,"C",IF('Data Source'!Z652&gt;=1,"D","F")))))))</f>
        <v/>
      </c>
      <c r="I652" s="3">
        <f>IF('Data Source'!B652="","",IF('Data Source'!AA652&gt;=5,"A+",IF('Data Source'!AA652&gt;=4,"A",IF('Data Source'!AA652&gt;=3.5,"A-",IF('Data Source'!AA652&gt;=3,"B",IF('Data Source'!AA652&gt;=2,"C",IF('Data Source'!AA652&gt;=1,"D","F")))))))</f>
        <v/>
      </c>
      <c r="J652" s="3">
        <f>IF('Data Source'!B652="","",IF('Data Source'!AB652&gt;=5,"A+",IF('Data Source'!AB652&gt;=4,"A",IF('Data Source'!AB652&gt;=3.5,"A-",IF('Data Source'!AB652&gt;=3,"B",IF('Data Source'!AB652&gt;=2,"C",IF('Data Source'!AB652&gt;=1,"D","F")))))))</f>
        <v/>
      </c>
      <c r="K652" s="3">
        <f>IF('Data Source'!B652="","",IF('Data Source'!AC652&gt;=5,"A+",IF('Data Source'!AC652&gt;=4,"A",IF('Data Source'!AC652&gt;=3.5,"A-",IF('Data Source'!AC652&gt;=3,"B",IF('Data Source'!AC652&gt;=2,"C",IF('Data Source'!AC652&gt;=1,"D","F")))))))</f>
        <v/>
      </c>
      <c r="L652" s="3">
        <f>IF('Data Source'!B652="","",IF('Data Source'!AD652&gt;=5,"A+",IF('Data Source'!AD652&gt;=4,"A",IF('Data Source'!AD652&gt;=3.5,"A-",IF('Data Source'!AD652&gt;=3,"B",IF('Data Source'!AD652&gt;=2,"C",IF('Data Source'!AD652&gt;=1,"D","F")))))))</f>
        <v/>
      </c>
      <c r="M652" s="3">
        <f>IF('Data Source'!B652="","",IF('Data Source'!AE652&gt;=5,"A+",IF('Data Source'!AE652&gt;=4,"A",IF('Data Source'!AE652&gt;=3.5,"A-",IF('Data Source'!AE652&gt;=3,"B",IF('Data Source'!AE652&gt;=2,"C",IF('Data Source'!AE652&gt;=1,"D","F")))))))</f>
        <v/>
      </c>
      <c r="N652" s="3">
        <f>IF('Data Source'!B652="","",IF('Data Source'!AF652&gt;=5,"A+",IF('Data Source'!AF652&gt;=4,"A",IF('Data Source'!AF652&gt;=3.5,"A-",IF('Data Source'!AF652&gt;=3,"B",IF('Data Source'!AF652&gt;=2,"C",IF('Data Source'!AF652&gt;=1,"D","F")))))))</f>
        <v/>
      </c>
      <c r="O652" s="3">
        <f>IF('Data Source'!B652="","",IF('Data Source'!AG652&gt;=5,"A+",IF('Data Source'!AG652&gt;=4,"A",IF('Data Source'!AG652&gt;=3.5,"A-",IF('Data Source'!AG652&gt;=3,"B",IF('Data Source'!AG652&gt;=2,"C",IF('Data Source'!AG652&gt;=1,"D","F")))))))</f>
        <v/>
      </c>
      <c r="P652" s="5">
        <f>IF('Data Source'!B652="","",'Data Source'!R652)</f>
        <v/>
      </c>
      <c r="Q652" s="3">
        <f>IF('Data Source'!B652="","",'Data Source'!S652)</f>
        <v/>
      </c>
    </row>
    <row r="653">
      <c r="A653" s="3">
        <f>IF('Data Source'!B653="","",'Data Source'!A653)</f>
        <v/>
      </c>
      <c r="B653">
        <f>IF('Data Source'!B653="","",'Data Source'!B653)</f>
        <v/>
      </c>
      <c r="C653" s="3">
        <f>IF('Data Source'!B653="","",IF('Data Source'!U653&gt;=5,"A+",IF('Data Source'!U653&gt;=4,"A",IF('Data Source'!U653&gt;=3.5,"A-",IF('Data Source'!U653&gt;=3,"B",IF('Data Source'!U653&gt;=2,"C",IF('Data Source'!U653&gt;=1,"D","F")))))))</f>
        <v/>
      </c>
      <c r="D653" s="3">
        <f>IF('Data Source'!B653="","",IF('Data Source'!V653&gt;=5,"A+",IF('Data Source'!V653&gt;=4,"A",IF('Data Source'!V653&gt;=3.5,"A-",IF('Data Source'!V653&gt;=3,"B",IF('Data Source'!V653&gt;=2,"C",IF('Data Source'!V653&gt;=1,"D","F")))))))</f>
        <v/>
      </c>
      <c r="E653" s="3">
        <f>IF('Data Source'!B653="","",IF('Data Source'!W653&gt;=5,"A+",IF('Data Source'!W653&gt;=4,"A",IF('Data Source'!W653&gt;=3.5,"A-",IF('Data Source'!W653&gt;=3,"B",IF('Data Source'!W653&gt;=2,"C",IF('Data Source'!W653&gt;=1,"D","F")))))))</f>
        <v/>
      </c>
      <c r="F653" s="3">
        <f>IF('Data Source'!B653="","",IF('Data Source'!X653&gt;=5,"A+",IF('Data Source'!X653&gt;=4,"A",IF('Data Source'!X653&gt;=3.5,"A-",IF('Data Source'!X653&gt;=3,"B",IF('Data Source'!X653&gt;=2,"C",IF('Data Source'!X653&gt;=1,"D","F")))))))</f>
        <v/>
      </c>
      <c r="G653" s="3">
        <f>IF('Data Source'!B653="","",IF('Data Source'!Y653&gt;=5,"A+",IF('Data Source'!Y653&gt;=4,"A",IF('Data Source'!Y653&gt;=3.5,"A-",IF('Data Source'!Y653&gt;=3,"B",IF('Data Source'!Y653&gt;=2,"C",IF('Data Source'!Y653&gt;=1,"D","F")))))))</f>
        <v/>
      </c>
      <c r="H653" s="3">
        <f>IF('Data Source'!B653="","",IF('Data Source'!Z653&gt;=5,"A+",IF('Data Source'!Z653&gt;=4,"A",IF('Data Source'!Z653&gt;=3.5,"A-",IF('Data Source'!Z653&gt;=3,"B",IF('Data Source'!Z653&gt;=2,"C",IF('Data Source'!Z653&gt;=1,"D","F")))))))</f>
        <v/>
      </c>
      <c r="I653" s="3">
        <f>IF('Data Source'!B653="","",IF('Data Source'!AA653&gt;=5,"A+",IF('Data Source'!AA653&gt;=4,"A",IF('Data Source'!AA653&gt;=3.5,"A-",IF('Data Source'!AA653&gt;=3,"B",IF('Data Source'!AA653&gt;=2,"C",IF('Data Source'!AA653&gt;=1,"D","F")))))))</f>
        <v/>
      </c>
      <c r="J653" s="3">
        <f>IF('Data Source'!B653="","",IF('Data Source'!AB653&gt;=5,"A+",IF('Data Source'!AB653&gt;=4,"A",IF('Data Source'!AB653&gt;=3.5,"A-",IF('Data Source'!AB653&gt;=3,"B",IF('Data Source'!AB653&gt;=2,"C",IF('Data Source'!AB653&gt;=1,"D","F")))))))</f>
        <v/>
      </c>
      <c r="K653" s="3">
        <f>IF('Data Source'!B653="","",IF('Data Source'!AC653&gt;=5,"A+",IF('Data Source'!AC653&gt;=4,"A",IF('Data Source'!AC653&gt;=3.5,"A-",IF('Data Source'!AC653&gt;=3,"B",IF('Data Source'!AC653&gt;=2,"C",IF('Data Source'!AC653&gt;=1,"D","F")))))))</f>
        <v/>
      </c>
      <c r="L653" s="3">
        <f>IF('Data Source'!B653="","",IF('Data Source'!AD653&gt;=5,"A+",IF('Data Source'!AD653&gt;=4,"A",IF('Data Source'!AD653&gt;=3.5,"A-",IF('Data Source'!AD653&gt;=3,"B",IF('Data Source'!AD653&gt;=2,"C",IF('Data Source'!AD653&gt;=1,"D","F")))))))</f>
        <v/>
      </c>
      <c r="M653" s="3">
        <f>IF('Data Source'!B653="","",IF('Data Source'!AE653&gt;=5,"A+",IF('Data Source'!AE653&gt;=4,"A",IF('Data Source'!AE653&gt;=3.5,"A-",IF('Data Source'!AE653&gt;=3,"B",IF('Data Source'!AE653&gt;=2,"C",IF('Data Source'!AE653&gt;=1,"D","F")))))))</f>
        <v/>
      </c>
      <c r="N653" s="3">
        <f>IF('Data Source'!B653="","",IF('Data Source'!AF653&gt;=5,"A+",IF('Data Source'!AF653&gt;=4,"A",IF('Data Source'!AF653&gt;=3.5,"A-",IF('Data Source'!AF653&gt;=3,"B",IF('Data Source'!AF653&gt;=2,"C",IF('Data Source'!AF653&gt;=1,"D","F")))))))</f>
        <v/>
      </c>
      <c r="O653" s="3">
        <f>IF('Data Source'!B653="","",IF('Data Source'!AG653&gt;=5,"A+",IF('Data Source'!AG653&gt;=4,"A",IF('Data Source'!AG653&gt;=3.5,"A-",IF('Data Source'!AG653&gt;=3,"B",IF('Data Source'!AG653&gt;=2,"C",IF('Data Source'!AG653&gt;=1,"D","F")))))))</f>
        <v/>
      </c>
      <c r="P653" s="5">
        <f>IF('Data Source'!B653="","",'Data Source'!R653)</f>
        <v/>
      </c>
      <c r="Q653" s="3">
        <f>IF('Data Source'!B653="","",'Data Source'!S653)</f>
        <v/>
      </c>
    </row>
    <row r="654">
      <c r="A654" s="3">
        <f>IF('Data Source'!B654="","",'Data Source'!A654)</f>
        <v/>
      </c>
      <c r="B654">
        <f>IF('Data Source'!B654="","",'Data Source'!B654)</f>
        <v/>
      </c>
      <c r="C654" s="3">
        <f>IF('Data Source'!B654="","",IF('Data Source'!U654&gt;=5,"A+",IF('Data Source'!U654&gt;=4,"A",IF('Data Source'!U654&gt;=3.5,"A-",IF('Data Source'!U654&gt;=3,"B",IF('Data Source'!U654&gt;=2,"C",IF('Data Source'!U654&gt;=1,"D","F")))))))</f>
        <v/>
      </c>
      <c r="D654" s="3">
        <f>IF('Data Source'!B654="","",IF('Data Source'!V654&gt;=5,"A+",IF('Data Source'!V654&gt;=4,"A",IF('Data Source'!V654&gt;=3.5,"A-",IF('Data Source'!V654&gt;=3,"B",IF('Data Source'!V654&gt;=2,"C",IF('Data Source'!V654&gt;=1,"D","F")))))))</f>
        <v/>
      </c>
      <c r="E654" s="3">
        <f>IF('Data Source'!B654="","",IF('Data Source'!W654&gt;=5,"A+",IF('Data Source'!W654&gt;=4,"A",IF('Data Source'!W654&gt;=3.5,"A-",IF('Data Source'!W654&gt;=3,"B",IF('Data Source'!W654&gt;=2,"C",IF('Data Source'!W654&gt;=1,"D","F")))))))</f>
        <v/>
      </c>
      <c r="F654" s="3">
        <f>IF('Data Source'!B654="","",IF('Data Source'!X654&gt;=5,"A+",IF('Data Source'!X654&gt;=4,"A",IF('Data Source'!X654&gt;=3.5,"A-",IF('Data Source'!X654&gt;=3,"B",IF('Data Source'!X654&gt;=2,"C",IF('Data Source'!X654&gt;=1,"D","F")))))))</f>
        <v/>
      </c>
      <c r="G654" s="3">
        <f>IF('Data Source'!B654="","",IF('Data Source'!Y654&gt;=5,"A+",IF('Data Source'!Y654&gt;=4,"A",IF('Data Source'!Y654&gt;=3.5,"A-",IF('Data Source'!Y654&gt;=3,"B",IF('Data Source'!Y654&gt;=2,"C",IF('Data Source'!Y654&gt;=1,"D","F")))))))</f>
        <v/>
      </c>
      <c r="H654" s="3">
        <f>IF('Data Source'!B654="","",IF('Data Source'!Z654&gt;=5,"A+",IF('Data Source'!Z654&gt;=4,"A",IF('Data Source'!Z654&gt;=3.5,"A-",IF('Data Source'!Z654&gt;=3,"B",IF('Data Source'!Z654&gt;=2,"C",IF('Data Source'!Z654&gt;=1,"D","F")))))))</f>
        <v/>
      </c>
      <c r="I654" s="3">
        <f>IF('Data Source'!B654="","",IF('Data Source'!AA654&gt;=5,"A+",IF('Data Source'!AA654&gt;=4,"A",IF('Data Source'!AA654&gt;=3.5,"A-",IF('Data Source'!AA654&gt;=3,"B",IF('Data Source'!AA654&gt;=2,"C",IF('Data Source'!AA654&gt;=1,"D","F")))))))</f>
        <v/>
      </c>
      <c r="J654" s="3">
        <f>IF('Data Source'!B654="","",IF('Data Source'!AB654&gt;=5,"A+",IF('Data Source'!AB654&gt;=4,"A",IF('Data Source'!AB654&gt;=3.5,"A-",IF('Data Source'!AB654&gt;=3,"B",IF('Data Source'!AB654&gt;=2,"C",IF('Data Source'!AB654&gt;=1,"D","F")))))))</f>
        <v/>
      </c>
      <c r="K654" s="3">
        <f>IF('Data Source'!B654="","",IF('Data Source'!AC654&gt;=5,"A+",IF('Data Source'!AC654&gt;=4,"A",IF('Data Source'!AC654&gt;=3.5,"A-",IF('Data Source'!AC654&gt;=3,"B",IF('Data Source'!AC654&gt;=2,"C",IF('Data Source'!AC654&gt;=1,"D","F")))))))</f>
        <v/>
      </c>
      <c r="L654" s="3">
        <f>IF('Data Source'!B654="","",IF('Data Source'!AD654&gt;=5,"A+",IF('Data Source'!AD654&gt;=4,"A",IF('Data Source'!AD654&gt;=3.5,"A-",IF('Data Source'!AD654&gt;=3,"B",IF('Data Source'!AD654&gt;=2,"C",IF('Data Source'!AD654&gt;=1,"D","F")))))))</f>
        <v/>
      </c>
      <c r="M654" s="3">
        <f>IF('Data Source'!B654="","",IF('Data Source'!AE654&gt;=5,"A+",IF('Data Source'!AE654&gt;=4,"A",IF('Data Source'!AE654&gt;=3.5,"A-",IF('Data Source'!AE654&gt;=3,"B",IF('Data Source'!AE654&gt;=2,"C",IF('Data Source'!AE654&gt;=1,"D","F")))))))</f>
        <v/>
      </c>
      <c r="N654" s="3">
        <f>IF('Data Source'!B654="","",IF('Data Source'!AF654&gt;=5,"A+",IF('Data Source'!AF654&gt;=4,"A",IF('Data Source'!AF654&gt;=3.5,"A-",IF('Data Source'!AF654&gt;=3,"B",IF('Data Source'!AF654&gt;=2,"C",IF('Data Source'!AF654&gt;=1,"D","F")))))))</f>
        <v/>
      </c>
      <c r="O654" s="3">
        <f>IF('Data Source'!B654="","",IF('Data Source'!AG654&gt;=5,"A+",IF('Data Source'!AG654&gt;=4,"A",IF('Data Source'!AG654&gt;=3.5,"A-",IF('Data Source'!AG654&gt;=3,"B",IF('Data Source'!AG654&gt;=2,"C",IF('Data Source'!AG654&gt;=1,"D","F")))))))</f>
        <v/>
      </c>
      <c r="P654" s="5">
        <f>IF('Data Source'!B654="","",'Data Source'!R654)</f>
        <v/>
      </c>
      <c r="Q654" s="3">
        <f>IF('Data Source'!B654="","",'Data Source'!S654)</f>
        <v/>
      </c>
    </row>
    <row r="655">
      <c r="A655" s="3">
        <f>IF('Data Source'!B655="","",'Data Source'!A655)</f>
        <v/>
      </c>
      <c r="B655">
        <f>IF('Data Source'!B655="","",'Data Source'!B655)</f>
        <v/>
      </c>
      <c r="C655" s="3">
        <f>IF('Data Source'!B655="","",IF('Data Source'!U655&gt;=5,"A+",IF('Data Source'!U655&gt;=4,"A",IF('Data Source'!U655&gt;=3.5,"A-",IF('Data Source'!U655&gt;=3,"B",IF('Data Source'!U655&gt;=2,"C",IF('Data Source'!U655&gt;=1,"D","F")))))))</f>
        <v/>
      </c>
      <c r="D655" s="3">
        <f>IF('Data Source'!B655="","",IF('Data Source'!V655&gt;=5,"A+",IF('Data Source'!V655&gt;=4,"A",IF('Data Source'!V655&gt;=3.5,"A-",IF('Data Source'!V655&gt;=3,"B",IF('Data Source'!V655&gt;=2,"C",IF('Data Source'!V655&gt;=1,"D","F")))))))</f>
        <v/>
      </c>
      <c r="E655" s="3">
        <f>IF('Data Source'!B655="","",IF('Data Source'!W655&gt;=5,"A+",IF('Data Source'!W655&gt;=4,"A",IF('Data Source'!W655&gt;=3.5,"A-",IF('Data Source'!W655&gt;=3,"B",IF('Data Source'!W655&gt;=2,"C",IF('Data Source'!W655&gt;=1,"D","F")))))))</f>
        <v/>
      </c>
      <c r="F655" s="3">
        <f>IF('Data Source'!B655="","",IF('Data Source'!X655&gt;=5,"A+",IF('Data Source'!X655&gt;=4,"A",IF('Data Source'!X655&gt;=3.5,"A-",IF('Data Source'!X655&gt;=3,"B",IF('Data Source'!X655&gt;=2,"C",IF('Data Source'!X655&gt;=1,"D","F")))))))</f>
        <v/>
      </c>
      <c r="G655" s="3">
        <f>IF('Data Source'!B655="","",IF('Data Source'!Y655&gt;=5,"A+",IF('Data Source'!Y655&gt;=4,"A",IF('Data Source'!Y655&gt;=3.5,"A-",IF('Data Source'!Y655&gt;=3,"B",IF('Data Source'!Y655&gt;=2,"C",IF('Data Source'!Y655&gt;=1,"D","F")))))))</f>
        <v/>
      </c>
      <c r="H655" s="3">
        <f>IF('Data Source'!B655="","",IF('Data Source'!Z655&gt;=5,"A+",IF('Data Source'!Z655&gt;=4,"A",IF('Data Source'!Z655&gt;=3.5,"A-",IF('Data Source'!Z655&gt;=3,"B",IF('Data Source'!Z655&gt;=2,"C",IF('Data Source'!Z655&gt;=1,"D","F")))))))</f>
        <v/>
      </c>
      <c r="I655" s="3">
        <f>IF('Data Source'!B655="","",IF('Data Source'!AA655&gt;=5,"A+",IF('Data Source'!AA655&gt;=4,"A",IF('Data Source'!AA655&gt;=3.5,"A-",IF('Data Source'!AA655&gt;=3,"B",IF('Data Source'!AA655&gt;=2,"C",IF('Data Source'!AA655&gt;=1,"D","F")))))))</f>
        <v/>
      </c>
      <c r="J655" s="3">
        <f>IF('Data Source'!B655="","",IF('Data Source'!AB655&gt;=5,"A+",IF('Data Source'!AB655&gt;=4,"A",IF('Data Source'!AB655&gt;=3.5,"A-",IF('Data Source'!AB655&gt;=3,"B",IF('Data Source'!AB655&gt;=2,"C",IF('Data Source'!AB655&gt;=1,"D","F")))))))</f>
        <v/>
      </c>
      <c r="K655" s="3">
        <f>IF('Data Source'!B655="","",IF('Data Source'!AC655&gt;=5,"A+",IF('Data Source'!AC655&gt;=4,"A",IF('Data Source'!AC655&gt;=3.5,"A-",IF('Data Source'!AC655&gt;=3,"B",IF('Data Source'!AC655&gt;=2,"C",IF('Data Source'!AC655&gt;=1,"D","F")))))))</f>
        <v/>
      </c>
      <c r="L655" s="3">
        <f>IF('Data Source'!B655="","",IF('Data Source'!AD655&gt;=5,"A+",IF('Data Source'!AD655&gt;=4,"A",IF('Data Source'!AD655&gt;=3.5,"A-",IF('Data Source'!AD655&gt;=3,"B",IF('Data Source'!AD655&gt;=2,"C",IF('Data Source'!AD655&gt;=1,"D","F")))))))</f>
        <v/>
      </c>
      <c r="M655" s="3">
        <f>IF('Data Source'!B655="","",IF('Data Source'!AE655&gt;=5,"A+",IF('Data Source'!AE655&gt;=4,"A",IF('Data Source'!AE655&gt;=3.5,"A-",IF('Data Source'!AE655&gt;=3,"B",IF('Data Source'!AE655&gt;=2,"C",IF('Data Source'!AE655&gt;=1,"D","F")))))))</f>
        <v/>
      </c>
      <c r="N655" s="3">
        <f>IF('Data Source'!B655="","",IF('Data Source'!AF655&gt;=5,"A+",IF('Data Source'!AF655&gt;=4,"A",IF('Data Source'!AF655&gt;=3.5,"A-",IF('Data Source'!AF655&gt;=3,"B",IF('Data Source'!AF655&gt;=2,"C",IF('Data Source'!AF655&gt;=1,"D","F")))))))</f>
        <v/>
      </c>
      <c r="O655" s="3">
        <f>IF('Data Source'!B655="","",IF('Data Source'!AG655&gt;=5,"A+",IF('Data Source'!AG655&gt;=4,"A",IF('Data Source'!AG655&gt;=3.5,"A-",IF('Data Source'!AG655&gt;=3,"B",IF('Data Source'!AG655&gt;=2,"C",IF('Data Source'!AG655&gt;=1,"D","F")))))))</f>
        <v/>
      </c>
      <c r="P655" s="5">
        <f>IF('Data Source'!B655="","",'Data Source'!R655)</f>
        <v/>
      </c>
      <c r="Q655" s="3">
        <f>IF('Data Source'!B655="","",'Data Source'!S655)</f>
        <v/>
      </c>
    </row>
    <row r="656">
      <c r="A656" s="3">
        <f>IF('Data Source'!B656="","",'Data Source'!A656)</f>
        <v/>
      </c>
      <c r="B656">
        <f>IF('Data Source'!B656="","",'Data Source'!B656)</f>
        <v/>
      </c>
      <c r="C656" s="3">
        <f>IF('Data Source'!B656="","",IF('Data Source'!U656&gt;=5,"A+",IF('Data Source'!U656&gt;=4,"A",IF('Data Source'!U656&gt;=3.5,"A-",IF('Data Source'!U656&gt;=3,"B",IF('Data Source'!U656&gt;=2,"C",IF('Data Source'!U656&gt;=1,"D","F")))))))</f>
        <v/>
      </c>
      <c r="D656" s="3">
        <f>IF('Data Source'!B656="","",IF('Data Source'!V656&gt;=5,"A+",IF('Data Source'!V656&gt;=4,"A",IF('Data Source'!V656&gt;=3.5,"A-",IF('Data Source'!V656&gt;=3,"B",IF('Data Source'!V656&gt;=2,"C",IF('Data Source'!V656&gt;=1,"D","F")))))))</f>
        <v/>
      </c>
      <c r="E656" s="3">
        <f>IF('Data Source'!B656="","",IF('Data Source'!W656&gt;=5,"A+",IF('Data Source'!W656&gt;=4,"A",IF('Data Source'!W656&gt;=3.5,"A-",IF('Data Source'!W656&gt;=3,"B",IF('Data Source'!W656&gt;=2,"C",IF('Data Source'!W656&gt;=1,"D","F")))))))</f>
        <v/>
      </c>
      <c r="F656" s="3">
        <f>IF('Data Source'!B656="","",IF('Data Source'!X656&gt;=5,"A+",IF('Data Source'!X656&gt;=4,"A",IF('Data Source'!X656&gt;=3.5,"A-",IF('Data Source'!X656&gt;=3,"B",IF('Data Source'!X656&gt;=2,"C",IF('Data Source'!X656&gt;=1,"D","F")))))))</f>
        <v/>
      </c>
      <c r="G656" s="3">
        <f>IF('Data Source'!B656="","",IF('Data Source'!Y656&gt;=5,"A+",IF('Data Source'!Y656&gt;=4,"A",IF('Data Source'!Y656&gt;=3.5,"A-",IF('Data Source'!Y656&gt;=3,"B",IF('Data Source'!Y656&gt;=2,"C",IF('Data Source'!Y656&gt;=1,"D","F")))))))</f>
        <v/>
      </c>
      <c r="H656" s="3">
        <f>IF('Data Source'!B656="","",IF('Data Source'!Z656&gt;=5,"A+",IF('Data Source'!Z656&gt;=4,"A",IF('Data Source'!Z656&gt;=3.5,"A-",IF('Data Source'!Z656&gt;=3,"B",IF('Data Source'!Z656&gt;=2,"C",IF('Data Source'!Z656&gt;=1,"D","F")))))))</f>
        <v/>
      </c>
      <c r="I656" s="3">
        <f>IF('Data Source'!B656="","",IF('Data Source'!AA656&gt;=5,"A+",IF('Data Source'!AA656&gt;=4,"A",IF('Data Source'!AA656&gt;=3.5,"A-",IF('Data Source'!AA656&gt;=3,"B",IF('Data Source'!AA656&gt;=2,"C",IF('Data Source'!AA656&gt;=1,"D","F")))))))</f>
        <v/>
      </c>
      <c r="J656" s="3">
        <f>IF('Data Source'!B656="","",IF('Data Source'!AB656&gt;=5,"A+",IF('Data Source'!AB656&gt;=4,"A",IF('Data Source'!AB656&gt;=3.5,"A-",IF('Data Source'!AB656&gt;=3,"B",IF('Data Source'!AB656&gt;=2,"C",IF('Data Source'!AB656&gt;=1,"D","F")))))))</f>
        <v/>
      </c>
      <c r="K656" s="3">
        <f>IF('Data Source'!B656="","",IF('Data Source'!AC656&gt;=5,"A+",IF('Data Source'!AC656&gt;=4,"A",IF('Data Source'!AC656&gt;=3.5,"A-",IF('Data Source'!AC656&gt;=3,"B",IF('Data Source'!AC656&gt;=2,"C",IF('Data Source'!AC656&gt;=1,"D","F")))))))</f>
        <v/>
      </c>
      <c r="L656" s="3">
        <f>IF('Data Source'!B656="","",IF('Data Source'!AD656&gt;=5,"A+",IF('Data Source'!AD656&gt;=4,"A",IF('Data Source'!AD656&gt;=3.5,"A-",IF('Data Source'!AD656&gt;=3,"B",IF('Data Source'!AD656&gt;=2,"C",IF('Data Source'!AD656&gt;=1,"D","F")))))))</f>
        <v/>
      </c>
      <c r="M656" s="3">
        <f>IF('Data Source'!B656="","",IF('Data Source'!AE656&gt;=5,"A+",IF('Data Source'!AE656&gt;=4,"A",IF('Data Source'!AE656&gt;=3.5,"A-",IF('Data Source'!AE656&gt;=3,"B",IF('Data Source'!AE656&gt;=2,"C",IF('Data Source'!AE656&gt;=1,"D","F")))))))</f>
        <v/>
      </c>
      <c r="N656" s="3">
        <f>IF('Data Source'!B656="","",IF('Data Source'!AF656&gt;=5,"A+",IF('Data Source'!AF656&gt;=4,"A",IF('Data Source'!AF656&gt;=3.5,"A-",IF('Data Source'!AF656&gt;=3,"B",IF('Data Source'!AF656&gt;=2,"C",IF('Data Source'!AF656&gt;=1,"D","F")))))))</f>
        <v/>
      </c>
      <c r="O656" s="3">
        <f>IF('Data Source'!B656="","",IF('Data Source'!AG656&gt;=5,"A+",IF('Data Source'!AG656&gt;=4,"A",IF('Data Source'!AG656&gt;=3.5,"A-",IF('Data Source'!AG656&gt;=3,"B",IF('Data Source'!AG656&gt;=2,"C",IF('Data Source'!AG656&gt;=1,"D","F")))))))</f>
        <v/>
      </c>
      <c r="P656" s="5">
        <f>IF('Data Source'!B656="","",'Data Source'!R656)</f>
        <v/>
      </c>
      <c r="Q656" s="3">
        <f>IF('Data Source'!B656="","",'Data Source'!S656)</f>
        <v/>
      </c>
    </row>
    <row r="657">
      <c r="A657" s="3">
        <f>IF('Data Source'!B657="","",'Data Source'!A657)</f>
        <v/>
      </c>
      <c r="B657">
        <f>IF('Data Source'!B657="","",'Data Source'!B657)</f>
        <v/>
      </c>
      <c r="C657" s="3">
        <f>IF('Data Source'!B657="","",IF('Data Source'!U657&gt;=5,"A+",IF('Data Source'!U657&gt;=4,"A",IF('Data Source'!U657&gt;=3.5,"A-",IF('Data Source'!U657&gt;=3,"B",IF('Data Source'!U657&gt;=2,"C",IF('Data Source'!U657&gt;=1,"D","F")))))))</f>
        <v/>
      </c>
      <c r="D657" s="3">
        <f>IF('Data Source'!B657="","",IF('Data Source'!V657&gt;=5,"A+",IF('Data Source'!V657&gt;=4,"A",IF('Data Source'!V657&gt;=3.5,"A-",IF('Data Source'!V657&gt;=3,"B",IF('Data Source'!V657&gt;=2,"C",IF('Data Source'!V657&gt;=1,"D","F")))))))</f>
        <v/>
      </c>
      <c r="E657" s="3">
        <f>IF('Data Source'!B657="","",IF('Data Source'!W657&gt;=5,"A+",IF('Data Source'!W657&gt;=4,"A",IF('Data Source'!W657&gt;=3.5,"A-",IF('Data Source'!W657&gt;=3,"B",IF('Data Source'!W657&gt;=2,"C",IF('Data Source'!W657&gt;=1,"D","F")))))))</f>
        <v/>
      </c>
      <c r="F657" s="3">
        <f>IF('Data Source'!B657="","",IF('Data Source'!X657&gt;=5,"A+",IF('Data Source'!X657&gt;=4,"A",IF('Data Source'!X657&gt;=3.5,"A-",IF('Data Source'!X657&gt;=3,"B",IF('Data Source'!X657&gt;=2,"C",IF('Data Source'!X657&gt;=1,"D","F")))))))</f>
        <v/>
      </c>
      <c r="G657" s="3">
        <f>IF('Data Source'!B657="","",IF('Data Source'!Y657&gt;=5,"A+",IF('Data Source'!Y657&gt;=4,"A",IF('Data Source'!Y657&gt;=3.5,"A-",IF('Data Source'!Y657&gt;=3,"B",IF('Data Source'!Y657&gt;=2,"C",IF('Data Source'!Y657&gt;=1,"D","F")))))))</f>
        <v/>
      </c>
      <c r="H657" s="3">
        <f>IF('Data Source'!B657="","",IF('Data Source'!Z657&gt;=5,"A+",IF('Data Source'!Z657&gt;=4,"A",IF('Data Source'!Z657&gt;=3.5,"A-",IF('Data Source'!Z657&gt;=3,"B",IF('Data Source'!Z657&gt;=2,"C",IF('Data Source'!Z657&gt;=1,"D","F")))))))</f>
        <v/>
      </c>
      <c r="I657" s="3">
        <f>IF('Data Source'!B657="","",IF('Data Source'!AA657&gt;=5,"A+",IF('Data Source'!AA657&gt;=4,"A",IF('Data Source'!AA657&gt;=3.5,"A-",IF('Data Source'!AA657&gt;=3,"B",IF('Data Source'!AA657&gt;=2,"C",IF('Data Source'!AA657&gt;=1,"D","F")))))))</f>
        <v/>
      </c>
      <c r="J657" s="3">
        <f>IF('Data Source'!B657="","",IF('Data Source'!AB657&gt;=5,"A+",IF('Data Source'!AB657&gt;=4,"A",IF('Data Source'!AB657&gt;=3.5,"A-",IF('Data Source'!AB657&gt;=3,"B",IF('Data Source'!AB657&gt;=2,"C",IF('Data Source'!AB657&gt;=1,"D","F")))))))</f>
        <v/>
      </c>
      <c r="K657" s="3">
        <f>IF('Data Source'!B657="","",IF('Data Source'!AC657&gt;=5,"A+",IF('Data Source'!AC657&gt;=4,"A",IF('Data Source'!AC657&gt;=3.5,"A-",IF('Data Source'!AC657&gt;=3,"B",IF('Data Source'!AC657&gt;=2,"C",IF('Data Source'!AC657&gt;=1,"D","F")))))))</f>
        <v/>
      </c>
      <c r="L657" s="3">
        <f>IF('Data Source'!B657="","",IF('Data Source'!AD657&gt;=5,"A+",IF('Data Source'!AD657&gt;=4,"A",IF('Data Source'!AD657&gt;=3.5,"A-",IF('Data Source'!AD657&gt;=3,"B",IF('Data Source'!AD657&gt;=2,"C",IF('Data Source'!AD657&gt;=1,"D","F")))))))</f>
        <v/>
      </c>
      <c r="M657" s="3">
        <f>IF('Data Source'!B657="","",IF('Data Source'!AE657&gt;=5,"A+",IF('Data Source'!AE657&gt;=4,"A",IF('Data Source'!AE657&gt;=3.5,"A-",IF('Data Source'!AE657&gt;=3,"B",IF('Data Source'!AE657&gt;=2,"C",IF('Data Source'!AE657&gt;=1,"D","F")))))))</f>
        <v/>
      </c>
      <c r="N657" s="3">
        <f>IF('Data Source'!B657="","",IF('Data Source'!AF657&gt;=5,"A+",IF('Data Source'!AF657&gt;=4,"A",IF('Data Source'!AF657&gt;=3.5,"A-",IF('Data Source'!AF657&gt;=3,"B",IF('Data Source'!AF657&gt;=2,"C",IF('Data Source'!AF657&gt;=1,"D","F")))))))</f>
        <v/>
      </c>
      <c r="O657" s="3">
        <f>IF('Data Source'!B657="","",IF('Data Source'!AG657&gt;=5,"A+",IF('Data Source'!AG657&gt;=4,"A",IF('Data Source'!AG657&gt;=3.5,"A-",IF('Data Source'!AG657&gt;=3,"B",IF('Data Source'!AG657&gt;=2,"C",IF('Data Source'!AG657&gt;=1,"D","F")))))))</f>
        <v/>
      </c>
      <c r="P657" s="5">
        <f>IF('Data Source'!B657="","",'Data Source'!R657)</f>
        <v/>
      </c>
      <c r="Q657" s="3">
        <f>IF('Data Source'!B657="","",'Data Source'!S657)</f>
        <v/>
      </c>
    </row>
    <row r="658">
      <c r="A658" s="3">
        <f>IF('Data Source'!B658="","",'Data Source'!A658)</f>
        <v/>
      </c>
      <c r="B658">
        <f>IF('Data Source'!B658="","",'Data Source'!B658)</f>
        <v/>
      </c>
      <c r="C658" s="3">
        <f>IF('Data Source'!B658="","",IF('Data Source'!U658&gt;=5,"A+",IF('Data Source'!U658&gt;=4,"A",IF('Data Source'!U658&gt;=3.5,"A-",IF('Data Source'!U658&gt;=3,"B",IF('Data Source'!U658&gt;=2,"C",IF('Data Source'!U658&gt;=1,"D","F")))))))</f>
        <v/>
      </c>
      <c r="D658" s="3">
        <f>IF('Data Source'!B658="","",IF('Data Source'!V658&gt;=5,"A+",IF('Data Source'!V658&gt;=4,"A",IF('Data Source'!V658&gt;=3.5,"A-",IF('Data Source'!V658&gt;=3,"B",IF('Data Source'!V658&gt;=2,"C",IF('Data Source'!V658&gt;=1,"D","F")))))))</f>
        <v/>
      </c>
      <c r="E658" s="3">
        <f>IF('Data Source'!B658="","",IF('Data Source'!W658&gt;=5,"A+",IF('Data Source'!W658&gt;=4,"A",IF('Data Source'!W658&gt;=3.5,"A-",IF('Data Source'!W658&gt;=3,"B",IF('Data Source'!W658&gt;=2,"C",IF('Data Source'!W658&gt;=1,"D","F")))))))</f>
        <v/>
      </c>
      <c r="F658" s="3">
        <f>IF('Data Source'!B658="","",IF('Data Source'!X658&gt;=5,"A+",IF('Data Source'!X658&gt;=4,"A",IF('Data Source'!X658&gt;=3.5,"A-",IF('Data Source'!X658&gt;=3,"B",IF('Data Source'!X658&gt;=2,"C",IF('Data Source'!X658&gt;=1,"D","F")))))))</f>
        <v/>
      </c>
      <c r="G658" s="3">
        <f>IF('Data Source'!B658="","",IF('Data Source'!Y658&gt;=5,"A+",IF('Data Source'!Y658&gt;=4,"A",IF('Data Source'!Y658&gt;=3.5,"A-",IF('Data Source'!Y658&gt;=3,"B",IF('Data Source'!Y658&gt;=2,"C",IF('Data Source'!Y658&gt;=1,"D","F")))))))</f>
        <v/>
      </c>
      <c r="H658" s="3">
        <f>IF('Data Source'!B658="","",IF('Data Source'!Z658&gt;=5,"A+",IF('Data Source'!Z658&gt;=4,"A",IF('Data Source'!Z658&gt;=3.5,"A-",IF('Data Source'!Z658&gt;=3,"B",IF('Data Source'!Z658&gt;=2,"C",IF('Data Source'!Z658&gt;=1,"D","F")))))))</f>
        <v/>
      </c>
      <c r="I658" s="3">
        <f>IF('Data Source'!B658="","",IF('Data Source'!AA658&gt;=5,"A+",IF('Data Source'!AA658&gt;=4,"A",IF('Data Source'!AA658&gt;=3.5,"A-",IF('Data Source'!AA658&gt;=3,"B",IF('Data Source'!AA658&gt;=2,"C",IF('Data Source'!AA658&gt;=1,"D","F")))))))</f>
        <v/>
      </c>
      <c r="J658" s="3">
        <f>IF('Data Source'!B658="","",IF('Data Source'!AB658&gt;=5,"A+",IF('Data Source'!AB658&gt;=4,"A",IF('Data Source'!AB658&gt;=3.5,"A-",IF('Data Source'!AB658&gt;=3,"B",IF('Data Source'!AB658&gt;=2,"C",IF('Data Source'!AB658&gt;=1,"D","F")))))))</f>
        <v/>
      </c>
      <c r="K658" s="3">
        <f>IF('Data Source'!B658="","",IF('Data Source'!AC658&gt;=5,"A+",IF('Data Source'!AC658&gt;=4,"A",IF('Data Source'!AC658&gt;=3.5,"A-",IF('Data Source'!AC658&gt;=3,"B",IF('Data Source'!AC658&gt;=2,"C",IF('Data Source'!AC658&gt;=1,"D","F")))))))</f>
        <v/>
      </c>
      <c r="L658" s="3">
        <f>IF('Data Source'!B658="","",IF('Data Source'!AD658&gt;=5,"A+",IF('Data Source'!AD658&gt;=4,"A",IF('Data Source'!AD658&gt;=3.5,"A-",IF('Data Source'!AD658&gt;=3,"B",IF('Data Source'!AD658&gt;=2,"C",IF('Data Source'!AD658&gt;=1,"D","F")))))))</f>
        <v/>
      </c>
      <c r="M658" s="3">
        <f>IF('Data Source'!B658="","",IF('Data Source'!AE658&gt;=5,"A+",IF('Data Source'!AE658&gt;=4,"A",IF('Data Source'!AE658&gt;=3.5,"A-",IF('Data Source'!AE658&gt;=3,"B",IF('Data Source'!AE658&gt;=2,"C",IF('Data Source'!AE658&gt;=1,"D","F")))))))</f>
        <v/>
      </c>
      <c r="N658" s="3">
        <f>IF('Data Source'!B658="","",IF('Data Source'!AF658&gt;=5,"A+",IF('Data Source'!AF658&gt;=4,"A",IF('Data Source'!AF658&gt;=3.5,"A-",IF('Data Source'!AF658&gt;=3,"B",IF('Data Source'!AF658&gt;=2,"C",IF('Data Source'!AF658&gt;=1,"D","F")))))))</f>
        <v/>
      </c>
      <c r="O658" s="3">
        <f>IF('Data Source'!B658="","",IF('Data Source'!AG658&gt;=5,"A+",IF('Data Source'!AG658&gt;=4,"A",IF('Data Source'!AG658&gt;=3.5,"A-",IF('Data Source'!AG658&gt;=3,"B",IF('Data Source'!AG658&gt;=2,"C",IF('Data Source'!AG658&gt;=1,"D","F")))))))</f>
        <v/>
      </c>
      <c r="P658" s="5">
        <f>IF('Data Source'!B658="","",'Data Source'!R658)</f>
        <v/>
      </c>
      <c r="Q658" s="3">
        <f>IF('Data Source'!B658="","",'Data Source'!S658)</f>
        <v/>
      </c>
    </row>
    <row r="659">
      <c r="A659" s="3">
        <f>IF('Data Source'!B659="","",'Data Source'!A659)</f>
        <v/>
      </c>
      <c r="B659">
        <f>IF('Data Source'!B659="","",'Data Source'!B659)</f>
        <v/>
      </c>
      <c r="C659" s="3">
        <f>IF('Data Source'!B659="","",IF('Data Source'!U659&gt;=5,"A+",IF('Data Source'!U659&gt;=4,"A",IF('Data Source'!U659&gt;=3.5,"A-",IF('Data Source'!U659&gt;=3,"B",IF('Data Source'!U659&gt;=2,"C",IF('Data Source'!U659&gt;=1,"D","F")))))))</f>
        <v/>
      </c>
      <c r="D659" s="3">
        <f>IF('Data Source'!B659="","",IF('Data Source'!V659&gt;=5,"A+",IF('Data Source'!V659&gt;=4,"A",IF('Data Source'!V659&gt;=3.5,"A-",IF('Data Source'!V659&gt;=3,"B",IF('Data Source'!V659&gt;=2,"C",IF('Data Source'!V659&gt;=1,"D","F")))))))</f>
        <v/>
      </c>
      <c r="E659" s="3">
        <f>IF('Data Source'!B659="","",IF('Data Source'!W659&gt;=5,"A+",IF('Data Source'!W659&gt;=4,"A",IF('Data Source'!W659&gt;=3.5,"A-",IF('Data Source'!W659&gt;=3,"B",IF('Data Source'!W659&gt;=2,"C",IF('Data Source'!W659&gt;=1,"D","F")))))))</f>
        <v/>
      </c>
      <c r="F659" s="3">
        <f>IF('Data Source'!B659="","",IF('Data Source'!X659&gt;=5,"A+",IF('Data Source'!X659&gt;=4,"A",IF('Data Source'!X659&gt;=3.5,"A-",IF('Data Source'!X659&gt;=3,"B",IF('Data Source'!X659&gt;=2,"C",IF('Data Source'!X659&gt;=1,"D","F")))))))</f>
        <v/>
      </c>
      <c r="G659" s="3">
        <f>IF('Data Source'!B659="","",IF('Data Source'!Y659&gt;=5,"A+",IF('Data Source'!Y659&gt;=4,"A",IF('Data Source'!Y659&gt;=3.5,"A-",IF('Data Source'!Y659&gt;=3,"B",IF('Data Source'!Y659&gt;=2,"C",IF('Data Source'!Y659&gt;=1,"D","F")))))))</f>
        <v/>
      </c>
      <c r="H659" s="3">
        <f>IF('Data Source'!B659="","",IF('Data Source'!Z659&gt;=5,"A+",IF('Data Source'!Z659&gt;=4,"A",IF('Data Source'!Z659&gt;=3.5,"A-",IF('Data Source'!Z659&gt;=3,"B",IF('Data Source'!Z659&gt;=2,"C",IF('Data Source'!Z659&gt;=1,"D","F")))))))</f>
        <v/>
      </c>
      <c r="I659" s="3">
        <f>IF('Data Source'!B659="","",IF('Data Source'!AA659&gt;=5,"A+",IF('Data Source'!AA659&gt;=4,"A",IF('Data Source'!AA659&gt;=3.5,"A-",IF('Data Source'!AA659&gt;=3,"B",IF('Data Source'!AA659&gt;=2,"C",IF('Data Source'!AA659&gt;=1,"D","F")))))))</f>
        <v/>
      </c>
      <c r="J659" s="3">
        <f>IF('Data Source'!B659="","",IF('Data Source'!AB659&gt;=5,"A+",IF('Data Source'!AB659&gt;=4,"A",IF('Data Source'!AB659&gt;=3.5,"A-",IF('Data Source'!AB659&gt;=3,"B",IF('Data Source'!AB659&gt;=2,"C",IF('Data Source'!AB659&gt;=1,"D","F")))))))</f>
        <v/>
      </c>
      <c r="K659" s="3">
        <f>IF('Data Source'!B659="","",IF('Data Source'!AC659&gt;=5,"A+",IF('Data Source'!AC659&gt;=4,"A",IF('Data Source'!AC659&gt;=3.5,"A-",IF('Data Source'!AC659&gt;=3,"B",IF('Data Source'!AC659&gt;=2,"C",IF('Data Source'!AC659&gt;=1,"D","F")))))))</f>
        <v/>
      </c>
      <c r="L659" s="3">
        <f>IF('Data Source'!B659="","",IF('Data Source'!AD659&gt;=5,"A+",IF('Data Source'!AD659&gt;=4,"A",IF('Data Source'!AD659&gt;=3.5,"A-",IF('Data Source'!AD659&gt;=3,"B",IF('Data Source'!AD659&gt;=2,"C",IF('Data Source'!AD659&gt;=1,"D","F")))))))</f>
        <v/>
      </c>
      <c r="M659" s="3">
        <f>IF('Data Source'!B659="","",IF('Data Source'!AE659&gt;=5,"A+",IF('Data Source'!AE659&gt;=4,"A",IF('Data Source'!AE659&gt;=3.5,"A-",IF('Data Source'!AE659&gt;=3,"B",IF('Data Source'!AE659&gt;=2,"C",IF('Data Source'!AE659&gt;=1,"D","F")))))))</f>
        <v/>
      </c>
      <c r="N659" s="3">
        <f>IF('Data Source'!B659="","",IF('Data Source'!AF659&gt;=5,"A+",IF('Data Source'!AF659&gt;=4,"A",IF('Data Source'!AF659&gt;=3.5,"A-",IF('Data Source'!AF659&gt;=3,"B",IF('Data Source'!AF659&gt;=2,"C",IF('Data Source'!AF659&gt;=1,"D","F")))))))</f>
        <v/>
      </c>
      <c r="O659" s="3">
        <f>IF('Data Source'!B659="","",IF('Data Source'!AG659&gt;=5,"A+",IF('Data Source'!AG659&gt;=4,"A",IF('Data Source'!AG659&gt;=3.5,"A-",IF('Data Source'!AG659&gt;=3,"B",IF('Data Source'!AG659&gt;=2,"C",IF('Data Source'!AG659&gt;=1,"D","F")))))))</f>
        <v/>
      </c>
      <c r="P659" s="5">
        <f>IF('Data Source'!B659="","",'Data Source'!R659)</f>
        <v/>
      </c>
      <c r="Q659" s="3">
        <f>IF('Data Source'!B659="","",'Data Source'!S659)</f>
        <v/>
      </c>
    </row>
    <row r="660">
      <c r="A660" s="3">
        <f>IF('Data Source'!B660="","",'Data Source'!A660)</f>
        <v/>
      </c>
      <c r="B660">
        <f>IF('Data Source'!B660="","",'Data Source'!B660)</f>
        <v/>
      </c>
      <c r="C660" s="3">
        <f>IF('Data Source'!B660="","",IF('Data Source'!U660&gt;=5,"A+",IF('Data Source'!U660&gt;=4,"A",IF('Data Source'!U660&gt;=3.5,"A-",IF('Data Source'!U660&gt;=3,"B",IF('Data Source'!U660&gt;=2,"C",IF('Data Source'!U660&gt;=1,"D","F")))))))</f>
        <v/>
      </c>
      <c r="D660" s="3">
        <f>IF('Data Source'!B660="","",IF('Data Source'!V660&gt;=5,"A+",IF('Data Source'!V660&gt;=4,"A",IF('Data Source'!V660&gt;=3.5,"A-",IF('Data Source'!V660&gt;=3,"B",IF('Data Source'!V660&gt;=2,"C",IF('Data Source'!V660&gt;=1,"D","F")))))))</f>
        <v/>
      </c>
      <c r="E660" s="3">
        <f>IF('Data Source'!B660="","",IF('Data Source'!W660&gt;=5,"A+",IF('Data Source'!W660&gt;=4,"A",IF('Data Source'!W660&gt;=3.5,"A-",IF('Data Source'!W660&gt;=3,"B",IF('Data Source'!W660&gt;=2,"C",IF('Data Source'!W660&gt;=1,"D","F")))))))</f>
        <v/>
      </c>
      <c r="F660" s="3">
        <f>IF('Data Source'!B660="","",IF('Data Source'!X660&gt;=5,"A+",IF('Data Source'!X660&gt;=4,"A",IF('Data Source'!X660&gt;=3.5,"A-",IF('Data Source'!X660&gt;=3,"B",IF('Data Source'!X660&gt;=2,"C",IF('Data Source'!X660&gt;=1,"D","F")))))))</f>
        <v/>
      </c>
      <c r="G660" s="3">
        <f>IF('Data Source'!B660="","",IF('Data Source'!Y660&gt;=5,"A+",IF('Data Source'!Y660&gt;=4,"A",IF('Data Source'!Y660&gt;=3.5,"A-",IF('Data Source'!Y660&gt;=3,"B",IF('Data Source'!Y660&gt;=2,"C",IF('Data Source'!Y660&gt;=1,"D","F")))))))</f>
        <v/>
      </c>
      <c r="H660" s="3">
        <f>IF('Data Source'!B660="","",IF('Data Source'!Z660&gt;=5,"A+",IF('Data Source'!Z660&gt;=4,"A",IF('Data Source'!Z660&gt;=3.5,"A-",IF('Data Source'!Z660&gt;=3,"B",IF('Data Source'!Z660&gt;=2,"C",IF('Data Source'!Z660&gt;=1,"D","F")))))))</f>
        <v/>
      </c>
      <c r="I660" s="3">
        <f>IF('Data Source'!B660="","",IF('Data Source'!AA660&gt;=5,"A+",IF('Data Source'!AA660&gt;=4,"A",IF('Data Source'!AA660&gt;=3.5,"A-",IF('Data Source'!AA660&gt;=3,"B",IF('Data Source'!AA660&gt;=2,"C",IF('Data Source'!AA660&gt;=1,"D","F")))))))</f>
        <v/>
      </c>
      <c r="J660" s="3">
        <f>IF('Data Source'!B660="","",IF('Data Source'!AB660&gt;=5,"A+",IF('Data Source'!AB660&gt;=4,"A",IF('Data Source'!AB660&gt;=3.5,"A-",IF('Data Source'!AB660&gt;=3,"B",IF('Data Source'!AB660&gt;=2,"C",IF('Data Source'!AB660&gt;=1,"D","F")))))))</f>
        <v/>
      </c>
      <c r="K660" s="3">
        <f>IF('Data Source'!B660="","",IF('Data Source'!AC660&gt;=5,"A+",IF('Data Source'!AC660&gt;=4,"A",IF('Data Source'!AC660&gt;=3.5,"A-",IF('Data Source'!AC660&gt;=3,"B",IF('Data Source'!AC660&gt;=2,"C",IF('Data Source'!AC660&gt;=1,"D","F")))))))</f>
        <v/>
      </c>
      <c r="L660" s="3">
        <f>IF('Data Source'!B660="","",IF('Data Source'!AD660&gt;=5,"A+",IF('Data Source'!AD660&gt;=4,"A",IF('Data Source'!AD660&gt;=3.5,"A-",IF('Data Source'!AD660&gt;=3,"B",IF('Data Source'!AD660&gt;=2,"C",IF('Data Source'!AD660&gt;=1,"D","F")))))))</f>
        <v/>
      </c>
      <c r="M660" s="3">
        <f>IF('Data Source'!B660="","",IF('Data Source'!AE660&gt;=5,"A+",IF('Data Source'!AE660&gt;=4,"A",IF('Data Source'!AE660&gt;=3.5,"A-",IF('Data Source'!AE660&gt;=3,"B",IF('Data Source'!AE660&gt;=2,"C",IF('Data Source'!AE660&gt;=1,"D","F")))))))</f>
        <v/>
      </c>
      <c r="N660" s="3">
        <f>IF('Data Source'!B660="","",IF('Data Source'!AF660&gt;=5,"A+",IF('Data Source'!AF660&gt;=4,"A",IF('Data Source'!AF660&gt;=3.5,"A-",IF('Data Source'!AF660&gt;=3,"B",IF('Data Source'!AF660&gt;=2,"C",IF('Data Source'!AF660&gt;=1,"D","F")))))))</f>
        <v/>
      </c>
      <c r="O660" s="3">
        <f>IF('Data Source'!B660="","",IF('Data Source'!AG660&gt;=5,"A+",IF('Data Source'!AG660&gt;=4,"A",IF('Data Source'!AG660&gt;=3.5,"A-",IF('Data Source'!AG660&gt;=3,"B",IF('Data Source'!AG660&gt;=2,"C",IF('Data Source'!AG660&gt;=1,"D","F")))))))</f>
        <v/>
      </c>
      <c r="P660" s="5">
        <f>IF('Data Source'!B660="","",'Data Source'!R660)</f>
        <v/>
      </c>
      <c r="Q660" s="3">
        <f>IF('Data Source'!B660="","",'Data Source'!S660)</f>
        <v/>
      </c>
    </row>
    <row r="661">
      <c r="A661" s="3">
        <f>IF('Data Source'!B661="","",'Data Source'!A661)</f>
        <v/>
      </c>
      <c r="B661">
        <f>IF('Data Source'!B661="","",'Data Source'!B661)</f>
        <v/>
      </c>
      <c r="C661" s="3">
        <f>IF('Data Source'!B661="","",IF('Data Source'!U661&gt;=5,"A+",IF('Data Source'!U661&gt;=4,"A",IF('Data Source'!U661&gt;=3.5,"A-",IF('Data Source'!U661&gt;=3,"B",IF('Data Source'!U661&gt;=2,"C",IF('Data Source'!U661&gt;=1,"D","F")))))))</f>
        <v/>
      </c>
      <c r="D661" s="3">
        <f>IF('Data Source'!B661="","",IF('Data Source'!V661&gt;=5,"A+",IF('Data Source'!V661&gt;=4,"A",IF('Data Source'!V661&gt;=3.5,"A-",IF('Data Source'!V661&gt;=3,"B",IF('Data Source'!V661&gt;=2,"C",IF('Data Source'!V661&gt;=1,"D","F")))))))</f>
        <v/>
      </c>
      <c r="E661" s="3">
        <f>IF('Data Source'!B661="","",IF('Data Source'!W661&gt;=5,"A+",IF('Data Source'!W661&gt;=4,"A",IF('Data Source'!W661&gt;=3.5,"A-",IF('Data Source'!W661&gt;=3,"B",IF('Data Source'!W661&gt;=2,"C",IF('Data Source'!W661&gt;=1,"D","F")))))))</f>
        <v/>
      </c>
      <c r="F661" s="3">
        <f>IF('Data Source'!B661="","",IF('Data Source'!X661&gt;=5,"A+",IF('Data Source'!X661&gt;=4,"A",IF('Data Source'!X661&gt;=3.5,"A-",IF('Data Source'!X661&gt;=3,"B",IF('Data Source'!X661&gt;=2,"C",IF('Data Source'!X661&gt;=1,"D","F")))))))</f>
        <v/>
      </c>
      <c r="G661" s="3">
        <f>IF('Data Source'!B661="","",IF('Data Source'!Y661&gt;=5,"A+",IF('Data Source'!Y661&gt;=4,"A",IF('Data Source'!Y661&gt;=3.5,"A-",IF('Data Source'!Y661&gt;=3,"B",IF('Data Source'!Y661&gt;=2,"C",IF('Data Source'!Y661&gt;=1,"D","F")))))))</f>
        <v/>
      </c>
      <c r="H661" s="3">
        <f>IF('Data Source'!B661="","",IF('Data Source'!Z661&gt;=5,"A+",IF('Data Source'!Z661&gt;=4,"A",IF('Data Source'!Z661&gt;=3.5,"A-",IF('Data Source'!Z661&gt;=3,"B",IF('Data Source'!Z661&gt;=2,"C",IF('Data Source'!Z661&gt;=1,"D","F")))))))</f>
        <v/>
      </c>
      <c r="I661" s="3">
        <f>IF('Data Source'!B661="","",IF('Data Source'!AA661&gt;=5,"A+",IF('Data Source'!AA661&gt;=4,"A",IF('Data Source'!AA661&gt;=3.5,"A-",IF('Data Source'!AA661&gt;=3,"B",IF('Data Source'!AA661&gt;=2,"C",IF('Data Source'!AA661&gt;=1,"D","F")))))))</f>
        <v/>
      </c>
      <c r="J661" s="3">
        <f>IF('Data Source'!B661="","",IF('Data Source'!AB661&gt;=5,"A+",IF('Data Source'!AB661&gt;=4,"A",IF('Data Source'!AB661&gt;=3.5,"A-",IF('Data Source'!AB661&gt;=3,"B",IF('Data Source'!AB661&gt;=2,"C",IF('Data Source'!AB661&gt;=1,"D","F")))))))</f>
        <v/>
      </c>
      <c r="K661" s="3">
        <f>IF('Data Source'!B661="","",IF('Data Source'!AC661&gt;=5,"A+",IF('Data Source'!AC661&gt;=4,"A",IF('Data Source'!AC661&gt;=3.5,"A-",IF('Data Source'!AC661&gt;=3,"B",IF('Data Source'!AC661&gt;=2,"C",IF('Data Source'!AC661&gt;=1,"D","F")))))))</f>
        <v/>
      </c>
      <c r="L661" s="3">
        <f>IF('Data Source'!B661="","",IF('Data Source'!AD661&gt;=5,"A+",IF('Data Source'!AD661&gt;=4,"A",IF('Data Source'!AD661&gt;=3.5,"A-",IF('Data Source'!AD661&gt;=3,"B",IF('Data Source'!AD661&gt;=2,"C",IF('Data Source'!AD661&gt;=1,"D","F")))))))</f>
        <v/>
      </c>
      <c r="M661" s="3">
        <f>IF('Data Source'!B661="","",IF('Data Source'!AE661&gt;=5,"A+",IF('Data Source'!AE661&gt;=4,"A",IF('Data Source'!AE661&gt;=3.5,"A-",IF('Data Source'!AE661&gt;=3,"B",IF('Data Source'!AE661&gt;=2,"C",IF('Data Source'!AE661&gt;=1,"D","F")))))))</f>
        <v/>
      </c>
      <c r="N661" s="3">
        <f>IF('Data Source'!B661="","",IF('Data Source'!AF661&gt;=5,"A+",IF('Data Source'!AF661&gt;=4,"A",IF('Data Source'!AF661&gt;=3.5,"A-",IF('Data Source'!AF661&gt;=3,"B",IF('Data Source'!AF661&gt;=2,"C",IF('Data Source'!AF661&gt;=1,"D","F")))))))</f>
        <v/>
      </c>
      <c r="O661" s="3">
        <f>IF('Data Source'!B661="","",IF('Data Source'!AG661&gt;=5,"A+",IF('Data Source'!AG661&gt;=4,"A",IF('Data Source'!AG661&gt;=3.5,"A-",IF('Data Source'!AG661&gt;=3,"B",IF('Data Source'!AG661&gt;=2,"C",IF('Data Source'!AG661&gt;=1,"D","F")))))))</f>
        <v/>
      </c>
      <c r="P661" s="5">
        <f>IF('Data Source'!B661="","",'Data Source'!R661)</f>
        <v/>
      </c>
      <c r="Q661" s="3">
        <f>IF('Data Source'!B661="","",'Data Source'!S661)</f>
        <v/>
      </c>
    </row>
    <row r="662">
      <c r="A662" s="3">
        <f>IF('Data Source'!B662="","",'Data Source'!A662)</f>
        <v/>
      </c>
      <c r="B662">
        <f>IF('Data Source'!B662="","",'Data Source'!B662)</f>
        <v/>
      </c>
      <c r="C662" s="3">
        <f>IF('Data Source'!B662="","",IF('Data Source'!U662&gt;=5,"A+",IF('Data Source'!U662&gt;=4,"A",IF('Data Source'!U662&gt;=3.5,"A-",IF('Data Source'!U662&gt;=3,"B",IF('Data Source'!U662&gt;=2,"C",IF('Data Source'!U662&gt;=1,"D","F")))))))</f>
        <v/>
      </c>
      <c r="D662" s="3">
        <f>IF('Data Source'!B662="","",IF('Data Source'!V662&gt;=5,"A+",IF('Data Source'!V662&gt;=4,"A",IF('Data Source'!V662&gt;=3.5,"A-",IF('Data Source'!V662&gt;=3,"B",IF('Data Source'!V662&gt;=2,"C",IF('Data Source'!V662&gt;=1,"D","F")))))))</f>
        <v/>
      </c>
      <c r="E662" s="3">
        <f>IF('Data Source'!B662="","",IF('Data Source'!W662&gt;=5,"A+",IF('Data Source'!W662&gt;=4,"A",IF('Data Source'!W662&gt;=3.5,"A-",IF('Data Source'!W662&gt;=3,"B",IF('Data Source'!W662&gt;=2,"C",IF('Data Source'!W662&gt;=1,"D","F")))))))</f>
        <v/>
      </c>
      <c r="F662" s="3">
        <f>IF('Data Source'!B662="","",IF('Data Source'!X662&gt;=5,"A+",IF('Data Source'!X662&gt;=4,"A",IF('Data Source'!X662&gt;=3.5,"A-",IF('Data Source'!X662&gt;=3,"B",IF('Data Source'!X662&gt;=2,"C",IF('Data Source'!X662&gt;=1,"D","F")))))))</f>
        <v/>
      </c>
      <c r="G662" s="3">
        <f>IF('Data Source'!B662="","",IF('Data Source'!Y662&gt;=5,"A+",IF('Data Source'!Y662&gt;=4,"A",IF('Data Source'!Y662&gt;=3.5,"A-",IF('Data Source'!Y662&gt;=3,"B",IF('Data Source'!Y662&gt;=2,"C",IF('Data Source'!Y662&gt;=1,"D","F")))))))</f>
        <v/>
      </c>
      <c r="H662" s="3">
        <f>IF('Data Source'!B662="","",IF('Data Source'!Z662&gt;=5,"A+",IF('Data Source'!Z662&gt;=4,"A",IF('Data Source'!Z662&gt;=3.5,"A-",IF('Data Source'!Z662&gt;=3,"B",IF('Data Source'!Z662&gt;=2,"C",IF('Data Source'!Z662&gt;=1,"D","F")))))))</f>
        <v/>
      </c>
      <c r="I662" s="3">
        <f>IF('Data Source'!B662="","",IF('Data Source'!AA662&gt;=5,"A+",IF('Data Source'!AA662&gt;=4,"A",IF('Data Source'!AA662&gt;=3.5,"A-",IF('Data Source'!AA662&gt;=3,"B",IF('Data Source'!AA662&gt;=2,"C",IF('Data Source'!AA662&gt;=1,"D","F")))))))</f>
        <v/>
      </c>
      <c r="J662" s="3">
        <f>IF('Data Source'!B662="","",IF('Data Source'!AB662&gt;=5,"A+",IF('Data Source'!AB662&gt;=4,"A",IF('Data Source'!AB662&gt;=3.5,"A-",IF('Data Source'!AB662&gt;=3,"B",IF('Data Source'!AB662&gt;=2,"C",IF('Data Source'!AB662&gt;=1,"D","F")))))))</f>
        <v/>
      </c>
      <c r="K662" s="3">
        <f>IF('Data Source'!B662="","",IF('Data Source'!AC662&gt;=5,"A+",IF('Data Source'!AC662&gt;=4,"A",IF('Data Source'!AC662&gt;=3.5,"A-",IF('Data Source'!AC662&gt;=3,"B",IF('Data Source'!AC662&gt;=2,"C",IF('Data Source'!AC662&gt;=1,"D","F")))))))</f>
        <v/>
      </c>
      <c r="L662" s="3">
        <f>IF('Data Source'!B662="","",IF('Data Source'!AD662&gt;=5,"A+",IF('Data Source'!AD662&gt;=4,"A",IF('Data Source'!AD662&gt;=3.5,"A-",IF('Data Source'!AD662&gt;=3,"B",IF('Data Source'!AD662&gt;=2,"C",IF('Data Source'!AD662&gt;=1,"D","F")))))))</f>
        <v/>
      </c>
      <c r="M662" s="3">
        <f>IF('Data Source'!B662="","",IF('Data Source'!AE662&gt;=5,"A+",IF('Data Source'!AE662&gt;=4,"A",IF('Data Source'!AE662&gt;=3.5,"A-",IF('Data Source'!AE662&gt;=3,"B",IF('Data Source'!AE662&gt;=2,"C",IF('Data Source'!AE662&gt;=1,"D","F")))))))</f>
        <v/>
      </c>
      <c r="N662" s="3">
        <f>IF('Data Source'!B662="","",IF('Data Source'!AF662&gt;=5,"A+",IF('Data Source'!AF662&gt;=4,"A",IF('Data Source'!AF662&gt;=3.5,"A-",IF('Data Source'!AF662&gt;=3,"B",IF('Data Source'!AF662&gt;=2,"C",IF('Data Source'!AF662&gt;=1,"D","F")))))))</f>
        <v/>
      </c>
      <c r="O662" s="3">
        <f>IF('Data Source'!B662="","",IF('Data Source'!AG662&gt;=5,"A+",IF('Data Source'!AG662&gt;=4,"A",IF('Data Source'!AG662&gt;=3.5,"A-",IF('Data Source'!AG662&gt;=3,"B",IF('Data Source'!AG662&gt;=2,"C",IF('Data Source'!AG662&gt;=1,"D","F")))))))</f>
        <v/>
      </c>
      <c r="P662" s="5">
        <f>IF('Data Source'!B662="","",'Data Source'!R662)</f>
        <v/>
      </c>
      <c r="Q662" s="3">
        <f>IF('Data Source'!B662="","",'Data Source'!S662)</f>
        <v/>
      </c>
    </row>
    <row r="663">
      <c r="A663" s="3">
        <f>IF('Data Source'!B663="","",'Data Source'!A663)</f>
        <v/>
      </c>
      <c r="B663">
        <f>IF('Data Source'!B663="","",'Data Source'!B663)</f>
        <v/>
      </c>
      <c r="C663" s="3">
        <f>IF('Data Source'!B663="","",IF('Data Source'!U663&gt;=5,"A+",IF('Data Source'!U663&gt;=4,"A",IF('Data Source'!U663&gt;=3.5,"A-",IF('Data Source'!U663&gt;=3,"B",IF('Data Source'!U663&gt;=2,"C",IF('Data Source'!U663&gt;=1,"D","F")))))))</f>
        <v/>
      </c>
      <c r="D663" s="3">
        <f>IF('Data Source'!B663="","",IF('Data Source'!V663&gt;=5,"A+",IF('Data Source'!V663&gt;=4,"A",IF('Data Source'!V663&gt;=3.5,"A-",IF('Data Source'!V663&gt;=3,"B",IF('Data Source'!V663&gt;=2,"C",IF('Data Source'!V663&gt;=1,"D","F")))))))</f>
        <v/>
      </c>
      <c r="E663" s="3">
        <f>IF('Data Source'!B663="","",IF('Data Source'!W663&gt;=5,"A+",IF('Data Source'!W663&gt;=4,"A",IF('Data Source'!W663&gt;=3.5,"A-",IF('Data Source'!W663&gt;=3,"B",IF('Data Source'!W663&gt;=2,"C",IF('Data Source'!W663&gt;=1,"D","F")))))))</f>
        <v/>
      </c>
      <c r="F663" s="3">
        <f>IF('Data Source'!B663="","",IF('Data Source'!X663&gt;=5,"A+",IF('Data Source'!X663&gt;=4,"A",IF('Data Source'!X663&gt;=3.5,"A-",IF('Data Source'!X663&gt;=3,"B",IF('Data Source'!X663&gt;=2,"C",IF('Data Source'!X663&gt;=1,"D","F")))))))</f>
        <v/>
      </c>
      <c r="G663" s="3">
        <f>IF('Data Source'!B663="","",IF('Data Source'!Y663&gt;=5,"A+",IF('Data Source'!Y663&gt;=4,"A",IF('Data Source'!Y663&gt;=3.5,"A-",IF('Data Source'!Y663&gt;=3,"B",IF('Data Source'!Y663&gt;=2,"C",IF('Data Source'!Y663&gt;=1,"D","F")))))))</f>
        <v/>
      </c>
      <c r="H663" s="3">
        <f>IF('Data Source'!B663="","",IF('Data Source'!Z663&gt;=5,"A+",IF('Data Source'!Z663&gt;=4,"A",IF('Data Source'!Z663&gt;=3.5,"A-",IF('Data Source'!Z663&gt;=3,"B",IF('Data Source'!Z663&gt;=2,"C",IF('Data Source'!Z663&gt;=1,"D","F")))))))</f>
        <v/>
      </c>
      <c r="I663" s="3">
        <f>IF('Data Source'!B663="","",IF('Data Source'!AA663&gt;=5,"A+",IF('Data Source'!AA663&gt;=4,"A",IF('Data Source'!AA663&gt;=3.5,"A-",IF('Data Source'!AA663&gt;=3,"B",IF('Data Source'!AA663&gt;=2,"C",IF('Data Source'!AA663&gt;=1,"D","F")))))))</f>
        <v/>
      </c>
      <c r="J663" s="3">
        <f>IF('Data Source'!B663="","",IF('Data Source'!AB663&gt;=5,"A+",IF('Data Source'!AB663&gt;=4,"A",IF('Data Source'!AB663&gt;=3.5,"A-",IF('Data Source'!AB663&gt;=3,"B",IF('Data Source'!AB663&gt;=2,"C",IF('Data Source'!AB663&gt;=1,"D","F")))))))</f>
        <v/>
      </c>
      <c r="K663" s="3">
        <f>IF('Data Source'!B663="","",IF('Data Source'!AC663&gt;=5,"A+",IF('Data Source'!AC663&gt;=4,"A",IF('Data Source'!AC663&gt;=3.5,"A-",IF('Data Source'!AC663&gt;=3,"B",IF('Data Source'!AC663&gt;=2,"C",IF('Data Source'!AC663&gt;=1,"D","F")))))))</f>
        <v/>
      </c>
      <c r="L663" s="3">
        <f>IF('Data Source'!B663="","",IF('Data Source'!AD663&gt;=5,"A+",IF('Data Source'!AD663&gt;=4,"A",IF('Data Source'!AD663&gt;=3.5,"A-",IF('Data Source'!AD663&gt;=3,"B",IF('Data Source'!AD663&gt;=2,"C",IF('Data Source'!AD663&gt;=1,"D","F")))))))</f>
        <v/>
      </c>
      <c r="M663" s="3">
        <f>IF('Data Source'!B663="","",IF('Data Source'!AE663&gt;=5,"A+",IF('Data Source'!AE663&gt;=4,"A",IF('Data Source'!AE663&gt;=3.5,"A-",IF('Data Source'!AE663&gt;=3,"B",IF('Data Source'!AE663&gt;=2,"C",IF('Data Source'!AE663&gt;=1,"D","F")))))))</f>
        <v/>
      </c>
      <c r="N663" s="3">
        <f>IF('Data Source'!B663="","",IF('Data Source'!AF663&gt;=5,"A+",IF('Data Source'!AF663&gt;=4,"A",IF('Data Source'!AF663&gt;=3.5,"A-",IF('Data Source'!AF663&gt;=3,"B",IF('Data Source'!AF663&gt;=2,"C",IF('Data Source'!AF663&gt;=1,"D","F")))))))</f>
        <v/>
      </c>
      <c r="O663" s="3">
        <f>IF('Data Source'!B663="","",IF('Data Source'!AG663&gt;=5,"A+",IF('Data Source'!AG663&gt;=4,"A",IF('Data Source'!AG663&gt;=3.5,"A-",IF('Data Source'!AG663&gt;=3,"B",IF('Data Source'!AG663&gt;=2,"C",IF('Data Source'!AG663&gt;=1,"D","F")))))))</f>
        <v/>
      </c>
      <c r="P663" s="5">
        <f>IF('Data Source'!B663="","",'Data Source'!R663)</f>
        <v/>
      </c>
      <c r="Q663" s="3">
        <f>IF('Data Source'!B663="","",'Data Source'!S663)</f>
        <v/>
      </c>
    </row>
    <row r="664">
      <c r="A664" s="3">
        <f>IF('Data Source'!B664="","",'Data Source'!A664)</f>
        <v/>
      </c>
      <c r="B664">
        <f>IF('Data Source'!B664="","",'Data Source'!B664)</f>
        <v/>
      </c>
      <c r="C664" s="3">
        <f>IF('Data Source'!B664="","",IF('Data Source'!U664&gt;=5,"A+",IF('Data Source'!U664&gt;=4,"A",IF('Data Source'!U664&gt;=3.5,"A-",IF('Data Source'!U664&gt;=3,"B",IF('Data Source'!U664&gt;=2,"C",IF('Data Source'!U664&gt;=1,"D","F")))))))</f>
        <v/>
      </c>
      <c r="D664" s="3">
        <f>IF('Data Source'!B664="","",IF('Data Source'!V664&gt;=5,"A+",IF('Data Source'!V664&gt;=4,"A",IF('Data Source'!V664&gt;=3.5,"A-",IF('Data Source'!V664&gt;=3,"B",IF('Data Source'!V664&gt;=2,"C",IF('Data Source'!V664&gt;=1,"D","F")))))))</f>
        <v/>
      </c>
      <c r="E664" s="3">
        <f>IF('Data Source'!B664="","",IF('Data Source'!W664&gt;=5,"A+",IF('Data Source'!W664&gt;=4,"A",IF('Data Source'!W664&gt;=3.5,"A-",IF('Data Source'!W664&gt;=3,"B",IF('Data Source'!W664&gt;=2,"C",IF('Data Source'!W664&gt;=1,"D","F")))))))</f>
        <v/>
      </c>
      <c r="F664" s="3">
        <f>IF('Data Source'!B664="","",IF('Data Source'!X664&gt;=5,"A+",IF('Data Source'!X664&gt;=4,"A",IF('Data Source'!X664&gt;=3.5,"A-",IF('Data Source'!X664&gt;=3,"B",IF('Data Source'!X664&gt;=2,"C",IF('Data Source'!X664&gt;=1,"D","F")))))))</f>
        <v/>
      </c>
      <c r="G664" s="3">
        <f>IF('Data Source'!B664="","",IF('Data Source'!Y664&gt;=5,"A+",IF('Data Source'!Y664&gt;=4,"A",IF('Data Source'!Y664&gt;=3.5,"A-",IF('Data Source'!Y664&gt;=3,"B",IF('Data Source'!Y664&gt;=2,"C",IF('Data Source'!Y664&gt;=1,"D","F")))))))</f>
        <v/>
      </c>
      <c r="H664" s="3">
        <f>IF('Data Source'!B664="","",IF('Data Source'!Z664&gt;=5,"A+",IF('Data Source'!Z664&gt;=4,"A",IF('Data Source'!Z664&gt;=3.5,"A-",IF('Data Source'!Z664&gt;=3,"B",IF('Data Source'!Z664&gt;=2,"C",IF('Data Source'!Z664&gt;=1,"D","F")))))))</f>
        <v/>
      </c>
      <c r="I664" s="3">
        <f>IF('Data Source'!B664="","",IF('Data Source'!AA664&gt;=5,"A+",IF('Data Source'!AA664&gt;=4,"A",IF('Data Source'!AA664&gt;=3.5,"A-",IF('Data Source'!AA664&gt;=3,"B",IF('Data Source'!AA664&gt;=2,"C",IF('Data Source'!AA664&gt;=1,"D","F")))))))</f>
        <v/>
      </c>
      <c r="J664" s="3">
        <f>IF('Data Source'!B664="","",IF('Data Source'!AB664&gt;=5,"A+",IF('Data Source'!AB664&gt;=4,"A",IF('Data Source'!AB664&gt;=3.5,"A-",IF('Data Source'!AB664&gt;=3,"B",IF('Data Source'!AB664&gt;=2,"C",IF('Data Source'!AB664&gt;=1,"D","F")))))))</f>
        <v/>
      </c>
      <c r="K664" s="3">
        <f>IF('Data Source'!B664="","",IF('Data Source'!AC664&gt;=5,"A+",IF('Data Source'!AC664&gt;=4,"A",IF('Data Source'!AC664&gt;=3.5,"A-",IF('Data Source'!AC664&gt;=3,"B",IF('Data Source'!AC664&gt;=2,"C",IF('Data Source'!AC664&gt;=1,"D","F")))))))</f>
        <v/>
      </c>
      <c r="L664" s="3">
        <f>IF('Data Source'!B664="","",IF('Data Source'!AD664&gt;=5,"A+",IF('Data Source'!AD664&gt;=4,"A",IF('Data Source'!AD664&gt;=3.5,"A-",IF('Data Source'!AD664&gt;=3,"B",IF('Data Source'!AD664&gt;=2,"C",IF('Data Source'!AD664&gt;=1,"D","F")))))))</f>
        <v/>
      </c>
      <c r="M664" s="3">
        <f>IF('Data Source'!B664="","",IF('Data Source'!AE664&gt;=5,"A+",IF('Data Source'!AE664&gt;=4,"A",IF('Data Source'!AE664&gt;=3.5,"A-",IF('Data Source'!AE664&gt;=3,"B",IF('Data Source'!AE664&gt;=2,"C",IF('Data Source'!AE664&gt;=1,"D","F")))))))</f>
        <v/>
      </c>
      <c r="N664" s="3">
        <f>IF('Data Source'!B664="","",IF('Data Source'!AF664&gt;=5,"A+",IF('Data Source'!AF664&gt;=4,"A",IF('Data Source'!AF664&gt;=3.5,"A-",IF('Data Source'!AF664&gt;=3,"B",IF('Data Source'!AF664&gt;=2,"C",IF('Data Source'!AF664&gt;=1,"D","F")))))))</f>
        <v/>
      </c>
      <c r="O664" s="3">
        <f>IF('Data Source'!B664="","",IF('Data Source'!AG664&gt;=5,"A+",IF('Data Source'!AG664&gt;=4,"A",IF('Data Source'!AG664&gt;=3.5,"A-",IF('Data Source'!AG664&gt;=3,"B",IF('Data Source'!AG664&gt;=2,"C",IF('Data Source'!AG664&gt;=1,"D","F")))))))</f>
        <v/>
      </c>
      <c r="P664" s="5">
        <f>IF('Data Source'!B664="","",'Data Source'!R664)</f>
        <v/>
      </c>
      <c r="Q664" s="3">
        <f>IF('Data Source'!B664="","",'Data Source'!S664)</f>
        <v/>
      </c>
    </row>
    <row r="665">
      <c r="A665" s="3">
        <f>IF('Data Source'!B665="","",'Data Source'!A665)</f>
        <v/>
      </c>
      <c r="B665">
        <f>IF('Data Source'!B665="","",'Data Source'!B665)</f>
        <v/>
      </c>
      <c r="C665" s="3">
        <f>IF('Data Source'!B665="","",IF('Data Source'!U665&gt;=5,"A+",IF('Data Source'!U665&gt;=4,"A",IF('Data Source'!U665&gt;=3.5,"A-",IF('Data Source'!U665&gt;=3,"B",IF('Data Source'!U665&gt;=2,"C",IF('Data Source'!U665&gt;=1,"D","F")))))))</f>
        <v/>
      </c>
      <c r="D665" s="3">
        <f>IF('Data Source'!B665="","",IF('Data Source'!V665&gt;=5,"A+",IF('Data Source'!V665&gt;=4,"A",IF('Data Source'!V665&gt;=3.5,"A-",IF('Data Source'!V665&gt;=3,"B",IF('Data Source'!V665&gt;=2,"C",IF('Data Source'!V665&gt;=1,"D","F")))))))</f>
        <v/>
      </c>
      <c r="E665" s="3">
        <f>IF('Data Source'!B665="","",IF('Data Source'!W665&gt;=5,"A+",IF('Data Source'!W665&gt;=4,"A",IF('Data Source'!W665&gt;=3.5,"A-",IF('Data Source'!W665&gt;=3,"B",IF('Data Source'!W665&gt;=2,"C",IF('Data Source'!W665&gt;=1,"D","F")))))))</f>
        <v/>
      </c>
      <c r="F665" s="3">
        <f>IF('Data Source'!B665="","",IF('Data Source'!X665&gt;=5,"A+",IF('Data Source'!X665&gt;=4,"A",IF('Data Source'!X665&gt;=3.5,"A-",IF('Data Source'!X665&gt;=3,"B",IF('Data Source'!X665&gt;=2,"C",IF('Data Source'!X665&gt;=1,"D","F")))))))</f>
        <v/>
      </c>
      <c r="G665" s="3">
        <f>IF('Data Source'!B665="","",IF('Data Source'!Y665&gt;=5,"A+",IF('Data Source'!Y665&gt;=4,"A",IF('Data Source'!Y665&gt;=3.5,"A-",IF('Data Source'!Y665&gt;=3,"B",IF('Data Source'!Y665&gt;=2,"C",IF('Data Source'!Y665&gt;=1,"D","F")))))))</f>
        <v/>
      </c>
      <c r="H665" s="3">
        <f>IF('Data Source'!B665="","",IF('Data Source'!Z665&gt;=5,"A+",IF('Data Source'!Z665&gt;=4,"A",IF('Data Source'!Z665&gt;=3.5,"A-",IF('Data Source'!Z665&gt;=3,"B",IF('Data Source'!Z665&gt;=2,"C",IF('Data Source'!Z665&gt;=1,"D","F")))))))</f>
        <v/>
      </c>
      <c r="I665" s="3">
        <f>IF('Data Source'!B665="","",IF('Data Source'!AA665&gt;=5,"A+",IF('Data Source'!AA665&gt;=4,"A",IF('Data Source'!AA665&gt;=3.5,"A-",IF('Data Source'!AA665&gt;=3,"B",IF('Data Source'!AA665&gt;=2,"C",IF('Data Source'!AA665&gt;=1,"D","F")))))))</f>
        <v/>
      </c>
      <c r="J665" s="3">
        <f>IF('Data Source'!B665="","",IF('Data Source'!AB665&gt;=5,"A+",IF('Data Source'!AB665&gt;=4,"A",IF('Data Source'!AB665&gt;=3.5,"A-",IF('Data Source'!AB665&gt;=3,"B",IF('Data Source'!AB665&gt;=2,"C",IF('Data Source'!AB665&gt;=1,"D","F")))))))</f>
        <v/>
      </c>
      <c r="K665" s="3">
        <f>IF('Data Source'!B665="","",IF('Data Source'!AC665&gt;=5,"A+",IF('Data Source'!AC665&gt;=4,"A",IF('Data Source'!AC665&gt;=3.5,"A-",IF('Data Source'!AC665&gt;=3,"B",IF('Data Source'!AC665&gt;=2,"C",IF('Data Source'!AC665&gt;=1,"D","F")))))))</f>
        <v/>
      </c>
      <c r="L665" s="3">
        <f>IF('Data Source'!B665="","",IF('Data Source'!AD665&gt;=5,"A+",IF('Data Source'!AD665&gt;=4,"A",IF('Data Source'!AD665&gt;=3.5,"A-",IF('Data Source'!AD665&gt;=3,"B",IF('Data Source'!AD665&gt;=2,"C",IF('Data Source'!AD665&gt;=1,"D","F")))))))</f>
        <v/>
      </c>
      <c r="M665" s="3">
        <f>IF('Data Source'!B665="","",IF('Data Source'!AE665&gt;=5,"A+",IF('Data Source'!AE665&gt;=4,"A",IF('Data Source'!AE665&gt;=3.5,"A-",IF('Data Source'!AE665&gt;=3,"B",IF('Data Source'!AE665&gt;=2,"C",IF('Data Source'!AE665&gt;=1,"D","F")))))))</f>
        <v/>
      </c>
      <c r="N665" s="3">
        <f>IF('Data Source'!B665="","",IF('Data Source'!AF665&gt;=5,"A+",IF('Data Source'!AF665&gt;=4,"A",IF('Data Source'!AF665&gt;=3.5,"A-",IF('Data Source'!AF665&gt;=3,"B",IF('Data Source'!AF665&gt;=2,"C",IF('Data Source'!AF665&gt;=1,"D","F")))))))</f>
        <v/>
      </c>
      <c r="O665" s="3">
        <f>IF('Data Source'!B665="","",IF('Data Source'!AG665&gt;=5,"A+",IF('Data Source'!AG665&gt;=4,"A",IF('Data Source'!AG665&gt;=3.5,"A-",IF('Data Source'!AG665&gt;=3,"B",IF('Data Source'!AG665&gt;=2,"C",IF('Data Source'!AG665&gt;=1,"D","F")))))))</f>
        <v/>
      </c>
      <c r="P665" s="5">
        <f>IF('Data Source'!B665="","",'Data Source'!R665)</f>
        <v/>
      </c>
      <c r="Q665" s="3">
        <f>IF('Data Source'!B665="","",'Data Source'!S665)</f>
        <v/>
      </c>
    </row>
    <row r="666">
      <c r="A666" s="3">
        <f>IF('Data Source'!B666="","",'Data Source'!A666)</f>
        <v/>
      </c>
      <c r="B666">
        <f>IF('Data Source'!B666="","",'Data Source'!B666)</f>
        <v/>
      </c>
      <c r="C666" s="3">
        <f>IF('Data Source'!B666="","",IF('Data Source'!U666&gt;=5,"A+",IF('Data Source'!U666&gt;=4,"A",IF('Data Source'!U666&gt;=3.5,"A-",IF('Data Source'!U666&gt;=3,"B",IF('Data Source'!U666&gt;=2,"C",IF('Data Source'!U666&gt;=1,"D","F")))))))</f>
        <v/>
      </c>
      <c r="D666" s="3">
        <f>IF('Data Source'!B666="","",IF('Data Source'!V666&gt;=5,"A+",IF('Data Source'!V666&gt;=4,"A",IF('Data Source'!V666&gt;=3.5,"A-",IF('Data Source'!V666&gt;=3,"B",IF('Data Source'!V666&gt;=2,"C",IF('Data Source'!V666&gt;=1,"D","F")))))))</f>
        <v/>
      </c>
      <c r="E666" s="3">
        <f>IF('Data Source'!B666="","",IF('Data Source'!W666&gt;=5,"A+",IF('Data Source'!W666&gt;=4,"A",IF('Data Source'!W666&gt;=3.5,"A-",IF('Data Source'!W666&gt;=3,"B",IF('Data Source'!W666&gt;=2,"C",IF('Data Source'!W666&gt;=1,"D","F")))))))</f>
        <v/>
      </c>
      <c r="F666" s="3">
        <f>IF('Data Source'!B666="","",IF('Data Source'!X666&gt;=5,"A+",IF('Data Source'!X666&gt;=4,"A",IF('Data Source'!X666&gt;=3.5,"A-",IF('Data Source'!X666&gt;=3,"B",IF('Data Source'!X666&gt;=2,"C",IF('Data Source'!X666&gt;=1,"D","F")))))))</f>
        <v/>
      </c>
      <c r="G666" s="3">
        <f>IF('Data Source'!B666="","",IF('Data Source'!Y666&gt;=5,"A+",IF('Data Source'!Y666&gt;=4,"A",IF('Data Source'!Y666&gt;=3.5,"A-",IF('Data Source'!Y666&gt;=3,"B",IF('Data Source'!Y666&gt;=2,"C",IF('Data Source'!Y666&gt;=1,"D","F")))))))</f>
        <v/>
      </c>
      <c r="H666" s="3">
        <f>IF('Data Source'!B666="","",IF('Data Source'!Z666&gt;=5,"A+",IF('Data Source'!Z666&gt;=4,"A",IF('Data Source'!Z666&gt;=3.5,"A-",IF('Data Source'!Z666&gt;=3,"B",IF('Data Source'!Z666&gt;=2,"C",IF('Data Source'!Z666&gt;=1,"D","F")))))))</f>
        <v/>
      </c>
      <c r="I666" s="3">
        <f>IF('Data Source'!B666="","",IF('Data Source'!AA666&gt;=5,"A+",IF('Data Source'!AA666&gt;=4,"A",IF('Data Source'!AA666&gt;=3.5,"A-",IF('Data Source'!AA666&gt;=3,"B",IF('Data Source'!AA666&gt;=2,"C",IF('Data Source'!AA666&gt;=1,"D","F")))))))</f>
        <v/>
      </c>
      <c r="J666" s="3">
        <f>IF('Data Source'!B666="","",IF('Data Source'!AB666&gt;=5,"A+",IF('Data Source'!AB666&gt;=4,"A",IF('Data Source'!AB666&gt;=3.5,"A-",IF('Data Source'!AB666&gt;=3,"B",IF('Data Source'!AB666&gt;=2,"C",IF('Data Source'!AB666&gt;=1,"D","F")))))))</f>
        <v/>
      </c>
      <c r="K666" s="3">
        <f>IF('Data Source'!B666="","",IF('Data Source'!AC666&gt;=5,"A+",IF('Data Source'!AC666&gt;=4,"A",IF('Data Source'!AC666&gt;=3.5,"A-",IF('Data Source'!AC666&gt;=3,"B",IF('Data Source'!AC666&gt;=2,"C",IF('Data Source'!AC666&gt;=1,"D","F")))))))</f>
        <v/>
      </c>
      <c r="L666" s="3">
        <f>IF('Data Source'!B666="","",IF('Data Source'!AD666&gt;=5,"A+",IF('Data Source'!AD666&gt;=4,"A",IF('Data Source'!AD666&gt;=3.5,"A-",IF('Data Source'!AD666&gt;=3,"B",IF('Data Source'!AD666&gt;=2,"C",IF('Data Source'!AD666&gt;=1,"D","F")))))))</f>
        <v/>
      </c>
      <c r="M666" s="3">
        <f>IF('Data Source'!B666="","",IF('Data Source'!AE666&gt;=5,"A+",IF('Data Source'!AE666&gt;=4,"A",IF('Data Source'!AE666&gt;=3.5,"A-",IF('Data Source'!AE666&gt;=3,"B",IF('Data Source'!AE666&gt;=2,"C",IF('Data Source'!AE666&gt;=1,"D","F")))))))</f>
        <v/>
      </c>
      <c r="N666" s="3">
        <f>IF('Data Source'!B666="","",IF('Data Source'!AF666&gt;=5,"A+",IF('Data Source'!AF666&gt;=4,"A",IF('Data Source'!AF666&gt;=3.5,"A-",IF('Data Source'!AF666&gt;=3,"B",IF('Data Source'!AF666&gt;=2,"C",IF('Data Source'!AF666&gt;=1,"D","F")))))))</f>
        <v/>
      </c>
      <c r="O666" s="3">
        <f>IF('Data Source'!B666="","",IF('Data Source'!AG666&gt;=5,"A+",IF('Data Source'!AG666&gt;=4,"A",IF('Data Source'!AG666&gt;=3.5,"A-",IF('Data Source'!AG666&gt;=3,"B",IF('Data Source'!AG666&gt;=2,"C",IF('Data Source'!AG666&gt;=1,"D","F")))))))</f>
        <v/>
      </c>
      <c r="P666" s="5">
        <f>IF('Data Source'!B666="","",'Data Source'!R666)</f>
        <v/>
      </c>
      <c r="Q666" s="3">
        <f>IF('Data Source'!B666="","",'Data Source'!S666)</f>
        <v/>
      </c>
    </row>
    <row r="667">
      <c r="A667" s="3">
        <f>IF('Data Source'!B667="","",'Data Source'!A667)</f>
        <v/>
      </c>
      <c r="B667">
        <f>IF('Data Source'!B667="","",'Data Source'!B667)</f>
        <v/>
      </c>
      <c r="C667" s="3">
        <f>IF('Data Source'!B667="","",IF('Data Source'!U667&gt;=5,"A+",IF('Data Source'!U667&gt;=4,"A",IF('Data Source'!U667&gt;=3.5,"A-",IF('Data Source'!U667&gt;=3,"B",IF('Data Source'!U667&gt;=2,"C",IF('Data Source'!U667&gt;=1,"D","F")))))))</f>
        <v/>
      </c>
      <c r="D667" s="3">
        <f>IF('Data Source'!B667="","",IF('Data Source'!V667&gt;=5,"A+",IF('Data Source'!V667&gt;=4,"A",IF('Data Source'!V667&gt;=3.5,"A-",IF('Data Source'!V667&gt;=3,"B",IF('Data Source'!V667&gt;=2,"C",IF('Data Source'!V667&gt;=1,"D","F")))))))</f>
        <v/>
      </c>
      <c r="E667" s="3">
        <f>IF('Data Source'!B667="","",IF('Data Source'!W667&gt;=5,"A+",IF('Data Source'!W667&gt;=4,"A",IF('Data Source'!W667&gt;=3.5,"A-",IF('Data Source'!W667&gt;=3,"B",IF('Data Source'!W667&gt;=2,"C",IF('Data Source'!W667&gt;=1,"D","F")))))))</f>
        <v/>
      </c>
      <c r="F667" s="3">
        <f>IF('Data Source'!B667="","",IF('Data Source'!X667&gt;=5,"A+",IF('Data Source'!X667&gt;=4,"A",IF('Data Source'!X667&gt;=3.5,"A-",IF('Data Source'!X667&gt;=3,"B",IF('Data Source'!X667&gt;=2,"C",IF('Data Source'!X667&gt;=1,"D","F")))))))</f>
        <v/>
      </c>
      <c r="G667" s="3">
        <f>IF('Data Source'!B667="","",IF('Data Source'!Y667&gt;=5,"A+",IF('Data Source'!Y667&gt;=4,"A",IF('Data Source'!Y667&gt;=3.5,"A-",IF('Data Source'!Y667&gt;=3,"B",IF('Data Source'!Y667&gt;=2,"C",IF('Data Source'!Y667&gt;=1,"D","F")))))))</f>
        <v/>
      </c>
      <c r="H667" s="3">
        <f>IF('Data Source'!B667="","",IF('Data Source'!Z667&gt;=5,"A+",IF('Data Source'!Z667&gt;=4,"A",IF('Data Source'!Z667&gt;=3.5,"A-",IF('Data Source'!Z667&gt;=3,"B",IF('Data Source'!Z667&gt;=2,"C",IF('Data Source'!Z667&gt;=1,"D","F")))))))</f>
        <v/>
      </c>
      <c r="I667" s="3">
        <f>IF('Data Source'!B667="","",IF('Data Source'!AA667&gt;=5,"A+",IF('Data Source'!AA667&gt;=4,"A",IF('Data Source'!AA667&gt;=3.5,"A-",IF('Data Source'!AA667&gt;=3,"B",IF('Data Source'!AA667&gt;=2,"C",IF('Data Source'!AA667&gt;=1,"D","F")))))))</f>
        <v/>
      </c>
      <c r="J667" s="3">
        <f>IF('Data Source'!B667="","",IF('Data Source'!AB667&gt;=5,"A+",IF('Data Source'!AB667&gt;=4,"A",IF('Data Source'!AB667&gt;=3.5,"A-",IF('Data Source'!AB667&gt;=3,"B",IF('Data Source'!AB667&gt;=2,"C",IF('Data Source'!AB667&gt;=1,"D","F")))))))</f>
        <v/>
      </c>
      <c r="K667" s="3">
        <f>IF('Data Source'!B667="","",IF('Data Source'!AC667&gt;=5,"A+",IF('Data Source'!AC667&gt;=4,"A",IF('Data Source'!AC667&gt;=3.5,"A-",IF('Data Source'!AC667&gt;=3,"B",IF('Data Source'!AC667&gt;=2,"C",IF('Data Source'!AC667&gt;=1,"D","F")))))))</f>
        <v/>
      </c>
      <c r="L667" s="3">
        <f>IF('Data Source'!B667="","",IF('Data Source'!AD667&gt;=5,"A+",IF('Data Source'!AD667&gt;=4,"A",IF('Data Source'!AD667&gt;=3.5,"A-",IF('Data Source'!AD667&gt;=3,"B",IF('Data Source'!AD667&gt;=2,"C",IF('Data Source'!AD667&gt;=1,"D","F")))))))</f>
        <v/>
      </c>
      <c r="M667" s="3">
        <f>IF('Data Source'!B667="","",IF('Data Source'!AE667&gt;=5,"A+",IF('Data Source'!AE667&gt;=4,"A",IF('Data Source'!AE667&gt;=3.5,"A-",IF('Data Source'!AE667&gt;=3,"B",IF('Data Source'!AE667&gt;=2,"C",IF('Data Source'!AE667&gt;=1,"D","F")))))))</f>
        <v/>
      </c>
      <c r="N667" s="3">
        <f>IF('Data Source'!B667="","",IF('Data Source'!AF667&gt;=5,"A+",IF('Data Source'!AF667&gt;=4,"A",IF('Data Source'!AF667&gt;=3.5,"A-",IF('Data Source'!AF667&gt;=3,"B",IF('Data Source'!AF667&gt;=2,"C",IF('Data Source'!AF667&gt;=1,"D","F")))))))</f>
        <v/>
      </c>
      <c r="O667" s="3">
        <f>IF('Data Source'!B667="","",IF('Data Source'!AG667&gt;=5,"A+",IF('Data Source'!AG667&gt;=4,"A",IF('Data Source'!AG667&gt;=3.5,"A-",IF('Data Source'!AG667&gt;=3,"B",IF('Data Source'!AG667&gt;=2,"C",IF('Data Source'!AG667&gt;=1,"D","F")))))))</f>
        <v/>
      </c>
      <c r="P667" s="5">
        <f>IF('Data Source'!B667="","",'Data Source'!R667)</f>
        <v/>
      </c>
      <c r="Q667" s="3">
        <f>IF('Data Source'!B667="","",'Data Source'!S667)</f>
        <v/>
      </c>
    </row>
    <row r="668">
      <c r="A668" s="3">
        <f>IF('Data Source'!B668="","",'Data Source'!A668)</f>
        <v/>
      </c>
      <c r="B668">
        <f>IF('Data Source'!B668="","",'Data Source'!B668)</f>
        <v/>
      </c>
      <c r="C668" s="3">
        <f>IF('Data Source'!B668="","",IF('Data Source'!U668&gt;=5,"A+",IF('Data Source'!U668&gt;=4,"A",IF('Data Source'!U668&gt;=3.5,"A-",IF('Data Source'!U668&gt;=3,"B",IF('Data Source'!U668&gt;=2,"C",IF('Data Source'!U668&gt;=1,"D","F")))))))</f>
        <v/>
      </c>
      <c r="D668" s="3">
        <f>IF('Data Source'!B668="","",IF('Data Source'!V668&gt;=5,"A+",IF('Data Source'!V668&gt;=4,"A",IF('Data Source'!V668&gt;=3.5,"A-",IF('Data Source'!V668&gt;=3,"B",IF('Data Source'!V668&gt;=2,"C",IF('Data Source'!V668&gt;=1,"D","F")))))))</f>
        <v/>
      </c>
      <c r="E668" s="3">
        <f>IF('Data Source'!B668="","",IF('Data Source'!W668&gt;=5,"A+",IF('Data Source'!W668&gt;=4,"A",IF('Data Source'!W668&gt;=3.5,"A-",IF('Data Source'!W668&gt;=3,"B",IF('Data Source'!W668&gt;=2,"C",IF('Data Source'!W668&gt;=1,"D","F")))))))</f>
        <v/>
      </c>
      <c r="F668" s="3">
        <f>IF('Data Source'!B668="","",IF('Data Source'!X668&gt;=5,"A+",IF('Data Source'!X668&gt;=4,"A",IF('Data Source'!X668&gt;=3.5,"A-",IF('Data Source'!X668&gt;=3,"B",IF('Data Source'!X668&gt;=2,"C",IF('Data Source'!X668&gt;=1,"D","F")))))))</f>
        <v/>
      </c>
      <c r="G668" s="3">
        <f>IF('Data Source'!B668="","",IF('Data Source'!Y668&gt;=5,"A+",IF('Data Source'!Y668&gt;=4,"A",IF('Data Source'!Y668&gt;=3.5,"A-",IF('Data Source'!Y668&gt;=3,"B",IF('Data Source'!Y668&gt;=2,"C",IF('Data Source'!Y668&gt;=1,"D","F")))))))</f>
        <v/>
      </c>
      <c r="H668" s="3">
        <f>IF('Data Source'!B668="","",IF('Data Source'!Z668&gt;=5,"A+",IF('Data Source'!Z668&gt;=4,"A",IF('Data Source'!Z668&gt;=3.5,"A-",IF('Data Source'!Z668&gt;=3,"B",IF('Data Source'!Z668&gt;=2,"C",IF('Data Source'!Z668&gt;=1,"D","F")))))))</f>
        <v/>
      </c>
      <c r="I668" s="3">
        <f>IF('Data Source'!B668="","",IF('Data Source'!AA668&gt;=5,"A+",IF('Data Source'!AA668&gt;=4,"A",IF('Data Source'!AA668&gt;=3.5,"A-",IF('Data Source'!AA668&gt;=3,"B",IF('Data Source'!AA668&gt;=2,"C",IF('Data Source'!AA668&gt;=1,"D","F")))))))</f>
        <v/>
      </c>
      <c r="J668" s="3">
        <f>IF('Data Source'!B668="","",IF('Data Source'!AB668&gt;=5,"A+",IF('Data Source'!AB668&gt;=4,"A",IF('Data Source'!AB668&gt;=3.5,"A-",IF('Data Source'!AB668&gt;=3,"B",IF('Data Source'!AB668&gt;=2,"C",IF('Data Source'!AB668&gt;=1,"D","F")))))))</f>
        <v/>
      </c>
      <c r="K668" s="3">
        <f>IF('Data Source'!B668="","",IF('Data Source'!AC668&gt;=5,"A+",IF('Data Source'!AC668&gt;=4,"A",IF('Data Source'!AC668&gt;=3.5,"A-",IF('Data Source'!AC668&gt;=3,"B",IF('Data Source'!AC668&gt;=2,"C",IF('Data Source'!AC668&gt;=1,"D","F")))))))</f>
        <v/>
      </c>
      <c r="L668" s="3">
        <f>IF('Data Source'!B668="","",IF('Data Source'!AD668&gt;=5,"A+",IF('Data Source'!AD668&gt;=4,"A",IF('Data Source'!AD668&gt;=3.5,"A-",IF('Data Source'!AD668&gt;=3,"B",IF('Data Source'!AD668&gt;=2,"C",IF('Data Source'!AD668&gt;=1,"D","F")))))))</f>
        <v/>
      </c>
      <c r="M668" s="3">
        <f>IF('Data Source'!B668="","",IF('Data Source'!AE668&gt;=5,"A+",IF('Data Source'!AE668&gt;=4,"A",IF('Data Source'!AE668&gt;=3.5,"A-",IF('Data Source'!AE668&gt;=3,"B",IF('Data Source'!AE668&gt;=2,"C",IF('Data Source'!AE668&gt;=1,"D","F")))))))</f>
        <v/>
      </c>
      <c r="N668" s="3">
        <f>IF('Data Source'!B668="","",IF('Data Source'!AF668&gt;=5,"A+",IF('Data Source'!AF668&gt;=4,"A",IF('Data Source'!AF668&gt;=3.5,"A-",IF('Data Source'!AF668&gt;=3,"B",IF('Data Source'!AF668&gt;=2,"C",IF('Data Source'!AF668&gt;=1,"D","F")))))))</f>
        <v/>
      </c>
      <c r="O668" s="3">
        <f>IF('Data Source'!B668="","",IF('Data Source'!AG668&gt;=5,"A+",IF('Data Source'!AG668&gt;=4,"A",IF('Data Source'!AG668&gt;=3.5,"A-",IF('Data Source'!AG668&gt;=3,"B",IF('Data Source'!AG668&gt;=2,"C",IF('Data Source'!AG668&gt;=1,"D","F")))))))</f>
        <v/>
      </c>
      <c r="P668" s="5">
        <f>IF('Data Source'!B668="","",'Data Source'!R668)</f>
        <v/>
      </c>
      <c r="Q668" s="3">
        <f>IF('Data Source'!B668="","",'Data Source'!S668)</f>
        <v/>
      </c>
    </row>
    <row r="669">
      <c r="A669" s="3">
        <f>IF('Data Source'!B669="","",'Data Source'!A669)</f>
        <v/>
      </c>
      <c r="B669">
        <f>IF('Data Source'!B669="","",'Data Source'!B669)</f>
        <v/>
      </c>
      <c r="C669" s="3">
        <f>IF('Data Source'!B669="","",IF('Data Source'!U669&gt;=5,"A+",IF('Data Source'!U669&gt;=4,"A",IF('Data Source'!U669&gt;=3.5,"A-",IF('Data Source'!U669&gt;=3,"B",IF('Data Source'!U669&gt;=2,"C",IF('Data Source'!U669&gt;=1,"D","F")))))))</f>
        <v/>
      </c>
      <c r="D669" s="3">
        <f>IF('Data Source'!B669="","",IF('Data Source'!V669&gt;=5,"A+",IF('Data Source'!V669&gt;=4,"A",IF('Data Source'!V669&gt;=3.5,"A-",IF('Data Source'!V669&gt;=3,"B",IF('Data Source'!V669&gt;=2,"C",IF('Data Source'!V669&gt;=1,"D","F")))))))</f>
        <v/>
      </c>
      <c r="E669" s="3">
        <f>IF('Data Source'!B669="","",IF('Data Source'!W669&gt;=5,"A+",IF('Data Source'!W669&gt;=4,"A",IF('Data Source'!W669&gt;=3.5,"A-",IF('Data Source'!W669&gt;=3,"B",IF('Data Source'!W669&gt;=2,"C",IF('Data Source'!W669&gt;=1,"D","F")))))))</f>
        <v/>
      </c>
      <c r="F669" s="3">
        <f>IF('Data Source'!B669="","",IF('Data Source'!X669&gt;=5,"A+",IF('Data Source'!X669&gt;=4,"A",IF('Data Source'!X669&gt;=3.5,"A-",IF('Data Source'!X669&gt;=3,"B",IF('Data Source'!X669&gt;=2,"C",IF('Data Source'!X669&gt;=1,"D","F")))))))</f>
        <v/>
      </c>
      <c r="G669" s="3">
        <f>IF('Data Source'!B669="","",IF('Data Source'!Y669&gt;=5,"A+",IF('Data Source'!Y669&gt;=4,"A",IF('Data Source'!Y669&gt;=3.5,"A-",IF('Data Source'!Y669&gt;=3,"B",IF('Data Source'!Y669&gt;=2,"C",IF('Data Source'!Y669&gt;=1,"D","F")))))))</f>
        <v/>
      </c>
      <c r="H669" s="3">
        <f>IF('Data Source'!B669="","",IF('Data Source'!Z669&gt;=5,"A+",IF('Data Source'!Z669&gt;=4,"A",IF('Data Source'!Z669&gt;=3.5,"A-",IF('Data Source'!Z669&gt;=3,"B",IF('Data Source'!Z669&gt;=2,"C",IF('Data Source'!Z669&gt;=1,"D","F")))))))</f>
        <v/>
      </c>
      <c r="I669" s="3">
        <f>IF('Data Source'!B669="","",IF('Data Source'!AA669&gt;=5,"A+",IF('Data Source'!AA669&gt;=4,"A",IF('Data Source'!AA669&gt;=3.5,"A-",IF('Data Source'!AA669&gt;=3,"B",IF('Data Source'!AA669&gt;=2,"C",IF('Data Source'!AA669&gt;=1,"D","F")))))))</f>
        <v/>
      </c>
      <c r="J669" s="3">
        <f>IF('Data Source'!B669="","",IF('Data Source'!AB669&gt;=5,"A+",IF('Data Source'!AB669&gt;=4,"A",IF('Data Source'!AB669&gt;=3.5,"A-",IF('Data Source'!AB669&gt;=3,"B",IF('Data Source'!AB669&gt;=2,"C",IF('Data Source'!AB669&gt;=1,"D","F")))))))</f>
        <v/>
      </c>
      <c r="K669" s="3">
        <f>IF('Data Source'!B669="","",IF('Data Source'!AC669&gt;=5,"A+",IF('Data Source'!AC669&gt;=4,"A",IF('Data Source'!AC669&gt;=3.5,"A-",IF('Data Source'!AC669&gt;=3,"B",IF('Data Source'!AC669&gt;=2,"C",IF('Data Source'!AC669&gt;=1,"D","F")))))))</f>
        <v/>
      </c>
      <c r="L669" s="3">
        <f>IF('Data Source'!B669="","",IF('Data Source'!AD669&gt;=5,"A+",IF('Data Source'!AD669&gt;=4,"A",IF('Data Source'!AD669&gt;=3.5,"A-",IF('Data Source'!AD669&gt;=3,"B",IF('Data Source'!AD669&gt;=2,"C",IF('Data Source'!AD669&gt;=1,"D","F")))))))</f>
        <v/>
      </c>
      <c r="M669" s="3">
        <f>IF('Data Source'!B669="","",IF('Data Source'!AE669&gt;=5,"A+",IF('Data Source'!AE669&gt;=4,"A",IF('Data Source'!AE669&gt;=3.5,"A-",IF('Data Source'!AE669&gt;=3,"B",IF('Data Source'!AE669&gt;=2,"C",IF('Data Source'!AE669&gt;=1,"D","F")))))))</f>
        <v/>
      </c>
      <c r="N669" s="3">
        <f>IF('Data Source'!B669="","",IF('Data Source'!AF669&gt;=5,"A+",IF('Data Source'!AF669&gt;=4,"A",IF('Data Source'!AF669&gt;=3.5,"A-",IF('Data Source'!AF669&gt;=3,"B",IF('Data Source'!AF669&gt;=2,"C",IF('Data Source'!AF669&gt;=1,"D","F")))))))</f>
        <v/>
      </c>
      <c r="O669" s="3">
        <f>IF('Data Source'!B669="","",IF('Data Source'!AG669&gt;=5,"A+",IF('Data Source'!AG669&gt;=4,"A",IF('Data Source'!AG669&gt;=3.5,"A-",IF('Data Source'!AG669&gt;=3,"B",IF('Data Source'!AG669&gt;=2,"C",IF('Data Source'!AG669&gt;=1,"D","F")))))))</f>
        <v/>
      </c>
      <c r="P669" s="5">
        <f>IF('Data Source'!B669="","",'Data Source'!R669)</f>
        <v/>
      </c>
      <c r="Q669" s="3">
        <f>IF('Data Source'!B669="","",'Data Source'!S669)</f>
        <v/>
      </c>
    </row>
    <row r="670">
      <c r="A670" s="3">
        <f>IF('Data Source'!B670="","",'Data Source'!A670)</f>
        <v/>
      </c>
      <c r="B670">
        <f>IF('Data Source'!B670="","",'Data Source'!B670)</f>
        <v/>
      </c>
      <c r="C670" s="3">
        <f>IF('Data Source'!B670="","",IF('Data Source'!U670&gt;=5,"A+",IF('Data Source'!U670&gt;=4,"A",IF('Data Source'!U670&gt;=3.5,"A-",IF('Data Source'!U670&gt;=3,"B",IF('Data Source'!U670&gt;=2,"C",IF('Data Source'!U670&gt;=1,"D","F")))))))</f>
        <v/>
      </c>
      <c r="D670" s="3">
        <f>IF('Data Source'!B670="","",IF('Data Source'!V670&gt;=5,"A+",IF('Data Source'!V670&gt;=4,"A",IF('Data Source'!V670&gt;=3.5,"A-",IF('Data Source'!V670&gt;=3,"B",IF('Data Source'!V670&gt;=2,"C",IF('Data Source'!V670&gt;=1,"D","F")))))))</f>
        <v/>
      </c>
      <c r="E670" s="3">
        <f>IF('Data Source'!B670="","",IF('Data Source'!W670&gt;=5,"A+",IF('Data Source'!W670&gt;=4,"A",IF('Data Source'!W670&gt;=3.5,"A-",IF('Data Source'!W670&gt;=3,"B",IF('Data Source'!W670&gt;=2,"C",IF('Data Source'!W670&gt;=1,"D","F")))))))</f>
        <v/>
      </c>
      <c r="F670" s="3">
        <f>IF('Data Source'!B670="","",IF('Data Source'!X670&gt;=5,"A+",IF('Data Source'!X670&gt;=4,"A",IF('Data Source'!X670&gt;=3.5,"A-",IF('Data Source'!X670&gt;=3,"B",IF('Data Source'!X670&gt;=2,"C",IF('Data Source'!X670&gt;=1,"D","F")))))))</f>
        <v/>
      </c>
      <c r="G670" s="3">
        <f>IF('Data Source'!B670="","",IF('Data Source'!Y670&gt;=5,"A+",IF('Data Source'!Y670&gt;=4,"A",IF('Data Source'!Y670&gt;=3.5,"A-",IF('Data Source'!Y670&gt;=3,"B",IF('Data Source'!Y670&gt;=2,"C",IF('Data Source'!Y670&gt;=1,"D","F")))))))</f>
        <v/>
      </c>
      <c r="H670" s="3">
        <f>IF('Data Source'!B670="","",IF('Data Source'!Z670&gt;=5,"A+",IF('Data Source'!Z670&gt;=4,"A",IF('Data Source'!Z670&gt;=3.5,"A-",IF('Data Source'!Z670&gt;=3,"B",IF('Data Source'!Z670&gt;=2,"C",IF('Data Source'!Z670&gt;=1,"D","F")))))))</f>
        <v/>
      </c>
      <c r="I670" s="3">
        <f>IF('Data Source'!B670="","",IF('Data Source'!AA670&gt;=5,"A+",IF('Data Source'!AA670&gt;=4,"A",IF('Data Source'!AA670&gt;=3.5,"A-",IF('Data Source'!AA670&gt;=3,"B",IF('Data Source'!AA670&gt;=2,"C",IF('Data Source'!AA670&gt;=1,"D","F")))))))</f>
        <v/>
      </c>
      <c r="J670" s="3">
        <f>IF('Data Source'!B670="","",IF('Data Source'!AB670&gt;=5,"A+",IF('Data Source'!AB670&gt;=4,"A",IF('Data Source'!AB670&gt;=3.5,"A-",IF('Data Source'!AB670&gt;=3,"B",IF('Data Source'!AB670&gt;=2,"C",IF('Data Source'!AB670&gt;=1,"D","F")))))))</f>
        <v/>
      </c>
      <c r="K670" s="3">
        <f>IF('Data Source'!B670="","",IF('Data Source'!AC670&gt;=5,"A+",IF('Data Source'!AC670&gt;=4,"A",IF('Data Source'!AC670&gt;=3.5,"A-",IF('Data Source'!AC670&gt;=3,"B",IF('Data Source'!AC670&gt;=2,"C",IF('Data Source'!AC670&gt;=1,"D","F")))))))</f>
        <v/>
      </c>
      <c r="L670" s="3">
        <f>IF('Data Source'!B670="","",IF('Data Source'!AD670&gt;=5,"A+",IF('Data Source'!AD670&gt;=4,"A",IF('Data Source'!AD670&gt;=3.5,"A-",IF('Data Source'!AD670&gt;=3,"B",IF('Data Source'!AD670&gt;=2,"C",IF('Data Source'!AD670&gt;=1,"D","F")))))))</f>
        <v/>
      </c>
      <c r="M670" s="3">
        <f>IF('Data Source'!B670="","",IF('Data Source'!AE670&gt;=5,"A+",IF('Data Source'!AE670&gt;=4,"A",IF('Data Source'!AE670&gt;=3.5,"A-",IF('Data Source'!AE670&gt;=3,"B",IF('Data Source'!AE670&gt;=2,"C",IF('Data Source'!AE670&gt;=1,"D","F")))))))</f>
        <v/>
      </c>
      <c r="N670" s="3">
        <f>IF('Data Source'!B670="","",IF('Data Source'!AF670&gt;=5,"A+",IF('Data Source'!AF670&gt;=4,"A",IF('Data Source'!AF670&gt;=3.5,"A-",IF('Data Source'!AF670&gt;=3,"B",IF('Data Source'!AF670&gt;=2,"C",IF('Data Source'!AF670&gt;=1,"D","F")))))))</f>
        <v/>
      </c>
      <c r="O670" s="3">
        <f>IF('Data Source'!B670="","",IF('Data Source'!AG670&gt;=5,"A+",IF('Data Source'!AG670&gt;=4,"A",IF('Data Source'!AG670&gt;=3.5,"A-",IF('Data Source'!AG670&gt;=3,"B",IF('Data Source'!AG670&gt;=2,"C",IF('Data Source'!AG670&gt;=1,"D","F")))))))</f>
        <v/>
      </c>
      <c r="P670" s="5">
        <f>IF('Data Source'!B670="","",'Data Source'!R670)</f>
        <v/>
      </c>
      <c r="Q670" s="3">
        <f>IF('Data Source'!B670="","",'Data Source'!S670)</f>
        <v/>
      </c>
    </row>
    <row r="671">
      <c r="A671" s="3">
        <f>IF('Data Source'!B671="","",'Data Source'!A671)</f>
        <v/>
      </c>
      <c r="B671">
        <f>IF('Data Source'!B671="","",'Data Source'!B671)</f>
        <v/>
      </c>
      <c r="C671" s="3">
        <f>IF('Data Source'!B671="","",IF('Data Source'!U671&gt;=5,"A+",IF('Data Source'!U671&gt;=4,"A",IF('Data Source'!U671&gt;=3.5,"A-",IF('Data Source'!U671&gt;=3,"B",IF('Data Source'!U671&gt;=2,"C",IF('Data Source'!U671&gt;=1,"D","F")))))))</f>
        <v/>
      </c>
      <c r="D671" s="3">
        <f>IF('Data Source'!B671="","",IF('Data Source'!V671&gt;=5,"A+",IF('Data Source'!V671&gt;=4,"A",IF('Data Source'!V671&gt;=3.5,"A-",IF('Data Source'!V671&gt;=3,"B",IF('Data Source'!V671&gt;=2,"C",IF('Data Source'!V671&gt;=1,"D","F")))))))</f>
        <v/>
      </c>
      <c r="E671" s="3">
        <f>IF('Data Source'!B671="","",IF('Data Source'!W671&gt;=5,"A+",IF('Data Source'!W671&gt;=4,"A",IF('Data Source'!W671&gt;=3.5,"A-",IF('Data Source'!W671&gt;=3,"B",IF('Data Source'!W671&gt;=2,"C",IF('Data Source'!W671&gt;=1,"D","F")))))))</f>
        <v/>
      </c>
      <c r="F671" s="3">
        <f>IF('Data Source'!B671="","",IF('Data Source'!X671&gt;=5,"A+",IF('Data Source'!X671&gt;=4,"A",IF('Data Source'!X671&gt;=3.5,"A-",IF('Data Source'!X671&gt;=3,"B",IF('Data Source'!X671&gt;=2,"C",IF('Data Source'!X671&gt;=1,"D","F")))))))</f>
        <v/>
      </c>
      <c r="G671" s="3">
        <f>IF('Data Source'!B671="","",IF('Data Source'!Y671&gt;=5,"A+",IF('Data Source'!Y671&gt;=4,"A",IF('Data Source'!Y671&gt;=3.5,"A-",IF('Data Source'!Y671&gt;=3,"B",IF('Data Source'!Y671&gt;=2,"C",IF('Data Source'!Y671&gt;=1,"D","F")))))))</f>
        <v/>
      </c>
      <c r="H671" s="3">
        <f>IF('Data Source'!B671="","",IF('Data Source'!Z671&gt;=5,"A+",IF('Data Source'!Z671&gt;=4,"A",IF('Data Source'!Z671&gt;=3.5,"A-",IF('Data Source'!Z671&gt;=3,"B",IF('Data Source'!Z671&gt;=2,"C",IF('Data Source'!Z671&gt;=1,"D","F")))))))</f>
        <v/>
      </c>
      <c r="I671" s="3">
        <f>IF('Data Source'!B671="","",IF('Data Source'!AA671&gt;=5,"A+",IF('Data Source'!AA671&gt;=4,"A",IF('Data Source'!AA671&gt;=3.5,"A-",IF('Data Source'!AA671&gt;=3,"B",IF('Data Source'!AA671&gt;=2,"C",IF('Data Source'!AA671&gt;=1,"D","F")))))))</f>
        <v/>
      </c>
      <c r="J671" s="3">
        <f>IF('Data Source'!B671="","",IF('Data Source'!AB671&gt;=5,"A+",IF('Data Source'!AB671&gt;=4,"A",IF('Data Source'!AB671&gt;=3.5,"A-",IF('Data Source'!AB671&gt;=3,"B",IF('Data Source'!AB671&gt;=2,"C",IF('Data Source'!AB671&gt;=1,"D","F")))))))</f>
        <v/>
      </c>
      <c r="K671" s="3">
        <f>IF('Data Source'!B671="","",IF('Data Source'!AC671&gt;=5,"A+",IF('Data Source'!AC671&gt;=4,"A",IF('Data Source'!AC671&gt;=3.5,"A-",IF('Data Source'!AC671&gt;=3,"B",IF('Data Source'!AC671&gt;=2,"C",IF('Data Source'!AC671&gt;=1,"D","F")))))))</f>
        <v/>
      </c>
      <c r="L671" s="3">
        <f>IF('Data Source'!B671="","",IF('Data Source'!AD671&gt;=5,"A+",IF('Data Source'!AD671&gt;=4,"A",IF('Data Source'!AD671&gt;=3.5,"A-",IF('Data Source'!AD671&gt;=3,"B",IF('Data Source'!AD671&gt;=2,"C",IF('Data Source'!AD671&gt;=1,"D","F")))))))</f>
        <v/>
      </c>
      <c r="M671" s="3">
        <f>IF('Data Source'!B671="","",IF('Data Source'!AE671&gt;=5,"A+",IF('Data Source'!AE671&gt;=4,"A",IF('Data Source'!AE671&gt;=3.5,"A-",IF('Data Source'!AE671&gt;=3,"B",IF('Data Source'!AE671&gt;=2,"C",IF('Data Source'!AE671&gt;=1,"D","F")))))))</f>
        <v/>
      </c>
      <c r="N671" s="3">
        <f>IF('Data Source'!B671="","",IF('Data Source'!AF671&gt;=5,"A+",IF('Data Source'!AF671&gt;=4,"A",IF('Data Source'!AF671&gt;=3.5,"A-",IF('Data Source'!AF671&gt;=3,"B",IF('Data Source'!AF671&gt;=2,"C",IF('Data Source'!AF671&gt;=1,"D","F")))))))</f>
        <v/>
      </c>
      <c r="O671" s="3">
        <f>IF('Data Source'!B671="","",IF('Data Source'!AG671&gt;=5,"A+",IF('Data Source'!AG671&gt;=4,"A",IF('Data Source'!AG671&gt;=3.5,"A-",IF('Data Source'!AG671&gt;=3,"B",IF('Data Source'!AG671&gt;=2,"C",IF('Data Source'!AG671&gt;=1,"D","F")))))))</f>
        <v/>
      </c>
      <c r="P671" s="5">
        <f>IF('Data Source'!B671="","",'Data Source'!R671)</f>
        <v/>
      </c>
      <c r="Q671" s="3">
        <f>IF('Data Source'!B671="","",'Data Source'!S671)</f>
        <v/>
      </c>
    </row>
    <row r="672">
      <c r="A672" s="3">
        <f>IF('Data Source'!B672="","",'Data Source'!A672)</f>
        <v/>
      </c>
      <c r="B672">
        <f>IF('Data Source'!B672="","",'Data Source'!B672)</f>
        <v/>
      </c>
      <c r="C672" s="3">
        <f>IF('Data Source'!B672="","",IF('Data Source'!U672&gt;=5,"A+",IF('Data Source'!U672&gt;=4,"A",IF('Data Source'!U672&gt;=3.5,"A-",IF('Data Source'!U672&gt;=3,"B",IF('Data Source'!U672&gt;=2,"C",IF('Data Source'!U672&gt;=1,"D","F")))))))</f>
        <v/>
      </c>
      <c r="D672" s="3">
        <f>IF('Data Source'!B672="","",IF('Data Source'!V672&gt;=5,"A+",IF('Data Source'!V672&gt;=4,"A",IF('Data Source'!V672&gt;=3.5,"A-",IF('Data Source'!V672&gt;=3,"B",IF('Data Source'!V672&gt;=2,"C",IF('Data Source'!V672&gt;=1,"D","F")))))))</f>
        <v/>
      </c>
      <c r="E672" s="3">
        <f>IF('Data Source'!B672="","",IF('Data Source'!W672&gt;=5,"A+",IF('Data Source'!W672&gt;=4,"A",IF('Data Source'!W672&gt;=3.5,"A-",IF('Data Source'!W672&gt;=3,"B",IF('Data Source'!W672&gt;=2,"C",IF('Data Source'!W672&gt;=1,"D","F")))))))</f>
        <v/>
      </c>
      <c r="F672" s="3">
        <f>IF('Data Source'!B672="","",IF('Data Source'!X672&gt;=5,"A+",IF('Data Source'!X672&gt;=4,"A",IF('Data Source'!X672&gt;=3.5,"A-",IF('Data Source'!X672&gt;=3,"B",IF('Data Source'!X672&gt;=2,"C",IF('Data Source'!X672&gt;=1,"D","F")))))))</f>
        <v/>
      </c>
      <c r="G672" s="3">
        <f>IF('Data Source'!B672="","",IF('Data Source'!Y672&gt;=5,"A+",IF('Data Source'!Y672&gt;=4,"A",IF('Data Source'!Y672&gt;=3.5,"A-",IF('Data Source'!Y672&gt;=3,"B",IF('Data Source'!Y672&gt;=2,"C",IF('Data Source'!Y672&gt;=1,"D","F")))))))</f>
        <v/>
      </c>
      <c r="H672" s="3">
        <f>IF('Data Source'!B672="","",IF('Data Source'!Z672&gt;=5,"A+",IF('Data Source'!Z672&gt;=4,"A",IF('Data Source'!Z672&gt;=3.5,"A-",IF('Data Source'!Z672&gt;=3,"B",IF('Data Source'!Z672&gt;=2,"C",IF('Data Source'!Z672&gt;=1,"D","F")))))))</f>
        <v/>
      </c>
      <c r="I672" s="3">
        <f>IF('Data Source'!B672="","",IF('Data Source'!AA672&gt;=5,"A+",IF('Data Source'!AA672&gt;=4,"A",IF('Data Source'!AA672&gt;=3.5,"A-",IF('Data Source'!AA672&gt;=3,"B",IF('Data Source'!AA672&gt;=2,"C",IF('Data Source'!AA672&gt;=1,"D","F")))))))</f>
        <v/>
      </c>
      <c r="J672" s="3">
        <f>IF('Data Source'!B672="","",IF('Data Source'!AB672&gt;=5,"A+",IF('Data Source'!AB672&gt;=4,"A",IF('Data Source'!AB672&gt;=3.5,"A-",IF('Data Source'!AB672&gt;=3,"B",IF('Data Source'!AB672&gt;=2,"C",IF('Data Source'!AB672&gt;=1,"D","F")))))))</f>
        <v/>
      </c>
      <c r="K672" s="3">
        <f>IF('Data Source'!B672="","",IF('Data Source'!AC672&gt;=5,"A+",IF('Data Source'!AC672&gt;=4,"A",IF('Data Source'!AC672&gt;=3.5,"A-",IF('Data Source'!AC672&gt;=3,"B",IF('Data Source'!AC672&gt;=2,"C",IF('Data Source'!AC672&gt;=1,"D","F")))))))</f>
        <v/>
      </c>
      <c r="L672" s="3">
        <f>IF('Data Source'!B672="","",IF('Data Source'!AD672&gt;=5,"A+",IF('Data Source'!AD672&gt;=4,"A",IF('Data Source'!AD672&gt;=3.5,"A-",IF('Data Source'!AD672&gt;=3,"B",IF('Data Source'!AD672&gt;=2,"C",IF('Data Source'!AD672&gt;=1,"D","F")))))))</f>
        <v/>
      </c>
      <c r="M672" s="3">
        <f>IF('Data Source'!B672="","",IF('Data Source'!AE672&gt;=5,"A+",IF('Data Source'!AE672&gt;=4,"A",IF('Data Source'!AE672&gt;=3.5,"A-",IF('Data Source'!AE672&gt;=3,"B",IF('Data Source'!AE672&gt;=2,"C",IF('Data Source'!AE672&gt;=1,"D","F")))))))</f>
        <v/>
      </c>
      <c r="N672" s="3">
        <f>IF('Data Source'!B672="","",IF('Data Source'!AF672&gt;=5,"A+",IF('Data Source'!AF672&gt;=4,"A",IF('Data Source'!AF672&gt;=3.5,"A-",IF('Data Source'!AF672&gt;=3,"B",IF('Data Source'!AF672&gt;=2,"C",IF('Data Source'!AF672&gt;=1,"D","F")))))))</f>
        <v/>
      </c>
      <c r="O672" s="3">
        <f>IF('Data Source'!B672="","",IF('Data Source'!AG672&gt;=5,"A+",IF('Data Source'!AG672&gt;=4,"A",IF('Data Source'!AG672&gt;=3.5,"A-",IF('Data Source'!AG672&gt;=3,"B",IF('Data Source'!AG672&gt;=2,"C",IF('Data Source'!AG672&gt;=1,"D","F")))))))</f>
        <v/>
      </c>
      <c r="P672" s="5">
        <f>IF('Data Source'!B672="","",'Data Source'!R672)</f>
        <v/>
      </c>
      <c r="Q672" s="3">
        <f>IF('Data Source'!B672="","",'Data Source'!S672)</f>
        <v/>
      </c>
    </row>
    <row r="673">
      <c r="A673" s="3">
        <f>IF('Data Source'!B673="","",'Data Source'!A673)</f>
        <v/>
      </c>
      <c r="B673">
        <f>IF('Data Source'!B673="","",'Data Source'!B673)</f>
        <v/>
      </c>
      <c r="C673" s="3">
        <f>IF('Data Source'!B673="","",IF('Data Source'!U673&gt;=5,"A+",IF('Data Source'!U673&gt;=4,"A",IF('Data Source'!U673&gt;=3.5,"A-",IF('Data Source'!U673&gt;=3,"B",IF('Data Source'!U673&gt;=2,"C",IF('Data Source'!U673&gt;=1,"D","F")))))))</f>
        <v/>
      </c>
      <c r="D673" s="3">
        <f>IF('Data Source'!B673="","",IF('Data Source'!V673&gt;=5,"A+",IF('Data Source'!V673&gt;=4,"A",IF('Data Source'!V673&gt;=3.5,"A-",IF('Data Source'!V673&gt;=3,"B",IF('Data Source'!V673&gt;=2,"C",IF('Data Source'!V673&gt;=1,"D","F")))))))</f>
        <v/>
      </c>
      <c r="E673" s="3">
        <f>IF('Data Source'!B673="","",IF('Data Source'!W673&gt;=5,"A+",IF('Data Source'!W673&gt;=4,"A",IF('Data Source'!W673&gt;=3.5,"A-",IF('Data Source'!W673&gt;=3,"B",IF('Data Source'!W673&gt;=2,"C",IF('Data Source'!W673&gt;=1,"D","F")))))))</f>
        <v/>
      </c>
      <c r="F673" s="3">
        <f>IF('Data Source'!B673="","",IF('Data Source'!X673&gt;=5,"A+",IF('Data Source'!X673&gt;=4,"A",IF('Data Source'!X673&gt;=3.5,"A-",IF('Data Source'!X673&gt;=3,"B",IF('Data Source'!X673&gt;=2,"C",IF('Data Source'!X673&gt;=1,"D","F")))))))</f>
        <v/>
      </c>
      <c r="G673" s="3">
        <f>IF('Data Source'!B673="","",IF('Data Source'!Y673&gt;=5,"A+",IF('Data Source'!Y673&gt;=4,"A",IF('Data Source'!Y673&gt;=3.5,"A-",IF('Data Source'!Y673&gt;=3,"B",IF('Data Source'!Y673&gt;=2,"C",IF('Data Source'!Y673&gt;=1,"D","F")))))))</f>
        <v/>
      </c>
      <c r="H673" s="3">
        <f>IF('Data Source'!B673="","",IF('Data Source'!Z673&gt;=5,"A+",IF('Data Source'!Z673&gt;=4,"A",IF('Data Source'!Z673&gt;=3.5,"A-",IF('Data Source'!Z673&gt;=3,"B",IF('Data Source'!Z673&gt;=2,"C",IF('Data Source'!Z673&gt;=1,"D","F")))))))</f>
        <v/>
      </c>
      <c r="I673" s="3">
        <f>IF('Data Source'!B673="","",IF('Data Source'!AA673&gt;=5,"A+",IF('Data Source'!AA673&gt;=4,"A",IF('Data Source'!AA673&gt;=3.5,"A-",IF('Data Source'!AA673&gt;=3,"B",IF('Data Source'!AA673&gt;=2,"C",IF('Data Source'!AA673&gt;=1,"D","F")))))))</f>
        <v/>
      </c>
      <c r="J673" s="3">
        <f>IF('Data Source'!B673="","",IF('Data Source'!AB673&gt;=5,"A+",IF('Data Source'!AB673&gt;=4,"A",IF('Data Source'!AB673&gt;=3.5,"A-",IF('Data Source'!AB673&gt;=3,"B",IF('Data Source'!AB673&gt;=2,"C",IF('Data Source'!AB673&gt;=1,"D","F")))))))</f>
        <v/>
      </c>
      <c r="K673" s="3">
        <f>IF('Data Source'!B673="","",IF('Data Source'!AC673&gt;=5,"A+",IF('Data Source'!AC673&gt;=4,"A",IF('Data Source'!AC673&gt;=3.5,"A-",IF('Data Source'!AC673&gt;=3,"B",IF('Data Source'!AC673&gt;=2,"C",IF('Data Source'!AC673&gt;=1,"D","F")))))))</f>
        <v/>
      </c>
      <c r="L673" s="3">
        <f>IF('Data Source'!B673="","",IF('Data Source'!AD673&gt;=5,"A+",IF('Data Source'!AD673&gt;=4,"A",IF('Data Source'!AD673&gt;=3.5,"A-",IF('Data Source'!AD673&gt;=3,"B",IF('Data Source'!AD673&gt;=2,"C",IF('Data Source'!AD673&gt;=1,"D","F")))))))</f>
        <v/>
      </c>
      <c r="M673" s="3">
        <f>IF('Data Source'!B673="","",IF('Data Source'!AE673&gt;=5,"A+",IF('Data Source'!AE673&gt;=4,"A",IF('Data Source'!AE673&gt;=3.5,"A-",IF('Data Source'!AE673&gt;=3,"B",IF('Data Source'!AE673&gt;=2,"C",IF('Data Source'!AE673&gt;=1,"D","F")))))))</f>
        <v/>
      </c>
      <c r="N673" s="3">
        <f>IF('Data Source'!B673="","",IF('Data Source'!AF673&gt;=5,"A+",IF('Data Source'!AF673&gt;=4,"A",IF('Data Source'!AF673&gt;=3.5,"A-",IF('Data Source'!AF673&gt;=3,"B",IF('Data Source'!AF673&gt;=2,"C",IF('Data Source'!AF673&gt;=1,"D","F")))))))</f>
        <v/>
      </c>
      <c r="O673" s="3">
        <f>IF('Data Source'!B673="","",IF('Data Source'!AG673&gt;=5,"A+",IF('Data Source'!AG673&gt;=4,"A",IF('Data Source'!AG673&gt;=3.5,"A-",IF('Data Source'!AG673&gt;=3,"B",IF('Data Source'!AG673&gt;=2,"C",IF('Data Source'!AG673&gt;=1,"D","F")))))))</f>
        <v/>
      </c>
      <c r="P673" s="5">
        <f>IF('Data Source'!B673="","",'Data Source'!R673)</f>
        <v/>
      </c>
      <c r="Q673" s="3">
        <f>IF('Data Source'!B673="","",'Data Source'!S673)</f>
        <v/>
      </c>
    </row>
    <row r="674">
      <c r="A674" s="3">
        <f>IF('Data Source'!B674="","",'Data Source'!A674)</f>
        <v/>
      </c>
      <c r="B674">
        <f>IF('Data Source'!B674="","",'Data Source'!B674)</f>
        <v/>
      </c>
      <c r="C674" s="3">
        <f>IF('Data Source'!B674="","",IF('Data Source'!U674&gt;=5,"A+",IF('Data Source'!U674&gt;=4,"A",IF('Data Source'!U674&gt;=3.5,"A-",IF('Data Source'!U674&gt;=3,"B",IF('Data Source'!U674&gt;=2,"C",IF('Data Source'!U674&gt;=1,"D","F")))))))</f>
        <v/>
      </c>
      <c r="D674" s="3">
        <f>IF('Data Source'!B674="","",IF('Data Source'!V674&gt;=5,"A+",IF('Data Source'!V674&gt;=4,"A",IF('Data Source'!V674&gt;=3.5,"A-",IF('Data Source'!V674&gt;=3,"B",IF('Data Source'!V674&gt;=2,"C",IF('Data Source'!V674&gt;=1,"D","F")))))))</f>
        <v/>
      </c>
      <c r="E674" s="3">
        <f>IF('Data Source'!B674="","",IF('Data Source'!W674&gt;=5,"A+",IF('Data Source'!W674&gt;=4,"A",IF('Data Source'!W674&gt;=3.5,"A-",IF('Data Source'!W674&gt;=3,"B",IF('Data Source'!W674&gt;=2,"C",IF('Data Source'!W674&gt;=1,"D","F")))))))</f>
        <v/>
      </c>
      <c r="F674" s="3">
        <f>IF('Data Source'!B674="","",IF('Data Source'!X674&gt;=5,"A+",IF('Data Source'!X674&gt;=4,"A",IF('Data Source'!X674&gt;=3.5,"A-",IF('Data Source'!X674&gt;=3,"B",IF('Data Source'!X674&gt;=2,"C",IF('Data Source'!X674&gt;=1,"D","F")))))))</f>
        <v/>
      </c>
      <c r="G674" s="3">
        <f>IF('Data Source'!B674="","",IF('Data Source'!Y674&gt;=5,"A+",IF('Data Source'!Y674&gt;=4,"A",IF('Data Source'!Y674&gt;=3.5,"A-",IF('Data Source'!Y674&gt;=3,"B",IF('Data Source'!Y674&gt;=2,"C",IF('Data Source'!Y674&gt;=1,"D","F")))))))</f>
        <v/>
      </c>
      <c r="H674" s="3">
        <f>IF('Data Source'!B674="","",IF('Data Source'!Z674&gt;=5,"A+",IF('Data Source'!Z674&gt;=4,"A",IF('Data Source'!Z674&gt;=3.5,"A-",IF('Data Source'!Z674&gt;=3,"B",IF('Data Source'!Z674&gt;=2,"C",IF('Data Source'!Z674&gt;=1,"D","F")))))))</f>
        <v/>
      </c>
      <c r="I674" s="3">
        <f>IF('Data Source'!B674="","",IF('Data Source'!AA674&gt;=5,"A+",IF('Data Source'!AA674&gt;=4,"A",IF('Data Source'!AA674&gt;=3.5,"A-",IF('Data Source'!AA674&gt;=3,"B",IF('Data Source'!AA674&gt;=2,"C",IF('Data Source'!AA674&gt;=1,"D","F")))))))</f>
        <v/>
      </c>
      <c r="J674" s="3">
        <f>IF('Data Source'!B674="","",IF('Data Source'!AB674&gt;=5,"A+",IF('Data Source'!AB674&gt;=4,"A",IF('Data Source'!AB674&gt;=3.5,"A-",IF('Data Source'!AB674&gt;=3,"B",IF('Data Source'!AB674&gt;=2,"C",IF('Data Source'!AB674&gt;=1,"D","F")))))))</f>
        <v/>
      </c>
      <c r="K674" s="3">
        <f>IF('Data Source'!B674="","",IF('Data Source'!AC674&gt;=5,"A+",IF('Data Source'!AC674&gt;=4,"A",IF('Data Source'!AC674&gt;=3.5,"A-",IF('Data Source'!AC674&gt;=3,"B",IF('Data Source'!AC674&gt;=2,"C",IF('Data Source'!AC674&gt;=1,"D","F")))))))</f>
        <v/>
      </c>
      <c r="L674" s="3">
        <f>IF('Data Source'!B674="","",IF('Data Source'!AD674&gt;=5,"A+",IF('Data Source'!AD674&gt;=4,"A",IF('Data Source'!AD674&gt;=3.5,"A-",IF('Data Source'!AD674&gt;=3,"B",IF('Data Source'!AD674&gt;=2,"C",IF('Data Source'!AD674&gt;=1,"D","F")))))))</f>
        <v/>
      </c>
      <c r="M674" s="3">
        <f>IF('Data Source'!B674="","",IF('Data Source'!AE674&gt;=5,"A+",IF('Data Source'!AE674&gt;=4,"A",IF('Data Source'!AE674&gt;=3.5,"A-",IF('Data Source'!AE674&gt;=3,"B",IF('Data Source'!AE674&gt;=2,"C",IF('Data Source'!AE674&gt;=1,"D","F")))))))</f>
        <v/>
      </c>
      <c r="N674" s="3">
        <f>IF('Data Source'!B674="","",IF('Data Source'!AF674&gt;=5,"A+",IF('Data Source'!AF674&gt;=4,"A",IF('Data Source'!AF674&gt;=3.5,"A-",IF('Data Source'!AF674&gt;=3,"B",IF('Data Source'!AF674&gt;=2,"C",IF('Data Source'!AF674&gt;=1,"D","F")))))))</f>
        <v/>
      </c>
      <c r="O674" s="3">
        <f>IF('Data Source'!B674="","",IF('Data Source'!AG674&gt;=5,"A+",IF('Data Source'!AG674&gt;=4,"A",IF('Data Source'!AG674&gt;=3.5,"A-",IF('Data Source'!AG674&gt;=3,"B",IF('Data Source'!AG674&gt;=2,"C",IF('Data Source'!AG674&gt;=1,"D","F")))))))</f>
        <v/>
      </c>
      <c r="P674" s="5">
        <f>IF('Data Source'!B674="","",'Data Source'!R674)</f>
        <v/>
      </c>
      <c r="Q674" s="3">
        <f>IF('Data Source'!B674="","",'Data Source'!S674)</f>
        <v/>
      </c>
    </row>
    <row r="675">
      <c r="A675" s="3">
        <f>IF('Data Source'!B675="","",'Data Source'!A675)</f>
        <v/>
      </c>
      <c r="B675">
        <f>IF('Data Source'!B675="","",'Data Source'!B675)</f>
        <v/>
      </c>
      <c r="C675" s="3">
        <f>IF('Data Source'!B675="","",IF('Data Source'!U675&gt;=5,"A+",IF('Data Source'!U675&gt;=4,"A",IF('Data Source'!U675&gt;=3.5,"A-",IF('Data Source'!U675&gt;=3,"B",IF('Data Source'!U675&gt;=2,"C",IF('Data Source'!U675&gt;=1,"D","F")))))))</f>
        <v/>
      </c>
      <c r="D675" s="3">
        <f>IF('Data Source'!B675="","",IF('Data Source'!V675&gt;=5,"A+",IF('Data Source'!V675&gt;=4,"A",IF('Data Source'!V675&gt;=3.5,"A-",IF('Data Source'!V675&gt;=3,"B",IF('Data Source'!V675&gt;=2,"C",IF('Data Source'!V675&gt;=1,"D","F")))))))</f>
        <v/>
      </c>
      <c r="E675" s="3">
        <f>IF('Data Source'!B675="","",IF('Data Source'!W675&gt;=5,"A+",IF('Data Source'!W675&gt;=4,"A",IF('Data Source'!W675&gt;=3.5,"A-",IF('Data Source'!W675&gt;=3,"B",IF('Data Source'!W675&gt;=2,"C",IF('Data Source'!W675&gt;=1,"D","F")))))))</f>
        <v/>
      </c>
      <c r="F675" s="3">
        <f>IF('Data Source'!B675="","",IF('Data Source'!X675&gt;=5,"A+",IF('Data Source'!X675&gt;=4,"A",IF('Data Source'!X675&gt;=3.5,"A-",IF('Data Source'!X675&gt;=3,"B",IF('Data Source'!X675&gt;=2,"C",IF('Data Source'!X675&gt;=1,"D","F")))))))</f>
        <v/>
      </c>
      <c r="G675" s="3">
        <f>IF('Data Source'!B675="","",IF('Data Source'!Y675&gt;=5,"A+",IF('Data Source'!Y675&gt;=4,"A",IF('Data Source'!Y675&gt;=3.5,"A-",IF('Data Source'!Y675&gt;=3,"B",IF('Data Source'!Y675&gt;=2,"C",IF('Data Source'!Y675&gt;=1,"D","F")))))))</f>
        <v/>
      </c>
      <c r="H675" s="3">
        <f>IF('Data Source'!B675="","",IF('Data Source'!Z675&gt;=5,"A+",IF('Data Source'!Z675&gt;=4,"A",IF('Data Source'!Z675&gt;=3.5,"A-",IF('Data Source'!Z675&gt;=3,"B",IF('Data Source'!Z675&gt;=2,"C",IF('Data Source'!Z675&gt;=1,"D","F")))))))</f>
        <v/>
      </c>
      <c r="I675" s="3">
        <f>IF('Data Source'!B675="","",IF('Data Source'!AA675&gt;=5,"A+",IF('Data Source'!AA675&gt;=4,"A",IF('Data Source'!AA675&gt;=3.5,"A-",IF('Data Source'!AA675&gt;=3,"B",IF('Data Source'!AA675&gt;=2,"C",IF('Data Source'!AA675&gt;=1,"D","F")))))))</f>
        <v/>
      </c>
      <c r="J675" s="3">
        <f>IF('Data Source'!B675="","",IF('Data Source'!AB675&gt;=5,"A+",IF('Data Source'!AB675&gt;=4,"A",IF('Data Source'!AB675&gt;=3.5,"A-",IF('Data Source'!AB675&gt;=3,"B",IF('Data Source'!AB675&gt;=2,"C",IF('Data Source'!AB675&gt;=1,"D","F")))))))</f>
        <v/>
      </c>
      <c r="K675" s="3">
        <f>IF('Data Source'!B675="","",IF('Data Source'!AC675&gt;=5,"A+",IF('Data Source'!AC675&gt;=4,"A",IF('Data Source'!AC675&gt;=3.5,"A-",IF('Data Source'!AC675&gt;=3,"B",IF('Data Source'!AC675&gt;=2,"C",IF('Data Source'!AC675&gt;=1,"D","F")))))))</f>
        <v/>
      </c>
      <c r="L675" s="3">
        <f>IF('Data Source'!B675="","",IF('Data Source'!AD675&gt;=5,"A+",IF('Data Source'!AD675&gt;=4,"A",IF('Data Source'!AD675&gt;=3.5,"A-",IF('Data Source'!AD675&gt;=3,"B",IF('Data Source'!AD675&gt;=2,"C",IF('Data Source'!AD675&gt;=1,"D","F")))))))</f>
        <v/>
      </c>
      <c r="M675" s="3">
        <f>IF('Data Source'!B675="","",IF('Data Source'!AE675&gt;=5,"A+",IF('Data Source'!AE675&gt;=4,"A",IF('Data Source'!AE675&gt;=3.5,"A-",IF('Data Source'!AE675&gt;=3,"B",IF('Data Source'!AE675&gt;=2,"C",IF('Data Source'!AE675&gt;=1,"D","F")))))))</f>
        <v/>
      </c>
      <c r="N675" s="3">
        <f>IF('Data Source'!B675="","",IF('Data Source'!AF675&gt;=5,"A+",IF('Data Source'!AF675&gt;=4,"A",IF('Data Source'!AF675&gt;=3.5,"A-",IF('Data Source'!AF675&gt;=3,"B",IF('Data Source'!AF675&gt;=2,"C",IF('Data Source'!AF675&gt;=1,"D","F")))))))</f>
        <v/>
      </c>
      <c r="O675" s="3">
        <f>IF('Data Source'!B675="","",IF('Data Source'!AG675&gt;=5,"A+",IF('Data Source'!AG675&gt;=4,"A",IF('Data Source'!AG675&gt;=3.5,"A-",IF('Data Source'!AG675&gt;=3,"B",IF('Data Source'!AG675&gt;=2,"C",IF('Data Source'!AG675&gt;=1,"D","F")))))))</f>
        <v/>
      </c>
      <c r="P675" s="5">
        <f>IF('Data Source'!B675="","",'Data Source'!R675)</f>
        <v/>
      </c>
      <c r="Q675" s="3">
        <f>IF('Data Source'!B675="","",'Data Source'!S675)</f>
        <v/>
      </c>
    </row>
    <row r="676">
      <c r="A676" s="3">
        <f>IF('Data Source'!B676="","",'Data Source'!A676)</f>
        <v/>
      </c>
      <c r="B676">
        <f>IF('Data Source'!B676="","",'Data Source'!B676)</f>
        <v/>
      </c>
      <c r="C676" s="3">
        <f>IF('Data Source'!B676="","",IF('Data Source'!U676&gt;=5,"A+",IF('Data Source'!U676&gt;=4,"A",IF('Data Source'!U676&gt;=3.5,"A-",IF('Data Source'!U676&gt;=3,"B",IF('Data Source'!U676&gt;=2,"C",IF('Data Source'!U676&gt;=1,"D","F")))))))</f>
        <v/>
      </c>
      <c r="D676" s="3">
        <f>IF('Data Source'!B676="","",IF('Data Source'!V676&gt;=5,"A+",IF('Data Source'!V676&gt;=4,"A",IF('Data Source'!V676&gt;=3.5,"A-",IF('Data Source'!V676&gt;=3,"B",IF('Data Source'!V676&gt;=2,"C",IF('Data Source'!V676&gt;=1,"D","F")))))))</f>
        <v/>
      </c>
      <c r="E676" s="3">
        <f>IF('Data Source'!B676="","",IF('Data Source'!W676&gt;=5,"A+",IF('Data Source'!W676&gt;=4,"A",IF('Data Source'!W676&gt;=3.5,"A-",IF('Data Source'!W676&gt;=3,"B",IF('Data Source'!W676&gt;=2,"C",IF('Data Source'!W676&gt;=1,"D","F")))))))</f>
        <v/>
      </c>
      <c r="F676" s="3">
        <f>IF('Data Source'!B676="","",IF('Data Source'!X676&gt;=5,"A+",IF('Data Source'!X676&gt;=4,"A",IF('Data Source'!X676&gt;=3.5,"A-",IF('Data Source'!X676&gt;=3,"B",IF('Data Source'!X676&gt;=2,"C",IF('Data Source'!X676&gt;=1,"D","F")))))))</f>
        <v/>
      </c>
      <c r="G676" s="3">
        <f>IF('Data Source'!B676="","",IF('Data Source'!Y676&gt;=5,"A+",IF('Data Source'!Y676&gt;=4,"A",IF('Data Source'!Y676&gt;=3.5,"A-",IF('Data Source'!Y676&gt;=3,"B",IF('Data Source'!Y676&gt;=2,"C",IF('Data Source'!Y676&gt;=1,"D","F")))))))</f>
        <v/>
      </c>
      <c r="H676" s="3">
        <f>IF('Data Source'!B676="","",IF('Data Source'!Z676&gt;=5,"A+",IF('Data Source'!Z676&gt;=4,"A",IF('Data Source'!Z676&gt;=3.5,"A-",IF('Data Source'!Z676&gt;=3,"B",IF('Data Source'!Z676&gt;=2,"C",IF('Data Source'!Z676&gt;=1,"D","F")))))))</f>
        <v/>
      </c>
      <c r="I676" s="3">
        <f>IF('Data Source'!B676="","",IF('Data Source'!AA676&gt;=5,"A+",IF('Data Source'!AA676&gt;=4,"A",IF('Data Source'!AA676&gt;=3.5,"A-",IF('Data Source'!AA676&gt;=3,"B",IF('Data Source'!AA676&gt;=2,"C",IF('Data Source'!AA676&gt;=1,"D","F")))))))</f>
        <v/>
      </c>
      <c r="J676" s="3">
        <f>IF('Data Source'!B676="","",IF('Data Source'!AB676&gt;=5,"A+",IF('Data Source'!AB676&gt;=4,"A",IF('Data Source'!AB676&gt;=3.5,"A-",IF('Data Source'!AB676&gt;=3,"B",IF('Data Source'!AB676&gt;=2,"C",IF('Data Source'!AB676&gt;=1,"D","F")))))))</f>
        <v/>
      </c>
      <c r="K676" s="3">
        <f>IF('Data Source'!B676="","",IF('Data Source'!AC676&gt;=5,"A+",IF('Data Source'!AC676&gt;=4,"A",IF('Data Source'!AC676&gt;=3.5,"A-",IF('Data Source'!AC676&gt;=3,"B",IF('Data Source'!AC676&gt;=2,"C",IF('Data Source'!AC676&gt;=1,"D","F")))))))</f>
        <v/>
      </c>
      <c r="L676" s="3">
        <f>IF('Data Source'!B676="","",IF('Data Source'!AD676&gt;=5,"A+",IF('Data Source'!AD676&gt;=4,"A",IF('Data Source'!AD676&gt;=3.5,"A-",IF('Data Source'!AD676&gt;=3,"B",IF('Data Source'!AD676&gt;=2,"C",IF('Data Source'!AD676&gt;=1,"D","F")))))))</f>
        <v/>
      </c>
      <c r="M676" s="3">
        <f>IF('Data Source'!B676="","",IF('Data Source'!AE676&gt;=5,"A+",IF('Data Source'!AE676&gt;=4,"A",IF('Data Source'!AE676&gt;=3.5,"A-",IF('Data Source'!AE676&gt;=3,"B",IF('Data Source'!AE676&gt;=2,"C",IF('Data Source'!AE676&gt;=1,"D","F")))))))</f>
        <v/>
      </c>
      <c r="N676" s="3">
        <f>IF('Data Source'!B676="","",IF('Data Source'!AF676&gt;=5,"A+",IF('Data Source'!AF676&gt;=4,"A",IF('Data Source'!AF676&gt;=3.5,"A-",IF('Data Source'!AF676&gt;=3,"B",IF('Data Source'!AF676&gt;=2,"C",IF('Data Source'!AF676&gt;=1,"D","F")))))))</f>
        <v/>
      </c>
      <c r="O676" s="3">
        <f>IF('Data Source'!B676="","",IF('Data Source'!AG676&gt;=5,"A+",IF('Data Source'!AG676&gt;=4,"A",IF('Data Source'!AG676&gt;=3.5,"A-",IF('Data Source'!AG676&gt;=3,"B",IF('Data Source'!AG676&gt;=2,"C",IF('Data Source'!AG676&gt;=1,"D","F")))))))</f>
        <v/>
      </c>
      <c r="P676" s="5">
        <f>IF('Data Source'!B676="","",'Data Source'!R676)</f>
        <v/>
      </c>
      <c r="Q676" s="3">
        <f>IF('Data Source'!B676="","",'Data Source'!S676)</f>
        <v/>
      </c>
    </row>
    <row r="677">
      <c r="A677" s="3">
        <f>IF('Data Source'!B677="","",'Data Source'!A677)</f>
        <v/>
      </c>
      <c r="B677">
        <f>IF('Data Source'!B677="","",'Data Source'!B677)</f>
        <v/>
      </c>
      <c r="C677" s="3">
        <f>IF('Data Source'!B677="","",IF('Data Source'!U677&gt;=5,"A+",IF('Data Source'!U677&gt;=4,"A",IF('Data Source'!U677&gt;=3.5,"A-",IF('Data Source'!U677&gt;=3,"B",IF('Data Source'!U677&gt;=2,"C",IF('Data Source'!U677&gt;=1,"D","F")))))))</f>
        <v/>
      </c>
      <c r="D677" s="3">
        <f>IF('Data Source'!B677="","",IF('Data Source'!V677&gt;=5,"A+",IF('Data Source'!V677&gt;=4,"A",IF('Data Source'!V677&gt;=3.5,"A-",IF('Data Source'!V677&gt;=3,"B",IF('Data Source'!V677&gt;=2,"C",IF('Data Source'!V677&gt;=1,"D","F")))))))</f>
        <v/>
      </c>
      <c r="E677" s="3">
        <f>IF('Data Source'!B677="","",IF('Data Source'!W677&gt;=5,"A+",IF('Data Source'!W677&gt;=4,"A",IF('Data Source'!W677&gt;=3.5,"A-",IF('Data Source'!W677&gt;=3,"B",IF('Data Source'!W677&gt;=2,"C",IF('Data Source'!W677&gt;=1,"D","F")))))))</f>
        <v/>
      </c>
      <c r="F677" s="3">
        <f>IF('Data Source'!B677="","",IF('Data Source'!X677&gt;=5,"A+",IF('Data Source'!X677&gt;=4,"A",IF('Data Source'!X677&gt;=3.5,"A-",IF('Data Source'!X677&gt;=3,"B",IF('Data Source'!X677&gt;=2,"C",IF('Data Source'!X677&gt;=1,"D","F")))))))</f>
        <v/>
      </c>
      <c r="G677" s="3">
        <f>IF('Data Source'!B677="","",IF('Data Source'!Y677&gt;=5,"A+",IF('Data Source'!Y677&gt;=4,"A",IF('Data Source'!Y677&gt;=3.5,"A-",IF('Data Source'!Y677&gt;=3,"B",IF('Data Source'!Y677&gt;=2,"C",IF('Data Source'!Y677&gt;=1,"D","F")))))))</f>
        <v/>
      </c>
      <c r="H677" s="3">
        <f>IF('Data Source'!B677="","",IF('Data Source'!Z677&gt;=5,"A+",IF('Data Source'!Z677&gt;=4,"A",IF('Data Source'!Z677&gt;=3.5,"A-",IF('Data Source'!Z677&gt;=3,"B",IF('Data Source'!Z677&gt;=2,"C",IF('Data Source'!Z677&gt;=1,"D","F")))))))</f>
        <v/>
      </c>
      <c r="I677" s="3">
        <f>IF('Data Source'!B677="","",IF('Data Source'!AA677&gt;=5,"A+",IF('Data Source'!AA677&gt;=4,"A",IF('Data Source'!AA677&gt;=3.5,"A-",IF('Data Source'!AA677&gt;=3,"B",IF('Data Source'!AA677&gt;=2,"C",IF('Data Source'!AA677&gt;=1,"D","F")))))))</f>
        <v/>
      </c>
      <c r="J677" s="3">
        <f>IF('Data Source'!B677="","",IF('Data Source'!AB677&gt;=5,"A+",IF('Data Source'!AB677&gt;=4,"A",IF('Data Source'!AB677&gt;=3.5,"A-",IF('Data Source'!AB677&gt;=3,"B",IF('Data Source'!AB677&gt;=2,"C",IF('Data Source'!AB677&gt;=1,"D","F")))))))</f>
        <v/>
      </c>
      <c r="K677" s="3">
        <f>IF('Data Source'!B677="","",IF('Data Source'!AC677&gt;=5,"A+",IF('Data Source'!AC677&gt;=4,"A",IF('Data Source'!AC677&gt;=3.5,"A-",IF('Data Source'!AC677&gt;=3,"B",IF('Data Source'!AC677&gt;=2,"C",IF('Data Source'!AC677&gt;=1,"D","F")))))))</f>
        <v/>
      </c>
      <c r="L677" s="3">
        <f>IF('Data Source'!B677="","",IF('Data Source'!AD677&gt;=5,"A+",IF('Data Source'!AD677&gt;=4,"A",IF('Data Source'!AD677&gt;=3.5,"A-",IF('Data Source'!AD677&gt;=3,"B",IF('Data Source'!AD677&gt;=2,"C",IF('Data Source'!AD677&gt;=1,"D","F")))))))</f>
        <v/>
      </c>
      <c r="M677" s="3">
        <f>IF('Data Source'!B677="","",IF('Data Source'!AE677&gt;=5,"A+",IF('Data Source'!AE677&gt;=4,"A",IF('Data Source'!AE677&gt;=3.5,"A-",IF('Data Source'!AE677&gt;=3,"B",IF('Data Source'!AE677&gt;=2,"C",IF('Data Source'!AE677&gt;=1,"D","F")))))))</f>
        <v/>
      </c>
      <c r="N677" s="3">
        <f>IF('Data Source'!B677="","",IF('Data Source'!AF677&gt;=5,"A+",IF('Data Source'!AF677&gt;=4,"A",IF('Data Source'!AF677&gt;=3.5,"A-",IF('Data Source'!AF677&gt;=3,"B",IF('Data Source'!AF677&gt;=2,"C",IF('Data Source'!AF677&gt;=1,"D","F")))))))</f>
        <v/>
      </c>
      <c r="O677" s="3">
        <f>IF('Data Source'!B677="","",IF('Data Source'!AG677&gt;=5,"A+",IF('Data Source'!AG677&gt;=4,"A",IF('Data Source'!AG677&gt;=3.5,"A-",IF('Data Source'!AG677&gt;=3,"B",IF('Data Source'!AG677&gt;=2,"C",IF('Data Source'!AG677&gt;=1,"D","F")))))))</f>
        <v/>
      </c>
      <c r="P677" s="5">
        <f>IF('Data Source'!B677="","",'Data Source'!R677)</f>
        <v/>
      </c>
      <c r="Q677" s="3">
        <f>IF('Data Source'!B677="","",'Data Source'!S677)</f>
        <v/>
      </c>
    </row>
    <row r="678">
      <c r="A678" s="3">
        <f>IF('Data Source'!B678="","",'Data Source'!A678)</f>
        <v/>
      </c>
      <c r="B678">
        <f>IF('Data Source'!B678="","",'Data Source'!B678)</f>
        <v/>
      </c>
      <c r="C678" s="3">
        <f>IF('Data Source'!B678="","",IF('Data Source'!U678&gt;=5,"A+",IF('Data Source'!U678&gt;=4,"A",IF('Data Source'!U678&gt;=3.5,"A-",IF('Data Source'!U678&gt;=3,"B",IF('Data Source'!U678&gt;=2,"C",IF('Data Source'!U678&gt;=1,"D","F")))))))</f>
        <v/>
      </c>
      <c r="D678" s="3">
        <f>IF('Data Source'!B678="","",IF('Data Source'!V678&gt;=5,"A+",IF('Data Source'!V678&gt;=4,"A",IF('Data Source'!V678&gt;=3.5,"A-",IF('Data Source'!V678&gt;=3,"B",IF('Data Source'!V678&gt;=2,"C",IF('Data Source'!V678&gt;=1,"D","F")))))))</f>
        <v/>
      </c>
      <c r="E678" s="3">
        <f>IF('Data Source'!B678="","",IF('Data Source'!W678&gt;=5,"A+",IF('Data Source'!W678&gt;=4,"A",IF('Data Source'!W678&gt;=3.5,"A-",IF('Data Source'!W678&gt;=3,"B",IF('Data Source'!W678&gt;=2,"C",IF('Data Source'!W678&gt;=1,"D","F")))))))</f>
        <v/>
      </c>
      <c r="F678" s="3">
        <f>IF('Data Source'!B678="","",IF('Data Source'!X678&gt;=5,"A+",IF('Data Source'!X678&gt;=4,"A",IF('Data Source'!X678&gt;=3.5,"A-",IF('Data Source'!X678&gt;=3,"B",IF('Data Source'!X678&gt;=2,"C",IF('Data Source'!X678&gt;=1,"D","F")))))))</f>
        <v/>
      </c>
      <c r="G678" s="3">
        <f>IF('Data Source'!B678="","",IF('Data Source'!Y678&gt;=5,"A+",IF('Data Source'!Y678&gt;=4,"A",IF('Data Source'!Y678&gt;=3.5,"A-",IF('Data Source'!Y678&gt;=3,"B",IF('Data Source'!Y678&gt;=2,"C",IF('Data Source'!Y678&gt;=1,"D","F")))))))</f>
        <v/>
      </c>
      <c r="H678" s="3">
        <f>IF('Data Source'!B678="","",IF('Data Source'!Z678&gt;=5,"A+",IF('Data Source'!Z678&gt;=4,"A",IF('Data Source'!Z678&gt;=3.5,"A-",IF('Data Source'!Z678&gt;=3,"B",IF('Data Source'!Z678&gt;=2,"C",IF('Data Source'!Z678&gt;=1,"D","F")))))))</f>
        <v/>
      </c>
      <c r="I678" s="3">
        <f>IF('Data Source'!B678="","",IF('Data Source'!AA678&gt;=5,"A+",IF('Data Source'!AA678&gt;=4,"A",IF('Data Source'!AA678&gt;=3.5,"A-",IF('Data Source'!AA678&gt;=3,"B",IF('Data Source'!AA678&gt;=2,"C",IF('Data Source'!AA678&gt;=1,"D","F")))))))</f>
        <v/>
      </c>
      <c r="J678" s="3">
        <f>IF('Data Source'!B678="","",IF('Data Source'!AB678&gt;=5,"A+",IF('Data Source'!AB678&gt;=4,"A",IF('Data Source'!AB678&gt;=3.5,"A-",IF('Data Source'!AB678&gt;=3,"B",IF('Data Source'!AB678&gt;=2,"C",IF('Data Source'!AB678&gt;=1,"D","F")))))))</f>
        <v/>
      </c>
      <c r="K678" s="3">
        <f>IF('Data Source'!B678="","",IF('Data Source'!AC678&gt;=5,"A+",IF('Data Source'!AC678&gt;=4,"A",IF('Data Source'!AC678&gt;=3.5,"A-",IF('Data Source'!AC678&gt;=3,"B",IF('Data Source'!AC678&gt;=2,"C",IF('Data Source'!AC678&gt;=1,"D","F")))))))</f>
        <v/>
      </c>
      <c r="L678" s="3">
        <f>IF('Data Source'!B678="","",IF('Data Source'!AD678&gt;=5,"A+",IF('Data Source'!AD678&gt;=4,"A",IF('Data Source'!AD678&gt;=3.5,"A-",IF('Data Source'!AD678&gt;=3,"B",IF('Data Source'!AD678&gt;=2,"C",IF('Data Source'!AD678&gt;=1,"D","F")))))))</f>
        <v/>
      </c>
      <c r="M678" s="3">
        <f>IF('Data Source'!B678="","",IF('Data Source'!AE678&gt;=5,"A+",IF('Data Source'!AE678&gt;=4,"A",IF('Data Source'!AE678&gt;=3.5,"A-",IF('Data Source'!AE678&gt;=3,"B",IF('Data Source'!AE678&gt;=2,"C",IF('Data Source'!AE678&gt;=1,"D","F")))))))</f>
        <v/>
      </c>
      <c r="N678" s="3">
        <f>IF('Data Source'!B678="","",IF('Data Source'!AF678&gt;=5,"A+",IF('Data Source'!AF678&gt;=4,"A",IF('Data Source'!AF678&gt;=3.5,"A-",IF('Data Source'!AF678&gt;=3,"B",IF('Data Source'!AF678&gt;=2,"C",IF('Data Source'!AF678&gt;=1,"D","F")))))))</f>
        <v/>
      </c>
      <c r="O678" s="3">
        <f>IF('Data Source'!B678="","",IF('Data Source'!AG678&gt;=5,"A+",IF('Data Source'!AG678&gt;=4,"A",IF('Data Source'!AG678&gt;=3.5,"A-",IF('Data Source'!AG678&gt;=3,"B",IF('Data Source'!AG678&gt;=2,"C",IF('Data Source'!AG678&gt;=1,"D","F")))))))</f>
        <v/>
      </c>
      <c r="P678" s="5">
        <f>IF('Data Source'!B678="","",'Data Source'!R678)</f>
        <v/>
      </c>
      <c r="Q678" s="3">
        <f>IF('Data Source'!B678="","",'Data Source'!S678)</f>
        <v/>
      </c>
    </row>
    <row r="679">
      <c r="A679" s="3">
        <f>IF('Data Source'!B679="","",'Data Source'!A679)</f>
        <v/>
      </c>
      <c r="B679">
        <f>IF('Data Source'!B679="","",'Data Source'!B679)</f>
        <v/>
      </c>
      <c r="C679" s="3">
        <f>IF('Data Source'!B679="","",IF('Data Source'!U679&gt;=5,"A+",IF('Data Source'!U679&gt;=4,"A",IF('Data Source'!U679&gt;=3.5,"A-",IF('Data Source'!U679&gt;=3,"B",IF('Data Source'!U679&gt;=2,"C",IF('Data Source'!U679&gt;=1,"D","F")))))))</f>
        <v/>
      </c>
      <c r="D679" s="3">
        <f>IF('Data Source'!B679="","",IF('Data Source'!V679&gt;=5,"A+",IF('Data Source'!V679&gt;=4,"A",IF('Data Source'!V679&gt;=3.5,"A-",IF('Data Source'!V679&gt;=3,"B",IF('Data Source'!V679&gt;=2,"C",IF('Data Source'!V679&gt;=1,"D","F")))))))</f>
        <v/>
      </c>
      <c r="E679" s="3">
        <f>IF('Data Source'!B679="","",IF('Data Source'!W679&gt;=5,"A+",IF('Data Source'!W679&gt;=4,"A",IF('Data Source'!W679&gt;=3.5,"A-",IF('Data Source'!W679&gt;=3,"B",IF('Data Source'!W679&gt;=2,"C",IF('Data Source'!W679&gt;=1,"D","F")))))))</f>
        <v/>
      </c>
      <c r="F679" s="3">
        <f>IF('Data Source'!B679="","",IF('Data Source'!X679&gt;=5,"A+",IF('Data Source'!X679&gt;=4,"A",IF('Data Source'!X679&gt;=3.5,"A-",IF('Data Source'!X679&gt;=3,"B",IF('Data Source'!X679&gt;=2,"C",IF('Data Source'!X679&gt;=1,"D","F")))))))</f>
        <v/>
      </c>
      <c r="G679" s="3">
        <f>IF('Data Source'!B679="","",IF('Data Source'!Y679&gt;=5,"A+",IF('Data Source'!Y679&gt;=4,"A",IF('Data Source'!Y679&gt;=3.5,"A-",IF('Data Source'!Y679&gt;=3,"B",IF('Data Source'!Y679&gt;=2,"C",IF('Data Source'!Y679&gt;=1,"D","F")))))))</f>
        <v/>
      </c>
      <c r="H679" s="3">
        <f>IF('Data Source'!B679="","",IF('Data Source'!Z679&gt;=5,"A+",IF('Data Source'!Z679&gt;=4,"A",IF('Data Source'!Z679&gt;=3.5,"A-",IF('Data Source'!Z679&gt;=3,"B",IF('Data Source'!Z679&gt;=2,"C",IF('Data Source'!Z679&gt;=1,"D","F")))))))</f>
        <v/>
      </c>
      <c r="I679" s="3">
        <f>IF('Data Source'!B679="","",IF('Data Source'!AA679&gt;=5,"A+",IF('Data Source'!AA679&gt;=4,"A",IF('Data Source'!AA679&gt;=3.5,"A-",IF('Data Source'!AA679&gt;=3,"B",IF('Data Source'!AA679&gt;=2,"C",IF('Data Source'!AA679&gt;=1,"D","F")))))))</f>
        <v/>
      </c>
      <c r="J679" s="3">
        <f>IF('Data Source'!B679="","",IF('Data Source'!AB679&gt;=5,"A+",IF('Data Source'!AB679&gt;=4,"A",IF('Data Source'!AB679&gt;=3.5,"A-",IF('Data Source'!AB679&gt;=3,"B",IF('Data Source'!AB679&gt;=2,"C",IF('Data Source'!AB679&gt;=1,"D","F")))))))</f>
        <v/>
      </c>
      <c r="K679" s="3">
        <f>IF('Data Source'!B679="","",IF('Data Source'!AC679&gt;=5,"A+",IF('Data Source'!AC679&gt;=4,"A",IF('Data Source'!AC679&gt;=3.5,"A-",IF('Data Source'!AC679&gt;=3,"B",IF('Data Source'!AC679&gt;=2,"C",IF('Data Source'!AC679&gt;=1,"D","F")))))))</f>
        <v/>
      </c>
      <c r="L679" s="3">
        <f>IF('Data Source'!B679="","",IF('Data Source'!AD679&gt;=5,"A+",IF('Data Source'!AD679&gt;=4,"A",IF('Data Source'!AD679&gt;=3.5,"A-",IF('Data Source'!AD679&gt;=3,"B",IF('Data Source'!AD679&gt;=2,"C",IF('Data Source'!AD679&gt;=1,"D","F")))))))</f>
        <v/>
      </c>
      <c r="M679" s="3">
        <f>IF('Data Source'!B679="","",IF('Data Source'!AE679&gt;=5,"A+",IF('Data Source'!AE679&gt;=4,"A",IF('Data Source'!AE679&gt;=3.5,"A-",IF('Data Source'!AE679&gt;=3,"B",IF('Data Source'!AE679&gt;=2,"C",IF('Data Source'!AE679&gt;=1,"D","F")))))))</f>
        <v/>
      </c>
      <c r="N679" s="3">
        <f>IF('Data Source'!B679="","",IF('Data Source'!AF679&gt;=5,"A+",IF('Data Source'!AF679&gt;=4,"A",IF('Data Source'!AF679&gt;=3.5,"A-",IF('Data Source'!AF679&gt;=3,"B",IF('Data Source'!AF679&gt;=2,"C",IF('Data Source'!AF679&gt;=1,"D","F")))))))</f>
        <v/>
      </c>
      <c r="O679" s="3">
        <f>IF('Data Source'!B679="","",IF('Data Source'!AG679&gt;=5,"A+",IF('Data Source'!AG679&gt;=4,"A",IF('Data Source'!AG679&gt;=3.5,"A-",IF('Data Source'!AG679&gt;=3,"B",IF('Data Source'!AG679&gt;=2,"C",IF('Data Source'!AG679&gt;=1,"D","F")))))))</f>
        <v/>
      </c>
      <c r="P679" s="5">
        <f>IF('Data Source'!B679="","",'Data Source'!R679)</f>
        <v/>
      </c>
      <c r="Q679" s="3">
        <f>IF('Data Source'!B679="","",'Data Source'!S679)</f>
        <v/>
      </c>
    </row>
    <row r="680">
      <c r="A680" s="3">
        <f>IF('Data Source'!B680="","",'Data Source'!A680)</f>
        <v/>
      </c>
      <c r="B680">
        <f>IF('Data Source'!B680="","",'Data Source'!B680)</f>
        <v/>
      </c>
      <c r="C680" s="3">
        <f>IF('Data Source'!B680="","",IF('Data Source'!U680&gt;=5,"A+",IF('Data Source'!U680&gt;=4,"A",IF('Data Source'!U680&gt;=3.5,"A-",IF('Data Source'!U680&gt;=3,"B",IF('Data Source'!U680&gt;=2,"C",IF('Data Source'!U680&gt;=1,"D","F")))))))</f>
        <v/>
      </c>
      <c r="D680" s="3">
        <f>IF('Data Source'!B680="","",IF('Data Source'!V680&gt;=5,"A+",IF('Data Source'!V680&gt;=4,"A",IF('Data Source'!V680&gt;=3.5,"A-",IF('Data Source'!V680&gt;=3,"B",IF('Data Source'!V680&gt;=2,"C",IF('Data Source'!V680&gt;=1,"D","F")))))))</f>
        <v/>
      </c>
      <c r="E680" s="3">
        <f>IF('Data Source'!B680="","",IF('Data Source'!W680&gt;=5,"A+",IF('Data Source'!W680&gt;=4,"A",IF('Data Source'!W680&gt;=3.5,"A-",IF('Data Source'!W680&gt;=3,"B",IF('Data Source'!W680&gt;=2,"C",IF('Data Source'!W680&gt;=1,"D","F")))))))</f>
        <v/>
      </c>
      <c r="F680" s="3">
        <f>IF('Data Source'!B680="","",IF('Data Source'!X680&gt;=5,"A+",IF('Data Source'!X680&gt;=4,"A",IF('Data Source'!X680&gt;=3.5,"A-",IF('Data Source'!X680&gt;=3,"B",IF('Data Source'!X680&gt;=2,"C",IF('Data Source'!X680&gt;=1,"D","F")))))))</f>
        <v/>
      </c>
      <c r="G680" s="3">
        <f>IF('Data Source'!B680="","",IF('Data Source'!Y680&gt;=5,"A+",IF('Data Source'!Y680&gt;=4,"A",IF('Data Source'!Y680&gt;=3.5,"A-",IF('Data Source'!Y680&gt;=3,"B",IF('Data Source'!Y680&gt;=2,"C",IF('Data Source'!Y680&gt;=1,"D","F")))))))</f>
        <v/>
      </c>
      <c r="H680" s="3">
        <f>IF('Data Source'!B680="","",IF('Data Source'!Z680&gt;=5,"A+",IF('Data Source'!Z680&gt;=4,"A",IF('Data Source'!Z680&gt;=3.5,"A-",IF('Data Source'!Z680&gt;=3,"B",IF('Data Source'!Z680&gt;=2,"C",IF('Data Source'!Z680&gt;=1,"D","F")))))))</f>
        <v/>
      </c>
      <c r="I680" s="3">
        <f>IF('Data Source'!B680="","",IF('Data Source'!AA680&gt;=5,"A+",IF('Data Source'!AA680&gt;=4,"A",IF('Data Source'!AA680&gt;=3.5,"A-",IF('Data Source'!AA680&gt;=3,"B",IF('Data Source'!AA680&gt;=2,"C",IF('Data Source'!AA680&gt;=1,"D","F")))))))</f>
        <v/>
      </c>
      <c r="J680" s="3">
        <f>IF('Data Source'!B680="","",IF('Data Source'!AB680&gt;=5,"A+",IF('Data Source'!AB680&gt;=4,"A",IF('Data Source'!AB680&gt;=3.5,"A-",IF('Data Source'!AB680&gt;=3,"B",IF('Data Source'!AB680&gt;=2,"C",IF('Data Source'!AB680&gt;=1,"D","F")))))))</f>
        <v/>
      </c>
      <c r="K680" s="3">
        <f>IF('Data Source'!B680="","",IF('Data Source'!AC680&gt;=5,"A+",IF('Data Source'!AC680&gt;=4,"A",IF('Data Source'!AC680&gt;=3.5,"A-",IF('Data Source'!AC680&gt;=3,"B",IF('Data Source'!AC680&gt;=2,"C",IF('Data Source'!AC680&gt;=1,"D","F")))))))</f>
        <v/>
      </c>
      <c r="L680" s="3">
        <f>IF('Data Source'!B680="","",IF('Data Source'!AD680&gt;=5,"A+",IF('Data Source'!AD680&gt;=4,"A",IF('Data Source'!AD680&gt;=3.5,"A-",IF('Data Source'!AD680&gt;=3,"B",IF('Data Source'!AD680&gt;=2,"C",IF('Data Source'!AD680&gt;=1,"D","F")))))))</f>
        <v/>
      </c>
      <c r="M680" s="3">
        <f>IF('Data Source'!B680="","",IF('Data Source'!AE680&gt;=5,"A+",IF('Data Source'!AE680&gt;=4,"A",IF('Data Source'!AE680&gt;=3.5,"A-",IF('Data Source'!AE680&gt;=3,"B",IF('Data Source'!AE680&gt;=2,"C",IF('Data Source'!AE680&gt;=1,"D","F")))))))</f>
        <v/>
      </c>
      <c r="N680" s="3">
        <f>IF('Data Source'!B680="","",IF('Data Source'!AF680&gt;=5,"A+",IF('Data Source'!AF680&gt;=4,"A",IF('Data Source'!AF680&gt;=3.5,"A-",IF('Data Source'!AF680&gt;=3,"B",IF('Data Source'!AF680&gt;=2,"C",IF('Data Source'!AF680&gt;=1,"D","F")))))))</f>
        <v/>
      </c>
      <c r="O680" s="3">
        <f>IF('Data Source'!B680="","",IF('Data Source'!AG680&gt;=5,"A+",IF('Data Source'!AG680&gt;=4,"A",IF('Data Source'!AG680&gt;=3.5,"A-",IF('Data Source'!AG680&gt;=3,"B",IF('Data Source'!AG680&gt;=2,"C",IF('Data Source'!AG680&gt;=1,"D","F")))))))</f>
        <v/>
      </c>
      <c r="P680" s="5">
        <f>IF('Data Source'!B680="","",'Data Source'!R680)</f>
        <v/>
      </c>
      <c r="Q680" s="3">
        <f>IF('Data Source'!B680="","",'Data Source'!S680)</f>
        <v/>
      </c>
    </row>
    <row r="681">
      <c r="A681" s="3">
        <f>IF('Data Source'!B681="","",'Data Source'!A681)</f>
        <v/>
      </c>
      <c r="B681">
        <f>IF('Data Source'!B681="","",'Data Source'!B681)</f>
        <v/>
      </c>
      <c r="C681" s="3">
        <f>IF('Data Source'!B681="","",IF('Data Source'!U681&gt;=5,"A+",IF('Data Source'!U681&gt;=4,"A",IF('Data Source'!U681&gt;=3.5,"A-",IF('Data Source'!U681&gt;=3,"B",IF('Data Source'!U681&gt;=2,"C",IF('Data Source'!U681&gt;=1,"D","F")))))))</f>
        <v/>
      </c>
      <c r="D681" s="3">
        <f>IF('Data Source'!B681="","",IF('Data Source'!V681&gt;=5,"A+",IF('Data Source'!V681&gt;=4,"A",IF('Data Source'!V681&gt;=3.5,"A-",IF('Data Source'!V681&gt;=3,"B",IF('Data Source'!V681&gt;=2,"C",IF('Data Source'!V681&gt;=1,"D","F")))))))</f>
        <v/>
      </c>
      <c r="E681" s="3">
        <f>IF('Data Source'!B681="","",IF('Data Source'!W681&gt;=5,"A+",IF('Data Source'!W681&gt;=4,"A",IF('Data Source'!W681&gt;=3.5,"A-",IF('Data Source'!W681&gt;=3,"B",IF('Data Source'!W681&gt;=2,"C",IF('Data Source'!W681&gt;=1,"D","F")))))))</f>
        <v/>
      </c>
      <c r="F681" s="3">
        <f>IF('Data Source'!B681="","",IF('Data Source'!X681&gt;=5,"A+",IF('Data Source'!X681&gt;=4,"A",IF('Data Source'!X681&gt;=3.5,"A-",IF('Data Source'!X681&gt;=3,"B",IF('Data Source'!X681&gt;=2,"C",IF('Data Source'!X681&gt;=1,"D","F")))))))</f>
        <v/>
      </c>
      <c r="G681" s="3">
        <f>IF('Data Source'!B681="","",IF('Data Source'!Y681&gt;=5,"A+",IF('Data Source'!Y681&gt;=4,"A",IF('Data Source'!Y681&gt;=3.5,"A-",IF('Data Source'!Y681&gt;=3,"B",IF('Data Source'!Y681&gt;=2,"C",IF('Data Source'!Y681&gt;=1,"D","F")))))))</f>
        <v/>
      </c>
      <c r="H681" s="3">
        <f>IF('Data Source'!B681="","",IF('Data Source'!Z681&gt;=5,"A+",IF('Data Source'!Z681&gt;=4,"A",IF('Data Source'!Z681&gt;=3.5,"A-",IF('Data Source'!Z681&gt;=3,"B",IF('Data Source'!Z681&gt;=2,"C",IF('Data Source'!Z681&gt;=1,"D","F")))))))</f>
        <v/>
      </c>
      <c r="I681" s="3">
        <f>IF('Data Source'!B681="","",IF('Data Source'!AA681&gt;=5,"A+",IF('Data Source'!AA681&gt;=4,"A",IF('Data Source'!AA681&gt;=3.5,"A-",IF('Data Source'!AA681&gt;=3,"B",IF('Data Source'!AA681&gt;=2,"C",IF('Data Source'!AA681&gt;=1,"D","F")))))))</f>
        <v/>
      </c>
      <c r="J681" s="3">
        <f>IF('Data Source'!B681="","",IF('Data Source'!AB681&gt;=5,"A+",IF('Data Source'!AB681&gt;=4,"A",IF('Data Source'!AB681&gt;=3.5,"A-",IF('Data Source'!AB681&gt;=3,"B",IF('Data Source'!AB681&gt;=2,"C",IF('Data Source'!AB681&gt;=1,"D","F")))))))</f>
        <v/>
      </c>
      <c r="K681" s="3">
        <f>IF('Data Source'!B681="","",IF('Data Source'!AC681&gt;=5,"A+",IF('Data Source'!AC681&gt;=4,"A",IF('Data Source'!AC681&gt;=3.5,"A-",IF('Data Source'!AC681&gt;=3,"B",IF('Data Source'!AC681&gt;=2,"C",IF('Data Source'!AC681&gt;=1,"D","F")))))))</f>
        <v/>
      </c>
      <c r="L681" s="3">
        <f>IF('Data Source'!B681="","",IF('Data Source'!AD681&gt;=5,"A+",IF('Data Source'!AD681&gt;=4,"A",IF('Data Source'!AD681&gt;=3.5,"A-",IF('Data Source'!AD681&gt;=3,"B",IF('Data Source'!AD681&gt;=2,"C",IF('Data Source'!AD681&gt;=1,"D","F")))))))</f>
        <v/>
      </c>
      <c r="M681" s="3">
        <f>IF('Data Source'!B681="","",IF('Data Source'!AE681&gt;=5,"A+",IF('Data Source'!AE681&gt;=4,"A",IF('Data Source'!AE681&gt;=3.5,"A-",IF('Data Source'!AE681&gt;=3,"B",IF('Data Source'!AE681&gt;=2,"C",IF('Data Source'!AE681&gt;=1,"D","F")))))))</f>
        <v/>
      </c>
      <c r="N681" s="3">
        <f>IF('Data Source'!B681="","",IF('Data Source'!AF681&gt;=5,"A+",IF('Data Source'!AF681&gt;=4,"A",IF('Data Source'!AF681&gt;=3.5,"A-",IF('Data Source'!AF681&gt;=3,"B",IF('Data Source'!AF681&gt;=2,"C",IF('Data Source'!AF681&gt;=1,"D","F")))))))</f>
        <v/>
      </c>
      <c r="O681" s="3">
        <f>IF('Data Source'!B681="","",IF('Data Source'!AG681&gt;=5,"A+",IF('Data Source'!AG681&gt;=4,"A",IF('Data Source'!AG681&gt;=3.5,"A-",IF('Data Source'!AG681&gt;=3,"B",IF('Data Source'!AG681&gt;=2,"C",IF('Data Source'!AG681&gt;=1,"D","F")))))))</f>
        <v/>
      </c>
      <c r="P681" s="5">
        <f>IF('Data Source'!B681="","",'Data Source'!R681)</f>
        <v/>
      </c>
      <c r="Q681" s="3">
        <f>IF('Data Source'!B681="","",'Data Source'!S681)</f>
        <v/>
      </c>
    </row>
    <row r="682">
      <c r="A682" s="3">
        <f>IF('Data Source'!B682="","",'Data Source'!A682)</f>
        <v/>
      </c>
      <c r="B682">
        <f>IF('Data Source'!B682="","",'Data Source'!B682)</f>
        <v/>
      </c>
      <c r="C682" s="3">
        <f>IF('Data Source'!B682="","",IF('Data Source'!U682&gt;=5,"A+",IF('Data Source'!U682&gt;=4,"A",IF('Data Source'!U682&gt;=3.5,"A-",IF('Data Source'!U682&gt;=3,"B",IF('Data Source'!U682&gt;=2,"C",IF('Data Source'!U682&gt;=1,"D","F")))))))</f>
        <v/>
      </c>
      <c r="D682" s="3">
        <f>IF('Data Source'!B682="","",IF('Data Source'!V682&gt;=5,"A+",IF('Data Source'!V682&gt;=4,"A",IF('Data Source'!V682&gt;=3.5,"A-",IF('Data Source'!V682&gt;=3,"B",IF('Data Source'!V682&gt;=2,"C",IF('Data Source'!V682&gt;=1,"D","F")))))))</f>
        <v/>
      </c>
      <c r="E682" s="3">
        <f>IF('Data Source'!B682="","",IF('Data Source'!W682&gt;=5,"A+",IF('Data Source'!W682&gt;=4,"A",IF('Data Source'!W682&gt;=3.5,"A-",IF('Data Source'!W682&gt;=3,"B",IF('Data Source'!W682&gt;=2,"C",IF('Data Source'!W682&gt;=1,"D","F")))))))</f>
        <v/>
      </c>
      <c r="F682" s="3">
        <f>IF('Data Source'!B682="","",IF('Data Source'!X682&gt;=5,"A+",IF('Data Source'!X682&gt;=4,"A",IF('Data Source'!X682&gt;=3.5,"A-",IF('Data Source'!X682&gt;=3,"B",IF('Data Source'!X682&gt;=2,"C",IF('Data Source'!X682&gt;=1,"D","F")))))))</f>
        <v/>
      </c>
      <c r="G682" s="3">
        <f>IF('Data Source'!B682="","",IF('Data Source'!Y682&gt;=5,"A+",IF('Data Source'!Y682&gt;=4,"A",IF('Data Source'!Y682&gt;=3.5,"A-",IF('Data Source'!Y682&gt;=3,"B",IF('Data Source'!Y682&gt;=2,"C",IF('Data Source'!Y682&gt;=1,"D","F")))))))</f>
        <v/>
      </c>
      <c r="H682" s="3">
        <f>IF('Data Source'!B682="","",IF('Data Source'!Z682&gt;=5,"A+",IF('Data Source'!Z682&gt;=4,"A",IF('Data Source'!Z682&gt;=3.5,"A-",IF('Data Source'!Z682&gt;=3,"B",IF('Data Source'!Z682&gt;=2,"C",IF('Data Source'!Z682&gt;=1,"D","F")))))))</f>
        <v/>
      </c>
      <c r="I682" s="3">
        <f>IF('Data Source'!B682="","",IF('Data Source'!AA682&gt;=5,"A+",IF('Data Source'!AA682&gt;=4,"A",IF('Data Source'!AA682&gt;=3.5,"A-",IF('Data Source'!AA682&gt;=3,"B",IF('Data Source'!AA682&gt;=2,"C",IF('Data Source'!AA682&gt;=1,"D","F")))))))</f>
        <v/>
      </c>
      <c r="J682" s="3">
        <f>IF('Data Source'!B682="","",IF('Data Source'!AB682&gt;=5,"A+",IF('Data Source'!AB682&gt;=4,"A",IF('Data Source'!AB682&gt;=3.5,"A-",IF('Data Source'!AB682&gt;=3,"B",IF('Data Source'!AB682&gt;=2,"C",IF('Data Source'!AB682&gt;=1,"D","F")))))))</f>
        <v/>
      </c>
      <c r="K682" s="3">
        <f>IF('Data Source'!B682="","",IF('Data Source'!AC682&gt;=5,"A+",IF('Data Source'!AC682&gt;=4,"A",IF('Data Source'!AC682&gt;=3.5,"A-",IF('Data Source'!AC682&gt;=3,"B",IF('Data Source'!AC682&gt;=2,"C",IF('Data Source'!AC682&gt;=1,"D","F")))))))</f>
        <v/>
      </c>
      <c r="L682" s="3">
        <f>IF('Data Source'!B682="","",IF('Data Source'!AD682&gt;=5,"A+",IF('Data Source'!AD682&gt;=4,"A",IF('Data Source'!AD682&gt;=3.5,"A-",IF('Data Source'!AD682&gt;=3,"B",IF('Data Source'!AD682&gt;=2,"C",IF('Data Source'!AD682&gt;=1,"D","F")))))))</f>
        <v/>
      </c>
      <c r="M682" s="3">
        <f>IF('Data Source'!B682="","",IF('Data Source'!AE682&gt;=5,"A+",IF('Data Source'!AE682&gt;=4,"A",IF('Data Source'!AE682&gt;=3.5,"A-",IF('Data Source'!AE682&gt;=3,"B",IF('Data Source'!AE682&gt;=2,"C",IF('Data Source'!AE682&gt;=1,"D","F")))))))</f>
        <v/>
      </c>
      <c r="N682" s="3">
        <f>IF('Data Source'!B682="","",IF('Data Source'!AF682&gt;=5,"A+",IF('Data Source'!AF682&gt;=4,"A",IF('Data Source'!AF682&gt;=3.5,"A-",IF('Data Source'!AF682&gt;=3,"B",IF('Data Source'!AF682&gt;=2,"C",IF('Data Source'!AF682&gt;=1,"D","F")))))))</f>
        <v/>
      </c>
      <c r="O682" s="3">
        <f>IF('Data Source'!B682="","",IF('Data Source'!AG682&gt;=5,"A+",IF('Data Source'!AG682&gt;=4,"A",IF('Data Source'!AG682&gt;=3.5,"A-",IF('Data Source'!AG682&gt;=3,"B",IF('Data Source'!AG682&gt;=2,"C",IF('Data Source'!AG682&gt;=1,"D","F")))))))</f>
        <v/>
      </c>
      <c r="P682" s="5">
        <f>IF('Data Source'!B682="","",'Data Source'!R682)</f>
        <v/>
      </c>
      <c r="Q682" s="3">
        <f>IF('Data Source'!B682="","",'Data Source'!S682)</f>
        <v/>
      </c>
    </row>
    <row r="683">
      <c r="A683" s="3">
        <f>IF('Data Source'!B683="","",'Data Source'!A683)</f>
        <v/>
      </c>
      <c r="B683">
        <f>IF('Data Source'!B683="","",'Data Source'!B683)</f>
        <v/>
      </c>
      <c r="C683" s="3">
        <f>IF('Data Source'!B683="","",IF('Data Source'!U683&gt;=5,"A+",IF('Data Source'!U683&gt;=4,"A",IF('Data Source'!U683&gt;=3.5,"A-",IF('Data Source'!U683&gt;=3,"B",IF('Data Source'!U683&gt;=2,"C",IF('Data Source'!U683&gt;=1,"D","F")))))))</f>
        <v/>
      </c>
      <c r="D683" s="3">
        <f>IF('Data Source'!B683="","",IF('Data Source'!V683&gt;=5,"A+",IF('Data Source'!V683&gt;=4,"A",IF('Data Source'!V683&gt;=3.5,"A-",IF('Data Source'!V683&gt;=3,"B",IF('Data Source'!V683&gt;=2,"C",IF('Data Source'!V683&gt;=1,"D","F")))))))</f>
        <v/>
      </c>
      <c r="E683" s="3">
        <f>IF('Data Source'!B683="","",IF('Data Source'!W683&gt;=5,"A+",IF('Data Source'!W683&gt;=4,"A",IF('Data Source'!W683&gt;=3.5,"A-",IF('Data Source'!W683&gt;=3,"B",IF('Data Source'!W683&gt;=2,"C",IF('Data Source'!W683&gt;=1,"D","F")))))))</f>
        <v/>
      </c>
      <c r="F683" s="3">
        <f>IF('Data Source'!B683="","",IF('Data Source'!X683&gt;=5,"A+",IF('Data Source'!X683&gt;=4,"A",IF('Data Source'!X683&gt;=3.5,"A-",IF('Data Source'!X683&gt;=3,"B",IF('Data Source'!X683&gt;=2,"C",IF('Data Source'!X683&gt;=1,"D","F")))))))</f>
        <v/>
      </c>
      <c r="G683" s="3">
        <f>IF('Data Source'!B683="","",IF('Data Source'!Y683&gt;=5,"A+",IF('Data Source'!Y683&gt;=4,"A",IF('Data Source'!Y683&gt;=3.5,"A-",IF('Data Source'!Y683&gt;=3,"B",IF('Data Source'!Y683&gt;=2,"C",IF('Data Source'!Y683&gt;=1,"D","F")))))))</f>
        <v/>
      </c>
      <c r="H683" s="3">
        <f>IF('Data Source'!B683="","",IF('Data Source'!Z683&gt;=5,"A+",IF('Data Source'!Z683&gt;=4,"A",IF('Data Source'!Z683&gt;=3.5,"A-",IF('Data Source'!Z683&gt;=3,"B",IF('Data Source'!Z683&gt;=2,"C",IF('Data Source'!Z683&gt;=1,"D","F")))))))</f>
        <v/>
      </c>
      <c r="I683" s="3">
        <f>IF('Data Source'!B683="","",IF('Data Source'!AA683&gt;=5,"A+",IF('Data Source'!AA683&gt;=4,"A",IF('Data Source'!AA683&gt;=3.5,"A-",IF('Data Source'!AA683&gt;=3,"B",IF('Data Source'!AA683&gt;=2,"C",IF('Data Source'!AA683&gt;=1,"D","F")))))))</f>
        <v/>
      </c>
      <c r="J683" s="3">
        <f>IF('Data Source'!B683="","",IF('Data Source'!AB683&gt;=5,"A+",IF('Data Source'!AB683&gt;=4,"A",IF('Data Source'!AB683&gt;=3.5,"A-",IF('Data Source'!AB683&gt;=3,"B",IF('Data Source'!AB683&gt;=2,"C",IF('Data Source'!AB683&gt;=1,"D","F")))))))</f>
        <v/>
      </c>
      <c r="K683" s="3">
        <f>IF('Data Source'!B683="","",IF('Data Source'!AC683&gt;=5,"A+",IF('Data Source'!AC683&gt;=4,"A",IF('Data Source'!AC683&gt;=3.5,"A-",IF('Data Source'!AC683&gt;=3,"B",IF('Data Source'!AC683&gt;=2,"C",IF('Data Source'!AC683&gt;=1,"D","F")))))))</f>
        <v/>
      </c>
      <c r="L683" s="3">
        <f>IF('Data Source'!B683="","",IF('Data Source'!AD683&gt;=5,"A+",IF('Data Source'!AD683&gt;=4,"A",IF('Data Source'!AD683&gt;=3.5,"A-",IF('Data Source'!AD683&gt;=3,"B",IF('Data Source'!AD683&gt;=2,"C",IF('Data Source'!AD683&gt;=1,"D","F")))))))</f>
        <v/>
      </c>
      <c r="M683" s="3">
        <f>IF('Data Source'!B683="","",IF('Data Source'!AE683&gt;=5,"A+",IF('Data Source'!AE683&gt;=4,"A",IF('Data Source'!AE683&gt;=3.5,"A-",IF('Data Source'!AE683&gt;=3,"B",IF('Data Source'!AE683&gt;=2,"C",IF('Data Source'!AE683&gt;=1,"D","F")))))))</f>
        <v/>
      </c>
      <c r="N683" s="3">
        <f>IF('Data Source'!B683="","",IF('Data Source'!AF683&gt;=5,"A+",IF('Data Source'!AF683&gt;=4,"A",IF('Data Source'!AF683&gt;=3.5,"A-",IF('Data Source'!AF683&gt;=3,"B",IF('Data Source'!AF683&gt;=2,"C",IF('Data Source'!AF683&gt;=1,"D","F")))))))</f>
        <v/>
      </c>
      <c r="O683" s="3">
        <f>IF('Data Source'!B683="","",IF('Data Source'!AG683&gt;=5,"A+",IF('Data Source'!AG683&gt;=4,"A",IF('Data Source'!AG683&gt;=3.5,"A-",IF('Data Source'!AG683&gt;=3,"B",IF('Data Source'!AG683&gt;=2,"C",IF('Data Source'!AG683&gt;=1,"D","F")))))))</f>
        <v/>
      </c>
      <c r="P683" s="5">
        <f>IF('Data Source'!B683="","",'Data Source'!R683)</f>
        <v/>
      </c>
      <c r="Q683" s="3">
        <f>IF('Data Source'!B683="","",'Data Source'!S683)</f>
        <v/>
      </c>
    </row>
    <row r="684">
      <c r="A684" s="3">
        <f>IF('Data Source'!B684="","",'Data Source'!A684)</f>
        <v/>
      </c>
      <c r="B684">
        <f>IF('Data Source'!B684="","",'Data Source'!B684)</f>
        <v/>
      </c>
      <c r="C684" s="3">
        <f>IF('Data Source'!B684="","",IF('Data Source'!U684&gt;=5,"A+",IF('Data Source'!U684&gt;=4,"A",IF('Data Source'!U684&gt;=3.5,"A-",IF('Data Source'!U684&gt;=3,"B",IF('Data Source'!U684&gt;=2,"C",IF('Data Source'!U684&gt;=1,"D","F")))))))</f>
        <v/>
      </c>
      <c r="D684" s="3">
        <f>IF('Data Source'!B684="","",IF('Data Source'!V684&gt;=5,"A+",IF('Data Source'!V684&gt;=4,"A",IF('Data Source'!V684&gt;=3.5,"A-",IF('Data Source'!V684&gt;=3,"B",IF('Data Source'!V684&gt;=2,"C",IF('Data Source'!V684&gt;=1,"D","F")))))))</f>
        <v/>
      </c>
      <c r="E684" s="3">
        <f>IF('Data Source'!B684="","",IF('Data Source'!W684&gt;=5,"A+",IF('Data Source'!W684&gt;=4,"A",IF('Data Source'!W684&gt;=3.5,"A-",IF('Data Source'!W684&gt;=3,"B",IF('Data Source'!W684&gt;=2,"C",IF('Data Source'!W684&gt;=1,"D","F")))))))</f>
        <v/>
      </c>
      <c r="F684" s="3">
        <f>IF('Data Source'!B684="","",IF('Data Source'!X684&gt;=5,"A+",IF('Data Source'!X684&gt;=4,"A",IF('Data Source'!X684&gt;=3.5,"A-",IF('Data Source'!X684&gt;=3,"B",IF('Data Source'!X684&gt;=2,"C",IF('Data Source'!X684&gt;=1,"D","F")))))))</f>
        <v/>
      </c>
      <c r="G684" s="3">
        <f>IF('Data Source'!B684="","",IF('Data Source'!Y684&gt;=5,"A+",IF('Data Source'!Y684&gt;=4,"A",IF('Data Source'!Y684&gt;=3.5,"A-",IF('Data Source'!Y684&gt;=3,"B",IF('Data Source'!Y684&gt;=2,"C",IF('Data Source'!Y684&gt;=1,"D","F")))))))</f>
        <v/>
      </c>
      <c r="H684" s="3">
        <f>IF('Data Source'!B684="","",IF('Data Source'!Z684&gt;=5,"A+",IF('Data Source'!Z684&gt;=4,"A",IF('Data Source'!Z684&gt;=3.5,"A-",IF('Data Source'!Z684&gt;=3,"B",IF('Data Source'!Z684&gt;=2,"C",IF('Data Source'!Z684&gt;=1,"D","F")))))))</f>
        <v/>
      </c>
      <c r="I684" s="3">
        <f>IF('Data Source'!B684="","",IF('Data Source'!AA684&gt;=5,"A+",IF('Data Source'!AA684&gt;=4,"A",IF('Data Source'!AA684&gt;=3.5,"A-",IF('Data Source'!AA684&gt;=3,"B",IF('Data Source'!AA684&gt;=2,"C",IF('Data Source'!AA684&gt;=1,"D","F")))))))</f>
        <v/>
      </c>
      <c r="J684" s="3">
        <f>IF('Data Source'!B684="","",IF('Data Source'!AB684&gt;=5,"A+",IF('Data Source'!AB684&gt;=4,"A",IF('Data Source'!AB684&gt;=3.5,"A-",IF('Data Source'!AB684&gt;=3,"B",IF('Data Source'!AB684&gt;=2,"C",IF('Data Source'!AB684&gt;=1,"D","F")))))))</f>
        <v/>
      </c>
      <c r="K684" s="3">
        <f>IF('Data Source'!B684="","",IF('Data Source'!AC684&gt;=5,"A+",IF('Data Source'!AC684&gt;=4,"A",IF('Data Source'!AC684&gt;=3.5,"A-",IF('Data Source'!AC684&gt;=3,"B",IF('Data Source'!AC684&gt;=2,"C",IF('Data Source'!AC684&gt;=1,"D","F")))))))</f>
        <v/>
      </c>
      <c r="L684" s="3">
        <f>IF('Data Source'!B684="","",IF('Data Source'!AD684&gt;=5,"A+",IF('Data Source'!AD684&gt;=4,"A",IF('Data Source'!AD684&gt;=3.5,"A-",IF('Data Source'!AD684&gt;=3,"B",IF('Data Source'!AD684&gt;=2,"C",IF('Data Source'!AD684&gt;=1,"D","F")))))))</f>
        <v/>
      </c>
      <c r="M684" s="3">
        <f>IF('Data Source'!B684="","",IF('Data Source'!AE684&gt;=5,"A+",IF('Data Source'!AE684&gt;=4,"A",IF('Data Source'!AE684&gt;=3.5,"A-",IF('Data Source'!AE684&gt;=3,"B",IF('Data Source'!AE684&gt;=2,"C",IF('Data Source'!AE684&gt;=1,"D","F")))))))</f>
        <v/>
      </c>
      <c r="N684" s="3">
        <f>IF('Data Source'!B684="","",IF('Data Source'!AF684&gt;=5,"A+",IF('Data Source'!AF684&gt;=4,"A",IF('Data Source'!AF684&gt;=3.5,"A-",IF('Data Source'!AF684&gt;=3,"B",IF('Data Source'!AF684&gt;=2,"C",IF('Data Source'!AF684&gt;=1,"D","F")))))))</f>
        <v/>
      </c>
      <c r="O684" s="3">
        <f>IF('Data Source'!B684="","",IF('Data Source'!AG684&gt;=5,"A+",IF('Data Source'!AG684&gt;=4,"A",IF('Data Source'!AG684&gt;=3.5,"A-",IF('Data Source'!AG684&gt;=3,"B",IF('Data Source'!AG684&gt;=2,"C",IF('Data Source'!AG684&gt;=1,"D","F")))))))</f>
        <v/>
      </c>
      <c r="P684" s="5">
        <f>IF('Data Source'!B684="","",'Data Source'!R684)</f>
        <v/>
      </c>
      <c r="Q684" s="3">
        <f>IF('Data Source'!B684="","",'Data Source'!S684)</f>
        <v/>
      </c>
    </row>
    <row r="685">
      <c r="A685" s="3">
        <f>IF('Data Source'!B685="","",'Data Source'!A685)</f>
        <v/>
      </c>
      <c r="B685">
        <f>IF('Data Source'!B685="","",'Data Source'!B685)</f>
        <v/>
      </c>
      <c r="C685" s="3">
        <f>IF('Data Source'!B685="","",IF('Data Source'!U685&gt;=5,"A+",IF('Data Source'!U685&gt;=4,"A",IF('Data Source'!U685&gt;=3.5,"A-",IF('Data Source'!U685&gt;=3,"B",IF('Data Source'!U685&gt;=2,"C",IF('Data Source'!U685&gt;=1,"D","F")))))))</f>
        <v/>
      </c>
      <c r="D685" s="3">
        <f>IF('Data Source'!B685="","",IF('Data Source'!V685&gt;=5,"A+",IF('Data Source'!V685&gt;=4,"A",IF('Data Source'!V685&gt;=3.5,"A-",IF('Data Source'!V685&gt;=3,"B",IF('Data Source'!V685&gt;=2,"C",IF('Data Source'!V685&gt;=1,"D","F")))))))</f>
        <v/>
      </c>
      <c r="E685" s="3">
        <f>IF('Data Source'!B685="","",IF('Data Source'!W685&gt;=5,"A+",IF('Data Source'!W685&gt;=4,"A",IF('Data Source'!W685&gt;=3.5,"A-",IF('Data Source'!W685&gt;=3,"B",IF('Data Source'!W685&gt;=2,"C",IF('Data Source'!W685&gt;=1,"D","F")))))))</f>
        <v/>
      </c>
      <c r="F685" s="3">
        <f>IF('Data Source'!B685="","",IF('Data Source'!X685&gt;=5,"A+",IF('Data Source'!X685&gt;=4,"A",IF('Data Source'!X685&gt;=3.5,"A-",IF('Data Source'!X685&gt;=3,"B",IF('Data Source'!X685&gt;=2,"C",IF('Data Source'!X685&gt;=1,"D","F")))))))</f>
        <v/>
      </c>
      <c r="G685" s="3">
        <f>IF('Data Source'!B685="","",IF('Data Source'!Y685&gt;=5,"A+",IF('Data Source'!Y685&gt;=4,"A",IF('Data Source'!Y685&gt;=3.5,"A-",IF('Data Source'!Y685&gt;=3,"B",IF('Data Source'!Y685&gt;=2,"C",IF('Data Source'!Y685&gt;=1,"D","F")))))))</f>
        <v/>
      </c>
      <c r="H685" s="3">
        <f>IF('Data Source'!B685="","",IF('Data Source'!Z685&gt;=5,"A+",IF('Data Source'!Z685&gt;=4,"A",IF('Data Source'!Z685&gt;=3.5,"A-",IF('Data Source'!Z685&gt;=3,"B",IF('Data Source'!Z685&gt;=2,"C",IF('Data Source'!Z685&gt;=1,"D","F")))))))</f>
        <v/>
      </c>
      <c r="I685" s="3">
        <f>IF('Data Source'!B685="","",IF('Data Source'!AA685&gt;=5,"A+",IF('Data Source'!AA685&gt;=4,"A",IF('Data Source'!AA685&gt;=3.5,"A-",IF('Data Source'!AA685&gt;=3,"B",IF('Data Source'!AA685&gt;=2,"C",IF('Data Source'!AA685&gt;=1,"D","F")))))))</f>
        <v/>
      </c>
      <c r="J685" s="3">
        <f>IF('Data Source'!B685="","",IF('Data Source'!AB685&gt;=5,"A+",IF('Data Source'!AB685&gt;=4,"A",IF('Data Source'!AB685&gt;=3.5,"A-",IF('Data Source'!AB685&gt;=3,"B",IF('Data Source'!AB685&gt;=2,"C",IF('Data Source'!AB685&gt;=1,"D","F")))))))</f>
        <v/>
      </c>
      <c r="K685" s="3">
        <f>IF('Data Source'!B685="","",IF('Data Source'!AC685&gt;=5,"A+",IF('Data Source'!AC685&gt;=4,"A",IF('Data Source'!AC685&gt;=3.5,"A-",IF('Data Source'!AC685&gt;=3,"B",IF('Data Source'!AC685&gt;=2,"C",IF('Data Source'!AC685&gt;=1,"D","F")))))))</f>
        <v/>
      </c>
      <c r="L685" s="3">
        <f>IF('Data Source'!B685="","",IF('Data Source'!AD685&gt;=5,"A+",IF('Data Source'!AD685&gt;=4,"A",IF('Data Source'!AD685&gt;=3.5,"A-",IF('Data Source'!AD685&gt;=3,"B",IF('Data Source'!AD685&gt;=2,"C",IF('Data Source'!AD685&gt;=1,"D","F")))))))</f>
        <v/>
      </c>
      <c r="M685" s="3">
        <f>IF('Data Source'!B685="","",IF('Data Source'!AE685&gt;=5,"A+",IF('Data Source'!AE685&gt;=4,"A",IF('Data Source'!AE685&gt;=3.5,"A-",IF('Data Source'!AE685&gt;=3,"B",IF('Data Source'!AE685&gt;=2,"C",IF('Data Source'!AE685&gt;=1,"D","F")))))))</f>
        <v/>
      </c>
      <c r="N685" s="3">
        <f>IF('Data Source'!B685="","",IF('Data Source'!AF685&gt;=5,"A+",IF('Data Source'!AF685&gt;=4,"A",IF('Data Source'!AF685&gt;=3.5,"A-",IF('Data Source'!AF685&gt;=3,"B",IF('Data Source'!AF685&gt;=2,"C",IF('Data Source'!AF685&gt;=1,"D","F")))))))</f>
        <v/>
      </c>
      <c r="O685" s="3">
        <f>IF('Data Source'!B685="","",IF('Data Source'!AG685&gt;=5,"A+",IF('Data Source'!AG685&gt;=4,"A",IF('Data Source'!AG685&gt;=3.5,"A-",IF('Data Source'!AG685&gt;=3,"B",IF('Data Source'!AG685&gt;=2,"C",IF('Data Source'!AG685&gt;=1,"D","F")))))))</f>
        <v/>
      </c>
      <c r="P685" s="5">
        <f>IF('Data Source'!B685="","",'Data Source'!R685)</f>
        <v/>
      </c>
      <c r="Q685" s="3">
        <f>IF('Data Source'!B685="","",'Data Source'!S685)</f>
        <v/>
      </c>
    </row>
    <row r="686">
      <c r="A686" s="3">
        <f>IF('Data Source'!B686="","",'Data Source'!A686)</f>
        <v/>
      </c>
      <c r="B686">
        <f>IF('Data Source'!B686="","",'Data Source'!B686)</f>
        <v/>
      </c>
      <c r="C686" s="3">
        <f>IF('Data Source'!B686="","",IF('Data Source'!U686&gt;=5,"A+",IF('Data Source'!U686&gt;=4,"A",IF('Data Source'!U686&gt;=3.5,"A-",IF('Data Source'!U686&gt;=3,"B",IF('Data Source'!U686&gt;=2,"C",IF('Data Source'!U686&gt;=1,"D","F")))))))</f>
        <v/>
      </c>
      <c r="D686" s="3">
        <f>IF('Data Source'!B686="","",IF('Data Source'!V686&gt;=5,"A+",IF('Data Source'!V686&gt;=4,"A",IF('Data Source'!V686&gt;=3.5,"A-",IF('Data Source'!V686&gt;=3,"B",IF('Data Source'!V686&gt;=2,"C",IF('Data Source'!V686&gt;=1,"D","F")))))))</f>
        <v/>
      </c>
      <c r="E686" s="3">
        <f>IF('Data Source'!B686="","",IF('Data Source'!W686&gt;=5,"A+",IF('Data Source'!W686&gt;=4,"A",IF('Data Source'!W686&gt;=3.5,"A-",IF('Data Source'!W686&gt;=3,"B",IF('Data Source'!W686&gt;=2,"C",IF('Data Source'!W686&gt;=1,"D","F")))))))</f>
        <v/>
      </c>
      <c r="F686" s="3">
        <f>IF('Data Source'!B686="","",IF('Data Source'!X686&gt;=5,"A+",IF('Data Source'!X686&gt;=4,"A",IF('Data Source'!X686&gt;=3.5,"A-",IF('Data Source'!X686&gt;=3,"B",IF('Data Source'!X686&gt;=2,"C",IF('Data Source'!X686&gt;=1,"D","F")))))))</f>
        <v/>
      </c>
      <c r="G686" s="3">
        <f>IF('Data Source'!B686="","",IF('Data Source'!Y686&gt;=5,"A+",IF('Data Source'!Y686&gt;=4,"A",IF('Data Source'!Y686&gt;=3.5,"A-",IF('Data Source'!Y686&gt;=3,"B",IF('Data Source'!Y686&gt;=2,"C",IF('Data Source'!Y686&gt;=1,"D","F")))))))</f>
        <v/>
      </c>
      <c r="H686" s="3">
        <f>IF('Data Source'!B686="","",IF('Data Source'!Z686&gt;=5,"A+",IF('Data Source'!Z686&gt;=4,"A",IF('Data Source'!Z686&gt;=3.5,"A-",IF('Data Source'!Z686&gt;=3,"B",IF('Data Source'!Z686&gt;=2,"C",IF('Data Source'!Z686&gt;=1,"D","F")))))))</f>
        <v/>
      </c>
      <c r="I686" s="3">
        <f>IF('Data Source'!B686="","",IF('Data Source'!AA686&gt;=5,"A+",IF('Data Source'!AA686&gt;=4,"A",IF('Data Source'!AA686&gt;=3.5,"A-",IF('Data Source'!AA686&gt;=3,"B",IF('Data Source'!AA686&gt;=2,"C",IF('Data Source'!AA686&gt;=1,"D","F")))))))</f>
        <v/>
      </c>
      <c r="J686" s="3">
        <f>IF('Data Source'!B686="","",IF('Data Source'!AB686&gt;=5,"A+",IF('Data Source'!AB686&gt;=4,"A",IF('Data Source'!AB686&gt;=3.5,"A-",IF('Data Source'!AB686&gt;=3,"B",IF('Data Source'!AB686&gt;=2,"C",IF('Data Source'!AB686&gt;=1,"D","F")))))))</f>
        <v/>
      </c>
      <c r="K686" s="3">
        <f>IF('Data Source'!B686="","",IF('Data Source'!AC686&gt;=5,"A+",IF('Data Source'!AC686&gt;=4,"A",IF('Data Source'!AC686&gt;=3.5,"A-",IF('Data Source'!AC686&gt;=3,"B",IF('Data Source'!AC686&gt;=2,"C",IF('Data Source'!AC686&gt;=1,"D","F")))))))</f>
        <v/>
      </c>
      <c r="L686" s="3">
        <f>IF('Data Source'!B686="","",IF('Data Source'!AD686&gt;=5,"A+",IF('Data Source'!AD686&gt;=4,"A",IF('Data Source'!AD686&gt;=3.5,"A-",IF('Data Source'!AD686&gt;=3,"B",IF('Data Source'!AD686&gt;=2,"C",IF('Data Source'!AD686&gt;=1,"D","F")))))))</f>
        <v/>
      </c>
      <c r="M686" s="3">
        <f>IF('Data Source'!B686="","",IF('Data Source'!AE686&gt;=5,"A+",IF('Data Source'!AE686&gt;=4,"A",IF('Data Source'!AE686&gt;=3.5,"A-",IF('Data Source'!AE686&gt;=3,"B",IF('Data Source'!AE686&gt;=2,"C",IF('Data Source'!AE686&gt;=1,"D","F")))))))</f>
        <v/>
      </c>
      <c r="N686" s="3">
        <f>IF('Data Source'!B686="","",IF('Data Source'!AF686&gt;=5,"A+",IF('Data Source'!AF686&gt;=4,"A",IF('Data Source'!AF686&gt;=3.5,"A-",IF('Data Source'!AF686&gt;=3,"B",IF('Data Source'!AF686&gt;=2,"C",IF('Data Source'!AF686&gt;=1,"D","F")))))))</f>
        <v/>
      </c>
      <c r="O686" s="3">
        <f>IF('Data Source'!B686="","",IF('Data Source'!AG686&gt;=5,"A+",IF('Data Source'!AG686&gt;=4,"A",IF('Data Source'!AG686&gt;=3.5,"A-",IF('Data Source'!AG686&gt;=3,"B",IF('Data Source'!AG686&gt;=2,"C",IF('Data Source'!AG686&gt;=1,"D","F")))))))</f>
        <v/>
      </c>
      <c r="P686" s="5">
        <f>IF('Data Source'!B686="","",'Data Source'!R686)</f>
        <v/>
      </c>
      <c r="Q686" s="3">
        <f>IF('Data Source'!B686="","",'Data Source'!S686)</f>
        <v/>
      </c>
    </row>
    <row r="687">
      <c r="A687" s="3">
        <f>IF('Data Source'!B687="","",'Data Source'!A687)</f>
        <v/>
      </c>
      <c r="B687">
        <f>IF('Data Source'!B687="","",'Data Source'!B687)</f>
        <v/>
      </c>
      <c r="C687" s="3">
        <f>IF('Data Source'!B687="","",IF('Data Source'!U687&gt;=5,"A+",IF('Data Source'!U687&gt;=4,"A",IF('Data Source'!U687&gt;=3.5,"A-",IF('Data Source'!U687&gt;=3,"B",IF('Data Source'!U687&gt;=2,"C",IF('Data Source'!U687&gt;=1,"D","F")))))))</f>
        <v/>
      </c>
      <c r="D687" s="3">
        <f>IF('Data Source'!B687="","",IF('Data Source'!V687&gt;=5,"A+",IF('Data Source'!V687&gt;=4,"A",IF('Data Source'!V687&gt;=3.5,"A-",IF('Data Source'!V687&gt;=3,"B",IF('Data Source'!V687&gt;=2,"C",IF('Data Source'!V687&gt;=1,"D","F")))))))</f>
        <v/>
      </c>
      <c r="E687" s="3">
        <f>IF('Data Source'!B687="","",IF('Data Source'!W687&gt;=5,"A+",IF('Data Source'!W687&gt;=4,"A",IF('Data Source'!W687&gt;=3.5,"A-",IF('Data Source'!W687&gt;=3,"B",IF('Data Source'!W687&gt;=2,"C",IF('Data Source'!W687&gt;=1,"D","F")))))))</f>
        <v/>
      </c>
      <c r="F687" s="3">
        <f>IF('Data Source'!B687="","",IF('Data Source'!X687&gt;=5,"A+",IF('Data Source'!X687&gt;=4,"A",IF('Data Source'!X687&gt;=3.5,"A-",IF('Data Source'!X687&gt;=3,"B",IF('Data Source'!X687&gt;=2,"C",IF('Data Source'!X687&gt;=1,"D","F")))))))</f>
        <v/>
      </c>
      <c r="G687" s="3">
        <f>IF('Data Source'!B687="","",IF('Data Source'!Y687&gt;=5,"A+",IF('Data Source'!Y687&gt;=4,"A",IF('Data Source'!Y687&gt;=3.5,"A-",IF('Data Source'!Y687&gt;=3,"B",IF('Data Source'!Y687&gt;=2,"C",IF('Data Source'!Y687&gt;=1,"D","F")))))))</f>
        <v/>
      </c>
      <c r="H687" s="3">
        <f>IF('Data Source'!B687="","",IF('Data Source'!Z687&gt;=5,"A+",IF('Data Source'!Z687&gt;=4,"A",IF('Data Source'!Z687&gt;=3.5,"A-",IF('Data Source'!Z687&gt;=3,"B",IF('Data Source'!Z687&gt;=2,"C",IF('Data Source'!Z687&gt;=1,"D","F")))))))</f>
        <v/>
      </c>
      <c r="I687" s="3">
        <f>IF('Data Source'!B687="","",IF('Data Source'!AA687&gt;=5,"A+",IF('Data Source'!AA687&gt;=4,"A",IF('Data Source'!AA687&gt;=3.5,"A-",IF('Data Source'!AA687&gt;=3,"B",IF('Data Source'!AA687&gt;=2,"C",IF('Data Source'!AA687&gt;=1,"D","F")))))))</f>
        <v/>
      </c>
      <c r="J687" s="3">
        <f>IF('Data Source'!B687="","",IF('Data Source'!AB687&gt;=5,"A+",IF('Data Source'!AB687&gt;=4,"A",IF('Data Source'!AB687&gt;=3.5,"A-",IF('Data Source'!AB687&gt;=3,"B",IF('Data Source'!AB687&gt;=2,"C",IF('Data Source'!AB687&gt;=1,"D","F")))))))</f>
        <v/>
      </c>
      <c r="K687" s="3">
        <f>IF('Data Source'!B687="","",IF('Data Source'!AC687&gt;=5,"A+",IF('Data Source'!AC687&gt;=4,"A",IF('Data Source'!AC687&gt;=3.5,"A-",IF('Data Source'!AC687&gt;=3,"B",IF('Data Source'!AC687&gt;=2,"C",IF('Data Source'!AC687&gt;=1,"D","F")))))))</f>
        <v/>
      </c>
      <c r="L687" s="3">
        <f>IF('Data Source'!B687="","",IF('Data Source'!AD687&gt;=5,"A+",IF('Data Source'!AD687&gt;=4,"A",IF('Data Source'!AD687&gt;=3.5,"A-",IF('Data Source'!AD687&gt;=3,"B",IF('Data Source'!AD687&gt;=2,"C",IF('Data Source'!AD687&gt;=1,"D","F")))))))</f>
        <v/>
      </c>
      <c r="M687" s="3">
        <f>IF('Data Source'!B687="","",IF('Data Source'!AE687&gt;=5,"A+",IF('Data Source'!AE687&gt;=4,"A",IF('Data Source'!AE687&gt;=3.5,"A-",IF('Data Source'!AE687&gt;=3,"B",IF('Data Source'!AE687&gt;=2,"C",IF('Data Source'!AE687&gt;=1,"D","F")))))))</f>
        <v/>
      </c>
      <c r="N687" s="3">
        <f>IF('Data Source'!B687="","",IF('Data Source'!AF687&gt;=5,"A+",IF('Data Source'!AF687&gt;=4,"A",IF('Data Source'!AF687&gt;=3.5,"A-",IF('Data Source'!AF687&gt;=3,"B",IF('Data Source'!AF687&gt;=2,"C",IF('Data Source'!AF687&gt;=1,"D","F")))))))</f>
        <v/>
      </c>
      <c r="O687" s="3">
        <f>IF('Data Source'!B687="","",IF('Data Source'!AG687&gt;=5,"A+",IF('Data Source'!AG687&gt;=4,"A",IF('Data Source'!AG687&gt;=3.5,"A-",IF('Data Source'!AG687&gt;=3,"B",IF('Data Source'!AG687&gt;=2,"C",IF('Data Source'!AG687&gt;=1,"D","F")))))))</f>
        <v/>
      </c>
      <c r="P687" s="5">
        <f>IF('Data Source'!B687="","",'Data Source'!R687)</f>
        <v/>
      </c>
      <c r="Q687" s="3">
        <f>IF('Data Source'!B687="","",'Data Source'!S687)</f>
        <v/>
      </c>
    </row>
    <row r="688">
      <c r="A688" s="3">
        <f>IF('Data Source'!B688="","",'Data Source'!A688)</f>
        <v/>
      </c>
      <c r="B688">
        <f>IF('Data Source'!B688="","",'Data Source'!B688)</f>
        <v/>
      </c>
      <c r="C688" s="3">
        <f>IF('Data Source'!B688="","",IF('Data Source'!U688&gt;=5,"A+",IF('Data Source'!U688&gt;=4,"A",IF('Data Source'!U688&gt;=3.5,"A-",IF('Data Source'!U688&gt;=3,"B",IF('Data Source'!U688&gt;=2,"C",IF('Data Source'!U688&gt;=1,"D","F")))))))</f>
        <v/>
      </c>
      <c r="D688" s="3">
        <f>IF('Data Source'!B688="","",IF('Data Source'!V688&gt;=5,"A+",IF('Data Source'!V688&gt;=4,"A",IF('Data Source'!V688&gt;=3.5,"A-",IF('Data Source'!V688&gt;=3,"B",IF('Data Source'!V688&gt;=2,"C",IF('Data Source'!V688&gt;=1,"D","F")))))))</f>
        <v/>
      </c>
      <c r="E688" s="3">
        <f>IF('Data Source'!B688="","",IF('Data Source'!W688&gt;=5,"A+",IF('Data Source'!W688&gt;=4,"A",IF('Data Source'!W688&gt;=3.5,"A-",IF('Data Source'!W688&gt;=3,"B",IF('Data Source'!W688&gt;=2,"C",IF('Data Source'!W688&gt;=1,"D","F")))))))</f>
        <v/>
      </c>
      <c r="F688" s="3">
        <f>IF('Data Source'!B688="","",IF('Data Source'!X688&gt;=5,"A+",IF('Data Source'!X688&gt;=4,"A",IF('Data Source'!X688&gt;=3.5,"A-",IF('Data Source'!X688&gt;=3,"B",IF('Data Source'!X688&gt;=2,"C",IF('Data Source'!X688&gt;=1,"D","F")))))))</f>
        <v/>
      </c>
      <c r="G688" s="3">
        <f>IF('Data Source'!B688="","",IF('Data Source'!Y688&gt;=5,"A+",IF('Data Source'!Y688&gt;=4,"A",IF('Data Source'!Y688&gt;=3.5,"A-",IF('Data Source'!Y688&gt;=3,"B",IF('Data Source'!Y688&gt;=2,"C",IF('Data Source'!Y688&gt;=1,"D","F")))))))</f>
        <v/>
      </c>
      <c r="H688" s="3">
        <f>IF('Data Source'!B688="","",IF('Data Source'!Z688&gt;=5,"A+",IF('Data Source'!Z688&gt;=4,"A",IF('Data Source'!Z688&gt;=3.5,"A-",IF('Data Source'!Z688&gt;=3,"B",IF('Data Source'!Z688&gt;=2,"C",IF('Data Source'!Z688&gt;=1,"D","F")))))))</f>
        <v/>
      </c>
      <c r="I688" s="3">
        <f>IF('Data Source'!B688="","",IF('Data Source'!AA688&gt;=5,"A+",IF('Data Source'!AA688&gt;=4,"A",IF('Data Source'!AA688&gt;=3.5,"A-",IF('Data Source'!AA688&gt;=3,"B",IF('Data Source'!AA688&gt;=2,"C",IF('Data Source'!AA688&gt;=1,"D","F")))))))</f>
        <v/>
      </c>
      <c r="J688" s="3">
        <f>IF('Data Source'!B688="","",IF('Data Source'!AB688&gt;=5,"A+",IF('Data Source'!AB688&gt;=4,"A",IF('Data Source'!AB688&gt;=3.5,"A-",IF('Data Source'!AB688&gt;=3,"B",IF('Data Source'!AB688&gt;=2,"C",IF('Data Source'!AB688&gt;=1,"D","F")))))))</f>
        <v/>
      </c>
      <c r="K688" s="3">
        <f>IF('Data Source'!B688="","",IF('Data Source'!AC688&gt;=5,"A+",IF('Data Source'!AC688&gt;=4,"A",IF('Data Source'!AC688&gt;=3.5,"A-",IF('Data Source'!AC688&gt;=3,"B",IF('Data Source'!AC688&gt;=2,"C",IF('Data Source'!AC688&gt;=1,"D","F")))))))</f>
        <v/>
      </c>
      <c r="L688" s="3">
        <f>IF('Data Source'!B688="","",IF('Data Source'!AD688&gt;=5,"A+",IF('Data Source'!AD688&gt;=4,"A",IF('Data Source'!AD688&gt;=3.5,"A-",IF('Data Source'!AD688&gt;=3,"B",IF('Data Source'!AD688&gt;=2,"C",IF('Data Source'!AD688&gt;=1,"D","F")))))))</f>
        <v/>
      </c>
      <c r="M688" s="3">
        <f>IF('Data Source'!B688="","",IF('Data Source'!AE688&gt;=5,"A+",IF('Data Source'!AE688&gt;=4,"A",IF('Data Source'!AE688&gt;=3.5,"A-",IF('Data Source'!AE688&gt;=3,"B",IF('Data Source'!AE688&gt;=2,"C",IF('Data Source'!AE688&gt;=1,"D","F")))))))</f>
        <v/>
      </c>
      <c r="N688" s="3">
        <f>IF('Data Source'!B688="","",IF('Data Source'!AF688&gt;=5,"A+",IF('Data Source'!AF688&gt;=4,"A",IF('Data Source'!AF688&gt;=3.5,"A-",IF('Data Source'!AF688&gt;=3,"B",IF('Data Source'!AF688&gt;=2,"C",IF('Data Source'!AF688&gt;=1,"D","F")))))))</f>
        <v/>
      </c>
      <c r="O688" s="3">
        <f>IF('Data Source'!B688="","",IF('Data Source'!AG688&gt;=5,"A+",IF('Data Source'!AG688&gt;=4,"A",IF('Data Source'!AG688&gt;=3.5,"A-",IF('Data Source'!AG688&gt;=3,"B",IF('Data Source'!AG688&gt;=2,"C",IF('Data Source'!AG688&gt;=1,"D","F")))))))</f>
        <v/>
      </c>
      <c r="P688" s="5">
        <f>IF('Data Source'!B688="","",'Data Source'!R688)</f>
        <v/>
      </c>
      <c r="Q688" s="3">
        <f>IF('Data Source'!B688="","",'Data Source'!S688)</f>
        <v/>
      </c>
    </row>
    <row r="689">
      <c r="A689" s="3">
        <f>IF('Data Source'!B689="","",'Data Source'!A689)</f>
        <v/>
      </c>
      <c r="B689">
        <f>IF('Data Source'!B689="","",'Data Source'!B689)</f>
        <v/>
      </c>
      <c r="C689" s="3">
        <f>IF('Data Source'!B689="","",IF('Data Source'!U689&gt;=5,"A+",IF('Data Source'!U689&gt;=4,"A",IF('Data Source'!U689&gt;=3.5,"A-",IF('Data Source'!U689&gt;=3,"B",IF('Data Source'!U689&gt;=2,"C",IF('Data Source'!U689&gt;=1,"D","F")))))))</f>
        <v/>
      </c>
      <c r="D689" s="3">
        <f>IF('Data Source'!B689="","",IF('Data Source'!V689&gt;=5,"A+",IF('Data Source'!V689&gt;=4,"A",IF('Data Source'!V689&gt;=3.5,"A-",IF('Data Source'!V689&gt;=3,"B",IF('Data Source'!V689&gt;=2,"C",IF('Data Source'!V689&gt;=1,"D","F")))))))</f>
        <v/>
      </c>
      <c r="E689" s="3">
        <f>IF('Data Source'!B689="","",IF('Data Source'!W689&gt;=5,"A+",IF('Data Source'!W689&gt;=4,"A",IF('Data Source'!W689&gt;=3.5,"A-",IF('Data Source'!W689&gt;=3,"B",IF('Data Source'!W689&gt;=2,"C",IF('Data Source'!W689&gt;=1,"D","F")))))))</f>
        <v/>
      </c>
      <c r="F689" s="3">
        <f>IF('Data Source'!B689="","",IF('Data Source'!X689&gt;=5,"A+",IF('Data Source'!X689&gt;=4,"A",IF('Data Source'!X689&gt;=3.5,"A-",IF('Data Source'!X689&gt;=3,"B",IF('Data Source'!X689&gt;=2,"C",IF('Data Source'!X689&gt;=1,"D","F")))))))</f>
        <v/>
      </c>
      <c r="G689" s="3">
        <f>IF('Data Source'!B689="","",IF('Data Source'!Y689&gt;=5,"A+",IF('Data Source'!Y689&gt;=4,"A",IF('Data Source'!Y689&gt;=3.5,"A-",IF('Data Source'!Y689&gt;=3,"B",IF('Data Source'!Y689&gt;=2,"C",IF('Data Source'!Y689&gt;=1,"D","F")))))))</f>
        <v/>
      </c>
      <c r="H689" s="3">
        <f>IF('Data Source'!B689="","",IF('Data Source'!Z689&gt;=5,"A+",IF('Data Source'!Z689&gt;=4,"A",IF('Data Source'!Z689&gt;=3.5,"A-",IF('Data Source'!Z689&gt;=3,"B",IF('Data Source'!Z689&gt;=2,"C",IF('Data Source'!Z689&gt;=1,"D","F")))))))</f>
        <v/>
      </c>
      <c r="I689" s="3">
        <f>IF('Data Source'!B689="","",IF('Data Source'!AA689&gt;=5,"A+",IF('Data Source'!AA689&gt;=4,"A",IF('Data Source'!AA689&gt;=3.5,"A-",IF('Data Source'!AA689&gt;=3,"B",IF('Data Source'!AA689&gt;=2,"C",IF('Data Source'!AA689&gt;=1,"D","F")))))))</f>
        <v/>
      </c>
      <c r="J689" s="3">
        <f>IF('Data Source'!B689="","",IF('Data Source'!AB689&gt;=5,"A+",IF('Data Source'!AB689&gt;=4,"A",IF('Data Source'!AB689&gt;=3.5,"A-",IF('Data Source'!AB689&gt;=3,"B",IF('Data Source'!AB689&gt;=2,"C",IF('Data Source'!AB689&gt;=1,"D","F")))))))</f>
        <v/>
      </c>
      <c r="K689" s="3">
        <f>IF('Data Source'!B689="","",IF('Data Source'!AC689&gt;=5,"A+",IF('Data Source'!AC689&gt;=4,"A",IF('Data Source'!AC689&gt;=3.5,"A-",IF('Data Source'!AC689&gt;=3,"B",IF('Data Source'!AC689&gt;=2,"C",IF('Data Source'!AC689&gt;=1,"D","F")))))))</f>
        <v/>
      </c>
      <c r="L689" s="3">
        <f>IF('Data Source'!B689="","",IF('Data Source'!AD689&gt;=5,"A+",IF('Data Source'!AD689&gt;=4,"A",IF('Data Source'!AD689&gt;=3.5,"A-",IF('Data Source'!AD689&gt;=3,"B",IF('Data Source'!AD689&gt;=2,"C",IF('Data Source'!AD689&gt;=1,"D","F")))))))</f>
        <v/>
      </c>
      <c r="M689" s="3">
        <f>IF('Data Source'!B689="","",IF('Data Source'!AE689&gt;=5,"A+",IF('Data Source'!AE689&gt;=4,"A",IF('Data Source'!AE689&gt;=3.5,"A-",IF('Data Source'!AE689&gt;=3,"B",IF('Data Source'!AE689&gt;=2,"C",IF('Data Source'!AE689&gt;=1,"D","F")))))))</f>
        <v/>
      </c>
      <c r="N689" s="3">
        <f>IF('Data Source'!B689="","",IF('Data Source'!AF689&gt;=5,"A+",IF('Data Source'!AF689&gt;=4,"A",IF('Data Source'!AF689&gt;=3.5,"A-",IF('Data Source'!AF689&gt;=3,"B",IF('Data Source'!AF689&gt;=2,"C",IF('Data Source'!AF689&gt;=1,"D","F")))))))</f>
        <v/>
      </c>
      <c r="O689" s="3">
        <f>IF('Data Source'!B689="","",IF('Data Source'!AG689&gt;=5,"A+",IF('Data Source'!AG689&gt;=4,"A",IF('Data Source'!AG689&gt;=3.5,"A-",IF('Data Source'!AG689&gt;=3,"B",IF('Data Source'!AG689&gt;=2,"C",IF('Data Source'!AG689&gt;=1,"D","F")))))))</f>
        <v/>
      </c>
      <c r="P689" s="5">
        <f>IF('Data Source'!B689="","",'Data Source'!R689)</f>
        <v/>
      </c>
      <c r="Q689" s="3">
        <f>IF('Data Source'!B689="","",'Data Source'!S689)</f>
        <v/>
      </c>
    </row>
    <row r="690">
      <c r="A690" s="3">
        <f>IF('Data Source'!B690="","",'Data Source'!A690)</f>
        <v/>
      </c>
      <c r="B690">
        <f>IF('Data Source'!B690="","",'Data Source'!B690)</f>
        <v/>
      </c>
      <c r="C690" s="3">
        <f>IF('Data Source'!B690="","",IF('Data Source'!U690&gt;=5,"A+",IF('Data Source'!U690&gt;=4,"A",IF('Data Source'!U690&gt;=3.5,"A-",IF('Data Source'!U690&gt;=3,"B",IF('Data Source'!U690&gt;=2,"C",IF('Data Source'!U690&gt;=1,"D","F")))))))</f>
        <v/>
      </c>
      <c r="D690" s="3">
        <f>IF('Data Source'!B690="","",IF('Data Source'!V690&gt;=5,"A+",IF('Data Source'!V690&gt;=4,"A",IF('Data Source'!V690&gt;=3.5,"A-",IF('Data Source'!V690&gt;=3,"B",IF('Data Source'!V690&gt;=2,"C",IF('Data Source'!V690&gt;=1,"D","F")))))))</f>
        <v/>
      </c>
      <c r="E690" s="3">
        <f>IF('Data Source'!B690="","",IF('Data Source'!W690&gt;=5,"A+",IF('Data Source'!W690&gt;=4,"A",IF('Data Source'!W690&gt;=3.5,"A-",IF('Data Source'!W690&gt;=3,"B",IF('Data Source'!W690&gt;=2,"C",IF('Data Source'!W690&gt;=1,"D","F")))))))</f>
        <v/>
      </c>
      <c r="F690" s="3">
        <f>IF('Data Source'!B690="","",IF('Data Source'!X690&gt;=5,"A+",IF('Data Source'!X690&gt;=4,"A",IF('Data Source'!X690&gt;=3.5,"A-",IF('Data Source'!X690&gt;=3,"B",IF('Data Source'!X690&gt;=2,"C",IF('Data Source'!X690&gt;=1,"D","F")))))))</f>
        <v/>
      </c>
      <c r="G690" s="3">
        <f>IF('Data Source'!B690="","",IF('Data Source'!Y690&gt;=5,"A+",IF('Data Source'!Y690&gt;=4,"A",IF('Data Source'!Y690&gt;=3.5,"A-",IF('Data Source'!Y690&gt;=3,"B",IF('Data Source'!Y690&gt;=2,"C",IF('Data Source'!Y690&gt;=1,"D","F")))))))</f>
        <v/>
      </c>
      <c r="H690" s="3">
        <f>IF('Data Source'!B690="","",IF('Data Source'!Z690&gt;=5,"A+",IF('Data Source'!Z690&gt;=4,"A",IF('Data Source'!Z690&gt;=3.5,"A-",IF('Data Source'!Z690&gt;=3,"B",IF('Data Source'!Z690&gt;=2,"C",IF('Data Source'!Z690&gt;=1,"D","F")))))))</f>
        <v/>
      </c>
      <c r="I690" s="3">
        <f>IF('Data Source'!B690="","",IF('Data Source'!AA690&gt;=5,"A+",IF('Data Source'!AA690&gt;=4,"A",IF('Data Source'!AA690&gt;=3.5,"A-",IF('Data Source'!AA690&gt;=3,"B",IF('Data Source'!AA690&gt;=2,"C",IF('Data Source'!AA690&gt;=1,"D","F")))))))</f>
        <v/>
      </c>
      <c r="J690" s="3">
        <f>IF('Data Source'!B690="","",IF('Data Source'!AB690&gt;=5,"A+",IF('Data Source'!AB690&gt;=4,"A",IF('Data Source'!AB690&gt;=3.5,"A-",IF('Data Source'!AB690&gt;=3,"B",IF('Data Source'!AB690&gt;=2,"C",IF('Data Source'!AB690&gt;=1,"D","F")))))))</f>
        <v/>
      </c>
      <c r="K690" s="3">
        <f>IF('Data Source'!B690="","",IF('Data Source'!AC690&gt;=5,"A+",IF('Data Source'!AC690&gt;=4,"A",IF('Data Source'!AC690&gt;=3.5,"A-",IF('Data Source'!AC690&gt;=3,"B",IF('Data Source'!AC690&gt;=2,"C",IF('Data Source'!AC690&gt;=1,"D","F")))))))</f>
        <v/>
      </c>
      <c r="L690" s="3">
        <f>IF('Data Source'!B690="","",IF('Data Source'!AD690&gt;=5,"A+",IF('Data Source'!AD690&gt;=4,"A",IF('Data Source'!AD690&gt;=3.5,"A-",IF('Data Source'!AD690&gt;=3,"B",IF('Data Source'!AD690&gt;=2,"C",IF('Data Source'!AD690&gt;=1,"D","F")))))))</f>
        <v/>
      </c>
      <c r="M690" s="3">
        <f>IF('Data Source'!B690="","",IF('Data Source'!AE690&gt;=5,"A+",IF('Data Source'!AE690&gt;=4,"A",IF('Data Source'!AE690&gt;=3.5,"A-",IF('Data Source'!AE690&gt;=3,"B",IF('Data Source'!AE690&gt;=2,"C",IF('Data Source'!AE690&gt;=1,"D","F")))))))</f>
        <v/>
      </c>
      <c r="N690" s="3">
        <f>IF('Data Source'!B690="","",IF('Data Source'!AF690&gt;=5,"A+",IF('Data Source'!AF690&gt;=4,"A",IF('Data Source'!AF690&gt;=3.5,"A-",IF('Data Source'!AF690&gt;=3,"B",IF('Data Source'!AF690&gt;=2,"C",IF('Data Source'!AF690&gt;=1,"D","F")))))))</f>
        <v/>
      </c>
      <c r="O690" s="3">
        <f>IF('Data Source'!B690="","",IF('Data Source'!AG690&gt;=5,"A+",IF('Data Source'!AG690&gt;=4,"A",IF('Data Source'!AG690&gt;=3.5,"A-",IF('Data Source'!AG690&gt;=3,"B",IF('Data Source'!AG690&gt;=2,"C",IF('Data Source'!AG690&gt;=1,"D","F")))))))</f>
        <v/>
      </c>
      <c r="P690" s="5">
        <f>IF('Data Source'!B690="","",'Data Source'!R690)</f>
        <v/>
      </c>
      <c r="Q690" s="3">
        <f>IF('Data Source'!B690="","",'Data Source'!S690)</f>
        <v/>
      </c>
    </row>
    <row r="691">
      <c r="A691" s="3">
        <f>IF('Data Source'!B691="","",'Data Source'!A691)</f>
        <v/>
      </c>
      <c r="B691">
        <f>IF('Data Source'!B691="","",'Data Source'!B691)</f>
        <v/>
      </c>
      <c r="C691" s="3">
        <f>IF('Data Source'!B691="","",IF('Data Source'!U691&gt;=5,"A+",IF('Data Source'!U691&gt;=4,"A",IF('Data Source'!U691&gt;=3.5,"A-",IF('Data Source'!U691&gt;=3,"B",IF('Data Source'!U691&gt;=2,"C",IF('Data Source'!U691&gt;=1,"D","F")))))))</f>
        <v/>
      </c>
      <c r="D691" s="3">
        <f>IF('Data Source'!B691="","",IF('Data Source'!V691&gt;=5,"A+",IF('Data Source'!V691&gt;=4,"A",IF('Data Source'!V691&gt;=3.5,"A-",IF('Data Source'!V691&gt;=3,"B",IF('Data Source'!V691&gt;=2,"C",IF('Data Source'!V691&gt;=1,"D","F")))))))</f>
        <v/>
      </c>
      <c r="E691" s="3">
        <f>IF('Data Source'!B691="","",IF('Data Source'!W691&gt;=5,"A+",IF('Data Source'!W691&gt;=4,"A",IF('Data Source'!W691&gt;=3.5,"A-",IF('Data Source'!W691&gt;=3,"B",IF('Data Source'!W691&gt;=2,"C",IF('Data Source'!W691&gt;=1,"D","F")))))))</f>
        <v/>
      </c>
      <c r="F691" s="3">
        <f>IF('Data Source'!B691="","",IF('Data Source'!X691&gt;=5,"A+",IF('Data Source'!X691&gt;=4,"A",IF('Data Source'!X691&gt;=3.5,"A-",IF('Data Source'!X691&gt;=3,"B",IF('Data Source'!X691&gt;=2,"C",IF('Data Source'!X691&gt;=1,"D","F")))))))</f>
        <v/>
      </c>
      <c r="G691" s="3">
        <f>IF('Data Source'!B691="","",IF('Data Source'!Y691&gt;=5,"A+",IF('Data Source'!Y691&gt;=4,"A",IF('Data Source'!Y691&gt;=3.5,"A-",IF('Data Source'!Y691&gt;=3,"B",IF('Data Source'!Y691&gt;=2,"C",IF('Data Source'!Y691&gt;=1,"D","F")))))))</f>
        <v/>
      </c>
      <c r="H691" s="3">
        <f>IF('Data Source'!B691="","",IF('Data Source'!Z691&gt;=5,"A+",IF('Data Source'!Z691&gt;=4,"A",IF('Data Source'!Z691&gt;=3.5,"A-",IF('Data Source'!Z691&gt;=3,"B",IF('Data Source'!Z691&gt;=2,"C",IF('Data Source'!Z691&gt;=1,"D","F")))))))</f>
        <v/>
      </c>
      <c r="I691" s="3">
        <f>IF('Data Source'!B691="","",IF('Data Source'!AA691&gt;=5,"A+",IF('Data Source'!AA691&gt;=4,"A",IF('Data Source'!AA691&gt;=3.5,"A-",IF('Data Source'!AA691&gt;=3,"B",IF('Data Source'!AA691&gt;=2,"C",IF('Data Source'!AA691&gt;=1,"D","F")))))))</f>
        <v/>
      </c>
      <c r="J691" s="3">
        <f>IF('Data Source'!B691="","",IF('Data Source'!AB691&gt;=5,"A+",IF('Data Source'!AB691&gt;=4,"A",IF('Data Source'!AB691&gt;=3.5,"A-",IF('Data Source'!AB691&gt;=3,"B",IF('Data Source'!AB691&gt;=2,"C",IF('Data Source'!AB691&gt;=1,"D","F")))))))</f>
        <v/>
      </c>
      <c r="K691" s="3">
        <f>IF('Data Source'!B691="","",IF('Data Source'!AC691&gt;=5,"A+",IF('Data Source'!AC691&gt;=4,"A",IF('Data Source'!AC691&gt;=3.5,"A-",IF('Data Source'!AC691&gt;=3,"B",IF('Data Source'!AC691&gt;=2,"C",IF('Data Source'!AC691&gt;=1,"D","F")))))))</f>
        <v/>
      </c>
      <c r="L691" s="3">
        <f>IF('Data Source'!B691="","",IF('Data Source'!AD691&gt;=5,"A+",IF('Data Source'!AD691&gt;=4,"A",IF('Data Source'!AD691&gt;=3.5,"A-",IF('Data Source'!AD691&gt;=3,"B",IF('Data Source'!AD691&gt;=2,"C",IF('Data Source'!AD691&gt;=1,"D","F")))))))</f>
        <v/>
      </c>
      <c r="M691" s="3">
        <f>IF('Data Source'!B691="","",IF('Data Source'!AE691&gt;=5,"A+",IF('Data Source'!AE691&gt;=4,"A",IF('Data Source'!AE691&gt;=3.5,"A-",IF('Data Source'!AE691&gt;=3,"B",IF('Data Source'!AE691&gt;=2,"C",IF('Data Source'!AE691&gt;=1,"D","F")))))))</f>
        <v/>
      </c>
      <c r="N691" s="3">
        <f>IF('Data Source'!B691="","",IF('Data Source'!AF691&gt;=5,"A+",IF('Data Source'!AF691&gt;=4,"A",IF('Data Source'!AF691&gt;=3.5,"A-",IF('Data Source'!AF691&gt;=3,"B",IF('Data Source'!AF691&gt;=2,"C",IF('Data Source'!AF691&gt;=1,"D","F")))))))</f>
        <v/>
      </c>
      <c r="O691" s="3">
        <f>IF('Data Source'!B691="","",IF('Data Source'!AG691&gt;=5,"A+",IF('Data Source'!AG691&gt;=4,"A",IF('Data Source'!AG691&gt;=3.5,"A-",IF('Data Source'!AG691&gt;=3,"B",IF('Data Source'!AG691&gt;=2,"C",IF('Data Source'!AG691&gt;=1,"D","F")))))))</f>
        <v/>
      </c>
      <c r="P691" s="5">
        <f>IF('Data Source'!B691="","",'Data Source'!R691)</f>
        <v/>
      </c>
      <c r="Q691" s="3">
        <f>IF('Data Source'!B691="","",'Data Source'!S691)</f>
        <v/>
      </c>
    </row>
    <row r="692">
      <c r="A692" s="3">
        <f>IF('Data Source'!B692="","",'Data Source'!A692)</f>
        <v/>
      </c>
      <c r="B692">
        <f>IF('Data Source'!B692="","",'Data Source'!B692)</f>
        <v/>
      </c>
      <c r="C692" s="3">
        <f>IF('Data Source'!B692="","",IF('Data Source'!U692&gt;=5,"A+",IF('Data Source'!U692&gt;=4,"A",IF('Data Source'!U692&gt;=3.5,"A-",IF('Data Source'!U692&gt;=3,"B",IF('Data Source'!U692&gt;=2,"C",IF('Data Source'!U692&gt;=1,"D","F")))))))</f>
        <v/>
      </c>
      <c r="D692" s="3">
        <f>IF('Data Source'!B692="","",IF('Data Source'!V692&gt;=5,"A+",IF('Data Source'!V692&gt;=4,"A",IF('Data Source'!V692&gt;=3.5,"A-",IF('Data Source'!V692&gt;=3,"B",IF('Data Source'!V692&gt;=2,"C",IF('Data Source'!V692&gt;=1,"D","F")))))))</f>
        <v/>
      </c>
      <c r="E692" s="3">
        <f>IF('Data Source'!B692="","",IF('Data Source'!W692&gt;=5,"A+",IF('Data Source'!W692&gt;=4,"A",IF('Data Source'!W692&gt;=3.5,"A-",IF('Data Source'!W692&gt;=3,"B",IF('Data Source'!W692&gt;=2,"C",IF('Data Source'!W692&gt;=1,"D","F")))))))</f>
        <v/>
      </c>
      <c r="F692" s="3">
        <f>IF('Data Source'!B692="","",IF('Data Source'!X692&gt;=5,"A+",IF('Data Source'!X692&gt;=4,"A",IF('Data Source'!X692&gt;=3.5,"A-",IF('Data Source'!X692&gt;=3,"B",IF('Data Source'!X692&gt;=2,"C",IF('Data Source'!X692&gt;=1,"D","F")))))))</f>
        <v/>
      </c>
      <c r="G692" s="3">
        <f>IF('Data Source'!B692="","",IF('Data Source'!Y692&gt;=5,"A+",IF('Data Source'!Y692&gt;=4,"A",IF('Data Source'!Y692&gt;=3.5,"A-",IF('Data Source'!Y692&gt;=3,"B",IF('Data Source'!Y692&gt;=2,"C",IF('Data Source'!Y692&gt;=1,"D","F")))))))</f>
        <v/>
      </c>
      <c r="H692" s="3">
        <f>IF('Data Source'!B692="","",IF('Data Source'!Z692&gt;=5,"A+",IF('Data Source'!Z692&gt;=4,"A",IF('Data Source'!Z692&gt;=3.5,"A-",IF('Data Source'!Z692&gt;=3,"B",IF('Data Source'!Z692&gt;=2,"C",IF('Data Source'!Z692&gt;=1,"D","F")))))))</f>
        <v/>
      </c>
      <c r="I692" s="3">
        <f>IF('Data Source'!B692="","",IF('Data Source'!AA692&gt;=5,"A+",IF('Data Source'!AA692&gt;=4,"A",IF('Data Source'!AA692&gt;=3.5,"A-",IF('Data Source'!AA692&gt;=3,"B",IF('Data Source'!AA692&gt;=2,"C",IF('Data Source'!AA692&gt;=1,"D","F")))))))</f>
        <v/>
      </c>
      <c r="J692" s="3">
        <f>IF('Data Source'!B692="","",IF('Data Source'!AB692&gt;=5,"A+",IF('Data Source'!AB692&gt;=4,"A",IF('Data Source'!AB692&gt;=3.5,"A-",IF('Data Source'!AB692&gt;=3,"B",IF('Data Source'!AB692&gt;=2,"C",IF('Data Source'!AB692&gt;=1,"D","F")))))))</f>
        <v/>
      </c>
      <c r="K692" s="3">
        <f>IF('Data Source'!B692="","",IF('Data Source'!AC692&gt;=5,"A+",IF('Data Source'!AC692&gt;=4,"A",IF('Data Source'!AC692&gt;=3.5,"A-",IF('Data Source'!AC692&gt;=3,"B",IF('Data Source'!AC692&gt;=2,"C",IF('Data Source'!AC692&gt;=1,"D","F")))))))</f>
        <v/>
      </c>
      <c r="L692" s="3">
        <f>IF('Data Source'!B692="","",IF('Data Source'!AD692&gt;=5,"A+",IF('Data Source'!AD692&gt;=4,"A",IF('Data Source'!AD692&gt;=3.5,"A-",IF('Data Source'!AD692&gt;=3,"B",IF('Data Source'!AD692&gt;=2,"C",IF('Data Source'!AD692&gt;=1,"D","F")))))))</f>
        <v/>
      </c>
      <c r="M692" s="3">
        <f>IF('Data Source'!B692="","",IF('Data Source'!AE692&gt;=5,"A+",IF('Data Source'!AE692&gt;=4,"A",IF('Data Source'!AE692&gt;=3.5,"A-",IF('Data Source'!AE692&gt;=3,"B",IF('Data Source'!AE692&gt;=2,"C",IF('Data Source'!AE692&gt;=1,"D","F")))))))</f>
        <v/>
      </c>
      <c r="N692" s="3">
        <f>IF('Data Source'!B692="","",IF('Data Source'!AF692&gt;=5,"A+",IF('Data Source'!AF692&gt;=4,"A",IF('Data Source'!AF692&gt;=3.5,"A-",IF('Data Source'!AF692&gt;=3,"B",IF('Data Source'!AF692&gt;=2,"C",IF('Data Source'!AF692&gt;=1,"D","F")))))))</f>
        <v/>
      </c>
      <c r="O692" s="3">
        <f>IF('Data Source'!B692="","",IF('Data Source'!AG692&gt;=5,"A+",IF('Data Source'!AG692&gt;=4,"A",IF('Data Source'!AG692&gt;=3.5,"A-",IF('Data Source'!AG692&gt;=3,"B",IF('Data Source'!AG692&gt;=2,"C",IF('Data Source'!AG692&gt;=1,"D","F")))))))</f>
        <v/>
      </c>
      <c r="P692" s="5">
        <f>IF('Data Source'!B692="","",'Data Source'!R692)</f>
        <v/>
      </c>
      <c r="Q692" s="3">
        <f>IF('Data Source'!B692="","",'Data Source'!S692)</f>
        <v/>
      </c>
    </row>
    <row r="693">
      <c r="A693" s="3">
        <f>IF('Data Source'!B693="","",'Data Source'!A693)</f>
        <v/>
      </c>
      <c r="B693">
        <f>IF('Data Source'!B693="","",'Data Source'!B693)</f>
        <v/>
      </c>
      <c r="C693" s="3">
        <f>IF('Data Source'!B693="","",IF('Data Source'!U693&gt;=5,"A+",IF('Data Source'!U693&gt;=4,"A",IF('Data Source'!U693&gt;=3.5,"A-",IF('Data Source'!U693&gt;=3,"B",IF('Data Source'!U693&gt;=2,"C",IF('Data Source'!U693&gt;=1,"D","F")))))))</f>
        <v/>
      </c>
      <c r="D693" s="3">
        <f>IF('Data Source'!B693="","",IF('Data Source'!V693&gt;=5,"A+",IF('Data Source'!V693&gt;=4,"A",IF('Data Source'!V693&gt;=3.5,"A-",IF('Data Source'!V693&gt;=3,"B",IF('Data Source'!V693&gt;=2,"C",IF('Data Source'!V693&gt;=1,"D","F")))))))</f>
        <v/>
      </c>
      <c r="E693" s="3">
        <f>IF('Data Source'!B693="","",IF('Data Source'!W693&gt;=5,"A+",IF('Data Source'!W693&gt;=4,"A",IF('Data Source'!W693&gt;=3.5,"A-",IF('Data Source'!W693&gt;=3,"B",IF('Data Source'!W693&gt;=2,"C",IF('Data Source'!W693&gt;=1,"D","F")))))))</f>
        <v/>
      </c>
      <c r="F693" s="3">
        <f>IF('Data Source'!B693="","",IF('Data Source'!X693&gt;=5,"A+",IF('Data Source'!X693&gt;=4,"A",IF('Data Source'!X693&gt;=3.5,"A-",IF('Data Source'!X693&gt;=3,"B",IF('Data Source'!X693&gt;=2,"C",IF('Data Source'!X693&gt;=1,"D","F")))))))</f>
        <v/>
      </c>
      <c r="G693" s="3">
        <f>IF('Data Source'!B693="","",IF('Data Source'!Y693&gt;=5,"A+",IF('Data Source'!Y693&gt;=4,"A",IF('Data Source'!Y693&gt;=3.5,"A-",IF('Data Source'!Y693&gt;=3,"B",IF('Data Source'!Y693&gt;=2,"C",IF('Data Source'!Y693&gt;=1,"D","F")))))))</f>
        <v/>
      </c>
      <c r="H693" s="3">
        <f>IF('Data Source'!B693="","",IF('Data Source'!Z693&gt;=5,"A+",IF('Data Source'!Z693&gt;=4,"A",IF('Data Source'!Z693&gt;=3.5,"A-",IF('Data Source'!Z693&gt;=3,"B",IF('Data Source'!Z693&gt;=2,"C",IF('Data Source'!Z693&gt;=1,"D","F")))))))</f>
        <v/>
      </c>
      <c r="I693" s="3">
        <f>IF('Data Source'!B693="","",IF('Data Source'!AA693&gt;=5,"A+",IF('Data Source'!AA693&gt;=4,"A",IF('Data Source'!AA693&gt;=3.5,"A-",IF('Data Source'!AA693&gt;=3,"B",IF('Data Source'!AA693&gt;=2,"C",IF('Data Source'!AA693&gt;=1,"D","F")))))))</f>
        <v/>
      </c>
      <c r="J693" s="3">
        <f>IF('Data Source'!B693="","",IF('Data Source'!AB693&gt;=5,"A+",IF('Data Source'!AB693&gt;=4,"A",IF('Data Source'!AB693&gt;=3.5,"A-",IF('Data Source'!AB693&gt;=3,"B",IF('Data Source'!AB693&gt;=2,"C",IF('Data Source'!AB693&gt;=1,"D","F")))))))</f>
        <v/>
      </c>
      <c r="K693" s="3">
        <f>IF('Data Source'!B693="","",IF('Data Source'!AC693&gt;=5,"A+",IF('Data Source'!AC693&gt;=4,"A",IF('Data Source'!AC693&gt;=3.5,"A-",IF('Data Source'!AC693&gt;=3,"B",IF('Data Source'!AC693&gt;=2,"C",IF('Data Source'!AC693&gt;=1,"D","F")))))))</f>
        <v/>
      </c>
      <c r="L693" s="3">
        <f>IF('Data Source'!B693="","",IF('Data Source'!AD693&gt;=5,"A+",IF('Data Source'!AD693&gt;=4,"A",IF('Data Source'!AD693&gt;=3.5,"A-",IF('Data Source'!AD693&gt;=3,"B",IF('Data Source'!AD693&gt;=2,"C",IF('Data Source'!AD693&gt;=1,"D","F")))))))</f>
        <v/>
      </c>
      <c r="M693" s="3">
        <f>IF('Data Source'!B693="","",IF('Data Source'!AE693&gt;=5,"A+",IF('Data Source'!AE693&gt;=4,"A",IF('Data Source'!AE693&gt;=3.5,"A-",IF('Data Source'!AE693&gt;=3,"B",IF('Data Source'!AE693&gt;=2,"C",IF('Data Source'!AE693&gt;=1,"D","F")))))))</f>
        <v/>
      </c>
      <c r="N693" s="3">
        <f>IF('Data Source'!B693="","",IF('Data Source'!AF693&gt;=5,"A+",IF('Data Source'!AF693&gt;=4,"A",IF('Data Source'!AF693&gt;=3.5,"A-",IF('Data Source'!AF693&gt;=3,"B",IF('Data Source'!AF693&gt;=2,"C",IF('Data Source'!AF693&gt;=1,"D","F")))))))</f>
        <v/>
      </c>
      <c r="O693" s="3">
        <f>IF('Data Source'!B693="","",IF('Data Source'!AG693&gt;=5,"A+",IF('Data Source'!AG693&gt;=4,"A",IF('Data Source'!AG693&gt;=3.5,"A-",IF('Data Source'!AG693&gt;=3,"B",IF('Data Source'!AG693&gt;=2,"C",IF('Data Source'!AG693&gt;=1,"D","F")))))))</f>
        <v/>
      </c>
      <c r="P693" s="5">
        <f>IF('Data Source'!B693="","",'Data Source'!R693)</f>
        <v/>
      </c>
      <c r="Q693" s="3">
        <f>IF('Data Source'!B693="","",'Data Source'!S693)</f>
        <v/>
      </c>
    </row>
    <row r="694">
      <c r="A694" s="3">
        <f>IF('Data Source'!B694="","",'Data Source'!A694)</f>
        <v/>
      </c>
      <c r="B694">
        <f>IF('Data Source'!B694="","",'Data Source'!B694)</f>
        <v/>
      </c>
      <c r="C694" s="3">
        <f>IF('Data Source'!B694="","",IF('Data Source'!U694&gt;=5,"A+",IF('Data Source'!U694&gt;=4,"A",IF('Data Source'!U694&gt;=3.5,"A-",IF('Data Source'!U694&gt;=3,"B",IF('Data Source'!U694&gt;=2,"C",IF('Data Source'!U694&gt;=1,"D","F")))))))</f>
        <v/>
      </c>
      <c r="D694" s="3">
        <f>IF('Data Source'!B694="","",IF('Data Source'!V694&gt;=5,"A+",IF('Data Source'!V694&gt;=4,"A",IF('Data Source'!V694&gt;=3.5,"A-",IF('Data Source'!V694&gt;=3,"B",IF('Data Source'!V694&gt;=2,"C",IF('Data Source'!V694&gt;=1,"D","F")))))))</f>
        <v/>
      </c>
      <c r="E694" s="3">
        <f>IF('Data Source'!B694="","",IF('Data Source'!W694&gt;=5,"A+",IF('Data Source'!W694&gt;=4,"A",IF('Data Source'!W694&gt;=3.5,"A-",IF('Data Source'!W694&gt;=3,"B",IF('Data Source'!W694&gt;=2,"C",IF('Data Source'!W694&gt;=1,"D","F")))))))</f>
        <v/>
      </c>
      <c r="F694" s="3">
        <f>IF('Data Source'!B694="","",IF('Data Source'!X694&gt;=5,"A+",IF('Data Source'!X694&gt;=4,"A",IF('Data Source'!X694&gt;=3.5,"A-",IF('Data Source'!X694&gt;=3,"B",IF('Data Source'!X694&gt;=2,"C",IF('Data Source'!X694&gt;=1,"D","F")))))))</f>
        <v/>
      </c>
      <c r="G694" s="3">
        <f>IF('Data Source'!B694="","",IF('Data Source'!Y694&gt;=5,"A+",IF('Data Source'!Y694&gt;=4,"A",IF('Data Source'!Y694&gt;=3.5,"A-",IF('Data Source'!Y694&gt;=3,"B",IF('Data Source'!Y694&gt;=2,"C",IF('Data Source'!Y694&gt;=1,"D","F")))))))</f>
        <v/>
      </c>
      <c r="H694" s="3">
        <f>IF('Data Source'!B694="","",IF('Data Source'!Z694&gt;=5,"A+",IF('Data Source'!Z694&gt;=4,"A",IF('Data Source'!Z694&gt;=3.5,"A-",IF('Data Source'!Z694&gt;=3,"B",IF('Data Source'!Z694&gt;=2,"C",IF('Data Source'!Z694&gt;=1,"D","F")))))))</f>
        <v/>
      </c>
      <c r="I694" s="3">
        <f>IF('Data Source'!B694="","",IF('Data Source'!AA694&gt;=5,"A+",IF('Data Source'!AA694&gt;=4,"A",IF('Data Source'!AA694&gt;=3.5,"A-",IF('Data Source'!AA694&gt;=3,"B",IF('Data Source'!AA694&gt;=2,"C",IF('Data Source'!AA694&gt;=1,"D","F")))))))</f>
        <v/>
      </c>
      <c r="J694" s="3">
        <f>IF('Data Source'!B694="","",IF('Data Source'!AB694&gt;=5,"A+",IF('Data Source'!AB694&gt;=4,"A",IF('Data Source'!AB694&gt;=3.5,"A-",IF('Data Source'!AB694&gt;=3,"B",IF('Data Source'!AB694&gt;=2,"C",IF('Data Source'!AB694&gt;=1,"D","F")))))))</f>
        <v/>
      </c>
      <c r="K694" s="3">
        <f>IF('Data Source'!B694="","",IF('Data Source'!AC694&gt;=5,"A+",IF('Data Source'!AC694&gt;=4,"A",IF('Data Source'!AC694&gt;=3.5,"A-",IF('Data Source'!AC694&gt;=3,"B",IF('Data Source'!AC694&gt;=2,"C",IF('Data Source'!AC694&gt;=1,"D","F")))))))</f>
        <v/>
      </c>
      <c r="L694" s="3">
        <f>IF('Data Source'!B694="","",IF('Data Source'!AD694&gt;=5,"A+",IF('Data Source'!AD694&gt;=4,"A",IF('Data Source'!AD694&gt;=3.5,"A-",IF('Data Source'!AD694&gt;=3,"B",IF('Data Source'!AD694&gt;=2,"C",IF('Data Source'!AD694&gt;=1,"D","F")))))))</f>
        <v/>
      </c>
      <c r="M694" s="3">
        <f>IF('Data Source'!B694="","",IF('Data Source'!AE694&gt;=5,"A+",IF('Data Source'!AE694&gt;=4,"A",IF('Data Source'!AE694&gt;=3.5,"A-",IF('Data Source'!AE694&gt;=3,"B",IF('Data Source'!AE694&gt;=2,"C",IF('Data Source'!AE694&gt;=1,"D","F")))))))</f>
        <v/>
      </c>
      <c r="N694" s="3">
        <f>IF('Data Source'!B694="","",IF('Data Source'!AF694&gt;=5,"A+",IF('Data Source'!AF694&gt;=4,"A",IF('Data Source'!AF694&gt;=3.5,"A-",IF('Data Source'!AF694&gt;=3,"B",IF('Data Source'!AF694&gt;=2,"C",IF('Data Source'!AF694&gt;=1,"D","F")))))))</f>
        <v/>
      </c>
      <c r="O694" s="3">
        <f>IF('Data Source'!B694="","",IF('Data Source'!AG694&gt;=5,"A+",IF('Data Source'!AG694&gt;=4,"A",IF('Data Source'!AG694&gt;=3.5,"A-",IF('Data Source'!AG694&gt;=3,"B",IF('Data Source'!AG694&gt;=2,"C",IF('Data Source'!AG694&gt;=1,"D","F")))))))</f>
        <v/>
      </c>
      <c r="P694" s="5">
        <f>IF('Data Source'!B694="","",'Data Source'!R694)</f>
        <v/>
      </c>
      <c r="Q694" s="3">
        <f>IF('Data Source'!B694="","",'Data Source'!S694)</f>
        <v/>
      </c>
    </row>
    <row r="695">
      <c r="A695" s="3">
        <f>IF('Data Source'!B695="","",'Data Source'!A695)</f>
        <v/>
      </c>
      <c r="B695">
        <f>IF('Data Source'!B695="","",'Data Source'!B695)</f>
        <v/>
      </c>
      <c r="C695" s="3">
        <f>IF('Data Source'!B695="","",IF('Data Source'!U695&gt;=5,"A+",IF('Data Source'!U695&gt;=4,"A",IF('Data Source'!U695&gt;=3.5,"A-",IF('Data Source'!U695&gt;=3,"B",IF('Data Source'!U695&gt;=2,"C",IF('Data Source'!U695&gt;=1,"D","F")))))))</f>
        <v/>
      </c>
      <c r="D695" s="3">
        <f>IF('Data Source'!B695="","",IF('Data Source'!V695&gt;=5,"A+",IF('Data Source'!V695&gt;=4,"A",IF('Data Source'!V695&gt;=3.5,"A-",IF('Data Source'!V695&gt;=3,"B",IF('Data Source'!V695&gt;=2,"C",IF('Data Source'!V695&gt;=1,"D","F")))))))</f>
        <v/>
      </c>
      <c r="E695" s="3">
        <f>IF('Data Source'!B695="","",IF('Data Source'!W695&gt;=5,"A+",IF('Data Source'!W695&gt;=4,"A",IF('Data Source'!W695&gt;=3.5,"A-",IF('Data Source'!W695&gt;=3,"B",IF('Data Source'!W695&gt;=2,"C",IF('Data Source'!W695&gt;=1,"D","F")))))))</f>
        <v/>
      </c>
      <c r="F695" s="3">
        <f>IF('Data Source'!B695="","",IF('Data Source'!X695&gt;=5,"A+",IF('Data Source'!X695&gt;=4,"A",IF('Data Source'!X695&gt;=3.5,"A-",IF('Data Source'!X695&gt;=3,"B",IF('Data Source'!X695&gt;=2,"C",IF('Data Source'!X695&gt;=1,"D","F")))))))</f>
        <v/>
      </c>
      <c r="G695" s="3">
        <f>IF('Data Source'!B695="","",IF('Data Source'!Y695&gt;=5,"A+",IF('Data Source'!Y695&gt;=4,"A",IF('Data Source'!Y695&gt;=3.5,"A-",IF('Data Source'!Y695&gt;=3,"B",IF('Data Source'!Y695&gt;=2,"C",IF('Data Source'!Y695&gt;=1,"D","F")))))))</f>
        <v/>
      </c>
      <c r="H695" s="3">
        <f>IF('Data Source'!B695="","",IF('Data Source'!Z695&gt;=5,"A+",IF('Data Source'!Z695&gt;=4,"A",IF('Data Source'!Z695&gt;=3.5,"A-",IF('Data Source'!Z695&gt;=3,"B",IF('Data Source'!Z695&gt;=2,"C",IF('Data Source'!Z695&gt;=1,"D","F")))))))</f>
        <v/>
      </c>
      <c r="I695" s="3">
        <f>IF('Data Source'!B695="","",IF('Data Source'!AA695&gt;=5,"A+",IF('Data Source'!AA695&gt;=4,"A",IF('Data Source'!AA695&gt;=3.5,"A-",IF('Data Source'!AA695&gt;=3,"B",IF('Data Source'!AA695&gt;=2,"C",IF('Data Source'!AA695&gt;=1,"D","F")))))))</f>
        <v/>
      </c>
      <c r="J695" s="3">
        <f>IF('Data Source'!B695="","",IF('Data Source'!AB695&gt;=5,"A+",IF('Data Source'!AB695&gt;=4,"A",IF('Data Source'!AB695&gt;=3.5,"A-",IF('Data Source'!AB695&gt;=3,"B",IF('Data Source'!AB695&gt;=2,"C",IF('Data Source'!AB695&gt;=1,"D","F")))))))</f>
        <v/>
      </c>
      <c r="K695" s="3">
        <f>IF('Data Source'!B695="","",IF('Data Source'!AC695&gt;=5,"A+",IF('Data Source'!AC695&gt;=4,"A",IF('Data Source'!AC695&gt;=3.5,"A-",IF('Data Source'!AC695&gt;=3,"B",IF('Data Source'!AC695&gt;=2,"C",IF('Data Source'!AC695&gt;=1,"D","F")))))))</f>
        <v/>
      </c>
      <c r="L695" s="3">
        <f>IF('Data Source'!B695="","",IF('Data Source'!AD695&gt;=5,"A+",IF('Data Source'!AD695&gt;=4,"A",IF('Data Source'!AD695&gt;=3.5,"A-",IF('Data Source'!AD695&gt;=3,"B",IF('Data Source'!AD695&gt;=2,"C",IF('Data Source'!AD695&gt;=1,"D","F")))))))</f>
        <v/>
      </c>
      <c r="M695" s="3">
        <f>IF('Data Source'!B695="","",IF('Data Source'!AE695&gt;=5,"A+",IF('Data Source'!AE695&gt;=4,"A",IF('Data Source'!AE695&gt;=3.5,"A-",IF('Data Source'!AE695&gt;=3,"B",IF('Data Source'!AE695&gt;=2,"C",IF('Data Source'!AE695&gt;=1,"D","F")))))))</f>
        <v/>
      </c>
      <c r="N695" s="3">
        <f>IF('Data Source'!B695="","",IF('Data Source'!AF695&gt;=5,"A+",IF('Data Source'!AF695&gt;=4,"A",IF('Data Source'!AF695&gt;=3.5,"A-",IF('Data Source'!AF695&gt;=3,"B",IF('Data Source'!AF695&gt;=2,"C",IF('Data Source'!AF695&gt;=1,"D","F")))))))</f>
        <v/>
      </c>
      <c r="O695" s="3">
        <f>IF('Data Source'!B695="","",IF('Data Source'!AG695&gt;=5,"A+",IF('Data Source'!AG695&gt;=4,"A",IF('Data Source'!AG695&gt;=3.5,"A-",IF('Data Source'!AG695&gt;=3,"B",IF('Data Source'!AG695&gt;=2,"C",IF('Data Source'!AG695&gt;=1,"D","F")))))))</f>
        <v/>
      </c>
      <c r="P695" s="5">
        <f>IF('Data Source'!B695="","",'Data Source'!R695)</f>
        <v/>
      </c>
      <c r="Q695" s="3">
        <f>IF('Data Source'!B695="","",'Data Source'!S695)</f>
        <v/>
      </c>
    </row>
    <row r="696">
      <c r="A696" s="3">
        <f>IF('Data Source'!B696="","",'Data Source'!A696)</f>
        <v/>
      </c>
      <c r="B696">
        <f>IF('Data Source'!B696="","",'Data Source'!B696)</f>
        <v/>
      </c>
      <c r="C696" s="3">
        <f>IF('Data Source'!B696="","",IF('Data Source'!U696&gt;=5,"A+",IF('Data Source'!U696&gt;=4,"A",IF('Data Source'!U696&gt;=3.5,"A-",IF('Data Source'!U696&gt;=3,"B",IF('Data Source'!U696&gt;=2,"C",IF('Data Source'!U696&gt;=1,"D","F")))))))</f>
        <v/>
      </c>
      <c r="D696" s="3">
        <f>IF('Data Source'!B696="","",IF('Data Source'!V696&gt;=5,"A+",IF('Data Source'!V696&gt;=4,"A",IF('Data Source'!V696&gt;=3.5,"A-",IF('Data Source'!V696&gt;=3,"B",IF('Data Source'!V696&gt;=2,"C",IF('Data Source'!V696&gt;=1,"D","F")))))))</f>
        <v/>
      </c>
      <c r="E696" s="3">
        <f>IF('Data Source'!B696="","",IF('Data Source'!W696&gt;=5,"A+",IF('Data Source'!W696&gt;=4,"A",IF('Data Source'!W696&gt;=3.5,"A-",IF('Data Source'!W696&gt;=3,"B",IF('Data Source'!W696&gt;=2,"C",IF('Data Source'!W696&gt;=1,"D","F")))))))</f>
        <v/>
      </c>
      <c r="F696" s="3">
        <f>IF('Data Source'!B696="","",IF('Data Source'!X696&gt;=5,"A+",IF('Data Source'!X696&gt;=4,"A",IF('Data Source'!X696&gt;=3.5,"A-",IF('Data Source'!X696&gt;=3,"B",IF('Data Source'!X696&gt;=2,"C",IF('Data Source'!X696&gt;=1,"D","F")))))))</f>
        <v/>
      </c>
      <c r="G696" s="3">
        <f>IF('Data Source'!B696="","",IF('Data Source'!Y696&gt;=5,"A+",IF('Data Source'!Y696&gt;=4,"A",IF('Data Source'!Y696&gt;=3.5,"A-",IF('Data Source'!Y696&gt;=3,"B",IF('Data Source'!Y696&gt;=2,"C",IF('Data Source'!Y696&gt;=1,"D","F")))))))</f>
        <v/>
      </c>
      <c r="H696" s="3">
        <f>IF('Data Source'!B696="","",IF('Data Source'!Z696&gt;=5,"A+",IF('Data Source'!Z696&gt;=4,"A",IF('Data Source'!Z696&gt;=3.5,"A-",IF('Data Source'!Z696&gt;=3,"B",IF('Data Source'!Z696&gt;=2,"C",IF('Data Source'!Z696&gt;=1,"D","F")))))))</f>
        <v/>
      </c>
      <c r="I696" s="3">
        <f>IF('Data Source'!B696="","",IF('Data Source'!AA696&gt;=5,"A+",IF('Data Source'!AA696&gt;=4,"A",IF('Data Source'!AA696&gt;=3.5,"A-",IF('Data Source'!AA696&gt;=3,"B",IF('Data Source'!AA696&gt;=2,"C",IF('Data Source'!AA696&gt;=1,"D","F")))))))</f>
        <v/>
      </c>
      <c r="J696" s="3">
        <f>IF('Data Source'!B696="","",IF('Data Source'!AB696&gt;=5,"A+",IF('Data Source'!AB696&gt;=4,"A",IF('Data Source'!AB696&gt;=3.5,"A-",IF('Data Source'!AB696&gt;=3,"B",IF('Data Source'!AB696&gt;=2,"C",IF('Data Source'!AB696&gt;=1,"D","F")))))))</f>
        <v/>
      </c>
      <c r="K696" s="3">
        <f>IF('Data Source'!B696="","",IF('Data Source'!AC696&gt;=5,"A+",IF('Data Source'!AC696&gt;=4,"A",IF('Data Source'!AC696&gt;=3.5,"A-",IF('Data Source'!AC696&gt;=3,"B",IF('Data Source'!AC696&gt;=2,"C",IF('Data Source'!AC696&gt;=1,"D","F")))))))</f>
        <v/>
      </c>
      <c r="L696" s="3">
        <f>IF('Data Source'!B696="","",IF('Data Source'!AD696&gt;=5,"A+",IF('Data Source'!AD696&gt;=4,"A",IF('Data Source'!AD696&gt;=3.5,"A-",IF('Data Source'!AD696&gt;=3,"B",IF('Data Source'!AD696&gt;=2,"C",IF('Data Source'!AD696&gt;=1,"D","F")))))))</f>
        <v/>
      </c>
      <c r="M696" s="3">
        <f>IF('Data Source'!B696="","",IF('Data Source'!AE696&gt;=5,"A+",IF('Data Source'!AE696&gt;=4,"A",IF('Data Source'!AE696&gt;=3.5,"A-",IF('Data Source'!AE696&gt;=3,"B",IF('Data Source'!AE696&gt;=2,"C",IF('Data Source'!AE696&gt;=1,"D","F")))))))</f>
        <v/>
      </c>
      <c r="N696" s="3">
        <f>IF('Data Source'!B696="","",IF('Data Source'!AF696&gt;=5,"A+",IF('Data Source'!AF696&gt;=4,"A",IF('Data Source'!AF696&gt;=3.5,"A-",IF('Data Source'!AF696&gt;=3,"B",IF('Data Source'!AF696&gt;=2,"C",IF('Data Source'!AF696&gt;=1,"D","F")))))))</f>
        <v/>
      </c>
      <c r="O696" s="3">
        <f>IF('Data Source'!B696="","",IF('Data Source'!AG696&gt;=5,"A+",IF('Data Source'!AG696&gt;=4,"A",IF('Data Source'!AG696&gt;=3.5,"A-",IF('Data Source'!AG696&gt;=3,"B",IF('Data Source'!AG696&gt;=2,"C",IF('Data Source'!AG696&gt;=1,"D","F")))))))</f>
        <v/>
      </c>
      <c r="P696" s="5">
        <f>IF('Data Source'!B696="","",'Data Source'!R696)</f>
        <v/>
      </c>
      <c r="Q696" s="3">
        <f>IF('Data Source'!B696="","",'Data Source'!S696)</f>
        <v/>
      </c>
    </row>
    <row r="697">
      <c r="A697" s="3">
        <f>IF('Data Source'!B697="","",'Data Source'!A697)</f>
        <v/>
      </c>
      <c r="B697">
        <f>IF('Data Source'!B697="","",'Data Source'!B697)</f>
        <v/>
      </c>
      <c r="C697" s="3">
        <f>IF('Data Source'!B697="","",IF('Data Source'!U697&gt;=5,"A+",IF('Data Source'!U697&gt;=4,"A",IF('Data Source'!U697&gt;=3.5,"A-",IF('Data Source'!U697&gt;=3,"B",IF('Data Source'!U697&gt;=2,"C",IF('Data Source'!U697&gt;=1,"D","F")))))))</f>
        <v/>
      </c>
      <c r="D697" s="3">
        <f>IF('Data Source'!B697="","",IF('Data Source'!V697&gt;=5,"A+",IF('Data Source'!V697&gt;=4,"A",IF('Data Source'!V697&gt;=3.5,"A-",IF('Data Source'!V697&gt;=3,"B",IF('Data Source'!V697&gt;=2,"C",IF('Data Source'!V697&gt;=1,"D","F")))))))</f>
        <v/>
      </c>
      <c r="E697" s="3">
        <f>IF('Data Source'!B697="","",IF('Data Source'!W697&gt;=5,"A+",IF('Data Source'!W697&gt;=4,"A",IF('Data Source'!W697&gt;=3.5,"A-",IF('Data Source'!W697&gt;=3,"B",IF('Data Source'!W697&gt;=2,"C",IF('Data Source'!W697&gt;=1,"D","F")))))))</f>
        <v/>
      </c>
      <c r="F697" s="3">
        <f>IF('Data Source'!B697="","",IF('Data Source'!X697&gt;=5,"A+",IF('Data Source'!X697&gt;=4,"A",IF('Data Source'!X697&gt;=3.5,"A-",IF('Data Source'!X697&gt;=3,"B",IF('Data Source'!X697&gt;=2,"C",IF('Data Source'!X697&gt;=1,"D","F")))))))</f>
        <v/>
      </c>
      <c r="G697" s="3">
        <f>IF('Data Source'!B697="","",IF('Data Source'!Y697&gt;=5,"A+",IF('Data Source'!Y697&gt;=4,"A",IF('Data Source'!Y697&gt;=3.5,"A-",IF('Data Source'!Y697&gt;=3,"B",IF('Data Source'!Y697&gt;=2,"C",IF('Data Source'!Y697&gt;=1,"D","F")))))))</f>
        <v/>
      </c>
      <c r="H697" s="3">
        <f>IF('Data Source'!B697="","",IF('Data Source'!Z697&gt;=5,"A+",IF('Data Source'!Z697&gt;=4,"A",IF('Data Source'!Z697&gt;=3.5,"A-",IF('Data Source'!Z697&gt;=3,"B",IF('Data Source'!Z697&gt;=2,"C",IF('Data Source'!Z697&gt;=1,"D","F")))))))</f>
        <v/>
      </c>
      <c r="I697" s="3">
        <f>IF('Data Source'!B697="","",IF('Data Source'!AA697&gt;=5,"A+",IF('Data Source'!AA697&gt;=4,"A",IF('Data Source'!AA697&gt;=3.5,"A-",IF('Data Source'!AA697&gt;=3,"B",IF('Data Source'!AA697&gt;=2,"C",IF('Data Source'!AA697&gt;=1,"D","F")))))))</f>
        <v/>
      </c>
      <c r="J697" s="3">
        <f>IF('Data Source'!B697="","",IF('Data Source'!AB697&gt;=5,"A+",IF('Data Source'!AB697&gt;=4,"A",IF('Data Source'!AB697&gt;=3.5,"A-",IF('Data Source'!AB697&gt;=3,"B",IF('Data Source'!AB697&gt;=2,"C",IF('Data Source'!AB697&gt;=1,"D","F")))))))</f>
        <v/>
      </c>
      <c r="K697" s="3">
        <f>IF('Data Source'!B697="","",IF('Data Source'!AC697&gt;=5,"A+",IF('Data Source'!AC697&gt;=4,"A",IF('Data Source'!AC697&gt;=3.5,"A-",IF('Data Source'!AC697&gt;=3,"B",IF('Data Source'!AC697&gt;=2,"C",IF('Data Source'!AC697&gt;=1,"D","F")))))))</f>
        <v/>
      </c>
      <c r="L697" s="3">
        <f>IF('Data Source'!B697="","",IF('Data Source'!AD697&gt;=5,"A+",IF('Data Source'!AD697&gt;=4,"A",IF('Data Source'!AD697&gt;=3.5,"A-",IF('Data Source'!AD697&gt;=3,"B",IF('Data Source'!AD697&gt;=2,"C",IF('Data Source'!AD697&gt;=1,"D","F")))))))</f>
        <v/>
      </c>
      <c r="M697" s="3">
        <f>IF('Data Source'!B697="","",IF('Data Source'!AE697&gt;=5,"A+",IF('Data Source'!AE697&gt;=4,"A",IF('Data Source'!AE697&gt;=3.5,"A-",IF('Data Source'!AE697&gt;=3,"B",IF('Data Source'!AE697&gt;=2,"C",IF('Data Source'!AE697&gt;=1,"D","F")))))))</f>
        <v/>
      </c>
      <c r="N697" s="3">
        <f>IF('Data Source'!B697="","",IF('Data Source'!AF697&gt;=5,"A+",IF('Data Source'!AF697&gt;=4,"A",IF('Data Source'!AF697&gt;=3.5,"A-",IF('Data Source'!AF697&gt;=3,"B",IF('Data Source'!AF697&gt;=2,"C",IF('Data Source'!AF697&gt;=1,"D","F")))))))</f>
        <v/>
      </c>
      <c r="O697" s="3">
        <f>IF('Data Source'!B697="","",IF('Data Source'!AG697&gt;=5,"A+",IF('Data Source'!AG697&gt;=4,"A",IF('Data Source'!AG697&gt;=3.5,"A-",IF('Data Source'!AG697&gt;=3,"B",IF('Data Source'!AG697&gt;=2,"C",IF('Data Source'!AG697&gt;=1,"D","F")))))))</f>
        <v/>
      </c>
      <c r="P697" s="5">
        <f>IF('Data Source'!B697="","",'Data Source'!R697)</f>
        <v/>
      </c>
      <c r="Q697" s="3">
        <f>IF('Data Source'!B697="","",'Data Source'!S697)</f>
        <v/>
      </c>
    </row>
    <row r="698">
      <c r="A698" s="3">
        <f>IF('Data Source'!B698="","",'Data Source'!A698)</f>
        <v/>
      </c>
      <c r="B698">
        <f>IF('Data Source'!B698="","",'Data Source'!B698)</f>
        <v/>
      </c>
      <c r="C698" s="3">
        <f>IF('Data Source'!B698="","",IF('Data Source'!U698&gt;=5,"A+",IF('Data Source'!U698&gt;=4,"A",IF('Data Source'!U698&gt;=3.5,"A-",IF('Data Source'!U698&gt;=3,"B",IF('Data Source'!U698&gt;=2,"C",IF('Data Source'!U698&gt;=1,"D","F")))))))</f>
        <v/>
      </c>
      <c r="D698" s="3">
        <f>IF('Data Source'!B698="","",IF('Data Source'!V698&gt;=5,"A+",IF('Data Source'!V698&gt;=4,"A",IF('Data Source'!V698&gt;=3.5,"A-",IF('Data Source'!V698&gt;=3,"B",IF('Data Source'!V698&gt;=2,"C",IF('Data Source'!V698&gt;=1,"D","F")))))))</f>
        <v/>
      </c>
      <c r="E698" s="3">
        <f>IF('Data Source'!B698="","",IF('Data Source'!W698&gt;=5,"A+",IF('Data Source'!W698&gt;=4,"A",IF('Data Source'!W698&gt;=3.5,"A-",IF('Data Source'!W698&gt;=3,"B",IF('Data Source'!W698&gt;=2,"C",IF('Data Source'!W698&gt;=1,"D","F")))))))</f>
        <v/>
      </c>
      <c r="F698" s="3">
        <f>IF('Data Source'!B698="","",IF('Data Source'!X698&gt;=5,"A+",IF('Data Source'!X698&gt;=4,"A",IF('Data Source'!X698&gt;=3.5,"A-",IF('Data Source'!X698&gt;=3,"B",IF('Data Source'!X698&gt;=2,"C",IF('Data Source'!X698&gt;=1,"D","F")))))))</f>
        <v/>
      </c>
      <c r="G698" s="3">
        <f>IF('Data Source'!B698="","",IF('Data Source'!Y698&gt;=5,"A+",IF('Data Source'!Y698&gt;=4,"A",IF('Data Source'!Y698&gt;=3.5,"A-",IF('Data Source'!Y698&gt;=3,"B",IF('Data Source'!Y698&gt;=2,"C",IF('Data Source'!Y698&gt;=1,"D","F")))))))</f>
        <v/>
      </c>
      <c r="H698" s="3">
        <f>IF('Data Source'!B698="","",IF('Data Source'!Z698&gt;=5,"A+",IF('Data Source'!Z698&gt;=4,"A",IF('Data Source'!Z698&gt;=3.5,"A-",IF('Data Source'!Z698&gt;=3,"B",IF('Data Source'!Z698&gt;=2,"C",IF('Data Source'!Z698&gt;=1,"D","F")))))))</f>
        <v/>
      </c>
      <c r="I698" s="3">
        <f>IF('Data Source'!B698="","",IF('Data Source'!AA698&gt;=5,"A+",IF('Data Source'!AA698&gt;=4,"A",IF('Data Source'!AA698&gt;=3.5,"A-",IF('Data Source'!AA698&gt;=3,"B",IF('Data Source'!AA698&gt;=2,"C",IF('Data Source'!AA698&gt;=1,"D","F")))))))</f>
        <v/>
      </c>
      <c r="J698" s="3">
        <f>IF('Data Source'!B698="","",IF('Data Source'!AB698&gt;=5,"A+",IF('Data Source'!AB698&gt;=4,"A",IF('Data Source'!AB698&gt;=3.5,"A-",IF('Data Source'!AB698&gt;=3,"B",IF('Data Source'!AB698&gt;=2,"C",IF('Data Source'!AB698&gt;=1,"D","F")))))))</f>
        <v/>
      </c>
      <c r="K698" s="3">
        <f>IF('Data Source'!B698="","",IF('Data Source'!AC698&gt;=5,"A+",IF('Data Source'!AC698&gt;=4,"A",IF('Data Source'!AC698&gt;=3.5,"A-",IF('Data Source'!AC698&gt;=3,"B",IF('Data Source'!AC698&gt;=2,"C",IF('Data Source'!AC698&gt;=1,"D","F")))))))</f>
        <v/>
      </c>
      <c r="L698" s="3">
        <f>IF('Data Source'!B698="","",IF('Data Source'!AD698&gt;=5,"A+",IF('Data Source'!AD698&gt;=4,"A",IF('Data Source'!AD698&gt;=3.5,"A-",IF('Data Source'!AD698&gt;=3,"B",IF('Data Source'!AD698&gt;=2,"C",IF('Data Source'!AD698&gt;=1,"D","F")))))))</f>
        <v/>
      </c>
      <c r="M698" s="3">
        <f>IF('Data Source'!B698="","",IF('Data Source'!AE698&gt;=5,"A+",IF('Data Source'!AE698&gt;=4,"A",IF('Data Source'!AE698&gt;=3.5,"A-",IF('Data Source'!AE698&gt;=3,"B",IF('Data Source'!AE698&gt;=2,"C",IF('Data Source'!AE698&gt;=1,"D","F")))))))</f>
        <v/>
      </c>
      <c r="N698" s="3">
        <f>IF('Data Source'!B698="","",IF('Data Source'!AF698&gt;=5,"A+",IF('Data Source'!AF698&gt;=4,"A",IF('Data Source'!AF698&gt;=3.5,"A-",IF('Data Source'!AF698&gt;=3,"B",IF('Data Source'!AF698&gt;=2,"C",IF('Data Source'!AF698&gt;=1,"D","F")))))))</f>
        <v/>
      </c>
      <c r="O698" s="3">
        <f>IF('Data Source'!B698="","",IF('Data Source'!AG698&gt;=5,"A+",IF('Data Source'!AG698&gt;=4,"A",IF('Data Source'!AG698&gt;=3.5,"A-",IF('Data Source'!AG698&gt;=3,"B",IF('Data Source'!AG698&gt;=2,"C",IF('Data Source'!AG698&gt;=1,"D","F")))))))</f>
        <v/>
      </c>
      <c r="P698" s="5">
        <f>IF('Data Source'!B698="","",'Data Source'!R698)</f>
        <v/>
      </c>
      <c r="Q698" s="3">
        <f>IF('Data Source'!B698="","",'Data Source'!S698)</f>
        <v/>
      </c>
    </row>
    <row r="699">
      <c r="A699" s="3">
        <f>IF('Data Source'!B699="","",'Data Source'!A699)</f>
        <v/>
      </c>
      <c r="B699">
        <f>IF('Data Source'!B699="","",'Data Source'!B699)</f>
        <v/>
      </c>
      <c r="C699" s="3">
        <f>IF('Data Source'!B699="","",IF('Data Source'!U699&gt;=5,"A+",IF('Data Source'!U699&gt;=4,"A",IF('Data Source'!U699&gt;=3.5,"A-",IF('Data Source'!U699&gt;=3,"B",IF('Data Source'!U699&gt;=2,"C",IF('Data Source'!U699&gt;=1,"D","F")))))))</f>
        <v/>
      </c>
      <c r="D699" s="3">
        <f>IF('Data Source'!B699="","",IF('Data Source'!V699&gt;=5,"A+",IF('Data Source'!V699&gt;=4,"A",IF('Data Source'!V699&gt;=3.5,"A-",IF('Data Source'!V699&gt;=3,"B",IF('Data Source'!V699&gt;=2,"C",IF('Data Source'!V699&gt;=1,"D","F")))))))</f>
        <v/>
      </c>
      <c r="E699" s="3">
        <f>IF('Data Source'!B699="","",IF('Data Source'!W699&gt;=5,"A+",IF('Data Source'!W699&gt;=4,"A",IF('Data Source'!W699&gt;=3.5,"A-",IF('Data Source'!W699&gt;=3,"B",IF('Data Source'!W699&gt;=2,"C",IF('Data Source'!W699&gt;=1,"D","F")))))))</f>
        <v/>
      </c>
      <c r="F699" s="3">
        <f>IF('Data Source'!B699="","",IF('Data Source'!X699&gt;=5,"A+",IF('Data Source'!X699&gt;=4,"A",IF('Data Source'!X699&gt;=3.5,"A-",IF('Data Source'!X699&gt;=3,"B",IF('Data Source'!X699&gt;=2,"C",IF('Data Source'!X699&gt;=1,"D","F")))))))</f>
        <v/>
      </c>
      <c r="G699" s="3">
        <f>IF('Data Source'!B699="","",IF('Data Source'!Y699&gt;=5,"A+",IF('Data Source'!Y699&gt;=4,"A",IF('Data Source'!Y699&gt;=3.5,"A-",IF('Data Source'!Y699&gt;=3,"B",IF('Data Source'!Y699&gt;=2,"C",IF('Data Source'!Y699&gt;=1,"D","F")))))))</f>
        <v/>
      </c>
      <c r="H699" s="3">
        <f>IF('Data Source'!B699="","",IF('Data Source'!Z699&gt;=5,"A+",IF('Data Source'!Z699&gt;=4,"A",IF('Data Source'!Z699&gt;=3.5,"A-",IF('Data Source'!Z699&gt;=3,"B",IF('Data Source'!Z699&gt;=2,"C",IF('Data Source'!Z699&gt;=1,"D","F")))))))</f>
        <v/>
      </c>
      <c r="I699" s="3">
        <f>IF('Data Source'!B699="","",IF('Data Source'!AA699&gt;=5,"A+",IF('Data Source'!AA699&gt;=4,"A",IF('Data Source'!AA699&gt;=3.5,"A-",IF('Data Source'!AA699&gt;=3,"B",IF('Data Source'!AA699&gt;=2,"C",IF('Data Source'!AA699&gt;=1,"D","F")))))))</f>
        <v/>
      </c>
      <c r="J699" s="3">
        <f>IF('Data Source'!B699="","",IF('Data Source'!AB699&gt;=5,"A+",IF('Data Source'!AB699&gt;=4,"A",IF('Data Source'!AB699&gt;=3.5,"A-",IF('Data Source'!AB699&gt;=3,"B",IF('Data Source'!AB699&gt;=2,"C",IF('Data Source'!AB699&gt;=1,"D","F")))))))</f>
        <v/>
      </c>
      <c r="K699" s="3">
        <f>IF('Data Source'!B699="","",IF('Data Source'!AC699&gt;=5,"A+",IF('Data Source'!AC699&gt;=4,"A",IF('Data Source'!AC699&gt;=3.5,"A-",IF('Data Source'!AC699&gt;=3,"B",IF('Data Source'!AC699&gt;=2,"C",IF('Data Source'!AC699&gt;=1,"D","F")))))))</f>
        <v/>
      </c>
      <c r="L699" s="3">
        <f>IF('Data Source'!B699="","",IF('Data Source'!AD699&gt;=5,"A+",IF('Data Source'!AD699&gt;=4,"A",IF('Data Source'!AD699&gt;=3.5,"A-",IF('Data Source'!AD699&gt;=3,"B",IF('Data Source'!AD699&gt;=2,"C",IF('Data Source'!AD699&gt;=1,"D","F")))))))</f>
        <v/>
      </c>
      <c r="M699" s="3">
        <f>IF('Data Source'!B699="","",IF('Data Source'!AE699&gt;=5,"A+",IF('Data Source'!AE699&gt;=4,"A",IF('Data Source'!AE699&gt;=3.5,"A-",IF('Data Source'!AE699&gt;=3,"B",IF('Data Source'!AE699&gt;=2,"C",IF('Data Source'!AE699&gt;=1,"D","F")))))))</f>
        <v/>
      </c>
      <c r="N699" s="3">
        <f>IF('Data Source'!B699="","",IF('Data Source'!AF699&gt;=5,"A+",IF('Data Source'!AF699&gt;=4,"A",IF('Data Source'!AF699&gt;=3.5,"A-",IF('Data Source'!AF699&gt;=3,"B",IF('Data Source'!AF699&gt;=2,"C",IF('Data Source'!AF699&gt;=1,"D","F")))))))</f>
        <v/>
      </c>
      <c r="O699" s="3">
        <f>IF('Data Source'!B699="","",IF('Data Source'!AG699&gt;=5,"A+",IF('Data Source'!AG699&gt;=4,"A",IF('Data Source'!AG699&gt;=3.5,"A-",IF('Data Source'!AG699&gt;=3,"B",IF('Data Source'!AG699&gt;=2,"C",IF('Data Source'!AG699&gt;=1,"D","F")))))))</f>
        <v/>
      </c>
      <c r="P699" s="5">
        <f>IF('Data Source'!B699="","",'Data Source'!R699)</f>
        <v/>
      </c>
      <c r="Q699" s="3">
        <f>IF('Data Source'!B699="","",'Data Source'!S699)</f>
        <v/>
      </c>
    </row>
    <row r="700">
      <c r="A700" s="3">
        <f>IF('Data Source'!B700="","",'Data Source'!A700)</f>
        <v/>
      </c>
      <c r="B700">
        <f>IF('Data Source'!B700="","",'Data Source'!B700)</f>
        <v/>
      </c>
      <c r="C700" s="3">
        <f>IF('Data Source'!B700="","",IF('Data Source'!U700&gt;=5,"A+",IF('Data Source'!U700&gt;=4,"A",IF('Data Source'!U700&gt;=3.5,"A-",IF('Data Source'!U700&gt;=3,"B",IF('Data Source'!U700&gt;=2,"C",IF('Data Source'!U700&gt;=1,"D","F")))))))</f>
        <v/>
      </c>
      <c r="D700" s="3">
        <f>IF('Data Source'!B700="","",IF('Data Source'!V700&gt;=5,"A+",IF('Data Source'!V700&gt;=4,"A",IF('Data Source'!V700&gt;=3.5,"A-",IF('Data Source'!V700&gt;=3,"B",IF('Data Source'!V700&gt;=2,"C",IF('Data Source'!V700&gt;=1,"D","F")))))))</f>
        <v/>
      </c>
      <c r="E700" s="3">
        <f>IF('Data Source'!B700="","",IF('Data Source'!W700&gt;=5,"A+",IF('Data Source'!W700&gt;=4,"A",IF('Data Source'!W700&gt;=3.5,"A-",IF('Data Source'!W700&gt;=3,"B",IF('Data Source'!W700&gt;=2,"C",IF('Data Source'!W700&gt;=1,"D","F")))))))</f>
        <v/>
      </c>
      <c r="F700" s="3">
        <f>IF('Data Source'!B700="","",IF('Data Source'!X700&gt;=5,"A+",IF('Data Source'!X700&gt;=4,"A",IF('Data Source'!X700&gt;=3.5,"A-",IF('Data Source'!X700&gt;=3,"B",IF('Data Source'!X700&gt;=2,"C",IF('Data Source'!X700&gt;=1,"D","F")))))))</f>
        <v/>
      </c>
      <c r="G700" s="3">
        <f>IF('Data Source'!B700="","",IF('Data Source'!Y700&gt;=5,"A+",IF('Data Source'!Y700&gt;=4,"A",IF('Data Source'!Y700&gt;=3.5,"A-",IF('Data Source'!Y700&gt;=3,"B",IF('Data Source'!Y700&gt;=2,"C",IF('Data Source'!Y700&gt;=1,"D","F")))))))</f>
        <v/>
      </c>
      <c r="H700" s="3">
        <f>IF('Data Source'!B700="","",IF('Data Source'!Z700&gt;=5,"A+",IF('Data Source'!Z700&gt;=4,"A",IF('Data Source'!Z700&gt;=3.5,"A-",IF('Data Source'!Z700&gt;=3,"B",IF('Data Source'!Z700&gt;=2,"C",IF('Data Source'!Z700&gt;=1,"D","F")))))))</f>
        <v/>
      </c>
      <c r="I700" s="3">
        <f>IF('Data Source'!B700="","",IF('Data Source'!AA700&gt;=5,"A+",IF('Data Source'!AA700&gt;=4,"A",IF('Data Source'!AA700&gt;=3.5,"A-",IF('Data Source'!AA700&gt;=3,"B",IF('Data Source'!AA700&gt;=2,"C",IF('Data Source'!AA700&gt;=1,"D","F")))))))</f>
        <v/>
      </c>
      <c r="J700" s="3">
        <f>IF('Data Source'!B700="","",IF('Data Source'!AB700&gt;=5,"A+",IF('Data Source'!AB700&gt;=4,"A",IF('Data Source'!AB700&gt;=3.5,"A-",IF('Data Source'!AB700&gt;=3,"B",IF('Data Source'!AB700&gt;=2,"C",IF('Data Source'!AB700&gt;=1,"D","F")))))))</f>
        <v/>
      </c>
      <c r="K700" s="3">
        <f>IF('Data Source'!B700="","",IF('Data Source'!AC700&gt;=5,"A+",IF('Data Source'!AC700&gt;=4,"A",IF('Data Source'!AC700&gt;=3.5,"A-",IF('Data Source'!AC700&gt;=3,"B",IF('Data Source'!AC700&gt;=2,"C",IF('Data Source'!AC700&gt;=1,"D","F")))))))</f>
        <v/>
      </c>
      <c r="L700" s="3">
        <f>IF('Data Source'!B700="","",IF('Data Source'!AD700&gt;=5,"A+",IF('Data Source'!AD700&gt;=4,"A",IF('Data Source'!AD700&gt;=3.5,"A-",IF('Data Source'!AD700&gt;=3,"B",IF('Data Source'!AD700&gt;=2,"C",IF('Data Source'!AD700&gt;=1,"D","F")))))))</f>
        <v/>
      </c>
      <c r="M700" s="3">
        <f>IF('Data Source'!B700="","",IF('Data Source'!AE700&gt;=5,"A+",IF('Data Source'!AE700&gt;=4,"A",IF('Data Source'!AE700&gt;=3.5,"A-",IF('Data Source'!AE700&gt;=3,"B",IF('Data Source'!AE700&gt;=2,"C",IF('Data Source'!AE700&gt;=1,"D","F")))))))</f>
        <v/>
      </c>
      <c r="N700" s="3">
        <f>IF('Data Source'!B700="","",IF('Data Source'!AF700&gt;=5,"A+",IF('Data Source'!AF700&gt;=4,"A",IF('Data Source'!AF700&gt;=3.5,"A-",IF('Data Source'!AF700&gt;=3,"B",IF('Data Source'!AF700&gt;=2,"C",IF('Data Source'!AF700&gt;=1,"D","F")))))))</f>
        <v/>
      </c>
      <c r="O700" s="3">
        <f>IF('Data Source'!B700="","",IF('Data Source'!AG700&gt;=5,"A+",IF('Data Source'!AG700&gt;=4,"A",IF('Data Source'!AG700&gt;=3.5,"A-",IF('Data Source'!AG700&gt;=3,"B",IF('Data Source'!AG700&gt;=2,"C",IF('Data Source'!AG700&gt;=1,"D","F")))))))</f>
        <v/>
      </c>
      <c r="P700" s="5">
        <f>IF('Data Source'!B700="","",'Data Source'!R700)</f>
        <v/>
      </c>
      <c r="Q700" s="3">
        <f>IF('Data Source'!B700="","",'Data Source'!S700)</f>
        <v/>
      </c>
    </row>
    <row r="701">
      <c r="A701" s="3">
        <f>IF('Data Source'!B701="","",'Data Source'!A701)</f>
        <v/>
      </c>
      <c r="B701">
        <f>IF('Data Source'!B701="","",'Data Source'!B701)</f>
        <v/>
      </c>
      <c r="C701" s="3">
        <f>IF('Data Source'!B701="","",IF('Data Source'!U701&gt;=5,"A+",IF('Data Source'!U701&gt;=4,"A",IF('Data Source'!U701&gt;=3.5,"A-",IF('Data Source'!U701&gt;=3,"B",IF('Data Source'!U701&gt;=2,"C",IF('Data Source'!U701&gt;=1,"D","F")))))))</f>
        <v/>
      </c>
      <c r="D701" s="3">
        <f>IF('Data Source'!B701="","",IF('Data Source'!V701&gt;=5,"A+",IF('Data Source'!V701&gt;=4,"A",IF('Data Source'!V701&gt;=3.5,"A-",IF('Data Source'!V701&gt;=3,"B",IF('Data Source'!V701&gt;=2,"C",IF('Data Source'!V701&gt;=1,"D","F")))))))</f>
        <v/>
      </c>
      <c r="E701" s="3">
        <f>IF('Data Source'!B701="","",IF('Data Source'!W701&gt;=5,"A+",IF('Data Source'!W701&gt;=4,"A",IF('Data Source'!W701&gt;=3.5,"A-",IF('Data Source'!W701&gt;=3,"B",IF('Data Source'!W701&gt;=2,"C",IF('Data Source'!W701&gt;=1,"D","F")))))))</f>
        <v/>
      </c>
      <c r="F701" s="3">
        <f>IF('Data Source'!B701="","",IF('Data Source'!X701&gt;=5,"A+",IF('Data Source'!X701&gt;=4,"A",IF('Data Source'!X701&gt;=3.5,"A-",IF('Data Source'!X701&gt;=3,"B",IF('Data Source'!X701&gt;=2,"C",IF('Data Source'!X701&gt;=1,"D","F")))))))</f>
        <v/>
      </c>
      <c r="G701" s="3">
        <f>IF('Data Source'!B701="","",IF('Data Source'!Y701&gt;=5,"A+",IF('Data Source'!Y701&gt;=4,"A",IF('Data Source'!Y701&gt;=3.5,"A-",IF('Data Source'!Y701&gt;=3,"B",IF('Data Source'!Y701&gt;=2,"C",IF('Data Source'!Y701&gt;=1,"D","F")))))))</f>
        <v/>
      </c>
      <c r="H701" s="3">
        <f>IF('Data Source'!B701="","",IF('Data Source'!Z701&gt;=5,"A+",IF('Data Source'!Z701&gt;=4,"A",IF('Data Source'!Z701&gt;=3.5,"A-",IF('Data Source'!Z701&gt;=3,"B",IF('Data Source'!Z701&gt;=2,"C",IF('Data Source'!Z701&gt;=1,"D","F")))))))</f>
        <v/>
      </c>
      <c r="I701" s="3">
        <f>IF('Data Source'!B701="","",IF('Data Source'!AA701&gt;=5,"A+",IF('Data Source'!AA701&gt;=4,"A",IF('Data Source'!AA701&gt;=3.5,"A-",IF('Data Source'!AA701&gt;=3,"B",IF('Data Source'!AA701&gt;=2,"C",IF('Data Source'!AA701&gt;=1,"D","F")))))))</f>
        <v/>
      </c>
      <c r="J701" s="3">
        <f>IF('Data Source'!B701="","",IF('Data Source'!AB701&gt;=5,"A+",IF('Data Source'!AB701&gt;=4,"A",IF('Data Source'!AB701&gt;=3.5,"A-",IF('Data Source'!AB701&gt;=3,"B",IF('Data Source'!AB701&gt;=2,"C",IF('Data Source'!AB701&gt;=1,"D","F")))))))</f>
        <v/>
      </c>
      <c r="K701" s="3">
        <f>IF('Data Source'!B701="","",IF('Data Source'!AC701&gt;=5,"A+",IF('Data Source'!AC701&gt;=4,"A",IF('Data Source'!AC701&gt;=3.5,"A-",IF('Data Source'!AC701&gt;=3,"B",IF('Data Source'!AC701&gt;=2,"C",IF('Data Source'!AC701&gt;=1,"D","F")))))))</f>
        <v/>
      </c>
      <c r="L701" s="3">
        <f>IF('Data Source'!B701="","",IF('Data Source'!AD701&gt;=5,"A+",IF('Data Source'!AD701&gt;=4,"A",IF('Data Source'!AD701&gt;=3.5,"A-",IF('Data Source'!AD701&gt;=3,"B",IF('Data Source'!AD701&gt;=2,"C",IF('Data Source'!AD701&gt;=1,"D","F")))))))</f>
        <v/>
      </c>
      <c r="M701" s="3">
        <f>IF('Data Source'!B701="","",IF('Data Source'!AE701&gt;=5,"A+",IF('Data Source'!AE701&gt;=4,"A",IF('Data Source'!AE701&gt;=3.5,"A-",IF('Data Source'!AE701&gt;=3,"B",IF('Data Source'!AE701&gt;=2,"C",IF('Data Source'!AE701&gt;=1,"D","F")))))))</f>
        <v/>
      </c>
      <c r="N701" s="3">
        <f>IF('Data Source'!B701="","",IF('Data Source'!AF701&gt;=5,"A+",IF('Data Source'!AF701&gt;=4,"A",IF('Data Source'!AF701&gt;=3.5,"A-",IF('Data Source'!AF701&gt;=3,"B",IF('Data Source'!AF701&gt;=2,"C",IF('Data Source'!AF701&gt;=1,"D","F")))))))</f>
        <v/>
      </c>
      <c r="O701" s="3">
        <f>IF('Data Source'!B701="","",IF('Data Source'!AG701&gt;=5,"A+",IF('Data Source'!AG701&gt;=4,"A",IF('Data Source'!AG701&gt;=3.5,"A-",IF('Data Source'!AG701&gt;=3,"B",IF('Data Source'!AG701&gt;=2,"C",IF('Data Source'!AG701&gt;=1,"D","F")))))))</f>
        <v/>
      </c>
      <c r="P701" s="5">
        <f>IF('Data Source'!B701="","",'Data Source'!R701)</f>
        <v/>
      </c>
      <c r="Q701" s="3">
        <f>IF('Data Source'!B701="","",'Data Source'!S701)</f>
        <v/>
      </c>
    </row>
    <row r="702">
      <c r="A702" s="3">
        <f>IF('Data Source'!B702="","",'Data Source'!A702)</f>
        <v/>
      </c>
      <c r="B702">
        <f>IF('Data Source'!B702="","",'Data Source'!B702)</f>
        <v/>
      </c>
      <c r="C702" s="3">
        <f>IF('Data Source'!B702="","",IF('Data Source'!U702&gt;=5,"A+",IF('Data Source'!U702&gt;=4,"A",IF('Data Source'!U702&gt;=3.5,"A-",IF('Data Source'!U702&gt;=3,"B",IF('Data Source'!U702&gt;=2,"C",IF('Data Source'!U702&gt;=1,"D","F")))))))</f>
        <v/>
      </c>
      <c r="D702" s="3">
        <f>IF('Data Source'!B702="","",IF('Data Source'!V702&gt;=5,"A+",IF('Data Source'!V702&gt;=4,"A",IF('Data Source'!V702&gt;=3.5,"A-",IF('Data Source'!V702&gt;=3,"B",IF('Data Source'!V702&gt;=2,"C",IF('Data Source'!V702&gt;=1,"D","F")))))))</f>
        <v/>
      </c>
      <c r="E702" s="3">
        <f>IF('Data Source'!B702="","",IF('Data Source'!W702&gt;=5,"A+",IF('Data Source'!W702&gt;=4,"A",IF('Data Source'!W702&gt;=3.5,"A-",IF('Data Source'!W702&gt;=3,"B",IF('Data Source'!W702&gt;=2,"C",IF('Data Source'!W702&gt;=1,"D","F")))))))</f>
        <v/>
      </c>
      <c r="F702" s="3">
        <f>IF('Data Source'!B702="","",IF('Data Source'!X702&gt;=5,"A+",IF('Data Source'!X702&gt;=4,"A",IF('Data Source'!X702&gt;=3.5,"A-",IF('Data Source'!X702&gt;=3,"B",IF('Data Source'!X702&gt;=2,"C",IF('Data Source'!X702&gt;=1,"D","F")))))))</f>
        <v/>
      </c>
      <c r="G702" s="3">
        <f>IF('Data Source'!B702="","",IF('Data Source'!Y702&gt;=5,"A+",IF('Data Source'!Y702&gt;=4,"A",IF('Data Source'!Y702&gt;=3.5,"A-",IF('Data Source'!Y702&gt;=3,"B",IF('Data Source'!Y702&gt;=2,"C",IF('Data Source'!Y702&gt;=1,"D","F")))))))</f>
        <v/>
      </c>
      <c r="H702" s="3">
        <f>IF('Data Source'!B702="","",IF('Data Source'!Z702&gt;=5,"A+",IF('Data Source'!Z702&gt;=4,"A",IF('Data Source'!Z702&gt;=3.5,"A-",IF('Data Source'!Z702&gt;=3,"B",IF('Data Source'!Z702&gt;=2,"C",IF('Data Source'!Z702&gt;=1,"D","F")))))))</f>
        <v/>
      </c>
      <c r="I702" s="3">
        <f>IF('Data Source'!B702="","",IF('Data Source'!AA702&gt;=5,"A+",IF('Data Source'!AA702&gt;=4,"A",IF('Data Source'!AA702&gt;=3.5,"A-",IF('Data Source'!AA702&gt;=3,"B",IF('Data Source'!AA702&gt;=2,"C",IF('Data Source'!AA702&gt;=1,"D","F")))))))</f>
        <v/>
      </c>
      <c r="J702" s="3">
        <f>IF('Data Source'!B702="","",IF('Data Source'!AB702&gt;=5,"A+",IF('Data Source'!AB702&gt;=4,"A",IF('Data Source'!AB702&gt;=3.5,"A-",IF('Data Source'!AB702&gt;=3,"B",IF('Data Source'!AB702&gt;=2,"C",IF('Data Source'!AB702&gt;=1,"D","F")))))))</f>
        <v/>
      </c>
      <c r="K702" s="3">
        <f>IF('Data Source'!B702="","",IF('Data Source'!AC702&gt;=5,"A+",IF('Data Source'!AC702&gt;=4,"A",IF('Data Source'!AC702&gt;=3.5,"A-",IF('Data Source'!AC702&gt;=3,"B",IF('Data Source'!AC702&gt;=2,"C",IF('Data Source'!AC702&gt;=1,"D","F")))))))</f>
        <v/>
      </c>
      <c r="L702" s="3">
        <f>IF('Data Source'!B702="","",IF('Data Source'!AD702&gt;=5,"A+",IF('Data Source'!AD702&gt;=4,"A",IF('Data Source'!AD702&gt;=3.5,"A-",IF('Data Source'!AD702&gt;=3,"B",IF('Data Source'!AD702&gt;=2,"C",IF('Data Source'!AD702&gt;=1,"D","F")))))))</f>
        <v/>
      </c>
      <c r="M702" s="3">
        <f>IF('Data Source'!B702="","",IF('Data Source'!AE702&gt;=5,"A+",IF('Data Source'!AE702&gt;=4,"A",IF('Data Source'!AE702&gt;=3.5,"A-",IF('Data Source'!AE702&gt;=3,"B",IF('Data Source'!AE702&gt;=2,"C",IF('Data Source'!AE702&gt;=1,"D","F")))))))</f>
        <v/>
      </c>
      <c r="N702" s="3">
        <f>IF('Data Source'!B702="","",IF('Data Source'!AF702&gt;=5,"A+",IF('Data Source'!AF702&gt;=4,"A",IF('Data Source'!AF702&gt;=3.5,"A-",IF('Data Source'!AF702&gt;=3,"B",IF('Data Source'!AF702&gt;=2,"C",IF('Data Source'!AF702&gt;=1,"D","F")))))))</f>
        <v/>
      </c>
      <c r="O702" s="3">
        <f>IF('Data Source'!B702="","",IF('Data Source'!AG702&gt;=5,"A+",IF('Data Source'!AG702&gt;=4,"A",IF('Data Source'!AG702&gt;=3.5,"A-",IF('Data Source'!AG702&gt;=3,"B",IF('Data Source'!AG702&gt;=2,"C",IF('Data Source'!AG702&gt;=1,"D","F")))))))</f>
        <v/>
      </c>
      <c r="P702" s="5">
        <f>IF('Data Source'!B702="","",'Data Source'!R702)</f>
        <v/>
      </c>
      <c r="Q702" s="3">
        <f>IF('Data Source'!B702="","",'Data Source'!S702)</f>
        <v/>
      </c>
    </row>
    <row r="703">
      <c r="A703" s="3">
        <f>IF('Data Source'!B703="","",'Data Source'!A703)</f>
        <v/>
      </c>
      <c r="B703">
        <f>IF('Data Source'!B703="","",'Data Source'!B703)</f>
        <v/>
      </c>
      <c r="C703" s="3">
        <f>IF('Data Source'!B703="","",IF('Data Source'!U703&gt;=5,"A+",IF('Data Source'!U703&gt;=4,"A",IF('Data Source'!U703&gt;=3.5,"A-",IF('Data Source'!U703&gt;=3,"B",IF('Data Source'!U703&gt;=2,"C",IF('Data Source'!U703&gt;=1,"D","F")))))))</f>
        <v/>
      </c>
      <c r="D703" s="3">
        <f>IF('Data Source'!B703="","",IF('Data Source'!V703&gt;=5,"A+",IF('Data Source'!V703&gt;=4,"A",IF('Data Source'!V703&gt;=3.5,"A-",IF('Data Source'!V703&gt;=3,"B",IF('Data Source'!V703&gt;=2,"C",IF('Data Source'!V703&gt;=1,"D","F")))))))</f>
        <v/>
      </c>
      <c r="E703" s="3">
        <f>IF('Data Source'!B703="","",IF('Data Source'!W703&gt;=5,"A+",IF('Data Source'!W703&gt;=4,"A",IF('Data Source'!W703&gt;=3.5,"A-",IF('Data Source'!W703&gt;=3,"B",IF('Data Source'!W703&gt;=2,"C",IF('Data Source'!W703&gt;=1,"D","F")))))))</f>
        <v/>
      </c>
      <c r="F703" s="3">
        <f>IF('Data Source'!B703="","",IF('Data Source'!X703&gt;=5,"A+",IF('Data Source'!X703&gt;=4,"A",IF('Data Source'!X703&gt;=3.5,"A-",IF('Data Source'!X703&gt;=3,"B",IF('Data Source'!X703&gt;=2,"C",IF('Data Source'!X703&gt;=1,"D","F")))))))</f>
        <v/>
      </c>
      <c r="G703" s="3">
        <f>IF('Data Source'!B703="","",IF('Data Source'!Y703&gt;=5,"A+",IF('Data Source'!Y703&gt;=4,"A",IF('Data Source'!Y703&gt;=3.5,"A-",IF('Data Source'!Y703&gt;=3,"B",IF('Data Source'!Y703&gt;=2,"C",IF('Data Source'!Y703&gt;=1,"D","F")))))))</f>
        <v/>
      </c>
      <c r="H703" s="3">
        <f>IF('Data Source'!B703="","",IF('Data Source'!Z703&gt;=5,"A+",IF('Data Source'!Z703&gt;=4,"A",IF('Data Source'!Z703&gt;=3.5,"A-",IF('Data Source'!Z703&gt;=3,"B",IF('Data Source'!Z703&gt;=2,"C",IF('Data Source'!Z703&gt;=1,"D","F")))))))</f>
        <v/>
      </c>
      <c r="I703" s="3">
        <f>IF('Data Source'!B703="","",IF('Data Source'!AA703&gt;=5,"A+",IF('Data Source'!AA703&gt;=4,"A",IF('Data Source'!AA703&gt;=3.5,"A-",IF('Data Source'!AA703&gt;=3,"B",IF('Data Source'!AA703&gt;=2,"C",IF('Data Source'!AA703&gt;=1,"D","F")))))))</f>
        <v/>
      </c>
      <c r="J703" s="3">
        <f>IF('Data Source'!B703="","",IF('Data Source'!AB703&gt;=5,"A+",IF('Data Source'!AB703&gt;=4,"A",IF('Data Source'!AB703&gt;=3.5,"A-",IF('Data Source'!AB703&gt;=3,"B",IF('Data Source'!AB703&gt;=2,"C",IF('Data Source'!AB703&gt;=1,"D","F")))))))</f>
        <v/>
      </c>
      <c r="K703" s="3">
        <f>IF('Data Source'!B703="","",IF('Data Source'!AC703&gt;=5,"A+",IF('Data Source'!AC703&gt;=4,"A",IF('Data Source'!AC703&gt;=3.5,"A-",IF('Data Source'!AC703&gt;=3,"B",IF('Data Source'!AC703&gt;=2,"C",IF('Data Source'!AC703&gt;=1,"D","F")))))))</f>
        <v/>
      </c>
      <c r="L703" s="3">
        <f>IF('Data Source'!B703="","",IF('Data Source'!AD703&gt;=5,"A+",IF('Data Source'!AD703&gt;=4,"A",IF('Data Source'!AD703&gt;=3.5,"A-",IF('Data Source'!AD703&gt;=3,"B",IF('Data Source'!AD703&gt;=2,"C",IF('Data Source'!AD703&gt;=1,"D","F")))))))</f>
        <v/>
      </c>
      <c r="M703" s="3">
        <f>IF('Data Source'!B703="","",IF('Data Source'!AE703&gt;=5,"A+",IF('Data Source'!AE703&gt;=4,"A",IF('Data Source'!AE703&gt;=3.5,"A-",IF('Data Source'!AE703&gt;=3,"B",IF('Data Source'!AE703&gt;=2,"C",IF('Data Source'!AE703&gt;=1,"D","F")))))))</f>
        <v/>
      </c>
      <c r="N703" s="3">
        <f>IF('Data Source'!B703="","",IF('Data Source'!AF703&gt;=5,"A+",IF('Data Source'!AF703&gt;=4,"A",IF('Data Source'!AF703&gt;=3.5,"A-",IF('Data Source'!AF703&gt;=3,"B",IF('Data Source'!AF703&gt;=2,"C",IF('Data Source'!AF703&gt;=1,"D","F")))))))</f>
        <v/>
      </c>
      <c r="O703" s="3">
        <f>IF('Data Source'!B703="","",IF('Data Source'!AG703&gt;=5,"A+",IF('Data Source'!AG703&gt;=4,"A",IF('Data Source'!AG703&gt;=3.5,"A-",IF('Data Source'!AG703&gt;=3,"B",IF('Data Source'!AG703&gt;=2,"C",IF('Data Source'!AG703&gt;=1,"D","F")))))))</f>
        <v/>
      </c>
      <c r="P703" s="5">
        <f>IF('Data Source'!B703="","",'Data Source'!R703)</f>
        <v/>
      </c>
      <c r="Q703" s="3">
        <f>IF('Data Source'!B703="","",'Data Source'!S703)</f>
        <v/>
      </c>
    </row>
    <row r="704">
      <c r="A704" s="3">
        <f>IF('Data Source'!B704="","",'Data Source'!A704)</f>
        <v/>
      </c>
      <c r="B704">
        <f>IF('Data Source'!B704="","",'Data Source'!B704)</f>
        <v/>
      </c>
      <c r="C704" s="3">
        <f>IF('Data Source'!B704="","",IF('Data Source'!U704&gt;=5,"A+",IF('Data Source'!U704&gt;=4,"A",IF('Data Source'!U704&gt;=3.5,"A-",IF('Data Source'!U704&gt;=3,"B",IF('Data Source'!U704&gt;=2,"C",IF('Data Source'!U704&gt;=1,"D","F")))))))</f>
        <v/>
      </c>
      <c r="D704" s="3">
        <f>IF('Data Source'!B704="","",IF('Data Source'!V704&gt;=5,"A+",IF('Data Source'!V704&gt;=4,"A",IF('Data Source'!V704&gt;=3.5,"A-",IF('Data Source'!V704&gt;=3,"B",IF('Data Source'!V704&gt;=2,"C",IF('Data Source'!V704&gt;=1,"D","F")))))))</f>
        <v/>
      </c>
      <c r="E704" s="3">
        <f>IF('Data Source'!B704="","",IF('Data Source'!W704&gt;=5,"A+",IF('Data Source'!W704&gt;=4,"A",IF('Data Source'!W704&gt;=3.5,"A-",IF('Data Source'!W704&gt;=3,"B",IF('Data Source'!W704&gt;=2,"C",IF('Data Source'!W704&gt;=1,"D","F")))))))</f>
        <v/>
      </c>
      <c r="F704" s="3">
        <f>IF('Data Source'!B704="","",IF('Data Source'!X704&gt;=5,"A+",IF('Data Source'!X704&gt;=4,"A",IF('Data Source'!X704&gt;=3.5,"A-",IF('Data Source'!X704&gt;=3,"B",IF('Data Source'!X704&gt;=2,"C",IF('Data Source'!X704&gt;=1,"D","F")))))))</f>
        <v/>
      </c>
      <c r="G704" s="3">
        <f>IF('Data Source'!B704="","",IF('Data Source'!Y704&gt;=5,"A+",IF('Data Source'!Y704&gt;=4,"A",IF('Data Source'!Y704&gt;=3.5,"A-",IF('Data Source'!Y704&gt;=3,"B",IF('Data Source'!Y704&gt;=2,"C",IF('Data Source'!Y704&gt;=1,"D","F")))))))</f>
        <v/>
      </c>
      <c r="H704" s="3">
        <f>IF('Data Source'!B704="","",IF('Data Source'!Z704&gt;=5,"A+",IF('Data Source'!Z704&gt;=4,"A",IF('Data Source'!Z704&gt;=3.5,"A-",IF('Data Source'!Z704&gt;=3,"B",IF('Data Source'!Z704&gt;=2,"C",IF('Data Source'!Z704&gt;=1,"D","F")))))))</f>
        <v/>
      </c>
      <c r="I704" s="3">
        <f>IF('Data Source'!B704="","",IF('Data Source'!AA704&gt;=5,"A+",IF('Data Source'!AA704&gt;=4,"A",IF('Data Source'!AA704&gt;=3.5,"A-",IF('Data Source'!AA704&gt;=3,"B",IF('Data Source'!AA704&gt;=2,"C",IF('Data Source'!AA704&gt;=1,"D","F")))))))</f>
        <v/>
      </c>
      <c r="J704" s="3">
        <f>IF('Data Source'!B704="","",IF('Data Source'!AB704&gt;=5,"A+",IF('Data Source'!AB704&gt;=4,"A",IF('Data Source'!AB704&gt;=3.5,"A-",IF('Data Source'!AB704&gt;=3,"B",IF('Data Source'!AB704&gt;=2,"C",IF('Data Source'!AB704&gt;=1,"D","F")))))))</f>
        <v/>
      </c>
      <c r="K704" s="3">
        <f>IF('Data Source'!B704="","",IF('Data Source'!AC704&gt;=5,"A+",IF('Data Source'!AC704&gt;=4,"A",IF('Data Source'!AC704&gt;=3.5,"A-",IF('Data Source'!AC704&gt;=3,"B",IF('Data Source'!AC704&gt;=2,"C",IF('Data Source'!AC704&gt;=1,"D","F")))))))</f>
        <v/>
      </c>
      <c r="L704" s="3">
        <f>IF('Data Source'!B704="","",IF('Data Source'!AD704&gt;=5,"A+",IF('Data Source'!AD704&gt;=4,"A",IF('Data Source'!AD704&gt;=3.5,"A-",IF('Data Source'!AD704&gt;=3,"B",IF('Data Source'!AD704&gt;=2,"C",IF('Data Source'!AD704&gt;=1,"D","F")))))))</f>
        <v/>
      </c>
      <c r="M704" s="3">
        <f>IF('Data Source'!B704="","",IF('Data Source'!AE704&gt;=5,"A+",IF('Data Source'!AE704&gt;=4,"A",IF('Data Source'!AE704&gt;=3.5,"A-",IF('Data Source'!AE704&gt;=3,"B",IF('Data Source'!AE704&gt;=2,"C",IF('Data Source'!AE704&gt;=1,"D","F")))))))</f>
        <v/>
      </c>
      <c r="N704" s="3">
        <f>IF('Data Source'!B704="","",IF('Data Source'!AF704&gt;=5,"A+",IF('Data Source'!AF704&gt;=4,"A",IF('Data Source'!AF704&gt;=3.5,"A-",IF('Data Source'!AF704&gt;=3,"B",IF('Data Source'!AF704&gt;=2,"C",IF('Data Source'!AF704&gt;=1,"D","F")))))))</f>
        <v/>
      </c>
      <c r="O704" s="3">
        <f>IF('Data Source'!B704="","",IF('Data Source'!AG704&gt;=5,"A+",IF('Data Source'!AG704&gt;=4,"A",IF('Data Source'!AG704&gt;=3.5,"A-",IF('Data Source'!AG704&gt;=3,"B",IF('Data Source'!AG704&gt;=2,"C",IF('Data Source'!AG704&gt;=1,"D","F")))))))</f>
        <v/>
      </c>
      <c r="P704" s="5">
        <f>IF('Data Source'!B704="","",'Data Source'!R704)</f>
        <v/>
      </c>
      <c r="Q704" s="3">
        <f>IF('Data Source'!B704="","",'Data Source'!S704)</f>
        <v/>
      </c>
    </row>
    <row r="705">
      <c r="A705" s="3">
        <f>IF('Data Source'!B705="","",'Data Source'!A705)</f>
        <v/>
      </c>
      <c r="B705">
        <f>IF('Data Source'!B705="","",'Data Source'!B705)</f>
        <v/>
      </c>
      <c r="C705" s="3">
        <f>IF('Data Source'!B705="","",IF('Data Source'!U705&gt;=5,"A+",IF('Data Source'!U705&gt;=4,"A",IF('Data Source'!U705&gt;=3.5,"A-",IF('Data Source'!U705&gt;=3,"B",IF('Data Source'!U705&gt;=2,"C",IF('Data Source'!U705&gt;=1,"D","F")))))))</f>
        <v/>
      </c>
      <c r="D705" s="3">
        <f>IF('Data Source'!B705="","",IF('Data Source'!V705&gt;=5,"A+",IF('Data Source'!V705&gt;=4,"A",IF('Data Source'!V705&gt;=3.5,"A-",IF('Data Source'!V705&gt;=3,"B",IF('Data Source'!V705&gt;=2,"C",IF('Data Source'!V705&gt;=1,"D","F")))))))</f>
        <v/>
      </c>
      <c r="E705" s="3">
        <f>IF('Data Source'!B705="","",IF('Data Source'!W705&gt;=5,"A+",IF('Data Source'!W705&gt;=4,"A",IF('Data Source'!W705&gt;=3.5,"A-",IF('Data Source'!W705&gt;=3,"B",IF('Data Source'!W705&gt;=2,"C",IF('Data Source'!W705&gt;=1,"D","F")))))))</f>
        <v/>
      </c>
      <c r="F705" s="3">
        <f>IF('Data Source'!B705="","",IF('Data Source'!X705&gt;=5,"A+",IF('Data Source'!X705&gt;=4,"A",IF('Data Source'!X705&gt;=3.5,"A-",IF('Data Source'!X705&gt;=3,"B",IF('Data Source'!X705&gt;=2,"C",IF('Data Source'!X705&gt;=1,"D","F")))))))</f>
        <v/>
      </c>
      <c r="G705" s="3">
        <f>IF('Data Source'!B705="","",IF('Data Source'!Y705&gt;=5,"A+",IF('Data Source'!Y705&gt;=4,"A",IF('Data Source'!Y705&gt;=3.5,"A-",IF('Data Source'!Y705&gt;=3,"B",IF('Data Source'!Y705&gt;=2,"C",IF('Data Source'!Y705&gt;=1,"D","F")))))))</f>
        <v/>
      </c>
      <c r="H705" s="3">
        <f>IF('Data Source'!B705="","",IF('Data Source'!Z705&gt;=5,"A+",IF('Data Source'!Z705&gt;=4,"A",IF('Data Source'!Z705&gt;=3.5,"A-",IF('Data Source'!Z705&gt;=3,"B",IF('Data Source'!Z705&gt;=2,"C",IF('Data Source'!Z705&gt;=1,"D","F")))))))</f>
        <v/>
      </c>
      <c r="I705" s="3">
        <f>IF('Data Source'!B705="","",IF('Data Source'!AA705&gt;=5,"A+",IF('Data Source'!AA705&gt;=4,"A",IF('Data Source'!AA705&gt;=3.5,"A-",IF('Data Source'!AA705&gt;=3,"B",IF('Data Source'!AA705&gt;=2,"C",IF('Data Source'!AA705&gt;=1,"D","F")))))))</f>
        <v/>
      </c>
      <c r="J705" s="3">
        <f>IF('Data Source'!B705="","",IF('Data Source'!AB705&gt;=5,"A+",IF('Data Source'!AB705&gt;=4,"A",IF('Data Source'!AB705&gt;=3.5,"A-",IF('Data Source'!AB705&gt;=3,"B",IF('Data Source'!AB705&gt;=2,"C",IF('Data Source'!AB705&gt;=1,"D","F")))))))</f>
        <v/>
      </c>
      <c r="K705" s="3">
        <f>IF('Data Source'!B705="","",IF('Data Source'!AC705&gt;=5,"A+",IF('Data Source'!AC705&gt;=4,"A",IF('Data Source'!AC705&gt;=3.5,"A-",IF('Data Source'!AC705&gt;=3,"B",IF('Data Source'!AC705&gt;=2,"C",IF('Data Source'!AC705&gt;=1,"D","F")))))))</f>
        <v/>
      </c>
      <c r="L705" s="3">
        <f>IF('Data Source'!B705="","",IF('Data Source'!AD705&gt;=5,"A+",IF('Data Source'!AD705&gt;=4,"A",IF('Data Source'!AD705&gt;=3.5,"A-",IF('Data Source'!AD705&gt;=3,"B",IF('Data Source'!AD705&gt;=2,"C",IF('Data Source'!AD705&gt;=1,"D","F")))))))</f>
        <v/>
      </c>
      <c r="M705" s="3">
        <f>IF('Data Source'!B705="","",IF('Data Source'!AE705&gt;=5,"A+",IF('Data Source'!AE705&gt;=4,"A",IF('Data Source'!AE705&gt;=3.5,"A-",IF('Data Source'!AE705&gt;=3,"B",IF('Data Source'!AE705&gt;=2,"C",IF('Data Source'!AE705&gt;=1,"D","F")))))))</f>
        <v/>
      </c>
      <c r="N705" s="3">
        <f>IF('Data Source'!B705="","",IF('Data Source'!AF705&gt;=5,"A+",IF('Data Source'!AF705&gt;=4,"A",IF('Data Source'!AF705&gt;=3.5,"A-",IF('Data Source'!AF705&gt;=3,"B",IF('Data Source'!AF705&gt;=2,"C",IF('Data Source'!AF705&gt;=1,"D","F")))))))</f>
        <v/>
      </c>
      <c r="O705" s="3">
        <f>IF('Data Source'!B705="","",IF('Data Source'!AG705&gt;=5,"A+",IF('Data Source'!AG705&gt;=4,"A",IF('Data Source'!AG705&gt;=3.5,"A-",IF('Data Source'!AG705&gt;=3,"B",IF('Data Source'!AG705&gt;=2,"C",IF('Data Source'!AG705&gt;=1,"D","F")))))))</f>
        <v/>
      </c>
      <c r="P705" s="5">
        <f>IF('Data Source'!B705="","",'Data Source'!R705)</f>
        <v/>
      </c>
      <c r="Q705" s="3">
        <f>IF('Data Source'!B705="","",'Data Source'!S705)</f>
        <v/>
      </c>
    </row>
    <row r="706">
      <c r="A706" s="3">
        <f>IF('Data Source'!B706="","",'Data Source'!A706)</f>
        <v/>
      </c>
      <c r="B706">
        <f>IF('Data Source'!B706="","",'Data Source'!B706)</f>
        <v/>
      </c>
      <c r="C706" s="3">
        <f>IF('Data Source'!B706="","",IF('Data Source'!U706&gt;=5,"A+",IF('Data Source'!U706&gt;=4,"A",IF('Data Source'!U706&gt;=3.5,"A-",IF('Data Source'!U706&gt;=3,"B",IF('Data Source'!U706&gt;=2,"C",IF('Data Source'!U706&gt;=1,"D","F")))))))</f>
        <v/>
      </c>
      <c r="D706" s="3">
        <f>IF('Data Source'!B706="","",IF('Data Source'!V706&gt;=5,"A+",IF('Data Source'!V706&gt;=4,"A",IF('Data Source'!V706&gt;=3.5,"A-",IF('Data Source'!V706&gt;=3,"B",IF('Data Source'!V706&gt;=2,"C",IF('Data Source'!V706&gt;=1,"D","F")))))))</f>
        <v/>
      </c>
      <c r="E706" s="3">
        <f>IF('Data Source'!B706="","",IF('Data Source'!W706&gt;=5,"A+",IF('Data Source'!W706&gt;=4,"A",IF('Data Source'!W706&gt;=3.5,"A-",IF('Data Source'!W706&gt;=3,"B",IF('Data Source'!W706&gt;=2,"C",IF('Data Source'!W706&gt;=1,"D","F")))))))</f>
        <v/>
      </c>
      <c r="F706" s="3">
        <f>IF('Data Source'!B706="","",IF('Data Source'!X706&gt;=5,"A+",IF('Data Source'!X706&gt;=4,"A",IF('Data Source'!X706&gt;=3.5,"A-",IF('Data Source'!X706&gt;=3,"B",IF('Data Source'!X706&gt;=2,"C",IF('Data Source'!X706&gt;=1,"D","F")))))))</f>
        <v/>
      </c>
      <c r="G706" s="3">
        <f>IF('Data Source'!B706="","",IF('Data Source'!Y706&gt;=5,"A+",IF('Data Source'!Y706&gt;=4,"A",IF('Data Source'!Y706&gt;=3.5,"A-",IF('Data Source'!Y706&gt;=3,"B",IF('Data Source'!Y706&gt;=2,"C",IF('Data Source'!Y706&gt;=1,"D","F")))))))</f>
        <v/>
      </c>
      <c r="H706" s="3">
        <f>IF('Data Source'!B706="","",IF('Data Source'!Z706&gt;=5,"A+",IF('Data Source'!Z706&gt;=4,"A",IF('Data Source'!Z706&gt;=3.5,"A-",IF('Data Source'!Z706&gt;=3,"B",IF('Data Source'!Z706&gt;=2,"C",IF('Data Source'!Z706&gt;=1,"D","F")))))))</f>
        <v/>
      </c>
      <c r="I706" s="3">
        <f>IF('Data Source'!B706="","",IF('Data Source'!AA706&gt;=5,"A+",IF('Data Source'!AA706&gt;=4,"A",IF('Data Source'!AA706&gt;=3.5,"A-",IF('Data Source'!AA706&gt;=3,"B",IF('Data Source'!AA706&gt;=2,"C",IF('Data Source'!AA706&gt;=1,"D","F")))))))</f>
        <v/>
      </c>
      <c r="J706" s="3">
        <f>IF('Data Source'!B706="","",IF('Data Source'!AB706&gt;=5,"A+",IF('Data Source'!AB706&gt;=4,"A",IF('Data Source'!AB706&gt;=3.5,"A-",IF('Data Source'!AB706&gt;=3,"B",IF('Data Source'!AB706&gt;=2,"C",IF('Data Source'!AB706&gt;=1,"D","F")))))))</f>
        <v/>
      </c>
      <c r="K706" s="3">
        <f>IF('Data Source'!B706="","",IF('Data Source'!AC706&gt;=5,"A+",IF('Data Source'!AC706&gt;=4,"A",IF('Data Source'!AC706&gt;=3.5,"A-",IF('Data Source'!AC706&gt;=3,"B",IF('Data Source'!AC706&gt;=2,"C",IF('Data Source'!AC706&gt;=1,"D","F")))))))</f>
        <v/>
      </c>
      <c r="L706" s="3">
        <f>IF('Data Source'!B706="","",IF('Data Source'!AD706&gt;=5,"A+",IF('Data Source'!AD706&gt;=4,"A",IF('Data Source'!AD706&gt;=3.5,"A-",IF('Data Source'!AD706&gt;=3,"B",IF('Data Source'!AD706&gt;=2,"C",IF('Data Source'!AD706&gt;=1,"D","F")))))))</f>
        <v/>
      </c>
      <c r="M706" s="3">
        <f>IF('Data Source'!B706="","",IF('Data Source'!AE706&gt;=5,"A+",IF('Data Source'!AE706&gt;=4,"A",IF('Data Source'!AE706&gt;=3.5,"A-",IF('Data Source'!AE706&gt;=3,"B",IF('Data Source'!AE706&gt;=2,"C",IF('Data Source'!AE706&gt;=1,"D","F")))))))</f>
        <v/>
      </c>
      <c r="N706" s="3">
        <f>IF('Data Source'!B706="","",IF('Data Source'!AF706&gt;=5,"A+",IF('Data Source'!AF706&gt;=4,"A",IF('Data Source'!AF706&gt;=3.5,"A-",IF('Data Source'!AF706&gt;=3,"B",IF('Data Source'!AF706&gt;=2,"C",IF('Data Source'!AF706&gt;=1,"D","F")))))))</f>
        <v/>
      </c>
      <c r="O706" s="3">
        <f>IF('Data Source'!B706="","",IF('Data Source'!AG706&gt;=5,"A+",IF('Data Source'!AG706&gt;=4,"A",IF('Data Source'!AG706&gt;=3.5,"A-",IF('Data Source'!AG706&gt;=3,"B",IF('Data Source'!AG706&gt;=2,"C",IF('Data Source'!AG706&gt;=1,"D","F")))))))</f>
        <v/>
      </c>
      <c r="P706" s="5">
        <f>IF('Data Source'!B706="","",'Data Source'!R706)</f>
        <v/>
      </c>
      <c r="Q706" s="3">
        <f>IF('Data Source'!B706="","",'Data Source'!S706)</f>
        <v/>
      </c>
    </row>
    <row r="707">
      <c r="A707" s="3">
        <f>IF('Data Source'!B707="","",'Data Source'!A707)</f>
        <v/>
      </c>
      <c r="B707">
        <f>IF('Data Source'!B707="","",'Data Source'!B707)</f>
        <v/>
      </c>
      <c r="C707" s="3">
        <f>IF('Data Source'!B707="","",IF('Data Source'!U707&gt;=5,"A+",IF('Data Source'!U707&gt;=4,"A",IF('Data Source'!U707&gt;=3.5,"A-",IF('Data Source'!U707&gt;=3,"B",IF('Data Source'!U707&gt;=2,"C",IF('Data Source'!U707&gt;=1,"D","F")))))))</f>
        <v/>
      </c>
      <c r="D707" s="3">
        <f>IF('Data Source'!B707="","",IF('Data Source'!V707&gt;=5,"A+",IF('Data Source'!V707&gt;=4,"A",IF('Data Source'!V707&gt;=3.5,"A-",IF('Data Source'!V707&gt;=3,"B",IF('Data Source'!V707&gt;=2,"C",IF('Data Source'!V707&gt;=1,"D","F")))))))</f>
        <v/>
      </c>
      <c r="E707" s="3">
        <f>IF('Data Source'!B707="","",IF('Data Source'!W707&gt;=5,"A+",IF('Data Source'!W707&gt;=4,"A",IF('Data Source'!W707&gt;=3.5,"A-",IF('Data Source'!W707&gt;=3,"B",IF('Data Source'!W707&gt;=2,"C",IF('Data Source'!W707&gt;=1,"D","F")))))))</f>
        <v/>
      </c>
      <c r="F707" s="3">
        <f>IF('Data Source'!B707="","",IF('Data Source'!X707&gt;=5,"A+",IF('Data Source'!X707&gt;=4,"A",IF('Data Source'!X707&gt;=3.5,"A-",IF('Data Source'!X707&gt;=3,"B",IF('Data Source'!X707&gt;=2,"C",IF('Data Source'!X707&gt;=1,"D","F")))))))</f>
        <v/>
      </c>
      <c r="G707" s="3">
        <f>IF('Data Source'!B707="","",IF('Data Source'!Y707&gt;=5,"A+",IF('Data Source'!Y707&gt;=4,"A",IF('Data Source'!Y707&gt;=3.5,"A-",IF('Data Source'!Y707&gt;=3,"B",IF('Data Source'!Y707&gt;=2,"C",IF('Data Source'!Y707&gt;=1,"D","F")))))))</f>
        <v/>
      </c>
      <c r="H707" s="3">
        <f>IF('Data Source'!B707="","",IF('Data Source'!Z707&gt;=5,"A+",IF('Data Source'!Z707&gt;=4,"A",IF('Data Source'!Z707&gt;=3.5,"A-",IF('Data Source'!Z707&gt;=3,"B",IF('Data Source'!Z707&gt;=2,"C",IF('Data Source'!Z707&gt;=1,"D","F")))))))</f>
        <v/>
      </c>
      <c r="I707" s="3">
        <f>IF('Data Source'!B707="","",IF('Data Source'!AA707&gt;=5,"A+",IF('Data Source'!AA707&gt;=4,"A",IF('Data Source'!AA707&gt;=3.5,"A-",IF('Data Source'!AA707&gt;=3,"B",IF('Data Source'!AA707&gt;=2,"C",IF('Data Source'!AA707&gt;=1,"D","F")))))))</f>
        <v/>
      </c>
      <c r="J707" s="3">
        <f>IF('Data Source'!B707="","",IF('Data Source'!AB707&gt;=5,"A+",IF('Data Source'!AB707&gt;=4,"A",IF('Data Source'!AB707&gt;=3.5,"A-",IF('Data Source'!AB707&gt;=3,"B",IF('Data Source'!AB707&gt;=2,"C",IF('Data Source'!AB707&gt;=1,"D","F")))))))</f>
        <v/>
      </c>
      <c r="K707" s="3">
        <f>IF('Data Source'!B707="","",IF('Data Source'!AC707&gt;=5,"A+",IF('Data Source'!AC707&gt;=4,"A",IF('Data Source'!AC707&gt;=3.5,"A-",IF('Data Source'!AC707&gt;=3,"B",IF('Data Source'!AC707&gt;=2,"C",IF('Data Source'!AC707&gt;=1,"D","F")))))))</f>
        <v/>
      </c>
      <c r="L707" s="3">
        <f>IF('Data Source'!B707="","",IF('Data Source'!AD707&gt;=5,"A+",IF('Data Source'!AD707&gt;=4,"A",IF('Data Source'!AD707&gt;=3.5,"A-",IF('Data Source'!AD707&gt;=3,"B",IF('Data Source'!AD707&gt;=2,"C",IF('Data Source'!AD707&gt;=1,"D","F")))))))</f>
        <v/>
      </c>
      <c r="M707" s="3">
        <f>IF('Data Source'!B707="","",IF('Data Source'!AE707&gt;=5,"A+",IF('Data Source'!AE707&gt;=4,"A",IF('Data Source'!AE707&gt;=3.5,"A-",IF('Data Source'!AE707&gt;=3,"B",IF('Data Source'!AE707&gt;=2,"C",IF('Data Source'!AE707&gt;=1,"D","F")))))))</f>
        <v/>
      </c>
      <c r="N707" s="3">
        <f>IF('Data Source'!B707="","",IF('Data Source'!AF707&gt;=5,"A+",IF('Data Source'!AF707&gt;=4,"A",IF('Data Source'!AF707&gt;=3.5,"A-",IF('Data Source'!AF707&gt;=3,"B",IF('Data Source'!AF707&gt;=2,"C",IF('Data Source'!AF707&gt;=1,"D","F")))))))</f>
        <v/>
      </c>
      <c r="O707" s="3">
        <f>IF('Data Source'!B707="","",IF('Data Source'!AG707&gt;=5,"A+",IF('Data Source'!AG707&gt;=4,"A",IF('Data Source'!AG707&gt;=3.5,"A-",IF('Data Source'!AG707&gt;=3,"B",IF('Data Source'!AG707&gt;=2,"C",IF('Data Source'!AG707&gt;=1,"D","F")))))))</f>
        <v/>
      </c>
      <c r="P707" s="5">
        <f>IF('Data Source'!B707="","",'Data Source'!R707)</f>
        <v/>
      </c>
      <c r="Q707" s="3">
        <f>IF('Data Source'!B707="","",'Data Source'!S707)</f>
        <v/>
      </c>
    </row>
    <row r="708">
      <c r="A708" s="3">
        <f>IF('Data Source'!B708="","",'Data Source'!A708)</f>
        <v/>
      </c>
      <c r="B708">
        <f>IF('Data Source'!B708="","",'Data Source'!B708)</f>
        <v/>
      </c>
      <c r="C708" s="3">
        <f>IF('Data Source'!B708="","",IF('Data Source'!U708&gt;=5,"A+",IF('Data Source'!U708&gt;=4,"A",IF('Data Source'!U708&gt;=3.5,"A-",IF('Data Source'!U708&gt;=3,"B",IF('Data Source'!U708&gt;=2,"C",IF('Data Source'!U708&gt;=1,"D","F")))))))</f>
        <v/>
      </c>
      <c r="D708" s="3">
        <f>IF('Data Source'!B708="","",IF('Data Source'!V708&gt;=5,"A+",IF('Data Source'!V708&gt;=4,"A",IF('Data Source'!V708&gt;=3.5,"A-",IF('Data Source'!V708&gt;=3,"B",IF('Data Source'!V708&gt;=2,"C",IF('Data Source'!V708&gt;=1,"D","F")))))))</f>
        <v/>
      </c>
      <c r="E708" s="3">
        <f>IF('Data Source'!B708="","",IF('Data Source'!W708&gt;=5,"A+",IF('Data Source'!W708&gt;=4,"A",IF('Data Source'!W708&gt;=3.5,"A-",IF('Data Source'!W708&gt;=3,"B",IF('Data Source'!W708&gt;=2,"C",IF('Data Source'!W708&gt;=1,"D","F")))))))</f>
        <v/>
      </c>
      <c r="F708" s="3">
        <f>IF('Data Source'!B708="","",IF('Data Source'!X708&gt;=5,"A+",IF('Data Source'!X708&gt;=4,"A",IF('Data Source'!X708&gt;=3.5,"A-",IF('Data Source'!X708&gt;=3,"B",IF('Data Source'!X708&gt;=2,"C",IF('Data Source'!X708&gt;=1,"D","F")))))))</f>
        <v/>
      </c>
      <c r="G708" s="3">
        <f>IF('Data Source'!B708="","",IF('Data Source'!Y708&gt;=5,"A+",IF('Data Source'!Y708&gt;=4,"A",IF('Data Source'!Y708&gt;=3.5,"A-",IF('Data Source'!Y708&gt;=3,"B",IF('Data Source'!Y708&gt;=2,"C",IF('Data Source'!Y708&gt;=1,"D","F")))))))</f>
        <v/>
      </c>
      <c r="H708" s="3">
        <f>IF('Data Source'!B708="","",IF('Data Source'!Z708&gt;=5,"A+",IF('Data Source'!Z708&gt;=4,"A",IF('Data Source'!Z708&gt;=3.5,"A-",IF('Data Source'!Z708&gt;=3,"B",IF('Data Source'!Z708&gt;=2,"C",IF('Data Source'!Z708&gt;=1,"D","F")))))))</f>
        <v/>
      </c>
      <c r="I708" s="3">
        <f>IF('Data Source'!B708="","",IF('Data Source'!AA708&gt;=5,"A+",IF('Data Source'!AA708&gt;=4,"A",IF('Data Source'!AA708&gt;=3.5,"A-",IF('Data Source'!AA708&gt;=3,"B",IF('Data Source'!AA708&gt;=2,"C",IF('Data Source'!AA708&gt;=1,"D","F")))))))</f>
        <v/>
      </c>
      <c r="J708" s="3">
        <f>IF('Data Source'!B708="","",IF('Data Source'!AB708&gt;=5,"A+",IF('Data Source'!AB708&gt;=4,"A",IF('Data Source'!AB708&gt;=3.5,"A-",IF('Data Source'!AB708&gt;=3,"B",IF('Data Source'!AB708&gt;=2,"C",IF('Data Source'!AB708&gt;=1,"D","F")))))))</f>
        <v/>
      </c>
      <c r="K708" s="3">
        <f>IF('Data Source'!B708="","",IF('Data Source'!AC708&gt;=5,"A+",IF('Data Source'!AC708&gt;=4,"A",IF('Data Source'!AC708&gt;=3.5,"A-",IF('Data Source'!AC708&gt;=3,"B",IF('Data Source'!AC708&gt;=2,"C",IF('Data Source'!AC708&gt;=1,"D","F")))))))</f>
        <v/>
      </c>
      <c r="L708" s="3">
        <f>IF('Data Source'!B708="","",IF('Data Source'!AD708&gt;=5,"A+",IF('Data Source'!AD708&gt;=4,"A",IF('Data Source'!AD708&gt;=3.5,"A-",IF('Data Source'!AD708&gt;=3,"B",IF('Data Source'!AD708&gt;=2,"C",IF('Data Source'!AD708&gt;=1,"D","F")))))))</f>
        <v/>
      </c>
      <c r="M708" s="3">
        <f>IF('Data Source'!B708="","",IF('Data Source'!AE708&gt;=5,"A+",IF('Data Source'!AE708&gt;=4,"A",IF('Data Source'!AE708&gt;=3.5,"A-",IF('Data Source'!AE708&gt;=3,"B",IF('Data Source'!AE708&gt;=2,"C",IF('Data Source'!AE708&gt;=1,"D","F")))))))</f>
        <v/>
      </c>
      <c r="N708" s="3">
        <f>IF('Data Source'!B708="","",IF('Data Source'!AF708&gt;=5,"A+",IF('Data Source'!AF708&gt;=4,"A",IF('Data Source'!AF708&gt;=3.5,"A-",IF('Data Source'!AF708&gt;=3,"B",IF('Data Source'!AF708&gt;=2,"C",IF('Data Source'!AF708&gt;=1,"D","F")))))))</f>
        <v/>
      </c>
      <c r="O708" s="3">
        <f>IF('Data Source'!B708="","",IF('Data Source'!AG708&gt;=5,"A+",IF('Data Source'!AG708&gt;=4,"A",IF('Data Source'!AG708&gt;=3.5,"A-",IF('Data Source'!AG708&gt;=3,"B",IF('Data Source'!AG708&gt;=2,"C",IF('Data Source'!AG708&gt;=1,"D","F")))))))</f>
        <v/>
      </c>
      <c r="P708" s="5">
        <f>IF('Data Source'!B708="","",'Data Source'!R708)</f>
        <v/>
      </c>
      <c r="Q708" s="3">
        <f>IF('Data Source'!B708="","",'Data Source'!S708)</f>
        <v/>
      </c>
    </row>
    <row r="709">
      <c r="A709" s="3">
        <f>IF('Data Source'!B709="","",'Data Source'!A709)</f>
        <v/>
      </c>
      <c r="B709">
        <f>IF('Data Source'!B709="","",'Data Source'!B709)</f>
        <v/>
      </c>
      <c r="C709" s="3">
        <f>IF('Data Source'!B709="","",IF('Data Source'!U709&gt;=5,"A+",IF('Data Source'!U709&gt;=4,"A",IF('Data Source'!U709&gt;=3.5,"A-",IF('Data Source'!U709&gt;=3,"B",IF('Data Source'!U709&gt;=2,"C",IF('Data Source'!U709&gt;=1,"D","F")))))))</f>
        <v/>
      </c>
      <c r="D709" s="3">
        <f>IF('Data Source'!B709="","",IF('Data Source'!V709&gt;=5,"A+",IF('Data Source'!V709&gt;=4,"A",IF('Data Source'!V709&gt;=3.5,"A-",IF('Data Source'!V709&gt;=3,"B",IF('Data Source'!V709&gt;=2,"C",IF('Data Source'!V709&gt;=1,"D","F")))))))</f>
        <v/>
      </c>
      <c r="E709" s="3">
        <f>IF('Data Source'!B709="","",IF('Data Source'!W709&gt;=5,"A+",IF('Data Source'!W709&gt;=4,"A",IF('Data Source'!W709&gt;=3.5,"A-",IF('Data Source'!W709&gt;=3,"B",IF('Data Source'!W709&gt;=2,"C",IF('Data Source'!W709&gt;=1,"D","F")))))))</f>
        <v/>
      </c>
      <c r="F709" s="3">
        <f>IF('Data Source'!B709="","",IF('Data Source'!X709&gt;=5,"A+",IF('Data Source'!X709&gt;=4,"A",IF('Data Source'!X709&gt;=3.5,"A-",IF('Data Source'!X709&gt;=3,"B",IF('Data Source'!X709&gt;=2,"C",IF('Data Source'!X709&gt;=1,"D","F")))))))</f>
        <v/>
      </c>
      <c r="G709" s="3">
        <f>IF('Data Source'!B709="","",IF('Data Source'!Y709&gt;=5,"A+",IF('Data Source'!Y709&gt;=4,"A",IF('Data Source'!Y709&gt;=3.5,"A-",IF('Data Source'!Y709&gt;=3,"B",IF('Data Source'!Y709&gt;=2,"C",IF('Data Source'!Y709&gt;=1,"D","F")))))))</f>
        <v/>
      </c>
      <c r="H709" s="3">
        <f>IF('Data Source'!B709="","",IF('Data Source'!Z709&gt;=5,"A+",IF('Data Source'!Z709&gt;=4,"A",IF('Data Source'!Z709&gt;=3.5,"A-",IF('Data Source'!Z709&gt;=3,"B",IF('Data Source'!Z709&gt;=2,"C",IF('Data Source'!Z709&gt;=1,"D","F")))))))</f>
        <v/>
      </c>
      <c r="I709" s="3">
        <f>IF('Data Source'!B709="","",IF('Data Source'!AA709&gt;=5,"A+",IF('Data Source'!AA709&gt;=4,"A",IF('Data Source'!AA709&gt;=3.5,"A-",IF('Data Source'!AA709&gt;=3,"B",IF('Data Source'!AA709&gt;=2,"C",IF('Data Source'!AA709&gt;=1,"D","F")))))))</f>
        <v/>
      </c>
      <c r="J709" s="3">
        <f>IF('Data Source'!B709="","",IF('Data Source'!AB709&gt;=5,"A+",IF('Data Source'!AB709&gt;=4,"A",IF('Data Source'!AB709&gt;=3.5,"A-",IF('Data Source'!AB709&gt;=3,"B",IF('Data Source'!AB709&gt;=2,"C",IF('Data Source'!AB709&gt;=1,"D","F")))))))</f>
        <v/>
      </c>
      <c r="K709" s="3">
        <f>IF('Data Source'!B709="","",IF('Data Source'!AC709&gt;=5,"A+",IF('Data Source'!AC709&gt;=4,"A",IF('Data Source'!AC709&gt;=3.5,"A-",IF('Data Source'!AC709&gt;=3,"B",IF('Data Source'!AC709&gt;=2,"C",IF('Data Source'!AC709&gt;=1,"D","F")))))))</f>
        <v/>
      </c>
      <c r="L709" s="3">
        <f>IF('Data Source'!B709="","",IF('Data Source'!AD709&gt;=5,"A+",IF('Data Source'!AD709&gt;=4,"A",IF('Data Source'!AD709&gt;=3.5,"A-",IF('Data Source'!AD709&gt;=3,"B",IF('Data Source'!AD709&gt;=2,"C",IF('Data Source'!AD709&gt;=1,"D","F")))))))</f>
        <v/>
      </c>
      <c r="M709" s="3">
        <f>IF('Data Source'!B709="","",IF('Data Source'!AE709&gt;=5,"A+",IF('Data Source'!AE709&gt;=4,"A",IF('Data Source'!AE709&gt;=3.5,"A-",IF('Data Source'!AE709&gt;=3,"B",IF('Data Source'!AE709&gt;=2,"C",IF('Data Source'!AE709&gt;=1,"D","F")))))))</f>
        <v/>
      </c>
      <c r="N709" s="3">
        <f>IF('Data Source'!B709="","",IF('Data Source'!AF709&gt;=5,"A+",IF('Data Source'!AF709&gt;=4,"A",IF('Data Source'!AF709&gt;=3.5,"A-",IF('Data Source'!AF709&gt;=3,"B",IF('Data Source'!AF709&gt;=2,"C",IF('Data Source'!AF709&gt;=1,"D","F")))))))</f>
        <v/>
      </c>
      <c r="O709" s="3">
        <f>IF('Data Source'!B709="","",IF('Data Source'!AG709&gt;=5,"A+",IF('Data Source'!AG709&gt;=4,"A",IF('Data Source'!AG709&gt;=3.5,"A-",IF('Data Source'!AG709&gt;=3,"B",IF('Data Source'!AG709&gt;=2,"C",IF('Data Source'!AG709&gt;=1,"D","F")))))))</f>
        <v/>
      </c>
      <c r="P709" s="5">
        <f>IF('Data Source'!B709="","",'Data Source'!R709)</f>
        <v/>
      </c>
      <c r="Q709" s="3">
        <f>IF('Data Source'!B709="","",'Data Source'!S709)</f>
        <v/>
      </c>
    </row>
    <row r="710">
      <c r="A710" s="3">
        <f>IF('Data Source'!B710="","",'Data Source'!A710)</f>
        <v/>
      </c>
      <c r="B710">
        <f>IF('Data Source'!B710="","",'Data Source'!B710)</f>
        <v/>
      </c>
      <c r="C710" s="3">
        <f>IF('Data Source'!B710="","",IF('Data Source'!U710&gt;=5,"A+",IF('Data Source'!U710&gt;=4,"A",IF('Data Source'!U710&gt;=3.5,"A-",IF('Data Source'!U710&gt;=3,"B",IF('Data Source'!U710&gt;=2,"C",IF('Data Source'!U710&gt;=1,"D","F")))))))</f>
        <v/>
      </c>
      <c r="D710" s="3">
        <f>IF('Data Source'!B710="","",IF('Data Source'!V710&gt;=5,"A+",IF('Data Source'!V710&gt;=4,"A",IF('Data Source'!V710&gt;=3.5,"A-",IF('Data Source'!V710&gt;=3,"B",IF('Data Source'!V710&gt;=2,"C",IF('Data Source'!V710&gt;=1,"D","F")))))))</f>
        <v/>
      </c>
      <c r="E710" s="3">
        <f>IF('Data Source'!B710="","",IF('Data Source'!W710&gt;=5,"A+",IF('Data Source'!W710&gt;=4,"A",IF('Data Source'!W710&gt;=3.5,"A-",IF('Data Source'!W710&gt;=3,"B",IF('Data Source'!W710&gt;=2,"C",IF('Data Source'!W710&gt;=1,"D","F")))))))</f>
        <v/>
      </c>
      <c r="F710" s="3">
        <f>IF('Data Source'!B710="","",IF('Data Source'!X710&gt;=5,"A+",IF('Data Source'!X710&gt;=4,"A",IF('Data Source'!X710&gt;=3.5,"A-",IF('Data Source'!X710&gt;=3,"B",IF('Data Source'!X710&gt;=2,"C",IF('Data Source'!X710&gt;=1,"D","F")))))))</f>
        <v/>
      </c>
      <c r="G710" s="3">
        <f>IF('Data Source'!B710="","",IF('Data Source'!Y710&gt;=5,"A+",IF('Data Source'!Y710&gt;=4,"A",IF('Data Source'!Y710&gt;=3.5,"A-",IF('Data Source'!Y710&gt;=3,"B",IF('Data Source'!Y710&gt;=2,"C",IF('Data Source'!Y710&gt;=1,"D","F")))))))</f>
        <v/>
      </c>
      <c r="H710" s="3">
        <f>IF('Data Source'!B710="","",IF('Data Source'!Z710&gt;=5,"A+",IF('Data Source'!Z710&gt;=4,"A",IF('Data Source'!Z710&gt;=3.5,"A-",IF('Data Source'!Z710&gt;=3,"B",IF('Data Source'!Z710&gt;=2,"C",IF('Data Source'!Z710&gt;=1,"D","F")))))))</f>
        <v/>
      </c>
      <c r="I710" s="3">
        <f>IF('Data Source'!B710="","",IF('Data Source'!AA710&gt;=5,"A+",IF('Data Source'!AA710&gt;=4,"A",IF('Data Source'!AA710&gt;=3.5,"A-",IF('Data Source'!AA710&gt;=3,"B",IF('Data Source'!AA710&gt;=2,"C",IF('Data Source'!AA710&gt;=1,"D","F")))))))</f>
        <v/>
      </c>
      <c r="J710" s="3">
        <f>IF('Data Source'!B710="","",IF('Data Source'!AB710&gt;=5,"A+",IF('Data Source'!AB710&gt;=4,"A",IF('Data Source'!AB710&gt;=3.5,"A-",IF('Data Source'!AB710&gt;=3,"B",IF('Data Source'!AB710&gt;=2,"C",IF('Data Source'!AB710&gt;=1,"D","F")))))))</f>
        <v/>
      </c>
      <c r="K710" s="3">
        <f>IF('Data Source'!B710="","",IF('Data Source'!AC710&gt;=5,"A+",IF('Data Source'!AC710&gt;=4,"A",IF('Data Source'!AC710&gt;=3.5,"A-",IF('Data Source'!AC710&gt;=3,"B",IF('Data Source'!AC710&gt;=2,"C",IF('Data Source'!AC710&gt;=1,"D","F")))))))</f>
        <v/>
      </c>
      <c r="L710" s="3">
        <f>IF('Data Source'!B710="","",IF('Data Source'!AD710&gt;=5,"A+",IF('Data Source'!AD710&gt;=4,"A",IF('Data Source'!AD710&gt;=3.5,"A-",IF('Data Source'!AD710&gt;=3,"B",IF('Data Source'!AD710&gt;=2,"C",IF('Data Source'!AD710&gt;=1,"D","F")))))))</f>
        <v/>
      </c>
      <c r="M710" s="3">
        <f>IF('Data Source'!B710="","",IF('Data Source'!AE710&gt;=5,"A+",IF('Data Source'!AE710&gt;=4,"A",IF('Data Source'!AE710&gt;=3.5,"A-",IF('Data Source'!AE710&gt;=3,"B",IF('Data Source'!AE710&gt;=2,"C",IF('Data Source'!AE710&gt;=1,"D","F")))))))</f>
        <v/>
      </c>
      <c r="N710" s="3">
        <f>IF('Data Source'!B710="","",IF('Data Source'!AF710&gt;=5,"A+",IF('Data Source'!AF710&gt;=4,"A",IF('Data Source'!AF710&gt;=3.5,"A-",IF('Data Source'!AF710&gt;=3,"B",IF('Data Source'!AF710&gt;=2,"C",IF('Data Source'!AF710&gt;=1,"D","F")))))))</f>
        <v/>
      </c>
      <c r="O710" s="3">
        <f>IF('Data Source'!B710="","",IF('Data Source'!AG710&gt;=5,"A+",IF('Data Source'!AG710&gt;=4,"A",IF('Data Source'!AG710&gt;=3.5,"A-",IF('Data Source'!AG710&gt;=3,"B",IF('Data Source'!AG710&gt;=2,"C",IF('Data Source'!AG710&gt;=1,"D","F")))))))</f>
        <v/>
      </c>
      <c r="P710" s="5">
        <f>IF('Data Source'!B710="","",'Data Source'!R710)</f>
        <v/>
      </c>
      <c r="Q710" s="3">
        <f>IF('Data Source'!B710="","",'Data Source'!S710)</f>
        <v/>
      </c>
    </row>
    <row r="711">
      <c r="A711" s="3">
        <f>IF('Data Source'!B711="","",'Data Source'!A711)</f>
        <v/>
      </c>
      <c r="B711">
        <f>IF('Data Source'!B711="","",'Data Source'!B711)</f>
        <v/>
      </c>
      <c r="C711" s="3">
        <f>IF('Data Source'!B711="","",IF('Data Source'!U711&gt;=5,"A+",IF('Data Source'!U711&gt;=4,"A",IF('Data Source'!U711&gt;=3.5,"A-",IF('Data Source'!U711&gt;=3,"B",IF('Data Source'!U711&gt;=2,"C",IF('Data Source'!U711&gt;=1,"D","F")))))))</f>
        <v/>
      </c>
      <c r="D711" s="3">
        <f>IF('Data Source'!B711="","",IF('Data Source'!V711&gt;=5,"A+",IF('Data Source'!V711&gt;=4,"A",IF('Data Source'!V711&gt;=3.5,"A-",IF('Data Source'!V711&gt;=3,"B",IF('Data Source'!V711&gt;=2,"C",IF('Data Source'!V711&gt;=1,"D","F")))))))</f>
        <v/>
      </c>
      <c r="E711" s="3">
        <f>IF('Data Source'!B711="","",IF('Data Source'!W711&gt;=5,"A+",IF('Data Source'!W711&gt;=4,"A",IF('Data Source'!W711&gt;=3.5,"A-",IF('Data Source'!W711&gt;=3,"B",IF('Data Source'!W711&gt;=2,"C",IF('Data Source'!W711&gt;=1,"D","F")))))))</f>
        <v/>
      </c>
      <c r="F711" s="3">
        <f>IF('Data Source'!B711="","",IF('Data Source'!X711&gt;=5,"A+",IF('Data Source'!X711&gt;=4,"A",IF('Data Source'!X711&gt;=3.5,"A-",IF('Data Source'!X711&gt;=3,"B",IF('Data Source'!X711&gt;=2,"C",IF('Data Source'!X711&gt;=1,"D","F")))))))</f>
        <v/>
      </c>
      <c r="G711" s="3">
        <f>IF('Data Source'!B711="","",IF('Data Source'!Y711&gt;=5,"A+",IF('Data Source'!Y711&gt;=4,"A",IF('Data Source'!Y711&gt;=3.5,"A-",IF('Data Source'!Y711&gt;=3,"B",IF('Data Source'!Y711&gt;=2,"C",IF('Data Source'!Y711&gt;=1,"D","F")))))))</f>
        <v/>
      </c>
      <c r="H711" s="3">
        <f>IF('Data Source'!B711="","",IF('Data Source'!Z711&gt;=5,"A+",IF('Data Source'!Z711&gt;=4,"A",IF('Data Source'!Z711&gt;=3.5,"A-",IF('Data Source'!Z711&gt;=3,"B",IF('Data Source'!Z711&gt;=2,"C",IF('Data Source'!Z711&gt;=1,"D","F")))))))</f>
        <v/>
      </c>
      <c r="I711" s="3">
        <f>IF('Data Source'!B711="","",IF('Data Source'!AA711&gt;=5,"A+",IF('Data Source'!AA711&gt;=4,"A",IF('Data Source'!AA711&gt;=3.5,"A-",IF('Data Source'!AA711&gt;=3,"B",IF('Data Source'!AA711&gt;=2,"C",IF('Data Source'!AA711&gt;=1,"D","F")))))))</f>
        <v/>
      </c>
      <c r="J711" s="3">
        <f>IF('Data Source'!B711="","",IF('Data Source'!AB711&gt;=5,"A+",IF('Data Source'!AB711&gt;=4,"A",IF('Data Source'!AB711&gt;=3.5,"A-",IF('Data Source'!AB711&gt;=3,"B",IF('Data Source'!AB711&gt;=2,"C",IF('Data Source'!AB711&gt;=1,"D","F")))))))</f>
        <v/>
      </c>
      <c r="K711" s="3">
        <f>IF('Data Source'!B711="","",IF('Data Source'!AC711&gt;=5,"A+",IF('Data Source'!AC711&gt;=4,"A",IF('Data Source'!AC711&gt;=3.5,"A-",IF('Data Source'!AC711&gt;=3,"B",IF('Data Source'!AC711&gt;=2,"C",IF('Data Source'!AC711&gt;=1,"D","F")))))))</f>
        <v/>
      </c>
      <c r="L711" s="3">
        <f>IF('Data Source'!B711="","",IF('Data Source'!AD711&gt;=5,"A+",IF('Data Source'!AD711&gt;=4,"A",IF('Data Source'!AD711&gt;=3.5,"A-",IF('Data Source'!AD711&gt;=3,"B",IF('Data Source'!AD711&gt;=2,"C",IF('Data Source'!AD711&gt;=1,"D","F")))))))</f>
        <v/>
      </c>
      <c r="M711" s="3">
        <f>IF('Data Source'!B711="","",IF('Data Source'!AE711&gt;=5,"A+",IF('Data Source'!AE711&gt;=4,"A",IF('Data Source'!AE711&gt;=3.5,"A-",IF('Data Source'!AE711&gt;=3,"B",IF('Data Source'!AE711&gt;=2,"C",IF('Data Source'!AE711&gt;=1,"D","F")))))))</f>
        <v/>
      </c>
      <c r="N711" s="3">
        <f>IF('Data Source'!B711="","",IF('Data Source'!AF711&gt;=5,"A+",IF('Data Source'!AF711&gt;=4,"A",IF('Data Source'!AF711&gt;=3.5,"A-",IF('Data Source'!AF711&gt;=3,"B",IF('Data Source'!AF711&gt;=2,"C",IF('Data Source'!AF711&gt;=1,"D","F")))))))</f>
        <v/>
      </c>
      <c r="O711" s="3">
        <f>IF('Data Source'!B711="","",IF('Data Source'!AG711&gt;=5,"A+",IF('Data Source'!AG711&gt;=4,"A",IF('Data Source'!AG711&gt;=3.5,"A-",IF('Data Source'!AG711&gt;=3,"B",IF('Data Source'!AG711&gt;=2,"C",IF('Data Source'!AG711&gt;=1,"D","F")))))))</f>
        <v/>
      </c>
      <c r="P711" s="5">
        <f>IF('Data Source'!B711="","",'Data Source'!R711)</f>
        <v/>
      </c>
      <c r="Q711" s="3">
        <f>IF('Data Source'!B711="","",'Data Source'!S711)</f>
        <v/>
      </c>
    </row>
    <row r="712">
      <c r="A712" s="3">
        <f>IF('Data Source'!B712="","",'Data Source'!A712)</f>
        <v/>
      </c>
      <c r="B712">
        <f>IF('Data Source'!B712="","",'Data Source'!B712)</f>
        <v/>
      </c>
      <c r="C712" s="3">
        <f>IF('Data Source'!B712="","",IF('Data Source'!U712&gt;=5,"A+",IF('Data Source'!U712&gt;=4,"A",IF('Data Source'!U712&gt;=3.5,"A-",IF('Data Source'!U712&gt;=3,"B",IF('Data Source'!U712&gt;=2,"C",IF('Data Source'!U712&gt;=1,"D","F")))))))</f>
        <v/>
      </c>
      <c r="D712" s="3">
        <f>IF('Data Source'!B712="","",IF('Data Source'!V712&gt;=5,"A+",IF('Data Source'!V712&gt;=4,"A",IF('Data Source'!V712&gt;=3.5,"A-",IF('Data Source'!V712&gt;=3,"B",IF('Data Source'!V712&gt;=2,"C",IF('Data Source'!V712&gt;=1,"D","F")))))))</f>
        <v/>
      </c>
      <c r="E712" s="3">
        <f>IF('Data Source'!B712="","",IF('Data Source'!W712&gt;=5,"A+",IF('Data Source'!W712&gt;=4,"A",IF('Data Source'!W712&gt;=3.5,"A-",IF('Data Source'!W712&gt;=3,"B",IF('Data Source'!W712&gt;=2,"C",IF('Data Source'!W712&gt;=1,"D","F")))))))</f>
        <v/>
      </c>
      <c r="F712" s="3">
        <f>IF('Data Source'!B712="","",IF('Data Source'!X712&gt;=5,"A+",IF('Data Source'!X712&gt;=4,"A",IF('Data Source'!X712&gt;=3.5,"A-",IF('Data Source'!X712&gt;=3,"B",IF('Data Source'!X712&gt;=2,"C",IF('Data Source'!X712&gt;=1,"D","F")))))))</f>
        <v/>
      </c>
      <c r="G712" s="3">
        <f>IF('Data Source'!B712="","",IF('Data Source'!Y712&gt;=5,"A+",IF('Data Source'!Y712&gt;=4,"A",IF('Data Source'!Y712&gt;=3.5,"A-",IF('Data Source'!Y712&gt;=3,"B",IF('Data Source'!Y712&gt;=2,"C",IF('Data Source'!Y712&gt;=1,"D","F")))))))</f>
        <v/>
      </c>
      <c r="H712" s="3">
        <f>IF('Data Source'!B712="","",IF('Data Source'!Z712&gt;=5,"A+",IF('Data Source'!Z712&gt;=4,"A",IF('Data Source'!Z712&gt;=3.5,"A-",IF('Data Source'!Z712&gt;=3,"B",IF('Data Source'!Z712&gt;=2,"C",IF('Data Source'!Z712&gt;=1,"D","F")))))))</f>
        <v/>
      </c>
      <c r="I712" s="3">
        <f>IF('Data Source'!B712="","",IF('Data Source'!AA712&gt;=5,"A+",IF('Data Source'!AA712&gt;=4,"A",IF('Data Source'!AA712&gt;=3.5,"A-",IF('Data Source'!AA712&gt;=3,"B",IF('Data Source'!AA712&gt;=2,"C",IF('Data Source'!AA712&gt;=1,"D","F")))))))</f>
        <v/>
      </c>
      <c r="J712" s="3">
        <f>IF('Data Source'!B712="","",IF('Data Source'!AB712&gt;=5,"A+",IF('Data Source'!AB712&gt;=4,"A",IF('Data Source'!AB712&gt;=3.5,"A-",IF('Data Source'!AB712&gt;=3,"B",IF('Data Source'!AB712&gt;=2,"C",IF('Data Source'!AB712&gt;=1,"D","F")))))))</f>
        <v/>
      </c>
      <c r="K712" s="3">
        <f>IF('Data Source'!B712="","",IF('Data Source'!AC712&gt;=5,"A+",IF('Data Source'!AC712&gt;=4,"A",IF('Data Source'!AC712&gt;=3.5,"A-",IF('Data Source'!AC712&gt;=3,"B",IF('Data Source'!AC712&gt;=2,"C",IF('Data Source'!AC712&gt;=1,"D","F")))))))</f>
        <v/>
      </c>
      <c r="L712" s="3">
        <f>IF('Data Source'!B712="","",IF('Data Source'!AD712&gt;=5,"A+",IF('Data Source'!AD712&gt;=4,"A",IF('Data Source'!AD712&gt;=3.5,"A-",IF('Data Source'!AD712&gt;=3,"B",IF('Data Source'!AD712&gt;=2,"C",IF('Data Source'!AD712&gt;=1,"D","F")))))))</f>
        <v/>
      </c>
      <c r="M712" s="3">
        <f>IF('Data Source'!B712="","",IF('Data Source'!AE712&gt;=5,"A+",IF('Data Source'!AE712&gt;=4,"A",IF('Data Source'!AE712&gt;=3.5,"A-",IF('Data Source'!AE712&gt;=3,"B",IF('Data Source'!AE712&gt;=2,"C",IF('Data Source'!AE712&gt;=1,"D","F")))))))</f>
        <v/>
      </c>
      <c r="N712" s="3">
        <f>IF('Data Source'!B712="","",IF('Data Source'!AF712&gt;=5,"A+",IF('Data Source'!AF712&gt;=4,"A",IF('Data Source'!AF712&gt;=3.5,"A-",IF('Data Source'!AF712&gt;=3,"B",IF('Data Source'!AF712&gt;=2,"C",IF('Data Source'!AF712&gt;=1,"D","F")))))))</f>
        <v/>
      </c>
      <c r="O712" s="3">
        <f>IF('Data Source'!B712="","",IF('Data Source'!AG712&gt;=5,"A+",IF('Data Source'!AG712&gt;=4,"A",IF('Data Source'!AG712&gt;=3.5,"A-",IF('Data Source'!AG712&gt;=3,"B",IF('Data Source'!AG712&gt;=2,"C",IF('Data Source'!AG712&gt;=1,"D","F")))))))</f>
        <v/>
      </c>
      <c r="P712" s="5">
        <f>IF('Data Source'!B712="","",'Data Source'!R712)</f>
        <v/>
      </c>
      <c r="Q712" s="3">
        <f>IF('Data Source'!B712="","",'Data Source'!S712)</f>
        <v/>
      </c>
    </row>
    <row r="713">
      <c r="A713" s="3">
        <f>IF('Data Source'!B713="","",'Data Source'!A713)</f>
        <v/>
      </c>
      <c r="B713">
        <f>IF('Data Source'!B713="","",'Data Source'!B713)</f>
        <v/>
      </c>
      <c r="C713" s="3">
        <f>IF('Data Source'!B713="","",IF('Data Source'!U713&gt;=5,"A+",IF('Data Source'!U713&gt;=4,"A",IF('Data Source'!U713&gt;=3.5,"A-",IF('Data Source'!U713&gt;=3,"B",IF('Data Source'!U713&gt;=2,"C",IF('Data Source'!U713&gt;=1,"D","F")))))))</f>
        <v/>
      </c>
      <c r="D713" s="3">
        <f>IF('Data Source'!B713="","",IF('Data Source'!V713&gt;=5,"A+",IF('Data Source'!V713&gt;=4,"A",IF('Data Source'!V713&gt;=3.5,"A-",IF('Data Source'!V713&gt;=3,"B",IF('Data Source'!V713&gt;=2,"C",IF('Data Source'!V713&gt;=1,"D","F")))))))</f>
        <v/>
      </c>
      <c r="E713" s="3">
        <f>IF('Data Source'!B713="","",IF('Data Source'!W713&gt;=5,"A+",IF('Data Source'!W713&gt;=4,"A",IF('Data Source'!W713&gt;=3.5,"A-",IF('Data Source'!W713&gt;=3,"B",IF('Data Source'!W713&gt;=2,"C",IF('Data Source'!W713&gt;=1,"D","F")))))))</f>
        <v/>
      </c>
      <c r="F713" s="3">
        <f>IF('Data Source'!B713="","",IF('Data Source'!X713&gt;=5,"A+",IF('Data Source'!X713&gt;=4,"A",IF('Data Source'!X713&gt;=3.5,"A-",IF('Data Source'!X713&gt;=3,"B",IF('Data Source'!X713&gt;=2,"C",IF('Data Source'!X713&gt;=1,"D","F")))))))</f>
        <v/>
      </c>
      <c r="G713" s="3">
        <f>IF('Data Source'!B713="","",IF('Data Source'!Y713&gt;=5,"A+",IF('Data Source'!Y713&gt;=4,"A",IF('Data Source'!Y713&gt;=3.5,"A-",IF('Data Source'!Y713&gt;=3,"B",IF('Data Source'!Y713&gt;=2,"C",IF('Data Source'!Y713&gt;=1,"D","F")))))))</f>
        <v/>
      </c>
      <c r="H713" s="3">
        <f>IF('Data Source'!B713="","",IF('Data Source'!Z713&gt;=5,"A+",IF('Data Source'!Z713&gt;=4,"A",IF('Data Source'!Z713&gt;=3.5,"A-",IF('Data Source'!Z713&gt;=3,"B",IF('Data Source'!Z713&gt;=2,"C",IF('Data Source'!Z713&gt;=1,"D","F")))))))</f>
        <v/>
      </c>
      <c r="I713" s="3">
        <f>IF('Data Source'!B713="","",IF('Data Source'!AA713&gt;=5,"A+",IF('Data Source'!AA713&gt;=4,"A",IF('Data Source'!AA713&gt;=3.5,"A-",IF('Data Source'!AA713&gt;=3,"B",IF('Data Source'!AA713&gt;=2,"C",IF('Data Source'!AA713&gt;=1,"D","F")))))))</f>
        <v/>
      </c>
      <c r="J713" s="3">
        <f>IF('Data Source'!B713="","",IF('Data Source'!AB713&gt;=5,"A+",IF('Data Source'!AB713&gt;=4,"A",IF('Data Source'!AB713&gt;=3.5,"A-",IF('Data Source'!AB713&gt;=3,"B",IF('Data Source'!AB713&gt;=2,"C",IF('Data Source'!AB713&gt;=1,"D","F")))))))</f>
        <v/>
      </c>
      <c r="K713" s="3">
        <f>IF('Data Source'!B713="","",IF('Data Source'!AC713&gt;=5,"A+",IF('Data Source'!AC713&gt;=4,"A",IF('Data Source'!AC713&gt;=3.5,"A-",IF('Data Source'!AC713&gt;=3,"B",IF('Data Source'!AC713&gt;=2,"C",IF('Data Source'!AC713&gt;=1,"D","F")))))))</f>
        <v/>
      </c>
      <c r="L713" s="3">
        <f>IF('Data Source'!B713="","",IF('Data Source'!AD713&gt;=5,"A+",IF('Data Source'!AD713&gt;=4,"A",IF('Data Source'!AD713&gt;=3.5,"A-",IF('Data Source'!AD713&gt;=3,"B",IF('Data Source'!AD713&gt;=2,"C",IF('Data Source'!AD713&gt;=1,"D","F")))))))</f>
        <v/>
      </c>
      <c r="M713" s="3">
        <f>IF('Data Source'!B713="","",IF('Data Source'!AE713&gt;=5,"A+",IF('Data Source'!AE713&gt;=4,"A",IF('Data Source'!AE713&gt;=3.5,"A-",IF('Data Source'!AE713&gt;=3,"B",IF('Data Source'!AE713&gt;=2,"C",IF('Data Source'!AE713&gt;=1,"D","F")))))))</f>
        <v/>
      </c>
      <c r="N713" s="3">
        <f>IF('Data Source'!B713="","",IF('Data Source'!AF713&gt;=5,"A+",IF('Data Source'!AF713&gt;=4,"A",IF('Data Source'!AF713&gt;=3.5,"A-",IF('Data Source'!AF713&gt;=3,"B",IF('Data Source'!AF713&gt;=2,"C",IF('Data Source'!AF713&gt;=1,"D","F")))))))</f>
        <v/>
      </c>
      <c r="O713" s="3">
        <f>IF('Data Source'!B713="","",IF('Data Source'!AG713&gt;=5,"A+",IF('Data Source'!AG713&gt;=4,"A",IF('Data Source'!AG713&gt;=3.5,"A-",IF('Data Source'!AG713&gt;=3,"B",IF('Data Source'!AG713&gt;=2,"C",IF('Data Source'!AG713&gt;=1,"D","F")))))))</f>
        <v/>
      </c>
      <c r="P713" s="5">
        <f>IF('Data Source'!B713="","",'Data Source'!R713)</f>
        <v/>
      </c>
      <c r="Q713" s="3">
        <f>IF('Data Source'!B713="","",'Data Source'!S713)</f>
        <v/>
      </c>
    </row>
    <row r="714">
      <c r="A714" s="3">
        <f>IF('Data Source'!B714="","",'Data Source'!A714)</f>
        <v/>
      </c>
      <c r="B714">
        <f>IF('Data Source'!B714="","",'Data Source'!B714)</f>
        <v/>
      </c>
      <c r="C714" s="3">
        <f>IF('Data Source'!B714="","",IF('Data Source'!U714&gt;=5,"A+",IF('Data Source'!U714&gt;=4,"A",IF('Data Source'!U714&gt;=3.5,"A-",IF('Data Source'!U714&gt;=3,"B",IF('Data Source'!U714&gt;=2,"C",IF('Data Source'!U714&gt;=1,"D","F")))))))</f>
        <v/>
      </c>
      <c r="D714" s="3">
        <f>IF('Data Source'!B714="","",IF('Data Source'!V714&gt;=5,"A+",IF('Data Source'!V714&gt;=4,"A",IF('Data Source'!V714&gt;=3.5,"A-",IF('Data Source'!V714&gt;=3,"B",IF('Data Source'!V714&gt;=2,"C",IF('Data Source'!V714&gt;=1,"D","F")))))))</f>
        <v/>
      </c>
      <c r="E714" s="3">
        <f>IF('Data Source'!B714="","",IF('Data Source'!W714&gt;=5,"A+",IF('Data Source'!W714&gt;=4,"A",IF('Data Source'!W714&gt;=3.5,"A-",IF('Data Source'!W714&gt;=3,"B",IF('Data Source'!W714&gt;=2,"C",IF('Data Source'!W714&gt;=1,"D","F")))))))</f>
        <v/>
      </c>
      <c r="F714" s="3">
        <f>IF('Data Source'!B714="","",IF('Data Source'!X714&gt;=5,"A+",IF('Data Source'!X714&gt;=4,"A",IF('Data Source'!X714&gt;=3.5,"A-",IF('Data Source'!X714&gt;=3,"B",IF('Data Source'!X714&gt;=2,"C",IF('Data Source'!X714&gt;=1,"D","F")))))))</f>
        <v/>
      </c>
      <c r="G714" s="3">
        <f>IF('Data Source'!B714="","",IF('Data Source'!Y714&gt;=5,"A+",IF('Data Source'!Y714&gt;=4,"A",IF('Data Source'!Y714&gt;=3.5,"A-",IF('Data Source'!Y714&gt;=3,"B",IF('Data Source'!Y714&gt;=2,"C",IF('Data Source'!Y714&gt;=1,"D","F")))))))</f>
        <v/>
      </c>
      <c r="H714" s="3">
        <f>IF('Data Source'!B714="","",IF('Data Source'!Z714&gt;=5,"A+",IF('Data Source'!Z714&gt;=4,"A",IF('Data Source'!Z714&gt;=3.5,"A-",IF('Data Source'!Z714&gt;=3,"B",IF('Data Source'!Z714&gt;=2,"C",IF('Data Source'!Z714&gt;=1,"D","F")))))))</f>
        <v/>
      </c>
      <c r="I714" s="3">
        <f>IF('Data Source'!B714="","",IF('Data Source'!AA714&gt;=5,"A+",IF('Data Source'!AA714&gt;=4,"A",IF('Data Source'!AA714&gt;=3.5,"A-",IF('Data Source'!AA714&gt;=3,"B",IF('Data Source'!AA714&gt;=2,"C",IF('Data Source'!AA714&gt;=1,"D","F")))))))</f>
        <v/>
      </c>
      <c r="J714" s="3">
        <f>IF('Data Source'!B714="","",IF('Data Source'!AB714&gt;=5,"A+",IF('Data Source'!AB714&gt;=4,"A",IF('Data Source'!AB714&gt;=3.5,"A-",IF('Data Source'!AB714&gt;=3,"B",IF('Data Source'!AB714&gt;=2,"C",IF('Data Source'!AB714&gt;=1,"D","F")))))))</f>
        <v/>
      </c>
      <c r="K714" s="3">
        <f>IF('Data Source'!B714="","",IF('Data Source'!AC714&gt;=5,"A+",IF('Data Source'!AC714&gt;=4,"A",IF('Data Source'!AC714&gt;=3.5,"A-",IF('Data Source'!AC714&gt;=3,"B",IF('Data Source'!AC714&gt;=2,"C",IF('Data Source'!AC714&gt;=1,"D","F")))))))</f>
        <v/>
      </c>
      <c r="L714" s="3">
        <f>IF('Data Source'!B714="","",IF('Data Source'!AD714&gt;=5,"A+",IF('Data Source'!AD714&gt;=4,"A",IF('Data Source'!AD714&gt;=3.5,"A-",IF('Data Source'!AD714&gt;=3,"B",IF('Data Source'!AD714&gt;=2,"C",IF('Data Source'!AD714&gt;=1,"D","F")))))))</f>
        <v/>
      </c>
      <c r="M714" s="3">
        <f>IF('Data Source'!B714="","",IF('Data Source'!AE714&gt;=5,"A+",IF('Data Source'!AE714&gt;=4,"A",IF('Data Source'!AE714&gt;=3.5,"A-",IF('Data Source'!AE714&gt;=3,"B",IF('Data Source'!AE714&gt;=2,"C",IF('Data Source'!AE714&gt;=1,"D","F")))))))</f>
        <v/>
      </c>
      <c r="N714" s="3">
        <f>IF('Data Source'!B714="","",IF('Data Source'!AF714&gt;=5,"A+",IF('Data Source'!AF714&gt;=4,"A",IF('Data Source'!AF714&gt;=3.5,"A-",IF('Data Source'!AF714&gt;=3,"B",IF('Data Source'!AF714&gt;=2,"C",IF('Data Source'!AF714&gt;=1,"D","F")))))))</f>
        <v/>
      </c>
      <c r="O714" s="3">
        <f>IF('Data Source'!B714="","",IF('Data Source'!AG714&gt;=5,"A+",IF('Data Source'!AG714&gt;=4,"A",IF('Data Source'!AG714&gt;=3.5,"A-",IF('Data Source'!AG714&gt;=3,"B",IF('Data Source'!AG714&gt;=2,"C",IF('Data Source'!AG714&gt;=1,"D","F")))))))</f>
        <v/>
      </c>
      <c r="P714" s="5">
        <f>IF('Data Source'!B714="","",'Data Source'!R714)</f>
        <v/>
      </c>
      <c r="Q714" s="3">
        <f>IF('Data Source'!B714="","",'Data Source'!S714)</f>
        <v/>
      </c>
    </row>
    <row r="715">
      <c r="A715" s="3">
        <f>IF('Data Source'!B715="","",'Data Source'!A715)</f>
        <v/>
      </c>
      <c r="B715">
        <f>IF('Data Source'!B715="","",'Data Source'!B715)</f>
        <v/>
      </c>
      <c r="C715" s="3">
        <f>IF('Data Source'!B715="","",IF('Data Source'!U715&gt;=5,"A+",IF('Data Source'!U715&gt;=4,"A",IF('Data Source'!U715&gt;=3.5,"A-",IF('Data Source'!U715&gt;=3,"B",IF('Data Source'!U715&gt;=2,"C",IF('Data Source'!U715&gt;=1,"D","F")))))))</f>
        <v/>
      </c>
      <c r="D715" s="3">
        <f>IF('Data Source'!B715="","",IF('Data Source'!V715&gt;=5,"A+",IF('Data Source'!V715&gt;=4,"A",IF('Data Source'!V715&gt;=3.5,"A-",IF('Data Source'!V715&gt;=3,"B",IF('Data Source'!V715&gt;=2,"C",IF('Data Source'!V715&gt;=1,"D","F")))))))</f>
        <v/>
      </c>
      <c r="E715" s="3">
        <f>IF('Data Source'!B715="","",IF('Data Source'!W715&gt;=5,"A+",IF('Data Source'!W715&gt;=4,"A",IF('Data Source'!W715&gt;=3.5,"A-",IF('Data Source'!W715&gt;=3,"B",IF('Data Source'!W715&gt;=2,"C",IF('Data Source'!W715&gt;=1,"D","F")))))))</f>
        <v/>
      </c>
      <c r="F715" s="3">
        <f>IF('Data Source'!B715="","",IF('Data Source'!X715&gt;=5,"A+",IF('Data Source'!X715&gt;=4,"A",IF('Data Source'!X715&gt;=3.5,"A-",IF('Data Source'!X715&gt;=3,"B",IF('Data Source'!X715&gt;=2,"C",IF('Data Source'!X715&gt;=1,"D","F")))))))</f>
        <v/>
      </c>
      <c r="G715" s="3">
        <f>IF('Data Source'!B715="","",IF('Data Source'!Y715&gt;=5,"A+",IF('Data Source'!Y715&gt;=4,"A",IF('Data Source'!Y715&gt;=3.5,"A-",IF('Data Source'!Y715&gt;=3,"B",IF('Data Source'!Y715&gt;=2,"C",IF('Data Source'!Y715&gt;=1,"D","F")))))))</f>
        <v/>
      </c>
      <c r="H715" s="3">
        <f>IF('Data Source'!B715="","",IF('Data Source'!Z715&gt;=5,"A+",IF('Data Source'!Z715&gt;=4,"A",IF('Data Source'!Z715&gt;=3.5,"A-",IF('Data Source'!Z715&gt;=3,"B",IF('Data Source'!Z715&gt;=2,"C",IF('Data Source'!Z715&gt;=1,"D","F")))))))</f>
        <v/>
      </c>
      <c r="I715" s="3">
        <f>IF('Data Source'!B715="","",IF('Data Source'!AA715&gt;=5,"A+",IF('Data Source'!AA715&gt;=4,"A",IF('Data Source'!AA715&gt;=3.5,"A-",IF('Data Source'!AA715&gt;=3,"B",IF('Data Source'!AA715&gt;=2,"C",IF('Data Source'!AA715&gt;=1,"D","F")))))))</f>
        <v/>
      </c>
      <c r="J715" s="3">
        <f>IF('Data Source'!B715="","",IF('Data Source'!AB715&gt;=5,"A+",IF('Data Source'!AB715&gt;=4,"A",IF('Data Source'!AB715&gt;=3.5,"A-",IF('Data Source'!AB715&gt;=3,"B",IF('Data Source'!AB715&gt;=2,"C",IF('Data Source'!AB715&gt;=1,"D","F")))))))</f>
        <v/>
      </c>
      <c r="K715" s="3">
        <f>IF('Data Source'!B715="","",IF('Data Source'!AC715&gt;=5,"A+",IF('Data Source'!AC715&gt;=4,"A",IF('Data Source'!AC715&gt;=3.5,"A-",IF('Data Source'!AC715&gt;=3,"B",IF('Data Source'!AC715&gt;=2,"C",IF('Data Source'!AC715&gt;=1,"D","F")))))))</f>
        <v/>
      </c>
      <c r="L715" s="3">
        <f>IF('Data Source'!B715="","",IF('Data Source'!AD715&gt;=5,"A+",IF('Data Source'!AD715&gt;=4,"A",IF('Data Source'!AD715&gt;=3.5,"A-",IF('Data Source'!AD715&gt;=3,"B",IF('Data Source'!AD715&gt;=2,"C",IF('Data Source'!AD715&gt;=1,"D","F")))))))</f>
        <v/>
      </c>
      <c r="M715" s="3">
        <f>IF('Data Source'!B715="","",IF('Data Source'!AE715&gt;=5,"A+",IF('Data Source'!AE715&gt;=4,"A",IF('Data Source'!AE715&gt;=3.5,"A-",IF('Data Source'!AE715&gt;=3,"B",IF('Data Source'!AE715&gt;=2,"C",IF('Data Source'!AE715&gt;=1,"D","F")))))))</f>
        <v/>
      </c>
      <c r="N715" s="3">
        <f>IF('Data Source'!B715="","",IF('Data Source'!AF715&gt;=5,"A+",IF('Data Source'!AF715&gt;=4,"A",IF('Data Source'!AF715&gt;=3.5,"A-",IF('Data Source'!AF715&gt;=3,"B",IF('Data Source'!AF715&gt;=2,"C",IF('Data Source'!AF715&gt;=1,"D","F")))))))</f>
        <v/>
      </c>
      <c r="O715" s="3">
        <f>IF('Data Source'!B715="","",IF('Data Source'!AG715&gt;=5,"A+",IF('Data Source'!AG715&gt;=4,"A",IF('Data Source'!AG715&gt;=3.5,"A-",IF('Data Source'!AG715&gt;=3,"B",IF('Data Source'!AG715&gt;=2,"C",IF('Data Source'!AG715&gt;=1,"D","F")))))))</f>
        <v/>
      </c>
      <c r="P715" s="5">
        <f>IF('Data Source'!B715="","",'Data Source'!R715)</f>
        <v/>
      </c>
      <c r="Q715" s="3">
        <f>IF('Data Source'!B715="","",'Data Source'!S715)</f>
        <v/>
      </c>
    </row>
    <row r="716">
      <c r="A716" s="3">
        <f>IF('Data Source'!B716="","",'Data Source'!A716)</f>
        <v/>
      </c>
      <c r="B716">
        <f>IF('Data Source'!B716="","",'Data Source'!B716)</f>
        <v/>
      </c>
      <c r="C716" s="3">
        <f>IF('Data Source'!B716="","",IF('Data Source'!U716&gt;=5,"A+",IF('Data Source'!U716&gt;=4,"A",IF('Data Source'!U716&gt;=3.5,"A-",IF('Data Source'!U716&gt;=3,"B",IF('Data Source'!U716&gt;=2,"C",IF('Data Source'!U716&gt;=1,"D","F")))))))</f>
        <v/>
      </c>
      <c r="D716" s="3">
        <f>IF('Data Source'!B716="","",IF('Data Source'!V716&gt;=5,"A+",IF('Data Source'!V716&gt;=4,"A",IF('Data Source'!V716&gt;=3.5,"A-",IF('Data Source'!V716&gt;=3,"B",IF('Data Source'!V716&gt;=2,"C",IF('Data Source'!V716&gt;=1,"D","F")))))))</f>
        <v/>
      </c>
      <c r="E716" s="3">
        <f>IF('Data Source'!B716="","",IF('Data Source'!W716&gt;=5,"A+",IF('Data Source'!W716&gt;=4,"A",IF('Data Source'!W716&gt;=3.5,"A-",IF('Data Source'!W716&gt;=3,"B",IF('Data Source'!W716&gt;=2,"C",IF('Data Source'!W716&gt;=1,"D","F")))))))</f>
        <v/>
      </c>
      <c r="F716" s="3">
        <f>IF('Data Source'!B716="","",IF('Data Source'!X716&gt;=5,"A+",IF('Data Source'!X716&gt;=4,"A",IF('Data Source'!X716&gt;=3.5,"A-",IF('Data Source'!X716&gt;=3,"B",IF('Data Source'!X716&gt;=2,"C",IF('Data Source'!X716&gt;=1,"D","F")))))))</f>
        <v/>
      </c>
      <c r="G716" s="3">
        <f>IF('Data Source'!B716="","",IF('Data Source'!Y716&gt;=5,"A+",IF('Data Source'!Y716&gt;=4,"A",IF('Data Source'!Y716&gt;=3.5,"A-",IF('Data Source'!Y716&gt;=3,"B",IF('Data Source'!Y716&gt;=2,"C",IF('Data Source'!Y716&gt;=1,"D","F")))))))</f>
        <v/>
      </c>
      <c r="H716" s="3">
        <f>IF('Data Source'!B716="","",IF('Data Source'!Z716&gt;=5,"A+",IF('Data Source'!Z716&gt;=4,"A",IF('Data Source'!Z716&gt;=3.5,"A-",IF('Data Source'!Z716&gt;=3,"B",IF('Data Source'!Z716&gt;=2,"C",IF('Data Source'!Z716&gt;=1,"D","F")))))))</f>
        <v/>
      </c>
      <c r="I716" s="3">
        <f>IF('Data Source'!B716="","",IF('Data Source'!AA716&gt;=5,"A+",IF('Data Source'!AA716&gt;=4,"A",IF('Data Source'!AA716&gt;=3.5,"A-",IF('Data Source'!AA716&gt;=3,"B",IF('Data Source'!AA716&gt;=2,"C",IF('Data Source'!AA716&gt;=1,"D","F")))))))</f>
        <v/>
      </c>
      <c r="J716" s="3">
        <f>IF('Data Source'!B716="","",IF('Data Source'!AB716&gt;=5,"A+",IF('Data Source'!AB716&gt;=4,"A",IF('Data Source'!AB716&gt;=3.5,"A-",IF('Data Source'!AB716&gt;=3,"B",IF('Data Source'!AB716&gt;=2,"C",IF('Data Source'!AB716&gt;=1,"D","F")))))))</f>
        <v/>
      </c>
      <c r="K716" s="3">
        <f>IF('Data Source'!B716="","",IF('Data Source'!AC716&gt;=5,"A+",IF('Data Source'!AC716&gt;=4,"A",IF('Data Source'!AC716&gt;=3.5,"A-",IF('Data Source'!AC716&gt;=3,"B",IF('Data Source'!AC716&gt;=2,"C",IF('Data Source'!AC716&gt;=1,"D","F")))))))</f>
        <v/>
      </c>
      <c r="L716" s="3">
        <f>IF('Data Source'!B716="","",IF('Data Source'!AD716&gt;=5,"A+",IF('Data Source'!AD716&gt;=4,"A",IF('Data Source'!AD716&gt;=3.5,"A-",IF('Data Source'!AD716&gt;=3,"B",IF('Data Source'!AD716&gt;=2,"C",IF('Data Source'!AD716&gt;=1,"D","F")))))))</f>
        <v/>
      </c>
      <c r="M716" s="3">
        <f>IF('Data Source'!B716="","",IF('Data Source'!AE716&gt;=5,"A+",IF('Data Source'!AE716&gt;=4,"A",IF('Data Source'!AE716&gt;=3.5,"A-",IF('Data Source'!AE716&gt;=3,"B",IF('Data Source'!AE716&gt;=2,"C",IF('Data Source'!AE716&gt;=1,"D","F")))))))</f>
        <v/>
      </c>
      <c r="N716" s="3">
        <f>IF('Data Source'!B716="","",IF('Data Source'!AF716&gt;=5,"A+",IF('Data Source'!AF716&gt;=4,"A",IF('Data Source'!AF716&gt;=3.5,"A-",IF('Data Source'!AF716&gt;=3,"B",IF('Data Source'!AF716&gt;=2,"C",IF('Data Source'!AF716&gt;=1,"D","F")))))))</f>
        <v/>
      </c>
      <c r="O716" s="3">
        <f>IF('Data Source'!B716="","",IF('Data Source'!AG716&gt;=5,"A+",IF('Data Source'!AG716&gt;=4,"A",IF('Data Source'!AG716&gt;=3.5,"A-",IF('Data Source'!AG716&gt;=3,"B",IF('Data Source'!AG716&gt;=2,"C",IF('Data Source'!AG716&gt;=1,"D","F")))))))</f>
        <v/>
      </c>
      <c r="P716" s="5">
        <f>IF('Data Source'!B716="","",'Data Source'!R716)</f>
        <v/>
      </c>
      <c r="Q716" s="3">
        <f>IF('Data Source'!B716="","",'Data Source'!S716)</f>
        <v/>
      </c>
    </row>
    <row r="717">
      <c r="A717" s="3">
        <f>IF('Data Source'!B717="","",'Data Source'!A717)</f>
        <v/>
      </c>
      <c r="B717">
        <f>IF('Data Source'!B717="","",'Data Source'!B717)</f>
        <v/>
      </c>
      <c r="C717" s="3">
        <f>IF('Data Source'!B717="","",IF('Data Source'!U717&gt;=5,"A+",IF('Data Source'!U717&gt;=4,"A",IF('Data Source'!U717&gt;=3.5,"A-",IF('Data Source'!U717&gt;=3,"B",IF('Data Source'!U717&gt;=2,"C",IF('Data Source'!U717&gt;=1,"D","F")))))))</f>
        <v/>
      </c>
      <c r="D717" s="3">
        <f>IF('Data Source'!B717="","",IF('Data Source'!V717&gt;=5,"A+",IF('Data Source'!V717&gt;=4,"A",IF('Data Source'!V717&gt;=3.5,"A-",IF('Data Source'!V717&gt;=3,"B",IF('Data Source'!V717&gt;=2,"C",IF('Data Source'!V717&gt;=1,"D","F")))))))</f>
        <v/>
      </c>
      <c r="E717" s="3">
        <f>IF('Data Source'!B717="","",IF('Data Source'!W717&gt;=5,"A+",IF('Data Source'!W717&gt;=4,"A",IF('Data Source'!W717&gt;=3.5,"A-",IF('Data Source'!W717&gt;=3,"B",IF('Data Source'!W717&gt;=2,"C",IF('Data Source'!W717&gt;=1,"D","F")))))))</f>
        <v/>
      </c>
      <c r="F717" s="3">
        <f>IF('Data Source'!B717="","",IF('Data Source'!X717&gt;=5,"A+",IF('Data Source'!X717&gt;=4,"A",IF('Data Source'!X717&gt;=3.5,"A-",IF('Data Source'!X717&gt;=3,"B",IF('Data Source'!X717&gt;=2,"C",IF('Data Source'!X717&gt;=1,"D","F")))))))</f>
        <v/>
      </c>
      <c r="G717" s="3">
        <f>IF('Data Source'!B717="","",IF('Data Source'!Y717&gt;=5,"A+",IF('Data Source'!Y717&gt;=4,"A",IF('Data Source'!Y717&gt;=3.5,"A-",IF('Data Source'!Y717&gt;=3,"B",IF('Data Source'!Y717&gt;=2,"C",IF('Data Source'!Y717&gt;=1,"D","F")))))))</f>
        <v/>
      </c>
      <c r="H717" s="3">
        <f>IF('Data Source'!B717="","",IF('Data Source'!Z717&gt;=5,"A+",IF('Data Source'!Z717&gt;=4,"A",IF('Data Source'!Z717&gt;=3.5,"A-",IF('Data Source'!Z717&gt;=3,"B",IF('Data Source'!Z717&gt;=2,"C",IF('Data Source'!Z717&gt;=1,"D","F")))))))</f>
        <v/>
      </c>
      <c r="I717" s="3">
        <f>IF('Data Source'!B717="","",IF('Data Source'!AA717&gt;=5,"A+",IF('Data Source'!AA717&gt;=4,"A",IF('Data Source'!AA717&gt;=3.5,"A-",IF('Data Source'!AA717&gt;=3,"B",IF('Data Source'!AA717&gt;=2,"C",IF('Data Source'!AA717&gt;=1,"D","F")))))))</f>
        <v/>
      </c>
      <c r="J717" s="3">
        <f>IF('Data Source'!B717="","",IF('Data Source'!AB717&gt;=5,"A+",IF('Data Source'!AB717&gt;=4,"A",IF('Data Source'!AB717&gt;=3.5,"A-",IF('Data Source'!AB717&gt;=3,"B",IF('Data Source'!AB717&gt;=2,"C",IF('Data Source'!AB717&gt;=1,"D","F")))))))</f>
        <v/>
      </c>
      <c r="K717" s="3">
        <f>IF('Data Source'!B717="","",IF('Data Source'!AC717&gt;=5,"A+",IF('Data Source'!AC717&gt;=4,"A",IF('Data Source'!AC717&gt;=3.5,"A-",IF('Data Source'!AC717&gt;=3,"B",IF('Data Source'!AC717&gt;=2,"C",IF('Data Source'!AC717&gt;=1,"D","F")))))))</f>
        <v/>
      </c>
      <c r="L717" s="3">
        <f>IF('Data Source'!B717="","",IF('Data Source'!AD717&gt;=5,"A+",IF('Data Source'!AD717&gt;=4,"A",IF('Data Source'!AD717&gt;=3.5,"A-",IF('Data Source'!AD717&gt;=3,"B",IF('Data Source'!AD717&gt;=2,"C",IF('Data Source'!AD717&gt;=1,"D","F")))))))</f>
        <v/>
      </c>
      <c r="M717" s="3">
        <f>IF('Data Source'!B717="","",IF('Data Source'!AE717&gt;=5,"A+",IF('Data Source'!AE717&gt;=4,"A",IF('Data Source'!AE717&gt;=3.5,"A-",IF('Data Source'!AE717&gt;=3,"B",IF('Data Source'!AE717&gt;=2,"C",IF('Data Source'!AE717&gt;=1,"D","F")))))))</f>
        <v/>
      </c>
      <c r="N717" s="3">
        <f>IF('Data Source'!B717="","",IF('Data Source'!AF717&gt;=5,"A+",IF('Data Source'!AF717&gt;=4,"A",IF('Data Source'!AF717&gt;=3.5,"A-",IF('Data Source'!AF717&gt;=3,"B",IF('Data Source'!AF717&gt;=2,"C",IF('Data Source'!AF717&gt;=1,"D","F")))))))</f>
        <v/>
      </c>
      <c r="O717" s="3">
        <f>IF('Data Source'!B717="","",IF('Data Source'!AG717&gt;=5,"A+",IF('Data Source'!AG717&gt;=4,"A",IF('Data Source'!AG717&gt;=3.5,"A-",IF('Data Source'!AG717&gt;=3,"B",IF('Data Source'!AG717&gt;=2,"C",IF('Data Source'!AG717&gt;=1,"D","F")))))))</f>
        <v/>
      </c>
      <c r="P717" s="5">
        <f>IF('Data Source'!B717="","",'Data Source'!R717)</f>
        <v/>
      </c>
      <c r="Q717" s="3">
        <f>IF('Data Source'!B717="","",'Data Source'!S717)</f>
        <v/>
      </c>
    </row>
    <row r="718">
      <c r="A718" s="3">
        <f>IF('Data Source'!B718="","",'Data Source'!A718)</f>
        <v/>
      </c>
      <c r="B718">
        <f>IF('Data Source'!B718="","",'Data Source'!B718)</f>
        <v/>
      </c>
      <c r="C718" s="3">
        <f>IF('Data Source'!B718="","",IF('Data Source'!U718&gt;=5,"A+",IF('Data Source'!U718&gt;=4,"A",IF('Data Source'!U718&gt;=3.5,"A-",IF('Data Source'!U718&gt;=3,"B",IF('Data Source'!U718&gt;=2,"C",IF('Data Source'!U718&gt;=1,"D","F")))))))</f>
        <v/>
      </c>
      <c r="D718" s="3">
        <f>IF('Data Source'!B718="","",IF('Data Source'!V718&gt;=5,"A+",IF('Data Source'!V718&gt;=4,"A",IF('Data Source'!V718&gt;=3.5,"A-",IF('Data Source'!V718&gt;=3,"B",IF('Data Source'!V718&gt;=2,"C",IF('Data Source'!V718&gt;=1,"D","F")))))))</f>
        <v/>
      </c>
      <c r="E718" s="3">
        <f>IF('Data Source'!B718="","",IF('Data Source'!W718&gt;=5,"A+",IF('Data Source'!W718&gt;=4,"A",IF('Data Source'!W718&gt;=3.5,"A-",IF('Data Source'!W718&gt;=3,"B",IF('Data Source'!W718&gt;=2,"C",IF('Data Source'!W718&gt;=1,"D","F")))))))</f>
        <v/>
      </c>
      <c r="F718" s="3">
        <f>IF('Data Source'!B718="","",IF('Data Source'!X718&gt;=5,"A+",IF('Data Source'!X718&gt;=4,"A",IF('Data Source'!X718&gt;=3.5,"A-",IF('Data Source'!X718&gt;=3,"B",IF('Data Source'!X718&gt;=2,"C",IF('Data Source'!X718&gt;=1,"D","F")))))))</f>
        <v/>
      </c>
      <c r="G718" s="3">
        <f>IF('Data Source'!B718="","",IF('Data Source'!Y718&gt;=5,"A+",IF('Data Source'!Y718&gt;=4,"A",IF('Data Source'!Y718&gt;=3.5,"A-",IF('Data Source'!Y718&gt;=3,"B",IF('Data Source'!Y718&gt;=2,"C",IF('Data Source'!Y718&gt;=1,"D","F")))))))</f>
        <v/>
      </c>
      <c r="H718" s="3">
        <f>IF('Data Source'!B718="","",IF('Data Source'!Z718&gt;=5,"A+",IF('Data Source'!Z718&gt;=4,"A",IF('Data Source'!Z718&gt;=3.5,"A-",IF('Data Source'!Z718&gt;=3,"B",IF('Data Source'!Z718&gt;=2,"C",IF('Data Source'!Z718&gt;=1,"D","F")))))))</f>
        <v/>
      </c>
      <c r="I718" s="3">
        <f>IF('Data Source'!B718="","",IF('Data Source'!AA718&gt;=5,"A+",IF('Data Source'!AA718&gt;=4,"A",IF('Data Source'!AA718&gt;=3.5,"A-",IF('Data Source'!AA718&gt;=3,"B",IF('Data Source'!AA718&gt;=2,"C",IF('Data Source'!AA718&gt;=1,"D","F")))))))</f>
        <v/>
      </c>
      <c r="J718" s="3">
        <f>IF('Data Source'!B718="","",IF('Data Source'!AB718&gt;=5,"A+",IF('Data Source'!AB718&gt;=4,"A",IF('Data Source'!AB718&gt;=3.5,"A-",IF('Data Source'!AB718&gt;=3,"B",IF('Data Source'!AB718&gt;=2,"C",IF('Data Source'!AB718&gt;=1,"D","F")))))))</f>
        <v/>
      </c>
      <c r="K718" s="3">
        <f>IF('Data Source'!B718="","",IF('Data Source'!AC718&gt;=5,"A+",IF('Data Source'!AC718&gt;=4,"A",IF('Data Source'!AC718&gt;=3.5,"A-",IF('Data Source'!AC718&gt;=3,"B",IF('Data Source'!AC718&gt;=2,"C",IF('Data Source'!AC718&gt;=1,"D","F")))))))</f>
        <v/>
      </c>
      <c r="L718" s="3">
        <f>IF('Data Source'!B718="","",IF('Data Source'!AD718&gt;=5,"A+",IF('Data Source'!AD718&gt;=4,"A",IF('Data Source'!AD718&gt;=3.5,"A-",IF('Data Source'!AD718&gt;=3,"B",IF('Data Source'!AD718&gt;=2,"C",IF('Data Source'!AD718&gt;=1,"D","F")))))))</f>
        <v/>
      </c>
      <c r="M718" s="3">
        <f>IF('Data Source'!B718="","",IF('Data Source'!AE718&gt;=5,"A+",IF('Data Source'!AE718&gt;=4,"A",IF('Data Source'!AE718&gt;=3.5,"A-",IF('Data Source'!AE718&gt;=3,"B",IF('Data Source'!AE718&gt;=2,"C",IF('Data Source'!AE718&gt;=1,"D","F")))))))</f>
        <v/>
      </c>
      <c r="N718" s="3">
        <f>IF('Data Source'!B718="","",IF('Data Source'!AF718&gt;=5,"A+",IF('Data Source'!AF718&gt;=4,"A",IF('Data Source'!AF718&gt;=3.5,"A-",IF('Data Source'!AF718&gt;=3,"B",IF('Data Source'!AF718&gt;=2,"C",IF('Data Source'!AF718&gt;=1,"D","F")))))))</f>
        <v/>
      </c>
      <c r="O718" s="3">
        <f>IF('Data Source'!B718="","",IF('Data Source'!AG718&gt;=5,"A+",IF('Data Source'!AG718&gt;=4,"A",IF('Data Source'!AG718&gt;=3.5,"A-",IF('Data Source'!AG718&gt;=3,"B",IF('Data Source'!AG718&gt;=2,"C",IF('Data Source'!AG718&gt;=1,"D","F")))))))</f>
        <v/>
      </c>
      <c r="P718" s="5">
        <f>IF('Data Source'!B718="","",'Data Source'!R718)</f>
        <v/>
      </c>
      <c r="Q718" s="3">
        <f>IF('Data Source'!B718="","",'Data Source'!S718)</f>
        <v/>
      </c>
    </row>
    <row r="719">
      <c r="A719" s="3">
        <f>IF('Data Source'!B719="","",'Data Source'!A719)</f>
        <v/>
      </c>
      <c r="B719">
        <f>IF('Data Source'!B719="","",'Data Source'!B719)</f>
        <v/>
      </c>
      <c r="C719" s="3">
        <f>IF('Data Source'!B719="","",IF('Data Source'!U719&gt;=5,"A+",IF('Data Source'!U719&gt;=4,"A",IF('Data Source'!U719&gt;=3.5,"A-",IF('Data Source'!U719&gt;=3,"B",IF('Data Source'!U719&gt;=2,"C",IF('Data Source'!U719&gt;=1,"D","F")))))))</f>
        <v/>
      </c>
      <c r="D719" s="3">
        <f>IF('Data Source'!B719="","",IF('Data Source'!V719&gt;=5,"A+",IF('Data Source'!V719&gt;=4,"A",IF('Data Source'!V719&gt;=3.5,"A-",IF('Data Source'!V719&gt;=3,"B",IF('Data Source'!V719&gt;=2,"C",IF('Data Source'!V719&gt;=1,"D","F")))))))</f>
        <v/>
      </c>
      <c r="E719" s="3">
        <f>IF('Data Source'!B719="","",IF('Data Source'!W719&gt;=5,"A+",IF('Data Source'!W719&gt;=4,"A",IF('Data Source'!W719&gt;=3.5,"A-",IF('Data Source'!W719&gt;=3,"B",IF('Data Source'!W719&gt;=2,"C",IF('Data Source'!W719&gt;=1,"D","F")))))))</f>
        <v/>
      </c>
      <c r="F719" s="3">
        <f>IF('Data Source'!B719="","",IF('Data Source'!X719&gt;=5,"A+",IF('Data Source'!X719&gt;=4,"A",IF('Data Source'!X719&gt;=3.5,"A-",IF('Data Source'!X719&gt;=3,"B",IF('Data Source'!X719&gt;=2,"C",IF('Data Source'!X719&gt;=1,"D","F")))))))</f>
        <v/>
      </c>
      <c r="G719" s="3">
        <f>IF('Data Source'!B719="","",IF('Data Source'!Y719&gt;=5,"A+",IF('Data Source'!Y719&gt;=4,"A",IF('Data Source'!Y719&gt;=3.5,"A-",IF('Data Source'!Y719&gt;=3,"B",IF('Data Source'!Y719&gt;=2,"C",IF('Data Source'!Y719&gt;=1,"D","F")))))))</f>
        <v/>
      </c>
      <c r="H719" s="3">
        <f>IF('Data Source'!B719="","",IF('Data Source'!Z719&gt;=5,"A+",IF('Data Source'!Z719&gt;=4,"A",IF('Data Source'!Z719&gt;=3.5,"A-",IF('Data Source'!Z719&gt;=3,"B",IF('Data Source'!Z719&gt;=2,"C",IF('Data Source'!Z719&gt;=1,"D","F")))))))</f>
        <v/>
      </c>
      <c r="I719" s="3">
        <f>IF('Data Source'!B719="","",IF('Data Source'!AA719&gt;=5,"A+",IF('Data Source'!AA719&gt;=4,"A",IF('Data Source'!AA719&gt;=3.5,"A-",IF('Data Source'!AA719&gt;=3,"B",IF('Data Source'!AA719&gt;=2,"C",IF('Data Source'!AA719&gt;=1,"D","F")))))))</f>
        <v/>
      </c>
      <c r="J719" s="3">
        <f>IF('Data Source'!B719="","",IF('Data Source'!AB719&gt;=5,"A+",IF('Data Source'!AB719&gt;=4,"A",IF('Data Source'!AB719&gt;=3.5,"A-",IF('Data Source'!AB719&gt;=3,"B",IF('Data Source'!AB719&gt;=2,"C",IF('Data Source'!AB719&gt;=1,"D","F")))))))</f>
        <v/>
      </c>
      <c r="K719" s="3">
        <f>IF('Data Source'!B719="","",IF('Data Source'!AC719&gt;=5,"A+",IF('Data Source'!AC719&gt;=4,"A",IF('Data Source'!AC719&gt;=3.5,"A-",IF('Data Source'!AC719&gt;=3,"B",IF('Data Source'!AC719&gt;=2,"C",IF('Data Source'!AC719&gt;=1,"D","F")))))))</f>
        <v/>
      </c>
      <c r="L719" s="3">
        <f>IF('Data Source'!B719="","",IF('Data Source'!AD719&gt;=5,"A+",IF('Data Source'!AD719&gt;=4,"A",IF('Data Source'!AD719&gt;=3.5,"A-",IF('Data Source'!AD719&gt;=3,"B",IF('Data Source'!AD719&gt;=2,"C",IF('Data Source'!AD719&gt;=1,"D","F")))))))</f>
        <v/>
      </c>
      <c r="M719" s="3">
        <f>IF('Data Source'!B719="","",IF('Data Source'!AE719&gt;=5,"A+",IF('Data Source'!AE719&gt;=4,"A",IF('Data Source'!AE719&gt;=3.5,"A-",IF('Data Source'!AE719&gt;=3,"B",IF('Data Source'!AE719&gt;=2,"C",IF('Data Source'!AE719&gt;=1,"D","F")))))))</f>
        <v/>
      </c>
      <c r="N719" s="3">
        <f>IF('Data Source'!B719="","",IF('Data Source'!AF719&gt;=5,"A+",IF('Data Source'!AF719&gt;=4,"A",IF('Data Source'!AF719&gt;=3.5,"A-",IF('Data Source'!AF719&gt;=3,"B",IF('Data Source'!AF719&gt;=2,"C",IF('Data Source'!AF719&gt;=1,"D","F")))))))</f>
        <v/>
      </c>
      <c r="O719" s="3">
        <f>IF('Data Source'!B719="","",IF('Data Source'!AG719&gt;=5,"A+",IF('Data Source'!AG719&gt;=4,"A",IF('Data Source'!AG719&gt;=3.5,"A-",IF('Data Source'!AG719&gt;=3,"B",IF('Data Source'!AG719&gt;=2,"C",IF('Data Source'!AG719&gt;=1,"D","F")))))))</f>
        <v/>
      </c>
      <c r="P719" s="5">
        <f>IF('Data Source'!B719="","",'Data Source'!R719)</f>
        <v/>
      </c>
      <c r="Q719" s="3">
        <f>IF('Data Source'!B719="","",'Data Source'!S719)</f>
        <v/>
      </c>
    </row>
    <row r="720">
      <c r="A720" s="3">
        <f>IF('Data Source'!B720="","",'Data Source'!A720)</f>
        <v/>
      </c>
      <c r="B720">
        <f>IF('Data Source'!B720="","",'Data Source'!B720)</f>
        <v/>
      </c>
      <c r="C720" s="3">
        <f>IF('Data Source'!B720="","",IF('Data Source'!U720&gt;=5,"A+",IF('Data Source'!U720&gt;=4,"A",IF('Data Source'!U720&gt;=3.5,"A-",IF('Data Source'!U720&gt;=3,"B",IF('Data Source'!U720&gt;=2,"C",IF('Data Source'!U720&gt;=1,"D","F")))))))</f>
        <v/>
      </c>
      <c r="D720" s="3">
        <f>IF('Data Source'!B720="","",IF('Data Source'!V720&gt;=5,"A+",IF('Data Source'!V720&gt;=4,"A",IF('Data Source'!V720&gt;=3.5,"A-",IF('Data Source'!V720&gt;=3,"B",IF('Data Source'!V720&gt;=2,"C",IF('Data Source'!V720&gt;=1,"D","F")))))))</f>
        <v/>
      </c>
      <c r="E720" s="3">
        <f>IF('Data Source'!B720="","",IF('Data Source'!W720&gt;=5,"A+",IF('Data Source'!W720&gt;=4,"A",IF('Data Source'!W720&gt;=3.5,"A-",IF('Data Source'!W720&gt;=3,"B",IF('Data Source'!W720&gt;=2,"C",IF('Data Source'!W720&gt;=1,"D","F")))))))</f>
        <v/>
      </c>
      <c r="F720" s="3">
        <f>IF('Data Source'!B720="","",IF('Data Source'!X720&gt;=5,"A+",IF('Data Source'!X720&gt;=4,"A",IF('Data Source'!X720&gt;=3.5,"A-",IF('Data Source'!X720&gt;=3,"B",IF('Data Source'!X720&gt;=2,"C",IF('Data Source'!X720&gt;=1,"D","F")))))))</f>
        <v/>
      </c>
      <c r="G720" s="3">
        <f>IF('Data Source'!B720="","",IF('Data Source'!Y720&gt;=5,"A+",IF('Data Source'!Y720&gt;=4,"A",IF('Data Source'!Y720&gt;=3.5,"A-",IF('Data Source'!Y720&gt;=3,"B",IF('Data Source'!Y720&gt;=2,"C",IF('Data Source'!Y720&gt;=1,"D","F")))))))</f>
        <v/>
      </c>
      <c r="H720" s="3">
        <f>IF('Data Source'!B720="","",IF('Data Source'!Z720&gt;=5,"A+",IF('Data Source'!Z720&gt;=4,"A",IF('Data Source'!Z720&gt;=3.5,"A-",IF('Data Source'!Z720&gt;=3,"B",IF('Data Source'!Z720&gt;=2,"C",IF('Data Source'!Z720&gt;=1,"D","F")))))))</f>
        <v/>
      </c>
      <c r="I720" s="3">
        <f>IF('Data Source'!B720="","",IF('Data Source'!AA720&gt;=5,"A+",IF('Data Source'!AA720&gt;=4,"A",IF('Data Source'!AA720&gt;=3.5,"A-",IF('Data Source'!AA720&gt;=3,"B",IF('Data Source'!AA720&gt;=2,"C",IF('Data Source'!AA720&gt;=1,"D","F")))))))</f>
        <v/>
      </c>
      <c r="J720" s="3">
        <f>IF('Data Source'!B720="","",IF('Data Source'!AB720&gt;=5,"A+",IF('Data Source'!AB720&gt;=4,"A",IF('Data Source'!AB720&gt;=3.5,"A-",IF('Data Source'!AB720&gt;=3,"B",IF('Data Source'!AB720&gt;=2,"C",IF('Data Source'!AB720&gt;=1,"D","F")))))))</f>
        <v/>
      </c>
      <c r="K720" s="3">
        <f>IF('Data Source'!B720="","",IF('Data Source'!AC720&gt;=5,"A+",IF('Data Source'!AC720&gt;=4,"A",IF('Data Source'!AC720&gt;=3.5,"A-",IF('Data Source'!AC720&gt;=3,"B",IF('Data Source'!AC720&gt;=2,"C",IF('Data Source'!AC720&gt;=1,"D","F")))))))</f>
        <v/>
      </c>
      <c r="L720" s="3">
        <f>IF('Data Source'!B720="","",IF('Data Source'!AD720&gt;=5,"A+",IF('Data Source'!AD720&gt;=4,"A",IF('Data Source'!AD720&gt;=3.5,"A-",IF('Data Source'!AD720&gt;=3,"B",IF('Data Source'!AD720&gt;=2,"C",IF('Data Source'!AD720&gt;=1,"D","F")))))))</f>
        <v/>
      </c>
      <c r="M720" s="3">
        <f>IF('Data Source'!B720="","",IF('Data Source'!AE720&gt;=5,"A+",IF('Data Source'!AE720&gt;=4,"A",IF('Data Source'!AE720&gt;=3.5,"A-",IF('Data Source'!AE720&gt;=3,"B",IF('Data Source'!AE720&gt;=2,"C",IF('Data Source'!AE720&gt;=1,"D","F")))))))</f>
        <v/>
      </c>
      <c r="N720" s="3">
        <f>IF('Data Source'!B720="","",IF('Data Source'!AF720&gt;=5,"A+",IF('Data Source'!AF720&gt;=4,"A",IF('Data Source'!AF720&gt;=3.5,"A-",IF('Data Source'!AF720&gt;=3,"B",IF('Data Source'!AF720&gt;=2,"C",IF('Data Source'!AF720&gt;=1,"D","F")))))))</f>
        <v/>
      </c>
      <c r="O720" s="3">
        <f>IF('Data Source'!B720="","",IF('Data Source'!AG720&gt;=5,"A+",IF('Data Source'!AG720&gt;=4,"A",IF('Data Source'!AG720&gt;=3.5,"A-",IF('Data Source'!AG720&gt;=3,"B",IF('Data Source'!AG720&gt;=2,"C",IF('Data Source'!AG720&gt;=1,"D","F")))))))</f>
        <v/>
      </c>
      <c r="P720" s="5">
        <f>IF('Data Source'!B720="","",'Data Source'!R720)</f>
        <v/>
      </c>
      <c r="Q720" s="3">
        <f>IF('Data Source'!B720="","",'Data Source'!S720)</f>
        <v/>
      </c>
    </row>
    <row r="721">
      <c r="A721" s="3">
        <f>IF('Data Source'!B721="","",'Data Source'!A721)</f>
        <v/>
      </c>
      <c r="B721">
        <f>IF('Data Source'!B721="","",'Data Source'!B721)</f>
        <v/>
      </c>
      <c r="C721" s="3">
        <f>IF('Data Source'!B721="","",IF('Data Source'!U721&gt;=5,"A+",IF('Data Source'!U721&gt;=4,"A",IF('Data Source'!U721&gt;=3.5,"A-",IF('Data Source'!U721&gt;=3,"B",IF('Data Source'!U721&gt;=2,"C",IF('Data Source'!U721&gt;=1,"D","F")))))))</f>
        <v/>
      </c>
      <c r="D721" s="3">
        <f>IF('Data Source'!B721="","",IF('Data Source'!V721&gt;=5,"A+",IF('Data Source'!V721&gt;=4,"A",IF('Data Source'!V721&gt;=3.5,"A-",IF('Data Source'!V721&gt;=3,"B",IF('Data Source'!V721&gt;=2,"C",IF('Data Source'!V721&gt;=1,"D","F")))))))</f>
        <v/>
      </c>
      <c r="E721" s="3">
        <f>IF('Data Source'!B721="","",IF('Data Source'!W721&gt;=5,"A+",IF('Data Source'!W721&gt;=4,"A",IF('Data Source'!W721&gt;=3.5,"A-",IF('Data Source'!W721&gt;=3,"B",IF('Data Source'!W721&gt;=2,"C",IF('Data Source'!W721&gt;=1,"D","F")))))))</f>
        <v/>
      </c>
      <c r="F721" s="3">
        <f>IF('Data Source'!B721="","",IF('Data Source'!X721&gt;=5,"A+",IF('Data Source'!X721&gt;=4,"A",IF('Data Source'!X721&gt;=3.5,"A-",IF('Data Source'!X721&gt;=3,"B",IF('Data Source'!X721&gt;=2,"C",IF('Data Source'!X721&gt;=1,"D","F")))))))</f>
        <v/>
      </c>
      <c r="G721" s="3">
        <f>IF('Data Source'!B721="","",IF('Data Source'!Y721&gt;=5,"A+",IF('Data Source'!Y721&gt;=4,"A",IF('Data Source'!Y721&gt;=3.5,"A-",IF('Data Source'!Y721&gt;=3,"B",IF('Data Source'!Y721&gt;=2,"C",IF('Data Source'!Y721&gt;=1,"D","F")))))))</f>
        <v/>
      </c>
      <c r="H721" s="3">
        <f>IF('Data Source'!B721="","",IF('Data Source'!Z721&gt;=5,"A+",IF('Data Source'!Z721&gt;=4,"A",IF('Data Source'!Z721&gt;=3.5,"A-",IF('Data Source'!Z721&gt;=3,"B",IF('Data Source'!Z721&gt;=2,"C",IF('Data Source'!Z721&gt;=1,"D","F")))))))</f>
        <v/>
      </c>
      <c r="I721" s="3">
        <f>IF('Data Source'!B721="","",IF('Data Source'!AA721&gt;=5,"A+",IF('Data Source'!AA721&gt;=4,"A",IF('Data Source'!AA721&gt;=3.5,"A-",IF('Data Source'!AA721&gt;=3,"B",IF('Data Source'!AA721&gt;=2,"C",IF('Data Source'!AA721&gt;=1,"D","F")))))))</f>
        <v/>
      </c>
      <c r="J721" s="3">
        <f>IF('Data Source'!B721="","",IF('Data Source'!AB721&gt;=5,"A+",IF('Data Source'!AB721&gt;=4,"A",IF('Data Source'!AB721&gt;=3.5,"A-",IF('Data Source'!AB721&gt;=3,"B",IF('Data Source'!AB721&gt;=2,"C",IF('Data Source'!AB721&gt;=1,"D","F")))))))</f>
        <v/>
      </c>
      <c r="K721" s="3">
        <f>IF('Data Source'!B721="","",IF('Data Source'!AC721&gt;=5,"A+",IF('Data Source'!AC721&gt;=4,"A",IF('Data Source'!AC721&gt;=3.5,"A-",IF('Data Source'!AC721&gt;=3,"B",IF('Data Source'!AC721&gt;=2,"C",IF('Data Source'!AC721&gt;=1,"D","F")))))))</f>
        <v/>
      </c>
      <c r="L721" s="3">
        <f>IF('Data Source'!B721="","",IF('Data Source'!AD721&gt;=5,"A+",IF('Data Source'!AD721&gt;=4,"A",IF('Data Source'!AD721&gt;=3.5,"A-",IF('Data Source'!AD721&gt;=3,"B",IF('Data Source'!AD721&gt;=2,"C",IF('Data Source'!AD721&gt;=1,"D","F")))))))</f>
        <v/>
      </c>
      <c r="M721" s="3">
        <f>IF('Data Source'!B721="","",IF('Data Source'!AE721&gt;=5,"A+",IF('Data Source'!AE721&gt;=4,"A",IF('Data Source'!AE721&gt;=3.5,"A-",IF('Data Source'!AE721&gt;=3,"B",IF('Data Source'!AE721&gt;=2,"C",IF('Data Source'!AE721&gt;=1,"D","F")))))))</f>
        <v/>
      </c>
      <c r="N721" s="3">
        <f>IF('Data Source'!B721="","",IF('Data Source'!AF721&gt;=5,"A+",IF('Data Source'!AF721&gt;=4,"A",IF('Data Source'!AF721&gt;=3.5,"A-",IF('Data Source'!AF721&gt;=3,"B",IF('Data Source'!AF721&gt;=2,"C",IF('Data Source'!AF721&gt;=1,"D","F")))))))</f>
        <v/>
      </c>
      <c r="O721" s="3">
        <f>IF('Data Source'!B721="","",IF('Data Source'!AG721&gt;=5,"A+",IF('Data Source'!AG721&gt;=4,"A",IF('Data Source'!AG721&gt;=3.5,"A-",IF('Data Source'!AG721&gt;=3,"B",IF('Data Source'!AG721&gt;=2,"C",IF('Data Source'!AG721&gt;=1,"D","F")))))))</f>
        <v/>
      </c>
      <c r="P721" s="5">
        <f>IF('Data Source'!B721="","",'Data Source'!R721)</f>
        <v/>
      </c>
      <c r="Q721" s="3">
        <f>IF('Data Source'!B721="","",'Data Source'!S721)</f>
        <v/>
      </c>
    </row>
    <row r="722">
      <c r="A722" s="3">
        <f>IF('Data Source'!B722="","",'Data Source'!A722)</f>
        <v/>
      </c>
      <c r="B722">
        <f>IF('Data Source'!B722="","",'Data Source'!B722)</f>
        <v/>
      </c>
      <c r="C722" s="3">
        <f>IF('Data Source'!B722="","",IF('Data Source'!U722&gt;=5,"A+",IF('Data Source'!U722&gt;=4,"A",IF('Data Source'!U722&gt;=3.5,"A-",IF('Data Source'!U722&gt;=3,"B",IF('Data Source'!U722&gt;=2,"C",IF('Data Source'!U722&gt;=1,"D","F")))))))</f>
        <v/>
      </c>
      <c r="D722" s="3">
        <f>IF('Data Source'!B722="","",IF('Data Source'!V722&gt;=5,"A+",IF('Data Source'!V722&gt;=4,"A",IF('Data Source'!V722&gt;=3.5,"A-",IF('Data Source'!V722&gt;=3,"B",IF('Data Source'!V722&gt;=2,"C",IF('Data Source'!V722&gt;=1,"D","F")))))))</f>
        <v/>
      </c>
      <c r="E722" s="3">
        <f>IF('Data Source'!B722="","",IF('Data Source'!W722&gt;=5,"A+",IF('Data Source'!W722&gt;=4,"A",IF('Data Source'!W722&gt;=3.5,"A-",IF('Data Source'!W722&gt;=3,"B",IF('Data Source'!W722&gt;=2,"C",IF('Data Source'!W722&gt;=1,"D","F")))))))</f>
        <v/>
      </c>
      <c r="F722" s="3">
        <f>IF('Data Source'!B722="","",IF('Data Source'!X722&gt;=5,"A+",IF('Data Source'!X722&gt;=4,"A",IF('Data Source'!X722&gt;=3.5,"A-",IF('Data Source'!X722&gt;=3,"B",IF('Data Source'!X722&gt;=2,"C",IF('Data Source'!X722&gt;=1,"D","F")))))))</f>
        <v/>
      </c>
      <c r="G722" s="3">
        <f>IF('Data Source'!B722="","",IF('Data Source'!Y722&gt;=5,"A+",IF('Data Source'!Y722&gt;=4,"A",IF('Data Source'!Y722&gt;=3.5,"A-",IF('Data Source'!Y722&gt;=3,"B",IF('Data Source'!Y722&gt;=2,"C",IF('Data Source'!Y722&gt;=1,"D","F")))))))</f>
        <v/>
      </c>
      <c r="H722" s="3">
        <f>IF('Data Source'!B722="","",IF('Data Source'!Z722&gt;=5,"A+",IF('Data Source'!Z722&gt;=4,"A",IF('Data Source'!Z722&gt;=3.5,"A-",IF('Data Source'!Z722&gt;=3,"B",IF('Data Source'!Z722&gt;=2,"C",IF('Data Source'!Z722&gt;=1,"D","F")))))))</f>
        <v/>
      </c>
      <c r="I722" s="3">
        <f>IF('Data Source'!B722="","",IF('Data Source'!AA722&gt;=5,"A+",IF('Data Source'!AA722&gt;=4,"A",IF('Data Source'!AA722&gt;=3.5,"A-",IF('Data Source'!AA722&gt;=3,"B",IF('Data Source'!AA722&gt;=2,"C",IF('Data Source'!AA722&gt;=1,"D","F")))))))</f>
        <v/>
      </c>
      <c r="J722" s="3">
        <f>IF('Data Source'!B722="","",IF('Data Source'!AB722&gt;=5,"A+",IF('Data Source'!AB722&gt;=4,"A",IF('Data Source'!AB722&gt;=3.5,"A-",IF('Data Source'!AB722&gt;=3,"B",IF('Data Source'!AB722&gt;=2,"C",IF('Data Source'!AB722&gt;=1,"D","F")))))))</f>
        <v/>
      </c>
      <c r="K722" s="3">
        <f>IF('Data Source'!B722="","",IF('Data Source'!AC722&gt;=5,"A+",IF('Data Source'!AC722&gt;=4,"A",IF('Data Source'!AC722&gt;=3.5,"A-",IF('Data Source'!AC722&gt;=3,"B",IF('Data Source'!AC722&gt;=2,"C",IF('Data Source'!AC722&gt;=1,"D","F")))))))</f>
        <v/>
      </c>
      <c r="L722" s="3">
        <f>IF('Data Source'!B722="","",IF('Data Source'!AD722&gt;=5,"A+",IF('Data Source'!AD722&gt;=4,"A",IF('Data Source'!AD722&gt;=3.5,"A-",IF('Data Source'!AD722&gt;=3,"B",IF('Data Source'!AD722&gt;=2,"C",IF('Data Source'!AD722&gt;=1,"D","F")))))))</f>
        <v/>
      </c>
      <c r="M722" s="3">
        <f>IF('Data Source'!B722="","",IF('Data Source'!AE722&gt;=5,"A+",IF('Data Source'!AE722&gt;=4,"A",IF('Data Source'!AE722&gt;=3.5,"A-",IF('Data Source'!AE722&gt;=3,"B",IF('Data Source'!AE722&gt;=2,"C",IF('Data Source'!AE722&gt;=1,"D","F")))))))</f>
        <v/>
      </c>
      <c r="N722" s="3">
        <f>IF('Data Source'!B722="","",IF('Data Source'!AF722&gt;=5,"A+",IF('Data Source'!AF722&gt;=4,"A",IF('Data Source'!AF722&gt;=3.5,"A-",IF('Data Source'!AF722&gt;=3,"B",IF('Data Source'!AF722&gt;=2,"C",IF('Data Source'!AF722&gt;=1,"D","F")))))))</f>
        <v/>
      </c>
      <c r="O722" s="3">
        <f>IF('Data Source'!B722="","",IF('Data Source'!AG722&gt;=5,"A+",IF('Data Source'!AG722&gt;=4,"A",IF('Data Source'!AG722&gt;=3.5,"A-",IF('Data Source'!AG722&gt;=3,"B",IF('Data Source'!AG722&gt;=2,"C",IF('Data Source'!AG722&gt;=1,"D","F")))))))</f>
        <v/>
      </c>
      <c r="P722" s="5">
        <f>IF('Data Source'!B722="","",'Data Source'!R722)</f>
        <v/>
      </c>
      <c r="Q722" s="3">
        <f>IF('Data Source'!B722="","",'Data Source'!S722)</f>
        <v/>
      </c>
    </row>
    <row r="723">
      <c r="A723" s="3">
        <f>IF('Data Source'!B723="","",'Data Source'!A723)</f>
        <v/>
      </c>
      <c r="B723">
        <f>IF('Data Source'!B723="","",'Data Source'!B723)</f>
        <v/>
      </c>
      <c r="C723" s="3">
        <f>IF('Data Source'!B723="","",IF('Data Source'!U723&gt;=5,"A+",IF('Data Source'!U723&gt;=4,"A",IF('Data Source'!U723&gt;=3.5,"A-",IF('Data Source'!U723&gt;=3,"B",IF('Data Source'!U723&gt;=2,"C",IF('Data Source'!U723&gt;=1,"D","F")))))))</f>
        <v/>
      </c>
      <c r="D723" s="3">
        <f>IF('Data Source'!B723="","",IF('Data Source'!V723&gt;=5,"A+",IF('Data Source'!V723&gt;=4,"A",IF('Data Source'!V723&gt;=3.5,"A-",IF('Data Source'!V723&gt;=3,"B",IF('Data Source'!V723&gt;=2,"C",IF('Data Source'!V723&gt;=1,"D","F")))))))</f>
        <v/>
      </c>
      <c r="E723" s="3">
        <f>IF('Data Source'!B723="","",IF('Data Source'!W723&gt;=5,"A+",IF('Data Source'!W723&gt;=4,"A",IF('Data Source'!W723&gt;=3.5,"A-",IF('Data Source'!W723&gt;=3,"B",IF('Data Source'!W723&gt;=2,"C",IF('Data Source'!W723&gt;=1,"D","F")))))))</f>
        <v/>
      </c>
      <c r="F723" s="3">
        <f>IF('Data Source'!B723="","",IF('Data Source'!X723&gt;=5,"A+",IF('Data Source'!X723&gt;=4,"A",IF('Data Source'!X723&gt;=3.5,"A-",IF('Data Source'!X723&gt;=3,"B",IF('Data Source'!X723&gt;=2,"C",IF('Data Source'!X723&gt;=1,"D","F")))))))</f>
        <v/>
      </c>
      <c r="G723" s="3">
        <f>IF('Data Source'!B723="","",IF('Data Source'!Y723&gt;=5,"A+",IF('Data Source'!Y723&gt;=4,"A",IF('Data Source'!Y723&gt;=3.5,"A-",IF('Data Source'!Y723&gt;=3,"B",IF('Data Source'!Y723&gt;=2,"C",IF('Data Source'!Y723&gt;=1,"D","F")))))))</f>
        <v/>
      </c>
      <c r="H723" s="3">
        <f>IF('Data Source'!B723="","",IF('Data Source'!Z723&gt;=5,"A+",IF('Data Source'!Z723&gt;=4,"A",IF('Data Source'!Z723&gt;=3.5,"A-",IF('Data Source'!Z723&gt;=3,"B",IF('Data Source'!Z723&gt;=2,"C",IF('Data Source'!Z723&gt;=1,"D","F")))))))</f>
        <v/>
      </c>
      <c r="I723" s="3">
        <f>IF('Data Source'!B723="","",IF('Data Source'!AA723&gt;=5,"A+",IF('Data Source'!AA723&gt;=4,"A",IF('Data Source'!AA723&gt;=3.5,"A-",IF('Data Source'!AA723&gt;=3,"B",IF('Data Source'!AA723&gt;=2,"C",IF('Data Source'!AA723&gt;=1,"D","F")))))))</f>
        <v/>
      </c>
      <c r="J723" s="3">
        <f>IF('Data Source'!B723="","",IF('Data Source'!AB723&gt;=5,"A+",IF('Data Source'!AB723&gt;=4,"A",IF('Data Source'!AB723&gt;=3.5,"A-",IF('Data Source'!AB723&gt;=3,"B",IF('Data Source'!AB723&gt;=2,"C",IF('Data Source'!AB723&gt;=1,"D","F")))))))</f>
        <v/>
      </c>
      <c r="K723" s="3">
        <f>IF('Data Source'!B723="","",IF('Data Source'!AC723&gt;=5,"A+",IF('Data Source'!AC723&gt;=4,"A",IF('Data Source'!AC723&gt;=3.5,"A-",IF('Data Source'!AC723&gt;=3,"B",IF('Data Source'!AC723&gt;=2,"C",IF('Data Source'!AC723&gt;=1,"D","F")))))))</f>
        <v/>
      </c>
      <c r="L723" s="3">
        <f>IF('Data Source'!B723="","",IF('Data Source'!AD723&gt;=5,"A+",IF('Data Source'!AD723&gt;=4,"A",IF('Data Source'!AD723&gt;=3.5,"A-",IF('Data Source'!AD723&gt;=3,"B",IF('Data Source'!AD723&gt;=2,"C",IF('Data Source'!AD723&gt;=1,"D","F")))))))</f>
        <v/>
      </c>
      <c r="M723" s="3">
        <f>IF('Data Source'!B723="","",IF('Data Source'!AE723&gt;=5,"A+",IF('Data Source'!AE723&gt;=4,"A",IF('Data Source'!AE723&gt;=3.5,"A-",IF('Data Source'!AE723&gt;=3,"B",IF('Data Source'!AE723&gt;=2,"C",IF('Data Source'!AE723&gt;=1,"D","F")))))))</f>
        <v/>
      </c>
      <c r="N723" s="3">
        <f>IF('Data Source'!B723="","",IF('Data Source'!AF723&gt;=5,"A+",IF('Data Source'!AF723&gt;=4,"A",IF('Data Source'!AF723&gt;=3.5,"A-",IF('Data Source'!AF723&gt;=3,"B",IF('Data Source'!AF723&gt;=2,"C",IF('Data Source'!AF723&gt;=1,"D","F")))))))</f>
        <v/>
      </c>
      <c r="O723" s="3">
        <f>IF('Data Source'!B723="","",IF('Data Source'!AG723&gt;=5,"A+",IF('Data Source'!AG723&gt;=4,"A",IF('Data Source'!AG723&gt;=3.5,"A-",IF('Data Source'!AG723&gt;=3,"B",IF('Data Source'!AG723&gt;=2,"C",IF('Data Source'!AG723&gt;=1,"D","F")))))))</f>
        <v/>
      </c>
      <c r="P723" s="5">
        <f>IF('Data Source'!B723="","",'Data Source'!R723)</f>
        <v/>
      </c>
      <c r="Q723" s="3">
        <f>IF('Data Source'!B723="","",'Data Source'!S723)</f>
        <v/>
      </c>
    </row>
    <row r="724">
      <c r="A724" s="3">
        <f>IF('Data Source'!B724="","",'Data Source'!A724)</f>
        <v/>
      </c>
      <c r="B724">
        <f>IF('Data Source'!B724="","",'Data Source'!B724)</f>
        <v/>
      </c>
      <c r="C724" s="3">
        <f>IF('Data Source'!B724="","",IF('Data Source'!U724&gt;=5,"A+",IF('Data Source'!U724&gt;=4,"A",IF('Data Source'!U724&gt;=3.5,"A-",IF('Data Source'!U724&gt;=3,"B",IF('Data Source'!U724&gt;=2,"C",IF('Data Source'!U724&gt;=1,"D","F")))))))</f>
        <v/>
      </c>
      <c r="D724" s="3">
        <f>IF('Data Source'!B724="","",IF('Data Source'!V724&gt;=5,"A+",IF('Data Source'!V724&gt;=4,"A",IF('Data Source'!V724&gt;=3.5,"A-",IF('Data Source'!V724&gt;=3,"B",IF('Data Source'!V724&gt;=2,"C",IF('Data Source'!V724&gt;=1,"D","F")))))))</f>
        <v/>
      </c>
      <c r="E724" s="3">
        <f>IF('Data Source'!B724="","",IF('Data Source'!W724&gt;=5,"A+",IF('Data Source'!W724&gt;=4,"A",IF('Data Source'!W724&gt;=3.5,"A-",IF('Data Source'!W724&gt;=3,"B",IF('Data Source'!W724&gt;=2,"C",IF('Data Source'!W724&gt;=1,"D","F")))))))</f>
        <v/>
      </c>
      <c r="F724" s="3">
        <f>IF('Data Source'!B724="","",IF('Data Source'!X724&gt;=5,"A+",IF('Data Source'!X724&gt;=4,"A",IF('Data Source'!X724&gt;=3.5,"A-",IF('Data Source'!X724&gt;=3,"B",IF('Data Source'!X724&gt;=2,"C",IF('Data Source'!X724&gt;=1,"D","F")))))))</f>
        <v/>
      </c>
      <c r="G724" s="3">
        <f>IF('Data Source'!B724="","",IF('Data Source'!Y724&gt;=5,"A+",IF('Data Source'!Y724&gt;=4,"A",IF('Data Source'!Y724&gt;=3.5,"A-",IF('Data Source'!Y724&gt;=3,"B",IF('Data Source'!Y724&gt;=2,"C",IF('Data Source'!Y724&gt;=1,"D","F")))))))</f>
        <v/>
      </c>
      <c r="H724" s="3">
        <f>IF('Data Source'!B724="","",IF('Data Source'!Z724&gt;=5,"A+",IF('Data Source'!Z724&gt;=4,"A",IF('Data Source'!Z724&gt;=3.5,"A-",IF('Data Source'!Z724&gt;=3,"B",IF('Data Source'!Z724&gt;=2,"C",IF('Data Source'!Z724&gt;=1,"D","F")))))))</f>
        <v/>
      </c>
      <c r="I724" s="3">
        <f>IF('Data Source'!B724="","",IF('Data Source'!AA724&gt;=5,"A+",IF('Data Source'!AA724&gt;=4,"A",IF('Data Source'!AA724&gt;=3.5,"A-",IF('Data Source'!AA724&gt;=3,"B",IF('Data Source'!AA724&gt;=2,"C",IF('Data Source'!AA724&gt;=1,"D","F")))))))</f>
        <v/>
      </c>
      <c r="J724" s="3">
        <f>IF('Data Source'!B724="","",IF('Data Source'!AB724&gt;=5,"A+",IF('Data Source'!AB724&gt;=4,"A",IF('Data Source'!AB724&gt;=3.5,"A-",IF('Data Source'!AB724&gt;=3,"B",IF('Data Source'!AB724&gt;=2,"C",IF('Data Source'!AB724&gt;=1,"D","F")))))))</f>
        <v/>
      </c>
      <c r="K724" s="3">
        <f>IF('Data Source'!B724="","",IF('Data Source'!AC724&gt;=5,"A+",IF('Data Source'!AC724&gt;=4,"A",IF('Data Source'!AC724&gt;=3.5,"A-",IF('Data Source'!AC724&gt;=3,"B",IF('Data Source'!AC724&gt;=2,"C",IF('Data Source'!AC724&gt;=1,"D","F")))))))</f>
        <v/>
      </c>
      <c r="L724" s="3">
        <f>IF('Data Source'!B724="","",IF('Data Source'!AD724&gt;=5,"A+",IF('Data Source'!AD724&gt;=4,"A",IF('Data Source'!AD724&gt;=3.5,"A-",IF('Data Source'!AD724&gt;=3,"B",IF('Data Source'!AD724&gt;=2,"C",IF('Data Source'!AD724&gt;=1,"D","F")))))))</f>
        <v/>
      </c>
      <c r="M724" s="3">
        <f>IF('Data Source'!B724="","",IF('Data Source'!AE724&gt;=5,"A+",IF('Data Source'!AE724&gt;=4,"A",IF('Data Source'!AE724&gt;=3.5,"A-",IF('Data Source'!AE724&gt;=3,"B",IF('Data Source'!AE724&gt;=2,"C",IF('Data Source'!AE724&gt;=1,"D","F")))))))</f>
        <v/>
      </c>
      <c r="N724" s="3">
        <f>IF('Data Source'!B724="","",IF('Data Source'!AF724&gt;=5,"A+",IF('Data Source'!AF724&gt;=4,"A",IF('Data Source'!AF724&gt;=3.5,"A-",IF('Data Source'!AF724&gt;=3,"B",IF('Data Source'!AF724&gt;=2,"C",IF('Data Source'!AF724&gt;=1,"D","F")))))))</f>
        <v/>
      </c>
      <c r="O724" s="3">
        <f>IF('Data Source'!B724="","",IF('Data Source'!AG724&gt;=5,"A+",IF('Data Source'!AG724&gt;=4,"A",IF('Data Source'!AG724&gt;=3.5,"A-",IF('Data Source'!AG724&gt;=3,"B",IF('Data Source'!AG724&gt;=2,"C",IF('Data Source'!AG724&gt;=1,"D","F")))))))</f>
        <v/>
      </c>
      <c r="P724" s="5">
        <f>IF('Data Source'!B724="","",'Data Source'!R724)</f>
        <v/>
      </c>
      <c r="Q724" s="3">
        <f>IF('Data Source'!B724="","",'Data Source'!S724)</f>
        <v/>
      </c>
    </row>
    <row r="725">
      <c r="A725" s="3">
        <f>IF('Data Source'!B725="","",'Data Source'!A725)</f>
        <v/>
      </c>
      <c r="B725">
        <f>IF('Data Source'!B725="","",'Data Source'!B725)</f>
        <v/>
      </c>
      <c r="C725" s="3">
        <f>IF('Data Source'!B725="","",IF('Data Source'!U725&gt;=5,"A+",IF('Data Source'!U725&gt;=4,"A",IF('Data Source'!U725&gt;=3.5,"A-",IF('Data Source'!U725&gt;=3,"B",IF('Data Source'!U725&gt;=2,"C",IF('Data Source'!U725&gt;=1,"D","F")))))))</f>
        <v/>
      </c>
      <c r="D725" s="3">
        <f>IF('Data Source'!B725="","",IF('Data Source'!V725&gt;=5,"A+",IF('Data Source'!V725&gt;=4,"A",IF('Data Source'!V725&gt;=3.5,"A-",IF('Data Source'!V725&gt;=3,"B",IF('Data Source'!V725&gt;=2,"C",IF('Data Source'!V725&gt;=1,"D","F")))))))</f>
        <v/>
      </c>
      <c r="E725" s="3">
        <f>IF('Data Source'!B725="","",IF('Data Source'!W725&gt;=5,"A+",IF('Data Source'!W725&gt;=4,"A",IF('Data Source'!W725&gt;=3.5,"A-",IF('Data Source'!W725&gt;=3,"B",IF('Data Source'!W725&gt;=2,"C",IF('Data Source'!W725&gt;=1,"D","F")))))))</f>
        <v/>
      </c>
      <c r="F725" s="3">
        <f>IF('Data Source'!B725="","",IF('Data Source'!X725&gt;=5,"A+",IF('Data Source'!X725&gt;=4,"A",IF('Data Source'!X725&gt;=3.5,"A-",IF('Data Source'!X725&gt;=3,"B",IF('Data Source'!X725&gt;=2,"C",IF('Data Source'!X725&gt;=1,"D","F")))))))</f>
        <v/>
      </c>
      <c r="G725" s="3">
        <f>IF('Data Source'!B725="","",IF('Data Source'!Y725&gt;=5,"A+",IF('Data Source'!Y725&gt;=4,"A",IF('Data Source'!Y725&gt;=3.5,"A-",IF('Data Source'!Y725&gt;=3,"B",IF('Data Source'!Y725&gt;=2,"C",IF('Data Source'!Y725&gt;=1,"D","F")))))))</f>
        <v/>
      </c>
      <c r="H725" s="3">
        <f>IF('Data Source'!B725="","",IF('Data Source'!Z725&gt;=5,"A+",IF('Data Source'!Z725&gt;=4,"A",IF('Data Source'!Z725&gt;=3.5,"A-",IF('Data Source'!Z725&gt;=3,"B",IF('Data Source'!Z725&gt;=2,"C",IF('Data Source'!Z725&gt;=1,"D","F")))))))</f>
        <v/>
      </c>
      <c r="I725" s="3">
        <f>IF('Data Source'!B725="","",IF('Data Source'!AA725&gt;=5,"A+",IF('Data Source'!AA725&gt;=4,"A",IF('Data Source'!AA725&gt;=3.5,"A-",IF('Data Source'!AA725&gt;=3,"B",IF('Data Source'!AA725&gt;=2,"C",IF('Data Source'!AA725&gt;=1,"D","F")))))))</f>
        <v/>
      </c>
      <c r="J725" s="3">
        <f>IF('Data Source'!B725="","",IF('Data Source'!AB725&gt;=5,"A+",IF('Data Source'!AB725&gt;=4,"A",IF('Data Source'!AB725&gt;=3.5,"A-",IF('Data Source'!AB725&gt;=3,"B",IF('Data Source'!AB725&gt;=2,"C",IF('Data Source'!AB725&gt;=1,"D","F")))))))</f>
        <v/>
      </c>
      <c r="K725" s="3">
        <f>IF('Data Source'!B725="","",IF('Data Source'!AC725&gt;=5,"A+",IF('Data Source'!AC725&gt;=4,"A",IF('Data Source'!AC725&gt;=3.5,"A-",IF('Data Source'!AC725&gt;=3,"B",IF('Data Source'!AC725&gt;=2,"C",IF('Data Source'!AC725&gt;=1,"D","F")))))))</f>
        <v/>
      </c>
      <c r="L725" s="3">
        <f>IF('Data Source'!B725="","",IF('Data Source'!AD725&gt;=5,"A+",IF('Data Source'!AD725&gt;=4,"A",IF('Data Source'!AD725&gt;=3.5,"A-",IF('Data Source'!AD725&gt;=3,"B",IF('Data Source'!AD725&gt;=2,"C",IF('Data Source'!AD725&gt;=1,"D","F")))))))</f>
        <v/>
      </c>
      <c r="M725" s="3">
        <f>IF('Data Source'!B725="","",IF('Data Source'!AE725&gt;=5,"A+",IF('Data Source'!AE725&gt;=4,"A",IF('Data Source'!AE725&gt;=3.5,"A-",IF('Data Source'!AE725&gt;=3,"B",IF('Data Source'!AE725&gt;=2,"C",IF('Data Source'!AE725&gt;=1,"D","F")))))))</f>
        <v/>
      </c>
      <c r="N725" s="3">
        <f>IF('Data Source'!B725="","",IF('Data Source'!AF725&gt;=5,"A+",IF('Data Source'!AF725&gt;=4,"A",IF('Data Source'!AF725&gt;=3.5,"A-",IF('Data Source'!AF725&gt;=3,"B",IF('Data Source'!AF725&gt;=2,"C",IF('Data Source'!AF725&gt;=1,"D","F")))))))</f>
        <v/>
      </c>
      <c r="O725" s="3">
        <f>IF('Data Source'!B725="","",IF('Data Source'!AG725&gt;=5,"A+",IF('Data Source'!AG725&gt;=4,"A",IF('Data Source'!AG725&gt;=3.5,"A-",IF('Data Source'!AG725&gt;=3,"B",IF('Data Source'!AG725&gt;=2,"C",IF('Data Source'!AG725&gt;=1,"D","F")))))))</f>
        <v/>
      </c>
      <c r="P725" s="5">
        <f>IF('Data Source'!B725="","",'Data Source'!R725)</f>
        <v/>
      </c>
      <c r="Q725" s="3">
        <f>IF('Data Source'!B725="","",'Data Source'!S725)</f>
        <v/>
      </c>
    </row>
    <row r="726">
      <c r="A726" s="3">
        <f>IF('Data Source'!B726="","",'Data Source'!A726)</f>
        <v/>
      </c>
      <c r="B726">
        <f>IF('Data Source'!B726="","",'Data Source'!B726)</f>
        <v/>
      </c>
      <c r="C726" s="3">
        <f>IF('Data Source'!B726="","",IF('Data Source'!U726&gt;=5,"A+",IF('Data Source'!U726&gt;=4,"A",IF('Data Source'!U726&gt;=3.5,"A-",IF('Data Source'!U726&gt;=3,"B",IF('Data Source'!U726&gt;=2,"C",IF('Data Source'!U726&gt;=1,"D","F")))))))</f>
        <v/>
      </c>
      <c r="D726" s="3">
        <f>IF('Data Source'!B726="","",IF('Data Source'!V726&gt;=5,"A+",IF('Data Source'!V726&gt;=4,"A",IF('Data Source'!V726&gt;=3.5,"A-",IF('Data Source'!V726&gt;=3,"B",IF('Data Source'!V726&gt;=2,"C",IF('Data Source'!V726&gt;=1,"D","F")))))))</f>
        <v/>
      </c>
      <c r="E726" s="3">
        <f>IF('Data Source'!B726="","",IF('Data Source'!W726&gt;=5,"A+",IF('Data Source'!W726&gt;=4,"A",IF('Data Source'!W726&gt;=3.5,"A-",IF('Data Source'!W726&gt;=3,"B",IF('Data Source'!W726&gt;=2,"C",IF('Data Source'!W726&gt;=1,"D","F")))))))</f>
        <v/>
      </c>
      <c r="F726" s="3">
        <f>IF('Data Source'!B726="","",IF('Data Source'!X726&gt;=5,"A+",IF('Data Source'!X726&gt;=4,"A",IF('Data Source'!X726&gt;=3.5,"A-",IF('Data Source'!X726&gt;=3,"B",IF('Data Source'!X726&gt;=2,"C",IF('Data Source'!X726&gt;=1,"D","F")))))))</f>
        <v/>
      </c>
      <c r="G726" s="3">
        <f>IF('Data Source'!B726="","",IF('Data Source'!Y726&gt;=5,"A+",IF('Data Source'!Y726&gt;=4,"A",IF('Data Source'!Y726&gt;=3.5,"A-",IF('Data Source'!Y726&gt;=3,"B",IF('Data Source'!Y726&gt;=2,"C",IF('Data Source'!Y726&gt;=1,"D","F")))))))</f>
        <v/>
      </c>
      <c r="H726" s="3">
        <f>IF('Data Source'!B726="","",IF('Data Source'!Z726&gt;=5,"A+",IF('Data Source'!Z726&gt;=4,"A",IF('Data Source'!Z726&gt;=3.5,"A-",IF('Data Source'!Z726&gt;=3,"B",IF('Data Source'!Z726&gt;=2,"C",IF('Data Source'!Z726&gt;=1,"D","F")))))))</f>
        <v/>
      </c>
      <c r="I726" s="3">
        <f>IF('Data Source'!B726="","",IF('Data Source'!AA726&gt;=5,"A+",IF('Data Source'!AA726&gt;=4,"A",IF('Data Source'!AA726&gt;=3.5,"A-",IF('Data Source'!AA726&gt;=3,"B",IF('Data Source'!AA726&gt;=2,"C",IF('Data Source'!AA726&gt;=1,"D","F")))))))</f>
        <v/>
      </c>
      <c r="J726" s="3">
        <f>IF('Data Source'!B726="","",IF('Data Source'!AB726&gt;=5,"A+",IF('Data Source'!AB726&gt;=4,"A",IF('Data Source'!AB726&gt;=3.5,"A-",IF('Data Source'!AB726&gt;=3,"B",IF('Data Source'!AB726&gt;=2,"C",IF('Data Source'!AB726&gt;=1,"D","F")))))))</f>
        <v/>
      </c>
      <c r="K726" s="3">
        <f>IF('Data Source'!B726="","",IF('Data Source'!AC726&gt;=5,"A+",IF('Data Source'!AC726&gt;=4,"A",IF('Data Source'!AC726&gt;=3.5,"A-",IF('Data Source'!AC726&gt;=3,"B",IF('Data Source'!AC726&gt;=2,"C",IF('Data Source'!AC726&gt;=1,"D","F")))))))</f>
        <v/>
      </c>
      <c r="L726" s="3">
        <f>IF('Data Source'!B726="","",IF('Data Source'!AD726&gt;=5,"A+",IF('Data Source'!AD726&gt;=4,"A",IF('Data Source'!AD726&gt;=3.5,"A-",IF('Data Source'!AD726&gt;=3,"B",IF('Data Source'!AD726&gt;=2,"C",IF('Data Source'!AD726&gt;=1,"D","F")))))))</f>
        <v/>
      </c>
      <c r="M726" s="3">
        <f>IF('Data Source'!B726="","",IF('Data Source'!AE726&gt;=5,"A+",IF('Data Source'!AE726&gt;=4,"A",IF('Data Source'!AE726&gt;=3.5,"A-",IF('Data Source'!AE726&gt;=3,"B",IF('Data Source'!AE726&gt;=2,"C",IF('Data Source'!AE726&gt;=1,"D","F")))))))</f>
        <v/>
      </c>
      <c r="N726" s="3">
        <f>IF('Data Source'!B726="","",IF('Data Source'!AF726&gt;=5,"A+",IF('Data Source'!AF726&gt;=4,"A",IF('Data Source'!AF726&gt;=3.5,"A-",IF('Data Source'!AF726&gt;=3,"B",IF('Data Source'!AF726&gt;=2,"C",IF('Data Source'!AF726&gt;=1,"D","F")))))))</f>
        <v/>
      </c>
      <c r="O726" s="3">
        <f>IF('Data Source'!B726="","",IF('Data Source'!AG726&gt;=5,"A+",IF('Data Source'!AG726&gt;=4,"A",IF('Data Source'!AG726&gt;=3.5,"A-",IF('Data Source'!AG726&gt;=3,"B",IF('Data Source'!AG726&gt;=2,"C",IF('Data Source'!AG726&gt;=1,"D","F")))))))</f>
        <v/>
      </c>
      <c r="P726" s="5">
        <f>IF('Data Source'!B726="","",'Data Source'!R726)</f>
        <v/>
      </c>
      <c r="Q726" s="3">
        <f>IF('Data Source'!B726="","",'Data Source'!S726)</f>
        <v/>
      </c>
    </row>
    <row r="727">
      <c r="A727" s="3">
        <f>IF('Data Source'!B727="","",'Data Source'!A727)</f>
        <v/>
      </c>
      <c r="B727">
        <f>IF('Data Source'!B727="","",'Data Source'!B727)</f>
        <v/>
      </c>
      <c r="C727" s="3">
        <f>IF('Data Source'!B727="","",IF('Data Source'!U727&gt;=5,"A+",IF('Data Source'!U727&gt;=4,"A",IF('Data Source'!U727&gt;=3.5,"A-",IF('Data Source'!U727&gt;=3,"B",IF('Data Source'!U727&gt;=2,"C",IF('Data Source'!U727&gt;=1,"D","F")))))))</f>
        <v/>
      </c>
      <c r="D727" s="3">
        <f>IF('Data Source'!B727="","",IF('Data Source'!V727&gt;=5,"A+",IF('Data Source'!V727&gt;=4,"A",IF('Data Source'!V727&gt;=3.5,"A-",IF('Data Source'!V727&gt;=3,"B",IF('Data Source'!V727&gt;=2,"C",IF('Data Source'!V727&gt;=1,"D","F")))))))</f>
        <v/>
      </c>
      <c r="E727" s="3">
        <f>IF('Data Source'!B727="","",IF('Data Source'!W727&gt;=5,"A+",IF('Data Source'!W727&gt;=4,"A",IF('Data Source'!W727&gt;=3.5,"A-",IF('Data Source'!W727&gt;=3,"B",IF('Data Source'!W727&gt;=2,"C",IF('Data Source'!W727&gt;=1,"D","F")))))))</f>
        <v/>
      </c>
      <c r="F727" s="3">
        <f>IF('Data Source'!B727="","",IF('Data Source'!X727&gt;=5,"A+",IF('Data Source'!X727&gt;=4,"A",IF('Data Source'!X727&gt;=3.5,"A-",IF('Data Source'!X727&gt;=3,"B",IF('Data Source'!X727&gt;=2,"C",IF('Data Source'!X727&gt;=1,"D","F")))))))</f>
        <v/>
      </c>
      <c r="G727" s="3">
        <f>IF('Data Source'!B727="","",IF('Data Source'!Y727&gt;=5,"A+",IF('Data Source'!Y727&gt;=4,"A",IF('Data Source'!Y727&gt;=3.5,"A-",IF('Data Source'!Y727&gt;=3,"B",IF('Data Source'!Y727&gt;=2,"C",IF('Data Source'!Y727&gt;=1,"D","F")))))))</f>
        <v/>
      </c>
      <c r="H727" s="3">
        <f>IF('Data Source'!B727="","",IF('Data Source'!Z727&gt;=5,"A+",IF('Data Source'!Z727&gt;=4,"A",IF('Data Source'!Z727&gt;=3.5,"A-",IF('Data Source'!Z727&gt;=3,"B",IF('Data Source'!Z727&gt;=2,"C",IF('Data Source'!Z727&gt;=1,"D","F")))))))</f>
        <v/>
      </c>
      <c r="I727" s="3">
        <f>IF('Data Source'!B727="","",IF('Data Source'!AA727&gt;=5,"A+",IF('Data Source'!AA727&gt;=4,"A",IF('Data Source'!AA727&gt;=3.5,"A-",IF('Data Source'!AA727&gt;=3,"B",IF('Data Source'!AA727&gt;=2,"C",IF('Data Source'!AA727&gt;=1,"D","F")))))))</f>
        <v/>
      </c>
      <c r="J727" s="3">
        <f>IF('Data Source'!B727="","",IF('Data Source'!AB727&gt;=5,"A+",IF('Data Source'!AB727&gt;=4,"A",IF('Data Source'!AB727&gt;=3.5,"A-",IF('Data Source'!AB727&gt;=3,"B",IF('Data Source'!AB727&gt;=2,"C",IF('Data Source'!AB727&gt;=1,"D","F")))))))</f>
        <v/>
      </c>
      <c r="K727" s="3">
        <f>IF('Data Source'!B727="","",IF('Data Source'!AC727&gt;=5,"A+",IF('Data Source'!AC727&gt;=4,"A",IF('Data Source'!AC727&gt;=3.5,"A-",IF('Data Source'!AC727&gt;=3,"B",IF('Data Source'!AC727&gt;=2,"C",IF('Data Source'!AC727&gt;=1,"D","F")))))))</f>
        <v/>
      </c>
      <c r="L727" s="3">
        <f>IF('Data Source'!B727="","",IF('Data Source'!AD727&gt;=5,"A+",IF('Data Source'!AD727&gt;=4,"A",IF('Data Source'!AD727&gt;=3.5,"A-",IF('Data Source'!AD727&gt;=3,"B",IF('Data Source'!AD727&gt;=2,"C",IF('Data Source'!AD727&gt;=1,"D","F")))))))</f>
        <v/>
      </c>
      <c r="M727" s="3">
        <f>IF('Data Source'!B727="","",IF('Data Source'!AE727&gt;=5,"A+",IF('Data Source'!AE727&gt;=4,"A",IF('Data Source'!AE727&gt;=3.5,"A-",IF('Data Source'!AE727&gt;=3,"B",IF('Data Source'!AE727&gt;=2,"C",IF('Data Source'!AE727&gt;=1,"D","F")))))))</f>
        <v/>
      </c>
      <c r="N727" s="3">
        <f>IF('Data Source'!B727="","",IF('Data Source'!AF727&gt;=5,"A+",IF('Data Source'!AF727&gt;=4,"A",IF('Data Source'!AF727&gt;=3.5,"A-",IF('Data Source'!AF727&gt;=3,"B",IF('Data Source'!AF727&gt;=2,"C",IF('Data Source'!AF727&gt;=1,"D","F")))))))</f>
        <v/>
      </c>
      <c r="O727" s="3">
        <f>IF('Data Source'!B727="","",IF('Data Source'!AG727&gt;=5,"A+",IF('Data Source'!AG727&gt;=4,"A",IF('Data Source'!AG727&gt;=3.5,"A-",IF('Data Source'!AG727&gt;=3,"B",IF('Data Source'!AG727&gt;=2,"C",IF('Data Source'!AG727&gt;=1,"D","F")))))))</f>
        <v/>
      </c>
      <c r="P727" s="5">
        <f>IF('Data Source'!B727="","",'Data Source'!R727)</f>
        <v/>
      </c>
      <c r="Q727" s="3">
        <f>IF('Data Source'!B727="","",'Data Source'!S727)</f>
        <v/>
      </c>
    </row>
    <row r="728">
      <c r="A728" s="3">
        <f>IF('Data Source'!B728="","",'Data Source'!A728)</f>
        <v/>
      </c>
      <c r="B728">
        <f>IF('Data Source'!B728="","",'Data Source'!B728)</f>
        <v/>
      </c>
      <c r="C728" s="3">
        <f>IF('Data Source'!B728="","",IF('Data Source'!U728&gt;=5,"A+",IF('Data Source'!U728&gt;=4,"A",IF('Data Source'!U728&gt;=3.5,"A-",IF('Data Source'!U728&gt;=3,"B",IF('Data Source'!U728&gt;=2,"C",IF('Data Source'!U728&gt;=1,"D","F")))))))</f>
        <v/>
      </c>
      <c r="D728" s="3">
        <f>IF('Data Source'!B728="","",IF('Data Source'!V728&gt;=5,"A+",IF('Data Source'!V728&gt;=4,"A",IF('Data Source'!V728&gt;=3.5,"A-",IF('Data Source'!V728&gt;=3,"B",IF('Data Source'!V728&gt;=2,"C",IF('Data Source'!V728&gt;=1,"D","F")))))))</f>
        <v/>
      </c>
      <c r="E728" s="3">
        <f>IF('Data Source'!B728="","",IF('Data Source'!W728&gt;=5,"A+",IF('Data Source'!W728&gt;=4,"A",IF('Data Source'!W728&gt;=3.5,"A-",IF('Data Source'!W728&gt;=3,"B",IF('Data Source'!W728&gt;=2,"C",IF('Data Source'!W728&gt;=1,"D","F")))))))</f>
        <v/>
      </c>
      <c r="F728" s="3">
        <f>IF('Data Source'!B728="","",IF('Data Source'!X728&gt;=5,"A+",IF('Data Source'!X728&gt;=4,"A",IF('Data Source'!X728&gt;=3.5,"A-",IF('Data Source'!X728&gt;=3,"B",IF('Data Source'!X728&gt;=2,"C",IF('Data Source'!X728&gt;=1,"D","F")))))))</f>
        <v/>
      </c>
      <c r="G728" s="3">
        <f>IF('Data Source'!B728="","",IF('Data Source'!Y728&gt;=5,"A+",IF('Data Source'!Y728&gt;=4,"A",IF('Data Source'!Y728&gt;=3.5,"A-",IF('Data Source'!Y728&gt;=3,"B",IF('Data Source'!Y728&gt;=2,"C",IF('Data Source'!Y728&gt;=1,"D","F")))))))</f>
        <v/>
      </c>
      <c r="H728" s="3">
        <f>IF('Data Source'!B728="","",IF('Data Source'!Z728&gt;=5,"A+",IF('Data Source'!Z728&gt;=4,"A",IF('Data Source'!Z728&gt;=3.5,"A-",IF('Data Source'!Z728&gt;=3,"B",IF('Data Source'!Z728&gt;=2,"C",IF('Data Source'!Z728&gt;=1,"D","F")))))))</f>
        <v/>
      </c>
      <c r="I728" s="3">
        <f>IF('Data Source'!B728="","",IF('Data Source'!AA728&gt;=5,"A+",IF('Data Source'!AA728&gt;=4,"A",IF('Data Source'!AA728&gt;=3.5,"A-",IF('Data Source'!AA728&gt;=3,"B",IF('Data Source'!AA728&gt;=2,"C",IF('Data Source'!AA728&gt;=1,"D","F")))))))</f>
        <v/>
      </c>
      <c r="J728" s="3">
        <f>IF('Data Source'!B728="","",IF('Data Source'!AB728&gt;=5,"A+",IF('Data Source'!AB728&gt;=4,"A",IF('Data Source'!AB728&gt;=3.5,"A-",IF('Data Source'!AB728&gt;=3,"B",IF('Data Source'!AB728&gt;=2,"C",IF('Data Source'!AB728&gt;=1,"D","F")))))))</f>
        <v/>
      </c>
      <c r="K728" s="3">
        <f>IF('Data Source'!B728="","",IF('Data Source'!AC728&gt;=5,"A+",IF('Data Source'!AC728&gt;=4,"A",IF('Data Source'!AC728&gt;=3.5,"A-",IF('Data Source'!AC728&gt;=3,"B",IF('Data Source'!AC728&gt;=2,"C",IF('Data Source'!AC728&gt;=1,"D","F")))))))</f>
        <v/>
      </c>
      <c r="L728" s="3">
        <f>IF('Data Source'!B728="","",IF('Data Source'!AD728&gt;=5,"A+",IF('Data Source'!AD728&gt;=4,"A",IF('Data Source'!AD728&gt;=3.5,"A-",IF('Data Source'!AD728&gt;=3,"B",IF('Data Source'!AD728&gt;=2,"C",IF('Data Source'!AD728&gt;=1,"D","F")))))))</f>
        <v/>
      </c>
      <c r="M728" s="3">
        <f>IF('Data Source'!B728="","",IF('Data Source'!AE728&gt;=5,"A+",IF('Data Source'!AE728&gt;=4,"A",IF('Data Source'!AE728&gt;=3.5,"A-",IF('Data Source'!AE728&gt;=3,"B",IF('Data Source'!AE728&gt;=2,"C",IF('Data Source'!AE728&gt;=1,"D","F")))))))</f>
        <v/>
      </c>
      <c r="N728" s="3">
        <f>IF('Data Source'!B728="","",IF('Data Source'!AF728&gt;=5,"A+",IF('Data Source'!AF728&gt;=4,"A",IF('Data Source'!AF728&gt;=3.5,"A-",IF('Data Source'!AF728&gt;=3,"B",IF('Data Source'!AF728&gt;=2,"C",IF('Data Source'!AF728&gt;=1,"D","F")))))))</f>
        <v/>
      </c>
      <c r="O728" s="3">
        <f>IF('Data Source'!B728="","",IF('Data Source'!AG728&gt;=5,"A+",IF('Data Source'!AG728&gt;=4,"A",IF('Data Source'!AG728&gt;=3.5,"A-",IF('Data Source'!AG728&gt;=3,"B",IF('Data Source'!AG728&gt;=2,"C",IF('Data Source'!AG728&gt;=1,"D","F")))))))</f>
        <v/>
      </c>
      <c r="P728" s="5">
        <f>IF('Data Source'!B728="","",'Data Source'!R728)</f>
        <v/>
      </c>
      <c r="Q728" s="3">
        <f>IF('Data Source'!B728="","",'Data Source'!S728)</f>
        <v/>
      </c>
    </row>
    <row r="729">
      <c r="A729" s="3">
        <f>IF('Data Source'!B729="","",'Data Source'!A729)</f>
        <v/>
      </c>
      <c r="B729">
        <f>IF('Data Source'!B729="","",'Data Source'!B729)</f>
        <v/>
      </c>
      <c r="C729" s="3">
        <f>IF('Data Source'!B729="","",IF('Data Source'!U729&gt;=5,"A+",IF('Data Source'!U729&gt;=4,"A",IF('Data Source'!U729&gt;=3.5,"A-",IF('Data Source'!U729&gt;=3,"B",IF('Data Source'!U729&gt;=2,"C",IF('Data Source'!U729&gt;=1,"D","F")))))))</f>
        <v/>
      </c>
      <c r="D729" s="3">
        <f>IF('Data Source'!B729="","",IF('Data Source'!V729&gt;=5,"A+",IF('Data Source'!V729&gt;=4,"A",IF('Data Source'!V729&gt;=3.5,"A-",IF('Data Source'!V729&gt;=3,"B",IF('Data Source'!V729&gt;=2,"C",IF('Data Source'!V729&gt;=1,"D","F")))))))</f>
        <v/>
      </c>
      <c r="E729" s="3">
        <f>IF('Data Source'!B729="","",IF('Data Source'!W729&gt;=5,"A+",IF('Data Source'!W729&gt;=4,"A",IF('Data Source'!W729&gt;=3.5,"A-",IF('Data Source'!W729&gt;=3,"B",IF('Data Source'!W729&gt;=2,"C",IF('Data Source'!W729&gt;=1,"D","F")))))))</f>
        <v/>
      </c>
      <c r="F729" s="3">
        <f>IF('Data Source'!B729="","",IF('Data Source'!X729&gt;=5,"A+",IF('Data Source'!X729&gt;=4,"A",IF('Data Source'!X729&gt;=3.5,"A-",IF('Data Source'!X729&gt;=3,"B",IF('Data Source'!X729&gt;=2,"C",IF('Data Source'!X729&gt;=1,"D","F")))))))</f>
        <v/>
      </c>
      <c r="G729" s="3">
        <f>IF('Data Source'!B729="","",IF('Data Source'!Y729&gt;=5,"A+",IF('Data Source'!Y729&gt;=4,"A",IF('Data Source'!Y729&gt;=3.5,"A-",IF('Data Source'!Y729&gt;=3,"B",IF('Data Source'!Y729&gt;=2,"C",IF('Data Source'!Y729&gt;=1,"D","F")))))))</f>
        <v/>
      </c>
      <c r="H729" s="3">
        <f>IF('Data Source'!B729="","",IF('Data Source'!Z729&gt;=5,"A+",IF('Data Source'!Z729&gt;=4,"A",IF('Data Source'!Z729&gt;=3.5,"A-",IF('Data Source'!Z729&gt;=3,"B",IF('Data Source'!Z729&gt;=2,"C",IF('Data Source'!Z729&gt;=1,"D","F")))))))</f>
        <v/>
      </c>
      <c r="I729" s="3">
        <f>IF('Data Source'!B729="","",IF('Data Source'!AA729&gt;=5,"A+",IF('Data Source'!AA729&gt;=4,"A",IF('Data Source'!AA729&gt;=3.5,"A-",IF('Data Source'!AA729&gt;=3,"B",IF('Data Source'!AA729&gt;=2,"C",IF('Data Source'!AA729&gt;=1,"D","F")))))))</f>
        <v/>
      </c>
      <c r="J729" s="3">
        <f>IF('Data Source'!B729="","",IF('Data Source'!AB729&gt;=5,"A+",IF('Data Source'!AB729&gt;=4,"A",IF('Data Source'!AB729&gt;=3.5,"A-",IF('Data Source'!AB729&gt;=3,"B",IF('Data Source'!AB729&gt;=2,"C",IF('Data Source'!AB729&gt;=1,"D","F")))))))</f>
        <v/>
      </c>
      <c r="K729" s="3">
        <f>IF('Data Source'!B729="","",IF('Data Source'!AC729&gt;=5,"A+",IF('Data Source'!AC729&gt;=4,"A",IF('Data Source'!AC729&gt;=3.5,"A-",IF('Data Source'!AC729&gt;=3,"B",IF('Data Source'!AC729&gt;=2,"C",IF('Data Source'!AC729&gt;=1,"D","F")))))))</f>
        <v/>
      </c>
      <c r="L729" s="3">
        <f>IF('Data Source'!B729="","",IF('Data Source'!AD729&gt;=5,"A+",IF('Data Source'!AD729&gt;=4,"A",IF('Data Source'!AD729&gt;=3.5,"A-",IF('Data Source'!AD729&gt;=3,"B",IF('Data Source'!AD729&gt;=2,"C",IF('Data Source'!AD729&gt;=1,"D","F")))))))</f>
        <v/>
      </c>
      <c r="M729" s="3">
        <f>IF('Data Source'!B729="","",IF('Data Source'!AE729&gt;=5,"A+",IF('Data Source'!AE729&gt;=4,"A",IF('Data Source'!AE729&gt;=3.5,"A-",IF('Data Source'!AE729&gt;=3,"B",IF('Data Source'!AE729&gt;=2,"C",IF('Data Source'!AE729&gt;=1,"D","F")))))))</f>
        <v/>
      </c>
      <c r="N729" s="3">
        <f>IF('Data Source'!B729="","",IF('Data Source'!AF729&gt;=5,"A+",IF('Data Source'!AF729&gt;=4,"A",IF('Data Source'!AF729&gt;=3.5,"A-",IF('Data Source'!AF729&gt;=3,"B",IF('Data Source'!AF729&gt;=2,"C",IF('Data Source'!AF729&gt;=1,"D","F")))))))</f>
        <v/>
      </c>
      <c r="O729" s="3">
        <f>IF('Data Source'!B729="","",IF('Data Source'!AG729&gt;=5,"A+",IF('Data Source'!AG729&gt;=4,"A",IF('Data Source'!AG729&gt;=3.5,"A-",IF('Data Source'!AG729&gt;=3,"B",IF('Data Source'!AG729&gt;=2,"C",IF('Data Source'!AG729&gt;=1,"D","F")))))))</f>
        <v/>
      </c>
      <c r="P729" s="5">
        <f>IF('Data Source'!B729="","",'Data Source'!R729)</f>
        <v/>
      </c>
      <c r="Q729" s="3">
        <f>IF('Data Source'!B729="","",'Data Source'!S729)</f>
        <v/>
      </c>
    </row>
    <row r="730">
      <c r="A730" s="3">
        <f>IF('Data Source'!B730="","",'Data Source'!A730)</f>
        <v/>
      </c>
      <c r="B730">
        <f>IF('Data Source'!B730="","",'Data Source'!B730)</f>
        <v/>
      </c>
      <c r="C730" s="3">
        <f>IF('Data Source'!B730="","",IF('Data Source'!U730&gt;=5,"A+",IF('Data Source'!U730&gt;=4,"A",IF('Data Source'!U730&gt;=3.5,"A-",IF('Data Source'!U730&gt;=3,"B",IF('Data Source'!U730&gt;=2,"C",IF('Data Source'!U730&gt;=1,"D","F")))))))</f>
        <v/>
      </c>
      <c r="D730" s="3">
        <f>IF('Data Source'!B730="","",IF('Data Source'!V730&gt;=5,"A+",IF('Data Source'!V730&gt;=4,"A",IF('Data Source'!V730&gt;=3.5,"A-",IF('Data Source'!V730&gt;=3,"B",IF('Data Source'!V730&gt;=2,"C",IF('Data Source'!V730&gt;=1,"D","F")))))))</f>
        <v/>
      </c>
      <c r="E730" s="3">
        <f>IF('Data Source'!B730="","",IF('Data Source'!W730&gt;=5,"A+",IF('Data Source'!W730&gt;=4,"A",IF('Data Source'!W730&gt;=3.5,"A-",IF('Data Source'!W730&gt;=3,"B",IF('Data Source'!W730&gt;=2,"C",IF('Data Source'!W730&gt;=1,"D","F")))))))</f>
        <v/>
      </c>
      <c r="F730" s="3">
        <f>IF('Data Source'!B730="","",IF('Data Source'!X730&gt;=5,"A+",IF('Data Source'!X730&gt;=4,"A",IF('Data Source'!X730&gt;=3.5,"A-",IF('Data Source'!X730&gt;=3,"B",IF('Data Source'!X730&gt;=2,"C",IF('Data Source'!X730&gt;=1,"D","F")))))))</f>
        <v/>
      </c>
      <c r="G730" s="3">
        <f>IF('Data Source'!B730="","",IF('Data Source'!Y730&gt;=5,"A+",IF('Data Source'!Y730&gt;=4,"A",IF('Data Source'!Y730&gt;=3.5,"A-",IF('Data Source'!Y730&gt;=3,"B",IF('Data Source'!Y730&gt;=2,"C",IF('Data Source'!Y730&gt;=1,"D","F")))))))</f>
        <v/>
      </c>
      <c r="H730" s="3">
        <f>IF('Data Source'!B730="","",IF('Data Source'!Z730&gt;=5,"A+",IF('Data Source'!Z730&gt;=4,"A",IF('Data Source'!Z730&gt;=3.5,"A-",IF('Data Source'!Z730&gt;=3,"B",IF('Data Source'!Z730&gt;=2,"C",IF('Data Source'!Z730&gt;=1,"D","F")))))))</f>
        <v/>
      </c>
      <c r="I730" s="3">
        <f>IF('Data Source'!B730="","",IF('Data Source'!AA730&gt;=5,"A+",IF('Data Source'!AA730&gt;=4,"A",IF('Data Source'!AA730&gt;=3.5,"A-",IF('Data Source'!AA730&gt;=3,"B",IF('Data Source'!AA730&gt;=2,"C",IF('Data Source'!AA730&gt;=1,"D","F")))))))</f>
        <v/>
      </c>
      <c r="J730" s="3">
        <f>IF('Data Source'!B730="","",IF('Data Source'!AB730&gt;=5,"A+",IF('Data Source'!AB730&gt;=4,"A",IF('Data Source'!AB730&gt;=3.5,"A-",IF('Data Source'!AB730&gt;=3,"B",IF('Data Source'!AB730&gt;=2,"C",IF('Data Source'!AB730&gt;=1,"D","F")))))))</f>
        <v/>
      </c>
      <c r="K730" s="3">
        <f>IF('Data Source'!B730="","",IF('Data Source'!AC730&gt;=5,"A+",IF('Data Source'!AC730&gt;=4,"A",IF('Data Source'!AC730&gt;=3.5,"A-",IF('Data Source'!AC730&gt;=3,"B",IF('Data Source'!AC730&gt;=2,"C",IF('Data Source'!AC730&gt;=1,"D","F")))))))</f>
        <v/>
      </c>
      <c r="L730" s="3">
        <f>IF('Data Source'!B730="","",IF('Data Source'!AD730&gt;=5,"A+",IF('Data Source'!AD730&gt;=4,"A",IF('Data Source'!AD730&gt;=3.5,"A-",IF('Data Source'!AD730&gt;=3,"B",IF('Data Source'!AD730&gt;=2,"C",IF('Data Source'!AD730&gt;=1,"D","F")))))))</f>
        <v/>
      </c>
      <c r="M730" s="3">
        <f>IF('Data Source'!B730="","",IF('Data Source'!AE730&gt;=5,"A+",IF('Data Source'!AE730&gt;=4,"A",IF('Data Source'!AE730&gt;=3.5,"A-",IF('Data Source'!AE730&gt;=3,"B",IF('Data Source'!AE730&gt;=2,"C",IF('Data Source'!AE730&gt;=1,"D","F")))))))</f>
        <v/>
      </c>
      <c r="N730" s="3">
        <f>IF('Data Source'!B730="","",IF('Data Source'!AF730&gt;=5,"A+",IF('Data Source'!AF730&gt;=4,"A",IF('Data Source'!AF730&gt;=3.5,"A-",IF('Data Source'!AF730&gt;=3,"B",IF('Data Source'!AF730&gt;=2,"C",IF('Data Source'!AF730&gt;=1,"D","F")))))))</f>
        <v/>
      </c>
      <c r="O730" s="3">
        <f>IF('Data Source'!B730="","",IF('Data Source'!AG730&gt;=5,"A+",IF('Data Source'!AG730&gt;=4,"A",IF('Data Source'!AG730&gt;=3.5,"A-",IF('Data Source'!AG730&gt;=3,"B",IF('Data Source'!AG730&gt;=2,"C",IF('Data Source'!AG730&gt;=1,"D","F")))))))</f>
        <v/>
      </c>
      <c r="P730" s="5">
        <f>IF('Data Source'!B730="","",'Data Source'!R730)</f>
        <v/>
      </c>
      <c r="Q730" s="3">
        <f>IF('Data Source'!B730="","",'Data Source'!S730)</f>
        <v/>
      </c>
    </row>
    <row r="731">
      <c r="A731" s="3">
        <f>IF('Data Source'!B731="","",'Data Source'!A731)</f>
        <v/>
      </c>
      <c r="B731">
        <f>IF('Data Source'!B731="","",'Data Source'!B731)</f>
        <v/>
      </c>
      <c r="C731" s="3">
        <f>IF('Data Source'!B731="","",IF('Data Source'!U731&gt;=5,"A+",IF('Data Source'!U731&gt;=4,"A",IF('Data Source'!U731&gt;=3.5,"A-",IF('Data Source'!U731&gt;=3,"B",IF('Data Source'!U731&gt;=2,"C",IF('Data Source'!U731&gt;=1,"D","F")))))))</f>
        <v/>
      </c>
      <c r="D731" s="3">
        <f>IF('Data Source'!B731="","",IF('Data Source'!V731&gt;=5,"A+",IF('Data Source'!V731&gt;=4,"A",IF('Data Source'!V731&gt;=3.5,"A-",IF('Data Source'!V731&gt;=3,"B",IF('Data Source'!V731&gt;=2,"C",IF('Data Source'!V731&gt;=1,"D","F")))))))</f>
        <v/>
      </c>
      <c r="E731" s="3">
        <f>IF('Data Source'!B731="","",IF('Data Source'!W731&gt;=5,"A+",IF('Data Source'!W731&gt;=4,"A",IF('Data Source'!W731&gt;=3.5,"A-",IF('Data Source'!W731&gt;=3,"B",IF('Data Source'!W731&gt;=2,"C",IF('Data Source'!W731&gt;=1,"D","F")))))))</f>
        <v/>
      </c>
      <c r="F731" s="3">
        <f>IF('Data Source'!B731="","",IF('Data Source'!X731&gt;=5,"A+",IF('Data Source'!X731&gt;=4,"A",IF('Data Source'!X731&gt;=3.5,"A-",IF('Data Source'!X731&gt;=3,"B",IF('Data Source'!X731&gt;=2,"C",IF('Data Source'!X731&gt;=1,"D","F")))))))</f>
        <v/>
      </c>
      <c r="G731" s="3">
        <f>IF('Data Source'!B731="","",IF('Data Source'!Y731&gt;=5,"A+",IF('Data Source'!Y731&gt;=4,"A",IF('Data Source'!Y731&gt;=3.5,"A-",IF('Data Source'!Y731&gt;=3,"B",IF('Data Source'!Y731&gt;=2,"C",IF('Data Source'!Y731&gt;=1,"D","F")))))))</f>
        <v/>
      </c>
      <c r="H731" s="3">
        <f>IF('Data Source'!B731="","",IF('Data Source'!Z731&gt;=5,"A+",IF('Data Source'!Z731&gt;=4,"A",IF('Data Source'!Z731&gt;=3.5,"A-",IF('Data Source'!Z731&gt;=3,"B",IF('Data Source'!Z731&gt;=2,"C",IF('Data Source'!Z731&gt;=1,"D","F")))))))</f>
        <v/>
      </c>
      <c r="I731" s="3">
        <f>IF('Data Source'!B731="","",IF('Data Source'!AA731&gt;=5,"A+",IF('Data Source'!AA731&gt;=4,"A",IF('Data Source'!AA731&gt;=3.5,"A-",IF('Data Source'!AA731&gt;=3,"B",IF('Data Source'!AA731&gt;=2,"C",IF('Data Source'!AA731&gt;=1,"D","F")))))))</f>
        <v/>
      </c>
      <c r="J731" s="3">
        <f>IF('Data Source'!B731="","",IF('Data Source'!AB731&gt;=5,"A+",IF('Data Source'!AB731&gt;=4,"A",IF('Data Source'!AB731&gt;=3.5,"A-",IF('Data Source'!AB731&gt;=3,"B",IF('Data Source'!AB731&gt;=2,"C",IF('Data Source'!AB731&gt;=1,"D","F")))))))</f>
        <v/>
      </c>
      <c r="K731" s="3">
        <f>IF('Data Source'!B731="","",IF('Data Source'!AC731&gt;=5,"A+",IF('Data Source'!AC731&gt;=4,"A",IF('Data Source'!AC731&gt;=3.5,"A-",IF('Data Source'!AC731&gt;=3,"B",IF('Data Source'!AC731&gt;=2,"C",IF('Data Source'!AC731&gt;=1,"D","F")))))))</f>
        <v/>
      </c>
      <c r="L731" s="3">
        <f>IF('Data Source'!B731="","",IF('Data Source'!AD731&gt;=5,"A+",IF('Data Source'!AD731&gt;=4,"A",IF('Data Source'!AD731&gt;=3.5,"A-",IF('Data Source'!AD731&gt;=3,"B",IF('Data Source'!AD731&gt;=2,"C",IF('Data Source'!AD731&gt;=1,"D","F")))))))</f>
        <v/>
      </c>
      <c r="M731" s="3">
        <f>IF('Data Source'!B731="","",IF('Data Source'!AE731&gt;=5,"A+",IF('Data Source'!AE731&gt;=4,"A",IF('Data Source'!AE731&gt;=3.5,"A-",IF('Data Source'!AE731&gt;=3,"B",IF('Data Source'!AE731&gt;=2,"C",IF('Data Source'!AE731&gt;=1,"D","F")))))))</f>
        <v/>
      </c>
      <c r="N731" s="3">
        <f>IF('Data Source'!B731="","",IF('Data Source'!AF731&gt;=5,"A+",IF('Data Source'!AF731&gt;=4,"A",IF('Data Source'!AF731&gt;=3.5,"A-",IF('Data Source'!AF731&gt;=3,"B",IF('Data Source'!AF731&gt;=2,"C",IF('Data Source'!AF731&gt;=1,"D","F")))))))</f>
        <v/>
      </c>
      <c r="O731" s="3">
        <f>IF('Data Source'!B731="","",IF('Data Source'!AG731&gt;=5,"A+",IF('Data Source'!AG731&gt;=4,"A",IF('Data Source'!AG731&gt;=3.5,"A-",IF('Data Source'!AG731&gt;=3,"B",IF('Data Source'!AG731&gt;=2,"C",IF('Data Source'!AG731&gt;=1,"D","F")))))))</f>
        <v/>
      </c>
      <c r="P731" s="5">
        <f>IF('Data Source'!B731="","",'Data Source'!R731)</f>
        <v/>
      </c>
      <c r="Q731" s="3">
        <f>IF('Data Source'!B731="","",'Data Source'!S731)</f>
        <v/>
      </c>
    </row>
    <row r="732">
      <c r="A732" s="3">
        <f>IF('Data Source'!B732="","",'Data Source'!A732)</f>
        <v/>
      </c>
      <c r="B732">
        <f>IF('Data Source'!B732="","",'Data Source'!B732)</f>
        <v/>
      </c>
      <c r="C732" s="3">
        <f>IF('Data Source'!B732="","",IF('Data Source'!U732&gt;=5,"A+",IF('Data Source'!U732&gt;=4,"A",IF('Data Source'!U732&gt;=3.5,"A-",IF('Data Source'!U732&gt;=3,"B",IF('Data Source'!U732&gt;=2,"C",IF('Data Source'!U732&gt;=1,"D","F")))))))</f>
        <v/>
      </c>
      <c r="D732" s="3">
        <f>IF('Data Source'!B732="","",IF('Data Source'!V732&gt;=5,"A+",IF('Data Source'!V732&gt;=4,"A",IF('Data Source'!V732&gt;=3.5,"A-",IF('Data Source'!V732&gt;=3,"B",IF('Data Source'!V732&gt;=2,"C",IF('Data Source'!V732&gt;=1,"D","F")))))))</f>
        <v/>
      </c>
      <c r="E732" s="3">
        <f>IF('Data Source'!B732="","",IF('Data Source'!W732&gt;=5,"A+",IF('Data Source'!W732&gt;=4,"A",IF('Data Source'!W732&gt;=3.5,"A-",IF('Data Source'!W732&gt;=3,"B",IF('Data Source'!W732&gt;=2,"C",IF('Data Source'!W732&gt;=1,"D","F")))))))</f>
        <v/>
      </c>
      <c r="F732" s="3">
        <f>IF('Data Source'!B732="","",IF('Data Source'!X732&gt;=5,"A+",IF('Data Source'!X732&gt;=4,"A",IF('Data Source'!X732&gt;=3.5,"A-",IF('Data Source'!X732&gt;=3,"B",IF('Data Source'!X732&gt;=2,"C",IF('Data Source'!X732&gt;=1,"D","F")))))))</f>
        <v/>
      </c>
      <c r="G732" s="3">
        <f>IF('Data Source'!B732="","",IF('Data Source'!Y732&gt;=5,"A+",IF('Data Source'!Y732&gt;=4,"A",IF('Data Source'!Y732&gt;=3.5,"A-",IF('Data Source'!Y732&gt;=3,"B",IF('Data Source'!Y732&gt;=2,"C",IF('Data Source'!Y732&gt;=1,"D","F")))))))</f>
        <v/>
      </c>
      <c r="H732" s="3">
        <f>IF('Data Source'!B732="","",IF('Data Source'!Z732&gt;=5,"A+",IF('Data Source'!Z732&gt;=4,"A",IF('Data Source'!Z732&gt;=3.5,"A-",IF('Data Source'!Z732&gt;=3,"B",IF('Data Source'!Z732&gt;=2,"C",IF('Data Source'!Z732&gt;=1,"D","F")))))))</f>
        <v/>
      </c>
      <c r="I732" s="3">
        <f>IF('Data Source'!B732="","",IF('Data Source'!AA732&gt;=5,"A+",IF('Data Source'!AA732&gt;=4,"A",IF('Data Source'!AA732&gt;=3.5,"A-",IF('Data Source'!AA732&gt;=3,"B",IF('Data Source'!AA732&gt;=2,"C",IF('Data Source'!AA732&gt;=1,"D","F")))))))</f>
        <v/>
      </c>
      <c r="J732" s="3">
        <f>IF('Data Source'!B732="","",IF('Data Source'!AB732&gt;=5,"A+",IF('Data Source'!AB732&gt;=4,"A",IF('Data Source'!AB732&gt;=3.5,"A-",IF('Data Source'!AB732&gt;=3,"B",IF('Data Source'!AB732&gt;=2,"C",IF('Data Source'!AB732&gt;=1,"D","F")))))))</f>
        <v/>
      </c>
      <c r="K732" s="3">
        <f>IF('Data Source'!B732="","",IF('Data Source'!AC732&gt;=5,"A+",IF('Data Source'!AC732&gt;=4,"A",IF('Data Source'!AC732&gt;=3.5,"A-",IF('Data Source'!AC732&gt;=3,"B",IF('Data Source'!AC732&gt;=2,"C",IF('Data Source'!AC732&gt;=1,"D","F")))))))</f>
        <v/>
      </c>
      <c r="L732" s="3">
        <f>IF('Data Source'!B732="","",IF('Data Source'!AD732&gt;=5,"A+",IF('Data Source'!AD732&gt;=4,"A",IF('Data Source'!AD732&gt;=3.5,"A-",IF('Data Source'!AD732&gt;=3,"B",IF('Data Source'!AD732&gt;=2,"C",IF('Data Source'!AD732&gt;=1,"D","F")))))))</f>
        <v/>
      </c>
      <c r="M732" s="3">
        <f>IF('Data Source'!B732="","",IF('Data Source'!AE732&gt;=5,"A+",IF('Data Source'!AE732&gt;=4,"A",IF('Data Source'!AE732&gt;=3.5,"A-",IF('Data Source'!AE732&gt;=3,"B",IF('Data Source'!AE732&gt;=2,"C",IF('Data Source'!AE732&gt;=1,"D","F")))))))</f>
        <v/>
      </c>
      <c r="N732" s="3">
        <f>IF('Data Source'!B732="","",IF('Data Source'!AF732&gt;=5,"A+",IF('Data Source'!AF732&gt;=4,"A",IF('Data Source'!AF732&gt;=3.5,"A-",IF('Data Source'!AF732&gt;=3,"B",IF('Data Source'!AF732&gt;=2,"C",IF('Data Source'!AF732&gt;=1,"D","F")))))))</f>
        <v/>
      </c>
      <c r="O732" s="3">
        <f>IF('Data Source'!B732="","",IF('Data Source'!AG732&gt;=5,"A+",IF('Data Source'!AG732&gt;=4,"A",IF('Data Source'!AG732&gt;=3.5,"A-",IF('Data Source'!AG732&gt;=3,"B",IF('Data Source'!AG732&gt;=2,"C",IF('Data Source'!AG732&gt;=1,"D","F")))))))</f>
        <v/>
      </c>
      <c r="P732" s="5">
        <f>IF('Data Source'!B732="","",'Data Source'!R732)</f>
        <v/>
      </c>
      <c r="Q732" s="3">
        <f>IF('Data Source'!B732="","",'Data Source'!S732)</f>
        <v/>
      </c>
    </row>
    <row r="733">
      <c r="A733" s="3">
        <f>IF('Data Source'!B733="","",'Data Source'!A733)</f>
        <v/>
      </c>
      <c r="B733">
        <f>IF('Data Source'!B733="","",'Data Source'!B733)</f>
        <v/>
      </c>
      <c r="C733" s="3">
        <f>IF('Data Source'!B733="","",IF('Data Source'!U733&gt;=5,"A+",IF('Data Source'!U733&gt;=4,"A",IF('Data Source'!U733&gt;=3.5,"A-",IF('Data Source'!U733&gt;=3,"B",IF('Data Source'!U733&gt;=2,"C",IF('Data Source'!U733&gt;=1,"D","F")))))))</f>
        <v/>
      </c>
      <c r="D733" s="3">
        <f>IF('Data Source'!B733="","",IF('Data Source'!V733&gt;=5,"A+",IF('Data Source'!V733&gt;=4,"A",IF('Data Source'!V733&gt;=3.5,"A-",IF('Data Source'!V733&gt;=3,"B",IF('Data Source'!V733&gt;=2,"C",IF('Data Source'!V733&gt;=1,"D","F")))))))</f>
        <v/>
      </c>
      <c r="E733" s="3">
        <f>IF('Data Source'!B733="","",IF('Data Source'!W733&gt;=5,"A+",IF('Data Source'!W733&gt;=4,"A",IF('Data Source'!W733&gt;=3.5,"A-",IF('Data Source'!W733&gt;=3,"B",IF('Data Source'!W733&gt;=2,"C",IF('Data Source'!W733&gt;=1,"D","F")))))))</f>
        <v/>
      </c>
      <c r="F733" s="3">
        <f>IF('Data Source'!B733="","",IF('Data Source'!X733&gt;=5,"A+",IF('Data Source'!X733&gt;=4,"A",IF('Data Source'!X733&gt;=3.5,"A-",IF('Data Source'!X733&gt;=3,"B",IF('Data Source'!X733&gt;=2,"C",IF('Data Source'!X733&gt;=1,"D","F")))))))</f>
        <v/>
      </c>
      <c r="G733" s="3">
        <f>IF('Data Source'!B733="","",IF('Data Source'!Y733&gt;=5,"A+",IF('Data Source'!Y733&gt;=4,"A",IF('Data Source'!Y733&gt;=3.5,"A-",IF('Data Source'!Y733&gt;=3,"B",IF('Data Source'!Y733&gt;=2,"C",IF('Data Source'!Y733&gt;=1,"D","F")))))))</f>
        <v/>
      </c>
      <c r="H733" s="3">
        <f>IF('Data Source'!B733="","",IF('Data Source'!Z733&gt;=5,"A+",IF('Data Source'!Z733&gt;=4,"A",IF('Data Source'!Z733&gt;=3.5,"A-",IF('Data Source'!Z733&gt;=3,"B",IF('Data Source'!Z733&gt;=2,"C",IF('Data Source'!Z733&gt;=1,"D","F")))))))</f>
        <v/>
      </c>
      <c r="I733" s="3">
        <f>IF('Data Source'!B733="","",IF('Data Source'!AA733&gt;=5,"A+",IF('Data Source'!AA733&gt;=4,"A",IF('Data Source'!AA733&gt;=3.5,"A-",IF('Data Source'!AA733&gt;=3,"B",IF('Data Source'!AA733&gt;=2,"C",IF('Data Source'!AA733&gt;=1,"D","F")))))))</f>
        <v/>
      </c>
      <c r="J733" s="3">
        <f>IF('Data Source'!B733="","",IF('Data Source'!AB733&gt;=5,"A+",IF('Data Source'!AB733&gt;=4,"A",IF('Data Source'!AB733&gt;=3.5,"A-",IF('Data Source'!AB733&gt;=3,"B",IF('Data Source'!AB733&gt;=2,"C",IF('Data Source'!AB733&gt;=1,"D","F")))))))</f>
        <v/>
      </c>
      <c r="K733" s="3">
        <f>IF('Data Source'!B733="","",IF('Data Source'!AC733&gt;=5,"A+",IF('Data Source'!AC733&gt;=4,"A",IF('Data Source'!AC733&gt;=3.5,"A-",IF('Data Source'!AC733&gt;=3,"B",IF('Data Source'!AC733&gt;=2,"C",IF('Data Source'!AC733&gt;=1,"D","F")))))))</f>
        <v/>
      </c>
      <c r="L733" s="3">
        <f>IF('Data Source'!B733="","",IF('Data Source'!AD733&gt;=5,"A+",IF('Data Source'!AD733&gt;=4,"A",IF('Data Source'!AD733&gt;=3.5,"A-",IF('Data Source'!AD733&gt;=3,"B",IF('Data Source'!AD733&gt;=2,"C",IF('Data Source'!AD733&gt;=1,"D","F")))))))</f>
        <v/>
      </c>
      <c r="M733" s="3">
        <f>IF('Data Source'!B733="","",IF('Data Source'!AE733&gt;=5,"A+",IF('Data Source'!AE733&gt;=4,"A",IF('Data Source'!AE733&gt;=3.5,"A-",IF('Data Source'!AE733&gt;=3,"B",IF('Data Source'!AE733&gt;=2,"C",IF('Data Source'!AE733&gt;=1,"D","F")))))))</f>
        <v/>
      </c>
      <c r="N733" s="3">
        <f>IF('Data Source'!B733="","",IF('Data Source'!AF733&gt;=5,"A+",IF('Data Source'!AF733&gt;=4,"A",IF('Data Source'!AF733&gt;=3.5,"A-",IF('Data Source'!AF733&gt;=3,"B",IF('Data Source'!AF733&gt;=2,"C",IF('Data Source'!AF733&gt;=1,"D","F")))))))</f>
        <v/>
      </c>
      <c r="O733" s="3">
        <f>IF('Data Source'!B733="","",IF('Data Source'!AG733&gt;=5,"A+",IF('Data Source'!AG733&gt;=4,"A",IF('Data Source'!AG733&gt;=3.5,"A-",IF('Data Source'!AG733&gt;=3,"B",IF('Data Source'!AG733&gt;=2,"C",IF('Data Source'!AG733&gt;=1,"D","F")))))))</f>
        <v/>
      </c>
      <c r="P733" s="5">
        <f>IF('Data Source'!B733="","",'Data Source'!R733)</f>
        <v/>
      </c>
      <c r="Q733" s="3">
        <f>IF('Data Source'!B733="","",'Data Source'!S733)</f>
        <v/>
      </c>
    </row>
    <row r="734">
      <c r="A734" s="3">
        <f>IF('Data Source'!B734="","",'Data Source'!A734)</f>
        <v/>
      </c>
      <c r="B734">
        <f>IF('Data Source'!B734="","",'Data Source'!B734)</f>
        <v/>
      </c>
      <c r="C734" s="3">
        <f>IF('Data Source'!B734="","",IF('Data Source'!U734&gt;=5,"A+",IF('Data Source'!U734&gt;=4,"A",IF('Data Source'!U734&gt;=3.5,"A-",IF('Data Source'!U734&gt;=3,"B",IF('Data Source'!U734&gt;=2,"C",IF('Data Source'!U734&gt;=1,"D","F")))))))</f>
        <v/>
      </c>
      <c r="D734" s="3">
        <f>IF('Data Source'!B734="","",IF('Data Source'!V734&gt;=5,"A+",IF('Data Source'!V734&gt;=4,"A",IF('Data Source'!V734&gt;=3.5,"A-",IF('Data Source'!V734&gt;=3,"B",IF('Data Source'!V734&gt;=2,"C",IF('Data Source'!V734&gt;=1,"D","F")))))))</f>
        <v/>
      </c>
      <c r="E734" s="3">
        <f>IF('Data Source'!B734="","",IF('Data Source'!W734&gt;=5,"A+",IF('Data Source'!W734&gt;=4,"A",IF('Data Source'!W734&gt;=3.5,"A-",IF('Data Source'!W734&gt;=3,"B",IF('Data Source'!W734&gt;=2,"C",IF('Data Source'!W734&gt;=1,"D","F")))))))</f>
        <v/>
      </c>
      <c r="F734" s="3">
        <f>IF('Data Source'!B734="","",IF('Data Source'!X734&gt;=5,"A+",IF('Data Source'!X734&gt;=4,"A",IF('Data Source'!X734&gt;=3.5,"A-",IF('Data Source'!X734&gt;=3,"B",IF('Data Source'!X734&gt;=2,"C",IF('Data Source'!X734&gt;=1,"D","F")))))))</f>
        <v/>
      </c>
      <c r="G734" s="3">
        <f>IF('Data Source'!B734="","",IF('Data Source'!Y734&gt;=5,"A+",IF('Data Source'!Y734&gt;=4,"A",IF('Data Source'!Y734&gt;=3.5,"A-",IF('Data Source'!Y734&gt;=3,"B",IF('Data Source'!Y734&gt;=2,"C",IF('Data Source'!Y734&gt;=1,"D","F")))))))</f>
        <v/>
      </c>
      <c r="H734" s="3">
        <f>IF('Data Source'!B734="","",IF('Data Source'!Z734&gt;=5,"A+",IF('Data Source'!Z734&gt;=4,"A",IF('Data Source'!Z734&gt;=3.5,"A-",IF('Data Source'!Z734&gt;=3,"B",IF('Data Source'!Z734&gt;=2,"C",IF('Data Source'!Z734&gt;=1,"D","F")))))))</f>
        <v/>
      </c>
      <c r="I734" s="3">
        <f>IF('Data Source'!B734="","",IF('Data Source'!AA734&gt;=5,"A+",IF('Data Source'!AA734&gt;=4,"A",IF('Data Source'!AA734&gt;=3.5,"A-",IF('Data Source'!AA734&gt;=3,"B",IF('Data Source'!AA734&gt;=2,"C",IF('Data Source'!AA734&gt;=1,"D","F")))))))</f>
        <v/>
      </c>
      <c r="J734" s="3">
        <f>IF('Data Source'!B734="","",IF('Data Source'!AB734&gt;=5,"A+",IF('Data Source'!AB734&gt;=4,"A",IF('Data Source'!AB734&gt;=3.5,"A-",IF('Data Source'!AB734&gt;=3,"B",IF('Data Source'!AB734&gt;=2,"C",IF('Data Source'!AB734&gt;=1,"D","F")))))))</f>
        <v/>
      </c>
      <c r="K734" s="3">
        <f>IF('Data Source'!B734="","",IF('Data Source'!AC734&gt;=5,"A+",IF('Data Source'!AC734&gt;=4,"A",IF('Data Source'!AC734&gt;=3.5,"A-",IF('Data Source'!AC734&gt;=3,"B",IF('Data Source'!AC734&gt;=2,"C",IF('Data Source'!AC734&gt;=1,"D","F")))))))</f>
        <v/>
      </c>
      <c r="L734" s="3">
        <f>IF('Data Source'!B734="","",IF('Data Source'!AD734&gt;=5,"A+",IF('Data Source'!AD734&gt;=4,"A",IF('Data Source'!AD734&gt;=3.5,"A-",IF('Data Source'!AD734&gt;=3,"B",IF('Data Source'!AD734&gt;=2,"C",IF('Data Source'!AD734&gt;=1,"D","F")))))))</f>
        <v/>
      </c>
      <c r="M734" s="3">
        <f>IF('Data Source'!B734="","",IF('Data Source'!AE734&gt;=5,"A+",IF('Data Source'!AE734&gt;=4,"A",IF('Data Source'!AE734&gt;=3.5,"A-",IF('Data Source'!AE734&gt;=3,"B",IF('Data Source'!AE734&gt;=2,"C",IF('Data Source'!AE734&gt;=1,"D","F")))))))</f>
        <v/>
      </c>
      <c r="N734" s="3">
        <f>IF('Data Source'!B734="","",IF('Data Source'!AF734&gt;=5,"A+",IF('Data Source'!AF734&gt;=4,"A",IF('Data Source'!AF734&gt;=3.5,"A-",IF('Data Source'!AF734&gt;=3,"B",IF('Data Source'!AF734&gt;=2,"C",IF('Data Source'!AF734&gt;=1,"D","F")))))))</f>
        <v/>
      </c>
      <c r="O734" s="3">
        <f>IF('Data Source'!B734="","",IF('Data Source'!AG734&gt;=5,"A+",IF('Data Source'!AG734&gt;=4,"A",IF('Data Source'!AG734&gt;=3.5,"A-",IF('Data Source'!AG734&gt;=3,"B",IF('Data Source'!AG734&gt;=2,"C",IF('Data Source'!AG734&gt;=1,"D","F")))))))</f>
        <v/>
      </c>
      <c r="P734" s="5">
        <f>IF('Data Source'!B734="","",'Data Source'!R734)</f>
        <v/>
      </c>
      <c r="Q734" s="3">
        <f>IF('Data Source'!B734="","",'Data Source'!S734)</f>
        <v/>
      </c>
    </row>
    <row r="735">
      <c r="A735" s="3">
        <f>IF('Data Source'!B735="","",'Data Source'!A735)</f>
        <v/>
      </c>
      <c r="B735">
        <f>IF('Data Source'!B735="","",'Data Source'!B735)</f>
        <v/>
      </c>
      <c r="C735" s="3">
        <f>IF('Data Source'!B735="","",IF('Data Source'!U735&gt;=5,"A+",IF('Data Source'!U735&gt;=4,"A",IF('Data Source'!U735&gt;=3.5,"A-",IF('Data Source'!U735&gt;=3,"B",IF('Data Source'!U735&gt;=2,"C",IF('Data Source'!U735&gt;=1,"D","F")))))))</f>
        <v/>
      </c>
      <c r="D735" s="3">
        <f>IF('Data Source'!B735="","",IF('Data Source'!V735&gt;=5,"A+",IF('Data Source'!V735&gt;=4,"A",IF('Data Source'!V735&gt;=3.5,"A-",IF('Data Source'!V735&gt;=3,"B",IF('Data Source'!V735&gt;=2,"C",IF('Data Source'!V735&gt;=1,"D","F")))))))</f>
        <v/>
      </c>
      <c r="E735" s="3">
        <f>IF('Data Source'!B735="","",IF('Data Source'!W735&gt;=5,"A+",IF('Data Source'!W735&gt;=4,"A",IF('Data Source'!W735&gt;=3.5,"A-",IF('Data Source'!W735&gt;=3,"B",IF('Data Source'!W735&gt;=2,"C",IF('Data Source'!W735&gt;=1,"D","F")))))))</f>
        <v/>
      </c>
      <c r="F735" s="3">
        <f>IF('Data Source'!B735="","",IF('Data Source'!X735&gt;=5,"A+",IF('Data Source'!X735&gt;=4,"A",IF('Data Source'!X735&gt;=3.5,"A-",IF('Data Source'!X735&gt;=3,"B",IF('Data Source'!X735&gt;=2,"C",IF('Data Source'!X735&gt;=1,"D","F")))))))</f>
        <v/>
      </c>
      <c r="G735" s="3">
        <f>IF('Data Source'!B735="","",IF('Data Source'!Y735&gt;=5,"A+",IF('Data Source'!Y735&gt;=4,"A",IF('Data Source'!Y735&gt;=3.5,"A-",IF('Data Source'!Y735&gt;=3,"B",IF('Data Source'!Y735&gt;=2,"C",IF('Data Source'!Y735&gt;=1,"D","F")))))))</f>
        <v/>
      </c>
      <c r="H735" s="3">
        <f>IF('Data Source'!B735="","",IF('Data Source'!Z735&gt;=5,"A+",IF('Data Source'!Z735&gt;=4,"A",IF('Data Source'!Z735&gt;=3.5,"A-",IF('Data Source'!Z735&gt;=3,"B",IF('Data Source'!Z735&gt;=2,"C",IF('Data Source'!Z735&gt;=1,"D","F")))))))</f>
        <v/>
      </c>
      <c r="I735" s="3">
        <f>IF('Data Source'!B735="","",IF('Data Source'!AA735&gt;=5,"A+",IF('Data Source'!AA735&gt;=4,"A",IF('Data Source'!AA735&gt;=3.5,"A-",IF('Data Source'!AA735&gt;=3,"B",IF('Data Source'!AA735&gt;=2,"C",IF('Data Source'!AA735&gt;=1,"D","F")))))))</f>
        <v/>
      </c>
      <c r="J735" s="3">
        <f>IF('Data Source'!B735="","",IF('Data Source'!AB735&gt;=5,"A+",IF('Data Source'!AB735&gt;=4,"A",IF('Data Source'!AB735&gt;=3.5,"A-",IF('Data Source'!AB735&gt;=3,"B",IF('Data Source'!AB735&gt;=2,"C",IF('Data Source'!AB735&gt;=1,"D","F")))))))</f>
        <v/>
      </c>
      <c r="K735" s="3">
        <f>IF('Data Source'!B735="","",IF('Data Source'!AC735&gt;=5,"A+",IF('Data Source'!AC735&gt;=4,"A",IF('Data Source'!AC735&gt;=3.5,"A-",IF('Data Source'!AC735&gt;=3,"B",IF('Data Source'!AC735&gt;=2,"C",IF('Data Source'!AC735&gt;=1,"D","F")))))))</f>
        <v/>
      </c>
      <c r="L735" s="3">
        <f>IF('Data Source'!B735="","",IF('Data Source'!AD735&gt;=5,"A+",IF('Data Source'!AD735&gt;=4,"A",IF('Data Source'!AD735&gt;=3.5,"A-",IF('Data Source'!AD735&gt;=3,"B",IF('Data Source'!AD735&gt;=2,"C",IF('Data Source'!AD735&gt;=1,"D","F")))))))</f>
        <v/>
      </c>
      <c r="M735" s="3">
        <f>IF('Data Source'!B735="","",IF('Data Source'!AE735&gt;=5,"A+",IF('Data Source'!AE735&gt;=4,"A",IF('Data Source'!AE735&gt;=3.5,"A-",IF('Data Source'!AE735&gt;=3,"B",IF('Data Source'!AE735&gt;=2,"C",IF('Data Source'!AE735&gt;=1,"D","F")))))))</f>
        <v/>
      </c>
      <c r="N735" s="3">
        <f>IF('Data Source'!B735="","",IF('Data Source'!AF735&gt;=5,"A+",IF('Data Source'!AF735&gt;=4,"A",IF('Data Source'!AF735&gt;=3.5,"A-",IF('Data Source'!AF735&gt;=3,"B",IF('Data Source'!AF735&gt;=2,"C",IF('Data Source'!AF735&gt;=1,"D","F")))))))</f>
        <v/>
      </c>
      <c r="O735" s="3">
        <f>IF('Data Source'!B735="","",IF('Data Source'!AG735&gt;=5,"A+",IF('Data Source'!AG735&gt;=4,"A",IF('Data Source'!AG735&gt;=3.5,"A-",IF('Data Source'!AG735&gt;=3,"B",IF('Data Source'!AG735&gt;=2,"C",IF('Data Source'!AG735&gt;=1,"D","F")))))))</f>
        <v/>
      </c>
      <c r="P735" s="5">
        <f>IF('Data Source'!B735="","",'Data Source'!R735)</f>
        <v/>
      </c>
      <c r="Q735" s="3">
        <f>IF('Data Source'!B735="","",'Data Source'!S735)</f>
        <v/>
      </c>
    </row>
    <row r="736">
      <c r="A736" s="3">
        <f>IF('Data Source'!B736="","",'Data Source'!A736)</f>
        <v/>
      </c>
      <c r="B736">
        <f>IF('Data Source'!B736="","",'Data Source'!B736)</f>
        <v/>
      </c>
      <c r="C736" s="3">
        <f>IF('Data Source'!B736="","",IF('Data Source'!U736&gt;=5,"A+",IF('Data Source'!U736&gt;=4,"A",IF('Data Source'!U736&gt;=3.5,"A-",IF('Data Source'!U736&gt;=3,"B",IF('Data Source'!U736&gt;=2,"C",IF('Data Source'!U736&gt;=1,"D","F")))))))</f>
        <v/>
      </c>
      <c r="D736" s="3">
        <f>IF('Data Source'!B736="","",IF('Data Source'!V736&gt;=5,"A+",IF('Data Source'!V736&gt;=4,"A",IF('Data Source'!V736&gt;=3.5,"A-",IF('Data Source'!V736&gt;=3,"B",IF('Data Source'!V736&gt;=2,"C",IF('Data Source'!V736&gt;=1,"D","F")))))))</f>
        <v/>
      </c>
      <c r="E736" s="3">
        <f>IF('Data Source'!B736="","",IF('Data Source'!W736&gt;=5,"A+",IF('Data Source'!W736&gt;=4,"A",IF('Data Source'!W736&gt;=3.5,"A-",IF('Data Source'!W736&gt;=3,"B",IF('Data Source'!W736&gt;=2,"C",IF('Data Source'!W736&gt;=1,"D","F")))))))</f>
        <v/>
      </c>
      <c r="F736" s="3">
        <f>IF('Data Source'!B736="","",IF('Data Source'!X736&gt;=5,"A+",IF('Data Source'!X736&gt;=4,"A",IF('Data Source'!X736&gt;=3.5,"A-",IF('Data Source'!X736&gt;=3,"B",IF('Data Source'!X736&gt;=2,"C",IF('Data Source'!X736&gt;=1,"D","F")))))))</f>
        <v/>
      </c>
      <c r="G736" s="3">
        <f>IF('Data Source'!B736="","",IF('Data Source'!Y736&gt;=5,"A+",IF('Data Source'!Y736&gt;=4,"A",IF('Data Source'!Y736&gt;=3.5,"A-",IF('Data Source'!Y736&gt;=3,"B",IF('Data Source'!Y736&gt;=2,"C",IF('Data Source'!Y736&gt;=1,"D","F")))))))</f>
        <v/>
      </c>
      <c r="H736" s="3">
        <f>IF('Data Source'!B736="","",IF('Data Source'!Z736&gt;=5,"A+",IF('Data Source'!Z736&gt;=4,"A",IF('Data Source'!Z736&gt;=3.5,"A-",IF('Data Source'!Z736&gt;=3,"B",IF('Data Source'!Z736&gt;=2,"C",IF('Data Source'!Z736&gt;=1,"D","F")))))))</f>
        <v/>
      </c>
      <c r="I736" s="3">
        <f>IF('Data Source'!B736="","",IF('Data Source'!AA736&gt;=5,"A+",IF('Data Source'!AA736&gt;=4,"A",IF('Data Source'!AA736&gt;=3.5,"A-",IF('Data Source'!AA736&gt;=3,"B",IF('Data Source'!AA736&gt;=2,"C",IF('Data Source'!AA736&gt;=1,"D","F")))))))</f>
        <v/>
      </c>
      <c r="J736" s="3">
        <f>IF('Data Source'!B736="","",IF('Data Source'!AB736&gt;=5,"A+",IF('Data Source'!AB736&gt;=4,"A",IF('Data Source'!AB736&gt;=3.5,"A-",IF('Data Source'!AB736&gt;=3,"B",IF('Data Source'!AB736&gt;=2,"C",IF('Data Source'!AB736&gt;=1,"D","F")))))))</f>
        <v/>
      </c>
      <c r="K736" s="3">
        <f>IF('Data Source'!B736="","",IF('Data Source'!AC736&gt;=5,"A+",IF('Data Source'!AC736&gt;=4,"A",IF('Data Source'!AC736&gt;=3.5,"A-",IF('Data Source'!AC736&gt;=3,"B",IF('Data Source'!AC736&gt;=2,"C",IF('Data Source'!AC736&gt;=1,"D","F")))))))</f>
        <v/>
      </c>
      <c r="L736" s="3">
        <f>IF('Data Source'!B736="","",IF('Data Source'!AD736&gt;=5,"A+",IF('Data Source'!AD736&gt;=4,"A",IF('Data Source'!AD736&gt;=3.5,"A-",IF('Data Source'!AD736&gt;=3,"B",IF('Data Source'!AD736&gt;=2,"C",IF('Data Source'!AD736&gt;=1,"D","F")))))))</f>
        <v/>
      </c>
      <c r="M736" s="3">
        <f>IF('Data Source'!B736="","",IF('Data Source'!AE736&gt;=5,"A+",IF('Data Source'!AE736&gt;=4,"A",IF('Data Source'!AE736&gt;=3.5,"A-",IF('Data Source'!AE736&gt;=3,"B",IF('Data Source'!AE736&gt;=2,"C",IF('Data Source'!AE736&gt;=1,"D","F")))))))</f>
        <v/>
      </c>
      <c r="N736" s="3">
        <f>IF('Data Source'!B736="","",IF('Data Source'!AF736&gt;=5,"A+",IF('Data Source'!AF736&gt;=4,"A",IF('Data Source'!AF736&gt;=3.5,"A-",IF('Data Source'!AF736&gt;=3,"B",IF('Data Source'!AF736&gt;=2,"C",IF('Data Source'!AF736&gt;=1,"D","F")))))))</f>
        <v/>
      </c>
      <c r="O736" s="3">
        <f>IF('Data Source'!B736="","",IF('Data Source'!AG736&gt;=5,"A+",IF('Data Source'!AG736&gt;=4,"A",IF('Data Source'!AG736&gt;=3.5,"A-",IF('Data Source'!AG736&gt;=3,"B",IF('Data Source'!AG736&gt;=2,"C",IF('Data Source'!AG736&gt;=1,"D","F")))))))</f>
        <v/>
      </c>
      <c r="P736" s="5">
        <f>IF('Data Source'!B736="","",'Data Source'!R736)</f>
        <v/>
      </c>
      <c r="Q736" s="3">
        <f>IF('Data Source'!B736="","",'Data Source'!S736)</f>
        <v/>
      </c>
    </row>
    <row r="737">
      <c r="A737" s="3">
        <f>IF('Data Source'!B737="","",'Data Source'!A737)</f>
        <v/>
      </c>
      <c r="B737">
        <f>IF('Data Source'!B737="","",'Data Source'!B737)</f>
        <v/>
      </c>
      <c r="C737" s="3">
        <f>IF('Data Source'!B737="","",IF('Data Source'!U737&gt;=5,"A+",IF('Data Source'!U737&gt;=4,"A",IF('Data Source'!U737&gt;=3.5,"A-",IF('Data Source'!U737&gt;=3,"B",IF('Data Source'!U737&gt;=2,"C",IF('Data Source'!U737&gt;=1,"D","F")))))))</f>
        <v/>
      </c>
      <c r="D737" s="3">
        <f>IF('Data Source'!B737="","",IF('Data Source'!V737&gt;=5,"A+",IF('Data Source'!V737&gt;=4,"A",IF('Data Source'!V737&gt;=3.5,"A-",IF('Data Source'!V737&gt;=3,"B",IF('Data Source'!V737&gt;=2,"C",IF('Data Source'!V737&gt;=1,"D","F")))))))</f>
        <v/>
      </c>
      <c r="E737" s="3">
        <f>IF('Data Source'!B737="","",IF('Data Source'!W737&gt;=5,"A+",IF('Data Source'!W737&gt;=4,"A",IF('Data Source'!W737&gt;=3.5,"A-",IF('Data Source'!W737&gt;=3,"B",IF('Data Source'!W737&gt;=2,"C",IF('Data Source'!W737&gt;=1,"D","F")))))))</f>
        <v/>
      </c>
      <c r="F737" s="3">
        <f>IF('Data Source'!B737="","",IF('Data Source'!X737&gt;=5,"A+",IF('Data Source'!X737&gt;=4,"A",IF('Data Source'!X737&gt;=3.5,"A-",IF('Data Source'!X737&gt;=3,"B",IF('Data Source'!X737&gt;=2,"C",IF('Data Source'!X737&gt;=1,"D","F")))))))</f>
        <v/>
      </c>
      <c r="G737" s="3">
        <f>IF('Data Source'!B737="","",IF('Data Source'!Y737&gt;=5,"A+",IF('Data Source'!Y737&gt;=4,"A",IF('Data Source'!Y737&gt;=3.5,"A-",IF('Data Source'!Y737&gt;=3,"B",IF('Data Source'!Y737&gt;=2,"C",IF('Data Source'!Y737&gt;=1,"D","F")))))))</f>
        <v/>
      </c>
      <c r="H737" s="3">
        <f>IF('Data Source'!B737="","",IF('Data Source'!Z737&gt;=5,"A+",IF('Data Source'!Z737&gt;=4,"A",IF('Data Source'!Z737&gt;=3.5,"A-",IF('Data Source'!Z737&gt;=3,"B",IF('Data Source'!Z737&gt;=2,"C",IF('Data Source'!Z737&gt;=1,"D","F")))))))</f>
        <v/>
      </c>
      <c r="I737" s="3">
        <f>IF('Data Source'!B737="","",IF('Data Source'!AA737&gt;=5,"A+",IF('Data Source'!AA737&gt;=4,"A",IF('Data Source'!AA737&gt;=3.5,"A-",IF('Data Source'!AA737&gt;=3,"B",IF('Data Source'!AA737&gt;=2,"C",IF('Data Source'!AA737&gt;=1,"D","F")))))))</f>
        <v/>
      </c>
      <c r="J737" s="3">
        <f>IF('Data Source'!B737="","",IF('Data Source'!AB737&gt;=5,"A+",IF('Data Source'!AB737&gt;=4,"A",IF('Data Source'!AB737&gt;=3.5,"A-",IF('Data Source'!AB737&gt;=3,"B",IF('Data Source'!AB737&gt;=2,"C",IF('Data Source'!AB737&gt;=1,"D","F")))))))</f>
        <v/>
      </c>
      <c r="K737" s="3">
        <f>IF('Data Source'!B737="","",IF('Data Source'!AC737&gt;=5,"A+",IF('Data Source'!AC737&gt;=4,"A",IF('Data Source'!AC737&gt;=3.5,"A-",IF('Data Source'!AC737&gt;=3,"B",IF('Data Source'!AC737&gt;=2,"C",IF('Data Source'!AC737&gt;=1,"D","F")))))))</f>
        <v/>
      </c>
      <c r="L737" s="3">
        <f>IF('Data Source'!B737="","",IF('Data Source'!AD737&gt;=5,"A+",IF('Data Source'!AD737&gt;=4,"A",IF('Data Source'!AD737&gt;=3.5,"A-",IF('Data Source'!AD737&gt;=3,"B",IF('Data Source'!AD737&gt;=2,"C",IF('Data Source'!AD737&gt;=1,"D","F")))))))</f>
        <v/>
      </c>
      <c r="M737" s="3">
        <f>IF('Data Source'!B737="","",IF('Data Source'!AE737&gt;=5,"A+",IF('Data Source'!AE737&gt;=4,"A",IF('Data Source'!AE737&gt;=3.5,"A-",IF('Data Source'!AE737&gt;=3,"B",IF('Data Source'!AE737&gt;=2,"C",IF('Data Source'!AE737&gt;=1,"D","F")))))))</f>
        <v/>
      </c>
      <c r="N737" s="3">
        <f>IF('Data Source'!B737="","",IF('Data Source'!AF737&gt;=5,"A+",IF('Data Source'!AF737&gt;=4,"A",IF('Data Source'!AF737&gt;=3.5,"A-",IF('Data Source'!AF737&gt;=3,"B",IF('Data Source'!AF737&gt;=2,"C",IF('Data Source'!AF737&gt;=1,"D","F")))))))</f>
        <v/>
      </c>
      <c r="O737" s="3">
        <f>IF('Data Source'!B737="","",IF('Data Source'!AG737&gt;=5,"A+",IF('Data Source'!AG737&gt;=4,"A",IF('Data Source'!AG737&gt;=3.5,"A-",IF('Data Source'!AG737&gt;=3,"B",IF('Data Source'!AG737&gt;=2,"C",IF('Data Source'!AG737&gt;=1,"D","F")))))))</f>
        <v/>
      </c>
      <c r="P737" s="5">
        <f>IF('Data Source'!B737="","",'Data Source'!R737)</f>
        <v/>
      </c>
      <c r="Q737" s="3">
        <f>IF('Data Source'!B737="","",'Data Source'!S737)</f>
        <v/>
      </c>
    </row>
    <row r="738">
      <c r="A738" s="3">
        <f>IF('Data Source'!B738="","",'Data Source'!A738)</f>
        <v/>
      </c>
      <c r="B738">
        <f>IF('Data Source'!B738="","",'Data Source'!B738)</f>
        <v/>
      </c>
      <c r="C738" s="3">
        <f>IF('Data Source'!B738="","",IF('Data Source'!U738&gt;=5,"A+",IF('Data Source'!U738&gt;=4,"A",IF('Data Source'!U738&gt;=3.5,"A-",IF('Data Source'!U738&gt;=3,"B",IF('Data Source'!U738&gt;=2,"C",IF('Data Source'!U738&gt;=1,"D","F")))))))</f>
        <v/>
      </c>
      <c r="D738" s="3">
        <f>IF('Data Source'!B738="","",IF('Data Source'!V738&gt;=5,"A+",IF('Data Source'!V738&gt;=4,"A",IF('Data Source'!V738&gt;=3.5,"A-",IF('Data Source'!V738&gt;=3,"B",IF('Data Source'!V738&gt;=2,"C",IF('Data Source'!V738&gt;=1,"D","F")))))))</f>
        <v/>
      </c>
      <c r="E738" s="3">
        <f>IF('Data Source'!B738="","",IF('Data Source'!W738&gt;=5,"A+",IF('Data Source'!W738&gt;=4,"A",IF('Data Source'!W738&gt;=3.5,"A-",IF('Data Source'!W738&gt;=3,"B",IF('Data Source'!W738&gt;=2,"C",IF('Data Source'!W738&gt;=1,"D","F")))))))</f>
        <v/>
      </c>
      <c r="F738" s="3">
        <f>IF('Data Source'!B738="","",IF('Data Source'!X738&gt;=5,"A+",IF('Data Source'!X738&gt;=4,"A",IF('Data Source'!X738&gt;=3.5,"A-",IF('Data Source'!X738&gt;=3,"B",IF('Data Source'!X738&gt;=2,"C",IF('Data Source'!X738&gt;=1,"D","F")))))))</f>
        <v/>
      </c>
      <c r="G738" s="3">
        <f>IF('Data Source'!B738="","",IF('Data Source'!Y738&gt;=5,"A+",IF('Data Source'!Y738&gt;=4,"A",IF('Data Source'!Y738&gt;=3.5,"A-",IF('Data Source'!Y738&gt;=3,"B",IF('Data Source'!Y738&gt;=2,"C",IF('Data Source'!Y738&gt;=1,"D","F")))))))</f>
        <v/>
      </c>
      <c r="H738" s="3">
        <f>IF('Data Source'!B738="","",IF('Data Source'!Z738&gt;=5,"A+",IF('Data Source'!Z738&gt;=4,"A",IF('Data Source'!Z738&gt;=3.5,"A-",IF('Data Source'!Z738&gt;=3,"B",IF('Data Source'!Z738&gt;=2,"C",IF('Data Source'!Z738&gt;=1,"D","F")))))))</f>
        <v/>
      </c>
      <c r="I738" s="3">
        <f>IF('Data Source'!B738="","",IF('Data Source'!AA738&gt;=5,"A+",IF('Data Source'!AA738&gt;=4,"A",IF('Data Source'!AA738&gt;=3.5,"A-",IF('Data Source'!AA738&gt;=3,"B",IF('Data Source'!AA738&gt;=2,"C",IF('Data Source'!AA738&gt;=1,"D","F")))))))</f>
        <v/>
      </c>
      <c r="J738" s="3">
        <f>IF('Data Source'!B738="","",IF('Data Source'!AB738&gt;=5,"A+",IF('Data Source'!AB738&gt;=4,"A",IF('Data Source'!AB738&gt;=3.5,"A-",IF('Data Source'!AB738&gt;=3,"B",IF('Data Source'!AB738&gt;=2,"C",IF('Data Source'!AB738&gt;=1,"D","F")))))))</f>
        <v/>
      </c>
      <c r="K738" s="3">
        <f>IF('Data Source'!B738="","",IF('Data Source'!AC738&gt;=5,"A+",IF('Data Source'!AC738&gt;=4,"A",IF('Data Source'!AC738&gt;=3.5,"A-",IF('Data Source'!AC738&gt;=3,"B",IF('Data Source'!AC738&gt;=2,"C",IF('Data Source'!AC738&gt;=1,"D","F")))))))</f>
        <v/>
      </c>
      <c r="L738" s="3">
        <f>IF('Data Source'!B738="","",IF('Data Source'!AD738&gt;=5,"A+",IF('Data Source'!AD738&gt;=4,"A",IF('Data Source'!AD738&gt;=3.5,"A-",IF('Data Source'!AD738&gt;=3,"B",IF('Data Source'!AD738&gt;=2,"C",IF('Data Source'!AD738&gt;=1,"D","F")))))))</f>
        <v/>
      </c>
      <c r="M738" s="3">
        <f>IF('Data Source'!B738="","",IF('Data Source'!AE738&gt;=5,"A+",IF('Data Source'!AE738&gt;=4,"A",IF('Data Source'!AE738&gt;=3.5,"A-",IF('Data Source'!AE738&gt;=3,"B",IF('Data Source'!AE738&gt;=2,"C",IF('Data Source'!AE738&gt;=1,"D","F")))))))</f>
        <v/>
      </c>
      <c r="N738" s="3">
        <f>IF('Data Source'!B738="","",IF('Data Source'!AF738&gt;=5,"A+",IF('Data Source'!AF738&gt;=4,"A",IF('Data Source'!AF738&gt;=3.5,"A-",IF('Data Source'!AF738&gt;=3,"B",IF('Data Source'!AF738&gt;=2,"C",IF('Data Source'!AF738&gt;=1,"D","F")))))))</f>
        <v/>
      </c>
      <c r="O738" s="3">
        <f>IF('Data Source'!B738="","",IF('Data Source'!AG738&gt;=5,"A+",IF('Data Source'!AG738&gt;=4,"A",IF('Data Source'!AG738&gt;=3.5,"A-",IF('Data Source'!AG738&gt;=3,"B",IF('Data Source'!AG738&gt;=2,"C",IF('Data Source'!AG738&gt;=1,"D","F")))))))</f>
        <v/>
      </c>
      <c r="P738" s="5">
        <f>IF('Data Source'!B738="","",'Data Source'!R738)</f>
        <v/>
      </c>
      <c r="Q738" s="3">
        <f>IF('Data Source'!B738="","",'Data Source'!S738)</f>
        <v/>
      </c>
    </row>
    <row r="739">
      <c r="A739" s="3">
        <f>IF('Data Source'!B739="","",'Data Source'!A739)</f>
        <v/>
      </c>
      <c r="B739">
        <f>IF('Data Source'!B739="","",'Data Source'!B739)</f>
        <v/>
      </c>
      <c r="C739" s="3">
        <f>IF('Data Source'!B739="","",IF('Data Source'!U739&gt;=5,"A+",IF('Data Source'!U739&gt;=4,"A",IF('Data Source'!U739&gt;=3.5,"A-",IF('Data Source'!U739&gt;=3,"B",IF('Data Source'!U739&gt;=2,"C",IF('Data Source'!U739&gt;=1,"D","F")))))))</f>
        <v/>
      </c>
      <c r="D739" s="3">
        <f>IF('Data Source'!B739="","",IF('Data Source'!V739&gt;=5,"A+",IF('Data Source'!V739&gt;=4,"A",IF('Data Source'!V739&gt;=3.5,"A-",IF('Data Source'!V739&gt;=3,"B",IF('Data Source'!V739&gt;=2,"C",IF('Data Source'!V739&gt;=1,"D","F")))))))</f>
        <v/>
      </c>
      <c r="E739" s="3">
        <f>IF('Data Source'!B739="","",IF('Data Source'!W739&gt;=5,"A+",IF('Data Source'!W739&gt;=4,"A",IF('Data Source'!W739&gt;=3.5,"A-",IF('Data Source'!W739&gt;=3,"B",IF('Data Source'!W739&gt;=2,"C",IF('Data Source'!W739&gt;=1,"D","F")))))))</f>
        <v/>
      </c>
      <c r="F739" s="3">
        <f>IF('Data Source'!B739="","",IF('Data Source'!X739&gt;=5,"A+",IF('Data Source'!X739&gt;=4,"A",IF('Data Source'!X739&gt;=3.5,"A-",IF('Data Source'!X739&gt;=3,"B",IF('Data Source'!X739&gt;=2,"C",IF('Data Source'!X739&gt;=1,"D","F")))))))</f>
        <v/>
      </c>
      <c r="G739" s="3">
        <f>IF('Data Source'!B739="","",IF('Data Source'!Y739&gt;=5,"A+",IF('Data Source'!Y739&gt;=4,"A",IF('Data Source'!Y739&gt;=3.5,"A-",IF('Data Source'!Y739&gt;=3,"B",IF('Data Source'!Y739&gt;=2,"C",IF('Data Source'!Y739&gt;=1,"D","F")))))))</f>
        <v/>
      </c>
      <c r="H739" s="3">
        <f>IF('Data Source'!B739="","",IF('Data Source'!Z739&gt;=5,"A+",IF('Data Source'!Z739&gt;=4,"A",IF('Data Source'!Z739&gt;=3.5,"A-",IF('Data Source'!Z739&gt;=3,"B",IF('Data Source'!Z739&gt;=2,"C",IF('Data Source'!Z739&gt;=1,"D","F")))))))</f>
        <v/>
      </c>
      <c r="I739" s="3">
        <f>IF('Data Source'!B739="","",IF('Data Source'!AA739&gt;=5,"A+",IF('Data Source'!AA739&gt;=4,"A",IF('Data Source'!AA739&gt;=3.5,"A-",IF('Data Source'!AA739&gt;=3,"B",IF('Data Source'!AA739&gt;=2,"C",IF('Data Source'!AA739&gt;=1,"D","F")))))))</f>
        <v/>
      </c>
      <c r="J739" s="3">
        <f>IF('Data Source'!B739="","",IF('Data Source'!AB739&gt;=5,"A+",IF('Data Source'!AB739&gt;=4,"A",IF('Data Source'!AB739&gt;=3.5,"A-",IF('Data Source'!AB739&gt;=3,"B",IF('Data Source'!AB739&gt;=2,"C",IF('Data Source'!AB739&gt;=1,"D","F")))))))</f>
        <v/>
      </c>
      <c r="K739" s="3">
        <f>IF('Data Source'!B739="","",IF('Data Source'!AC739&gt;=5,"A+",IF('Data Source'!AC739&gt;=4,"A",IF('Data Source'!AC739&gt;=3.5,"A-",IF('Data Source'!AC739&gt;=3,"B",IF('Data Source'!AC739&gt;=2,"C",IF('Data Source'!AC739&gt;=1,"D","F")))))))</f>
        <v/>
      </c>
      <c r="L739" s="3">
        <f>IF('Data Source'!B739="","",IF('Data Source'!AD739&gt;=5,"A+",IF('Data Source'!AD739&gt;=4,"A",IF('Data Source'!AD739&gt;=3.5,"A-",IF('Data Source'!AD739&gt;=3,"B",IF('Data Source'!AD739&gt;=2,"C",IF('Data Source'!AD739&gt;=1,"D","F")))))))</f>
        <v/>
      </c>
      <c r="M739" s="3">
        <f>IF('Data Source'!B739="","",IF('Data Source'!AE739&gt;=5,"A+",IF('Data Source'!AE739&gt;=4,"A",IF('Data Source'!AE739&gt;=3.5,"A-",IF('Data Source'!AE739&gt;=3,"B",IF('Data Source'!AE739&gt;=2,"C",IF('Data Source'!AE739&gt;=1,"D","F")))))))</f>
        <v/>
      </c>
      <c r="N739" s="3">
        <f>IF('Data Source'!B739="","",IF('Data Source'!AF739&gt;=5,"A+",IF('Data Source'!AF739&gt;=4,"A",IF('Data Source'!AF739&gt;=3.5,"A-",IF('Data Source'!AF739&gt;=3,"B",IF('Data Source'!AF739&gt;=2,"C",IF('Data Source'!AF739&gt;=1,"D","F")))))))</f>
        <v/>
      </c>
      <c r="O739" s="3">
        <f>IF('Data Source'!B739="","",IF('Data Source'!AG739&gt;=5,"A+",IF('Data Source'!AG739&gt;=4,"A",IF('Data Source'!AG739&gt;=3.5,"A-",IF('Data Source'!AG739&gt;=3,"B",IF('Data Source'!AG739&gt;=2,"C",IF('Data Source'!AG739&gt;=1,"D","F")))))))</f>
        <v/>
      </c>
      <c r="P739" s="5">
        <f>IF('Data Source'!B739="","",'Data Source'!R739)</f>
        <v/>
      </c>
      <c r="Q739" s="3">
        <f>IF('Data Source'!B739="","",'Data Source'!S739)</f>
        <v/>
      </c>
    </row>
    <row r="740">
      <c r="A740" s="3">
        <f>IF('Data Source'!B740="","",'Data Source'!A740)</f>
        <v/>
      </c>
      <c r="B740">
        <f>IF('Data Source'!B740="","",'Data Source'!B740)</f>
        <v/>
      </c>
      <c r="C740" s="3">
        <f>IF('Data Source'!B740="","",IF('Data Source'!U740&gt;=5,"A+",IF('Data Source'!U740&gt;=4,"A",IF('Data Source'!U740&gt;=3.5,"A-",IF('Data Source'!U740&gt;=3,"B",IF('Data Source'!U740&gt;=2,"C",IF('Data Source'!U740&gt;=1,"D","F")))))))</f>
        <v/>
      </c>
      <c r="D740" s="3">
        <f>IF('Data Source'!B740="","",IF('Data Source'!V740&gt;=5,"A+",IF('Data Source'!V740&gt;=4,"A",IF('Data Source'!V740&gt;=3.5,"A-",IF('Data Source'!V740&gt;=3,"B",IF('Data Source'!V740&gt;=2,"C",IF('Data Source'!V740&gt;=1,"D","F")))))))</f>
        <v/>
      </c>
      <c r="E740" s="3">
        <f>IF('Data Source'!B740="","",IF('Data Source'!W740&gt;=5,"A+",IF('Data Source'!W740&gt;=4,"A",IF('Data Source'!W740&gt;=3.5,"A-",IF('Data Source'!W740&gt;=3,"B",IF('Data Source'!W740&gt;=2,"C",IF('Data Source'!W740&gt;=1,"D","F")))))))</f>
        <v/>
      </c>
      <c r="F740" s="3">
        <f>IF('Data Source'!B740="","",IF('Data Source'!X740&gt;=5,"A+",IF('Data Source'!X740&gt;=4,"A",IF('Data Source'!X740&gt;=3.5,"A-",IF('Data Source'!X740&gt;=3,"B",IF('Data Source'!X740&gt;=2,"C",IF('Data Source'!X740&gt;=1,"D","F")))))))</f>
        <v/>
      </c>
      <c r="G740" s="3">
        <f>IF('Data Source'!B740="","",IF('Data Source'!Y740&gt;=5,"A+",IF('Data Source'!Y740&gt;=4,"A",IF('Data Source'!Y740&gt;=3.5,"A-",IF('Data Source'!Y740&gt;=3,"B",IF('Data Source'!Y740&gt;=2,"C",IF('Data Source'!Y740&gt;=1,"D","F")))))))</f>
        <v/>
      </c>
      <c r="H740" s="3">
        <f>IF('Data Source'!B740="","",IF('Data Source'!Z740&gt;=5,"A+",IF('Data Source'!Z740&gt;=4,"A",IF('Data Source'!Z740&gt;=3.5,"A-",IF('Data Source'!Z740&gt;=3,"B",IF('Data Source'!Z740&gt;=2,"C",IF('Data Source'!Z740&gt;=1,"D","F")))))))</f>
        <v/>
      </c>
      <c r="I740" s="3">
        <f>IF('Data Source'!B740="","",IF('Data Source'!AA740&gt;=5,"A+",IF('Data Source'!AA740&gt;=4,"A",IF('Data Source'!AA740&gt;=3.5,"A-",IF('Data Source'!AA740&gt;=3,"B",IF('Data Source'!AA740&gt;=2,"C",IF('Data Source'!AA740&gt;=1,"D","F")))))))</f>
        <v/>
      </c>
      <c r="J740" s="3">
        <f>IF('Data Source'!B740="","",IF('Data Source'!AB740&gt;=5,"A+",IF('Data Source'!AB740&gt;=4,"A",IF('Data Source'!AB740&gt;=3.5,"A-",IF('Data Source'!AB740&gt;=3,"B",IF('Data Source'!AB740&gt;=2,"C",IF('Data Source'!AB740&gt;=1,"D","F")))))))</f>
        <v/>
      </c>
      <c r="K740" s="3">
        <f>IF('Data Source'!B740="","",IF('Data Source'!AC740&gt;=5,"A+",IF('Data Source'!AC740&gt;=4,"A",IF('Data Source'!AC740&gt;=3.5,"A-",IF('Data Source'!AC740&gt;=3,"B",IF('Data Source'!AC740&gt;=2,"C",IF('Data Source'!AC740&gt;=1,"D","F")))))))</f>
        <v/>
      </c>
      <c r="L740" s="3">
        <f>IF('Data Source'!B740="","",IF('Data Source'!AD740&gt;=5,"A+",IF('Data Source'!AD740&gt;=4,"A",IF('Data Source'!AD740&gt;=3.5,"A-",IF('Data Source'!AD740&gt;=3,"B",IF('Data Source'!AD740&gt;=2,"C",IF('Data Source'!AD740&gt;=1,"D","F")))))))</f>
        <v/>
      </c>
      <c r="M740" s="3">
        <f>IF('Data Source'!B740="","",IF('Data Source'!AE740&gt;=5,"A+",IF('Data Source'!AE740&gt;=4,"A",IF('Data Source'!AE740&gt;=3.5,"A-",IF('Data Source'!AE740&gt;=3,"B",IF('Data Source'!AE740&gt;=2,"C",IF('Data Source'!AE740&gt;=1,"D","F")))))))</f>
        <v/>
      </c>
      <c r="N740" s="3">
        <f>IF('Data Source'!B740="","",IF('Data Source'!AF740&gt;=5,"A+",IF('Data Source'!AF740&gt;=4,"A",IF('Data Source'!AF740&gt;=3.5,"A-",IF('Data Source'!AF740&gt;=3,"B",IF('Data Source'!AF740&gt;=2,"C",IF('Data Source'!AF740&gt;=1,"D","F")))))))</f>
        <v/>
      </c>
      <c r="O740" s="3">
        <f>IF('Data Source'!B740="","",IF('Data Source'!AG740&gt;=5,"A+",IF('Data Source'!AG740&gt;=4,"A",IF('Data Source'!AG740&gt;=3.5,"A-",IF('Data Source'!AG740&gt;=3,"B",IF('Data Source'!AG740&gt;=2,"C",IF('Data Source'!AG740&gt;=1,"D","F")))))))</f>
        <v/>
      </c>
      <c r="P740" s="5">
        <f>IF('Data Source'!B740="","",'Data Source'!R740)</f>
        <v/>
      </c>
      <c r="Q740" s="3">
        <f>IF('Data Source'!B740="","",'Data Source'!S740)</f>
        <v/>
      </c>
    </row>
    <row r="741">
      <c r="A741" s="3">
        <f>IF('Data Source'!B741="","",'Data Source'!A741)</f>
        <v/>
      </c>
      <c r="B741">
        <f>IF('Data Source'!B741="","",'Data Source'!B741)</f>
        <v/>
      </c>
      <c r="C741" s="3">
        <f>IF('Data Source'!B741="","",IF('Data Source'!U741&gt;=5,"A+",IF('Data Source'!U741&gt;=4,"A",IF('Data Source'!U741&gt;=3.5,"A-",IF('Data Source'!U741&gt;=3,"B",IF('Data Source'!U741&gt;=2,"C",IF('Data Source'!U741&gt;=1,"D","F")))))))</f>
        <v/>
      </c>
      <c r="D741" s="3">
        <f>IF('Data Source'!B741="","",IF('Data Source'!V741&gt;=5,"A+",IF('Data Source'!V741&gt;=4,"A",IF('Data Source'!V741&gt;=3.5,"A-",IF('Data Source'!V741&gt;=3,"B",IF('Data Source'!V741&gt;=2,"C",IF('Data Source'!V741&gt;=1,"D","F")))))))</f>
        <v/>
      </c>
      <c r="E741" s="3">
        <f>IF('Data Source'!B741="","",IF('Data Source'!W741&gt;=5,"A+",IF('Data Source'!W741&gt;=4,"A",IF('Data Source'!W741&gt;=3.5,"A-",IF('Data Source'!W741&gt;=3,"B",IF('Data Source'!W741&gt;=2,"C",IF('Data Source'!W741&gt;=1,"D","F")))))))</f>
        <v/>
      </c>
      <c r="F741" s="3">
        <f>IF('Data Source'!B741="","",IF('Data Source'!X741&gt;=5,"A+",IF('Data Source'!X741&gt;=4,"A",IF('Data Source'!X741&gt;=3.5,"A-",IF('Data Source'!X741&gt;=3,"B",IF('Data Source'!X741&gt;=2,"C",IF('Data Source'!X741&gt;=1,"D","F")))))))</f>
        <v/>
      </c>
      <c r="G741" s="3">
        <f>IF('Data Source'!B741="","",IF('Data Source'!Y741&gt;=5,"A+",IF('Data Source'!Y741&gt;=4,"A",IF('Data Source'!Y741&gt;=3.5,"A-",IF('Data Source'!Y741&gt;=3,"B",IF('Data Source'!Y741&gt;=2,"C",IF('Data Source'!Y741&gt;=1,"D","F")))))))</f>
        <v/>
      </c>
      <c r="H741" s="3">
        <f>IF('Data Source'!B741="","",IF('Data Source'!Z741&gt;=5,"A+",IF('Data Source'!Z741&gt;=4,"A",IF('Data Source'!Z741&gt;=3.5,"A-",IF('Data Source'!Z741&gt;=3,"B",IF('Data Source'!Z741&gt;=2,"C",IF('Data Source'!Z741&gt;=1,"D","F")))))))</f>
        <v/>
      </c>
      <c r="I741" s="3">
        <f>IF('Data Source'!B741="","",IF('Data Source'!AA741&gt;=5,"A+",IF('Data Source'!AA741&gt;=4,"A",IF('Data Source'!AA741&gt;=3.5,"A-",IF('Data Source'!AA741&gt;=3,"B",IF('Data Source'!AA741&gt;=2,"C",IF('Data Source'!AA741&gt;=1,"D","F")))))))</f>
        <v/>
      </c>
      <c r="J741" s="3">
        <f>IF('Data Source'!B741="","",IF('Data Source'!AB741&gt;=5,"A+",IF('Data Source'!AB741&gt;=4,"A",IF('Data Source'!AB741&gt;=3.5,"A-",IF('Data Source'!AB741&gt;=3,"B",IF('Data Source'!AB741&gt;=2,"C",IF('Data Source'!AB741&gt;=1,"D","F")))))))</f>
        <v/>
      </c>
      <c r="K741" s="3">
        <f>IF('Data Source'!B741="","",IF('Data Source'!AC741&gt;=5,"A+",IF('Data Source'!AC741&gt;=4,"A",IF('Data Source'!AC741&gt;=3.5,"A-",IF('Data Source'!AC741&gt;=3,"B",IF('Data Source'!AC741&gt;=2,"C",IF('Data Source'!AC741&gt;=1,"D","F")))))))</f>
        <v/>
      </c>
      <c r="L741" s="3">
        <f>IF('Data Source'!B741="","",IF('Data Source'!AD741&gt;=5,"A+",IF('Data Source'!AD741&gt;=4,"A",IF('Data Source'!AD741&gt;=3.5,"A-",IF('Data Source'!AD741&gt;=3,"B",IF('Data Source'!AD741&gt;=2,"C",IF('Data Source'!AD741&gt;=1,"D","F")))))))</f>
        <v/>
      </c>
      <c r="M741" s="3">
        <f>IF('Data Source'!B741="","",IF('Data Source'!AE741&gt;=5,"A+",IF('Data Source'!AE741&gt;=4,"A",IF('Data Source'!AE741&gt;=3.5,"A-",IF('Data Source'!AE741&gt;=3,"B",IF('Data Source'!AE741&gt;=2,"C",IF('Data Source'!AE741&gt;=1,"D","F")))))))</f>
        <v/>
      </c>
      <c r="N741" s="3">
        <f>IF('Data Source'!B741="","",IF('Data Source'!AF741&gt;=5,"A+",IF('Data Source'!AF741&gt;=4,"A",IF('Data Source'!AF741&gt;=3.5,"A-",IF('Data Source'!AF741&gt;=3,"B",IF('Data Source'!AF741&gt;=2,"C",IF('Data Source'!AF741&gt;=1,"D","F")))))))</f>
        <v/>
      </c>
      <c r="O741" s="3">
        <f>IF('Data Source'!B741="","",IF('Data Source'!AG741&gt;=5,"A+",IF('Data Source'!AG741&gt;=4,"A",IF('Data Source'!AG741&gt;=3.5,"A-",IF('Data Source'!AG741&gt;=3,"B",IF('Data Source'!AG741&gt;=2,"C",IF('Data Source'!AG741&gt;=1,"D","F")))))))</f>
        <v/>
      </c>
      <c r="P741" s="5">
        <f>IF('Data Source'!B741="","",'Data Source'!R741)</f>
        <v/>
      </c>
      <c r="Q741" s="3">
        <f>IF('Data Source'!B741="","",'Data Source'!S741)</f>
        <v/>
      </c>
    </row>
    <row r="742">
      <c r="A742" s="3">
        <f>IF('Data Source'!B742="","",'Data Source'!A742)</f>
        <v/>
      </c>
      <c r="B742">
        <f>IF('Data Source'!B742="","",'Data Source'!B742)</f>
        <v/>
      </c>
      <c r="C742" s="3">
        <f>IF('Data Source'!B742="","",IF('Data Source'!U742&gt;=5,"A+",IF('Data Source'!U742&gt;=4,"A",IF('Data Source'!U742&gt;=3.5,"A-",IF('Data Source'!U742&gt;=3,"B",IF('Data Source'!U742&gt;=2,"C",IF('Data Source'!U742&gt;=1,"D","F")))))))</f>
        <v/>
      </c>
      <c r="D742" s="3">
        <f>IF('Data Source'!B742="","",IF('Data Source'!V742&gt;=5,"A+",IF('Data Source'!V742&gt;=4,"A",IF('Data Source'!V742&gt;=3.5,"A-",IF('Data Source'!V742&gt;=3,"B",IF('Data Source'!V742&gt;=2,"C",IF('Data Source'!V742&gt;=1,"D","F")))))))</f>
        <v/>
      </c>
      <c r="E742" s="3">
        <f>IF('Data Source'!B742="","",IF('Data Source'!W742&gt;=5,"A+",IF('Data Source'!W742&gt;=4,"A",IF('Data Source'!W742&gt;=3.5,"A-",IF('Data Source'!W742&gt;=3,"B",IF('Data Source'!W742&gt;=2,"C",IF('Data Source'!W742&gt;=1,"D","F")))))))</f>
        <v/>
      </c>
      <c r="F742" s="3">
        <f>IF('Data Source'!B742="","",IF('Data Source'!X742&gt;=5,"A+",IF('Data Source'!X742&gt;=4,"A",IF('Data Source'!X742&gt;=3.5,"A-",IF('Data Source'!X742&gt;=3,"B",IF('Data Source'!X742&gt;=2,"C",IF('Data Source'!X742&gt;=1,"D","F")))))))</f>
        <v/>
      </c>
      <c r="G742" s="3">
        <f>IF('Data Source'!B742="","",IF('Data Source'!Y742&gt;=5,"A+",IF('Data Source'!Y742&gt;=4,"A",IF('Data Source'!Y742&gt;=3.5,"A-",IF('Data Source'!Y742&gt;=3,"B",IF('Data Source'!Y742&gt;=2,"C",IF('Data Source'!Y742&gt;=1,"D","F")))))))</f>
        <v/>
      </c>
      <c r="H742" s="3">
        <f>IF('Data Source'!B742="","",IF('Data Source'!Z742&gt;=5,"A+",IF('Data Source'!Z742&gt;=4,"A",IF('Data Source'!Z742&gt;=3.5,"A-",IF('Data Source'!Z742&gt;=3,"B",IF('Data Source'!Z742&gt;=2,"C",IF('Data Source'!Z742&gt;=1,"D","F")))))))</f>
        <v/>
      </c>
      <c r="I742" s="3">
        <f>IF('Data Source'!B742="","",IF('Data Source'!AA742&gt;=5,"A+",IF('Data Source'!AA742&gt;=4,"A",IF('Data Source'!AA742&gt;=3.5,"A-",IF('Data Source'!AA742&gt;=3,"B",IF('Data Source'!AA742&gt;=2,"C",IF('Data Source'!AA742&gt;=1,"D","F")))))))</f>
        <v/>
      </c>
      <c r="J742" s="3">
        <f>IF('Data Source'!B742="","",IF('Data Source'!AB742&gt;=5,"A+",IF('Data Source'!AB742&gt;=4,"A",IF('Data Source'!AB742&gt;=3.5,"A-",IF('Data Source'!AB742&gt;=3,"B",IF('Data Source'!AB742&gt;=2,"C",IF('Data Source'!AB742&gt;=1,"D","F")))))))</f>
        <v/>
      </c>
      <c r="K742" s="3">
        <f>IF('Data Source'!B742="","",IF('Data Source'!AC742&gt;=5,"A+",IF('Data Source'!AC742&gt;=4,"A",IF('Data Source'!AC742&gt;=3.5,"A-",IF('Data Source'!AC742&gt;=3,"B",IF('Data Source'!AC742&gt;=2,"C",IF('Data Source'!AC742&gt;=1,"D","F")))))))</f>
        <v/>
      </c>
      <c r="L742" s="3">
        <f>IF('Data Source'!B742="","",IF('Data Source'!AD742&gt;=5,"A+",IF('Data Source'!AD742&gt;=4,"A",IF('Data Source'!AD742&gt;=3.5,"A-",IF('Data Source'!AD742&gt;=3,"B",IF('Data Source'!AD742&gt;=2,"C",IF('Data Source'!AD742&gt;=1,"D","F")))))))</f>
        <v/>
      </c>
      <c r="M742" s="3">
        <f>IF('Data Source'!B742="","",IF('Data Source'!AE742&gt;=5,"A+",IF('Data Source'!AE742&gt;=4,"A",IF('Data Source'!AE742&gt;=3.5,"A-",IF('Data Source'!AE742&gt;=3,"B",IF('Data Source'!AE742&gt;=2,"C",IF('Data Source'!AE742&gt;=1,"D","F")))))))</f>
        <v/>
      </c>
      <c r="N742" s="3">
        <f>IF('Data Source'!B742="","",IF('Data Source'!AF742&gt;=5,"A+",IF('Data Source'!AF742&gt;=4,"A",IF('Data Source'!AF742&gt;=3.5,"A-",IF('Data Source'!AF742&gt;=3,"B",IF('Data Source'!AF742&gt;=2,"C",IF('Data Source'!AF742&gt;=1,"D","F")))))))</f>
        <v/>
      </c>
      <c r="O742" s="3">
        <f>IF('Data Source'!B742="","",IF('Data Source'!AG742&gt;=5,"A+",IF('Data Source'!AG742&gt;=4,"A",IF('Data Source'!AG742&gt;=3.5,"A-",IF('Data Source'!AG742&gt;=3,"B",IF('Data Source'!AG742&gt;=2,"C",IF('Data Source'!AG742&gt;=1,"D","F")))))))</f>
        <v/>
      </c>
      <c r="P742" s="5">
        <f>IF('Data Source'!B742="","",'Data Source'!R742)</f>
        <v/>
      </c>
      <c r="Q742" s="3">
        <f>IF('Data Source'!B742="","",'Data Source'!S742)</f>
        <v/>
      </c>
    </row>
    <row r="743">
      <c r="A743" s="3">
        <f>IF('Data Source'!B743="","",'Data Source'!A743)</f>
        <v/>
      </c>
      <c r="B743">
        <f>IF('Data Source'!B743="","",'Data Source'!B743)</f>
        <v/>
      </c>
      <c r="C743" s="3">
        <f>IF('Data Source'!B743="","",IF('Data Source'!U743&gt;=5,"A+",IF('Data Source'!U743&gt;=4,"A",IF('Data Source'!U743&gt;=3.5,"A-",IF('Data Source'!U743&gt;=3,"B",IF('Data Source'!U743&gt;=2,"C",IF('Data Source'!U743&gt;=1,"D","F")))))))</f>
        <v/>
      </c>
      <c r="D743" s="3">
        <f>IF('Data Source'!B743="","",IF('Data Source'!V743&gt;=5,"A+",IF('Data Source'!V743&gt;=4,"A",IF('Data Source'!V743&gt;=3.5,"A-",IF('Data Source'!V743&gt;=3,"B",IF('Data Source'!V743&gt;=2,"C",IF('Data Source'!V743&gt;=1,"D","F")))))))</f>
        <v/>
      </c>
      <c r="E743" s="3">
        <f>IF('Data Source'!B743="","",IF('Data Source'!W743&gt;=5,"A+",IF('Data Source'!W743&gt;=4,"A",IF('Data Source'!W743&gt;=3.5,"A-",IF('Data Source'!W743&gt;=3,"B",IF('Data Source'!W743&gt;=2,"C",IF('Data Source'!W743&gt;=1,"D","F")))))))</f>
        <v/>
      </c>
      <c r="F743" s="3">
        <f>IF('Data Source'!B743="","",IF('Data Source'!X743&gt;=5,"A+",IF('Data Source'!X743&gt;=4,"A",IF('Data Source'!X743&gt;=3.5,"A-",IF('Data Source'!X743&gt;=3,"B",IF('Data Source'!X743&gt;=2,"C",IF('Data Source'!X743&gt;=1,"D","F")))))))</f>
        <v/>
      </c>
      <c r="G743" s="3">
        <f>IF('Data Source'!B743="","",IF('Data Source'!Y743&gt;=5,"A+",IF('Data Source'!Y743&gt;=4,"A",IF('Data Source'!Y743&gt;=3.5,"A-",IF('Data Source'!Y743&gt;=3,"B",IF('Data Source'!Y743&gt;=2,"C",IF('Data Source'!Y743&gt;=1,"D","F")))))))</f>
        <v/>
      </c>
      <c r="H743" s="3">
        <f>IF('Data Source'!B743="","",IF('Data Source'!Z743&gt;=5,"A+",IF('Data Source'!Z743&gt;=4,"A",IF('Data Source'!Z743&gt;=3.5,"A-",IF('Data Source'!Z743&gt;=3,"B",IF('Data Source'!Z743&gt;=2,"C",IF('Data Source'!Z743&gt;=1,"D","F")))))))</f>
        <v/>
      </c>
      <c r="I743" s="3">
        <f>IF('Data Source'!B743="","",IF('Data Source'!AA743&gt;=5,"A+",IF('Data Source'!AA743&gt;=4,"A",IF('Data Source'!AA743&gt;=3.5,"A-",IF('Data Source'!AA743&gt;=3,"B",IF('Data Source'!AA743&gt;=2,"C",IF('Data Source'!AA743&gt;=1,"D","F")))))))</f>
        <v/>
      </c>
      <c r="J743" s="3">
        <f>IF('Data Source'!B743="","",IF('Data Source'!AB743&gt;=5,"A+",IF('Data Source'!AB743&gt;=4,"A",IF('Data Source'!AB743&gt;=3.5,"A-",IF('Data Source'!AB743&gt;=3,"B",IF('Data Source'!AB743&gt;=2,"C",IF('Data Source'!AB743&gt;=1,"D","F")))))))</f>
        <v/>
      </c>
      <c r="K743" s="3">
        <f>IF('Data Source'!B743="","",IF('Data Source'!AC743&gt;=5,"A+",IF('Data Source'!AC743&gt;=4,"A",IF('Data Source'!AC743&gt;=3.5,"A-",IF('Data Source'!AC743&gt;=3,"B",IF('Data Source'!AC743&gt;=2,"C",IF('Data Source'!AC743&gt;=1,"D","F")))))))</f>
        <v/>
      </c>
      <c r="L743" s="3">
        <f>IF('Data Source'!B743="","",IF('Data Source'!AD743&gt;=5,"A+",IF('Data Source'!AD743&gt;=4,"A",IF('Data Source'!AD743&gt;=3.5,"A-",IF('Data Source'!AD743&gt;=3,"B",IF('Data Source'!AD743&gt;=2,"C",IF('Data Source'!AD743&gt;=1,"D","F")))))))</f>
        <v/>
      </c>
      <c r="M743" s="3">
        <f>IF('Data Source'!B743="","",IF('Data Source'!AE743&gt;=5,"A+",IF('Data Source'!AE743&gt;=4,"A",IF('Data Source'!AE743&gt;=3.5,"A-",IF('Data Source'!AE743&gt;=3,"B",IF('Data Source'!AE743&gt;=2,"C",IF('Data Source'!AE743&gt;=1,"D","F")))))))</f>
        <v/>
      </c>
      <c r="N743" s="3">
        <f>IF('Data Source'!B743="","",IF('Data Source'!AF743&gt;=5,"A+",IF('Data Source'!AF743&gt;=4,"A",IF('Data Source'!AF743&gt;=3.5,"A-",IF('Data Source'!AF743&gt;=3,"B",IF('Data Source'!AF743&gt;=2,"C",IF('Data Source'!AF743&gt;=1,"D","F")))))))</f>
        <v/>
      </c>
      <c r="O743" s="3">
        <f>IF('Data Source'!B743="","",IF('Data Source'!AG743&gt;=5,"A+",IF('Data Source'!AG743&gt;=4,"A",IF('Data Source'!AG743&gt;=3.5,"A-",IF('Data Source'!AG743&gt;=3,"B",IF('Data Source'!AG743&gt;=2,"C",IF('Data Source'!AG743&gt;=1,"D","F")))))))</f>
        <v/>
      </c>
      <c r="P743" s="5">
        <f>IF('Data Source'!B743="","",'Data Source'!R743)</f>
        <v/>
      </c>
      <c r="Q743" s="3">
        <f>IF('Data Source'!B743="","",'Data Source'!S743)</f>
        <v/>
      </c>
    </row>
    <row r="744">
      <c r="A744" s="3">
        <f>IF('Data Source'!B744="","",'Data Source'!A744)</f>
        <v/>
      </c>
      <c r="B744">
        <f>IF('Data Source'!B744="","",'Data Source'!B744)</f>
        <v/>
      </c>
      <c r="C744" s="3">
        <f>IF('Data Source'!B744="","",IF('Data Source'!U744&gt;=5,"A+",IF('Data Source'!U744&gt;=4,"A",IF('Data Source'!U744&gt;=3.5,"A-",IF('Data Source'!U744&gt;=3,"B",IF('Data Source'!U744&gt;=2,"C",IF('Data Source'!U744&gt;=1,"D","F")))))))</f>
        <v/>
      </c>
      <c r="D744" s="3">
        <f>IF('Data Source'!B744="","",IF('Data Source'!V744&gt;=5,"A+",IF('Data Source'!V744&gt;=4,"A",IF('Data Source'!V744&gt;=3.5,"A-",IF('Data Source'!V744&gt;=3,"B",IF('Data Source'!V744&gt;=2,"C",IF('Data Source'!V744&gt;=1,"D","F")))))))</f>
        <v/>
      </c>
      <c r="E744" s="3">
        <f>IF('Data Source'!B744="","",IF('Data Source'!W744&gt;=5,"A+",IF('Data Source'!W744&gt;=4,"A",IF('Data Source'!W744&gt;=3.5,"A-",IF('Data Source'!W744&gt;=3,"B",IF('Data Source'!W744&gt;=2,"C",IF('Data Source'!W744&gt;=1,"D","F")))))))</f>
        <v/>
      </c>
      <c r="F744" s="3">
        <f>IF('Data Source'!B744="","",IF('Data Source'!X744&gt;=5,"A+",IF('Data Source'!X744&gt;=4,"A",IF('Data Source'!X744&gt;=3.5,"A-",IF('Data Source'!X744&gt;=3,"B",IF('Data Source'!X744&gt;=2,"C",IF('Data Source'!X744&gt;=1,"D","F")))))))</f>
        <v/>
      </c>
      <c r="G744" s="3">
        <f>IF('Data Source'!B744="","",IF('Data Source'!Y744&gt;=5,"A+",IF('Data Source'!Y744&gt;=4,"A",IF('Data Source'!Y744&gt;=3.5,"A-",IF('Data Source'!Y744&gt;=3,"B",IF('Data Source'!Y744&gt;=2,"C",IF('Data Source'!Y744&gt;=1,"D","F")))))))</f>
        <v/>
      </c>
      <c r="H744" s="3">
        <f>IF('Data Source'!B744="","",IF('Data Source'!Z744&gt;=5,"A+",IF('Data Source'!Z744&gt;=4,"A",IF('Data Source'!Z744&gt;=3.5,"A-",IF('Data Source'!Z744&gt;=3,"B",IF('Data Source'!Z744&gt;=2,"C",IF('Data Source'!Z744&gt;=1,"D","F")))))))</f>
        <v/>
      </c>
      <c r="I744" s="3">
        <f>IF('Data Source'!B744="","",IF('Data Source'!AA744&gt;=5,"A+",IF('Data Source'!AA744&gt;=4,"A",IF('Data Source'!AA744&gt;=3.5,"A-",IF('Data Source'!AA744&gt;=3,"B",IF('Data Source'!AA744&gt;=2,"C",IF('Data Source'!AA744&gt;=1,"D","F")))))))</f>
        <v/>
      </c>
      <c r="J744" s="3">
        <f>IF('Data Source'!B744="","",IF('Data Source'!AB744&gt;=5,"A+",IF('Data Source'!AB744&gt;=4,"A",IF('Data Source'!AB744&gt;=3.5,"A-",IF('Data Source'!AB744&gt;=3,"B",IF('Data Source'!AB744&gt;=2,"C",IF('Data Source'!AB744&gt;=1,"D","F")))))))</f>
        <v/>
      </c>
      <c r="K744" s="3">
        <f>IF('Data Source'!B744="","",IF('Data Source'!AC744&gt;=5,"A+",IF('Data Source'!AC744&gt;=4,"A",IF('Data Source'!AC744&gt;=3.5,"A-",IF('Data Source'!AC744&gt;=3,"B",IF('Data Source'!AC744&gt;=2,"C",IF('Data Source'!AC744&gt;=1,"D","F")))))))</f>
        <v/>
      </c>
      <c r="L744" s="3">
        <f>IF('Data Source'!B744="","",IF('Data Source'!AD744&gt;=5,"A+",IF('Data Source'!AD744&gt;=4,"A",IF('Data Source'!AD744&gt;=3.5,"A-",IF('Data Source'!AD744&gt;=3,"B",IF('Data Source'!AD744&gt;=2,"C",IF('Data Source'!AD744&gt;=1,"D","F")))))))</f>
        <v/>
      </c>
      <c r="M744" s="3">
        <f>IF('Data Source'!B744="","",IF('Data Source'!AE744&gt;=5,"A+",IF('Data Source'!AE744&gt;=4,"A",IF('Data Source'!AE744&gt;=3.5,"A-",IF('Data Source'!AE744&gt;=3,"B",IF('Data Source'!AE744&gt;=2,"C",IF('Data Source'!AE744&gt;=1,"D","F")))))))</f>
        <v/>
      </c>
      <c r="N744" s="3">
        <f>IF('Data Source'!B744="","",IF('Data Source'!AF744&gt;=5,"A+",IF('Data Source'!AF744&gt;=4,"A",IF('Data Source'!AF744&gt;=3.5,"A-",IF('Data Source'!AF744&gt;=3,"B",IF('Data Source'!AF744&gt;=2,"C",IF('Data Source'!AF744&gt;=1,"D","F")))))))</f>
        <v/>
      </c>
      <c r="O744" s="3">
        <f>IF('Data Source'!B744="","",IF('Data Source'!AG744&gt;=5,"A+",IF('Data Source'!AG744&gt;=4,"A",IF('Data Source'!AG744&gt;=3.5,"A-",IF('Data Source'!AG744&gt;=3,"B",IF('Data Source'!AG744&gt;=2,"C",IF('Data Source'!AG744&gt;=1,"D","F")))))))</f>
        <v/>
      </c>
      <c r="P744" s="5">
        <f>IF('Data Source'!B744="","",'Data Source'!R744)</f>
        <v/>
      </c>
      <c r="Q744" s="3">
        <f>IF('Data Source'!B744="","",'Data Source'!S744)</f>
        <v/>
      </c>
    </row>
    <row r="745">
      <c r="A745" s="3">
        <f>IF('Data Source'!B745="","",'Data Source'!A745)</f>
        <v/>
      </c>
      <c r="B745">
        <f>IF('Data Source'!B745="","",'Data Source'!B745)</f>
        <v/>
      </c>
      <c r="C745" s="3">
        <f>IF('Data Source'!B745="","",IF('Data Source'!U745&gt;=5,"A+",IF('Data Source'!U745&gt;=4,"A",IF('Data Source'!U745&gt;=3.5,"A-",IF('Data Source'!U745&gt;=3,"B",IF('Data Source'!U745&gt;=2,"C",IF('Data Source'!U745&gt;=1,"D","F")))))))</f>
        <v/>
      </c>
      <c r="D745" s="3">
        <f>IF('Data Source'!B745="","",IF('Data Source'!V745&gt;=5,"A+",IF('Data Source'!V745&gt;=4,"A",IF('Data Source'!V745&gt;=3.5,"A-",IF('Data Source'!V745&gt;=3,"B",IF('Data Source'!V745&gt;=2,"C",IF('Data Source'!V745&gt;=1,"D","F")))))))</f>
        <v/>
      </c>
      <c r="E745" s="3">
        <f>IF('Data Source'!B745="","",IF('Data Source'!W745&gt;=5,"A+",IF('Data Source'!W745&gt;=4,"A",IF('Data Source'!W745&gt;=3.5,"A-",IF('Data Source'!W745&gt;=3,"B",IF('Data Source'!W745&gt;=2,"C",IF('Data Source'!W745&gt;=1,"D","F")))))))</f>
        <v/>
      </c>
      <c r="F745" s="3">
        <f>IF('Data Source'!B745="","",IF('Data Source'!X745&gt;=5,"A+",IF('Data Source'!X745&gt;=4,"A",IF('Data Source'!X745&gt;=3.5,"A-",IF('Data Source'!X745&gt;=3,"B",IF('Data Source'!X745&gt;=2,"C",IF('Data Source'!X745&gt;=1,"D","F")))))))</f>
        <v/>
      </c>
      <c r="G745" s="3">
        <f>IF('Data Source'!B745="","",IF('Data Source'!Y745&gt;=5,"A+",IF('Data Source'!Y745&gt;=4,"A",IF('Data Source'!Y745&gt;=3.5,"A-",IF('Data Source'!Y745&gt;=3,"B",IF('Data Source'!Y745&gt;=2,"C",IF('Data Source'!Y745&gt;=1,"D","F")))))))</f>
        <v/>
      </c>
      <c r="H745" s="3">
        <f>IF('Data Source'!B745="","",IF('Data Source'!Z745&gt;=5,"A+",IF('Data Source'!Z745&gt;=4,"A",IF('Data Source'!Z745&gt;=3.5,"A-",IF('Data Source'!Z745&gt;=3,"B",IF('Data Source'!Z745&gt;=2,"C",IF('Data Source'!Z745&gt;=1,"D","F")))))))</f>
        <v/>
      </c>
      <c r="I745" s="3">
        <f>IF('Data Source'!B745="","",IF('Data Source'!AA745&gt;=5,"A+",IF('Data Source'!AA745&gt;=4,"A",IF('Data Source'!AA745&gt;=3.5,"A-",IF('Data Source'!AA745&gt;=3,"B",IF('Data Source'!AA745&gt;=2,"C",IF('Data Source'!AA745&gt;=1,"D","F")))))))</f>
        <v/>
      </c>
      <c r="J745" s="3">
        <f>IF('Data Source'!B745="","",IF('Data Source'!AB745&gt;=5,"A+",IF('Data Source'!AB745&gt;=4,"A",IF('Data Source'!AB745&gt;=3.5,"A-",IF('Data Source'!AB745&gt;=3,"B",IF('Data Source'!AB745&gt;=2,"C",IF('Data Source'!AB745&gt;=1,"D","F")))))))</f>
        <v/>
      </c>
      <c r="K745" s="3">
        <f>IF('Data Source'!B745="","",IF('Data Source'!AC745&gt;=5,"A+",IF('Data Source'!AC745&gt;=4,"A",IF('Data Source'!AC745&gt;=3.5,"A-",IF('Data Source'!AC745&gt;=3,"B",IF('Data Source'!AC745&gt;=2,"C",IF('Data Source'!AC745&gt;=1,"D","F")))))))</f>
        <v/>
      </c>
      <c r="L745" s="3">
        <f>IF('Data Source'!B745="","",IF('Data Source'!AD745&gt;=5,"A+",IF('Data Source'!AD745&gt;=4,"A",IF('Data Source'!AD745&gt;=3.5,"A-",IF('Data Source'!AD745&gt;=3,"B",IF('Data Source'!AD745&gt;=2,"C",IF('Data Source'!AD745&gt;=1,"D","F")))))))</f>
        <v/>
      </c>
      <c r="M745" s="3">
        <f>IF('Data Source'!B745="","",IF('Data Source'!AE745&gt;=5,"A+",IF('Data Source'!AE745&gt;=4,"A",IF('Data Source'!AE745&gt;=3.5,"A-",IF('Data Source'!AE745&gt;=3,"B",IF('Data Source'!AE745&gt;=2,"C",IF('Data Source'!AE745&gt;=1,"D","F")))))))</f>
        <v/>
      </c>
      <c r="N745" s="3">
        <f>IF('Data Source'!B745="","",IF('Data Source'!AF745&gt;=5,"A+",IF('Data Source'!AF745&gt;=4,"A",IF('Data Source'!AF745&gt;=3.5,"A-",IF('Data Source'!AF745&gt;=3,"B",IF('Data Source'!AF745&gt;=2,"C",IF('Data Source'!AF745&gt;=1,"D","F")))))))</f>
        <v/>
      </c>
      <c r="O745" s="3">
        <f>IF('Data Source'!B745="","",IF('Data Source'!AG745&gt;=5,"A+",IF('Data Source'!AG745&gt;=4,"A",IF('Data Source'!AG745&gt;=3.5,"A-",IF('Data Source'!AG745&gt;=3,"B",IF('Data Source'!AG745&gt;=2,"C",IF('Data Source'!AG745&gt;=1,"D","F")))))))</f>
        <v/>
      </c>
      <c r="P745" s="5">
        <f>IF('Data Source'!B745="","",'Data Source'!R745)</f>
        <v/>
      </c>
      <c r="Q745" s="3">
        <f>IF('Data Source'!B745="","",'Data Source'!S745)</f>
        <v/>
      </c>
    </row>
    <row r="746">
      <c r="A746" s="3">
        <f>IF('Data Source'!B746="","",'Data Source'!A746)</f>
        <v/>
      </c>
      <c r="B746">
        <f>IF('Data Source'!B746="","",'Data Source'!B746)</f>
        <v/>
      </c>
      <c r="C746" s="3">
        <f>IF('Data Source'!B746="","",IF('Data Source'!U746&gt;=5,"A+",IF('Data Source'!U746&gt;=4,"A",IF('Data Source'!U746&gt;=3.5,"A-",IF('Data Source'!U746&gt;=3,"B",IF('Data Source'!U746&gt;=2,"C",IF('Data Source'!U746&gt;=1,"D","F")))))))</f>
        <v/>
      </c>
      <c r="D746" s="3">
        <f>IF('Data Source'!B746="","",IF('Data Source'!V746&gt;=5,"A+",IF('Data Source'!V746&gt;=4,"A",IF('Data Source'!V746&gt;=3.5,"A-",IF('Data Source'!V746&gt;=3,"B",IF('Data Source'!V746&gt;=2,"C",IF('Data Source'!V746&gt;=1,"D","F")))))))</f>
        <v/>
      </c>
      <c r="E746" s="3">
        <f>IF('Data Source'!B746="","",IF('Data Source'!W746&gt;=5,"A+",IF('Data Source'!W746&gt;=4,"A",IF('Data Source'!W746&gt;=3.5,"A-",IF('Data Source'!W746&gt;=3,"B",IF('Data Source'!W746&gt;=2,"C",IF('Data Source'!W746&gt;=1,"D","F")))))))</f>
        <v/>
      </c>
      <c r="F746" s="3">
        <f>IF('Data Source'!B746="","",IF('Data Source'!X746&gt;=5,"A+",IF('Data Source'!X746&gt;=4,"A",IF('Data Source'!X746&gt;=3.5,"A-",IF('Data Source'!X746&gt;=3,"B",IF('Data Source'!X746&gt;=2,"C",IF('Data Source'!X746&gt;=1,"D","F")))))))</f>
        <v/>
      </c>
      <c r="G746" s="3">
        <f>IF('Data Source'!B746="","",IF('Data Source'!Y746&gt;=5,"A+",IF('Data Source'!Y746&gt;=4,"A",IF('Data Source'!Y746&gt;=3.5,"A-",IF('Data Source'!Y746&gt;=3,"B",IF('Data Source'!Y746&gt;=2,"C",IF('Data Source'!Y746&gt;=1,"D","F")))))))</f>
        <v/>
      </c>
      <c r="H746" s="3">
        <f>IF('Data Source'!B746="","",IF('Data Source'!Z746&gt;=5,"A+",IF('Data Source'!Z746&gt;=4,"A",IF('Data Source'!Z746&gt;=3.5,"A-",IF('Data Source'!Z746&gt;=3,"B",IF('Data Source'!Z746&gt;=2,"C",IF('Data Source'!Z746&gt;=1,"D","F")))))))</f>
        <v/>
      </c>
      <c r="I746" s="3">
        <f>IF('Data Source'!B746="","",IF('Data Source'!AA746&gt;=5,"A+",IF('Data Source'!AA746&gt;=4,"A",IF('Data Source'!AA746&gt;=3.5,"A-",IF('Data Source'!AA746&gt;=3,"B",IF('Data Source'!AA746&gt;=2,"C",IF('Data Source'!AA746&gt;=1,"D","F")))))))</f>
        <v/>
      </c>
      <c r="J746" s="3">
        <f>IF('Data Source'!B746="","",IF('Data Source'!AB746&gt;=5,"A+",IF('Data Source'!AB746&gt;=4,"A",IF('Data Source'!AB746&gt;=3.5,"A-",IF('Data Source'!AB746&gt;=3,"B",IF('Data Source'!AB746&gt;=2,"C",IF('Data Source'!AB746&gt;=1,"D","F")))))))</f>
        <v/>
      </c>
      <c r="K746" s="3">
        <f>IF('Data Source'!B746="","",IF('Data Source'!AC746&gt;=5,"A+",IF('Data Source'!AC746&gt;=4,"A",IF('Data Source'!AC746&gt;=3.5,"A-",IF('Data Source'!AC746&gt;=3,"B",IF('Data Source'!AC746&gt;=2,"C",IF('Data Source'!AC746&gt;=1,"D","F")))))))</f>
        <v/>
      </c>
      <c r="L746" s="3">
        <f>IF('Data Source'!B746="","",IF('Data Source'!AD746&gt;=5,"A+",IF('Data Source'!AD746&gt;=4,"A",IF('Data Source'!AD746&gt;=3.5,"A-",IF('Data Source'!AD746&gt;=3,"B",IF('Data Source'!AD746&gt;=2,"C",IF('Data Source'!AD746&gt;=1,"D","F")))))))</f>
        <v/>
      </c>
      <c r="M746" s="3">
        <f>IF('Data Source'!B746="","",IF('Data Source'!AE746&gt;=5,"A+",IF('Data Source'!AE746&gt;=4,"A",IF('Data Source'!AE746&gt;=3.5,"A-",IF('Data Source'!AE746&gt;=3,"B",IF('Data Source'!AE746&gt;=2,"C",IF('Data Source'!AE746&gt;=1,"D","F")))))))</f>
        <v/>
      </c>
      <c r="N746" s="3">
        <f>IF('Data Source'!B746="","",IF('Data Source'!AF746&gt;=5,"A+",IF('Data Source'!AF746&gt;=4,"A",IF('Data Source'!AF746&gt;=3.5,"A-",IF('Data Source'!AF746&gt;=3,"B",IF('Data Source'!AF746&gt;=2,"C",IF('Data Source'!AF746&gt;=1,"D","F")))))))</f>
        <v/>
      </c>
      <c r="O746" s="3">
        <f>IF('Data Source'!B746="","",IF('Data Source'!AG746&gt;=5,"A+",IF('Data Source'!AG746&gt;=4,"A",IF('Data Source'!AG746&gt;=3.5,"A-",IF('Data Source'!AG746&gt;=3,"B",IF('Data Source'!AG746&gt;=2,"C",IF('Data Source'!AG746&gt;=1,"D","F")))))))</f>
        <v/>
      </c>
      <c r="P746" s="5">
        <f>IF('Data Source'!B746="","",'Data Source'!R746)</f>
        <v/>
      </c>
      <c r="Q746" s="3">
        <f>IF('Data Source'!B746="","",'Data Source'!S746)</f>
        <v/>
      </c>
    </row>
    <row r="747">
      <c r="A747" s="3">
        <f>IF('Data Source'!B747="","",'Data Source'!A747)</f>
        <v/>
      </c>
      <c r="B747">
        <f>IF('Data Source'!B747="","",'Data Source'!B747)</f>
        <v/>
      </c>
      <c r="C747" s="3">
        <f>IF('Data Source'!B747="","",IF('Data Source'!U747&gt;=5,"A+",IF('Data Source'!U747&gt;=4,"A",IF('Data Source'!U747&gt;=3.5,"A-",IF('Data Source'!U747&gt;=3,"B",IF('Data Source'!U747&gt;=2,"C",IF('Data Source'!U747&gt;=1,"D","F")))))))</f>
        <v/>
      </c>
      <c r="D747" s="3">
        <f>IF('Data Source'!B747="","",IF('Data Source'!V747&gt;=5,"A+",IF('Data Source'!V747&gt;=4,"A",IF('Data Source'!V747&gt;=3.5,"A-",IF('Data Source'!V747&gt;=3,"B",IF('Data Source'!V747&gt;=2,"C",IF('Data Source'!V747&gt;=1,"D","F")))))))</f>
        <v/>
      </c>
      <c r="E747" s="3">
        <f>IF('Data Source'!B747="","",IF('Data Source'!W747&gt;=5,"A+",IF('Data Source'!W747&gt;=4,"A",IF('Data Source'!W747&gt;=3.5,"A-",IF('Data Source'!W747&gt;=3,"B",IF('Data Source'!W747&gt;=2,"C",IF('Data Source'!W747&gt;=1,"D","F")))))))</f>
        <v/>
      </c>
      <c r="F747" s="3">
        <f>IF('Data Source'!B747="","",IF('Data Source'!X747&gt;=5,"A+",IF('Data Source'!X747&gt;=4,"A",IF('Data Source'!X747&gt;=3.5,"A-",IF('Data Source'!X747&gt;=3,"B",IF('Data Source'!X747&gt;=2,"C",IF('Data Source'!X747&gt;=1,"D","F")))))))</f>
        <v/>
      </c>
      <c r="G747" s="3">
        <f>IF('Data Source'!B747="","",IF('Data Source'!Y747&gt;=5,"A+",IF('Data Source'!Y747&gt;=4,"A",IF('Data Source'!Y747&gt;=3.5,"A-",IF('Data Source'!Y747&gt;=3,"B",IF('Data Source'!Y747&gt;=2,"C",IF('Data Source'!Y747&gt;=1,"D","F")))))))</f>
        <v/>
      </c>
      <c r="H747" s="3">
        <f>IF('Data Source'!B747="","",IF('Data Source'!Z747&gt;=5,"A+",IF('Data Source'!Z747&gt;=4,"A",IF('Data Source'!Z747&gt;=3.5,"A-",IF('Data Source'!Z747&gt;=3,"B",IF('Data Source'!Z747&gt;=2,"C",IF('Data Source'!Z747&gt;=1,"D","F")))))))</f>
        <v/>
      </c>
      <c r="I747" s="3">
        <f>IF('Data Source'!B747="","",IF('Data Source'!AA747&gt;=5,"A+",IF('Data Source'!AA747&gt;=4,"A",IF('Data Source'!AA747&gt;=3.5,"A-",IF('Data Source'!AA747&gt;=3,"B",IF('Data Source'!AA747&gt;=2,"C",IF('Data Source'!AA747&gt;=1,"D","F")))))))</f>
        <v/>
      </c>
      <c r="J747" s="3">
        <f>IF('Data Source'!B747="","",IF('Data Source'!AB747&gt;=5,"A+",IF('Data Source'!AB747&gt;=4,"A",IF('Data Source'!AB747&gt;=3.5,"A-",IF('Data Source'!AB747&gt;=3,"B",IF('Data Source'!AB747&gt;=2,"C",IF('Data Source'!AB747&gt;=1,"D","F")))))))</f>
        <v/>
      </c>
      <c r="K747" s="3">
        <f>IF('Data Source'!B747="","",IF('Data Source'!AC747&gt;=5,"A+",IF('Data Source'!AC747&gt;=4,"A",IF('Data Source'!AC747&gt;=3.5,"A-",IF('Data Source'!AC747&gt;=3,"B",IF('Data Source'!AC747&gt;=2,"C",IF('Data Source'!AC747&gt;=1,"D","F")))))))</f>
        <v/>
      </c>
      <c r="L747" s="3">
        <f>IF('Data Source'!B747="","",IF('Data Source'!AD747&gt;=5,"A+",IF('Data Source'!AD747&gt;=4,"A",IF('Data Source'!AD747&gt;=3.5,"A-",IF('Data Source'!AD747&gt;=3,"B",IF('Data Source'!AD747&gt;=2,"C",IF('Data Source'!AD747&gt;=1,"D","F")))))))</f>
        <v/>
      </c>
      <c r="M747" s="3">
        <f>IF('Data Source'!B747="","",IF('Data Source'!AE747&gt;=5,"A+",IF('Data Source'!AE747&gt;=4,"A",IF('Data Source'!AE747&gt;=3.5,"A-",IF('Data Source'!AE747&gt;=3,"B",IF('Data Source'!AE747&gt;=2,"C",IF('Data Source'!AE747&gt;=1,"D","F")))))))</f>
        <v/>
      </c>
      <c r="N747" s="3">
        <f>IF('Data Source'!B747="","",IF('Data Source'!AF747&gt;=5,"A+",IF('Data Source'!AF747&gt;=4,"A",IF('Data Source'!AF747&gt;=3.5,"A-",IF('Data Source'!AF747&gt;=3,"B",IF('Data Source'!AF747&gt;=2,"C",IF('Data Source'!AF747&gt;=1,"D","F")))))))</f>
        <v/>
      </c>
      <c r="O747" s="3">
        <f>IF('Data Source'!B747="","",IF('Data Source'!AG747&gt;=5,"A+",IF('Data Source'!AG747&gt;=4,"A",IF('Data Source'!AG747&gt;=3.5,"A-",IF('Data Source'!AG747&gt;=3,"B",IF('Data Source'!AG747&gt;=2,"C",IF('Data Source'!AG747&gt;=1,"D","F")))))))</f>
        <v/>
      </c>
      <c r="P747" s="5">
        <f>IF('Data Source'!B747="","",'Data Source'!R747)</f>
        <v/>
      </c>
      <c r="Q747" s="3">
        <f>IF('Data Source'!B747="","",'Data Source'!S747)</f>
        <v/>
      </c>
    </row>
    <row r="748">
      <c r="A748" s="3">
        <f>IF('Data Source'!B748="","",'Data Source'!A748)</f>
        <v/>
      </c>
      <c r="B748">
        <f>IF('Data Source'!B748="","",'Data Source'!B748)</f>
        <v/>
      </c>
      <c r="C748" s="3">
        <f>IF('Data Source'!B748="","",IF('Data Source'!U748&gt;=5,"A+",IF('Data Source'!U748&gt;=4,"A",IF('Data Source'!U748&gt;=3.5,"A-",IF('Data Source'!U748&gt;=3,"B",IF('Data Source'!U748&gt;=2,"C",IF('Data Source'!U748&gt;=1,"D","F")))))))</f>
        <v/>
      </c>
      <c r="D748" s="3">
        <f>IF('Data Source'!B748="","",IF('Data Source'!V748&gt;=5,"A+",IF('Data Source'!V748&gt;=4,"A",IF('Data Source'!V748&gt;=3.5,"A-",IF('Data Source'!V748&gt;=3,"B",IF('Data Source'!V748&gt;=2,"C",IF('Data Source'!V748&gt;=1,"D","F")))))))</f>
        <v/>
      </c>
      <c r="E748" s="3">
        <f>IF('Data Source'!B748="","",IF('Data Source'!W748&gt;=5,"A+",IF('Data Source'!W748&gt;=4,"A",IF('Data Source'!W748&gt;=3.5,"A-",IF('Data Source'!W748&gt;=3,"B",IF('Data Source'!W748&gt;=2,"C",IF('Data Source'!W748&gt;=1,"D","F")))))))</f>
        <v/>
      </c>
      <c r="F748" s="3">
        <f>IF('Data Source'!B748="","",IF('Data Source'!X748&gt;=5,"A+",IF('Data Source'!X748&gt;=4,"A",IF('Data Source'!X748&gt;=3.5,"A-",IF('Data Source'!X748&gt;=3,"B",IF('Data Source'!X748&gt;=2,"C",IF('Data Source'!X748&gt;=1,"D","F")))))))</f>
        <v/>
      </c>
      <c r="G748" s="3">
        <f>IF('Data Source'!B748="","",IF('Data Source'!Y748&gt;=5,"A+",IF('Data Source'!Y748&gt;=4,"A",IF('Data Source'!Y748&gt;=3.5,"A-",IF('Data Source'!Y748&gt;=3,"B",IF('Data Source'!Y748&gt;=2,"C",IF('Data Source'!Y748&gt;=1,"D","F")))))))</f>
        <v/>
      </c>
      <c r="H748" s="3">
        <f>IF('Data Source'!B748="","",IF('Data Source'!Z748&gt;=5,"A+",IF('Data Source'!Z748&gt;=4,"A",IF('Data Source'!Z748&gt;=3.5,"A-",IF('Data Source'!Z748&gt;=3,"B",IF('Data Source'!Z748&gt;=2,"C",IF('Data Source'!Z748&gt;=1,"D","F")))))))</f>
        <v/>
      </c>
      <c r="I748" s="3">
        <f>IF('Data Source'!B748="","",IF('Data Source'!AA748&gt;=5,"A+",IF('Data Source'!AA748&gt;=4,"A",IF('Data Source'!AA748&gt;=3.5,"A-",IF('Data Source'!AA748&gt;=3,"B",IF('Data Source'!AA748&gt;=2,"C",IF('Data Source'!AA748&gt;=1,"D","F")))))))</f>
        <v/>
      </c>
      <c r="J748" s="3">
        <f>IF('Data Source'!B748="","",IF('Data Source'!AB748&gt;=5,"A+",IF('Data Source'!AB748&gt;=4,"A",IF('Data Source'!AB748&gt;=3.5,"A-",IF('Data Source'!AB748&gt;=3,"B",IF('Data Source'!AB748&gt;=2,"C",IF('Data Source'!AB748&gt;=1,"D","F")))))))</f>
        <v/>
      </c>
      <c r="K748" s="3">
        <f>IF('Data Source'!B748="","",IF('Data Source'!AC748&gt;=5,"A+",IF('Data Source'!AC748&gt;=4,"A",IF('Data Source'!AC748&gt;=3.5,"A-",IF('Data Source'!AC748&gt;=3,"B",IF('Data Source'!AC748&gt;=2,"C",IF('Data Source'!AC748&gt;=1,"D","F")))))))</f>
        <v/>
      </c>
      <c r="L748" s="3">
        <f>IF('Data Source'!B748="","",IF('Data Source'!AD748&gt;=5,"A+",IF('Data Source'!AD748&gt;=4,"A",IF('Data Source'!AD748&gt;=3.5,"A-",IF('Data Source'!AD748&gt;=3,"B",IF('Data Source'!AD748&gt;=2,"C",IF('Data Source'!AD748&gt;=1,"D","F")))))))</f>
        <v/>
      </c>
      <c r="M748" s="3">
        <f>IF('Data Source'!B748="","",IF('Data Source'!AE748&gt;=5,"A+",IF('Data Source'!AE748&gt;=4,"A",IF('Data Source'!AE748&gt;=3.5,"A-",IF('Data Source'!AE748&gt;=3,"B",IF('Data Source'!AE748&gt;=2,"C",IF('Data Source'!AE748&gt;=1,"D","F")))))))</f>
        <v/>
      </c>
      <c r="N748" s="3">
        <f>IF('Data Source'!B748="","",IF('Data Source'!AF748&gt;=5,"A+",IF('Data Source'!AF748&gt;=4,"A",IF('Data Source'!AF748&gt;=3.5,"A-",IF('Data Source'!AF748&gt;=3,"B",IF('Data Source'!AF748&gt;=2,"C",IF('Data Source'!AF748&gt;=1,"D","F")))))))</f>
        <v/>
      </c>
      <c r="O748" s="3">
        <f>IF('Data Source'!B748="","",IF('Data Source'!AG748&gt;=5,"A+",IF('Data Source'!AG748&gt;=4,"A",IF('Data Source'!AG748&gt;=3.5,"A-",IF('Data Source'!AG748&gt;=3,"B",IF('Data Source'!AG748&gt;=2,"C",IF('Data Source'!AG748&gt;=1,"D","F")))))))</f>
        <v/>
      </c>
      <c r="P748" s="5">
        <f>IF('Data Source'!B748="","",'Data Source'!R748)</f>
        <v/>
      </c>
      <c r="Q748" s="3">
        <f>IF('Data Source'!B748="","",'Data Source'!S748)</f>
        <v/>
      </c>
    </row>
    <row r="749">
      <c r="A749" s="3">
        <f>IF('Data Source'!B749="","",'Data Source'!A749)</f>
        <v/>
      </c>
      <c r="B749">
        <f>IF('Data Source'!B749="","",'Data Source'!B749)</f>
        <v/>
      </c>
      <c r="C749" s="3">
        <f>IF('Data Source'!B749="","",IF('Data Source'!U749&gt;=5,"A+",IF('Data Source'!U749&gt;=4,"A",IF('Data Source'!U749&gt;=3.5,"A-",IF('Data Source'!U749&gt;=3,"B",IF('Data Source'!U749&gt;=2,"C",IF('Data Source'!U749&gt;=1,"D","F")))))))</f>
        <v/>
      </c>
      <c r="D749" s="3">
        <f>IF('Data Source'!B749="","",IF('Data Source'!V749&gt;=5,"A+",IF('Data Source'!V749&gt;=4,"A",IF('Data Source'!V749&gt;=3.5,"A-",IF('Data Source'!V749&gt;=3,"B",IF('Data Source'!V749&gt;=2,"C",IF('Data Source'!V749&gt;=1,"D","F")))))))</f>
        <v/>
      </c>
      <c r="E749" s="3">
        <f>IF('Data Source'!B749="","",IF('Data Source'!W749&gt;=5,"A+",IF('Data Source'!W749&gt;=4,"A",IF('Data Source'!W749&gt;=3.5,"A-",IF('Data Source'!W749&gt;=3,"B",IF('Data Source'!W749&gt;=2,"C",IF('Data Source'!W749&gt;=1,"D","F")))))))</f>
        <v/>
      </c>
      <c r="F749" s="3">
        <f>IF('Data Source'!B749="","",IF('Data Source'!X749&gt;=5,"A+",IF('Data Source'!X749&gt;=4,"A",IF('Data Source'!X749&gt;=3.5,"A-",IF('Data Source'!X749&gt;=3,"B",IF('Data Source'!X749&gt;=2,"C",IF('Data Source'!X749&gt;=1,"D","F")))))))</f>
        <v/>
      </c>
      <c r="G749" s="3">
        <f>IF('Data Source'!B749="","",IF('Data Source'!Y749&gt;=5,"A+",IF('Data Source'!Y749&gt;=4,"A",IF('Data Source'!Y749&gt;=3.5,"A-",IF('Data Source'!Y749&gt;=3,"B",IF('Data Source'!Y749&gt;=2,"C",IF('Data Source'!Y749&gt;=1,"D","F")))))))</f>
        <v/>
      </c>
      <c r="H749" s="3">
        <f>IF('Data Source'!B749="","",IF('Data Source'!Z749&gt;=5,"A+",IF('Data Source'!Z749&gt;=4,"A",IF('Data Source'!Z749&gt;=3.5,"A-",IF('Data Source'!Z749&gt;=3,"B",IF('Data Source'!Z749&gt;=2,"C",IF('Data Source'!Z749&gt;=1,"D","F")))))))</f>
        <v/>
      </c>
      <c r="I749" s="3">
        <f>IF('Data Source'!B749="","",IF('Data Source'!AA749&gt;=5,"A+",IF('Data Source'!AA749&gt;=4,"A",IF('Data Source'!AA749&gt;=3.5,"A-",IF('Data Source'!AA749&gt;=3,"B",IF('Data Source'!AA749&gt;=2,"C",IF('Data Source'!AA749&gt;=1,"D","F")))))))</f>
        <v/>
      </c>
      <c r="J749" s="3">
        <f>IF('Data Source'!B749="","",IF('Data Source'!AB749&gt;=5,"A+",IF('Data Source'!AB749&gt;=4,"A",IF('Data Source'!AB749&gt;=3.5,"A-",IF('Data Source'!AB749&gt;=3,"B",IF('Data Source'!AB749&gt;=2,"C",IF('Data Source'!AB749&gt;=1,"D","F")))))))</f>
        <v/>
      </c>
      <c r="K749" s="3">
        <f>IF('Data Source'!B749="","",IF('Data Source'!AC749&gt;=5,"A+",IF('Data Source'!AC749&gt;=4,"A",IF('Data Source'!AC749&gt;=3.5,"A-",IF('Data Source'!AC749&gt;=3,"B",IF('Data Source'!AC749&gt;=2,"C",IF('Data Source'!AC749&gt;=1,"D","F")))))))</f>
        <v/>
      </c>
      <c r="L749" s="3">
        <f>IF('Data Source'!B749="","",IF('Data Source'!AD749&gt;=5,"A+",IF('Data Source'!AD749&gt;=4,"A",IF('Data Source'!AD749&gt;=3.5,"A-",IF('Data Source'!AD749&gt;=3,"B",IF('Data Source'!AD749&gt;=2,"C",IF('Data Source'!AD749&gt;=1,"D","F")))))))</f>
        <v/>
      </c>
      <c r="M749" s="3">
        <f>IF('Data Source'!B749="","",IF('Data Source'!AE749&gt;=5,"A+",IF('Data Source'!AE749&gt;=4,"A",IF('Data Source'!AE749&gt;=3.5,"A-",IF('Data Source'!AE749&gt;=3,"B",IF('Data Source'!AE749&gt;=2,"C",IF('Data Source'!AE749&gt;=1,"D","F")))))))</f>
        <v/>
      </c>
      <c r="N749" s="3">
        <f>IF('Data Source'!B749="","",IF('Data Source'!AF749&gt;=5,"A+",IF('Data Source'!AF749&gt;=4,"A",IF('Data Source'!AF749&gt;=3.5,"A-",IF('Data Source'!AF749&gt;=3,"B",IF('Data Source'!AF749&gt;=2,"C",IF('Data Source'!AF749&gt;=1,"D","F")))))))</f>
        <v/>
      </c>
      <c r="O749" s="3">
        <f>IF('Data Source'!B749="","",IF('Data Source'!AG749&gt;=5,"A+",IF('Data Source'!AG749&gt;=4,"A",IF('Data Source'!AG749&gt;=3.5,"A-",IF('Data Source'!AG749&gt;=3,"B",IF('Data Source'!AG749&gt;=2,"C",IF('Data Source'!AG749&gt;=1,"D","F")))))))</f>
        <v/>
      </c>
      <c r="P749" s="5">
        <f>IF('Data Source'!B749="","",'Data Source'!R749)</f>
        <v/>
      </c>
      <c r="Q749" s="3">
        <f>IF('Data Source'!B749="","",'Data Source'!S749)</f>
        <v/>
      </c>
    </row>
    <row r="750">
      <c r="A750" s="3">
        <f>IF('Data Source'!B750="","",'Data Source'!A750)</f>
        <v/>
      </c>
      <c r="B750">
        <f>IF('Data Source'!B750="","",'Data Source'!B750)</f>
        <v/>
      </c>
      <c r="C750" s="3">
        <f>IF('Data Source'!B750="","",IF('Data Source'!U750&gt;=5,"A+",IF('Data Source'!U750&gt;=4,"A",IF('Data Source'!U750&gt;=3.5,"A-",IF('Data Source'!U750&gt;=3,"B",IF('Data Source'!U750&gt;=2,"C",IF('Data Source'!U750&gt;=1,"D","F")))))))</f>
        <v/>
      </c>
      <c r="D750" s="3">
        <f>IF('Data Source'!B750="","",IF('Data Source'!V750&gt;=5,"A+",IF('Data Source'!V750&gt;=4,"A",IF('Data Source'!V750&gt;=3.5,"A-",IF('Data Source'!V750&gt;=3,"B",IF('Data Source'!V750&gt;=2,"C",IF('Data Source'!V750&gt;=1,"D","F")))))))</f>
        <v/>
      </c>
      <c r="E750" s="3">
        <f>IF('Data Source'!B750="","",IF('Data Source'!W750&gt;=5,"A+",IF('Data Source'!W750&gt;=4,"A",IF('Data Source'!W750&gt;=3.5,"A-",IF('Data Source'!W750&gt;=3,"B",IF('Data Source'!W750&gt;=2,"C",IF('Data Source'!W750&gt;=1,"D","F")))))))</f>
        <v/>
      </c>
      <c r="F750" s="3">
        <f>IF('Data Source'!B750="","",IF('Data Source'!X750&gt;=5,"A+",IF('Data Source'!X750&gt;=4,"A",IF('Data Source'!X750&gt;=3.5,"A-",IF('Data Source'!X750&gt;=3,"B",IF('Data Source'!X750&gt;=2,"C",IF('Data Source'!X750&gt;=1,"D","F")))))))</f>
        <v/>
      </c>
      <c r="G750" s="3">
        <f>IF('Data Source'!B750="","",IF('Data Source'!Y750&gt;=5,"A+",IF('Data Source'!Y750&gt;=4,"A",IF('Data Source'!Y750&gt;=3.5,"A-",IF('Data Source'!Y750&gt;=3,"B",IF('Data Source'!Y750&gt;=2,"C",IF('Data Source'!Y750&gt;=1,"D","F")))))))</f>
        <v/>
      </c>
      <c r="H750" s="3">
        <f>IF('Data Source'!B750="","",IF('Data Source'!Z750&gt;=5,"A+",IF('Data Source'!Z750&gt;=4,"A",IF('Data Source'!Z750&gt;=3.5,"A-",IF('Data Source'!Z750&gt;=3,"B",IF('Data Source'!Z750&gt;=2,"C",IF('Data Source'!Z750&gt;=1,"D","F")))))))</f>
        <v/>
      </c>
      <c r="I750" s="3">
        <f>IF('Data Source'!B750="","",IF('Data Source'!AA750&gt;=5,"A+",IF('Data Source'!AA750&gt;=4,"A",IF('Data Source'!AA750&gt;=3.5,"A-",IF('Data Source'!AA750&gt;=3,"B",IF('Data Source'!AA750&gt;=2,"C",IF('Data Source'!AA750&gt;=1,"D","F")))))))</f>
        <v/>
      </c>
      <c r="J750" s="3">
        <f>IF('Data Source'!B750="","",IF('Data Source'!AB750&gt;=5,"A+",IF('Data Source'!AB750&gt;=4,"A",IF('Data Source'!AB750&gt;=3.5,"A-",IF('Data Source'!AB750&gt;=3,"B",IF('Data Source'!AB750&gt;=2,"C",IF('Data Source'!AB750&gt;=1,"D","F")))))))</f>
        <v/>
      </c>
      <c r="K750" s="3">
        <f>IF('Data Source'!B750="","",IF('Data Source'!AC750&gt;=5,"A+",IF('Data Source'!AC750&gt;=4,"A",IF('Data Source'!AC750&gt;=3.5,"A-",IF('Data Source'!AC750&gt;=3,"B",IF('Data Source'!AC750&gt;=2,"C",IF('Data Source'!AC750&gt;=1,"D","F")))))))</f>
        <v/>
      </c>
      <c r="L750" s="3">
        <f>IF('Data Source'!B750="","",IF('Data Source'!AD750&gt;=5,"A+",IF('Data Source'!AD750&gt;=4,"A",IF('Data Source'!AD750&gt;=3.5,"A-",IF('Data Source'!AD750&gt;=3,"B",IF('Data Source'!AD750&gt;=2,"C",IF('Data Source'!AD750&gt;=1,"D","F")))))))</f>
        <v/>
      </c>
      <c r="M750" s="3">
        <f>IF('Data Source'!B750="","",IF('Data Source'!AE750&gt;=5,"A+",IF('Data Source'!AE750&gt;=4,"A",IF('Data Source'!AE750&gt;=3.5,"A-",IF('Data Source'!AE750&gt;=3,"B",IF('Data Source'!AE750&gt;=2,"C",IF('Data Source'!AE750&gt;=1,"D","F")))))))</f>
        <v/>
      </c>
      <c r="N750" s="3">
        <f>IF('Data Source'!B750="","",IF('Data Source'!AF750&gt;=5,"A+",IF('Data Source'!AF750&gt;=4,"A",IF('Data Source'!AF750&gt;=3.5,"A-",IF('Data Source'!AF750&gt;=3,"B",IF('Data Source'!AF750&gt;=2,"C",IF('Data Source'!AF750&gt;=1,"D","F")))))))</f>
        <v/>
      </c>
      <c r="O750" s="3">
        <f>IF('Data Source'!B750="","",IF('Data Source'!AG750&gt;=5,"A+",IF('Data Source'!AG750&gt;=4,"A",IF('Data Source'!AG750&gt;=3.5,"A-",IF('Data Source'!AG750&gt;=3,"B",IF('Data Source'!AG750&gt;=2,"C",IF('Data Source'!AG750&gt;=1,"D","F")))))))</f>
        <v/>
      </c>
      <c r="P750" s="5">
        <f>IF('Data Source'!B750="","",'Data Source'!R750)</f>
        <v/>
      </c>
      <c r="Q750" s="3">
        <f>IF('Data Source'!B750="","",'Data Source'!S750)</f>
        <v/>
      </c>
    </row>
    <row r="751">
      <c r="A751" s="3">
        <f>IF('Data Source'!B751="","",'Data Source'!A751)</f>
        <v/>
      </c>
      <c r="B751">
        <f>IF('Data Source'!B751="","",'Data Source'!B751)</f>
        <v/>
      </c>
      <c r="C751" s="3">
        <f>IF('Data Source'!B751="","",IF('Data Source'!U751&gt;=5,"A+",IF('Data Source'!U751&gt;=4,"A",IF('Data Source'!U751&gt;=3.5,"A-",IF('Data Source'!U751&gt;=3,"B",IF('Data Source'!U751&gt;=2,"C",IF('Data Source'!U751&gt;=1,"D","F")))))))</f>
        <v/>
      </c>
      <c r="D751" s="3">
        <f>IF('Data Source'!B751="","",IF('Data Source'!V751&gt;=5,"A+",IF('Data Source'!V751&gt;=4,"A",IF('Data Source'!V751&gt;=3.5,"A-",IF('Data Source'!V751&gt;=3,"B",IF('Data Source'!V751&gt;=2,"C",IF('Data Source'!V751&gt;=1,"D","F")))))))</f>
        <v/>
      </c>
      <c r="E751" s="3">
        <f>IF('Data Source'!B751="","",IF('Data Source'!W751&gt;=5,"A+",IF('Data Source'!W751&gt;=4,"A",IF('Data Source'!W751&gt;=3.5,"A-",IF('Data Source'!W751&gt;=3,"B",IF('Data Source'!W751&gt;=2,"C",IF('Data Source'!W751&gt;=1,"D","F")))))))</f>
        <v/>
      </c>
      <c r="F751" s="3">
        <f>IF('Data Source'!B751="","",IF('Data Source'!X751&gt;=5,"A+",IF('Data Source'!X751&gt;=4,"A",IF('Data Source'!X751&gt;=3.5,"A-",IF('Data Source'!X751&gt;=3,"B",IF('Data Source'!X751&gt;=2,"C",IF('Data Source'!X751&gt;=1,"D","F")))))))</f>
        <v/>
      </c>
      <c r="G751" s="3">
        <f>IF('Data Source'!B751="","",IF('Data Source'!Y751&gt;=5,"A+",IF('Data Source'!Y751&gt;=4,"A",IF('Data Source'!Y751&gt;=3.5,"A-",IF('Data Source'!Y751&gt;=3,"B",IF('Data Source'!Y751&gt;=2,"C",IF('Data Source'!Y751&gt;=1,"D","F")))))))</f>
        <v/>
      </c>
      <c r="H751" s="3">
        <f>IF('Data Source'!B751="","",IF('Data Source'!Z751&gt;=5,"A+",IF('Data Source'!Z751&gt;=4,"A",IF('Data Source'!Z751&gt;=3.5,"A-",IF('Data Source'!Z751&gt;=3,"B",IF('Data Source'!Z751&gt;=2,"C",IF('Data Source'!Z751&gt;=1,"D","F")))))))</f>
        <v/>
      </c>
      <c r="I751" s="3">
        <f>IF('Data Source'!B751="","",IF('Data Source'!AA751&gt;=5,"A+",IF('Data Source'!AA751&gt;=4,"A",IF('Data Source'!AA751&gt;=3.5,"A-",IF('Data Source'!AA751&gt;=3,"B",IF('Data Source'!AA751&gt;=2,"C",IF('Data Source'!AA751&gt;=1,"D","F")))))))</f>
        <v/>
      </c>
      <c r="J751" s="3">
        <f>IF('Data Source'!B751="","",IF('Data Source'!AB751&gt;=5,"A+",IF('Data Source'!AB751&gt;=4,"A",IF('Data Source'!AB751&gt;=3.5,"A-",IF('Data Source'!AB751&gt;=3,"B",IF('Data Source'!AB751&gt;=2,"C",IF('Data Source'!AB751&gt;=1,"D","F")))))))</f>
        <v/>
      </c>
      <c r="K751" s="3">
        <f>IF('Data Source'!B751="","",IF('Data Source'!AC751&gt;=5,"A+",IF('Data Source'!AC751&gt;=4,"A",IF('Data Source'!AC751&gt;=3.5,"A-",IF('Data Source'!AC751&gt;=3,"B",IF('Data Source'!AC751&gt;=2,"C",IF('Data Source'!AC751&gt;=1,"D","F")))))))</f>
        <v/>
      </c>
      <c r="L751" s="3">
        <f>IF('Data Source'!B751="","",IF('Data Source'!AD751&gt;=5,"A+",IF('Data Source'!AD751&gt;=4,"A",IF('Data Source'!AD751&gt;=3.5,"A-",IF('Data Source'!AD751&gt;=3,"B",IF('Data Source'!AD751&gt;=2,"C",IF('Data Source'!AD751&gt;=1,"D","F")))))))</f>
        <v/>
      </c>
      <c r="M751" s="3">
        <f>IF('Data Source'!B751="","",IF('Data Source'!AE751&gt;=5,"A+",IF('Data Source'!AE751&gt;=4,"A",IF('Data Source'!AE751&gt;=3.5,"A-",IF('Data Source'!AE751&gt;=3,"B",IF('Data Source'!AE751&gt;=2,"C",IF('Data Source'!AE751&gt;=1,"D","F")))))))</f>
        <v/>
      </c>
      <c r="N751" s="3">
        <f>IF('Data Source'!B751="","",IF('Data Source'!AF751&gt;=5,"A+",IF('Data Source'!AF751&gt;=4,"A",IF('Data Source'!AF751&gt;=3.5,"A-",IF('Data Source'!AF751&gt;=3,"B",IF('Data Source'!AF751&gt;=2,"C",IF('Data Source'!AF751&gt;=1,"D","F")))))))</f>
        <v/>
      </c>
      <c r="O751" s="3">
        <f>IF('Data Source'!B751="","",IF('Data Source'!AG751&gt;=5,"A+",IF('Data Source'!AG751&gt;=4,"A",IF('Data Source'!AG751&gt;=3.5,"A-",IF('Data Source'!AG751&gt;=3,"B",IF('Data Source'!AG751&gt;=2,"C",IF('Data Source'!AG751&gt;=1,"D","F")))))))</f>
        <v/>
      </c>
      <c r="P751" s="5">
        <f>IF('Data Source'!B751="","",'Data Source'!R751)</f>
        <v/>
      </c>
      <c r="Q751" s="3">
        <f>IF('Data Source'!B751="","",'Data Source'!S751)</f>
        <v/>
      </c>
    </row>
    <row r="752">
      <c r="A752" s="3">
        <f>IF('Data Source'!B752="","",'Data Source'!A752)</f>
        <v/>
      </c>
      <c r="B752">
        <f>IF('Data Source'!B752="","",'Data Source'!B752)</f>
        <v/>
      </c>
      <c r="C752" s="3">
        <f>IF('Data Source'!B752="","",IF('Data Source'!U752&gt;=5,"A+",IF('Data Source'!U752&gt;=4,"A",IF('Data Source'!U752&gt;=3.5,"A-",IF('Data Source'!U752&gt;=3,"B",IF('Data Source'!U752&gt;=2,"C",IF('Data Source'!U752&gt;=1,"D","F")))))))</f>
        <v/>
      </c>
      <c r="D752" s="3">
        <f>IF('Data Source'!B752="","",IF('Data Source'!V752&gt;=5,"A+",IF('Data Source'!V752&gt;=4,"A",IF('Data Source'!V752&gt;=3.5,"A-",IF('Data Source'!V752&gt;=3,"B",IF('Data Source'!V752&gt;=2,"C",IF('Data Source'!V752&gt;=1,"D","F")))))))</f>
        <v/>
      </c>
      <c r="E752" s="3">
        <f>IF('Data Source'!B752="","",IF('Data Source'!W752&gt;=5,"A+",IF('Data Source'!W752&gt;=4,"A",IF('Data Source'!W752&gt;=3.5,"A-",IF('Data Source'!W752&gt;=3,"B",IF('Data Source'!W752&gt;=2,"C",IF('Data Source'!W752&gt;=1,"D","F")))))))</f>
        <v/>
      </c>
      <c r="F752" s="3">
        <f>IF('Data Source'!B752="","",IF('Data Source'!X752&gt;=5,"A+",IF('Data Source'!X752&gt;=4,"A",IF('Data Source'!X752&gt;=3.5,"A-",IF('Data Source'!X752&gt;=3,"B",IF('Data Source'!X752&gt;=2,"C",IF('Data Source'!X752&gt;=1,"D","F")))))))</f>
        <v/>
      </c>
      <c r="G752" s="3">
        <f>IF('Data Source'!B752="","",IF('Data Source'!Y752&gt;=5,"A+",IF('Data Source'!Y752&gt;=4,"A",IF('Data Source'!Y752&gt;=3.5,"A-",IF('Data Source'!Y752&gt;=3,"B",IF('Data Source'!Y752&gt;=2,"C",IF('Data Source'!Y752&gt;=1,"D","F")))))))</f>
        <v/>
      </c>
      <c r="H752" s="3">
        <f>IF('Data Source'!B752="","",IF('Data Source'!Z752&gt;=5,"A+",IF('Data Source'!Z752&gt;=4,"A",IF('Data Source'!Z752&gt;=3.5,"A-",IF('Data Source'!Z752&gt;=3,"B",IF('Data Source'!Z752&gt;=2,"C",IF('Data Source'!Z752&gt;=1,"D","F")))))))</f>
        <v/>
      </c>
      <c r="I752" s="3">
        <f>IF('Data Source'!B752="","",IF('Data Source'!AA752&gt;=5,"A+",IF('Data Source'!AA752&gt;=4,"A",IF('Data Source'!AA752&gt;=3.5,"A-",IF('Data Source'!AA752&gt;=3,"B",IF('Data Source'!AA752&gt;=2,"C",IF('Data Source'!AA752&gt;=1,"D","F")))))))</f>
        <v/>
      </c>
      <c r="J752" s="3">
        <f>IF('Data Source'!B752="","",IF('Data Source'!AB752&gt;=5,"A+",IF('Data Source'!AB752&gt;=4,"A",IF('Data Source'!AB752&gt;=3.5,"A-",IF('Data Source'!AB752&gt;=3,"B",IF('Data Source'!AB752&gt;=2,"C",IF('Data Source'!AB752&gt;=1,"D","F")))))))</f>
        <v/>
      </c>
      <c r="K752" s="3">
        <f>IF('Data Source'!B752="","",IF('Data Source'!AC752&gt;=5,"A+",IF('Data Source'!AC752&gt;=4,"A",IF('Data Source'!AC752&gt;=3.5,"A-",IF('Data Source'!AC752&gt;=3,"B",IF('Data Source'!AC752&gt;=2,"C",IF('Data Source'!AC752&gt;=1,"D","F")))))))</f>
        <v/>
      </c>
      <c r="L752" s="3">
        <f>IF('Data Source'!B752="","",IF('Data Source'!AD752&gt;=5,"A+",IF('Data Source'!AD752&gt;=4,"A",IF('Data Source'!AD752&gt;=3.5,"A-",IF('Data Source'!AD752&gt;=3,"B",IF('Data Source'!AD752&gt;=2,"C",IF('Data Source'!AD752&gt;=1,"D","F")))))))</f>
        <v/>
      </c>
      <c r="M752" s="3">
        <f>IF('Data Source'!B752="","",IF('Data Source'!AE752&gt;=5,"A+",IF('Data Source'!AE752&gt;=4,"A",IF('Data Source'!AE752&gt;=3.5,"A-",IF('Data Source'!AE752&gt;=3,"B",IF('Data Source'!AE752&gt;=2,"C",IF('Data Source'!AE752&gt;=1,"D","F")))))))</f>
        <v/>
      </c>
      <c r="N752" s="3">
        <f>IF('Data Source'!B752="","",IF('Data Source'!AF752&gt;=5,"A+",IF('Data Source'!AF752&gt;=4,"A",IF('Data Source'!AF752&gt;=3.5,"A-",IF('Data Source'!AF752&gt;=3,"B",IF('Data Source'!AF752&gt;=2,"C",IF('Data Source'!AF752&gt;=1,"D","F")))))))</f>
        <v/>
      </c>
      <c r="O752" s="3">
        <f>IF('Data Source'!B752="","",IF('Data Source'!AG752&gt;=5,"A+",IF('Data Source'!AG752&gt;=4,"A",IF('Data Source'!AG752&gt;=3.5,"A-",IF('Data Source'!AG752&gt;=3,"B",IF('Data Source'!AG752&gt;=2,"C",IF('Data Source'!AG752&gt;=1,"D","F")))))))</f>
        <v/>
      </c>
      <c r="P752" s="5">
        <f>IF('Data Source'!B752="","",'Data Source'!R752)</f>
        <v/>
      </c>
      <c r="Q752" s="3">
        <f>IF('Data Source'!B752="","",'Data Source'!S752)</f>
        <v/>
      </c>
    </row>
    <row r="753">
      <c r="A753" s="3">
        <f>IF('Data Source'!B753="","",'Data Source'!A753)</f>
        <v/>
      </c>
      <c r="B753">
        <f>IF('Data Source'!B753="","",'Data Source'!B753)</f>
        <v/>
      </c>
      <c r="C753" s="3">
        <f>IF('Data Source'!B753="","",IF('Data Source'!U753&gt;=5,"A+",IF('Data Source'!U753&gt;=4,"A",IF('Data Source'!U753&gt;=3.5,"A-",IF('Data Source'!U753&gt;=3,"B",IF('Data Source'!U753&gt;=2,"C",IF('Data Source'!U753&gt;=1,"D","F")))))))</f>
        <v/>
      </c>
      <c r="D753" s="3">
        <f>IF('Data Source'!B753="","",IF('Data Source'!V753&gt;=5,"A+",IF('Data Source'!V753&gt;=4,"A",IF('Data Source'!V753&gt;=3.5,"A-",IF('Data Source'!V753&gt;=3,"B",IF('Data Source'!V753&gt;=2,"C",IF('Data Source'!V753&gt;=1,"D","F")))))))</f>
        <v/>
      </c>
      <c r="E753" s="3">
        <f>IF('Data Source'!B753="","",IF('Data Source'!W753&gt;=5,"A+",IF('Data Source'!W753&gt;=4,"A",IF('Data Source'!W753&gt;=3.5,"A-",IF('Data Source'!W753&gt;=3,"B",IF('Data Source'!W753&gt;=2,"C",IF('Data Source'!W753&gt;=1,"D","F")))))))</f>
        <v/>
      </c>
      <c r="F753" s="3">
        <f>IF('Data Source'!B753="","",IF('Data Source'!X753&gt;=5,"A+",IF('Data Source'!X753&gt;=4,"A",IF('Data Source'!X753&gt;=3.5,"A-",IF('Data Source'!X753&gt;=3,"B",IF('Data Source'!X753&gt;=2,"C",IF('Data Source'!X753&gt;=1,"D","F")))))))</f>
        <v/>
      </c>
      <c r="G753" s="3">
        <f>IF('Data Source'!B753="","",IF('Data Source'!Y753&gt;=5,"A+",IF('Data Source'!Y753&gt;=4,"A",IF('Data Source'!Y753&gt;=3.5,"A-",IF('Data Source'!Y753&gt;=3,"B",IF('Data Source'!Y753&gt;=2,"C",IF('Data Source'!Y753&gt;=1,"D","F")))))))</f>
        <v/>
      </c>
      <c r="H753" s="3">
        <f>IF('Data Source'!B753="","",IF('Data Source'!Z753&gt;=5,"A+",IF('Data Source'!Z753&gt;=4,"A",IF('Data Source'!Z753&gt;=3.5,"A-",IF('Data Source'!Z753&gt;=3,"B",IF('Data Source'!Z753&gt;=2,"C",IF('Data Source'!Z753&gt;=1,"D","F")))))))</f>
        <v/>
      </c>
      <c r="I753" s="3">
        <f>IF('Data Source'!B753="","",IF('Data Source'!AA753&gt;=5,"A+",IF('Data Source'!AA753&gt;=4,"A",IF('Data Source'!AA753&gt;=3.5,"A-",IF('Data Source'!AA753&gt;=3,"B",IF('Data Source'!AA753&gt;=2,"C",IF('Data Source'!AA753&gt;=1,"D","F")))))))</f>
        <v/>
      </c>
      <c r="J753" s="3">
        <f>IF('Data Source'!B753="","",IF('Data Source'!AB753&gt;=5,"A+",IF('Data Source'!AB753&gt;=4,"A",IF('Data Source'!AB753&gt;=3.5,"A-",IF('Data Source'!AB753&gt;=3,"B",IF('Data Source'!AB753&gt;=2,"C",IF('Data Source'!AB753&gt;=1,"D","F")))))))</f>
        <v/>
      </c>
      <c r="K753" s="3">
        <f>IF('Data Source'!B753="","",IF('Data Source'!AC753&gt;=5,"A+",IF('Data Source'!AC753&gt;=4,"A",IF('Data Source'!AC753&gt;=3.5,"A-",IF('Data Source'!AC753&gt;=3,"B",IF('Data Source'!AC753&gt;=2,"C",IF('Data Source'!AC753&gt;=1,"D","F")))))))</f>
        <v/>
      </c>
      <c r="L753" s="3">
        <f>IF('Data Source'!B753="","",IF('Data Source'!AD753&gt;=5,"A+",IF('Data Source'!AD753&gt;=4,"A",IF('Data Source'!AD753&gt;=3.5,"A-",IF('Data Source'!AD753&gt;=3,"B",IF('Data Source'!AD753&gt;=2,"C",IF('Data Source'!AD753&gt;=1,"D","F")))))))</f>
        <v/>
      </c>
      <c r="M753" s="3">
        <f>IF('Data Source'!B753="","",IF('Data Source'!AE753&gt;=5,"A+",IF('Data Source'!AE753&gt;=4,"A",IF('Data Source'!AE753&gt;=3.5,"A-",IF('Data Source'!AE753&gt;=3,"B",IF('Data Source'!AE753&gt;=2,"C",IF('Data Source'!AE753&gt;=1,"D","F")))))))</f>
        <v/>
      </c>
      <c r="N753" s="3">
        <f>IF('Data Source'!B753="","",IF('Data Source'!AF753&gt;=5,"A+",IF('Data Source'!AF753&gt;=4,"A",IF('Data Source'!AF753&gt;=3.5,"A-",IF('Data Source'!AF753&gt;=3,"B",IF('Data Source'!AF753&gt;=2,"C",IF('Data Source'!AF753&gt;=1,"D","F")))))))</f>
        <v/>
      </c>
      <c r="O753" s="3">
        <f>IF('Data Source'!B753="","",IF('Data Source'!AG753&gt;=5,"A+",IF('Data Source'!AG753&gt;=4,"A",IF('Data Source'!AG753&gt;=3.5,"A-",IF('Data Source'!AG753&gt;=3,"B",IF('Data Source'!AG753&gt;=2,"C",IF('Data Source'!AG753&gt;=1,"D","F")))))))</f>
        <v/>
      </c>
      <c r="P753" s="5">
        <f>IF('Data Source'!B753="","",'Data Source'!R753)</f>
        <v/>
      </c>
      <c r="Q753" s="3">
        <f>IF('Data Source'!B753="","",'Data Source'!S753)</f>
        <v/>
      </c>
    </row>
    <row r="754">
      <c r="A754" s="3">
        <f>IF('Data Source'!B754="","",'Data Source'!A754)</f>
        <v/>
      </c>
      <c r="B754">
        <f>IF('Data Source'!B754="","",'Data Source'!B754)</f>
        <v/>
      </c>
      <c r="C754" s="3">
        <f>IF('Data Source'!B754="","",IF('Data Source'!U754&gt;=5,"A+",IF('Data Source'!U754&gt;=4,"A",IF('Data Source'!U754&gt;=3.5,"A-",IF('Data Source'!U754&gt;=3,"B",IF('Data Source'!U754&gt;=2,"C",IF('Data Source'!U754&gt;=1,"D","F")))))))</f>
        <v/>
      </c>
      <c r="D754" s="3">
        <f>IF('Data Source'!B754="","",IF('Data Source'!V754&gt;=5,"A+",IF('Data Source'!V754&gt;=4,"A",IF('Data Source'!V754&gt;=3.5,"A-",IF('Data Source'!V754&gt;=3,"B",IF('Data Source'!V754&gt;=2,"C",IF('Data Source'!V754&gt;=1,"D","F")))))))</f>
        <v/>
      </c>
      <c r="E754" s="3">
        <f>IF('Data Source'!B754="","",IF('Data Source'!W754&gt;=5,"A+",IF('Data Source'!W754&gt;=4,"A",IF('Data Source'!W754&gt;=3.5,"A-",IF('Data Source'!W754&gt;=3,"B",IF('Data Source'!W754&gt;=2,"C",IF('Data Source'!W754&gt;=1,"D","F")))))))</f>
        <v/>
      </c>
      <c r="F754" s="3">
        <f>IF('Data Source'!B754="","",IF('Data Source'!X754&gt;=5,"A+",IF('Data Source'!X754&gt;=4,"A",IF('Data Source'!X754&gt;=3.5,"A-",IF('Data Source'!X754&gt;=3,"B",IF('Data Source'!X754&gt;=2,"C",IF('Data Source'!X754&gt;=1,"D","F")))))))</f>
        <v/>
      </c>
      <c r="G754" s="3">
        <f>IF('Data Source'!B754="","",IF('Data Source'!Y754&gt;=5,"A+",IF('Data Source'!Y754&gt;=4,"A",IF('Data Source'!Y754&gt;=3.5,"A-",IF('Data Source'!Y754&gt;=3,"B",IF('Data Source'!Y754&gt;=2,"C",IF('Data Source'!Y754&gt;=1,"D","F")))))))</f>
        <v/>
      </c>
      <c r="H754" s="3">
        <f>IF('Data Source'!B754="","",IF('Data Source'!Z754&gt;=5,"A+",IF('Data Source'!Z754&gt;=4,"A",IF('Data Source'!Z754&gt;=3.5,"A-",IF('Data Source'!Z754&gt;=3,"B",IF('Data Source'!Z754&gt;=2,"C",IF('Data Source'!Z754&gt;=1,"D","F")))))))</f>
        <v/>
      </c>
      <c r="I754" s="3">
        <f>IF('Data Source'!B754="","",IF('Data Source'!AA754&gt;=5,"A+",IF('Data Source'!AA754&gt;=4,"A",IF('Data Source'!AA754&gt;=3.5,"A-",IF('Data Source'!AA754&gt;=3,"B",IF('Data Source'!AA754&gt;=2,"C",IF('Data Source'!AA754&gt;=1,"D","F")))))))</f>
        <v/>
      </c>
      <c r="J754" s="3">
        <f>IF('Data Source'!B754="","",IF('Data Source'!AB754&gt;=5,"A+",IF('Data Source'!AB754&gt;=4,"A",IF('Data Source'!AB754&gt;=3.5,"A-",IF('Data Source'!AB754&gt;=3,"B",IF('Data Source'!AB754&gt;=2,"C",IF('Data Source'!AB754&gt;=1,"D","F")))))))</f>
        <v/>
      </c>
      <c r="K754" s="3">
        <f>IF('Data Source'!B754="","",IF('Data Source'!AC754&gt;=5,"A+",IF('Data Source'!AC754&gt;=4,"A",IF('Data Source'!AC754&gt;=3.5,"A-",IF('Data Source'!AC754&gt;=3,"B",IF('Data Source'!AC754&gt;=2,"C",IF('Data Source'!AC754&gt;=1,"D","F")))))))</f>
        <v/>
      </c>
      <c r="L754" s="3">
        <f>IF('Data Source'!B754="","",IF('Data Source'!AD754&gt;=5,"A+",IF('Data Source'!AD754&gt;=4,"A",IF('Data Source'!AD754&gt;=3.5,"A-",IF('Data Source'!AD754&gt;=3,"B",IF('Data Source'!AD754&gt;=2,"C",IF('Data Source'!AD754&gt;=1,"D","F")))))))</f>
        <v/>
      </c>
      <c r="M754" s="3">
        <f>IF('Data Source'!B754="","",IF('Data Source'!AE754&gt;=5,"A+",IF('Data Source'!AE754&gt;=4,"A",IF('Data Source'!AE754&gt;=3.5,"A-",IF('Data Source'!AE754&gt;=3,"B",IF('Data Source'!AE754&gt;=2,"C",IF('Data Source'!AE754&gt;=1,"D","F")))))))</f>
        <v/>
      </c>
      <c r="N754" s="3">
        <f>IF('Data Source'!B754="","",IF('Data Source'!AF754&gt;=5,"A+",IF('Data Source'!AF754&gt;=4,"A",IF('Data Source'!AF754&gt;=3.5,"A-",IF('Data Source'!AF754&gt;=3,"B",IF('Data Source'!AF754&gt;=2,"C",IF('Data Source'!AF754&gt;=1,"D","F")))))))</f>
        <v/>
      </c>
      <c r="O754" s="3">
        <f>IF('Data Source'!B754="","",IF('Data Source'!AG754&gt;=5,"A+",IF('Data Source'!AG754&gt;=4,"A",IF('Data Source'!AG754&gt;=3.5,"A-",IF('Data Source'!AG754&gt;=3,"B",IF('Data Source'!AG754&gt;=2,"C",IF('Data Source'!AG754&gt;=1,"D","F")))))))</f>
        <v/>
      </c>
      <c r="P754" s="5">
        <f>IF('Data Source'!B754="","",'Data Source'!R754)</f>
        <v/>
      </c>
      <c r="Q754" s="3">
        <f>IF('Data Source'!B754="","",'Data Source'!S754)</f>
        <v/>
      </c>
    </row>
    <row r="755">
      <c r="A755" s="3">
        <f>IF('Data Source'!B755="","",'Data Source'!A755)</f>
        <v/>
      </c>
      <c r="B755">
        <f>IF('Data Source'!B755="","",'Data Source'!B755)</f>
        <v/>
      </c>
      <c r="C755" s="3">
        <f>IF('Data Source'!B755="","",IF('Data Source'!U755&gt;=5,"A+",IF('Data Source'!U755&gt;=4,"A",IF('Data Source'!U755&gt;=3.5,"A-",IF('Data Source'!U755&gt;=3,"B",IF('Data Source'!U755&gt;=2,"C",IF('Data Source'!U755&gt;=1,"D","F")))))))</f>
        <v/>
      </c>
      <c r="D755" s="3">
        <f>IF('Data Source'!B755="","",IF('Data Source'!V755&gt;=5,"A+",IF('Data Source'!V755&gt;=4,"A",IF('Data Source'!V755&gt;=3.5,"A-",IF('Data Source'!V755&gt;=3,"B",IF('Data Source'!V755&gt;=2,"C",IF('Data Source'!V755&gt;=1,"D","F")))))))</f>
        <v/>
      </c>
      <c r="E755" s="3">
        <f>IF('Data Source'!B755="","",IF('Data Source'!W755&gt;=5,"A+",IF('Data Source'!W755&gt;=4,"A",IF('Data Source'!W755&gt;=3.5,"A-",IF('Data Source'!W755&gt;=3,"B",IF('Data Source'!W755&gt;=2,"C",IF('Data Source'!W755&gt;=1,"D","F")))))))</f>
        <v/>
      </c>
      <c r="F755" s="3">
        <f>IF('Data Source'!B755="","",IF('Data Source'!X755&gt;=5,"A+",IF('Data Source'!X755&gt;=4,"A",IF('Data Source'!X755&gt;=3.5,"A-",IF('Data Source'!X755&gt;=3,"B",IF('Data Source'!X755&gt;=2,"C",IF('Data Source'!X755&gt;=1,"D","F")))))))</f>
        <v/>
      </c>
      <c r="G755" s="3">
        <f>IF('Data Source'!B755="","",IF('Data Source'!Y755&gt;=5,"A+",IF('Data Source'!Y755&gt;=4,"A",IF('Data Source'!Y755&gt;=3.5,"A-",IF('Data Source'!Y755&gt;=3,"B",IF('Data Source'!Y755&gt;=2,"C",IF('Data Source'!Y755&gt;=1,"D","F")))))))</f>
        <v/>
      </c>
      <c r="H755" s="3">
        <f>IF('Data Source'!B755="","",IF('Data Source'!Z755&gt;=5,"A+",IF('Data Source'!Z755&gt;=4,"A",IF('Data Source'!Z755&gt;=3.5,"A-",IF('Data Source'!Z755&gt;=3,"B",IF('Data Source'!Z755&gt;=2,"C",IF('Data Source'!Z755&gt;=1,"D","F")))))))</f>
        <v/>
      </c>
      <c r="I755" s="3">
        <f>IF('Data Source'!B755="","",IF('Data Source'!AA755&gt;=5,"A+",IF('Data Source'!AA755&gt;=4,"A",IF('Data Source'!AA755&gt;=3.5,"A-",IF('Data Source'!AA755&gt;=3,"B",IF('Data Source'!AA755&gt;=2,"C",IF('Data Source'!AA755&gt;=1,"D","F")))))))</f>
        <v/>
      </c>
      <c r="J755" s="3">
        <f>IF('Data Source'!B755="","",IF('Data Source'!AB755&gt;=5,"A+",IF('Data Source'!AB755&gt;=4,"A",IF('Data Source'!AB755&gt;=3.5,"A-",IF('Data Source'!AB755&gt;=3,"B",IF('Data Source'!AB755&gt;=2,"C",IF('Data Source'!AB755&gt;=1,"D","F")))))))</f>
        <v/>
      </c>
      <c r="K755" s="3">
        <f>IF('Data Source'!B755="","",IF('Data Source'!AC755&gt;=5,"A+",IF('Data Source'!AC755&gt;=4,"A",IF('Data Source'!AC755&gt;=3.5,"A-",IF('Data Source'!AC755&gt;=3,"B",IF('Data Source'!AC755&gt;=2,"C",IF('Data Source'!AC755&gt;=1,"D","F")))))))</f>
        <v/>
      </c>
      <c r="L755" s="3">
        <f>IF('Data Source'!B755="","",IF('Data Source'!AD755&gt;=5,"A+",IF('Data Source'!AD755&gt;=4,"A",IF('Data Source'!AD755&gt;=3.5,"A-",IF('Data Source'!AD755&gt;=3,"B",IF('Data Source'!AD755&gt;=2,"C",IF('Data Source'!AD755&gt;=1,"D","F")))))))</f>
        <v/>
      </c>
      <c r="M755" s="3">
        <f>IF('Data Source'!B755="","",IF('Data Source'!AE755&gt;=5,"A+",IF('Data Source'!AE755&gt;=4,"A",IF('Data Source'!AE755&gt;=3.5,"A-",IF('Data Source'!AE755&gt;=3,"B",IF('Data Source'!AE755&gt;=2,"C",IF('Data Source'!AE755&gt;=1,"D","F")))))))</f>
        <v/>
      </c>
      <c r="N755" s="3">
        <f>IF('Data Source'!B755="","",IF('Data Source'!AF755&gt;=5,"A+",IF('Data Source'!AF755&gt;=4,"A",IF('Data Source'!AF755&gt;=3.5,"A-",IF('Data Source'!AF755&gt;=3,"B",IF('Data Source'!AF755&gt;=2,"C",IF('Data Source'!AF755&gt;=1,"D","F")))))))</f>
        <v/>
      </c>
      <c r="O755" s="3">
        <f>IF('Data Source'!B755="","",IF('Data Source'!AG755&gt;=5,"A+",IF('Data Source'!AG755&gt;=4,"A",IF('Data Source'!AG755&gt;=3.5,"A-",IF('Data Source'!AG755&gt;=3,"B",IF('Data Source'!AG755&gt;=2,"C",IF('Data Source'!AG755&gt;=1,"D","F")))))))</f>
        <v/>
      </c>
      <c r="P755" s="5">
        <f>IF('Data Source'!B755="","",'Data Source'!R755)</f>
        <v/>
      </c>
      <c r="Q755" s="3">
        <f>IF('Data Source'!B755="","",'Data Source'!S755)</f>
        <v/>
      </c>
    </row>
    <row r="756">
      <c r="A756" s="3">
        <f>IF('Data Source'!B756="","",'Data Source'!A756)</f>
        <v/>
      </c>
      <c r="B756">
        <f>IF('Data Source'!B756="","",'Data Source'!B756)</f>
        <v/>
      </c>
      <c r="C756" s="3">
        <f>IF('Data Source'!B756="","",IF('Data Source'!U756&gt;=5,"A+",IF('Data Source'!U756&gt;=4,"A",IF('Data Source'!U756&gt;=3.5,"A-",IF('Data Source'!U756&gt;=3,"B",IF('Data Source'!U756&gt;=2,"C",IF('Data Source'!U756&gt;=1,"D","F")))))))</f>
        <v/>
      </c>
      <c r="D756" s="3">
        <f>IF('Data Source'!B756="","",IF('Data Source'!V756&gt;=5,"A+",IF('Data Source'!V756&gt;=4,"A",IF('Data Source'!V756&gt;=3.5,"A-",IF('Data Source'!V756&gt;=3,"B",IF('Data Source'!V756&gt;=2,"C",IF('Data Source'!V756&gt;=1,"D","F")))))))</f>
        <v/>
      </c>
      <c r="E756" s="3">
        <f>IF('Data Source'!B756="","",IF('Data Source'!W756&gt;=5,"A+",IF('Data Source'!W756&gt;=4,"A",IF('Data Source'!W756&gt;=3.5,"A-",IF('Data Source'!W756&gt;=3,"B",IF('Data Source'!W756&gt;=2,"C",IF('Data Source'!W756&gt;=1,"D","F")))))))</f>
        <v/>
      </c>
      <c r="F756" s="3">
        <f>IF('Data Source'!B756="","",IF('Data Source'!X756&gt;=5,"A+",IF('Data Source'!X756&gt;=4,"A",IF('Data Source'!X756&gt;=3.5,"A-",IF('Data Source'!X756&gt;=3,"B",IF('Data Source'!X756&gt;=2,"C",IF('Data Source'!X756&gt;=1,"D","F")))))))</f>
        <v/>
      </c>
      <c r="G756" s="3">
        <f>IF('Data Source'!B756="","",IF('Data Source'!Y756&gt;=5,"A+",IF('Data Source'!Y756&gt;=4,"A",IF('Data Source'!Y756&gt;=3.5,"A-",IF('Data Source'!Y756&gt;=3,"B",IF('Data Source'!Y756&gt;=2,"C",IF('Data Source'!Y756&gt;=1,"D","F")))))))</f>
        <v/>
      </c>
      <c r="H756" s="3">
        <f>IF('Data Source'!B756="","",IF('Data Source'!Z756&gt;=5,"A+",IF('Data Source'!Z756&gt;=4,"A",IF('Data Source'!Z756&gt;=3.5,"A-",IF('Data Source'!Z756&gt;=3,"B",IF('Data Source'!Z756&gt;=2,"C",IF('Data Source'!Z756&gt;=1,"D","F")))))))</f>
        <v/>
      </c>
      <c r="I756" s="3">
        <f>IF('Data Source'!B756="","",IF('Data Source'!AA756&gt;=5,"A+",IF('Data Source'!AA756&gt;=4,"A",IF('Data Source'!AA756&gt;=3.5,"A-",IF('Data Source'!AA756&gt;=3,"B",IF('Data Source'!AA756&gt;=2,"C",IF('Data Source'!AA756&gt;=1,"D","F")))))))</f>
        <v/>
      </c>
      <c r="J756" s="3">
        <f>IF('Data Source'!B756="","",IF('Data Source'!AB756&gt;=5,"A+",IF('Data Source'!AB756&gt;=4,"A",IF('Data Source'!AB756&gt;=3.5,"A-",IF('Data Source'!AB756&gt;=3,"B",IF('Data Source'!AB756&gt;=2,"C",IF('Data Source'!AB756&gt;=1,"D","F")))))))</f>
        <v/>
      </c>
      <c r="K756" s="3">
        <f>IF('Data Source'!B756="","",IF('Data Source'!AC756&gt;=5,"A+",IF('Data Source'!AC756&gt;=4,"A",IF('Data Source'!AC756&gt;=3.5,"A-",IF('Data Source'!AC756&gt;=3,"B",IF('Data Source'!AC756&gt;=2,"C",IF('Data Source'!AC756&gt;=1,"D","F")))))))</f>
        <v/>
      </c>
      <c r="L756" s="3">
        <f>IF('Data Source'!B756="","",IF('Data Source'!AD756&gt;=5,"A+",IF('Data Source'!AD756&gt;=4,"A",IF('Data Source'!AD756&gt;=3.5,"A-",IF('Data Source'!AD756&gt;=3,"B",IF('Data Source'!AD756&gt;=2,"C",IF('Data Source'!AD756&gt;=1,"D","F")))))))</f>
        <v/>
      </c>
      <c r="M756" s="3">
        <f>IF('Data Source'!B756="","",IF('Data Source'!AE756&gt;=5,"A+",IF('Data Source'!AE756&gt;=4,"A",IF('Data Source'!AE756&gt;=3.5,"A-",IF('Data Source'!AE756&gt;=3,"B",IF('Data Source'!AE756&gt;=2,"C",IF('Data Source'!AE756&gt;=1,"D","F")))))))</f>
        <v/>
      </c>
      <c r="N756" s="3">
        <f>IF('Data Source'!B756="","",IF('Data Source'!AF756&gt;=5,"A+",IF('Data Source'!AF756&gt;=4,"A",IF('Data Source'!AF756&gt;=3.5,"A-",IF('Data Source'!AF756&gt;=3,"B",IF('Data Source'!AF756&gt;=2,"C",IF('Data Source'!AF756&gt;=1,"D","F")))))))</f>
        <v/>
      </c>
      <c r="O756" s="3">
        <f>IF('Data Source'!B756="","",IF('Data Source'!AG756&gt;=5,"A+",IF('Data Source'!AG756&gt;=4,"A",IF('Data Source'!AG756&gt;=3.5,"A-",IF('Data Source'!AG756&gt;=3,"B",IF('Data Source'!AG756&gt;=2,"C",IF('Data Source'!AG756&gt;=1,"D","F")))))))</f>
        <v/>
      </c>
      <c r="P756" s="5">
        <f>IF('Data Source'!B756="","",'Data Source'!R756)</f>
        <v/>
      </c>
      <c r="Q756" s="3">
        <f>IF('Data Source'!B756="","",'Data Source'!S756)</f>
        <v/>
      </c>
    </row>
    <row r="757">
      <c r="A757" s="3">
        <f>IF('Data Source'!B757="","",'Data Source'!A757)</f>
        <v/>
      </c>
      <c r="B757">
        <f>IF('Data Source'!B757="","",'Data Source'!B757)</f>
        <v/>
      </c>
      <c r="C757" s="3">
        <f>IF('Data Source'!B757="","",IF('Data Source'!U757&gt;=5,"A+",IF('Data Source'!U757&gt;=4,"A",IF('Data Source'!U757&gt;=3.5,"A-",IF('Data Source'!U757&gt;=3,"B",IF('Data Source'!U757&gt;=2,"C",IF('Data Source'!U757&gt;=1,"D","F")))))))</f>
        <v/>
      </c>
      <c r="D757" s="3">
        <f>IF('Data Source'!B757="","",IF('Data Source'!V757&gt;=5,"A+",IF('Data Source'!V757&gt;=4,"A",IF('Data Source'!V757&gt;=3.5,"A-",IF('Data Source'!V757&gt;=3,"B",IF('Data Source'!V757&gt;=2,"C",IF('Data Source'!V757&gt;=1,"D","F")))))))</f>
        <v/>
      </c>
      <c r="E757" s="3">
        <f>IF('Data Source'!B757="","",IF('Data Source'!W757&gt;=5,"A+",IF('Data Source'!W757&gt;=4,"A",IF('Data Source'!W757&gt;=3.5,"A-",IF('Data Source'!W757&gt;=3,"B",IF('Data Source'!W757&gt;=2,"C",IF('Data Source'!W757&gt;=1,"D","F")))))))</f>
        <v/>
      </c>
      <c r="F757" s="3">
        <f>IF('Data Source'!B757="","",IF('Data Source'!X757&gt;=5,"A+",IF('Data Source'!X757&gt;=4,"A",IF('Data Source'!X757&gt;=3.5,"A-",IF('Data Source'!X757&gt;=3,"B",IF('Data Source'!X757&gt;=2,"C",IF('Data Source'!X757&gt;=1,"D","F")))))))</f>
        <v/>
      </c>
      <c r="G757" s="3">
        <f>IF('Data Source'!B757="","",IF('Data Source'!Y757&gt;=5,"A+",IF('Data Source'!Y757&gt;=4,"A",IF('Data Source'!Y757&gt;=3.5,"A-",IF('Data Source'!Y757&gt;=3,"B",IF('Data Source'!Y757&gt;=2,"C",IF('Data Source'!Y757&gt;=1,"D","F")))))))</f>
        <v/>
      </c>
      <c r="H757" s="3">
        <f>IF('Data Source'!B757="","",IF('Data Source'!Z757&gt;=5,"A+",IF('Data Source'!Z757&gt;=4,"A",IF('Data Source'!Z757&gt;=3.5,"A-",IF('Data Source'!Z757&gt;=3,"B",IF('Data Source'!Z757&gt;=2,"C",IF('Data Source'!Z757&gt;=1,"D","F")))))))</f>
        <v/>
      </c>
      <c r="I757" s="3">
        <f>IF('Data Source'!B757="","",IF('Data Source'!AA757&gt;=5,"A+",IF('Data Source'!AA757&gt;=4,"A",IF('Data Source'!AA757&gt;=3.5,"A-",IF('Data Source'!AA757&gt;=3,"B",IF('Data Source'!AA757&gt;=2,"C",IF('Data Source'!AA757&gt;=1,"D","F")))))))</f>
        <v/>
      </c>
      <c r="J757" s="3">
        <f>IF('Data Source'!B757="","",IF('Data Source'!AB757&gt;=5,"A+",IF('Data Source'!AB757&gt;=4,"A",IF('Data Source'!AB757&gt;=3.5,"A-",IF('Data Source'!AB757&gt;=3,"B",IF('Data Source'!AB757&gt;=2,"C",IF('Data Source'!AB757&gt;=1,"D","F")))))))</f>
        <v/>
      </c>
      <c r="K757" s="3">
        <f>IF('Data Source'!B757="","",IF('Data Source'!AC757&gt;=5,"A+",IF('Data Source'!AC757&gt;=4,"A",IF('Data Source'!AC757&gt;=3.5,"A-",IF('Data Source'!AC757&gt;=3,"B",IF('Data Source'!AC757&gt;=2,"C",IF('Data Source'!AC757&gt;=1,"D","F")))))))</f>
        <v/>
      </c>
      <c r="L757" s="3">
        <f>IF('Data Source'!B757="","",IF('Data Source'!AD757&gt;=5,"A+",IF('Data Source'!AD757&gt;=4,"A",IF('Data Source'!AD757&gt;=3.5,"A-",IF('Data Source'!AD757&gt;=3,"B",IF('Data Source'!AD757&gt;=2,"C",IF('Data Source'!AD757&gt;=1,"D","F")))))))</f>
        <v/>
      </c>
      <c r="M757" s="3">
        <f>IF('Data Source'!B757="","",IF('Data Source'!AE757&gt;=5,"A+",IF('Data Source'!AE757&gt;=4,"A",IF('Data Source'!AE757&gt;=3.5,"A-",IF('Data Source'!AE757&gt;=3,"B",IF('Data Source'!AE757&gt;=2,"C",IF('Data Source'!AE757&gt;=1,"D","F")))))))</f>
        <v/>
      </c>
      <c r="N757" s="3">
        <f>IF('Data Source'!B757="","",IF('Data Source'!AF757&gt;=5,"A+",IF('Data Source'!AF757&gt;=4,"A",IF('Data Source'!AF757&gt;=3.5,"A-",IF('Data Source'!AF757&gt;=3,"B",IF('Data Source'!AF757&gt;=2,"C",IF('Data Source'!AF757&gt;=1,"D","F")))))))</f>
        <v/>
      </c>
      <c r="O757" s="3">
        <f>IF('Data Source'!B757="","",IF('Data Source'!AG757&gt;=5,"A+",IF('Data Source'!AG757&gt;=4,"A",IF('Data Source'!AG757&gt;=3.5,"A-",IF('Data Source'!AG757&gt;=3,"B",IF('Data Source'!AG757&gt;=2,"C",IF('Data Source'!AG757&gt;=1,"D","F")))))))</f>
        <v/>
      </c>
      <c r="P757" s="5">
        <f>IF('Data Source'!B757="","",'Data Source'!R757)</f>
        <v/>
      </c>
      <c r="Q757" s="3">
        <f>IF('Data Source'!B757="","",'Data Source'!S757)</f>
        <v/>
      </c>
    </row>
    <row r="758">
      <c r="A758" s="3">
        <f>IF('Data Source'!B758="","",'Data Source'!A758)</f>
        <v/>
      </c>
      <c r="B758">
        <f>IF('Data Source'!B758="","",'Data Source'!B758)</f>
        <v/>
      </c>
      <c r="C758" s="3">
        <f>IF('Data Source'!B758="","",IF('Data Source'!U758&gt;=5,"A+",IF('Data Source'!U758&gt;=4,"A",IF('Data Source'!U758&gt;=3.5,"A-",IF('Data Source'!U758&gt;=3,"B",IF('Data Source'!U758&gt;=2,"C",IF('Data Source'!U758&gt;=1,"D","F")))))))</f>
        <v/>
      </c>
      <c r="D758" s="3">
        <f>IF('Data Source'!B758="","",IF('Data Source'!V758&gt;=5,"A+",IF('Data Source'!V758&gt;=4,"A",IF('Data Source'!V758&gt;=3.5,"A-",IF('Data Source'!V758&gt;=3,"B",IF('Data Source'!V758&gt;=2,"C",IF('Data Source'!V758&gt;=1,"D","F")))))))</f>
        <v/>
      </c>
      <c r="E758" s="3">
        <f>IF('Data Source'!B758="","",IF('Data Source'!W758&gt;=5,"A+",IF('Data Source'!W758&gt;=4,"A",IF('Data Source'!W758&gt;=3.5,"A-",IF('Data Source'!W758&gt;=3,"B",IF('Data Source'!W758&gt;=2,"C",IF('Data Source'!W758&gt;=1,"D","F")))))))</f>
        <v/>
      </c>
      <c r="F758" s="3">
        <f>IF('Data Source'!B758="","",IF('Data Source'!X758&gt;=5,"A+",IF('Data Source'!X758&gt;=4,"A",IF('Data Source'!X758&gt;=3.5,"A-",IF('Data Source'!X758&gt;=3,"B",IF('Data Source'!X758&gt;=2,"C",IF('Data Source'!X758&gt;=1,"D","F")))))))</f>
        <v/>
      </c>
      <c r="G758" s="3">
        <f>IF('Data Source'!B758="","",IF('Data Source'!Y758&gt;=5,"A+",IF('Data Source'!Y758&gt;=4,"A",IF('Data Source'!Y758&gt;=3.5,"A-",IF('Data Source'!Y758&gt;=3,"B",IF('Data Source'!Y758&gt;=2,"C",IF('Data Source'!Y758&gt;=1,"D","F")))))))</f>
        <v/>
      </c>
      <c r="H758" s="3">
        <f>IF('Data Source'!B758="","",IF('Data Source'!Z758&gt;=5,"A+",IF('Data Source'!Z758&gt;=4,"A",IF('Data Source'!Z758&gt;=3.5,"A-",IF('Data Source'!Z758&gt;=3,"B",IF('Data Source'!Z758&gt;=2,"C",IF('Data Source'!Z758&gt;=1,"D","F")))))))</f>
        <v/>
      </c>
      <c r="I758" s="3">
        <f>IF('Data Source'!B758="","",IF('Data Source'!AA758&gt;=5,"A+",IF('Data Source'!AA758&gt;=4,"A",IF('Data Source'!AA758&gt;=3.5,"A-",IF('Data Source'!AA758&gt;=3,"B",IF('Data Source'!AA758&gt;=2,"C",IF('Data Source'!AA758&gt;=1,"D","F")))))))</f>
        <v/>
      </c>
      <c r="J758" s="3">
        <f>IF('Data Source'!B758="","",IF('Data Source'!AB758&gt;=5,"A+",IF('Data Source'!AB758&gt;=4,"A",IF('Data Source'!AB758&gt;=3.5,"A-",IF('Data Source'!AB758&gt;=3,"B",IF('Data Source'!AB758&gt;=2,"C",IF('Data Source'!AB758&gt;=1,"D","F")))))))</f>
        <v/>
      </c>
      <c r="K758" s="3">
        <f>IF('Data Source'!B758="","",IF('Data Source'!AC758&gt;=5,"A+",IF('Data Source'!AC758&gt;=4,"A",IF('Data Source'!AC758&gt;=3.5,"A-",IF('Data Source'!AC758&gt;=3,"B",IF('Data Source'!AC758&gt;=2,"C",IF('Data Source'!AC758&gt;=1,"D","F")))))))</f>
        <v/>
      </c>
      <c r="L758" s="3">
        <f>IF('Data Source'!B758="","",IF('Data Source'!AD758&gt;=5,"A+",IF('Data Source'!AD758&gt;=4,"A",IF('Data Source'!AD758&gt;=3.5,"A-",IF('Data Source'!AD758&gt;=3,"B",IF('Data Source'!AD758&gt;=2,"C",IF('Data Source'!AD758&gt;=1,"D","F")))))))</f>
        <v/>
      </c>
      <c r="M758" s="3">
        <f>IF('Data Source'!B758="","",IF('Data Source'!AE758&gt;=5,"A+",IF('Data Source'!AE758&gt;=4,"A",IF('Data Source'!AE758&gt;=3.5,"A-",IF('Data Source'!AE758&gt;=3,"B",IF('Data Source'!AE758&gt;=2,"C",IF('Data Source'!AE758&gt;=1,"D","F")))))))</f>
        <v/>
      </c>
      <c r="N758" s="3">
        <f>IF('Data Source'!B758="","",IF('Data Source'!AF758&gt;=5,"A+",IF('Data Source'!AF758&gt;=4,"A",IF('Data Source'!AF758&gt;=3.5,"A-",IF('Data Source'!AF758&gt;=3,"B",IF('Data Source'!AF758&gt;=2,"C",IF('Data Source'!AF758&gt;=1,"D","F")))))))</f>
        <v/>
      </c>
      <c r="O758" s="3">
        <f>IF('Data Source'!B758="","",IF('Data Source'!AG758&gt;=5,"A+",IF('Data Source'!AG758&gt;=4,"A",IF('Data Source'!AG758&gt;=3.5,"A-",IF('Data Source'!AG758&gt;=3,"B",IF('Data Source'!AG758&gt;=2,"C",IF('Data Source'!AG758&gt;=1,"D","F")))))))</f>
        <v/>
      </c>
      <c r="P758" s="5">
        <f>IF('Data Source'!B758="","",'Data Source'!R758)</f>
        <v/>
      </c>
      <c r="Q758" s="3">
        <f>IF('Data Source'!B758="","",'Data Source'!S758)</f>
        <v/>
      </c>
    </row>
    <row r="759">
      <c r="A759" s="3">
        <f>IF('Data Source'!B759="","",'Data Source'!A759)</f>
        <v/>
      </c>
      <c r="B759">
        <f>IF('Data Source'!B759="","",'Data Source'!B759)</f>
        <v/>
      </c>
      <c r="C759" s="3">
        <f>IF('Data Source'!B759="","",IF('Data Source'!U759&gt;=5,"A+",IF('Data Source'!U759&gt;=4,"A",IF('Data Source'!U759&gt;=3.5,"A-",IF('Data Source'!U759&gt;=3,"B",IF('Data Source'!U759&gt;=2,"C",IF('Data Source'!U759&gt;=1,"D","F")))))))</f>
        <v/>
      </c>
      <c r="D759" s="3">
        <f>IF('Data Source'!B759="","",IF('Data Source'!V759&gt;=5,"A+",IF('Data Source'!V759&gt;=4,"A",IF('Data Source'!V759&gt;=3.5,"A-",IF('Data Source'!V759&gt;=3,"B",IF('Data Source'!V759&gt;=2,"C",IF('Data Source'!V759&gt;=1,"D","F")))))))</f>
        <v/>
      </c>
      <c r="E759" s="3">
        <f>IF('Data Source'!B759="","",IF('Data Source'!W759&gt;=5,"A+",IF('Data Source'!W759&gt;=4,"A",IF('Data Source'!W759&gt;=3.5,"A-",IF('Data Source'!W759&gt;=3,"B",IF('Data Source'!W759&gt;=2,"C",IF('Data Source'!W759&gt;=1,"D","F")))))))</f>
        <v/>
      </c>
      <c r="F759" s="3">
        <f>IF('Data Source'!B759="","",IF('Data Source'!X759&gt;=5,"A+",IF('Data Source'!X759&gt;=4,"A",IF('Data Source'!X759&gt;=3.5,"A-",IF('Data Source'!X759&gt;=3,"B",IF('Data Source'!X759&gt;=2,"C",IF('Data Source'!X759&gt;=1,"D","F")))))))</f>
        <v/>
      </c>
      <c r="G759" s="3">
        <f>IF('Data Source'!B759="","",IF('Data Source'!Y759&gt;=5,"A+",IF('Data Source'!Y759&gt;=4,"A",IF('Data Source'!Y759&gt;=3.5,"A-",IF('Data Source'!Y759&gt;=3,"B",IF('Data Source'!Y759&gt;=2,"C",IF('Data Source'!Y759&gt;=1,"D","F")))))))</f>
        <v/>
      </c>
      <c r="H759" s="3">
        <f>IF('Data Source'!B759="","",IF('Data Source'!Z759&gt;=5,"A+",IF('Data Source'!Z759&gt;=4,"A",IF('Data Source'!Z759&gt;=3.5,"A-",IF('Data Source'!Z759&gt;=3,"B",IF('Data Source'!Z759&gt;=2,"C",IF('Data Source'!Z759&gt;=1,"D","F")))))))</f>
        <v/>
      </c>
      <c r="I759" s="3">
        <f>IF('Data Source'!B759="","",IF('Data Source'!AA759&gt;=5,"A+",IF('Data Source'!AA759&gt;=4,"A",IF('Data Source'!AA759&gt;=3.5,"A-",IF('Data Source'!AA759&gt;=3,"B",IF('Data Source'!AA759&gt;=2,"C",IF('Data Source'!AA759&gt;=1,"D","F")))))))</f>
        <v/>
      </c>
      <c r="J759" s="3">
        <f>IF('Data Source'!B759="","",IF('Data Source'!AB759&gt;=5,"A+",IF('Data Source'!AB759&gt;=4,"A",IF('Data Source'!AB759&gt;=3.5,"A-",IF('Data Source'!AB759&gt;=3,"B",IF('Data Source'!AB759&gt;=2,"C",IF('Data Source'!AB759&gt;=1,"D","F")))))))</f>
        <v/>
      </c>
      <c r="K759" s="3">
        <f>IF('Data Source'!B759="","",IF('Data Source'!AC759&gt;=5,"A+",IF('Data Source'!AC759&gt;=4,"A",IF('Data Source'!AC759&gt;=3.5,"A-",IF('Data Source'!AC759&gt;=3,"B",IF('Data Source'!AC759&gt;=2,"C",IF('Data Source'!AC759&gt;=1,"D","F")))))))</f>
        <v/>
      </c>
      <c r="L759" s="3">
        <f>IF('Data Source'!B759="","",IF('Data Source'!AD759&gt;=5,"A+",IF('Data Source'!AD759&gt;=4,"A",IF('Data Source'!AD759&gt;=3.5,"A-",IF('Data Source'!AD759&gt;=3,"B",IF('Data Source'!AD759&gt;=2,"C",IF('Data Source'!AD759&gt;=1,"D","F")))))))</f>
        <v/>
      </c>
      <c r="M759" s="3">
        <f>IF('Data Source'!B759="","",IF('Data Source'!AE759&gt;=5,"A+",IF('Data Source'!AE759&gt;=4,"A",IF('Data Source'!AE759&gt;=3.5,"A-",IF('Data Source'!AE759&gt;=3,"B",IF('Data Source'!AE759&gt;=2,"C",IF('Data Source'!AE759&gt;=1,"D","F")))))))</f>
        <v/>
      </c>
      <c r="N759" s="3">
        <f>IF('Data Source'!B759="","",IF('Data Source'!AF759&gt;=5,"A+",IF('Data Source'!AF759&gt;=4,"A",IF('Data Source'!AF759&gt;=3.5,"A-",IF('Data Source'!AF759&gt;=3,"B",IF('Data Source'!AF759&gt;=2,"C",IF('Data Source'!AF759&gt;=1,"D","F")))))))</f>
        <v/>
      </c>
      <c r="O759" s="3">
        <f>IF('Data Source'!B759="","",IF('Data Source'!AG759&gt;=5,"A+",IF('Data Source'!AG759&gt;=4,"A",IF('Data Source'!AG759&gt;=3.5,"A-",IF('Data Source'!AG759&gt;=3,"B",IF('Data Source'!AG759&gt;=2,"C",IF('Data Source'!AG759&gt;=1,"D","F")))))))</f>
        <v/>
      </c>
      <c r="P759" s="5">
        <f>IF('Data Source'!B759="","",'Data Source'!R759)</f>
        <v/>
      </c>
      <c r="Q759" s="3">
        <f>IF('Data Source'!B759="","",'Data Source'!S759)</f>
        <v/>
      </c>
    </row>
    <row r="760">
      <c r="A760" s="3">
        <f>IF('Data Source'!B760="","",'Data Source'!A760)</f>
        <v/>
      </c>
      <c r="B760">
        <f>IF('Data Source'!B760="","",'Data Source'!B760)</f>
        <v/>
      </c>
      <c r="C760" s="3">
        <f>IF('Data Source'!B760="","",IF('Data Source'!U760&gt;=5,"A+",IF('Data Source'!U760&gt;=4,"A",IF('Data Source'!U760&gt;=3.5,"A-",IF('Data Source'!U760&gt;=3,"B",IF('Data Source'!U760&gt;=2,"C",IF('Data Source'!U760&gt;=1,"D","F")))))))</f>
        <v/>
      </c>
      <c r="D760" s="3">
        <f>IF('Data Source'!B760="","",IF('Data Source'!V760&gt;=5,"A+",IF('Data Source'!V760&gt;=4,"A",IF('Data Source'!V760&gt;=3.5,"A-",IF('Data Source'!V760&gt;=3,"B",IF('Data Source'!V760&gt;=2,"C",IF('Data Source'!V760&gt;=1,"D","F")))))))</f>
        <v/>
      </c>
      <c r="E760" s="3">
        <f>IF('Data Source'!B760="","",IF('Data Source'!W760&gt;=5,"A+",IF('Data Source'!W760&gt;=4,"A",IF('Data Source'!W760&gt;=3.5,"A-",IF('Data Source'!W760&gt;=3,"B",IF('Data Source'!W760&gt;=2,"C",IF('Data Source'!W760&gt;=1,"D","F")))))))</f>
        <v/>
      </c>
      <c r="F760" s="3">
        <f>IF('Data Source'!B760="","",IF('Data Source'!X760&gt;=5,"A+",IF('Data Source'!X760&gt;=4,"A",IF('Data Source'!X760&gt;=3.5,"A-",IF('Data Source'!X760&gt;=3,"B",IF('Data Source'!X760&gt;=2,"C",IF('Data Source'!X760&gt;=1,"D","F")))))))</f>
        <v/>
      </c>
      <c r="G760" s="3">
        <f>IF('Data Source'!B760="","",IF('Data Source'!Y760&gt;=5,"A+",IF('Data Source'!Y760&gt;=4,"A",IF('Data Source'!Y760&gt;=3.5,"A-",IF('Data Source'!Y760&gt;=3,"B",IF('Data Source'!Y760&gt;=2,"C",IF('Data Source'!Y760&gt;=1,"D","F")))))))</f>
        <v/>
      </c>
      <c r="H760" s="3">
        <f>IF('Data Source'!B760="","",IF('Data Source'!Z760&gt;=5,"A+",IF('Data Source'!Z760&gt;=4,"A",IF('Data Source'!Z760&gt;=3.5,"A-",IF('Data Source'!Z760&gt;=3,"B",IF('Data Source'!Z760&gt;=2,"C",IF('Data Source'!Z760&gt;=1,"D","F")))))))</f>
        <v/>
      </c>
      <c r="I760" s="3">
        <f>IF('Data Source'!B760="","",IF('Data Source'!AA760&gt;=5,"A+",IF('Data Source'!AA760&gt;=4,"A",IF('Data Source'!AA760&gt;=3.5,"A-",IF('Data Source'!AA760&gt;=3,"B",IF('Data Source'!AA760&gt;=2,"C",IF('Data Source'!AA760&gt;=1,"D","F")))))))</f>
        <v/>
      </c>
      <c r="J760" s="3">
        <f>IF('Data Source'!B760="","",IF('Data Source'!AB760&gt;=5,"A+",IF('Data Source'!AB760&gt;=4,"A",IF('Data Source'!AB760&gt;=3.5,"A-",IF('Data Source'!AB760&gt;=3,"B",IF('Data Source'!AB760&gt;=2,"C",IF('Data Source'!AB760&gt;=1,"D","F")))))))</f>
        <v/>
      </c>
      <c r="K760" s="3">
        <f>IF('Data Source'!B760="","",IF('Data Source'!AC760&gt;=5,"A+",IF('Data Source'!AC760&gt;=4,"A",IF('Data Source'!AC760&gt;=3.5,"A-",IF('Data Source'!AC760&gt;=3,"B",IF('Data Source'!AC760&gt;=2,"C",IF('Data Source'!AC760&gt;=1,"D","F")))))))</f>
        <v/>
      </c>
      <c r="L760" s="3">
        <f>IF('Data Source'!B760="","",IF('Data Source'!AD760&gt;=5,"A+",IF('Data Source'!AD760&gt;=4,"A",IF('Data Source'!AD760&gt;=3.5,"A-",IF('Data Source'!AD760&gt;=3,"B",IF('Data Source'!AD760&gt;=2,"C",IF('Data Source'!AD760&gt;=1,"D","F")))))))</f>
        <v/>
      </c>
      <c r="M760" s="3">
        <f>IF('Data Source'!B760="","",IF('Data Source'!AE760&gt;=5,"A+",IF('Data Source'!AE760&gt;=4,"A",IF('Data Source'!AE760&gt;=3.5,"A-",IF('Data Source'!AE760&gt;=3,"B",IF('Data Source'!AE760&gt;=2,"C",IF('Data Source'!AE760&gt;=1,"D","F")))))))</f>
        <v/>
      </c>
      <c r="N760" s="3">
        <f>IF('Data Source'!B760="","",IF('Data Source'!AF760&gt;=5,"A+",IF('Data Source'!AF760&gt;=4,"A",IF('Data Source'!AF760&gt;=3.5,"A-",IF('Data Source'!AF760&gt;=3,"B",IF('Data Source'!AF760&gt;=2,"C",IF('Data Source'!AF760&gt;=1,"D","F")))))))</f>
        <v/>
      </c>
      <c r="O760" s="3">
        <f>IF('Data Source'!B760="","",IF('Data Source'!AG760&gt;=5,"A+",IF('Data Source'!AG760&gt;=4,"A",IF('Data Source'!AG760&gt;=3.5,"A-",IF('Data Source'!AG760&gt;=3,"B",IF('Data Source'!AG760&gt;=2,"C",IF('Data Source'!AG760&gt;=1,"D","F")))))))</f>
        <v/>
      </c>
      <c r="P760" s="5">
        <f>IF('Data Source'!B760="","",'Data Source'!R760)</f>
        <v/>
      </c>
      <c r="Q760" s="3">
        <f>IF('Data Source'!B760="","",'Data Source'!S760)</f>
        <v/>
      </c>
    </row>
    <row r="761">
      <c r="A761" s="3">
        <f>IF('Data Source'!B761="","",'Data Source'!A761)</f>
        <v/>
      </c>
      <c r="B761">
        <f>IF('Data Source'!B761="","",'Data Source'!B761)</f>
        <v/>
      </c>
      <c r="C761" s="3">
        <f>IF('Data Source'!B761="","",IF('Data Source'!U761&gt;=5,"A+",IF('Data Source'!U761&gt;=4,"A",IF('Data Source'!U761&gt;=3.5,"A-",IF('Data Source'!U761&gt;=3,"B",IF('Data Source'!U761&gt;=2,"C",IF('Data Source'!U761&gt;=1,"D","F")))))))</f>
        <v/>
      </c>
      <c r="D761" s="3">
        <f>IF('Data Source'!B761="","",IF('Data Source'!V761&gt;=5,"A+",IF('Data Source'!V761&gt;=4,"A",IF('Data Source'!V761&gt;=3.5,"A-",IF('Data Source'!V761&gt;=3,"B",IF('Data Source'!V761&gt;=2,"C",IF('Data Source'!V761&gt;=1,"D","F")))))))</f>
        <v/>
      </c>
      <c r="E761" s="3">
        <f>IF('Data Source'!B761="","",IF('Data Source'!W761&gt;=5,"A+",IF('Data Source'!W761&gt;=4,"A",IF('Data Source'!W761&gt;=3.5,"A-",IF('Data Source'!W761&gt;=3,"B",IF('Data Source'!W761&gt;=2,"C",IF('Data Source'!W761&gt;=1,"D","F")))))))</f>
        <v/>
      </c>
      <c r="F761" s="3">
        <f>IF('Data Source'!B761="","",IF('Data Source'!X761&gt;=5,"A+",IF('Data Source'!X761&gt;=4,"A",IF('Data Source'!X761&gt;=3.5,"A-",IF('Data Source'!X761&gt;=3,"B",IF('Data Source'!X761&gt;=2,"C",IF('Data Source'!X761&gt;=1,"D","F")))))))</f>
        <v/>
      </c>
      <c r="G761" s="3">
        <f>IF('Data Source'!B761="","",IF('Data Source'!Y761&gt;=5,"A+",IF('Data Source'!Y761&gt;=4,"A",IF('Data Source'!Y761&gt;=3.5,"A-",IF('Data Source'!Y761&gt;=3,"B",IF('Data Source'!Y761&gt;=2,"C",IF('Data Source'!Y761&gt;=1,"D","F")))))))</f>
        <v/>
      </c>
      <c r="H761" s="3">
        <f>IF('Data Source'!B761="","",IF('Data Source'!Z761&gt;=5,"A+",IF('Data Source'!Z761&gt;=4,"A",IF('Data Source'!Z761&gt;=3.5,"A-",IF('Data Source'!Z761&gt;=3,"B",IF('Data Source'!Z761&gt;=2,"C",IF('Data Source'!Z761&gt;=1,"D","F")))))))</f>
        <v/>
      </c>
      <c r="I761" s="3">
        <f>IF('Data Source'!B761="","",IF('Data Source'!AA761&gt;=5,"A+",IF('Data Source'!AA761&gt;=4,"A",IF('Data Source'!AA761&gt;=3.5,"A-",IF('Data Source'!AA761&gt;=3,"B",IF('Data Source'!AA761&gt;=2,"C",IF('Data Source'!AA761&gt;=1,"D","F")))))))</f>
        <v/>
      </c>
      <c r="J761" s="3">
        <f>IF('Data Source'!B761="","",IF('Data Source'!AB761&gt;=5,"A+",IF('Data Source'!AB761&gt;=4,"A",IF('Data Source'!AB761&gt;=3.5,"A-",IF('Data Source'!AB761&gt;=3,"B",IF('Data Source'!AB761&gt;=2,"C",IF('Data Source'!AB761&gt;=1,"D","F")))))))</f>
        <v/>
      </c>
      <c r="K761" s="3">
        <f>IF('Data Source'!B761="","",IF('Data Source'!AC761&gt;=5,"A+",IF('Data Source'!AC761&gt;=4,"A",IF('Data Source'!AC761&gt;=3.5,"A-",IF('Data Source'!AC761&gt;=3,"B",IF('Data Source'!AC761&gt;=2,"C",IF('Data Source'!AC761&gt;=1,"D","F")))))))</f>
        <v/>
      </c>
      <c r="L761" s="3">
        <f>IF('Data Source'!B761="","",IF('Data Source'!AD761&gt;=5,"A+",IF('Data Source'!AD761&gt;=4,"A",IF('Data Source'!AD761&gt;=3.5,"A-",IF('Data Source'!AD761&gt;=3,"B",IF('Data Source'!AD761&gt;=2,"C",IF('Data Source'!AD761&gt;=1,"D","F")))))))</f>
        <v/>
      </c>
      <c r="M761" s="3">
        <f>IF('Data Source'!B761="","",IF('Data Source'!AE761&gt;=5,"A+",IF('Data Source'!AE761&gt;=4,"A",IF('Data Source'!AE761&gt;=3.5,"A-",IF('Data Source'!AE761&gt;=3,"B",IF('Data Source'!AE761&gt;=2,"C",IF('Data Source'!AE761&gt;=1,"D","F")))))))</f>
        <v/>
      </c>
      <c r="N761" s="3">
        <f>IF('Data Source'!B761="","",IF('Data Source'!AF761&gt;=5,"A+",IF('Data Source'!AF761&gt;=4,"A",IF('Data Source'!AF761&gt;=3.5,"A-",IF('Data Source'!AF761&gt;=3,"B",IF('Data Source'!AF761&gt;=2,"C",IF('Data Source'!AF761&gt;=1,"D","F")))))))</f>
        <v/>
      </c>
      <c r="O761" s="3">
        <f>IF('Data Source'!B761="","",IF('Data Source'!AG761&gt;=5,"A+",IF('Data Source'!AG761&gt;=4,"A",IF('Data Source'!AG761&gt;=3.5,"A-",IF('Data Source'!AG761&gt;=3,"B",IF('Data Source'!AG761&gt;=2,"C",IF('Data Source'!AG761&gt;=1,"D","F")))))))</f>
        <v/>
      </c>
      <c r="P761" s="5">
        <f>IF('Data Source'!B761="","",'Data Source'!R761)</f>
        <v/>
      </c>
      <c r="Q761" s="3">
        <f>IF('Data Source'!B761="","",'Data Source'!S761)</f>
        <v/>
      </c>
    </row>
    <row r="762">
      <c r="A762" s="3">
        <f>IF('Data Source'!B762="","",'Data Source'!A762)</f>
        <v/>
      </c>
      <c r="B762">
        <f>IF('Data Source'!B762="","",'Data Source'!B762)</f>
        <v/>
      </c>
      <c r="C762" s="3">
        <f>IF('Data Source'!B762="","",IF('Data Source'!U762&gt;=5,"A+",IF('Data Source'!U762&gt;=4,"A",IF('Data Source'!U762&gt;=3.5,"A-",IF('Data Source'!U762&gt;=3,"B",IF('Data Source'!U762&gt;=2,"C",IF('Data Source'!U762&gt;=1,"D","F")))))))</f>
        <v/>
      </c>
      <c r="D762" s="3">
        <f>IF('Data Source'!B762="","",IF('Data Source'!V762&gt;=5,"A+",IF('Data Source'!V762&gt;=4,"A",IF('Data Source'!V762&gt;=3.5,"A-",IF('Data Source'!V762&gt;=3,"B",IF('Data Source'!V762&gt;=2,"C",IF('Data Source'!V762&gt;=1,"D","F")))))))</f>
        <v/>
      </c>
      <c r="E762" s="3">
        <f>IF('Data Source'!B762="","",IF('Data Source'!W762&gt;=5,"A+",IF('Data Source'!W762&gt;=4,"A",IF('Data Source'!W762&gt;=3.5,"A-",IF('Data Source'!W762&gt;=3,"B",IF('Data Source'!W762&gt;=2,"C",IF('Data Source'!W762&gt;=1,"D","F")))))))</f>
        <v/>
      </c>
      <c r="F762" s="3">
        <f>IF('Data Source'!B762="","",IF('Data Source'!X762&gt;=5,"A+",IF('Data Source'!X762&gt;=4,"A",IF('Data Source'!X762&gt;=3.5,"A-",IF('Data Source'!X762&gt;=3,"B",IF('Data Source'!X762&gt;=2,"C",IF('Data Source'!X762&gt;=1,"D","F")))))))</f>
        <v/>
      </c>
      <c r="G762" s="3">
        <f>IF('Data Source'!B762="","",IF('Data Source'!Y762&gt;=5,"A+",IF('Data Source'!Y762&gt;=4,"A",IF('Data Source'!Y762&gt;=3.5,"A-",IF('Data Source'!Y762&gt;=3,"B",IF('Data Source'!Y762&gt;=2,"C",IF('Data Source'!Y762&gt;=1,"D","F")))))))</f>
        <v/>
      </c>
      <c r="H762" s="3">
        <f>IF('Data Source'!B762="","",IF('Data Source'!Z762&gt;=5,"A+",IF('Data Source'!Z762&gt;=4,"A",IF('Data Source'!Z762&gt;=3.5,"A-",IF('Data Source'!Z762&gt;=3,"B",IF('Data Source'!Z762&gt;=2,"C",IF('Data Source'!Z762&gt;=1,"D","F")))))))</f>
        <v/>
      </c>
      <c r="I762" s="3">
        <f>IF('Data Source'!B762="","",IF('Data Source'!AA762&gt;=5,"A+",IF('Data Source'!AA762&gt;=4,"A",IF('Data Source'!AA762&gt;=3.5,"A-",IF('Data Source'!AA762&gt;=3,"B",IF('Data Source'!AA762&gt;=2,"C",IF('Data Source'!AA762&gt;=1,"D","F")))))))</f>
        <v/>
      </c>
      <c r="J762" s="3">
        <f>IF('Data Source'!B762="","",IF('Data Source'!AB762&gt;=5,"A+",IF('Data Source'!AB762&gt;=4,"A",IF('Data Source'!AB762&gt;=3.5,"A-",IF('Data Source'!AB762&gt;=3,"B",IF('Data Source'!AB762&gt;=2,"C",IF('Data Source'!AB762&gt;=1,"D","F")))))))</f>
        <v/>
      </c>
      <c r="K762" s="3">
        <f>IF('Data Source'!B762="","",IF('Data Source'!AC762&gt;=5,"A+",IF('Data Source'!AC762&gt;=4,"A",IF('Data Source'!AC762&gt;=3.5,"A-",IF('Data Source'!AC762&gt;=3,"B",IF('Data Source'!AC762&gt;=2,"C",IF('Data Source'!AC762&gt;=1,"D","F")))))))</f>
        <v/>
      </c>
      <c r="L762" s="3">
        <f>IF('Data Source'!B762="","",IF('Data Source'!AD762&gt;=5,"A+",IF('Data Source'!AD762&gt;=4,"A",IF('Data Source'!AD762&gt;=3.5,"A-",IF('Data Source'!AD762&gt;=3,"B",IF('Data Source'!AD762&gt;=2,"C",IF('Data Source'!AD762&gt;=1,"D","F")))))))</f>
        <v/>
      </c>
      <c r="M762" s="3">
        <f>IF('Data Source'!B762="","",IF('Data Source'!AE762&gt;=5,"A+",IF('Data Source'!AE762&gt;=4,"A",IF('Data Source'!AE762&gt;=3.5,"A-",IF('Data Source'!AE762&gt;=3,"B",IF('Data Source'!AE762&gt;=2,"C",IF('Data Source'!AE762&gt;=1,"D","F")))))))</f>
        <v/>
      </c>
      <c r="N762" s="3">
        <f>IF('Data Source'!B762="","",IF('Data Source'!AF762&gt;=5,"A+",IF('Data Source'!AF762&gt;=4,"A",IF('Data Source'!AF762&gt;=3.5,"A-",IF('Data Source'!AF762&gt;=3,"B",IF('Data Source'!AF762&gt;=2,"C",IF('Data Source'!AF762&gt;=1,"D","F")))))))</f>
        <v/>
      </c>
      <c r="O762" s="3">
        <f>IF('Data Source'!B762="","",IF('Data Source'!AG762&gt;=5,"A+",IF('Data Source'!AG762&gt;=4,"A",IF('Data Source'!AG762&gt;=3.5,"A-",IF('Data Source'!AG762&gt;=3,"B",IF('Data Source'!AG762&gt;=2,"C",IF('Data Source'!AG762&gt;=1,"D","F")))))))</f>
        <v/>
      </c>
      <c r="P762" s="5">
        <f>IF('Data Source'!B762="","",'Data Source'!R762)</f>
        <v/>
      </c>
      <c r="Q762" s="3">
        <f>IF('Data Source'!B762="","",'Data Source'!S762)</f>
        <v/>
      </c>
    </row>
    <row r="763">
      <c r="A763" s="3">
        <f>IF('Data Source'!B763="","",'Data Source'!A763)</f>
        <v/>
      </c>
      <c r="B763">
        <f>IF('Data Source'!B763="","",'Data Source'!B763)</f>
        <v/>
      </c>
      <c r="C763" s="3">
        <f>IF('Data Source'!B763="","",IF('Data Source'!U763&gt;=5,"A+",IF('Data Source'!U763&gt;=4,"A",IF('Data Source'!U763&gt;=3.5,"A-",IF('Data Source'!U763&gt;=3,"B",IF('Data Source'!U763&gt;=2,"C",IF('Data Source'!U763&gt;=1,"D","F")))))))</f>
        <v/>
      </c>
      <c r="D763" s="3">
        <f>IF('Data Source'!B763="","",IF('Data Source'!V763&gt;=5,"A+",IF('Data Source'!V763&gt;=4,"A",IF('Data Source'!V763&gt;=3.5,"A-",IF('Data Source'!V763&gt;=3,"B",IF('Data Source'!V763&gt;=2,"C",IF('Data Source'!V763&gt;=1,"D","F")))))))</f>
        <v/>
      </c>
      <c r="E763" s="3">
        <f>IF('Data Source'!B763="","",IF('Data Source'!W763&gt;=5,"A+",IF('Data Source'!W763&gt;=4,"A",IF('Data Source'!W763&gt;=3.5,"A-",IF('Data Source'!W763&gt;=3,"B",IF('Data Source'!W763&gt;=2,"C",IF('Data Source'!W763&gt;=1,"D","F")))))))</f>
        <v/>
      </c>
      <c r="F763" s="3">
        <f>IF('Data Source'!B763="","",IF('Data Source'!X763&gt;=5,"A+",IF('Data Source'!X763&gt;=4,"A",IF('Data Source'!X763&gt;=3.5,"A-",IF('Data Source'!X763&gt;=3,"B",IF('Data Source'!X763&gt;=2,"C",IF('Data Source'!X763&gt;=1,"D","F")))))))</f>
        <v/>
      </c>
      <c r="G763" s="3">
        <f>IF('Data Source'!B763="","",IF('Data Source'!Y763&gt;=5,"A+",IF('Data Source'!Y763&gt;=4,"A",IF('Data Source'!Y763&gt;=3.5,"A-",IF('Data Source'!Y763&gt;=3,"B",IF('Data Source'!Y763&gt;=2,"C",IF('Data Source'!Y763&gt;=1,"D","F")))))))</f>
        <v/>
      </c>
      <c r="H763" s="3">
        <f>IF('Data Source'!B763="","",IF('Data Source'!Z763&gt;=5,"A+",IF('Data Source'!Z763&gt;=4,"A",IF('Data Source'!Z763&gt;=3.5,"A-",IF('Data Source'!Z763&gt;=3,"B",IF('Data Source'!Z763&gt;=2,"C",IF('Data Source'!Z763&gt;=1,"D","F")))))))</f>
        <v/>
      </c>
      <c r="I763" s="3">
        <f>IF('Data Source'!B763="","",IF('Data Source'!AA763&gt;=5,"A+",IF('Data Source'!AA763&gt;=4,"A",IF('Data Source'!AA763&gt;=3.5,"A-",IF('Data Source'!AA763&gt;=3,"B",IF('Data Source'!AA763&gt;=2,"C",IF('Data Source'!AA763&gt;=1,"D","F")))))))</f>
        <v/>
      </c>
      <c r="J763" s="3">
        <f>IF('Data Source'!B763="","",IF('Data Source'!AB763&gt;=5,"A+",IF('Data Source'!AB763&gt;=4,"A",IF('Data Source'!AB763&gt;=3.5,"A-",IF('Data Source'!AB763&gt;=3,"B",IF('Data Source'!AB763&gt;=2,"C",IF('Data Source'!AB763&gt;=1,"D","F")))))))</f>
        <v/>
      </c>
      <c r="K763" s="3">
        <f>IF('Data Source'!B763="","",IF('Data Source'!AC763&gt;=5,"A+",IF('Data Source'!AC763&gt;=4,"A",IF('Data Source'!AC763&gt;=3.5,"A-",IF('Data Source'!AC763&gt;=3,"B",IF('Data Source'!AC763&gt;=2,"C",IF('Data Source'!AC763&gt;=1,"D","F")))))))</f>
        <v/>
      </c>
      <c r="L763" s="3">
        <f>IF('Data Source'!B763="","",IF('Data Source'!AD763&gt;=5,"A+",IF('Data Source'!AD763&gt;=4,"A",IF('Data Source'!AD763&gt;=3.5,"A-",IF('Data Source'!AD763&gt;=3,"B",IF('Data Source'!AD763&gt;=2,"C",IF('Data Source'!AD763&gt;=1,"D","F")))))))</f>
        <v/>
      </c>
      <c r="M763" s="3">
        <f>IF('Data Source'!B763="","",IF('Data Source'!AE763&gt;=5,"A+",IF('Data Source'!AE763&gt;=4,"A",IF('Data Source'!AE763&gt;=3.5,"A-",IF('Data Source'!AE763&gt;=3,"B",IF('Data Source'!AE763&gt;=2,"C",IF('Data Source'!AE763&gt;=1,"D","F")))))))</f>
        <v/>
      </c>
      <c r="N763" s="3">
        <f>IF('Data Source'!B763="","",IF('Data Source'!AF763&gt;=5,"A+",IF('Data Source'!AF763&gt;=4,"A",IF('Data Source'!AF763&gt;=3.5,"A-",IF('Data Source'!AF763&gt;=3,"B",IF('Data Source'!AF763&gt;=2,"C",IF('Data Source'!AF763&gt;=1,"D","F")))))))</f>
        <v/>
      </c>
      <c r="O763" s="3">
        <f>IF('Data Source'!B763="","",IF('Data Source'!AG763&gt;=5,"A+",IF('Data Source'!AG763&gt;=4,"A",IF('Data Source'!AG763&gt;=3.5,"A-",IF('Data Source'!AG763&gt;=3,"B",IF('Data Source'!AG763&gt;=2,"C",IF('Data Source'!AG763&gt;=1,"D","F")))))))</f>
        <v/>
      </c>
      <c r="P763" s="5">
        <f>IF('Data Source'!B763="","",'Data Source'!R763)</f>
        <v/>
      </c>
      <c r="Q763" s="3">
        <f>IF('Data Source'!B763="","",'Data Source'!S763)</f>
        <v/>
      </c>
    </row>
    <row r="764">
      <c r="A764" s="3">
        <f>IF('Data Source'!B764="","",'Data Source'!A764)</f>
        <v/>
      </c>
      <c r="B764">
        <f>IF('Data Source'!B764="","",'Data Source'!B764)</f>
        <v/>
      </c>
      <c r="C764" s="3">
        <f>IF('Data Source'!B764="","",IF('Data Source'!U764&gt;=5,"A+",IF('Data Source'!U764&gt;=4,"A",IF('Data Source'!U764&gt;=3.5,"A-",IF('Data Source'!U764&gt;=3,"B",IF('Data Source'!U764&gt;=2,"C",IF('Data Source'!U764&gt;=1,"D","F")))))))</f>
        <v/>
      </c>
      <c r="D764" s="3">
        <f>IF('Data Source'!B764="","",IF('Data Source'!V764&gt;=5,"A+",IF('Data Source'!V764&gt;=4,"A",IF('Data Source'!V764&gt;=3.5,"A-",IF('Data Source'!V764&gt;=3,"B",IF('Data Source'!V764&gt;=2,"C",IF('Data Source'!V764&gt;=1,"D","F")))))))</f>
        <v/>
      </c>
      <c r="E764" s="3">
        <f>IF('Data Source'!B764="","",IF('Data Source'!W764&gt;=5,"A+",IF('Data Source'!W764&gt;=4,"A",IF('Data Source'!W764&gt;=3.5,"A-",IF('Data Source'!W764&gt;=3,"B",IF('Data Source'!W764&gt;=2,"C",IF('Data Source'!W764&gt;=1,"D","F")))))))</f>
        <v/>
      </c>
      <c r="F764" s="3">
        <f>IF('Data Source'!B764="","",IF('Data Source'!X764&gt;=5,"A+",IF('Data Source'!X764&gt;=4,"A",IF('Data Source'!X764&gt;=3.5,"A-",IF('Data Source'!X764&gt;=3,"B",IF('Data Source'!X764&gt;=2,"C",IF('Data Source'!X764&gt;=1,"D","F")))))))</f>
        <v/>
      </c>
      <c r="G764" s="3">
        <f>IF('Data Source'!B764="","",IF('Data Source'!Y764&gt;=5,"A+",IF('Data Source'!Y764&gt;=4,"A",IF('Data Source'!Y764&gt;=3.5,"A-",IF('Data Source'!Y764&gt;=3,"B",IF('Data Source'!Y764&gt;=2,"C",IF('Data Source'!Y764&gt;=1,"D","F")))))))</f>
        <v/>
      </c>
      <c r="H764" s="3">
        <f>IF('Data Source'!B764="","",IF('Data Source'!Z764&gt;=5,"A+",IF('Data Source'!Z764&gt;=4,"A",IF('Data Source'!Z764&gt;=3.5,"A-",IF('Data Source'!Z764&gt;=3,"B",IF('Data Source'!Z764&gt;=2,"C",IF('Data Source'!Z764&gt;=1,"D","F")))))))</f>
        <v/>
      </c>
      <c r="I764" s="3">
        <f>IF('Data Source'!B764="","",IF('Data Source'!AA764&gt;=5,"A+",IF('Data Source'!AA764&gt;=4,"A",IF('Data Source'!AA764&gt;=3.5,"A-",IF('Data Source'!AA764&gt;=3,"B",IF('Data Source'!AA764&gt;=2,"C",IF('Data Source'!AA764&gt;=1,"D","F")))))))</f>
        <v/>
      </c>
      <c r="J764" s="3">
        <f>IF('Data Source'!B764="","",IF('Data Source'!AB764&gt;=5,"A+",IF('Data Source'!AB764&gt;=4,"A",IF('Data Source'!AB764&gt;=3.5,"A-",IF('Data Source'!AB764&gt;=3,"B",IF('Data Source'!AB764&gt;=2,"C",IF('Data Source'!AB764&gt;=1,"D","F")))))))</f>
        <v/>
      </c>
      <c r="K764" s="3">
        <f>IF('Data Source'!B764="","",IF('Data Source'!AC764&gt;=5,"A+",IF('Data Source'!AC764&gt;=4,"A",IF('Data Source'!AC764&gt;=3.5,"A-",IF('Data Source'!AC764&gt;=3,"B",IF('Data Source'!AC764&gt;=2,"C",IF('Data Source'!AC764&gt;=1,"D","F")))))))</f>
        <v/>
      </c>
      <c r="L764" s="3">
        <f>IF('Data Source'!B764="","",IF('Data Source'!AD764&gt;=5,"A+",IF('Data Source'!AD764&gt;=4,"A",IF('Data Source'!AD764&gt;=3.5,"A-",IF('Data Source'!AD764&gt;=3,"B",IF('Data Source'!AD764&gt;=2,"C",IF('Data Source'!AD764&gt;=1,"D","F")))))))</f>
        <v/>
      </c>
      <c r="M764" s="3">
        <f>IF('Data Source'!B764="","",IF('Data Source'!AE764&gt;=5,"A+",IF('Data Source'!AE764&gt;=4,"A",IF('Data Source'!AE764&gt;=3.5,"A-",IF('Data Source'!AE764&gt;=3,"B",IF('Data Source'!AE764&gt;=2,"C",IF('Data Source'!AE764&gt;=1,"D","F")))))))</f>
        <v/>
      </c>
      <c r="N764" s="3">
        <f>IF('Data Source'!B764="","",IF('Data Source'!AF764&gt;=5,"A+",IF('Data Source'!AF764&gt;=4,"A",IF('Data Source'!AF764&gt;=3.5,"A-",IF('Data Source'!AF764&gt;=3,"B",IF('Data Source'!AF764&gt;=2,"C",IF('Data Source'!AF764&gt;=1,"D","F")))))))</f>
        <v/>
      </c>
      <c r="O764" s="3">
        <f>IF('Data Source'!B764="","",IF('Data Source'!AG764&gt;=5,"A+",IF('Data Source'!AG764&gt;=4,"A",IF('Data Source'!AG764&gt;=3.5,"A-",IF('Data Source'!AG764&gt;=3,"B",IF('Data Source'!AG764&gt;=2,"C",IF('Data Source'!AG764&gt;=1,"D","F")))))))</f>
        <v/>
      </c>
      <c r="P764" s="5">
        <f>IF('Data Source'!B764="","",'Data Source'!R764)</f>
        <v/>
      </c>
      <c r="Q764" s="3">
        <f>IF('Data Source'!B764="","",'Data Source'!S764)</f>
        <v/>
      </c>
    </row>
    <row r="765">
      <c r="A765" s="3">
        <f>IF('Data Source'!B765="","",'Data Source'!A765)</f>
        <v/>
      </c>
      <c r="B765">
        <f>IF('Data Source'!B765="","",'Data Source'!B765)</f>
        <v/>
      </c>
      <c r="C765" s="3">
        <f>IF('Data Source'!B765="","",IF('Data Source'!U765&gt;=5,"A+",IF('Data Source'!U765&gt;=4,"A",IF('Data Source'!U765&gt;=3.5,"A-",IF('Data Source'!U765&gt;=3,"B",IF('Data Source'!U765&gt;=2,"C",IF('Data Source'!U765&gt;=1,"D","F")))))))</f>
        <v/>
      </c>
      <c r="D765" s="3">
        <f>IF('Data Source'!B765="","",IF('Data Source'!V765&gt;=5,"A+",IF('Data Source'!V765&gt;=4,"A",IF('Data Source'!V765&gt;=3.5,"A-",IF('Data Source'!V765&gt;=3,"B",IF('Data Source'!V765&gt;=2,"C",IF('Data Source'!V765&gt;=1,"D","F")))))))</f>
        <v/>
      </c>
      <c r="E765" s="3">
        <f>IF('Data Source'!B765="","",IF('Data Source'!W765&gt;=5,"A+",IF('Data Source'!W765&gt;=4,"A",IF('Data Source'!W765&gt;=3.5,"A-",IF('Data Source'!W765&gt;=3,"B",IF('Data Source'!W765&gt;=2,"C",IF('Data Source'!W765&gt;=1,"D","F")))))))</f>
        <v/>
      </c>
      <c r="F765" s="3">
        <f>IF('Data Source'!B765="","",IF('Data Source'!X765&gt;=5,"A+",IF('Data Source'!X765&gt;=4,"A",IF('Data Source'!X765&gt;=3.5,"A-",IF('Data Source'!X765&gt;=3,"B",IF('Data Source'!X765&gt;=2,"C",IF('Data Source'!X765&gt;=1,"D","F")))))))</f>
        <v/>
      </c>
      <c r="G765" s="3">
        <f>IF('Data Source'!B765="","",IF('Data Source'!Y765&gt;=5,"A+",IF('Data Source'!Y765&gt;=4,"A",IF('Data Source'!Y765&gt;=3.5,"A-",IF('Data Source'!Y765&gt;=3,"B",IF('Data Source'!Y765&gt;=2,"C",IF('Data Source'!Y765&gt;=1,"D","F")))))))</f>
        <v/>
      </c>
      <c r="H765" s="3">
        <f>IF('Data Source'!B765="","",IF('Data Source'!Z765&gt;=5,"A+",IF('Data Source'!Z765&gt;=4,"A",IF('Data Source'!Z765&gt;=3.5,"A-",IF('Data Source'!Z765&gt;=3,"B",IF('Data Source'!Z765&gt;=2,"C",IF('Data Source'!Z765&gt;=1,"D","F")))))))</f>
        <v/>
      </c>
      <c r="I765" s="3">
        <f>IF('Data Source'!B765="","",IF('Data Source'!AA765&gt;=5,"A+",IF('Data Source'!AA765&gt;=4,"A",IF('Data Source'!AA765&gt;=3.5,"A-",IF('Data Source'!AA765&gt;=3,"B",IF('Data Source'!AA765&gt;=2,"C",IF('Data Source'!AA765&gt;=1,"D","F")))))))</f>
        <v/>
      </c>
      <c r="J765" s="3">
        <f>IF('Data Source'!B765="","",IF('Data Source'!AB765&gt;=5,"A+",IF('Data Source'!AB765&gt;=4,"A",IF('Data Source'!AB765&gt;=3.5,"A-",IF('Data Source'!AB765&gt;=3,"B",IF('Data Source'!AB765&gt;=2,"C",IF('Data Source'!AB765&gt;=1,"D","F")))))))</f>
        <v/>
      </c>
      <c r="K765" s="3">
        <f>IF('Data Source'!B765="","",IF('Data Source'!AC765&gt;=5,"A+",IF('Data Source'!AC765&gt;=4,"A",IF('Data Source'!AC765&gt;=3.5,"A-",IF('Data Source'!AC765&gt;=3,"B",IF('Data Source'!AC765&gt;=2,"C",IF('Data Source'!AC765&gt;=1,"D","F")))))))</f>
        <v/>
      </c>
      <c r="L765" s="3">
        <f>IF('Data Source'!B765="","",IF('Data Source'!AD765&gt;=5,"A+",IF('Data Source'!AD765&gt;=4,"A",IF('Data Source'!AD765&gt;=3.5,"A-",IF('Data Source'!AD765&gt;=3,"B",IF('Data Source'!AD765&gt;=2,"C",IF('Data Source'!AD765&gt;=1,"D","F")))))))</f>
        <v/>
      </c>
      <c r="M765" s="3">
        <f>IF('Data Source'!B765="","",IF('Data Source'!AE765&gt;=5,"A+",IF('Data Source'!AE765&gt;=4,"A",IF('Data Source'!AE765&gt;=3.5,"A-",IF('Data Source'!AE765&gt;=3,"B",IF('Data Source'!AE765&gt;=2,"C",IF('Data Source'!AE765&gt;=1,"D","F")))))))</f>
        <v/>
      </c>
      <c r="N765" s="3">
        <f>IF('Data Source'!B765="","",IF('Data Source'!AF765&gt;=5,"A+",IF('Data Source'!AF765&gt;=4,"A",IF('Data Source'!AF765&gt;=3.5,"A-",IF('Data Source'!AF765&gt;=3,"B",IF('Data Source'!AF765&gt;=2,"C",IF('Data Source'!AF765&gt;=1,"D","F")))))))</f>
        <v/>
      </c>
      <c r="O765" s="3">
        <f>IF('Data Source'!B765="","",IF('Data Source'!AG765&gt;=5,"A+",IF('Data Source'!AG765&gt;=4,"A",IF('Data Source'!AG765&gt;=3.5,"A-",IF('Data Source'!AG765&gt;=3,"B",IF('Data Source'!AG765&gt;=2,"C",IF('Data Source'!AG765&gt;=1,"D","F")))))))</f>
        <v/>
      </c>
      <c r="P765" s="5">
        <f>IF('Data Source'!B765="","",'Data Source'!R765)</f>
        <v/>
      </c>
      <c r="Q765" s="3">
        <f>IF('Data Source'!B765="","",'Data Source'!S765)</f>
        <v/>
      </c>
    </row>
    <row r="766">
      <c r="A766" s="3">
        <f>IF('Data Source'!B766="","",'Data Source'!A766)</f>
        <v/>
      </c>
      <c r="B766">
        <f>IF('Data Source'!B766="","",'Data Source'!B766)</f>
        <v/>
      </c>
      <c r="C766" s="3">
        <f>IF('Data Source'!B766="","",IF('Data Source'!U766&gt;=5,"A+",IF('Data Source'!U766&gt;=4,"A",IF('Data Source'!U766&gt;=3.5,"A-",IF('Data Source'!U766&gt;=3,"B",IF('Data Source'!U766&gt;=2,"C",IF('Data Source'!U766&gt;=1,"D","F")))))))</f>
        <v/>
      </c>
      <c r="D766" s="3">
        <f>IF('Data Source'!B766="","",IF('Data Source'!V766&gt;=5,"A+",IF('Data Source'!V766&gt;=4,"A",IF('Data Source'!V766&gt;=3.5,"A-",IF('Data Source'!V766&gt;=3,"B",IF('Data Source'!V766&gt;=2,"C",IF('Data Source'!V766&gt;=1,"D","F")))))))</f>
        <v/>
      </c>
      <c r="E766" s="3">
        <f>IF('Data Source'!B766="","",IF('Data Source'!W766&gt;=5,"A+",IF('Data Source'!W766&gt;=4,"A",IF('Data Source'!W766&gt;=3.5,"A-",IF('Data Source'!W766&gt;=3,"B",IF('Data Source'!W766&gt;=2,"C",IF('Data Source'!W766&gt;=1,"D","F")))))))</f>
        <v/>
      </c>
      <c r="F766" s="3">
        <f>IF('Data Source'!B766="","",IF('Data Source'!X766&gt;=5,"A+",IF('Data Source'!X766&gt;=4,"A",IF('Data Source'!X766&gt;=3.5,"A-",IF('Data Source'!X766&gt;=3,"B",IF('Data Source'!X766&gt;=2,"C",IF('Data Source'!X766&gt;=1,"D","F")))))))</f>
        <v/>
      </c>
      <c r="G766" s="3">
        <f>IF('Data Source'!B766="","",IF('Data Source'!Y766&gt;=5,"A+",IF('Data Source'!Y766&gt;=4,"A",IF('Data Source'!Y766&gt;=3.5,"A-",IF('Data Source'!Y766&gt;=3,"B",IF('Data Source'!Y766&gt;=2,"C",IF('Data Source'!Y766&gt;=1,"D","F")))))))</f>
        <v/>
      </c>
      <c r="H766" s="3">
        <f>IF('Data Source'!B766="","",IF('Data Source'!Z766&gt;=5,"A+",IF('Data Source'!Z766&gt;=4,"A",IF('Data Source'!Z766&gt;=3.5,"A-",IF('Data Source'!Z766&gt;=3,"B",IF('Data Source'!Z766&gt;=2,"C",IF('Data Source'!Z766&gt;=1,"D","F")))))))</f>
        <v/>
      </c>
      <c r="I766" s="3">
        <f>IF('Data Source'!B766="","",IF('Data Source'!AA766&gt;=5,"A+",IF('Data Source'!AA766&gt;=4,"A",IF('Data Source'!AA766&gt;=3.5,"A-",IF('Data Source'!AA766&gt;=3,"B",IF('Data Source'!AA766&gt;=2,"C",IF('Data Source'!AA766&gt;=1,"D","F")))))))</f>
        <v/>
      </c>
      <c r="J766" s="3">
        <f>IF('Data Source'!B766="","",IF('Data Source'!AB766&gt;=5,"A+",IF('Data Source'!AB766&gt;=4,"A",IF('Data Source'!AB766&gt;=3.5,"A-",IF('Data Source'!AB766&gt;=3,"B",IF('Data Source'!AB766&gt;=2,"C",IF('Data Source'!AB766&gt;=1,"D","F")))))))</f>
        <v/>
      </c>
      <c r="K766" s="3">
        <f>IF('Data Source'!B766="","",IF('Data Source'!AC766&gt;=5,"A+",IF('Data Source'!AC766&gt;=4,"A",IF('Data Source'!AC766&gt;=3.5,"A-",IF('Data Source'!AC766&gt;=3,"B",IF('Data Source'!AC766&gt;=2,"C",IF('Data Source'!AC766&gt;=1,"D","F")))))))</f>
        <v/>
      </c>
      <c r="L766" s="3">
        <f>IF('Data Source'!B766="","",IF('Data Source'!AD766&gt;=5,"A+",IF('Data Source'!AD766&gt;=4,"A",IF('Data Source'!AD766&gt;=3.5,"A-",IF('Data Source'!AD766&gt;=3,"B",IF('Data Source'!AD766&gt;=2,"C",IF('Data Source'!AD766&gt;=1,"D","F")))))))</f>
        <v/>
      </c>
      <c r="M766" s="3">
        <f>IF('Data Source'!B766="","",IF('Data Source'!AE766&gt;=5,"A+",IF('Data Source'!AE766&gt;=4,"A",IF('Data Source'!AE766&gt;=3.5,"A-",IF('Data Source'!AE766&gt;=3,"B",IF('Data Source'!AE766&gt;=2,"C",IF('Data Source'!AE766&gt;=1,"D","F")))))))</f>
        <v/>
      </c>
      <c r="N766" s="3">
        <f>IF('Data Source'!B766="","",IF('Data Source'!AF766&gt;=5,"A+",IF('Data Source'!AF766&gt;=4,"A",IF('Data Source'!AF766&gt;=3.5,"A-",IF('Data Source'!AF766&gt;=3,"B",IF('Data Source'!AF766&gt;=2,"C",IF('Data Source'!AF766&gt;=1,"D","F")))))))</f>
        <v/>
      </c>
      <c r="O766" s="3">
        <f>IF('Data Source'!B766="","",IF('Data Source'!AG766&gt;=5,"A+",IF('Data Source'!AG766&gt;=4,"A",IF('Data Source'!AG766&gt;=3.5,"A-",IF('Data Source'!AG766&gt;=3,"B",IF('Data Source'!AG766&gt;=2,"C",IF('Data Source'!AG766&gt;=1,"D","F")))))))</f>
        <v/>
      </c>
      <c r="P766" s="5">
        <f>IF('Data Source'!B766="","",'Data Source'!R766)</f>
        <v/>
      </c>
      <c r="Q766" s="3">
        <f>IF('Data Source'!B766="","",'Data Source'!S766)</f>
        <v/>
      </c>
    </row>
    <row r="767">
      <c r="A767" s="3">
        <f>IF('Data Source'!B767="","",'Data Source'!A767)</f>
        <v/>
      </c>
      <c r="B767">
        <f>IF('Data Source'!B767="","",'Data Source'!B767)</f>
        <v/>
      </c>
      <c r="C767" s="3">
        <f>IF('Data Source'!B767="","",IF('Data Source'!U767&gt;=5,"A+",IF('Data Source'!U767&gt;=4,"A",IF('Data Source'!U767&gt;=3.5,"A-",IF('Data Source'!U767&gt;=3,"B",IF('Data Source'!U767&gt;=2,"C",IF('Data Source'!U767&gt;=1,"D","F")))))))</f>
        <v/>
      </c>
      <c r="D767" s="3">
        <f>IF('Data Source'!B767="","",IF('Data Source'!V767&gt;=5,"A+",IF('Data Source'!V767&gt;=4,"A",IF('Data Source'!V767&gt;=3.5,"A-",IF('Data Source'!V767&gt;=3,"B",IF('Data Source'!V767&gt;=2,"C",IF('Data Source'!V767&gt;=1,"D","F")))))))</f>
        <v/>
      </c>
      <c r="E767" s="3">
        <f>IF('Data Source'!B767="","",IF('Data Source'!W767&gt;=5,"A+",IF('Data Source'!W767&gt;=4,"A",IF('Data Source'!W767&gt;=3.5,"A-",IF('Data Source'!W767&gt;=3,"B",IF('Data Source'!W767&gt;=2,"C",IF('Data Source'!W767&gt;=1,"D","F")))))))</f>
        <v/>
      </c>
      <c r="F767" s="3">
        <f>IF('Data Source'!B767="","",IF('Data Source'!X767&gt;=5,"A+",IF('Data Source'!X767&gt;=4,"A",IF('Data Source'!X767&gt;=3.5,"A-",IF('Data Source'!X767&gt;=3,"B",IF('Data Source'!X767&gt;=2,"C",IF('Data Source'!X767&gt;=1,"D","F")))))))</f>
        <v/>
      </c>
      <c r="G767" s="3">
        <f>IF('Data Source'!B767="","",IF('Data Source'!Y767&gt;=5,"A+",IF('Data Source'!Y767&gt;=4,"A",IF('Data Source'!Y767&gt;=3.5,"A-",IF('Data Source'!Y767&gt;=3,"B",IF('Data Source'!Y767&gt;=2,"C",IF('Data Source'!Y767&gt;=1,"D","F")))))))</f>
        <v/>
      </c>
      <c r="H767" s="3">
        <f>IF('Data Source'!B767="","",IF('Data Source'!Z767&gt;=5,"A+",IF('Data Source'!Z767&gt;=4,"A",IF('Data Source'!Z767&gt;=3.5,"A-",IF('Data Source'!Z767&gt;=3,"B",IF('Data Source'!Z767&gt;=2,"C",IF('Data Source'!Z767&gt;=1,"D","F")))))))</f>
        <v/>
      </c>
      <c r="I767" s="3">
        <f>IF('Data Source'!B767="","",IF('Data Source'!AA767&gt;=5,"A+",IF('Data Source'!AA767&gt;=4,"A",IF('Data Source'!AA767&gt;=3.5,"A-",IF('Data Source'!AA767&gt;=3,"B",IF('Data Source'!AA767&gt;=2,"C",IF('Data Source'!AA767&gt;=1,"D","F")))))))</f>
        <v/>
      </c>
      <c r="J767" s="3">
        <f>IF('Data Source'!B767="","",IF('Data Source'!AB767&gt;=5,"A+",IF('Data Source'!AB767&gt;=4,"A",IF('Data Source'!AB767&gt;=3.5,"A-",IF('Data Source'!AB767&gt;=3,"B",IF('Data Source'!AB767&gt;=2,"C",IF('Data Source'!AB767&gt;=1,"D","F")))))))</f>
        <v/>
      </c>
      <c r="K767" s="3">
        <f>IF('Data Source'!B767="","",IF('Data Source'!AC767&gt;=5,"A+",IF('Data Source'!AC767&gt;=4,"A",IF('Data Source'!AC767&gt;=3.5,"A-",IF('Data Source'!AC767&gt;=3,"B",IF('Data Source'!AC767&gt;=2,"C",IF('Data Source'!AC767&gt;=1,"D","F")))))))</f>
        <v/>
      </c>
      <c r="L767" s="3">
        <f>IF('Data Source'!B767="","",IF('Data Source'!AD767&gt;=5,"A+",IF('Data Source'!AD767&gt;=4,"A",IF('Data Source'!AD767&gt;=3.5,"A-",IF('Data Source'!AD767&gt;=3,"B",IF('Data Source'!AD767&gt;=2,"C",IF('Data Source'!AD767&gt;=1,"D","F")))))))</f>
        <v/>
      </c>
      <c r="M767" s="3">
        <f>IF('Data Source'!B767="","",IF('Data Source'!AE767&gt;=5,"A+",IF('Data Source'!AE767&gt;=4,"A",IF('Data Source'!AE767&gt;=3.5,"A-",IF('Data Source'!AE767&gt;=3,"B",IF('Data Source'!AE767&gt;=2,"C",IF('Data Source'!AE767&gt;=1,"D","F")))))))</f>
        <v/>
      </c>
      <c r="N767" s="3">
        <f>IF('Data Source'!B767="","",IF('Data Source'!AF767&gt;=5,"A+",IF('Data Source'!AF767&gt;=4,"A",IF('Data Source'!AF767&gt;=3.5,"A-",IF('Data Source'!AF767&gt;=3,"B",IF('Data Source'!AF767&gt;=2,"C",IF('Data Source'!AF767&gt;=1,"D","F")))))))</f>
        <v/>
      </c>
      <c r="O767" s="3">
        <f>IF('Data Source'!B767="","",IF('Data Source'!AG767&gt;=5,"A+",IF('Data Source'!AG767&gt;=4,"A",IF('Data Source'!AG767&gt;=3.5,"A-",IF('Data Source'!AG767&gt;=3,"B",IF('Data Source'!AG767&gt;=2,"C",IF('Data Source'!AG767&gt;=1,"D","F")))))))</f>
        <v/>
      </c>
      <c r="P767" s="5">
        <f>IF('Data Source'!B767="","",'Data Source'!R767)</f>
        <v/>
      </c>
      <c r="Q767" s="3">
        <f>IF('Data Source'!B767="","",'Data Source'!S767)</f>
        <v/>
      </c>
    </row>
    <row r="768">
      <c r="A768" s="3">
        <f>IF('Data Source'!B768="","",'Data Source'!A768)</f>
        <v/>
      </c>
      <c r="B768">
        <f>IF('Data Source'!B768="","",'Data Source'!B768)</f>
        <v/>
      </c>
      <c r="C768" s="3">
        <f>IF('Data Source'!B768="","",IF('Data Source'!U768&gt;=5,"A+",IF('Data Source'!U768&gt;=4,"A",IF('Data Source'!U768&gt;=3.5,"A-",IF('Data Source'!U768&gt;=3,"B",IF('Data Source'!U768&gt;=2,"C",IF('Data Source'!U768&gt;=1,"D","F")))))))</f>
        <v/>
      </c>
      <c r="D768" s="3">
        <f>IF('Data Source'!B768="","",IF('Data Source'!V768&gt;=5,"A+",IF('Data Source'!V768&gt;=4,"A",IF('Data Source'!V768&gt;=3.5,"A-",IF('Data Source'!V768&gt;=3,"B",IF('Data Source'!V768&gt;=2,"C",IF('Data Source'!V768&gt;=1,"D","F")))))))</f>
        <v/>
      </c>
      <c r="E768" s="3">
        <f>IF('Data Source'!B768="","",IF('Data Source'!W768&gt;=5,"A+",IF('Data Source'!W768&gt;=4,"A",IF('Data Source'!W768&gt;=3.5,"A-",IF('Data Source'!W768&gt;=3,"B",IF('Data Source'!W768&gt;=2,"C",IF('Data Source'!W768&gt;=1,"D","F")))))))</f>
        <v/>
      </c>
      <c r="F768" s="3">
        <f>IF('Data Source'!B768="","",IF('Data Source'!X768&gt;=5,"A+",IF('Data Source'!X768&gt;=4,"A",IF('Data Source'!X768&gt;=3.5,"A-",IF('Data Source'!X768&gt;=3,"B",IF('Data Source'!X768&gt;=2,"C",IF('Data Source'!X768&gt;=1,"D","F")))))))</f>
        <v/>
      </c>
      <c r="G768" s="3">
        <f>IF('Data Source'!B768="","",IF('Data Source'!Y768&gt;=5,"A+",IF('Data Source'!Y768&gt;=4,"A",IF('Data Source'!Y768&gt;=3.5,"A-",IF('Data Source'!Y768&gt;=3,"B",IF('Data Source'!Y768&gt;=2,"C",IF('Data Source'!Y768&gt;=1,"D","F")))))))</f>
        <v/>
      </c>
      <c r="H768" s="3">
        <f>IF('Data Source'!B768="","",IF('Data Source'!Z768&gt;=5,"A+",IF('Data Source'!Z768&gt;=4,"A",IF('Data Source'!Z768&gt;=3.5,"A-",IF('Data Source'!Z768&gt;=3,"B",IF('Data Source'!Z768&gt;=2,"C",IF('Data Source'!Z768&gt;=1,"D","F")))))))</f>
        <v/>
      </c>
      <c r="I768" s="3">
        <f>IF('Data Source'!B768="","",IF('Data Source'!AA768&gt;=5,"A+",IF('Data Source'!AA768&gt;=4,"A",IF('Data Source'!AA768&gt;=3.5,"A-",IF('Data Source'!AA768&gt;=3,"B",IF('Data Source'!AA768&gt;=2,"C",IF('Data Source'!AA768&gt;=1,"D","F")))))))</f>
        <v/>
      </c>
      <c r="J768" s="3">
        <f>IF('Data Source'!B768="","",IF('Data Source'!AB768&gt;=5,"A+",IF('Data Source'!AB768&gt;=4,"A",IF('Data Source'!AB768&gt;=3.5,"A-",IF('Data Source'!AB768&gt;=3,"B",IF('Data Source'!AB768&gt;=2,"C",IF('Data Source'!AB768&gt;=1,"D","F")))))))</f>
        <v/>
      </c>
      <c r="K768" s="3">
        <f>IF('Data Source'!B768="","",IF('Data Source'!AC768&gt;=5,"A+",IF('Data Source'!AC768&gt;=4,"A",IF('Data Source'!AC768&gt;=3.5,"A-",IF('Data Source'!AC768&gt;=3,"B",IF('Data Source'!AC768&gt;=2,"C",IF('Data Source'!AC768&gt;=1,"D","F")))))))</f>
        <v/>
      </c>
      <c r="L768" s="3">
        <f>IF('Data Source'!B768="","",IF('Data Source'!AD768&gt;=5,"A+",IF('Data Source'!AD768&gt;=4,"A",IF('Data Source'!AD768&gt;=3.5,"A-",IF('Data Source'!AD768&gt;=3,"B",IF('Data Source'!AD768&gt;=2,"C",IF('Data Source'!AD768&gt;=1,"D","F")))))))</f>
        <v/>
      </c>
      <c r="M768" s="3">
        <f>IF('Data Source'!B768="","",IF('Data Source'!AE768&gt;=5,"A+",IF('Data Source'!AE768&gt;=4,"A",IF('Data Source'!AE768&gt;=3.5,"A-",IF('Data Source'!AE768&gt;=3,"B",IF('Data Source'!AE768&gt;=2,"C",IF('Data Source'!AE768&gt;=1,"D","F")))))))</f>
        <v/>
      </c>
      <c r="N768" s="3">
        <f>IF('Data Source'!B768="","",IF('Data Source'!AF768&gt;=5,"A+",IF('Data Source'!AF768&gt;=4,"A",IF('Data Source'!AF768&gt;=3.5,"A-",IF('Data Source'!AF768&gt;=3,"B",IF('Data Source'!AF768&gt;=2,"C",IF('Data Source'!AF768&gt;=1,"D","F")))))))</f>
        <v/>
      </c>
      <c r="O768" s="3">
        <f>IF('Data Source'!B768="","",IF('Data Source'!AG768&gt;=5,"A+",IF('Data Source'!AG768&gt;=4,"A",IF('Data Source'!AG768&gt;=3.5,"A-",IF('Data Source'!AG768&gt;=3,"B",IF('Data Source'!AG768&gt;=2,"C",IF('Data Source'!AG768&gt;=1,"D","F")))))))</f>
        <v/>
      </c>
      <c r="P768" s="5">
        <f>IF('Data Source'!B768="","",'Data Source'!R768)</f>
        <v/>
      </c>
      <c r="Q768" s="3">
        <f>IF('Data Source'!B768="","",'Data Source'!S768)</f>
        <v/>
      </c>
    </row>
    <row r="769">
      <c r="A769" s="3">
        <f>IF('Data Source'!B769="","",'Data Source'!A769)</f>
        <v/>
      </c>
      <c r="B769">
        <f>IF('Data Source'!B769="","",'Data Source'!B769)</f>
        <v/>
      </c>
      <c r="C769" s="3">
        <f>IF('Data Source'!B769="","",IF('Data Source'!U769&gt;=5,"A+",IF('Data Source'!U769&gt;=4,"A",IF('Data Source'!U769&gt;=3.5,"A-",IF('Data Source'!U769&gt;=3,"B",IF('Data Source'!U769&gt;=2,"C",IF('Data Source'!U769&gt;=1,"D","F")))))))</f>
        <v/>
      </c>
      <c r="D769" s="3">
        <f>IF('Data Source'!B769="","",IF('Data Source'!V769&gt;=5,"A+",IF('Data Source'!V769&gt;=4,"A",IF('Data Source'!V769&gt;=3.5,"A-",IF('Data Source'!V769&gt;=3,"B",IF('Data Source'!V769&gt;=2,"C",IF('Data Source'!V769&gt;=1,"D","F")))))))</f>
        <v/>
      </c>
      <c r="E769" s="3">
        <f>IF('Data Source'!B769="","",IF('Data Source'!W769&gt;=5,"A+",IF('Data Source'!W769&gt;=4,"A",IF('Data Source'!W769&gt;=3.5,"A-",IF('Data Source'!W769&gt;=3,"B",IF('Data Source'!W769&gt;=2,"C",IF('Data Source'!W769&gt;=1,"D","F")))))))</f>
        <v/>
      </c>
      <c r="F769" s="3">
        <f>IF('Data Source'!B769="","",IF('Data Source'!X769&gt;=5,"A+",IF('Data Source'!X769&gt;=4,"A",IF('Data Source'!X769&gt;=3.5,"A-",IF('Data Source'!X769&gt;=3,"B",IF('Data Source'!X769&gt;=2,"C",IF('Data Source'!X769&gt;=1,"D","F")))))))</f>
        <v/>
      </c>
      <c r="G769" s="3">
        <f>IF('Data Source'!B769="","",IF('Data Source'!Y769&gt;=5,"A+",IF('Data Source'!Y769&gt;=4,"A",IF('Data Source'!Y769&gt;=3.5,"A-",IF('Data Source'!Y769&gt;=3,"B",IF('Data Source'!Y769&gt;=2,"C",IF('Data Source'!Y769&gt;=1,"D","F")))))))</f>
        <v/>
      </c>
      <c r="H769" s="3">
        <f>IF('Data Source'!B769="","",IF('Data Source'!Z769&gt;=5,"A+",IF('Data Source'!Z769&gt;=4,"A",IF('Data Source'!Z769&gt;=3.5,"A-",IF('Data Source'!Z769&gt;=3,"B",IF('Data Source'!Z769&gt;=2,"C",IF('Data Source'!Z769&gt;=1,"D","F")))))))</f>
        <v/>
      </c>
      <c r="I769" s="3">
        <f>IF('Data Source'!B769="","",IF('Data Source'!AA769&gt;=5,"A+",IF('Data Source'!AA769&gt;=4,"A",IF('Data Source'!AA769&gt;=3.5,"A-",IF('Data Source'!AA769&gt;=3,"B",IF('Data Source'!AA769&gt;=2,"C",IF('Data Source'!AA769&gt;=1,"D","F")))))))</f>
        <v/>
      </c>
      <c r="J769" s="3">
        <f>IF('Data Source'!B769="","",IF('Data Source'!AB769&gt;=5,"A+",IF('Data Source'!AB769&gt;=4,"A",IF('Data Source'!AB769&gt;=3.5,"A-",IF('Data Source'!AB769&gt;=3,"B",IF('Data Source'!AB769&gt;=2,"C",IF('Data Source'!AB769&gt;=1,"D","F")))))))</f>
        <v/>
      </c>
      <c r="K769" s="3">
        <f>IF('Data Source'!B769="","",IF('Data Source'!AC769&gt;=5,"A+",IF('Data Source'!AC769&gt;=4,"A",IF('Data Source'!AC769&gt;=3.5,"A-",IF('Data Source'!AC769&gt;=3,"B",IF('Data Source'!AC769&gt;=2,"C",IF('Data Source'!AC769&gt;=1,"D","F")))))))</f>
        <v/>
      </c>
      <c r="L769" s="3">
        <f>IF('Data Source'!B769="","",IF('Data Source'!AD769&gt;=5,"A+",IF('Data Source'!AD769&gt;=4,"A",IF('Data Source'!AD769&gt;=3.5,"A-",IF('Data Source'!AD769&gt;=3,"B",IF('Data Source'!AD769&gt;=2,"C",IF('Data Source'!AD769&gt;=1,"D","F")))))))</f>
        <v/>
      </c>
      <c r="M769" s="3">
        <f>IF('Data Source'!B769="","",IF('Data Source'!AE769&gt;=5,"A+",IF('Data Source'!AE769&gt;=4,"A",IF('Data Source'!AE769&gt;=3.5,"A-",IF('Data Source'!AE769&gt;=3,"B",IF('Data Source'!AE769&gt;=2,"C",IF('Data Source'!AE769&gt;=1,"D","F")))))))</f>
        <v/>
      </c>
      <c r="N769" s="3">
        <f>IF('Data Source'!B769="","",IF('Data Source'!AF769&gt;=5,"A+",IF('Data Source'!AF769&gt;=4,"A",IF('Data Source'!AF769&gt;=3.5,"A-",IF('Data Source'!AF769&gt;=3,"B",IF('Data Source'!AF769&gt;=2,"C",IF('Data Source'!AF769&gt;=1,"D","F")))))))</f>
        <v/>
      </c>
      <c r="O769" s="3">
        <f>IF('Data Source'!B769="","",IF('Data Source'!AG769&gt;=5,"A+",IF('Data Source'!AG769&gt;=4,"A",IF('Data Source'!AG769&gt;=3.5,"A-",IF('Data Source'!AG769&gt;=3,"B",IF('Data Source'!AG769&gt;=2,"C",IF('Data Source'!AG769&gt;=1,"D","F")))))))</f>
        <v/>
      </c>
      <c r="P769" s="5">
        <f>IF('Data Source'!B769="","",'Data Source'!R769)</f>
        <v/>
      </c>
      <c r="Q769" s="3">
        <f>IF('Data Source'!B769="","",'Data Source'!S769)</f>
        <v/>
      </c>
    </row>
    <row r="770">
      <c r="A770" s="3">
        <f>IF('Data Source'!B770="","",'Data Source'!A770)</f>
        <v/>
      </c>
      <c r="B770">
        <f>IF('Data Source'!B770="","",'Data Source'!B770)</f>
        <v/>
      </c>
      <c r="C770" s="3">
        <f>IF('Data Source'!B770="","",IF('Data Source'!U770&gt;=5,"A+",IF('Data Source'!U770&gt;=4,"A",IF('Data Source'!U770&gt;=3.5,"A-",IF('Data Source'!U770&gt;=3,"B",IF('Data Source'!U770&gt;=2,"C",IF('Data Source'!U770&gt;=1,"D","F")))))))</f>
        <v/>
      </c>
      <c r="D770" s="3">
        <f>IF('Data Source'!B770="","",IF('Data Source'!V770&gt;=5,"A+",IF('Data Source'!V770&gt;=4,"A",IF('Data Source'!V770&gt;=3.5,"A-",IF('Data Source'!V770&gt;=3,"B",IF('Data Source'!V770&gt;=2,"C",IF('Data Source'!V770&gt;=1,"D","F")))))))</f>
        <v/>
      </c>
      <c r="E770" s="3">
        <f>IF('Data Source'!B770="","",IF('Data Source'!W770&gt;=5,"A+",IF('Data Source'!W770&gt;=4,"A",IF('Data Source'!W770&gt;=3.5,"A-",IF('Data Source'!W770&gt;=3,"B",IF('Data Source'!W770&gt;=2,"C",IF('Data Source'!W770&gt;=1,"D","F")))))))</f>
        <v/>
      </c>
      <c r="F770" s="3">
        <f>IF('Data Source'!B770="","",IF('Data Source'!X770&gt;=5,"A+",IF('Data Source'!X770&gt;=4,"A",IF('Data Source'!X770&gt;=3.5,"A-",IF('Data Source'!X770&gt;=3,"B",IF('Data Source'!X770&gt;=2,"C",IF('Data Source'!X770&gt;=1,"D","F")))))))</f>
        <v/>
      </c>
      <c r="G770" s="3">
        <f>IF('Data Source'!B770="","",IF('Data Source'!Y770&gt;=5,"A+",IF('Data Source'!Y770&gt;=4,"A",IF('Data Source'!Y770&gt;=3.5,"A-",IF('Data Source'!Y770&gt;=3,"B",IF('Data Source'!Y770&gt;=2,"C",IF('Data Source'!Y770&gt;=1,"D","F")))))))</f>
        <v/>
      </c>
      <c r="H770" s="3">
        <f>IF('Data Source'!B770="","",IF('Data Source'!Z770&gt;=5,"A+",IF('Data Source'!Z770&gt;=4,"A",IF('Data Source'!Z770&gt;=3.5,"A-",IF('Data Source'!Z770&gt;=3,"B",IF('Data Source'!Z770&gt;=2,"C",IF('Data Source'!Z770&gt;=1,"D","F")))))))</f>
        <v/>
      </c>
      <c r="I770" s="3">
        <f>IF('Data Source'!B770="","",IF('Data Source'!AA770&gt;=5,"A+",IF('Data Source'!AA770&gt;=4,"A",IF('Data Source'!AA770&gt;=3.5,"A-",IF('Data Source'!AA770&gt;=3,"B",IF('Data Source'!AA770&gt;=2,"C",IF('Data Source'!AA770&gt;=1,"D","F")))))))</f>
        <v/>
      </c>
      <c r="J770" s="3">
        <f>IF('Data Source'!B770="","",IF('Data Source'!AB770&gt;=5,"A+",IF('Data Source'!AB770&gt;=4,"A",IF('Data Source'!AB770&gt;=3.5,"A-",IF('Data Source'!AB770&gt;=3,"B",IF('Data Source'!AB770&gt;=2,"C",IF('Data Source'!AB770&gt;=1,"D","F")))))))</f>
        <v/>
      </c>
      <c r="K770" s="3">
        <f>IF('Data Source'!B770="","",IF('Data Source'!AC770&gt;=5,"A+",IF('Data Source'!AC770&gt;=4,"A",IF('Data Source'!AC770&gt;=3.5,"A-",IF('Data Source'!AC770&gt;=3,"B",IF('Data Source'!AC770&gt;=2,"C",IF('Data Source'!AC770&gt;=1,"D","F")))))))</f>
        <v/>
      </c>
      <c r="L770" s="3">
        <f>IF('Data Source'!B770="","",IF('Data Source'!AD770&gt;=5,"A+",IF('Data Source'!AD770&gt;=4,"A",IF('Data Source'!AD770&gt;=3.5,"A-",IF('Data Source'!AD770&gt;=3,"B",IF('Data Source'!AD770&gt;=2,"C",IF('Data Source'!AD770&gt;=1,"D","F")))))))</f>
        <v/>
      </c>
      <c r="M770" s="3">
        <f>IF('Data Source'!B770="","",IF('Data Source'!AE770&gt;=5,"A+",IF('Data Source'!AE770&gt;=4,"A",IF('Data Source'!AE770&gt;=3.5,"A-",IF('Data Source'!AE770&gt;=3,"B",IF('Data Source'!AE770&gt;=2,"C",IF('Data Source'!AE770&gt;=1,"D","F")))))))</f>
        <v/>
      </c>
      <c r="N770" s="3">
        <f>IF('Data Source'!B770="","",IF('Data Source'!AF770&gt;=5,"A+",IF('Data Source'!AF770&gt;=4,"A",IF('Data Source'!AF770&gt;=3.5,"A-",IF('Data Source'!AF770&gt;=3,"B",IF('Data Source'!AF770&gt;=2,"C",IF('Data Source'!AF770&gt;=1,"D","F")))))))</f>
        <v/>
      </c>
      <c r="O770" s="3">
        <f>IF('Data Source'!B770="","",IF('Data Source'!AG770&gt;=5,"A+",IF('Data Source'!AG770&gt;=4,"A",IF('Data Source'!AG770&gt;=3.5,"A-",IF('Data Source'!AG770&gt;=3,"B",IF('Data Source'!AG770&gt;=2,"C",IF('Data Source'!AG770&gt;=1,"D","F")))))))</f>
        <v/>
      </c>
      <c r="P770" s="5">
        <f>IF('Data Source'!B770="","",'Data Source'!R770)</f>
        <v/>
      </c>
      <c r="Q770" s="3">
        <f>IF('Data Source'!B770="","",'Data Source'!S770)</f>
        <v/>
      </c>
    </row>
    <row r="771">
      <c r="A771" s="3">
        <f>IF('Data Source'!B771="","",'Data Source'!A771)</f>
        <v/>
      </c>
      <c r="B771">
        <f>IF('Data Source'!B771="","",'Data Source'!B771)</f>
        <v/>
      </c>
      <c r="C771" s="3">
        <f>IF('Data Source'!B771="","",IF('Data Source'!U771&gt;=5,"A+",IF('Data Source'!U771&gt;=4,"A",IF('Data Source'!U771&gt;=3.5,"A-",IF('Data Source'!U771&gt;=3,"B",IF('Data Source'!U771&gt;=2,"C",IF('Data Source'!U771&gt;=1,"D","F")))))))</f>
        <v/>
      </c>
      <c r="D771" s="3">
        <f>IF('Data Source'!B771="","",IF('Data Source'!V771&gt;=5,"A+",IF('Data Source'!V771&gt;=4,"A",IF('Data Source'!V771&gt;=3.5,"A-",IF('Data Source'!V771&gt;=3,"B",IF('Data Source'!V771&gt;=2,"C",IF('Data Source'!V771&gt;=1,"D","F")))))))</f>
        <v/>
      </c>
      <c r="E771" s="3">
        <f>IF('Data Source'!B771="","",IF('Data Source'!W771&gt;=5,"A+",IF('Data Source'!W771&gt;=4,"A",IF('Data Source'!W771&gt;=3.5,"A-",IF('Data Source'!W771&gt;=3,"B",IF('Data Source'!W771&gt;=2,"C",IF('Data Source'!W771&gt;=1,"D","F")))))))</f>
        <v/>
      </c>
      <c r="F771" s="3">
        <f>IF('Data Source'!B771="","",IF('Data Source'!X771&gt;=5,"A+",IF('Data Source'!X771&gt;=4,"A",IF('Data Source'!X771&gt;=3.5,"A-",IF('Data Source'!X771&gt;=3,"B",IF('Data Source'!X771&gt;=2,"C",IF('Data Source'!X771&gt;=1,"D","F")))))))</f>
        <v/>
      </c>
      <c r="G771" s="3">
        <f>IF('Data Source'!B771="","",IF('Data Source'!Y771&gt;=5,"A+",IF('Data Source'!Y771&gt;=4,"A",IF('Data Source'!Y771&gt;=3.5,"A-",IF('Data Source'!Y771&gt;=3,"B",IF('Data Source'!Y771&gt;=2,"C",IF('Data Source'!Y771&gt;=1,"D","F")))))))</f>
        <v/>
      </c>
      <c r="H771" s="3">
        <f>IF('Data Source'!B771="","",IF('Data Source'!Z771&gt;=5,"A+",IF('Data Source'!Z771&gt;=4,"A",IF('Data Source'!Z771&gt;=3.5,"A-",IF('Data Source'!Z771&gt;=3,"B",IF('Data Source'!Z771&gt;=2,"C",IF('Data Source'!Z771&gt;=1,"D","F")))))))</f>
        <v/>
      </c>
      <c r="I771" s="3">
        <f>IF('Data Source'!B771="","",IF('Data Source'!AA771&gt;=5,"A+",IF('Data Source'!AA771&gt;=4,"A",IF('Data Source'!AA771&gt;=3.5,"A-",IF('Data Source'!AA771&gt;=3,"B",IF('Data Source'!AA771&gt;=2,"C",IF('Data Source'!AA771&gt;=1,"D","F")))))))</f>
        <v/>
      </c>
      <c r="J771" s="3">
        <f>IF('Data Source'!B771="","",IF('Data Source'!AB771&gt;=5,"A+",IF('Data Source'!AB771&gt;=4,"A",IF('Data Source'!AB771&gt;=3.5,"A-",IF('Data Source'!AB771&gt;=3,"B",IF('Data Source'!AB771&gt;=2,"C",IF('Data Source'!AB771&gt;=1,"D","F")))))))</f>
        <v/>
      </c>
      <c r="K771" s="3">
        <f>IF('Data Source'!B771="","",IF('Data Source'!AC771&gt;=5,"A+",IF('Data Source'!AC771&gt;=4,"A",IF('Data Source'!AC771&gt;=3.5,"A-",IF('Data Source'!AC771&gt;=3,"B",IF('Data Source'!AC771&gt;=2,"C",IF('Data Source'!AC771&gt;=1,"D","F")))))))</f>
        <v/>
      </c>
      <c r="L771" s="3">
        <f>IF('Data Source'!B771="","",IF('Data Source'!AD771&gt;=5,"A+",IF('Data Source'!AD771&gt;=4,"A",IF('Data Source'!AD771&gt;=3.5,"A-",IF('Data Source'!AD771&gt;=3,"B",IF('Data Source'!AD771&gt;=2,"C",IF('Data Source'!AD771&gt;=1,"D","F")))))))</f>
        <v/>
      </c>
      <c r="M771" s="3">
        <f>IF('Data Source'!B771="","",IF('Data Source'!AE771&gt;=5,"A+",IF('Data Source'!AE771&gt;=4,"A",IF('Data Source'!AE771&gt;=3.5,"A-",IF('Data Source'!AE771&gt;=3,"B",IF('Data Source'!AE771&gt;=2,"C",IF('Data Source'!AE771&gt;=1,"D","F")))))))</f>
        <v/>
      </c>
      <c r="N771" s="3">
        <f>IF('Data Source'!B771="","",IF('Data Source'!AF771&gt;=5,"A+",IF('Data Source'!AF771&gt;=4,"A",IF('Data Source'!AF771&gt;=3.5,"A-",IF('Data Source'!AF771&gt;=3,"B",IF('Data Source'!AF771&gt;=2,"C",IF('Data Source'!AF771&gt;=1,"D","F")))))))</f>
        <v/>
      </c>
      <c r="O771" s="3">
        <f>IF('Data Source'!B771="","",IF('Data Source'!AG771&gt;=5,"A+",IF('Data Source'!AG771&gt;=4,"A",IF('Data Source'!AG771&gt;=3.5,"A-",IF('Data Source'!AG771&gt;=3,"B",IF('Data Source'!AG771&gt;=2,"C",IF('Data Source'!AG771&gt;=1,"D","F")))))))</f>
        <v/>
      </c>
      <c r="P771" s="5">
        <f>IF('Data Source'!B771="","",'Data Source'!R771)</f>
        <v/>
      </c>
      <c r="Q771" s="3">
        <f>IF('Data Source'!B771="","",'Data Source'!S771)</f>
        <v/>
      </c>
    </row>
    <row r="772">
      <c r="A772" s="3">
        <f>IF('Data Source'!B772="","",'Data Source'!A772)</f>
        <v/>
      </c>
      <c r="B772">
        <f>IF('Data Source'!B772="","",'Data Source'!B772)</f>
        <v/>
      </c>
      <c r="C772" s="3">
        <f>IF('Data Source'!B772="","",IF('Data Source'!U772&gt;=5,"A+",IF('Data Source'!U772&gt;=4,"A",IF('Data Source'!U772&gt;=3.5,"A-",IF('Data Source'!U772&gt;=3,"B",IF('Data Source'!U772&gt;=2,"C",IF('Data Source'!U772&gt;=1,"D","F")))))))</f>
        <v/>
      </c>
      <c r="D772" s="3">
        <f>IF('Data Source'!B772="","",IF('Data Source'!V772&gt;=5,"A+",IF('Data Source'!V772&gt;=4,"A",IF('Data Source'!V772&gt;=3.5,"A-",IF('Data Source'!V772&gt;=3,"B",IF('Data Source'!V772&gt;=2,"C",IF('Data Source'!V772&gt;=1,"D","F")))))))</f>
        <v/>
      </c>
      <c r="E772" s="3">
        <f>IF('Data Source'!B772="","",IF('Data Source'!W772&gt;=5,"A+",IF('Data Source'!W772&gt;=4,"A",IF('Data Source'!W772&gt;=3.5,"A-",IF('Data Source'!W772&gt;=3,"B",IF('Data Source'!W772&gt;=2,"C",IF('Data Source'!W772&gt;=1,"D","F")))))))</f>
        <v/>
      </c>
      <c r="F772" s="3">
        <f>IF('Data Source'!B772="","",IF('Data Source'!X772&gt;=5,"A+",IF('Data Source'!X772&gt;=4,"A",IF('Data Source'!X772&gt;=3.5,"A-",IF('Data Source'!X772&gt;=3,"B",IF('Data Source'!X772&gt;=2,"C",IF('Data Source'!X772&gt;=1,"D","F")))))))</f>
        <v/>
      </c>
      <c r="G772" s="3">
        <f>IF('Data Source'!B772="","",IF('Data Source'!Y772&gt;=5,"A+",IF('Data Source'!Y772&gt;=4,"A",IF('Data Source'!Y772&gt;=3.5,"A-",IF('Data Source'!Y772&gt;=3,"B",IF('Data Source'!Y772&gt;=2,"C",IF('Data Source'!Y772&gt;=1,"D","F")))))))</f>
        <v/>
      </c>
      <c r="H772" s="3">
        <f>IF('Data Source'!B772="","",IF('Data Source'!Z772&gt;=5,"A+",IF('Data Source'!Z772&gt;=4,"A",IF('Data Source'!Z772&gt;=3.5,"A-",IF('Data Source'!Z772&gt;=3,"B",IF('Data Source'!Z772&gt;=2,"C",IF('Data Source'!Z772&gt;=1,"D","F")))))))</f>
        <v/>
      </c>
      <c r="I772" s="3">
        <f>IF('Data Source'!B772="","",IF('Data Source'!AA772&gt;=5,"A+",IF('Data Source'!AA772&gt;=4,"A",IF('Data Source'!AA772&gt;=3.5,"A-",IF('Data Source'!AA772&gt;=3,"B",IF('Data Source'!AA772&gt;=2,"C",IF('Data Source'!AA772&gt;=1,"D","F")))))))</f>
        <v/>
      </c>
      <c r="J772" s="3">
        <f>IF('Data Source'!B772="","",IF('Data Source'!AB772&gt;=5,"A+",IF('Data Source'!AB772&gt;=4,"A",IF('Data Source'!AB772&gt;=3.5,"A-",IF('Data Source'!AB772&gt;=3,"B",IF('Data Source'!AB772&gt;=2,"C",IF('Data Source'!AB772&gt;=1,"D","F")))))))</f>
        <v/>
      </c>
      <c r="K772" s="3">
        <f>IF('Data Source'!B772="","",IF('Data Source'!AC772&gt;=5,"A+",IF('Data Source'!AC772&gt;=4,"A",IF('Data Source'!AC772&gt;=3.5,"A-",IF('Data Source'!AC772&gt;=3,"B",IF('Data Source'!AC772&gt;=2,"C",IF('Data Source'!AC772&gt;=1,"D","F")))))))</f>
        <v/>
      </c>
      <c r="L772" s="3">
        <f>IF('Data Source'!B772="","",IF('Data Source'!AD772&gt;=5,"A+",IF('Data Source'!AD772&gt;=4,"A",IF('Data Source'!AD772&gt;=3.5,"A-",IF('Data Source'!AD772&gt;=3,"B",IF('Data Source'!AD772&gt;=2,"C",IF('Data Source'!AD772&gt;=1,"D","F")))))))</f>
        <v/>
      </c>
      <c r="M772" s="3">
        <f>IF('Data Source'!B772="","",IF('Data Source'!AE772&gt;=5,"A+",IF('Data Source'!AE772&gt;=4,"A",IF('Data Source'!AE772&gt;=3.5,"A-",IF('Data Source'!AE772&gt;=3,"B",IF('Data Source'!AE772&gt;=2,"C",IF('Data Source'!AE772&gt;=1,"D","F")))))))</f>
        <v/>
      </c>
      <c r="N772" s="3">
        <f>IF('Data Source'!B772="","",IF('Data Source'!AF772&gt;=5,"A+",IF('Data Source'!AF772&gt;=4,"A",IF('Data Source'!AF772&gt;=3.5,"A-",IF('Data Source'!AF772&gt;=3,"B",IF('Data Source'!AF772&gt;=2,"C",IF('Data Source'!AF772&gt;=1,"D","F")))))))</f>
        <v/>
      </c>
      <c r="O772" s="3">
        <f>IF('Data Source'!B772="","",IF('Data Source'!AG772&gt;=5,"A+",IF('Data Source'!AG772&gt;=4,"A",IF('Data Source'!AG772&gt;=3.5,"A-",IF('Data Source'!AG772&gt;=3,"B",IF('Data Source'!AG772&gt;=2,"C",IF('Data Source'!AG772&gt;=1,"D","F")))))))</f>
        <v/>
      </c>
      <c r="P772" s="5">
        <f>IF('Data Source'!B772="","",'Data Source'!R772)</f>
        <v/>
      </c>
      <c r="Q772" s="3">
        <f>IF('Data Source'!B772="","",'Data Source'!S772)</f>
        <v/>
      </c>
    </row>
    <row r="773">
      <c r="A773" s="3">
        <f>IF('Data Source'!B773="","",'Data Source'!A773)</f>
        <v/>
      </c>
      <c r="B773">
        <f>IF('Data Source'!B773="","",'Data Source'!B773)</f>
        <v/>
      </c>
      <c r="C773" s="3">
        <f>IF('Data Source'!B773="","",IF('Data Source'!U773&gt;=5,"A+",IF('Data Source'!U773&gt;=4,"A",IF('Data Source'!U773&gt;=3.5,"A-",IF('Data Source'!U773&gt;=3,"B",IF('Data Source'!U773&gt;=2,"C",IF('Data Source'!U773&gt;=1,"D","F")))))))</f>
        <v/>
      </c>
      <c r="D773" s="3">
        <f>IF('Data Source'!B773="","",IF('Data Source'!V773&gt;=5,"A+",IF('Data Source'!V773&gt;=4,"A",IF('Data Source'!V773&gt;=3.5,"A-",IF('Data Source'!V773&gt;=3,"B",IF('Data Source'!V773&gt;=2,"C",IF('Data Source'!V773&gt;=1,"D","F")))))))</f>
        <v/>
      </c>
      <c r="E773" s="3">
        <f>IF('Data Source'!B773="","",IF('Data Source'!W773&gt;=5,"A+",IF('Data Source'!W773&gt;=4,"A",IF('Data Source'!W773&gt;=3.5,"A-",IF('Data Source'!W773&gt;=3,"B",IF('Data Source'!W773&gt;=2,"C",IF('Data Source'!W773&gt;=1,"D","F")))))))</f>
        <v/>
      </c>
      <c r="F773" s="3">
        <f>IF('Data Source'!B773="","",IF('Data Source'!X773&gt;=5,"A+",IF('Data Source'!X773&gt;=4,"A",IF('Data Source'!X773&gt;=3.5,"A-",IF('Data Source'!X773&gt;=3,"B",IF('Data Source'!X773&gt;=2,"C",IF('Data Source'!X773&gt;=1,"D","F")))))))</f>
        <v/>
      </c>
      <c r="G773" s="3">
        <f>IF('Data Source'!B773="","",IF('Data Source'!Y773&gt;=5,"A+",IF('Data Source'!Y773&gt;=4,"A",IF('Data Source'!Y773&gt;=3.5,"A-",IF('Data Source'!Y773&gt;=3,"B",IF('Data Source'!Y773&gt;=2,"C",IF('Data Source'!Y773&gt;=1,"D","F")))))))</f>
        <v/>
      </c>
      <c r="H773" s="3">
        <f>IF('Data Source'!B773="","",IF('Data Source'!Z773&gt;=5,"A+",IF('Data Source'!Z773&gt;=4,"A",IF('Data Source'!Z773&gt;=3.5,"A-",IF('Data Source'!Z773&gt;=3,"B",IF('Data Source'!Z773&gt;=2,"C",IF('Data Source'!Z773&gt;=1,"D","F")))))))</f>
        <v/>
      </c>
      <c r="I773" s="3">
        <f>IF('Data Source'!B773="","",IF('Data Source'!AA773&gt;=5,"A+",IF('Data Source'!AA773&gt;=4,"A",IF('Data Source'!AA773&gt;=3.5,"A-",IF('Data Source'!AA773&gt;=3,"B",IF('Data Source'!AA773&gt;=2,"C",IF('Data Source'!AA773&gt;=1,"D","F")))))))</f>
        <v/>
      </c>
      <c r="J773" s="3">
        <f>IF('Data Source'!B773="","",IF('Data Source'!AB773&gt;=5,"A+",IF('Data Source'!AB773&gt;=4,"A",IF('Data Source'!AB773&gt;=3.5,"A-",IF('Data Source'!AB773&gt;=3,"B",IF('Data Source'!AB773&gt;=2,"C",IF('Data Source'!AB773&gt;=1,"D","F")))))))</f>
        <v/>
      </c>
      <c r="K773" s="3">
        <f>IF('Data Source'!B773="","",IF('Data Source'!AC773&gt;=5,"A+",IF('Data Source'!AC773&gt;=4,"A",IF('Data Source'!AC773&gt;=3.5,"A-",IF('Data Source'!AC773&gt;=3,"B",IF('Data Source'!AC773&gt;=2,"C",IF('Data Source'!AC773&gt;=1,"D","F")))))))</f>
        <v/>
      </c>
      <c r="L773" s="3">
        <f>IF('Data Source'!B773="","",IF('Data Source'!AD773&gt;=5,"A+",IF('Data Source'!AD773&gt;=4,"A",IF('Data Source'!AD773&gt;=3.5,"A-",IF('Data Source'!AD773&gt;=3,"B",IF('Data Source'!AD773&gt;=2,"C",IF('Data Source'!AD773&gt;=1,"D","F")))))))</f>
        <v/>
      </c>
      <c r="M773" s="3">
        <f>IF('Data Source'!B773="","",IF('Data Source'!AE773&gt;=5,"A+",IF('Data Source'!AE773&gt;=4,"A",IF('Data Source'!AE773&gt;=3.5,"A-",IF('Data Source'!AE773&gt;=3,"B",IF('Data Source'!AE773&gt;=2,"C",IF('Data Source'!AE773&gt;=1,"D","F")))))))</f>
        <v/>
      </c>
      <c r="N773" s="3">
        <f>IF('Data Source'!B773="","",IF('Data Source'!AF773&gt;=5,"A+",IF('Data Source'!AF773&gt;=4,"A",IF('Data Source'!AF773&gt;=3.5,"A-",IF('Data Source'!AF773&gt;=3,"B",IF('Data Source'!AF773&gt;=2,"C",IF('Data Source'!AF773&gt;=1,"D","F")))))))</f>
        <v/>
      </c>
      <c r="O773" s="3">
        <f>IF('Data Source'!B773="","",IF('Data Source'!AG773&gt;=5,"A+",IF('Data Source'!AG773&gt;=4,"A",IF('Data Source'!AG773&gt;=3.5,"A-",IF('Data Source'!AG773&gt;=3,"B",IF('Data Source'!AG773&gt;=2,"C",IF('Data Source'!AG773&gt;=1,"D","F")))))))</f>
        <v/>
      </c>
      <c r="P773" s="5">
        <f>IF('Data Source'!B773="","",'Data Source'!R773)</f>
        <v/>
      </c>
      <c r="Q773" s="3">
        <f>IF('Data Source'!B773="","",'Data Source'!S773)</f>
        <v/>
      </c>
    </row>
    <row r="774">
      <c r="A774" s="3">
        <f>IF('Data Source'!B774="","",'Data Source'!A774)</f>
        <v/>
      </c>
      <c r="B774">
        <f>IF('Data Source'!B774="","",'Data Source'!B774)</f>
        <v/>
      </c>
      <c r="C774" s="3">
        <f>IF('Data Source'!B774="","",IF('Data Source'!U774&gt;=5,"A+",IF('Data Source'!U774&gt;=4,"A",IF('Data Source'!U774&gt;=3.5,"A-",IF('Data Source'!U774&gt;=3,"B",IF('Data Source'!U774&gt;=2,"C",IF('Data Source'!U774&gt;=1,"D","F")))))))</f>
        <v/>
      </c>
      <c r="D774" s="3">
        <f>IF('Data Source'!B774="","",IF('Data Source'!V774&gt;=5,"A+",IF('Data Source'!V774&gt;=4,"A",IF('Data Source'!V774&gt;=3.5,"A-",IF('Data Source'!V774&gt;=3,"B",IF('Data Source'!V774&gt;=2,"C",IF('Data Source'!V774&gt;=1,"D","F")))))))</f>
        <v/>
      </c>
      <c r="E774" s="3">
        <f>IF('Data Source'!B774="","",IF('Data Source'!W774&gt;=5,"A+",IF('Data Source'!W774&gt;=4,"A",IF('Data Source'!W774&gt;=3.5,"A-",IF('Data Source'!W774&gt;=3,"B",IF('Data Source'!W774&gt;=2,"C",IF('Data Source'!W774&gt;=1,"D","F")))))))</f>
        <v/>
      </c>
      <c r="F774" s="3">
        <f>IF('Data Source'!B774="","",IF('Data Source'!X774&gt;=5,"A+",IF('Data Source'!X774&gt;=4,"A",IF('Data Source'!X774&gt;=3.5,"A-",IF('Data Source'!X774&gt;=3,"B",IF('Data Source'!X774&gt;=2,"C",IF('Data Source'!X774&gt;=1,"D","F")))))))</f>
        <v/>
      </c>
      <c r="G774" s="3">
        <f>IF('Data Source'!B774="","",IF('Data Source'!Y774&gt;=5,"A+",IF('Data Source'!Y774&gt;=4,"A",IF('Data Source'!Y774&gt;=3.5,"A-",IF('Data Source'!Y774&gt;=3,"B",IF('Data Source'!Y774&gt;=2,"C",IF('Data Source'!Y774&gt;=1,"D","F")))))))</f>
        <v/>
      </c>
      <c r="H774" s="3">
        <f>IF('Data Source'!B774="","",IF('Data Source'!Z774&gt;=5,"A+",IF('Data Source'!Z774&gt;=4,"A",IF('Data Source'!Z774&gt;=3.5,"A-",IF('Data Source'!Z774&gt;=3,"B",IF('Data Source'!Z774&gt;=2,"C",IF('Data Source'!Z774&gt;=1,"D","F")))))))</f>
        <v/>
      </c>
      <c r="I774" s="3">
        <f>IF('Data Source'!B774="","",IF('Data Source'!AA774&gt;=5,"A+",IF('Data Source'!AA774&gt;=4,"A",IF('Data Source'!AA774&gt;=3.5,"A-",IF('Data Source'!AA774&gt;=3,"B",IF('Data Source'!AA774&gt;=2,"C",IF('Data Source'!AA774&gt;=1,"D","F")))))))</f>
        <v/>
      </c>
      <c r="J774" s="3">
        <f>IF('Data Source'!B774="","",IF('Data Source'!AB774&gt;=5,"A+",IF('Data Source'!AB774&gt;=4,"A",IF('Data Source'!AB774&gt;=3.5,"A-",IF('Data Source'!AB774&gt;=3,"B",IF('Data Source'!AB774&gt;=2,"C",IF('Data Source'!AB774&gt;=1,"D","F")))))))</f>
        <v/>
      </c>
      <c r="K774" s="3">
        <f>IF('Data Source'!B774="","",IF('Data Source'!AC774&gt;=5,"A+",IF('Data Source'!AC774&gt;=4,"A",IF('Data Source'!AC774&gt;=3.5,"A-",IF('Data Source'!AC774&gt;=3,"B",IF('Data Source'!AC774&gt;=2,"C",IF('Data Source'!AC774&gt;=1,"D","F")))))))</f>
        <v/>
      </c>
      <c r="L774" s="3">
        <f>IF('Data Source'!B774="","",IF('Data Source'!AD774&gt;=5,"A+",IF('Data Source'!AD774&gt;=4,"A",IF('Data Source'!AD774&gt;=3.5,"A-",IF('Data Source'!AD774&gt;=3,"B",IF('Data Source'!AD774&gt;=2,"C",IF('Data Source'!AD774&gt;=1,"D","F")))))))</f>
        <v/>
      </c>
      <c r="M774" s="3">
        <f>IF('Data Source'!B774="","",IF('Data Source'!AE774&gt;=5,"A+",IF('Data Source'!AE774&gt;=4,"A",IF('Data Source'!AE774&gt;=3.5,"A-",IF('Data Source'!AE774&gt;=3,"B",IF('Data Source'!AE774&gt;=2,"C",IF('Data Source'!AE774&gt;=1,"D","F")))))))</f>
        <v/>
      </c>
      <c r="N774" s="3">
        <f>IF('Data Source'!B774="","",IF('Data Source'!AF774&gt;=5,"A+",IF('Data Source'!AF774&gt;=4,"A",IF('Data Source'!AF774&gt;=3.5,"A-",IF('Data Source'!AF774&gt;=3,"B",IF('Data Source'!AF774&gt;=2,"C",IF('Data Source'!AF774&gt;=1,"D","F")))))))</f>
        <v/>
      </c>
      <c r="O774" s="3">
        <f>IF('Data Source'!B774="","",IF('Data Source'!AG774&gt;=5,"A+",IF('Data Source'!AG774&gt;=4,"A",IF('Data Source'!AG774&gt;=3.5,"A-",IF('Data Source'!AG774&gt;=3,"B",IF('Data Source'!AG774&gt;=2,"C",IF('Data Source'!AG774&gt;=1,"D","F")))))))</f>
        <v/>
      </c>
      <c r="P774" s="5">
        <f>IF('Data Source'!B774="","",'Data Source'!R774)</f>
        <v/>
      </c>
      <c r="Q774" s="3">
        <f>IF('Data Source'!B774="","",'Data Source'!S774)</f>
        <v/>
      </c>
    </row>
    <row r="775">
      <c r="A775" s="3">
        <f>IF('Data Source'!B775="","",'Data Source'!A775)</f>
        <v/>
      </c>
      <c r="B775">
        <f>IF('Data Source'!B775="","",'Data Source'!B775)</f>
        <v/>
      </c>
      <c r="C775" s="3">
        <f>IF('Data Source'!B775="","",IF('Data Source'!U775&gt;=5,"A+",IF('Data Source'!U775&gt;=4,"A",IF('Data Source'!U775&gt;=3.5,"A-",IF('Data Source'!U775&gt;=3,"B",IF('Data Source'!U775&gt;=2,"C",IF('Data Source'!U775&gt;=1,"D","F")))))))</f>
        <v/>
      </c>
      <c r="D775" s="3">
        <f>IF('Data Source'!B775="","",IF('Data Source'!V775&gt;=5,"A+",IF('Data Source'!V775&gt;=4,"A",IF('Data Source'!V775&gt;=3.5,"A-",IF('Data Source'!V775&gt;=3,"B",IF('Data Source'!V775&gt;=2,"C",IF('Data Source'!V775&gt;=1,"D","F")))))))</f>
        <v/>
      </c>
      <c r="E775" s="3">
        <f>IF('Data Source'!B775="","",IF('Data Source'!W775&gt;=5,"A+",IF('Data Source'!W775&gt;=4,"A",IF('Data Source'!W775&gt;=3.5,"A-",IF('Data Source'!W775&gt;=3,"B",IF('Data Source'!W775&gt;=2,"C",IF('Data Source'!W775&gt;=1,"D","F")))))))</f>
        <v/>
      </c>
      <c r="F775" s="3">
        <f>IF('Data Source'!B775="","",IF('Data Source'!X775&gt;=5,"A+",IF('Data Source'!X775&gt;=4,"A",IF('Data Source'!X775&gt;=3.5,"A-",IF('Data Source'!X775&gt;=3,"B",IF('Data Source'!X775&gt;=2,"C",IF('Data Source'!X775&gt;=1,"D","F")))))))</f>
        <v/>
      </c>
      <c r="G775" s="3">
        <f>IF('Data Source'!B775="","",IF('Data Source'!Y775&gt;=5,"A+",IF('Data Source'!Y775&gt;=4,"A",IF('Data Source'!Y775&gt;=3.5,"A-",IF('Data Source'!Y775&gt;=3,"B",IF('Data Source'!Y775&gt;=2,"C",IF('Data Source'!Y775&gt;=1,"D","F")))))))</f>
        <v/>
      </c>
      <c r="H775" s="3">
        <f>IF('Data Source'!B775="","",IF('Data Source'!Z775&gt;=5,"A+",IF('Data Source'!Z775&gt;=4,"A",IF('Data Source'!Z775&gt;=3.5,"A-",IF('Data Source'!Z775&gt;=3,"B",IF('Data Source'!Z775&gt;=2,"C",IF('Data Source'!Z775&gt;=1,"D","F")))))))</f>
        <v/>
      </c>
      <c r="I775" s="3">
        <f>IF('Data Source'!B775="","",IF('Data Source'!AA775&gt;=5,"A+",IF('Data Source'!AA775&gt;=4,"A",IF('Data Source'!AA775&gt;=3.5,"A-",IF('Data Source'!AA775&gt;=3,"B",IF('Data Source'!AA775&gt;=2,"C",IF('Data Source'!AA775&gt;=1,"D","F")))))))</f>
        <v/>
      </c>
      <c r="J775" s="3">
        <f>IF('Data Source'!B775="","",IF('Data Source'!AB775&gt;=5,"A+",IF('Data Source'!AB775&gt;=4,"A",IF('Data Source'!AB775&gt;=3.5,"A-",IF('Data Source'!AB775&gt;=3,"B",IF('Data Source'!AB775&gt;=2,"C",IF('Data Source'!AB775&gt;=1,"D","F")))))))</f>
        <v/>
      </c>
      <c r="K775" s="3">
        <f>IF('Data Source'!B775="","",IF('Data Source'!AC775&gt;=5,"A+",IF('Data Source'!AC775&gt;=4,"A",IF('Data Source'!AC775&gt;=3.5,"A-",IF('Data Source'!AC775&gt;=3,"B",IF('Data Source'!AC775&gt;=2,"C",IF('Data Source'!AC775&gt;=1,"D","F")))))))</f>
        <v/>
      </c>
      <c r="L775" s="3">
        <f>IF('Data Source'!B775="","",IF('Data Source'!AD775&gt;=5,"A+",IF('Data Source'!AD775&gt;=4,"A",IF('Data Source'!AD775&gt;=3.5,"A-",IF('Data Source'!AD775&gt;=3,"B",IF('Data Source'!AD775&gt;=2,"C",IF('Data Source'!AD775&gt;=1,"D","F")))))))</f>
        <v/>
      </c>
      <c r="M775" s="3">
        <f>IF('Data Source'!B775="","",IF('Data Source'!AE775&gt;=5,"A+",IF('Data Source'!AE775&gt;=4,"A",IF('Data Source'!AE775&gt;=3.5,"A-",IF('Data Source'!AE775&gt;=3,"B",IF('Data Source'!AE775&gt;=2,"C",IF('Data Source'!AE775&gt;=1,"D","F")))))))</f>
        <v/>
      </c>
      <c r="N775" s="3">
        <f>IF('Data Source'!B775="","",IF('Data Source'!AF775&gt;=5,"A+",IF('Data Source'!AF775&gt;=4,"A",IF('Data Source'!AF775&gt;=3.5,"A-",IF('Data Source'!AF775&gt;=3,"B",IF('Data Source'!AF775&gt;=2,"C",IF('Data Source'!AF775&gt;=1,"D","F")))))))</f>
        <v/>
      </c>
      <c r="O775" s="3">
        <f>IF('Data Source'!B775="","",IF('Data Source'!AG775&gt;=5,"A+",IF('Data Source'!AG775&gt;=4,"A",IF('Data Source'!AG775&gt;=3.5,"A-",IF('Data Source'!AG775&gt;=3,"B",IF('Data Source'!AG775&gt;=2,"C",IF('Data Source'!AG775&gt;=1,"D","F")))))))</f>
        <v/>
      </c>
      <c r="P775" s="5">
        <f>IF('Data Source'!B775="","",'Data Source'!R775)</f>
        <v/>
      </c>
      <c r="Q775" s="3">
        <f>IF('Data Source'!B775="","",'Data Source'!S775)</f>
        <v/>
      </c>
    </row>
    <row r="776">
      <c r="A776" s="3">
        <f>IF('Data Source'!B776="","",'Data Source'!A776)</f>
        <v/>
      </c>
      <c r="B776">
        <f>IF('Data Source'!B776="","",'Data Source'!B776)</f>
        <v/>
      </c>
      <c r="C776" s="3">
        <f>IF('Data Source'!B776="","",IF('Data Source'!U776&gt;=5,"A+",IF('Data Source'!U776&gt;=4,"A",IF('Data Source'!U776&gt;=3.5,"A-",IF('Data Source'!U776&gt;=3,"B",IF('Data Source'!U776&gt;=2,"C",IF('Data Source'!U776&gt;=1,"D","F")))))))</f>
        <v/>
      </c>
      <c r="D776" s="3">
        <f>IF('Data Source'!B776="","",IF('Data Source'!V776&gt;=5,"A+",IF('Data Source'!V776&gt;=4,"A",IF('Data Source'!V776&gt;=3.5,"A-",IF('Data Source'!V776&gt;=3,"B",IF('Data Source'!V776&gt;=2,"C",IF('Data Source'!V776&gt;=1,"D","F")))))))</f>
        <v/>
      </c>
      <c r="E776" s="3">
        <f>IF('Data Source'!B776="","",IF('Data Source'!W776&gt;=5,"A+",IF('Data Source'!W776&gt;=4,"A",IF('Data Source'!W776&gt;=3.5,"A-",IF('Data Source'!W776&gt;=3,"B",IF('Data Source'!W776&gt;=2,"C",IF('Data Source'!W776&gt;=1,"D","F")))))))</f>
        <v/>
      </c>
      <c r="F776" s="3">
        <f>IF('Data Source'!B776="","",IF('Data Source'!X776&gt;=5,"A+",IF('Data Source'!X776&gt;=4,"A",IF('Data Source'!X776&gt;=3.5,"A-",IF('Data Source'!X776&gt;=3,"B",IF('Data Source'!X776&gt;=2,"C",IF('Data Source'!X776&gt;=1,"D","F")))))))</f>
        <v/>
      </c>
      <c r="G776" s="3">
        <f>IF('Data Source'!B776="","",IF('Data Source'!Y776&gt;=5,"A+",IF('Data Source'!Y776&gt;=4,"A",IF('Data Source'!Y776&gt;=3.5,"A-",IF('Data Source'!Y776&gt;=3,"B",IF('Data Source'!Y776&gt;=2,"C",IF('Data Source'!Y776&gt;=1,"D","F")))))))</f>
        <v/>
      </c>
      <c r="H776" s="3">
        <f>IF('Data Source'!B776="","",IF('Data Source'!Z776&gt;=5,"A+",IF('Data Source'!Z776&gt;=4,"A",IF('Data Source'!Z776&gt;=3.5,"A-",IF('Data Source'!Z776&gt;=3,"B",IF('Data Source'!Z776&gt;=2,"C",IF('Data Source'!Z776&gt;=1,"D","F")))))))</f>
        <v/>
      </c>
      <c r="I776" s="3">
        <f>IF('Data Source'!B776="","",IF('Data Source'!AA776&gt;=5,"A+",IF('Data Source'!AA776&gt;=4,"A",IF('Data Source'!AA776&gt;=3.5,"A-",IF('Data Source'!AA776&gt;=3,"B",IF('Data Source'!AA776&gt;=2,"C",IF('Data Source'!AA776&gt;=1,"D","F")))))))</f>
        <v/>
      </c>
      <c r="J776" s="3">
        <f>IF('Data Source'!B776="","",IF('Data Source'!AB776&gt;=5,"A+",IF('Data Source'!AB776&gt;=4,"A",IF('Data Source'!AB776&gt;=3.5,"A-",IF('Data Source'!AB776&gt;=3,"B",IF('Data Source'!AB776&gt;=2,"C",IF('Data Source'!AB776&gt;=1,"D","F")))))))</f>
        <v/>
      </c>
      <c r="K776" s="3">
        <f>IF('Data Source'!B776="","",IF('Data Source'!AC776&gt;=5,"A+",IF('Data Source'!AC776&gt;=4,"A",IF('Data Source'!AC776&gt;=3.5,"A-",IF('Data Source'!AC776&gt;=3,"B",IF('Data Source'!AC776&gt;=2,"C",IF('Data Source'!AC776&gt;=1,"D","F")))))))</f>
        <v/>
      </c>
      <c r="L776" s="3">
        <f>IF('Data Source'!B776="","",IF('Data Source'!AD776&gt;=5,"A+",IF('Data Source'!AD776&gt;=4,"A",IF('Data Source'!AD776&gt;=3.5,"A-",IF('Data Source'!AD776&gt;=3,"B",IF('Data Source'!AD776&gt;=2,"C",IF('Data Source'!AD776&gt;=1,"D","F")))))))</f>
        <v/>
      </c>
      <c r="M776" s="3">
        <f>IF('Data Source'!B776="","",IF('Data Source'!AE776&gt;=5,"A+",IF('Data Source'!AE776&gt;=4,"A",IF('Data Source'!AE776&gt;=3.5,"A-",IF('Data Source'!AE776&gt;=3,"B",IF('Data Source'!AE776&gt;=2,"C",IF('Data Source'!AE776&gt;=1,"D","F")))))))</f>
        <v/>
      </c>
      <c r="N776" s="3">
        <f>IF('Data Source'!B776="","",IF('Data Source'!AF776&gt;=5,"A+",IF('Data Source'!AF776&gt;=4,"A",IF('Data Source'!AF776&gt;=3.5,"A-",IF('Data Source'!AF776&gt;=3,"B",IF('Data Source'!AF776&gt;=2,"C",IF('Data Source'!AF776&gt;=1,"D","F")))))))</f>
        <v/>
      </c>
      <c r="O776" s="3">
        <f>IF('Data Source'!B776="","",IF('Data Source'!AG776&gt;=5,"A+",IF('Data Source'!AG776&gt;=4,"A",IF('Data Source'!AG776&gt;=3.5,"A-",IF('Data Source'!AG776&gt;=3,"B",IF('Data Source'!AG776&gt;=2,"C",IF('Data Source'!AG776&gt;=1,"D","F")))))))</f>
        <v/>
      </c>
      <c r="P776" s="5">
        <f>IF('Data Source'!B776="","",'Data Source'!R776)</f>
        <v/>
      </c>
      <c r="Q776" s="3">
        <f>IF('Data Source'!B776="","",'Data Source'!S776)</f>
        <v/>
      </c>
    </row>
    <row r="777">
      <c r="A777" s="3">
        <f>IF('Data Source'!B777="","",'Data Source'!A777)</f>
        <v/>
      </c>
      <c r="B777">
        <f>IF('Data Source'!B777="","",'Data Source'!B777)</f>
        <v/>
      </c>
      <c r="C777" s="3">
        <f>IF('Data Source'!B777="","",IF('Data Source'!U777&gt;=5,"A+",IF('Data Source'!U777&gt;=4,"A",IF('Data Source'!U777&gt;=3.5,"A-",IF('Data Source'!U777&gt;=3,"B",IF('Data Source'!U777&gt;=2,"C",IF('Data Source'!U777&gt;=1,"D","F")))))))</f>
        <v/>
      </c>
      <c r="D777" s="3">
        <f>IF('Data Source'!B777="","",IF('Data Source'!V777&gt;=5,"A+",IF('Data Source'!V777&gt;=4,"A",IF('Data Source'!V777&gt;=3.5,"A-",IF('Data Source'!V777&gt;=3,"B",IF('Data Source'!V777&gt;=2,"C",IF('Data Source'!V777&gt;=1,"D","F")))))))</f>
        <v/>
      </c>
      <c r="E777" s="3">
        <f>IF('Data Source'!B777="","",IF('Data Source'!W777&gt;=5,"A+",IF('Data Source'!W777&gt;=4,"A",IF('Data Source'!W777&gt;=3.5,"A-",IF('Data Source'!W777&gt;=3,"B",IF('Data Source'!W777&gt;=2,"C",IF('Data Source'!W777&gt;=1,"D","F")))))))</f>
        <v/>
      </c>
      <c r="F777" s="3">
        <f>IF('Data Source'!B777="","",IF('Data Source'!X777&gt;=5,"A+",IF('Data Source'!X777&gt;=4,"A",IF('Data Source'!X777&gt;=3.5,"A-",IF('Data Source'!X777&gt;=3,"B",IF('Data Source'!X777&gt;=2,"C",IF('Data Source'!X777&gt;=1,"D","F")))))))</f>
        <v/>
      </c>
      <c r="G777" s="3">
        <f>IF('Data Source'!B777="","",IF('Data Source'!Y777&gt;=5,"A+",IF('Data Source'!Y777&gt;=4,"A",IF('Data Source'!Y777&gt;=3.5,"A-",IF('Data Source'!Y777&gt;=3,"B",IF('Data Source'!Y777&gt;=2,"C",IF('Data Source'!Y777&gt;=1,"D","F")))))))</f>
        <v/>
      </c>
      <c r="H777" s="3">
        <f>IF('Data Source'!B777="","",IF('Data Source'!Z777&gt;=5,"A+",IF('Data Source'!Z777&gt;=4,"A",IF('Data Source'!Z777&gt;=3.5,"A-",IF('Data Source'!Z777&gt;=3,"B",IF('Data Source'!Z777&gt;=2,"C",IF('Data Source'!Z777&gt;=1,"D","F")))))))</f>
        <v/>
      </c>
      <c r="I777" s="3">
        <f>IF('Data Source'!B777="","",IF('Data Source'!AA777&gt;=5,"A+",IF('Data Source'!AA777&gt;=4,"A",IF('Data Source'!AA777&gt;=3.5,"A-",IF('Data Source'!AA777&gt;=3,"B",IF('Data Source'!AA777&gt;=2,"C",IF('Data Source'!AA777&gt;=1,"D","F")))))))</f>
        <v/>
      </c>
      <c r="J777" s="3">
        <f>IF('Data Source'!B777="","",IF('Data Source'!AB777&gt;=5,"A+",IF('Data Source'!AB777&gt;=4,"A",IF('Data Source'!AB777&gt;=3.5,"A-",IF('Data Source'!AB777&gt;=3,"B",IF('Data Source'!AB777&gt;=2,"C",IF('Data Source'!AB777&gt;=1,"D","F")))))))</f>
        <v/>
      </c>
      <c r="K777" s="3">
        <f>IF('Data Source'!B777="","",IF('Data Source'!AC777&gt;=5,"A+",IF('Data Source'!AC777&gt;=4,"A",IF('Data Source'!AC777&gt;=3.5,"A-",IF('Data Source'!AC777&gt;=3,"B",IF('Data Source'!AC777&gt;=2,"C",IF('Data Source'!AC777&gt;=1,"D","F")))))))</f>
        <v/>
      </c>
      <c r="L777" s="3">
        <f>IF('Data Source'!B777="","",IF('Data Source'!AD777&gt;=5,"A+",IF('Data Source'!AD777&gt;=4,"A",IF('Data Source'!AD777&gt;=3.5,"A-",IF('Data Source'!AD777&gt;=3,"B",IF('Data Source'!AD777&gt;=2,"C",IF('Data Source'!AD777&gt;=1,"D","F")))))))</f>
        <v/>
      </c>
      <c r="M777" s="3">
        <f>IF('Data Source'!B777="","",IF('Data Source'!AE777&gt;=5,"A+",IF('Data Source'!AE777&gt;=4,"A",IF('Data Source'!AE777&gt;=3.5,"A-",IF('Data Source'!AE777&gt;=3,"B",IF('Data Source'!AE777&gt;=2,"C",IF('Data Source'!AE777&gt;=1,"D","F")))))))</f>
        <v/>
      </c>
      <c r="N777" s="3">
        <f>IF('Data Source'!B777="","",IF('Data Source'!AF777&gt;=5,"A+",IF('Data Source'!AF777&gt;=4,"A",IF('Data Source'!AF777&gt;=3.5,"A-",IF('Data Source'!AF777&gt;=3,"B",IF('Data Source'!AF777&gt;=2,"C",IF('Data Source'!AF777&gt;=1,"D","F")))))))</f>
        <v/>
      </c>
      <c r="O777" s="3">
        <f>IF('Data Source'!B777="","",IF('Data Source'!AG777&gt;=5,"A+",IF('Data Source'!AG777&gt;=4,"A",IF('Data Source'!AG777&gt;=3.5,"A-",IF('Data Source'!AG777&gt;=3,"B",IF('Data Source'!AG777&gt;=2,"C",IF('Data Source'!AG777&gt;=1,"D","F")))))))</f>
        <v/>
      </c>
      <c r="P777" s="5">
        <f>IF('Data Source'!B777="","",'Data Source'!R777)</f>
        <v/>
      </c>
      <c r="Q777" s="3">
        <f>IF('Data Source'!B777="","",'Data Source'!S777)</f>
        <v/>
      </c>
    </row>
    <row r="778">
      <c r="A778" s="3">
        <f>IF('Data Source'!B778="","",'Data Source'!A778)</f>
        <v/>
      </c>
      <c r="B778">
        <f>IF('Data Source'!B778="","",'Data Source'!B778)</f>
        <v/>
      </c>
      <c r="C778" s="3">
        <f>IF('Data Source'!B778="","",IF('Data Source'!U778&gt;=5,"A+",IF('Data Source'!U778&gt;=4,"A",IF('Data Source'!U778&gt;=3.5,"A-",IF('Data Source'!U778&gt;=3,"B",IF('Data Source'!U778&gt;=2,"C",IF('Data Source'!U778&gt;=1,"D","F")))))))</f>
        <v/>
      </c>
      <c r="D778" s="3">
        <f>IF('Data Source'!B778="","",IF('Data Source'!V778&gt;=5,"A+",IF('Data Source'!V778&gt;=4,"A",IF('Data Source'!V778&gt;=3.5,"A-",IF('Data Source'!V778&gt;=3,"B",IF('Data Source'!V778&gt;=2,"C",IF('Data Source'!V778&gt;=1,"D","F")))))))</f>
        <v/>
      </c>
      <c r="E778" s="3">
        <f>IF('Data Source'!B778="","",IF('Data Source'!W778&gt;=5,"A+",IF('Data Source'!W778&gt;=4,"A",IF('Data Source'!W778&gt;=3.5,"A-",IF('Data Source'!W778&gt;=3,"B",IF('Data Source'!W778&gt;=2,"C",IF('Data Source'!W778&gt;=1,"D","F")))))))</f>
        <v/>
      </c>
      <c r="F778" s="3">
        <f>IF('Data Source'!B778="","",IF('Data Source'!X778&gt;=5,"A+",IF('Data Source'!X778&gt;=4,"A",IF('Data Source'!X778&gt;=3.5,"A-",IF('Data Source'!X778&gt;=3,"B",IF('Data Source'!X778&gt;=2,"C",IF('Data Source'!X778&gt;=1,"D","F")))))))</f>
        <v/>
      </c>
      <c r="G778" s="3">
        <f>IF('Data Source'!B778="","",IF('Data Source'!Y778&gt;=5,"A+",IF('Data Source'!Y778&gt;=4,"A",IF('Data Source'!Y778&gt;=3.5,"A-",IF('Data Source'!Y778&gt;=3,"B",IF('Data Source'!Y778&gt;=2,"C",IF('Data Source'!Y778&gt;=1,"D","F")))))))</f>
        <v/>
      </c>
      <c r="H778" s="3">
        <f>IF('Data Source'!B778="","",IF('Data Source'!Z778&gt;=5,"A+",IF('Data Source'!Z778&gt;=4,"A",IF('Data Source'!Z778&gt;=3.5,"A-",IF('Data Source'!Z778&gt;=3,"B",IF('Data Source'!Z778&gt;=2,"C",IF('Data Source'!Z778&gt;=1,"D","F")))))))</f>
        <v/>
      </c>
      <c r="I778" s="3">
        <f>IF('Data Source'!B778="","",IF('Data Source'!AA778&gt;=5,"A+",IF('Data Source'!AA778&gt;=4,"A",IF('Data Source'!AA778&gt;=3.5,"A-",IF('Data Source'!AA778&gt;=3,"B",IF('Data Source'!AA778&gt;=2,"C",IF('Data Source'!AA778&gt;=1,"D","F")))))))</f>
        <v/>
      </c>
      <c r="J778" s="3">
        <f>IF('Data Source'!B778="","",IF('Data Source'!AB778&gt;=5,"A+",IF('Data Source'!AB778&gt;=4,"A",IF('Data Source'!AB778&gt;=3.5,"A-",IF('Data Source'!AB778&gt;=3,"B",IF('Data Source'!AB778&gt;=2,"C",IF('Data Source'!AB778&gt;=1,"D","F")))))))</f>
        <v/>
      </c>
      <c r="K778" s="3">
        <f>IF('Data Source'!B778="","",IF('Data Source'!AC778&gt;=5,"A+",IF('Data Source'!AC778&gt;=4,"A",IF('Data Source'!AC778&gt;=3.5,"A-",IF('Data Source'!AC778&gt;=3,"B",IF('Data Source'!AC778&gt;=2,"C",IF('Data Source'!AC778&gt;=1,"D","F")))))))</f>
        <v/>
      </c>
      <c r="L778" s="3">
        <f>IF('Data Source'!B778="","",IF('Data Source'!AD778&gt;=5,"A+",IF('Data Source'!AD778&gt;=4,"A",IF('Data Source'!AD778&gt;=3.5,"A-",IF('Data Source'!AD778&gt;=3,"B",IF('Data Source'!AD778&gt;=2,"C",IF('Data Source'!AD778&gt;=1,"D","F")))))))</f>
        <v/>
      </c>
      <c r="M778" s="3">
        <f>IF('Data Source'!B778="","",IF('Data Source'!AE778&gt;=5,"A+",IF('Data Source'!AE778&gt;=4,"A",IF('Data Source'!AE778&gt;=3.5,"A-",IF('Data Source'!AE778&gt;=3,"B",IF('Data Source'!AE778&gt;=2,"C",IF('Data Source'!AE778&gt;=1,"D","F")))))))</f>
        <v/>
      </c>
      <c r="N778" s="3">
        <f>IF('Data Source'!B778="","",IF('Data Source'!AF778&gt;=5,"A+",IF('Data Source'!AF778&gt;=4,"A",IF('Data Source'!AF778&gt;=3.5,"A-",IF('Data Source'!AF778&gt;=3,"B",IF('Data Source'!AF778&gt;=2,"C",IF('Data Source'!AF778&gt;=1,"D","F")))))))</f>
        <v/>
      </c>
      <c r="O778" s="3">
        <f>IF('Data Source'!B778="","",IF('Data Source'!AG778&gt;=5,"A+",IF('Data Source'!AG778&gt;=4,"A",IF('Data Source'!AG778&gt;=3.5,"A-",IF('Data Source'!AG778&gt;=3,"B",IF('Data Source'!AG778&gt;=2,"C",IF('Data Source'!AG778&gt;=1,"D","F")))))))</f>
        <v/>
      </c>
      <c r="P778" s="5">
        <f>IF('Data Source'!B778="","",'Data Source'!R778)</f>
        <v/>
      </c>
      <c r="Q778" s="3">
        <f>IF('Data Source'!B778="","",'Data Source'!S778)</f>
        <v/>
      </c>
    </row>
    <row r="779">
      <c r="A779" s="3">
        <f>IF('Data Source'!B779="","",'Data Source'!A779)</f>
        <v/>
      </c>
      <c r="B779">
        <f>IF('Data Source'!B779="","",'Data Source'!B779)</f>
        <v/>
      </c>
      <c r="C779" s="3">
        <f>IF('Data Source'!B779="","",IF('Data Source'!U779&gt;=5,"A+",IF('Data Source'!U779&gt;=4,"A",IF('Data Source'!U779&gt;=3.5,"A-",IF('Data Source'!U779&gt;=3,"B",IF('Data Source'!U779&gt;=2,"C",IF('Data Source'!U779&gt;=1,"D","F")))))))</f>
        <v/>
      </c>
      <c r="D779" s="3">
        <f>IF('Data Source'!B779="","",IF('Data Source'!V779&gt;=5,"A+",IF('Data Source'!V779&gt;=4,"A",IF('Data Source'!V779&gt;=3.5,"A-",IF('Data Source'!V779&gt;=3,"B",IF('Data Source'!V779&gt;=2,"C",IF('Data Source'!V779&gt;=1,"D","F")))))))</f>
        <v/>
      </c>
      <c r="E779" s="3">
        <f>IF('Data Source'!B779="","",IF('Data Source'!W779&gt;=5,"A+",IF('Data Source'!W779&gt;=4,"A",IF('Data Source'!W779&gt;=3.5,"A-",IF('Data Source'!W779&gt;=3,"B",IF('Data Source'!W779&gt;=2,"C",IF('Data Source'!W779&gt;=1,"D","F")))))))</f>
        <v/>
      </c>
      <c r="F779" s="3">
        <f>IF('Data Source'!B779="","",IF('Data Source'!X779&gt;=5,"A+",IF('Data Source'!X779&gt;=4,"A",IF('Data Source'!X779&gt;=3.5,"A-",IF('Data Source'!X779&gt;=3,"B",IF('Data Source'!X779&gt;=2,"C",IF('Data Source'!X779&gt;=1,"D","F")))))))</f>
        <v/>
      </c>
      <c r="G779" s="3">
        <f>IF('Data Source'!B779="","",IF('Data Source'!Y779&gt;=5,"A+",IF('Data Source'!Y779&gt;=4,"A",IF('Data Source'!Y779&gt;=3.5,"A-",IF('Data Source'!Y779&gt;=3,"B",IF('Data Source'!Y779&gt;=2,"C",IF('Data Source'!Y779&gt;=1,"D","F")))))))</f>
        <v/>
      </c>
      <c r="H779" s="3">
        <f>IF('Data Source'!B779="","",IF('Data Source'!Z779&gt;=5,"A+",IF('Data Source'!Z779&gt;=4,"A",IF('Data Source'!Z779&gt;=3.5,"A-",IF('Data Source'!Z779&gt;=3,"B",IF('Data Source'!Z779&gt;=2,"C",IF('Data Source'!Z779&gt;=1,"D","F")))))))</f>
        <v/>
      </c>
      <c r="I779" s="3">
        <f>IF('Data Source'!B779="","",IF('Data Source'!AA779&gt;=5,"A+",IF('Data Source'!AA779&gt;=4,"A",IF('Data Source'!AA779&gt;=3.5,"A-",IF('Data Source'!AA779&gt;=3,"B",IF('Data Source'!AA779&gt;=2,"C",IF('Data Source'!AA779&gt;=1,"D","F")))))))</f>
        <v/>
      </c>
      <c r="J779" s="3">
        <f>IF('Data Source'!B779="","",IF('Data Source'!AB779&gt;=5,"A+",IF('Data Source'!AB779&gt;=4,"A",IF('Data Source'!AB779&gt;=3.5,"A-",IF('Data Source'!AB779&gt;=3,"B",IF('Data Source'!AB779&gt;=2,"C",IF('Data Source'!AB779&gt;=1,"D","F")))))))</f>
        <v/>
      </c>
      <c r="K779" s="3">
        <f>IF('Data Source'!B779="","",IF('Data Source'!AC779&gt;=5,"A+",IF('Data Source'!AC779&gt;=4,"A",IF('Data Source'!AC779&gt;=3.5,"A-",IF('Data Source'!AC779&gt;=3,"B",IF('Data Source'!AC779&gt;=2,"C",IF('Data Source'!AC779&gt;=1,"D","F")))))))</f>
        <v/>
      </c>
      <c r="L779" s="3">
        <f>IF('Data Source'!B779="","",IF('Data Source'!AD779&gt;=5,"A+",IF('Data Source'!AD779&gt;=4,"A",IF('Data Source'!AD779&gt;=3.5,"A-",IF('Data Source'!AD779&gt;=3,"B",IF('Data Source'!AD779&gt;=2,"C",IF('Data Source'!AD779&gt;=1,"D","F")))))))</f>
        <v/>
      </c>
      <c r="M779" s="3">
        <f>IF('Data Source'!B779="","",IF('Data Source'!AE779&gt;=5,"A+",IF('Data Source'!AE779&gt;=4,"A",IF('Data Source'!AE779&gt;=3.5,"A-",IF('Data Source'!AE779&gt;=3,"B",IF('Data Source'!AE779&gt;=2,"C",IF('Data Source'!AE779&gt;=1,"D","F")))))))</f>
        <v/>
      </c>
      <c r="N779" s="3">
        <f>IF('Data Source'!B779="","",IF('Data Source'!AF779&gt;=5,"A+",IF('Data Source'!AF779&gt;=4,"A",IF('Data Source'!AF779&gt;=3.5,"A-",IF('Data Source'!AF779&gt;=3,"B",IF('Data Source'!AF779&gt;=2,"C",IF('Data Source'!AF779&gt;=1,"D","F")))))))</f>
        <v/>
      </c>
      <c r="O779" s="3">
        <f>IF('Data Source'!B779="","",IF('Data Source'!AG779&gt;=5,"A+",IF('Data Source'!AG779&gt;=4,"A",IF('Data Source'!AG779&gt;=3.5,"A-",IF('Data Source'!AG779&gt;=3,"B",IF('Data Source'!AG779&gt;=2,"C",IF('Data Source'!AG779&gt;=1,"D","F")))))))</f>
        <v/>
      </c>
      <c r="P779" s="5">
        <f>IF('Data Source'!B779="","",'Data Source'!R779)</f>
        <v/>
      </c>
      <c r="Q779" s="3">
        <f>IF('Data Source'!B779="","",'Data Source'!S779)</f>
        <v/>
      </c>
    </row>
    <row r="780">
      <c r="A780" s="3">
        <f>IF('Data Source'!B780="","",'Data Source'!A780)</f>
        <v/>
      </c>
      <c r="B780">
        <f>IF('Data Source'!B780="","",'Data Source'!B780)</f>
        <v/>
      </c>
      <c r="C780" s="3">
        <f>IF('Data Source'!B780="","",IF('Data Source'!U780&gt;=5,"A+",IF('Data Source'!U780&gt;=4,"A",IF('Data Source'!U780&gt;=3.5,"A-",IF('Data Source'!U780&gt;=3,"B",IF('Data Source'!U780&gt;=2,"C",IF('Data Source'!U780&gt;=1,"D","F")))))))</f>
        <v/>
      </c>
      <c r="D780" s="3">
        <f>IF('Data Source'!B780="","",IF('Data Source'!V780&gt;=5,"A+",IF('Data Source'!V780&gt;=4,"A",IF('Data Source'!V780&gt;=3.5,"A-",IF('Data Source'!V780&gt;=3,"B",IF('Data Source'!V780&gt;=2,"C",IF('Data Source'!V780&gt;=1,"D","F")))))))</f>
        <v/>
      </c>
      <c r="E780" s="3">
        <f>IF('Data Source'!B780="","",IF('Data Source'!W780&gt;=5,"A+",IF('Data Source'!W780&gt;=4,"A",IF('Data Source'!W780&gt;=3.5,"A-",IF('Data Source'!W780&gt;=3,"B",IF('Data Source'!W780&gt;=2,"C",IF('Data Source'!W780&gt;=1,"D","F")))))))</f>
        <v/>
      </c>
      <c r="F780" s="3">
        <f>IF('Data Source'!B780="","",IF('Data Source'!X780&gt;=5,"A+",IF('Data Source'!X780&gt;=4,"A",IF('Data Source'!X780&gt;=3.5,"A-",IF('Data Source'!X780&gt;=3,"B",IF('Data Source'!X780&gt;=2,"C",IF('Data Source'!X780&gt;=1,"D","F")))))))</f>
        <v/>
      </c>
      <c r="G780" s="3">
        <f>IF('Data Source'!B780="","",IF('Data Source'!Y780&gt;=5,"A+",IF('Data Source'!Y780&gt;=4,"A",IF('Data Source'!Y780&gt;=3.5,"A-",IF('Data Source'!Y780&gt;=3,"B",IF('Data Source'!Y780&gt;=2,"C",IF('Data Source'!Y780&gt;=1,"D","F")))))))</f>
        <v/>
      </c>
      <c r="H780" s="3">
        <f>IF('Data Source'!B780="","",IF('Data Source'!Z780&gt;=5,"A+",IF('Data Source'!Z780&gt;=4,"A",IF('Data Source'!Z780&gt;=3.5,"A-",IF('Data Source'!Z780&gt;=3,"B",IF('Data Source'!Z780&gt;=2,"C",IF('Data Source'!Z780&gt;=1,"D","F")))))))</f>
        <v/>
      </c>
      <c r="I780" s="3">
        <f>IF('Data Source'!B780="","",IF('Data Source'!AA780&gt;=5,"A+",IF('Data Source'!AA780&gt;=4,"A",IF('Data Source'!AA780&gt;=3.5,"A-",IF('Data Source'!AA780&gt;=3,"B",IF('Data Source'!AA780&gt;=2,"C",IF('Data Source'!AA780&gt;=1,"D","F")))))))</f>
        <v/>
      </c>
      <c r="J780" s="3">
        <f>IF('Data Source'!B780="","",IF('Data Source'!AB780&gt;=5,"A+",IF('Data Source'!AB780&gt;=4,"A",IF('Data Source'!AB780&gt;=3.5,"A-",IF('Data Source'!AB780&gt;=3,"B",IF('Data Source'!AB780&gt;=2,"C",IF('Data Source'!AB780&gt;=1,"D","F")))))))</f>
        <v/>
      </c>
      <c r="K780" s="3">
        <f>IF('Data Source'!B780="","",IF('Data Source'!AC780&gt;=5,"A+",IF('Data Source'!AC780&gt;=4,"A",IF('Data Source'!AC780&gt;=3.5,"A-",IF('Data Source'!AC780&gt;=3,"B",IF('Data Source'!AC780&gt;=2,"C",IF('Data Source'!AC780&gt;=1,"D","F")))))))</f>
        <v/>
      </c>
      <c r="L780" s="3">
        <f>IF('Data Source'!B780="","",IF('Data Source'!AD780&gt;=5,"A+",IF('Data Source'!AD780&gt;=4,"A",IF('Data Source'!AD780&gt;=3.5,"A-",IF('Data Source'!AD780&gt;=3,"B",IF('Data Source'!AD780&gt;=2,"C",IF('Data Source'!AD780&gt;=1,"D","F")))))))</f>
        <v/>
      </c>
      <c r="M780" s="3">
        <f>IF('Data Source'!B780="","",IF('Data Source'!AE780&gt;=5,"A+",IF('Data Source'!AE780&gt;=4,"A",IF('Data Source'!AE780&gt;=3.5,"A-",IF('Data Source'!AE780&gt;=3,"B",IF('Data Source'!AE780&gt;=2,"C",IF('Data Source'!AE780&gt;=1,"D","F")))))))</f>
        <v/>
      </c>
      <c r="N780" s="3">
        <f>IF('Data Source'!B780="","",IF('Data Source'!AF780&gt;=5,"A+",IF('Data Source'!AF780&gt;=4,"A",IF('Data Source'!AF780&gt;=3.5,"A-",IF('Data Source'!AF780&gt;=3,"B",IF('Data Source'!AF780&gt;=2,"C",IF('Data Source'!AF780&gt;=1,"D","F")))))))</f>
        <v/>
      </c>
      <c r="O780" s="3">
        <f>IF('Data Source'!B780="","",IF('Data Source'!AG780&gt;=5,"A+",IF('Data Source'!AG780&gt;=4,"A",IF('Data Source'!AG780&gt;=3.5,"A-",IF('Data Source'!AG780&gt;=3,"B",IF('Data Source'!AG780&gt;=2,"C",IF('Data Source'!AG780&gt;=1,"D","F")))))))</f>
        <v/>
      </c>
      <c r="P780" s="5">
        <f>IF('Data Source'!B780="","",'Data Source'!R780)</f>
        <v/>
      </c>
      <c r="Q780" s="3">
        <f>IF('Data Source'!B780="","",'Data Source'!S780)</f>
        <v/>
      </c>
    </row>
    <row r="781">
      <c r="A781" s="3">
        <f>IF('Data Source'!B781="","",'Data Source'!A781)</f>
        <v/>
      </c>
      <c r="B781">
        <f>IF('Data Source'!B781="","",'Data Source'!B781)</f>
        <v/>
      </c>
      <c r="C781" s="3">
        <f>IF('Data Source'!B781="","",IF('Data Source'!U781&gt;=5,"A+",IF('Data Source'!U781&gt;=4,"A",IF('Data Source'!U781&gt;=3.5,"A-",IF('Data Source'!U781&gt;=3,"B",IF('Data Source'!U781&gt;=2,"C",IF('Data Source'!U781&gt;=1,"D","F")))))))</f>
        <v/>
      </c>
      <c r="D781" s="3">
        <f>IF('Data Source'!B781="","",IF('Data Source'!V781&gt;=5,"A+",IF('Data Source'!V781&gt;=4,"A",IF('Data Source'!V781&gt;=3.5,"A-",IF('Data Source'!V781&gt;=3,"B",IF('Data Source'!V781&gt;=2,"C",IF('Data Source'!V781&gt;=1,"D","F")))))))</f>
        <v/>
      </c>
      <c r="E781" s="3">
        <f>IF('Data Source'!B781="","",IF('Data Source'!W781&gt;=5,"A+",IF('Data Source'!W781&gt;=4,"A",IF('Data Source'!W781&gt;=3.5,"A-",IF('Data Source'!W781&gt;=3,"B",IF('Data Source'!W781&gt;=2,"C",IF('Data Source'!W781&gt;=1,"D","F")))))))</f>
        <v/>
      </c>
      <c r="F781" s="3">
        <f>IF('Data Source'!B781="","",IF('Data Source'!X781&gt;=5,"A+",IF('Data Source'!X781&gt;=4,"A",IF('Data Source'!X781&gt;=3.5,"A-",IF('Data Source'!X781&gt;=3,"B",IF('Data Source'!X781&gt;=2,"C",IF('Data Source'!X781&gt;=1,"D","F")))))))</f>
        <v/>
      </c>
      <c r="G781" s="3">
        <f>IF('Data Source'!B781="","",IF('Data Source'!Y781&gt;=5,"A+",IF('Data Source'!Y781&gt;=4,"A",IF('Data Source'!Y781&gt;=3.5,"A-",IF('Data Source'!Y781&gt;=3,"B",IF('Data Source'!Y781&gt;=2,"C",IF('Data Source'!Y781&gt;=1,"D","F")))))))</f>
        <v/>
      </c>
      <c r="H781" s="3">
        <f>IF('Data Source'!B781="","",IF('Data Source'!Z781&gt;=5,"A+",IF('Data Source'!Z781&gt;=4,"A",IF('Data Source'!Z781&gt;=3.5,"A-",IF('Data Source'!Z781&gt;=3,"B",IF('Data Source'!Z781&gt;=2,"C",IF('Data Source'!Z781&gt;=1,"D","F")))))))</f>
        <v/>
      </c>
      <c r="I781" s="3">
        <f>IF('Data Source'!B781="","",IF('Data Source'!AA781&gt;=5,"A+",IF('Data Source'!AA781&gt;=4,"A",IF('Data Source'!AA781&gt;=3.5,"A-",IF('Data Source'!AA781&gt;=3,"B",IF('Data Source'!AA781&gt;=2,"C",IF('Data Source'!AA781&gt;=1,"D","F")))))))</f>
        <v/>
      </c>
      <c r="J781" s="3">
        <f>IF('Data Source'!B781="","",IF('Data Source'!AB781&gt;=5,"A+",IF('Data Source'!AB781&gt;=4,"A",IF('Data Source'!AB781&gt;=3.5,"A-",IF('Data Source'!AB781&gt;=3,"B",IF('Data Source'!AB781&gt;=2,"C",IF('Data Source'!AB781&gt;=1,"D","F")))))))</f>
        <v/>
      </c>
      <c r="K781" s="3">
        <f>IF('Data Source'!B781="","",IF('Data Source'!AC781&gt;=5,"A+",IF('Data Source'!AC781&gt;=4,"A",IF('Data Source'!AC781&gt;=3.5,"A-",IF('Data Source'!AC781&gt;=3,"B",IF('Data Source'!AC781&gt;=2,"C",IF('Data Source'!AC781&gt;=1,"D","F")))))))</f>
        <v/>
      </c>
      <c r="L781" s="3">
        <f>IF('Data Source'!B781="","",IF('Data Source'!AD781&gt;=5,"A+",IF('Data Source'!AD781&gt;=4,"A",IF('Data Source'!AD781&gt;=3.5,"A-",IF('Data Source'!AD781&gt;=3,"B",IF('Data Source'!AD781&gt;=2,"C",IF('Data Source'!AD781&gt;=1,"D","F")))))))</f>
        <v/>
      </c>
      <c r="M781" s="3">
        <f>IF('Data Source'!B781="","",IF('Data Source'!AE781&gt;=5,"A+",IF('Data Source'!AE781&gt;=4,"A",IF('Data Source'!AE781&gt;=3.5,"A-",IF('Data Source'!AE781&gt;=3,"B",IF('Data Source'!AE781&gt;=2,"C",IF('Data Source'!AE781&gt;=1,"D","F")))))))</f>
        <v/>
      </c>
      <c r="N781" s="3">
        <f>IF('Data Source'!B781="","",IF('Data Source'!AF781&gt;=5,"A+",IF('Data Source'!AF781&gt;=4,"A",IF('Data Source'!AF781&gt;=3.5,"A-",IF('Data Source'!AF781&gt;=3,"B",IF('Data Source'!AF781&gt;=2,"C",IF('Data Source'!AF781&gt;=1,"D","F")))))))</f>
        <v/>
      </c>
      <c r="O781" s="3">
        <f>IF('Data Source'!B781="","",IF('Data Source'!AG781&gt;=5,"A+",IF('Data Source'!AG781&gt;=4,"A",IF('Data Source'!AG781&gt;=3.5,"A-",IF('Data Source'!AG781&gt;=3,"B",IF('Data Source'!AG781&gt;=2,"C",IF('Data Source'!AG781&gt;=1,"D","F")))))))</f>
        <v/>
      </c>
      <c r="P781" s="5">
        <f>IF('Data Source'!B781="","",'Data Source'!R781)</f>
        <v/>
      </c>
      <c r="Q781" s="3">
        <f>IF('Data Source'!B781="","",'Data Source'!S781)</f>
        <v/>
      </c>
    </row>
    <row r="782">
      <c r="A782" s="3">
        <f>IF('Data Source'!B782="","",'Data Source'!A782)</f>
        <v/>
      </c>
      <c r="B782">
        <f>IF('Data Source'!B782="","",'Data Source'!B782)</f>
        <v/>
      </c>
      <c r="C782" s="3">
        <f>IF('Data Source'!B782="","",IF('Data Source'!U782&gt;=5,"A+",IF('Data Source'!U782&gt;=4,"A",IF('Data Source'!U782&gt;=3.5,"A-",IF('Data Source'!U782&gt;=3,"B",IF('Data Source'!U782&gt;=2,"C",IF('Data Source'!U782&gt;=1,"D","F")))))))</f>
        <v/>
      </c>
      <c r="D782" s="3">
        <f>IF('Data Source'!B782="","",IF('Data Source'!V782&gt;=5,"A+",IF('Data Source'!V782&gt;=4,"A",IF('Data Source'!V782&gt;=3.5,"A-",IF('Data Source'!V782&gt;=3,"B",IF('Data Source'!V782&gt;=2,"C",IF('Data Source'!V782&gt;=1,"D","F")))))))</f>
        <v/>
      </c>
      <c r="E782" s="3">
        <f>IF('Data Source'!B782="","",IF('Data Source'!W782&gt;=5,"A+",IF('Data Source'!W782&gt;=4,"A",IF('Data Source'!W782&gt;=3.5,"A-",IF('Data Source'!W782&gt;=3,"B",IF('Data Source'!W782&gt;=2,"C",IF('Data Source'!W782&gt;=1,"D","F")))))))</f>
        <v/>
      </c>
      <c r="F782" s="3">
        <f>IF('Data Source'!B782="","",IF('Data Source'!X782&gt;=5,"A+",IF('Data Source'!X782&gt;=4,"A",IF('Data Source'!X782&gt;=3.5,"A-",IF('Data Source'!X782&gt;=3,"B",IF('Data Source'!X782&gt;=2,"C",IF('Data Source'!X782&gt;=1,"D","F")))))))</f>
        <v/>
      </c>
      <c r="G782" s="3">
        <f>IF('Data Source'!B782="","",IF('Data Source'!Y782&gt;=5,"A+",IF('Data Source'!Y782&gt;=4,"A",IF('Data Source'!Y782&gt;=3.5,"A-",IF('Data Source'!Y782&gt;=3,"B",IF('Data Source'!Y782&gt;=2,"C",IF('Data Source'!Y782&gt;=1,"D","F")))))))</f>
        <v/>
      </c>
      <c r="H782" s="3">
        <f>IF('Data Source'!B782="","",IF('Data Source'!Z782&gt;=5,"A+",IF('Data Source'!Z782&gt;=4,"A",IF('Data Source'!Z782&gt;=3.5,"A-",IF('Data Source'!Z782&gt;=3,"B",IF('Data Source'!Z782&gt;=2,"C",IF('Data Source'!Z782&gt;=1,"D","F")))))))</f>
        <v/>
      </c>
      <c r="I782" s="3">
        <f>IF('Data Source'!B782="","",IF('Data Source'!AA782&gt;=5,"A+",IF('Data Source'!AA782&gt;=4,"A",IF('Data Source'!AA782&gt;=3.5,"A-",IF('Data Source'!AA782&gt;=3,"B",IF('Data Source'!AA782&gt;=2,"C",IF('Data Source'!AA782&gt;=1,"D","F")))))))</f>
        <v/>
      </c>
      <c r="J782" s="3">
        <f>IF('Data Source'!B782="","",IF('Data Source'!AB782&gt;=5,"A+",IF('Data Source'!AB782&gt;=4,"A",IF('Data Source'!AB782&gt;=3.5,"A-",IF('Data Source'!AB782&gt;=3,"B",IF('Data Source'!AB782&gt;=2,"C",IF('Data Source'!AB782&gt;=1,"D","F")))))))</f>
        <v/>
      </c>
      <c r="K782" s="3">
        <f>IF('Data Source'!B782="","",IF('Data Source'!AC782&gt;=5,"A+",IF('Data Source'!AC782&gt;=4,"A",IF('Data Source'!AC782&gt;=3.5,"A-",IF('Data Source'!AC782&gt;=3,"B",IF('Data Source'!AC782&gt;=2,"C",IF('Data Source'!AC782&gt;=1,"D","F")))))))</f>
        <v/>
      </c>
      <c r="L782" s="3">
        <f>IF('Data Source'!B782="","",IF('Data Source'!AD782&gt;=5,"A+",IF('Data Source'!AD782&gt;=4,"A",IF('Data Source'!AD782&gt;=3.5,"A-",IF('Data Source'!AD782&gt;=3,"B",IF('Data Source'!AD782&gt;=2,"C",IF('Data Source'!AD782&gt;=1,"D","F")))))))</f>
        <v/>
      </c>
      <c r="M782" s="3">
        <f>IF('Data Source'!B782="","",IF('Data Source'!AE782&gt;=5,"A+",IF('Data Source'!AE782&gt;=4,"A",IF('Data Source'!AE782&gt;=3.5,"A-",IF('Data Source'!AE782&gt;=3,"B",IF('Data Source'!AE782&gt;=2,"C",IF('Data Source'!AE782&gt;=1,"D","F")))))))</f>
        <v/>
      </c>
      <c r="N782" s="3">
        <f>IF('Data Source'!B782="","",IF('Data Source'!AF782&gt;=5,"A+",IF('Data Source'!AF782&gt;=4,"A",IF('Data Source'!AF782&gt;=3.5,"A-",IF('Data Source'!AF782&gt;=3,"B",IF('Data Source'!AF782&gt;=2,"C",IF('Data Source'!AF782&gt;=1,"D","F")))))))</f>
        <v/>
      </c>
      <c r="O782" s="3">
        <f>IF('Data Source'!B782="","",IF('Data Source'!AG782&gt;=5,"A+",IF('Data Source'!AG782&gt;=4,"A",IF('Data Source'!AG782&gt;=3.5,"A-",IF('Data Source'!AG782&gt;=3,"B",IF('Data Source'!AG782&gt;=2,"C",IF('Data Source'!AG782&gt;=1,"D","F")))))))</f>
        <v/>
      </c>
      <c r="P782" s="5">
        <f>IF('Data Source'!B782="","",'Data Source'!R782)</f>
        <v/>
      </c>
      <c r="Q782" s="3">
        <f>IF('Data Source'!B782="","",'Data Source'!S782)</f>
        <v/>
      </c>
    </row>
    <row r="783">
      <c r="A783" s="3">
        <f>IF('Data Source'!B783="","",'Data Source'!A783)</f>
        <v/>
      </c>
      <c r="B783">
        <f>IF('Data Source'!B783="","",'Data Source'!B783)</f>
        <v/>
      </c>
      <c r="C783" s="3">
        <f>IF('Data Source'!B783="","",IF('Data Source'!U783&gt;=5,"A+",IF('Data Source'!U783&gt;=4,"A",IF('Data Source'!U783&gt;=3.5,"A-",IF('Data Source'!U783&gt;=3,"B",IF('Data Source'!U783&gt;=2,"C",IF('Data Source'!U783&gt;=1,"D","F")))))))</f>
        <v/>
      </c>
      <c r="D783" s="3">
        <f>IF('Data Source'!B783="","",IF('Data Source'!V783&gt;=5,"A+",IF('Data Source'!V783&gt;=4,"A",IF('Data Source'!V783&gt;=3.5,"A-",IF('Data Source'!V783&gt;=3,"B",IF('Data Source'!V783&gt;=2,"C",IF('Data Source'!V783&gt;=1,"D","F")))))))</f>
        <v/>
      </c>
      <c r="E783" s="3">
        <f>IF('Data Source'!B783="","",IF('Data Source'!W783&gt;=5,"A+",IF('Data Source'!W783&gt;=4,"A",IF('Data Source'!W783&gt;=3.5,"A-",IF('Data Source'!W783&gt;=3,"B",IF('Data Source'!W783&gt;=2,"C",IF('Data Source'!W783&gt;=1,"D","F")))))))</f>
        <v/>
      </c>
      <c r="F783" s="3">
        <f>IF('Data Source'!B783="","",IF('Data Source'!X783&gt;=5,"A+",IF('Data Source'!X783&gt;=4,"A",IF('Data Source'!X783&gt;=3.5,"A-",IF('Data Source'!X783&gt;=3,"B",IF('Data Source'!X783&gt;=2,"C",IF('Data Source'!X783&gt;=1,"D","F")))))))</f>
        <v/>
      </c>
      <c r="G783" s="3">
        <f>IF('Data Source'!B783="","",IF('Data Source'!Y783&gt;=5,"A+",IF('Data Source'!Y783&gt;=4,"A",IF('Data Source'!Y783&gt;=3.5,"A-",IF('Data Source'!Y783&gt;=3,"B",IF('Data Source'!Y783&gt;=2,"C",IF('Data Source'!Y783&gt;=1,"D","F")))))))</f>
        <v/>
      </c>
      <c r="H783" s="3">
        <f>IF('Data Source'!B783="","",IF('Data Source'!Z783&gt;=5,"A+",IF('Data Source'!Z783&gt;=4,"A",IF('Data Source'!Z783&gt;=3.5,"A-",IF('Data Source'!Z783&gt;=3,"B",IF('Data Source'!Z783&gt;=2,"C",IF('Data Source'!Z783&gt;=1,"D","F")))))))</f>
        <v/>
      </c>
      <c r="I783" s="3">
        <f>IF('Data Source'!B783="","",IF('Data Source'!AA783&gt;=5,"A+",IF('Data Source'!AA783&gt;=4,"A",IF('Data Source'!AA783&gt;=3.5,"A-",IF('Data Source'!AA783&gt;=3,"B",IF('Data Source'!AA783&gt;=2,"C",IF('Data Source'!AA783&gt;=1,"D","F")))))))</f>
        <v/>
      </c>
      <c r="J783" s="3">
        <f>IF('Data Source'!B783="","",IF('Data Source'!AB783&gt;=5,"A+",IF('Data Source'!AB783&gt;=4,"A",IF('Data Source'!AB783&gt;=3.5,"A-",IF('Data Source'!AB783&gt;=3,"B",IF('Data Source'!AB783&gt;=2,"C",IF('Data Source'!AB783&gt;=1,"D","F")))))))</f>
        <v/>
      </c>
      <c r="K783" s="3">
        <f>IF('Data Source'!B783="","",IF('Data Source'!AC783&gt;=5,"A+",IF('Data Source'!AC783&gt;=4,"A",IF('Data Source'!AC783&gt;=3.5,"A-",IF('Data Source'!AC783&gt;=3,"B",IF('Data Source'!AC783&gt;=2,"C",IF('Data Source'!AC783&gt;=1,"D","F")))))))</f>
        <v/>
      </c>
      <c r="L783" s="3">
        <f>IF('Data Source'!B783="","",IF('Data Source'!AD783&gt;=5,"A+",IF('Data Source'!AD783&gt;=4,"A",IF('Data Source'!AD783&gt;=3.5,"A-",IF('Data Source'!AD783&gt;=3,"B",IF('Data Source'!AD783&gt;=2,"C",IF('Data Source'!AD783&gt;=1,"D","F")))))))</f>
        <v/>
      </c>
      <c r="M783" s="3">
        <f>IF('Data Source'!B783="","",IF('Data Source'!AE783&gt;=5,"A+",IF('Data Source'!AE783&gt;=4,"A",IF('Data Source'!AE783&gt;=3.5,"A-",IF('Data Source'!AE783&gt;=3,"B",IF('Data Source'!AE783&gt;=2,"C",IF('Data Source'!AE783&gt;=1,"D","F")))))))</f>
        <v/>
      </c>
      <c r="N783" s="3">
        <f>IF('Data Source'!B783="","",IF('Data Source'!AF783&gt;=5,"A+",IF('Data Source'!AF783&gt;=4,"A",IF('Data Source'!AF783&gt;=3.5,"A-",IF('Data Source'!AF783&gt;=3,"B",IF('Data Source'!AF783&gt;=2,"C",IF('Data Source'!AF783&gt;=1,"D","F")))))))</f>
        <v/>
      </c>
      <c r="O783" s="3">
        <f>IF('Data Source'!B783="","",IF('Data Source'!AG783&gt;=5,"A+",IF('Data Source'!AG783&gt;=4,"A",IF('Data Source'!AG783&gt;=3.5,"A-",IF('Data Source'!AG783&gt;=3,"B",IF('Data Source'!AG783&gt;=2,"C",IF('Data Source'!AG783&gt;=1,"D","F")))))))</f>
        <v/>
      </c>
      <c r="P783" s="5">
        <f>IF('Data Source'!B783="","",'Data Source'!R783)</f>
        <v/>
      </c>
      <c r="Q783" s="3">
        <f>IF('Data Source'!B783="","",'Data Source'!S783)</f>
        <v/>
      </c>
    </row>
    <row r="784">
      <c r="A784" s="3">
        <f>IF('Data Source'!B784="","",'Data Source'!A784)</f>
        <v/>
      </c>
      <c r="B784">
        <f>IF('Data Source'!B784="","",'Data Source'!B784)</f>
        <v/>
      </c>
      <c r="C784" s="3">
        <f>IF('Data Source'!B784="","",IF('Data Source'!U784&gt;=5,"A+",IF('Data Source'!U784&gt;=4,"A",IF('Data Source'!U784&gt;=3.5,"A-",IF('Data Source'!U784&gt;=3,"B",IF('Data Source'!U784&gt;=2,"C",IF('Data Source'!U784&gt;=1,"D","F")))))))</f>
        <v/>
      </c>
      <c r="D784" s="3">
        <f>IF('Data Source'!B784="","",IF('Data Source'!V784&gt;=5,"A+",IF('Data Source'!V784&gt;=4,"A",IF('Data Source'!V784&gt;=3.5,"A-",IF('Data Source'!V784&gt;=3,"B",IF('Data Source'!V784&gt;=2,"C",IF('Data Source'!V784&gt;=1,"D","F")))))))</f>
        <v/>
      </c>
      <c r="E784" s="3">
        <f>IF('Data Source'!B784="","",IF('Data Source'!W784&gt;=5,"A+",IF('Data Source'!W784&gt;=4,"A",IF('Data Source'!W784&gt;=3.5,"A-",IF('Data Source'!W784&gt;=3,"B",IF('Data Source'!W784&gt;=2,"C",IF('Data Source'!W784&gt;=1,"D","F")))))))</f>
        <v/>
      </c>
      <c r="F784" s="3">
        <f>IF('Data Source'!B784="","",IF('Data Source'!X784&gt;=5,"A+",IF('Data Source'!X784&gt;=4,"A",IF('Data Source'!X784&gt;=3.5,"A-",IF('Data Source'!X784&gt;=3,"B",IF('Data Source'!X784&gt;=2,"C",IF('Data Source'!X784&gt;=1,"D","F")))))))</f>
        <v/>
      </c>
      <c r="G784" s="3">
        <f>IF('Data Source'!B784="","",IF('Data Source'!Y784&gt;=5,"A+",IF('Data Source'!Y784&gt;=4,"A",IF('Data Source'!Y784&gt;=3.5,"A-",IF('Data Source'!Y784&gt;=3,"B",IF('Data Source'!Y784&gt;=2,"C",IF('Data Source'!Y784&gt;=1,"D","F")))))))</f>
        <v/>
      </c>
      <c r="H784" s="3">
        <f>IF('Data Source'!B784="","",IF('Data Source'!Z784&gt;=5,"A+",IF('Data Source'!Z784&gt;=4,"A",IF('Data Source'!Z784&gt;=3.5,"A-",IF('Data Source'!Z784&gt;=3,"B",IF('Data Source'!Z784&gt;=2,"C",IF('Data Source'!Z784&gt;=1,"D","F")))))))</f>
        <v/>
      </c>
      <c r="I784" s="3">
        <f>IF('Data Source'!B784="","",IF('Data Source'!AA784&gt;=5,"A+",IF('Data Source'!AA784&gt;=4,"A",IF('Data Source'!AA784&gt;=3.5,"A-",IF('Data Source'!AA784&gt;=3,"B",IF('Data Source'!AA784&gt;=2,"C",IF('Data Source'!AA784&gt;=1,"D","F")))))))</f>
        <v/>
      </c>
      <c r="J784" s="3">
        <f>IF('Data Source'!B784="","",IF('Data Source'!AB784&gt;=5,"A+",IF('Data Source'!AB784&gt;=4,"A",IF('Data Source'!AB784&gt;=3.5,"A-",IF('Data Source'!AB784&gt;=3,"B",IF('Data Source'!AB784&gt;=2,"C",IF('Data Source'!AB784&gt;=1,"D","F")))))))</f>
        <v/>
      </c>
      <c r="K784" s="3">
        <f>IF('Data Source'!B784="","",IF('Data Source'!AC784&gt;=5,"A+",IF('Data Source'!AC784&gt;=4,"A",IF('Data Source'!AC784&gt;=3.5,"A-",IF('Data Source'!AC784&gt;=3,"B",IF('Data Source'!AC784&gt;=2,"C",IF('Data Source'!AC784&gt;=1,"D","F")))))))</f>
        <v/>
      </c>
      <c r="L784" s="3">
        <f>IF('Data Source'!B784="","",IF('Data Source'!AD784&gt;=5,"A+",IF('Data Source'!AD784&gt;=4,"A",IF('Data Source'!AD784&gt;=3.5,"A-",IF('Data Source'!AD784&gt;=3,"B",IF('Data Source'!AD784&gt;=2,"C",IF('Data Source'!AD784&gt;=1,"D","F")))))))</f>
        <v/>
      </c>
      <c r="M784" s="3">
        <f>IF('Data Source'!B784="","",IF('Data Source'!AE784&gt;=5,"A+",IF('Data Source'!AE784&gt;=4,"A",IF('Data Source'!AE784&gt;=3.5,"A-",IF('Data Source'!AE784&gt;=3,"B",IF('Data Source'!AE784&gt;=2,"C",IF('Data Source'!AE784&gt;=1,"D","F")))))))</f>
        <v/>
      </c>
      <c r="N784" s="3">
        <f>IF('Data Source'!B784="","",IF('Data Source'!AF784&gt;=5,"A+",IF('Data Source'!AF784&gt;=4,"A",IF('Data Source'!AF784&gt;=3.5,"A-",IF('Data Source'!AF784&gt;=3,"B",IF('Data Source'!AF784&gt;=2,"C",IF('Data Source'!AF784&gt;=1,"D","F")))))))</f>
        <v/>
      </c>
      <c r="O784" s="3">
        <f>IF('Data Source'!B784="","",IF('Data Source'!AG784&gt;=5,"A+",IF('Data Source'!AG784&gt;=4,"A",IF('Data Source'!AG784&gt;=3.5,"A-",IF('Data Source'!AG784&gt;=3,"B",IF('Data Source'!AG784&gt;=2,"C",IF('Data Source'!AG784&gt;=1,"D","F")))))))</f>
        <v/>
      </c>
      <c r="P784" s="5">
        <f>IF('Data Source'!B784="","",'Data Source'!R784)</f>
        <v/>
      </c>
      <c r="Q784" s="3">
        <f>IF('Data Source'!B784="","",'Data Source'!S784)</f>
        <v/>
      </c>
    </row>
    <row r="785">
      <c r="A785" s="3">
        <f>IF('Data Source'!B785="","",'Data Source'!A785)</f>
        <v/>
      </c>
      <c r="B785">
        <f>IF('Data Source'!B785="","",'Data Source'!B785)</f>
        <v/>
      </c>
      <c r="C785" s="3">
        <f>IF('Data Source'!B785="","",IF('Data Source'!U785&gt;=5,"A+",IF('Data Source'!U785&gt;=4,"A",IF('Data Source'!U785&gt;=3.5,"A-",IF('Data Source'!U785&gt;=3,"B",IF('Data Source'!U785&gt;=2,"C",IF('Data Source'!U785&gt;=1,"D","F")))))))</f>
        <v/>
      </c>
      <c r="D785" s="3">
        <f>IF('Data Source'!B785="","",IF('Data Source'!V785&gt;=5,"A+",IF('Data Source'!V785&gt;=4,"A",IF('Data Source'!V785&gt;=3.5,"A-",IF('Data Source'!V785&gt;=3,"B",IF('Data Source'!V785&gt;=2,"C",IF('Data Source'!V785&gt;=1,"D","F")))))))</f>
        <v/>
      </c>
      <c r="E785" s="3">
        <f>IF('Data Source'!B785="","",IF('Data Source'!W785&gt;=5,"A+",IF('Data Source'!W785&gt;=4,"A",IF('Data Source'!W785&gt;=3.5,"A-",IF('Data Source'!W785&gt;=3,"B",IF('Data Source'!W785&gt;=2,"C",IF('Data Source'!W785&gt;=1,"D","F")))))))</f>
        <v/>
      </c>
      <c r="F785" s="3">
        <f>IF('Data Source'!B785="","",IF('Data Source'!X785&gt;=5,"A+",IF('Data Source'!X785&gt;=4,"A",IF('Data Source'!X785&gt;=3.5,"A-",IF('Data Source'!X785&gt;=3,"B",IF('Data Source'!X785&gt;=2,"C",IF('Data Source'!X785&gt;=1,"D","F")))))))</f>
        <v/>
      </c>
      <c r="G785" s="3">
        <f>IF('Data Source'!B785="","",IF('Data Source'!Y785&gt;=5,"A+",IF('Data Source'!Y785&gt;=4,"A",IF('Data Source'!Y785&gt;=3.5,"A-",IF('Data Source'!Y785&gt;=3,"B",IF('Data Source'!Y785&gt;=2,"C",IF('Data Source'!Y785&gt;=1,"D","F")))))))</f>
        <v/>
      </c>
      <c r="H785" s="3">
        <f>IF('Data Source'!B785="","",IF('Data Source'!Z785&gt;=5,"A+",IF('Data Source'!Z785&gt;=4,"A",IF('Data Source'!Z785&gt;=3.5,"A-",IF('Data Source'!Z785&gt;=3,"B",IF('Data Source'!Z785&gt;=2,"C",IF('Data Source'!Z785&gt;=1,"D","F")))))))</f>
        <v/>
      </c>
      <c r="I785" s="3">
        <f>IF('Data Source'!B785="","",IF('Data Source'!AA785&gt;=5,"A+",IF('Data Source'!AA785&gt;=4,"A",IF('Data Source'!AA785&gt;=3.5,"A-",IF('Data Source'!AA785&gt;=3,"B",IF('Data Source'!AA785&gt;=2,"C",IF('Data Source'!AA785&gt;=1,"D","F")))))))</f>
        <v/>
      </c>
      <c r="J785" s="3">
        <f>IF('Data Source'!B785="","",IF('Data Source'!AB785&gt;=5,"A+",IF('Data Source'!AB785&gt;=4,"A",IF('Data Source'!AB785&gt;=3.5,"A-",IF('Data Source'!AB785&gt;=3,"B",IF('Data Source'!AB785&gt;=2,"C",IF('Data Source'!AB785&gt;=1,"D","F")))))))</f>
        <v/>
      </c>
      <c r="K785" s="3">
        <f>IF('Data Source'!B785="","",IF('Data Source'!AC785&gt;=5,"A+",IF('Data Source'!AC785&gt;=4,"A",IF('Data Source'!AC785&gt;=3.5,"A-",IF('Data Source'!AC785&gt;=3,"B",IF('Data Source'!AC785&gt;=2,"C",IF('Data Source'!AC785&gt;=1,"D","F")))))))</f>
        <v/>
      </c>
      <c r="L785" s="3">
        <f>IF('Data Source'!B785="","",IF('Data Source'!AD785&gt;=5,"A+",IF('Data Source'!AD785&gt;=4,"A",IF('Data Source'!AD785&gt;=3.5,"A-",IF('Data Source'!AD785&gt;=3,"B",IF('Data Source'!AD785&gt;=2,"C",IF('Data Source'!AD785&gt;=1,"D","F")))))))</f>
        <v/>
      </c>
      <c r="M785" s="3">
        <f>IF('Data Source'!B785="","",IF('Data Source'!AE785&gt;=5,"A+",IF('Data Source'!AE785&gt;=4,"A",IF('Data Source'!AE785&gt;=3.5,"A-",IF('Data Source'!AE785&gt;=3,"B",IF('Data Source'!AE785&gt;=2,"C",IF('Data Source'!AE785&gt;=1,"D","F")))))))</f>
        <v/>
      </c>
      <c r="N785" s="3">
        <f>IF('Data Source'!B785="","",IF('Data Source'!AF785&gt;=5,"A+",IF('Data Source'!AF785&gt;=4,"A",IF('Data Source'!AF785&gt;=3.5,"A-",IF('Data Source'!AF785&gt;=3,"B",IF('Data Source'!AF785&gt;=2,"C",IF('Data Source'!AF785&gt;=1,"D","F")))))))</f>
        <v/>
      </c>
      <c r="O785" s="3">
        <f>IF('Data Source'!B785="","",IF('Data Source'!AG785&gt;=5,"A+",IF('Data Source'!AG785&gt;=4,"A",IF('Data Source'!AG785&gt;=3.5,"A-",IF('Data Source'!AG785&gt;=3,"B",IF('Data Source'!AG785&gt;=2,"C",IF('Data Source'!AG785&gt;=1,"D","F")))))))</f>
        <v/>
      </c>
      <c r="P785" s="5">
        <f>IF('Data Source'!B785="","",'Data Source'!R785)</f>
        <v/>
      </c>
      <c r="Q785" s="3">
        <f>IF('Data Source'!B785="","",'Data Source'!S785)</f>
        <v/>
      </c>
    </row>
    <row r="786">
      <c r="A786" s="3">
        <f>IF('Data Source'!B786="","",'Data Source'!A786)</f>
        <v/>
      </c>
      <c r="B786">
        <f>IF('Data Source'!B786="","",'Data Source'!B786)</f>
        <v/>
      </c>
      <c r="C786" s="3">
        <f>IF('Data Source'!B786="","",IF('Data Source'!U786&gt;=5,"A+",IF('Data Source'!U786&gt;=4,"A",IF('Data Source'!U786&gt;=3.5,"A-",IF('Data Source'!U786&gt;=3,"B",IF('Data Source'!U786&gt;=2,"C",IF('Data Source'!U786&gt;=1,"D","F")))))))</f>
        <v/>
      </c>
      <c r="D786" s="3">
        <f>IF('Data Source'!B786="","",IF('Data Source'!V786&gt;=5,"A+",IF('Data Source'!V786&gt;=4,"A",IF('Data Source'!V786&gt;=3.5,"A-",IF('Data Source'!V786&gt;=3,"B",IF('Data Source'!V786&gt;=2,"C",IF('Data Source'!V786&gt;=1,"D","F")))))))</f>
        <v/>
      </c>
      <c r="E786" s="3">
        <f>IF('Data Source'!B786="","",IF('Data Source'!W786&gt;=5,"A+",IF('Data Source'!W786&gt;=4,"A",IF('Data Source'!W786&gt;=3.5,"A-",IF('Data Source'!W786&gt;=3,"B",IF('Data Source'!W786&gt;=2,"C",IF('Data Source'!W786&gt;=1,"D","F")))))))</f>
        <v/>
      </c>
      <c r="F786" s="3">
        <f>IF('Data Source'!B786="","",IF('Data Source'!X786&gt;=5,"A+",IF('Data Source'!X786&gt;=4,"A",IF('Data Source'!X786&gt;=3.5,"A-",IF('Data Source'!X786&gt;=3,"B",IF('Data Source'!X786&gt;=2,"C",IF('Data Source'!X786&gt;=1,"D","F")))))))</f>
        <v/>
      </c>
      <c r="G786" s="3">
        <f>IF('Data Source'!B786="","",IF('Data Source'!Y786&gt;=5,"A+",IF('Data Source'!Y786&gt;=4,"A",IF('Data Source'!Y786&gt;=3.5,"A-",IF('Data Source'!Y786&gt;=3,"B",IF('Data Source'!Y786&gt;=2,"C",IF('Data Source'!Y786&gt;=1,"D","F")))))))</f>
        <v/>
      </c>
      <c r="H786" s="3">
        <f>IF('Data Source'!B786="","",IF('Data Source'!Z786&gt;=5,"A+",IF('Data Source'!Z786&gt;=4,"A",IF('Data Source'!Z786&gt;=3.5,"A-",IF('Data Source'!Z786&gt;=3,"B",IF('Data Source'!Z786&gt;=2,"C",IF('Data Source'!Z786&gt;=1,"D","F")))))))</f>
        <v/>
      </c>
      <c r="I786" s="3">
        <f>IF('Data Source'!B786="","",IF('Data Source'!AA786&gt;=5,"A+",IF('Data Source'!AA786&gt;=4,"A",IF('Data Source'!AA786&gt;=3.5,"A-",IF('Data Source'!AA786&gt;=3,"B",IF('Data Source'!AA786&gt;=2,"C",IF('Data Source'!AA786&gt;=1,"D","F")))))))</f>
        <v/>
      </c>
      <c r="J786" s="3">
        <f>IF('Data Source'!B786="","",IF('Data Source'!AB786&gt;=5,"A+",IF('Data Source'!AB786&gt;=4,"A",IF('Data Source'!AB786&gt;=3.5,"A-",IF('Data Source'!AB786&gt;=3,"B",IF('Data Source'!AB786&gt;=2,"C",IF('Data Source'!AB786&gt;=1,"D","F")))))))</f>
        <v/>
      </c>
      <c r="K786" s="3">
        <f>IF('Data Source'!B786="","",IF('Data Source'!AC786&gt;=5,"A+",IF('Data Source'!AC786&gt;=4,"A",IF('Data Source'!AC786&gt;=3.5,"A-",IF('Data Source'!AC786&gt;=3,"B",IF('Data Source'!AC786&gt;=2,"C",IF('Data Source'!AC786&gt;=1,"D","F")))))))</f>
        <v/>
      </c>
      <c r="L786" s="3">
        <f>IF('Data Source'!B786="","",IF('Data Source'!AD786&gt;=5,"A+",IF('Data Source'!AD786&gt;=4,"A",IF('Data Source'!AD786&gt;=3.5,"A-",IF('Data Source'!AD786&gt;=3,"B",IF('Data Source'!AD786&gt;=2,"C",IF('Data Source'!AD786&gt;=1,"D","F")))))))</f>
        <v/>
      </c>
      <c r="M786" s="3">
        <f>IF('Data Source'!B786="","",IF('Data Source'!AE786&gt;=5,"A+",IF('Data Source'!AE786&gt;=4,"A",IF('Data Source'!AE786&gt;=3.5,"A-",IF('Data Source'!AE786&gt;=3,"B",IF('Data Source'!AE786&gt;=2,"C",IF('Data Source'!AE786&gt;=1,"D","F")))))))</f>
        <v/>
      </c>
      <c r="N786" s="3">
        <f>IF('Data Source'!B786="","",IF('Data Source'!AF786&gt;=5,"A+",IF('Data Source'!AF786&gt;=4,"A",IF('Data Source'!AF786&gt;=3.5,"A-",IF('Data Source'!AF786&gt;=3,"B",IF('Data Source'!AF786&gt;=2,"C",IF('Data Source'!AF786&gt;=1,"D","F")))))))</f>
        <v/>
      </c>
      <c r="O786" s="3">
        <f>IF('Data Source'!B786="","",IF('Data Source'!AG786&gt;=5,"A+",IF('Data Source'!AG786&gt;=4,"A",IF('Data Source'!AG786&gt;=3.5,"A-",IF('Data Source'!AG786&gt;=3,"B",IF('Data Source'!AG786&gt;=2,"C",IF('Data Source'!AG786&gt;=1,"D","F")))))))</f>
        <v/>
      </c>
      <c r="P786" s="5">
        <f>IF('Data Source'!B786="","",'Data Source'!R786)</f>
        <v/>
      </c>
      <c r="Q786" s="3">
        <f>IF('Data Source'!B786="","",'Data Source'!S786)</f>
        <v/>
      </c>
    </row>
    <row r="787">
      <c r="A787" s="3">
        <f>IF('Data Source'!B787="","",'Data Source'!A787)</f>
        <v/>
      </c>
      <c r="B787">
        <f>IF('Data Source'!B787="","",'Data Source'!B787)</f>
        <v/>
      </c>
      <c r="C787" s="3">
        <f>IF('Data Source'!B787="","",IF('Data Source'!U787&gt;=5,"A+",IF('Data Source'!U787&gt;=4,"A",IF('Data Source'!U787&gt;=3.5,"A-",IF('Data Source'!U787&gt;=3,"B",IF('Data Source'!U787&gt;=2,"C",IF('Data Source'!U787&gt;=1,"D","F")))))))</f>
        <v/>
      </c>
      <c r="D787" s="3">
        <f>IF('Data Source'!B787="","",IF('Data Source'!V787&gt;=5,"A+",IF('Data Source'!V787&gt;=4,"A",IF('Data Source'!V787&gt;=3.5,"A-",IF('Data Source'!V787&gt;=3,"B",IF('Data Source'!V787&gt;=2,"C",IF('Data Source'!V787&gt;=1,"D","F")))))))</f>
        <v/>
      </c>
      <c r="E787" s="3">
        <f>IF('Data Source'!B787="","",IF('Data Source'!W787&gt;=5,"A+",IF('Data Source'!W787&gt;=4,"A",IF('Data Source'!W787&gt;=3.5,"A-",IF('Data Source'!W787&gt;=3,"B",IF('Data Source'!W787&gt;=2,"C",IF('Data Source'!W787&gt;=1,"D","F")))))))</f>
        <v/>
      </c>
      <c r="F787" s="3">
        <f>IF('Data Source'!B787="","",IF('Data Source'!X787&gt;=5,"A+",IF('Data Source'!X787&gt;=4,"A",IF('Data Source'!X787&gt;=3.5,"A-",IF('Data Source'!X787&gt;=3,"B",IF('Data Source'!X787&gt;=2,"C",IF('Data Source'!X787&gt;=1,"D","F")))))))</f>
        <v/>
      </c>
      <c r="G787" s="3">
        <f>IF('Data Source'!B787="","",IF('Data Source'!Y787&gt;=5,"A+",IF('Data Source'!Y787&gt;=4,"A",IF('Data Source'!Y787&gt;=3.5,"A-",IF('Data Source'!Y787&gt;=3,"B",IF('Data Source'!Y787&gt;=2,"C",IF('Data Source'!Y787&gt;=1,"D","F")))))))</f>
        <v/>
      </c>
      <c r="H787" s="3">
        <f>IF('Data Source'!B787="","",IF('Data Source'!Z787&gt;=5,"A+",IF('Data Source'!Z787&gt;=4,"A",IF('Data Source'!Z787&gt;=3.5,"A-",IF('Data Source'!Z787&gt;=3,"B",IF('Data Source'!Z787&gt;=2,"C",IF('Data Source'!Z787&gt;=1,"D","F")))))))</f>
        <v/>
      </c>
      <c r="I787" s="3">
        <f>IF('Data Source'!B787="","",IF('Data Source'!AA787&gt;=5,"A+",IF('Data Source'!AA787&gt;=4,"A",IF('Data Source'!AA787&gt;=3.5,"A-",IF('Data Source'!AA787&gt;=3,"B",IF('Data Source'!AA787&gt;=2,"C",IF('Data Source'!AA787&gt;=1,"D","F")))))))</f>
        <v/>
      </c>
      <c r="J787" s="3">
        <f>IF('Data Source'!B787="","",IF('Data Source'!AB787&gt;=5,"A+",IF('Data Source'!AB787&gt;=4,"A",IF('Data Source'!AB787&gt;=3.5,"A-",IF('Data Source'!AB787&gt;=3,"B",IF('Data Source'!AB787&gt;=2,"C",IF('Data Source'!AB787&gt;=1,"D","F")))))))</f>
        <v/>
      </c>
      <c r="K787" s="3">
        <f>IF('Data Source'!B787="","",IF('Data Source'!AC787&gt;=5,"A+",IF('Data Source'!AC787&gt;=4,"A",IF('Data Source'!AC787&gt;=3.5,"A-",IF('Data Source'!AC787&gt;=3,"B",IF('Data Source'!AC787&gt;=2,"C",IF('Data Source'!AC787&gt;=1,"D","F")))))))</f>
        <v/>
      </c>
      <c r="L787" s="3">
        <f>IF('Data Source'!B787="","",IF('Data Source'!AD787&gt;=5,"A+",IF('Data Source'!AD787&gt;=4,"A",IF('Data Source'!AD787&gt;=3.5,"A-",IF('Data Source'!AD787&gt;=3,"B",IF('Data Source'!AD787&gt;=2,"C",IF('Data Source'!AD787&gt;=1,"D","F")))))))</f>
        <v/>
      </c>
      <c r="M787" s="3">
        <f>IF('Data Source'!B787="","",IF('Data Source'!AE787&gt;=5,"A+",IF('Data Source'!AE787&gt;=4,"A",IF('Data Source'!AE787&gt;=3.5,"A-",IF('Data Source'!AE787&gt;=3,"B",IF('Data Source'!AE787&gt;=2,"C",IF('Data Source'!AE787&gt;=1,"D","F")))))))</f>
        <v/>
      </c>
      <c r="N787" s="3">
        <f>IF('Data Source'!B787="","",IF('Data Source'!AF787&gt;=5,"A+",IF('Data Source'!AF787&gt;=4,"A",IF('Data Source'!AF787&gt;=3.5,"A-",IF('Data Source'!AF787&gt;=3,"B",IF('Data Source'!AF787&gt;=2,"C",IF('Data Source'!AF787&gt;=1,"D","F")))))))</f>
        <v/>
      </c>
      <c r="O787" s="3">
        <f>IF('Data Source'!B787="","",IF('Data Source'!AG787&gt;=5,"A+",IF('Data Source'!AG787&gt;=4,"A",IF('Data Source'!AG787&gt;=3.5,"A-",IF('Data Source'!AG787&gt;=3,"B",IF('Data Source'!AG787&gt;=2,"C",IF('Data Source'!AG787&gt;=1,"D","F")))))))</f>
        <v/>
      </c>
      <c r="P787" s="5">
        <f>IF('Data Source'!B787="","",'Data Source'!R787)</f>
        <v/>
      </c>
      <c r="Q787" s="3">
        <f>IF('Data Source'!B787="","",'Data Source'!S787)</f>
        <v/>
      </c>
    </row>
    <row r="788">
      <c r="A788" s="3">
        <f>IF('Data Source'!B788="","",'Data Source'!A788)</f>
        <v/>
      </c>
      <c r="B788">
        <f>IF('Data Source'!B788="","",'Data Source'!B788)</f>
        <v/>
      </c>
      <c r="C788" s="3">
        <f>IF('Data Source'!B788="","",IF('Data Source'!U788&gt;=5,"A+",IF('Data Source'!U788&gt;=4,"A",IF('Data Source'!U788&gt;=3.5,"A-",IF('Data Source'!U788&gt;=3,"B",IF('Data Source'!U788&gt;=2,"C",IF('Data Source'!U788&gt;=1,"D","F")))))))</f>
        <v/>
      </c>
      <c r="D788" s="3">
        <f>IF('Data Source'!B788="","",IF('Data Source'!V788&gt;=5,"A+",IF('Data Source'!V788&gt;=4,"A",IF('Data Source'!V788&gt;=3.5,"A-",IF('Data Source'!V788&gt;=3,"B",IF('Data Source'!V788&gt;=2,"C",IF('Data Source'!V788&gt;=1,"D","F")))))))</f>
        <v/>
      </c>
      <c r="E788" s="3">
        <f>IF('Data Source'!B788="","",IF('Data Source'!W788&gt;=5,"A+",IF('Data Source'!W788&gt;=4,"A",IF('Data Source'!W788&gt;=3.5,"A-",IF('Data Source'!W788&gt;=3,"B",IF('Data Source'!W788&gt;=2,"C",IF('Data Source'!W788&gt;=1,"D","F")))))))</f>
        <v/>
      </c>
      <c r="F788" s="3">
        <f>IF('Data Source'!B788="","",IF('Data Source'!X788&gt;=5,"A+",IF('Data Source'!X788&gt;=4,"A",IF('Data Source'!X788&gt;=3.5,"A-",IF('Data Source'!X788&gt;=3,"B",IF('Data Source'!X788&gt;=2,"C",IF('Data Source'!X788&gt;=1,"D","F")))))))</f>
        <v/>
      </c>
      <c r="G788" s="3">
        <f>IF('Data Source'!B788="","",IF('Data Source'!Y788&gt;=5,"A+",IF('Data Source'!Y788&gt;=4,"A",IF('Data Source'!Y788&gt;=3.5,"A-",IF('Data Source'!Y788&gt;=3,"B",IF('Data Source'!Y788&gt;=2,"C",IF('Data Source'!Y788&gt;=1,"D","F")))))))</f>
        <v/>
      </c>
      <c r="H788" s="3">
        <f>IF('Data Source'!B788="","",IF('Data Source'!Z788&gt;=5,"A+",IF('Data Source'!Z788&gt;=4,"A",IF('Data Source'!Z788&gt;=3.5,"A-",IF('Data Source'!Z788&gt;=3,"B",IF('Data Source'!Z788&gt;=2,"C",IF('Data Source'!Z788&gt;=1,"D","F")))))))</f>
        <v/>
      </c>
      <c r="I788" s="3">
        <f>IF('Data Source'!B788="","",IF('Data Source'!AA788&gt;=5,"A+",IF('Data Source'!AA788&gt;=4,"A",IF('Data Source'!AA788&gt;=3.5,"A-",IF('Data Source'!AA788&gt;=3,"B",IF('Data Source'!AA788&gt;=2,"C",IF('Data Source'!AA788&gt;=1,"D","F")))))))</f>
        <v/>
      </c>
      <c r="J788" s="3">
        <f>IF('Data Source'!B788="","",IF('Data Source'!AB788&gt;=5,"A+",IF('Data Source'!AB788&gt;=4,"A",IF('Data Source'!AB788&gt;=3.5,"A-",IF('Data Source'!AB788&gt;=3,"B",IF('Data Source'!AB788&gt;=2,"C",IF('Data Source'!AB788&gt;=1,"D","F")))))))</f>
        <v/>
      </c>
      <c r="K788" s="3">
        <f>IF('Data Source'!B788="","",IF('Data Source'!AC788&gt;=5,"A+",IF('Data Source'!AC788&gt;=4,"A",IF('Data Source'!AC788&gt;=3.5,"A-",IF('Data Source'!AC788&gt;=3,"B",IF('Data Source'!AC788&gt;=2,"C",IF('Data Source'!AC788&gt;=1,"D","F")))))))</f>
        <v/>
      </c>
      <c r="L788" s="3">
        <f>IF('Data Source'!B788="","",IF('Data Source'!AD788&gt;=5,"A+",IF('Data Source'!AD788&gt;=4,"A",IF('Data Source'!AD788&gt;=3.5,"A-",IF('Data Source'!AD788&gt;=3,"B",IF('Data Source'!AD788&gt;=2,"C",IF('Data Source'!AD788&gt;=1,"D","F")))))))</f>
        <v/>
      </c>
      <c r="M788" s="3">
        <f>IF('Data Source'!B788="","",IF('Data Source'!AE788&gt;=5,"A+",IF('Data Source'!AE788&gt;=4,"A",IF('Data Source'!AE788&gt;=3.5,"A-",IF('Data Source'!AE788&gt;=3,"B",IF('Data Source'!AE788&gt;=2,"C",IF('Data Source'!AE788&gt;=1,"D","F")))))))</f>
        <v/>
      </c>
      <c r="N788" s="3">
        <f>IF('Data Source'!B788="","",IF('Data Source'!AF788&gt;=5,"A+",IF('Data Source'!AF788&gt;=4,"A",IF('Data Source'!AF788&gt;=3.5,"A-",IF('Data Source'!AF788&gt;=3,"B",IF('Data Source'!AF788&gt;=2,"C",IF('Data Source'!AF788&gt;=1,"D","F")))))))</f>
        <v/>
      </c>
      <c r="O788" s="3">
        <f>IF('Data Source'!B788="","",IF('Data Source'!AG788&gt;=5,"A+",IF('Data Source'!AG788&gt;=4,"A",IF('Data Source'!AG788&gt;=3.5,"A-",IF('Data Source'!AG788&gt;=3,"B",IF('Data Source'!AG788&gt;=2,"C",IF('Data Source'!AG788&gt;=1,"D","F")))))))</f>
        <v/>
      </c>
      <c r="P788" s="5">
        <f>IF('Data Source'!B788="","",'Data Source'!R788)</f>
        <v/>
      </c>
      <c r="Q788" s="3">
        <f>IF('Data Source'!B788="","",'Data Source'!S788)</f>
        <v/>
      </c>
    </row>
    <row r="789">
      <c r="A789" s="3">
        <f>IF('Data Source'!B789="","",'Data Source'!A789)</f>
        <v/>
      </c>
      <c r="B789">
        <f>IF('Data Source'!B789="","",'Data Source'!B789)</f>
        <v/>
      </c>
      <c r="C789" s="3">
        <f>IF('Data Source'!B789="","",IF('Data Source'!U789&gt;=5,"A+",IF('Data Source'!U789&gt;=4,"A",IF('Data Source'!U789&gt;=3.5,"A-",IF('Data Source'!U789&gt;=3,"B",IF('Data Source'!U789&gt;=2,"C",IF('Data Source'!U789&gt;=1,"D","F")))))))</f>
        <v/>
      </c>
      <c r="D789" s="3">
        <f>IF('Data Source'!B789="","",IF('Data Source'!V789&gt;=5,"A+",IF('Data Source'!V789&gt;=4,"A",IF('Data Source'!V789&gt;=3.5,"A-",IF('Data Source'!V789&gt;=3,"B",IF('Data Source'!V789&gt;=2,"C",IF('Data Source'!V789&gt;=1,"D","F")))))))</f>
        <v/>
      </c>
      <c r="E789" s="3">
        <f>IF('Data Source'!B789="","",IF('Data Source'!W789&gt;=5,"A+",IF('Data Source'!W789&gt;=4,"A",IF('Data Source'!W789&gt;=3.5,"A-",IF('Data Source'!W789&gt;=3,"B",IF('Data Source'!W789&gt;=2,"C",IF('Data Source'!W789&gt;=1,"D","F")))))))</f>
        <v/>
      </c>
      <c r="F789" s="3">
        <f>IF('Data Source'!B789="","",IF('Data Source'!X789&gt;=5,"A+",IF('Data Source'!X789&gt;=4,"A",IF('Data Source'!X789&gt;=3.5,"A-",IF('Data Source'!X789&gt;=3,"B",IF('Data Source'!X789&gt;=2,"C",IF('Data Source'!X789&gt;=1,"D","F")))))))</f>
        <v/>
      </c>
      <c r="G789" s="3">
        <f>IF('Data Source'!B789="","",IF('Data Source'!Y789&gt;=5,"A+",IF('Data Source'!Y789&gt;=4,"A",IF('Data Source'!Y789&gt;=3.5,"A-",IF('Data Source'!Y789&gt;=3,"B",IF('Data Source'!Y789&gt;=2,"C",IF('Data Source'!Y789&gt;=1,"D","F")))))))</f>
        <v/>
      </c>
      <c r="H789" s="3">
        <f>IF('Data Source'!B789="","",IF('Data Source'!Z789&gt;=5,"A+",IF('Data Source'!Z789&gt;=4,"A",IF('Data Source'!Z789&gt;=3.5,"A-",IF('Data Source'!Z789&gt;=3,"B",IF('Data Source'!Z789&gt;=2,"C",IF('Data Source'!Z789&gt;=1,"D","F")))))))</f>
        <v/>
      </c>
      <c r="I789" s="3">
        <f>IF('Data Source'!B789="","",IF('Data Source'!AA789&gt;=5,"A+",IF('Data Source'!AA789&gt;=4,"A",IF('Data Source'!AA789&gt;=3.5,"A-",IF('Data Source'!AA789&gt;=3,"B",IF('Data Source'!AA789&gt;=2,"C",IF('Data Source'!AA789&gt;=1,"D","F")))))))</f>
        <v/>
      </c>
      <c r="J789" s="3">
        <f>IF('Data Source'!B789="","",IF('Data Source'!AB789&gt;=5,"A+",IF('Data Source'!AB789&gt;=4,"A",IF('Data Source'!AB789&gt;=3.5,"A-",IF('Data Source'!AB789&gt;=3,"B",IF('Data Source'!AB789&gt;=2,"C",IF('Data Source'!AB789&gt;=1,"D","F")))))))</f>
        <v/>
      </c>
      <c r="K789" s="3">
        <f>IF('Data Source'!B789="","",IF('Data Source'!AC789&gt;=5,"A+",IF('Data Source'!AC789&gt;=4,"A",IF('Data Source'!AC789&gt;=3.5,"A-",IF('Data Source'!AC789&gt;=3,"B",IF('Data Source'!AC789&gt;=2,"C",IF('Data Source'!AC789&gt;=1,"D","F")))))))</f>
        <v/>
      </c>
      <c r="L789" s="3">
        <f>IF('Data Source'!B789="","",IF('Data Source'!AD789&gt;=5,"A+",IF('Data Source'!AD789&gt;=4,"A",IF('Data Source'!AD789&gt;=3.5,"A-",IF('Data Source'!AD789&gt;=3,"B",IF('Data Source'!AD789&gt;=2,"C",IF('Data Source'!AD789&gt;=1,"D","F")))))))</f>
        <v/>
      </c>
      <c r="M789" s="3">
        <f>IF('Data Source'!B789="","",IF('Data Source'!AE789&gt;=5,"A+",IF('Data Source'!AE789&gt;=4,"A",IF('Data Source'!AE789&gt;=3.5,"A-",IF('Data Source'!AE789&gt;=3,"B",IF('Data Source'!AE789&gt;=2,"C",IF('Data Source'!AE789&gt;=1,"D","F")))))))</f>
        <v/>
      </c>
      <c r="N789" s="3">
        <f>IF('Data Source'!B789="","",IF('Data Source'!AF789&gt;=5,"A+",IF('Data Source'!AF789&gt;=4,"A",IF('Data Source'!AF789&gt;=3.5,"A-",IF('Data Source'!AF789&gt;=3,"B",IF('Data Source'!AF789&gt;=2,"C",IF('Data Source'!AF789&gt;=1,"D","F")))))))</f>
        <v/>
      </c>
      <c r="O789" s="3">
        <f>IF('Data Source'!B789="","",IF('Data Source'!AG789&gt;=5,"A+",IF('Data Source'!AG789&gt;=4,"A",IF('Data Source'!AG789&gt;=3.5,"A-",IF('Data Source'!AG789&gt;=3,"B",IF('Data Source'!AG789&gt;=2,"C",IF('Data Source'!AG789&gt;=1,"D","F")))))))</f>
        <v/>
      </c>
      <c r="P789" s="5">
        <f>IF('Data Source'!B789="","",'Data Source'!R789)</f>
        <v/>
      </c>
      <c r="Q789" s="3">
        <f>IF('Data Source'!B789="","",'Data Source'!S789)</f>
        <v/>
      </c>
    </row>
    <row r="790">
      <c r="A790" s="3">
        <f>IF('Data Source'!B790="","",'Data Source'!A790)</f>
        <v/>
      </c>
      <c r="B790">
        <f>IF('Data Source'!B790="","",'Data Source'!B790)</f>
        <v/>
      </c>
      <c r="C790" s="3">
        <f>IF('Data Source'!B790="","",IF('Data Source'!U790&gt;=5,"A+",IF('Data Source'!U790&gt;=4,"A",IF('Data Source'!U790&gt;=3.5,"A-",IF('Data Source'!U790&gt;=3,"B",IF('Data Source'!U790&gt;=2,"C",IF('Data Source'!U790&gt;=1,"D","F")))))))</f>
        <v/>
      </c>
      <c r="D790" s="3">
        <f>IF('Data Source'!B790="","",IF('Data Source'!V790&gt;=5,"A+",IF('Data Source'!V790&gt;=4,"A",IF('Data Source'!V790&gt;=3.5,"A-",IF('Data Source'!V790&gt;=3,"B",IF('Data Source'!V790&gt;=2,"C",IF('Data Source'!V790&gt;=1,"D","F")))))))</f>
        <v/>
      </c>
      <c r="E790" s="3">
        <f>IF('Data Source'!B790="","",IF('Data Source'!W790&gt;=5,"A+",IF('Data Source'!W790&gt;=4,"A",IF('Data Source'!W790&gt;=3.5,"A-",IF('Data Source'!W790&gt;=3,"B",IF('Data Source'!W790&gt;=2,"C",IF('Data Source'!W790&gt;=1,"D","F")))))))</f>
        <v/>
      </c>
      <c r="F790" s="3">
        <f>IF('Data Source'!B790="","",IF('Data Source'!X790&gt;=5,"A+",IF('Data Source'!X790&gt;=4,"A",IF('Data Source'!X790&gt;=3.5,"A-",IF('Data Source'!X790&gt;=3,"B",IF('Data Source'!X790&gt;=2,"C",IF('Data Source'!X790&gt;=1,"D","F")))))))</f>
        <v/>
      </c>
      <c r="G790" s="3">
        <f>IF('Data Source'!B790="","",IF('Data Source'!Y790&gt;=5,"A+",IF('Data Source'!Y790&gt;=4,"A",IF('Data Source'!Y790&gt;=3.5,"A-",IF('Data Source'!Y790&gt;=3,"B",IF('Data Source'!Y790&gt;=2,"C",IF('Data Source'!Y790&gt;=1,"D","F")))))))</f>
        <v/>
      </c>
      <c r="H790" s="3">
        <f>IF('Data Source'!B790="","",IF('Data Source'!Z790&gt;=5,"A+",IF('Data Source'!Z790&gt;=4,"A",IF('Data Source'!Z790&gt;=3.5,"A-",IF('Data Source'!Z790&gt;=3,"B",IF('Data Source'!Z790&gt;=2,"C",IF('Data Source'!Z790&gt;=1,"D","F")))))))</f>
        <v/>
      </c>
      <c r="I790" s="3">
        <f>IF('Data Source'!B790="","",IF('Data Source'!AA790&gt;=5,"A+",IF('Data Source'!AA790&gt;=4,"A",IF('Data Source'!AA790&gt;=3.5,"A-",IF('Data Source'!AA790&gt;=3,"B",IF('Data Source'!AA790&gt;=2,"C",IF('Data Source'!AA790&gt;=1,"D","F")))))))</f>
        <v/>
      </c>
      <c r="J790" s="3">
        <f>IF('Data Source'!B790="","",IF('Data Source'!AB790&gt;=5,"A+",IF('Data Source'!AB790&gt;=4,"A",IF('Data Source'!AB790&gt;=3.5,"A-",IF('Data Source'!AB790&gt;=3,"B",IF('Data Source'!AB790&gt;=2,"C",IF('Data Source'!AB790&gt;=1,"D","F")))))))</f>
        <v/>
      </c>
      <c r="K790" s="3">
        <f>IF('Data Source'!B790="","",IF('Data Source'!AC790&gt;=5,"A+",IF('Data Source'!AC790&gt;=4,"A",IF('Data Source'!AC790&gt;=3.5,"A-",IF('Data Source'!AC790&gt;=3,"B",IF('Data Source'!AC790&gt;=2,"C",IF('Data Source'!AC790&gt;=1,"D","F")))))))</f>
        <v/>
      </c>
      <c r="L790" s="3">
        <f>IF('Data Source'!B790="","",IF('Data Source'!AD790&gt;=5,"A+",IF('Data Source'!AD790&gt;=4,"A",IF('Data Source'!AD790&gt;=3.5,"A-",IF('Data Source'!AD790&gt;=3,"B",IF('Data Source'!AD790&gt;=2,"C",IF('Data Source'!AD790&gt;=1,"D","F")))))))</f>
        <v/>
      </c>
      <c r="M790" s="3">
        <f>IF('Data Source'!B790="","",IF('Data Source'!AE790&gt;=5,"A+",IF('Data Source'!AE790&gt;=4,"A",IF('Data Source'!AE790&gt;=3.5,"A-",IF('Data Source'!AE790&gt;=3,"B",IF('Data Source'!AE790&gt;=2,"C",IF('Data Source'!AE790&gt;=1,"D","F")))))))</f>
        <v/>
      </c>
      <c r="N790" s="3">
        <f>IF('Data Source'!B790="","",IF('Data Source'!AF790&gt;=5,"A+",IF('Data Source'!AF790&gt;=4,"A",IF('Data Source'!AF790&gt;=3.5,"A-",IF('Data Source'!AF790&gt;=3,"B",IF('Data Source'!AF790&gt;=2,"C",IF('Data Source'!AF790&gt;=1,"D","F")))))))</f>
        <v/>
      </c>
      <c r="O790" s="3">
        <f>IF('Data Source'!B790="","",IF('Data Source'!AG790&gt;=5,"A+",IF('Data Source'!AG790&gt;=4,"A",IF('Data Source'!AG790&gt;=3.5,"A-",IF('Data Source'!AG790&gt;=3,"B",IF('Data Source'!AG790&gt;=2,"C",IF('Data Source'!AG790&gt;=1,"D","F")))))))</f>
        <v/>
      </c>
      <c r="P790" s="5">
        <f>IF('Data Source'!B790="","",'Data Source'!R790)</f>
        <v/>
      </c>
      <c r="Q790" s="3">
        <f>IF('Data Source'!B790="","",'Data Source'!S790)</f>
        <v/>
      </c>
    </row>
    <row r="791">
      <c r="A791" s="3">
        <f>IF('Data Source'!B791="","",'Data Source'!A791)</f>
        <v/>
      </c>
      <c r="B791">
        <f>IF('Data Source'!B791="","",'Data Source'!B791)</f>
        <v/>
      </c>
      <c r="C791" s="3">
        <f>IF('Data Source'!B791="","",IF('Data Source'!U791&gt;=5,"A+",IF('Data Source'!U791&gt;=4,"A",IF('Data Source'!U791&gt;=3.5,"A-",IF('Data Source'!U791&gt;=3,"B",IF('Data Source'!U791&gt;=2,"C",IF('Data Source'!U791&gt;=1,"D","F")))))))</f>
        <v/>
      </c>
      <c r="D791" s="3">
        <f>IF('Data Source'!B791="","",IF('Data Source'!V791&gt;=5,"A+",IF('Data Source'!V791&gt;=4,"A",IF('Data Source'!V791&gt;=3.5,"A-",IF('Data Source'!V791&gt;=3,"B",IF('Data Source'!V791&gt;=2,"C",IF('Data Source'!V791&gt;=1,"D","F")))))))</f>
        <v/>
      </c>
      <c r="E791" s="3">
        <f>IF('Data Source'!B791="","",IF('Data Source'!W791&gt;=5,"A+",IF('Data Source'!W791&gt;=4,"A",IF('Data Source'!W791&gt;=3.5,"A-",IF('Data Source'!W791&gt;=3,"B",IF('Data Source'!W791&gt;=2,"C",IF('Data Source'!W791&gt;=1,"D","F")))))))</f>
        <v/>
      </c>
      <c r="F791" s="3">
        <f>IF('Data Source'!B791="","",IF('Data Source'!X791&gt;=5,"A+",IF('Data Source'!X791&gt;=4,"A",IF('Data Source'!X791&gt;=3.5,"A-",IF('Data Source'!X791&gt;=3,"B",IF('Data Source'!X791&gt;=2,"C",IF('Data Source'!X791&gt;=1,"D","F")))))))</f>
        <v/>
      </c>
      <c r="G791" s="3">
        <f>IF('Data Source'!B791="","",IF('Data Source'!Y791&gt;=5,"A+",IF('Data Source'!Y791&gt;=4,"A",IF('Data Source'!Y791&gt;=3.5,"A-",IF('Data Source'!Y791&gt;=3,"B",IF('Data Source'!Y791&gt;=2,"C",IF('Data Source'!Y791&gt;=1,"D","F")))))))</f>
        <v/>
      </c>
      <c r="H791" s="3">
        <f>IF('Data Source'!B791="","",IF('Data Source'!Z791&gt;=5,"A+",IF('Data Source'!Z791&gt;=4,"A",IF('Data Source'!Z791&gt;=3.5,"A-",IF('Data Source'!Z791&gt;=3,"B",IF('Data Source'!Z791&gt;=2,"C",IF('Data Source'!Z791&gt;=1,"D","F")))))))</f>
        <v/>
      </c>
      <c r="I791" s="3">
        <f>IF('Data Source'!B791="","",IF('Data Source'!AA791&gt;=5,"A+",IF('Data Source'!AA791&gt;=4,"A",IF('Data Source'!AA791&gt;=3.5,"A-",IF('Data Source'!AA791&gt;=3,"B",IF('Data Source'!AA791&gt;=2,"C",IF('Data Source'!AA791&gt;=1,"D","F")))))))</f>
        <v/>
      </c>
      <c r="J791" s="3">
        <f>IF('Data Source'!B791="","",IF('Data Source'!AB791&gt;=5,"A+",IF('Data Source'!AB791&gt;=4,"A",IF('Data Source'!AB791&gt;=3.5,"A-",IF('Data Source'!AB791&gt;=3,"B",IF('Data Source'!AB791&gt;=2,"C",IF('Data Source'!AB791&gt;=1,"D","F")))))))</f>
        <v/>
      </c>
      <c r="K791" s="3">
        <f>IF('Data Source'!B791="","",IF('Data Source'!AC791&gt;=5,"A+",IF('Data Source'!AC791&gt;=4,"A",IF('Data Source'!AC791&gt;=3.5,"A-",IF('Data Source'!AC791&gt;=3,"B",IF('Data Source'!AC791&gt;=2,"C",IF('Data Source'!AC791&gt;=1,"D","F")))))))</f>
        <v/>
      </c>
      <c r="L791" s="3">
        <f>IF('Data Source'!B791="","",IF('Data Source'!AD791&gt;=5,"A+",IF('Data Source'!AD791&gt;=4,"A",IF('Data Source'!AD791&gt;=3.5,"A-",IF('Data Source'!AD791&gt;=3,"B",IF('Data Source'!AD791&gt;=2,"C",IF('Data Source'!AD791&gt;=1,"D","F")))))))</f>
        <v/>
      </c>
      <c r="M791" s="3">
        <f>IF('Data Source'!B791="","",IF('Data Source'!AE791&gt;=5,"A+",IF('Data Source'!AE791&gt;=4,"A",IF('Data Source'!AE791&gt;=3.5,"A-",IF('Data Source'!AE791&gt;=3,"B",IF('Data Source'!AE791&gt;=2,"C",IF('Data Source'!AE791&gt;=1,"D","F")))))))</f>
        <v/>
      </c>
      <c r="N791" s="3">
        <f>IF('Data Source'!B791="","",IF('Data Source'!AF791&gt;=5,"A+",IF('Data Source'!AF791&gt;=4,"A",IF('Data Source'!AF791&gt;=3.5,"A-",IF('Data Source'!AF791&gt;=3,"B",IF('Data Source'!AF791&gt;=2,"C",IF('Data Source'!AF791&gt;=1,"D","F")))))))</f>
        <v/>
      </c>
      <c r="O791" s="3">
        <f>IF('Data Source'!B791="","",IF('Data Source'!AG791&gt;=5,"A+",IF('Data Source'!AG791&gt;=4,"A",IF('Data Source'!AG791&gt;=3.5,"A-",IF('Data Source'!AG791&gt;=3,"B",IF('Data Source'!AG791&gt;=2,"C",IF('Data Source'!AG791&gt;=1,"D","F")))))))</f>
        <v/>
      </c>
      <c r="P791" s="5">
        <f>IF('Data Source'!B791="","",'Data Source'!R791)</f>
        <v/>
      </c>
      <c r="Q791" s="3">
        <f>IF('Data Source'!B791="","",'Data Source'!S791)</f>
        <v/>
      </c>
    </row>
    <row r="792">
      <c r="A792" s="3">
        <f>IF('Data Source'!B792="","",'Data Source'!A792)</f>
        <v/>
      </c>
      <c r="B792">
        <f>IF('Data Source'!B792="","",'Data Source'!B792)</f>
        <v/>
      </c>
      <c r="C792" s="3">
        <f>IF('Data Source'!B792="","",IF('Data Source'!U792&gt;=5,"A+",IF('Data Source'!U792&gt;=4,"A",IF('Data Source'!U792&gt;=3.5,"A-",IF('Data Source'!U792&gt;=3,"B",IF('Data Source'!U792&gt;=2,"C",IF('Data Source'!U792&gt;=1,"D","F")))))))</f>
        <v/>
      </c>
      <c r="D792" s="3">
        <f>IF('Data Source'!B792="","",IF('Data Source'!V792&gt;=5,"A+",IF('Data Source'!V792&gt;=4,"A",IF('Data Source'!V792&gt;=3.5,"A-",IF('Data Source'!V792&gt;=3,"B",IF('Data Source'!V792&gt;=2,"C",IF('Data Source'!V792&gt;=1,"D","F")))))))</f>
        <v/>
      </c>
      <c r="E792" s="3">
        <f>IF('Data Source'!B792="","",IF('Data Source'!W792&gt;=5,"A+",IF('Data Source'!W792&gt;=4,"A",IF('Data Source'!W792&gt;=3.5,"A-",IF('Data Source'!W792&gt;=3,"B",IF('Data Source'!W792&gt;=2,"C",IF('Data Source'!W792&gt;=1,"D","F")))))))</f>
        <v/>
      </c>
      <c r="F792" s="3">
        <f>IF('Data Source'!B792="","",IF('Data Source'!X792&gt;=5,"A+",IF('Data Source'!X792&gt;=4,"A",IF('Data Source'!X792&gt;=3.5,"A-",IF('Data Source'!X792&gt;=3,"B",IF('Data Source'!X792&gt;=2,"C",IF('Data Source'!X792&gt;=1,"D","F")))))))</f>
        <v/>
      </c>
      <c r="G792" s="3">
        <f>IF('Data Source'!B792="","",IF('Data Source'!Y792&gt;=5,"A+",IF('Data Source'!Y792&gt;=4,"A",IF('Data Source'!Y792&gt;=3.5,"A-",IF('Data Source'!Y792&gt;=3,"B",IF('Data Source'!Y792&gt;=2,"C",IF('Data Source'!Y792&gt;=1,"D","F")))))))</f>
        <v/>
      </c>
      <c r="H792" s="3">
        <f>IF('Data Source'!B792="","",IF('Data Source'!Z792&gt;=5,"A+",IF('Data Source'!Z792&gt;=4,"A",IF('Data Source'!Z792&gt;=3.5,"A-",IF('Data Source'!Z792&gt;=3,"B",IF('Data Source'!Z792&gt;=2,"C",IF('Data Source'!Z792&gt;=1,"D","F")))))))</f>
        <v/>
      </c>
      <c r="I792" s="3">
        <f>IF('Data Source'!B792="","",IF('Data Source'!AA792&gt;=5,"A+",IF('Data Source'!AA792&gt;=4,"A",IF('Data Source'!AA792&gt;=3.5,"A-",IF('Data Source'!AA792&gt;=3,"B",IF('Data Source'!AA792&gt;=2,"C",IF('Data Source'!AA792&gt;=1,"D","F")))))))</f>
        <v/>
      </c>
      <c r="J792" s="3">
        <f>IF('Data Source'!B792="","",IF('Data Source'!AB792&gt;=5,"A+",IF('Data Source'!AB792&gt;=4,"A",IF('Data Source'!AB792&gt;=3.5,"A-",IF('Data Source'!AB792&gt;=3,"B",IF('Data Source'!AB792&gt;=2,"C",IF('Data Source'!AB792&gt;=1,"D","F")))))))</f>
        <v/>
      </c>
      <c r="K792" s="3">
        <f>IF('Data Source'!B792="","",IF('Data Source'!AC792&gt;=5,"A+",IF('Data Source'!AC792&gt;=4,"A",IF('Data Source'!AC792&gt;=3.5,"A-",IF('Data Source'!AC792&gt;=3,"B",IF('Data Source'!AC792&gt;=2,"C",IF('Data Source'!AC792&gt;=1,"D","F")))))))</f>
        <v/>
      </c>
      <c r="L792" s="3">
        <f>IF('Data Source'!B792="","",IF('Data Source'!AD792&gt;=5,"A+",IF('Data Source'!AD792&gt;=4,"A",IF('Data Source'!AD792&gt;=3.5,"A-",IF('Data Source'!AD792&gt;=3,"B",IF('Data Source'!AD792&gt;=2,"C",IF('Data Source'!AD792&gt;=1,"D","F")))))))</f>
        <v/>
      </c>
      <c r="M792" s="3">
        <f>IF('Data Source'!B792="","",IF('Data Source'!AE792&gt;=5,"A+",IF('Data Source'!AE792&gt;=4,"A",IF('Data Source'!AE792&gt;=3.5,"A-",IF('Data Source'!AE792&gt;=3,"B",IF('Data Source'!AE792&gt;=2,"C",IF('Data Source'!AE792&gt;=1,"D","F")))))))</f>
        <v/>
      </c>
      <c r="N792" s="3">
        <f>IF('Data Source'!B792="","",IF('Data Source'!AF792&gt;=5,"A+",IF('Data Source'!AF792&gt;=4,"A",IF('Data Source'!AF792&gt;=3.5,"A-",IF('Data Source'!AF792&gt;=3,"B",IF('Data Source'!AF792&gt;=2,"C",IF('Data Source'!AF792&gt;=1,"D","F")))))))</f>
        <v/>
      </c>
      <c r="O792" s="3">
        <f>IF('Data Source'!B792="","",IF('Data Source'!AG792&gt;=5,"A+",IF('Data Source'!AG792&gt;=4,"A",IF('Data Source'!AG792&gt;=3.5,"A-",IF('Data Source'!AG792&gt;=3,"B",IF('Data Source'!AG792&gt;=2,"C",IF('Data Source'!AG792&gt;=1,"D","F")))))))</f>
        <v/>
      </c>
      <c r="P792" s="5">
        <f>IF('Data Source'!B792="","",'Data Source'!R792)</f>
        <v/>
      </c>
      <c r="Q792" s="3">
        <f>IF('Data Source'!B792="","",'Data Source'!S792)</f>
        <v/>
      </c>
    </row>
    <row r="793">
      <c r="A793" s="3">
        <f>IF('Data Source'!B793="","",'Data Source'!A793)</f>
        <v/>
      </c>
      <c r="B793">
        <f>IF('Data Source'!B793="","",'Data Source'!B793)</f>
        <v/>
      </c>
      <c r="C793" s="3">
        <f>IF('Data Source'!B793="","",IF('Data Source'!U793&gt;=5,"A+",IF('Data Source'!U793&gt;=4,"A",IF('Data Source'!U793&gt;=3.5,"A-",IF('Data Source'!U793&gt;=3,"B",IF('Data Source'!U793&gt;=2,"C",IF('Data Source'!U793&gt;=1,"D","F")))))))</f>
        <v/>
      </c>
      <c r="D793" s="3">
        <f>IF('Data Source'!B793="","",IF('Data Source'!V793&gt;=5,"A+",IF('Data Source'!V793&gt;=4,"A",IF('Data Source'!V793&gt;=3.5,"A-",IF('Data Source'!V793&gt;=3,"B",IF('Data Source'!V793&gt;=2,"C",IF('Data Source'!V793&gt;=1,"D","F")))))))</f>
        <v/>
      </c>
      <c r="E793" s="3">
        <f>IF('Data Source'!B793="","",IF('Data Source'!W793&gt;=5,"A+",IF('Data Source'!W793&gt;=4,"A",IF('Data Source'!W793&gt;=3.5,"A-",IF('Data Source'!W793&gt;=3,"B",IF('Data Source'!W793&gt;=2,"C",IF('Data Source'!W793&gt;=1,"D","F")))))))</f>
        <v/>
      </c>
      <c r="F793" s="3">
        <f>IF('Data Source'!B793="","",IF('Data Source'!X793&gt;=5,"A+",IF('Data Source'!X793&gt;=4,"A",IF('Data Source'!X793&gt;=3.5,"A-",IF('Data Source'!X793&gt;=3,"B",IF('Data Source'!X793&gt;=2,"C",IF('Data Source'!X793&gt;=1,"D","F")))))))</f>
        <v/>
      </c>
      <c r="G793" s="3">
        <f>IF('Data Source'!B793="","",IF('Data Source'!Y793&gt;=5,"A+",IF('Data Source'!Y793&gt;=4,"A",IF('Data Source'!Y793&gt;=3.5,"A-",IF('Data Source'!Y793&gt;=3,"B",IF('Data Source'!Y793&gt;=2,"C",IF('Data Source'!Y793&gt;=1,"D","F")))))))</f>
        <v/>
      </c>
      <c r="H793" s="3">
        <f>IF('Data Source'!B793="","",IF('Data Source'!Z793&gt;=5,"A+",IF('Data Source'!Z793&gt;=4,"A",IF('Data Source'!Z793&gt;=3.5,"A-",IF('Data Source'!Z793&gt;=3,"B",IF('Data Source'!Z793&gt;=2,"C",IF('Data Source'!Z793&gt;=1,"D","F")))))))</f>
        <v/>
      </c>
      <c r="I793" s="3">
        <f>IF('Data Source'!B793="","",IF('Data Source'!AA793&gt;=5,"A+",IF('Data Source'!AA793&gt;=4,"A",IF('Data Source'!AA793&gt;=3.5,"A-",IF('Data Source'!AA793&gt;=3,"B",IF('Data Source'!AA793&gt;=2,"C",IF('Data Source'!AA793&gt;=1,"D","F")))))))</f>
        <v/>
      </c>
      <c r="J793" s="3">
        <f>IF('Data Source'!B793="","",IF('Data Source'!AB793&gt;=5,"A+",IF('Data Source'!AB793&gt;=4,"A",IF('Data Source'!AB793&gt;=3.5,"A-",IF('Data Source'!AB793&gt;=3,"B",IF('Data Source'!AB793&gt;=2,"C",IF('Data Source'!AB793&gt;=1,"D","F")))))))</f>
        <v/>
      </c>
      <c r="K793" s="3">
        <f>IF('Data Source'!B793="","",IF('Data Source'!AC793&gt;=5,"A+",IF('Data Source'!AC793&gt;=4,"A",IF('Data Source'!AC793&gt;=3.5,"A-",IF('Data Source'!AC793&gt;=3,"B",IF('Data Source'!AC793&gt;=2,"C",IF('Data Source'!AC793&gt;=1,"D","F")))))))</f>
        <v/>
      </c>
      <c r="L793" s="3">
        <f>IF('Data Source'!B793="","",IF('Data Source'!AD793&gt;=5,"A+",IF('Data Source'!AD793&gt;=4,"A",IF('Data Source'!AD793&gt;=3.5,"A-",IF('Data Source'!AD793&gt;=3,"B",IF('Data Source'!AD793&gt;=2,"C",IF('Data Source'!AD793&gt;=1,"D","F")))))))</f>
        <v/>
      </c>
      <c r="M793" s="3">
        <f>IF('Data Source'!B793="","",IF('Data Source'!AE793&gt;=5,"A+",IF('Data Source'!AE793&gt;=4,"A",IF('Data Source'!AE793&gt;=3.5,"A-",IF('Data Source'!AE793&gt;=3,"B",IF('Data Source'!AE793&gt;=2,"C",IF('Data Source'!AE793&gt;=1,"D","F")))))))</f>
        <v/>
      </c>
      <c r="N793" s="3">
        <f>IF('Data Source'!B793="","",IF('Data Source'!AF793&gt;=5,"A+",IF('Data Source'!AF793&gt;=4,"A",IF('Data Source'!AF793&gt;=3.5,"A-",IF('Data Source'!AF793&gt;=3,"B",IF('Data Source'!AF793&gt;=2,"C",IF('Data Source'!AF793&gt;=1,"D","F")))))))</f>
        <v/>
      </c>
      <c r="O793" s="3">
        <f>IF('Data Source'!B793="","",IF('Data Source'!AG793&gt;=5,"A+",IF('Data Source'!AG793&gt;=4,"A",IF('Data Source'!AG793&gt;=3.5,"A-",IF('Data Source'!AG793&gt;=3,"B",IF('Data Source'!AG793&gt;=2,"C",IF('Data Source'!AG793&gt;=1,"D","F")))))))</f>
        <v/>
      </c>
      <c r="P793" s="5">
        <f>IF('Data Source'!B793="","",'Data Source'!R793)</f>
        <v/>
      </c>
      <c r="Q793" s="3">
        <f>IF('Data Source'!B793="","",'Data Source'!S793)</f>
        <v/>
      </c>
    </row>
    <row r="794">
      <c r="A794" s="3">
        <f>IF('Data Source'!B794="","",'Data Source'!A794)</f>
        <v/>
      </c>
      <c r="B794">
        <f>IF('Data Source'!B794="","",'Data Source'!B794)</f>
        <v/>
      </c>
      <c r="C794" s="3">
        <f>IF('Data Source'!B794="","",IF('Data Source'!U794&gt;=5,"A+",IF('Data Source'!U794&gt;=4,"A",IF('Data Source'!U794&gt;=3.5,"A-",IF('Data Source'!U794&gt;=3,"B",IF('Data Source'!U794&gt;=2,"C",IF('Data Source'!U794&gt;=1,"D","F")))))))</f>
        <v/>
      </c>
      <c r="D794" s="3">
        <f>IF('Data Source'!B794="","",IF('Data Source'!V794&gt;=5,"A+",IF('Data Source'!V794&gt;=4,"A",IF('Data Source'!V794&gt;=3.5,"A-",IF('Data Source'!V794&gt;=3,"B",IF('Data Source'!V794&gt;=2,"C",IF('Data Source'!V794&gt;=1,"D","F")))))))</f>
        <v/>
      </c>
      <c r="E794" s="3">
        <f>IF('Data Source'!B794="","",IF('Data Source'!W794&gt;=5,"A+",IF('Data Source'!W794&gt;=4,"A",IF('Data Source'!W794&gt;=3.5,"A-",IF('Data Source'!W794&gt;=3,"B",IF('Data Source'!W794&gt;=2,"C",IF('Data Source'!W794&gt;=1,"D","F")))))))</f>
        <v/>
      </c>
      <c r="F794" s="3">
        <f>IF('Data Source'!B794="","",IF('Data Source'!X794&gt;=5,"A+",IF('Data Source'!X794&gt;=4,"A",IF('Data Source'!X794&gt;=3.5,"A-",IF('Data Source'!X794&gt;=3,"B",IF('Data Source'!X794&gt;=2,"C",IF('Data Source'!X794&gt;=1,"D","F")))))))</f>
        <v/>
      </c>
      <c r="G794" s="3">
        <f>IF('Data Source'!B794="","",IF('Data Source'!Y794&gt;=5,"A+",IF('Data Source'!Y794&gt;=4,"A",IF('Data Source'!Y794&gt;=3.5,"A-",IF('Data Source'!Y794&gt;=3,"B",IF('Data Source'!Y794&gt;=2,"C",IF('Data Source'!Y794&gt;=1,"D","F")))))))</f>
        <v/>
      </c>
      <c r="H794" s="3">
        <f>IF('Data Source'!B794="","",IF('Data Source'!Z794&gt;=5,"A+",IF('Data Source'!Z794&gt;=4,"A",IF('Data Source'!Z794&gt;=3.5,"A-",IF('Data Source'!Z794&gt;=3,"B",IF('Data Source'!Z794&gt;=2,"C",IF('Data Source'!Z794&gt;=1,"D","F")))))))</f>
        <v/>
      </c>
      <c r="I794" s="3">
        <f>IF('Data Source'!B794="","",IF('Data Source'!AA794&gt;=5,"A+",IF('Data Source'!AA794&gt;=4,"A",IF('Data Source'!AA794&gt;=3.5,"A-",IF('Data Source'!AA794&gt;=3,"B",IF('Data Source'!AA794&gt;=2,"C",IF('Data Source'!AA794&gt;=1,"D","F")))))))</f>
        <v/>
      </c>
      <c r="J794" s="3">
        <f>IF('Data Source'!B794="","",IF('Data Source'!AB794&gt;=5,"A+",IF('Data Source'!AB794&gt;=4,"A",IF('Data Source'!AB794&gt;=3.5,"A-",IF('Data Source'!AB794&gt;=3,"B",IF('Data Source'!AB794&gt;=2,"C",IF('Data Source'!AB794&gt;=1,"D","F")))))))</f>
        <v/>
      </c>
      <c r="K794" s="3">
        <f>IF('Data Source'!B794="","",IF('Data Source'!AC794&gt;=5,"A+",IF('Data Source'!AC794&gt;=4,"A",IF('Data Source'!AC794&gt;=3.5,"A-",IF('Data Source'!AC794&gt;=3,"B",IF('Data Source'!AC794&gt;=2,"C",IF('Data Source'!AC794&gt;=1,"D","F")))))))</f>
        <v/>
      </c>
      <c r="L794" s="3">
        <f>IF('Data Source'!B794="","",IF('Data Source'!AD794&gt;=5,"A+",IF('Data Source'!AD794&gt;=4,"A",IF('Data Source'!AD794&gt;=3.5,"A-",IF('Data Source'!AD794&gt;=3,"B",IF('Data Source'!AD794&gt;=2,"C",IF('Data Source'!AD794&gt;=1,"D","F")))))))</f>
        <v/>
      </c>
      <c r="M794" s="3">
        <f>IF('Data Source'!B794="","",IF('Data Source'!AE794&gt;=5,"A+",IF('Data Source'!AE794&gt;=4,"A",IF('Data Source'!AE794&gt;=3.5,"A-",IF('Data Source'!AE794&gt;=3,"B",IF('Data Source'!AE794&gt;=2,"C",IF('Data Source'!AE794&gt;=1,"D","F")))))))</f>
        <v/>
      </c>
      <c r="N794" s="3">
        <f>IF('Data Source'!B794="","",IF('Data Source'!AF794&gt;=5,"A+",IF('Data Source'!AF794&gt;=4,"A",IF('Data Source'!AF794&gt;=3.5,"A-",IF('Data Source'!AF794&gt;=3,"B",IF('Data Source'!AF794&gt;=2,"C",IF('Data Source'!AF794&gt;=1,"D","F")))))))</f>
        <v/>
      </c>
      <c r="O794" s="3">
        <f>IF('Data Source'!B794="","",IF('Data Source'!AG794&gt;=5,"A+",IF('Data Source'!AG794&gt;=4,"A",IF('Data Source'!AG794&gt;=3.5,"A-",IF('Data Source'!AG794&gt;=3,"B",IF('Data Source'!AG794&gt;=2,"C",IF('Data Source'!AG794&gt;=1,"D","F")))))))</f>
        <v/>
      </c>
      <c r="P794" s="5">
        <f>IF('Data Source'!B794="","",'Data Source'!R794)</f>
        <v/>
      </c>
      <c r="Q794" s="3">
        <f>IF('Data Source'!B794="","",'Data Source'!S794)</f>
        <v/>
      </c>
    </row>
    <row r="795">
      <c r="A795" s="3">
        <f>IF('Data Source'!B795="","",'Data Source'!A795)</f>
        <v/>
      </c>
      <c r="B795">
        <f>IF('Data Source'!B795="","",'Data Source'!B795)</f>
        <v/>
      </c>
      <c r="C795" s="3">
        <f>IF('Data Source'!B795="","",IF('Data Source'!U795&gt;=5,"A+",IF('Data Source'!U795&gt;=4,"A",IF('Data Source'!U795&gt;=3.5,"A-",IF('Data Source'!U795&gt;=3,"B",IF('Data Source'!U795&gt;=2,"C",IF('Data Source'!U795&gt;=1,"D","F")))))))</f>
        <v/>
      </c>
      <c r="D795" s="3">
        <f>IF('Data Source'!B795="","",IF('Data Source'!V795&gt;=5,"A+",IF('Data Source'!V795&gt;=4,"A",IF('Data Source'!V795&gt;=3.5,"A-",IF('Data Source'!V795&gt;=3,"B",IF('Data Source'!V795&gt;=2,"C",IF('Data Source'!V795&gt;=1,"D","F")))))))</f>
        <v/>
      </c>
      <c r="E795" s="3">
        <f>IF('Data Source'!B795="","",IF('Data Source'!W795&gt;=5,"A+",IF('Data Source'!W795&gt;=4,"A",IF('Data Source'!W795&gt;=3.5,"A-",IF('Data Source'!W795&gt;=3,"B",IF('Data Source'!W795&gt;=2,"C",IF('Data Source'!W795&gt;=1,"D","F")))))))</f>
        <v/>
      </c>
      <c r="F795" s="3">
        <f>IF('Data Source'!B795="","",IF('Data Source'!X795&gt;=5,"A+",IF('Data Source'!X795&gt;=4,"A",IF('Data Source'!X795&gt;=3.5,"A-",IF('Data Source'!X795&gt;=3,"B",IF('Data Source'!X795&gt;=2,"C",IF('Data Source'!X795&gt;=1,"D","F")))))))</f>
        <v/>
      </c>
      <c r="G795" s="3">
        <f>IF('Data Source'!B795="","",IF('Data Source'!Y795&gt;=5,"A+",IF('Data Source'!Y795&gt;=4,"A",IF('Data Source'!Y795&gt;=3.5,"A-",IF('Data Source'!Y795&gt;=3,"B",IF('Data Source'!Y795&gt;=2,"C",IF('Data Source'!Y795&gt;=1,"D","F")))))))</f>
        <v/>
      </c>
      <c r="H795" s="3">
        <f>IF('Data Source'!B795="","",IF('Data Source'!Z795&gt;=5,"A+",IF('Data Source'!Z795&gt;=4,"A",IF('Data Source'!Z795&gt;=3.5,"A-",IF('Data Source'!Z795&gt;=3,"B",IF('Data Source'!Z795&gt;=2,"C",IF('Data Source'!Z795&gt;=1,"D","F")))))))</f>
        <v/>
      </c>
      <c r="I795" s="3">
        <f>IF('Data Source'!B795="","",IF('Data Source'!AA795&gt;=5,"A+",IF('Data Source'!AA795&gt;=4,"A",IF('Data Source'!AA795&gt;=3.5,"A-",IF('Data Source'!AA795&gt;=3,"B",IF('Data Source'!AA795&gt;=2,"C",IF('Data Source'!AA795&gt;=1,"D","F")))))))</f>
        <v/>
      </c>
      <c r="J795" s="3">
        <f>IF('Data Source'!B795="","",IF('Data Source'!AB795&gt;=5,"A+",IF('Data Source'!AB795&gt;=4,"A",IF('Data Source'!AB795&gt;=3.5,"A-",IF('Data Source'!AB795&gt;=3,"B",IF('Data Source'!AB795&gt;=2,"C",IF('Data Source'!AB795&gt;=1,"D","F")))))))</f>
        <v/>
      </c>
      <c r="K795" s="3">
        <f>IF('Data Source'!B795="","",IF('Data Source'!AC795&gt;=5,"A+",IF('Data Source'!AC795&gt;=4,"A",IF('Data Source'!AC795&gt;=3.5,"A-",IF('Data Source'!AC795&gt;=3,"B",IF('Data Source'!AC795&gt;=2,"C",IF('Data Source'!AC795&gt;=1,"D","F")))))))</f>
        <v/>
      </c>
      <c r="L795" s="3">
        <f>IF('Data Source'!B795="","",IF('Data Source'!AD795&gt;=5,"A+",IF('Data Source'!AD795&gt;=4,"A",IF('Data Source'!AD795&gt;=3.5,"A-",IF('Data Source'!AD795&gt;=3,"B",IF('Data Source'!AD795&gt;=2,"C",IF('Data Source'!AD795&gt;=1,"D","F")))))))</f>
        <v/>
      </c>
      <c r="M795" s="3">
        <f>IF('Data Source'!B795="","",IF('Data Source'!AE795&gt;=5,"A+",IF('Data Source'!AE795&gt;=4,"A",IF('Data Source'!AE795&gt;=3.5,"A-",IF('Data Source'!AE795&gt;=3,"B",IF('Data Source'!AE795&gt;=2,"C",IF('Data Source'!AE795&gt;=1,"D","F")))))))</f>
        <v/>
      </c>
      <c r="N795" s="3">
        <f>IF('Data Source'!B795="","",IF('Data Source'!AF795&gt;=5,"A+",IF('Data Source'!AF795&gt;=4,"A",IF('Data Source'!AF795&gt;=3.5,"A-",IF('Data Source'!AF795&gt;=3,"B",IF('Data Source'!AF795&gt;=2,"C",IF('Data Source'!AF795&gt;=1,"D","F")))))))</f>
        <v/>
      </c>
      <c r="O795" s="3">
        <f>IF('Data Source'!B795="","",IF('Data Source'!AG795&gt;=5,"A+",IF('Data Source'!AG795&gt;=4,"A",IF('Data Source'!AG795&gt;=3.5,"A-",IF('Data Source'!AG795&gt;=3,"B",IF('Data Source'!AG795&gt;=2,"C",IF('Data Source'!AG795&gt;=1,"D","F")))))))</f>
        <v/>
      </c>
      <c r="P795" s="5">
        <f>IF('Data Source'!B795="","",'Data Source'!R795)</f>
        <v/>
      </c>
      <c r="Q795" s="3">
        <f>IF('Data Source'!B795="","",'Data Source'!S795)</f>
        <v/>
      </c>
    </row>
    <row r="796">
      <c r="A796" s="3">
        <f>IF('Data Source'!B796="","",'Data Source'!A796)</f>
        <v/>
      </c>
      <c r="B796">
        <f>IF('Data Source'!B796="","",'Data Source'!B796)</f>
        <v/>
      </c>
      <c r="C796" s="3">
        <f>IF('Data Source'!B796="","",IF('Data Source'!U796&gt;=5,"A+",IF('Data Source'!U796&gt;=4,"A",IF('Data Source'!U796&gt;=3.5,"A-",IF('Data Source'!U796&gt;=3,"B",IF('Data Source'!U796&gt;=2,"C",IF('Data Source'!U796&gt;=1,"D","F")))))))</f>
        <v/>
      </c>
      <c r="D796" s="3">
        <f>IF('Data Source'!B796="","",IF('Data Source'!V796&gt;=5,"A+",IF('Data Source'!V796&gt;=4,"A",IF('Data Source'!V796&gt;=3.5,"A-",IF('Data Source'!V796&gt;=3,"B",IF('Data Source'!V796&gt;=2,"C",IF('Data Source'!V796&gt;=1,"D","F")))))))</f>
        <v/>
      </c>
      <c r="E796" s="3">
        <f>IF('Data Source'!B796="","",IF('Data Source'!W796&gt;=5,"A+",IF('Data Source'!W796&gt;=4,"A",IF('Data Source'!W796&gt;=3.5,"A-",IF('Data Source'!W796&gt;=3,"B",IF('Data Source'!W796&gt;=2,"C",IF('Data Source'!W796&gt;=1,"D","F")))))))</f>
        <v/>
      </c>
      <c r="F796" s="3">
        <f>IF('Data Source'!B796="","",IF('Data Source'!X796&gt;=5,"A+",IF('Data Source'!X796&gt;=4,"A",IF('Data Source'!X796&gt;=3.5,"A-",IF('Data Source'!X796&gt;=3,"B",IF('Data Source'!X796&gt;=2,"C",IF('Data Source'!X796&gt;=1,"D","F")))))))</f>
        <v/>
      </c>
      <c r="G796" s="3">
        <f>IF('Data Source'!B796="","",IF('Data Source'!Y796&gt;=5,"A+",IF('Data Source'!Y796&gt;=4,"A",IF('Data Source'!Y796&gt;=3.5,"A-",IF('Data Source'!Y796&gt;=3,"B",IF('Data Source'!Y796&gt;=2,"C",IF('Data Source'!Y796&gt;=1,"D","F")))))))</f>
        <v/>
      </c>
      <c r="H796" s="3">
        <f>IF('Data Source'!B796="","",IF('Data Source'!Z796&gt;=5,"A+",IF('Data Source'!Z796&gt;=4,"A",IF('Data Source'!Z796&gt;=3.5,"A-",IF('Data Source'!Z796&gt;=3,"B",IF('Data Source'!Z796&gt;=2,"C",IF('Data Source'!Z796&gt;=1,"D","F")))))))</f>
        <v/>
      </c>
      <c r="I796" s="3">
        <f>IF('Data Source'!B796="","",IF('Data Source'!AA796&gt;=5,"A+",IF('Data Source'!AA796&gt;=4,"A",IF('Data Source'!AA796&gt;=3.5,"A-",IF('Data Source'!AA796&gt;=3,"B",IF('Data Source'!AA796&gt;=2,"C",IF('Data Source'!AA796&gt;=1,"D","F")))))))</f>
        <v/>
      </c>
      <c r="J796" s="3">
        <f>IF('Data Source'!B796="","",IF('Data Source'!AB796&gt;=5,"A+",IF('Data Source'!AB796&gt;=4,"A",IF('Data Source'!AB796&gt;=3.5,"A-",IF('Data Source'!AB796&gt;=3,"B",IF('Data Source'!AB796&gt;=2,"C",IF('Data Source'!AB796&gt;=1,"D","F")))))))</f>
        <v/>
      </c>
      <c r="K796" s="3">
        <f>IF('Data Source'!B796="","",IF('Data Source'!AC796&gt;=5,"A+",IF('Data Source'!AC796&gt;=4,"A",IF('Data Source'!AC796&gt;=3.5,"A-",IF('Data Source'!AC796&gt;=3,"B",IF('Data Source'!AC796&gt;=2,"C",IF('Data Source'!AC796&gt;=1,"D","F")))))))</f>
        <v/>
      </c>
      <c r="L796" s="3">
        <f>IF('Data Source'!B796="","",IF('Data Source'!AD796&gt;=5,"A+",IF('Data Source'!AD796&gt;=4,"A",IF('Data Source'!AD796&gt;=3.5,"A-",IF('Data Source'!AD796&gt;=3,"B",IF('Data Source'!AD796&gt;=2,"C",IF('Data Source'!AD796&gt;=1,"D","F")))))))</f>
        <v/>
      </c>
      <c r="M796" s="3">
        <f>IF('Data Source'!B796="","",IF('Data Source'!AE796&gt;=5,"A+",IF('Data Source'!AE796&gt;=4,"A",IF('Data Source'!AE796&gt;=3.5,"A-",IF('Data Source'!AE796&gt;=3,"B",IF('Data Source'!AE796&gt;=2,"C",IF('Data Source'!AE796&gt;=1,"D","F")))))))</f>
        <v/>
      </c>
      <c r="N796" s="3">
        <f>IF('Data Source'!B796="","",IF('Data Source'!AF796&gt;=5,"A+",IF('Data Source'!AF796&gt;=4,"A",IF('Data Source'!AF796&gt;=3.5,"A-",IF('Data Source'!AF796&gt;=3,"B",IF('Data Source'!AF796&gt;=2,"C",IF('Data Source'!AF796&gt;=1,"D","F")))))))</f>
        <v/>
      </c>
      <c r="O796" s="3">
        <f>IF('Data Source'!B796="","",IF('Data Source'!AG796&gt;=5,"A+",IF('Data Source'!AG796&gt;=4,"A",IF('Data Source'!AG796&gt;=3.5,"A-",IF('Data Source'!AG796&gt;=3,"B",IF('Data Source'!AG796&gt;=2,"C",IF('Data Source'!AG796&gt;=1,"D","F")))))))</f>
        <v/>
      </c>
      <c r="P796" s="5">
        <f>IF('Data Source'!B796="","",'Data Source'!R796)</f>
        <v/>
      </c>
      <c r="Q796" s="3">
        <f>IF('Data Source'!B796="","",'Data Source'!S796)</f>
        <v/>
      </c>
    </row>
    <row r="797">
      <c r="A797" s="3">
        <f>IF('Data Source'!B797="","",'Data Source'!A797)</f>
        <v/>
      </c>
      <c r="B797">
        <f>IF('Data Source'!B797="","",'Data Source'!B797)</f>
        <v/>
      </c>
      <c r="C797" s="3">
        <f>IF('Data Source'!B797="","",IF('Data Source'!U797&gt;=5,"A+",IF('Data Source'!U797&gt;=4,"A",IF('Data Source'!U797&gt;=3.5,"A-",IF('Data Source'!U797&gt;=3,"B",IF('Data Source'!U797&gt;=2,"C",IF('Data Source'!U797&gt;=1,"D","F")))))))</f>
        <v/>
      </c>
      <c r="D797" s="3">
        <f>IF('Data Source'!B797="","",IF('Data Source'!V797&gt;=5,"A+",IF('Data Source'!V797&gt;=4,"A",IF('Data Source'!V797&gt;=3.5,"A-",IF('Data Source'!V797&gt;=3,"B",IF('Data Source'!V797&gt;=2,"C",IF('Data Source'!V797&gt;=1,"D","F")))))))</f>
        <v/>
      </c>
      <c r="E797" s="3">
        <f>IF('Data Source'!B797="","",IF('Data Source'!W797&gt;=5,"A+",IF('Data Source'!W797&gt;=4,"A",IF('Data Source'!W797&gt;=3.5,"A-",IF('Data Source'!W797&gt;=3,"B",IF('Data Source'!W797&gt;=2,"C",IF('Data Source'!W797&gt;=1,"D","F")))))))</f>
        <v/>
      </c>
      <c r="F797" s="3">
        <f>IF('Data Source'!B797="","",IF('Data Source'!X797&gt;=5,"A+",IF('Data Source'!X797&gt;=4,"A",IF('Data Source'!X797&gt;=3.5,"A-",IF('Data Source'!X797&gt;=3,"B",IF('Data Source'!X797&gt;=2,"C",IF('Data Source'!X797&gt;=1,"D","F")))))))</f>
        <v/>
      </c>
      <c r="G797" s="3">
        <f>IF('Data Source'!B797="","",IF('Data Source'!Y797&gt;=5,"A+",IF('Data Source'!Y797&gt;=4,"A",IF('Data Source'!Y797&gt;=3.5,"A-",IF('Data Source'!Y797&gt;=3,"B",IF('Data Source'!Y797&gt;=2,"C",IF('Data Source'!Y797&gt;=1,"D","F")))))))</f>
        <v/>
      </c>
      <c r="H797" s="3">
        <f>IF('Data Source'!B797="","",IF('Data Source'!Z797&gt;=5,"A+",IF('Data Source'!Z797&gt;=4,"A",IF('Data Source'!Z797&gt;=3.5,"A-",IF('Data Source'!Z797&gt;=3,"B",IF('Data Source'!Z797&gt;=2,"C",IF('Data Source'!Z797&gt;=1,"D","F")))))))</f>
        <v/>
      </c>
      <c r="I797" s="3">
        <f>IF('Data Source'!B797="","",IF('Data Source'!AA797&gt;=5,"A+",IF('Data Source'!AA797&gt;=4,"A",IF('Data Source'!AA797&gt;=3.5,"A-",IF('Data Source'!AA797&gt;=3,"B",IF('Data Source'!AA797&gt;=2,"C",IF('Data Source'!AA797&gt;=1,"D","F")))))))</f>
        <v/>
      </c>
      <c r="J797" s="3">
        <f>IF('Data Source'!B797="","",IF('Data Source'!AB797&gt;=5,"A+",IF('Data Source'!AB797&gt;=4,"A",IF('Data Source'!AB797&gt;=3.5,"A-",IF('Data Source'!AB797&gt;=3,"B",IF('Data Source'!AB797&gt;=2,"C",IF('Data Source'!AB797&gt;=1,"D","F")))))))</f>
        <v/>
      </c>
      <c r="K797" s="3">
        <f>IF('Data Source'!B797="","",IF('Data Source'!AC797&gt;=5,"A+",IF('Data Source'!AC797&gt;=4,"A",IF('Data Source'!AC797&gt;=3.5,"A-",IF('Data Source'!AC797&gt;=3,"B",IF('Data Source'!AC797&gt;=2,"C",IF('Data Source'!AC797&gt;=1,"D","F")))))))</f>
        <v/>
      </c>
      <c r="L797" s="3">
        <f>IF('Data Source'!B797="","",IF('Data Source'!AD797&gt;=5,"A+",IF('Data Source'!AD797&gt;=4,"A",IF('Data Source'!AD797&gt;=3.5,"A-",IF('Data Source'!AD797&gt;=3,"B",IF('Data Source'!AD797&gt;=2,"C",IF('Data Source'!AD797&gt;=1,"D","F")))))))</f>
        <v/>
      </c>
      <c r="M797" s="3">
        <f>IF('Data Source'!B797="","",IF('Data Source'!AE797&gt;=5,"A+",IF('Data Source'!AE797&gt;=4,"A",IF('Data Source'!AE797&gt;=3.5,"A-",IF('Data Source'!AE797&gt;=3,"B",IF('Data Source'!AE797&gt;=2,"C",IF('Data Source'!AE797&gt;=1,"D","F")))))))</f>
        <v/>
      </c>
      <c r="N797" s="3">
        <f>IF('Data Source'!B797="","",IF('Data Source'!AF797&gt;=5,"A+",IF('Data Source'!AF797&gt;=4,"A",IF('Data Source'!AF797&gt;=3.5,"A-",IF('Data Source'!AF797&gt;=3,"B",IF('Data Source'!AF797&gt;=2,"C",IF('Data Source'!AF797&gt;=1,"D","F")))))))</f>
        <v/>
      </c>
      <c r="O797" s="3">
        <f>IF('Data Source'!B797="","",IF('Data Source'!AG797&gt;=5,"A+",IF('Data Source'!AG797&gt;=4,"A",IF('Data Source'!AG797&gt;=3.5,"A-",IF('Data Source'!AG797&gt;=3,"B",IF('Data Source'!AG797&gt;=2,"C",IF('Data Source'!AG797&gt;=1,"D","F")))))))</f>
        <v/>
      </c>
      <c r="P797" s="5">
        <f>IF('Data Source'!B797="","",'Data Source'!R797)</f>
        <v/>
      </c>
      <c r="Q797" s="3">
        <f>IF('Data Source'!B797="","",'Data Source'!S797)</f>
        <v/>
      </c>
    </row>
    <row r="798">
      <c r="A798" s="3">
        <f>IF('Data Source'!B798="","",'Data Source'!A798)</f>
        <v/>
      </c>
      <c r="B798">
        <f>IF('Data Source'!B798="","",'Data Source'!B798)</f>
        <v/>
      </c>
      <c r="C798" s="3">
        <f>IF('Data Source'!B798="","",IF('Data Source'!U798&gt;=5,"A+",IF('Data Source'!U798&gt;=4,"A",IF('Data Source'!U798&gt;=3.5,"A-",IF('Data Source'!U798&gt;=3,"B",IF('Data Source'!U798&gt;=2,"C",IF('Data Source'!U798&gt;=1,"D","F")))))))</f>
        <v/>
      </c>
      <c r="D798" s="3">
        <f>IF('Data Source'!B798="","",IF('Data Source'!V798&gt;=5,"A+",IF('Data Source'!V798&gt;=4,"A",IF('Data Source'!V798&gt;=3.5,"A-",IF('Data Source'!V798&gt;=3,"B",IF('Data Source'!V798&gt;=2,"C",IF('Data Source'!V798&gt;=1,"D","F")))))))</f>
        <v/>
      </c>
      <c r="E798" s="3">
        <f>IF('Data Source'!B798="","",IF('Data Source'!W798&gt;=5,"A+",IF('Data Source'!W798&gt;=4,"A",IF('Data Source'!W798&gt;=3.5,"A-",IF('Data Source'!W798&gt;=3,"B",IF('Data Source'!W798&gt;=2,"C",IF('Data Source'!W798&gt;=1,"D","F")))))))</f>
        <v/>
      </c>
      <c r="F798" s="3">
        <f>IF('Data Source'!B798="","",IF('Data Source'!X798&gt;=5,"A+",IF('Data Source'!X798&gt;=4,"A",IF('Data Source'!X798&gt;=3.5,"A-",IF('Data Source'!X798&gt;=3,"B",IF('Data Source'!X798&gt;=2,"C",IF('Data Source'!X798&gt;=1,"D","F")))))))</f>
        <v/>
      </c>
      <c r="G798" s="3">
        <f>IF('Data Source'!B798="","",IF('Data Source'!Y798&gt;=5,"A+",IF('Data Source'!Y798&gt;=4,"A",IF('Data Source'!Y798&gt;=3.5,"A-",IF('Data Source'!Y798&gt;=3,"B",IF('Data Source'!Y798&gt;=2,"C",IF('Data Source'!Y798&gt;=1,"D","F")))))))</f>
        <v/>
      </c>
      <c r="H798" s="3">
        <f>IF('Data Source'!B798="","",IF('Data Source'!Z798&gt;=5,"A+",IF('Data Source'!Z798&gt;=4,"A",IF('Data Source'!Z798&gt;=3.5,"A-",IF('Data Source'!Z798&gt;=3,"B",IF('Data Source'!Z798&gt;=2,"C",IF('Data Source'!Z798&gt;=1,"D","F")))))))</f>
        <v/>
      </c>
      <c r="I798" s="3">
        <f>IF('Data Source'!B798="","",IF('Data Source'!AA798&gt;=5,"A+",IF('Data Source'!AA798&gt;=4,"A",IF('Data Source'!AA798&gt;=3.5,"A-",IF('Data Source'!AA798&gt;=3,"B",IF('Data Source'!AA798&gt;=2,"C",IF('Data Source'!AA798&gt;=1,"D","F")))))))</f>
        <v/>
      </c>
      <c r="J798" s="3">
        <f>IF('Data Source'!B798="","",IF('Data Source'!AB798&gt;=5,"A+",IF('Data Source'!AB798&gt;=4,"A",IF('Data Source'!AB798&gt;=3.5,"A-",IF('Data Source'!AB798&gt;=3,"B",IF('Data Source'!AB798&gt;=2,"C",IF('Data Source'!AB798&gt;=1,"D","F")))))))</f>
        <v/>
      </c>
      <c r="K798" s="3">
        <f>IF('Data Source'!B798="","",IF('Data Source'!AC798&gt;=5,"A+",IF('Data Source'!AC798&gt;=4,"A",IF('Data Source'!AC798&gt;=3.5,"A-",IF('Data Source'!AC798&gt;=3,"B",IF('Data Source'!AC798&gt;=2,"C",IF('Data Source'!AC798&gt;=1,"D","F")))))))</f>
        <v/>
      </c>
      <c r="L798" s="3">
        <f>IF('Data Source'!B798="","",IF('Data Source'!AD798&gt;=5,"A+",IF('Data Source'!AD798&gt;=4,"A",IF('Data Source'!AD798&gt;=3.5,"A-",IF('Data Source'!AD798&gt;=3,"B",IF('Data Source'!AD798&gt;=2,"C",IF('Data Source'!AD798&gt;=1,"D","F")))))))</f>
        <v/>
      </c>
      <c r="M798" s="3">
        <f>IF('Data Source'!B798="","",IF('Data Source'!AE798&gt;=5,"A+",IF('Data Source'!AE798&gt;=4,"A",IF('Data Source'!AE798&gt;=3.5,"A-",IF('Data Source'!AE798&gt;=3,"B",IF('Data Source'!AE798&gt;=2,"C",IF('Data Source'!AE798&gt;=1,"D","F")))))))</f>
        <v/>
      </c>
      <c r="N798" s="3">
        <f>IF('Data Source'!B798="","",IF('Data Source'!AF798&gt;=5,"A+",IF('Data Source'!AF798&gt;=4,"A",IF('Data Source'!AF798&gt;=3.5,"A-",IF('Data Source'!AF798&gt;=3,"B",IF('Data Source'!AF798&gt;=2,"C",IF('Data Source'!AF798&gt;=1,"D","F")))))))</f>
        <v/>
      </c>
      <c r="O798" s="3">
        <f>IF('Data Source'!B798="","",IF('Data Source'!AG798&gt;=5,"A+",IF('Data Source'!AG798&gt;=4,"A",IF('Data Source'!AG798&gt;=3.5,"A-",IF('Data Source'!AG798&gt;=3,"B",IF('Data Source'!AG798&gt;=2,"C",IF('Data Source'!AG798&gt;=1,"D","F")))))))</f>
        <v/>
      </c>
      <c r="P798" s="5">
        <f>IF('Data Source'!B798="","",'Data Source'!R798)</f>
        <v/>
      </c>
      <c r="Q798" s="3">
        <f>IF('Data Source'!B798="","",'Data Source'!S798)</f>
        <v/>
      </c>
    </row>
    <row r="799">
      <c r="A799" s="3">
        <f>IF('Data Source'!B799="","",'Data Source'!A799)</f>
        <v/>
      </c>
      <c r="B799">
        <f>IF('Data Source'!B799="","",'Data Source'!B799)</f>
        <v/>
      </c>
      <c r="C799" s="3">
        <f>IF('Data Source'!B799="","",IF('Data Source'!U799&gt;=5,"A+",IF('Data Source'!U799&gt;=4,"A",IF('Data Source'!U799&gt;=3.5,"A-",IF('Data Source'!U799&gt;=3,"B",IF('Data Source'!U799&gt;=2,"C",IF('Data Source'!U799&gt;=1,"D","F")))))))</f>
        <v/>
      </c>
      <c r="D799" s="3">
        <f>IF('Data Source'!B799="","",IF('Data Source'!V799&gt;=5,"A+",IF('Data Source'!V799&gt;=4,"A",IF('Data Source'!V799&gt;=3.5,"A-",IF('Data Source'!V799&gt;=3,"B",IF('Data Source'!V799&gt;=2,"C",IF('Data Source'!V799&gt;=1,"D","F")))))))</f>
        <v/>
      </c>
      <c r="E799" s="3">
        <f>IF('Data Source'!B799="","",IF('Data Source'!W799&gt;=5,"A+",IF('Data Source'!W799&gt;=4,"A",IF('Data Source'!W799&gt;=3.5,"A-",IF('Data Source'!W799&gt;=3,"B",IF('Data Source'!W799&gt;=2,"C",IF('Data Source'!W799&gt;=1,"D","F")))))))</f>
        <v/>
      </c>
      <c r="F799" s="3">
        <f>IF('Data Source'!B799="","",IF('Data Source'!X799&gt;=5,"A+",IF('Data Source'!X799&gt;=4,"A",IF('Data Source'!X799&gt;=3.5,"A-",IF('Data Source'!X799&gt;=3,"B",IF('Data Source'!X799&gt;=2,"C",IF('Data Source'!X799&gt;=1,"D","F")))))))</f>
        <v/>
      </c>
      <c r="G799" s="3">
        <f>IF('Data Source'!B799="","",IF('Data Source'!Y799&gt;=5,"A+",IF('Data Source'!Y799&gt;=4,"A",IF('Data Source'!Y799&gt;=3.5,"A-",IF('Data Source'!Y799&gt;=3,"B",IF('Data Source'!Y799&gt;=2,"C",IF('Data Source'!Y799&gt;=1,"D","F")))))))</f>
        <v/>
      </c>
      <c r="H799" s="3">
        <f>IF('Data Source'!B799="","",IF('Data Source'!Z799&gt;=5,"A+",IF('Data Source'!Z799&gt;=4,"A",IF('Data Source'!Z799&gt;=3.5,"A-",IF('Data Source'!Z799&gt;=3,"B",IF('Data Source'!Z799&gt;=2,"C",IF('Data Source'!Z799&gt;=1,"D","F")))))))</f>
        <v/>
      </c>
      <c r="I799" s="3">
        <f>IF('Data Source'!B799="","",IF('Data Source'!AA799&gt;=5,"A+",IF('Data Source'!AA799&gt;=4,"A",IF('Data Source'!AA799&gt;=3.5,"A-",IF('Data Source'!AA799&gt;=3,"B",IF('Data Source'!AA799&gt;=2,"C",IF('Data Source'!AA799&gt;=1,"D","F")))))))</f>
        <v/>
      </c>
      <c r="J799" s="3">
        <f>IF('Data Source'!B799="","",IF('Data Source'!AB799&gt;=5,"A+",IF('Data Source'!AB799&gt;=4,"A",IF('Data Source'!AB799&gt;=3.5,"A-",IF('Data Source'!AB799&gt;=3,"B",IF('Data Source'!AB799&gt;=2,"C",IF('Data Source'!AB799&gt;=1,"D","F")))))))</f>
        <v/>
      </c>
      <c r="K799" s="3">
        <f>IF('Data Source'!B799="","",IF('Data Source'!AC799&gt;=5,"A+",IF('Data Source'!AC799&gt;=4,"A",IF('Data Source'!AC799&gt;=3.5,"A-",IF('Data Source'!AC799&gt;=3,"B",IF('Data Source'!AC799&gt;=2,"C",IF('Data Source'!AC799&gt;=1,"D","F")))))))</f>
        <v/>
      </c>
      <c r="L799" s="3">
        <f>IF('Data Source'!B799="","",IF('Data Source'!AD799&gt;=5,"A+",IF('Data Source'!AD799&gt;=4,"A",IF('Data Source'!AD799&gt;=3.5,"A-",IF('Data Source'!AD799&gt;=3,"B",IF('Data Source'!AD799&gt;=2,"C",IF('Data Source'!AD799&gt;=1,"D","F")))))))</f>
        <v/>
      </c>
      <c r="M799" s="3">
        <f>IF('Data Source'!B799="","",IF('Data Source'!AE799&gt;=5,"A+",IF('Data Source'!AE799&gt;=4,"A",IF('Data Source'!AE799&gt;=3.5,"A-",IF('Data Source'!AE799&gt;=3,"B",IF('Data Source'!AE799&gt;=2,"C",IF('Data Source'!AE799&gt;=1,"D","F")))))))</f>
        <v/>
      </c>
      <c r="N799" s="3">
        <f>IF('Data Source'!B799="","",IF('Data Source'!AF799&gt;=5,"A+",IF('Data Source'!AF799&gt;=4,"A",IF('Data Source'!AF799&gt;=3.5,"A-",IF('Data Source'!AF799&gt;=3,"B",IF('Data Source'!AF799&gt;=2,"C",IF('Data Source'!AF799&gt;=1,"D","F")))))))</f>
        <v/>
      </c>
      <c r="O799" s="3">
        <f>IF('Data Source'!B799="","",IF('Data Source'!AG799&gt;=5,"A+",IF('Data Source'!AG799&gt;=4,"A",IF('Data Source'!AG799&gt;=3.5,"A-",IF('Data Source'!AG799&gt;=3,"B",IF('Data Source'!AG799&gt;=2,"C",IF('Data Source'!AG799&gt;=1,"D","F")))))))</f>
        <v/>
      </c>
      <c r="P799" s="5">
        <f>IF('Data Source'!B799="","",'Data Source'!R799)</f>
        <v/>
      </c>
      <c r="Q799" s="3">
        <f>IF('Data Source'!B799="","",'Data Source'!S799)</f>
        <v/>
      </c>
    </row>
    <row r="800">
      <c r="A800" s="3">
        <f>IF('Data Source'!B800="","",'Data Source'!A800)</f>
        <v/>
      </c>
      <c r="B800">
        <f>IF('Data Source'!B800="","",'Data Source'!B800)</f>
        <v/>
      </c>
      <c r="C800" s="3">
        <f>IF('Data Source'!B800="","",IF('Data Source'!U800&gt;=5,"A+",IF('Data Source'!U800&gt;=4,"A",IF('Data Source'!U800&gt;=3.5,"A-",IF('Data Source'!U800&gt;=3,"B",IF('Data Source'!U800&gt;=2,"C",IF('Data Source'!U800&gt;=1,"D","F")))))))</f>
        <v/>
      </c>
      <c r="D800" s="3">
        <f>IF('Data Source'!B800="","",IF('Data Source'!V800&gt;=5,"A+",IF('Data Source'!V800&gt;=4,"A",IF('Data Source'!V800&gt;=3.5,"A-",IF('Data Source'!V800&gt;=3,"B",IF('Data Source'!V800&gt;=2,"C",IF('Data Source'!V800&gt;=1,"D","F")))))))</f>
        <v/>
      </c>
      <c r="E800" s="3">
        <f>IF('Data Source'!B800="","",IF('Data Source'!W800&gt;=5,"A+",IF('Data Source'!W800&gt;=4,"A",IF('Data Source'!W800&gt;=3.5,"A-",IF('Data Source'!W800&gt;=3,"B",IF('Data Source'!W800&gt;=2,"C",IF('Data Source'!W800&gt;=1,"D","F")))))))</f>
        <v/>
      </c>
      <c r="F800" s="3">
        <f>IF('Data Source'!B800="","",IF('Data Source'!X800&gt;=5,"A+",IF('Data Source'!X800&gt;=4,"A",IF('Data Source'!X800&gt;=3.5,"A-",IF('Data Source'!X800&gt;=3,"B",IF('Data Source'!X800&gt;=2,"C",IF('Data Source'!X800&gt;=1,"D","F")))))))</f>
        <v/>
      </c>
      <c r="G800" s="3">
        <f>IF('Data Source'!B800="","",IF('Data Source'!Y800&gt;=5,"A+",IF('Data Source'!Y800&gt;=4,"A",IF('Data Source'!Y800&gt;=3.5,"A-",IF('Data Source'!Y800&gt;=3,"B",IF('Data Source'!Y800&gt;=2,"C",IF('Data Source'!Y800&gt;=1,"D","F")))))))</f>
        <v/>
      </c>
      <c r="H800" s="3">
        <f>IF('Data Source'!B800="","",IF('Data Source'!Z800&gt;=5,"A+",IF('Data Source'!Z800&gt;=4,"A",IF('Data Source'!Z800&gt;=3.5,"A-",IF('Data Source'!Z800&gt;=3,"B",IF('Data Source'!Z800&gt;=2,"C",IF('Data Source'!Z800&gt;=1,"D","F")))))))</f>
        <v/>
      </c>
      <c r="I800" s="3">
        <f>IF('Data Source'!B800="","",IF('Data Source'!AA800&gt;=5,"A+",IF('Data Source'!AA800&gt;=4,"A",IF('Data Source'!AA800&gt;=3.5,"A-",IF('Data Source'!AA800&gt;=3,"B",IF('Data Source'!AA800&gt;=2,"C",IF('Data Source'!AA800&gt;=1,"D","F")))))))</f>
        <v/>
      </c>
      <c r="J800" s="3">
        <f>IF('Data Source'!B800="","",IF('Data Source'!AB800&gt;=5,"A+",IF('Data Source'!AB800&gt;=4,"A",IF('Data Source'!AB800&gt;=3.5,"A-",IF('Data Source'!AB800&gt;=3,"B",IF('Data Source'!AB800&gt;=2,"C",IF('Data Source'!AB800&gt;=1,"D","F")))))))</f>
        <v/>
      </c>
      <c r="K800" s="3">
        <f>IF('Data Source'!B800="","",IF('Data Source'!AC800&gt;=5,"A+",IF('Data Source'!AC800&gt;=4,"A",IF('Data Source'!AC800&gt;=3.5,"A-",IF('Data Source'!AC800&gt;=3,"B",IF('Data Source'!AC800&gt;=2,"C",IF('Data Source'!AC800&gt;=1,"D","F")))))))</f>
        <v/>
      </c>
      <c r="L800" s="3">
        <f>IF('Data Source'!B800="","",IF('Data Source'!AD800&gt;=5,"A+",IF('Data Source'!AD800&gt;=4,"A",IF('Data Source'!AD800&gt;=3.5,"A-",IF('Data Source'!AD800&gt;=3,"B",IF('Data Source'!AD800&gt;=2,"C",IF('Data Source'!AD800&gt;=1,"D","F")))))))</f>
        <v/>
      </c>
      <c r="M800" s="3">
        <f>IF('Data Source'!B800="","",IF('Data Source'!AE800&gt;=5,"A+",IF('Data Source'!AE800&gt;=4,"A",IF('Data Source'!AE800&gt;=3.5,"A-",IF('Data Source'!AE800&gt;=3,"B",IF('Data Source'!AE800&gt;=2,"C",IF('Data Source'!AE800&gt;=1,"D","F")))))))</f>
        <v/>
      </c>
      <c r="N800" s="3">
        <f>IF('Data Source'!B800="","",IF('Data Source'!AF800&gt;=5,"A+",IF('Data Source'!AF800&gt;=4,"A",IF('Data Source'!AF800&gt;=3.5,"A-",IF('Data Source'!AF800&gt;=3,"B",IF('Data Source'!AF800&gt;=2,"C",IF('Data Source'!AF800&gt;=1,"D","F")))))))</f>
        <v/>
      </c>
      <c r="O800" s="3">
        <f>IF('Data Source'!B800="","",IF('Data Source'!AG800&gt;=5,"A+",IF('Data Source'!AG800&gt;=4,"A",IF('Data Source'!AG800&gt;=3.5,"A-",IF('Data Source'!AG800&gt;=3,"B",IF('Data Source'!AG800&gt;=2,"C",IF('Data Source'!AG800&gt;=1,"D","F")))))))</f>
        <v/>
      </c>
      <c r="P800" s="5">
        <f>IF('Data Source'!B800="","",'Data Source'!R800)</f>
        <v/>
      </c>
      <c r="Q800" s="3">
        <f>IF('Data Source'!B800="","",'Data Source'!S800)</f>
        <v/>
      </c>
    </row>
    <row r="801">
      <c r="A801" s="3">
        <f>IF('Data Source'!B801="","",'Data Source'!A801)</f>
        <v/>
      </c>
      <c r="B801">
        <f>IF('Data Source'!B801="","",'Data Source'!B801)</f>
        <v/>
      </c>
      <c r="C801" s="3">
        <f>IF('Data Source'!B801="","",IF('Data Source'!U801&gt;=5,"A+",IF('Data Source'!U801&gt;=4,"A",IF('Data Source'!U801&gt;=3.5,"A-",IF('Data Source'!U801&gt;=3,"B",IF('Data Source'!U801&gt;=2,"C",IF('Data Source'!U801&gt;=1,"D","F")))))))</f>
        <v/>
      </c>
      <c r="D801" s="3">
        <f>IF('Data Source'!B801="","",IF('Data Source'!V801&gt;=5,"A+",IF('Data Source'!V801&gt;=4,"A",IF('Data Source'!V801&gt;=3.5,"A-",IF('Data Source'!V801&gt;=3,"B",IF('Data Source'!V801&gt;=2,"C",IF('Data Source'!V801&gt;=1,"D","F")))))))</f>
        <v/>
      </c>
      <c r="E801" s="3">
        <f>IF('Data Source'!B801="","",IF('Data Source'!W801&gt;=5,"A+",IF('Data Source'!W801&gt;=4,"A",IF('Data Source'!W801&gt;=3.5,"A-",IF('Data Source'!W801&gt;=3,"B",IF('Data Source'!W801&gt;=2,"C",IF('Data Source'!W801&gt;=1,"D","F")))))))</f>
        <v/>
      </c>
      <c r="F801" s="3">
        <f>IF('Data Source'!B801="","",IF('Data Source'!X801&gt;=5,"A+",IF('Data Source'!X801&gt;=4,"A",IF('Data Source'!X801&gt;=3.5,"A-",IF('Data Source'!X801&gt;=3,"B",IF('Data Source'!X801&gt;=2,"C",IF('Data Source'!X801&gt;=1,"D","F")))))))</f>
        <v/>
      </c>
      <c r="G801" s="3">
        <f>IF('Data Source'!B801="","",IF('Data Source'!Y801&gt;=5,"A+",IF('Data Source'!Y801&gt;=4,"A",IF('Data Source'!Y801&gt;=3.5,"A-",IF('Data Source'!Y801&gt;=3,"B",IF('Data Source'!Y801&gt;=2,"C",IF('Data Source'!Y801&gt;=1,"D","F")))))))</f>
        <v/>
      </c>
      <c r="H801" s="3">
        <f>IF('Data Source'!B801="","",IF('Data Source'!Z801&gt;=5,"A+",IF('Data Source'!Z801&gt;=4,"A",IF('Data Source'!Z801&gt;=3.5,"A-",IF('Data Source'!Z801&gt;=3,"B",IF('Data Source'!Z801&gt;=2,"C",IF('Data Source'!Z801&gt;=1,"D","F")))))))</f>
        <v/>
      </c>
      <c r="I801" s="3">
        <f>IF('Data Source'!B801="","",IF('Data Source'!AA801&gt;=5,"A+",IF('Data Source'!AA801&gt;=4,"A",IF('Data Source'!AA801&gt;=3.5,"A-",IF('Data Source'!AA801&gt;=3,"B",IF('Data Source'!AA801&gt;=2,"C",IF('Data Source'!AA801&gt;=1,"D","F")))))))</f>
        <v/>
      </c>
      <c r="J801" s="3">
        <f>IF('Data Source'!B801="","",IF('Data Source'!AB801&gt;=5,"A+",IF('Data Source'!AB801&gt;=4,"A",IF('Data Source'!AB801&gt;=3.5,"A-",IF('Data Source'!AB801&gt;=3,"B",IF('Data Source'!AB801&gt;=2,"C",IF('Data Source'!AB801&gt;=1,"D","F")))))))</f>
        <v/>
      </c>
      <c r="K801" s="3">
        <f>IF('Data Source'!B801="","",IF('Data Source'!AC801&gt;=5,"A+",IF('Data Source'!AC801&gt;=4,"A",IF('Data Source'!AC801&gt;=3.5,"A-",IF('Data Source'!AC801&gt;=3,"B",IF('Data Source'!AC801&gt;=2,"C",IF('Data Source'!AC801&gt;=1,"D","F")))))))</f>
        <v/>
      </c>
      <c r="L801" s="3">
        <f>IF('Data Source'!B801="","",IF('Data Source'!AD801&gt;=5,"A+",IF('Data Source'!AD801&gt;=4,"A",IF('Data Source'!AD801&gt;=3.5,"A-",IF('Data Source'!AD801&gt;=3,"B",IF('Data Source'!AD801&gt;=2,"C",IF('Data Source'!AD801&gt;=1,"D","F")))))))</f>
        <v/>
      </c>
      <c r="M801" s="3">
        <f>IF('Data Source'!B801="","",IF('Data Source'!AE801&gt;=5,"A+",IF('Data Source'!AE801&gt;=4,"A",IF('Data Source'!AE801&gt;=3.5,"A-",IF('Data Source'!AE801&gt;=3,"B",IF('Data Source'!AE801&gt;=2,"C",IF('Data Source'!AE801&gt;=1,"D","F")))))))</f>
        <v/>
      </c>
      <c r="N801" s="3">
        <f>IF('Data Source'!B801="","",IF('Data Source'!AF801&gt;=5,"A+",IF('Data Source'!AF801&gt;=4,"A",IF('Data Source'!AF801&gt;=3.5,"A-",IF('Data Source'!AF801&gt;=3,"B",IF('Data Source'!AF801&gt;=2,"C",IF('Data Source'!AF801&gt;=1,"D","F")))))))</f>
        <v/>
      </c>
      <c r="O801" s="3">
        <f>IF('Data Source'!B801="","",IF('Data Source'!AG801&gt;=5,"A+",IF('Data Source'!AG801&gt;=4,"A",IF('Data Source'!AG801&gt;=3.5,"A-",IF('Data Source'!AG801&gt;=3,"B",IF('Data Source'!AG801&gt;=2,"C",IF('Data Source'!AG801&gt;=1,"D","F")))))))</f>
        <v/>
      </c>
      <c r="P801" s="5">
        <f>IF('Data Source'!B801="","",'Data Source'!R801)</f>
        <v/>
      </c>
      <c r="Q801" s="3">
        <f>IF('Data Source'!B801="","",'Data Source'!S801)</f>
        <v/>
      </c>
    </row>
    <row r="802">
      <c r="A802" s="3">
        <f>IF('Data Source'!B802="","",'Data Source'!A802)</f>
        <v/>
      </c>
      <c r="B802">
        <f>IF('Data Source'!B802="","",'Data Source'!B802)</f>
        <v/>
      </c>
      <c r="C802" s="3">
        <f>IF('Data Source'!B802="","",IF('Data Source'!U802&gt;=5,"A+",IF('Data Source'!U802&gt;=4,"A",IF('Data Source'!U802&gt;=3.5,"A-",IF('Data Source'!U802&gt;=3,"B",IF('Data Source'!U802&gt;=2,"C",IF('Data Source'!U802&gt;=1,"D","F")))))))</f>
        <v/>
      </c>
      <c r="D802" s="3">
        <f>IF('Data Source'!B802="","",IF('Data Source'!V802&gt;=5,"A+",IF('Data Source'!V802&gt;=4,"A",IF('Data Source'!V802&gt;=3.5,"A-",IF('Data Source'!V802&gt;=3,"B",IF('Data Source'!V802&gt;=2,"C",IF('Data Source'!V802&gt;=1,"D","F")))))))</f>
        <v/>
      </c>
      <c r="E802" s="3">
        <f>IF('Data Source'!B802="","",IF('Data Source'!W802&gt;=5,"A+",IF('Data Source'!W802&gt;=4,"A",IF('Data Source'!W802&gt;=3.5,"A-",IF('Data Source'!W802&gt;=3,"B",IF('Data Source'!W802&gt;=2,"C",IF('Data Source'!W802&gt;=1,"D","F")))))))</f>
        <v/>
      </c>
      <c r="F802" s="3">
        <f>IF('Data Source'!B802="","",IF('Data Source'!X802&gt;=5,"A+",IF('Data Source'!X802&gt;=4,"A",IF('Data Source'!X802&gt;=3.5,"A-",IF('Data Source'!X802&gt;=3,"B",IF('Data Source'!X802&gt;=2,"C",IF('Data Source'!X802&gt;=1,"D","F")))))))</f>
        <v/>
      </c>
      <c r="G802" s="3">
        <f>IF('Data Source'!B802="","",IF('Data Source'!Y802&gt;=5,"A+",IF('Data Source'!Y802&gt;=4,"A",IF('Data Source'!Y802&gt;=3.5,"A-",IF('Data Source'!Y802&gt;=3,"B",IF('Data Source'!Y802&gt;=2,"C",IF('Data Source'!Y802&gt;=1,"D","F")))))))</f>
        <v/>
      </c>
      <c r="H802" s="3">
        <f>IF('Data Source'!B802="","",IF('Data Source'!Z802&gt;=5,"A+",IF('Data Source'!Z802&gt;=4,"A",IF('Data Source'!Z802&gt;=3.5,"A-",IF('Data Source'!Z802&gt;=3,"B",IF('Data Source'!Z802&gt;=2,"C",IF('Data Source'!Z802&gt;=1,"D","F")))))))</f>
        <v/>
      </c>
      <c r="I802" s="3">
        <f>IF('Data Source'!B802="","",IF('Data Source'!AA802&gt;=5,"A+",IF('Data Source'!AA802&gt;=4,"A",IF('Data Source'!AA802&gt;=3.5,"A-",IF('Data Source'!AA802&gt;=3,"B",IF('Data Source'!AA802&gt;=2,"C",IF('Data Source'!AA802&gt;=1,"D","F")))))))</f>
        <v/>
      </c>
      <c r="J802" s="3">
        <f>IF('Data Source'!B802="","",IF('Data Source'!AB802&gt;=5,"A+",IF('Data Source'!AB802&gt;=4,"A",IF('Data Source'!AB802&gt;=3.5,"A-",IF('Data Source'!AB802&gt;=3,"B",IF('Data Source'!AB802&gt;=2,"C",IF('Data Source'!AB802&gt;=1,"D","F")))))))</f>
        <v/>
      </c>
      <c r="K802" s="3">
        <f>IF('Data Source'!B802="","",IF('Data Source'!AC802&gt;=5,"A+",IF('Data Source'!AC802&gt;=4,"A",IF('Data Source'!AC802&gt;=3.5,"A-",IF('Data Source'!AC802&gt;=3,"B",IF('Data Source'!AC802&gt;=2,"C",IF('Data Source'!AC802&gt;=1,"D","F")))))))</f>
        <v/>
      </c>
      <c r="L802" s="3">
        <f>IF('Data Source'!B802="","",IF('Data Source'!AD802&gt;=5,"A+",IF('Data Source'!AD802&gt;=4,"A",IF('Data Source'!AD802&gt;=3.5,"A-",IF('Data Source'!AD802&gt;=3,"B",IF('Data Source'!AD802&gt;=2,"C",IF('Data Source'!AD802&gt;=1,"D","F")))))))</f>
        <v/>
      </c>
      <c r="M802" s="3">
        <f>IF('Data Source'!B802="","",IF('Data Source'!AE802&gt;=5,"A+",IF('Data Source'!AE802&gt;=4,"A",IF('Data Source'!AE802&gt;=3.5,"A-",IF('Data Source'!AE802&gt;=3,"B",IF('Data Source'!AE802&gt;=2,"C",IF('Data Source'!AE802&gt;=1,"D","F")))))))</f>
        <v/>
      </c>
      <c r="N802" s="3">
        <f>IF('Data Source'!B802="","",IF('Data Source'!AF802&gt;=5,"A+",IF('Data Source'!AF802&gt;=4,"A",IF('Data Source'!AF802&gt;=3.5,"A-",IF('Data Source'!AF802&gt;=3,"B",IF('Data Source'!AF802&gt;=2,"C",IF('Data Source'!AF802&gt;=1,"D","F")))))))</f>
        <v/>
      </c>
      <c r="O802" s="3">
        <f>IF('Data Source'!B802="","",IF('Data Source'!AG802&gt;=5,"A+",IF('Data Source'!AG802&gt;=4,"A",IF('Data Source'!AG802&gt;=3.5,"A-",IF('Data Source'!AG802&gt;=3,"B",IF('Data Source'!AG802&gt;=2,"C",IF('Data Source'!AG802&gt;=1,"D","F")))))))</f>
        <v/>
      </c>
      <c r="P802" s="5">
        <f>IF('Data Source'!B802="","",'Data Source'!R802)</f>
        <v/>
      </c>
      <c r="Q802" s="3">
        <f>IF('Data Source'!B802="","",'Data Source'!S802)</f>
        <v/>
      </c>
    </row>
    <row r="803">
      <c r="A803" s="3">
        <f>IF('Data Source'!B803="","",'Data Source'!A803)</f>
        <v/>
      </c>
      <c r="B803">
        <f>IF('Data Source'!B803="","",'Data Source'!B803)</f>
        <v/>
      </c>
      <c r="C803" s="3">
        <f>IF('Data Source'!B803="","",IF('Data Source'!U803&gt;=5,"A+",IF('Data Source'!U803&gt;=4,"A",IF('Data Source'!U803&gt;=3.5,"A-",IF('Data Source'!U803&gt;=3,"B",IF('Data Source'!U803&gt;=2,"C",IF('Data Source'!U803&gt;=1,"D","F")))))))</f>
        <v/>
      </c>
      <c r="D803" s="3">
        <f>IF('Data Source'!B803="","",IF('Data Source'!V803&gt;=5,"A+",IF('Data Source'!V803&gt;=4,"A",IF('Data Source'!V803&gt;=3.5,"A-",IF('Data Source'!V803&gt;=3,"B",IF('Data Source'!V803&gt;=2,"C",IF('Data Source'!V803&gt;=1,"D","F")))))))</f>
        <v/>
      </c>
      <c r="E803" s="3">
        <f>IF('Data Source'!B803="","",IF('Data Source'!W803&gt;=5,"A+",IF('Data Source'!W803&gt;=4,"A",IF('Data Source'!W803&gt;=3.5,"A-",IF('Data Source'!W803&gt;=3,"B",IF('Data Source'!W803&gt;=2,"C",IF('Data Source'!W803&gt;=1,"D","F")))))))</f>
        <v/>
      </c>
      <c r="F803" s="3">
        <f>IF('Data Source'!B803="","",IF('Data Source'!X803&gt;=5,"A+",IF('Data Source'!X803&gt;=4,"A",IF('Data Source'!X803&gt;=3.5,"A-",IF('Data Source'!X803&gt;=3,"B",IF('Data Source'!X803&gt;=2,"C",IF('Data Source'!X803&gt;=1,"D","F")))))))</f>
        <v/>
      </c>
      <c r="G803" s="3">
        <f>IF('Data Source'!B803="","",IF('Data Source'!Y803&gt;=5,"A+",IF('Data Source'!Y803&gt;=4,"A",IF('Data Source'!Y803&gt;=3.5,"A-",IF('Data Source'!Y803&gt;=3,"B",IF('Data Source'!Y803&gt;=2,"C",IF('Data Source'!Y803&gt;=1,"D","F")))))))</f>
        <v/>
      </c>
      <c r="H803" s="3">
        <f>IF('Data Source'!B803="","",IF('Data Source'!Z803&gt;=5,"A+",IF('Data Source'!Z803&gt;=4,"A",IF('Data Source'!Z803&gt;=3.5,"A-",IF('Data Source'!Z803&gt;=3,"B",IF('Data Source'!Z803&gt;=2,"C",IF('Data Source'!Z803&gt;=1,"D","F")))))))</f>
        <v/>
      </c>
      <c r="I803" s="3">
        <f>IF('Data Source'!B803="","",IF('Data Source'!AA803&gt;=5,"A+",IF('Data Source'!AA803&gt;=4,"A",IF('Data Source'!AA803&gt;=3.5,"A-",IF('Data Source'!AA803&gt;=3,"B",IF('Data Source'!AA803&gt;=2,"C",IF('Data Source'!AA803&gt;=1,"D","F")))))))</f>
        <v/>
      </c>
      <c r="J803" s="3">
        <f>IF('Data Source'!B803="","",IF('Data Source'!AB803&gt;=5,"A+",IF('Data Source'!AB803&gt;=4,"A",IF('Data Source'!AB803&gt;=3.5,"A-",IF('Data Source'!AB803&gt;=3,"B",IF('Data Source'!AB803&gt;=2,"C",IF('Data Source'!AB803&gt;=1,"D","F")))))))</f>
        <v/>
      </c>
      <c r="K803" s="3">
        <f>IF('Data Source'!B803="","",IF('Data Source'!AC803&gt;=5,"A+",IF('Data Source'!AC803&gt;=4,"A",IF('Data Source'!AC803&gt;=3.5,"A-",IF('Data Source'!AC803&gt;=3,"B",IF('Data Source'!AC803&gt;=2,"C",IF('Data Source'!AC803&gt;=1,"D","F")))))))</f>
        <v/>
      </c>
      <c r="L803" s="3">
        <f>IF('Data Source'!B803="","",IF('Data Source'!AD803&gt;=5,"A+",IF('Data Source'!AD803&gt;=4,"A",IF('Data Source'!AD803&gt;=3.5,"A-",IF('Data Source'!AD803&gt;=3,"B",IF('Data Source'!AD803&gt;=2,"C",IF('Data Source'!AD803&gt;=1,"D","F")))))))</f>
        <v/>
      </c>
      <c r="M803" s="3">
        <f>IF('Data Source'!B803="","",IF('Data Source'!AE803&gt;=5,"A+",IF('Data Source'!AE803&gt;=4,"A",IF('Data Source'!AE803&gt;=3.5,"A-",IF('Data Source'!AE803&gt;=3,"B",IF('Data Source'!AE803&gt;=2,"C",IF('Data Source'!AE803&gt;=1,"D","F")))))))</f>
        <v/>
      </c>
      <c r="N803" s="3">
        <f>IF('Data Source'!B803="","",IF('Data Source'!AF803&gt;=5,"A+",IF('Data Source'!AF803&gt;=4,"A",IF('Data Source'!AF803&gt;=3.5,"A-",IF('Data Source'!AF803&gt;=3,"B",IF('Data Source'!AF803&gt;=2,"C",IF('Data Source'!AF803&gt;=1,"D","F")))))))</f>
        <v/>
      </c>
      <c r="O803" s="3">
        <f>IF('Data Source'!B803="","",IF('Data Source'!AG803&gt;=5,"A+",IF('Data Source'!AG803&gt;=4,"A",IF('Data Source'!AG803&gt;=3.5,"A-",IF('Data Source'!AG803&gt;=3,"B",IF('Data Source'!AG803&gt;=2,"C",IF('Data Source'!AG803&gt;=1,"D","F")))))))</f>
        <v/>
      </c>
      <c r="P803" s="5">
        <f>IF('Data Source'!B803="","",'Data Source'!R803)</f>
        <v/>
      </c>
      <c r="Q803" s="3">
        <f>IF('Data Source'!B803="","",'Data Source'!S803)</f>
        <v/>
      </c>
    </row>
    <row r="804">
      <c r="A804" s="3">
        <f>IF('Data Source'!B804="","",'Data Source'!A804)</f>
        <v/>
      </c>
      <c r="B804">
        <f>IF('Data Source'!B804="","",'Data Source'!B804)</f>
        <v/>
      </c>
      <c r="C804" s="3">
        <f>IF('Data Source'!B804="","",IF('Data Source'!U804&gt;=5,"A+",IF('Data Source'!U804&gt;=4,"A",IF('Data Source'!U804&gt;=3.5,"A-",IF('Data Source'!U804&gt;=3,"B",IF('Data Source'!U804&gt;=2,"C",IF('Data Source'!U804&gt;=1,"D","F")))))))</f>
        <v/>
      </c>
      <c r="D804" s="3">
        <f>IF('Data Source'!B804="","",IF('Data Source'!V804&gt;=5,"A+",IF('Data Source'!V804&gt;=4,"A",IF('Data Source'!V804&gt;=3.5,"A-",IF('Data Source'!V804&gt;=3,"B",IF('Data Source'!V804&gt;=2,"C",IF('Data Source'!V804&gt;=1,"D","F")))))))</f>
        <v/>
      </c>
      <c r="E804" s="3">
        <f>IF('Data Source'!B804="","",IF('Data Source'!W804&gt;=5,"A+",IF('Data Source'!W804&gt;=4,"A",IF('Data Source'!W804&gt;=3.5,"A-",IF('Data Source'!W804&gt;=3,"B",IF('Data Source'!W804&gt;=2,"C",IF('Data Source'!W804&gt;=1,"D","F")))))))</f>
        <v/>
      </c>
      <c r="F804" s="3">
        <f>IF('Data Source'!B804="","",IF('Data Source'!X804&gt;=5,"A+",IF('Data Source'!X804&gt;=4,"A",IF('Data Source'!X804&gt;=3.5,"A-",IF('Data Source'!X804&gt;=3,"B",IF('Data Source'!X804&gt;=2,"C",IF('Data Source'!X804&gt;=1,"D","F")))))))</f>
        <v/>
      </c>
      <c r="G804" s="3">
        <f>IF('Data Source'!B804="","",IF('Data Source'!Y804&gt;=5,"A+",IF('Data Source'!Y804&gt;=4,"A",IF('Data Source'!Y804&gt;=3.5,"A-",IF('Data Source'!Y804&gt;=3,"B",IF('Data Source'!Y804&gt;=2,"C",IF('Data Source'!Y804&gt;=1,"D","F")))))))</f>
        <v/>
      </c>
      <c r="H804" s="3">
        <f>IF('Data Source'!B804="","",IF('Data Source'!Z804&gt;=5,"A+",IF('Data Source'!Z804&gt;=4,"A",IF('Data Source'!Z804&gt;=3.5,"A-",IF('Data Source'!Z804&gt;=3,"B",IF('Data Source'!Z804&gt;=2,"C",IF('Data Source'!Z804&gt;=1,"D","F")))))))</f>
        <v/>
      </c>
      <c r="I804" s="3">
        <f>IF('Data Source'!B804="","",IF('Data Source'!AA804&gt;=5,"A+",IF('Data Source'!AA804&gt;=4,"A",IF('Data Source'!AA804&gt;=3.5,"A-",IF('Data Source'!AA804&gt;=3,"B",IF('Data Source'!AA804&gt;=2,"C",IF('Data Source'!AA804&gt;=1,"D","F")))))))</f>
        <v/>
      </c>
      <c r="J804" s="3">
        <f>IF('Data Source'!B804="","",IF('Data Source'!AB804&gt;=5,"A+",IF('Data Source'!AB804&gt;=4,"A",IF('Data Source'!AB804&gt;=3.5,"A-",IF('Data Source'!AB804&gt;=3,"B",IF('Data Source'!AB804&gt;=2,"C",IF('Data Source'!AB804&gt;=1,"D","F")))))))</f>
        <v/>
      </c>
      <c r="K804" s="3">
        <f>IF('Data Source'!B804="","",IF('Data Source'!AC804&gt;=5,"A+",IF('Data Source'!AC804&gt;=4,"A",IF('Data Source'!AC804&gt;=3.5,"A-",IF('Data Source'!AC804&gt;=3,"B",IF('Data Source'!AC804&gt;=2,"C",IF('Data Source'!AC804&gt;=1,"D","F")))))))</f>
        <v/>
      </c>
      <c r="L804" s="3">
        <f>IF('Data Source'!B804="","",IF('Data Source'!AD804&gt;=5,"A+",IF('Data Source'!AD804&gt;=4,"A",IF('Data Source'!AD804&gt;=3.5,"A-",IF('Data Source'!AD804&gt;=3,"B",IF('Data Source'!AD804&gt;=2,"C",IF('Data Source'!AD804&gt;=1,"D","F")))))))</f>
        <v/>
      </c>
      <c r="M804" s="3">
        <f>IF('Data Source'!B804="","",IF('Data Source'!AE804&gt;=5,"A+",IF('Data Source'!AE804&gt;=4,"A",IF('Data Source'!AE804&gt;=3.5,"A-",IF('Data Source'!AE804&gt;=3,"B",IF('Data Source'!AE804&gt;=2,"C",IF('Data Source'!AE804&gt;=1,"D","F")))))))</f>
        <v/>
      </c>
      <c r="N804" s="3">
        <f>IF('Data Source'!B804="","",IF('Data Source'!AF804&gt;=5,"A+",IF('Data Source'!AF804&gt;=4,"A",IF('Data Source'!AF804&gt;=3.5,"A-",IF('Data Source'!AF804&gt;=3,"B",IF('Data Source'!AF804&gt;=2,"C",IF('Data Source'!AF804&gt;=1,"D","F")))))))</f>
        <v/>
      </c>
      <c r="O804" s="3">
        <f>IF('Data Source'!B804="","",IF('Data Source'!AG804&gt;=5,"A+",IF('Data Source'!AG804&gt;=4,"A",IF('Data Source'!AG804&gt;=3.5,"A-",IF('Data Source'!AG804&gt;=3,"B",IF('Data Source'!AG804&gt;=2,"C",IF('Data Source'!AG804&gt;=1,"D","F")))))))</f>
        <v/>
      </c>
      <c r="P804" s="5">
        <f>IF('Data Source'!B804="","",'Data Source'!R804)</f>
        <v/>
      </c>
      <c r="Q804" s="3">
        <f>IF('Data Source'!B804="","",'Data Source'!S804)</f>
        <v/>
      </c>
    </row>
    <row r="805">
      <c r="A805" s="3">
        <f>IF('Data Source'!B805="","",'Data Source'!A805)</f>
        <v/>
      </c>
      <c r="B805">
        <f>IF('Data Source'!B805="","",'Data Source'!B805)</f>
        <v/>
      </c>
      <c r="C805" s="3">
        <f>IF('Data Source'!B805="","",IF('Data Source'!U805&gt;=5,"A+",IF('Data Source'!U805&gt;=4,"A",IF('Data Source'!U805&gt;=3.5,"A-",IF('Data Source'!U805&gt;=3,"B",IF('Data Source'!U805&gt;=2,"C",IF('Data Source'!U805&gt;=1,"D","F")))))))</f>
        <v/>
      </c>
      <c r="D805" s="3">
        <f>IF('Data Source'!B805="","",IF('Data Source'!V805&gt;=5,"A+",IF('Data Source'!V805&gt;=4,"A",IF('Data Source'!V805&gt;=3.5,"A-",IF('Data Source'!V805&gt;=3,"B",IF('Data Source'!V805&gt;=2,"C",IF('Data Source'!V805&gt;=1,"D","F")))))))</f>
        <v/>
      </c>
      <c r="E805" s="3">
        <f>IF('Data Source'!B805="","",IF('Data Source'!W805&gt;=5,"A+",IF('Data Source'!W805&gt;=4,"A",IF('Data Source'!W805&gt;=3.5,"A-",IF('Data Source'!W805&gt;=3,"B",IF('Data Source'!W805&gt;=2,"C",IF('Data Source'!W805&gt;=1,"D","F")))))))</f>
        <v/>
      </c>
      <c r="F805" s="3">
        <f>IF('Data Source'!B805="","",IF('Data Source'!X805&gt;=5,"A+",IF('Data Source'!X805&gt;=4,"A",IF('Data Source'!X805&gt;=3.5,"A-",IF('Data Source'!X805&gt;=3,"B",IF('Data Source'!X805&gt;=2,"C",IF('Data Source'!X805&gt;=1,"D","F")))))))</f>
        <v/>
      </c>
      <c r="G805" s="3">
        <f>IF('Data Source'!B805="","",IF('Data Source'!Y805&gt;=5,"A+",IF('Data Source'!Y805&gt;=4,"A",IF('Data Source'!Y805&gt;=3.5,"A-",IF('Data Source'!Y805&gt;=3,"B",IF('Data Source'!Y805&gt;=2,"C",IF('Data Source'!Y805&gt;=1,"D","F")))))))</f>
        <v/>
      </c>
      <c r="H805" s="3">
        <f>IF('Data Source'!B805="","",IF('Data Source'!Z805&gt;=5,"A+",IF('Data Source'!Z805&gt;=4,"A",IF('Data Source'!Z805&gt;=3.5,"A-",IF('Data Source'!Z805&gt;=3,"B",IF('Data Source'!Z805&gt;=2,"C",IF('Data Source'!Z805&gt;=1,"D","F")))))))</f>
        <v/>
      </c>
      <c r="I805" s="3">
        <f>IF('Data Source'!B805="","",IF('Data Source'!AA805&gt;=5,"A+",IF('Data Source'!AA805&gt;=4,"A",IF('Data Source'!AA805&gt;=3.5,"A-",IF('Data Source'!AA805&gt;=3,"B",IF('Data Source'!AA805&gt;=2,"C",IF('Data Source'!AA805&gt;=1,"D","F")))))))</f>
        <v/>
      </c>
      <c r="J805" s="3">
        <f>IF('Data Source'!B805="","",IF('Data Source'!AB805&gt;=5,"A+",IF('Data Source'!AB805&gt;=4,"A",IF('Data Source'!AB805&gt;=3.5,"A-",IF('Data Source'!AB805&gt;=3,"B",IF('Data Source'!AB805&gt;=2,"C",IF('Data Source'!AB805&gt;=1,"D","F")))))))</f>
        <v/>
      </c>
      <c r="K805" s="3">
        <f>IF('Data Source'!B805="","",IF('Data Source'!AC805&gt;=5,"A+",IF('Data Source'!AC805&gt;=4,"A",IF('Data Source'!AC805&gt;=3.5,"A-",IF('Data Source'!AC805&gt;=3,"B",IF('Data Source'!AC805&gt;=2,"C",IF('Data Source'!AC805&gt;=1,"D","F")))))))</f>
        <v/>
      </c>
      <c r="L805" s="3">
        <f>IF('Data Source'!B805="","",IF('Data Source'!AD805&gt;=5,"A+",IF('Data Source'!AD805&gt;=4,"A",IF('Data Source'!AD805&gt;=3.5,"A-",IF('Data Source'!AD805&gt;=3,"B",IF('Data Source'!AD805&gt;=2,"C",IF('Data Source'!AD805&gt;=1,"D","F")))))))</f>
        <v/>
      </c>
      <c r="M805" s="3">
        <f>IF('Data Source'!B805="","",IF('Data Source'!AE805&gt;=5,"A+",IF('Data Source'!AE805&gt;=4,"A",IF('Data Source'!AE805&gt;=3.5,"A-",IF('Data Source'!AE805&gt;=3,"B",IF('Data Source'!AE805&gt;=2,"C",IF('Data Source'!AE805&gt;=1,"D","F")))))))</f>
        <v/>
      </c>
      <c r="N805" s="3">
        <f>IF('Data Source'!B805="","",IF('Data Source'!AF805&gt;=5,"A+",IF('Data Source'!AF805&gt;=4,"A",IF('Data Source'!AF805&gt;=3.5,"A-",IF('Data Source'!AF805&gt;=3,"B",IF('Data Source'!AF805&gt;=2,"C",IF('Data Source'!AF805&gt;=1,"D","F")))))))</f>
        <v/>
      </c>
      <c r="O805" s="3">
        <f>IF('Data Source'!B805="","",IF('Data Source'!AG805&gt;=5,"A+",IF('Data Source'!AG805&gt;=4,"A",IF('Data Source'!AG805&gt;=3.5,"A-",IF('Data Source'!AG805&gt;=3,"B",IF('Data Source'!AG805&gt;=2,"C",IF('Data Source'!AG805&gt;=1,"D","F")))))))</f>
        <v/>
      </c>
      <c r="P805" s="5">
        <f>IF('Data Source'!B805="","",'Data Source'!R805)</f>
        <v/>
      </c>
      <c r="Q805" s="3">
        <f>IF('Data Source'!B805="","",'Data Source'!S805)</f>
        <v/>
      </c>
    </row>
    <row r="806">
      <c r="A806" s="3">
        <f>IF('Data Source'!B806="","",'Data Source'!A806)</f>
        <v/>
      </c>
      <c r="B806">
        <f>IF('Data Source'!B806="","",'Data Source'!B806)</f>
        <v/>
      </c>
      <c r="C806" s="3">
        <f>IF('Data Source'!B806="","",IF('Data Source'!U806&gt;=5,"A+",IF('Data Source'!U806&gt;=4,"A",IF('Data Source'!U806&gt;=3.5,"A-",IF('Data Source'!U806&gt;=3,"B",IF('Data Source'!U806&gt;=2,"C",IF('Data Source'!U806&gt;=1,"D","F")))))))</f>
        <v/>
      </c>
      <c r="D806" s="3">
        <f>IF('Data Source'!B806="","",IF('Data Source'!V806&gt;=5,"A+",IF('Data Source'!V806&gt;=4,"A",IF('Data Source'!V806&gt;=3.5,"A-",IF('Data Source'!V806&gt;=3,"B",IF('Data Source'!V806&gt;=2,"C",IF('Data Source'!V806&gt;=1,"D","F")))))))</f>
        <v/>
      </c>
      <c r="E806" s="3">
        <f>IF('Data Source'!B806="","",IF('Data Source'!W806&gt;=5,"A+",IF('Data Source'!W806&gt;=4,"A",IF('Data Source'!W806&gt;=3.5,"A-",IF('Data Source'!W806&gt;=3,"B",IF('Data Source'!W806&gt;=2,"C",IF('Data Source'!W806&gt;=1,"D","F")))))))</f>
        <v/>
      </c>
      <c r="F806" s="3">
        <f>IF('Data Source'!B806="","",IF('Data Source'!X806&gt;=5,"A+",IF('Data Source'!X806&gt;=4,"A",IF('Data Source'!X806&gt;=3.5,"A-",IF('Data Source'!X806&gt;=3,"B",IF('Data Source'!X806&gt;=2,"C",IF('Data Source'!X806&gt;=1,"D","F")))))))</f>
        <v/>
      </c>
      <c r="G806" s="3">
        <f>IF('Data Source'!B806="","",IF('Data Source'!Y806&gt;=5,"A+",IF('Data Source'!Y806&gt;=4,"A",IF('Data Source'!Y806&gt;=3.5,"A-",IF('Data Source'!Y806&gt;=3,"B",IF('Data Source'!Y806&gt;=2,"C",IF('Data Source'!Y806&gt;=1,"D","F")))))))</f>
        <v/>
      </c>
      <c r="H806" s="3">
        <f>IF('Data Source'!B806="","",IF('Data Source'!Z806&gt;=5,"A+",IF('Data Source'!Z806&gt;=4,"A",IF('Data Source'!Z806&gt;=3.5,"A-",IF('Data Source'!Z806&gt;=3,"B",IF('Data Source'!Z806&gt;=2,"C",IF('Data Source'!Z806&gt;=1,"D","F")))))))</f>
        <v/>
      </c>
      <c r="I806" s="3">
        <f>IF('Data Source'!B806="","",IF('Data Source'!AA806&gt;=5,"A+",IF('Data Source'!AA806&gt;=4,"A",IF('Data Source'!AA806&gt;=3.5,"A-",IF('Data Source'!AA806&gt;=3,"B",IF('Data Source'!AA806&gt;=2,"C",IF('Data Source'!AA806&gt;=1,"D","F")))))))</f>
        <v/>
      </c>
      <c r="J806" s="3">
        <f>IF('Data Source'!B806="","",IF('Data Source'!AB806&gt;=5,"A+",IF('Data Source'!AB806&gt;=4,"A",IF('Data Source'!AB806&gt;=3.5,"A-",IF('Data Source'!AB806&gt;=3,"B",IF('Data Source'!AB806&gt;=2,"C",IF('Data Source'!AB806&gt;=1,"D","F")))))))</f>
        <v/>
      </c>
      <c r="K806" s="3">
        <f>IF('Data Source'!B806="","",IF('Data Source'!AC806&gt;=5,"A+",IF('Data Source'!AC806&gt;=4,"A",IF('Data Source'!AC806&gt;=3.5,"A-",IF('Data Source'!AC806&gt;=3,"B",IF('Data Source'!AC806&gt;=2,"C",IF('Data Source'!AC806&gt;=1,"D","F")))))))</f>
        <v/>
      </c>
      <c r="L806" s="3">
        <f>IF('Data Source'!B806="","",IF('Data Source'!AD806&gt;=5,"A+",IF('Data Source'!AD806&gt;=4,"A",IF('Data Source'!AD806&gt;=3.5,"A-",IF('Data Source'!AD806&gt;=3,"B",IF('Data Source'!AD806&gt;=2,"C",IF('Data Source'!AD806&gt;=1,"D","F")))))))</f>
        <v/>
      </c>
      <c r="M806" s="3">
        <f>IF('Data Source'!B806="","",IF('Data Source'!AE806&gt;=5,"A+",IF('Data Source'!AE806&gt;=4,"A",IF('Data Source'!AE806&gt;=3.5,"A-",IF('Data Source'!AE806&gt;=3,"B",IF('Data Source'!AE806&gt;=2,"C",IF('Data Source'!AE806&gt;=1,"D","F")))))))</f>
        <v/>
      </c>
      <c r="N806" s="3">
        <f>IF('Data Source'!B806="","",IF('Data Source'!AF806&gt;=5,"A+",IF('Data Source'!AF806&gt;=4,"A",IF('Data Source'!AF806&gt;=3.5,"A-",IF('Data Source'!AF806&gt;=3,"B",IF('Data Source'!AF806&gt;=2,"C",IF('Data Source'!AF806&gt;=1,"D","F")))))))</f>
        <v/>
      </c>
      <c r="O806" s="3">
        <f>IF('Data Source'!B806="","",IF('Data Source'!AG806&gt;=5,"A+",IF('Data Source'!AG806&gt;=4,"A",IF('Data Source'!AG806&gt;=3.5,"A-",IF('Data Source'!AG806&gt;=3,"B",IF('Data Source'!AG806&gt;=2,"C",IF('Data Source'!AG806&gt;=1,"D","F")))))))</f>
        <v/>
      </c>
      <c r="P806" s="5">
        <f>IF('Data Source'!B806="","",'Data Source'!R806)</f>
        <v/>
      </c>
      <c r="Q806" s="3">
        <f>IF('Data Source'!B806="","",'Data Source'!S806)</f>
        <v/>
      </c>
    </row>
    <row r="807">
      <c r="A807" s="3">
        <f>IF('Data Source'!B807="","",'Data Source'!A807)</f>
        <v/>
      </c>
      <c r="B807">
        <f>IF('Data Source'!B807="","",'Data Source'!B807)</f>
        <v/>
      </c>
      <c r="C807" s="3">
        <f>IF('Data Source'!B807="","",IF('Data Source'!U807&gt;=5,"A+",IF('Data Source'!U807&gt;=4,"A",IF('Data Source'!U807&gt;=3.5,"A-",IF('Data Source'!U807&gt;=3,"B",IF('Data Source'!U807&gt;=2,"C",IF('Data Source'!U807&gt;=1,"D","F")))))))</f>
        <v/>
      </c>
      <c r="D807" s="3">
        <f>IF('Data Source'!B807="","",IF('Data Source'!V807&gt;=5,"A+",IF('Data Source'!V807&gt;=4,"A",IF('Data Source'!V807&gt;=3.5,"A-",IF('Data Source'!V807&gt;=3,"B",IF('Data Source'!V807&gt;=2,"C",IF('Data Source'!V807&gt;=1,"D","F")))))))</f>
        <v/>
      </c>
      <c r="E807" s="3">
        <f>IF('Data Source'!B807="","",IF('Data Source'!W807&gt;=5,"A+",IF('Data Source'!W807&gt;=4,"A",IF('Data Source'!W807&gt;=3.5,"A-",IF('Data Source'!W807&gt;=3,"B",IF('Data Source'!W807&gt;=2,"C",IF('Data Source'!W807&gt;=1,"D","F")))))))</f>
        <v/>
      </c>
      <c r="F807" s="3">
        <f>IF('Data Source'!B807="","",IF('Data Source'!X807&gt;=5,"A+",IF('Data Source'!X807&gt;=4,"A",IF('Data Source'!X807&gt;=3.5,"A-",IF('Data Source'!X807&gt;=3,"B",IF('Data Source'!X807&gt;=2,"C",IF('Data Source'!X807&gt;=1,"D","F")))))))</f>
        <v/>
      </c>
      <c r="G807" s="3">
        <f>IF('Data Source'!B807="","",IF('Data Source'!Y807&gt;=5,"A+",IF('Data Source'!Y807&gt;=4,"A",IF('Data Source'!Y807&gt;=3.5,"A-",IF('Data Source'!Y807&gt;=3,"B",IF('Data Source'!Y807&gt;=2,"C",IF('Data Source'!Y807&gt;=1,"D","F")))))))</f>
        <v/>
      </c>
      <c r="H807" s="3">
        <f>IF('Data Source'!B807="","",IF('Data Source'!Z807&gt;=5,"A+",IF('Data Source'!Z807&gt;=4,"A",IF('Data Source'!Z807&gt;=3.5,"A-",IF('Data Source'!Z807&gt;=3,"B",IF('Data Source'!Z807&gt;=2,"C",IF('Data Source'!Z807&gt;=1,"D","F")))))))</f>
        <v/>
      </c>
      <c r="I807" s="3">
        <f>IF('Data Source'!B807="","",IF('Data Source'!AA807&gt;=5,"A+",IF('Data Source'!AA807&gt;=4,"A",IF('Data Source'!AA807&gt;=3.5,"A-",IF('Data Source'!AA807&gt;=3,"B",IF('Data Source'!AA807&gt;=2,"C",IF('Data Source'!AA807&gt;=1,"D","F")))))))</f>
        <v/>
      </c>
      <c r="J807" s="3">
        <f>IF('Data Source'!B807="","",IF('Data Source'!AB807&gt;=5,"A+",IF('Data Source'!AB807&gt;=4,"A",IF('Data Source'!AB807&gt;=3.5,"A-",IF('Data Source'!AB807&gt;=3,"B",IF('Data Source'!AB807&gt;=2,"C",IF('Data Source'!AB807&gt;=1,"D","F")))))))</f>
        <v/>
      </c>
      <c r="K807" s="3">
        <f>IF('Data Source'!B807="","",IF('Data Source'!AC807&gt;=5,"A+",IF('Data Source'!AC807&gt;=4,"A",IF('Data Source'!AC807&gt;=3.5,"A-",IF('Data Source'!AC807&gt;=3,"B",IF('Data Source'!AC807&gt;=2,"C",IF('Data Source'!AC807&gt;=1,"D","F")))))))</f>
        <v/>
      </c>
      <c r="L807" s="3">
        <f>IF('Data Source'!B807="","",IF('Data Source'!AD807&gt;=5,"A+",IF('Data Source'!AD807&gt;=4,"A",IF('Data Source'!AD807&gt;=3.5,"A-",IF('Data Source'!AD807&gt;=3,"B",IF('Data Source'!AD807&gt;=2,"C",IF('Data Source'!AD807&gt;=1,"D","F")))))))</f>
        <v/>
      </c>
      <c r="M807" s="3">
        <f>IF('Data Source'!B807="","",IF('Data Source'!AE807&gt;=5,"A+",IF('Data Source'!AE807&gt;=4,"A",IF('Data Source'!AE807&gt;=3.5,"A-",IF('Data Source'!AE807&gt;=3,"B",IF('Data Source'!AE807&gt;=2,"C",IF('Data Source'!AE807&gt;=1,"D","F")))))))</f>
        <v/>
      </c>
      <c r="N807" s="3">
        <f>IF('Data Source'!B807="","",IF('Data Source'!AF807&gt;=5,"A+",IF('Data Source'!AF807&gt;=4,"A",IF('Data Source'!AF807&gt;=3.5,"A-",IF('Data Source'!AF807&gt;=3,"B",IF('Data Source'!AF807&gt;=2,"C",IF('Data Source'!AF807&gt;=1,"D","F")))))))</f>
        <v/>
      </c>
      <c r="O807" s="3">
        <f>IF('Data Source'!B807="","",IF('Data Source'!AG807&gt;=5,"A+",IF('Data Source'!AG807&gt;=4,"A",IF('Data Source'!AG807&gt;=3.5,"A-",IF('Data Source'!AG807&gt;=3,"B",IF('Data Source'!AG807&gt;=2,"C",IF('Data Source'!AG807&gt;=1,"D","F")))))))</f>
        <v/>
      </c>
      <c r="P807" s="5">
        <f>IF('Data Source'!B807="","",'Data Source'!R807)</f>
        <v/>
      </c>
      <c r="Q807" s="3">
        <f>IF('Data Source'!B807="","",'Data Source'!S807)</f>
        <v/>
      </c>
    </row>
    <row r="808">
      <c r="A808" s="3">
        <f>IF('Data Source'!B808="","",'Data Source'!A808)</f>
        <v/>
      </c>
      <c r="B808">
        <f>IF('Data Source'!B808="","",'Data Source'!B808)</f>
        <v/>
      </c>
      <c r="C808" s="3">
        <f>IF('Data Source'!B808="","",IF('Data Source'!U808&gt;=5,"A+",IF('Data Source'!U808&gt;=4,"A",IF('Data Source'!U808&gt;=3.5,"A-",IF('Data Source'!U808&gt;=3,"B",IF('Data Source'!U808&gt;=2,"C",IF('Data Source'!U808&gt;=1,"D","F")))))))</f>
        <v/>
      </c>
      <c r="D808" s="3">
        <f>IF('Data Source'!B808="","",IF('Data Source'!V808&gt;=5,"A+",IF('Data Source'!V808&gt;=4,"A",IF('Data Source'!V808&gt;=3.5,"A-",IF('Data Source'!V808&gt;=3,"B",IF('Data Source'!V808&gt;=2,"C",IF('Data Source'!V808&gt;=1,"D","F")))))))</f>
        <v/>
      </c>
      <c r="E808" s="3">
        <f>IF('Data Source'!B808="","",IF('Data Source'!W808&gt;=5,"A+",IF('Data Source'!W808&gt;=4,"A",IF('Data Source'!W808&gt;=3.5,"A-",IF('Data Source'!W808&gt;=3,"B",IF('Data Source'!W808&gt;=2,"C",IF('Data Source'!W808&gt;=1,"D","F")))))))</f>
        <v/>
      </c>
      <c r="F808" s="3">
        <f>IF('Data Source'!B808="","",IF('Data Source'!X808&gt;=5,"A+",IF('Data Source'!X808&gt;=4,"A",IF('Data Source'!X808&gt;=3.5,"A-",IF('Data Source'!X808&gt;=3,"B",IF('Data Source'!X808&gt;=2,"C",IF('Data Source'!X808&gt;=1,"D","F")))))))</f>
        <v/>
      </c>
      <c r="G808" s="3">
        <f>IF('Data Source'!B808="","",IF('Data Source'!Y808&gt;=5,"A+",IF('Data Source'!Y808&gt;=4,"A",IF('Data Source'!Y808&gt;=3.5,"A-",IF('Data Source'!Y808&gt;=3,"B",IF('Data Source'!Y808&gt;=2,"C",IF('Data Source'!Y808&gt;=1,"D","F")))))))</f>
        <v/>
      </c>
      <c r="H808" s="3">
        <f>IF('Data Source'!B808="","",IF('Data Source'!Z808&gt;=5,"A+",IF('Data Source'!Z808&gt;=4,"A",IF('Data Source'!Z808&gt;=3.5,"A-",IF('Data Source'!Z808&gt;=3,"B",IF('Data Source'!Z808&gt;=2,"C",IF('Data Source'!Z808&gt;=1,"D","F")))))))</f>
        <v/>
      </c>
      <c r="I808" s="3">
        <f>IF('Data Source'!B808="","",IF('Data Source'!AA808&gt;=5,"A+",IF('Data Source'!AA808&gt;=4,"A",IF('Data Source'!AA808&gt;=3.5,"A-",IF('Data Source'!AA808&gt;=3,"B",IF('Data Source'!AA808&gt;=2,"C",IF('Data Source'!AA808&gt;=1,"D","F")))))))</f>
        <v/>
      </c>
      <c r="J808" s="3">
        <f>IF('Data Source'!B808="","",IF('Data Source'!AB808&gt;=5,"A+",IF('Data Source'!AB808&gt;=4,"A",IF('Data Source'!AB808&gt;=3.5,"A-",IF('Data Source'!AB808&gt;=3,"B",IF('Data Source'!AB808&gt;=2,"C",IF('Data Source'!AB808&gt;=1,"D","F")))))))</f>
        <v/>
      </c>
      <c r="K808" s="3">
        <f>IF('Data Source'!B808="","",IF('Data Source'!AC808&gt;=5,"A+",IF('Data Source'!AC808&gt;=4,"A",IF('Data Source'!AC808&gt;=3.5,"A-",IF('Data Source'!AC808&gt;=3,"B",IF('Data Source'!AC808&gt;=2,"C",IF('Data Source'!AC808&gt;=1,"D","F")))))))</f>
        <v/>
      </c>
      <c r="L808" s="3">
        <f>IF('Data Source'!B808="","",IF('Data Source'!AD808&gt;=5,"A+",IF('Data Source'!AD808&gt;=4,"A",IF('Data Source'!AD808&gt;=3.5,"A-",IF('Data Source'!AD808&gt;=3,"B",IF('Data Source'!AD808&gt;=2,"C",IF('Data Source'!AD808&gt;=1,"D","F")))))))</f>
        <v/>
      </c>
      <c r="M808" s="3">
        <f>IF('Data Source'!B808="","",IF('Data Source'!AE808&gt;=5,"A+",IF('Data Source'!AE808&gt;=4,"A",IF('Data Source'!AE808&gt;=3.5,"A-",IF('Data Source'!AE808&gt;=3,"B",IF('Data Source'!AE808&gt;=2,"C",IF('Data Source'!AE808&gt;=1,"D","F")))))))</f>
        <v/>
      </c>
      <c r="N808" s="3">
        <f>IF('Data Source'!B808="","",IF('Data Source'!AF808&gt;=5,"A+",IF('Data Source'!AF808&gt;=4,"A",IF('Data Source'!AF808&gt;=3.5,"A-",IF('Data Source'!AF808&gt;=3,"B",IF('Data Source'!AF808&gt;=2,"C",IF('Data Source'!AF808&gt;=1,"D","F")))))))</f>
        <v/>
      </c>
      <c r="O808" s="3">
        <f>IF('Data Source'!B808="","",IF('Data Source'!AG808&gt;=5,"A+",IF('Data Source'!AG808&gt;=4,"A",IF('Data Source'!AG808&gt;=3.5,"A-",IF('Data Source'!AG808&gt;=3,"B",IF('Data Source'!AG808&gt;=2,"C",IF('Data Source'!AG808&gt;=1,"D","F")))))))</f>
        <v/>
      </c>
      <c r="P808" s="5">
        <f>IF('Data Source'!B808="","",'Data Source'!R808)</f>
        <v/>
      </c>
      <c r="Q808" s="3">
        <f>IF('Data Source'!B808="","",'Data Source'!S808)</f>
        <v/>
      </c>
    </row>
    <row r="809">
      <c r="A809" s="3">
        <f>IF('Data Source'!B809="","",'Data Source'!A809)</f>
        <v/>
      </c>
      <c r="B809">
        <f>IF('Data Source'!B809="","",'Data Source'!B809)</f>
        <v/>
      </c>
      <c r="C809" s="3">
        <f>IF('Data Source'!B809="","",IF('Data Source'!U809&gt;=5,"A+",IF('Data Source'!U809&gt;=4,"A",IF('Data Source'!U809&gt;=3.5,"A-",IF('Data Source'!U809&gt;=3,"B",IF('Data Source'!U809&gt;=2,"C",IF('Data Source'!U809&gt;=1,"D","F")))))))</f>
        <v/>
      </c>
      <c r="D809" s="3">
        <f>IF('Data Source'!B809="","",IF('Data Source'!V809&gt;=5,"A+",IF('Data Source'!V809&gt;=4,"A",IF('Data Source'!V809&gt;=3.5,"A-",IF('Data Source'!V809&gt;=3,"B",IF('Data Source'!V809&gt;=2,"C",IF('Data Source'!V809&gt;=1,"D","F")))))))</f>
        <v/>
      </c>
      <c r="E809" s="3">
        <f>IF('Data Source'!B809="","",IF('Data Source'!W809&gt;=5,"A+",IF('Data Source'!W809&gt;=4,"A",IF('Data Source'!W809&gt;=3.5,"A-",IF('Data Source'!W809&gt;=3,"B",IF('Data Source'!W809&gt;=2,"C",IF('Data Source'!W809&gt;=1,"D","F")))))))</f>
        <v/>
      </c>
      <c r="F809" s="3">
        <f>IF('Data Source'!B809="","",IF('Data Source'!X809&gt;=5,"A+",IF('Data Source'!X809&gt;=4,"A",IF('Data Source'!X809&gt;=3.5,"A-",IF('Data Source'!X809&gt;=3,"B",IF('Data Source'!X809&gt;=2,"C",IF('Data Source'!X809&gt;=1,"D","F")))))))</f>
        <v/>
      </c>
      <c r="G809" s="3">
        <f>IF('Data Source'!B809="","",IF('Data Source'!Y809&gt;=5,"A+",IF('Data Source'!Y809&gt;=4,"A",IF('Data Source'!Y809&gt;=3.5,"A-",IF('Data Source'!Y809&gt;=3,"B",IF('Data Source'!Y809&gt;=2,"C",IF('Data Source'!Y809&gt;=1,"D","F")))))))</f>
        <v/>
      </c>
      <c r="H809" s="3">
        <f>IF('Data Source'!B809="","",IF('Data Source'!Z809&gt;=5,"A+",IF('Data Source'!Z809&gt;=4,"A",IF('Data Source'!Z809&gt;=3.5,"A-",IF('Data Source'!Z809&gt;=3,"B",IF('Data Source'!Z809&gt;=2,"C",IF('Data Source'!Z809&gt;=1,"D","F")))))))</f>
        <v/>
      </c>
      <c r="I809" s="3">
        <f>IF('Data Source'!B809="","",IF('Data Source'!AA809&gt;=5,"A+",IF('Data Source'!AA809&gt;=4,"A",IF('Data Source'!AA809&gt;=3.5,"A-",IF('Data Source'!AA809&gt;=3,"B",IF('Data Source'!AA809&gt;=2,"C",IF('Data Source'!AA809&gt;=1,"D","F")))))))</f>
        <v/>
      </c>
      <c r="J809" s="3">
        <f>IF('Data Source'!B809="","",IF('Data Source'!AB809&gt;=5,"A+",IF('Data Source'!AB809&gt;=4,"A",IF('Data Source'!AB809&gt;=3.5,"A-",IF('Data Source'!AB809&gt;=3,"B",IF('Data Source'!AB809&gt;=2,"C",IF('Data Source'!AB809&gt;=1,"D","F")))))))</f>
        <v/>
      </c>
      <c r="K809" s="3">
        <f>IF('Data Source'!B809="","",IF('Data Source'!AC809&gt;=5,"A+",IF('Data Source'!AC809&gt;=4,"A",IF('Data Source'!AC809&gt;=3.5,"A-",IF('Data Source'!AC809&gt;=3,"B",IF('Data Source'!AC809&gt;=2,"C",IF('Data Source'!AC809&gt;=1,"D","F")))))))</f>
        <v/>
      </c>
      <c r="L809" s="3">
        <f>IF('Data Source'!B809="","",IF('Data Source'!AD809&gt;=5,"A+",IF('Data Source'!AD809&gt;=4,"A",IF('Data Source'!AD809&gt;=3.5,"A-",IF('Data Source'!AD809&gt;=3,"B",IF('Data Source'!AD809&gt;=2,"C",IF('Data Source'!AD809&gt;=1,"D","F")))))))</f>
        <v/>
      </c>
      <c r="M809" s="3">
        <f>IF('Data Source'!B809="","",IF('Data Source'!AE809&gt;=5,"A+",IF('Data Source'!AE809&gt;=4,"A",IF('Data Source'!AE809&gt;=3.5,"A-",IF('Data Source'!AE809&gt;=3,"B",IF('Data Source'!AE809&gt;=2,"C",IF('Data Source'!AE809&gt;=1,"D","F")))))))</f>
        <v/>
      </c>
      <c r="N809" s="3">
        <f>IF('Data Source'!B809="","",IF('Data Source'!AF809&gt;=5,"A+",IF('Data Source'!AF809&gt;=4,"A",IF('Data Source'!AF809&gt;=3.5,"A-",IF('Data Source'!AF809&gt;=3,"B",IF('Data Source'!AF809&gt;=2,"C",IF('Data Source'!AF809&gt;=1,"D","F")))))))</f>
        <v/>
      </c>
      <c r="O809" s="3">
        <f>IF('Data Source'!B809="","",IF('Data Source'!AG809&gt;=5,"A+",IF('Data Source'!AG809&gt;=4,"A",IF('Data Source'!AG809&gt;=3.5,"A-",IF('Data Source'!AG809&gt;=3,"B",IF('Data Source'!AG809&gt;=2,"C",IF('Data Source'!AG809&gt;=1,"D","F")))))))</f>
        <v/>
      </c>
      <c r="P809" s="5">
        <f>IF('Data Source'!B809="","",'Data Source'!R809)</f>
        <v/>
      </c>
      <c r="Q809" s="3">
        <f>IF('Data Source'!B809="","",'Data Source'!S809)</f>
        <v/>
      </c>
    </row>
    <row r="810">
      <c r="A810" s="3">
        <f>IF('Data Source'!B810="","",'Data Source'!A810)</f>
        <v/>
      </c>
      <c r="B810">
        <f>IF('Data Source'!B810="","",'Data Source'!B810)</f>
        <v/>
      </c>
      <c r="C810" s="3">
        <f>IF('Data Source'!B810="","",IF('Data Source'!U810&gt;=5,"A+",IF('Data Source'!U810&gt;=4,"A",IF('Data Source'!U810&gt;=3.5,"A-",IF('Data Source'!U810&gt;=3,"B",IF('Data Source'!U810&gt;=2,"C",IF('Data Source'!U810&gt;=1,"D","F")))))))</f>
        <v/>
      </c>
      <c r="D810" s="3">
        <f>IF('Data Source'!B810="","",IF('Data Source'!V810&gt;=5,"A+",IF('Data Source'!V810&gt;=4,"A",IF('Data Source'!V810&gt;=3.5,"A-",IF('Data Source'!V810&gt;=3,"B",IF('Data Source'!V810&gt;=2,"C",IF('Data Source'!V810&gt;=1,"D","F")))))))</f>
        <v/>
      </c>
      <c r="E810" s="3">
        <f>IF('Data Source'!B810="","",IF('Data Source'!W810&gt;=5,"A+",IF('Data Source'!W810&gt;=4,"A",IF('Data Source'!W810&gt;=3.5,"A-",IF('Data Source'!W810&gt;=3,"B",IF('Data Source'!W810&gt;=2,"C",IF('Data Source'!W810&gt;=1,"D","F")))))))</f>
        <v/>
      </c>
      <c r="F810" s="3">
        <f>IF('Data Source'!B810="","",IF('Data Source'!X810&gt;=5,"A+",IF('Data Source'!X810&gt;=4,"A",IF('Data Source'!X810&gt;=3.5,"A-",IF('Data Source'!X810&gt;=3,"B",IF('Data Source'!X810&gt;=2,"C",IF('Data Source'!X810&gt;=1,"D","F")))))))</f>
        <v/>
      </c>
      <c r="G810" s="3">
        <f>IF('Data Source'!B810="","",IF('Data Source'!Y810&gt;=5,"A+",IF('Data Source'!Y810&gt;=4,"A",IF('Data Source'!Y810&gt;=3.5,"A-",IF('Data Source'!Y810&gt;=3,"B",IF('Data Source'!Y810&gt;=2,"C",IF('Data Source'!Y810&gt;=1,"D","F")))))))</f>
        <v/>
      </c>
      <c r="H810" s="3">
        <f>IF('Data Source'!B810="","",IF('Data Source'!Z810&gt;=5,"A+",IF('Data Source'!Z810&gt;=4,"A",IF('Data Source'!Z810&gt;=3.5,"A-",IF('Data Source'!Z810&gt;=3,"B",IF('Data Source'!Z810&gt;=2,"C",IF('Data Source'!Z810&gt;=1,"D","F")))))))</f>
        <v/>
      </c>
      <c r="I810" s="3">
        <f>IF('Data Source'!B810="","",IF('Data Source'!AA810&gt;=5,"A+",IF('Data Source'!AA810&gt;=4,"A",IF('Data Source'!AA810&gt;=3.5,"A-",IF('Data Source'!AA810&gt;=3,"B",IF('Data Source'!AA810&gt;=2,"C",IF('Data Source'!AA810&gt;=1,"D","F")))))))</f>
        <v/>
      </c>
      <c r="J810" s="3">
        <f>IF('Data Source'!B810="","",IF('Data Source'!AB810&gt;=5,"A+",IF('Data Source'!AB810&gt;=4,"A",IF('Data Source'!AB810&gt;=3.5,"A-",IF('Data Source'!AB810&gt;=3,"B",IF('Data Source'!AB810&gt;=2,"C",IF('Data Source'!AB810&gt;=1,"D","F")))))))</f>
        <v/>
      </c>
      <c r="K810" s="3">
        <f>IF('Data Source'!B810="","",IF('Data Source'!AC810&gt;=5,"A+",IF('Data Source'!AC810&gt;=4,"A",IF('Data Source'!AC810&gt;=3.5,"A-",IF('Data Source'!AC810&gt;=3,"B",IF('Data Source'!AC810&gt;=2,"C",IF('Data Source'!AC810&gt;=1,"D","F")))))))</f>
        <v/>
      </c>
      <c r="L810" s="3">
        <f>IF('Data Source'!B810="","",IF('Data Source'!AD810&gt;=5,"A+",IF('Data Source'!AD810&gt;=4,"A",IF('Data Source'!AD810&gt;=3.5,"A-",IF('Data Source'!AD810&gt;=3,"B",IF('Data Source'!AD810&gt;=2,"C",IF('Data Source'!AD810&gt;=1,"D","F")))))))</f>
        <v/>
      </c>
      <c r="M810" s="3">
        <f>IF('Data Source'!B810="","",IF('Data Source'!AE810&gt;=5,"A+",IF('Data Source'!AE810&gt;=4,"A",IF('Data Source'!AE810&gt;=3.5,"A-",IF('Data Source'!AE810&gt;=3,"B",IF('Data Source'!AE810&gt;=2,"C",IF('Data Source'!AE810&gt;=1,"D","F")))))))</f>
        <v/>
      </c>
      <c r="N810" s="3">
        <f>IF('Data Source'!B810="","",IF('Data Source'!AF810&gt;=5,"A+",IF('Data Source'!AF810&gt;=4,"A",IF('Data Source'!AF810&gt;=3.5,"A-",IF('Data Source'!AF810&gt;=3,"B",IF('Data Source'!AF810&gt;=2,"C",IF('Data Source'!AF810&gt;=1,"D","F")))))))</f>
        <v/>
      </c>
      <c r="O810" s="3">
        <f>IF('Data Source'!B810="","",IF('Data Source'!AG810&gt;=5,"A+",IF('Data Source'!AG810&gt;=4,"A",IF('Data Source'!AG810&gt;=3.5,"A-",IF('Data Source'!AG810&gt;=3,"B",IF('Data Source'!AG810&gt;=2,"C",IF('Data Source'!AG810&gt;=1,"D","F")))))))</f>
        <v/>
      </c>
      <c r="P810" s="5">
        <f>IF('Data Source'!B810="","",'Data Source'!R810)</f>
        <v/>
      </c>
      <c r="Q810" s="3">
        <f>IF('Data Source'!B810="","",'Data Source'!S810)</f>
        <v/>
      </c>
    </row>
    <row r="811">
      <c r="A811" s="3">
        <f>IF('Data Source'!B811="","",'Data Source'!A811)</f>
        <v/>
      </c>
      <c r="B811">
        <f>IF('Data Source'!B811="","",'Data Source'!B811)</f>
        <v/>
      </c>
      <c r="C811" s="3">
        <f>IF('Data Source'!B811="","",IF('Data Source'!U811&gt;=5,"A+",IF('Data Source'!U811&gt;=4,"A",IF('Data Source'!U811&gt;=3.5,"A-",IF('Data Source'!U811&gt;=3,"B",IF('Data Source'!U811&gt;=2,"C",IF('Data Source'!U811&gt;=1,"D","F")))))))</f>
        <v/>
      </c>
      <c r="D811" s="3">
        <f>IF('Data Source'!B811="","",IF('Data Source'!V811&gt;=5,"A+",IF('Data Source'!V811&gt;=4,"A",IF('Data Source'!V811&gt;=3.5,"A-",IF('Data Source'!V811&gt;=3,"B",IF('Data Source'!V811&gt;=2,"C",IF('Data Source'!V811&gt;=1,"D","F")))))))</f>
        <v/>
      </c>
      <c r="E811" s="3">
        <f>IF('Data Source'!B811="","",IF('Data Source'!W811&gt;=5,"A+",IF('Data Source'!W811&gt;=4,"A",IF('Data Source'!W811&gt;=3.5,"A-",IF('Data Source'!W811&gt;=3,"B",IF('Data Source'!W811&gt;=2,"C",IF('Data Source'!W811&gt;=1,"D","F")))))))</f>
        <v/>
      </c>
      <c r="F811" s="3">
        <f>IF('Data Source'!B811="","",IF('Data Source'!X811&gt;=5,"A+",IF('Data Source'!X811&gt;=4,"A",IF('Data Source'!X811&gt;=3.5,"A-",IF('Data Source'!X811&gt;=3,"B",IF('Data Source'!X811&gt;=2,"C",IF('Data Source'!X811&gt;=1,"D","F")))))))</f>
        <v/>
      </c>
      <c r="G811" s="3">
        <f>IF('Data Source'!B811="","",IF('Data Source'!Y811&gt;=5,"A+",IF('Data Source'!Y811&gt;=4,"A",IF('Data Source'!Y811&gt;=3.5,"A-",IF('Data Source'!Y811&gt;=3,"B",IF('Data Source'!Y811&gt;=2,"C",IF('Data Source'!Y811&gt;=1,"D","F")))))))</f>
        <v/>
      </c>
      <c r="H811" s="3">
        <f>IF('Data Source'!B811="","",IF('Data Source'!Z811&gt;=5,"A+",IF('Data Source'!Z811&gt;=4,"A",IF('Data Source'!Z811&gt;=3.5,"A-",IF('Data Source'!Z811&gt;=3,"B",IF('Data Source'!Z811&gt;=2,"C",IF('Data Source'!Z811&gt;=1,"D","F")))))))</f>
        <v/>
      </c>
      <c r="I811" s="3">
        <f>IF('Data Source'!B811="","",IF('Data Source'!AA811&gt;=5,"A+",IF('Data Source'!AA811&gt;=4,"A",IF('Data Source'!AA811&gt;=3.5,"A-",IF('Data Source'!AA811&gt;=3,"B",IF('Data Source'!AA811&gt;=2,"C",IF('Data Source'!AA811&gt;=1,"D","F")))))))</f>
        <v/>
      </c>
      <c r="J811" s="3">
        <f>IF('Data Source'!B811="","",IF('Data Source'!AB811&gt;=5,"A+",IF('Data Source'!AB811&gt;=4,"A",IF('Data Source'!AB811&gt;=3.5,"A-",IF('Data Source'!AB811&gt;=3,"B",IF('Data Source'!AB811&gt;=2,"C",IF('Data Source'!AB811&gt;=1,"D","F")))))))</f>
        <v/>
      </c>
      <c r="K811" s="3">
        <f>IF('Data Source'!B811="","",IF('Data Source'!AC811&gt;=5,"A+",IF('Data Source'!AC811&gt;=4,"A",IF('Data Source'!AC811&gt;=3.5,"A-",IF('Data Source'!AC811&gt;=3,"B",IF('Data Source'!AC811&gt;=2,"C",IF('Data Source'!AC811&gt;=1,"D","F")))))))</f>
        <v/>
      </c>
      <c r="L811" s="3">
        <f>IF('Data Source'!B811="","",IF('Data Source'!AD811&gt;=5,"A+",IF('Data Source'!AD811&gt;=4,"A",IF('Data Source'!AD811&gt;=3.5,"A-",IF('Data Source'!AD811&gt;=3,"B",IF('Data Source'!AD811&gt;=2,"C",IF('Data Source'!AD811&gt;=1,"D","F")))))))</f>
        <v/>
      </c>
      <c r="M811" s="3">
        <f>IF('Data Source'!B811="","",IF('Data Source'!AE811&gt;=5,"A+",IF('Data Source'!AE811&gt;=4,"A",IF('Data Source'!AE811&gt;=3.5,"A-",IF('Data Source'!AE811&gt;=3,"B",IF('Data Source'!AE811&gt;=2,"C",IF('Data Source'!AE811&gt;=1,"D","F")))))))</f>
        <v/>
      </c>
      <c r="N811" s="3">
        <f>IF('Data Source'!B811="","",IF('Data Source'!AF811&gt;=5,"A+",IF('Data Source'!AF811&gt;=4,"A",IF('Data Source'!AF811&gt;=3.5,"A-",IF('Data Source'!AF811&gt;=3,"B",IF('Data Source'!AF811&gt;=2,"C",IF('Data Source'!AF811&gt;=1,"D","F")))))))</f>
        <v/>
      </c>
      <c r="O811" s="3">
        <f>IF('Data Source'!B811="","",IF('Data Source'!AG811&gt;=5,"A+",IF('Data Source'!AG811&gt;=4,"A",IF('Data Source'!AG811&gt;=3.5,"A-",IF('Data Source'!AG811&gt;=3,"B",IF('Data Source'!AG811&gt;=2,"C",IF('Data Source'!AG811&gt;=1,"D","F")))))))</f>
        <v/>
      </c>
      <c r="P811" s="5">
        <f>IF('Data Source'!B811="","",'Data Source'!R811)</f>
        <v/>
      </c>
      <c r="Q811" s="3">
        <f>IF('Data Source'!B811="","",'Data Source'!S811)</f>
        <v/>
      </c>
    </row>
    <row r="812">
      <c r="A812" s="3">
        <f>IF('Data Source'!B812="","",'Data Source'!A812)</f>
        <v/>
      </c>
      <c r="B812">
        <f>IF('Data Source'!B812="","",'Data Source'!B812)</f>
        <v/>
      </c>
      <c r="C812" s="3">
        <f>IF('Data Source'!B812="","",IF('Data Source'!U812&gt;=5,"A+",IF('Data Source'!U812&gt;=4,"A",IF('Data Source'!U812&gt;=3.5,"A-",IF('Data Source'!U812&gt;=3,"B",IF('Data Source'!U812&gt;=2,"C",IF('Data Source'!U812&gt;=1,"D","F")))))))</f>
        <v/>
      </c>
      <c r="D812" s="3">
        <f>IF('Data Source'!B812="","",IF('Data Source'!V812&gt;=5,"A+",IF('Data Source'!V812&gt;=4,"A",IF('Data Source'!V812&gt;=3.5,"A-",IF('Data Source'!V812&gt;=3,"B",IF('Data Source'!V812&gt;=2,"C",IF('Data Source'!V812&gt;=1,"D","F")))))))</f>
        <v/>
      </c>
      <c r="E812" s="3">
        <f>IF('Data Source'!B812="","",IF('Data Source'!W812&gt;=5,"A+",IF('Data Source'!W812&gt;=4,"A",IF('Data Source'!W812&gt;=3.5,"A-",IF('Data Source'!W812&gt;=3,"B",IF('Data Source'!W812&gt;=2,"C",IF('Data Source'!W812&gt;=1,"D","F")))))))</f>
        <v/>
      </c>
      <c r="F812" s="3">
        <f>IF('Data Source'!B812="","",IF('Data Source'!X812&gt;=5,"A+",IF('Data Source'!X812&gt;=4,"A",IF('Data Source'!X812&gt;=3.5,"A-",IF('Data Source'!X812&gt;=3,"B",IF('Data Source'!X812&gt;=2,"C",IF('Data Source'!X812&gt;=1,"D","F")))))))</f>
        <v/>
      </c>
      <c r="G812" s="3">
        <f>IF('Data Source'!B812="","",IF('Data Source'!Y812&gt;=5,"A+",IF('Data Source'!Y812&gt;=4,"A",IF('Data Source'!Y812&gt;=3.5,"A-",IF('Data Source'!Y812&gt;=3,"B",IF('Data Source'!Y812&gt;=2,"C",IF('Data Source'!Y812&gt;=1,"D","F")))))))</f>
        <v/>
      </c>
      <c r="H812" s="3">
        <f>IF('Data Source'!B812="","",IF('Data Source'!Z812&gt;=5,"A+",IF('Data Source'!Z812&gt;=4,"A",IF('Data Source'!Z812&gt;=3.5,"A-",IF('Data Source'!Z812&gt;=3,"B",IF('Data Source'!Z812&gt;=2,"C",IF('Data Source'!Z812&gt;=1,"D","F")))))))</f>
        <v/>
      </c>
      <c r="I812" s="3">
        <f>IF('Data Source'!B812="","",IF('Data Source'!AA812&gt;=5,"A+",IF('Data Source'!AA812&gt;=4,"A",IF('Data Source'!AA812&gt;=3.5,"A-",IF('Data Source'!AA812&gt;=3,"B",IF('Data Source'!AA812&gt;=2,"C",IF('Data Source'!AA812&gt;=1,"D","F")))))))</f>
        <v/>
      </c>
      <c r="J812" s="3">
        <f>IF('Data Source'!B812="","",IF('Data Source'!AB812&gt;=5,"A+",IF('Data Source'!AB812&gt;=4,"A",IF('Data Source'!AB812&gt;=3.5,"A-",IF('Data Source'!AB812&gt;=3,"B",IF('Data Source'!AB812&gt;=2,"C",IF('Data Source'!AB812&gt;=1,"D","F")))))))</f>
        <v/>
      </c>
      <c r="K812" s="3">
        <f>IF('Data Source'!B812="","",IF('Data Source'!AC812&gt;=5,"A+",IF('Data Source'!AC812&gt;=4,"A",IF('Data Source'!AC812&gt;=3.5,"A-",IF('Data Source'!AC812&gt;=3,"B",IF('Data Source'!AC812&gt;=2,"C",IF('Data Source'!AC812&gt;=1,"D","F")))))))</f>
        <v/>
      </c>
      <c r="L812" s="3">
        <f>IF('Data Source'!B812="","",IF('Data Source'!AD812&gt;=5,"A+",IF('Data Source'!AD812&gt;=4,"A",IF('Data Source'!AD812&gt;=3.5,"A-",IF('Data Source'!AD812&gt;=3,"B",IF('Data Source'!AD812&gt;=2,"C",IF('Data Source'!AD812&gt;=1,"D","F")))))))</f>
        <v/>
      </c>
      <c r="M812" s="3">
        <f>IF('Data Source'!B812="","",IF('Data Source'!AE812&gt;=5,"A+",IF('Data Source'!AE812&gt;=4,"A",IF('Data Source'!AE812&gt;=3.5,"A-",IF('Data Source'!AE812&gt;=3,"B",IF('Data Source'!AE812&gt;=2,"C",IF('Data Source'!AE812&gt;=1,"D","F")))))))</f>
        <v/>
      </c>
      <c r="N812" s="3">
        <f>IF('Data Source'!B812="","",IF('Data Source'!AF812&gt;=5,"A+",IF('Data Source'!AF812&gt;=4,"A",IF('Data Source'!AF812&gt;=3.5,"A-",IF('Data Source'!AF812&gt;=3,"B",IF('Data Source'!AF812&gt;=2,"C",IF('Data Source'!AF812&gt;=1,"D","F")))))))</f>
        <v/>
      </c>
      <c r="O812" s="3">
        <f>IF('Data Source'!B812="","",IF('Data Source'!AG812&gt;=5,"A+",IF('Data Source'!AG812&gt;=4,"A",IF('Data Source'!AG812&gt;=3.5,"A-",IF('Data Source'!AG812&gt;=3,"B",IF('Data Source'!AG812&gt;=2,"C",IF('Data Source'!AG812&gt;=1,"D","F")))))))</f>
        <v/>
      </c>
      <c r="P812" s="5">
        <f>IF('Data Source'!B812="","",'Data Source'!R812)</f>
        <v/>
      </c>
      <c r="Q812" s="3">
        <f>IF('Data Source'!B812="","",'Data Source'!S812)</f>
        <v/>
      </c>
    </row>
    <row r="813">
      <c r="A813" s="3">
        <f>IF('Data Source'!B813="","",'Data Source'!A813)</f>
        <v/>
      </c>
      <c r="B813">
        <f>IF('Data Source'!B813="","",'Data Source'!B813)</f>
        <v/>
      </c>
      <c r="C813" s="3">
        <f>IF('Data Source'!B813="","",IF('Data Source'!U813&gt;=5,"A+",IF('Data Source'!U813&gt;=4,"A",IF('Data Source'!U813&gt;=3.5,"A-",IF('Data Source'!U813&gt;=3,"B",IF('Data Source'!U813&gt;=2,"C",IF('Data Source'!U813&gt;=1,"D","F")))))))</f>
        <v/>
      </c>
      <c r="D813" s="3">
        <f>IF('Data Source'!B813="","",IF('Data Source'!V813&gt;=5,"A+",IF('Data Source'!V813&gt;=4,"A",IF('Data Source'!V813&gt;=3.5,"A-",IF('Data Source'!V813&gt;=3,"B",IF('Data Source'!V813&gt;=2,"C",IF('Data Source'!V813&gt;=1,"D","F")))))))</f>
        <v/>
      </c>
      <c r="E813" s="3">
        <f>IF('Data Source'!B813="","",IF('Data Source'!W813&gt;=5,"A+",IF('Data Source'!W813&gt;=4,"A",IF('Data Source'!W813&gt;=3.5,"A-",IF('Data Source'!W813&gt;=3,"B",IF('Data Source'!W813&gt;=2,"C",IF('Data Source'!W813&gt;=1,"D","F")))))))</f>
        <v/>
      </c>
      <c r="F813" s="3">
        <f>IF('Data Source'!B813="","",IF('Data Source'!X813&gt;=5,"A+",IF('Data Source'!X813&gt;=4,"A",IF('Data Source'!X813&gt;=3.5,"A-",IF('Data Source'!X813&gt;=3,"B",IF('Data Source'!X813&gt;=2,"C",IF('Data Source'!X813&gt;=1,"D","F")))))))</f>
        <v/>
      </c>
      <c r="G813" s="3">
        <f>IF('Data Source'!B813="","",IF('Data Source'!Y813&gt;=5,"A+",IF('Data Source'!Y813&gt;=4,"A",IF('Data Source'!Y813&gt;=3.5,"A-",IF('Data Source'!Y813&gt;=3,"B",IF('Data Source'!Y813&gt;=2,"C",IF('Data Source'!Y813&gt;=1,"D","F")))))))</f>
        <v/>
      </c>
      <c r="H813" s="3">
        <f>IF('Data Source'!B813="","",IF('Data Source'!Z813&gt;=5,"A+",IF('Data Source'!Z813&gt;=4,"A",IF('Data Source'!Z813&gt;=3.5,"A-",IF('Data Source'!Z813&gt;=3,"B",IF('Data Source'!Z813&gt;=2,"C",IF('Data Source'!Z813&gt;=1,"D","F")))))))</f>
        <v/>
      </c>
      <c r="I813" s="3">
        <f>IF('Data Source'!B813="","",IF('Data Source'!AA813&gt;=5,"A+",IF('Data Source'!AA813&gt;=4,"A",IF('Data Source'!AA813&gt;=3.5,"A-",IF('Data Source'!AA813&gt;=3,"B",IF('Data Source'!AA813&gt;=2,"C",IF('Data Source'!AA813&gt;=1,"D","F")))))))</f>
        <v/>
      </c>
      <c r="J813" s="3">
        <f>IF('Data Source'!B813="","",IF('Data Source'!AB813&gt;=5,"A+",IF('Data Source'!AB813&gt;=4,"A",IF('Data Source'!AB813&gt;=3.5,"A-",IF('Data Source'!AB813&gt;=3,"B",IF('Data Source'!AB813&gt;=2,"C",IF('Data Source'!AB813&gt;=1,"D","F")))))))</f>
        <v/>
      </c>
      <c r="K813" s="3">
        <f>IF('Data Source'!B813="","",IF('Data Source'!AC813&gt;=5,"A+",IF('Data Source'!AC813&gt;=4,"A",IF('Data Source'!AC813&gt;=3.5,"A-",IF('Data Source'!AC813&gt;=3,"B",IF('Data Source'!AC813&gt;=2,"C",IF('Data Source'!AC813&gt;=1,"D","F")))))))</f>
        <v/>
      </c>
      <c r="L813" s="3">
        <f>IF('Data Source'!B813="","",IF('Data Source'!AD813&gt;=5,"A+",IF('Data Source'!AD813&gt;=4,"A",IF('Data Source'!AD813&gt;=3.5,"A-",IF('Data Source'!AD813&gt;=3,"B",IF('Data Source'!AD813&gt;=2,"C",IF('Data Source'!AD813&gt;=1,"D","F")))))))</f>
        <v/>
      </c>
      <c r="M813" s="3">
        <f>IF('Data Source'!B813="","",IF('Data Source'!AE813&gt;=5,"A+",IF('Data Source'!AE813&gt;=4,"A",IF('Data Source'!AE813&gt;=3.5,"A-",IF('Data Source'!AE813&gt;=3,"B",IF('Data Source'!AE813&gt;=2,"C",IF('Data Source'!AE813&gt;=1,"D","F")))))))</f>
        <v/>
      </c>
      <c r="N813" s="3">
        <f>IF('Data Source'!B813="","",IF('Data Source'!AF813&gt;=5,"A+",IF('Data Source'!AF813&gt;=4,"A",IF('Data Source'!AF813&gt;=3.5,"A-",IF('Data Source'!AF813&gt;=3,"B",IF('Data Source'!AF813&gt;=2,"C",IF('Data Source'!AF813&gt;=1,"D","F")))))))</f>
        <v/>
      </c>
      <c r="O813" s="3">
        <f>IF('Data Source'!B813="","",IF('Data Source'!AG813&gt;=5,"A+",IF('Data Source'!AG813&gt;=4,"A",IF('Data Source'!AG813&gt;=3.5,"A-",IF('Data Source'!AG813&gt;=3,"B",IF('Data Source'!AG813&gt;=2,"C",IF('Data Source'!AG813&gt;=1,"D","F")))))))</f>
        <v/>
      </c>
      <c r="P813" s="5">
        <f>IF('Data Source'!B813="","",'Data Source'!R813)</f>
        <v/>
      </c>
      <c r="Q813" s="3">
        <f>IF('Data Source'!B813="","",'Data Source'!S813)</f>
        <v/>
      </c>
    </row>
    <row r="814">
      <c r="A814" s="3">
        <f>IF('Data Source'!B814="","",'Data Source'!A814)</f>
        <v/>
      </c>
      <c r="B814">
        <f>IF('Data Source'!B814="","",'Data Source'!B814)</f>
        <v/>
      </c>
      <c r="C814" s="3">
        <f>IF('Data Source'!B814="","",IF('Data Source'!U814&gt;=5,"A+",IF('Data Source'!U814&gt;=4,"A",IF('Data Source'!U814&gt;=3.5,"A-",IF('Data Source'!U814&gt;=3,"B",IF('Data Source'!U814&gt;=2,"C",IF('Data Source'!U814&gt;=1,"D","F")))))))</f>
        <v/>
      </c>
      <c r="D814" s="3">
        <f>IF('Data Source'!B814="","",IF('Data Source'!V814&gt;=5,"A+",IF('Data Source'!V814&gt;=4,"A",IF('Data Source'!V814&gt;=3.5,"A-",IF('Data Source'!V814&gt;=3,"B",IF('Data Source'!V814&gt;=2,"C",IF('Data Source'!V814&gt;=1,"D","F")))))))</f>
        <v/>
      </c>
      <c r="E814" s="3">
        <f>IF('Data Source'!B814="","",IF('Data Source'!W814&gt;=5,"A+",IF('Data Source'!W814&gt;=4,"A",IF('Data Source'!W814&gt;=3.5,"A-",IF('Data Source'!W814&gt;=3,"B",IF('Data Source'!W814&gt;=2,"C",IF('Data Source'!W814&gt;=1,"D","F")))))))</f>
        <v/>
      </c>
      <c r="F814" s="3">
        <f>IF('Data Source'!B814="","",IF('Data Source'!X814&gt;=5,"A+",IF('Data Source'!X814&gt;=4,"A",IF('Data Source'!X814&gt;=3.5,"A-",IF('Data Source'!X814&gt;=3,"B",IF('Data Source'!X814&gt;=2,"C",IF('Data Source'!X814&gt;=1,"D","F")))))))</f>
        <v/>
      </c>
      <c r="G814" s="3">
        <f>IF('Data Source'!B814="","",IF('Data Source'!Y814&gt;=5,"A+",IF('Data Source'!Y814&gt;=4,"A",IF('Data Source'!Y814&gt;=3.5,"A-",IF('Data Source'!Y814&gt;=3,"B",IF('Data Source'!Y814&gt;=2,"C",IF('Data Source'!Y814&gt;=1,"D","F")))))))</f>
        <v/>
      </c>
      <c r="H814" s="3">
        <f>IF('Data Source'!B814="","",IF('Data Source'!Z814&gt;=5,"A+",IF('Data Source'!Z814&gt;=4,"A",IF('Data Source'!Z814&gt;=3.5,"A-",IF('Data Source'!Z814&gt;=3,"B",IF('Data Source'!Z814&gt;=2,"C",IF('Data Source'!Z814&gt;=1,"D","F")))))))</f>
        <v/>
      </c>
      <c r="I814" s="3">
        <f>IF('Data Source'!B814="","",IF('Data Source'!AA814&gt;=5,"A+",IF('Data Source'!AA814&gt;=4,"A",IF('Data Source'!AA814&gt;=3.5,"A-",IF('Data Source'!AA814&gt;=3,"B",IF('Data Source'!AA814&gt;=2,"C",IF('Data Source'!AA814&gt;=1,"D","F")))))))</f>
        <v/>
      </c>
      <c r="J814" s="3">
        <f>IF('Data Source'!B814="","",IF('Data Source'!AB814&gt;=5,"A+",IF('Data Source'!AB814&gt;=4,"A",IF('Data Source'!AB814&gt;=3.5,"A-",IF('Data Source'!AB814&gt;=3,"B",IF('Data Source'!AB814&gt;=2,"C",IF('Data Source'!AB814&gt;=1,"D","F")))))))</f>
        <v/>
      </c>
      <c r="K814" s="3">
        <f>IF('Data Source'!B814="","",IF('Data Source'!AC814&gt;=5,"A+",IF('Data Source'!AC814&gt;=4,"A",IF('Data Source'!AC814&gt;=3.5,"A-",IF('Data Source'!AC814&gt;=3,"B",IF('Data Source'!AC814&gt;=2,"C",IF('Data Source'!AC814&gt;=1,"D","F")))))))</f>
        <v/>
      </c>
      <c r="L814" s="3">
        <f>IF('Data Source'!B814="","",IF('Data Source'!AD814&gt;=5,"A+",IF('Data Source'!AD814&gt;=4,"A",IF('Data Source'!AD814&gt;=3.5,"A-",IF('Data Source'!AD814&gt;=3,"B",IF('Data Source'!AD814&gt;=2,"C",IF('Data Source'!AD814&gt;=1,"D","F")))))))</f>
        <v/>
      </c>
      <c r="M814" s="3">
        <f>IF('Data Source'!B814="","",IF('Data Source'!AE814&gt;=5,"A+",IF('Data Source'!AE814&gt;=4,"A",IF('Data Source'!AE814&gt;=3.5,"A-",IF('Data Source'!AE814&gt;=3,"B",IF('Data Source'!AE814&gt;=2,"C",IF('Data Source'!AE814&gt;=1,"D","F")))))))</f>
        <v/>
      </c>
      <c r="N814" s="3">
        <f>IF('Data Source'!B814="","",IF('Data Source'!AF814&gt;=5,"A+",IF('Data Source'!AF814&gt;=4,"A",IF('Data Source'!AF814&gt;=3.5,"A-",IF('Data Source'!AF814&gt;=3,"B",IF('Data Source'!AF814&gt;=2,"C",IF('Data Source'!AF814&gt;=1,"D","F")))))))</f>
        <v/>
      </c>
      <c r="O814" s="3">
        <f>IF('Data Source'!B814="","",IF('Data Source'!AG814&gt;=5,"A+",IF('Data Source'!AG814&gt;=4,"A",IF('Data Source'!AG814&gt;=3.5,"A-",IF('Data Source'!AG814&gt;=3,"B",IF('Data Source'!AG814&gt;=2,"C",IF('Data Source'!AG814&gt;=1,"D","F")))))))</f>
        <v/>
      </c>
      <c r="P814" s="5">
        <f>IF('Data Source'!B814="","",'Data Source'!R814)</f>
        <v/>
      </c>
      <c r="Q814" s="3">
        <f>IF('Data Source'!B814="","",'Data Source'!S814)</f>
        <v/>
      </c>
    </row>
    <row r="815">
      <c r="A815" s="3">
        <f>IF('Data Source'!B815="","",'Data Source'!A815)</f>
        <v/>
      </c>
      <c r="B815">
        <f>IF('Data Source'!B815="","",'Data Source'!B815)</f>
        <v/>
      </c>
      <c r="C815" s="3">
        <f>IF('Data Source'!B815="","",IF('Data Source'!U815&gt;=5,"A+",IF('Data Source'!U815&gt;=4,"A",IF('Data Source'!U815&gt;=3.5,"A-",IF('Data Source'!U815&gt;=3,"B",IF('Data Source'!U815&gt;=2,"C",IF('Data Source'!U815&gt;=1,"D","F")))))))</f>
        <v/>
      </c>
      <c r="D815" s="3">
        <f>IF('Data Source'!B815="","",IF('Data Source'!V815&gt;=5,"A+",IF('Data Source'!V815&gt;=4,"A",IF('Data Source'!V815&gt;=3.5,"A-",IF('Data Source'!V815&gt;=3,"B",IF('Data Source'!V815&gt;=2,"C",IF('Data Source'!V815&gt;=1,"D","F")))))))</f>
        <v/>
      </c>
      <c r="E815" s="3">
        <f>IF('Data Source'!B815="","",IF('Data Source'!W815&gt;=5,"A+",IF('Data Source'!W815&gt;=4,"A",IF('Data Source'!W815&gt;=3.5,"A-",IF('Data Source'!W815&gt;=3,"B",IF('Data Source'!W815&gt;=2,"C",IF('Data Source'!W815&gt;=1,"D","F")))))))</f>
        <v/>
      </c>
      <c r="F815" s="3">
        <f>IF('Data Source'!B815="","",IF('Data Source'!X815&gt;=5,"A+",IF('Data Source'!X815&gt;=4,"A",IF('Data Source'!X815&gt;=3.5,"A-",IF('Data Source'!X815&gt;=3,"B",IF('Data Source'!X815&gt;=2,"C",IF('Data Source'!X815&gt;=1,"D","F")))))))</f>
        <v/>
      </c>
      <c r="G815" s="3">
        <f>IF('Data Source'!B815="","",IF('Data Source'!Y815&gt;=5,"A+",IF('Data Source'!Y815&gt;=4,"A",IF('Data Source'!Y815&gt;=3.5,"A-",IF('Data Source'!Y815&gt;=3,"B",IF('Data Source'!Y815&gt;=2,"C",IF('Data Source'!Y815&gt;=1,"D","F")))))))</f>
        <v/>
      </c>
      <c r="H815" s="3">
        <f>IF('Data Source'!B815="","",IF('Data Source'!Z815&gt;=5,"A+",IF('Data Source'!Z815&gt;=4,"A",IF('Data Source'!Z815&gt;=3.5,"A-",IF('Data Source'!Z815&gt;=3,"B",IF('Data Source'!Z815&gt;=2,"C",IF('Data Source'!Z815&gt;=1,"D","F")))))))</f>
        <v/>
      </c>
      <c r="I815" s="3">
        <f>IF('Data Source'!B815="","",IF('Data Source'!AA815&gt;=5,"A+",IF('Data Source'!AA815&gt;=4,"A",IF('Data Source'!AA815&gt;=3.5,"A-",IF('Data Source'!AA815&gt;=3,"B",IF('Data Source'!AA815&gt;=2,"C",IF('Data Source'!AA815&gt;=1,"D","F")))))))</f>
        <v/>
      </c>
      <c r="J815" s="3">
        <f>IF('Data Source'!B815="","",IF('Data Source'!AB815&gt;=5,"A+",IF('Data Source'!AB815&gt;=4,"A",IF('Data Source'!AB815&gt;=3.5,"A-",IF('Data Source'!AB815&gt;=3,"B",IF('Data Source'!AB815&gt;=2,"C",IF('Data Source'!AB815&gt;=1,"D","F")))))))</f>
        <v/>
      </c>
      <c r="K815" s="3">
        <f>IF('Data Source'!B815="","",IF('Data Source'!AC815&gt;=5,"A+",IF('Data Source'!AC815&gt;=4,"A",IF('Data Source'!AC815&gt;=3.5,"A-",IF('Data Source'!AC815&gt;=3,"B",IF('Data Source'!AC815&gt;=2,"C",IF('Data Source'!AC815&gt;=1,"D","F")))))))</f>
        <v/>
      </c>
      <c r="L815" s="3">
        <f>IF('Data Source'!B815="","",IF('Data Source'!AD815&gt;=5,"A+",IF('Data Source'!AD815&gt;=4,"A",IF('Data Source'!AD815&gt;=3.5,"A-",IF('Data Source'!AD815&gt;=3,"B",IF('Data Source'!AD815&gt;=2,"C",IF('Data Source'!AD815&gt;=1,"D","F")))))))</f>
        <v/>
      </c>
      <c r="M815" s="3">
        <f>IF('Data Source'!B815="","",IF('Data Source'!AE815&gt;=5,"A+",IF('Data Source'!AE815&gt;=4,"A",IF('Data Source'!AE815&gt;=3.5,"A-",IF('Data Source'!AE815&gt;=3,"B",IF('Data Source'!AE815&gt;=2,"C",IF('Data Source'!AE815&gt;=1,"D","F")))))))</f>
        <v/>
      </c>
      <c r="N815" s="3">
        <f>IF('Data Source'!B815="","",IF('Data Source'!AF815&gt;=5,"A+",IF('Data Source'!AF815&gt;=4,"A",IF('Data Source'!AF815&gt;=3.5,"A-",IF('Data Source'!AF815&gt;=3,"B",IF('Data Source'!AF815&gt;=2,"C",IF('Data Source'!AF815&gt;=1,"D","F")))))))</f>
        <v/>
      </c>
      <c r="O815" s="3">
        <f>IF('Data Source'!B815="","",IF('Data Source'!AG815&gt;=5,"A+",IF('Data Source'!AG815&gt;=4,"A",IF('Data Source'!AG815&gt;=3.5,"A-",IF('Data Source'!AG815&gt;=3,"B",IF('Data Source'!AG815&gt;=2,"C",IF('Data Source'!AG815&gt;=1,"D","F")))))))</f>
        <v/>
      </c>
      <c r="P815" s="5">
        <f>IF('Data Source'!B815="","",'Data Source'!R815)</f>
        <v/>
      </c>
      <c r="Q815" s="3">
        <f>IF('Data Source'!B815="","",'Data Source'!S815)</f>
        <v/>
      </c>
    </row>
    <row r="816">
      <c r="A816" s="3">
        <f>IF('Data Source'!B816="","",'Data Source'!A816)</f>
        <v/>
      </c>
      <c r="B816">
        <f>IF('Data Source'!B816="","",'Data Source'!B816)</f>
        <v/>
      </c>
      <c r="C816" s="3">
        <f>IF('Data Source'!B816="","",IF('Data Source'!U816&gt;=5,"A+",IF('Data Source'!U816&gt;=4,"A",IF('Data Source'!U816&gt;=3.5,"A-",IF('Data Source'!U816&gt;=3,"B",IF('Data Source'!U816&gt;=2,"C",IF('Data Source'!U816&gt;=1,"D","F")))))))</f>
        <v/>
      </c>
      <c r="D816" s="3">
        <f>IF('Data Source'!B816="","",IF('Data Source'!V816&gt;=5,"A+",IF('Data Source'!V816&gt;=4,"A",IF('Data Source'!V816&gt;=3.5,"A-",IF('Data Source'!V816&gt;=3,"B",IF('Data Source'!V816&gt;=2,"C",IF('Data Source'!V816&gt;=1,"D","F")))))))</f>
        <v/>
      </c>
      <c r="E816" s="3">
        <f>IF('Data Source'!B816="","",IF('Data Source'!W816&gt;=5,"A+",IF('Data Source'!W816&gt;=4,"A",IF('Data Source'!W816&gt;=3.5,"A-",IF('Data Source'!W816&gt;=3,"B",IF('Data Source'!W816&gt;=2,"C",IF('Data Source'!W816&gt;=1,"D","F")))))))</f>
        <v/>
      </c>
      <c r="F816" s="3">
        <f>IF('Data Source'!B816="","",IF('Data Source'!X816&gt;=5,"A+",IF('Data Source'!X816&gt;=4,"A",IF('Data Source'!X816&gt;=3.5,"A-",IF('Data Source'!X816&gt;=3,"B",IF('Data Source'!X816&gt;=2,"C",IF('Data Source'!X816&gt;=1,"D","F")))))))</f>
        <v/>
      </c>
      <c r="G816" s="3">
        <f>IF('Data Source'!B816="","",IF('Data Source'!Y816&gt;=5,"A+",IF('Data Source'!Y816&gt;=4,"A",IF('Data Source'!Y816&gt;=3.5,"A-",IF('Data Source'!Y816&gt;=3,"B",IF('Data Source'!Y816&gt;=2,"C",IF('Data Source'!Y816&gt;=1,"D","F")))))))</f>
        <v/>
      </c>
      <c r="H816" s="3">
        <f>IF('Data Source'!B816="","",IF('Data Source'!Z816&gt;=5,"A+",IF('Data Source'!Z816&gt;=4,"A",IF('Data Source'!Z816&gt;=3.5,"A-",IF('Data Source'!Z816&gt;=3,"B",IF('Data Source'!Z816&gt;=2,"C",IF('Data Source'!Z816&gt;=1,"D","F")))))))</f>
        <v/>
      </c>
      <c r="I816" s="3">
        <f>IF('Data Source'!B816="","",IF('Data Source'!AA816&gt;=5,"A+",IF('Data Source'!AA816&gt;=4,"A",IF('Data Source'!AA816&gt;=3.5,"A-",IF('Data Source'!AA816&gt;=3,"B",IF('Data Source'!AA816&gt;=2,"C",IF('Data Source'!AA816&gt;=1,"D","F")))))))</f>
        <v/>
      </c>
      <c r="J816" s="3">
        <f>IF('Data Source'!B816="","",IF('Data Source'!AB816&gt;=5,"A+",IF('Data Source'!AB816&gt;=4,"A",IF('Data Source'!AB816&gt;=3.5,"A-",IF('Data Source'!AB816&gt;=3,"B",IF('Data Source'!AB816&gt;=2,"C",IF('Data Source'!AB816&gt;=1,"D","F")))))))</f>
        <v/>
      </c>
      <c r="K816" s="3">
        <f>IF('Data Source'!B816="","",IF('Data Source'!AC816&gt;=5,"A+",IF('Data Source'!AC816&gt;=4,"A",IF('Data Source'!AC816&gt;=3.5,"A-",IF('Data Source'!AC816&gt;=3,"B",IF('Data Source'!AC816&gt;=2,"C",IF('Data Source'!AC816&gt;=1,"D","F")))))))</f>
        <v/>
      </c>
      <c r="L816" s="3">
        <f>IF('Data Source'!B816="","",IF('Data Source'!AD816&gt;=5,"A+",IF('Data Source'!AD816&gt;=4,"A",IF('Data Source'!AD816&gt;=3.5,"A-",IF('Data Source'!AD816&gt;=3,"B",IF('Data Source'!AD816&gt;=2,"C",IF('Data Source'!AD816&gt;=1,"D","F")))))))</f>
        <v/>
      </c>
      <c r="M816" s="3">
        <f>IF('Data Source'!B816="","",IF('Data Source'!AE816&gt;=5,"A+",IF('Data Source'!AE816&gt;=4,"A",IF('Data Source'!AE816&gt;=3.5,"A-",IF('Data Source'!AE816&gt;=3,"B",IF('Data Source'!AE816&gt;=2,"C",IF('Data Source'!AE816&gt;=1,"D","F")))))))</f>
        <v/>
      </c>
      <c r="N816" s="3">
        <f>IF('Data Source'!B816="","",IF('Data Source'!AF816&gt;=5,"A+",IF('Data Source'!AF816&gt;=4,"A",IF('Data Source'!AF816&gt;=3.5,"A-",IF('Data Source'!AF816&gt;=3,"B",IF('Data Source'!AF816&gt;=2,"C",IF('Data Source'!AF816&gt;=1,"D","F")))))))</f>
        <v/>
      </c>
      <c r="O816" s="3">
        <f>IF('Data Source'!B816="","",IF('Data Source'!AG816&gt;=5,"A+",IF('Data Source'!AG816&gt;=4,"A",IF('Data Source'!AG816&gt;=3.5,"A-",IF('Data Source'!AG816&gt;=3,"B",IF('Data Source'!AG816&gt;=2,"C",IF('Data Source'!AG816&gt;=1,"D","F")))))))</f>
        <v/>
      </c>
      <c r="P816" s="5">
        <f>IF('Data Source'!B816="","",'Data Source'!R816)</f>
        <v/>
      </c>
      <c r="Q816" s="3">
        <f>IF('Data Source'!B816="","",'Data Source'!S816)</f>
        <v/>
      </c>
    </row>
    <row r="817">
      <c r="A817" s="3">
        <f>IF('Data Source'!B817="","",'Data Source'!A817)</f>
        <v/>
      </c>
      <c r="B817">
        <f>IF('Data Source'!B817="","",'Data Source'!B817)</f>
        <v/>
      </c>
      <c r="C817" s="3">
        <f>IF('Data Source'!B817="","",IF('Data Source'!U817&gt;=5,"A+",IF('Data Source'!U817&gt;=4,"A",IF('Data Source'!U817&gt;=3.5,"A-",IF('Data Source'!U817&gt;=3,"B",IF('Data Source'!U817&gt;=2,"C",IF('Data Source'!U817&gt;=1,"D","F")))))))</f>
        <v/>
      </c>
      <c r="D817" s="3">
        <f>IF('Data Source'!B817="","",IF('Data Source'!V817&gt;=5,"A+",IF('Data Source'!V817&gt;=4,"A",IF('Data Source'!V817&gt;=3.5,"A-",IF('Data Source'!V817&gt;=3,"B",IF('Data Source'!V817&gt;=2,"C",IF('Data Source'!V817&gt;=1,"D","F")))))))</f>
        <v/>
      </c>
      <c r="E817" s="3">
        <f>IF('Data Source'!B817="","",IF('Data Source'!W817&gt;=5,"A+",IF('Data Source'!W817&gt;=4,"A",IF('Data Source'!W817&gt;=3.5,"A-",IF('Data Source'!W817&gt;=3,"B",IF('Data Source'!W817&gt;=2,"C",IF('Data Source'!W817&gt;=1,"D","F")))))))</f>
        <v/>
      </c>
      <c r="F817" s="3">
        <f>IF('Data Source'!B817="","",IF('Data Source'!X817&gt;=5,"A+",IF('Data Source'!X817&gt;=4,"A",IF('Data Source'!X817&gt;=3.5,"A-",IF('Data Source'!X817&gt;=3,"B",IF('Data Source'!X817&gt;=2,"C",IF('Data Source'!X817&gt;=1,"D","F")))))))</f>
        <v/>
      </c>
      <c r="G817" s="3">
        <f>IF('Data Source'!B817="","",IF('Data Source'!Y817&gt;=5,"A+",IF('Data Source'!Y817&gt;=4,"A",IF('Data Source'!Y817&gt;=3.5,"A-",IF('Data Source'!Y817&gt;=3,"B",IF('Data Source'!Y817&gt;=2,"C",IF('Data Source'!Y817&gt;=1,"D","F")))))))</f>
        <v/>
      </c>
      <c r="H817" s="3">
        <f>IF('Data Source'!B817="","",IF('Data Source'!Z817&gt;=5,"A+",IF('Data Source'!Z817&gt;=4,"A",IF('Data Source'!Z817&gt;=3.5,"A-",IF('Data Source'!Z817&gt;=3,"B",IF('Data Source'!Z817&gt;=2,"C",IF('Data Source'!Z817&gt;=1,"D","F")))))))</f>
        <v/>
      </c>
      <c r="I817" s="3">
        <f>IF('Data Source'!B817="","",IF('Data Source'!AA817&gt;=5,"A+",IF('Data Source'!AA817&gt;=4,"A",IF('Data Source'!AA817&gt;=3.5,"A-",IF('Data Source'!AA817&gt;=3,"B",IF('Data Source'!AA817&gt;=2,"C",IF('Data Source'!AA817&gt;=1,"D","F")))))))</f>
        <v/>
      </c>
      <c r="J817" s="3">
        <f>IF('Data Source'!B817="","",IF('Data Source'!AB817&gt;=5,"A+",IF('Data Source'!AB817&gt;=4,"A",IF('Data Source'!AB817&gt;=3.5,"A-",IF('Data Source'!AB817&gt;=3,"B",IF('Data Source'!AB817&gt;=2,"C",IF('Data Source'!AB817&gt;=1,"D","F")))))))</f>
        <v/>
      </c>
      <c r="K817" s="3">
        <f>IF('Data Source'!B817="","",IF('Data Source'!AC817&gt;=5,"A+",IF('Data Source'!AC817&gt;=4,"A",IF('Data Source'!AC817&gt;=3.5,"A-",IF('Data Source'!AC817&gt;=3,"B",IF('Data Source'!AC817&gt;=2,"C",IF('Data Source'!AC817&gt;=1,"D","F")))))))</f>
        <v/>
      </c>
      <c r="L817" s="3">
        <f>IF('Data Source'!B817="","",IF('Data Source'!AD817&gt;=5,"A+",IF('Data Source'!AD817&gt;=4,"A",IF('Data Source'!AD817&gt;=3.5,"A-",IF('Data Source'!AD817&gt;=3,"B",IF('Data Source'!AD817&gt;=2,"C",IF('Data Source'!AD817&gt;=1,"D","F")))))))</f>
        <v/>
      </c>
      <c r="M817" s="3">
        <f>IF('Data Source'!B817="","",IF('Data Source'!AE817&gt;=5,"A+",IF('Data Source'!AE817&gt;=4,"A",IF('Data Source'!AE817&gt;=3.5,"A-",IF('Data Source'!AE817&gt;=3,"B",IF('Data Source'!AE817&gt;=2,"C",IF('Data Source'!AE817&gt;=1,"D","F")))))))</f>
        <v/>
      </c>
      <c r="N817" s="3">
        <f>IF('Data Source'!B817="","",IF('Data Source'!AF817&gt;=5,"A+",IF('Data Source'!AF817&gt;=4,"A",IF('Data Source'!AF817&gt;=3.5,"A-",IF('Data Source'!AF817&gt;=3,"B",IF('Data Source'!AF817&gt;=2,"C",IF('Data Source'!AF817&gt;=1,"D","F")))))))</f>
        <v/>
      </c>
      <c r="O817" s="3">
        <f>IF('Data Source'!B817="","",IF('Data Source'!AG817&gt;=5,"A+",IF('Data Source'!AG817&gt;=4,"A",IF('Data Source'!AG817&gt;=3.5,"A-",IF('Data Source'!AG817&gt;=3,"B",IF('Data Source'!AG817&gt;=2,"C",IF('Data Source'!AG817&gt;=1,"D","F")))))))</f>
        <v/>
      </c>
      <c r="P817" s="5">
        <f>IF('Data Source'!B817="","",'Data Source'!R817)</f>
        <v/>
      </c>
      <c r="Q817" s="3">
        <f>IF('Data Source'!B817="","",'Data Source'!S817)</f>
        <v/>
      </c>
    </row>
    <row r="818">
      <c r="A818" s="3">
        <f>IF('Data Source'!B818="","",'Data Source'!A818)</f>
        <v/>
      </c>
      <c r="B818">
        <f>IF('Data Source'!B818="","",'Data Source'!B818)</f>
        <v/>
      </c>
      <c r="C818" s="3">
        <f>IF('Data Source'!B818="","",IF('Data Source'!U818&gt;=5,"A+",IF('Data Source'!U818&gt;=4,"A",IF('Data Source'!U818&gt;=3.5,"A-",IF('Data Source'!U818&gt;=3,"B",IF('Data Source'!U818&gt;=2,"C",IF('Data Source'!U818&gt;=1,"D","F")))))))</f>
        <v/>
      </c>
      <c r="D818" s="3">
        <f>IF('Data Source'!B818="","",IF('Data Source'!V818&gt;=5,"A+",IF('Data Source'!V818&gt;=4,"A",IF('Data Source'!V818&gt;=3.5,"A-",IF('Data Source'!V818&gt;=3,"B",IF('Data Source'!V818&gt;=2,"C",IF('Data Source'!V818&gt;=1,"D","F")))))))</f>
        <v/>
      </c>
      <c r="E818" s="3">
        <f>IF('Data Source'!B818="","",IF('Data Source'!W818&gt;=5,"A+",IF('Data Source'!W818&gt;=4,"A",IF('Data Source'!W818&gt;=3.5,"A-",IF('Data Source'!W818&gt;=3,"B",IF('Data Source'!W818&gt;=2,"C",IF('Data Source'!W818&gt;=1,"D","F")))))))</f>
        <v/>
      </c>
      <c r="F818" s="3">
        <f>IF('Data Source'!B818="","",IF('Data Source'!X818&gt;=5,"A+",IF('Data Source'!X818&gt;=4,"A",IF('Data Source'!X818&gt;=3.5,"A-",IF('Data Source'!X818&gt;=3,"B",IF('Data Source'!X818&gt;=2,"C",IF('Data Source'!X818&gt;=1,"D","F")))))))</f>
        <v/>
      </c>
      <c r="G818" s="3">
        <f>IF('Data Source'!B818="","",IF('Data Source'!Y818&gt;=5,"A+",IF('Data Source'!Y818&gt;=4,"A",IF('Data Source'!Y818&gt;=3.5,"A-",IF('Data Source'!Y818&gt;=3,"B",IF('Data Source'!Y818&gt;=2,"C",IF('Data Source'!Y818&gt;=1,"D","F")))))))</f>
        <v/>
      </c>
      <c r="H818" s="3">
        <f>IF('Data Source'!B818="","",IF('Data Source'!Z818&gt;=5,"A+",IF('Data Source'!Z818&gt;=4,"A",IF('Data Source'!Z818&gt;=3.5,"A-",IF('Data Source'!Z818&gt;=3,"B",IF('Data Source'!Z818&gt;=2,"C",IF('Data Source'!Z818&gt;=1,"D","F")))))))</f>
        <v/>
      </c>
      <c r="I818" s="3">
        <f>IF('Data Source'!B818="","",IF('Data Source'!AA818&gt;=5,"A+",IF('Data Source'!AA818&gt;=4,"A",IF('Data Source'!AA818&gt;=3.5,"A-",IF('Data Source'!AA818&gt;=3,"B",IF('Data Source'!AA818&gt;=2,"C",IF('Data Source'!AA818&gt;=1,"D","F")))))))</f>
        <v/>
      </c>
      <c r="J818" s="3">
        <f>IF('Data Source'!B818="","",IF('Data Source'!AB818&gt;=5,"A+",IF('Data Source'!AB818&gt;=4,"A",IF('Data Source'!AB818&gt;=3.5,"A-",IF('Data Source'!AB818&gt;=3,"B",IF('Data Source'!AB818&gt;=2,"C",IF('Data Source'!AB818&gt;=1,"D","F")))))))</f>
        <v/>
      </c>
      <c r="K818" s="3">
        <f>IF('Data Source'!B818="","",IF('Data Source'!AC818&gt;=5,"A+",IF('Data Source'!AC818&gt;=4,"A",IF('Data Source'!AC818&gt;=3.5,"A-",IF('Data Source'!AC818&gt;=3,"B",IF('Data Source'!AC818&gt;=2,"C",IF('Data Source'!AC818&gt;=1,"D","F")))))))</f>
        <v/>
      </c>
      <c r="L818" s="3">
        <f>IF('Data Source'!B818="","",IF('Data Source'!AD818&gt;=5,"A+",IF('Data Source'!AD818&gt;=4,"A",IF('Data Source'!AD818&gt;=3.5,"A-",IF('Data Source'!AD818&gt;=3,"B",IF('Data Source'!AD818&gt;=2,"C",IF('Data Source'!AD818&gt;=1,"D","F")))))))</f>
        <v/>
      </c>
      <c r="M818" s="3">
        <f>IF('Data Source'!B818="","",IF('Data Source'!AE818&gt;=5,"A+",IF('Data Source'!AE818&gt;=4,"A",IF('Data Source'!AE818&gt;=3.5,"A-",IF('Data Source'!AE818&gt;=3,"B",IF('Data Source'!AE818&gt;=2,"C",IF('Data Source'!AE818&gt;=1,"D","F")))))))</f>
        <v/>
      </c>
      <c r="N818" s="3">
        <f>IF('Data Source'!B818="","",IF('Data Source'!AF818&gt;=5,"A+",IF('Data Source'!AF818&gt;=4,"A",IF('Data Source'!AF818&gt;=3.5,"A-",IF('Data Source'!AF818&gt;=3,"B",IF('Data Source'!AF818&gt;=2,"C",IF('Data Source'!AF818&gt;=1,"D","F")))))))</f>
        <v/>
      </c>
      <c r="O818" s="3">
        <f>IF('Data Source'!B818="","",IF('Data Source'!AG818&gt;=5,"A+",IF('Data Source'!AG818&gt;=4,"A",IF('Data Source'!AG818&gt;=3.5,"A-",IF('Data Source'!AG818&gt;=3,"B",IF('Data Source'!AG818&gt;=2,"C",IF('Data Source'!AG818&gt;=1,"D","F")))))))</f>
        <v/>
      </c>
      <c r="P818" s="5">
        <f>IF('Data Source'!B818="","",'Data Source'!R818)</f>
        <v/>
      </c>
      <c r="Q818" s="3">
        <f>IF('Data Source'!B818="","",'Data Source'!S818)</f>
        <v/>
      </c>
    </row>
    <row r="819">
      <c r="A819" s="3">
        <f>IF('Data Source'!B819="","",'Data Source'!A819)</f>
        <v/>
      </c>
      <c r="B819">
        <f>IF('Data Source'!B819="","",'Data Source'!B819)</f>
        <v/>
      </c>
      <c r="C819" s="3">
        <f>IF('Data Source'!B819="","",IF('Data Source'!U819&gt;=5,"A+",IF('Data Source'!U819&gt;=4,"A",IF('Data Source'!U819&gt;=3.5,"A-",IF('Data Source'!U819&gt;=3,"B",IF('Data Source'!U819&gt;=2,"C",IF('Data Source'!U819&gt;=1,"D","F")))))))</f>
        <v/>
      </c>
      <c r="D819" s="3">
        <f>IF('Data Source'!B819="","",IF('Data Source'!V819&gt;=5,"A+",IF('Data Source'!V819&gt;=4,"A",IF('Data Source'!V819&gt;=3.5,"A-",IF('Data Source'!V819&gt;=3,"B",IF('Data Source'!V819&gt;=2,"C",IF('Data Source'!V819&gt;=1,"D","F")))))))</f>
        <v/>
      </c>
      <c r="E819" s="3">
        <f>IF('Data Source'!B819="","",IF('Data Source'!W819&gt;=5,"A+",IF('Data Source'!W819&gt;=4,"A",IF('Data Source'!W819&gt;=3.5,"A-",IF('Data Source'!W819&gt;=3,"B",IF('Data Source'!W819&gt;=2,"C",IF('Data Source'!W819&gt;=1,"D","F")))))))</f>
        <v/>
      </c>
      <c r="F819" s="3">
        <f>IF('Data Source'!B819="","",IF('Data Source'!X819&gt;=5,"A+",IF('Data Source'!X819&gt;=4,"A",IF('Data Source'!X819&gt;=3.5,"A-",IF('Data Source'!X819&gt;=3,"B",IF('Data Source'!X819&gt;=2,"C",IF('Data Source'!X819&gt;=1,"D","F")))))))</f>
        <v/>
      </c>
      <c r="G819" s="3">
        <f>IF('Data Source'!B819="","",IF('Data Source'!Y819&gt;=5,"A+",IF('Data Source'!Y819&gt;=4,"A",IF('Data Source'!Y819&gt;=3.5,"A-",IF('Data Source'!Y819&gt;=3,"B",IF('Data Source'!Y819&gt;=2,"C",IF('Data Source'!Y819&gt;=1,"D","F")))))))</f>
        <v/>
      </c>
      <c r="H819" s="3">
        <f>IF('Data Source'!B819="","",IF('Data Source'!Z819&gt;=5,"A+",IF('Data Source'!Z819&gt;=4,"A",IF('Data Source'!Z819&gt;=3.5,"A-",IF('Data Source'!Z819&gt;=3,"B",IF('Data Source'!Z819&gt;=2,"C",IF('Data Source'!Z819&gt;=1,"D","F")))))))</f>
        <v/>
      </c>
      <c r="I819" s="3">
        <f>IF('Data Source'!B819="","",IF('Data Source'!AA819&gt;=5,"A+",IF('Data Source'!AA819&gt;=4,"A",IF('Data Source'!AA819&gt;=3.5,"A-",IF('Data Source'!AA819&gt;=3,"B",IF('Data Source'!AA819&gt;=2,"C",IF('Data Source'!AA819&gt;=1,"D","F")))))))</f>
        <v/>
      </c>
      <c r="J819" s="3">
        <f>IF('Data Source'!B819="","",IF('Data Source'!AB819&gt;=5,"A+",IF('Data Source'!AB819&gt;=4,"A",IF('Data Source'!AB819&gt;=3.5,"A-",IF('Data Source'!AB819&gt;=3,"B",IF('Data Source'!AB819&gt;=2,"C",IF('Data Source'!AB819&gt;=1,"D","F")))))))</f>
        <v/>
      </c>
      <c r="K819" s="3">
        <f>IF('Data Source'!B819="","",IF('Data Source'!AC819&gt;=5,"A+",IF('Data Source'!AC819&gt;=4,"A",IF('Data Source'!AC819&gt;=3.5,"A-",IF('Data Source'!AC819&gt;=3,"B",IF('Data Source'!AC819&gt;=2,"C",IF('Data Source'!AC819&gt;=1,"D","F")))))))</f>
        <v/>
      </c>
      <c r="L819" s="3">
        <f>IF('Data Source'!B819="","",IF('Data Source'!AD819&gt;=5,"A+",IF('Data Source'!AD819&gt;=4,"A",IF('Data Source'!AD819&gt;=3.5,"A-",IF('Data Source'!AD819&gt;=3,"B",IF('Data Source'!AD819&gt;=2,"C",IF('Data Source'!AD819&gt;=1,"D","F")))))))</f>
        <v/>
      </c>
      <c r="M819" s="3">
        <f>IF('Data Source'!B819="","",IF('Data Source'!AE819&gt;=5,"A+",IF('Data Source'!AE819&gt;=4,"A",IF('Data Source'!AE819&gt;=3.5,"A-",IF('Data Source'!AE819&gt;=3,"B",IF('Data Source'!AE819&gt;=2,"C",IF('Data Source'!AE819&gt;=1,"D","F")))))))</f>
        <v/>
      </c>
      <c r="N819" s="3">
        <f>IF('Data Source'!B819="","",IF('Data Source'!AF819&gt;=5,"A+",IF('Data Source'!AF819&gt;=4,"A",IF('Data Source'!AF819&gt;=3.5,"A-",IF('Data Source'!AF819&gt;=3,"B",IF('Data Source'!AF819&gt;=2,"C",IF('Data Source'!AF819&gt;=1,"D","F")))))))</f>
        <v/>
      </c>
      <c r="O819" s="3">
        <f>IF('Data Source'!B819="","",IF('Data Source'!AG819&gt;=5,"A+",IF('Data Source'!AG819&gt;=4,"A",IF('Data Source'!AG819&gt;=3.5,"A-",IF('Data Source'!AG819&gt;=3,"B",IF('Data Source'!AG819&gt;=2,"C",IF('Data Source'!AG819&gt;=1,"D","F")))))))</f>
        <v/>
      </c>
      <c r="P819" s="5">
        <f>IF('Data Source'!B819="","",'Data Source'!R819)</f>
        <v/>
      </c>
      <c r="Q819" s="3">
        <f>IF('Data Source'!B819="","",'Data Source'!S819)</f>
        <v/>
      </c>
    </row>
    <row r="820">
      <c r="A820" s="3">
        <f>IF('Data Source'!B820="","",'Data Source'!A820)</f>
        <v/>
      </c>
      <c r="B820">
        <f>IF('Data Source'!B820="","",'Data Source'!B820)</f>
        <v/>
      </c>
      <c r="C820" s="3">
        <f>IF('Data Source'!B820="","",IF('Data Source'!U820&gt;=5,"A+",IF('Data Source'!U820&gt;=4,"A",IF('Data Source'!U820&gt;=3.5,"A-",IF('Data Source'!U820&gt;=3,"B",IF('Data Source'!U820&gt;=2,"C",IF('Data Source'!U820&gt;=1,"D","F")))))))</f>
        <v/>
      </c>
      <c r="D820" s="3">
        <f>IF('Data Source'!B820="","",IF('Data Source'!V820&gt;=5,"A+",IF('Data Source'!V820&gt;=4,"A",IF('Data Source'!V820&gt;=3.5,"A-",IF('Data Source'!V820&gt;=3,"B",IF('Data Source'!V820&gt;=2,"C",IF('Data Source'!V820&gt;=1,"D","F")))))))</f>
        <v/>
      </c>
      <c r="E820" s="3">
        <f>IF('Data Source'!B820="","",IF('Data Source'!W820&gt;=5,"A+",IF('Data Source'!W820&gt;=4,"A",IF('Data Source'!W820&gt;=3.5,"A-",IF('Data Source'!W820&gt;=3,"B",IF('Data Source'!W820&gt;=2,"C",IF('Data Source'!W820&gt;=1,"D","F")))))))</f>
        <v/>
      </c>
      <c r="F820" s="3">
        <f>IF('Data Source'!B820="","",IF('Data Source'!X820&gt;=5,"A+",IF('Data Source'!X820&gt;=4,"A",IF('Data Source'!X820&gt;=3.5,"A-",IF('Data Source'!X820&gt;=3,"B",IF('Data Source'!X820&gt;=2,"C",IF('Data Source'!X820&gt;=1,"D","F")))))))</f>
        <v/>
      </c>
      <c r="G820" s="3">
        <f>IF('Data Source'!B820="","",IF('Data Source'!Y820&gt;=5,"A+",IF('Data Source'!Y820&gt;=4,"A",IF('Data Source'!Y820&gt;=3.5,"A-",IF('Data Source'!Y820&gt;=3,"B",IF('Data Source'!Y820&gt;=2,"C",IF('Data Source'!Y820&gt;=1,"D","F")))))))</f>
        <v/>
      </c>
      <c r="H820" s="3">
        <f>IF('Data Source'!B820="","",IF('Data Source'!Z820&gt;=5,"A+",IF('Data Source'!Z820&gt;=4,"A",IF('Data Source'!Z820&gt;=3.5,"A-",IF('Data Source'!Z820&gt;=3,"B",IF('Data Source'!Z820&gt;=2,"C",IF('Data Source'!Z820&gt;=1,"D","F")))))))</f>
        <v/>
      </c>
      <c r="I820" s="3">
        <f>IF('Data Source'!B820="","",IF('Data Source'!AA820&gt;=5,"A+",IF('Data Source'!AA820&gt;=4,"A",IF('Data Source'!AA820&gt;=3.5,"A-",IF('Data Source'!AA820&gt;=3,"B",IF('Data Source'!AA820&gt;=2,"C",IF('Data Source'!AA820&gt;=1,"D","F")))))))</f>
        <v/>
      </c>
      <c r="J820" s="3">
        <f>IF('Data Source'!B820="","",IF('Data Source'!AB820&gt;=5,"A+",IF('Data Source'!AB820&gt;=4,"A",IF('Data Source'!AB820&gt;=3.5,"A-",IF('Data Source'!AB820&gt;=3,"B",IF('Data Source'!AB820&gt;=2,"C",IF('Data Source'!AB820&gt;=1,"D","F")))))))</f>
        <v/>
      </c>
      <c r="K820" s="3">
        <f>IF('Data Source'!B820="","",IF('Data Source'!AC820&gt;=5,"A+",IF('Data Source'!AC820&gt;=4,"A",IF('Data Source'!AC820&gt;=3.5,"A-",IF('Data Source'!AC820&gt;=3,"B",IF('Data Source'!AC820&gt;=2,"C",IF('Data Source'!AC820&gt;=1,"D","F")))))))</f>
        <v/>
      </c>
      <c r="L820" s="3">
        <f>IF('Data Source'!B820="","",IF('Data Source'!AD820&gt;=5,"A+",IF('Data Source'!AD820&gt;=4,"A",IF('Data Source'!AD820&gt;=3.5,"A-",IF('Data Source'!AD820&gt;=3,"B",IF('Data Source'!AD820&gt;=2,"C",IF('Data Source'!AD820&gt;=1,"D","F")))))))</f>
        <v/>
      </c>
      <c r="M820" s="3">
        <f>IF('Data Source'!B820="","",IF('Data Source'!AE820&gt;=5,"A+",IF('Data Source'!AE820&gt;=4,"A",IF('Data Source'!AE820&gt;=3.5,"A-",IF('Data Source'!AE820&gt;=3,"B",IF('Data Source'!AE820&gt;=2,"C",IF('Data Source'!AE820&gt;=1,"D","F")))))))</f>
        <v/>
      </c>
      <c r="N820" s="3">
        <f>IF('Data Source'!B820="","",IF('Data Source'!AF820&gt;=5,"A+",IF('Data Source'!AF820&gt;=4,"A",IF('Data Source'!AF820&gt;=3.5,"A-",IF('Data Source'!AF820&gt;=3,"B",IF('Data Source'!AF820&gt;=2,"C",IF('Data Source'!AF820&gt;=1,"D","F")))))))</f>
        <v/>
      </c>
      <c r="O820" s="3">
        <f>IF('Data Source'!B820="","",IF('Data Source'!AG820&gt;=5,"A+",IF('Data Source'!AG820&gt;=4,"A",IF('Data Source'!AG820&gt;=3.5,"A-",IF('Data Source'!AG820&gt;=3,"B",IF('Data Source'!AG820&gt;=2,"C",IF('Data Source'!AG820&gt;=1,"D","F")))))))</f>
        <v/>
      </c>
      <c r="P820" s="5">
        <f>IF('Data Source'!B820="","",'Data Source'!R820)</f>
        <v/>
      </c>
      <c r="Q820" s="3">
        <f>IF('Data Source'!B820="","",'Data Source'!S820)</f>
        <v/>
      </c>
    </row>
    <row r="821">
      <c r="A821" s="3">
        <f>IF('Data Source'!B821="","",'Data Source'!A821)</f>
        <v/>
      </c>
      <c r="B821">
        <f>IF('Data Source'!B821="","",'Data Source'!B821)</f>
        <v/>
      </c>
      <c r="C821" s="3">
        <f>IF('Data Source'!B821="","",IF('Data Source'!U821&gt;=5,"A+",IF('Data Source'!U821&gt;=4,"A",IF('Data Source'!U821&gt;=3.5,"A-",IF('Data Source'!U821&gt;=3,"B",IF('Data Source'!U821&gt;=2,"C",IF('Data Source'!U821&gt;=1,"D","F")))))))</f>
        <v/>
      </c>
      <c r="D821" s="3">
        <f>IF('Data Source'!B821="","",IF('Data Source'!V821&gt;=5,"A+",IF('Data Source'!V821&gt;=4,"A",IF('Data Source'!V821&gt;=3.5,"A-",IF('Data Source'!V821&gt;=3,"B",IF('Data Source'!V821&gt;=2,"C",IF('Data Source'!V821&gt;=1,"D","F")))))))</f>
        <v/>
      </c>
      <c r="E821" s="3">
        <f>IF('Data Source'!B821="","",IF('Data Source'!W821&gt;=5,"A+",IF('Data Source'!W821&gt;=4,"A",IF('Data Source'!W821&gt;=3.5,"A-",IF('Data Source'!W821&gt;=3,"B",IF('Data Source'!W821&gt;=2,"C",IF('Data Source'!W821&gt;=1,"D","F")))))))</f>
        <v/>
      </c>
      <c r="F821" s="3">
        <f>IF('Data Source'!B821="","",IF('Data Source'!X821&gt;=5,"A+",IF('Data Source'!X821&gt;=4,"A",IF('Data Source'!X821&gt;=3.5,"A-",IF('Data Source'!X821&gt;=3,"B",IF('Data Source'!X821&gt;=2,"C",IF('Data Source'!X821&gt;=1,"D","F")))))))</f>
        <v/>
      </c>
      <c r="G821" s="3">
        <f>IF('Data Source'!B821="","",IF('Data Source'!Y821&gt;=5,"A+",IF('Data Source'!Y821&gt;=4,"A",IF('Data Source'!Y821&gt;=3.5,"A-",IF('Data Source'!Y821&gt;=3,"B",IF('Data Source'!Y821&gt;=2,"C",IF('Data Source'!Y821&gt;=1,"D","F")))))))</f>
        <v/>
      </c>
      <c r="H821" s="3">
        <f>IF('Data Source'!B821="","",IF('Data Source'!Z821&gt;=5,"A+",IF('Data Source'!Z821&gt;=4,"A",IF('Data Source'!Z821&gt;=3.5,"A-",IF('Data Source'!Z821&gt;=3,"B",IF('Data Source'!Z821&gt;=2,"C",IF('Data Source'!Z821&gt;=1,"D","F")))))))</f>
        <v/>
      </c>
      <c r="I821" s="3">
        <f>IF('Data Source'!B821="","",IF('Data Source'!AA821&gt;=5,"A+",IF('Data Source'!AA821&gt;=4,"A",IF('Data Source'!AA821&gt;=3.5,"A-",IF('Data Source'!AA821&gt;=3,"B",IF('Data Source'!AA821&gt;=2,"C",IF('Data Source'!AA821&gt;=1,"D","F")))))))</f>
        <v/>
      </c>
      <c r="J821" s="3">
        <f>IF('Data Source'!B821="","",IF('Data Source'!AB821&gt;=5,"A+",IF('Data Source'!AB821&gt;=4,"A",IF('Data Source'!AB821&gt;=3.5,"A-",IF('Data Source'!AB821&gt;=3,"B",IF('Data Source'!AB821&gt;=2,"C",IF('Data Source'!AB821&gt;=1,"D","F")))))))</f>
        <v/>
      </c>
      <c r="K821" s="3">
        <f>IF('Data Source'!B821="","",IF('Data Source'!AC821&gt;=5,"A+",IF('Data Source'!AC821&gt;=4,"A",IF('Data Source'!AC821&gt;=3.5,"A-",IF('Data Source'!AC821&gt;=3,"B",IF('Data Source'!AC821&gt;=2,"C",IF('Data Source'!AC821&gt;=1,"D","F")))))))</f>
        <v/>
      </c>
      <c r="L821" s="3">
        <f>IF('Data Source'!B821="","",IF('Data Source'!AD821&gt;=5,"A+",IF('Data Source'!AD821&gt;=4,"A",IF('Data Source'!AD821&gt;=3.5,"A-",IF('Data Source'!AD821&gt;=3,"B",IF('Data Source'!AD821&gt;=2,"C",IF('Data Source'!AD821&gt;=1,"D","F")))))))</f>
        <v/>
      </c>
      <c r="M821" s="3">
        <f>IF('Data Source'!B821="","",IF('Data Source'!AE821&gt;=5,"A+",IF('Data Source'!AE821&gt;=4,"A",IF('Data Source'!AE821&gt;=3.5,"A-",IF('Data Source'!AE821&gt;=3,"B",IF('Data Source'!AE821&gt;=2,"C",IF('Data Source'!AE821&gt;=1,"D","F")))))))</f>
        <v/>
      </c>
      <c r="N821" s="3">
        <f>IF('Data Source'!B821="","",IF('Data Source'!AF821&gt;=5,"A+",IF('Data Source'!AF821&gt;=4,"A",IF('Data Source'!AF821&gt;=3.5,"A-",IF('Data Source'!AF821&gt;=3,"B",IF('Data Source'!AF821&gt;=2,"C",IF('Data Source'!AF821&gt;=1,"D","F")))))))</f>
        <v/>
      </c>
      <c r="O821" s="3">
        <f>IF('Data Source'!B821="","",IF('Data Source'!AG821&gt;=5,"A+",IF('Data Source'!AG821&gt;=4,"A",IF('Data Source'!AG821&gt;=3.5,"A-",IF('Data Source'!AG821&gt;=3,"B",IF('Data Source'!AG821&gt;=2,"C",IF('Data Source'!AG821&gt;=1,"D","F")))))))</f>
        <v/>
      </c>
      <c r="P821" s="5">
        <f>IF('Data Source'!B821="","",'Data Source'!R821)</f>
        <v/>
      </c>
      <c r="Q821" s="3">
        <f>IF('Data Source'!B821="","",'Data Source'!S821)</f>
        <v/>
      </c>
    </row>
    <row r="822">
      <c r="A822" s="3">
        <f>IF('Data Source'!B822="","",'Data Source'!A822)</f>
        <v/>
      </c>
      <c r="B822">
        <f>IF('Data Source'!B822="","",'Data Source'!B822)</f>
        <v/>
      </c>
      <c r="C822" s="3">
        <f>IF('Data Source'!B822="","",IF('Data Source'!U822&gt;=5,"A+",IF('Data Source'!U822&gt;=4,"A",IF('Data Source'!U822&gt;=3.5,"A-",IF('Data Source'!U822&gt;=3,"B",IF('Data Source'!U822&gt;=2,"C",IF('Data Source'!U822&gt;=1,"D","F")))))))</f>
        <v/>
      </c>
      <c r="D822" s="3">
        <f>IF('Data Source'!B822="","",IF('Data Source'!V822&gt;=5,"A+",IF('Data Source'!V822&gt;=4,"A",IF('Data Source'!V822&gt;=3.5,"A-",IF('Data Source'!V822&gt;=3,"B",IF('Data Source'!V822&gt;=2,"C",IF('Data Source'!V822&gt;=1,"D","F")))))))</f>
        <v/>
      </c>
      <c r="E822" s="3">
        <f>IF('Data Source'!B822="","",IF('Data Source'!W822&gt;=5,"A+",IF('Data Source'!W822&gt;=4,"A",IF('Data Source'!W822&gt;=3.5,"A-",IF('Data Source'!W822&gt;=3,"B",IF('Data Source'!W822&gt;=2,"C",IF('Data Source'!W822&gt;=1,"D","F")))))))</f>
        <v/>
      </c>
      <c r="F822" s="3">
        <f>IF('Data Source'!B822="","",IF('Data Source'!X822&gt;=5,"A+",IF('Data Source'!X822&gt;=4,"A",IF('Data Source'!X822&gt;=3.5,"A-",IF('Data Source'!X822&gt;=3,"B",IF('Data Source'!X822&gt;=2,"C",IF('Data Source'!X822&gt;=1,"D","F")))))))</f>
        <v/>
      </c>
      <c r="G822" s="3">
        <f>IF('Data Source'!B822="","",IF('Data Source'!Y822&gt;=5,"A+",IF('Data Source'!Y822&gt;=4,"A",IF('Data Source'!Y822&gt;=3.5,"A-",IF('Data Source'!Y822&gt;=3,"B",IF('Data Source'!Y822&gt;=2,"C",IF('Data Source'!Y822&gt;=1,"D","F")))))))</f>
        <v/>
      </c>
      <c r="H822" s="3">
        <f>IF('Data Source'!B822="","",IF('Data Source'!Z822&gt;=5,"A+",IF('Data Source'!Z822&gt;=4,"A",IF('Data Source'!Z822&gt;=3.5,"A-",IF('Data Source'!Z822&gt;=3,"B",IF('Data Source'!Z822&gt;=2,"C",IF('Data Source'!Z822&gt;=1,"D","F")))))))</f>
        <v/>
      </c>
      <c r="I822" s="3">
        <f>IF('Data Source'!B822="","",IF('Data Source'!AA822&gt;=5,"A+",IF('Data Source'!AA822&gt;=4,"A",IF('Data Source'!AA822&gt;=3.5,"A-",IF('Data Source'!AA822&gt;=3,"B",IF('Data Source'!AA822&gt;=2,"C",IF('Data Source'!AA822&gt;=1,"D","F")))))))</f>
        <v/>
      </c>
      <c r="J822" s="3">
        <f>IF('Data Source'!B822="","",IF('Data Source'!AB822&gt;=5,"A+",IF('Data Source'!AB822&gt;=4,"A",IF('Data Source'!AB822&gt;=3.5,"A-",IF('Data Source'!AB822&gt;=3,"B",IF('Data Source'!AB822&gt;=2,"C",IF('Data Source'!AB822&gt;=1,"D","F")))))))</f>
        <v/>
      </c>
      <c r="K822" s="3">
        <f>IF('Data Source'!B822="","",IF('Data Source'!AC822&gt;=5,"A+",IF('Data Source'!AC822&gt;=4,"A",IF('Data Source'!AC822&gt;=3.5,"A-",IF('Data Source'!AC822&gt;=3,"B",IF('Data Source'!AC822&gt;=2,"C",IF('Data Source'!AC822&gt;=1,"D","F")))))))</f>
        <v/>
      </c>
      <c r="L822" s="3">
        <f>IF('Data Source'!B822="","",IF('Data Source'!AD822&gt;=5,"A+",IF('Data Source'!AD822&gt;=4,"A",IF('Data Source'!AD822&gt;=3.5,"A-",IF('Data Source'!AD822&gt;=3,"B",IF('Data Source'!AD822&gt;=2,"C",IF('Data Source'!AD822&gt;=1,"D","F")))))))</f>
        <v/>
      </c>
      <c r="M822" s="3">
        <f>IF('Data Source'!B822="","",IF('Data Source'!AE822&gt;=5,"A+",IF('Data Source'!AE822&gt;=4,"A",IF('Data Source'!AE822&gt;=3.5,"A-",IF('Data Source'!AE822&gt;=3,"B",IF('Data Source'!AE822&gt;=2,"C",IF('Data Source'!AE822&gt;=1,"D","F")))))))</f>
        <v/>
      </c>
      <c r="N822" s="3">
        <f>IF('Data Source'!B822="","",IF('Data Source'!AF822&gt;=5,"A+",IF('Data Source'!AF822&gt;=4,"A",IF('Data Source'!AF822&gt;=3.5,"A-",IF('Data Source'!AF822&gt;=3,"B",IF('Data Source'!AF822&gt;=2,"C",IF('Data Source'!AF822&gt;=1,"D","F")))))))</f>
        <v/>
      </c>
      <c r="O822" s="3">
        <f>IF('Data Source'!B822="","",IF('Data Source'!AG822&gt;=5,"A+",IF('Data Source'!AG822&gt;=4,"A",IF('Data Source'!AG822&gt;=3.5,"A-",IF('Data Source'!AG822&gt;=3,"B",IF('Data Source'!AG822&gt;=2,"C",IF('Data Source'!AG822&gt;=1,"D","F")))))))</f>
        <v/>
      </c>
      <c r="P822" s="5">
        <f>IF('Data Source'!B822="","",'Data Source'!R822)</f>
        <v/>
      </c>
      <c r="Q822" s="3">
        <f>IF('Data Source'!B822="","",'Data Source'!S822)</f>
        <v/>
      </c>
    </row>
    <row r="823">
      <c r="A823" s="3">
        <f>IF('Data Source'!B823="","",'Data Source'!A823)</f>
        <v/>
      </c>
      <c r="B823">
        <f>IF('Data Source'!B823="","",'Data Source'!B823)</f>
        <v/>
      </c>
      <c r="C823" s="3">
        <f>IF('Data Source'!B823="","",IF('Data Source'!U823&gt;=5,"A+",IF('Data Source'!U823&gt;=4,"A",IF('Data Source'!U823&gt;=3.5,"A-",IF('Data Source'!U823&gt;=3,"B",IF('Data Source'!U823&gt;=2,"C",IF('Data Source'!U823&gt;=1,"D","F")))))))</f>
        <v/>
      </c>
      <c r="D823" s="3">
        <f>IF('Data Source'!B823="","",IF('Data Source'!V823&gt;=5,"A+",IF('Data Source'!V823&gt;=4,"A",IF('Data Source'!V823&gt;=3.5,"A-",IF('Data Source'!V823&gt;=3,"B",IF('Data Source'!V823&gt;=2,"C",IF('Data Source'!V823&gt;=1,"D","F")))))))</f>
        <v/>
      </c>
      <c r="E823" s="3">
        <f>IF('Data Source'!B823="","",IF('Data Source'!W823&gt;=5,"A+",IF('Data Source'!W823&gt;=4,"A",IF('Data Source'!W823&gt;=3.5,"A-",IF('Data Source'!W823&gt;=3,"B",IF('Data Source'!W823&gt;=2,"C",IF('Data Source'!W823&gt;=1,"D","F")))))))</f>
        <v/>
      </c>
      <c r="F823" s="3">
        <f>IF('Data Source'!B823="","",IF('Data Source'!X823&gt;=5,"A+",IF('Data Source'!X823&gt;=4,"A",IF('Data Source'!X823&gt;=3.5,"A-",IF('Data Source'!X823&gt;=3,"B",IF('Data Source'!X823&gt;=2,"C",IF('Data Source'!X823&gt;=1,"D","F")))))))</f>
        <v/>
      </c>
      <c r="G823" s="3">
        <f>IF('Data Source'!B823="","",IF('Data Source'!Y823&gt;=5,"A+",IF('Data Source'!Y823&gt;=4,"A",IF('Data Source'!Y823&gt;=3.5,"A-",IF('Data Source'!Y823&gt;=3,"B",IF('Data Source'!Y823&gt;=2,"C",IF('Data Source'!Y823&gt;=1,"D","F")))))))</f>
        <v/>
      </c>
      <c r="H823" s="3">
        <f>IF('Data Source'!B823="","",IF('Data Source'!Z823&gt;=5,"A+",IF('Data Source'!Z823&gt;=4,"A",IF('Data Source'!Z823&gt;=3.5,"A-",IF('Data Source'!Z823&gt;=3,"B",IF('Data Source'!Z823&gt;=2,"C",IF('Data Source'!Z823&gt;=1,"D","F")))))))</f>
        <v/>
      </c>
      <c r="I823" s="3">
        <f>IF('Data Source'!B823="","",IF('Data Source'!AA823&gt;=5,"A+",IF('Data Source'!AA823&gt;=4,"A",IF('Data Source'!AA823&gt;=3.5,"A-",IF('Data Source'!AA823&gt;=3,"B",IF('Data Source'!AA823&gt;=2,"C",IF('Data Source'!AA823&gt;=1,"D","F")))))))</f>
        <v/>
      </c>
      <c r="J823" s="3">
        <f>IF('Data Source'!B823="","",IF('Data Source'!AB823&gt;=5,"A+",IF('Data Source'!AB823&gt;=4,"A",IF('Data Source'!AB823&gt;=3.5,"A-",IF('Data Source'!AB823&gt;=3,"B",IF('Data Source'!AB823&gt;=2,"C",IF('Data Source'!AB823&gt;=1,"D","F")))))))</f>
        <v/>
      </c>
      <c r="K823" s="3">
        <f>IF('Data Source'!B823="","",IF('Data Source'!AC823&gt;=5,"A+",IF('Data Source'!AC823&gt;=4,"A",IF('Data Source'!AC823&gt;=3.5,"A-",IF('Data Source'!AC823&gt;=3,"B",IF('Data Source'!AC823&gt;=2,"C",IF('Data Source'!AC823&gt;=1,"D","F")))))))</f>
        <v/>
      </c>
      <c r="L823" s="3">
        <f>IF('Data Source'!B823="","",IF('Data Source'!AD823&gt;=5,"A+",IF('Data Source'!AD823&gt;=4,"A",IF('Data Source'!AD823&gt;=3.5,"A-",IF('Data Source'!AD823&gt;=3,"B",IF('Data Source'!AD823&gt;=2,"C",IF('Data Source'!AD823&gt;=1,"D","F")))))))</f>
        <v/>
      </c>
      <c r="M823" s="3">
        <f>IF('Data Source'!B823="","",IF('Data Source'!AE823&gt;=5,"A+",IF('Data Source'!AE823&gt;=4,"A",IF('Data Source'!AE823&gt;=3.5,"A-",IF('Data Source'!AE823&gt;=3,"B",IF('Data Source'!AE823&gt;=2,"C",IF('Data Source'!AE823&gt;=1,"D","F")))))))</f>
        <v/>
      </c>
      <c r="N823" s="3">
        <f>IF('Data Source'!B823="","",IF('Data Source'!AF823&gt;=5,"A+",IF('Data Source'!AF823&gt;=4,"A",IF('Data Source'!AF823&gt;=3.5,"A-",IF('Data Source'!AF823&gt;=3,"B",IF('Data Source'!AF823&gt;=2,"C",IF('Data Source'!AF823&gt;=1,"D","F")))))))</f>
        <v/>
      </c>
      <c r="O823" s="3">
        <f>IF('Data Source'!B823="","",IF('Data Source'!AG823&gt;=5,"A+",IF('Data Source'!AG823&gt;=4,"A",IF('Data Source'!AG823&gt;=3.5,"A-",IF('Data Source'!AG823&gt;=3,"B",IF('Data Source'!AG823&gt;=2,"C",IF('Data Source'!AG823&gt;=1,"D","F")))))))</f>
        <v/>
      </c>
      <c r="P823" s="5">
        <f>IF('Data Source'!B823="","",'Data Source'!R823)</f>
        <v/>
      </c>
      <c r="Q823" s="3">
        <f>IF('Data Source'!B823="","",'Data Source'!S823)</f>
        <v/>
      </c>
    </row>
    <row r="824">
      <c r="A824" s="3">
        <f>IF('Data Source'!B824="","",'Data Source'!A824)</f>
        <v/>
      </c>
      <c r="B824">
        <f>IF('Data Source'!B824="","",'Data Source'!B824)</f>
        <v/>
      </c>
      <c r="C824" s="3">
        <f>IF('Data Source'!B824="","",IF('Data Source'!U824&gt;=5,"A+",IF('Data Source'!U824&gt;=4,"A",IF('Data Source'!U824&gt;=3.5,"A-",IF('Data Source'!U824&gt;=3,"B",IF('Data Source'!U824&gt;=2,"C",IF('Data Source'!U824&gt;=1,"D","F")))))))</f>
        <v/>
      </c>
      <c r="D824" s="3">
        <f>IF('Data Source'!B824="","",IF('Data Source'!V824&gt;=5,"A+",IF('Data Source'!V824&gt;=4,"A",IF('Data Source'!V824&gt;=3.5,"A-",IF('Data Source'!V824&gt;=3,"B",IF('Data Source'!V824&gt;=2,"C",IF('Data Source'!V824&gt;=1,"D","F")))))))</f>
        <v/>
      </c>
      <c r="E824" s="3">
        <f>IF('Data Source'!B824="","",IF('Data Source'!W824&gt;=5,"A+",IF('Data Source'!W824&gt;=4,"A",IF('Data Source'!W824&gt;=3.5,"A-",IF('Data Source'!W824&gt;=3,"B",IF('Data Source'!W824&gt;=2,"C",IF('Data Source'!W824&gt;=1,"D","F")))))))</f>
        <v/>
      </c>
      <c r="F824" s="3">
        <f>IF('Data Source'!B824="","",IF('Data Source'!X824&gt;=5,"A+",IF('Data Source'!X824&gt;=4,"A",IF('Data Source'!X824&gt;=3.5,"A-",IF('Data Source'!X824&gt;=3,"B",IF('Data Source'!X824&gt;=2,"C",IF('Data Source'!X824&gt;=1,"D","F")))))))</f>
        <v/>
      </c>
      <c r="G824" s="3">
        <f>IF('Data Source'!B824="","",IF('Data Source'!Y824&gt;=5,"A+",IF('Data Source'!Y824&gt;=4,"A",IF('Data Source'!Y824&gt;=3.5,"A-",IF('Data Source'!Y824&gt;=3,"B",IF('Data Source'!Y824&gt;=2,"C",IF('Data Source'!Y824&gt;=1,"D","F")))))))</f>
        <v/>
      </c>
      <c r="H824" s="3">
        <f>IF('Data Source'!B824="","",IF('Data Source'!Z824&gt;=5,"A+",IF('Data Source'!Z824&gt;=4,"A",IF('Data Source'!Z824&gt;=3.5,"A-",IF('Data Source'!Z824&gt;=3,"B",IF('Data Source'!Z824&gt;=2,"C",IF('Data Source'!Z824&gt;=1,"D","F")))))))</f>
        <v/>
      </c>
      <c r="I824" s="3">
        <f>IF('Data Source'!B824="","",IF('Data Source'!AA824&gt;=5,"A+",IF('Data Source'!AA824&gt;=4,"A",IF('Data Source'!AA824&gt;=3.5,"A-",IF('Data Source'!AA824&gt;=3,"B",IF('Data Source'!AA824&gt;=2,"C",IF('Data Source'!AA824&gt;=1,"D","F")))))))</f>
        <v/>
      </c>
      <c r="J824" s="3">
        <f>IF('Data Source'!B824="","",IF('Data Source'!AB824&gt;=5,"A+",IF('Data Source'!AB824&gt;=4,"A",IF('Data Source'!AB824&gt;=3.5,"A-",IF('Data Source'!AB824&gt;=3,"B",IF('Data Source'!AB824&gt;=2,"C",IF('Data Source'!AB824&gt;=1,"D","F")))))))</f>
        <v/>
      </c>
      <c r="K824" s="3">
        <f>IF('Data Source'!B824="","",IF('Data Source'!AC824&gt;=5,"A+",IF('Data Source'!AC824&gt;=4,"A",IF('Data Source'!AC824&gt;=3.5,"A-",IF('Data Source'!AC824&gt;=3,"B",IF('Data Source'!AC824&gt;=2,"C",IF('Data Source'!AC824&gt;=1,"D","F")))))))</f>
        <v/>
      </c>
      <c r="L824" s="3">
        <f>IF('Data Source'!B824="","",IF('Data Source'!AD824&gt;=5,"A+",IF('Data Source'!AD824&gt;=4,"A",IF('Data Source'!AD824&gt;=3.5,"A-",IF('Data Source'!AD824&gt;=3,"B",IF('Data Source'!AD824&gt;=2,"C",IF('Data Source'!AD824&gt;=1,"D","F")))))))</f>
        <v/>
      </c>
      <c r="M824" s="3">
        <f>IF('Data Source'!B824="","",IF('Data Source'!AE824&gt;=5,"A+",IF('Data Source'!AE824&gt;=4,"A",IF('Data Source'!AE824&gt;=3.5,"A-",IF('Data Source'!AE824&gt;=3,"B",IF('Data Source'!AE824&gt;=2,"C",IF('Data Source'!AE824&gt;=1,"D","F")))))))</f>
        <v/>
      </c>
      <c r="N824" s="3">
        <f>IF('Data Source'!B824="","",IF('Data Source'!AF824&gt;=5,"A+",IF('Data Source'!AF824&gt;=4,"A",IF('Data Source'!AF824&gt;=3.5,"A-",IF('Data Source'!AF824&gt;=3,"B",IF('Data Source'!AF824&gt;=2,"C",IF('Data Source'!AF824&gt;=1,"D","F")))))))</f>
        <v/>
      </c>
      <c r="O824" s="3">
        <f>IF('Data Source'!B824="","",IF('Data Source'!AG824&gt;=5,"A+",IF('Data Source'!AG824&gt;=4,"A",IF('Data Source'!AG824&gt;=3.5,"A-",IF('Data Source'!AG824&gt;=3,"B",IF('Data Source'!AG824&gt;=2,"C",IF('Data Source'!AG824&gt;=1,"D","F")))))))</f>
        <v/>
      </c>
      <c r="P824" s="5">
        <f>IF('Data Source'!B824="","",'Data Source'!R824)</f>
        <v/>
      </c>
      <c r="Q824" s="3">
        <f>IF('Data Source'!B824="","",'Data Source'!S824)</f>
        <v/>
      </c>
    </row>
    <row r="825">
      <c r="A825" s="3">
        <f>IF('Data Source'!B825="","",'Data Source'!A825)</f>
        <v/>
      </c>
      <c r="B825">
        <f>IF('Data Source'!B825="","",'Data Source'!B825)</f>
        <v/>
      </c>
      <c r="C825" s="3">
        <f>IF('Data Source'!B825="","",IF('Data Source'!U825&gt;=5,"A+",IF('Data Source'!U825&gt;=4,"A",IF('Data Source'!U825&gt;=3.5,"A-",IF('Data Source'!U825&gt;=3,"B",IF('Data Source'!U825&gt;=2,"C",IF('Data Source'!U825&gt;=1,"D","F")))))))</f>
        <v/>
      </c>
      <c r="D825" s="3">
        <f>IF('Data Source'!B825="","",IF('Data Source'!V825&gt;=5,"A+",IF('Data Source'!V825&gt;=4,"A",IF('Data Source'!V825&gt;=3.5,"A-",IF('Data Source'!V825&gt;=3,"B",IF('Data Source'!V825&gt;=2,"C",IF('Data Source'!V825&gt;=1,"D","F")))))))</f>
        <v/>
      </c>
      <c r="E825" s="3">
        <f>IF('Data Source'!B825="","",IF('Data Source'!W825&gt;=5,"A+",IF('Data Source'!W825&gt;=4,"A",IF('Data Source'!W825&gt;=3.5,"A-",IF('Data Source'!W825&gt;=3,"B",IF('Data Source'!W825&gt;=2,"C",IF('Data Source'!W825&gt;=1,"D","F")))))))</f>
        <v/>
      </c>
      <c r="F825" s="3">
        <f>IF('Data Source'!B825="","",IF('Data Source'!X825&gt;=5,"A+",IF('Data Source'!X825&gt;=4,"A",IF('Data Source'!X825&gt;=3.5,"A-",IF('Data Source'!X825&gt;=3,"B",IF('Data Source'!X825&gt;=2,"C",IF('Data Source'!X825&gt;=1,"D","F")))))))</f>
        <v/>
      </c>
      <c r="G825" s="3">
        <f>IF('Data Source'!B825="","",IF('Data Source'!Y825&gt;=5,"A+",IF('Data Source'!Y825&gt;=4,"A",IF('Data Source'!Y825&gt;=3.5,"A-",IF('Data Source'!Y825&gt;=3,"B",IF('Data Source'!Y825&gt;=2,"C",IF('Data Source'!Y825&gt;=1,"D","F")))))))</f>
        <v/>
      </c>
      <c r="H825" s="3">
        <f>IF('Data Source'!B825="","",IF('Data Source'!Z825&gt;=5,"A+",IF('Data Source'!Z825&gt;=4,"A",IF('Data Source'!Z825&gt;=3.5,"A-",IF('Data Source'!Z825&gt;=3,"B",IF('Data Source'!Z825&gt;=2,"C",IF('Data Source'!Z825&gt;=1,"D","F")))))))</f>
        <v/>
      </c>
      <c r="I825" s="3">
        <f>IF('Data Source'!B825="","",IF('Data Source'!AA825&gt;=5,"A+",IF('Data Source'!AA825&gt;=4,"A",IF('Data Source'!AA825&gt;=3.5,"A-",IF('Data Source'!AA825&gt;=3,"B",IF('Data Source'!AA825&gt;=2,"C",IF('Data Source'!AA825&gt;=1,"D","F")))))))</f>
        <v/>
      </c>
      <c r="J825" s="3">
        <f>IF('Data Source'!B825="","",IF('Data Source'!AB825&gt;=5,"A+",IF('Data Source'!AB825&gt;=4,"A",IF('Data Source'!AB825&gt;=3.5,"A-",IF('Data Source'!AB825&gt;=3,"B",IF('Data Source'!AB825&gt;=2,"C",IF('Data Source'!AB825&gt;=1,"D","F")))))))</f>
        <v/>
      </c>
      <c r="K825" s="3">
        <f>IF('Data Source'!B825="","",IF('Data Source'!AC825&gt;=5,"A+",IF('Data Source'!AC825&gt;=4,"A",IF('Data Source'!AC825&gt;=3.5,"A-",IF('Data Source'!AC825&gt;=3,"B",IF('Data Source'!AC825&gt;=2,"C",IF('Data Source'!AC825&gt;=1,"D","F")))))))</f>
        <v/>
      </c>
      <c r="L825" s="3">
        <f>IF('Data Source'!B825="","",IF('Data Source'!AD825&gt;=5,"A+",IF('Data Source'!AD825&gt;=4,"A",IF('Data Source'!AD825&gt;=3.5,"A-",IF('Data Source'!AD825&gt;=3,"B",IF('Data Source'!AD825&gt;=2,"C",IF('Data Source'!AD825&gt;=1,"D","F")))))))</f>
        <v/>
      </c>
      <c r="M825" s="3">
        <f>IF('Data Source'!B825="","",IF('Data Source'!AE825&gt;=5,"A+",IF('Data Source'!AE825&gt;=4,"A",IF('Data Source'!AE825&gt;=3.5,"A-",IF('Data Source'!AE825&gt;=3,"B",IF('Data Source'!AE825&gt;=2,"C",IF('Data Source'!AE825&gt;=1,"D","F")))))))</f>
        <v/>
      </c>
      <c r="N825" s="3">
        <f>IF('Data Source'!B825="","",IF('Data Source'!AF825&gt;=5,"A+",IF('Data Source'!AF825&gt;=4,"A",IF('Data Source'!AF825&gt;=3.5,"A-",IF('Data Source'!AF825&gt;=3,"B",IF('Data Source'!AF825&gt;=2,"C",IF('Data Source'!AF825&gt;=1,"D","F")))))))</f>
        <v/>
      </c>
      <c r="O825" s="3">
        <f>IF('Data Source'!B825="","",IF('Data Source'!AG825&gt;=5,"A+",IF('Data Source'!AG825&gt;=4,"A",IF('Data Source'!AG825&gt;=3.5,"A-",IF('Data Source'!AG825&gt;=3,"B",IF('Data Source'!AG825&gt;=2,"C",IF('Data Source'!AG825&gt;=1,"D","F")))))))</f>
        <v/>
      </c>
      <c r="P825" s="5">
        <f>IF('Data Source'!B825="","",'Data Source'!R825)</f>
        <v/>
      </c>
      <c r="Q825" s="3">
        <f>IF('Data Source'!B825="","",'Data Source'!S825)</f>
        <v/>
      </c>
    </row>
    <row r="826">
      <c r="A826" s="3">
        <f>IF('Data Source'!B826="","",'Data Source'!A826)</f>
        <v/>
      </c>
      <c r="B826">
        <f>IF('Data Source'!B826="","",'Data Source'!B826)</f>
        <v/>
      </c>
      <c r="C826" s="3">
        <f>IF('Data Source'!B826="","",IF('Data Source'!U826&gt;=5,"A+",IF('Data Source'!U826&gt;=4,"A",IF('Data Source'!U826&gt;=3.5,"A-",IF('Data Source'!U826&gt;=3,"B",IF('Data Source'!U826&gt;=2,"C",IF('Data Source'!U826&gt;=1,"D","F")))))))</f>
        <v/>
      </c>
      <c r="D826" s="3">
        <f>IF('Data Source'!B826="","",IF('Data Source'!V826&gt;=5,"A+",IF('Data Source'!V826&gt;=4,"A",IF('Data Source'!V826&gt;=3.5,"A-",IF('Data Source'!V826&gt;=3,"B",IF('Data Source'!V826&gt;=2,"C",IF('Data Source'!V826&gt;=1,"D","F")))))))</f>
        <v/>
      </c>
      <c r="E826" s="3">
        <f>IF('Data Source'!B826="","",IF('Data Source'!W826&gt;=5,"A+",IF('Data Source'!W826&gt;=4,"A",IF('Data Source'!W826&gt;=3.5,"A-",IF('Data Source'!W826&gt;=3,"B",IF('Data Source'!W826&gt;=2,"C",IF('Data Source'!W826&gt;=1,"D","F")))))))</f>
        <v/>
      </c>
      <c r="F826" s="3">
        <f>IF('Data Source'!B826="","",IF('Data Source'!X826&gt;=5,"A+",IF('Data Source'!X826&gt;=4,"A",IF('Data Source'!X826&gt;=3.5,"A-",IF('Data Source'!X826&gt;=3,"B",IF('Data Source'!X826&gt;=2,"C",IF('Data Source'!X826&gt;=1,"D","F")))))))</f>
        <v/>
      </c>
      <c r="G826" s="3">
        <f>IF('Data Source'!B826="","",IF('Data Source'!Y826&gt;=5,"A+",IF('Data Source'!Y826&gt;=4,"A",IF('Data Source'!Y826&gt;=3.5,"A-",IF('Data Source'!Y826&gt;=3,"B",IF('Data Source'!Y826&gt;=2,"C",IF('Data Source'!Y826&gt;=1,"D","F")))))))</f>
        <v/>
      </c>
      <c r="H826" s="3">
        <f>IF('Data Source'!B826="","",IF('Data Source'!Z826&gt;=5,"A+",IF('Data Source'!Z826&gt;=4,"A",IF('Data Source'!Z826&gt;=3.5,"A-",IF('Data Source'!Z826&gt;=3,"B",IF('Data Source'!Z826&gt;=2,"C",IF('Data Source'!Z826&gt;=1,"D","F")))))))</f>
        <v/>
      </c>
      <c r="I826" s="3">
        <f>IF('Data Source'!B826="","",IF('Data Source'!AA826&gt;=5,"A+",IF('Data Source'!AA826&gt;=4,"A",IF('Data Source'!AA826&gt;=3.5,"A-",IF('Data Source'!AA826&gt;=3,"B",IF('Data Source'!AA826&gt;=2,"C",IF('Data Source'!AA826&gt;=1,"D","F")))))))</f>
        <v/>
      </c>
      <c r="J826" s="3">
        <f>IF('Data Source'!B826="","",IF('Data Source'!AB826&gt;=5,"A+",IF('Data Source'!AB826&gt;=4,"A",IF('Data Source'!AB826&gt;=3.5,"A-",IF('Data Source'!AB826&gt;=3,"B",IF('Data Source'!AB826&gt;=2,"C",IF('Data Source'!AB826&gt;=1,"D","F")))))))</f>
        <v/>
      </c>
      <c r="K826" s="3">
        <f>IF('Data Source'!B826="","",IF('Data Source'!AC826&gt;=5,"A+",IF('Data Source'!AC826&gt;=4,"A",IF('Data Source'!AC826&gt;=3.5,"A-",IF('Data Source'!AC826&gt;=3,"B",IF('Data Source'!AC826&gt;=2,"C",IF('Data Source'!AC826&gt;=1,"D","F")))))))</f>
        <v/>
      </c>
      <c r="L826" s="3">
        <f>IF('Data Source'!B826="","",IF('Data Source'!AD826&gt;=5,"A+",IF('Data Source'!AD826&gt;=4,"A",IF('Data Source'!AD826&gt;=3.5,"A-",IF('Data Source'!AD826&gt;=3,"B",IF('Data Source'!AD826&gt;=2,"C",IF('Data Source'!AD826&gt;=1,"D","F")))))))</f>
        <v/>
      </c>
      <c r="M826" s="3">
        <f>IF('Data Source'!B826="","",IF('Data Source'!AE826&gt;=5,"A+",IF('Data Source'!AE826&gt;=4,"A",IF('Data Source'!AE826&gt;=3.5,"A-",IF('Data Source'!AE826&gt;=3,"B",IF('Data Source'!AE826&gt;=2,"C",IF('Data Source'!AE826&gt;=1,"D","F")))))))</f>
        <v/>
      </c>
      <c r="N826" s="3">
        <f>IF('Data Source'!B826="","",IF('Data Source'!AF826&gt;=5,"A+",IF('Data Source'!AF826&gt;=4,"A",IF('Data Source'!AF826&gt;=3.5,"A-",IF('Data Source'!AF826&gt;=3,"B",IF('Data Source'!AF826&gt;=2,"C",IF('Data Source'!AF826&gt;=1,"D","F")))))))</f>
        <v/>
      </c>
      <c r="O826" s="3">
        <f>IF('Data Source'!B826="","",IF('Data Source'!AG826&gt;=5,"A+",IF('Data Source'!AG826&gt;=4,"A",IF('Data Source'!AG826&gt;=3.5,"A-",IF('Data Source'!AG826&gt;=3,"B",IF('Data Source'!AG826&gt;=2,"C",IF('Data Source'!AG826&gt;=1,"D","F")))))))</f>
        <v/>
      </c>
      <c r="P826" s="5">
        <f>IF('Data Source'!B826="","",'Data Source'!R826)</f>
        <v/>
      </c>
      <c r="Q826" s="3">
        <f>IF('Data Source'!B826="","",'Data Source'!S826)</f>
        <v/>
      </c>
    </row>
    <row r="827">
      <c r="A827" s="3">
        <f>IF('Data Source'!B827="","",'Data Source'!A827)</f>
        <v/>
      </c>
      <c r="B827">
        <f>IF('Data Source'!B827="","",'Data Source'!B827)</f>
        <v/>
      </c>
      <c r="C827" s="3">
        <f>IF('Data Source'!B827="","",IF('Data Source'!U827&gt;=5,"A+",IF('Data Source'!U827&gt;=4,"A",IF('Data Source'!U827&gt;=3.5,"A-",IF('Data Source'!U827&gt;=3,"B",IF('Data Source'!U827&gt;=2,"C",IF('Data Source'!U827&gt;=1,"D","F")))))))</f>
        <v/>
      </c>
      <c r="D827" s="3">
        <f>IF('Data Source'!B827="","",IF('Data Source'!V827&gt;=5,"A+",IF('Data Source'!V827&gt;=4,"A",IF('Data Source'!V827&gt;=3.5,"A-",IF('Data Source'!V827&gt;=3,"B",IF('Data Source'!V827&gt;=2,"C",IF('Data Source'!V827&gt;=1,"D","F")))))))</f>
        <v/>
      </c>
      <c r="E827" s="3">
        <f>IF('Data Source'!B827="","",IF('Data Source'!W827&gt;=5,"A+",IF('Data Source'!W827&gt;=4,"A",IF('Data Source'!W827&gt;=3.5,"A-",IF('Data Source'!W827&gt;=3,"B",IF('Data Source'!W827&gt;=2,"C",IF('Data Source'!W827&gt;=1,"D","F")))))))</f>
        <v/>
      </c>
      <c r="F827" s="3">
        <f>IF('Data Source'!B827="","",IF('Data Source'!X827&gt;=5,"A+",IF('Data Source'!X827&gt;=4,"A",IF('Data Source'!X827&gt;=3.5,"A-",IF('Data Source'!X827&gt;=3,"B",IF('Data Source'!X827&gt;=2,"C",IF('Data Source'!X827&gt;=1,"D","F")))))))</f>
        <v/>
      </c>
      <c r="G827" s="3">
        <f>IF('Data Source'!B827="","",IF('Data Source'!Y827&gt;=5,"A+",IF('Data Source'!Y827&gt;=4,"A",IF('Data Source'!Y827&gt;=3.5,"A-",IF('Data Source'!Y827&gt;=3,"B",IF('Data Source'!Y827&gt;=2,"C",IF('Data Source'!Y827&gt;=1,"D","F")))))))</f>
        <v/>
      </c>
      <c r="H827" s="3">
        <f>IF('Data Source'!B827="","",IF('Data Source'!Z827&gt;=5,"A+",IF('Data Source'!Z827&gt;=4,"A",IF('Data Source'!Z827&gt;=3.5,"A-",IF('Data Source'!Z827&gt;=3,"B",IF('Data Source'!Z827&gt;=2,"C",IF('Data Source'!Z827&gt;=1,"D","F")))))))</f>
        <v/>
      </c>
      <c r="I827" s="3">
        <f>IF('Data Source'!B827="","",IF('Data Source'!AA827&gt;=5,"A+",IF('Data Source'!AA827&gt;=4,"A",IF('Data Source'!AA827&gt;=3.5,"A-",IF('Data Source'!AA827&gt;=3,"B",IF('Data Source'!AA827&gt;=2,"C",IF('Data Source'!AA827&gt;=1,"D","F")))))))</f>
        <v/>
      </c>
      <c r="J827" s="3">
        <f>IF('Data Source'!B827="","",IF('Data Source'!AB827&gt;=5,"A+",IF('Data Source'!AB827&gt;=4,"A",IF('Data Source'!AB827&gt;=3.5,"A-",IF('Data Source'!AB827&gt;=3,"B",IF('Data Source'!AB827&gt;=2,"C",IF('Data Source'!AB827&gt;=1,"D","F")))))))</f>
        <v/>
      </c>
      <c r="K827" s="3">
        <f>IF('Data Source'!B827="","",IF('Data Source'!AC827&gt;=5,"A+",IF('Data Source'!AC827&gt;=4,"A",IF('Data Source'!AC827&gt;=3.5,"A-",IF('Data Source'!AC827&gt;=3,"B",IF('Data Source'!AC827&gt;=2,"C",IF('Data Source'!AC827&gt;=1,"D","F")))))))</f>
        <v/>
      </c>
      <c r="L827" s="3">
        <f>IF('Data Source'!B827="","",IF('Data Source'!AD827&gt;=5,"A+",IF('Data Source'!AD827&gt;=4,"A",IF('Data Source'!AD827&gt;=3.5,"A-",IF('Data Source'!AD827&gt;=3,"B",IF('Data Source'!AD827&gt;=2,"C",IF('Data Source'!AD827&gt;=1,"D","F")))))))</f>
        <v/>
      </c>
      <c r="M827" s="3">
        <f>IF('Data Source'!B827="","",IF('Data Source'!AE827&gt;=5,"A+",IF('Data Source'!AE827&gt;=4,"A",IF('Data Source'!AE827&gt;=3.5,"A-",IF('Data Source'!AE827&gt;=3,"B",IF('Data Source'!AE827&gt;=2,"C",IF('Data Source'!AE827&gt;=1,"D","F")))))))</f>
        <v/>
      </c>
      <c r="N827" s="3">
        <f>IF('Data Source'!B827="","",IF('Data Source'!AF827&gt;=5,"A+",IF('Data Source'!AF827&gt;=4,"A",IF('Data Source'!AF827&gt;=3.5,"A-",IF('Data Source'!AF827&gt;=3,"B",IF('Data Source'!AF827&gt;=2,"C",IF('Data Source'!AF827&gt;=1,"D","F")))))))</f>
        <v/>
      </c>
      <c r="O827" s="3">
        <f>IF('Data Source'!B827="","",IF('Data Source'!AG827&gt;=5,"A+",IF('Data Source'!AG827&gt;=4,"A",IF('Data Source'!AG827&gt;=3.5,"A-",IF('Data Source'!AG827&gt;=3,"B",IF('Data Source'!AG827&gt;=2,"C",IF('Data Source'!AG827&gt;=1,"D","F")))))))</f>
        <v/>
      </c>
      <c r="P827" s="5">
        <f>IF('Data Source'!B827="","",'Data Source'!R827)</f>
        <v/>
      </c>
      <c r="Q827" s="3">
        <f>IF('Data Source'!B827="","",'Data Source'!S827)</f>
        <v/>
      </c>
    </row>
    <row r="828">
      <c r="A828" s="3">
        <f>IF('Data Source'!B828="","",'Data Source'!A828)</f>
        <v/>
      </c>
      <c r="B828">
        <f>IF('Data Source'!B828="","",'Data Source'!B828)</f>
        <v/>
      </c>
      <c r="C828" s="3">
        <f>IF('Data Source'!B828="","",IF('Data Source'!U828&gt;=5,"A+",IF('Data Source'!U828&gt;=4,"A",IF('Data Source'!U828&gt;=3.5,"A-",IF('Data Source'!U828&gt;=3,"B",IF('Data Source'!U828&gt;=2,"C",IF('Data Source'!U828&gt;=1,"D","F")))))))</f>
        <v/>
      </c>
      <c r="D828" s="3">
        <f>IF('Data Source'!B828="","",IF('Data Source'!V828&gt;=5,"A+",IF('Data Source'!V828&gt;=4,"A",IF('Data Source'!V828&gt;=3.5,"A-",IF('Data Source'!V828&gt;=3,"B",IF('Data Source'!V828&gt;=2,"C",IF('Data Source'!V828&gt;=1,"D","F")))))))</f>
        <v/>
      </c>
      <c r="E828" s="3">
        <f>IF('Data Source'!B828="","",IF('Data Source'!W828&gt;=5,"A+",IF('Data Source'!W828&gt;=4,"A",IF('Data Source'!W828&gt;=3.5,"A-",IF('Data Source'!W828&gt;=3,"B",IF('Data Source'!W828&gt;=2,"C",IF('Data Source'!W828&gt;=1,"D","F")))))))</f>
        <v/>
      </c>
      <c r="F828" s="3">
        <f>IF('Data Source'!B828="","",IF('Data Source'!X828&gt;=5,"A+",IF('Data Source'!X828&gt;=4,"A",IF('Data Source'!X828&gt;=3.5,"A-",IF('Data Source'!X828&gt;=3,"B",IF('Data Source'!X828&gt;=2,"C",IF('Data Source'!X828&gt;=1,"D","F")))))))</f>
        <v/>
      </c>
      <c r="G828" s="3">
        <f>IF('Data Source'!B828="","",IF('Data Source'!Y828&gt;=5,"A+",IF('Data Source'!Y828&gt;=4,"A",IF('Data Source'!Y828&gt;=3.5,"A-",IF('Data Source'!Y828&gt;=3,"B",IF('Data Source'!Y828&gt;=2,"C",IF('Data Source'!Y828&gt;=1,"D","F")))))))</f>
        <v/>
      </c>
      <c r="H828" s="3">
        <f>IF('Data Source'!B828="","",IF('Data Source'!Z828&gt;=5,"A+",IF('Data Source'!Z828&gt;=4,"A",IF('Data Source'!Z828&gt;=3.5,"A-",IF('Data Source'!Z828&gt;=3,"B",IF('Data Source'!Z828&gt;=2,"C",IF('Data Source'!Z828&gt;=1,"D","F")))))))</f>
        <v/>
      </c>
      <c r="I828" s="3">
        <f>IF('Data Source'!B828="","",IF('Data Source'!AA828&gt;=5,"A+",IF('Data Source'!AA828&gt;=4,"A",IF('Data Source'!AA828&gt;=3.5,"A-",IF('Data Source'!AA828&gt;=3,"B",IF('Data Source'!AA828&gt;=2,"C",IF('Data Source'!AA828&gt;=1,"D","F")))))))</f>
        <v/>
      </c>
      <c r="J828" s="3">
        <f>IF('Data Source'!B828="","",IF('Data Source'!AB828&gt;=5,"A+",IF('Data Source'!AB828&gt;=4,"A",IF('Data Source'!AB828&gt;=3.5,"A-",IF('Data Source'!AB828&gt;=3,"B",IF('Data Source'!AB828&gt;=2,"C",IF('Data Source'!AB828&gt;=1,"D","F")))))))</f>
        <v/>
      </c>
      <c r="K828" s="3">
        <f>IF('Data Source'!B828="","",IF('Data Source'!AC828&gt;=5,"A+",IF('Data Source'!AC828&gt;=4,"A",IF('Data Source'!AC828&gt;=3.5,"A-",IF('Data Source'!AC828&gt;=3,"B",IF('Data Source'!AC828&gt;=2,"C",IF('Data Source'!AC828&gt;=1,"D","F")))))))</f>
        <v/>
      </c>
      <c r="L828" s="3">
        <f>IF('Data Source'!B828="","",IF('Data Source'!AD828&gt;=5,"A+",IF('Data Source'!AD828&gt;=4,"A",IF('Data Source'!AD828&gt;=3.5,"A-",IF('Data Source'!AD828&gt;=3,"B",IF('Data Source'!AD828&gt;=2,"C",IF('Data Source'!AD828&gt;=1,"D","F")))))))</f>
        <v/>
      </c>
      <c r="M828" s="3">
        <f>IF('Data Source'!B828="","",IF('Data Source'!AE828&gt;=5,"A+",IF('Data Source'!AE828&gt;=4,"A",IF('Data Source'!AE828&gt;=3.5,"A-",IF('Data Source'!AE828&gt;=3,"B",IF('Data Source'!AE828&gt;=2,"C",IF('Data Source'!AE828&gt;=1,"D","F")))))))</f>
        <v/>
      </c>
      <c r="N828" s="3">
        <f>IF('Data Source'!B828="","",IF('Data Source'!AF828&gt;=5,"A+",IF('Data Source'!AF828&gt;=4,"A",IF('Data Source'!AF828&gt;=3.5,"A-",IF('Data Source'!AF828&gt;=3,"B",IF('Data Source'!AF828&gt;=2,"C",IF('Data Source'!AF828&gt;=1,"D","F")))))))</f>
        <v/>
      </c>
      <c r="O828" s="3">
        <f>IF('Data Source'!B828="","",IF('Data Source'!AG828&gt;=5,"A+",IF('Data Source'!AG828&gt;=4,"A",IF('Data Source'!AG828&gt;=3.5,"A-",IF('Data Source'!AG828&gt;=3,"B",IF('Data Source'!AG828&gt;=2,"C",IF('Data Source'!AG828&gt;=1,"D","F")))))))</f>
        <v/>
      </c>
      <c r="P828" s="5">
        <f>IF('Data Source'!B828="","",'Data Source'!R828)</f>
        <v/>
      </c>
      <c r="Q828" s="3">
        <f>IF('Data Source'!B828="","",'Data Source'!S828)</f>
        <v/>
      </c>
    </row>
    <row r="829">
      <c r="A829" s="3">
        <f>IF('Data Source'!B829="","",'Data Source'!A829)</f>
        <v/>
      </c>
      <c r="B829">
        <f>IF('Data Source'!B829="","",'Data Source'!B829)</f>
        <v/>
      </c>
      <c r="C829" s="3">
        <f>IF('Data Source'!B829="","",IF('Data Source'!U829&gt;=5,"A+",IF('Data Source'!U829&gt;=4,"A",IF('Data Source'!U829&gt;=3.5,"A-",IF('Data Source'!U829&gt;=3,"B",IF('Data Source'!U829&gt;=2,"C",IF('Data Source'!U829&gt;=1,"D","F")))))))</f>
        <v/>
      </c>
      <c r="D829" s="3">
        <f>IF('Data Source'!B829="","",IF('Data Source'!V829&gt;=5,"A+",IF('Data Source'!V829&gt;=4,"A",IF('Data Source'!V829&gt;=3.5,"A-",IF('Data Source'!V829&gt;=3,"B",IF('Data Source'!V829&gt;=2,"C",IF('Data Source'!V829&gt;=1,"D","F")))))))</f>
        <v/>
      </c>
      <c r="E829" s="3">
        <f>IF('Data Source'!B829="","",IF('Data Source'!W829&gt;=5,"A+",IF('Data Source'!W829&gt;=4,"A",IF('Data Source'!W829&gt;=3.5,"A-",IF('Data Source'!W829&gt;=3,"B",IF('Data Source'!W829&gt;=2,"C",IF('Data Source'!W829&gt;=1,"D","F")))))))</f>
        <v/>
      </c>
      <c r="F829" s="3">
        <f>IF('Data Source'!B829="","",IF('Data Source'!X829&gt;=5,"A+",IF('Data Source'!X829&gt;=4,"A",IF('Data Source'!X829&gt;=3.5,"A-",IF('Data Source'!X829&gt;=3,"B",IF('Data Source'!X829&gt;=2,"C",IF('Data Source'!X829&gt;=1,"D","F")))))))</f>
        <v/>
      </c>
      <c r="G829" s="3">
        <f>IF('Data Source'!B829="","",IF('Data Source'!Y829&gt;=5,"A+",IF('Data Source'!Y829&gt;=4,"A",IF('Data Source'!Y829&gt;=3.5,"A-",IF('Data Source'!Y829&gt;=3,"B",IF('Data Source'!Y829&gt;=2,"C",IF('Data Source'!Y829&gt;=1,"D","F")))))))</f>
        <v/>
      </c>
      <c r="H829" s="3">
        <f>IF('Data Source'!B829="","",IF('Data Source'!Z829&gt;=5,"A+",IF('Data Source'!Z829&gt;=4,"A",IF('Data Source'!Z829&gt;=3.5,"A-",IF('Data Source'!Z829&gt;=3,"B",IF('Data Source'!Z829&gt;=2,"C",IF('Data Source'!Z829&gt;=1,"D","F")))))))</f>
        <v/>
      </c>
      <c r="I829" s="3">
        <f>IF('Data Source'!B829="","",IF('Data Source'!AA829&gt;=5,"A+",IF('Data Source'!AA829&gt;=4,"A",IF('Data Source'!AA829&gt;=3.5,"A-",IF('Data Source'!AA829&gt;=3,"B",IF('Data Source'!AA829&gt;=2,"C",IF('Data Source'!AA829&gt;=1,"D","F")))))))</f>
        <v/>
      </c>
      <c r="J829" s="3">
        <f>IF('Data Source'!B829="","",IF('Data Source'!AB829&gt;=5,"A+",IF('Data Source'!AB829&gt;=4,"A",IF('Data Source'!AB829&gt;=3.5,"A-",IF('Data Source'!AB829&gt;=3,"B",IF('Data Source'!AB829&gt;=2,"C",IF('Data Source'!AB829&gt;=1,"D","F")))))))</f>
        <v/>
      </c>
      <c r="K829" s="3">
        <f>IF('Data Source'!B829="","",IF('Data Source'!AC829&gt;=5,"A+",IF('Data Source'!AC829&gt;=4,"A",IF('Data Source'!AC829&gt;=3.5,"A-",IF('Data Source'!AC829&gt;=3,"B",IF('Data Source'!AC829&gt;=2,"C",IF('Data Source'!AC829&gt;=1,"D","F")))))))</f>
        <v/>
      </c>
      <c r="L829" s="3">
        <f>IF('Data Source'!B829="","",IF('Data Source'!AD829&gt;=5,"A+",IF('Data Source'!AD829&gt;=4,"A",IF('Data Source'!AD829&gt;=3.5,"A-",IF('Data Source'!AD829&gt;=3,"B",IF('Data Source'!AD829&gt;=2,"C",IF('Data Source'!AD829&gt;=1,"D","F")))))))</f>
        <v/>
      </c>
      <c r="M829" s="3">
        <f>IF('Data Source'!B829="","",IF('Data Source'!AE829&gt;=5,"A+",IF('Data Source'!AE829&gt;=4,"A",IF('Data Source'!AE829&gt;=3.5,"A-",IF('Data Source'!AE829&gt;=3,"B",IF('Data Source'!AE829&gt;=2,"C",IF('Data Source'!AE829&gt;=1,"D","F")))))))</f>
        <v/>
      </c>
      <c r="N829" s="3">
        <f>IF('Data Source'!B829="","",IF('Data Source'!AF829&gt;=5,"A+",IF('Data Source'!AF829&gt;=4,"A",IF('Data Source'!AF829&gt;=3.5,"A-",IF('Data Source'!AF829&gt;=3,"B",IF('Data Source'!AF829&gt;=2,"C",IF('Data Source'!AF829&gt;=1,"D","F")))))))</f>
        <v/>
      </c>
      <c r="O829" s="3">
        <f>IF('Data Source'!B829="","",IF('Data Source'!AG829&gt;=5,"A+",IF('Data Source'!AG829&gt;=4,"A",IF('Data Source'!AG829&gt;=3.5,"A-",IF('Data Source'!AG829&gt;=3,"B",IF('Data Source'!AG829&gt;=2,"C",IF('Data Source'!AG829&gt;=1,"D","F")))))))</f>
        <v/>
      </c>
      <c r="P829" s="5">
        <f>IF('Data Source'!B829="","",'Data Source'!R829)</f>
        <v/>
      </c>
      <c r="Q829" s="3">
        <f>IF('Data Source'!B829="","",'Data Source'!S829)</f>
        <v/>
      </c>
    </row>
    <row r="830">
      <c r="A830" s="3">
        <f>IF('Data Source'!B830="","",'Data Source'!A830)</f>
        <v/>
      </c>
      <c r="B830">
        <f>IF('Data Source'!B830="","",'Data Source'!B830)</f>
        <v/>
      </c>
      <c r="C830" s="3">
        <f>IF('Data Source'!B830="","",IF('Data Source'!U830&gt;=5,"A+",IF('Data Source'!U830&gt;=4,"A",IF('Data Source'!U830&gt;=3.5,"A-",IF('Data Source'!U830&gt;=3,"B",IF('Data Source'!U830&gt;=2,"C",IF('Data Source'!U830&gt;=1,"D","F")))))))</f>
        <v/>
      </c>
      <c r="D830" s="3">
        <f>IF('Data Source'!B830="","",IF('Data Source'!V830&gt;=5,"A+",IF('Data Source'!V830&gt;=4,"A",IF('Data Source'!V830&gt;=3.5,"A-",IF('Data Source'!V830&gt;=3,"B",IF('Data Source'!V830&gt;=2,"C",IF('Data Source'!V830&gt;=1,"D","F")))))))</f>
        <v/>
      </c>
      <c r="E830" s="3">
        <f>IF('Data Source'!B830="","",IF('Data Source'!W830&gt;=5,"A+",IF('Data Source'!W830&gt;=4,"A",IF('Data Source'!W830&gt;=3.5,"A-",IF('Data Source'!W830&gt;=3,"B",IF('Data Source'!W830&gt;=2,"C",IF('Data Source'!W830&gt;=1,"D","F")))))))</f>
        <v/>
      </c>
      <c r="F830" s="3">
        <f>IF('Data Source'!B830="","",IF('Data Source'!X830&gt;=5,"A+",IF('Data Source'!X830&gt;=4,"A",IF('Data Source'!X830&gt;=3.5,"A-",IF('Data Source'!X830&gt;=3,"B",IF('Data Source'!X830&gt;=2,"C",IF('Data Source'!X830&gt;=1,"D","F")))))))</f>
        <v/>
      </c>
      <c r="G830" s="3">
        <f>IF('Data Source'!B830="","",IF('Data Source'!Y830&gt;=5,"A+",IF('Data Source'!Y830&gt;=4,"A",IF('Data Source'!Y830&gt;=3.5,"A-",IF('Data Source'!Y830&gt;=3,"B",IF('Data Source'!Y830&gt;=2,"C",IF('Data Source'!Y830&gt;=1,"D","F")))))))</f>
        <v/>
      </c>
      <c r="H830" s="3">
        <f>IF('Data Source'!B830="","",IF('Data Source'!Z830&gt;=5,"A+",IF('Data Source'!Z830&gt;=4,"A",IF('Data Source'!Z830&gt;=3.5,"A-",IF('Data Source'!Z830&gt;=3,"B",IF('Data Source'!Z830&gt;=2,"C",IF('Data Source'!Z830&gt;=1,"D","F")))))))</f>
        <v/>
      </c>
      <c r="I830" s="3">
        <f>IF('Data Source'!B830="","",IF('Data Source'!AA830&gt;=5,"A+",IF('Data Source'!AA830&gt;=4,"A",IF('Data Source'!AA830&gt;=3.5,"A-",IF('Data Source'!AA830&gt;=3,"B",IF('Data Source'!AA830&gt;=2,"C",IF('Data Source'!AA830&gt;=1,"D","F")))))))</f>
        <v/>
      </c>
      <c r="J830" s="3">
        <f>IF('Data Source'!B830="","",IF('Data Source'!AB830&gt;=5,"A+",IF('Data Source'!AB830&gt;=4,"A",IF('Data Source'!AB830&gt;=3.5,"A-",IF('Data Source'!AB830&gt;=3,"B",IF('Data Source'!AB830&gt;=2,"C",IF('Data Source'!AB830&gt;=1,"D","F")))))))</f>
        <v/>
      </c>
      <c r="K830" s="3">
        <f>IF('Data Source'!B830="","",IF('Data Source'!AC830&gt;=5,"A+",IF('Data Source'!AC830&gt;=4,"A",IF('Data Source'!AC830&gt;=3.5,"A-",IF('Data Source'!AC830&gt;=3,"B",IF('Data Source'!AC830&gt;=2,"C",IF('Data Source'!AC830&gt;=1,"D","F")))))))</f>
        <v/>
      </c>
      <c r="L830" s="3">
        <f>IF('Data Source'!B830="","",IF('Data Source'!AD830&gt;=5,"A+",IF('Data Source'!AD830&gt;=4,"A",IF('Data Source'!AD830&gt;=3.5,"A-",IF('Data Source'!AD830&gt;=3,"B",IF('Data Source'!AD830&gt;=2,"C",IF('Data Source'!AD830&gt;=1,"D","F")))))))</f>
        <v/>
      </c>
      <c r="M830" s="3">
        <f>IF('Data Source'!B830="","",IF('Data Source'!AE830&gt;=5,"A+",IF('Data Source'!AE830&gt;=4,"A",IF('Data Source'!AE830&gt;=3.5,"A-",IF('Data Source'!AE830&gt;=3,"B",IF('Data Source'!AE830&gt;=2,"C",IF('Data Source'!AE830&gt;=1,"D","F")))))))</f>
        <v/>
      </c>
      <c r="N830" s="3">
        <f>IF('Data Source'!B830="","",IF('Data Source'!AF830&gt;=5,"A+",IF('Data Source'!AF830&gt;=4,"A",IF('Data Source'!AF830&gt;=3.5,"A-",IF('Data Source'!AF830&gt;=3,"B",IF('Data Source'!AF830&gt;=2,"C",IF('Data Source'!AF830&gt;=1,"D","F")))))))</f>
        <v/>
      </c>
      <c r="O830" s="3">
        <f>IF('Data Source'!B830="","",IF('Data Source'!AG830&gt;=5,"A+",IF('Data Source'!AG830&gt;=4,"A",IF('Data Source'!AG830&gt;=3.5,"A-",IF('Data Source'!AG830&gt;=3,"B",IF('Data Source'!AG830&gt;=2,"C",IF('Data Source'!AG830&gt;=1,"D","F")))))))</f>
        <v/>
      </c>
      <c r="P830" s="5">
        <f>IF('Data Source'!B830="","",'Data Source'!R830)</f>
        <v/>
      </c>
      <c r="Q830" s="3">
        <f>IF('Data Source'!B830="","",'Data Source'!S830)</f>
        <v/>
      </c>
    </row>
    <row r="831">
      <c r="A831" s="3">
        <f>IF('Data Source'!B831="","",'Data Source'!A831)</f>
        <v/>
      </c>
      <c r="B831">
        <f>IF('Data Source'!B831="","",'Data Source'!B831)</f>
        <v/>
      </c>
      <c r="C831" s="3">
        <f>IF('Data Source'!B831="","",IF('Data Source'!U831&gt;=5,"A+",IF('Data Source'!U831&gt;=4,"A",IF('Data Source'!U831&gt;=3.5,"A-",IF('Data Source'!U831&gt;=3,"B",IF('Data Source'!U831&gt;=2,"C",IF('Data Source'!U831&gt;=1,"D","F")))))))</f>
        <v/>
      </c>
      <c r="D831" s="3">
        <f>IF('Data Source'!B831="","",IF('Data Source'!V831&gt;=5,"A+",IF('Data Source'!V831&gt;=4,"A",IF('Data Source'!V831&gt;=3.5,"A-",IF('Data Source'!V831&gt;=3,"B",IF('Data Source'!V831&gt;=2,"C",IF('Data Source'!V831&gt;=1,"D","F")))))))</f>
        <v/>
      </c>
      <c r="E831" s="3">
        <f>IF('Data Source'!B831="","",IF('Data Source'!W831&gt;=5,"A+",IF('Data Source'!W831&gt;=4,"A",IF('Data Source'!W831&gt;=3.5,"A-",IF('Data Source'!W831&gt;=3,"B",IF('Data Source'!W831&gt;=2,"C",IF('Data Source'!W831&gt;=1,"D","F")))))))</f>
        <v/>
      </c>
      <c r="F831" s="3">
        <f>IF('Data Source'!B831="","",IF('Data Source'!X831&gt;=5,"A+",IF('Data Source'!X831&gt;=4,"A",IF('Data Source'!X831&gt;=3.5,"A-",IF('Data Source'!X831&gt;=3,"B",IF('Data Source'!X831&gt;=2,"C",IF('Data Source'!X831&gt;=1,"D","F")))))))</f>
        <v/>
      </c>
      <c r="G831" s="3">
        <f>IF('Data Source'!B831="","",IF('Data Source'!Y831&gt;=5,"A+",IF('Data Source'!Y831&gt;=4,"A",IF('Data Source'!Y831&gt;=3.5,"A-",IF('Data Source'!Y831&gt;=3,"B",IF('Data Source'!Y831&gt;=2,"C",IF('Data Source'!Y831&gt;=1,"D","F")))))))</f>
        <v/>
      </c>
      <c r="H831" s="3">
        <f>IF('Data Source'!B831="","",IF('Data Source'!Z831&gt;=5,"A+",IF('Data Source'!Z831&gt;=4,"A",IF('Data Source'!Z831&gt;=3.5,"A-",IF('Data Source'!Z831&gt;=3,"B",IF('Data Source'!Z831&gt;=2,"C",IF('Data Source'!Z831&gt;=1,"D","F")))))))</f>
        <v/>
      </c>
      <c r="I831" s="3">
        <f>IF('Data Source'!B831="","",IF('Data Source'!AA831&gt;=5,"A+",IF('Data Source'!AA831&gt;=4,"A",IF('Data Source'!AA831&gt;=3.5,"A-",IF('Data Source'!AA831&gt;=3,"B",IF('Data Source'!AA831&gt;=2,"C",IF('Data Source'!AA831&gt;=1,"D","F")))))))</f>
        <v/>
      </c>
      <c r="J831" s="3">
        <f>IF('Data Source'!B831="","",IF('Data Source'!AB831&gt;=5,"A+",IF('Data Source'!AB831&gt;=4,"A",IF('Data Source'!AB831&gt;=3.5,"A-",IF('Data Source'!AB831&gt;=3,"B",IF('Data Source'!AB831&gt;=2,"C",IF('Data Source'!AB831&gt;=1,"D","F")))))))</f>
        <v/>
      </c>
      <c r="K831" s="3">
        <f>IF('Data Source'!B831="","",IF('Data Source'!AC831&gt;=5,"A+",IF('Data Source'!AC831&gt;=4,"A",IF('Data Source'!AC831&gt;=3.5,"A-",IF('Data Source'!AC831&gt;=3,"B",IF('Data Source'!AC831&gt;=2,"C",IF('Data Source'!AC831&gt;=1,"D","F")))))))</f>
        <v/>
      </c>
      <c r="L831" s="3">
        <f>IF('Data Source'!B831="","",IF('Data Source'!AD831&gt;=5,"A+",IF('Data Source'!AD831&gt;=4,"A",IF('Data Source'!AD831&gt;=3.5,"A-",IF('Data Source'!AD831&gt;=3,"B",IF('Data Source'!AD831&gt;=2,"C",IF('Data Source'!AD831&gt;=1,"D","F")))))))</f>
        <v/>
      </c>
      <c r="M831" s="3">
        <f>IF('Data Source'!B831="","",IF('Data Source'!AE831&gt;=5,"A+",IF('Data Source'!AE831&gt;=4,"A",IF('Data Source'!AE831&gt;=3.5,"A-",IF('Data Source'!AE831&gt;=3,"B",IF('Data Source'!AE831&gt;=2,"C",IF('Data Source'!AE831&gt;=1,"D","F")))))))</f>
        <v/>
      </c>
      <c r="N831" s="3">
        <f>IF('Data Source'!B831="","",IF('Data Source'!AF831&gt;=5,"A+",IF('Data Source'!AF831&gt;=4,"A",IF('Data Source'!AF831&gt;=3.5,"A-",IF('Data Source'!AF831&gt;=3,"B",IF('Data Source'!AF831&gt;=2,"C",IF('Data Source'!AF831&gt;=1,"D","F")))))))</f>
        <v/>
      </c>
      <c r="O831" s="3">
        <f>IF('Data Source'!B831="","",IF('Data Source'!AG831&gt;=5,"A+",IF('Data Source'!AG831&gt;=4,"A",IF('Data Source'!AG831&gt;=3.5,"A-",IF('Data Source'!AG831&gt;=3,"B",IF('Data Source'!AG831&gt;=2,"C",IF('Data Source'!AG831&gt;=1,"D","F")))))))</f>
        <v/>
      </c>
      <c r="P831" s="5">
        <f>IF('Data Source'!B831="","",'Data Source'!R831)</f>
        <v/>
      </c>
      <c r="Q831" s="3">
        <f>IF('Data Source'!B831="","",'Data Source'!S831)</f>
        <v/>
      </c>
    </row>
    <row r="832">
      <c r="A832" s="3">
        <f>IF('Data Source'!B832="","",'Data Source'!A832)</f>
        <v/>
      </c>
      <c r="B832">
        <f>IF('Data Source'!B832="","",'Data Source'!B832)</f>
        <v/>
      </c>
      <c r="C832" s="3">
        <f>IF('Data Source'!B832="","",IF('Data Source'!U832&gt;=5,"A+",IF('Data Source'!U832&gt;=4,"A",IF('Data Source'!U832&gt;=3.5,"A-",IF('Data Source'!U832&gt;=3,"B",IF('Data Source'!U832&gt;=2,"C",IF('Data Source'!U832&gt;=1,"D","F")))))))</f>
        <v/>
      </c>
      <c r="D832" s="3">
        <f>IF('Data Source'!B832="","",IF('Data Source'!V832&gt;=5,"A+",IF('Data Source'!V832&gt;=4,"A",IF('Data Source'!V832&gt;=3.5,"A-",IF('Data Source'!V832&gt;=3,"B",IF('Data Source'!V832&gt;=2,"C",IF('Data Source'!V832&gt;=1,"D","F")))))))</f>
        <v/>
      </c>
      <c r="E832" s="3">
        <f>IF('Data Source'!B832="","",IF('Data Source'!W832&gt;=5,"A+",IF('Data Source'!W832&gt;=4,"A",IF('Data Source'!W832&gt;=3.5,"A-",IF('Data Source'!W832&gt;=3,"B",IF('Data Source'!W832&gt;=2,"C",IF('Data Source'!W832&gt;=1,"D","F")))))))</f>
        <v/>
      </c>
      <c r="F832" s="3">
        <f>IF('Data Source'!B832="","",IF('Data Source'!X832&gt;=5,"A+",IF('Data Source'!X832&gt;=4,"A",IF('Data Source'!X832&gt;=3.5,"A-",IF('Data Source'!X832&gt;=3,"B",IF('Data Source'!X832&gt;=2,"C",IF('Data Source'!X832&gt;=1,"D","F")))))))</f>
        <v/>
      </c>
      <c r="G832" s="3">
        <f>IF('Data Source'!B832="","",IF('Data Source'!Y832&gt;=5,"A+",IF('Data Source'!Y832&gt;=4,"A",IF('Data Source'!Y832&gt;=3.5,"A-",IF('Data Source'!Y832&gt;=3,"B",IF('Data Source'!Y832&gt;=2,"C",IF('Data Source'!Y832&gt;=1,"D","F")))))))</f>
        <v/>
      </c>
      <c r="H832" s="3">
        <f>IF('Data Source'!B832="","",IF('Data Source'!Z832&gt;=5,"A+",IF('Data Source'!Z832&gt;=4,"A",IF('Data Source'!Z832&gt;=3.5,"A-",IF('Data Source'!Z832&gt;=3,"B",IF('Data Source'!Z832&gt;=2,"C",IF('Data Source'!Z832&gt;=1,"D","F")))))))</f>
        <v/>
      </c>
      <c r="I832" s="3">
        <f>IF('Data Source'!B832="","",IF('Data Source'!AA832&gt;=5,"A+",IF('Data Source'!AA832&gt;=4,"A",IF('Data Source'!AA832&gt;=3.5,"A-",IF('Data Source'!AA832&gt;=3,"B",IF('Data Source'!AA832&gt;=2,"C",IF('Data Source'!AA832&gt;=1,"D","F")))))))</f>
        <v/>
      </c>
      <c r="J832" s="3">
        <f>IF('Data Source'!B832="","",IF('Data Source'!AB832&gt;=5,"A+",IF('Data Source'!AB832&gt;=4,"A",IF('Data Source'!AB832&gt;=3.5,"A-",IF('Data Source'!AB832&gt;=3,"B",IF('Data Source'!AB832&gt;=2,"C",IF('Data Source'!AB832&gt;=1,"D","F")))))))</f>
        <v/>
      </c>
      <c r="K832" s="3">
        <f>IF('Data Source'!B832="","",IF('Data Source'!AC832&gt;=5,"A+",IF('Data Source'!AC832&gt;=4,"A",IF('Data Source'!AC832&gt;=3.5,"A-",IF('Data Source'!AC832&gt;=3,"B",IF('Data Source'!AC832&gt;=2,"C",IF('Data Source'!AC832&gt;=1,"D","F")))))))</f>
        <v/>
      </c>
      <c r="L832" s="3">
        <f>IF('Data Source'!B832="","",IF('Data Source'!AD832&gt;=5,"A+",IF('Data Source'!AD832&gt;=4,"A",IF('Data Source'!AD832&gt;=3.5,"A-",IF('Data Source'!AD832&gt;=3,"B",IF('Data Source'!AD832&gt;=2,"C",IF('Data Source'!AD832&gt;=1,"D","F")))))))</f>
        <v/>
      </c>
      <c r="M832" s="3">
        <f>IF('Data Source'!B832="","",IF('Data Source'!AE832&gt;=5,"A+",IF('Data Source'!AE832&gt;=4,"A",IF('Data Source'!AE832&gt;=3.5,"A-",IF('Data Source'!AE832&gt;=3,"B",IF('Data Source'!AE832&gt;=2,"C",IF('Data Source'!AE832&gt;=1,"D","F")))))))</f>
        <v/>
      </c>
      <c r="N832" s="3">
        <f>IF('Data Source'!B832="","",IF('Data Source'!AF832&gt;=5,"A+",IF('Data Source'!AF832&gt;=4,"A",IF('Data Source'!AF832&gt;=3.5,"A-",IF('Data Source'!AF832&gt;=3,"B",IF('Data Source'!AF832&gt;=2,"C",IF('Data Source'!AF832&gt;=1,"D","F")))))))</f>
        <v/>
      </c>
      <c r="O832" s="3">
        <f>IF('Data Source'!B832="","",IF('Data Source'!AG832&gt;=5,"A+",IF('Data Source'!AG832&gt;=4,"A",IF('Data Source'!AG832&gt;=3.5,"A-",IF('Data Source'!AG832&gt;=3,"B",IF('Data Source'!AG832&gt;=2,"C",IF('Data Source'!AG832&gt;=1,"D","F")))))))</f>
        <v/>
      </c>
      <c r="P832" s="5">
        <f>IF('Data Source'!B832="","",'Data Source'!R832)</f>
        <v/>
      </c>
      <c r="Q832" s="3">
        <f>IF('Data Source'!B832="","",'Data Source'!S832)</f>
        <v/>
      </c>
    </row>
    <row r="833">
      <c r="A833" s="3">
        <f>IF('Data Source'!B833="","",'Data Source'!A833)</f>
        <v/>
      </c>
      <c r="B833">
        <f>IF('Data Source'!B833="","",'Data Source'!B833)</f>
        <v/>
      </c>
      <c r="C833" s="3">
        <f>IF('Data Source'!B833="","",IF('Data Source'!U833&gt;=5,"A+",IF('Data Source'!U833&gt;=4,"A",IF('Data Source'!U833&gt;=3.5,"A-",IF('Data Source'!U833&gt;=3,"B",IF('Data Source'!U833&gt;=2,"C",IF('Data Source'!U833&gt;=1,"D","F")))))))</f>
        <v/>
      </c>
      <c r="D833" s="3">
        <f>IF('Data Source'!B833="","",IF('Data Source'!V833&gt;=5,"A+",IF('Data Source'!V833&gt;=4,"A",IF('Data Source'!V833&gt;=3.5,"A-",IF('Data Source'!V833&gt;=3,"B",IF('Data Source'!V833&gt;=2,"C",IF('Data Source'!V833&gt;=1,"D","F")))))))</f>
        <v/>
      </c>
      <c r="E833" s="3">
        <f>IF('Data Source'!B833="","",IF('Data Source'!W833&gt;=5,"A+",IF('Data Source'!W833&gt;=4,"A",IF('Data Source'!W833&gt;=3.5,"A-",IF('Data Source'!W833&gt;=3,"B",IF('Data Source'!W833&gt;=2,"C",IF('Data Source'!W833&gt;=1,"D","F")))))))</f>
        <v/>
      </c>
      <c r="F833" s="3">
        <f>IF('Data Source'!B833="","",IF('Data Source'!X833&gt;=5,"A+",IF('Data Source'!X833&gt;=4,"A",IF('Data Source'!X833&gt;=3.5,"A-",IF('Data Source'!X833&gt;=3,"B",IF('Data Source'!X833&gt;=2,"C",IF('Data Source'!X833&gt;=1,"D","F")))))))</f>
        <v/>
      </c>
      <c r="G833" s="3">
        <f>IF('Data Source'!B833="","",IF('Data Source'!Y833&gt;=5,"A+",IF('Data Source'!Y833&gt;=4,"A",IF('Data Source'!Y833&gt;=3.5,"A-",IF('Data Source'!Y833&gt;=3,"B",IF('Data Source'!Y833&gt;=2,"C",IF('Data Source'!Y833&gt;=1,"D","F")))))))</f>
        <v/>
      </c>
      <c r="H833" s="3">
        <f>IF('Data Source'!B833="","",IF('Data Source'!Z833&gt;=5,"A+",IF('Data Source'!Z833&gt;=4,"A",IF('Data Source'!Z833&gt;=3.5,"A-",IF('Data Source'!Z833&gt;=3,"B",IF('Data Source'!Z833&gt;=2,"C",IF('Data Source'!Z833&gt;=1,"D","F")))))))</f>
        <v/>
      </c>
      <c r="I833" s="3">
        <f>IF('Data Source'!B833="","",IF('Data Source'!AA833&gt;=5,"A+",IF('Data Source'!AA833&gt;=4,"A",IF('Data Source'!AA833&gt;=3.5,"A-",IF('Data Source'!AA833&gt;=3,"B",IF('Data Source'!AA833&gt;=2,"C",IF('Data Source'!AA833&gt;=1,"D","F")))))))</f>
        <v/>
      </c>
      <c r="J833" s="3">
        <f>IF('Data Source'!B833="","",IF('Data Source'!AB833&gt;=5,"A+",IF('Data Source'!AB833&gt;=4,"A",IF('Data Source'!AB833&gt;=3.5,"A-",IF('Data Source'!AB833&gt;=3,"B",IF('Data Source'!AB833&gt;=2,"C",IF('Data Source'!AB833&gt;=1,"D","F")))))))</f>
        <v/>
      </c>
      <c r="K833" s="3">
        <f>IF('Data Source'!B833="","",IF('Data Source'!AC833&gt;=5,"A+",IF('Data Source'!AC833&gt;=4,"A",IF('Data Source'!AC833&gt;=3.5,"A-",IF('Data Source'!AC833&gt;=3,"B",IF('Data Source'!AC833&gt;=2,"C",IF('Data Source'!AC833&gt;=1,"D","F")))))))</f>
        <v/>
      </c>
      <c r="L833" s="3">
        <f>IF('Data Source'!B833="","",IF('Data Source'!AD833&gt;=5,"A+",IF('Data Source'!AD833&gt;=4,"A",IF('Data Source'!AD833&gt;=3.5,"A-",IF('Data Source'!AD833&gt;=3,"B",IF('Data Source'!AD833&gt;=2,"C",IF('Data Source'!AD833&gt;=1,"D","F")))))))</f>
        <v/>
      </c>
      <c r="M833" s="3">
        <f>IF('Data Source'!B833="","",IF('Data Source'!AE833&gt;=5,"A+",IF('Data Source'!AE833&gt;=4,"A",IF('Data Source'!AE833&gt;=3.5,"A-",IF('Data Source'!AE833&gt;=3,"B",IF('Data Source'!AE833&gt;=2,"C",IF('Data Source'!AE833&gt;=1,"D","F")))))))</f>
        <v/>
      </c>
      <c r="N833" s="3">
        <f>IF('Data Source'!B833="","",IF('Data Source'!AF833&gt;=5,"A+",IF('Data Source'!AF833&gt;=4,"A",IF('Data Source'!AF833&gt;=3.5,"A-",IF('Data Source'!AF833&gt;=3,"B",IF('Data Source'!AF833&gt;=2,"C",IF('Data Source'!AF833&gt;=1,"D","F")))))))</f>
        <v/>
      </c>
      <c r="O833" s="3">
        <f>IF('Data Source'!B833="","",IF('Data Source'!AG833&gt;=5,"A+",IF('Data Source'!AG833&gt;=4,"A",IF('Data Source'!AG833&gt;=3.5,"A-",IF('Data Source'!AG833&gt;=3,"B",IF('Data Source'!AG833&gt;=2,"C",IF('Data Source'!AG833&gt;=1,"D","F")))))))</f>
        <v/>
      </c>
      <c r="P833" s="5">
        <f>IF('Data Source'!B833="","",'Data Source'!R833)</f>
        <v/>
      </c>
      <c r="Q833" s="3">
        <f>IF('Data Source'!B833="","",'Data Source'!S833)</f>
        <v/>
      </c>
    </row>
    <row r="834">
      <c r="A834" s="3">
        <f>IF('Data Source'!B834="","",'Data Source'!A834)</f>
        <v/>
      </c>
      <c r="B834">
        <f>IF('Data Source'!B834="","",'Data Source'!B834)</f>
        <v/>
      </c>
      <c r="C834" s="3">
        <f>IF('Data Source'!B834="","",IF('Data Source'!U834&gt;=5,"A+",IF('Data Source'!U834&gt;=4,"A",IF('Data Source'!U834&gt;=3.5,"A-",IF('Data Source'!U834&gt;=3,"B",IF('Data Source'!U834&gt;=2,"C",IF('Data Source'!U834&gt;=1,"D","F")))))))</f>
        <v/>
      </c>
      <c r="D834" s="3">
        <f>IF('Data Source'!B834="","",IF('Data Source'!V834&gt;=5,"A+",IF('Data Source'!V834&gt;=4,"A",IF('Data Source'!V834&gt;=3.5,"A-",IF('Data Source'!V834&gt;=3,"B",IF('Data Source'!V834&gt;=2,"C",IF('Data Source'!V834&gt;=1,"D","F")))))))</f>
        <v/>
      </c>
      <c r="E834" s="3">
        <f>IF('Data Source'!B834="","",IF('Data Source'!W834&gt;=5,"A+",IF('Data Source'!W834&gt;=4,"A",IF('Data Source'!W834&gt;=3.5,"A-",IF('Data Source'!W834&gt;=3,"B",IF('Data Source'!W834&gt;=2,"C",IF('Data Source'!W834&gt;=1,"D","F")))))))</f>
        <v/>
      </c>
      <c r="F834" s="3">
        <f>IF('Data Source'!B834="","",IF('Data Source'!X834&gt;=5,"A+",IF('Data Source'!X834&gt;=4,"A",IF('Data Source'!X834&gt;=3.5,"A-",IF('Data Source'!X834&gt;=3,"B",IF('Data Source'!X834&gt;=2,"C",IF('Data Source'!X834&gt;=1,"D","F")))))))</f>
        <v/>
      </c>
      <c r="G834" s="3">
        <f>IF('Data Source'!B834="","",IF('Data Source'!Y834&gt;=5,"A+",IF('Data Source'!Y834&gt;=4,"A",IF('Data Source'!Y834&gt;=3.5,"A-",IF('Data Source'!Y834&gt;=3,"B",IF('Data Source'!Y834&gt;=2,"C",IF('Data Source'!Y834&gt;=1,"D","F")))))))</f>
        <v/>
      </c>
      <c r="H834" s="3">
        <f>IF('Data Source'!B834="","",IF('Data Source'!Z834&gt;=5,"A+",IF('Data Source'!Z834&gt;=4,"A",IF('Data Source'!Z834&gt;=3.5,"A-",IF('Data Source'!Z834&gt;=3,"B",IF('Data Source'!Z834&gt;=2,"C",IF('Data Source'!Z834&gt;=1,"D","F")))))))</f>
        <v/>
      </c>
      <c r="I834" s="3">
        <f>IF('Data Source'!B834="","",IF('Data Source'!AA834&gt;=5,"A+",IF('Data Source'!AA834&gt;=4,"A",IF('Data Source'!AA834&gt;=3.5,"A-",IF('Data Source'!AA834&gt;=3,"B",IF('Data Source'!AA834&gt;=2,"C",IF('Data Source'!AA834&gt;=1,"D","F")))))))</f>
        <v/>
      </c>
      <c r="J834" s="3">
        <f>IF('Data Source'!B834="","",IF('Data Source'!AB834&gt;=5,"A+",IF('Data Source'!AB834&gt;=4,"A",IF('Data Source'!AB834&gt;=3.5,"A-",IF('Data Source'!AB834&gt;=3,"B",IF('Data Source'!AB834&gt;=2,"C",IF('Data Source'!AB834&gt;=1,"D","F")))))))</f>
        <v/>
      </c>
      <c r="K834" s="3">
        <f>IF('Data Source'!B834="","",IF('Data Source'!AC834&gt;=5,"A+",IF('Data Source'!AC834&gt;=4,"A",IF('Data Source'!AC834&gt;=3.5,"A-",IF('Data Source'!AC834&gt;=3,"B",IF('Data Source'!AC834&gt;=2,"C",IF('Data Source'!AC834&gt;=1,"D","F")))))))</f>
        <v/>
      </c>
      <c r="L834" s="3">
        <f>IF('Data Source'!B834="","",IF('Data Source'!AD834&gt;=5,"A+",IF('Data Source'!AD834&gt;=4,"A",IF('Data Source'!AD834&gt;=3.5,"A-",IF('Data Source'!AD834&gt;=3,"B",IF('Data Source'!AD834&gt;=2,"C",IF('Data Source'!AD834&gt;=1,"D","F")))))))</f>
        <v/>
      </c>
      <c r="M834" s="3">
        <f>IF('Data Source'!B834="","",IF('Data Source'!AE834&gt;=5,"A+",IF('Data Source'!AE834&gt;=4,"A",IF('Data Source'!AE834&gt;=3.5,"A-",IF('Data Source'!AE834&gt;=3,"B",IF('Data Source'!AE834&gt;=2,"C",IF('Data Source'!AE834&gt;=1,"D","F")))))))</f>
        <v/>
      </c>
      <c r="N834" s="3">
        <f>IF('Data Source'!B834="","",IF('Data Source'!AF834&gt;=5,"A+",IF('Data Source'!AF834&gt;=4,"A",IF('Data Source'!AF834&gt;=3.5,"A-",IF('Data Source'!AF834&gt;=3,"B",IF('Data Source'!AF834&gt;=2,"C",IF('Data Source'!AF834&gt;=1,"D","F")))))))</f>
        <v/>
      </c>
      <c r="O834" s="3">
        <f>IF('Data Source'!B834="","",IF('Data Source'!AG834&gt;=5,"A+",IF('Data Source'!AG834&gt;=4,"A",IF('Data Source'!AG834&gt;=3.5,"A-",IF('Data Source'!AG834&gt;=3,"B",IF('Data Source'!AG834&gt;=2,"C",IF('Data Source'!AG834&gt;=1,"D","F")))))))</f>
        <v/>
      </c>
      <c r="P834" s="5">
        <f>IF('Data Source'!B834="","",'Data Source'!R834)</f>
        <v/>
      </c>
      <c r="Q834" s="3">
        <f>IF('Data Source'!B834="","",'Data Source'!S834)</f>
        <v/>
      </c>
    </row>
    <row r="835">
      <c r="A835" s="3">
        <f>IF('Data Source'!B835="","",'Data Source'!A835)</f>
        <v/>
      </c>
      <c r="B835">
        <f>IF('Data Source'!B835="","",'Data Source'!B835)</f>
        <v/>
      </c>
      <c r="C835" s="3">
        <f>IF('Data Source'!B835="","",IF('Data Source'!U835&gt;=5,"A+",IF('Data Source'!U835&gt;=4,"A",IF('Data Source'!U835&gt;=3.5,"A-",IF('Data Source'!U835&gt;=3,"B",IF('Data Source'!U835&gt;=2,"C",IF('Data Source'!U835&gt;=1,"D","F")))))))</f>
        <v/>
      </c>
      <c r="D835" s="3">
        <f>IF('Data Source'!B835="","",IF('Data Source'!V835&gt;=5,"A+",IF('Data Source'!V835&gt;=4,"A",IF('Data Source'!V835&gt;=3.5,"A-",IF('Data Source'!V835&gt;=3,"B",IF('Data Source'!V835&gt;=2,"C",IF('Data Source'!V835&gt;=1,"D","F")))))))</f>
        <v/>
      </c>
      <c r="E835" s="3">
        <f>IF('Data Source'!B835="","",IF('Data Source'!W835&gt;=5,"A+",IF('Data Source'!W835&gt;=4,"A",IF('Data Source'!W835&gt;=3.5,"A-",IF('Data Source'!W835&gt;=3,"B",IF('Data Source'!W835&gt;=2,"C",IF('Data Source'!W835&gt;=1,"D","F")))))))</f>
        <v/>
      </c>
      <c r="F835" s="3">
        <f>IF('Data Source'!B835="","",IF('Data Source'!X835&gt;=5,"A+",IF('Data Source'!X835&gt;=4,"A",IF('Data Source'!X835&gt;=3.5,"A-",IF('Data Source'!X835&gt;=3,"B",IF('Data Source'!X835&gt;=2,"C",IF('Data Source'!X835&gt;=1,"D","F")))))))</f>
        <v/>
      </c>
      <c r="G835" s="3">
        <f>IF('Data Source'!B835="","",IF('Data Source'!Y835&gt;=5,"A+",IF('Data Source'!Y835&gt;=4,"A",IF('Data Source'!Y835&gt;=3.5,"A-",IF('Data Source'!Y835&gt;=3,"B",IF('Data Source'!Y835&gt;=2,"C",IF('Data Source'!Y835&gt;=1,"D","F")))))))</f>
        <v/>
      </c>
      <c r="H835" s="3">
        <f>IF('Data Source'!B835="","",IF('Data Source'!Z835&gt;=5,"A+",IF('Data Source'!Z835&gt;=4,"A",IF('Data Source'!Z835&gt;=3.5,"A-",IF('Data Source'!Z835&gt;=3,"B",IF('Data Source'!Z835&gt;=2,"C",IF('Data Source'!Z835&gt;=1,"D","F")))))))</f>
        <v/>
      </c>
      <c r="I835" s="3">
        <f>IF('Data Source'!B835="","",IF('Data Source'!AA835&gt;=5,"A+",IF('Data Source'!AA835&gt;=4,"A",IF('Data Source'!AA835&gt;=3.5,"A-",IF('Data Source'!AA835&gt;=3,"B",IF('Data Source'!AA835&gt;=2,"C",IF('Data Source'!AA835&gt;=1,"D","F")))))))</f>
        <v/>
      </c>
      <c r="J835" s="3">
        <f>IF('Data Source'!B835="","",IF('Data Source'!AB835&gt;=5,"A+",IF('Data Source'!AB835&gt;=4,"A",IF('Data Source'!AB835&gt;=3.5,"A-",IF('Data Source'!AB835&gt;=3,"B",IF('Data Source'!AB835&gt;=2,"C",IF('Data Source'!AB835&gt;=1,"D","F")))))))</f>
        <v/>
      </c>
      <c r="K835" s="3">
        <f>IF('Data Source'!B835="","",IF('Data Source'!AC835&gt;=5,"A+",IF('Data Source'!AC835&gt;=4,"A",IF('Data Source'!AC835&gt;=3.5,"A-",IF('Data Source'!AC835&gt;=3,"B",IF('Data Source'!AC835&gt;=2,"C",IF('Data Source'!AC835&gt;=1,"D","F")))))))</f>
        <v/>
      </c>
      <c r="L835" s="3">
        <f>IF('Data Source'!B835="","",IF('Data Source'!AD835&gt;=5,"A+",IF('Data Source'!AD835&gt;=4,"A",IF('Data Source'!AD835&gt;=3.5,"A-",IF('Data Source'!AD835&gt;=3,"B",IF('Data Source'!AD835&gt;=2,"C",IF('Data Source'!AD835&gt;=1,"D","F")))))))</f>
        <v/>
      </c>
      <c r="M835" s="3">
        <f>IF('Data Source'!B835="","",IF('Data Source'!AE835&gt;=5,"A+",IF('Data Source'!AE835&gt;=4,"A",IF('Data Source'!AE835&gt;=3.5,"A-",IF('Data Source'!AE835&gt;=3,"B",IF('Data Source'!AE835&gt;=2,"C",IF('Data Source'!AE835&gt;=1,"D","F")))))))</f>
        <v/>
      </c>
      <c r="N835" s="3">
        <f>IF('Data Source'!B835="","",IF('Data Source'!AF835&gt;=5,"A+",IF('Data Source'!AF835&gt;=4,"A",IF('Data Source'!AF835&gt;=3.5,"A-",IF('Data Source'!AF835&gt;=3,"B",IF('Data Source'!AF835&gt;=2,"C",IF('Data Source'!AF835&gt;=1,"D","F")))))))</f>
        <v/>
      </c>
      <c r="O835" s="3">
        <f>IF('Data Source'!B835="","",IF('Data Source'!AG835&gt;=5,"A+",IF('Data Source'!AG835&gt;=4,"A",IF('Data Source'!AG835&gt;=3.5,"A-",IF('Data Source'!AG835&gt;=3,"B",IF('Data Source'!AG835&gt;=2,"C",IF('Data Source'!AG835&gt;=1,"D","F")))))))</f>
        <v/>
      </c>
      <c r="P835" s="5">
        <f>IF('Data Source'!B835="","",'Data Source'!R835)</f>
        <v/>
      </c>
      <c r="Q835" s="3">
        <f>IF('Data Source'!B835="","",'Data Source'!S835)</f>
        <v/>
      </c>
    </row>
    <row r="836">
      <c r="A836" s="3">
        <f>IF('Data Source'!B836="","",'Data Source'!A836)</f>
        <v/>
      </c>
      <c r="B836">
        <f>IF('Data Source'!B836="","",'Data Source'!B836)</f>
        <v/>
      </c>
      <c r="C836" s="3">
        <f>IF('Data Source'!B836="","",IF('Data Source'!U836&gt;=5,"A+",IF('Data Source'!U836&gt;=4,"A",IF('Data Source'!U836&gt;=3.5,"A-",IF('Data Source'!U836&gt;=3,"B",IF('Data Source'!U836&gt;=2,"C",IF('Data Source'!U836&gt;=1,"D","F")))))))</f>
        <v/>
      </c>
      <c r="D836" s="3">
        <f>IF('Data Source'!B836="","",IF('Data Source'!V836&gt;=5,"A+",IF('Data Source'!V836&gt;=4,"A",IF('Data Source'!V836&gt;=3.5,"A-",IF('Data Source'!V836&gt;=3,"B",IF('Data Source'!V836&gt;=2,"C",IF('Data Source'!V836&gt;=1,"D","F")))))))</f>
        <v/>
      </c>
      <c r="E836" s="3">
        <f>IF('Data Source'!B836="","",IF('Data Source'!W836&gt;=5,"A+",IF('Data Source'!W836&gt;=4,"A",IF('Data Source'!W836&gt;=3.5,"A-",IF('Data Source'!W836&gt;=3,"B",IF('Data Source'!W836&gt;=2,"C",IF('Data Source'!W836&gt;=1,"D","F")))))))</f>
        <v/>
      </c>
      <c r="F836" s="3">
        <f>IF('Data Source'!B836="","",IF('Data Source'!X836&gt;=5,"A+",IF('Data Source'!X836&gt;=4,"A",IF('Data Source'!X836&gt;=3.5,"A-",IF('Data Source'!X836&gt;=3,"B",IF('Data Source'!X836&gt;=2,"C",IF('Data Source'!X836&gt;=1,"D","F")))))))</f>
        <v/>
      </c>
      <c r="G836" s="3">
        <f>IF('Data Source'!B836="","",IF('Data Source'!Y836&gt;=5,"A+",IF('Data Source'!Y836&gt;=4,"A",IF('Data Source'!Y836&gt;=3.5,"A-",IF('Data Source'!Y836&gt;=3,"B",IF('Data Source'!Y836&gt;=2,"C",IF('Data Source'!Y836&gt;=1,"D","F")))))))</f>
        <v/>
      </c>
      <c r="H836" s="3">
        <f>IF('Data Source'!B836="","",IF('Data Source'!Z836&gt;=5,"A+",IF('Data Source'!Z836&gt;=4,"A",IF('Data Source'!Z836&gt;=3.5,"A-",IF('Data Source'!Z836&gt;=3,"B",IF('Data Source'!Z836&gt;=2,"C",IF('Data Source'!Z836&gt;=1,"D","F")))))))</f>
        <v/>
      </c>
      <c r="I836" s="3">
        <f>IF('Data Source'!B836="","",IF('Data Source'!AA836&gt;=5,"A+",IF('Data Source'!AA836&gt;=4,"A",IF('Data Source'!AA836&gt;=3.5,"A-",IF('Data Source'!AA836&gt;=3,"B",IF('Data Source'!AA836&gt;=2,"C",IF('Data Source'!AA836&gt;=1,"D","F")))))))</f>
        <v/>
      </c>
      <c r="J836" s="3">
        <f>IF('Data Source'!B836="","",IF('Data Source'!AB836&gt;=5,"A+",IF('Data Source'!AB836&gt;=4,"A",IF('Data Source'!AB836&gt;=3.5,"A-",IF('Data Source'!AB836&gt;=3,"B",IF('Data Source'!AB836&gt;=2,"C",IF('Data Source'!AB836&gt;=1,"D","F")))))))</f>
        <v/>
      </c>
      <c r="K836" s="3">
        <f>IF('Data Source'!B836="","",IF('Data Source'!AC836&gt;=5,"A+",IF('Data Source'!AC836&gt;=4,"A",IF('Data Source'!AC836&gt;=3.5,"A-",IF('Data Source'!AC836&gt;=3,"B",IF('Data Source'!AC836&gt;=2,"C",IF('Data Source'!AC836&gt;=1,"D","F")))))))</f>
        <v/>
      </c>
      <c r="L836" s="3">
        <f>IF('Data Source'!B836="","",IF('Data Source'!AD836&gt;=5,"A+",IF('Data Source'!AD836&gt;=4,"A",IF('Data Source'!AD836&gt;=3.5,"A-",IF('Data Source'!AD836&gt;=3,"B",IF('Data Source'!AD836&gt;=2,"C",IF('Data Source'!AD836&gt;=1,"D","F")))))))</f>
        <v/>
      </c>
      <c r="M836" s="3">
        <f>IF('Data Source'!B836="","",IF('Data Source'!AE836&gt;=5,"A+",IF('Data Source'!AE836&gt;=4,"A",IF('Data Source'!AE836&gt;=3.5,"A-",IF('Data Source'!AE836&gt;=3,"B",IF('Data Source'!AE836&gt;=2,"C",IF('Data Source'!AE836&gt;=1,"D","F")))))))</f>
        <v/>
      </c>
      <c r="N836" s="3">
        <f>IF('Data Source'!B836="","",IF('Data Source'!AF836&gt;=5,"A+",IF('Data Source'!AF836&gt;=4,"A",IF('Data Source'!AF836&gt;=3.5,"A-",IF('Data Source'!AF836&gt;=3,"B",IF('Data Source'!AF836&gt;=2,"C",IF('Data Source'!AF836&gt;=1,"D","F")))))))</f>
        <v/>
      </c>
      <c r="O836" s="3">
        <f>IF('Data Source'!B836="","",IF('Data Source'!AG836&gt;=5,"A+",IF('Data Source'!AG836&gt;=4,"A",IF('Data Source'!AG836&gt;=3.5,"A-",IF('Data Source'!AG836&gt;=3,"B",IF('Data Source'!AG836&gt;=2,"C",IF('Data Source'!AG836&gt;=1,"D","F")))))))</f>
        <v/>
      </c>
      <c r="P836" s="5">
        <f>IF('Data Source'!B836="","",'Data Source'!R836)</f>
        <v/>
      </c>
      <c r="Q836" s="3">
        <f>IF('Data Source'!B836="","",'Data Source'!S836)</f>
        <v/>
      </c>
    </row>
    <row r="837">
      <c r="A837" s="3">
        <f>IF('Data Source'!B837="","",'Data Source'!A837)</f>
        <v/>
      </c>
      <c r="B837">
        <f>IF('Data Source'!B837="","",'Data Source'!B837)</f>
        <v/>
      </c>
      <c r="C837" s="3">
        <f>IF('Data Source'!B837="","",IF('Data Source'!U837&gt;=5,"A+",IF('Data Source'!U837&gt;=4,"A",IF('Data Source'!U837&gt;=3.5,"A-",IF('Data Source'!U837&gt;=3,"B",IF('Data Source'!U837&gt;=2,"C",IF('Data Source'!U837&gt;=1,"D","F")))))))</f>
        <v/>
      </c>
      <c r="D837" s="3">
        <f>IF('Data Source'!B837="","",IF('Data Source'!V837&gt;=5,"A+",IF('Data Source'!V837&gt;=4,"A",IF('Data Source'!V837&gt;=3.5,"A-",IF('Data Source'!V837&gt;=3,"B",IF('Data Source'!V837&gt;=2,"C",IF('Data Source'!V837&gt;=1,"D","F")))))))</f>
        <v/>
      </c>
      <c r="E837" s="3">
        <f>IF('Data Source'!B837="","",IF('Data Source'!W837&gt;=5,"A+",IF('Data Source'!W837&gt;=4,"A",IF('Data Source'!W837&gt;=3.5,"A-",IF('Data Source'!W837&gt;=3,"B",IF('Data Source'!W837&gt;=2,"C",IF('Data Source'!W837&gt;=1,"D","F")))))))</f>
        <v/>
      </c>
      <c r="F837" s="3">
        <f>IF('Data Source'!B837="","",IF('Data Source'!X837&gt;=5,"A+",IF('Data Source'!X837&gt;=4,"A",IF('Data Source'!X837&gt;=3.5,"A-",IF('Data Source'!X837&gt;=3,"B",IF('Data Source'!X837&gt;=2,"C",IF('Data Source'!X837&gt;=1,"D","F")))))))</f>
        <v/>
      </c>
      <c r="G837" s="3">
        <f>IF('Data Source'!B837="","",IF('Data Source'!Y837&gt;=5,"A+",IF('Data Source'!Y837&gt;=4,"A",IF('Data Source'!Y837&gt;=3.5,"A-",IF('Data Source'!Y837&gt;=3,"B",IF('Data Source'!Y837&gt;=2,"C",IF('Data Source'!Y837&gt;=1,"D","F")))))))</f>
        <v/>
      </c>
      <c r="H837" s="3">
        <f>IF('Data Source'!B837="","",IF('Data Source'!Z837&gt;=5,"A+",IF('Data Source'!Z837&gt;=4,"A",IF('Data Source'!Z837&gt;=3.5,"A-",IF('Data Source'!Z837&gt;=3,"B",IF('Data Source'!Z837&gt;=2,"C",IF('Data Source'!Z837&gt;=1,"D","F")))))))</f>
        <v/>
      </c>
      <c r="I837" s="3">
        <f>IF('Data Source'!B837="","",IF('Data Source'!AA837&gt;=5,"A+",IF('Data Source'!AA837&gt;=4,"A",IF('Data Source'!AA837&gt;=3.5,"A-",IF('Data Source'!AA837&gt;=3,"B",IF('Data Source'!AA837&gt;=2,"C",IF('Data Source'!AA837&gt;=1,"D","F")))))))</f>
        <v/>
      </c>
      <c r="J837" s="3">
        <f>IF('Data Source'!B837="","",IF('Data Source'!AB837&gt;=5,"A+",IF('Data Source'!AB837&gt;=4,"A",IF('Data Source'!AB837&gt;=3.5,"A-",IF('Data Source'!AB837&gt;=3,"B",IF('Data Source'!AB837&gt;=2,"C",IF('Data Source'!AB837&gt;=1,"D","F")))))))</f>
        <v/>
      </c>
      <c r="K837" s="3">
        <f>IF('Data Source'!B837="","",IF('Data Source'!AC837&gt;=5,"A+",IF('Data Source'!AC837&gt;=4,"A",IF('Data Source'!AC837&gt;=3.5,"A-",IF('Data Source'!AC837&gt;=3,"B",IF('Data Source'!AC837&gt;=2,"C",IF('Data Source'!AC837&gt;=1,"D","F")))))))</f>
        <v/>
      </c>
      <c r="L837" s="3">
        <f>IF('Data Source'!B837="","",IF('Data Source'!AD837&gt;=5,"A+",IF('Data Source'!AD837&gt;=4,"A",IF('Data Source'!AD837&gt;=3.5,"A-",IF('Data Source'!AD837&gt;=3,"B",IF('Data Source'!AD837&gt;=2,"C",IF('Data Source'!AD837&gt;=1,"D","F")))))))</f>
        <v/>
      </c>
      <c r="M837" s="3">
        <f>IF('Data Source'!B837="","",IF('Data Source'!AE837&gt;=5,"A+",IF('Data Source'!AE837&gt;=4,"A",IF('Data Source'!AE837&gt;=3.5,"A-",IF('Data Source'!AE837&gt;=3,"B",IF('Data Source'!AE837&gt;=2,"C",IF('Data Source'!AE837&gt;=1,"D","F")))))))</f>
        <v/>
      </c>
      <c r="N837" s="3">
        <f>IF('Data Source'!B837="","",IF('Data Source'!AF837&gt;=5,"A+",IF('Data Source'!AF837&gt;=4,"A",IF('Data Source'!AF837&gt;=3.5,"A-",IF('Data Source'!AF837&gt;=3,"B",IF('Data Source'!AF837&gt;=2,"C",IF('Data Source'!AF837&gt;=1,"D","F")))))))</f>
        <v/>
      </c>
      <c r="O837" s="3">
        <f>IF('Data Source'!B837="","",IF('Data Source'!AG837&gt;=5,"A+",IF('Data Source'!AG837&gt;=4,"A",IF('Data Source'!AG837&gt;=3.5,"A-",IF('Data Source'!AG837&gt;=3,"B",IF('Data Source'!AG837&gt;=2,"C",IF('Data Source'!AG837&gt;=1,"D","F")))))))</f>
        <v/>
      </c>
      <c r="P837" s="5">
        <f>IF('Data Source'!B837="","",'Data Source'!R837)</f>
        <v/>
      </c>
      <c r="Q837" s="3">
        <f>IF('Data Source'!B837="","",'Data Source'!S837)</f>
        <v/>
      </c>
    </row>
    <row r="838">
      <c r="A838" s="3">
        <f>IF('Data Source'!B838="","",'Data Source'!A838)</f>
        <v/>
      </c>
      <c r="B838">
        <f>IF('Data Source'!B838="","",'Data Source'!B838)</f>
        <v/>
      </c>
      <c r="C838" s="3">
        <f>IF('Data Source'!B838="","",IF('Data Source'!U838&gt;=5,"A+",IF('Data Source'!U838&gt;=4,"A",IF('Data Source'!U838&gt;=3.5,"A-",IF('Data Source'!U838&gt;=3,"B",IF('Data Source'!U838&gt;=2,"C",IF('Data Source'!U838&gt;=1,"D","F")))))))</f>
        <v/>
      </c>
      <c r="D838" s="3">
        <f>IF('Data Source'!B838="","",IF('Data Source'!V838&gt;=5,"A+",IF('Data Source'!V838&gt;=4,"A",IF('Data Source'!V838&gt;=3.5,"A-",IF('Data Source'!V838&gt;=3,"B",IF('Data Source'!V838&gt;=2,"C",IF('Data Source'!V838&gt;=1,"D","F")))))))</f>
        <v/>
      </c>
      <c r="E838" s="3">
        <f>IF('Data Source'!B838="","",IF('Data Source'!W838&gt;=5,"A+",IF('Data Source'!W838&gt;=4,"A",IF('Data Source'!W838&gt;=3.5,"A-",IF('Data Source'!W838&gt;=3,"B",IF('Data Source'!W838&gt;=2,"C",IF('Data Source'!W838&gt;=1,"D","F")))))))</f>
        <v/>
      </c>
      <c r="F838" s="3">
        <f>IF('Data Source'!B838="","",IF('Data Source'!X838&gt;=5,"A+",IF('Data Source'!X838&gt;=4,"A",IF('Data Source'!X838&gt;=3.5,"A-",IF('Data Source'!X838&gt;=3,"B",IF('Data Source'!X838&gt;=2,"C",IF('Data Source'!X838&gt;=1,"D","F")))))))</f>
        <v/>
      </c>
      <c r="G838" s="3">
        <f>IF('Data Source'!B838="","",IF('Data Source'!Y838&gt;=5,"A+",IF('Data Source'!Y838&gt;=4,"A",IF('Data Source'!Y838&gt;=3.5,"A-",IF('Data Source'!Y838&gt;=3,"B",IF('Data Source'!Y838&gt;=2,"C",IF('Data Source'!Y838&gt;=1,"D","F")))))))</f>
        <v/>
      </c>
      <c r="H838" s="3">
        <f>IF('Data Source'!B838="","",IF('Data Source'!Z838&gt;=5,"A+",IF('Data Source'!Z838&gt;=4,"A",IF('Data Source'!Z838&gt;=3.5,"A-",IF('Data Source'!Z838&gt;=3,"B",IF('Data Source'!Z838&gt;=2,"C",IF('Data Source'!Z838&gt;=1,"D","F")))))))</f>
        <v/>
      </c>
      <c r="I838" s="3">
        <f>IF('Data Source'!B838="","",IF('Data Source'!AA838&gt;=5,"A+",IF('Data Source'!AA838&gt;=4,"A",IF('Data Source'!AA838&gt;=3.5,"A-",IF('Data Source'!AA838&gt;=3,"B",IF('Data Source'!AA838&gt;=2,"C",IF('Data Source'!AA838&gt;=1,"D","F")))))))</f>
        <v/>
      </c>
      <c r="J838" s="3">
        <f>IF('Data Source'!B838="","",IF('Data Source'!AB838&gt;=5,"A+",IF('Data Source'!AB838&gt;=4,"A",IF('Data Source'!AB838&gt;=3.5,"A-",IF('Data Source'!AB838&gt;=3,"B",IF('Data Source'!AB838&gt;=2,"C",IF('Data Source'!AB838&gt;=1,"D","F")))))))</f>
        <v/>
      </c>
      <c r="K838" s="3">
        <f>IF('Data Source'!B838="","",IF('Data Source'!AC838&gt;=5,"A+",IF('Data Source'!AC838&gt;=4,"A",IF('Data Source'!AC838&gt;=3.5,"A-",IF('Data Source'!AC838&gt;=3,"B",IF('Data Source'!AC838&gt;=2,"C",IF('Data Source'!AC838&gt;=1,"D","F")))))))</f>
        <v/>
      </c>
      <c r="L838" s="3">
        <f>IF('Data Source'!B838="","",IF('Data Source'!AD838&gt;=5,"A+",IF('Data Source'!AD838&gt;=4,"A",IF('Data Source'!AD838&gt;=3.5,"A-",IF('Data Source'!AD838&gt;=3,"B",IF('Data Source'!AD838&gt;=2,"C",IF('Data Source'!AD838&gt;=1,"D","F")))))))</f>
        <v/>
      </c>
      <c r="M838" s="3">
        <f>IF('Data Source'!B838="","",IF('Data Source'!AE838&gt;=5,"A+",IF('Data Source'!AE838&gt;=4,"A",IF('Data Source'!AE838&gt;=3.5,"A-",IF('Data Source'!AE838&gt;=3,"B",IF('Data Source'!AE838&gt;=2,"C",IF('Data Source'!AE838&gt;=1,"D","F")))))))</f>
        <v/>
      </c>
      <c r="N838" s="3">
        <f>IF('Data Source'!B838="","",IF('Data Source'!AF838&gt;=5,"A+",IF('Data Source'!AF838&gt;=4,"A",IF('Data Source'!AF838&gt;=3.5,"A-",IF('Data Source'!AF838&gt;=3,"B",IF('Data Source'!AF838&gt;=2,"C",IF('Data Source'!AF838&gt;=1,"D","F")))))))</f>
        <v/>
      </c>
      <c r="O838" s="3">
        <f>IF('Data Source'!B838="","",IF('Data Source'!AG838&gt;=5,"A+",IF('Data Source'!AG838&gt;=4,"A",IF('Data Source'!AG838&gt;=3.5,"A-",IF('Data Source'!AG838&gt;=3,"B",IF('Data Source'!AG838&gt;=2,"C",IF('Data Source'!AG838&gt;=1,"D","F")))))))</f>
        <v/>
      </c>
      <c r="P838" s="5">
        <f>IF('Data Source'!B838="","",'Data Source'!R838)</f>
        <v/>
      </c>
      <c r="Q838" s="3">
        <f>IF('Data Source'!B838="","",'Data Source'!S838)</f>
        <v/>
      </c>
    </row>
    <row r="839">
      <c r="A839" s="3">
        <f>IF('Data Source'!B839="","",'Data Source'!A839)</f>
        <v/>
      </c>
      <c r="B839">
        <f>IF('Data Source'!B839="","",'Data Source'!B839)</f>
        <v/>
      </c>
      <c r="C839" s="3">
        <f>IF('Data Source'!B839="","",IF('Data Source'!U839&gt;=5,"A+",IF('Data Source'!U839&gt;=4,"A",IF('Data Source'!U839&gt;=3.5,"A-",IF('Data Source'!U839&gt;=3,"B",IF('Data Source'!U839&gt;=2,"C",IF('Data Source'!U839&gt;=1,"D","F")))))))</f>
        <v/>
      </c>
      <c r="D839" s="3">
        <f>IF('Data Source'!B839="","",IF('Data Source'!V839&gt;=5,"A+",IF('Data Source'!V839&gt;=4,"A",IF('Data Source'!V839&gt;=3.5,"A-",IF('Data Source'!V839&gt;=3,"B",IF('Data Source'!V839&gt;=2,"C",IF('Data Source'!V839&gt;=1,"D","F")))))))</f>
        <v/>
      </c>
      <c r="E839" s="3">
        <f>IF('Data Source'!B839="","",IF('Data Source'!W839&gt;=5,"A+",IF('Data Source'!W839&gt;=4,"A",IF('Data Source'!W839&gt;=3.5,"A-",IF('Data Source'!W839&gt;=3,"B",IF('Data Source'!W839&gt;=2,"C",IF('Data Source'!W839&gt;=1,"D","F")))))))</f>
        <v/>
      </c>
      <c r="F839" s="3">
        <f>IF('Data Source'!B839="","",IF('Data Source'!X839&gt;=5,"A+",IF('Data Source'!X839&gt;=4,"A",IF('Data Source'!X839&gt;=3.5,"A-",IF('Data Source'!X839&gt;=3,"B",IF('Data Source'!X839&gt;=2,"C",IF('Data Source'!X839&gt;=1,"D","F")))))))</f>
        <v/>
      </c>
      <c r="G839" s="3">
        <f>IF('Data Source'!B839="","",IF('Data Source'!Y839&gt;=5,"A+",IF('Data Source'!Y839&gt;=4,"A",IF('Data Source'!Y839&gt;=3.5,"A-",IF('Data Source'!Y839&gt;=3,"B",IF('Data Source'!Y839&gt;=2,"C",IF('Data Source'!Y839&gt;=1,"D","F")))))))</f>
        <v/>
      </c>
      <c r="H839" s="3">
        <f>IF('Data Source'!B839="","",IF('Data Source'!Z839&gt;=5,"A+",IF('Data Source'!Z839&gt;=4,"A",IF('Data Source'!Z839&gt;=3.5,"A-",IF('Data Source'!Z839&gt;=3,"B",IF('Data Source'!Z839&gt;=2,"C",IF('Data Source'!Z839&gt;=1,"D","F")))))))</f>
        <v/>
      </c>
      <c r="I839" s="3">
        <f>IF('Data Source'!B839="","",IF('Data Source'!AA839&gt;=5,"A+",IF('Data Source'!AA839&gt;=4,"A",IF('Data Source'!AA839&gt;=3.5,"A-",IF('Data Source'!AA839&gt;=3,"B",IF('Data Source'!AA839&gt;=2,"C",IF('Data Source'!AA839&gt;=1,"D","F")))))))</f>
        <v/>
      </c>
      <c r="J839" s="3">
        <f>IF('Data Source'!B839="","",IF('Data Source'!AB839&gt;=5,"A+",IF('Data Source'!AB839&gt;=4,"A",IF('Data Source'!AB839&gt;=3.5,"A-",IF('Data Source'!AB839&gt;=3,"B",IF('Data Source'!AB839&gt;=2,"C",IF('Data Source'!AB839&gt;=1,"D","F")))))))</f>
        <v/>
      </c>
      <c r="K839" s="3">
        <f>IF('Data Source'!B839="","",IF('Data Source'!AC839&gt;=5,"A+",IF('Data Source'!AC839&gt;=4,"A",IF('Data Source'!AC839&gt;=3.5,"A-",IF('Data Source'!AC839&gt;=3,"B",IF('Data Source'!AC839&gt;=2,"C",IF('Data Source'!AC839&gt;=1,"D","F")))))))</f>
        <v/>
      </c>
      <c r="L839" s="3">
        <f>IF('Data Source'!B839="","",IF('Data Source'!AD839&gt;=5,"A+",IF('Data Source'!AD839&gt;=4,"A",IF('Data Source'!AD839&gt;=3.5,"A-",IF('Data Source'!AD839&gt;=3,"B",IF('Data Source'!AD839&gt;=2,"C",IF('Data Source'!AD839&gt;=1,"D","F")))))))</f>
        <v/>
      </c>
      <c r="M839" s="3">
        <f>IF('Data Source'!B839="","",IF('Data Source'!AE839&gt;=5,"A+",IF('Data Source'!AE839&gt;=4,"A",IF('Data Source'!AE839&gt;=3.5,"A-",IF('Data Source'!AE839&gt;=3,"B",IF('Data Source'!AE839&gt;=2,"C",IF('Data Source'!AE839&gt;=1,"D","F")))))))</f>
        <v/>
      </c>
      <c r="N839" s="3">
        <f>IF('Data Source'!B839="","",IF('Data Source'!AF839&gt;=5,"A+",IF('Data Source'!AF839&gt;=4,"A",IF('Data Source'!AF839&gt;=3.5,"A-",IF('Data Source'!AF839&gt;=3,"B",IF('Data Source'!AF839&gt;=2,"C",IF('Data Source'!AF839&gt;=1,"D","F")))))))</f>
        <v/>
      </c>
      <c r="O839" s="3">
        <f>IF('Data Source'!B839="","",IF('Data Source'!AG839&gt;=5,"A+",IF('Data Source'!AG839&gt;=4,"A",IF('Data Source'!AG839&gt;=3.5,"A-",IF('Data Source'!AG839&gt;=3,"B",IF('Data Source'!AG839&gt;=2,"C",IF('Data Source'!AG839&gt;=1,"D","F")))))))</f>
        <v/>
      </c>
      <c r="P839" s="5">
        <f>IF('Data Source'!B839="","",'Data Source'!R839)</f>
        <v/>
      </c>
      <c r="Q839" s="3">
        <f>IF('Data Source'!B839="","",'Data Source'!S839)</f>
        <v/>
      </c>
    </row>
    <row r="840">
      <c r="A840" s="3">
        <f>IF('Data Source'!B840="","",'Data Source'!A840)</f>
        <v/>
      </c>
      <c r="B840">
        <f>IF('Data Source'!B840="","",'Data Source'!B840)</f>
        <v/>
      </c>
      <c r="C840" s="3">
        <f>IF('Data Source'!B840="","",IF('Data Source'!U840&gt;=5,"A+",IF('Data Source'!U840&gt;=4,"A",IF('Data Source'!U840&gt;=3.5,"A-",IF('Data Source'!U840&gt;=3,"B",IF('Data Source'!U840&gt;=2,"C",IF('Data Source'!U840&gt;=1,"D","F")))))))</f>
        <v/>
      </c>
      <c r="D840" s="3">
        <f>IF('Data Source'!B840="","",IF('Data Source'!V840&gt;=5,"A+",IF('Data Source'!V840&gt;=4,"A",IF('Data Source'!V840&gt;=3.5,"A-",IF('Data Source'!V840&gt;=3,"B",IF('Data Source'!V840&gt;=2,"C",IF('Data Source'!V840&gt;=1,"D","F")))))))</f>
        <v/>
      </c>
      <c r="E840" s="3">
        <f>IF('Data Source'!B840="","",IF('Data Source'!W840&gt;=5,"A+",IF('Data Source'!W840&gt;=4,"A",IF('Data Source'!W840&gt;=3.5,"A-",IF('Data Source'!W840&gt;=3,"B",IF('Data Source'!W840&gt;=2,"C",IF('Data Source'!W840&gt;=1,"D","F")))))))</f>
        <v/>
      </c>
      <c r="F840" s="3">
        <f>IF('Data Source'!B840="","",IF('Data Source'!X840&gt;=5,"A+",IF('Data Source'!X840&gt;=4,"A",IF('Data Source'!X840&gt;=3.5,"A-",IF('Data Source'!X840&gt;=3,"B",IF('Data Source'!X840&gt;=2,"C",IF('Data Source'!X840&gt;=1,"D","F")))))))</f>
        <v/>
      </c>
      <c r="G840" s="3">
        <f>IF('Data Source'!B840="","",IF('Data Source'!Y840&gt;=5,"A+",IF('Data Source'!Y840&gt;=4,"A",IF('Data Source'!Y840&gt;=3.5,"A-",IF('Data Source'!Y840&gt;=3,"B",IF('Data Source'!Y840&gt;=2,"C",IF('Data Source'!Y840&gt;=1,"D","F")))))))</f>
        <v/>
      </c>
      <c r="H840" s="3">
        <f>IF('Data Source'!B840="","",IF('Data Source'!Z840&gt;=5,"A+",IF('Data Source'!Z840&gt;=4,"A",IF('Data Source'!Z840&gt;=3.5,"A-",IF('Data Source'!Z840&gt;=3,"B",IF('Data Source'!Z840&gt;=2,"C",IF('Data Source'!Z840&gt;=1,"D","F")))))))</f>
        <v/>
      </c>
      <c r="I840" s="3">
        <f>IF('Data Source'!B840="","",IF('Data Source'!AA840&gt;=5,"A+",IF('Data Source'!AA840&gt;=4,"A",IF('Data Source'!AA840&gt;=3.5,"A-",IF('Data Source'!AA840&gt;=3,"B",IF('Data Source'!AA840&gt;=2,"C",IF('Data Source'!AA840&gt;=1,"D","F")))))))</f>
        <v/>
      </c>
      <c r="J840" s="3">
        <f>IF('Data Source'!B840="","",IF('Data Source'!AB840&gt;=5,"A+",IF('Data Source'!AB840&gt;=4,"A",IF('Data Source'!AB840&gt;=3.5,"A-",IF('Data Source'!AB840&gt;=3,"B",IF('Data Source'!AB840&gt;=2,"C",IF('Data Source'!AB840&gt;=1,"D","F")))))))</f>
        <v/>
      </c>
      <c r="K840" s="3">
        <f>IF('Data Source'!B840="","",IF('Data Source'!AC840&gt;=5,"A+",IF('Data Source'!AC840&gt;=4,"A",IF('Data Source'!AC840&gt;=3.5,"A-",IF('Data Source'!AC840&gt;=3,"B",IF('Data Source'!AC840&gt;=2,"C",IF('Data Source'!AC840&gt;=1,"D","F")))))))</f>
        <v/>
      </c>
      <c r="L840" s="3">
        <f>IF('Data Source'!B840="","",IF('Data Source'!AD840&gt;=5,"A+",IF('Data Source'!AD840&gt;=4,"A",IF('Data Source'!AD840&gt;=3.5,"A-",IF('Data Source'!AD840&gt;=3,"B",IF('Data Source'!AD840&gt;=2,"C",IF('Data Source'!AD840&gt;=1,"D","F")))))))</f>
        <v/>
      </c>
      <c r="M840" s="3">
        <f>IF('Data Source'!B840="","",IF('Data Source'!AE840&gt;=5,"A+",IF('Data Source'!AE840&gt;=4,"A",IF('Data Source'!AE840&gt;=3.5,"A-",IF('Data Source'!AE840&gt;=3,"B",IF('Data Source'!AE840&gt;=2,"C",IF('Data Source'!AE840&gt;=1,"D","F")))))))</f>
        <v/>
      </c>
      <c r="N840" s="3">
        <f>IF('Data Source'!B840="","",IF('Data Source'!AF840&gt;=5,"A+",IF('Data Source'!AF840&gt;=4,"A",IF('Data Source'!AF840&gt;=3.5,"A-",IF('Data Source'!AF840&gt;=3,"B",IF('Data Source'!AF840&gt;=2,"C",IF('Data Source'!AF840&gt;=1,"D","F")))))))</f>
        <v/>
      </c>
      <c r="O840" s="3">
        <f>IF('Data Source'!B840="","",IF('Data Source'!AG840&gt;=5,"A+",IF('Data Source'!AG840&gt;=4,"A",IF('Data Source'!AG840&gt;=3.5,"A-",IF('Data Source'!AG840&gt;=3,"B",IF('Data Source'!AG840&gt;=2,"C",IF('Data Source'!AG840&gt;=1,"D","F")))))))</f>
        <v/>
      </c>
      <c r="P840" s="5">
        <f>IF('Data Source'!B840="","",'Data Source'!R840)</f>
        <v/>
      </c>
      <c r="Q840" s="3">
        <f>IF('Data Source'!B840="","",'Data Source'!S840)</f>
        <v/>
      </c>
    </row>
    <row r="841">
      <c r="A841" s="3">
        <f>IF('Data Source'!B841="","",'Data Source'!A841)</f>
        <v/>
      </c>
      <c r="B841">
        <f>IF('Data Source'!B841="","",'Data Source'!B841)</f>
        <v/>
      </c>
      <c r="C841" s="3">
        <f>IF('Data Source'!B841="","",IF('Data Source'!U841&gt;=5,"A+",IF('Data Source'!U841&gt;=4,"A",IF('Data Source'!U841&gt;=3.5,"A-",IF('Data Source'!U841&gt;=3,"B",IF('Data Source'!U841&gt;=2,"C",IF('Data Source'!U841&gt;=1,"D","F")))))))</f>
        <v/>
      </c>
      <c r="D841" s="3">
        <f>IF('Data Source'!B841="","",IF('Data Source'!V841&gt;=5,"A+",IF('Data Source'!V841&gt;=4,"A",IF('Data Source'!V841&gt;=3.5,"A-",IF('Data Source'!V841&gt;=3,"B",IF('Data Source'!V841&gt;=2,"C",IF('Data Source'!V841&gt;=1,"D","F")))))))</f>
        <v/>
      </c>
      <c r="E841" s="3">
        <f>IF('Data Source'!B841="","",IF('Data Source'!W841&gt;=5,"A+",IF('Data Source'!W841&gt;=4,"A",IF('Data Source'!W841&gt;=3.5,"A-",IF('Data Source'!W841&gt;=3,"B",IF('Data Source'!W841&gt;=2,"C",IF('Data Source'!W841&gt;=1,"D","F")))))))</f>
        <v/>
      </c>
      <c r="F841" s="3">
        <f>IF('Data Source'!B841="","",IF('Data Source'!X841&gt;=5,"A+",IF('Data Source'!X841&gt;=4,"A",IF('Data Source'!X841&gt;=3.5,"A-",IF('Data Source'!X841&gt;=3,"B",IF('Data Source'!X841&gt;=2,"C",IF('Data Source'!X841&gt;=1,"D","F")))))))</f>
        <v/>
      </c>
      <c r="G841" s="3">
        <f>IF('Data Source'!B841="","",IF('Data Source'!Y841&gt;=5,"A+",IF('Data Source'!Y841&gt;=4,"A",IF('Data Source'!Y841&gt;=3.5,"A-",IF('Data Source'!Y841&gt;=3,"B",IF('Data Source'!Y841&gt;=2,"C",IF('Data Source'!Y841&gt;=1,"D","F")))))))</f>
        <v/>
      </c>
      <c r="H841" s="3">
        <f>IF('Data Source'!B841="","",IF('Data Source'!Z841&gt;=5,"A+",IF('Data Source'!Z841&gt;=4,"A",IF('Data Source'!Z841&gt;=3.5,"A-",IF('Data Source'!Z841&gt;=3,"B",IF('Data Source'!Z841&gt;=2,"C",IF('Data Source'!Z841&gt;=1,"D","F")))))))</f>
        <v/>
      </c>
      <c r="I841" s="3">
        <f>IF('Data Source'!B841="","",IF('Data Source'!AA841&gt;=5,"A+",IF('Data Source'!AA841&gt;=4,"A",IF('Data Source'!AA841&gt;=3.5,"A-",IF('Data Source'!AA841&gt;=3,"B",IF('Data Source'!AA841&gt;=2,"C",IF('Data Source'!AA841&gt;=1,"D","F")))))))</f>
        <v/>
      </c>
      <c r="J841" s="3">
        <f>IF('Data Source'!B841="","",IF('Data Source'!AB841&gt;=5,"A+",IF('Data Source'!AB841&gt;=4,"A",IF('Data Source'!AB841&gt;=3.5,"A-",IF('Data Source'!AB841&gt;=3,"B",IF('Data Source'!AB841&gt;=2,"C",IF('Data Source'!AB841&gt;=1,"D","F")))))))</f>
        <v/>
      </c>
      <c r="K841" s="3">
        <f>IF('Data Source'!B841="","",IF('Data Source'!AC841&gt;=5,"A+",IF('Data Source'!AC841&gt;=4,"A",IF('Data Source'!AC841&gt;=3.5,"A-",IF('Data Source'!AC841&gt;=3,"B",IF('Data Source'!AC841&gt;=2,"C",IF('Data Source'!AC841&gt;=1,"D","F")))))))</f>
        <v/>
      </c>
      <c r="L841" s="3">
        <f>IF('Data Source'!B841="","",IF('Data Source'!AD841&gt;=5,"A+",IF('Data Source'!AD841&gt;=4,"A",IF('Data Source'!AD841&gt;=3.5,"A-",IF('Data Source'!AD841&gt;=3,"B",IF('Data Source'!AD841&gt;=2,"C",IF('Data Source'!AD841&gt;=1,"D","F")))))))</f>
        <v/>
      </c>
      <c r="M841" s="3">
        <f>IF('Data Source'!B841="","",IF('Data Source'!AE841&gt;=5,"A+",IF('Data Source'!AE841&gt;=4,"A",IF('Data Source'!AE841&gt;=3.5,"A-",IF('Data Source'!AE841&gt;=3,"B",IF('Data Source'!AE841&gt;=2,"C",IF('Data Source'!AE841&gt;=1,"D","F")))))))</f>
        <v/>
      </c>
      <c r="N841" s="3">
        <f>IF('Data Source'!B841="","",IF('Data Source'!AF841&gt;=5,"A+",IF('Data Source'!AF841&gt;=4,"A",IF('Data Source'!AF841&gt;=3.5,"A-",IF('Data Source'!AF841&gt;=3,"B",IF('Data Source'!AF841&gt;=2,"C",IF('Data Source'!AF841&gt;=1,"D","F")))))))</f>
        <v/>
      </c>
      <c r="O841" s="3">
        <f>IF('Data Source'!B841="","",IF('Data Source'!AG841&gt;=5,"A+",IF('Data Source'!AG841&gt;=4,"A",IF('Data Source'!AG841&gt;=3.5,"A-",IF('Data Source'!AG841&gt;=3,"B",IF('Data Source'!AG841&gt;=2,"C",IF('Data Source'!AG841&gt;=1,"D","F")))))))</f>
        <v/>
      </c>
      <c r="P841" s="5">
        <f>IF('Data Source'!B841="","",'Data Source'!R841)</f>
        <v/>
      </c>
      <c r="Q841" s="3">
        <f>IF('Data Source'!B841="","",'Data Source'!S841)</f>
        <v/>
      </c>
    </row>
    <row r="842">
      <c r="A842" s="3">
        <f>IF('Data Source'!B842="","",'Data Source'!A842)</f>
        <v/>
      </c>
      <c r="B842">
        <f>IF('Data Source'!B842="","",'Data Source'!B842)</f>
        <v/>
      </c>
      <c r="C842" s="3">
        <f>IF('Data Source'!B842="","",IF('Data Source'!U842&gt;=5,"A+",IF('Data Source'!U842&gt;=4,"A",IF('Data Source'!U842&gt;=3.5,"A-",IF('Data Source'!U842&gt;=3,"B",IF('Data Source'!U842&gt;=2,"C",IF('Data Source'!U842&gt;=1,"D","F")))))))</f>
        <v/>
      </c>
      <c r="D842" s="3">
        <f>IF('Data Source'!B842="","",IF('Data Source'!V842&gt;=5,"A+",IF('Data Source'!V842&gt;=4,"A",IF('Data Source'!V842&gt;=3.5,"A-",IF('Data Source'!V842&gt;=3,"B",IF('Data Source'!V842&gt;=2,"C",IF('Data Source'!V842&gt;=1,"D","F")))))))</f>
        <v/>
      </c>
      <c r="E842" s="3">
        <f>IF('Data Source'!B842="","",IF('Data Source'!W842&gt;=5,"A+",IF('Data Source'!W842&gt;=4,"A",IF('Data Source'!W842&gt;=3.5,"A-",IF('Data Source'!W842&gt;=3,"B",IF('Data Source'!W842&gt;=2,"C",IF('Data Source'!W842&gt;=1,"D","F")))))))</f>
        <v/>
      </c>
      <c r="F842" s="3">
        <f>IF('Data Source'!B842="","",IF('Data Source'!X842&gt;=5,"A+",IF('Data Source'!X842&gt;=4,"A",IF('Data Source'!X842&gt;=3.5,"A-",IF('Data Source'!X842&gt;=3,"B",IF('Data Source'!X842&gt;=2,"C",IF('Data Source'!X842&gt;=1,"D","F")))))))</f>
        <v/>
      </c>
      <c r="G842" s="3">
        <f>IF('Data Source'!B842="","",IF('Data Source'!Y842&gt;=5,"A+",IF('Data Source'!Y842&gt;=4,"A",IF('Data Source'!Y842&gt;=3.5,"A-",IF('Data Source'!Y842&gt;=3,"B",IF('Data Source'!Y842&gt;=2,"C",IF('Data Source'!Y842&gt;=1,"D","F")))))))</f>
        <v/>
      </c>
      <c r="H842" s="3">
        <f>IF('Data Source'!B842="","",IF('Data Source'!Z842&gt;=5,"A+",IF('Data Source'!Z842&gt;=4,"A",IF('Data Source'!Z842&gt;=3.5,"A-",IF('Data Source'!Z842&gt;=3,"B",IF('Data Source'!Z842&gt;=2,"C",IF('Data Source'!Z842&gt;=1,"D","F")))))))</f>
        <v/>
      </c>
      <c r="I842" s="3">
        <f>IF('Data Source'!B842="","",IF('Data Source'!AA842&gt;=5,"A+",IF('Data Source'!AA842&gt;=4,"A",IF('Data Source'!AA842&gt;=3.5,"A-",IF('Data Source'!AA842&gt;=3,"B",IF('Data Source'!AA842&gt;=2,"C",IF('Data Source'!AA842&gt;=1,"D","F")))))))</f>
        <v/>
      </c>
      <c r="J842" s="3">
        <f>IF('Data Source'!B842="","",IF('Data Source'!AB842&gt;=5,"A+",IF('Data Source'!AB842&gt;=4,"A",IF('Data Source'!AB842&gt;=3.5,"A-",IF('Data Source'!AB842&gt;=3,"B",IF('Data Source'!AB842&gt;=2,"C",IF('Data Source'!AB842&gt;=1,"D","F")))))))</f>
        <v/>
      </c>
      <c r="K842" s="3">
        <f>IF('Data Source'!B842="","",IF('Data Source'!AC842&gt;=5,"A+",IF('Data Source'!AC842&gt;=4,"A",IF('Data Source'!AC842&gt;=3.5,"A-",IF('Data Source'!AC842&gt;=3,"B",IF('Data Source'!AC842&gt;=2,"C",IF('Data Source'!AC842&gt;=1,"D","F")))))))</f>
        <v/>
      </c>
      <c r="L842" s="3">
        <f>IF('Data Source'!B842="","",IF('Data Source'!AD842&gt;=5,"A+",IF('Data Source'!AD842&gt;=4,"A",IF('Data Source'!AD842&gt;=3.5,"A-",IF('Data Source'!AD842&gt;=3,"B",IF('Data Source'!AD842&gt;=2,"C",IF('Data Source'!AD842&gt;=1,"D","F")))))))</f>
        <v/>
      </c>
      <c r="M842" s="3">
        <f>IF('Data Source'!B842="","",IF('Data Source'!AE842&gt;=5,"A+",IF('Data Source'!AE842&gt;=4,"A",IF('Data Source'!AE842&gt;=3.5,"A-",IF('Data Source'!AE842&gt;=3,"B",IF('Data Source'!AE842&gt;=2,"C",IF('Data Source'!AE842&gt;=1,"D","F")))))))</f>
        <v/>
      </c>
      <c r="N842" s="3">
        <f>IF('Data Source'!B842="","",IF('Data Source'!AF842&gt;=5,"A+",IF('Data Source'!AF842&gt;=4,"A",IF('Data Source'!AF842&gt;=3.5,"A-",IF('Data Source'!AF842&gt;=3,"B",IF('Data Source'!AF842&gt;=2,"C",IF('Data Source'!AF842&gt;=1,"D","F")))))))</f>
        <v/>
      </c>
      <c r="O842" s="3">
        <f>IF('Data Source'!B842="","",IF('Data Source'!AG842&gt;=5,"A+",IF('Data Source'!AG842&gt;=4,"A",IF('Data Source'!AG842&gt;=3.5,"A-",IF('Data Source'!AG842&gt;=3,"B",IF('Data Source'!AG842&gt;=2,"C",IF('Data Source'!AG842&gt;=1,"D","F")))))))</f>
        <v/>
      </c>
      <c r="P842" s="5">
        <f>IF('Data Source'!B842="","",'Data Source'!R842)</f>
        <v/>
      </c>
      <c r="Q842" s="3">
        <f>IF('Data Source'!B842="","",'Data Source'!S842)</f>
        <v/>
      </c>
    </row>
    <row r="843">
      <c r="A843" s="3">
        <f>IF('Data Source'!B843="","",'Data Source'!A843)</f>
        <v/>
      </c>
      <c r="B843">
        <f>IF('Data Source'!B843="","",'Data Source'!B843)</f>
        <v/>
      </c>
      <c r="C843" s="3">
        <f>IF('Data Source'!B843="","",IF('Data Source'!U843&gt;=5,"A+",IF('Data Source'!U843&gt;=4,"A",IF('Data Source'!U843&gt;=3.5,"A-",IF('Data Source'!U843&gt;=3,"B",IF('Data Source'!U843&gt;=2,"C",IF('Data Source'!U843&gt;=1,"D","F")))))))</f>
        <v/>
      </c>
      <c r="D843" s="3">
        <f>IF('Data Source'!B843="","",IF('Data Source'!V843&gt;=5,"A+",IF('Data Source'!V843&gt;=4,"A",IF('Data Source'!V843&gt;=3.5,"A-",IF('Data Source'!V843&gt;=3,"B",IF('Data Source'!V843&gt;=2,"C",IF('Data Source'!V843&gt;=1,"D","F")))))))</f>
        <v/>
      </c>
      <c r="E843" s="3">
        <f>IF('Data Source'!B843="","",IF('Data Source'!W843&gt;=5,"A+",IF('Data Source'!W843&gt;=4,"A",IF('Data Source'!W843&gt;=3.5,"A-",IF('Data Source'!W843&gt;=3,"B",IF('Data Source'!W843&gt;=2,"C",IF('Data Source'!W843&gt;=1,"D","F")))))))</f>
        <v/>
      </c>
      <c r="F843" s="3">
        <f>IF('Data Source'!B843="","",IF('Data Source'!X843&gt;=5,"A+",IF('Data Source'!X843&gt;=4,"A",IF('Data Source'!X843&gt;=3.5,"A-",IF('Data Source'!X843&gt;=3,"B",IF('Data Source'!X843&gt;=2,"C",IF('Data Source'!X843&gt;=1,"D","F")))))))</f>
        <v/>
      </c>
      <c r="G843" s="3">
        <f>IF('Data Source'!B843="","",IF('Data Source'!Y843&gt;=5,"A+",IF('Data Source'!Y843&gt;=4,"A",IF('Data Source'!Y843&gt;=3.5,"A-",IF('Data Source'!Y843&gt;=3,"B",IF('Data Source'!Y843&gt;=2,"C",IF('Data Source'!Y843&gt;=1,"D","F")))))))</f>
        <v/>
      </c>
      <c r="H843" s="3">
        <f>IF('Data Source'!B843="","",IF('Data Source'!Z843&gt;=5,"A+",IF('Data Source'!Z843&gt;=4,"A",IF('Data Source'!Z843&gt;=3.5,"A-",IF('Data Source'!Z843&gt;=3,"B",IF('Data Source'!Z843&gt;=2,"C",IF('Data Source'!Z843&gt;=1,"D","F")))))))</f>
        <v/>
      </c>
      <c r="I843" s="3">
        <f>IF('Data Source'!B843="","",IF('Data Source'!AA843&gt;=5,"A+",IF('Data Source'!AA843&gt;=4,"A",IF('Data Source'!AA843&gt;=3.5,"A-",IF('Data Source'!AA843&gt;=3,"B",IF('Data Source'!AA843&gt;=2,"C",IF('Data Source'!AA843&gt;=1,"D","F")))))))</f>
        <v/>
      </c>
      <c r="J843" s="3">
        <f>IF('Data Source'!B843="","",IF('Data Source'!AB843&gt;=5,"A+",IF('Data Source'!AB843&gt;=4,"A",IF('Data Source'!AB843&gt;=3.5,"A-",IF('Data Source'!AB843&gt;=3,"B",IF('Data Source'!AB843&gt;=2,"C",IF('Data Source'!AB843&gt;=1,"D","F")))))))</f>
        <v/>
      </c>
      <c r="K843" s="3">
        <f>IF('Data Source'!B843="","",IF('Data Source'!AC843&gt;=5,"A+",IF('Data Source'!AC843&gt;=4,"A",IF('Data Source'!AC843&gt;=3.5,"A-",IF('Data Source'!AC843&gt;=3,"B",IF('Data Source'!AC843&gt;=2,"C",IF('Data Source'!AC843&gt;=1,"D","F")))))))</f>
        <v/>
      </c>
      <c r="L843" s="3">
        <f>IF('Data Source'!B843="","",IF('Data Source'!AD843&gt;=5,"A+",IF('Data Source'!AD843&gt;=4,"A",IF('Data Source'!AD843&gt;=3.5,"A-",IF('Data Source'!AD843&gt;=3,"B",IF('Data Source'!AD843&gt;=2,"C",IF('Data Source'!AD843&gt;=1,"D","F")))))))</f>
        <v/>
      </c>
      <c r="M843" s="3">
        <f>IF('Data Source'!B843="","",IF('Data Source'!AE843&gt;=5,"A+",IF('Data Source'!AE843&gt;=4,"A",IF('Data Source'!AE843&gt;=3.5,"A-",IF('Data Source'!AE843&gt;=3,"B",IF('Data Source'!AE843&gt;=2,"C",IF('Data Source'!AE843&gt;=1,"D","F")))))))</f>
        <v/>
      </c>
      <c r="N843" s="3">
        <f>IF('Data Source'!B843="","",IF('Data Source'!AF843&gt;=5,"A+",IF('Data Source'!AF843&gt;=4,"A",IF('Data Source'!AF843&gt;=3.5,"A-",IF('Data Source'!AF843&gt;=3,"B",IF('Data Source'!AF843&gt;=2,"C",IF('Data Source'!AF843&gt;=1,"D","F")))))))</f>
        <v/>
      </c>
      <c r="O843" s="3">
        <f>IF('Data Source'!B843="","",IF('Data Source'!AG843&gt;=5,"A+",IF('Data Source'!AG843&gt;=4,"A",IF('Data Source'!AG843&gt;=3.5,"A-",IF('Data Source'!AG843&gt;=3,"B",IF('Data Source'!AG843&gt;=2,"C",IF('Data Source'!AG843&gt;=1,"D","F")))))))</f>
        <v/>
      </c>
      <c r="P843" s="5">
        <f>IF('Data Source'!B843="","",'Data Source'!R843)</f>
        <v/>
      </c>
      <c r="Q843" s="3">
        <f>IF('Data Source'!B843="","",'Data Source'!S843)</f>
        <v/>
      </c>
    </row>
    <row r="844">
      <c r="A844" s="3">
        <f>IF('Data Source'!B844="","",'Data Source'!A844)</f>
        <v/>
      </c>
      <c r="B844">
        <f>IF('Data Source'!B844="","",'Data Source'!B844)</f>
        <v/>
      </c>
      <c r="C844" s="3">
        <f>IF('Data Source'!B844="","",IF('Data Source'!U844&gt;=5,"A+",IF('Data Source'!U844&gt;=4,"A",IF('Data Source'!U844&gt;=3.5,"A-",IF('Data Source'!U844&gt;=3,"B",IF('Data Source'!U844&gt;=2,"C",IF('Data Source'!U844&gt;=1,"D","F")))))))</f>
        <v/>
      </c>
      <c r="D844" s="3">
        <f>IF('Data Source'!B844="","",IF('Data Source'!V844&gt;=5,"A+",IF('Data Source'!V844&gt;=4,"A",IF('Data Source'!V844&gt;=3.5,"A-",IF('Data Source'!V844&gt;=3,"B",IF('Data Source'!V844&gt;=2,"C",IF('Data Source'!V844&gt;=1,"D","F")))))))</f>
        <v/>
      </c>
      <c r="E844" s="3">
        <f>IF('Data Source'!B844="","",IF('Data Source'!W844&gt;=5,"A+",IF('Data Source'!W844&gt;=4,"A",IF('Data Source'!W844&gt;=3.5,"A-",IF('Data Source'!W844&gt;=3,"B",IF('Data Source'!W844&gt;=2,"C",IF('Data Source'!W844&gt;=1,"D","F")))))))</f>
        <v/>
      </c>
      <c r="F844" s="3">
        <f>IF('Data Source'!B844="","",IF('Data Source'!X844&gt;=5,"A+",IF('Data Source'!X844&gt;=4,"A",IF('Data Source'!X844&gt;=3.5,"A-",IF('Data Source'!X844&gt;=3,"B",IF('Data Source'!X844&gt;=2,"C",IF('Data Source'!X844&gt;=1,"D","F")))))))</f>
        <v/>
      </c>
      <c r="G844" s="3">
        <f>IF('Data Source'!B844="","",IF('Data Source'!Y844&gt;=5,"A+",IF('Data Source'!Y844&gt;=4,"A",IF('Data Source'!Y844&gt;=3.5,"A-",IF('Data Source'!Y844&gt;=3,"B",IF('Data Source'!Y844&gt;=2,"C",IF('Data Source'!Y844&gt;=1,"D","F")))))))</f>
        <v/>
      </c>
      <c r="H844" s="3">
        <f>IF('Data Source'!B844="","",IF('Data Source'!Z844&gt;=5,"A+",IF('Data Source'!Z844&gt;=4,"A",IF('Data Source'!Z844&gt;=3.5,"A-",IF('Data Source'!Z844&gt;=3,"B",IF('Data Source'!Z844&gt;=2,"C",IF('Data Source'!Z844&gt;=1,"D","F")))))))</f>
        <v/>
      </c>
      <c r="I844" s="3">
        <f>IF('Data Source'!B844="","",IF('Data Source'!AA844&gt;=5,"A+",IF('Data Source'!AA844&gt;=4,"A",IF('Data Source'!AA844&gt;=3.5,"A-",IF('Data Source'!AA844&gt;=3,"B",IF('Data Source'!AA844&gt;=2,"C",IF('Data Source'!AA844&gt;=1,"D","F")))))))</f>
        <v/>
      </c>
      <c r="J844" s="3">
        <f>IF('Data Source'!B844="","",IF('Data Source'!AB844&gt;=5,"A+",IF('Data Source'!AB844&gt;=4,"A",IF('Data Source'!AB844&gt;=3.5,"A-",IF('Data Source'!AB844&gt;=3,"B",IF('Data Source'!AB844&gt;=2,"C",IF('Data Source'!AB844&gt;=1,"D","F")))))))</f>
        <v/>
      </c>
      <c r="K844" s="3">
        <f>IF('Data Source'!B844="","",IF('Data Source'!AC844&gt;=5,"A+",IF('Data Source'!AC844&gt;=4,"A",IF('Data Source'!AC844&gt;=3.5,"A-",IF('Data Source'!AC844&gt;=3,"B",IF('Data Source'!AC844&gt;=2,"C",IF('Data Source'!AC844&gt;=1,"D","F")))))))</f>
        <v/>
      </c>
      <c r="L844" s="3">
        <f>IF('Data Source'!B844="","",IF('Data Source'!AD844&gt;=5,"A+",IF('Data Source'!AD844&gt;=4,"A",IF('Data Source'!AD844&gt;=3.5,"A-",IF('Data Source'!AD844&gt;=3,"B",IF('Data Source'!AD844&gt;=2,"C",IF('Data Source'!AD844&gt;=1,"D","F")))))))</f>
        <v/>
      </c>
      <c r="M844" s="3">
        <f>IF('Data Source'!B844="","",IF('Data Source'!AE844&gt;=5,"A+",IF('Data Source'!AE844&gt;=4,"A",IF('Data Source'!AE844&gt;=3.5,"A-",IF('Data Source'!AE844&gt;=3,"B",IF('Data Source'!AE844&gt;=2,"C",IF('Data Source'!AE844&gt;=1,"D","F")))))))</f>
        <v/>
      </c>
      <c r="N844" s="3">
        <f>IF('Data Source'!B844="","",IF('Data Source'!AF844&gt;=5,"A+",IF('Data Source'!AF844&gt;=4,"A",IF('Data Source'!AF844&gt;=3.5,"A-",IF('Data Source'!AF844&gt;=3,"B",IF('Data Source'!AF844&gt;=2,"C",IF('Data Source'!AF844&gt;=1,"D","F")))))))</f>
        <v/>
      </c>
      <c r="O844" s="3">
        <f>IF('Data Source'!B844="","",IF('Data Source'!AG844&gt;=5,"A+",IF('Data Source'!AG844&gt;=4,"A",IF('Data Source'!AG844&gt;=3.5,"A-",IF('Data Source'!AG844&gt;=3,"B",IF('Data Source'!AG844&gt;=2,"C",IF('Data Source'!AG844&gt;=1,"D","F")))))))</f>
        <v/>
      </c>
      <c r="P844" s="5">
        <f>IF('Data Source'!B844="","",'Data Source'!R844)</f>
        <v/>
      </c>
      <c r="Q844" s="3">
        <f>IF('Data Source'!B844="","",'Data Source'!S844)</f>
        <v/>
      </c>
    </row>
    <row r="845">
      <c r="A845" s="3">
        <f>IF('Data Source'!B845="","",'Data Source'!A845)</f>
        <v/>
      </c>
      <c r="B845">
        <f>IF('Data Source'!B845="","",'Data Source'!B845)</f>
        <v/>
      </c>
      <c r="C845" s="3">
        <f>IF('Data Source'!B845="","",IF('Data Source'!U845&gt;=5,"A+",IF('Data Source'!U845&gt;=4,"A",IF('Data Source'!U845&gt;=3.5,"A-",IF('Data Source'!U845&gt;=3,"B",IF('Data Source'!U845&gt;=2,"C",IF('Data Source'!U845&gt;=1,"D","F")))))))</f>
        <v/>
      </c>
      <c r="D845" s="3">
        <f>IF('Data Source'!B845="","",IF('Data Source'!V845&gt;=5,"A+",IF('Data Source'!V845&gt;=4,"A",IF('Data Source'!V845&gt;=3.5,"A-",IF('Data Source'!V845&gt;=3,"B",IF('Data Source'!V845&gt;=2,"C",IF('Data Source'!V845&gt;=1,"D","F")))))))</f>
        <v/>
      </c>
      <c r="E845" s="3">
        <f>IF('Data Source'!B845="","",IF('Data Source'!W845&gt;=5,"A+",IF('Data Source'!W845&gt;=4,"A",IF('Data Source'!W845&gt;=3.5,"A-",IF('Data Source'!W845&gt;=3,"B",IF('Data Source'!W845&gt;=2,"C",IF('Data Source'!W845&gt;=1,"D","F")))))))</f>
        <v/>
      </c>
      <c r="F845" s="3">
        <f>IF('Data Source'!B845="","",IF('Data Source'!X845&gt;=5,"A+",IF('Data Source'!X845&gt;=4,"A",IF('Data Source'!X845&gt;=3.5,"A-",IF('Data Source'!X845&gt;=3,"B",IF('Data Source'!X845&gt;=2,"C",IF('Data Source'!X845&gt;=1,"D","F")))))))</f>
        <v/>
      </c>
      <c r="G845" s="3">
        <f>IF('Data Source'!B845="","",IF('Data Source'!Y845&gt;=5,"A+",IF('Data Source'!Y845&gt;=4,"A",IF('Data Source'!Y845&gt;=3.5,"A-",IF('Data Source'!Y845&gt;=3,"B",IF('Data Source'!Y845&gt;=2,"C",IF('Data Source'!Y845&gt;=1,"D","F")))))))</f>
        <v/>
      </c>
      <c r="H845" s="3">
        <f>IF('Data Source'!B845="","",IF('Data Source'!Z845&gt;=5,"A+",IF('Data Source'!Z845&gt;=4,"A",IF('Data Source'!Z845&gt;=3.5,"A-",IF('Data Source'!Z845&gt;=3,"B",IF('Data Source'!Z845&gt;=2,"C",IF('Data Source'!Z845&gt;=1,"D","F")))))))</f>
        <v/>
      </c>
      <c r="I845" s="3">
        <f>IF('Data Source'!B845="","",IF('Data Source'!AA845&gt;=5,"A+",IF('Data Source'!AA845&gt;=4,"A",IF('Data Source'!AA845&gt;=3.5,"A-",IF('Data Source'!AA845&gt;=3,"B",IF('Data Source'!AA845&gt;=2,"C",IF('Data Source'!AA845&gt;=1,"D","F")))))))</f>
        <v/>
      </c>
      <c r="J845" s="3">
        <f>IF('Data Source'!B845="","",IF('Data Source'!AB845&gt;=5,"A+",IF('Data Source'!AB845&gt;=4,"A",IF('Data Source'!AB845&gt;=3.5,"A-",IF('Data Source'!AB845&gt;=3,"B",IF('Data Source'!AB845&gt;=2,"C",IF('Data Source'!AB845&gt;=1,"D","F")))))))</f>
        <v/>
      </c>
      <c r="K845" s="3">
        <f>IF('Data Source'!B845="","",IF('Data Source'!AC845&gt;=5,"A+",IF('Data Source'!AC845&gt;=4,"A",IF('Data Source'!AC845&gt;=3.5,"A-",IF('Data Source'!AC845&gt;=3,"B",IF('Data Source'!AC845&gt;=2,"C",IF('Data Source'!AC845&gt;=1,"D","F")))))))</f>
        <v/>
      </c>
      <c r="L845" s="3">
        <f>IF('Data Source'!B845="","",IF('Data Source'!AD845&gt;=5,"A+",IF('Data Source'!AD845&gt;=4,"A",IF('Data Source'!AD845&gt;=3.5,"A-",IF('Data Source'!AD845&gt;=3,"B",IF('Data Source'!AD845&gt;=2,"C",IF('Data Source'!AD845&gt;=1,"D","F")))))))</f>
        <v/>
      </c>
      <c r="M845" s="3">
        <f>IF('Data Source'!B845="","",IF('Data Source'!AE845&gt;=5,"A+",IF('Data Source'!AE845&gt;=4,"A",IF('Data Source'!AE845&gt;=3.5,"A-",IF('Data Source'!AE845&gt;=3,"B",IF('Data Source'!AE845&gt;=2,"C",IF('Data Source'!AE845&gt;=1,"D","F")))))))</f>
        <v/>
      </c>
      <c r="N845" s="3">
        <f>IF('Data Source'!B845="","",IF('Data Source'!AF845&gt;=5,"A+",IF('Data Source'!AF845&gt;=4,"A",IF('Data Source'!AF845&gt;=3.5,"A-",IF('Data Source'!AF845&gt;=3,"B",IF('Data Source'!AF845&gt;=2,"C",IF('Data Source'!AF845&gt;=1,"D","F")))))))</f>
        <v/>
      </c>
      <c r="O845" s="3">
        <f>IF('Data Source'!B845="","",IF('Data Source'!AG845&gt;=5,"A+",IF('Data Source'!AG845&gt;=4,"A",IF('Data Source'!AG845&gt;=3.5,"A-",IF('Data Source'!AG845&gt;=3,"B",IF('Data Source'!AG845&gt;=2,"C",IF('Data Source'!AG845&gt;=1,"D","F")))))))</f>
        <v/>
      </c>
      <c r="P845" s="5">
        <f>IF('Data Source'!B845="","",'Data Source'!R845)</f>
        <v/>
      </c>
      <c r="Q845" s="3">
        <f>IF('Data Source'!B845="","",'Data Source'!S845)</f>
        <v/>
      </c>
    </row>
    <row r="846">
      <c r="A846" s="3">
        <f>IF('Data Source'!B846="","",'Data Source'!A846)</f>
        <v/>
      </c>
      <c r="B846">
        <f>IF('Data Source'!B846="","",'Data Source'!B846)</f>
        <v/>
      </c>
      <c r="C846" s="3">
        <f>IF('Data Source'!B846="","",IF('Data Source'!U846&gt;=5,"A+",IF('Data Source'!U846&gt;=4,"A",IF('Data Source'!U846&gt;=3.5,"A-",IF('Data Source'!U846&gt;=3,"B",IF('Data Source'!U846&gt;=2,"C",IF('Data Source'!U846&gt;=1,"D","F")))))))</f>
        <v/>
      </c>
      <c r="D846" s="3">
        <f>IF('Data Source'!B846="","",IF('Data Source'!V846&gt;=5,"A+",IF('Data Source'!V846&gt;=4,"A",IF('Data Source'!V846&gt;=3.5,"A-",IF('Data Source'!V846&gt;=3,"B",IF('Data Source'!V846&gt;=2,"C",IF('Data Source'!V846&gt;=1,"D","F")))))))</f>
        <v/>
      </c>
      <c r="E846" s="3">
        <f>IF('Data Source'!B846="","",IF('Data Source'!W846&gt;=5,"A+",IF('Data Source'!W846&gt;=4,"A",IF('Data Source'!W846&gt;=3.5,"A-",IF('Data Source'!W846&gt;=3,"B",IF('Data Source'!W846&gt;=2,"C",IF('Data Source'!W846&gt;=1,"D","F")))))))</f>
        <v/>
      </c>
      <c r="F846" s="3">
        <f>IF('Data Source'!B846="","",IF('Data Source'!X846&gt;=5,"A+",IF('Data Source'!X846&gt;=4,"A",IF('Data Source'!X846&gt;=3.5,"A-",IF('Data Source'!X846&gt;=3,"B",IF('Data Source'!X846&gt;=2,"C",IF('Data Source'!X846&gt;=1,"D","F")))))))</f>
        <v/>
      </c>
      <c r="G846" s="3">
        <f>IF('Data Source'!B846="","",IF('Data Source'!Y846&gt;=5,"A+",IF('Data Source'!Y846&gt;=4,"A",IF('Data Source'!Y846&gt;=3.5,"A-",IF('Data Source'!Y846&gt;=3,"B",IF('Data Source'!Y846&gt;=2,"C",IF('Data Source'!Y846&gt;=1,"D","F")))))))</f>
        <v/>
      </c>
      <c r="H846" s="3">
        <f>IF('Data Source'!B846="","",IF('Data Source'!Z846&gt;=5,"A+",IF('Data Source'!Z846&gt;=4,"A",IF('Data Source'!Z846&gt;=3.5,"A-",IF('Data Source'!Z846&gt;=3,"B",IF('Data Source'!Z846&gt;=2,"C",IF('Data Source'!Z846&gt;=1,"D","F")))))))</f>
        <v/>
      </c>
      <c r="I846" s="3">
        <f>IF('Data Source'!B846="","",IF('Data Source'!AA846&gt;=5,"A+",IF('Data Source'!AA846&gt;=4,"A",IF('Data Source'!AA846&gt;=3.5,"A-",IF('Data Source'!AA846&gt;=3,"B",IF('Data Source'!AA846&gt;=2,"C",IF('Data Source'!AA846&gt;=1,"D","F")))))))</f>
        <v/>
      </c>
      <c r="J846" s="3">
        <f>IF('Data Source'!B846="","",IF('Data Source'!AB846&gt;=5,"A+",IF('Data Source'!AB846&gt;=4,"A",IF('Data Source'!AB846&gt;=3.5,"A-",IF('Data Source'!AB846&gt;=3,"B",IF('Data Source'!AB846&gt;=2,"C",IF('Data Source'!AB846&gt;=1,"D","F")))))))</f>
        <v/>
      </c>
      <c r="K846" s="3">
        <f>IF('Data Source'!B846="","",IF('Data Source'!AC846&gt;=5,"A+",IF('Data Source'!AC846&gt;=4,"A",IF('Data Source'!AC846&gt;=3.5,"A-",IF('Data Source'!AC846&gt;=3,"B",IF('Data Source'!AC846&gt;=2,"C",IF('Data Source'!AC846&gt;=1,"D","F")))))))</f>
        <v/>
      </c>
      <c r="L846" s="3">
        <f>IF('Data Source'!B846="","",IF('Data Source'!AD846&gt;=5,"A+",IF('Data Source'!AD846&gt;=4,"A",IF('Data Source'!AD846&gt;=3.5,"A-",IF('Data Source'!AD846&gt;=3,"B",IF('Data Source'!AD846&gt;=2,"C",IF('Data Source'!AD846&gt;=1,"D","F")))))))</f>
        <v/>
      </c>
      <c r="M846" s="3">
        <f>IF('Data Source'!B846="","",IF('Data Source'!AE846&gt;=5,"A+",IF('Data Source'!AE846&gt;=4,"A",IF('Data Source'!AE846&gt;=3.5,"A-",IF('Data Source'!AE846&gt;=3,"B",IF('Data Source'!AE846&gt;=2,"C",IF('Data Source'!AE846&gt;=1,"D","F")))))))</f>
        <v/>
      </c>
      <c r="N846" s="3">
        <f>IF('Data Source'!B846="","",IF('Data Source'!AF846&gt;=5,"A+",IF('Data Source'!AF846&gt;=4,"A",IF('Data Source'!AF846&gt;=3.5,"A-",IF('Data Source'!AF846&gt;=3,"B",IF('Data Source'!AF846&gt;=2,"C",IF('Data Source'!AF846&gt;=1,"D","F")))))))</f>
        <v/>
      </c>
      <c r="O846" s="3">
        <f>IF('Data Source'!B846="","",IF('Data Source'!AG846&gt;=5,"A+",IF('Data Source'!AG846&gt;=4,"A",IF('Data Source'!AG846&gt;=3.5,"A-",IF('Data Source'!AG846&gt;=3,"B",IF('Data Source'!AG846&gt;=2,"C",IF('Data Source'!AG846&gt;=1,"D","F")))))))</f>
        <v/>
      </c>
      <c r="P846" s="5">
        <f>IF('Data Source'!B846="","",'Data Source'!R846)</f>
        <v/>
      </c>
      <c r="Q846" s="3">
        <f>IF('Data Source'!B846="","",'Data Source'!S846)</f>
        <v/>
      </c>
    </row>
    <row r="847">
      <c r="A847" s="3">
        <f>IF('Data Source'!B847="","",'Data Source'!A847)</f>
        <v/>
      </c>
      <c r="B847">
        <f>IF('Data Source'!B847="","",'Data Source'!B847)</f>
        <v/>
      </c>
      <c r="C847" s="3">
        <f>IF('Data Source'!B847="","",IF('Data Source'!U847&gt;=5,"A+",IF('Data Source'!U847&gt;=4,"A",IF('Data Source'!U847&gt;=3.5,"A-",IF('Data Source'!U847&gt;=3,"B",IF('Data Source'!U847&gt;=2,"C",IF('Data Source'!U847&gt;=1,"D","F")))))))</f>
        <v/>
      </c>
      <c r="D847" s="3">
        <f>IF('Data Source'!B847="","",IF('Data Source'!V847&gt;=5,"A+",IF('Data Source'!V847&gt;=4,"A",IF('Data Source'!V847&gt;=3.5,"A-",IF('Data Source'!V847&gt;=3,"B",IF('Data Source'!V847&gt;=2,"C",IF('Data Source'!V847&gt;=1,"D","F")))))))</f>
        <v/>
      </c>
      <c r="E847" s="3">
        <f>IF('Data Source'!B847="","",IF('Data Source'!W847&gt;=5,"A+",IF('Data Source'!W847&gt;=4,"A",IF('Data Source'!W847&gt;=3.5,"A-",IF('Data Source'!W847&gt;=3,"B",IF('Data Source'!W847&gt;=2,"C",IF('Data Source'!W847&gt;=1,"D","F")))))))</f>
        <v/>
      </c>
      <c r="F847" s="3">
        <f>IF('Data Source'!B847="","",IF('Data Source'!X847&gt;=5,"A+",IF('Data Source'!X847&gt;=4,"A",IF('Data Source'!X847&gt;=3.5,"A-",IF('Data Source'!X847&gt;=3,"B",IF('Data Source'!X847&gt;=2,"C",IF('Data Source'!X847&gt;=1,"D","F")))))))</f>
        <v/>
      </c>
      <c r="G847" s="3">
        <f>IF('Data Source'!B847="","",IF('Data Source'!Y847&gt;=5,"A+",IF('Data Source'!Y847&gt;=4,"A",IF('Data Source'!Y847&gt;=3.5,"A-",IF('Data Source'!Y847&gt;=3,"B",IF('Data Source'!Y847&gt;=2,"C",IF('Data Source'!Y847&gt;=1,"D","F")))))))</f>
        <v/>
      </c>
      <c r="H847" s="3">
        <f>IF('Data Source'!B847="","",IF('Data Source'!Z847&gt;=5,"A+",IF('Data Source'!Z847&gt;=4,"A",IF('Data Source'!Z847&gt;=3.5,"A-",IF('Data Source'!Z847&gt;=3,"B",IF('Data Source'!Z847&gt;=2,"C",IF('Data Source'!Z847&gt;=1,"D","F")))))))</f>
        <v/>
      </c>
      <c r="I847" s="3">
        <f>IF('Data Source'!B847="","",IF('Data Source'!AA847&gt;=5,"A+",IF('Data Source'!AA847&gt;=4,"A",IF('Data Source'!AA847&gt;=3.5,"A-",IF('Data Source'!AA847&gt;=3,"B",IF('Data Source'!AA847&gt;=2,"C",IF('Data Source'!AA847&gt;=1,"D","F")))))))</f>
        <v/>
      </c>
      <c r="J847" s="3">
        <f>IF('Data Source'!B847="","",IF('Data Source'!AB847&gt;=5,"A+",IF('Data Source'!AB847&gt;=4,"A",IF('Data Source'!AB847&gt;=3.5,"A-",IF('Data Source'!AB847&gt;=3,"B",IF('Data Source'!AB847&gt;=2,"C",IF('Data Source'!AB847&gt;=1,"D","F")))))))</f>
        <v/>
      </c>
      <c r="K847" s="3">
        <f>IF('Data Source'!B847="","",IF('Data Source'!AC847&gt;=5,"A+",IF('Data Source'!AC847&gt;=4,"A",IF('Data Source'!AC847&gt;=3.5,"A-",IF('Data Source'!AC847&gt;=3,"B",IF('Data Source'!AC847&gt;=2,"C",IF('Data Source'!AC847&gt;=1,"D","F")))))))</f>
        <v/>
      </c>
      <c r="L847" s="3">
        <f>IF('Data Source'!B847="","",IF('Data Source'!AD847&gt;=5,"A+",IF('Data Source'!AD847&gt;=4,"A",IF('Data Source'!AD847&gt;=3.5,"A-",IF('Data Source'!AD847&gt;=3,"B",IF('Data Source'!AD847&gt;=2,"C",IF('Data Source'!AD847&gt;=1,"D","F")))))))</f>
        <v/>
      </c>
      <c r="M847" s="3">
        <f>IF('Data Source'!B847="","",IF('Data Source'!AE847&gt;=5,"A+",IF('Data Source'!AE847&gt;=4,"A",IF('Data Source'!AE847&gt;=3.5,"A-",IF('Data Source'!AE847&gt;=3,"B",IF('Data Source'!AE847&gt;=2,"C",IF('Data Source'!AE847&gt;=1,"D","F")))))))</f>
        <v/>
      </c>
      <c r="N847" s="3">
        <f>IF('Data Source'!B847="","",IF('Data Source'!AF847&gt;=5,"A+",IF('Data Source'!AF847&gt;=4,"A",IF('Data Source'!AF847&gt;=3.5,"A-",IF('Data Source'!AF847&gt;=3,"B",IF('Data Source'!AF847&gt;=2,"C",IF('Data Source'!AF847&gt;=1,"D","F")))))))</f>
        <v/>
      </c>
      <c r="O847" s="3">
        <f>IF('Data Source'!B847="","",IF('Data Source'!AG847&gt;=5,"A+",IF('Data Source'!AG847&gt;=4,"A",IF('Data Source'!AG847&gt;=3.5,"A-",IF('Data Source'!AG847&gt;=3,"B",IF('Data Source'!AG847&gt;=2,"C",IF('Data Source'!AG847&gt;=1,"D","F")))))))</f>
        <v/>
      </c>
      <c r="P847" s="5">
        <f>IF('Data Source'!B847="","",'Data Source'!R847)</f>
        <v/>
      </c>
      <c r="Q847" s="3">
        <f>IF('Data Source'!B847="","",'Data Source'!S847)</f>
        <v/>
      </c>
    </row>
    <row r="848">
      <c r="A848" s="3">
        <f>IF('Data Source'!B848="","",'Data Source'!A848)</f>
        <v/>
      </c>
      <c r="B848">
        <f>IF('Data Source'!B848="","",'Data Source'!B848)</f>
        <v/>
      </c>
      <c r="C848" s="3">
        <f>IF('Data Source'!B848="","",IF('Data Source'!U848&gt;=5,"A+",IF('Data Source'!U848&gt;=4,"A",IF('Data Source'!U848&gt;=3.5,"A-",IF('Data Source'!U848&gt;=3,"B",IF('Data Source'!U848&gt;=2,"C",IF('Data Source'!U848&gt;=1,"D","F")))))))</f>
        <v/>
      </c>
      <c r="D848" s="3">
        <f>IF('Data Source'!B848="","",IF('Data Source'!V848&gt;=5,"A+",IF('Data Source'!V848&gt;=4,"A",IF('Data Source'!V848&gt;=3.5,"A-",IF('Data Source'!V848&gt;=3,"B",IF('Data Source'!V848&gt;=2,"C",IF('Data Source'!V848&gt;=1,"D","F")))))))</f>
        <v/>
      </c>
      <c r="E848" s="3">
        <f>IF('Data Source'!B848="","",IF('Data Source'!W848&gt;=5,"A+",IF('Data Source'!W848&gt;=4,"A",IF('Data Source'!W848&gt;=3.5,"A-",IF('Data Source'!W848&gt;=3,"B",IF('Data Source'!W848&gt;=2,"C",IF('Data Source'!W848&gt;=1,"D","F")))))))</f>
        <v/>
      </c>
      <c r="F848" s="3">
        <f>IF('Data Source'!B848="","",IF('Data Source'!X848&gt;=5,"A+",IF('Data Source'!X848&gt;=4,"A",IF('Data Source'!X848&gt;=3.5,"A-",IF('Data Source'!X848&gt;=3,"B",IF('Data Source'!X848&gt;=2,"C",IF('Data Source'!X848&gt;=1,"D","F")))))))</f>
        <v/>
      </c>
      <c r="G848" s="3">
        <f>IF('Data Source'!B848="","",IF('Data Source'!Y848&gt;=5,"A+",IF('Data Source'!Y848&gt;=4,"A",IF('Data Source'!Y848&gt;=3.5,"A-",IF('Data Source'!Y848&gt;=3,"B",IF('Data Source'!Y848&gt;=2,"C",IF('Data Source'!Y848&gt;=1,"D","F")))))))</f>
        <v/>
      </c>
      <c r="H848" s="3">
        <f>IF('Data Source'!B848="","",IF('Data Source'!Z848&gt;=5,"A+",IF('Data Source'!Z848&gt;=4,"A",IF('Data Source'!Z848&gt;=3.5,"A-",IF('Data Source'!Z848&gt;=3,"B",IF('Data Source'!Z848&gt;=2,"C",IF('Data Source'!Z848&gt;=1,"D","F")))))))</f>
        <v/>
      </c>
      <c r="I848" s="3">
        <f>IF('Data Source'!B848="","",IF('Data Source'!AA848&gt;=5,"A+",IF('Data Source'!AA848&gt;=4,"A",IF('Data Source'!AA848&gt;=3.5,"A-",IF('Data Source'!AA848&gt;=3,"B",IF('Data Source'!AA848&gt;=2,"C",IF('Data Source'!AA848&gt;=1,"D","F")))))))</f>
        <v/>
      </c>
      <c r="J848" s="3">
        <f>IF('Data Source'!B848="","",IF('Data Source'!AB848&gt;=5,"A+",IF('Data Source'!AB848&gt;=4,"A",IF('Data Source'!AB848&gt;=3.5,"A-",IF('Data Source'!AB848&gt;=3,"B",IF('Data Source'!AB848&gt;=2,"C",IF('Data Source'!AB848&gt;=1,"D","F")))))))</f>
        <v/>
      </c>
      <c r="K848" s="3">
        <f>IF('Data Source'!B848="","",IF('Data Source'!AC848&gt;=5,"A+",IF('Data Source'!AC848&gt;=4,"A",IF('Data Source'!AC848&gt;=3.5,"A-",IF('Data Source'!AC848&gt;=3,"B",IF('Data Source'!AC848&gt;=2,"C",IF('Data Source'!AC848&gt;=1,"D","F")))))))</f>
        <v/>
      </c>
      <c r="L848" s="3">
        <f>IF('Data Source'!B848="","",IF('Data Source'!AD848&gt;=5,"A+",IF('Data Source'!AD848&gt;=4,"A",IF('Data Source'!AD848&gt;=3.5,"A-",IF('Data Source'!AD848&gt;=3,"B",IF('Data Source'!AD848&gt;=2,"C",IF('Data Source'!AD848&gt;=1,"D","F")))))))</f>
        <v/>
      </c>
      <c r="M848" s="3">
        <f>IF('Data Source'!B848="","",IF('Data Source'!AE848&gt;=5,"A+",IF('Data Source'!AE848&gt;=4,"A",IF('Data Source'!AE848&gt;=3.5,"A-",IF('Data Source'!AE848&gt;=3,"B",IF('Data Source'!AE848&gt;=2,"C",IF('Data Source'!AE848&gt;=1,"D","F")))))))</f>
        <v/>
      </c>
      <c r="N848" s="3">
        <f>IF('Data Source'!B848="","",IF('Data Source'!AF848&gt;=5,"A+",IF('Data Source'!AF848&gt;=4,"A",IF('Data Source'!AF848&gt;=3.5,"A-",IF('Data Source'!AF848&gt;=3,"B",IF('Data Source'!AF848&gt;=2,"C",IF('Data Source'!AF848&gt;=1,"D","F")))))))</f>
        <v/>
      </c>
      <c r="O848" s="3">
        <f>IF('Data Source'!B848="","",IF('Data Source'!AG848&gt;=5,"A+",IF('Data Source'!AG848&gt;=4,"A",IF('Data Source'!AG848&gt;=3.5,"A-",IF('Data Source'!AG848&gt;=3,"B",IF('Data Source'!AG848&gt;=2,"C",IF('Data Source'!AG848&gt;=1,"D","F")))))))</f>
        <v/>
      </c>
      <c r="P848" s="5">
        <f>IF('Data Source'!B848="","",'Data Source'!R848)</f>
        <v/>
      </c>
      <c r="Q848" s="3">
        <f>IF('Data Source'!B848="","",'Data Source'!S848)</f>
        <v/>
      </c>
    </row>
    <row r="849">
      <c r="A849" s="3">
        <f>IF('Data Source'!B849="","",'Data Source'!A849)</f>
        <v/>
      </c>
      <c r="B849">
        <f>IF('Data Source'!B849="","",'Data Source'!B849)</f>
        <v/>
      </c>
      <c r="C849" s="3">
        <f>IF('Data Source'!B849="","",IF('Data Source'!U849&gt;=5,"A+",IF('Data Source'!U849&gt;=4,"A",IF('Data Source'!U849&gt;=3.5,"A-",IF('Data Source'!U849&gt;=3,"B",IF('Data Source'!U849&gt;=2,"C",IF('Data Source'!U849&gt;=1,"D","F")))))))</f>
        <v/>
      </c>
      <c r="D849" s="3">
        <f>IF('Data Source'!B849="","",IF('Data Source'!V849&gt;=5,"A+",IF('Data Source'!V849&gt;=4,"A",IF('Data Source'!V849&gt;=3.5,"A-",IF('Data Source'!V849&gt;=3,"B",IF('Data Source'!V849&gt;=2,"C",IF('Data Source'!V849&gt;=1,"D","F")))))))</f>
        <v/>
      </c>
      <c r="E849" s="3">
        <f>IF('Data Source'!B849="","",IF('Data Source'!W849&gt;=5,"A+",IF('Data Source'!W849&gt;=4,"A",IF('Data Source'!W849&gt;=3.5,"A-",IF('Data Source'!W849&gt;=3,"B",IF('Data Source'!W849&gt;=2,"C",IF('Data Source'!W849&gt;=1,"D","F")))))))</f>
        <v/>
      </c>
      <c r="F849" s="3">
        <f>IF('Data Source'!B849="","",IF('Data Source'!X849&gt;=5,"A+",IF('Data Source'!X849&gt;=4,"A",IF('Data Source'!X849&gt;=3.5,"A-",IF('Data Source'!X849&gt;=3,"B",IF('Data Source'!X849&gt;=2,"C",IF('Data Source'!X849&gt;=1,"D","F")))))))</f>
        <v/>
      </c>
      <c r="G849" s="3">
        <f>IF('Data Source'!B849="","",IF('Data Source'!Y849&gt;=5,"A+",IF('Data Source'!Y849&gt;=4,"A",IF('Data Source'!Y849&gt;=3.5,"A-",IF('Data Source'!Y849&gt;=3,"B",IF('Data Source'!Y849&gt;=2,"C",IF('Data Source'!Y849&gt;=1,"D","F")))))))</f>
        <v/>
      </c>
      <c r="H849" s="3">
        <f>IF('Data Source'!B849="","",IF('Data Source'!Z849&gt;=5,"A+",IF('Data Source'!Z849&gt;=4,"A",IF('Data Source'!Z849&gt;=3.5,"A-",IF('Data Source'!Z849&gt;=3,"B",IF('Data Source'!Z849&gt;=2,"C",IF('Data Source'!Z849&gt;=1,"D","F")))))))</f>
        <v/>
      </c>
      <c r="I849" s="3">
        <f>IF('Data Source'!B849="","",IF('Data Source'!AA849&gt;=5,"A+",IF('Data Source'!AA849&gt;=4,"A",IF('Data Source'!AA849&gt;=3.5,"A-",IF('Data Source'!AA849&gt;=3,"B",IF('Data Source'!AA849&gt;=2,"C",IF('Data Source'!AA849&gt;=1,"D","F")))))))</f>
        <v/>
      </c>
      <c r="J849" s="3">
        <f>IF('Data Source'!B849="","",IF('Data Source'!AB849&gt;=5,"A+",IF('Data Source'!AB849&gt;=4,"A",IF('Data Source'!AB849&gt;=3.5,"A-",IF('Data Source'!AB849&gt;=3,"B",IF('Data Source'!AB849&gt;=2,"C",IF('Data Source'!AB849&gt;=1,"D","F")))))))</f>
        <v/>
      </c>
      <c r="K849" s="3">
        <f>IF('Data Source'!B849="","",IF('Data Source'!AC849&gt;=5,"A+",IF('Data Source'!AC849&gt;=4,"A",IF('Data Source'!AC849&gt;=3.5,"A-",IF('Data Source'!AC849&gt;=3,"B",IF('Data Source'!AC849&gt;=2,"C",IF('Data Source'!AC849&gt;=1,"D","F")))))))</f>
        <v/>
      </c>
      <c r="L849" s="3">
        <f>IF('Data Source'!B849="","",IF('Data Source'!AD849&gt;=5,"A+",IF('Data Source'!AD849&gt;=4,"A",IF('Data Source'!AD849&gt;=3.5,"A-",IF('Data Source'!AD849&gt;=3,"B",IF('Data Source'!AD849&gt;=2,"C",IF('Data Source'!AD849&gt;=1,"D","F")))))))</f>
        <v/>
      </c>
      <c r="M849" s="3">
        <f>IF('Data Source'!B849="","",IF('Data Source'!AE849&gt;=5,"A+",IF('Data Source'!AE849&gt;=4,"A",IF('Data Source'!AE849&gt;=3.5,"A-",IF('Data Source'!AE849&gt;=3,"B",IF('Data Source'!AE849&gt;=2,"C",IF('Data Source'!AE849&gt;=1,"D","F")))))))</f>
        <v/>
      </c>
      <c r="N849" s="3">
        <f>IF('Data Source'!B849="","",IF('Data Source'!AF849&gt;=5,"A+",IF('Data Source'!AF849&gt;=4,"A",IF('Data Source'!AF849&gt;=3.5,"A-",IF('Data Source'!AF849&gt;=3,"B",IF('Data Source'!AF849&gt;=2,"C",IF('Data Source'!AF849&gt;=1,"D","F")))))))</f>
        <v/>
      </c>
      <c r="O849" s="3">
        <f>IF('Data Source'!B849="","",IF('Data Source'!AG849&gt;=5,"A+",IF('Data Source'!AG849&gt;=4,"A",IF('Data Source'!AG849&gt;=3.5,"A-",IF('Data Source'!AG849&gt;=3,"B",IF('Data Source'!AG849&gt;=2,"C",IF('Data Source'!AG849&gt;=1,"D","F")))))))</f>
        <v/>
      </c>
      <c r="P849" s="5">
        <f>IF('Data Source'!B849="","",'Data Source'!R849)</f>
        <v/>
      </c>
      <c r="Q849" s="3">
        <f>IF('Data Source'!B849="","",'Data Source'!S849)</f>
        <v/>
      </c>
    </row>
    <row r="850">
      <c r="A850" s="3">
        <f>IF('Data Source'!B850="","",'Data Source'!A850)</f>
        <v/>
      </c>
      <c r="B850">
        <f>IF('Data Source'!B850="","",'Data Source'!B850)</f>
        <v/>
      </c>
      <c r="C850" s="3">
        <f>IF('Data Source'!B850="","",IF('Data Source'!U850&gt;=5,"A+",IF('Data Source'!U850&gt;=4,"A",IF('Data Source'!U850&gt;=3.5,"A-",IF('Data Source'!U850&gt;=3,"B",IF('Data Source'!U850&gt;=2,"C",IF('Data Source'!U850&gt;=1,"D","F")))))))</f>
        <v/>
      </c>
      <c r="D850" s="3">
        <f>IF('Data Source'!B850="","",IF('Data Source'!V850&gt;=5,"A+",IF('Data Source'!V850&gt;=4,"A",IF('Data Source'!V850&gt;=3.5,"A-",IF('Data Source'!V850&gt;=3,"B",IF('Data Source'!V850&gt;=2,"C",IF('Data Source'!V850&gt;=1,"D","F")))))))</f>
        <v/>
      </c>
      <c r="E850" s="3">
        <f>IF('Data Source'!B850="","",IF('Data Source'!W850&gt;=5,"A+",IF('Data Source'!W850&gt;=4,"A",IF('Data Source'!W850&gt;=3.5,"A-",IF('Data Source'!W850&gt;=3,"B",IF('Data Source'!W850&gt;=2,"C",IF('Data Source'!W850&gt;=1,"D","F")))))))</f>
        <v/>
      </c>
      <c r="F850" s="3">
        <f>IF('Data Source'!B850="","",IF('Data Source'!X850&gt;=5,"A+",IF('Data Source'!X850&gt;=4,"A",IF('Data Source'!X850&gt;=3.5,"A-",IF('Data Source'!X850&gt;=3,"B",IF('Data Source'!X850&gt;=2,"C",IF('Data Source'!X850&gt;=1,"D","F")))))))</f>
        <v/>
      </c>
      <c r="G850" s="3">
        <f>IF('Data Source'!B850="","",IF('Data Source'!Y850&gt;=5,"A+",IF('Data Source'!Y850&gt;=4,"A",IF('Data Source'!Y850&gt;=3.5,"A-",IF('Data Source'!Y850&gt;=3,"B",IF('Data Source'!Y850&gt;=2,"C",IF('Data Source'!Y850&gt;=1,"D","F")))))))</f>
        <v/>
      </c>
      <c r="H850" s="3">
        <f>IF('Data Source'!B850="","",IF('Data Source'!Z850&gt;=5,"A+",IF('Data Source'!Z850&gt;=4,"A",IF('Data Source'!Z850&gt;=3.5,"A-",IF('Data Source'!Z850&gt;=3,"B",IF('Data Source'!Z850&gt;=2,"C",IF('Data Source'!Z850&gt;=1,"D","F")))))))</f>
        <v/>
      </c>
      <c r="I850" s="3">
        <f>IF('Data Source'!B850="","",IF('Data Source'!AA850&gt;=5,"A+",IF('Data Source'!AA850&gt;=4,"A",IF('Data Source'!AA850&gt;=3.5,"A-",IF('Data Source'!AA850&gt;=3,"B",IF('Data Source'!AA850&gt;=2,"C",IF('Data Source'!AA850&gt;=1,"D","F")))))))</f>
        <v/>
      </c>
      <c r="J850" s="3">
        <f>IF('Data Source'!B850="","",IF('Data Source'!AB850&gt;=5,"A+",IF('Data Source'!AB850&gt;=4,"A",IF('Data Source'!AB850&gt;=3.5,"A-",IF('Data Source'!AB850&gt;=3,"B",IF('Data Source'!AB850&gt;=2,"C",IF('Data Source'!AB850&gt;=1,"D","F")))))))</f>
        <v/>
      </c>
      <c r="K850" s="3">
        <f>IF('Data Source'!B850="","",IF('Data Source'!AC850&gt;=5,"A+",IF('Data Source'!AC850&gt;=4,"A",IF('Data Source'!AC850&gt;=3.5,"A-",IF('Data Source'!AC850&gt;=3,"B",IF('Data Source'!AC850&gt;=2,"C",IF('Data Source'!AC850&gt;=1,"D","F")))))))</f>
        <v/>
      </c>
      <c r="L850" s="3">
        <f>IF('Data Source'!B850="","",IF('Data Source'!AD850&gt;=5,"A+",IF('Data Source'!AD850&gt;=4,"A",IF('Data Source'!AD850&gt;=3.5,"A-",IF('Data Source'!AD850&gt;=3,"B",IF('Data Source'!AD850&gt;=2,"C",IF('Data Source'!AD850&gt;=1,"D","F")))))))</f>
        <v/>
      </c>
      <c r="M850" s="3">
        <f>IF('Data Source'!B850="","",IF('Data Source'!AE850&gt;=5,"A+",IF('Data Source'!AE850&gt;=4,"A",IF('Data Source'!AE850&gt;=3.5,"A-",IF('Data Source'!AE850&gt;=3,"B",IF('Data Source'!AE850&gt;=2,"C",IF('Data Source'!AE850&gt;=1,"D","F")))))))</f>
        <v/>
      </c>
      <c r="N850" s="3">
        <f>IF('Data Source'!B850="","",IF('Data Source'!AF850&gt;=5,"A+",IF('Data Source'!AF850&gt;=4,"A",IF('Data Source'!AF850&gt;=3.5,"A-",IF('Data Source'!AF850&gt;=3,"B",IF('Data Source'!AF850&gt;=2,"C",IF('Data Source'!AF850&gt;=1,"D","F")))))))</f>
        <v/>
      </c>
      <c r="O850" s="3">
        <f>IF('Data Source'!B850="","",IF('Data Source'!AG850&gt;=5,"A+",IF('Data Source'!AG850&gt;=4,"A",IF('Data Source'!AG850&gt;=3.5,"A-",IF('Data Source'!AG850&gt;=3,"B",IF('Data Source'!AG850&gt;=2,"C",IF('Data Source'!AG850&gt;=1,"D","F")))))))</f>
        <v/>
      </c>
      <c r="P850" s="5">
        <f>IF('Data Source'!B850="","",'Data Source'!R850)</f>
        <v/>
      </c>
      <c r="Q850" s="3">
        <f>IF('Data Source'!B850="","",'Data Source'!S850)</f>
        <v/>
      </c>
    </row>
    <row r="851">
      <c r="A851" s="3">
        <f>IF('Data Source'!B851="","",'Data Source'!A851)</f>
        <v/>
      </c>
      <c r="B851">
        <f>IF('Data Source'!B851="","",'Data Source'!B851)</f>
        <v/>
      </c>
      <c r="C851" s="3">
        <f>IF('Data Source'!B851="","",IF('Data Source'!U851&gt;=5,"A+",IF('Data Source'!U851&gt;=4,"A",IF('Data Source'!U851&gt;=3.5,"A-",IF('Data Source'!U851&gt;=3,"B",IF('Data Source'!U851&gt;=2,"C",IF('Data Source'!U851&gt;=1,"D","F")))))))</f>
        <v/>
      </c>
      <c r="D851" s="3">
        <f>IF('Data Source'!B851="","",IF('Data Source'!V851&gt;=5,"A+",IF('Data Source'!V851&gt;=4,"A",IF('Data Source'!V851&gt;=3.5,"A-",IF('Data Source'!V851&gt;=3,"B",IF('Data Source'!V851&gt;=2,"C",IF('Data Source'!V851&gt;=1,"D","F")))))))</f>
        <v/>
      </c>
      <c r="E851" s="3">
        <f>IF('Data Source'!B851="","",IF('Data Source'!W851&gt;=5,"A+",IF('Data Source'!W851&gt;=4,"A",IF('Data Source'!W851&gt;=3.5,"A-",IF('Data Source'!W851&gt;=3,"B",IF('Data Source'!W851&gt;=2,"C",IF('Data Source'!W851&gt;=1,"D","F")))))))</f>
        <v/>
      </c>
      <c r="F851" s="3">
        <f>IF('Data Source'!B851="","",IF('Data Source'!X851&gt;=5,"A+",IF('Data Source'!X851&gt;=4,"A",IF('Data Source'!X851&gt;=3.5,"A-",IF('Data Source'!X851&gt;=3,"B",IF('Data Source'!X851&gt;=2,"C",IF('Data Source'!X851&gt;=1,"D","F")))))))</f>
        <v/>
      </c>
      <c r="G851" s="3">
        <f>IF('Data Source'!B851="","",IF('Data Source'!Y851&gt;=5,"A+",IF('Data Source'!Y851&gt;=4,"A",IF('Data Source'!Y851&gt;=3.5,"A-",IF('Data Source'!Y851&gt;=3,"B",IF('Data Source'!Y851&gt;=2,"C",IF('Data Source'!Y851&gt;=1,"D","F")))))))</f>
        <v/>
      </c>
      <c r="H851" s="3">
        <f>IF('Data Source'!B851="","",IF('Data Source'!Z851&gt;=5,"A+",IF('Data Source'!Z851&gt;=4,"A",IF('Data Source'!Z851&gt;=3.5,"A-",IF('Data Source'!Z851&gt;=3,"B",IF('Data Source'!Z851&gt;=2,"C",IF('Data Source'!Z851&gt;=1,"D","F")))))))</f>
        <v/>
      </c>
      <c r="I851" s="3">
        <f>IF('Data Source'!B851="","",IF('Data Source'!AA851&gt;=5,"A+",IF('Data Source'!AA851&gt;=4,"A",IF('Data Source'!AA851&gt;=3.5,"A-",IF('Data Source'!AA851&gt;=3,"B",IF('Data Source'!AA851&gt;=2,"C",IF('Data Source'!AA851&gt;=1,"D","F")))))))</f>
        <v/>
      </c>
      <c r="J851" s="3">
        <f>IF('Data Source'!B851="","",IF('Data Source'!AB851&gt;=5,"A+",IF('Data Source'!AB851&gt;=4,"A",IF('Data Source'!AB851&gt;=3.5,"A-",IF('Data Source'!AB851&gt;=3,"B",IF('Data Source'!AB851&gt;=2,"C",IF('Data Source'!AB851&gt;=1,"D","F")))))))</f>
        <v/>
      </c>
      <c r="K851" s="3">
        <f>IF('Data Source'!B851="","",IF('Data Source'!AC851&gt;=5,"A+",IF('Data Source'!AC851&gt;=4,"A",IF('Data Source'!AC851&gt;=3.5,"A-",IF('Data Source'!AC851&gt;=3,"B",IF('Data Source'!AC851&gt;=2,"C",IF('Data Source'!AC851&gt;=1,"D","F")))))))</f>
        <v/>
      </c>
      <c r="L851" s="3">
        <f>IF('Data Source'!B851="","",IF('Data Source'!AD851&gt;=5,"A+",IF('Data Source'!AD851&gt;=4,"A",IF('Data Source'!AD851&gt;=3.5,"A-",IF('Data Source'!AD851&gt;=3,"B",IF('Data Source'!AD851&gt;=2,"C",IF('Data Source'!AD851&gt;=1,"D","F")))))))</f>
        <v/>
      </c>
      <c r="M851" s="3">
        <f>IF('Data Source'!B851="","",IF('Data Source'!AE851&gt;=5,"A+",IF('Data Source'!AE851&gt;=4,"A",IF('Data Source'!AE851&gt;=3.5,"A-",IF('Data Source'!AE851&gt;=3,"B",IF('Data Source'!AE851&gt;=2,"C",IF('Data Source'!AE851&gt;=1,"D","F")))))))</f>
        <v/>
      </c>
      <c r="N851" s="3">
        <f>IF('Data Source'!B851="","",IF('Data Source'!AF851&gt;=5,"A+",IF('Data Source'!AF851&gt;=4,"A",IF('Data Source'!AF851&gt;=3.5,"A-",IF('Data Source'!AF851&gt;=3,"B",IF('Data Source'!AF851&gt;=2,"C",IF('Data Source'!AF851&gt;=1,"D","F")))))))</f>
        <v/>
      </c>
      <c r="O851" s="3">
        <f>IF('Data Source'!B851="","",IF('Data Source'!AG851&gt;=5,"A+",IF('Data Source'!AG851&gt;=4,"A",IF('Data Source'!AG851&gt;=3.5,"A-",IF('Data Source'!AG851&gt;=3,"B",IF('Data Source'!AG851&gt;=2,"C",IF('Data Source'!AG851&gt;=1,"D","F")))))))</f>
        <v/>
      </c>
      <c r="P851" s="5">
        <f>IF('Data Source'!B851="","",'Data Source'!R851)</f>
        <v/>
      </c>
      <c r="Q851" s="3">
        <f>IF('Data Source'!B851="","",'Data Source'!S851)</f>
        <v/>
      </c>
    </row>
    <row r="852">
      <c r="A852" s="3">
        <f>IF('Data Source'!B852="","",'Data Source'!A852)</f>
        <v/>
      </c>
      <c r="B852">
        <f>IF('Data Source'!B852="","",'Data Source'!B852)</f>
        <v/>
      </c>
      <c r="C852" s="3">
        <f>IF('Data Source'!B852="","",IF('Data Source'!U852&gt;=5,"A+",IF('Data Source'!U852&gt;=4,"A",IF('Data Source'!U852&gt;=3.5,"A-",IF('Data Source'!U852&gt;=3,"B",IF('Data Source'!U852&gt;=2,"C",IF('Data Source'!U852&gt;=1,"D","F")))))))</f>
        <v/>
      </c>
      <c r="D852" s="3">
        <f>IF('Data Source'!B852="","",IF('Data Source'!V852&gt;=5,"A+",IF('Data Source'!V852&gt;=4,"A",IF('Data Source'!V852&gt;=3.5,"A-",IF('Data Source'!V852&gt;=3,"B",IF('Data Source'!V852&gt;=2,"C",IF('Data Source'!V852&gt;=1,"D","F")))))))</f>
        <v/>
      </c>
      <c r="E852" s="3">
        <f>IF('Data Source'!B852="","",IF('Data Source'!W852&gt;=5,"A+",IF('Data Source'!W852&gt;=4,"A",IF('Data Source'!W852&gt;=3.5,"A-",IF('Data Source'!W852&gt;=3,"B",IF('Data Source'!W852&gt;=2,"C",IF('Data Source'!W852&gt;=1,"D","F")))))))</f>
        <v/>
      </c>
      <c r="F852" s="3">
        <f>IF('Data Source'!B852="","",IF('Data Source'!X852&gt;=5,"A+",IF('Data Source'!X852&gt;=4,"A",IF('Data Source'!X852&gt;=3.5,"A-",IF('Data Source'!X852&gt;=3,"B",IF('Data Source'!X852&gt;=2,"C",IF('Data Source'!X852&gt;=1,"D","F")))))))</f>
        <v/>
      </c>
      <c r="G852" s="3">
        <f>IF('Data Source'!B852="","",IF('Data Source'!Y852&gt;=5,"A+",IF('Data Source'!Y852&gt;=4,"A",IF('Data Source'!Y852&gt;=3.5,"A-",IF('Data Source'!Y852&gt;=3,"B",IF('Data Source'!Y852&gt;=2,"C",IF('Data Source'!Y852&gt;=1,"D","F")))))))</f>
        <v/>
      </c>
      <c r="H852" s="3">
        <f>IF('Data Source'!B852="","",IF('Data Source'!Z852&gt;=5,"A+",IF('Data Source'!Z852&gt;=4,"A",IF('Data Source'!Z852&gt;=3.5,"A-",IF('Data Source'!Z852&gt;=3,"B",IF('Data Source'!Z852&gt;=2,"C",IF('Data Source'!Z852&gt;=1,"D","F")))))))</f>
        <v/>
      </c>
      <c r="I852" s="3">
        <f>IF('Data Source'!B852="","",IF('Data Source'!AA852&gt;=5,"A+",IF('Data Source'!AA852&gt;=4,"A",IF('Data Source'!AA852&gt;=3.5,"A-",IF('Data Source'!AA852&gt;=3,"B",IF('Data Source'!AA852&gt;=2,"C",IF('Data Source'!AA852&gt;=1,"D","F")))))))</f>
        <v/>
      </c>
      <c r="J852" s="3">
        <f>IF('Data Source'!B852="","",IF('Data Source'!AB852&gt;=5,"A+",IF('Data Source'!AB852&gt;=4,"A",IF('Data Source'!AB852&gt;=3.5,"A-",IF('Data Source'!AB852&gt;=3,"B",IF('Data Source'!AB852&gt;=2,"C",IF('Data Source'!AB852&gt;=1,"D","F")))))))</f>
        <v/>
      </c>
      <c r="K852" s="3">
        <f>IF('Data Source'!B852="","",IF('Data Source'!AC852&gt;=5,"A+",IF('Data Source'!AC852&gt;=4,"A",IF('Data Source'!AC852&gt;=3.5,"A-",IF('Data Source'!AC852&gt;=3,"B",IF('Data Source'!AC852&gt;=2,"C",IF('Data Source'!AC852&gt;=1,"D","F")))))))</f>
        <v/>
      </c>
      <c r="L852" s="3">
        <f>IF('Data Source'!B852="","",IF('Data Source'!AD852&gt;=5,"A+",IF('Data Source'!AD852&gt;=4,"A",IF('Data Source'!AD852&gt;=3.5,"A-",IF('Data Source'!AD852&gt;=3,"B",IF('Data Source'!AD852&gt;=2,"C",IF('Data Source'!AD852&gt;=1,"D","F")))))))</f>
        <v/>
      </c>
      <c r="M852" s="3">
        <f>IF('Data Source'!B852="","",IF('Data Source'!AE852&gt;=5,"A+",IF('Data Source'!AE852&gt;=4,"A",IF('Data Source'!AE852&gt;=3.5,"A-",IF('Data Source'!AE852&gt;=3,"B",IF('Data Source'!AE852&gt;=2,"C",IF('Data Source'!AE852&gt;=1,"D","F")))))))</f>
        <v/>
      </c>
      <c r="N852" s="3">
        <f>IF('Data Source'!B852="","",IF('Data Source'!AF852&gt;=5,"A+",IF('Data Source'!AF852&gt;=4,"A",IF('Data Source'!AF852&gt;=3.5,"A-",IF('Data Source'!AF852&gt;=3,"B",IF('Data Source'!AF852&gt;=2,"C",IF('Data Source'!AF852&gt;=1,"D","F")))))))</f>
        <v/>
      </c>
      <c r="O852" s="3">
        <f>IF('Data Source'!B852="","",IF('Data Source'!AG852&gt;=5,"A+",IF('Data Source'!AG852&gt;=4,"A",IF('Data Source'!AG852&gt;=3.5,"A-",IF('Data Source'!AG852&gt;=3,"B",IF('Data Source'!AG852&gt;=2,"C",IF('Data Source'!AG852&gt;=1,"D","F")))))))</f>
        <v/>
      </c>
      <c r="P852" s="5">
        <f>IF('Data Source'!B852="","",'Data Source'!R852)</f>
        <v/>
      </c>
      <c r="Q852" s="3">
        <f>IF('Data Source'!B852="","",'Data Source'!S852)</f>
        <v/>
      </c>
    </row>
    <row r="853">
      <c r="A853" s="3">
        <f>IF('Data Source'!B853="","",'Data Source'!A853)</f>
        <v/>
      </c>
      <c r="B853">
        <f>IF('Data Source'!B853="","",'Data Source'!B853)</f>
        <v/>
      </c>
      <c r="C853" s="3">
        <f>IF('Data Source'!B853="","",IF('Data Source'!U853&gt;=5,"A+",IF('Data Source'!U853&gt;=4,"A",IF('Data Source'!U853&gt;=3.5,"A-",IF('Data Source'!U853&gt;=3,"B",IF('Data Source'!U853&gt;=2,"C",IF('Data Source'!U853&gt;=1,"D","F")))))))</f>
        <v/>
      </c>
      <c r="D853" s="3">
        <f>IF('Data Source'!B853="","",IF('Data Source'!V853&gt;=5,"A+",IF('Data Source'!V853&gt;=4,"A",IF('Data Source'!V853&gt;=3.5,"A-",IF('Data Source'!V853&gt;=3,"B",IF('Data Source'!V853&gt;=2,"C",IF('Data Source'!V853&gt;=1,"D","F")))))))</f>
        <v/>
      </c>
      <c r="E853" s="3">
        <f>IF('Data Source'!B853="","",IF('Data Source'!W853&gt;=5,"A+",IF('Data Source'!W853&gt;=4,"A",IF('Data Source'!W853&gt;=3.5,"A-",IF('Data Source'!W853&gt;=3,"B",IF('Data Source'!W853&gt;=2,"C",IF('Data Source'!W853&gt;=1,"D","F")))))))</f>
        <v/>
      </c>
      <c r="F853" s="3">
        <f>IF('Data Source'!B853="","",IF('Data Source'!X853&gt;=5,"A+",IF('Data Source'!X853&gt;=4,"A",IF('Data Source'!X853&gt;=3.5,"A-",IF('Data Source'!X853&gt;=3,"B",IF('Data Source'!X853&gt;=2,"C",IF('Data Source'!X853&gt;=1,"D","F")))))))</f>
        <v/>
      </c>
      <c r="G853" s="3">
        <f>IF('Data Source'!B853="","",IF('Data Source'!Y853&gt;=5,"A+",IF('Data Source'!Y853&gt;=4,"A",IF('Data Source'!Y853&gt;=3.5,"A-",IF('Data Source'!Y853&gt;=3,"B",IF('Data Source'!Y853&gt;=2,"C",IF('Data Source'!Y853&gt;=1,"D","F")))))))</f>
        <v/>
      </c>
      <c r="H853" s="3">
        <f>IF('Data Source'!B853="","",IF('Data Source'!Z853&gt;=5,"A+",IF('Data Source'!Z853&gt;=4,"A",IF('Data Source'!Z853&gt;=3.5,"A-",IF('Data Source'!Z853&gt;=3,"B",IF('Data Source'!Z853&gt;=2,"C",IF('Data Source'!Z853&gt;=1,"D","F")))))))</f>
        <v/>
      </c>
      <c r="I853" s="3">
        <f>IF('Data Source'!B853="","",IF('Data Source'!AA853&gt;=5,"A+",IF('Data Source'!AA853&gt;=4,"A",IF('Data Source'!AA853&gt;=3.5,"A-",IF('Data Source'!AA853&gt;=3,"B",IF('Data Source'!AA853&gt;=2,"C",IF('Data Source'!AA853&gt;=1,"D","F")))))))</f>
        <v/>
      </c>
      <c r="J853" s="3">
        <f>IF('Data Source'!B853="","",IF('Data Source'!AB853&gt;=5,"A+",IF('Data Source'!AB853&gt;=4,"A",IF('Data Source'!AB853&gt;=3.5,"A-",IF('Data Source'!AB853&gt;=3,"B",IF('Data Source'!AB853&gt;=2,"C",IF('Data Source'!AB853&gt;=1,"D","F")))))))</f>
        <v/>
      </c>
      <c r="K853" s="3">
        <f>IF('Data Source'!B853="","",IF('Data Source'!AC853&gt;=5,"A+",IF('Data Source'!AC853&gt;=4,"A",IF('Data Source'!AC853&gt;=3.5,"A-",IF('Data Source'!AC853&gt;=3,"B",IF('Data Source'!AC853&gt;=2,"C",IF('Data Source'!AC853&gt;=1,"D","F")))))))</f>
        <v/>
      </c>
      <c r="L853" s="3">
        <f>IF('Data Source'!B853="","",IF('Data Source'!AD853&gt;=5,"A+",IF('Data Source'!AD853&gt;=4,"A",IF('Data Source'!AD853&gt;=3.5,"A-",IF('Data Source'!AD853&gt;=3,"B",IF('Data Source'!AD853&gt;=2,"C",IF('Data Source'!AD853&gt;=1,"D","F")))))))</f>
        <v/>
      </c>
      <c r="M853" s="3">
        <f>IF('Data Source'!B853="","",IF('Data Source'!AE853&gt;=5,"A+",IF('Data Source'!AE853&gt;=4,"A",IF('Data Source'!AE853&gt;=3.5,"A-",IF('Data Source'!AE853&gt;=3,"B",IF('Data Source'!AE853&gt;=2,"C",IF('Data Source'!AE853&gt;=1,"D","F")))))))</f>
        <v/>
      </c>
      <c r="N853" s="3">
        <f>IF('Data Source'!B853="","",IF('Data Source'!AF853&gt;=5,"A+",IF('Data Source'!AF853&gt;=4,"A",IF('Data Source'!AF853&gt;=3.5,"A-",IF('Data Source'!AF853&gt;=3,"B",IF('Data Source'!AF853&gt;=2,"C",IF('Data Source'!AF853&gt;=1,"D","F")))))))</f>
        <v/>
      </c>
      <c r="O853" s="3">
        <f>IF('Data Source'!B853="","",IF('Data Source'!AG853&gt;=5,"A+",IF('Data Source'!AG853&gt;=4,"A",IF('Data Source'!AG853&gt;=3.5,"A-",IF('Data Source'!AG853&gt;=3,"B",IF('Data Source'!AG853&gt;=2,"C",IF('Data Source'!AG853&gt;=1,"D","F")))))))</f>
        <v/>
      </c>
      <c r="P853" s="5">
        <f>IF('Data Source'!B853="","",'Data Source'!R853)</f>
        <v/>
      </c>
      <c r="Q853" s="3">
        <f>IF('Data Source'!B853="","",'Data Source'!S853)</f>
        <v/>
      </c>
    </row>
    <row r="854">
      <c r="A854" s="3">
        <f>IF('Data Source'!B854="","",'Data Source'!A854)</f>
        <v/>
      </c>
      <c r="B854">
        <f>IF('Data Source'!B854="","",'Data Source'!B854)</f>
        <v/>
      </c>
      <c r="C854" s="3">
        <f>IF('Data Source'!B854="","",IF('Data Source'!U854&gt;=5,"A+",IF('Data Source'!U854&gt;=4,"A",IF('Data Source'!U854&gt;=3.5,"A-",IF('Data Source'!U854&gt;=3,"B",IF('Data Source'!U854&gt;=2,"C",IF('Data Source'!U854&gt;=1,"D","F")))))))</f>
        <v/>
      </c>
      <c r="D854" s="3">
        <f>IF('Data Source'!B854="","",IF('Data Source'!V854&gt;=5,"A+",IF('Data Source'!V854&gt;=4,"A",IF('Data Source'!V854&gt;=3.5,"A-",IF('Data Source'!V854&gt;=3,"B",IF('Data Source'!V854&gt;=2,"C",IF('Data Source'!V854&gt;=1,"D","F")))))))</f>
        <v/>
      </c>
      <c r="E854" s="3">
        <f>IF('Data Source'!B854="","",IF('Data Source'!W854&gt;=5,"A+",IF('Data Source'!W854&gt;=4,"A",IF('Data Source'!W854&gt;=3.5,"A-",IF('Data Source'!W854&gt;=3,"B",IF('Data Source'!W854&gt;=2,"C",IF('Data Source'!W854&gt;=1,"D","F")))))))</f>
        <v/>
      </c>
      <c r="F854" s="3">
        <f>IF('Data Source'!B854="","",IF('Data Source'!X854&gt;=5,"A+",IF('Data Source'!X854&gt;=4,"A",IF('Data Source'!X854&gt;=3.5,"A-",IF('Data Source'!X854&gt;=3,"B",IF('Data Source'!X854&gt;=2,"C",IF('Data Source'!X854&gt;=1,"D","F")))))))</f>
        <v/>
      </c>
      <c r="G854" s="3">
        <f>IF('Data Source'!B854="","",IF('Data Source'!Y854&gt;=5,"A+",IF('Data Source'!Y854&gt;=4,"A",IF('Data Source'!Y854&gt;=3.5,"A-",IF('Data Source'!Y854&gt;=3,"B",IF('Data Source'!Y854&gt;=2,"C",IF('Data Source'!Y854&gt;=1,"D","F")))))))</f>
        <v/>
      </c>
      <c r="H854" s="3">
        <f>IF('Data Source'!B854="","",IF('Data Source'!Z854&gt;=5,"A+",IF('Data Source'!Z854&gt;=4,"A",IF('Data Source'!Z854&gt;=3.5,"A-",IF('Data Source'!Z854&gt;=3,"B",IF('Data Source'!Z854&gt;=2,"C",IF('Data Source'!Z854&gt;=1,"D","F")))))))</f>
        <v/>
      </c>
      <c r="I854" s="3">
        <f>IF('Data Source'!B854="","",IF('Data Source'!AA854&gt;=5,"A+",IF('Data Source'!AA854&gt;=4,"A",IF('Data Source'!AA854&gt;=3.5,"A-",IF('Data Source'!AA854&gt;=3,"B",IF('Data Source'!AA854&gt;=2,"C",IF('Data Source'!AA854&gt;=1,"D","F")))))))</f>
        <v/>
      </c>
      <c r="J854" s="3">
        <f>IF('Data Source'!B854="","",IF('Data Source'!AB854&gt;=5,"A+",IF('Data Source'!AB854&gt;=4,"A",IF('Data Source'!AB854&gt;=3.5,"A-",IF('Data Source'!AB854&gt;=3,"B",IF('Data Source'!AB854&gt;=2,"C",IF('Data Source'!AB854&gt;=1,"D","F")))))))</f>
        <v/>
      </c>
      <c r="K854" s="3">
        <f>IF('Data Source'!B854="","",IF('Data Source'!AC854&gt;=5,"A+",IF('Data Source'!AC854&gt;=4,"A",IF('Data Source'!AC854&gt;=3.5,"A-",IF('Data Source'!AC854&gt;=3,"B",IF('Data Source'!AC854&gt;=2,"C",IF('Data Source'!AC854&gt;=1,"D","F")))))))</f>
        <v/>
      </c>
      <c r="L854" s="3">
        <f>IF('Data Source'!B854="","",IF('Data Source'!AD854&gt;=5,"A+",IF('Data Source'!AD854&gt;=4,"A",IF('Data Source'!AD854&gt;=3.5,"A-",IF('Data Source'!AD854&gt;=3,"B",IF('Data Source'!AD854&gt;=2,"C",IF('Data Source'!AD854&gt;=1,"D","F")))))))</f>
        <v/>
      </c>
      <c r="M854" s="3">
        <f>IF('Data Source'!B854="","",IF('Data Source'!AE854&gt;=5,"A+",IF('Data Source'!AE854&gt;=4,"A",IF('Data Source'!AE854&gt;=3.5,"A-",IF('Data Source'!AE854&gt;=3,"B",IF('Data Source'!AE854&gt;=2,"C",IF('Data Source'!AE854&gt;=1,"D","F")))))))</f>
        <v/>
      </c>
      <c r="N854" s="3">
        <f>IF('Data Source'!B854="","",IF('Data Source'!AF854&gt;=5,"A+",IF('Data Source'!AF854&gt;=4,"A",IF('Data Source'!AF854&gt;=3.5,"A-",IF('Data Source'!AF854&gt;=3,"B",IF('Data Source'!AF854&gt;=2,"C",IF('Data Source'!AF854&gt;=1,"D","F")))))))</f>
        <v/>
      </c>
      <c r="O854" s="3">
        <f>IF('Data Source'!B854="","",IF('Data Source'!AG854&gt;=5,"A+",IF('Data Source'!AG854&gt;=4,"A",IF('Data Source'!AG854&gt;=3.5,"A-",IF('Data Source'!AG854&gt;=3,"B",IF('Data Source'!AG854&gt;=2,"C",IF('Data Source'!AG854&gt;=1,"D","F")))))))</f>
        <v/>
      </c>
      <c r="P854" s="5">
        <f>IF('Data Source'!B854="","",'Data Source'!R854)</f>
        <v/>
      </c>
      <c r="Q854" s="3">
        <f>IF('Data Source'!B854="","",'Data Source'!S854)</f>
        <v/>
      </c>
    </row>
    <row r="855">
      <c r="A855" s="3">
        <f>IF('Data Source'!B855="","",'Data Source'!A855)</f>
        <v/>
      </c>
      <c r="B855">
        <f>IF('Data Source'!B855="","",'Data Source'!B855)</f>
        <v/>
      </c>
      <c r="C855" s="3">
        <f>IF('Data Source'!B855="","",IF('Data Source'!U855&gt;=5,"A+",IF('Data Source'!U855&gt;=4,"A",IF('Data Source'!U855&gt;=3.5,"A-",IF('Data Source'!U855&gt;=3,"B",IF('Data Source'!U855&gt;=2,"C",IF('Data Source'!U855&gt;=1,"D","F")))))))</f>
        <v/>
      </c>
      <c r="D855" s="3">
        <f>IF('Data Source'!B855="","",IF('Data Source'!V855&gt;=5,"A+",IF('Data Source'!V855&gt;=4,"A",IF('Data Source'!V855&gt;=3.5,"A-",IF('Data Source'!V855&gt;=3,"B",IF('Data Source'!V855&gt;=2,"C",IF('Data Source'!V855&gt;=1,"D","F")))))))</f>
        <v/>
      </c>
      <c r="E855" s="3">
        <f>IF('Data Source'!B855="","",IF('Data Source'!W855&gt;=5,"A+",IF('Data Source'!W855&gt;=4,"A",IF('Data Source'!W855&gt;=3.5,"A-",IF('Data Source'!W855&gt;=3,"B",IF('Data Source'!W855&gt;=2,"C",IF('Data Source'!W855&gt;=1,"D","F")))))))</f>
        <v/>
      </c>
      <c r="F855" s="3">
        <f>IF('Data Source'!B855="","",IF('Data Source'!X855&gt;=5,"A+",IF('Data Source'!X855&gt;=4,"A",IF('Data Source'!X855&gt;=3.5,"A-",IF('Data Source'!X855&gt;=3,"B",IF('Data Source'!X855&gt;=2,"C",IF('Data Source'!X855&gt;=1,"D","F")))))))</f>
        <v/>
      </c>
      <c r="G855" s="3">
        <f>IF('Data Source'!B855="","",IF('Data Source'!Y855&gt;=5,"A+",IF('Data Source'!Y855&gt;=4,"A",IF('Data Source'!Y855&gt;=3.5,"A-",IF('Data Source'!Y855&gt;=3,"B",IF('Data Source'!Y855&gt;=2,"C",IF('Data Source'!Y855&gt;=1,"D","F")))))))</f>
        <v/>
      </c>
      <c r="H855" s="3">
        <f>IF('Data Source'!B855="","",IF('Data Source'!Z855&gt;=5,"A+",IF('Data Source'!Z855&gt;=4,"A",IF('Data Source'!Z855&gt;=3.5,"A-",IF('Data Source'!Z855&gt;=3,"B",IF('Data Source'!Z855&gt;=2,"C",IF('Data Source'!Z855&gt;=1,"D","F")))))))</f>
        <v/>
      </c>
      <c r="I855" s="3">
        <f>IF('Data Source'!B855="","",IF('Data Source'!AA855&gt;=5,"A+",IF('Data Source'!AA855&gt;=4,"A",IF('Data Source'!AA855&gt;=3.5,"A-",IF('Data Source'!AA855&gt;=3,"B",IF('Data Source'!AA855&gt;=2,"C",IF('Data Source'!AA855&gt;=1,"D","F")))))))</f>
        <v/>
      </c>
      <c r="J855" s="3">
        <f>IF('Data Source'!B855="","",IF('Data Source'!AB855&gt;=5,"A+",IF('Data Source'!AB855&gt;=4,"A",IF('Data Source'!AB855&gt;=3.5,"A-",IF('Data Source'!AB855&gt;=3,"B",IF('Data Source'!AB855&gt;=2,"C",IF('Data Source'!AB855&gt;=1,"D","F")))))))</f>
        <v/>
      </c>
      <c r="K855" s="3">
        <f>IF('Data Source'!B855="","",IF('Data Source'!AC855&gt;=5,"A+",IF('Data Source'!AC855&gt;=4,"A",IF('Data Source'!AC855&gt;=3.5,"A-",IF('Data Source'!AC855&gt;=3,"B",IF('Data Source'!AC855&gt;=2,"C",IF('Data Source'!AC855&gt;=1,"D","F")))))))</f>
        <v/>
      </c>
      <c r="L855" s="3">
        <f>IF('Data Source'!B855="","",IF('Data Source'!AD855&gt;=5,"A+",IF('Data Source'!AD855&gt;=4,"A",IF('Data Source'!AD855&gt;=3.5,"A-",IF('Data Source'!AD855&gt;=3,"B",IF('Data Source'!AD855&gt;=2,"C",IF('Data Source'!AD855&gt;=1,"D","F")))))))</f>
        <v/>
      </c>
      <c r="M855" s="3">
        <f>IF('Data Source'!B855="","",IF('Data Source'!AE855&gt;=5,"A+",IF('Data Source'!AE855&gt;=4,"A",IF('Data Source'!AE855&gt;=3.5,"A-",IF('Data Source'!AE855&gt;=3,"B",IF('Data Source'!AE855&gt;=2,"C",IF('Data Source'!AE855&gt;=1,"D","F")))))))</f>
        <v/>
      </c>
      <c r="N855" s="3">
        <f>IF('Data Source'!B855="","",IF('Data Source'!AF855&gt;=5,"A+",IF('Data Source'!AF855&gt;=4,"A",IF('Data Source'!AF855&gt;=3.5,"A-",IF('Data Source'!AF855&gt;=3,"B",IF('Data Source'!AF855&gt;=2,"C",IF('Data Source'!AF855&gt;=1,"D","F")))))))</f>
        <v/>
      </c>
      <c r="O855" s="3">
        <f>IF('Data Source'!B855="","",IF('Data Source'!AG855&gt;=5,"A+",IF('Data Source'!AG855&gt;=4,"A",IF('Data Source'!AG855&gt;=3.5,"A-",IF('Data Source'!AG855&gt;=3,"B",IF('Data Source'!AG855&gt;=2,"C",IF('Data Source'!AG855&gt;=1,"D","F")))))))</f>
        <v/>
      </c>
      <c r="P855" s="5">
        <f>IF('Data Source'!B855="","",'Data Source'!R855)</f>
        <v/>
      </c>
      <c r="Q855" s="3">
        <f>IF('Data Source'!B855="","",'Data Source'!S855)</f>
        <v/>
      </c>
    </row>
    <row r="856">
      <c r="A856" s="3">
        <f>IF('Data Source'!B856="","",'Data Source'!A856)</f>
        <v/>
      </c>
      <c r="B856">
        <f>IF('Data Source'!B856="","",'Data Source'!B856)</f>
        <v/>
      </c>
      <c r="C856" s="3">
        <f>IF('Data Source'!B856="","",IF('Data Source'!U856&gt;=5,"A+",IF('Data Source'!U856&gt;=4,"A",IF('Data Source'!U856&gt;=3.5,"A-",IF('Data Source'!U856&gt;=3,"B",IF('Data Source'!U856&gt;=2,"C",IF('Data Source'!U856&gt;=1,"D","F")))))))</f>
        <v/>
      </c>
      <c r="D856" s="3">
        <f>IF('Data Source'!B856="","",IF('Data Source'!V856&gt;=5,"A+",IF('Data Source'!V856&gt;=4,"A",IF('Data Source'!V856&gt;=3.5,"A-",IF('Data Source'!V856&gt;=3,"B",IF('Data Source'!V856&gt;=2,"C",IF('Data Source'!V856&gt;=1,"D","F")))))))</f>
        <v/>
      </c>
      <c r="E856" s="3">
        <f>IF('Data Source'!B856="","",IF('Data Source'!W856&gt;=5,"A+",IF('Data Source'!W856&gt;=4,"A",IF('Data Source'!W856&gt;=3.5,"A-",IF('Data Source'!W856&gt;=3,"B",IF('Data Source'!W856&gt;=2,"C",IF('Data Source'!W856&gt;=1,"D","F")))))))</f>
        <v/>
      </c>
      <c r="F856" s="3">
        <f>IF('Data Source'!B856="","",IF('Data Source'!X856&gt;=5,"A+",IF('Data Source'!X856&gt;=4,"A",IF('Data Source'!X856&gt;=3.5,"A-",IF('Data Source'!X856&gt;=3,"B",IF('Data Source'!X856&gt;=2,"C",IF('Data Source'!X856&gt;=1,"D","F")))))))</f>
        <v/>
      </c>
      <c r="G856" s="3">
        <f>IF('Data Source'!B856="","",IF('Data Source'!Y856&gt;=5,"A+",IF('Data Source'!Y856&gt;=4,"A",IF('Data Source'!Y856&gt;=3.5,"A-",IF('Data Source'!Y856&gt;=3,"B",IF('Data Source'!Y856&gt;=2,"C",IF('Data Source'!Y856&gt;=1,"D","F")))))))</f>
        <v/>
      </c>
      <c r="H856" s="3">
        <f>IF('Data Source'!B856="","",IF('Data Source'!Z856&gt;=5,"A+",IF('Data Source'!Z856&gt;=4,"A",IF('Data Source'!Z856&gt;=3.5,"A-",IF('Data Source'!Z856&gt;=3,"B",IF('Data Source'!Z856&gt;=2,"C",IF('Data Source'!Z856&gt;=1,"D","F")))))))</f>
        <v/>
      </c>
      <c r="I856" s="3">
        <f>IF('Data Source'!B856="","",IF('Data Source'!AA856&gt;=5,"A+",IF('Data Source'!AA856&gt;=4,"A",IF('Data Source'!AA856&gt;=3.5,"A-",IF('Data Source'!AA856&gt;=3,"B",IF('Data Source'!AA856&gt;=2,"C",IF('Data Source'!AA856&gt;=1,"D","F")))))))</f>
        <v/>
      </c>
      <c r="J856" s="3">
        <f>IF('Data Source'!B856="","",IF('Data Source'!AB856&gt;=5,"A+",IF('Data Source'!AB856&gt;=4,"A",IF('Data Source'!AB856&gt;=3.5,"A-",IF('Data Source'!AB856&gt;=3,"B",IF('Data Source'!AB856&gt;=2,"C",IF('Data Source'!AB856&gt;=1,"D","F")))))))</f>
        <v/>
      </c>
      <c r="K856" s="3">
        <f>IF('Data Source'!B856="","",IF('Data Source'!AC856&gt;=5,"A+",IF('Data Source'!AC856&gt;=4,"A",IF('Data Source'!AC856&gt;=3.5,"A-",IF('Data Source'!AC856&gt;=3,"B",IF('Data Source'!AC856&gt;=2,"C",IF('Data Source'!AC856&gt;=1,"D","F")))))))</f>
        <v/>
      </c>
      <c r="L856" s="3">
        <f>IF('Data Source'!B856="","",IF('Data Source'!AD856&gt;=5,"A+",IF('Data Source'!AD856&gt;=4,"A",IF('Data Source'!AD856&gt;=3.5,"A-",IF('Data Source'!AD856&gt;=3,"B",IF('Data Source'!AD856&gt;=2,"C",IF('Data Source'!AD856&gt;=1,"D","F")))))))</f>
        <v/>
      </c>
      <c r="M856" s="3">
        <f>IF('Data Source'!B856="","",IF('Data Source'!AE856&gt;=5,"A+",IF('Data Source'!AE856&gt;=4,"A",IF('Data Source'!AE856&gt;=3.5,"A-",IF('Data Source'!AE856&gt;=3,"B",IF('Data Source'!AE856&gt;=2,"C",IF('Data Source'!AE856&gt;=1,"D","F")))))))</f>
        <v/>
      </c>
      <c r="N856" s="3">
        <f>IF('Data Source'!B856="","",IF('Data Source'!AF856&gt;=5,"A+",IF('Data Source'!AF856&gt;=4,"A",IF('Data Source'!AF856&gt;=3.5,"A-",IF('Data Source'!AF856&gt;=3,"B",IF('Data Source'!AF856&gt;=2,"C",IF('Data Source'!AF856&gt;=1,"D","F")))))))</f>
        <v/>
      </c>
      <c r="O856" s="3">
        <f>IF('Data Source'!B856="","",IF('Data Source'!AG856&gt;=5,"A+",IF('Data Source'!AG856&gt;=4,"A",IF('Data Source'!AG856&gt;=3.5,"A-",IF('Data Source'!AG856&gt;=3,"B",IF('Data Source'!AG856&gt;=2,"C",IF('Data Source'!AG856&gt;=1,"D","F")))))))</f>
        <v/>
      </c>
      <c r="P856" s="5">
        <f>IF('Data Source'!B856="","",'Data Source'!R856)</f>
        <v/>
      </c>
      <c r="Q856" s="3">
        <f>IF('Data Source'!B856="","",'Data Source'!S856)</f>
        <v/>
      </c>
    </row>
    <row r="857">
      <c r="A857" s="3">
        <f>IF('Data Source'!B857="","",'Data Source'!A857)</f>
        <v/>
      </c>
      <c r="B857">
        <f>IF('Data Source'!B857="","",'Data Source'!B857)</f>
        <v/>
      </c>
      <c r="C857" s="3">
        <f>IF('Data Source'!B857="","",IF('Data Source'!U857&gt;=5,"A+",IF('Data Source'!U857&gt;=4,"A",IF('Data Source'!U857&gt;=3.5,"A-",IF('Data Source'!U857&gt;=3,"B",IF('Data Source'!U857&gt;=2,"C",IF('Data Source'!U857&gt;=1,"D","F")))))))</f>
        <v/>
      </c>
      <c r="D857" s="3">
        <f>IF('Data Source'!B857="","",IF('Data Source'!V857&gt;=5,"A+",IF('Data Source'!V857&gt;=4,"A",IF('Data Source'!V857&gt;=3.5,"A-",IF('Data Source'!V857&gt;=3,"B",IF('Data Source'!V857&gt;=2,"C",IF('Data Source'!V857&gt;=1,"D","F")))))))</f>
        <v/>
      </c>
      <c r="E857" s="3">
        <f>IF('Data Source'!B857="","",IF('Data Source'!W857&gt;=5,"A+",IF('Data Source'!W857&gt;=4,"A",IF('Data Source'!W857&gt;=3.5,"A-",IF('Data Source'!W857&gt;=3,"B",IF('Data Source'!W857&gt;=2,"C",IF('Data Source'!W857&gt;=1,"D","F")))))))</f>
        <v/>
      </c>
      <c r="F857" s="3">
        <f>IF('Data Source'!B857="","",IF('Data Source'!X857&gt;=5,"A+",IF('Data Source'!X857&gt;=4,"A",IF('Data Source'!X857&gt;=3.5,"A-",IF('Data Source'!X857&gt;=3,"B",IF('Data Source'!X857&gt;=2,"C",IF('Data Source'!X857&gt;=1,"D","F")))))))</f>
        <v/>
      </c>
      <c r="G857" s="3">
        <f>IF('Data Source'!B857="","",IF('Data Source'!Y857&gt;=5,"A+",IF('Data Source'!Y857&gt;=4,"A",IF('Data Source'!Y857&gt;=3.5,"A-",IF('Data Source'!Y857&gt;=3,"B",IF('Data Source'!Y857&gt;=2,"C",IF('Data Source'!Y857&gt;=1,"D","F")))))))</f>
        <v/>
      </c>
      <c r="H857" s="3">
        <f>IF('Data Source'!B857="","",IF('Data Source'!Z857&gt;=5,"A+",IF('Data Source'!Z857&gt;=4,"A",IF('Data Source'!Z857&gt;=3.5,"A-",IF('Data Source'!Z857&gt;=3,"B",IF('Data Source'!Z857&gt;=2,"C",IF('Data Source'!Z857&gt;=1,"D","F")))))))</f>
        <v/>
      </c>
      <c r="I857" s="3">
        <f>IF('Data Source'!B857="","",IF('Data Source'!AA857&gt;=5,"A+",IF('Data Source'!AA857&gt;=4,"A",IF('Data Source'!AA857&gt;=3.5,"A-",IF('Data Source'!AA857&gt;=3,"B",IF('Data Source'!AA857&gt;=2,"C",IF('Data Source'!AA857&gt;=1,"D","F")))))))</f>
        <v/>
      </c>
      <c r="J857" s="3">
        <f>IF('Data Source'!B857="","",IF('Data Source'!AB857&gt;=5,"A+",IF('Data Source'!AB857&gt;=4,"A",IF('Data Source'!AB857&gt;=3.5,"A-",IF('Data Source'!AB857&gt;=3,"B",IF('Data Source'!AB857&gt;=2,"C",IF('Data Source'!AB857&gt;=1,"D","F")))))))</f>
        <v/>
      </c>
      <c r="K857" s="3">
        <f>IF('Data Source'!B857="","",IF('Data Source'!AC857&gt;=5,"A+",IF('Data Source'!AC857&gt;=4,"A",IF('Data Source'!AC857&gt;=3.5,"A-",IF('Data Source'!AC857&gt;=3,"B",IF('Data Source'!AC857&gt;=2,"C",IF('Data Source'!AC857&gt;=1,"D","F")))))))</f>
        <v/>
      </c>
      <c r="L857" s="3">
        <f>IF('Data Source'!B857="","",IF('Data Source'!AD857&gt;=5,"A+",IF('Data Source'!AD857&gt;=4,"A",IF('Data Source'!AD857&gt;=3.5,"A-",IF('Data Source'!AD857&gt;=3,"B",IF('Data Source'!AD857&gt;=2,"C",IF('Data Source'!AD857&gt;=1,"D","F")))))))</f>
        <v/>
      </c>
      <c r="M857" s="3">
        <f>IF('Data Source'!B857="","",IF('Data Source'!AE857&gt;=5,"A+",IF('Data Source'!AE857&gt;=4,"A",IF('Data Source'!AE857&gt;=3.5,"A-",IF('Data Source'!AE857&gt;=3,"B",IF('Data Source'!AE857&gt;=2,"C",IF('Data Source'!AE857&gt;=1,"D","F")))))))</f>
        <v/>
      </c>
      <c r="N857" s="3">
        <f>IF('Data Source'!B857="","",IF('Data Source'!AF857&gt;=5,"A+",IF('Data Source'!AF857&gt;=4,"A",IF('Data Source'!AF857&gt;=3.5,"A-",IF('Data Source'!AF857&gt;=3,"B",IF('Data Source'!AF857&gt;=2,"C",IF('Data Source'!AF857&gt;=1,"D","F")))))))</f>
        <v/>
      </c>
      <c r="O857" s="3">
        <f>IF('Data Source'!B857="","",IF('Data Source'!AG857&gt;=5,"A+",IF('Data Source'!AG857&gt;=4,"A",IF('Data Source'!AG857&gt;=3.5,"A-",IF('Data Source'!AG857&gt;=3,"B",IF('Data Source'!AG857&gt;=2,"C",IF('Data Source'!AG857&gt;=1,"D","F")))))))</f>
        <v/>
      </c>
      <c r="P857" s="5">
        <f>IF('Data Source'!B857="","",'Data Source'!R857)</f>
        <v/>
      </c>
      <c r="Q857" s="3">
        <f>IF('Data Source'!B857="","",'Data Source'!S857)</f>
        <v/>
      </c>
    </row>
    <row r="858">
      <c r="A858" s="3">
        <f>IF('Data Source'!B858="","",'Data Source'!A858)</f>
        <v/>
      </c>
      <c r="B858">
        <f>IF('Data Source'!B858="","",'Data Source'!B858)</f>
        <v/>
      </c>
      <c r="C858" s="3">
        <f>IF('Data Source'!B858="","",IF('Data Source'!U858&gt;=5,"A+",IF('Data Source'!U858&gt;=4,"A",IF('Data Source'!U858&gt;=3.5,"A-",IF('Data Source'!U858&gt;=3,"B",IF('Data Source'!U858&gt;=2,"C",IF('Data Source'!U858&gt;=1,"D","F")))))))</f>
        <v/>
      </c>
      <c r="D858" s="3">
        <f>IF('Data Source'!B858="","",IF('Data Source'!V858&gt;=5,"A+",IF('Data Source'!V858&gt;=4,"A",IF('Data Source'!V858&gt;=3.5,"A-",IF('Data Source'!V858&gt;=3,"B",IF('Data Source'!V858&gt;=2,"C",IF('Data Source'!V858&gt;=1,"D","F")))))))</f>
        <v/>
      </c>
      <c r="E858" s="3">
        <f>IF('Data Source'!B858="","",IF('Data Source'!W858&gt;=5,"A+",IF('Data Source'!W858&gt;=4,"A",IF('Data Source'!W858&gt;=3.5,"A-",IF('Data Source'!W858&gt;=3,"B",IF('Data Source'!W858&gt;=2,"C",IF('Data Source'!W858&gt;=1,"D","F")))))))</f>
        <v/>
      </c>
      <c r="F858" s="3">
        <f>IF('Data Source'!B858="","",IF('Data Source'!X858&gt;=5,"A+",IF('Data Source'!X858&gt;=4,"A",IF('Data Source'!X858&gt;=3.5,"A-",IF('Data Source'!X858&gt;=3,"B",IF('Data Source'!X858&gt;=2,"C",IF('Data Source'!X858&gt;=1,"D","F")))))))</f>
        <v/>
      </c>
      <c r="G858" s="3">
        <f>IF('Data Source'!B858="","",IF('Data Source'!Y858&gt;=5,"A+",IF('Data Source'!Y858&gt;=4,"A",IF('Data Source'!Y858&gt;=3.5,"A-",IF('Data Source'!Y858&gt;=3,"B",IF('Data Source'!Y858&gt;=2,"C",IF('Data Source'!Y858&gt;=1,"D","F")))))))</f>
        <v/>
      </c>
      <c r="H858" s="3">
        <f>IF('Data Source'!B858="","",IF('Data Source'!Z858&gt;=5,"A+",IF('Data Source'!Z858&gt;=4,"A",IF('Data Source'!Z858&gt;=3.5,"A-",IF('Data Source'!Z858&gt;=3,"B",IF('Data Source'!Z858&gt;=2,"C",IF('Data Source'!Z858&gt;=1,"D","F")))))))</f>
        <v/>
      </c>
      <c r="I858" s="3">
        <f>IF('Data Source'!B858="","",IF('Data Source'!AA858&gt;=5,"A+",IF('Data Source'!AA858&gt;=4,"A",IF('Data Source'!AA858&gt;=3.5,"A-",IF('Data Source'!AA858&gt;=3,"B",IF('Data Source'!AA858&gt;=2,"C",IF('Data Source'!AA858&gt;=1,"D","F")))))))</f>
        <v/>
      </c>
      <c r="J858" s="3">
        <f>IF('Data Source'!B858="","",IF('Data Source'!AB858&gt;=5,"A+",IF('Data Source'!AB858&gt;=4,"A",IF('Data Source'!AB858&gt;=3.5,"A-",IF('Data Source'!AB858&gt;=3,"B",IF('Data Source'!AB858&gt;=2,"C",IF('Data Source'!AB858&gt;=1,"D","F")))))))</f>
        <v/>
      </c>
      <c r="K858" s="3">
        <f>IF('Data Source'!B858="","",IF('Data Source'!AC858&gt;=5,"A+",IF('Data Source'!AC858&gt;=4,"A",IF('Data Source'!AC858&gt;=3.5,"A-",IF('Data Source'!AC858&gt;=3,"B",IF('Data Source'!AC858&gt;=2,"C",IF('Data Source'!AC858&gt;=1,"D","F")))))))</f>
        <v/>
      </c>
      <c r="L858" s="3">
        <f>IF('Data Source'!B858="","",IF('Data Source'!AD858&gt;=5,"A+",IF('Data Source'!AD858&gt;=4,"A",IF('Data Source'!AD858&gt;=3.5,"A-",IF('Data Source'!AD858&gt;=3,"B",IF('Data Source'!AD858&gt;=2,"C",IF('Data Source'!AD858&gt;=1,"D","F")))))))</f>
        <v/>
      </c>
      <c r="M858" s="3">
        <f>IF('Data Source'!B858="","",IF('Data Source'!AE858&gt;=5,"A+",IF('Data Source'!AE858&gt;=4,"A",IF('Data Source'!AE858&gt;=3.5,"A-",IF('Data Source'!AE858&gt;=3,"B",IF('Data Source'!AE858&gt;=2,"C",IF('Data Source'!AE858&gt;=1,"D","F")))))))</f>
        <v/>
      </c>
      <c r="N858" s="3">
        <f>IF('Data Source'!B858="","",IF('Data Source'!AF858&gt;=5,"A+",IF('Data Source'!AF858&gt;=4,"A",IF('Data Source'!AF858&gt;=3.5,"A-",IF('Data Source'!AF858&gt;=3,"B",IF('Data Source'!AF858&gt;=2,"C",IF('Data Source'!AF858&gt;=1,"D","F")))))))</f>
        <v/>
      </c>
      <c r="O858" s="3">
        <f>IF('Data Source'!B858="","",IF('Data Source'!AG858&gt;=5,"A+",IF('Data Source'!AG858&gt;=4,"A",IF('Data Source'!AG858&gt;=3.5,"A-",IF('Data Source'!AG858&gt;=3,"B",IF('Data Source'!AG858&gt;=2,"C",IF('Data Source'!AG858&gt;=1,"D","F")))))))</f>
        <v/>
      </c>
      <c r="P858" s="5">
        <f>IF('Data Source'!B858="","",'Data Source'!R858)</f>
        <v/>
      </c>
      <c r="Q858" s="3">
        <f>IF('Data Source'!B858="","",'Data Source'!S858)</f>
        <v/>
      </c>
    </row>
    <row r="859">
      <c r="A859" s="3">
        <f>IF('Data Source'!B859="","",'Data Source'!A859)</f>
        <v/>
      </c>
      <c r="B859">
        <f>IF('Data Source'!B859="","",'Data Source'!B859)</f>
        <v/>
      </c>
      <c r="C859" s="3">
        <f>IF('Data Source'!B859="","",IF('Data Source'!U859&gt;=5,"A+",IF('Data Source'!U859&gt;=4,"A",IF('Data Source'!U859&gt;=3.5,"A-",IF('Data Source'!U859&gt;=3,"B",IF('Data Source'!U859&gt;=2,"C",IF('Data Source'!U859&gt;=1,"D","F")))))))</f>
        <v/>
      </c>
      <c r="D859" s="3">
        <f>IF('Data Source'!B859="","",IF('Data Source'!V859&gt;=5,"A+",IF('Data Source'!V859&gt;=4,"A",IF('Data Source'!V859&gt;=3.5,"A-",IF('Data Source'!V859&gt;=3,"B",IF('Data Source'!V859&gt;=2,"C",IF('Data Source'!V859&gt;=1,"D","F")))))))</f>
        <v/>
      </c>
      <c r="E859" s="3">
        <f>IF('Data Source'!B859="","",IF('Data Source'!W859&gt;=5,"A+",IF('Data Source'!W859&gt;=4,"A",IF('Data Source'!W859&gt;=3.5,"A-",IF('Data Source'!W859&gt;=3,"B",IF('Data Source'!W859&gt;=2,"C",IF('Data Source'!W859&gt;=1,"D","F")))))))</f>
        <v/>
      </c>
      <c r="F859" s="3">
        <f>IF('Data Source'!B859="","",IF('Data Source'!X859&gt;=5,"A+",IF('Data Source'!X859&gt;=4,"A",IF('Data Source'!X859&gt;=3.5,"A-",IF('Data Source'!X859&gt;=3,"B",IF('Data Source'!X859&gt;=2,"C",IF('Data Source'!X859&gt;=1,"D","F")))))))</f>
        <v/>
      </c>
      <c r="G859" s="3">
        <f>IF('Data Source'!B859="","",IF('Data Source'!Y859&gt;=5,"A+",IF('Data Source'!Y859&gt;=4,"A",IF('Data Source'!Y859&gt;=3.5,"A-",IF('Data Source'!Y859&gt;=3,"B",IF('Data Source'!Y859&gt;=2,"C",IF('Data Source'!Y859&gt;=1,"D","F")))))))</f>
        <v/>
      </c>
      <c r="H859" s="3">
        <f>IF('Data Source'!B859="","",IF('Data Source'!Z859&gt;=5,"A+",IF('Data Source'!Z859&gt;=4,"A",IF('Data Source'!Z859&gt;=3.5,"A-",IF('Data Source'!Z859&gt;=3,"B",IF('Data Source'!Z859&gt;=2,"C",IF('Data Source'!Z859&gt;=1,"D","F")))))))</f>
        <v/>
      </c>
      <c r="I859" s="3">
        <f>IF('Data Source'!B859="","",IF('Data Source'!AA859&gt;=5,"A+",IF('Data Source'!AA859&gt;=4,"A",IF('Data Source'!AA859&gt;=3.5,"A-",IF('Data Source'!AA859&gt;=3,"B",IF('Data Source'!AA859&gt;=2,"C",IF('Data Source'!AA859&gt;=1,"D","F")))))))</f>
        <v/>
      </c>
      <c r="J859" s="3">
        <f>IF('Data Source'!B859="","",IF('Data Source'!AB859&gt;=5,"A+",IF('Data Source'!AB859&gt;=4,"A",IF('Data Source'!AB859&gt;=3.5,"A-",IF('Data Source'!AB859&gt;=3,"B",IF('Data Source'!AB859&gt;=2,"C",IF('Data Source'!AB859&gt;=1,"D","F")))))))</f>
        <v/>
      </c>
      <c r="K859" s="3">
        <f>IF('Data Source'!B859="","",IF('Data Source'!AC859&gt;=5,"A+",IF('Data Source'!AC859&gt;=4,"A",IF('Data Source'!AC859&gt;=3.5,"A-",IF('Data Source'!AC859&gt;=3,"B",IF('Data Source'!AC859&gt;=2,"C",IF('Data Source'!AC859&gt;=1,"D","F")))))))</f>
        <v/>
      </c>
      <c r="L859" s="3">
        <f>IF('Data Source'!B859="","",IF('Data Source'!AD859&gt;=5,"A+",IF('Data Source'!AD859&gt;=4,"A",IF('Data Source'!AD859&gt;=3.5,"A-",IF('Data Source'!AD859&gt;=3,"B",IF('Data Source'!AD859&gt;=2,"C",IF('Data Source'!AD859&gt;=1,"D","F")))))))</f>
        <v/>
      </c>
      <c r="M859" s="3">
        <f>IF('Data Source'!B859="","",IF('Data Source'!AE859&gt;=5,"A+",IF('Data Source'!AE859&gt;=4,"A",IF('Data Source'!AE859&gt;=3.5,"A-",IF('Data Source'!AE859&gt;=3,"B",IF('Data Source'!AE859&gt;=2,"C",IF('Data Source'!AE859&gt;=1,"D","F")))))))</f>
        <v/>
      </c>
      <c r="N859" s="3">
        <f>IF('Data Source'!B859="","",IF('Data Source'!AF859&gt;=5,"A+",IF('Data Source'!AF859&gt;=4,"A",IF('Data Source'!AF859&gt;=3.5,"A-",IF('Data Source'!AF859&gt;=3,"B",IF('Data Source'!AF859&gt;=2,"C",IF('Data Source'!AF859&gt;=1,"D","F")))))))</f>
        <v/>
      </c>
      <c r="O859" s="3">
        <f>IF('Data Source'!B859="","",IF('Data Source'!AG859&gt;=5,"A+",IF('Data Source'!AG859&gt;=4,"A",IF('Data Source'!AG859&gt;=3.5,"A-",IF('Data Source'!AG859&gt;=3,"B",IF('Data Source'!AG859&gt;=2,"C",IF('Data Source'!AG859&gt;=1,"D","F")))))))</f>
        <v/>
      </c>
      <c r="P859" s="5">
        <f>IF('Data Source'!B859="","",'Data Source'!R859)</f>
        <v/>
      </c>
      <c r="Q859" s="3">
        <f>IF('Data Source'!B859="","",'Data Source'!S859)</f>
        <v/>
      </c>
    </row>
    <row r="860">
      <c r="A860" s="3">
        <f>IF('Data Source'!B860="","",'Data Source'!A860)</f>
        <v/>
      </c>
      <c r="B860">
        <f>IF('Data Source'!B860="","",'Data Source'!B860)</f>
        <v/>
      </c>
      <c r="C860" s="3">
        <f>IF('Data Source'!B860="","",IF('Data Source'!U860&gt;=5,"A+",IF('Data Source'!U860&gt;=4,"A",IF('Data Source'!U860&gt;=3.5,"A-",IF('Data Source'!U860&gt;=3,"B",IF('Data Source'!U860&gt;=2,"C",IF('Data Source'!U860&gt;=1,"D","F")))))))</f>
        <v/>
      </c>
      <c r="D860" s="3">
        <f>IF('Data Source'!B860="","",IF('Data Source'!V860&gt;=5,"A+",IF('Data Source'!V860&gt;=4,"A",IF('Data Source'!V860&gt;=3.5,"A-",IF('Data Source'!V860&gt;=3,"B",IF('Data Source'!V860&gt;=2,"C",IF('Data Source'!V860&gt;=1,"D","F")))))))</f>
        <v/>
      </c>
      <c r="E860" s="3">
        <f>IF('Data Source'!B860="","",IF('Data Source'!W860&gt;=5,"A+",IF('Data Source'!W860&gt;=4,"A",IF('Data Source'!W860&gt;=3.5,"A-",IF('Data Source'!W860&gt;=3,"B",IF('Data Source'!W860&gt;=2,"C",IF('Data Source'!W860&gt;=1,"D","F")))))))</f>
        <v/>
      </c>
      <c r="F860" s="3">
        <f>IF('Data Source'!B860="","",IF('Data Source'!X860&gt;=5,"A+",IF('Data Source'!X860&gt;=4,"A",IF('Data Source'!X860&gt;=3.5,"A-",IF('Data Source'!X860&gt;=3,"B",IF('Data Source'!X860&gt;=2,"C",IF('Data Source'!X860&gt;=1,"D","F")))))))</f>
        <v/>
      </c>
      <c r="G860" s="3">
        <f>IF('Data Source'!B860="","",IF('Data Source'!Y860&gt;=5,"A+",IF('Data Source'!Y860&gt;=4,"A",IF('Data Source'!Y860&gt;=3.5,"A-",IF('Data Source'!Y860&gt;=3,"B",IF('Data Source'!Y860&gt;=2,"C",IF('Data Source'!Y860&gt;=1,"D","F")))))))</f>
        <v/>
      </c>
      <c r="H860" s="3">
        <f>IF('Data Source'!B860="","",IF('Data Source'!Z860&gt;=5,"A+",IF('Data Source'!Z860&gt;=4,"A",IF('Data Source'!Z860&gt;=3.5,"A-",IF('Data Source'!Z860&gt;=3,"B",IF('Data Source'!Z860&gt;=2,"C",IF('Data Source'!Z860&gt;=1,"D","F")))))))</f>
        <v/>
      </c>
      <c r="I860" s="3">
        <f>IF('Data Source'!B860="","",IF('Data Source'!AA860&gt;=5,"A+",IF('Data Source'!AA860&gt;=4,"A",IF('Data Source'!AA860&gt;=3.5,"A-",IF('Data Source'!AA860&gt;=3,"B",IF('Data Source'!AA860&gt;=2,"C",IF('Data Source'!AA860&gt;=1,"D","F")))))))</f>
        <v/>
      </c>
      <c r="J860" s="3">
        <f>IF('Data Source'!B860="","",IF('Data Source'!AB860&gt;=5,"A+",IF('Data Source'!AB860&gt;=4,"A",IF('Data Source'!AB860&gt;=3.5,"A-",IF('Data Source'!AB860&gt;=3,"B",IF('Data Source'!AB860&gt;=2,"C",IF('Data Source'!AB860&gt;=1,"D","F")))))))</f>
        <v/>
      </c>
      <c r="K860" s="3">
        <f>IF('Data Source'!B860="","",IF('Data Source'!AC860&gt;=5,"A+",IF('Data Source'!AC860&gt;=4,"A",IF('Data Source'!AC860&gt;=3.5,"A-",IF('Data Source'!AC860&gt;=3,"B",IF('Data Source'!AC860&gt;=2,"C",IF('Data Source'!AC860&gt;=1,"D","F")))))))</f>
        <v/>
      </c>
      <c r="L860" s="3">
        <f>IF('Data Source'!B860="","",IF('Data Source'!AD860&gt;=5,"A+",IF('Data Source'!AD860&gt;=4,"A",IF('Data Source'!AD860&gt;=3.5,"A-",IF('Data Source'!AD860&gt;=3,"B",IF('Data Source'!AD860&gt;=2,"C",IF('Data Source'!AD860&gt;=1,"D","F")))))))</f>
        <v/>
      </c>
      <c r="M860" s="3">
        <f>IF('Data Source'!B860="","",IF('Data Source'!AE860&gt;=5,"A+",IF('Data Source'!AE860&gt;=4,"A",IF('Data Source'!AE860&gt;=3.5,"A-",IF('Data Source'!AE860&gt;=3,"B",IF('Data Source'!AE860&gt;=2,"C",IF('Data Source'!AE860&gt;=1,"D","F")))))))</f>
        <v/>
      </c>
      <c r="N860" s="3">
        <f>IF('Data Source'!B860="","",IF('Data Source'!AF860&gt;=5,"A+",IF('Data Source'!AF860&gt;=4,"A",IF('Data Source'!AF860&gt;=3.5,"A-",IF('Data Source'!AF860&gt;=3,"B",IF('Data Source'!AF860&gt;=2,"C",IF('Data Source'!AF860&gt;=1,"D","F")))))))</f>
        <v/>
      </c>
      <c r="O860" s="3">
        <f>IF('Data Source'!B860="","",IF('Data Source'!AG860&gt;=5,"A+",IF('Data Source'!AG860&gt;=4,"A",IF('Data Source'!AG860&gt;=3.5,"A-",IF('Data Source'!AG860&gt;=3,"B",IF('Data Source'!AG860&gt;=2,"C",IF('Data Source'!AG860&gt;=1,"D","F")))))))</f>
        <v/>
      </c>
      <c r="P860" s="5">
        <f>IF('Data Source'!B860="","",'Data Source'!R860)</f>
        <v/>
      </c>
      <c r="Q860" s="3">
        <f>IF('Data Source'!B860="","",'Data Source'!S860)</f>
        <v/>
      </c>
    </row>
    <row r="861">
      <c r="A861" s="3">
        <f>IF('Data Source'!B861="","",'Data Source'!A861)</f>
        <v/>
      </c>
      <c r="B861">
        <f>IF('Data Source'!B861="","",'Data Source'!B861)</f>
        <v/>
      </c>
      <c r="C861" s="3">
        <f>IF('Data Source'!B861="","",IF('Data Source'!U861&gt;=5,"A+",IF('Data Source'!U861&gt;=4,"A",IF('Data Source'!U861&gt;=3.5,"A-",IF('Data Source'!U861&gt;=3,"B",IF('Data Source'!U861&gt;=2,"C",IF('Data Source'!U861&gt;=1,"D","F")))))))</f>
        <v/>
      </c>
      <c r="D861" s="3">
        <f>IF('Data Source'!B861="","",IF('Data Source'!V861&gt;=5,"A+",IF('Data Source'!V861&gt;=4,"A",IF('Data Source'!V861&gt;=3.5,"A-",IF('Data Source'!V861&gt;=3,"B",IF('Data Source'!V861&gt;=2,"C",IF('Data Source'!V861&gt;=1,"D","F")))))))</f>
        <v/>
      </c>
      <c r="E861" s="3">
        <f>IF('Data Source'!B861="","",IF('Data Source'!W861&gt;=5,"A+",IF('Data Source'!W861&gt;=4,"A",IF('Data Source'!W861&gt;=3.5,"A-",IF('Data Source'!W861&gt;=3,"B",IF('Data Source'!W861&gt;=2,"C",IF('Data Source'!W861&gt;=1,"D","F")))))))</f>
        <v/>
      </c>
      <c r="F861" s="3">
        <f>IF('Data Source'!B861="","",IF('Data Source'!X861&gt;=5,"A+",IF('Data Source'!X861&gt;=4,"A",IF('Data Source'!X861&gt;=3.5,"A-",IF('Data Source'!X861&gt;=3,"B",IF('Data Source'!X861&gt;=2,"C",IF('Data Source'!X861&gt;=1,"D","F")))))))</f>
        <v/>
      </c>
      <c r="G861" s="3">
        <f>IF('Data Source'!B861="","",IF('Data Source'!Y861&gt;=5,"A+",IF('Data Source'!Y861&gt;=4,"A",IF('Data Source'!Y861&gt;=3.5,"A-",IF('Data Source'!Y861&gt;=3,"B",IF('Data Source'!Y861&gt;=2,"C",IF('Data Source'!Y861&gt;=1,"D","F")))))))</f>
        <v/>
      </c>
      <c r="H861" s="3">
        <f>IF('Data Source'!B861="","",IF('Data Source'!Z861&gt;=5,"A+",IF('Data Source'!Z861&gt;=4,"A",IF('Data Source'!Z861&gt;=3.5,"A-",IF('Data Source'!Z861&gt;=3,"B",IF('Data Source'!Z861&gt;=2,"C",IF('Data Source'!Z861&gt;=1,"D","F")))))))</f>
        <v/>
      </c>
      <c r="I861" s="3">
        <f>IF('Data Source'!B861="","",IF('Data Source'!AA861&gt;=5,"A+",IF('Data Source'!AA861&gt;=4,"A",IF('Data Source'!AA861&gt;=3.5,"A-",IF('Data Source'!AA861&gt;=3,"B",IF('Data Source'!AA861&gt;=2,"C",IF('Data Source'!AA861&gt;=1,"D","F")))))))</f>
        <v/>
      </c>
      <c r="J861" s="3">
        <f>IF('Data Source'!B861="","",IF('Data Source'!AB861&gt;=5,"A+",IF('Data Source'!AB861&gt;=4,"A",IF('Data Source'!AB861&gt;=3.5,"A-",IF('Data Source'!AB861&gt;=3,"B",IF('Data Source'!AB861&gt;=2,"C",IF('Data Source'!AB861&gt;=1,"D","F")))))))</f>
        <v/>
      </c>
      <c r="K861" s="3">
        <f>IF('Data Source'!B861="","",IF('Data Source'!AC861&gt;=5,"A+",IF('Data Source'!AC861&gt;=4,"A",IF('Data Source'!AC861&gt;=3.5,"A-",IF('Data Source'!AC861&gt;=3,"B",IF('Data Source'!AC861&gt;=2,"C",IF('Data Source'!AC861&gt;=1,"D","F")))))))</f>
        <v/>
      </c>
      <c r="L861" s="3">
        <f>IF('Data Source'!B861="","",IF('Data Source'!AD861&gt;=5,"A+",IF('Data Source'!AD861&gt;=4,"A",IF('Data Source'!AD861&gt;=3.5,"A-",IF('Data Source'!AD861&gt;=3,"B",IF('Data Source'!AD861&gt;=2,"C",IF('Data Source'!AD861&gt;=1,"D","F")))))))</f>
        <v/>
      </c>
      <c r="M861" s="3">
        <f>IF('Data Source'!B861="","",IF('Data Source'!AE861&gt;=5,"A+",IF('Data Source'!AE861&gt;=4,"A",IF('Data Source'!AE861&gt;=3.5,"A-",IF('Data Source'!AE861&gt;=3,"B",IF('Data Source'!AE861&gt;=2,"C",IF('Data Source'!AE861&gt;=1,"D","F")))))))</f>
        <v/>
      </c>
      <c r="N861" s="3">
        <f>IF('Data Source'!B861="","",IF('Data Source'!AF861&gt;=5,"A+",IF('Data Source'!AF861&gt;=4,"A",IF('Data Source'!AF861&gt;=3.5,"A-",IF('Data Source'!AF861&gt;=3,"B",IF('Data Source'!AF861&gt;=2,"C",IF('Data Source'!AF861&gt;=1,"D","F")))))))</f>
        <v/>
      </c>
      <c r="O861" s="3">
        <f>IF('Data Source'!B861="","",IF('Data Source'!AG861&gt;=5,"A+",IF('Data Source'!AG861&gt;=4,"A",IF('Data Source'!AG861&gt;=3.5,"A-",IF('Data Source'!AG861&gt;=3,"B",IF('Data Source'!AG861&gt;=2,"C",IF('Data Source'!AG861&gt;=1,"D","F")))))))</f>
        <v/>
      </c>
      <c r="P861" s="5">
        <f>IF('Data Source'!B861="","",'Data Source'!R861)</f>
        <v/>
      </c>
      <c r="Q861" s="3">
        <f>IF('Data Source'!B861="","",'Data Source'!S861)</f>
        <v/>
      </c>
    </row>
    <row r="862">
      <c r="A862" s="3">
        <f>IF('Data Source'!B862="","",'Data Source'!A862)</f>
        <v/>
      </c>
      <c r="B862">
        <f>IF('Data Source'!B862="","",'Data Source'!B862)</f>
        <v/>
      </c>
      <c r="C862" s="3">
        <f>IF('Data Source'!B862="","",IF('Data Source'!U862&gt;=5,"A+",IF('Data Source'!U862&gt;=4,"A",IF('Data Source'!U862&gt;=3.5,"A-",IF('Data Source'!U862&gt;=3,"B",IF('Data Source'!U862&gt;=2,"C",IF('Data Source'!U862&gt;=1,"D","F")))))))</f>
        <v/>
      </c>
      <c r="D862" s="3">
        <f>IF('Data Source'!B862="","",IF('Data Source'!V862&gt;=5,"A+",IF('Data Source'!V862&gt;=4,"A",IF('Data Source'!V862&gt;=3.5,"A-",IF('Data Source'!V862&gt;=3,"B",IF('Data Source'!V862&gt;=2,"C",IF('Data Source'!V862&gt;=1,"D","F")))))))</f>
        <v/>
      </c>
      <c r="E862" s="3">
        <f>IF('Data Source'!B862="","",IF('Data Source'!W862&gt;=5,"A+",IF('Data Source'!W862&gt;=4,"A",IF('Data Source'!W862&gt;=3.5,"A-",IF('Data Source'!W862&gt;=3,"B",IF('Data Source'!W862&gt;=2,"C",IF('Data Source'!W862&gt;=1,"D","F")))))))</f>
        <v/>
      </c>
      <c r="F862" s="3">
        <f>IF('Data Source'!B862="","",IF('Data Source'!X862&gt;=5,"A+",IF('Data Source'!X862&gt;=4,"A",IF('Data Source'!X862&gt;=3.5,"A-",IF('Data Source'!X862&gt;=3,"B",IF('Data Source'!X862&gt;=2,"C",IF('Data Source'!X862&gt;=1,"D","F")))))))</f>
        <v/>
      </c>
      <c r="G862" s="3">
        <f>IF('Data Source'!B862="","",IF('Data Source'!Y862&gt;=5,"A+",IF('Data Source'!Y862&gt;=4,"A",IF('Data Source'!Y862&gt;=3.5,"A-",IF('Data Source'!Y862&gt;=3,"B",IF('Data Source'!Y862&gt;=2,"C",IF('Data Source'!Y862&gt;=1,"D","F")))))))</f>
        <v/>
      </c>
      <c r="H862" s="3">
        <f>IF('Data Source'!B862="","",IF('Data Source'!Z862&gt;=5,"A+",IF('Data Source'!Z862&gt;=4,"A",IF('Data Source'!Z862&gt;=3.5,"A-",IF('Data Source'!Z862&gt;=3,"B",IF('Data Source'!Z862&gt;=2,"C",IF('Data Source'!Z862&gt;=1,"D","F")))))))</f>
        <v/>
      </c>
      <c r="I862" s="3">
        <f>IF('Data Source'!B862="","",IF('Data Source'!AA862&gt;=5,"A+",IF('Data Source'!AA862&gt;=4,"A",IF('Data Source'!AA862&gt;=3.5,"A-",IF('Data Source'!AA862&gt;=3,"B",IF('Data Source'!AA862&gt;=2,"C",IF('Data Source'!AA862&gt;=1,"D","F")))))))</f>
        <v/>
      </c>
      <c r="J862" s="3">
        <f>IF('Data Source'!B862="","",IF('Data Source'!AB862&gt;=5,"A+",IF('Data Source'!AB862&gt;=4,"A",IF('Data Source'!AB862&gt;=3.5,"A-",IF('Data Source'!AB862&gt;=3,"B",IF('Data Source'!AB862&gt;=2,"C",IF('Data Source'!AB862&gt;=1,"D","F")))))))</f>
        <v/>
      </c>
      <c r="K862" s="3">
        <f>IF('Data Source'!B862="","",IF('Data Source'!AC862&gt;=5,"A+",IF('Data Source'!AC862&gt;=4,"A",IF('Data Source'!AC862&gt;=3.5,"A-",IF('Data Source'!AC862&gt;=3,"B",IF('Data Source'!AC862&gt;=2,"C",IF('Data Source'!AC862&gt;=1,"D","F")))))))</f>
        <v/>
      </c>
      <c r="L862" s="3">
        <f>IF('Data Source'!B862="","",IF('Data Source'!AD862&gt;=5,"A+",IF('Data Source'!AD862&gt;=4,"A",IF('Data Source'!AD862&gt;=3.5,"A-",IF('Data Source'!AD862&gt;=3,"B",IF('Data Source'!AD862&gt;=2,"C",IF('Data Source'!AD862&gt;=1,"D","F")))))))</f>
        <v/>
      </c>
      <c r="M862" s="3">
        <f>IF('Data Source'!B862="","",IF('Data Source'!AE862&gt;=5,"A+",IF('Data Source'!AE862&gt;=4,"A",IF('Data Source'!AE862&gt;=3.5,"A-",IF('Data Source'!AE862&gt;=3,"B",IF('Data Source'!AE862&gt;=2,"C",IF('Data Source'!AE862&gt;=1,"D","F")))))))</f>
        <v/>
      </c>
      <c r="N862" s="3">
        <f>IF('Data Source'!B862="","",IF('Data Source'!AF862&gt;=5,"A+",IF('Data Source'!AF862&gt;=4,"A",IF('Data Source'!AF862&gt;=3.5,"A-",IF('Data Source'!AF862&gt;=3,"B",IF('Data Source'!AF862&gt;=2,"C",IF('Data Source'!AF862&gt;=1,"D","F")))))))</f>
        <v/>
      </c>
      <c r="O862" s="3">
        <f>IF('Data Source'!B862="","",IF('Data Source'!AG862&gt;=5,"A+",IF('Data Source'!AG862&gt;=4,"A",IF('Data Source'!AG862&gt;=3.5,"A-",IF('Data Source'!AG862&gt;=3,"B",IF('Data Source'!AG862&gt;=2,"C",IF('Data Source'!AG862&gt;=1,"D","F")))))))</f>
        <v/>
      </c>
      <c r="P862" s="5">
        <f>IF('Data Source'!B862="","",'Data Source'!R862)</f>
        <v/>
      </c>
      <c r="Q862" s="3">
        <f>IF('Data Source'!B862="","",'Data Source'!S862)</f>
        <v/>
      </c>
    </row>
    <row r="863">
      <c r="A863" s="3">
        <f>IF('Data Source'!B863="","",'Data Source'!A863)</f>
        <v/>
      </c>
      <c r="B863">
        <f>IF('Data Source'!B863="","",'Data Source'!B863)</f>
        <v/>
      </c>
      <c r="C863" s="3">
        <f>IF('Data Source'!B863="","",IF('Data Source'!U863&gt;=5,"A+",IF('Data Source'!U863&gt;=4,"A",IF('Data Source'!U863&gt;=3.5,"A-",IF('Data Source'!U863&gt;=3,"B",IF('Data Source'!U863&gt;=2,"C",IF('Data Source'!U863&gt;=1,"D","F")))))))</f>
        <v/>
      </c>
      <c r="D863" s="3">
        <f>IF('Data Source'!B863="","",IF('Data Source'!V863&gt;=5,"A+",IF('Data Source'!V863&gt;=4,"A",IF('Data Source'!V863&gt;=3.5,"A-",IF('Data Source'!V863&gt;=3,"B",IF('Data Source'!V863&gt;=2,"C",IF('Data Source'!V863&gt;=1,"D","F")))))))</f>
        <v/>
      </c>
      <c r="E863" s="3">
        <f>IF('Data Source'!B863="","",IF('Data Source'!W863&gt;=5,"A+",IF('Data Source'!W863&gt;=4,"A",IF('Data Source'!W863&gt;=3.5,"A-",IF('Data Source'!W863&gt;=3,"B",IF('Data Source'!W863&gt;=2,"C",IF('Data Source'!W863&gt;=1,"D","F")))))))</f>
        <v/>
      </c>
      <c r="F863" s="3">
        <f>IF('Data Source'!B863="","",IF('Data Source'!X863&gt;=5,"A+",IF('Data Source'!X863&gt;=4,"A",IF('Data Source'!X863&gt;=3.5,"A-",IF('Data Source'!X863&gt;=3,"B",IF('Data Source'!X863&gt;=2,"C",IF('Data Source'!X863&gt;=1,"D","F")))))))</f>
        <v/>
      </c>
      <c r="G863" s="3">
        <f>IF('Data Source'!B863="","",IF('Data Source'!Y863&gt;=5,"A+",IF('Data Source'!Y863&gt;=4,"A",IF('Data Source'!Y863&gt;=3.5,"A-",IF('Data Source'!Y863&gt;=3,"B",IF('Data Source'!Y863&gt;=2,"C",IF('Data Source'!Y863&gt;=1,"D","F")))))))</f>
        <v/>
      </c>
      <c r="H863" s="3">
        <f>IF('Data Source'!B863="","",IF('Data Source'!Z863&gt;=5,"A+",IF('Data Source'!Z863&gt;=4,"A",IF('Data Source'!Z863&gt;=3.5,"A-",IF('Data Source'!Z863&gt;=3,"B",IF('Data Source'!Z863&gt;=2,"C",IF('Data Source'!Z863&gt;=1,"D","F")))))))</f>
        <v/>
      </c>
      <c r="I863" s="3">
        <f>IF('Data Source'!B863="","",IF('Data Source'!AA863&gt;=5,"A+",IF('Data Source'!AA863&gt;=4,"A",IF('Data Source'!AA863&gt;=3.5,"A-",IF('Data Source'!AA863&gt;=3,"B",IF('Data Source'!AA863&gt;=2,"C",IF('Data Source'!AA863&gt;=1,"D","F")))))))</f>
        <v/>
      </c>
      <c r="J863" s="3">
        <f>IF('Data Source'!B863="","",IF('Data Source'!AB863&gt;=5,"A+",IF('Data Source'!AB863&gt;=4,"A",IF('Data Source'!AB863&gt;=3.5,"A-",IF('Data Source'!AB863&gt;=3,"B",IF('Data Source'!AB863&gt;=2,"C",IF('Data Source'!AB863&gt;=1,"D","F")))))))</f>
        <v/>
      </c>
      <c r="K863" s="3">
        <f>IF('Data Source'!B863="","",IF('Data Source'!AC863&gt;=5,"A+",IF('Data Source'!AC863&gt;=4,"A",IF('Data Source'!AC863&gt;=3.5,"A-",IF('Data Source'!AC863&gt;=3,"B",IF('Data Source'!AC863&gt;=2,"C",IF('Data Source'!AC863&gt;=1,"D","F")))))))</f>
        <v/>
      </c>
      <c r="L863" s="3">
        <f>IF('Data Source'!B863="","",IF('Data Source'!AD863&gt;=5,"A+",IF('Data Source'!AD863&gt;=4,"A",IF('Data Source'!AD863&gt;=3.5,"A-",IF('Data Source'!AD863&gt;=3,"B",IF('Data Source'!AD863&gt;=2,"C",IF('Data Source'!AD863&gt;=1,"D","F")))))))</f>
        <v/>
      </c>
      <c r="M863" s="3">
        <f>IF('Data Source'!B863="","",IF('Data Source'!AE863&gt;=5,"A+",IF('Data Source'!AE863&gt;=4,"A",IF('Data Source'!AE863&gt;=3.5,"A-",IF('Data Source'!AE863&gt;=3,"B",IF('Data Source'!AE863&gt;=2,"C",IF('Data Source'!AE863&gt;=1,"D","F")))))))</f>
        <v/>
      </c>
      <c r="N863" s="3">
        <f>IF('Data Source'!B863="","",IF('Data Source'!AF863&gt;=5,"A+",IF('Data Source'!AF863&gt;=4,"A",IF('Data Source'!AF863&gt;=3.5,"A-",IF('Data Source'!AF863&gt;=3,"B",IF('Data Source'!AF863&gt;=2,"C",IF('Data Source'!AF863&gt;=1,"D","F")))))))</f>
        <v/>
      </c>
      <c r="O863" s="3">
        <f>IF('Data Source'!B863="","",IF('Data Source'!AG863&gt;=5,"A+",IF('Data Source'!AG863&gt;=4,"A",IF('Data Source'!AG863&gt;=3.5,"A-",IF('Data Source'!AG863&gt;=3,"B",IF('Data Source'!AG863&gt;=2,"C",IF('Data Source'!AG863&gt;=1,"D","F")))))))</f>
        <v/>
      </c>
      <c r="P863" s="5">
        <f>IF('Data Source'!B863="","",'Data Source'!R863)</f>
        <v/>
      </c>
      <c r="Q863" s="3">
        <f>IF('Data Source'!B863="","",'Data Source'!S863)</f>
        <v/>
      </c>
    </row>
    <row r="864">
      <c r="A864" s="3">
        <f>IF('Data Source'!B864="","",'Data Source'!A864)</f>
        <v/>
      </c>
      <c r="B864">
        <f>IF('Data Source'!B864="","",'Data Source'!B864)</f>
        <v/>
      </c>
      <c r="C864" s="3">
        <f>IF('Data Source'!B864="","",IF('Data Source'!U864&gt;=5,"A+",IF('Data Source'!U864&gt;=4,"A",IF('Data Source'!U864&gt;=3.5,"A-",IF('Data Source'!U864&gt;=3,"B",IF('Data Source'!U864&gt;=2,"C",IF('Data Source'!U864&gt;=1,"D","F")))))))</f>
        <v/>
      </c>
      <c r="D864" s="3">
        <f>IF('Data Source'!B864="","",IF('Data Source'!V864&gt;=5,"A+",IF('Data Source'!V864&gt;=4,"A",IF('Data Source'!V864&gt;=3.5,"A-",IF('Data Source'!V864&gt;=3,"B",IF('Data Source'!V864&gt;=2,"C",IF('Data Source'!V864&gt;=1,"D","F")))))))</f>
        <v/>
      </c>
      <c r="E864" s="3">
        <f>IF('Data Source'!B864="","",IF('Data Source'!W864&gt;=5,"A+",IF('Data Source'!W864&gt;=4,"A",IF('Data Source'!W864&gt;=3.5,"A-",IF('Data Source'!W864&gt;=3,"B",IF('Data Source'!W864&gt;=2,"C",IF('Data Source'!W864&gt;=1,"D","F")))))))</f>
        <v/>
      </c>
      <c r="F864" s="3">
        <f>IF('Data Source'!B864="","",IF('Data Source'!X864&gt;=5,"A+",IF('Data Source'!X864&gt;=4,"A",IF('Data Source'!X864&gt;=3.5,"A-",IF('Data Source'!X864&gt;=3,"B",IF('Data Source'!X864&gt;=2,"C",IF('Data Source'!X864&gt;=1,"D","F")))))))</f>
        <v/>
      </c>
      <c r="G864" s="3">
        <f>IF('Data Source'!B864="","",IF('Data Source'!Y864&gt;=5,"A+",IF('Data Source'!Y864&gt;=4,"A",IF('Data Source'!Y864&gt;=3.5,"A-",IF('Data Source'!Y864&gt;=3,"B",IF('Data Source'!Y864&gt;=2,"C",IF('Data Source'!Y864&gt;=1,"D","F")))))))</f>
        <v/>
      </c>
      <c r="H864" s="3">
        <f>IF('Data Source'!B864="","",IF('Data Source'!Z864&gt;=5,"A+",IF('Data Source'!Z864&gt;=4,"A",IF('Data Source'!Z864&gt;=3.5,"A-",IF('Data Source'!Z864&gt;=3,"B",IF('Data Source'!Z864&gt;=2,"C",IF('Data Source'!Z864&gt;=1,"D","F")))))))</f>
        <v/>
      </c>
      <c r="I864" s="3">
        <f>IF('Data Source'!B864="","",IF('Data Source'!AA864&gt;=5,"A+",IF('Data Source'!AA864&gt;=4,"A",IF('Data Source'!AA864&gt;=3.5,"A-",IF('Data Source'!AA864&gt;=3,"B",IF('Data Source'!AA864&gt;=2,"C",IF('Data Source'!AA864&gt;=1,"D","F")))))))</f>
        <v/>
      </c>
      <c r="J864" s="3">
        <f>IF('Data Source'!B864="","",IF('Data Source'!AB864&gt;=5,"A+",IF('Data Source'!AB864&gt;=4,"A",IF('Data Source'!AB864&gt;=3.5,"A-",IF('Data Source'!AB864&gt;=3,"B",IF('Data Source'!AB864&gt;=2,"C",IF('Data Source'!AB864&gt;=1,"D","F")))))))</f>
        <v/>
      </c>
      <c r="K864" s="3">
        <f>IF('Data Source'!B864="","",IF('Data Source'!AC864&gt;=5,"A+",IF('Data Source'!AC864&gt;=4,"A",IF('Data Source'!AC864&gt;=3.5,"A-",IF('Data Source'!AC864&gt;=3,"B",IF('Data Source'!AC864&gt;=2,"C",IF('Data Source'!AC864&gt;=1,"D","F")))))))</f>
        <v/>
      </c>
      <c r="L864" s="3">
        <f>IF('Data Source'!B864="","",IF('Data Source'!AD864&gt;=5,"A+",IF('Data Source'!AD864&gt;=4,"A",IF('Data Source'!AD864&gt;=3.5,"A-",IF('Data Source'!AD864&gt;=3,"B",IF('Data Source'!AD864&gt;=2,"C",IF('Data Source'!AD864&gt;=1,"D","F")))))))</f>
        <v/>
      </c>
      <c r="M864" s="3">
        <f>IF('Data Source'!B864="","",IF('Data Source'!AE864&gt;=5,"A+",IF('Data Source'!AE864&gt;=4,"A",IF('Data Source'!AE864&gt;=3.5,"A-",IF('Data Source'!AE864&gt;=3,"B",IF('Data Source'!AE864&gt;=2,"C",IF('Data Source'!AE864&gt;=1,"D","F")))))))</f>
        <v/>
      </c>
      <c r="N864" s="3">
        <f>IF('Data Source'!B864="","",IF('Data Source'!AF864&gt;=5,"A+",IF('Data Source'!AF864&gt;=4,"A",IF('Data Source'!AF864&gt;=3.5,"A-",IF('Data Source'!AF864&gt;=3,"B",IF('Data Source'!AF864&gt;=2,"C",IF('Data Source'!AF864&gt;=1,"D","F")))))))</f>
        <v/>
      </c>
      <c r="O864" s="3">
        <f>IF('Data Source'!B864="","",IF('Data Source'!AG864&gt;=5,"A+",IF('Data Source'!AG864&gt;=4,"A",IF('Data Source'!AG864&gt;=3.5,"A-",IF('Data Source'!AG864&gt;=3,"B",IF('Data Source'!AG864&gt;=2,"C",IF('Data Source'!AG864&gt;=1,"D","F")))))))</f>
        <v/>
      </c>
      <c r="P864" s="5">
        <f>IF('Data Source'!B864="","",'Data Source'!R864)</f>
        <v/>
      </c>
      <c r="Q864" s="3">
        <f>IF('Data Source'!B864="","",'Data Source'!S864)</f>
        <v/>
      </c>
    </row>
    <row r="865">
      <c r="A865" s="3">
        <f>IF('Data Source'!B865="","",'Data Source'!A865)</f>
        <v/>
      </c>
      <c r="B865">
        <f>IF('Data Source'!B865="","",'Data Source'!B865)</f>
        <v/>
      </c>
      <c r="C865" s="3">
        <f>IF('Data Source'!B865="","",IF('Data Source'!U865&gt;=5,"A+",IF('Data Source'!U865&gt;=4,"A",IF('Data Source'!U865&gt;=3.5,"A-",IF('Data Source'!U865&gt;=3,"B",IF('Data Source'!U865&gt;=2,"C",IF('Data Source'!U865&gt;=1,"D","F")))))))</f>
        <v/>
      </c>
      <c r="D865" s="3">
        <f>IF('Data Source'!B865="","",IF('Data Source'!V865&gt;=5,"A+",IF('Data Source'!V865&gt;=4,"A",IF('Data Source'!V865&gt;=3.5,"A-",IF('Data Source'!V865&gt;=3,"B",IF('Data Source'!V865&gt;=2,"C",IF('Data Source'!V865&gt;=1,"D","F")))))))</f>
        <v/>
      </c>
      <c r="E865" s="3">
        <f>IF('Data Source'!B865="","",IF('Data Source'!W865&gt;=5,"A+",IF('Data Source'!W865&gt;=4,"A",IF('Data Source'!W865&gt;=3.5,"A-",IF('Data Source'!W865&gt;=3,"B",IF('Data Source'!W865&gt;=2,"C",IF('Data Source'!W865&gt;=1,"D","F")))))))</f>
        <v/>
      </c>
      <c r="F865" s="3">
        <f>IF('Data Source'!B865="","",IF('Data Source'!X865&gt;=5,"A+",IF('Data Source'!X865&gt;=4,"A",IF('Data Source'!X865&gt;=3.5,"A-",IF('Data Source'!X865&gt;=3,"B",IF('Data Source'!X865&gt;=2,"C",IF('Data Source'!X865&gt;=1,"D","F")))))))</f>
        <v/>
      </c>
      <c r="G865" s="3">
        <f>IF('Data Source'!B865="","",IF('Data Source'!Y865&gt;=5,"A+",IF('Data Source'!Y865&gt;=4,"A",IF('Data Source'!Y865&gt;=3.5,"A-",IF('Data Source'!Y865&gt;=3,"B",IF('Data Source'!Y865&gt;=2,"C",IF('Data Source'!Y865&gt;=1,"D","F")))))))</f>
        <v/>
      </c>
      <c r="H865" s="3">
        <f>IF('Data Source'!B865="","",IF('Data Source'!Z865&gt;=5,"A+",IF('Data Source'!Z865&gt;=4,"A",IF('Data Source'!Z865&gt;=3.5,"A-",IF('Data Source'!Z865&gt;=3,"B",IF('Data Source'!Z865&gt;=2,"C",IF('Data Source'!Z865&gt;=1,"D","F")))))))</f>
        <v/>
      </c>
      <c r="I865" s="3">
        <f>IF('Data Source'!B865="","",IF('Data Source'!AA865&gt;=5,"A+",IF('Data Source'!AA865&gt;=4,"A",IF('Data Source'!AA865&gt;=3.5,"A-",IF('Data Source'!AA865&gt;=3,"B",IF('Data Source'!AA865&gt;=2,"C",IF('Data Source'!AA865&gt;=1,"D","F")))))))</f>
        <v/>
      </c>
      <c r="J865" s="3">
        <f>IF('Data Source'!B865="","",IF('Data Source'!AB865&gt;=5,"A+",IF('Data Source'!AB865&gt;=4,"A",IF('Data Source'!AB865&gt;=3.5,"A-",IF('Data Source'!AB865&gt;=3,"B",IF('Data Source'!AB865&gt;=2,"C",IF('Data Source'!AB865&gt;=1,"D","F")))))))</f>
        <v/>
      </c>
      <c r="K865" s="3">
        <f>IF('Data Source'!B865="","",IF('Data Source'!AC865&gt;=5,"A+",IF('Data Source'!AC865&gt;=4,"A",IF('Data Source'!AC865&gt;=3.5,"A-",IF('Data Source'!AC865&gt;=3,"B",IF('Data Source'!AC865&gt;=2,"C",IF('Data Source'!AC865&gt;=1,"D","F")))))))</f>
        <v/>
      </c>
      <c r="L865" s="3">
        <f>IF('Data Source'!B865="","",IF('Data Source'!AD865&gt;=5,"A+",IF('Data Source'!AD865&gt;=4,"A",IF('Data Source'!AD865&gt;=3.5,"A-",IF('Data Source'!AD865&gt;=3,"B",IF('Data Source'!AD865&gt;=2,"C",IF('Data Source'!AD865&gt;=1,"D","F")))))))</f>
        <v/>
      </c>
      <c r="M865" s="3">
        <f>IF('Data Source'!B865="","",IF('Data Source'!AE865&gt;=5,"A+",IF('Data Source'!AE865&gt;=4,"A",IF('Data Source'!AE865&gt;=3.5,"A-",IF('Data Source'!AE865&gt;=3,"B",IF('Data Source'!AE865&gt;=2,"C",IF('Data Source'!AE865&gt;=1,"D","F")))))))</f>
        <v/>
      </c>
      <c r="N865" s="3">
        <f>IF('Data Source'!B865="","",IF('Data Source'!AF865&gt;=5,"A+",IF('Data Source'!AF865&gt;=4,"A",IF('Data Source'!AF865&gt;=3.5,"A-",IF('Data Source'!AF865&gt;=3,"B",IF('Data Source'!AF865&gt;=2,"C",IF('Data Source'!AF865&gt;=1,"D","F")))))))</f>
        <v/>
      </c>
      <c r="O865" s="3">
        <f>IF('Data Source'!B865="","",IF('Data Source'!AG865&gt;=5,"A+",IF('Data Source'!AG865&gt;=4,"A",IF('Data Source'!AG865&gt;=3.5,"A-",IF('Data Source'!AG865&gt;=3,"B",IF('Data Source'!AG865&gt;=2,"C",IF('Data Source'!AG865&gt;=1,"D","F")))))))</f>
        <v/>
      </c>
      <c r="P865" s="5">
        <f>IF('Data Source'!B865="","",'Data Source'!R865)</f>
        <v/>
      </c>
      <c r="Q865" s="3">
        <f>IF('Data Source'!B865="","",'Data Source'!S865)</f>
        <v/>
      </c>
    </row>
    <row r="866">
      <c r="A866" s="3">
        <f>IF('Data Source'!B866="","",'Data Source'!A866)</f>
        <v/>
      </c>
      <c r="B866">
        <f>IF('Data Source'!B866="","",'Data Source'!B866)</f>
        <v/>
      </c>
      <c r="C866" s="3">
        <f>IF('Data Source'!B866="","",IF('Data Source'!U866&gt;=5,"A+",IF('Data Source'!U866&gt;=4,"A",IF('Data Source'!U866&gt;=3.5,"A-",IF('Data Source'!U866&gt;=3,"B",IF('Data Source'!U866&gt;=2,"C",IF('Data Source'!U866&gt;=1,"D","F")))))))</f>
        <v/>
      </c>
      <c r="D866" s="3">
        <f>IF('Data Source'!B866="","",IF('Data Source'!V866&gt;=5,"A+",IF('Data Source'!V866&gt;=4,"A",IF('Data Source'!V866&gt;=3.5,"A-",IF('Data Source'!V866&gt;=3,"B",IF('Data Source'!V866&gt;=2,"C",IF('Data Source'!V866&gt;=1,"D","F")))))))</f>
        <v/>
      </c>
      <c r="E866" s="3">
        <f>IF('Data Source'!B866="","",IF('Data Source'!W866&gt;=5,"A+",IF('Data Source'!W866&gt;=4,"A",IF('Data Source'!W866&gt;=3.5,"A-",IF('Data Source'!W866&gt;=3,"B",IF('Data Source'!W866&gt;=2,"C",IF('Data Source'!W866&gt;=1,"D","F")))))))</f>
        <v/>
      </c>
      <c r="F866" s="3">
        <f>IF('Data Source'!B866="","",IF('Data Source'!X866&gt;=5,"A+",IF('Data Source'!X866&gt;=4,"A",IF('Data Source'!X866&gt;=3.5,"A-",IF('Data Source'!X866&gt;=3,"B",IF('Data Source'!X866&gt;=2,"C",IF('Data Source'!X866&gt;=1,"D","F")))))))</f>
        <v/>
      </c>
      <c r="G866" s="3">
        <f>IF('Data Source'!B866="","",IF('Data Source'!Y866&gt;=5,"A+",IF('Data Source'!Y866&gt;=4,"A",IF('Data Source'!Y866&gt;=3.5,"A-",IF('Data Source'!Y866&gt;=3,"B",IF('Data Source'!Y866&gt;=2,"C",IF('Data Source'!Y866&gt;=1,"D","F")))))))</f>
        <v/>
      </c>
      <c r="H866" s="3">
        <f>IF('Data Source'!B866="","",IF('Data Source'!Z866&gt;=5,"A+",IF('Data Source'!Z866&gt;=4,"A",IF('Data Source'!Z866&gt;=3.5,"A-",IF('Data Source'!Z866&gt;=3,"B",IF('Data Source'!Z866&gt;=2,"C",IF('Data Source'!Z866&gt;=1,"D","F")))))))</f>
        <v/>
      </c>
      <c r="I866" s="3">
        <f>IF('Data Source'!B866="","",IF('Data Source'!AA866&gt;=5,"A+",IF('Data Source'!AA866&gt;=4,"A",IF('Data Source'!AA866&gt;=3.5,"A-",IF('Data Source'!AA866&gt;=3,"B",IF('Data Source'!AA866&gt;=2,"C",IF('Data Source'!AA866&gt;=1,"D","F")))))))</f>
        <v/>
      </c>
      <c r="J866" s="3">
        <f>IF('Data Source'!B866="","",IF('Data Source'!AB866&gt;=5,"A+",IF('Data Source'!AB866&gt;=4,"A",IF('Data Source'!AB866&gt;=3.5,"A-",IF('Data Source'!AB866&gt;=3,"B",IF('Data Source'!AB866&gt;=2,"C",IF('Data Source'!AB866&gt;=1,"D","F")))))))</f>
        <v/>
      </c>
      <c r="K866" s="3">
        <f>IF('Data Source'!B866="","",IF('Data Source'!AC866&gt;=5,"A+",IF('Data Source'!AC866&gt;=4,"A",IF('Data Source'!AC866&gt;=3.5,"A-",IF('Data Source'!AC866&gt;=3,"B",IF('Data Source'!AC866&gt;=2,"C",IF('Data Source'!AC866&gt;=1,"D","F")))))))</f>
        <v/>
      </c>
      <c r="L866" s="3">
        <f>IF('Data Source'!B866="","",IF('Data Source'!AD866&gt;=5,"A+",IF('Data Source'!AD866&gt;=4,"A",IF('Data Source'!AD866&gt;=3.5,"A-",IF('Data Source'!AD866&gt;=3,"B",IF('Data Source'!AD866&gt;=2,"C",IF('Data Source'!AD866&gt;=1,"D","F")))))))</f>
        <v/>
      </c>
      <c r="M866" s="3">
        <f>IF('Data Source'!B866="","",IF('Data Source'!AE866&gt;=5,"A+",IF('Data Source'!AE866&gt;=4,"A",IF('Data Source'!AE866&gt;=3.5,"A-",IF('Data Source'!AE866&gt;=3,"B",IF('Data Source'!AE866&gt;=2,"C",IF('Data Source'!AE866&gt;=1,"D","F")))))))</f>
        <v/>
      </c>
      <c r="N866" s="3">
        <f>IF('Data Source'!B866="","",IF('Data Source'!AF866&gt;=5,"A+",IF('Data Source'!AF866&gt;=4,"A",IF('Data Source'!AF866&gt;=3.5,"A-",IF('Data Source'!AF866&gt;=3,"B",IF('Data Source'!AF866&gt;=2,"C",IF('Data Source'!AF866&gt;=1,"D","F")))))))</f>
        <v/>
      </c>
      <c r="O866" s="3">
        <f>IF('Data Source'!B866="","",IF('Data Source'!AG866&gt;=5,"A+",IF('Data Source'!AG866&gt;=4,"A",IF('Data Source'!AG866&gt;=3.5,"A-",IF('Data Source'!AG866&gt;=3,"B",IF('Data Source'!AG866&gt;=2,"C",IF('Data Source'!AG866&gt;=1,"D","F")))))))</f>
        <v/>
      </c>
      <c r="P866" s="5">
        <f>IF('Data Source'!B866="","",'Data Source'!R866)</f>
        <v/>
      </c>
      <c r="Q866" s="3">
        <f>IF('Data Source'!B866="","",'Data Source'!S866)</f>
        <v/>
      </c>
    </row>
    <row r="867">
      <c r="A867" s="3">
        <f>IF('Data Source'!B867="","",'Data Source'!A867)</f>
        <v/>
      </c>
      <c r="B867">
        <f>IF('Data Source'!B867="","",'Data Source'!B867)</f>
        <v/>
      </c>
      <c r="C867" s="3">
        <f>IF('Data Source'!B867="","",IF('Data Source'!U867&gt;=5,"A+",IF('Data Source'!U867&gt;=4,"A",IF('Data Source'!U867&gt;=3.5,"A-",IF('Data Source'!U867&gt;=3,"B",IF('Data Source'!U867&gt;=2,"C",IF('Data Source'!U867&gt;=1,"D","F")))))))</f>
        <v/>
      </c>
      <c r="D867" s="3">
        <f>IF('Data Source'!B867="","",IF('Data Source'!V867&gt;=5,"A+",IF('Data Source'!V867&gt;=4,"A",IF('Data Source'!V867&gt;=3.5,"A-",IF('Data Source'!V867&gt;=3,"B",IF('Data Source'!V867&gt;=2,"C",IF('Data Source'!V867&gt;=1,"D","F")))))))</f>
        <v/>
      </c>
      <c r="E867" s="3">
        <f>IF('Data Source'!B867="","",IF('Data Source'!W867&gt;=5,"A+",IF('Data Source'!W867&gt;=4,"A",IF('Data Source'!W867&gt;=3.5,"A-",IF('Data Source'!W867&gt;=3,"B",IF('Data Source'!W867&gt;=2,"C",IF('Data Source'!W867&gt;=1,"D","F")))))))</f>
        <v/>
      </c>
      <c r="F867" s="3">
        <f>IF('Data Source'!B867="","",IF('Data Source'!X867&gt;=5,"A+",IF('Data Source'!X867&gt;=4,"A",IF('Data Source'!X867&gt;=3.5,"A-",IF('Data Source'!X867&gt;=3,"B",IF('Data Source'!X867&gt;=2,"C",IF('Data Source'!X867&gt;=1,"D","F")))))))</f>
        <v/>
      </c>
      <c r="G867" s="3">
        <f>IF('Data Source'!B867="","",IF('Data Source'!Y867&gt;=5,"A+",IF('Data Source'!Y867&gt;=4,"A",IF('Data Source'!Y867&gt;=3.5,"A-",IF('Data Source'!Y867&gt;=3,"B",IF('Data Source'!Y867&gt;=2,"C",IF('Data Source'!Y867&gt;=1,"D","F")))))))</f>
        <v/>
      </c>
      <c r="H867" s="3">
        <f>IF('Data Source'!B867="","",IF('Data Source'!Z867&gt;=5,"A+",IF('Data Source'!Z867&gt;=4,"A",IF('Data Source'!Z867&gt;=3.5,"A-",IF('Data Source'!Z867&gt;=3,"B",IF('Data Source'!Z867&gt;=2,"C",IF('Data Source'!Z867&gt;=1,"D","F")))))))</f>
        <v/>
      </c>
      <c r="I867" s="3">
        <f>IF('Data Source'!B867="","",IF('Data Source'!AA867&gt;=5,"A+",IF('Data Source'!AA867&gt;=4,"A",IF('Data Source'!AA867&gt;=3.5,"A-",IF('Data Source'!AA867&gt;=3,"B",IF('Data Source'!AA867&gt;=2,"C",IF('Data Source'!AA867&gt;=1,"D","F")))))))</f>
        <v/>
      </c>
      <c r="J867" s="3">
        <f>IF('Data Source'!B867="","",IF('Data Source'!AB867&gt;=5,"A+",IF('Data Source'!AB867&gt;=4,"A",IF('Data Source'!AB867&gt;=3.5,"A-",IF('Data Source'!AB867&gt;=3,"B",IF('Data Source'!AB867&gt;=2,"C",IF('Data Source'!AB867&gt;=1,"D","F")))))))</f>
        <v/>
      </c>
      <c r="K867" s="3">
        <f>IF('Data Source'!B867="","",IF('Data Source'!AC867&gt;=5,"A+",IF('Data Source'!AC867&gt;=4,"A",IF('Data Source'!AC867&gt;=3.5,"A-",IF('Data Source'!AC867&gt;=3,"B",IF('Data Source'!AC867&gt;=2,"C",IF('Data Source'!AC867&gt;=1,"D","F")))))))</f>
        <v/>
      </c>
      <c r="L867" s="3">
        <f>IF('Data Source'!B867="","",IF('Data Source'!AD867&gt;=5,"A+",IF('Data Source'!AD867&gt;=4,"A",IF('Data Source'!AD867&gt;=3.5,"A-",IF('Data Source'!AD867&gt;=3,"B",IF('Data Source'!AD867&gt;=2,"C",IF('Data Source'!AD867&gt;=1,"D","F")))))))</f>
        <v/>
      </c>
      <c r="M867" s="3">
        <f>IF('Data Source'!B867="","",IF('Data Source'!AE867&gt;=5,"A+",IF('Data Source'!AE867&gt;=4,"A",IF('Data Source'!AE867&gt;=3.5,"A-",IF('Data Source'!AE867&gt;=3,"B",IF('Data Source'!AE867&gt;=2,"C",IF('Data Source'!AE867&gt;=1,"D","F")))))))</f>
        <v/>
      </c>
      <c r="N867" s="3">
        <f>IF('Data Source'!B867="","",IF('Data Source'!AF867&gt;=5,"A+",IF('Data Source'!AF867&gt;=4,"A",IF('Data Source'!AF867&gt;=3.5,"A-",IF('Data Source'!AF867&gt;=3,"B",IF('Data Source'!AF867&gt;=2,"C",IF('Data Source'!AF867&gt;=1,"D","F")))))))</f>
        <v/>
      </c>
      <c r="O867" s="3">
        <f>IF('Data Source'!B867="","",IF('Data Source'!AG867&gt;=5,"A+",IF('Data Source'!AG867&gt;=4,"A",IF('Data Source'!AG867&gt;=3.5,"A-",IF('Data Source'!AG867&gt;=3,"B",IF('Data Source'!AG867&gt;=2,"C",IF('Data Source'!AG867&gt;=1,"D","F")))))))</f>
        <v/>
      </c>
      <c r="P867" s="5">
        <f>IF('Data Source'!B867="","",'Data Source'!R867)</f>
        <v/>
      </c>
      <c r="Q867" s="3">
        <f>IF('Data Source'!B867="","",'Data Source'!S867)</f>
        <v/>
      </c>
    </row>
    <row r="868">
      <c r="A868" s="3">
        <f>IF('Data Source'!B868="","",'Data Source'!A868)</f>
        <v/>
      </c>
      <c r="B868">
        <f>IF('Data Source'!B868="","",'Data Source'!B868)</f>
        <v/>
      </c>
      <c r="C868" s="3">
        <f>IF('Data Source'!B868="","",IF('Data Source'!U868&gt;=5,"A+",IF('Data Source'!U868&gt;=4,"A",IF('Data Source'!U868&gt;=3.5,"A-",IF('Data Source'!U868&gt;=3,"B",IF('Data Source'!U868&gt;=2,"C",IF('Data Source'!U868&gt;=1,"D","F")))))))</f>
        <v/>
      </c>
      <c r="D868" s="3">
        <f>IF('Data Source'!B868="","",IF('Data Source'!V868&gt;=5,"A+",IF('Data Source'!V868&gt;=4,"A",IF('Data Source'!V868&gt;=3.5,"A-",IF('Data Source'!V868&gt;=3,"B",IF('Data Source'!V868&gt;=2,"C",IF('Data Source'!V868&gt;=1,"D","F")))))))</f>
        <v/>
      </c>
      <c r="E868" s="3">
        <f>IF('Data Source'!B868="","",IF('Data Source'!W868&gt;=5,"A+",IF('Data Source'!W868&gt;=4,"A",IF('Data Source'!W868&gt;=3.5,"A-",IF('Data Source'!W868&gt;=3,"B",IF('Data Source'!W868&gt;=2,"C",IF('Data Source'!W868&gt;=1,"D","F")))))))</f>
        <v/>
      </c>
      <c r="F868" s="3">
        <f>IF('Data Source'!B868="","",IF('Data Source'!X868&gt;=5,"A+",IF('Data Source'!X868&gt;=4,"A",IF('Data Source'!X868&gt;=3.5,"A-",IF('Data Source'!X868&gt;=3,"B",IF('Data Source'!X868&gt;=2,"C",IF('Data Source'!X868&gt;=1,"D","F")))))))</f>
        <v/>
      </c>
      <c r="G868" s="3">
        <f>IF('Data Source'!B868="","",IF('Data Source'!Y868&gt;=5,"A+",IF('Data Source'!Y868&gt;=4,"A",IF('Data Source'!Y868&gt;=3.5,"A-",IF('Data Source'!Y868&gt;=3,"B",IF('Data Source'!Y868&gt;=2,"C",IF('Data Source'!Y868&gt;=1,"D","F")))))))</f>
        <v/>
      </c>
      <c r="H868" s="3">
        <f>IF('Data Source'!B868="","",IF('Data Source'!Z868&gt;=5,"A+",IF('Data Source'!Z868&gt;=4,"A",IF('Data Source'!Z868&gt;=3.5,"A-",IF('Data Source'!Z868&gt;=3,"B",IF('Data Source'!Z868&gt;=2,"C",IF('Data Source'!Z868&gt;=1,"D","F")))))))</f>
        <v/>
      </c>
      <c r="I868" s="3">
        <f>IF('Data Source'!B868="","",IF('Data Source'!AA868&gt;=5,"A+",IF('Data Source'!AA868&gt;=4,"A",IF('Data Source'!AA868&gt;=3.5,"A-",IF('Data Source'!AA868&gt;=3,"B",IF('Data Source'!AA868&gt;=2,"C",IF('Data Source'!AA868&gt;=1,"D","F")))))))</f>
        <v/>
      </c>
      <c r="J868" s="3">
        <f>IF('Data Source'!B868="","",IF('Data Source'!AB868&gt;=5,"A+",IF('Data Source'!AB868&gt;=4,"A",IF('Data Source'!AB868&gt;=3.5,"A-",IF('Data Source'!AB868&gt;=3,"B",IF('Data Source'!AB868&gt;=2,"C",IF('Data Source'!AB868&gt;=1,"D","F")))))))</f>
        <v/>
      </c>
      <c r="K868" s="3">
        <f>IF('Data Source'!B868="","",IF('Data Source'!AC868&gt;=5,"A+",IF('Data Source'!AC868&gt;=4,"A",IF('Data Source'!AC868&gt;=3.5,"A-",IF('Data Source'!AC868&gt;=3,"B",IF('Data Source'!AC868&gt;=2,"C",IF('Data Source'!AC868&gt;=1,"D","F")))))))</f>
        <v/>
      </c>
      <c r="L868" s="3">
        <f>IF('Data Source'!B868="","",IF('Data Source'!AD868&gt;=5,"A+",IF('Data Source'!AD868&gt;=4,"A",IF('Data Source'!AD868&gt;=3.5,"A-",IF('Data Source'!AD868&gt;=3,"B",IF('Data Source'!AD868&gt;=2,"C",IF('Data Source'!AD868&gt;=1,"D","F")))))))</f>
        <v/>
      </c>
      <c r="M868" s="3">
        <f>IF('Data Source'!B868="","",IF('Data Source'!AE868&gt;=5,"A+",IF('Data Source'!AE868&gt;=4,"A",IF('Data Source'!AE868&gt;=3.5,"A-",IF('Data Source'!AE868&gt;=3,"B",IF('Data Source'!AE868&gt;=2,"C",IF('Data Source'!AE868&gt;=1,"D","F")))))))</f>
        <v/>
      </c>
      <c r="N868" s="3">
        <f>IF('Data Source'!B868="","",IF('Data Source'!AF868&gt;=5,"A+",IF('Data Source'!AF868&gt;=4,"A",IF('Data Source'!AF868&gt;=3.5,"A-",IF('Data Source'!AF868&gt;=3,"B",IF('Data Source'!AF868&gt;=2,"C",IF('Data Source'!AF868&gt;=1,"D","F")))))))</f>
        <v/>
      </c>
      <c r="O868" s="3">
        <f>IF('Data Source'!B868="","",IF('Data Source'!AG868&gt;=5,"A+",IF('Data Source'!AG868&gt;=4,"A",IF('Data Source'!AG868&gt;=3.5,"A-",IF('Data Source'!AG868&gt;=3,"B",IF('Data Source'!AG868&gt;=2,"C",IF('Data Source'!AG868&gt;=1,"D","F")))))))</f>
        <v/>
      </c>
      <c r="P868" s="5">
        <f>IF('Data Source'!B868="","",'Data Source'!R868)</f>
        <v/>
      </c>
      <c r="Q868" s="3">
        <f>IF('Data Source'!B868="","",'Data Source'!S868)</f>
        <v/>
      </c>
    </row>
    <row r="869">
      <c r="A869" s="3">
        <f>IF('Data Source'!B869="","",'Data Source'!A869)</f>
        <v/>
      </c>
      <c r="B869">
        <f>IF('Data Source'!B869="","",'Data Source'!B869)</f>
        <v/>
      </c>
      <c r="C869" s="3">
        <f>IF('Data Source'!B869="","",IF('Data Source'!U869&gt;=5,"A+",IF('Data Source'!U869&gt;=4,"A",IF('Data Source'!U869&gt;=3.5,"A-",IF('Data Source'!U869&gt;=3,"B",IF('Data Source'!U869&gt;=2,"C",IF('Data Source'!U869&gt;=1,"D","F")))))))</f>
        <v/>
      </c>
      <c r="D869" s="3">
        <f>IF('Data Source'!B869="","",IF('Data Source'!V869&gt;=5,"A+",IF('Data Source'!V869&gt;=4,"A",IF('Data Source'!V869&gt;=3.5,"A-",IF('Data Source'!V869&gt;=3,"B",IF('Data Source'!V869&gt;=2,"C",IF('Data Source'!V869&gt;=1,"D","F")))))))</f>
        <v/>
      </c>
      <c r="E869" s="3">
        <f>IF('Data Source'!B869="","",IF('Data Source'!W869&gt;=5,"A+",IF('Data Source'!W869&gt;=4,"A",IF('Data Source'!W869&gt;=3.5,"A-",IF('Data Source'!W869&gt;=3,"B",IF('Data Source'!W869&gt;=2,"C",IF('Data Source'!W869&gt;=1,"D","F")))))))</f>
        <v/>
      </c>
      <c r="F869" s="3">
        <f>IF('Data Source'!B869="","",IF('Data Source'!X869&gt;=5,"A+",IF('Data Source'!X869&gt;=4,"A",IF('Data Source'!X869&gt;=3.5,"A-",IF('Data Source'!X869&gt;=3,"B",IF('Data Source'!X869&gt;=2,"C",IF('Data Source'!X869&gt;=1,"D","F")))))))</f>
        <v/>
      </c>
      <c r="G869" s="3">
        <f>IF('Data Source'!B869="","",IF('Data Source'!Y869&gt;=5,"A+",IF('Data Source'!Y869&gt;=4,"A",IF('Data Source'!Y869&gt;=3.5,"A-",IF('Data Source'!Y869&gt;=3,"B",IF('Data Source'!Y869&gt;=2,"C",IF('Data Source'!Y869&gt;=1,"D","F")))))))</f>
        <v/>
      </c>
      <c r="H869" s="3">
        <f>IF('Data Source'!B869="","",IF('Data Source'!Z869&gt;=5,"A+",IF('Data Source'!Z869&gt;=4,"A",IF('Data Source'!Z869&gt;=3.5,"A-",IF('Data Source'!Z869&gt;=3,"B",IF('Data Source'!Z869&gt;=2,"C",IF('Data Source'!Z869&gt;=1,"D","F")))))))</f>
        <v/>
      </c>
      <c r="I869" s="3">
        <f>IF('Data Source'!B869="","",IF('Data Source'!AA869&gt;=5,"A+",IF('Data Source'!AA869&gt;=4,"A",IF('Data Source'!AA869&gt;=3.5,"A-",IF('Data Source'!AA869&gt;=3,"B",IF('Data Source'!AA869&gt;=2,"C",IF('Data Source'!AA869&gt;=1,"D","F")))))))</f>
        <v/>
      </c>
      <c r="J869" s="3">
        <f>IF('Data Source'!B869="","",IF('Data Source'!AB869&gt;=5,"A+",IF('Data Source'!AB869&gt;=4,"A",IF('Data Source'!AB869&gt;=3.5,"A-",IF('Data Source'!AB869&gt;=3,"B",IF('Data Source'!AB869&gt;=2,"C",IF('Data Source'!AB869&gt;=1,"D","F")))))))</f>
        <v/>
      </c>
      <c r="K869" s="3">
        <f>IF('Data Source'!B869="","",IF('Data Source'!AC869&gt;=5,"A+",IF('Data Source'!AC869&gt;=4,"A",IF('Data Source'!AC869&gt;=3.5,"A-",IF('Data Source'!AC869&gt;=3,"B",IF('Data Source'!AC869&gt;=2,"C",IF('Data Source'!AC869&gt;=1,"D","F")))))))</f>
        <v/>
      </c>
      <c r="L869" s="3">
        <f>IF('Data Source'!B869="","",IF('Data Source'!AD869&gt;=5,"A+",IF('Data Source'!AD869&gt;=4,"A",IF('Data Source'!AD869&gt;=3.5,"A-",IF('Data Source'!AD869&gt;=3,"B",IF('Data Source'!AD869&gt;=2,"C",IF('Data Source'!AD869&gt;=1,"D","F")))))))</f>
        <v/>
      </c>
      <c r="M869" s="3">
        <f>IF('Data Source'!B869="","",IF('Data Source'!AE869&gt;=5,"A+",IF('Data Source'!AE869&gt;=4,"A",IF('Data Source'!AE869&gt;=3.5,"A-",IF('Data Source'!AE869&gt;=3,"B",IF('Data Source'!AE869&gt;=2,"C",IF('Data Source'!AE869&gt;=1,"D","F")))))))</f>
        <v/>
      </c>
      <c r="N869" s="3">
        <f>IF('Data Source'!B869="","",IF('Data Source'!AF869&gt;=5,"A+",IF('Data Source'!AF869&gt;=4,"A",IF('Data Source'!AF869&gt;=3.5,"A-",IF('Data Source'!AF869&gt;=3,"B",IF('Data Source'!AF869&gt;=2,"C",IF('Data Source'!AF869&gt;=1,"D","F")))))))</f>
        <v/>
      </c>
      <c r="O869" s="3">
        <f>IF('Data Source'!B869="","",IF('Data Source'!AG869&gt;=5,"A+",IF('Data Source'!AG869&gt;=4,"A",IF('Data Source'!AG869&gt;=3.5,"A-",IF('Data Source'!AG869&gt;=3,"B",IF('Data Source'!AG869&gt;=2,"C",IF('Data Source'!AG869&gt;=1,"D","F")))))))</f>
        <v/>
      </c>
      <c r="P869" s="5">
        <f>IF('Data Source'!B869="","",'Data Source'!R869)</f>
        <v/>
      </c>
      <c r="Q869" s="3">
        <f>IF('Data Source'!B869="","",'Data Source'!S869)</f>
        <v/>
      </c>
    </row>
    <row r="870">
      <c r="A870" s="3">
        <f>IF('Data Source'!B870="","",'Data Source'!A870)</f>
        <v/>
      </c>
      <c r="B870">
        <f>IF('Data Source'!B870="","",'Data Source'!B870)</f>
        <v/>
      </c>
      <c r="C870" s="3">
        <f>IF('Data Source'!B870="","",IF('Data Source'!U870&gt;=5,"A+",IF('Data Source'!U870&gt;=4,"A",IF('Data Source'!U870&gt;=3.5,"A-",IF('Data Source'!U870&gt;=3,"B",IF('Data Source'!U870&gt;=2,"C",IF('Data Source'!U870&gt;=1,"D","F")))))))</f>
        <v/>
      </c>
      <c r="D870" s="3">
        <f>IF('Data Source'!B870="","",IF('Data Source'!V870&gt;=5,"A+",IF('Data Source'!V870&gt;=4,"A",IF('Data Source'!V870&gt;=3.5,"A-",IF('Data Source'!V870&gt;=3,"B",IF('Data Source'!V870&gt;=2,"C",IF('Data Source'!V870&gt;=1,"D","F")))))))</f>
        <v/>
      </c>
      <c r="E870" s="3">
        <f>IF('Data Source'!B870="","",IF('Data Source'!W870&gt;=5,"A+",IF('Data Source'!W870&gt;=4,"A",IF('Data Source'!W870&gt;=3.5,"A-",IF('Data Source'!W870&gt;=3,"B",IF('Data Source'!W870&gt;=2,"C",IF('Data Source'!W870&gt;=1,"D","F")))))))</f>
        <v/>
      </c>
      <c r="F870" s="3">
        <f>IF('Data Source'!B870="","",IF('Data Source'!X870&gt;=5,"A+",IF('Data Source'!X870&gt;=4,"A",IF('Data Source'!X870&gt;=3.5,"A-",IF('Data Source'!X870&gt;=3,"B",IF('Data Source'!X870&gt;=2,"C",IF('Data Source'!X870&gt;=1,"D","F")))))))</f>
        <v/>
      </c>
      <c r="G870" s="3">
        <f>IF('Data Source'!B870="","",IF('Data Source'!Y870&gt;=5,"A+",IF('Data Source'!Y870&gt;=4,"A",IF('Data Source'!Y870&gt;=3.5,"A-",IF('Data Source'!Y870&gt;=3,"B",IF('Data Source'!Y870&gt;=2,"C",IF('Data Source'!Y870&gt;=1,"D","F")))))))</f>
        <v/>
      </c>
      <c r="H870" s="3">
        <f>IF('Data Source'!B870="","",IF('Data Source'!Z870&gt;=5,"A+",IF('Data Source'!Z870&gt;=4,"A",IF('Data Source'!Z870&gt;=3.5,"A-",IF('Data Source'!Z870&gt;=3,"B",IF('Data Source'!Z870&gt;=2,"C",IF('Data Source'!Z870&gt;=1,"D","F")))))))</f>
        <v/>
      </c>
      <c r="I870" s="3">
        <f>IF('Data Source'!B870="","",IF('Data Source'!AA870&gt;=5,"A+",IF('Data Source'!AA870&gt;=4,"A",IF('Data Source'!AA870&gt;=3.5,"A-",IF('Data Source'!AA870&gt;=3,"B",IF('Data Source'!AA870&gt;=2,"C",IF('Data Source'!AA870&gt;=1,"D","F")))))))</f>
        <v/>
      </c>
      <c r="J870" s="3">
        <f>IF('Data Source'!B870="","",IF('Data Source'!AB870&gt;=5,"A+",IF('Data Source'!AB870&gt;=4,"A",IF('Data Source'!AB870&gt;=3.5,"A-",IF('Data Source'!AB870&gt;=3,"B",IF('Data Source'!AB870&gt;=2,"C",IF('Data Source'!AB870&gt;=1,"D","F")))))))</f>
        <v/>
      </c>
      <c r="K870" s="3">
        <f>IF('Data Source'!B870="","",IF('Data Source'!AC870&gt;=5,"A+",IF('Data Source'!AC870&gt;=4,"A",IF('Data Source'!AC870&gt;=3.5,"A-",IF('Data Source'!AC870&gt;=3,"B",IF('Data Source'!AC870&gt;=2,"C",IF('Data Source'!AC870&gt;=1,"D","F")))))))</f>
        <v/>
      </c>
      <c r="L870" s="3">
        <f>IF('Data Source'!B870="","",IF('Data Source'!AD870&gt;=5,"A+",IF('Data Source'!AD870&gt;=4,"A",IF('Data Source'!AD870&gt;=3.5,"A-",IF('Data Source'!AD870&gt;=3,"B",IF('Data Source'!AD870&gt;=2,"C",IF('Data Source'!AD870&gt;=1,"D","F")))))))</f>
        <v/>
      </c>
      <c r="M870" s="3">
        <f>IF('Data Source'!B870="","",IF('Data Source'!AE870&gt;=5,"A+",IF('Data Source'!AE870&gt;=4,"A",IF('Data Source'!AE870&gt;=3.5,"A-",IF('Data Source'!AE870&gt;=3,"B",IF('Data Source'!AE870&gt;=2,"C",IF('Data Source'!AE870&gt;=1,"D","F")))))))</f>
        <v/>
      </c>
      <c r="N870" s="3">
        <f>IF('Data Source'!B870="","",IF('Data Source'!AF870&gt;=5,"A+",IF('Data Source'!AF870&gt;=4,"A",IF('Data Source'!AF870&gt;=3.5,"A-",IF('Data Source'!AF870&gt;=3,"B",IF('Data Source'!AF870&gt;=2,"C",IF('Data Source'!AF870&gt;=1,"D","F")))))))</f>
        <v/>
      </c>
      <c r="O870" s="3">
        <f>IF('Data Source'!B870="","",IF('Data Source'!AG870&gt;=5,"A+",IF('Data Source'!AG870&gt;=4,"A",IF('Data Source'!AG870&gt;=3.5,"A-",IF('Data Source'!AG870&gt;=3,"B",IF('Data Source'!AG870&gt;=2,"C",IF('Data Source'!AG870&gt;=1,"D","F")))))))</f>
        <v/>
      </c>
      <c r="P870" s="5">
        <f>IF('Data Source'!B870="","",'Data Source'!R870)</f>
        <v/>
      </c>
      <c r="Q870" s="3">
        <f>IF('Data Source'!B870="","",'Data Source'!S870)</f>
        <v/>
      </c>
    </row>
    <row r="871">
      <c r="A871" s="3">
        <f>IF('Data Source'!B871="","",'Data Source'!A871)</f>
        <v/>
      </c>
      <c r="B871">
        <f>IF('Data Source'!B871="","",'Data Source'!B871)</f>
        <v/>
      </c>
      <c r="C871" s="3">
        <f>IF('Data Source'!B871="","",IF('Data Source'!U871&gt;=5,"A+",IF('Data Source'!U871&gt;=4,"A",IF('Data Source'!U871&gt;=3.5,"A-",IF('Data Source'!U871&gt;=3,"B",IF('Data Source'!U871&gt;=2,"C",IF('Data Source'!U871&gt;=1,"D","F")))))))</f>
        <v/>
      </c>
      <c r="D871" s="3">
        <f>IF('Data Source'!B871="","",IF('Data Source'!V871&gt;=5,"A+",IF('Data Source'!V871&gt;=4,"A",IF('Data Source'!V871&gt;=3.5,"A-",IF('Data Source'!V871&gt;=3,"B",IF('Data Source'!V871&gt;=2,"C",IF('Data Source'!V871&gt;=1,"D","F")))))))</f>
        <v/>
      </c>
      <c r="E871" s="3">
        <f>IF('Data Source'!B871="","",IF('Data Source'!W871&gt;=5,"A+",IF('Data Source'!W871&gt;=4,"A",IF('Data Source'!W871&gt;=3.5,"A-",IF('Data Source'!W871&gt;=3,"B",IF('Data Source'!W871&gt;=2,"C",IF('Data Source'!W871&gt;=1,"D","F")))))))</f>
        <v/>
      </c>
      <c r="F871" s="3">
        <f>IF('Data Source'!B871="","",IF('Data Source'!X871&gt;=5,"A+",IF('Data Source'!X871&gt;=4,"A",IF('Data Source'!X871&gt;=3.5,"A-",IF('Data Source'!X871&gt;=3,"B",IF('Data Source'!X871&gt;=2,"C",IF('Data Source'!X871&gt;=1,"D","F")))))))</f>
        <v/>
      </c>
      <c r="G871" s="3">
        <f>IF('Data Source'!B871="","",IF('Data Source'!Y871&gt;=5,"A+",IF('Data Source'!Y871&gt;=4,"A",IF('Data Source'!Y871&gt;=3.5,"A-",IF('Data Source'!Y871&gt;=3,"B",IF('Data Source'!Y871&gt;=2,"C",IF('Data Source'!Y871&gt;=1,"D","F")))))))</f>
        <v/>
      </c>
      <c r="H871" s="3">
        <f>IF('Data Source'!B871="","",IF('Data Source'!Z871&gt;=5,"A+",IF('Data Source'!Z871&gt;=4,"A",IF('Data Source'!Z871&gt;=3.5,"A-",IF('Data Source'!Z871&gt;=3,"B",IF('Data Source'!Z871&gt;=2,"C",IF('Data Source'!Z871&gt;=1,"D","F")))))))</f>
        <v/>
      </c>
      <c r="I871" s="3">
        <f>IF('Data Source'!B871="","",IF('Data Source'!AA871&gt;=5,"A+",IF('Data Source'!AA871&gt;=4,"A",IF('Data Source'!AA871&gt;=3.5,"A-",IF('Data Source'!AA871&gt;=3,"B",IF('Data Source'!AA871&gt;=2,"C",IF('Data Source'!AA871&gt;=1,"D","F")))))))</f>
        <v/>
      </c>
      <c r="J871" s="3">
        <f>IF('Data Source'!B871="","",IF('Data Source'!AB871&gt;=5,"A+",IF('Data Source'!AB871&gt;=4,"A",IF('Data Source'!AB871&gt;=3.5,"A-",IF('Data Source'!AB871&gt;=3,"B",IF('Data Source'!AB871&gt;=2,"C",IF('Data Source'!AB871&gt;=1,"D","F")))))))</f>
        <v/>
      </c>
      <c r="K871" s="3">
        <f>IF('Data Source'!B871="","",IF('Data Source'!AC871&gt;=5,"A+",IF('Data Source'!AC871&gt;=4,"A",IF('Data Source'!AC871&gt;=3.5,"A-",IF('Data Source'!AC871&gt;=3,"B",IF('Data Source'!AC871&gt;=2,"C",IF('Data Source'!AC871&gt;=1,"D","F")))))))</f>
        <v/>
      </c>
      <c r="L871" s="3">
        <f>IF('Data Source'!B871="","",IF('Data Source'!AD871&gt;=5,"A+",IF('Data Source'!AD871&gt;=4,"A",IF('Data Source'!AD871&gt;=3.5,"A-",IF('Data Source'!AD871&gt;=3,"B",IF('Data Source'!AD871&gt;=2,"C",IF('Data Source'!AD871&gt;=1,"D","F")))))))</f>
        <v/>
      </c>
      <c r="M871" s="3">
        <f>IF('Data Source'!B871="","",IF('Data Source'!AE871&gt;=5,"A+",IF('Data Source'!AE871&gt;=4,"A",IF('Data Source'!AE871&gt;=3.5,"A-",IF('Data Source'!AE871&gt;=3,"B",IF('Data Source'!AE871&gt;=2,"C",IF('Data Source'!AE871&gt;=1,"D","F")))))))</f>
        <v/>
      </c>
      <c r="N871" s="3">
        <f>IF('Data Source'!B871="","",IF('Data Source'!AF871&gt;=5,"A+",IF('Data Source'!AF871&gt;=4,"A",IF('Data Source'!AF871&gt;=3.5,"A-",IF('Data Source'!AF871&gt;=3,"B",IF('Data Source'!AF871&gt;=2,"C",IF('Data Source'!AF871&gt;=1,"D","F")))))))</f>
        <v/>
      </c>
      <c r="O871" s="3">
        <f>IF('Data Source'!B871="","",IF('Data Source'!AG871&gt;=5,"A+",IF('Data Source'!AG871&gt;=4,"A",IF('Data Source'!AG871&gt;=3.5,"A-",IF('Data Source'!AG871&gt;=3,"B",IF('Data Source'!AG871&gt;=2,"C",IF('Data Source'!AG871&gt;=1,"D","F")))))))</f>
        <v/>
      </c>
      <c r="P871" s="5">
        <f>IF('Data Source'!B871="","",'Data Source'!R871)</f>
        <v/>
      </c>
      <c r="Q871" s="3">
        <f>IF('Data Source'!B871="","",'Data Source'!S871)</f>
        <v/>
      </c>
    </row>
    <row r="872">
      <c r="A872" s="3">
        <f>IF('Data Source'!B872="","",'Data Source'!A872)</f>
        <v/>
      </c>
      <c r="B872">
        <f>IF('Data Source'!B872="","",'Data Source'!B872)</f>
        <v/>
      </c>
      <c r="C872" s="3">
        <f>IF('Data Source'!B872="","",IF('Data Source'!U872&gt;=5,"A+",IF('Data Source'!U872&gt;=4,"A",IF('Data Source'!U872&gt;=3.5,"A-",IF('Data Source'!U872&gt;=3,"B",IF('Data Source'!U872&gt;=2,"C",IF('Data Source'!U872&gt;=1,"D","F")))))))</f>
        <v/>
      </c>
      <c r="D872" s="3">
        <f>IF('Data Source'!B872="","",IF('Data Source'!V872&gt;=5,"A+",IF('Data Source'!V872&gt;=4,"A",IF('Data Source'!V872&gt;=3.5,"A-",IF('Data Source'!V872&gt;=3,"B",IF('Data Source'!V872&gt;=2,"C",IF('Data Source'!V872&gt;=1,"D","F")))))))</f>
        <v/>
      </c>
      <c r="E872" s="3">
        <f>IF('Data Source'!B872="","",IF('Data Source'!W872&gt;=5,"A+",IF('Data Source'!W872&gt;=4,"A",IF('Data Source'!W872&gt;=3.5,"A-",IF('Data Source'!W872&gt;=3,"B",IF('Data Source'!W872&gt;=2,"C",IF('Data Source'!W872&gt;=1,"D","F")))))))</f>
        <v/>
      </c>
      <c r="F872" s="3">
        <f>IF('Data Source'!B872="","",IF('Data Source'!X872&gt;=5,"A+",IF('Data Source'!X872&gt;=4,"A",IF('Data Source'!X872&gt;=3.5,"A-",IF('Data Source'!X872&gt;=3,"B",IF('Data Source'!X872&gt;=2,"C",IF('Data Source'!X872&gt;=1,"D","F")))))))</f>
        <v/>
      </c>
      <c r="G872" s="3">
        <f>IF('Data Source'!B872="","",IF('Data Source'!Y872&gt;=5,"A+",IF('Data Source'!Y872&gt;=4,"A",IF('Data Source'!Y872&gt;=3.5,"A-",IF('Data Source'!Y872&gt;=3,"B",IF('Data Source'!Y872&gt;=2,"C",IF('Data Source'!Y872&gt;=1,"D","F")))))))</f>
        <v/>
      </c>
      <c r="H872" s="3">
        <f>IF('Data Source'!B872="","",IF('Data Source'!Z872&gt;=5,"A+",IF('Data Source'!Z872&gt;=4,"A",IF('Data Source'!Z872&gt;=3.5,"A-",IF('Data Source'!Z872&gt;=3,"B",IF('Data Source'!Z872&gt;=2,"C",IF('Data Source'!Z872&gt;=1,"D","F")))))))</f>
        <v/>
      </c>
      <c r="I872" s="3">
        <f>IF('Data Source'!B872="","",IF('Data Source'!AA872&gt;=5,"A+",IF('Data Source'!AA872&gt;=4,"A",IF('Data Source'!AA872&gt;=3.5,"A-",IF('Data Source'!AA872&gt;=3,"B",IF('Data Source'!AA872&gt;=2,"C",IF('Data Source'!AA872&gt;=1,"D","F")))))))</f>
        <v/>
      </c>
      <c r="J872" s="3">
        <f>IF('Data Source'!B872="","",IF('Data Source'!AB872&gt;=5,"A+",IF('Data Source'!AB872&gt;=4,"A",IF('Data Source'!AB872&gt;=3.5,"A-",IF('Data Source'!AB872&gt;=3,"B",IF('Data Source'!AB872&gt;=2,"C",IF('Data Source'!AB872&gt;=1,"D","F")))))))</f>
        <v/>
      </c>
      <c r="K872" s="3">
        <f>IF('Data Source'!B872="","",IF('Data Source'!AC872&gt;=5,"A+",IF('Data Source'!AC872&gt;=4,"A",IF('Data Source'!AC872&gt;=3.5,"A-",IF('Data Source'!AC872&gt;=3,"B",IF('Data Source'!AC872&gt;=2,"C",IF('Data Source'!AC872&gt;=1,"D","F")))))))</f>
        <v/>
      </c>
      <c r="L872" s="3">
        <f>IF('Data Source'!B872="","",IF('Data Source'!AD872&gt;=5,"A+",IF('Data Source'!AD872&gt;=4,"A",IF('Data Source'!AD872&gt;=3.5,"A-",IF('Data Source'!AD872&gt;=3,"B",IF('Data Source'!AD872&gt;=2,"C",IF('Data Source'!AD872&gt;=1,"D","F")))))))</f>
        <v/>
      </c>
      <c r="M872" s="3">
        <f>IF('Data Source'!B872="","",IF('Data Source'!AE872&gt;=5,"A+",IF('Data Source'!AE872&gt;=4,"A",IF('Data Source'!AE872&gt;=3.5,"A-",IF('Data Source'!AE872&gt;=3,"B",IF('Data Source'!AE872&gt;=2,"C",IF('Data Source'!AE872&gt;=1,"D","F")))))))</f>
        <v/>
      </c>
      <c r="N872" s="3">
        <f>IF('Data Source'!B872="","",IF('Data Source'!AF872&gt;=5,"A+",IF('Data Source'!AF872&gt;=4,"A",IF('Data Source'!AF872&gt;=3.5,"A-",IF('Data Source'!AF872&gt;=3,"B",IF('Data Source'!AF872&gt;=2,"C",IF('Data Source'!AF872&gt;=1,"D","F")))))))</f>
        <v/>
      </c>
      <c r="O872" s="3">
        <f>IF('Data Source'!B872="","",IF('Data Source'!AG872&gt;=5,"A+",IF('Data Source'!AG872&gt;=4,"A",IF('Data Source'!AG872&gt;=3.5,"A-",IF('Data Source'!AG872&gt;=3,"B",IF('Data Source'!AG872&gt;=2,"C",IF('Data Source'!AG872&gt;=1,"D","F")))))))</f>
        <v/>
      </c>
      <c r="P872" s="5">
        <f>IF('Data Source'!B872="","",'Data Source'!R872)</f>
        <v/>
      </c>
      <c r="Q872" s="3">
        <f>IF('Data Source'!B872="","",'Data Source'!S872)</f>
        <v/>
      </c>
    </row>
    <row r="873">
      <c r="A873" s="3">
        <f>IF('Data Source'!B873="","",'Data Source'!A873)</f>
        <v/>
      </c>
      <c r="B873">
        <f>IF('Data Source'!B873="","",'Data Source'!B873)</f>
        <v/>
      </c>
      <c r="C873" s="3">
        <f>IF('Data Source'!B873="","",IF('Data Source'!U873&gt;=5,"A+",IF('Data Source'!U873&gt;=4,"A",IF('Data Source'!U873&gt;=3.5,"A-",IF('Data Source'!U873&gt;=3,"B",IF('Data Source'!U873&gt;=2,"C",IF('Data Source'!U873&gt;=1,"D","F")))))))</f>
        <v/>
      </c>
      <c r="D873" s="3">
        <f>IF('Data Source'!B873="","",IF('Data Source'!V873&gt;=5,"A+",IF('Data Source'!V873&gt;=4,"A",IF('Data Source'!V873&gt;=3.5,"A-",IF('Data Source'!V873&gt;=3,"B",IF('Data Source'!V873&gt;=2,"C",IF('Data Source'!V873&gt;=1,"D","F")))))))</f>
        <v/>
      </c>
      <c r="E873" s="3">
        <f>IF('Data Source'!B873="","",IF('Data Source'!W873&gt;=5,"A+",IF('Data Source'!W873&gt;=4,"A",IF('Data Source'!W873&gt;=3.5,"A-",IF('Data Source'!W873&gt;=3,"B",IF('Data Source'!W873&gt;=2,"C",IF('Data Source'!W873&gt;=1,"D","F")))))))</f>
        <v/>
      </c>
      <c r="F873" s="3">
        <f>IF('Data Source'!B873="","",IF('Data Source'!X873&gt;=5,"A+",IF('Data Source'!X873&gt;=4,"A",IF('Data Source'!X873&gt;=3.5,"A-",IF('Data Source'!X873&gt;=3,"B",IF('Data Source'!X873&gt;=2,"C",IF('Data Source'!X873&gt;=1,"D","F")))))))</f>
        <v/>
      </c>
      <c r="G873" s="3">
        <f>IF('Data Source'!B873="","",IF('Data Source'!Y873&gt;=5,"A+",IF('Data Source'!Y873&gt;=4,"A",IF('Data Source'!Y873&gt;=3.5,"A-",IF('Data Source'!Y873&gt;=3,"B",IF('Data Source'!Y873&gt;=2,"C",IF('Data Source'!Y873&gt;=1,"D","F")))))))</f>
        <v/>
      </c>
      <c r="H873" s="3">
        <f>IF('Data Source'!B873="","",IF('Data Source'!Z873&gt;=5,"A+",IF('Data Source'!Z873&gt;=4,"A",IF('Data Source'!Z873&gt;=3.5,"A-",IF('Data Source'!Z873&gt;=3,"B",IF('Data Source'!Z873&gt;=2,"C",IF('Data Source'!Z873&gt;=1,"D","F")))))))</f>
        <v/>
      </c>
      <c r="I873" s="3">
        <f>IF('Data Source'!B873="","",IF('Data Source'!AA873&gt;=5,"A+",IF('Data Source'!AA873&gt;=4,"A",IF('Data Source'!AA873&gt;=3.5,"A-",IF('Data Source'!AA873&gt;=3,"B",IF('Data Source'!AA873&gt;=2,"C",IF('Data Source'!AA873&gt;=1,"D","F")))))))</f>
        <v/>
      </c>
      <c r="J873" s="3">
        <f>IF('Data Source'!B873="","",IF('Data Source'!AB873&gt;=5,"A+",IF('Data Source'!AB873&gt;=4,"A",IF('Data Source'!AB873&gt;=3.5,"A-",IF('Data Source'!AB873&gt;=3,"B",IF('Data Source'!AB873&gt;=2,"C",IF('Data Source'!AB873&gt;=1,"D","F")))))))</f>
        <v/>
      </c>
      <c r="K873" s="3">
        <f>IF('Data Source'!B873="","",IF('Data Source'!AC873&gt;=5,"A+",IF('Data Source'!AC873&gt;=4,"A",IF('Data Source'!AC873&gt;=3.5,"A-",IF('Data Source'!AC873&gt;=3,"B",IF('Data Source'!AC873&gt;=2,"C",IF('Data Source'!AC873&gt;=1,"D","F")))))))</f>
        <v/>
      </c>
      <c r="L873" s="3">
        <f>IF('Data Source'!B873="","",IF('Data Source'!AD873&gt;=5,"A+",IF('Data Source'!AD873&gt;=4,"A",IF('Data Source'!AD873&gt;=3.5,"A-",IF('Data Source'!AD873&gt;=3,"B",IF('Data Source'!AD873&gt;=2,"C",IF('Data Source'!AD873&gt;=1,"D","F")))))))</f>
        <v/>
      </c>
      <c r="M873" s="3">
        <f>IF('Data Source'!B873="","",IF('Data Source'!AE873&gt;=5,"A+",IF('Data Source'!AE873&gt;=4,"A",IF('Data Source'!AE873&gt;=3.5,"A-",IF('Data Source'!AE873&gt;=3,"B",IF('Data Source'!AE873&gt;=2,"C",IF('Data Source'!AE873&gt;=1,"D","F")))))))</f>
        <v/>
      </c>
      <c r="N873" s="3">
        <f>IF('Data Source'!B873="","",IF('Data Source'!AF873&gt;=5,"A+",IF('Data Source'!AF873&gt;=4,"A",IF('Data Source'!AF873&gt;=3.5,"A-",IF('Data Source'!AF873&gt;=3,"B",IF('Data Source'!AF873&gt;=2,"C",IF('Data Source'!AF873&gt;=1,"D","F")))))))</f>
        <v/>
      </c>
      <c r="O873" s="3">
        <f>IF('Data Source'!B873="","",IF('Data Source'!AG873&gt;=5,"A+",IF('Data Source'!AG873&gt;=4,"A",IF('Data Source'!AG873&gt;=3.5,"A-",IF('Data Source'!AG873&gt;=3,"B",IF('Data Source'!AG873&gt;=2,"C",IF('Data Source'!AG873&gt;=1,"D","F")))))))</f>
        <v/>
      </c>
      <c r="P873" s="5">
        <f>IF('Data Source'!B873="","",'Data Source'!R873)</f>
        <v/>
      </c>
      <c r="Q873" s="3">
        <f>IF('Data Source'!B873="","",'Data Source'!S873)</f>
        <v/>
      </c>
    </row>
    <row r="874">
      <c r="A874" s="3">
        <f>IF('Data Source'!B874="","",'Data Source'!A874)</f>
        <v/>
      </c>
      <c r="B874">
        <f>IF('Data Source'!B874="","",'Data Source'!B874)</f>
        <v/>
      </c>
      <c r="C874" s="3">
        <f>IF('Data Source'!B874="","",IF('Data Source'!U874&gt;=5,"A+",IF('Data Source'!U874&gt;=4,"A",IF('Data Source'!U874&gt;=3.5,"A-",IF('Data Source'!U874&gt;=3,"B",IF('Data Source'!U874&gt;=2,"C",IF('Data Source'!U874&gt;=1,"D","F")))))))</f>
        <v/>
      </c>
      <c r="D874" s="3">
        <f>IF('Data Source'!B874="","",IF('Data Source'!V874&gt;=5,"A+",IF('Data Source'!V874&gt;=4,"A",IF('Data Source'!V874&gt;=3.5,"A-",IF('Data Source'!V874&gt;=3,"B",IF('Data Source'!V874&gt;=2,"C",IF('Data Source'!V874&gt;=1,"D","F")))))))</f>
        <v/>
      </c>
      <c r="E874" s="3">
        <f>IF('Data Source'!B874="","",IF('Data Source'!W874&gt;=5,"A+",IF('Data Source'!W874&gt;=4,"A",IF('Data Source'!W874&gt;=3.5,"A-",IF('Data Source'!W874&gt;=3,"B",IF('Data Source'!W874&gt;=2,"C",IF('Data Source'!W874&gt;=1,"D","F")))))))</f>
        <v/>
      </c>
      <c r="F874" s="3">
        <f>IF('Data Source'!B874="","",IF('Data Source'!X874&gt;=5,"A+",IF('Data Source'!X874&gt;=4,"A",IF('Data Source'!X874&gt;=3.5,"A-",IF('Data Source'!X874&gt;=3,"B",IF('Data Source'!X874&gt;=2,"C",IF('Data Source'!X874&gt;=1,"D","F")))))))</f>
        <v/>
      </c>
      <c r="G874" s="3">
        <f>IF('Data Source'!B874="","",IF('Data Source'!Y874&gt;=5,"A+",IF('Data Source'!Y874&gt;=4,"A",IF('Data Source'!Y874&gt;=3.5,"A-",IF('Data Source'!Y874&gt;=3,"B",IF('Data Source'!Y874&gt;=2,"C",IF('Data Source'!Y874&gt;=1,"D","F")))))))</f>
        <v/>
      </c>
      <c r="H874" s="3">
        <f>IF('Data Source'!B874="","",IF('Data Source'!Z874&gt;=5,"A+",IF('Data Source'!Z874&gt;=4,"A",IF('Data Source'!Z874&gt;=3.5,"A-",IF('Data Source'!Z874&gt;=3,"B",IF('Data Source'!Z874&gt;=2,"C",IF('Data Source'!Z874&gt;=1,"D","F")))))))</f>
        <v/>
      </c>
      <c r="I874" s="3">
        <f>IF('Data Source'!B874="","",IF('Data Source'!AA874&gt;=5,"A+",IF('Data Source'!AA874&gt;=4,"A",IF('Data Source'!AA874&gt;=3.5,"A-",IF('Data Source'!AA874&gt;=3,"B",IF('Data Source'!AA874&gt;=2,"C",IF('Data Source'!AA874&gt;=1,"D","F")))))))</f>
        <v/>
      </c>
      <c r="J874" s="3">
        <f>IF('Data Source'!B874="","",IF('Data Source'!AB874&gt;=5,"A+",IF('Data Source'!AB874&gt;=4,"A",IF('Data Source'!AB874&gt;=3.5,"A-",IF('Data Source'!AB874&gt;=3,"B",IF('Data Source'!AB874&gt;=2,"C",IF('Data Source'!AB874&gt;=1,"D","F")))))))</f>
        <v/>
      </c>
      <c r="K874" s="3">
        <f>IF('Data Source'!B874="","",IF('Data Source'!AC874&gt;=5,"A+",IF('Data Source'!AC874&gt;=4,"A",IF('Data Source'!AC874&gt;=3.5,"A-",IF('Data Source'!AC874&gt;=3,"B",IF('Data Source'!AC874&gt;=2,"C",IF('Data Source'!AC874&gt;=1,"D","F")))))))</f>
        <v/>
      </c>
      <c r="L874" s="3">
        <f>IF('Data Source'!B874="","",IF('Data Source'!AD874&gt;=5,"A+",IF('Data Source'!AD874&gt;=4,"A",IF('Data Source'!AD874&gt;=3.5,"A-",IF('Data Source'!AD874&gt;=3,"B",IF('Data Source'!AD874&gt;=2,"C",IF('Data Source'!AD874&gt;=1,"D","F")))))))</f>
        <v/>
      </c>
      <c r="M874" s="3">
        <f>IF('Data Source'!B874="","",IF('Data Source'!AE874&gt;=5,"A+",IF('Data Source'!AE874&gt;=4,"A",IF('Data Source'!AE874&gt;=3.5,"A-",IF('Data Source'!AE874&gt;=3,"B",IF('Data Source'!AE874&gt;=2,"C",IF('Data Source'!AE874&gt;=1,"D","F")))))))</f>
        <v/>
      </c>
      <c r="N874" s="3">
        <f>IF('Data Source'!B874="","",IF('Data Source'!AF874&gt;=5,"A+",IF('Data Source'!AF874&gt;=4,"A",IF('Data Source'!AF874&gt;=3.5,"A-",IF('Data Source'!AF874&gt;=3,"B",IF('Data Source'!AF874&gt;=2,"C",IF('Data Source'!AF874&gt;=1,"D","F")))))))</f>
        <v/>
      </c>
      <c r="O874" s="3">
        <f>IF('Data Source'!B874="","",IF('Data Source'!AG874&gt;=5,"A+",IF('Data Source'!AG874&gt;=4,"A",IF('Data Source'!AG874&gt;=3.5,"A-",IF('Data Source'!AG874&gt;=3,"B",IF('Data Source'!AG874&gt;=2,"C",IF('Data Source'!AG874&gt;=1,"D","F")))))))</f>
        <v/>
      </c>
      <c r="P874" s="5">
        <f>IF('Data Source'!B874="","",'Data Source'!R874)</f>
        <v/>
      </c>
      <c r="Q874" s="3">
        <f>IF('Data Source'!B874="","",'Data Source'!S874)</f>
        <v/>
      </c>
    </row>
    <row r="875">
      <c r="A875" s="3">
        <f>IF('Data Source'!B875="","",'Data Source'!A875)</f>
        <v/>
      </c>
      <c r="B875">
        <f>IF('Data Source'!B875="","",'Data Source'!B875)</f>
        <v/>
      </c>
      <c r="C875" s="3">
        <f>IF('Data Source'!B875="","",IF('Data Source'!U875&gt;=5,"A+",IF('Data Source'!U875&gt;=4,"A",IF('Data Source'!U875&gt;=3.5,"A-",IF('Data Source'!U875&gt;=3,"B",IF('Data Source'!U875&gt;=2,"C",IF('Data Source'!U875&gt;=1,"D","F")))))))</f>
        <v/>
      </c>
      <c r="D875" s="3">
        <f>IF('Data Source'!B875="","",IF('Data Source'!V875&gt;=5,"A+",IF('Data Source'!V875&gt;=4,"A",IF('Data Source'!V875&gt;=3.5,"A-",IF('Data Source'!V875&gt;=3,"B",IF('Data Source'!V875&gt;=2,"C",IF('Data Source'!V875&gt;=1,"D","F")))))))</f>
        <v/>
      </c>
      <c r="E875" s="3">
        <f>IF('Data Source'!B875="","",IF('Data Source'!W875&gt;=5,"A+",IF('Data Source'!W875&gt;=4,"A",IF('Data Source'!W875&gt;=3.5,"A-",IF('Data Source'!W875&gt;=3,"B",IF('Data Source'!W875&gt;=2,"C",IF('Data Source'!W875&gt;=1,"D","F")))))))</f>
        <v/>
      </c>
      <c r="F875" s="3">
        <f>IF('Data Source'!B875="","",IF('Data Source'!X875&gt;=5,"A+",IF('Data Source'!X875&gt;=4,"A",IF('Data Source'!X875&gt;=3.5,"A-",IF('Data Source'!X875&gt;=3,"B",IF('Data Source'!X875&gt;=2,"C",IF('Data Source'!X875&gt;=1,"D","F")))))))</f>
        <v/>
      </c>
      <c r="G875" s="3">
        <f>IF('Data Source'!B875="","",IF('Data Source'!Y875&gt;=5,"A+",IF('Data Source'!Y875&gt;=4,"A",IF('Data Source'!Y875&gt;=3.5,"A-",IF('Data Source'!Y875&gt;=3,"B",IF('Data Source'!Y875&gt;=2,"C",IF('Data Source'!Y875&gt;=1,"D","F")))))))</f>
        <v/>
      </c>
      <c r="H875" s="3">
        <f>IF('Data Source'!B875="","",IF('Data Source'!Z875&gt;=5,"A+",IF('Data Source'!Z875&gt;=4,"A",IF('Data Source'!Z875&gt;=3.5,"A-",IF('Data Source'!Z875&gt;=3,"B",IF('Data Source'!Z875&gt;=2,"C",IF('Data Source'!Z875&gt;=1,"D","F")))))))</f>
        <v/>
      </c>
      <c r="I875" s="3">
        <f>IF('Data Source'!B875="","",IF('Data Source'!AA875&gt;=5,"A+",IF('Data Source'!AA875&gt;=4,"A",IF('Data Source'!AA875&gt;=3.5,"A-",IF('Data Source'!AA875&gt;=3,"B",IF('Data Source'!AA875&gt;=2,"C",IF('Data Source'!AA875&gt;=1,"D","F")))))))</f>
        <v/>
      </c>
      <c r="J875" s="3">
        <f>IF('Data Source'!B875="","",IF('Data Source'!AB875&gt;=5,"A+",IF('Data Source'!AB875&gt;=4,"A",IF('Data Source'!AB875&gt;=3.5,"A-",IF('Data Source'!AB875&gt;=3,"B",IF('Data Source'!AB875&gt;=2,"C",IF('Data Source'!AB875&gt;=1,"D","F")))))))</f>
        <v/>
      </c>
      <c r="K875" s="3">
        <f>IF('Data Source'!B875="","",IF('Data Source'!AC875&gt;=5,"A+",IF('Data Source'!AC875&gt;=4,"A",IF('Data Source'!AC875&gt;=3.5,"A-",IF('Data Source'!AC875&gt;=3,"B",IF('Data Source'!AC875&gt;=2,"C",IF('Data Source'!AC875&gt;=1,"D","F")))))))</f>
        <v/>
      </c>
      <c r="L875" s="3">
        <f>IF('Data Source'!B875="","",IF('Data Source'!AD875&gt;=5,"A+",IF('Data Source'!AD875&gt;=4,"A",IF('Data Source'!AD875&gt;=3.5,"A-",IF('Data Source'!AD875&gt;=3,"B",IF('Data Source'!AD875&gt;=2,"C",IF('Data Source'!AD875&gt;=1,"D","F")))))))</f>
        <v/>
      </c>
      <c r="M875" s="3">
        <f>IF('Data Source'!B875="","",IF('Data Source'!AE875&gt;=5,"A+",IF('Data Source'!AE875&gt;=4,"A",IF('Data Source'!AE875&gt;=3.5,"A-",IF('Data Source'!AE875&gt;=3,"B",IF('Data Source'!AE875&gt;=2,"C",IF('Data Source'!AE875&gt;=1,"D","F")))))))</f>
        <v/>
      </c>
      <c r="N875" s="3">
        <f>IF('Data Source'!B875="","",IF('Data Source'!AF875&gt;=5,"A+",IF('Data Source'!AF875&gt;=4,"A",IF('Data Source'!AF875&gt;=3.5,"A-",IF('Data Source'!AF875&gt;=3,"B",IF('Data Source'!AF875&gt;=2,"C",IF('Data Source'!AF875&gt;=1,"D","F")))))))</f>
        <v/>
      </c>
      <c r="O875" s="3">
        <f>IF('Data Source'!B875="","",IF('Data Source'!AG875&gt;=5,"A+",IF('Data Source'!AG875&gt;=4,"A",IF('Data Source'!AG875&gt;=3.5,"A-",IF('Data Source'!AG875&gt;=3,"B",IF('Data Source'!AG875&gt;=2,"C",IF('Data Source'!AG875&gt;=1,"D","F")))))))</f>
        <v/>
      </c>
      <c r="P875" s="5">
        <f>IF('Data Source'!B875="","",'Data Source'!R875)</f>
        <v/>
      </c>
      <c r="Q875" s="3">
        <f>IF('Data Source'!B875="","",'Data Source'!S875)</f>
        <v/>
      </c>
    </row>
    <row r="876">
      <c r="A876" s="3">
        <f>IF('Data Source'!B876="","",'Data Source'!A876)</f>
        <v/>
      </c>
      <c r="B876">
        <f>IF('Data Source'!B876="","",'Data Source'!B876)</f>
        <v/>
      </c>
      <c r="C876" s="3">
        <f>IF('Data Source'!B876="","",IF('Data Source'!U876&gt;=5,"A+",IF('Data Source'!U876&gt;=4,"A",IF('Data Source'!U876&gt;=3.5,"A-",IF('Data Source'!U876&gt;=3,"B",IF('Data Source'!U876&gt;=2,"C",IF('Data Source'!U876&gt;=1,"D","F")))))))</f>
        <v/>
      </c>
      <c r="D876" s="3">
        <f>IF('Data Source'!B876="","",IF('Data Source'!V876&gt;=5,"A+",IF('Data Source'!V876&gt;=4,"A",IF('Data Source'!V876&gt;=3.5,"A-",IF('Data Source'!V876&gt;=3,"B",IF('Data Source'!V876&gt;=2,"C",IF('Data Source'!V876&gt;=1,"D","F")))))))</f>
        <v/>
      </c>
      <c r="E876" s="3">
        <f>IF('Data Source'!B876="","",IF('Data Source'!W876&gt;=5,"A+",IF('Data Source'!W876&gt;=4,"A",IF('Data Source'!W876&gt;=3.5,"A-",IF('Data Source'!W876&gt;=3,"B",IF('Data Source'!W876&gt;=2,"C",IF('Data Source'!W876&gt;=1,"D","F")))))))</f>
        <v/>
      </c>
      <c r="F876" s="3">
        <f>IF('Data Source'!B876="","",IF('Data Source'!X876&gt;=5,"A+",IF('Data Source'!X876&gt;=4,"A",IF('Data Source'!X876&gt;=3.5,"A-",IF('Data Source'!X876&gt;=3,"B",IF('Data Source'!X876&gt;=2,"C",IF('Data Source'!X876&gt;=1,"D","F")))))))</f>
        <v/>
      </c>
      <c r="G876" s="3">
        <f>IF('Data Source'!B876="","",IF('Data Source'!Y876&gt;=5,"A+",IF('Data Source'!Y876&gt;=4,"A",IF('Data Source'!Y876&gt;=3.5,"A-",IF('Data Source'!Y876&gt;=3,"B",IF('Data Source'!Y876&gt;=2,"C",IF('Data Source'!Y876&gt;=1,"D","F")))))))</f>
        <v/>
      </c>
      <c r="H876" s="3">
        <f>IF('Data Source'!B876="","",IF('Data Source'!Z876&gt;=5,"A+",IF('Data Source'!Z876&gt;=4,"A",IF('Data Source'!Z876&gt;=3.5,"A-",IF('Data Source'!Z876&gt;=3,"B",IF('Data Source'!Z876&gt;=2,"C",IF('Data Source'!Z876&gt;=1,"D","F")))))))</f>
        <v/>
      </c>
      <c r="I876" s="3">
        <f>IF('Data Source'!B876="","",IF('Data Source'!AA876&gt;=5,"A+",IF('Data Source'!AA876&gt;=4,"A",IF('Data Source'!AA876&gt;=3.5,"A-",IF('Data Source'!AA876&gt;=3,"B",IF('Data Source'!AA876&gt;=2,"C",IF('Data Source'!AA876&gt;=1,"D","F")))))))</f>
        <v/>
      </c>
      <c r="J876" s="3">
        <f>IF('Data Source'!B876="","",IF('Data Source'!AB876&gt;=5,"A+",IF('Data Source'!AB876&gt;=4,"A",IF('Data Source'!AB876&gt;=3.5,"A-",IF('Data Source'!AB876&gt;=3,"B",IF('Data Source'!AB876&gt;=2,"C",IF('Data Source'!AB876&gt;=1,"D","F")))))))</f>
        <v/>
      </c>
      <c r="K876" s="3">
        <f>IF('Data Source'!B876="","",IF('Data Source'!AC876&gt;=5,"A+",IF('Data Source'!AC876&gt;=4,"A",IF('Data Source'!AC876&gt;=3.5,"A-",IF('Data Source'!AC876&gt;=3,"B",IF('Data Source'!AC876&gt;=2,"C",IF('Data Source'!AC876&gt;=1,"D","F")))))))</f>
        <v/>
      </c>
      <c r="L876" s="3">
        <f>IF('Data Source'!B876="","",IF('Data Source'!AD876&gt;=5,"A+",IF('Data Source'!AD876&gt;=4,"A",IF('Data Source'!AD876&gt;=3.5,"A-",IF('Data Source'!AD876&gt;=3,"B",IF('Data Source'!AD876&gt;=2,"C",IF('Data Source'!AD876&gt;=1,"D","F")))))))</f>
        <v/>
      </c>
      <c r="M876" s="3">
        <f>IF('Data Source'!B876="","",IF('Data Source'!AE876&gt;=5,"A+",IF('Data Source'!AE876&gt;=4,"A",IF('Data Source'!AE876&gt;=3.5,"A-",IF('Data Source'!AE876&gt;=3,"B",IF('Data Source'!AE876&gt;=2,"C",IF('Data Source'!AE876&gt;=1,"D","F")))))))</f>
        <v/>
      </c>
      <c r="N876" s="3">
        <f>IF('Data Source'!B876="","",IF('Data Source'!AF876&gt;=5,"A+",IF('Data Source'!AF876&gt;=4,"A",IF('Data Source'!AF876&gt;=3.5,"A-",IF('Data Source'!AF876&gt;=3,"B",IF('Data Source'!AF876&gt;=2,"C",IF('Data Source'!AF876&gt;=1,"D","F")))))))</f>
        <v/>
      </c>
      <c r="O876" s="3">
        <f>IF('Data Source'!B876="","",IF('Data Source'!AG876&gt;=5,"A+",IF('Data Source'!AG876&gt;=4,"A",IF('Data Source'!AG876&gt;=3.5,"A-",IF('Data Source'!AG876&gt;=3,"B",IF('Data Source'!AG876&gt;=2,"C",IF('Data Source'!AG876&gt;=1,"D","F")))))))</f>
        <v/>
      </c>
      <c r="P876" s="5">
        <f>IF('Data Source'!B876="","",'Data Source'!R876)</f>
        <v/>
      </c>
      <c r="Q876" s="3">
        <f>IF('Data Source'!B876="","",'Data Source'!S876)</f>
        <v/>
      </c>
    </row>
    <row r="877">
      <c r="A877" s="3">
        <f>IF('Data Source'!B877="","",'Data Source'!A877)</f>
        <v/>
      </c>
      <c r="B877">
        <f>IF('Data Source'!B877="","",'Data Source'!B877)</f>
        <v/>
      </c>
      <c r="C877" s="3">
        <f>IF('Data Source'!B877="","",IF('Data Source'!U877&gt;=5,"A+",IF('Data Source'!U877&gt;=4,"A",IF('Data Source'!U877&gt;=3.5,"A-",IF('Data Source'!U877&gt;=3,"B",IF('Data Source'!U877&gt;=2,"C",IF('Data Source'!U877&gt;=1,"D","F")))))))</f>
        <v/>
      </c>
      <c r="D877" s="3">
        <f>IF('Data Source'!B877="","",IF('Data Source'!V877&gt;=5,"A+",IF('Data Source'!V877&gt;=4,"A",IF('Data Source'!V877&gt;=3.5,"A-",IF('Data Source'!V877&gt;=3,"B",IF('Data Source'!V877&gt;=2,"C",IF('Data Source'!V877&gt;=1,"D","F")))))))</f>
        <v/>
      </c>
      <c r="E877" s="3">
        <f>IF('Data Source'!B877="","",IF('Data Source'!W877&gt;=5,"A+",IF('Data Source'!W877&gt;=4,"A",IF('Data Source'!W877&gt;=3.5,"A-",IF('Data Source'!W877&gt;=3,"B",IF('Data Source'!W877&gt;=2,"C",IF('Data Source'!W877&gt;=1,"D","F")))))))</f>
        <v/>
      </c>
      <c r="F877" s="3">
        <f>IF('Data Source'!B877="","",IF('Data Source'!X877&gt;=5,"A+",IF('Data Source'!X877&gt;=4,"A",IF('Data Source'!X877&gt;=3.5,"A-",IF('Data Source'!X877&gt;=3,"B",IF('Data Source'!X877&gt;=2,"C",IF('Data Source'!X877&gt;=1,"D","F")))))))</f>
        <v/>
      </c>
      <c r="G877" s="3">
        <f>IF('Data Source'!B877="","",IF('Data Source'!Y877&gt;=5,"A+",IF('Data Source'!Y877&gt;=4,"A",IF('Data Source'!Y877&gt;=3.5,"A-",IF('Data Source'!Y877&gt;=3,"B",IF('Data Source'!Y877&gt;=2,"C",IF('Data Source'!Y877&gt;=1,"D","F")))))))</f>
        <v/>
      </c>
      <c r="H877" s="3">
        <f>IF('Data Source'!B877="","",IF('Data Source'!Z877&gt;=5,"A+",IF('Data Source'!Z877&gt;=4,"A",IF('Data Source'!Z877&gt;=3.5,"A-",IF('Data Source'!Z877&gt;=3,"B",IF('Data Source'!Z877&gt;=2,"C",IF('Data Source'!Z877&gt;=1,"D","F")))))))</f>
        <v/>
      </c>
      <c r="I877" s="3">
        <f>IF('Data Source'!B877="","",IF('Data Source'!AA877&gt;=5,"A+",IF('Data Source'!AA877&gt;=4,"A",IF('Data Source'!AA877&gt;=3.5,"A-",IF('Data Source'!AA877&gt;=3,"B",IF('Data Source'!AA877&gt;=2,"C",IF('Data Source'!AA877&gt;=1,"D","F")))))))</f>
        <v/>
      </c>
      <c r="J877" s="3">
        <f>IF('Data Source'!B877="","",IF('Data Source'!AB877&gt;=5,"A+",IF('Data Source'!AB877&gt;=4,"A",IF('Data Source'!AB877&gt;=3.5,"A-",IF('Data Source'!AB877&gt;=3,"B",IF('Data Source'!AB877&gt;=2,"C",IF('Data Source'!AB877&gt;=1,"D","F")))))))</f>
        <v/>
      </c>
      <c r="K877" s="3">
        <f>IF('Data Source'!B877="","",IF('Data Source'!AC877&gt;=5,"A+",IF('Data Source'!AC877&gt;=4,"A",IF('Data Source'!AC877&gt;=3.5,"A-",IF('Data Source'!AC877&gt;=3,"B",IF('Data Source'!AC877&gt;=2,"C",IF('Data Source'!AC877&gt;=1,"D","F")))))))</f>
        <v/>
      </c>
      <c r="L877" s="3">
        <f>IF('Data Source'!B877="","",IF('Data Source'!AD877&gt;=5,"A+",IF('Data Source'!AD877&gt;=4,"A",IF('Data Source'!AD877&gt;=3.5,"A-",IF('Data Source'!AD877&gt;=3,"B",IF('Data Source'!AD877&gt;=2,"C",IF('Data Source'!AD877&gt;=1,"D","F")))))))</f>
        <v/>
      </c>
      <c r="M877" s="3">
        <f>IF('Data Source'!B877="","",IF('Data Source'!AE877&gt;=5,"A+",IF('Data Source'!AE877&gt;=4,"A",IF('Data Source'!AE877&gt;=3.5,"A-",IF('Data Source'!AE877&gt;=3,"B",IF('Data Source'!AE877&gt;=2,"C",IF('Data Source'!AE877&gt;=1,"D","F")))))))</f>
        <v/>
      </c>
      <c r="N877" s="3">
        <f>IF('Data Source'!B877="","",IF('Data Source'!AF877&gt;=5,"A+",IF('Data Source'!AF877&gt;=4,"A",IF('Data Source'!AF877&gt;=3.5,"A-",IF('Data Source'!AF877&gt;=3,"B",IF('Data Source'!AF877&gt;=2,"C",IF('Data Source'!AF877&gt;=1,"D","F")))))))</f>
        <v/>
      </c>
      <c r="O877" s="3">
        <f>IF('Data Source'!B877="","",IF('Data Source'!AG877&gt;=5,"A+",IF('Data Source'!AG877&gt;=4,"A",IF('Data Source'!AG877&gt;=3.5,"A-",IF('Data Source'!AG877&gt;=3,"B",IF('Data Source'!AG877&gt;=2,"C",IF('Data Source'!AG877&gt;=1,"D","F")))))))</f>
        <v/>
      </c>
      <c r="P877" s="5">
        <f>IF('Data Source'!B877="","",'Data Source'!R877)</f>
        <v/>
      </c>
      <c r="Q877" s="3">
        <f>IF('Data Source'!B877="","",'Data Source'!S877)</f>
        <v/>
      </c>
    </row>
    <row r="878">
      <c r="A878" s="3">
        <f>IF('Data Source'!B878="","",'Data Source'!A878)</f>
        <v/>
      </c>
      <c r="B878">
        <f>IF('Data Source'!B878="","",'Data Source'!B878)</f>
        <v/>
      </c>
      <c r="C878" s="3">
        <f>IF('Data Source'!B878="","",IF('Data Source'!U878&gt;=5,"A+",IF('Data Source'!U878&gt;=4,"A",IF('Data Source'!U878&gt;=3.5,"A-",IF('Data Source'!U878&gt;=3,"B",IF('Data Source'!U878&gt;=2,"C",IF('Data Source'!U878&gt;=1,"D","F")))))))</f>
        <v/>
      </c>
      <c r="D878" s="3">
        <f>IF('Data Source'!B878="","",IF('Data Source'!V878&gt;=5,"A+",IF('Data Source'!V878&gt;=4,"A",IF('Data Source'!V878&gt;=3.5,"A-",IF('Data Source'!V878&gt;=3,"B",IF('Data Source'!V878&gt;=2,"C",IF('Data Source'!V878&gt;=1,"D","F")))))))</f>
        <v/>
      </c>
      <c r="E878" s="3">
        <f>IF('Data Source'!B878="","",IF('Data Source'!W878&gt;=5,"A+",IF('Data Source'!W878&gt;=4,"A",IF('Data Source'!W878&gt;=3.5,"A-",IF('Data Source'!W878&gt;=3,"B",IF('Data Source'!W878&gt;=2,"C",IF('Data Source'!W878&gt;=1,"D","F")))))))</f>
        <v/>
      </c>
      <c r="F878" s="3">
        <f>IF('Data Source'!B878="","",IF('Data Source'!X878&gt;=5,"A+",IF('Data Source'!X878&gt;=4,"A",IF('Data Source'!X878&gt;=3.5,"A-",IF('Data Source'!X878&gt;=3,"B",IF('Data Source'!X878&gt;=2,"C",IF('Data Source'!X878&gt;=1,"D","F")))))))</f>
        <v/>
      </c>
      <c r="G878" s="3">
        <f>IF('Data Source'!B878="","",IF('Data Source'!Y878&gt;=5,"A+",IF('Data Source'!Y878&gt;=4,"A",IF('Data Source'!Y878&gt;=3.5,"A-",IF('Data Source'!Y878&gt;=3,"B",IF('Data Source'!Y878&gt;=2,"C",IF('Data Source'!Y878&gt;=1,"D","F")))))))</f>
        <v/>
      </c>
      <c r="H878" s="3">
        <f>IF('Data Source'!B878="","",IF('Data Source'!Z878&gt;=5,"A+",IF('Data Source'!Z878&gt;=4,"A",IF('Data Source'!Z878&gt;=3.5,"A-",IF('Data Source'!Z878&gt;=3,"B",IF('Data Source'!Z878&gt;=2,"C",IF('Data Source'!Z878&gt;=1,"D","F")))))))</f>
        <v/>
      </c>
      <c r="I878" s="3">
        <f>IF('Data Source'!B878="","",IF('Data Source'!AA878&gt;=5,"A+",IF('Data Source'!AA878&gt;=4,"A",IF('Data Source'!AA878&gt;=3.5,"A-",IF('Data Source'!AA878&gt;=3,"B",IF('Data Source'!AA878&gt;=2,"C",IF('Data Source'!AA878&gt;=1,"D","F")))))))</f>
        <v/>
      </c>
      <c r="J878" s="3">
        <f>IF('Data Source'!B878="","",IF('Data Source'!AB878&gt;=5,"A+",IF('Data Source'!AB878&gt;=4,"A",IF('Data Source'!AB878&gt;=3.5,"A-",IF('Data Source'!AB878&gt;=3,"B",IF('Data Source'!AB878&gt;=2,"C",IF('Data Source'!AB878&gt;=1,"D","F")))))))</f>
        <v/>
      </c>
      <c r="K878" s="3">
        <f>IF('Data Source'!B878="","",IF('Data Source'!AC878&gt;=5,"A+",IF('Data Source'!AC878&gt;=4,"A",IF('Data Source'!AC878&gt;=3.5,"A-",IF('Data Source'!AC878&gt;=3,"B",IF('Data Source'!AC878&gt;=2,"C",IF('Data Source'!AC878&gt;=1,"D","F")))))))</f>
        <v/>
      </c>
      <c r="L878" s="3">
        <f>IF('Data Source'!B878="","",IF('Data Source'!AD878&gt;=5,"A+",IF('Data Source'!AD878&gt;=4,"A",IF('Data Source'!AD878&gt;=3.5,"A-",IF('Data Source'!AD878&gt;=3,"B",IF('Data Source'!AD878&gt;=2,"C",IF('Data Source'!AD878&gt;=1,"D","F")))))))</f>
        <v/>
      </c>
      <c r="M878" s="3">
        <f>IF('Data Source'!B878="","",IF('Data Source'!AE878&gt;=5,"A+",IF('Data Source'!AE878&gt;=4,"A",IF('Data Source'!AE878&gt;=3.5,"A-",IF('Data Source'!AE878&gt;=3,"B",IF('Data Source'!AE878&gt;=2,"C",IF('Data Source'!AE878&gt;=1,"D","F")))))))</f>
        <v/>
      </c>
      <c r="N878" s="3">
        <f>IF('Data Source'!B878="","",IF('Data Source'!AF878&gt;=5,"A+",IF('Data Source'!AF878&gt;=4,"A",IF('Data Source'!AF878&gt;=3.5,"A-",IF('Data Source'!AF878&gt;=3,"B",IF('Data Source'!AF878&gt;=2,"C",IF('Data Source'!AF878&gt;=1,"D","F")))))))</f>
        <v/>
      </c>
      <c r="O878" s="3">
        <f>IF('Data Source'!B878="","",IF('Data Source'!AG878&gt;=5,"A+",IF('Data Source'!AG878&gt;=4,"A",IF('Data Source'!AG878&gt;=3.5,"A-",IF('Data Source'!AG878&gt;=3,"B",IF('Data Source'!AG878&gt;=2,"C",IF('Data Source'!AG878&gt;=1,"D","F")))))))</f>
        <v/>
      </c>
      <c r="P878" s="5">
        <f>IF('Data Source'!B878="","",'Data Source'!R878)</f>
        <v/>
      </c>
      <c r="Q878" s="3">
        <f>IF('Data Source'!B878="","",'Data Source'!S878)</f>
        <v/>
      </c>
    </row>
    <row r="879">
      <c r="A879" s="3">
        <f>IF('Data Source'!B879="","",'Data Source'!A879)</f>
        <v/>
      </c>
      <c r="B879">
        <f>IF('Data Source'!B879="","",'Data Source'!B879)</f>
        <v/>
      </c>
      <c r="C879" s="3">
        <f>IF('Data Source'!B879="","",IF('Data Source'!U879&gt;=5,"A+",IF('Data Source'!U879&gt;=4,"A",IF('Data Source'!U879&gt;=3.5,"A-",IF('Data Source'!U879&gt;=3,"B",IF('Data Source'!U879&gt;=2,"C",IF('Data Source'!U879&gt;=1,"D","F")))))))</f>
        <v/>
      </c>
      <c r="D879" s="3">
        <f>IF('Data Source'!B879="","",IF('Data Source'!V879&gt;=5,"A+",IF('Data Source'!V879&gt;=4,"A",IF('Data Source'!V879&gt;=3.5,"A-",IF('Data Source'!V879&gt;=3,"B",IF('Data Source'!V879&gt;=2,"C",IF('Data Source'!V879&gt;=1,"D","F")))))))</f>
        <v/>
      </c>
      <c r="E879" s="3">
        <f>IF('Data Source'!B879="","",IF('Data Source'!W879&gt;=5,"A+",IF('Data Source'!W879&gt;=4,"A",IF('Data Source'!W879&gt;=3.5,"A-",IF('Data Source'!W879&gt;=3,"B",IF('Data Source'!W879&gt;=2,"C",IF('Data Source'!W879&gt;=1,"D","F")))))))</f>
        <v/>
      </c>
      <c r="F879" s="3">
        <f>IF('Data Source'!B879="","",IF('Data Source'!X879&gt;=5,"A+",IF('Data Source'!X879&gt;=4,"A",IF('Data Source'!X879&gt;=3.5,"A-",IF('Data Source'!X879&gt;=3,"B",IF('Data Source'!X879&gt;=2,"C",IF('Data Source'!X879&gt;=1,"D","F")))))))</f>
        <v/>
      </c>
      <c r="G879" s="3">
        <f>IF('Data Source'!B879="","",IF('Data Source'!Y879&gt;=5,"A+",IF('Data Source'!Y879&gt;=4,"A",IF('Data Source'!Y879&gt;=3.5,"A-",IF('Data Source'!Y879&gt;=3,"B",IF('Data Source'!Y879&gt;=2,"C",IF('Data Source'!Y879&gt;=1,"D","F")))))))</f>
        <v/>
      </c>
      <c r="H879" s="3">
        <f>IF('Data Source'!B879="","",IF('Data Source'!Z879&gt;=5,"A+",IF('Data Source'!Z879&gt;=4,"A",IF('Data Source'!Z879&gt;=3.5,"A-",IF('Data Source'!Z879&gt;=3,"B",IF('Data Source'!Z879&gt;=2,"C",IF('Data Source'!Z879&gt;=1,"D","F")))))))</f>
        <v/>
      </c>
      <c r="I879" s="3">
        <f>IF('Data Source'!B879="","",IF('Data Source'!AA879&gt;=5,"A+",IF('Data Source'!AA879&gt;=4,"A",IF('Data Source'!AA879&gt;=3.5,"A-",IF('Data Source'!AA879&gt;=3,"B",IF('Data Source'!AA879&gt;=2,"C",IF('Data Source'!AA879&gt;=1,"D","F")))))))</f>
        <v/>
      </c>
      <c r="J879" s="3">
        <f>IF('Data Source'!B879="","",IF('Data Source'!AB879&gt;=5,"A+",IF('Data Source'!AB879&gt;=4,"A",IF('Data Source'!AB879&gt;=3.5,"A-",IF('Data Source'!AB879&gt;=3,"B",IF('Data Source'!AB879&gt;=2,"C",IF('Data Source'!AB879&gt;=1,"D","F")))))))</f>
        <v/>
      </c>
      <c r="K879" s="3">
        <f>IF('Data Source'!B879="","",IF('Data Source'!AC879&gt;=5,"A+",IF('Data Source'!AC879&gt;=4,"A",IF('Data Source'!AC879&gt;=3.5,"A-",IF('Data Source'!AC879&gt;=3,"B",IF('Data Source'!AC879&gt;=2,"C",IF('Data Source'!AC879&gt;=1,"D","F")))))))</f>
        <v/>
      </c>
      <c r="L879" s="3">
        <f>IF('Data Source'!B879="","",IF('Data Source'!AD879&gt;=5,"A+",IF('Data Source'!AD879&gt;=4,"A",IF('Data Source'!AD879&gt;=3.5,"A-",IF('Data Source'!AD879&gt;=3,"B",IF('Data Source'!AD879&gt;=2,"C",IF('Data Source'!AD879&gt;=1,"D","F")))))))</f>
        <v/>
      </c>
      <c r="M879" s="3">
        <f>IF('Data Source'!B879="","",IF('Data Source'!AE879&gt;=5,"A+",IF('Data Source'!AE879&gt;=4,"A",IF('Data Source'!AE879&gt;=3.5,"A-",IF('Data Source'!AE879&gt;=3,"B",IF('Data Source'!AE879&gt;=2,"C",IF('Data Source'!AE879&gt;=1,"D","F")))))))</f>
        <v/>
      </c>
      <c r="N879" s="3">
        <f>IF('Data Source'!B879="","",IF('Data Source'!AF879&gt;=5,"A+",IF('Data Source'!AF879&gt;=4,"A",IF('Data Source'!AF879&gt;=3.5,"A-",IF('Data Source'!AF879&gt;=3,"B",IF('Data Source'!AF879&gt;=2,"C",IF('Data Source'!AF879&gt;=1,"D","F")))))))</f>
        <v/>
      </c>
      <c r="O879" s="3">
        <f>IF('Data Source'!B879="","",IF('Data Source'!AG879&gt;=5,"A+",IF('Data Source'!AG879&gt;=4,"A",IF('Data Source'!AG879&gt;=3.5,"A-",IF('Data Source'!AG879&gt;=3,"B",IF('Data Source'!AG879&gt;=2,"C",IF('Data Source'!AG879&gt;=1,"D","F")))))))</f>
        <v/>
      </c>
      <c r="P879" s="5">
        <f>IF('Data Source'!B879="","",'Data Source'!R879)</f>
        <v/>
      </c>
      <c r="Q879" s="3">
        <f>IF('Data Source'!B879="","",'Data Source'!S879)</f>
        <v/>
      </c>
    </row>
    <row r="880">
      <c r="A880" s="3">
        <f>IF('Data Source'!B880="","",'Data Source'!A880)</f>
        <v/>
      </c>
      <c r="B880">
        <f>IF('Data Source'!B880="","",'Data Source'!B880)</f>
        <v/>
      </c>
      <c r="C880" s="3">
        <f>IF('Data Source'!B880="","",IF('Data Source'!U880&gt;=5,"A+",IF('Data Source'!U880&gt;=4,"A",IF('Data Source'!U880&gt;=3.5,"A-",IF('Data Source'!U880&gt;=3,"B",IF('Data Source'!U880&gt;=2,"C",IF('Data Source'!U880&gt;=1,"D","F")))))))</f>
        <v/>
      </c>
      <c r="D880" s="3">
        <f>IF('Data Source'!B880="","",IF('Data Source'!V880&gt;=5,"A+",IF('Data Source'!V880&gt;=4,"A",IF('Data Source'!V880&gt;=3.5,"A-",IF('Data Source'!V880&gt;=3,"B",IF('Data Source'!V880&gt;=2,"C",IF('Data Source'!V880&gt;=1,"D","F")))))))</f>
        <v/>
      </c>
      <c r="E880" s="3">
        <f>IF('Data Source'!B880="","",IF('Data Source'!W880&gt;=5,"A+",IF('Data Source'!W880&gt;=4,"A",IF('Data Source'!W880&gt;=3.5,"A-",IF('Data Source'!W880&gt;=3,"B",IF('Data Source'!W880&gt;=2,"C",IF('Data Source'!W880&gt;=1,"D","F")))))))</f>
        <v/>
      </c>
      <c r="F880" s="3">
        <f>IF('Data Source'!B880="","",IF('Data Source'!X880&gt;=5,"A+",IF('Data Source'!X880&gt;=4,"A",IF('Data Source'!X880&gt;=3.5,"A-",IF('Data Source'!X880&gt;=3,"B",IF('Data Source'!X880&gt;=2,"C",IF('Data Source'!X880&gt;=1,"D","F")))))))</f>
        <v/>
      </c>
      <c r="G880" s="3">
        <f>IF('Data Source'!B880="","",IF('Data Source'!Y880&gt;=5,"A+",IF('Data Source'!Y880&gt;=4,"A",IF('Data Source'!Y880&gt;=3.5,"A-",IF('Data Source'!Y880&gt;=3,"B",IF('Data Source'!Y880&gt;=2,"C",IF('Data Source'!Y880&gt;=1,"D","F")))))))</f>
        <v/>
      </c>
      <c r="H880" s="3">
        <f>IF('Data Source'!B880="","",IF('Data Source'!Z880&gt;=5,"A+",IF('Data Source'!Z880&gt;=4,"A",IF('Data Source'!Z880&gt;=3.5,"A-",IF('Data Source'!Z880&gt;=3,"B",IF('Data Source'!Z880&gt;=2,"C",IF('Data Source'!Z880&gt;=1,"D","F")))))))</f>
        <v/>
      </c>
      <c r="I880" s="3">
        <f>IF('Data Source'!B880="","",IF('Data Source'!AA880&gt;=5,"A+",IF('Data Source'!AA880&gt;=4,"A",IF('Data Source'!AA880&gt;=3.5,"A-",IF('Data Source'!AA880&gt;=3,"B",IF('Data Source'!AA880&gt;=2,"C",IF('Data Source'!AA880&gt;=1,"D","F")))))))</f>
        <v/>
      </c>
      <c r="J880" s="3">
        <f>IF('Data Source'!B880="","",IF('Data Source'!AB880&gt;=5,"A+",IF('Data Source'!AB880&gt;=4,"A",IF('Data Source'!AB880&gt;=3.5,"A-",IF('Data Source'!AB880&gt;=3,"B",IF('Data Source'!AB880&gt;=2,"C",IF('Data Source'!AB880&gt;=1,"D","F")))))))</f>
        <v/>
      </c>
      <c r="K880" s="3">
        <f>IF('Data Source'!B880="","",IF('Data Source'!AC880&gt;=5,"A+",IF('Data Source'!AC880&gt;=4,"A",IF('Data Source'!AC880&gt;=3.5,"A-",IF('Data Source'!AC880&gt;=3,"B",IF('Data Source'!AC880&gt;=2,"C",IF('Data Source'!AC880&gt;=1,"D","F")))))))</f>
        <v/>
      </c>
      <c r="L880" s="3">
        <f>IF('Data Source'!B880="","",IF('Data Source'!AD880&gt;=5,"A+",IF('Data Source'!AD880&gt;=4,"A",IF('Data Source'!AD880&gt;=3.5,"A-",IF('Data Source'!AD880&gt;=3,"B",IF('Data Source'!AD880&gt;=2,"C",IF('Data Source'!AD880&gt;=1,"D","F")))))))</f>
        <v/>
      </c>
      <c r="M880" s="3">
        <f>IF('Data Source'!B880="","",IF('Data Source'!AE880&gt;=5,"A+",IF('Data Source'!AE880&gt;=4,"A",IF('Data Source'!AE880&gt;=3.5,"A-",IF('Data Source'!AE880&gt;=3,"B",IF('Data Source'!AE880&gt;=2,"C",IF('Data Source'!AE880&gt;=1,"D","F")))))))</f>
        <v/>
      </c>
      <c r="N880" s="3">
        <f>IF('Data Source'!B880="","",IF('Data Source'!AF880&gt;=5,"A+",IF('Data Source'!AF880&gt;=4,"A",IF('Data Source'!AF880&gt;=3.5,"A-",IF('Data Source'!AF880&gt;=3,"B",IF('Data Source'!AF880&gt;=2,"C",IF('Data Source'!AF880&gt;=1,"D","F")))))))</f>
        <v/>
      </c>
      <c r="O880" s="3">
        <f>IF('Data Source'!B880="","",IF('Data Source'!AG880&gt;=5,"A+",IF('Data Source'!AG880&gt;=4,"A",IF('Data Source'!AG880&gt;=3.5,"A-",IF('Data Source'!AG880&gt;=3,"B",IF('Data Source'!AG880&gt;=2,"C",IF('Data Source'!AG880&gt;=1,"D","F")))))))</f>
        <v/>
      </c>
      <c r="P880" s="5">
        <f>IF('Data Source'!B880="","",'Data Source'!R880)</f>
        <v/>
      </c>
      <c r="Q880" s="3">
        <f>IF('Data Source'!B880="","",'Data Source'!S880)</f>
        <v/>
      </c>
    </row>
    <row r="881">
      <c r="A881" s="3">
        <f>IF('Data Source'!B881="","",'Data Source'!A881)</f>
        <v/>
      </c>
      <c r="B881">
        <f>IF('Data Source'!B881="","",'Data Source'!B881)</f>
        <v/>
      </c>
      <c r="C881" s="3">
        <f>IF('Data Source'!B881="","",IF('Data Source'!U881&gt;=5,"A+",IF('Data Source'!U881&gt;=4,"A",IF('Data Source'!U881&gt;=3.5,"A-",IF('Data Source'!U881&gt;=3,"B",IF('Data Source'!U881&gt;=2,"C",IF('Data Source'!U881&gt;=1,"D","F")))))))</f>
        <v/>
      </c>
      <c r="D881" s="3">
        <f>IF('Data Source'!B881="","",IF('Data Source'!V881&gt;=5,"A+",IF('Data Source'!V881&gt;=4,"A",IF('Data Source'!V881&gt;=3.5,"A-",IF('Data Source'!V881&gt;=3,"B",IF('Data Source'!V881&gt;=2,"C",IF('Data Source'!V881&gt;=1,"D","F")))))))</f>
        <v/>
      </c>
      <c r="E881" s="3">
        <f>IF('Data Source'!B881="","",IF('Data Source'!W881&gt;=5,"A+",IF('Data Source'!W881&gt;=4,"A",IF('Data Source'!W881&gt;=3.5,"A-",IF('Data Source'!W881&gt;=3,"B",IF('Data Source'!W881&gt;=2,"C",IF('Data Source'!W881&gt;=1,"D","F")))))))</f>
        <v/>
      </c>
      <c r="F881" s="3">
        <f>IF('Data Source'!B881="","",IF('Data Source'!X881&gt;=5,"A+",IF('Data Source'!X881&gt;=4,"A",IF('Data Source'!X881&gt;=3.5,"A-",IF('Data Source'!X881&gt;=3,"B",IF('Data Source'!X881&gt;=2,"C",IF('Data Source'!X881&gt;=1,"D","F")))))))</f>
        <v/>
      </c>
      <c r="G881" s="3">
        <f>IF('Data Source'!B881="","",IF('Data Source'!Y881&gt;=5,"A+",IF('Data Source'!Y881&gt;=4,"A",IF('Data Source'!Y881&gt;=3.5,"A-",IF('Data Source'!Y881&gt;=3,"B",IF('Data Source'!Y881&gt;=2,"C",IF('Data Source'!Y881&gt;=1,"D","F")))))))</f>
        <v/>
      </c>
      <c r="H881" s="3">
        <f>IF('Data Source'!B881="","",IF('Data Source'!Z881&gt;=5,"A+",IF('Data Source'!Z881&gt;=4,"A",IF('Data Source'!Z881&gt;=3.5,"A-",IF('Data Source'!Z881&gt;=3,"B",IF('Data Source'!Z881&gt;=2,"C",IF('Data Source'!Z881&gt;=1,"D","F")))))))</f>
        <v/>
      </c>
      <c r="I881" s="3">
        <f>IF('Data Source'!B881="","",IF('Data Source'!AA881&gt;=5,"A+",IF('Data Source'!AA881&gt;=4,"A",IF('Data Source'!AA881&gt;=3.5,"A-",IF('Data Source'!AA881&gt;=3,"B",IF('Data Source'!AA881&gt;=2,"C",IF('Data Source'!AA881&gt;=1,"D","F")))))))</f>
        <v/>
      </c>
      <c r="J881" s="3">
        <f>IF('Data Source'!B881="","",IF('Data Source'!AB881&gt;=5,"A+",IF('Data Source'!AB881&gt;=4,"A",IF('Data Source'!AB881&gt;=3.5,"A-",IF('Data Source'!AB881&gt;=3,"B",IF('Data Source'!AB881&gt;=2,"C",IF('Data Source'!AB881&gt;=1,"D","F")))))))</f>
        <v/>
      </c>
      <c r="K881" s="3">
        <f>IF('Data Source'!B881="","",IF('Data Source'!AC881&gt;=5,"A+",IF('Data Source'!AC881&gt;=4,"A",IF('Data Source'!AC881&gt;=3.5,"A-",IF('Data Source'!AC881&gt;=3,"B",IF('Data Source'!AC881&gt;=2,"C",IF('Data Source'!AC881&gt;=1,"D","F")))))))</f>
        <v/>
      </c>
      <c r="L881" s="3">
        <f>IF('Data Source'!B881="","",IF('Data Source'!AD881&gt;=5,"A+",IF('Data Source'!AD881&gt;=4,"A",IF('Data Source'!AD881&gt;=3.5,"A-",IF('Data Source'!AD881&gt;=3,"B",IF('Data Source'!AD881&gt;=2,"C",IF('Data Source'!AD881&gt;=1,"D","F")))))))</f>
        <v/>
      </c>
      <c r="M881" s="3">
        <f>IF('Data Source'!B881="","",IF('Data Source'!AE881&gt;=5,"A+",IF('Data Source'!AE881&gt;=4,"A",IF('Data Source'!AE881&gt;=3.5,"A-",IF('Data Source'!AE881&gt;=3,"B",IF('Data Source'!AE881&gt;=2,"C",IF('Data Source'!AE881&gt;=1,"D","F")))))))</f>
        <v/>
      </c>
      <c r="N881" s="3">
        <f>IF('Data Source'!B881="","",IF('Data Source'!AF881&gt;=5,"A+",IF('Data Source'!AF881&gt;=4,"A",IF('Data Source'!AF881&gt;=3.5,"A-",IF('Data Source'!AF881&gt;=3,"B",IF('Data Source'!AF881&gt;=2,"C",IF('Data Source'!AF881&gt;=1,"D","F")))))))</f>
        <v/>
      </c>
      <c r="O881" s="3">
        <f>IF('Data Source'!B881="","",IF('Data Source'!AG881&gt;=5,"A+",IF('Data Source'!AG881&gt;=4,"A",IF('Data Source'!AG881&gt;=3.5,"A-",IF('Data Source'!AG881&gt;=3,"B",IF('Data Source'!AG881&gt;=2,"C",IF('Data Source'!AG881&gt;=1,"D","F")))))))</f>
        <v/>
      </c>
      <c r="P881" s="5">
        <f>IF('Data Source'!B881="","",'Data Source'!R881)</f>
        <v/>
      </c>
      <c r="Q881" s="3">
        <f>IF('Data Source'!B881="","",'Data Source'!S881)</f>
        <v/>
      </c>
    </row>
    <row r="882">
      <c r="A882" s="3">
        <f>IF('Data Source'!B882="","",'Data Source'!A882)</f>
        <v/>
      </c>
      <c r="B882">
        <f>IF('Data Source'!B882="","",'Data Source'!B882)</f>
        <v/>
      </c>
      <c r="C882" s="3">
        <f>IF('Data Source'!B882="","",IF('Data Source'!U882&gt;=5,"A+",IF('Data Source'!U882&gt;=4,"A",IF('Data Source'!U882&gt;=3.5,"A-",IF('Data Source'!U882&gt;=3,"B",IF('Data Source'!U882&gt;=2,"C",IF('Data Source'!U882&gt;=1,"D","F")))))))</f>
        <v/>
      </c>
      <c r="D882" s="3">
        <f>IF('Data Source'!B882="","",IF('Data Source'!V882&gt;=5,"A+",IF('Data Source'!V882&gt;=4,"A",IF('Data Source'!V882&gt;=3.5,"A-",IF('Data Source'!V882&gt;=3,"B",IF('Data Source'!V882&gt;=2,"C",IF('Data Source'!V882&gt;=1,"D","F")))))))</f>
        <v/>
      </c>
      <c r="E882" s="3">
        <f>IF('Data Source'!B882="","",IF('Data Source'!W882&gt;=5,"A+",IF('Data Source'!W882&gt;=4,"A",IF('Data Source'!W882&gt;=3.5,"A-",IF('Data Source'!W882&gt;=3,"B",IF('Data Source'!W882&gt;=2,"C",IF('Data Source'!W882&gt;=1,"D","F")))))))</f>
        <v/>
      </c>
      <c r="F882" s="3">
        <f>IF('Data Source'!B882="","",IF('Data Source'!X882&gt;=5,"A+",IF('Data Source'!X882&gt;=4,"A",IF('Data Source'!X882&gt;=3.5,"A-",IF('Data Source'!X882&gt;=3,"B",IF('Data Source'!X882&gt;=2,"C",IF('Data Source'!X882&gt;=1,"D","F")))))))</f>
        <v/>
      </c>
      <c r="G882" s="3">
        <f>IF('Data Source'!B882="","",IF('Data Source'!Y882&gt;=5,"A+",IF('Data Source'!Y882&gt;=4,"A",IF('Data Source'!Y882&gt;=3.5,"A-",IF('Data Source'!Y882&gt;=3,"B",IF('Data Source'!Y882&gt;=2,"C",IF('Data Source'!Y882&gt;=1,"D","F")))))))</f>
        <v/>
      </c>
      <c r="H882" s="3">
        <f>IF('Data Source'!B882="","",IF('Data Source'!Z882&gt;=5,"A+",IF('Data Source'!Z882&gt;=4,"A",IF('Data Source'!Z882&gt;=3.5,"A-",IF('Data Source'!Z882&gt;=3,"B",IF('Data Source'!Z882&gt;=2,"C",IF('Data Source'!Z882&gt;=1,"D","F")))))))</f>
        <v/>
      </c>
      <c r="I882" s="3">
        <f>IF('Data Source'!B882="","",IF('Data Source'!AA882&gt;=5,"A+",IF('Data Source'!AA882&gt;=4,"A",IF('Data Source'!AA882&gt;=3.5,"A-",IF('Data Source'!AA882&gt;=3,"B",IF('Data Source'!AA882&gt;=2,"C",IF('Data Source'!AA882&gt;=1,"D","F")))))))</f>
        <v/>
      </c>
      <c r="J882" s="3">
        <f>IF('Data Source'!B882="","",IF('Data Source'!AB882&gt;=5,"A+",IF('Data Source'!AB882&gt;=4,"A",IF('Data Source'!AB882&gt;=3.5,"A-",IF('Data Source'!AB882&gt;=3,"B",IF('Data Source'!AB882&gt;=2,"C",IF('Data Source'!AB882&gt;=1,"D","F")))))))</f>
        <v/>
      </c>
      <c r="K882" s="3">
        <f>IF('Data Source'!B882="","",IF('Data Source'!AC882&gt;=5,"A+",IF('Data Source'!AC882&gt;=4,"A",IF('Data Source'!AC882&gt;=3.5,"A-",IF('Data Source'!AC882&gt;=3,"B",IF('Data Source'!AC882&gt;=2,"C",IF('Data Source'!AC882&gt;=1,"D","F")))))))</f>
        <v/>
      </c>
      <c r="L882" s="3">
        <f>IF('Data Source'!B882="","",IF('Data Source'!AD882&gt;=5,"A+",IF('Data Source'!AD882&gt;=4,"A",IF('Data Source'!AD882&gt;=3.5,"A-",IF('Data Source'!AD882&gt;=3,"B",IF('Data Source'!AD882&gt;=2,"C",IF('Data Source'!AD882&gt;=1,"D","F")))))))</f>
        <v/>
      </c>
      <c r="M882" s="3">
        <f>IF('Data Source'!B882="","",IF('Data Source'!AE882&gt;=5,"A+",IF('Data Source'!AE882&gt;=4,"A",IF('Data Source'!AE882&gt;=3.5,"A-",IF('Data Source'!AE882&gt;=3,"B",IF('Data Source'!AE882&gt;=2,"C",IF('Data Source'!AE882&gt;=1,"D","F")))))))</f>
        <v/>
      </c>
      <c r="N882" s="3">
        <f>IF('Data Source'!B882="","",IF('Data Source'!AF882&gt;=5,"A+",IF('Data Source'!AF882&gt;=4,"A",IF('Data Source'!AF882&gt;=3.5,"A-",IF('Data Source'!AF882&gt;=3,"B",IF('Data Source'!AF882&gt;=2,"C",IF('Data Source'!AF882&gt;=1,"D","F")))))))</f>
        <v/>
      </c>
      <c r="O882" s="3">
        <f>IF('Data Source'!B882="","",IF('Data Source'!AG882&gt;=5,"A+",IF('Data Source'!AG882&gt;=4,"A",IF('Data Source'!AG882&gt;=3.5,"A-",IF('Data Source'!AG882&gt;=3,"B",IF('Data Source'!AG882&gt;=2,"C",IF('Data Source'!AG882&gt;=1,"D","F")))))))</f>
        <v/>
      </c>
      <c r="P882" s="5">
        <f>IF('Data Source'!B882="","",'Data Source'!R882)</f>
        <v/>
      </c>
      <c r="Q882" s="3">
        <f>IF('Data Source'!B882="","",'Data Source'!S882)</f>
        <v/>
      </c>
    </row>
    <row r="883">
      <c r="A883" s="3">
        <f>IF('Data Source'!B883="","",'Data Source'!A883)</f>
        <v/>
      </c>
      <c r="B883">
        <f>IF('Data Source'!B883="","",'Data Source'!B883)</f>
        <v/>
      </c>
      <c r="C883" s="3">
        <f>IF('Data Source'!B883="","",IF('Data Source'!U883&gt;=5,"A+",IF('Data Source'!U883&gt;=4,"A",IF('Data Source'!U883&gt;=3.5,"A-",IF('Data Source'!U883&gt;=3,"B",IF('Data Source'!U883&gt;=2,"C",IF('Data Source'!U883&gt;=1,"D","F")))))))</f>
        <v/>
      </c>
      <c r="D883" s="3">
        <f>IF('Data Source'!B883="","",IF('Data Source'!V883&gt;=5,"A+",IF('Data Source'!V883&gt;=4,"A",IF('Data Source'!V883&gt;=3.5,"A-",IF('Data Source'!V883&gt;=3,"B",IF('Data Source'!V883&gt;=2,"C",IF('Data Source'!V883&gt;=1,"D","F")))))))</f>
        <v/>
      </c>
      <c r="E883" s="3">
        <f>IF('Data Source'!B883="","",IF('Data Source'!W883&gt;=5,"A+",IF('Data Source'!W883&gt;=4,"A",IF('Data Source'!W883&gt;=3.5,"A-",IF('Data Source'!W883&gt;=3,"B",IF('Data Source'!W883&gt;=2,"C",IF('Data Source'!W883&gt;=1,"D","F")))))))</f>
        <v/>
      </c>
      <c r="F883" s="3">
        <f>IF('Data Source'!B883="","",IF('Data Source'!X883&gt;=5,"A+",IF('Data Source'!X883&gt;=4,"A",IF('Data Source'!X883&gt;=3.5,"A-",IF('Data Source'!X883&gt;=3,"B",IF('Data Source'!X883&gt;=2,"C",IF('Data Source'!X883&gt;=1,"D","F")))))))</f>
        <v/>
      </c>
      <c r="G883" s="3">
        <f>IF('Data Source'!B883="","",IF('Data Source'!Y883&gt;=5,"A+",IF('Data Source'!Y883&gt;=4,"A",IF('Data Source'!Y883&gt;=3.5,"A-",IF('Data Source'!Y883&gt;=3,"B",IF('Data Source'!Y883&gt;=2,"C",IF('Data Source'!Y883&gt;=1,"D","F")))))))</f>
        <v/>
      </c>
      <c r="H883" s="3">
        <f>IF('Data Source'!B883="","",IF('Data Source'!Z883&gt;=5,"A+",IF('Data Source'!Z883&gt;=4,"A",IF('Data Source'!Z883&gt;=3.5,"A-",IF('Data Source'!Z883&gt;=3,"B",IF('Data Source'!Z883&gt;=2,"C",IF('Data Source'!Z883&gt;=1,"D","F")))))))</f>
        <v/>
      </c>
      <c r="I883" s="3">
        <f>IF('Data Source'!B883="","",IF('Data Source'!AA883&gt;=5,"A+",IF('Data Source'!AA883&gt;=4,"A",IF('Data Source'!AA883&gt;=3.5,"A-",IF('Data Source'!AA883&gt;=3,"B",IF('Data Source'!AA883&gt;=2,"C",IF('Data Source'!AA883&gt;=1,"D","F")))))))</f>
        <v/>
      </c>
      <c r="J883" s="3">
        <f>IF('Data Source'!B883="","",IF('Data Source'!AB883&gt;=5,"A+",IF('Data Source'!AB883&gt;=4,"A",IF('Data Source'!AB883&gt;=3.5,"A-",IF('Data Source'!AB883&gt;=3,"B",IF('Data Source'!AB883&gt;=2,"C",IF('Data Source'!AB883&gt;=1,"D","F")))))))</f>
        <v/>
      </c>
      <c r="K883" s="3">
        <f>IF('Data Source'!B883="","",IF('Data Source'!AC883&gt;=5,"A+",IF('Data Source'!AC883&gt;=4,"A",IF('Data Source'!AC883&gt;=3.5,"A-",IF('Data Source'!AC883&gt;=3,"B",IF('Data Source'!AC883&gt;=2,"C",IF('Data Source'!AC883&gt;=1,"D","F")))))))</f>
        <v/>
      </c>
      <c r="L883" s="3">
        <f>IF('Data Source'!B883="","",IF('Data Source'!AD883&gt;=5,"A+",IF('Data Source'!AD883&gt;=4,"A",IF('Data Source'!AD883&gt;=3.5,"A-",IF('Data Source'!AD883&gt;=3,"B",IF('Data Source'!AD883&gt;=2,"C",IF('Data Source'!AD883&gt;=1,"D","F")))))))</f>
        <v/>
      </c>
      <c r="M883" s="3">
        <f>IF('Data Source'!B883="","",IF('Data Source'!AE883&gt;=5,"A+",IF('Data Source'!AE883&gt;=4,"A",IF('Data Source'!AE883&gt;=3.5,"A-",IF('Data Source'!AE883&gt;=3,"B",IF('Data Source'!AE883&gt;=2,"C",IF('Data Source'!AE883&gt;=1,"D","F")))))))</f>
        <v/>
      </c>
      <c r="N883" s="3">
        <f>IF('Data Source'!B883="","",IF('Data Source'!AF883&gt;=5,"A+",IF('Data Source'!AF883&gt;=4,"A",IF('Data Source'!AF883&gt;=3.5,"A-",IF('Data Source'!AF883&gt;=3,"B",IF('Data Source'!AF883&gt;=2,"C",IF('Data Source'!AF883&gt;=1,"D","F")))))))</f>
        <v/>
      </c>
      <c r="O883" s="3">
        <f>IF('Data Source'!B883="","",IF('Data Source'!AG883&gt;=5,"A+",IF('Data Source'!AG883&gt;=4,"A",IF('Data Source'!AG883&gt;=3.5,"A-",IF('Data Source'!AG883&gt;=3,"B",IF('Data Source'!AG883&gt;=2,"C",IF('Data Source'!AG883&gt;=1,"D","F")))))))</f>
        <v/>
      </c>
      <c r="P883" s="5">
        <f>IF('Data Source'!B883="","",'Data Source'!R883)</f>
        <v/>
      </c>
      <c r="Q883" s="3">
        <f>IF('Data Source'!B883="","",'Data Source'!S883)</f>
        <v/>
      </c>
    </row>
    <row r="884">
      <c r="A884" s="3">
        <f>IF('Data Source'!B884="","",'Data Source'!A884)</f>
        <v/>
      </c>
      <c r="B884">
        <f>IF('Data Source'!B884="","",'Data Source'!B884)</f>
        <v/>
      </c>
      <c r="C884" s="3">
        <f>IF('Data Source'!B884="","",IF('Data Source'!U884&gt;=5,"A+",IF('Data Source'!U884&gt;=4,"A",IF('Data Source'!U884&gt;=3.5,"A-",IF('Data Source'!U884&gt;=3,"B",IF('Data Source'!U884&gt;=2,"C",IF('Data Source'!U884&gt;=1,"D","F")))))))</f>
        <v/>
      </c>
      <c r="D884" s="3">
        <f>IF('Data Source'!B884="","",IF('Data Source'!V884&gt;=5,"A+",IF('Data Source'!V884&gt;=4,"A",IF('Data Source'!V884&gt;=3.5,"A-",IF('Data Source'!V884&gt;=3,"B",IF('Data Source'!V884&gt;=2,"C",IF('Data Source'!V884&gt;=1,"D","F")))))))</f>
        <v/>
      </c>
      <c r="E884" s="3">
        <f>IF('Data Source'!B884="","",IF('Data Source'!W884&gt;=5,"A+",IF('Data Source'!W884&gt;=4,"A",IF('Data Source'!W884&gt;=3.5,"A-",IF('Data Source'!W884&gt;=3,"B",IF('Data Source'!W884&gt;=2,"C",IF('Data Source'!W884&gt;=1,"D","F")))))))</f>
        <v/>
      </c>
      <c r="F884" s="3">
        <f>IF('Data Source'!B884="","",IF('Data Source'!X884&gt;=5,"A+",IF('Data Source'!X884&gt;=4,"A",IF('Data Source'!X884&gt;=3.5,"A-",IF('Data Source'!X884&gt;=3,"B",IF('Data Source'!X884&gt;=2,"C",IF('Data Source'!X884&gt;=1,"D","F")))))))</f>
        <v/>
      </c>
      <c r="G884" s="3">
        <f>IF('Data Source'!B884="","",IF('Data Source'!Y884&gt;=5,"A+",IF('Data Source'!Y884&gt;=4,"A",IF('Data Source'!Y884&gt;=3.5,"A-",IF('Data Source'!Y884&gt;=3,"B",IF('Data Source'!Y884&gt;=2,"C",IF('Data Source'!Y884&gt;=1,"D","F")))))))</f>
        <v/>
      </c>
      <c r="H884" s="3">
        <f>IF('Data Source'!B884="","",IF('Data Source'!Z884&gt;=5,"A+",IF('Data Source'!Z884&gt;=4,"A",IF('Data Source'!Z884&gt;=3.5,"A-",IF('Data Source'!Z884&gt;=3,"B",IF('Data Source'!Z884&gt;=2,"C",IF('Data Source'!Z884&gt;=1,"D","F")))))))</f>
        <v/>
      </c>
      <c r="I884" s="3">
        <f>IF('Data Source'!B884="","",IF('Data Source'!AA884&gt;=5,"A+",IF('Data Source'!AA884&gt;=4,"A",IF('Data Source'!AA884&gt;=3.5,"A-",IF('Data Source'!AA884&gt;=3,"B",IF('Data Source'!AA884&gt;=2,"C",IF('Data Source'!AA884&gt;=1,"D","F")))))))</f>
        <v/>
      </c>
      <c r="J884" s="3">
        <f>IF('Data Source'!B884="","",IF('Data Source'!AB884&gt;=5,"A+",IF('Data Source'!AB884&gt;=4,"A",IF('Data Source'!AB884&gt;=3.5,"A-",IF('Data Source'!AB884&gt;=3,"B",IF('Data Source'!AB884&gt;=2,"C",IF('Data Source'!AB884&gt;=1,"D","F")))))))</f>
        <v/>
      </c>
      <c r="K884" s="3">
        <f>IF('Data Source'!B884="","",IF('Data Source'!AC884&gt;=5,"A+",IF('Data Source'!AC884&gt;=4,"A",IF('Data Source'!AC884&gt;=3.5,"A-",IF('Data Source'!AC884&gt;=3,"B",IF('Data Source'!AC884&gt;=2,"C",IF('Data Source'!AC884&gt;=1,"D","F")))))))</f>
        <v/>
      </c>
      <c r="L884" s="3">
        <f>IF('Data Source'!B884="","",IF('Data Source'!AD884&gt;=5,"A+",IF('Data Source'!AD884&gt;=4,"A",IF('Data Source'!AD884&gt;=3.5,"A-",IF('Data Source'!AD884&gt;=3,"B",IF('Data Source'!AD884&gt;=2,"C",IF('Data Source'!AD884&gt;=1,"D","F")))))))</f>
        <v/>
      </c>
      <c r="M884" s="3">
        <f>IF('Data Source'!B884="","",IF('Data Source'!AE884&gt;=5,"A+",IF('Data Source'!AE884&gt;=4,"A",IF('Data Source'!AE884&gt;=3.5,"A-",IF('Data Source'!AE884&gt;=3,"B",IF('Data Source'!AE884&gt;=2,"C",IF('Data Source'!AE884&gt;=1,"D","F")))))))</f>
        <v/>
      </c>
      <c r="N884" s="3">
        <f>IF('Data Source'!B884="","",IF('Data Source'!AF884&gt;=5,"A+",IF('Data Source'!AF884&gt;=4,"A",IF('Data Source'!AF884&gt;=3.5,"A-",IF('Data Source'!AF884&gt;=3,"B",IF('Data Source'!AF884&gt;=2,"C",IF('Data Source'!AF884&gt;=1,"D","F")))))))</f>
        <v/>
      </c>
      <c r="O884" s="3">
        <f>IF('Data Source'!B884="","",IF('Data Source'!AG884&gt;=5,"A+",IF('Data Source'!AG884&gt;=4,"A",IF('Data Source'!AG884&gt;=3.5,"A-",IF('Data Source'!AG884&gt;=3,"B",IF('Data Source'!AG884&gt;=2,"C",IF('Data Source'!AG884&gt;=1,"D","F")))))))</f>
        <v/>
      </c>
      <c r="P884" s="5">
        <f>IF('Data Source'!B884="","",'Data Source'!R884)</f>
        <v/>
      </c>
      <c r="Q884" s="3">
        <f>IF('Data Source'!B884="","",'Data Source'!S884)</f>
        <v/>
      </c>
    </row>
    <row r="885">
      <c r="A885" s="3">
        <f>IF('Data Source'!B885="","",'Data Source'!A885)</f>
        <v/>
      </c>
      <c r="B885">
        <f>IF('Data Source'!B885="","",'Data Source'!B885)</f>
        <v/>
      </c>
      <c r="C885" s="3">
        <f>IF('Data Source'!B885="","",IF('Data Source'!U885&gt;=5,"A+",IF('Data Source'!U885&gt;=4,"A",IF('Data Source'!U885&gt;=3.5,"A-",IF('Data Source'!U885&gt;=3,"B",IF('Data Source'!U885&gt;=2,"C",IF('Data Source'!U885&gt;=1,"D","F")))))))</f>
        <v/>
      </c>
      <c r="D885" s="3">
        <f>IF('Data Source'!B885="","",IF('Data Source'!V885&gt;=5,"A+",IF('Data Source'!V885&gt;=4,"A",IF('Data Source'!V885&gt;=3.5,"A-",IF('Data Source'!V885&gt;=3,"B",IF('Data Source'!V885&gt;=2,"C",IF('Data Source'!V885&gt;=1,"D","F")))))))</f>
        <v/>
      </c>
      <c r="E885" s="3">
        <f>IF('Data Source'!B885="","",IF('Data Source'!W885&gt;=5,"A+",IF('Data Source'!W885&gt;=4,"A",IF('Data Source'!W885&gt;=3.5,"A-",IF('Data Source'!W885&gt;=3,"B",IF('Data Source'!W885&gt;=2,"C",IF('Data Source'!W885&gt;=1,"D","F")))))))</f>
        <v/>
      </c>
      <c r="F885" s="3">
        <f>IF('Data Source'!B885="","",IF('Data Source'!X885&gt;=5,"A+",IF('Data Source'!X885&gt;=4,"A",IF('Data Source'!X885&gt;=3.5,"A-",IF('Data Source'!X885&gt;=3,"B",IF('Data Source'!X885&gt;=2,"C",IF('Data Source'!X885&gt;=1,"D","F")))))))</f>
        <v/>
      </c>
      <c r="G885" s="3">
        <f>IF('Data Source'!B885="","",IF('Data Source'!Y885&gt;=5,"A+",IF('Data Source'!Y885&gt;=4,"A",IF('Data Source'!Y885&gt;=3.5,"A-",IF('Data Source'!Y885&gt;=3,"B",IF('Data Source'!Y885&gt;=2,"C",IF('Data Source'!Y885&gt;=1,"D","F")))))))</f>
        <v/>
      </c>
      <c r="H885" s="3">
        <f>IF('Data Source'!B885="","",IF('Data Source'!Z885&gt;=5,"A+",IF('Data Source'!Z885&gt;=4,"A",IF('Data Source'!Z885&gt;=3.5,"A-",IF('Data Source'!Z885&gt;=3,"B",IF('Data Source'!Z885&gt;=2,"C",IF('Data Source'!Z885&gt;=1,"D","F")))))))</f>
        <v/>
      </c>
      <c r="I885" s="3">
        <f>IF('Data Source'!B885="","",IF('Data Source'!AA885&gt;=5,"A+",IF('Data Source'!AA885&gt;=4,"A",IF('Data Source'!AA885&gt;=3.5,"A-",IF('Data Source'!AA885&gt;=3,"B",IF('Data Source'!AA885&gt;=2,"C",IF('Data Source'!AA885&gt;=1,"D","F")))))))</f>
        <v/>
      </c>
      <c r="J885" s="3">
        <f>IF('Data Source'!B885="","",IF('Data Source'!AB885&gt;=5,"A+",IF('Data Source'!AB885&gt;=4,"A",IF('Data Source'!AB885&gt;=3.5,"A-",IF('Data Source'!AB885&gt;=3,"B",IF('Data Source'!AB885&gt;=2,"C",IF('Data Source'!AB885&gt;=1,"D","F")))))))</f>
        <v/>
      </c>
      <c r="K885" s="3">
        <f>IF('Data Source'!B885="","",IF('Data Source'!AC885&gt;=5,"A+",IF('Data Source'!AC885&gt;=4,"A",IF('Data Source'!AC885&gt;=3.5,"A-",IF('Data Source'!AC885&gt;=3,"B",IF('Data Source'!AC885&gt;=2,"C",IF('Data Source'!AC885&gt;=1,"D","F")))))))</f>
        <v/>
      </c>
      <c r="L885" s="3">
        <f>IF('Data Source'!B885="","",IF('Data Source'!AD885&gt;=5,"A+",IF('Data Source'!AD885&gt;=4,"A",IF('Data Source'!AD885&gt;=3.5,"A-",IF('Data Source'!AD885&gt;=3,"B",IF('Data Source'!AD885&gt;=2,"C",IF('Data Source'!AD885&gt;=1,"D","F")))))))</f>
        <v/>
      </c>
      <c r="M885" s="3">
        <f>IF('Data Source'!B885="","",IF('Data Source'!AE885&gt;=5,"A+",IF('Data Source'!AE885&gt;=4,"A",IF('Data Source'!AE885&gt;=3.5,"A-",IF('Data Source'!AE885&gt;=3,"B",IF('Data Source'!AE885&gt;=2,"C",IF('Data Source'!AE885&gt;=1,"D","F")))))))</f>
        <v/>
      </c>
      <c r="N885" s="3">
        <f>IF('Data Source'!B885="","",IF('Data Source'!AF885&gt;=5,"A+",IF('Data Source'!AF885&gt;=4,"A",IF('Data Source'!AF885&gt;=3.5,"A-",IF('Data Source'!AF885&gt;=3,"B",IF('Data Source'!AF885&gt;=2,"C",IF('Data Source'!AF885&gt;=1,"D","F")))))))</f>
        <v/>
      </c>
      <c r="O885" s="3">
        <f>IF('Data Source'!B885="","",IF('Data Source'!AG885&gt;=5,"A+",IF('Data Source'!AG885&gt;=4,"A",IF('Data Source'!AG885&gt;=3.5,"A-",IF('Data Source'!AG885&gt;=3,"B",IF('Data Source'!AG885&gt;=2,"C",IF('Data Source'!AG885&gt;=1,"D","F")))))))</f>
        <v/>
      </c>
      <c r="P885" s="5">
        <f>IF('Data Source'!B885="","",'Data Source'!R885)</f>
        <v/>
      </c>
      <c r="Q885" s="3">
        <f>IF('Data Source'!B885="","",'Data Source'!S885)</f>
        <v/>
      </c>
    </row>
    <row r="886">
      <c r="A886" s="3">
        <f>IF('Data Source'!B886="","",'Data Source'!A886)</f>
        <v/>
      </c>
      <c r="B886">
        <f>IF('Data Source'!B886="","",'Data Source'!B886)</f>
        <v/>
      </c>
      <c r="C886" s="3">
        <f>IF('Data Source'!B886="","",IF('Data Source'!U886&gt;=5,"A+",IF('Data Source'!U886&gt;=4,"A",IF('Data Source'!U886&gt;=3.5,"A-",IF('Data Source'!U886&gt;=3,"B",IF('Data Source'!U886&gt;=2,"C",IF('Data Source'!U886&gt;=1,"D","F")))))))</f>
        <v/>
      </c>
      <c r="D886" s="3">
        <f>IF('Data Source'!B886="","",IF('Data Source'!V886&gt;=5,"A+",IF('Data Source'!V886&gt;=4,"A",IF('Data Source'!V886&gt;=3.5,"A-",IF('Data Source'!V886&gt;=3,"B",IF('Data Source'!V886&gt;=2,"C",IF('Data Source'!V886&gt;=1,"D","F")))))))</f>
        <v/>
      </c>
      <c r="E886" s="3">
        <f>IF('Data Source'!B886="","",IF('Data Source'!W886&gt;=5,"A+",IF('Data Source'!W886&gt;=4,"A",IF('Data Source'!W886&gt;=3.5,"A-",IF('Data Source'!W886&gt;=3,"B",IF('Data Source'!W886&gt;=2,"C",IF('Data Source'!W886&gt;=1,"D","F")))))))</f>
        <v/>
      </c>
      <c r="F886" s="3">
        <f>IF('Data Source'!B886="","",IF('Data Source'!X886&gt;=5,"A+",IF('Data Source'!X886&gt;=4,"A",IF('Data Source'!X886&gt;=3.5,"A-",IF('Data Source'!X886&gt;=3,"B",IF('Data Source'!X886&gt;=2,"C",IF('Data Source'!X886&gt;=1,"D","F")))))))</f>
        <v/>
      </c>
      <c r="G886" s="3">
        <f>IF('Data Source'!B886="","",IF('Data Source'!Y886&gt;=5,"A+",IF('Data Source'!Y886&gt;=4,"A",IF('Data Source'!Y886&gt;=3.5,"A-",IF('Data Source'!Y886&gt;=3,"B",IF('Data Source'!Y886&gt;=2,"C",IF('Data Source'!Y886&gt;=1,"D","F")))))))</f>
        <v/>
      </c>
      <c r="H886" s="3">
        <f>IF('Data Source'!B886="","",IF('Data Source'!Z886&gt;=5,"A+",IF('Data Source'!Z886&gt;=4,"A",IF('Data Source'!Z886&gt;=3.5,"A-",IF('Data Source'!Z886&gt;=3,"B",IF('Data Source'!Z886&gt;=2,"C",IF('Data Source'!Z886&gt;=1,"D","F")))))))</f>
        <v/>
      </c>
      <c r="I886" s="3">
        <f>IF('Data Source'!B886="","",IF('Data Source'!AA886&gt;=5,"A+",IF('Data Source'!AA886&gt;=4,"A",IF('Data Source'!AA886&gt;=3.5,"A-",IF('Data Source'!AA886&gt;=3,"B",IF('Data Source'!AA886&gt;=2,"C",IF('Data Source'!AA886&gt;=1,"D","F")))))))</f>
        <v/>
      </c>
      <c r="J886" s="3">
        <f>IF('Data Source'!B886="","",IF('Data Source'!AB886&gt;=5,"A+",IF('Data Source'!AB886&gt;=4,"A",IF('Data Source'!AB886&gt;=3.5,"A-",IF('Data Source'!AB886&gt;=3,"B",IF('Data Source'!AB886&gt;=2,"C",IF('Data Source'!AB886&gt;=1,"D","F")))))))</f>
        <v/>
      </c>
      <c r="K886" s="3">
        <f>IF('Data Source'!B886="","",IF('Data Source'!AC886&gt;=5,"A+",IF('Data Source'!AC886&gt;=4,"A",IF('Data Source'!AC886&gt;=3.5,"A-",IF('Data Source'!AC886&gt;=3,"B",IF('Data Source'!AC886&gt;=2,"C",IF('Data Source'!AC886&gt;=1,"D","F")))))))</f>
        <v/>
      </c>
      <c r="L886" s="3">
        <f>IF('Data Source'!B886="","",IF('Data Source'!AD886&gt;=5,"A+",IF('Data Source'!AD886&gt;=4,"A",IF('Data Source'!AD886&gt;=3.5,"A-",IF('Data Source'!AD886&gt;=3,"B",IF('Data Source'!AD886&gt;=2,"C",IF('Data Source'!AD886&gt;=1,"D","F")))))))</f>
        <v/>
      </c>
      <c r="M886" s="3">
        <f>IF('Data Source'!B886="","",IF('Data Source'!AE886&gt;=5,"A+",IF('Data Source'!AE886&gt;=4,"A",IF('Data Source'!AE886&gt;=3.5,"A-",IF('Data Source'!AE886&gt;=3,"B",IF('Data Source'!AE886&gt;=2,"C",IF('Data Source'!AE886&gt;=1,"D","F")))))))</f>
        <v/>
      </c>
      <c r="N886" s="3">
        <f>IF('Data Source'!B886="","",IF('Data Source'!AF886&gt;=5,"A+",IF('Data Source'!AF886&gt;=4,"A",IF('Data Source'!AF886&gt;=3.5,"A-",IF('Data Source'!AF886&gt;=3,"B",IF('Data Source'!AF886&gt;=2,"C",IF('Data Source'!AF886&gt;=1,"D","F")))))))</f>
        <v/>
      </c>
      <c r="O886" s="3">
        <f>IF('Data Source'!B886="","",IF('Data Source'!AG886&gt;=5,"A+",IF('Data Source'!AG886&gt;=4,"A",IF('Data Source'!AG886&gt;=3.5,"A-",IF('Data Source'!AG886&gt;=3,"B",IF('Data Source'!AG886&gt;=2,"C",IF('Data Source'!AG886&gt;=1,"D","F")))))))</f>
        <v/>
      </c>
      <c r="P886" s="5">
        <f>IF('Data Source'!B886="","",'Data Source'!R886)</f>
        <v/>
      </c>
      <c r="Q886" s="3">
        <f>IF('Data Source'!B886="","",'Data Source'!S886)</f>
        <v/>
      </c>
    </row>
    <row r="887">
      <c r="A887" s="3">
        <f>IF('Data Source'!B887="","",'Data Source'!A887)</f>
        <v/>
      </c>
      <c r="B887">
        <f>IF('Data Source'!B887="","",'Data Source'!B887)</f>
        <v/>
      </c>
      <c r="C887" s="3">
        <f>IF('Data Source'!B887="","",IF('Data Source'!U887&gt;=5,"A+",IF('Data Source'!U887&gt;=4,"A",IF('Data Source'!U887&gt;=3.5,"A-",IF('Data Source'!U887&gt;=3,"B",IF('Data Source'!U887&gt;=2,"C",IF('Data Source'!U887&gt;=1,"D","F")))))))</f>
        <v/>
      </c>
      <c r="D887" s="3">
        <f>IF('Data Source'!B887="","",IF('Data Source'!V887&gt;=5,"A+",IF('Data Source'!V887&gt;=4,"A",IF('Data Source'!V887&gt;=3.5,"A-",IF('Data Source'!V887&gt;=3,"B",IF('Data Source'!V887&gt;=2,"C",IF('Data Source'!V887&gt;=1,"D","F")))))))</f>
        <v/>
      </c>
      <c r="E887" s="3">
        <f>IF('Data Source'!B887="","",IF('Data Source'!W887&gt;=5,"A+",IF('Data Source'!W887&gt;=4,"A",IF('Data Source'!W887&gt;=3.5,"A-",IF('Data Source'!W887&gt;=3,"B",IF('Data Source'!W887&gt;=2,"C",IF('Data Source'!W887&gt;=1,"D","F")))))))</f>
        <v/>
      </c>
      <c r="F887" s="3">
        <f>IF('Data Source'!B887="","",IF('Data Source'!X887&gt;=5,"A+",IF('Data Source'!X887&gt;=4,"A",IF('Data Source'!X887&gt;=3.5,"A-",IF('Data Source'!X887&gt;=3,"B",IF('Data Source'!X887&gt;=2,"C",IF('Data Source'!X887&gt;=1,"D","F")))))))</f>
        <v/>
      </c>
      <c r="G887" s="3">
        <f>IF('Data Source'!B887="","",IF('Data Source'!Y887&gt;=5,"A+",IF('Data Source'!Y887&gt;=4,"A",IF('Data Source'!Y887&gt;=3.5,"A-",IF('Data Source'!Y887&gt;=3,"B",IF('Data Source'!Y887&gt;=2,"C",IF('Data Source'!Y887&gt;=1,"D","F")))))))</f>
        <v/>
      </c>
      <c r="H887" s="3">
        <f>IF('Data Source'!B887="","",IF('Data Source'!Z887&gt;=5,"A+",IF('Data Source'!Z887&gt;=4,"A",IF('Data Source'!Z887&gt;=3.5,"A-",IF('Data Source'!Z887&gt;=3,"B",IF('Data Source'!Z887&gt;=2,"C",IF('Data Source'!Z887&gt;=1,"D","F")))))))</f>
        <v/>
      </c>
      <c r="I887" s="3">
        <f>IF('Data Source'!B887="","",IF('Data Source'!AA887&gt;=5,"A+",IF('Data Source'!AA887&gt;=4,"A",IF('Data Source'!AA887&gt;=3.5,"A-",IF('Data Source'!AA887&gt;=3,"B",IF('Data Source'!AA887&gt;=2,"C",IF('Data Source'!AA887&gt;=1,"D","F")))))))</f>
        <v/>
      </c>
      <c r="J887" s="3">
        <f>IF('Data Source'!B887="","",IF('Data Source'!AB887&gt;=5,"A+",IF('Data Source'!AB887&gt;=4,"A",IF('Data Source'!AB887&gt;=3.5,"A-",IF('Data Source'!AB887&gt;=3,"B",IF('Data Source'!AB887&gt;=2,"C",IF('Data Source'!AB887&gt;=1,"D","F")))))))</f>
        <v/>
      </c>
      <c r="K887" s="3">
        <f>IF('Data Source'!B887="","",IF('Data Source'!AC887&gt;=5,"A+",IF('Data Source'!AC887&gt;=4,"A",IF('Data Source'!AC887&gt;=3.5,"A-",IF('Data Source'!AC887&gt;=3,"B",IF('Data Source'!AC887&gt;=2,"C",IF('Data Source'!AC887&gt;=1,"D","F")))))))</f>
        <v/>
      </c>
      <c r="L887" s="3">
        <f>IF('Data Source'!B887="","",IF('Data Source'!AD887&gt;=5,"A+",IF('Data Source'!AD887&gt;=4,"A",IF('Data Source'!AD887&gt;=3.5,"A-",IF('Data Source'!AD887&gt;=3,"B",IF('Data Source'!AD887&gt;=2,"C",IF('Data Source'!AD887&gt;=1,"D","F")))))))</f>
        <v/>
      </c>
      <c r="M887" s="3">
        <f>IF('Data Source'!B887="","",IF('Data Source'!AE887&gt;=5,"A+",IF('Data Source'!AE887&gt;=4,"A",IF('Data Source'!AE887&gt;=3.5,"A-",IF('Data Source'!AE887&gt;=3,"B",IF('Data Source'!AE887&gt;=2,"C",IF('Data Source'!AE887&gt;=1,"D","F")))))))</f>
        <v/>
      </c>
      <c r="N887" s="3">
        <f>IF('Data Source'!B887="","",IF('Data Source'!AF887&gt;=5,"A+",IF('Data Source'!AF887&gt;=4,"A",IF('Data Source'!AF887&gt;=3.5,"A-",IF('Data Source'!AF887&gt;=3,"B",IF('Data Source'!AF887&gt;=2,"C",IF('Data Source'!AF887&gt;=1,"D","F")))))))</f>
        <v/>
      </c>
      <c r="O887" s="3">
        <f>IF('Data Source'!B887="","",IF('Data Source'!AG887&gt;=5,"A+",IF('Data Source'!AG887&gt;=4,"A",IF('Data Source'!AG887&gt;=3.5,"A-",IF('Data Source'!AG887&gt;=3,"B",IF('Data Source'!AG887&gt;=2,"C",IF('Data Source'!AG887&gt;=1,"D","F")))))))</f>
        <v/>
      </c>
      <c r="P887" s="5">
        <f>IF('Data Source'!B887="","",'Data Source'!R887)</f>
        <v/>
      </c>
      <c r="Q887" s="3">
        <f>IF('Data Source'!B887="","",'Data Source'!S887)</f>
        <v/>
      </c>
    </row>
    <row r="888">
      <c r="A888" s="3">
        <f>IF('Data Source'!B888="","",'Data Source'!A888)</f>
        <v/>
      </c>
      <c r="B888">
        <f>IF('Data Source'!B888="","",'Data Source'!B888)</f>
        <v/>
      </c>
      <c r="C888" s="3">
        <f>IF('Data Source'!B888="","",IF('Data Source'!U888&gt;=5,"A+",IF('Data Source'!U888&gt;=4,"A",IF('Data Source'!U888&gt;=3.5,"A-",IF('Data Source'!U888&gt;=3,"B",IF('Data Source'!U888&gt;=2,"C",IF('Data Source'!U888&gt;=1,"D","F")))))))</f>
        <v/>
      </c>
      <c r="D888" s="3">
        <f>IF('Data Source'!B888="","",IF('Data Source'!V888&gt;=5,"A+",IF('Data Source'!V888&gt;=4,"A",IF('Data Source'!V888&gt;=3.5,"A-",IF('Data Source'!V888&gt;=3,"B",IF('Data Source'!V888&gt;=2,"C",IF('Data Source'!V888&gt;=1,"D","F")))))))</f>
        <v/>
      </c>
      <c r="E888" s="3">
        <f>IF('Data Source'!B888="","",IF('Data Source'!W888&gt;=5,"A+",IF('Data Source'!W888&gt;=4,"A",IF('Data Source'!W888&gt;=3.5,"A-",IF('Data Source'!W888&gt;=3,"B",IF('Data Source'!W888&gt;=2,"C",IF('Data Source'!W888&gt;=1,"D","F")))))))</f>
        <v/>
      </c>
      <c r="F888" s="3">
        <f>IF('Data Source'!B888="","",IF('Data Source'!X888&gt;=5,"A+",IF('Data Source'!X888&gt;=4,"A",IF('Data Source'!X888&gt;=3.5,"A-",IF('Data Source'!X888&gt;=3,"B",IF('Data Source'!X888&gt;=2,"C",IF('Data Source'!X888&gt;=1,"D","F")))))))</f>
        <v/>
      </c>
      <c r="G888" s="3">
        <f>IF('Data Source'!B888="","",IF('Data Source'!Y888&gt;=5,"A+",IF('Data Source'!Y888&gt;=4,"A",IF('Data Source'!Y888&gt;=3.5,"A-",IF('Data Source'!Y888&gt;=3,"B",IF('Data Source'!Y888&gt;=2,"C",IF('Data Source'!Y888&gt;=1,"D","F")))))))</f>
        <v/>
      </c>
      <c r="H888" s="3">
        <f>IF('Data Source'!B888="","",IF('Data Source'!Z888&gt;=5,"A+",IF('Data Source'!Z888&gt;=4,"A",IF('Data Source'!Z888&gt;=3.5,"A-",IF('Data Source'!Z888&gt;=3,"B",IF('Data Source'!Z888&gt;=2,"C",IF('Data Source'!Z888&gt;=1,"D","F")))))))</f>
        <v/>
      </c>
      <c r="I888" s="3">
        <f>IF('Data Source'!B888="","",IF('Data Source'!AA888&gt;=5,"A+",IF('Data Source'!AA888&gt;=4,"A",IF('Data Source'!AA888&gt;=3.5,"A-",IF('Data Source'!AA888&gt;=3,"B",IF('Data Source'!AA888&gt;=2,"C",IF('Data Source'!AA888&gt;=1,"D","F")))))))</f>
        <v/>
      </c>
      <c r="J888" s="3">
        <f>IF('Data Source'!B888="","",IF('Data Source'!AB888&gt;=5,"A+",IF('Data Source'!AB888&gt;=4,"A",IF('Data Source'!AB888&gt;=3.5,"A-",IF('Data Source'!AB888&gt;=3,"B",IF('Data Source'!AB888&gt;=2,"C",IF('Data Source'!AB888&gt;=1,"D","F")))))))</f>
        <v/>
      </c>
      <c r="K888" s="3">
        <f>IF('Data Source'!B888="","",IF('Data Source'!AC888&gt;=5,"A+",IF('Data Source'!AC888&gt;=4,"A",IF('Data Source'!AC888&gt;=3.5,"A-",IF('Data Source'!AC888&gt;=3,"B",IF('Data Source'!AC888&gt;=2,"C",IF('Data Source'!AC888&gt;=1,"D","F")))))))</f>
        <v/>
      </c>
      <c r="L888" s="3">
        <f>IF('Data Source'!B888="","",IF('Data Source'!AD888&gt;=5,"A+",IF('Data Source'!AD888&gt;=4,"A",IF('Data Source'!AD888&gt;=3.5,"A-",IF('Data Source'!AD888&gt;=3,"B",IF('Data Source'!AD888&gt;=2,"C",IF('Data Source'!AD888&gt;=1,"D","F")))))))</f>
        <v/>
      </c>
      <c r="M888" s="3">
        <f>IF('Data Source'!B888="","",IF('Data Source'!AE888&gt;=5,"A+",IF('Data Source'!AE888&gt;=4,"A",IF('Data Source'!AE888&gt;=3.5,"A-",IF('Data Source'!AE888&gt;=3,"B",IF('Data Source'!AE888&gt;=2,"C",IF('Data Source'!AE888&gt;=1,"D","F")))))))</f>
        <v/>
      </c>
      <c r="N888" s="3">
        <f>IF('Data Source'!B888="","",IF('Data Source'!AF888&gt;=5,"A+",IF('Data Source'!AF888&gt;=4,"A",IF('Data Source'!AF888&gt;=3.5,"A-",IF('Data Source'!AF888&gt;=3,"B",IF('Data Source'!AF888&gt;=2,"C",IF('Data Source'!AF888&gt;=1,"D","F")))))))</f>
        <v/>
      </c>
      <c r="O888" s="3">
        <f>IF('Data Source'!B888="","",IF('Data Source'!AG888&gt;=5,"A+",IF('Data Source'!AG888&gt;=4,"A",IF('Data Source'!AG888&gt;=3.5,"A-",IF('Data Source'!AG888&gt;=3,"B",IF('Data Source'!AG888&gt;=2,"C",IF('Data Source'!AG888&gt;=1,"D","F")))))))</f>
        <v/>
      </c>
      <c r="P888" s="5">
        <f>IF('Data Source'!B888="","",'Data Source'!R888)</f>
        <v/>
      </c>
      <c r="Q888" s="3">
        <f>IF('Data Source'!B888="","",'Data Source'!S888)</f>
        <v/>
      </c>
    </row>
    <row r="889">
      <c r="A889" s="3">
        <f>IF('Data Source'!B889="","",'Data Source'!A889)</f>
        <v/>
      </c>
      <c r="B889">
        <f>IF('Data Source'!B889="","",'Data Source'!B889)</f>
        <v/>
      </c>
      <c r="C889" s="3">
        <f>IF('Data Source'!B889="","",IF('Data Source'!U889&gt;=5,"A+",IF('Data Source'!U889&gt;=4,"A",IF('Data Source'!U889&gt;=3.5,"A-",IF('Data Source'!U889&gt;=3,"B",IF('Data Source'!U889&gt;=2,"C",IF('Data Source'!U889&gt;=1,"D","F")))))))</f>
        <v/>
      </c>
      <c r="D889" s="3">
        <f>IF('Data Source'!B889="","",IF('Data Source'!V889&gt;=5,"A+",IF('Data Source'!V889&gt;=4,"A",IF('Data Source'!V889&gt;=3.5,"A-",IF('Data Source'!V889&gt;=3,"B",IF('Data Source'!V889&gt;=2,"C",IF('Data Source'!V889&gt;=1,"D","F")))))))</f>
        <v/>
      </c>
      <c r="E889" s="3">
        <f>IF('Data Source'!B889="","",IF('Data Source'!W889&gt;=5,"A+",IF('Data Source'!W889&gt;=4,"A",IF('Data Source'!W889&gt;=3.5,"A-",IF('Data Source'!W889&gt;=3,"B",IF('Data Source'!W889&gt;=2,"C",IF('Data Source'!W889&gt;=1,"D","F")))))))</f>
        <v/>
      </c>
      <c r="F889" s="3">
        <f>IF('Data Source'!B889="","",IF('Data Source'!X889&gt;=5,"A+",IF('Data Source'!X889&gt;=4,"A",IF('Data Source'!X889&gt;=3.5,"A-",IF('Data Source'!X889&gt;=3,"B",IF('Data Source'!X889&gt;=2,"C",IF('Data Source'!X889&gt;=1,"D","F")))))))</f>
        <v/>
      </c>
      <c r="G889" s="3">
        <f>IF('Data Source'!B889="","",IF('Data Source'!Y889&gt;=5,"A+",IF('Data Source'!Y889&gt;=4,"A",IF('Data Source'!Y889&gt;=3.5,"A-",IF('Data Source'!Y889&gt;=3,"B",IF('Data Source'!Y889&gt;=2,"C",IF('Data Source'!Y889&gt;=1,"D","F")))))))</f>
        <v/>
      </c>
      <c r="H889" s="3">
        <f>IF('Data Source'!B889="","",IF('Data Source'!Z889&gt;=5,"A+",IF('Data Source'!Z889&gt;=4,"A",IF('Data Source'!Z889&gt;=3.5,"A-",IF('Data Source'!Z889&gt;=3,"B",IF('Data Source'!Z889&gt;=2,"C",IF('Data Source'!Z889&gt;=1,"D","F")))))))</f>
        <v/>
      </c>
      <c r="I889" s="3">
        <f>IF('Data Source'!B889="","",IF('Data Source'!AA889&gt;=5,"A+",IF('Data Source'!AA889&gt;=4,"A",IF('Data Source'!AA889&gt;=3.5,"A-",IF('Data Source'!AA889&gt;=3,"B",IF('Data Source'!AA889&gt;=2,"C",IF('Data Source'!AA889&gt;=1,"D","F")))))))</f>
        <v/>
      </c>
      <c r="J889" s="3">
        <f>IF('Data Source'!B889="","",IF('Data Source'!AB889&gt;=5,"A+",IF('Data Source'!AB889&gt;=4,"A",IF('Data Source'!AB889&gt;=3.5,"A-",IF('Data Source'!AB889&gt;=3,"B",IF('Data Source'!AB889&gt;=2,"C",IF('Data Source'!AB889&gt;=1,"D","F")))))))</f>
        <v/>
      </c>
      <c r="K889" s="3">
        <f>IF('Data Source'!B889="","",IF('Data Source'!AC889&gt;=5,"A+",IF('Data Source'!AC889&gt;=4,"A",IF('Data Source'!AC889&gt;=3.5,"A-",IF('Data Source'!AC889&gt;=3,"B",IF('Data Source'!AC889&gt;=2,"C",IF('Data Source'!AC889&gt;=1,"D","F")))))))</f>
        <v/>
      </c>
      <c r="L889" s="3">
        <f>IF('Data Source'!B889="","",IF('Data Source'!AD889&gt;=5,"A+",IF('Data Source'!AD889&gt;=4,"A",IF('Data Source'!AD889&gt;=3.5,"A-",IF('Data Source'!AD889&gt;=3,"B",IF('Data Source'!AD889&gt;=2,"C",IF('Data Source'!AD889&gt;=1,"D","F")))))))</f>
        <v/>
      </c>
      <c r="M889" s="3">
        <f>IF('Data Source'!B889="","",IF('Data Source'!AE889&gt;=5,"A+",IF('Data Source'!AE889&gt;=4,"A",IF('Data Source'!AE889&gt;=3.5,"A-",IF('Data Source'!AE889&gt;=3,"B",IF('Data Source'!AE889&gt;=2,"C",IF('Data Source'!AE889&gt;=1,"D","F")))))))</f>
        <v/>
      </c>
      <c r="N889" s="3">
        <f>IF('Data Source'!B889="","",IF('Data Source'!AF889&gt;=5,"A+",IF('Data Source'!AF889&gt;=4,"A",IF('Data Source'!AF889&gt;=3.5,"A-",IF('Data Source'!AF889&gt;=3,"B",IF('Data Source'!AF889&gt;=2,"C",IF('Data Source'!AF889&gt;=1,"D","F")))))))</f>
        <v/>
      </c>
      <c r="O889" s="3">
        <f>IF('Data Source'!B889="","",IF('Data Source'!AG889&gt;=5,"A+",IF('Data Source'!AG889&gt;=4,"A",IF('Data Source'!AG889&gt;=3.5,"A-",IF('Data Source'!AG889&gt;=3,"B",IF('Data Source'!AG889&gt;=2,"C",IF('Data Source'!AG889&gt;=1,"D","F")))))))</f>
        <v/>
      </c>
      <c r="P889" s="5">
        <f>IF('Data Source'!B889="","",'Data Source'!R889)</f>
        <v/>
      </c>
      <c r="Q889" s="3">
        <f>IF('Data Source'!B889="","",'Data Source'!S889)</f>
        <v/>
      </c>
    </row>
    <row r="890">
      <c r="A890" s="3">
        <f>IF('Data Source'!B890="","",'Data Source'!A890)</f>
        <v/>
      </c>
      <c r="B890">
        <f>IF('Data Source'!B890="","",'Data Source'!B890)</f>
        <v/>
      </c>
      <c r="C890" s="3">
        <f>IF('Data Source'!B890="","",IF('Data Source'!U890&gt;=5,"A+",IF('Data Source'!U890&gt;=4,"A",IF('Data Source'!U890&gt;=3.5,"A-",IF('Data Source'!U890&gt;=3,"B",IF('Data Source'!U890&gt;=2,"C",IF('Data Source'!U890&gt;=1,"D","F")))))))</f>
        <v/>
      </c>
      <c r="D890" s="3">
        <f>IF('Data Source'!B890="","",IF('Data Source'!V890&gt;=5,"A+",IF('Data Source'!V890&gt;=4,"A",IF('Data Source'!V890&gt;=3.5,"A-",IF('Data Source'!V890&gt;=3,"B",IF('Data Source'!V890&gt;=2,"C",IF('Data Source'!V890&gt;=1,"D","F")))))))</f>
        <v/>
      </c>
      <c r="E890" s="3">
        <f>IF('Data Source'!B890="","",IF('Data Source'!W890&gt;=5,"A+",IF('Data Source'!W890&gt;=4,"A",IF('Data Source'!W890&gt;=3.5,"A-",IF('Data Source'!W890&gt;=3,"B",IF('Data Source'!W890&gt;=2,"C",IF('Data Source'!W890&gt;=1,"D","F")))))))</f>
        <v/>
      </c>
      <c r="F890" s="3">
        <f>IF('Data Source'!B890="","",IF('Data Source'!X890&gt;=5,"A+",IF('Data Source'!X890&gt;=4,"A",IF('Data Source'!X890&gt;=3.5,"A-",IF('Data Source'!X890&gt;=3,"B",IF('Data Source'!X890&gt;=2,"C",IF('Data Source'!X890&gt;=1,"D","F")))))))</f>
        <v/>
      </c>
      <c r="G890" s="3">
        <f>IF('Data Source'!B890="","",IF('Data Source'!Y890&gt;=5,"A+",IF('Data Source'!Y890&gt;=4,"A",IF('Data Source'!Y890&gt;=3.5,"A-",IF('Data Source'!Y890&gt;=3,"B",IF('Data Source'!Y890&gt;=2,"C",IF('Data Source'!Y890&gt;=1,"D","F")))))))</f>
        <v/>
      </c>
      <c r="H890" s="3">
        <f>IF('Data Source'!B890="","",IF('Data Source'!Z890&gt;=5,"A+",IF('Data Source'!Z890&gt;=4,"A",IF('Data Source'!Z890&gt;=3.5,"A-",IF('Data Source'!Z890&gt;=3,"B",IF('Data Source'!Z890&gt;=2,"C",IF('Data Source'!Z890&gt;=1,"D","F")))))))</f>
        <v/>
      </c>
      <c r="I890" s="3">
        <f>IF('Data Source'!B890="","",IF('Data Source'!AA890&gt;=5,"A+",IF('Data Source'!AA890&gt;=4,"A",IF('Data Source'!AA890&gt;=3.5,"A-",IF('Data Source'!AA890&gt;=3,"B",IF('Data Source'!AA890&gt;=2,"C",IF('Data Source'!AA890&gt;=1,"D","F")))))))</f>
        <v/>
      </c>
      <c r="J890" s="3">
        <f>IF('Data Source'!B890="","",IF('Data Source'!AB890&gt;=5,"A+",IF('Data Source'!AB890&gt;=4,"A",IF('Data Source'!AB890&gt;=3.5,"A-",IF('Data Source'!AB890&gt;=3,"B",IF('Data Source'!AB890&gt;=2,"C",IF('Data Source'!AB890&gt;=1,"D","F")))))))</f>
        <v/>
      </c>
      <c r="K890" s="3">
        <f>IF('Data Source'!B890="","",IF('Data Source'!AC890&gt;=5,"A+",IF('Data Source'!AC890&gt;=4,"A",IF('Data Source'!AC890&gt;=3.5,"A-",IF('Data Source'!AC890&gt;=3,"B",IF('Data Source'!AC890&gt;=2,"C",IF('Data Source'!AC890&gt;=1,"D","F")))))))</f>
        <v/>
      </c>
      <c r="L890" s="3">
        <f>IF('Data Source'!B890="","",IF('Data Source'!AD890&gt;=5,"A+",IF('Data Source'!AD890&gt;=4,"A",IF('Data Source'!AD890&gt;=3.5,"A-",IF('Data Source'!AD890&gt;=3,"B",IF('Data Source'!AD890&gt;=2,"C",IF('Data Source'!AD890&gt;=1,"D","F")))))))</f>
        <v/>
      </c>
      <c r="M890" s="3">
        <f>IF('Data Source'!B890="","",IF('Data Source'!AE890&gt;=5,"A+",IF('Data Source'!AE890&gt;=4,"A",IF('Data Source'!AE890&gt;=3.5,"A-",IF('Data Source'!AE890&gt;=3,"B",IF('Data Source'!AE890&gt;=2,"C",IF('Data Source'!AE890&gt;=1,"D","F")))))))</f>
        <v/>
      </c>
      <c r="N890" s="3">
        <f>IF('Data Source'!B890="","",IF('Data Source'!AF890&gt;=5,"A+",IF('Data Source'!AF890&gt;=4,"A",IF('Data Source'!AF890&gt;=3.5,"A-",IF('Data Source'!AF890&gt;=3,"B",IF('Data Source'!AF890&gt;=2,"C",IF('Data Source'!AF890&gt;=1,"D","F")))))))</f>
        <v/>
      </c>
      <c r="O890" s="3">
        <f>IF('Data Source'!B890="","",IF('Data Source'!AG890&gt;=5,"A+",IF('Data Source'!AG890&gt;=4,"A",IF('Data Source'!AG890&gt;=3.5,"A-",IF('Data Source'!AG890&gt;=3,"B",IF('Data Source'!AG890&gt;=2,"C",IF('Data Source'!AG890&gt;=1,"D","F")))))))</f>
        <v/>
      </c>
      <c r="P890" s="5">
        <f>IF('Data Source'!B890="","",'Data Source'!R890)</f>
        <v/>
      </c>
      <c r="Q890" s="3">
        <f>IF('Data Source'!B890="","",'Data Source'!S890)</f>
        <v/>
      </c>
    </row>
    <row r="891">
      <c r="A891" s="3">
        <f>IF('Data Source'!B891="","",'Data Source'!A891)</f>
        <v/>
      </c>
      <c r="B891">
        <f>IF('Data Source'!B891="","",'Data Source'!B891)</f>
        <v/>
      </c>
      <c r="C891" s="3">
        <f>IF('Data Source'!B891="","",IF('Data Source'!U891&gt;=5,"A+",IF('Data Source'!U891&gt;=4,"A",IF('Data Source'!U891&gt;=3.5,"A-",IF('Data Source'!U891&gt;=3,"B",IF('Data Source'!U891&gt;=2,"C",IF('Data Source'!U891&gt;=1,"D","F")))))))</f>
        <v/>
      </c>
      <c r="D891" s="3">
        <f>IF('Data Source'!B891="","",IF('Data Source'!V891&gt;=5,"A+",IF('Data Source'!V891&gt;=4,"A",IF('Data Source'!V891&gt;=3.5,"A-",IF('Data Source'!V891&gt;=3,"B",IF('Data Source'!V891&gt;=2,"C",IF('Data Source'!V891&gt;=1,"D","F")))))))</f>
        <v/>
      </c>
      <c r="E891" s="3">
        <f>IF('Data Source'!B891="","",IF('Data Source'!W891&gt;=5,"A+",IF('Data Source'!W891&gt;=4,"A",IF('Data Source'!W891&gt;=3.5,"A-",IF('Data Source'!W891&gt;=3,"B",IF('Data Source'!W891&gt;=2,"C",IF('Data Source'!W891&gt;=1,"D","F")))))))</f>
        <v/>
      </c>
      <c r="F891" s="3">
        <f>IF('Data Source'!B891="","",IF('Data Source'!X891&gt;=5,"A+",IF('Data Source'!X891&gt;=4,"A",IF('Data Source'!X891&gt;=3.5,"A-",IF('Data Source'!X891&gt;=3,"B",IF('Data Source'!X891&gt;=2,"C",IF('Data Source'!X891&gt;=1,"D","F")))))))</f>
        <v/>
      </c>
      <c r="G891" s="3">
        <f>IF('Data Source'!B891="","",IF('Data Source'!Y891&gt;=5,"A+",IF('Data Source'!Y891&gt;=4,"A",IF('Data Source'!Y891&gt;=3.5,"A-",IF('Data Source'!Y891&gt;=3,"B",IF('Data Source'!Y891&gt;=2,"C",IF('Data Source'!Y891&gt;=1,"D","F")))))))</f>
        <v/>
      </c>
      <c r="H891" s="3">
        <f>IF('Data Source'!B891="","",IF('Data Source'!Z891&gt;=5,"A+",IF('Data Source'!Z891&gt;=4,"A",IF('Data Source'!Z891&gt;=3.5,"A-",IF('Data Source'!Z891&gt;=3,"B",IF('Data Source'!Z891&gt;=2,"C",IF('Data Source'!Z891&gt;=1,"D","F")))))))</f>
        <v/>
      </c>
      <c r="I891" s="3">
        <f>IF('Data Source'!B891="","",IF('Data Source'!AA891&gt;=5,"A+",IF('Data Source'!AA891&gt;=4,"A",IF('Data Source'!AA891&gt;=3.5,"A-",IF('Data Source'!AA891&gt;=3,"B",IF('Data Source'!AA891&gt;=2,"C",IF('Data Source'!AA891&gt;=1,"D","F")))))))</f>
        <v/>
      </c>
      <c r="J891" s="3">
        <f>IF('Data Source'!B891="","",IF('Data Source'!AB891&gt;=5,"A+",IF('Data Source'!AB891&gt;=4,"A",IF('Data Source'!AB891&gt;=3.5,"A-",IF('Data Source'!AB891&gt;=3,"B",IF('Data Source'!AB891&gt;=2,"C",IF('Data Source'!AB891&gt;=1,"D","F")))))))</f>
        <v/>
      </c>
      <c r="K891" s="3">
        <f>IF('Data Source'!B891="","",IF('Data Source'!AC891&gt;=5,"A+",IF('Data Source'!AC891&gt;=4,"A",IF('Data Source'!AC891&gt;=3.5,"A-",IF('Data Source'!AC891&gt;=3,"B",IF('Data Source'!AC891&gt;=2,"C",IF('Data Source'!AC891&gt;=1,"D","F")))))))</f>
        <v/>
      </c>
      <c r="L891" s="3">
        <f>IF('Data Source'!B891="","",IF('Data Source'!AD891&gt;=5,"A+",IF('Data Source'!AD891&gt;=4,"A",IF('Data Source'!AD891&gt;=3.5,"A-",IF('Data Source'!AD891&gt;=3,"B",IF('Data Source'!AD891&gt;=2,"C",IF('Data Source'!AD891&gt;=1,"D","F")))))))</f>
        <v/>
      </c>
      <c r="M891" s="3">
        <f>IF('Data Source'!B891="","",IF('Data Source'!AE891&gt;=5,"A+",IF('Data Source'!AE891&gt;=4,"A",IF('Data Source'!AE891&gt;=3.5,"A-",IF('Data Source'!AE891&gt;=3,"B",IF('Data Source'!AE891&gt;=2,"C",IF('Data Source'!AE891&gt;=1,"D","F")))))))</f>
        <v/>
      </c>
      <c r="N891" s="3">
        <f>IF('Data Source'!B891="","",IF('Data Source'!AF891&gt;=5,"A+",IF('Data Source'!AF891&gt;=4,"A",IF('Data Source'!AF891&gt;=3.5,"A-",IF('Data Source'!AF891&gt;=3,"B",IF('Data Source'!AF891&gt;=2,"C",IF('Data Source'!AF891&gt;=1,"D","F")))))))</f>
        <v/>
      </c>
      <c r="O891" s="3">
        <f>IF('Data Source'!B891="","",IF('Data Source'!AG891&gt;=5,"A+",IF('Data Source'!AG891&gt;=4,"A",IF('Data Source'!AG891&gt;=3.5,"A-",IF('Data Source'!AG891&gt;=3,"B",IF('Data Source'!AG891&gt;=2,"C",IF('Data Source'!AG891&gt;=1,"D","F")))))))</f>
        <v/>
      </c>
      <c r="P891" s="5">
        <f>IF('Data Source'!B891="","",'Data Source'!R891)</f>
        <v/>
      </c>
      <c r="Q891" s="3">
        <f>IF('Data Source'!B891="","",'Data Source'!S891)</f>
        <v/>
      </c>
    </row>
    <row r="892">
      <c r="A892" s="3">
        <f>IF('Data Source'!B892="","",'Data Source'!A892)</f>
        <v/>
      </c>
      <c r="B892">
        <f>IF('Data Source'!B892="","",'Data Source'!B892)</f>
        <v/>
      </c>
      <c r="C892" s="3">
        <f>IF('Data Source'!B892="","",IF('Data Source'!U892&gt;=5,"A+",IF('Data Source'!U892&gt;=4,"A",IF('Data Source'!U892&gt;=3.5,"A-",IF('Data Source'!U892&gt;=3,"B",IF('Data Source'!U892&gt;=2,"C",IF('Data Source'!U892&gt;=1,"D","F")))))))</f>
        <v/>
      </c>
      <c r="D892" s="3">
        <f>IF('Data Source'!B892="","",IF('Data Source'!V892&gt;=5,"A+",IF('Data Source'!V892&gt;=4,"A",IF('Data Source'!V892&gt;=3.5,"A-",IF('Data Source'!V892&gt;=3,"B",IF('Data Source'!V892&gt;=2,"C",IF('Data Source'!V892&gt;=1,"D","F")))))))</f>
        <v/>
      </c>
      <c r="E892" s="3">
        <f>IF('Data Source'!B892="","",IF('Data Source'!W892&gt;=5,"A+",IF('Data Source'!W892&gt;=4,"A",IF('Data Source'!W892&gt;=3.5,"A-",IF('Data Source'!W892&gt;=3,"B",IF('Data Source'!W892&gt;=2,"C",IF('Data Source'!W892&gt;=1,"D","F")))))))</f>
        <v/>
      </c>
      <c r="F892" s="3">
        <f>IF('Data Source'!B892="","",IF('Data Source'!X892&gt;=5,"A+",IF('Data Source'!X892&gt;=4,"A",IF('Data Source'!X892&gt;=3.5,"A-",IF('Data Source'!X892&gt;=3,"B",IF('Data Source'!X892&gt;=2,"C",IF('Data Source'!X892&gt;=1,"D","F")))))))</f>
        <v/>
      </c>
      <c r="G892" s="3">
        <f>IF('Data Source'!B892="","",IF('Data Source'!Y892&gt;=5,"A+",IF('Data Source'!Y892&gt;=4,"A",IF('Data Source'!Y892&gt;=3.5,"A-",IF('Data Source'!Y892&gt;=3,"B",IF('Data Source'!Y892&gt;=2,"C",IF('Data Source'!Y892&gt;=1,"D","F")))))))</f>
        <v/>
      </c>
      <c r="H892" s="3">
        <f>IF('Data Source'!B892="","",IF('Data Source'!Z892&gt;=5,"A+",IF('Data Source'!Z892&gt;=4,"A",IF('Data Source'!Z892&gt;=3.5,"A-",IF('Data Source'!Z892&gt;=3,"B",IF('Data Source'!Z892&gt;=2,"C",IF('Data Source'!Z892&gt;=1,"D","F")))))))</f>
        <v/>
      </c>
      <c r="I892" s="3">
        <f>IF('Data Source'!B892="","",IF('Data Source'!AA892&gt;=5,"A+",IF('Data Source'!AA892&gt;=4,"A",IF('Data Source'!AA892&gt;=3.5,"A-",IF('Data Source'!AA892&gt;=3,"B",IF('Data Source'!AA892&gt;=2,"C",IF('Data Source'!AA892&gt;=1,"D","F")))))))</f>
        <v/>
      </c>
      <c r="J892" s="3">
        <f>IF('Data Source'!B892="","",IF('Data Source'!AB892&gt;=5,"A+",IF('Data Source'!AB892&gt;=4,"A",IF('Data Source'!AB892&gt;=3.5,"A-",IF('Data Source'!AB892&gt;=3,"B",IF('Data Source'!AB892&gt;=2,"C",IF('Data Source'!AB892&gt;=1,"D","F")))))))</f>
        <v/>
      </c>
      <c r="K892" s="3">
        <f>IF('Data Source'!B892="","",IF('Data Source'!AC892&gt;=5,"A+",IF('Data Source'!AC892&gt;=4,"A",IF('Data Source'!AC892&gt;=3.5,"A-",IF('Data Source'!AC892&gt;=3,"B",IF('Data Source'!AC892&gt;=2,"C",IF('Data Source'!AC892&gt;=1,"D","F")))))))</f>
        <v/>
      </c>
      <c r="L892" s="3">
        <f>IF('Data Source'!B892="","",IF('Data Source'!AD892&gt;=5,"A+",IF('Data Source'!AD892&gt;=4,"A",IF('Data Source'!AD892&gt;=3.5,"A-",IF('Data Source'!AD892&gt;=3,"B",IF('Data Source'!AD892&gt;=2,"C",IF('Data Source'!AD892&gt;=1,"D","F")))))))</f>
        <v/>
      </c>
      <c r="M892" s="3">
        <f>IF('Data Source'!B892="","",IF('Data Source'!AE892&gt;=5,"A+",IF('Data Source'!AE892&gt;=4,"A",IF('Data Source'!AE892&gt;=3.5,"A-",IF('Data Source'!AE892&gt;=3,"B",IF('Data Source'!AE892&gt;=2,"C",IF('Data Source'!AE892&gt;=1,"D","F")))))))</f>
        <v/>
      </c>
      <c r="N892" s="3">
        <f>IF('Data Source'!B892="","",IF('Data Source'!AF892&gt;=5,"A+",IF('Data Source'!AF892&gt;=4,"A",IF('Data Source'!AF892&gt;=3.5,"A-",IF('Data Source'!AF892&gt;=3,"B",IF('Data Source'!AF892&gt;=2,"C",IF('Data Source'!AF892&gt;=1,"D","F")))))))</f>
        <v/>
      </c>
      <c r="O892" s="3">
        <f>IF('Data Source'!B892="","",IF('Data Source'!AG892&gt;=5,"A+",IF('Data Source'!AG892&gt;=4,"A",IF('Data Source'!AG892&gt;=3.5,"A-",IF('Data Source'!AG892&gt;=3,"B",IF('Data Source'!AG892&gt;=2,"C",IF('Data Source'!AG892&gt;=1,"D","F")))))))</f>
        <v/>
      </c>
      <c r="P892" s="5">
        <f>IF('Data Source'!B892="","",'Data Source'!R892)</f>
        <v/>
      </c>
      <c r="Q892" s="3">
        <f>IF('Data Source'!B892="","",'Data Source'!S892)</f>
        <v/>
      </c>
    </row>
    <row r="893">
      <c r="A893" s="3">
        <f>IF('Data Source'!B893="","",'Data Source'!A893)</f>
        <v/>
      </c>
      <c r="B893">
        <f>IF('Data Source'!B893="","",'Data Source'!B893)</f>
        <v/>
      </c>
      <c r="C893" s="3">
        <f>IF('Data Source'!B893="","",IF('Data Source'!U893&gt;=5,"A+",IF('Data Source'!U893&gt;=4,"A",IF('Data Source'!U893&gt;=3.5,"A-",IF('Data Source'!U893&gt;=3,"B",IF('Data Source'!U893&gt;=2,"C",IF('Data Source'!U893&gt;=1,"D","F")))))))</f>
        <v/>
      </c>
      <c r="D893" s="3">
        <f>IF('Data Source'!B893="","",IF('Data Source'!V893&gt;=5,"A+",IF('Data Source'!V893&gt;=4,"A",IF('Data Source'!V893&gt;=3.5,"A-",IF('Data Source'!V893&gt;=3,"B",IF('Data Source'!V893&gt;=2,"C",IF('Data Source'!V893&gt;=1,"D","F")))))))</f>
        <v/>
      </c>
      <c r="E893" s="3">
        <f>IF('Data Source'!B893="","",IF('Data Source'!W893&gt;=5,"A+",IF('Data Source'!W893&gt;=4,"A",IF('Data Source'!W893&gt;=3.5,"A-",IF('Data Source'!W893&gt;=3,"B",IF('Data Source'!W893&gt;=2,"C",IF('Data Source'!W893&gt;=1,"D","F")))))))</f>
        <v/>
      </c>
      <c r="F893" s="3">
        <f>IF('Data Source'!B893="","",IF('Data Source'!X893&gt;=5,"A+",IF('Data Source'!X893&gt;=4,"A",IF('Data Source'!X893&gt;=3.5,"A-",IF('Data Source'!X893&gt;=3,"B",IF('Data Source'!X893&gt;=2,"C",IF('Data Source'!X893&gt;=1,"D","F")))))))</f>
        <v/>
      </c>
      <c r="G893" s="3">
        <f>IF('Data Source'!B893="","",IF('Data Source'!Y893&gt;=5,"A+",IF('Data Source'!Y893&gt;=4,"A",IF('Data Source'!Y893&gt;=3.5,"A-",IF('Data Source'!Y893&gt;=3,"B",IF('Data Source'!Y893&gt;=2,"C",IF('Data Source'!Y893&gt;=1,"D","F")))))))</f>
        <v/>
      </c>
      <c r="H893" s="3">
        <f>IF('Data Source'!B893="","",IF('Data Source'!Z893&gt;=5,"A+",IF('Data Source'!Z893&gt;=4,"A",IF('Data Source'!Z893&gt;=3.5,"A-",IF('Data Source'!Z893&gt;=3,"B",IF('Data Source'!Z893&gt;=2,"C",IF('Data Source'!Z893&gt;=1,"D","F")))))))</f>
        <v/>
      </c>
      <c r="I893" s="3">
        <f>IF('Data Source'!B893="","",IF('Data Source'!AA893&gt;=5,"A+",IF('Data Source'!AA893&gt;=4,"A",IF('Data Source'!AA893&gt;=3.5,"A-",IF('Data Source'!AA893&gt;=3,"B",IF('Data Source'!AA893&gt;=2,"C",IF('Data Source'!AA893&gt;=1,"D","F")))))))</f>
        <v/>
      </c>
      <c r="J893" s="3">
        <f>IF('Data Source'!B893="","",IF('Data Source'!AB893&gt;=5,"A+",IF('Data Source'!AB893&gt;=4,"A",IF('Data Source'!AB893&gt;=3.5,"A-",IF('Data Source'!AB893&gt;=3,"B",IF('Data Source'!AB893&gt;=2,"C",IF('Data Source'!AB893&gt;=1,"D","F")))))))</f>
        <v/>
      </c>
      <c r="K893" s="3">
        <f>IF('Data Source'!B893="","",IF('Data Source'!AC893&gt;=5,"A+",IF('Data Source'!AC893&gt;=4,"A",IF('Data Source'!AC893&gt;=3.5,"A-",IF('Data Source'!AC893&gt;=3,"B",IF('Data Source'!AC893&gt;=2,"C",IF('Data Source'!AC893&gt;=1,"D","F")))))))</f>
        <v/>
      </c>
      <c r="L893" s="3">
        <f>IF('Data Source'!B893="","",IF('Data Source'!AD893&gt;=5,"A+",IF('Data Source'!AD893&gt;=4,"A",IF('Data Source'!AD893&gt;=3.5,"A-",IF('Data Source'!AD893&gt;=3,"B",IF('Data Source'!AD893&gt;=2,"C",IF('Data Source'!AD893&gt;=1,"D","F")))))))</f>
        <v/>
      </c>
      <c r="M893" s="3">
        <f>IF('Data Source'!B893="","",IF('Data Source'!AE893&gt;=5,"A+",IF('Data Source'!AE893&gt;=4,"A",IF('Data Source'!AE893&gt;=3.5,"A-",IF('Data Source'!AE893&gt;=3,"B",IF('Data Source'!AE893&gt;=2,"C",IF('Data Source'!AE893&gt;=1,"D","F")))))))</f>
        <v/>
      </c>
      <c r="N893" s="3">
        <f>IF('Data Source'!B893="","",IF('Data Source'!AF893&gt;=5,"A+",IF('Data Source'!AF893&gt;=4,"A",IF('Data Source'!AF893&gt;=3.5,"A-",IF('Data Source'!AF893&gt;=3,"B",IF('Data Source'!AF893&gt;=2,"C",IF('Data Source'!AF893&gt;=1,"D","F")))))))</f>
        <v/>
      </c>
      <c r="O893" s="3">
        <f>IF('Data Source'!B893="","",IF('Data Source'!AG893&gt;=5,"A+",IF('Data Source'!AG893&gt;=4,"A",IF('Data Source'!AG893&gt;=3.5,"A-",IF('Data Source'!AG893&gt;=3,"B",IF('Data Source'!AG893&gt;=2,"C",IF('Data Source'!AG893&gt;=1,"D","F")))))))</f>
        <v/>
      </c>
      <c r="P893" s="5">
        <f>IF('Data Source'!B893="","",'Data Source'!R893)</f>
        <v/>
      </c>
      <c r="Q893" s="3">
        <f>IF('Data Source'!B893="","",'Data Source'!S893)</f>
        <v/>
      </c>
    </row>
    <row r="894">
      <c r="A894" s="3">
        <f>IF('Data Source'!B894="","",'Data Source'!A894)</f>
        <v/>
      </c>
      <c r="B894">
        <f>IF('Data Source'!B894="","",'Data Source'!B894)</f>
        <v/>
      </c>
      <c r="C894" s="3">
        <f>IF('Data Source'!B894="","",IF('Data Source'!U894&gt;=5,"A+",IF('Data Source'!U894&gt;=4,"A",IF('Data Source'!U894&gt;=3.5,"A-",IF('Data Source'!U894&gt;=3,"B",IF('Data Source'!U894&gt;=2,"C",IF('Data Source'!U894&gt;=1,"D","F")))))))</f>
        <v/>
      </c>
      <c r="D894" s="3">
        <f>IF('Data Source'!B894="","",IF('Data Source'!V894&gt;=5,"A+",IF('Data Source'!V894&gt;=4,"A",IF('Data Source'!V894&gt;=3.5,"A-",IF('Data Source'!V894&gt;=3,"B",IF('Data Source'!V894&gt;=2,"C",IF('Data Source'!V894&gt;=1,"D","F")))))))</f>
        <v/>
      </c>
      <c r="E894" s="3">
        <f>IF('Data Source'!B894="","",IF('Data Source'!W894&gt;=5,"A+",IF('Data Source'!W894&gt;=4,"A",IF('Data Source'!W894&gt;=3.5,"A-",IF('Data Source'!W894&gt;=3,"B",IF('Data Source'!W894&gt;=2,"C",IF('Data Source'!W894&gt;=1,"D","F")))))))</f>
        <v/>
      </c>
      <c r="F894" s="3">
        <f>IF('Data Source'!B894="","",IF('Data Source'!X894&gt;=5,"A+",IF('Data Source'!X894&gt;=4,"A",IF('Data Source'!X894&gt;=3.5,"A-",IF('Data Source'!X894&gt;=3,"B",IF('Data Source'!X894&gt;=2,"C",IF('Data Source'!X894&gt;=1,"D","F")))))))</f>
        <v/>
      </c>
      <c r="G894" s="3">
        <f>IF('Data Source'!B894="","",IF('Data Source'!Y894&gt;=5,"A+",IF('Data Source'!Y894&gt;=4,"A",IF('Data Source'!Y894&gt;=3.5,"A-",IF('Data Source'!Y894&gt;=3,"B",IF('Data Source'!Y894&gt;=2,"C",IF('Data Source'!Y894&gt;=1,"D","F")))))))</f>
        <v/>
      </c>
      <c r="H894" s="3">
        <f>IF('Data Source'!B894="","",IF('Data Source'!Z894&gt;=5,"A+",IF('Data Source'!Z894&gt;=4,"A",IF('Data Source'!Z894&gt;=3.5,"A-",IF('Data Source'!Z894&gt;=3,"B",IF('Data Source'!Z894&gt;=2,"C",IF('Data Source'!Z894&gt;=1,"D","F")))))))</f>
        <v/>
      </c>
      <c r="I894" s="3">
        <f>IF('Data Source'!B894="","",IF('Data Source'!AA894&gt;=5,"A+",IF('Data Source'!AA894&gt;=4,"A",IF('Data Source'!AA894&gt;=3.5,"A-",IF('Data Source'!AA894&gt;=3,"B",IF('Data Source'!AA894&gt;=2,"C",IF('Data Source'!AA894&gt;=1,"D","F")))))))</f>
        <v/>
      </c>
      <c r="J894" s="3">
        <f>IF('Data Source'!B894="","",IF('Data Source'!AB894&gt;=5,"A+",IF('Data Source'!AB894&gt;=4,"A",IF('Data Source'!AB894&gt;=3.5,"A-",IF('Data Source'!AB894&gt;=3,"B",IF('Data Source'!AB894&gt;=2,"C",IF('Data Source'!AB894&gt;=1,"D","F")))))))</f>
        <v/>
      </c>
      <c r="K894" s="3">
        <f>IF('Data Source'!B894="","",IF('Data Source'!AC894&gt;=5,"A+",IF('Data Source'!AC894&gt;=4,"A",IF('Data Source'!AC894&gt;=3.5,"A-",IF('Data Source'!AC894&gt;=3,"B",IF('Data Source'!AC894&gt;=2,"C",IF('Data Source'!AC894&gt;=1,"D","F")))))))</f>
        <v/>
      </c>
      <c r="L894" s="3">
        <f>IF('Data Source'!B894="","",IF('Data Source'!AD894&gt;=5,"A+",IF('Data Source'!AD894&gt;=4,"A",IF('Data Source'!AD894&gt;=3.5,"A-",IF('Data Source'!AD894&gt;=3,"B",IF('Data Source'!AD894&gt;=2,"C",IF('Data Source'!AD894&gt;=1,"D","F")))))))</f>
        <v/>
      </c>
      <c r="M894" s="3">
        <f>IF('Data Source'!B894="","",IF('Data Source'!AE894&gt;=5,"A+",IF('Data Source'!AE894&gt;=4,"A",IF('Data Source'!AE894&gt;=3.5,"A-",IF('Data Source'!AE894&gt;=3,"B",IF('Data Source'!AE894&gt;=2,"C",IF('Data Source'!AE894&gt;=1,"D","F")))))))</f>
        <v/>
      </c>
      <c r="N894" s="3">
        <f>IF('Data Source'!B894="","",IF('Data Source'!AF894&gt;=5,"A+",IF('Data Source'!AF894&gt;=4,"A",IF('Data Source'!AF894&gt;=3.5,"A-",IF('Data Source'!AF894&gt;=3,"B",IF('Data Source'!AF894&gt;=2,"C",IF('Data Source'!AF894&gt;=1,"D","F")))))))</f>
        <v/>
      </c>
      <c r="O894" s="3">
        <f>IF('Data Source'!B894="","",IF('Data Source'!AG894&gt;=5,"A+",IF('Data Source'!AG894&gt;=4,"A",IF('Data Source'!AG894&gt;=3.5,"A-",IF('Data Source'!AG894&gt;=3,"B",IF('Data Source'!AG894&gt;=2,"C",IF('Data Source'!AG894&gt;=1,"D","F")))))))</f>
        <v/>
      </c>
      <c r="P894" s="5">
        <f>IF('Data Source'!B894="","",'Data Source'!R894)</f>
        <v/>
      </c>
      <c r="Q894" s="3">
        <f>IF('Data Source'!B894="","",'Data Source'!S894)</f>
        <v/>
      </c>
    </row>
    <row r="895">
      <c r="A895" s="3">
        <f>IF('Data Source'!B895="","",'Data Source'!A895)</f>
        <v/>
      </c>
      <c r="B895">
        <f>IF('Data Source'!B895="","",'Data Source'!B895)</f>
        <v/>
      </c>
      <c r="C895" s="3">
        <f>IF('Data Source'!B895="","",IF('Data Source'!U895&gt;=5,"A+",IF('Data Source'!U895&gt;=4,"A",IF('Data Source'!U895&gt;=3.5,"A-",IF('Data Source'!U895&gt;=3,"B",IF('Data Source'!U895&gt;=2,"C",IF('Data Source'!U895&gt;=1,"D","F")))))))</f>
        <v/>
      </c>
      <c r="D895" s="3">
        <f>IF('Data Source'!B895="","",IF('Data Source'!V895&gt;=5,"A+",IF('Data Source'!V895&gt;=4,"A",IF('Data Source'!V895&gt;=3.5,"A-",IF('Data Source'!V895&gt;=3,"B",IF('Data Source'!V895&gt;=2,"C",IF('Data Source'!V895&gt;=1,"D","F")))))))</f>
        <v/>
      </c>
      <c r="E895" s="3">
        <f>IF('Data Source'!B895="","",IF('Data Source'!W895&gt;=5,"A+",IF('Data Source'!W895&gt;=4,"A",IF('Data Source'!W895&gt;=3.5,"A-",IF('Data Source'!W895&gt;=3,"B",IF('Data Source'!W895&gt;=2,"C",IF('Data Source'!W895&gt;=1,"D","F")))))))</f>
        <v/>
      </c>
      <c r="F895" s="3">
        <f>IF('Data Source'!B895="","",IF('Data Source'!X895&gt;=5,"A+",IF('Data Source'!X895&gt;=4,"A",IF('Data Source'!X895&gt;=3.5,"A-",IF('Data Source'!X895&gt;=3,"B",IF('Data Source'!X895&gt;=2,"C",IF('Data Source'!X895&gt;=1,"D","F")))))))</f>
        <v/>
      </c>
      <c r="G895" s="3">
        <f>IF('Data Source'!B895="","",IF('Data Source'!Y895&gt;=5,"A+",IF('Data Source'!Y895&gt;=4,"A",IF('Data Source'!Y895&gt;=3.5,"A-",IF('Data Source'!Y895&gt;=3,"B",IF('Data Source'!Y895&gt;=2,"C",IF('Data Source'!Y895&gt;=1,"D","F")))))))</f>
        <v/>
      </c>
      <c r="H895" s="3">
        <f>IF('Data Source'!B895="","",IF('Data Source'!Z895&gt;=5,"A+",IF('Data Source'!Z895&gt;=4,"A",IF('Data Source'!Z895&gt;=3.5,"A-",IF('Data Source'!Z895&gt;=3,"B",IF('Data Source'!Z895&gt;=2,"C",IF('Data Source'!Z895&gt;=1,"D","F")))))))</f>
        <v/>
      </c>
      <c r="I895" s="3">
        <f>IF('Data Source'!B895="","",IF('Data Source'!AA895&gt;=5,"A+",IF('Data Source'!AA895&gt;=4,"A",IF('Data Source'!AA895&gt;=3.5,"A-",IF('Data Source'!AA895&gt;=3,"B",IF('Data Source'!AA895&gt;=2,"C",IF('Data Source'!AA895&gt;=1,"D","F")))))))</f>
        <v/>
      </c>
      <c r="J895" s="3">
        <f>IF('Data Source'!B895="","",IF('Data Source'!AB895&gt;=5,"A+",IF('Data Source'!AB895&gt;=4,"A",IF('Data Source'!AB895&gt;=3.5,"A-",IF('Data Source'!AB895&gt;=3,"B",IF('Data Source'!AB895&gt;=2,"C",IF('Data Source'!AB895&gt;=1,"D","F")))))))</f>
        <v/>
      </c>
      <c r="K895" s="3">
        <f>IF('Data Source'!B895="","",IF('Data Source'!AC895&gt;=5,"A+",IF('Data Source'!AC895&gt;=4,"A",IF('Data Source'!AC895&gt;=3.5,"A-",IF('Data Source'!AC895&gt;=3,"B",IF('Data Source'!AC895&gt;=2,"C",IF('Data Source'!AC895&gt;=1,"D","F")))))))</f>
        <v/>
      </c>
      <c r="L895" s="3">
        <f>IF('Data Source'!B895="","",IF('Data Source'!AD895&gt;=5,"A+",IF('Data Source'!AD895&gt;=4,"A",IF('Data Source'!AD895&gt;=3.5,"A-",IF('Data Source'!AD895&gt;=3,"B",IF('Data Source'!AD895&gt;=2,"C",IF('Data Source'!AD895&gt;=1,"D","F")))))))</f>
        <v/>
      </c>
      <c r="M895" s="3">
        <f>IF('Data Source'!B895="","",IF('Data Source'!AE895&gt;=5,"A+",IF('Data Source'!AE895&gt;=4,"A",IF('Data Source'!AE895&gt;=3.5,"A-",IF('Data Source'!AE895&gt;=3,"B",IF('Data Source'!AE895&gt;=2,"C",IF('Data Source'!AE895&gt;=1,"D","F")))))))</f>
        <v/>
      </c>
      <c r="N895" s="3">
        <f>IF('Data Source'!B895="","",IF('Data Source'!AF895&gt;=5,"A+",IF('Data Source'!AF895&gt;=4,"A",IF('Data Source'!AF895&gt;=3.5,"A-",IF('Data Source'!AF895&gt;=3,"B",IF('Data Source'!AF895&gt;=2,"C",IF('Data Source'!AF895&gt;=1,"D","F")))))))</f>
        <v/>
      </c>
      <c r="O895" s="3">
        <f>IF('Data Source'!B895="","",IF('Data Source'!AG895&gt;=5,"A+",IF('Data Source'!AG895&gt;=4,"A",IF('Data Source'!AG895&gt;=3.5,"A-",IF('Data Source'!AG895&gt;=3,"B",IF('Data Source'!AG895&gt;=2,"C",IF('Data Source'!AG895&gt;=1,"D","F")))))))</f>
        <v/>
      </c>
      <c r="P895" s="5">
        <f>IF('Data Source'!B895="","",'Data Source'!R895)</f>
        <v/>
      </c>
      <c r="Q895" s="3">
        <f>IF('Data Source'!B895="","",'Data Source'!S895)</f>
        <v/>
      </c>
    </row>
    <row r="896">
      <c r="A896" s="3">
        <f>IF('Data Source'!B896="","",'Data Source'!A896)</f>
        <v/>
      </c>
      <c r="B896">
        <f>IF('Data Source'!B896="","",'Data Source'!B896)</f>
        <v/>
      </c>
      <c r="C896" s="3">
        <f>IF('Data Source'!B896="","",IF('Data Source'!U896&gt;=5,"A+",IF('Data Source'!U896&gt;=4,"A",IF('Data Source'!U896&gt;=3.5,"A-",IF('Data Source'!U896&gt;=3,"B",IF('Data Source'!U896&gt;=2,"C",IF('Data Source'!U896&gt;=1,"D","F")))))))</f>
        <v/>
      </c>
      <c r="D896" s="3">
        <f>IF('Data Source'!B896="","",IF('Data Source'!V896&gt;=5,"A+",IF('Data Source'!V896&gt;=4,"A",IF('Data Source'!V896&gt;=3.5,"A-",IF('Data Source'!V896&gt;=3,"B",IF('Data Source'!V896&gt;=2,"C",IF('Data Source'!V896&gt;=1,"D","F")))))))</f>
        <v/>
      </c>
      <c r="E896" s="3">
        <f>IF('Data Source'!B896="","",IF('Data Source'!W896&gt;=5,"A+",IF('Data Source'!W896&gt;=4,"A",IF('Data Source'!W896&gt;=3.5,"A-",IF('Data Source'!W896&gt;=3,"B",IF('Data Source'!W896&gt;=2,"C",IF('Data Source'!W896&gt;=1,"D","F")))))))</f>
        <v/>
      </c>
      <c r="F896" s="3">
        <f>IF('Data Source'!B896="","",IF('Data Source'!X896&gt;=5,"A+",IF('Data Source'!X896&gt;=4,"A",IF('Data Source'!X896&gt;=3.5,"A-",IF('Data Source'!X896&gt;=3,"B",IF('Data Source'!X896&gt;=2,"C",IF('Data Source'!X896&gt;=1,"D","F")))))))</f>
        <v/>
      </c>
      <c r="G896" s="3">
        <f>IF('Data Source'!B896="","",IF('Data Source'!Y896&gt;=5,"A+",IF('Data Source'!Y896&gt;=4,"A",IF('Data Source'!Y896&gt;=3.5,"A-",IF('Data Source'!Y896&gt;=3,"B",IF('Data Source'!Y896&gt;=2,"C",IF('Data Source'!Y896&gt;=1,"D","F")))))))</f>
        <v/>
      </c>
      <c r="H896" s="3">
        <f>IF('Data Source'!B896="","",IF('Data Source'!Z896&gt;=5,"A+",IF('Data Source'!Z896&gt;=4,"A",IF('Data Source'!Z896&gt;=3.5,"A-",IF('Data Source'!Z896&gt;=3,"B",IF('Data Source'!Z896&gt;=2,"C",IF('Data Source'!Z896&gt;=1,"D","F")))))))</f>
        <v/>
      </c>
      <c r="I896" s="3">
        <f>IF('Data Source'!B896="","",IF('Data Source'!AA896&gt;=5,"A+",IF('Data Source'!AA896&gt;=4,"A",IF('Data Source'!AA896&gt;=3.5,"A-",IF('Data Source'!AA896&gt;=3,"B",IF('Data Source'!AA896&gt;=2,"C",IF('Data Source'!AA896&gt;=1,"D","F")))))))</f>
        <v/>
      </c>
      <c r="J896" s="3">
        <f>IF('Data Source'!B896="","",IF('Data Source'!AB896&gt;=5,"A+",IF('Data Source'!AB896&gt;=4,"A",IF('Data Source'!AB896&gt;=3.5,"A-",IF('Data Source'!AB896&gt;=3,"B",IF('Data Source'!AB896&gt;=2,"C",IF('Data Source'!AB896&gt;=1,"D","F")))))))</f>
        <v/>
      </c>
      <c r="K896" s="3">
        <f>IF('Data Source'!B896="","",IF('Data Source'!AC896&gt;=5,"A+",IF('Data Source'!AC896&gt;=4,"A",IF('Data Source'!AC896&gt;=3.5,"A-",IF('Data Source'!AC896&gt;=3,"B",IF('Data Source'!AC896&gt;=2,"C",IF('Data Source'!AC896&gt;=1,"D","F")))))))</f>
        <v/>
      </c>
      <c r="L896" s="3">
        <f>IF('Data Source'!B896="","",IF('Data Source'!AD896&gt;=5,"A+",IF('Data Source'!AD896&gt;=4,"A",IF('Data Source'!AD896&gt;=3.5,"A-",IF('Data Source'!AD896&gt;=3,"B",IF('Data Source'!AD896&gt;=2,"C",IF('Data Source'!AD896&gt;=1,"D","F")))))))</f>
        <v/>
      </c>
      <c r="M896" s="3">
        <f>IF('Data Source'!B896="","",IF('Data Source'!AE896&gt;=5,"A+",IF('Data Source'!AE896&gt;=4,"A",IF('Data Source'!AE896&gt;=3.5,"A-",IF('Data Source'!AE896&gt;=3,"B",IF('Data Source'!AE896&gt;=2,"C",IF('Data Source'!AE896&gt;=1,"D","F")))))))</f>
        <v/>
      </c>
      <c r="N896" s="3">
        <f>IF('Data Source'!B896="","",IF('Data Source'!AF896&gt;=5,"A+",IF('Data Source'!AF896&gt;=4,"A",IF('Data Source'!AF896&gt;=3.5,"A-",IF('Data Source'!AF896&gt;=3,"B",IF('Data Source'!AF896&gt;=2,"C",IF('Data Source'!AF896&gt;=1,"D","F")))))))</f>
        <v/>
      </c>
      <c r="O896" s="3">
        <f>IF('Data Source'!B896="","",IF('Data Source'!AG896&gt;=5,"A+",IF('Data Source'!AG896&gt;=4,"A",IF('Data Source'!AG896&gt;=3.5,"A-",IF('Data Source'!AG896&gt;=3,"B",IF('Data Source'!AG896&gt;=2,"C",IF('Data Source'!AG896&gt;=1,"D","F")))))))</f>
        <v/>
      </c>
      <c r="P896" s="5">
        <f>IF('Data Source'!B896="","",'Data Source'!R896)</f>
        <v/>
      </c>
      <c r="Q896" s="3">
        <f>IF('Data Source'!B896="","",'Data Source'!S896)</f>
        <v/>
      </c>
    </row>
    <row r="897">
      <c r="A897" s="3">
        <f>IF('Data Source'!B897="","",'Data Source'!A897)</f>
        <v/>
      </c>
      <c r="B897">
        <f>IF('Data Source'!B897="","",'Data Source'!B897)</f>
        <v/>
      </c>
      <c r="C897" s="3">
        <f>IF('Data Source'!B897="","",IF('Data Source'!U897&gt;=5,"A+",IF('Data Source'!U897&gt;=4,"A",IF('Data Source'!U897&gt;=3.5,"A-",IF('Data Source'!U897&gt;=3,"B",IF('Data Source'!U897&gt;=2,"C",IF('Data Source'!U897&gt;=1,"D","F")))))))</f>
        <v/>
      </c>
      <c r="D897" s="3">
        <f>IF('Data Source'!B897="","",IF('Data Source'!V897&gt;=5,"A+",IF('Data Source'!V897&gt;=4,"A",IF('Data Source'!V897&gt;=3.5,"A-",IF('Data Source'!V897&gt;=3,"B",IF('Data Source'!V897&gt;=2,"C",IF('Data Source'!V897&gt;=1,"D","F")))))))</f>
        <v/>
      </c>
      <c r="E897" s="3">
        <f>IF('Data Source'!B897="","",IF('Data Source'!W897&gt;=5,"A+",IF('Data Source'!W897&gt;=4,"A",IF('Data Source'!W897&gt;=3.5,"A-",IF('Data Source'!W897&gt;=3,"B",IF('Data Source'!W897&gt;=2,"C",IF('Data Source'!W897&gt;=1,"D","F")))))))</f>
        <v/>
      </c>
      <c r="F897" s="3">
        <f>IF('Data Source'!B897="","",IF('Data Source'!X897&gt;=5,"A+",IF('Data Source'!X897&gt;=4,"A",IF('Data Source'!X897&gt;=3.5,"A-",IF('Data Source'!X897&gt;=3,"B",IF('Data Source'!X897&gt;=2,"C",IF('Data Source'!X897&gt;=1,"D","F")))))))</f>
        <v/>
      </c>
      <c r="G897" s="3">
        <f>IF('Data Source'!B897="","",IF('Data Source'!Y897&gt;=5,"A+",IF('Data Source'!Y897&gt;=4,"A",IF('Data Source'!Y897&gt;=3.5,"A-",IF('Data Source'!Y897&gt;=3,"B",IF('Data Source'!Y897&gt;=2,"C",IF('Data Source'!Y897&gt;=1,"D","F")))))))</f>
        <v/>
      </c>
      <c r="H897" s="3">
        <f>IF('Data Source'!B897="","",IF('Data Source'!Z897&gt;=5,"A+",IF('Data Source'!Z897&gt;=4,"A",IF('Data Source'!Z897&gt;=3.5,"A-",IF('Data Source'!Z897&gt;=3,"B",IF('Data Source'!Z897&gt;=2,"C",IF('Data Source'!Z897&gt;=1,"D","F")))))))</f>
        <v/>
      </c>
      <c r="I897" s="3">
        <f>IF('Data Source'!B897="","",IF('Data Source'!AA897&gt;=5,"A+",IF('Data Source'!AA897&gt;=4,"A",IF('Data Source'!AA897&gt;=3.5,"A-",IF('Data Source'!AA897&gt;=3,"B",IF('Data Source'!AA897&gt;=2,"C",IF('Data Source'!AA897&gt;=1,"D","F")))))))</f>
        <v/>
      </c>
      <c r="J897" s="3">
        <f>IF('Data Source'!B897="","",IF('Data Source'!AB897&gt;=5,"A+",IF('Data Source'!AB897&gt;=4,"A",IF('Data Source'!AB897&gt;=3.5,"A-",IF('Data Source'!AB897&gt;=3,"B",IF('Data Source'!AB897&gt;=2,"C",IF('Data Source'!AB897&gt;=1,"D","F")))))))</f>
        <v/>
      </c>
      <c r="K897" s="3">
        <f>IF('Data Source'!B897="","",IF('Data Source'!AC897&gt;=5,"A+",IF('Data Source'!AC897&gt;=4,"A",IF('Data Source'!AC897&gt;=3.5,"A-",IF('Data Source'!AC897&gt;=3,"B",IF('Data Source'!AC897&gt;=2,"C",IF('Data Source'!AC897&gt;=1,"D","F")))))))</f>
        <v/>
      </c>
      <c r="L897" s="3">
        <f>IF('Data Source'!B897="","",IF('Data Source'!AD897&gt;=5,"A+",IF('Data Source'!AD897&gt;=4,"A",IF('Data Source'!AD897&gt;=3.5,"A-",IF('Data Source'!AD897&gt;=3,"B",IF('Data Source'!AD897&gt;=2,"C",IF('Data Source'!AD897&gt;=1,"D","F")))))))</f>
        <v/>
      </c>
      <c r="M897" s="3">
        <f>IF('Data Source'!B897="","",IF('Data Source'!AE897&gt;=5,"A+",IF('Data Source'!AE897&gt;=4,"A",IF('Data Source'!AE897&gt;=3.5,"A-",IF('Data Source'!AE897&gt;=3,"B",IF('Data Source'!AE897&gt;=2,"C",IF('Data Source'!AE897&gt;=1,"D","F")))))))</f>
        <v/>
      </c>
      <c r="N897" s="3">
        <f>IF('Data Source'!B897="","",IF('Data Source'!AF897&gt;=5,"A+",IF('Data Source'!AF897&gt;=4,"A",IF('Data Source'!AF897&gt;=3.5,"A-",IF('Data Source'!AF897&gt;=3,"B",IF('Data Source'!AF897&gt;=2,"C",IF('Data Source'!AF897&gt;=1,"D","F")))))))</f>
        <v/>
      </c>
      <c r="O897" s="3">
        <f>IF('Data Source'!B897="","",IF('Data Source'!AG897&gt;=5,"A+",IF('Data Source'!AG897&gt;=4,"A",IF('Data Source'!AG897&gt;=3.5,"A-",IF('Data Source'!AG897&gt;=3,"B",IF('Data Source'!AG897&gt;=2,"C",IF('Data Source'!AG897&gt;=1,"D","F")))))))</f>
        <v/>
      </c>
      <c r="P897" s="5">
        <f>IF('Data Source'!B897="","",'Data Source'!R897)</f>
        <v/>
      </c>
      <c r="Q897" s="3">
        <f>IF('Data Source'!B897="","",'Data Source'!S897)</f>
        <v/>
      </c>
    </row>
    <row r="898">
      <c r="A898" s="3">
        <f>IF('Data Source'!B898="","",'Data Source'!A898)</f>
        <v/>
      </c>
      <c r="B898">
        <f>IF('Data Source'!B898="","",'Data Source'!B898)</f>
        <v/>
      </c>
      <c r="C898" s="3">
        <f>IF('Data Source'!B898="","",IF('Data Source'!U898&gt;=5,"A+",IF('Data Source'!U898&gt;=4,"A",IF('Data Source'!U898&gt;=3.5,"A-",IF('Data Source'!U898&gt;=3,"B",IF('Data Source'!U898&gt;=2,"C",IF('Data Source'!U898&gt;=1,"D","F")))))))</f>
        <v/>
      </c>
      <c r="D898" s="3">
        <f>IF('Data Source'!B898="","",IF('Data Source'!V898&gt;=5,"A+",IF('Data Source'!V898&gt;=4,"A",IF('Data Source'!V898&gt;=3.5,"A-",IF('Data Source'!V898&gt;=3,"B",IF('Data Source'!V898&gt;=2,"C",IF('Data Source'!V898&gt;=1,"D","F")))))))</f>
        <v/>
      </c>
      <c r="E898" s="3">
        <f>IF('Data Source'!B898="","",IF('Data Source'!W898&gt;=5,"A+",IF('Data Source'!W898&gt;=4,"A",IF('Data Source'!W898&gt;=3.5,"A-",IF('Data Source'!W898&gt;=3,"B",IF('Data Source'!W898&gt;=2,"C",IF('Data Source'!W898&gt;=1,"D","F")))))))</f>
        <v/>
      </c>
      <c r="F898" s="3">
        <f>IF('Data Source'!B898="","",IF('Data Source'!X898&gt;=5,"A+",IF('Data Source'!X898&gt;=4,"A",IF('Data Source'!X898&gt;=3.5,"A-",IF('Data Source'!X898&gt;=3,"B",IF('Data Source'!X898&gt;=2,"C",IF('Data Source'!X898&gt;=1,"D","F")))))))</f>
        <v/>
      </c>
      <c r="G898" s="3">
        <f>IF('Data Source'!B898="","",IF('Data Source'!Y898&gt;=5,"A+",IF('Data Source'!Y898&gt;=4,"A",IF('Data Source'!Y898&gt;=3.5,"A-",IF('Data Source'!Y898&gt;=3,"B",IF('Data Source'!Y898&gt;=2,"C",IF('Data Source'!Y898&gt;=1,"D","F")))))))</f>
        <v/>
      </c>
      <c r="H898" s="3">
        <f>IF('Data Source'!B898="","",IF('Data Source'!Z898&gt;=5,"A+",IF('Data Source'!Z898&gt;=4,"A",IF('Data Source'!Z898&gt;=3.5,"A-",IF('Data Source'!Z898&gt;=3,"B",IF('Data Source'!Z898&gt;=2,"C",IF('Data Source'!Z898&gt;=1,"D","F")))))))</f>
        <v/>
      </c>
      <c r="I898" s="3">
        <f>IF('Data Source'!B898="","",IF('Data Source'!AA898&gt;=5,"A+",IF('Data Source'!AA898&gt;=4,"A",IF('Data Source'!AA898&gt;=3.5,"A-",IF('Data Source'!AA898&gt;=3,"B",IF('Data Source'!AA898&gt;=2,"C",IF('Data Source'!AA898&gt;=1,"D","F")))))))</f>
        <v/>
      </c>
      <c r="J898" s="3">
        <f>IF('Data Source'!B898="","",IF('Data Source'!AB898&gt;=5,"A+",IF('Data Source'!AB898&gt;=4,"A",IF('Data Source'!AB898&gt;=3.5,"A-",IF('Data Source'!AB898&gt;=3,"B",IF('Data Source'!AB898&gt;=2,"C",IF('Data Source'!AB898&gt;=1,"D","F")))))))</f>
        <v/>
      </c>
      <c r="K898" s="3">
        <f>IF('Data Source'!B898="","",IF('Data Source'!AC898&gt;=5,"A+",IF('Data Source'!AC898&gt;=4,"A",IF('Data Source'!AC898&gt;=3.5,"A-",IF('Data Source'!AC898&gt;=3,"B",IF('Data Source'!AC898&gt;=2,"C",IF('Data Source'!AC898&gt;=1,"D","F")))))))</f>
        <v/>
      </c>
      <c r="L898" s="3">
        <f>IF('Data Source'!B898="","",IF('Data Source'!AD898&gt;=5,"A+",IF('Data Source'!AD898&gt;=4,"A",IF('Data Source'!AD898&gt;=3.5,"A-",IF('Data Source'!AD898&gt;=3,"B",IF('Data Source'!AD898&gt;=2,"C",IF('Data Source'!AD898&gt;=1,"D","F")))))))</f>
        <v/>
      </c>
      <c r="M898" s="3">
        <f>IF('Data Source'!B898="","",IF('Data Source'!AE898&gt;=5,"A+",IF('Data Source'!AE898&gt;=4,"A",IF('Data Source'!AE898&gt;=3.5,"A-",IF('Data Source'!AE898&gt;=3,"B",IF('Data Source'!AE898&gt;=2,"C",IF('Data Source'!AE898&gt;=1,"D","F")))))))</f>
        <v/>
      </c>
      <c r="N898" s="3">
        <f>IF('Data Source'!B898="","",IF('Data Source'!AF898&gt;=5,"A+",IF('Data Source'!AF898&gt;=4,"A",IF('Data Source'!AF898&gt;=3.5,"A-",IF('Data Source'!AF898&gt;=3,"B",IF('Data Source'!AF898&gt;=2,"C",IF('Data Source'!AF898&gt;=1,"D","F")))))))</f>
        <v/>
      </c>
      <c r="O898" s="3">
        <f>IF('Data Source'!B898="","",IF('Data Source'!AG898&gt;=5,"A+",IF('Data Source'!AG898&gt;=4,"A",IF('Data Source'!AG898&gt;=3.5,"A-",IF('Data Source'!AG898&gt;=3,"B",IF('Data Source'!AG898&gt;=2,"C",IF('Data Source'!AG898&gt;=1,"D","F")))))))</f>
        <v/>
      </c>
      <c r="P898" s="5">
        <f>IF('Data Source'!B898="","",'Data Source'!R898)</f>
        <v/>
      </c>
      <c r="Q898" s="3">
        <f>IF('Data Source'!B898="","",'Data Source'!S898)</f>
        <v/>
      </c>
    </row>
    <row r="899">
      <c r="A899" s="3">
        <f>IF('Data Source'!B899="","",'Data Source'!A899)</f>
        <v/>
      </c>
      <c r="B899">
        <f>IF('Data Source'!B899="","",'Data Source'!B899)</f>
        <v/>
      </c>
      <c r="C899" s="3">
        <f>IF('Data Source'!B899="","",IF('Data Source'!U899&gt;=5,"A+",IF('Data Source'!U899&gt;=4,"A",IF('Data Source'!U899&gt;=3.5,"A-",IF('Data Source'!U899&gt;=3,"B",IF('Data Source'!U899&gt;=2,"C",IF('Data Source'!U899&gt;=1,"D","F")))))))</f>
        <v/>
      </c>
      <c r="D899" s="3">
        <f>IF('Data Source'!B899="","",IF('Data Source'!V899&gt;=5,"A+",IF('Data Source'!V899&gt;=4,"A",IF('Data Source'!V899&gt;=3.5,"A-",IF('Data Source'!V899&gt;=3,"B",IF('Data Source'!V899&gt;=2,"C",IF('Data Source'!V899&gt;=1,"D","F")))))))</f>
        <v/>
      </c>
      <c r="E899" s="3">
        <f>IF('Data Source'!B899="","",IF('Data Source'!W899&gt;=5,"A+",IF('Data Source'!W899&gt;=4,"A",IF('Data Source'!W899&gt;=3.5,"A-",IF('Data Source'!W899&gt;=3,"B",IF('Data Source'!W899&gt;=2,"C",IF('Data Source'!W899&gt;=1,"D","F")))))))</f>
        <v/>
      </c>
      <c r="F899" s="3">
        <f>IF('Data Source'!B899="","",IF('Data Source'!X899&gt;=5,"A+",IF('Data Source'!X899&gt;=4,"A",IF('Data Source'!X899&gt;=3.5,"A-",IF('Data Source'!X899&gt;=3,"B",IF('Data Source'!X899&gt;=2,"C",IF('Data Source'!X899&gt;=1,"D","F")))))))</f>
        <v/>
      </c>
      <c r="G899" s="3">
        <f>IF('Data Source'!B899="","",IF('Data Source'!Y899&gt;=5,"A+",IF('Data Source'!Y899&gt;=4,"A",IF('Data Source'!Y899&gt;=3.5,"A-",IF('Data Source'!Y899&gt;=3,"B",IF('Data Source'!Y899&gt;=2,"C",IF('Data Source'!Y899&gt;=1,"D","F")))))))</f>
        <v/>
      </c>
      <c r="H899" s="3">
        <f>IF('Data Source'!B899="","",IF('Data Source'!Z899&gt;=5,"A+",IF('Data Source'!Z899&gt;=4,"A",IF('Data Source'!Z899&gt;=3.5,"A-",IF('Data Source'!Z899&gt;=3,"B",IF('Data Source'!Z899&gt;=2,"C",IF('Data Source'!Z899&gt;=1,"D","F")))))))</f>
        <v/>
      </c>
      <c r="I899" s="3">
        <f>IF('Data Source'!B899="","",IF('Data Source'!AA899&gt;=5,"A+",IF('Data Source'!AA899&gt;=4,"A",IF('Data Source'!AA899&gt;=3.5,"A-",IF('Data Source'!AA899&gt;=3,"B",IF('Data Source'!AA899&gt;=2,"C",IF('Data Source'!AA899&gt;=1,"D","F")))))))</f>
        <v/>
      </c>
      <c r="J899" s="3">
        <f>IF('Data Source'!B899="","",IF('Data Source'!AB899&gt;=5,"A+",IF('Data Source'!AB899&gt;=4,"A",IF('Data Source'!AB899&gt;=3.5,"A-",IF('Data Source'!AB899&gt;=3,"B",IF('Data Source'!AB899&gt;=2,"C",IF('Data Source'!AB899&gt;=1,"D","F")))))))</f>
        <v/>
      </c>
      <c r="K899" s="3">
        <f>IF('Data Source'!B899="","",IF('Data Source'!AC899&gt;=5,"A+",IF('Data Source'!AC899&gt;=4,"A",IF('Data Source'!AC899&gt;=3.5,"A-",IF('Data Source'!AC899&gt;=3,"B",IF('Data Source'!AC899&gt;=2,"C",IF('Data Source'!AC899&gt;=1,"D","F")))))))</f>
        <v/>
      </c>
      <c r="L899" s="3">
        <f>IF('Data Source'!B899="","",IF('Data Source'!AD899&gt;=5,"A+",IF('Data Source'!AD899&gt;=4,"A",IF('Data Source'!AD899&gt;=3.5,"A-",IF('Data Source'!AD899&gt;=3,"B",IF('Data Source'!AD899&gt;=2,"C",IF('Data Source'!AD899&gt;=1,"D","F")))))))</f>
        <v/>
      </c>
      <c r="M899" s="3">
        <f>IF('Data Source'!B899="","",IF('Data Source'!AE899&gt;=5,"A+",IF('Data Source'!AE899&gt;=4,"A",IF('Data Source'!AE899&gt;=3.5,"A-",IF('Data Source'!AE899&gt;=3,"B",IF('Data Source'!AE899&gt;=2,"C",IF('Data Source'!AE899&gt;=1,"D","F")))))))</f>
        <v/>
      </c>
      <c r="N899" s="3">
        <f>IF('Data Source'!B899="","",IF('Data Source'!AF899&gt;=5,"A+",IF('Data Source'!AF899&gt;=4,"A",IF('Data Source'!AF899&gt;=3.5,"A-",IF('Data Source'!AF899&gt;=3,"B",IF('Data Source'!AF899&gt;=2,"C",IF('Data Source'!AF899&gt;=1,"D","F")))))))</f>
        <v/>
      </c>
      <c r="O899" s="3">
        <f>IF('Data Source'!B899="","",IF('Data Source'!AG899&gt;=5,"A+",IF('Data Source'!AG899&gt;=4,"A",IF('Data Source'!AG899&gt;=3.5,"A-",IF('Data Source'!AG899&gt;=3,"B",IF('Data Source'!AG899&gt;=2,"C",IF('Data Source'!AG899&gt;=1,"D","F")))))))</f>
        <v/>
      </c>
      <c r="P899" s="5">
        <f>IF('Data Source'!B899="","",'Data Source'!R899)</f>
        <v/>
      </c>
      <c r="Q899" s="3">
        <f>IF('Data Source'!B899="","",'Data Source'!S899)</f>
        <v/>
      </c>
    </row>
    <row r="900">
      <c r="A900" s="3">
        <f>IF('Data Source'!B900="","",'Data Source'!A900)</f>
        <v/>
      </c>
      <c r="B900">
        <f>IF('Data Source'!B900="","",'Data Source'!B900)</f>
        <v/>
      </c>
      <c r="C900" s="3">
        <f>IF('Data Source'!B900="","",IF('Data Source'!U900&gt;=5,"A+",IF('Data Source'!U900&gt;=4,"A",IF('Data Source'!U900&gt;=3.5,"A-",IF('Data Source'!U900&gt;=3,"B",IF('Data Source'!U900&gt;=2,"C",IF('Data Source'!U900&gt;=1,"D","F")))))))</f>
        <v/>
      </c>
      <c r="D900" s="3">
        <f>IF('Data Source'!B900="","",IF('Data Source'!V900&gt;=5,"A+",IF('Data Source'!V900&gt;=4,"A",IF('Data Source'!V900&gt;=3.5,"A-",IF('Data Source'!V900&gt;=3,"B",IF('Data Source'!V900&gt;=2,"C",IF('Data Source'!V900&gt;=1,"D","F")))))))</f>
        <v/>
      </c>
      <c r="E900" s="3">
        <f>IF('Data Source'!B900="","",IF('Data Source'!W900&gt;=5,"A+",IF('Data Source'!W900&gt;=4,"A",IF('Data Source'!W900&gt;=3.5,"A-",IF('Data Source'!W900&gt;=3,"B",IF('Data Source'!W900&gt;=2,"C",IF('Data Source'!W900&gt;=1,"D","F")))))))</f>
        <v/>
      </c>
      <c r="F900" s="3">
        <f>IF('Data Source'!B900="","",IF('Data Source'!X900&gt;=5,"A+",IF('Data Source'!X900&gt;=4,"A",IF('Data Source'!X900&gt;=3.5,"A-",IF('Data Source'!X900&gt;=3,"B",IF('Data Source'!X900&gt;=2,"C",IF('Data Source'!X900&gt;=1,"D","F")))))))</f>
        <v/>
      </c>
      <c r="G900" s="3">
        <f>IF('Data Source'!B900="","",IF('Data Source'!Y900&gt;=5,"A+",IF('Data Source'!Y900&gt;=4,"A",IF('Data Source'!Y900&gt;=3.5,"A-",IF('Data Source'!Y900&gt;=3,"B",IF('Data Source'!Y900&gt;=2,"C",IF('Data Source'!Y900&gt;=1,"D","F")))))))</f>
        <v/>
      </c>
      <c r="H900" s="3">
        <f>IF('Data Source'!B900="","",IF('Data Source'!Z900&gt;=5,"A+",IF('Data Source'!Z900&gt;=4,"A",IF('Data Source'!Z900&gt;=3.5,"A-",IF('Data Source'!Z900&gt;=3,"B",IF('Data Source'!Z900&gt;=2,"C",IF('Data Source'!Z900&gt;=1,"D","F")))))))</f>
        <v/>
      </c>
      <c r="I900" s="3">
        <f>IF('Data Source'!B900="","",IF('Data Source'!AA900&gt;=5,"A+",IF('Data Source'!AA900&gt;=4,"A",IF('Data Source'!AA900&gt;=3.5,"A-",IF('Data Source'!AA900&gt;=3,"B",IF('Data Source'!AA900&gt;=2,"C",IF('Data Source'!AA900&gt;=1,"D","F")))))))</f>
        <v/>
      </c>
      <c r="J900" s="3">
        <f>IF('Data Source'!B900="","",IF('Data Source'!AB900&gt;=5,"A+",IF('Data Source'!AB900&gt;=4,"A",IF('Data Source'!AB900&gt;=3.5,"A-",IF('Data Source'!AB900&gt;=3,"B",IF('Data Source'!AB900&gt;=2,"C",IF('Data Source'!AB900&gt;=1,"D","F")))))))</f>
        <v/>
      </c>
      <c r="K900" s="3">
        <f>IF('Data Source'!B900="","",IF('Data Source'!AC900&gt;=5,"A+",IF('Data Source'!AC900&gt;=4,"A",IF('Data Source'!AC900&gt;=3.5,"A-",IF('Data Source'!AC900&gt;=3,"B",IF('Data Source'!AC900&gt;=2,"C",IF('Data Source'!AC900&gt;=1,"D","F")))))))</f>
        <v/>
      </c>
      <c r="L900" s="3">
        <f>IF('Data Source'!B900="","",IF('Data Source'!AD900&gt;=5,"A+",IF('Data Source'!AD900&gt;=4,"A",IF('Data Source'!AD900&gt;=3.5,"A-",IF('Data Source'!AD900&gt;=3,"B",IF('Data Source'!AD900&gt;=2,"C",IF('Data Source'!AD900&gt;=1,"D","F")))))))</f>
        <v/>
      </c>
      <c r="M900" s="3">
        <f>IF('Data Source'!B900="","",IF('Data Source'!AE900&gt;=5,"A+",IF('Data Source'!AE900&gt;=4,"A",IF('Data Source'!AE900&gt;=3.5,"A-",IF('Data Source'!AE900&gt;=3,"B",IF('Data Source'!AE900&gt;=2,"C",IF('Data Source'!AE900&gt;=1,"D","F")))))))</f>
        <v/>
      </c>
      <c r="N900" s="3">
        <f>IF('Data Source'!B900="","",IF('Data Source'!AF900&gt;=5,"A+",IF('Data Source'!AF900&gt;=4,"A",IF('Data Source'!AF900&gt;=3.5,"A-",IF('Data Source'!AF900&gt;=3,"B",IF('Data Source'!AF900&gt;=2,"C",IF('Data Source'!AF900&gt;=1,"D","F")))))))</f>
        <v/>
      </c>
      <c r="O900" s="3">
        <f>IF('Data Source'!B900="","",IF('Data Source'!AG900&gt;=5,"A+",IF('Data Source'!AG900&gt;=4,"A",IF('Data Source'!AG900&gt;=3.5,"A-",IF('Data Source'!AG900&gt;=3,"B",IF('Data Source'!AG900&gt;=2,"C",IF('Data Source'!AG900&gt;=1,"D","F")))))))</f>
        <v/>
      </c>
      <c r="P900" s="5">
        <f>IF('Data Source'!B900="","",'Data Source'!R900)</f>
        <v/>
      </c>
      <c r="Q900" s="3">
        <f>IF('Data Source'!B900="","",'Data Source'!S900)</f>
        <v/>
      </c>
    </row>
    <row r="901">
      <c r="A901" s="3">
        <f>IF('Data Source'!B901="","",'Data Source'!A901)</f>
        <v/>
      </c>
      <c r="B901">
        <f>IF('Data Source'!B901="","",'Data Source'!B901)</f>
        <v/>
      </c>
      <c r="C901" s="3">
        <f>IF('Data Source'!B901="","",IF('Data Source'!U901&gt;=5,"A+",IF('Data Source'!U901&gt;=4,"A",IF('Data Source'!U901&gt;=3.5,"A-",IF('Data Source'!U901&gt;=3,"B",IF('Data Source'!U901&gt;=2,"C",IF('Data Source'!U901&gt;=1,"D","F")))))))</f>
        <v/>
      </c>
      <c r="D901" s="3">
        <f>IF('Data Source'!B901="","",IF('Data Source'!V901&gt;=5,"A+",IF('Data Source'!V901&gt;=4,"A",IF('Data Source'!V901&gt;=3.5,"A-",IF('Data Source'!V901&gt;=3,"B",IF('Data Source'!V901&gt;=2,"C",IF('Data Source'!V901&gt;=1,"D","F")))))))</f>
        <v/>
      </c>
      <c r="E901" s="3">
        <f>IF('Data Source'!B901="","",IF('Data Source'!W901&gt;=5,"A+",IF('Data Source'!W901&gt;=4,"A",IF('Data Source'!W901&gt;=3.5,"A-",IF('Data Source'!W901&gt;=3,"B",IF('Data Source'!W901&gt;=2,"C",IF('Data Source'!W901&gt;=1,"D","F")))))))</f>
        <v/>
      </c>
      <c r="F901" s="3">
        <f>IF('Data Source'!B901="","",IF('Data Source'!X901&gt;=5,"A+",IF('Data Source'!X901&gt;=4,"A",IF('Data Source'!X901&gt;=3.5,"A-",IF('Data Source'!X901&gt;=3,"B",IF('Data Source'!X901&gt;=2,"C",IF('Data Source'!X901&gt;=1,"D","F")))))))</f>
        <v/>
      </c>
      <c r="G901" s="3">
        <f>IF('Data Source'!B901="","",IF('Data Source'!Y901&gt;=5,"A+",IF('Data Source'!Y901&gt;=4,"A",IF('Data Source'!Y901&gt;=3.5,"A-",IF('Data Source'!Y901&gt;=3,"B",IF('Data Source'!Y901&gt;=2,"C",IF('Data Source'!Y901&gt;=1,"D","F")))))))</f>
        <v/>
      </c>
      <c r="H901" s="3">
        <f>IF('Data Source'!B901="","",IF('Data Source'!Z901&gt;=5,"A+",IF('Data Source'!Z901&gt;=4,"A",IF('Data Source'!Z901&gt;=3.5,"A-",IF('Data Source'!Z901&gt;=3,"B",IF('Data Source'!Z901&gt;=2,"C",IF('Data Source'!Z901&gt;=1,"D","F")))))))</f>
        <v/>
      </c>
      <c r="I901" s="3">
        <f>IF('Data Source'!B901="","",IF('Data Source'!AA901&gt;=5,"A+",IF('Data Source'!AA901&gt;=4,"A",IF('Data Source'!AA901&gt;=3.5,"A-",IF('Data Source'!AA901&gt;=3,"B",IF('Data Source'!AA901&gt;=2,"C",IF('Data Source'!AA901&gt;=1,"D","F")))))))</f>
        <v/>
      </c>
      <c r="J901" s="3">
        <f>IF('Data Source'!B901="","",IF('Data Source'!AB901&gt;=5,"A+",IF('Data Source'!AB901&gt;=4,"A",IF('Data Source'!AB901&gt;=3.5,"A-",IF('Data Source'!AB901&gt;=3,"B",IF('Data Source'!AB901&gt;=2,"C",IF('Data Source'!AB901&gt;=1,"D","F")))))))</f>
        <v/>
      </c>
      <c r="K901" s="3">
        <f>IF('Data Source'!B901="","",IF('Data Source'!AC901&gt;=5,"A+",IF('Data Source'!AC901&gt;=4,"A",IF('Data Source'!AC901&gt;=3.5,"A-",IF('Data Source'!AC901&gt;=3,"B",IF('Data Source'!AC901&gt;=2,"C",IF('Data Source'!AC901&gt;=1,"D","F")))))))</f>
        <v/>
      </c>
      <c r="L901" s="3">
        <f>IF('Data Source'!B901="","",IF('Data Source'!AD901&gt;=5,"A+",IF('Data Source'!AD901&gt;=4,"A",IF('Data Source'!AD901&gt;=3.5,"A-",IF('Data Source'!AD901&gt;=3,"B",IF('Data Source'!AD901&gt;=2,"C",IF('Data Source'!AD901&gt;=1,"D","F")))))))</f>
        <v/>
      </c>
      <c r="M901" s="3">
        <f>IF('Data Source'!B901="","",IF('Data Source'!AE901&gt;=5,"A+",IF('Data Source'!AE901&gt;=4,"A",IF('Data Source'!AE901&gt;=3.5,"A-",IF('Data Source'!AE901&gt;=3,"B",IF('Data Source'!AE901&gt;=2,"C",IF('Data Source'!AE901&gt;=1,"D","F")))))))</f>
        <v/>
      </c>
      <c r="N901" s="3">
        <f>IF('Data Source'!B901="","",IF('Data Source'!AF901&gt;=5,"A+",IF('Data Source'!AF901&gt;=4,"A",IF('Data Source'!AF901&gt;=3.5,"A-",IF('Data Source'!AF901&gt;=3,"B",IF('Data Source'!AF901&gt;=2,"C",IF('Data Source'!AF901&gt;=1,"D","F")))))))</f>
        <v/>
      </c>
      <c r="O901" s="3">
        <f>IF('Data Source'!B901="","",IF('Data Source'!AG901&gt;=5,"A+",IF('Data Source'!AG901&gt;=4,"A",IF('Data Source'!AG901&gt;=3.5,"A-",IF('Data Source'!AG901&gt;=3,"B",IF('Data Source'!AG901&gt;=2,"C",IF('Data Source'!AG901&gt;=1,"D","F")))))))</f>
        <v/>
      </c>
      <c r="P901" s="5">
        <f>IF('Data Source'!B901="","",'Data Source'!R901)</f>
        <v/>
      </c>
      <c r="Q901" s="3">
        <f>IF('Data Source'!B901="","",'Data Source'!S901)</f>
        <v/>
      </c>
    </row>
    <row r="902">
      <c r="A902" s="3">
        <f>IF('Data Source'!B902="","",'Data Source'!A902)</f>
        <v/>
      </c>
      <c r="B902">
        <f>IF('Data Source'!B902="","",'Data Source'!B902)</f>
        <v/>
      </c>
      <c r="C902" s="3">
        <f>IF('Data Source'!B902="","",IF('Data Source'!U902&gt;=5,"A+",IF('Data Source'!U902&gt;=4,"A",IF('Data Source'!U902&gt;=3.5,"A-",IF('Data Source'!U902&gt;=3,"B",IF('Data Source'!U902&gt;=2,"C",IF('Data Source'!U902&gt;=1,"D","F")))))))</f>
        <v/>
      </c>
      <c r="D902" s="3">
        <f>IF('Data Source'!B902="","",IF('Data Source'!V902&gt;=5,"A+",IF('Data Source'!V902&gt;=4,"A",IF('Data Source'!V902&gt;=3.5,"A-",IF('Data Source'!V902&gt;=3,"B",IF('Data Source'!V902&gt;=2,"C",IF('Data Source'!V902&gt;=1,"D","F")))))))</f>
        <v/>
      </c>
      <c r="E902" s="3">
        <f>IF('Data Source'!B902="","",IF('Data Source'!W902&gt;=5,"A+",IF('Data Source'!W902&gt;=4,"A",IF('Data Source'!W902&gt;=3.5,"A-",IF('Data Source'!W902&gt;=3,"B",IF('Data Source'!W902&gt;=2,"C",IF('Data Source'!W902&gt;=1,"D","F")))))))</f>
        <v/>
      </c>
      <c r="F902" s="3">
        <f>IF('Data Source'!B902="","",IF('Data Source'!X902&gt;=5,"A+",IF('Data Source'!X902&gt;=4,"A",IF('Data Source'!X902&gt;=3.5,"A-",IF('Data Source'!X902&gt;=3,"B",IF('Data Source'!X902&gt;=2,"C",IF('Data Source'!X902&gt;=1,"D","F")))))))</f>
        <v/>
      </c>
      <c r="G902" s="3">
        <f>IF('Data Source'!B902="","",IF('Data Source'!Y902&gt;=5,"A+",IF('Data Source'!Y902&gt;=4,"A",IF('Data Source'!Y902&gt;=3.5,"A-",IF('Data Source'!Y902&gt;=3,"B",IF('Data Source'!Y902&gt;=2,"C",IF('Data Source'!Y902&gt;=1,"D","F")))))))</f>
        <v/>
      </c>
      <c r="H902" s="3">
        <f>IF('Data Source'!B902="","",IF('Data Source'!Z902&gt;=5,"A+",IF('Data Source'!Z902&gt;=4,"A",IF('Data Source'!Z902&gt;=3.5,"A-",IF('Data Source'!Z902&gt;=3,"B",IF('Data Source'!Z902&gt;=2,"C",IF('Data Source'!Z902&gt;=1,"D","F")))))))</f>
        <v/>
      </c>
      <c r="I902" s="3">
        <f>IF('Data Source'!B902="","",IF('Data Source'!AA902&gt;=5,"A+",IF('Data Source'!AA902&gt;=4,"A",IF('Data Source'!AA902&gt;=3.5,"A-",IF('Data Source'!AA902&gt;=3,"B",IF('Data Source'!AA902&gt;=2,"C",IF('Data Source'!AA902&gt;=1,"D","F")))))))</f>
        <v/>
      </c>
      <c r="J902" s="3">
        <f>IF('Data Source'!B902="","",IF('Data Source'!AB902&gt;=5,"A+",IF('Data Source'!AB902&gt;=4,"A",IF('Data Source'!AB902&gt;=3.5,"A-",IF('Data Source'!AB902&gt;=3,"B",IF('Data Source'!AB902&gt;=2,"C",IF('Data Source'!AB902&gt;=1,"D","F")))))))</f>
        <v/>
      </c>
      <c r="K902" s="3">
        <f>IF('Data Source'!B902="","",IF('Data Source'!AC902&gt;=5,"A+",IF('Data Source'!AC902&gt;=4,"A",IF('Data Source'!AC902&gt;=3.5,"A-",IF('Data Source'!AC902&gt;=3,"B",IF('Data Source'!AC902&gt;=2,"C",IF('Data Source'!AC902&gt;=1,"D","F")))))))</f>
        <v/>
      </c>
      <c r="L902" s="3">
        <f>IF('Data Source'!B902="","",IF('Data Source'!AD902&gt;=5,"A+",IF('Data Source'!AD902&gt;=4,"A",IF('Data Source'!AD902&gt;=3.5,"A-",IF('Data Source'!AD902&gt;=3,"B",IF('Data Source'!AD902&gt;=2,"C",IF('Data Source'!AD902&gt;=1,"D","F")))))))</f>
        <v/>
      </c>
      <c r="M902" s="3">
        <f>IF('Data Source'!B902="","",IF('Data Source'!AE902&gt;=5,"A+",IF('Data Source'!AE902&gt;=4,"A",IF('Data Source'!AE902&gt;=3.5,"A-",IF('Data Source'!AE902&gt;=3,"B",IF('Data Source'!AE902&gt;=2,"C",IF('Data Source'!AE902&gt;=1,"D","F")))))))</f>
        <v/>
      </c>
      <c r="N902" s="3">
        <f>IF('Data Source'!B902="","",IF('Data Source'!AF902&gt;=5,"A+",IF('Data Source'!AF902&gt;=4,"A",IF('Data Source'!AF902&gt;=3.5,"A-",IF('Data Source'!AF902&gt;=3,"B",IF('Data Source'!AF902&gt;=2,"C",IF('Data Source'!AF902&gt;=1,"D","F")))))))</f>
        <v/>
      </c>
      <c r="O902" s="3">
        <f>IF('Data Source'!B902="","",IF('Data Source'!AG902&gt;=5,"A+",IF('Data Source'!AG902&gt;=4,"A",IF('Data Source'!AG902&gt;=3.5,"A-",IF('Data Source'!AG902&gt;=3,"B",IF('Data Source'!AG902&gt;=2,"C",IF('Data Source'!AG902&gt;=1,"D","F")))))))</f>
        <v/>
      </c>
      <c r="P902" s="5">
        <f>IF('Data Source'!B902="","",'Data Source'!R902)</f>
        <v/>
      </c>
      <c r="Q902" s="3">
        <f>IF('Data Source'!B902="","",'Data Source'!S902)</f>
        <v/>
      </c>
    </row>
    <row r="903">
      <c r="A903" s="3">
        <f>IF('Data Source'!B903="","",'Data Source'!A903)</f>
        <v/>
      </c>
      <c r="B903">
        <f>IF('Data Source'!B903="","",'Data Source'!B903)</f>
        <v/>
      </c>
      <c r="C903" s="3">
        <f>IF('Data Source'!B903="","",IF('Data Source'!U903&gt;=5,"A+",IF('Data Source'!U903&gt;=4,"A",IF('Data Source'!U903&gt;=3.5,"A-",IF('Data Source'!U903&gt;=3,"B",IF('Data Source'!U903&gt;=2,"C",IF('Data Source'!U903&gt;=1,"D","F")))))))</f>
        <v/>
      </c>
      <c r="D903" s="3">
        <f>IF('Data Source'!B903="","",IF('Data Source'!V903&gt;=5,"A+",IF('Data Source'!V903&gt;=4,"A",IF('Data Source'!V903&gt;=3.5,"A-",IF('Data Source'!V903&gt;=3,"B",IF('Data Source'!V903&gt;=2,"C",IF('Data Source'!V903&gt;=1,"D","F")))))))</f>
        <v/>
      </c>
      <c r="E903" s="3">
        <f>IF('Data Source'!B903="","",IF('Data Source'!W903&gt;=5,"A+",IF('Data Source'!W903&gt;=4,"A",IF('Data Source'!W903&gt;=3.5,"A-",IF('Data Source'!W903&gt;=3,"B",IF('Data Source'!W903&gt;=2,"C",IF('Data Source'!W903&gt;=1,"D","F")))))))</f>
        <v/>
      </c>
      <c r="F903" s="3">
        <f>IF('Data Source'!B903="","",IF('Data Source'!X903&gt;=5,"A+",IF('Data Source'!X903&gt;=4,"A",IF('Data Source'!X903&gt;=3.5,"A-",IF('Data Source'!X903&gt;=3,"B",IF('Data Source'!X903&gt;=2,"C",IF('Data Source'!X903&gt;=1,"D","F")))))))</f>
        <v/>
      </c>
      <c r="G903" s="3">
        <f>IF('Data Source'!B903="","",IF('Data Source'!Y903&gt;=5,"A+",IF('Data Source'!Y903&gt;=4,"A",IF('Data Source'!Y903&gt;=3.5,"A-",IF('Data Source'!Y903&gt;=3,"B",IF('Data Source'!Y903&gt;=2,"C",IF('Data Source'!Y903&gt;=1,"D","F")))))))</f>
        <v/>
      </c>
      <c r="H903" s="3">
        <f>IF('Data Source'!B903="","",IF('Data Source'!Z903&gt;=5,"A+",IF('Data Source'!Z903&gt;=4,"A",IF('Data Source'!Z903&gt;=3.5,"A-",IF('Data Source'!Z903&gt;=3,"B",IF('Data Source'!Z903&gt;=2,"C",IF('Data Source'!Z903&gt;=1,"D","F")))))))</f>
        <v/>
      </c>
      <c r="I903" s="3">
        <f>IF('Data Source'!B903="","",IF('Data Source'!AA903&gt;=5,"A+",IF('Data Source'!AA903&gt;=4,"A",IF('Data Source'!AA903&gt;=3.5,"A-",IF('Data Source'!AA903&gt;=3,"B",IF('Data Source'!AA903&gt;=2,"C",IF('Data Source'!AA903&gt;=1,"D","F")))))))</f>
        <v/>
      </c>
      <c r="J903" s="3">
        <f>IF('Data Source'!B903="","",IF('Data Source'!AB903&gt;=5,"A+",IF('Data Source'!AB903&gt;=4,"A",IF('Data Source'!AB903&gt;=3.5,"A-",IF('Data Source'!AB903&gt;=3,"B",IF('Data Source'!AB903&gt;=2,"C",IF('Data Source'!AB903&gt;=1,"D","F")))))))</f>
        <v/>
      </c>
      <c r="K903" s="3">
        <f>IF('Data Source'!B903="","",IF('Data Source'!AC903&gt;=5,"A+",IF('Data Source'!AC903&gt;=4,"A",IF('Data Source'!AC903&gt;=3.5,"A-",IF('Data Source'!AC903&gt;=3,"B",IF('Data Source'!AC903&gt;=2,"C",IF('Data Source'!AC903&gt;=1,"D","F")))))))</f>
        <v/>
      </c>
      <c r="L903" s="3">
        <f>IF('Data Source'!B903="","",IF('Data Source'!AD903&gt;=5,"A+",IF('Data Source'!AD903&gt;=4,"A",IF('Data Source'!AD903&gt;=3.5,"A-",IF('Data Source'!AD903&gt;=3,"B",IF('Data Source'!AD903&gt;=2,"C",IF('Data Source'!AD903&gt;=1,"D","F")))))))</f>
        <v/>
      </c>
      <c r="M903" s="3">
        <f>IF('Data Source'!B903="","",IF('Data Source'!AE903&gt;=5,"A+",IF('Data Source'!AE903&gt;=4,"A",IF('Data Source'!AE903&gt;=3.5,"A-",IF('Data Source'!AE903&gt;=3,"B",IF('Data Source'!AE903&gt;=2,"C",IF('Data Source'!AE903&gt;=1,"D","F")))))))</f>
        <v/>
      </c>
      <c r="N903" s="3">
        <f>IF('Data Source'!B903="","",IF('Data Source'!AF903&gt;=5,"A+",IF('Data Source'!AF903&gt;=4,"A",IF('Data Source'!AF903&gt;=3.5,"A-",IF('Data Source'!AF903&gt;=3,"B",IF('Data Source'!AF903&gt;=2,"C",IF('Data Source'!AF903&gt;=1,"D","F")))))))</f>
        <v/>
      </c>
      <c r="O903" s="3">
        <f>IF('Data Source'!B903="","",IF('Data Source'!AG903&gt;=5,"A+",IF('Data Source'!AG903&gt;=4,"A",IF('Data Source'!AG903&gt;=3.5,"A-",IF('Data Source'!AG903&gt;=3,"B",IF('Data Source'!AG903&gt;=2,"C",IF('Data Source'!AG903&gt;=1,"D","F")))))))</f>
        <v/>
      </c>
      <c r="P903" s="5">
        <f>IF('Data Source'!B903="","",'Data Source'!R903)</f>
        <v/>
      </c>
      <c r="Q903" s="3">
        <f>IF('Data Source'!B903="","",'Data Source'!S903)</f>
        <v/>
      </c>
    </row>
    <row r="904">
      <c r="A904" s="3">
        <f>IF('Data Source'!B904="","",'Data Source'!A904)</f>
        <v/>
      </c>
      <c r="B904">
        <f>IF('Data Source'!B904="","",'Data Source'!B904)</f>
        <v/>
      </c>
      <c r="C904" s="3">
        <f>IF('Data Source'!B904="","",IF('Data Source'!U904&gt;=5,"A+",IF('Data Source'!U904&gt;=4,"A",IF('Data Source'!U904&gt;=3.5,"A-",IF('Data Source'!U904&gt;=3,"B",IF('Data Source'!U904&gt;=2,"C",IF('Data Source'!U904&gt;=1,"D","F")))))))</f>
        <v/>
      </c>
      <c r="D904" s="3">
        <f>IF('Data Source'!B904="","",IF('Data Source'!V904&gt;=5,"A+",IF('Data Source'!V904&gt;=4,"A",IF('Data Source'!V904&gt;=3.5,"A-",IF('Data Source'!V904&gt;=3,"B",IF('Data Source'!V904&gt;=2,"C",IF('Data Source'!V904&gt;=1,"D","F")))))))</f>
        <v/>
      </c>
      <c r="E904" s="3">
        <f>IF('Data Source'!B904="","",IF('Data Source'!W904&gt;=5,"A+",IF('Data Source'!W904&gt;=4,"A",IF('Data Source'!W904&gt;=3.5,"A-",IF('Data Source'!W904&gt;=3,"B",IF('Data Source'!W904&gt;=2,"C",IF('Data Source'!W904&gt;=1,"D","F")))))))</f>
        <v/>
      </c>
      <c r="F904" s="3">
        <f>IF('Data Source'!B904="","",IF('Data Source'!X904&gt;=5,"A+",IF('Data Source'!X904&gt;=4,"A",IF('Data Source'!X904&gt;=3.5,"A-",IF('Data Source'!X904&gt;=3,"B",IF('Data Source'!X904&gt;=2,"C",IF('Data Source'!X904&gt;=1,"D","F")))))))</f>
        <v/>
      </c>
      <c r="G904" s="3">
        <f>IF('Data Source'!B904="","",IF('Data Source'!Y904&gt;=5,"A+",IF('Data Source'!Y904&gt;=4,"A",IF('Data Source'!Y904&gt;=3.5,"A-",IF('Data Source'!Y904&gt;=3,"B",IF('Data Source'!Y904&gt;=2,"C",IF('Data Source'!Y904&gt;=1,"D","F")))))))</f>
        <v/>
      </c>
      <c r="H904" s="3">
        <f>IF('Data Source'!B904="","",IF('Data Source'!Z904&gt;=5,"A+",IF('Data Source'!Z904&gt;=4,"A",IF('Data Source'!Z904&gt;=3.5,"A-",IF('Data Source'!Z904&gt;=3,"B",IF('Data Source'!Z904&gt;=2,"C",IF('Data Source'!Z904&gt;=1,"D","F")))))))</f>
        <v/>
      </c>
      <c r="I904" s="3">
        <f>IF('Data Source'!B904="","",IF('Data Source'!AA904&gt;=5,"A+",IF('Data Source'!AA904&gt;=4,"A",IF('Data Source'!AA904&gt;=3.5,"A-",IF('Data Source'!AA904&gt;=3,"B",IF('Data Source'!AA904&gt;=2,"C",IF('Data Source'!AA904&gt;=1,"D","F")))))))</f>
        <v/>
      </c>
      <c r="J904" s="3">
        <f>IF('Data Source'!B904="","",IF('Data Source'!AB904&gt;=5,"A+",IF('Data Source'!AB904&gt;=4,"A",IF('Data Source'!AB904&gt;=3.5,"A-",IF('Data Source'!AB904&gt;=3,"B",IF('Data Source'!AB904&gt;=2,"C",IF('Data Source'!AB904&gt;=1,"D","F")))))))</f>
        <v/>
      </c>
      <c r="K904" s="3">
        <f>IF('Data Source'!B904="","",IF('Data Source'!AC904&gt;=5,"A+",IF('Data Source'!AC904&gt;=4,"A",IF('Data Source'!AC904&gt;=3.5,"A-",IF('Data Source'!AC904&gt;=3,"B",IF('Data Source'!AC904&gt;=2,"C",IF('Data Source'!AC904&gt;=1,"D","F")))))))</f>
        <v/>
      </c>
      <c r="L904" s="3">
        <f>IF('Data Source'!B904="","",IF('Data Source'!AD904&gt;=5,"A+",IF('Data Source'!AD904&gt;=4,"A",IF('Data Source'!AD904&gt;=3.5,"A-",IF('Data Source'!AD904&gt;=3,"B",IF('Data Source'!AD904&gt;=2,"C",IF('Data Source'!AD904&gt;=1,"D","F")))))))</f>
        <v/>
      </c>
      <c r="M904" s="3">
        <f>IF('Data Source'!B904="","",IF('Data Source'!AE904&gt;=5,"A+",IF('Data Source'!AE904&gt;=4,"A",IF('Data Source'!AE904&gt;=3.5,"A-",IF('Data Source'!AE904&gt;=3,"B",IF('Data Source'!AE904&gt;=2,"C",IF('Data Source'!AE904&gt;=1,"D","F")))))))</f>
        <v/>
      </c>
      <c r="N904" s="3">
        <f>IF('Data Source'!B904="","",IF('Data Source'!AF904&gt;=5,"A+",IF('Data Source'!AF904&gt;=4,"A",IF('Data Source'!AF904&gt;=3.5,"A-",IF('Data Source'!AF904&gt;=3,"B",IF('Data Source'!AF904&gt;=2,"C",IF('Data Source'!AF904&gt;=1,"D","F")))))))</f>
        <v/>
      </c>
      <c r="O904" s="3">
        <f>IF('Data Source'!B904="","",IF('Data Source'!AG904&gt;=5,"A+",IF('Data Source'!AG904&gt;=4,"A",IF('Data Source'!AG904&gt;=3.5,"A-",IF('Data Source'!AG904&gt;=3,"B",IF('Data Source'!AG904&gt;=2,"C",IF('Data Source'!AG904&gt;=1,"D","F")))))))</f>
        <v/>
      </c>
      <c r="P904" s="5">
        <f>IF('Data Source'!B904="","",'Data Source'!R904)</f>
        <v/>
      </c>
      <c r="Q904" s="3">
        <f>IF('Data Source'!B904="","",'Data Source'!S904)</f>
        <v/>
      </c>
    </row>
    <row r="905">
      <c r="A905" s="3">
        <f>IF('Data Source'!B905="","",'Data Source'!A905)</f>
        <v/>
      </c>
      <c r="B905">
        <f>IF('Data Source'!B905="","",'Data Source'!B905)</f>
        <v/>
      </c>
      <c r="C905" s="3">
        <f>IF('Data Source'!B905="","",IF('Data Source'!U905&gt;=5,"A+",IF('Data Source'!U905&gt;=4,"A",IF('Data Source'!U905&gt;=3.5,"A-",IF('Data Source'!U905&gt;=3,"B",IF('Data Source'!U905&gt;=2,"C",IF('Data Source'!U905&gt;=1,"D","F")))))))</f>
        <v/>
      </c>
      <c r="D905" s="3">
        <f>IF('Data Source'!B905="","",IF('Data Source'!V905&gt;=5,"A+",IF('Data Source'!V905&gt;=4,"A",IF('Data Source'!V905&gt;=3.5,"A-",IF('Data Source'!V905&gt;=3,"B",IF('Data Source'!V905&gt;=2,"C",IF('Data Source'!V905&gt;=1,"D","F")))))))</f>
        <v/>
      </c>
      <c r="E905" s="3">
        <f>IF('Data Source'!B905="","",IF('Data Source'!W905&gt;=5,"A+",IF('Data Source'!W905&gt;=4,"A",IF('Data Source'!W905&gt;=3.5,"A-",IF('Data Source'!W905&gt;=3,"B",IF('Data Source'!W905&gt;=2,"C",IF('Data Source'!W905&gt;=1,"D","F")))))))</f>
        <v/>
      </c>
      <c r="F905" s="3">
        <f>IF('Data Source'!B905="","",IF('Data Source'!X905&gt;=5,"A+",IF('Data Source'!X905&gt;=4,"A",IF('Data Source'!X905&gt;=3.5,"A-",IF('Data Source'!X905&gt;=3,"B",IF('Data Source'!X905&gt;=2,"C",IF('Data Source'!X905&gt;=1,"D","F")))))))</f>
        <v/>
      </c>
      <c r="G905" s="3">
        <f>IF('Data Source'!B905="","",IF('Data Source'!Y905&gt;=5,"A+",IF('Data Source'!Y905&gt;=4,"A",IF('Data Source'!Y905&gt;=3.5,"A-",IF('Data Source'!Y905&gt;=3,"B",IF('Data Source'!Y905&gt;=2,"C",IF('Data Source'!Y905&gt;=1,"D","F")))))))</f>
        <v/>
      </c>
      <c r="H905" s="3">
        <f>IF('Data Source'!B905="","",IF('Data Source'!Z905&gt;=5,"A+",IF('Data Source'!Z905&gt;=4,"A",IF('Data Source'!Z905&gt;=3.5,"A-",IF('Data Source'!Z905&gt;=3,"B",IF('Data Source'!Z905&gt;=2,"C",IF('Data Source'!Z905&gt;=1,"D","F")))))))</f>
        <v/>
      </c>
      <c r="I905" s="3">
        <f>IF('Data Source'!B905="","",IF('Data Source'!AA905&gt;=5,"A+",IF('Data Source'!AA905&gt;=4,"A",IF('Data Source'!AA905&gt;=3.5,"A-",IF('Data Source'!AA905&gt;=3,"B",IF('Data Source'!AA905&gt;=2,"C",IF('Data Source'!AA905&gt;=1,"D","F")))))))</f>
        <v/>
      </c>
      <c r="J905" s="3">
        <f>IF('Data Source'!B905="","",IF('Data Source'!AB905&gt;=5,"A+",IF('Data Source'!AB905&gt;=4,"A",IF('Data Source'!AB905&gt;=3.5,"A-",IF('Data Source'!AB905&gt;=3,"B",IF('Data Source'!AB905&gt;=2,"C",IF('Data Source'!AB905&gt;=1,"D","F")))))))</f>
        <v/>
      </c>
      <c r="K905" s="3">
        <f>IF('Data Source'!B905="","",IF('Data Source'!AC905&gt;=5,"A+",IF('Data Source'!AC905&gt;=4,"A",IF('Data Source'!AC905&gt;=3.5,"A-",IF('Data Source'!AC905&gt;=3,"B",IF('Data Source'!AC905&gt;=2,"C",IF('Data Source'!AC905&gt;=1,"D","F")))))))</f>
        <v/>
      </c>
      <c r="L905" s="3">
        <f>IF('Data Source'!B905="","",IF('Data Source'!AD905&gt;=5,"A+",IF('Data Source'!AD905&gt;=4,"A",IF('Data Source'!AD905&gt;=3.5,"A-",IF('Data Source'!AD905&gt;=3,"B",IF('Data Source'!AD905&gt;=2,"C",IF('Data Source'!AD905&gt;=1,"D","F")))))))</f>
        <v/>
      </c>
      <c r="M905" s="3">
        <f>IF('Data Source'!B905="","",IF('Data Source'!AE905&gt;=5,"A+",IF('Data Source'!AE905&gt;=4,"A",IF('Data Source'!AE905&gt;=3.5,"A-",IF('Data Source'!AE905&gt;=3,"B",IF('Data Source'!AE905&gt;=2,"C",IF('Data Source'!AE905&gt;=1,"D","F")))))))</f>
        <v/>
      </c>
      <c r="N905" s="3">
        <f>IF('Data Source'!B905="","",IF('Data Source'!AF905&gt;=5,"A+",IF('Data Source'!AF905&gt;=4,"A",IF('Data Source'!AF905&gt;=3.5,"A-",IF('Data Source'!AF905&gt;=3,"B",IF('Data Source'!AF905&gt;=2,"C",IF('Data Source'!AF905&gt;=1,"D","F")))))))</f>
        <v/>
      </c>
      <c r="O905" s="3">
        <f>IF('Data Source'!B905="","",IF('Data Source'!AG905&gt;=5,"A+",IF('Data Source'!AG905&gt;=4,"A",IF('Data Source'!AG905&gt;=3.5,"A-",IF('Data Source'!AG905&gt;=3,"B",IF('Data Source'!AG905&gt;=2,"C",IF('Data Source'!AG905&gt;=1,"D","F")))))))</f>
        <v/>
      </c>
      <c r="P905" s="5">
        <f>IF('Data Source'!B905="","",'Data Source'!R905)</f>
        <v/>
      </c>
      <c r="Q905" s="3">
        <f>IF('Data Source'!B905="","",'Data Source'!S905)</f>
        <v/>
      </c>
    </row>
    <row r="906">
      <c r="A906" s="3">
        <f>IF('Data Source'!B906="","",'Data Source'!A906)</f>
        <v/>
      </c>
      <c r="B906">
        <f>IF('Data Source'!B906="","",'Data Source'!B906)</f>
        <v/>
      </c>
      <c r="C906" s="3">
        <f>IF('Data Source'!B906="","",IF('Data Source'!U906&gt;=5,"A+",IF('Data Source'!U906&gt;=4,"A",IF('Data Source'!U906&gt;=3.5,"A-",IF('Data Source'!U906&gt;=3,"B",IF('Data Source'!U906&gt;=2,"C",IF('Data Source'!U906&gt;=1,"D","F")))))))</f>
        <v/>
      </c>
      <c r="D906" s="3">
        <f>IF('Data Source'!B906="","",IF('Data Source'!V906&gt;=5,"A+",IF('Data Source'!V906&gt;=4,"A",IF('Data Source'!V906&gt;=3.5,"A-",IF('Data Source'!V906&gt;=3,"B",IF('Data Source'!V906&gt;=2,"C",IF('Data Source'!V906&gt;=1,"D","F")))))))</f>
        <v/>
      </c>
      <c r="E906" s="3">
        <f>IF('Data Source'!B906="","",IF('Data Source'!W906&gt;=5,"A+",IF('Data Source'!W906&gt;=4,"A",IF('Data Source'!W906&gt;=3.5,"A-",IF('Data Source'!W906&gt;=3,"B",IF('Data Source'!W906&gt;=2,"C",IF('Data Source'!W906&gt;=1,"D","F")))))))</f>
        <v/>
      </c>
      <c r="F906" s="3">
        <f>IF('Data Source'!B906="","",IF('Data Source'!X906&gt;=5,"A+",IF('Data Source'!X906&gt;=4,"A",IF('Data Source'!X906&gt;=3.5,"A-",IF('Data Source'!X906&gt;=3,"B",IF('Data Source'!X906&gt;=2,"C",IF('Data Source'!X906&gt;=1,"D","F")))))))</f>
        <v/>
      </c>
      <c r="G906" s="3">
        <f>IF('Data Source'!B906="","",IF('Data Source'!Y906&gt;=5,"A+",IF('Data Source'!Y906&gt;=4,"A",IF('Data Source'!Y906&gt;=3.5,"A-",IF('Data Source'!Y906&gt;=3,"B",IF('Data Source'!Y906&gt;=2,"C",IF('Data Source'!Y906&gt;=1,"D","F")))))))</f>
        <v/>
      </c>
      <c r="H906" s="3">
        <f>IF('Data Source'!B906="","",IF('Data Source'!Z906&gt;=5,"A+",IF('Data Source'!Z906&gt;=4,"A",IF('Data Source'!Z906&gt;=3.5,"A-",IF('Data Source'!Z906&gt;=3,"B",IF('Data Source'!Z906&gt;=2,"C",IF('Data Source'!Z906&gt;=1,"D","F")))))))</f>
        <v/>
      </c>
      <c r="I906" s="3">
        <f>IF('Data Source'!B906="","",IF('Data Source'!AA906&gt;=5,"A+",IF('Data Source'!AA906&gt;=4,"A",IF('Data Source'!AA906&gt;=3.5,"A-",IF('Data Source'!AA906&gt;=3,"B",IF('Data Source'!AA906&gt;=2,"C",IF('Data Source'!AA906&gt;=1,"D","F")))))))</f>
        <v/>
      </c>
      <c r="J906" s="3">
        <f>IF('Data Source'!B906="","",IF('Data Source'!AB906&gt;=5,"A+",IF('Data Source'!AB906&gt;=4,"A",IF('Data Source'!AB906&gt;=3.5,"A-",IF('Data Source'!AB906&gt;=3,"B",IF('Data Source'!AB906&gt;=2,"C",IF('Data Source'!AB906&gt;=1,"D","F")))))))</f>
        <v/>
      </c>
      <c r="K906" s="3">
        <f>IF('Data Source'!B906="","",IF('Data Source'!AC906&gt;=5,"A+",IF('Data Source'!AC906&gt;=4,"A",IF('Data Source'!AC906&gt;=3.5,"A-",IF('Data Source'!AC906&gt;=3,"B",IF('Data Source'!AC906&gt;=2,"C",IF('Data Source'!AC906&gt;=1,"D","F")))))))</f>
        <v/>
      </c>
      <c r="L906" s="3">
        <f>IF('Data Source'!B906="","",IF('Data Source'!AD906&gt;=5,"A+",IF('Data Source'!AD906&gt;=4,"A",IF('Data Source'!AD906&gt;=3.5,"A-",IF('Data Source'!AD906&gt;=3,"B",IF('Data Source'!AD906&gt;=2,"C",IF('Data Source'!AD906&gt;=1,"D","F")))))))</f>
        <v/>
      </c>
      <c r="M906" s="3">
        <f>IF('Data Source'!B906="","",IF('Data Source'!AE906&gt;=5,"A+",IF('Data Source'!AE906&gt;=4,"A",IF('Data Source'!AE906&gt;=3.5,"A-",IF('Data Source'!AE906&gt;=3,"B",IF('Data Source'!AE906&gt;=2,"C",IF('Data Source'!AE906&gt;=1,"D","F")))))))</f>
        <v/>
      </c>
      <c r="N906" s="3">
        <f>IF('Data Source'!B906="","",IF('Data Source'!AF906&gt;=5,"A+",IF('Data Source'!AF906&gt;=4,"A",IF('Data Source'!AF906&gt;=3.5,"A-",IF('Data Source'!AF906&gt;=3,"B",IF('Data Source'!AF906&gt;=2,"C",IF('Data Source'!AF906&gt;=1,"D","F")))))))</f>
        <v/>
      </c>
      <c r="O906" s="3">
        <f>IF('Data Source'!B906="","",IF('Data Source'!AG906&gt;=5,"A+",IF('Data Source'!AG906&gt;=4,"A",IF('Data Source'!AG906&gt;=3.5,"A-",IF('Data Source'!AG906&gt;=3,"B",IF('Data Source'!AG906&gt;=2,"C",IF('Data Source'!AG906&gt;=1,"D","F")))))))</f>
        <v/>
      </c>
      <c r="P906" s="5">
        <f>IF('Data Source'!B906="","",'Data Source'!R906)</f>
        <v/>
      </c>
      <c r="Q906" s="3">
        <f>IF('Data Source'!B906="","",'Data Source'!S906)</f>
        <v/>
      </c>
    </row>
    <row r="907">
      <c r="A907" s="3">
        <f>IF('Data Source'!B907="","",'Data Source'!A907)</f>
        <v/>
      </c>
      <c r="B907">
        <f>IF('Data Source'!B907="","",'Data Source'!B907)</f>
        <v/>
      </c>
      <c r="C907" s="3">
        <f>IF('Data Source'!B907="","",IF('Data Source'!U907&gt;=5,"A+",IF('Data Source'!U907&gt;=4,"A",IF('Data Source'!U907&gt;=3.5,"A-",IF('Data Source'!U907&gt;=3,"B",IF('Data Source'!U907&gt;=2,"C",IF('Data Source'!U907&gt;=1,"D","F")))))))</f>
        <v/>
      </c>
      <c r="D907" s="3">
        <f>IF('Data Source'!B907="","",IF('Data Source'!V907&gt;=5,"A+",IF('Data Source'!V907&gt;=4,"A",IF('Data Source'!V907&gt;=3.5,"A-",IF('Data Source'!V907&gt;=3,"B",IF('Data Source'!V907&gt;=2,"C",IF('Data Source'!V907&gt;=1,"D","F")))))))</f>
        <v/>
      </c>
      <c r="E907" s="3">
        <f>IF('Data Source'!B907="","",IF('Data Source'!W907&gt;=5,"A+",IF('Data Source'!W907&gt;=4,"A",IF('Data Source'!W907&gt;=3.5,"A-",IF('Data Source'!W907&gt;=3,"B",IF('Data Source'!W907&gt;=2,"C",IF('Data Source'!W907&gt;=1,"D","F")))))))</f>
        <v/>
      </c>
      <c r="F907" s="3">
        <f>IF('Data Source'!B907="","",IF('Data Source'!X907&gt;=5,"A+",IF('Data Source'!X907&gt;=4,"A",IF('Data Source'!X907&gt;=3.5,"A-",IF('Data Source'!X907&gt;=3,"B",IF('Data Source'!X907&gt;=2,"C",IF('Data Source'!X907&gt;=1,"D","F")))))))</f>
        <v/>
      </c>
      <c r="G907" s="3">
        <f>IF('Data Source'!B907="","",IF('Data Source'!Y907&gt;=5,"A+",IF('Data Source'!Y907&gt;=4,"A",IF('Data Source'!Y907&gt;=3.5,"A-",IF('Data Source'!Y907&gt;=3,"B",IF('Data Source'!Y907&gt;=2,"C",IF('Data Source'!Y907&gt;=1,"D","F")))))))</f>
        <v/>
      </c>
      <c r="H907" s="3">
        <f>IF('Data Source'!B907="","",IF('Data Source'!Z907&gt;=5,"A+",IF('Data Source'!Z907&gt;=4,"A",IF('Data Source'!Z907&gt;=3.5,"A-",IF('Data Source'!Z907&gt;=3,"B",IF('Data Source'!Z907&gt;=2,"C",IF('Data Source'!Z907&gt;=1,"D","F")))))))</f>
        <v/>
      </c>
      <c r="I907" s="3">
        <f>IF('Data Source'!B907="","",IF('Data Source'!AA907&gt;=5,"A+",IF('Data Source'!AA907&gt;=4,"A",IF('Data Source'!AA907&gt;=3.5,"A-",IF('Data Source'!AA907&gt;=3,"B",IF('Data Source'!AA907&gt;=2,"C",IF('Data Source'!AA907&gt;=1,"D","F")))))))</f>
        <v/>
      </c>
      <c r="J907" s="3">
        <f>IF('Data Source'!B907="","",IF('Data Source'!AB907&gt;=5,"A+",IF('Data Source'!AB907&gt;=4,"A",IF('Data Source'!AB907&gt;=3.5,"A-",IF('Data Source'!AB907&gt;=3,"B",IF('Data Source'!AB907&gt;=2,"C",IF('Data Source'!AB907&gt;=1,"D","F")))))))</f>
        <v/>
      </c>
      <c r="K907" s="3">
        <f>IF('Data Source'!B907="","",IF('Data Source'!AC907&gt;=5,"A+",IF('Data Source'!AC907&gt;=4,"A",IF('Data Source'!AC907&gt;=3.5,"A-",IF('Data Source'!AC907&gt;=3,"B",IF('Data Source'!AC907&gt;=2,"C",IF('Data Source'!AC907&gt;=1,"D","F")))))))</f>
        <v/>
      </c>
      <c r="L907" s="3">
        <f>IF('Data Source'!B907="","",IF('Data Source'!AD907&gt;=5,"A+",IF('Data Source'!AD907&gt;=4,"A",IF('Data Source'!AD907&gt;=3.5,"A-",IF('Data Source'!AD907&gt;=3,"B",IF('Data Source'!AD907&gt;=2,"C",IF('Data Source'!AD907&gt;=1,"D","F")))))))</f>
        <v/>
      </c>
      <c r="M907" s="3">
        <f>IF('Data Source'!B907="","",IF('Data Source'!AE907&gt;=5,"A+",IF('Data Source'!AE907&gt;=4,"A",IF('Data Source'!AE907&gt;=3.5,"A-",IF('Data Source'!AE907&gt;=3,"B",IF('Data Source'!AE907&gt;=2,"C",IF('Data Source'!AE907&gt;=1,"D","F")))))))</f>
        <v/>
      </c>
      <c r="N907" s="3">
        <f>IF('Data Source'!B907="","",IF('Data Source'!AF907&gt;=5,"A+",IF('Data Source'!AF907&gt;=4,"A",IF('Data Source'!AF907&gt;=3.5,"A-",IF('Data Source'!AF907&gt;=3,"B",IF('Data Source'!AF907&gt;=2,"C",IF('Data Source'!AF907&gt;=1,"D","F")))))))</f>
        <v/>
      </c>
      <c r="O907" s="3">
        <f>IF('Data Source'!B907="","",IF('Data Source'!AG907&gt;=5,"A+",IF('Data Source'!AG907&gt;=4,"A",IF('Data Source'!AG907&gt;=3.5,"A-",IF('Data Source'!AG907&gt;=3,"B",IF('Data Source'!AG907&gt;=2,"C",IF('Data Source'!AG907&gt;=1,"D","F")))))))</f>
        <v/>
      </c>
      <c r="P907" s="5">
        <f>IF('Data Source'!B907="","",'Data Source'!R907)</f>
        <v/>
      </c>
      <c r="Q907" s="3">
        <f>IF('Data Source'!B907="","",'Data Source'!S907)</f>
        <v/>
      </c>
    </row>
    <row r="908">
      <c r="A908" s="3">
        <f>IF('Data Source'!B908="","",'Data Source'!A908)</f>
        <v/>
      </c>
      <c r="B908">
        <f>IF('Data Source'!B908="","",'Data Source'!B908)</f>
        <v/>
      </c>
      <c r="C908" s="3">
        <f>IF('Data Source'!B908="","",IF('Data Source'!U908&gt;=5,"A+",IF('Data Source'!U908&gt;=4,"A",IF('Data Source'!U908&gt;=3.5,"A-",IF('Data Source'!U908&gt;=3,"B",IF('Data Source'!U908&gt;=2,"C",IF('Data Source'!U908&gt;=1,"D","F")))))))</f>
        <v/>
      </c>
      <c r="D908" s="3">
        <f>IF('Data Source'!B908="","",IF('Data Source'!V908&gt;=5,"A+",IF('Data Source'!V908&gt;=4,"A",IF('Data Source'!V908&gt;=3.5,"A-",IF('Data Source'!V908&gt;=3,"B",IF('Data Source'!V908&gt;=2,"C",IF('Data Source'!V908&gt;=1,"D","F")))))))</f>
        <v/>
      </c>
      <c r="E908" s="3">
        <f>IF('Data Source'!B908="","",IF('Data Source'!W908&gt;=5,"A+",IF('Data Source'!W908&gt;=4,"A",IF('Data Source'!W908&gt;=3.5,"A-",IF('Data Source'!W908&gt;=3,"B",IF('Data Source'!W908&gt;=2,"C",IF('Data Source'!W908&gt;=1,"D","F")))))))</f>
        <v/>
      </c>
      <c r="F908" s="3">
        <f>IF('Data Source'!B908="","",IF('Data Source'!X908&gt;=5,"A+",IF('Data Source'!X908&gt;=4,"A",IF('Data Source'!X908&gt;=3.5,"A-",IF('Data Source'!X908&gt;=3,"B",IF('Data Source'!X908&gt;=2,"C",IF('Data Source'!X908&gt;=1,"D","F")))))))</f>
        <v/>
      </c>
      <c r="G908" s="3">
        <f>IF('Data Source'!B908="","",IF('Data Source'!Y908&gt;=5,"A+",IF('Data Source'!Y908&gt;=4,"A",IF('Data Source'!Y908&gt;=3.5,"A-",IF('Data Source'!Y908&gt;=3,"B",IF('Data Source'!Y908&gt;=2,"C",IF('Data Source'!Y908&gt;=1,"D","F")))))))</f>
        <v/>
      </c>
      <c r="H908" s="3">
        <f>IF('Data Source'!B908="","",IF('Data Source'!Z908&gt;=5,"A+",IF('Data Source'!Z908&gt;=4,"A",IF('Data Source'!Z908&gt;=3.5,"A-",IF('Data Source'!Z908&gt;=3,"B",IF('Data Source'!Z908&gt;=2,"C",IF('Data Source'!Z908&gt;=1,"D","F")))))))</f>
        <v/>
      </c>
      <c r="I908" s="3">
        <f>IF('Data Source'!B908="","",IF('Data Source'!AA908&gt;=5,"A+",IF('Data Source'!AA908&gt;=4,"A",IF('Data Source'!AA908&gt;=3.5,"A-",IF('Data Source'!AA908&gt;=3,"B",IF('Data Source'!AA908&gt;=2,"C",IF('Data Source'!AA908&gt;=1,"D","F")))))))</f>
        <v/>
      </c>
      <c r="J908" s="3">
        <f>IF('Data Source'!B908="","",IF('Data Source'!AB908&gt;=5,"A+",IF('Data Source'!AB908&gt;=4,"A",IF('Data Source'!AB908&gt;=3.5,"A-",IF('Data Source'!AB908&gt;=3,"B",IF('Data Source'!AB908&gt;=2,"C",IF('Data Source'!AB908&gt;=1,"D","F")))))))</f>
        <v/>
      </c>
      <c r="K908" s="3">
        <f>IF('Data Source'!B908="","",IF('Data Source'!AC908&gt;=5,"A+",IF('Data Source'!AC908&gt;=4,"A",IF('Data Source'!AC908&gt;=3.5,"A-",IF('Data Source'!AC908&gt;=3,"B",IF('Data Source'!AC908&gt;=2,"C",IF('Data Source'!AC908&gt;=1,"D","F")))))))</f>
        <v/>
      </c>
      <c r="L908" s="3">
        <f>IF('Data Source'!B908="","",IF('Data Source'!AD908&gt;=5,"A+",IF('Data Source'!AD908&gt;=4,"A",IF('Data Source'!AD908&gt;=3.5,"A-",IF('Data Source'!AD908&gt;=3,"B",IF('Data Source'!AD908&gt;=2,"C",IF('Data Source'!AD908&gt;=1,"D","F")))))))</f>
        <v/>
      </c>
      <c r="M908" s="3">
        <f>IF('Data Source'!B908="","",IF('Data Source'!AE908&gt;=5,"A+",IF('Data Source'!AE908&gt;=4,"A",IF('Data Source'!AE908&gt;=3.5,"A-",IF('Data Source'!AE908&gt;=3,"B",IF('Data Source'!AE908&gt;=2,"C",IF('Data Source'!AE908&gt;=1,"D","F")))))))</f>
        <v/>
      </c>
      <c r="N908" s="3">
        <f>IF('Data Source'!B908="","",IF('Data Source'!AF908&gt;=5,"A+",IF('Data Source'!AF908&gt;=4,"A",IF('Data Source'!AF908&gt;=3.5,"A-",IF('Data Source'!AF908&gt;=3,"B",IF('Data Source'!AF908&gt;=2,"C",IF('Data Source'!AF908&gt;=1,"D","F")))))))</f>
        <v/>
      </c>
      <c r="O908" s="3">
        <f>IF('Data Source'!B908="","",IF('Data Source'!AG908&gt;=5,"A+",IF('Data Source'!AG908&gt;=4,"A",IF('Data Source'!AG908&gt;=3.5,"A-",IF('Data Source'!AG908&gt;=3,"B",IF('Data Source'!AG908&gt;=2,"C",IF('Data Source'!AG908&gt;=1,"D","F")))))))</f>
        <v/>
      </c>
      <c r="P908" s="5">
        <f>IF('Data Source'!B908="","",'Data Source'!R908)</f>
        <v/>
      </c>
      <c r="Q908" s="3">
        <f>IF('Data Source'!B908="","",'Data Source'!S908)</f>
        <v/>
      </c>
    </row>
    <row r="909">
      <c r="A909" s="3">
        <f>IF('Data Source'!B909="","",'Data Source'!A909)</f>
        <v/>
      </c>
      <c r="B909">
        <f>IF('Data Source'!B909="","",'Data Source'!B909)</f>
        <v/>
      </c>
      <c r="C909" s="3">
        <f>IF('Data Source'!B909="","",IF('Data Source'!U909&gt;=5,"A+",IF('Data Source'!U909&gt;=4,"A",IF('Data Source'!U909&gt;=3.5,"A-",IF('Data Source'!U909&gt;=3,"B",IF('Data Source'!U909&gt;=2,"C",IF('Data Source'!U909&gt;=1,"D","F")))))))</f>
        <v/>
      </c>
      <c r="D909" s="3">
        <f>IF('Data Source'!B909="","",IF('Data Source'!V909&gt;=5,"A+",IF('Data Source'!V909&gt;=4,"A",IF('Data Source'!V909&gt;=3.5,"A-",IF('Data Source'!V909&gt;=3,"B",IF('Data Source'!V909&gt;=2,"C",IF('Data Source'!V909&gt;=1,"D","F")))))))</f>
        <v/>
      </c>
      <c r="E909" s="3">
        <f>IF('Data Source'!B909="","",IF('Data Source'!W909&gt;=5,"A+",IF('Data Source'!W909&gt;=4,"A",IF('Data Source'!W909&gt;=3.5,"A-",IF('Data Source'!W909&gt;=3,"B",IF('Data Source'!W909&gt;=2,"C",IF('Data Source'!W909&gt;=1,"D","F")))))))</f>
        <v/>
      </c>
      <c r="F909" s="3">
        <f>IF('Data Source'!B909="","",IF('Data Source'!X909&gt;=5,"A+",IF('Data Source'!X909&gt;=4,"A",IF('Data Source'!X909&gt;=3.5,"A-",IF('Data Source'!X909&gt;=3,"B",IF('Data Source'!X909&gt;=2,"C",IF('Data Source'!X909&gt;=1,"D","F")))))))</f>
        <v/>
      </c>
      <c r="G909" s="3">
        <f>IF('Data Source'!B909="","",IF('Data Source'!Y909&gt;=5,"A+",IF('Data Source'!Y909&gt;=4,"A",IF('Data Source'!Y909&gt;=3.5,"A-",IF('Data Source'!Y909&gt;=3,"B",IF('Data Source'!Y909&gt;=2,"C",IF('Data Source'!Y909&gt;=1,"D","F")))))))</f>
        <v/>
      </c>
      <c r="H909" s="3">
        <f>IF('Data Source'!B909="","",IF('Data Source'!Z909&gt;=5,"A+",IF('Data Source'!Z909&gt;=4,"A",IF('Data Source'!Z909&gt;=3.5,"A-",IF('Data Source'!Z909&gt;=3,"B",IF('Data Source'!Z909&gt;=2,"C",IF('Data Source'!Z909&gt;=1,"D","F")))))))</f>
        <v/>
      </c>
      <c r="I909" s="3">
        <f>IF('Data Source'!B909="","",IF('Data Source'!AA909&gt;=5,"A+",IF('Data Source'!AA909&gt;=4,"A",IF('Data Source'!AA909&gt;=3.5,"A-",IF('Data Source'!AA909&gt;=3,"B",IF('Data Source'!AA909&gt;=2,"C",IF('Data Source'!AA909&gt;=1,"D","F")))))))</f>
        <v/>
      </c>
      <c r="J909" s="3">
        <f>IF('Data Source'!B909="","",IF('Data Source'!AB909&gt;=5,"A+",IF('Data Source'!AB909&gt;=4,"A",IF('Data Source'!AB909&gt;=3.5,"A-",IF('Data Source'!AB909&gt;=3,"B",IF('Data Source'!AB909&gt;=2,"C",IF('Data Source'!AB909&gt;=1,"D","F")))))))</f>
        <v/>
      </c>
      <c r="K909" s="3">
        <f>IF('Data Source'!B909="","",IF('Data Source'!AC909&gt;=5,"A+",IF('Data Source'!AC909&gt;=4,"A",IF('Data Source'!AC909&gt;=3.5,"A-",IF('Data Source'!AC909&gt;=3,"B",IF('Data Source'!AC909&gt;=2,"C",IF('Data Source'!AC909&gt;=1,"D","F")))))))</f>
        <v/>
      </c>
      <c r="L909" s="3">
        <f>IF('Data Source'!B909="","",IF('Data Source'!AD909&gt;=5,"A+",IF('Data Source'!AD909&gt;=4,"A",IF('Data Source'!AD909&gt;=3.5,"A-",IF('Data Source'!AD909&gt;=3,"B",IF('Data Source'!AD909&gt;=2,"C",IF('Data Source'!AD909&gt;=1,"D","F")))))))</f>
        <v/>
      </c>
      <c r="M909" s="3">
        <f>IF('Data Source'!B909="","",IF('Data Source'!AE909&gt;=5,"A+",IF('Data Source'!AE909&gt;=4,"A",IF('Data Source'!AE909&gt;=3.5,"A-",IF('Data Source'!AE909&gt;=3,"B",IF('Data Source'!AE909&gt;=2,"C",IF('Data Source'!AE909&gt;=1,"D","F")))))))</f>
        <v/>
      </c>
      <c r="N909" s="3">
        <f>IF('Data Source'!B909="","",IF('Data Source'!AF909&gt;=5,"A+",IF('Data Source'!AF909&gt;=4,"A",IF('Data Source'!AF909&gt;=3.5,"A-",IF('Data Source'!AF909&gt;=3,"B",IF('Data Source'!AF909&gt;=2,"C",IF('Data Source'!AF909&gt;=1,"D","F")))))))</f>
        <v/>
      </c>
      <c r="O909" s="3">
        <f>IF('Data Source'!B909="","",IF('Data Source'!AG909&gt;=5,"A+",IF('Data Source'!AG909&gt;=4,"A",IF('Data Source'!AG909&gt;=3.5,"A-",IF('Data Source'!AG909&gt;=3,"B",IF('Data Source'!AG909&gt;=2,"C",IF('Data Source'!AG909&gt;=1,"D","F")))))))</f>
        <v/>
      </c>
      <c r="P909" s="5">
        <f>IF('Data Source'!B909="","",'Data Source'!R909)</f>
        <v/>
      </c>
      <c r="Q909" s="3">
        <f>IF('Data Source'!B909="","",'Data Source'!S909)</f>
        <v/>
      </c>
    </row>
    <row r="910">
      <c r="A910" s="3">
        <f>IF('Data Source'!B910="","",'Data Source'!A910)</f>
        <v/>
      </c>
      <c r="B910">
        <f>IF('Data Source'!B910="","",'Data Source'!B910)</f>
        <v/>
      </c>
      <c r="C910" s="3">
        <f>IF('Data Source'!B910="","",IF('Data Source'!U910&gt;=5,"A+",IF('Data Source'!U910&gt;=4,"A",IF('Data Source'!U910&gt;=3.5,"A-",IF('Data Source'!U910&gt;=3,"B",IF('Data Source'!U910&gt;=2,"C",IF('Data Source'!U910&gt;=1,"D","F")))))))</f>
        <v/>
      </c>
      <c r="D910" s="3">
        <f>IF('Data Source'!B910="","",IF('Data Source'!V910&gt;=5,"A+",IF('Data Source'!V910&gt;=4,"A",IF('Data Source'!V910&gt;=3.5,"A-",IF('Data Source'!V910&gt;=3,"B",IF('Data Source'!V910&gt;=2,"C",IF('Data Source'!V910&gt;=1,"D","F")))))))</f>
        <v/>
      </c>
      <c r="E910" s="3">
        <f>IF('Data Source'!B910="","",IF('Data Source'!W910&gt;=5,"A+",IF('Data Source'!W910&gt;=4,"A",IF('Data Source'!W910&gt;=3.5,"A-",IF('Data Source'!W910&gt;=3,"B",IF('Data Source'!W910&gt;=2,"C",IF('Data Source'!W910&gt;=1,"D","F")))))))</f>
        <v/>
      </c>
      <c r="F910" s="3">
        <f>IF('Data Source'!B910="","",IF('Data Source'!X910&gt;=5,"A+",IF('Data Source'!X910&gt;=4,"A",IF('Data Source'!X910&gt;=3.5,"A-",IF('Data Source'!X910&gt;=3,"B",IF('Data Source'!X910&gt;=2,"C",IF('Data Source'!X910&gt;=1,"D","F")))))))</f>
        <v/>
      </c>
      <c r="G910" s="3">
        <f>IF('Data Source'!B910="","",IF('Data Source'!Y910&gt;=5,"A+",IF('Data Source'!Y910&gt;=4,"A",IF('Data Source'!Y910&gt;=3.5,"A-",IF('Data Source'!Y910&gt;=3,"B",IF('Data Source'!Y910&gt;=2,"C",IF('Data Source'!Y910&gt;=1,"D","F")))))))</f>
        <v/>
      </c>
      <c r="H910" s="3">
        <f>IF('Data Source'!B910="","",IF('Data Source'!Z910&gt;=5,"A+",IF('Data Source'!Z910&gt;=4,"A",IF('Data Source'!Z910&gt;=3.5,"A-",IF('Data Source'!Z910&gt;=3,"B",IF('Data Source'!Z910&gt;=2,"C",IF('Data Source'!Z910&gt;=1,"D","F")))))))</f>
        <v/>
      </c>
      <c r="I910" s="3">
        <f>IF('Data Source'!B910="","",IF('Data Source'!AA910&gt;=5,"A+",IF('Data Source'!AA910&gt;=4,"A",IF('Data Source'!AA910&gt;=3.5,"A-",IF('Data Source'!AA910&gt;=3,"B",IF('Data Source'!AA910&gt;=2,"C",IF('Data Source'!AA910&gt;=1,"D","F")))))))</f>
        <v/>
      </c>
      <c r="J910" s="3">
        <f>IF('Data Source'!B910="","",IF('Data Source'!AB910&gt;=5,"A+",IF('Data Source'!AB910&gt;=4,"A",IF('Data Source'!AB910&gt;=3.5,"A-",IF('Data Source'!AB910&gt;=3,"B",IF('Data Source'!AB910&gt;=2,"C",IF('Data Source'!AB910&gt;=1,"D","F")))))))</f>
        <v/>
      </c>
      <c r="K910" s="3">
        <f>IF('Data Source'!B910="","",IF('Data Source'!AC910&gt;=5,"A+",IF('Data Source'!AC910&gt;=4,"A",IF('Data Source'!AC910&gt;=3.5,"A-",IF('Data Source'!AC910&gt;=3,"B",IF('Data Source'!AC910&gt;=2,"C",IF('Data Source'!AC910&gt;=1,"D","F")))))))</f>
        <v/>
      </c>
      <c r="L910" s="3">
        <f>IF('Data Source'!B910="","",IF('Data Source'!AD910&gt;=5,"A+",IF('Data Source'!AD910&gt;=4,"A",IF('Data Source'!AD910&gt;=3.5,"A-",IF('Data Source'!AD910&gt;=3,"B",IF('Data Source'!AD910&gt;=2,"C",IF('Data Source'!AD910&gt;=1,"D","F")))))))</f>
        <v/>
      </c>
      <c r="M910" s="3">
        <f>IF('Data Source'!B910="","",IF('Data Source'!AE910&gt;=5,"A+",IF('Data Source'!AE910&gt;=4,"A",IF('Data Source'!AE910&gt;=3.5,"A-",IF('Data Source'!AE910&gt;=3,"B",IF('Data Source'!AE910&gt;=2,"C",IF('Data Source'!AE910&gt;=1,"D","F")))))))</f>
        <v/>
      </c>
      <c r="N910" s="3">
        <f>IF('Data Source'!B910="","",IF('Data Source'!AF910&gt;=5,"A+",IF('Data Source'!AF910&gt;=4,"A",IF('Data Source'!AF910&gt;=3.5,"A-",IF('Data Source'!AF910&gt;=3,"B",IF('Data Source'!AF910&gt;=2,"C",IF('Data Source'!AF910&gt;=1,"D","F")))))))</f>
        <v/>
      </c>
      <c r="O910" s="3">
        <f>IF('Data Source'!B910="","",IF('Data Source'!AG910&gt;=5,"A+",IF('Data Source'!AG910&gt;=4,"A",IF('Data Source'!AG910&gt;=3.5,"A-",IF('Data Source'!AG910&gt;=3,"B",IF('Data Source'!AG910&gt;=2,"C",IF('Data Source'!AG910&gt;=1,"D","F")))))))</f>
        <v/>
      </c>
      <c r="P910" s="5">
        <f>IF('Data Source'!B910="","",'Data Source'!R910)</f>
        <v/>
      </c>
      <c r="Q910" s="3">
        <f>IF('Data Source'!B910="","",'Data Source'!S910)</f>
        <v/>
      </c>
    </row>
    <row r="911">
      <c r="A911" s="3">
        <f>IF('Data Source'!B911="","",'Data Source'!A911)</f>
        <v/>
      </c>
      <c r="B911">
        <f>IF('Data Source'!B911="","",'Data Source'!B911)</f>
        <v/>
      </c>
      <c r="C911" s="3">
        <f>IF('Data Source'!B911="","",IF('Data Source'!U911&gt;=5,"A+",IF('Data Source'!U911&gt;=4,"A",IF('Data Source'!U911&gt;=3.5,"A-",IF('Data Source'!U911&gt;=3,"B",IF('Data Source'!U911&gt;=2,"C",IF('Data Source'!U911&gt;=1,"D","F")))))))</f>
        <v/>
      </c>
      <c r="D911" s="3">
        <f>IF('Data Source'!B911="","",IF('Data Source'!V911&gt;=5,"A+",IF('Data Source'!V911&gt;=4,"A",IF('Data Source'!V911&gt;=3.5,"A-",IF('Data Source'!V911&gt;=3,"B",IF('Data Source'!V911&gt;=2,"C",IF('Data Source'!V911&gt;=1,"D","F")))))))</f>
        <v/>
      </c>
      <c r="E911" s="3">
        <f>IF('Data Source'!B911="","",IF('Data Source'!W911&gt;=5,"A+",IF('Data Source'!W911&gt;=4,"A",IF('Data Source'!W911&gt;=3.5,"A-",IF('Data Source'!W911&gt;=3,"B",IF('Data Source'!W911&gt;=2,"C",IF('Data Source'!W911&gt;=1,"D","F")))))))</f>
        <v/>
      </c>
      <c r="F911" s="3">
        <f>IF('Data Source'!B911="","",IF('Data Source'!X911&gt;=5,"A+",IF('Data Source'!X911&gt;=4,"A",IF('Data Source'!X911&gt;=3.5,"A-",IF('Data Source'!X911&gt;=3,"B",IF('Data Source'!X911&gt;=2,"C",IF('Data Source'!X911&gt;=1,"D","F")))))))</f>
        <v/>
      </c>
      <c r="G911" s="3">
        <f>IF('Data Source'!B911="","",IF('Data Source'!Y911&gt;=5,"A+",IF('Data Source'!Y911&gt;=4,"A",IF('Data Source'!Y911&gt;=3.5,"A-",IF('Data Source'!Y911&gt;=3,"B",IF('Data Source'!Y911&gt;=2,"C",IF('Data Source'!Y911&gt;=1,"D","F")))))))</f>
        <v/>
      </c>
      <c r="H911" s="3">
        <f>IF('Data Source'!B911="","",IF('Data Source'!Z911&gt;=5,"A+",IF('Data Source'!Z911&gt;=4,"A",IF('Data Source'!Z911&gt;=3.5,"A-",IF('Data Source'!Z911&gt;=3,"B",IF('Data Source'!Z911&gt;=2,"C",IF('Data Source'!Z911&gt;=1,"D","F")))))))</f>
        <v/>
      </c>
      <c r="I911" s="3">
        <f>IF('Data Source'!B911="","",IF('Data Source'!AA911&gt;=5,"A+",IF('Data Source'!AA911&gt;=4,"A",IF('Data Source'!AA911&gt;=3.5,"A-",IF('Data Source'!AA911&gt;=3,"B",IF('Data Source'!AA911&gt;=2,"C",IF('Data Source'!AA911&gt;=1,"D","F")))))))</f>
        <v/>
      </c>
      <c r="J911" s="3">
        <f>IF('Data Source'!B911="","",IF('Data Source'!AB911&gt;=5,"A+",IF('Data Source'!AB911&gt;=4,"A",IF('Data Source'!AB911&gt;=3.5,"A-",IF('Data Source'!AB911&gt;=3,"B",IF('Data Source'!AB911&gt;=2,"C",IF('Data Source'!AB911&gt;=1,"D","F")))))))</f>
        <v/>
      </c>
      <c r="K911" s="3">
        <f>IF('Data Source'!B911="","",IF('Data Source'!AC911&gt;=5,"A+",IF('Data Source'!AC911&gt;=4,"A",IF('Data Source'!AC911&gt;=3.5,"A-",IF('Data Source'!AC911&gt;=3,"B",IF('Data Source'!AC911&gt;=2,"C",IF('Data Source'!AC911&gt;=1,"D","F")))))))</f>
        <v/>
      </c>
      <c r="L911" s="3">
        <f>IF('Data Source'!B911="","",IF('Data Source'!AD911&gt;=5,"A+",IF('Data Source'!AD911&gt;=4,"A",IF('Data Source'!AD911&gt;=3.5,"A-",IF('Data Source'!AD911&gt;=3,"B",IF('Data Source'!AD911&gt;=2,"C",IF('Data Source'!AD911&gt;=1,"D","F")))))))</f>
        <v/>
      </c>
      <c r="M911" s="3">
        <f>IF('Data Source'!B911="","",IF('Data Source'!AE911&gt;=5,"A+",IF('Data Source'!AE911&gt;=4,"A",IF('Data Source'!AE911&gt;=3.5,"A-",IF('Data Source'!AE911&gt;=3,"B",IF('Data Source'!AE911&gt;=2,"C",IF('Data Source'!AE911&gt;=1,"D","F")))))))</f>
        <v/>
      </c>
      <c r="N911" s="3">
        <f>IF('Data Source'!B911="","",IF('Data Source'!AF911&gt;=5,"A+",IF('Data Source'!AF911&gt;=4,"A",IF('Data Source'!AF911&gt;=3.5,"A-",IF('Data Source'!AF911&gt;=3,"B",IF('Data Source'!AF911&gt;=2,"C",IF('Data Source'!AF911&gt;=1,"D","F")))))))</f>
        <v/>
      </c>
      <c r="O911" s="3">
        <f>IF('Data Source'!B911="","",IF('Data Source'!AG911&gt;=5,"A+",IF('Data Source'!AG911&gt;=4,"A",IF('Data Source'!AG911&gt;=3.5,"A-",IF('Data Source'!AG911&gt;=3,"B",IF('Data Source'!AG911&gt;=2,"C",IF('Data Source'!AG911&gt;=1,"D","F")))))))</f>
        <v/>
      </c>
      <c r="P911" s="5">
        <f>IF('Data Source'!B911="","",'Data Source'!R911)</f>
        <v/>
      </c>
      <c r="Q911" s="3">
        <f>IF('Data Source'!B911="","",'Data Source'!S911)</f>
        <v/>
      </c>
    </row>
    <row r="912">
      <c r="A912" s="3">
        <f>IF('Data Source'!B912="","",'Data Source'!A912)</f>
        <v/>
      </c>
      <c r="B912">
        <f>IF('Data Source'!B912="","",'Data Source'!B912)</f>
        <v/>
      </c>
      <c r="C912" s="3">
        <f>IF('Data Source'!B912="","",IF('Data Source'!U912&gt;=5,"A+",IF('Data Source'!U912&gt;=4,"A",IF('Data Source'!U912&gt;=3.5,"A-",IF('Data Source'!U912&gt;=3,"B",IF('Data Source'!U912&gt;=2,"C",IF('Data Source'!U912&gt;=1,"D","F")))))))</f>
        <v/>
      </c>
      <c r="D912" s="3">
        <f>IF('Data Source'!B912="","",IF('Data Source'!V912&gt;=5,"A+",IF('Data Source'!V912&gt;=4,"A",IF('Data Source'!V912&gt;=3.5,"A-",IF('Data Source'!V912&gt;=3,"B",IF('Data Source'!V912&gt;=2,"C",IF('Data Source'!V912&gt;=1,"D","F")))))))</f>
        <v/>
      </c>
      <c r="E912" s="3">
        <f>IF('Data Source'!B912="","",IF('Data Source'!W912&gt;=5,"A+",IF('Data Source'!W912&gt;=4,"A",IF('Data Source'!W912&gt;=3.5,"A-",IF('Data Source'!W912&gt;=3,"B",IF('Data Source'!W912&gt;=2,"C",IF('Data Source'!W912&gt;=1,"D","F")))))))</f>
        <v/>
      </c>
      <c r="F912" s="3">
        <f>IF('Data Source'!B912="","",IF('Data Source'!X912&gt;=5,"A+",IF('Data Source'!X912&gt;=4,"A",IF('Data Source'!X912&gt;=3.5,"A-",IF('Data Source'!X912&gt;=3,"B",IF('Data Source'!X912&gt;=2,"C",IF('Data Source'!X912&gt;=1,"D","F")))))))</f>
        <v/>
      </c>
      <c r="G912" s="3">
        <f>IF('Data Source'!B912="","",IF('Data Source'!Y912&gt;=5,"A+",IF('Data Source'!Y912&gt;=4,"A",IF('Data Source'!Y912&gt;=3.5,"A-",IF('Data Source'!Y912&gt;=3,"B",IF('Data Source'!Y912&gt;=2,"C",IF('Data Source'!Y912&gt;=1,"D","F")))))))</f>
        <v/>
      </c>
      <c r="H912" s="3">
        <f>IF('Data Source'!B912="","",IF('Data Source'!Z912&gt;=5,"A+",IF('Data Source'!Z912&gt;=4,"A",IF('Data Source'!Z912&gt;=3.5,"A-",IF('Data Source'!Z912&gt;=3,"B",IF('Data Source'!Z912&gt;=2,"C",IF('Data Source'!Z912&gt;=1,"D","F")))))))</f>
        <v/>
      </c>
      <c r="I912" s="3">
        <f>IF('Data Source'!B912="","",IF('Data Source'!AA912&gt;=5,"A+",IF('Data Source'!AA912&gt;=4,"A",IF('Data Source'!AA912&gt;=3.5,"A-",IF('Data Source'!AA912&gt;=3,"B",IF('Data Source'!AA912&gt;=2,"C",IF('Data Source'!AA912&gt;=1,"D","F")))))))</f>
        <v/>
      </c>
      <c r="J912" s="3">
        <f>IF('Data Source'!B912="","",IF('Data Source'!AB912&gt;=5,"A+",IF('Data Source'!AB912&gt;=4,"A",IF('Data Source'!AB912&gt;=3.5,"A-",IF('Data Source'!AB912&gt;=3,"B",IF('Data Source'!AB912&gt;=2,"C",IF('Data Source'!AB912&gt;=1,"D","F")))))))</f>
        <v/>
      </c>
      <c r="K912" s="3">
        <f>IF('Data Source'!B912="","",IF('Data Source'!AC912&gt;=5,"A+",IF('Data Source'!AC912&gt;=4,"A",IF('Data Source'!AC912&gt;=3.5,"A-",IF('Data Source'!AC912&gt;=3,"B",IF('Data Source'!AC912&gt;=2,"C",IF('Data Source'!AC912&gt;=1,"D","F")))))))</f>
        <v/>
      </c>
      <c r="L912" s="3">
        <f>IF('Data Source'!B912="","",IF('Data Source'!AD912&gt;=5,"A+",IF('Data Source'!AD912&gt;=4,"A",IF('Data Source'!AD912&gt;=3.5,"A-",IF('Data Source'!AD912&gt;=3,"B",IF('Data Source'!AD912&gt;=2,"C",IF('Data Source'!AD912&gt;=1,"D","F")))))))</f>
        <v/>
      </c>
      <c r="M912" s="3">
        <f>IF('Data Source'!B912="","",IF('Data Source'!AE912&gt;=5,"A+",IF('Data Source'!AE912&gt;=4,"A",IF('Data Source'!AE912&gt;=3.5,"A-",IF('Data Source'!AE912&gt;=3,"B",IF('Data Source'!AE912&gt;=2,"C",IF('Data Source'!AE912&gt;=1,"D","F")))))))</f>
        <v/>
      </c>
      <c r="N912" s="3">
        <f>IF('Data Source'!B912="","",IF('Data Source'!AF912&gt;=5,"A+",IF('Data Source'!AF912&gt;=4,"A",IF('Data Source'!AF912&gt;=3.5,"A-",IF('Data Source'!AF912&gt;=3,"B",IF('Data Source'!AF912&gt;=2,"C",IF('Data Source'!AF912&gt;=1,"D","F")))))))</f>
        <v/>
      </c>
      <c r="O912" s="3">
        <f>IF('Data Source'!B912="","",IF('Data Source'!AG912&gt;=5,"A+",IF('Data Source'!AG912&gt;=4,"A",IF('Data Source'!AG912&gt;=3.5,"A-",IF('Data Source'!AG912&gt;=3,"B",IF('Data Source'!AG912&gt;=2,"C",IF('Data Source'!AG912&gt;=1,"D","F")))))))</f>
        <v/>
      </c>
      <c r="P912" s="5">
        <f>IF('Data Source'!B912="","",'Data Source'!R912)</f>
        <v/>
      </c>
      <c r="Q912" s="3">
        <f>IF('Data Source'!B912="","",'Data Source'!S912)</f>
        <v/>
      </c>
    </row>
    <row r="913">
      <c r="A913" s="3">
        <f>IF('Data Source'!B913="","",'Data Source'!A913)</f>
        <v/>
      </c>
      <c r="B913">
        <f>IF('Data Source'!B913="","",'Data Source'!B913)</f>
        <v/>
      </c>
      <c r="C913" s="3">
        <f>IF('Data Source'!B913="","",IF('Data Source'!U913&gt;=5,"A+",IF('Data Source'!U913&gt;=4,"A",IF('Data Source'!U913&gt;=3.5,"A-",IF('Data Source'!U913&gt;=3,"B",IF('Data Source'!U913&gt;=2,"C",IF('Data Source'!U913&gt;=1,"D","F")))))))</f>
        <v/>
      </c>
      <c r="D913" s="3">
        <f>IF('Data Source'!B913="","",IF('Data Source'!V913&gt;=5,"A+",IF('Data Source'!V913&gt;=4,"A",IF('Data Source'!V913&gt;=3.5,"A-",IF('Data Source'!V913&gt;=3,"B",IF('Data Source'!V913&gt;=2,"C",IF('Data Source'!V913&gt;=1,"D","F")))))))</f>
        <v/>
      </c>
      <c r="E913" s="3">
        <f>IF('Data Source'!B913="","",IF('Data Source'!W913&gt;=5,"A+",IF('Data Source'!W913&gt;=4,"A",IF('Data Source'!W913&gt;=3.5,"A-",IF('Data Source'!W913&gt;=3,"B",IF('Data Source'!W913&gt;=2,"C",IF('Data Source'!W913&gt;=1,"D","F")))))))</f>
        <v/>
      </c>
      <c r="F913" s="3">
        <f>IF('Data Source'!B913="","",IF('Data Source'!X913&gt;=5,"A+",IF('Data Source'!X913&gt;=4,"A",IF('Data Source'!X913&gt;=3.5,"A-",IF('Data Source'!X913&gt;=3,"B",IF('Data Source'!X913&gt;=2,"C",IF('Data Source'!X913&gt;=1,"D","F")))))))</f>
        <v/>
      </c>
      <c r="G913" s="3">
        <f>IF('Data Source'!B913="","",IF('Data Source'!Y913&gt;=5,"A+",IF('Data Source'!Y913&gt;=4,"A",IF('Data Source'!Y913&gt;=3.5,"A-",IF('Data Source'!Y913&gt;=3,"B",IF('Data Source'!Y913&gt;=2,"C",IF('Data Source'!Y913&gt;=1,"D","F")))))))</f>
        <v/>
      </c>
      <c r="H913" s="3">
        <f>IF('Data Source'!B913="","",IF('Data Source'!Z913&gt;=5,"A+",IF('Data Source'!Z913&gt;=4,"A",IF('Data Source'!Z913&gt;=3.5,"A-",IF('Data Source'!Z913&gt;=3,"B",IF('Data Source'!Z913&gt;=2,"C",IF('Data Source'!Z913&gt;=1,"D","F")))))))</f>
        <v/>
      </c>
      <c r="I913" s="3">
        <f>IF('Data Source'!B913="","",IF('Data Source'!AA913&gt;=5,"A+",IF('Data Source'!AA913&gt;=4,"A",IF('Data Source'!AA913&gt;=3.5,"A-",IF('Data Source'!AA913&gt;=3,"B",IF('Data Source'!AA913&gt;=2,"C",IF('Data Source'!AA913&gt;=1,"D","F")))))))</f>
        <v/>
      </c>
      <c r="J913" s="3">
        <f>IF('Data Source'!B913="","",IF('Data Source'!AB913&gt;=5,"A+",IF('Data Source'!AB913&gt;=4,"A",IF('Data Source'!AB913&gt;=3.5,"A-",IF('Data Source'!AB913&gt;=3,"B",IF('Data Source'!AB913&gt;=2,"C",IF('Data Source'!AB913&gt;=1,"D","F")))))))</f>
        <v/>
      </c>
      <c r="K913" s="3">
        <f>IF('Data Source'!B913="","",IF('Data Source'!AC913&gt;=5,"A+",IF('Data Source'!AC913&gt;=4,"A",IF('Data Source'!AC913&gt;=3.5,"A-",IF('Data Source'!AC913&gt;=3,"B",IF('Data Source'!AC913&gt;=2,"C",IF('Data Source'!AC913&gt;=1,"D","F")))))))</f>
        <v/>
      </c>
      <c r="L913" s="3">
        <f>IF('Data Source'!B913="","",IF('Data Source'!AD913&gt;=5,"A+",IF('Data Source'!AD913&gt;=4,"A",IF('Data Source'!AD913&gt;=3.5,"A-",IF('Data Source'!AD913&gt;=3,"B",IF('Data Source'!AD913&gt;=2,"C",IF('Data Source'!AD913&gt;=1,"D","F")))))))</f>
        <v/>
      </c>
      <c r="M913" s="3">
        <f>IF('Data Source'!B913="","",IF('Data Source'!AE913&gt;=5,"A+",IF('Data Source'!AE913&gt;=4,"A",IF('Data Source'!AE913&gt;=3.5,"A-",IF('Data Source'!AE913&gt;=3,"B",IF('Data Source'!AE913&gt;=2,"C",IF('Data Source'!AE913&gt;=1,"D","F")))))))</f>
        <v/>
      </c>
      <c r="N913" s="3">
        <f>IF('Data Source'!B913="","",IF('Data Source'!AF913&gt;=5,"A+",IF('Data Source'!AF913&gt;=4,"A",IF('Data Source'!AF913&gt;=3.5,"A-",IF('Data Source'!AF913&gt;=3,"B",IF('Data Source'!AF913&gt;=2,"C",IF('Data Source'!AF913&gt;=1,"D","F")))))))</f>
        <v/>
      </c>
      <c r="O913" s="3">
        <f>IF('Data Source'!B913="","",IF('Data Source'!AG913&gt;=5,"A+",IF('Data Source'!AG913&gt;=4,"A",IF('Data Source'!AG913&gt;=3.5,"A-",IF('Data Source'!AG913&gt;=3,"B",IF('Data Source'!AG913&gt;=2,"C",IF('Data Source'!AG913&gt;=1,"D","F")))))))</f>
        <v/>
      </c>
      <c r="P913" s="5">
        <f>IF('Data Source'!B913="","",'Data Source'!R913)</f>
        <v/>
      </c>
      <c r="Q913" s="3">
        <f>IF('Data Source'!B913="","",'Data Source'!S913)</f>
        <v/>
      </c>
    </row>
    <row r="914">
      <c r="A914" s="3">
        <f>IF('Data Source'!B914="","",'Data Source'!A914)</f>
        <v/>
      </c>
      <c r="B914">
        <f>IF('Data Source'!B914="","",'Data Source'!B914)</f>
        <v/>
      </c>
      <c r="C914" s="3">
        <f>IF('Data Source'!B914="","",IF('Data Source'!U914&gt;=5,"A+",IF('Data Source'!U914&gt;=4,"A",IF('Data Source'!U914&gt;=3.5,"A-",IF('Data Source'!U914&gt;=3,"B",IF('Data Source'!U914&gt;=2,"C",IF('Data Source'!U914&gt;=1,"D","F")))))))</f>
        <v/>
      </c>
      <c r="D914" s="3">
        <f>IF('Data Source'!B914="","",IF('Data Source'!V914&gt;=5,"A+",IF('Data Source'!V914&gt;=4,"A",IF('Data Source'!V914&gt;=3.5,"A-",IF('Data Source'!V914&gt;=3,"B",IF('Data Source'!V914&gt;=2,"C",IF('Data Source'!V914&gt;=1,"D","F")))))))</f>
        <v/>
      </c>
      <c r="E914" s="3">
        <f>IF('Data Source'!B914="","",IF('Data Source'!W914&gt;=5,"A+",IF('Data Source'!W914&gt;=4,"A",IF('Data Source'!W914&gt;=3.5,"A-",IF('Data Source'!W914&gt;=3,"B",IF('Data Source'!W914&gt;=2,"C",IF('Data Source'!W914&gt;=1,"D","F")))))))</f>
        <v/>
      </c>
      <c r="F914" s="3">
        <f>IF('Data Source'!B914="","",IF('Data Source'!X914&gt;=5,"A+",IF('Data Source'!X914&gt;=4,"A",IF('Data Source'!X914&gt;=3.5,"A-",IF('Data Source'!X914&gt;=3,"B",IF('Data Source'!X914&gt;=2,"C",IF('Data Source'!X914&gt;=1,"D","F")))))))</f>
        <v/>
      </c>
      <c r="G914" s="3">
        <f>IF('Data Source'!B914="","",IF('Data Source'!Y914&gt;=5,"A+",IF('Data Source'!Y914&gt;=4,"A",IF('Data Source'!Y914&gt;=3.5,"A-",IF('Data Source'!Y914&gt;=3,"B",IF('Data Source'!Y914&gt;=2,"C",IF('Data Source'!Y914&gt;=1,"D","F")))))))</f>
        <v/>
      </c>
      <c r="H914" s="3">
        <f>IF('Data Source'!B914="","",IF('Data Source'!Z914&gt;=5,"A+",IF('Data Source'!Z914&gt;=4,"A",IF('Data Source'!Z914&gt;=3.5,"A-",IF('Data Source'!Z914&gt;=3,"B",IF('Data Source'!Z914&gt;=2,"C",IF('Data Source'!Z914&gt;=1,"D","F")))))))</f>
        <v/>
      </c>
      <c r="I914" s="3">
        <f>IF('Data Source'!B914="","",IF('Data Source'!AA914&gt;=5,"A+",IF('Data Source'!AA914&gt;=4,"A",IF('Data Source'!AA914&gt;=3.5,"A-",IF('Data Source'!AA914&gt;=3,"B",IF('Data Source'!AA914&gt;=2,"C",IF('Data Source'!AA914&gt;=1,"D","F")))))))</f>
        <v/>
      </c>
      <c r="J914" s="3">
        <f>IF('Data Source'!B914="","",IF('Data Source'!AB914&gt;=5,"A+",IF('Data Source'!AB914&gt;=4,"A",IF('Data Source'!AB914&gt;=3.5,"A-",IF('Data Source'!AB914&gt;=3,"B",IF('Data Source'!AB914&gt;=2,"C",IF('Data Source'!AB914&gt;=1,"D","F")))))))</f>
        <v/>
      </c>
      <c r="K914" s="3">
        <f>IF('Data Source'!B914="","",IF('Data Source'!AC914&gt;=5,"A+",IF('Data Source'!AC914&gt;=4,"A",IF('Data Source'!AC914&gt;=3.5,"A-",IF('Data Source'!AC914&gt;=3,"B",IF('Data Source'!AC914&gt;=2,"C",IF('Data Source'!AC914&gt;=1,"D","F")))))))</f>
        <v/>
      </c>
      <c r="L914" s="3">
        <f>IF('Data Source'!B914="","",IF('Data Source'!AD914&gt;=5,"A+",IF('Data Source'!AD914&gt;=4,"A",IF('Data Source'!AD914&gt;=3.5,"A-",IF('Data Source'!AD914&gt;=3,"B",IF('Data Source'!AD914&gt;=2,"C",IF('Data Source'!AD914&gt;=1,"D","F")))))))</f>
        <v/>
      </c>
      <c r="M914" s="3">
        <f>IF('Data Source'!B914="","",IF('Data Source'!AE914&gt;=5,"A+",IF('Data Source'!AE914&gt;=4,"A",IF('Data Source'!AE914&gt;=3.5,"A-",IF('Data Source'!AE914&gt;=3,"B",IF('Data Source'!AE914&gt;=2,"C",IF('Data Source'!AE914&gt;=1,"D","F")))))))</f>
        <v/>
      </c>
      <c r="N914" s="3">
        <f>IF('Data Source'!B914="","",IF('Data Source'!AF914&gt;=5,"A+",IF('Data Source'!AF914&gt;=4,"A",IF('Data Source'!AF914&gt;=3.5,"A-",IF('Data Source'!AF914&gt;=3,"B",IF('Data Source'!AF914&gt;=2,"C",IF('Data Source'!AF914&gt;=1,"D","F")))))))</f>
        <v/>
      </c>
      <c r="O914" s="3">
        <f>IF('Data Source'!B914="","",IF('Data Source'!AG914&gt;=5,"A+",IF('Data Source'!AG914&gt;=4,"A",IF('Data Source'!AG914&gt;=3.5,"A-",IF('Data Source'!AG914&gt;=3,"B",IF('Data Source'!AG914&gt;=2,"C",IF('Data Source'!AG914&gt;=1,"D","F")))))))</f>
        <v/>
      </c>
      <c r="P914" s="5">
        <f>IF('Data Source'!B914="","",'Data Source'!R914)</f>
        <v/>
      </c>
      <c r="Q914" s="3">
        <f>IF('Data Source'!B914="","",'Data Source'!S914)</f>
        <v/>
      </c>
    </row>
    <row r="915">
      <c r="A915" s="3">
        <f>IF('Data Source'!B915="","",'Data Source'!A915)</f>
        <v/>
      </c>
      <c r="B915">
        <f>IF('Data Source'!B915="","",'Data Source'!B915)</f>
        <v/>
      </c>
      <c r="C915" s="3">
        <f>IF('Data Source'!B915="","",IF('Data Source'!U915&gt;=5,"A+",IF('Data Source'!U915&gt;=4,"A",IF('Data Source'!U915&gt;=3.5,"A-",IF('Data Source'!U915&gt;=3,"B",IF('Data Source'!U915&gt;=2,"C",IF('Data Source'!U915&gt;=1,"D","F")))))))</f>
        <v/>
      </c>
      <c r="D915" s="3">
        <f>IF('Data Source'!B915="","",IF('Data Source'!V915&gt;=5,"A+",IF('Data Source'!V915&gt;=4,"A",IF('Data Source'!V915&gt;=3.5,"A-",IF('Data Source'!V915&gt;=3,"B",IF('Data Source'!V915&gt;=2,"C",IF('Data Source'!V915&gt;=1,"D","F")))))))</f>
        <v/>
      </c>
      <c r="E915" s="3">
        <f>IF('Data Source'!B915="","",IF('Data Source'!W915&gt;=5,"A+",IF('Data Source'!W915&gt;=4,"A",IF('Data Source'!W915&gt;=3.5,"A-",IF('Data Source'!W915&gt;=3,"B",IF('Data Source'!W915&gt;=2,"C",IF('Data Source'!W915&gt;=1,"D","F")))))))</f>
        <v/>
      </c>
      <c r="F915" s="3">
        <f>IF('Data Source'!B915="","",IF('Data Source'!X915&gt;=5,"A+",IF('Data Source'!X915&gt;=4,"A",IF('Data Source'!X915&gt;=3.5,"A-",IF('Data Source'!X915&gt;=3,"B",IF('Data Source'!X915&gt;=2,"C",IF('Data Source'!X915&gt;=1,"D","F")))))))</f>
        <v/>
      </c>
      <c r="G915" s="3">
        <f>IF('Data Source'!B915="","",IF('Data Source'!Y915&gt;=5,"A+",IF('Data Source'!Y915&gt;=4,"A",IF('Data Source'!Y915&gt;=3.5,"A-",IF('Data Source'!Y915&gt;=3,"B",IF('Data Source'!Y915&gt;=2,"C",IF('Data Source'!Y915&gt;=1,"D","F")))))))</f>
        <v/>
      </c>
      <c r="H915" s="3">
        <f>IF('Data Source'!B915="","",IF('Data Source'!Z915&gt;=5,"A+",IF('Data Source'!Z915&gt;=4,"A",IF('Data Source'!Z915&gt;=3.5,"A-",IF('Data Source'!Z915&gt;=3,"B",IF('Data Source'!Z915&gt;=2,"C",IF('Data Source'!Z915&gt;=1,"D","F")))))))</f>
        <v/>
      </c>
      <c r="I915" s="3">
        <f>IF('Data Source'!B915="","",IF('Data Source'!AA915&gt;=5,"A+",IF('Data Source'!AA915&gt;=4,"A",IF('Data Source'!AA915&gt;=3.5,"A-",IF('Data Source'!AA915&gt;=3,"B",IF('Data Source'!AA915&gt;=2,"C",IF('Data Source'!AA915&gt;=1,"D","F")))))))</f>
        <v/>
      </c>
      <c r="J915" s="3">
        <f>IF('Data Source'!B915="","",IF('Data Source'!AB915&gt;=5,"A+",IF('Data Source'!AB915&gt;=4,"A",IF('Data Source'!AB915&gt;=3.5,"A-",IF('Data Source'!AB915&gt;=3,"B",IF('Data Source'!AB915&gt;=2,"C",IF('Data Source'!AB915&gt;=1,"D","F")))))))</f>
        <v/>
      </c>
      <c r="K915" s="3">
        <f>IF('Data Source'!B915="","",IF('Data Source'!AC915&gt;=5,"A+",IF('Data Source'!AC915&gt;=4,"A",IF('Data Source'!AC915&gt;=3.5,"A-",IF('Data Source'!AC915&gt;=3,"B",IF('Data Source'!AC915&gt;=2,"C",IF('Data Source'!AC915&gt;=1,"D","F")))))))</f>
        <v/>
      </c>
      <c r="L915" s="3">
        <f>IF('Data Source'!B915="","",IF('Data Source'!AD915&gt;=5,"A+",IF('Data Source'!AD915&gt;=4,"A",IF('Data Source'!AD915&gt;=3.5,"A-",IF('Data Source'!AD915&gt;=3,"B",IF('Data Source'!AD915&gt;=2,"C",IF('Data Source'!AD915&gt;=1,"D","F")))))))</f>
        <v/>
      </c>
      <c r="M915" s="3">
        <f>IF('Data Source'!B915="","",IF('Data Source'!AE915&gt;=5,"A+",IF('Data Source'!AE915&gt;=4,"A",IF('Data Source'!AE915&gt;=3.5,"A-",IF('Data Source'!AE915&gt;=3,"B",IF('Data Source'!AE915&gt;=2,"C",IF('Data Source'!AE915&gt;=1,"D","F")))))))</f>
        <v/>
      </c>
      <c r="N915" s="3">
        <f>IF('Data Source'!B915="","",IF('Data Source'!AF915&gt;=5,"A+",IF('Data Source'!AF915&gt;=4,"A",IF('Data Source'!AF915&gt;=3.5,"A-",IF('Data Source'!AF915&gt;=3,"B",IF('Data Source'!AF915&gt;=2,"C",IF('Data Source'!AF915&gt;=1,"D","F")))))))</f>
        <v/>
      </c>
      <c r="O915" s="3">
        <f>IF('Data Source'!B915="","",IF('Data Source'!AG915&gt;=5,"A+",IF('Data Source'!AG915&gt;=4,"A",IF('Data Source'!AG915&gt;=3.5,"A-",IF('Data Source'!AG915&gt;=3,"B",IF('Data Source'!AG915&gt;=2,"C",IF('Data Source'!AG915&gt;=1,"D","F")))))))</f>
        <v/>
      </c>
      <c r="P915" s="5">
        <f>IF('Data Source'!B915="","",'Data Source'!R915)</f>
        <v/>
      </c>
      <c r="Q915" s="3">
        <f>IF('Data Source'!B915="","",'Data Source'!S915)</f>
        <v/>
      </c>
    </row>
    <row r="916">
      <c r="A916" s="3">
        <f>IF('Data Source'!B916="","",'Data Source'!A916)</f>
        <v/>
      </c>
      <c r="B916">
        <f>IF('Data Source'!B916="","",'Data Source'!B916)</f>
        <v/>
      </c>
      <c r="C916" s="3">
        <f>IF('Data Source'!B916="","",IF('Data Source'!U916&gt;=5,"A+",IF('Data Source'!U916&gt;=4,"A",IF('Data Source'!U916&gt;=3.5,"A-",IF('Data Source'!U916&gt;=3,"B",IF('Data Source'!U916&gt;=2,"C",IF('Data Source'!U916&gt;=1,"D","F")))))))</f>
        <v/>
      </c>
      <c r="D916" s="3">
        <f>IF('Data Source'!B916="","",IF('Data Source'!V916&gt;=5,"A+",IF('Data Source'!V916&gt;=4,"A",IF('Data Source'!V916&gt;=3.5,"A-",IF('Data Source'!V916&gt;=3,"B",IF('Data Source'!V916&gt;=2,"C",IF('Data Source'!V916&gt;=1,"D","F")))))))</f>
        <v/>
      </c>
      <c r="E916" s="3">
        <f>IF('Data Source'!B916="","",IF('Data Source'!W916&gt;=5,"A+",IF('Data Source'!W916&gt;=4,"A",IF('Data Source'!W916&gt;=3.5,"A-",IF('Data Source'!W916&gt;=3,"B",IF('Data Source'!W916&gt;=2,"C",IF('Data Source'!W916&gt;=1,"D","F")))))))</f>
        <v/>
      </c>
      <c r="F916" s="3">
        <f>IF('Data Source'!B916="","",IF('Data Source'!X916&gt;=5,"A+",IF('Data Source'!X916&gt;=4,"A",IF('Data Source'!X916&gt;=3.5,"A-",IF('Data Source'!X916&gt;=3,"B",IF('Data Source'!X916&gt;=2,"C",IF('Data Source'!X916&gt;=1,"D","F")))))))</f>
        <v/>
      </c>
      <c r="G916" s="3">
        <f>IF('Data Source'!B916="","",IF('Data Source'!Y916&gt;=5,"A+",IF('Data Source'!Y916&gt;=4,"A",IF('Data Source'!Y916&gt;=3.5,"A-",IF('Data Source'!Y916&gt;=3,"B",IF('Data Source'!Y916&gt;=2,"C",IF('Data Source'!Y916&gt;=1,"D","F")))))))</f>
        <v/>
      </c>
      <c r="H916" s="3">
        <f>IF('Data Source'!B916="","",IF('Data Source'!Z916&gt;=5,"A+",IF('Data Source'!Z916&gt;=4,"A",IF('Data Source'!Z916&gt;=3.5,"A-",IF('Data Source'!Z916&gt;=3,"B",IF('Data Source'!Z916&gt;=2,"C",IF('Data Source'!Z916&gt;=1,"D","F")))))))</f>
        <v/>
      </c>
      <c r="I916" s="3">
        <f>IF('Data Source'!B916="","",IF('Data Source'!AA916&gt;=5,"A+",IF('Data Source'!AA916&gt;=4,"A",IF('Data Source'!AA916&gt;=3.5,"A-",IF('Data Source'!AA916&gt;=3,"B",IF('Data Source'!AA916&gt;=2,"C",IF('Data Source'!AA916&gt;=1,"D","F")))))))</f>
        <v/>
      </c>
      <c r="J916" s="3">
        <f>IF('Data Source'!B916="","",IF('Data Source'!AB916&gt;=5,"A+",IF('Data Source'!AB916&gt;=4,"A",IF('Data Source'!AB916&gt;=3.5,"A-",IF('Data Source'!AB916&gt;=3,"B",IF('Data Source'!AB916&gt;=2,"C",IF('Data Source'!AB916&gt;=1,"D","F")))))))</f>
        <v/>
      </c>
      <c r="K916" s="3">
        <f>IF('Data Source'!B916="","",IF('Data Source'!AC916&gt;=5,"A+",IF('Data Source'!AC916&gt;=4,"A",IF('Data Source'!AC916&gt;=3.5,"A-",IF('Data Source'!AC916&gt;=3,"B",IF('Data Source'!AC916&gt;=2,"C",IF('Data Source'!AC916&gt;=1,"D","F")))))))</f>
        <v/>
      </c>
      <c r="L916" s="3">
        <f>IF('Data Source'!B916="","",IF('Data Source'!AD916&gt;=5,"A+",IF('Data Source'!AD916&gt;=4,"A",IF('Data Source'!AD916&gt;=3.5,"A-",IF('Data Source'!AD916&gt;=3,"B",IF('Data Source'!AD916&gt;=2,"C",IF('Data Source'!AD916&gt;=1,"D","F")))))))</f>
        <v/>
      </c>
      <c r="M916" s="3">
        <f>IF('Data Source'!B916="","",IF('Data Source'!AE916&gt;=5,"A+",IF('Data Source'!AE916&gt;=4,"A",IF('Data Source'!AE916&gt;=3.5,"A-",IF('Data Source'!AE916&gt;=3,"B",IF('Data Source'!AE916&gt;=2,"C",IF('Data Source'!AE916&gt;=1,"D","F")))))))</f>
        <v/>
      </c>
      <c r="N916" s="3">
        <f>IF('Data Source'!B916="","",IF('Data Source'!AF916&gt;=5,"A+",IF('Data Source'!AF916&gt;=4,"A",IF('Data Source'!AF916&gt;=3.5,"A-",IF('Data Source'!AF916&gt;=3,"B",IF('Data Source'!AF916&gt;=2,"C",IF('Data Source'!AF916&gt;=1,"D","F")))))))</f>
        <v/>
      </c>
      <c r="O916" s="3">
        <f>IF('Data Source'!B916="","",IF('Data Source'!AG916&gt;=5,"A+",IF('Data Source'!AG916&gt;=4,"A",IF('Data Source'!AG916&gt;=3.5,"A-",IF('Data Source'!AG916&gt;=3,"B",IF('Data Source'!AG916&gt;=2,"C",IF('Data Source'!AG916&gt;=1,"D","F")))))))</f>
        <v/>
      </c>
      <c r="P916" s="5">
        <f>IF('Data Source'!B916="","",'Data Source'!R916)</f>
        <v/>
      </c>
      <c r="Q916" s="3">
        <f>IF('Data Source'!B916="","",'Data Source'!S916)</f>
        <v/>
      </c>
    </row>
    <row r="917">
      <c r="A917" s="3">
        <f>IF('Data Source'!B917="","",'Data Source'!A917)</f>
        <v/>
      </c>
      <c r="B917">
        <f>IF('Data Source'!B917="","",'Data Source'!B917)</f>
        <v/>
      </c>
      <c r="C917" s="3">
        <f>IF('Data Source'!B917="","",IF('Data Source'!U917&gt;=5,"A+",IF('Data Source'!U917&gt;=4,"A",IF('Data Source'!U917&gt;=3.5,"A-",IF('Data Source'!U917&gt;=3,"B",IF('Data Source'!U917&gt;=2,"C",IF('Data Source'!U917&gt;=1,"D","F")))))))</f>
        <v/>
      </c>
      <c r="D917" s="3">
        <f>IF('Data Source'!B917="","",IF('Data Source'!V917&gt;=5,"A+",IF('Data Source'!V917&gt;=4,"A",IF('Data Source'!V917&gt;=3.5,"A-",IF('Data Source'!V917&gt;=3,"B",IF('Data Source'!V917&gt;=2,"C",IF('Data Source'!V917&gt;=1,"D","F")))))))</f>
        <v/>
      </c>
      <c r="E917" s="3">
        <f>IF('Data Source'!B917="","",IF('Data Source'!W917&gt;=5,"A+",IF('Data Source'!W917&gt;=4,"A",IF('Data Source'!W917&gt;=3.5,"A-",IF('Data Source'!W917&gt;=3,"B",IF('Data Source'!W917&gt;=2,"C",IF('Data Source'!W917&gt;=1,"D","F")))))))</f>
        <v/>
      </c>
      <c r="F917" s="3">
        <f>IF('Data Source'!B917="","",IF('Data Source'!X917&gt;=5,"A+",IF('Data Source'!X917&gt;=4,"A",IF('Data Source'!X917&gt;=3.5,"A-",IF('Data Source'!X917&gt;=3,"B",IF('Data Source'!X917&gt;=2,"C",IF('Data Source'!X917&gt;=1,"D","F")))))))</f>
        <v/>
      </c>
      <c r="G917" s="3">
        <f>IF('Data Source'!B917="","",IF('Data Source'!Y917&gt;=5,"A+",IF('Data Source'!Y917&gt;=4,"A",IF('Data Source'!Y917&gt;=3.5,"A-",IF('Data Source'!Y917&gt;=3,"B",IF('Data Source'!Y917&gt;=2,"C",IF('Data Source'!Y917&gt;=1,"D","F")))))))</f>
        <v/>
      </c>
      <c r="H917" s="3">
        <f>IF('Data Source'!B917="","",IF('Data Source'!Z917&gt;=5,"A+",IF('Data Source'!Z917&gt;=4,"A",IF('Data Source'!Z917&gt;=3.5,"A-",IF('Data Source'!Z917&gt;=3,"B",IF('Data Source'!Z917&gt;=2,"C",IF('Data Source'!Z917&gt;=1,"D","F")))))))</f>
        <v/>
      </c>
      <c r="I917" s="3">
        <f>IF('Data Source'!B917="","",IF('Data Source'!AA917&gt;=5,"A+",IF('Data Source'!AA917&gt;=4,"A",IF('Data Source'!AA917&gt;=3.5,"A-",IF('Data Source'!AA917&gt;=3,"B",IF('Data Source'!AA917&gt;=2,"C",IF('Data Source'!AA917&gt;=1,"D","F")))))))</f>
        <v/>
      </c>
      <c r="J917" s="3">
        <f>IF('Data Source'!B917="","",IF('Data Source'!AB917&gt;=5,"A+",IF('Data Source'!AB917&gt;=4,"A",IF('Data Source'!AB917&gt;=3.5,"A-",IF('Data Source'!AB917&gt;=3,"B",IF('Data Source'!AB917&gt;=2,"C",IF('Data Source'!AB917&gt;=1,"D","F")))))))</f>
        <v/>
      </c>
      <c r="K917" s="3">
        <f>IF('Data Source'!B917="","",IF('Data Source'!AC917&gt;=5,"A+",IF('Data Source'!AC917&gt;=4,"A",IF('Data Source'!AC917&gt;=3.5,"A-",IF('Data Source'!AC917&gt;=3,"B",IF('Data Source'!AC917&gt;=2,"C",IF('Data Source'!AC917&gt;=1,"D","F")))))))</f>
        <v/>
      </c>
      <c r="L917" s="3">
        <f>IF('Data Source'!B917="","",IF('Data Source'!AD917&gt;=5,"A+",IF('Data Source'!AD917&gt;=4,"A",IF('Data Source'!AD917&gt;=3.5,"A-",IF('Data Source'!AD917&gt;=3,"B",IF('Data Source'!AD917&gt;=2,"C",IF('Data Source'!AD917&gt;=1,"D","F")))))))</f>
        <v/>
      </c>
      <c r="M917" s="3">
        <f>IF('Data Source'!B917="","",IF('Data Source'!AE917&gt;=5,"A+",IF('Data Source'!AE917&gt;=4,"A",IF('Data Source'!AE917&gt;=3.5,"A-",IF('Data Source'!AE917&gt;=3,"B",IF('Data Source'!AE917&gt;=2,"C",IF('Data Source'!AE917&gt;=1,"D","F")))))))</f>
        <v/>
      </c>
      <c r="N917" s="3">
        <f>IF('Data Source'!B917="","",IF('Data Source'!AF917&gt;=5,"A+",IF('Data Source'!AF917&gt;=4,"A",IF('Data Source'!AF917&gt;=3.5,"A-",IF('Data Source'!AF917&gt;=3,"B",IF('Data Source'!AF917&gt;=2,"C",IF('Data Source'!AF917&gt;=1,"D","F")))))))</f>
        <v/>
      </c>
      <c r="O917" s="3">
        <f>IF('Data Source'!B917="","",IF('Data Source'!AG917&gt;=5,"A+",IF('Data Source'!AG917&gt;=4,"A",IF('Data Source'!AG917&gt;=3.5,"A-",IF('Data Source'!AG917&gt;=3,"B",IF('Data Source'!AG917&gt;=2,"C",IF('Data Source'!AG917&gt;=1,"D","F")))))))</f>
        <v/>
      </c>
      <c r="P917" s="5">
        <f>IF('Data Source'!B917="","",'Data Source'!R917)</f>
        <v/>
      </c>
      <c r="Q917" s="3">
        <f>IF('Data Source'!B917="","",'Data Source'!S917)</f>
        <v/>
      </c>
    </row>
    <row r="918">
      <c r="A918" s="3">
        <f>IF('Data Source'!B918="","",'Data Source'!A918)</f>
        <v/>
      </c>
      <c r="B918">
        <f>IF('Data Source'!B918="","",'Data Source'!B918)</f>
        <v/>
      </c>
      <c r="C918" s="3">
        <f>IF('Data Source'!B918="","",IF('Data Source'!U918&gt;=5,"A+",IF('Data Source'!U918&gt;=4,"A",IF('Data Source'!U918&gt;=3.5,"A-",IF('Data Source'!U918&gt;=3,"B",IF('Data Source'!U918&gt;=2,"C",IF('Data Source'!U918&gt;=1,"D","F")))))))</f>
        <v/>
      </c>
      <c r="D918" s="3">
        <f>IF('Data Source'!B918="","",IF('Data Source'!V918&gt;=5,"A+",IF('Data Source'!V918&gt;=4,"A",IF('Data Source'!V918&gt;=3.5,"A-",IF('Data Source'!V918&gt;=3,"B",IF('Data Source'!V918&gt;=2,"C",IF('Data Source'!V918&gt;=1,"D","F")))))))</f>
        <v/>
      </c>
      <c r="E918" s="3">
        <f>IF('Data Source'!B918="","",IF('Data Source'!W918&gt;=5,"A+",IF('Data Source'!W918&gt;=4,"A",IF('Data Source'!W918&gt;=3.5,"A-",IF('Data Source'!W918&gt;=3,"B",IF('Data Source'!W918&gt;=2,"C",IF('Data Source'!W918&gt;=1,"D","F")))))))</f>
        <v/>
      </c>
      <c r="F918" s="3">
        <f>IF('Data Source'!B918="","",IF('Data Source'!X918&gt;=5,"A+",IF('Data Source'!X918&gt;=4,"A",IF('Data Source'!X918&gt;=3.5,"A-",IF('Data Source'!X918&gt;=3,"B",IF('Data Source'!X918&gt;=2,"C",IF('Data Source'!X918&gt;=1,"D","F")))))))</f>
        <v/>
      </c>
      <c r="G918" s="3">
        <f>IF('Data Source'!B918="","",IF('Data Source'!Y918&gt;=5,"A+",IF('Data Source'!Y918&gt;=4,"A",IF('Data Source'!Y918&gt;=3.5,"A-",IF('Data Source'!Y918&gt;=3,"B",IF('Data Source'!Y918&gt;=2,"C",IF('Data Source'!Y918&gt;=1,"D","F")))))))</f>
        <v/>
      </c>
      <c r="H918" s="3">
        <f>IF('Data Source'!B918="","",IF('Data Source'!Z918&gt;=5,"A+",IF('Data Source'!Z918&gt;=4,"A",IF('Data Source'!Z918&gt;=3.5,"A-",IF('Data Source'!Z918&gt;=3,"B",IF('Data Source'!Z918&gt;=2,"C",IF('Data Source'!Z918&gt;=1,"D","F")))))))</f>
        <v/>
      </c>
      <c r="I918" s="3">
        <f>IF('Data Source'!B918="","",IF('Data Source'!AA918&gt;=5,"A+",IF('Data Source'!AA918&gt;=4,"A",IF('Data Source'!AA918&gt;=3.5,"A-",IF('Data Source'!AA918&gt;=3,"B",IF('Data Source'!AA918&gt;=2,"C",IF('Data Source'!AA918&gt;=1,"D","F")))))))</f>
        <v/>
      </c>
      <c r="J918" s="3">
        <f>IF('Data Source'!B918="","",IF('Data Source'!AB918&gt;=5,"A+",IF('Data Source'!AB918&gt;=4,"A",IF('Data Source'!AB918&gt;=3.5,"A-",IF('Data Source'!AB918&gt;=3,"B",IF('Data Source'!AB918&gt;=2,"C",IF('Data Source'!AB918&gt;=1,"D","F")))))))</f>
        <v/>
      </c>
      <c r="K918" s="3">
        <f>IF('Data Source'!B918="","",IF('Data Source'!AC918&gt;=5,"A+",IF('Data Source'!AC918&gt;=4,"A",IF('Data Source'!AC918&gt;=3.5,"A-",IF('Data Source'!AC918&gt;=3,"B",IF('Data Source'!AC918&gt;=2,"C",IF('Data Source'!AC918&gt;=1,"D","F")))))))</f>
        <v/>
      </c>
      <c r="L918" s="3">
        <f>IF('Data Source'!B918="","",IF('Data Source'!AD918&gt;=5,"A+",IF('Data Source'!AD918&gt;=4,"A",IF('Data Source'!AD918&gt;=3.5,"A-",IF('Data Source'!AD918&gt;=3,"B",IF('Data Source'!AD918&gt;=2,"C",IF('Data Source'!AD918&gt;=1,"D","F")))))))</f>
        <v/>
      </c>
      <c r="M918" s="3">
        <f>IF('Data Source'!B918="","",IF('Data Source'!AE918&gt;=5,"A+",IF('Data Source'!AE918&gt;=4,"A",IF('Data Source'!AE918&gt;=3.5,"A-",IF('Data Source'!AE918&gt;=3,"B",IF('Data Source'!AE918&gt;=2,"C",IF('Data Source'!AE918&gt;=1,"D","F")))))))</f>
        <v/>
      </c>
      <c r="N918" s="3">
        <f>IF('Data Source'!B918="","",IF('Data Source'!AF918&gt;=5,"A+",IF('Data Source'!AF918&gt;=4,"A",IF('Data Source'!AF918&gt;=3.5,"A-",IF('Data Source'!AF918&gt;=3,"B",IF('Data Source'!AF918&gt;=2,"C",IF('Data Source'!AF918&gt;=1,"D","F")))))))</f>
        <v/>
      </c>
      <c r="O918" s="3">
        <f>IF('Data Source'!B918="","",IF('Data Source'!AG918&gt;=5,"A+",IF('Data Source'!AG918&gt;=4,"A",IF('Data Source'!AG918&gt;=3.5,"A-",IF('Data Source'!AG918&gt;=3,"B",IF('Data Source'!AG918&gt;=2,"C",IF('Data Source'!AG918&gt;=1,"D","F")))))))</f>
        <v/>
      </c>
      <c r="P918" s="5">
        <f>IF('Data Source'!B918="","",'Data Source'!R918)</f>
        <v/>
      </c>
      <c r="Q918" s="3">
        <f>IF('Data Source'!B918="","",'Data Source'!S918)</f>
        <v/>
      </c>
    </row>
    <row r="919">
      <c r="A919" s="3">
        <f>IF('Data Source'!B919="","",'Data Source'!A919)</f>
        <v/>
      </c>
      <c r="B919">
        <f>IF('Data Source'!B919="","",'Data Source'!B919)</f>
        <v/>
      </c>
      <c r="C919" s="3">
        <f>IF('Data Source'!B919="","",IF('Data Source'!U919&gt;=5,"A+",IF('Data Source'!U919&gt;=4,"A",IF('Data Source'!U919&gt;=3.5,"A-",IF('Data Source'!U919&gt;=3,"B",IF('Data Source'!U919&gt;=2,"C",IF('Data Source'!U919&gt;=1,"D","F")))))))</f>
        <v/>
      </c>
      <c r="D919" s="3">
        <f>IF('Data Source'!B919="","",IF('Data Source'!V919&gt;=5,"A+",IF('Data Source'!V919&gt;=4,"A",IF('Data Source'!V919&gt;=3.5,"A-",IF('Data Source'!V919&gt;=3,"B",IF('Data Source'!V919&gt;=2,"C",IF('Data Source'!V919&gt;=1,"D","F")))))))</f>
        <v/>
      </c>
      <c r="E919" s="3">
        <f>IF('Data Source'!B919="","",IF('Data Source'!W919&gt;=5,"A+",IF('Data Source'!W919&gt;=4,"A",IF('Data Source'!W919&gt;=3.5,"A-",IF('Data Source'!W919&gt;=3,"B",IF('Data Source'!W919&gt;=2,"C",IF('Data Source'!W919&gt;=1,"D","F")))))))</f>
        <v/>
      </c>
      <c r="F919" s="3">
        <f>IF('Data Source'!B919="","",IF('Data Source'!X919&gt;=5,"A+",IF('Data Source'!X919&gt;=4,"A",IF('Data Source'!X919&gt;=3.5,"A-",IF('Data Source'!X919&gt;=3,"B",IF('Data Source'!X919&gt;=2,"C",IF('Data Source'!X919&gt;=1,"D","F")))))))</f>
        <v/>
      </c>
      <c r="G919" s="3">
        <f>IF('Data Source'!B919="","",IF('Data Source'!Y919&gt;=5,"A+",IF('Data Source'!Y919&gt;=4,"A",IF('Data Source'!Y919&gt;=3.5,"A-",IF('Data Source'!Y919&gt;=3,"B",IF('Data Source'!Y919&gt;=2,"C",IF('Data Source'!Y919&gt;=1,"D","F")))))))</f>
        <v/>
      </c>
      <c r="H919" s="3">
        <f>IF('Data Source'!B919="","",IF('Data Source'!Z919&gt;=5,"A+",IF('Data Source'!Z919&gt;=4,"A",IF('Data Source'!Z919&gt;=3.5,"A-",IF('Data Source'!Z919&gt;=3,"B",IF('Data Source'!Z919&gt;=2,"C",IF('Data Source'!Z919&gt;=1,"D","F")))))))</f>
        <v/>
      </c>
      <c r="I919" s="3">
        <f>IF('Data Source'!B919="","",IF('Data Source'!AA919&gt;=5,"A+",IF('Data Source'!AA919&gt;=4,"A",IF('Data Source'!AA919&gt;=3.5,"A-",IF('Data Source'!AA919&gt;=3,"B",IF('Data Source'!AA919&gt;=2,"C",IF('Data Source'!AA919&gt;=1,"D","F")))))))</f>
        <v/>
      </c>
      <c r="J919" s="3">
        <f>IF('Data Source'!B919="","",IF('Data Source'!AB919&gt;=5,"A+",IF('Data Source'!AB919&gt;=4,"A",IF('Data Source'!AB919&gt;=3.5,"A-",IF('Data Source'!AB919&gt;=3,"B",IF('Data Source'!AB919&gt;=2,"C",IF('Data Source'!AB919&gt;=1,"D","F")))))))</f>
        <v/>
      </c>
      <c r="K919" s="3">
        <f>IF('Data Source'!B919="","",IF('Data Source'!AC919&gt;=5,"A+",IF('Data Source'!AC919&gt;=4,"A",IF('Data Source'!AC919&gt;=3.5,"A-",IF('Data Source'!AC919&gt;=3,"B",IF('Data Source'!AC919&gt;=2,"C",IF('Data Source'!AC919&gt;=1,"D","F")))))))</f>
        <v/>
      </c>
      <c r="L919" s="3">
        <f>IF('Data Source'!B919="","",IF('Data Source'!AD919&gt;=5,"A+",IF('Data Source'!AD919&gt;=4,"A",IF('Data Source'!AD919&gt;=3.5,"A-",IF('Data Source'!AD919&gt;=3,"B",IF('Data Source'!AD919&gt;=2,"C",IF('Data Source'!AD919&gt;=1,"D","F")))))))</f>
        <v/>
      </c>
      <c r="M919" s="3">
        <f>IF('Data Source'!B919="","",IF('Data Source'!AE919&gt;=5,"A+",IF('Data Source'!AE919&gt;=4,"A",IF('Data Source'!AE919&gt;=3.5,"A-",IF('Data Source'!AE919&gt;=3,"B",IF('Data Source'!AE919&gt;=2,"C",IF('Data Source'!AE919&gt;=1,"D","F")))))))</f>
        <v/>
      </c>
      <c r="N919" s="3">
        <f>IF('Data Source'!B919="","",IF('Data Source'!AF919&gt;=5,"A+",IF('Data Source'!AF919&gt;=4,"A",IF('Data Source'!AF919&gt;=3.5,"A-",IF('Data Source'!AF919&gt;=3,"B",IF('Data Source'!AF919&gt;=2,"C",IF('Data Source'!AF919&gt;=1,"D","F")))))))</f>
        <v/>
      </c>
      <c r="O919" s="3">
        <f>IF('Data Source'!B919="","",IF('Data Source'!AG919&gt;=5,"A+",IF('Data Source'!AG919&gt;=4,"A",IF('Data Source'!AG919&gt;=3.5,"A-",IF('Data Source'!AG919&gt;=3,"B",IF('Data Source'!AG919&gt;=2,"C",IF('Data Source'!AG919&gt;=1,"D","F")))))))</f>
        <v/>
      </c>
      <c r="P919" s="5">
        <f>IF('Data Source'!B919="","",'Data Source'!R919)</f>
        <v/>
      </c>
      <c r="Q919" s="3">
        <f>IF('Data Source'!B919="","",'Data Source'!S919)</f>
        <v/>
      </c>
    </row>
    <row r="920">
      <c r="A920" s="3">
        <f>IF('Data Source'!B920="","",'Data Source'!A920)</f>
        <v/>
      </c>
      <c r="B920">
        <f>IF('Data Source'!B920="","",'Data Source'!B920)</f>
        <v/>
      </c>
      <c r="C920" s="3">
        <f>IF('Data Source'!B920="","",IF('Data Source'!U920&gt;=5,"A+",IF('Data Source'!U920&gt;=4,"A",IF('Data Source'!U920&gt;=3.5,"A-",IF('Data Source'!U920&gt;=3,"B",IF('Data Source'!U920&gt;=2,"C",IF('Data Source'!U920&gt;=1,"D","F")))))))</f>
        <v/>
      </c>
      <c r="D920" s="3">
        <f>IF('Data Source'!B920="","",IF('Data Source'!V920&gt;=5,"A+",IF('Data Source'!V920&gt;=4,"A",IF('Data Source'!V920&gt;=3.5,"A-",IF('Data Source'!V920&gt;=3,"B",IF('Data Source'!V920&gt;=2,"C",IF('Data Source'!V920&gt;=1,"D","F")))))))</f>
        <v/>
      </c>
      <c r="E920" s="3">
        <f>IF('Data Source'!B920="","",IF('Data Source'!W920&gt;=5,"A+",IF('Data Source'!W920&gt;=4,"A",IF('Data Source'!W920&gt;=3.5,"A-",IF('Data Source'!W920&gt;=3,"B",IF('Data Source'!W920&gt;=2,"C",IF('Data Source'!W920&gt;=1,"D","F")))))))</f>
        <v/>
      </c>
      <c r="F920" s="3">
        <f>IF('Data Source'!B920="","",IF('Data Source'!X920&gt;=5,"A+",IF('Data Source'!X920&gt;=4,"A",IF('Data Source'!X920&gt;=3.5,"A-",IF('Data Source'!X920&gt;=3,"B",IF('Data Source'!X920&gt;=2,"C",IF('Data Source'!X920&gt;=1,"D","F")))))))</f>
        <v/>
      </c>
      <c r="G920" s="3">
        <f>IF('Data Source'!B920="","",IF('Data Source'!Y920&gt;=5,"A+",IF('Data Source'!Y920&gt;=4,"A",IF('Data Source'!Y920&gt;=3.5,"A-",IF('Data Source'!Y920&gt;=3,"B",IF('Data Source'!Y920&gt;=2,"C",IF('Data Source'!Y920&gt;=1,"D","F")))))))</f>
        <v/>
      </c>
      <c r="H920" s="3">
        <f>IF('Data Source'!B920="","",IF('Data Source'!Z920&gt;=5,"A+",IF('Data Source'!Z920&gt;=4,"A",IF('Data Source'!Z920&gt;=3.5,"A-",IF('Data Source'!Z920&gt;=3,"B",IF('Data Source'!Z920&gt;=2,"C",IF('Data Source'!Z920&gt;=1,"D","F")))))))</f>
        <v/>
      </c>
      <c r="I920" s="3">
        <f>IF('Data Source'!B920="","",IF('Data Source'!AA920&gt;=5,"A+",IF('Data Source'!AA920&gt;=4,"A",IF('Data Source'!AA920&gt;=3.5,"A-",IF('Data Source'!AA920&gt;=3,"B",IF('Data Source'!AA920&gt;=2,"C",IF('Data Source'!AA920&gt;=1,"D","F")))))))</f>
        <v/>
      </c>
      <c r="J920" s="3">
        <f>IF('Data Source'!B920="","",IF('Data Source'!AB920&gt;=5,"A+",IF('Data Source'!AB920&gt;=4,"A",IF('Data Source'!AB920&gt;=3.5,"A-",IF('Data Source'!AB920&gt;=3,"B",IF('Data Source'!AB920&gt;=2,"C",IF('Data Source'!AB920&gt;=1,"D","F")))))))</f>
        <v/>
      </c>
      <c r="K920" s="3">
        <f>IF('Data Source'!B920="","",IF('Data Source'!AC920&gt;=5,"A+",IF('Data Source'!AC920&gt;=4,"A",IF('Data Source'!AC920&gt;=3.5,"A-",IF('Data Source'!AC920&gt;=3,"B",IF('Data Source'!AC920&gt;=2,"C",IF('Data Source'!AC920&gt;=1,"D","F")))))))</f>
        <v/>
      </c>
      <c r="L920" s="3">
        <f>IF('Data Source'!B920="","",IF('Data Source'!AD920&gt;=5,"A+",IF('Data Source'!AD920&gt;=4,"A",IF('Data Source'!AD920&gt;=3.5,"A-",IF('Data Source'!AD920&gt;=3,"B",IF('Data Source'!AD920&gt;=2,"C",IF('Data Source'!AD920&gt;=1,"D","F")))))))</f>
        <v/>
      </c>
      <c r="M920" s="3">
        <f>IF('Data Source'!B920="","",IF('Data Source'!AE920&gt;=5,"A+",IF('Data Source'!AE920&gt;=4,"A",IF('Data Source'!AE920&gt;=3.5,"A-",IF('Data Source'!AE920&gt;=3,"B",IF('Data Source'!AE920&gt;=2,"C",IF('Data Source'!AE920&gt;=1,"D","F")))))))</f>
        <v/>
      </c>
      <c r="N920" s="3">
        <f>IF('Data Source'!B920="","",IF('Data Source'!AF920&gt;=5,"A+",IF('Data Source'!AF920&gt;=4,"A",IF('Data Source'!AF920&gt;=3.5,"A-",IF('Data Source'!AF920&gt;=3,"B",IF('Data Source'!AF920&gt;=2,"C",IF('Data Source'!AF920&gt;=1,"D","F")))))))</f>
        <v/>
      </c>
      <c r="O920" s="3">
        <f>IF('Data Source'!B920="","",IF('Data Source'!AG920&gt;=5,"A+",IF('Data Source'!AG920&gt;=4,"A",IF('Data Source'!AG920&gt;=3.5,"A-",IF('Data Source'!AG920&gt;=3,"B",IF('Data Source'!AG920&gt;=2,"C",IF('Data Source'!AG920&gt;=1,"D","F")))))))</f>
        <v/>
      </c>
      <c r="P920" s="5">
        <f>IF('Data Source'!B920="","",'Data Source'!R920)</f>
        <v/>
      </c>
      <c r="Q920" s="3">
        <f>IF('Data Source'!B920="","",'Data Source'!S920)</f>
        <v/>
      </c>
    </row>
    <row r="921">
      <c r="A921" s="3">
        <f>IF('Data Source'!B921="","",'Data Source'!A921)</f>
        <v/>
      </c>
      <c r="B921">
        <f>IF('Data Source'!B921="","",'Data Source'!B921)</f>
        <v/>
      </c>
      <c r="C921" s="3">
        <f>IF('Data Source'!B921="","",IF('Data Source'!U921&gt;=5,"A+",IF('Data Source'!U921&gt;=4,"A",IF('Data Source'!U921&gt;=3.5,"A-",IF('Data Source'!U921&gt;=3,"B",IF('Data Source'!U921&gt;=2,"C",IF('Data Source'!U921&gt;=1,"D","F")))))))</f>
        <v/>
      </c>
      <c r="D921" s="3">
        <f>IF('Data Source'!B921="","",IF('Data Source'!V921&gt;=5,"A+",IF('Data Source'!V921&gt;=4,"A",IF('Data Source'!V921&gt;=3.5,"A-",IF('Data Source'!V921&gt;=3,"B",IF('Data Source'!V921&gt;=2,"C",IF('Data Source'!V921&gt;=1,"D","F")))))))</f>
        <v/>
      </c>
      <c r="E921" s="3">
        <f>IF('Data Source'!B921="","",IF('Data Source'!W921&gt;=5,"A+",IF('Data Source'!W921&gt;=4,"A",IF('Data Source'!W921&gt;=3.5,"A-",IF('Data Source'!W921&gt;=3,"B",IF('Data Source'!W921&gt;=2,"C",IF('Data Source'!W921&gt;=1,"D","F")))))))</f>
        <v/>
      </c>
      <c r="F921" s="3">
        <f>IF('Data Source'!B921="","",IF('Data Source'!X921&gt;=5,"A+",IF('Data Source'!X921&gt;=4,"A",IF('Data Source'!X921&gt;=3.5,"A-",IF('Data Source'!X921&gt;=3,"B",IF('Data Source'!X921&gt;=2,"C",IF('Data Source'!X921&gt;=1,"D","F")))))))</f>
        <v/>
      </c>
      <c r="G921" s="3">
        <f>IF('Data Source'!B921="","",IF('Data Source'!Y921&gt;=5,"A+",IF('Data Source'!Y921&gt;=4,"A",IF('Data Source'!Y921&gt;=3.5,"A-",IF('Data Source'!Y921&gt;=3,"B",IF('Data Source'!Y921&gt;=2,"C",IF('Data Source'!Y921&gt;=1,"D","F")))))))</f>
        <v/>
      </c>
      <c r="H921" s="3">
        <f>IF('Data Source'!B921="","",IF('Data Source'!Z921&gt;=5,"A+",IF('Data Source'!Z921&gt;=4,"A",IF('Data Source'!Z921&gt;=3.5,"A-",IF('Data Source'!Z921&gt;=3,"B",IF('Data Source'!Z921&gt;=2,"C",IF('Data Source'!Z921&gt;=1,"D","F")))))))</f>
        <v/>
      </c>
      <c r="I921" s="3">
        <f>IF('Data Source'!B921="","",IF('Data Source'!AA921&gt;=5,"A+",IF('Data Source'!AA921&gt;=4,"A",IF('Data Source'!AA921&gt;=3.5,"A-",IF('Data Source'!AA921&gt;=3,"B",IF('Data Source'!AA921&gt;=2,"C",IF('Data Source'!AA921&gt;=1,"D","F")))))))</f>
        <v/>
      </c>
      <c r="J921" s="3">
        <f>IF('Data Source'!B921="","",IF('Data Source'!AB921&gt;=5,"A+",IF('Data Source'!AB921&gt;=4,"A",IF('Data Source'!AB921&gt;=3.5,"A-",IF('Data Source'!AB921&gt;=3,"B",IF('Data Source'!AB921&gt;=2,"C",IF('Data Source'!AB921&gt;=1,"D","F")))))))</f>
        <v/>
      </c>
      <c r="K921" s="3">
        <f>IF('Data Source'!B921="","",IF('Data Source'!AC921&gt;=5,"A+",IF('Data Source'!AC921&gt;=4,"A",IF('Data Source'!AC921&gt;=3.5,"A-",IF('Data Source'!AC921&gt;=3,"B",IF('Data Source'!AC921&gt;=2,"C",IF('Data Source'!AC921&gt;=1,"D","F")))))))</f>
        <v/>
      </c>
      <c r="L921" s="3">
        <f>IF('Data Source'!B921="","",IF('Data Source'!AD921&gt;=5,"A+",IF('Data Source'!AD921&gt;=4,"A",IF('Data Source'!AD921&gt;=3.5,"A-",IF('Data Source'!AD921&gt;=3,"B",IF('Data Source'!AD921&gt;=2,"C",IF('Data Source'!AD921&gt;=1,"D","F")))))))</f>
        <v/>
      </c>
      <c r="M921" s="3">
        <f>IF('Data Source'!B921="","",IF('Data Source'!AE921&gt;=5,"A+",IF('Data Source'!AE921&gt;=4,"A",IF('Data Source'!AE921&gt;=3.5,"A-",IF('Data Source'!AE921&gt;=3,"B",IF('Data Source'!AE921&gt;=2,"C",IF('Data Source'!AE921&gt;=1,"D","F")))))))</f>
        <v/>
      </c>
      <c r="N921" s="3">
        <f>IF('Data Source'!B921="","",IF('Data Source'!AF921&gt;=5,"A+",IF('Data Source'!AF921&gt;=4,"A",IF('Data Source'!AF921&gt;=3.5,"A-",IF('Data Source'!AF921&gt;=3,"B",IF('Data Source'!AF921&gt;=2,"C",IF('Data Source'!AF921&gt;=1,"D","F")))))))</f>
        <v/>
      </c>
      <c r="O921" s="3">
        <f>IF('Data Source'!B921="","",IF('Data Source'!AG921&gt;=5,"A+",IF('Data Source'!AG921&gt;=4,"A",IF('Data Source'!AG921&gt;=3.5,"A-",IF('Data Source'!AG921&gt;=3,"B",IF('Data Source'!AG921&gt;=2,"C",IF('Data Source'!AG921&gt;=1,"D","F")))))))</f>
        <v/>
      </c>
      <c r="P921" s="5">
        <f>IF('Data Source'!B921="","",'Data Source'!R921)</f>
        <v/>
      </c>
      <c r="Q921" s="3">
        <f>IF('Data Source'!B921="","",'Data Source'!S921)</f>
        <v/>
      </c>
    </row>
    <row r="922">
      <c r="A922" s="3">
        <f>IF('Data Source'!B922="","",'Data Source'!A922)</f>
        <v/>
      </c>
      <c r="B922">
        <f>IF('Data Source'!B922="","",'Data Source'!B922)</f>
        <v/>
      </c>
      <c r="C922" s="3">
        <f>IF('Data Source'!B922="","",IF('Data Source'!U922&gt;=5,"A+",IF('Data Source'!U922&gt;=4,"A",IF('Data Source'!U922&gt;=3.5,"A-",IF('Data Source'!U922&gt;=3,"B",IF('Data Source'!U922&gt;=2,"C",IF('Data Source'!U922&gt;=1,"D","F")))))))</f>
        <v/>
      </c>
      <c r="D922" s="3">
        <f>IF('Data Source'!B922="","",IF('Data Source'!V922&gt;=5,"A+",IF('Data Source'!V922&gt;=4,"A",IF('Data Source'!V922&gt;=3.5,"A-",IF('Data Source'!V922&gt;=3,"B",IF('Data Source'!V922&gt;=2,"C",IF('Data Source'!V922&gt;=1,"D","F")))))))</f>
        <v/>
      </c>
      <c r="E922" s="3">
        <f>IF('Data Source'!B922="","",IF('Data Source'!W922&gt;=5,"A+",IF('Data Source'!W922&gt;=4,"A",IF('Data Source'!W922&gt;=3.5,"A-",IF('Data Source'!W922&gt;=3,"B",IF('Data Source'!W922&gt;=2,"C",IF('Data Source'!W922&gt;=1,"D","F")))))))</f>
        <v/>
      </c>
      <c r="F922" s="3">
        <f>IF('Data Source'!B922="","",IF('Data Source'!X922&gt;=5,"A+",IF('Data Source'!X922&gt;=4,"A",IF('Data Source'!X922&gt;=3.5,"A-",IF('Data Source'!X922&gt;=3,"B",IF('Data Source'!X922&gt;=2,"C",IF('Data Source'!X922&gt;=1,"D","F")))))))</f>
        <v/>
      </c>
      <c r="G922" s="3">
        <f>IF('Data Source'!B922="","",IF('Data Source'!Y922&gt;=5,"A+",IF('Data Source'!Y922&gt;=4,"A",IF('Data Source'!Y922&gt;=3.5,"A-",IF('Data Source'!Y922&gt;=3,"B",IF('Data Source'!Y922&gt;=2,"C",IF('Data Source'!Y922&gt;=1,"D","F")))))))</f>
        <v/>
      </c>
      <c r="H922" s="3">
        <f>IF('Data Source'!B922="","",IF('Data Source'!Z922&gt;=5,"A+",IF('Data Source'!Z922&gt;=4,"A",IF('Data Source'!Z922&gt;=3.5,"A-",IF('Data Source'!Z922&gt;=3,"B",IF('Data Source'!Z922&gt;=2,"C",IF('Data Source'!Z922&gt;=1,"D","F")))))))</f>
        <v/>
      </c>
      <c r="I922" s="3">
        <f>IF('Data Source'!B922="","",IF('Data Source'!AA922&gt;=5,"A+",IF('Data Source'!AA922&gt;=4,"A",IF('Data Source'!AA922&gt;=3.5,"A-",IF('Data Source'!AA922&gt;=3,"B",IF('Data Source'!AA922&gt;=2,"C",IF('Data Source'!AA922&gt;=1,"D","F")))))))</f>
        <v/>
      </c>
      <c r="J922" s="3">
        <f>IF('Data Source'!B922="","",IF('Data Source'!AB922&gt;=5,"A+",IF('Data Source'!AB922&gt;=4,"A",IF('Data Source'!AB922&gt;=3.5,"A-",IF('Data Source'!AB922&gt;=3,"B",IF('Data Source'!AB922&gt;=2,"C",IF('Data Source'!AB922&gt;=1,"D","F")))))))</f>
        <v/>
      </c>
      <c r="K922" s="3">
        <f>IF('Data Source'!B922="","",IF('Data Source'!AC922&gt;=5,"A+",IF('Data Source'!AC922&gt;=4,"A",IF('Data Source'!AC922&gt;=3.5,"A-",IF('Data Source'!AC922&gt;=3,"B",IF('Data Source'!AC922&gt;=2,"C",IF('Data Source'!AC922&gt;=1,"D","F")))))))</f>
        <v/>
      </c>
      <c r="L922" s="3">
        <f>IF('Data Source'!B922="","",IF('Data Source'!AD922&gt;=5,"A+",IF('Data Source'!AD922&gt;=4,"A",IF('Data Source'!AD922&gt;=3.5,"A-",IF('Data Source'!AD922&gt;=3,"B",IF('Data Source'!AD922&gt;=2,"C",IF('Data Source'!AD922&gt;=1,"D","F")))))))</f>
        <v/>
      </c>
      <c r="M922" s="3">
        <f>IF('Data Source'!B922="","",IF('Data Source'!AE922&gt;=5,"A+",IF('Data Source'!AE922&gt;=4,"A",IF('Data Source'!AE922&gt;=3.5,"A-",IF('Data Source'!AE922&gt;=3,"B",IF('Data Source'!AE922&gt;=2,"C",IF('Data Source'!AE922&gt;=1,"D","F")))))))</f>
        <v/>
      </c>
      <c r="N922" s="3">
        <f>IF('Data Source'!B922="","",IF('Data Source'!AF922&gt;=5,"A+",IF('Data Source'!AF922&gt;=4,"A",IF('Data Source'!AF922&gt;=3.5,"A-",IF('Data Source'!AF922&gt;=3,"B",IF('Data Source'!AF922&gt;=2,"C",IF('Data Source'!AF922&gt;=1,"D","F")))))))</f>
        <v/>
      </c>
      <c r="O922" s="3">
        <f>IF('Data Source'!B922="","",IF('Data Source'!AG922&gt;=5,"A+",IF('Data Source'!AG922&gt;=4,"A",IF('Data Source'!AG922&gt;=3.5,"A-",IF('Data Source'!AG922&gt;=3,"B",IF('Data Source'!AG922&gt;=2,"C",IF('Data Source'!AG922&gt;=1,"D","F")))))))</f>
        <v/>
      </c>
      <c r="P922" s="5">
        <f>IF('Data Source'!B922="","",'Data Source'!R922)</f>
        <v/>
      </c>
      <c r="Q922" s="3">
        <f>IF('Data Source'!B922="","",'Data Source'!S922)</f>
        <v/>
      </c>
    </row>
    <row r="923">
      <c r="A923" s="3">
        <f>IF('Data Source'!B923="","",'Data Source'!A923)</f>
        <v/>
      </c>
      <c r="B923">
        <f>IF('Data Source'!B923="","",'Data Source'!B923)</f>
        <v/>
      </c>
      <c r="C923" s="3">
        <f>IF('Data Source'!B923="","",IF('Data Source'!U923&gt;=5,"A+",IF('Data Source'!U923&gt;=4,"A",IF('Data Source'!U923&gt;=3.5,"A-",IF('Data Source'!U923&gt;=3,"B",IF('Data Source'!U923&gt;=2,"C",IF('Data Source'!U923&gt;=1,"D","F")))))))</f>
        <v/>
      </c>
      <c r="D923" s="3">
        <f>IF('Data Source'!B923="","",IF('Data Source'!V923&gt;=5,"A+",IF('Data Source'!V923&gt;=4,"A",IF('Data Source'!V923&gt;=3.5,"A-",IF('Data Source'!V923&gt;=3,"B",IF('Data Source'!V923&gt;=2,"C",IF('Data Source'!V923&gt;=1,"D","F")))))))</f>
        <v/>
      </c>
      <c r="E923" s="3">
        <f>IF('Data Source'!B923="","",IF('Data Source'!W923&gt;=5,"A+",IF('Data Source'!W923&gt;=4,"A",IF('Data Source'!W923&gt;=3.5,"A-",IF('Data Source'!W923&gt;=3,"B",IF('Data Source'!W923&gt;=2,"C",IF('Data Source'!W923&gt;=1,"D","F")))))))</f>
        <v/>
      </c>
      <c r="F923" s="3">
        <f>IF('Data Source'!B923="","",IF('Data Source'!X923&gt;=5,"A+",IF('Data Source'!X923&gt;=4,"A",IF('Data Source'!X923&gt;=3.5,"A-",IF('Data Source'!X923&gt;=3,"B",IF('Data Source'!X923&gt;=2,"C",IF('Data Source'!X923&gt;=1,"D","F")))))))</f>
        <v/>
      </c>
      <c r="G923" s="3">
        <f>IF('Data Source'!B923="","",IF('Data Source'!Y923&gt;=5,"A+",IF('Data Source'!Y923&gt;=4,"A",IF('Data Source'!Y923&gt;=3.5,"A-",IF('Data Source'!Y923&gt;=3,"B",IF('Data Source'!Y923&gt;=2,"C",IF('Data Source'!Y923&gt;=1,"D","F")))))))</f>
        <v/>
      </c>
      <c r="H923" s="3">
        <f>IF('Data Source'!B923="","",IF('Data Source'!Z923&gt;=5,"A+",IF('Data Source'!Z923&gt;=4,"A",IF('Data Source'!Z923&gt;=3.5,"A-",IF('Data Source'!Z923&gt;=3,"B",IF('Data Source'!Z923&gt;=2,"C",IF('Data Source'!Z923&gt;=1,"D","F")))))))</f>
        <v/>
      </c>
      <c r="I923" s="3">
        <f>IF('Data Source'!B923="","",IF('Data Source'!AA923&gt;=5,"A+",IF('Data Source'!AA923&gt;=4,"A",IF('Data Source'!AA923&gt;=3.5,"A-",IF('Data Source'!AA923&gt;=3,"B",IF('Data Source'!AA923&gt;=2,"C",IF('Data Source'!AA923&gt;=1,"D","F")))))))</f>
        <v/>
      </c>
      <c r="J923" s="3">
        <f>IF('Data Source'!B923="","",IF('Data Source'!AB923&gt;=5,"A+",IF('Data Source'!AB923&gt;=4,"A",IF('Data Source'!AB923&gt;=3.5,"A-",IF('Data Source'!AB923&gt;=3,"B",IF('Data Source'!AB923&gt;=2,"C",IF('Data Source'!AB923&gt;=1,"D","F")))))))</f>
        <v/>
      </c>
      <c r="K923" s="3">
        <f>IF('Data Source'!B923="","",IF('Data Source'!AC923&gt;=5,"A+",IF('Data Source'!AC923&gt;=4,"A",IF('Data Source'!AC923&gt;=3.5,"A-",IF('Data Source'!AC923&gt;=3,"B",IF('Data Source'!AC923&gt;=2,"C",IF('Data Source'!AC923&gt;=1,"D","F")))))))</f>
        <v/>
      </c>
      <c r="L923" s="3">
        <f>IF('Data Source'!B923="","",IF('Data Source'!AD923&gt;=5,"A+",IF('Data Source'!AD923&gt;=4,"A",IF('Data Source'!AD923&gt;=3.5,"A-",IF('Data Source'!AD923&gt;=3,"B",IF('Data Source'!AD923&gt;=2,"C",IF('Data Source'!AD923&gt;=1,"D","F")))))))</f>
        <v/>
      </c>
      <c r="M923" s="3">
        <f>IF('Data Source'!B923="","",IF('Data Source'!AE923&gt;=5,"A+",IF('Data Source'!AE923&gt;=4,"A",IF('Data Source'!AE923&gt;=3.5,"A-",IF('Data Source'!AE923&gt;=3,"B",IF('Data Source'!AE923&gt;=2,"C",IF('Data Source'!AE923&gt;=1,"D","F")))))))</f>
        <v/>
      </c>
      <c r="N923" s="3">
        <f>IF('Data Source'!B923="","",IF('Data Source'!AF923&gt;=5,"A+",IF('Data Source'!AF923&gt;=4,"A",IF('Data Source'!AF923&gt;=3.5,"A-",IF('Data Source'!AF923&gt;=3,"B",IF('Data Source'!AF923&gt;=2,"C",IF('Data Source'!AF923&gt;=1,"D","F")))))))</f>
        <v/>
      </c>
      <c r="O923" s="3">
        <f>IF('Data Source'!B923="","",IF('Data Source'!AG923&gt;=5,"A+",IF('Data Source'!AG923&gt;=4,"A",IF('Data Source'!AG923&gt;=3.5,"A-",IF('Data Source'!AG923&gt;=3,"B",IF('Data Source'!AG923&gt;=2,"C",IF('Data Source'!AG923&gt;=1,"D","F")))))))</f>
        <v/>
      </c>
      <c r="P923" s="5">
        <f>IF('Data Source'!B923="","",'Data Source'!R923)</f>
        <v/>
      </c>
      <c r="Q923" s="3">
        <f>IF('Data Source'!B923="","",'Data Source'!S923)</f>
        <v/>
      </c>
    </row>
    <row r="924">
      <c r="A924" s="3">
        <f>IF('Data Source'!B924="","",'Data Source'!A924)</f>
        <v/>
      </c>
      <c r="B924">
        <f>IF('Data Source'!B924="","",'Data Source'!B924)</f>
        <v/>
      </c>
      <c r="C924" s="3">
        <f>IF('Data Source'!B924="","",IF('Data Source'!U924&gt;=5,"A+",IF('Data Source'!U924&gt;=4,"A",IF('Data Source'!U924&gt;=3.5,"A-",IF('Data Source'!U924&gt;=3,"B",IF('Data Source'!U924&gt;=2,"C",IF('Data Source'!U924&gt;=1,"D","F")))))))</f>
        <v/>
      </c>
      <c r="D924" s="3">
        <f>IF('Data Source'!B924="","",IF('Data Source'!V924&gt;=5,"A+",IF('Data Source'!V924&gt;=4,"A",IF('Data Source'!V924&gt;=3.5,"A-",IF('Data Source'!V924&gt;=3,"B",IF('Data Source'!V924&gt;=2,"C",IF('Data Source'!V924&gt;=1,"D","F")))))))</f>
        <v/>
      </c>
      <c r="E924" s="3">
        <f>IF('Data Source'!B924="","",IF('Data Source'!W924&gt;=5,"A+",IF('Data Source'!W924&gt;=4,"A",IF('Data Source'!W924&gt;=3.5,"A-",IF('Data Source'!W924&gt;=3,"B",IF('Data Source'!W924&gt;=2,"C",IF('Data Source'!W924&gt;=1,"D","F")))))))</f>
        <v/>
      </c>
      <c r="F924" s="3">
        <f>IF('Data Source'!B924="","",IF('Data Source'!X924&gt;=5,"A+",IF('Data Source'!X924&gt;=4,"A",IF('Data Source'!X924&gt;=3.5,"A-",IF('Data Source'!X924&gt;=3,"B",IF('Data Source'!X924&gt;=2,"C",IF('Data Source'!X924&gt;=1,"D","F")))))))</f>
        <v/>
      </c>
      <c r="G924" s="3">
        <f>IF('Data Source'!B924="","",IF('Data Source'!Y924&gt;=5,"A+",IF('Data Source'!Y924&gt;=4,"A",IF('Data Source'!Y924&gt;=3.5,"A-",IF('Data Source'!Y924&gt;=3,"B",IF('Data Source'!Y924&gt;=2,"C",IF('Data Source'!Y924&gt;=1,"D","F")))))))</f>
        <v/>
      </c>
      <c r="H924" s="3">
        <f>IF('Data Source'!B924="","",IF('Data Source'!Z924&gt;=5,"A+",IF('Data Source'!Z924&gt;=4,"A",IF('Data Source'!Z924&gt;=3.5,"A-",IF('Data Source'!Z924&gt;=3,"B",IF('Data Source'!Z924&gt;=2,"C",IF('Data Source'!Z924&gt;=1,"D","F")))))))</f>
        <v/>
      </c>
      <c r="I924" s="3">
        <f>IF('Data Source'!B924="","",IF('Data Source'!AA924&gt;=5,"A+",IF('Data Source'!AA924&gt;=4,"A",IF('Data Source'!AA924&gt;=3.5,"A-",IF('Data Source'!AA924&gt;=3,"B",IF('Data Source'!AA924&gt;=2,"C",IF('Data Source'!AA924&gt;=1,"D","F")))))))</f>
        <v/>
      </c>
      <c r="J924" s="3">
        <f>IF('Data Source'!B924="","",IF('Data Source'!AB924&gt;=5,"A+",IF('Data Source'!AB924&gt;=4,"A",IF('Data Source'!AB924&gt;=3.5,"A-",IF('Data Source'!AB924&gt;=3,"B",IF('Data Source'!AB924&gt;=2,"C",IF('Data Source'!AB924&gt;=1,"D","F")))))))</f>
        <v/>
      </c>
      <c r="K924" s="3">
        <f>IF('Data Source'!B924="","",IF('Data Source'!AC924&gt;=5,"A+",IF('Data Source'!AC924&gt;=4,"A",IF('Data Source'!AC924&gt;=3.5,"A-",IF('Data Source'!AC924&gt;=3,"B",IF('Data Source'!AC924&gt;=2,"C",IF('Data Source'!AC924&gt;=1,"D","F")))))))</f>
        <v/>
      </c>
      <c r="L924" s="3">
        <f>IF('Data Source'!B924="","",IF('Data Source'!AD924&gt;=5,"A+",IF('Data Source'!AD924&gt;=4,"A",IF('Data Source'!AD924&gt;=3.5,"A-",IF('Data Source'!AD924&gt;=3,"B",IF('Data Source'!AD924&gt;=2,"C",IF('Data Source'!AD924&gt;=1,"D","F")))))))</f>
        <v/>
      </c>
      <c r="M924" s="3">
        <f>IF('Data Source'!B924="","",IF('Data Source'!AE924&gt;=5,"A+",IF('Data Source'!AE924&gt;=4,"A",IF('Data Source'!AE924&gt;=3.5,"A-",IF('Data Source'!AE924&gt;=3,"B",IF('Data Source'!AE924&gt;=2,"C",IF('Data Source'!AE924&gt;=1,"D","F")))))))</f>
        <v/>
      </c>
      <c r="N924" s="3">
        <f>IF('Data Source'!B924="","",IF('Data Source'!AF924&gt;=5,"A+",IF('Data Source'!AF924&gt;=4,"A",IF('Data Source'!AF924&gt;=3.5,"A-",IF('Data Source'!AF924&gt;=3,"B",IF('Data Source'!AF924&gt;=2,"C",IF('Data Source'!AF924&gt;=1,"D","F")))))))</f>
        <v/>
      </c>
      <c r="O924" s="3">
        <f>IF('Data Source'!B924="","",IF('Data Source'!AG924&gt;=5,"A+",IF('Data Source'!AG924&gt;=4,"A",IF('Data Source'!AG924&gt;=3.5,"A-",IF('Data Source'!AG924&gt;=3,"B",IF('Data Source'!AG924&gt;=2,"C",IF('Data Source'!AG924&gt;=1,"D","F")))))))</f>
        <v/>
      </c>
      <c r="P924" s="5">
        <f>IF('Data Source'!B924="","",'Data Source'!R924)</f>
        <v/>
      </c>
      <c r="Q924" s="3">
        <f>IF('Data Source'!B924="","",'Data Source'!S924)</f>
        <v/>
      </c>
    </row>
    <row r="925">
      <c r="A925" s="3">
        <f>IF('Data Source'!B925="","",'Data Source'!A925)</f>
        <v/>
      </c>
      <c r="B925">
        <f>IF('Data Source'!B925="","",'Data Source'!B925)</f>
        <v/>
      </c>
      <c r="C925" s="3">
        <f>IF('Data Source'!B925="","",IF('Data Source'!U925&gt;=5,"A+",IF('Data Source'!U925&gt;=4,"A",IF('Data Source'!U925&gt;=3.5,"A-",IF('Data Source'!U925&gt;=3,"B",IF('Data Source'!U925&gt;=2,"C",IF('Data Source'!U925&gt;=1,"D","F")))))))</f>
        <v/>
      </c>
      <c r="D925" s="3">
        <f>IF('Data Source'!B925="","",IF('Data Source'!V925&gt;=5,"A+",IF('Data Source'!V925&gt;=4,"A",IF('Data Source'!V925&gt;=3.5,"A-",IF('Data Source'!V925&gt;=3,"B",IF('Data Source'!V925&gt;=2,"C",IF('Data Source'!V925&gt;=1,"D","F")))))))</f>
        <v/>
      </c>
      <c r="E925" s="3">
        <f>IF('Data Source'!B925="","",IF('Data Source'!W925&gt;=5,"A+",IF('Data Source'!W925&gt;=4,"A",IF('Data Source'!W925&gt;=3.5,"A-",IF('Data Source'!W925&gt;=3,"B",IF('Data Source'!W925&gt;=2,"C",IF('Data Source'!W925&gt;=1,"D","F")))))))</f>
        <v/>
      </c>
      <c r="F925" s="3">
        <f>IF('Data Source'!B925="","",IF('Data Source'!X925&gt;=5,"A+",IF('Data Source'!X925&gt;=4,"A",IF('Data Source'!X925&gt;=3.5,"A-",IF('Data Source'!X925&gt;=3,"B",IF('Data Source'!X925&gt;=2,"C",IF('Data Source'!X925&gt;=1,"D","F")))))))</f>
        <v/>
      </c>
      <c r="G925" s="3">
        <f>IF('Data Source'!B925="","",IF('Data Source'!Y925&gt;=5,"A+",IF('Data Source'!Y925&gt;=4,"A",IF('Data Source'!Y925&gt;=3.5,"A-",IF('Data Source'!Y925&gt;=3,"B",IF('Data Source'!Y925&gt;=2,"C",IF('Data Source'!Y925&gt;=1,"D","F")))))))</f>
        <v/>
      </c>
      <c r="H925" s="3">
        <f>IF('Data Source'!B925="","",IF('Data Source'!Z925&gt;=5,"A+",IF('Data Source'!Z925&gt;=4,"A",IF('Data Source'!Z925&gt;=3.5,"A-",IF('Data Source'!Z925&gt;=3,"B",IF('Data Source'!Z925&gt;=2,"C",IF('Data Source'!Z925&gt;=1,"D","F")))))))</f>
        <v/>
      </c>
      <c r="I925" s="3">
        <f>IF('Data Source'!B925="","",IF('Data Source'!AA925&gt;=5,"A+",IF('Data Source'!AA925&gt;=4,"A",IF('Data Source'!AA925&gt;=3.5,"A-",IF('Data Source'!AA925&gt;=3,"B",IF('Data Source'!AA925&gt;=2,"C",IF('Data Source'!AA925&gt;=1,"D","F")))))))</f>
        <v/>
      </c>
      <c r="J925" s="3">
        <f>IF('Data Source'!B925="","",IF('Data Source'!AB925&gt;=5,"A+",IF('Data Source'!AB925&gt;=4,"A",IF('Data Source'!AB925&gt;=3.5,"A-",IF('Data Source'!AB925&gt;=3,"B",IF('Data Source'!AB925&gt;=2,"C",IF('Data Source'!AB925&gt;=1,"D","F")))))))</f>
        <v/>
      </c>
      <c r="K925" s="3">
        <f>IF('Data Source'!B925="","",IF('Data Source'!AC925&gt;=5,"A+",IF('Data Source'!AC925&gt;=4,"A",IF('Data Source'!AC925&gt;=3.5,"A-",IF('Data Source'!AC925&gt;=3,"B",IF('Data Source'!AC925&gt;=2,"C",IF('Data Source'!AC925&gt;=1,"D","F")))))))</f>
        <v/>
      </c>
      <c r="L925" s="3">
        <f>IF('Data Source'!B925="","",IF('Data Source'!AD925&gt;=5,"A+",IF('Data Source'!AD925&gt;=4,"A",IF('Data Source'!AD925&gt;=3.5,"A-",IF('Data Source'!AD925&gt;=3,"B",IF('Data Source'!AD925&gt;=2,"C",IF('Data Source'!AD925&gt;=1,"D","F")))))))</f>
        <v/>
      </c>
      <c r="M925" s="3">
        <f>IF('Data Source'!B925="","",IF('Data Source'!AE925&gt;=5,"A+",IF('Data Source'!AE925&gt;=4,"A",IF('Data Source'!AE925&gt;=3.5,"A-",IF('Data Source'!AE925&gt;=3,"B",IF('Data Source'!AE925&gt;=2,"C",IF('Data Source'!AE925&gt;=1,"D","F")))))))</f>
        <v/>
      </c>
      <c r="N925" s="3">
        <f>IF('Data Source'!B925="","",IF('Data Source'!AF925&gt;=5,"A+",IF('Data Source'!AF925&gt;=4,"A",IF('Data Source'!AF925&gt;=3.5,"A-",IF('Data Source'!AF925&gt;=3,"B",IF('Data Source'!AF925&gt;=2,"C",IF('Data Source'!AF925&gt;=1,"D","F")))))))</f>
        <v/>
      </c>
      <c r="O925" s="3">
        <f>IF('Data Source'!B925="","",IF('Data Source'!AG925&gt;=5,"A+",IF('Data Source'!AG925&gt;=4,"A",IF('Data Source'!AG925&gt;=3.5,"A-",IF('Data Source'!AG925&gt;=3,"B",IF('Data Source'!AG925&gt;=2,"C",IF('Data Source'!AG925&gt;=1,"D","F")))))))</f>
        <v/>
      </c>
      <c r="P925" s="5">
        <f>IF('Data Source'!B925="","",'Data Source'!R925)</f>
        <v/>
      </c>
      <c r="Q925" s="3">
        <f>IF('Data Source'!B925="","",'Data Source'!S925)</f>
        <v/>
      </c>
    </row>
    <row r="926">
      <c r="A926" s="3">
        <f>IF('Data Source'!B926="","",'Data Source'!A926)</f>
        <v/>
      </c>
      <c r="B926">
        <f>IF('Data Source'!B926="","",'Data Source'!B926)</f>
        <v/>
      </c>
      <c r="C926" s="3">
        <f>IF('Data Source'!B926="","",IF('Data Source'!U926&gt;=5,"A+",IF('Data Source'!U926&gt;=4,"A",IF('Data Source'!U926&gt;=3.5,"A-",IF('Data Source'!U926&gt;=3,"B",IF('Data Source'!U926&gt;=2,"C",IF('Data Source'!U926&gt;=1,"D","F")))))))</f>
        <v/>
      </c>
      <c r="D926" s="3">
        <f>IF('Data Source'!B926="","",IF('Data Source'!V926&gt;=5,"A+",IF('Data Source'!V926&gt;=4,"A",IF('Data Source'!V926&gt;=3.5,"A-",IF('Data Source'!V926&gt;=3,"B",IF('Data Source'!V926&gt;=2,"C",IF('Data Source'!V926&gt;=1,"D","F")))))))</f>
        <v/>
      </c>
      <c r="E926" s="3">
        <f>IF('Data Source'!B926="","",IF('Data Source'!W926&gt;=5,"A+",IF('Data Source'!W926&gt;=4,"A",IF('Data Source'!W926&gt;=3.5,"A-",IF('Data Source'!W926&gt;=3,"B",IF('Data Source'!W926&gt;=2,"C",IF('Data Source'!W926&gt;=1,"D","F")))))))</f>
        <v/>
      </c>
      <c r="F926" s="3">
        <f>IF('Data Source'!B926="","",IF('Data Source'!X926&gt;=5,"A+",IF('Data Source'!X926&gt;=4,"A",IF('Data Source'!X926&gt;=3.5,"A-",IF('Data Source'!X926&gt;=3,"B",IF('Data Source'!X926&gt;=2,"C",IF('Data Source'!X926&gt;=1,"D","F")))))))</f>
        <v/>
      </c>
      <c r="G926" s="3">
        <f>IF('Data Source'!B926="","",IF('Data Source'!Y926&gt;=5,"A+",IF('Data Source'!Y926&gt;=4,"A",IF('Data Source'!Y926&gt;=3.5,"A-",IF('Data Source'!Y926&gt;=3,"B",IF('Data Source'!Y926&gt;=2,"C",IF('Data Source'!Y926&gt;=1,"D","F")))))))</f>
        <v/>
      </c>
      <c r="H926" s="3">
        <f>IF('Data Source'!B926="","",IF('Data Source'!Z926&gt;=5,"A+",IF('Data Source'!Z926&gt;=4,"A",IF('Data Source'!Z926&gt;=3.5,"A-",IF('Data Source'!Z926&gt;=3,"B",IF('Data Source'!Z926&gt;=2,"C",IF('Data Source'!Z926&gt;=1,"D","F")))))))</f>
        <v/>
      </c>
      <c r="I926" s="3">
        <f>IF('Data Source'!B926="","",IF('Data Source'!AA926&gt;=5,"A+",IF('Data Source'!AA926&gt;=4,"A",IF('Data Source'!AA926&gt;=3.5,"A-",IF('Data Source'!AA926&gt;=3,"B",IF('Data Source'!AA926&gt;=2,"C",IF('Data Source'!AA926&gt;=1,"D","F")))))))</f>
        <v/>
      </c>
      <c r="J926" s="3">
        <f>IF('Data Source'!B926="","",IF('Data Source'!AB926&gt;=5,"A+",IF('Data Source'!AB926&gt;=4,"A",IF('Data Source'!AB926&gt;=3.5,"A-",IF('Data Source'!AB926&gt;=3,"B",IF('Data Source'!AB926&gt;=2,"C",IF('Data Source'!AB926&gt;=1,"D","F")))))))</f>
        <v/>
      </c>
      <c r="K926" s="3">
        <f>IF('Data Source'!B926="","",IF('Data Source'!AC926&gt;=5,"A+",IF('Data Source'!AC926&gt;=4,"A",IF('Data Source'!AC926&gt;=3.5,"A-",IF('Data Source'!AC926&gt;=3,"B",IF('Data Source'!AC926&gt;=2,"C",IF('Data Source'!AC926&gt;=1,"D","F")))))))</f>
        <v/>
      </c>
      <c r="L926" s="3">
        <f>IF('Data Source'!B926="","",IF('Data Source'!AD926&gt;=5,"A+",IF('Data Source'!AD926&gt;=4,"A",IF('Data Source'!AD926&gt;=3.5,"A-",IF('Data Source'!AD926&gt;=3,"B",IF('Data Source'!AD926&gt;=2,"C",IF('Data Source'!AD926&gt;=1,"D","F")))))))</f>
        <v/>
      </c>
      <c r="M926" s="3">
        <f>IF('Data Source'!B926="","",IF('Data Source'!AE926&gt;=5,"A+",IF('Data Source'!AE926&gt;=4,"A",IF('Data Source'!AE926&gt;=3.5,"A-",IF('Data Source'!AE926&gt;=3,"B",IF('Data Source'!AE926&gt;=2,"C",IF('Data Source'!AE926&gt;=1,"D","F")))))))</f>
        <v/>
      </c>
      <c r="N926" s="3">
        <f>IF('Data Source'!B926="","",IF('Data Source'!AF926&gt;=5,"A+",IF('Data Source'!AF926&gt;=4,"A",IF('Data Source'!AF926&gt;=3.5,"A-",IF('Data Source'!AF926&gt;=3,"B",IF('Data Source'!AF926&gt;=2,"C",IF('Data Source'!AF926&gt;=1,"D","F")))))))</f>
        <v/>
      </c>
      <c r="O926" s="3">
        <f>IF('Data Source'!B926="","",IF('Data Source'!AG926&gt;=5,"A+",IF('Data Source'!AG926&gt;=4,"A",IF('Data Source'!AG926&gt;=3.5,"A-",IF('Data Source'!AG926&gt;=3,"B",IF('Data Source'!AG926&gt;=2,"C",IF('Data Source'!AG926&gt;=1,"D","F")))))))</f>
        <v/>
      </c>
      <c r="P926" s="5">
        <f>IF('Data Source'!B926="","",'Data Source'!R926)</f>
        <v/>
      </c>
      <c r="Q926" s="3">
        <f>IF('Data Source'!B926="","",'Data Source'!S926)</f>
        <v/>
      </c>
    </row>
    <row r="927">
      <c r="A927" s="3">
        <f>IF('Data Source'!B927="","",'Data Source'!A927)</f>
        <v/>
      </c>
      <c r="B927">
        <f>IF('Data Source'!B927="","",'Data Source'!B927)</f>
        <v/>
      </c>
      <c r="C927" s="3">
        <f>IF('Data Source'!B927="","",IF('Data Source'!U927&gt;=5,"A+",IF('Data Source'!U927&gt;=4,"A",IF('Data Source'!U927&gt;=3.5,"A-",IF('Data Source'!U927&gt;=3,"B",IF('Data Source'!U927&gt;=2,"C",IF('Data Source'!U927&gt;=1,"D","F")))))))</f>
        <v/>
      </c>
      <c r="D927" s="3">
        <f>IF('Data Source'!B927="","",IF('Data Source'!V927&gt;=5,"A+",IF('Data Source'!V927&gt;=4,"A",IF('Data Source'!V927&gt;=3.5,"A-",IF('Data Source'!V927&gt;=3,"B",IF('Data Source'!V927&gt;=2,"C",IF('Data Source'!V927&gt;=1,"D","F")))))))</f>
        <v/>
      </c>
      <c r="E927" s="3">
        <f>IF('Data Source'!B927="","",IF('Data Source'!W927&gt;=5,"A+",IF('Data Source'!W927&gt;=4,"A",IF('Data Source'!W927&gt;=3.5,"A-",IF('Data Source'!W927&gt;=3,"B",IF('Data Source'!W927&gt;=2,"C",IF('Data Source'!W927&gt;=1,"D","F")))))))</f>
        <v/>
      </c>
      <c r="F927" s="3">
        <f>IF('Data Source'!B927="","",IF('Data Source'!X927&gt;=5,"A+",IF('Data Source'!X927&gt;=4,"A",IF('Data Source'!X927&gt;=3.5,"A-",IF('Data Source'!X927&gt;=3,"B",IF('Data Source'!X927&gt;=2,"C",IF('Data Source'!X927&gt;=1,"D","F")))))))</f>
        <v/>
      </c>
      <c r="G927" s="3">
        <f>IF('Data Source'!B927="","",IF('Data Source'!Y927&gt;=5,"A+",IF('Data Source'!Y927&gt;=4,"A",IF('Data Source'!Y927&gt;=3.5,"A-",IF('Data Source'!Y927&gt;=3,"B",IF('Data Source'!Y927&gt;=2,"C",IF('Data Source'!Y927&gt;=1,"D","F")))))))</f>
        <v/>
      </c>
      <c r="H927" s="3">
        <f>IF('Data Source'!B927="","",IF('Data Source'!Z927&gt;=5,"A+",IF('Data Source'!Z927&gt;=4,"A",IF('Data Source'!Z927&gt;=3.5,"A-",IF('Data Source'!Z927&gt;=3,"B",IF('Data Source'!Z927&gt;=2,"C",IF('Data Source'!Z927&gt;=1,"D","F")))))))</f>
        <v/>
      </c>
      <c r="I927" s="3">
        <f>IF('Data Source'!B927="","",IF('Data Source'!AA927&gt;=5,"A+",IF('Data Source'!AA927&gt;=4,"A",IF('Data Source'!AA927&gt;=3.5,"A-",IF('Data Source'!AA927&gt;=3,"B",IF('Data Source'!AA927&gt;=2,"C",IF('Data Source'!AA927&gt;=1,"D","F")))))))</f>
        <v/>
      </c>
      <c r="J927" s="3">
        <f>IF('Data Source'!B927="","",IF('Data Source'!AB927&gt;=5,"A+",IF('Data Source'!AB927&gt;=4,"A",IF('Data Source'!AB927&gt;=3.5,"A-",IF('Data Source'!AB927&gt;=3,"B",IF('Data Source'!AB927&gt;=2,"C",IF('Data Source'!AB927&gt;=1,"D","F")))))))</f>
        <v/>
      </c>
      <c r="K927" s="3">
        <f>IF('Data Source'!B927="","",IF('Data Source'!AC927&gt;=5,"A+",IF('Data Source'!AC927&gt;=4,"A",IF('Data Source'!AC927&gt;=3.5,"A-",IF('Data Source'!AC927&gt;=3,"B",IF('Data Source'!AC927&gt;=2,"C",IF('Data Source'!AC927&gt;=1,"D","F")))))))</f>
        <v/>
      </c>
      <c r="L927" s="3">
        <f>IF('Data Source'!B927="","",IF('Data Source'!AD927&gt;=5,"A+",IF('Data Source'!AD927&gt;=4,"A",IF('Data Source'!AD927&gt;=3.5,"A-",IF('Data Source'!AD927&gt;=3,"B",IF('Data Source'!AD927&gt;=2,"C",IF('Data Source'!AD927&gt;=1,"D","F")))))))</f>
        <v/>
      </c>
      <c r="M927" s="3">
        <f>IF('Data Source'!B927="","",IF('Data Source'!AE927&gt;=5,"A+",IF('Data Source'!AE927&gt;=4,"A",IF('Data Source'!AE927&gt;=3.5,"A-",IF('Data Source'!AE927&gt;=3,"B",IF('Data Source'!AE927&gt;=2,"C",IF('Data Source'!AE927&gt;=1,"D","F")))))))</f>
        <v/>
      </c>
      <c r="N927" s="3">
        <f>IF('Data Source'!B927="","",IF('Data Source'!AF927&gt;=5,"A+",IF('Data Source'!AF927&gt;=4,"A",IF('Data Source'!AF927&gt;=3.5,"A-",IF('Data Source'!AF927&gt;=3,"B",IF('Data Source'!AF927&gt;=2,"C",IF('Data Source'!AF927&gt;=1,"D","F")))))))</f>
        <v/>
      </c>
      <c r="O927" s="3">
        <f>IF('Data Source'!B927="","",IF('Data Source'!AG927&gt;=5,"A+",IF('Data Source'!AG927&gt;=4,"A",IF('Data Source'!AG927&gt;=3.5,"A-",IF('Data Source'!AG927&gt;=3,"B",IF('Data Source'!AG927&gt;=2,"C",IF('Data Source'!AG927&gt;=1,"D","F")))))))</f>
        <v/>
      </c>
      <c r="P927" s="5">
        <f>IF('Data Source'!B927="","",'Data Source'!R927)</f>
        <v/>
      </c>
      <c r="Q927" s="3">
        <f>IF('Data Source'!B927="","",'Data Source'!S927)</f>
        <v/>
      </c>
    </row>
    <row r="928">
      <c r="A928" s="3">
        <f>IF('Data Source'!B928="","",'Data Source'!A928)</f>
        <v/>
      </c>
      <c r="B928">
        <f>IF('Data Source'!B928="","",'Data Source'!B928)</f>
        <v/>
      </c>
      <c r="C928" s="3">
        <f>IF('Data Source'!B928="","",IF('Data Source'!U928&gt;=5,"A+",IF('Data Source'!U928&gt;=4,"A",IF('Data Source'!U928&gt;=3.5,"A-",IF('Data Source'!U928&gt;=3,"B",IF('Data Source'!U928&gt;=2,"C",IF('Data Source'!U928&gt;=1,"D","F")))))))</f>
        <v/>
      </c>
      <c r="D928" s="3">
        <f>IF('Data Source'!B928="","",IF('Data Source'!V928&gt;=5,"A+",IF('Data Source'!V928&gt;=4,"A",IF('Data Source'!V928&gt;=3.5,"A-",IF('Data Source'!V928&gt;=3,"B",IF('Data Source'!V928&gt;=2,"C",IF('Data Source'!V928&gt;=1,"D","F")))))))</f>
        <v/>
      </c>
      <c r="E928" s="3">
        <f>IF('Data Source'!B928="","",IF('Data Source'!W928&gt;=5,"A+",IF('Data Source'!W928&gt;=4,"A",IF('Data Source'!W928&gt;=3.5,"A-",IF('Data Source'!W928&gt;=3,"B",IF('Data Source'!W928&gt;=2,"C",IF('Data Source'!W928&gt;=1,"D","F")))))))</f>
        <v/>
      </c>
      <c r="F928" s="3">
        <f>IF('Data Source'!B928="","",IF('Data Source'!X928&gt;=5,"A+",IF('Data Source'!X928&gt;=4,"A",IF('Data Source'!X928&gt;=3.5,"A-",IF('Data Source'!X928&gt;=3,"B",IF('Data Source'!X928&gt;=2,"C",IF('Data Source'!X928&gt;=1,"D","F")))))))</f>
        <v/>
      </c>
      <c r="G928" s="3">
        <f>IF('Data Source'!B928="","",IF('Data Source'!Y928&gt;=5,"A+",IF('Data Source'!Y928&gt;=4,"A",IF('Data Source'!Y928&gt;=3.5,"A-",IF('Data Source'!Y928&gt;=3,"B",IF('Data Source'!Y928&gt;=2,"C",IF('Data Source'!Y928&gt;=1,"D","F")))))))</f>
        <v/>
      </c>
      <c r="H928" s="3">
        <f>IF('Data Source'!B928="","",IF('Data Source'!Z928&gt;=5,"A+",IF('Data Source'!Z928&gt;=4,"A",IF('Data Source'!Z928&gt;=3.5,"A-",IF('Data Source'!Z928&gt;=3,"B",IF('Data Source'!Z928&gt;=2,"C",IF('Data Source'!Z928&gt;=1,"D","F")))))))</f>
        <v/>
      </c>
      <c r="I928" s="3">
        <f>IF('Data Source'!B928="","",IF('Data Source'!AA928&gt;=5,"A+",IF('Data Source'!AA928&gt;=4,"A",IF('Data Source'!AA928&gt;=3.5,"A-",IF('Data Source'!AA928&gt;=3,"B",IF('Data Source'!AA928&gt;=2,"C",IF('Data Source'!AA928&gt;=1,"D","F")))))))</f>
        <v/>
      </c>
      <c r="J928" s="3">
        <f>IF('Data Source'!B928="","",IF('Data Source'!AB928&gt;=5,"A+",IF('Data Source'!AB928&gt;=4,"A",IF('Data Source'!AB928&gt;=3.5,"A-",IF('Data Source'!AB928&gt;=3,"B",IF('Data Source'!AB928&gt;=2,"C",IF('Data Source'!AB928&gt;=1,"D","F")))))))</f>
        <v/>
      </c>
      <c r="K928" s="3">
        <f>IF('Data Source'!B928="","",IF('Data Source'!AC928&gt;=5,"A+",IF('Data Source'!AC928&gt;=4,"A",IF('Data Source'!AC928&gt;=3.5,"A-",IF('Data Source'!AC928&gt;=3,"B",IF('Data Source'!AC928&gt;=2,"C",IF('Data Source'!AC928&gt;=1,"D","F")))))))</f>
        <v/>
      </c>
      <c r="L928" s="3">
        <f>IF('Data Source'!B928="","",IF('Data Source'!AD928&gt;=5,"A+",IF('Data Source'!AD928&gt;=4,"A",IF('Data Source'!AD928&gt;=3.5,"A-",IF('Data Source'!AD928&gt;=3,"B",IF('Data Source'!AD928&gt;=2,"C",IF('Data Source'!AD928&gt;=1,"D","F")))))))</f>
        <v/>
      </c>
      <c r="M928" s="3">
        <f>IF('Data Source'!B928="","",IF('Data Source'!AE928&gt;=5,"A+",IF('Data Source'!AE928&gt;=4,"A",IF('Data Source'!AE928&gt;=3.5,"A-",IF('Data Source'!AE928&gt;=3,"B",IF('Data Source'!AE928&gt;=2,"C",IF('Data Source'!AE928&gt;=1,"D","F")))))))</f>
        <v/>
      </c>
      <c r="N928" s="3">
        <f>IF('Data Source'!B928="","",IF('Data Source'!AF928&gt;=5,"A+",IF('Data Source'!AF928&gt;=4,"A",IF('Data Source'!AF928&gt;=3.5,"A-",IF('Data Source'!AF928&gt;=3,"B",IF('Data Source'!AF928&gt;=2,"C",IF('Data Source'!AF928&gt;=1,"D","F")))))))</f>
        <v/>
      </c>
      <c r="O928" s="3">
        <f>IF('Data Source'!B928="","",IF('Data Source'!AG928&gt;=5,"A+",IF('Data Source'!AG928&gt;=4,"A",IF('Data Source'!AG928&gt;=3.5,"A-",IF('Data Source'!AG928&gt;=3,"B",IF('Data Source'!AG928&gt;=2,"C",IF('Data Source'!AG928&gt;=1,"D","F")))))))</f>
        <v/>
      </c>
      <c r="P928" s="5">
        <f>IF('Data Source'!B928="","",'Data Source'!R928)</f>
        <v/>
      </c>
      <c r="Q928" s="3">
        <f>IF('Data Source'!B928="","",'Data Source'!S928)</f>
        <v/>
      </c>
    </row>
    <row r="929">
      <c r="A929" s="3">
        <f>IF('Data Source'!B929="","",'Data Source'!A929)</f>
        <v/>
      </c>
      <c r="B929">
        <f>IF('Data Source'!B929="","",'Data Source'!B929)</f>
        <v/>
      </c>
      <c r="C929" s="3">
        <f>IF('Data Source'!B929="","",IF('Data Source'!U929&gt;=5,"A+",IF('Data Source'!U929&gt;=4,"A",IF('Data Source'!U929&gt;=3.5,"A-",IF('Data Source'!U929&gt;=3,"B",IF('Data Source'!U929&gt;=2,"C",IF('Data Source'!U929&gt;=1,"D","F")))))))</f>
        <v/>
      </c>
      <c r="D929" s="3">
        <f>IF('Data Source'!B929="","",IF('Data Source'!V929&gt;=5,"A+",IF('Data Source'!V929&gt;=4,"A",IF('Data Source'!V929&gt;=3.5,"A-",IF('Data Source'!V929&gt;=3,"B",IF('Data Source'!V929&gt;=2,"C",IF('Data Source'!V929&gt;=1,"D","F")))))))</f>
        <v/>
      </c>
      <c r="E929" s="3">
        <f>IF('Data Source'!B929="","",IF('Data Source'!W929&gt;=5,"A+",IF('Data Source'!W929&gt;=4,"A",IF('Data Source'!W929&gt;=3.5,"A-",IF('Data Source'!W929&gt;=3,"B",IF('Data Source'!W929&gt;=2,"C",IF('Data Source'!W929&gt;=1,"D","F")))))))</f>
        <v/>
      </c>
      <c r="F929" s="3">
        <f>IF('Data Source'!B929="","",IF('Data Source'!X929&gt;=5,"A+",IF('Data Source'!X929&gt;=4,"A",IF('Data Source'!X929&gt;=3.5,"A-",IF('Data Source'!X929&gt;=3,"B",IF('Data Source'!X929&gt;=2,"C",IF('Data Source'!X929&gt;=1,"D","F")))))))</f>
        <v/>
      </c>
      <c r="G929" s="3">
        <f>IF('Data Source'!B929="","",IF('Data Source'!Y929&gt;=5,"A+",IF('Data Source'!Y929&gt;=4,"A",IF('Data Source'!Y929&gt;=3.5,"A-",IF('Data Source'!Y929&gt;=3,"B",IF('Data Source'!Y929&gt;=2,"C",IF('Data Source'!Y929&gt;=1,"D","F")))))))</f>
        <v/>
      </c>
      <c r="H929" s="3">
        <f>IF('Data Source'!B929="","",IF('Data Source'!Z929&gt;=5,"A+",IF('Data Source'!Z929&gt;=4,"A",IF('Data Source'!Z929&gt;=3.5,"A-",IF('Data Source'!Z929&gt;=3,"B",IF('Data Source'!Z929&gt;=2,"C",IF('Data Source'!Z929&gt;=1,"D","F")))))))</f>
        <v/>
      </c>
      <c r="I929" s="3">
        <f>IF('Data Source'!B929="","",IF('Data Source'!AA929&gt;=5,"A+",IF('Data Source'!AA929&gt;=4,"A",IF('Data Source'!AA929&gt;=3.5,"A-",IF('Data Source'!AA929&gt;=3,"B",IF('Data Source'!AA929&gt;=2,"C",IF('Data Source'!AA929&gt;=1,"D","F")))))))</f>
        <v/>
      </c>
      <c r="J929" s="3">
        <f>IF('Data Source'!B929="","",IF('Data Source'!AB929&gt;=5,"A+",IF('Data Source'!AB929&gt;=4,"A",IF('Data Source'!AB929&gt;=3.5,"A-",IF('Data Source'!AB929&gt;=3,"B",IF('Data Source'!AB929&gt;=2,"C",IF('Data Source'!AB929&gt;=1,"D","F")))))))</f>
        <v/>
      </c>
      <c r="K929" s="3">
        <f>IF('Data Source'!B929="","",IF('Data Source'!AC929&gt;=5,"A+",IF('Data Source'!AC929&gt;=4,"A",IF('Data Source'!AC929&gt;=3.5,"A-",IF('Data Source'!AC929&gt;=3,"B",IF('Data Source'!AC929&gt;=2,"C",IF('Data Source'!AC929&gt;=1,"D","F")))))))</f>
        <v/>
      </c>
      <c r="L929" s="3">
        <f>IF('Data Source'!B929="","",IF('Data Source'!AD929&gt;=5,"A+",IF('Data Source'!AD929&gt;=4,"A",IF('Data Source'!AD929&gt;=3.5,"A-",IF('Data Source'!AD929&gt;=3,"B",IF('Data Source'!AD929&gt;=2,"C",IF('Data Source'!AD929&gt;=1,"D","F")))))))</f>
        <v/>
      </c>
      <c r="M929" s="3">
        <f>IF('Data Source'!B929="","",IF('Data Source'!AE929&gt;=5,"A+",IF('Data Source'!AE929&gt;=4,"A",IF('Data Source'!AE929&gt;=3.5,"A-",IF('Data Source'!AE929&gt;=3,"B",IF('Data Source'!AE929&gt;=2,"C",IF('Data Source'!AE929&gt;=1,"D","F")))))))</f>
        <v/>
      </c>
      <c r="N929" s="3">
        <f>IF('Data Source'!B929="","",IF('Data Source'!AF929&gt;=5,"A+",IF('Data Source'!AF929&gt;=4,"A",IF('Data Source'!AF929&gt;=3.5,"A-",IF('Data Source'!AF929&gt;=3,"B",IF('Data Source'!AF929&gt;=2,"C",IF('Data Source'!AF929&gt;=1,"D","F")))))))</f>
        <v/>
      </c>
      <c r="O929" s="3">
        <f>IF('Data Source'!B929="","",IF('Data Source'!AG929&gt;=5,"A+",IF('Data Source'!AG929&gt;=4,"A",IF('Data Source'!AG929&gt;=3.5,"A-",IF('Data Source'!AG929&gt;=3,"B",IF('Data Source'!AG929&gt;=2,"C",IF('Data Source'!AG929&gt;=1,"D","F")))))))</f>
        <v/>
      </c>
      <c r="P929" s="5">
        <f>IF('Data Source'!B929="","",'Data Source'!R929)</f>
        <v/>
      </c>
      <c r="Q929" s="3">
        <f>IF('Data Source'!B929="","",'Data Source'!S929)</f>
        <v/>
      </c>
    </row>
    <row r="930">
      <c r="A930" s="3">
        <f>IF('Data Source'!B930="","",'Data Source'!A930)</f>
        <v/>
      </c>
      <c r="B930">
        <f>IF('Data Source'!B930="","",'Data Source'!B930)</f>
        <v/>
      </c>
      <c r="C930" s="3">
        <f>IF('Data Source'!B930="","",IF('Data Source'!U930&gt;=5,"A+",IF('Data Source'!U930&gt;=4,"A",IF('Data Source'!U930&gt;=3.5,"A-",IF('Data Source'!U930&gt;=3,"B",IF('Data Source'!U930&gt;=2,"C",IF('Data Source'!U930&gt;=1,"D","F")))))))</f>
        <v/>
      </c>
      <c r="D930" s="3">
        <f>IF('Data Source'!B930="","",IF('Data Source'!V930&gt;=5,"A+",IF('Data Source'!V930&gt;=4,"A",IF('Data Source'!V930&gt;=3.5,"A-",IF('Data Source'!V930&gt;=3,"B",IF('Data Source'!V930&gt;=2,"C",IF('Data Source'!V930&gt;=1,"D","F")))))))</f>
        <v/>
      </c>
      <c r="E930" s="3">
        <f>IF('Data Source'!B930="","",IF('Data Source'!W930&gt;=5,"A+",IF('Data Source'!W930&gt;=4,"A",IF('Data Source'!W930&gt;=3.5,"A-",IF('Data Source'!W930&gt;=3,"B",IF('Data Source'!W930&gt;=2,"C",IF('Data Source'!W930&gt;=1,"D","F")))))))</f>
        <v/>
      </c>
      <c r="F930" s="3">
        <f>IF('Data Source'!B930="","",IF('Data Source'!X930&gt;=5,"A+",IF('Data Source'!X930&gt;=4,"A",IF('Data Source'!X930&gt;=3.5,"A-",IF('Data Source'!X930&gt;=3,"B",IF('Data Source'!X930&gt;=2,"C",IF('Data Source'!X930&gt;=1,"D","F")))))))</f>
        <v/>
      </c>
      <c r="G930" s="3">
        <f>IF('Data Source'!B930="","",IF('Data Source'!Y930&gt;=5,"A+",IF('Data Source'!Y930&gt;=4,"A",IF('Data Source'!Y930&gt;=3.5,"A-",IF('Data Source'!Y930&gt;=3,"B",IF('Data Source'!Y930&gt;=2,"C",IF('Data Source'!Y930&gt;=1,"D","F")))))))</f>
        <v/>
      </c>
      <c r="H930" s="3">
        <f>IF('Data Source'!B930="","",IF('Data Source'!Z930&gt;=5,"A+",IF('Data Source'!Z930&gt;=4,"A",IF('Data Source'!Z930&gt;=3.5,"A-",IF('Data Source'!Z930&gt;=3,"B",IF('Data Source'!Z930&gt;=2,"C",IF('Data Source'!Z930&gt;=1,"D","F")))))))</f>
        <v/>
      </c>
      <c r="I930" s="3">
        <f>IF('Data Source'!B930="","",IF('Data Source'!AA930&gt;=5,"A+",IF('Data Source'!AA930&gt;=4,"A",IF('Data Source'!AA930&gt;=3.5,"A-",IF('Data Source'!AA930&gt;=3,"B",IF('Data Source'!AA930&gt;=2,"C",IF('Data Source'!AA930&gt;=1,"D","F")))))))</f>
        <v/>
      </c>
      <c r="J930" s="3">
        <f>IF('Data Source'!B930="","",IF('Data Source'!AB930&gt;=5,"A+",IF('Data Source'!AB930&gt;=4,"A",IF('Data Source'!AB930&gt;=3.5,"A-",IF('Data Source'!AB930&gt;=3,"B",IF('Data Source'!AB930&gt;=2,"C",IF('Data Source'!AB930&gt;=1,"D","F")))))))</f>
        <v/>
      </c>
      <c r="K930" s="3">
        <f>IF('Data Source'!B930="","",IF('Data Source'!AC930&gt;=5,"A+",IF('Data Source'!AC930&gt;=4,"A",IF('Data Source'!AC930&gt;=3.5,"A-",IF('Data Source'!AC930&gt;=3,"B",IF('Data Source'!AC930&gt;=2,"C",IF('Data Source'!AC930&gt;=1,"D","F")))))))</f>
        <v/>
      </c>
      <c r="L930" s="3">
        <f>IF('Data Source'!B930="","",IF('Data Source'!AD930&gt;=5,"A+",IF('Data Source'!AD930&gt;=4,"A",IF('Data Source'!AD930&gt;=3.5,"A-",IF('Data Source'!AD930&gt;=3,"B",IF('Data Source'!AD930&gt;=2,"C",IF('Data Source'!AD930&gt;=1,"D","F")))))))</f>
        <v/>
      </c>
      <c r="M930" s="3">
        <f>IF('Data Source'!B930="","",IF('Data Source'!AE930&gt;=5,"A+",IF('Data Source'!AE930&gt;=4,"A",IF('Data Source'!AE930&gt;=3.5,"A-",IF('Data Source'!AE930&gt;=3,"B",IF('Data Source'!AE930&gt;=2,"C",IF('Data Source'!AE930&gt;=1,"D","F")))))))</f>
        <v/>
      </c>
      <c r="N930" s="3">
        <f>IF('Data Source'!B930="","",IF('Data Source'!AF930&gt;=5,"A+",IF('Data Source'!AF930&gt;=4,"A",IF('Data Source'!AF930&gt;=3.5,"A-",IF('Data Source'!AF930&gt;=3,"B",IF('Data Source'!AF930&gt;=2,"C",IF('Data Source'!AF930&gt;=1,"D","F")))))))</f>
        <v/>
      </c>
      <c r="O930" s="3">
        <f>IF('Data Source'!B930="","",IF('Data Source'!AG930&gt;=5,"A+",IF('Data Source'!AG930&gt;=4,"A",IF('Data Source'!AG930&gt;=3.5,"A-",IF('Data Source'!AG930&gt;=3,"B",IF('Data Source'!AG930&gt;=2,"C",IF('Data Source'!AG930&gt;=1,"D","F")))))))</f>
        <v/>
      </c>
      <c r="P930" s="5">
        <f>IF('Data Source'!B930="","",'Data Source'!R930)</f>
        <v/>
      </c>
      <c r="Q930" s="3">
        <f>IF('Data Source'!B930="","",'Data Source'!S930)</f>
        <v/>
      </c>
    </row>
    <row r="931">
      <c r="A931" s="3">
        <f>IF('Data Source'!B931="","",'Data Source'!A931)</f>
        <v/>
      </c>
      <c r="B931">
        <f>IF('Data Source'!B931="","",'Data Source'!B931)</f>
        <v/>
      </c>
      <c r="C931" s="3">
        <f>IF('Data Source'!B931="","",IF('Data Source'!U931&gt;=5,"A+",IF('Data Source'!U931&gt;=4,"A",IF('Data Source'!U931&gt;=3.5,"A-",IF('Data Source'!U931&gt;=3,"B",IF('Data Source'!U931&gt;=2,"C",IF('Data Source'!U931&gt;=1,"D","F")))))))</f>
        <v/>
      </c>
      <c r="D931" s="3">
        <f>IF('Data Source'!B931="","",IF('Data Source'!V931&gt;=5,"A+",IF('Data Source'!V931&gt;=4,"A",IF('Data Source'!V931&gt;=3.5,"A-",IF('Data Source'!V931&gt;=3,"B",IF('Data Source'!V931&gt;=2,"C",IF('Data Source'!V931&gt;=1,"D","F")))))))</f>
        <v/>
      </c>
      <c r="E931" s="3">
        <f>IF('Data Source'!B931="","",IF('Data Source'!W931&gt;=5,"A+",IF('Data Source'!W931&gt;=4,"A",IF('Data Source'!W931&gt;=3.5,"A-",IF('Data Source'!W931&gt;=3,"B",IF('Data Source'!W931&gt;=2,"C",IF('Data Source'!W931&gt;=1,"D","F")))))))</f>
        <v/>
      </c>
      <c r="F931" s="3">
        <f>IF('Data Source'!B931="","",IF('Data Source'!X931&gt;=5,"A+",IF('Data Source'!X931&gt;=4,"A",IF('Data Source'!X931&gt;=3.5,"A-",IF('Data Source'!X931&gt;=3,"B",IF('Data Source'!X931&gt;=2,"C",IF('Data Source'!X931&gt;=1,"D","F")))))))</f>
        <v/>
      </c>
      <c r="G931" s="3">
        <f>IF('Data Source'!B931="","",IF('Data Source'!Y931&gt;=5,"A+",IF('Data Source'!Y931&gt;=4,"A",IF('Data Source'!Y931&gt;=3.5,"A-",IF('Data Source'!Y931&gt;=3,"B",IF('Data Source'!Y931&gt;=2,"C",IF('Data Source'!Y931&gt;=1,"D","F")))))))</f>
        <v/>
      </c>
      <c r="H931" s="3">
        <f>IF('Data Source'!B931="","",IF('Data Source'!Z931&gt;=5,"A+",IF('Data Source'!Z931&gt;=4,"A",IF('Data Source'!Z931&gt;=3.5,"A-",IF('Data Source'!Z931&gt;=3,"B",IF('Data Source'!Z931&gt;=2,"C",IF('Data Source'!Z931&gt;=1,"D","F")))))))</f>
        <v/>
      </c>
      <c r="I931" s="3">
        <f>IF('Data Source'!B931="","",IF('Data Source'!AA931&gt;=5,"A+",IF('Data Source'!AA931&gt;=4,"A",IF('Data Source'!AA931&gt;=3.5,"A-",IF('Data Source'!AA931&gt;=3,"B",IF('Data Source'!AA931&gt;=2,"C",IF('Data Source'!AA931&gt;=1,"D","F")))))))</f>
        <v/>
      </c>
      <c r="J931" s="3">
        <f>IF('Data Source'!B931="","",IF('Data Source'!AB931&gt;=5,"A+",IF('Data Source'!AB931&gt;=4,"A",IF('Data Source'!AB931&gt;=3.5,"A-",IF('Data Source'!AB931&gt;=3,"B",IF('Data Source'!AB931&gt;=2,"C",IF('Data Source'!AB931&gt;=1,"D","F")))))))</f>
        <v/>
      </c>
      <c r="K931" s="3">
        <f>IF('Data Source'!B931="","",IF('Data Source'!AC931&gt;=5,"A+",IF('Data Source'!AC931&gt;=4,"A",IF('Data Source'!AC931&gt;=3.5,"A-",IF('Data Source'!AC931&gt;=3,"B",IF('Data Source'!AC931&gt;=2,"C",IF('Data Source'!AC931&gt;=1,"D","F")))))))</f>
        <v/>
      </c>
      <c r="L931" s="3">
        <f>IF('Data Source'!B931="","",IF('Data Source'!AD931&gt;=5,"A+",IF('Data Source'!AD931&gt;=4,"A",IF('Data Source'!AD931&gt;=3.5,"A-",IF('Data Source'!AD931&gt;=3,"B",IF('Data Source'!AD931&gt;=2,"C",IF('Data Source'!AD931&gt;=1,"D","F")))))))</f>
        <v/>
      </c>
      <c r="M931" s="3">
        <f>IF('Data Source'!B931="","",IF('Data Source'!AE931&gt;=5,"A+",IF('Data Source'!AE931&gt;=4,"A",IF('Data Source'!AE931&gt;=3.5,"A-",IF('Data Source'!AE931&gt;=3,"B",IF('Data Source'!AE931&gt;=2,"C",IF('Data Source'!AE931&gt;=1,"D","F")))))))</f>
        <v/>
      </c>
      <c r="N931" s="3">
        <f>IF('Data Source'!B931="","",IF('Data Source'!AF931&gt;=5,"A+",IF('Data Source'!AF931&gt;=4,"A",IF('Data Source'!AF931&gt;=3.5,"A-",IF('Data Source'!AF931&gt;=3,"B",IF('Data Source'!AF931&gt;=2,"C",IF('Data Source'!AF931&gt;=1,"D","F")))))))</f>
        <v/>
      </c>
      <c r="O931" s="3">
        <f>IF('Data Source'!B931="","",IF('Data Source'!AG931&gt;=5,"A+",IF('Data Source'!AG931&gt;=4,"A",IF('Data Source'!AG931&gt;=3.5,"A-",IF('Data Source'!AG931&gt;=3,"B",IF('Data Source'!AG931&gt;=2,"C",IF('Data Source'!AG931&gt;=1,"D","F")))))))</f>
        <v/>
      </c>
      <c r="P931" s="5">
        <f>IF('Data Source'!B931="","",'Data Source'!R931)</f>
        <v/>
      </c>
      <c r="Q931" s="3">
        <f>IF('Data Source'!B931="","",'Data Source'!S931)</f>
        <v/>
      </c>
    </row>
    <row r="932">
      <c r="A932" s="3">
        <f>IF('Data Source'!B932="","",'Data Source'!A932)</f>
        <v/>
      </c>
      <c r="B932">
        <f>IF('Data Source'!B932="","",'Data Source'!B932)</f>
        <v/>
      </c>
      <c r="C932" s="3">
        <f>IF('Data Source'!B932="","",IF('Data Source'!U932&gt;=5,"A+",IF('Data Source'!U932&gt;=4,"A",IF('Data Source'!U932&gt;=3.5,"A-",IF('Data Source'!U932&gt;=3,"B",IF('Data Source'!U932&gt;=2,"C",IF('Data Source'!U932&gt;=1,"D","F")))))))</f>
        <v/>
      </c>
      <c r="D932" s="3">
        <f>IF('Data Source'!B932="","",IF('Data Source'!V932&gt;=5,"A+",IF('Data Source'!V932&gt;=4,"A",IF('Data Source'!V932&gt;=3.5,"A-",IF('Data Source'!V932&gt;=3,"B",IF('Data Source'!V932&gt;=2,"C",IF('Data Source'!V932&gt;=1,"D","F")))))))</f>
        <v/>
      </c>
      <c r="E932" s="3">
        <f>IF('Data Source'!B932="","",IF('Data Source'!W932&gt;=5,"A+",IF('Data Source'!W932&gt;=4,"A",IF('Data Source'!W932&gt;=3.5,"A-",IF('Data Source'!W932&gt;=3,"B",IF('Data Source'!W932&gt;=2,"C",IF('Data Source'!W932&gt;=1,"D","F")))))))</f>
        <v/>
      </c>
      <c r="F932" s="3">
        <f>IF('Data Source'!B932="","",IF('Data Source'!X932&gt;=5,"A+",IF('Data Source'!X932&gt;=4,"A",IF('Data Source'!X932&gt;=3.5,"A-",IF('Data Source'!X932&gt;=3,"B",IF('Data Source'!X932&gt;=2,"C",IF('Data Source'!X932&gt;=1,"D","F")))))))</f>
        <v/>
      </c>
      <c r="G932" s="3">
        <f>IF('Data Source'!B932="","",IF('Data Source'!Y932&gt;=5,"A+",IF('Data Source'!Y932&gt;=4,"A",IF('Data Source'!Y932&gt;=3.5,"A-",IF('Data Source'!Y932&gt;=3,"B",IF('Data Source'!Y932&gt;=2,"C",IF('Data Source'!Y932&gt;=1,"D","F")))))))</f>
        <v/>
      </c>
      <c r="H932" s="3">
        <f>IF('Data Source'!B932="","",IF('Data Source'!Z932&gt;=5,"A+",IF('Data Source'!Z932&gt;=4,"A",IF('Data Source'!Z932&gt;=3.5,"A-",IF('Data Source'!Z932&gt;=3,"B",IF('Data Source'!Z932&gt;=2,"C",IF('Data Source'!Z932&gt;=1,"D","F")))))))</f>
        <v/>
      </c>
      <c r="I932" s="3">
        <f>IF('Data Source'!B932="","",IF('Data Source'!AA932&gt;=5,"A+",IF('Data Source'!AA932&gt;=4,"A",IF('Data Source'!AA932&gt;=3.5,"A-",IF('Data Source'!AA932&gt;=3,"B",IF('Data Source'!AA932&gt;=2,"C",IF('Data Source'!AA932&gt;=1,"D","F")))))))</f>
        <v/>
      </c>
      <c r="J932" s="3">
        <f>IF('Data Source'!B932="","",IF('Data Source'!AB932&gt;=5,"A+",IF('Data Source'!AB932&gt;=4,"A",IF('Data Source'!AB932&gt;=3.5,"A-",IF('Data Source'!AB932&gt;=3,"B",IF('Data Source'!AB932&gt;=2,"C",IF('Data Source'!AB932&gt;=1,"D","F")))))))</f>
        <v/>
      </c>
      <c r="K932" s="3">
        <f>IF('Data Source'!B932="","",IF('Data Source'!AC932&gt;=5,"A+",IF('Data Source'!AC932&gt;=4,"A",IF('Data Source'!AC932&gt;=3.5,"A-",IF('Data Source'!AC932&gt;=3,"B",IF('Data Source'!AC932&gt;=2,"C",IF('Data Source'!AC932&gt;=1,"D","F")))))))</f>
        <v/>
      </c>
      <c r="L932" s="3">
        <f>IF('Data Source'!B932="","",IF('Data Source'!AD932&gt;=5,"A+",IF('Data Source'!AD932&gt;=4,"A",IF('Data Source'!AD932&gt;=3.5,"A-",IF('Data Source'!AD932&gt;=3,"B",IF('Data Source'!AD932&gt;=2,"C",IF('Data Source'!AD932&gt;=1,"D","F")))))))</f>
        <v/>
      </c>
      <c r="M932" s="3">
        <f>IF('Data Source'!B932="","",IF('Data Source'!AE932&gt;=5,"A+",IF('Data Source'!AE932&gt;=4,"A",IF('Data Source'!AE932&gt;=3.5,"A-",IF('Data Source'!AE932&gt;=3,"B",IF('Data Source'!AE932&gt;=2,"C",IF('Data Source'!AE932&gt;=1,"D","F")))))))</f>
        <v/>
      </c>
      <c r="N932" s="3">
        <f>IF('Data Source'!B932="","",IF('Data Source'!AF932&gt;=5,"A+",IF('Data Source'!AF932&gt;=4,"A",IF('Data Source'!AF932&gt;=3.5,"A-",IF('Data Source'!AF932&gt;=3,"B",IF('Data Source'!AF932&gt;=2,"C",IF('Data Source'!AF932&gt;=1,"D","F")))))))</f>
        <v/>
      </c>
      <c r="O932" s="3">
        <f>IF('Data Source'!B932="","",IF('Data Source'!AG932&gt;=5,"A+",IF('Data Source'!AG932&gt;=4,"A",IF('Data Source'!AG932&gt;=3.5,"A-",IF('Data Source'!AG932&gt;=3,"B",IF('Data Source'!AG932&gt;=2,"C",IF('Data Source'!AG932&gt;=1,"D","F")))))))</f>
        <v/>
      </c>
      <c r="P932" s="5">
        <f>IF('Data Source'!B932="","",'Data Source'!R932)</f>
        <v/>
      </c>
      <c r="Q932" s="3">
        <f>IF('Data Source'!B932="","",'Data Source'!S932)</f>
        <v/>
      </c>
    </row>
    <row r="933">
      <c r="A933" s="3">
        <f>IF('Data Source'!B933="","",'Data Source'!A933)</f>
        <v/>
      </c>
      <c r="B933">
        <f>IF('Data Source'!B933="","",'Data Source'!B933)</f>
        <v/>
      </c>
      <c r="C933" s="3">
        <f>IF('Data Source'!B933="","",IF('Data Source'!U933&gt;=5,"A+",IF('Data Source'!U933&gt;=4,"A",IF('Data Source'!U933&gt;=3.5,"A-",IF('Data Source'!U933&gt;=3,"B",IF('Data Source'!U933&gt;=2,"C",IF('Data Source'!U933&gt;=1,"D","F")))))))</f>
        <v/>
      </c>
      <c r="D933" s="3">
        <f>IF('Data Source'!B933="","",IF('Data Source'!V933&gt;=5,"A+",IF('Data Source'!V933&gt;=4,"A",IF('Data Source'!V933&gt;=3.5,"A-",IF('Data Source'!V933&gt;=3,"B",IF('Data Source'!V933&gt;=2,"C",IF('Data Source'!V933&gt;=1,"D","F")))))))</f>
        <v/>
      </c>
      <c r="E933" s="3">
        <f>IF('Data Source'!B933="","",IF('Data Source'!W933&gt;=5,"A+",IF('Data Source'!W933&gt;=4,"A",IF('Data Source'!W933&gt;=3.5,"A-",IF('Data Source'!W933&gt;=3,"B",IF('Data Source'!W933&gt;=2,"C",IF('Data Source'!W933&gt;=1,"D","F")))))))</f>
        <v/>
      </c>
      <c r="F933" s="3">
        <f>IF('Data Source'!B933="","",IF('Data Source'!X933&gt;=5,"A+",IF('Data Source'!X933&gt;=4,"A",IF('Data Source'!X933&gt;=3.5,"A-",IF('Data Source'!X933&gt;=3,"B",IF('Data Source'!X933&gt;=2,"C",IF('Data Source'!X933&gt;=1,"D","F")))))))</f>
        <v/>
      </c>
      <c r="G933" s="3">
        <f>IF('Data Source'!B933="","",IF('Data Source'!Y933&gt;=5,"A+",IF('Data Source'!Y933&gt;=4,"A",IF('Data Source'!Y933&gt;=3.5,"A-",IF('Data Source'!Y933&gt;=3,"B",IF('Data Source'!Y933&gt;=2,"C",IF('Data Source'!Y933&gt;=1,"D","F")))))))</f>
        <v/>
      </c>
      <c r="H933" s="3">
        <f>IF('Data Source'!B933="","",IF('Data Source'!Z933&gt;=5,"A+",IF('Data Source'!Z933&gt;=4,"A",IF('Data Source'!Z933&gt;=3.5,"A-",IF('Data Source'!Z933&gt;=3,"B",IF('Data Source'!Z933&gt;=2,"C",IF('Data Source'!Z933&gt;=1,"D","F")))))))</f>
        <v/>
      </c>
      <c r="I933" s="3">
        <f>IF('Data Source'!B933="","",IF('Data Source'!AA933&gt;=5,"A+",IF('Data Source'!AA933&gt;=4,"A",IF('Data Source'!AA933&gt;=3.5,"A-",IF('Data Source'!AA933&gt;=3,"B",IF('Data Source'!AA933&gt;=2,"C",IF('Data Source'!AA933&gt;=1,"D","F")))))))</f>
        <v/>
      </c>
      <c r="J933" s="3">
        <f>IF('Data Source'!B933="","",IF('Data Source'!AB933&gt;=5,"A+",IF('Data Source'!AB933&gt;=4,"A",IF('Data Source'!AB933&gt;=3.5,"A-",IF('Data Source'!AB933&gt;=3,"B",IF('Data Source'!AB933&gt;=2,"C",IF('Data Source'!AB933&gt;=1,"D","F")))))))</f>
        <v/>
      </c>
      <c r="K933" s="3">
        <f>IF('Data Source'!B933="","",IF('Data Source'!AC933&gt;=5,"A+",IF('Data Source'!AC933&gt;=4,"A",IF('Data Source'!AC933&gt;=3.5,"A-",IF('Data Source'!AC933&gt;=3,"B",IF('Data Source'!AC933&gt;=2,"C",IF('Data Source'!AC933&gt;=1,"D","F")))))))</f>
        <v/>
      </c>
      <c r="L933" s="3">
        <f>IF('Data Source'!B933="","",IF('Data Source'!AD933&gt;=5,"A+",IF('Data Source'!AD933&gt;=4,"A",IF('Data Source'!AD933&gt;=3.5,"A-",IF('Data Source'!AD933&gt;=3,"B",IF('Data Source'!AD933&gt;=2,"C",IF('Data Source'!AD933&gt;=1,"D","F")))))))</f>
        <v/>
      </c>
      <c r="M933" s="3">
        <f>IF('Data Source'!B933="","",IF('Data Source'!AE933&gt;=5,"A+",IF('Data Source'!AE933&gt;=4,"A",IF('Data Source'!AE933&gt;=3.5,"A-",IF('Data Source'!AE933&gt;=3,"B",IF('Data Source'!AE933&gt;=2,"C",IF('Data Source'!AE933&gt;=1,"D","F")))))))</f>
        <v/>
      </c>
      <c r="N933" s="3">
        <f>IF('Data Source'!B933="","",IF('Data Source'!AF933&gt;=5,"A+",IF('Data Source'!AF933&gt;=4,"A",IF('Data Source'!AF933&gt;=3.5,"A-",IF('Data Source'!AF933&gt;=3,"B",IF('Data Source'!AF933&gt;=2,"C",IF('Data Source'!AF933&gt;=1,"D","F")))))))</f>
        <v/>
      </c>
      <c r="O933" s="3">
        <f>IF('Data Source'!B933="","",IF('Data Source'!AG933&gt;=5,"A+",IF('Data Source'!AG933&gt;=4,"A",IF('Data Source'!AG933&gt;=3.5,"A-",IF('Data Source'!AG933&gt;=3,"B",IF('Data Source'!AG933&gt;=2,"C",IF('Data Source'!AG933&gt;=1,"D","F")))))))</f>
        <v/>
      </c>
      <c r="P933" s="5">
        <f>IF('Data Source'!B933="","",'Data Source'!R933)</f>
        <v/>
      </c>
      <c r="Q933" s="3">
        <f>IF('Data Source'!B933="","",'Data Source'!S933)</f>
        <v/>
      </c>
    </row>
    <row r="934">
      <c r="A934" s="3">
        <f>IF('Data Source'!B934="","",'Data Source'!A934)</f>
        <v/>
      </c>
      <c r="B934">
        <f>IF('Data Source'!B934="","",'Data Source'!B934)</f>
        <v/>
      </c>
      <c r="C934" s="3">
        <f>IF('Data Source'!B934="","",IF('Data Source'!U934&gt;=5,"A+",IF('Data Source'!U934&gt;=4,"A",IF('Data Source'!U934&gt;=3.5,"A-",IF('Data Source'!U934&gt;=3,"B",IF('Data Source'!U934&gt;=2,"C",IF('Data Source'!U934&gt;=1,"D","F")))))))</f>
        <v/>
      </c>
      <c r="D934" s="3">
        <f>IF('Data Source'!B934="","",IF('Data Source'!V934&gt;=5,"A+",IF('Data Source'!V934&gt;=4,"A",IF('Data Source'!V934&gt;=3.5,"A-",IF('Data Source'!V934&gt;=3,"B",IF('Data Source'!V934&gt;=2,"C",IF('Data Source'!V934&gt;=1,"D","F")))))))</f>
        <v/>
      </c>
      <c r="E934" s="3">
        <f>IF('Data Source'!B934="","",IF('Data Source'!W934&gt;=5,"A+",IF('Data Source'!W934&gt;=4,"A",IF('Data Source'!W934&gt;=3.5,"A-",IF('Data Source'!W934&gt;=3,"B",IF('Data Source'!W934&gt;=2,"C",IF('Data Source'!W934&gt;=1,"D","F")))))))</f>
        <v/>
      </c>
      <c r="F934" s="3">
        <f>IF('Data Source'!B934="","",IF('Data Source'!X934&gt;=5,"A+",IF('Data Source'!X934&gt;=4,"A",IF('Data Source'!X934&gt;=3.5,"A-",IF('Data Source'!X934&gt;=3,"B",IF('Data Source'!X934&gt;=2,"C",IF('Data Source'!X934&gt;=1,"D","F")))))))</f>
        <v/>
      </c>
      <c r="G934" s="3">
        <f>IF('Data Source'!B934="","",IF('Data Source'!Y934&gt;=5,"A+",IF('Data Source'!Y934&gt;=4,"A",IF('Data Source'!Y934&gt;=3.5,"A-",IF('Data Source'!Y934&gt;=3,"B",IF('Data Source'!Y934&gt;=2,"C",IF('Data Source'!Y934&gt;=1,"D","F")))))))</f>
        <v/>
      </c>
      <c r="H934" s="3">
        <f>IF('Data Source'!B934="","",IF('Data Source'!Z934&gt;=5,"A+",IF('Data Source'!Z934&gt;=4,"A",IF('Data Source'!Z934&gt;=3.5,"A-",IF('Data Source'!Z934&gt;=3,"B",IF('Data Source'!Z934&gt;=2,"C",IF('Data Source'!Z934&gt;=1,"D","F")))))))</f>
        <v/>
      </c>
      <c r="I934" s="3">
        <f>IF('Data Source'!B934="","",IF('Data Source'!AA934&gt;=5,"A+",IF('Data Source'!AA934&gt;=4,"A",IF('Data Source'!AA934&gt;=3.5,"A-",IF('Data Source'!AA934&gt;=3,"B",IF('Data Source'!AA934&gt;=2,"C",IF('Data Source'!AA934&gt;=1,"D","F")))))))</f>
        <v/>
      </c>
      <c r="J934" s="3">
        <f>IF('Data Source'!B934="","",IF('Data Source'!AB934&gt;=5,"A+",IF('Data Source'!AB934&gt;=4,"A",IF('Data Source'!AB934&gt;=3.5,"A-",IF('Data Source'!AB934&gt;=3,"B",IF('Data Source'!AB934&gt;=2,"C",IF('Data Source'!AB934&gt;=1,"D","F")))))))</f>
        <v/>
      </c>
      <c r="K934" s="3">
        <f>IF('Data Source'!B934="","",IF('Data Source'!AC934&gt;=5,"A+",IF('Data Source'!AC934&gt;=4,"A",IF('Data Source'!AC934&gt;=3.5,"A-",IF('Data Source'!AC934&gt;=3,"B",IF('Data Source'!AC934&gt;=2,"C",IF('Data Source'!AC934&gt;=1,"D","F")))))))</f>
        <v/>
      </c>
      <c r="L934" s="3">
        <f>IF('Data Source'!B934="","",IF('Data Source'!AD934&gt;=5,"A+",IF('Data Source'!AD934&gt;=4,"A",IF('Data Source'!AD934&gt;=3.5,"A-",IF('Data Source'!AD934&gt;=3,"B",IF('Data Source'!AD934&gt;=2,"C",IF('Data Source'!AD934&gt;=1,"D","F")))))))</f>
        <v/>
      </c>
      <c r="M934" s="3">
        <f>IF('Data Source'!B934="","",IF('Data Source'!AE934&gt;=5,"A+",IF('Data Source'!AE934&gt;=4,"A",IF('Data Source'!AE934&gt;=3.5,"A-",IF('Data Source'!AE934&gt;=3,"B",IF('Data Source'!AE934&gt;=2,"C",IF('Data Source'!AE934&gt;=1,"D","F")))))))</f>
        <v/>
      </c>
      <c r="N934" s="3">
        <f>IF('Data Source'!B934="","",IF('Data Source'!AF934&gt;=5,"A+",IF('Data Source'!AF934&gt;=4,"A",IF('Data Source'!AF934&gt;=3.5,"A-",IF('Data Source'!AF934&gt;=3,"B",IF('Data Source'!AF934&gt;=2,"C",IF('Data Source'!AF934&gt;=1,"D","F")))))))</f>
        <v/>
      </c>
      <c r="O934" s="3">
        <f>IF('Data Source'!B934="","",IF('Data Source'!AG934&gt;=5,"A+",IF('Data Source'!AG934&gt;=4,"A",IF('Data Source'!AG934&gt;=3.5,"A-",IF('Data Source'!AG934&gt;=3,"B",IF('Data Source'!AG934&gt;=2,"C",IF('Data Source'!AG934&gt;=1,"D","F")))))))</f>
        <v/>
      </c>
      <c r="P934" s="5">
        <f>IF('Data Source'!B934="","",'Data Source'!R934)</f>
        <v/>
      </c>
      <c r="Q934" s="3">
        <f>IF('Data Source'!B934="","",'Data Source'!S934)</f>
        <v/>
      </c>
    </row>
    <row r="935">
      <c r="A935" s="3">
        <f>IF('Data Source'!B935="","",'Data Source'!A935)</f>
        <v/>
      </c>
      <c r="B935">
        <f>IF('Data Source'!B935="","",'Data Source'!B935)</f>
        <v/>
      </c>
      <c r="C935" s="3">
        <f>IF('Data Source'!B935="","",IF('Data Source'!U935&gt;=5,"A+",IF('Data Source'!U935&gt;=4,"A",IF('Data Source'!U935&gt;=3.5,"A-",IF('Data Source'!U935&gt;=3,"B",IF('Data Source'!U935&gt;=2,"C",IF('Data Source'!U935&gt;=1,"D","F")))))))</f>
        <v/>
      </c>
      <c r="D935" s="3">
        <f>IF('Data Source'!B935="","",IF('Data Source'!V935&gt;=5,"A+",IF('Data Source'!V935&gt;=4,"A",IF('Data Source'!V935&gt;=3.5,"A-",IF('Data Source'!V935&gt;=3,"B",IF('Data Source'!V935&gt;=2,"C",IF('Data Source'!V935&gt;=1,"D","F")))))))</f>
        <v/>
      </c>
      <c r="E935" s="3">
        <f>IF('Data Source'!B935="","",IF('Data Source'!W935&gt;=5,"A+",IF('Data Source'!W935&gt;=4,"A",IF('Data Source'!W935&gt;=3.5,"A-",IF('Data Source'!W935&gt;=3,"B",IF('Data Source'!W935&gt;=2,"C",IF('Data Source'!W935&gt;=1,"D","F")))))))</f>
        <v/>
      </c>
      <c r="F935" s="3">
        <f>IF('Data Source'!B935="","",IF('Data Source'!X935&gt;=5,"A+",IF('Data Source'!X935&gt;=4,"A",IF('Data Source'!X935&gt;=3.5,"A-",IF('Data Source'!X935&gt;=3,"B",IF('Data Source'!X935&gt;=2,"C",IF('Data Source'!X935&gt;=1,"D","F")))))))</f>
        <v/>
      </c>
      <c r="G935" s="3">
        <f>IF('Data Source'!B935="","",IF('Data Source'!Y935&gt;=5,"A+",IF('Data Source'!Y935&gt;=4,"A",IF('Data Source'!Y935&gt;=3.5,"A-",IF('Data Source'!Y935&gt;=3,"B",IF('Data Source'!Y935&gt;=2,"C",IF('Data Source'!Y935&gt;=1,"D","F")))))))</f>
        <v/>
      </c>
      <c r="H935" s="3">
        <f>IF('Data Source'!B935="","",IF('Data Source'!Z935&gt;=5,"A+",IF('Data Source'!Z935&gt;=4,"A",IF('Data Source'!Z935&gt;=3.5,"A-",IF('Data Source'!Z935&gt;=3,"B",IF('Data Source'!Z935&gt;=2,"C",IF('Data Source'!Z935&gt;=1,"D","F")))))))</f>
        <v/>
      </c>
      <c r="I935" s="3">
        <f>IF('Data Source'!B935="","",IF('Data Source'!AA935&gt;=5,"A+",IF('Data Source'!AA935&gt;=4,"A",IF('Data Source'!AA935&gt;=3.5,"A-",IF('Data Source'!AA935&gt;=3,"B",IF('Data Source'!AA935&gt;=2,"C",IF('Data Source'!AA935&gt;=1,"D","F")))))))</f>
        <v/>
      </c>
      <c r="J935" s="3">
        <f>IF('Data Source'!B935="","",IF('Data Source'!AB935&gt;=5,"A+",IF('Data Source'!AB935&gt;=4,"A",IF('Data Source'!AB935&gt;=3.5,"A-",IF('Data Source'!AB935&gt;=3,"B",IF('Data Source'!AB935&gt;=2,"C",IF('Data Source'!AB935&gt;=1,"D","F")))))))</f>
        <v/>
      </c>
      <c r="K935" s="3">
        <f>IF('Data Source'!B935="","",IF('Data Source'!AC935&gt;=5,"A+",IF('Data Source'!AC935&gt;=4,"A",IF('Data Source'!AC935&gt;=3.5,"A-",IF('Data Source'!AC935&gt;=3,"B",IF('Data Source'!AC935&gt;=2,"C",IF('Data Source'!AC935&gt;=1,"D","F")))))))</f>
        <v/>
      </c>
      <c r="L935" s="3">
        <f>IF('Data Source'!B935="","",IF('Data Source'!AD935&gt;=5,"A+",IF('Data Source'!AD935&gt;=4,"A",IF('Data Source'!AD935&gt;=3.5,"A-",IF('Data Source'!AD935&gt;=3,"B",IF('Data Source'!AD935&gt;=2,"C",IF('Data Source'!AD935&gt;=1,"D","F")))))))</f>
        <v/>
      </c>
      <c r="M935" s="3">
        <f>IF('Data Source'!B935="","",IF('Data Source'!AE935&gt;=5,"A+",IF('Data Source'!AE935&gt;=4,"A",IF('Data Source'!AE935&gt;=3.5,"A-",IF('Data Source'!AE935&gt;=3,"B",IF('Data Source'!AE935&gt;=2,"C",IF('Data Source'!AE935&gt;=1,"D","F")))))))</f>
        <v/>
      </c>
      <c r="N935" s="3">
        <f>IF('Data Source'!B935="","",IF('Data Source'!AF935&gt;=5,"A+",IF('Data Source'!AF935&gt;=4,"A",IF('Data Source'!AF935&gt;=3.5,"A-",IF('Data Source'!AF935&gt;=3,"B",IF('Data Source'!AF935&gt;=2,"C",IF('Data Source'!AF935&gt;=1,"D","F")))))))</f>
        <v/>
      </c>
      <c r="O935" s="3">
        <f>IF('Data Source'!B935="","",IF('Data Source'!AG935&gt;=5,"A+",IF('Data Source'!AG935&gt;=4,"A",IF('Data Source'!AG935&gt;=3.5,"A-",IF('Data Source'!AG935&gt;=3,"B",IF('Data Source'!AG935&gt;=2,"C",IF('Data Source'!AG935&gt;=1,"D","F")))))))</f>
        <v/>
      </c>
      <c r="P935" s="5">
        <f>IF('Data Source'!B935="","",'Data Source'!R935)</f>
        <v/>
      </c>
      <c r="Q935" s="3">
        <f>IF('Data Source'!B935="","",'Data Source'!S935)</f>
        <v/>
      </c>
    </row>
    <row r="936">
      <c r="A936" s="3">
        <f>IF('Data Source'!B936="","",'Data Source'!A936)</f>
        <v/>
      </c>
      <c r="B936">
        <f>IF('Data Source'!B936="","",'Data Source'!B936)</f>
        <v/>
      </c>
      <c r="C936" s="3">
        <f>IF('Data Source'!B936="","",IF('Data Source'!U936&gt;=5,"A+",IF('Data Source'!U936&gt;=4,"A",IF('Data Source'!U936&gt;=3.5,"A-",IF('Data Source'!U936&gt;=3,"B",IF('Data Source'!U936&gt;=2,"C",IF('Data Source'!U936&gt;=1,"D","F")))))))</f>
        <v/>
      </c>
      <c r="D936" s="3">
        <f>IF('Data Source'!B936="","",IF('Data Source'!V936&gt;=5,"A+",IF('Data Source'!V936&gt;=4,"A",IF('Data Source'!V936&gt;=3.5,"A-",IF('Data Source'!V936&gt;=3,"B",IF('Data Source'!V936&gt;=2,"C",IF('Data Source'!V936&gt;=1,"D","F")))))))</f>
        <v/>
      </c>
      <c r="E936" s="3">
        <f>IF('Data Source'!B936="","",IF('Data Source'!W936&gt;=5,"A+",IF('Data Source'!W936&gt;=4,"A",IF('Data Source'!W936&gt;=3.5,"A-",IF('Data Source'!W936&gt;=3,"B",IF('Data Source'!W936&gt;=2,"C",IF('Data Source'!W936&gt;=1,"D","F")))))))</f>
        <v/>
      </c>
      <c r="F936" s="3">
        <f>IF('Data Source'!B936="","",IF('Data Source'!X936&gt;=5,"A+",IF('Data Source'!X936&gt;=4,"A",IF('Data Source'!X936&gt;=3.5,"A-",IF('Data Source'!X936&gt;=3,"B",IF('Data Source'!X936&gt;=2,"C",IF('Data Source'!X936&gt;=1,"D","F")))))))</f>
        <v/>
      </c>
      <c r="G936" s="3">
        <f>IF('Data Source'!B936="","",IF('Data Source'!Y936&gt;=5,"A+",IF('Data Source'!Y936&gt;=4,"A",IF('Data Source'!Y936&gt;=3.5,"A-",IF('Data Source'!Y936&gt;=3,"B",IF('Data Source'!Y936&gt;=2,"C",IF('Data Source'!Y936&gt;=1,"D","F")))))))</f>
        <v/>
      </c>
      <c r="H936" s="3">
        <f>IF('Data Source'!B936="","",IF('Data Source'!Z936&gt;=5,"A+",IF('Data Source'!Z936&gt;=4,"A",IF('Data Source'!Z936&gt;=3.5,"A-",IF('Data Source'!Z936&gt;=3,"B",IF('Data Source'!Z936&gt;=2,"C",IF('Data Source'!Z936&gt;=1,"D","F")))))))</f>
        <v/>
      </c>
      <c r="I936" s="3">
        <f>IF('Data Source'!B936="","",IF('Data Source'!AA936&gt;=5,"A+",IF('Data Source'!AA936&gt;=4,"A",IF('Data Source'!AA936&gt;=3.5,"A-",IF('Data Source'!AA936&gt;=3,"B",IF('Data Source'!AA936&gt;=2,"C",IF('Data Source'!AA936&gt;=1,"D","F")))))))</f>
        <v/>
      </c>
      <c r="J936" s="3">
        <f>IF('Data Source'!B936="","",IF('Data Source'!AB936&gt;=5,"A+",IF('Data Source'!AB936&gt;=4,"A",IF('Data Source'!AB936&gt;=3.5,"A-",IF('Data Source'!AB936&gt;=3,"B",IF('Data Source'!AB936&gt;=2,"C",IF('Data Source'!AB936&gt;=1,"D","F")))))))</f>
        <v/>
      </c>
      <c r="K936" s="3">
        <f>IF('Data Source'!B936="","",IF('Data Source'!AC936&gt;=5,"A+",IF('Data Source'!AC936&gt;=4,"A",IF('Data Source'!AC936&gt;=3.5,"A-",IF('Data Source'!AC936&gt;=3,"B",IF('Data Source'!AC936&gt;=2,"C",IF('Data Source'!AC936&gt;=1,"D","F")))))))</f>
        <v/>
      </c>
      <c r="L936" s="3">
        <f>IF('Data Source'!B936="","",IF('Data Source'!AD936&gt;=5,"A+",IF('Data Source'!AD936&gt;=4,"A",IF('Data Source'!AD936&gt;=3.5,"A-",IF('Data Source'!AD936&gt;=3,"B",IF('Data Source'!AD936&gt;=2,"C",IF('Data Source'!AD936&gt;=1,"D","F")))))))</f>
        <v/>
      </c>
      <c r="M936" s="3">
        <f>IF('Data Source'!B936="","",IF('Data Source'!AE936&gt;=5,"A+",IF('Data Source'!AE936&gt;=4,"A",IF('Data Source'!AE936&gt;=3.5,"A-",IF('Data Source'!AE936&gt;=3,"B",IF('Data Source'!AE936&gt;=2,"C",IF('Data Source'!AE936&gt;=1,"D","F")))))))</f>
        <v/>
      </c>
      <c r="N936" s="3">
        <f>IF('Data Source'!B936="","",IF('Data Source'!AF936&gt;=5,"A+",IF('Data Source'!AF936&gt;=4,"A",IF('Data Source'!AF936&gt;=3.5,"A-",IF('Data Source'!AF936&gt;=3,"B",IF('Data Source'!AF936&gt;=2,"C",IF('Data Source'!AF936&gt;=1,"D","F")))))))</f>
        <v/>
      </c>
      <c r="O936" s="3">
        <f>IF('Data Source'!B936="","",IF('Data Source'!AG936&gt;=5,"A+",IF('Data Source'!AG936&gt;=4,"A",IF('Data Source'!AG936&gt;=3.5,"A-",IF('Data Source'!AG936&gt;=3,"B",IF('Data Source'!AG936&gt;=2,"C",IF('Data Source'!AG936&gt;=1,"D","F")))))))</f>
        <v/>
      </c>
      <c r="P936" s="5">
        <f>IF('Data Source'!B936="","",'Data Source'!R936)</f>
        <v/>
      </c>
      <c r="Q936" s="3">
        <f>IF('Data Source'!B936="","",'Data Source'!S936)</f>
        <v/>
      </c>
    </row>
    <row r="937">
      <c r="A937" s="3">
        <f>IF('Data Source'!B937="","",'Data Source'!A937)</f>
        <v/>
      </c>
      <c r="B937">
        <f>IF('Data Source'!B937="","",'Data Source'!B937)</f>
        <v/>
      </c>
      <c r="C937" s="3">
        <f>IF('Data Source'!B937="","",IF('Data Source'!U937&gt;=5,"A+",IF('Data Source'!U937&gt;=4,"A",IF('Data Source'!U937&gt;=3.5,"A-",IF('Data Source'!U937&gt;=3,"B",IF('Data Source'!U937&gt;=2,"C",IF('Data Source'!U937&gt;=1,"D","F")))))))</f>
        <v/>
      </c>
      <c r="D937" s="3">
        <f>IF('Data Source'!B937="","",IF('Data Source'!V937&gt;=5,"A+",IF('Data Source'!V937&gt;=4,"A",IF('Data Source'!V937&gt;=3.5,"A-",IF('Data Source'!V937&gt;=3,"B",IF('Data Source'!V937&gt;=2,"C",IF('Data Source'!V937&gt;=1,"D","F")))))))</f>
        <v/>
      </c>
      <c r="E937" s="3">
        <f>IF('Data Source'!B937="","",IF('Data Source'!W937&gt;=5,"A+",IF('Data Source'!W937&gt;=4,"A",IF('Data Source'!W937&gt;=3.5,"A-",IF('Data Source'!W937&gt;=3,"B",IF('Data Source'!W937&gt;=2,"C",IF('Data Source'!W937&gt;=1,"D","F")))))))</f>
        <v/>
      </c>
      <c r="F937" s="3">
        <f>IF('Data Source'!B937="","",IF('Data Source'!X937&gt;=5,"A+",IF('Data Source'!X937&gt;=4,"A",IF('Data Source'!X937&gt;=3.5,"A-",IF('Data Source'!X937&gt;=3,"B",IF('Data Source'!X937&gt;=2,"C",IF('Data Source'!X937&gt;=1,"D","F")))))))</f>
        <v/>
      </c>
      <c r="G937" s="3">
        <f>IF('Data Source'!B937="","",IF('Data Source'!Y937&gt;=5,"A+",IF('Data Source'!Y937&gt;=4,"A",IF('Data Source'!Y937&gt;=3.5,"A-",IF('Data Source'!Y937&gt;=3,"B",IF('Data Source'!Y937&gt;=2,"C",IF('Data Source'!Y937&gt;=1,"D","F")))))))</f>
        <v/>
      </c>
      <c r="H937" s="3">
        <f>IF('Data Source'!B937="","",IF('Data Source'!Z937&gt;=5,"A+",IF('Data Source'!Z937&gt;=4,"A",IF('Data Source'!Z937&gt;=3.5,"A-",IF('Data Source'!Z937&gt;=3,"B",IF('Data Source'!Z937&gt;=2,"C",IF('Data Source'!Z937&gt;=1,"D","F")))))))</f>
        <v/>
      </c>
      <c r="I937" s="3">
        <f>IF('Data Source'!B937="","",IF('Data Source'!AA937&gt;=5,"A+",IF('Data Source'!AA937&gt;=4,"A",IF('Data Source'!AA937&gt;=3.5,"A-",IF('Data Source'!AA937&gt;=3,"B",IF('Data Source'!AA937&gt;=2,"C",IF('Data Source'!AA937&gt;=1,"D","F")))))))</f>
        <v/>
      </c>
      <c r="J937" s="3">
        <f>IF('Data Source'!B937="","",IF('Data Source'!AB937&gt;=5,"A+",IF('Data Source'!AB937&gt;=4,"A",IF('Data Source'!AB937&gt;=3.5,"A-",IF('Data Source'!AB937&gt;=3,"B",IF('Data Source'!AB937&gt;=2,"C",IF('Data Source'!AB937&gt;=1,"D","F")))))))</f>
        <v/>
      </c>
      <c r="K937" s="3">
        <f>IF('Data Source'!B937="","",IF('Data Source'!AC937&gt;=5,"A+",IF('Data Source'!AC937&gt;=4,"A",IF('Data Source'!AC937&gt;=3.5,"A-",IF('Data Source'!AC937&gt;=3,"B",IF('Data Source'!AC937&gt;=2,"C",IF('Data Source'!AC937&gt;=1,"D","F")))))))</f>
        <v/>
      </c>
      <c r="L937" s="3">
        <f>IF('Data Source'!B937="","",IF('Data Source'!AD937&gt;=5,"A+",IF('Data Source'!AD937&gt;=4,"A",IF('Data Source'!AD937&gt;=3.5,"A-",IF('Data Source'!AD937&gt;=3,"B",IF('Data Source'!AD937&gt;=2,"C",IF('Data Source'!AD937&gt;=1,"D","F")))))))</f>
        <v/>
      </c>
      <c r="M937" s="3">
        <f>IF('Data Source'!B937="","",IF('Data Source'!AE937&gt;=5,"A+",IF('Data Source'!AE937&gt;=4,"A",IF('Data Source'!AE937&gt;=3.5,"A-",IF('Data Source'!AE937&gt;=3,"B",IF('Data Source'!AE937&gt;=2,"C",IF('Data Source'!AE937&gt;=1,"D","F")))))))</f>
        <v/>
      </c>
      <c r="N937" s="3">
        <f>IF('Data Source'!B937="","",IF('Data Source'!AF937&gt;=5,"A+",IF('Data Source'!AF937&gt;=4,"A",IF('Data Source'!AF937&gt;=3.5,"A-",IF('Data Source'!AF937&gt;=3,"B",IF('Data Source'!AF937&gt;=2,"C",IF('Data Source'!AF937&gt;=1,"D","F")))))))</f>
        <v/>
      </c>
      <c r="O937" s="3">
        <f>IF('Data Source'!B937="","",IF('Data Source'!AG937&gt;=5,"A+",IF('Data Source'!AG937&gt;=4,"A",IF('Data Source'!AG937&gt;=3.5,"A-",IF('Data Source'!AG937&gt;=3,"B",IF('Data Source'!AG937&gt;=2,"C",IF('Data Source'!AG937&gt;=1,"D","F")))))))</f>
        <v/>
      </c>
      <c r="P937" s="5">
        <f>IF('Data Source'!B937="","",'Data Source'!R937)</f>
        <v/>
      </c>
      <c r="Q937" s="3">
        <f>IF('Data Source'!B937="","",'Data Source'!S937)</f>
        <v/>
      </c>
    </row>
    <row r="938">
      <c r="A938" s="3">
        <f>IF('Data Source'!B938="","",'Data Source'!A938)</f>
        <v/>
      </c>
      <c r="B938">
        <f>IF('Data Source'!B938="","",'Data Source'!B938)</f>
        <v/>
      </c>
      <c r="C938" s="3">
        <f>IF('Data Source'!B938="","",IF('Data Source'!U938&gt;=5,"A+",IF('Data Source'!U938&gt;=4,"A",IF('Data Source'!U938&gt;=3.5,"A-",IF('Data Source'!U938&gt;=3,"B",IF('Data Source'!U938&gt;=2,"C",IF('Data Source'!U938&gt;=1,"D","F")))))))</f>
        <v/>
      </c>
      <c r="D938" s="3">
        <f>IF('Data Source'!B938="","",IF('Data Source'!V938&gt;=5,"A+",IF('Data Source'!V938&gt;=4,"A",IF('Data Source'!V938&gt;=3.5,"A-",IF('Data Source'!V938&gt;=3,"B",IF('Data Source'!V938&gt;=2,"C",IF('Data Source'!V938&gt;=1,"D","F")))))))</f>
        <v/>
      </c>
      <c r="E938" s="3">
        <f>IF('Data Source'!B938="","",IF('Data Source'!W938&gt;=5,"A+",IF('Data Source'!W938&gt;=4,"A",IF('Data Source'!W938&gt;=3.5,"A-",IF('Data Source'!W938&gt;=3,"B",IF('Data Source'!W938&gt;=2,"C",IF('Data Source'!W938&gt;=1,"D","F")))))))</f>
        <v/>
      </c>
      <c r="F938" s="3">
        <f>IF('Data Source'!B938="","",IF('Data Source'!X938&gt;=5,"A+",IF('Data Source'!X938&gt;=4,"A",IF('Data Source'!X938&gt;=3.5,"A-",IF('Data Source'!X938&gt;=3,"B",IF('Data Source'!X938&gt;=2,"C",IF('Data Source'!X938&gt;=1,"D","F")))))))</f>
        <v/>
      </c>
      <c r="G938" s="3">
        <f>IF('Data Source'!B938="","",IF('Data Source'!Y938&gt;=5,"A+",IF('Data Source'!Y938&gt;=4,"A",IF('Data Source'!Y938&gt;=3.5,"A-",IF('Data Source'!Y938&gt;=3,"B",IF('Data Source'!Y938&gt;=2,"C",IF('Data Source'!Y938&gt;=1,"D","F")))))))</f>
        <v/>
      </c>
      <c r="H938" s="3">
        <f>IF('Data Source'!B938="","",IF('Data Source'!Z938&gt;=5,"A+",IF('Data Source'!Z938&gt;=4,"A",IF('Data Source'!Z938&gt;=3.5,"A-",IF('Data Source'!Z938&gt;=3,"B",IF('Data Source'!Z938&gt;=2,"C",IF('Data Source'!Z938&gt;=1,"D","F")))))))</f>
        <v/>
      </c>
      <c r="I938" s="3">
        <f>IF('Data Source'!B938="","",IF('Data Source'!AA938&gt;=5,"A+",IF('Data Source'!AA938&gt;=4,"A",IF('Data Source'!AA938&gt;=3.5,"A-",IF('Data Source'!AA938&gt;=3,"B",IF('Data Source'!AA938&gt;=2,"C",IF('Data Source'!AA938&gt;=1,"D","F")))))))</f>
        <v/>
      </c>
      <c r="J938" s="3">
        <f>IF('Data Source'!B938="","",IF('Data Source'!AB938&gt;=5,"A+",IF('Data Source'!AB938&gt;=4,"A",IF('Data Source'!AB938&gt;=3.5,"A-",IF('Data Source'!AB938&gt;=3,"B",IF('Data Source'!AB938&gt;=2,"C",IF('Data Source'!AB938&gt;=1,"D","F")))))))</f>
        <v/>
      </c>
      <c r="K938" s="3">
        <f>IF('Data Source'!B938="","",IF('Data Source'!AC938&gt;=5,"A+",IF('Data Source'!AC938&gt;=4,"A",IF('Data Source'!AC938&gt;=3.5,"A-",IF('Data Source'!AC938&gt;=3,"B",IF('Data Source'!AC938&gt;=2,"C",IF('Data Source'!AC938&gt;=1,"D","F")))))))</f>
        <v/>
      </c>
      <c r="L938" s="3">
        <f>IF('Data Source'!B938="","",IF('Data Source'!AD938&gt;=5,"A+",IF('Data Source'!AD938&gt;=4,"A",IF('Data Source'!AD938&gt;=3.5,"A-",IF('Data Source'!AD938&gt;=3,"B",IF('Data Source'!AD938&gt;=2,"C",IF('Data Source'!AD938&gt;=1,"D","F")))))))</f>
        <v/>
      </c>
      <c r="M938" s="3">
        <f>IF('Data Source'!B938="","",IF('Data Source'!AE938&gt;=5,"A+",IF('Data Source'!AE938&gt;=4,"A",IF('Data Source'!AE938&gt;=3.5,"A-",IF('Data Source'!AE938&gt;=3,"B",IF('Data Source'!AE938&gt;=2,"C",IF('Data Source'!AE938&gt;=1,"D","F")))))))</f>
        <v/>
      </c>
      <c r="N938" s="3">
        <f>IF('Data Source'!B938="","",IF('Data Source'!AF938&gt;=5,"A+",IF('Data Source'!AF938&gt;=4,"A",IF('Data Source'!AF938&gt;=3.5,"A-",IF('Data Source'!AF938&gt;=3,"B",IF('Data Source'!AF938&gt;=2,"C",IF('Data Source'!AF938&gt;=1,"D","F")))))))</f>
        <v/>
      </c>
      <c r="O938" s="3">
        <f>IF('Data Source'!B938="","",IF('Data Source'!AG938&gt;=5,"A+",IF('Data Source'!AG938&gt;=4,"A",IF('Data Source'!AG938&gt;=3.5,"A-",IF('Data Source'!AG938&gt;=3,"B",IF('Data Source'!AG938&gt;=2,"C",IF('Data Source'!AG938&gt;=1,"D","F")))))))</f>
        <v/>
      </c>
      <c r="P938" s="5">
        <f>IF('Data Source'!B938="","",'Data Source'!R938)</f>
        <v/>
      </c>
      <c r="Q938" s="3">
        <f>IF('Data Source'!B938="","",'Data Source'!S938)</f>
        <v/>
      </c>
    </row>
    <row r="939">
      <c r="A939" s="3">
        <f>IF('Data Source'!B939="","",'Data Source'!A939)</f>
        <v/>
      </c>
      <c r="B939">
        <f>IF('Data Source'!B939="","",'Data Source'!B939)</f>
        <v/>
      </c>
      <c r="C939" s="3">
        <f>IF('Data Source'!B939="","",IF('Data Source'!U939&gt;=5,"A+",IF('Data Source'!U939&gt;=4,"A",IF('Data Source'!U939&gt;=3.5,"A-",IF('Data Source'!U939&gt;=3,"B",IF('Data Source'!U939&gt;=2,"C",IF('Data Source'!U939&gt;=1,"D","F")))))))</f>
        <v/>
      </c>
      <c r="D939" s="3">
        <f>IF('Data Source'!B939="","",IF('Data Source'!V939&gt;=5,"A+",IF('Data Source'!V939&gt;=4,"A",IF('Data Source'!V939&gt;=3.5,"A-",IF('Data Source'!V939&gt;=3,"B",IF('Data Source'!V939&gt;=2,"C",IF('Data Source'!V939&gt;=1,"D","F")))))))</f>
        <v/>
      </c>
      <c r="E939" s="3">
        <f>IF('Data Source'!B939="","",IF('Data Source'!W939&gt;=5,"A+",IF('Data Source'!W939&gt;=4,"A",IF('Data Source'!W939&gt;=3.5,"A-",IF('Data Source'!W939&gt;=3,"B",IF('Data Source'!W939&gt;=2,"C",IF('Data Source'!W939&gt;=1,"D","F")))))))</f>
        <v/>
      </c>
      <c r="F939" s="3">
        <f>IF('Data Source'!B939="","",IF('Data Source'!X939&gt;=5,"A+",IF('Data Source'!X939&gt;=4,"A",IF('Data Source'!X939&gt;=3.5,"A-",IF('Data Source'!X939&gt;=3,"B",IF('Data Source'!X939&gt;=2,"C",IF('Data Source'!X939&gt;=1,"D","F")))))))</f>
        <v/>
      </c>
      <c r="G939" s="3">
        <f>IF('Data Source'!B939="","",IF('Data Source'!Y939&gt;=5,"A+",IF('Data Source'!Y939&gt;=4,"A",IF('Data Source'!Y939&gt;=3.5,"A-",IF('Data Source'!Y939&gt;=3,"B",IF('Data Source'!Y939&gt;=2,"C",IF('Data Source'!Y939&gt;=1,"D","F")))))))</f>
        <v/>
      </c>
      <c r="H939" s="3">
        <f>IF('Data Source'!B939="","",IF('Data Source'!Z939&gt;=5,"A+",IF('Data Source'!Z939&gt;=4,"A",IF('Data Source'!Z939&gt;=3.5,"A-",IF('Data Source'!Z939&gt;=3,"B",IF('Data Source'!Z939&gt;=2,"C",IF('Data Source'!Z939&gt;=1,"D","F")))))))</f>
        <v/>
      </c>
      <c r="I939" s="3">
        <f>IF('Data Source'!B939="","",IF('Data Source'!AA939&gt;=5,"A+",IF('Data Source'!AA939&gt;=4,"A",IF('Data Source'!AA939&gt;=3.5,"A-",IF('Data Source'!AA939&gt;=3,"B",IF('Data Source'!AA939&gt;=2,"C",IF('Data Source'!AA939&gt;=1,"D","F")))))))</f>
        <v/>
      </c>
      <c r="J939" s="3">
        <f>IF('Data Source'!B939="","",IF('Data Source'!AB939&gt;=5,"A+",IF('Data Source'!AB939&gt;=4,"A",IF('Data Source'!AB939&gt;=3.5,"A-",IF('Data Source'!AB939&gt;=3,"B",IF('Data Source'!AB939&gt;=2,"C",IF('Data Source'!AB939&gt;=1,"D","F")))))))</f>
        <v/>
      </c>
      <c r="K939" s="3">
        <f>IF('Data Source'!B939="","",IF('Data Source'!AC939&gt;=5,"A+",IF('Data Source'!AC939&gt;=4,"A",IF('Data Source'!AC939&gt;=3.5,"A-",IF('Data Source'!AC939&gt;=3,"B",IF('Data Source'!AC939&gt;=2,"C",IF('Data Source'!AC939&gt;=1,"D","F")))))))</f>
        <v/>
      </c>
      <c r="L939" s="3">
        <f>IF('Data Source'!B939="","",IF('Data Source'!AD939&gt;=5,"A+",IF('Data Source'!AD939&gt;=4,"A",IF('Data Source'!AD939&gt;=3.5,"A-",IF('Data Source'!AD939&gt;=3,"B",IF('Data Source'!AD939&gt;=2,"C",IF('Data Source'!AD939&gt;=1,"D","F")))))))</f>
        <v/>
      </c>
      <c r="M939" s="3">
        <f>IF('Data Source'!B939="","",IF('Data Source'!AE939&gt;=5,"A+",IF('Data Source'!AE939&gt;=4,"A",IF('Data Source'!AE939&gt;=3.5,"A-",IF('Data Source'!AE939&gt;=3,"B",IF('Data Source'!AE939&gt;=2,"C",IF('Data Source'!AE939&gt;=1,"D","F")))))))</f>
        <v/>
      </c>
      <c r="N939" s="3">
        <f>IF('Data Source'!B939="","",IF('Data Source'!AF939&gt;=5,"A+",IF('Data Source'!AF939&gt;=4,"A",IF('Data Source'!AF939&gt;=3.5,"A-",IF('Data Source'!AF939&gt;=3,"B",IF('Data Source'!AF939&gt;=2,"C",IF('Data Source'!AF939&gt;=1,"D","F")))))))</f>
        <v/>
      </c>
      <c r="O939" s="3">
        <f>IF('Data Source'!B939="","",IF('Data Source'!AG939&gt;=5,"A+",IF('Data Source'!AG939&gt;=4,"A",IF('Data Source'!AG939&gt;=3.5,"A-",IF('Data Source'!AG939&gt;=3,"B",IF('Data Source'!AG939&gt;=2,"C",IF('Data Source'!AG939&gt;=1,"D","F")))))))</f>
        <v/>
      </c>
      <c r="P939" s="5">
        <f>IF('Data Source'!B939="","",'Data Source'!R939)</f>
        <v/>
      </c>
      <c r="Q939" s="3">
        <f>IF('Data Source'!B939="","",'Data Source'!S939)</f>
        <v/>
      </c>
    </row>
    <row r="940">
      <c r="A940" s="3">
        <f>IF('Data Source'!B940="","",'Data Source'!A940)</f>
        <v/>
      </c>
      <c r="B940">
        <f>IF('Data Source'!B940="","",'Data Source'!B940)</f>
        <v/>
      </c>
      <c r="C940" s="3">
        <f>IF('Data Source'!B940="","",IF('Data Source'!U940&gt;=5,"A+",IF('Data Source'!U940&gt;=4,"A",IF('Data Source'!U940&gt;=3.5,"A-",IF('Data Source'!U940&gt;=3,"B",IF('Data Source'!U940&gt;=2,"C",IF('Data Source'!U940&gt;=1,"D","F")))))))</f>
        <v/>
      </c>
      <c r="D940" s="3">
        <f>IF('Data Source'!B940="","",IF('Data Source'!V940&gt;=5,"A+",IF('Data Source'!V940&gt;=4,"A",IF('Data Source'!V940&gt;=3.5,"A-",IF('Data Source'!V940&gt;=3,"B",IF('Data Source'!V940&gt;=2,"C",IF('Data Source'!V940&gt;=1,"D","F")))))))</f>
        <v/>
      </c>
      <c r="E940" s="3">
        <f>IF('Data Source'!B940="","",IF('Data Source'!W940&gt;=5,"A+",IF('Data Source'!W940&gt;=4,"A",IF('Data Source'!W940&gt;=3.5,"A-",IF('Data Source'!W940&gt;=3,"B",IF('Data Source'!W940&gt;=2,"C",IF('Data Source'!W940&gt;=1,"D","F")))))))</f>
        <v/>
      </c>
      <c r="F940" s="3">
        <f>IF('Data Source'!B940="","",IF('Data Source'!X940&gt;=5,"A+",IF('Data Source'!X940&gt;=4,"A",IF('Data Source'!X940&gt;=3.5,"A-",IF('Data Source'!X940&gt;=3,"B",IF('Data Source'!X940&gt;=2,"C",IF('Data Source'!X940&gt;=1,"D","F")))))))</f>
        <v/>
      </c>
      <c r="G940" s="3">
        <f>IF('Data Source'!B940="","",IF('Data Source'!Y940&gt;=5,"A+",IF('Data Source'!Y940&gt;=4,"A",IF('Data Source'!Y940&gt;=3.5,"A-",IF('Data Source'!Y940&gt;=3,"B",IF('Data Source'!Y940&gt;=2,"C",IF('Data Source'!Y940&gt;=1,"D","F")))))))</f>
        <v/>
      </c>
      <c r="H940" s="3">
        <f>IF('Data Source'!B940="","",IF('Data Source'!Z940&gt;=5,"A+",IF('Data Source'!Z940&gt;=4,"A",IF('Data Source'!Z940&gt;=3.5,"A-",IF('Data Source'!Z940&gt;=3,"B",IF('Data Source'!Z940&gt;=2,"C",IF('Data Source'!Z940&gt;=1,"D","F")))))))</f>
        <v/>
      </c>
      <c r="I940" s="3">
        <f>IF('Data Source'!B940="","",IF('Data Source'!AA940&gt;=5,"A+",IF('Data Source'!AA940&gt;=4,"A",IF('Data Source'!AA940&gt;=3.5,"A-",IF('Data Source'!AA940&gt;=3,"B",IF('Data Source'!AA940&gt;=2,"C",IF('Data Source'!AA940&gt;=1,"D","F")))))))</f>
        <v/>
      </c>
      <c r="J940" s="3">
        <f>IF('Data Source'!B940="","",IF('Data Source'!AB940&gt;=5,"A+",IF('Data Source'!AB940&gt;=4,"A",IF('Data Source'!AB940&gt;=3.5,"A-",IF('Data Source'!AB940&gt;=3,"B",IF('Data Source'!AB940&gt;=2,"C",IF('Data Source'!AB940&gt;=1,"D","F")))))))</f>
        <v/>
      </c>
      <c r="K940" s="3">
        <f>IF('Data Source'!B940="","",IF('Data Source'!AC940&gt;=5,"A+",IF('Data Source'!AC940&gt;=4,"A",IF('Data Source'!AC940&gt;=3.5,"A-",IF('Data Source'!AC940&gt;=3,"B",IF('Data Source'!AC940&gt;=2,"C",IF('Data Source'!AC940&gt;=1,"D","F")))))))</f>
        <v/>
      </c>
      <c r="L940" s="3">
        <f>IF('Data Source'!B940="","",IF('Data Source'!AD940&gt;=5,"A+",IF('Data Source'!AD940&gt;=4,"A",IF('Data Source'!AD940&gt;=3.5,"A-",IF('Data Source'!AD940&gt;=3,"B",IF('Data Source'!AD940&gt;=2,"C",IF('Data Source'!AD940&gt;=1,"D","F")))))))</f>
        <v/>
      </c>
      <c r="M940" s="3">
        <f>IF('Data Source'!B940="","",IF('Data Source'!AE940&gt;=5,"A+",IF('Data Source'!AE940&gt;=4,"A",IF('Data Source'!AE940&gt;=3.5,"A-",IF('Data Source'!AE940&gt;=3,"B",IF('Data Source'!AE940&gt;=2,"C",IF('Data Source'!AE940&gt;=1,"D","F")))))))</f>
        <v/>
      </c>
      <c r="N940" s="3">
        <f>IF('Data Source'!B940="","",IF('Data Source'!AF940&gt;=5,"A+",IF('Data Source'!AF940&gt;=4,"A",IF('Data Source'!AF940&gt;=3.5,"A-",IF('Data Source'!AF940&gt;=3,"B",IF('Data Source'!AF940&gt;=2,"C",IF('Data Source'!AF940&gt;=1,"D","F")))))))</f>
        <v/>
      </c>
      <c r="O940" s="3">
        <f>IF('Data Source'!B940="","",IF('Data Source'!AG940&gt;=5,"A+",IF('Data Source'!AG940&gt;=4,"A",IF('Data Source'!AG940&gt;=3.5,"A-",IF('Data Source'!AG940&gt;=3,"B",IF('Data Source'!AG940&gt;=2,"C",IF('Data Source'!AG940&gt;=1,"D","F")))))))</f>
        <v/>
      </c>
      <c r="P940" s="5">
        <f>IF('Data Source'!B940="","",'Data Source'!R940)</f>
        <v/>
      </c>
      <c r="Q940" s="3">
        <f>IF('Data Source'!B940="","",'Data Source'!S940)</f>
        <v/>
      </c>
    </row>
    <row r="941">
      <c r="A941" s="3">
        <f>IF('Data Source'!B941="","",'Data Source'!A941)</f>
        <v/>
      </c>
      <c r="B941">
        <f>IF('Data Source'!B941="","",'Data Source'!B941)</f>
        <v/>
      </c>
      <c r="C941" s="3">
        <f>IF('Data Source'!B941="","",IF('Data Source'!U941&gt;=5,"A+",IF('Data Source'!U941&gt;=4,"A",IF('Data Source'!U941&gt;=3.5,"A-",IF('Data Source'!U941&gt;=3,"B",IF('Data Source'!U941&gt;=2,"C",IF('Data Source'!U941&gt;=1,"D","F")))))))</f>
        <v/>
      </c>
      <c r="D941" s="3">
        <f>IF('Data Source'!B941="","",IF('Data Source'!V941&gt;=5,"A+",IF('Data Source'!V941&gt;=4,"A",IF('Data Source'!V941&gt;=3.5,"A-",IF('Data Source'!V941&gt;=3,"B",IF('Data Source'!V941&gt;=2,"C",IF('Data Source'!V941&gt;=1,"D","F")))))))</f>
        <v/>
      </c>
      <c r="E941" s="3">
        <f>IF('Data Source'!B941="","",IF('Data Source'!W941&gt;=5,"A+",IF('Data Source'!W941&gt;=4,"A",IF('Data Source'!W941&gt;=3.5,"A-",IF('Data Source'!W941&gt;=3,"B",IF('Data Source'!W941&gt;=2,"C",IF('Data Source'!W941&gt;=1,"D","F")))))))</f>
        <v/>
      </c>
      <c r="F941" s="3">
        <f>IF('Data Source'!B941="","",IF('Data Source'!X941&gt;=5,"A+",IF('Data Source'!X941&gt;=4,"A",IF('Data Source'!X941&gt;=3.5,"A-",IF('Data Source'!X941&gt;=3,"B",IF('Data Source'!X941&gt;=2,"C",IF('Data Source'!X941&gt;=1,"D","F")))))))</f>
        <v/>
      </c>
      <c r="G941" s="3">
        <f>IF('Data Source'!B941="","",IF('Data Source'!Y941&gt;=5,"A+",IF('Data Source'!Y941&gt;=4,"A",IF('Data Source'!Y941&gt;=3.5,"A-",IF('Data Source'!Y941&gt;=3,"B",IF('Data Source'!Y941&gt;=2,"C",IF('Data Source'!Y941&gt;=1,"D","F")))))))</f>
        <v/>
      </c>
      <c r="H941" s="3">
        <f>IF('Data Source'!B941="","",IF('Data Source'!Z941&gt;=5,"A+",IF('Data Source'!Z941&gt;=4,"A",IF('Data Source'!Z941&gt;=3.5,"A-",IF('Data Source'!Z941&gt;=3,"B",IF('Data Source'!Z941&gt;=2,"C",IF('Data Source'!Z941&gt;=1,"D","F")))))))</f>
        <v/>
      </c>
      <c r="I941" s="3">
        <f>IF('Data Source'!B941="","",IF('Data Source'!AA941&gt;=5,"A+",IF('Data Source'!AA941&gt;=4,"A",IF('Data Source'!AA941&gt;=3.5,"A-",IF('Data Source'!AA941&gt;=3,"B",IF('Data Source'!AA941&gt;=2,"C",IF('Data Source'!AA941&gt;=1,"D","F")))))))</f>
        <v/>
      </c>
      <c r="J941" s="3">
        <f>IF('Data Source'!B941="","",IF('Data Source'!AB941&gt;=5,"A+",IF('Data Source'!AB941&gt;=4,"A",IF('Data Source'!AB941&gt;=3.5,"A-",IF('Data Source'!AB941&gt;=3,"B",IF('Data Source'!AB941&gt;=2,"C",IF('Data Source'!AB941&gt;=1,"D","F")))))))</f>
        <v/>
      </c>
      <c r="K941" s="3">
        <f>IF('Data Source'!B941="","",IF('Data Source'!AC941&gt;=5,"A+",IF('Data Source'!AC941&gt;=4,"A",IF('Data Source'!AC941&gt;=3.5,"A-",IF('Data Source'!AC941&gt;=3,"B",IF('Data Source'!AC941&gt;=2,"C",IF('Data Source'!AC941&gt;=1,"D","F")))))))</f>
        <v/>
      </c>
      <c r="L941" s="3">
        <f>IF('Data Source'!B941="","",IF('Data Source'!AD941&gt;=5,"A+",IF('Data Source'!AD941&gt;=4,"A",IF('Data Source'!AD941&gt;=3.5,"A-",IF('Data Source'!AD941&gt;=3,"B",IF('Data Source'!AD941&gt;=2,"C",IF('Data Source'!AD941&gt;=1,"D","F")))))))</f>
        <v/>
      </c>
      <c r="M941" s="3">
        <f>IF('Data Source'!B941="","",IF('Data Source'!AE941&gt;=5,"A+",IF('Data Source'!AE941&gt;=4,"A",IF('Data Source'!AE941&gt;=3.5,"A-",IF('Data Source'!AE941&gt;=3,"B",IF('Data Source'!AE941&gt;=2,"C",IF('Data Source'!AE941&gt;=1,"D","F")))))))</f>
        <v/>
      </c>
      <c r="N941" s="3">
        <f>IF('Data Source'!B941="","",IF('Data Source'!AF941&gt;=5,"A+",IF('Data Source'!AF941&gt;=4,"A",IF('Data Source'!AF941&gt;=3.5,"A-",IF('Data Source'!AF941&gt;=3,"B",IF('Data Source'!AF941&gt;=2,"C",IF('Data Source'!AF941&gt;=1,"D","F")))))))</f>
        <v/>
      </c>
      <c r="O941" s="3">
        <f>IF('Data Source'!B941="","",IF('Data Source'!AG941&gt;=5,"A+",IF('Data Source'!AG941&gt;=4,"A",IF('Data Source'!AG941&gt;=3.5,"A-",IF('Data Source'!AG941&gt;=3,"B",IF('Data Source'!AG941&gt;=2,"C",IF('Data Source'!AG941&gt;=1,"D","F")))))))</f>
        <v/>
      </c>
      <c r="P941" s="5">
        <f>IF('Data Source'!B941="","",'Data Source'!R941)</f>
        <v/>
      </c>
      <c r="Q941" s="3">
        <f>IF('Data Source'!B941="","",'Data Source'!S941)</f>
        <v/>
      </c>
    </row>
    <row r="942">
      <c r="A942" s="3">
        <f>IF('Data Source'!B942="","",'Data Source'!A942)</f>
        <v/>
      </c>
      <c r="B942">
        <f>IF('Data Source'!B942="","",'Data Source'!B942)</f>
        <v/>
      </c>
      <c r="C942" s="3">
        <f>IF('Data Source'!B942="","",IF('Data Source'!U942&gt;=5,"A+",IF('Data Source'!U942&gt;=4,"A",IF('Data Source'!U942&gt;=3.5,"A-",IF('Data Source'!U942&gt;=3,"B",IF('Data Source'!U942&gt;=2,"C",IF('Data Source'!U942&gt;=1,"D","F")))))))</f>
        <v/>
      </c>
      <c r="D942" s="3">
        <f>IF('Data Source'!B942="","",IF('Data Source'!V942&gt;=5,"A+",IF('Data Source'!V942&gt;=4,"A",IF('Data Source'!V942&gt;=3.5,"A-",IF('Data Source'!V942&gt;=3,"B",IF('Data Source'!V942&gt;=2,"C",IF('Data Source'!V942&gt;=1,"D","F")))))))</f>
        <v/>
      </c>
      <c r="E942" s="3">
        <f>IF('Data Source'!B942="","",IF('Data Source'!W942&gt;=5,"A+",IF('Data Source'!W942&gt;=4,"A",IF('Data Source'!W942&gt;=3.5,"A-",IF('Data Source'!W942&gt;=3,"B",IF('Data Source'!W942&gt;=2,"C",IF('Data Source'!W942&gt;=1,"D","F")))))))</f>
        <v/>
      </c>
      <c r="F942" s="3">
        <f>IF('Data Source'!B942="","",IF('Data Source'!X942&gt;=5,"A+",IF('Data Source'!X942&gt;=4,"A",IF('Data Source'!X942&gt;=3.5,"A-",IF('Data Source'!X942&gt;=3,"B",IF('Data Source'!X942&gt;=2,"C",IF('Data Source'!X942&gt;=1,"D","F")))))))</f>
        <v/>
      </c>
      <c r="G942" s="3">
        <f>IF('Data Source'!B942="","",IF('Data Source'!Y942&gt;=5,"A+",IF('Data Source'!Y942&gt;=4,"A",IF('Data Source'!Y942&gt;=3.5,"A-",IF('Data Source'!Y942&gt;=3,"B",IF('Data Source'!Y942&gt;=2,"C",IF('Data Source'!Y942&gt;=1,"D","F")))))))</f>
        <v/>
      </c>
      <c r="H942" s="3">
        <f>IF('Data Source'!B942="","",IF('Data Source'!Z942&gt;=5,"A+",IF('Data Source'!Z942&gt;=4,"A",IF('Data Source'!Z942&gt;=3.5,"A-",IF('Data Source'!Z942&gt;=3,"B",IF('Data Source'!Z942&gt;=2,"C",IF('Data Source'!Z942&gt;=1,"D","F")))))))</f>
        <v/>
      </c>
      <c r="I942" s="3">
        <f>IF('Data Source'!B942="","",IF('Data Source'!AA942&gt;=5,"A+",IF('Data Source'!AA942&gt;=4,"A",IF('Data Source'!AA942&gt;=3.5,"A-",IF('Data Source'!AA942&gt;=3,"B",IF('Data Source'!AA942&gt;=2,"C",IF('Data Source'!AA942&gt;=1,"D","F")))))))</f>
        <v/>
      </c>
      <c r="J942" s="3">
        <f>IF('Data Source'!B942="","",IF('Data Source'!AB942&gt;=5,"A+",IF('Data Source'!AB942&gt;=4,"A",IF('Data Source'!AB942&gt;=3.5,"A-",IF('Data Source'!AB942&gt;=3,"B",IF('Data Source'!AB942&gt;=2,"C",IF('Data Source'!AB942&gt;=1,"D","F")))))))</f>
        <v/>
      </c>
      <c r="K942" s="3">
        <f>IF('Data Source'!B942="","",IF('Data Source'!AC942&gt;=5,"A+",IF('Data Source'!AC942&gt;=4,"A",IF('Data Source'!AC942&gt;=3.5,"A-",IF('Data Source'!AC942&gt;=3,"B",IF('Data Source'!AC942&gt;=2,"C",IF('Data Source'!AC942&gt;=1,"D","F")))))))</f>
        <v/>
      </c>
      <c r="L942" s="3">
        <f>IF('Data Source'!B942="","",IF('Data Source'!AD942&gt;=5,"A+",IF('Data Source'!AD942&gt;=4,"A",IF('Data Source'!AD942&gt;=3.5,"A-",IF('Data Source'!AD942&gt;=3,"B",IF('Data Source'!AD942&gt;=2,"C",IF('Data Source'!AD942&gt;=1,"D","F")))))))</f>
        <v/>
      </c>
      <c r="M942" s="3">
        <f>IF('Data Source'!B942="","",IF('Data Source'!AE942&gt;=5,"A+",IF('Data Source'!AE942&gt;=4,"A",IF('Data Source'!AE942&gt;=3.5,"A-",IF('Data Source'!AE942&gt;=3,"B",IF('Data Source'!AE942&gt;=2,"C",IF('Data Source'!AE942&gt;=1,"D","F")))))))</f>
        <v/>
      </c>
      <c r="N942" s="3">
        <f>IF('Data Source'!B942="","",IF('Data Source'!AF942&gt;=5,"A+",IF('Data Source'!AF942&gt;=4,"A",IF('Data Source'!AF942&gt;=3.5,"A-",IF('Data Source'!AF942&gt;=3,"B",IF('Data Source'!AF942&gt;=2,"C",IF('Data Source'!AF942&gt;=1,"D","F")))))))</f>
        <v/>
      </c>
      <c r="O942" s="3">
        <f>IF('Data Source'!B942="","",IF('Data Source'!AG942&gt;=5,"A+",IF('Data Source'!AG942&gt;=4,"A",IF('Data Source'!AG942&gt;=3.5,"A-",IF('Data Source'!AG942&gt;=3,"B",IF('Data Source'!AG942&gt;=2,"C",IF('Data Source'!AG942&gt;=1,"D","F")))))))</f>
        <v/>
      </c>
      <c r="P942" s="5">
        <f>IF('Data Source'!B942="","",'Data Source'!R942)</f>
        <v/>
      </c>
      <c r="Q942" s="3">
        <f>IF('Data Source'!B942="","",'Data Source'!S942)</f>
        <v/>
      </c>
    </row>
    <row r="943">
      <c r="A943" s="3">
        <f>IF('Data Source'!B943="","",'Data Source'!A943)</f>
        <v/>
      </c>
      <c r="B943">
        <f>IF('Data Source'!B943="","",'Data Source'!B943)</f>
        <v/>
      </c>
      <c r="C943" s="3">
        <f>IF('Data Source'!B943="","",IF('Data Source'!U943&gt;=5,"A+",IF('Data Source'!U943&gt;=4,"A",IF('Data Source'!U943&gt;=3.5,"A-",IF('Data Source'!U943&gt;=3,"B",IF('Data Source'!U943&gt;=2,"C",IF('Data Source'!U943&gt;=1,"D","F")))))))</f>
        <v/>
      </c>
      <c r="D943" s="3">
        <f>IF('Data Source'!B943="","",IF('Data Source'!V943&gt;=5,"A+",IF('Data Source'!V943&gt;=4,"A",IF('Data Source'!V943&gt;=3.5,"A-",IF('Data Source'!V943&gt;=3,"B",IF('Data Source'!V943&gt;=2,"C",IF('Data Source'!V943&gt;=1,"D","F")))))))</f>
        <v/>
      </c>
      <c r="E943" s="3">
        <f>IF('Data Source'!B943="","",IF('Data Source'!W943&gt;=5,"A+",IF('Data Source'!W943&gt;=4,"A",IF('Data Source'!W943&gt;=3.5,"A-",IF('Data Source'!W943&gt;=3,"B",IF('Data Source'!W943&gt;=2,"C",IF('Data Source'!W943&gt;=1,"D","F")))))))</f>
        <v/>
      </c>
      <c r="F943" s="3">
        <f>IF('Data Source'!B943="","",IF('Data Source'!X943&gt;=5,"A+",IF('Data Source'!X943&gt;=4,"A",IF('Data Source'!X943&gt;=3.5,"A-",IF('Data Source'!X943&gt;=3,"B",IF('Data Source'!X943&gt;=2,"C",IF('Data Source'!X943&gt;=1,"D","F")))))))</f>
        <v/>
      </c>
      <c r="G943" s="3">
        <f>IF('Data Source'!B943="","",IF('Data Source'!Y943&gt;=5,"A+",IF('Data Source'!Y943&gt;=4,"A",IF('Data Source'!Y943&gt;=3.5,"A-",IF('Data Source'!Y943&gt;=3,"B",IF('Data Source'!Y943&gt;=2,"C",IF('Data Source'!Y943&gt;=1,"D","F")))))))</f>
        <v/>
      </c>
      <c r="H943" s="3">
        <f>IF('Data Source'!B943="","",IF('Data Source'!Z943&gt;=5,"A+",IF('Data Source'!Z943&gt;=4,"A",IF('Data Source'!Z943&gt;=3.5,"A-",IF('Data Source'!Z943&gt;=3,"B",IF('Data Source'!Z943&gt;=2,"C",IF('Data Source'!Z943&gt;=1,"D","F")))))))</f>
        <v/>
      </c>
      <c r="I943" s="3">
        <f>IF('Data Source'!B943="","",IF('Data Source'!AA943&gt;=5,"A+",IF('Data Source'!AA943&gt;=4,"A",IF('Data Source'!AA943&gt;=3.5,"A-",IF('Data Source'!AA943&gt;=3,"B",IF('Data Source'!AA943&gt;=2,"C",IF('Data Source'!AA943&gt;=1,"D","F")))))))</f>
        <v/>
      </c>
      <c r="J943" s="3">
        <f>IF('Data Source'!B943="","",IF('Data Source'!AB943&gt;=5,"A+",IF('Data Source'!AB943&gt;=4,"A",IF('Data Source'!AB943&gt;=3.5,"A-",IF('Data Source'!AB943&gt;=3,"B",IF('Data Source'!AB943&gt;=2,"C",IF('Data Source'!AB943&gt;=1,"D","F")))))))</f>
        <v/>
      </c>
      <c r="K943" s="3">
        <f>IF('Data Source'!B943="","",IF('Data Source'!AC943&gt;=5,"A+",IF('Data Source'!AC943&gt;=4,"A",IF('Data Source'!AC943&gt;=3.5,"A-",IF('Data Source'!AC943&gt;=3,"B",IF('Data Source'!AC943&gt;=2,"C",IF('Data Source'!AC943&gt;=1,"D","F")))))))</f>
        <v/>
      </c>
      <c r="L943" s="3">
        <f>IF('Data Source'!B943="","",IF('Data Source'!AD943&gt;=5,"A+",IF('Data Source'!AD943&gt;=4,"A",IF('Data Source'!AD943&gt;=3.5,"A-",IF('Data Source'!AD943&gt;=3,"B",IF('Data Source'!AD943&gt;=2,"C",IF('Data Source'!AD943&gt;=1,"D","F")))))))</f>
        <v/>
      </c>
      <c r="M943" s="3">
        <f>IF('Data Source'!B943="","",IF('Data Source'!AE943&gt;=5,"A+",IF('Data Source'!AE943&gt;=4,"A",IF('Data Source'!AE943&gt;=3.5,"A-",IF('Data Source'!AE943&gt;=3,"B",IF('Data Source'!AE943&gt;=2,"C",IF('Data Source'!AE943&gt;=1,"D","F")))))))</f>
        <v/>
      </c>
      <c r="N943" s="3">
        <f>IF('Data Source'!B943="","",IF('Data Source'!AF943&gt;=5,"A+",IF('Data Source'!AF943&gt;=4,"A",IF('Data Source'!AF943&gt;=3.5,"A-",IF('Data Source'!AF943&gt;=3,"B",IF('Data Source'!AF943&gt;=2,"C",IF('Data Source'!AF943&gt;=1,"D","F")))))))</f>
        <v/>
      </c>
      <c r="O943" s="3">
        <f>IF('Data Source'!B943="","",IF('Data Source'!AG943&gt;=5,"A+",IF('Data Source'!AG943&gt;=4,"A",IF('Data Source'!AG943&gt;=3.5,"A-",IF('Data Source'!AG943&gt;=3,"B",IF('Data Source'!AG943&gt;=2,"C",IF('Data Source'!AG943&gt;=1,"D","F")))))))</f>
        <v/>
      </c>
      <c r="P943" s="5">
        <f>IF('Data Source'!B943="","",'Data Source'!R943)</f>
        <v/>
      </c>
      <c r="Q943" s="3">
        <f>IF('Data Source'!B943="","",'Data Source'!S943)</f>
        <v/>
      </c>
    </row>
    <row r="944">
      <c r="A944" s="3">
        <f>IF('Data Source'!B944="","",'Data Source'!A944)</f>
        <v/>
      </c>
      <c r="B944">
        <f>IF('Data Source'!B944="","",'Data Source'!B944)</f>
        <v/>
      </c>
      <c r="C944" s="3">
        <f>IF('Data Source'!B944="","",IF('Data Source'!U944&gt;=5,"A+",IF('Data Source'!U944&gt;=4,"A",IF('Data Source'!U944&gt;=3.5,"A-",IF('Data Source'!U944&gt;=3,"B",IF('Data Source'!U944&gt;=2,"C",IF('Data Source'!U944&gt;=1,"D","F")))))))</f>
        <v/>
      </c>
      <c r="D944" s="3">
        <f>IF('Data Source'!B944="","",IF('Data Source'!V944&gt;=5,"A+",IF('Data Source'!V944&gt;=4,"A",IF('Data Source'!V944&gt;=3.5,"A-",IF('Data Source'!V944&gt;=3,"B",IF('Data Source'!V944&gt;=2,"C",IF('Data Source'!V944&gt;=1,"D","F")))))))</f>
        <v/>
      </c>
      <c r="E944" s="3">
        <f>IF('Data Source'!B944="","",IF('Data Source'!W944&gt;=5,"A+",IF('Data Source'!W944&gt;=4,"A",IF('Data Source'!W944&gt;=3.5,"A-",IF('Data Source'!W944&gt;=3,"B",IF('Data Source'!W944&gt;=2,"C",IF('Data Source'!W944&gt;=1,"D","F")))))))</f>
        <v/>
      </c>
      <c r="F944" s="3">
        <f>IF('Data Source'!B944="","",IF('Data Source'!X944&gt;=5,"A+",IF('Data Source'!X944&gt;=4,"A",IF('Data Source'!X944&gt;=3.5,"A-",IF('Data Source'!X944&gt;=3,"B",IF('Data Source'!X944&gt;=2,"C",IF('Data Source'!X944&gt;=1,"D","F")))))))</f>
        <v/>
      </c>
      <c r="G944" s="3">
        <f>IF('Data Source'!B944="","",IF('Data Source'!Y944&gt;=5,"A+",IF('Data Source'!Y944&gt;=4,"A",IF('Data Source'!Y944&gt;=3.5,"A-",IF('Data Source'!Y944&gt;=3,"B",IF('Data Source'!Y944&gt;=2,"C",IF('Data Source'!Y944&gt;=1,"D","F")))))))</f>
        <v/>
      </c>
      <c r="H944" s="3">
        <f>IF('Data Source'!B944="","",IF('Data Source'!Z944&gt;=5,"A+",IF('Data Source'!Z944&gt;=4,"A",IF('Data Source'!Z944&gt;=3.5,"A-",IF('Data Source'!Z944&gt;=3,"B",IF('Data Source'!Z944&gt;=2,"C",IF('Data Source'!Z944&gt;=1,"D","F")))))))</f>
        <v/>
      </c>
      <c r="I944" s="3">
        <f>IF('Data Source'!B944="","",IF('Data Source'!AA944&gt;=5,"A+",IF('Data Source'!AA944&gt;=4,"A",IF('Data Source'!AA944&gt;=3.5,"A-",IF('Data Source'!AA944&gt;=3,"B",IF('Data Source'!AA944&gt;=2,"C",IF('Data Source'!AA944&gt;=1,"D","F")))))))</f>
        <v/>
      </c>
      <c r="J944" s="3">
        <f>IF('Data Source'!B944="","",IF('Data Source'!AB944&gt;=5,"A+",IF('Data Source'!AB944&gt;=4,"A",IF('Data Source'!AB944&gt;=3.5,"A-",IF('Data Source'!AB944&gt;=3,"B",IF('Data Source'!AB944&gt;=2,"C",IF('Data Source'!AB944&gt;=1,"D","F")))))))</f>
        <v/>
      </c>
      <c r="K944" s="3">
        <f>IF('Data Source'!B944="","",IF('Data Source'!AC944&gt;=5,"A+",IF('Data Source'!AC944&gt;=4,"A",IF('Data Source'!AC944&gt;=3.5,"A-",IF('Data Source'!AC944&gt;=3,"B",IF('Data Source'!AC944&gt;=2,"C",IF('Data Source'!AC944&gt;=1,"D","F")))))))</f>
        <v/>
      </c>
      <c r="L944" s="3">
        <f>IF('Data Source'!B944="","",IF('Data Source'!AD944&gt;=5,"A+",IF('Data Source'!AD944&gt;=4,"A",IF('Data Source'!AD944&gt;=3.5,"A-",IF('Data Source'!AD944&gt;=3,"B",IF('Data Source'!AD944&gt;=2,"C",IF('Data Source'!AD944&gt;=1,"D","F")))))))</f>
        <v/>
      </c>
      <c r="M944" s="3">
        <f>IF('Data Source'!B944="","",IF('Data Source'!AE944&gt;=5,"A+",IF('Data Source'!AE944&gt;=4,"A",IF('Data Source'!AE944&gt;=3.5,"A-",IF('Data Source'!AE944&gt;=3,"B",IF('Data Source'!AE944&gt;=2,"C",IF('Data Source'!AE944&gt;=1,"D","F")))))))</f>
        <v/>
      </c>
      <c r="N944" s="3">
        <f>IF('Data Source'!B944="","",IF('Data Source'!AF944&gt;=5,"A+",IF('Data Source'!AF944&gt;=4,"A",IF('Data Source'!AF944&gt;=3.5,"A-",IF('Data Source'!AF944&gt;=3,"B",IF('Data Source'!AF944&gt;=2,"C",IF('Data Source'!AF944&gt;=1,"D","F")))))))</f>
        <v/>
      </c>
      <c r="O944" s="3">
        <f>IF('Data Source'!B944="","",IF('Data Source'!AG944&gt;=5,"A+",IF('Data Source'!AG944&gt;=4,"A",IF('Data Source'!AG944&gt;=3.5,"A-",IF('Data Source'!AG944&gt;=3,"B",IF('Data Source'!AG944&gt;=2,"C",IF('Data Source'!AG944&gt;=1,"D","F")))))))</f>
        <v/>
      </c>
      <c r="P944" s="5">
        <f>IF('Data Source'!B944="","",'Data Source'!R944)</f>
        <v/>
      </c>
      <c r="Q944" s="3">
        <f>IF('Data Source'!B944="","",'Data Source'!S944)</f>
        <v/>
      </c>
    </row>
    <row r="945">
      <c r="A945" s="3">
        <f>IF('Data Source'!B945="","",'Data Source'!A945)</f>
        <v/>
      </c>
      <c r="B945">
        <f>IF('Data Source'!B945="","",'Data Source'!B945)</f>
        <v/>
      </c>
      <c r="C945" s="3">
        <f>IF('Data Source'!B945="","",IF('Data Source'!U945&gt;=5,"A+",IF('Data Source'!U945&gt;=4,"A",IF('Data Source'!U945&gt;=3.5,"A-",IF('Data Source'!U945&gt;=3,"B",IF('Data Source'!U945&gt;=2,"C",IF('Data Source'!U945&gt;=1,"D","F")))))))</f>
        <v/>
      </c>
      <c r="D945" s="3">
        <f>IF('Data Source'!B945="","",IF('Data Source'!V945&gt;=5,"A+",IF('Data Source'!V945&gt;=4,"A",IF('Data Source'!V945&gt;=3.5,"A-",IF('Data Source'!V945&gt;=3,"B",IF('Data Source'!V945&gt;=2,"C",IF('Data Source'!V945&gt;=1,"D","F")))))))</f>
        <v/>
      </c>
      <c r="E945" s="3">
        <f>IF('Data Source'!B945="","",IF('Data Source'!W945&gt;=5,"A+",IF('Data Source'!W945&gt;=4,"A",IF('Data Source'!W945&gt;=3.5,"A-",IF('Data Source'!W945&gt;=3,"B",IF('Data Source'!W945&gt;=2,"C",IF('Data Source'!W945&gt;=1,"D","F")))))))</f>
        <v/>
      </c>
      <c r="F945" s="3">
        <f>IF('Data Source'!B945="","",IF('Data Source'!X945&gt;=5,"A+",IF('Data Source'!X945&gt;=4,"A",IF('Data Source'!X945&gt;=3.5,"A-",IF('Data Source'!X945&gt;=3,"B",IF('Data Source'!X945&gt;=2,"C",IF('Data Source'!X945&gt;=1,"D","F")))))))</f>
        <v/>
      </c>
      <c r="G945" s="3">
        <f>IF('Data Source'!B945="","",IF('Data Source'!Y945&gt;=5,"A+",IF('Data Source'!Y945&gt;=4,"A",IF('Data Source'!Y945&gt;=3.5,"A-",IF('Data Source'!Y945&gt;=3,"B",IF('Data Source'!Y945&gt;=2,"C",IF('Data Source'!Y945&gt;=1,"D","F")))))))</f>
        <v/>
      </c>
      <c r="H945" s="3">
        <f>IF('Data Source'!B945="","",IF('Data Source'!Z945&gt;=5,"A+",IF('Data Source'!Z945&gt;=4,"A",IF('Data Source'!Z945&gt;=3.5,"A-",IF('Data Source'!Z945&gt;=3,"B",IF('Data Source'!Z945&gt;=2,"C",IF('Data Source'!Z945&gt;=1,"D","F")))))))</f>
        <v/>
      </c>
      <c r="I945" s="3">
        <f>IF('Data Source'!B945="","",IF('Data Source'!AA945&gt;=5,"A+",IF('Data Source'!AA945&gt;=4,"A",IF('Data Source'!AA945&gt;=3.5,"A-",IF('Data Source'!AA945&gt;=3,"B",IF('Data Source'!AA945&gt;=2,"C",IF('Data Source'!AA945&gt;=1,"D","F")))))))</f>
        <v/>
      </c>
      <c r="J945" s="3">
        <f>IF('Data Source'!B945="","",IF('Data Source'!AB945&gt;=5,"A+",IF('Data Source'!AB945&gt;=4,"A",IF('Data Source'!AB945&gt;=3.5,"A-",IF('Data Source'!AB945&gt;=3,"B",IF('Data Source'!AB945&gt;=2,"C",IF('Data Source'!AB945&gt;=1,"D","F")))))))</f>
        <v/>
      </c>
      <c r="K945" s="3">
        <f>IF('Data Source'!B945="","",IF('Data Source'!AC945&gt;=5,"A+",IF('Data Source'!AC945&gt;=4,"A",IF('Data Source'!AC945&gt;=3.5,"A-",IF('Data Source'!AC945&gt;=3,"B",IF('Data Source'!AC945&gt;=2,"C",IF('Data Source'!AC945&gt;=1,"D","F")))))))</f>
        <v/>
      </c>
      <c r="L945" s="3">
        <f>IF('Data Source'!B945="","",IF('Data Source'!AD945&gt;=5,"A+",IF('Data Source'!AD945&gt;=4,"A",IF('Data Source'!AD945&gt;=3.5,"A-",IF('Data Source'!AD945&gt;=3,"B",IF('Data Source'!AD945&gt;=2,"C",IF('Data Source'!AD945&gt;=1,"D","F")))))))</f>
        <v/>
      </c>
      <c r="M945" s="3">
        <f>IF('Data Source'!B945="","",IF('Data Source'!AE945&gt;=5,"A+",IF('Data Source'!AE945&gt;=4,"A",IF('Data Source'!AE945&gt;=3.5,"A-",IF('Data Source'!AE945&gt;=3,"B",IF('Data Source'!AE945&gt;=2,"C",IF('Data Source'!AE945&gt;=1,"D","F")))))))</f>
        <v/>
      </c>
      <c r="N945" s="3">
        <f>IF('Data Source'!B945="","",IF('Data Source'!AF945&gt;=5,"A+",IF('Data Source'!AF945&gt;=4,"A",IF('Data Source'!AF945&gt;=3.5,"A-",IF('Data Source'!AF945&gt;=3,"B",IF('Data Source'!AF945&gt;=2,"C",IF('Data Source'!AF945&gt;=1,"D","F")))))))</f>
        <v/>
      </c>
      <c r="O945" s="3">
        <f>IF('Data Source'!B945="","",IF('Data Source'!AG945&gt;=5,"A+",IF('Data Source'!AG945&gt;=4,"A",IF('Data Source'!AG945&gt;=3.5,"A-",IF('Data Source'!AG945&gt;=3,"B",IF('Data Source'!AG945&gt;=2,"C",IF('Data Source'!AG945&gt;=1,"D","F")))))))</f>
        <v/>
      </c>
      <c r="P945" s="5">
        <f>IF('Data Source'!B945="","",'Data Source'!R945)</f>
        <v/>
      </c>
      <c r="Q945" s="3">
        <f>IF('Data Source'!B945="","",'Data Source'!S945)</f>
        <v/>
      </c>
    </row>
    <row r="946">
      <c r="A946" s="3">
        <f>IF('Data Source'!B946="","",'Data Source'!A946)</f>
        <v/>
      </c>
      <c r="B946">
        <f>IF('Data Source'!B946="","",'Data Source'!B946)</f>
        <v/>
      </c>
      <c r="C946" s="3">
        <f>IF('Data Source'!B946="","",IF('Data Source'!U946&gt;=5,"A+",IF('Data Source'!U946&gt;=4,"A",IF('Data Source'!U946&gt;=3.5,"A-",IF('Data Source'!U946&gt;=3,"B",IF('Data Source'!U946&gt;=2,"C",IF('Data Source'!U946&gt;=1,"D","F")))))))</f>
        <v/>
      </c>
      <c r="D946" s="3">
        <f>IF('Data Source'!B946="","",IF('Data Source'!V946&gt;=5,"A+",IF('Data Source'!V946&gt;=4,"A",IF('Data Source'!V946&gt;=3.5,"A-",IF('Data Source'!V946&gt;=3,"B",IF('Data Source'!V946&gt;=2,"C",IF('Data Source'!V946&gt;=1,"D","F")))))))</f>
        <v/>
      </c>
      <c r="E946" s="3">
        <f>IF('Data Source'!B946="","",IF('Data Source'!W946&gt;=5,"A+",IF('Data Source'!W946&gt;=4,"A",IF('Data Source'!W946&gt;=3.5,"A-",IF('Data Source'!W946&gt;=3,"B",IF('Data Source'!W946&gt;=2,"C",IF('Data Source'!W946&gt;=1,"D","F")))))))</f>
        <v/>
      </c>
      <c r="F946" s="3">
        <f>IF('Data Source'!B946="","",IF('Data Source'!X946&gt;=5,"A+",IF('Data Source'!X946&gt;=4,"A",IF('Data Source'!X946&gt;=3.5,"A-",IF('Data Source'!X946&gt;=3,"B",IF('Data Source'!X946&gt;=2,"C",IF('Data Source'!X946&gt;=1,"D","F")))))))</f>
        <v/>
      </c>
      <c r="G946" s="3">
        <f>IF('Data Source'!B946="","",IF('Data Source'!Y946&gt;=5,"A+",IF('Data Source'!Y946&gt;=4,"A",IF('Data Source'!Y946&gt;=3.5,"A-",IF('Data Source'!Y946&gt;=3,"B",IF('Data Source'!Y946&gt;=2,"C",IF('Data Source'!Y946&gt;=1,"D","F")))))))</f>
        <v/>
      </c>
      <c r="H946" s="3">
        <f>IF('Data Source'!B946="","",IF('Data Source'!Z946&gt;=5,"A+",IF('Data Source'!Z946&gt;=4,"A",IF('Data Source'!Z946&gt;=3.5,"A-",IF('Data Source'!Z946&gt;=3,"B",IF('Data Source'!Z946&gt;=2,"C",IF('Data Source'!Z946&gt;=1,"D","F")))))))</f>
        <v/>
      </c>
      <c r="I946" s="3">
        <f>IF('Data Source'!B946="","",IF('Data Source'!AA946&gt;=5,"A+",IF('Data Source'!AA946&gt;=4,"A",IF('Data Source'!AA946&gt;=3.5,"A-",IF('Data Source'!AA946&gt;=3,"B",IF('Data Source'!AA946&gt;=2,"C",IF('Data Source'!AA946&gt;=1,"D","F")))))))</f>
        <v/>
      </c>
      <c r="J946" s="3">
        <f>IF('Data Source'!B946="","",IF('Data Source'!AB946&gt;=5,"A+",IF('Data Source'!AB946&gt;=4,"A",IF('Data Source'!AB946&gt;=3.5,"A-",IF('Data Source'!AB946&gt;=3,"B",IF('Data Source'!AB946&gt;=2,"C",IF('Data Source'!AB946&gt;=1,"D","F")))))))</f>
        <v/>
      </c>
      <c r="K946" s="3">
        <f>IF('Data Source'!B946="","",IF('Data Source'!AC946&gt;=5,"A+",IF('Data Source'!AC946&gt;=4,"A",IF('Data Source'!AC946&gt;=3.5,"A-",IF('Data Source'!AC946&gt;=3,"B",IF('Data Source'!AC946&gt;=2,"C",IF('Data Source'!AC946&gt;=1,"D","F")))))))</f>
        <v/>
      </c>
      <c r="L946" s="3">
        <f>IF('Data Source'!B946="","",IF('Data Source'!AD946&gt;=5,"A+",IF('Data Source'!AD946&gt;=4,"A",IF('Data Source'!AD946&gt;=3.5,"A-",IF('Data Source'!AD946&gt;=3,"B",IF('Data Source'!AD946&gt;=2,"C",IF('Data Source'!AD946&gt;=1,"D","F")))))))</f>
        <v/>
      </c>
      <c r="M946" s="3">
        <f>IF('Data Source'!B946="","",IF('Data Source'!AE946&gt;=5,"A+",IF('Data Source'!AE946&gt;=4,"A",IF('Data Source'!AE946&gt;=3.5,"A-",IF('Data Source'!AE946&gt;=3,"B",IF('Data Source'!AE946&gt;=2,"C",IF('Data Source'!AE946&gt;=1,"D","F")))))))</f>
        <v/>
      </c>
      <c r="N946" s="3">
        <f>IF('Data Source'!B946="","",IF('Data Source'!AF946&gt;=5,"A+",IF('Data Source'!AF946&gt;=4,"A",IF('Data Source'!AF946&gt;=3.5,"A-",IF('Data Source'!AF946&gt;=3,"B",IF('Data Source'!AF946&gt;=2,"C",IF('Data Source'!AF946&gt;=1,"D","F")))))))</f>
        <v/>
      </c>
      <c r="O946" s="3">
        <f>IF('Data Source'!B946="","",IF('Data Source'!AG946&gt;=5,"A+",IF('Data Source'!AG946&gt;=4,"A",IF('Data Source'!AG946&gt;=3.5,"A-",IF('Data Source'!AG946&gt;=3,"B",IF('Data Source'!AG946&gt;=2,"C",IF('Data Source'!AG946&gt;=1,"D","F")))))))</f>
        <v/>
      </c>
      <c r="P946" s="5">
        <f>IF('Data Source'!B946="","",'Data Source'!R946)</f>
        <v/>
      </c>
      <c r="Q946" s="3">
        <f>IF('Data Source'!B946="","",'Data Source'!S946)</f>
        <v/>
      </c>
    </row>
    <row r="947">
      <c r="A947" s="3">
        <f>IF('Data Source'!B947="","",'Data Source'!A947)</f>
        <v/>
      </c>
      <c r="B947">
        <f>IF('Data Source'!B947="","",'Data Source'!B947)</f>
        <v/>
      </c>
      <c r="C947" s="3">
        <f>IF('Data Source'!B947="","",IF('Data Source'!U947&gt;=5,"A+",IF('Data Source'!U947&gt;=4,"A",IF('Data Source'!U947&gt;=3.5,"A-",IF('Data Source'!U947&gt;=3,"B",IF('Data Source'!U947&gt;=2,"C",IF('Data Source'!U947&gt;=1,"D","F")))))))</f>
        <v/>
      </c>
      <c r="D947" s="3">
        <f>IF('Data Source'!B947="","",IF('Data Source'!V947&gt;=5,"A+",IF('Data Source'!V947&gt;=4,"A",IF('Data Source'!V947&gt;=3.5,"A-",IF('Data Source'!V947&gt;=3,"B",IF('Data Source'!V947&gt;=2,"C",IF('Data Source'!V947&gt;=1,"D","F")))))))</f>
        <v/>
      </c>
      <c r="E947" s="3">
        <f>IF('Data Source'!B947="","",IF('Data Source'!W947&gt;=5,"A+",IF('Data Source'!W947&gt;=4,"A",IF('Data Source'!W947&gt;=3.5,"A-",IF('Data Source'!W947&gt;=3,"B",IF('Data Source'!W947&gt;=2,"C",IF('Data Source'!W947&gt;=1,"D","F")))))))</f>
        <v/>
      </c>
      <c r="F947" s="3">
        <f>IF('Data Source'!B947="","",IF('Data Source'!X947&gt;=5,"A+",IF('Data Source'!X947&gt;=4,"A",IF('Data Source'!X947&gt;=3.5,"A-",IF('Data Source'!X947&gt;=3,"B",IF('Data Source'!X947&gt;=2,"C",IF('Data Source'!X947&gt;=1,"D","F")))))))</f>
        <v/>
      </c>
      <c r="G947" s="3">
        <f>IF('Data Source'!B947="","",IF('Data Source'!Y947&gt;=5,"A+",IF('Data Source'!Y947&gt;=4,"A",IF('Data Source'!Y947&gt;=3.5,"A-",IF('Data Source'!Y947&gt;=3,"B",IF('Data Source'!Y947&gt;=2,"C",IF('Data Source'!Y947&gt;=1,"D","F")))))))</f>
        <v/>
      </c>
      <c r="H947" s="3">
        <f>IF('Data Source'!B947="","",IF('Data Source'!Z947&gt;=5,"A+",IF('Data Source'!Z947&gt;=4,"A",IF('Data Source'!Z947&gt;=3.5,"A-",IF('Data Source'!Z947&gt;=3,"B",IF('Data Source'!Z947&gt;=2,"C",IF('Data Source'!Z947&gt;=1,"D","F")))))))</f>
        <v/>
      </c>
      <c r="I947" s="3">
        <f>IF('Data Source'!B947="","",IF('Data Source'!AA947&gt;=5,"A+",IF('Data Source'!AA947&gt;=4,"A",IF('Data Source'!AA947&gt;=3.5,"A-",IF('Data Source'!AA947&gt;=3,"B",IF('Data Source'!AA947&gt;=2,"C",IF('Data Source'!AA947&gt;=1,"D","F")))))))</f>
        <v/>
      </c>
      <c r="J947" s="3">
        <f>IF('Data Source'!B947="","",IF('Data Source'!AB947&gt;=5,"A+",IF('Data Source'!AB947&gt;=4,"A",IF('Data Source'!AB947&gt;=3.5,"A-",IF('Data Source'!AB947&gt;=3,"B",IF('Data Source'!AB947&gt;=2,"C",IF('Data Source'!AB947&gt;=1,"D","F")))))))</f>
        <v/>
      </c>
      <c r="K947" s="3">
        <f>IF('Data Source'!B947="","",IF('Data Source'!AC947&gt;=5,"A+",IF('Data Source'!AC947&gt;=4,"A",IF('Data Source'!AC947&gt;=3.5,"A-",IF('Data Source'!AC947&gt;=3,"B",IF('Data Source'!AC947&gt;=2,"C",IF('Data Source'!AC947&gt;=1,"D","F")))))))</f>
        <v/>
      </c>
      <c r="L947" s="3">
        <f>IF('Data Source'!B947="","",IF('Data Source'!AD947&gt;=5,"A+",IF('Data Source'!AD947&gt;=4,"A",IF('Data Source'!AD947&gt;=3.5,"A-",IF('Data Source'!AD947&gt;=3,"B",IF('Data Source'!AD947&gt;=2,"C",IF('Data Source'!AD947&gt;=1,"D","F")))))))</f>
        <v/>
      </c>
      <c r="M947" s="3">
        <f>IF('Data Source'!B947="","",IF('Data Source'!AE947&gt;=5,"A+",IF('Data Source'!AE947&gt;=4,"A",IF('Data Source'!AE947&gt;=3.5,"A-",IF('Data Source'!AE947&gt;=3,"B",IF('Data Source'!AE947&gt;=2,"C",IF('Data Source'!AE947&gt;=1,"D","F")))))))</f>
        <v/>
      </c>
      <c r="N947" s="3">
        <f>IF('Data Source'!B947="","",IF('Data Source'!AF947&gt;=5,"A+",IF('Data Source'!AF947&gt;=4,"A",IF('Data Source'!AF947&gt;=3.5,"A-",IF('Data Source'!AF947&gt;=3,"B",IF('Data Source'!AF947&gt;=2,"C",IF('Data Source'!AF947&gt;=1,"D","F")))))))</f>
        <v/>
      </c>
      <c r="O947" s="3">
        <f>IF('Data Source'!B947="","",IF('Data Source'!AG947&gt;=5,"A+",IF('Data Source'!AG947&gt;=4,"A",IF('Data Source'!AG947&gt;=3.5,"A-",IF('Data Source'!AG947&gt;=3,"B",IF('Data Source'!AG947&gt;=2,"C",IF('Data Source'!AG947&gt;=1,"D","F")))))))</f>
        <v/>
      </c>
      <c r="P947" s="5">
        <f>IF('Data Source'!B947="","",'Data Source'!R947)</f>
        <v/>
      </c>
      <c r="Q947" s="3">
        <f>IF('Data Source'!B947="","",'Data Source'!S947)</f>
        <v/>
      </c>
    </row>
    <row r="948">
      <c r="A948" s="3">
        <f>IF('Data Source'!B948="","",'Data Source'!A948)</f>
        <v/>
      </c>
      <c r="B948">
        <f>IF('Data Source'!B948="","",'Data Source'!B948)</f>
        <v/>
      </c>
      <c r="C948" s="3">
        <f>IF('Data Source'!B948="","",IF('Data Source'!U948&gt;=5,"A+",IF('Data Source'!U948&gt;=4,"A",IF('Data Source'!U948&gt;=3.5,"A-",IF('Data Source'!U948&gt;=3,"B",IF('Data Source'!U948&gt;=2,"C",IF('Data Source'!U948&gt;=1,"D","F")))))))</f>
        <v/>
      </c>
      <c r="D948" s="3">
        <f>IF('Data Source'!B948="","",IF('Data Source'!V948&gt;=5,"A+",IF('Data Source'!V948&gt;=4,"A",IF('Data Source'!V948&gt;=3.5,"A-",IF('Data Source'!V948&gt;=3,"B",IF('Data Source'!V948&gt;=2,"C",IF('Data Source'!V948&gt;=1,"D","F")))))))</f>
        <v/>
      </c>
      <c r="E948" s="3">
        <f>IF('Data Source'!B948="","",IF('Data Source'!W948&gt;=5,"A+",IF('Data Source'!W948&gt;=4,"A",IF('Data Source'!W948&gt;=3.5,"A-",IF('Data Source'!W948&gt;=3,"B",IF('Data Source'!W948&gt;=2,"C",IF('Data Source'!W948&gt;=1,"D","F")))))))</f>
        <v/>
      </c>
      <c r="F948" s="3">
        <f>IF('Data Source'!B948="","",IF('Data Source'!X948&gt;=5,"A+",IF('Data Source'!X948&gt;=4,"A",IF('Data Source'!X948&gt;=3.5,"A-",IF('Data Source'!X948&gt;=3,"B",IF('Data Source'!X948&gt;=2,"C",IF('Data Source'!X948&gt;=1,"D","F")))))))</f>
        <v/>
      </c>
      <c r="G948" s="3">
        <f>IF('Data Source'!B948="","",IF('Data Source'!Y948&gt;=5,"A+",IF('Data Source'!Y948&gt;=4,"A",IF('Data Source'!Y948&gt;=3.5,"A-",IF('Data Source'!Y948&gt;=3,"B",IF('Data Source'!Y948&gt;=2,"C",IF('Data Source'!Y948&gt;=1,"D","F")))))))</f>
        <v/>
      </c>
      <c r="H948" s="3">
        <f>IF('Data Source'!B948="","",IF('Data Source'!Z948&gt;=5,"A+",IF('Data Source'!Z948&gt;=4,"A",IF('Data Source'!Z948&gt;=3.5,"A-",IF('Data Source'!Z948&gt;=3,"B",IF('Data Source'!Z948&gt;=2,"C",IF('Data Source'!Z948&gt;=1,"D","F")))))))</f>
        <v/>
      </c>
      <c r="I948" s="3">
        <f>IF('Data Source'!B948="","",IF('Data Source'!AA948&gt;=5,"A+",IF('Data Source'!AA948&gt;=4,"A",IF('Data Source'!AA948&gt;=3.5,"A-",IF('Data Source'!AA948&gt;=3,"B",IF('Data Source'!AA948&gt;=2,"C",IF('Data Source'!AA948&gt;=1,"D","F")))))))</f>
        <v/>
      </c>
      <c r="J948" s="3">
        <f>IF('Data Source'!B948="","",IF('Data Source'!AB948&gt;=5,"A+",IF('Data Source'!AB948&gt;=4,"A",IF('Data Source'!AB948&gt;=3.5,"A-",IF('Data Source'!AB948&gt;=3,"B",IF('Data Source'!AB948&gt;=2,"C",IF('Data Source'!AB948&gt;=1,"D","F")))))))</f>
        <v/>
      </c>
      <c r="K948" s="3">
        <f>IF('Data Source'!B948="","",IF('Data Source'!AC948&gt;=5,"A+",IF('Data Source'!AC948&gt;=4,"A",IF('Data Source'!AC948&gt;=3.5,"A-",IF('Data Source'!AC948&gt;=3,"B",IF('Data Source'!AC948&gt;=2,"C",IF('Data Source'!AC948&gt;=1,"D","F")))))))</f>
        <v/>
      </c>
      <c r="L948" s="3">
        <f>IF('Data Source'!B948="","",IF('Data Source'!AD948&gt;=5,"A+",IF('Data Source'!AD948&gt;=4,"A",IF('Data Source'!AD948&gt;=3.5,"A-",IF('Data Source'!AD948&gt;=3,"B",IF('Data Source'!AD948&gt;=2,"C",IF('Data Source'!AD948&gt;=1,"D","F")))))))</f>
        <v/>
      </c>
      <c r="M948" s="3">
        <f>IF('Data Source'!B948="","",IF('Data Source'!AE948&gt;=5,"A+",IF('Data Source'!AE948&gt;=4,"A",IF('Data Source'!AE948&gt;=3.5,"A-",IF('Data Source'!AE948&gt;=3,"B",IF('Data Source'!AE948&gt;=2,"C",IF('Data Source'!AE948&gt;=1,"D","F")))))))</f>
        <v/>
      </c>
      <c r="N948" s="3">
        <f>IF('Data Source'!B948="","",IF('Data Source'!AF948&gt;=5,"A+",IF('Data Source'!AF948&gt;=4,"A",IF('Data Source'!AF948&gt;=3.5,"A-",IF('Data Source'!AF948&gt;=3,"B",IF('Data Source'!AF948&gt;=2,"C",IF('Data Source'!AF948&gt;=1,"D","F")))))))</f>
        <v/>
      </c>
      <c r="O948" s="3">
        <f>IF('Data Source'!B948="","",IF('Data Source'!AG948&gt;=5,"A+",IF('Data Source'!AG948&gt;=4,"A",IF('Data Source'!AG948&gt;=3.5,"A-",IF('Data Source'!AG948&gt;=3,"B",IF('Data Source'!AG948&gt;=2,"C",IF('Data Source'!AG948&gt;=1,"D","F")))))))</f>
        <v/>
      </c>
      <c r="P948" s="5">
        <f>IF('Data Source'!B948="","",'Data Source'!R948)</f>
        <v/>
      </c>
      <c r="Q948" s="3">
        <f>IF('Data Source'!B948="","",'Data Source'!S948)</f>
        <v/>
      </c>
    </row>
    <row r="949">
      <c r="A949" s="3">
        <f>IF('Data Source'!B949="","",'Data Source'!A949)</f>
        <v/>
      </c>
      <c r="B949">
        <f>IF('Data Source'!B949="","",'Data Source'!B949)</f>
        <v/>
      </c>
      <c r="C949" s="3">
        <f>IF('Data Source'!B949="","",IF('Data Source'!U949&gt;=5,"A+",IF('Data Source'!U949&gt;=4,"A",IF('Data Source'!U949&gt;=3.5,"A-",IF('Data Source'!U949&gt;=3,"B",IF('Data Source'!U949&gt;=2,"C",IF('Data Source'!U949&gt;=1,"D","F")))))))</f>
        <v/>
      </c>
      <c r="D949" s="3">
        <f>IF('Data Source'!B949="","",IF('Data Source'!V949&gt;=5,"A+",IF('Data Source'!V949&gt;=4,"A",IF('Data Source'!V949&gt;=3.5,"A-",IF('Data Source'!V949&gt;=3,"B",IF('Data Source'!V949&gt;=2,"C",IF('Data Source'!V949&gt;=1,"D","F")))))))</f>
        <v/>
      </c>
      <c r="E949" s="3">
        <f>IF('Data Source'!B949="","",IF('Data Source'!W949&gt;=5,"A+",IF('Data Source'!W949&gt;=4,"A",IF('Data Source'!W949&gt;=3.5,"A-",IF('Data Source'!W949&gt;=3,"B",IF('Data Source'!W949&gt;=2,"C",IF('Data Source'!W949&gt;=1,"D","F")))))))</f>
        <v/>
      </c>
      <c r="F949" s="3">
        <f>IF('Data Source'!B949="","",IF('Data Source'!X949&gt;=5,"A+",IF('Data Source'!X949&gt;=4,"A",IF('Data Source'!X949&gt;=3.5,"A-",IF('Data Source'!X949&gt;=3,"B",IF('Data Source'!X949&gt;=2,"C",IF('Data Source'!X949&gt;=1,"D","F")))))))</f>
        <v/>
      </c>
      <c r="G949" s="3">
        <f>IF('Data Source'!B949="","",IF('Data Source'!Y949&gt;=5,"A+",IF('Data Source'!Y949&gt;=4,"A",IF('Data Source'!Y949&gt;=3.5,"A-",IF('Data Source'!Y949&gt;=3,"B",IF('Data Source'!Y949&gt;=2,"C",IF('Data Source'!Y949&gt;=1,"D","F")))))))</f>
        <v/>
      </c>
      <c r="H949" s="3">
        <f>IF('Data Source'!B949="","",IF('Data Source'!Z949&gt;=5,"A+",IF('Data Source'!Z949&gt;=4,"A",IF('Data Source'!Z949&gt;=3.5,"A-",IF('Data Source'!Z949&gt;=3,"B",IF('Data Source'!Z949&gt;=2,"C",IF('Data Source'!Z949&gt;=1,"D","F")))))))</f>
        <v/>
      </c>
      <c r="I949" s="3">
        <f>IF('Data Source'!B949="","",IF('Data Source'!AA949&gt;=5,"A+",IF('Data Source'!AA949&gt;=4,"A",IF('Data Source'!AA949&gt;=3.5,"A-",IF('Data Source'!AA949&gt;=3,"B",IF('Data Source'!AA949&gt;=2,"C",IF('Data Source'!AA949&gt;=1,"D","F")))))))</f>
        <v/>
      </c>
      <c r="J949" s="3">
        <f>IF('Data Source'!B949="","",IF('Data Source'!AB949&gt;=5,"A+",IF('Data Source'!AB949&gt;=4,"A",IF('Data Source'!AB949&gt;=3.5,"A-",IF('Data Source'!AB949&gt;=3,"B",IF('Data Source'!AB949&gt;=2,"C",IF('Data Source'!AB949&gt;=1,"D","F")))))))</f>
        <v/>
      </c>
      <c r="K949" s="3">
        <f>IF('Data Source'!B949="","",IF('Data Source'!AC949&gt;=5,"A+",IF('Data Source'!AC949&gt;=4,"A",IF('Data Source'!AC949&gt;=3.5,"A-",IF('Data Source'!AC949&gt;=3,"B",IF('Data Source'!AC949&gt;=2,"C",IF('Data Source'!AC949&gt;=1,"D","F")))))))</f>
        <v/>
      </c>
      <c r="L949" s="3">
        <f>IF('Data Source'!B949="","",IF('Data Source'!AD949&gt;=5,"A+",IF('Data Source'!AD949&gt;=4,"A",IF('Data Source'!AD949&gt;=3.5,"A-",IF('Data Source'!AD949&gt;=3,"B",IF('Data Source'!AD949&gt;=2,"C",IF('Data Source'!AD949&gt;=1,"D","F")))))))</f>
        <v/>
      </c>
      <c r="M949" s="3">
        <f>IF('Data Source'!B949="","",IF('Data Source'!AE949&gt;=5,"A+",IF('Data Source'!AE949&gt;=4,"A",IF('Data Source'!AE949&gt;=3.5,"A-",IF('Data Source'!AE949&gt;=3,"B",IF('Data Source'!AE949&gt;=2,"C",IF('Data Source'!AE949&gt;=1,"D","F")))))))</f>
        <v/>
      </c>
      <c r="N949" s="3">
        <f>IF('Data Source'!B949="","",IF('Data Source'!AF949&gt;=5,"A+",IF('Data Source'!AF949&gt;=4,"A",IF('Data Source'!AF949&gt;=3.5,"A-",IF('Data Source'!AF949&gt;=3,"B",IF('Data Source'!AF949&gt;=2,"C",IF('Data Source'!AF949&gt;=1,"D","F")))))))</f>
        <v/>
      </c>
      <c r="O949" s="3">
        <f>IF('Data Source'!B949="","",IF('Data Source'!AG949&gt;=5,"A+",IF('Data Source'!AG949&gt;=4,"A",IF('Data Source'!AG949&gt;=3.5,"A-",IF('Data Source'!AG949&gt;=3,"B",IF('Data Source'!AG949&gt;=2,"C",IF('Data Source'!AG949&gt;=1,"D","F")))))))</f>
        <v/>
      </c>
      <c r="P949" s="5">
        <f>IF('Data Source'!B949="","",'Data Source'!R949)</f>
        <v/>
      </c>
      <c r="Q949" s="3">
        <f>IF('Data Source'!B949="","",'Data Source'!S949)</f>
        <v/>
      </c>
    </row>
    <row r="950">
      <c r="A950" s="3">
        <f>IF('Data Source'!B950="","",'Data Source'!A950)</f>
        <v/>
      </c>
      <c r="B950">
        <f>IF('Data Source'!B950="","",'Data Source'!B950)</f>
        <v/>
      </c>
      <c r="C950" s="3">
        <f>IF('Data Source'!B950="","",IF('Data Source'!U950&gt;=5,"A+",IF('Data Source'!U950&gt;=4,"A",IF('Data Source'!U950&gt;=3.5,"A-",IF('Data Source'!U950&gt;=3,"B",IF('Data Source'!U950&gt;=2,"C",IF('Data Source'!U950&gt;=1,"D","F")))))))</f>
        <v/>
      </c>
      <c r="D950" s="3">
        <f>IF('Data Source'!B950="","",IF('Data Source'!V950&gt;=5,"A+",IF('Data Source'!V950&gt;=4,"A",IF('Data Source'!V950&gt;=3.5,"A-",IF('Data Source'!V950&gt;=3,"B",IF('Data Source'!V950&gt;=2,"C",IF('Data Source'!V950&gt;=1,"D","F")))))))</f>
        <v/>
      </c>
      <c r="E950" s="3">
        <f>IF('Data Source'!B950="","",IF('Data Source'!W950&gt;=5,"A+",IF('Data Source'!W950&gt;=4,"A",IF('Data Source'!W950&gt;=3.5,"A-",IF('Data Source'!W950&gt;=3,"B",IF('Data Source'!W950&gt;=2,"C",IF('Data Source'!W950&gt;=1,"D","F")))))))</f>
        <v/>
      </c>
      <c r="F950" s="3">
        <f>IF('Data Source'!B950="","",IF('Data Source'!X950&gt;=5,"A+",IF('Data Source'!X950&gt;=4,"A",IF('Data Source'!X950&gt;=3.5,"A-",IF('Data Source'!X950&gt;=3,"B",IF('Data Source'!X950&gt;=2,"C",IF('Data Source'!X950&gt;=1,"D","F")))))))</f>
        <v/>
      </c>
      <c r="G950" s="3">
        <f>IF('Data Source'!B950="","",IF('Data Source'!Y950&gt;=5,"A+",IF('Data Source'!Y950&gt;=4,"A",IF('Data Source'!Y950&gt;=3.5,"A-",IF('Data Source'!Y950&gt;=3,"B",IF('Data Source'!Y950&gt;=2,"C",IF('Data Source'!Y950&gt;=1,"D","F")))))))</f>
        <v/>
      </c>
      <c r="H950" s="3">
        <f>IF('Data Source'!B950="","",IF('Data Source'!Z950&gt;=5,"A+",IF('Data Source'!Z950&gt;=4,"A",IF('Data Source'!Z950&gt;=3.5,"A-",IF('Data Source'!Z950&gt;=3,"B",IF('Data Source'!Z950&gt;=2,"C",IF('Data Source'!Z950&gt;=1,"D","F")))))))</f>
        <v/>
      </c>
      <c r="I950" s="3">
        <f>IF('Data Source'!B950="","",IF('Data Source'!AA950&gt;=5,"A+",IF('Data Source'!AA950&gt;=4,"A",IF('Data Source'!AA950&gt;=3.5,"A-",IF('Data Source'!AA950&gt;=3,"B",IF('Data Source'!AA950&gt;=2,"C",IF('Data Source'!AA950&gt;=1,"D","F")))))))</f>
        <v/>
      </c>
      <c r="J950" s="3">
        <f>IF('Data Source'!B950="","",IF('Data Source'!AB950&gt;=5,"A+",IF('Data Source'!AB950&gt;=4,"A",IF('Data Source'!AB950&gt;=3.5,"A-",IF('Data Source'!AB950&gt;=3,"B",IF('Data Source'!AB950&gt;=2,"C",IF('Data Source'!AB950&gt;=1,"D","F")))))))</f>
        <v/>
      </c>
      <c r="K950" s="3">
        <f>IF('Data Source'!B950="","",IF('Data Source'!AC950&gt;=5,"A+",IF('Data Source'!AC950&gt;=4,"A",IF('Data Source'!AC950&gt;=3.5,"A-",IF('Data Source'!AC950&gt;=3,"B",IF('Data Source'!AC950&gt;=2,"C",IF('Data Source'!AC950&gt;=1,"D","F")))))))</f>
        <v/>
      </c>
      <c r="L950" s="3">
        <f>IF('Data Source'!B950="","",IF('Data Source'!AD950&gt;=5,"A+",IF('Data Source'!AD950&gt;=4,"A",IF('Data Source'!AD950&gt;=3.5,"A-",IF('Data Source'!AD950&gt;=3,"B",IF('Data Source'!AD950&gt;=2,"C",IF('Data Source'!AD950&gt;=1,"D","F")))))))</f>
        <v/>
      </c>
      <c r="M950" s="3">
        <f>IF('Data Source'!B950="","",IF('Data Source'!AE950&gt;=5,"A+",IF('Data Source'!AE950&gt;=4,"A",IF('Data Source'!AE950&gt;=3.5,"A-",IF('Data Source'!AE950&gt;=3,"B",IF('Data Source'!AE950&gt;=2,"C",IF('Data Source'!AE950&gt;=1,"D","F")))))))</f>
        <v/>
      </c>
      <c r="N950" s="3">
        <f>IF('Data Source'!B950="","",IF('Data Source'!AF950&gt;=5,"A+",IF('Data Source'!AF950&gt;=4,"A",IF('Data Source'!AF950&gt;=3.5,"A-",IF('Data Source'!AF950&gt;=3,"B",IF('Data Source'!AF950&gt;=2,"C",IF('Data Source'!AF950&gt;=1,"D","F")))))))</f>
        <v/>
      </c>
      <c r="O950" s="3">
        <f>IF('Data Source'!B950="","",IF('Data Source'!AG950&gt;=5,"A+",IF('Data Source'!AG950&gt;=4,"A",IF('Data Source'!AG950&gt;=3.5,"A-",IF('Data Source'!AG950&gt;=3,"B",IF('Data Source'!AG950&gt;=2,"C",IF('Data Source'!AG950&gt;=1,"D","F")))))))</f>
        <v/>
      </c>
      <c r="P950" s="5">
        <f>IF('Data Source'!B950="","",'Data Source'!R950)</f>
        <v/>
      </c>
      <c r="Q950" s="3">
        <f>IF('Data Source'!B950="","",'Data Source'!S950)</f>
        <v/>
      </c>
    </row>
    <row r="951">
      <c r="A951" s="3">
        <f>IF('Data Source'!B951="","",'Data Source'!A951)</f>
        <v/>
      </c>
      <c r="B951">
        <f>IF('Data Source'!B951="","",'Data Source'!B951)</f>
        <v/>
      </c>
      <c r="C951" s="3">
        <f>IF('Data Source'!B951="","",IF('Data Source'!U951&gt;=5,"A+",IF('Data Source'!U951&gt;=4,"A",IF('Data Source'!U951&gt;=3.5,"A-",IF('Data Source'!U951&gt;=3,"B",IF('Data Source'!U951&gt;=2,"C",IF('Data Source'!U951&gt;=1,"D","F")))))))</f>
        <v/>
      </c>
      <c r="D951" s="3">
        <f>IF('Data Source'!B951="","",IF('Data Source'!V951&gt;=5,"A+",IF('Data Source'!V951&gt;=4,"A",IF('Data Source'!V951&gt;=3.5,"A-",IF('Data Source'!V951&gt;=3,"B",IF('Data Source'!V951&gt;=2,"C",IF('Data Source'!V951&gt;=1,"D","F")))))))</f>
        <v/>
      </c>
      <c r="E951" s="3">
        <f>IF('Data Source'!B951="","",IF('Data Source'!W951&gt;=5,"A+",IF('Data Source'!W951&gt;=4,"A",IF('Data Source'!W951&gt;=3.5,"A-",IF('Data Source'!W951&gt;=3,"B",IF('Data Source'!W951&gt;=2,"C",IF('Data Source'!W951&gt;=1,"D","F")))))))</f>
        <v/>
      </c>
      <c r="F951" s="3">
        <f>IF('Data Source'!B951="","",IF('Data Source'!X951&gt;=5,"A+",IF('Data Source'!X951&gt;=4,"A",IF('Data Source'!X951&gt;=3.5,"A-",IF('Data Source'!X951&gt;=3,"B",IF('Data Source'!X951&gt;=2,"C",IF('Data Source'!X951&gt;=1,"D","F")))))))</f>
        <v/>
      </c>
      <c r="G951" s="3">
        <f>IF('Data Source'!B951="","",IF('Data Source'!Y951&gt;=5,"A+",IF('Data Source'!Y951&gt;=4,"A",IF('Data Source'!Y951&gt;=3.5,"A-",IF('Data Source'!Y951&gt;=3,"B",IF('Data Source'!Y951&gt;=2,"C",IF('Data Source'!Y951&gt;=1,"D","F")))))))</f>
        <v/>
      </c>
      <c r="H951" s="3">
        <f>IF('Data Source'!B951="","",IF('Data Source'!Z951&gt;=5,"A+",IF('Data Source'!Z951&gt;=4,"A",IF('Data Source'!Z951&gt;=3.5,"A-",IF('Data Source'!Z951&gt;=3,"B",IF('Data Source'!Z951&gt;=2,"C",IF('Data Source'!Z951&gt;=1,"D","F")))))))</f>
        <v/>
      </c>
      <c r="I951" s="3">
        <f>IF('Data Source'!B951="","",IF('Data Source'!AA951&gt;=5,"A+",IF('Data Source'!AA951&gt;=4,"A",IF('Data Source'!AA951&gt;=3.5,"A-",IF('Data Source'!AA951&gt;=3,"B",IF('Data Source'!AA951&gt;=2,"C",IF('Data Source'!AA951&gt;=1,"D","F")))))))</f>
        <v/>
      </c>
      <c r="J951" s="3">
        <f>IF('Data Source'!B951="","",IF('Data Source'!AB951&gt;=5,"A+",IF('Data Source'!AB951&gt;=4,"A",IF('Data Source'!AB951&gt;=3.5,"A-",IF('Data Source'!AB951&gt;=3,"B",IF('Data Source'!AB951&gt;=2,"C",IF('Data Source'!AB951&gt;=1,"D","F")))))))</f>
        <v/>
      </c>
      <c r="K951" s="3">
        <f>IF('Data Source'!B951="","",IF('Data Source'!AC951&gt;=5,"A+",IF('Data Source'!AC951&gt;=4,"A",IF('Data Source'!AC951&gt;=3.5,"A-",IF('Data Source'!AC951&gt;=3,"B",IF('Data Source'!AC951&gt;=2,"C",IF('Data Source'!AC951&gt;=1,"D","F")))))))</f>
        <v/>
      </c>
      <c r="L951" s="3">
        <f>IF('Data Source'!B951="","",IF('Data Source'!AD951&gt;=5,"A+",IF('Data Source'!AD951&gt;=4,"A",IF('Data Source'!AD951&gt;=3.5,"A-",IF('Data Source'!AD951&gt;=3,"B",IF('Data Source'!AD951&gt;=2,"C",IF('Data Source'!AD951&gt;=1,"D","F")))))))</f>
        <v/>
      </c>
      <c r="M951" s="3">
        <f>IF('Data Source'!B951="","",IF('Data Source'!AE951&gt;=5,"A+",IF('Data Source'!AE951&gt;=4,"A",IF('Data Source'!AE951&gt;=3.5,"A-",IF('Data Source'!AE951&gt;=3,"B",IF('Data Source'!AE951&gt;=2,"C",IF('Data Source'!AE951&gt;=1,"D","F")))))))</f>
        <v/>
      </c>
      <c r="N951" s="3">
        <f>IF('Data Source'!B951="","",IF('Data Source'!AF951&gt;=5,"A+",IF('Data Source'!AF951&gt;=4,"A",IF('Data Source'!AF951&gt;=3.5,"A-",IF('Data Source'!AF951&gt;=3,"B",IF('Data Source'!AF951&gt;=2,"C",IF('Data Source'!AF951&gt;=1,"D","F")))))))</f>
        <v/>
      </c>
      <c r="O951" s="3">
        <f>IF('Data Source'!B951="","",IF('Data Source'!AG951&gt;=5,"A+",IF('Data Source'!AG951&gt;=4,"A",IF('Data Source'!AG951&gt;=3.5,"A-",IF('Data Source'!AG951&gt;=3,"B",IF('Data Source'!AG951&gt;=2,"C",IF('Data Source'!AG951&gt;=1,"D","F")))))))</f>
        <v/>
      </c>
      <c r="P951" s="5">
        <f>IF('Data Source'!B951="","",'Data Source'!R951)</f>
        <v/>
      </c>
      <c r="Q951" s="3">
        <f>IF('Data Source'!B951="","",'Data Source'!S951)</f>
        <v/>
      </c>
    </row>
    <row r="952">
      <c r="A952" s="3">
        <f>IF('Data Source'!B952="","",'Data Source'!A952)</f>
        <v/>
      </c>
      <c r="B952">
        <f>IF('Data Source'!B952="","",'Data Source'!B952)</f>
        <v/>
      </c>
      <c r="C952" s="3">
        <f>IF('Data Source'!B952="","",IF('Data Source'!U952&gt;=5,"A+",IF('Data Source'!U952&gt;=4,"A",IF('Data Source'!U952&gt;=3.5,"A-",IF('Data Source'!U952&gt;=3,"B",IF('Data Source'!U952&gt;=2,"C",IF('Data Source'!U952&gt;=1,"D","F")))))))</f>
        <v/>
      </c>
      <c r="D952" s="3">
        <f>IF('Data Source'!B952="","",IF('Data Source'!V952&gt;=5,"A+",IF('Data Source'!V952&gt;=4,"A",IF('Data Source'!V952&gt;=3.5,"A-",IF('Data Source'!V952&gt;=3,"B",IF('Data Source'!V952&gt;=2,"C",IF('Data Source'!V952&gt;=1,"D","F")))))))</f>
        <v/>
      </c>
      <c r="E952" s="3">
        <f>IF('Data Source'!B952="","",IF('Data Source'!W952&gt;=5,"A+",IF('Data Source'!W952&gt;=4,"A",IF('Data Source'!W952&gt;=3.5,"A-",IF('Data Source'!W952&gt;=3,"B",IF('Data Source'!W952&gt;=2,"C",IF('Data Source'!W952&gt;=1,"D","F")))))))</f>
        <v/>
      </c>
      <c r="F952" s="3">
        <f>IF('Data Source'!B952="","",IF('Data Source'!X952&gt;=5,"A+",IF('Data Source'!X952&gt;=4,"A",IF('Data Source'!X952&gt;=3.5,"A-",IF('Data Source'!X952&gt;=3,"B",IF('Data Source'!X952&gt;=2,"C",IF('Data Source'!X952&gt;=1,"D","F")))))))</f>
        <v/>
      </c>
      <c r="G952" s="3">
        <f>IF('Data Source'!B952="","",IF('Data Source'!Y952&gt;=5,"A+",IF('Data Source'!Y952&gt;=4,"A",IF('Data Source'!Y952&gt;=3.5,"A-",IF('Data Source'!Y952&gt;=3,"B",IF('Data Source'!Y952&gt;=2,"C",IF('Data Source'!Y952&gt;=1,"D","F")))))))</f>
        <v/>
      </c>
      <c r="H952" s="3">
        <f>IF('Data Source'!B952="","",IF('Data Source'!Z952&gt;=5,"A+",IF('Data Source'!Z952&gt;=4,"A",IF('Data Source'!Z952&gt;=3.5,"A-",IF('Data Source'!Z952&gt;=3,"B",IF('Data Source'!Z952&gt;=2,"C",IF('Data Source'!Z952&gt;=1,"D","F")))))))</f>
        <v/>
      </c>
      <c r="I952" s="3">
        <f>IF('Data Source'!B952="","",IF('Data Source'!AA952&gt;=5,"A+",IF('Data Source'!AA952&gt;=4,"A",IF('Data Source'!AA952&gt;=3.5,"A-",IF('Data Source'!AA952&gt;=3,"B",IF('Data Source'!AA952&gt;=2,"C",IF('Data Source'!AA952&gt;=1,"D","F")))))))</f>
        <v/>
      </c>
      <c r="J952" s="3">
        <f>IF('Data Source'!B952="","",IF('Data Source'!AB952&gt;=5,"A+",IF('Data Source'!AB952&gt;=4,"A",IF('Data Source'!AB952&gt;=3.5,"A-",IF('Data Source'!AB952&gt;=3,"B",IF('Data Source'!AB952&gt;=2,"C",IF('Data Source'!AB952&gt;=1,"D","F")))))))</f>
        <v/>
      </c>
      <c r="K952" s="3">
        <f>IF('Data Source'!B952="","",IF('Data Source'!AC952&gt;=5,"A+",IF('Data Source'!AC952&gt;=4,"A",IF('Data Source'!AC952&gt;=3.5,"A-",IF('Data Source'!AC952&gt;=3,"B",IF('Data Source'!AC952&gt;=2,"C",IF('Data Source'!AC952&gt;=1,"D","F")))))))</f>
        <v/>
      </c>
      <c r="L952" s="3">
        <f>IF('Data Source'!B952="","",IF('Data Source'!AD952&gt;=5,"A+",IF('Data Source'!AD952&gt;=4,"A",IF('Data Source'!AD952&gt;=3.5,"A-",IF('Data Source'!AD952&gt;=3,"B",IF('Data Source'!AD952&gt;=2,"C",IF('Data Source'!AD952&gt;=1,"D","F")))))))</f>
        <v/>
      </c>
      <c r="M952" s="3">
        <f>IF('Data Source'!B952="","",IF('Data Source'!AE952&gt;=5,"A+",IF('Data Source'!AE952&gt;=4,"A",IF('Data Source'!AE952&gt;=3.5,"A-",IF('Data Source'!AE952&gt;=3,"B",IF('Data Source'!AE952&gt;=2,"C",IF('Data Source'!AE952&gt;=1,"D","F")))))))</f>
        <v/>
      </c>
      <c r="N952" s="3">
        <f>IF('Data Source'!B952="","",IF('Data Source'!AF952&gt;=5,"A+",IF('Data Source'!AF952&gt;=4,"A",IF('Data Source'!AF952&gt;=3.5,"A-",IF('Data Source'!AF952&gt;=3,"B",IF('Data Source'!AF952&gt;=2,"C",IF('Data Source'!AF952&gt;=1,"D","F")))))))</f>
        <v/>
      </c>
      <c r="O952" s="3">
        <f>IF('Data Source'!B952="","",IF('Data Source'!AG952&gt;=5,"A+",IF('Data Source'!AG952&gt;=4,"A",IF('Data Source'!AG952&gt;=3.5,"A-",IF('Data Source'!AG952&gt;=3,"B",IF('Data Source'!AG952&gt;=2,"C",IF('Data Source'!AG952&gt;=1,"D","F")))))))</f>
        <v/>
      </c>
      <c r="P952" s="5">
        <f>IF('Data Source'!B952="","",'Data Source'!R952)</f>
        <v/>
      </c>
      <c r="Q952" s="3">
        <f>IF('Data Source'!B952="","",'Data Source'!S952)</f>
        <v/>
      </c>
    </row>
    <row r="953">
      <c r="A953" s="3">
        <f>IF('Data Source'!B953="","",'Data Source'!A953)</f>
        <v/>
      </c>
      <c r="B953">
        <f>IF('Data Source'!B953="","",'Data Source'!B953)</f>
        <v/>
      </c>
      <c r="C953" s="3">
        <f>IF('Data Source'!B953="","",IF('Data Source'!U953&gt;=5,"A+",IF('Data Source'!U953&gt;=4,"A",IF('Data Source'!U953&gt;=3.5,"A-",IF('Data Source'!U953&gt;=3,"B",IF('Data Source'!U953&gt;=2,"C",IF('Data Source'!U953&gt;=1,"D","F")))))))</f>
        <v/>
      </c>
      <c r="D953" s="3">
        <f>IF('Data Source'!B953="","",IF('Data Source'!V953&gt;=5,"A+",IF('Data Source'!V953&gt;=4,"A",IF('Data Source'!V953&gt;=3.5,"A-",IF('Data Source'!V953&gt;=3,"B",IF('Data Source'!V953&gt;=2,"C",IF('Data Source'!V953&gt;=1,"D","F")))))))</f>
        <v/>
      </c>
      <c r="E953" s="3">
        <f>IF('Data Source'!B953="","",IF('Data Source'!W953&gt;=5,"A+",IF('Data Source'!W953&gt;=4,"A",IF('Data Source'!W953&gt;=3.5,"A-",IF('Data Source'!W953&gt;=3,"B",IF('Data Source'!W953&gt;=2,"C",IF('Data Source'!W953&gt;=1,"D","F")))))))</f>
        <v/>
      </c>
      <c r="F953" s="3">
        <f>IF('Data Source'!B953="","",IF('Data Source'!X953&gt;=5,"A+",IF('Data Source'!X953&gt;=4,"A",IF('Data Source'!X953&gt;=3.5,"A-",IF('Data Source'!X953&gt;=3,"B",IF('Data Source'!X953&gt;=2,"C",IF('Data Source'!X953&gt;=1,"D","F")))))))</f>
        <v/>
      </c>
      <c r="G953" s="3">
        <f>IF('Data Source'!B953="","",IF('Data Source'!Y953&gt;=5,"A+",IF('Data Source'!Y953&gt;=4,"A",IF('Data Source'!Y953&gt;=3.5,"A-",IF('Data Source'!Y953&gt;=3,"B",IF('Data Source'!Y953&gt;=2,"C",IF('Data Source'!Y953&gt;=1,"D","F")))))))</f>
        <v/>
      </c>
      <c r="H953" s="3">
        <f>IF('Data Source'!B953="","",IF('Data Source'!Z953&gt;=5,"A+",IF('Data Source'!Z953&gt;=4,"A",IF('Data Source'!Z953&gt;=3.5,"A-",IF('Data Source'!Z953&gt;=3,"B",IF('Data Source'!Z953&gt;=2,"C",IF('Data Source'!Z953&gt;=1,"D","F")))))))</f>
        <v/>
      </c>
      <c r="I953" s="3">
        <f>IF('Data Source'!B953="","",IF('Data Source'!AA953&gt;=5,"A+",IF('Data Source'!AA953&gt;=4,"A",IF('Data Source'!AA953&gt;=3.5,"A-",IF('Data Source'!AA953&gt;=3,"B",IF('Data Source'!AA953&gt;=2,"C",IF('Data Source'!AA953&gt;=1,"D","F")))))))</f>
        <v/>
      </c>
      <c r="J953" s="3">
        <f>IF('Data Source'!B953="","",IF('Data Source'!AB953&gt;=5,"A+",IF('Data Source'!AB953&gt;=4,"A",IF('Data Source'!AB953&gt;=3.5,"A-",IF('Data Source'!AB953&gt;=3,"B",IF('Data Source'!AB953&gt;=2,"C",IF('Data Source'!AB953&gt;=1,"D","F")))))))</f>
        <v/>
      </c>
      <c r="K953" s="3">
        <f>IF('Data Source'!B953="","",IF('Data Source'!AC953&gt;=5,"A+",IF('Data Source'!AC953&gt;=4,"A",IF('Data Source'!AC953&gt;=3.5,"A-",IF('Data Source'!AC953&gt;=3,"B",IF('Data Source'!AC953&gt;=2,"C",IF('Data Source'!AC953&gt;=1,"D","F")))))))</f>
        <v/>
      </c>
      <c r="L953" s="3">
        <f>IF('Data Source'!B953="","",IF('Data Source'!AD953&gt;=5,"A+",IF('Data Source'!AD953&gt;=4,"A",IF('Data Source'!AD953&gt;=3.5,"A-",IF('Data Source'!AD953&gt;=3,"B",IF('Data Source'!AD953&gt;=2,"C",IF('Data Source'!AD953&gt;=1,"D","F")))))))</f>
        <v/>
      </c>
      <c r="M953" s="3">
        <f>IF('Data Source'!B953="","",IF('Data Source'!AE953&gt;=5,"A+",IF('Data Source'!AE953&gt;=4,"A",IF('Data Source'!AE953&gt;=3.5,"A-",IF('Data Source'!AE953&gt;=3,"B",IF('Data Source'!AE953&gt;=2,"C",IF('Data Source'!AE953&gt;=1,"D","F")))))))</f>
        <v/>
      </c>
      <c r="N953" s="3">
        <f>IF('Data Source'!B953="","",IF('Data Source'!AF953&gt;=5,"A+",IF('Data Source'!AF953&gt;=4,"A",IF('Data Source'!AF953&gt;=3.5,"A-",IF('Data Source'!AF953&gt;=3,"B",IF('Data Source'!AF953&gt;=2,"C",IF('Data Source'!AF953&gt;=1,"D","F")))))))</f>
        <v/>
      </c>
      <c r="O953" s="3">
        <f>IF('Data Source'!B953="","",IF('Data Source'!AG953&gt;=5,"A+",IF('Data Source'!AG953&gt;=4,"A",IF('Data Source'!AG953&gt;=3.5,"A-",IF('Data Source'!AG953&gt;=3,"B",IF('Data Source'!AG953&gt;=2,"C",IF('Data Source'!AG953&gt;=1,"D","F")))))))</f>
        <v/>
      </c>
      <c r="P953" s="5">
        <f>IF('Data Source'!B953="","",'Data Source'!R953)</f>
        <v/>
      </c>
      <c r="Q953" s="3">
        <f>IF('Data Source'!B953="","",'Data Source'!S953)</f>
        <v/>
      </c>
    </row>
    <row r="954">
      <c r="A954" s="3">
        <f>IF('Data Source'!B954="","",'Data Source'!A954)</f>
        <v/>
      </c>
      <c r="B954">
        <f>IF('Data Source'!B954="","",'Data Source'!B954)</f>
        <v/>
      </c>
      <c r="C954" s="3">
        <f>IF('Data Source'!B954="","",IF('Data Source'!U954&gt;=5,"A+",IF('Data Source'!U954&gt;=4,"A",IF('Data Source'!U954&gt;=3.5,"A-",IF('Data Source'!U954&gt;=3,"B",IF('Data Source'!U954&gt;=2,"C",IF('Data Source'!U954&gt;=1,"D","F")))))))</f>
        <v/>
      </c>
      <c r="D954" s="3">
        <f>IF('Data Source'!B954="","",IF('Data Source'!V954&gt;=5,"A+",IF('Data Source'!V954&gt;=4,"A",IF('Data Source'!V954&gt;=3.5,"A-",IF('Data Source'!V954&gt;=3,"B",IF('Data Source'!V954&gt;=2,"C",IF('Data Source'!V954&gt;=1,"D","F")))))))</f>
        <v/>
      </c>
      <c r="E954" s="3">
        <f>IF('Data Source'!B954="","",IF('Data Source'!W954&gt;=5,"A+",IF('Data Source'!W954&gt;=4,"A",IF('Data Source'!W954&gt;=3.5,"A-",IF('Data Source'!W954&gt;=3,"B",IF('Data Source'!W954&gt;=2,"C",IF('Data Source'!W954&gt;=1,"D","F")))))))</f>
        <v/>
      </c>
      <c r="F954" s="3">
        <f>IF('Data Source'!B954="","",IF('Data Source'!X954&gt;=5,"A+",IF('Data Source'!X954&gt;=4,"A",IF('Data Source'!X954&gt;=3.5,"A-",IF('Data Source'!X954&gt;=3,"B",IF('Data Source'!X954&gt;=2,"C",IF('Data Source'!X954&gt;=1,"D","F")))))))</f>
        <v/>
      </c>
      <c r="G954" s="3">
        <f>IF('Data Source'!B954="","",IF('Data Source'!Y954&gt;=5,"A+",IF('Data Source'!Y954&gt;=4,"A",IF('Data Source'!Y954&gt;=3.5,"A-",IF('Data Source'!Y954&gt;=3,"B",IF('Data Source'!Y954&gt;=2,"C",IF('Data Source'!Y954&gt;=1,"D","F")))))))</f>
        <v/>
      </c>
      <c r="H954" s="3">
        <f>IF('Data Source'!B954="","",IF('Data Source'!Z954&gt;=5,"A+",IF('Data Source'!Z954&gt;=4,"A",IF('Data Source'!Z954&gt;=3.5,"A-",IF('Data Source'!Z954&gt;=3,"B",IF('Data Source'!Z954&gt;=2,"C",IF('Data Source'!Z954&gt;=1,"D","F")))))))</f>
        <v/>
      </c>
      <c r="I954" s="3">
        <f>IF('Data Source'!B954="","",IF('Data Source'!AA954&gt;=5,"A+",IF('Data Source'!AA954&gt;=4,"A",IF('Data Source'!AA954&gt;=3.5,"A-",IF('Data Source'!AA954&gt;=3,"B",IF('Data Source'!AA954&gt;=2,"C",IF('Data Source'!AA954&gt;=1,"D","F")))))))</f>
        <v/>
      </c>
      <c r="J954" s="3">
        <f>IF('Data Source'!B954="","",IF('Data Source'!AB954&gt;=5,"A+",IF('Data Source'!AB954&gt;=4,"A",IF('Data Source'!AB954&gt;=3.5,"A-",IF('Data Source'!AB954&gt;=3,"B",IF('Data Source'!AB954&gt;=2,"C",IF('Data Source'!AB954&gt;=1,"D","F")))))))</f>
        <v/>
      </c>
      <c r="K954" s="3">
        <f>IF('Data Source'!B954="","",IF('Data Source'!AC954&gt;=5,"A+",IF('Data Source'!AC954&gt;=4,"A",IF('Data Source'!AC954&gt;=3.5,"A-",IF('Data Source'!AC954&gt;=3,"B",IF('Data Source'!AC954&gt;=2,"C",IF('Data Source'!AC954&gt;=1,"D","F")))))))</f>
        <v/>
      </c>
      <c r="L954" s="3">
        <f>IF('Data Source'!B954="","",IF('Data Source'!AD954&gt;=5,"A+",IF('Data Source'!AD954&gt;=4,"A",IF('Data Source'!AD954&gt;=3.5,"A-",IF('Data Source'!AD954&gt;=3,"B",IF('Data Source'!AD954&gt;=2,"C",IF('Data Source'!AD954&gt;=1,"D","F")))))))</f>
        <v/>
      </c>
      <c r="M954" s="3">
        <f>IF('Data Source'!B954="","",IF('Data Source'!AE954&gt;=5,"A+",IF('Data Source'!AE954&gt;=4,"A",IF('Data Source'!AE954&gt;=3.5,"A-",IF('Data Source'!AE954&gt;=3,"B",IF('Data Source'!AE954&gt;=2,"C",IF('Data Source'!AE954&gt;=1,"D","F")))))))</f>
        <v/>
      </c>
      <c r="N954" s="3">
        <f>IF('Data Source'!B954="","",IF('Data Source'!AF954&gt;=5,"A+",IF('Data Source'!AF954&gt;=4,"A",IF('Data Source'!AF954&gt;=3.5,"A-",IF('Data Source'!AF954&gt;=3,"B",IF('Data Source'!AF954&gt;=2,"C",IF('Data Source'!AF954&gt;=1,"D","F")))))))</f>
        <v/>
      </c>
      <c r="O954" s="3">
        <f>IF('Data Source'!B954="","",IF('Data Source'!AG954&gt;=5,"A+",IF('Data Source'!AG954&gt;=4,"A",IF('Data Source'!AG954&gt;=3.5,"A-",IF('Data Source'!AG954&gt;=3,"B",IF('Data Source'!AG954&gt;=2,"C",IF('Data Source'!AG954&gt;=1,"D","F")))))))</f>
        <v/>
      </c>
      <c r="P954" s="5">
        <f>IF('Data Source'!B954="","",'Data Source'!R954)</f>
        <v/>
      </c>
      <c r="Q954" s="3">
        <f>IF('Data Source'!B954="","",'Data Source'!S954)</f>
        <v/>
      </c>
    </row>
    <row r="955">
      <c r="A955" s="3">
        <f>IF('Data Source'!B955="","",'Data Source'!A955)</f>
        <v/>
      </c>
      <c r="B955">
        <f>IF('Data Source'!B955="","",'Data Source'!B955)</f>
        <v/>
      </c>
      <c r="C955" s="3">
        <f>IF('Data Source'!B955="","",IF('Data Source'!U955&gt;=5,"A+",IF('Data Source'!U955&gt;=4,"A",IF('Data Source'!U955&gt;=3.5,"A-",IF('Data Source'!U955&gt;=3,"B",IF('Data Source'!U955&gt;=2,"C",IF('Data Source'!U955&gt;=1,"D","F")))))))</f>
        <v/>
      </c>
      <c r="D955" s="3">
        <f>IF('Data Source'!B955="","",IF('Data Source'!V955&gt;=5,"A+",IF('Data Source'!V955&gt;=4,"A",IF('Data Source'!V955&gt;=3.5,"A-",IF('Data Source'!V955&gt;=3,"B",IF('Data Source'!V955&gt;=2,"C",IF('Data Source'!V955&gt;=1,"D","F")))))))</f>
        <v/>
      </c>
      <c r="E955" s="3">
        <f>IF('Data Source'!B955="","",IF('Data Source'!W955&gt;=5,"A+",IF('Data Source'!W955&gt;=4,"A",IF('Data Source'!W955&gt;=3.5,"A-",IF('Data Source'!W955&gt;=3,"B",IF('Data Source'!W955&gt;=2,"C",IF('Data Source'!W955&gt;=1,"D","F")))))))</f>
        <v/>
      </c>
      <c r="F955" s="3">
        <f>IF('Data Source'!B955="","",IF('Data Source'!X955&gt;=5,"A+",IF('Data Source'!X955&gt;=4,"A",IF('Data Source'!X955&gt;=3.5,"A-",IF('Data Source'!X955&gt;=3,"B",IF('Data Source'!X955&gt;=2,"C",IF('Data Source'!X955&gt;=1,"D","F")))))))</f>
        <v/>
      </c>
      <c r="G955" s="3">
        <f>IF('Data Source'!B955="","",IF('Data Source'!Y955&gt;=5,"A+",IF('Data Source'!Y955&gt;=4,"A",IF('Data Source'!Y955&gt;=3.5,"A-",IF('Data Source'!Y955&gt;=3,"B",IF('Data Source'!Y955&gt;=2,"C",IF('Data Source'!Y955&gt;=1,"D","F")))))))</f>
        <v/>
      </c>
      <c r="H955" s="3">
        <f>IF('Data Source'!B955="","",IF('Data Source'!Z955&gt;=5,"A+",IF('Data Source'!Z955&gt;=4,"A",IF('Data Source'!Z955&gt;=3.5,"A-",IF('Data Source'!Z955&gt;=3,"B",IF('Data Source'!Z955&gt;=2,"C",IF('Data Source'!Z955&gt;=1,"D","F")))))))</f>
        <v/>
      </c>
      <c r="I955" s="3">
        <f>IF('Data Source'!B955="","",IF('Data Source'!AA955&gt;=5,"A+",IF('Data Source'!AA955&gt;=4,"A",IF('Data Source'!AA955&gt;=3.5,"A-",IF('Data Source'!AA955&gt;=3,"B",IF('Data Source'!AA955&gt;=2,"C",IF('Data Source'!AA955&gt;=1,"D","F")))))))</f>
        <v/>
      </c>
      <c r="J955" s="3">
        <f>IF('Data Source'!B955="","",IF('Data Source'!AB955&gt;=5,"A+",IF('Data Source'!AB955&gt;=4,"A",IF('Data Source'!AB955&gt;=3.5,"A-",IF('Data Source'!AB955&gt;=3,"B",IF('Data Source'!AB955&gt;=2,"C",IF('Data Source'!AB955&gt;=1,"D","F")))))))</f>
        <v/>
      </c>
      <c r="K955" s="3">
        <f>IF('Data Source'!B955="","",IF('Data Source'!AC955&gt;=5,"A+",IF('Data Source'!AC955&gt;=4,"A",IF('Data Source'!AC955&gt;=3.5,"A-",IF('Data Source'!AC955&gt;=3,"B",IF('Data Source'!AC955&gt;=2,"C",IF('Data Source'!AC955&gt;=1,"D","F")))))))</f>
        <v/>
      </c>
      <c r="L955" s="3">
        <f>IF('Data Source'!B955="","",IF('Data Source'!AD955&gt;=5,"A+",IF('Data Source'!AD955&gt;=4,"A",IF('Data Source'!AD955&gt;=3.5,"A-",IF('Data Source'!AD955&gt;=3,"B",IF('Data Source'!AD955&gt;=2,"C",IF('Data Source'!AD955&gt;=1,"D","F")))))))</f>
        <v/>
      </c>
      <c r="M955" s="3">
        <f>IF('Data Source'!B955="","",IF('Data Source'!AE955&gt;=5,"A+",IF('Data Source'!AE955&gt;=4,"A",IF('Data Source'!AE955&gt;=3.5,"A-",IF('Data Source'!AE955&gt;=3,"B",IF('Data Source'!AE955&gt;=2,"C",IF('Data Source'!AE955&gt;=1,"D","F")))))))</f>
        <v/>
      </c>
      <c r="N955" s="3">
        <f>IF('Data Source'!B955="","",IF('Data Source'!AF955&gt;=5,"A+",IF('Data Source'!AF955&gt;=4,"A",IF('Data Source'!AF955&gt;=3.5,"A-",IF('Data Source'!AF955&gt;=3,"B",IF('Data Source'!AF955&gt;=2,"C",IF('Data Source'!AF955&gt;=1,"D","F")))))))</f>
        <v/>
      </c>
      <c r="O955" s="3">
        <f>IF('Data Source'!B955="","",IF('Data Source'!AG955&gt;=5,"A+",IF('Data Source'!AG955&gt;=4,"A",IF('Data Source'!AG955&gt;=3.5,"A-",IF('Data Source'!AG955&gt;=3,"B",IF('Data Source'!AG955&gt;=2,"C",IF('Data Source'!AG955&gt;=1,"D","F")))))))</f>
        <v/>
      </c>
      <c r="P955" s="5">
        <f>IF('Data Source'!B955="","",'Data Source'!R955)</f>
        <v/>
      </c>
      <c r="Q955" s="3">
        <f>IF('Data Source'!B955="","",'Data Source'!S955)</f>
        <v/>
      </c>
    </row>
    <row r="956">
      <c r="A956" s="3">
        <f>IF('Data Source'!B956="","",'Data Source'!A956)</f>
        <v/>
      </c>
      <c r="B956">
        <f>IF('Data Source'!B956="","",'Data Source'!B956)</f>
        <v/>
      </c>
      <c r="C956" s="3">
        <f>IF('Data Source'!B956="","",IF('Data Source'!U956&gt;=5,"A+",IF('Data Source'!U956&gt;=4,"A",IF('Data Source'!U956&gt;=3.5,"A-",IF('Data Source'!U956&gt;=3,"B",IF('Data Source'!U956&gt;=2,"C",IF('Data Source'!U956&gt;=1,"D","F")))))))</f>
        <v/>
      </c>
      <c r="D956" s="3">
        <f>IF('Data Source'!B956="","",IF('Data Source'!V956&gt;=5,"A+",IF('Data Source'!V956&gt;=4,"A",IF('Data Source'!V956&gt;=3.5,"A-",IF('Data Source'!V956&gt;=3,"B",IF('Data Source'!V956&gt;=2,"C",IF('Data Source'!V956&gt;=1,"D","F")))))))</f>
        <v/>
      </c>
      <c r="E956" s="3">
        <f>IF('Data Source'!B956="","",IF('Data Source'!W956&gt;=5,"A+",IF('Data Source'!W956&gt;=4,"A",IF('Data Source'!W956&gt;=3.5,"A-",IF('Data Source'!W956&gt;=3,"B",IF('Data Source'!W956&gt;=2,"C",IF('Data Source'!W956&gt;=1,"D","F")))))))</f>
        <v/>
      </c>
      <c r="F956" s="3">
        <f>IF('Data Source'!B956="","",IF('Data Source'!X956&gt;=5,"A+",IF('Data Source'!X956&gt;=4,"A",IF('Data Source'!X956&gt;=3.5,"A-",IF('Data Source'!X956&gt;=3,"B",IF('Data Source'!X956&gt;=2,"C",IF('Data Source'!X956&gt;=1,"D","F")))))))</f>
        <v/>
      </c>
      <c r="G956" s="3">
        <f>IF('Data Source'!B956="","",IF('Data Source'!Y956&gt;=5,"A+",IF('Data Source'!Y956&gt;=4,"A",IF('Data Source'!Y956&gt;=3.5,"A-",IF('Data Source'!Y956&gt;=3,"B",IF('Data Source'!Y956&gt;=2,"C",IF('Data Source'!Y956&gt;=1,"D","F")))))))</f>
        <v/>
      </c>
      <c r="H956" s="3">
        <f>IF('Data Source'!B956="","",IF('Data Source'!Z956&gt;=5,"A+",IF('Data Source'!Z956&gt;=4,"A",IF('Data Source'!Z956&gt;=3.5,"A-",IF('Data Source'!Z956&gt;=3,"B",IF('Data Source'!Z956&gt;=2,"C",IF('Data Source'!Z956&gt;=1,"D","F")))))))</f>
        <v/>
      </c>
      <c r="I956" s="3">
        <f>IF('Data Source'!B956="","",IF('Data Source'!AA956&gt;=5,"A+",IF('Data Source'!AA956&gt;=4,"A",IF('Data Source'!AA956&gt;=3.5,"A-",IF('Data Source'!AA956&gt;=3,"B",IF('Data Source'!AA956&gt;=2,"C",IF('Data Source'!AA956&gt;=1,"D","F")))))))</f>
        <v/>
      </c>
      <c r="J956" s="3">
        <f>IF('Data Source'!B956="","",IF('Data Source'!AB956&gt;=5,"A+",IF('Data Source'!AB956&gt;=4,"A",IF('Data Source'!AB956&gt;=3.5,"A-",IF('Data Source'!AB956&gt;=3,"B",IF('Data Source'!AB956&gt;=2,"C",IF('Data Source'!AB956&gt;=1,"D","F")))))))</f>
        <v/>
      </c>
      <c r="K956" s="3">
        <f>IF('Data Source'!B956="","",IF('Data Source'!AC956&gt;=5,"A+",IF('Data Source'!AC956&gt;=4,"A",IF('Data Source'!AC956&gt;=3.5,"A-",IF('Data Source'!AC956&gt;=3,"B",IF('Data Source'!AC956&gt;=2,"C",IF('Data Source'!AC956&gt;=1,"D","F")))))))</f>
        <v/>
      </c>
      <c r="L956" s="3">
        <f>IF('Data Source'!B956="","",IF('Data Source'!AD956&gt;=5,"A+",IF('Data Source'!AD956&gt;=4,"A",IF('Data Source'!AD956&gt;=3.5,"A-",IF('Data Source'!AD956&gt;=3,"B",IF('Data Source'!AD956&gt;=2,"C",IF('Data Source'!AD956&gt;=1,"D","F")))))))</f>
        <v/>
      </c>
      <c r="M956" s="3">
        <f>IF('Data Source'!B956="","",IF('Data Source'!AE956&gt;=5,"A+",IF('Data Source'!AE956&gt;=4,"A",IF('Data Source'!AE956&gt;=3.5,"A-",IF('Data Source'!AE956&gt;=3,"B",IF('Data Source'!AE956&gt;=2,"C",IF('Data Source'!AE956&gt;=1,"D","F")))))))</f>
        <v/>
      </c>
      <c r="N956" s="3">
        <f>IF('Data Source'!B956="","",IF('Data Source'!AF956&gt;=5,"A+",IF('Data Source'!AF956&gt;=4,"A",IF('Data Source'!AF956&gt;=3.5,"A-",IF('Data Source'!AF956&gt;=3,"B",IF('Data Source'!AF956&gt;=2,"C",IF('Data Source'!AF956&gt;=1,"D","F")))))))</f>
        <v/>
      </c>
      <c r="O956" s="3">
        <f>IF('Data Source'!B956="","",IF('Data Source'!AG956&gt;=5,"A+",IF('Data Source'!AG956&gt;=4,"A",IF('Data Source'!AG956&gt;=3.5,"A-",IF('Data Source'!AG956&gt;=3,"B",IF('Data Source'!AG956&gt;=2,"C",IF('Data Source'!AG956&gt;=1,"D","F")))))))</f>
        <v/>
      </c>
      <c r="P956" s="5">
        <f>IF('Data Source'!B956="","",'Data Source'!R956)</f>
        <v/>
      </c>
      <c r="Q956" s="3">
        <f>IF('Data Source'!B956="","",'Data Source'!S956)</f>
        <v/>
      </c>
    </row>
    <row r="957">
      <c r="A957" s="3">
        <f>IF('Data Source'!B957="","",'Data Source'!A957)</f>
        <v/>
      </c>
      <c r="B957">
        <f>IF('Data Source'!B957="","",'Data Source'!B957)</f>
        <v/>
      </c>
      <c r="C957" s="3">
        <f>IF('Data Source'!B957="","",IF('Data Source'!U957&gt;=5,"A+",IF('Data Source'!U957&gt;=4,"A",IF('Data Source'!U957&gt;=3.5,"A-",IF('Data Source'!U957&gt;=3,"B",IF('Data Source'!U957&gt;=2,"C",IF('Data Source'!U957&gt;=1,"D","F")))))))</f>
        <v/>
      </c>
      <c r="D957" s="3">
        <f>IF('Data Source'!B957="","",IF('Data Source'!V957&gt;=5,"A+",IF('Data Source'!V957&gt;=4,"A",IF('Data Source'!V957&gt;=3.5,"A-",IF('Data Source'!V957&gt;=3,"B",IF('Data Source'!V957&gt;=2,"C",IF('Data Source'!V957&gt;=1,"D","F")))))))</f>
        <v/>
      </c>
      <c r="E957" s="3">
        <f>IF('Data Source'!B957="","",IF('Data Source'!W957&gt;=5,"A+",IF('Data Source'!W957&gt;=4,"A",IF('Data Source'!W957&gt;=3.5,"A-",IF('Data Source'!W957&gt;=3,"B",IF('Data Source'!W957&gt;=2,"C",IF('Data Source'!W957&gt;=1,"D","F")))))))</f>
        <v/>
      </c>
      <c r="F957" s="3">
        <f>IF('Data Source'!B957="","",IF('Data Source'!X957&gt;=5,"A+",IF('Data Source'!X957&gt;=4,"A",IF('Data Source'!X957&gt;=3.5,"A-",IF('Data Source'!X957&gt;=3,"B",IF('Data Source'!X957&gt;=2,"C",IF('Data Source'!X957&gt;=1,"D","F")))))))</f>
        <v/>
      </c>
      <c r="G957" s="3">
        <f>IF('Data Source'!B957="","",IF('Data Source'!Y957&gt;=5,"A+",IF('Data Source'!Y957&gt;=4,"A",IF('Data Source'!Y957&gt;=3.5,"A-",IF('Data Source'!Y957&gt;=3,"B",IF('Data Source'!Y957&gt;=2,"C",IF('Data Source'!Y957&gt;=1,"D","F")))))))</f>
        <v/>
      </c>
      <c r="H957" s="3">
        <f>IF('Data Source'!B957="","",IF('Data Source'!Z957&gt;=5,"A+",IF('Data Source'!Z957&gt;=4,"A",IF('Data Source'!Z957&gt;=3.5,"A-",IF('Data Source'!Z957&gt;=3,"B",IF('Data Source'!Z957&gt;=2,"C",IF('Data Source'!Z957&gt;=1,"D","F")))))))</f>
        <v/>
      </c>
      <c r="I957" s="3">
        <f>IF('Data Source'!B957="","",IF('Data Source'!AA957&gt;=5,"A+",IF('Data Source'!AA957&gt;=4,"A",IF('Data Source'!AA957&gt;=3.5,"A-",IF('Data Source'!AA957&gt;=3,"B",IF('Data Source'!AA957&gt;=2,"C",IF('Data Source'!AA957&gt;=1,"D","F")))))))</f>
        <v/>
      </c>
      <c r="J957" s="3">
        <f>IF('Data Source'!B957="","",IF('Data Source'!AB957&gt;=5,"A+",IF('Data Source'!AB957&gt;=4,"A",IF('Data Source'!AB957&gt;=3.5,"A-",IF('Data Source'!AB957&gt;=3,"B",IF('Data Source'!AB957&gt;=2,"C",IF('Data Source'!AB957&gt;=1,"D","F")))))))</f>
        <v/>
      </c>
      <c r="K957" s="3">
        <f>IF('Data Source'!B957="","",IF('Data Source'!AC957&gt;=5,"A+",IF('Data Source'!AC957&gt;=4,"A",IF('Data Source'!AC957&gt;=3.5,"A-",IF('Data Source'!AC957&gt;=3,"B",IF('Data Source'!AC957&gt;=2,"C",IF('Data Source'!AC957&gt;=1,"D","F")))))))</f>
        <v/>
      </c>
      <c r="L957" s="3">
        <f>IF('Data Source'!B957="","",IF('Data Source'!AD957&gt;=5,"A+",IF('Data Source'!AD957&gt;=4,"A",IF('Data Source'!AD957&gt;=3.5,"A-",IF('Data Source'!AD957&gt;=3,"B",IF('Data Source'!AD957&gt;=2,"C",IF('Data Source'!AD957&gt;=1,"D","F")))))))</f>
        <v/>
      </c>
      <c r="M957" s="3">
        <f>IF('Data Source'!B957="","",IF('Data Source'!AE957&gt;=5,"A+",IF('Data Source'!AE957&gt;=4,"A",IF('Data Source'!AE957&gt;=3.5,"A-",IF('Data Source'!AE957&gt;=3,"B",IF('Data Source'!AE957&gt;=2,"C",IF('Data Source'!AE957&gt;=1,"D","F")))))))</f>
        <v/>
      </c>
      <c r="N957" s="3">
        <f>IF('Data Source'!B957="","",IF('Data Source'!AF957&gt;=5,"A+",IF('Data Source'!AF957&gt;=4,"A",IF('Data Source'!AF957&gt;=3.5,"A-",IF('Data Source'!AF957&gt;=3,"B",IF('Data Source'!AF957&gt;=2,"C",IF('Data Source'!AF957&gt;=1,"D","F")))))))</f>
        <v/>
      </c>
      <c r="O957" s="3">
        <f>IF('Data Source'!B957="","",IF('Data Source'!AG957&gt;=5,"A+",IF('Data Source'!AG957&gt;=4,"A",IF('Data Source'!AG957&gt;=3.5,"A-",IF('Data Source'!AG957&gt;=3,"B",IF('Data Source'!AG957&gt;=2,"C",IF('Data Source'!AG957&gt;=1,"D","F")))))))</f>
        <v/>
      </c>
      <c r="P957" s="5">
        <f>IF('Data Source'!B957="","",'Data Source'!R957)</f>
        <v/>
      </c>
      <c r="Q957" s="3">
        <f>IF('Data Source'!B957="","",'Data Source'!S957)</f>
        <v/>
      </c>
    </row>
    <row r="958">
      <c r="A958" s="3">
        <f>IF('Data Source'!B958="","",'Data Source'!A958)</f>
        <v/>
      </c>
      <c r="B958">
        <f>IF('Data Source'!B958="","",'Data Source'!B958)</f>
        <v/>
      </c>
      <c r="C958" s="3">
        <f>IF('Data Source'!B958="","",IF('Data Source'!U958&gt;=5,"A+",IF('Data Source'!U958&gt;=4,"A",IF('Data Source'!U958&gt;=3.5,"A-",IF('Data Source'!U958&gt;=3,"B",IF('Data Source'!U958&gt;=2,"C",IF('Data Source'!U958&gt;=1,"D","F")))))))</f>
        <v/>
      </c>
      <c r="D958" s="3">
        <f>IF('Data Source'!B958="","",IF('Data Source'!V958&gt;=5,"A+",IF('Data Source'!V958&gt;=4,"A",IF('Data Source'!V958&gt;=3.5,"A-",IF('Data Source'!V958&gt;=3,"B",IF('Data Source'!V958&gt;=2,"C",IF('Data Source'!V958&gt;=1,"D","F")))))))</f>
        <v/>
      </c>
      <c r="E958" s="3">
        <f>IF('Data Source'!B958="","",IF('Data Source'!W958&gt;=5,"A+",IF('Data Source'!W958&gt;=4,"A",IF('Data Source'!W958&gt;=3.5,"A-",IF('Data Source'!W958&gt;=3,"B",IF('Data Source'!W958&gt;=2,"C",IF('Data Source'!W958&gt;=1,"D","F")))))))</f>
        <v/>
      </c>
      <c r="F958" s="3">
        <f>IF('Data Source'!B958="","",IF('Data Source'!X958&gt;=5,"A+",IF('Data Source'!X958&gt;=4,"A",IF('Data Source'!X958&gt;=3.5,"A-",IF('Data Source'!X958&gt;=3,"B",IF('Data Source'!X958&gt;=2,"C",IF('Data Source'!X958&gt;=1,"D","F")))))))</f>
        <v/>
      </c>
      <c r="G958" s="3">
        <f>IF('Data Source'!B958="","",IF('Data Source'!Y958&gt;=5,"A+",IF('Data Source'!Y958&gt;=4,"A",IF('Data Source'!Y958&gt;=3.5,"A-",IF('Data Source'!Y958&gt;=3,"B",IF('Data Source'!Y958&gt;=2,"C",IF('Data Source'!Y958&gt;=1,"D","F")))))))</f>
        <v/>
      </c>
      <c r="H958" s="3">
        <f>IF('Data Source'!B958="","",IF('Data Source'!Z958&gt;=5,"A+",IF('Data Source'!Z958&gt;=4,"A",IF('Data Source'!Z958&gt;=3.5,"A-",IF('Data Source'!Z958&gt;=3,"B",IF('Data Source'!Z958&gt;=2,"C",IF('Data Source'!Z958&gt;=1,"D","F")))))))</f>
        <v/>
      </c>
      <c r="I958" s="3">
        <f>IF('Data Source'!B958="","",IF('Data Source'!AA958&gt;=5,"A+",IF('Data Source'!AA958&gt;=4,"A",IF('Data Source'!AA958&gt;=3.5,"A-",IF('Data Source'!AA958&gt;=3,"B",IF('Data Source'!AA958&gt;=2,"C",IF('Data Source'!AA958&gt;=1,"D","F")))))))</f>
        <v/>
      </c>
      <c r="J958" s="3">
        <f>IF('Data Source'!B958="","",IF('Data Source'!AB958&gt;=5,"A+",IF('Data Source'!AB958&gt;=4,"A",IF('Data Source'!AB958&gt;=3.5,"A-",IF('Data Source'!AB958&gt;=3,"B",IF('Data Source'!AB958&gt;=2,"C",IF('Data Source'!AB958&gt;=1,"D","F")))))))</f>
        <v/>
      </c>
      <c r="K958" s="3">
        <f>IF('Data Source'!B958="","",IF('Data Source'!AC958&gt;=5,"A+",IF('Data Source'!AC958&gt;=4,"A",IF('Data Source'!AC958&gt;=3.5,"A-",IF('Data Source'!AC958&gt;=3,"B",IF('Data Source'!AC958&gt;=2,"C",IF('Data Source'!AC958&gt;=1,"D","F")))))))</f>
        <v/>
      </c>
      <c r="L958" s="3">
        <f>IF('Data Source'!B958="","",IF('Data Source'!AD958&gt;=5,"A+",IF('Data Source'!AD958&gt;=4,"A",IF('Data Source'!AD958&gt;=3.5,"A-",IF('Data Source'!AD958&gt;=3,"B",IF('Data Source'!AD958&gt;=2,"C",IF('Data Source'!AD958&gt;=1,"D","F")))))))</f>
        <v/>
      </c>
      <c r="M958" s="3">
        <f>IF('Data Source'!B958="","",IF('Data Source'!AE958&gt;=5,"A+",IF('Data Source'!AE958&gt;=4,"A",IF('Data Source'!AE958&gt;=3.5,"A-",IF('Data Source'!AE958&gt;=3,"B",IF('Data Source'!AE958&gt;=2,"C",IF('Data Source'!AE958&gt;=1,"D","F")))))))</f>
        <v/>
      </c>
      <c r="N958" s="3">
        <f>IF('Data Source'!B958="","",IF('Data Source'!AF958&gt;=5,"A+",IF('Data Source'!AF958&gt;=4,"A",IF('Data Source'!AF958&gt;=3.5,"A-",IF('Data Source'!AF958&gt;=3,"B",IF('Data Source'!AF958&gt;=2,"C",IF('Data Source'!AF958&gt;=1,"D","F")))))))</f>
        <v/>
      </c>
      <c r="O958" s="3">
        <f>IF('Data Source'!B958="","",IF('Data Source'!AG958&gt;=5,"A+",IF('Data Source'!AG958&gt;=4,"A",IF('Data Source'!AG958&gt;=3.5,"A-",IF('Data Source'!AG958&gt;=3,"B",IF('Data Source'!AG958&gt;=2,"C",IF('Data Source'!AG958&gt;=1,"D","F")))))))</f>
        <v/>
      </c>
      <c r="P958" s="5">
        <f>IF('Data Source'!B958="","",'Data Source'!R958)</f>
        <v/>
      </c>
      <c r="Q958" s="3">
        <f>IF('Data Source'!B958="","",'Data Source'!S958)</f>
        <v/>
      </c>
    </row>
    <row r="959">
      <c r="A959" s="3">
        <f>IF('Data Source'!B959="","",'Data Source'!A959)</f>
        <v/>
      </c>
      <c r="B959">
        <f>IF('Data Source'!B959="","",'Data Source'!B959)</f>
        <v/>
      </c>
      <c r="C959" s="3">
        <f>IF('Data Source'!B959="","",IF('Data Source'!U959&gt;=5,"A+",IF('Data Source'!U959&gt;=4,"A",IF('Data Source'!U959&gt;=3.5,"A-",IF('Data Source'!U959&gt;=3,"B",IF('Data Source'!U959&gt;=2,"C",IF('Data Source'!U959&gt;=1,"D","F")))))))</f>
        <v/>
      </c>
      <c r="D959" s="3">
        <f>IF('Data Source'!B959="","",IF('Data Source'!V959&gt;=5,"A+",IF('Data Source'!V959&gt;=4,"A",IF('Data Source'!V959&gt;=3.5,"A-",IF('Data Source'!V959&gt;=3,"B",IF('Data Source'!V959&gt;=2,"C",IF('Data Source'!V959&gt;=1,"D","F")))))))</f>
        <v/>
      </c>
      <c r="E959" s="3">
        <f>IF('Data Source'!B959="","",IF('Data Source'!W959&gt;=5,"A+",IF('Data Source'!W959&gt;=4,"A",IF('Data Source'!W959&gt;=3.5,"A-",IF('Data Source'!W959&gt;=3,"B",IF('Data Source'!W959&gt;=2,"C",IF('Data Source'!W959&gt;=1,"D","F")))))))</f>
        <v/>
      </c>
      <c r="F959" s="3">
        <f>IF('Data Source'!B959="","",IF('Data Source'!X959&gt;=5,"A+",IF('Data Source'!X959&gt;=4,"A",IF('Data Source'!X959&gt;=3.5,"A-",IF('Data Source'!X959&gt;=3,"B",IF('Data Source'!X959&gt;=2,"C",IF('Data Source'!X959&gt;=1,"D","F")))))))</f>
        <v/>
      </c>
      <c r="G959" s="3">
        <f>IF('Data Source'!B959="","",IF('Data Source'!Y959&gt;=5,"A+",IF('Data Source'!Y959&gt;=4,"A",IF('Data Source'!Y959&gt;=3.5,"A-",IF('Data Source'!Y959&gt;=3,"B",IF('Data Source'!Y959&gt;=2,"C",IF('Data Source'!Y959&gt;=1,"D","F")))))))</f>
        <v/>
      </c>
      <c r="H959" s="3">
        <f>IF('Data Source'!B959="","",IF('Data Source'!Z959&gt;=5,"A+",IF('Data Source'!Z959&gt;=4,"A",IF('Data Source'!Z959&gt;=3.5,"A-",IF('Data Source'!Z959&gt;=3,"B",IF('Data Source'!Z959&gt;=2,"C",IF('Data Source'!Z959&gt;=1,"D","F")))))))</f>
        <v/>
      </c>
      <c r="I959" s="3">
        <f>IF('Data Source'!B959="","",IF('Data Source'!AA959&gt;=5,"A+",IF('Data Source'!AA959&gt;=4,"A",IF('Data Source'!AA959&gt;=3.5,"A-",IF('Data Source'!AA959&gt;=3,"B",IF('Data Source'!AA959&gt;=2,"C",IF('Data Source'!AA959&gt;=1,"D","F")))))))</f>
        <v/>
      </c>
      <c r="J959" s="3">
        <f>IF('Data Source'!B959="","",IF('Data Source'!AB959&gt;=5,"A+",IF('Data Source'!AB959&gt;=4,"A",IF('Data Source'!AB959&gt;=3.5,"A-",IF('Data Source'!AB959&gt;=3,"B",IF('Data Source'!AB959&gt;=2,"C",IF('Data Source'!AB959&gt;=1,"D","F")))))))</f>
        <v/>
      </c>
      <c r="K959" s="3">
        <f>IF('Data Source'!B959="","",IF('Data Source'!AC959&gt;=5,"A+",IF('Data Source'!AC959&gt;=4,"A",IF('Data Source'!AC959&gt;=3.5,"A-",IF('Data Source'!AC959&gt;=3,"B",IF('Data Source'!AC959&gt;=2,"C",IF('Data Source'!AC959&gt;=1,"D","F")))))))</f>
        <v/>
      </c>
      <c r="L959" s="3">
        <f>IF('Data Source'!B959="","",IF('Data Source'!AD959&gt;=5,"A+",IF('Data Source'!AD959&gt;=4,"A",IF('Data Source'!AD959&gt;=3.5,"A-",IF('Data Source'!AD959&gt;=3,"B",IF('Data Source'!AD959&gt;=2,"C",IF('Data Source'!AD959&gt;=1,"D","F")))))))</f>
        <v/>
      </c>
      <c r="M959" s="3">
        <f>IF('Data Source'!B959="","",IF('Data Source'!AE959&gt;=5,"A+",IF('Data Source'!AE959&gt;=4,"A",IF('Data Source'!AE959&gt;=3.5,"A-",IF('Data Source'!AE959&gt;=3,"B",IF('Data Source'!AE959&gt;=2,"C",IF('Data Source'!AE959&gt;=1,"D","F")))))))</f>
        <v/>
      </c>
      <c r="N959" s="3">
        <f>IF('Data Source'!B959="","",IF('Data Source'!AF959&gt;=5,"A+",IF('Data Source'!AF959&gt;=4,"A",IF('Data Source'!AF959&gt;=3.5,"A-",IF('Data Source'!AF959&gt;=3,"B",IF('Data Source'!AF959&gt;=2,"C",IF('Data Source'!AF959&gt;=1,"D","F")))))))</f>
        <v/>
      </c>
      <c r="O959" s="3">
        <f>IF('Data Source'!B959="","",IF('Data Source'!AG959&gt;=5,"A+",IF('Data Source'!AG959&gt;=4,"A",IF('Data Source'!AG959&gt;=3.5,"A-",IF('Data Source'!AG959&gt;=3,"B",IF('Data Source'!AG959&gt;=2,"C",IF('Data Source'!AG959&gt;=1,"D","F")))))))</f>
        <v/>
      </c>
      <c r="P959" s="5">
        <f>IF('Data Source'!B959="","",'Data Source'!R959)</f>
        <v/>
      </c>
      <c r="Q959" s="3">
        <f>IF('Data Source'!B959="","",'Data Source'!S959)</f>
        <v/>
      </c>
    </row>
    <row r="960">
      <c r="A960" s="3">
        <f>IF('Data Source'!B960="","",'Data Source'!A960)</f>
        <v/>
      </c>
      <c r="B960">
        <f>IF('Data Source'!B960="","",'Data Source'!B960)</f>
        <v/>
      </c>
      <c r="C960" s="3">
        <f>IF('Data Source'!B960="","",IF('Data Source'!U960&gt;=5,"A+",IF('Data Source'!U960&gt;=4,"A",IF('Data Source'!U960&gt;=3.5,"A-",IF('Data Source'!U960&gt;=3,"B",IF('Data Source'!U960&gt;=2,"C",IF('Data Source'!U960&gt;=1,"D","F")))))))</f>
        <v/>
      </c>
      <c r="D960" s="3">
        <f>IF('Data Source'!B960="","",IF('Data Source'!V960&gt;=5,"A+",IF('Data Source'!V960&gt;=4,"A",IF('Data Source'!V960&gt;=3.5,"A-",IF('Data Source'!V960&gt;=3,"B",IF('Data Source'!V960&gt;=2,"C",IF('Data Source'!V960&gt;=1,"D","F")))))))</f>
        <v/>
      </c>
      <c r="E960" s="3">
        <f>IF('Data Source'!B960="","",IF('Data Source'!W960&gt;=5,"A+",IF('Data Source'!W960&gt;=4,"A",IF('Data Source'!W960&gt;=3.5,"A-",IF('Data Source'!W960&gt;=3,"B",IF('Data Source'!W960&gt;=2,"C",IF('Data Source'!W960&gt;=1,"D","F")))))))</f>
        <v/>
      </c>
      <c r="F960" s="3">
        <f>IF('Data Source'!B960="","",IF('Data Source'!X960&gt;=5,"A+",IF('Data Source'!X960&gt;=4,"A",IF('Data Source'!X960&gt;=3.5,"A-",IF('Data Source'!X960&gt;=3,"B",IF('Data Source'!X960&gt;=2,"C",IF('Data Source'!X960&gt;=1,"D","F")))))))</f>
        <v/>
      </c>
      <c r="G960" s="3">
        <f>IF('Data Source'!B960="","",IF('Data Source'!Y960&gt;=5,"A+",IF('Data Source'!Y960&gt;=4,"A",IF('Data Source'!Y960&gt;=3.5,"A-",IF('Data Source'!Y960&gt;=3,"B",IF('Data Source'!Y960&gt;=2,"C",IF('Data Source'!Y960&gt;=1,"D","F")))))))</f>
        <v/>
      </c>
      <c r="H960" s="3">
        <f>IF('Data Source'!B960="","",IF('Data Source'!Z960&gt;=5,"A+",IF('Data Source'!Z960&gt;=4,"A",IF('Data Source'!Z960&gt;=3.5,"A-",IF('Data Source'!Z960&gt;=3,"B",IF('Data Source'!Z960&gt;=2,"C",IF('Data Source'!Z960&gt;=1,"D","F")))))))</f>
        <v/>
      </c>
      <c r="I960" s="3">
        <f>IF('Data Source'!B960="","",IF('Data Source'!AA960&gt;=5,"A+",IF('Data Source'!AA960&gt;=4,"A",IF('Data Source'!AA960&gt;=3.5,"A-",IF('Data Source'!AA960&gt;=3,"B",IF('Data Source'!AA960&gt;=2,"C",IF('Data Source'!AA960&gt;=1,"D","F")))))))</f>
        <v/>
      </c>
      <c r="J960" s="3">
        <f>IF('Data Source'!B960="","",IF('Data Source'!AB960&gt;=5,"A+",IF('Data Source'!AB960&gt;=4,"A",IF('Data Source'!AB960&gt;=3.5,"A-",IF('Data Source'!AB960&gt;=3,"B",IF('Data Source'!AB960&gt;=2,"C",IF('Data Source'!AB960&gt;=1,"D","F")))))))</f>
        <v/>
      </c>
      <c r="K960" s="3">
        <f>IF('Data Source'!B960="","",IF('Data Source'!AC960&gt;=5,"A+",IF('Data Source'!AC960&gt;=4,"A",IF('Data Source'!AC960&gt;=3.5,"A-",IF('Data Source'!AC960&gt;=3,"B",IF('Data Source'!AC960&gt;=2,"C",IF('Data Source'!AC960&gt;=1,"D","F")))))))</f>
        <v/>
      </c>
      <c r="L960" s="3">
        <f>IF('Data Source'!B960="","",IF('Data Source'!AD960&gt;=5,"A+",IF('Data Source'!AD960&gt;=4,"A",IF('Data Source'!AD960&gt;=3.5,"A-",IF('Data Source'!AD960&gt;=3,"B",IF('Data Source'!AD960&gt;=2,"C",IF('Data Source'!AD960&gt;=1,"D","F")))))))</f>
        <v/>
      </c>
      <c r="M960" s="3">
        <f>IF('Data Source'!B960="","",IF('Data Source'!AE960&gt;=5,"A+",IF('Data Source'!AE960&gt;=4,"A",IF('Data Source'!AE960&gt;=3.5,"A-",IF('Data Source'!AE960&gt;=3,"B",IF('Data Source'!AE960&gt;=2,"C",IF('Data Source'!AE960&gt;=1,"D","F")))))))</f>
        <v/>
      </c>
      <c r="N960" s="3">
        <f>IF('Data Source'!B960="","",IF('Data Source'!AF960&gt;=5,"A+",IF('Data Source'!AF960&gt;=4,"A",IF('Data Source'!AF960&gt;=3.5,"A-",IF('Data Source'!AF960&gt;=3,"B",IF('Data Source'!AF960&gt;=2,"C",IF('Data Source'!AF960&gt;=1,"D","F")))))))</f>
        <v/>
      </c>
      <c r="O960" s="3">
        <f>IF('Data Source'!B960="","",IF('Data Source'!AG960&gt;=5,"A+",IF('Data Source'!AG960&gt;=4,"A",IF('Data Source'!AG960&gt;=3.5,"A-",IF('Data Source'!AG960&gt;=3,"B",IF('Data Source'!AG960&gt;=2,"C",IF('Data Source'!AG960&gt;=1,"D","F")))))))</f>
        <v/>
      </c>
      <c r="P960" s="5">
        <f>IF('Data Source'!B960="","",'Data Source'!R960)</f>
        <v/>
      </c>
      <c r="Q960" s="3">
        <f>IF('Data Source'!B960="","",'Data Source'!S960)</f>
        <v/>
      </c>
    </row>
    <row r="961">
      <c r="A961" s="3">
        <f>IF('Data Source'!B961="","",'Data Source'!A961)</f>
        <v/>
      </c>
      <c r="B961">
        <f>IF('Data Source'!B961="","",'Data Source'!B961)</f>
        <v/>
      </c>
      <c r="C961" s="3">
        <f>IF('Data Source'!B961="","",IF('Data Source'!U961&gt;=5,"A+",IF('Data Source'!U961&gt;=4,"A",IF('Data Source'!U961&gt;=3.5,"A-",IF('Data Source'!U961&gt;=3,"B",IF('Data Source'!U961&gt;=2,"C",IF('Data Source'!U961&gt;=1,"D","F")))))))</f>
        <v/>
      </c>
      <c r="D961" s="3">
        <f>IF('Data Source'!B961="","",IF('Data Source'!V961&gt;=5,"A+",IF('Data Source'!V961&gt;=4,"A",IF('Data Source'!V961&gt;=3.5,"A-",IF('Data Source'!V961&gt;=3,"B",IF('Data Source'!V961&gt;=2,"C",IF('Data Source'!V961&gt;=1,"D","F")))))))</f>
        <v/>
      </c>
      <c r="E961" s="3">
        <f>IF('Data Source'!B961="","",IF('Data Source'!W961&gt;=5,"A+",IF('Data Source'!W961&gt;=4,"A",IF('Data Source'!W961&gt;=3.5,"A-",IF('Data Source'!W961&gt;=3,"B",IF('Data Source'!W961&gt;=2,"C",IF('Data Source'!W961&gt;=1,"D","F")))))))</f>
        <v/>
      </c>
      <c r="F961" s="3">
        <f>IF('Data Source'!B961="","",IF('Data Source'!X961&gt;=5,"A+",IF('Data Source'!X961&gt;=4,"A",IF('Data Source'!X961&gt;=3.5,"A-",IF('Data Source'!X961&gt;=3,"B",IF('Data Source'!X961&gt;=2,"C",IF('Data Source'!X961&gt;=1,"D","F")))))))</f>
        <v/>
      </c>
      <c r="G961" s="3">
        <f>IF('Data Source'!B961="","",IF('Data Source'!Y961&gt;=5,"A+",IF('Data Source'!Y961&gt;=4,"A",IF('Data Source'!Y961&gt;=3.5,"A-",IF('Data Source'!Y961&gt;=3,"B",IF('Data Source'!Y961&gt;=2,"C",IF('Data Source'!Y961&gt;=1,"D","F")))))))</f>
        <v/>
      </c>
      <c r="H961" s="3">
        <f>IF('Data Source'!B961="","",IF('Data Source'!Z961&gt;=5,"A+",IF('Data Source'!Z961&gt;=4,"A",IF('Data Source'!Z961&gt;=3.5,"A-",IF('Data Source'!Z961&gt;=3,"B",IF('Data Source'!Z961&gt;=2,"C",IF('Data Source'!Z961&gt;=1,"D","F")))))))</f>
        <v/>
      </c>
      <c r="I961" s="3">
        <f>IF('Data Source'!B961="","",IF('Data Source'!AA961&gt;=5,"A+",IF('Data Source'!AA961&gt;=4,"A",IF('Data Source'!AA961&gt;=3.5,"A-",IF('Data Source'!AA961&gt;=3,"B",IF('Data Source'!AA961&gt;=2,"C",IF('Data Source'!AA961&gt;=1,"D","F")))))))</f>
        <v/>
      </c>
      <c r="J961" s="3">
        <f>IF('Data Source'!B961="","",IF('Data Source'!AB961&gt;=5,"A+",IF('Data Source'!AB961&gt;=4,"A",IF('Data Source'!AB961&gt;=3.5,"A-",IF('Data Source'!AB961&gt;=3,"B",IF('Data Source'!AB961&gt;=2,"C",IF('Data Source'!AB961&gt;=1,"D","F")))))))</f>
        <v/>
      </c>
      <c r="K961" s="3">
        <f>IF('Data Source'!B961="","",IF('Data Source'!AC961&gt;=5,"A+",IF('Data Source'!AC961&gt;=4,"A",IF('Data Source'!AC961&gt;=3.5,"A-",IF('Data Source'!AC961&gt;=3,"B",IF('Data Source'!AC961&gt;=2,"C",IF('Data Source'!AC961&gt;=1,"D","F")))))))</f>
        <v/>
      </c>
      <c r="L961" s="3">
        <f>IF('Data Source'!B961="","",IF('Data Source'!AD961&gt;=5,"A+",IF('Data Source'!AD961&gt;=4,"A",IF('Data Source'!AD961&gt;=3.5,"A-",IF('Data Source'!AD961&gt;=3,"B",IF('Data Source'!AD961&gt;=2,"C",IF('Data Source'!AD961&gt;=1,"D","F")))))))</f>
        <v/>
      </c>
      <c r="M961" s="3">
        <f>IF('Data Source'!B961="","",IF('Data Source'!AE961&gt;=5,"A+",IF('Data Source'!AE961&gt;=4,"A",IF('Data Source'!AE961&gt;=3.5,"A-",IF('Data Source'!AE961&gt;=3,"B",IF('Data Source'!AE961&gt;=2,"C",IF('Data Source'!AE961&gt;=1,"D","F")))))))</f>
        <v/>
      </c>
      <c r="N961" s="3">
        <f>IF('Data Source'!B961="","",IF('Data Source'!AF961&gt;=5,"A+",IF('Data Source'!AF961&gt;=4,"A",IF('Data Source'!AF961&gt;=3.5,"A-",IF('Data Source'!AF961&gt;=3,"B",IF('Data Source'!AF961&gt;=2,"C",IF('Data Source'!AF961&gt;=1,"D","F")))))))</f>
        <v/>
      </c>
      <c r="O961" s="3">
        <f>IF('Data Source'!B961="","",IF('Data Source'!AG961&gt;=5,"A+",IF('Data Source'!AG961&gt;=4,"A",IF('Data Source'!AG961&gt;=3.5,"A-",IF('Data Source'!AG961&gt;=3,"B",IF('Data Source'!AG961&gt;=2,"C",IF('Data Source'!AG961&gt;=1,"D","F")))))))</f>
        <v/>
      </c>
      <c r="P961" s="5">
        <f>IF('Data Source'!B961="","",'Data Source'!R961)</f>
        <v/>
      </c>
      <c r="Q961" s="3">
        <f>IF('Data Source'!B961="","",'Data Source'!S961)</f>
        <v/>
      </c>
    </row>
    <row r="962">
      <c r="A962" s="3">
        <f>IF('Data Source'!B962="","",'Data Source'!A962)</f>
        <v/>
      </c>
      <c r="B962">
        <f>IF('Data Source'!B962="","",'Data Source'!B962)</f>
        <v/>
      </c>
      <c r="C962" s="3">
        <f>IF('Data Source'!B962="","",IF('Data Source'!U962&gt;=5,"A+",IF('Data Source'!U962&gt;=4,"A",IF('Data Source'!U962&gt;=3.5,"A-",IF('Data Source'!U962&gt;=3,"B",IF('Data Source'!U962&gt;=2,"C",IF('Data Source'!U962&gt;=1,"D","F")))))))</f>
        <v/>
      </c>
      <c r="D962" s="3">
        <f>IF('Data Source'!B962="","",IF('Data Source'!V962&gt;=5,"A+",IF('Data Source'!V962&gt;=4,"A",IF('Data Source'!V962&gt;=3.5,"A-",IF('Data Source'!V962&gt;=3,"B",IF('Data Source'!V962&gt;=2,"C",IF('Data Source'!V962&gt;=1,"D","F")))))))</f>
        <v/>
      </c>
      <c r="E962" s="3">
        <f>IF('Data Source'!B962="","",IF('Data Source'!W962&gt;=5,"A+",IF('Data Source'!W962&gt;=4,"A",IF('Data Source'!W962&gt;=3.5,"A-",IF('Data Source'!W962&gt;=3,"B",IF('Data Source'!W962&gt;=2,"C",IF('Data Source'!W962&gt;=1,"D","F")))))))</f>
        <v/>
      </c>
      <c r="F962" s="3">
        <f>IF('Data Source'!B962="","",IF('Data Source'!X962&gt;=5,"A+",IF('Data Source'!X962&gt;=4,"A",IF('Data Source'!X962&gt;=3.5,"A-",IF('Data Source'!X962&gt;=3,"B",IF('Data Source'!X962&gt;=2,"C",IF('Data Source'!X962&gt;=1,"D","F")))))))</f>
        <v/>
      </c>
      <c r="G962" s="3">
        <f>IF('Data Source'!B962="","",IF('Data Source'!Y962&gt;=5,"A+",IF('Data Source'!Y962&gt;=4,"A",IF('Data Source'!Y962&gt;=3.5,"A-",IF('Data Source'!Y962&gt;=3,"B",IF('Data Source'!Y962&gt;=2,"C",IF('Data Source'!Y962&gt;=1,"D","F")))))))</f>
        <v/>
      </c>
      <c r="H962" s="3">
        <f>IF('Data Source'!B962="","",IF('Data Source'!Z962&gt;=5,"A+",IF('Data Source'!Z962&gt;=4,"A",IF('Data Source'!Z962&gt;=3.5,"A-",IF('Data Source'!Z962&gt;=3,"B",IF('Data Source'!Z962&gt;=2,"C",IF('Data Source'!Z962&gt;=1,"D","F")))))))</f>
        <v/>
      </c>
      <c r="I962" s="3">
        <f>IF('Data Source'!B962="","",IF('Data Source'!AA962&gt;=5,"A+",IF('Data Source'!AA962&gt;=4,"A",IF('Data Source'!AA962&gt;=3.5,"A-",IF('Data Source'!AA962&gt;=3,"B",IF('Data Source'!AA962&gt;=2,"C",IF('Data Source'!AA962&gt;=1,"D","F")))))))</f>
        <v/>
      </c>
      <c r="J962" s="3">
        <f>IF('Data Source'!B962="","",IF('Data Source'!AB962&gt;=5,"A+",IF('Data Source'!AB962&gt;=4,"A",IF('Data Source'!AB962&gt;=3.5,"A-",IF('Data Source'!AB962&gt;=3,"B",IF('Data Source'!AB962&gt;=2,"C",IF('Data Source'!AB962&gt;=1,"D","F")))))))</f>
        <v/>
      </c>
      <c r="K962" s="3">
        <f>IF('Data Source'!B962="","",IF('Data Source'!AC962&gt;=5,"A+",IF('Data Source'!AC962&gt;=4,"A",IF('Data Source'!AC962&gt;=3.5,"A-",IF('Data Source'!AC962&gt;=3,"B",IF('Data Source'!AC962&gt;=2,"C",IF('Data Source'!AC962&gt;=1,"D","F")))))))</f>
        <v/>
      </c>
      <c r="L962" s="3">
        <f>IF('Data Source'!B962="","",IF('Data Source'!AD962&gt;=5,"A+",IF('Data Source'!AD962&gt;=4,"A",IF('Data Source'!AD962&gt;=3.5,"A-",IF('Data Source'!AD962&gt;=3,"B",IF('Data Source'!AD962&gt;=2,"C",IF('Data Source'!AD962&gt;=1,"D","F")))))))</f>
        <v/>
      </c>
      <c r="M962" s="3">
        <f>IF('Data Source'!B962="","",IF('Data Source'!AE962&gt;=5,"A+",IF('Data Source'!AE962&gt;=4,"A",IF('Data Source'!AE962&gt;=3.5,"A-",IF('Data Source'!AE962&gt;=3,"B",IF('Data Source'!AE962&gt;=2,"C",IF('Data Source'!AE962&gt;=1,"D","F")))))))</f>
        <v/>
      </c>
      <c r="N962" s="3">
        <f>IF('Data Source'!B962="","",IF('Data Source'!AF962&gt;=5,"A+",IF('Data Source'!AF962&gt;=4,"A",IF('Data Source'!AF962&gt;=3.5,"A-",IF('Data Source'!AF962&gt;=3,"B",IF('Data Source'!AF962&gt;=2,"C",IF('Data Source'!AF962&gt;=1,"D","F")))))))</f>
        <v/>
      </c>
      <c r="O962" s="3">
        <f>IF('Data Source'!B962="","",IF('Data Source'!AG962&gt;=5,"A+",IF('Data Source'!AG962&gt;=4,"A",IF('Data Source'!AG962&gt;=3.5,"A-",IF('Data Source'!AG962&gt;=3,"B",IF('Data Source'!AG962&gt;=2,"C",IF('Data Source'!AG962&gt;=1,"D","F")))))))</f>
        <v/>
      </c>
      <c r="P962" s="5">
        <f>IF('Data Source'!B962="","",'Data Source'!R962)</f>
        <v/>
      </c>
      <c r="Q962" s="3">
        <f>IF('Data Source'!B962="","",'Data Source'!S962)</f>
        <v/>
      </c>
    </row>
    <row r="963">
      <c r="A963" s="3">
        <f>IF('Data Source'!B963="","",'Data Source'!A963)</f>
        <v/>
      </c>
      <c r="B963">
        <f>IF('Data Source'!B963="","",'Data Source'!B963)</f>
        <v/>
      </c>
      <c r="C963" s="3">
        <f>IF('Data Source'!B963="","",IF('Data Source'!U963&gt;=5,"A+",IF('Data Source'!U963&gt;=4,"A",IF('Data Source'!U963&gt;=3.5,"A-",IF('Data Source'!U963&gt;=3,"B",IF('Data Source'!U963&gt;=2,"C",IF('Data Source'!U963&gt;=1,"D","F")))))))</f>
        <v/>
      </c>
      <c r="D963" s="3">
        <f>IF('Data Source'!B963="","",IF('Data Source'!V963&gt;=5,"A+",IF('Data Source'!V963&gt;=4,"A",IF('Data Source'!V963&gt;=3.5,"A-",IF('Data Source'!V963&gt;=3,"B",IF('Data Source'!V963&gt;=2,"C",IF('Data Source'!V963&gt;=1,"D","F")))))))</f>
        <v/>
      </c>
      <c r="E963" s="3">
        <f>IF('Data Source'!B963="","",IF('Data Source'!W963&gt;=5,"A+",IF('Data Source'!W963&gt;=4,"A",IF('Data Source'!W963&gt;=3.5,"A-",IF('Data Source'!W963&gt;=3,"B",IF('Data Source'!W963&gt;=2,"C",IF('Data Source'!W963&gt;=1,"D","F")))))))</f>
        <v/>
      </c>
      <c r="F963" s="3">
        <f>IF('Data Source'!B963="","",IF('Data Source'!X963&gt;=5,"A+",IF('Data Source'!X963&gt;=4,"A",IF('Data Source'!X963&gt;=3.5,"A-",IF('Data Source'!X963&gt;=3,"B",IF('Data Source'!X963&gt;=2,"C",IF('Data Source'!X963&gt;=1,"D","F")))))))</f>
        <v/>
      </c>
      <c r="G963" s="3">
        <f>IF('Data Source'!B963="","",IF('Data Source'!Y963&gt;=5,"A+",IF('Data Source'!Y963&gt;=4,"A",IF('Data Source'!Y963&gt;=3.5,"A-",IF('Data Source'!Y963&gt;=3,"B",IF('Data Source'!Y963&gt;=2,"C",IF('Data Source'!Y963&gt;=1,"D","F")))))))</f>
        <v/>
      </c>
      <c r="H963" s="3">
        <f>IF('Data Source'!B963="","",IF('Data Source'!Z963&gt;=5,"A+",IF('Data Source'!Z963&gt;=4,"A",IF('Data Source'!Z963&gt;=3.5,"A-",IF('Data Source'!Z963&gt;=3,"B",IF('Data Source'!Z963&gt;=2,"C",IF('Data Source'!Z963&gt;=1,"D","F")))))))</f>
        <v/>
      </c>
      <c r="I963" s="3">
        <f>IF('Data Source'!B963="","",IF('Data Source'!AA963&gt;=5,"A+",IF('Data Source'!AA963&gt;=4,"A",IF('Data Source'!AA963&gt;=3.5,"A-",IF('Data Source'!AA963&gt;=3,"B",IF('Data Source'!AA963&gt;=2,"C",IF('Data Source'!AA963&gt;=1,"D","F")))))))</f>
        <v/>
      </c>
      <c r="J963" s="3">
        <f>IF('Data Source'!B963="","",IF('Data Source'!AB963&gt;=5,"A+",IF('Data Source'!AB963&gt;=4,"A",IF('Data Source'!AB963&gt;=3.5,"A-",IF('Data Source'!AB963&gt;=3,"B",IF('Data Source'!AB963&gt;=2,"C",IF('Data Source'!AB963&gt;=1,"D","F")))))))</f>
        <v/>
      </c>
      <c r="K963" s="3">
        <f>IF('Data Source'!B963="","",IF('Data Source'!AC963&gt;=5,"A+",IF('Data Source'!AC963&gt;=4,"A",IF('Data Source'!AC963&gt;=3.5,"A-",IF('Data Source'!AC963&gt;=3,"B",IF('Data Source'!AC963&gt;=2,"C",IF('Data Source'!AC963&gt;=1,"D","F")))))))</f>
        <v/>
      </c>
      <c r="L963" s="3">
        <f>IF('Data Source'!B963="","",IF('Data Source'!AD963&gt;=5,"A+",IF('Data Source'!AD963&gt;=4,"A",IF('Data Source'!AD963&gt;=3.5,"A-",IF('Data Source'!AD963&gt;=3,"B",IF('Data Source'!AD963&gt;=2,"C",IF('Data Source'!AD963&gt;=1,"D","F")))))))</f>
        <v/>
      </c>
      <c r="M963" s="3">
        <f>IF('Data Source'!B963="","",IF('Data Source'!AE963&gt;=5,"A+",IF('Data Source'!AE963&gt;=4,"A",IF('Data Source'!AE963&gt;=3.5,"A-",IF('Data Source'!AE963&gt;=3,"B",IF('Data Source'!AE963&gt;=2,"C",IF('Data Source'!AE963&gt;=1,"D","F")))))))</f>
        <v/>
      </c>
      <c r="N963" s="3">
        <f>IF('Data Source'!B963="","",IF('Data Source'!AF963&gt;=5,"A+",IF('Data Source'!AF963&gt;=4,"A",IF('Data Source'!AF963&gt;=3.5,"A-",IF('Data Source'!AF963&gt;=3,"B",IF('Data Source'!AF963&gt;=2,"C",IF('Data Source'!AF963&gt;=1,"D","F")))))))</f>
        <v/>
      </c>
      <c r="O963" s="3">
        <f>IF('Data Source'!B963="","",IF('Data Source'!AG963&gt;=5,"A+",IF('Data Source'!AG963&gt;=4,"A",IF('Data Source'!AG963&gt;=3.5,"A-",IF('Data Source'!AG963&gt;=3,"B",IF('Data Source'!AG963&gt;=2,"C",IF('Data Source'!AG963&gt;=1,"D","F")))))))</f>
        <v/>
      </c>
      <c r="P963" s="5">
        <f>IF('Data Source'!B963="","",'Data Source'!R963)</f>
        <v/>
      </c>
      <c r="Q963" s="3">
        <f>IF('Data Source'!B963="","",'Data Source'!S963)</f>
        <v/>
      </c>
    </row>
    <row r="964">
      <c r="A964" s="3">
        <f>IF('Data Source'!B964="","",'Data Source'!A964)</f>
        <v/>
      </c>
      <c r="B964">
        <f>IF('Data Source'!B964="","",'Data Source'!B964)</f>
        <v/>
      </c>
      <c r="C964" s="3">
        <f>IF('Data Source'!B964="","",IF('Data Source'!U964&gt;=5,"A+",IF('Data Source'!U964&gt;=4,"A",IF('Data Source'!U964&gt;=3.5,"A-",IF('Data Source'!U964&gt;=3,"B",IF('Data Source'!U964&gt;=2,"C",IF('Data Source'!U964&gt;=1,"D","F")))))))</f>
        <v/>
      </c>
      <c r="D964" s="3">
        <f>IF('Data Source'!B964="","",IF('Data Source'!V964&gt;=5,"A+",IF('Data Source'!V964&gt;=4,"A",IF('Data Source'!V964&gt;=3.5,"A-",IF('Data Source'!V964&gt;=3,"B",IF('Data Source'!V964&gt;=2,"C",IF('Data Source'!V964&gt;=1,"D","F")))))))</f>
        <v/>
      </c>
      <c r="E964" s="3">
        <f>IF('Data Source'!B964="","",IF('Data Source'!W964&gt;=5,"A+",IF('Data Source'!W964&gt;=4,"A",IF('Data Source'!W964&gt;=3.5,"A-",IF('Data Source'!W964&gt;=3,"B",IF('Data Source'!W964&gt;=2,"C",IF('Data Source'!W964&gt;=1,"D","F")))))))</f>
        <v/>
      </c>
      <c r="F964" s="3">
        <f>IF('Data Source'!B964="","",IF('Data Source'!X964&gt;=5,"A+",IF('Data Source'!X964&gt;=4,"A",IF('Data Source'!X964&gt;=3.5,"A-",IF('Data Source'!X964&gt;=3,"B",IF('Data Source'!X964&gt;=2,"C",IF('Data Source'!X964&gt;=1,"D","F")))))))</f>
        <v/>
      </c>
      <c r="G964" s="3">
        <f>IF('Data Source'!B964="","",IF('Data Source'!Y964&gt;=5,"A+",IF('Data Source'!Y964&gt;=4,"A",IF('Data Source'!Y964&gt;=3.5,"A-",IF('Data Source'!Y964&gt;=3,"B",IF('Data Source'!Y964&gt;=2,"C",IF('Data Source'!Y964&gt;=1,"D","F")))))))</f>
        <v/>
      </c>
      <c r="H964" s="3">
        <f>IF('Data Source'!B964="","",IF('Data Source'!Z964&gt;=5,"A+",IF('Data Source'!Z964&gt;=4,"A",IF('Data Source'!Z964&gt;=3.5,"A-",IF('Data Source'!Z964&gt;=3,"B",IF('Data Source'!Z964&gt;=2,"C",IF('Data Source'!Z964&gt;=1,"D","F")))))))</f>
        <v/>
      </c>
      <c r="I964" s="3">
        <f>IF('Data Source'!B964="","",IF('Data Source'!AA964&gt;=5,"A+",IF('Data Source'!AA964&gt;=4,"A",IF('Data Source'!AA964&gt;=3.5,"A-",IF('Data Source'!AA964&gt;=3,"B",IF('Data Source'!AA964&gt;=2,"C",IF('Data Source'!AA964&gt;=1,"D","F")))))))</f>
        <v/>
      </c>
      <c r="J964" s="3">
        <f>IF('Data Source'!B964="","",IF('Data Source'!AB964&gt;=5,"A+",IF('Data Source'!AB964&gt;=4,"A",IF('Data Source'!AB964&gt;=3.5,"A-",IF('Data Source'!AB964&gt;=3,"B",IF('Data Source'!AB964&gt;=2,"C",IF('Data Source'!AB964&gt;=1,"D","F")))))))</f>
        <v/>
      </c>
      <c r="K964" s="3">
        <f>IF('Data Source'!B964="","",IF('Data Source'!AC964&gt;=5,"A+",IF('Data Source'!AC964&gt;=4,"A",IF('Data Source'!AC964&gt;=3.5,"A-",IF('Data Source'!AC964&gt;=3,"B",IF('Data Source'!AC964&gt;=2,"C",IF('Data Source'!AC964&gt;=1,"D","F")))))))</f>
        <v/>
      </c>
      <c r="L964" s="3">
        <f>IF('Data Source'!B964="","",IF('Data Source'!AD964&gt;=5,"A+",IF('Data Source'!AD964&gt;=4,"A",IF('Data Source'!AD964&gt;=3.5,"A-",IF('Data Source'!AD964&gt;=3,"B",IF('Data Source'!AD964&gt;=2,"C",IF('Data Source'!AD964&gt;=1,"D","F")))))))</f>
        <v/>
      </c>
      <c r="M964" s="3">
        <f>IF('Data Source'!B964="","",IF('Data Source'!AE964&gt;=5,"A+",IF('Data Source'!AE964&gt;=4,"A",IF('Data Source'!AE964&gt;=3.5,"A-",IF('Data Source'!AE964&gt;=3,"B",IF('Data Source'!AE964&gt;=2,"C",IF('Data Source'!AE964&gt;=1,"D","F")))))))</f>
        <v/>
      </c>
      <c r="N964" s="3">
        <f>IF('Data Source'!B964="","",IF('Data Source'!AF964&gt;=5,"A+",IF('Data Source'!AF964&gt;=4,"A",IF('Data Source'!AF964&gt;=3.5,"A-",IF('Data Source'!AF964&gt;=3,"B",IF('Data Source'!AF964&gt;=2,"C",IF('Data Source'!AF964&gt;=1,"D","F")))))))</f>
        <v/>
      </c>
      <c r="O964" s="3">
        <f>IF('Data Source'!B964="","",IF('Data Source'!AG964&gt;=5,"A+",IF('Data Source'!AG964&gt;=4,"A",IF('Data Source'!AG964&gt;=3.5,"A-",IF('Data Source'!AG964&gt;=3,"B",IF('Data Source'!AG964&gt;=2,"C",IF('Data Source'!AG964&gt;=1,"D","F")))))))</f>
        <v/>
      </c>
      <c r="P964" s="5">
        <f>IF('Data Source'!B964="","",'Data Source'!R964)</f>
        <v/>
      </c>
      <c r="Q964" s="3">
        <f>IF('Data Source'!B964="","",'Data Source'!S964)</f>
        <v/>
      </c>
    </row>
    <row r="965">
      <c r="A965" s="3">
        <f>IF('Data Source'!B965="","",'Data Source'!A965)</f>
        <v/>
      </c>
      <c r="B965">
        <f>IF('Data Source'!B965="","",'Data Source'!B965)</f>
        <v/>
      </c>
      <c r="C965" s="3">
        <f>IF('Data Source'!B965="","",IF('Data Source'!U965&gt;=5,"A+",IF('Data Source'!U965&gt;=4,"A",IF('Data Source'!U965&gt;=3.5,"A-",IF('Data Source'!U965&gt;=3,"B",IF('Data Source'!U965&gt;=2,"C",IF('Data Source'!U965&gt;=1,"D","F")))))))</f>
        <v/>
      </c>
      <c r="D965" s="3">
        <f>IF('Data Source'!B965="","",IF('Data Source'!V965&gt;=5,"A+",IF('Data Source'!V965&gt;=4,"A",IF('Data Source'!V965&gt;=3.5,"A-",IF('Data Source'!V965&gt;=3,"B",IF('Data Source'!V965&gt;=2,"C",IF('Data Source'!V965&gt;=1,"D","F")))))))</f>
        <v/>
      </c>
      <c r="E965" s="3">
        <f>IF('Data Source'!B965="","",IF('Data Source'!W965&gt;=5,"A+",IF('Data Source'!W965&gt;=4,"A",IF('Data Source'!W965&gt;=3.5,"A-",IF('Data Source'!W965&gt;=3,"B",IF('Data Source'!W965&gt;=2,"C",IF('Data Source'!W965&gt;=1,"D","F")))))))</f>
        <v/>
      </c>
      <c r="F965" s="3">
        <f>IF('Data Source'!B965="","",IF('Data Source'!X965&gt;=5,"A+",IF('Data Source'!X965&gt;=4,"A",IF('Data Source'!X965&gt;=3.5,"A-",IF('Data Source'!X965&gt;=3,"B",IF('Data Source'!X965&gt;=2,"C",IF('Data Source'!X965&gt;=1,"D","F")))))))</f>
        <v/>
      </c>
      <c r="G965" s="3">
        <f>IF('Data Source'!B965="","",IF('Data Source'!Y965&gt;=5,"A+",IF('Data Source'!Y965&gt;=4,"A",IF('Data Source'!Y965&gt;=3.5,"A-",IF('Data Source'!Y965&gt;=3,"B",IF('Data Source'!Y965&gt;=2,"C",IF('Data Source'!Y965&gt;=1,"D","F")))))))</f>
        <v/>
      </c>
      <c r="H965" s="3">
        <f>IF('Data Source'!B965="","",IF('Data Source'!Z965&gt;=5,"A+",IF('Data Source'!Z965&gt;=4,"A",IF('Data Source'!Z965&gt;=3.5,"A-",IF('Data Source'!Z965&gt;=3,"B",IF('Data Source'!Z965&gt;=2,"C",IF('Data Source'!Z965&gt;=1,"D","F")))))))</f>
        <v/>
      </c>
      <c r="I965" s="3">
        <f>IF('Data Source'!B965="","",IF('Data Source'!AA965&gt;=5,"A+",IF('Data Source'!AA965&gt;=4,"A",IF('Data Source'!AA965&gt;=3.5,"A-",IF('Data Source'!AA965&gt;=3,"B",IF('Data Source'!AA965&gt;=2,"C",IF('Data Source'!AA965&gt;=1,"D","F")))))))</f>
        <v/>
      </c>
      <c r="J965" s="3">
        <f>IF('Data Source'!B965="","",IF('Data Source'!AB965&gt;=5,"A+",IF('Data Source'!AB965&gt;=4,"A",IF('Data Source'!AB965&gt;=3.5,"A-",IF('Data Source'!AB965&gt;=3,"B",IF('Data Source'!AB965&gt;=2,"C",IF('Data Source'!AB965&gt;=1,"D","F")))))))</f>
        <v/>
      </c>
      <c r="K965" s="3">
        <f>IF('Data Source'!B965="","",IF('Data Source'!AC965&gt;=5,"A+",IF('Data Source'!AC965&gt;=4,"A",IF('Data Source'!AC965&gt;=3.5,"A-",IF('Data Source'!AC965&gt;=3,"B",IF('Data Source'!AC965&gt;=2,"C",IF('Data Source'!AC965&gt;=1,"D","F")))))))</f>
        <v/>
      </c>
      <c r="L965" s="3">
        <f>IF('Data Source'!B965="","",IF('Data Source'!AD965&gt;=5,"A+",IF('Data Source'!AD965&gt;=4,"A",IF('Data Source'!AD965&gt;=3.5,"A-",IF('Data Source'!AD965&gt;=3,"B",IF('Data Source'!AD965&gt;=2,"C",IF('Data Source'!AD965&gt;=1,"D","F")))))))</f>
        <v/>
      </c>
      <c r="M965" s="3">
        <f>IF('Data Source'!B965="","",IF('Data Source'!AE965&gt;=5,"A+",IF('Data Source'!AE965&gt;=4,"A",IF('Data Source'!AE965&gt;=3.5,"A-",IF('Data Source'!AE965&gt;=3,"B",IF('Data Source'!AE965&gt;=2,"C",IF('Data Source'!AE965&gt;=1,"D","F")))))))</f>
        <v/>
      </c>
      <c r="N965" s="3">
        <f>IF('Data Source'!B965="","",IF('Data Source'!AF965&gt;=5,"A+",IF('Data Source'!AF965&gt;=4,"A",IF('Data Source'!AF965&gt;=3.5,"A-",IF('Data Source'!AF965&gt;=3,"B",IF('Data Source'!AF965&gt;=2,"C",IF('Data Source'!AF965&gt;=1,"D","F")))))))</f>
        <v/>
      </c>
      <c r="O965" s="3">
        <f>IF('Data Source'!B965="","",IF('Data Source'!AG965&gt;=5,"A+",IF('Data Source'!AG965&gt;=4,"A",IF('Data Source'!AG965&gt;=3.5,"A-",IF('Data Source'!AG965&gt;=3,"B",IF('Data Source'!AG965&gt;=2,"C",IF('Data Source'!AG965&gt;=1,"D","F")))))))</f>
        <v/>
      </c>
      <c r="P965" s="5">
        <f>IF('Data Source'!B965="","",'Data Source'!R965)</f>
        <v/>
      </c>
      <c r="Q965" s="3">
        <f>IF('Data Source'!B965="","",'Data Source'!S965)</f>
        <v/>
      </c>
    </row>
    <row r="966">
      <c r="A966" s="3">
        <f>IF('Data Source'!B966="","",'Data Source'!A966)</f>
        <v/>
      </c>
      <c r="B966">
        <f>IF('Data Source'!B966="","",'Data Source'!B966)</f>
        <v/>
      </c>
      <c r="C966" s="3">
        <f>IF('Data Source'!B966="","",IF('Data Source'!U966&gt;=5,"A+",IF('Data Source'!U966&gt;=4,"A",IF('Data Source'!U966&gt;=3.5,"A-",IF('Data Source'!U966&gt;=3,"B",IF('Data Source'!U966&gt;=2,"C",IF('Data Source'!U966&gt;=1,"D","F")))))))</f>
        <v/>
      </c>
      <c r="D966" s="3">
        <f>IF('Data Source'!B966="","",IF('Data Source'!V966&gt;=5,"A+",IF('Data Source'!V966&gt;=4,"A",IF('Data Source'!V966&gt;=3.5,"A-",IF('Data Source'!V966&gt;=3,"B",IF('Data Source'!V966&gt;=2,"C",IF('Data Source'!V966&gt;=1,"D","F")))))))</f>
        <v/>
      </c>
      <c r="E966" s="3">
        <f>IF('Data Source'!B966="","",IF('Data Source'!W966&gt;=5,"A+",IF('Data Source'!W966&gt;=4,"A",IF('Data Source'!W966&gt;=3.5,"A-",IF('Data Source'!W966&gt;=3,"B",IF('Data Source'!W966&gt;=2,"C",IF('Data Source'!W966&gt;=1,"D","F")))))))</f>
        <v/>
      </c>
      <c r="F966" s="3">
        <f>IF('Data Source'!B966="","",IF('Data Source'!X966&gt;=5,"A+",IF('Data Source'!X966&gt;=4,"A",IF('Data Source'!X966&gt;=3.5,"A-",IF('Data Source'!X966&gt;=3,"B",IF('Data Source'!X966&gt;=2,"C",IF('Data Source'!X966&gt;=1,"D","F")))))))</f>
        <v/>
      </c>
      <c r="G966" s="3">
        <f>IF('Data Source'!B966="","",IF('Data Source'!Y966&gt;=5,"A+",IF('Data Source'!Y966&gt;=4,"A",IF('Data Source'!Y966&gt;=3.5,"A-",IF('Data Source'!Y966&gt;=3,"B",IF('Data Source'!Y966&gt;=2,"C",IF('Data Source'!Y966&gt;=1,"D","F")))))))</f>
        <v/>
      </c>
      <c r="H966" s="3">
        <f>IF('Data Source'!B966="","",IF('Data Source'!Z966&gt;=5,"A+",IF('Data Source'!Z966&gt;=4,"A",IF('Data Source'!Z966&gt;=3.5,"A-",IF('Data Source'!Z966&gt;=3,"B",IF('Data Source'!Z966&gt;=2,"C",IF('Data Source'!Z966&gt;=1,"D","F")))))))</f>
        <v/>
      </c>
      <c r="I966" s="3">
        <f>IF('Data Source'!B966="","",IF('Data Source'!AA966&gt;=5,"A+",IF('Data Source'!AA966&gt;=4,"A",IF('Data Source'!AA966&gt;=3.5,"A-",IF('Data Source'!AA966&gt;=3,"B",IF('Data Source'!AA966&gt;=2,"C",IF('Data Source'!AA966&gt;=1,"D","F")))))))</f>
        <v/>
      </c>
      <c r="J966" s="3">
        <f>IF('Data Source'!B966="","",IF('Data Source'!AB966&gt;=5,"A+",IF('Data Source'!AB966&gt;=4,"A",IF('Data Source'!AB966&gt;=3.5,"A-",IF('Data Source'!AB966&gt;=3,"B",IF('Data Source'!AB966&gt;=2,"C",IF('Data Source'!AB966&gt;=1,"D","F")))))))</f>
        <v/>
      </c>
      <c r="K966" s="3">
        <f>IF('Data Source'!B966="","",IF('Data Source'!AC966&gt;=5,"A+",IF('Data Source'!AC966&gt;=4,"A",IF('Data Source'!AC966&gt;=3.5,"A-",IF('Data Source'!AC966&gt;=3,"B",IF('Data Source'!AC966&gt;=2,"C",IF('Data Source'!AC966&gt;=1,"D","F")))))))</f>
        <v/>
      </c>
      <c r="L966" s="3">
        <f>IF('Data Source'!B966="","",IF('Data Source'!AD966&gt;=5,"A+",IF('Data Source'!AD966&gt;=4,"A",IF('Data Source'!AD966&gt;=3.5,"A-",IF('Data Source'!AD966&gt;=3,"B",IF('Data Source'!AD966&gt;=2,"C",IF('Data Source'!AD966&gt;=1,"D","F")))))))</f>
        <v/>
      </c>
      <c r="M966" s="3">
        <f>IF('Data Source'!B966="","",IF('Data Source'!AE966&gt;=5,"A+",IF('Data Source'!AE966&gt;=4,"A",IF('Data Source'!AE966&gt;=3.5,"A-",IF('Data Source'!AE966&gt;=3,"B",IF('Data Source'!AE966&gt;=2,"C",IF('Data Source'!AE966&gt;=1,"D","F")))))))</f>
        <v/>
      </c>
      <c r="N966" s="3">
        <f>IF('Data Source'!B966="","",IF('Data Source'!AF966&gt;=5,"A+",IF('Data Source'!AF966&gt;=4,"A",IF('Data Source'!AF966&gt;=3.5,"A-",IF('Data Source'!AF966&gt;=3,"B",IF('Data Source'!AF966&gt;=2,"C",IF('Data Source'!AF966&gt;=1,"D","F")))))))</f>
        <v/>
      </c>
      <c r="O966" s="3">
        <f>IF('Data Source'!B966="","",IF('Data Source'!AG966&gt;=5,"A+",IF('Data Source'!AG966&gt;=4,"A",IF('Data Source'!AG966&gt;=3.5,"A-",IF('Data Source'!AG966&gt;=3,"B",IF('Data Source'!AG966&gt;=2,"C",IF('Data Source'!AG966&gt;=1,"D","F")))))))</f>
        <v/>
      </c>
      <c r="P966" s="5">
        <f>IF('Data Source'!B966="","",'Data Source'!R966)</f>
        <v/>
      </c>
      <c r="Q966" s="3">
        <f>IF('Data Source'!B966="","",'Data Source'!S966)</f>
        <v/>
      </c>
    </row>
    <row r="967">
      <c r="A967" s="3">
        <f>IF('Data Source'!B967="","",'Data Source'!A967)</f>
        <v/>
      </c>
      <c r="B967">
        <f>IF('Data Source'!B967="","",'Data Source'!B967)</f>
        <v/>
      </c>
      <c r="C967" s="3">
        <f>IF('Data Source'!B967="","",IF('Data Source'!U967&gt;=5,"A+",IF('Data Source'!U967&gt;=4,"A",IF('Data Source'!U967&gt;=3.5,"A-",IF('Data Source'!U967&gt;=3,"B",IF('Data Source'!U967&gt;=2,"C",IF('Data Source'!U967&gt;=1,"D","F")))))))</f>
        <v/>
      </c>
      <c r="D967" s="3">
        <f>IF('Data Source'!B967="","",IF('Data Source'!V967&gt;=5,"A+",IF('Data Source'!V967&gt;=4,"A",IF('Data Source'!V967&gt;=3.5,"A-",IF('Data Source'!V967&gt;=3,"B",IF('Data Source'!V967&gt;=2,"C",IF('Data Source'!V967&gt;=1,"D","F")))))))</f>
        <v/>
      </c>
      <c r="E967" s="3">
        <f>IF('Data Source'!B967="","",IF('Data Source'!W967&gt;=5,"A+",IF('Data Source'!W967&gt;=4,"A",IF('Data Source'!W967&gt;=3.5,"A-",IF('Data Source'!W967&gt;=3,"B",IF('Data Source'!W967&gt;=2,"C",IF('Data Source'!W967&gt;=1,"D","F")))))))</f>
        <v/>
      </c>
      <c r="F967" s="3">
        <f>IF('Data Source'!B967="","",IF('Data Source'!X967&gt;=5,"A+",IF('Data Source'!X967&gt;=4,"A",IF('Data Source'!X967&gt;=3.5,"A-",IF('Data Source'!X967&gt;=3,"B",IF('Data Source'!X967&gt;=2,"C",IF('Data Source'!X967&gt;=1,"D","F")))))))</f>
        <v/>
      </c>
      <c r="G967" s="3">
        <f>IF('Data Source'!B967="","",IF('Data Source'!Y967&gt;=5,"A+",IF('Data Source'!Y967&gt;=4,"A",IF('Data Source'!Y967&gt;=3.5,"A-",IF('Data Source'!Y967&gt;=3,"B",IF('Data Source'!Y967&gt;=2,"C",IF('Data Source'!Y967&gt;=1,"D","F")))))))</f>
        <v/>
      </c>
      <c r="H967" s="3">
        <f>IF('Data Source'!B967="","",IF('Data Source'!Z967&gt;=5,"A+",IF('Data Source'!Z967&gt;=4,"A",IF('Data Source'!Z967&gt;=3.5,"A-",IF('Data Source'!Z967&gt;=3,"B",IF('Data Source'!Z967&gt;=2,"C",IF('Data Source'!Z967&gt;=1,"D","F")))))))</f>
        <v/>
      </c>
      <c r="I967" s="3">
        <f>IF('Data Source'!B967="","",IF('Data Source'!AA967&gt;=5,"A+",IF('Data Source'!AA967&gt;=4,"A",IF('Data Source'!AA967&gt;=3.5,"A-",IF('Data Source'!AA967&gt;=3,"B",IF('Data Source'!AA967&gt;=2,"C",IF('Data Source'!AA967&gt;=1,"D","F")))))))</f>
        <v/>
      </c>
      <c r="J967" s="3">
        <f>IF('Data Source'!B967="","",IF('Data Source'!AB967&gt;=5,"A+",IF('Data Source'!AB967&gt;=4,"A",IF('Data Source'!AB967&gt;=3.5,"A-",IF('Data Source'!AB967&gt;=3,"B",IF('Data Source'!AB967&gt;=2,"C",IF('Data Source'!AB967&gt;=1,"D","F")))))))</f>
        <v/>
      </c>
      <c r="K967" s="3">
        <f>IF('Data Source'!B967="","",IF('Data Source'!AC967&gt;=5,"A+",IF('Data Source'!AC967&gt;=4,"A",IF('Data Source'!AC967&gt;=3.5,"A-",IF('Data Source'!AC967&gt;=3,"B",IF('Data Source'!AC967&gt;=2,"C",IF('Data Source'!AC967&gt;=1,"D","F")))))))</f>
        <v/>
      </c>
      <c r="L967" s="3">
        <f>IF('Data Source'!B967="","",IF('Data Source'!AD967&gt;=5,"A+",IF('Data Source'!AD967&gt;=4,"A",IF('Data Source'!AD967&gt;=3.5,"A-",IF('Data Source'!AD967&gt;=3,"B",IF('Data Source'!AD967&gt;=2,"C",IF('Data Source'!AD967&gt;=1,"D","F")))))))</f>
        <v/>
      </c>
      <c r="M967" s="3">
        <f>IF('Data Source'!B967="","",IF('Data Source'!AE967&gt;=5,"A+",IF('Data Source'!AE967&gt;=4,"A",IF('Data Source'!AE967&gt;=3.5,"A-",IF('Data Source'!AE967&gt;=3,"B",IF('Data Source'!AE967&gt;=2,"C",IF('Data Source'!AE967&gt;=1,"D","F")))))))</f>
        <v/>
      </c>
      <c r="N967" s="3">
        <f>IF('Data Source'!B967="","",IF('Data Source'!AF967&gt;=5,"A+",IF('Data Source'!AF967&gt;=4,"A",IF('Data Source'!AF967&gt;=3.5,"A-",IF('Data Source'!AF967&gt;=3,"B",IF('Data Source'!AF967&gt;=2,"C",IF('Data Source'!AF967&gt;=1,"D","F")))))))</f>
        <v/>
      </c>
      <c r="O967" s="3">
        <f>IF('Data Source'!B967="","",IF('Data Source'!AG967&gt;=5,"A+",IF('Data Source'!AG967&gt;=4,"A",IF('Data Source'!AG967&gt;=3.5,"A-",IF('Data Source'!AG967&gt;=3,"B",IF('Data Source'!AG967&gt;=2,"C",IF('Data Source'!AG967&gt;=1,"D","F")))))))</f>
        <v/>
      </c>
      <c r="P967" s="5">
        <f>IF('Data Source'!B967="","",'Data Source'!R967)</f>
        <v/>
      </c>
      <c r="Q967" s="3">
        <f>IF('Data Source'!B967="","",'Data Source'!S967)</f>
        <v/>
      </c>
    </row>
    <row r="968">
      <c r="A968" s="3">
        <f>IF('Data Source'!B968="","",'Data Source'!A968)</f>
        <v/>
      </c>
      <c r="B968">
        <f>IF('Data Source'!B968="","",'Data Source'!B968)</f>
        <v/>
      </c>
      <c r="C968" s="3">
        <f>IF('Data Source'!B968="","",IF('Data Source'!U968&gt;=5,"A+",IF('Data Source'!U968&gt;=4,"A",IF('Data Source'!U968&gt;=3.5,"A-",IF('Data Source'!U968&gt;=3,"B",IF('Data Source'!U968&gt;=2,"C",IF('Data Source'!U968&gt;=1,"D","F")))))))</f>
        <v/>
      </c>
      <c r="D968" s="3">
        <f>IF('Data Source'!B968="","",IF('Data Source'!V968&gt;=5,"A+",IF('Data Source'!V968&gt;=4,"A",IF('Data Source'!V968&gt;=3.5,"A-",IF('Data Source'!V968&gt;=3,"B",IF('Data Source'!V968&gt;=2,"C",IF('Data Source'!V968&gt;=1,"D","F")))))))</f>
        <v/>
      </c>
      <c r="E968" s="3">
        <f>IF('Data Source'!B968="","",IF('Data Source'!W968&gt;=5,"A+",IF('Data Source'!W968&gt;=4,"A",IF('Data Source'!W968&gt;=3.5,"A-",IF('Data Source'!W968&gt;=3,"B",IF('Data Source'!W968&gt;=2,"C",IF('Data Source'!W968&gt;=1,"D","F")))))))</f>
        <v/>
      </c>
      <c r="F968" s="3">
        <f>IF('Data Source'!B968="","",IF('Data Source'!X968&gt;=5,"A+",IF('Data Source'!X968&gt;=4,"A",IF('Data Source'!X968&gt;=3.5,"A-",IF('Data Source'!X968&gt;=3,"B",IF('Data Source'!X968&gt;=2,"C",IF('Data Source'!X968&gt;=1,"D","F")))))))</f>
        <v/>
      </c>
      <c r="G968" s="3">
        <f>IF('Data Source'!B968="","",IF('Data Source'!Y968&gt;=5,"A+",IF('Data Source'!Y968&gt;=4,"A",IF('Data Source'!Y968&gt;=3.5,"A-",IF('Data Source'!Y968&gt;=3,"B",IF('Data Source'!Y968&gt;=2,"C",IF('Data Source'!Y968&gt;=1,"D","F")))))))</f>
        <v/>
      </c>
      <c r="H968" s="3">
        <f>IF('Data Source'!B968="","",IF('Data Source'!Z968&gt;=5,"A+",IF('Data Source'!Z968&gt;=4,"A",IF('Data Source'!Z968&gt;=3.5,"A-",IF('Data Source'!Z968&gt;=3,"B",IF('Data Source'!Z968&gt;=2,"C",IF('Data Source'!Z968&gt;=1,"D","F")))))))</f>
        <v/>
      </c>
      <c r="I968" s="3">
        <f>IF('Data Source'!B968="","",IF('Data Source'!AA968&gt;=5,"A+",IF('Data Source'!AA968&gt;=4,"A",IF('Data Source'!AA968&gt;=3.5,"A-",IF('Data Source'!AA968&gt;=3,"B",IF('Data Source'!AA968&gt;=2,"C",IF('Data Source'!AA968&gt;=1,"D","F")))))))</f>
        <v/>
      </c>
      <c r="J968" s="3">
        <f>IF('Data Source'!B968="","",IF('Data Source'!AB968&gt;=5,"A+",IF('Data Source'!AB968&gt;=4,"A",IF('Data Source'!AB968&gt;=3.5,"A-",IF('Data Source'!AB968&gt;=3,"B",IF('Data Source'!AB968&gt;=2,"C",IF('Data Source'!AB968&gt;=1,"D","F")))))))</f>
        <v/>
      </c>
      <c r="K968" s="3">
        <f>IF('Data Source'!B968="","",IF('Data Source'!AC968&gt;=5,"A+",IF('Data Source'!AC968&gt;=4,"A",IF('Data Source'!AC968&gt;=3.5,"A-",IF('Data Source'!AC968&gt;=3,"B",IF('Data Source'!AC968&gt;=2,"C",IF('Data Source'!AC968&gt;=1,"D","F")))))))</f>
        <v/>
      </c>
      <c r="L968" s="3">
        <f>IF('Data Source'!B968="","",IF('Data Source'!AD968&gt;=5,"A+",IF('Data Source'!AD968&gt;=4,"A",IF('Data Source'!AD968&gt;=3.5,"A-",IF('Data Source'!AD968&gt;=3,"B",IF('Data Source'!AD968&gt;=2,"C",IF('Data Source'!AD968&gt;=1,"D","F")))))))</f>
        <v/>
      </c>
      <c r="M968" s="3">
        <f>IF('Data Source'!B968="","",IF('Data Source'!AE968&gt;=5,"A+",IF('Data Source'!AE968&gt;=4,"A",IF('Data Source'!AE968&gt;=3.5,"A-",IF('Data Source'!AE968&gt;=3,"B",IF('Data Source'!AE968&gt;=2,"C",IF('Data Source'!AE968&gt;=1,"D","F")))))))</f>
        <v/>
      </c>
      <c r="N968" s="3">
        <f>IF('Data Source'!B968="","",IF('Data Source'!AF968&gt;=5,"A+",IF('Data Source'!AF968&gt;=4,"A",IF('Data Source'!AF968&gt;=3.5,"A-",IF('Data Source'!AF968&gt;=3,"B",IF('Data Source'!AF968&gt;=2,"C",IF('Data Source'!AF968&gt;=1,"D","F")))))))</f>
        <v/>
      </c>
      <c r="O968" s="3">
        <f>IF('Data Source'!B968="","",IF('Data Source'!AG968&gt;=5,"A+",IF('Data Source'!AG968&gt;=4,"A",IF('Data Source'!AG968&gt;=3.5,"A-",IF('Data Source'!AG968&gt;=3,"B",IF('Data Source'!AG968&gt;=2,"C",IF('Data Source'!AG968&gt;=1,"D","F")))))))</f>
        <v/>
      </c>
      <c r="P968" s="5">
        <f>IF('Data Source'!B968="","",'Data Source'!R968)</f>
        <v/>
      </c>
      <c r="Q968" s="3">
        <f>IF('Data Source'!B968="","",'Data Source'!S968)</f>
        <v/>
      </c>
    </row>
    <row r="969">
      <c r="A969" s="3">
        <f>IF('Data Source'!B969="","",'Data Source'!A969)</f>
        <v/>
      </c>
      <c r="B969">
        <f>IF('Data Source'!B969="","",'Data Source'!B969)</f>
        <v/>
      </c>
      <c r="C969" s="3">
        <f>IF('Data Source'!B969="","",IF('Data Source'!U969&gt;=5,"A+",IF('Data Source'!U969&gt;=4,"A",IF('Data Source'!U969&gt;=3.5,"A-",IF('Data Source'!U969&gt;=3,"B",IF('Data Source'!U969&gt;=2,"C",IF('Data Source'!U969&gt;=1,"D","F")))))))</f>
        <v/>
      </c>
      <c r="D969" s="3">
        <f>IF('Data Source'!B969="","",IF('Data Source'!V969&gt;=5,"A+",IF('Data Source'!V969&gt;=4,"A",IF('Data Source'!V969&gt;=3.5,"A-",IF('Data Source'!V969&gt;=3,"B",IF('Data Source'!V969&gt;=2,"C",IF('Data Source'!V969&gt;=1,"D","F")))))))</f>
        <v/>
      </c>
      <c r="E969" s="3">
        <f>IF('Data Source'!B969="","",IF('Data Source'!W969&gt;=5,"A+",IF('Data Source'!W969&gt;=4,"A",IF('Data Source'!W969&gt;=3.5,"A-",IF('Data Source'!W969&gt;=3,"B",IF('Data Source'!W969&gt;=2,"C",IF('Data Source'!W969&gt;=1,"D","F")))))))</f>
        <v/>
      </c>
      <c r="F969" s="3">
        <f>IF('Data Source'!B969="","",IF('Data Source'!X969&gt;=5,"A+",IF('Data Source'!X969&gt;=4,"A",IF('Data Source'!X969&gt;=3.5,"A-",IF('Data Source'!X969&gt;=3,"B",IF('Data Source'!X969&gt;=2,"C",IF('Data Source'!X969&gt;=1,"D","F")))))))</f>
        <v/>
      </c>
      <c r="G969" s="3">
        <f>IF('Data Source'!B969="","",IF('Data Source'!Y969&gt;=5,"A+",IF('Data Source'!Y969&gt;=4,"A",IF('Data Source'!Y969&gt;=3.5,"A-",IF('Data Source'!Y969&gt;=3,"B",IF('Data Source'!Y969&gt;=2,"C",IF('Data Source'!Y969&gt;=1,"D","F")))))))</f>
        <v/>
      </c>
      <c r="H969" s="3">
        <f>IF('Data Source'!B969="","",IF('Data Source'!Z969&gt;=5,"A+",IF('Data Source'!Z969&gt;=4,"A",IF('Data Source'!Z969&gt;=3.5,"A-",IF('Data Source'!Z969&gt;=3,"B",IF('Data Source'!Z969&gt;=2,"C",IF('Data Source'!Z969&gt;=1,"D","F")))))))</f>
        <v/>
      </c>
      <c r="I969" s="3">
        <f>IF('Data Source'!B969="","",IF('Data Source'!AA969&gt;=5,"A+",IF('Data Source'!AA969&gt;=4,"A",IF('Data Source'!AA969&gt;=3.5,"A-",IF('Data Source'!AA969&gt;=3,"B",IF('Data Source'!AA969&gt;=2,"C",IF('Data Source'!AA969&gt;=1,"D","F")))))))</f>
        <v/>
      </c>
      <c r="J969" s="3">
        <f>IF('Data Source'!B969="","",IF('Data Source'!AB969&gt;=5,"A+",IF('Data Source'!AB969&gt;=4,"A",IF('Data Source'!AB969&gt;=3.5,"A-",IF('Data Source'!AB969&gt;=3,"B",IF('Data Source'!AB969&gt;=2,"C",IF('Data Source'!AB969&gt;=1,"D","F")))))))</f>
        <v/>
      </c>
      <c r="K969" s="3">
        <f>IF('Data Source'!B969="","",IF('Data Source'!AC969&gt;=5,"A+",IF('Data Source'!AC969&gt;=4,"A",IF('Data Source'!AC969&gt;=3.5,"A-",IF('Data Source'!AC969&gt;=3,"B",IF('Data Source'!AC969&gt;=2,"C",IF('Data Source'!AC969&gt;=1,"D","F")))))))</f>
        <v/>
      </c>
      <c r="L969" s="3">
        <f>IF('Data Source'!B969="","",IF('Data Source'!AD969&gt;=5,"A+",IF('Data Source'!AD969&gt;=4,"A",IF('Data Source'!AD969&gt;=3.5,"A-",IF('Data Source'!AD969&gt;=3,"B",IF('Data Source'!AD969&gt;=2,"C",IF('Data Source'!AD969&gt;=1,"D","F")))))))</f>
        <v/>
      </c>
      <c r="M969" s="3">
        <f>IF('Data Source'!B969="","",IF('Data Source'!AE969&gt;=5,"A+",IF('Data Source'!AE969&gt;=4,"A",IF('Data Source'!AE969&gt;=3.5,"A-",IF('Data Source'!AE969&gt;=3,"B",IF('Data Source'!AE969&gt;=2,"C",IF('Data Source'!AE969&gt;=1,"D","F")))))))</f>
        <v/>
      </c>
      <c r="N969" s="3">
        <f>IF('Data Source'!B969="","",IF('Data Source'!AF969&gt;=5,"A+",IF('Data Source'!AF969&gt;=4,"A",IF('Data Source'!AF969&gt;=3.5,"A-",IF('Data Source'!AF969&gt;=3,"B",IF('Data Source'!AF969&gt;=2,"C",IF('Data Source'!AF969&gt;=1,"D","F")))))))</f>
        <v/>
      </c>
      <c r="O969" s="3">
        <f>IF('Data Source'!B969="","",IF('Data Source'!AG969&gt;=5,"A+",IF('Data Source'!AG969&gt;=4,"A",IF('Data Source'!AG969&gt;=3.5,"A-",IF('Data Source'!AG969&gt;=3,"B",IF('Data Source'!AG969&gt;=2,"C",IF('Data Source'!AG969&gt;=1,"D","F")))))))</f>
        <v/>
      </c>
      <c r="P969" s="5">
        <f>IF('Data Source'!B969="","",'Data Source'!R969)</f>
        <v/>
      </c>
      <c r="Q969" s="3">
        <f>IF('Data Source'!B969="","",'Data Source'!S969)</f>
        <v/>
      </c>
    </row>
    <row r="970">
      <c r="A970" s="3">
        <f>IF('Data Source'!B970="","",'Data Source'!A970)</f>
        <v/>
      </c>
      <c r="B970">
        <f>IF('Data Source'!B970="","",'Data Source'!B970)</f>
        <v/>
      </c>
      <c r="C970" s="3">
        <f>IF('Data Source'!B970="","",IF('Data Source'!U970&gt;=5,"A+",IF('Data Source'!U970&gt;=4,"A",IF('Data Source'!U970&gt;=3.5,"A-",IF('Data Source'!U970&gt;=3,"B",IF('Data Source'!U970&gt;=2,"C",IF('Data Source'!U970&gt;=1,"D","F")))))))</f>
        <v/>
      </c>
      <c r="D970" s="3">
        <f>IF('Data Source'!B970="","",IF('Data Source'!V970&gt;=5,"A+",IF('Data Source'!V970&gt;=4,"A",IF('Data Source'!V970&gt;=3.5,"A-",IF('Data Source'!V970&gt;=3,"B",IF('Data Source'!V970&gt;=2,"C",IF('Data Source'!V970&gt;=1,"D","F")))))))</f>
        <v/>
      </c>
      <c r="E970" s="3">
        <f>IF('Data Source'!B970="","",IF('Data Source'!W970&gt;=5,"A+",IF('Data Source'!W970&gt;=4,"A",IF('Data Source'!W970&gt;=3.5,"A-",IF('Data Source'!W970&gt;=3,"B",IF('Data Source'!W970&gt;=2,"C",IF('Data Source'!W970&gt;=1,"D","F")))))))</f>
        <v/>
      </c>
      <c r="F970" s="3">
        <f>IF('Data Source'!B970="","",IF('Data Source'!X970&gt;=5,"A+",IF('Data Source'!X970&gt;=4,"A",IF('Data Source'!X970&gt;=3.5,"A-",IF('Data Source'!X970&gt;=3,"B",IF('Data Source'!X970&gt;=2,"C",IF('Data Source'!X970&gt;=1,"D","F")))))))</f>
        <v/>
      </c>
      <c r="G970" s="3">
        <f>IF('Data Source'!B970="","",IF('Data Source'!Y970&gt;=5,"A+",IF('Data Source'!Y970&gt;=4,"A",IF('Data Source'!Y970&gt;=3.5,"A-",IF('Data Source'!Y970&gt;=3,"B",IF('Data Source'!Y970&gt;=2,"C",IF('Data Source'!Y970&gt;=1,"D","F")))))))</f>
        <v/>
      </c>
      <c r="H970" s="3">
        <f>IF('Data Source'!B970="","",IF('Data Source'!Z970&gt;=5,"A+",IF('Data Source'!Z970&gt;=4,"A",IF('Data Source'!Z970&gt;=3.5,"A-",IF('Data Source'!Z970&gt;=3,"B",IF('Data Source'!Z970&gt;=2,"C",IF('Data Source'!Z970&gt;=1,"D","F")))))))</f>
        <v/>
      </c>
      <c r="I970" s="3">
        <f>IF('Data Source'!B970="","",IF('Data Source'!AA970&gt;=5,"A+",IF('Data Source'!AA970&gt;=4,"A",IF('Data Source'!AA970&gt;=3.5,"A-",IF('Data Source'!AA970&gt;=3,"B",IF('Data Source'!AA970&gt;=2,"C",IF('Data Source'!AA970&gt;=1,"D","F")))))))</f>
        <v/>
      </c>
      <c r="J970" s="3">
        <f>IF('Data Source'!B970="","",IF('Data Source'!AB970&gt;=5,"A+",IF('Data Source'!AB970&gt;=4,"A",IF('Data Source'!AB970&gt;=3.5,"A-",IF('Data Source'!AB970&gt;=3,"B",IF('Data Source'!AB970&gt;=2,"C",IF('Data Source'!AB970&gt;=1,"D","F")))))))</f>
        <v/>
      </c>
      <c r="K970" s="3">
        <f>IF('Data Source'!B970="","",IF('Data Source'!AC970&gt;=5,"A+",IF('Data Source'!AC970&gt;=4,"A",IF('Data Source'!AC970&gt;=3.5,"A-",IF('Data Source'!AC970&gt;=3,"B",IF('Data Source'!AC970&gt;=2,"C",IF('Data Source'!AC970&gt;=1,"D","F")))))))</f>
        <v/>
      </c>
      <c r="L970" s="3">
        <f>IF('Data Source'!B970="","",IF('Data Source'!AD970&gt;=5,"A+",IF('Data Source'!AD970&gt;=4,"A",IF('Data Source'!AD970&gt;=3.5,"A-",IF('Data Source'!AD970&gt;=3,"B",IF('Data Source'!AD970&gt;=2,"C",IF('Data Source'!AD970&gt;=1,"D","F")))))))</f>
        <v/>
      </c>
      <c r="M970" s="3">
        <f>IF('Data Source'!B970="","",IF('Data Source'!AE970&gt;=5,"A+",IF('Data Source'!AE970&gt;=4,"A",IF('Data Source'!AE970&gt;=3.5,"A-",IF('Data Source'!AE970&gt;=3,"B",IF('Data Source'!AE970&gt;=2,"C",IF('Data Source'!AE970&gt;=1,"D","F")))))))</f>
        <v/>
      </c>
      <c r="N970" s="3">
        <f>IF('Data Source'!B970="","",IF('Data Source'!AF970&gt;=5,"A+",IF('Data Source'!AF970&gt;=4,"A",IF('Data Source'!AF970&gt;=3.5,"A-",IF('Data Source'!AF970&gt;=3,"B",IF('Data Source'!AF970&gt;=2,"C",IF('Data Source'!AF970&gt;=1,"D","F")))))))</f>
        <v/>
      </c>
      <c r="O970" s="3">
        <f>IF('Data Source'!B970="","",IF('Data Source'!AG970&gt;=5,"A+",IF('Data Source'!AG970&gt;=4,"A",IF('Data Source'!AG970&gt;=3.5,"A-",IF('Data Source'!AG970&gt;=3,"B",IF('Data Source'!AG970&gt;=2,"C",IF('Data Source'!AG970&gt;=1,"D","F")))))))</f>
        <v/>
      </c>
      <c r="P970" s="5">
        <f>IF('Data Source'!B970="","",'Data Source'!R970)</f>
        <v/>
      </c>
      <c r="Q970" s="3">
        <f>IF('Data Source'!B970="","",'Data Source'!S970)</f>
        <v/>
      </c>
    </row>
    <row r="971">
      <c r="A971" s="3">
        <f>IF('Data Source'!B971="","",'Data Source'!A971)</f>
        <v/>
      </c>
      <c r="B971">
        <f>IF('Data Source'!B971="","",'Data Source'!B971)</f>
        <v/>
      </c>
      <c r="C971" s="3">
        <f>IF('Data Source'!B971="","",IF('Data Source'!U971&gt;=5,"A+",IF('Data Source'!U971&gt;=4,"A",IF('Data Source'!U971&gt;=3.5,"A-",IF('Data Source'!U971&gt;=3,"B",IF('Data Source'!U971&gt;=2,"C",IF('Data Source'!U971&gt;=1,"D","F")))))))</f>
        <v/>
      </c>
      <c r="D971" s="3">
        <f>IF('Data Source'!B971="","",IF('Data Source'!V971&gt;=5,"A+",IF('Data Source'!V971&gt;=4,"A",IF('Data Source'!V971&gt;=3.5,"A-",IF('Data Source'!V971&gt;=3,"B",IF('Data Source'!V971&gt;=2,"C",IF('Data Source'!V971&gt;=1,"D","F")))))))</f>
        <v/>
      </c>
      <c r="E971" s="3">
        <f>IF('Data Source'!B971="","",IF('Data Source'!W971&gt;=5,"A+",IF('Data Source'!W971&gt;=4,"A",IF('Data Source'!W971&gt;=3.5,"A-",IF('Data Source'!W971&gt;=3,"B",IF('Data Source'!W971&gt;=2,"C",IF('Data Source'!W971&gt;=1,"D","F")))))))</f>
        <v/>
      </c>
      <c r="F971" s="3">
        <f>IF('Data Source'!B971="","",IF('Data Source'!X971&gt;=5,"A+",IF('Data Source'!X971&gt;=4,"A",IF('Data Source'!X971&gt;=3.5,"A-",IF('Data Source'!X971&gt;=3,"B",IF('Data Source'!X971&gt;=2,"C",IF('Data Source'!X971&gt;=1,"D","F")))))))</f>
        <v/>
      </c>
      <c r="G971" s="3">
        <f>IF('Data Source'!B971="","",IF('Data Source'!Y971&gt;=5,"A+",IF('Data Source'!Y971&gt;=4,"A",IF('Data Source'!Y971&gt;=3.5,"A-",IF('Data Source'!Y971&gt;=3,"B",IF('Data Source'!Y971&gt;=2,"C",IF('Data Source'!Y971&gt;=1,"D","F")))))))</f>
        <v/>
      </c>
      <c r="H971" s="3">
        <f>IF('Data Source'!B971="","",IF('Data Source'!Z971&gt;=5,"A+",IF('Data Source'!Z971&gt;=4,"A",IF('Data Source'!Z971&gt;=3.5,"A-",IF('Data Source'!Z971&gt;=3,"B",IF('Data Source'!Z971&gt;=2,"C",IF('Data Source'!Z971&gt;=1,"D","F")))))))</f>
        <v/>
      </c>
      <c r="I971" s="3">
        <f>IF('Data Source'!B971="","",IF('Data Source'!AA971&gt;=5,"A+",IF('Data Source'!AA971&gt;=4,"A",IF('Data Source'!AA971&gt;=3.5,"A-",IF('Data Source'!AA971&gt;=3,"B",IF('Data Source'!AA971&gt;=2,"C",IF('Data Source'!AA971&gt;=1,"D","F")))))))</f>
        <v/>
      </c>
      <c r="J971" s="3">
        <f>IF('Data Source'!B971="","",IF('Data Source'!AB971&gt;=5,"A+",IF('Data Source'!AB971&gt;=4,"A",IF('Data Source'!AB971&gt;=3.5,"A-",IF('Data Source'!AB971&gt;=3,"B",IF('Data Source'!AB971&gt;=2,"C",IF('Data Source'!AB971&gt;=1,"D","F")))))))</f>
        <v/>
      </c>
      <c r="K971" s="3">
        <f>IF('Data Source'!B971="","",IF('Data Source'!AC971&gt;=5,"A+",IF('Data Source'!AC971&gt;=4,"A",IF('Data Source'!AC971&gt;=3.5,"A-",IF('Data Source'!AC971&gt;=3,"B",IF('Data Source'!AC971&gt;=2,"C",IF('Data Source'!AC971&gt;=1,"D","F")))))))</f>
        <v/>
      </c>
      <c r="L971" s="3">
        <f>IF('Data Source'!B971="","",IF('Data Source'!AD971&gt;=5,"A+",IF('Data Source'!AD971&gt;=4,"A",IF('Data Source'!AD971&gt;=3.5,"A-",IF('Data Source'!AD971&gt;=3,"B",IF('Data Source'!AD971&gt;=2,"C",IF('Data Source'!AD971&gt;=1,"D","F")))))))</f>
        <v/>
      </c>
      <c r="M971" s="3">
        <f>IF('Data Source'!B971="","",IF('Data Source'!AE971&gt;=5,"A+",IF('Data Source'!AE971&gt;=4,"A",IF('Data Source'!AE971&gt;=3.5,"A-",IF('Data Source'!AE971&gt;=3,"B",IF('Data Source'!AE971&gt;=2,"C",IF('Data Source'!AE971&gt;=1,"D","F")))))))</f>
        <v/>
      </c>
      <c r="N971" s="3">
        <f>IF('Data Source'!B971="","",IF('Data Source'!AF971&gt;=5,"A+",IF('Data Source'!AF971&gt;=4,"A",IF('Data Source'!AF971&gt;=3.5,"A-",IF('Data Source'!AF971&gt;=3,"B",IF('Data Source'!AF971&gt;=2,"C",IF('Data Source'!AF971&gt;=1,"D","F")))))))</f>
        <v/>
      </c>
      <c r="O971" s="3">
        <f>IF('Data Source'!B971="","",IF('Data Source'!AG971&gt;=5,"A+",IF('Data Source'!AG971&gt;=4,"A",IF('Data Source'!AG971&gt;=3.5,"A-",IF('Data Source'!AG971&gt;=3,"B",IF('Data Source'!AG971&gt;=2,"C",IF('Data Source'!AG971&gt;=1,"D","F")))))))</f>
        <v/>
      </c>
      <c r="P971" s="5">
        <f>IF('Data Source'!B971="","",'Data Source'!R971)</f>
        <v/>
      </c>
      <c r="Q971" s="3">
        <f>IF('Data Source'!B971="","",'Data Source'!S971)</f>
        <v/>
      </c>
    </row>
    <row r="972">
      <c r="A972" s="3">
        <f>IF('Data Source'!B972="","",'Data Source'!A972)</f>
        <v/>
      </c>
      <c r="B972">
        <f>IF('Data Source'!B972="","",'Data Source'!B972)</f>
        <v/>
      </c>
      <c r="C972" s="3">
        <f>IF('Data Source'!B972="","",IF('Data Source'!U972&gt;=5,"A+",IF('Data Source'!U972&gt;=4,"A",IF('Data Source'!U972&gt;=3.5,"A-",IF('Data Source'!U972&gt;=3,"B",IF('Data Source'!U972&gt;=2,"C",IF('Data Source'!U972&gt;=1,"D","F")))))))</f>
        <v/>
      </c>
      <c r="D972" s="3">
        <f>IF('Data Source'!B972="","",IF('Data Source'!V972&gt;=5,"A+",IF('Data Source'!V972&gt;=4,"A",IF('Data Source'!V972&gt;=3.5,"A-",IF('Data Source'!V972&gt;=3,"B",IF('Data Source'!V972&gt;=2,"C",IF('Data Source'!V972&gt;=1,"D","F")))))))</f>
        <v/>
      </c>
      <c r="E972" s="3">
        <f>IF('Data Source'!B972="","",IF('Data Source'!W972&gt;=5,"A+",IF('Data Source'!W972&gt;=4,"A",IF('Data Source'!W972&gt;=3.5,"A-",IF('Data Source'!W972&gt;=3,"B",IF('Data Source'!W972&gt;=2,"C",IF('Data Source'!W972&gt;=1,"D","F")))))))</f>
        <v/>
      </c>
      <c r="F972" s="3">
        <f>IF('Data Source'!B972="","",IF('Data Source'!X972&gt;=5,"A+",IF('Data Source'!X972&gt;=4,"A",IF('Data Source'!X972&gt;=3.5,"A-",IF('Data Source'!X972&gt;=3,"B",IF('Data Source'!X972&gt;=2,"C",IF('Data Source'!X972&gt;=1,"D","F")))))))</f>
        <v/>
      </c>
      <c r="G972" s="3">
        <f>IF('Data Source'!B972="","",IF('Data Source'!Y972&gt;=5,"A+",IF('Data Source'!Y972&gt;=4,"A",IF('Data Source'!Y972&gt;=3.5,"A-",IF('Data Source'!Y972&gt;=3,"B",IF('Data Source'!Y972&gt;=2,"C",IF('Data Source'!Y972&gt;=1,"D","F")))))))</f>
        <v/>
      </c>
      <c r="H972" s="3">
        <f>IF('Data Source'!B972="","",IF('Data Source'!Z972&gt;=5,"A+",IF('Data Source'!Z972&gt;=4,"A",IF('Data Source'!Z972&gt;=3.5,"A-",IF('Data Source'!Z972&gt;=3,"B",IF('Data Source'!Z972&gt;=2,"C",IF('Data Source'!Z972&gt;=1,"D","F")))))))</f>
        <v/>
      </c>
      <c r="I972" s="3">
        <f>IF('Data Source'!B972="","",IF('Data Source'!AA972&gt;=5,"A+",IF('Data Source'!AA972&gt;=4,"A",IF('Data Source'!AA972&gt;=3.5,"A-",IF('Data Source'!AA972&gt;=3,"B",IF('Data Source'!AA972&gt;=2,"C",IF('Data Source'!AA972&gt;=1,"D","F")))))))</f>
        <v/>
      </c>
      <c r="J972" s="3">
        <f>IF('Data Source'!B972="","",IF('Data Source'!AB972&gt;=5,"A+",IF('Data Source'!AB972&gt;=4,"A",IF('Data Source'!AB972&gt;=3.5,"A-",IF('Data Source'!AB972&gt;=3,"B",IF('Data Source'!AB972&gt;=2,"C",IF('Data Source'!AB972&gt;=1,"D","F")))))))</f>
        <v/>
      </c>
      <c r="K972" s="3">
        <f>IF('Data Source'!B972="","",IF('Data Source'!AC972&gt;=5,"A+",IF('Data Source'!AC972&gt;=4,"A",IF('Data Source'!AC972&gt;=3.5,"A-",IF('Data Source'!AC972&gt;=3,"B",IF('Data Source'!AC972&gt;=2,"C",IF('Data Source'!AC972&gt;=1,"D","F")))))))</f>
        <v/>
      </c>
      <c r="L972" s="3">
        <f>IF('Data Source'!B972="","",IF('Data Source'!AD972&gt;=5,"A+",IF('Data Source'!AD972&gt;=4,"A",IF('Data Source'!AD972&gt;=3.5,"A-",IF('Data Source'!AD972&gt;=3,"B",IF('Data Source'!AD972&gt;=2,"C",IF('Data Source'!AD972&gt;=1,"D","F")))))))</f>
        <v/>
      </c>
      <c r="M972" s="3">
        <f>IF('Data Source'!B972="","",IF('Data Source'!AE972&gt;=5,"A+",IF('Data Source'!AE972&gt;=4,"A",IF('Data Source'!AE972&gt;=3.5,"A-",IF('Data Source'!AE972&gt;=3,"B",IF('Data Source'!AE972&gt;=2,"C",IF('Data Source'!AE972&gt;=1,"D","F")))))))</f>
        <v/>
      </c>
      <c r="N972" s="3">
        <f>IF('Data Source'!B972="","",IF('Data Source'!AF972&gt;=5,"A+",IF('Data Source'!AF972&gt;=4,"A",IF('Data Source'!AF972&gt;=3.5,"A-",IF('Data Source'!AF972&gt;=3,"B",IF('Data Source'!AF972&gt;=2,"C",IF('Data Source'!AF972&gt;=1,"D","F")))))))</f>
        <v/>
      </c>
      <c r="O972" s="3">
        <f>IF('Data Source'!B972="","",IF('Data Source'!AG972&gt;=5,"A+",IF('Data Source'!AG972&gt;=4,"A",IF('Data Source'!AG972&gt;=3.5,"A-",IF('Data Source'!AG972&gt;=3,"B",IF('Data Source'!AG972&gt;=2,"C",IF('Data Source'!AG972&gt;=1,"D","F")))))))</f>
        <v/>
      </c>
      <c r="P972" s="5">
        <f>IF('Data Source'!B972="","",'Data Source'!R972)</f>
        <v/>
      </c>
      <c r="Q972" s="3">
        <f>IF('Data Source'!B972="","",'Data Source'!S972)</f>
        <v/>
      </c>
    </row>
    <row r="973">
      <c r="A973" s="3">
        <f>IF('Data Source'!B973="","",'Data Source'!A973)</f>
        <v/>
      </c>
      <c r="B973">
        <f>IF('Data Source'!B973="","",'Data Source'!B973)</f>
        <v/>
      </c>
      <c r="C973" s="3">
        <f>IF('Data Source'!B973="","",IF('Data Source'!U973&gt;=5,"A+",IF('Data Source'!U973&gt;=4,"A",IF('Data Source'!U973&gt;=3.5,"A-",IF('Data Source'!U973&gt;=3,"B",IF('Data Source'!U973&gt;=2,"C",IF('Data Source'!U973&gt;=1,"D","F")))))))</f>
        <v/>
      </c>
      <c r="D973" s="3">
        <f>IF('Data Source'!B973="","",IF('Data Source'!V973&gt;=5,"A+",IF('Data Source'!V973&gt;=4,"A",IF('Data Source'!V973&gt;=3.5,"A-",IF('Data Source'!V973&gt;=3,"B",IF('Data Source'!V973&gt;=2,"C",IF('Data Source'!V973&gt;=1,"D","F")))))))</f>
        <v/>
      </c>
      <c r="E973" s="3">
        <f>IF('Data Source'!B973="","",IF('Data Source'!W973&gt;=5,"A+",IF('Data Source'!W973&gt;=4,"A",IF('Data Source'!W973&gt;=3.5,"A-",IF('Data Source'!W973&gt;=3,"B",IF('Data Source'!W973&gt;=2,"C",IF('Data Source'!W973&gt;=1,"D","F")))))))</f>
        <v/>
      </c>
      <c r="F973" s="3">
        <f>IF('Data Source'!B973="","",IF('Data Source'!X973&gt;=5,"A+",IF('Data Source'!X973&gt;=4,"A",IF('Data Source'!X973&gt;=3.5,"A-",IF('Data Source'!X973&gt;=3,"B",IF('Data Source'!X973&gt;=2,"C",IF('Data Source'!X973&gt;=1,"D","F")))))))</f>
        <v/>
      </c>
      <c r="G973" s="3">
        <f>IF('Data Source'!B973="","",IF('Data Source'!Y973&gt;=5,"A+",IF('Data Source'!Y973&gt;=4,"A",IF('Data Source'!Y973&gt;=3.5,"A-",IF('Data Source'!Y973&gt;=3,"B",IF('Data Source'!Y973&gt;=2,"C",IF('Data Source'!Y973&gt;=1,"D","F")))))))</f>
        <v/>
      </c>
      <c r="H973" s="3">
        <f>IF('Data Source'!B973="","",IF('Data Source'!Z973&gt;=5,"A+",IF('Data Source'!Z973&gt;=4,"A",IF('Data Source'!Z973&gt;=3.5,"A-",IF('Data Source'!Z973&gt;=3,"B",IF('Data Source'!Z973&gt;=2,"C",IF('Data Source'!Z973&gt;=1,"D","F")))))))</f>
        <v/>
      </c>
      <c r="I973" s="3">
        <f>IF('Data Source'!B973="","",IF('Data Source'!AA973&gt;=5,"A+",IF('Data Source'!AA973&gt;=4,"A",IF('Data Source'!AA973&gt;=3.5,"A-",IF('Data Source'!AA973&gt;=3,"B",IF('Data Source'!AA973&gt;=2,"C",IF('Data Source'!AA973&gt;=1,"D","F")))))))</f>
        <v/>
      </c>
      <c r="J973" s="3">
        <f>IF('Data Source'!B973="","",IF('Data Source'!AB973&gt;=5,"A+",IF('Data Source'!AB973&gt;=4,"A",IF('Data Source'!AB973&gt;=3.5,"A-",IF('Data Source'!AB973&gt;=3,"B",IF('Data Source'!AB973&gt;=2,"C",IF('Data Source'!AB973&gt;=1,"D","F")))))))</f>
        <v/>
      </c>
      <c r="K973" s="3">
        <f>IF('Data Source'!B973="","",IF('Data Source'!AC973&gt;=5,"A+",IF('Data Source'!AC973&gt;=4,"A",IF('Data Source'!AC973&gt;=3.5,"A-",IF('Data Source'!AC973&gt;=3,"B",IF('Data Source'!AC973&gt;=2,"C",IF('Data Source'!AC973&gt;=1,"D","F")))))))</f>
        <v/>
      </c>
      <c r="L973" s="3">
        <f>IF('Data Source'!B973="","",IF('Data Source'!AD973&gt;=5,"A+",IF('Data Source'!AD973&gt;=4,"A",IF('Data Source'!AD973&gt;=3.5,"A-",IF('Data Source'!AD973&gt;=3,"B",IF('Data Source'!AD973&gt;=2,"C",IF('Data Source'!AD973&gt;=1,"D","F")))))))</f>
        <v/>
      </c>
      <c r="M973" s="3">
        <f>IF('Data Source'!B973="","",IF('Data Source'!AE973&gt;=5,"A+",IF('Data Source'!AE973&gt;=4,"A",IF('Data Source'!AE973&gt;=3.5,"A-",IF('Data Source'!AE973&gt;=3,"B",IF('Data Source'!AE973&gt;=2,"C",IF('Data Source'!AE973&gt;=1,"D","F")))))))</f>
        <v/>
      </c>
      <c r="N973" s="3">
        <f>IF('Data Source'!B973="","",IF('Data Source'!AF973&gt;=5,"A+",IF('Data Source'!AF973&gt;=4,"A",IF('Data Source'!AF973&gt;=3.5,"A-",IF('Data Source'!AF973&gt;=3,"B",IF('Data Source'!AF973&gt;=2,"C",IF('Data Source'!AF973&gt;=1,"D","F")))))))</f>
        <v/>
      </c>
      <c r="O973" s="3">
        <f>IF('Data Source'!B973="","",IF('Data Source'!AG973&gt;=5,"A+",IF('Data Source'!AG973&gt;=4,"A",IF('Data Source'!AG973&gt;=3.5,"A-",IF('Data Source'!AG973&gt;=3,"B",IF('Data Source'!AG973&gt;=2,"C",IF('Data Source'!AG973&gt;=1,"D","F")))))))</f>
        <v/>
      </c>
      <c r="P973" s="5">
        <f>IF('Data Source'!B973="","",'Data Source'!R973)</f>
        <v/>
      </c>
      <c r="Q973" s="3">
        <f>IF('Data Source'!B973="","",'Data Source'!S973)</f>
        <v/>
      </c>
    </row>
    <row r="974">
      <c r="A974" s="3">
        <f>IF('Data Source'!B974="","",'Data Source'!A974)</f>
        <v/>
      </c>
      <c r="B974">
        <f>IF('Data Source'!B974="","",'Data Source'!B974)</f>
        <v/>
      </c>
      <c r="C974" s="3">
        <f>IF('Data Source'!B974="","",IF('Data Source'!U974&gt;=5,"A+",IF('Data Source'!U974&gt;=4,"A",IF('Data Source'!U974&gt;=3.5,"A-",IF('Data Source'!U974&gt;=3,"B",IF('Data Source'!U974&gt;=2,"C",IF('Data Source'!U974&gt;=1,"D","F")))))))</f>
        <v/>
      </c>
      <c r="D974" s="3">
        <f>IF('Data Source'!B974="","",IF('Data Source'!V974&gt;=5,"A+",IF('Data Source'!V974&gt;=4,"A",IF('Data Source'!V974&gt;=3.5,"A-",IF('Data Source'!V974&gt;=3,"B",IF('Data Source'!V974&gt;=2,"C",IF('Data Source'!V974&gt;=1,"D","F")))))))</f>
        <v/>
      </c>
      <c r="E974" s="3">
        <f>IF('Data Source'!B974="","",IF('Data Source'!W974&gt;=5,"A+",IF('Data Source'!W974&gt;=4,"A",IF('Data Source'!W974&gt;=3.5,"A-",IF('Data Source'!W974&gt;=3,"B",IF('Data Source'!W974&gt;=2,"C",IF('Data Source'!W974&gt;=1,"D","F")))))))</f>
        <v/>
      </c>
      <c r="F974" s="3">
        <f>IF('Data Source'!B974="","",IF('Data Source'!X974&gt;=5,"A+",IF('Data Source'!X974&gt;=4,"A",IF('Data Source'!X974&gt;=3.5,"A-",IF('Data Source'!X974&gt;=3,"B",IF('Data Source'!X974&gt;=2,"C",IF('Data Source'!X974&gt;=1,"D","F")))))))</f>
        <v/>
      </c>
      <c r="G974" s="3">
        <f>IF('Data Source'!B974="","",IF('Data Source'!Y974&gt;=5,"A+",IF('Data Source'!Y974&gt;=4,"A",IF('Data Source'!Y974&gt;=3.5,"A-",IF('Data Source'!Y974&gt;=3,"B",IF('Data Source'!Y974&gt;=2,"C",IF('Data Source'!Y974&gt;=1,"D","F")))))))</f>
        <v/>
      </c>
      <c r="H974" s="3">
        <f>IF('Data Source'!B974="","",IF('Data Source'!Z974&gt;=5,"A+",IF('Data Source'!Z974&gt;=4,"A",IF('Data Source'!Z974&gt;=3.5,"A-",IF('Data Source'!Z974&gt;=3,"B",IF('Data Source'!Z974&gt;=2,"C",IF('Data Source'!Z974&gt;=1,"D","F")))))))</f>
        <v/>
      </c>
      <c r="I974" s="3">
        <f>IF('Data Source'!B974="","",IF('Data Source'!AA974&gt;=5,"A+",IF('Data Source'!AA974&gt;=4,"A",IF('Data Source'!AA974&gt;=3.5,"A-",IF('Data Source'!AA974&gt;=3,"B",IF('Data Source'!AA974&gt;=2,"C",IF('Data Source'!AA974&gt;=1,"D","F")))))))</f>
        <v/>
      </c>
      <c r="J974" s="3">
        <f>IF('Data Source'!B974="","",IF('Data Source'!AB974&gt;=5,"A+",IF('Data Source'!AB974&gt;=4,"A",IF('Data Source'!AB974&gt;=3.5,"A-",IF('Data Source'!AB974&gt;=3,"B",IF('Data Source'!AB974&gt;=2,"C",IF('Data Source'!AB974&gt;=1,"D","F")))))))</f>
        <v/>
      </c>
      <c r="K974" s="3">
        <f>IF('Data Source'!B974="","",IF('Data Source'!AC974&gt;=5,"A+",IF('Data Source'!AC974&gt;=4,"A",IF('Data Source'!AC974&gt;=3.5,"A-",IF('Data Source'!AC974&gt;=3,"B",IF('Data Source'!AC974&gt;=2,"C",IF('Data Source'!AC974&gt;=1,"D","F")))))))</f>
        <v/>
      </c>
      <c r="L974" s="3">
        <f>IF('Data Source'!B974="","",IF('Data Source'!AD974&gt;=5,"A+",IF('Data Source'!AD974&gt;=4,"A",IF('Data Source'!AD974&gt;=3.5,"A-",IF('Data Source'!AD974&gt;=3,"B",IF('Data Source'!AD974&gt;=2,"C",IF('Data Source'!AD974&gt;=1,"D","F")))))))</f>
        <v/>
      </c>
      <c r="M974" s="3">
        <f>IF('Data Source'!B974="","",IF('Data Source'!AE974&gt;=5,"A+",IF('Data Source'!AE974&gt;=4,"A",IF('Data Source'!AE974&gt;=3.5,"A-",IF('Data Source'!AE974&gt;=3,"B",IF('Data Source'!AE974&gt;=2,"C",IF('Data Source'!AE974&gt;=1,"D","F")))))))</f>
        <v/>
      </c>
      <c r="N974" s="3">
        <f>IF('Data Source'!B974="","",IF('Data Source'!AF974&gt;=5,"A+",IF('Data Source'!AF974&gt;=4,"A",IF('Data Source'!AF974&gt;=3.5,"A-",IF('Data Source'!AF974&gt;=3,"B",IF('Data Source'!AF974&gt;=2,"C",IF('Data Source'!AF974&gt;=1,"D","F")))))))</f>
        <v/>
      </c>
      <c r="O974" s="3">
        <f>IF('Data Source'!B974="","",IF('Data Source'!AG974&gt;=5,"A+",IF('Data Source'!AG974&gt;=4,"A",IF('Data Source'!AG974&gt;=3.5,"A-",IF('Data Source'!AG974&gt;=3,"B",IF('Data Source'!AG974&gt;=2,"C",IF('Data Source'!AG974&gt;=1,"D","F")))))))</f>
        <v/>
      </c>
      <c r="P974" s="5">
        <f>IF('Data Source'!B974="","",'Data Source'!R974)</f>
        <v/>
      </c>
      <c r="Q974" s="3">
        <f>IF('Data Source'!B974="","",'Data Source'!S974)</f>
        <v/>
      </c>
    </row>
    <row r="975">
      <c r="A975" s="3">
        <f>IF('Data Source'!B975="","",'Data Source'!A975)</f>
        <v/>
      </c>
      <c r="B975">
        <f>IF('Data Source'!B975="","",'Data Source'!B975)</f>
        <v/>
      </c>
      <c r="C975" s="3">
        <f>IF('Data Source'!B975="","",IF('Data Source'!U975&gt;=5,"A+",IF('Data Source'!U975&gt;=4,"A",IF('Data Source'!U975&gt;=3.5,"A-",IF('Data Source'!U975&gt;=3,"B",IF('Data Source'!U975&gt;=2,"C",IF('Data Source'!U975&gt;=1,"D","F")))))))</f>
        <v/>
      </c>
      <c r="D975" s="3">
        <f>IF('Data Source'!B975="","",IF('Data Source'!V975&gt;=5,"A+",IF('Data Source'!V975&gt;=4,"A",IF('Data Source'!V975&gt;=3.5,"A-",IF('Data Source'!V975&gt;=3,"B",IF('Data Source'!V975&gt;=2,"C",IF('Data Source'!V975&gt;=1,"D","F")))))))</f>
        <v/>
      </c>
      <c r="E975" s="3">
        <f>IF('Data Source'!B975="","",IF('Data Source'!W975&gt;=5,"A+",IF('Data Source'!W975&gt;=4,"A",IF('Data Source'!W975&gt;=3.5,"A-",IF('Data Source'!W975&gt;=3,"B",IF('Data Source'!W975&gt;=2,"C",IF('Data Source'!W975&gt;=1,"D","F")))))))</f>
        <v/>
      </c>
      <c r="F975" s="3">
        <f>IF('Data Source'!B975="","",IF('Data Source'!X975&gt;=5,"A+",IF('Data Source'!X975&gt;=4,"A",IF('Data Source'!X975&gt;=3.5,"A-",IF('Data Source'!X975&gt;=3,"B",IF('Data Source'!X975&gt;=2,"C",IF('Data Source'!X975&gt;=1,"D","F")))))))</f>
        <v/>
      </c>
      <c r="G975" s="3">
        <f>IF('Data Source'!B975="","",IF('Data Source'!Y975&gt;=5,"A+",IF('Data Source'!Y975&gt;=4,"A",IF('Data Source'!Y975&gt;=3.5,"A-",IF('Data Source'!Y975&gt;=3,"B",IF('Data Source'!Y975&gt;=2,"C",IF('Data Source'!Y975&gt;=1,"D","F")))))))</f>
        <v/>
      </c>
      <c r="H975" s="3">
        <f>IF('Data Source'!B975="","",IF('Data Source'!Z975&gt;=5,"A+",IF('Data Source'!Z975&gt;=4,"A",IF('Data Source'!Z975&gt;=3.5,"A-",IF('Data Source'!Z975&gt;=3,"B",IF('Data Source'!Z975&gt;=2,"C",IF('Data Source'!Z975&gt;=1,"D","F")))))))</f>
        <v/>
      </c>
      <c r="I975" s="3">
        <f>IF('Data Source'!B975="","",IF('Data Source'!AA975&gt;=5,"A+",IF('Data Source'!AA975&gt;=4,"A",IF('Data Source'!AA975&gt;=3.5,"A-",IF('Data Source'!AA975&gt;=3,"B",IF('Data Source'!AA975&gt;=2,"C",IF('Data Source'!AA975&gt;=1,"D","F")))))))</f>
        <v/>
      </c>
      <c r="J975" s="3">
        <f>IF('Data Source'!B975="","",IF('Data Source'!AB975&gt;=5,"A+",IF('Data Source'!AB975&gt;=4,"A",IF('Data Source'!AB975&gt;=3.5,"A-",IF('Data Source'!AB975&gt;=3,"B",IF('Data Source'!AB975&gt;=2,"C",IF('Data Source'!AB975&gt;=1,"D","F")))))))</f>
        <v/>
      </c>
      <c r="K975" s="3">
        <f>IF('Data Source'!B975="","",IF('Data Source'!AC975&gt;=5,"A+",IF('Data Source'!AC975&gt;=4,"A",IF('Data Source'!AC975&gt;=3.5,"A-",IF('Data Source'!AC975&gt;=3,"B",IF('Data Source'!AC975&gt;=2,"C",IF('Data Source'!AC975&gt;=1,"D","F")))))))</f>
        <v/>
      </c>
      <c r="L975" s="3">
        <f>IF('Data Source'!B975="","",IF('Data Source'!AD975&gt;=5,"A+",IF('Data Source'!AD975&gt;=4,"A",IF('Data Source'!AD975&gt;=3.5,"A-",IF('Data Source'!AD975&gt;=3,"B",IF('Data Source'!AD975&gt;=2,"C",IF('Data Source'!AD975&gt;=1,"D","F")))))))</f>
        <v/>
      </c>
      <c r="M975" s="3">
        <f>IF('Data Source'!B975="","",IF('Data Source'!AE975&gt;=5,"A+",IF('Data Source'!AE975&gt;=4,"A",IF('Data Source'!AE975&gt;=3.5,"A-",IF('Data Source'!AE975&gt;=3,"B",IF('Data Source'!AE975&gt;=2,"C",IF('Data Source'!AE975&gt;=1,"D","F")))))))</f>
        <v/>
      </c>
      <c r="N975" s="3">
        <f>IF('Data Source'!B975="","",IF('Data Source'!AF975&gt;=5,"A+",IF('Data Source'!AF975&gt;=4,"A",IF('Data Source'!AF975&gt;=3.5,"A-",IF('Data Source'!AF975&gt;=3,"B",IF('Data Source'!AF975&gt;=2,"C",IF('Data Source'!AF975&gt;=1,"D","F")))))))</f>
        <v/>
      </c>
      <c r="O975" s="3">
        <f>IF('Data Source'!B975="","",IF('Data Source'!AG975&gt;=5,"A+",IF('Data Source'!AG975&gt;=4,"A",IF('Data Source'!AG975&gt;=3.5,"A-",IF('Data Source'!AG975&gt;=3,"B",IF('Data Source'!AG975&gt;=2,"C",IF('Data Source'!AG975&gt;=1,"D","F")))))))</f>
        <v/>
      </c>
      <c r="P975" s="5">
        <f>IF('Data Source'!B975="","",'Data Source'!R975)</f>
        <v/>
      </c>
      <c r="Q975" s="3">
        <f>IF('Data Source'!B975="","",'Data Source'!S975)</f>
        <v/>
      </c>
    </row>
    <row r="976">
      <c r="A976" s="3">
        <f>IF('Data Source'!B976="","",'Data Source'!A976)</f>
        <v/>
      </c>
      <c r="B976">
        <f>IF('Data Source'!B976="","",'Data Source'!B976)</f>
        <v/>
      </c>
      <c r="C976" s="3">
        <f>IF('Data Source'!B976="","",IF('Data Source'!U976&gt;=5,"A+",IF('Data Source'!U976&gt;=4,"A",IF('Data Source'!U976&gt;=3.5,"A-",IF('Data Source'!U976&gt;=3,"B",IF('Data Source'!U976&gt;=2,"C",IF('Data Source'!U976&gt;=1,"D","F")))))))</f>
        <v/>
      </c>
      <c r="D976" s="3">
        <f>IF('Data Source'!B976="","",IF('Data Source'!V976&gt;=5,"A+",IF('Data Source'!V976&gt;=4,"A",IF('Data Source'!V976&gt;=3.5,"A-",IF('Data Source'!V976&gt;=3,"B",IF('Data Source'!V976&gt;=2,"C",IF('Data Source'!V976&gt;=1,"D","F")))))))</f>
        <v/>
      </c>
      <c r="E976" s="3">
        <f>IF('Data Source'!B976="","",IF('Data Source'!W976&gt;=5,"A+",IF('Data Source'!W976&gt;=4,"A",IF('Data Source'!W976&gt;=3.5,"A-",IF('Data Source'!W976&gt;=3,"B",IF('Data Source'!W976&gt;=2,"C",IF('Data Source'!W976&gt;=1,"D","F")))))))</f>
        <v/>
      </c>
      <c r="F976" s="3">
        <f>IF('Data Source'!B976="","",IF('Data Source'!X976&gt;=5,"A+",IF('Data Source'!X976&gt;=4,"A",IF('Data Source'!X976&gt;=3.5,"A-",IF('Data Source'!X976&gt;=3,"B",IF('Data Source'!X976&gt;=2,"C",IF('Data Source'!X976&gt;=1,"D","F")))))))</f>
        <v/>
      </c>
      <c r="G976" s="3">
        <f>IF('Data Source'!B976="","",IF('Data Source'!Y976&gt;=5,"A+",IF('Data Source'!Y976&gt;=4,"A",IF('Data Source'!Y976&gt;=3.5,"A-",IF('Data Source'!Y976&gt;=3,"B",IF('Data Source'!Y976&gt;=2,"C",IF('Data Source'!Y976&gt;=1,"D","F")))))))</f>
        <v/>
      </c>
      <c r="H976" s="3">
        <f>IF('Data Source'!B976="","",IF('Data Source'!Z976&gt;=5,"A+",IF('Data Source'!Z976&gt;=4,"A",IF('Data Source'!Z976&gt;=3.5,"A-",IF('Data Source'!Z976&gt;=3,"B",IF('Data Source'!Z976&gt;=2,"C",IF('Data Source'!Z976&gt;=1,"D","F")))))))</f>
        <v/>
      </c>
      <c r="I976" s="3">
        <f>IF('Data Source'!B976="","",IF('Data Source'!AA976&gt;=5,"A+",IF('Data Source'!AA976&gt;=4,"A",IF('Data Source'!AA976&gt;=3.5,"A-",IF('Data Source'!AA976&gt;=3,"B",IF('Data Source'!AA976&gt;=2,"C",IF('Data Source'!AA976&gt;=1,"D","F")))))))</f>
        <v/>
      </c>
      <c r="J976" s="3">
        <f>IF('Data Source'!B976="","",IF('Data Source'!AB976&gt;=5,"A+",IF('Data Source'!AB976&gt;=4,"A",IF('Data Source'!AB976&gt;=3.5,"A-",IF('Data Source'!AB976&gt;=3,"B",IF('Data Source'!AB976&gt;=2,"C",IF('Data Source'!AB976&gt;=1,"D","F")))))))</f>
        <v/>
      </c>
      <c r="K976" s="3">
        <f>IF('Data Source'!B976="","",IF('Data Source'!AC976&gt;=5,"A+",IF('Data Source'!AC976&gt;=4,"A",IF('Data Source'!AC976&gt;=3.5,"A-",IF('Data Source'!AC976&gt;=3,"B",IF('Data Source'!AC976&gt;=2,"C",IF('Data Source'!AC976&gt;=1,"D","F")))))))</f>
        <v/>
      </c>
      <c r="L976" s="3">
        <f>IF('Data Source'!B976="","",IF('Data Source'!AD976&gt;=5,"A+",IF('Data Source'!AD976&gt;=4,"A",IF('Data Source'!AD976&gt;=3.5,"A-",IF('Data Source'!AD976&gt;=3,"B",IF('Data Source'!AD976&gt;=2,"C",IF('Data Source'!AD976&gt;=1,"D","F")))))))</f>
        <v/>
      </c>
      <c r="M976" s="3">
        <f>IF('Data Source'!B976="","",IF('Data Source'!AE976&gt;=5,"A+",IF('Data Source'!AE976&gt;=4,"A",IF('Data Source'!AE976&gt;=3.5,"A-",IF('Data Source'!AE976&gt;=3,"B",IF('Data Source'!AE976&gt;=2,"C",IF('Data Source'!AE976&gt;=1,"D","F")))))))</f>
        <v/>
      </c>
      <c r="N976" s="3">
        <f>IF('Data Source'!B976="","",IF('Data Source'!AF976&gt;=5,"A+",IF('Data Source'!AF976&gt;=4,"A",IF('Data Source'!AF976&gt;=3.5,"A-",IF('Data Source'!AF976&gt;=3,"B",IF('Data Source'!AF976&gt;=2,"C",IF('Data Source'!AF976&gt;=1,"D","F")))))))</f>
        <v/>
      </c>
      <c r="O976" s="3">
        <f>IF('Data Source'!B976="","",IF('Data Source'!AG976&gt;=5,"A+",IF('Data Source'!AG976&gt;=4,"A",IF('Data Source'!AG976&gt;=3.5,"A-",IF('Data Source'!AG976&gt;=3,"B",IF('Data Source'!AG976&gt;=2,"C",IF('Data Source'!AG976&gt;=1,"D","F")))))))</f>
        <v/>
      </c>
      <c r="P976" s="5">
        <f>IF('Data Source'!B976="","",'Data Source'!R976)</f>
        <v/>
      </c>
      <c r="Q976" s="3">
        <f>IF('Data Source'!B976="","",'Data Source'!S976)</f>
        <v/>
      </c>
    </row>
    <row r="977">
      <c r="A977" s="3">
        <f>IF('Data Source'!B977="","",'Data Source'!A977)</f>
        <v/>
      </c>
      <c r="B977">
        <f>IF('Data Source'!B977="","",'Data Source'!B977)</f>
        <v/>
      </c>
      <c r="C977" s="3">
        <f>IF('Data Source'!B977="","",IF('Data Source'!U977&gt;=5,"A+",IF('Data Source'!U977&gt;=4,"A",IF('Data Source'!U977&gt;=3.5,"A-",IF('Data Source'!U977&gt;=3,"B",IF('Data Source'!U977&gt;=2,"C",IF('Data Source'!U977&gt;=1,"D","F")))))))</f>
        <v/>
      </c>
      <c r="D977" s="3">
        <f>IF('Data Source'!B977="","",IF('Data Source'!V977&gt;=5,"A+",IF('Data Source'!V977&gt;=4,"A",IF('Data Source'!V977&gt;=3.5,"A-",IF('Data Source'!V977&gt;=3,"B",IF('Data Source'!V977&gt;=2,"C",IF('Data Source'!V977&gt;=1,"D","F")))))))</f>
        <v/>
      </c>
      <c r="E977" s="3">
        <f>IF('Data Source'!B977="","",IF('Data Source'!W977&gt;=5,"A+",IF('Data Source'!W977&gt;=4,"A",IF('Data Source'!W977&gt;=3.5,"A-",IF('Data Source'!W977&gt;=3,"B",IF('Data Source'!W977&gt;=2,"C",IF('Data Source'!W977&gt;=1,"D","F")))))))</f>
        <v/>
      </c>
      <c r="F977" s="3">
        <f>IF('Data Source'!B977="","",IF('Data Source'!X977&gt;=5,"A+",IF('Data Source'!X977&gt;=4,"A",IF('Data Source'!X977&gt;=3.5,"A-",IF('Data Source'!X977&gt;=3,"B",IF('Data Source'!X977&gt;=2,"C",IF('Data Source'!X977&gt;=1,"D","F")))))))</f>
        <v/>
      </c>
      <c r="G977" s="3">
        <f>IF('Data Source'!B977="","",IF('Data Source'!Y977&gt;=5,"A+",IF('Data Source'!Y977&gt;=4,"A",IF('Data Source'!Y977&gt;=3.5,"A-",IF('Data Source'!Y977&gt;=3,"B",IF('Data Source'!Y977&gt;=2,"C",IF('Data Source'!Y977&gt;=1,"D","F")))))))</f>
        <v/>
      </c>
      <c r="H977" s="3">
        <f>IF('Data Source'!B977="","",IF('Data Source'!Z977&gt;=5,"A+",IF('Data Source'!Z977&gt;=4,"A",IF('Data Source'!Z977&gt;=3.5,"A-",IF('Data Source'!Z977&gt;=3,"B",IF('Data Source'!Z977&gt;=2,"C",IF('Data Source'!Z977&gt;=1,"D","F")))))))</f>
        <v/>
      </c>
      <c r="I977" s="3">
        <f>IF('Data Source'!B977="","",IF('Data Source'!AA977&gt;=5,"A+",IF('Data Source'!AA977&gt;=4,"A",IF('Data Source'!AA977&gt;=3.5,"A-",IF('Data Source'!AA977&gt;=3,"B",IF('Data Source'!AA977&gt;=2,"C",IF('Data Source'!AA977&gt;=1,"D","F")))))))</f>
        <v/>
      </c>
      <c r="J977" s="3">
        <f>IF('Data Source'!B977="","",IF('Data Source'!AB977&gt;=5,"A+",IF('Data Source'!AB977&gt;=4,"A",IF('Data Source'!AB977&gt;=3.5,"A-",IF('Data Source'!AB977&gt;=3,"B",IF('Data Source'!AB977&gt;=2,"C",IF('Data Source'!AB977&gt;=1,"D","F")))))))</f>
        <v/>
      </c>
      <c r="K977" s="3">
        <f>IF('Data Source'!B977="","",IF('Data Source'!AC977&gt;=5,"A+",IF('Data Source'!AC977&gt;=4,"A",IF('Data Source'!AC977&gt;=3.5,"A-",IF('Data Source'!AC977&gt;=3,"B",IF('Data Source'!AC977&gt;=2,"C",IF('Data Source'!AC977&gt;=1,"D","F")))))))</f>
        <v/>
      </c>
      <c r="L977" s="3">
        <f>IF('Data Source'!B977="","",IF('Data Source'!AD977&gt;=5,"A+",IF('Data Source'!AD977&gt;=4,"A",IF('Data Source'!AD977&gt;=3.5,"A-",IF('Data Source'!AD977&gt;=3,"B",IF('Data Source'!AD977&gt;=2,"C",IF('Data Source'!AD977&gt;=1,"D","F")))))))</f>
        <v/>
      </c>
      <c r="M977" s="3">
        <f>IF('Data Source'!B977="","",IF('Data Source'!AE977&gt;=5,"A+",IF('Data Source'!AE977&gt;=4,"A",IF('Data Source'!AE977&gt;=3.5,"A-",IF('Data Source'!AE977&gt;=3,"B",IF('Data Source'!AE977&gt;=2,"C",IF('Data Source'!AE977&gt;=1,"D","F")))))))</f>
        <v/>
      </c>
      <c r="N977" s="3">
        <f>IF('Data Source'!B977="","",IF('Data Source'!AF977&gt;=5,"A+",IF('Data Source'!AF977&gt;=4,"A",IF('Data Source'!AF977&gt;=3.5,"A-",IF('Data Source'!AF977&gt;=3,"B",IF('Data Source'!AF977&gt;=2,"C",IF('Data Source'!AF977&gt;=1,"D","F")))))))</f>
        <v/>
      </c>
      <c r="O977" s="3">
        <f>IF('Data Source'!B977="","",IF('Data Source'!AG977&gt;=5,"A+",IF('Data Source'!AG977&gt;=4,"A",IF('Data Source'!AG977&gt;=3.5,"A-",IF('Data Source'!AG977&gt;=3,"B",IF('Data Source'!AG977&gt;=2,"C",IF('Data Source'!AG977&gt;=1,"D","F")))))))</f>
        <v/>
      </c>
      <c r="P977" s="5">
        <f>IF('Data Source'!B977="","",'Data Source'!R977)</f>
        <v/>
      </c>
      <c r="Q977" s="3">
        <f>IF('Data Source'!B977="","",'Data Source'!S977)</f>
        <v/>
      </c>
    </row>
    <row r="978">
      <c r="A978" s="3">
        <f>IF('Data Source'!B978="","",'Data Source'!A978)</f>
        <v/>
      </c>
      <c r="B978">
        <f>IF('Data Source'!B978="","",'Data Source'!B978)</f>
        <v/>
      </c>
      <c r="C978" s="3">
        <f>IF('Data Source'!B978="","",IF('Data Source'!U978&gt;=5,"A+",IF('Data Source'!U978&gt;=4,"A",IF('Data Source'!U978&gt;=3.5,"A-",IF('Data Source'!U978&gt;=3,"B",IF('Data Source'!U978&gt;=2,"C",IF('Data Source'!U978&gt;=1,"D","F")))))))</f>
        <v/>
      </c>
      <c r="D978" s="3">
        <f>IF('Data Source'!B978="","",IF('Data Source'!V978&gt;=5,"A+",IF('Data Source'!V978&gt;=4,"A",IF('Data Source'!V978&gt;=3.5,"A-",IF('Data Source'!V978&gt;=3,"B",IF('Data Source'!V978&gt;=2,"C",IF('Data Source'!V978&gt;=1,"D","F")))))))</f>
        <v/>
      </c>
      <c r="E978" s="3">
        <f>IF('Data Source'!B978="","",IF('Data Source'!W978&gt;=5,"A+",IF('Data Source'!W978&gt;=4,"A",IF('Data Source'!W978&gt;=3.5,"A-",IF('Data Source'!W978&gt;=3,"B",IF('Data Source'!W978&gt;=2,"C",IF('Data Source'!W978&gt;=1,"D","F")))))))</f>
        <v/>
      </c>
      <c r="F978" s="3">
        <f>IF('Data Source'!B978="","",IF('Data Source'!X978&gt;=5,"A+",IF('Data Source'!X978&gt;=4,"A",IF('Data Source'!X978&gt;=3.5,"A-",IF('Data Source'!X978&gt;=3,"B",IF('Data Source'!X978&gt;=2,"C",IF('Data Source'!X978&gt;=1,"D","F")))))))</f>
        <v/>
      </c>
      <c r="G978" s="3">
        <f>IF('Data Source'!B978="","",IF('Data Source'!Y978&gt;=5,"A+",IF('Data Source'!Y978&gt;=4,"A",IF('Data Source'!Y978&gt;=3.5,"A-",IF('Data Source'!Y978&gt;=3,"B",IF('Data Source'!Y978&gt;=2,"C",IF('Data Source'!Y978&gt;=1,"D","F")))))))</f>
        <v/>
      </c>
      <c r="H978" s="3">
        <f>IF('Data Source'!B978="","",IF('Data Source'!Z978&gt;=5,"A+",IF('Data Source'!Z978&gt;=4,"A",IF('Data Source'!Z978&gt;=3.5,"A-",IF('Data Source'!Z978&gt;=3,"B",IF('Data Source'!Z978&gt;=2,"C",IF('Data Source'!Z978&gt;=1,"D","F")))))))</f>
        <v/>
      </c>
      <c r="I978" s="3">
        <f>IF('Data Source'!B978="","",IF('Data Source'!AA978&gt;=5,"A+",IF('Data Source'!AA978&gt;=4,"A",IF('Data Source'!AA978&gt;=3.5,"A-",IF('Data Source'!AA978&gt;=3,"B",IF('Data Source'!AA978&gt;=2,"C",IF('Data Source'!AA978&gt;=1,"D","F")))))))</f>
        <v/>
      </c>
      <c r="J978" s="3">
        <f>IF('Data Source'!B978="","",IF('Data Source'!AB978&gt;=5,"A+",IF('Data Source'!AB978&gt;=4,"A",IF('Data Source'!AB978&gt;=3.5,"A-",IF('Data Source'!AB978&gt;=3,"B",IF('Data Source'!AB978&gt;=2,"C",IF('Data Source'!AB978&gt;=1,"D","F")))))))</f>
        <v/>
      </c>
      <c r="K978" s="3">
        <f>IF('Data Source'!B978="","",IF('Data Source'!AC978&gt;=5,"A+",IF('Data Source'!AC978&gt;=4,"A",IF('Data Source'!AC978&gt;=3.5,"A-",IF('Data Source'!AC978&gt;=3,"B",IF('Data Source'!AC978&gt;=2,"C",IF('Data Source'!AC978&gt;=1,"D","F")))))))</f>
        <v/>
      </c>
      <c r="L978" s="3">
        <f>IF('Data Source'!B978="","",IF('Data Source'!AD978&gt;=5,"A+",IF('Data Source'!AD978&gt;=4,"A",IF('Data Source'!AD978&gt;=3.5,"A-",IF('Data Source'!AD978&gt;=3,"B",IF('Data Source'!AD978&gt;=2,"C",IF('Data Source'!AD978&gt;=1,"D","F")))))))</f>
        <v/>
      </c>
      <c r="M978" s="3">
        <f>IF('Data Source'!B978="","",IF('Data Source'!AE978&gt;=5,"A+",IF('Data Source'!AE978&gt;=4,"A",IF('Data Source'!AE978&gt;=3.5,"A-",IF('Data Source'!AE978&gt;=3,"B",IF('Data Source'!AE978&gt;=2,"C",IF('Data Source'!AE978&gt;=1,"D","F")))))))</f>
        <v/>
      </c>
      <c r="N978" s="3">
        <f>IF('Data Source'!B978="","",IF('Data Source'!AF978&gt;=5,"A+",IF('Data Source'!AF978&gt;=4,"A",IF('Data Source'!AF978&gt;=3.5,"A-",IF('Data Source'!AF978&gt;=3,"B",IF('Data Source'!AF978&gt;=2,"C",IF('Data Source'!AF978&gt;=1,"D","F")))))))</f>
        <v/>
      </c>
      <c r="O978" s="3">
        <f>IF('Data Source'!B978="","",IF('Data Source'!AG978&gt;=5,"A+",IF('Data Source'!AG978&gt;=4,"A",IF('Data Source'!AG978&gt;=3.5,"A-",IF('Data Source'!AG978&gt;=3,"B",IF('Data Source'!AG978&gt;=2,"C",IF('Data Source'!AG978&gt;=1,"D","F")))))))</f>
        <v/>
      </c>
      <c r="P978" s="5">
        <f>IF('Data Source'!B978="","",'Data Source'!R978)</f>
        <v/>
      </c>
      <c r="Q978" s="3">
        <f>IF('Data Source'!B978="","",'Data Source'!S978)</f>
        <v/>
      </c>
    </row>
    <row r="979">
      <c r="A979" s="3">
        <f>IF('Data Source'!B979="","",'Data Source'!A979)</f>
        <v/>
      </c>
      <c r="B979">
        <f>IF('Data Source'!B979="","",'Data Source'!B979)</f>
        <v/>
      </c>
      <c r="C979" s="3">
        <f>IF('Data Source'!B979="","",IF('Data Source'!U979&gt;=5,"A+",IF('Data Source'!U979&gt;=4,"A",IF('Data Source'!U979&gt;=3.5,"A-",IF('Data Source'!U979&gt;=3,"B",IF('Data Source'!U979&gt;=2,"C",IF('Data Source'!U979&gt;=1,"D","F")))))))</f>
        <v/>
      </c>
      <c r="D979" s="3">
        <f>IF('Data Source'!B979="","",IF('Data Source'!V979&gt;=5,"A+",IF('Data Source'!V979&gt;=4,"A",IF('Data Source'!V979&gt;=3.5,"A-",IF('Data Source'!V979&gt;=3,"B",IF('Data Source'!V979&gt;=2,"C",IF('Data Source'!V979&gt;=1,"D","F")))))))</f>
        <v/>
      </c>
      <c r="E979" s="3">
        <f>IF('Data Source'!B979="","",IF('Data Source'!W979&gt;=5,"A+",IF('Data Source'!W979&gt;=4,"A",IF('Data Source'!W979&gt;=3.5,"A-",IF('Data Source'!W979&gt;=3,"B",IF('Data Source'!W979&gt;=2,"C",IF('Data Source'!W979&gt;=1,"D","F")))))))</f>
        <v/>
      </c>
      <c r="F979" s="3">
        <f>IF('Data Source'!B979="","",IF('Data Source'!X979&gt;=5,"A+",IF('Data Source'!X979&gt;=4,"A",IF('Data Source'!X979&gt;=3.5,"A-",IF('Data Source'!X979&gt;=3,"B",IF('Data Source'!X979&gt;=2,"C",IF('Data Source'!X979&gt;=1,"D","F")))))))</f>
        <v/>
      </c>
      <c r="G979" s="3">
        <f>IF('Data Source'!B979="","",IF('Data Source'!Y979&gt;=5,"A+",IF('Data Source'!Y979&gt;=4,"A",IF('Data Source'!Y979&gt;=3.5,"A-",IF('Data Source'!Y979&gt;=3,"B",IF('Data Source'!Y979&gt;=2,"C",IF('Data Source'!Y979&gt;=1,"D","F")))))))</f>
        <v/>
      </c>
      <c r="H979" s="3">
        <f>IF('Data Source'!B979="","",IF('Data Source'!Z979&gt;=5,"A+",IF('Data Source'!Z979&gt;=4,"A",IF('Data Source'!Z979&gt;=3.5,"A-",IF('Data Source'!Z979&gt;=3,"B",IF('Data Source'!Z979&gt;=2,"C",IF('Data Source'!Z979&gt;=1,"D","F")))))))</f>
        <v/>
      </c>
      <c r="I979" s="3">
        <f>IF('Data Source'!B979="","",IF('Data Source'!AA979&gt;=5,"A+",IF('Data Source'!AA979&gt;=4,"A",IF('Data Source'!AA979&gt;=3.5,"A-",IF('Data Source'!AA979&gt;=3,"B",IF('Data Source'!AA979&gt;=2,"C",IF('Data Source'!AA979&gt;=1,"D","F")))))))</f>
        <v/>
      </c>
      <c r="J979" s="3">
        <f>IF('Data Source'!B979="","",IF('Data Source'!AB979&gt;=5,"A+",IF('Data Source'!AB979&gt;=4,"A",IF('Data Source'!AB979&gt;=3.5,"A-",IF('Data Source'!AB979&gt;=3,"B",IF('Data Source'!AB979&gt;=2,"C",IF('Data Source'!AB979&gt;=1,"D","F")))))))</f>
        <v/>
      </c>
      <c r="K979" s="3">
        <f>IF('Data Source'!B979="","",IF('Data Source'!AC979&gt;=5,"A+",IF('Data Source'!AC979&gt;=4,"A",IF('Data Source'!AC979&gt;=3.5,"A-",IF('Data Source'!AC979&gt;=3,"B",IF('Data Source'!AC979&gt;=2,"C",IF('Data Source'!AC979&gt;=1,"D","F")))))))</f>
        <v/>
      </c>
      <c r="L979" s="3">
        <f>IF('Data Source'!B979="","",IF('Data Source'!AD979&gt;=5,"A+",IF('Data Source'!AD979&gt;=4,"A",IF('Data Source'!AD979&gt;=3.5,"A-",IF('Data Source'!AD979&gt;=3,"B",IF('Data Source'!AD979&gt;=2,"C",IF('Data Source'!AD979&gt;=1,"D","F")))))))</f>
        <v/>
      </c>
      <c r="M979" s="3">
        <f>IF('Data Source'!B979="","",IF('Data Source'!AE979&gt;=5,"A+",IF('Data Source'!AE979&gt;=4,"A",IF('Data Source'!AE979&gt;=3.5,"A-",IF('Data Source'!AE979&gt;=3,"B",IF('Data Source'!AE979&gt;=2,"C",IF('Data Source'!AE979&gt;=1,"D","F")))))))</f>
        <v/>
      </c>
      <c r="N979" s="3">
        <f>IF('Data Source'!B979="","",IF('Data Source'!AF979&gt;=5,"A+",IF('Data Source'!AF979&gt;=4,"A",IF('Data Source'!AF979&gt;=3.5,"A-",IF('Data Source'!AF979&gt;=3,"B",IF('Data Source'!AF979&gt;=2,"C",IF('Data Source'!AF979&gt;=1,"D","F")))))))</f>
        <v/>
      </c>
      <c r="O979" s="3">
        <f>IF('Data Source'!B979="","",IF('Data Source'!AG979&gt;=5,"A+",IF('Data Source'!AG979&gt;=4,"A",IF('Data Source'!AG979&gt;=3.5,"A-",IF('Data Source'!AG979&gt;=3,"B",IF('Data Source'!AG979&gt;=2,"C",IF('Data Source'!AG979&gt;=1,"D","F")))))))</f>
        <v/>
      </c>
      <c r="P979" s="5">
        <f>IF('Data Source'!B979="","",'Data Source'!R979)</f>
        <v/>
      </c>
      <c r="Q979" s="3">
        <f>IF('Data Source'!B979="","",'Data Source'!S979)</f>
        <v/>
      </c>
    </row>
    <row r="980">
      <c r="A980" s="3">
        <f>IF('Data Source'!B980="","",'Data Source'!A980)</f>
        <v/>
      </c>
      <c r="B980">
        <f>IF('Data Source'!B980="","",'Data Source'!B980)</f>
        <v/>
      </c>
      <c r="C980" s="3">
        <f>IF('Data Source'!B980="","",IF('Data Source'!U980&gt;=5,"A+",IF('Data Source'!U980&gt;=4,"A",IF('Data Source'!U980&gt;=3.5,"A-",IF('Data Source'!U980&gt;=3,"B",IF('Data Source'!U980&gt;=2,"C",IF('Data Source'!U980&gt;=1,"D","F")))))))</f>
        <v/>
      </c>
      <c r="D980" s="3">
        <f>IF('Data Source'!B980="","",IF('Data Source'!V980&gt;=5,"A+",IF('Data Source'!V980&gt;=4,"A",IF('Data Source'!V980&gt;=3.5,"A-",IF('Data Source'!V980&gt;=3,"B",IF('Data Source'!V980&gt;=2,"C",IF('Data Source'!V980&gt;=1,"D","F")))))))</f>
        <v/>
      </c>
      <c r="E980" s="3">
        <f>IF('Data Source'!B980="","",IF('Data Source'!W980&gt;=5,"A+",IF('Data Source'!W980&gt;=4,"A",IF('Data Source'!W980&gt;=3.5,"A-",IF('Data Source'!W980&gt;=3,"B",IF('Data Source'!W980&gt;=2,"C",IF('Data Source'!W980&gt;=1,"D","F")))))))</f>
        <v/>
      </c>
      <c r="F980" s="3">
        <f>IF('Data Source'!B980="","",IF('Data Source'!X980&gt;=5,"A+",IF('Data Source'!X980&gt;=4,"A",IF('Data Source'!X980&gt;=3.5,"A-",IF('Data Source'!X980&gt;=3,"B",IF('Data Source'!X980&gt;=2,"C",IF('Data Source'!X980&gt;=1,"D","F")))))))</f>
        <v/>
      </c>
      <c r="G980" s="3">
        <f>IF('Data Source'!B980="","",IF('Data Source'!Y980&gt;=5,"A+",IF('Data Source'!Y980&gt;=4,"A",IF('Data Source'!Y980&gt;=3.5,"A-",IF('Data Source'!Y980&gt;=3,"B",IF('Data Source'!Y980&gt;=2,"C",IF('Data Source'!Y980&gt;=1,"D","F")))))))</f>
        <v/>
      </c>
      <c r="H980" s="3">
        <f>IF('Data Source'!B980="","",IF('Data Source'!Z980&gt;=5,"A+",IF('Data Source'!Z980&gt;=4,"A",IF('Data Source'!Z980&gt;=3.5,"A-",IF('Data Source'!Z980&gt;=3,"B",IF('Data Source'!Z980&gt;=2,"C",IF('Data Source'!Z980&gt;=1,"D","F")))))))</f>
        <v/>
      </c>
      <c r="I980" s="3">
        <f>IF('Data Source'!B980="","",IF('Data Source'!AA980&gt;=5,"A+",IF('Data Source'!AA980&gt;=4,"A",IF('Data Source'!AA980&gt;=3.5,"A-",IF('Data Source'!AA980&gt;=3,"B",IF('Data Source'!AA980&gt;=2,"C",IF('Data Source'!AA980&gt;=1,"D","F")))))))</f>
        <v/>
      </c>
      <c r="J980" s="3">
        <f>IF('Data Source'!B980="","",IF('Data Source'!AB980&gt;=5,"A+",IF('Data Source'!AB980&gt;=4,"A",IF('Data Source'!AB980&gt;=3.5,"A-",IF('Data Source'!AB980&gt;=3,"B",IF('Data Source'!AB980&gt;=2,"C",IF('Data Source'!AB980&gt;=1,"D","F")))))))</f>
        <v/>
      </c>
      <c r="K980" s="3">
        <f>IF('Data Source'!B980="","",IF('Data Source'!AC980&gt;=5,"A+",IF('Data Source'!AC980&gt;=4,"A",IF('Data Source'!AC980&gt;=3.5,"A-",IF('Data Source'!AC980&gt;=3,"B",IF('Data Source'!AC980&gt;=2,"C",IF('Data Source'!AC980&gt;=1,"D","F")))))))</f>
        <v/>
      </c>
      <c r="L980" s="3">
        <f>IF('Data Source'!B980="","",IF('Data Source'!AD980&gt;=5,"A+",IF('Data Source'!AD980&gt;=4,"A",IF('Data Source'!AD980&gt;=3.5,"A-",IF('Data Source'!AD980&gt;=3,"B",IF('Data Source'!AD980&gt;=2,"C",IF('Data Source'!AD980&gt;=1,"D","F")))))))</f>
        <v/>
      </c>
      <c r="M980" s="3">
        <f>IF('Data Source'!B980="","",IF('Data Source'!AE980&gt;=5,"A+",IF('Data Source'!AE980&gt;=4,"A",IF('Data Source'!AE980&gt;=3.5,"A-",IF('Data Source'!AE980&gt;=3,"B",IF('Data Source'!AE980&gt;=2,"C",IF('Data Source'!AE980&gt;=1,"D","F")))))))</f>
        <v/>
      </c>
      <c r="N980" s="3">
        <f>IF('Data Source'!B980="","",IF('Data Source'!AF980&gt;=5,"A+",IF('Data Source'!AF980&gt;=4,"A",IF('Data Source'!AF980&gt;=3.5,"A-",IF('Data Source'!AF980&gt;=3,"B",IF('Data Source'!AF980&gt;=2,"C",IF('Data Source'!AF980&gt;=1,"D","F")))))))</f>
        <v/>
      </c>
      <c r="O980" s="3">
        <f>IF('Data Source'!B980="","",IF('Data Source'!AG980&gt;=5,"A+",IF('Data Source'!AG980&gt;=4,"A",IF('Data Source'!AG980&gt;=3.5,"A-",IF('Data Source'!AG980&gt;=3,"B",IF('Data Source'!AG980&gt;=2,"C",IF('Data Source'!AG980&gt;=1,"D","F")))))))</f>
        <v/>
      </c>
      <c r="P980" s="5">
        <f>IF('Data Source'!B980="","",'Data Source'!R980)</f>
        <v/>
      </c>
      <c r="Q980" s="3">
        <f>IF('Data Source'!B980="","",'Data Source'!S980)</f>
        <v/>
      </c>
    </row>
    <row r="981">
      <c r="A981" s="3">
        <f>IF('Data Source'!B981="","",'Data Source'!A981)</f>
        <v/>
      </c>
      <c r="B981">
        <f>IF('Data Source'!B981="","",'Data Source'!B981)</f>
        <v/>
      </c>
      <c r="C981" s="3">
        <f>IF('Data Source'!B981="","",IF('Data Source'!U981&gt;=5,"A+",IF('Data Source'!U981&gt;=4,"A",IF('Data Source'!U981&gt;=3.5,"A-",IF('Data Source'!U981&gt;=3,"B",IF('Data Source'!U981&gt;=2,"C",IF('Data Source'!U981&gt;=1,"D","F")))))))</f>
        <v/>
      </c>
      <c r="D981" s="3">
        <f>IF('Data Source'!B981="","",IF('Data Source'!V981&gt;=5,"A+",IF('Data Source'!V981&gt;=4,"A",IF('Data Source'!V981&gt;=3.5,"A-",IF('Data Source'!V981&gt;=3,"B",IF('Data Source'!V981&gt;=2,"C",IF('Data Source'!V981&gt;=1,"D","F")))))))</f>
        <v/>
      </c>
      <c r="E981" s="3">
        <f>IF('Data Source'!B981="","",IF('Data Source'!W981&gt;=5,"A+",IF('Data Source'!W981&gt;=4,"A",IF('Data Source'!W981&gt;=3.5,"A-",IF('Data Source'!W981&gt;=3,"B",IF('Data Source'!W981&gt;=2,"C",IF('Data Source'!W981&gt;=1,"D","F")))))))</f>
        <v/>
      </c>
      <c r="F981" s="3">
        <f>IF('Data Source'!B981="","",IF('Data Source'!X981&gt;=5,"A+",IF('Data Source'!X981&gt;=4,"A",IF('Data Source'!X981&gt;=3.5,"A-",IF('Data Source'!X981&gt;=3,"B",IF('Data Source'!X981&gt;=2,"C",IF('Data Source'!X981&gt;=1,"D","F")))))))</f>
        <v/>
      </c>
      <c r="G981" s="3">
        <f>IF('Data Source'!B981="","",IF('Data Source'!Y981&gt;=5,"A+",IF('Data Source'!Y981&gt;=4,"A",IF('Data Source'!Y981&gt;=3.5,"A-",IF('Data Source'!Y981&gt;=3,"B",IF('Data Source'!Y981&gt;=2,"C",IF('Data Source'!Y981&gt;=1,"D","F")))))))</f>
        <v/>
      </c>
      <c r="H981" s="3">
        <f>IF('Data Source'!B981="","",IF('Data Source'!Z981&gt;=5,"A+",IF('Data Source'!Z981&gt;=4,"A",IF('Data Source'!Z981&gt;=3.5,"A-",IF('Data Source'!Z981&gt;=3,"B",IF('Data Source'!Z981&gt;=2,"C",IF('Data Source'!Z981&gt;=1,"D","F")))))))</f>
        <v/>
      </c>
      <c r="I981" s="3">
        <f>IF('Data Source'!B981="","",IF('Data Source'!AA981&gt;=5,"A+",IF('Data Source'!AA981&gt;=4,"A",IF('Data Source'!AA981&gt;=3.5,"A-",IF('Data Source'!AA981&gt;=3,"B",IF('Data Source'!AA981&gt;=2,"C",IF('Data Source'!AA981&gt;=1,"D","F")))))))</f>
        <v/>
      </c>
      <c r="J981" s="3">
        <f>IF('Data Source'!B981="","",IF('Data Source'!AB981&gt;=5,"A+",IF('Data Source'!AB981&gt;=4,"A",IF('Data Source'!AB981&gt;=3.5,"A-",IF('Data Source'!AB981&gt;=3,"B",IF('Data Source'!AB981&gt;=2,"C",IF('Data Source'!AB981&gt;=1,"D","F")))))))</f>
        <v/>
      </c>
      <c r="K981" s="3">
        <f>IF('Data Source'!B981="","",IF('Data Source'!AC981&gt;=5,"A+",IF('Data Source'!AC981&gt;=4,"A",IF('Data Source'!AC981&gt;=3.5,"A-",IF('Data Source'!AC981&gt;=3,"B",IF('Data Source'!AC981&gt;=2,"C",IF('Data Source'!AC981&gt;=1,"D","F")))))))</f>
        <v/>
      </c>
      <c r="L981" s="3">
        <f>IF('Data Source'!B981="","",IF('Data Source'!AD981&gt;=5,"A+",IF('Data Source'!AD981&gt;=4,"A",IF('Data Source'!AD981&gt;=3.5,"A-",IF('Data Source'!AD981&gt;=3,"B",IF('Data Source'!AD981&gt;=2,"C",IF('Data Source'!AD981&gt;=1,"D","F")))))))</f>
        <v/>
      </c>
      <c r="M981" s="3">
        <f>IF('Data Source'!B981="","",IF('Data Source'!AE981&gt;=5,"A+",IF('Data Source'!AE981&gt;=4,"A",IF('Data Source'!AE981&gt;=3.5,"A-",IF('Data Source'!AE981&gt;=3,"B",IF('Data Source'!AE981&gt;=2,"C",IF('Data Source'!AE981&gt;=1,"D","F")))))))</f>
        <v/>
      </c>
      <c r="N981" s="3">
        <f>IF('Data Source'!B981="","",IF('Data Source'!AF981&gt;=5,"A+",IF('Data Source'!AF981&gt;=4,"A",IF('Data Source'!AF981&gt;=3.5,"A-",IF('Data Source'!AF981&gt;=3,"B",IF('Data Source'!AF981&gt;=2,"C",IF('Data Source'!AF981&gt;=1,"D","F")))))))</f>
        <v/>
      </c>
      <c r="O981" s="3">
        <f>IF('Data Source'!B981="","",IF('Data Source'!AG981&gt;=5,"A+",IF('Data Source'!AG981&gt;=4,"A",IF('Data Source'!AG981&gt;=3.5,"A-",IF('Data Source'!AG981&gt;=3,"B",IF('Data Source'!AG981&gt;=2,"C",IF('Data Source'!AG981&gt;=1,"D","F")))))))</f>
        <v/>
      </c>
      <c r="P981" s="5">
        <f>IF('Data Source'!B981="","",'Data Source'!R981)</f>
        <v/>
      </c>
      <c r="Q981" s="3">
        <f>IF('Data Source'!B981="","",'Data Source'!S981)</f>
        <v/>
      </c>
    </row>
    <row r="982">
      <c r="A982" s="3">
        <f>IF('Data Source'!B982="","",'Data Source'!A982)</f>
        <v/>
      </c>
      <c r="B982">
        <f>IF('Data Source'!B982="","",'Data Source'!B982)</f>
        <v/>
      </c>
      <c r="C982" s="3">
        <f>IF('Data Source'!B982="","",IF('Data Source'!U982&gt;=5,"A+",IF('Data Source'!U982&gt;=4,"A",IF('Data Source'!U982&gt;=3.5,"A-",IF('Data Source'!U982&gt;=3,"B",IF('Data Source'!U982&gt;=2,"C",IF('Data Source'!U982&gt;=1,"D","F")))))))</f>
        <v/>
      </c>
      <c r="D982" s="3">
        <f>IF('Data Source'!B982="","",IF('Data Source'!V982&gt;=5,"A+",IF('Data Source'!V982&gt;=4,"A",IF('Data Source'!V982&gt;=3.5,"A-",IF('Data Source'!V982&gt;=3,"B",IF('Data Source'!V982&gt;=2,"C",IF('Data Source'!V982&gt;=1,"D","F")))))))</f>
        <v/>
      </c>
      <c r="E982" s="3">
        <f>IF('Data Source'!B982="","",IF('Data Source'!W982&gt;=5,"A+",IF('Data Source'!W982&gt;=4,"A",IF('Data Source'!W982&gt;=3.5,"A-",IF('Data Source'!W982&gt;=3,"B",IF('Data Source'!W982&gt;=2,"C",IF('Data Source'!W982&gt;=1,"D","F")))))))</f>
        <v/>
      </c>
      <c r="F982" s="3">
        <f>IF('Data Source'!B982="","",IF('Data Source'!X982&gt;=5,"A+",IF('Data Source'!X982&gt;=4,"A",IF('Data Source'!X982&gt;=3.5,"A-",IF('Data Source'!X982&gt;=3,"B",IF('Data Source'!X982&gt;=2,"C",IF('Data Source'!X982&gt;=1,"D","F")))))))</f>
        <v/>
      </c>
      <c r="G982" s="3">
        <f>IF('Data Source'!B982="","",IF('Data Source'!Y982&gt;=5,"A+",IF('Data Source'!Y982&gt;=4,"A",IF('Data Source'!Y982&gt;=3.5,"A-",IF('Data Source'!Y982&gt;=3,"B",IF('Data Source'!Y982&gt;=2,"C",IF('Data Source'!Y982&gt;=1,"D","F")))))))</f>
        <v/>
      </c>
      <c r="H982" s="3">
        <f>IF('Data Source'!B982="","",IF('Data Source'!Z982&gt;=5,"A+",IF('Data Source'!Z982&gt;=4,"A",IF('Data Source'!Z982&gt;=3.5,"A-",IF('Data Source'!Z982&gt;=3,"B",IF('Data Source'!Z982&gt;=2,"C",IF('Data Source'!Z982&gt;=1,"D","F")))))))</f>
        <v/>
      </c>
      <c r="I982" s="3">
        <f>IF('Data Source'!B982="","",IF('Data Source'!AA982&gt;=5,"A+",IF('Data Source'!AA982&gt;=4,"A",IF('Data Source'!AA982&gt;=3.5,"A-",IF('Data Source'!AA982&gt;=3,"B",IF('Data Source'!AA982&gt;=2,"C",IF('Data Source'!AA982&gt;=1,"D","F")))))))</f>
        <v/>
      </c>
      <c r="J982" s="3">
        <f>IF('Data Source'!B982="","",IF('Data Source'!AB982&gt;=5,"A+",IF('Data Source'!AB982&gt;=4,"A",IF('Data Source'!AB982&gt;=3.5,"A-",IF('Data Source'!AB982&gt;=3,"B",IF('Data Source'!AB982&gt;=2,"C",IF('Data Source'!AB982&gt;=1,"D","F")))))))</f>
        <v/>
      </c>
      <c r="K982" s="3">
        <f>IF('Data Source'!B982="","",IF('Data Source'!AC982&gt;=5,"A+",IF('Data Source'!AC982&gt;=4,"A",IF('Data Source'!AC982&gt;=3.5,"A-",IF('Data Source'!AC982&gt;=3,"B",IF('Data Source'!AC982&gt;=2,"C",IF('Data Source'!AC982&gt;=1,"D","F")))))))</f>
        <v/>
      </c>
      <c r="L982" s="3">
        <f>IF('Data Source'!B982="","",IF('Data Source'!AD982&gt;=5,"A+",IF('Data Source'!AD982&gt;=4,"A",IF('Data Source'!AD982&gt;=3.5,"A-",IF('Data Source'!AD982&gt;=3,"B",IF('Data Source'!AD982&gt;=2,"C",IF('Data Source'!AD982&gt;=1,"D","F")))))))</f>
        <v/>
      </c>
      <c r="M982" s="3">
        <f>IF('Data Source'!B982="","",IF('Data Source'!AE982&gt;=5,"A+",IF('Data Source'!AE982&gt;=4,"A",IF('Data Source'!AE982&gt;=3.5,"A-",IF('Data Source'!AE982&gt;=3,"B",IF('Data Source'!AE982&gt;=2,"C",IF('Data Source'!AE982&gt;=1,"D","F")))))))</f>
        <v/>
      </c>
      <c r="N982" s="3">
        <f>IF('Data Source'!B982="","",IF('Data Source'!AF982&gt;=5,"A+",IF('Data Source'!AF982&gt;=4,"A",IF('Data Source'!AF982&gt;=3.5,"A-",IF('Data Source'!AF982&gt;=3,"B",IF('Data Source'!AF982&gt;=2,"C",IF('Data Source'!AF982&gt;=1,"D","F")))))))</f>
        <v/>
      </c>
      <c r="O982" s="3">
        <f>IF('Data Source'!B982="","",IF('Data Source'!AG982&gt;=5,"A+",IF('Data Source'!AG982&gt;=4,"A",IF('Data Source'!AG982&gt;=3.5,"A-",IF('Data Source'!AG982&gt;=3,"B",IF('Data Source'!AG982&gt;=2,"C",IF('Data Source'!AG982&gt;=1,"D","F")))))))</f>
        <v/>
      </c>
      <c r="P982" s="5">
        <f>IF('Data Source'!B982="","",'Data Source'!R982)</f>
        <v/>
      </c>
      <c r="Q982" s="3">
        <f>IF('Data Source'!B982="","",'Data Source'!S982)</f>
        <v/>
      </c>
    </row>
    <row r="983">
      <c r="A983" s="3">
        <f>IF('Data Source'!B983="","",'Data Source'!A983)</f>
        <v/>
      </c>
      <c r="B983">
        <f>IF('Data Source'!B983="","",'Data Source'!B983)</f>
        <v/>
      </c>
      <c r="C983" s="3">
        <f>IF('Data Source'!B983="","",IF('Data Source'!U983&gt;=5,"A+",IF('Data Source'!U983&gt;=4,"A",IF('Data Source'!U983&gt;=3.5,"A-",IF('Data Source'!U983&gt;=3,"B",IF('Data Source'!U983&gt;=2,"C",IF('Data Source'!U983&gt;=1,"D","F")))))))</f>
        <v/>
      </c>
      <c r="D983" s="3">
        <f>IF('Data Source'!B983="","",IF('Data Source'!V983&gt;=5,"A+",IF('Data Source'!V983&gt;=4,"A",IF('Data Source'!V983&gt;=3.5,"A-",IF('Data Source'!V983&gt;=3,"B",IF('Data Source'!V983&gt;=2,"C",IF('Data Source'!V983&gt;=1,"D","F")))))))</f>
        <v/>
      </c>
      <c r="E983" s="3">
        <f>IF('Data Source'!B983="","",IF('Data Source'!W983&gt;=5,"A+",IF('Data Source'!W983&gt;=4,"A",IF('Data Source'!W983&gt;=3.5,"A-",IF('Data Source'!W983&gt;=3,"B",IF('Data Source'!W983&gt;=2,"C",IF('Data Source'!W983&gt;=1,"D","F")))))))</f>
        <v/>
      </c>
      <c r="F983" s="3">
        <f>IF('Data Source'!B983="","",IF('Data Source'!X983&gt;=5,"A+",IF('Data Source'!X983&gt;=4,"A",IF('Data Source'!X983&gt;=3.5,"A-",IF('Data Source'!X983&gt;=3,"B",IF('Data Source'!X983&gt;=2,"C",IF('Data Source'!X983&gt;=1,"D","F")))))))</f>
        <v/>
      </c>
      <c r="G983" s="3">
        <f>IF('Data Source'!B983="","",IF('Data Source'!Y983&gt;=5,"A+",IF('Data Source'!Y983&gt;=4,"A",IF('Data Source'!Y983&gt;=3.5,"A-",IF('Data Source'!Y983&gt;=3,"B",IF('Data Source'!Y983&gt;=2,"C",IF('Data Source'!Y983&gt;=1,"D","F")))))))</f>
        <v/>
      </c>
      <c r="H983" s="3">
        <f>IF('Data Source'!B983="","",IF('Data Source'!Z983&gt;=5,"A+",IF('Data Source'!Z983&gt;=4,"A",IF('Data Source'!Z983&gt;=3.5,"A-",IF('Data Source'!Z983&gt;=3,"B",IF('Data Source'!Z983&gt;=2,"C",IF('Data Source'!Z983&gt;=1,"D","F")))))))</f>
        <v/>
      </c>
      <c r="I983" s="3">
        <f>IF('Data Source'!B983="","",IF('Data Source'!AA983&gt;=5,"A+",IF('Data Source'!AA983&gt;=4,"A",IF('Data Source'!AA983&gt;=3.5,"A-",IF('Data Source'!AA983&gt;=3,"B",IF('Data Source'!AA983&gt;=2,"C",IF('Data Source'!AA983&gt;=1,"D","F")))))))</f>
        <v/>
      </c>
      <c r="J983" s="3">
        <f>IF('Data Source'!B983="","",IF('Data Source'!AB983&gt;=5,"A+",IF('Data Source'!AB983&gt;=4,"A",IF('Data Source'!AB983&gt;=3.5,"A-",IF('Data Source'!AB983&gt;=3,"B",IF('Data Source'!AB983&gt;=2,"C",IF('Data Source'!AB983&gt;=1,"D","F")))))))</f>
        <v/>
      </c>
      <c r="K983" s="3">
        <f>IF('Data Source'!B983="","",IF('Data Source'!AC983&gt;=5,"A+",IF('Data Source'!AC983&gt;=4,"A",IF('Data Source'!AC983&gt;=3.5,"A-",IF('Data Source'!AC983&gt;=3,"B",IF('Data Source'!AC983&gt;=2,"C",IF('Data Source'!AC983&gt;=1,"D","F")))))))</f>
        <v/>
      </c>
      <c r="L983" s="3">
        <f>IF('Data Source'!B983="","",IF('Data Source'!AD983&gt;=5,"A+",IF('Data Source'!AD983&gt;=4,"A",IF('Data Source'!AD983&gt;=3.5,"A-",IF('Data Source'!AD983&gt;=3,"B",IF('Data Source'!AD983&gt;=2,"C",IF('Data Source'!AD983&gt;=1,"D","F")))))))</f>
        <v/>
      </c>
      <c r="M983" s="3">
        <f>IF('Data Source'!B983="","",IF('Data Source'!AE983&gt;=5,"A+",IF('Data Source'!AE983&gt;=4,"A",IF('Data Source'!AE983&gt;=3.5,"A-",IF('Data Source'!AE983&gt;=3,"B",IF('Data Source'!AE983&gt;=2,"C",IF('Data Source'!AE983&gt;=1,"D","F")))))))</f>
        <v/>
      </c>
      <c r="N983" s="3">
        <f>IF('Data Source'!B983="","",IF('Data Source'!AF983&gt;=5,"A+",IF('Data Source'!AF983&gt;=4,"A",IF('Data Source'!AF983&gt;=3.5,"A-",IF('Data Source'!AF983&gt;=3,"B",IF('Data Source'!AF983&gt;=2,"C",IF('Data Source'!AF983&gt;=1,"D","F")))))))</f>
        <v/>
      </c>
      <c r="O983" s="3">
        <f>IF('Data Source'!B983="","",IF('Data Source'!AG983&gt;=5,"A+",IF('Data Source'!AG983&gt;=4,"A",IF('Data Source'!AG983&gt;=3.5,"A-",IF('Data Source'!AG983&gt;=3,"B",IF('Data Source'!AG983&gt;=2,"C",IF('Data Source'!AG983&gt;=1,"D","F")))))))</f>
        <v/>
      </c>
      <c r="P983" s="5">
        <f>IF('Data Source'!B983="","",'Data Source'!R983)</f>
        <v/>
      </c>
      <c r="Q983" s="3">
        <f>IF('Data Source'!B983="","",'Data Source'!S983)</f>
        <v/>
      </c>
    </row>
    <row r="984">
      <c r="A984" s="3">
        <f>IF('Data Source'!B984="","",'Data Source'!A984)</f>
        <v/>
      </c>
      <c r="B984">
        <f>IF('Data Source'!B984="","",'Data Source'!B984)</f>
        <v/>
      </c>
      <c r="C984" s="3">
        <f>IF('Data Source'!B984="","",IF('Data Source'!U984&gt;=5,"A+",IF('Data Source'!U984&gt;=4,"A",IF('Data Source'!U984&gt;=3.5,"A-",IF('Data Source'!U984&gt;=3,"B",IF('Data Source'!U984&gt;=2,"C",IF('Data Source'!U984&gt;=1,"D","F")))))))</f>
        <v/>
      </c>
      <c r="D984" s="3">
        <f>IF('Data Source'!B984="","",IF('Data Source'!V984&gt;=5,"A+",IF('Data Source'!V984&gt;=4,"A",IF('Data Source'!V984&gt;=3.5,"A-",IF('Data Source'!V984&gt;=3,"B",IF('Data Source'!V984&gt;=2,"C",IF('Data Source'!V984&gt;=1,"D","F")))))))</f>
        <v/>
      </c>
      <c r="E984" s="3">
        <f>IF('Data Source'!B984="","",IF('Data Source'!W984&gt;=5,"A+",IF('Data Source'!W984&gt;=4,"A",IF('Data Source'!W984&gt;=3.5,"A-",IF('Data Source'!W984&gt;=3,"B",IF('Data Source'!W984&gt;=2,"C",IF('Data Source'!W984&gt;=1,"D","F")))))))</f>
        <v/>
      </c>
      <c r="F984" s="3">
        <f>IF('Data Source'!B984="","",IF('Data Source'!X984&gt;=5,"A+",IF('Data Source'!X984&gt;=4,"A",IF('Data Source'!X984&gt;=3.5,"A-",IF('Data Source'!X984&gt;=3,"B",IF('Data Source'!X984&gt;=2,"C",IF('Data Source'!X984&gt;=1,"D","F")))))))</f>
        <v/>
      </c>
      <c r="G984" s="3">
        <f>IF('Data Source'!B984="","",IF('Data Source'!Y984&gt;=5,"A+",IF('Data Source'!Y984&gt;=4,"A",IF('Data Source'!Y984&gt;=3.5,"A-",IF('Data Source'!Y984&gt;=3,"B",IF('Data Source'!Y984&gt;=2,"C",IF('Data Source'!Y984&gt;=1,"D","F")))))))</f>
        <v/>
      </c>
      <c r="H984" s="3">
        <f>IF('Data Source'!B984="","",IF('Data Source'!Z984&gt;=5,"A+",IF('Data Source'!Z984&gt;=4,"A",IF('Data Source'!Z984&gt;=3.5,"A-",IF('Data Source'!Z984&gt;=3,"B",IF('Data Source'!Z984&gt;=2,"C",IF('Data Source'!Z984&gt;=1,"D","F")))))))</f>
        <v/>
      </c>
      <c r="I984" s="3">
        <f>IF('Data Source'!B984="","",IF('Data Source'!AA984&gt;=5,"A+",IF('Data Source'!AA984&gt;=4,"A",IF('Data Source'!AA984&gt;=3.5,"A-",IF('Data Source'!AA984&gt;=3,"B",IF('Data Source'!AA984&gt;=2,"C",IF('Data Source'!AA984&gt;=1,"D","F")))))))</f>
        <v/>
      </c>
      <c r="J984" s="3">
        <f>IF('Data Source'!B984="","",IF('Data Source'!AB984&gt;=5,"A+",IF('Data Source'!AB984&gt;=4,"A",IF('Data Source'!AB984&gt;=3.5,"A-",IF('Data Source'!AB984&gt;=3,"B",IF('Data Source'!AB984&gt;=2,"C",IF('Data Source'!AB984&gt;=1,"D","F")))))))</f>
        <v/>
      </c>
      <c r="K984" s="3">
        <f>IF('Data Source'!B984="","",IF('Data Source'!AC984&gt;=5,"A+",IF('Data Source'!AC984&gt;=4,"A",IF('Data Source'!AC984&gt;=3.5,"A-",IF('Data Source'!AC984&gt;=3,"B",IF('Data Source'!AC984&gt;=2,"C",IF('Data Source'!AC984&gt;=1,"D","F")))))))</f>
        <v/>
      </c>
      <c r="L984" s="3">
        <f>IF('Data Source'!B984="","",IF('Data Source'!AD984&gt;=5,"A+",IF('Data Source'!AD984&gt;=4,"A",IF('Data Source'!AD984&gt;=3.5,"A-",IF('Data Source'!AD984&gt;=3,"B",IF('Data Source'!AD984&gt;=2,"C",IF('Data Source'!AD984&gt;=1,"D","F")))))))</f>
        <v/>
      </c>
      <c r="M984" s="3">
        <f>IF('Data Source'!B984="","",IF('Data Source'!AE984&gt;=5,"A+",IF('Data Source'!AE984&gt;=4,"A",IF('Data Source'!AE984&gt;=3.5,"A-",IF('Data Source'!AE984&gt;=3,"B",IF('Data Source'!AE984&gt;=2,"C",IF('Data Source'!AE984&gt;=1,"D","F")))))))</f>
        <v/>
      </c>
      <c r="N984" s="3">
        <f>IF('Data Source'!B984="","",IF('Data Source'!AF984&gt;=5,"A+",IF('Data Source'!AF984&gt;=4,"A",IF('Data Source'!AF984&gt;=3.5,"A-",IF('Data Source'!AF984&gt;=3,"B",IF('Data Source'!AF984&gt;=2,"C",IF('Data Source'!AF984&gt;=1,"D","F")))))))</f>
        <v/>
      </c>
      <c r="O984" s="3">
        <f>IF('Data Source'!B984="","",IF('Data Source'!AG984&gt;=5,"A+",IF('Data Source'!AG984&gt;=4,"A",IF('Data Source'!AG984&gt;=3.5,"A-",IF('Data Source'!AG984&gt;=3,"B",IF('Data Source'!AG984&gt;=2,"C",IF('Data Source'!AG984&gt;=1,"D","F")))))))</f>
        <v/>
      </c>
      <c r="P984" s="5">
        <f>IF('Data Source'!B984="","",'Data Source'!R984)</f>
        <v/>
      </c>
      <c r="Q984" s="3">
        <f>IF('Data Source'!B984="","",'Data Source'!S984)</f>
        <v/>
      </c>
    </row>
    <row r="985">
      <c r="A985" s="3">
        <f>IF('Data Source'!B985="","",'Data Source'!A985)</f>
        <v/>
      </c>
      <c r="B985">
        <f>IF('Data Source'!B985="","",'Data Source'!B985)</f>
        <v/>
      </c>
      <c r="C985" s="3">
        <f>IF('Data Source'!B985="","",IF('Data Source'!U985&gt;=5,"A+",IF('Data Source'!U985&gt;=4,"A",IF('Data Source'!U985&gt;=3.5,"A-",IF('Data Source'!U985&gt;=3,"B",IF('Data Source'!U985&gt;=2,"C",IF('Data Source'!U985&gt;=1,"D","F")))))))</f>
        <v/>
      </c>
      <c r="D985" s="3">
        <f>IF('Data Source'!B985="","",IF('Data Source'!V985&gt;=5,"A+",IF('Data Source'!V985&gt;=4,"A",IF('Data Source'!V985&gt;=3.5,"A-",IF('Data Source'!V985&gt;=3,"B",IF('Data Source'!V985&gt;=2,"C",IF('Data Source'!V985&gt;=1,"D","F")))))))</f>
        <v/>
      </c>
      <c r="E985" s="3">
        <f>IF('Data Source'!B985="","",IF('Data Source'!W985&gt;=5,"A+",IF('Data Source'!W985&gt;=4,"A",IF('Data Source'!W985&gt;=3.5,"A-",IF('Data Source'!W985&gt;=3,"B",IF('Data Source'!W985&gt;=2,"C",IF('Data Source'!W985&gt;=1,"D","F")))))))</f>
        <v/>
      </c>
      <c r="F985" s="3">
        <f>IF('Data Source'!B985="","",IF('Data Source'!X985&gt;=5,"A+",IF('Data Source'!X985&gt;=4,"A",IF('Data Source'!X985&gt;=3.5,"A-",IF('Data Source'!X985&gt;=3,"B",IF('Data Source'!X985&gt;=2,"C",IF('Data Source'!X985&gt;=1,"D","F")))))))</f>
        <v/>
      </c>
      <c r="G985" s="3">
        <f>IF('Data Source'!B985="","",IF('Data Source'!Y985&gt;=5,"A+",IF('Data Source'!Y985&gt;=4,"A",IF('Data Source'!Y985&gt;=3.5,"A-",IF('Data Source'!Y985&gt;=3,"B",IF('Data Source'!Y985&gt;=2,"C",IF('Data Source'!Y985&gt;=1,"D","F")))))))</f>
        <v/>
      </c>
      <c r="H985" s="3">
        <f>IF('Data Source'!B985="","",IF('Data Source'!Z985&gt;=5,"A+",IF('Data Source'!Z985&gt;=4,"A",IF('Data Source'!Z985&gt;=3.5,"A-",IF('Data Source'!Z985&gt;=3,"B",IF('Data Source'!Z985&gt;=2,"C",IF('Data Source'!Z985&gt;=1,"D","F")))))))</f>
        <v/>
      </c>
      <c r="I985" s="3">
        <f>IF('Data Source'!B985="","",IF('Data Source'!AA985&gt;=5,"A+",IF('Data Source'!AA985&gt;=4,"A",IF('Data Source'!AA985&gt;=3.5,"A-",IF('Data Source'!AA985&gt;=3,"B",IF('Data Source'!AA985&gt;=2,"C",IF('Data Source'!AA985&gt;=1,"D","F")))))))</f>
        <v/>
      </c>
      <c r="J985" s="3">
        <f>IF('Data Source'!B985="","",IF('Data Source'!AB985&gt;=5,"A+",IF('Data Source'!AB985&gt;=4,"A",IF('Data Source'!AB985&gt;=3.5,"A-",IF('Data Source'!AB985&gt;=3,"B",IF('Data Source'!AB985&gt;=2,"C",IF('Data Source'!AB985&gt;=1,"D","F")))))))</f>
        <v/>
      </c>
      <c r="K985" s="3">
        <f>IF('Data Source'!B985="","",IF('Data Source'!AC985&gt;=5,"A+",IF('Data Source'!AC985&gt;=4,"A",IF('Data Source'!AC985&gt;=3.5,"A-",IF('Data Source'!AC985&gt;=3,"B",IF('Data Source'!AC985&gt;=2,"C",IF('Data Source'!AC985&gt;=1,"D","F")))))))</f>
        <v/>
      </c>
      <c r="L985" s="3">
        <f>IF('Data Source'!B985="","",IF('Data Source'!AD985&gt;=5,"A+",IF('Data Source'!AD985&gt;=4,"A",IF('Data Source'!AD985&gt;=3.5,"A-",IF('Data Source'!AD985&gt;=3,"B",IF('Data Source'!AD985&gt;=2,"C",IF('Data Source'!AD985&gt;=1,"D","F")))))))</f>
        <v/>
      </c>
      <c r="M985" s="3">
        <f>IF('Data Source'!B985="","",IF('Data Source'!AE985&gt;=5,"A+",IF('Data Source'!AE985&gt;=4,"A",IF('Data Source'!AE985&gt;=3.5,"A-",IF('Data Source'!AE985&gt;=3,"B",IF('Data Source'!AE985&gt;=2,"C",IF('Data Source'!AE985&gt;=1,"D","F")))))))</f>
        <v/>
      </c>
      <c r="N985" s="3">
        <f>IF('Data Source'!B985="","",IF('Data Source'!AF985&gt;=5,"A+",IF('Data Source'!AF985&gt;=4,"A",IF('Data Source'!AF985&gt;=3.5,"A-",IF('Data Source'!AF985&gt;=3,"B",IF('Data Source'!AF985&gt;=2,"C",IF('Data Source'!AF985&gt;=1,"D","F")))))))</f>
        <v/>
      </c>
      <c r="O985" s="3">
        <f>IF('Data Source'!B985="","",IF('Data Source'!AG985&gt;=5,"A+",IF('Data Source'!AG985&gt;=4,"A",IF('Data Source'!AG985&gt;=3.5,"A-",IF('Data Source'!AG985&gt;=3,"B",IF('Data Source'!AG985&gt;=2,"C",IF('Data Source'!AG985&gt;=1,"D","F")))))))</f>
        <v/>
      </c>
      <c r="P985" s="5">
        <f>IF('Data Source'!B985="","",'Data Source'!R985)</f>
        <v/>
      </c>
      <c r="Q985" s="3">
        <f>IF('Data Source'!B985="","",'Data Source'!S985)</f>
        <v/>
      </c>
    </row>
    <row r="986">
      <c r="A986" s="3">
        <f>IF('Data Source'!B986="","",'Data Source'!A986)</f>
        <v/>
      </c>
      <c r="B986">
        <f>IF('Data Source'!B986="","",'Data Source'!B986)</f>
        <v/>
      </c>
      <c r="C986" s="3">
        <f>IF('Data Source'!B986="","",IF('Data Source'!U986&gt;=5,"A+",IF('Data Source'!U986&gt;=4,"A",IF('Data Source'!U986&gt;=3.5,"A-",IF('Data Source'!U986&gt;=3,"B",IF('Data Source'!U986&gt;=2,"C",IF('Data Source'!U986&gt;=1,"D","F")))))))</f>
        <v/>
      </c>
      <c r="D986" s="3">
        <f>IF('Data Source'!B986="","",IF('Data Source'!V986&gt;=5,"A+",IF('Data Source'!V986&gt;=4,"A",IF('Data Source'!V986&gt;=3.5,"A-",IF('Data Source'!V986&gt;=3,"B",IF('Data Source'!V986&gt;=2,"C",IF('Data Source'!V986&gt;=1,"D","F")))))))</f>
        <v/>
      </c>
      <c r="E986" s="3">
        <f>IF('Data Source'!B986="","",IF('Data Source'!W986&gt;=5,"A+",IF('Data Source'!W986&gt;=4,"A",IF('Data Source'!W986&gt;=3.5,"A-",IF('Data Source'!W986&gt;=3,"B",IF('Data Source'!W986&gt;=2,"C",IF('Data Source'!W986&gt;=1,"D","F")))))))</f>
        <v/>
      </c>
      <c r="F986" s="3">
        <f>IF('Data Source'!B986="","",IF('Data Source'!X986&gt;=5,"A+",IF('Data Source'!X986&gt;=4,"A",IF('Data Source'!X986&gt;=3.5,"A-",IF('Data Source'!X986&gt;=3,"B",IF('Data Source'!X986&gt;=2,"C",IF('Data Source'!X986&gt;=1,"D","F")))))))</f>
        <v/>
      </c>
      <c r="G986" s="3">
        <f>IF('Data Source'!B986="","",IF('Data Source'!Y986&gt;=5,"A+",IF('Data Source'!Y986&gt;=4,"A",IF('Data Source'!Y986&gt;=3.5,"A-",IF('Data Source'!Y986&gt;=3,"B",IF('Data Source'!Y986&gt;=2,"C",IF('Data Source'!Y986&gt;=1,"D","F")))))))</f>
        <v/>
      </c>
      <c r="H986" s="3">
        <f>IF('Data Source'!B986="","",IF('Data Source'!Z986&gt;=5,"A+",IF('Data Source'!Z986&gt;=4,"A",IF('Data Source'!Z986&gt;=3.5,"A-",IF('Data Source'!Z986&gt;=3,"B",IF('Data Source'!Z986&gt;=2,"C",IF('Data Source'!Z986&gt;=1,"D","F")))))))</f>
        <v/>
      </c>
      <c r="I986" s="3">
        <f>IF('Data Source'!B986="","",IF('Data Source'!AA986&gt;=5,"A+",IF('Data Source'!AA986&gt;=4,"A",IF('Data Source'!AA986&gt;=3.5,"A-",IF('Data Source'!AA986&gt;=3,"B",IF('Data Source'!AA986&gt;=2,"C",IF('Data Source'!AA986&gt;=1,"D","F")))))))</f>
        <v/>
      </c>
      <c r="J986" s="3">
        <f>IF('Data Source'!B986="","",IF('Data Source'!AB986&gt;=5,"A+",IF('Data Source'!AB986&gt;=4,"A",IF('Data Source'!AB986&gt;=3.5,"A-",IF('Data Source'!AB986&gt;=3,"B",IF('Data Source'!AB986&gt;=2,"C",IF('Data Source'!AB986&gt;=1,"D","F")))))))</f>
        <v/>
      </c>
      <c r="K986" s="3">
        <f>IF('Data Source'!B986="","",IF('Data Source'!AC986&gt;=5,"A+",IF('Data Source'!AC986&gt;=4,"A",IF('Data Source'!AC986&gt;=3.5,"A-",IF('Data Source'!AC986&gt;=3,"B",IF('Data Source'!AC986&gt;=2,"C",IF('Data Source'!AC986&gt;=1,"D","F")))))))</f>
        <v/>
      </c>
      <c r="L986" s="3">
        <f>IF('Data Source'!B986="","",IF('Data Source'!AD986&gt;=5,"A+",IF('Data Source'!AD986&gt;=4,"A",IF('Data Source'!AD986&gt;=3.5,"A-",IF('Data Source'!AD986&gt;=3,"B",IF('Data Source'!AD986&gt;=2,"C",IF('Data Source'!AD986&gt;=1,"D","F")))))))</f>
        <v/>
      </c>
      <c r="M986" s="3">
        <f>IF('Data Source'!B986="","",IF('Data Source'!AE986&gt;=5,"A+",IF('Data Source'!AE986&gt;=4,"A",IF('Data Source'!AE986&gt;=3.5,"A-",IF('Data Source'!AE986&gt;=3,"B",IF('Data Source'!AE986&gt;=2,"C",IF('Data Source'!AE986&gt;=1,"D","F")))))))</f>
        <v/>
      </c>
      <c r="N986" s="3">
        <f>IF('Data Source'!B986="","",IF('Data Source'!AF986&gt;=5,"A+",IF('Data Source'!AF986&gt;=4,"A",IF('Data Source'!AF986&gt;=3.5,"A-",IF('Data Source'!AF986&gt;=3,"B",IF('Data Source'!AF986&gt;=2,"C",IF('Data Source'!AF986&gt;=1,"D","F")))))))</f>
        <v/>
      </c>
      <c r="O986" s="3">
        <f>IF('Data Source'!B986="","",IF('Data Source'!AG986&gt;=5,"A+",IF('Data Source'!AG986&gt;=4,"A",IF('Data Source'!AG986&gt;=3.5,"A-",IF('Data Source'!AG986&gt;=3,"B",IF('Data Source'!AG986&gt;=2,"C",IF('Data Source'!AG986&gt;=1,"D","F")))))))</f>
        <v/>
      </c>
      <c r="P986" s="5">
        <f>IF('Data Source'!B986="","",'Data Source'!R986)</f>
        <v/>
      </c>
      <c r="Q986" s="3">
        <f>IF('Data Source'!B986="","",'Data Source'!S986)</f>
        <v/>
      </c>
    </row>
    <row r="987">
      <c r="A987" s="3">
        <f>IF('Data Source'!B987="","",'Data Source'!A987)</f>
        <v/>
      </c>
      <c r="B987">
        <f>IF('Data Source'!B987="","",'Data Source'!B987)</f>
        <v/>
      </c>
      <c r="C987" s="3">
        <f>IF('Data Source'!B987="","",IF('Data Source'!U987&gt;=5,"A+",IF('Data Source'!U987&gt;=4,"A",IF('Data Source'!U987&gt;=3.5,"A-",IF('Data Source'!U987&gt;=3,"B",IF('Data Source'!U987&gt;=2,"C",IF('Data Source'!U987&gt;=1,"D","F")))))))</f>
        <v/>
      </c>
      <c r="D987" s="3">
        <f>IF('Data Source'!B987="","",IF('Data Source'!V987&gt;=5,"A+",IF('Data Source'!V987&gt;=4,"A",IF('Data Source'!V987&gt;=3.5,"A-",IF('Data Source'!V987&gt;=3,"B",IF('Data Source'!V987&gt;=2,"C",IF('Data Source'!V987&gt;=1,"D","F")))))))</f>
        <v/>
      </c>
      <c r="E987" s="3">
        <f>IF('Data Source'!B987="","",IF('Data Source'!W987&gt;=5,"A+",IF('Data Source'!W987&gt;=4,"A",IF('Data Source'!W987&gt;=3.5,"A-",IF('Data Source'!W987&gt;=3,"B",IF('Data Source'!W987&gt;=2,"C",IF('Data Source'!W987&gt;=1,"D","F")))))))</f>
        <v/>
      </c>
      <c r="F987" s="3">
        <f>IF('Data Source'!B987="","",IF('Data Source'!X987&gt;=5,"A+",IF('Data Source'!X987&gt;=4,"A",IF('Data Source'!X987&gt;=3.5,"A-",IF('Data Source'!X987&gt;=3,"B",IF('Data Source'!X987&gt;=2,"C",IF('Data Source'!X987&gt;=1,"D","F")))))))</f>
        <v/>
      </c>
      <c r="G987" s="3">
        <f>IF('Data Source'!B987="","",IF('Data Source'!Y987&gt;=5,"A+",IF('Data Source'!Y987&gt;=4,"A",IF('Data Source'!Y987&gt;=3.5,"A-",IF('Data Source'!Y987&gt;=3,"B",IF('Data Source'!Y987&gt;=2,"C",IF('Data Source'!Y987&gt;=1,"D","F")))))))</f>
        <v/>
      </c>
      <c r="H987" s="3">
        <f>IF('Data Source'!B987="","",IF('Data Source'!Z987&gt;=5,"A+",IF('Data Source'!Z987&gt;=4,"A",IF('Data Source'!Z987&gt;=3.5,"A-",IF('Data Source'!Z987&gt;=3,"B",IF('Data Source'!Z987&gt;=2,"C",IF('Data Source'!Z987&gt;=1,"D","F")))))))</f>
        <v/>
      </c>
      <c r="I987" s="3">
        <f>IF('Data Source'!B987="","",IF('Data Source'!AA987&gt;=5,"A+",IF('Data Source'!AA987&gt;=4,"A",IF('Data Source'!AA987&gt;=3.5,"A-",IF('Data Source'!AA987&gt;=3,"B",IF('Data Source'!AA987&gt;=2,"C",IF('Data Source'!AA987&gt;=1,"D","F")))))))</f>
        <v/>
      </c>
      <c r="J987" s="3">
        <f>IF('Data Source'!B987="","",IF('Data Source'!AB987&gt;=5,"A+",IF('Data Source'!AB987&gt;=4,"A",IF('Data Source'!AB987&gt;=3.5,"A-",IF('Data Source'!AB987&gt;=3,"B",IF('Data Source'!AB987&gt;=2,"C",IF('Data Source'!AB987&gt;=1,"D","F")))))))</f>
        <v/>
      </c>
      <c r="K987" s="3">
        <f>IF('Data Source'!B987="","",IF('Data Source'!AC987&gt;=5,"A+",IF('Data Source'!AC987&gt;=4,"A",IF('Data Source'!AC987&gt;=3.5,"A-",IF('Data Source'!AC987&gt;=3,"B",IF('Data Source'!AC987&gt;=2,"C",IF('Data Source'!AC987&gt;=1,"D","F")))))))</f>
        <v/>
      </c>
      <c r="L987" s="3">
        <f>IF('Data Source'!B987="","",IF('Data Source'!AD987&gt;=5,"A+",IF('Data Source'!AD987&gt;=4,"A",IF('Data Source'!AD987&gt;=3.5,"A-",IF('Data Source'!AD987&gt;=3,"B",IF('Data Source'!AD987&gt;=2,"C",IF('Data Source'!AD987&gt;=1,"D","F")))))))</f>
        <v/>
      </c>
      <c r="M987" s="3">
        <f>IF('Data Source'!B987="","",IF('Data Source'!AE987&gt;=5,"A+",IF('Data Source'!AE987&gt;=4,"A",IF('Data Source'!AE987&gt;=3.5,"A-",IF('Data Source'!AE987&gt;=3,"B",IF('Data Source'!AE987&gt;=2,"C",IF('Data Source'!AE987&gt;=1,"D","F")))))))</f>
        <v/>
      </c>
      <c r="N987" s="3">
        <f>IF('Data Source'!B987="","",IF('Data Source'!AF987&gt;=5,"A+",IF('Data Source'!AF987&gt;=4,"A",IF('Data Source'!AF987&gt;=3.5,"A-",IF('Data Source'!AF987&gt;=3,"B",IF('Data Source'!AF987&gt;=2,"C",IF('Data Source'!AF987&gt;=1,"D","F")))))))</f>
        <v/>
      </c>
      <c r="O987" s="3">
        <f>IF('Data Source'!B987="","",IF('Data Source'!AG987&gt;=5,"A+",IF('Data Source'!AG987&gt;=4,"A",IF('Data Source'!AG987&gt;=3.5,"A-",IF('Data Source'!AG987&gt;=3,"B",IF('Data Source'!AG987&gt;=2,"C",IF('Data Source'!AG987&gt;=1,"D","F")))))))</f>
        <v/>
      </c>
      <c r="P987" s="5">
        <f>IF('Data Source'!B987="","",'Data Source'!R987)</f>
        <v/>
      </c>
      <c r="Q987" s="3">
        <f>IF('Data Source'!B987="","",'Data Source'!S987)</f>
        <v/>
      </c>
    </row>
    <row r="988">
      <c r="A988" s="3">
        <f>IF('Data Source'!B988="","",'Data Source'!A988)</f>
        <v/>
      </c>
      <c r="B988">
        <f>IF('Data Source'!B988="","",'Data Source'!B988)</f>
        <v/>
      </c>
      <c r="C988" s="3">
        <f>IF('Data Source'!B988="","",IF('Data Source'!U988&gt;=5,"A+",IF('Data Source'!U988&gt;=4,"A",IF('Data Source'!U988&gt;=3.5,"A-",IF('Data Source'!U988&gt;=3,"B",IF('Data Source'!U988&gt;=2,"C",IF('Data Source'!U988&gt;=1,"D","F")))))))</f>
        <v/>
      </c>
      <c r="D988" s="3">
        <f>IF('Data Source'!B988="","",IF('Data Source'!V988&gt;=5,"A+",IF('Data Source'!V988&gt;=4,"A",IF('Data Source'!V988&gt;=3.5,"A-",IF('Data Source'!V988&gt;=3,"B",IF('Data Source'!V988&gt;=2,"C",IF('Data Source'!V988&gt;=1,"D","F")))))))</f>
        <v/>
      </c>
      <c r="E988" s="3">
        <f>IF('Data Source'!B988="","",IF('Data Source'!W988&gt;=5,"A+",IF('Data Source'!W988&gt;=4,"A",IF('Data Source'!W988&gt;=3.5,"A-",IF('Data Source'!W988&gt;=3,"B",IF('Data Source'!W988&gt;=2,"C",IF('Data Source'!W988&gt;=1,"D","F")))))))</f>
        <v/>
      </c>
      <c r="F988" s="3">
        <f>IF('Data Source'!B988="","",IF('Data Source'!X988&gt;=5,"A+",IF('Data Source'!X988&gt;=4,"A",IF('Data Source'!X988&gt;=3.5,"A-",IF('Data Source'!X988&gt;=3,"B",IF('Data Source'!X988&gt;=2,"C",IF('Data Source'!X988&gt;=1,"D","F")))))))</f>
        <v/>
      </c>
      <c r="G988" s="3">
        <f>IF('Data Source'!B988="","",IF('Data Source'!Y988&gt;=5,"A+",IF('Data Source'!Y988&gt;=4,"A",IF('Data Source'!Y988&gt;=3.5,"A-",IF('Data Source'!Y988&gt;=3,"B",IF('Data Source'!Y988&gt;=2,"C",IF('Data Source'!Y988&gt;=1,"D","F")))))))</f>
        <v/>
      </c>
      <c r="H988" s="3">
        <f>IF('Data Source'!B988="","",IF('Data Source'!Z988&gt;=5,"A+",IF('Data Source'!Z988&gt;=4,"A",IF('Data Source'!Z988&gt;=3.5,"A-",IF('Data Source'!Z988&gt;=3,"B",IF('Data Source'!Z988&gt;=2,"C",IF('Data Source'!Z988&gt;=1,"D","F")))))))</f>
        <v/>
      </c>
      <c r="I988" s="3">
        <f>IF('Data Source'!B988="","",IF('Data Source'!AA988&gt;=5,"A+",IF('Data Source'!AA988&gt;=4,"A",IF('Data Source'!AA988&gt;=3.5,"A-",IF('Data Source'!AA988&gt;=3,"B",IF('Data Source'!AA988&gt;=2,"C",IF('Data Source'!AA988&gt;=1,"D","F")))))))</f>
        <v/>
      </c>
      <c r="J988" s="3">
        <f>IF('Data Source'!B988="","",IF('Data Source'!AB988&gt;=5,"A+",IF('Data Source'!AB988&gt;=4,"A",IF('Data Source'!AB988&gt;=3.5,"A-",IF('Data Source'!AB988&gt;=3,"B",IF('Data Source'!AB988&gt;=2,"C",IF('Data Source'!AB988&gt;=1,"D","F")))))))</f>
        <v/>
      </c>
      <c r="K988" s="3">
        <f>IF('Data Source'!B988="","",IF('Data Source'!AC988&gt;=5,"A+",IF('Data Source'!AC988&gt;=4,"A",IF('Data Source'!AC988&gt;=3.5,"A-",IF('Data Source'!AC988&gt;=3,"B",IF('Data Source'!AC988&gt;=2,"C",IF('Data Source'!AC988&gt;=1,"D","F")))))))</f>
        <v/>
      </c>
      <c r="L988" s="3">
        <f>IF('Data Source'!B988="","",IF('Data Source'!AD988&gt;=5,"A+",IF('Data Source'!AD988&gt;=4,"A",IF('Data Source'!AD988&gt;=3.5,"A-",IF('Data Source'!AD988&gt;=3,"B",IF('Data Source'!AD988&gt;=2,"C",IF('Data Source'!AD988&gt;=1,"D","F")))))))</f>
        <v/>
      </c>
      <c r="M988" s="3">
        <f>IF('Data Source'!B988="","",IF('Data Source'!AE988&gt;=5,"A+",IF('Data Source'!AE988&gt;=4,"A",IF('Data Source'!AE988&gt;=3.5,"A-",IF('Data Source'!AE988&gt;=3,"B",IF('Data Source'!AE988&gt;=2,"C",IF('Data Source'!AE988&gt;=1,"D","F")))))))</f>
        <v/>
      </c>
      <c r="N988" s="3">
        <f>IF('Data Source'!B988="","",IF('Data Source'!AF988&gt;=5,"A+",IF('Data Source'!AF988&gt;=4,"A",IF('Data Source'!AF988&gt;=3.5,"A-",IF('Data Source'!AF988&gt;=3,"B",IF('Data Source'!AF988&gt;=2,"C",IF('Data Source'!AF988&gt;=1,"D","F")))))))</f>
        <v/>
      </c>
      <c r="O988" s="3">
        <f>IF('Data Source'!B988="","",IF('Data Source'!AG988&gt;=5,"A+",IF('Data Source'!AG988&gt;=4,"A",IF('Data Source'!AG988&gt;=3.5,"A-",IF('Data Source'!AG988&gt;=3,"B",IF('Data Source'!AG988&gt;=2,"C",IF('Data Source'!AG988&gt;=1,"D","F")))))))</f>
        <v/>
      </c>
      <c r="P988" s="5">
        <f>IF('Data Source'!B988="","",'Data Source'!R988)</f>
        <v/>
      </c>
      <c r="Q988" s="3">
        <f>IF('Data Source'!B988="","",'Data Source'!S988)</f>
        <v/>
      </c>
    </row>
    <row r="989">
      <c r="A989" s="3">
        <f>IF('Data Source'!B989="","",'Data Source'!A989)</f>
        <v/>
      </c>
      <c r="B989">
        <f>IF('Data Source'!B989="","",'Data Source'!B989)</f>
        <v/>
      </c>
      <c r="C989" s="3">
        <f>IF('Data Source'!B989="","",IF('Data Source'!U989&gt;=5,"A+",IF('Data Source'!U989&gt;=4,"A",IF('Data Source'!U989&gt;=3.5,"A-",IF('Data Source'!U989&gt;=3,"B",IF('Data Source'!U989&gt;=2,"C",IF('Data Source'!U989&gt;=1,"D","F")))))))</f>
        <v/>
      </c>
      <c r="D989" s="3">
        <f>IF('Data Source'!B989="","",IF('Data Source'!V989&gt;=5,"A+",IF('Data Source'!V989&gt;=4,"A",IF('Data Source'!V989&gt;=3.5,"A-",IF('Data Source'!V989&gt;=3,"B",IF('Data Source'!V989&gt;=2,"C",IF('Data Source'!V989&gt;=1,"D","F")))))))</f>
        <v/>
      </c>
      <c r="E989" s="3">
        <f>IF('Data Source'!B989="","",IF('Data Source'!W989&gt;=5,"A+",IF('Data Source'!W989&gt;=4,"A",IF('Data Source'!W989&gt;=3.5,"A-",IF('Data Source'!W989&gt;=3,"B",IF('Data Source'!W989&gt;=2,"C",IF('Data Source'!W989&gt;=1,"D","F")))))))</f>
        <v/>
      </c>
      <c r="F989" s="3">
        <f>IF('Data Source'!B989="","",IF('Data Source'!X989&gt;=5,"A+",IF('Data Source'!X989&gt;=4,"A",IF('Data Source'!X989&gt;=3.5,"A-",IF('Data Source'!X989&gt;=3,"B",IF('Data Source'!X989&gt;=2,"C",IF('Data Source'!X989&gt;=1,"D","F")))))))</f>
        <v/>
      </c>
      <c r="G989" s="3">
        <f>IF('Data Source'!B989="","",IF('Data Source'!Y989&gt;=5,"A+",IF('Data Source'!Y989&gt;=4,"A",IF('Data Source'!Y989&gt;=3.5,"A-",IF('Data Source'!Y989&gt;=3,"B",IF('Data Source'!Y989&gt;=2,"C",IF('Data Source'!Y989&gt;=1,"D","F")))))))</f>
        <v/>
      </c>
      <c r="H989" s="3">
        <f>IF('Data Source'!B989="","",IF('Data Source'!Z989&gt;=5,"A+",IF('Data Source'!Z989&gt;=4,"A",IF('Data Source'!Z989&gt;=3.5,"A-",IF('Data Source'!Z989&gt;=3,"B",IF('Data Source'!Z989&gt;=2,"C",IF('Data Source'!Z989&gt;=1,"D","F")))))))</f>
        <v/>
      </c>
      <c r="I989" s="3">
        <f>IF('Data Source'!B989="","",IF('Data Source'!AA989&gt;=5,"A+",IF('Data Source'!AA989&gt;=4,"A",IF('Data Source'!AA989&gt;=3.5,"A-",IF('Data Source'!AA989&gt;=3,"B",IF('Data Source'!AA989&gt;=2,"C",IF('Data Source'!AA989&gt;=1,"D","F")))))))</f>
        <v/>
      </c>
      <c r="J989" s="3">
        <f>IF('Data Source'!B989="","",IF('Data Source'!AB989&gt;=5,"A+",IF('Data Source'!AB989&gt;=4,"A",IF('Data Source'!AB989&gt;=3.5,"A-",IF('Data Source'!AB989&gt;=3,"B",IF('Data Source'!AB989&gt;=2,"C",IF('Data Source'!AB989&gt;=1,"D","F")))))))</f>
        <v/>
      </c>
      <c r="K989" s="3">
        <f>IF('Data Source'!B989="","",IF('Data Source'!AC989&gt;=5,"A+",IF('Data Source'!AC989&gt;=4,"A",IF('Data Source'!AC989&gt;=3.5,"A-",IF('Data Source'!AC989&gt;=3,"B",IF('Data Source'!AC989&gt;=2,"C",IF('Data Source'!AC989&gt;=1,"D","F")))))))</f>
        <v/>
      </c>
      <c r="L989" s="3">
        <f>IF('Data Source'!B989="","",IF('Data Source'!AD989&gt;=5,"A+",IF('Data Source'!AD989&gt;=4,"A",IF('Data Source'!AD989&gt;=3.5,"A-",IF('Data Source'!AD989&gt;=3,"B",IF('Data Source'!AD989&gt;=2,"C",IF('Data Source'!AD989&gt;=1,"D","F")))))))</f>
        <v/>
      </c>
      <c r="M989" s="3">
        <f>IF('Data Source'!B989="","",IF('Data Source'!AE989&gt;=5,"A+",IF('Data Source'!AE989&gt;=4,"A",IF('Data Source'!AE989&gt;=3.5,"A-",IF('Data Source'!AE989&gt;=3,"B",IF('Data Source'!AE989&gt;=2,"C",IF('Data Source'!AE989&gt;=1,"D","F")))))))</f>
        <v/>
      </c>
      <c r="N989" s="3">
        <f>IF('Data Source'!B989="","",IF('Data Source'!AF989&gt;=5,"A+",IF('Data Source'!AF989&gt;=4,"A",IF('Data Source'!AF989&gt;=3.5,"A-",IF('Data Source'!AF989&gt;=3,"B",IF('Data Source'!AF989&gt;=2,"C",IF('Data Source'!AF989&gt;=1,"D","F")))))))</f>
        <v/>
      </c>
      <c r="O989" s="3">
        <f>IF('Data Source'!B989="","",IF('Data Source'!AG989&gt;=5,"A+",IF('Data Source'!AG989&gt;=4,"A",IF('Data Source'!AG989&gt;=3.5,"A-",IF('Data Source'!AG989&gt;=3,"B",IF('Data Source'!AG989&gt;=2,"C",IF('Data Source'!AG989&gt;=1,"D","F")))))))</f>
        <v/>
      </c>
      <c r="P989" s="5">
        <f>IF('Data Source'!B989="","",'Data Source'!R989)</f>
        <v/>
      </c>
      <c r="Q989" s="3">
        <f>IF('Data Source'!B989="","",'Data Source'!S989)</f>
        <v/>
      </c>
    </row>
    <row r="990">
      <c r="A990" s="3">
        <f>IF('Data Source'!B990="","",'Data Source'!A990)</f>
        <v/>
      </c>
      <c r="B990">
        <f>IF('Data Source'!B990="","",'Data Source'!B990)</f>
        <v/>
      </c>
      <c r="C990" s="3">
        <f>IF('Data Source'!B990="","",IF('Data Source'!U990&gt;=5,"A+",IF('Data Source'!U990&gt;=4,"A",IF('Data Source'!U990&gt;=3.5,"A-",IF('Data Source'!U990&gt;=3,"B",IF('Data Source'!U990&gt;=2,"C",IF('Data Source'!U990&gt;=1,"D","F")))))))</f>
        <v/>
      </c>
      <c r="D990" s="3">
        <f>IF('Data Source'!B990="","",IF('Data Source'!V990&gt;=5,"A+",IF('Data Source'!V990&gt;=4,"A",IF('Data Source'!V990&gt;=3.5,"A-",IF('Data Source'!V990&gt;=3,"B",IF('Data Source'!V990&gt;=2,"C",IF('Data Source'!V990&gt;=1,"D","F")))))))</f>
        <v/>
      </c>
      <c r="E990" s="3">
        <f>IF('Data Source'!B990="","",IF('Data Source'!W990&gt;=5,"A+",IF('Data Source'!W990&gt;=4,"A",IF('Data Source'!W990&gt;=3.5,"A-",IF('Data Source'!W990&gt;=3,"B",IF('Data Source'!W990&gt;=2,"C",IF('Data Source'!W990&gt;=1,"D","F")))))))</f>
        <v/>
      </c>
      <c r="F990" s="3">
        <f>IF('Data Source'!B990="","",IF('Data Source'!X990&gt;=5,"A+",IF('Data Source'!X990&gt;=4,"A",IF('Data Source'!X990&gt;=3.5,"A-",IF('Data Source'!X990&gt;=3,"B",IF('Data Source'!X990&gt;=2,"C",IF('Data Source'!X990&gt;=1,"D","F")))))))</f>
        <v/>
      </c>
      <c r="G990" s="3">
        <f>IF('Data Source'!B990="","",IF('Data Source'!Y990&gt;=5,"A+",IF('Data Source'!Y990&gt;=4,"A",IF('Data Source'!Y990&gt;=3.5,"A-",IF('Data Source'!Y990&gt;=3,"B",IF('Data Source'!Y990&gt;=2,"C",IF('Data Source'!Y990&gt;=1,"D","F")))))))</f>
        <v/>
      </c>
      <c r="H990" s="3">
        <f>IF('Data Source'!B990="","",IF('Data Source'!Z990&gt;=5,"A+",IF('Data Source'!Z990&gt;=4,"A",IF('Data Source'!Z990&gt;=3.5,"A-",IF('Data Source'!Z990&gt;=3,"B",IF('Data Source'!Z990&gt;=2,"C",IF('Data Source'!Z990&gt;=1,"D","F")))))))</f>
        <v/>
      </c>
      <c r="I990" s="3">
        <f>IF('Data Source'!B990="","",IF('Data Source'!AA990&gt;=5,"A+",IF('Data Source'!AA990&gt;=4,"A",IF('Data Source'!AA990&gt;=3.5,"A-",IF('Data Source'!AA990&gt;=3,"B",IF('Data Source'!AA990&gt;=2,"C",IF('Data Source'!AA990&gt;=1,"D","F")))))))</f>
        <v/>
      </c>
      <c r="J990" s="3">
        <f>IF('Data Source'!B990="","",IF('Data Source'!AB990&gt;=5,"A+",IF('Data Source'!AB990&gt;=4,"A",IF('Data Source'!AB990&gt;=3.5,"A-",IF('Data Source'!AB990&gt;=3,"B",IF('Data Source'!AB990&gt;=2,"C",IF('Data Source'!AB990&gt;=1,"D","F")))))))</f>
        <v/>
      </c>
      <c r="K990" s="3">
        <f>IF('Data Source'!B990="","",IF('Data Source'!AC990&gt;=5,"A+",IF('Data Source'!AC990&gt;=4,"A",IF('Data Source'!AC990&gt;=3.5,"A-",IF('Data Source'!AC990&gt;=3,"B",IF('Data Source'!AC990&gt;=2,"C",IF('Data Source'!AC990&gt;=1,"D","F")))))))</f>
        <v/>
      </c>
      <c r="L990" s="3">
        <f>IF('Data Source'!B990="","",IF('Data Source'!AD990&gt;=5,"A+",IF('Data Source'!AD990&gt;=4,"A",IF('Data Source'!AD990&gt;=3.5,"A-",IF('Data Source'!AD990&gt;=3,"B",IF('Data Source'!AD990&gt;=2,"C",IF('Data Source'!AD990&gt;=1,"D","F")))))))</f>
        <v/>
      </c>
      <c r="M990" s="3">
        <f>IF('Data Source'!B990="","",IF('Data Source'!AE990&gt;=5,"A+",IF('Data Source'!AE990&gt;=4,"A",IF('Data Source'!AE990&gt;=3.5,"A-",IF('Data Source'!AE990&gt;=3,"B",IF('Data Source'!AE990&gt;=2,"C",IF('Data Source'!AE990&gt;=1,"D","F")))))))</f>
        <v/>
      </c>
      <c r="N990" s="3">
        <f>IF('Data Source'!B990="","",IF('Data Source'!AF990&gt;=5,"A+",IF('Data Source'!AF990&gt;=4,"A",IF('Data Source'!AF990&gt;=3.5,"A-",IF('Data Source'!AF990&gt;=3,"B",IF('Data Source'!AF990&gt;=2,"C",IF('Data Source'!AF990&gt;=1,"D","F")))))))</f>
        <v/>
      </c>
      <c r="O990" s="3">
        <f>IF('Data Source'!B990="","",IF('Data Source'!AG990&gt;=5,"A+",IF('Data Source'!AG990&gt;=4,"A",IF('Data Source'!AG990&gt;=3.5,"A-",IF('Data Source'!AG990&gt;=3,"B",IF('Data Source'!AG990&gt;=2,"C",IF('Data Source'!AG990&gt;=1,"D","F")))))))</f>
        <v/>
      </c>
      <c r="P990" s="5">
        <f>IF('Data Source'!B990="","",'Data Source'!R990)</f>
        <v/>
      </c>
      <c r="Q990" s="3">
        <f>IF('Data Source'!B990="","",'Data Source'!S990)</f>
        <v/>
      </c>
    </row>
    <row r="991">
      <c r="A991" s="3">
        <f>IF('Data Source'!B991="","",'Data Source'!A991)</f>
        <v/>
      </c>
      <c r="B991">
        <f>IF('Data Source'!B991="","",'Data Source'!B991)</f>
        <v/>
      </c>
      <c r="C991" s="3">
        <f>IF('Data Source'!B991="","",IF('Data Source'!U991&gt;=5,"A+",IF('Data Source'!U991&gt;=4,"A",IF('Data Source'!U991&gt;=3.5,"A-",IF('Data Source'!U991&gt;=3,"B",IF('Data Source'!U991&gt;=2,"C",IF('Data Source'!U991&gt;=1,"D","F")))))))</f>
        <v/>
      </c>
      <c r="D991" s="3">
        <f>IF('Data Source'!B991="","",IF('Data Source'!V991&gt;=5,"A+",IF('Data Source'!V991&gt;=4,"A",IF('Data Source'!V991&gt;=3.5,"A-",IF('Data Source'!V991&gt;=3,"B",IF('Data Source'!V991&gt;=2,"C",IF('Data Source'!V991&gt;=1,"D","F")))))))</f>
        <v/>
      </c>
      <c r="E991" s="3">
        <f>IF('Data Source'!B991="","",IF('Data Source'!W991&gt;=5,"A+",IF('Data Source'!W991&gt;=4,"A",IF('Data Source'!W991&gt;=3.5,"A-",IF('Data Source'!W991&gt;=3,"B",IF('Data Source'!W991&gt;=2,"C",IF('Data Source'!W991&gt;=1,"D","F")))))))</f>
        <v/>
      </c>
      <c r="F991" s="3">
        <f>IF('Data Source'!B991="","",IF('Data Source'!X991&gt;=5,"A+",IF('Data Source'!X991&gt;=4,"A",IF('Data Source'!X991&gt;=3.5,"A-",IF('Data Source'!X991&gt;=3,"B",IF('Data Source'!X991&gt;=2,"C",IF('Data Source'!X991&gt;=1,"D","F")))))))</f>
        <v/>
      </c>
      <c r="G991" s="3">
        <f>IF('Data Source'!B991="","",IF('Data Source'!Y991&gt;=5,"A+",IF('Data Source'!Y991&gt;=4,"A",IF('Data Source'!Y991&gt;=3.5,"A-",IF('Data Source'!Y991&gt;=3,"B",IF('Data Source'!Y991&gt;=2,"C",IF('Data Source'!Y991&gt;=1,"D","F")))))))</f>
        <v/>
      </c>
      <c r="H991" s="3">
        <f>IF('Data Source'!B991="","",IF('Data Source'!Z991&gt;=5,"A+",IF('Data Source'!Z991&gt;=4,"A",IF('Data Source'!Z991&gt;=3.5,"A-",IF('Data Source'!Z991&gt;=3,"B",IF('Data Source'!Z991&gt;=2,"C",IF('Data Source'!Z991&gt;=1,"D","F")))))))</f>
        <v/>
      </c>
      <c r="I991" s="3">
        <f>IF('Data Source'!B991="","",IF('Data Source'!AA991&gt;=5,"A+",IF('Data Source'!AA991&gt;=4,"A",IF('Data Source'!AA991&gt;=3.5,"A-",IF('Data Source'!AA991&gt;=3,"B",IF('Data Source'!AA991&gt;=2,"C",IF('Data Source'!AA991&gt;=1,"D","F")))))))</f>
        <v/>
      </c>
      <c r="J991" s="3">
        <f>IF('Data Source'!B991="","",IF('Data Source'!AB991&gt;=5,"A+",IF('Data Source'!AB991&gt;=4,"A",IF('Data Source'!AB991&gt;=3.5,"A-",IF('Data Source'!AB991&gt;=3,"B",IF('Data Source'!AB991&gt;=2,"C",IF('Data Source'!AB991&gt;=1,"D","F")))))))</f>
        <v/>
      </c>
      <c r="K991" s="3">
        <f>IF('Data Source'!B991="","",IF('Data Source'!AC991&gt;=5,"A+",IF('Data Source'!AC991&gt;=4,"A",IF('Data Source'!AC991&gt;=3.5,"A-",IF('Data Source'!AC991&gt;=3,"B",IF('Data Source'!AC991&gt;=2,"C",IF('Data Source'!AC991&gt;=1,"D","F")))))))</f>
        <v/>
      </c>
      <c r="L991" s="3">
        <f>IF('Data Source'!B991="","",IF('Data Source'!AD991&gt;=5,"A+",IF('Data Source'!AD991&gt;=4,"A",IF('Data Source'!AD991&gt;=3.5,"A-",IF('Data Source'!AD991&gt;=3,"B",IF('Data Source'!AD991&gt;=2,"C",IF('Data Source'!AD991&gt;=1,"D","F")))))))</f>
        <v/>
      </c>
      <c r="M991" s="3">
        <f>IF('Data Source'!B991="","",IF('Data Source'!AE991&gt;=5,"A+",IF('Data Source'!AE991&gt;=4,"A",IF('Data Source'!AE991&gt;=3.5,"A-",IF('Data Source'!AE991&gt;=3,"B",IF('Data Source'!AE991&gt;=2,"C",IF('Data Source'!AE991&gt;=1,"D","F")))))))</f>
        <v/>
      </c>
      <c r="N991" s="3">
        <f>IF('Data Source'!B991="","",IF('Data Source'!AF991&gt;=5,"A+",IF('Data Source'!AF991&gt;=4,"A",IF('Data Source'!AF991&gt;=3.5,"A-",IF('Data Source'!AF991&gt;=3,"B",IF('Data Source'!AF991&gt;=2,"C",IF('Data Source'!AF991&gt;=1,"D","F")))))))</f>
        <v/>
      </c>
      <c r="O991" s="3">
        <f>IF('Data Source'!B991="","",IF('Data Source'!AG991&gt;=5,"A+",IF('Data Source'!AG991&gt;=4,"A",IF('Data Source'!AG991&gt;=3.5,"A-",IF('Data Source'!AG991&gt;=3,"B",IF('Data Source'!AG991&gt;=2,"C",IF('Data Source'!AG991&gt;=1,"D","F")))))))</f>
        <v/>
      </c>
      <c r="P991" s="5">
        <f>IF('Data Source'!B991="","",'Data Source'!R991)</f>
        <v/>
      </c>
      <c r="Q991" s="3">
        <f>IF('Data Source'!B991="","",'Data Source'!S991)</f>
        <v/>
      </c>
    </row>
    <row r="992">
      <c r="A992" s="3">
        <f>IF('Data Source'!B992="","",'Data Source'!A992)</f>
        <v/>
      </c>
      <c r="B992">
        <f>IF('Data Source'!B992="","",'Data Source'!B992)</f>
        <v/>
      </c>
      <c r="C992" s="3">
        <f>IF('Data Source'!B992="","",IF('Data Source'!U992&gt;=5,"A+",IF('Data Source'!U992&gt;=4,"A",IF('Data Source'!U992&gt;=3.5,"A-",IF('Data Source'!U992&gt;=3,"B",IF('Data Source'!U992&gt;=2,"C",IF('Data Source'!U992&gt;=1,"D","F")))))))</f>
        <v/>
      </c>
      <c r="D992" s="3">
        <f>IF('Data Source'!B992="","",IF('Data Source'!V992&gt;=5,"A+",IF('Data Source'!V992&gt;=4,"A",IF('Data Source'!V992&gt;=3.5,"A-",IF('Data Source'!V992&gt;=3,"B",IF('Data Source'!V992&gt;=2,"C",IF('Data Source'!V992&gt;=1,"D","F")))))))</f>
        <v/>
      </c>
      <c r="E992" s="3">
        <f>IF('Data Source'!B992="","",IF('Data Source'!W992&gt;=5,"A+",IF('Data Source'!W992&gt;=4,"A",IF('Data Source'!W992&gt;=3.5,"A-",IF('Data Source'!W992&gt;=3,"B",IF('Data Source'!W992&gt;=2,"C",IF('Data Source'!W992&gt;=1,"D","F")))))))</f>
        <v/>
      </c>
      <c r="F992" s="3">
        <f>IF('Data Source'!B992="","",IF('Data Source'!X992&gt;=5,"A+",IF('Data Source'!X992&gt;=4,"A",IF('Data Source'!X992&gt;=3.5,"A-",IF('Data Source'!X992&gt;=3,"B",IF('Data Source'!X992&gt;=2,"C",IF('Data Source'!X992&gt;=1,"D","F")))))))</f>
        <v/>
      </c>
      <c r="G992" s="3">
        <f>IF('Data Source'!B992="","",IF('Data Source'!Y992&gt;=5,"A+",IF('Data Source'!Y992&gt;=4,"A",IF('Data Source'!Y992&gt;=3.5,"A-",IF('Data Source'!Y992&gt;=3,"B",IF('Data Source'!Y992&gt;=2,"C",IF('Data Source'!Y992&gt;=1,"D","F")))))))</f>
        <v/>
      </c>
      <c r="H992" s="3">
        <f>IF('Data Source'!B992="","",IF('Data Source'!Z992&gt;=5,"A+",IF('Data Source'!Z992&gt;=4,"A",IF('Data Source'!Z992&gt;=3.5,"A-",IF('Data Source'!Z992&gt;=3,"B",IF('Data Source'!Z992&gt;=2,"C",IF('Data Source'!Z992&gt;=1,"D","F")))))))</f>
        <v/>
      </c>
      <c r="I992" s="3">
        <f>IF('Data Source'!B992="","",IF('Data Source'!AA992&gt;=5,"A+",IF('Data Source'!AA992&gt;=4,"A",IF('Data Source'!AA992&gt;=3.5,"A-",IF('Data Source'!AA992&gt;=3,"B",IF('Data Source'!AA992&gt;=2,"C",IF('Data Source'!AA992&gt;=1,"D","F")))))))</f>
        <v/>
      </c>
      <c r="J992" s="3">
        <f>IF('Data Source'!B992="","",IF('Data Source'!AB992&gt;=5,"A+",IF('Data Source'!AB992&gt;=4,"A",IF('Data Source'!AB992&gt;=3.5,"A-",IF('Data Source'!AB992&gt;=3,"B",IF('Data Source'!AB992&gt;=2,"C",IF('Data Source'!AB992&gt;=1,"D","F")))))))</f>
        <v/>
      </c>
      <c r="K992" s="3">
        <f>IF('Data Source'!B992="","",IF('Data Source'!AC992&gt;=5,"A+",IF('Data Source'!AC992&gt;=4,"A",IF('Data Source'!AC992&gt;=3.5,"A-",IF('Data Source'!AC992&gt;=3,"B",IF('Data Source'!AC992&gt;=2,"C",IF('Data Source'!AC992&gt;=1,"D","F")))))))</f>
        <v/>
      </c>
      <c r="L992" s="3">
        <f>IF('Data Source'!B992="","",IF('Data Source'!AD992&gt;=5,"A+",IF('Data Source'!AD992&gt;=4,"A",IF('Data Source'!AD992&gt;=3.5,"A-",IF('Data Source'!AD992&gt;=3,"B",IF('Data Source'!AD992&gt;=2,"C",IF('Data Source'!AD992&gt;=1,"D","F")))))))</f>
        <v/>
      </c>
      <c r="M992" s="3">
        <f>IF('Data Source'!B992="","",IF('Data Source'!AE992&gt;=5,"A+",IF('Data Source'!AE992&gt;=4,"A",IF('Data Source'!AE992&gt;=3.5,"A-",IF('Data Source'!AE992&gt;=3,"B",IF('Data Source'!AE992&gt;=2,"C",IF('Data Source'!AE992&gt;=1,"D","F")))))))</f>
        <v/>
      </c>
      <c r="N992" s="3">
        <f>IF('Data Source'!B992="","",IF('Data Source'!AF992&gt;=5,"A+",IF('Data Source'!AF992&gt;=4,"A",IF('Data Source'!AF992&gt;=3.5,"A-",IF('Data Source'!AF992&gt;=3,"B",IF('Data Source'!AF992&gt;=2,"C",IF('Data Source'!AF992&gt;=1,"D","F")))))))</f>
        <v/>
      </c>
      <c r="O992" s="3">
        <f>IF('Data Source'!B992="","",IF('Data Source'!AG992&gt;=5,"A+",IF('Data Source'!AG992&gt;=4,"A",IF('Data Source'!AG992&gt;=3.5,"A-",IF('Data Source'!AG992&gt;=3,"B",IF('Data Source'!AG992&gt;=2,"C",IF('Data Source'!AG992&gt;=1,"D","F")))))))</f>
        <v/>
      </c>
      <c r="P992" s="5">
        <f>IF('Data Source'!B992="","",'Data Source'!R992)</f>
        <v/>
      </c>
      <c r="Q992" s="3">
        <f>IF('Data Source'!B992="","",'Data Source'!S992)</f>
        <v/>
      </c>
    </row>
    <row r="993">
      <c r="A993" s="3">
        <f>IF('Data Source'!B993="","",'Data Source'!A993)</f>
        <v/>
      </c>
      <c r="B993">
        <f>IF('Data Source'!B993="","",'Data Source'!B993)</f>
        <v/>
      </c>
      <c r="C993" s="3">
        <f>IF('Data Source'!B993="","",IF('Data Source'!U993&gt;=5,"A+",IF('Data Source'!U993&gt;=4,"A",IF('Data Source'!U993&gt;=3.5,"A-",IF('Data Source'!U993&gt;=3,"B",IF('Data Source'!U993&gt;=2,"C",IF('Data Source'!U993&gt;=1,"D","F")))))))</f>
        <v/>
      </c>
      <c r="D993" s="3">
        <f>IF('Data Source'!B993="","",IF('Data Source'!V993&gt;=5,"A+",IF('Data Source'!V993&gt;=4,"A",IF('Data Source'!V993&gt;=3.5,"A-",IF('Data Source'!V993&gt;=3,"B",IF('Data Source'!V993&gt;=2,"C",IF('Data Source'!V993&gt;=1,"D","F")))))))</f>
        <v/>
      </c>
      <c r="E993" s="3">
        <f>IF('Data Source'!B993="","",IF('Data Source'!W993&gt;=5,"A+",IF('Data Source'!W993&gt;=4,"A",IF('Data Source'!W993&gt;=3.5,"A-",IF('Data Source'!W993&gt;=3,"B",IF('Data Source'!W993&gt;=2,"C",IF('Data Source'!W993&gt;=1,"D","F")))))))</f>
        <v/>
      </c>
      <c r="F993" s="3">
        <f>IF('Data Source'!B993="","",IF('Data Source'!X993&gt;=5,"A+",IF('Data Source'!X993&gt;=4,"A",IF('Data Source'!X993&gt;=3.5,"A-",IF('Data Source'!X993&gt;=3,"B",IF('Data Source'!X993&gt;=2,"C",IF('Data Source'!X993&gt;=1,"D","F")))))))</f>
        <v/>
      </c>
      <c r="G993" s="3">
        <f>IF('Data Source'!B993="","",IF('Data Source'!Y993&gt;=5,"A+",IF('Data Source'!Y993&gt;=4,"A",IF('Data Source'!Y993&gt;=3.5,"A-",IF('Data Source'!Y993&gt;=3,"B",IF('Data Source'!Y993&gt;=2,"C",IF('Data Source'!Y993&gt;=1,"D","F")))))))</f>
        <v/>
      </c>
      <c r="H993" s="3">
        <f>IF('Data Source'!B993="","",IF('Data Source'!Z993&gt;=5,"A+",IF('Data Source'!Z993&gt;=4,"A",IF('Data Source'!Z993&gt;=3.5,"A-",IF('Data Source'!Z993&gt;=3,"B",IF('Data Source'!Z993&gt;=2,"C",IF('Data Source'!Z993&gt;=1,"D","F")))))))</f>
        <v/>
      </c>
      <c r="I993" s="3">
        <f>IF('Data Source'!B993="","",IF('Data Source'!AA993&gt;=5,"A+",IF('Data Source'!AA993&gt;=4,"A",IF('Data Source'!AA993&gt;=3.5,"A-",IF('Data Source'!AA993&gt;=3,"B",IF('Data Source'!AA993&gt;=2,"C",IF('Data Source'!AA993&gt;=1,"D","F")))))))</f>
        <v/>
      </c>
      <c r="J993" s="3">
        <f>IF('Data Source'!B993="","",IF('Data Source'!AB993&gt;=5,"A+",IF('Data Source'!AB993&gt;=4,"A",IF('Data Source'!AB993&gt;=3.5,"A-",IF('Data Source'!AB993&gt;=3,"B",IF('Data Source'!AB993&gt;=2,"C",IF('Data Source'!AB993&gt;=1,"D","F")))))))</f>
        <v/>
      </c>
      <c r="K993" s="3">
        <f>IF('Data Source'!B993="","",IF('Data Source'!AC993&gt;=5,"A+",IF('Data Source'!AC993&gt;=4,"A",IF('Data Source'!AC993&gt;=3.5,"A-",IF('Data Source'!AC993&gt;=3,"B",IF('Data Source'!AC993&gt;=2,"C",IF('Data Source'!AC993&gt;=1,"D","F")))))))</f>
        <v/>
      </c>
      <c r="L993" s="3">
        <f>IF('Data Source'!B993="","",IF('Data Source'!AD993&gt;=5,"A+",IF('Data Source'!AD993&gt;=4,"A",IF('Data Source'!AD993&gt;=3.5,"A-",IF('Data Source'!AD993&gt;=3,"B",IF('Data Source'!AD993&gt;=2,"C",IF('Data Source'!AD993&gt;=1,"D","F")))))))</f>
        <v/>
      </c>
      <c r="M993" s="3">
        <f>IF('Data Source'!B993="","",IF('Data Source'!AE993&gt;=5,"A+",IF('Data Source'!AE993&gt;=4,"A",IF('Data Source'!AE993&gt;=3.5,"A-",IF('Data Source'!AE993&gt;=3,"B",IF('Data Source'!AE993&gt;=2,"C",IF('Data Source'!AE993&gt;=1,"D","F")))))))</f>
        <v/>
      </c>
      <c r="N993" s="3">
        <f>IF('Data Source'!B993="","",IF('Data Source'!AF993&gt;=5,"A+",IF('Data Source'!AF993&gt;=4,"A",IF('Data Source'!AF993&gt;=3.5,"A-",IF('Data Source'!AF993&gt;=3,"B",IF('Data Source'!AF993&gt;=2,"C",IF('Data Source'!AF993&gt;=1,"D","F")))))))</f>
        <v/>
      </c>
      <c r="O993" s="3">
        <f>IF('Data Source'!B993="","",IF('Data Source'!AG993&gt;=5,"A+",IF('Data Source'!AG993&gt;=4,"A",IF('Data Source'!AG993&gt;=3.5,"A-",IF('Data Source'!AG993&gt;=3,"B",IF('Data Source'!AG993&gt;=2,"C",IF('Data Source'!AG993&gt;=1,"D","F")))))))</f>
        <v/>
      </c>
      <c r="P993" s="5">
        <f>IF('Data Source'!B993="","",'Data Source'!R993)</f>
        <v/>
      </c>
      <c r="Q993" s="3">
        <f>IF('Data Source'!B993="","",'Data Source'!S993)</f>
        <v/>
      </c>
    </row>
    <row r="994">
      <c r="A994" s="3">
        <f>IF('Data Source'!B994="","",'Data Source'!A994)</f>
        <v/>
      </c>
      <c r="B994">
        <f>IF('Data Source'!B994="","",'Data Source'!B994)</f>
        <v/>
      </c>
      <c r="C994" s="3">
        <f>IF('Data Source'!B994="","",IF('Data Source'!U994&gt;=5,"A+",IF('Data Source'!U994&gt;=4,"A",IF('Data Source'!U994&gt;=3.5,"A-",IF('Data Source'!U994&gt;=3,"B",IF('Data Source'!U994&gt;=2,"C",IF('Data Source'!U994&gt;=1,"D","F")))))))</f>
        <v/>
      </c>
      <c r="D994" s="3">
        <f>IF('Data Source'!B994="","",IF('Data Source'!V994&gt;=5,"A+",IF('Data Source'!V994&gt;=4,"A",IF('Data Source'!V994&gt;=3.5,"A-",IF('Data Source'!V994&gt;=3,"B",IF('Data Source'!V994&gt;=2,"C",IF('Data Source'!V994&gt;=1,"D","F")))))))</f>
        <v/>
      </c>
      <c r="E994" s="3">
        <f>IF('Data Source'!B994="","",IF('Data Source'!W994&gt;=5,"A+",IF('Data Source'!W994&gt;=4,"A",IF('Data Source'!W994&gt;=3.5,"A-",IF('Data Source'!W994&gt;=3,"B",IF('Data Source'!W994&gt;=2,"C",IF('Data Source'!W994&gt;=1,"D","F")))))))</f>
        <v/>
      </c>
      <c r="F994" s="3">
        <f>IF('Data Source'!B994="","",IF('Data Source'!X994&gt;=5,"A+",IF('Data Source'!X994&gt;=4,"A",IF('Data Source'!X994&gt;=3.5,"A-",IF('Data Source'!X994&gt;=3,"B",IF('Data Source'!X994&gt;=2,"C",IF('Data Source'!X994&gt;=1,"D","F")))))))</f>
        <v/>
      </c>
      <c r="G994" s="3">
        <f>IF('Data Source'!B994="","",IF('Data Source'!Y994&gt;=5,"A+",IF('Data Source'!Y994&gt;=4,"A",IF('Data Source'!Y994&gt;=3.5,"A-",IF('Data Source'!Y994&gt;=3,"B",IF('Data Source'!Y994&gt;=2,"C",IF('Data Source'!Y994&gt;=1,"D","F")))))))</f>
        <v/>
      </c>
      <c r="H994" s="3">
        <f>IF('Data Source'!B994="","",IF('Data Source'!Z994&gt;=5,"A+",IF('Data Source'!Z994&gt;=4,"A",IF('Data Source'!Z994&gt;=3.5,"A-",IF('Data Source'!Z994&gt;=3,"B",IF('Data Source'!Z994&gt;=2,"C",IF('Data Source'!Z994&gt;=1,"D","F")))))))</f>
        <v/>
      </c>
      <c r="I994" s="3">
        <f>IF('Data Source'!B994="","",IF('Data Source'!AA994&gt;=5,"A+",IF('Data Source'!AA994&gt;=4,"A",IF('Data Source'!AA994&gt;=3.5,"A-",IF('Data Source'!AA994&gt;=3,"B",IF('Data Source'!AA994&gt;=2,"C",IF('Data Source'!AA994&gt;=1,"D","F")))))))</f>
        <v/>
      </c>
      <c r="J994" s="3">
        <f>IF('Data Source'!B994="","",IF('Data Source'!AB994&gt;=5,"A+",IF('Data Source'!AB994&gt;=4,"A",IF('Data Source'!AB994&gt;=3.5,"A-",IF('Data Source'!AB994&gt;=3,"B",IF('Data Source'!AB994&gt;=2,"C",IF('Data Source'!AB994&gt;=1,"D","F")))))))</f>
        <v/>
      </c>
      <c r="K994" s="3">
        <f>IF('Data Source'!B994="","",IF('Data Source'!AC994&gt;=5,"A+",IF('Data Source'!AC994&gt;=4,"A",IF('Data Source'!AC994&gt;=3.5,"A-",IF('Data Source'!AC994&gt;=3,"B",IF('Data Source'!AC994&gt;=2,"C",IF('Data Source'!AC994&gt;=1,"D","F")))))))</f>
        <v/>
      </c>
      <c r="L994" s="3">
        <f>IF('Data Source'!B994="","",IF('Data Source'!AD994&gt;=5,"A+",IF('Data Source'!AD994&gt;=4,"A",IF('Data Source'!AD994&gt;=3.5,"A-",IF('Data Source'!AD994&gt;=3,"B",IF('Data Source'!AD994&gt;=2,"C",IF('Data Source'!AD994&gt;=1,"D","F")))))))</f>
        <v/>
      </c>
      <c r="M994" s="3">
        <f>IF('Data Source'!B994="","",IF('Data Source'!AE994&gt;=5,"A+",IF('Data Source'!AE994&gt;=4,"A",IF('Data Source'!AE994&gt;=3.5,"A-",IF('Data Source'!AE994&gt;=3,"B",IF('Data Source'!AE994&gt;=2,"C",IF('Data Source'!AE994&gt;=1,"D","F")))))))</f>
        <v/>
      </c>
      <c r="N994" s="3">
        <f>IF('Data Source'!B994="","",IF('Data Source'!AF994&gt;=5,"A+",IF('Data Source'!AF994&gt;=4,"A",IF('Data Source'!AF994&gt;=3.5,"A-",IF('Data Source'!AF994&gt;=3,"B",IF('Data Source'!AF994&gt;=2,"C",IF('Data Source'!AF994&gt;=1,"D","F")))))))</f>
        <v/>
      </c>
      <c r="O994" s="3">
        <f>IF('Data Source'!B994="","",IF('Data Source'!AG994&gt;=5,"A+",IF('Data Source'!AG994&gt;=4,"A",IF('Data Source'!AG994&gt;=3.5,"A-",IF('Data Source'!AG994&gt;=3,"B",IF('Data Source'!AG994&gt;=2,"C",IF('Data Source'!AG994&gt;=1,"D","F")))))))</f>
        <v/>
      </c>
      <c r="P994" s="5">
        <f>IF('Data Source'!B994="","",'Data Source'!R994)</f>
        <v/>
      </c>
      <c r="Q994" s="3">
        <f>IF('Data Source'!B994="","",'Data Source'!S994)</f>
        <v/>
      </c>
    </row>
    <row r="995">
      <c r="A995" s="3">
        <f>IF('Data Source'!B995="","",'Data Source'!A995)</f>
        <v/>
      </c>
      <c r="B995">
        <f>IF('Data Source'!B995="","",'Data Source'!B995)</f>
        <v/>
      </c>
      <c r="C995" s="3">
        <f>IF('Data Source'!B995="","",IF('Data Source'!U995&gt;=5,"A+",IF('Data Source'!U995&gt;=4,"A",IF('Data Source'!U995&gt;=3.5,"A-",IF('Data Source'!U995&gt;=3,"B",IF('Data Source'!U995&gt;=2,"C",IF('Data Source'!U995&gt;=1,"D","F")))))))</f>
        <v/>
      </c>
      <c r="D995" s="3">
        <f>IF('Data Source'!B995="","",IF('Data Source'!V995&gt;=5,"A+",IF('Data Source'!V995&gt;=4,"A",IF('Data Source'!V995&gt;=3.5,"A-",IF('Data Source'!V995&gt;=3,"B",IF('Data Source'!V995&gt;=2,"C",IF('Data Source'!V995&gt;=1,"D","F")))))))</f>
        <v/>
      </c>
      <c r="E995" s="3">
        <f>IF('Data Source'!B995="","",IF('Data Source'!W995&gt;=5,"A+",IF('Data Source'!W995&gt;=4,"A",IF('Data Source'!W995&gt;=3.5,"A-",IF('Data Source'!W995&gt;=3,"B",IF('Data Source'!W995&gt;=2,"C",IF('Data Source'!W995&gt;=1,"D","F")))))))</f>
        <v/>
      </c>
      <c r="F995" s="3">
        <f>IF('Data Source'!B995="","",IF('Data Source'!X995&gt;=5,"A+",IF('Data Source'!X995&gt;=4,"A",IF('Data Source'!X995&gt;=3.5,"A-",IF('Data Source'!X995&gt;=3,"B",IF('Data Source'!X995&gt;=2,"C",IF('Data Source'!X995&gt;=1,"D","F")))))))</f>
        <v/>
      </c>
      <c r="G995" s="3">
        <f>IF('Data Source'!B995="","",IF('Data Source'!Y995&gt;=5,"A+",IF('Data Source'!Y995&gt;=4,"A",IF('Data Source'!Y995&gt;=3.5,"A-",IF('Data Source'!Y995&gt;=3,"B",IF('Data Source'!Y995&gt;=2,"C",IF('Data Source'!Y995&gt;=1,"D","F")))))))</f>
        <v/>
      </c>
      <c r="H995" s="3">
        <f>IF('Data Source'!B995="","",IF('Data Source'!Z995&gt;=5,"A+",IF('Data Source'!Z995&gt;=4,"A",IF('Data Source'!Z995&gt;=3.5,"A-",IF('Data Source'!Z995&gt;=3,"B",IF('Data Source'!Z995&gt;=2,"C",IF('Data Source'!Z995&gt;=1,"D","F")))))))</f>
        <v/>
      </c>
      <c r="I995" s="3">
        <f>IF('Data Source'!B995="","",IF('Data Source'!AA995&gt;=5,"A+",IF('Data Source'!AA995&gt;=4,"A",IF('Data Source'!AA995&gt;=3.5,"A-",IF('Data Source'!AA995&gt;=3,"B",IF('Data Source'!AA995&gt;=2,"C",IF('Data Source'!AA995&gt;=1,"D","F")))))))</f>
        <v/>
      </c>
      <c r="J995" s="3">
        <f>IF('Data Source'!B995="","",IF('Data Source'!AB995&gt;=5,"A+",IF('Data Source'!AB995&gt;=4,"A",IF('Data Source'!AB995&gt;=3.5,"A-",IF('Data Source'!AB995&gt;=3,"B",IF('Data Source'!AB995&gt;=2,"C",IF('Data Source'!AB995&gt;=1,"D","F")))))))</f>
        <v/>
      </c>
      <c r="K995" s="3">
        <f>IF('Data Source'!B995="","",IF('Data Source'!AC995&gt;=5,"A+",IF('Data Source'!AC995&gt;=4,"A",IF('Data Source'!AC995&gt;=3.5,"A-",IF('Data Source'!AC995&gt;=3,"B",IF('Data Source'!AC995&gt;=2,"C",IF('Data Source'!AC995&gt;=1,"D","F")))))))</f>
        <v/>
      </c>
      <c r="L995" s="3">
        <f>IF('Data Source'!B995="","",IF('Data Source'!AD995&gt;=5,"A+",IF('Data Source'!AD995&gt;=4,"A",IF('Data Source'!AD995&gt;=3.5,"A-",IF('Data Source'!AD995&gt;=3,"B",IF('Data Source'!AD995&gt;=2,"C",IF('Data Source'!AD995&gt;=1,"D","F")))))))</f>
        <v/>
      </c>
      <c r="M995" s="3">
        <f>IF('Data Source'!B995="","",IF('Data Source'!AE995&gt;=5,"A+",IF('Data Source'!AE995&gt;=4,"A",IF('Data Source'!AE995&gt;=3.5,"A-",IF('Data Source'!AE995&gt;=3,"B",IF('Data Source'!AE995&gt;=2,"C",IF('Data Source'!AE995&gt;=1,"D","F")))))))</f>
        <v/>
      </c>
      <c r="N995" s="3">
        <f>IF('Data Source'!B995="","",IF('Data Source'!AF995&gt;=5,"A+",IF('Data Source'!AF995&gt;=4,"A",IF('Data Source'!AF995&gt;=3.5,"A-",IF('Data Source'!AF995&gt;=3,"B",IF('Data Source'!AF995&gt;=2,"C",IF('Data Source'!AF995&gt;=1,"D","F")))))))</f>
        <v/>
      </c>
      <c r="O995" s="3">
        <f>IF('Data Source'!B995="","",IF('Data Source'!AG995&gt;=5,"A+",IF('Data Source'!AG995&gt;=4,"A",IF('Data Source'!AG995&gt;=3.5,"A-",IF('Data Source'!AG995&gt;=3,"B",IF('Data Source'!AG995&gt;=2,"C",IF('Data Source'!AG995&gt;=1,"D","F")))))))</f>
        <v/>
      </c>
      <c r="P995" s="5">
        <f>IF('Data Source'!B995="","",'Data Source'!R995)</f>
        <v/>
      </c>
      <c r="Q995" s="3">
        <f>IF('Data Source'!B995="","",'Data Source'!S995)</f>
        <v/>
      </c>
    </row>
    <row r="996">
      <c r="A996" s="3">
        <f>IF('Data Source'!B996="","",'Data Source'!A996)</f>
        <v/>
      </c>
      <c r="B996">
        <f>IF('Data Source'!B996="","",'Data Source'!B996)</f>
        <v/>
      </c>
      <c r="C996" s="3">
        <f>IF('Data Source'!B996="","",IF('Data Source'!U996&gt;=5,"A+",IF('Data Source'!U996&gt;=4,"A",IF('Data Source'!U996&gt;=3.5,"A-",IF('Data Source'!U996&gt;=3,"B",IF('Data Source'!U996&gt;=2,"C",IF('Data Source'!U996&gt;=1,"D","F")))))))</f>
        <v/>
      </c>
      <c r="D996" s="3">
        <f>IF('Data Source'!B996="","",IF('Data Source'!V996&gt;=5,"A+",IF('Data Source'!V996&gt;=4,"A",IF('Data Source'!V996&gt;=3.5,"A-",IF('Data Source'!V996&gt;=3,"B",IF('Data Source'!V996&gt;=2,"C",IF('Data Source'!V996&gt;=1,"D","F")))))))</f>
        <v/>
      </c>
      <c r="E996" s="3">
        <f>IF('Data Source'!B996="","",IF('Data Source'!W996&gt;=5,"A+",IF('Data Source'!W996&gt;=4,"A",IF('Data Source'!W996&gt;=3.5,"A-",IF('Data Source'!W996&gt;=3,"B",IF('Data Source'!W996&gt;=2,"C",IF('Data Source'!W996&gt;=1,"D","F")))))))</f>
        <v/>
      </c>
      <c r="F996" s="3">
        <f>IF('Data Source'!B996="","",IF('Data Source'!X996&gt;=5,"A+",IF('Data Source'!X996&gt;=4,"A",IF('Data Source'!X996&gt;=3.5,"A-",IF('Data Source'!X996&gt;=3,"B",IF('Data Source'!X996&gt;=2,"C",IF('Data Source'!X996&gt;=1,"D","F")))))))</f>
        <v/>
      </c>
      <c r="G996" s="3">
        <f>IF('Data Source'!B996="","",IF('Data Source'!Y996&gt;=5,"A+",IF('Data Source'!Y996&gt;=4,"A",IF('Data Source'!Y996&gt;=3.5,"A-",IF('Data Source'!Y996&gt;=3,"B",IF('Data Source'!Y996&gt;=2,"C",IF('Data Source'!Y996&gt;=1,"D","F")))))))</f>
        <v/>
      </c>
      <c r="H996" s="3">
        <f>IF('Data Source'!B996="","",IF('Data Source'!Z996&gt;=5,"A+",IF('Data Source'!Z996&gt;=4,"A",IF('Data Source'!Z996&gt;=3.5,"A-",IF('Data Source'!Z996&gt;=3,"B",IF('Data Source'!Z996&gt;=2,"C",IF('Data Source'!Z996&gt;=1,"D","F")))))))</f>
        <v/>
      </c>
      <c r="I996" s="3">
        <f>IF('Data Source'!B996="","",IF('Data Source'!AA996&gt;=5,"A+",IF('Data Source'!AA996&gt;=4,"A",IF('Data Source'!AA996&gt;=3.5,"A-",IF('Data Source'!AA996&gt;=3,"B",IF('Data Source'!AA996&gt;=2,"C",IF('Data Source'!AA996&gt;=1,"D","F")))))))</f>
        <v/>
      </c>
      <c r="J996" s="3">
        <f>IF('Data Source'!B996="","",IF('Data Source'!AB996&gt;=5,"A+",IF('Data Source'!AB996&gt;=4,"A",IF('Data Source'!AB996&gt;=3.5,"A-",IF('Data Source'!AB996&gt;=3,"B",IF('Data Source'!AB996&gt;=2,"C",IF('Data Source'!AB996&gt;=1,"D","F")))))))</f>
        <v/>
      </c>
      <c r="K996" s="3">
        <f>IF('Data Source'!B996="","",IF('Data Source'!AC996&gt;=5,"A+",IF('Data Source'!AC996&gt;=4,"A",IF('Data Source'!AC996&gt;=3.5,"A-",IF('Data Source'!AC996&gt;=3,"B",IF('Data Source'!AC996&gt;=2,"C",IF('Data Source'!AC996&gt;=1,"D","F")))))))</f>
        <v/>
      </c>
      <c r="L996" s="3">
        <f>IF('Data Source'!B996="","",IF('Data Source'!AD996&gt;=5,"A+",IF('Data Source'!AD996&gt;=4,"A",IF('Data Source'!AD996&gt;=3.5,"A-",IF('Data Source'!AD996&gt;=3,"B",IF('Data Source'!AD996&gt;=2,"C",IF('Data Source'!AD996&gt;=1,"D","F")))))))</f>
        <v/>
      </c>
      <c r="M996" s="3">
        <f>IF('Data Source'!B996="","",IF('Data Source'!AE996&gt;=5,"A+",IF('Data Source'!AE996&gt;=4,"A",IF('Data Source'!AE996&gt;=3.5,"A-",IF('Data Source'!AE996&gt;=3,"B",IF('Data Source'!AE996&gt;=2,"C",IF('Data Source'!AE996&gt;=1,"D","F")))))))</f>
        <v/>
      </c>
      <c r="N996" s="3">
        <f>IF('Data Source'!B996="","",IF('Data Source'!AF996&gt;=5,"A+",IF('Data Source'!AF996&gt;=4,"A",IF('Data Source'!AF996&gt;=3.5,"A-",IF('Data Source'!AF996&gt;=3,"B",IF('Data Source'!AF996&gt;=2,"C",IF('Data Source'!AF996&gt;=1,"D","F")))))))</f>
        <v/>
      </c>
      <c r="O996" s="3">
        <f>IF('Data Source'!B996="","",IF('Data Source'!AG996&gt;=5,"A+",IF('Data Source'!AG996&gt;=4,"A",IF('Data Source'!AG996&gt;=3.5,"A-",IF('Data Source'!AG996&gt;=3,"B",IF('Data Source'!AG996&gt;=2,"C",IF('Data Source'!AG996&gt;=1,"D","F")))))))</f>
        <v/>
      </c>
      <c r="P996" s="5">
        <f>IF('Data Source'!B996="","",'Data Source'!R996)</f>
        <v/>
      </c>
      <c r="Q996" s="3">
        <f>IF('Data Source'!B996="","",'Data Source'!S996)</f>
        <v/>
      </c>
    </row>
    <row r="997">
      <c r="A997" s="3">
        <f>IF('Data Source'!B997="","",'Data Source'!A997)</f>
        <v/>
      </c>
      <c r="B997">
        <f>IF('Data Source'!B997="","",'Data Source'!B997)</f>
        <v/>
      </c>
      <c r="C997" s="3">
        <f>IF('Data Source'!B997="","",IF('Data Source'!U997&gt;=5,"A+",IF('Data Source'!U997&gt;=4,"A",IF('Data Source'!U997&gt;=3.5,"A-",IF('Data Source'!U997&gt;=3,"B",IF('Data Source'!U997&gt;=2,"C",IF('Data Source'!U997&gt;=1,"D","F")))))))</f>
        <v/>
      </c>
      <c r="D997" s="3">
        <f>IF('Data Source'!B997="","",IF('Data Source'!V997&gt;=5,"A+",IF('Data Source'!V997&gt;=4,"A",IF('Data Source'!V997&gt;=3.5,"A-",IF('Data Source'!V997&gt;=3,"B",IF('Data Source'!V997&gt;=2,"C",IF('Data Source'!V997&gt;=1,"D","F")))))))</f>
        <v/>
      </c>
      <c r="E997" s="3">
        <f>IF('Data Source'!B997="","",IF('Data Source'!W997&gt;=5,"A+",IF('Data Source'!W997&gt;=4,"A",IF('Data Source'!W997&gt;=3.5,"A-",IF('Data Source'!W997&gt;=3,"B",IF('Data Source'!W997&gt;=2,"C",IF('Data Source'!W997&gt;=1,"D","F")))))))</f>
        <v/>
      </c>
      <c r="F997" s="3">
        <f>IF('Data Source'!B997="","",IF('Data Source'!X997&gt;=5,"A+",IF('Data Source'!X997&gt;=4,"A",IF('Data Source'!X997&gt;=3.5,"A-",IF('Data Source'!X997&gt;=3,"B",IF('Data Source'!X997&gt;=2,"C",IF('Data Source'!X997&gt;=1,"D","F")))))))</f>
        <v/>
      </c>
      <c r="G997" s="3">
        <f>IF('Data Source'!B997="","",IF('Data Source'!Y997&gt;=5,"A+",IF('Data Source'!Y997&gt;=4,"A",IF('Data Source'!Y997&gt;=3.5,"A-",IF('Data Source'!Y997&gt;=3,"B",IF('Data Source'!Y997&gt;=2,"C",IF('Data Source'!Y997&gt;=1,"D","F")))))))</f>
        <v/>
      </c>
      <c r="H997" s="3">
        <f>IF('Data Source'!B997="","",IF('Data Source'!Z997&gt;=5,"A+",IF('Data Source'!Z997&gt;=4,"A",IF('Data Source'!Z997&gt;=3.5,"A-",IF('Data Source'!Z997&gt;=3,"B",IF('Data Source'!Z997&gt;=2,"C",IF('Data Source'!Z997&gt;=1,"D","F")))))))</f>
        <v/>
      </c>
      <c r="I997" s="3">
        <f>IF('Data Source'!B997="","",IF('Data Source'!AA997&gt;=5,"A+",IF('Data Source'!AA997&gt;=4,"A",IF('Data Source'!AA997&gt;=3.5,"A-",IF('Data Source'!AA997&gt;=3,"B",IF('Data Source'!AA997&gt;=2,"C",IF('Data Source'!AA997&gt;=1,"D","F")))))))</f>
        <v/>
      </c>
      <c r="J997" s="3">
        <f>IF('Data Source'!B997="","",IF('Data Source'!AB997&gt;=5,"A+",IF('Data Source'!AB997&gt;=4,"A",IF('Data Source'!AB997&gt;=3.5,"A-",IF('Data Source'!AB997&gt;=3,"B",IF('Data Source'!AB997&gt;=2,"C",IF('Data Source'!AB997&gt;=1,"D","F")))))))</f>
        <v/>
      </c>
      <c r="K997" s="3">
        <f>IF('Data Source'!B997="","",IF('Data Source'!AC997&gt;=5,"A+",IF('Data Source'!AC997&gt;=4,"A",IF('Data Source'!AC997&gt;=3.5,"A-",IF('Data Source'!AC997&gt;=3,"B",IF('Data Source'!AC997&gt;=2,"C",IF('Data Source'!AC997&gt;=1,"D","F")))))))</f>
        <v/>
      </c>
      <c r="L997" s="3">
        <f>IF('Data Source'!B997="","",IF('Data Source'!AD997&gt;=5,"A+",IF('Data Source'!AD997&gt;=4,"A",IF('Data Source'!AD997&gt;=3.5,"A-",IF('Data Source'!AD997&gt;=3,"B",IF('Data Source'!AD997&gt;=2,"C",IF('Data Source'!AD997&gt;=1,"D","F")))))))</f>
        <v/>
      </c>
      <c r="M997" s="3">
        <f>IF('Data Source'!B997="","",IF('Data Source'!AE997&gt;=5,"A+",IF('Data Source'!AE997&gt;=4,"A",IF('Data Source'!AE997&gt;=3.5,"A-",IF('Data Source'!AE997&gt;=3,"B",IF('Data Source'!AE997&gt;=2,"C",IF('Data Source'!AE997&gt;=1,"D","F")))))))</f>
        <v/>
      </c>
      <c r="N997" s="3">
        <f>IF('Data Source'!B997="","",IF('Data Source'!AF997&gt;=5,"A+",IF('Data Source'!AF997&gt;=4,"A",IF('Data Source'!AF997&gt;=3.5,"A-",IF('Data Source'!AF997&gt;=3,"B",IF('Data Source'!AF997&gt;=2,"C",IF('Data Source'!AF997&gt;=1,"D","F")))))))</f>
        <v/>
      </c>
      <c r="O997" s="3">
        <f>IF('Data Source'!B997="","",IF('Data Source'!AG997&gt;=5,"A+",IF('Data Source'!AG997&gt;=4,"A",IF('Data Source'!AG997&gt;=3.5,"A-",IF('Data Source'!AG997&gt;=3,"B",IF('Data Source'!AG997&gt;=2,"C",IF('Data Source'!AG997&gt;=1,"D","F")))))))</f>
        <v/>
      </c>
      <c r="P997" s="5">
        <f>IF('Data Source'!B997="","",'Data Source'!R997)</f>
        <v/>
      </c>
      <c r="Q997" s="3">
        <f>IF('Data Source'!B997="","",'Data Source'!S997)</f>
        <v/>
      </c>
    </row>
    <row r="998">
      <c r="A998" s="3">
        <f>IF('Data Source'!B998="","",'Data Source'!A998)</f>
        <v/>
      </c>
      <c r="B998">
        <f>IF('Data Source'!B998="","",'Data Source'!B998)</f>
        <v/>
      </c>
      <c r="C998" s="3">
        <f>IF('Data Source'!B998="","",IF('Data Source'!U998&gt;=5,"A+",IF('Data Source'!U998&gt;=4,"A",IF('Data Source'!U998&gt;=3.5,"A-",IF('Data Source'!U998&gt;=3,"B",IF('Data Source'!U998&gt;=2,"C",IF('Data Source'!U998&gt;=1,"D","F")))))))</f>
        <v/>
      </c>
      <c r="D998" s="3">
        <f>IF('Data Source'!B998="","",IF('Data Source'!V998&gt;=5,"A+",IF('Data Source'!V998&gt;=4,"A",IF('Data Source'!V998&gt;=3.5,"A-",IF('Data Source'!V998&gt;=3,"B",IF('Data Source'!V998&gt;=2,"C",IF('Data Source'!V998&gt;=1,"D","F")))))))</f>
        <v/>
      </c>
      <c r="E998" s="3">
        <f>IF('Data Source'!B998="","",IF('Data Source'!W998&gt;=5,"A+",IF('Data Source'!W998&gt;=4,"A",IF('Data Source'!W998&gt;=3.5,"A-",IF('Data Source'!W998&gt;=3,"B",IF('Data Source'!W998&gt;=2,"C",IF('Data Source'!W998&gt;=1,"D","F")))))))</f>
        <v/>
      </c>
      <c r="F998" s="3">
        <f>IF('Data Source'!B998="","",IF('Data Source'!X998&gt;=5,"A+",IF('Data Source'!X998&gt;=4,"A",IF('Data Source'!X998&gt;=3.5,"A-",IF('Data Source'!X998&gt;=3,"B",IF('Data Source'!X998&gt;=2,"C",IF('Data Source'!X998&gt;=1,"D","F")))))))</f>
        <v/>
      </c>
      <c r="G998" s="3">
        <f>IF('Data Source'!B998="","",IF('Data Source'!Y998&gt;=5,"A+",IF('Data Source'!Y998&gt;=4,"A",IF('Data Source'!Y998&gt;=3.5,"A-",IF('Data Source'!Y998&gt;=3,"B",IF('Data Source'!Y998&gt;=2,"C",IF('Data Source'!Y998&gt;=1,"D","F")))))))</f>
        <v/>
      </c>
      <c r="H998" s="3">
        <f>IF('Data Source'!B998="","",IF('Data Source'!Z998&gt;=5,"A+",IF('Data Source'!Z998&gt;=4,"A",IF('Data Source'!Z998&gt;=3.5,"A-",IF('Data Source'!Z998&gt;=3,"B",IF('Data Source'!Z998&gt;=2,"C",IF('Data Source'!Z998&gt;=1,"D","F")))))))</f>
        <v/>
      </c>
      <c r="I998" s="3">
        <f>IF('Data Source'!B998="","",IF('Data Source'!AA998&gt;=5,"A+",IF('Data Source'!AA998&gt;=4,"A",IF('Data Source'!AA998&gt;=3.5,"A-",IF('Data Source'!AA998&gt;=3,"B",IF('Data Source'!AA998&gt;=2,"C",IF('Data Source'!AA998&gt;=1,"D","F")))))))</f>
        <v/>
      </c>
      <c r="J998" s="3">
        <f>IF('Data Source'!B998="","",IF('Data Source'!AB998&gt;=5,"A+",IF('Data Source'!AB998&gt;=4,"A",IF('Data Source'!AB998&gt;=3.5,"A-",IF('Data Source'!AB998&gt;=3,"B",IF('Data Source'!AB998&gt;=2,"C",IF('Data Source'!AB998&gt;=1,"D","F")))))))</f>
        <v/>
      </c>
      <c r="K998" s="3">
        <f>IF('Data Source'!B998="","",IF('Data Source'!AC998&gt;=5,"A+",IF('Data Source'!AC998&gt;=4,"A",IF('Data Source'!AC998&gt;=3.5,"A-",IF('Data Source'!AC998&gt;=3,"B",IF('Data Source'!AC998&gt;=2,"C",IF('Data Source'!AC998&gt;=1,"D","F")))))))</f>
        <v/>
      </c>
      <c r="L998" s="3">
        <f>IF('Data Source'!B998="","",IF('Data Source'!AD998&gt;=5,"A+",IF('Data Source'!AD998&gt;=4,"A",IF('Data Source'!AD998&gt;=3.5,"A-",IF('Data Source'!AD998&gt;=3,"B",IF('Data Source'!AD998&gt;=2,"C",IF('Data Source'!AD998&gt;=1,"D","F")))))))</f>
        <v/>
      </c>
      <c r="M998" s="3">
        <f>IF('Data Source'!B998="","",IF('Data Source'!AE998&gt;=5,"A+",IF('Data Source'!AE998&gt;=4,"A",IF('Data Source'!AE998&gt;=3.5,"A-",IF('Data Source'!AE998&gt;=3,"B",IF('Data Source'!AE998&gt;=2,"C",IF('Data Source'!AE998&gt;=1,"D","F")))))))</f>
        <v/>
      </c>
      <c r="N998" s="3">
        <f>IF('Data Source'!B998="","",IF('Data Source'!AF998&gt;=5,"A+",IF('Data Source'!AF998&gt;=4,"A",IF('Data Source'!AF998&gt;=3.5,"A-",IF('Data Source'!AF998&gt;=3,"B",IF('Data Source'!AF998&gt;=2,"C",IF('Data Source'!AF998&gt;=1,"D","F")))))))</f>
        <v/>
      </c>
      <c r="O998" s="3">
        <f>IF('Data Source'!B998="","",IF('Data Source'!AG998&gt;=5,"A+",IF('Data Source'!AG998&gt;=4,"A",IF('Data Source'!AG998&gt;=3.5,"A-",IF('Data Source'!AG998&gt;=3,"B",IF('Data Source'!AG998&gt;=2,"C",IF('Data Source'!AG998&gt;=1,"D","F")))))))</f>
        <v/>
      </c>
      <c r="P998" s="5">
        <f>IF('Data Source'!B998="","",'Data Source'!R998)</f>
        <v/>
      </c>
      <c r="Q998" s="3">
        <f>IF('Data Source'!B998="","",'Data Source'!S998)</f>
        <v/>
      </c>
    </row>
    <row r="999">
      <c r="A999" s="3">
        <f>IF('Data Source'!B999="","",'Data Source'!A999)</f>
        <v/>
      </c>
      <c r="B999">
        <f>IF('Data Source'!B999="","",'Data Source'!B999)</f>
        <v/>
      </c>
      <c r="C999" s="3">
        <f>IF('Data Source'!B999="","",IF('Data Source'!U999&gt;=5,"A+",IF('Data Source'!U999&gt;=4,"A",IF('Data Source'!U999&gt;=3.5,"A-",IF('Data Source'!U999&gt;=3,"B",IF('Data Source'!U999&gt;=2,"C",IF('Data Source'!U999&gt;=1,"D","F")))))))</f>
        <v/>
      </c>
      <c r="D999" s="3">
        <f>IF('Data Source'!B999="","",IF('Data Source'!V999&gt;=5,"A+",IF('Data Source'!V999&gt;=4,"A",IF('Data Source'!V999&gt;=3.5,"A-",IF('Data Source'!V999&gt;=3,"B",IF('Data Source'!V999&gt;=2,"C",IF('Data Source'!V999&gt;=1,"D","F")))))))</f>
        <v/>
      </c>
      <c r="E999" s="3">
        <f>IF('Data Source'!B999="","",IF('Data Source'!W999&gt;=5,"A+",IF('Data Source'!W999&gt;=4,"A",IF('Data Source'!W999&gt;=3.5,"A-",IF('Data Source'!W999&gt;=3,"B",IF('Data Source'!W999&gt;=2,"C",IF('Data Source'!W999&gt;=1,"D","F")))))))</f>
        <v/>
      </c>
      <c r="F999" s="3">
        <f>IF('Data Source'!B999="","",IF('Data Source'!X999&gt;=5,"A+",IF('Data Source'!X999&gt;=4,"A",IF('Data Source'!X999&gt;=3.5,"A-",IF('Data Source'!X999&gt;=3,"B",IF('Data Source'!X999&gt;=2,"C",IF('Data Source'!X999&gt;=1,"D","F")))))))</f>
        <v/>
      </c>
      <c r="G999" s="3">
        <f>IF('Data Source'!B999="","",IF('Data Source'!Y999&gt;=5,"A+",IF('Data Source'!Y999&gt;=4,"A",IF('Data Source'!Y999&gt;=3.5,"A-",IF('Data Source'!Y999&gt;=3,"B",IF('Data Source'!Y999&gt;=2,"C",IF('Data Source'!Y999&gt;=1,"D","F")))))))</f>
        <v/>
      </c>
      <c r="H999" s="3">
        <f>IF('Data Source'!B999="","",IF('Data Source'!Z999&gt;=5,"A+",IF('Data Source'!Z999&gt;=4,"A",IF('Data Source'!Z999&gt;=3.5,"A-",IF('Data Source'!Z999&gt;=3,"B",IF('Data Source'!Z999&gt;=2,"C",IF('Data Source'!Z999&gt;=1,"D","F")))))))</f>
        <v/>
      </c>
      <c r="I999" s="3">
        <f>IF('Data Source'!B999="","",IF('Data Source'!AA999&gt;=5,"A+",IF('Data Source'!AA999&gt;=4,"A",IF('Data Source'!AA999&gt;=3.5,"A-",IF('Data Source'!AA999&gt;=3,"B",IF('Data Source'!AA999&gt;=2,"C",IF('Data Source'!AA999&gt;=1,"D","F")))))))</f>
        <v/>
      </c>
      <c r="J999" s="3">
        <f>IF('Data Source'!B999="","",IF('Data Source'!AB999&gt;=5,"A+",IF('Data Source'!AB999&gt;=4,"A",IF('Data Source'!AB999&gt;=3.5,"A-",IF('Data Source'!AB999&gt;=3,"B",IF('Data Source'!AB999&gt;=2,"C",IF('Data Source'!AB999&gt;=1,"D","F")))))))</f>
        <v/>
      </c>
      <c r="K999" s="3">
        <f>IF('Data Source'!B999="","",IF('Data Source'!AC999&gt;=5,"A+",IF('Data Source'!AC999&gt;=4,"A",IF('Data Source'!AC999&gt;=3.5,"A-",IF('Data Source'!AC999&gt;=3,"B",IF('Data Source'!AC999&gt;=2,"C",IF('Data Source'!AC999&gt;=1,"D","F")))))))</f>
        <v/>
      </c>
      <c r="L999" s="3">
        <f>IF('Data Source'!B999="","",IF('Data Source'!AD999&gt;=5,"A+",IF('Data Source'!AD999&gt;=4,"A",IF('Data Source'!AD999&gt;=3.5,"A-",IF('Data Source'!AD999&gt;=3,"B",IF('Data Source'!AD999&gt;=2,"C",IF('Data Source'!AD999&gt;=1,"D","F")))))))</f>
        <v/>
      </c>
      <c r="M999" s="3">
        <f>IF('Data Source'!B999="","",IF('Data Source'!AE999&gt;=5,"A+",IF('Data Source'!AE999&gt;=4,"A",IF('Data Source'!AE999&gt;=3.5,"A-",IF('Data Source'!AE999&gt;=3,"B",IF('Data Source'!AE999&gt;=2,"C",IF('Data Source'!AE999&gt;=1,"D","F")))))))</f>
        <v/>
      </c>
      <c r="N999" s="3">
        <f>IF('Data Source'!B999="","",IF('Data Source'!AF999&gt;=5,"A+",IF('Data Source'!AF999&gt;=4,"A",IF('Data Source'!AF999&gt;=3.5,"A-",IF('Data Source'!AF999&gt;=3,"B",IF('Data Source'!AF999&gt;=2,"C",IF('Data Source'!AF999&gt;=1,"D","F")))))))</f>
        <v/>
      </c>
      <c r="O999" s="3">
        <f>IF('Data Source'!B999="","",IF('Data Source'!AG999&gt;=5,"A+",IF('Data Source'!AG999&gt;=4,"A",IF('Data Source'!AG999&gt;=3.5,"A-",IF('Data Source'!AG999&gt;=3,"B",IF('Data Source'!AG999&gt;=2,"C",IF('Data Source'!AG999&gt;=1,"D","F")))))))</f>
        <v/>
      </c>
      <c r="P999" s="5">
        <f>IF('Data Source'!B999="","",'Data Source'!R999)</f>
        <v/>
      </c>
      <c r="Q999" s="3">
        <f>IF('Data Source'!B999="","",'Data Source'!S999)</f>
        <v/>
      </c>
    </row>
    <row r="1000">
      <c r="A1000" s="3">
        <f>IF('Data Source'!B1000="","",'Data Source'!A1000)</f>
        <v/>
      </c>
      <c r="B1000">
        <f>IF('Data Source'!B1000="","",'Data Source'!B1000)</f>
        <v/>
      </c>
      <c r="C1000" s="3">
        <f>IF('Data Source'!B1000="","",IF('Data Source'!U1000&gt;=5,"A+",IF('Data Source'!U1000&gt;=4,"A",IF('Data Source'!U1000&gt;=3.5,"A-",IF('Data Source'!U1000&gt;=3,"B",IF('Data Source'!U1000&gt;=2,"C",IF('Data Source'!U1000&gt;=1,"D","F")))))))</f>
        <v/>
      </c>
      <c r="D1000" s="3">
        <f>IF('Data Source'!B1000="","",IF('Data Source'!V1000&gt;=5,"A+",IF('Data Source'!V1000&gt;=4,"A",IF('Data Source'!V1000&gt;=3.5,"A-",IF('Data Source'!V1000&gt;=3,"B",IF('Data Source'!V1000&gt;=2,"C",IF('Data Source'!V1000&gt;=1,"D","F")))))))</f>
        <v/>
      </c>
      <c r="E1000" s="3">
        <f>IF('Data Source'!B1000="","",IF('Data Source'!W1000&gt;=5,"A+",IF('Data Source'!W1000&gt;=4,"A",IF('Data Source'!W1000&gt;=3.5,"A-",IF('Data Source'!W1000&gt;=3,"B",IF('Data Source'!W1000&gt;=2,"C",IF('Data Source'!W1000&gt;=1,"D","F")))))))</f>
        <v/>
      </c>
      <c r="F1000" s="3">
        <f>IF('Data Source'!B1000="","",IF('Data Source'!X1000&gt;=5,"A+",IF('Data Source'!X1000&gt;=4,"A",IF('Data Source'!X1000&gt;=3.5,"A-",IF('Data Source'!X1000&gt;=3,"B",IF('Data Source'!X1000&gt;=2,"C",IF('Data Source'!X1000&gt;=1,"D","F")))))))</f>
        <v/>
      </c>
      <c r="G1000" s="3">
        <f>IF('Data Source'!B1000="","",IF('Data Source'!Y1000&gt;=5,"A+",IF('Data Source'!Y1000&gt;=4,"A",IF('Data Source'!Y1000&gt;=3.5,"A-",IF('Data Source'!Y1000&gt;=3,"B",IF('Data Source'!Y1000&gt;=2,"C",IF('Data Source'!Y1000&gt;=1,"D","F")))))))</f>
        <v/>
      </c>
      <c r="H1000" s="3">
        <f>IF('Data Source'!B1000="","",IF('Data Source'!Z1000&gt;=5,"A+",IF('Data Source'!Z1000&gt;=4,"A",IF('Data Source'!Z1000&gt;=3.5,"A-",IF('Data Source'!Z1000&gt;=3,"B",IF('Data Source'!Z1000&gt;=2,"C",IF('Data Source'!Z1000&gt;=1,"D","F")))))))</f>
        <v/>
      </c>
      <c r="I1000" s="3">
        <f>IF('Data Source'!B1000="","",IF('Data Source'!AA1000&gt;=5,"A+",IF('Data Source'!AA1000&gt;=4,"A",IF('Data Source'!AA1000&gt;=3.5,"A-",IF('Data Source'!AA1000&gt;=3,"B",IF('Data Source'!AA1000&gt;=2,"C",IF('Data Source'!AA1000&gt;=1,"D","F")))))))</f>
        <v/>
      </c>
      <c r="J1000" s="3">
        <f>IF('Data Source'!B1000="","",IF('Data Source'!AB1000&gt;=5,"A+",IF('Data Source'!AB1000&gt;=4,"A",IF('Data Source'!AB1000&gt;=3.5,"A-",IF('Data Source'!AB1000&gt;=3,"B",IF('Data Source'!AB1000&gt;=2,"C",IF('Data Source'!AB1000&gt;=1,"D","F")))))))</f>
        <v/>
      </c>
      <c r="K1000" s="3">
        <f>IF('Data Source'!B1000="","",IF('Data Source'!AC1000&gt;=5,"A+",IF('Data Source'!AC1000&gt;=4,"A",IF('Data Source'!AC1000&gt;=3.5,"A-",IF('Data Source'!AC1000&gt;=3,"B",IF('Data Source'!AC1000&gt;=2,"C",IF('Data Source'!AC1000&gt;=1,"D","F")))))))</f>
        <v/>
      </c>
      <c r="L1000" s="3">
        <f>IF('Data Source'!B1000="","",IF('Data Source'!AD1000&gt;=5,"A+",IF('Data Source'!AD1000&gt;=4,"A",IF('Data Source'!AD1000&gt;=3.5,"A-",IF('Data Source'!AD1000&gt;=3,"B",IF('Data Source'!AD1000&gt;=2,"C",IF('Data Source'!AD1000&gt;=1,"D","F")))))))</f>
        <v/>
      </c>
      <c r="M1000" s="3">
        <f>IF('Data Source'!B1000="","",IF('Data Source'!AE1000&gt;=5,"A+",IF('Data Source'!AE1000&gt;=4,"A",IF('Data Source'!AE1000&gt;=3.5,"A-",IF('Data Source'!AE1000&gt;=3,"B",IF('Data Source'!AE1000&gt;=2,"C",IF('Data Source'!AE1000&gt;=1,"D","F")))))))</f>
        <v/>
      </c>
      <c r="N1000" s="3">
        <f>IF('Data Source'!B1000="","",IF('Data Source'!AF1000&gt;=5,"A+",IF('Data Source'!AF1000&gt;=4,"A",IF('Data Source'!AF1000&gt;=3.5,"A-",IF('Data Source'!AF1000&gt;=3,"B",IF('Data Source'!AF1000&gt;=2,"C",IF('Data Source'!AF1000&gt;=1,"D","F")))))))</f>
        <v/>
      </c>
      <c r="O1000" s="3">
        <f>IF('Data Source'!B1000="","",IF('Data Source'!AG1000&gt;=5,"A+",IF('Data Source'!AG1000&gt;=4,"A",IF('Data Source'!AG1000&gt;=3.5,"A-",IF('Data Source'!AG1000&gt;=3,"B",IF('Data Source'!AG1000&gt;=2,"C",IF('Data Source'!AG1000&gt;=1,"D","F")))))))</f>
        <v/>
      </c>
      <c r="P1000" s="5">
        <f>IF('Data Source'!B1000="","",'Data Source'!R1000)</f>
        <v/>
      </c>
      <c r="Q1000" s="3">
        <f>IF('Data Source'!B1000="","",'Data Source'!S1000)</f>
        <v/>
      </c>
    </row>
    <row r="1001">
      <c r="A1001" s="3">
        <f>IF('Data Source'!B1001="","",'Data Source'!A1001)</f>
        <v/>
      </c>
      <c r="B1001">
        <f>IF('Data Source'!B1001="","",'Data Source'!B1001)</f>
        <v/>
      </c>
      <c r="C1001" s="3">
        <f>IF('Data Source'!B1001="","",IF('Data Source'!U1001&gt;=5,"A+",IF('Data Source'!U1001&gt;=4,"A",IF('Data Source'!U1001&gt;=3.5,"A-",IF('Data Source'!U1001&gt;=3,"B",IF('Data Source'!U1001&gt;=2,"C",IF('Data Source'!U1001&gt;=1,"D","F")))))))</f>
        <v/>
      </c>
      <c r="D1001" s="3">
        <f>IF('Data Source'!B1001="","",IF('Data Source'!V1001&gt;=5,"A+",IF('Data Source'!V1001&gt;=4,"A",IF('Data Source'!V1001&gt;=3.5,"A-",IF('Data Source'!V1001&gt;=3,"B",IF('Data Source'!V1001&gt;=2,"C",IF('Data Source'!V1001&gt;=1,"D","F")))))))</f>
        <v/>
      </c>
      <c r="E1001" s="3">
        <f>IF('Data Source'!B1001="","",IF('Data Source'!W1001&gt;=5,"A+",IF('Data Source'!W1001&gt;=4,"A",IF('Data Source'!W1001&gt;=3.5,"A-",IF('Data Source'!W1001&gt;=3,"B",IF('Data Source'!W1001&gt;=2,"C",IF('Data Source'!W1001&gt;=1,"D","F")))))))</f>
        <v/>
      </c>
      <c r="F1001" s="3">
        <f>IF('Data Source'!B1001="","",IF('Data Source'!X1001&gt;=5,"A+",IF('Data Source'!X1001&gt;=4,"A",IF('Data Source'!X1001&gt;=3.5,"A-",IF('Data Source'!X1001&gt;=3,"B",IF('Data Source'!X1001&gt;=2,"C",IF('Data Source'!X1001&gt;=1,"D","F")))))))</f>
        <v/>
      </c>
      <c r="G1001" s="3">
        <f>IF('Data Source'!B1001="","",IF('Data Source'!Y1001&gt;=5,"A+",IF('Data Source'!Y1001&gt;=4,"A",IF('Data Source'!Y1001&gt;=3.5,"A-",IF('Data Source'!Y1001&gt;=3,"B",IF('Data Source'!Y1001&gt;=2,"C",IF('Data Source'!Y1001&gt;=1,"D","F")))))))</f>
        <v/>
      </c>
      <c r="H1001" s="3">
        <f>IF('Data Source'!B1001="","",IF('Data Source'!Z1001&gt;=5,"A+",IF('Data Source'!Z1001&gt;=4,"A",IF('Data Source'!Z1001&gt;=3.5,"A-",IF('Data Source'!Z1001&gt;=3,"B",IF('Data Source'!Z1001&gt;=2,"C",IF('Data Source'!Z1001&gt;=1,"D","F")))))))</f>
        <v/>
      </c>
      <c r="I1001" s="3">
        <f>IF('Data Source'!B1001="","",IF('Data Source'!AA1001&gt;=5,"A+",IF('Data Source'!AA1001&gt;=4,"A",IF('Data Source'!AA1001&gt;=3.5,"A-",IF('Data Source'!AA1001&gt;=3,"B",IF('Data Source'!AA1001&gt;=2,"C",IF('Data Source'!AA1001&gt;=1,"D","F")))))))</f>
        <v/>
      </c>
      <c r="J1001" s="3">
        <f>IF('Data Source'!B1001="","",IF('Data Source'!AB1001&gt;=5,"A+",IF('Data Source'!AB1001&gt;=4,"A",IF('Data Source'!AB1001&gt;=3.5,"A-",IF('Data Source'!AB1001&gt;=3,"B",IF('Data Source'!AB1001&gt;=2,"C",IF('Data Source'!AB1001&gt;=1,"D","F")))))))</f>
        <v/>
      </c>
      <c r="K1001" s="3">
        <f>IF('Data Source'!B1001="","",IF('Data Source'!AC1001&gt;=5,"A+",IF('Data Source'!AC1001&gt;=4,"A",IF('Data Source'!AC1001&gt;=3.5,"A-",IF('Data Source'!AC1001&gt;=3,"B",IF('Data Source'!AC1001&gt;=2,"C",IF('Data Source'!AC1001&gt;=1,"D","F")))))))</f>
        <v/>
      </c>
      <c r="L1001" s="3">
        <f>IF('Data Source'!B1001="","",IF('Data Source'!AD1001&gt;=5,"A+",IF('Data Source'!AD1001&gt;=4,"A",IF('Data Source'!AD1001&gt;=3.5,"A-",IF('Data Source'!AD1001&gt;=3,"B",IF('Data Source'!AD1001&gt;=2,"C",IF('Data Source'!AD1001&gt;=1,"D","F")))))))</f>
        <v/>
      </c>
      <c r="M1001" s="3">
        <f>IF('Data Source'!B1001="","",IF('Data Source'!AE1001&gt;=5,"A+",IF('Data Source'!AE1001&gt;=4,"A",IF('Data Source'!AE1001&gt;=3.5,"A-",IF('Data Source'!AE1001&gt;=3,"B",IF('Data Source'!AE1001&gt;=2,"C",IF('Data Source'!AE1001&gt;=1,"D","F")))))))</f>
        <v/>
      </c>
      <c r="N1001" s="3">
        <f>IF('Data Source'!B1001="","",IF('Data Source'!AF1001&gt;=5,"A+",IF('Data Source'!AF1001&gt;=4,"A",IF('Data Source'!AF1001&gt;=3.5,"A-",IF('Data Source'!AF1001&gt;=3,"B",IF('Data Source'!AF1001&gt;=2,"C",IF('Data Source'!AF1001&gt;=1,"D","F")))))))</f>
        <v/>
      </c>
      <c r="O1001" s="3">
        <f>IF('Data Source'!B1001="","",IF('Data Source'!AG1001&gt;=5,"A+",IF('Data Source'!AG1001&gt;=4,"A",IF('Data Source'!AG1001&gt;=3.5,"A-",IF('Data Source'!AG1001&gt;=3,"B",IF('Data Source'!AG1001&gt;=2,"C",IF('Data Source'!AG1001&gt;=1,"D","F")))))))</f>
        <v/>
      </c>
      <c r="P1001" s="5">
        <f>IF('Data Source'!B1001="","",'Data Source'!R1001)</f>
        <v/>
      </c>
      <c r="Q1001" s="3">
        <f>IF('Data Source'!B1001="","",'Data Source'!S1001)</f>
        <v/>
      </c>
    </row>
    <row r="1002">
      <c r="A1002" s="3">
        <f>IF('Data Source'!B1002="","",'Data Source'!A1002)</f>
        <v/>
      </c>
      <c r="B1002">
        <f>IF('Data Source'!B1002="","",'Data Source'!B1002)</f>
        <v/>
      </c>
      <c r="C1002" s="3">
        <f>IF('Data Source'!B1002="","",IF('Data Source'!U1002&gt;=5,"A+",IF('Data Source'!U1002&gt;=4,"A",IF('Data Source'!U1002&gt;=3.5,"A-",IF('Data Source'!U1002&gt;=3,"B",IF('Data Source'!U1002&gt;=2,"C",IF('Data Source'!U1002&gt;=1,"D","F")))))))</f>
        <v/>
      </c>
      <c r="D1002" s="3">
        <f>IF('Data Source'!B1002="","",IF('Data Source'!V1002&gt;=5,"A+",IF('Data Source'!V1002&gt;=4,"A",IF('Data Source'!V1002&gt;=3.5,"A-",IF('Data Source'!V1002&gt;=3,"B",IF('Data Source'!V1002&gt;=2,"C",IF('Data Source'!V1002&gt;=1,"D","F")))))))</f>
        <v/>
      </c>
      <c r="E1002" s="3">
        <f>IF('Data Source'!B1002="","",IF('Data Source'!W1002&gt;=5,"A+",IF('Data Source'!W1002&gt;=4,"A",IF('Data Source'!W1002&gt;=3.5,"A-",IF('Data Source'!W1002&gt;=3,"B",IF('Data Source'!W1002&gt;=2,"C",IF('Data Source'!W1002&gt;=1,"D","F")))))))</f>
        <v/>
      </c>
      <c r="F1002" s="3">
        <f>IF('Data Source'!B1002="","",IF('Data Source'!X1002&gt;=5,"A+",IF('Data Source'!X1002&gt;=4,"A",IF('Data Source'!X1002&gt;=3.5,"A-",IF('Data Source'!X1002&gt;=3,"B",IF('Data Source'!X1002&gt;=2,"C",IF('Data Source'!X1002&gt;=1,"D","F")))))))</f>
        <v/>
      </c>
      <c r="G1002" s="3">
        <f>IF('Data Source'!B1002="","",IF('Data Source'!Y1002&gt;=5,"A+",IF('Data Source'!Y1002&gt;=4,"A",IF('Data Source'!Y1002&gt;=3.5,"A-",IF('Data Source'!Y1002&gt;=3,"B",IF('Data Source'!Y1002&gt;=2,"C",IF('Data Source'!Y1002&gt;=1,"D","F")))))))</f>
        <v/>
      </c>
      <c r="H1002" s="3">
        <f>IF('Data Source'!B1002="","",IF('Data Source'!Z1002&gt;=5,"A+",IF('Data Source'!Z1002&gt;=4,"A",IF('Data Source'!Z1002&gt;=3.5,"A-",IF('Data Source'!Z1002&gt;=3,"B",IF('Data Source'!Z1002&gt;=2,"C",IF('Data Source'!Z1002&gt;=1,"D","F")))))))</f>
        <v/>
      </c>
      <c r="I1002" s="3">
        <f>IF('Data Source'!B1002="","",IF('Data Source'!AA1002&gt;=5,"A+",IF('Data Source'!AA1002&gt;=4,"A",IF('Data Source'!AA1002&gt;=3.5,"A-",IF('Data Source'!AA1002&gt;=3,"B",IF('Data Source'!AA1002&gt;=2,"C",IF('Data Source'!AA1002&gt;=1,"D","F")))))))</f>
        <v/>
      </c>
      <c r="J1002" s="3">
        <f>IF('Data Source'!B1002="","",IF('Data Source'!AB1002&gt;=5,"A+",IF('Data Source'!AB1002&gt;=4,"A",IF('Data Source'!AB1002&gt;=3.5,"A-",IF('Data Source'!AB1002&gt;=3,"B",IF('Data Source'!AB1002&gt;=2,"C",IF('Data Source'!AB1002&gt;=1,"D","F")))))))</f>
        <v/>
      </c>
      <c r="K1002" s="3">
        <f>IF('Data Source'!B1002="","",IF('Data Source'!AC1002&gt;=5,"A+",IF('Data Source'!AC1002&gt;=4,"A",IF('Data Source'!AC1002&gt;=3.5,"A-",IF('Data Source'!AC1002&gt;=3,"B",IF('Data Source'!AC1002&gt;=2,"C",IF('Data Source'!AC1002&gt;=1,"D","F")))))))</f>
        <v/>
      </c>
      <c r="L1002" s="3">
        <f>IF('Data Source'!B1002="","",IF('Data Source'!AD1002&gt;=5,"A+",IF('Data Source'!AD1002&gt;=4,"A",IF('Data Source'!AD1002&gt;=3.5,"A-",IF('Data Source'!AD1002&gt;=3,"B",IF('Data Source'!AD1002&gt;=2,"C",IF('Data Source'!AD1002&gt;=1,"D","F")))))))</f>
        <v/>
      </c>
      <c r="M1002" s="3">
        <f>IF('Data Source'!B1002="","",IF('Data Source'!AE1002&gt;=5,"A+",IF('Data Source'!AE1002&gt;=4,"A",IF('Data Source'!AE1002&gt;=3.5,"A-",IF('Data Source'!AE1002&gt;=3,"B",IF('Data Source'!AE1002&gt;=2,"C",IF('Data Source'!AE1002&gt;=1,"D","F")))))))</f>
        <v/>
      </c>
      <c r="N1002" s="3">
        <f>IF('Data Source'!B1002="","",IF('Data Source'!AF1002&gt;=5,"A+",IF('Data Source'!AF1002&gt;=4,"A",IF('Data Source'!AF1002&gt;=3.5,"A-",IF('Data Source'!AF1002&gt;=3,"B",IF('Data Source'!AF1002&gt;=2,"C",IF('Data Source'!AF1002&gt;=1,"D","F")))))))</f>
        <v/>
      </c>
      <c r="O1002" s="3">
        <f>IF('Data Source'!B1002="","",IF('Data Source'!AG1002&gt;=5,"A+",IF('Data Source'!AG1002&gt;=4,"A",IF('Data Source'!AG1002&gt;=3.5,"A-",IF('Data Source'!AG1002&gt;=3,"B",IF('Data Source'!AG1002&gt;=2,"C",IF('Data Source'!AG1002&gt;=1,"D","F")))))))</f>
        <v/>
      </c>
      <c r="P1002" s="5">
        <f>IF('Data Source'!B1002="","",'Data Source'!R1002)</f>
        <v/>
      </c>
      <c r="Q1002" s="3">
        <f>IF('Data Source'!B1002="","",'Data Source'!S1002)</f>
        <v/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 ht="30" customHeight="1">
      <c r="A1" s="10" t="inlineStr">
        <is>
          <t>STUDENTS WITH GRADE F</t>
        </is>
      </c>
    </row>
    <row r="2">
      <c r="A2" s="2" t="inlineStr">
        <is>
          <t>SL</t>
        </is>
      </c>
      <c r="B2" s="2" t="inlineStr">
        <is>
          <t>Name</t>
        </is>
      </c>
      <c r="C2" s="2" t="inlineStr">
        <is>
          <t>Quran</t>
        </is>
      </c>
      <c r="D2" s="2" t="inlineStr">
        <is>
          <t>English I</t>
        </is>
      </c>
      <c r="E2" s="2" t="inlineStr">
        <is>
          <t>English II</t>
        </is>
      </c>
      <c r="F2" s="2" t="inlineStr">
        <is>
          <t>Bangla I</t>
        </is>
      </c>
      <c r="G2" s="2" t="inlineStr">
        <is>
          <t>Bangla II</t>
        </is>
      </c>
      <c r="H2" s="2" t="inlineStr">
        <is>
          <t>Science</t>
        </is>
      </c>
      <c r="I2" s="2" t="inlineStr">
        <is>
          <t>Mathematics</t>
        </is>
      </c>
      <c r="J2" s="2" t="inlineStr">
        <is>
          <t>General Knowledge</t>
        </is>
      </c>
      <c r="K2" s="2" t="inlineStr">
        <is>
          <t>Arabic I</t>
        </is>
      </c>
      <c r="L2" s="2" t="inlineStr">
        <is>
          <t>Arabic II</t>
        </is>
      </c>
      <c r="M2" s="2" t="inlineStr">
        <is>
          <t>Aqaid</t>
        </is>
      </c>
      <c r="N2" s="2" t="inlineStr">
        <is>
          <t>ICT</t>
        </is>
      </c>
      <c r="O2" s="2" t="inlineStr">
        <is>
          <t>Bangladesh and Global Studies</t>
        </is>
      </c>
      <c r="P2" s="2" t="inlineStr">
        <is>
          <t>Overall GPA</t>
        </is>
      </c>
      <c r="Q2" s="2" t="inlineStr">
        <is>
          <t>Grade</t>
        </is>
      </c>
    </row>
    <row r="3">
      <c r="A3" s="3">
        <f>IF(AND('Data Source'!B3&lt;&gt;"",'Data Source'!S3="F"),COUNTIF('Data Source'!$S$3:S3,"F"),"")</f>
        <v/>
      </c>
      <c r="B3">
        <f>IF(AND('Data Source'!B3&lt;&gt;"",'Data Source'!S3="F"),'Data Source'!B3,"")</f>
        <v/>
      </c>
      <c r="C3" s="3">
        <f>IF(AND('Data Source'!B3&lt;&gt;"",'Data Source'!S3="F"),IF('Data Source'!U3&gt;=5,"A+",IF('Data Source'!U3&gt;=4,"A",IF('Data Source'!U3&gt;=3.5,"A-",IF('Data Source'!U3&gt;=3,"B",IF('Data Source'!U3&gt;=2,"C",IF('Data Source'!U3&gt;=1,"D","F")))))),"")</f>
        <v/>
      </c>
      <c r="D3" s="3">
        <f>IF(AND('Data Source'!B3&lt;&gt;"",'Data Source'!S3="F"),IF('Data Source'!V3&gt;=5,"A+",IF('Data Source'!V3&gt;=4,"A",IF('Data Source'!V3&gt;=3.5,"A-",IF('Data Source'!V3&gt;=3,"B",IF('Data Source'!V3&gt;=2,"C",IF('Data Source'!V3&gt;=1,"D","F")))))),"")</f>
        <v/>
      </c>
      <c r="E3" s="3">
        <f>IF(AND('Data Source'!B3&lt;&gt;"",'Data Source'!S3="F"),IF('Data Source'!W3&gt;=5,"A+",IF('Data Source'!W3&gt;=4,"A",IF('Data Source'!W3&gt;=3.5,"A-",IF('Data Source'!W3&gt;=3,"B",IF('Data Source'!W3&gt;=2,"C",IF('Data Source'!W3&gt;=1,"D","F")))))),"")</f>
        <v/>
      </c>
      <c r="F3" s="3">
        <f>IF(AND('Data Source'!B3&lt;&gt;"",'Data Source'!S3="F"),IF('Data Source'!X3&gt;=5,"A+",IF('Data Source'!X3&gt;=4,"A",IF('Data Source'!X3&gt;=3.5,"A-",IF('Data Source'!X3&gt;=3,"B",IF('Data Source'!X3&gt;=2,"C",IF('Data Source'!X3&gt;=1,"D","F")))))),"")</f>
        <v/>
      </c>
      <c r="G3" s="3">
        <f>IF(AND('Data Source'!B3&lt;&gt;"",'Data Source'!S3="F"),IF('Data Source'!Y3&gt;=5,"A+",IF('Data Source'!Y3&gt;=4,"A",IF('Data Source'!Y3&gt;=3.5,"A-",IF('Data Source'!Y3&gt;=3,"B",IF('Data Source'!Y3&gt;=2,"C",IF('Data Source'!Y3&gt;=1,"D","F")))))),"")</f>
        <v/>
      </c>
      <c r="H3" s="3">
        <f>IF(AND('Data Source'!B3&lt;&gt;"",'Data Source'!S3="F"),IF('Data Source'!Z3&gt;=5,"A+",IF('Data Source'!Z3&gt;=4,"A",IF('Data Source'!Z3&gt;=3.5,"A-",IF('Data Source'!Z3&gt;=3,"B",IF('Data Source'!Z3&gt;=2,"C",IF('Data Source'!Z3&gt;=1,"D","F")))))),"")</f>
        <v/>
      </c>
      <c r="I3" s="3">
        <f>IF(AND('Data Source'!B3&lt;&gt;"",'Data Source'!S3="F"),IF('Data Source'!AA3&gt;=5,"A+",IF('Data Source'!AA3&gt;=4,"A",IF('Data Source'!AA3&gt;=3.5,"A-",IF('Data Source'!AA3&gt;=3,"B",IF('Data Source'!AA3&gt;=2,"C",IF('Data Source'!AA3&gt;=1,"D","F")))))),"")</f>
        <v/>
      </c>
      <c r="J3" s="3">
        <f>IF(AND('Data Source'!B3&lt;&gt;"",'Data Source'!S3="F"),IF('Data Source'!AB3&gt;=5,"A+",IF('Data Source'!AB3&gt;=4,"A",IF('Data Source'!AB3&gt;=3.5,"A-",IF('Data Source'!AB3&gt;=3,"B",IF('Data Source'!AB3&gt;=2,"C",IF('Data Source'!AB3&gt;=1,"D","F")))))),"")</f>
        <v/>
      </c>
      <c r="K3" s="3">
        <f>IF(AND('Data Source'!B3&lt;&gt;"",'Data Source'!S3="F"),IF('Data Source'!AC3&gt;=5,"A+",IF('Data Source'!AC3&gt;=4,"A",IF('Data Source'!AC3&gt;=3.5,"A-",IF('Data Source'!AC3&gt;=3,"B",IF('Data Source'!AC3&gt;=2,"C",IF('Data Source'!AC3&gt;=1,"D","F")))))),"")</f>
        <v/>
      </c>
      <c r="L3" s="3">
        <f>IF(AND('Data Source'!B3&lt;&gt;"",'Data Source'!S3="F"),IF('Data Source'!AD3&gt;=5,"A+",IF('Data Source'!AD3&gt;=4,"A",IF('Data Source'!AD3&gt;=3.5,"A-",IF('Data Source'!AD3&gt;=3,"B",IF('Data Source'!AD3&gt;=2,"C",IF('Data Source'!AD3&gt;=1,"D","F")))))),"")</f>
        <v/>
      </c>
      <c r="M3" s="3">
        <f>IF(AND('Data Source'!B3&lt;&gt;"",'Data Source'!S3="F"),IF('Data Source'!AE3&gt;=5,"A+",IF('Data Source'!AE3&gt;=4,"A",IF('Data Source'!AE3&gt;=3.5,"A-",IF('Data Source'!AE3&gt;=3,"B",IF('Data Source'!AE3&gt;=2,"C",IF('Data Source'!AE3&gt;=1,"D","F")))))),"")</f>
        <v/>
      </c>
      <c r="N3" s="3">
        <f>IF(AND('Data Source'!B3&lt;&gt;"",'Data Source'!S3="F"),IF('Data Source'!AF3&gt;=5,"A+",IF('Data Source'!AF3&gt;=4,"A",IF('Data Source'!AF3&gt;=3.5,"A-",IF('Data Source'!AF3&gt;=3,"B",IF('Data Source'!AF3&gt;=2,"C",IF('Data Source'!AF3&gt;=1,"D","F")))))),"")</f>
        <v/>
      </c>
      <c r="O3" s="3">
        <f>IF(AND('Data Source'!B3&lt;&gt;"",'Data Source'!S3="F"),IF('Data Source'!AG3&gt;=5,"A+",IF('Data Source'!AG3&gt;=4,"A",IF('Data Source'!AG3&gt;=3.5,"A-",IF('Data Source'!AG3&gt;=3,"B",IF('Data Source'!AG3&gt;=2,"C",IF('Data Source'!AG3&gt;=1,"D","F")))))),"")</f>
        <v/>
      </c>
      <c r="P3" s="5">
        <f>IF(AND('Data Source'!B3&lt;&gt;"",'Data Source'!S3="F"),'Data Source'!R3,"")</f>
        <v/>
      </c>
      <c r="Q3" s="3">
        <f>IF(AND('Data Source'!B3&lt;&gt;"",'Data Source'!S3="F"),'Data Source'!S3,"")</f>
        <v/>
      </c>
    </row>
    <row r="4">
      <c r="A4" s="3">
        <f>IF(AND('Data Source'!B4&lt;&gt;"",'Data Source'!S4="F"),COUNTIF('Data Source'!$S$3:S4,"F"),"")</f>
        <v/>
      </c>
      <c r="B4">
        <f>IF(AND('Data Source'!B4&lt;&gt;"",'Data Source'!S4="F"),'Data Source'!B4,"")</f>
        <v/>
      </c>
      <c r="C4" s="3">
        <f>IF(AND('Data Source'!B4&lt;&gt;"",'Data Source'!S4="F"),IF('Data Source'!U4&gt;=5,"A+",IF('Data Source'!U4&gt;=4,"A",IF('Data Source'!U4&gt;=3.5,"A-",IF('Data Source'!U4&gt;=3,"B",IF('Data Source'!U4&gt;=2,"C",IF('Data Source'!U4&gt;=1,"D","F")))))),"")</f>
        <v/>
      </c>
      <c r="D4" s="3">
        <f>IF(AND('Data Source'!B4&lt;&gt;"",'Data Source'!S4="F"),IF('Data Source'!V4&gt;=5,"A+",IF('Data Source'!V4&gt;=4,"A",IF('Data Source'!V4&gt;=3.5,"A-",IF('Data Source'!V4&gt;=3,"B",IF('Data Source'!V4&gt;=2,"C",IF('Data Source'!V4&gt;=1,"D","F")))))),"")</f>
        <v/>
      </c>
      <c r="E4" s="3">
        <f>IF(AND('Data Source'!B4&lt;&gt;"",'Data Source'!S4="F"),IF('Data Source'!W4&gt;=5,"A+",IF('Data Source'!W4&gt;=4,"A",IF('Data Source'!W4&gt;=3.5,"A-",IF('Data Source'!W4&gt;=3,"B",IF('Data Source'!W4&gt;=2,"C",IF('Data Source'!W4&gt;=1,"D","F")))))),"")</f>
        <v/>
      </c>
      <c r="F4" s="3">
        <f>IF(AND('Data Source'!B4&lt;&gt;"",'Data Source'!S4="F"),IF('Data Source'!X4&gt;=5,"A+",IF('Data Source'!X4&gt;=4,"A",IF('Data Source'!X4&gt;=3.5,"A-",IF('Data Source'!X4&gt;=3,"B",IF('Data Source'!X4&gt;=2,"C",IF('Data Source'!X4&gt;=1,"D","F")))))),"")</f>
        <v/>
      </c>
      <c r="G4" s="3">
        <f>IF(AND('Data Source'!B4&lt;&gt;"",'Data Source'!S4="F"),IF('Data Source'!Y4&gt;=5,"A+",IF('Data Source'!Y4&gt;=4,"A",IF('Data Source'!Y4&gt;=3.5,"A-",IF('Data Source'!Y4&gt;=3,"B",IF('Data Source'!Y4&gt;=2,"C",IF('Data Source'!Y4&gt;=1,"D","F")))))),"")</f>
        <v/>
      </c>
      <c r="H4" s="3">
        <f>IF(AND('Data Source'!B4&lt;&gt;"",'Data Source'!S4="F"),IF('Data Source'!Z4&gt;=5,"A+",IF('Data Source'!Z4&gt;=4,"A",IF('Data Source'!Z4&gt;=3.5,"A-",IF('Data Source'!Z4&gt;=3,"B",IF('Data Source'!Z4&gt;=2,"C",IF('Data Source'!Z4&gt;=1,"D","F")))))),"")</f>
        <v/>
      </c>
      <c r="I4" s="3">
        <f>IF(AND('Data Source'!B4&lt;&gt;"",'Data Source'!S4="F"),IF('Data Source'!AA4&gt;=5,"A+",IF('Data Source'!AA4&gt;=4,"A",IF('Data Source'!AA4&gt;=3.5,"A-",IF('Data Source'!AA4&gt;=3,"B",IF('Data Source'!AA4&gt;=2,"C",IF('Data Source'!AA4&gt;=1,"D","F")))))),"")</f>
        <v/>
      </c>
      <c r="J4" s="3">
        <f>IF(AND('Data Source'!B4&lt;&gt;"",'Data Source'!S4="F"),IF('Data Source'!AB4&gt;=5,"A+",IF('Data Source'!AB4&gt;=4,"A",IF('Data Source'!AB4&gt;=3.5,"A-",IF('Data Source'!AB4&gt;=3,"B",IF('Data Source'!AB4&gt;=2,"C",IF('Data Source'!AB4&gt;=1,"D","F")))))),"")</f>
        <v/>
      </c>
      <c r="K4" s="3">
        <f>IF(AND('Data Source'!B4&lt;&gt;"",'Data Source'!S4="F"),IF('Data Source'!AC4&gt;=5,"A+",IF('Data Source'!AC4&gt;=4,"A",IF('Data Source'!AC4&gt;=3.5,"A-",IF('Data Source'!AC4&gt;=3,"B",IF('Data Source'!AC4&gt;=2,"C",IF('Data Source'!AC4&gt;=1,"D","F")))))),"")</f>
        <v/>
      </c>
      <c r="L4" s="3">
        <f>IF(AND('Data Source'!B4&lt;&gt;"",'Data Source'!S4="F"),IF('Data Source'!AD4&gt;=5,"A+",IF('Data Source'!AD4&gt;=4,"A",IF('Data Source'!AD4&gt;=3.5,"A-",IF('Data Source'!AD4&gt;=3,"B",IF('Data Source'!AD4&gt;=2,"C",IF('Data Source'!AD4&gt;=1,"D","F")))))),"")</f>
        <v/>
      </c>
      <c r="M4" s="3">
        <f>IF(AND('Data Source'!B4&lt;&gt;"",'Data Source'!S4="F"),IF('Data Source'!AE4&gt;=5,"A+",IF('Data Source'!AE4&gt;=4,"A",IF('Data Source'!AE4&gt;=3.5,"A-",IF('Data Source'!AE4&gt;=3,"B",IF('Data Source'!AE4&gt;=2,"C",IF('Data Source'!AE4&gt;=1,"D","F")))))),"")</f>
        <v/>
      </c>
      <c r="N4" s="3">
        <f>IF(AND('Data Source'!B4&lt;&gt;"",'Data Source'!S4="F"),IF('Data Source'!AF4&gt;=5,"A+",IF('Data Source'!AF4&gt;=4,"A",IF('Data Source'!AF4&gt;=3.5,"A-",IF('Data Source'!AF4&gt;=3,"B",IF('Data Source'!AF4&gt;=2,"C",IF('Data Source'!AF4&gt;=1,"D","F")))))),"")</f>
        <v/>
      </c>
      <c r="O4" s="3">
        <f>IF(AND('Data Source'!B4&lt;&gt;"",'Data Source'!S4="F"),IF('Data Source'!AG4&gt;=5,"A+",IF('Data Source'!AG4&gt;=4,"A",IF('Data Source'!AG4&gt;=3.5,"A-",IF('Data Source'!AG4&gt;=3,"B",IF('Data Source'!AG4&gt;=2,"C",IF('Data Source'!AG4&gt;=1,"D","F")))))),"")</f>
        <v/>
      </c>
      <c r="P4" s="5">
        <f>IF(AND('Data Source'!B4&lt;&gt;"",'Data Source'!S4="F"),'Data Source'!R4,"")</f>
        <v/>
      </c>
      <c r="Q4" s="3">
        <f>IF(AND('Data Source'!B4&lt;&gt;"",'Data Source'!S4="F"),'Data Source'!S4,"")</f>
        <v/>
      </c>
    </row>
    <row r="5">
      <c r="A5" s="3">
        <f>IF(AND('Data Source'!B5&lt;&gt;"",'Data Source'!S5="F"),COUNTIF('Data Source'!$S$3:S5,"F"),"")</f>
        <v/>
      </c>
      <c r="B5">
        <f>IF(AND('Data Source'!B5&lt;&gt;"",'Data Source'!S5="F"),'Data Source'!B5,"")</f>
        <v/>
      </c>
      <c r="C5" s="3">
        <f>IF(AND('Data Source'!B5&lt;&gt;"",'Data Source'!S5="F"),IF('Data Source'!U5&gt;=5,"A+",IF('Data Source'!U5&gt;=4,"A",IF('Data Source'!U5&gt;=3.5,"A-",IF('Data Source'!U5&gt;=3,"B",IF('Data Source'!U5&gt;=2,"C",IF('Data Source'!U5&gt;=1,"D","F")))))),"")</f>
        <v/>
      </c>
      <c r="D5" s="3">
        <f>IF(AND('Data Source'!B5&lt;&gt;"",'Data Source'!S5="F"),IF('Data Source'!V5&gt;=5,"A+",IF('Data Source'!V5&gt;=4,"A",IF('Data Source'!V5&gt;=3.5,"A-",IF('Data Source'!V5&gt;=3,"B",IF('Data Source'!V5&gt;=2,"C",IF('Data Source'!V5&gt;=1,"D","F")))))),"")</f>
        <v/>
      </c>
      <c r="E5" s="3">
        <f>IF(AND('Data Source'!B5&lt;&gt;"",'Data Source'!S5="F"),IF('Data Source'!W5&gt;=5,"A+",IF('Data Source'!W5&gt;=4,"A",IF('Data Source'!W5&gt;=3.5,"A-",IF('Data Source'!W5&gt;=3,"B",IF('Data Source'!W5&gt;=2,"C",IF('Data Source'!W5&gt;=1,"D","F")))))),"")</f>
        <v/>
      </c>
      <c r="F5" s="3">
        <f>IF(AND('Data Source'!B5&lt;&gt;"",'Data Source'!S5="F"),IF('Data Source'!X5&gt;=5,"A+",IF('Data Source'!X5&gt;=4,"A",IF('Data Source'!X5&gt;=3.5,"A-",IF('Data Source'!X5&gt;=3,"B",IF('Data Source'!X5&gt;=2,"C",IF('Data Source'!X5&gt;=1,"D","F")))))),"")</f>
        <v/>
      </c>
      <c r="G5" s="3">
        <f>IF(AND('Data Source'!B5&lt;&gt;"",'Data Source'!S5="F"),IF('Data Source'!Y5&gt;=5,"A+",IF('Data Source'!Y5&gt;=4,"A",IF('Data Source'!Y5&gt;=3.5,"A-",IF('Data Source'!Y5&gt;=3,"B",IF('Data Source'!Y5&gt;=2,"C",IF('Data Source'!Y5&gt;=1,"D","F")))))),"")</f>
        <v/>
      </c>
      <c r="H5" s="3">
        <f>IF(AND('Data Source'!B5&lt;&gt;"",'Data Source'!S5="F"),IF('Data Source'!Z5&gt;=5,"A+",IF('Data Source'!Z5&gt;=4,"A",IF('Data Source'!Z5&gt;=3.5,"A-",IF('Data Source'!Z5&gt;=3,"B",IF('Data Source'!Z5&gt;=2,"C",IF('Data Source'!Z5&gt;=1,"D","F")))))),"")</f>
        <v/>
      </c>
      <c r="I5" s="3">
        <f>IF(AND('Data Source'!B5&lt;&gt;"",'Data Source'!S5="F"),IF('Data Source'!AA5&gt;=5,"A+",IF('Data Source'!AA5&gt;=4,"A",IF('Data Source'!AA5&gt;=3.5,"A-",IF('Data Source'!AA5&gt;=3,"B",IF('Data Source'!AA5&gt;=2,"C",IF('Data Source'!AA5&gt;=1,"D","F")))))),"")</f>
        <v/>
      </c>
      <c r="J5" s="3">
        <f>IF(AND('Data Source'!B5&lt;&gt;"",'Data Source'!S5="F"),IF('Data Source'!AB5&gt;=5,"A+",IF('Data Source'!AB5&gt;=4,"A",IF('Data Source'!AB5&gt;=3.5,"A-",IF('Data Source'!AB5&gt;=3,"B",IF('Data Source'!AB5&gt;=2,"C",IF('Data Source'!AB5&gt;=1,"D","F")))))),"")</f>
        <v/>
      </c>
      <c r="K5" s="3">
        <f>IF(AND('Data Source'!B5&lt;&gt;"",'Data Source'!S5="F"),IF('Data Source'!AC5&gt;=5,"A+",IF('Data Source'!AC5&gt;=4,"A",IF('Data Source'!AC5&gt;=3.5,"A-",IF('Data Source'!AC5&gt;=3,"B",IF('Data Source'!AC5&gt;=2,"C",IF('Data Source'!AC5&gt;=1,"D","F")))))),"")</f>
        <v/>
      </c>
      <c r="L5" s="3">
        <f>IF(AND('Data Source'!B5&lt;&gt;"",'Data Source'!S5="F"),IF('Data Source'!AD5&gt;=5,"A+",IF('Data Source'!AD5&gt;=4,"A",IF('Data Source'!AD5&gt;=3.5,"A-",IF('Data Source'!AD5&gt;=3,"B",IF('Data Source'!AD5&gt;=2,"C",IF('Data Source'!AD5&gt;=1,"D","F")))))),"")</f>
        <v/>
      </c>
      <c r="M5" s="3">
        <f>IF(AND('Data Source'!B5&lt;&gt;"",'Data Source'!S5="F"),IF('Data Source'!AE5&gt;=5,"A+",IF('Data Source'!AE5&gt;=4,"A",IF('Data Source'!AE5&gt;=3.5,"A-",IF('Data Source'!AE5&gt;=3,"B",IF('Data Source'!AE5&gt;=2,"C",IF('Data Source'!AE5&gt;=1,"D","F")))))),"")</f>
        <v/>
      </c>
      <c r="N5" s="3">
        <f>IF(AND('Data Source'!B5&lt;&gt;"",'Data Source'!S5="F"),IF('Data Source'!AF5&gt;=5,"A+",IF('Data Source'!AF5&gt;=4,"A",IF('Data Source'!AF5&gt;=3.5,"A-",IF('Data Source'!AF5&gt;=3,"B",IF('Data Source'!AF5&gt;=2,"C",IF('Data Source'!AF5&gt;=1,"D","F")))))),"")</f>
        <v/>
      </c>
      <c r="O5" s="3">
        <f>IF(AND('Data Source'!B5&lt;&gt;"",'Data Source'!S5="F"),IF('Data Source'!AG5&gt;=5,"A+",IF('Data Source'!AG5&gt;=4,"A",IF('Data Source'!AG5&gt;=3.5,"A-",IF('Data Source'!AG5&gt;=3,"B",IF('Data Source'!AG5&gt;=2,"C",IF('Data Source'!AG5&gt;=1,"D","F")))))),"")</f>
        <v/>
      </c>
      <c r="P5" s="5">
        <f>IF(AND('Data Source'!B5&lt;&gt;"",'Data Source'!S5="F"),'Data Source'!R5,"")</f>
        <v/>
      </c>
      <c r="Q5" s="3">
        <f>IF(AND('Data Source'!B5&lt;&gt;"",'Data Source'!S5="F"),'Data Source'!S5,"")</f>
        <v/>
      </c>
    </row>
    <row r="6">
      <c r="A6" s="3">
        <f>IF(AND('Data Source'!B6&lt;&gt;"",'Data Source'!S6="F"),COUNTIF('Data Source'!$S$3:S6,"F"),"")</f>
        <v/>
      </c>
      <c r="B6">
        <f>IF(AND('Data Source'!B6&lt;&gt;"",'Data Source'!S6="F"),'Data Source'!B6,"")</f>
        <v/>
      </c>
      <c r="C6" s="3">
        <f>IF(AND('Data Source'!B6&lt;&gt;"",'Data Source'!S6="F"),IF('Data Source'!U6&gt;=5,"A+",IF('Data Source'!U6&gt;=4,"A",IF('Data Source'!U6&gt;=3.5,"A-",IF('Data Source'!U6&gt;=3,"B",IF('Data Source'!U6&gt;=2,"C",IF('Data Source'!U6&gt;=1,"D","F")))))),"")</f>
        <v/>
      </c>
      <c r="D6" s="3">
        <f>IF(AND('Data Source'!B6&lt;&gt;"",'Data Source'!S6="F"),IF('Data Source'!V6&gt;=5,"A+",IF('Data Source'!V6&gt;=4,"A",IF('Data Source'!V6&gt;=3.5,"A-",IF('Data Source'!V6&gt;=3,"B",IF('Data Source'!V6&gt;=2,"C",IF('Data Source'!V6&gt;=1,"D","F")))))),"")</f>
        <v/>
      </c>
      <c r="E6" s="3">
        <f>IF(AND('Data Source'!B6&lt;&gt;"",'Data Source'!S6="F"),IF('Data Source'!W6&gt;=5,"A+",IF('Data Source'!W6&gt;=4,"A",IF('Data Source'!W6&gt;=3.5,"A-",IF('Data Source'!W6&gt;=3,"B",IF('Data Source'!W6&gt;=2,"C",IF('Data Source'!W6&gt;=1,"D","F")))))),"")</f>
        <v/>
      </c>
      <c r="F6" s="3">
        <f>IF(AND('Data Source'!B6&lt;&gt;"",'Data Source'!S6="F"),IF('Data Source'!X6&gt;=5,"A+",IF('Data Source'!X6&gt;=4,"A",IF('Data Source'!X6&gt;=3.5,"A-",IF('Data Source'!X6&gt;=3,"B",IF('Data Source'!X6&gt;=2,"C",IF('Data Source'!X6&gt;=1,"D","F")))))),"")</f>
        <v/>
      </c>
      <c r="G6" s="3">
        <f>IF(AND('Data Source'!B6&lt;&gt;"",'Data Source'!S6="F"),IF('Data Source'!Y6&gt;=5,"A+",IF('Data Source'!Y6&gt;=4,"A",IF('Data Source'!Y6&gt;=3.5,"A-",IF('Data Source'!Y6&gt;=3,"B",IF('Data Source'!Y6&gt;=2,"C",IF('Data Source'!Y6&gt;=1,"D","F")))))),"")</f>
        <v/>
      </c>
      <c r="H6" s="3">
        <f>IF(AND('Data Source'!B6&lt;&gt;"",'Data Source'!S6="F"),IF('Data Source'!Z6&gt;=5,"A+",IF('Data Source'!Z6&gt;=4,"A",IF('Data Source'!Z6&gt;=3.5,"A-",IF('Data Source'!Z6&gt;=3,"B",IF('Data Source'!Z6&gt;=2,"C",IF('Data Source'!Z6&gt;=1,"D","F")))))),"")</f>
        <v/>
      </c>
      <c r="I6" s="3">
        <f>IF(AND('Data Source'!B6&lt;&gt;"",'Data Source'!S6="F"),IF('Data Source'!AA6&gt;=5,"A+",IF('Data Source'!AA6&gt;=4,"A",IF('Data Source'!AA6&gt;=3.5,"A-",IF('Data Source'!AA6&gt;=3,"B",IF('Data Source'!AA6&gt;=2,"C",IF('Data Source'!AA6&gt;=1,"D","F")))))),"")</f>
        <v/>
      </c>
      <c r="J6" s="3">
        <f>IF(AND('Data Source'!B6&lt;&gt;"",'Data Source'!S6="F"),IF('Data Source'!AB6&gt;=5,"A+",IF('Data Source'!AB6&gt;=4,"A",IF('Data Source'!AB6&gt;=3.5,"A-",IF('Data Source'!AB6&gt;=3,"B",IF('Data Source'!AB6&gt;=2,"C",IF('Data Source'!AB6&gt;=1,"D","F")))))),"")</f>
        <v/>
      </c>
      <c r="K6" s="3">
        <f>IF(AND('Data Source'!B6&lt;&gt;"",'Data Source'!S6="F"),IF('Data Source'!AC6&gt;=5,"A+",IF('Data Source'!AC6&gt;=4,"A",IF('Data Source'!AC6&gt;=3.5,"A-",IF('Data Source'!AC6&gt;=3,"B",IF('Data Source'!AC6&gt;=2,"C",IF('Data Source'!AC6&gt;=1,"D","F")))))),"")</f>
        <v/>
      </c>
      <c r="L6" s="3">
        <f>IF(AND('Data Source'!B6&lt;&gt;"",'Data Source'!S6="F"),IF('Data Source'!AD6&gt;=5,"A+",IF('Data Source'!AD6&gt;=4,"A",IF('Data Source'!AD6&gt;=3.5,"A-",IF('Data Source'!AD6&gt;=3,"B",IF('Data Source'!AD6&gt;=2,"C",IF('Data Source'!AD6&gt;=1,"D","F")))))),"")</f>
        <v/>
      </c>
      <c r="M6" s="3">
        <f>IF(AND('Data Source'!B6&lt;&gt;"",'Data Source'!S6="F"),IF('Data Source'!AE6&gt;=5,"A+",IF('Data Source'!AE6&gt;=4,"A",IF('Data Source'!AE6&gt;=3.5,"A-",IF('Data Source'!AE6&gt;=3,"B",IF('Data Source'!AE6&gt;=2,"C",IF('Data Source'!AE6&gt;=1,"D","F")))))),"")</f>
        <v/>
      </c>
      <c r="N6" s="3">
        <f>IF(AND('Data Source'!B6&lt;&gt;"",'Data Source'!S6="F"),IF('Data Source'!AF6&gt;=5,"A+",IF('Data Source'!AF6&gt;=4,"A",IF('Data Source'!AF6&gt;=3.5,"A-",IF('Data Source'!AF6&gt;=3,"B",IF('Data Source'!AF6&gt;=2,"C",IF('Data Source'!AF6&gt;=1,"D","F")))))),"")</f>
        <v/>
      </c>
      <c r="O6" s="3">
        <f>IF(AND('Data Source'!B6&lt;&gt;"",'Data Source'!S6="F"),IF('Data Source'!AG6&gt;=5,"A+",IF('Data Source'!AG6&gt;=4,"A",IF('Data Source'!AG6&gt;=3.5,"A-",IF('Data Source'!AG6&gt;=3,"B",IF('Data Source'!AG6&gt;=2,"C",IF('Data Source'!AG6&gt;=1,"D","F")))))),"")</f>
        <v/>
      </c>
      <c r="P6" s="5">
        <f>IF(AND('Data Source'!B6&lt;&gt;"",'Data Source'!S6="F"),'Data Source'!R6,"")</f>
        <v/>
      </c>
      <c r="Q6" s="3">
        <f>IF(AND('Data Source'!B6&lt;&gt;"",'Data Source'!S6="F"),'Data Source'!S6,"")</f>
        <v/>
      </c>
    </row>
    <row r="7">
      <c r="A7" s="3">
        <f>IF(AND('Data Source'!B7&lt;&gt;"",'Data Source'!S7="F"),COUNTIF('Data Source'!$S$3:S7,"F"),"")</f>
        <v/>
      </c>
      <c r="B7">
        <f>IF(AND('Data Source'!B7&lt;&gt;"",'Data Source'!S7="F"),'Data Source'!B7,"")</f>
        <v/>
      </c>
      <c r="C7" s="3">
        <f>IF(AND('Data Source'!B7&lt;&gt;"",'Data Source'!S7="F"),IF('Data Source'!U7&gt;=5,"A+",IF('Data Source'!U7&gt;=4,"A",IF('Data Source'!U7&gt;=3.5,"A-",IF('Data Source'!U7&gt;=3,"B",IF('Data Source'!U7&gt;=2,"C",IF('Data Source'!U7&gt;=1,"D","F")))))),"")</f>
        <v/>
      </c>
      <c r="D7" s="3">
        <f>IF(AND('Data Source'!B7&lt;&gt;"",'Data Source'!S7="F"),IF('Data Source'!V7&gt;=5,"A+",IF('Data Source'!V7&gt;=4,"A",IF('Data Source'!V7&gt;=3.5,"A-",IF('Data Source'!V7&gt;=3,"B",IF('Data Source'!V7&gt;=2,"C",IF('Data Source'!V7&gt;=1,"D","F")))))),"")</f>
        <v/>
      </c>
      <c r="E7" s="3">
        <f>IF(AND('Data Source'!B7&lt;&gt;"",'Data Source'!S7="F"),IF('Data Source'!W7&gt;=5,"A+",IF('Data Source'!W7&gt;=4,"A",IF('Data Source'!W7&gt;=3.5,"A-",IF('Data Source'!W7&gt;=3,"B",IF('Data Source'!W7&gt;=2,"C",IF('Data Source'!W7&gt;=1,"D","F")))))),"")</f>
        <v/>
      </c>
      <c r="F7" s="3">
        <f>IF(AND('Data Source'!B7&lt;&gt;"",'Data Source'!S7="F"),IF('Data Source'!X7&gt;=5,"A+",IF('Data Source'!X7&gt;=4,"A",IF('Data Source'!X7&gt;=3.5,"A-",IF('Data Source'!X7&gt;=3,"B",IF('Data Source'!X7&gt;=2,"C",IF('Data Source'!X7&gt;=1,"D","F")))))),"")</f>
        <v/>
      </c>
      <c r="G7" s="3">
        <f>IF(AND('Data Source'!B7&lt;&gt;"",'Data Source'!S7="F"),IF('Data Source'!Y7&gt;=5,"A+",IF('Data Source'!Y7&gt;=4,"A",IF('Data Source'!Y7&gt;=3.5,"A-",IF('Data Source'!Y7&gt;=3,"B",IF('Data Source'!Y7&gt;=2,"C",IF('Data Source'!Y7&gt;=1,"D","F")))))),"")</f>
        <v/>
      </c>
      <c r="H7" s="3">
        <f>IF(AND('Data Source'!B7&lt;&gt;"",'Data Source'!S7="F"),IF('Data Source'!Z7&gt;=5,"A+",IF('Data Source'!Z7&gt;=4,"A",IF('Data Source'!Z7&gt;=3.5,"A-",IF('Data Source'!Z7&gt;=3,"B",IF('Data Source'!Z7&gt;=2,"C",IF('Data Source'!Z7&gt;=1,"D","F")))))),"")</f>
        <v/>
      </c>
      <c r="I7" s="3">
        <f>IF(AND('Data Source'!B7&lt;&gt;"",'Data Source'!S7="F"),IF('Data Source'!AA7&gt;=5,"A+",IF('Data Source'!AA7&gt;=4,"A",IF('Data Source'!AA7&gt;=3.5,"A-",IF('Data Source'!AA7&gt;=3,"B",IF('Data Source'!AA7&gt;=2,"C",IF('Data Source'!AA7&gt;=1,"D","F")))))),"")</f>
        <v/>
      </c>
      <c r="J7" s="3">
        <f>IF(AND('Data Source'!B7&lt;&gt;"",'Data Source'!S7="F"),IF('Data Source'!AB7&gt;=5,"A+",IF('Data Source'!AB7&gt;=4,"A",IF('Data Source'!AB7&gt;=3.5,"A-",IF('Data Source'!AB7&gt;=3,"B",IF('Data Source'!AB7&gt;=2,"C",IF('Data Source'!AB7&gt;=1,"D","F")))))),"")</f>
        <v/>
      </c>
      <c r="K7" s="3">
        <f>IF(AND('Data Source'!B7&lt;&gt;"",'Data Source'!S7="F"),IF('Data Source'!AC7&gt;=5,"A+",IF('Data Source'!AC7&gt;=4,"A",IF('Data Source'!AC7&gt;=3.5,"A-",IF('Data Source'!AC7&gt;=3,"B",IF('Data Source'!AC7&gt;=2,"C",IF('Data Source'!AC7&gt;=1,"D","F")))))),"")</f>
        <v/>
      </c>
      <c r="L7" s="3">
        <f>IF(AND('Data Source'!B7&lt;&gt;"",'Data Source'!S7="F"),IF('Data Source'!AD7&gt;=5,"A+",IF('Data Source'!AD7&gt;=4,"A",IF('Data Source'!AD7&gt;=3.5,"A-",IF('Data Source'!AD7&gt;=3,"B",IF('Data Source'!AD7&gt;=2,"C",IF('Data Source'!AD7&gt;=1,"D","F")))))),"")</f>
        <v/>
      </c>
      <c r="M7" s="3">
        <f>IF(AND('Data Source'!B7&lt;&gt;"",'Data Source'!S7="F"),IF('Data Source'!AE7&gt;=5,"A+",IF('Data Source'!AE7&gt;=4,"A",IF('Data Source'!AE7&gt;=3.5,"A-",IF('Data Source'!AE7&gt;=3,"B",IF('Data Source'!AE7&gt;=2,"C",IF('Data Source'!AE7&gt;=1,"D","F")))))),"")</f>
        <v/>
      </c>
      <c r="N7" s="3">
        <f>IF(AND('Data Source'!B7&lt;&gt;"",'Data Source'!S7="F"),IF('Data Source'!AF7&gt;=5,"A+",IF('Data Source'!AF7&gt;=4,"A",IF('Data Source'!AF7&gt;=3.5,"A-",IF('Data Source'!AF7&gt;=3,"B",IF('Data Source'!AF7&gt;=2,"C",IF('Data Source'!AF7&gt;=1,"D","F")))))),"")</f>
        <v/>
      </c>
      <c r="O7" s="3">
        <f>IF(AND('Data Source'!B7&lt;&gt;"",'Data Source'!S7="F"),IF('Data Source'!AG7&gt;=5,"A+",IF('Data Source'!AG7&gt;=4,"A",IF('Data Source'!AG7&gt;=3.5,"A-",IF('Data Source'!AG7&gt;=3,"B",IF('Data Source'!AG7&gt;=2,"C",IF('Data Source'!AG7&gt;=1,"D","F")))))),"")</f>
        <v/>
      </c>
      <c r="P7" s="5">
        <f>IF(AND('Data Source'!B7&lt;&gt;"",'Data Source'!S7="F"),'Data Source'!R7,"")</f>
        <v/>
      </c>
      <c r="Q7" s="3">
        <f>IF(AND('Data Source'!B7&lt;&gt;"",'Data Source'!S7="F"),'Data Source'!S7,"")</f>
        <v/>
      </c>
    </row>
    <row r="8">
      <c r="A8" s="3">
        <f>IF(AND('Data Source'!B8&lt;&gt;"",'Data Source'!S8="F"),COUNTIF('Data Source'!$S$3:S8,"F"),"")</f>
        <v/>
      </c>
      <c r="B8">
        <f>IF(AND('Data Source'!B8&lt;&gt;"",'Data Source'!S8="F"),'Data Source'!B8,"")</f>
        <v/>
      </c>
      <c r="C8" s="3">
        <f>IF(AND('Data Source'!B8&lt;&gt;"",'Data Source'!S8="F"),IF('Data Source'!U8&gt;=5,"A+",IF('Data Source'!U8&gt;=4,"A",IF('Data Source'!U8&gt;=3.5,"A-",IF('Data Source'!U8&gt;=3,"B",IF('Data Source'!U8&gt;=2,"C",IF('Data Source'!U8&gt;=1,"D","F")))))),"")</f>
        <v/>
      </c>
      <c r="D8" s="3">
        <f>IF(AND('Data Source'!B8&lt;&gt;"",'Data Source'!S8="F"),IF('Data Source'!V8&gt;=5,"A+",IF('Data Source'!V8&gt;=4,"A",IF('Data Source'!V8&gt;=3.5,"A-",IF('Data Source'!V8&gt;=3,"B",IF('Data Source'!V8&gt;=2,"C",IF('Data Source'!V8&gt;=1,"D","F")))))),"")</f>
        <v/>
      </c>
      <c r="E8" s="3">
        <f>IF(AND('Data Source'!B8&lt;&gt;"",'Data Source'!S8="F"),IF('Data Source'!W8&gt;=5,"A+",IF('Data Source'!W8&gt;=4,"A",IF('Data Source'!W8&gt;=3.5,"A-",IF('Data Source'!W8&gt;=3,"B",IF('Data Source'!W8&gt;=2,"C",IF('Data Source'!W8&gt;=1,"D","F")))))),"")</f>
        <v/>
      </c>
      <c r="F8" s="3">
        <f>IF(AND('Data Source'!B8&lt;&gt;"",'Data Source'!S8="F"),IF('Data Source'!X8&gt;=5,"A+",IF('Data Source'!X8&gt;=4,"A",IF('Data Source'!X8&gt;=3.5,"A-",IF('Data Source'!X8&gt;=3,"B",IF('Data Source'!X8&gt;=2,"C",IF('Data Source'!X8&gt;=1,"D","F")))))),"")</f>
        <v/>
      </c>
      <c r="G8" s="3">
        <f>IF(AND('Data Source'!B8&lt;&gt;"",'Data Source'!S8="F"),IF('Data Source'!Y8&gt;=5,"A+",IF('Data Source'!Y8&gt;=4,"A",IF('Data Source'!Y8&gt;=3.5,"A-",IF('Data Source'!Y8&gt;=3,"B",IF('Data Source'!Y8&gt;=2,"C",IF('Data Source'!Y8&gt;=1,"D","F")))))),"")</f>
        <v/>
      </c>
      <c r="H8" s="3">
        <f>IF(AND('Data Source'!B8&lt;&gt;"",'Data Source'!S8="F"),IF('Data Source'!Z8&gt;=5,"A+",IF('Data Source'!Z8&gt;=4,"A",IF('Data Source'!Z8&gt;=3.5,"A-",IF('Data Source'!Z8&gt;=3,"B",IF('Data Source'!Z8&gt;=2,"C",IF('Data Source'!Z8&gt;=1,"D","F")))))),"")</f>
        <v/>
      </c>
      <c r="I8" s="3">
        <f>IF(AND('Data Source'!B8&lt;&gt;"",'Data Source'!S8="F"),IF('Data Source'!AA8&gt;=5,"A+",IF('Data Source'!AA8&gt;=4,"A",IF('Data Source'!AA8&gt;=3.5,"A-",IF('Data Source'!AA8&gt;=3,"B",IF('Data Source'!AA8&gt;=2,"C",IF('Data Source'!AA8&gt;=1,"D","F")))))),"")</f>
        <v/>
      </c>
      <c r="J8" s="3">
        <f>IF(AND('Data Source'!B8&lt;&gt;"",'Data Source'!S8="F"),IF('Data Source'!AB8&gt;=5,"A+",IF('Data Source'!AB8&gt;=4,"A",IF('Data Source'!AB8&gt;=3.5,"A-",IF('Data Source'!AB8&gt;=3,"B",IF('Data Source'!AB8&gt;=2,"C",IF('Data Source'!AB8&gt;=1,"D","F")))))),"")</f>
        <v/>
      </c>
      <c r="K8" s="3">
        <f>IF(AND('Data Source'!B8&lt;&gt;"",'Data Source'!S8="F"),IF('Data Source'!AC8&gt;=5,"A+",IF('Data Source'!AC8&gt;=4,"A",IF('Data Source'!AC8&gt;=3.5,"A-",IF('Data Source'!AC8&gt;=3,"B",IF('Data Source'!AC8&gt;=2,"C",IF('Data Source'!AC8&gt;=1,"D","F")))))),"")</f>
        <v/>
      </c>
      <c r="L8" s="3">
        <f>IF(AND('Data Source'!B8&lt;&gt;"",'Data Source'!S8="F"),IF('Data Source'!AD8&gt;=5,"A+",IF('Data Source'!AD8&gt;=4,"A",IF('Data Source'!AD8&gt;=3.5,"A-",IF('Data Source'!AD8&gt;=3,"B",IF('Data Source'!AD8&gt;=2,"C",IF('Data Source'!AD8&gt;=1,"D","F")))))),"")</f>
        <v/>
      </c>
      <c r="M8" s="3">
        <f>IF(AND('Data Source'!B8&lt;&gt;"",'Data Source'!S8="F"),IF('Data Source'!AE8&gt;=5,"A+",IF('Data Source'!AE8&gt;=4,"A",IF('Data Source'!AE8&gt;=3.5,"A-",IF('Data Source'!AE8&gt;=3,"B",IF('Data Source'!AE8&gt;=2,"C",IF('Data Source'!AE8&gt;=1,"D","F")))))),"")</f>
        <v/>
      </c>
      <c r="N8" s="3">
        <f>IF(AND('Data Source'!B8&lt;&gt;"",'Data Source'!S8="F"),IF('Data Source'!AF8&gt;=5,"A+",IF('Data Source'!AF8&gt;=4,"A",IF('Data Source'!AF8&gt;=3.5,"A-",IF('Data Source'!AF8&gt;=3,"B",IF('Data Source'!AF8&gt;=2,"C",IF('Data Source'!AF8&gt;=1,"D","F")))))),"")</f>
        <v/>
      </c>
      <c r="O8" s="3">
        <f>IF(AND('Data Source'!B8&lt;&gt;"",'Data Source'!S8="F"),IF('Data Source'!AG8&gt;=5,"A+",IF('Data Source'!AG8&gt;=4,"A",IF('Data Source'!AG8&gt;=3.5,"A-",IF('Data Source'!AG8&gt;=3,"B",IF('Data Source'!AG8&gt;=2,"C",IF('Data Source'!AG8&gt;=1,"D","F")))))),"")</f>
        <v/>
      </c>
      <c r="P8" s="5">
        <f>IF(AND('Data Source'!B8&lt;&gt;"",'Data Source'!S8="F"),'Data Source'!R8,"")</f>
        <v/>
      </c>
      <c r="Q8" s="3">
        <f>IF(AND('Data Source'!B8&lt;&gt;"",'Data Source'!S8="F"),'Data Source'!S8,"")</f>
        <v/>
      </c>
    </row>
    <row r="9">
      <c r="A9" s="3">
        <f>IF(AND('Data Source'!B9&lt;&gt;"",'Data Source'!S9="F"),COUNTIF('Data Source'!$S$3:S9,"F"),"")</f>
        <v/>
      </c>
      <c r="B9">
        <f>IF(AND('Data Source'!B9&lt;&gt;"",'Data Source'!S9="F"),'Data Source'!B9,"")</f>
        <v/>
      </c>
      <c r="C9" s="3">
        <f>IF(AND('Data Source'!B9&lt;&gt;"",'Data Source'!S9="F"),IF('Data Source'!U9&gt;=5,"A+",IF('Data Source'!U9&gt;=4,"A",IF('Data Source'!U9&gt;=3.5,"A-",IF('Data Source'!U9&gt;=3,"B",IF('Data Source'!U9&gt;=2,"C",IF('Data Source'!U9&gt;=1,"D","F")))))),"")</f>
        <v/>
      </c>
      <c r="D9" s="3">
        <f>IF(AND('Data Source'!B9&lt;&gt;"",'Data Source'!S9="F"),IF('Data Source'!V9&gt;=5,"A+",IF('Data Source'!V9&gt;=4,"A",IF('Data Source'!V9&gt;=3.5,"A-",IF('Data Source'!V9&gt;=3,"B",IF('Data Source'!V9&gt;=2,"C",IF('Data Source'!V9&gt;=1,"D","F")))))),"")</f>
        <v/>
      </c>
      <c r="E9" s="3">
        <f>IF(AND('Data Source'!B9&lt;&gt;"",'Data Source'!S9="F"),IF('Data Source'!W9&gt;=5,"A+",IF('Data Source'!W9&gt;=4,"A",IF('Data Source'!W9&gt;=3.5,"A-",IF('Data Source'!W9&gt;=3,"B",IF('Data Source'!W9&gt;=2,"C",IF('Data Source'!W9&gt;=1,"D","F")))))),"")</f>
        <v/>
      </c>
      <c r="F9" s="3">
        <f>IF(AND('Data Source'!B9&lt;&gt;"",'Data Source'!S9="F"),IF('Data Source'!X9&gt;=5,"A+",IF('Data Source'!X9&gt;=4,"A",IF('Data Source'!X9&gt;=3.5,"A-",IF('Data Source'!X9&gt;=3,"B",IF('Data Source'!X9&gt;=2,"C",IF('Data Source'!X9&gt;=1,"D","F")))))),"")</f>
        <v/>
      </c>
      <c r="G9" s="3">
        <f>IF(AND('Data Source'!B9&lt;&gt;"",'Data Source'!S9="F"),IF('Data Source'!Y9&gt;=5,"A+",IF('Data Source'!Y9&gt;=4,"A",IF('Data Source'!Y9&gt;=3.5,"A-",IF('Data Source'!Y9&gt;=3,"B",IF('Data Source'!Y9&gt;=2,"C",IF('Data Source'!Y9&gt;=1,"D","F")))))),"")</f>
        <v/>
      </c>
      <c r="H9" s="3">
        <f>IF(AND('Data Source'!B9&lt;&gt;"",'Data Source'!S9="F"),IF('Data Source'!Z9&gt;=5,"A+",IF('Data Source'!Z9&gt;=4,"A",IF('Data Source'!Z9&gt;=3.5,"A-",IF('Data Source'!Z9&gt;=3,"B",IF('Data Source'!Z9&gt;=2,"C",IF('Data Source'!Z9&gt;=1,"D","F")))))),"")</f>
        <v/>
      </c>
      <c r="I9" s="3">
        <f>IF(AND('Data Source'!B9&lt;&gt;"",'Data Source'!S9="F"),IF('Data Source'!AA9&gt;=5,"A+",IF('Data Source'!AA9&gt;=4,"A",IF('Data Source'!AA9&gt;=3.5,"A-",IF('Data Source'!AA9&gt;=3,"B",IF('Data Source'!AA9&gt;=2,"C",IF('Data Source'!AA9&gt;=1,"D","F")))))),"")</f>
        <v/>
      </c>
      <c r="J9" s="3">
        <f>IF(AND('Data Source'!B9&lt;&gt;"",'Data Source'!S9="F"),IF('Data Source'!AB9&gt;=5,"A+",IF('Data Source'!AB9&gt;=4,"A",IF('Data Source'!AB9&gt;=3.5,"A-",IF('Data Source'!AB9&gt;=3,"B",IF('Data Source'!AB9&gt;=2,"C",IF('Data Source'!AB9&gt;=1,"D","F")))))),"")</f>
        <v/>
      </c>
      <c r="K9" s="3">
        <f>IF(AND('Data Source'!B9&lt;&gt;"",'Data Source'!S9="F"),IF('Data Source'!AC9&gt;=5,"A+",IF('Data Source'!AC9&gt;=4,"A",IF('Data Source'!AC9&gt;=3.5,"A-",IF('Data Source'!AC9&gt;=3,"B",IF('Data Source'!AC9&gt;=2,"C",IF('Data Source'!AC9&gt;=1,"D","F")))))),"")</f>
        <v/>
      </c>
      <c r="L9" s="3">
        <f>IF(AND('Data Source'!B9&lt;&gt;"",'Data Source'!S9="F"),IF('Data Source'!AD9&gt;=5,"A+",IF('Data Source'!AD9&gt;=4,"A",IF('Data Source'!AD9&gt;=3.5,"A-",IF('Data Source'!AD9&gt;=3,"B",IF('Data Source'!AD9&gt;=2,"C",IF('Data Source'!AD9&gt;=1,"D","F")))))),"")</f>
        <v/>
      </c>
      <c r="M9" s="3">
        <f>IF(AND('Data Source'!B9&lt;&gt;"",'Data Source'!S9="F"),IF('Data Source'!AE9&gt;=5,"A+",IF('Data Source'!AE9&gt;=4,"A",IF('Data Source'!AE9&gt;=3.5,"A-",IF('Data Source'!AE9&gt;=3,"B",IF('Data Source'!AE9&gt;=2,"C",IF('Data Source'!AE9&gt;=1,"D","F")))))),"")</f>
        <v/>
      </c>
      <c r="N9" s="3">
        <f>IF(AND('Data Source'!B9&lt;&gt;"",'Data Source'!S9="F"),IF('Data Source'!AF9&gt;=5,"A+",IF('Data Source'!AF9&gt;=4,"A",IF('Data Source'!AF9&gt;=3.5,"A-",IF('Data Source'!AF9&gt;=3,"B",IF('Data Source'!AF9&gt;=2,"C",IF('Data Source'!AF9&gt;=1,"D","F")))))),"")</f>
        <v/>
      </c>
      <c r="O9" s="3">
        <f>IF(AND('Data Source'!B9&lt;&gt;"",'Data Source'!S9="F"),IF('Data Source'!AG9&gt;=5,"A+",IF('Data Source'!AG9&gt;=4,"A",IF('Data Source'!AG9&gt;=3.5,"A-",IF('Data Source'!AG9&gt;=3,"B",IF('Data Source'!AG9&gt;=2,"C",IF('Data Source'!AG9&gt;=1,"D","F")))))),"")</f>
        <v/>
      </c>
      <c r="P9" s="5">
        <f>IF(AND('Data Source'!B9&lt;&gt;"",'Data Source'!S9="F"),'Data Source'!R9,"")</f>
        <v/>
      </c>
      <c r="Q9" s="3">
        <f>IF(AND('Data Source'!B9&lt;&gt;"",'Data Source'!S9="F"),'Data Source'!S9,"")</f>
        <v/>
      </c>
    </row>
    <row r="10">
      <c r="A10" s="3">
        <f>IF(AND('Data Source'!B10&lt;&gt;"",'Data Source'!S10="F"),COUNTIF('Data Source'!$S$3:S10,"F"),"")</f>
        <v/>
      </c>
      <c r="B10">
        <f>IF(AND('Data Source'!B10&lt;&gt;"",'Data Source'!S10="F"),'Data Source'!B10,"")</f>
        <v/>
      </c>
      <c r="C10" s="3">
        <f>IF(AND('Data Source'!B10&lt;&gt;"",'Data Source'!S10="F"),IF('Data Source'!U10&gt;=5,"A+",IF('Data Source'!U10&gt;=4,"A",IF('Data Source'!U10&gt;=3.5,"A-",IF('Data Source'!U10&gt;=3,"B",IF('Data Source'!U10&gt;=2,"C",IF('Data Source'!U10&gt;=1,"D","F")))))),"")</f>
        <v/>
      </c>
      <c r="D10" s="3">
        <f>IF(AND('Data Source'!B10&lt;&gt;"",'Data Source'!S10="F"),IF('Data Source'!V10&gt;=5,"A+",IF('Data Source'!V10&gt;=4,"A",IF('Data Source'!V10&gt;=3.5,"A-",IF('Data Source'!V10&gt;=3,"B",IF('Data Source'!V10&gt;=2,"C",IF('Data Source'!V10&gt;=1,"D","F")))))),"")</f>
        <v/>
      </c>
      <c r="E10" s="3">
        <f>IF(AND('Data Source'!B10&lt;&gt;"",'Data Source'!S10="F"),IF('Data Source'!W10&gt;=5,"A+",IF('Data Source'!W10&gt;=4,"A",IF('Data Source'!W10&gt;=3.5,"A-",IF('Data Source'!W10&gt;=3,"B",IF('Data Source'!W10&gt;=2,"C",IF('Data Source'!W10&gt;=1,"D","F")))))),"")</f>
        <v/>
      </c>
      <c r="F10" s="3">
        <f>IF(AND('Data Source'!B10&lt;&gt;"",'Data Source'!S10="F"),IF('Data Source'!X10&gt;=5,"A+",IF('Data Source'!X10&gt;=4,"A",IF('Data Source'!X10&gt;=3.5,"A-",IF('Data Source'!X10&gt;=3,"B",IF('Data Source'!X10&gt;=2,"C",IF('Data Source'!X10&gt;=1,"D","F")))))),"")</f>
        <v/>
      </c>
      <c r="G10" s="3">
        <f>IF(AND('Data Source'!B10&lt;&gt;"",'Data Source'!S10="F"),IF('Data Source'!Y10&gt;=5,"A+",IF('Data Source'!Y10&gt;=4,"A",IF('Data Source'!Y10&gt;=3.5,"A-",IF('Data Source'!Y10&gt;=3,"B",IF('Data Source'!Y10&gt;=2,"C",IF('Data Source'!Y10&gt;=1,"D","F")))))),"")</f>
        <v/>
      </c>
      <c r="H10" s="3">
        <f>IF(AND('Data Source'!B10&lt;&gt;"",'Data Source'!S10="F"),IF('Data Source'!Z10&gt;=5,"A+",IF('Data Source'!Z10&gt;=4,"A",IF('Data Source'!Z10&gt;=3.5,"A-",IF('Data Source'!Z10&gt;=3,"B",IF('Data Source'!Z10&gt;=2,"C",IF('Data Source'!Z10&gt;=1,"D","F")))))),"")</f>
        <v/>
      </c>
      <c r="I10" s="3">
        <f>IF(AND('Data Source'!B10&lt;&gt;"",'Data Source'!S10="F"),IF('Data Source'!AA10&gt;=5,"A+",IF('Data Source'!AA10&gt;=4,"A",IF('Data Source'!AA10&gt;=3.5,"A-",IF('Data Source'!AA10&gt;=3,"B",IF('Data Source'!AA10&gt;=2,"C",IF('Data Source'!AA10&gt;=1,"D","F")))))),"")</f>
        <v/>
      </c>
      <c r="J10" s="3">
        <f>IF(AND('Data Source'!B10&lt;&gt;"",'Data Source'!S10="F"),IF('Data Source'!AB10&gt;=5,"A+",IF('Data Source'!AB10&gt;=4,"A",IF('Data Source'!AB10&gt;=3.5,"A-",IF('Data Source'!AB10&gt;=3,"B",IF('Data Source'!AB10&gt;=2,"C",IF('Data Source'!AB10&gt;=1,"D","F")))))),"")</f>
        <v/>
      </c>
      <c r="K10" s="3">
        <f>IF(AND('Data Source'!B10&lt;&gt;"",'Data Source'!S10="F"),IF('Data Source'!AC10&gt;=5,"A+",IF('Data Source'!AC10&gt;=4,"A",IF('Data Source'!AC10&gt;=3.5,"A-",IF('Data Source'!AC10&gt;=3,"B",IF('Data Source'!AC10&gt;=2,"C",IF('Data Source'!AC10&gt;=1,"D","F")))))),"")</f>
        <v/>
      </c>
      <c r="L10" s="3">
        <f>IF(AND('Data Source'!B10&lt;&gt;"",'Data Source'!S10="F"),IF('Data Source'!AD10&gt;=5,"A+",IF('Data Source'!AD10&gt;=4,"A",IF('Data Source'!AD10&gt;=3.5,"A-",IF('Data Source'!AD10&gt;=3,"B",IF('Data Source'!AD10&gt;=2,"C",IF('Data Source'!AD10&gt;=1,"D","F")))))),"")</f>
        <v/>
      </c>
      <c r="M10" s="3">
        <f>IF(AND('Data Source'!B10&lt;&gt;"",'Data Source'!S10="F"),IF('Data Source'!AE10&gt;=5,"A+",IF('Data Source'!AE10&gt;=4,"A",IF('Data Source'!AE10&gt;=3.5,"A-",IF('Data Source'!AE10&gt;=3,"B",IF('Data Source'!AE10&gt;=2,"C",IF('Data Source'!AE10&gt;=1,"D","F")))))),"")</f>
        <v/>
      </c>
      <c r="N10" s="3">
        <f>IF(AND('Data Source'!B10&lt;&gt;"",'Data Source'!S10="F"),IF('Data Source'!AF10&gt;=5,"A+",IF('Data Source'!AF10&gt;=4,"A",IF('Data Source'!AF10&gt;=3.5,"A-",IF('Data Source'!AF10&gt;=3,"B",IF('Data Source'!AF10&gt;=2,"C",IF('Data Source'!AF10&gt;=1,"D","F")))))),"")</f>
        <v/>
      </c>
      <c r="O10" s="3">
        <f>IF(AND('Data Source'!B10&lt;&gt;"",'Data Source'!S10="F"),IF('Data Source'!AG10&gt;=5,"A+",IF('Data Source'!AG10&gt;=4,"A",IF('Data Source'!AG10&gt;=3.5,"A-",IF('Data Source'!AG10&gt;=3,"B",IF('Data Source'!AG10&gt;=2,"C",IF('Data Source'!AG10&gt;=1,"D","F")))))),"")</f>
        <v/>
      </c>
      <c r="P10" s="5">
        <f>IF(AND('Data Source'!B10&lt;&gt;"",'Data Source'!S10="F"),'Data Source'!R10,"")</f>
        <v/>
      </c>
      <c r="Q10" s="3">
        <f>IF(AND('Data Source'!B10&lt;&gt;"",'Data Source'!S10="F"),'Data Source'!S10,"")</f>
        <v/>
      </c>
    </row>
    <row r="11">
      <c r="A11" s="3">
        <f>IF(AND('Data Source'!B11&lt;&gt;"",'Data Source'!S11="F"),COUNTIF('Data Source'!$S$3:S11,"F"),"")</f>
        <v/>
      </c>
      <c r="B11">
        <f>IF(AND('Data Source'!B11&lt;&gt;"",'Data Source'!S11="F"),'Data Source'!B11,"")</f>
        <v/>
      </c>
      <c r="C11" s="3">
        <f>IF(AND('Data Source'!B11&lt;&gt;"",'Data Source'!S11="F"),IF('Data Source'!U11&gt;=5,"A+",IF('Data Source'!U11&gt;=4,"A",IF('Data Source'!U11&gt;=3.5,"A-",IF('Data Source'!U11&gt;=3,"B",IF('Data Source'!U11&gt;=2,"C",IF('Data Source'!U11&gt;=1,"D","F")))))),"")</f>
        <v/>
      </c>
      <c r="D11" s="3">
        <f>IF(AND('Data Source'!B11&lt;&gt;"",'Data Source'!S11="F"),IF('Data Source'!V11&gt;=5,"A+",IF('Data Source'!V11&gt;=4,"A",IF('Data Source'!V11&gt;=3.5,"A-",IF('Data Source'!V11&gt;=3,"B",IF('Data Source'!V11&gt;=2,"C",IF('Data Source'!V11&gt;=1,"D","F")))))),"")</f>
        <v/>
      </c>
      <c r="E11" s="3">
        <f>IF(AND('Data Source'!B11&lt;&gt;"",'Data Source'!S11="F"),IF('Data Source'!W11&gt;=5,"A+",IF('Data Source'!W11&gt;=4,"A",IF('Data Source'!W11&gt;=3.5,"A-",IF('Data Source'!W11&gt;=3,"B",IF('Data Source'!W11&gt;=2,"C",IF('Data Source'!W11&gt;=1,"D","F")))))),"")</f>
        <v/>
      </c>
      <c r="F11" s="3">
        <f>IF(AND('Data Source'!B11&lt;&gt;"",'Data Source'!S11="F"),IF('Data Source'!X11&gt;=5,"A+",IF('Data Source'!X11&gt;=4,"A",IF('Data Source'!X11&gt;=3.5,"A-",IF('Data Source'!X11&gt;=3,"B",IF('Data Source'!X11&gt;=2,"C",IF('Data Source'!X11&gt;=1,"D","F")))))),"")</f>
        <v/>
      </c>
      <c r="G11" s="3">
        <f>IF(AND('Data Source'!B11&lt;&gt;"",'Data Source'!S11="F"),IF('Data Source'!Y11&gt;=5,"A+",IF('Data Source'!Y11&gt;=4,"A",IF('Data Source'!Y11&gt;=3.5,"A-",IF('Data Source'!Y11&gt;=3,"B",IF('Data Source'!Y11&gt;=2,"C",IF('Data Source'!Y11&gt;=1,"D","F")))))),"")</f>
        <v/>
      </c>
      <c r="H11" s="3">
        <f>IF(AND('Data Source'!B11&lt;&gt;"",'Data Source'!S11="F"),IF('Data Source'!Z11&gt;=5,"A+",IF('Data Source'!Z11&gt;=4,"A",IF('Data Source'!Z11&gt;=3.5,"A-",IF('Data Source'!Z11&gt;=3,"B",IF('Data Source'!Z11&gt;=2,"C",IF('Data Source'!Z11&gt;=1,"D","F")))))),"")</f>
        <v/>
      </c>
      <c r="I11" s="3">
        <f>IF(AND('Data Source'!B11&lt;&gt;"",'Data Source'!S11="F"),IF('Data Source'!AA11&gt;=5,"A+",IF('Data Source'!AA11&gt;=4,"A",IF('Data Source'!AA11&gt;=3.5,"A-",IF('Data Source'!AA11&gt;=3,"B",IF('Data Source'!AA11&gt;=2,"C",IF('Data Source'!AA11&gt;=1,"D","F")))))),"")</f>
        <v/>
      </c>
      <c r="J11" s="3">
        <f>IF(AND('Data Source'!B11&lt;&gt;"",'Data Source'!S11="F"),IF('Data Source'!AB11&gt;=5,"A+",IF('Data Source'!AB11&gt;=4,"A",IF('Data Source'!AB11&gt;=3.5,"A-",IF('Data Source'!AB11&gt;=3,"B",IF('Data Source'!AB11&gt;=2,"C",IF('Data Source'!AB11&gt;=1,"D","F")))))),"")</f>
        <v/>
      </c>
      <c r="K11" s="3">
        <f>IF(AND('Data Source'!B11&lt;&gt;"",'Data Source'!S11="F"),IF('Data Source'!AC11&gt;=5,"A+",IF('Data Source'!AC11&gt;=4,"A",IF('Data Source'!AC11&gt;=3.5,"A-",IF('Data Source'!AC11&gt;=3,"B",IF('Data Source'!AC11&gt;=2,"C",IF('Data Source'!AC11&gt;=1,"D","F")))))),"")</f>
        <v/>
      </c>
      <c r="L11" s="3">
        <f>IF(AND('Data Source'!B11&lt;&gt;"",'Data Source'!S11="F"),IF('Data Source'!AD11&gt;=5,"A+",IF('Data Source'!AD11&gt;=4,"A",IF('Data Source'!AD11&gt;=3.5,"A-",IF('Data Source'!AD11&gt;=3,"B",IF('Data Source'!AD11&gt;=2,"C",IF('Data Source'!AD11&gt;=1,"D","F")))))),"")</f>
        <v/>
      </c>
      <c r="M11" s="3">
        <f>IF(AND('Data Source'!B11&lt;&gt;"",'Data Source'!S11="F"),IF('Data Source'!AE11&gt;=5,"A+",IF('Data Source'!AE11&gt;=4,"A",IF('Data Source'!AE11&gt;=3.5,"A-",IF('Data Source'!AE11&gt;=3,"B",IF('Data Source'!AE11&gt;=2,"C",IF('Data Source'!AE11&gt;=1,"D","F")))))),"")</f>
        <v/>
      </c>
      <c r="N11" s="3">
        <f>IF(AND('Data Source'!B11&lt;&gt;"",'Data Source'!S11="F"),IF('Data Source'!AF11&gt;=5,"A+",IF('Data Source'!AF11&gt;=4,"A",IF('Data Source'!AF11&gt;=3.5,"A-",IF('Data Source'!AF11&gt;=3,"B",IF('Data Source'!AF11&gt;=2,"C",IF('Data Source'!AF11&gt;=1,"D","F")))))),"")</f>
        <v/>
      </c>
      <c r="O11" s="3">
        <f>IF(AND('Data Source'!B11&lt;&gt;"",'Data Source'!S11="F"),IF('Data Source'!AG11&gt;=5,"A+",IF('Data Source'!AG11&gt;=4,"A",IF('Data Source'!AG11&gt;=3.5,"A-",IF('Data Source'!AG11&gt;=3,"B",IF('Data Source'!AG11&gt;=2,"C",IF('Data Source'!AG11&gt;=1,"D","F")))))),"")</f>
        <v/>
      </c>
      <c r="P11" s="5">
        <f>IF(AND('Data Source'!B11&lt;&gt;"",'Data Source'!S11="F"),'Data Source'!R11,"")</f>
        <v/>
      </c>
      <c r="Q11" s="3">
        <f>IF(AND('Data Source'!B11&lt;&gt;"",'Data Source'!S11="F"),'Data Source'!S11,"")</f>
        <v/>
      </c>
    </row>
    <row r="12">
      <c r="A12" s="3">
        <f>IF(AND('Data Source'!B12&lt;&gt;"",'Data Source'!S12="F"),COUNTIF('Data Source'!$S$3:S12,"F"),"")</f>
        <v/>
      </c>
      <c r="B12">
        <f>IF(AND('Data Source'!B12&lt;&gt;"",'Data Source'!S12="F"),'Data Source'!B12,"")</f>
        <v/>
      </c>
      <c r="C12" s="3">
        <f>IF(AND('Data Source'!B12&lt;&gt;"",'Data Source'!S12="F"),IF('Data Source'!U12&gt;=5,"A+",IF('Data Source'!U12&gt;=4,"A",IF('Data Source'!U12&gt;=3.5,"A-",IF('Data Source'!U12&gt;=3,"B",IF('Data Source'!U12&gt;=2,"C",IF('Data Source'!U12&gt;=1,"D","F")))))),"")</f>
        <v/>
      </c>
      <c r="D12" s="3">
        <f>IF(AND('Data Source'!B12&lt;&gt;"",'Data Source'!S12="F"),IF('Data Source'!V12&gt;=5,"A+",IF('Data Source'!V12&gt;=4,"A",IF('Data Source'!V12&gt;=3.5,"A-",IF('Data Source'!V12&gt;=3,"B",IF('Data Source'!V12&gt;=2,"C",IF('Data Source'!V12&gt;=1,"D","F")))))),"")</f>
        <v/>
      </c>
      <c r="E12" s="3">
        <f>IF(AND('Data Source'!B12&lt;&gt;"",'Data Source'!S12="F"),IF('Data Source'!W12&gt;=5,"A+",IF('Data Source'!W12&gt;=4,"A",IF('Data Source'!W12&gt;=3.5,"A-",IF('Data Source'!W12&gt;=3,"B",IF('Data Source'!W12&gt;=2,"C",IF('Data Source'!W12&gt;=1,"D","F")))))),"")</f>
        <v/>
      </c>
      <c r="F12" s="3">
        <f>IF(AND('Data Source'!B12&lt;&gt;"",'Data Source'!S12="F"),IF('Data Source'!X12&gt;=5,"A+",IF('Data Source'!X12&gt;=4,"A",IF('Data Source'!X12&gt;=3.5,"A-",IF('Data Source'!X12&gt;=3,"B",IF('Data Source'!X12&gt;=2,"C",IF('Data Source'!X12&gt;=1,"D","F")))))),"")</f>
        <v/>
      </c>
      <c r="G12" s="3">
        <f>IF(AND('Data Source'!B12&lt;&gt;"",'Data Source'!S12="F"),IF('Data Source'!Y12&gt;=5,"A+",IF('Data Source'!Y12&gt;=4,"A",IF('Data Source'!Y12&gt;=3.5,"A-",IF('Data Source'!Y12&gt;=3,"B",IF('Data Source'!Y12&gt;=2,"C",IF('Data Source'!Y12&gt;=1,"D","F")))))),"")</f>
        <v/>
      </c>
      <c r="H12" s="3">
        <f>IF(AND('Data Source'!B12&lt;&gt;"",'Data Source'!S12="F"),IF('Data Source'!Z12&gt;=5,"A+",IF('Data Source'!Z12&gt;=4,"A",IF('Data Source'!Z12&gt;=3.5,"A-",IF('Data Source'!Z12&gt;=3,"B",IF('Data Source'!Z12&gt;=2,"C",IF('Data Source'!Z12&gt;=1,"D","F")))))),"")</f>
        <v/>
      </c>
      <c r="I12" s="3">
        <f>IF(AND('Data Source'!B12&lt;&gt;"",'Data Source'!S12="F"),IF('Data Source'!AA12&gt;=5,"A+",IF('Data Source'!AA12&gt;=4,"A",IF('Data Source'!AA12&gt;=3.5,"A-",IF('Data Source'!AA12&gt;=3,"B",IF('Data Source'!AA12&gt;=2,"C",IF('Data Source'!AA12&gt;=1,"D","F")))))),"")</f>
        <v/>
      </c>
      <c r="J12" s="3">
        <f>IF(AND('Data Source'!B12&lt;&gt;"",'Data Source'!S12="F"),IF('Data Source'!AB12&gt;=5,"A+",IF('Data Source'!AB12&gt;=4,"A",IF('Data Source'!AB12&gt;=3.5,"A-",IF('Data Source'!AB12&gt;=3,"B",IF('Data Source'!AB12&gt;=2,"C",IF('Data Source'!AB12&gt;=1,"D","F")))))),"")</f>
        <v/>
      </c>
      <c r="K12" s="3">
        <f>IF(AND('Data Source'!B12&lt;&gt;"",'Data Source'!S12="F"),IF('Data Source'!AC12&gt;=5,"A+",IF('Data Source'!AC12&gt;=4,"A",IF('Data Source'!AC12&gt;=3.5,"A-",IF('Data Source'!AC12&gt;=3,"B",IF('Data Source'!AC12&gt;=2,"C",IF('Data Source'!AC12&gt;=1,"D","F")))))),"")</f>
        <v/>
      </c>
      <c r="L12" s="3">
        <f>IF(AND('Data Source'!B12&lt;&gt;"",'Data Source'!S12="F"),IF('Data Source'!AD12&gt;=5,"A+",IF('Data Source'!AD12&gt;=4,"A",IF('Data Source'!AD12&gt;=3.5,"A-",IF('Data Source'!AD12&gt;=3,"B",IF('Data Source'!AD12&gt;=2,"C",IF('Data Source'!AD12&gt;=1,"D","F")))))),"")</f>
        <v/>
      </c>
      <c r="M12" s="3">
        <f>IF(AND('Data Source'!B12&lt;&gt;"",'Data Source'!S12="F"),IF('Data Source'!AE12&gt;=5,"A+",IF('Data Source'!AE12&gt;=4,"A",IF('Data Source'!AE12&gt;=3.5,"A-",IF('Data Source'!AE12&gt;=3,"B",IF('Data Source'!AE12&gt;=2,"C",IF('Data Source'!AE12&gt;=1,"D","F")))))),"")</f>
        <v/>
      </c>
      <c r="N12" s="3">
        <f>IF(AND('Data Source'!B12&lt;&gt;"",'Data Source'!S12="F"),IF('Data Source'!AF12&gt;=5,"A+",IF('Data Source'!AF12&gt;=4,"A",IF('Data Source'!AF12&gt;=3.5,"A-",IF('Data Source'!AF12&gt;=3,"B",IF('Data Source'!AF12&gt;=2,"C",IF('Data Source'!AF12&gt;=1,"D","F")))))),"")</f>
        <v/>
      </c>
      <c r="O12" s="3">
        <f>IF(AND('Data Source'!B12&lt;&gt;"",'Data Source'!S12="F"),IF('Data Source'!AG12&gt;=5,"A+",IF('Data Source'!AG12&gt;=4,"A",IF('Data Source'!AG12&gt;=3.5,"A-",IF('Data Source'!AG12&gt;=3,"B",IF('Data Source'!AG12&gt;=2,"C",IF('Data Source'!AG12&gt;=1,"D","F")))))),"")</f>
        <v/>
      </c>
      <c r="P12" s="5">
        <f>IF(AND('Data Source'!B12&lt;&gt;"",'Data Source'!S12="F"),'Data Source'!R12,"")</f>
        <v/>
      </c>
      <c r="Q12" s="3">
        <f>IF(AND('Data Source'!B12&lt;&gt;"",'Data Source'!S12="F"),'Data Source'!S12,"")</f>
        <v/>
      </c>
    </row>
    <row r="13">
      <c r="A13" s="3">
        <f>IF(AND('Data Source'!B13&lt;&gt;"",'Data Source'!S13="F"),COUNTIF('Data Source'!$S$3:S13,"F"),"")</f>
        <v/>
      </c>
      <c r="B13">
        <f>IF(AND('Data Source'!B13&lt;&gt;"",'Data Source'!S13="F"),'Data Source'!B13,"")</f>
        <v/>
      </c>
      <c r="C13" s="3">
        <f>IF(AND('Data Source'!B13&lt;&gt;"",'Data Source'!S13="F"),IF('Data Source'!U13&gt;=5,"A+",IF('Data Source'!U13&gt;=4,"A",IF('Data Source'!U13&gt;=3.5,"A-",IF('Data Source'!U13&gt;=3,"B",IF('Data Source'!U13&gt;=2,"C",IF('Data Source'!U13&gt;=1,"D","F")))))),"")</f>
        <v/>
      </c>
      <c r="D13" s="3">
        <f>IF(AND('Data Source'!B13&lt;&gt;"",'Data Source'!S13="F"),IF('Data Source'!V13&gt;=5,"A+",IF('Data Source'!V13&gt;=4,"A",IF('Data Source'!V13&gt;=3.5,"A-",IF('Data Source'!V13&gt;=3,"B",IF('Data Source'!V13&gt;=2,"C",IF('Data Source'!V13&gt;=1,"D","F")))))),"")</f>
        <v/>
      </c>
      <c r="E13" s="3">
        <f>IF(AND('Data Source'!B13&lt;&gt;"",'Data Source'!S13="F"),IF('Data Source'!W13&gt;=5,"A+",IF('Data Source'!W13&gt;=4,"A",IF('Data Source'!W13&gt;=3.5,"A-",IF('Data Source'!W13&gt;=3,"B",IF('Data Source'!W13&gt;=2,"C",IF('Data Source'!W13&gt;=1,"D","F")))))),"")</f>
        <v/>
      </c>
      <c r="F13" s="3">
        <f>IF(AND('Data Source'!B13&lt;&gt;"",'Data Source'!S13="F"),IF('Data Source'!X13&gt;=5,"A+",IF('Data Source'!X13&gt;=4,"A",IF('Data Source'!X13&gt;=3.5,"A-",IF('Data Source'!X13&gt;=3,"B",IF('Data Source'!X13&gt;=2,"C",IF('Data Source'!X13&gt;=1,"D","F")))))),"")</f>
        <v/>
      </c>
      <c r="G13" s="3">
        <f>IF(AND('Data Source'!B13&lt;&gt;"",'Data Source'!S13="F"),IF('Data Source'!Y13&gt;=5,"A+",IF('Data Source'!Y13&gt;=4,"A",IF('Data Source'!Y13&gt;=3.5,"A-",IF('Data Source'!Y13&gt;=3,"B",IF('Data Source'!Y13&gt;=2,"C",IF('Data Source'!Y13&gt;=1,"D","F")))))),"")</f>
        <v/>
      </c>
      <c r="H13" s="3">
        <f>IF(AND('Data Source'!B13&lt;&gt;"",'Data Source'!S13="F"),IF('Data Source'!Z13&gt;=5,"A+",IF('Data Source'!Z13&gt;=4,"A",IF('Data Source'!Z13&gt;=3.5,"A-",IF('Data Source'!Z13&gt;=3,"B",IF('Data Source'!Z13&gt;=2,"C",IF('Data Source'!Z13&gt;=1,"D","F")))))),"")</f>
        <v/>
      </c>
      <c r="I13" s="3">
        <f>IF(AND('Data Source'!B13&lt;&gt;"",'Data Source'!S13="F"),IF('Data Source'!AA13&gt;=5,"A+",IF('Data Source'!AA13&gt;=4,"A",IF('Data Source'!AA13&gt;=3.5,"A-",IF('Data Source'!AA13&gt;=3,"B",IF('Data Source'!AA13&gt;=2,"C",IF('Data Source'!AA13&gt;=1,"D","F")))))),"")</f>
        <v/>
      </c>
      <c r="J13" s="3">
        <f>IF(AND('Data Source'!B13&lt;&gt;"",'Data Source'!S13="F"),IF('Data Source'!AB13&gt;=5,"A+",IF('Data Source'!AB13&gt;=4,"A",IF('Data Source'!AB13&gt;=3.5,"A-",IF('Data Source'!AB13&gt;=3,"B",IF('Data Source'!AB13&gt;=2,"C",IF('Data Source'!AB13&gt;=1,"D","F")))))),"")</f>
        <v/>
      </c>
      <c r="K13" s="3">
        <f>IF(AND('Data Source'!B13&lt;&gt;"",'Data Source'!S13="F"),IF('Data Source'!AC13&gt;=5,"A+",IF('Data Source'!AC13&gt;=4,"A",IF('Data Source'!AC13&gt;=3.5,"A-",IF('Data Source'!AC13&gt;=3,"B",IF('Data Source'!AC13&gt;=2,"C",IF('Data Source'!AC13&gt;=1,"D","F")))))),"")</f>
        <v/>
      </c>
      <c r="L13" s="3">
        <f>IF(AND('Data Source'!B13&lt;&gt;"",'Data Source'!S13="F"),IF('Data Source'!AD13&gt;=5,"A+",IF('Data Source'!AD13&gt;=4,"A",IF('Data Source'!AD13&gt;=3.5,"A-",IF('Data Source'!AD13&gt;=3,"B",IF('Data Source'!AD13&gt;=2,"C",IF('Data Source'!AD13&gt;=1,"D","F")))))),"")</f>
        <v/>
      </c>
      <c r="M13" s="3">
        <f>IF(AND('Data Source'!B13&lt;&gt;"",'Data Source'!S13="F"),IF('Data Source'!AE13&gt;=5,"A+",IF('Data Source'!AE13&gt;=4,"A",IF('Data Source'!AE13&gt;=3.5,"A-",IF('Data Source'!AE13&gt;=3,"B",IF('Data Source'!AE13&gt;=2,"C",IF('Data Source'!AE13&gt;=1,"D","F")))))),"")</f>
        <v/>
      </c>
      <c r="N13" s="3">
        <f>IF(AND('Data Source'!B13&lt;&gt;"",'Data Source'!S13="F"),IF('Data Source'!AF13&gt;=5,"A+",IF('Data Source'!AF13&gt;=4,"A",IF('Data Source'!AF13&gt;=3.5,"A-",IF('Data Source'!AF13&gt;=3,"B",IF('Data Source'!AF13&gt;=2,"C",IF('Data Source'!AF13&gt;=1,"D","F")))))),"")</f>
        <v/>
      </c>
      <c r="O13" s="3">
        <f>IF(AND('Data Source'!B13&lt;&gt;"",'Data Source'!S13="F"),IF('Data Source'!AG13&gt;=5,"A+",IF('Data Source'!AG13&gt;=4,"A",IF('Data Source'!AG13&gt;=3.5,"A-",IF('Data Source'!AG13&gt;=3,"B",IF('Data Source'!AG13&gt;=2,"C",IF('Data Source'!AG13&gt;=1,"D","F")))))),"")</f>
        <v/>
      </c>
      <c r="P13" s="5">
        <f>IF(AND('Data Source'!B13&lt;&gt;"",'Data Source'!S13="F"),'Data Source'!R13,"")</f>
        <v/>
      </c>
      <c r="Q13" s="3">
        <f>IF(AND('Data Source'!B13&lt;&gt;"",'Data Source'!S13="F"),'Data Source'!S13,"")</f>
        <v/>
      </c>
    </row>
    <row r="14">
      <c r="A14" s="3">
        <f>IF(AND('Data Source'!B14&lt;&gt;"",'Data Source'!S14="F"),COUNTIF('Data Source'!$S$3:S14,"F"),"")</f>
        <v/>
      </c>
      <c r="B14">
        <f>IF(AND('Data Source'!B14&lt;&gt;"",'Data Source'!S14="F"),'Data Source'!B14,"")</f>
        <v/>
      </c>
      <c r="C14" s="3">
        <f>IF(AND('Data Source'!B14&lt;&gt;"",'Data Source'!S14="F"),IF('Data Source'!U14&gt;=5,"A+",IF('Data Source'!U14&gt;=4,"A",IF('Data Source'!U14&gt;=3.5,"A-",IF('Data Source'!U14&gt;=3,"B",IF('Data Source'!U14&gt;=2,"C",IF('Data Source'!U14&gt;=1,"D","F")))))),"")</f>
        <v/>
      </c>
      <c r="D14" s="3">
        <f>IF(AND('Data Source'!B14&lt;&gt;"",'Data Source'!S14="F"),IF('Data Source'!V14&gt;=5,"A+",IF('Data Source'!V14&gt;=4,"A",IF('Data Source'!V14&gt;=3.5,"A-",IF('Data Source'!V14&gt;=3,"B",IF('Data Source'!V14&gt;=2,"C",IF('Data Source'!V14&gt;=1,"D","F")))))),"")</f>
        <v/>
      </c>
      <c r="E14" s="3">
        <f>IF(AND('Data Source'!B14&lt;&gt;"",'Data Source'!S14="F"),IF('Data Source'!W14&gt;=5,"A+",IF('Data Source'!W14&gt;=4,"A",IF('Data Source'!W14&gt;=3.5,"A-",IF('Data Source'!W14&gt;=3,"B",IF('Data Source'!W14&gt;=2,"C",IF('Data Source'!W14&gt;=1,"D","F")))))),"")</f>
        <v/>
      </c>
      <c r="F14" s="3">
        <f>IF(AND('Data Source'!B14&lt;&gt;"",'Data Source'!S14="F"),IF('Data Source'!X14&gt;=5,"A+",IF('Data Source'!X14&gt;=4,"A",IF('Data Source'!X14&gt;=3.5,"A-",IF('Data Source'!X14&gt;=3,"B",IF('Data Source'!X14&gt;=2,"C",IF('Data Source'!X14&gt;=1,"D","F")))))),"")</f>
        <v/>
      </c>
      <c r="G14" s="3">
        <f>IF(AND('Data Source'!B14&lt;&gt;"",'Data Source'!S14="F"),IF('Data Source'!Y14&gt;=5,"A+",IF('Data Source'!Y14&gt;=4,"A",IF('Data Source'!Y14&gt;=3.5,"A-",IF('Data Source'!Y14&gt;=3,"B",IF('Data Source'!Y14&gt;=2,"C",IF('Data Source'!Y14&gt;=1,"D","F")))))),"")</f>
        <v/>
      </c>
      <c r="H14" s="3">
        <f>IF(AND('Data Source'!B14&lt;&gt;"",'Data Source'!S14="F"),IF('Data Source'!Z14&gt;=5,"A+",IF('Data Source'!Z14&gt;=4,"A",IF('Data Source'!Z14&gt;=3.5,"A-",IF('Data Source'!Z14&gt;=3,"B",IF('Data Source'!Z14&gt;=2,"C",IF('Data Source'!Z14&gt;=1,"D","F")))))),"")</f>
        <v/>
      </c>
      <c r="I14" s="3">
        <f>IF(AND('Data Source'!B14&lt;&gt;"",'Data Source'!S14="F"),IF('Data Source'!AA14&gt;=5,"A+",IF('Data Source'!AA14&gt;=4,"A",IF('Data Source'!AA14&gt;=3.5,"A-",IF('Data Source'!AA14&gt;=3,"B",IF('Data Source'!AA14&gt;=2,"C",IF('Data Source'!AA14&gt;=1,"D","F")))))),"")</f>
        <v/>
      </c>
      <c r="J14" s="3">
        <f>IF(AND('Data Source'!B14&lt;&gt;"",'Data Source'!S14="F"),IF('Data Source'!AB14&gt;=5,"A+",IF('Data Source'!AB14&gt;=4,"A",IF('Data Source'!AB14&gt;=3.5,"A-",IF('Data Source'!AB14&gt;=3,"B",IF('Data Source'!AB14&gt;=2,"C",IF('Data Source'!AB14&gt;=1,"D","F")))))),"")</f>
        <v/>
      </c>
      <c r="K14" s="3">
        <f>IF(AND('Data Source'!B14&lt;&gt;"",'Data Source'!S14="F"),IF('Data Source'!AC14&gt;=5,"A+",IF('Data Source'!AC14&gt;=4,"A",IF('Data Source'!AC14&gt;=3.5,"A-",IF('Data Source'!AC14&gt;=3,"B",IF('Data Source'!AC14&gt;=2,"C",IF('Data Source'!AC14&gt;=1,"D","F")))))),"")</f>
        <v/>
      </c>
      <c r="L14" s="3">
        <f>IF(AND('Data Source'!B14&lt;&gt;"",'Data Source'!S14="F"),IF('Data Source'!AD14&gt;=5,"A+",IF('Data Source'!AD14&gt;=4,"A",IF('Data Source'!AD14&gt;=3.5,"A-",IF('Data Source'!AD14&gt;=3,"B",IF('Data Source'!AD14&gt;=2,"C",IF('Data Source'!AD14&gt;=1,"D","F")))))),"")</f>
        <v/>
      </c>
      <c r="M14" s="3">
        <f>IF(AND('Data Source'!B14&lt;&gt;"",'Data Source'!S14="F"),IF('Data Source'!AE14&gt;=5,"A+",IF('Data Source'!AE14&gt;=4,"A",IF('Data Source'!AE14&gt;=3.5,"A-",IF('Data Source'!AE14&gt;=3,"B",IF('Data Source'!AE14&gt;=2,"C",IF('Data Source'!AE14&gt;=1,"D","F")))))),"")</f>
        <v/>
      </c>
      <c r="N14" s="3">
        <f>IF(AND('Data Source'!B14&lt;&gt;"",'Data Source'!S14="F"),IF('Data Source'!AF14&gt;=5,"A+",IF('Data Source'!AF14&gt;=4,"A",IF('Data Source'!AF14&gt;=3.5,"A-",IF('Data Source'!AF14&gt;=3,"B",IF('Data Source'!AF14&gt;=2,"C",IF('Data Source'!AF14&gt;=1,"D","F")))))),"")</f>
        <v/>
      </c>
      <c r="O14" s="3">
        <f>IF(AND('Data Source'!B14&lt;&gt;"",'Data Source'!S14="F"),IF('Data Source'!AG14&gt;=5,"A+",IF('Data Source'!AG14&gt;=4,"A",IF('Data Source'!AG14&gt;=3.5,"A-",IF('Data Source'!AG14&gt;=3,"B",IF('Data Source'!AG14&gt;=2,"C",IF('Data Source'!AG14&gt;=1,"D","F")))))),"")</f>
        <v/>
      </c>
      <c r="P14" s="5">
        <f>IF(AND('Data Source'!B14&lt;&gt;"",'Data Source'!S14="F"),'Data Source'!R14,"")</f>
        <v/>
      </c>
      <c r="Q14" s="3">
        <f>IF(AND('Data Source'!B14&lt;&gt;"",'Data Source'!S14="F"),'Data Source'!S14,"")</f>
        <v/>
      </c>
    </row>
    <row r="15">
      <c r="A15" s="3">
        <f>IF(AND('Data Source'!B15&lt;&gt;"",'Data Source'!S15="F"),COUNTIF('Data Source'!$S$3:S15,"F"),"")</f>
        <v/>
      </c>
      <c r="B15">
        <f>IF(AND('Data Source'!B15&lt;&gt;"",'Data Source'!S15="F"),'Data Source'!B15,"")</f>
        <v/>
      </c>
      <c r="C15" s="3">
        <f>IF(AND('Data Source'!B15&lt;&gt;"",'Data Source'!S15="F"),IF('Data Source'!U15&gt;=5,"A+",IF('Data Source'!U15&gt;=4,"A",IF('Data Source'!U15&gt;=3.5,"A-",IF('Data Source'!U15&gt;=3,"B",IF('Data Source'!U15&gt;=2,"C",IF('Data Source'!U15&gt;=1,"D","F")))))),"")</f>
        <v/>
      </c>
      <c r="D15" s="3">
        <f>IF(AND('Data Source'!B15&lt;&gt;"",'Data Source'!S15="F"),IF('Data Source'!V15&gt;=5,"A+",IF('Data Source'!V15&gt;=4,"A",IF('Data Source'!V15&gt;=3.5,"A-",IF('Data Source'!V15&gt;=3,"B",IF('Data Source'!V15&gt;=2,"C",IF('Data Source'!V15&gt;=1,"D","F")))))),"")</f>
        <v/>
      </c>
      <c r="E15" s="3">
        <f>IF(AND('Data Source'!B15&lt;&gt;"",'Data Source'!S15="F"),IF('Data Source'!W15&gt;=5,"A+",IF('Data Source'!W15&gt;=4,"A",IF('Data Source'!W15&gt;=3.5,"A-",IF('Data Source'!W15&gt;=3,"B",IF('Data Source'!W15&gt;=2,"C",IF('Data Source'!W15&gt;=1,"D","F")))))),"")</f>
        <v/>
      </c>
      <c r="F15" s="3">
        <f>IF(AND('Data Source'!B15&lt;&gt;"",'Data Source'!S15="F"),IF('Data Source'!X15&gt;=5,"A+",IF('Data Source'!X15&gt;=4,"A",IF('Data Source'!X15&gt;=3.5,"A-",IF('Data Source'!X15&gt;=3,"B",IF('Data Source'!X15&gt;=2,"C",IF('Data Source'!X15&gt;=1,"D","F")))))),"")</f>
        <v/>
      </c>
      <c r="G15" s="3">
        <f>IF(AND('Data Source'!B15&lt;&gt;"",'Data Source'!S15="F"),IF('Data Source'!Y15&gt;=5,"A+",IF('Data Source'!Y15&gt;=4,"A",IF('Data Source'!Y15&gt;=3.5,"A-",IF('Data Source'!Y15&gt;=3,"B",IF('Data Source'!Y15&gt;=2,"C",IF('Data Source'!Y15&gt;=1,"D","F")))))),"")</f>
        <v/>
      </c>
      <c r="H15" s="3">
        <f>IF(AND('Data Source'!B15&lt;&gt;"",'Data Source'!S15="F"),IF('Data Source'!Z15&gt;=5,"A+",IF('Data Source'!Z15&gt;=4,"A",IF('Data Source'!Z15&gt;=3.5,"A-",IF('Data Source'!Z15&gt;=3,"B",IF('Data Source'!Z15&gt;=2,"C",IF('Data Source'!Z15&gt;=1,"D","F")))))),"")</f>
        <v/>
      </c>
      <c r="I15" s="3">
        <f>IF(AND('Data Source'!B15&lt;&gt;"",'Data Source'!S15="F"),IF('Data Source'!AA15&gt;=5,"A+",IF('Data Source'!AA15&gt;=4,"A",IF('Data Source'!AA15&gt;=3.5,"A-",IF('Data Source'!AA15&gt;=3,"B",IF('Data Source'!AA15&gt;=2,"C",IF('Data Source'!AA15&gt;=1,"D","F")))))),"")</f>
        <v/>
      </c>
      <c r="J15" s="3">
        <f>IF(AND('Data Source'!B15&lt;&gt;"",'Data Source'!S15="F"),IF('Data Source'!AB15&gt;=5,"A+",IF('Data Source'!AB15&gt;=4,"A",IF('Data Source'!AB15&gt;=3.5,"A-",IF('Data Source'!AB15&gt;=3,"B",IF('Data Source'!AB15&gt;=2,"C",IF('Data Source'!AB15&gt;=1,"D","F")))))),"")</f>
        <v/>
      </c>
      <c r="K15" s="3">
        <f>IF(AND('Data Source'!B15&lt;&gt;"",'Data Source'!S15="F"),IF('Data Source'!AC15&gt;=5,"A+",IF('Data Source'!AC15&gt;=4,"A",IF('Data Source'!AC15&gt;=3.5,"A-",IF('Data Source'!AC15&gt;=3,"B",IF('Data Source'!AC15&gt;=2,"C",IF('Data Source'!AC15&gt;=1,"D","F")))))),"")</f>
        <v/>
      </c>
      <c r="L15" s="3">
        <f>IF(AND('Data Source'!B15&lt;&gt;"",'Data Source'!S15="F"),IF('Data Source'!AD15&gt;=5,"A+",IF('Data Source'!AD15&gt;=4,"A",IF('Data Source'!AD15&gt;=3.5,"A-",IF('Data Source'!AD15&gt;=3,"B",IF('Data Source'!AD15&gt;=2,"C",IF('Data Source'!AD15&gt;=1,"D","F")))))),"")</f>
        <v/>
      </c>
      <c r="M15" s="3">
        <f>IF(AND('Data Source'!B15&lt;&gt;"",'Data Source'!S15="F"),IF('Data Source'!AE15&gt;=5,"A+",IF('Data Source'!AE15&gt;=4,"A",IF('Data Source'!AE15&gt;=3.5,"A-",IF('Data Source'!AE15&gt;=3,"B",IF('Data Source'!AE15&gt;=2,"C",IF('Data Source'!AE15&gt;=1,"D","F")))))),"")</f>
        <v/>
      </c>
      <c r="N15" s="3">
        <f>IF(AND('Data Source'!B15&lt;&gt;"",'Data Source'!S15="F"),IF('Data Source'!AF15&gt;=5,"A+",IF('Data Source'!AF15&gt;=4,"A",IF('Data Source'!AF15&gt;=3.5,"A-",IF('Data Source'!AF15&gt;=3,"B",IF('Data Source'!AF15&gt;=2,"C",IF('Data Source'!AF15&gt;=1,"D","F")))))),"")</f>
        <v/>
      </c>
      <c r="O15" s="3">
        <f>IF(AND('Data Source'!B15&lt;&gt;"",'Data Source'!S15="F"),IF('Data Source'!AG15&gt;=5,"A+",IF('Data Source'!AG15&gt;=4,"A",IF('Data Source'!AG15&gt;=3.5,"A-",IF('Data Source'!AG15&gt;=3,"B",IF('Data Source'!AG15&gt;=2,"C",IF('Data Source'!AG15&gt;=1,"D","F")))))),"")</f>
        <v/>
      </c>
      <c r="P15" s="5">
        <f>IF(AND('Data Source'!B15&lt;&gt;"",'Data Source'!S15="F"),'Data Source'!R15,"")</f>
        <v/>
      </c>
      <c r="Q15" s="3">
        <f>IF(AND('Data Source'!B15&lt;&gt;"",'Data Source'!S15="F"),'Data Source'!S15,"")</f>
        <v/>
      </c>
    </row>
    <row r="16">
      <c r="A16" s="3">
        <f>IF(AND('Data Source'!B16&lt;&gt;"",'Data Source'!S16="F"),COUNTIF('Data Source'!$S$3:S16,"F"),"")</f>
        <v/>
      </c>
      <c r="B16">
        <f>IF(AND('Data Source'!B16&lt;&gt;"",'Data Source'!S16="F"),'Data Source'!B16,"")</f>
        <v/>
      </c>
      <c r="C16" s="3">
        <f>IF(AND('Data Source'!B16&lt;&gt;"",'Data Source'!S16="F"),IF('Data Source'!U16&gt;=5,"A+",IF('Data Source'!U16&gt;=4,"A",IF('Data Source'!U16&gt;=3.5,"A-",IF('Data Source'!U16&gt;=3,"B",IF('Data Source'!U16&gt;=2,"C",IF('Data Source'!U16&gt;=1,"D","F")))))),"")</f>
        <v/>
      </c>
      <c r="D16" s="3">
        <f>IF(AND('Data Source'!B16&lt;&gt;"",'Data Source'!S16="F"),IF('Data Source'!V16&gt;=5,"A+",IF('Data Source'!V16&gt;=4,"A",IF('Data Source'!V16&gt;=3.5,"A-",IF('Data Source'!V16&gt;=3,"B",IF('Data Source'!V16&gt;=2,"C",IF('Data Source'!V16&gt;=1,"D","F")))))),"")</f>
        <v/>
      </c>
      <c r="E16" s="3">
        <f>IF(AND('Data Source'!B16&lt;&gt;"",'Data Source'!S16="F"),IF('Data Source'!W16&gt;=5,"A+",IF('Data Source'!W16&gt;=4,"A",IF('Data Source'!W16&gt;=3.5,"A-",IF('Data Source'!W16&gt;=3,"B",IF('Data Source'!W16&gt;=2,"C",IF('Data Source'!W16&gt;=1,"D","F")))))),"")</f>
        <v/>
      </c>
      <c r="F16" s="3">
        <f>IF(AND('Data Source'!B16&lt;&gt;"",'Data Source'!S16="F"),IF('Data Source'!X16&gt;=5,"A+",IF('Data Source'!X16&gt;=4,"A",IF('Data Source'!X16&gt;=3.5,"A-",IF('Data Source'!X16&gt;=3,"B",IF('Data Source'!X16&gt;=2,"C",IF('Data Source'!X16&gt;=1,"D","F")))))),"")</f>
        <v/>
      </c>
      <c r="G16" s="3">
        <f>IF(AND('Data Source'!B16&lt;&gt;"",'Data Source'!S16="F"),IF('Data Source'!Y16&gt;=5,"A+",IF('Data Source'!Y16&gt;=4,"A",IF('Data Source'!Y16&gt;=3.5,"A-",IF('Data Source'!Y16&gt;=3,"B",IF('Data Source'!Y16&gt;=2,"C",IF('Data Source'!Y16&gt;=1,"D","F")))))),"")</f>
        <v/>
      </c>
      <c r="H16" s="3">
        <f>IF(AND('Data Source'!B16&lt;&gt;"",'Data Source'!S16="F"),IF('Data Source'!Z16&gt;=5,"A+",IF('Data Source'!Z16&gt;=4,"A",IF('Data Source'!Z16&gt;=3.5,"A-",IF('Data Source'!Z16&gt;=3,"B",IF('Data Source'!Z16&gt;=2,"C",IF('Data Source'!Z16&gt;=1,"D","F")))))),"")</f>
        <v/>
      </c>
      <c r="I16" s="3">
        <f>IF(AND('Data Source'!B16&lt;&gt;"",'Data Source'!S16="F"),IF('Data Source'!AA16&gt;=5,"A+",IF('Data Source'!AA16&gt;=4,"A",IF('Data Source'!AA16&gt;=3.5,"A-",IF('Data Source'!AA16&gt;=3,"B",IF('Data Source'!AA16&gt;=2,"C",IF('Data Source'!AA16&gt;=1,"D","F")))))),"")</f>
        <v/>
      </c>
      <c r="J16" s="3">
        <f>IF(AND('Data Source'!B16&lt;&gt;"",'Data Source'!S16="F"),IF('Data Source'!AB16&gt;=5,"A+",IF('Data Source'!AB16&gt;=4,"A",IF('Data Source'!AB16&gt;=3.5,"A-",IF('Data Source'!AB16&gt;=3,"B",IF('Data Source'!AB16&gt;=2,"C",IF('Data Source'!AB16&gt;=1,"D","F")))))),"")</f>
        <v/>
      </c>
      <c r="K16" s="3">
        <f>IF(AND('Data Source'!B16&lt;&gt;"",'Data Source'!S16="F"),IF('Data Source'!AC16&gt;=5,"A+",IF('Data Source'!AC16&gt;=4,"A",IF('Data Source'!AC16&gt;=3.5,"A-",IF('Data Source'!AC16&gt;=3,"B",IF('Data Source'!AC16&gt;=2,"C",IF('Data Source'!AC16&gt;=1,"D","F")))))),"")</f>
        <v/>
      </c>
      <c r="L16" s="3">
        <f>IF(AND('Data Source'!B16&lt;&gt;"",'Data Source'!S16="F"),IF('Data Source'!AD16&gt;=5,"A+",IF('Data Source'!AD16&gt;=4,"A",IF('Data Source'!AD16&gt;=3.5,"A-",IF('Data Source'!AD16&gt;=3,"B",IF('Data Source'!AD16&gt;=2,"C",IF('Data Source'!AD16&gt;=1,"D","F")))))),"")</f>
        <v/>
      </c>
      <c r="M16" s="3">
        <f>IF(AND('Data Source'!B16&lt;&gt;"",'Data Source'!S16="F"),IF('Data Source'!AE16&gt;=5,"A+",IF('Data Source'!AE16&gt;=4,"A",IF('Data Source'!AE16&gt;=3.5,"A-",IF('Data Source'!AE16&gt;=3,"B",IF('Data Source'!AE16&gt;=2,"C",IF('Data Source'!AE16&gt;=1,"D","F")))))),"")</f>
        <v/>
      </c>
      <c r="N16" s="3">
        <f>IF(AND('Data Source'!B16&lt;&gt;"",'Data Source'!S16="F"),IF('Data Source'!AF16&gt;=5,"A+",IF('Data Source'!AF16&gt;=4,"A",IF('Data Source'!AF16&gt;=3.5,"A-",IF('Data Source'!AF16&gt;=3,"B",IF('Data Source'!AF16&gt;=2,"C",IF('Data Source'!AF16&gt;=1,"D","F")))))),"")</f>
        <v/>
      </c>
      <c r="O16" s="3">
        <f>IF(AND('Data Source'!B16&lt;&gt;"",'Data Source'!S16="F"),IF('Data Source'!AG16&gt;=5,"A+",IF('Data Source'!AG16&gt;=4,"A",IF('Data Source'!AG16&gt;=3.5,"A-",IF('Data Source'!AG16&gt;=3,"B",IF('Data Source'!AG16&gt;=2,"C",IF('Data Source'!AG16&gt;=1,"D","F")))))),"")</f>
        <v/>
      </c>
      <c r="P16" s="5">
        <f>IF(AND('Data Source'!B16&lt;&gt;"",'Data Source'!S16="F"),'Data Source'!R16,"")</f>
        <v/>
      </c>
      <c r="Q16" s="3">
        <f>IF(AND('Data Source'!B16&lt;&gt;"",'Data Source'!S16="F"),'Data Source'!S16,"")</f>
        <v/>
      </c>
    </row>
    <row r="17">
      <c r="A17" s="3">
        <f>IF(AND('Data Source'!B17&lt;&gt;"",'Data Source'!S17="F"),COUNTIF('Data Source'!$S$3:S17,"F"),"")</f>
        <v/>
      </c>
      <c r="B17">
        <f>IF(AND('Data Source'!B17&lt;&gt;"",'Data Source'!S17="F"),'Data Source'!B17,"")</f>
        <v/>
      </c>
      <c r="C17" s="3">
        <f>IF(AND('Data Source'!B17&lt;&gt;"",'Data Source'!S17="F"),IF('Data Source'!U17&gt;=5,"A+",IF('Data Source'!U17&gt;=4,"A",IF('Data Source'!U17&gt;=3.5,"A-",IF('Data Source'!U17&gt;=3,"B",IF('Data Source'!U17&gt;=2,"C",IF('Data Source'!U17&gt;=1,"D","F")))))),"")</f>
        <v/>
      </c>
      <c r="D17" s="3">
        <f>IF(AND('Data Source'!B17&lt;&gt;"",'Data Source'!S17="F"),IF('Data Source'!V17&gt;=5,"A+",IF('Data Source'!V17&gt;=4,"A",IF('Data Source'!V17&gt;=3.5,"A-",IF('Data Source'!V17&gt;=3,"B",IF('Data Source'!V17&gt;=2,"C",IF('Data Source'!V17&gt;=1,"D","F")))))),"")</f>
        <v/>
      </c>
      <c r="E17" s="3">
        <f>IF(AND('Data Source'!B17&lt;&gt;"",'Data Source'!S17="F"),IF('Data Source'!W17&gt;=5,"A+",IF('Data Source'!W17&gt;=4,"A",IF('Data Source'!W17&gt;=3.5,"A-",IF('Data Source'!W17&gt;=3,"B",IF('Data Source'!W17&gt;=2,"C",IF('Data Source'!W17&gt;=1,"D","F")))))),"")</f>
        <v/>
      </c>
      <c r="F17" s="3">
        <f>IF(AND('Data Source'!B17&lt;&gt;"",'Data Source'!S17="F"),IF('Data Source'!X17&gt;=5,"A+",IF('Data Source'!X17&gt;=4,"A",IF('Data Source'!X17&gt;=3.5,"A-",IF('Data Source'!X17&gt;=3,"B",IF('Data Source'!X17&gt;=2,"C",IF('Data Source'!X17&gt;=1,"D","F")))))),"")</f>
        <v/>
      </c>
      <c r="G17" s="3">
        <f>IF(AND('Data Source'!B17&lt;&gt;"",'Data Source'!S17="F"),IF('Data Source'!Y17&gt;=5,"A+",IF('Data Source'!Y17&gt;=4,"A",IF('Data Source'!Y17&gt;=3.5,"A-",IF('Data Source'!Y17&gt;=3,"B",IF('Data Source'!Y17&gt;=2,"C",IF('Data Source'!Y17&gt;=1,"D","F")))))),"")</f>
        <v/>
      </c>
      <c r="H17" s="3">
        <f>IF(AND('Data Source'!B17&lt;&gt;"",'Data Source'!S17="F"),IF('Data Source'!Z17&gt;=5,"A+",IF('Data Source'!Z17&gt;=4,"A",IF('Data Source'!Z17&gt;=3.5,"A-",IF('Data Source'!Z17&gt;=3,"B",IF('Data Source'!Z17&gt;=2,"C",IF('Data Source'!Z17&gt;=1,"D","F")))))),"")</f>
        <v/>
      </c>
      <c r="I17" s="3">
        <f>IF(AND('Data Source'!B17&lt;&gt;"",'Data Source'!S17="F"),IF('Data Source'!AA17&gt;=5,"A+",IF('Data Source'!AA17&gt;=4,"A",IF('Data Source'!AA17&gt;=3.5,"A-",IF('Data Source'!AA17&gt;=3,"B",IF('Data Source'!AA17&gt;=2,"C",IF('Data Source'!AA17&gt;=1,"D","F")))))),"")</f>
        <v/>
      </c>
      <c r="J17" s="3">
        <f>IF(AND('Data Source'!B17&lt;&gt;"",'Data Source'!S17="F"),IF('Data Source'!AB17&gt;=5,"A+",IF('Data Source'!AB17&gt;=4,"A",IF('Data Source'!AB17&gt;=3.5,"A-",IF('Data Source'!AB17&gt;=3,"B",IF('Data Source'!AB17&gt;=2,"C",IF('Data Source'!AB17&gt;=1,"D","F")))))),"")</f>
        <v/>
      </c>
      <c r="K17" s="3">
        <f>IF(AND('Data Source'!B17&lt;&gt;"",'Data Source'!S17="F"),IF('Data Source'!AC17&gt;=5,"A+",IF('Data Source'!AC17&gt;=4,"A",IF('Data Source'!AC17&gt;=3.5,"A-",IF('Data Source'!AC17&gt;=3,"B",IF('Data Source'!AC17&gt;=2,"C",IF('Data Source'!AC17&gt;=1,"D","F")))))),"")</f>
        <v/>
      </c>
      <c r="L17" s="3">
        <f>IF(AND('Data Source'!B17&lt;&gt;"",'Data Source'!S17="F"),IF('Data Source'!AD17&gt;=5,"A+",IF('Data Source'!AD17&gt;=4,"A",IF('Data Source'!AD17&gt;=3.5,"A-",IF('Data Source'!AD17&gt;=3,"B",IF('Data Source'!AD17&gt;=2,"C",IF('Data Source'!AD17&gt;=1,"D","F")))))),"")</f>
        <v/>
      </c>
      <c r="M17" s="3">
        <f>IF(AND('Data Source'!B17&lt;&gt;"",'Data Source'!S17="F"),IF('Data Source'!AE17&gt;=5,"A+",IF('Data Source'!AE17&gt;=4,"A",IF('Data Source'!AE17&gt;=3.5,"A-",IF('Data Source'!AE17&gt;=3,"B",IF('Data Source'!AE17&gt;=2,"C",IF('Data Source'!AE17&gt;=1,"D","F")))))),"")</f>
        <v/>
      </c>
      <c r="N17" s="3">
        <f>IF(AND('Data Source'!B17&lt;&gt;"",'Data Source'!S17="F"),IF('Data Source'!AF17&gt;=5,"A+",IF('Data Source'!AF17&gt;=4,"A",IF('Data Source'!AF17&gt;=3.5,"A-",IF('Data Source'!AF17&gt;=3,"B",IF('Data Source'!AF17&gt;=2,"C",IF('Data Source'!AF17&gt;=1,"D","F")))))),"")</f>
        <v/>
      </c>
      <c r="O17" s="3">
        <f>IF(AND('Data Source'!B17&lt;&gt;"",'Data Source'!S17="F"),IF('Data Source'!AG17&gt;=5,"A+",IF('Data Source'!AG17&gt;=4,"A",IF('Data Source'!AG17&gt;=3.5,"A-",IF('Data Source'!AG17&gt;=3,"B",IF('Data Source'!AG17&gt;=2,"C",IF('Data Source'!AG17&gt;=1,"D","F")))))),"")</f>
        <v/>
      </c>
      <c r="P17" s="5">
        <f>IF(AND('Data Source'!B17&lt;&gt;"",'Data Source'!S17="F"),'Data Source'!R17,"")</f>
        <v/>
      </c>
      <c r="Q17" s="3">
        <f>IF(AND('Data Source'!B17&lt;&gt;"",'Data Source'!S17="F"),'Data Source'!S17,"")</f>
        <v/>
      </c>
    </row>
    <row r="18">
      <c r="A18" s="3">
        <f>IF(AND('Data Source'!B18&lt;&gt;"",'Data Source'!S18="F"),COUNTIF('Data Source'!$S$3:S18,"F"),"")</f>
        <v/>
      </c>
      <c r="B18">
        <f>IF(AND('Data Source'!B18&lt;&gt;"",'Data Source'!S18="F"),'Data Source'!B18,"")</f>
        <v/>
      </c>
      <c r="C18" s="3">
        <f>IF(AND('Data Source'!B18&lt;&gt;"",'Data Source'!S18="F"),IF('Data Source'!U18&gt;=5,"A+",IF('Data Source'!U18&gt;=4,"A",IF('Data Source'!U18&gt;=3.5,"A-",IF('Data Source'!U18&gt;=3,"B",IF('Data Source'!U18&gt;=2,"C",IF('Data Source'!U18&gt;=1,"D","F")))))),"")</f>
        <v/>
      </c>
      <c r="D18" s="3">
        <f>IF(AND('Data Source'!B18&lt;&gt;"",'Data Source'!S18="F"),IF('Data Source'!V18&gt;=5,"A+",IF('Data Source'!V18&gt;=4,"A",IF('Data Source'!V18&gt;=3.5,"A-",IF('Data Source'!V18&gt;=3,"B",IF('Data Source'!V18&gt;=2,"C",IF('Data Source'!V18&gt;=1,"D","F")))))),"")</f>
        <v/>
      </c>
      <c r="E18" s="3">
        <f>IF(AND('Data Source'!B18&lt;&gt;"",'Data Source'!S18="F"),IF('Data Source'!W18&gt;=5,"A+",IF('Data Source'!W18&gt;=4,"A",IF('Data Source'!W18&gt;=3.5,"A-",IF('Data Source'!W18&gt;=3,"B",IF('Data Source'!W18&gt;=2,"C",IF('Data Source'!W18&gt;=1,"D","F")))))),"")</f>
        <v/>
      </c>
      <c r="F18" s="3">
        <f>IF(AND('Data Source'!B18&lt;&gt;"",'Data Source'!S18="F"),IF('Data Source'!X18&gt;=5,"A+",IF('Data Source'!X18&gt;=4,"A",IF('Data Source'!X18&gt;=3.5,"A-",IF('Data Source'!X18&gt;=3,"B",IF('Data Source'!X18&gt;=2,"C",IF('Data Source'!X18&gt;=1,"D","F")))))),"")</f>
        <v/>
      </c>
      <c r="G18" s="3">
        <f>IF(AND('Data Source'!B18&lt;&gt;"",'Data Source'!S18="F"),IF('Data Source'!Y18&gt;=5,"A+",IF('Data Source'!Y18&gt;=4,"A",IF('Data Source'!Y18&gt;=3.5,"A-",IF('Data Source'!Y18&gt;=3,"B",IF('Data Source'!Y18&gt;=2,"C",IF('Data Source'!Y18&gt;=1,"D","F")))))),"")</f>
        <v/>
      </c>
      <c r="H18" s="3">
        <f>IF(AND('Data Source'!B18&lt;&gt;"",'Data Source'!S18="F"),IF('Data Source'!Z18&gt;=5,"A+",IF('Data Source'!Z18&gt;=4,"A",IF('Data Source'!Z18&gt;=3.5,"A-",IF('Data Source'!Z18&gt;=3,"B",IF('Data Source'!Z18&gt;=2,"C",IF('Data Source'!Z18&gt;=1,"D","F")))))),"")</f>
        <v/>
      </c>
      <c r="I18" s="3">
        <f>IF(AND('Data Source'!B18&lt;&gt;"",'Data Source'!S18="F"),IF('Data Source'!AA18&gt;=5,"A+",IF('Data Source'!AA18&gt;=4,"A",IF('Data Source'!AA18&gt;=3.5,"A-",IF('Data Source'!AA18&gt;=3,"B",IF('Data Source'!AA18&gt;=2,"C",IF('Data Source'!AA18&gt;=1,"D","F")))))),"")</f>
        <v/>
      </c>
      <c r="J18" s="3">
        <f>IF(AND('Data Source'!B18&lt;&gt;"",'Data Source'!S18="F"),IF('Data Source'!AB18&gt;=5,"A+",IF('Data Source'!AB18&gt;=4,"A",IF('Data Source'!AB18&gt;=3.5,"A-",IF('Data Source'!AB18&gt;=3,"B",IF('Data Source'!AB18&gt;=2,"C",IF('Data Source'!AB18&gt;=1,"D","F")))))),"")</f>
        <v/>
      </c>
      <c r="K18" s="3">
        <f>IF(AND('Data Source'!B18&lt;&gt;"",'Data Source'!S18="F"),IF('Data Source'!AC18&gt;=5,"A+",IF('Data Source'!AC18&gt;=4,"A",IF('Data Source'!AC18&gt;=3.5,"A-",IF('Data Source'!AC18&gt;=3,"B",IF('Data Source'!AC18&gt;=2,"C",IF('Data Source'!AC18&gt;=1,"D","F")))))),"")</f>
        <v/>
      </c>
      <c r="L18" s="3">
        <f>IF(AND('Data Source'!B18&lt;&gt;"",'Data Source'!S18="F"),IF('Data Source'!AD18&gt;=5,"A+",IF('Data Source'!AD18&gt;=4,"A",IF('Data Source'!AD18&gt;=3.5,"A-",IF('Data Source'!AD18&gt;=3,"B",IF('Data Source'!AD18&gt;=2,"C",IF('Data Source'!AD18&gt;=1,"D","F")))))),"")</f>
        <v/>
      </c>
      <c r="M18" s="3">
        <f>IF(AND('Data Source'!B18&lt;&gt;"",'Data Source'!S18="F"),IF('Data Source'!AE18&gt;=5,"A+",IF('Data Source'!AE18&gt;=4,"A",IF('Data Source'!AE18&gt;=3.5,"A-",IF('Data Source'!AE18&gt;=3,"B",IF('Data Source'!AE18&gt;=2,"C",IF('Data Source'!AE18&gt;=1,"D","F")))))),"")</f>
        <v/>
      </c>
      <c r="N18" s="3">
        <f>IF(AND('Data Source'!B18&lt;&gt;"",'Data Source'!S18="F"),IF('Data Source'!AF18&gt;=5,"A+",IF('Data Source'!AF18&gt;=4,"A",IF('Data Source'!AF18&gt;=3.5,"A-",IF('Data Source'!AF18&gt;=3,"B",IF('Data Source'!AF18&gt;=2,"C",IF('Data Source'!AF18&gt;=1,"D","F")))))),"")</f>
        <v/>
      </c>
      <c r="O18" s="3">
        <f>IF(AND('Data Source'!B18&lt;&gt;"",'Data Source'!S18="F"),IF('Data Source'!AG18&gt;=5,"A+",IF('Data Source'!AG18&gt;=4,"A",IF('Data Source'!AG18&gt;=3.5,"A-",IF('Data Source'!AG18&gt;=3,"B",IF('Data Source'!AG18&gt;=2,"C",IF('Data Source'!AG18&gt;=1,"D","F")))))),"")</f>
        <v/>
      </c>
      <c r="P18" s="5">
        <f>IF(AND('Data Source'!B18&lt;&gt;"",'Data Source'!S18="F"),'Data Source'!R18,"")</f>
        <v/>
      </c>
      <c r="Q18" s="3">
        <f>IF(AND('Data Source'!B18&lt;&gt;"",'Data Source'!S18="F"),'Data Source'!S18,"")</f>
        <v/>
      </c>
    </row>
    <row r="19">
      <c r="A19" s="3">
        <f>IF(AND('Data Source'!B19&lt;&gt;"",'Data Source'!S19="F"),COUNTIF('Data Source'!$S$3:S19,"F"),"")</f>
        <v/>
      </c>
      <c r="B19">
        <f>IF(AND('Data Source'!B19&lt;&gt;"",'Data Source'!S19="F"),'Data Source'!B19,"")</f>
        <v/>
      </c>
      <c r="C19" s="3">
        <f>IF(AND('Data Source'!B19&lt;&gt;"",'Data Source'!S19="F"),IF('Data Source'!U19&gt;=5,"A+",IF('Data Source'!U19&gt;=4,"A",IF('Data Source'!U19&gt;=3.5,"A-",IF('Data Source'!U19&gt;=3,"B",IF('Data Source'!U19&gt;=2,"C",IF('Data Source'!U19&gt;=1,"D","F")))))),"")</f>
        <v/>
      </c>
      <c r="D19" s="3">
        <f>IF(AND('Data Source'!B19&lt;&gt;"",'Data Source'!S19="F"),IF('Data Source'!V19&gt;=5,"A+",IF('Data Source'!V19&gt;=4,"A",IF('Data Source'!V19&gt;=3.5,"A-",IF('Data Source'!V19&gt;=3,"B",IF('Data Source'!V19&gt;=2,"C",IF('Data Source'!V19&gt;=1,"D","F")))))),"")</f>
        <v/>
      </c>
      <c r="E19" s="3">
        <f>IF(AND('Data Source'!B19&lt;&gt;"",'Data Source'!S19="F"),IF('Data Source'!W19&gt;=5,"A+",IF('Data Source'!W19&gt;=4,"A",IF('Data Source'!W19&gt;=3.5,"A-",IF('Data Source'!W19&gt;=3,"B",IF('Data Source'!W19&gt;=2,"C",IF('Data Source'!W19&gt;=1,"D","F")))))),"")</f>
        <v/>
      </c>
      <c r="F19" s="3">
        <f>IF(AND('Data Source'!B19&lt;&gt;"",'Data Source'!S19="F"),IF('Data Source'!X19&gt;=5,"A+",IF('Data Source'!X19&gt;=4,"A",IF('Data Source'!X19&gt;=3.5,"A-",IF('Data Source'!X19&gt;=3,"B",IF('Data Source'!X19&gt;=2,"C",IF('Data Source'!X19&gt;=1,"D","F")))))),"")</f>
        <v/>
      </c>
      <c r="G19" s="3">
        <f>IF(AND('Data Source'!B19&lt;&gt;"",'Data Source'!S19="F"),IF('Data Source'!Y19&gt;=5,"A+",IF('Data Source'!Y19&gt;=4,"A",IF('Data Source'!Y19&gt;=3.5,"A-",IF('Data Source'!Y19&gt;=3,"B",IF('Data Source'!Y19&gt;=2,"C",IF('Data Source'!Y19&gt;=1,"D","F")))))),"")</f>
        <v/>
      </c>
      <c r="H19" s="3">
        <f>IF(AND('Data Source'!B19&lt;&gt;"",'Data Source'!S19="F"),IF('Data Source'!Z19&gt;=5,"A+",IF('Data Source'!Z19&gt;=4,"A",IF('Data Source'!Z19&gt;=3.5,"A-",IF('Data Source'!Z19&gt;=3,"B",IF('Data Source'!Z19&gt;=2,"C",IF('Data Source'!Z19&gt;=1,"D","F")))))),"")</f>
        <v/>
      </c>
      <c r="I19" s="3">
        <f>IF(AND('Data Source'!B19&lt;&gt;"",'Data Source'!S19="F"),IF('Data Source'!AA19&gt;=5,"A+",IF('Data Source'!AA19&gt;=4,"A",IF('Data Source'!AA19&gt;=3.5,"A-",IF('Data Source'!AA19&gt;=3,"B",IF('Data Source'!AA19&gt;=2,"C",IF('Data Source'!AA19&gt;=1,"D","F")))))),"")</f>
        <v/>
      </c>
      <c r="J19" s="3">
        <f>IF(AND('Data Source'!B19&lt;&gt;"",'Data Source'!S19="F"),IF('Data Source'!AB19&gt;=5,"A+",IF('Data Source'!AB19&gt;=4,"A",IF('Data Source'!AB19&gt;=3.5,"A-",IF('Data Source'!AB19&gt;=3,"B",IF('Data Source'!AB19&gt;=2,"C",IF('Data Source'!AB19&gt;=1,"D","F")))))),"")</f>
        <v/>
      </c>
      <c r="K19" s="3">
        <f>IF(AND('Data Source'!B19&lt;&gt;"",'Data Source'!S19="F"),IF('Data Source'!AC19&gt;=5,"A+",IF('Data Source'!AC19&gt;=4,"A",IF('Data Source'!AC19&gt;=3.5,"A-",IF('Data Source'!AC19&gt;=3,"B",IF('Data Source'!AC19&gt;=2,"C",IF('Data Source'!AC19&gt;=1,"D","F")))))),"")</f>
        <v/>
      </c>
      <c r="L19" s="3">
        <f>IF(AND('Data Source'!B19&lt;&gt;"",'Data Source'!S19="F"),IF('Data Source'!AD19&gt;=5,"A+",IF('Data Source'!AD19&gt;=4,"A",IF('Data Source'!AD19&gt;=3.5,"A-",IF('Data Source'!AD19&gt;=3,"B",IF('Data Source'!AD19&gt;=2,"C",IF('Data Source'!AD19&gt;=1,"D","F")))))),"")</f>
        <v/>
      </c>
      <c r="M19" s="3">
        <f>IF(AND('Data Source'!B19&lt;&gt;"",'Data Source'!S19="F"),IF('Data Source'!AE19&gt;=5,"A+",IF('Data Source'!AE19&gt;=4,"A",IF('Data Source'!AE19&gt;=3.5,"A-",IF('Data Source'!AE19&gt;=3,"B",IF('Data Source'!AE19&gt;=2,"C",IF('Data Source'!AE19&gt;=1,"D","F")))))),"")</f>
        <v/>
      </c>
      <c r="N19" s="3">
        <f>IF(AND('Data Source'!B19&lt;&gt;"",'Data Source'!S19="F"),IF('Data Source'!AF19&gt;=5,"A+",IF('Data Source'!AF19&gt;=4,"A",IF('Data Source'!AF19&gt;=3.5,"A-",IF('Data Source'!AF19&gt;=3,"B",IF('Data Source'!AF19&gt;=2,"C",IF('Data Source'!AF19&gt;=1,"D","F")))))),"")</f>
        <v/>
      </c>
      <c r="O19" s="3">
        <f>IF(AND('Data Source'!B19&lt;&gt;"",'Data Source'!S19="F"),IF('Data Source'!AG19&gt;=5,"A+",IF('Data Source'!AG19&gt;=4,"A",IF('Data Source'!AG19&gt;=3.5,"A-",IF('Data Source'!AG19&gt;=3,"B",IF('Data Source'!AG19&gt;=2,"C",IF('Data Source'!AG19&gt;=1,"D","F")))))),"")</f>
        <v/>
      </c>
      <c r="P19" s="5">
        <f>IF(AND('Data Source'!B19&lt;&gt;"",'Data Source'!S19="F"),'Data Source'!R19,"")</f>
        <v/>
      </c>
      <c r="Q19" s="3">
        <f>IF(AND('Data Source'!B19&lt;&gt;"",'Data Source'!S19="F"),'Data Source'!S19,"")</f>
        <v/>
      </c>
    </row>
    <row r="20">
      <c r="A20" s="3">
        <f>IF(AND('Data Source'!B20&lt;&gt;"",'Data Source'!S20="F"),COUNTIF('Data Source'!$S$3:S20,"F"),"")</f>
        <v/>
      </c>
      <c r="B20">
        <f>IF(AND('Data Source'!B20&lt;&gt;"",'Data Source'!S20="F"),'Data Source'!B20,"")</f>
        <v/>
      </c>
      <c r="C20" s="3">
        <f>IF(AND('Data Source'!B20&lt;&gt;"",'Data Source'!S20="F"),IF('Data Source'!U20&gt;=5,"A+",IF('Data Source'!U20&gt;=4,"A",IF('Data Source'!U20&gt;=3.5,"A-",IF('Data Source'!U20&gt;=3,"B",IF('Data Source'!U20&gt;=2,"C",IF('Data Source'!U20&gt;=1,"D","F")))))),"")</f>
        <v/>
      </c>
      <c r="D20" s="3">
        <f>IF(AND('Data Source'!B20&lt;&gt;"",'Data Source'!S20="F"),IF('Data Source'!V20&gt;=5,"A+",IF('Data Source'!V20&gt;=4,"A",IF('Data Source'!V20&gt;=3.5,"A-",IF('Data Source'!V20&gt;=3,"B",IF('Data Source'!V20&gt;=2,"C",IF('Data Source'!V20&gt;=1,"D","F")))))),"")</f>
        <v/>
      </c>
      <c r="E20" s="3">
        <f>IF(AND('Data Source'!B20&lt;&gt;"",'Data Source'!S20="F"),IF('Data Source'!W20&gt;=5,"A+",IF('Data Source'!W20&gt;=4,"A",IF('Data Source'!W20&gt;=3.5,"A-",IF('Data Source'!W20&gt;=3,"B",IF('Data Source'!W20&gt;=2,"C",IF('Data Source'!W20&gt;=1,"D","F")))))),"")</f>
        <v/>
      </c>
      <c r="F20" s="3">
        <f>IF(AND('Data Source'!B20&lt;&gt;"",'Data Source'!S20="F"),IF('Data Source'!X20&gt;=5,"A+",IF('Data Source'!X20&gt;=4,"A",IF('Data Source'!X20&gt;=3.5,"A-",IF('Data Source'!X20&gt;=3,"B",IF('Data Source'!X20&gt;=2,"C",IF('Data Source'!X20&gt;=1,"D","F")))))),"")</f>
        <v/>
      </c>
      <c r="G20" s="3">
        <f>IF(AND('Data Source'!B20&lt;&gt;"",'Data Source'!S20="F"),IF('Data Source'!Y20&gt;=5,"A+",IF('Data Source'!Y20&gt;=4,"A",IF('Data Source'!Y20&gt;=3.5,"A-",IF('Data Source'!Y20&gt;=3,"B",IF('Data Source'!Y20&gt;=2,"C",IF('Data Source'!Y20&gt;=1,"D","F")))))),"")</f>
        <v/>
      </c>
      <c r="H20" s="3">
        <f>IF(AND('Data Source'!B20&lt;&gt;"",'Data Source'!S20="F"),IF('Data Source'!Z20&gt;=5,"A+",IF('Data Source'!Z20&gt;=4,"A",IF('Data Source'!Z20&gt;=3.5,"A-",IF('Data Source'!Z20&gt;=3,"B",IF('Data Source'!Z20&gt;=2,"C",IF('Data Source'!Z20&gt;=1,"D","F")))))),"")</f>
        <v/>
      </c>
      <c r="I20" s="3">
        <f>IF(AND('Data Source'!B20&lt;&gt;"",'Data Source'!S20="F"),IF('Data Source'!AA20&gt;=5,"A+",IF('Data Source'!AA20&gt;=4,"A",IF('Data Source'!AA20&gt;=3.5,"A-",IF('Data Source'!AA20&gt;=3,"B",IF('Data Source'!AA20&gt;=2,"C",IF('Data Source'!AA20&gt;=1,"D","F")))))),"")</f>
        <v/>
      </c>
      <c r="J20" s="3">
        <f>IF(AND('Data Source'!B20&lt;&gt;"",'Data Source'!S20="F"),IF('Data Source'!AB20&gt;=5,"A+",IF('Data Source'!AB20&gt;=4,"A",IF('Data Source'!AB20&gt;=3.5,"A-",IF('Data Source'!AB20&gt;=3,"B",IF('Data Source'!AB20&gt;=2,"C",IF('Data Source'!AB20&gt;=1,"D","F")))))),"")</f>
        <v/>
      </c>
      <c r="K20" s="3">
        <f>IF(AND('Data Source'!B20&lt;&gt;"",'Data Source'!S20="F"),IF('Data Source'!AC20&gt;=5,"A+",IF('Data Source'!AC20&gt;=4,"A",IF('Data Source'!AC20&gt;=3.5,"A-",IF('Data Source'!AC20&gt;=3,"B",IF('Data Source'!AC20&gt;=2,"C",IF('Data Source'!AC20&gt;=1,"D","F")))))),"")</f>
        <v/>
      </c>
      <c r="L20" s="3">
        <f>IF(AND('Data Source'!B20&lt;&gt;"",'Data Source'!S20="F"),IF('Data Source'!AD20&gt;=5,"A+",IF('Data Source'!AD20&gt;=4,"A",IF('Data Source'!AD20&gt;=3.5,"A-",IF('Data Source'!AD20&gt;=3,"B",IF('Data Source'!AD20&gt;=2,"C",IF('Data Source'!AD20&gt;=1,"D","F")))))),"")</f>
        <v/>
      </c>
      <c r="M20" s="3">
        <f>IF(AND('Data Source'!B20&lt;&gt;"",'Data Source'!S20="F"),IF('Data Source'!AE20&gt;=5,"A+",IF('Data Source'!AE20&gt;=4,"A",IF('Data Source'!AE20&gt;=3.5,"A-",IF('Data Source'!AE20&gt;=3,"B",IF('Data Source'!AE20&gt;=2,"C",IF('Data Source'!AE20&gt;=1,"D","F")))))),"")</f>
        <v/>
      </c>
      <c r="N20" s="3">
        <f>IF(AND('Data Source'!B20&lt;&gt;"",'Data Source'!S20="F"),IF('Data Source'!AF20&gt;=5,"A+",IF('Data Source'!AF20&gt;=4,"A",IF('Data Source'!AF20&gt;=3.5,"A-",IF('Data Source'!AF20&gt;=3,"B",IF('Data Source'!AF20&gt;=2,"C",IF('Data Source'!AF20&gt;=1,"D","F")))))),"")</f>
        <v/>
      </c>
      <c r="O20" s="3">
        <f>IF(AND('Data Source'!B20&lt;&gt;"",'Data Source'!S20="F"),IF('Data Source'!AG20&gt;=5,"A+",IF('Data Source'!AG20&gt;=4,"A",IF('Data Source'!AG20&gt;=3.5,"A-",IF('Data Source'!AG20&gt;=3,"B",IF('Data Source'!AG20&gt;=2,"C",IF('Data Source'!AG20&gt;=1,"D","F")))))),"")</f>
        <v/>
      </c>
      <c r="P20" s="5">
        <f>IF(AND('Data Source'!B20&lt;&gt;"",'Data Source'!S20="F"),'Data Source'!R20,"")</f>
        <v/>
      </c>
      <c r="Q20" s="3">
        <f>IF(AND('Data Source'!B20&lt;&gt;"",'Data Source'!S20="F"),'Data Source'!S20,"")</f>
        <v/>
      </c>
    </row>
    <row r="21">
      <c r="A21" s="3">
        <f>IF(AND('Data Source'!B21&lt;&gt;"",'Data Source'!S21="F"),COUNTIF('Data Source'!$S$3:S21,"F"),"")</f>
        <v/>
      </c>
      <c r="B21">
        <f>IF(AND('Data Source'!B21&lt;&gt;"",'Data Source'!S21="F"),'Data Source'!B21,"")</f>
        <v/>
      </c>
      <c r="C21" s="3">
        <f>IF(AND('Data Source'!B21&lt;&gt;"",'Data Source'!S21="F"),IF('Data Source'!U21&gt;=5,"A+",IF('Data Source'!U21&gt;=4,"A",IF('Data Source'!U21&gt;=3.5,"A-",IF('Data Source'!U21&gt;=3,"B",IF('Data Source'!U21&gt;=2,"C",IF('Data Source'!U21&gt;=1,"D","F")))))),"")</f>
        <v/>
      </c>
      <c r="D21" s="3">
        <f>IF(AND('Data Source'!B21&lt;&gt;"",'Data Source'!S21="F"),IF('Data Source'!V21&gt;=5,"A+",IF('Data Source'!V21&gt;=4,"A",IF('Data Source'!V21&gt;=3.5,"A-",IF('Data Source'!V21&gt;=3,"B",IF('Data Source'!V21&gt;=2,"C",IF('Data Source'!V21&gt;=1,"D","F")))))),"")</f>
        <v/>
      </c>
      <c r="E21" s="3">
        <f>IF(AND('Data Source'!B21&lt;&gt;"",'Data Source'!S21="F"),IF('Data Source'!W21&gt;=5,"A+",IF('Data Source'!W21&gt;=4,"A",IF('Data Source'!W21&gt;=3.5,"A-",IF('Data Source'!W21&gt;=3,"B",IF('Data Source'!W21&gt;=2,"C",IF('Data Source'!W21&gt;=1,"D","F")))))),"")</f>
        <v/>
      </c>
      <c r="F21" s="3">
        <f>IF(AND('Data Source'!B21&lt;&gt;"",'Data Source'!S21="F"),IF('Data Source'!X21&gt;=5,"A+",IF('Data Source'!X21&gt;=4,"A",IF('Data Source'!X21&gt;=3.5,"A-",IF('Data Source'!X21&gt;=3,"B",IF('Data Source'!X21&gt;=2,"C",IF('Data Source'!X21&gt;=1,"D","F")))))),"")</f>
        <v/>
      </c>
      <c r="G21" s="3">
        <f>IF(AND('Data Source'!B21&lt;&gt;"",'Data Source'!S21="F"),IF('Data Source'!Y21&gt;=5,"A+",IF('Data Source'!Y21&gt;=4,"A",IF('Data Source'!Y21&gt;=3.5,"A-",IF('Data Source'!Y21&gt;=3,"B",IF('Data Source'!Y21&gt;=2,"C",IF('Data Source'!Y21&gt;=1,"D","F")))))),"")</f>
        <v/>
      </c>
      <c r="H21" s="3">
        <f>IF(AND('Data Source'!B21&lt;&gt;"",'Data Source'!S21="F"),IF('Data Source'!Z21&gt;=5,"A+",IF('Data Source'!Z21&gt;=4,"A",IF('Data Source'!Z21&gt;=3.5,"A-",IF('Data Source'!Z21&gt;=3,"B",IF('Data Source'!Z21&gt;=2,"C",IF('Data Source'!Z21&gt;=1,"D","F")))))),"")</f>
        <v/>
      </c>
      <c r="I21" s="3">
        <f>IF(AND('Data Source'!B21&lt;&gt;"",'Data Source'!S21="F"),IF('Data Source'!AA21&gt;=5,"A+",IF('Data Source'!AA21&gt;=4,"A",IF('Data Source'!AA21&gt;=3.5,"A-",IF('Data Source'!AA21&gt;=3,"B",IF('Data Source'!AA21&gt;=2,"C",IF('Data Source'!AA21&gt;=1,"D","F")))))),"")</f>
        <v/>
      </c>
      <c r="J21" s="3">
        <f>IF(AND('Data Source'!B21&lt;&gt;"",'Data Source'!S21="F"),IF('Data Source'!AB21&gt;=5,"A+",IF('Data Source'!AB21&gt;=4,"A",IF('Data Source'!AB21&gt;=3.5,"A-",IF('Data Source'!AB21&gt;=3,"B",IF('Data Source'!AB21&gt;=2,"C",IF('Data Source'!AB21&gt;=1,"D","F")))))),"")</f>
        <v/>
      </c>
      <c r="K21" s="3">
        <f>IF(AND('Data Source'!B21&lt;&gt;"",'Data Source'!S21="F"),IF('Data Source'!AC21&gt;=5,"A+",IF('Data Source'!AC21&gt;=4,"A",IF('Data Source'!AC21&gt;=3.5,"A-",IF('Data Source'!AC21&gt;=3,"B",IF('Data Source'!AC21&gt;=2,"C",IF('Data Source'!AC21&gt;=1,"D","F")))))),"")</f>
        <v/>
      </c>
      <c r="L21" s="3">
        <f>IF(AND('Data Source'!B21&lt;&gt;"",'Data Source'!S21="F"),IF('Data Source'!AD21&gt;=5,"A+",IF('Data Source'!AD21&gt;=4,"A",IF('Data Source'!AD21&gt;=3.5,"A-",IF('Data Source'!AD21&gt;=3,"B",IF('Data Source'!AD21&gt;=2,"C",IF('Data Source'!AD21&gt;=1,"D","F")))))),"")</f>
        <v/>
      </c>
      <c r="M21" s="3">
        <f>IF(AND('Data Source'!B21&lt;&gt;"",'Data Source'!S21="F"),IF('Data Source'!AE21&gt;=5,"A+",IF('Data Source'!AE21&gt;=4,"A",IF('Data Source'!AE21&gt;=3.5,"A-",IF('Data Source'!AE21&gt;=3,"B",IF('Data Source'!AE21&gt;=2,"C",IF('Data Source'!AE21&gt;=1,"D","F")))))),"")</f>
        <v/>
      </c>
      <c r="N21" s="3">
        <f>IF(AND('Data Source'!B21&lt;&gt;"",'Data Source'!S21="F"),IF('Data Source'!AF21&gt;=5,"A+",IF('Data Source'!AF21&gt;=4,"A",IF('Data Source'!AF21&gt;=3.5,"A-",IF('Data Source'!AF21&gt;=3,"B",IF('Data Source'!AF21&gt;=2,"C",IF('Data Source'!AF21&gt;=1,"D","F")))))),"")</f>
        <v/>
      </c>
      <c r="O21" s="3">
        <f>IF(AND('Data Source'!B21&lt;&gt;"",'Data Source'!S21="F"),IF('Data Source'!AG21&gt;=5,"A+",IF('Data Source'!AG21&gt;=4,"A",IF('Data Source'!AG21&gt;=3.5,"A-",IF('Data Source'!AG21&gt;=3,"B",IF('Data Source'!AG21&gt;=2,"C",IF('Data Source'!AG21&gt;=1,"D","F")))))),"")</f>
        <v/>
      </c>
      <c r="P21" s="5">
        <f>IF(AND('Data Source'!B21&lt;&gt;"",'Data Source'!S21="F"),'Data Source'!R21,"")</f>
        <v/>
      </c>
      <c r="Q21" s="3">
        <f>IF(AND('Data Source'!B21&lt;&gt;"",'Data Source'!S21="F"),'Data Source'!S21,"")</f>
        <v/>
      </c>
    </row>
    <row r="22">
      <c r="A22" s="3">
        <f>IF(AND('Data Source'!B22&lt;&gt;"",'Data Source'!S22="F"),COUNTIF('Data Source'!$S$3:S22,"F"),"")</f>
        <v/>
      </c>
      <c r="B22">
        <f>IF(AND('Data Source'!B22&lt;&gt;"",'Data Source'!S22="F"),'Data Source'!B22,"")</f>
        <v/>
      </c>
      <c r="C22" s="3">
        <f>IF(AND('Data Source'!B22&lt;&gt;"",'Data Source'!S22="F"),IF('Data Source'!U22&gt;=5,"A+",IF('Data Source'!U22&gt;=4,"A",IF('Data Source'!U22&gt;=3.5,"A-",IF('Data Source'!U22&gt;=3,"B",IF('Data Source'!U22&gt;=2,"C",IF('Data Source'!U22&gt;=1,"D","F")))))),"")</f>
        <v/>
      </c>
      <c r="D22" s="3">
        <f>IF(AND('Data Source'!B22&lt;&gt;"",'Data Source'!S22="F"),IF('Data Source'!V22&gt;=5,"A+",IF('Data Source'!V22&gt;=4,"A",IF('Data Source'!V22&gt;=3.5,"A-",IF('Data Source'!V22&gt;=3,"B",IF('Data Source'!V22&gt;=2,"C",IF('Data Source'!V22&gt;=1,"D","F")))))),"")</f>
        <v/>
      </c>
      <c r="E22" s="3">
        <f>IF(AND('Data Source'!B22&lt;&gt;"",'Data Source'!S22="F"),IF('Data Source'!W22&gt;=5,"A+",IF('Data Source'!W22&gt;=4,"A",IF('Data Source'!W22&gt;=3.5,"A-",IF('Data Source'!W22&gt;=3,"B",IF('Data Source'!W22&gt;=2,"C",IF('Data Source'!W22&gt;=1,"D","F")))))),"")</f>
        <v/>
      </c>
      <c r="F22" s="3">
        <f>IF(AND('Data Source'!B22&lt;&gt;"",'Data Source'!S22="F"),IF('Data Source'!X22&gt;=5,"A+",IF('Data Source'!X22&gt;=4,"A",IF('Data Source'!X22&gt;=3.5,"A-",IF('Data Source'!X22&gt;=3,"B",IF('Data Source'!X22&gt;=2,"C",IF('Data Source'!X22&gt;=1,"D","F")))))),"")</f>
        <v/>
      </c>
      <c r="G22" s="3">
        <f>IF(AND('Data Source'!B22&lt;&gt;"",'Data Source'!S22="F"),IF('Data Source'!Y22&gt;=5,"A+",IF('Data Source'!Y22&gt;=4,"A",IF('Data Source'!Y22&gt;=3.5,"A-",IF('Data Source'!Y22&gt;=3,"B",IF('Data Source'!Y22&gt;=2,"C",IF('Data Source'!Y22&gt;=1,"D","F")))))),"")</f>
        <v/>
      </c>
      <c r="H22" s="3">
        <f>IF(AND('Data Source'!B22&lt;&gt;"",'Data Source'!S22="F"),IF('Data Source'!Z22&gt;=5,"A+",IF('Data Source'!Z22&gt;=4,"A",IF('Data Source'!Z22&gt;=3.5,"A-",IF('Data Source'!Z22&gt;=3,"B",IF('Data Source'!Z22&gt;=2,"C",IF('Data Source'!Z22&gt;=1,"D","F")))))),"")</f>
        <v/>
      </c>
      <c r="I22" s="3">
        <f>IF(AND('Data Source'!B22&lt;&gt;"",'Data Source'!S22="F"),IF('Data Source'!AA22&gt;=5,"A+",IF('Data Source'!AA22&gt;=4,"A",IF('Data Source'!AA22&gt;=3.5,"A-",IF('Data Source'!AA22&gt;=3,"B",IF('Data Source'!AA22&gt;=2,"C",IF('Data Source'!AA22&gt;=1,"D","F")))))),"")</f>
        <v/>
      </c>
      <c r="J22" s="3">
        <f>IF(AND('Data Source'!B22&lt;&gt;"",'Data Source'!S22="F"),IF('Data Source'!AB22&gt;=5,"A+",IF('Data Source'!AB22&gt;=4,"A",IF('Data Source'!AB22&gt;=3.5,"A-",IF('Data Source'!AB22&gt;=3,"B",IF('Data Source'!AB22&gt;=2,"C",IF('Data Source'!AB22&gt;=1,"D","F")))))),"")</f>
        <v/>
      </c>
      <c r="K22" s="3">
        <f>IF(AND('Data Source'!B22&lt;&gt;"",'Data Source'!S22="F"),IF('Data Source'!AC22&gt;=5,"A+",IF('Data Source'!AC22&gt;=4,"A",IF('Data Source'!AC22&gt;=3.5,"A-",IF('Data Source'!AC22&gt;=3,"B",IF('Data Source'!AC22&gt;=2,"C",IF('Data Source'!AC22&gt;=1,"D","F")))))),"")</f>
        <v/>
      </c>
      <c r="L22" s="3">
        <f>IF(AND('Data Source'!B22&lt;&gt;"",'Data Source'!S22="F"),IF('Data Source'!AD22&gt;=5,"A+",IF('Data Source'!AD22&gt;=4,"A",IF('Data Source'!AD22&gt;=3.5,"A-",IF('Data Source'!AD22&gt;=3,"B",IF('Data Source'!AD22&gt;=2,"C",IF('Data Source'!AD22&gt;=1,"D","F")))))),"")</f>
        <v/>
      </c>
      <c r="M22" s="3">
        <f>IF(AND('Data Source'!B22&lt;&gt;"",'Data Source'!S22="F"),IF('Data Source'!AE22&gt;=5,"A+",IF('Data Source'!AE22&gt;=4,"A",IF('Data Source'!AE22&gt;=3.5,"A-",IF('Data Source'!AE22&gt;=3,"B",IF('Data Source'!AE22&gt;=2,"C",IF('Data Source'!AE22&gt;=1,"D","F")))))),"")</f>
        <v/>
      </c>
      <c r="N22" s="3">
        <f>IF(AND('Data Source'!B22&lt;&gt;"",'Data Source'!S22="F"),IF('Data Source'!AF22&gt;=5,"A+",IF('Data Source'!AF22&gt;=4,"A",IF('Data Source'!AF22&gt;=3.5,"A-",IF('Data Source'!AF22&gt;=3,"B",IF('Data Source'!AF22&gt;=2,"C",IF('Data Source'!AF22&gt;=1,"D","F")))))),"")</f>
        <v/>
      </c>
      <c r="O22" s="3">
        <f>IF(AND('Data Source'!B22&lt;&gt;"",'Data Source'!S22="F"),IF('Data Source'!AG22&gt;=5,"A+",IF('Data Source'!AG22&gt;=4,"A",IF('Data Source'!AG22&gt;=3.5,"A-",IF('Data Source'!AG22&gt;=3,"B",IF('Data Source'!AG22&gt;=2,"C",IF('Data Source'!AG22&gt;=1,"D","F")))))),"")</f>
        <v/>
      </c>
      <c r="P22" s="5">
        <f>IF(AND('Data Source'!B22&lt;&gt;"",'Data Source'!S22="F"),'Data Source'!R22,"")</f>
        <v/>
      </c>
      <c r="Q22" s="3">
        <f>IF(AND('Data Source'!B22&lt;&gt;"",'Data Source'!S22="F"),'Data Source'!S22,"")</f>
        <v/>
      </c>
    </row>
    <row r="23">
      <c r="A23" s="3">
        <f>IF(AND('Data Source'!B23&lt;&gt;"",'Data Source'!S23="F"),COUNTIF('Data Source'!$S$3:S23,"F"),"")</f>
        <v/>
      </c>
      <c r="B23">
        <f>IF(AND('Data Source'!B23&lt;&gt;"",'Data Source'!S23="F"),'Data Source'!B23,"")</f>
        <v/>
      </c>
      <c r="C23" s="3">
        <f>IF(AND('Data Source'!B23&lt;&gt;"",'Data Source'!S23="F"),IF('Data Source'!U23&gt;=5,"A+",IF('Data Source'!U23&gt;=4,"A",IF('Data Source'!U23&gt;=3.5,"A-",IF('Data Source'!U23&gt;=3,"B",IF('Data Source'!U23&gt;=2,"C",IF('Data Source'!U23&gt;=1,"D","F")))))),"")</f>
        <v/>
      </c>
      <c r="D23" s="3">
        <f>IF(AND('Data Source'!B23&lt;&gt;"",'Data Source'!S23="F"),IF('Data Source'!V23&gt;=5,"A+",IF('Data Source'!V23&gt;=4,"A",IF('Data Source'!V23&gt;=3.5,"A-",IF('Data Source'!V23&gt;=3,"B",IF('Data Source'!V23&gt;=2,"C",IF('Data Source'!V23&gt;=1,"D","F")))))),"")</f>
        <v/>
      </c>
      <c r="E23" s="3">
        <f>IF(AND('Data Source'!B23&lt;&gt;"",'Data Source'!S23="F"),IF('Data Source'!W23&gt;=5,"A+",IF('Data Source'!W23&gt;=4,"A",IF('Data Source'!W23&gt;=3.5,"A-",IF('Data Source'!W23&gt;=3,"B",IF('Data Source'!W23&gt;=2,"C",IF('Data Source'!W23&gt;=1,"D","F")))))),"")</f>
        <v/>
      </c>
      <c r="F23" s="3">
        <f>IF(AND('Data Source'!B23&lt;&gt;"",'Data Source'!S23="F"),IF('Data Source'!X23&gt;=5,"A+",IF('Data Source'!X23&gt;=4,"A",IF('Data Source'!X23&gt;=3.5,"A-",IF('Data Source'!X23&gt;=3,"B",IF('Data Source'!X23&gt;=2,"C",IF('Data Source'!X23&gt;=1,"D","F")))))),"")</f>
        <v/>
      </c>
      <c r="G23" s="3">
        <f>IF(AND('Data Source'!B23&lt;&gt;"",'Data Source'!S23="F"),IF('Data Source'!Y23&gt;=5,"A+",IF('Data Source'!Y23&gt;=4,"A",IF('Data Source'!Y23&gt;=3.5,"A-",IF('Data Source'!Y23&gt;=3,"B",IF('Data Source'!Y23&gt;=2,"C",IF('Data Source'!Y23&gt;=1,"D","F")))))),"")</f>
        <v/>
      </c>
      <c r="H23" s="3">
        <f>IF(AND('Data Source'!B23&lt;&gt;"",'Data Source'!S23="F"),IF('Data Source'!Z23&gt;=5,"A+",IF('Data Source'!Z23&gt;=4,"A",IF('Data Source'!Z23&gt;=3.5,"A-",IF('Data Source'!Z23&gt;=3,"B",IF('Data Source'!Z23&gt;=2,"C",IF('Data Source'!Z23&gt;=1,"D","F")))))),"")</f>
        <v/>
      </c>
      <c r="I23" s="3">
        <f>IF(AND('Data Source'!B23&lt;&gt;"",'Data Source'!S23="F"),IF('Data Source'!AA23&gt;=5,"A+",IF('Data Source'!AA23&gt;=4,"A",IF('Data Source'!AA23&gt;=3.5,"A-",IF('Data Source'!AA23&gt;=3,"B",IF('Data Source'!AA23&gt;=2,"C",IF('Data Source'!AA23&gt;=1,"D","F")))))),"")</f>
        <v/>
      </c>
      <c r="J23" s="3">
        <f>IF(AND('Data Source'!B23&lt;&gt;"",'Data Source'!S23="F"),IF('Data Source'!AB23&gt;=5,"A+",IF('Data Source'!AB23&gt;=4,"A",IF('Data Source'!AB23&gt;=3.5,"A-",IF('Data Source'!AB23&gt;=3,"B",IF('Data Source'!AB23&gt;=2,"C",IF('Data Source'!AB23&gt;=1,"D","F")))))),"")</f>
        <v/>
      </c>
      <c r="K23" s="3">
        <f>IF(AND('Data Source'!B23&lt;&gt;"",'Data Source'!S23="F"),IF('Data Source'!AC23&gt;=5,"A+",IF('Data Source'!AC23&gt;=4,"A",IF('Data Source'!AC23&gt;=3.5,"A-",IF('Data Source'!AC23&gt;=3,"B",IF('Data Source'!AC23&gt;=2,"C",IF('Data Source'!AC23&gt;=1,"D","F")))))),"")</f>
        <v/>
      </c>
      <c r="L23" s="3">
        <f>IF(AND('Data Source'!B23&lt;&gt;"",'Data Source'!S23="F"),IF('Data Source'!AD23&gt;=5,"A+",IF('Data Source'!AD23&gt;=4,"A",IF('Data Source'!AD23&gt;=3.5,"A-",IF('Data Source'!AD23&gt;=3,"B",IF('Data Source'!AD23&gt;=2,"C",IF('Data Source'!AD23&gt;=1,"D","F")))))),"")</f>
        <v/>
      </c>
      <c r="M23" s="3">
        <f>IF(AND('Data Source'!B23&lt;&gt;"",'Data Source'!S23="F"),IF('Data Source'!AE23&gt;=5,"A+",IF('Data Source'!AE23&gt;=4,"A",IF('Data Source'!AE23&gt;=3.5,"A-",IF('Data Source'!AE23&gt;=3,"B",IF('Data Source'!AE23&gt;=2,"C",IF('Data Source'!AE23&gt;=1,"D","F")))))),"")</f>
        <v/>
      </c>
      <c r="N23" s="3">
        <f>IF(AND('Data Source'!B23&lt;&gt;"",'Data Source'!S23="F"),IF('Data Source'!AF23&gt;=5,"A+",IF('Data Source'!AF23&gt;=4,"A",IF('Data Source'!AF23&gt;=3.5,"A-",IF('Data Source'!AF23&gt;=3,"B",IF('Data Source'!AF23&gt;=2,"C",IF('Data Source'!AF23&gt;=1,"D","F")))))),"")</f>
        <v/>
      </c>
      <c r="O23" s="3">
        <f>IF(AND('Data Source'!B23&lt;&gt;"",'Data Source'!S23="F"),IF('Data Source'!AG23&gt;=5,"A+",IF('Data Source'!AG23&gt;=4,"A",IF('Data Source'!AG23&gt;=3.5,"A-",IF('Data Source'!AG23&gt;=3,"B",IF('Data Source'!AG23&gt;=2,"C",IF('Data Source'!AG23&gt;=1,"D","F")))))),"")</f>
        <v/>
      </c>
      <c r="P23" s="5">
        <f>IF(AND('Data Source'!B23&lt;&gt;"",'Data Source'!S23="F"),'Data Source'!R23,"")</f>
        <v/>
      </c>
      <c r="Q23" s="3">
        <f>IF(AND('Data Source'!B23&lt;&gt;"",'Data Source'!S23="F"),'Data Source'!S23,"")</f>
        <v/>
      </c>
    </row>
    <row r="24">
      <c r="A24" s="3">
        <f>IF(AND('Data Source'!B24&lt;&gt;"",'Data Source'!S24="F"),COUNTIF('Data Source'!$S$3:S24,"F"),"")</f>
        <v/>
      </c>
      <c r="B24">
        <f>IF(AND('Data Source'!B24&lt;&gt;"",'Data Source'!S24="F"),'Data Source'!B24,"")</f>
        <v/>
      </c>
      <c r="C24" s="3">
        <f>IF(AND('Data Source'!B24&lt;&gt;"",'Data Source'!S24="F"),IF('Data Source'!U24&gt;=5,"A+",IF('Data Source'!U24&gt;=4,"A",IF('Data Source'!U24&gt;=3.5,"A-",IF('Data Source'!U24&gt;=3,"B",IF('Data Source'!U24&gt;=2,"C",IF('Data Source'!U24&gt;=1,"D","F")))))),"")</f>
        <v/>
      </c>
      <c r="D24" s="3">
        <f>IF(AND('Data Source'!B24&lt;&gt;"",'Data Source'!S24="F"),IF('Data Source'!V24&gt;=5,"A+",IF('Data Source'!V24&gt;=4,"A",IF('Data Source'!V24&gt;=3.5,"A-",IF('Data Source'!V24&gt;=3,"B",IF('Data Source'!V24&gt;=2,"C",IF('Data Source'!V24&gt;=1,"D","F")))))),"")</f>
        <v/>
      </c>
      <c r="E24" s="3">
        <f>IF(AND('Data Source'!B24&lt;&gt;"",'Data Source'!S24="F"),IF('Data Source'!W24&gt;=5,"A+",IF('Data Source'!W24&gt;=4,"A",IF('Data Source'!W24&gt;=3.5,"A-",IF('Data Source'!W24&gt;=3,"B",IF('Data Source'!W24&gt;=2,"C",IF('Data Source'!W24&gt;=1,"D","F")))))),"")</f>
        <v/>
      </c>
      <c r="F24" s="3">
        <f>IF(AND('Data Source'!B24&lt;&gt;"",'Data Source'!S24="F"),IF('Data Source'!X24&gt;=5,"A+",IF('Data Source'!X24&gt;=4,"A",IF('Data Source'!X24&gt;=3.5,"A-",IF('Data Source'!X24&gt;=3,"B",IF('Data Source'!X24&gt;=2,"C",IF('Data Source'!X24&gt;=1,"D","F")))))),"")</f>
        <v/>
      </c>
      <c r="G24" s="3">
        <f>IF(AND('Data Source'!B24&lt;&gt;"",'Data Source'!S24="F"),IF('Data Source'!Y24&gt;=5,"A+",IF('Data Source'!Y24&gt;=4,"A",IF('Data Source'!Y24&gt;=3.5,"A-",IF('Data Source'!Y24&gt;=3,"B",IF('Data Source'!Y24&gt;=2,"C",IF('Data Source'!Y24&gt;=1,"D","F")))))),"")</f>
        <v/>
      </c>
      <c r="H24" s="3">
        <f>IF(AND('Data Source'!B24&lt;&gt;"",'Data Source'!S24="F"),IF('Data Source'!Z24&gt;=5,"A+",IF('Data Source'!Z24&gt;=4,"A",IF('Data Source'!Z24&gt;=3.5,"A-",IF('Data Source'!Z24&gt;=3,"B",IF('Data Source'!Z24&gt;=2,"C",IF('Data Source'!Z24&gt;=1,"D","F")))))),"")</f>
        <v/>
      </c>
      <c r="I24" s="3">
        <f>IF(AND('Data Source'!B24&lt;&gt;"",'Data Source'!S24="F"),IF('Data Source'!AA24&gt;=5,"A+",IF('Data Source'!AA24&gt;=4,"A",IF('Data Source'!AA24&gt;=3.5,"A-",IF('Data Source'!AA24&gt;=3,"B",IF('Data Source'!AA24&gt;=2,"C",IF('Data Source'!AA24&gt;=1,"D","F")))))),"")</f>
        <v/>
      </c>
      <c r="J24" s="3">
        <f>IF(AND('Data Source'!B24&lt;&gt;"",'Data Source'!S24="F"),IF('Data Source'!AB24&gt;=5,"A+",IF('Data Source'!AB24&gt;=4,"A",IF('Data Source'!AB24&gt;=3.5,"A-",IF('Data Source'!AB24&gt;=3,"B",IF('Data Source'!AB24&gt;=2,"C",IF('Data Source'!AB24&gt;=1,"D","F")))))),"")</f>
        <v/>
      </c>
      <c r="K24" s="3">
        <f>IF(AND('Data Source'!B24&lt;&gt;"",'Data Source'!S24="F"),IF('Data Source'!AC24&gt;=5,"A+",IF('Data Source'!AC24&gt;=4,"A",IF('Data Source'!AC24&gt;=3.5,"A-",IF('Data Source'!AC24&gt;=3,"B",IF('Data Source'!AC24&gt;=2,"C",IF('Data Source'!AC24&gt;=1,"D","F")))))),"")</f>
        <v/>
      </c>
      <c r="L24" s="3">
        <f>IF(AND('Data Source'!B24&lt;&gt;"",'Data Source'!S24="F"),IF('Data Source'!AD24&gt;=5,"A+",IF('Data Source'!AD24&gt;=4,"A",IF('Data Source'!AD24&gt;=3.5,"A-",IF('Data Source'!AD24&gt;=3,"B",IF('Data Source'!AD24&gt;=2,"C",IF('Data Source'!AD24&gt;=1,"D","F")))))),"")</f>
        <v/>
      </c>
      <c r="M24" s="3">
        <f>IF(AND('Data Source'!B24&lt;&gt;"",'Data Source'!S24="F"),IF('Data Source'!AE24&gt;=5,"A+",IF('Data Source'!AE24&gt;=4,"A",IF('Data Source'!AE24&gt;=3.5,"A-",IF('Data Source'!AE24&gt;=3,"B",IF('Data Source'!AE24&gt;=2,"C",IF('Data Source'!AE24&gt;=1,"D","F")))))),"")</f>
        <v/>
      </c>
      <c r="N24" s="3">
        <f>IF(AND('Data Source'!B24&lt;&gt;"",'Data Source'!S24="F"),IF('Data Source'!AF24&gt;=5,"A+",IF('Data Source'!AF24&gt;=4,"A",IF('Data Source'!AF24&gt;=3.5,"A-",IF('Data Source'!AF24&gt;=3,"B",IF('Data Source'!AF24&gt;=2,"C",IF('Data Source'!AF24&gt;=1,"D","F")))))),"")</f>
        <v/>
      </c>
      <c r="O24" s="3">
        <f>IF(AND('Data Source'!B24&lt;&gt;"",'Data Source'!S24="F"),IF('Data Source'!AG24&gt;=5,"A+",IF('Data Source'!AG24&gt;=4,"A",IF('Data Source'!AG24&gt;=3.5,"A-",IF('Data Source'!AG24&gt;=3,"B",IF('Data Source'!AG24&gt;=2,"C",IF('Data Source'!AG24&gt;=1,"D","F")))))),"")</f>
        <v/>
      </c>
      <c r="P24" s="5">
        <f>IF(AND('Data Source'!B24&lt;&gt;"",'Data Source'!S24="F"),'Data Source'!R24,"")</f>
        <v/>
      </c>
      <c r="Q24" s="3">
        <f>IF(AND('Data Source'!B24&lt;&gt;"",'Data Source'!S24="F"),'Data Source'!S24,"")</f>
        <v/>
      </c>
    </row>
    <row r="25">
      <c r="A25" s="3">
        <f>IF(AND('Data Source'!B25&lt;&gt;"",'Data Source'!S25="F"),COUNTIF('Data Source'!$S$3:S25,"F"),"")</f>
        <v/>
      </c>
      <c r="B25">
        <f>IF(AND('Data Source'!B25&lt;&gt;"",'Data Source'!S25="F"),'Data Source'!B25,"")</f>
        <v/>
      </c>
      <c r="C25" s="3">
        <f>IF(AND('Data Source'!B25&lt;&gt;"",'Data Source'!S25="F"),IF('Data Source'!U25&gt;=5,"A+",IF('Data Source'!U25&gt;=4,"A",IF('Data Source'!U25&gt;=3.5,"A-",IF('Data Source'!U25&gt;=3,"B",IF('Data Source'!U25&gt;=2,"C",IF('Data Source'!U25&gt;=1,"D","F")))))),"")</f>
        <v/>
      </c>
      <c r="D25" s="3">
        <f>IF(AND('Data Source'!B25&lt;&gt;"",'Data Source'!S25="F"),IF('Data Source'!V25&gt;=5,"A+",IF('Data Source'!V25&gt;=4,"A",IF('Data Source'!V25&gt;=3.5,"A-",IF('Data Source'!V25&gt;=3,"B",IF('Data Source'!V25&gt;=2,"C",IF('Data Source'!V25&gt;=1,"D","F")))))),"")</f>
        <v/>
      </c>
      <c r="E25" s="3">
        <f>IF(AND('Data Source'!B25&lt;&gt;"",'Data Source'!S25="F"),IF('Data Source'!W25&gt;=5,"A+",IF('Data Source'!W25&gt;=4,"A",IF('Data Source'!W25&gt;=3.5,"A-",IF('Data Source'!W25&gt;=3,"B",IF('Data Source'!W25&gt;=2,"C",IF('Data Source'!W25&gt;=1,"D","F")))))),"")</f>
        <v/>
      </c>
      <c r="F25" s="3">
        <f>IF(AND('Data Source'!B25&lt;&gt;"",'Data Source'!S25="F"),IF('Data Source'!X25&gt;=5,"A+",IF('Data Source'!X25&gt;=4,"A",IF('Data Source'!X25&gt;=3.5,"A-",IF('Data Source'!X25&gt;=3,"B",IF('Data Source'!X25&gt;=2,"C",IF('Data Source'!X25&gt;=1,"D","F")))))),"")</f>
        <v/>
      </c>
      <c r="G25" s="3">
        <f>IF(AND('Data Source'!B25&lt;&gt;"",'Data Source'!S25="F"),IF('Data Source'!Y25&gt;=5,"A+",IF('Data Source'!Y25&gt;=4,"A",IF('Data Source'!Y25&gt;=3.5,"A-",IF('Data Source'!Y25&gt;=3,"B",IF('Data Source'!Y25&gt;=2,"C",IF('Data Source'!Y25&gt;=1,"D","F")))))),"")</f>
        <v/>
      </c>
      <c r="H25" s="3">
        <f>IF(AND('Data Source'!B25&lt;&gt;"",'Data Source'!S25="F"),IF('Data Source'!Z25&gt;=5,"A+",IF('Data Source'!Z25&gt;=4,"A",IF('Data Source'!Z25&gt;=3.5,"A-",IF('Data Source'!Z25&gt;=3,"B",IF('Data Source'!Z25&gt;=2,"C",IF('Data Source'!Z25&gt;=1,"D","F")))))),"")</f>
        <v/>
      </c>
      <c r="I25" s="3">
        <f>IF(AND('Data Source'!B25&lt;&gt;"",'Data Source'!S25="F"),IF('Data Source'!AA25&gt;=5,"A+",IF('Data Source'!AA25&gt;=4,"A",IF('Data Source'!AA25&gt;=3.5,"A-",IF('Data Source'!AA25&gt;=3,"B",IF('Data Source'!AA25&gt;=2,"C",IF('Data Source'!AA25&gt;=1,"D","F")))))),"")</f>
        <v/>
      </c>
      <c r="J25" s="3">
        <f>IF(AND('Data Source'!B25&lt;&gt;"",'Data Source'!S25="F"),IF('Data Source'!AB25&gt;=5,"A+",IF('Data Source'!AB25&gt;=4,"A",IF('Data Source'!AB25&gt;=3.5,"A-",IF('Data Source'!AB25&gt;=3,"B",IF('Data Source'!AB25&gt;=2,"C",IF('Data Source'!AB25&gt;=1,"D","F")))))),"")</f>
        <v/>
      </c>
      <c r="K25" s="3">
        <f>IF(AND('Data Source'!B25&lt;&gt;"",'Data Source'!S25="F"),IF('Data Source'!AC25&gt;=5,"A+",IF('Data Source'!AC25&gt;=4,"A",IF('Data Source'!AC25&gt;=3.5,"A-",IF('Data Source'!AC25&gt;=3,"B",IF('Data Source'!AC25&gt;=2,"C",IF('Data Source'!AC25&gt;=1,"D","F")))))),"")</f>
        <v/>
      </c>
      <c r="L25" s="3">
        <f>IF(AND('Data Source'!B25&lt;&gt;"",'Data Source'!S25="F"),IF('Data Source'!AD25&gt;=5,"A+",IF('Data Source'!AD25&gt;=4,"A",IF('Data Source'!AD25&gt;=3.5,"A-",IF('Data Source'!AD25&gt;=3,"B",IF('Data Source'!AD25&gt;=2,"C",IF('Data Source'!AD25&gt;=1,"D","F")))))),"")</f>
        <v/>
      </c>
      <c r="M25" s="3">
        <f>IF(AND('Data Source'!B25&lt;&gt;"",'Data Source'!S25="F"),IF('Data Source'!AE25&gt;=5,"A+",IF('Data Source'!AE25&gt;=4,"A",IF('Data Source'!AE25&gt;=3.5,"A-",IF('Data Source'!AE25&gt;=3,"B",IF('Data Source'!AE25&gt;=2,"C",IF('Data Source'!AE25&gt;=1,"D","F")))))),"")</f>
        <v/>
      </c>
      <c r="N25" s="3">
        <f>IF(AND('Data Source'!B25&lt;&gt;"",'Data Source'!S25="F"),IF('Data Source'!AF25&gt;=5,"A+",IF('Data Source'!AF25&gt;=4,"A",IF('Data Source'!AF25&gt;=3.5,"A-",IF('Data Source'!AF25&gt;=3,"B",IF('Data Source'!AF25&gt;=2,"C",IF('Data Source'!AF25&gt;=1,"D","F")))))),"")</f>
        <v/>
      </c>
      <c r="O25" s="3">
        <f>IF(AND('Data Source'!B25&lt;&gt;"",'Data Source'!S25="F"),IF('Data Source'!AG25&gt;=5,"A+",IF('Data Source'!AG25&gt;=4,"A",IF('Data Source'!AG25&gt;=3.5,"A-",IF('Data Source'!AG25&gt;=3,"B",IF('Data Source'!AG25&gt;=2,"C",IF('Data Source'!AG25&gt;=1,"D","F")))))),"")</f>
        <v/>
      </c>
      <c r="P25" s="5">
        <f>IF(AND('Data Source'!B25&lt;&gt;"",'Data Source'!S25="F"),'Data Source'!R25,"")</f>
        <v/>
      </c>
      <c r="Q25" s="3">
        <f>IF(AND('Data Source'!B25&lt;&gt;"",'Data Source'!S25="F"),'Data Source'!S25,"")</f>
        <v/>
      </c>
    </row>
    <row r="26">
      <c r="A26" s="3">
        <f>IF(AND('Data Source'!B26&lt;&gt;"",'Data Source'!S26="F"),COUNTIF('Data Source'!$S$3:S26,"F"),"")</f>
        <v/>
      </c>
      <c r="B26">
        <f>IF(AND('Data Source'!B26&lt;&gt;"",'Data Source'!S26="F"),'Data Source'!B26,"")</f>
        <v/>
      </c>
      <c r="C26" s="3">
        <f>IF(AND('Data Source'!B26&lt;&gt;"",'Data Source'!S26="F"),IF('Data Source'!U26&gt;=5,"A+",IF('Data Source'!U26&gt;=4,"A",IF('Data Source'!U26&gt;=3.5,"A-",IF('Data Source'!U26&gt;=3,"B",IF('Data Source'!U26&gt;=2,"C",IF('Data Source'!U26&gt;=1,"D","F")))))),"")</f>
        <v/>
      </c>
      <c r="D26" s="3">
        <f>IF(AND('Data Source'!B26&lt;&gt;"",'Data Source'!S26="F"),IF('Data Source'!V26&gt;=5,"A+",IF('Data Source'!V26&gt;=4,"A",IF('Data Source'!V26&gt;=3.5,"A-",IF('Data Source'!V26&gt;=3,"B",IF('Data Source'!V26&gt;=2,"C",IF('Data Source'!V26&gt;=1,"D","F")))))),"")</f>
        <v/>
      </c>
      <c r="E26" s="3">
        <f>IF(AND('Data Source'!B26&lt;&gt;"",'Data Source'!S26="F"),IF('Data Source'!W26&gt;=5,"A+",IF('Data Source'!W26&gt;=4,"A",IF('Data Source'!W26&gt;=3.5,"A-",IF('Data Source'!W26&gt;=3,"B",IF('Data Source'!W26&gt;=2,"C",IF('Data Source'!W26&gt;=1,"D","F")))))),"")</f>
        <v/>
      </c>
      <c r="F26" s="3">
        <f>IF(AND('Data Source'!B26&lt;&gt;"",'Data Source'!S26="F"),IF('Data Source'!X26&gt;=5,"A+",IF('Data Source'!X26&gt;=4,"A",IF('Data Source'!X26&gt;=3.5,"A-",IF('Data Source'!X26&gt;=3,"B",IF('Data Source'!X26&gt;=2,"C",IF('Data Source'!X26&gt;=1,"D","F")))))),"")</f>
        <v/>
      </c>
      <c r="G26" s="3">
        <f>IF(AND('Data Source'!B26&lt;&gt;"",'Data Source'!S26="F"),IF('Data Source'!Y26&gt;=5,"A+",IF('Data Source'!Y26&gt;=4,"A",IF('Data Source'!Y26&gt;=3.5,"A-",IF('Data Source'!Y26&gt;=3,"B",IF('Data Source'!Y26&gt;=2,"C",IF('Data Source'!Y26&gt;=1,"D","F")))))),"")</f>
        <v/>
      </c>
      <c r="H26" s="3">
        <f>IF(AND('Data Source'!B26&lt;&gt;"",'Data Source'!S26="F"),IF('Data Source'!Z26&gt;=5,"A+",IF('Data Source'!Z26&gt;=4,"A",IF('Data Source'!Z26&gt;=3.5,"A-",IF('Data Source'!Z26&gt;=3,"B",IF('Data Source'!Z26&gt;=2,"C",IF('Data Source'!Z26&gt;=1,"D","F")))))),"")</f>
        <v/>
      </c>
      <c r="I26" s="3">
        <f>IF(AND('Data Source'!B26&lt;&gt;"",'Data Source'!S26="F"),IF('Data Source'!AA26&gt;=5,"A+",IF('Data Source'!AA26&gt;=4,"A",IF('Data Source'!AA26&gt;=3.5,"A-",IF('Data Source'!AA26&gt;=3,"B",IF('Data Source'!AA26&gt;=2,"C",IF('Data Source'!AA26&gt;=1,"D","F")))))),"")</f>
        <v/>
      </c>
      <c r="J26" s="3">
        <f>IF(AND('Data Source'!B26&lt;&gt;"",'Data Source'!S26="F"),IF('Data Source'!AB26&gt;=5,"A+",IF('Data Source'!AB26&gt;=4,"A",IF('Data Source'!AB26&gt;=3.5,"A-",IF('Data Source'!AB26&gt;=3,"B",IF('Data Source'!AB26&gt;=2,"C",IF('Data Source'!AB26&gt;=1,"D","F")))))),"")</f>
        <v/>
      </c>
      <c r="K26" s="3">
        <f>IF(AND('Data Source'!B26&lt;&gt;"",'Data Source'!S26="F"),IF('Data Source'!AC26&gt;=5,"A+",IF('Data Source'!AC26&gt;=4,"A",IF('Data Source'!AC26&gt;=3.5,"A-",IF('Data Source'!AC26&gt;=3,"B",IF('Data Source'!AC26&gt;=2,"C",IF('Data Source'!AC26&gt;=1,"D","F")))))),"")</f>
        <v/>
      </c>
      <c r="L26" s="3">
        <f>IF(AND('Data Source'!B26&lt;&gt;"",'Data Source'!S26="F"),IF('Data Source'!AD26&gt;=5,"A+",IF('Data Source'!AD26&gt;=4,"A",IF('Data Source'!AD26&gt;=3.5,"A-",IF('Data Source'!AD26&gt;=3,"B",IF('Data Source'!AD26&gt;=2,"C",IF('Data Source'!AD26&gt;=1,"D","F")))))),"")</f>
        <v/>
      </c>
      <c r="M26" s="3">
        <f>IF(AND('Data Source'!B26&lt;&gt;"",'Data Source'!S26="F"),IF('Data Source'!AE26&gt;=5,"A+",IF('Data Source'!AE26&gt;=4,"A",IF('Data Source'!AE26&gt;=3.5,"A-",IF('Data Source'!AE26&gt;=3,"B",IF('Data Source'!AE26&gt;=2,"C",IF('Data Source'!AE26&gt;=1,"D","F")))))),"")</f>
        <v/>
      </c>
      <c r="N26" s="3">
        <f>IF(AND('Data Source'!B26&lt;&gt;"",'Data Source'!S26="F"),IF('Data Source'!AF26&gt;=5,"A+",IF('Data Source'!AF26&gt;=4,"A",IF('Data Source'!AF26&gt;=3.5,"A-",IF('Data Source'!AF26&gt;=3,"B",IF('Data Source'!AF26&gt;=2,"C",IF('Data Source'!AF26&gt;=1,"D","F")))))),"")</f>
        <v/>
      </c>
      <c r="O26" s="3">
        <f>IF(AND('Data Source'!B26&lt;&gt;"",'Data Source'!S26="F"),IF('Data Source'!AG26&gt;=5,"A+",IF('Data Source'!AG26&gt;=4,"A",IF('Data Source'!AG26&gt;=3.5,"A-",IF('Data Source'!AG26&gt;=3,"B",IF('Data Source'!AG26&gt;=2,"C",IF('Data Source'!AG26&gt;=1,"D","F")))))),"")</f>
        <v/>
      </c>
      <c r="P26" s="5">
        <f>IF(AND('Data Source'!B26&lt;&gt;"",'Data Source'!S26="F"),'Data Source'!R26,"")</f>
        <v/>
      </c>
      <c r="Q26" s="3">
        <f>IF(AND('Data Source'!B26&lt;&gt;"",'Data Source'!S26="F"),'Data Source'!S26,"")</f>
        <v/>
      </c>
    </row>
    <row r="27">
      <c r="A27" s="3">
        <f>IF(AND('Data Source'!B27&lt;&gt;"",'Data Source'!S27="F"),COUNTIF('Data Source'!$S$3:S27,"F"),"")</f>
        <v/>
      </c>
      <c r="B27">
        <f>IF(AND('Data Source'!B27&lt;&gt;"",'Data Source'!S27="F"),'Data Source'!B27,"")</f>
        <v/>
      </c>
      <c r="C27" s="3">
        <f>IF(AND('Data Source'!B27&lt;&gt;"",'Data Source'!S27="F"),IF('Data Source'!U27&gt;=5,"A+",IF('Data Source'!U27&gt;=4,"A",IF('Data Source'!U27&gt;=3.5,"A-",IF('Data Source'!U27&gt;=3,"B",IF('Data Source'!U27&gt;=2,"C",IF('Data Source'!U27&gt;=1,"D","F")))))),"")</f>
        <v/>
      </c>
      <c r="D27" s="3">
        <f>IF(AND('Data Source'!B27&lt;&gt;"",'Data Source'!S27="F"),IF('Data Source'!V27&gt;=5,"A+",IF('Data Source'!V27&gt;=4,"A",IF('Data Source'!V27&gt;=3.5,"A-",IF('Data Source'!V27&gt;=3,"B",IF('Data Source'!V27&gt;=2,"C",IF('Data Source'!V27&gt;=1,"D","F")))))),"")</f>
        <v/>
      </c>
      <c r="E27" s="3">
        <f>IF(AND('Data Source'!B27&lt;&gt;"",'Data Source'!S27="F"),IF('Data Source'!W27&gt;=5,"A+",IF('Data Source'!W27&gt;=4,"A",IF('Data Source'!W27&gt;=3.5,"A-",IF('Data Source'!W27&gt;=3,"B",IF('Data Source'!W27&gt;=2,"C",IF('Data Source'!W27&gt;=1,"D","F")))))),"")</f>
        <v/>
      </c>
      <c r="F27" s="3">
        <f>IF(AND('Data Source'!B27&lt;&gt;"",'Data Source'!S27="F"),IF('Data Source'!X27&gt;=5,"A+",IF('Data Source'!X27&gt;=4,"A",IF('Data Source'!X27&gt;=3.5,"A-",IF('Data Source'!X27&gt;=3,"B",IF('Data Source'!X27&gt;=2,"C",IF('Data Source'!X27&gt;=1,"D","F")))))),"")</f>
        <v/>
      </c>
      <c r="G27" s="3">
        <f>IF(AND('Data Source'!B27&lt;&gt;"",'Data Source'!S27="F"),IF('Data Source'!Y27&gt;=5,"A+",IF('Data Source'!Y27&gt;=4,"A",IF('Data Source'!Y27&gt;=3.5,"A-",IF('Data Source'!Y27&gt;=3,"B",IF('Data Source'!Y27&gt;=2,"C",IF('Data Source'!Y27&gt;=1,"D","F")))))),"")</f>
        <v/>
      </c>
      <c r="H27" s="3">
        <f>IF(AND('Data Source'!B27&lt;&gt;"",'Data Source'!S27="F"),IF('Data Source'!Z27&gt;=5,"A+",IF('Data Source'!Z27&gt;=4,"A",IF('Data Source'!Z27&gt;=3.5,"A-",IF('Data Source'!Z27&gt;=3,"B",IF('Data Source'!Z27&gt;=2,"C",IF('Data Source'!Z27&gt;=1,"D","F")))))),"")</f>
        <v/>
      </c>
      <c r="I27" s="3">
        <f>IF(AND('Data Source'!B27&lt;&gt;"",'Data Source'!S27="F"),IF('Data Source'!AA27&gt;=5,"A+",IF('Data Source'!AA27&gt;=4,"A",IF('Data Source'!AA27&gt;=3.5,"A-",IF('Data Source'!AA27&gt;=3,"B",IF('Data Source'!AA27&gt;=2,"C",IF('Data Source'!AA27&gt;=1,"D","F")))))),"")</f>
        <v/>
      </c>
      <c r="J27" s="3">
        <f>IF(AND('Data Source'!B27&lt;&gt;"",'Data Source'!S27="F"),IF('Data Source'!AB27&gt;=5,"A+",IF('Data Source'!AB27&gt;=4,"A",IF('Data Source'!AB27&gt;=3.5,"A-",IF('Data Source'!AB27&gt;=3,"B",IF('Data Source'!AB27&gt;=2,"C",IF('Data Source'!AB27&gt;=1,"D","F")))))),"")</f>
        <v/>
      </c>
      <c r="K27" s="3">
        <f>IF(AND('Data Source'!B27&lt;&gt;"",'Data Source'!S27="F"),IF('Data Source'!AC27&gt;=5,"A+",IF('Data Source'!AC27&gt;=4,"A",IF('Data Source'!AC27&gt;=3.5,"A-",IF('Data Source'!AC27&gt;=3,"B",IF('Data Source'!AC27&gt;=2,"C",IF('Data Source'!AC27&gt;=1,"D","F")))))),"")</f>
        <v/>
      </c>
      <c r="L27" s="3">
        <f>IF(AND('Data Source'!B27&lt;&gt;"",'Data Source'!S27="F"),IF('Data Source'!AD27&gt;=5,"A+",IF('Data Source'!AD27&gt;=4,"A",IF('Data Source'!AD27&gt;=3.5,"A-",IF('Data Source'!AD27&gt;=3,"B",IF('Data Source'!AD27&gt;=2,"C",IF('Data Source'!AD27&gt;=1,"D","F")))))),"")</f>
        <v/>
      </c>
      <c r="M27" s="3">
        <f>IF(AND('Data Source'!B27&lt;&gt;"",'Data Source'!S27="F"),IF('Data Source'!AE27&gt;=5,"A+",IF('Data Source'!AE27&gt;=4,"A",IF('Data Source'!AE27&gt;=3.5,"A-",IF('Data Source'!AE27&gt;=3,"B",IF('Data Source'!AE27&gt;=2,"C",IF('Data Source'!AE27&gt;=1,"D","F")))))),"")</f>
        <v/>
      </c>
      <c r="N27" s="3">
        <f>IF(AND('Data Source'!B27&lt;&gt;"",'Data Source'!S27="F"),IF('Data Source'!AF27&gt;=5,"A+",IF('Data Source'!AF27&gt;=4,"A",IF('Data Source'!AF27&gt;=3.5,"A-",IF('Data Source'!AF27&gt;=3,"B",IF('Data Source'!AF27&gt;=2,"C",IF('Data Source'!AF27&gt;=1,"D","F")))))),"")</f>
        <v/>
      </c>
      <c r="O27" s="3">
        <f>IF(AND('Data Source'!B27&lt;&gt;"",'Data Source'!S27="F"),IF('Data Source'!AG27&gt;=5,"A+",IF('Data Source'!AG27&gt;=4,"A",IF('Data Source'!AG27&gt;=3.5,"A-",IF('Data Source'!AG27&gt;=3,"B",IF('Data Source'!AG27&gt;=2,"C",IF('Data Source'!AG27&gt;=1,"D","F")))))),"")</f>
        <v/>
      </c>
      <c r="P27" s="5">
        <f>IF(AND('Data Source'!B27&lt;&gt;"",'Data Source'!S27="F"),'Data Source'!R27,"")</f>
        <v/>
      </c>
      <c r="Q27" s="3">
        <f>IF(AND('Data Source'!B27&lt;&gt;"",'Data Source'!S27="F"),'Data Source'!S27,"")</f>
        <v/>
      </c>
    </row>
    <row r="28">
      <c r="A28" s="3">
        <f>IF(AND('Data Source'!B28&lt;&gt;"",'Data Source'!S28="F"),COUNTIF('Data Source'!$S$3:S28,"F"),"")</f>
        <v/>
      </c>
      <c r="B28">
        <f>IF(AND('Data Source'!B28&lt;&gt;"",'Data Source'!S28="F"),'Data Source'!B28,"")</f>
        <v/>
      </c>
      <c r="C28" s="3">
        <f>IF(AND('Data Source'!B28&lt;&gt;"",'Data Source'!S28="F"),IF('Data Source'!U28&gt;=5,"A+",IF('Data Source'!U28&gt;=4,"A",IF('Data Source'!U28&gt;=3.5,"A-",IF('Data Source'!U28&gt;=3,"B",IF('Data Source'!U28&gt;=2,"C",IF('Data Source'!U28&gt;=1,"D","F")))))),"")</f>
        <v/>
      </c>
      <c r="D28" s="3">
        <f>IF(AND('Data Source'!B28&lt;&gt;"",'Data Source'!S28="F"),IF('Data Source'!V28&gt;=5,"A+",IF('Data Source'!V28&gt;=4,"A",IF('Data Source'!V28&gt;=3.5,"A-",IF('Data Source'!V28&gt;=3,"B",IF('Data Source'!V28&gt;=2,"C",IF('Data Source'!V28&gt;=1,"D","F")))))),"")</f>
        <v/>
      </c>
      <c r="E28" s="3">
        <f>IF(AND('Data Source'!B28&lt;&gt;"",'Data Source'!S28="F"),IF('Data Source'!W28&gt;=5,"A+",IF('Data Source'!W28&gt;=4,"A",IF('Data Source'!W28&gt;=3.5,"A-",IF('Data Source'!W28&gt;=3,"B",IF('Data Source'!W28&gt;=2,"C",IF('Data Source'!W28&gt;=1,"D","F")))))),"")</f>
        <v/>
      </c>
      <c r="F28" s="3">
        <f>IF(AND('Data Source'!B28&lt;&gt;"",'Data Source'!S28="F"),IF('Data Source'!X28&gt;=5,"A+",IF('Data Source'!X28&gt;=4,"A",IF('Data Source'!X28&gt;=3.5,"A-",IF('Data Source'!X28&gt;=3,"B",IF('Data Source'!X28&gt;=2,"C",IF('Data Source'!X28&gt;=1,"D","F")))))),"")</f>
        <v/>
      </c>
      <c r="G28" s="3">
        <f>IF(AND('Data Source'!B28&lt;&gt;"",'Data Source'!S28="F"),IF('Data Source'!Y28&gt;=5,"A+",IF('Data Source'!Y28&gt;=4,"A",IF('Data Source'!Y28&gt;=3.5,"A-",IF('Data Source'!Y28&gt;=3,"B",IF('Data Source'!Y28&gt;=2,"C",IF('Data Source'!Y28&gt;=1,"D","F")))))),"")</f>
        <v/>
      </c>
      <c r="H28" s="3">
        <f>IF(AND('Data Source'!B28&lt;&gt;"",'Data Source'!S28="F"),IF('Data Source'!Z28&gt;=5,"A+",IF('Data Source'!Z28&gt;=4,"A",IF('Data Source'!Z28&gt;=3.5,"A-",IF('Data Source'!Z28&gt;=3,"B",IF('Data Source'!Z28&gt;=2,"C",IF('Data Source'!Z28&gt;=1,"D","F")))))),"")</f>
        <v/>
      </c>
      <c r="I28" s="3">
        <f>IF(AND('Data Source'!B28&lt;&gt;"",'Data Source'!S28="F"),IF('Data Source'!AA28&gt;=5,"A+",IF('Data Source'!AA28&gt;=4,"A",IF('Data Source'!AA28&gt;=3.5,"A-",IF('Data Source'!AA28&gt;=3,"B",IF('Data Source'!AA28&gt;=2,"C",IF('Data Source'!AA28&gt;=1,"D","F")))))),"")</f>
        <v/>
      </c>
      <c r="J28" s="3">
        <f>IF(AND('Data Source'!B28&lt;&gt;"",'Data Source'!S28="F"),IF('Data Source'!AB28&gt;=5,"A+",IF('Data Source'!AB28&gt;=4,"A",IF('Data Source'!AB28&gt;=3.5,"A-",IF('Data Source'!AB28&gt;=3,"B",IF('Data Source'!AB28&gt;=2,"C",IF('Data Source'!AB28&gt;=1,"D","F")))))),"")</f>
        <v/>
      </c>
      <c r="K28" s="3">
        <f>IF(AND('Data Source'!B28&lt;&gt;"",'Data Source'!S28="F"),IF('Data Source'!AC28&gt;=5,"A+",IF('Data Source'!AC28&gt;=4,"A",IF('Data Source'!AC28&gt;=3.5,"A-",IF('Data Source'!AC28&gt;=3,"B",IF('Data Source'!AC28&gt;=2,"C",IF('Data Source'!AC28&gt;=1,"D","F")))))),"")</f>
        <v/>
      </c>
      <c r="L28" s="3">
        <f>IF(AND('Data Source'!B28&lt;&gt;"",'Data Source'!S28="F"),IF('Data Source'!AD28&gt;=5,"A+",IF('Data Source'!AD28&gt;=4,"A",IF('Data Source'!AD28&gt;=3.5,"A-",IF('Data Source'!AD28&gt;=3,"B",IF('Data Source'!AD28&gt;=2,"C",IF('Data Source'!AD28&gt;=1,"D","F")))))),"")</f>
        <v/>
      </c>
      <c r="M28" s="3">
        <f>IF(AND('Data Source'!B28&lt;&gt;"",'Data Source'!S28="F"),IF('Data Source'!AE28&gt;=5,"A+",IF('Data Source'!AE28&gt;=4,"A",IF('Data Source'!AE28&gt;=3.5,"A-",IF('Data Source'!AE28&gt;=3,"B",IF('Data Source'!AE28&gt;=2,"C",IF('Data Source'!AE28&gt;=1,"D","F")))))),"")</f>
        <v/>
      </c>
      <c r="N28" s="3">
        <f>IF(AND('Data Source'!B28&lt;&gt;"",'Data Source'!S28="F"),IF('Data Source'!AF28&gt;=5,"A+",IF('Data Source'!AF28&gt;=4,"A",IF('Data Source'!AF28&gt;=3.5,"A-",IF('Data Source'!AF28&gt;=3,"B",IF('Data Source'!AF28&gt;=2,"C",IF('Data Source'!AF28&gt;=1,"D","F")))))),"")</f>
        <v/>
      </c>
      <c r="O28" s="3">
        <f>IF(AND('Data Source'!B28&lt;&gt;"",'Data Source'!S28="F"),IF('Data Source'!AG28&gt;=5,"A+",IF('Data Source'!AG28&gt;=4,"A",IF('Data Source'!AG28&gt;=3.5,"A-",IF('Data Source'!AG28&gt;=3,"B",IF('Data Source'!AG28&gt;=2,"C",IF('Data Source'!AG28&gt;=1,"D","F")))))),"")</f>
        <v/>
      </c>
      <c r="P28" s="5">
        <f>IF(AND('Data Source'!B28&lt;&gt;"",'Data Source'!S28="F"),'Data Source'!R28,"")</f>
        <v/>
      </c>
      <c r="Q28" s="3">
        <f>IF(AND('Data Source'!B28&lt;&gt;"",'Data Source'!S28="F"),'Data Source'!S28,"")</f>
        <v/>
      </c>
    </row>
    <row r="29">
      <c r="A29" s="3">
        <f>IF(AND('Data Source'!B29&lt;&gt;"",'Data Source'!S29="F"),COUNTIF('Data Source'!$S$3:S29,"F"),"")</f>
        <v/>
      </c>
      <c r="B29">
        <f>IF(AND('Data Source'!B29&lt;&gt;"",'Data Source'!S29="F"),'Data Source'!B29,"")</f>
        <v/>
      </c>
      <c r="C29" s="3">
        <f>IF(AND('Data Source'!B29&lt;&gt;"",'Data Source'!S29="F"),IF('Data Source'!U29&gt;=5,"A+",IF('Data Source'!U29&gt;=4,"A",IF('Data Source'!U29&gt;=3.5,"A-",IF('Data Source'!U29&gt;=3,"B",IF('Data Source'!U29&gt;=2,"C",IF('Data Source'!U29&gt;=1,"D","F")))))),"")</f>
        <v/>
      </c>
      <c r="D29" s="3">
        <f>IF(AND('Data Source'!B29&lt;&gt;"",'Data Source'!S29="F"),IF('Data Source'!V29&gt;=5,"A+",IF('Data Source'!V29&gt;=4,"A",IF('Data Source'!V29&gt;=3.5,"A-",IF('Data Source'!V29&gt;=3,"B",IF('Data Source'!V29&gt;=2,"C",IF('Data Source'!V29&gt;=1,"D","F")))))),"")</f>
        <v/>
      </c>
      <c r="E29" s="3">
        <f>IF(AND('Data Source'!B29&lt;&gt;"",'Data Source'!S29="F"),IF('Data Source'!W29&gt;=5,"A+",IF('Data Source'!W29&gt;=4,"A",IF('Data Source'!W29&gt;=3.5,"A-",IF('Data Source'!W29&gt;=3,"B",IF('Data Source'!W29&gt;=2,"C",IF('Data Source'!W29&gt;=1,"D","F")))))),"")</f>
        <v/>
      </c>
      <c r="F29" s="3">
        <f>IF(AND('Data Source'!B29&lt;&gt;"",'Data Source'!S29="F"),IF('Data Source'!X29&gt;=5,"A+",IF('Data Source'!X29&gt;=4,"A",IF('Data Source'!X29&gt;=3.5,"A-",IF('Data Source'!X29&gt;=3,"B",IF('Data Source'!X29&gt;=2,"C",IF('Data Source'!X29&gt;=1,"D","F")))))),"")</f>
        <v/>
      </c>
      <c r="G29" s="3">
        <f>IF(AND('Data Source'!B29&lt;&gt;"",'Data Source'!S29="F"),IF('Data Source'!Y29&gt;=5,"A+",IF('Data Source'!Y29&gt;=4,"A",IF('Data Source'!Y29&gt;=3.5,"A-",IF('Data Source'!Y29&gt;=3,"B",IF('Data Source'!Y29&gt;=2,"C",IF('Data Source'!Y29&gt;=1,"D","F")))))),"")</f>
        <v/>
      </c>
      <c r="H29" s="3">
        <f>IF(AND('Data Source'!B29&lt;&gt;"",'Data Source'!S29="F"),IF('Data Source'!Z29&gt;=5,"A+",IF('Data Source'!Z29&gt;=4,"A",IF('Data Source'!Z29&gt;=3.5,"A-",IF('Data Source'!Z29&gt;=3,"B",IF('Data Source'!Z29&gt;=2,"C",IF('Data Source'!Z29&gt;=1,"D","F")))))),"")</f>
        <v/>
      </c>
      <c r="I29" s="3">
        <f>IF(AND('Data Source'!B29&lt;&gt;"",'Data Source'!S29="F"),IF('Data Source'!AA29&gt;=5,"A+",IF('Data Source'!AA29&gt;=4,"A",IF('Data Source'!AA29&gt;=3.5,"A-",IF('Data Source'!AA29&gt;=3,"B",IF('Data Source'!AA29&gt;=2,"C",IF('Data Source'!AA29&gt;=1,"D","F")))))),"")</f>
        <v/>
      </c>
      <c r="J29" s="3">
        <f>IF(AND('Data Source'!B29&lt;&gt;"",'Data Source'!S29="F"),IF('Data Source'!AB29&gt;=5,"A+",IF('Data Source'!AB29&gt;=4,"A",IF('Data Source'!AB29&gt;=3.5,"A-",IF('Data Source'!AB29&gt;=3,"B",IF('Data Source'!AB29&gt;=2,"C",IF('Data Source'!AB29&gt;=1,"D","F")))))),"")</f>
        <v/>
      </c>
      <c r="K29" s="3">
        <f>IF(AND('Data Source'!B29&lt;&gt;"",'Data Source'!S29="F"),IF('Data Source'!AC29&gt;=5,"A+",IF('Data Source'!AC29&gt;=4,"A",IF('Data Source'!AC29&gt;=3.5,"A-",IF('Data Source'!AC29&gt;=3,"B",IF('Data Source'!AC29&gt;=2,"C",IF('Data Source'!AC29&gt;=1,"D","F")))))),"")</f>
        <v/>
      </c>
      <c r="L29" s="3">
        <f>IF(AND('Data Source'!B29&lt;&gt;"",'Data Source'!S29="F"),IF('Data Source'!AD29&gt;=5,"A+",IF('Data Source'!AD29&gt;=4,"A",IF('Data Source'!AD29&gt;=3.5,"A-",IF('Data Source'!AD29&gt;=3,"B",IF('Data Source'!AD29&gt;=2,"C",IF('Data Source'!AD29&gt;=1,"D","F")))))),"")</f>
        <v/>
      </c>
      <c r="M29" s="3">
        <f>IF(AND('Data Source'!B29&lt;&gt;"",'Data Source'!S29="F"),IF('Data Source'!AE29&gt;=5,"A+",IF('Data Source'!AE29&gt;=4,"A",IF('Data Source'!AE29&gt;=3.5,"A-",IF('Data Source'!AE29&gt;=3,"B",IF('Data Source'!AE29&gt;=2,"C",IF('Data Source'!AE29&gt;=1,"D","F")))))),"")</f>
        <v/>
      </c>
      <c r="N29" s="3">
        <f>IF(AND('Data Source'!B29&lt;&gt;"",'Data Source'!S29="F"),IF('Data Source'!AF29&gt;=5,"A+",IF('Data Source'!AF29&gt;=4,"A",IF('Data Source'!AF29&gt;=3.5,"A-",IF('Data Source'!AF29&gt;=3,"B",IF('Data Source'!AF29&gt;=2,"C",IF('Data Source'!AF29&gt;=1,"D","F")))))),"")</f>
        <v/>
      </c>
      <c r="O29" s="3">
        <f>IF(AND('Data Source'!B29&lt;&gt;"",'Data Source'!S29="F"),IF('Data Source'!AG29&gt;=5,"A+",IF('Data Source'!AG29&gt;=4,"A",IF('Data Source'!AG29&gt;=3.5,"A-",IF('Data Source'!AG29&gt;=3,"B",IF('Data Source'!AG29&gt;=2,"C",IF('Data Source'!AG29&gt;=1,"D","F")))))),"")</f>
        <v/>
      </c>
      <c r="P29" s="5">
        <f>IF(AND('Data Source'!B29&lt;&gt;"",'Data Source'!S29="F"),'Data Source'!R29,"")</f>
        <v/>
      </c>
      <c r="Q29" s="3">
        <f>IF(AND('Data Source'!B29&lt;&gt;"",'Data Source'!S29="F"),'Data Source'!S29,"")</f>
        <v/>
      </c>
    </row>
    <row r="30">
      <c r="A30" s="3">
        <f>IF(AND('Data Source'!B30&lt;&gt;"",'Data Source'!S30="F"),COUNTIF('Data Source'!$S$3:S30,"F"),"")</f>
        <v/>
      </c>
      <c r="B30">
        <f>IF(AND('Data Source'!B30&lt;&gt;"",'Data Source'!S30="F"),'Data Source'!B30,"")</f>
        <v/>
      </c>
      <c r="C30" s="3">
        <f>IF(AND('Data Source'!B30&lt;&gt;"",'Data Source'!S30="F"),IF('Data Source'!U30&gt;=5,"A+",IF('Data Source'!U30&gt;=4,"A",IF('Data Source'!U30&gt;=3.5,"A-",IF('Data Source'!U30&gt;=3,"B",IF('Data Source'!U30&gt;=2,"C",IF('Data Source'!U30&gt;=1,"D","F")))))),"")</f>
        <v/>
      </c>
      <c r="D30" s="3">
        <f>IF(AND('Data Source'!B30&lt;&gt;"",'Data Source'!S30="F"),IF('Data Source'!V30&gt;=5,"A+",IF('Data Source'!V30&gt;=4,"A",IF('Data Source'!V30&gt;=3.5,"A-",IF('Data Source'!V30&gt;=3,"B",IF('Data Source'!V30&gt;=2,"C",IF('Data Source'!V30&gt;=1,"D","F")))))),"")</f>
        <v/>
      </c>
      <c r="E30" s="3">
        <f>IF(AND('Data Source'!B30&lt;&gt;"",'Data Source'!S30="F"),IF('Data Source'!W30&gt;=5,"A+",IF('Data Source'!W30&gt;=4,"A",IF('Data Source'!W30&gt;=3.5,"A-",IF('Data Source'!W30&gt;=3,"B",IF('Data Source'!W30&gt;=2,"C",IF('Data Source'!W30&gt;=1,"D","F")))))),"")</f>
        <v/>
      </c>
      <c r="F30" s="3">
        <f>IF(AND('Data Source'!B30&lt;&gt;"",'Data Source'!S30="F"),IF('Data Source'!X30&gt;=5,"A+",IF('Data Source'!X30&gt;=4,"A",IF('Data Source'!X30&gt;=3.5,"A-",IF('Data Source'!X30&gt;=3,"B",IF('Data Source'!X30&gt;=2,"C",IF('Data Source'!X30&gt;=1,"D","F")))))),"")</f>
        <v/>
      </c>
      <c r="G30" s="3">
        <f>IF(AND('Data Source'!B30&lt;&gt;"",'Data Source'!S30="F"),IF('Data Source'!Y30&gt;=5,"A+",IF('Data Source'!Y30&gt;=4,"A",IF('Data Source'!Y30&gt;=3.5,"A-",IF('Data Source'!Y30&gt;=3,"B",IF('Data Source'!Y30&gt;=2,"C",IF('Data Source'!Y30&gt;=1,"D","F")))))),"")</f>
        <v/>
      </c>
      <c r="H30" s="3">
        <f>IF(AND('Data Source'!B30&lt;&gt;"",'Data Source'!S30="F"),IF('Data Source'!Z30&gt;=5,"A+",IF('Data Source'!Z30&gt;=4,"A",IF('Data Source'!Z30&gt;=3.5,"A-",IF('Data Source'!Z30&gt;=3,"B",IF('Data Source'!Z30&gt;=2,"C",IF('Data Source'!Z30&gt;=1,"D","F")))))),"")</f>
        <v/>
      </c>
      <c r="I30" s="3">
        <f>IF(AND('Data Source'!B30&lt;&gt;"",'Data Source'!S30="F"),IF('Data Source'!AA30&gt;=5,"A+",IF('Data Source'!AA30&gt;=4,"A",IF('Data Source'!AA30&gt;=3.5,"A-",IF('Data Source'!AA30&gt;=3,"B",IF('Data Source'!AA30&gt;=2,"C",IF('Data Source'!AA30&gt;=1,"D","F")))))),"")</f>
        <v/>
      </c>
      <c r="J30" s="3">
        <f>IF(AND('Data Source'!B30&lt;&gt;"",'Data Source'!S30="F"),IF('Data Source'!AB30&gt;=5,"A+",IF('Data Source'!AB30&gt;=4,"A",IF('Data Source'!AB30&gt;=3.5,"A-",IF('Data Source'!AB30&gt;=3,"B",IF('Data Source'!AB30&gt;=2,"C",IF('Data Source'!AB30&gt;=1,"D","F")))))),"")</f>
        <v/>
      </c>
      <c r="K30" s="3">
        <f>IF(AND('Data Source'!B30&lt;&gt;"",'Data Source'!S30="F"),IF('Data Source'!AC30&gt;=5,"A+",IF('Data Source'!AC30&gt;=4,"A",IF('Data Source'!AC30&gt;=3.5,"A-",IF('Data Source'!AC30&gt;=3,"B",IF('Data Source'!AC30&gt;=2,"C",IF('Data Source'!AC30&gt;=1,"D","F")))))),"")</f>
        <v/>
      </c>
      <c r="L30" s="3">
        <f>IF(AND('Data Source'!B30&lt;&gt;"",'Data Source'!S30="F"),IF('Data Source'!AD30&gt;=5,"A+",IF('Data Source'!AD30&gt;=4,"A",IF('Data Source'!AD30&gt;=3.5,"A-",IF('Data Source'!AD30&gt;=3,"B",IF('Data Source'!AD30&gt;=2,"C",IF('Data Source'!AD30&gt;=1,"D","F")))))),"")</f>
        <v/>
      </c>
      <c r="M30" s="3">
        <f>IF(AND('Data Source'!B30&lt;&gt;"",'Data Source'!S30="F"),IF('Data Source'!AE30&gt;=5,"A+",IF('Data Source'!AE30&gt;=4,"A",IF('Data Source'!AE30&gt;=3.5,"A-",IF('Data Source'!AE30&gt;=3,"B",IF('Data Source'!AE30&gt;=2,"C",IF('Data Source'!AE30&gt;=1,"D","F")))))),"")</f>
        <v/>
      </c>
      <c r="N30" s="3">
        <f>IF(AND('Data Source'!B30&lt;&gt;"",'Data Source'!S30="F"),IF('Data Source'!AF30&gt;=5,"A+",IF('Data Source'!AF30&gt;=4,"A",IF('Data Source'!AF30&gt;=3.5,"A-",IF('Data Source'!AF30&gt;=3,"B",IF('Data Source'!AF30&gt;=2,"C",IF('Data Source'!AF30&gt;=1,"D","F")))))),"")</f>
        <v/>
      </c>
      <c r="O30" s="3">
        <f>IF(AND('Data Source'!B30&lt;&gt;"",'Data Source'!S30="F"),IF('Data Source'!AG30&gt;=5,"A+",IF('Data Source'!AG30&gt;=4,"A",IF('Data Source'!AG30&gt;=3.5,"A-",IF('Data Source'!AG30&gt;=3,"B",IF('Data Source'!AG30&gt;=2,"C",IF('Data Source'!AG30&gt;=1,"D","F")))))),"")</f>
        <v/>
      </c>
      <c r="P30" s="5">
        <f>IF(AND('Data Source'!B30&lt;&gt;"",'Data Source'!S30="F"),'Data Source'!R30,"")</f>
        <v/>
      </c>
      <c r="Q30" s="3">
        <f>IF(AND('Data Source'!B30&lt;&gt;"",'Data Source'!S30="F"),'Data Source'!S30,"")</f>
        <v/>
      </c>
    </row>
    <row r="31">
      <c r="A31" s="3">
        <f>IF(AND('Data Source'!B31&lt;&gt;"",'Data Source'!S31="F"),COUNTIF('Data Source'!$S$3:S31,"F"),"")</f>
        <v/>
      </c>
      <c r="B31">
        <f>IF(AND('Data Source'!B31&lt;&gt;"",'Data Source'!S31="F"),'Data Source'!B31,"")</f>
        <v/>
      </c>
      <c r="C31" s="3">
        <f>IF(AND('Data Source'!B31&lt;&gt;"",'Data Source'!S31="F"),IF('Data Source'!U31&gt;=5,"A+",IF('Data Source'!U31&gt;=4,"A",IF('Data Source'!U31&gt;=3.5,"A-",IF('Data Source'!U31&gt;=3,"B",IF('Data Source'!U31&gt;=2,"C",IF('Data Source'!U31&gt;=1,"D","F")))))),"")</f>
        <v/>
      </c>
      <c r="D31" s="3">
        <f>IF(AND('Data Source'!B31&lt;&gt;"",'Data Source'!S31="F"),IF('Data Source'!V31&gt;=5,"A+",IF('Data Source'!V31&gt;=4,"A",IF('Data Source'!V31&gt;=3.5,"A-",IF('Data Source'!V31&gt;=3,"B",IF('Data Source'!V31&gt;=2,"C",IF('Data Source'!V31&gt;=1,"D","F")))))),"")</f>
        <v/>
      </c>
      <c r="E31" s="3">
        <f>IF(AND('Data Source'!B31&lt;&gt;"",'Data Source'!S31="F"),IF('Data Source'!W31&gt;=5,"A+",IF('Data Source'!W31&gt;=4,"A",IF('Data Source'!W31&gt;=3.5,"A-",IF('Data Source'!W31&gt;=3,"B",IF('Data Source'!W31&gt;=2,"C",IF('Data Source'!W31&gt;=1,"D","F")))))),"")</f>
        <v/>
      </c>
      <c r="F31" s="3">
        <f>IF(AND('Data Source'!B31&lt;&gt;"",'Data Source'!S31="F"),IF('Data Source'!X31&gt;=5,"A+",IF('Data Source'!X31&gt;=4,"A",IF('Data Source'!X31&gt;=3.5,"A-",IF('Data Source'!X31&gt;=3,"B",IF('Data Source'!X31&gt;=2,"C",IF('Data Source'!X31&gt;=1,"D","F")))))),"")</f>
        <v/>
      </c>
      <c r="G31" s="3">
        <f>IF(AND('Data Source'!B31&lt;&gt;"",'Data Source'!S31="F"),IF('Data Source'!Y31&gt;=5,"A+",IF('Data Source'!Y31&gt;=4,"A",IF('Data Source'!Y31&gt;=3.5,"A-",IF('Data Source'!Y31&gt;=3,"B",IF('Data Source'!Y31&gt;=2,"C",IF('Data Source'!Y31&gt;=1,"D","F")))))),"")</f>
        <v/>
      </c>
      <c r="H31" s="3">
        <f>IF(AND('Data Source'!B31&lt;&gt;"",'Data Source'!S31="F"),IF('Data Source'!Z31&gt;=5,"A+",IF('Data Source'!Z31&gt;=4,"A",IF('Data Source'!Z31&gt;=3.5,"A-",IF('Data Source'!Z31&gt;=3,"B",IF('Data Source'!Z31&gt;=2,"C",IF('Data Source'!Z31&gt;=1,"D","F")))))),"")</f>
        <v/>
      </c>
      <c r="I31" s="3">
        <f>IF(AND('Data Source'!B31&lt;&gt;"",'Data Source'!S31="F"),IF('Data Source'!AA31&gt;=5,"A+",IF('Data Source'!AA31&gt;=4,"A",IF('Data Source'!AA31&gt;=3.5,"A-",IF('Data Source'!AA31&gt;=3,"B",IF('Data Source'!AA31&gt;=2,"C",IF('Data Source'!AA31&gt;=1,"D","F")))))),"")</f>
        <v/>
      </c>
      <c r="J31" s="3">
        <f>IF(AND('Data Source'!B31&lt;&gt;"",'Data Source'!S31="F"),IF('Data Source'!AB31&gt;=5,"A+",IF('Data Source'!AB31&gt;=4,"A",IF('Data Source'!AB31&gt;=3.5,"A-",IF('Data Source'!AB31&gt;=3,"B",IF('Data Source'!AB31&gt;=2,"C",IF('Data Source'!AB31&gt;=1,"D","F")))))),"")</f>
        <v/>
      </c>
      <c r="K31" s="3">
        <f>IF(AND('Data Source'!B31&lt;&gt;"",'Data Source'!S31="F"),IF('Data Source'!AC31&gt;=5,"A+",IF('Data Source'!AC31&gt;=4,"A",IF('Data Source'!AC31&gt;=3.5,"A-",IF('Data Source'!AC31&gt;=3,"B",IF('Data Source'!AC31&gt;=2,"C",IF('Data Source'!AC31&gt;=1,"D","F")))))),"")</f>
        <v/>
      </c>
      <c r="L31" s="3">
        <f>IF(AND('Data Source'!B31&lt;&gt;"",'Data Source'!S31="F"),IF('Data Source'!AD31&gt;=5,"A+",IF('Data Source'!AD31&gt;=4,"A",IF('Data Source'!AD31&gt;=3.5,"A-",IF('Data Source'!AD31&gt;=3,"B",IF('Data Source'!AD31&gt;=2,"C",IF('Data Source'!AD31&gt;=1,"D","F")))))),"")</f>
        <v/>
      </c>
      <c r="M31" s="3">
        <f>IF(AND('Data Source'!B31&lt;&gt;"",'Data Source'!S31="F"),IF('Data Source'!AE31&gt;=5,"A+",IF('Data Source'!AE31&gt;=4,"A",IF('Data Source'!AE31&gt;=3.5,"A-",IF('Data Source'!AE31&gt;=3,"B",IF('Data Source'!AE31&gt;=2,"C",IF('Data Source'!AE31&gt;=1,"D","F")))))),"")</f>
        <v/>
      </c>
      <c r="N31" s="3">
        <f>IF(AND('Data Source'!B31&lt;&gt;"",'Data Source'!S31="F"),IF('Data Source'!AF31&gt;=5,"A+",IF('Data Source'!AF31&gt;=4,"A",IF('Data Source'!AF31&gt;=3.5,"A-",IF('Data Source'!AF31&gt;=3,"B",IF('Data Source'!AF31&gt;=2,"C",IF('Data Source'!AF31&gt;=1,"D","F")))))),"")</f>
        <v/>
      </c>
      <c r="O31" s="3">
        <f>IF(AND('Data Source'!B31&lt;&gt;"",'Data Source'!S31="F"),IF('Data Source'!AG31&gt;=5,"A+",IF('Data Source'!AG31&gt;=4,"A",IF('Data Source'!AG31&gt;=3.5,"A-",IF('Data Source'!AG31&gt;=3,"B",IF('Data Source'!AG31&gt;=2,"C",IF('Data Source'!AG31&gt;=1,"D","F")))))),"")</f>
        <v/>
      </c>
      <c r="P31" s="5">
        <f>IF(AND('Data Source'!B31&lt;&gt;"",'Data Source'!S31="F"),'Data Source'!R31,"")</f>
        <v/>
      </c>
      <c r="Q31" s="3">
        <f>IF(AND('Data Source'!B31&lt;&gt;"",'Data Source'!S31="F"),'Data Source'!S31,"")</f>
        <v/>
      </c>
    </row>
    <row r="32">
      <c r="A32" s="3">
        <f>IF(AND('Data Source'!B32&lt;&gt;"",'Data Source'!S32="F"),COUNTIF('Data Source'!$S$3:S32,"F"),"")</f>
        <v/>
      </c>
      <c r="B32">
        <f>IF(AND('Data Source'!B32&lt;&gt;"",'Data Source'!S32="F"),'Data Source'!B32,"")</f>
        <v/>
      </c>
      <c r="C32" s="3">
        <f>IF(AND('Data Source'!B32&lt;&gt;"",'Data Source'!S32="F"),IF('Data Source'!U32&gt;=5,"A+",IF('Data Source'!U32&gt;=4,"A",IF('Data Source'!U32&gt;=3.5,"A-",IF('Data Source'!U32&gt;=3,"B",IF('Data Source'!U32&gt;=2,"C",IF('Data Source'!U32&gt;=1,"D","F")))))),"")</f>
        <v/>
      </c>
      <c r="D32" s="3">
        <f>IF(AND('Data Source'!B32&lt;&gt;"",'Data Source'!S32="F"),IF('Data Source'!V32&gt;=5,"A+",IF('Data Source'!V32&gt;=4,"A",IF('Data Source'!V32&gt;=3.5,"A-",IF('Data Source'!V32&gt;=3,"B",IF('Data Source'!V32&gt;=2,"C",IF('Data Source'!V32&gt;=1,"D","F")))))),"")</f>
        <v/>
      </c>
      <c r="E32" s="3">
        <f>IF(AND('Data Source'!B32&lt;&gt;"",'Data Source'!S32="F"),IF('Data Source'!W32&gt;=5,"A+",IF('Data Source'!W32&gt;=4,"A",IF('Data Source'!W32&gt;=3.5,"A-",IF('Data Source'!W32&gt;=3,"B",IF('Data Source'!W32&gt;=2,"C",IF('Data Source'!W32&gt;=1,"D","F")))))),"")</f>
        <v/>
      </c>
      <c r="F32" s="3">
        <f>IF(AND('Data Source'!B32&lt;&gt;"",'Data Source'!S32="F"),IF('Data Source'!X32&gt;=5,"A+",IF('Data Source'!X32&gt;=4,"A",IF('Data Source'!X32&gt;=3.5,"A-",IF('Data Source'!X32&gt;=3,"B",IF('Data Source'!X32&gt;=2,"C",IF('Data Source'!X32&gt;=1,"D","F")))))),"")</f>
        <v/>
      </c>
      <c r="G32" s="3">
        <f>IF(AND('Data Source'!B32&lt;&gt;"",'Data Source'!S32="F"),IF('Data Source'!Y32&gt;=5,"A+",IF('Data Source'!Y32&gt;=4,"A",IF('Data Source'!Y32&gt;=3.5,"A-",IF('Data Source'!Y32&gt;=3,"B",IF('Data Source'!Y32&gt;=2,"C",IF('Data Source'!Y32&gt;=1,"D","F")))))),"")</f>
        <v/>
      </c>
      <c r="H32" s="3">
        <f>IF(AND('Data Source'!B32&lt;&gt;"",'Data Source'!S32="F"),IF('Data Source'!Z32&gt;=5,"A+",IF('Data Source'!Z32&gt;=4,"A",IF('Data Source'!Z32&gt;=3.5,"A-",IF('Data Source'!Z32&gt;=3,"B",IF('Data Source'!Z32&gt;=2,"C",IF('Data Source'!Z32&gt;=1,"D","F")))))),"")</f>
        <v/>
      </c>
      <c r="I32" s="3">
        <f>IF(AND('Data Source'!B32&lt;&gt;"",'Data Source'!S32="F"),IF('Data Source'!AA32&gt;=5,"A+",IF('Data Source'!AA32&gt;=4,"A",IF('Data Source'!AA32&gt;=3.5,"A-",IF('Data Source'!AA32&gt;=3,"B",IF('Data Source'!AA32&gt;=2,"C",IF('Data Source'!AA32&gt;=1,"D","F")))))),"")</f>
        <v/>
      </c>
      <c r="J32" s="3">
        <f>IF(AND('Data Source'!B32&lt;&gt;"",'Data Source'!S32="F"),IF('Data Source'!AB32&gt;=5,"A+",IF('Data Source'!AB32&gt;=4,"A",IF('Data Source'!AB32&gt;=3.5,"A-",IF('Data Source'!AB32&gt;=3,"B",IF('Data Source'!AB32&gt;=2,"C",IF('Data Source'!AB32&gt;=1,"D","F")))))),"")</f>
        <v/>
      </c>
      <c r="K32" s="3">
        <f>IF(AND('Data Source'!B32&lt;&gt;"",'Data Source'!S32="F"),IF('Data Source'!AC32&gt;=5,"A+",IF('Data Source'!AC32&gt;=4,"A",IF('Data Source'!AC32&gt;=3.5,"A-",IF('Data Source'!AC32&gt;=3,"B",IF('Data Source'!AC32&gt;=2,"C",IF('Data Source'!AC32&gt;=1,"D","F")))))),"")</f>
        <v/>
      </c>
      <c r="L32" s="3">
        <f>IF(AND('Data Source'!B32&lt;&gt;"",'Data Source'!S32="F"),IF('Data Source'!AD32&gt;=5,"A+",IF('Data Source'!AD32&gt;=4,"A",IF('Data Source'!AD32&gt;=3.5,"A-",IF('Data Source'!AD32&gt;=3,"B",IF('Data Source'!AD32&gt;=2,"C",IF('Data Source'!AD32&gt;=1,"D","F")))))),"")</f>
        <v/>
      </c>
      <c r="M32" s="3">
        <f>IF(AND('Data Source'!B32&lt;&gt;"",'Data Source'!S32="F"),IF('Data Source'!AE32&gt;=5,"A+",IF('Data Source'!AE32&gt;=4,"A",IF('Data Source'!AE32&gt;=3.5,"A-",IF('Data Source'!AE32&gt;=3,"B",IF('Data Source'!AE32&gt;=2,"C",IF('Data Source'!AE32&gt;=1,"D","F")))))),"")</f>
        <v/>
      </c>
      <c r="N32" s="3">
        <f>IF(AND('Data Source'!B32&lt;&gt;"",'Data Source'!S32="F"),IF('Data Source'!AF32&gt;=5,"A+",IF('Data Source'!AF32&gt;=4,"A",IF('Data Source'!AF32&gt;=3.5,"A-",IF('Data Source'!AF32&gt;=3,"B",IF('Data Source'!AF32&gt;=2,"C",IF('Data Source'!AF32&gt;=1,"D","F")))))),"")</f>
        <v/>
      </c>
      <c r="O32" s="3">
        <f>IF(AND('Data Source'!B32&lt;&gt;"",'Data Source'!S32="F"),IF('Data Source'!AG32&gt;=5,"A+",IF('Data Source'!AG32&gt;=4,"A",IF('Data Source'!AG32&gt;=3.5,"A-",IF('Data Source'!AG32&gt;=3,"B",IF('Data Source'!AG32&gt;=2,"C",IF('Data Source'!AG32&gt;=1,"D","F")))))),"")</f>
        <v/>
      </c>
      <c r="P32" s="5">
        <f>IF(AND('Data Source'!B32&lt;&gt;"",'Data Source'!S32="F"),'Data Source'!R32,"")</f>
        <v/>
      </c>
      <c r="Q32" s="3">
        <f>IF(AND('Data Source'!B32&lt;&gt;"",'Data Source'!S32="F"),'Data Source'!S32,"")</f>
        <v/>
      </c>
    </row>
    <row r="33">
      <c r="A33" s="3">
        <f>IF(AND('Data Source'!B33&lt;&gt;"",'Data Source'!S33="F"),COUNTIF('Data Source'!$S$3:S33,"F"),"")</f>
        <v/>
      </c>
      <c r="B33">
        <f>IF(AND('Data Source'!B33&lt;&gt;"",'Data Source'!S33="F"),'Data Source'!B33,"")</f>
        <v/>
      </c>
      <c r="C33" s="3">
        <f>IF(AND('Data Source'!B33&lt;&gt;"",'Data Source'!S33="F"),IF('Data Source'!U33&gt;=5,"A+",IF('Data Source'!U33&gt;=4,"A",IF('Data Source'!U33&gt;=3.5,"A-",IF('Data Source'!U33&gt;=3,"B",IF('Data Source'!U33&gt;=2,"C",IF('Data Source'!U33&gt;=1,"D","F")))))),"")</f>
        <v/>
      </c>
      <c r="D33" s="3">
        <f>IF(AND('Data Source'!B33&lt;&gt;"",'Data Source'!S33="F"),IF('Data Source'!V33&gt;=5,"A+",IF('Data Source'!V33&gt;=4,"A",IF('Data Source'!V33&gt;=3.5,"A-",IF('Data Source'!V33&gt;=3,"B",IF('Data Source'!V33&gt;=2,"C",IF('Data Source'!V33&gt;=1,"D","F")))))),"")</f>
        <v/>
      </c>
      <c r="E33" s="3">
        <f>IF(AND('Data Source'!B33&lt;&gt;"",'Data Source'!S33="F"),IF('Data Source'!W33&gt;=5,"A+",IF('Data Source'!W33&gt;=4,"A",IF('Data Source'!W33&gt;=3.5,"A-",IF('Data Source'!W33&gt;=3,"B",IF('Data Source'!W33&gt;=2,"C",IF('Data Source'!W33&gt;=1,"D","F")))))),"")</f>
        <v/>
      </c>
      <c r="F33" s="3">
        <f>IF(AND('Data Source'!B33&lt;&gt;"",'Data Source'!S33="F"),IF('Data Source'!X33&gt;=5,"A+",IF('Data Source'!X33&gt;=4,"A",IF('Data Source'!X33&gt;=3.5,"A-",IF('Data Source'!X33&gt;=3,"B",IF('Data Source'!X33&gt;=2,"C",IF('Data Source'!X33&gt;=1,"D","F")))))),"")</f>
        <v/>
      </c>
      <c r="G33" s="3">
        <f>IF(AND('Data Source'!B33&lt;&gt;"",'Data Source'!S33="F"),IF('Data Source'!Y33&gt;=5,"A+",IF('Data Source'!Y33&gt;=4,"A",IF('Data Source'!Y33&gt;=3.5,"A-",IF('Data Source'!Y33&gt;=3,"B",IF('Data Source'!Y33&gt;=2,"C",IF('Data Source'!Y33&gt;=1,"D","F")))))),"")</f>
        <v/>
      </c>
      <c r="H33" s="3">
        <f>IF(AND('Data Source'!B33&lt;&gt;"",'Data Source'!S33="F"),IF('Data Source'!Z33&gt;=5,"A+",IF('Data Source'!Z33&gt;=4,"A",IF('Data Source'!Z33&gt;=3.5,"A-",IF('Data Source'!Z33&gt;=3,"B",IF('Data Source'!Z33&gt;=2,"C",IF('Data Source'!Z33&gt;=1,"D","F")))))),"")</f>
        <v/>
      </c>
      <c r="I33" s="3">
        <f>IF(AND('Data Source'!B33&lt;&gt;"",'Data Source'!S33="F"),IF('Data Source'!AA33&gt;=5,"A+",IF('Data Source'!AA33&gt;=4,"A",IF('Data Source'!AA33&gt;=3.5,"A-",IF('Data Source'!AA33&gt;=3,"B",IF('Data Source'!AA33&gt;=2,"C",IF('Data Source'!AA33&gt;=1,"D","F")))))),"")</f>
        <v/>
      </c>
      <c r="J33" s="3">
        <f>IF(AND('Data Source'!B33&lt;&gt;"",'Data Source'!S33="F"),IF('Data Source'!AB33&gt;=5,"A+",IF('Data Source'!AB33&gt;=4,"A",IF('Data Source'!AB33&gt;=3.5,"A-",IF('Data Source'!AB33&gt;=3,"B",IF('Data Source'!AB33&gt;=2,"C",IF('Data Source'!AB33&gt;=1,"D","F")))))),"")</f>
        <v/>
      </c>
      <c r="K33" s="3">
        <f>IF(AND('Data Source'!B33&lt;&gt;"",'Data Source'!S33="F"),IF('Data Source'!AC33&gt;=5,"A+",IF('Data Source'!AC33&gt;=4,"A",IF('Data Source'!AC33&gt;=3.5,"A-",IF('Data Source'!AC33&gt;=3,"B",IF('Data Source'!AC33&gt;=2,"C",IF('Data Source'!AC33&gt;=1,"D","F")))))),"")</f>
        <v/>
      </c>
      <c r="L33" s="3">
        <f>IF(AND('Data Source'!B33&lt;&gt;"",'Data Source'!S33="F"),IF('Data Source'!AD33&gt;=5,"A+",IF('Data Source'!AD33&gt;=4,"A",IF('Data Source'!AD33&gt;=3.5,"A-",IF('Data Source'!AD33&gt;=3,"B",IF('Data Source'!AD33&gt;=2,"C",IF('Data Source'!AD33&gt;=1,"D","F")))))),"")</f>
        <v/>
      </c>
      <c r="M33" s="3">
        <f>IF(AND('Data Source'!B33&lt;&gt;"",'Data Source'!S33="F"),IF('Data Source'!AE33&gt;=5,"A+",IF('Data Source'!AE33&gt;=4,"A",IF('Data Source'!AE33&gt;=3.5,"A-",IF('Data Source'!AE33&gt;=3,"B",IF('Data Source'!AE33&gt;=2,"C",IF('Data Source'!AE33&gt;=1,"D","F")))))),"")</f>
        <v/>
      </c>
      <c r="N33" s="3">
        <f>IF(AND('Data Source'!B33&lt;&gt;"",'Data Source'!S33="F"),IF('Data Source'!AF33&gt;=5,"A+",IF('Data Source'!AF33&gt;=4,"A",IF('Data Source'!AF33&gt;=3.5,"A-",IF('Data Source'!AF33&gt;=3,"B",IF('Data Source'!AF33&gt;=2,"C",IF('Data Source'!AF33&gt;=1,"D","F")))))),"")</f>
        <v/>
      </c>
      <c r="O33" s="3">
        <f>IF(AND('Data Source'!B33&lt;&gt;"",'Data Source'!S33="F"),IF('Data Source'!AG33&gt;=5,"A+",IF('Data Source'!AG33&gt;=4,"A",IF('Data Source'!AG33&gt;=3.5,"A-",IF('Data Source'!AG33&gt;=3,"B",IF('Data Source'!AG33&gt;=2,"C",IF('Data Source'!AG33&gt;=1,"D","F")))))),"")</f>
        <v/>
      </c>
      <c r="P33" s="5">
        <f>IF(AND('Data Source'!B33&lt;&gt;"",'Data Source'!S33="F"),'Data Source'!R33,"")</f>
        <v/>
      </c>
      <c r="Q33" s="3">
        <f>IF(AND('Data Source'!B33&lt;&gt;"",'Data Source'!S33="F"),'Data Source'!S33,"")</f>
        <v/>
      </c>
    </row>
    <row r="34">
      <c r="A34" s="3">
        <f>IF(AND('Data Source'!B34&lt;&gt;"",'Data Source'!S34="F"),COUNTIF('Data Source'!$S$3:S34,"F"),"")</f>
        <v/>
      </c>
      <c r="B34">
        <f>IF(AND('Data Source'!B34&lt;&gt;"",'Data Source'!S34="F"),'Data Source'!B34,"")</f>
        <v/>
      </c>
      <c r="C34" s="3">
        <f>IF(AND('Data Source'!B34&lt;&gt;"",'Data Source'!S34="F"),IF('Data Source'!U34&gt;=5,"A+",IF('Data Source'!U34&gt;=4,"A",IF('Data Source'!U34&gt;=3.5,"A-",IF('Data Source'!U34&gt;=3,"B",IF('Data Source'!U34&gt;=2,"C",IF('Data Source'!U34&gt;=1,"D","F")))))),"")</f>
        <v/>
      </c>
      <c r="D34" s="3">
        <f>IF(AND('Data Source'!B34&lt;&gt;"",'Data Source'!S34="F"),IF('Data Source'!V34&gt;=5,"A+",IF('Data Source'!V34&gt;=4,"A",IF('Data Source'!V34&gt;=3.5,"A-",IF('Data Source'!V34&gt;=3,"B",IF('Data Source'!V34&gt;=2,"C",IF('Data Source'!V34&gt;=1,"D","F")))))),"")</f>
        <v/>
      </c>
      <c r="E34" s="3">
        <f>IF(AND('Data Source'!B34&lt;&gt;"",'Data Source'!S34="F"),IF('Data Source'!W34&gt;=5,"A+",IF('Data Source'!W34&gt;=4,"A",IF('Data Source'!W34&gt;=3.5,"A-",IF('Data Source'!W34&gt;=3,"B",IF('Data Source'!W34&gt;=2,"C",IF('Data Source'!W34&gt;=1,"D","F")))))),"")</f>
        <v/>
      </c>
      <c r="F34" s="3">
        <f>IF(AND('Data Source'!B34&lt;&gt;"",'Data Source'!S34="F"),IF('Data Source'!X34&gt;=5,"A+",IF('Data Source'!X34&gt;=4,"A",IF('Data Source'!X34&gt;=3.5,"A-",IF('Data Source'!X34&gt;=3,"B",IF('Data Source'!X34&gt;=2,"C",IF('Data Source'!X34&gt;=1,"D","F")))))),"")</f>
        <v/>
      </c>
      <c r="G34" s="3">
        <f>IF(AND('Data Source'!B34&lt;&gt;"",'Data Source'!S34="F"),IF('Data Source'!Y34&gt;=5,"A+",IF('Data Source'!Y34&gt;=4,"A",IF('Data Source'!Y34&gt;=3.5,"A-",IF('Data Source'!Y34&gt;=3,"B",IF('Data Source'!Y34&gt;=2,"C",IF('Data Source'!Y34&gt;=1,"D","F")))))),"")</f>
        <v/>
      </c>
      <c r="H34" s="3">
        <f>IF(AND('Data Source'!B34&lt;&gt;"",'Data Source'!S34="F"),IF('Data Source'!Z34&gt;=5,"A+",IF('Data Source'!Z34&gt;=4,"A",IF('Data Source'!Z34&gt;=3.5,"A-",IF('Data Source'!Z34&gt;=3,"B",IF('Data Source'!Z34&gt;=2,"C",IF('Data Source'!Z34&gt;=1,"D","F")))))),"")</f>
        <v/>
      </c>
      <c r="I34" s="3">
        <f>IF(AND('Data Source'!B34&lt;&gt;"",'Data Source'!S34="F"),IF('Data Source'!AA34&gt;=5,"A+",IF('Data Source'!AA34&gt;=4,"A",IF('Data Source'!AA34&gt;=3.5,"A-",IF('Data Source'!AA34&gt;=3,"B",IF('Data Source'!AA34&gt;=2,"C",IF('Data Source'!AA34&gt;=1,"D","F")))))),"")</f>
        <v/>
      </c>
      <c r="J34" s="3">
        <f>IF(AND('Data Source'!B34&lt;&gt;"",'Data Source'!S34="F"),IF('Data Source'!AB34&gt;=5,"A+",IF('Data Source'!AB34&gt;=4,"A",IF('Data Source'!AB34&gt;=3.5,"A-",IF('Data Source'!AB34&gt;=3,"B",IF('Data Source'!AB34&gt;=2,"C",IF('Data Source'!AB34&gt;=1,"D","F")))))),"")</f>
        <v/>
      </c>
      <c r="K34" s="3">
        <f>IF(AND('Data Source'!B34&lt;&gt;"",'Data Source'!S34="F"),IF('Data Source'!AC34&gt;=5,"A+",IF('Data Source'!AC34&gt;=4,"A",IF('Data Source'!AC34&gt;=3.5,"A-",IF('Data Source'!AC34&gt;=3,"B",IF('Data Source'!AC34&gt;=2,"C",IF('Data Source'!AC34&gt;=1,"D","F")))))),"")</f>
        <v/>
      </c>
      <c r="L34" s="3">
        <f>IF(AND('Data Source'!B34&lt;&gt;"",'Data Source'!S34="F"),IF('Data Source'!AD34&gt;=5,"A+",IF('Data Source'!AD34&gt;=4,"A",IF('Data Source'!AD34&gt;=3.5,"A-",IF('Data Source'!AD34&gt;=3,"B",IF('Data Source'!AD34&gt;=2,"C",IF('Data Source'!AD34&gt;=1,"D","F")))))),"")</f>
        <v/>
      </c>
      <c r="M34" s="3">
        <f>IF(AND('Data Source'!B34&lt;&gt;"",'Data Source'!S34="F"),IF('Data Source'!AE34&gt;=5,"A+",IF('Data Source'!AE34&gt;=4,"A",IF('Data Source'!AE34&gt;=3.5,"A-",IF('Data Source'!AE34&gt;=3,"B",IF('Data Source'!AE34&gt;=2,"C",IF('Data Source'!AE34&gt;=1,"D","F")))))),"")</f>
        <v/>
      </c>
      <c r="N34" s="3">
        <f>IF(AND('Data Source'!B34&lt;&gt;"",'Data Source'!S34="F"),IF('Data Source'!AF34&gt;=5,"A+",IF('Data Source'!AF34&gt;=4,"A",IF('Data Source'!AF34&gt;=3.5,"A-",IF('Data Source'!AF34&gt;=3,"B",IF('Data Source'!AF34&gt;=2,"C",IF('Data Source'!AF34&gt;=1,"D","F")))))),"")</f>
        <v/>
      </c>
      <c r="O34" s="3">
        <f>IF(AND('Data Source'!B34&lt;&gt;"",'Data Source'!S34="F"),IF('Data Source'!AG34&gt;=5,"A+",IF('Data Source'!AG34&gt;=4,"A",IF('Data Source'!AG34&gt;=3.5,"A-",IF('Data Source'!AG34&gt;=3,"B",IF('Data Source'!AG34&gt;=2,"C",IF('Data Source'!AG34&gt;=1,"D","F")))))),"")</f>
        <v/>
      </c>
      <c r="P34" s="5">
        <f>IF(AND('Data Source'!B34&lt;&gt;"",'Data Source'!S34="F"),'Data Source'!R34,"")</f>
        <v/>
      </c>
      <c r="Q34" s="3">
        <f>IF(AND('Data Source'!B34&lt;&gt;"",'Data Source'!S34="F"),'Data Source'!S34,"")</f>
        <v/>
      </c>
    </row>
    <row r="35">
      <c r="A35" s="3">
        <f>IF(AND('Data Source'!B35&lt;&gt;"",'Data Source'!S35="F"),COUNTIF('Data Source'!$S$3:S35,"F"),"")</f>
        <v/>
      </c>
      <c r="B35">
        <f>IF(AND('Data Source'!B35&lt;&gt;"",'Data Source'!S35="F"),'Data Source'!B35,"")</f>
        <v/>
      </c>
      <c r="C35" s="3">
        <f>IF(AND('Data Source'!B35&lt;&gt;"",'Data Source'!S35="F"),IF('Data Source'!U35&gt;=5,"A+",IF('Data Source'!U35&gt;=4,"A",IF('Data Source'!U35&gt;=3.5,"A-",IF('Data Source'!U35&gt;=3,"B",IF('Data Source'!U35&gt;=2,"C",IF('Data Source'!U35&gt;=1,"D","F")))))),"")</f>
        <v/>
      </c>
      <c r="D35" s="3">
        <f>IF(AND('Data Source'!B35&lt;&gt;"",'Data Source'!S35="F"),IF('Data Source'!V35&gt;=5,"A+",IF('Data Source'!V35&gt;=4,"A",IF('Data Source'!V35&gt;=3.5,"A-",IF('Data Source'!V35&gt;=3,"B",IF('Data Source'!V35&gt;=2,"C",IF('Data Source'!V35&gt;=1,"D","F")))))),"")</f>
        <v/>
      </c>
      <c r="E35" s="3">
        <f>IF(AND('Data Source'!B35&lt;&gt;"",'Data Source'!S35="F"),IF('Data Source'!W35&gt;=5,"A+",IF('Data Source'!W35&gt;=4,"A",IF('Data Source'!W35&gt;=3.5,"A-",IF('Data Source'!W35&gt;=3,"B",IF('Data Source'!W35&gt;=2,"C",IF('Data Source'!W35&gt;=1,"D","F")))))),"")</f>
        <v/>
      </c>
      <c r="F35" s="3">
        <f>IF(AND('Data Source'!B35&lt;&gt;"",'Data Source'!S35="F"),IF('Data Source'!X35&gt;=5,"A+",IF('Data Source'!X35&gt;=4,"A",IF('Data Source'!X35&gt;=3.5,"A-",IF('Data Source'!X35&gt;=3,"B",IF('Data Source'!X35&gt;=2,"C",IF('Data Source'!X35&gt;=1,"D","F")))))),"")</f>
        <v/>
      </c>
      <c r="G35" s="3">
        <f>IF(AND('Data Source'!B35&lt;&gt;"",'Data Source'!S35="F"),IF('Data Source'!Y35&gt;=5,"A+",IF('Data Source'!Y35&gt;=4,"A",IF('Data Source'!Y35&gt;=3.5,"A-",IF('Data Source'!Y35&gt;=3,"B",IF('Data Source'!Y35&gt;=2,"C",IF('Data Source'!Y35&gt;=1,"D","F")))))),"")</f>
        <v/>
      </c>
      <c r="H35" s="3">
        <f>IF(AND('Data Source'!B35&lt;&gt;"",'Data Source'!S35="F"),IF('Data Source'!Z35&gt;=5,"A+",IF('Data Source'!Z35&gt;=4,"A",IF('Data Source'!Z35&gt;=3.5,"A-",IF('Data Source'!Z35&gt;=3,"B",IF('Data Source'!Z35&gt;=2,"C",IF('Data Source'!Z35&gt;=1,"D","F")))))),"")</f>
        <v/>
      </c>
      <c r="I35" s="3">
        <f>IF(AND('Data Source'!B35&lt;&gt;"",'Data Source'!S35="F"),IF('Data Source'!AA35&gt;=5,"A+",IF('Data Source'!AA35&gt;=4,"A",IF('Data Source'!AA35&gt;=3.5,"A-",IF('Data Source'!AA35&gt;=3,"B",IF('Data Source'!AA35&gt;=2,"C",IF('Data Source'!AA35&gt;=1,"D","F")))))),"")</f>
        <v/>
      </c>
      <c r="J35" s="3">
        <f>IF(AND('Data Source'!B35&lt;&gt;"",'Data Source'!S35="F"),IF('Data Source'!AB35&gt;=5,"A+",IF('Data Source'!AB35&gt;=4,"A",IF('Data Source'!AB35&gt;=3.5,"A-",IF('Data Source'!AB35&gt;=3,"B",IF('Data Source'!AB35&gt;=2,"C",IF('Data Source'!AB35&gt;=1,"D","F")))))),"")</f>
        <v/>
      </c>
      <c r="K35" s="3">
        <f>IF(AND('Data Source'!B35&lt;&gt;"",'Data Source'!S35="F"),IF('Data Source'!AC35&gt;=5,"A+",IF('Data Source'!AC35&gt;=4,"A",IF('Data Source'!AC35&gt;=3.5,"A-",IF('Data Source'!AC35&gt;=3,"B",IF('Data Source'!AC35&gt;=2,"C",IF('Data Source'!AC35&gt;=1,"D","F")))))),"")</f>
        <v/>
      </c>
      <c r="L35" s="3">
        <f>IF(AND('Data Source'!B35&lt;&gt;"",'Data Source'!S35="F"),IF('Data Source'!AD35&gt;=5,"A+",IF('Data Source'!AD35&gt;=4,"A",IF('Data Source'!AD35&gt;=3.5,"A-",IF('Data Source'!AD35&gt;=3,"B",IF('Data Source'!AD35&gt;=2,"C",IF('Data Source'!AD35&gt;=1,"D","F")))))),"")</f>
        <v/>
      </c>
      <c r="M35" s="3">
        <f>IF(AND('Data Source'!B35&lt;&gt;"",'Data Source'!S35="F"),IF('Data Source'!AE35&gt;=5,"A+",IF('Data Source'!AE35&gt;=4,"A",IF('Data Source'!AE35&gt;=3.5,"A-",IF('Data Source'!AE35&gt;=3,"B",IF('Data Source'!AE35&gt;=2,"C",IF('Data Source'!AE35&gt;=1,"D","F")))))),"")</f>
        <v/>
      </c>
      <c r="N35" s="3">
        <f>IF(AND('Data Source'!B35&lt;&gt;"",'Data Source'!S35="F"),IF('Data Source'!AF35&gt;=5,"A+",IF('Data Source'!AF35&gt;=4,"A",IF('Data Source'!AF35&gt;=3.5,"A-",IF('Data Source'!AF35&gt;=3,"B",IF('Data Source'!AF35&gt;=2,"C",IF('Data Source'!AF35&gt;=1,"D","F")))))),"")</f>
        <v/>
      </c>
      <c r="O35" s="3">
        <f>IF(AND('Data Source'!B35&lt;&gt;"",'Data Source'!S35="F"),IF('Data Source'!AG35&gt;=5,"A+",IF('Data Source'!AG35&gt;=4,"A",IF('Data Source'!AG35&gt;=3.5,"A-",IF('Data Source'!AG35&gt;=3,"B",IF('Data Source'!AG35&gt;=2,"C",IF('Data Source'!AG35&gt;=1,"D","F")))))),"")</f>
        <v/>
      </c>
      <c r="P35" s="5">
        <f>IF(AND('Data Source'!B35&lt;&gt;"",'Data Source'!S35="F"),'Data Source'!R35,"")</f>
        <v/>
      </c>
      <c r="Q35" s="3">
        <f>IF(AND('Data Source'!B35&lt;&gt;"",'Data Source'!S35="F"),'Data Source'!S35,"")</f>
        <v/>
      </c>
    </row>
    <row r="36">
      <c r="A36" s="3">
        <f>IF(AND('Data Source'!B36&lt;&gt;"",'Data Source'!S36="F"),COUNTIF('Data Source'!$S$3:S36,"F"),"")</f>
        <v/>
      </c>
      <c r="B36">
        <f>IF(AND('Data Source'!B36&lt;&gt;"",'Data Source'!S36="F"),'Data Source'!B36,"")</f>
        <v/>
      </c>
      <c r="C36" s="3">
        <f>IF(AND('Data Source'!B36&lt;&gt;"",'Data Source'!S36="F"),IF('Data Source'!U36&gt;=5,"A+",IF('Data Source'!U36&gt;=4,"A",IF('Data Source'!U36&gt;=3.5,"A-",IF('Data Source'!U36&gt;=3,"B",IF('Data Source'!U36&gt;=2,"C",IF('Data Source'!U36&gt;=1,"D","F")))))),"")</f>
        <v/>
      </c>
      <c r="D36" s="3">
        <f>IF(AND('Data Source'!B36&lt;&gt;"",'Data Source'!S36="F"),IF('Data Source'!V36&gt;=5,"A+",IF('Data Source'!V36&gt;=4,"A",IF('Data Source'!V36&gt;=3.5,"A-",IF('Data Source'!V36&gt;=3,"B",IF('Data Source'!V36&gt;=2,"C",IF('Data Source'!V36&gt;=1,"D","F")))))),"")</f>
        <v/>
      </c>
      <c r="E36" s="3">
        <f>IF(AND('Data Source'!B36&lt;&gt;"",'Data Source'!S36="F"),IF('Data Source'!W36&gt;=5,"A+",IF('Data Source'!W36&gt;=4,"A",IF('Data Source'!W36&gt;=3.5,"A-",IF('Data Source'!W36&gt;=3,"B",IF('Data Source'!W36&gt;=2,"C",IF('Data Source'!W36&gt;=1,"D","F")))))),"")</f>
        <v/>
      </c>
      <c r="F36" s="3">
        <f>IF(AND('Data Source'!B36&lt;&gt;"",'Data Source'!S36="F"),IF('Data Source'!X36&gt;=5,"A+",IF('Data Source'!X36&gt;=4,"A",IF('Data Source'!X36&gt;=3.5,"A-",IF('Data Source'!X36&gt;=3,"B",IF('Data Source'!X36&gt;=2,"C",IF('Data Source'!X36&gt;=1,"D","F")))))),"")</f>
        <v/>
      </c>
      <c r="G36" s="3">
        <f>IF(AND('Data Source'!B36&lt;&gt;"",'Data Source'!S36="F"),IF('Data Source'!Y36&gt;=5,"A+",IF('Data Source'!Y36&gt;=4,"A",IF('Data Source'!Y36&gt;=3.5,"A-",IF('Data Source'!Y36&gt;=3,"B",IF('Data Source'!Y36&gt;=2,"C",IF('Data Source'!Y36&gt;=1,"D","F")))))),"")</f>
        <v/>
      </c>
      <c r="H36" s="3">
        <f>IF(AND('Data Source'!B36&lt;&gt;"",'Data Source'!S36="F"),IF('Data Source'!Z36&gt;=5,"A+",IF('Data Source'!Z36&gt;=4,"A",IF('Data Source'!Z36&gt;=3.5,"A-",IF('Data Source'!Z36&gt;=3,"B",IF('Data Source'!Z36&gt;=2,"C",IF('Data Source'!Z36&gt;=1,"D","F")))))),"")</f>
        <v/>
      </c>
      <c r="I36" s="3">
        <f>IF(AND('Data Source'!B36&lt;&gt;"",'Data Source'!S36="F"),IF('Data Source'!AA36&gt;=5,"A+",IF('Data Source'!AA36&gt;=4,"A",IF('Data Source'!AA36&gt;=3.5,"A-",IF('Data Source'!AA36&gt;=3,"B",IF('Data Source'!AA36&gt;=2,"C",IF('Data Source'!AA36&gt;=1,"D","F")))))),"")</f>
        <v/>
      </c>
      <c r="J36" s="3">
        <f>IF(AND('Data Source'!B36&lt;&gt;"",'Data Source'!S36="F"),IF('Data Source'!AB36&gt;=5,"A+",IF('Data Source'!AB36&gt;=4,"A",IF('Data Source'!AB36&gt;=3.5,"A-",IF('Data Source'!AB36&gt;=3,"B",IF('Data Source'!AB36&gt;=2,"C",IF('Data Source'!AB36&gt;=1,"D","F")))))),"")</f>
        <v/>
      </c>
      <c r="K36" s="3">
        <f>IF(AND('Data Source'!B36&lt;&gt;"",'Data Source'!S36="F"),IF('Data Source'!AC36&gt;=5,"A+",IF('Data Source'!AC36&gt;=4,"A",IF('Data Source'!AC36&gt;=3.5,"A-",IF('Data Source'!AC36&gt;=3,"B",IF('Data Source'!AC36&gt;=2,"C",IF('Data Source'!AC36&gt;=1,"D","F")))))),"")</f>
        <v/>
      </c>
      <c r="L36" s="3">
        <f>IF(AND('Data Source'!B36&lt;&gt;"",'Data Source'!S36="F"),IF('Data Source'!AD36&gt;=5,"A+",IF('Data Source'!AD36&gt;=4,"A",IF('Data Source'!AD36&gt;=3.5,"A-",IF('Data Source'!AD36&gt;=3,"B",IF('Data Source'!AD36&gt;=2,"C",IF('Data Source'!AD36&gt;=1,"D","F")))))),"")</f>
        <v/>
      </c>
      <c r="M36" s="3">
        <f>IF(AND('Data Source'!B36&lt;&gt;"",'Data Source'!S36="F"),IF('Data Source'!AE36&gt;=5,"A+",IF('Data Source'!AE36&gt;=4,"A",IF('Data Source'!AE36&gt;=3.5,"A-",IF('Data Source'!AE36&gt;=3,"B",IF('Data Source'!AE36&gt;=2,"C",IF('Data Source'!AE36&gt;=1,"D","F")))))),"")</f>
        <v/>
      </c>
      <c r="N36" s="3">
        <f>IF(AND('Data Source'!B36&lt;&gt;"",'Data Source'!S36="F"),IF('Data Source'!AF36&gt;=5,"A+",IF('Data Source'!AF36&gt;=4,"A",IF('Data Source'!AF36&gt;=3.5,"A-",IF('Data Source'!AF36&gt;=3,"B",IF('Data Source'!AF36&gt;=2,"C",IF('Data Source'!AF36&gt;=1,"D","F")))))),"")</f>
        <v/>
      </c>
      <c r="O36" s="3">
        <f>IF(AND('Data Source'!B36&lt;&gt;"",'Data Source'!S36="F"),IF('Data Source'!AG36&gt;=5,"A+",IF('Data Source'!AG36&gt;=4,"A",IF('Data Source'!AG36&gt;=3.5,"A-",IF('Data Source'!AG36&gt;=3,"B",IF('Data Source'!AG36&gt;=2,"C",IF('Data Source'!AG36&gt;=1,"D","F")))))),"")</f>
        <v/>
      </c>
      <c r="P36" s="5">
        <f>IF(AND('Data Source'!B36&lt;&gt;"",'Data Source'!S36="F"),'Data Source'!R36,"")</f>
        <v/>
      </c>
      <c r="Q36" s="3">
        <f>IF(AND('Data Source'!B36&lt;&gt;"",'Data Source'!S36="F"),'Data Source'!S36,"")</f>
        <v/>
      </c>
    </row>
    <row r="37">
      <c r="A37" s="3">
        <f>IF(AND('Data Source'!B37&lt;&gt;"",'Data Source'!S37="F"),COUNTIF('Data Source'!$S$3:S37,"F"),"")</f>
        <v/>
      </c>
      <c r="B37">
        <f>IF(AND('Data Source'!B37&lt;&gt;"",'Data Source'!S37="F"),'Data Source'!B37,"")</f>
        <v/>
      </c>
      <c r="C37" s="3">
        <f>IF(AND('Data Source'!B37&lt;&gt;"",'Data Source'!S37="F"),IF('Data Source'!U37&gt;=5,"A+",IF('Data Source'!U37&gt;=4,"A",IF('Data Source'!U37&gt;=3.5,"A-",IF('Data Source'!U37&gt;=3,"B",IF('Data Source'!U37&gt;=2,"C",IF('Data Source'!U37&gt;=1,"D","F")))))),"")</f>
        <v/>
      </c>
      <c r="D37" s="3">
        <f>IF(AND('Data Source'!B37&lt;&gt;"",'Data Source'!S37="F"),IF('Data Source'!V37&gt;=5,"A+",IF('Data Source'!V37&gt;=4,"A",IF('Data Source'!V37&gt;=3.5,"A-",IF('Data Source'!V37&gt;=3,"B",IF('Data Source'!V37&gt;=2,"C",IF('Data Source'!V37&gt;=1,"D","F")))))),"")</f>
        <v/>
      </c>
      <c r="E37" s="3">
        <f>IF(AND('Data Source'!B37&lt;&gt;"",'Data Source'!S37="F"),IF('Data Source'!W37&gt;=5,"A+",IF('Data Source'!W37&gt;=4,"A",IF('Data Source'!W37&gt;=3.5,"A-",IF('Data Source'!W37&gt;=3,"B",IF('Data Source'!W37&gt;=2,"C",IF('Data Source'!W37&gt;=1,"D","F")))))),"")</f>
        <v/>
      </c>
      <c r="F37" s="3">
        <f>IF(AND('Data Source'!B37&lt;&gt;"",'Data Source'!S37="F"),IF('Data Source'!X37&gt;=5,"A+",IF('Data Source'!X37&gt;=4,"A",IF('Data Source'!X37&gt;=3.5,"A-",IF('Data Source'!X37&gt;=3,"B",IF('Data Source'!X37&gt;=2,"C",IF('Data Source'!X37&gt;=1,"D","F")))))),"")</f>
        <v/>
      </c>
      <c r="G37" s="3">
        <f>IF(AND('Data Source'!B37&lt;&gt;"",'Data Source'!S37="F"),IF('Data Source'!Y37&gt;=5,"A+",IF('Data Source'!Y37&gt;=4,"A",IF('Data Source'!Y37&gt;=3.5,"A-",IF('Data Source'!Y37&gt;=3,"B",IF('Data Source'!Y37&gt;=2,"C",IF('Data Source'!Y37&gt;=1,"D","F")))))),"")</f>
        <v/>
      </c>
      <c r="H37" s="3">
        <f>IF(AND('Data Source'!B37&lt;&gt;"",'Data Source'!S37="F"),IF('Data Source'!Z37&gt;=5,"A+",IF('Data Source'!Z37&gt;=4,"A",IF('Data Source'!Z37&gt;=3.5,"A-",IF('Data Source'!Z37&gt;=3,"B",IF('Data Source'!Z37&gt;=2,"C",IF('Data Source'!Z37&gt;=1,"D","F")))))),"")</f>
        <v/>
      </c>
      <c r="I37" s="3">
        <f>IF(AND('Data Source'!B37&lt;&gt;"",'Data Source'!S37="F"),IF('Data Source'!AA37&gt;=5,"A+",IF('Data Source'!AA37&gt;=4,"A",IF('Data Source'!AA37&gt;=3.5,"A-",IF('Data Source'!AA37&gt;=3,"B",IF('Data Source'!AA37&gt;=2,"C",IF('Data Source'!AA37&gt;=1,"D","F")))))),"")</f>
        <v/>
      </c>
      <c r="J37" s="3">
        <f>IF(AND('Data Source'!B37&lt;&gt;"",'Data Source'!S37="F"),IF('Data Source'!AB37&gt;=5,"A+",IF('Data Source'!AB37&gt;=4,"A",IF('Data Source'!AB37&gt;=3.5,"A-",IF('Data Source'!AB37&gt;=3,"B",IF('Data Source'!AB37&gt;=2,"C",IF('Data Source'!AB37&gt;=1,"D","F")))))),"")</f>
        <v/>
      </c>
      <c r="K37" s="3">
        <f>IF(AND('Data Source'!B37&lt;&gt;"",'Data Source'!S37="F"),IF('Data Source'!AC37&gt;=5,"A+",IF('Data Source'!AC37&gt;=4,"A",IF('Data Source'!AC37&gt;=3.5,"A-",IF('Data Source'!AC37&gt;=3,"B",IF('Data Source'!AC37&gt;=2,"C",IF('Data Source'!AC37&gt;=1,"D","F")))))),"")</f>
        <v/>
      </c>
      <c r="L37" s="3">
        <f>IF(AND('Data Source'!B37&lt;&gt;"",'Data Source'!S37="F"),IF('Data Source'!AD37&gt;=5,"A+",IF('Data Source'!AD37&gt;=4,"A",IF('Data Source'!AD37&gt;=3.5,"A-",IF('Data Source'!AD37&gt;=3,"B",IF('Data Source'!AD37&gt;=2,"C",IF('Data Source'!AD37&gt;=1,"D","F")))))),"")</f>
        <v/>
      </c>
      <c r="M37" s="3">
        <f>IF(AND('Data Source'!B37&lt;&gt;"",'Data Source'!S37="F"),IF('Data Source'!AE37&gt;=5,"A+",IF('Data Source'!AE37&gt;=4,"A",IF('Data Source'!AE37&gt;=3.5,"A-",IF('Data Source'!AE37&gt;=3,"B",IF('Data Source'!AE37&gt;=2,"C",IF('Data Source'!AE37&gt;=1,"D","F")))))),"")</f>
        <v/>
      </c>
      <c r="N37" s="3">
        <f>IF(AND('Data Source'!B37&lt;&gt;"",'Data Source'!S37="F"),IF('Data Source'!AF37&gt;=5,"A+",IF('Data Source'!AF37&gt;=4,"A",IF('Data Source'!AF37&gt;=3.5,"A-",IF('Data Source'!AF37&gt;=3,"B",IF('Data Source'!AF37&gt;=2,"C",IF('Data Source'!AF37&gt;=1,"D","F")))))),"")</f>
        <v/>
      </c>
      <c r="O37" s="3">
        <f>IF(AND('Data Source'!B37&lt;&gt;"",'Data Source'!S37="F"),IF('Data Source'!AG37&gt;=5,"A+",IF('Data Source'!AG37&gt;=4,"A",IF('Data Source'!AG37&gt;=3.5,"A-",IF('Data Source'!AG37&gt;=3,"B",IF('Data Source'!AG37&gt;=2,"C",IF('Data Source'!AG37&gt;=1,"D","F")))))),"")</f>
        <v/>
      </c>
      <c r="P37" s="5">
        <f>IF(AND('Data Source'!B37&lt;&gt;"",'Data Source'!S37="F"),'Data Source'!R37,"")</f>
        <v/>
      </c>
      <c r="Q37" s="3">
        <f>IF(AND('Data Source'!B37&lt;&gt;"",'Data Source'!S37="F"),'Data Source'!S37,"")</f>
        <v/>
      </c>
    </row>
    <row r="38">
      <c r="A38" s="3">
        <f>IF(AND('Data Source'!B38&lt;&gt;"",'Data Source'!S38="F"),COUNTIF('Data Source'!$S$3:S38,"F"),"")</f>
        <v/>
      </c>
      <c r="B38">
        <f>IF(AND('Data Source'!B38&lt;&gt;"",'Data Source'!S38="F"),'Data Source'!B38,"")</f>
        <v/>
      </c>
      <c r="C38" s="3">
        <f>IF(AND('Data Source'!B38&lt;&gt;"",'Data Source'!S38="F"),IF('Data Source'!U38&gt;=5,"A+",IF('Data Source'!U38&gt;=4,"A",IF('Data Source'!U38&gt;=3.5,"A-",IF('Data Source'!U38&gt;=3,"B",IF('Data Source'!U38&gt;=2,"C",IF('Data Source'!U38&gt;=1,"D","F")))))),"")</f>
        <v/>
      </c>
      <c r="D38" s="3">
        <f>IF(AND('Data Source'!B38&lt;&gt;"",'Data Source'!S38="F"),IF('Data Source'!V38&gt;=5,"A+",IF('Data Source'!V38&gt;=4,"A",IF('Data Source'!V38&gt;=3.5,"A-",IF('Data Source'!V38&gt;=3,"B",IF('Data Source'!V38&gt;=2,"C",IF('Data Source'!V38&gt;=1,"D","F")))))),"")</f>
        <v/>
      </c>
      <c r="E38" s="3">
        <f>IF(AND('Data Source'!B38&lt;&gt;"",'Data Source'!S38="F"),IF('Data Source'!W38&gt;=5,"A+",IF('Data Source'!W38&gt;=4,"A",IF('Data Source'!W38&gt;=3.5,"A-",IF('Data Source'!W38&gt;=3,"B",IF('Data Source'!W38&gt;=2,"C",IF('Data Source'!W38&gt;=1,"D","F")))))),"")</f>
        <v/>
      </c>
      <c r="F38" s="3">
        <f>IF(AND('Data Source'!B38&lt;&gt;"",'Data Source'!S38="F"),IF('Data Source'!X38&gt;=5,"A+",IF('Data Source'!X38&gt;=4,"A",IF('Data Source'!X38&gt;=3.5,"A-",IF('Data Source'!X38&gt;=3,"B",IF('Data Source'!X38&gt;=2,"C",IF('Data Source'!X38&gt;=1,"D","F")))))),"")</f>
        <v/>
      </c>
      <c r="G38" s="3">
        <f>IF(AND('Data Source'!B38&lt;&gt;"",'Data Source'!S38="F"),IF('Data Source'!Y38&gt;=5,"A+",IF('Data Source'!Y38&gt;=4,"A",IF('Data Source'!Y38&gt;=3.5,"A-",IF('Data Source'!Y38&gt;=3,"B",IF('Data Source'!Y38&gt;=2,"C",IF('Data Source'!Y38&gt;=1,"D","F")))))),"")</f>
        <v/>
      </c>
      <c r="H38" s="3">
        <f>IF(AND('Data Source'!B38&lt;&gt;"",'Data Source'!S38="F"),IF('Data Source'!Z38&gt;=5,"A+",IF('Data Source'!Z38&gt;=4,"A",IF('Data Source'!Z38&gt;=3.5,"A-",IF('Data Source'!Z38&gt;=3,"B",IF('Data Source'!Z38&gt;=2,"C",IF('Data Source'!Z38&gt;=1,"D","F")))))),"")</f>
        <v/>
      </c>
      <c r="I38" s="3">
        <f>IF(AND('Data Source'!B38&lt;&gt;"",'Data Source'!S38="F"),IF('Data Source'!AA38&gt;=5,"A+",IF('Data Source'!AA38&gt;=4,"A",IF('Data Source'!AA38&gt;=3.5,"A-",IF('Data Source'!AA38&gt;=3,"B",IF('Data Source'!AA38&gt;=2,"C",IF('Data Source'!AA38&gt;=1,"D","F")))))),"")</f>
        <v/>
      </c>
      <c r="J38" s="3">
        <f>IF(AND('Data Source'!B38&lt;&gt;"",'Data Source'!S38="F"),IF('Data Source'!AB38&gt;=5,"A+",IF('Data Source'!AB38&gt;=4,"A",IF('Data Source'!AB38&gt;=3.5,"A-",IF('Data Source'!AB38&gt;=3,"B",IF('Data Source'!AB38&gt;=2,"C",IF('Data Source'!AB38&gt;=1,"D","F")))))),"")</f>
        <v/>
      </c>
      <c r="K38" s="3">
        <f>IF(AND('Data Source'!B38&lt;&gt;"",'Data Source'!S38="F"),IF('Data Source'!AC38&gt;=5,"A+",IF('Data Source'!AC38&gt;=4,"A",IF('Data Source'!AC38&gt;=3.5,"A-",IF('Data Source'!AC38&gt;=3,"B",IF('Data Source'!AC38&gt;=2,"C",IF('Data Source'!AC38&gt;=1,"D","F")))))),"")</f>
        <v/>
      </c>
      <c r="L38" s="3">
        <f>IF(AND('Data Source'!B38&lt;&gt;"",'Data Source'!S38="F"),IF('Data Source'!AD38&gt;=5,"A+",IF('Data Source'!AD38&gt;=4,"A",IF('Data Source'!AD38&gt;=3.5,"A-",IF('Data Source'!AD38&gt;=3,"B",IF('Data Source'!AD38&gt;=2,"C",IF('Data Source'!AD38&gt;=1,"D","F")))))),"")</f>
        <v/>
      </c>
      <c r="M38" s="3">
        <f>IF(AND('Data Source'!B38&lt;&gt;"",'Data Source'!S38="F"),IF('Data Source'!AE38&gt;=5,"A+",IF('Data Source'!AE38&gt;=4,"A",IF('Data Source'!AE38&gt;=3.5,"A-",IF('Data Source'!AE38&gt;=3,"B",IF('Data Source'!AE38&gt;=2,"C",IF('Data Source'!AE38&gt;=1,"D","F")))))),"")</f>
        <v/>
      </c>
      <c r="N38" s="3">
        <f>IF(AND('Data Source'!B38&lt;&gt;"",'Data Source'!S38="F"),IF('Data Source'!AF38&gt;=5,"A+",IF('Data Source'!AF38&gt;=4,"A",IF('Data Source'!AF38&gt;=3.5,"A-",IF('Data Source'!AF38&gt;=3,"B",IF('Data Source'!AF38&gt;=2,"C",IF('Data Source'!AF38&gt;=1,"D","F")))))),"")</f>
        <v/>
      </c>
      <c r="O38" s="3">
        <f>IF(AND('Data Source'!B38&lt;&gt;"",'Data Source'!S38="F"),IF('Data Source'!AG38&gt;=5,"A+",IF('Data Source'!AG38&gt;=4,"A",IF('Data Source'!AG38&gt;=3.5,"A-",IF('Data Source'!AG38&gt;=3,"B",IF('Data Source'!AG38&gt;=2,"C",IF('Data Source'!AG38&gt;=1,"D","F")))))),"")</f>
        <v/>
      </c>
      <c r="P38" s="5">
        <f>IF(AND('Data Source'!B38&lt;&gt;"",'Data Source'!S38="F"),'Data Source'!R38,"")</f>
        <v/>
      </c>
      <c r="Q38" s="3">
        <f>IF(AND('Data Source'!B38&lt;&gt;"",'Data Source'!S38="F"),'Data Source'!S38,"")</f>
        <v/>
      </c>
    </row>
    <row r="39">
      <c r="A39" s="3">
        <f>IF(AND('Data Source'!B39&lt;&gt;"",'Data Source'!S39="F"),COUNTIF('Data Source'!$S$3:S39,"F"),"")</f>
        <v/>
      </c>
      <c r="B39">
        <f>IF(AND('Data Source'!B39&lt;&gt;"",'Data Source'!S39="F"),'Data Source'!B39,"")</f>
        <v/>
      </c>
      <c r="C39" s="3">
        <f>IF(AND('Data Source'!B39&lt;&gt;"",'Data Source'!S39="F"),IF('Data Source'!U39&gt;=5,"A+",IF('Data Source'!U39&gt;=4,"A",IF('Data Source'!U39&gt;=3.5,"A-",IF('Data Source'!U39&gt;=3,"B",IF('Data Source'!U39&gt;=2,"C",IF('Data Source'!U39&gt;=1,"D","F")))))),"")</f>
        <v/>
      </c>
      <c r="D39" s="3">
        <f>IF(AND('Data Source'!B39&lt;&gt;"",'Data Source'!S39="F"),IF('Data Source'!V39&gt;=5,"A+",IF('Data Source'!V39&gt;=4,"A",IF('Data Source'!V39&gt;=3.5,"A-",IF('Data Source'!V39&gt;=3,"B",IF('Data Source'!V39&gt;=2,"C",IF('Data Source'!V39&gt;=1,"D","F")))))),"")</f>
        <v/>
      </c>
      <c r="E39" s="3">
        <f>IF(AND('Data Source'!B39&lt;&gt;"",'Data Source'!S39="F"),IF('Data Source'!W39&gt;=5,"A+",IF('Data Source'!W39&gt;=4,"A",IF('Data Source'!W39&gt;=3.5,"A-",IF('Data Source'!W39&gt;=3,"B",IF('Data Source'!W39&gt;=2,"C",IF('Data Source'!W39&gt;=1,"D","F")))))),"")</f>
        <v/>
      </c>
      <c r="F39" s="3">
        <f>IF(AND('Data Source'!B39&lt;&gt;"",'Data Source'!S39="F"),IF('Data Source'!X39&gt;=5,"A+",IF('Data Source'!X39&gt;=4,"A",IF('Data Source'!X39&gt;=3.5,"A-",IF('Data Source'!X39&gt;=3,"B",IF('Data Source'!X39&gt;=2,"C",IF('Data Source'!X39&gt;=1,"D","F")))))),"")</f>
        <v/>
      </c>
      <c r="G39" s="3">
        <f>IF(AND('Data Source'!B39&lt;&gt;"",'Data Source'!S39="F"),IF('Data Source'!Y39&gt;=5,"A+",IF('Data Source'!Y39&gt;=4,"A",IF('Data Source'!Y39&gt;=3.5,"A-",IF('Data Source'!Y39&gt;=3,"B",IF('Data Source'!Y39&gt;=2,"C",IF('Data Source'!Y39&gt;=1,"D","F")))))),"")</f>
        <v/>
      </c>
      <c r="H39" s="3">
        <f>IF(AND('Data Source'!B39&lt;&gt;"",'Data Source'!S39="F"),IF('Data Source'!Z39&gt;=5,"A+",IF('Data Source'!Z39&gt;=4,"A",IF('Data Source'!Z39&gt;=3.5,"A-",IF('Data Source'!Z39&gt;=3,"B",IF('Data Source'!Z39&gt;=2,"C",IF('Data Source'!Z39&gt;=1,"D","F")))))),"")</f>
        <v/>
      </c>
      <c r="I39" s="3">
        <f>IF(AND('Data Source'!B39&lt;&gt;"",'Data Source'!S39="F"),IF('Data Source'!AA39&gt;=5,"A+",IF('Data Source'!AA39&gt;=4,"A",IF('Data Source'!AA39&gt;=3.5,"A-",IF('Data Source'!AA39&gt;=3,"B",IF('Data Source'!AA39&gt;=2,"C",IF('Data Source'!AA39&gt;=1,"D","F")))))),"")</f>
        <v/>
      </c>
      <c r="J39" s="3">
        <f>IF(AND('Data Source'!B39&lt;&gt;"",'Data Source'!S39="F"),IF('Data Source'!AB39&gt;=5,"A+",IF('Data Source'!AB39&gt;=4,"A",IF('Data Source'!AB39&gt;=3.5,"A-",IF('Data Source'!AB39&gt;=3,"B",IF('Data Source'!AB39&gt;=2,"C",IF('Data Source'!AB39&gt;=1,"D","F")))))),"")</f>
        <v/>
      </c>
      <c r="K39" s="3">
        <f>IF(AND('Data Source'!B39&lt;&gt;"",'Data Source'!S39="F"),IF('Data Source'!AC39&gt;=5,"A+",IF('Data Source'!AC39&gt;=4,"A",IF('Data Source'!AC39&gt;=3.5,"A-",IF('Data Source'!AC39&gt;=3,"B",IF('Data Source'!AC39&gt;=2,"C",IF('Data Source'!AC39&gt;=1,"D","F")))))),"")</f>
        <v/>
      </c>
      <c r="L39" s="3">
        <f>IF(AND('Data Source'!B39&lt;&gt;"",'Data Source'!S39="F"),IF('Data Source'!AD39&gt;=5,"A+",IF('Data Source'!AD39&gt;=4,"A",IF('Data Source'!AD39&gt;=3.5,"A-",IF('Data Source'!AD39&gt;=3,"B",IF('Data Source'!AD39&gt;=2,"C",IF('Data Source'!AD39&gt;=1,"D","F")))))),"")</f>
        <v/>
      </c>
      <c r="M39" s="3">
        <f>IF(AND('Data Source'!B39&lt;&gt;"",'Data Source'!S39="F"),IF('Data Source'!AE39&gt;=5,"A+",IF('Data Source'!AE39&gt;=4,"A",IF('Data Source'!AE39&gt;=3.5,"A-",IF('Data Source'!AE39&gt;=3,"B",IF('Data Source'!AE39&gt;=2,"C",IF('Data Source'!AE39&gt;=1,"D","F")))))),"")</f>
        <v/>
      </c>
      <c r="N39" s="3">
        <f>IF(AND('Data Source'!B39&lt;&gt;"",'Data Source'!S39="F"),IF('Data Source'!AF39&gt;=5,"A+",IF('Data Source'!AF39&gt;=4,"A",IF('Data Source'!AF39&gt;=3.5,"A-",IF('Data Source'!AF39&gt;=3,"B",IF('Data Source'!AF39&gt;=2,"C",IF('Data Source'!AF39&gt;=1,"D","F")))))),"")</f>
        <v/>
      </c>
      <c r="O39" s="3">
        <f>IF(AND('Data Source'!B39&lt;&gt;"",'Data Source'!S39="F"),IF('Data Source'!AG39&gt;=5,"A+",IF('Data Source'!AG39&gt;=4,"A",IF('Data Source'!AG39&gt;=3.5,"A-",IF('Data Source'!AG39&gt;=3,"B",IF('Data Source'!AG39&gt;=2,"C",IF('Data Source'!AG39&gt;=1,"D","F")))))),"")</f>
        <v/>
      </c>
      <c r="P39" s="5">
        <f>IF(AND('Data Source'!B39&lt;&gt;"",'Data Source'!S39="F"),'Data Source'!R39,"")</f>
        <v/>
      </c>
      <c r="Q39" s="3">
        <f>IF(AND('Data Source'!B39&lt;&gt;"",'Data Source'!S39="F"),'Data Source'!S39,"")</f>
        <v/>
      </c>
    </row>
    <row r="40">
      <c r="A40" s="3">
        <f>IF(AND('Data Source'!B40&lt;&gt;"",'Data Source'!S40="F"),COUNTIF('Data Source'!$S$3:S40,"F"),"")</f>
        <v/>
      </c>
      <c r="B40">
        <f>IF(AND('Data Source'!B40&lt;&gt;"",'Data Source'!S40="F"),'Data Source'!B40,"")</f>
        <v/>
      </c>
      <c r="C40" s="3">
        <f>IF(AND('Data Source'!B40&lt;&gt;"",'Data Source'!S40="F"),IF('Data Source'!U40&gt;=5,"A+",IF('Data Source'!U40&gt;=4,"A",IF('Data Source'!U40&gt;=3.5,"A-",IF('Data Source'!U40&gt;=3,"B",IF('Data Source'!U40&gt;=2,"C",IF('Data Source'!U40&gt;=1,"D","F")))))),"")</f>
        <v/>
      </c>
      <c r="D40" s="3">
        <f>IF(AND('Data Source'!B40&lt;&gt;"",'Data Source'!S40="F"),IF('Data Source'!V40&gt;=5,"A+",IF('Data Source'!V40&gt;=4,"A",IF('Data Source'!V40&gt;=3.5,"A-",IF('Data Source'!V40&gt;=3,"B",IF('Data Source'!V40&gt;=2,"C",IF('Data Source'!V40&gt;=1,"D","F")))))),"")</f>
        <v/>
      </c>
      <c r="E40" s="3">
        <f>IF(AND('Data Source'!B40&lt;&gt;"",'Data Source'!S40="F"),IF('Data Source'!W40&gt;=5,"A+",IF('Data Source'!W40&gt;=4,"A",IF('Data Source'!W40&gt;=3.5,"A-",IF('Data Source'!W40&gt;=3,"B",IF('Data Source'!W40&gt;=2,"C",IF('Data Source'!W40&gt;=1,"D","F")))))),"")</f>
        <v/>
      </c>
      <c r="F40" s="3">
        <f>IF(AND('Data Source'!B40&lt;&gt;"",'Data Source'!S40="F"),IF('Data Source'!X40&gt;=5,"A+",IF('Data Source'!X40&gt;=4,"A",IF('Data Source'!X40&gt;=3.5,"A-",IF('Data Source'!X40&gt;=3,"B",IF('Data Source'!X40&gt;=2,"C",IF('Data Source'!X40&gt;=1,"D","F")))))),"")</f>
        <v/>
      </c>
      <c r="G40" s="3">
        <f>IF(AND('Data Source'!B40&lt;&gt;"",'Data Source'!S40="F"),IF('Data Source'!Y40&gt;=5,"A+",IF('Data Source'!Y40&gt;=4,"A",IF('Data Source'!Y40&gt;=3.5,"A-",IF('Data Source'!Y40&gt;=3,"B",IF('Data Source'!Y40&gt;=2,"C",IF('Data Source'!Y40&gt;=1,"D","F")))))),"")</f>
        <v/>
      </c>
      <c r="H40" s="3">
        <f>IF(AND('Data Source'!B40&lt;&gt;"",'Data Source'!S40="F"),IF('Data Source'!Z40&gt;=5,"A+",IF('Data Source'!Z40&gt;=4,"A",IF('Data Source'!Z40&gt;=3.5,"A-",IF('Data Source'!Z40&gt;=3,"B",IF('Data Source'!Z40&gt;=2,"C",IF('Data Source'!Z40&gt;=1,"D","F")))))),"")</f>
        <v/>
      </c>
      <c r="I40" s="3">
        <f>IF(AND('Data Source'!B40&lt;&gt;"",'Data Source'!S40="F"),IF('Data Source'!AA40&gt;=5,"A+",IF('Data Source'!AA40&gt;=4,"A",IF('Data Source'!AA40&gt;=3.5,"A-",IF('Data Source'!AA40&gt;=3,"B",IF('Data Source'!AA40&gt;=2,"C",IF('Data Source'!AA40&gt;=1,"D","F")))))),"")</f>
        <v/>
      </c>
      <c r="J40" s="3">
        <f>IF(AND('Data Source'!B40&lt;&gt;"",'Data Source'!S40="F"),IF('Data Source'!AB40&gt;=5,"A+",IF('Data Source'!AB40&gt;=4,"A",IF('Data Source'!AB40&gt;=3.5,"A-",IF('Data Source'!AB40&gt;=3,"B",IF('Data Source'!AB40&gt;=2,"C",IF('Data Source'!AB40&gt;=1,"D","F")))))),"")</f>
        <v/>
      </c>
      <c r="K40" s="3">
        <f>IF(AND('Data Source'!B40&lt;&gt;"",'Data Source'!S40="F"),IF('Data Source'!AC40&gt;=5,"A+",IF('Data Source'!AC40&gt;=4,"A",IF('Data Source'!AC40&gt;=3.5,"A-",IF('Data Source'!AC40&gt;=3,"B",IF('Data Source'!AC40&gt;=2,"C",IF('Data Source'!AC40&gt;=1,"D","F")))))),"")</f>
        <v/>
      </c>
      <c r="L40" s="3">
        <f>IF(AND('Data Source'!B40&lt;&gt;"",'Data Source'!S40="F"),IF('Data Source'!AD40&gt;=5,"A+",IF('Data Source'!AD40&gt;=4,"A",IF('Data Source'!AD40&gt;=3.5,"A-",IF('Data Source'!AD40&gt;=3,"B",IF('Data Source'!AD40&gt;=2,"C",IF('Data Source'!AD40&gt;=1,"D","F")))))),"")</f>
        <v/>
      </c>
      <c r="M40" s="3">
        <f>IF(AND('Data Source'!B40&lt;&gt;"",'Data Source'!S40="F"),IF('Data Source'!AE40&gt;=5,"A+",IF('Data Source'!AE40&gt;=4,"A",IF('Data Source'!AE40&gt;=3.5,"A-",IF('Data Source'!AE40&gt;=3,"B",IF('Data Source'!AE40&gt;=2,"C",IF('Data Source'!AE40&gt;=1,"D","F")))))),"")</f>
        <v/>
      </c>
      <c r="N40" s="3">
        <f>IF(AND('Data Source'!B40&lt;&gt;"",'Data Source'!S40="F"),IF('Data Source'!AF40&gt;=5,"A+",IF('Data Source'!AF40&gt;=4,"A",IF('Data Source'!AF40&gt;=3.5,"A-",IF('Data Source'!AF40&gt;=3,"B",IF('Data Source'!AF40&gt;=2,"C",IF('Data Source'!AF40&gt;=1,"D","F")))))),"")</f>
        <v/>
      </c>
      <c r="O40" s="3">
        <f>IF(AND('Data Source'!B40&lt;&gt;"",'Data Source'!S40="F"),IF('Data Source'!AG40&gt;=5,"A+",IF('Data Source'!AG40&gt;=4,"A",IF('Data Source'!AG40&gt;=3.5,"A-",IF('Data Source'!AG40&gt;=3,"B",IF('Data Source'!AG40&gt;=2,"C",IF('Data Source'!AG40&gt;=1,"D","F")))))),"")</f>
        <v/>
      </c>
      <c r="P40" s="5">
        <f>IF(AND('Data Source'!B40&lt;&gt;"",'Data Source'!S40="F"),'Data Source'!R40,"")</f>
        <v/>
      </c>
      <c r="Q40" s="3">
        <f>IF(AND('Data Source'!B40&lt;&gt;"",'Data Source'!S40="F"),'Data Source'!S40,"")</f>
        <v/>
      </c>
    </row>
    <row r="41">
      <c r="A41" s="3">
        <f>IF(AND('Data Source'!B41&lt;&gt;"",'Data Source'!S41="F"),COUNTIF('Data Source'!$S$3:S41,"F"),"")</f>
        <v/>
      </c>
      <c r="B41">
        <f>IF(AND('Data Source'!B41&lt;&gt;"",'Data Source'!S41="F"),'Data Source'!B41,"")</f>
        <v/>
      </c>
      <c r="C41" s="3">
        <f>IF(AND('Data Source'!B41&lt;&gt;"",'Data Source'!S41="F"),IF('Data Source'!U41&gt;=5,"A+",IF('Data Source'!U41&gt;=4,"A",IF('Data Source'!U41&gt;=3.5,"A-",IF('Data Source'!U41&gt;=3,"B",IF('Data Source'!U41&gt;=2,"C",IF('Data Source'!U41&gt;=1,"D","F")))))),"")</f>
        <v/>
      </c>
      <c r="D41" s="3">
        <f>IF(AND('Data Source'!B41&lt;&gt;"",'Data Source'!S41="F"),IF('Data Source'!V41&gt;=5,"A+",IF('Data Source'!V41&gt;=4,"A",IF('Data Source'!V41&gt;=3.5,"A-",IF('Data Source'!V41&gt;=3,"B",IF('Data Source'!V41&gt;=2,"C",IF('Data Source'!V41&gt;=1,"D","F")))))),"")</f>
        <v/>
      </c>
      <c r="E41" s="3">
        <f>IF(AND('Data Source'!B41&lt;&gt;"",'Data Source'!S41="F"),IF('Data Source'!W41&gt;=5,"A+",IF('Data Source'!W41&gt;=4,"A",IF('Data Source'!W41&gt;=3.5,"A-",IF('Data Source'!W41&gt;=3,"B",IF('Data Source'!W41&gt;=2,"C",IF('Data Source'!W41&gt;=1,"D","F")))))),"")</f>
        <v/>
      </c>
      <c r="F41" s="3">
        <f>IF(AND('Data Source'!B41&lt;&gt;"",'Data Source'!S41="F"),IF('Data Source'!X41&gt;=5,"A+",IF('Data Source'!X41&gt;=4,"A",IF('Data Source'!X41&gt;=3.5,"A-",IF('Data Source'!X41&gt;=3,"B",IF('Data Source'!X41&gt;=2,"C",IF('Data Source'!X41&gt;=1,"D","F")))))),"")</f>
        <v/>
      </c>
      <c r="G41" s="3">
        <f>IF(AND('Data Source'!B41&lt;&gt;"",'Data Source'!S41="F"),IF('Data Source'!Y41&gt;=5,"A+",IF('Data Source'!Y41&gt;=4,"A",IF('Data Source'!Y41&gt;=3.5,"A-",IF('Data Source'!Y41&gt;=3,"B",IF('Data Source'!Y41&gt;=2,"C",IF('Data Source'!Y41&gt;=1,"D","F")))))),"")</f>
        <v/>
      </c>
      <c r="H41" s="3">
        <f>IF(AND('Data Source'!B41&lt;&gt;"",'Data Source'!S41="F"),IF('Data Source'!Z41&gt;=5,"A+",IF('Data Source'!Z41&gt;=4,"A",IF('Data Source'!Z41&gt;=3.5,"A-",IF('Data Source'!Z41&gt;=3,"B",IF('Data Source'!Z41&gt;=2,"C",IF('Data Source'!Z41&gt;=1,"D","F")))))),"")</f>
        <v/>
      </c>
      <c r="I41" s="3">
        <f>IF(AND('Data Source'!B41&lt;&gt;"",'Data Source'!S41="F"),IF('Data Source'!AA41&gt;=5,"A+",IF('Data Source'!AA41&gt;=4,"A",IF('Data Source'!AA41&gt;=3.5,"A-",IF('Data Source'!AA41&gt;=3,"B",IF('Data Source'!AA41&gt;=2,"C",IF('Data Source'!AA41&gt;=1,"D","F")))))),"")</f>
        <v/>
      </c>
      <c r="J41" s="3">
        <f>IF(AND('Data Source'!B41&lt;&gt;"",'Data Source'!S41="F"),IF('Data Source'!AB41&gt;=5,"A+",IF('Data Source'!AB41&gt;=4,"A",IF('Data Source'!AB41&gt;=3.5,"A-",IF('Data Source'!AB41&gt;=3,"B",IF('Data Source'!AB41&gt;=2,"C",IF('Data Source'!AB41&gt;=1,"D","F")))))),"")</f>
        <v/>
      </c>
      <c r="K41" s="3">
        <f>IF(AND('Data Source'!B41&lt;&gt;"",'Data Source'!S41="F"),IF('Data Source'!AC41&gt;=5,"A+",IF('Data Source'!AC41&gt;=4,"A",IF('Data Source'!AC41&gt;=3.5,"A-",IF('Data Source'!AC41&gt;=3,"B",IF('Data Source'!AC41&gt;=2,"C",IF('Data Source'!AC41&gt;=1,"D","F")))))),"")</f>
        <v/>
      </c>
      <c r="L41" s="3">
        <f>IF(AND('Data Source'!B41&lt;&gt;"",'Data Source'!S41="F"),IF('Data Source'!AD41&gt;=5,"A+",IF('Data Source'!AD41&gt;=4,"A",IF('Data Source'!AD41&gt;=3.5,"A-",IF('Data Source'!AD41&gt;=3,"B",IF('Data Source'!AD41&gt;=2,"C",IF('Data Source'!AD41&gt;=1,"D","F")))))),"")</f>
        <v/>
      </c>
      <c r="M41" s="3">
        <f>IF(AND('Data Source'!B41&lt;&gt;"",'Data Source'!S41="F"),IF('Data Source'!AE41&gt;=5,"A+",IF('Data Source'!AE41&gt;=4,"A",IF('Data Source'!AE41&gt;=3.5,"A-",IF('Data Source'!AE41&gt;=3,"B",IF('Data Source'!AE41&gt;=2,"C",IF('Data Source'!AE41&gt;=1,"D","F")))))),"")</f>
        <v/>
      </c>
      <c r="N41" s="3">
        <f>IF(AND('Data Source'!B41&lt;&gt;"",'Data Source'!S41="F"),IF('Data Source'!AF41&gt;=5,"A+",IF('Data Source'!AF41&gt;=4,"A",IF('Data Source'!AF41&gt;=3.5,"A-",IF('Data Source'!AF41&gt;=3,"B",IF('Data Source'!AF41&gt;=2,"C",IF('Data Source'!AF41&gt;=1,"D","F")))))),"")</f>
        <v/>
      </c>
      <c r="O41" s="3">
        <f>IF(AND('Data Source'!B41&lt;&gt;"",'Data Source'!S41="F"),IF('Data Source'!AG41&gt;=5,"A+",IF('Data Source'!AG41&gt;=4,"A",IF('Data Source'!AG41&gt;=3.5,"A-",IF('Data Source'!AG41&gt;=3,"B",IF('Data Source'!AG41&gt;=2,"C",IF('Data Source'!AG41&gt;=1,"D","F")))))),"")</f>
        <v/>
      </c>
      <c r="P41" s="5">
        <f>IF(AND('Data Source'!B41&lt;&gt;"",'Data Source'!S41="F"),'Data Source'!R41,"")</f>
        <v/>
      </c>
      <c r="Q41" s="3">
        <f>IF(AND('Data Source'!B41&lt;&gt;"",'Data Source'!S41="F"),'Data Source'!S41,"")</f>
        <v/>
      </c>
    </row>
    <row r="42">
      <c r="A42" s="3">
        <f>IF(AND('Data Source'!B42&lt;&gt;"",'Data Source'!S42="F"),COUNTIF('Data Source'!$S$3:S42,"F"),"")</f>
        <v/>
      </c>
      <c r="B42">
        <f>IF(AND('Data Source'!B42&lt;&gt;"",'Data Source'!S42="F"),'Data Source'!B42,"")</f>
        <v/>
      </c>
      <c r="C42" s="3">
        <f>IF(AND('Data Source'!B42&lt;&gt;"",'Data Source'!S42="F"),IF('Data Source'!U42&gt;=5,"A+",IF('Data Source'!U42&gt;=4,"A",IF('Data Source'!U42&gt;=3.5,"A-",IF('Data Source'!U42&gt;=3,"B",IF('Data Source'!U42&gt;=2,"C",IF('Data Source'!U42&gt;=1,"D","F")))))),"")</f>
        <v/>
      </c>
      <c r="D42" s="3">
        <f>IF(AND('Data Source'!B42&lt;&gt;"",'Data Source'!S42="F"),IF('Data Source'!V42&gt;=5,"A+",IF('Data Source'!V42&gt;=4,"A",IF('Data Source'!V42&gt;=3.5,"A-",IF('Data Source'!V42&gt;=3,"B",IF('Data Source'!V42&gt;=2,"C",IF('Data Source'!V42&gt;=1,"D","F")))))),"")</f>
        <v/>
      </c>
      <c r="E42" s="3">
        <f>IF(AND('Data Source'!B42&lt;&gt;"",'Data Source'!S42="F"),IF('Data Source'!W42&gt;=5,"A+",IF('Data Source'!W42&gt;=4,"A",IF('Data Source'!W42&gt;=3.5,"A-",IF('Data Source'!W42&gt;=3,"B",IF('Data Source'!W42&gt;=2,"C",IF('Data Source'!W42&gt;=1,"D","F")))))),"")</f>
        <v/>
      </c>
      <c r="F42" s="3">
        <f>IF(AND('Data Source'!B42&lt;&gt;"",'Data Source'!S42="F"),IF('Data Source'!X42&gt;=5,"A+",IF('Data Source'!X42&gt;=4,"A",IF('Data Source'!X42&gt;=3.5,"A-",IF('Data Source'!X42&gt;=3,"B",IF('Data Source'!X42&gt;=2,"C",IF('Data Source'!X42&gt;=1,"D","F")))))),"")</f>
        <v/>
      </c>
      <c r="G42" s="3">
        <f>IF(AND('Data Source'!B42&lt;&gt;"",'Data Source'!S42="F"),IF('Data Source'!Y42&gt;=5,"A+",IF('Data Source'!Y42&gt;=4,"A",IF('Data Source'!Y42&gt;=3.5,"A-",IF('Data Source'!Y42&gt;=3,"B",IF('Data Source'!Y42&gt;=2,"C",IF('Data Source'!Y42&gt;=1,"D","F")))))),"")</f>
        <v/>
      </c>
      <c r="H42" s="3">
        <f>IF(AND('Data Source'!B42&lt;&gt;"",'Data Source'!S42="F"),IF('Data Source'!Z42&gt;=5,"A+",IF('Data Source'!Z42&gt;=4,"A",IF('Data Source'!Z42&gt;=3.5,"A-",IF('Data Source'!Z42&gt;=3,"B",IF('Data Source'!Z42&gt;=2,"C",IF('Data Source'!Z42&gt;=1,"D","F")))))),"")</f>
        <v/>
      </c>
      <c r="I42" s="3">
        <f>IF(AND('Data Source'!B42&lt;&gt;"",'Data Source'!S42="F"),IF('Data Source'!AA42&gt;=5,"A+",IF('Data Source'!AA42&gt;=4,"A",IF('Data Source'!AA42&gt;=3.5,"A-",IF('Data Source'!AA42&gt;=3,"B",IF('Data Source'!AA42&gt;=2,"C",IF('Data Source'!AA42&gt;=1,"D","F")))))),"")</f>
        <v/>
      </c>
      <c r="J42" s="3">
        <f>IF(AND('Data Source'!B42&lt;&gt;"",'Data Source'!S42="F"),IF('Data Source'!AB42&gt;=5,"A+",IF('Data Source'!AB42&gt;=4,"A",IF('Data Source'!AB42&gt;=3.5,"A-",IF('Data Source'!AB42&gt;=3,"B",IF('Data Source'!AB42&gt;=2,"C",IF('Data Source'!AB42&gt;=1,"D","F")))))),"")</f>
        <v/>
      </c>
      <c r="K42" s="3">
        <f>IF(AND('Data Source'!B42&lt;&gt;"",'Data Source'!S42="F"),IF('Data Source'!AC42&gt;=5,"A+",IF('Data Source'!AC42&gt;=4,"A",IF('Data Source'!AC42&gt;=3.5,"A-",IF('Data Source'!AC42&gt;=3,"B",IF('Data Source'!AC42&gt;=2,"C",IF('Data Source'!AC42&gt;=1,"D","F")))))),"")</f>
        <v/>
      </c>
      <c r="L42" s="3">
        <f>IF(AND('Data Source'!B42&lt;&gt;"",'Data Source'!S42="F"),IF('Data Source'!AD42&gt;=5,"A+",IF('Data Source'!AD42&gt;=4,"A",IF('Data Source'!AD42&gt;=3.5,"A-",IF('Data Source'!AD42&gt;=3,"B",IF('Data Source'!AD42&gt;=2,"C",IF('Data Source'!AD42&gt;=1,"D","F")))))),"")</f>
        <v/>
      </c>
      <c r="M42" s="3">
        <f>IF(AND('Data Source'!B42&lt;&gt;"",'Data Source'!S42="F"),IF('Data Source'!AE42&gt;=5,"A+",IF('Data Source'!AE42&gt;=4,"A",IF('Data Source'!AE42&gt;=3.5,"A-",IF('Data Source'!AE42&gt;=3,"B",IF('Data Source'!AE42&gt;=2,"C",IF('Data Source'!AE42&gt;=1,"D","F")))))),"")</f>
        <v/>
      </c>
      <c r="N42" s="3">
        <f>IF(AND('Data Source'!B42&lt;&gt;"",'Data Source'!S42="F"),IF('Data Source'!AF42&gt;=5,"A+",IF('Data Source'!AF42&gt;=4,"A",IF('Data Source'!AF42&gt;=3.5,"A-",IF('Data Source'!AF42&gt;=3,"B",IF('Data Source'!AF42&gt;=2,"C",IF('Data Source'!AF42&gt;=1,"D","F")))))),"")</f>
        <v/>
      </c>
      <c r="O42" s="3">
        <f>IF(AND('Data Source'!B42&lt;&gt;"",'Data Source'!S42="F"),IF('Data Source'!AG42&gt;=5,"A+",IF('Data Source'!AG42&gt;=4,"A",IF('Data Source'!AG42&gt;=3.5,"A-",IF('Data Source'!AG42&gt;=3,"B",IF('Data Source'!AG42&gt;=2,"C",IF('Data Source'!AG42&gt;=1,"D","F")))))),"")</f>
        <v/>
      </c>
      <c r="P42" s="5">
        <f>IF(AND('Data Source'!B42&lt;&gt;"",'Data Source'!S42="F"),'Data Source'!R42,"")</f>
        <v/>
      </c>
      <c r="Q42" s="3">
        <f>IF(AND('Data Source'!B42&lt;&gt;"",'Data Source'!S42="F"),'Data Source'!S42,"")</f>
        <v/>
      </c>
    </row>
    <row r="43">
      <c r="A43" s="3">
        <f>IF(AND('Data Source'!B43&lt;&gt;"",'Data Source'!S43="F"),COUNTIF('Data Source'!$S$3:S43,"F"),"")</f>
        <v/>
      </c>
      <c r="B43">
        <f>IF(AND('Data Source'!B43&lt;&gt;"",'Data Source'!S43="F"),'Data Source'!B43,"")</f>
        <v/>
      </c>
      <c r="C43" s="3">
        <f>IF(AND('Data Source'!B43&lt;&gt;"",'Data Source'!S43="F"),IF('Data Source'!U43&gt;=5,"A+",IF('Data Source'!U43&gt;=4,"A",IF('Data Source'!U43&gt;=3.5,"A-",IF('Data Source'!U43&gt;=3,"B",IF('Data Source'!U43&gt;=2,"C",IF('Data Source'!U43&gt;=1,"D","F")))))),"")</f>
        <v/>
      </c>
      <c r="D43" s="3">
        <f>IF(AND('Data Source'!B43&lt;&gt;"",'Data Source'!S43="F"),IF('Data Source'!V43&gt;=5,"A+",IF('Data Source'!V43&gt;=4,"A",IF('Data Source'!V43&gt;=3.5,"A-",IF('Data Source'!V43&gt;=3,"B",IF('Data Source'!V43&gt;=2,"C",IF('Data Source'!V43&gt;=1,"D","F")))))),"")</f>
        <v/>
      </c>
      <c r="E43" s="3">
        <f>IF(AND('Data Source'!B43&lt;&gt;"",'Data Source'!S43="F"),IF('Data Source'!W43&gt;=5,"A+",IF('Data Source'!W43&gt;=4,"A",IF('Data Source'!W43&gt;=3.5,"A-",IF('Data Source'!W43&gt;=3,"B",IF('Data Source'!W43&gt;=2,"C",IF('Data Source'!W43&gt;=1,"D","F")))))),"")</f>
        <v/>
      </c>
      <c r="F43" s="3">
        <f>IF(AND('Data Source'!B43&lt;&gt;"",'Data Source'!S43="F"),IF('Data Source'!X43&gt;=5,"A+",IF('Data Source'!X43&gt;=4,"A",IF('Data Source'!X43&gt;=3.5,"A-",IF('Data Source'!X43&gt;=3,"B",IF('Data Source'!X43&gt;=2,"C",IF('Data Source'!X43&gt;=1,"D","F")))))),"")</f>
        <v/>
      </c>
      <c r="G43" s="3">
        <f>IF(AND('Data Source'!B43&lt;&gt;"",'Data Source'!S43="F"),IF('Data Source'!Y43&gt;=5,"A+",IF('Data Source'!Y43&gt;=4,"A",IF('Data Source'!Y43&gt;=3.5,"A-",IF('Data Source'!Y43&gt;=3,"B",IF('Data Source'!Y43&gt;=2,"C",IF('Data Source'!Y43&gt;=1,"D","F")))))),"")</f>
        <v/>
      </c>
      <c r="H43" s="3">
        <f>IF(AND('Data Source'!B43&lt;&gt;"",'Data Source'!S43="F"),IF('Data Source'!Z43&gt;=5,"A+",IF('Data Source'!Z43&gt;=4,"A",IF('Data Source'!Z43&gt;=3.5,"A-",IF('Data Source'!Z43&gt;=3,"B",IF('Data Source'!Z43&gt;=2,"C",IF('Data Source'!Z43&gt;=1,"D","F")))))),"")</f>
        <v/>
      </c>
      <c r="I43" s="3">
        <f>IF(AND('Data Source'!B43&lt;&gt;"",'Data Source'!S43="F"),IF('Data Source'!AA43&gt;=5,"A+",IF('Data Source'!AA43&gt;=4,"A",IF('Data Source'!AA43&gt;=3.5,"A-",IF('Data Source'!AA43&gt;=3,"B",IF('Data Source'!AA43&gt;=2,"C",IF('Data Source'!AA43&gt;=1,"D","F")))))),"")</f>
        <v/>
      </c>
      <c r="J43" s="3">
        <f>IF(AND('Data Source'!B43&lt;&gt;"",'Data Source'!S43="F"),IF('Data Source'!AB43&gt;=5,"A+",IF('Data Source'!AB43&gt;=4,"A",IF('Data Source'!AB43&gt;=3.5,"A-",IF('Data Source'!AB43&gt;=3,"B",IF('Data Source'!AB43&gt;=2,"C",IF('Data Source'!AB43&gt;=1,"D","F")))))),"")</f>
        <v/>
      </c>
      <c r="K43" s="3">
        <f>IF(AND('Data Source'!B43&lt;&gt;"",'Data Source'!S43="F"),IF('Data Source'!AC43&gt;=5,"A+",IF('Data Source'!AC43&gt;=4,"A",IF('Data Source'!AC43&gt;=3.5,"A-",IF('Data Source'!AC43&gt;=3,"B",IF('Data Source'!AC43&gt;=2,"C",IF('Data Source'!AC43&gt;=1,"D","F")))))),"")</f>
        <v/>
      </c>
      <c r="L43" s="3">
        <f>IF(AND('Data Source'!B43&lt;&gt;"",'Data Source'!S43="F"),IF('Data Source'!AD43&gt;=5,"A+",IF('Data Source'!AD43&gt;=4,"A",IF('Data Source'!AD43&gt;=3.5,"A-",IF('Data Source'!AD43&gt;=3,"B",IF('Data Source'!AD43&gt;=2,"C",IF('Data Source'!AD43&gt;=1,"D","F")))))),"")</f>
        <v/>
      </c>
      <c r="M43" s="3">
        <f>IF(AND('Data Source'!B43&lt;&gt;"",'Data Source'!S43="F"),IF('Data Source'!AE43&gt;=5,"A+",IF('Data Source'!AE43&gt;=4,"A",IF('Data Source'!AE43&gt;=3.5,"A-",IF('Data Source'!AE43&gt;=3,"B",IF('Data Source'!AE43&gt;=2,"C",IF('Data Source'!AE43&gt;=1,"D","F")))))),"")</f>
        <v/>
      </c>
      <c r="N43" s="3">
        <f>IF(AND('Data Source'!B43&lt;&gt;"",'Data Source'!S43="F"),IF('Data Source'!AF43&gt;=5,"A+",IF('Data Source'!AF43&gt;=4,"A",IF('Data Source'!AF43&gt;=3.5,"A-",IF('Data Source'!AF43&gt;=3,"B",IF('Data Source'!AF43&gt;=2,"C",IF('Data Source'!AF43&gt;=1,"D","F")))))),"")</f>
        <v/>
      </c>
      <c r="O43" s="3">
        <f>IF(AND('Data Source'!B43&lt;&gt;"",'Data Source'!S43="F"),IF('Data Source'!AG43&gt;=5,"A+",IF('Data Source'!AG43&gt;=4,"A",IF('Data Source'!AG43&gt;=3.5,"A-",IF('Data Source'!AG43&gt;=3,"B",IF('Data Source'!AG43&gt;=2,"C",IF('Data Source'!AG43&gt;=1,"D","F")))))),"")</f>
        <v/>
      </c>
      <c r="P43" s="5">
        <f>IF(AND('Data Source'!B43&lt;&gt;"",'Data Source'!S43="F"),'Data Source'!R43,"")</f>
        <v/>
      </c>
      <c r="Q43" s="3">
        <f>IF(AND('Data Source'!B43&lt;&gt;"",'Data Source'!S43="F"),'Data Source'!S43,"")</f>
        <v/>
      </c>
    </row>
    <row r="44">
      <c r="A44" s="3">
        <f>IF(AND('Data Source'!B44&lt;&gt;"",'Data Source'!S44="F"),COUNTIF('Data Source'!$S$3:S44,"F"),"")</f>
        <v/>
      </c>
      <c r="B44">
        <f>IF(AND('Data Source'!B44&lt;&gt;"",'Data Source'!S44="F"),'Data Source'!B44,"")</f>
        <v/>
      </c>
      <c r="C44" s="3">
        <f>IF(AND('Data Source'!B44&lt;&gt;"",'Data Source'!S44="F"),IF('Data Source'!U44&gt;=5,"A+",IF('Data Source'!U44&gt;=4,"A",IF('Data Source'!U44&gt;=3.5,"A-",IF('Data Source'!U44&gt;=3,"B",IF('Data Source'!U44&gt;=2,"C",IF('Data Source'!U44&gt;=1,"D","F")))))),"")</f>
        <v/>
      </c>
      <c r="D44" s="3">
        <f>IF(AND('Data Source'!B44&lt;&gt;"",'Data Source'!S44="F"),IF('Data Source'!V44&gt;=5,"A+",IF('Data Source'!V44&gt;=4,"A",IF('Data Source'!V44&gt;=3.5,"A-",IF('Data Source'!V44&gt;=3,"B",IF('Data Source'!V44&gt;=2,"C",IF('Data Source'!V44&gt;=1,"D","F")))))),"")</f>
        <v/>
      </c>
      <c r="E44" s="3">
        <f>IF(AND('Data Source'!B44&lt;&gt;"",'Data Source'!S44="F"),IF('Data Source'!W44&gt;=5,"A+",IF('Data Source'!W44&gt;=4,"A",IF('Data Source'!W44&gt;=3.5,"A-",IF('Data Source'!W44&gt;=3,"B",IF('Data Source'!W44&gt;=2,"C",IF('Data Source'!W44&gt;=1,"D","F")))))),"")</f>
        <v/>
      </c>
      <c r="F44" s="3">
        <f>IF(AND('Data Source'!B44&lt;&gt;"",'Data Source'!S44="F"),IF('Data Source'!X44&gt;=5,"A+",IF('Data Source'!X44&gt;=4,"A",IF('Data Source'!X44&gt;=3.5,"A-",IF('Data Source'!X44&gt;=3,"B",IF('Data Source'!X44&gt;=2,"C",IF('Data Source'!X44&gt;=1,"D","F")))))),"")</f>
        <v/>
      </c>
      <c r="G44" s="3">
        <f>IF(AND('Data Source'!B44&lt;&gt;"",'Data Source'!S44="F"),IF('Data Source'!Y44&gt;=5,"A+",IF('Data Source'!Y44&gt;=4,"A",IF('Data Source'!Y44&gt;=3.5,"A-",IF('Data Source'!Y44&gt;=3,"B",IF('Data Source'!Y44&gt;=2,"C",IF('Data Source'!Y44&gt;=1,"D","F")))))),"")</f>
        <v/>
      </c>
      <c r="H44" s="3">
        <f>IF(AND('Data Source'!B44&lt;&gt;"",'Data Source'!S44="F"),IF('Data Source'!Z44&gt;=5,"A+",IF('Data Source'!Z44&gt;=4,"A",IF('Data Source'!Z44&gt;=3.5,"A-",IF('Data Source'!Z44&gt;=3,"B",IF('Data Source'!Z44&gt;=2,"C",IF('Data Source'!Z44&gt;=1,"D","F")))))),"")</f>
        <v/>
      </c>
      <c r="I44" s="3">
        <f>IF(AND('Data Source'!B44&lt;&gt;"",'Data Source'!S44="F"),IF('Data Source'!AA44&gt;=5,"A+",IF('Data Source'!AA44&gt;=4,"A",IF('Data Source'!AA44&gt;=3.5,"A-",IF('Data Source'!AA44&gt;=3,"B",IF('Data Source'!AA44&gt;=2,"C",IF('Data Source'!AA44&gt;=1,"D","F")))))),"")</f>
        <v/>
      </c>
      <c r="J44" s="3">
        <f>IF(AND('Data Source'!B44&lt;&gt;"",'Data Source'!S44="F"),IF('Data Source'!AB44&gt;=5,"A+",IF('Data Source'!AB44&gt;=4,"A",IF('Data Source'!AB44&gt;=3.5,"A-",IF('Data Source'!AB44&gt;=3,"B",IF('Data Source'!AB44&gt;=2,"C",IF('Data Source'!AB44&gt;=1,"D","F")))))),"")</f>
        <v/>
      </c>
      <c r="K44" s="3">
        <f>IF(AND('Data Source'!B44&lt;&gt;"",'Data Source'!S44="F"),IF('Data Source'!AC44&gt;=5,"A+",IF('Data Source'!AC44&gt;=4,"A",IF('Data Source'!AC44&gt;=3.5,"A-",IF('Data Source'!AC44&gt;=3,"B",IF('Data Source'!AC44&gt;=2,"C",IF('Data Source'!AC44&gt;=1,"D","F")))))),"")</f>
        <v/>
      </c>
      <c r="L44" s="3">
        <f>IF(AND('Data Source'!B44&lt;&gt;"",'Data Source'!S44="F"),IF('Data Source'!AD44&gt;=5,"A+",IF('Data Source'!AD44&gt;=4,"A",IF('Data Source'!AD44&gt;=3.5,"A-",IF('Data Source'!AD44&gt;=3,"B",IF('Data Source'!AD44&gt;=2,"C",IF('Data Source'!AD44&gt;=1,"D","F")))))),"")</f>
        <v/>
      </c>
      <c r="M44" s="3">
        <f>IF(AND('Data Source'!B44&lt;&gt;"",'Data Source'!S44="F"),IF('Data Source'!AE44&gt;=5,"A+",IF('Data Source'!AE44&gt;=4,"A",IF('Data Source'!AE44&gt;=3.5,"A-",IF('Data Source'!AE44&gt;=3,"B",IF('Data Source'!AE44&gt;=2,"C",IF('Data Source'!AE44&gt;=1,"D","F")))))),"")</f>
        <v/>
      </c>
      <c r="N44" s="3">
        <f>IF(AND('Data Source'!B44&lt;&gt;"",'Data Source'!S44="F"),IF('Data Source'!AF44&gt;=5,"A+",IF('Data Source'!AF44&gt;=4,"A",IF('Data Source'!AF44&gt;=3.5,"A-",IF('Data Source'!AF44&gt;=3,"B",IF('Data Source'!AF44&gt;=2,"C",IF('Data Source'!AF44&gt;=1,"D","F")))))),"")</f>
        <v/>
      </c>
      <c r="O44" s="3">
        <f>IF(AND('Data Source'!B44&lt;&gt;"",'Data Source'!S44="F"),IF('Data Source'!AG44&gt;=5,"A+",IF('Data Source'!AG44&gt;=4,"A",IF('Data Source'!AG44&gt;=3.5,"A-",IF('Data Source'!AG44&gt;=3,"B",IF('Data Source'!AG44&gt;=2,"C",IF('Data Source'!AG44&gt;=1,"D","F")))))),"")</f>
        <v/>
      </c>
      <c r="P44" s="5">
        <f>IF(AND('Data Source'!B44&lt;&gt;"",'Data Source'!S44="F"),'Data Source'!R44,"")</f>
        <v/>
      </c>
      <c r="Q44" s="3">
        <f>IF(AND('Data Source'!B44&lt;&gt;"",'Data Source'!S44="F"),'Data Source'!S44,"")</f>
        <v/>
      </c>
    </row>
    <row r="45">
      <c r="A45" s="3">
        <f>IF(AND('Data Source'!B45&lt;&gt;"",'Data Source'!S45="F"),COUNTIF('Data Source'!$S$3:S45,"F"),"")</f>
        <v/>
      </c>
      <c r="B45">
        <f>IF(AND('Data Source'!B45&lt;&gt;"",'Data Source'!S45="F"),'Data Source'!B45,"")</f>
        <v/>
      </c>
      <c r="C45" s="3">
        <f>IF(AND('Data Source'!B45&lt;&gt;"",'Data Source'!S45="F"),IF('Data Source'!U45&gt;=5,"A+",IF('Data Source'!U45&gt;=4,"A",IF('Data Source'!U45&gt;=3.5,"A-",IF('Data Source'!U45&gt;=3,"B",IF('Data Source'!U45&gt;=2,"C",IF('Data Source'!U45&gt;=1,"D","F")))))),"")</f>
        <v/>
      </c>
      <c r="D45" s="3">
        <f>IF(AND('Data Source'!B45&lt;&gt;"",'Data Source'!S45="F"),IF('Data Source'!V45&gt;=5,"A+",IF('Data Source'!V45&gt;=4,"A",IF('Data Source'!V45&gt;=3.5,"A-",IF('Data Source'!V45&gt;=3,"B",IF('Data Source'!V45&gt;=2,"C",IF('Data Source'!V45&gt;=1,"D","F")))))),"")</f>
        <v/>
      </c>
      <c r="E45" s="3">
        <f>IF(AND('Data Source'!B45&lt;&gt;"",'Data Source'!S45="F"),IF('Data Source'!W45&gt;=5,"A+",IF('Data Source'!W45&gt;=4,"A",IF('Data Source'!W45&gt;=3.5,"A-",IF('Data Source'!W45&gt;=3,"B",IF('Data Source'!W45&gt;=2,"C",IF('Data Source'!W45&gt;=1,"D","F")))))),"")</f>
        <v/>
      </c>
      <c r="F45" s="3">
        <f>IF(AND('Data Source'!B45&lt;&gt;"",'Data Source'!S45="F"),IF('Data Source'!X45&gt;=5,"A+",IF('Data Source'!X45&gt;=4,"A",IF('Data Source'!X45&gt;=3.5,"A-",IF('Data Source'!X45&gt;=3,"B",IF('Data Source'!X45&gt;=2,"C",IF('Data Source'!X45&gt;=1,"D","F")))))),"")</f>
        <v/>
      </c>
      <c r="G45" s="3">
        <f>IF(AND('Data Source'!B45&lt;&gt;"",'Data Source'!S45="F"),IF('Data Source'!Y45&gt;=5,"A+",IF('Data Source'!Y45&gt;=4,"A",IF('Data Source'!Y45&gt;=3.5,"A-",IF('Data Source'!Y45&gt;=3,"B",IF('Data Source'!Y45&gt;=2,"C",IF('Data Source'!Y45&gt;=1,"D","F")))))),"")</f>
        <v/>
      </c>
      <c r="H45" s="3">
        <f>IF(AND('Data Source'!B45&lt;&gt;"",'Data Source'!S45="F"),IF('Data Source'!Z45&gt;=5,"A+",IF('Data Source'!Z45&gt;=4,"A",IF('Data Source'!Z45&gt;=3.5,"A-",IF('Data Source'!Z45&gt;=3,"B",IF('Data Source'!Z45&gt;=2,"C",IF('Data Source'!Z45&gt;=1,"D","F")))))),"")</f>
        <v/>
      </c>
      <c r="I45" s="3">
        <f>IF(AND('Data Source'!B45&lt;&gt;"",'Data Source'!S45="F"),IF('Data Source'!AA45&gt;=5,"A+",IF('Data Source'!AA45&gt;=4,"A",IF('Data Source'!AA45&gt;=3.5,"A-",IF('Data Source'!AA45&gt;=3,"B",IF('Data Source'!AA45&gt;=2,"C",IF('Data Source'!AA45&gt;=1,"D","F")))))),"")</f>
        <v/>
      </c>
      <c r="J45" s="3">
        <f>IF(AND('Data Source'!B45&lt;&gt;"",'Data Source'!S45="F"),IF('Data Source'!AB45&gt;=5,"A+",IF('Data Source'!AB45&gt;=4,"A",IF('Data Source'!AB45&gt;=3.5,"A-",IF('Data Source'!AB45&gt;=3,"B",IF('Data Source'!AB45&gt;=2,"C",IF('Data Source'!AB45&gt;=1,"D","F")))))),"")</f>
        <v/>
      </c>
      <c r="K45" s="3">
        <f>IF(AND('Data Source'!B45&lt;&gt;"",'Data Source'!S45="F"),IF('Data Source'!AC45&gt;=5,"A+",IF('Data Source'!AC45&gt;=4,"A",IF('Data Source'!AC45&gt;=3.5,"A-",IF('Data Source'!AC45&gt;=3,"B",IF('Data Source'!AC45&gt;=2,"C",IF('Data Source'!AC45&gt;=1,"D","F")))))),"")</f>
        <v/>
      </c>
      <c r="L45" s="3">
        <f>IF(AND('Data Source'!B45&lt;&gt;"",'Data Source'!S45="F"),IF('Data Source'!AD45&gt;=5,"A+",IF('Data Source'!AD45&gt;=4,"A",IF('Data Source'!AD45&gt;=3.5,"A-",IF('Data Source'!AD45&gt;=3,"B",IF('Data Source'!AD45&gt;=2,"C",IF('Data Source'!AD45&gt;=1,"D","F")))))),"")</f>
        <v/>
      </c>
      <c r="M45" s="3">
        <f>IF(AND('Data Source'!B45&lt;&gt;"",'Data Source'!S45="F"),IF('Data Source'!AE45&gt;=5,"A+",IF('Data Source'!AE45&gt;=4,"A",IF('Data Source'!AE45&gt;=3.5,"A-",IF('Data Source'!AE45&gt;=3,"B",IF('Data Source'!AE45&gt;=2,"C",IF('Data Source'!AE45&gt;=1,"D","F")))))),"")</f>
        <v/>
      </c>
      <c r="N45" s="3">
        <f>IF(AND('Data Source'!B45&lt;&gt;"",'Data Source'!S45="F"),IF('Data Source'!AF45&gt;=5,"A+",IF('Data Source'!AF45&gt;=4,"A",IF('Data Source'!AF45&gt;=3.5,"A-",IF('Data Source'!AF45&gt;=3,"B",IF('Data Source'!AF45&gt;=2,"C",IF('Data Source'!AF45&gt;=1,"D","F")))))),"")</f>
        <v/>
      </c>
      <c r="O45" s="3">
        <f>IF(AND('Data Source'!B45&lt;&gt;"",'Data Source'!S45="F"),IF('Data Source'!AG45&gt;=5,"A+",IF('Data Source'!AG45&gt;=4,"A",IF('Data Source'!AG45&gt;=3.5,"A-",IF('Data Source'!AG45&gt;=3,"B",IF('Data Source'!AG45&gt;=2,"C",IF('Data Source'!AG45&gt;=1,"D","F")))))),"")</f>
        <v/>
      </c>
      <c r="P45" s="5">
        <f>IF(AND('Data Source'!B45&lt;&gt;"",'Data Source'!S45="F"),'Data Source'!R45,"")</f>
        <v/>
      </c>
      <c r="Q45" s="3">
        <f>IF(AND('Data Source'!B45&lt;&gt;"",'Data Source'!S45="F"),'Data Source'!S45,"")</f>
        <v/>
      </c>
    </row>
    <row r="46">
      <c r="A46" s="3">
        <f>IF(AND('Data Source'!B46&lt;&gt;"",'Data Source'!S46="F"),COUNTIF('Data Source'!$S$3:S46,"F"),"")</f>
        <v/>
      </c>
      <c r="B46">
        <f>IF(AND('Data Source'!B46&lt;&gt;"",'Data Source'!S46="F"),'Data Source'!B46,"")</f>
        <v/>
      </c>
      <c r="C46" s="3">
        <f>IF(AND('Data Source'!B46&lt;&gt;"",'Data Source'!S46="F"),IF('Data Source'!U46&gt;=5,"A+",IF('Data Source'!U46&gt;=4,"A",IF('Data Source'!U46&gt;=3.5,"A-",IF('Data Source'!U46&gt;=3,"B",IF('Data Source'!U46&gt;=2,"C",IF('Data Source'!U46&gt;=1,"D","F")))))),"")</f>
        <v/>
      </c>
      <c r="D46" s="3">
        <f>IF(AND('Data Source'!B46&lt;&gt;"",'Data Source'!S46="F"),IF('Data Source'!V46&gt;=5,"A+",IF('Data Source'!V46&gt;=4,"A",IF('Data Source'!V46&gt;=3.5,"A-",IF('Data Source'!V46&gt;=3,"B",IF('Data Source'!V46&gt;=2,"C",IF('Data Source'!V46&gt;=1,"D","F")))))),"")</f>
        <v/>
      </c>
      <c r="E46" s="3">
        <f>IF(AND('Data Source'!B46&lt;&gt;"",'Data Source'!S46="F"),IF('Data Source'!W46&gt;=5,"A+",IF('Data Source'!W46&gt;=4,"A",IF('Data Source'!W46&gt;=3.5,"A-",IF('Data Source'!W46&gt;=3,"B",IF('Data Source'!W46&gt;=2,"C",IF('Data Source'!W46&gt;=1,"D","F")))))),"")</f>
        <v/>
      </c>
      <c r="F46" s="3">
        <f>IF(AND('Data Source'!B46&lt;&gt;"",'Data Source'!S46="F"),IF('Data Source'!X46&gt;=5,"A+",IF('Data Source'!X46&gt;=4,"A",IF('Data Source'!X46&gt;=3.5,"A-",IF('Data Source'!X46&gt;=3,"B",IF('Data Source'!X46&gt;=2,"C",IF('Data Source'!X46&gt;=1,"D","F")))))),"")</f>
        <v/>
      </c>
      <c r="G46" s="3">
        <f>IF(AND('Data Source'!B46&lt;&gt;"",'Data Source'!S46="F"),IF('Data Source'!Y46&gt;=5,"A+",IF('Data Source'!Y46&gt;=4,"A",IF('Data Source'!Y46&gt;=3.5,"A-",IF('Data Source'!Y46&gt;=3,"B",IF('Data Source'!Y46&gt;=2,"C",IF('Data Source'!Y46&gt;=1,"D","F")))))),"")</f>
        <v/>
      </c>
      <c r="H46" s="3">
        <f>IF(AND('Data Source'!B46&lt;&gt;"",'Data Source'!S46="F"),IF('Data Source'!Z46&gt;=5,"A+",IF('Data Source'!Z46&gt;=4,"A",IF('Data Source'!Z46&gt;=3.5,"A-",IF('Data Source'!Z46&gt;=3,"B",IF('Data Source'!Z46&gt;=2,"C",IF('Data Source'!Z46&gt;=1,"D","F")))))),"")</f>
        <v/>
      </c>
      <c r="I46" s="3">
        <f>IF(AND('Data Source'!B46&lt;&gt;"",'Data Source'!S46="F"),IF('Data Source'!AA46&gt;=5,"A+",IF('Data Source'!AA46&gt;=4,"A",IF('Data Source'!AA46&gt;=3.5,"A-",IF('Data Source'!AA46&gt;=3,"B",IF('Data Source'!AA46&gt;=2,"C",IF('Data Source'!AA46&gt;=1,"D","F")))))),"")</f>
        <v/>
      </c>
      <c r="J46" s="3">
        <f>IF(AND('Data Source'!B46&lt;&gt;"",'Data Source'!S46="F"),IF('Data Source'!AB46&gt;=5,"A+",IF('Data Source'!AB46&gt;=4,"A",IF('Data Source'!AB46&gt;=3.5,"A-",IF('Data Source'!AB46&gt;=3,"B",IF('Data Source'!AB46&gt;=2,"C",IF('Data Source'!AB46&gt;=1,"D","F")))))),"")</f>
        <v/>
      </c>
      <c r="K46" s="3">
        <f>IF(AND('Data Source'!B46&lt;&gt;"",'Data Source'!S46="F"),IF('Data Source'!AC46&gt;=5,"A+",IF('Data Source'!AC46&gt;=4,"A",IF('Data Source'!AC46&gt;=3.5,"A-",IF('Data Source'!AC46&gt;=3,"B",IF('Data Source'!AC46&gt;=2,"C",IF('Data Source'!AC46&gt;=1,"D","F")))))),"")</f>
        <v/>
      </c>
      <c r="L46" s="3">
        <f>IF(AND('Data Source'!B46&lt;&gt;"",'Data Source'!S46="F"),IF('Data Source'!AD46&gt;=5,"A+",IF('Data Source'!AD46&gt;=4,"A",IF('Data Source'!AD46&gt;=3.5,"A-",IF('Data Source'!AD46&gt;=3,"B",IF('Data Source'!AD46&gt;=2,"C",IF('Data Source'!AD46&gt;=1,"D","F")))))),"")</f>
        <v/>
      </c>
      <c r="M46" s="3">
        <f>IF(AND('Data Source'!B46&lt;&gt;"",'Data Source'!S46="F"),IF('Data Source'!AE46&gt;=5,"A+",IF('Data Source'!AE46&gt;=4,"A",IF('Data Source'!AE46&gt;=3.5,"A-",IF('Data Source'!AE46&gt;=3,"B",IF('Data Source'!AE46&gt;=2,"C",IF('Data Source'!AE46&gt;=1,"D","F")))))),"")</f>
        <v/>
      </c>
      <c r="N46" s="3">
        <f>IF(AND('Data Source'!B46&lt;&gt;"",'Data Source'!S46="F"),IF('Data Source'!AF46&gt;=5,"A+",IF('Data Source'!AF46&gt;=4,"A",IF('Data Source'!AF46&gt;=3.5,"A-",IF('Data Source'!AF46&gt;=3,"B",IF('Data Source'!AF46&gt;=2,"C",IF('Data Source'!AF46&gt;=1,"D","F")))))),"")</f>
        <v/>
      </c>
      <c r="O46" s="3">
        <f>IF(AND('Data Source'!B46&lt;&gt;"",'Data Source'!S46="F"),IF('Data Source'!AG46&gt;=5,"A+",IF('Data Source'!AG46&gt;=4,"A",IF('Data Source'!AG46&gt;=3.5,"A-",IF('Data Source'!AG46&gt;=3,"B",IF('Data Source'!AG46&gt;=2,"C",IF('Data Source'!AG46&gt;=1,"D","F")))))),"")</f>
        <v/>
      </c>
      <c r="P46" s="5">
        <f>IF(AND('Data Source'!B46&lt;&gt;"",'Data Source'!S46="F"),'Data Source'!R46,"")</f>
        <v/>
      </c>
      <c r="Q46" s="3">
        <f>IF(AND('Data Source'!B46&lt;&gt;"",'Data Source'!S46="F"),'Data Source'!S46,"")</f>
        <v/>
      </c>
    </row>
    <row r="47">
      <c r="A47" s="3">
        <f>IF(AND('Data Source'!B47&lt;&gt;"",'Data Source'!S47="F"),COUNTIF('Data Source'!$S$3:S47,"F"),"")</f>
        <v/>
      </c>
      <c r="B47">
        <f>IF(AND('Data Source'!B47&lt;&gt;"",'Data Source'!S47="F"),'Data Source'!B47,"")</f>
        <v/>
      </c>
      <c r="C47" s="3">
        <f>IF(AND('Data Source'!B47&lt;&gt;"",'Data Source'!S47="F"),IF('Data Source'!U47&gt;=5,"A+",IF('Data Source'!U47&gt;=4,"A",IF('Data Source'!U47&gt;=3.5,"A-",IF('Data Source'!U47&gt;=3,"B",IF('Data Source'!U47&gt;=2,"C",IF('Data Source'!U47&gt;=1,"D","F")))))),"")</f>
        <v/>
      </c>
      <c r="D47" s="3">
        <f>IF(AND('Data Source'!B47&lt;&gt;"",'Data Source'!S47="F"),IF('Data Source'!V47&gt;=5,"A+",IF('Data Source'!V47&gt;=4,"A",IF('Data Source'!V47&gt;=3.5,"A-",IF('Data Source'!V47&gt;=3,"B",IF('Data Source'!V47&gt;=2,"C",IF('Data Source'!V47&gt;=1,"D","F")))))),"")</f>
        <v/>
      </c>
      <c r="E47" s="3">
        <f>IF(AND('Data Source'!B47&lt;&gt;"",'Data Source'!S47="F"),IF('Data Source'!W47&gt;=5,"A+",IF('Data Source'!W47&gt;=4,"A",IF('Data Source'!W47&gt;=3.5,"A-",IF('Data Source'!W47&gt;=3,"B",IF('Data Source'!W47&gt;=2,"C",IF('Data Source'!W47&gt;=1,"D","F")))))),"")</f>
        <v/>
      </c>
      <c r="F47" s="3">
        <f>IF(AND('Data Source'!B47&lt;&gt;"",'Data Source'!S47="F"),IF('Data Source'!X47&gt;=5,"A+",IF('Data Source'!X47&gt;=4,"A",IF('Data Source'!X47&gt;=3.5,"A-",IF('Data Source'!X47&gt;=3,"B",IF('Data Source'!X47&gt;=2,"C",IF('Data Source'!X47&gt;=1,"D","F")))))),"")</f>
        <v/>
      </c>
      <c r="G47" s="3">
        <f>IF(AND('Data Source'!B47&lt;&gt;"",'Data Source'!S47="F"),IF('Data Source'!Y47&gt;=5,"A+",IF('Data Source'!Y47&gt;=4,"A",IF('Data Source'!Y47&gt;=3.5,"A-",IF('Data Source'!Y47&gt;=3,"B",IF('Data Source'!Y47&gt;=2,"C",IF('Data Source'!Y47&gt;=1,"D","F")))))),"")</f>
        <v/>
      </c>
      <c r="H47" s="3">
        <f>IF(AND('Data Source'!B47&lt;&gt;"",'Data Source'!S47="F"),IF('Data Source'!Z47&gt;=5,"A+",IF('Data Source'!Z47&gt;=4,"A",IF('Data Source'!Z47&gt;=3.5,"A-",IF('Data Source'!Z47&gt;=3,"B",IF('Data Source'!Z47&gt;=2,"C",IF('Data Source'!Z47&gt;=1,"D","F")))))),"")</f>
        <v/>
      </c>
      <c r="I47" s="3">
        <f>IF(AND('Data Source'!B47&lt;&gt;"",'Data Source'!S47="F"),IF('Data Source'!AA47&gt;=5,"A+",IF('Data Source'!AA47&gt;=4,"A",IF('Data Source'!AA47&gt;=3.5,"A-",IF('Data Source'!AA47&gt;=3,"B",IF('Data Source'!AA47&gt;=2,"C",IF('Data Source'!AA47&gt;=1,"D","F")))))),"")</f>
        <v/>
      </c>
      <c r="J47" s="3">
        <f>IF(AND('Data Source'!B47&lt;&gt;"",'Data Source'!S47="F"),IF('Data Source'!AB47&gt;=5,"A+",IF('Data Source'!AB47&gt;=4,"A",IF('Data Source'!AB47&gt;=3.5,"A-",IF('Data Source'!AB47&gt;=3,"B",IF('Data Source'!AB47&gt;=2,"C",IF('Data Source'!AB47&gt;=1,"D","F")))))),"")</f>
        <v/>
      </c>
      <c r="K47" s="3">
        <f>IF(AND('Data Source'!B47&lt;&gt;"",'Data Source'!S47="F"),IF('Data Source'!AC47&gt;=5,"A+",IF('Data Source'!AC47&gt;=4,"A",IF('Data Source'!AC47&gt;=3.5,"A-",IF('Data Source'!AC47&gt;=3,"B",IF('Data Source'!AC47&gt;=2,"C",IF('Data Source'!AC47&gt;=1,"D","F")))))),"")</f>
        <v/>
      </c>
      <c r="L47" s="3">
        <f>IF(AND('Data Source'!B47&lt;&gt;"",'Data Source'!S47="F"),IF('Data Source'!AD47&gt;=5,"A+",IF('Data Source'!AD47&gt;=4,"A",IF('Data Source'!AD47&gt;=3.5,"A-",IF('Data Source'!AD47&gt;=3,"B",IF('Data Source'!AD47&gt;=2,"C",IF('Data Source'!AD47&gt;=1,"D","F")))))),"")</f>
        <v/>
      </c>
      <c r="M47" s="3">
        <f>IF(AND('Data Source'!B47&lt;&gt;"",'Data Source'!S47="F"),IF('Data Source'!AE47&gt;=5,"A+",IF('Data Source'!AE47&gt;=4,"A",IF('Data Source'!AE47&gt;=3.5,"A-",IF('Data Source'!AE47&gt;=3,"B",IF('Data Source'!AE47&gt;=2,"C",IF('Data Source'!AE47&gt;=1,"D","F")))))),"")</f>
        <v/>
      </c>
      <c r="N47" s="3">
        <f>IF(AND('Data Source'!B47&lt;&gt;"",'Data Source'!S47="F"),IF('Data Source'!AF47&gt;=5,"A+",IF('Data Source'!AF47&gt;=4,"A",IF('Data Source'!AF47&gt;=3.5,"A-",IF('Data Source'!AF47&gt;=3,"B",IF('Data Source'!AF47&gt;=2,"C",IF('Data Source'!AF47&gt;=1,"D","F")))))),"")</f>
        <v/>
      </c>
      <c r="O47" s="3">
        <f>IF(AND('Data Source'!B47&lt;&gt;"",'Data Source'!S47="F"),IF('Data Source'!AG47&gt;=5,"A+",IF('Data Source'!AG47&gt;=4,"A",IF('Data Source'!AG47&gt;=3.5,"A-",IF('Data Source'!AG47&gt;=3,"B",IF('Data Source'!AG47&gt;=2,"C",IF('Data Source'!AG47&gt;=1,"D","F")))))),"")</f>
        <v/>
      </c>
      <c r="P47" s="5">
        <f>IF(AND('Data Source'!B47&lt;&gt;"",'Data Source'!S47="F"),'Data Source'!R47,"")</f>
        <v/>
      </c>
      <c r="Q47" s="3">
        <f>IF(AND('Data Source'!B47&lt;&gt;"",'Data Source'!S47="F"),'Data Source'!S47,"")</f>
        <v/>
      </c>
    </row>
    <row r="48">
      <c r="A48" s="3">
        <f>IF(AND('Data Source'!B48&lt;&gt;"",'Data Source'!S48="F"),COUNTIF('Data Source'!$S$3:S48,"F"),"")</f>
        <v/>
      </c>
      <c r="B48">
        <f>IF(AND('Data Source'!B48&lt;&gt;"",'Data Source'!S48="F"),'Data Source'!B48,"")</f>
        <v/>
      </c>
      <c r="C48" s="3">
        <f>IF(AND('Data Source'!B48&lt;&gt;"",'Data Source'!S48="F"),IF('Data Source'!U48&gt;=5,"A+",IF('Data Source'!U48&gt;=4,"A",IF('Data Source'!U48&gt;=3.5,"A-",IF('Data Source'!U48&gt;=3,"B",IF('Data Source'!U48&gt;=2,"C",IF('Data Source'!U48&gt;=1,"D","F")))))),"")</f>
        <v/>
      </c>
      <c r="D48" s="3">
        <f>IF(AND('Data Source'!B48&lt;&gt;"",'Data Source'!S48="F"),IF('Data Source'!V48&gt;=5,"A+",IF('Data Source'!V48&gt;=4,"A",IF('Data Source'!V48&gt;=3.5,"A-",IF('Data Source'!V48&gt;=3,"B",IF('Data Source'!V48&gt;=2,"C",IF('Data Source'!V48&gt;=1,"D","F")))))),"")</f>
        <v/>
      </c>
      <c r="E48" s="3">
        <f>IF(AND('Data Source'!B48&lt;&gt;"",'Data Source'!S48="F"),IF('Data Source'!W48&gt;=5,"A+",IF('Data Source'!W48&gt;=4,"A",IF('Data Source'!W48&gt;=3.5,"A-",IF('Data Source'!W48&gt;=3,"B",IF('Data Source'!W48&gt;=2,"C",IF('Data Source'!W48&gt;=1,"D","F")))))),"")</f>
        <v/>
      </c>
      <c r="F48" s="3">
        <f>IF(AND('Data Source'!B48&lt;&gt;"",'Data Source'!S48="F"),IF('Data Source'!X48&gt;=5,"A+",IF('Data Source'!X48&gt;=4,"A",IF('Data Source'!X48&gt;=3.5,"A-",IF('Data Source'!X48&gt;=3,"B",IF('Data Source'!X48&gt;=2,"C",IF('Data Source'!X48&gt;=1,"D","F")))))),"")</f>
        <v/>
      </c>
      <c r="G48" s="3">
        <f>IF(AND('Data Source'!B48&lt;&gt;"",'Data Source'!S48="F"),IF('Data Source'!Y48&gt;=5,"A+",IF('Data Source'!Y48&gt;=4,"A",IF('Data Source'!Y48&gt;=3.5,"A-",IF('Data Source'!Y48&gt;=3,"B",IF('Data Source'!Y48&gt;=2,"C",IF('Data Source'!Y48&gt;=1,"D","F")))))),"")</f>
        <v/>
      </c>
      <c r="H48" s="3">
        <f>IF(AND('Data Source'!B48&lt;&gt;"",'Data Source'!S48="F"),IF('Data Source'!Z48&gt;=5,"A+",IF('Data Source'!Z48&gt;=4,"A",IF('Data Source'!Z48&gt;=3.5,"A-",IF('Data Source'!Z48&gt;=3,"B",IF('Data Source'!Z48&gt;=2,"C",IF('Data Source'!Z48&gt;=1,"D","F")))))),"")</f>
        <v/>
      </c>
      <c r="I48" s="3">
        <f>IF(AND('Data Source'!B48&lt;&gt;"",'Data Source'!S48="F"),IF('Data Source'!AA48&gt;=5,"A+",IF('Data Source'!AA48&gt;=4,"A",IF('Data Source'!AA48&gt;=3.5,"A-",IF('Data Source'!AA48&gt;=3,"B",IF('Data Source'!AA48&gt;=2,"C",IF('Data Source'!AA48&gt;=1,"D","F")))))),"")</f>
        <v/>
      </c>
      <c r="J48" s="3">
        <f>IF(AND('Data Source'!B48&lt;&gt;"",'Data Source'!S48="F"),IF('Data Source'!AB48&gt;=5,"A+",IF('Data Source'!AB48&gt;=4,"A",IF('Data Source'!AB48&gt;=3.5,"A-",IF('Data Source'!AB48&gt;=3,"B",IF('Data Source'!AB48&gt;=2,"C",IF('Data Source'!AB48&gt;=1,"D","F")))))),"")</f>
        <v/>
      </c>
      <c r="K48" s="3">
        <f>IF(AND('Data Source'!B48&lt;&gt;"",'Data Source'!S48="F"),IF('Data Source'!AC48&gt;=5,"A+",IF('Data Source'!AC48&gt;=4,"A",IF('Data Source'!AC48&gt;=3.5,"A-",IF('Data Source'!AC48&gt;=3,"B",IF('Data Source'!AC48&gt;=2,"C",IF('Data Source'!AC48&gt;=1,"D","F")))))),"")</f>
        <v/>
      </c>
      <c r="L48" s="3">
        <f>IF(AND('Data Source'!B48&lt;&gt;"",'Data Source'!S48="F"),IF('Data Source'!AD48&gt;=5,"A+",IF('Data Source'!AD48&gt;=4,"A",IF('Data Source'!AD48&gt;=3.5,"A-",IF('Data Source'!AD48&gt;=3,"B",IF('Data Source'!AD48&gt;=2,"C",IF('Data Source'!AD48&gt;=1,"D","F")))))),"")</f>
        <v/>
      </c>
      <c r="M48" s="3">
        <f>IF(AND('Data Source'!B48&lt;&gt;"",'Data Source'!S48="F"),IF('Data Source'!AE48&gt;=5,"A+",IF('Data Source'!AE48&gt;=4,"A",IF('Data Source'!AE48&gt;=3.5,"A-",IF('Data Source'!AE48&gt;=3,"B",IF('Data Source'!AE48&gt;=2,"C",IF('Data Source'!AE48&gt;=1,"D","F")))))),"")</f>
        <v/>
      </c>
      <c r="N48" s="3">
        <f>IF(AND('Data Source'!B48&lt;&gt;"",'Data Source'!S48="F"),IF('Data Source'!AF48&gt;=5,"A+",IF('Data Source'!AF48&gt;=4,"A",IF('Data Source'!AF48&gt;=3.5,"A-",IF('Data Source'!AF48&gt;=3,"B",IF('Data Source'!AF48&gt;=2,"C",IF('Data Source'!AF48&gt;=1,"D","F")))))),"")</f>
        <v/>
      </c>
      <c r="O48" s="3">
        <f>IF(AND('Data Source'!B48&lt;&gt;"",'Data Source'!S48="F"),IF('Data Source'!AG48&gt;=5,"A+",IF('Data Source'!AG48&gt;=4,"A",IF('Data Source'!AG48&gt;=3.5,"A-",IF('Data Source'!AG48&gt;=3,"B",IF('Data Source'!AG48&gt;=2,"C",IF('Data Source'!AG48&gt;=1,"D","F")))))),"")</f>
        <v/>
      </c>
      <c r="P48" s="5">
        <f>IF(AND('Data Source'!B48&lt;&gt;"",'Data Source'!S48="F"),'Data Source'!R48,"")</f>
        <v/>
      </c>
      <c r="Q48" s="3">
        <f>IF(AND('Data Source'!B48&lt;&gt;"",'Data Source'!S48="F"),'Data Source'!S48,"")</f>
        <v/>
      </c>
    </row>
    <row r="49">
      <c r="A49" s="3">
        <f>IF(AND('Data Source'!B49&lt;&gt;"",'Data Source'!S49="F"),COUNTIF('Data Source'!$S$3:S49,"F"),"")</f>
        <v/>
      </c>
      <c r="B49">
        <f>IF(AND('Data Source'!B49&lt;&gt;"",'Data Source'!S49="F"),'Data Source'!B49,"")</f>
        <v/>
      </c>
      <c r="C49" s="3">
        <f>IF(AND('Data Source'!B49&lt;&gt;"",'Data Source'!S49="F"),IF('Data Source'!U49&gt;=5,"A+",IF('Data Source'!U49&gt;=4,"A",IF('Data Source'!U49&gt;=3.5,"A-",IF('Data Source'!U49&gt;=3,"B",IF('Data Source'!U49&gt;=2,"C",IF('Data Source'!U49&gt;=1,"D","F")))))),"")</f>
        <v/>
      </c>
      <c r="D49" s="3">
        <f>IF(AND('Data Source'!B49&lt;&gt;"",'Data Source'!S49="F"),IF('Data Source'!V49&gt;=5,"A+",IF('Data Source'!V49&gt;=4,"A",IF('Data Source'!V49&gt;=3.5,"A-",IF('Data Source'!V49&gt;=3,"B",IF('Data Source'!V49&gt;=2,"C",IF('Data Source'!V49&gt;=1,"D","F")))))),"")</f>
        <v/>
      </c>
      <c r="E49" s="3">
        <f>IF(AND('Data Source'!B49&lt;&gt;"",'Data Source'!S49="F"),IF('Data Source'!W49&gt;=5,"A+",IF('Data Source'!W49&gt;=4,"A",IF('Data Source'!W49&gt;=3.5,"A-",IF('Data Source'!W49&gt;=3,"B",IF('Data Source'!W49&gt;=2,"C",IF('Data Source'!W49&gt;=1,"D","F")))))),"")</f>
        <v/>
      </c>
      <c r="F49" s="3">
        <f>IF(AND('Data Source'!B49&lt;&gt;"",'Data Source'!S49="F"),IF('Data Source'!X49&gt;=5,"A+",IF('Data Source'!X49&gt;=4,"A",IF('Data Source'!X49&gt;=3.5,"A-",IF('Data Source'!X49&gt;=3,"B",IF('Data Source'!X49&gt;=2,"C",IF('Data Source'!X49&gt;=1,"D","F")))))),"")</f>
        <v/>
      </c>
      <c r="G49" s="3">
        <f>IF(AND('Data Source'!B49&lt;&gt;"",'Data Source'!S49="F"),IF('Data Source'!Y49&gt;=5,"A+",IF('Data Source'!Y49&gt;=4,"A",IF('Data Source'!Y49&gt;=3.5,"A-",IF('Data Source'!Y49&gt;=3,"B",IF('Data Source'!Y49&gt;=2,"C",IF('Data Source'!Y49&gt;=1,"D","F")))))),"")</f>
        <v/>
      </c>
      <c r="H49" s="3">
        <f>IF(AND('Data Source'!B49&lt;&gt;"",'Data Source'!S49="F"),IF('Data Source'!Z49&gt;=5,"A+",IF('Data Source'!Z49&gt;=4,"A",IF('Data Source'!Z49&gt;=3.5,"A-",IF('Data Source'!Z49&gt;=3,"B",IF('Data Source'!Z49&gt;=2,"C",IF('Data Source'!Z49&gt;=1,"D","F")))))),"")</f>
        <v/>
      </c>
      <c r="I49" s="3">
        <f>IF(AND('Data Source'!B49&lt;&gt;"",'Data Source'!S49="F"),IF('Data Source'!AA49&gt;=5,"A+",IF('Data Source'!AA49&gt;=4,"A",IF('Data Source'!AA49&gt;=3.5,"A-",IF('Data Source'!AA49&gt;=3,"B",IF('Data Source'!AA49&gt;=2,"C",IF('Data Source'!AA49&gt;=1,"D","F")))))),"")</f>
        <v/>
      </c>
      <c r="J49" s="3">
        <f>IF(AND('Data Source'!B49&lt;&gt;"",'Data Source'!S49="F"),IF('Data Source'!AB49&gt;=5,"A+",IF('Data Source'!AB49&gt;=4,"A",IF('Data Source'!AB49&gt;=3.5,"A-",IF('Data Source'!AB49&gt;=3,"B",IF('Data Source'!AB49&gt;=2,"C",IF('Data Source'!AB49&gt;=1,"D","F")))))),"")</f>
        <v/>
      </c>
      <c r="K49" s="3">
        <f>IF(AND('Data Source'!B49&lt;&gt;"",'Data Source'!S49="F"),IF('Data Source'!AC49&gt;=5,"A+",IF('Data Source'!AC49&gt;=4,"A",IF('Data Source'!AC49&gt;=3.5,"A-",IF('Data Source'!AC49&gt;=3,"B",IF('Data Source'!AC49&gt;=2,"C",IF('Data Source'!AC49&gt;=1,"D","F")))))),"")</f>
        <v/>
      </c>
      <c r="L49" s="3">
        <f>IF(AND('Data Source'!B49&lt;&gt;"",'Data Source'!S49="F"),IF('Data Source'!AD49&gt;=5,"A+",IF('Data Source'!AD49&gt;=4,"A",IF('Data Source'!AD49&gt;=3.5,"A-",IF('Data Source'!AD49&gt;=3,"B",IF('Data Source'!AD49&gt;=2,"C",IF('Data Source'!AD49&gt;=1,"D","F")))))),"")</f>
        <v/>
      </c>
      <c r="M49" s="3">
        <f>IF(AND('Data Source'!B49&lt;&gt;"",'Data Source'!S49="F"),IF('Data Source'!AE49&gt;=5,"A+",IF('Data Source'!AE49&gt;=4,"A",IF('Data Source'!AE49&gt;=3.5,"A-",IF('Data Source'!AE49&gt;=3,"B",IF('Data Source'!AE49&gt;=2,"C",IF('Data Source'!AE49&gt;=1,"D","F")))))),"")</f>
        <v/>
      </c>
      <c r="N49" s="3">
        <f>IF(AND('Data Source'!B49&lt;&gt;"",'Data Source'!S49="F"),IF('Data Source'!AF49&gt;=5,"A+",IF('Data Source'!AF49&gt;=4,"A",IF('Data Source'!AF49&gt;=3.5,"A-",IF('Data Source'!AF49&gt;=3,"B",IF('Data Source'!AF49&gt;=2,"C",IF('Data Source'!AF49&gt;=1,"D","F")))))),"")</f>
        <v/>
      </c>
      <c r="O49" s="3">
        <f>IF(AND('Data Source'!B49&lt;&gt;"",'Data Source'!S49="F"),IF('Data Source'!AG49&gt;=5,"A+",IF('Data Source'!AG49&gt;=4,"A",IF('Data Source'!AG49&gt;=3.5,"A-",IF('Data Source'!AG49&gt;=3,"B",IF('Data Source'!AG49&gt;=2,"C",IF('Data Source'!AG49&gt;=1,"D","F")))))),"")</f>
        <v/>
      </c>
      <c r="P49" s="5">
        <f>IF(AND('Data Source'!B49&lt;&gt;"",'Data Source'!S49="F"),'Data Source'!R49,"")</f>
        <v/>
      </c>
      <c r="Q49" s="3">
        <f>IF(AND('Data Source'!B49&lt;&gt;"",'Data Source'!S49="F"),'Data Source'!S49,"")</f>
        <v/>
      </c>
    </row>
    <row r="50">
      <c r="A50" s="3">
        <f>IF(AND('Data Source'!B50&lt;&gt;"",'Data Source'!S50="F"),COUNTIF('Data Source'!$S$3:S50,"F"),"")</f>
        <v/>
      </c>
      <c r="B50">
        <f>IF(AND('Data Source'!B50&lt;&gt;"",'Data Source'!S50="F"),'Data Source'!B50,"")</f>
        <v/>
      </c>
      <c r="C50" s="3">
        <f>IF(AND('Data Source'!B50&lt;&gt;"",'Data Source'!S50="F"),IF('Data Source'!U50&gt;=5,"A+",IF('Data Source'!U50&gt;=4,"A",IF('Data Source'!U50&gt;=3.5,"A-",IF('Data Source'!U50&gt;=3,"B",IF('Data Source'!U50&gt;=2,"C",IF('Data Source'!U50&gt;=1,"D","F")))))),"")</f>
        <v/>
      </c>
      <c r="D50" s="3">
        <f>IF(AND('Data Source'!B50&lt;&gt;"",'Data Source'!S50="F"),IF('Data Source'!V50&gt;=5,"A+",IF('Data Source'!V50&gt;=4,"A",IF('Data Source'!V50&gt;=3.5,"A-",IF('Data Source'!V50&gt;=3,"B",IF('Data Source'!V50&gt;=2,"C",IF('Data Source'!V50&gt;=1,"D","F")))))),"")</f>
        <v/>
      </c>
      <c r="E50" s="3">
        <f>IF(AND('Data Source'!B50&lt;&gt;"",'Data Source'!S50="F"),IF('Data Source'!W50&gt;=5,"A+",IF('Data Source'!W50&gt;=4,"A",IF('Data Source'!W50&gt;=3.5,"A-",IF('Data Source'!W50&gt;=3,"B",IF('Data Source'!W50&gt;=2,"C",IF('Data Source'!W50&gt;=1,"D","F")))))),"")</f>
        <v/>
      </c>
      <c r="F50" s="3">
        <f>IF(AND('Data Source'!B50&lt;&gt;"",'Data Source'!S50="F"),IF('Data Source'!X50&gt;=5,"A+",IF('Data Source'!X50&gt;=4,"A",IF('Data Source'!X50&gt;=3.5,"A-",IF('Data Source'!X50&gt;=3,"B",IF('Data Source'!X50&gt;=2,"C",IF('Data Source'!X50&gt;=1,"D","F")))))),"")</f>
        <v/>
      </c>
      <c r="G50" s="3">
        <f>IF(AND('Data Source'!B50&lt;&gt;"",'Data Source'!S50="F"),IF('Data Source'!Y50&gt;=5,"A+",IF('Data Source'!Y50&gt;=4,"A",IF('Data Source'!Y50&gt;=3.5,"A-",IF('Data Source'!Y50&gt;=3,"B",IF('Data Source'!Y50&gt;=2,"C",IF('Data Source'!Y50&gt;=1,"D","F")))))),"")</f>
        <v/>
      </c>
      <c r="H50" s="3">
        <f>IF(AND('Data Source'!B50&lt;&gt;"",'Data Source'!S50="F"),IF('Data Source'!Z50&gt;=5,"A+",IF('Data Source'!Z50&gt;=4,"A",IF('Data Source'!Z50&gt;=3.5,"A-",IF('Data Source'!Z50&gt;=3,"B",IF('Data Source'!Z50&gt;=2,"C",IF('Data Source'!Z50&gt;=1,"D","F")))))),"")</f>
        <v/>
      </c>
      <c r="I50" s="3">
        <f>IF(AND('Data Source'!B50&lt;&gt;"",'Data Source'!S50="F"),IF('Data Source'!AA50&gt;=5,"A+",IF('Data Source'!AA50&gt;=4,"A",IF('Data Source'!AA50&gt;=3.5,"A-",IF('Data Source'!AA50&gt;=3,"B",IF('Data Source'!AA50&gt;=2,"C",IF('Data Source'!AA50&gt;=1,"D","F")))))),"")</f>
        <v/>
      </c>
      <c r="J50" s="3">
        <f>IF(AND('Data Source'!B50&lt;&gt;"",'Data Source'!S50="F"),IF('Data Source'!AB50&gt;=5,"A+",IF('Data Source'!AB50&gt;=4,"A",IF('Data Source'!AB50&gt;=3.5,"A-",IF('Data Source'!AB50&gt;=3,"B",IF('Data Source'!AB50&gt;=2,"C",IF('Data Source'!AB50&gt;=1,"D","F")))))),"")</f>
        <v/>
      </c>
      <c r="K50" s="3">
        <f>IF(AND('Data Source'!B50&lt;&gt;"",'Data Source'!S50="F"),IF('Data Source'!AC50&gt;=5,"A+",IF('Data Source'!AC50&gt;=4,"A",IF('Data Source'!AC50&gt;=3.5,"A-",IF('Data Source'!AC50&gt;=3,"B",IF('Data Source'!AC50&gt;=2,"C",IF('Data Source'!AC50&gt;=1,"D","F")))))),"")</f>
        <v/>
      </c>
      <c r="L50" s="3">
        <f>IF(AND('Data Source'!B50&lt;&gt;"",'Data Source'!S50="F"),IF('Data Source'!AD50&gt;=5,"A+",IF('Data Source'!AD50&gt;=4,"A",IF('Data Source'!AD50&gt;=3.5,"A-",IF('Data Source'!AD50&gt;=3,"B",IF('Data Source'!AD50&gt;=2,"C",IF('Data Source'!AD50&gt;=1,"D","F")))))),"")</f>
        <v/>
      </c>
      <c r="M50" s="3">
        <f>IF(AND('Data Source'!B50&lt;&gt;"",'Data Source'!S50="F"),IF('Data Source'!AE50&gt;=5,"A+",IF('Data Source'!AE50&gt;=4,"A",IF('Data Source'!AE50&gt;=3.5,"A-",IF('Data Source'!AE50&gt;=3,"B",IF('Data Source'!AE50&gt;=2,"C",IF('Data Source'!AE50&gt;=1,"D","F")))))),"")</f>
        <v/>
      </c>
      <c r="N50" s="3">
        <f>IF(AND('Data Source'!B50&lt;&gt;"",'Data Source'!S50="F"),IF('Data Source'!AF50&gt;=5,"A+",IF('Data Source'!AF50&gt;=4,"A",IF('Data Source'!AF50&gt;=3.5,"A-",IF('Data Source'!AF50&gt;=3,"B",IF('Data Source'!AF50&gt;=2,"C",IF('Data Source'!AF50&gt;=1,"D","F")))))),"")</f>
        <v/>
      </c>
      <c r="O50" s="3">
        <f>IF(AND('Data Source'!B50&lt;&gt;"",'Data Source'!S50="F"),IF('Data Source'!AG50&gt;=5,"A+",IF('Data Source'!AG50&gt;=4,"A",IF('Data Source'!AG50&gt;=3.5,"A-",IF('Data Source'!AG50&gt;=3,"B",IF('Data Source'!AG50&gt;=2,"C",IF('Data Source'!AG50&gt;=1,"D","F")))))),"")</f>
        <v/>
      </c>
      <c r="P50" s="5">
        <f>IF(AND('Data Source'!B50&lt;&gt;"",'Data Source'!S50="F"),'Data Source'!R50,"")</f>
        <v/>
      </c>
      <c r="Q50" s="3">
        <f>IF(AND('Data Source'!B50&lt;&gt;"",'Data Source'!S50="F"),'Data Source'!S50,"")</f>
        <v/>
      </c>
    </row>
    <row r="51">
      <c r="A51" s="3">
        <f>IF(AND('Data Source'!B51&lt;&gt;"",'Data Source'!S51="F"),COUNTIF('Data Source'!$S$3:S51,"F"),"")</f>
        <v/>
      </c>
      <c r="B51">
        <f>IF(AND('Data Source'!B51&lt;&gt;"",'Data Source'!S51="F"),'Data Source'!B51,"")</f>
        <v/>
      </c>
      <c r="C51" s="3">
        <f>IF(AND('Data Source'!B51&lt;&gt;"",'Data Source'!S51="F"),IF('Data Source'!U51&gt;=5,"A+",IF('Data Source'!U51&gt;=4,"A",IF('Data Source'!U51&gt;=3.5,"A-",IF('Data Source'!U51&gt;=3,"B",IF('Data Source'!U51&gt;=2,"C",IF('Data Source'!U51&gt;=1,"D","F")))))),"")</f>
        <v/>
      </c>
      <c r="D51" s="3">
        <f>IF(AND('Data Source'!B51&lt;&gt;"",'Data Source'!S51="F"),IF('Data Source'!V51&gt;=5,"A+",IF('Data Source'!V51&gt;=4,"A",IF('Data Source'!V51&gt;=3.5,"A-",IF('Data Source'!V51&gt;=3,"B",IF('Data Source'!V51&gt;=2,"C",IF('Data Source'!V51&gt;=1,"D","F")))))),"")</f>
        <v/>
      </c>
      <c r="E51" s="3">
        <f>IF(AND('Data Source'!B51&lt;&gt;"",'Data Source'!S51="F"),IF('Data Source'!W51&gt;=5,"A+",IF('Data Source'!W51&gt;=4,"A",IF('Data Source'!W51&gt;=3.5,"A-",IF('Data Source'!W51&gt;=3,"B",IF('Data Source'!W51&gt;=2,"C",IF('Data Source'!W51&gt;=1,"D","F")))))),"")</f>
        <v/>
      </c>
      <c r="F51" s="3">
        <f>IF(AND('Data Source'!B51&lt;&gt;"",'Data Source'!S51="F"),IF('Data Source'!X51&gt;=5,"A+",IF('Data Source'!X51&gt;=4,"A",IF('Data Source'!X51&gt;=3.5,"A-",IF('Data Source'!X51&gt;=3,"B",IF('Data Source'!X51&gt;=2,"C",IF('Data Source'!X51&gt;=1,"D","F")))))),"")</f>
        <v/>
      </c>
      <c r="G51" s="3">
        <f>IF(AND('Data Source'!B51&lt;&gt;"",'Data Source'!S51="F"),IF('Data Source'!Y51&gt;=5,"A+",IF('Data Source'!Y51&gt;=4,"A",IF('Data Source'!Y51&gt;=3.5,"A-",IF('Data Source'!Y51&gt;=3,"B",IF('Data Source'!Y51&gt;=2,"C",IF('Data Source'!Y51&gt;=1,"D","F")))))),"")</f>
        <v/>
      </c>
      <c r="H51" s="3">
        <f>IF(AND('Data Source'!B51&lt;&gt;"",'Data Source'!S51="F"),IF('Data Source'!Z51&gt;=5,"A+",IF('Data Source'!Z51&gt;=4,"A",IF('Data Source'!Z51&gt;=3.5,"A-",IF('Data Source'!Z51&gt;=3,"B",IF('Data Source'!Z51&gt;=2,"C",IF('Data Source'!Z51&gt;=1,"D","F")))))),"")</f>
        <v/>
      </c>
      <c r="I51" s="3">
        <f>IF(AND('Data Source'!B51&lt;&gt;"",'Data Source'!S51="F"),IF('Data Source'!AA51&gt;=5,"A+",IF('Data Source'!AA51&gt;=4,"A",IF('Data Source'!AA51&gt;=3.5,"A-",IF('Data Source'!AA51&gt;=3,"B",IF('Data Source'!AA51&gt;=2,"C",IF('Data Source'!AA51&gt;=1,"D","F")))))),"")</f>
        <v/>
      </c>
      <c r="J51" s="3">
        <f>IF(AND('Data Source'!B51&lt;&gt;"",'Data Source'!S51="F"),IF('Data Source'!AB51&gt;=5,"A+",IF('Data Source'!AB51&gt;=4,"A",IF('Data Source'!AB51&gt;=3.5,"A-",IF('Data Source'!AB51&gt;=3,"B",IF('Data Source'!AB51&gt;=2,"C",IF('Data Source'!AB51&gt;=1,"D","F")))))),"")</f>
        <v/>
      </c>
      <c r="K51" s="3">
        <f>IF(AND('Data Source'!B51&lt;&gt;"",'Data Source'!S51="F"),IF('Data Source'!AC51&gt;=5,"A+",IF('Data Source'!AC51&gt;=4,"A",IF('Data Source'!AC51&gt;=3.5,"A-",IF('Data Source'!AC51&gt;=3,"B",IF('Data Source'!AC51&gt;=2,"C",IF('Data Source'!AC51&gt;=1,"D","F")))))),"")</f>
        <v/>
      </c>
      <c r="L51" s="3">
        <f>IF(AND('Data Source'!B51&lt;&gt;"",'Data Source'!S51="F"),IF('Data Source'!AD51&gt;=5,"A+",IF('Data Source'!AD51&gt;=4,"A",IF('Data Source'!AD51&gt;=3.5,"A-",IF('Data Source'!AD51&gt;=3,"B",IF('Data Source'!AD51&gt;=2,"C",IF('Data Source'!AD51&gt;=1,"D","F")))))),"")</f>
        <v/>
      </c>
      <c r="M51" s="3">
        <f>IF(AND('Data Source'!B51&lt;&gt;"",'Data Source'!S51="F"),IF('Data Source'!AE51&gt;=5,"A+",IF('Data Source'!AE51&gt;=4,"A",IF('Data Source'!AE51&gt;=3.5,"A-",IF('Data Source'!AE51&gt;=3,"B",IF('Data Source'!AE51&gt;=2,"C",IF('Data Source'!AE51&gt;=1,"D","F")))))),"")</f>
        <v/>
      </c>
      <c r="N51" s="3">
        <f>IF(AND('Data Source'!B51&lt;&gt;"",'Data Source'!S51="F"),IF('Data Source'!AF51&gt;=5,"A+",IF('Data Source'!AF51&gt;=4,"A",IF('Data Source'!AF51&gt;=3.5,"A-",IF('Data Source'!AF51&gt;=3,"B",IF('Data Source'!AF51&gt;=2,"C",IF('Data Source'!AF51&gt;=1,"D","F")))))),"")</f>
        <v/>
      </c>
      <c r="O51" s="3">
        <f>IF(AND('Data Source'!B51&lt;&gt;"",'Data Source'!S51="F"),IF('Data Source'!AG51&gt;=5,"A+",IF('Data Source'!AG51&gt;=4,"A",IF('Data Source'!AG51&gt;=3.5,"A-",IF('Data Source'!AG51&gt;=3,"B",IF('Data Source'!AG51&gt;=2,"C",IF('Data Source'!AG51&gt;=1,"D","F")))))),"")</f>
        <v/>
      </c>
      <c r="P51" s="5">
        <f>IF(AND('Data Source'!B51&lt;&gt;"",'Data Source'!S51="F"),'Data Source'!R51,"")</f>
        <v/>
      </c>
      <c r="Q51" s="3">
        <f>IF(AND('Data Source'!B51&lt;&gt;"",'Data Source'!S51="F"),'Data Source'!S51,"")</f>
        <v/>
      </c>
    </row>
    <row r="52">
      <c r="A52" s="3">
        <f>IF(AND('Data Source'!B52&lt;&gt;"",'Data Source'!S52="F"),COUNTIF('Data Source'!$S$3:S52,"F"),"")</f>
        <v/>
      </c>
      <c r="B52">
        <f>IF(AND('Data Source'!B52&lt;&gt;"",'Data Source'!S52="F"),'Data Source'!B52,"")</f>
        <v/>
      </c>
      <c r="C52" s="3">
        <f>IF(AND('Data Source'!B52&lt;&gt;"",'Data Source'!S52="F"),IF('Data Source'!U52&gt;=5,"A+",IF('Data Source'!U52&gt;=4,"A",IF('Data Source'!U52&gt;=3.5,"A-",IF('Data Source'!U52&gt;=3,"B",IF('Data Source'!U52&gt;=2,"C",IF('Data Source'!U52&gt;=1,"D","F")))))),"")</f>
        <v/>
      </c>
      <c r="D52" s="3">
        <f>IF(AND('Data Source'!B52&lt;&gt;"",'Data Source'!S52="F"),IF('Data Source'!V52&gt;=5,"A+",IF('Data Source'!V52&gt;=4,"A",IF('Data Source'!V52&gt;=3.5,"A-",IF('Data Source'!V52&gt;=3,"B",IF('Data Source'!V52&gt;=2,"C",IF('Data Source'!V52&gt;=1,"D","F")))))),"")</f>
        <v/>
      </c>
      <c r="E52" s="3">
        <f>IF(AND('Data Source'!B52&lt;&gt;"",'Data Source'!S52="F"),IF('Data Source'!W52&gt;=5,"A+",IF('Data Source'!W52&gt;=4,"A",IF('Data Source'!W52&gt;=3.5,"A-",IF('Data Source'!W52&gt;=3,"B",IF('Data Source'!W52&gt;=2,"C",IF('Data Source'!W52&gt;=1,"D","F")))))),"")</f>
        <v/>
      </c>
      <c r="F52" s="3">
        <f>IF(AND('Data Source'!B52&lt;&gt;"",'Data Source'!S52="F"),IF('Data Source'!X52&gt;=5,"A+",IF('Data Source'!X52&gt;=4,"A",IF('Data Source'!X52&gt;=3.5,"A-",IF('Data Source'!X52&gt;=3,"B",IF('Data Source'!X52&gt;=2,"C",IF('Data Source'!X52&gt;=1,"D","F")))))),"")</f>
        <v/>
      </c>
      <c r="G52" s="3">
        <f>IF(AND('Data Source'!B52&lt;&gt;"",'Data Source'!S52="F"),IF('Data Source'!Y52&gt;=5,"A+",IF('Data Source'!Y52&gt;=4,"A",IF('Data Source'!Y52&gt;=3.5,"A-",IF('Data Source'!Y52&gt;=3,"B",IF('Data Source'!Y52&gt;=2,"C",IF('Data Source'!Y52&gt;=1,"D","F")))))),"")</f>
        <v/>
      </c>
      <c r="H52" s="3">
        <f>IF(AND('Data Source'!B52&lt;&gt;"",'Data Source'!S52="F"),IF('Data Source'!Z52&gt;=5,"A+",IF('Data Source'!Z52&gt;=4,"A",IF('Data Source'!Z52&gt;=3.5,"A-",IF('Data Source'!Z52&gt;=3,"B",IF('Data Source'!Z52&gt;=2,"C",IF('Data Source'!Z52&gt;=1,"D","F")))))),"")</f>
        <v/>
      </c>
      <c r="I52" s="3">
        <f>IF(AND('Data Source'!B52&lt;&gt;"",'Data Source'!S52="F"),IF('Data Source'!AA52&gt;=5,"A+",IF('Data Source'!AA52&gt;=4,"A",IF('Data Source'!AA52&gt;=3.5,"A-",IF('Data Source'!AA52&gt;=3,"B",IF('Data Source'!AA52&gt;=2,"C",IF('Data Source'!AA52&gt;=1,"D","F")))))),"")</f>
        <v/>
      </c>
      <c r="J52" s="3">
        <f>IF(AND('Data Source'!B52&lt;&gt;"",'Data Source'!S52="F"),IF('Data Source'!AB52&gt;=5,"A+",IF('Data Source'!AB52&gt;=4,"A",IF('Data Source'!AB52&gt;=3.5,"A-",IF('Data Source'!AB52&gt;=3,"B",IF('Data Source'!AB52&gt;=2,"C",IF('Data Source'!AB52&gt;=1,"D","F")))))),"")</f>
        <v/>
      </c>
      <c r="K52" s="3">
        <f>IF(AND('Data Source'!B52&lt;&gt;"",'Data Source'!S52="F"),IF('Data Source'!AC52&gt;=5,"A+",IF('Data Source'!AC52&gt;=4,"A",IF('Data Source'!AC52&gt;=3.5,"A-",IF('Data Source'!AC52&gt;=3,"B",IF('Data Source'!AC52&gt;=2,"C",IF('Data Source'!AC52&gt;=1,"D","F")))))),"")</f>
        <v/>
      </c>
      <c r="L52" s="3">
        <f>IF(AND('Data Source'!B52&lt;&gt;"",'Data Source'!S52="F"),IF('Data Source'!AD52&gt;=5,"A+",IF('Data Source'!AD52&gt;=4,"A",IF('Data Source'!AD52&gt;=3.5,"A-",IF('Data Source'!AD52&gt;=3,"B",IF('Data Source'!AD52&gt;=2,"C",IF('Data Source'!AD52&gt;=1,"D","F")))))),"")</f>
        <v/>
      </c>
      <c r="M52" s="3">
        <f>IF(AND('Data Source'!B52&lt;&gt;"",'Data Source'!S52="F"),IF('Data Source'!AE52&gt;=5,"A+",IF('Data Source'!AE52&gt;=4,"A",IF('Data Source'!AE52&gt;=3.5,"A-",IF('Data Source'!AE52&gt;=3,"B",IF('Data Source'!AE52&gt;=2,"C",IF('Data Source'!AE52&gt;=1,"D","F")))))),"")</f>
        <v/>
      </c>
      <c r="N52" s="3">
        <f>IF(AND('Data Source'!B52&lt;&gt;"",'Data Source'!S52="F"),IF('Data Source'!AF52&gt;=5,"A+",IF('Data Source'!AF52&gt;=4,"A",IF('Data Source'!AF52&gt;=3.5,"A-",IF('Data Source'!AF52&gt;=3,"B",IF('Data Source'!AF52&gt;=2,"C",IF('Data Source'!AF52&gt;=1,"D","F")))))),"")</f>
        <v/>
      </c>
      <c r="O52" s="3">
        <f>IF(AND('Data Source'!B52&lt;&gt;"",'Data Source'!S52="F"),IF('Data Source'!AG52&gt;=5,"A+",IF('Data Source'!AG52&gt;=4,"A",IF('Data Source'!AG52&gt;=3.5,"A-",IF('Data Source'!AG52&gt;=3,"B",IF('Data Source'!AG52&gt;=2,"C",IF('Data Source'!AG52&gt;=1,"D","F")))))),"")</f>
        <v/>
      </c>
      <c r="P52" s="5">
        <f>IF(AND('Data Source'!B52&lt;&gt;"",'Data Source'!S52="F"),'Data Source'!R52,"")</f>
        <v/>
      </c>
      <c r="Q52" s="3">
        <f>IF(AND('Data Source'!B52&lt;&gt;"",'Data Source'!S52="F"),'Data Source'!S52,"")</f>
        <v/>
      </c>
    </row>
    <row r="53">
      <c r="A53" s="3">
        <f>IF(AND('Data Source'!B53&lt;&gt;"",'Data Source'!S53="F"),COUNTIF('Data Source'!$S$3:S53,"F"),"")</f>
        <v/>
      </c>
      <c r="B53">
        <f>IF(AND('Data Source'!B53&lt;&gt;"",'Data Source'!S53="F"),'Data Source'!B53,"")</f>
        <v/>
      </c>
      <c r="C53" s="3">
        <f>IF(AND('Data Source'!B53&lt;&gt;"",'Data Source'!S53="F"),IF('Data Source'!U53&gt;=5,"A+",IF('Data Source'!U53&gt;=4,"A",IF('Data Source'!U53&gt;=3.5,"A-",IF('Data Source'!U53&gt;=3,"B",IF('Data Source'!U53&gt;=2,"C",IF('Data Source'!U53&gt;=1,"D","F")))))),"")</f>
        <v/>
      </c>
      <c r="D53" s="3">
        <f>IF(AND('Data Source'!B53&lt;&gt;"",'Data Source'!S53="F"),IF('Data Source'!V53&gt;=5,"A+",IF('Data Source'!V53&gt;=4,"A",IF('Data Source'!V53&gt;=3.5,"A-",IF('Data Source'!V53&gt;=3,"B",IF('Data Source'!V53&gt;=2,"C",IF('Data Source'!V53&gt;=1,"D","F")))))),"")</f>
        <v/>
      </c>
      <c r="E53" s="3">
        <f>IF(AND('Data Source'!B53&lt;&gt;"",'Data Source'!S53="F"),IF('Data Source'!W53&gt;=5,"A+",IF('Data Source'!W53&gt;=4,"A",IF('Data Source'!W53&gt;=3.5,"A-",IF('Data Source'!W53&gt;=3,"B",IF('Data Source'!W53&gt;=2,"C",IF('Data Source'!W53&gt;=1,"D","F")))))),"")</f>
        <v/>
      </c>
      <c r="F53" s="3">
        <f>IF(AND('Data Source'!B53&lt;&gt;"",'Data Source'!S53="F"),IF('Data Source'!X53&gt;=5,"A+",IF('Data Source'!X53&gt;=4,"A",IF('Data Source'!X53&gt;=3.5,"A-",IF('Data Source'!X53&gt;=3,"B",IF('Data Source'!X53&gt;=2,"C",IF('Data Source'!X53&gt;=1,"D","F")))))),"")</f>
        <v/>
      </c>
      <c r="G53" s="3">
        <f>IF(AND('Data Source'!B53&lt;&gt;"",'Data Source'!S53="F"),IF('Data Source'!Y53&gt;=5,"A+",IF('Data Source'!Y53&gt;=4,"A",IF('Data Source'!Y53&gt;=3.5,"A-",IF('Data Source'!Y53&gt;=3,"B",IF('Data Source'!Y53&gt;=2,"C",IF('Data Source'!Y53&gt;=1,"D","F")))))),"")</f>
        <v/>
      </c>
      <c r="H53" s="3">
        <f>IF(AND('Data Source'!B53&lt;&gt;"",'Data Source'!S53="F"),IF('Data Source'!Z53&gt;=5,"A+",IF('Data Source'!Z53&gt;=4,"A",IF('Data Source'!Z53&gt;=3.5,"A-",IF('Data Source'!Z53&gt;=3,"B",IF('Data Source'!Z53&gt;=2,"C",IF('Data Source'!Z53&gt;=1,"D","F")))))),"")</f>
        <v/>
      </c>
      <c r="I53" s="3">
        <f>IF(AND('Data Source'!B53&lt;&gt;"",'Data Source'!S53="F"),IF('Data Source'!AA53&gt;=5,"A+",IF('Data Source'!AA53&gt;=4,"A",IF('Data Source'!AA53&gt;=3.5,"A-",IF('Data Source'!AA53&gt;=3,"B",IF('Data Source'!AA53&gt;=2,"C",IF('Data Source'!AA53&gt;=1,"D","F")))))),"")</f>
        <v/>
      </c>
      <c r="J53" s="3">
        <f>IF(AND('Data Source'!B53&lt;&gt;"",'Data Source'!S53="F"),IF('Data Source'!AB53&gt;=5,"A+",IF('Data Source'!AB53&gt;=4,"A",IF('Data Source'!AB53&gt;=3.5,"A-",IF('Data Source'!AB53&gt;=3,"B",IF('Data Source'!AB53&gt;=2,"C",IF('Data Source'!AB53&gt;=1,"D","F")))))),"")</f>
        <v/>
      </c>
      <c r="K53" s="3">
        <f>IF(AND('Data Source'!B53&lt;&gt;"",'Data Source'!S53="F"),IF('Data Source'!AC53&gt;=5,"A+",IF('Data Source'!AC53&gt;=4,"A",IF('Data Source'!AC53&gt;=3.5,"A-",IF('Data Source'!AC53&gt;=3,"B",IF('Data Source'!AC53&gt;=2,"C",IF('Data Source'!AC53&gt;=1,"D","F")))))),"")</f>
        <v/>
      </c>
      <c r="L53" s="3">
        <f>IF(AND('Data Source'!B53&lt;&gt;"",'Data Source'!S53="F"),IF('Data Source'!AD53&gt;=5,"A+",IF('Data Source'!AD53&gt;=4,"A",IF('Data Source'!AD53&gt;=3.5,"A-",IF('Data Source'!AD53&gt;=3,"B",IF('Data Source'!AD53&gt;=2,"C",IF('Data Source'!AD53&gt;=1,"D","F")))))),"")</f>
        <v/>
      </c>
      <c r="M53" s="3">
        <f>IF(AND('Data Source'!B53&lt;&gt;"",'Data Source'!S53="F"),IF('Data Source'!AE53&gt;=5,"A+",IF('Data Source'!AE53&gt;=4,"A",IF('Data Source'!AE53&gt;=3.5,"A-",IF('Data Source'!AE53&gt;=3,"B",IF('Data Source'!AE53&gt;=2,"C",IF('Data Source'!AE53&gt;=1,"D","F")))))),"")</f>
        <v/>
      </c>
      <c r="N53" s="3">
        <f>IF(AND('Data Source'!B53&lt;&gt;"",'Data Source'!S53="F"),IF('Data Source'!AF53&gt;=5,"A+",IF('Data Source'!AF53&gt;=4,"A",IF('Data Source'!AF53&gt;=3.5,"A-",IF('Data Source'!AF53&gt;=3,"B",IF('Data Source'!AF53&gt;=2,"C",IF('Data Source'!AF53&gt;=1,"D","F")))))),"")</f>
        <v/>
      </c>
      <c r="O53" s="3">
        <f>IF(AND('Data Source'!B53&lt;&gt;"",'Data Source'!S53="F"),IF('Data Source'!AG53&gt;=5,"A+",IF('Data Source'!AG53&gt;=4,"A",IF('Data Source'!AG53&gt;=3.5,"A-",IF('Data Source'!AG53&gt;=3,"B",IF('Data Source'!AG53&gt;=2,"C",IF('Data Source'!AG53&gt;=1,"D","F")))))),"")</f>
        <v/>
      </c>
      <c r="P53" s="5">
        <f>IF(AND('Data Source'!B53&lt;&gt;"",'Data Source'!S53="F"),'Data Source'!R53,"")</f>
        <v/>
      </c>
      <c r="Q53" s="3">
        <f>IF(AND('Data Source'!B53&lt;&gt;"",'Data Source'!S53="F"),'Data Source'!S53,"")</f>
        <v/>
      </c>
    </row>
    <row r="54">
      <c r="A54" s="3">
        <f>IF(AND('Data Source'!B54&lt;&gt;"",'Data Source'!S54="F"),COUNTIF('Data Source'!$S$3:S54,"F"),"")</f>
        <v/>
      </c>
      <c r="B54">
        <f>IF(AND('Data Source'!B54&lt;&gt;"",'Data Source'!S54="F"),'Data Source'!B54,"")</f>
        <v/>
      </c>
      <c r="C54" s="3">
        <f>IF(AND('Data Source'!B54&lt;&gt;"",'Data Source'!S54="F"),IF('Data Source'!U54&gt;=5,"A+",IF('Data Source'!U54&gt;=4,"A",IF('Data Source'!U54&gt;=3.5,"A-",IF('Data Source'!U54&gt;=3,"B",IF('Data Source'!U54&gt;=2,"C",IF('Data Source'!U54&gt;=1,"D","F")))))),"")</f>
        <v/>
      </c>
      <c r="D54" s="3">
        <f>IF(AND('Data Source'!B54&lt;&gt;"",'Data Source'!S54="F"),IF('Data Source'!V54&gt;=5,"A+",IF('Data Source'!V54&gt;=4,"A",IF('Data Source'!V54&gt;=3.5,"A-",IF('Data Source'!V54&gt;=3,"B",IF('Data Source'!V54&gt;=2,"C",IF('Data Source'!V54&gt;=1,"D","F")))))),"")</f>
        <v/>
      </c>
      <c r="E54" s="3">
        <f>IF(AND('Data Source'!B54&lt;&gt;"",'Data Source'!S54="F"),IF('Data Source'!W54&gt;=5,"A+",IF('Data Source'!W54&gt;=4,"A",IF('Data Source'!W54&gt;=3.5,"A-",IF('Data Source'!W54&gt;=3,"B",IF('Data Source'!W54&gt;=2,"C",IF('Data Source'!W54&gt;=1,"D","F")))))),"")</f>
        <v/>
      </c>
      <c r="F54" s="3">
        <f>IF(AND('Data Source'!B54&lt;&gt;"",'Data Source'!S54="F"),IF('Data Source'!X54&gt;=5,"A+",IF('Data Source'!X54&gt;=4,"A",IF('Data Source'!X54&gt;=3.5,"A-",IF('Data Source'!X54&gt;=3,"B",IF('Data Source'!X54&gt;=2,"C",IF('Data Source'!X54&gt;=1,"D","F")))))),"")</f>
        <v/>
      </c>
      <c r="G54" s="3">
        <f>IF(AND('Data Source'!B54&lt;&gt;"",'Data Source'!S54="F"),IF('Data Source'!Y54&gt;=5,"A+",IF('Data Source'!Y54&gt;=4,"A",IF('Data Source'!Y54&gt;=3.5,"A-",IF('Data Source'!Y54&gt;=3,"B",IF('Data Source'!Y54&gt;=2,"C",IF('Data Source'!Y54&gt;=1,"D","F")))))),"")</f>
        <v/>
      </c>
      <c r="H54" s="3">
        <f>IF(AND('Data Source'!B54&lt;&gt;"",'Data Source'!S54="F"),IF('Data Source'!Z54&gt;=5,"A+",IF('Data Source'!Z54&gt;=4,"A",IF('Data Source'!Z54&gt;=3.5,"A-",IF('Data Source'!Z54&gt;=3,"B",IF('Data Source'!Z54&gt;=2,"C",IF('Data Source'!Z54&gt;=1,"D","F")))))),"")</f>
        <v/>
      </c>
      <c r="I54" s="3">
        <f>IF(AND('Data Source'!B54&lt;&gt;"",'Data Source'!S54="F"),IF('Data Source'!AA54&gt;=5,"A+",IF('Data Source'!AA54&gt;=4,"A",IF('Data Source'!AA54&gt;=3.5,"A-",IF('Data Source'!AA54&gt;=3,"B",IF('Data Source'!AA54&gt;=2,"C",IF('Data Source'!AA54&gt;=1,"D","F")))))),"")</f>
        <v/>
      </c>
      <c r="J54" s="3">
        <f>IF(AND('Data Source'!B54&lt;&gt;"",'Data Source'!S54="F"),IF('Data Source'!AB54&gt;=5,"A+",IF('Data Source'!AB54&gt;=4,"A",IF('Data Source'!AB54&gt;=3.5,"A-",IF('Data Source'!AB54&gt;=3,"B",IF('Data Source'!AB54&gt;=2,"C",IF('Data Source'!AB54&gt;=1,"D","F")))))),"")</f>
        <v/>
      </c>
      <c r="K54" s="3">
        <f>IF(AND('Data Source'!B54&lt;&gt;"",'Data Source'!S54="F"),IF('Data Source'!AC54&gt;=5,"A+",IF('Data Source'!AC54&gt;=4,"A",IF('Data Source'!AC54&gt;=3.5,"A-",IF('Data Source'!AC54&gt;=3,"B",IF('Data Source'!AC54&gt;=2,"C",IF('Data Source'!AC54&gt;=1,"D","F")))))),"")</f>
        <v/>
      </c>
      <c r="L54" s="3">
        <f>IF(AND('Data Source'!B54&lt;&gt;"",'Data Source'!S54="F"),IF('Data Source'!AD54&gt;=5,"A+",IF('Data Source'!AD54&gt;=4,"A",IF('Data Source'!AD54&gt;=3.5,"A-",IF('Data Source'!AD54&gt;=3,"B",IF('Data Source'!AD54&gt;=2,"C",IF('Data Source'!AD54&gt;=1,"D","F")))))),"")</f>
        <v/>
      </c>
      <c r="M54" s="3">
        <f>IF(AND('Data Source'!B54&lt;&gt;"",'Data Source'!S54="F"),IF('Data Source'!AE54&gt;=5,"A+",IF('Data Source'!AE54&gt;=4,"A",IF('Data Source'!AE54&gt;=3.5,"A-",IF('Data Source'!AE54&gt;=3,"B",IF('Data Source'!AE54&gt;=2,"C",IF('Data Source'!AE54&gt;=1,"D","F")))))),"")</f>
        <v/>
      </c>
      <c r="N54" s="3">
        <f>IF(AND('Data Source'!B54&lt;&gt;"",'Data Source'!S54="F"),IF('Data Source'!AF54&gt;=5,"A+",IF('Data Source'!AF54&gt;=4,"A",IF('Data Source'!AF54&gt;=3.5,"A-",IF('Data Source'!AF54&gt;=3,"B",IF('Data Source'!AF54&gt;=2,"C",IF('Data Source'!AF54&gt;=1,"D","F")))))),"")</f>
        <v/>
      </c>
      <c r="O54" s="3">
        <f>IF(AND('Data Source'!B54&lt;&gt;"",'Data Source'!S54="F"),IF('Data Source'!AG54&gt;=5,"A+",IF('Data Source'!AG54&gt;=4,"A",IF('Data Source'!AG54&gt;=3.5,"A-",IF('Data Source'!AG54&gt;=3,"B",IF('Data Source'!AG54&gt;=2,"C",IF('Data Source'!AG54&gt;=1,"D","F")))))),"")</f>
        <v/>
      </c>
      <c r="P54" s="5">
        <f>IF(AND('Data Source'!B54&lt;&gt;"",'Data Source'!S54="F"),'Data Source'!R54,"")</f>
        <v/>
      </c>
      <c r="Q54" s="3">
        <f>IF(AND('Data Source'!B54&lt;&gt;"",'Data Source'!S54="F"),'Data Source'!S54,"")</f>
        <v/>
      </c>
    </row>
    <row r="55">
      <c r="A55" s="3">
        <f>IF(AND('Data Source'!B55&lt;&gt;"",'Data Source'!S55="F"),COUNTIF('Data Source'!$S$3:S55,"F"),"")</f>
        <v/>
      </c>
      <c r="B55">
        <f>IF(AND('Data Source'!B55&lt;&gt;"",'Data Source'!S55="F"),'Data Source'!B55,"")</f>
        <v/>
      </c>
      <c r="C55" s="3">
        <f>IF(AND('Data Source'!B55&lt;&gt;"",'Data Source'!S55="F"),IF('Data Source'!U55&gt;=5,"A+",IF('Data Source'!U55&gt;=4,"A",IF('Data Source'!U55&gt;=3.5,"A-",IF('Data Source'!U55&gt;=3,"B",IF('Data Source'!U55&gt;=2,"C",IF('Data Source'!U55&gt;=1,"D","F")))))),"")</f>
        <v/>
      </c>
      <c r="D55" s="3">
        <f>IF(AND('Data Source'!B55&lt;&gt;"",'Data Source'!S55="F"),IF('Data Source'!V55&gt;=5,"A+",IF('Data Source'!V55&gt;=4,"A",IF('Data Source'!V55&gt;=3.5,"A-",IF('Data Source'!V55&gt;=3,"B",IF('Data Source'!V55&gt;=2,"C",IF('Data Source'!V55&gt;=1,"D","F")))))),"")</f>
        <v/>
      </c>
      <c r="E55" s="3">
        <f>IF(AND('Data Source'!B55&lt;&gt;"",'Data Source'!S55="F"),IF('Data Source'!W55&gt;=5,"A+",IF('Data Source'!W55&gt;=4,"A",IF('Data Source'!W55&gt;=3.5,"A-",IF('Data Source'!W55&gt;=3,"B",IF('Data Source'!W55&gt;=2,"C",IF('Data Source'!W55&gt;=1,"D","F")))))),"")</f>
        <v/>
      </c>
      <c r="F55" s="3">
        <f>IF(AND('Data Source'!B55&lt;&gt;"",'Data Source'!S55="F"),IF('Data Source'!X55&gt;=5,"A+",IF('Data Source'!X55&gt;=4,"A",IF('Data Source'!X55&gt;=3.5,"A-",IF('Data Source'!X55&gt;=3,"B",IF('Data Source'!X55&gt;=2,"C",IF('Data Source'!X55&gt;=1,"D","F")))))),"")</f>
        <v/>
      </c>
      <c r="G55" s="3">
        <f>IF(AND('Data Source'!B55&lt;&gt;"",'Data Source'!S55="F"),IF('Data Source'!Y55&gt;=5,"A+",IF('Data Source'!Y55&gt;=4,"A",IF('Data Source'!Y55&gt;=3.5,"A-",IF('Data Source'!Y55&gt;=3,"B",IF('Data Source'!Y55&gt;=2,"C",IF('Data Source'!Y55&gt;=1,"D","F")))))),"")</f>
        <v/>
      </c>
      <c r="H55" s="3">
        <f>IF(AND('Data Source'!B55&lt;&gt;"",'Data Source'!S55="F"),IF('Data Source'!Z55&gt;=5,"A+",IF('Data Source'!Z55&gt;=4,"A",IF('Data Source'!Z55&gt;=3.5,"A-",IF('Data Source'!Z55&gt;=3,"B",IF('Data Source'!Z55&gt;=2,"C",IF('Data Source'!Z55&gt;=1,"D","F")))))),"")</f>
        <v/>
      </c>
      <c r="I55" s="3">
        <f>IF(AND('Data Source'!B55&lt;&gt;"",'Data Source'!S55="F"),IF('Data Source'!AA55&gt;=5,"A+",IF('Data Source'!AA55&gt;=4,"A",IF('Data Source'!AA55&gt;=3.5,"A-",IF('Data Source'!AA55&gt;=3,"B",IF('Data Source'!AA55&gt;=2,"C",IF('Data Source'!AA55&gt;=1,"D","F")))))),"")</f>
        <v/>
      </c>
      <c r="J55" s="3">
        <f>IF(AND('Data Source'!B55&lt;&gt;"",'Data Source'!S55="F"),IF('Data Source'!AB55&gt;=5,"A+",IF('Data Source'!AB55&gt;=4,"A",IF('Data Source'!AB55&gt;=3.5,"A-",IF('Data Source'!AB55&gt;=3,"B",IF('Data Source'!AB55&gt;=2,"C",IF('Data Source'!AB55&gt;=1,"D","F")))))),"")</f>
        <v/>
      </c>
      <c r="K55" s="3">
        <f>IF(AND('Data Source'!B55&lt;&gt;"",'Data Source'!S55="F"),IF('Data Source'!AC55&gt;=5,"A+",IF('Data Source'!AC55&gt;=4,"A",IF('Data Source'!AC55&gt;=3.5,"A-",IF('Data Source'!AC55&gt;=3,"B",IF('Data Source'!AC55&gt;=2,"C",IF('Data Source'!AC55&gt;=1,"D","F")))))),"")</f>
        <v/>
      </c>
      <c r="L55" s="3">
        <f>IF(AND('Data Source'!B55&lt;&gt;"",'Data Source'!S55="F"),IF('Data Source'!AD55&gt;=5,"A+",IF('Data Source'!AD55&gt;=4,"A",IF('Data Source'!AD55&gt;=3.5,"A-",IF('Data Source'!AD55&gt;=3,"B",IF('Data Source'!AD55&gt;=2,"C",IF('Data Source'!AD55&gt;=1,"D","F")))))),"")</f>
        <v/>
      </c>
      <c r="M55" s="3">
        <f>IF(AND('Data Source'!B55&lt;&gt;"",'Data Source'!S55="F"),IF('Data Source'!AE55&gt;=5,"A+",IF('Data Source'!AE55&gt;=4,"A",IF('Data Source'!AE55&gt;=3.5,"A-",IF('Data Source'!AE55&gt;=3,"B",IF('Data Source'!AE55&gt;=2,"C",IF('Data Source'!AE55&gt;=1,"D","F")))))),"")</f>
        <v/>
      </c>
      <c r="N55" s="3">
        <f>IF(AND('Data Source'!B55&lt;&gt;"",'Data Source'!S55="F"),IF('Data Source'!AF55&gt;=5,"A+",IF('Data Source'!AF55&gt;=4,"A",IF('Data Source'!AF55&gt;=3.5,"A-",IF('Data Source'!AF55&gt;=3,"B",IF('Data Source'!AF55&gt;=2,"C",IF('Data Source'!AF55&gt;=1,"D","F")))))),"")</f>
        <v/>
      </c>
      <c r="O55" s="3">
        <f>IF(AND('Data Source'!B55&lt;&gt;"",'Data Source'!S55="F"),IF('Data Source'!AG55&gt;=5,"A+",IF('Data Source'!AG55&gt;=4,"A",IF('Data Source'!AG55&gt;=3.5,"A-",IF('Data Source'!AG55&gt;=3,"B",IF('Data Source'!AG55&gt;=2,"C",IF('Data Source'!AG55&gt;=1,"D","F")))))),"")</f>
        <v/>
      </c>
      <c r="P55" s="5">
        <f>IF(AND('Data Source'!B55&lt;&gt;"",'Data Source'!S55="F"),'Data Source'!R55,"")</f>
        <v/>
      </c>
      <c r="Q55" s="3">
        <f>IF(AND('Data Source'!B55&lt;&gt;"",'Data Source'!S55="F"),'Data Source'!S55,"")</f>
        <v/>
      </c>
    </row>
    <row r="56">
      <c r="A56" s="3">
        <f>IF(AND('Data Source'!B56&lt;&gt;"",'Data Source'!S56="F"),COUNTIF('Data Source'!$S$3:S56,"F"),"")</f>
        <v/>
      </c>
      <c r="B56">
        <f>IF(AND('Data Source'!B56&lt;&gt;"",'Data Source'!S56="F"),'Data Source'!B56,"")</f>
        <v/>
      </c>
      <c r="C56" s="3">
        <f>IF(AND('Data Source'!B56&lt;&gt;"",'Data Source'!S56="F"),IF('Data Source'!U56&gt;=5,"A+",IF('Data Source'!U56&gt;=4,"A",IF('Data Source'!U56&gt;=3.5,"A-",IF('Data Source'!U56&gt;=3,"B",IF('Data Source'!U56&gt;=2,"C",IF('Data Source'!U56&gt;=1,"D","F")))))),"")</f>
        <v/>
      </c>
      <c r="D56" s="3">
        <f>IF(AND('Data Source'!B56&lt;&gt;"",'Data Source'!S56="F"),IF('Data Source'!V56&gt;=5,"A+",IF('Data Source'!V56&gt;=4,"A",IF('Data Source'!V56&gt;=3.5,"A-",IF('Data Source'!V56&gt;=3,"B",IF('Data Source'!V56&gt;=2,"C",IF('Data Source'!V56&gt;=1,"D","F")))))),"")</f>
        <v/>
      </c>
      <c r="E56" s="3">
        <f>IF(AND('Data Source'!B56&lt;&gt;"",'Data Source'!S56="F"),IF('Data Source'!W56&gt;=5,"A+",IF('Data Source'!W56&gt;=4,"A",IF('Data Source'!W56&gt;=3.5,"A-",IF('Data Source'!W56&gt;=3,"B",IF('Data Source'!W56&gt;=2,"C",IF('Data Source'!W56&gt;=1,"D","F")))))),"")</f>
        <v/>
      </c>
      <c r="F56" s="3">
        <f>IF(AND('Data Source'!B56&lt;&gt;"",'Data Source'!S56="F"),IF('Data Source'!X56&gt;=5,"A+",IF('Data Source'!X56&gt;=4,"A",IF('Data Source'!X56&gt;=3.5,"A-",IF('Data Source'!X56&gt;=3,"B",IF('Data Source'!X56&gt;=2,"C",IF('Data Source'!X56&gt;=1,"D","F")))))),"")</f>
        <v/>
      </c>
      <c r="G56" s="3">
        <f>IF(AND('Data Source'!B56&lt;&gt;"",'Data Source'!S56="F"),IF('Data Source'!Y56&gt;=5,"A+",IF('Data Source'!Y56&gt;=4,"A",IF('Data Source'!Y56&gt;=3.5,"A-",IF('Data Source'!Y56&gt;=3,"B",IF('Data Source'!Y56&gt;=2,"C",IF('Data Source'!Y56&gt;=1,"D","F")))))),"")</f>
        <v/>
      </c>
      <c r="H56" s="3">
        <f>IF(AND('Data Source'!B56&lt;&gt;"",'Data Source'!S56="F"),IF('Data Source'!Z56&gt;=5,"A+",IF('Data Source'!Z56&gt;=4,"A",IF('Data Source'!Z56&gt;=3.5,"A-",IF('Data Source'!Z56&gt;=3,"B",IF('Data Source'!Z56&gt;=2,"C",IF('Data Source'!Z56&gt;=1,"D","F")))))),"")</f>
        <v/>
      </c>
      <c r="I56" s="3">
        <f>IF(AND('Data Source'!B56&lt;&gt;"",'Data Source'!S56="F"),IF('Data Source'!AA56&gt;=5,"A+",IF('Data Source'!AA56&gt;=4,"A",IF('Data Source'!AA56&gt;=3.5,"A-",IF('Data Source'!AA56&gt;=3,"B",IF('Data Source'!AA56&gt;=2,"C",IF('Data Source'!AA56&gt;=1,"D","F")))))),"")</f>
        <v/>
      </c>
      <c r="J56" s="3">
        <f>IF(AND('Data Source'!B56&lt;&gt;"",'Data Source'!S56="F"),IF('Data Source'!AB56&gt;=5,"A+",IF('Data Source'!AB56&gt;=4,"A",IF('Data Source'!AB56&gt;=3.5,"A-",IF('Data Source'!AB56&gt;=3,"B",IF('Data Source'!AB56&gt;=2,"C",IF('Data Source'!AB56&gt;=1,"D","F")))))),"")</f>
        <v/>
      </c>
      <c r="K56" s="3">
        <f>IF(AND('Data Source'!B56&lt;&gt;"",'Data Source'!S56="F"),IF('Data Source'!AC56&gt;=5,"A+",IF('Data Source'!AC56&gt;=4,"A",IF('Data Source'!AC56&gt;=3.5,"A-",IF('Data Source'!AC56&gt;=3,"B",IF('Data Source'!AC56&gt;=2,"C",IF('Data Source'!AC56&gt;=1,"D","F")))))),"")</f>
        <v/>
      </c>
      <c r="L56" s="3">
        <f>IF(AND('Data Source'!B56&lt;&gt;"",'Data Source'!S56="F"),IF('Data Source'!AD56&gt;=5,"A+",IF('Data Source'!AD56&gt;=4,"A",IF('Data Source'!AD56&gt;=3.5,"A-",IF('Data Source'!AD56&gt;=3,"B",IF('Data Source'!AD56&gt;=2,"C",IF('Data Source'!AD56&gt;=1,"D","F")))))),"")</f>
        <v/>
      </c>
      <c r="M56" s="3">
        <f>IF(AND('Data Source'!B56&lt;&gt;"",'Data Source'!S56="F"),IF('Data Source'!AE56&gt;=5,"A+",IF('Data Source'!AE56&gt;=4,"A",IF('Data Source'!AE56&gt;=3.5,"A-",IF('Data Source'!AE56&gt;=3,"B",IF('Data Source'!AE56&gt;=2,"C",IF('Data Source'!AE56&gt;=1,"D","F")))))),"")</f>
        <v/>
      </c>
      <c r="N56" s="3">
        <f>IF(AND('Data Source'!B56&lt;&gt;"",'Data Source'!S56="F"),IF('Data Source'!AF56&gt;=5,"A+",IF('Data Source'!AF56&gt;=4,"A",IF('Data Source'!AF56&gt;=3.5,"A-",IF('Data Source'!AF56&gt;=3,"B",IF('Data Source'!AF56&gt;=2,"C",IF('Data Source'!AF56&gt;=1,"D","F")))))),"")</f>
        <v/>
      </c>
      <c r="O56" s="3">
        <f>IF(AND('Data Source'!B56&lt;&gt;"",'Data Source'!S56="F"),IF('Data Source'!AG56&gt;=5,"A+",IF('Data Source'!AG56&gt;=4,"A",IF('Data Source'!AG56&gt;=3.5,"A-",IF('Data Source'!AG56&gt;=3,"B",IF('Data Source'!AG56&gt;=2,"C",IF('Data Source'!AG56&gt;=1,"D","F")))))),"")</f>
        <v/>
      </c>
      <c r="P56" s="5">
        <f>IF(AND('Data Source'!B56&lt;&gt;"",'Data Source'!S56="F"),'Data Source'!R56,"")</f>
        <v/>
      </c>
      <c r="Q56" s="3">
        <f>IF(AND('Data Source'!B56&lt;&gt;"",'Data Source'!S56="F"),'Data Source'!S56,"")</f>
        <v/>
      </c>
    </row>
    <row r="57">
      <c r="A57" s="3">
        <f>IF(AND('Data Source'!B57&lt;&gt;"",'Data Source'!S57="F"),COUNTIF('Data Source'!$S$3:S57,"F"),"")</f>
        <v/>
      </c>
      <c r="B57">
        <f>IF(AND('Data Source'!B57&lt;&gt;"",'Data Source'!S57="F"),'Data Source'!B57,"")</f>
        <v/>
      </c>
      <c r="C57" s="3">
        <f>IF(AND('Data Source'!B57&lt;&gt;"",'Data Source'!S57="F"),IF('Data Source'!U57&gt;=5,"A+",IF('Data Source'!U57&gt;=4,"A",IF('Data Source'!U57&gt;=3.5,"A-",IF('Data Source'!U57&gt;=3,"B",IF('Data Source'!U57&gt;=2,"C",IF('Data Source'!U57&gt;=1,"D","F")))))),"")</f>
        <v/>
      </c>
      <c r="D57" s="3">
        <f>IF(AND('Data Source'!B57&lt;&gt;"",'Data Source'!S57="F"),IF('Data Source'!V57&gt;=5,"A+",IF('Data Source'!V57&gt;=4,"A",IF('Data Source'!V57&gt;=3.5,"A-",IF('Data Source'!V57&gt;=3,"B",IF('Data Source'!V57&gt;=2,"C",IF('Data Source'!V57&gt;=1,"D","F")))))),"")</f>
        <v/>
      </c>
      <c r="E57" s="3">
        <f>IF(AND('Data Source'!B57&lt;&gt;"",'Data Source'!S57="F"),IF('Data Source'!W57&gt;=5,"A+",IF('Data Source'!W57&gt;=4,"A",IF('Data Source'!W57&gt;=3.5,"A-",IF('Data Source'!W57&gt;=3,"B",IF('Data Source'!W57&gt;=2,"C",IF('Data Source'!W57&gt;=1,"D","F")))))),"")</f>
        <v/>
      </c>
      <c r="F57" s="3">
        <f>IF(AND('Data Source'!B57&lt;&gt;"",'Data Source'!S57="F"),IF('Data Source'!X57&gt;=5,"A+",IF('Data Source'!X57&gt;=4,"A",IF('Data Source'!X57&gt;=3.5,"A-",IF('Data Source'!X57&gt;=3,"B",IF('Data Source'!X57&gt;=2,"C",IF('Data Source'!X57&gt;=1,"D","F")))))),"")</f>
        <v/>
      </c>
      <c r="G57" s="3">
        <f>IF(AND('Data Source'!B57&lt;&gt;"",'Data Source'!S57="F"),IF('Data Source'!Y57&gt;=5,"A+",IF('Data Source'!Y57&gt;=4,"A",IF('Data Source'!Y57&gt;=3.5,"A-",IF('Data Source'!Y57&gt;=3,"B",IF('Data Source'!Y57&gt;=2,"C",IF('Data Source'!Y57&gt;=1,"D","F")))))),"")</f>
        <v/>
      </c>
      <c r="H57" s="3">
        <f>IF(AND('Data Source'!B57&lt;&gt;"",'Data Source'!S57="F"),IF('Data Source'!Z57&gt;=5,"A+",IF('Data Source'!Z57&gt;=4,"A",IF('Data Source'!Z57&gt;=3.5,"A-",IF('Data Source'!Z57&gt;=3,"B",IF('Data Source'!Z57&gt;=2,"C",IF('Data Source'!Z57&gt;=1,"D","F")))))),"")</f>
        <v/>
      </c>
      <c r="I57" s="3">
        <f>IF(AND('Data Source'!B57&lt;&gt;"",'Data Source'!S57="F"),IF('Data Source'!AA57&gt;=5,"A+",IF('Data Source'!AA57&gt;=4,"A",IF('Data Source'!AA57&gt;=3.5,"A-",IF('Data Source'!AA57&gt;=3,"B",IF('Data Source'!AA57&gt;=2,"C",IF('Data Source'!AA57&gt;=1,"D","F")))))),"")</f>
        <v/>
      </c>
      <c r="J57" s="3">
        <f>IF(AND('Data Source'!B57&lt;&gt;"",'Data Source'!S57="F"),IF('Data Source'!AB57&gt;=5,"A+",IF('Data Source'!AB57&gt;=4,"A",IF('Data Source'!AB57&gt;=3.5,"A-",IF('Data Source'!AB57&gt;=3,"B",IF('Data Source'!AB57&gt;=2,"C",IF('Data Source'!AB57&gt;=1,"D","F")))))),"")</f>
        <v/>
      </c>
      <c r="K57" s="3">
        <f>IF(AND('Data Source'!B57&lt;&gt;"",'Data Source'!S57="F"),IF('Data Source'!AC57&gt;=5,"A+",IF('Data Source'!AC57&gt;=4,"A",IF('Data Source'!AC57&gt;=3.5,"A-",IF('Data Source'!AC57&gt;=3,"B",IF('Data Source'!AC57&gt;=2,"C",IF('Data Source'!AC57&gt;=1,"D","F")))))),"")</f>
        <v/>
      </c>
      <c r="L57" s="3">
        <f>IF(AND('Data Source'!B57&lt;&gt;"",'Data Source'!S57="F"),IF('Data Source'!AD57&gt;=5,"A+",IF('Data Source'!AD57&gt;=4,"A",IF('Data Source'!AD57&gt;=3.5,"A-",IF('Data Source'!AD57&gt;=3,"B",IF('Data Source'!AD57&gt;=2,"C",IF('Data Source'!AD57&gt;=1,"D","F")))))),"")</f>
        <v/>
      </c>
      <c r="M57" s="3">
        <f>IF(AND('Data Source'!B57&lt;&gt;"",'Data Source'!S57="F"),IF('Data Source'!AE57&gt;=5,"A+",IF('Data Source'!AE57&gt;=4,"A",IF('Data Source'!AE57&gt;=3.5,"A-",IF('Data Source'!AE57&gt;=3,"B",IF('Data Source'!AE57&gt;=2,"C",IF('Data Source'!AE57&gt;=1,"D","F")))))),"")</f>
        <v/>
      </c>
      <c r="N57" s="3">
        <f>IF(AND('Data Source'!B57&lt;&gt;"",'Data Source'!S57="F"),IF('Data Source'!AF57&gt;=5,"A+",IF('Data Source'!AF57&gt;=4,"A",IF('Data Source'!AF57&gt;=3.5,"A-",IF('Data Source'!AF57&gt;=3,"B",IF('Data Source'!AF57&gt;=2,"C",IF('Data Source'!AF57&gt;=1,"D","F")))))),"")</f>
        <v/>
      </c>
      <c r="O57" s="3">
        <f>IF(AND('Data Source'!B57&lt;&gt;"",'Data Source'!S57="F"),IF('Data Source'!AG57&gt;=5,"A+",IF('Data Source'!AG57&gt;=4,"A",IF('Data Source'!AG57&gt;=3.5,"A-",IF('Data Source'!AG57&gt;=3,"B",IF('Data Source'!AG57&gt;=2,"C",IF('Data Source'!AG57&gt;=1,"D","F")))))),"")</f>
        <v/>
      </c>
      <c r="P57" s="5">
        <f>IF(AND('Data Source'!B57&lt;&gt;"",'Data Source'!S57="F"),'Data Source'!R57,"")</f>
        <v/>
      </c>
      <c r="Q57" s="3">
        <f>IF(AND('Data Source'!B57&lt;&gt;"",'Data Source'!S57="F"),'Data Source'!S57,"")</f>
        <v/>
      </c>
    </row>
    <row r="58">
      <c r="A58" s="3">
        <f>IF(AND('Data Source'!B58&lt;&gt;"",'Data Source'!S58="F"),COUNTIF('Data Source'!$S$3:S58,"F"),"")</f>
        <v/>
      </c>
      <c r="B58">
        <f>IF(AND('Data Source'!B58&lt;&gt;"",'Data Source'!S58="F"),'Data Source'!B58,"")</f>
        <v/>
      </c>
      <c r="C58" s="3">
        <f>IF(AND('Data Source'!B58&lt;&gt;"",'Data Source'!S58="F"),IF('Data Source'!U58&gt;=5,"A+",IF('Data Source'!U58&gt;=4,"A",IF('Data Source'!U58&gt;=3.5,"A-",IF('Data Source'!U58&gt;=3,"B",IF('Data Source'!U58&gt;=2,"C",IF('Data Source'!U58&gt;=1,"D","F")))))),"")</f>
        <v/>
      </c>
      <c r="D58" s="3">
        <f>IF(AND('Data Source'!B58&lt;&gt;"",'Data Source'!S58="F"),IF('Data Source'!V58&gt;=5,"A+",IF('Data Source'!V58&gt;=4,"A",IF('Data Source'!V58&gt;=3.5,"A-",IF('Data Source'!V58&gt;=3,"B",IF('Data Source'!V58&gt;=2,"C",IF('Data Source'!V58&gt;=1,"D","F")))))),"")</f>
        <v/>
      </c>
      <c r="E58" s="3">
        <f>IF(AND('Data Source'!B58&lt;&gt;"",'Data Source'!S58="F"),IF('Data Source'!W58&gt;=5,"A+",IF('Data Source'!W58&gt;=4,"A",IF('Data Source'!W58&gt;=3.5,"A-",IF('Data Source'!W58&gt;=3,"B",IF('Data Source'!W58&gt;=2,"C",IF('Data Source'!W58&gt;=1,"D","F")))))),"")</f>
        <v/>
      </c>
      <c r="F58" s="3">
        <f>IF(AND('Data Source'!B58&lt;&gt;"",'Data Source'!S58="F"),IF('Data Source'!X58&gt;=5,"A+",IF('Data Source'!X58&gt;=4,"A",IF('Data Source'!X58&gt;=3.5,"A-",IF('Data Source'!X58&gt;=3,"B",IF('Data Source'!X58&gt;=2,"C",IF('Data Source'!X58&gt;=1,"D","F")))))),"")</f>
        <v/>
      </c>
      <c r="G58" s="3">
        <f>IF(AND('Data Source'!B58&lt;&gt;"",'Data Source'!S58="F"),IF('Data Source'!Y58&gt;=5,"A+",IF('Data Source'!Y58&gt;=4,"A",IF('Data Source'!Y58&gt;=3.5,"A-",IF('Data Source'!Y58&gt;=3,"B",IF('Data Source'!Y58&gt;=2,"C",IF('Data Source'!Y58&gt;=1,"D","F")))))),"")</f>
        <v/>
      </c>
      <c r="H58" s="3">
        <f>IF(AND('Data Source'!B58&lt;&gt;"",'Data Source'!S58="F"),IF('Data Source'!Z58&gt;=5,"A+",IF('Data Source'!Z58&gt;=4,"A",IF('Data Source'!Z58&gt;=3.5,"A-",IF('Data Source'!Z58&gt;=3,"B",IF('Data Source'!Z58&gt;=2,"C",IF('Data Source'!Z58&gt;=1,"D","F")))))),"")</f>
        <v/>
      </c>
      <c r="I58" s="3">
        <f>IF(AND('Data Source'!B58&lt;&gt;"",'Data Source'!S58="F"),IF('Data Source'!AA58&gt;=5,"A+",IF('Data Source'!AA58&gt;=4,"A",IF('Data Source'!AA58&gt;=3.5,"A-",IF('Data Source'!AA58&gt;=3,"B",IF('Data Source'!AA58&gt;=2,"C",IF('Data Source'!AA58&gt;=1,"D","F")))))),"")</f>
        <v/>
      </c>
      <c r="J58" s="3">
        <f>IF(AND('Data Source'!B58&lt;&gt;"",'Data Source'!S58="F"),IF('Data Source'!AB58&gt;=5,"A+",IF('Data Source'!AB58&gt;=4,"A",IF('Data Source'!AB58&gt;=3.5,"A-",IF('Data Source'!AB58&gt;=3,"B",IF('Data Source'!AB58&gt;=2,"C",IF('Data Source'!AB58&gt;=1,"D","F")))))),"")</f>
        <v/>
      </c>
      <c r="K58" s="3">
        <f>IF(AND('Data Source'!B58&lt;&gt;"",'Data Source'!S58="F"),IF('Data Source'!AC58&gt;=5,"A+",IF('Data Source'!AC58&gt;=4,"A",IF('Data Source'!AC58&gt;=3.5,"A-",IF('Data Source'!AC58&gt;=3,"B",IF('Data Source'!AC58&gt;=2,"C",IF('Data Source'!AC58&gt;=1,"D","F")))))),"")</f>
        <v/>
      </c>
      <c r="L58" s="3">
        <f>IF(AND('Data Source'!B58&lt;&gt;"",'Data Source'!S58="F"),IF('Data Source'!AD58&gt;=5,"A+",IF('Data Source'!AD58&gt;=4,"A",IF('Data Source'!AD58&gt;=3.5,"A-",IF('Data Source'!AD58&gt;=3,"B",IF('Data Source'!AD58&gt;=2,"C",IF('Data Source'!AD58&gt;=1,"D","F")))))),"")</f>
        <v/>
      </c>
      <c r="M58" s="3">
        <f>IF(AND('Data Source'!B58&lt;&gt;"",'Data Source'!S58="F"),IF('Data Source'!AE58&gt;=5,"A+",IF('Data Source'!AE58&gt;=4,"A",IF('Data Source'!AE58&gt;=3.5,"A-",IF('Data Source'!AE58&gt;=3,"B",IF('Data Source'!AE58&gt;=2,"C",IF('Data Source'!AE58&gt;=1,"D","F")))))),"")</f>
        <v/>
      </c>
      <c r="N58" s="3">
        <f>IF(AND('Data Source'!B58&lt;&gt;"",'Data Source'!S58="F"),IF('Data Source'!AF58&gt;=5,"A+",IF('Data Source'!AF58&gt;=4,"A",IF('Data Source'!AF58&gt;=3.5,"A-",IF('Data Source'!AF58&gt;=3,"B",IF('Data Source'!AF58&gt;=2,"C",IF('Data Source'!AF58&gt;=1,"D","F")))))),"")</f>
        <v/>
      </c>
      <c r="O58" s="3">
        <f>IF(AND('Data Source'!B58&lt;&gt;"",'Data Source'!S58="F"),IF('Data Source'!AG58&gt;=5,"A+",IF('Data Source'!AG58&gt;=4,"A",IF('Data Source'!AG58&gt;=3.5,"A-",IF('Data Source'!AG58&gt;=3,"B",IF('Data Source'!AG58&gt;=2,"C",IF('Data Source'!AG58&gt;=1,"D","F")))))),"")</f>
        <v/>
      </c>
      <c r="P58" s="5">
        <f>IF(AND('Data Source'!B58&lt;&gt;"",'Data Source'!S58="F"),'Data Source'!R58,"")</f>
        <v/>
      </c>
      <c r="Q58" s="3">
        <f>IF(AND('Data Source'!B58&lt;&gt;"",'Data Source'!S58="F"),'Data Source'!S58,"")</f>
        <v/>
      </c>
    </row>
    <row r="59">
      <c r="A59" s="3">
        <f>IF(AND('Data Source'!B59&lt;&gt;"",'Data Source'!S59="F"),COUNTIF('Data Source'!$S$3:S59,"F"),"")</f>
        <v/>
      </c>
      <c r="B59">
        <f>IF(AND('Data Source'!B59&lt;&gt;"",'Data Source'!S59="F"),'Data Source'!B59,"")</f>
        <v/>
      </c>
      <c r="C59" s="3">
        <f>IF(AND('Data Source'!B59&lt;&gt;"",'Data Source'!S59="F"),IF('Data Source'!U59&gt;=5,"A+",IF('Data Source'!U59&gt;=4,"A",IF('Data Source'!U59&gt;=3.5,"A-",IF('Data Source'!U59&gt;=3,"B",IF('Data Source'!U59&gt;=2,"C",IF('Data Source'!U59&gt;=1,"D","F")))))),"")</f>
        <v/>
      </c>
      <c r="D59" s="3">
        <f>IF(AND('Data Source'!B59&lt;&gt;"",'Data Source'!S59="F"),IF('Data Source'!V59&gt;=5,"A+",IF('Data Source'!V59&gt;=4,"A",IF('Data Source'!V59&gt;=3.5,"A-",IF('Data Source'!V59&gt;=3,"B",IF('Data Source'!V59&gt;=2,"C",IF('Data Source'!V59&gt;=1,"D","F")))))),"")</f>
        <v/>
      </c>
      <c r="E59" s="3">
        <f>IF(AND('Data Source'!B59&lt;&gt;"",'Data Source'!S59="F"),IF('Data Source'!W59&gt;=5,"A+",IF('Data Source'!W59&gt;=4,"A",IF('Data Source'!W59&gt;=3.5,"A-",IF('Data Source'!W59&gt;=3,"B",IF('Data Source'!W59&gt;=2,"C",IF('Data Source'!W59&gt;=1,"D","F")))))),"")</f>
        <v/>
      </c>
      <c r="F59" s="3">
        <f>IF(AND('Data Source'!B59&lt;&gt;"",'Data Source'!S59="F"),IF('Data Source'!X59&gt;=5,"A+",IF('Data Source'!X59&gt;=4,"A",IF('Data Source'!X59&gt;=3.5,"A-",IF('Data Source'!X59&gt;=3,"B",IF('Data Source'!X59&gt;=2,"C",IF('Data Source'!X59&gt;=1,"D","F")))))),"")</f>
        <v/>
      </c>
      <c r="G59" s="3">
        <f>IF(AND('Data Source'!B59&lt;&gt;"",'Data Source'!S59="F"),IF('Data Source'!Y59&gt;=5,"A+",IF('Data Source'!Y59&gt;=4,"A",IF('Data Source'!Y59&gt;=3.5,"A-",IF('Data Source'!Y59&gt;=3,"B",IF('Data Source'!Y59&gt;=2,"C",IF('Data Source'!Y59&gt;=1,"D","F")))))),"")</f>
        <v/>
      </c>
      <c r="H59" s="3">
        <f>IF(AND('Data Source'!B59&lt;&gt;"",'Data Source'!S59="F"),IF('Data Source'!Z59&gt;=5,"A+",IF('Data Source'!Z59&gt;=4,"A",IF('Data Source'!Z59&gt;=3.5,"A-",IF('Data Source'!Z59&gt;=3,"B",IF('Data Source'!Z59&gt;=2,"C",IF('Data Source'!Z59&gt;=1,"D","F")))))),"")</f>
        <v/>
      </c>
      <c r="I59" s="3">
        <f>IF(AND('Data Source'!B59&lt;&gt;"",'Data Source'!S59="F"),IF('Data Source'!AA59&gt;=5,"A+",IF('Data Source'!AA59&gt;=4,"A",IF('Data Source'!AA59&gt;=3.5,"A-",IF('Data Source'!AA59&gt;=3,"B",IF('Data Source'!AA59&gt;=2,"C",IF('Data Source'!AA59&gt;=1,"D","F")))))),"")</f>
        <v/>
      </c>
      <c r="J59" s="3">
        <f>IF(AND('Data Source'!B59&lt;&gt;"",'Data Source'!S59="F"),IF('Data Source'!AB59&gt;=5,"A+",IF('Data Source'!AB59&gt;=4,"A",IF('Data Source'!AB59&gt;=3.5,"A-",IF('Data Source'!AB59&gt;=3,"B",IF('Data Source'!AB59&gt;=2,"C",IF('Data Source'!AB59&gt;=1,"D","F")))))),"")</f>
        <v/>
      </c>
      <c r="K59" s="3">
        <f>IF(AND('Data Source'!B59&lt;&gt;"",'Data Source'!S59="F"),IF('Data Source'!AC59&gt;=5,"A+",IF('Data Source'!AC59&gt;=4,"A",IF('Data Source'!AC59&gt;=3.5,"A-",IF('Data Source'!AC59&gt;=3,"B",IF('Data Source'!AC59&gt;=2,"C",IF('Data Source'!AC59&gt;=1,"D","F")))))),"")</f>
        <v/>
      </c>
      <c r="L59" s="3">
        <f>IF(AND('Data Source'!B59&lt;&gt;"",'Data Source'!S59="F"),IF('Data Source'!AD59&gt;=5,"A+",IF('Data Source'!AD59&gt;=4,"A",IF('Data Source'!AD59&gt;=3.5,"A-",IF('Data Source'!AD59&gt;=3,"B",IF('Data Source'!AD59&gt;=2,"C",IF('Data Source'!AD59&gt;=1,"D","F")))))),"")</f>
        <v/>
      </c>
      <c r="M59" s="3">
        <f>IF(AND('Data Source'!B59&lt;&gt;"",'Data Source'!S59="F"),IF('Data Source'!AE59&gt;=5,"A+",IF('Data Source'!AE59&gt;=4,"A",IF('Data Source'!AE59&gt;=3.5,"A-",IF('Data Source'!AE59&gt;=3,"B",IF('Data Source'!AE59&gt;=2,"C",IF('Data Source'!AE59&gt;=1,"D","F")))))),"")</f>
        <v/>
      </c>
      <c r="N59" s="3">
        <f>IF(AND('Data Source'!B59&lt;&gt;"",'Data Source'!S59="F"),IF('Data Source'!AF59&gt;=5,"A+",IF('Data Source'!AF59&gt;=4,"A",IF('Data Source'!AF59&gt;=3.5,"A-",IF('Data Source'!AF59&gt;=3,"B",IF('Data Source'!AF59&gt;=2,"C",IF('Data Source'!AF59&gt;=1,"D","F")))))),"")</f>
        <v/>
      </c>
      <c r="O59" s="3">
        <f>IF(AND('Data Source'!B59&lt;&gt;"",'Data Source'!S59="F"),IF('Data Source'!AG59&gt;=5,"A+",IF('Data Source'!AG59&gt;=4,"A",IF('Data Source'!AG59&gt;=3.5,"A-",IF('Data Source'!AG59&gt;=3,"B",IF('Data Source'!AG59&gt;=2,"C",IF('Data Source'!AG59&gt;=1,"D","F")))))),"")</f>
        <v/>
      </c>
      <c r="P59" s="5">
        <f>IF(AND('Data Source'!B59&lt;&gt;"",'Data Source'!S59="F"),'Data Source'!R59,"")</f>
        <v/>
      </c>
      <c r="Q59" s="3">
        <f>IF(AND('Data Source'!B59&lt;&gt;"",'Data Source'!S59="F"),'Data Source'!S59,"")</f>
        <v/>
      </c>
    </row>
    <row r="60">
      <c r="A60" s="3">
        <f>IF(AND('Data Source'!B60&lt;&gt;"",'Data Source'!S60="F"),COUNTIF('Data Source'!$S$3:S60,"F"),"")</f>
        <v/>
      </c>
      <c r="B60">
        <f>IF(AND('Data Source'!B60&lt;&gt;"",'Data Source'!S60="F"),'Data Source'!B60,"")</f>
        <v/>
      </c>
      <c r="C60" s="3">
        <f>IF(AND('Data Source'!B60&lt;&gt;"",'Data Source'!S60="F"),IF('Data Source'!U60&gt;=5,"A+",IF('Data Source'!U60&gt;=4,"A",IF('Data Source'!U60&gt;=3.5,"A-",IF('Data Source'!U60&gt;=3,"B",IF('Data Source'!U60&gt;=2,"C",IF('Data Source'!U60&gt;=1,"D","F")))))),"")</f>
        <v/>
      </c>
      <c r="D60" s="3">
        <f>IF(AND('Data Source'!B60&lt;&gt;"",'Data Source'!S60="F"),IF('Data Source'!V60&gt;=5,"A+",IF('Data Source'!V60&gt;=4,"A",IF('Data Source'!V60&gt;=3.5,"A-",IF('Data Source'!V60&gt;=3,"B",IF('Data Source'!V60&gt;=2,"C",IF('Data Source'!V60&gt;=1,"D","F")))))),"")</f>
        <v/>
      </c>
      <c r="E60" s="3">
        <f>IF(AND('Data Source'!B60&lt;&gt;"",'Data Source'!S60="F"),IF('Data Source'!W60&gt;=5,"A+",IF('Data Source'!W60&gt;=4,"A",IF('Data Source'!W60&gt;=3.5,"A-",IF('Data Source'!W60&gt;=3,"B",IF('Data Source'!W60&gt;=2,"C",IF('Data Source'!W60&gt;=1,"D","F")))))),"")</f>
        <v/>
      </c>
      <c r="F60" s="3">
        <f>IF(AND('Data Source'!B60&lt;&gt;"",'Data Source'!S60="F"),IF('Data Source'!X60&gt;=5,"A+",IF('Data Source'!X60&gt;=4,"A",IF('Data Source'!X60&gt;=3.5,"A-",IF('Data Source'!X60&gt;=3,"B",IF('Data Source'!X60&gt;=2,"C",IF('Data Source'!X60&gt;=1,"D","F")))))),"")</f>
        <v/>
      </c>
      <c r="G60" s="3">
        <f>IF(AND('Data Source'!B60&lt;&gt;"",'Data Source'!S60="F"),IF('Data Source'!Y60&gt;=5,"A+",IF('Data Source'!Y60&gt;=4,"A",IF('Data Source'!Y60&gt;=3.5,"A-",IF('Data Source'!Y60&gt;=3,"B",IF('Data Source'!Y60&gt;=2,"C",IF('Data Source'!Y60&gt;=1,"D","F")))))),"")</f>
        <v/>
      </c>
      <c r="H60" s="3">
        <f>IF(AND('Data Source'!B60&lt;&gt;"",'Data Source'!S60="F"),IF('Data Source'!Z60&gt;=5,"A+",IF('Data Source'!Z60&gt;=4,"A",IF('Data Source'!Z60&gt;=3.5,"A-",IF('Data Source'!Z60&gt;=3,"B",IF('Data Source'!Z60&gt;=2,"C",IF('Data Source'!Z60&gt;=1,"D","F")))))),"")</f>
        <v/>
      </c>
      <c r="I60" s="3">
        <f>IF(AND('Data Source'!B60&lt;&gt;"",'Data Source'!S60="F"),IF('Data Source'!AA60&gt;=5,"A+",IF('Data Source'!AA60&gt;=4,"A",IF('Data Source'!AA60&gt;=3.5,"A-",IF('Data Source'!AA60&gt;=3,"B",IF('Data Source'!AA60&gt;=2,"C",IF('Data Source'!AA60&gt;=1,"D","F")))))),"")</f>
        <v/>
      </c>
      <c r="J60" s="3">
        <f>IF(AND('Data Source'!B60&lt;&gt;"",'Data Source'!S60="F"),IF('Data Source'!AB60&gt;=5,"A+",IF('Data Source'!AB60&gt;=4,"A",IF('Data Source'!AB60&gt;=3.5,"A-",IF('Data Source'!AB60&gt;=3,"B",IF('Data Source'!AB60&gt;=2,"C",IF('Data Source'!AB60&gt;=1,"D","F")))))),"")</f>
        <v/>
      </c>
      <c r="K60" s="3">
        <f>IF(AND('Data Source'!B60&lt;&gt;"",'Data Source'!S60="F"),IF('Data Source'!AC60&gt;=5,"A+",IF('Data Source'!AC60&gt;=4,"A",IF('Data Source'!AC60&gt;=3.5,"A-",IF('Data Source'!AC60&gt;=3,"B",IF('Data Source'!AC60&gt;=2,"C",IF('Data Source'!AC60&gt;=1,"D","F")))))),"")</f>
        <v/>
      </c>
      <c r="L60" s="3">
        <f>IF(AND('Data Source'!B60&lt;&gt;"",'Data Source'!S60="F"),IF('Data Source'!AD60&gt;=5,"A+",IF('Data Source'!AD60&gt;=4,"A",IF('Data Source'!AD60&gt;=3.5,"A-",IF('Data Source'!AD60&gt;=3,"B",IF('Data Source'!AD60&gt;=2,"C",IF('Data Source'!AD60&gt;=1,"D","F")))))),"")</f>
        <v/>
      </c>
      <c r="M60" s="3">
        <f>IF(AND('Data Source'!B60&lt;&gt;"",'Data Source'!S60="F"),IF('Data Source'!AE60&gt;=5,"A+",IF('Data Source'!AE60&gt;=4,"A",IF('Data Source'!AE60&gt;=3.5,"A-",IF('Data Source'!AE60&gt;=3,"B",IF('Data Source'!AE60&gt;=2,"C",IF('Data Source'!AE60&gt;=1,"D","F")))))),"")</f>
        <v/>
      </c>
      <c r="N60" s="3">
        <f>IF(AND('Data Source'!B60&lt;&gt;"",'Data Source'!S60="F"),IF('Data Source'!AF60&gt;=5,"A+",IF('Data Source'!AF60&gt;=4,"A",IF('Data Source'!AF60&gt;=3.5,"A-",IF('Data Source'!AF60&gt;=3,"B",IF('Data Source'!AF60&gt;=2,"C",IF('Data Source'!AF60&gt;=1,"D","F")))))),"")</f>
        <v/>
      </c>
      <c r="O60" s="3">
        <f>IF(AND('Data Source'!B60&lt;&gt;"",'Data Source'!S60="F"),IF('Data Source'!AG60&gt;=5,"A+",IF('Data Source'!AG60&gt;=4,"A",IF('Data Source'!AG60&gt;=3.5,"A-",IF('Data Source'!AG60&gt;=3,"B",IF('Data Source'!AG60&gt;=2,"C",IF('Data Source'!AG60&gt;=1,"D","F")))))),"")</f>
        <v/>
      </c>
      <c r="P60" s="5">
        <f>IF(AND('Data Source'!B60&lt;&gt;"",'Data Source'!S60="F"),'Data Source'!R60,"")</f>
        <v/>
      </c>
      <c r="Q60" s="3">
        <f>IF(AND('Data Source'!B60&lt;&gt;"",'Data Source'!S60="F"),'Data Source'!S60,"")</f>
        <v/>
      </c>
    </row>
    <row r="61">
      <c r="A61" s="3">
        <f>IF(AND('Data Source'!B61&lt;&gt;"",'Data Source'!S61="F"),COUNTIF('Data Source'!$S$3:S61,"F"),"")</f>
        <v/>
      </c>
      <c r="B61">
        <f>IF(AND('Data Source'!B61&lt;&gt;"",'Data Source'!S61="F"),'Data Source'!B61,"")</f>
        <v/>
      </c>
      <c r="C61" s="3">
        <f>IF(AND('Data Source'!B61&lt;&gt;"",'Data Source'!S61="F"),IF('Data Source'!U61&gt;=5,"A+",IF('Data Source'!U61&gt;=4,"A",IF('Data Source'!U61&gt;=3.5,"A-",IF('Data Source'!U61&gt;=3,"B",IF('Data Source'!U61&gt;=2,"C",IF('Data Source'!U61&gt;=1,"D","F")))))),"")</f>
        <v/>
      </c>
      <c r="D61" s="3">
        <f>IF(AND('Data Source'!B61&lt;&gt;"",'Data Source'!S61="F"),IF('Data Source'!V61&gt;=5,"A+",IF('Data Source'!V61&gt;=4,"A",IF('Data Source'!V61&gt;=3.5,"A-",IF('Data Source'!V61&gt;=3,"B",IF('Data Source'!V61&gt;=2,"C",IF('Data Source'!V61&gt;=1,"D","F")))))),"")</f>
        <v/>
      </c>
      <c r="E61" s="3">
        <f>IF(AND('Data Source'!B61&lt;&gt;"",'Data Source'!S61="F"),IF('Data Source'!W61&gt;=5,"A+",IF('Data Source'!W61&gt;=4,"A",IF('Data Source'!W61&gt;=3.5,"A-",IF('Data Source'!W61&gt;=3,"B",IF('Data Source'!W61&gt;=2,"C",IF('Data Source'!W61&gt;=1,"D","F")))))),"")</f>
        <v/>
      </c>
      <c r="F61" s="3">
        <f>IF(AND('Data Source'!B61&lt;&gt;"",'Data Source'!S61="F"),IF('Data Source'!X61&gt;=5,"A+",IF('Data Source'!X61&gt;=4,"A",IF('Data Source'!X61&gt;=3.5,"A-",IF('Data Source'!X61&gt;=3,"B",IF('Data Source'!X61&gt;=2,"C",IF('Data Source'!X61&gt;=1,"D","F")))))),"")</f>
        <v/>
      </c>
      <c r="G61" s="3">
        <f>IF(AND('Data Source'!B61&lt;&gt;"",'Data Source'!S61="F"),IF('Data Source'!Y61&gt;=5,"A+",IF('Data Source'!Y61&gt;=4,"A",IF('Data Source'!Y61&gt;=3.5,"A-",IF('Data Source'!Y61&gt;=3,"B",IF('Data Source'!Y61&gt;=2,"C",IF('Data Source'!Y61&gt;=1,"D","F")))))),"")</f>
        <v/>
      </c>
      <c r="H61" s="3">
        <f>IF(AND('Data Source'!B61&lt;&gt;"",'Data Source'!S61="F"),IF('Data Source'!Z61&gt;=5,"A+",IF('Data Source'!Z61&gt;=4,"A",IF('Data Source'!Z61&gt;=3.5,"A-",IF('Data Source'!Z61&gt;=3,"B",IF('Data Source'!Z61&gt;=2,"C",IF('Data Source'!Z61&gt;=1,"D","F")))))),"")</f>
        <v/>
      </c>
      <c r="I61" s="3">
        <f>IF(AND('Data Source'!B61&lt;&gt;"",'Data Source'!S61="F"),IF('Data Source'!AA61&gt;=5,"A+",IF('Data Source'!AA61&gt;=4,"A",IF('Data Source'!AA61&gt;=3.5,"A-",IF('Data Source'!AA61&gt;=3,"B",IF('Data Source'!AA61&gt;=2,"C",IF('Data Source'!AA61&gt;=1,"D","F")))))),"")</f>
        <v/>
      </c>
      <c r="J61" s="3">
        <f>IF(AND('Data Source'!B61&lt;&gt;"",'Data Source'!S61="F"),IF('Data Source'!AB61&gt;=5,"A+",IF('Data Source'!AB61&gt;=4,"A",IF('Data Source'!AB61&gt;=3.5,"A-",IF('Data Source'!AB61&gt;=3,"B",IF('Data Source'!AB61&gt;=2,"C",IF('Data Source'!AB61&gt;=1,"D","F")))))),"")</f>
        <v/>
      </c>
      <c r="K61" s="3">
        <f>IF(AND('Data Source'!B61&lt;&gt;"",'Data Source'!S61="F"),IF('Data Source'!AC61&gt;=5,"A+",IF('Data Source'!AC61&gt;=4,"A",IF('Data Source'!AC61&gt;=3.5,"A-",IF('Data Source'!AC61&gt;=3,"B",IF('Data Source'!AC61&gt;=2,"C",IF('Data Source'!AC61&gt;=1,"D","F")))))),"")</f>
        <v/>
      </c>
      <c r="L61" s="3">
        <f>IF(AND('Data Source'!B61&lt;&gt;"",'Data Source'!S61="F"),IF('Data Source'!AD61&gt;=5,"A+",IF('Data Source'!AD61&gt;=4,"A",IF('Data Source'!AD61&gt;=3.5,"A-",IF('Data Source'!AD61&gt;=3,"B",IF('Data Source'!AD61&gt;=2,"C",IF('Data Source'!AD61&gt;=1,"D","F")))))),"")</f>
        <v/>
      </c>
      <c r="M61" s="3">
        <f>IF(AND('Data Source'!B61&lt;&gt;"",'Data Source'!S61="F"),IF('Data Source'!AE61&gt;=5,"A+",IF('Data Source'!AE61&gt;=4,"A",IF('Data Source'!AE61&gt;=3.5,"A-",IF('Data Source'!AE61&gt;=3,"B",IF('Data Source'!AE61&gt;=2,"C",IF('Data Source'!AE61&gt;=1,"D","F")))))),"")</f>
        <v/>
      </c>
      <c r="N61" s="3">
        <f>IF(AND('Data Source'!B61&lt;&gt;"",'Data Source'!S61="F"),IF('Data Source'!AF61&gt;=5,"A+",IF('Data Source'!AF61&gt;=4,"A",IF('Data Source'!AF61&gt;=3.5,"A-",IF('Data Source'!AF61&gt;=3,"B",IF('Data Source'!AF61&gt;=2,"C",IF('Data Source'!AF61&gt;=1,"D","F")))))),"")</f>
        <v/>
      </c>
      <c r="O61" s="3">
        <f>IF(AND('Data Source'!B61&lt;&gt;"",'Data Source'!S61="F"),IF('Data Source'!AG61&gt;=5,"A+",IF('Data Source'!AG61&gt;=4,"A",IF('Data Source'!AG61&gt;=3.5,"A-",IF('Data Source'!AG61&gt;=3,"B",IF('Data Source'!AG61&gt;=2,"C",IF('Data Source'!AG61&gt;=1,"D","F")))))),"")</f>
        <v/>
      </c>
      <c r="P61" s="5">
        <f>IF(AND('Data Source'!B61&lt;&gt;"",'Data Source'!S61="F"),'Data Source'!R61,"")</f>
        <v/>
      </c>
      <c r="Q61" s="3">
        <f>IF(AND('Data Source'!B61&lt;&gt;"",'Data Source'!S61="F"),'Data Source'!S61,"")</f>
        <v/>
      </c>
    </row>
    <row r="62">
      <c r="A62" s="3">
        <f>IF(AND('Data Source'!B62&lt;&gt;"",'Data Source'!S62="F"),COUNTIF('Data Source'!$S$3:S62,"F"),"")</f>
        <v/>
      </c>
      <c r="B62">
        <f>IF(AND('Data Source'!B62&lt;&gt;"",'Data Source'!S62="F"),'Data Source'!B62,"")</f>
        <v/>
      </c>
      <c r="C62" s="3">
        <f>IF(AND('Data Source'!B62&lt;&gt;"",'Data Source'!S62="F"),IF('Data Source'!U62&gt;=5,"A+",IF('Data Source'!U62&gt;=4,"A",IF('Data Source'!U62&gt;=3.5,"A-",IF('Data Source'!U62&gt;=3,"B",IF('Data Source'!U62&gt;=2,"C",IF('Data Source'!U62&gt;=1,"D","F")))))),"")</f>
        <v/>
      </c>
      <c r="D62" s="3">
        <f>IF(AND('Data Source'!B62&lt;&gt;"",'Data Source'!S62="F"),IF('Data Source'!V62&gt;=5,"A+",IF('Data Source'!V62&gt;=4,"A",IF('Data Source'!V62&gt;=3.5,"A-",IF('Data Source'!V62&gt;=3,"B",IF('Data Source'!V62&gt;=2,"C",IF('Data Source'!V62&gt;=1,"D","F")))))),"")</f>
        <v/>
      </c>
      <c r="E62" s="3">
        <f>IF(AND('Data Source'!B62&lt;&gt;"",'Data Source'!S62="F"),IF('Data Source'!W62&gt;=5,"A+",IF('Data Source'!W62&gt;=4,"A",IF('Data Source'!W62&gt;=3.5,"A-",IF('Data Source'!W62&gt;=3,"B",IF('Data Source'!W62&gt;=2,"C",IF('Data Source'!W62&gt;=1,"D","F")))))),"")</f>
        <v/>
      </c>
      <c r="F62" s="3">
        <f>IF(AND('Data Source'!B62&lt;&gt;"",'Data Source'!S62="F"),IF('Data Source'!X62&gt;=5,"A+",IF('Data Source'!X62&gt;=4,"A",IF('Data Source'!X62&gt;=3.5,"A-",IF('Data Source'!X62&gt;=3,"B",IF('Data Source'!X62&gt;=2,"C",IF('Data Source'!X62&gt;=1,"D","F")))))),"")</f>
        <v/>
      </c>
      <c r="G62" s="3">
        <f>IF(AND('Data Source'!B62&lt;&gt;"",'Data Source'!S62="F"),IF('Data Source'!Y62&gt;=5,"A+",IF('Data Source'!Y62&gt;=4,"A",IF('Data Source'!Y62&gt;=3.5,"A-",IF('Data Source'!Y62&gt;=3,"B",IF('Data Source'!Y62&gt;=2,"C",IF('Data Source'!Y62&gt;=1,"D","F")))))),"")</f>
        <v/>
      </c>
      <c r="H62" s="3">
        <f>IF(AND('Data Source'!B62&lt;&gt;"",'Data Source'!S62="F"),IF('Data Source'!Z62&gt;=5,"A+",IF('Data Source'!Z62&gt;=4,"A",IF('Data Source'!Z62&gt;=3.5,"A-",IF('Data Source'!Z62&gt;=3,"B",IF('Data Source'!Z62&gt;=2,"C",IF('Data Source'!Z62&gt;=1,"D","F")))))),"")</f>
        <v/>
      </c>
      <c r="I62" s="3">
        <f>IF(AND('Data Source'!B62&lt;&gt;"",'Data Source'!S62="F"),IF('Data Source'!AA62&gt;=5,"A+",IF('Data Source'!AA62&gt;=4,"A",IF('Data Source'!AA62&gt;=3.5,"A-",IF('Data Source'!AA62&gt;=3,"B",IF('Data Source'!AA62&gt;=2,"C",IF('Data Source'!AA62&gt;=1,"D","F")))))),"")</f>
        <v/>
      </c>
      <c r="J62" s="3">
        <f>IF(AND('Data Source'!B62&lt;&gt;"",'Data Source'!S62="F"),IF('Data Source'!AB62&gt;=5,"A+",IF('Data Source'!AB62&gt;=4,"A",IF('Data Source'!AB62&gt;=3.5,"A-",IF('Data Source'!AB62&gt;=3,"B",IF('Data Source'!AB62&gt;=2,"C",IF('Data Source'!AB62&gt;=1,"D","F")))))),"")</f>
        <v/>
      </c>
      <c r="K62" s="3">
        <f>IF(AND('Data Source'!B62&lt;&gt;"",'Data Source'!S62="F"),IF('Data Source'!AC62&gt;=5,"A+",IF('Data Source'!AC62&gt;=4,"A",IF('Data Source'!AC62&gt;=3.5,"A-",IF('Data Source'!AC62&gt;=3,"B",IF('Data Source'!AC62&gt;=2,"C",IF('Data Source'!AC62&gt;=1,"D","F")))))),"")</f>
        <v/>
      </c>
      <c r="L62" s="3">
        <f>IF(AND('Data Source'!B62&lt;&gt;"",'Data Source'!S62="F"),IF('Data Source'!AD62&gt;=5,"A+",IF('Data Source'!AD62&gt;=4,"A",IF('Data Source'!AD62&gt;=3.5,"A-",IF('Data Source'!AD62&gt;=3,"B",IF('Data Source'!AD62&gt;=2,"C",IF('Data Source'!AD62&gt;=1,"D","F")))))),"")</f>
        <v/>
      </c>
      <c r="M62" s="3">
        <f>IF(AND('Data Source'!B62&lt;&gt;"",'Data Source'!S62="F"),IF('Data Source'!AE62&gt;=5,"A+",IF('Data Source'!AE62&gt;=4,"A",IF('Data Source'!AE62&gt;=3.5,"A-",IF('Data Source'!AE62&gt;=3,"B",IF('Data Source'!AE62&gt;=2,"C",IF('Data Source'!AE62&gt;=1,"D","F")))))),"")</f>
        <v/>
      </c>
      <c r="N62" s="3">
        <f>IF(AND('Data Source'!B62&lt;&gt;"",'Data Source'!S62="F"),IF('Data Source'!AF62&gt;=5,"A+",IF('Data Source'!AF62&gt;=4,"A",IF('Data Source'!AF62&gt;=3.5,"A-",IF('Data Source'!AF62&gt;=3,"B",IF('Data Source'!AF62&gt;=2,"C",IF('Data Source'!AF62&gt;=1,"D","F")))))),"")</f>
        <v/>
      </c>
      <c r="O62" s="3">
        <f>IF(AND('Data Source'!B62&lt;&gt;"",'Data Source'!S62="F"),IF('Data Source'!AG62&gt;=5,"A+",IF('Data Source'!AG62&gt;=4,"A",IF('Data Source'!AG62&gt;=3.5,"A-",IF('Data Source'!AG62&gt;=3,"B",IF('Data Source'!AG62&gt;=2,"C",IF('Data Source'!AG62&gt;=1,"D","F")))))),"")</f>
        <v/>
      </c>
      <c r="P62" s="5">
        <f>IF(AND('Data Source'!B62&lt;&gt;"",'Data Source'!S62="F"),'Data Source'!R62,"")</f>
        <v/>
      </c>
      <c r="Q62" s="3">
        <f>IF(AND('Data Source'!B62&lt;&gt;"",'Data Source'!S62="F"),'Data Source'!S62,"")</f>
        <v/>
      </c>
    </row>
    <row r="63">
      <c r="A63" s="3">
        <f>IF(AND('Data Source'!B63&lt;&gt;"",'Data Source'!S63="F"),COUNTIF('Data Source'!$S$3:S63,"F"),"")</f>
        <v/>
      </c>
      <c r="B63">
        <f>IF(AND('Data Source'!B63&lt;&gt;"",'Data Source'!S63="F"),'Data Source'!B63,"")</f>
        <v/>
      </c>
      <c r="C63" s="3">
        <f>IF(AND('Data Source'!B63&lt;&gt;"",'Data Source'!S63="F"),IF('Data Source'!U63&gt;=5,"A+",IF('Data Source'!U63&gt;=4,"A",IF('Data Source'!U63&gt;=3.5,"A-",IF('Data Source'!U63&gt;=3,"B",IF('Data Source'!U63&gt;=2,"C",IF('Data Source'!U63&gt;=1,"D","F")))))),"")</f>
        <v/>
      </c>
      <c r="D63" s="3">
        <f>IF(AND('Data Source'!B63&lt;&gt;"",'Data Source'!S63="F"),IF('Data Source'!V63&gt;=5,"A+",IF('Data Source'!V63&gt;=4,"A",IF('Data Source'!V63&gt;=3.5,"A-",IF('Data Source'!V63&gt;=3,"B",IF('Data Source'!V63&gt;=2,"C",IF('Data Source'!V63&gt;=1,"D","F")))))),"")</f>
        <v/>
      </c>
      <c r="E63" s="3">
        <f>IF(AND('Data Source'!B63&lt;&gt;"",'Data Source'!S63="F"),IF('Data Source'!W63&gt;=5,"A+",IF('Data Source'!W63&gt;=4,"A",IF('Data Source'!W63&gt;=3.5,"A-",IF('Data Source'!W63&gt;=3,"B",IF('Data Source'!W63&gt;=2,"C",IF('Data Source'!W63&gt;=1,"D","F")))))),"")</f>
        <v/>
      </c>
      <c r="F63" s="3">
        <f>IF(AND('Data Source'!B63&lt;&gt;"",'Data Source'!S63="F"),IF('Data Source'!X63&gt;=5,"A+",IF('Data Source'!X63&gt;=4,"A",IF('Data Source'!X63&gt;=3.5,"A-",IF('Data Source'!X63&gt;=3,"B",IF('Data Source'!X63&gt;=2,"C",IF('Data Source'!X63&gt;=1,"D","F")))))),"")</f>
        <v/>
      </c>
      <c r="G63" s="3">
        <f>IF(AND('Data Source'!B63&lt;&gt;"",'Data Source'!S63="F"),IF('Data Source'!Y63&gt;=5,"A+",IF('Data Source'!Y63&gt;=4,"A",IF('Data Source'!Y63&gt;=3.5,"A-",IF('Data Source'!Y63&gt;=3,"B",IF('Data Source'!Y63&gt;=2,"C",IF('Data Source'!Y63&gt;=1,"D","F")))))),"")</f>
        <v/>
      </c>
      <c r="H63" s="3">
        <f>IF(AND('Data Source'!B63&lt;&gt;"",'Data Source'!S63="F"),IF('Data Source'!Z63&gt;=5,"A+",IF('Data Source'!Z63&gt;=4,"A",IF('Data Source'!Z63&gt;=3.5,"A-",IF('Data Source'!Z63&gt;=3,"B",IF('Data Source'!Z63&gt;=2,"C",IF('Data Source'!Z63&gt;=1,"D","F")))))),"")</f>
        <v/>
      </c>
      <c r="I63" s="3">
        <f>IF(AND('Data Source'!B63&lt;&gt;"",'Data Source'!S63="F"),IF('Data Source'!AA63&gt;=5,"A+",IF('Data Source'!AA63&gt;=4,"A",IF('Data Source'!AA63&gt;=3.5,"A-",IF('Data Source'!AA63&gt;=3,"B",IF('Data Source'!AA63&gt;=2,"C",IF('Data Source'!AA63&gt;=1,"D","F")))))),"")</f>
        <v/>
      </c>
      <c r="J63" s="3">
        <f>IF(AND('Data Source'!B63&lt;&gt;"",'Data Source'!S63="F"),IF('Data Source'!AB63&gt;=5,"A+",IF('Data Source'!AB63&gt;=4,"A",IF('Data Source'!AB63&gt;=3.5,"A-",IF('Data Source'!AB63&gt;=3,"B",IF('Data Source'!AB63&gt;=2,"C",IF('Data Source'!AB63&gt;=1,"D","F")))))),"")</f>
        <v/>
      </c>
      <c r="K63" s="3">
        <f>IF(AND('Data Source'!B63&lt;&gt;"",'Data Source'!S63="F"),IF('Data Source'!AC63&gt;=5,"A+",IF('Data Source'!AC63&gt;=4,"A",IF('Data Source'!AC63&gt;=3.5,"A-",IF('Data Source'!AC63&gt;=3,"B",IF('Data Source'!AC63&gt;=2,"C",IF('Data Source'!AC63&gt;=1,"D","F")))))),"")</f>
        <v/>
      </c>
      <c r="L63" s="3">
        <f>IF(AND('Data Source'!B63&lt;&gt;"",'Data Source'!S63="F"),IF('Data Source'!AD63&gt;=5,"A+",IF('Data Source'!AD63&gt;=4,"A",IF('Data Source'!AD63&gt;=3.5,"A-",IF('Data Source'!AD63&gt;=3,"B",IF('Data Source'!AD63&gt;=2,"C",IF('Data Source'!AD63&gt;=1,"D","F")))))),"")</f>
        <v/>
      </c>
      <c r="M63" s="3">
        <f>IF(AND('Data Source'!B63&lt;&gt;"",'Data Source'!S63="F"),IF('Data Source'!AE63&gt;=5,"A+",IF('Data Source'!AE63&gt;=4,"A",IF('Data Source'!AE63&gt;=3.5,"A-",IF('Data Source'!AE63&gt;=3,"B",IF('Data Source'!AE63&gt;=2,"C",IF('Data Source'!AE63&gt;=1,"D","F")))))),"")</f>
        <v/>
      </c>
      <c r="N63" s="3">
        <f>IF(AND('Data Source'!B63&lt;&gt;"",'Data Source'!S63="F"),IF('Data Source'!AF63&gt;=5,"A+",IF('Data Source'!AF63&gt;=4,"A",IF('Data Source'!AF63&gt;=3.5,"A-",IF('Data Source'!AF63&gt;=3,"B",IF('Data Source'!AF63&gt;=2,"C",IF('Data Source'!AF63&gt;=1,"D","F")))))),"")</f>
        <v/>
      </c>
      <c r="O63" s="3">
        <f>IF(AND('Data Source'!B63&lt;&gt;"",'Data Source'!S63="F"),IF('Data Source'!AG63&gt;=5,"A+",IF('Data Source'!AG63&gt;=4,"A",IF('Data Source'!AG63&gt;=3.5,"A-",IF('Data Source'!AG63&gt;=3,"B",IF('Data Source'!AG63&gt;=2,"C",IF('Data Source'!AG63&gt;=1,"D","F")))))),"")</f>
        <v/>
      </c>
      <c r="P63" s="5">
        <f>IF(AND('Data Source'!B63&lt;&gt;"",'Data Source'!S63="F"),'Data Source'!R63,"")</f>
        <v/>
      </c>
      <c r="Q63" s="3">
        <f>IF(AND('Data Source'!B63&lt;&gt;"",'Data Source'!S63="F"),'Data Source'!S63,"")</f>
        <v/>
      </c>
    </row>
    <row r="64">
      <c r="A64" s="3">
        <f>IF(AND('Data Source'!B64&lt;&gt;"",'Data Source'!S64="F"),COUNTIF('Data Source'!$S$3:S64,"F"),"")</f>
        <v/>
      </c>
      <c r="B64">
        <f>IF(AND('Data Source'!B64&lt;&gt;"",'Data Source'!S64="F"),'Data Source'!B64,"")</f>
        <v/>
      </c>
      <c r="C64" s="3">
        <f>IF(AND('Data Source'!B64&lt;&gt;"",'Data Source'!S64="F"),IF('Data Source'!U64&gt;=5,"A+",IF('Data Source'!U64&gt;=4,"A",IF('Data Source'!U64&gt;=3.5,"A-",IF('Data Source'!U64&gt;=3,"B",IF('Data Source'!U64&gt;=2,"C",IF('Data Source'!U64&gt;=1,"D","F")))))),"")</f>
        <v/>
      </c>
      <c r="D64" s="3">
        <f>IF(AND('Data Source'!B64&lt;&gt;"",'Data Source'!S64="F"),IF('Data Source'!V64&gt;=5,"A+",IF('Data Source'!V64&gt;=4,"A",IF('Data Source'!V64&gt;=3.5,"A-",IF('Data Source'!V64&gt;=3,"B",IF('Data Source'!V64&gt;=2,"C",IF('Data Source'!V64&gt;=1,"D","F")))))),"")</f>
        <v/>
      </c>
      <c r="E64" s="3">
        <f>IF(AND('Data Source'!B64&lt;&gt;"",'Data Source'!S64="F"),IF('Data Source'!W64&gt;=5,"A+",IF('Data Source'!W64&gt;=4,"A",IF('Data Source'!W64&gt;=3.5,"A-",IF('Data Source'!W64&gt;=3,"B",IF('Data Source'!W64&gt;=2,"C",IF('Data Source'!W64&gt;=1,"D","F")))))),"")</f>
        <v/>
      </c>
      <c r="F64" s="3">
        <f>IF(AND('Data Source'!B64&lt;&gt;"",'Data Source'!S64="F"),IF('Data Source'!X64&gt;=5,"A+",IF('Data Source'!X64&gt;=4,"A",IF('Data Source'!X64&gt;=3.5,"A-",IF('Data Source'!X64&gt;=3,"B",IF('Data Source'!X64&gt;=2,"C",IF('Data Source'!X64&gt;=1,"D","F")))))),"")</f>
        <v/>
      </c>
      <c r="G64" s="3">
        <f>IF(AND('Data Source'!B64&lt;&gt;"",'Data Source'!S64="F"),IF('Data Source'!Y64&gt;=5,"A+",IF('Data Source'!Y64&gt;=4,"A",IF('Data Source'!Y64&gt;=3.5,"A-",IF('Data Source'!Y64&gt;=3,"B",IF('Data Source'!Y64&gt;=2,"C",IF('Data Source'!Y64&gt;=1,"D","F")))))),"")</f>
        <v/>
      </c>
      <c r="H64" s="3">
        <f>IF(AND('Data Source'!B64&lt;&gt;"",'Data Source'!S64="F"),IF('Data Source'!Z64&gt;=5,"A+",IF('Data Source'!Z64&gt;=4,"A",IF('Data Source'!Z64&gt;=3.5,"A-",IF('Data Source'!Z64&gt;=3,"B",IF('Data Source'!Z64&gt;=2,"C",IF('Data Source'!Z64&gt;=1,"D","F")))))),"")</f>
        <v/>
      </c>
      <c r="I64" s="3">
        <f>IF(AND('Data Source'!B64&lt;&gt;"",'Data Source'!S64="F"),IF('Data Source'!AA64&gt;=5,"A+",IF('Data Source'!AA64&gt;=4,"A",IF('Data Source'!AA64&gt;=3.5,"A-",IF('Data Source'!AA64&gt;=3,"B",IF('Data Source'!AA64&gt;=2,"C",IF('Data Source'!AA64&gt;=1,"D","F")))))),"")</f>
        <v/>
      </c>
      <c r="J64" s="3">
        <f>IF(AND('Data Source'!B64&lt;&gt;"",'Data Source'!S64="F"),IF('Data Source'!AB64&gt;=5,"A+",IF('Data Source'!AB64&gt;=4,"A",IF('Data Source'!AB64&gt;=3.5,"A-",IF('Data Source'!AB64&gt;=3,"B",IF('Data Source'!AB64&gt;=2,"C",IF('Data Source'!AB64&gt;=1,"D","F")))))),"")</f>
        <v/>
      </c>
      <c r="K64" s="3">
        <f>IF(AND('Data Source'!B64&lt;&gt;"",'Data Source'!S64="F"),IF('Data Source'!AC64&gt;=5,"A+",IF('Data Source'!AC64&gt;=4,"A",IF('Data Source'!AC64&gt;=3.5,"A-",IF('Data Source'!AC64&gt;=3,"B",IF('Data Source'!AC64&gt;=2,"C",IF('Data Source'!AC64&gt;=1,"D","F")))))),"")</f>
        <v/>
      </c>
      <c r="L64" s="3">
        <f>IF(AND('Data Source'!B64&lt;&gt;"",'Data Source'!S64="F"),IF('Data Source'!AD64&gt;=5,"A+",IF('Data Source'!AD64&gt;=4,"A",IF('Data Source'!AD64&gt;=3.5,"A-",IF('Data Source'!AD64&gt;=3,"B",IF('Data Source'!AD64&gt;=2,"C",IF('Data Source'!AD64&gt;=1,"D","F")))))),"")</f>
        <v/>
      </c>
      <c r="M64" s="3">
        <f>IF(AND('Data Source'!B64&lt;&gt;"",'Data Source'!S64="F"),IF('Data Source'!AE64&gt;=5,"A+",IF('Data Source'!AE64&gt;=4,"A",IF('Data Source'!AE64&gt;=3.5,"A-",IF('Data Source'!AE64&gt;=3,"B",IF('Data Source'!AE64&gt;=2,"C",IF('Data Source'!AE64&gt;=1,"D","F")))))),"")</f>
        <v/>
      </c>
      <c r="N64" s="3">
        <f>IF(AND('Data Source'!B64&lt;&gt;"",'Data Source'!S64="F"),IF('Data Source'!AF64&gt;=5,"A+",IF('Data Source'!AF64&gt;=4,"A",IF('Data Source'!AF64&gt;=3.5,"A-",IF('Data Source'!AF64&gt;=3,"B",IF('Data Source'!AF64&gt;=2,"C",IF('Data Source'!AF64&gt;=1,"D","F")))))),"")</f>
        <v/>
      </c>
      <c r="O64" s="3">
        <f>IF(AND('Data Source'!B64&lt;&gt;"",'Data Source'!S64="F"),IF('Data Source'!AG64&gt;=5,"A+",IF('Data Source'!AG64&gt;=4,"A",IF('Data Source'!AG64&gt;=3.5,"A-",IF('Data Source'!AG64&gt;=3,"B",IF('Data Source'!AG64&gt;=2,"C",IF('Data Source'!AG64&gt;=1,"D","F")))))),"")</f>
        <v/>
      </c>
      <c r="P64" s="5">
        <f>IF(AND('Data Source'!B64&lt;&gt;"",'Data Source'!S64="F"),'Data Source'!R64,"")</f>
        <v/>
      </c>
      <c r="Q64" s="3">
        <f>IF(AND('Data Source'!B64&lt;&gt;"",'Data Source'!S64="F"),'Data Source'!S64,"")</f>
        <v/>
      </c>
    </row>
    <row r="65">
      <c r="A65" s="3">
        <f>IF(AND('Data Source'!B65&lt;&gt;"",'Data Source'!S65="F"),COUNTIF('Data Source'!$S$3:S65,"F"),"")</f>
        <v/>
      </c>
      <c r="B65">
        <f>IF(AND('Data Source'!B65&lt;&gt;"",'Data Source'!S65="F"),'Data Source'!B65,"")</f>
        <v/>
      </c>
      <c r="C65" s="3">
        <f>IF(AND('Data Source'!B65&lt;&gt;"",'Data Source'!S65="F"),IF('Data Source'!U65&gt;=5,"A+",IF('Data Source'!U65&gt;=4,"A",IF('Data Source'!U65&gt;=3.5,"A-",IF('Data Source'!U65&gt;=3,"B",IF('Data Source'!U65&gt;=2,"C",IF('Data Source'!U65&gt;=1,"D","F")))))),"")</f>
        <v/>
      </c>
      <c r="D65" s="3">
        <f>IF(AND('Data Source'!B65&lt;&gt;"",'Data Source'!S65="F"),IF('Data Source'!V65&gt;=5,"A+",IF('Data Source'!V65&gt;=4,"A",IF('Data Source'!V65&gt;=3.5,"A-",IF('Data Source'!V65&gt;=3,"B",IF('Data Source'!V65&gt;=2,"C",IF('Data Source'!V65&gt;=1,"D","F")))))),"")</f>
        <v/>
      </c>
      <c r="E65" s="3">
        <f>IF(AND('Data Source'!B65&lt;&gt;"",'Data Source'!S65="F"),IF('Data Source'!W65&gt;=5,"A+",IF('Data Source'!W65&gt;=4,"A",IF('Data Source'!W65&gt;=3.5,"A-",IF('Data Source'!W65&gt;=3,"B",IF('Data Source'!W65&gt;=2,"C",IF('Data Source'!W65&gt;=1,"D","F")))))),"")</f>
        <v/>
      </c>
      <c r="F65" s="3">
        <f>IF(AND('Data Source'!B65&lt;&gt;"",'Data Source'!S65="F"),IF('Data Source'!X65&gt;=5,"A+",IF('Data Source'!X65&gt;=4,"A",IF('Data Source'!X65&gt;=3.5,"A-",IF('Data Source'!X65&gt;=3,"B",IF('Data Source'!X65&gt;=2,"C",IF('Data Source'!X65&gt;=1,"D","F")))))),"")</f>
        <v/>
      </c>
      <c r="G65" s="3">
        <f>IF(AND('Data Source'!B65&lt;&gt;"",'Data Source'!S65="F"),IF('Data Source'!Y65&gt;=5,"A+",IF('Data Source'!Y65&gt;=4,"A",IF('Data Source'!Y65&gt;=3.5,"A-",IF('Data Source'!Y65&gt;=3,"B",IF('Data Source'!Y65&gt;=2,"C",IF('Data Source'!Y65&gt;=1,"D","F")))))),"")</f>
        <v/>
      </c>
      <c r="H65" s="3">
        <f>IF(AND('Data Source'!B65&lt;&gt;"",'Data Source'!S65="F"),IF('Data Source'!Z65&gt;=5,"A+",IF('Data Source'!Z65&gt;=4,"A",IF('Data Source'!Z65&gt;=3.5,"A-",IF('Data Source'!Z65&gt;=3,"B",IF('Data Source'!Z65&gt;=2,"C",IF('Data Source'!Z65&gt;=1,"D","F")))))),"")</f>
        <v/>
      </c>
      <c r="I65" s="3">
        <f>IF(AND('Data Source'!B65&lt;&gt;"",'Data Source'!S65="F"),IF('Data Source'!AA65&gt;=5,"A+",IF('Data Source'!AA65&gt;=4,"A",IF('Data Source'!AA65&gt;=3.5,"A-",IF('Data Source'!AA65&gt;=3,"B",IF('Data Source'!AA65&gt;=2,"C",IF('Data Source'!AA65&gt;=1,"D","F")))))),"")</f>
        <v/>
      </c>
      <c r="J65" s="3">
        <f>IF(AND('Data Source'!B65&lt;&gt;"",'Data Source'!S65="F"),IF('Data Source'!AB65&gt;=5,"A+",IF('Data Source'!AB65&gt;=4,"A",IF('Data Source'!AB65&gt;=3.5,"A-",IF('Data Source'!AB65&gt;=3,"B",IF('Data Source'!AB65&gt;=2,"C",IF('Data Source'!AB65&gt;=1,"D","F")))))),"")</f>
        <v/>
      </c>
      <c r="K65" s="3">
        <f>IF(AND('Data Source'!B65&lt;&gt;"",'Data Source'!S65="F"),IF('Data Source'!AC65&gt;=5,"A+",IF('Data Source'!AC65&gt;=4,"A",IF('Data Source'!AC65&gt;=3.5,"A-",IF('Data Source'!AC65&gt;=3,"B",IF('Data Source'!AC65&gt;=2,"C",IF('Data Source'!AC65&gt;=1,"D","F")))))),"")</f>
        <v/>
      </c>
      <c r="L65" s="3">
        <f>IF(AND('Data Source'!B65&lt;&gt;"",'Data Source'!S65="F"),IF('Data Source'!AD65&gt;=5,"A+",IF('Data Source'!AD65&gt;=4,"A",IF('Data Source'!AD65&gt;=3.5,"A-",IF('Data Source'!AD65&gt;=3,"B",IF('Data Source'!AD65&gt;=2,"C",IF('Data Source'!AD65&gt;=1,"D","F")))))),"")</f>
        <v/>
      </c>
      <c r="M65" s="3">
        <f>IF(AND('Data Source'!B65&lt;&gt;"",'Data Source'!S65="F"),IF('Data Source'!AE65&gt;=5,"A+",IF('Data Source'!AE65&gt;=4,"A",IF('Data Source'!AE65&gt;=3.5,"A-",IF('Data Source'!AE65&gt;=3,"B",IF('Data Source'!AE65&gt;=2,"C",IF('Data Source'!AE65&gt;=1,"D","F")))))),"")</f>
        <v/>
      </c>
      <c r="N65" s="3">
        <f>IF(AND('Data Source'!B65&lt;&gt;"",'Data Source'!S65="F"),IF('Data Source'!AF65&gt;=5,"A+",IF('Data Source'!AF65&gt;=4,"A",IF('Data Source'!AF65&gt;=3.5,"A-",IF('Data Source'!AF65&gt;=3,"B",IF('Data Source'!AF65&gt;=2,"C",IF('Data Source'!AF65&gt;=1,"D","F")))))),"")</f>
        <v/>
      </c>
      <c r="O65" s="3">
        <f>IF(AND('Data Source'!B65&lt;&gt;"",'Data Source'!S65="F"),IF('Data Source'!AG65&gt;=5,"A+",IF('Data Source'!AG65&gt;=4,"A",IF('Data Source'!AG65&gt;=3.5,"A-",IF('Data Source'!AG65&gt;=3,"B",IF('Data Source'!AG65&gt;=2,"C",IF('Data Source'!AG65&gt;=1,"D","F")))))),"")</f>
        <v/>
      </c>
      <c r="P65" s="5">
        <f>IF(AND('Data Source'!B65&lt;&gt;"",'Data Source'!S65="F"),'Data Source'!R65,"")</f>
        <v/>
      </c>
      <c r="Q65" s="3">
        <f>IF(AND('Data Source'!B65&lt;&gt;"",'Data Source'!S65="F"),'Data Source'!S65,"")</f>
        <v/>
      </c>
    </row>
    <row r="66">
      <c r="A66" s="3">
        <f>IF(AND('Data Source'!B66&lt;&gt;"",'Data Source'!S66="F"),COUNTIF('Data Source'!$S$3:S66,"F"),"")</f>
        <v/>
      </c>
      <c r="B66">
        <f>IF(AND('Data Source'!B66&lt;&gt;"",'Data Source'!S66="F"),'Data Source'!B66,"")</f>
        <v/>
      </c>
      <c r="C66" s="3">
        <f>IF(AND('Data Source'!B66&lt;&gt;"",'Data Source'!S66="F"),IF('Data Source'!U66&gt;=5,"A+",IF('Data Source'!U66&gt;=4,"A",IF('Data Source'!U66&gt;=3.5,"A-",IF('Data Source'!U66&gt;=3,"B",IF('Data Source'!U66&gt;=2,"C",IF('Data Source'!U66&gt;=1,"D","F")))))),"")</f>
        <v/>
      </c>
      <c r="D66" s="3">
        <f>IF(AND('Data Source'!B66&lt;&gt;"",'Data Source'!S66="F"),IF('Data Source'!V66&gt;=5,"A+",IF('Data Source'!V66&gt;=4,"A",IF('Data Source'!V66&gt;=3.5,"A-",IF('Data Source'!V66&gt;=3,"B",IF('Data Source'!V66&gt;=2,"C",IF('Data Source'!V66&gt;=1,"D","F")))))),"")</f>
        <v/>
      </c>
      <c r="E66" s="3">
        <f>IF(AND('Data Source'!B66&lt;&gt;"",'Data Source'!S66="F"),IF('Data Source'!W66&gt;=5,"A+",IF('Data Source'!W66&gt;=4,"A",IF('Data Source'!W66&gt;=3.5,"A-",IF('Data Source'!W66&gt;=3,"B",IF('Data Source'!W66&gt;=2,"C",IF('Data Source'!W66&gt;=1,"D","F")))))),"")</f>
        <v/>
      </c>
      <c r="F66" s="3">
        <f>IF(AND('Data Source'!B66&lt;&gt;"",'Data Source'!S66="F"),IF('Data Source'!X66&gt;=5,"A+",IF('Data Source'!X66&gt;=4,"A",IF('Data Source'!X66&gt;=3.5,"A-",IF('Data Source'!X66&gt;=3,"B",IF('Data Source'!X66&gt;=2,"C",IF('Data Source'!X66&gt;=1,"D","F")))))),"")</f>
        <v/>
      </c>
      <c r="G66" s="3">
        <f>IF(AND('Data Source'!B66&lt;&gt;"",'Data Source'!S66="F"),IF('Data Source'!Y66&gt;=5,"A+",IF('Data Source'!Y66&gt;=4,"A",IF('Data Source'!Y66&gt;=3.5,"A-",IF('Data Source'!Y66&gt;=3,"B",IF('Data Source'!Y66&gt;=2,"C",IF('Data Source'!Y66&gt;=1,"D","F")))))),"")</f>
        <v/>
      </c>
      <c r="H66" s="3">
        <f>IF(AND('Data Source'!B66&lt;&gt;"",'Data Source'!S66="F"),IF('Data Source'!Z66&gt;=5,"A+",IF('Data Source'!Z66&gt;=4,"A",IF('Data Source'!Z66&gt;=3.5,"A-",IF('Data Source'!Z66&gt;=3,"B",IF('Data Source'!Z66&gt;=2,"C",IF('Data Source'!Z66&gt;=1,"D","F")))))),"")</f>
        <v/>
      </c>
      <c r="I66" s="3">
        <f>IF(AND('Data Source'!B66&lt;&gt;"",'Data Source'!S66="F"),IF('Data Source'!AA66&gt;=5,"A+",IF('Data Source'!AA66&gt;=4,"A",IF('Data Source'!AA66&gt;=3.5,"A-",IF('Data Source'!AA66&gt;=3,"B",IF('Data Source'!AA66&gt;=2,"C",IF('Data Source'!AA66&gt;=1,"D","F")))))),"")</f>
        <v/>
      </c>
      <c r="J66" s="3">
        <f>IF(AND('Data Source'!B66&lt;&gt;"",'Data Source'!S66="F"),IF('Data Source'!AB66&gt;=5,"A+",IF('Data Source'!AB66&gt;=4,"A",IF('Data Source'!AB66&gt;=3.5,"A-",IF('Data Source'!AB66&gt;=3,"B",IF('Data Source'!AB66&gt;=2,"C",IF('Data Source'!AB66&gt;=1,"D","F")))))),"")</f>
        <v/>
      </c>
      <c r="K66" s="3">
        <f>IF(AND('Data Source'!B66&lt;&gt;"",'Data Source'!S66="F"),IF('Data Source'!AC66&gt;=5,"A+",IF('Data Source'!AC66&gt;=4,"A",IF('Data Source'!AC66&gt;=3.5,"A-",IF('Data Source'!AC66&gt;=3,"B",IF('Data Source'!AC66&gt;=2,"C",IF('Data Source'!AC66&gt;=1,"D","F")))))),"")</f>
        <v/>
      </c>
      <c r="L66" s="3">
        <f>IF(AND('Data Source'!B66&lt;&gt;"",'Data Source'!S66="F"),IF('Data Source'!AD66&gt;=5,"A+",IF('Data Source'!AD66&gt;=4,"A",IF('Data Source'!AD66&gt;=3.5,"A-",IF('Data Source'!AD66&gt;=3,"B",IF('Data Source'!AD66&gt;=2,"C",IF('Data Source'!AD66&gt;=1,"D","F")))))),"")</f>
        <v/>
      </c>
      <c r="M66" s="3">
        <f>IF(AND('Data Source'!B66&lt;&gt;"",'Data Source'!S66="F"),IF('Data Source'!AE66&gt;=5,"A+",IF('Data Source'!AE66&gt;=4,"A",IF('Data Source'!AE66&gt;=3.5,"A-",IF('Data Source'!AE66&gt;=3,"B",IF('Data Source'!AE66&gt;=2,"C",IF('Data Source'!AE66&gt;=1,"D","F")))))),"")</f>
        <v/>
      </c>
      <c r="N66" s="3">
        <f>IF(AND('Data Source'!B66&lt;&gt;"",'Data Source'!S66="F"),IF('Data Source'!AF66&gt;=5,"A+",IF('Data Source'!AF66&gt;=4,"A",IF('Data Source'!AF66&gt;=3.5,"A-",IF('Data Source'!AF66&gt;=3,"B",IF('Data Source'!AF66&gt;=2,"C",IF('Data Source'!AF66&gt;=1,"D","F")))))),"")</f>
        <v/>
      </c>
      <c r="O66" s="3">
        <f>IF(AND('Data Source'!B66&lt;&gt;"",'Data Source'!S66="F"),IF('Data Source'!AG66&gt;=5,"A+",IF('Data Source'!AG66&gt;=4,"A",IF('Data Source'!AG66&gt;=3.5,"A-",IF('Data Source'!AG66&gt;=3,"B",IF('Data Source'!AG66&gt;=2,"C",IF('Data Source'!AG66&gt;=1,"D","F")))))),"")</f>
        <v/>
      </c>
      <c r="P66" s="5">
        <f>IF(AND('Data Source'!B66&lt;&gt;"",'Data Source'!S66="F"),'Data Source'!R66,"")</f>
        <v/>
      </c>
      <c r="Q66" s="3">
        <f>IF(AND('Data Source'!B66&lt;&gt;"",'Data Source'!S66="F"),'Data Source'!S66,"")</f>
        <v/>
      </c>
    </row>
    <row r="67">
      <c r="A67" s="3">
        <f>IF(AND('Data Source'!B67&lt;&gt;"",'Data Source'!S67="F"),COUNTIF('Data Source'!$S$3:S67,"F"),"")</f>
        <v/>
      </c>
      <c r="B67">
        <f>IF(AND('Data Source'!B67&lt;&gt;"",'Data Source'!S67="F"),'Data Source'!B67,"")</f>
        <v/>
      </c>
      <c r="C67" s="3">
        <f>IF(AND('Data Source'!B67&lt;&gt;"",'Data Source'!S67="F"),IF('Data Source'!U67&gt;=5,"A+",IF('Data Source'!U67&gt;=4,"A",IF('Data Source'!U67&gt;=3.5,"A-",IF('Data Source'!U67&gt;=3,"B",IF('Data Source'!U67&gt;=2,"C",IF('Data Source'!U67&gt;=1,"D","F")))))),"")</f>
        <v/>
      </c>
      <c r="D67" s="3">
        <f>IF(AND('Data Source'!B67&lt;&gt;"",'Data Source'!S67="F"),IF('Data Source'!V67&gt;=5,"A+",IF('Data Source'!V67&gt;=4,"A",IF('Data Source'!V67&gt;=3.5,"A-",IF('Data Source'!V67&gt;=3,"B",IF('Data Source'!V67&gt;=2,"C",IF('Data Source'!V67&gt;=1,"D","F")))))),"")</f>
        <v/>
      </c>
      <c r="E67" s="3">
        <f>IF(AND('Data Source'!B67&lt;&gt;"",'Data Source'!S67="F"),IF('Data Source'!W67&gt;=5,"A+",IF('Data Source'!W67&gt;=4,"A",IF('Data Source'!W67&gt;=3.5,"A-",IF('Data Source'!W67&gt;=3,"B",IF('Data Source'!W67&gt;=2,"C",IF('Data Source'!W67&gt;=1,"D","F")))))),"")</f>
        <v/>
      </c>
      <c r="F67" s="3">
        <f>IF(AND('Data Source'!B67&lt;&gt;"",'Data Source'!S67="F"),IF('Data Source'!X67&gt;=5,"A+",IF('Data Source'!X67&gt;=4,"A",IF('Data Source'!X67&gt;=3.5,"A-",IF('Data Source'!X67&gt;=3,"B",IF('Data Source'!X67&gt;=2,"C",IF('Data Source'!X67&gt;=1,"D","F")))))),"")</f>
        <v/>
      </c>
      <c r="G67" s="3">
        <f>IF(AND('Data Source'!B67&lt;&gt;"",'Data Source'!S67="F"),IF('Data Source'!Y67&gt;=5,"A+",IF('Data Source'!Y67&gt;=4,"A",IF('Data Source'!Y67&gt;=3.5,"A-",IF('Data Source'!Y67&gt;=3,"B",IF('Data Source'!Y67&gt;=2,"C",IF('Data Source'!Y67&gt;=1,"D","F")))))),"")</f>
        <v/>
      </c>
      <c r="H67" s="3">
        <f>IF(AND('Data Source'!B67&lt;&gt;"",'Data Source'!S67="F"),IF('Data Source'!Z67&gt;=5,"A+",IF('Data Source'!Z67&gt;=4,"A",IF('Data Source'!Z67&gt;=3.5,"A-",IF('Data Source'!Z67&gt;=3,"B",IF('Data Source'!Z67&gt;=2,"C",IF('Data Source'!Z67&gt;=1,"D","F")))))),"")</f>
        <v/>
      </c>
      <c r="I67" s="3">
        <f>IF(AND('Data Source'!B67&lt;&gt;"",'Data Source'!S67="F"),IF('Data Source'!AA67&gt;=5,"A+",IF('Data Source'!AA67&gt;=4,"A",IF('Data Source'!AA67&gt;=3.5,"A-",IF('Data Source'!AA67&gt;=3,"B",IF('Data Source'!AA67&gt;=2,"C",IF('Data Source'!AA67&gt;=1,"D","F")))))),"")</f>
        <v/>
      </c>
      <c r="J67" s="3">
        <f>IF(AND('Data Source'!B67&lt;&gt;"",'Data Source'!S67="F"),IF('Data Source'!AB67&gt;=5,"A+",IF('Data Source'!AB67&gt;=4,"A",IF('Data Source'!AB67&gt;=3.5,"A-",IF('Data Source'!AB67&gt;=3,"B",IF('Data Source'!AB67&gt;=2,"C",IF('Data Source'!AB67&gt;=1,"D","F")))))),"")</f>
        <v/>
      </c>
      <c r="K67" s="3">
        <f>IF(AND('Data Source'!B67&lt;&gt;"",'Data Source'!S67="F"),IF('Data Source'!AC67&gt;=5,"A+",IF('Data Source'!AC67&gt;=4,"A",IF('Data Source'!AC67&gt;=3.5,"A-",IF('Data Source'!AC67&gt;=3,"B",IF('Data Source'!AC67&gt;=2,"C",IF('Data Source'!AC67&gt;=1,"D","F")))))),"")</f>
        <v/>
      </c>
      <c r="L67" s="3">
        <f>IF(AND('Data Source'!B67&lt;&gt;"",'Data Source'!S67="F"),IF('Data Source'!AD67&gt;=5,"A+",IF('Data Source'!AD67&gt;=4,"A",IF('Data Source'!AD67&gt;=3.5,"A-",IF('Data Source'!AD67&gt;=3,"B",IF('Data Source'!AD67&gt;=2,"C",IF('Data Source'!AD67&gt;=1,"D","F")))))),"")</f>
        <v/>
      </c>
      <c r="M67" s="3">
        <f>IF(AND('Data Source'!B67&lt;&gt;"",'Data Source'!S67="F"),IF('Data Source'!AE67&gt;=5,"A+",IF('Data Source'!AE67&gt;=4,"A",IF('Data Source'!AE67&gt;=3.5,"A-",IF('Data Source'!AE67&gt;=3,"B",IF('Data Source'!AE67&gt;=2,"C",IF('Data Source'!AE67&gt;=1,"D","F")))))),"")</f>
        <v/>
      </c>
      <c r="N67" s="3">
        <f>IF(AND('Data Source'!B67&lt;&gt;"",'Data Source'!S67="F"),IF('Data Source'!AF67&gt;=5,"A+",IF('Data Source'!AF67&gt;=4,"A",IF('Data Source'!AF67&gt;=3.5,"A-",IF('Data Source'!AF67&gt;=3,"B",IF('Data Source'!AF67&gt;=2,"C",IF('Data Source'!AF67&gt;=1,"D","F")))))),"")</f>
        <v/>
      </c>
      <c r="O67" s="3">
        <f>IF(AND('Data Source'!B67&lt;&gt;"",'Data Source'!S67="F"),IF('Data Source'!AG67&gt;=5,"A+",IF('Data Source'!AG67&gt;=4,"A",IF('Data Source'!AG67&gt;=3.5,"A-",IF('Data Source'!AG67&gt;=3,"B",IF('Data Source'!AG67&gt;=2,"C",IF('Data Source'!AG67&gt;=1,"D","F")))))),"")</f>
        <v/>
      </c>
      <c r="P67" s="5">
        <f>IF(AND('Data Source'!B67&lt;&gt;"",'Data Source'!S67="F"),'Data Source'!R67,"")</f>
        <v/>
      </c>
      <c r="Q67" s="3">
        <f>IF(AND('Data Source'!B67&lt;&gt;"",'Data Source'!S67="F"),'Data Source'!S67,"")</f>
        <v/>
      </c>
    </row>
    <row r="68">
      <c r="A68" s="3">
        <f>IF(AND('Data Source'!B68&lt;&gt;"",'Data Source'!S68="F"),COUNTIF('Data Source'!$S$3:S68,"F"),"")</f>
        <v/>
      </c>
      <c r="B68">
        <f>IF(AND('Data Source'!B68&lt;&gt;"",'Data Source'!S68="F"),'Data Source'!B68,"")</f>
        <v/>
      </c>
      <c r="C68" s="3">
        <f>IF(AND('Data Source'!B68&lt;&gt;"",'Data Source'!S68="F"),IF('Data Source'!U68&gt;=5,"A+",IF('Data Source'!U68&gt;=4,"A",IF('Data Source'!U68&gt;=3.5,"A-",IF('Data Source'!U68&gt;=3,"B",IF('Data Source'!U68&gt;=2,"C",IF('Data Source'!U68&gt;=1,"D","F")))))),"")</f>
        <v/>
      </c>
      <c r="D68" s="3">
        <f>IF(AND('Data Source'!B68&lt;&gt;"",'Data Source'!S68="F"),IF('Data Source'!V68&gt;=5,"A+",IF('Data Source'!V68&gt;=4,"A",IF('Data Source'!V68&gt;=3.5,"A-",IF('Data Source'!V68&gt;=3,"B",IF('Data Source'!V68&gt;=2,"C",IF('Data Source'!V68&gt;=1,"D","F")))))),"")</f>
        <v/>
      </c>
      <c r="E68" s="3">
        <f>IF(AND('Data Source'!B68&lt;&gt;"",'Data Source'!S68="F"),IF('Data Source'!W68&gt;=5,"A+",IF('Data Source'!W68&gt;=4,"A",IF('Data Source'!W68&gt;=3.5,"A-",IF('Data Source'!W68&gt;=3,"B",IF('Data Source'!W68&gt;=2,"C",IF('Data Source'!W68&gt;=1,"D","F")))))),"")</f>
        <v/>
      </c>
      <c r="F68" s="3">
        <f>IF(AND('Data Source'!B68&lt;&gt;"",'Data Source'!S68="F"),IF('Data Source'!X68&gt;=5,"A+",IF('Data Source'!X68&gt;=4,"A",IF('Data Source'!X68&gt;=3.5,"A-",IF('Data Source'!X68&gt;=3,"B",IF('Data Source'!X68&gt;=2,"C",IF('Data Source'!X68&gt;=1,"D","F")))))),"")</f>
        <v/>
      </c>
      <c r="G68" s="3">
        <f>IF(AND('Data Source'!B68&lt;&gt;"",'Data Source'!S68="F"),IF('Data Source'!Y68&gt;=5,"A+",IF('Data Source'!Y68&gt;=4,"A",IF('Data Source'!Y68&gt;=3.5,"A-",IF('Data Source'!Y68&gt;=3,"B",IF('Data Source'!Y68&gt;=2,"C",IF('Data Source'!Y68&gt;=1,"D","F")))))),"")</f>
        <v/>
      </c>
      <c r="H68" s="3">
        <f>IF(AND('Data Source'!B68&lt;&gt;"",'Data Source'!S68="F"),IF('Data Source'!Z68&gt;=5,"A+",IF('Data Source'!Z68&gt;=4,"A",IF('Data Source'!Z68&gt;=3.5,"A-",IF('Data Source'!Z68&gt;=3,"B",IF('Data Source'!Z68&gt;=2,"C",IF('Data Source'!Z68&gt;=1,"D","F")))))),"")</f>
        <v/>
      </c>
      <c r="I68" s="3">
        <f>IF(AND('Data Source'!B68&lt;&gt;"",'Data Source'!S68="F"),IF('Data Source'!AA68&gt;=5,"A+",IF('Data Source'!AA68&gt;=4,"A",IF('Data Source'!AA68&gt;=3.5,"A-",IF('Data Source'!AA68&gt;=3,"B",IF('Data Source'!AA68&gt;=2,"C",IF('Data Source'!AA68&gt;=1,"D","F")))))),"")</f>
        <v/>
      </c>
      <c r="J68" s="3">
        <f>IF(AND('Data Source'!B68&lt;&gt;"",'Data Source'!S68="F"),IF('Data Source'!AB68&gt;=5,"A+",IF('Data Source'!AB68&gt;=4,"A",IF('Data Source'!AB68&gt;=3.5,"A-",IF('Data Source'!AB68&gt;=3,"B",IF('Data Source'!AB68&gt;=2,"C",IF('Data Source'!AB68&gt;=1,"D","F")))))),"")</f>
        <v/>
      </c>
      <c r="K68" s="3">
        <f>IF(AND('Data Source'!B68&lt;&gt;"",'Data Source'!S68="F"),IF('Data Source'!AC68&gt;=5,"A+",IF('Data Source'!AC68&gt;=4,"A",IF('Data Source'!AC68&gt;=3.5,"A-",IF('Data Source'!AC68&gt;=3,"B",IF('Data Source'!AC68&gt;=2,"C",IF('Data Source'!AC68&gt;=1,"D","F")))))),"")</f>
        <v/>
      </c>
      <c r="L68" s="3">
        <f>IF(AND('Data Source'!B68&lt;&gt;"",'Data Source'!S68="F"),IF('Data Source'!AD68&gt;=5,"A+",IF('Data Source'!AD68&gt;=4,"A",IF('Data Source'!AD68&gt;=3.5,"A-",IF('Data Source'!AD68&gt;=3,"B",IF('Data Source'!AD68&gt;=2,"C",IF('Data Source'!AD68&gt;=1,"D","F")))))),"")</f>
        <v/>
      </c>
      <c r="M68" s="3">
        <f>IF(AND('Data Source'!B68&lt;&gt;"",'Data Source'!S68="F"),IF('Data Source'!AE68&gt;=5,"A+",IF('Data Source'!AE68&gt;=4,"A",IF('Data Source'!AE68&gt;=3.5,"A-",IF('Data Source'!AE68&gt;=3,"B",IF('Data Source'!AE68&gt;=2,"C",IF('Data Source'!AE68&gt;=1,"D","F")))))),"")</f>
        <v/>
      </c>
      <c r="N68" s="3">
        <f>IF(AND('Data Source'!B68&lt;&gt;"",'Data Source'!S68="F"),IF('Data Source'!AF68&gt;=5,"A+",IF('Data Source'!AF68&gt;=4,"A",IF('Data Source'!AF68&gt;=3.5,"A-",IF('Data Source'!AF68&gt;=3,"B",IF('Data Source'!AF68&gt;=2,"C",IF('Data Source'!AF68&gt;=1,"D","F")))))),"")</f>
        <v/>
      </c>
      <c r="O68" s="3">
        <f>IF(AND('Data Source'!B68&lt;&gt;"",'Data Source'!S68="F"),IF('Data Source'!AG68&gt;=5,"A+",IF('Data Source'!AG68&gt;=4,"A",IF('Data Source'!AG68&gt;=3.5,"A-",IF('Data Source'!AG68&gt;=3,"B",IF('Data Source'!AG68&gt;=2,"C",IF('Data Source'!AG68&gt;=1,"D","F")))))),"")</f>
        <v/>
      </c>
      <c r="P68" s="5">
        <f>IF(AND('Data Source'!B68&lt;&gt;"",'Data Source'!S68="F"),'Data Source'!R68,"")</f>
        <v/>
      </c>
      <c r="Q68" s="3">
        <f>IF(AND('Data Source'!B68&lt;&gt;"",'Data Source'!S68="F"),'Data Source'!S68,"")</f>
        <v/>
      </c>
    </row>
    <row r="69">
      <c r="A69" s="3">
        <f>IF(AND('Data Source'!B69&lt;&gt;"",'Data Source'!S69="F"),COUNTIF('Data Source'!$S$3:S69,"F"),"")</f>
        <v/>
      </c>
      <c r="B69">
        <f>IF(AND('Data Source'!B69&lt;&gt;"",'Data Source'!S69="F"),'Data Source'!B69,"")</f>
        <v/>
      </c>
      <c r="C69" s="3">
        <f>IF(AND('Data Source'!B69&lt;&gt;"",'Data Source'!S69="F"),IF('Data Source'!U69&gt;=5,"A+",IF('Data Source'!U69&gt;=4,"A",IF('Data Source'!U69&gt;=3.5,"A-",IF('Data Source'!U69&gt;=3,"B",IF('Data Source'!U69&gt;=2,"C",IF('Data Source'!U69&gt;=1,"D","F")))))),"")</f>
        <v/>
      </c>
      <c r="D69" s="3">
        <f>IF(AND('Data Source'!B69&lt;&gt;"",'Data Source'!S69="F"),IF('Data Source'!V69&gt;=5,"A+",IF('Data Source'!V69&gt;=4,"A",IF('Data Source'!V69&gt;=3.5,"A-",IF('Data Source'!V69&gt;=3,"B",IF('Data Source'!V69&gt;=2,"C",IF('Data Source'!V69&gt;=1,"D","F")))))),"")</f>
        <v/>
      </c>
      <c r="E69" s="3">
        <f>IF(AND('Data Source'!B69&lt;&gt;"",'Data Source'!S69="F"),IF('Data Source'!W69&gt;=5,"A+",IF('Data Source'!W69&gt;=4,"A",IF('Data Source'!W69&gt;=3.5,"A-",IF('Data Source'!W69&gt;=3,"B",IF('Data Source'!W69&gt;=2,"C",IF('Data Source'!W69&gt;=1,"D","F")))))),"")</f>
        <v/>
      </c>
      <c r="F69" s="3">
        <f>IF(AND('Data Source'!B69&lt;&gt;"",'Data Source'!S69="F"),IF('Data Source'!X69&gt;=5,"A+",IF('Data Source'!X69&gt;=4,"A",IF('Data Source'!X69&gt;=3.5,"A-",IF('Data Source'!X69&gt;=3,"B",IF('Data Source'!X69&gt;=2,"C",IF('Data Source'!X69&gt;=1,"D","F")))))),"")</f>
        <v/>
      </c>
      <c r="G69" s="3">
        <f>IF(AND('Data Source'!B69&lt;&gt;"",'Data Source'!S69="F"),IF('Data Source'!Y69&gt;=5,"A+",IF('Data Source'!Y69&gt;=4,"A",IF('Data Source'!Y69&gt;=3.5,"A-",IF('Data Source'!Y69&gt;=3,"B",IF('Data Source'!Y69&gt;=2,"C",IF('Data Source'!Y69&gt;=1,"D","F")))))),"")</f>
        <v/>
      </c>
      <c r="H69" s="3">
        <f>IF(AND('Data Source'!B69&lt;&gt;"",'Data Source'!S69="F"),IF('Data Source'!Z69&gt;=5,"A+",IF('Data Source'!Z69&gt;=4,"A",IF('Data Source'!Z69&gt;=3.5,"A-",IF('Data Source'!Z69&gt;=3,"B",IF('Data Source'!Z69&gt;=2,"C",IF('Data Source'!Z69&gt;=1,"D","F")))))),"")</f>
        <v/>
      </c>
      <c r="I69" s="3">
        <f>IF(AND('Data Source'!B69&lt;&gt;"",'Data Source'!S69="F"),IF('Data Source'!AA69&gt;=5,"A+",IF('Data Source'!AA69&gt;=4,"A",IF('Data Source'!AA69&gt;=3.5,"A-",IF('Data Source'!AA69&gt;=3,"B",IF('Data Source'!AA69&gt;=2,"C",IF('Data Source'!AA69&gt;=1,"D","F")))))),"")</f>
        <v/>
      </c>
      <c r="J69" s="3">
        <f>IF(AND('Data Source'!B69&lt;&gt;"",'Data Source'!S69="F"),IF('Data Source'!AB69&gt;=5,"A+",IF('Data Source'!AB69&gt;=4,"A",IF('Data Source'!AB69&gt;=3.5,"A-",IF('Data Source'!AB69&gt;=3,"B",IF('Data Source'!AB69&gt;=2,"C",IF('Data Source'!AB69&gt;=1,"D","F")))))),"")</f>
        <v/>
      </c>
      <c r="K69" s="3">
        <f>IF(AND('Data Source'!B69&lt;&gt;"",'Data Source'!S69="F"),IF('Data Source'!AC69&gt;=5,"A+",IF('Data Source'!AC69&gt;=4,"A",IF('Data Source'!AC69&gt;=3.5,"A-",IF('Data Source'!AC69&gt;=3,"B",IF('Data Source'!AC69&gt;=2,"C",IF('Data Source'!AC69&gt;=1,"D","F")))))),"")</f>
        <v/>
      </c>
      <c r="L69" s="3">
        <f>IF(AND('Data Source'!B69&lt;&gt;"",'Data Source'!S69="F"),IF('Data Source'!AD69&gt;=5,"A+",IF('Data Source'!AD69&gt;=4,"A",IF('Data Source'!AD69&gt;=3.5,"A-",IF('Data Source'!AD69&gt;=3,"B",IF('Data Source'!AD69&gt;=2,"C",IF('Data Source'!AD69&gt;=1,"D","F")))))),"")</f>
        <v/>
      </c>
      <c r="M69" s="3">
        <f>IF(AND('Data Source'!B69&lt;&gt;"",'Data Source'!S69="F"),IF('Data Source'!AE69&gt;=5,"A+",IF('Data Source'!AE69&gt;=4,"A",IF('Data Source'!AE69&gt;=3.5,"A-",IF('Data Source'!AE69&gt;=3,"B",IF('Data Source'!AE69&gt;=2,"C",IF('Data Source'!AE69&gt;=1,"D","F")))))),"")</f>
        <v/>
      </c>
      <c r="N69" s="3">
        <f>IF(AND('Data Source'!B69&lt;&gt;"",'Data Source'!S69="F"),IF('Data Source'!AF69&gt;=5,"A+",IF('Data Source'!AF69&gt;=4,"A",IF('Data Source'!AF69&gt;=3.5,"A-",IF('Data Source'!AF69&gt;=3,"B",IF('Data Source'!AF69&gt;=2,"C",IF('Data Source'!AF69&gt;=1,"D","F")))))),"")</f>
        <v/>
      </c>
      <c r="O69" s="3">
        <f>IF(AND('Data Source'!B69&lt;&gt;"",'Data Source'!S69="F"),IF('Data Source'!AG69&gt;=5,"A+",IF('Data Source'!AG69&gt;=4,"A",IF('Data Source'!AG69&gt;=3.5,"A-",IF('Data Source'!AG69&gt;=3,"B",IF('Data Source'!AG69&gt;=2,"C",IF('Data Source'!AG69&gt;=1,"D","F")))))),"")</f>
        <v/>
      </c>
      <c r="P69" s="5">
        <f>IF(AND('Data Source'!B69&lt;&gt;"",'Data Source'!S69="F"),'Data Source'!R69,"")</f>
        <v/>
      </c>
      <c r="Q69" s="3">
        <f>IF(AND('Data Source'!B69&lt;&gt;"",'Data Source'!S69="F"),'Data Source'!S69,"")</f>
        <v/>
      </c>
    </row>
    <row r="70">
      <c r="A70" s="3">
        <f>IF(AND('Data Source'!B70&lt;&gt;"",'Data Source'!S70="F"),COUNTIF('Data Source'!$S$3:S70,"F"),"")</f>
        <v/>
      </c>
      <c r="B70">
        <f>IF(AND('Data Source'!B70&lt;&gt;"",'Data Source'!S70="F"),'Data Source'!B70,"")</f>
        <v/>
      </c>
      <c r="C70" s="3">
        <f>IF(AND('Data Source'!B70&lt;&gt;"",'Data Source'!S70="F"),IF('Data Source'!U70&gt;=5,"A+",IF('Data Source'!U70&gt;=4,"A",IF('Data Source'!U70&gt;=3.5,"A-",IF('Data Source'!U70&gt;=3,"B",IF('Data Source'!U70&gt;=2,"C",IF('Data Source'!U70&gt;=1,"D","F")))))),"")</f>
        <v/>
      </c>
      <c r="D70" s="3">
        <f>IF(AND('Data Source'!B70&lt;&gt;"",'Data Source'!S70="F"),IF('Data Source'!V70&gt;=5,"A+",IF('Data Source'!V70&gt;=4,"A",IF('Data Source'!V70&gt;=3.5,"A-",IF('Data Source'!V70&gt;=3,"B",IF('Data Source'!V70&gt;=2,"C",IF('Data Source'!V70&gt;=1,"D","F")))))),"")</f>
        <v/>
      </c>
      <c r="E70" s="3">
        <f>IF(AND('Data Source'!B70&lt;&gt;"",'Data Source'!S70="F"),IF('Data Source'!W70&gt;=5,"A+",IF('Data Source'!W70&gt;=4,"A",IF('Data Source'!W70&gt;=3.5,"A-",IF('Data Source'!W70&gt;=3,"B",IF('Data Source'!W70&gt;=2,"C",IF('Data Source'!W70&gt;=1,"D","F")))))),"")</f>
        <v/>
      </c>
      <c r="F70" s="3">
        <f>IF(AND('Data Source'!B70&lt;&gt;"",'Data Source'!S70="F"),IF('Data Source'!X70&gt;=5,"A+",IF('Data Source'!X70&gt;=4,"A",IF('Data Source'!X70&gt;=3.5,"A-",IF('Data Source'!X70&gt;=3,"B",IF('Data Source'!X70&gt;=2,"C",IF('Data Source'!X70&gt;=1,"D","F")))))),"")</f>
        <v/>
      </c>
      <c r="G70" s="3">
        <f>IF(AND('Data Source'!B70&lt;&gt;"",'Data Source'!S70="F"),IF('Data Source'!Y70&gt;=5,"A+",IF('Data Source'!Y70&gt;=4,"A",IF('Data Source'!Y70&gt;=3.5,"A-",IF('Data Source'!Y70&gt;=3,"B",IF('Data Source'!Y70&gt;=2,"C",IF('Data Source'!Y70&gt;=1,"D","F")))))),"")</f>
        <v/>
      </c>
      <c r="H70" s="3">
        <f>IF(AND('Data Source'!B70&lt;&gt;"",'Data Source'!S70="F"),IF('Data Source'!Z70&gt;=5,"A+",IF('Data Source'!Z70&gt;=4,"A",IF('Data Source'!Z70&gt;=3.5,"A-",IF('Data Source'!Z70&gt;=3,"B",IF('Data Source'!Z70&gt;=2,"C",IF('Data Source'!Z70&gt;=1,"D","F")))))),"")</f>
        <v/>
      </c>
      <c r="I70" s="3">
        <f>IF(AND('Data Source'!B70&lt;&gt;"",'Data Source'!S70="F"),IF('Data Source'!AA70&gt;=5,"A+",IF('Data Source'!AA70&gt;=4,"A",IF('Data Source'!AA70&gt;=3.5,"A-",IF('Data Source'!AA70&gt;=3,"B",IF('Data Source'!AA70&gt;=2,"C",IF('Data Source'!AA70&gt;=1,"D","F")))))),"")</f>
        <v/>
      </c>
      <c r="J70" s="3">
        <f>IF(AND('Data Source'!B70&lt;&gt;"",'Data Source'!S70="F"),IF('Data Source'!AB70&gt;=5,"A+",IF('Data Source'!AB70&gt;=4,"A",IF('Data Source'!AB70&gt;=3.5,"A-",IF('Data Source'!AB70&gt;=3,"B",IF('Data Source'!AB70&gt;=2,"C",IF('Data Source'!AB70&gt;=1,"D","F")))))),"")</f>
        <v/>
      </c>
      <c r="K70" s="3">
        <f>IF(AND('Data Source'!B70&lt;&gt;"",'Data Source'!S70="F"),IF('Data Source'!AC70&gt;=5,"A+",IF('Data Source'!AC70&gt;=4,"A",IF('Data Source'!AC70&gt;=3.5,"A-",IF('Data Source'!AC70&gt;=3,"B",IF('Data Source'!AC70&gt;=2,"C",IF('Data Source'!AC70&gt;=1,"D","F")))))),"")</f>
        <v/>
      </c>
      <c r="L70" s="3">
        <f>IF(AND('Data Source'!B70&lt;&gt;"",'Data Source'!S70="F"),IF('Data Source'!AD70&gt;=5,"A+",IF('Data Source'!AD70&gt;=4,"A",IF('Data Source'!AD70&gt;=3.5,"A-",IF('Data Source'!AD70&gt;=3,"B",IF('Data Source'!AD70&gt;=2,"C",IF('Data Source'!AD70&gt;=1,"D","F")))))),"")</f>
        <v/>
      </c>
      <c r="M70" s="3">
        <f>IF(AND('Data Source'!B70&lt;&gt;"",'Data Source'!S70="F"),IF('Data Source'!AE70&gt;=5,"A+",IF('Data Source'!AE70&gt;=4,"A",IF('Data Source'!AE70&gt;=3.5,"A-",IF('Data Source'!AE70&gt;=3,"B",IF('Data Source'!AE70&gt;=2,"C",IF('Data Source'!AE70&gt;=1,"D","F")))))),"")</f>
        <v/>
      </c>
      <c r="N70" s="3">
        <f>IF(AND('Data Source'!B70&lt;&gt;"",'Data Source'!S70="F"),IF('Data Source'!AF70&gt;=5,"A+",IF('Data Source'!AF70&gt;=4,"A",IF('Data Source'!AF70&gt;=3.5,"A-",IF('Data Source'!AF70&gt;=3,"B",IF('Data Source'!AF70&gt;=2,"C",IF('Data Source'!AF70&gt;=1,"D","F")))))),"")</f>
        <v/>
      </c>
      <c r="O70" s="3">
        <f>IF(AND('Data Source'!B70&lt;&gt;"",'Data Source'!S70="F"),IF('Data Source'!AG70&gt;=5,"A+",IF('Data Source'!AG70&gt;=4,"A",IF('Data Source'!AG70&gt;=3.5,"A-",IF('Data Source'!AG70&gt;=3,"B",IF('Data Source'!AG70&gt;=2,"C",IF('Data Source'!AG70&gt;=1,"D","F")))))),"")</f>
        <v/>
      </c>
      <c r="P70" s="5">
        <f>IF(AND('Data Source'!B70&lt;&gt;"",'Data Source'!S70="F"),'Data Source'!R70,"")</f>
        <v/>
      </c>
      <c r="Q70" s="3">
        <f>IF(AND('Data Source'!B70&lt;&gt;"",'Data Source'!S70="F"),'Data Source'!S70,"")</f>
        <v/>
      </c>
    </row>
    <row r="71">
      <c r="A71" s="3">
        <f>IF(AND('Data Source'!B71&lt;&gt;"",'Data Source'!S71="F"),COUNTIF('Data Source'!$S$3:S71,"F"),"")</f>
        <v/>
      </c>
      <c r="B71">
        <f>IF(AND('Data Source'!B71&lt;&gt;"",'Data Source'!S71="F"),'Data Source'!B71,"")</f>
        <v/>
      </c>
      <c r="C71" s="3">
        <f>IF(AND('Data Source'!B71&lt;&gt;"",'Data Source'!S71="F"),IF('Data Source'!U71&gt;=5,"A+",IF('Data Source'!U71&gt;=4,"A",IF('Data Source'!U71&gt;=3.5,"A-",IF('Data Source'!U71&gt;=3,"B",IF('Data Source'!U71&gt;=2,"C",IF('Data Source'!U71&gt;=1,"D","F")))))),"")</f>
        <v/>
      </c>
      <c r="D71" s="3">
        <f>IF(AND('Data Source'!B71&lt;&gt;"",'Data Source'!S71="F"),IF('Data Source'!V71&gt;=5,"A+",IF('Data Source'!V71&gt;=4,"A",IF('Data Source'!V71&gt;=3.5,"A-",IF('Data Source'!V71&gt;=3,"B",IF('Data Source'!V71&gt;=2,"C",IF('Data Source'!V71&gt;=1,"D","F")))))),"")</f>
        <v/>
      </c>
      <c r="E71" s="3">
        <f>IF(AND('Data Source'!B71&lt;&gt;"",'Data Source'!S71="F"),IF('Data Source'!W71&gt;=5,"A+",IF('Data Source'!W71&gt;=4,"A",IF('Data Source'!W71&gt;=3.5,"A-",IF('Data Source'!W71&gt;=3,"B",IF('Data Source'!W71&gt;=2,"C",IF('Data Source'!W71&gt;=1,"D","F")))))),"")</f>
        <v/>
      </c>
      <c r="F71" s="3">
        <f>IF(AND('Data Source'!B71&lt;&gt;"",'Data Source'!S71="F"),IF('Data Source'!X71&gt;=5,"A+",IF('Data Source'!X71&gt;=4,"A",IF('Data Source'!X71&gt;=3.5,"A-",IF('Data Source'!X71&gt;=3,"B",IF('Data Source'!X71&gt;=2,"C",IF('Data Source'!X71&gt;=1,"D","F")))))),"")</f>
        <v/>
      </c>
      <c r="G71" s="3">
        <f>IF(AND('Data Source'!B71&lt;&gt;"",'Data Source'!S71="F"),IF('Data Source'!Y71&gt;=5,"A+",IF('Data Source'!Y71&gt;=4,"A",IF('Data Source'!Y71&gt;=3.5,"A-",IF('Data Source'!Y71&gt;=3,"B",IF('Data Source'!Y71&gt;=2,"C",IF('Data Source'!Y71&gt;=1,"D","F")))))),"")</f>
        <v/>
      </c>
      <c r="H71" s="3">
        <f>IF(AND('Data Source'!B71&lt;&gt;"",'Data Source'!S71="F"),IF('Data Source'!Z71&gt;=5,"A+",IF('Data Source'!Z71&gt;=4,"A",IF('Data Source'!Z71&gt;=3.5,"A-",IF('Data Source'!Z71&gt;=3,"B",IF('Data Source'!Z71&gt;=2,"C",IF('Data Source'!Z71&gt;=1,"D","F")))))),"")</f>
        <v/>
      </c>
      <c r="I71" s="3">
        <f>IF(AND('Data Source'!B71&lt;&gt;"",'Data Source'!S71="F"),IF('Data Source'!AA71&gt;=5,"A+",IF('Data Source'!AA71&gt;=4,"A",IF('Data Source'!AA71&gt;=3.5,"A-",IF('Data Source'!AA71&gt;=3,"B",IF('Data Source'!AA71&gt;=2,"C",IF('Data Source'!AA71&gt;=1,"D","F")))))),"")</f>
        <v/>
      </c>
      <c r="J71" s="3">
        <f>IF(AND('Data Source'!B71&lt;&gt;"",'Data Source'!S71="F"),IF('Data Source'!AB71&gt;=5,"A+",IF('Data Source'!AB71&gt;=4,"A",IF('Data Source'!AB71&gt;=3.5,"A-",IF('Data Source'!AB71&gt;=3,"B",IF('Data Source'!AB71&gt;=2,"C",IF('Data Source'!AB71&gt;=1,"D","F")))))),"")</f>
        <v/>
      </c>
      <c r="K71" s="3">
        <f>IF(AND('Data Source'!B71&lt;&gt;"",'Data Source'!S71="F"),IF('Data Source'!AC71&gt;=5,"A+",IF('Data Source'!AC71&gt;=4,"A",IF('Data Source'!AC71&gt;=3.5,"A-",IF('Data Source'!AC71&gt;=3,"B",IF('Data Source'!AC71&gt;=2,"C",IF('Data Source'!AC71&gt;=1,"D","F")))))),"")</f>
        <v/>
      </c>
      <c r="L71" s="3">
        <f>IF(AND('Data Source'!B71&lt;&gt;"",'Data Source'!S71="F"),IF('Data Source'!AD71&gt;=5,"A+",IF('Data Source'!AD71&gt;=4,"A",IF('Data Source'!AD71&gt;=3.5,"A-",IF('Data Source'!AD71&gt;=3,"B",IF('Data Source'!AD71&gt;=2,"C",IF('Data Source'!AD71&gt;=1,"D","F")))))),"")</f>
        <v/>
      </c>
      <c r="M71" s="3">
        <f>IF(AND('Data Source'!B71&lt;&gt;"",'Data Source'!S71="F"),IF('Data Source'!AE71&gt;=5,"A+",IF('Data Source'!AE71&gt;=4,"A",IF('Data Source'!AE71&gt;=3.5,"A-",IF('Data Source'!AE71&gt;=3,"B",IF('Data Source'!AE71&gt;=2,"C",IF('Data Source'!AE71&gt;=1,"D","F")))))),"")</f>
        <v/>
      </c>
      <c r="N71" s="3">
        <f>IF(AND('Data Source'!B71&lt;&gt;"",'Data Source'!S71="F"),IF('Data Source'!AF71&gt;=5,"A+",IF('Data Source'!AF71&gt;=4,"A",IF('Data Source'!AF71&gt;=3.5,"A-",IF('Data Source'!AF71&gt;=3,"B",IF('Data Source'!AF71&gt;=2,"C",IF('Data Source'!AF71&gt;=1,"D","F")))))),"")</f>
        <v/>
      </c>
      <c r="O71" s="3">
        <f>IF(AND('Data Source'!B71&lt;&gt;"",'Data Source'!S71="F"),IF('Data Source'!AG71&gt;=5,"A+",IF('Data Source'!AG71&gt;=4,"A",IF('Data Source'!AG71&gt;=3.5,"A-",IF('Data Source'!AG71&gt;=3,"B",IF('Data Source'!AG71&gt;=2,"C",IF('Data Source'!AG71&gt;=1,"D","F")))))),"")</f>
        <v/>
      </c>
      <c r="P71" s="5">
        <f>IF(AND('Data Source'!B71&lt;&gt;"",'Data Source'!S71="F"),'Data Source'!R71,"")</f>
        <v/>
      </c>
      <c r="Q71" s="3">
        <f>IF(AND('Data Source'!B71&lt;&gt;"",'Data Source'!S71="F"),'Data Source'!S71,"")</f>
        <v/>
      </c>
    </row>
    <row r="72">
      <c r="A72" s="3">
        <f>IF(AND('Data Source'!B72&lt;&gt;"",'Data Source'!S72="F"),COUNTIF('Data Source'!$S$3:S72,"F"),"")</f>
        <v/>
      </c>
      <c r="B72">
        <f>IF(AND('Data Source'!B72&lt;&gt;"",'Data Source'!S72="F"),'Data Source'!B72,"")</f>
        <v/>
      </c>
      <c r="C72" s="3">
        <f>IF(AND('Data Source'!B72&lt;&gt;"",'Data Source'!S72="F"),IF('Data Source'!U72&gt;=5,"A+",IF('Data Source'!U72&gt;=4,"A",IF('Data Source'!U72&gt;=3.5,"A-",IF('Data Source'!U72&gt;=3,"B",IF('Data Source'!U72&gt;=2,"C",IF('Data Source'!U72&gt;=1,"D","F")))))),"")</f>
        <v/>
      </c>
      <c r="D72" s="3">
        <f>IF(AND('Data Source'!B72&lt;&gt;"",'Data Source'!S72="F"),IF('Data Source'!V72&gt;=5,"A+",IF('Data Source'!V72&gt;=4,"A",IF('Data Source'!V72&gt;=3.5,"A-",IF('Data Source'!V72&gt;=3,"B",IF('Data Source'!V72&gt;=2,"C",IF('Data Source'!V72&gt;=1,"D","F")))))),"")</f>
        <v/>
      </c>
      <c r="E72" s="3">
        <f>IF(AND('Data Source'!B72&lt;&gt;"",'Data Source'!S72="F"),IF('Data Source'!W72&gt;=5,"A+",IF('Data Source'!W72&gt;=4,"A",IF('Data Source'!W72&gt;=3.5,"A-",IF('Data Source'!W72&gt;=3,"B",IF('Data Source'!W72&gt;=2,"C",IF('Data Source'!W72&gt;=1,"D","F")))))),"")</f>
        <v/>
      </c>
      <c r="F72" s="3">
        <f>IF(AND('Data Source'!B72&lt;&gt;"",'Data Source'!S72="F"),IF('Data Source'!X72&gt;=5,"A+",IF('Data Source'!X72&gt;=4,"A",IF('Data Source'!X72&gt;=3.5,"A-",IF('Data Source'!X72&gt;=3,"B",IF('Data Source'!X72&gt;=2,"C",IF('Data Source'!X72&gt;=1,"D","F")))))),"")</f>
        <v/>
      </c>
      <c r="G72" s="3">
        <f>IF(AND('Data Source'!B72&lt;&gt;"",'Data Source'!S72="F"),IF('Data Source'!Y72&gt;=5,"A+",IF('Data Source'!Y72&gt;=4,"A",IF('Data Source'!Y72&gt;=3.5,"A-",IF('Data Source'!Y72&gt;=3,"B",IF('Data Source'!Y72&gt;=2,"C",IF('Data Source'!Y72&gt;=1,"D","F")))))),"")</f>
        <v/>
      </c>
      <c r="H72" s="3">
        <f>IF(AND('Data Source'!B72&lt;&gt;"",'Data Source'!S72="F"),IF('Data Source'!Z72&gt;=5,"A+",IF('Data Source'!Z72&gt;=4,"A",IF('Data Source'!Z72&gt;=3.5,"A-",IF('Data Source'!Z72&gt;=3,"B",IF('Data Source'!Z72&gt;=2,"C",IF('Data Source'!Z72&gt;=1,"D","F")))))),"")</f>
        <v/>
      </c>
      <c r="I72" s="3">
        <f>IF(AND('Data Source'!B72&lt;&gt;"",'Data Source'!S72="F"),IF('Data Source'!AA72&gt;=5,"A+",IF('Data Source'!AA72&gt;=4,"A",IF('Data Source'!AA72&gt;=3.5,"A-",IF('Data Source'!AA72&gt;=3,"B",IF('Data Source'!AA72&gt;=2,"C",IF('Data Source'!AA72&gt;=1,"D","F")))))),"")</f>
        <v/>
      </c>
      <c r="J72" s="3">
        <f>IF(AND('Data Source'!B72&lt;&gt;"",'Data Source'!S72="F"),IF('Data Source'!AB72&gt;=5,"A+",IF('Data Source'!AB72&gt;=4,"A",IF('Data Source'!AB72&gt;=3.5,"A-",IF('Data Source'!AB72&gt;=3,"B",IF('Data Source'!AB72&gt;=2,"C",IF('Data Source'!AB72&gt;=1,"D","F")))))),"")</f>
        <v/>
      </c>
      <c r="K72" s="3">
        <f>IF(AND('Data Source'!B72&lt;&gt;"",'Data Source'!S72="F"),IF('Data Source'!AC72&gt;=5,"A+",IF('Data Source'!AC72&gt;=4,"A",IF('Data Source'!AC72&gt;=3.5,"A-",IF('Data Source'!AC72&gt;=3,"B",IF('Data Source'!AC72&gt;=2,"C",IF('Data Source'!AC72&gt;=1,"D","F")))))),"")</f>
        <v/>
      </c>
      <c r="L72" s="3">
        <f>IF(AND('Data Source'!B72&lt;&gt;"",'Data Source'!S72="F"),IF('Data Source'!AD72&gt;=5,"A+",IF('Data Source'!AD72&gt;=4,"A",IF('Data Source'!AD72&gt;=3.5,"A-",IF('Data Source'!AD72&gt;=3,"B",IF('Data Source'!AD72&gt;=2,"C",IF('Data Source'!AD72&gt;=1,"D","F")))))),"")</f>
        <v/>
      </c>
      <c r="M72" s="3">
        <f>IF(AND('Data Source'!B72&lt;&gt;"",'Data Source'!S72="F"),IF('Data Source'!AE72&gt;=5,"A+",IF('Data Source'!AE72&gt;=4,"A",IF('Data Source'!AE72&gt;=3.5,"A-",IF('Data Source'!AE72&gt;=3,"B",IF('Data Source'!AE72&gt;=2,"C",IF('Data Source'!AE72&gt;=1,"D","F")))))),"")</f>
        <v/>
      </c>
      <c r="N72" s="3">
        <f>IF(AND('Data Source'!B72&lt;&gt;"",'Data Source'!S72="F"),IF('Data Source'!AF72&gt;=5,"A+",IF('Data Source'!AF72&gt;=4,"A",IF('Data Source'!AF72&gt;=3.5,"A-",IF('Data Source'!AF72&gt;=3,"B",IF('Data Source'!AF72&gt;=2,"C",IF('Data Source'!AF72&gt;=1,"D","F")))))),"")</f>
        <v/>
      </c>
      <c r="O72" s="3">
        <f>IF(AND('Data Source'!B72&lt;&gt;"",'Data Source'!S72="F"),IF('Data Source'!AG72&gt;=5,"A+",IF('Data Source'!AG72&gt;=4,"A",IF('Data Source'!AG72&gt;=3.5,"A-",IF('Data Source'!AG72&gt;=3,"B",IF('Data Source'!AG72&gt;=2,"C",IF('Data Source'!AG72&gt;=1,"D","F")))))),"")</f>
        <v/>
      </c>
      <c r="P72" s="5">
        <f>IF(AND('Data Source'!B72&lt;&gt;"",'Data Source'!S72="F"),'Data Source'!R72,"")</f>
        <v/>
      </c>
      <c r="Q72" s="3">
        <f>IF(AND('Data Source'!B72&lt;&gt;"",'Data Source'!S72="F"),'Data Source'!S72,"")</f>
        <v/>
      </c>
    </row>
    <row r="73">
      <c r="A73" s="3">
        <f>IF(AND('Data Source'!B73&lt;&gt;"",'Data Source'!S73="F"),COUNTIF('Data Source'!$S$3:S73,"F"),"")</f>
        <v/>
      </c>
      <c r="B73">
        <f>IF(AND('Data Source'!B73&lt;&gt;"",'Data Source'!S73="F"),'Data Source'!B73,"")</f>
        <v/>
      </c>
      <c r="C73" s="3">
        <f>IF(AND('Data Source'!B73&lt;&gt;"",'Data Source'!S73="F"),IF('Data Source'!U73&gt;=5,"A+",IF('Data Source'!U73&gt;=4,"A",IF('Data Source'!U73&gt;=3.5,"A-",IF('Data Source'!U73&gt;=3,"B",IF('Data Source'!U73&gt;=2,"C",IF('Data Source'!U73&gt;=1,"D","F")))))),"")</f>
        <v/>
      </c>
      <c r="D73" s="3">
        <f>IF(AND('Data Source'!B73&lt;&gt;"",'Data Source'!S73="F"),IF('Data Source'!V73&gt;=5,"A+",IF('Data Source'!V73&gt;=4,"A",IF('Data Source'!V73&gt;=3.5,"A-",IF('Data Source'!V73&gt;=3,"B",IF('Data Source'!V73&gt;=2,"C",IF('Data Source'!V73&gt;=1,"D","F")))))),"")</f>
        <v/>
      </c>
      <c r="E73" s="3">
        <f>IF(AND('Data Source'!B73&lt;&gt;"",'Data Source'!S73="F"),IF('Data Source'!W73&gt;=5,"A+",IF('Data Source'!W73&gt;=4,"A",IF('Data Source'!W73&gt;=3.5,"A-",IF('Data Source'!W73&gt;=3,"B",IF('Data Source'!W73&gt;=2,"C",IF('Data Source'!W73&gt;=1,"D","F")))))),"")</f>
        <v/>
      </c>
      <c r="F73" s="3">
        <f>IF(AND('Data Source'!B73&lt;&gt;"",'Data Source'!S73="F"),IF('Data Source'!X73&gt;=5,"A+",IF('Data Source'!X73&gt;=4,"A",IF('Data Source'!X73&gt;=3.5,"A-",IF('Data Source'!X73&gt;=3,"B",IF('Data Source'!X73&gt;=2,"C",IF('Data Source'!X73&gt;=1,"D","F")))))),"")</f>
        <v/>
      </c>
      <c r="G73" s="3">
        <f>IF(AND('Data Source'!B73&lt;&gt;"",'Data Source'!S73="F"),IF('Data Source'!Y73&gt;=5,"A+",IF('Data Source'!Y73&gt;=4,"A",IF('Data Source'!Y73&gt;=3.5,"A-",IF('Data Source'!Y73&gt;=3,"B",IF('Data Source'!Y73&gt;=2,"C",IF('Data Source'!Y73&gt;=1,"D","F")))))),"")</f>
        <v/>
      </c>
      <c r="H73" s="3">
        <f>IF(AND('Data Source'!B73&lt;&gt;"",'Data Source'!S73="F"),IF('Data Source'!Z73&gt;=5,"A+",IF('Data Source'!Z73&gt;=4,"A",IF('Data Source'!Z73&gt;=3.5,"A-",IF('Data Source'!Z73&gt;=3,"B",IF('Data Source'!Z73&gt;=2,"C",IF('Data Source'!Z73&gt;=1,"D","F")))))),"")</f>
        <v/>
      </c>
      <c r="I73" s="3">
        <f>IF(AND('Data Source'!B73&lt;&gt;"",'Data Source'!S73="F"),IF('Data Source'!AA73&gt;=5,"A+",IF('Data Source'!AA73&gt;=4,"A",IF('Data Source'!AA73&gt;=3.5,"A-",IF('Data Source'!AA73&gt;=3,"B",IF('Data Source'!AA73&gt;=2,"C",IF('Data Source'!AA73&gt;=1,"D","F")))))),"")</f>
        <v/>
      </c>
      <c r="J73" s="3">
        <f>IF(AND('Data Source'!B73&lt;&gt;"",'Data Source'!S73="F"),IF('Data Source'!AB73&gt;=5,"A+",IF('Data Source'!AB73&gt;=4,"A",IF('Data Source'!AB73&gt;=3.5,"A-",IF('Data Source'!AB73&gt;=3,"B",IF('Data Source'!AB73&gt;=2,"C",IF('Data Source'!AB73&gt;=1,"D","F")))))),"")</f>
        <v/>
      </c>
      <c r="K73" s="3">
        <f>IF(AND('Data Source'!B73&lt;&gt;"",'Data Source'!S73="F"),IF('Data Source'!AC73&gt;=5,"A+",IF('Data Source'!AC73&gt;=4,"A",IF('Data Source'!AC73&gt;=3.5,"A-",IF('Data Source'!AC73&gt;=3,"B",IF('Data Source'!AC73&gt;=2,"C",IF('Data Source'!AC73&gt;=1,"D","F")))))),"")</f>
        <v/>
      </c>
      <c r="L73" s="3">
        <f>IF(AND('Data Source'!B73&lt;&gt;"",'Data Source'!S73="F"),IF('Data Source'!AD73&gt;=5,"A+",IF('Data Source'!AD73&gt;=4,"A",IF('Data Source'!AD73&gt;=3.5,"A-",IF('Data Source'!AD73&gt;=3,"B",IF('Data Source'!AD73&gt;=2,"C",IF('Data Source'!AD73&gt;=1,"D","F")))))),"")</f>
        <v/>
      </c>
      <c r="M73" s="3">
        <f>IF(AND('Data Source'!B73&lt;&gt;"",'Data Source'!S73="F"),IF('Data Source'!AE73&gt;=5,"A+",IF('Data Source'!AE73&gt;=4,"A",IF('Data Source'!AE73&gt;=3.5,"A-",IF('Data Source'!AE73&gt;=3,"B",IF('Data Source'!AE73&gt;=2,"C",IF('Data Source'!AE73&gt;=1,"D","F")))))),"")</f>
        <v/>
      </c>
      <c r="N73" s="3">
        <f>IF(AND('Data Source'!B73&lt;&gt;"",'Data Source'!S73="F"),IF('Data Source'!AF73&gt;=5,"A+",IF('Data Source'!AF73&gt;=4,"A",IF('Data Source'!AF73&gt;=3.5,"A-",IF('Data Source'!AF73&gt;=3,"B",IF('Data Source'!AF73&gt;=2,"C",IF('Data Source'!AF73&gt;=1,"D","F")))))),"")</f>
        <v/>
      </c>
      <c r="O73" s="3">
        <f>IF(AND('Data Source'!B73&lt;&gt;"",'Data Source'!S73="F"),IF('Data Source'!AG73&gt;=5,"A+",IF('Data Source'!AG73&gt;=4,"A",IF('Data Source'!AG73&gt;=3.5,"A-",IF('Data Source'!AG73&gt;=3,"B",IF('Data Source'!AG73&gt;=2,"C",IF('Data Source'!AG73&gt;=1,"D","F")))))),"")</f>
        <v/>
      </c>
      <c r="P73" s="5">
        <f>IF(AND('Data Source'!B73&lt;&gt;"",'Data Source'!S73="F"),'Data Source'!R73,"")</f>
        <v/>
      </c>
      <c r="Q73" s="3">
        <f>IF(AND('Data Source'!B73&lt;&gt;"",'Data Source'!S73="F"),'Data Source'!S73,"")</f>
        <v/>
      </c>
    </row>
    <row r="74">
      <c r="A74" s="3">
        <f>IF(AND('Data Source'!B74&lt;&gt;"",'Data Source'!S74="F"),COUNTIF('Data Source'!$S$3:S74,"F"),"")</f>
        <v/>
      </c>
      <c r="B74">
        <f>IF(AND('Data Source'!B74&lt;&gt;"",'Data Source'!S74="F"),'Data Source'!B74,"")</f>
        <v/>
      </c>
      <c r="C74" s="3">
        <f>IF(AND('Data Source'!B74&lt;&gt;"",'Data Source'!S74="F"),IF('Data Source'!U74&gt;=5,"A+",IF('Data Source'!U74&gt;=4,"A",IF('Data Source'!U74&gt;=3.5,"A-",IF('Data Source'!U74&gt;=3,"B",IF('Data Source'!U74&gt;=2,"C",IF('Data Source'!U74&gt;=1,"D","F")))))),"")</f>
        <v/>
      </c>
      <c r="D74" s="3">
        <f>IF(AND('Data Source'!B74&lt;&gt;"",'Data Source'!S74="F"),IF('Data Source'!V74&gt;=5,"A+",IF('Data Source'!V74&gt;=4,"A",IF('Data Source'!V74&gt;=3.5,"A-",IF('Data Source'!V74&gt;=3,"B",IF('Data Source'!V74&gt;=2,"C",IF('Data Source'!V74&gt;=1,"D","F")))))),"")</f>
        <v/>
      </c>
      <c r="E74" s="3">
        <f>IF(AND('Data Source'!B74&lt;&gt;"",'Data Source'!S74="F"),IF('Data Source'!W74&gt;=5,"A+",IF('Data Source'!W74&gt;=4,"A",IF('Data Source'!W74&gt;=3.5,"A-",IF('Data Source'!W74&gt;=3,"B",IF('Data Source'!W74&gt;=2,"C",IF('Data Source'!W74&gt;=1,"D","F")))))),"")</f>
        <v/>
      </c>
      <c r="F74" s="3">
        <f>IF(AND('Data Source'!B74&lt;&gt;"",'Data Source'!S74="F"),IF('Data Source'!X74&gt;=5,"A+",IF('Data Source'!X74&gt;=4,"A",IF('Data Source'!X74&gt;=3.5,"A-",IF('Data Source'!X74&gt;=3,"B",IF('Data Source'!X74&gt;=2,"C",IF('Data Source'!X74&gt;=1,"D","F")))))),"")</f>
        <v/>
      </c>
      <c r="G74" s="3">
        <f>IF(AND('Data Source'!B74&lt;&gt;"",'Data Source'!S74="F"),IF('Data Source'!Y74&gt;=5,"A+",IF('Data Source'!Y74&gt;=4,"A",IF('Data Source'!Y74&gt;=3.5,"A-",IF('Data Source'!Y74&gt;=3,"B",IF('Data Source'!Y74&gt;=2,"C",IF('Data Source'!Y74&gt;=1,"D","F")))))),"")</f>
        <v/>
      </c>
      <c r="H74" s="3">
        <f>IF(AND('Data Source'!B74&lt;&gt;"",'Data Source'!S74="F"),IF('Data Source'!Z74&gt;=5,"A+",IF('Data Source'!Z74&gt;=4,"A",IF('Data Source'!Z74&gt;=3.5,"A-",IF('Data Source'!Z74&gt;=3,"B",IF('Data Source'!Z74&gt;=2,"C",IF('Data Source'!Z74&gt;=1,"D","F")))))),"")</f>
        <v/>
      </c>
      <c r="I74" s="3">
        <f>IF(AND('Data Source'!B74&lt;&gt;"",'Data Source'!S74="F"),IF('Data Source'!AA74&gt;=5,"A+",IF('Data Source'!AA74&gt;=4,"A",IF('Data Source'!AA74&gt;=3.5,"A-",IF('Data Source'!AA74&gt;=3,"B",IF('Data Source'!AA74&gt;=2,"C",IF('Data Source'!AA74&gt;=1,"D","F")))))),"")</f>
        <v/>
      </c>
      <c r="J74" s="3">
        <f>IF(AND('Data Source'!B74&lt;&gt;"",'Data Source'!S74="F"),IF('Data Source'!AB74&gt;=5,"A+",IF('Data Source'!AB74&gt;=4,"A",IF('Data Source'!AB74&gt;=3.5,"A-",IF('Data Source'!AB74&gt;=3,"B",IF('Data Source'!AB74&gt;=2,"C",IF('Data Source'!AB74&gt;=1,"D","F")))))),"")</f>
        <v/>
      </c>
      <c r="K74" s="3">
        <f>IF(AND('Data Source'!B74&lt;&gt;"",'Data Source'!S74="F"),IF('Data Source'!AC74&gt;=5,"A+",IF('Data Source'!AC74&gt;=4,"A",IF('Data Source'!AC74&gt;=3.5,"A-",IF('Data Source'!AC74&gt;=3,"B",IF('Data Source'!AC74&gt;=2,"C",IF('Data Source'!AC74&gt;=1,"D","F")))))),"")</f>
        <v/>
      </c>
      <c r="L74" s="3">
        <f>IF(AND('Data Source'!B74&lt;&gt;"",'Data Source'!S74="F"),IF('Data Source'!AD74&gt;=5,"A+",IF('Data Source'!AD74&gt;=4,"A",IF('Data Source'!AD74&gt;=3.5,"A-",IF('Data Source'!AD74&gt;=3,"B",IF('Data Source'!AD74&gt;=2,"C",IF('Data Source'!AD74&gt;=1,"D","F")))))),"")</f>
        <v/>
      </c>
      <c r="M74" s="3">
        <f>IF(AND('Data Source'!B74&lt;&gt;"",'Data Source'!S74="F"),IF('Data Source'!AE74&gt;=5,"A+",IF('Data Source'!AE74&gt;=4,"A",IF('Data Source'!AE74&gt;=3.5,"A-",IF('Data Source'!AE74&gt;=3,"B",IF('Data Source'!AE74&gt;=2,"C",IF('Data Source'!AE74&gt;=1,"D","F")))))),"")</f>
        <v/>
      </c>
      <c r="N74" s="3">
        <f>IF(AND('Data Source'!B74&lt;&gt;"",'Data Source'!S74="F"),IF('Data Source'!AF74&gt;=5,"A+",IF('Data Source'!AF74&gt;=4,"A",IF('Data Source'!AF74&gt;=3.5,"A-",IF('Data Source'!AF74&gt;=3,"B",IF('Data Source'!AF74&gt;=2,"C",IF('Data Source'!AF74&gt;=1,"D","F")))))),"")</f>
        <v/>
      </c>
      <c r="O74" s="3">
        <f>IF(AND('Data Source'!B74&lt;&gt;"",'Data Source'!S74="F"),IF('Data Source'!AG74&gt;=5,"A+",IF('Data Source'!AG74&gt;=4,"A",IF('Data Source'!AG74&gt;=3.5,"A-",IF('Data Source'!AG74&gt;=3,"B",IF('Data Source'!AG74&gt;=2,"C",IF('Data Source'!AG74&gt;=1,"D","F")))))),"")</f>
        <v/>
      </c>
      <c r="P74" s="5">
        <f>IF(AND('Data Source'!B74&lt;&gt;"",'Data Source'!S74="F"),'Data Source'!R74,"")</f>
        <v/>
      </c>
      <c r="Q74" s="3">
        <f>IF(AND('Data Source'!B74&lt;&gt;"",'Data Source'!S74="F"),'Data Source'!S74,"")</f>
        <v/>
      </c>
    </row>
    <row r="75">
      <c r="A75" s="3">
        <f>IF(AND('Data Source'!B75&lt;&gt;"",'Data Source'!S75="F"),COUNTIF('Data Source'!$S$3:S75,"F"),"")</f>
        <v/>
      </c>
      <c r="B75">
        <f>IF(AND('Data Source'!B75&lt;&gt;"",'Data Source'!S75="F"),'Data Source'!B75,"")</f>
        <v/>
      </c>
      <c r="C75" s="3">
        <f>IF(AND('Data Source'!B75&lt;&gt;"",'Data Source'!S75="F"),IF('Data Source'!U75&gt;=5,"A+",IF('Data Source'!U75&gt;=4,"A",IF('Data Source'!U75&gt;=3.5,"A-",IF('Data Source'!U75&gt;=3,"B",IF('Data Source'!U75&gt;=2,"C",IF('Data Source'!U75&gt;=1,"D","F")))))),"")</f>
        <v/>
      </c>
      <c r="D75" s="3">
        <f>IF(AND('Data Source'!B75&lt;&gt;"",'Data Source'!S75="F"),IF('Data Source'!V75&gt;=5,"A+",IF('Data Source'!V75&gt;=4,"A",IF('Data Source'!V75&gt;=3.5,"A-",IF('Data Source'!V75&gt;=3,"B",IF('Data Source'!V75&gt;=2,"C",IF('Data Source'!V75&gt;=1,"D","F")))))),"")</f>
        <v/>
      </c>
      <c r="E75" s="3">
        <f>IF(AND('Data Source'!B75&lt;&gt;"",'Data Source'!S75="F"),IF('Data Source'!W75&gt;=5,"A+",IF('Data Source'!W75&gt;=4,"A",IF('Data Source'!W75&gt;=3.5,"A-",IF('Data Source'!W75&gt;=3,"B",IF('Data Source'!W75&gt;=2,"C",IF('Data Source'!W75&gt;=1,"D","F")))))),"")</f>
        <v/>
      </c>
      <c r="F75" s="3">
        <f>IF(AND('Data Source'!B75&lt;&gt;"",'Data Source'!S75="F"),IF('Data Source'!X75&gt;=5,"A+",IF('Data Source'!X75&gt;=4,"A",IF('Data Source'!X75&gt;=3.5,"A-",IF('Data Source'!X75&gt;=3,"B",IF('Data Source'!X75&gt;=2,"C",IF('Data Source'!X75&gt;=1,"D","F")))))),"")</f>
        <v/>
      </c>
      <c r="G75" s="3">
        <f>IF(AND('Data Source'!B75&lt;&gt;"",'Data Source'!S75="F"),IF('Data Source'!Y75&gt;=5,"A+",IF('Data Source'!Y75&gt;=4,"A",IF('Data Source'!Y75&gt;=3.5,"A-",IF('Data Source'!Y75&gt;=3,"B",IF('Data Source'!Y75&gt;=2,"C",IF('Data Source'!Y75&gt;=1,"D","F")))))),"")</f>
        <v/>
      </c>
      <c r="H75" s="3">
        <f>IF(AND('Data Source'!B75&lt;&gt;"",'Data Source'!S75="F"),IF('Data Source'!Z75&gt;=5,"A+",IF('Data Source'!Z75&gt;=4,"A",IF('Data Source'!Z75&gt;=3.5,"A-",IF('Data Source'!Z75&gt;=3,"B",IF('Data Source'!Z75&gt;=2,"C",IF('Data Source'!Z75&gt;=1,"D","F")))))),"")</f>
        <v/>
      </c>
      <c r="I75" s="3">
        <f>IF(AND('Data Source'!B75&lt;&gt;"",'Data Source'!S75="F"),IF('Data Source'!AA75&gt;=5,"A+",IF('Data Source'!AA75&gt;=4,"A",IF('Data Source'!AA75&gt;=3.5,"A-",IF('Data Source'!AA75&gt;=3,"B",IF('Data Source'!AA75&gt;=2,"C",IF('Data Source'!AA75&gt;=1,"D","F")))))),"")</f>
        <v/>
      </c>
      <c r="J75" s="3">
        <f>IF(AND('Data Source'!B75&lt;&gt;"",'Data Source'!S75="F"),IF('Data Source'!AB75&gt;=5,"A+",IF('Data Source'!AB75&gt;=4,"A",IF('Data Source'!AB75&gt;=3.5,"A-",IF('Data Source'!AB75&gt;=3,"B",IF('Data Source'!AB75&gt;=2,"C",IF('Data Source'!AB75&gt;=1,"D","F")))))),"")</f>
        <v/>
      </c>
      <c r="K75" s="3">
        <f>IF(AND('Data Source'!B75&lt;&gt;"",'Data Source'!S75="F"),IF('Data Source'!AC75&gt;=5,"A+",IF('Data Source'!AC75&gt;=4,"A",IF('Data Source'!AC75&gt;=3.5,"A-",IF('Data Source'!AC75&gt;=3,"B",IF('Data Source'!AC75&gt;=2,"C",IF('Data Source'!AC75&gt;=1,"D","F")))))),"")</f>
        <v/>
      </c>
      <c r="L75" s="3">
        <f>IF(AND('Data Source'!B75&lt;&gt;"",'Data Source'!S75="F"),IF('Data Source'!AD75&gt;=5,"A+",IF('Data Source'!AD75&gt;=4,"A",IF('Data Source'!AD75&gt;=3.5,"A-",IF('Data Source'!AD75&gt;=3,"B",IF('Data Source'!AD75&gt;=2,"C",IF('Data Source'!AD75&gt;=1,"D","F")))))),"")</f>
        <v/>
      </c>
      <c r="M75" s="3">
        <f>IF(AND('Data Source'!B75&lt;&gt;"",'Data Source'!S75="F"),IF('Data Source'!AE75&gt;=5,"A+",IF('Data Source'!AE75&gt;=4,"A",IF('Data Source'!AE75&gt;=3.5,"A-",IF('Data Source'!AE75&gt;=3,"B",IF('Data Source'!AE75&gt;=2,"C",IF('Data Source'!AE75&gt;=1,"D","F")))))),"")</f>
        <v/>
      </c>
      <c r="N75" s="3">
        <f>IF(AND('Data Source'!B75&lt;&gt;"",'Data Source'!S75="F"),IF('Data Source'!AF75&gt;=5,"A+",IF('Data Source'!AF75&gt;=4,"A",IF('Data Source'!AF75&gt;=3.5,"A-",IF('Data Source'!AF75&gt;=3,"B",IF('Data Source'!AF75&gt;=2,"C",IF('Data Source'!AF75&gt;=1,"D","F")))))),"")</f>
        <v/>
      </c>
      <c r="O75" s="3">
        <f>IF(AND('Data Source'!B75&lt;&gt;"",'Data Source'!S75="F"),IF('Data Source'!AG75&gt;=5,"A+",IF('Data Source'!AG75&gt;=4,"A",IF('Data Source'!AG75&gt;=3.5,"A-",IF('Data Source'!AG75&gt;=3,"B",IF('Data Source'!AG75&gt;=2,"C",IF('Data Source'!AG75&gt;=1,"D","F")))))),"")</f>
        <v/>
      </c>
      <c r="P75" s="5">
        <f>IF(AND('Data Source'!B75&lt;&gt;"",'Data Source'!S75="F"),'Data Source'!R75,"")</f>
        <v/>
      </c>
      <c r="Q75" s="3">
        <f>IF(AND('Data Source'!B75&lt;&gt;"",'Data Source'!S75="F"),'Data Source'!S75,"")</f>
        <v/>
      </c>
    </row>
    <row r="76">
      <c r="A76" s="3">
        <f>IF(AND('Data Source'!B76&lt;&gt;"",'Data Source'!S76="F"),COUNTIF('Data Source'!$S$3:S76,"F"),"")</f>
        <v/>
      </c>
      <c r="B76">
        <f>IF(AND('Data Source'!B76&lt;&gt;"",'Data Source'!S76="F"),'Data Source'!B76,"")</f>
        <v/>
      </c>
      <c r="C76" s="3">
        <f>IF(AND('Data Source'!B76&lt;&gt;"",'Data Source'!S76="F"),IF('Data Source'!U76&gt;=5,"A+",IF('Data Source'!U76&gt;=4,"A",IF('Data Source'!U76&gt;=3.5,"A-",IF('Data Source'!U76&gt;=3,"B",IF('Data Source'!U76&gt;=2,"C",IF('Data Source'!U76&gt;=1,"D","F")))))),"")</f>
        <v/>
      </c>
      <c r="D76" s="3">
        <f>IF(AND('Data Source'!B76&lt;&gt;"",'Data Source'!S76="F"),IF('Data Source'!V76&gt;=5,"A+",IF('Data Source'!V76&gt;=4,"A",IF('Data Source'!V76&gt;=3.5,"A-",IF('Data Source'!V76&gt;=3,"B",IF('Data Source'!V76&gt;=2,"C",IF('Data Source'!V76&gt;=1,"D","F")))))),"")</f>
        <v/>
      </c>
      <c r="E76" s="3">
        <f>IF(AND('Data Source'!B76&lt;&gt;"",'Data Source'!S76="F"),IF('Data Source'!W76&gt;=5,"A+",IF('Data Source'!W76&gt;=4,"A",IF('Data Source'!W76&gt;=3.5,"A-",IF('Data Source'!W76&gt;=3,"B",IF('Data Source'!W76&gt;=2,"C",IF('Data Source'!W76&gt;=1,"D","F")))))),"")</f>
        <v/>
      </c>
      <c r="F76" s="3">
        <f>IF(AND('Data Source'!B76&lt;&gt;"",'Data Source'!S76="F"),IF('Data Source'!X76&gt;=5,"A+",IF('Data Source'!X76&gt;=4,"A",IF('Data Source'!X76&gt;=3.5,"A-",IF('Data Source'!X76&gt;=3,"B",IF('Data Source'!X76&gt;=2,"C",IF('Data Source'!X76&gt;=1,"D","F")))))),"")</f>
        <v/>
      </c>
      <c r="G76" s="3">
        <f>IF(AND('Data Source'!B76&lt;&gt;"",'Data Source'!S76="F"),IF('Data Source'!Y76&gt;=5,"A+",IF('Data Source'!Y76&gt;=4,"A",IF('Data Source'!Y76&gt;=3.5,"A-",IF('Data Source'!Y76&gt;=3,"B",IF('Data Source'!Y76&gt;=2,"C",IF('Data Source'!Y76&gt;=1,"D","F")))))),"")</f>
        <v/>
      </c>
      <c r="H76" s="3">
        <f>IF(AND('Data Source'!B76&lt;&gt;"",'Data Source'!S76="F"),IF('Data Source'!Z76&gt;=5,"A+",IF('Data Source'!Z76&gt;=4,"A",IF('Data Source'!Z76&gt;=3.5,"A-",IF('Data Source'!Z76&gt;=3,"B",IF('Data Source'!Z76&gt;=2,"C",IF('Data Source'!Z76&gt;=1,"D","F")))))),"")</f>
        <v/>
      </c>
      <c r="I76" s="3">
        <f>IF(AND('Data Source'!B76&lt;&gt;"",'Data Source'!S76="F"),IF('Data Source'!AA76&gt;=5,"A+",IF('Data Source'!AA76&gt;=4,"A",IF('Data Source'!AA76&gt;=3.5,"A-",IF('Data Source'!AA76&gt;=3,"B",IF('Data Source'!AA76&gt;=2,"C",IF('Data Source'!AA76&gt;=1,"D","F")))))),"")</f>
        <v/>
      </c>
      <c r="J76" s="3">
        <f>IF(AND('Data Source'!B76&lt;&gt;"",'Data Source'!S76="F"),IF('Data Source'!AB76&gt;=5,"A+",IF('Data Source'!AB76&gt;=4,"A",IF('Data Source'!AB76&gt;=3.5,"A-",IF('Data Source'!AB76&gt;=3,"B",IF('Data Source'!AB76&gt;=2,"C",IF('Data Source'!AB76&gt;=1,"D","F")))))),"")</f>
        <v/>
      </c>
      <c r="K76" s="3">
        <f>IF(AND('Data Source'!B76&lt;&gt;"",'Data Source'!S76="F"),IF('Data Source'!AC76&gt;=5,"A+",IF('Data Source'!AC76&gt;=4,"A",IF('Data Source'!AC76&gt;=3.5,"A-",IF('Data Source'!AC76&gt;=3,"B",IF('Data Source'!AC76&gt;=2,"C",IF('Data Source'!AC76&gt;=1,"D","F")))))),"")</f>
        <v/>
      </c>
      <c r="L76" s="3">
        <f>IF(AND('Data Source'!B76&lt;&gt;"",'Data Source'!S76="F"),IF('Data Source'!AD76&gt;=5,"A+",IF('Data Source'!AD76&gt;=4,"A",IF('Data Source'!AD76&gt;=3.5,"A-",IF('Data Source'!AD76&gt;=3,"B",IF('Data Source'!AD76&gt;=2,"C",IF('Data Source'!AD76&gt;=1,"D","F")))))),"")</f>
        <v/>
      </c>
      <c r="M76" s="3">
        <f>IF(AND('Data Source'!B76&lt;&gt;"",'Data Source'!S76="F"),IF('Data Source'!AE76&gt;=5,"A+",IF('Data Source'!AE76&gt;=4,"A",IF('Data Source'!AE76&gt;=3.5,"A-",IF('Data Source'!AE76&gt;=3,"B",IF('Data Source'!AE76&gt;=2,"C",IF('Data Source'!AE76&gt;=1,"D","F")))))),"")</f>
        <v/>
      </c>
      <c r="N76" s="3">
        <f>IF(AND('Data Source'!B76&lt;&gt;"",'Data Source'!S76="F"),IF('Data Source'!AF76&gt;=5,"A+",IF('Data Source'!AF76&gt;=4,"A",IF('Data Source'!AF76&gt;=3.5,"A-",IF('Data Source'!AF76&gt;=3,"B",IF('Data Source'!AF76&gt;=2,"C",IF('Data Source'!AF76&gt;=1,"D","F")))))),"")</f>
        <v/>
      </c>
      <c r="O76" s="3">
        <f>IF(AND('Data Source'!B76&lt;&gt;"",'Data Source'!S76="F"),IF('Data Source'!AG76&gt;=5,"A+",IF('Data Source'!AG76&gt;=4,"A",IF('Data Source'!AG76&gt;=3.5,"A-",IF('Data Source'!AG76&gt;=3,"B",IF('Data Source'!AG76&gt;=2,"C",IF('Data Source'!AG76&gt;=1,"D","F")))))),"")</f>
        <v/>
      </c>
      <c r="P76" s="5">
        <f>IF(AND('Data Source'!B76&lt;&gt;"",'Data Source'!S76="F"),'Data Source'!R76,"")</f>
        <v/>
      </c>
      <c r="Q76" s="3">
        <f>IF(AND('Data Source'!B76&lt;&gt;"",'Data Source'!S76="F"),'Data Source'!S76,"")</f>
        <v/>
      </c>
    </row>
    <row r="77">
      <c r="A77" s="3">
        <f>IF(AND('Data Source'!B77&lt;&gt;"",'Data Source'!S77="F"),COUNTIF('Data Source'!$S$3:S77,"F"),"")</f>
        <v/>
      </c>
      <c r="B77">
        <f>IF(AND('Data Source'!B77&lt;&gt;"",'Data Source'!S77="F"),'Data Source'!B77,"")</f>
        <v/>
      </c>
      <c r="C77" s="3">
        <f>IF(AND('Data Source'!B77&lt;&gt;"",'Data Source'!S77="F"),IF('Data Source'!U77&gt;=5,"A+",IF('Data Source'!U77&gt;=4,"A",IF('Data Source'!U77&gt;=3.5,"A-",IF('Data Source'!U77&gt;=3,"B",IF('Data Source'!U77&gt;=2,"C",IF('Data Source'!U77&gt;=1,"D","F")))))),"")</f>
        <v/>
      </c>
      <c r="D77" s="3">
        <f>IF(AND('Data Source'!B77&lt;&gt;"",'Data Source'!S77="F"),IF('Data Source'!V77&gt;=5,"A+",IF('Data Source'!V77&gt;=4,"A",IF('Data Source'!V77&gt;=3.5,"A-",IF('Data Source'!V77&gt;=3,"B",IF('Data Source'!V77&gt;=2,"C",IF('Data Source'!V77&gt;=1,"D","F")))))),"")</f>
        <v/>
      </c>
      <c r="E77" s="3">
        <f>IF(AND('Data Source'!B77&lt;&gt;"",'Data Source'!S77="F"),IF('Data Source'!W77&gt;=5,"A+",IF('Data Source'!W77&gt;=4,"A",IF('Data Source'!W77&gt;=3.5,"A-",IF('Data Source'!W77&gt;=3,"B",IF('Data Source'!W77&gt;=2,"C",IF('Data Source'!W77&gt;=1,"D","F")))))),"")</f>
        <v/>
      </c>
      <c r="F77" s="3">
        <f>IF(AND('Data Source'!B77&lt;&gt;"",'Data Source'!S77="F"),IF('Data Source'!X77&gt;=5,"A+",IF('Data Source'!X77&gt;=4,"A",IF('Data Source'!X77&gt;=3.5,"A-",IF('Data Source'!X77&gt;=3,"B",IF('Data Source'!X77&gt;=2,"C",IF('Data Source'!X77&gt;=1,"D","F")))))),"")</f>
        <v/>
      </c>
      <c r="G77" s="3">
        <f>IF(AND('Data Source'!B77&lt;&gt;"",'Data Source'!S77="F"),IF('Data Source'!Y77&gt;=5,"A+",IF('Data Source'!Y77&gt;=4,"A",IF('Data Source'!Y77&gt;=3.5,"A-",IF('Data Source'!Y77&gt;=3,"B",IF('Data Source'!Y77&gt;=2,"C",IF('Data Source'!Y77&gt;=1,"D","F")))))),"")</f>
        <v/>
      </c>
      <c r="H77" s="3">
        <f>IF(AND('Data Source'!B77&lt;&gt;"",'Data Source'!S77="F"),IF('Data Source'!Z77&gt;=5,"A+",IF('Data Source'!Z77&gt;=4,"A",IF('Data Source'!Z77&gt;=3.5,"A-",IF('Data Source'!Z77&gt;=3,"B",IF('Data Source'!Z77&gt;=2,"C",IF('Data Source'!Z77&gt;=1,"D","F")))))),"")</f>
        <v/>
      </c>
      <c r="I77" s="3">
        <f>IF(AND('Data Source'!B77&lt;&gt;"",'Data Source'!S77="F"),IF('Data Source'!AA77&gt;=5,"A+",IF('Data Source'!AA77&gt;=4,"A",IF('Data Source'!AA77&gt;=3.5,"A-",IF('Data Source'!AA77&gt;=3,"B",IF('Data Source'!AA77&gt;=2,"C",IF('Data Source'!AA77&gt;=1,"D","F")))))),"")</f>
        <v/>
      </c>
      <c r="J77" s="3">
        <f>IF(AND('Data Source'!B77&lt;&gt;"",'Data Source'!S77="F"),IF('Data Source'!AB77&gt;=5,"A+",IF('Data Source'!AB77&gt;=4,"A",IF('Data Source'!AB77&gt;=3.5,"A-",IF('Data Source'!AB77&gt;=3,"B",IF('Data Source'!AB77&gt;=2,"C",IF('Data Source'!AB77&gt;=1,"D","F")))))),"")</f>
        <v/>
      </c>
      <c r="K77" s="3">
        <f>IF(AND('Data Source'!B77&lt;&gt;"",'Data Source'!S77="F"),IF('Data Source'!AC77&gt;=5,"A+",IF('Data Source'!AC77&gt;=4,"A",IF('Data Source'!AC77&gt;=3.5,"A-",IF('Data Source'!AC77&gt;=3,"B",IF('Data Source'!AC77&gt;=2,"C",IF('Data Source'!AC77&gt;=1,"D","F")))))),"")</f>
        <v/>
      </c>
      <c r="L77" s="3">
        <f>IF(AND('Data Source'!B77&lt;&gt;"",'Data Source'!S77="F"),IF('Data Source'!AD77&gt;=5,"A+",IF('Data Source'!AD77&gt;=4,"A",IF('Data Source'!AD77&gt;=3.5,"A-",IF('Data Source'!AD77&gt;=3,"B",IF('Data Source'!AD77&gt;=2,"C",IF('Data Source'!AD77&gt;=1,"D","F")))))),"")</f>
        <v/>
      </c>
      <c r="M77" s="3">
        <f>IF(AND('Data Source'!B77&lt;&gt;"",'Data Source'!S77="F"),IF('Data Source'!AE77&gt;=5,"A+",IF('Data Source'!AE77&gt;=4,"A",IF('Data Source'!AE77&gt;=3.5,"A-",IF('Data Source'!AE77&gt;=3,"B",IF('Data Source'!AE77&gt;=2,"C",IF('Data Source'!AE77&gt;=1,"D","F")))))),"")</f>
        <v/>
      </c>
      <c r="N77" s="3">
        <f>IF(AND('Data Source'!B77&lt;&gt;"",'Data Source'!S77="F"),IF('Data Source'!AF77&gt;=5,"A+",IF('Data Source'!AF77&gt;=4,"A",IF('Data Source'!AF77&gt;=3.5,"A-",IF('Data Source'!AF77&gt;=3,"B",IF('Data Source'!AF77&gt;=2,"C",IF('Data Source'!AF77&gt;=1,"D","F")))))),"")</f>
        <v/>
      </c>
      <c r="O77" s="3">
        <f>IF(AND('Data Source'!B77&lt;&gt;"",'Data Source'!S77="F"),IF('Data Source'!AG77&gt;=5,"A+",IF('Data Source'!AG77&gt;=4,"A",IF('Data Source'!AG77&gt;=3.5,"A-",IF('Data Source'!AG77&gt;=3,"B",IF('Data Source'!AG77&gt;=2,"C",IF('Data Source'!AG77&gt;=1,"D","F")))))),"")</f>
        <v/>
      </c>
      <c r="P77" s="5">
        <f>IF(AND('Data Source'!B77&lt;&gt;"",'Data Source'!S77="F"),'Data Source'!R77,"")</f>
        <v/>
      </c>
      <c r="Q77" s="3">
        <f>IF(AND('Data Source'!B77&lt;&gt;"",'Data Source'!S77="F"),'Data Source'!S77,"")</f>
        <v/>
      </c>
    </row>
    <row r="78">
      <c r="A78" s="3">
        <f>IF(AND('Data Source'!B78&lt;&gt;"",'Data Source'!S78="F"),COUNTIF('Data Source'!$S$3:S78,"F"),"")</f>
        <v/>
      </c>
      <c r="B78">
        <f>IF(AND('Data Source'!B78&lt;&gt;"",'Data Source'!S78="F"),'Data Source'!B78,"")</f>
        <v/>
      </c>
      <c r="C78" s="3">
        <f>IF(AND('Data Source'!B78&lt;&gt;"",'Data Source'!S78="F"),IF('Data Source'!U78&gt;=5,"A+",IF('Data Source'!U78&gt;=4,"A",IF('Data Source'!U78&gt;=3.5,"A-",IF('Data Source'!U78&gt;=3,"B",IF('Data Source'!U78&gt;=2,"C",IF('Data Source'!U78&gt;=1,"D","F")))))),"")</f>
        <v/>
      </c>
      <c r="D78" s="3">
        <f>IF(AND('Data Source'!B78&lt;&gt;"",'Data Source'!S78="F"),IF('Data Source'!V78&gt;=5,"A+",IF('Data Source'!V78&gt;=4,"A",IF('Data Source'!V78&gt;=3.5,"A-",IF('Data Source'!V78&gt;=3,"B",IF('Data Source'!V78&gt;=2,"C",IF('Data Source'!V78&gt;=1,"D","F")))))),"")</f>
        <v/>
      </c>
      <c r="E78" s="3">
        <f>IF(AND('Data Source'!B78&lt;&gt;"",'Data Source'!S78="F"),IF('Data Source'!W78&gt;=5,"A+",IF('Data Source'!W78&gt;=4,"A",IF('Data Source'!W78&gt;=3.5,"A-",IF('Data Source'!W78&gt;=3,"B",IF('Data Source'!W78&gt;=2,"C",IF('Data Source'!W78&gt;=1,"D","F")))))),"")</f>
        <v/>
      </c>
      <c r="F78" s="3">
        <f>IF(AND('Data Source'!B78&lt;&gt;"",'Data Source'!S78="F"),IF('Data Source'!X78&gt;=5,"A+",IF('Data Source'!X78&gt;=4,"A",IF('Data Source'!X78&gt;=3.5,"A-",IF('Data Source'!X78&gt;=3,"B",IF('Data Source'!X78&gt;=2,"C",IF('Data Source'!X78&gt;=1,"D","F")))))),"")</f>
        <v/>
      </c>
      <c r="G78" s="3">
        <f>IF(AND('Data Source'!B78&lt;&gt;"",'Data Source'!S78="F"),IF('Data Source'!Y78&gt;=5,"A+",IF('Data Source'!Y78&gt;=4,"A",IF('Data Source'!Y78&gt;=3.5,"A-",IF('Data Source'!Y78&gt;=3,"B",IF('Data Source'!Y78&gt;=2,"C",IF('Data Source'!Y78&gt;=1,"D","F")))))),"")</f>
        <v/>
      </c>
      <c r="H78" s="3">
        <f>IF(AND('Data Source'!B78&lt;&gt;"",'Data Source'!S78="F"),IF('Data Source'!Z78&gt;=5,"A+",IF('Data Source'!Z78&gt;=4,"A",IF('Data Source'!Z78&gt;=3.5,"A-",IF('Data Source'!Z78&gt;=3,"B",IF('Data Source'!Z78&gt;=2,"C",IF('Data Source'!Z78&gt;=1,"D","F")))))),"")</f>
        <v/>
      </c>
      <c r="I78" s="3">
        <f>IF(AND('Data Source'!B78&lt;&gt;"",'Data Source'!S78="F"),IF('Data Source'!AA78&gt;=5,"A+",IF('Data Source'!AA78&gt;=4,"A",IF('Data Source'!AA78&gt;=3.5,"A-",IF('Data Source'!AA78&gt;=3,"B",IF('Data Source'!AA78&gt;=2,"C",IF('Data Source'!AA78&gt;=1,"D","F")))))),"")</f>
        <v/>
      </c>
      <c r="J78" s="3">
        <f>IF(AND('Data Source'!B78&lt;&gt;"",'Data Source'!S78="F"),IF('Data Source'!AB78&gt;=5,"A+",IF('Data Source'!AB78&gt;=4,"A",IF('Data Source'!AB78&gt;=3.5,"A-",IF('Data Source'!AB78&gt;=3,"B",IF('Data Source'!AB78&gt;=2,"C",IF('Data Source'!AB78&gt;=1,"D","F")))))),"")</f>
        <v/>
      </c>
      <c r="K78" s="3">
        <f>IF(AND('Data Source'!B78&lt;&gt;"",'Data Source'!S78="F"),IF('Data Source'!AC78&gt;=5,"A+",IF('Data Source'!AC78&gt;=4,"A",IF('Data Source'!AC78&gt;=3.5,"A-",IF('Data Source'!AC78&gt;=3,"B",IF('Data Source'!AC78&gt;=2,"C",IF('Data Source'!AC78&gt;=1,"D","F")))))),"")</f>
        <v/>
      </c>
      <c r="L78" s="3">
        <f>IF(AND('Data Source'!B78&lt;&gt;"",'Data Source'!S78="F"),IF('Data Source'!AD78&gt;=5,"A+",IF('Data Source'!AD78&gt;=4,"A",IF('Data Source'!AD78&gt;=3.5,"A-",IF('Data Source'!AD78&gt;=3,"B",IF('Data Source'!AD78&gt;=2,"C",IF('Data Source'!AD78&gt;=1,"D","F")))))),"")</f>
        <v/>
      </c>
      <c r="M78" s="3">
        <f>IF(AND('Data Source'!B78&lt;&gt;"",'Data Source'!S78="F"),IF('Data Source'!AE78&gt;=5,"A+",IF('Data Source'!AE78&gt;=4,"A",IF('Data Source'!AE78&gt;=3.5,"A-",IF('Data Source'!AE78&gt;=3,"B",IF('Data Source'!AE78&gt;=2,"C",IF('Data Source'!AE78&gt;=1,"D","F")))))),"")</f>
        <v/>
      </c>
      <c r="N78" s="3">
        <f>IF(AND('Data Source'!B78&lt;&gt;"",'Data Source'!S78="F"),IF('Data Source'!AF78&gt;=5,"A+",IF('Data Source'!AF78&gt;=4,"A",IF('Data Source'!AF78&gt;=3.5,"A-",IF('Data Source'!AF78&gt;=3,"B",IF('Data Source'!AF78&gt;=2,"C",IF('Data Source'!AF78&gt;=1,"D","F")))))),"")</f>
        <v/>
      </c>
      <c r="O78" s="3">
        <f>IF(AND('Data Source'!B78&lt;&gt;"",'Data Source'!S78="F"),IF('Data Source'!AG78&gt;=5,"A+",IF('Data Source'!AG78&gt;=4,"A",IF('Data Source'!AG78&gt;=3.5,"A-",IF('Data Source'!AG78&gt;=3,"B",IF('Data Source'!AG78&gt;=2,"C",IF('Data Source'!AG78&gt;=1,"D","F")))))),"")</f>
        <v/>
      </c>
      <c r="P78" s="5">
        <f>IF(AND('Data Source'!B78&lt;&gt;"",'Data Source'!S78="F"),'Data Source'!R78,"")</f>
        <v/>
      </c>
      <c r="Q78" s="3">
        <f>IF(AND('Data Source'!B78&lt;&gt;"",'Data Source'!S78="F"),'Data Source'!S78,"")</f>
        <v/>
      </c>
    </row>
    <row r="79">
      <c r="A79" s="3">
        <f>IF(AND('Data Source'!B79&lt;&gt;"",'Data Source'!S79="F"),COUNTIF('Data Source'!$S$3:S79,"F"),"")</f>
        <v/>
      </c>
      <c r="B79">
        <f>IF(AND('Data Source'!B79&lt;&gt;"",'Data Source'!S79="F"),'Data Source'!B79,"")</f>
        <v/>
      </c>
      <c r="C79" s="3">
        <f>IF(AND('Data Source'!B79&lt;&gt;"",'Data Source'!S79="F"),IF('Data Source'!U79&gt;=5,"A+",IF('Data Source'!U79&gt;=4,"A",IF('Data Source'!U79&gt;=3.5,"A-",IF('Data Source'!U79&gt;=3,"B",IF('Data Source'!U79&gt;=2,"C",IF('Data Source'!U79&gt;=1,"D","F")))))),"")</f>
        <v/>
      </c>
      <c r="D79" s="3">
        <f>IF(AND('Data Source'!B79&lt;&gt;"",'Data Source'!S79="F"),IF('Data Source'!V79&gt;=5,"A+",IF('Data Source'!V79&gt;=4,"A",IF('Data Source'!V79&gt;=3.5,"A-",IF('Data Source'!V79&gt;=3,"B",IF('Data Source'!V79&gt;=2,"C",IF('Data Source'!V79&gt;=1,"D","F")))))),"")</f>
        <v/>
      </c>
      <c r="E79" s="3">
        <f>IF(AND('Data Source'!B79&lt;&gt;"",'Data Source'!S79="F"),IF('Data Source'!W79&gt;=5,"A+",IF('Data Source'!W79&gt;=4,"A",IF('Data Source'!W79&gt;=3.5,"A-",IF('Data Source'!W79&gt;=3,"B",IF('Data Source'!W79&gt;=2,"C",IF('Data Source'!W79&gt;=1,"D","F")))))),"")</f>
        <v/>
      </c>
      <c r="F79" s="3">
        <f>IF(AND('Data Source'!B79&lt;&gt;"",'Data Source'!S79="F"),IF('Data Source'!X79&gt;=5,"A+",IF('Data Source'!X79&gt;=4,"A",IF('Data Source'!X79&gt;=3.5,"A-",IF('Data Source'!X79&gt;=3,"B",IF('Data Source'!X79&gt;=2,"C",IF('Data Source'!X79&gt;=1,"D","F")))))),"")</f>
        <v/>
      </c>
      <c r="G79" s="3">
        <f>IF(AND('Data Source'!B79&lt;&gt;"",'Data Source'!S79="F"),IF('Data Source'!Y79&gt;=5,"A+",IF('Data Source'!Y79&gt;=4,"A",IF('Data Source'!Y79&gt;=3.5,"A-",IF('Data Source'!Y79&gt;=3,"B",IF('Data Source'!Y79&gt;=2,"C",IF('Data Source'!Y79&gt;=1,"D","F")))))),"")</f>
        <v/>
      </c>
      <c r="H79" s="3">
        <f>IF(AND('Data Source'!B79&lt;&gt;"",'Data Source'!S79="F"),IF('Data Source'!Z79&gt;=5,"A+",IF('Data Source'!Z79&gt;=4,"A",IF('Data Source'!Z79&gt;=3.5,"A-",IF('Data Source'!Z79&gt;=3,"B",IF('Data Source'!Z79&gt;=2,"C",IF('Data Source'!Z79&gt;=1,"D","F")))))),"")</f>
        <v/>
      </c>
      <c r="I79" s="3">
        <f>IF(AND('Data Source'!B79&lt;&gt;"",'Data Source'!S79="F"),IF('Data Source'!AA79&gt;=5,"A+",IF('Data Source'!AA79&gt;=4,"A",IF('Data Source'!AA79&gt;=3.5,"A-",IF('Data Source'!AA79&gt;=3,"B",IF('Data Source'!AA79&gt;=2,"C",IF('Data Source'!AA79&gt;=1,"D","F")))))),"")</f>
        <v/>
      </c>
      <c r="J79" s="3">
        <f>IF(AND('Data Source'!B79&lt;&gt;"",'Data Source'!S79="F"),IF('Data Source'!AB79&gt;=5,"A+",IF('Data Source'!AB79&gt;=4,"A",IF('Data Source'!AB79&gt;=3.5,"A-",IF('Data Source'!AB79&gt;=3,"B",IF('Data Source'!AB79&gt;=2,"C",IF('Data Source'!AB79&gt;=1,"D","F")))))),"")</f>
        <v/>
      </c>
      <c r="K79" s="3">
        <f>IF(AND('Data Source'!B79&lt;&gt;"",'Data Source'!S79="F"),IF('Data Source'!AC79&gt;=5,"A+",IF('Data Source'!AC79&gt;=4,"A",IF('Data Source'!AC79&gt;=3.5,"A-",IF('Data Source'!AC79&gt;=3,"B",IF('Data Source'!AC79&gt;=2,"C",IF('Data Source'!AC79&gt;=1,"D","F")))))),"")</f>
        <v/>
      </c>
      <c r="L79" s="3">
        <f>IF(AND('Data Source'!B79&lt;&gt;"",'Data Source'!S79="F"),IF('Data Source'!AD79&gt;=5,"A+",IF('Data Source'!AD79&gt;=4,"A",IF('Data Source'!AD79&gt;=3.5,"A-",IF('Data Source'!AD79&gt;=3,"B",IF('Data Source'!AD79&gt;=2,"C",IF('Data Source'!AD79&gt;=1,"D","F")))))),"")</f>
        <v/>
      </c>
      <c r="M79" s="3">
        <f>IF(AND('Data Source'!B79&lt;&gt;"",'Data Source'!S79="F"),IF('Data Source'!AE79&gt;=5,"A+",IF('Data Source'!AE79&gt;=4,"A",IF('Data Source'!AE79&gt;=3.5,"A-",IF('Data Source'!AE79&gt;=3,"B",IF('Data Source'!AE79&gt;=2,"C",IF('Data Source'!AE79&gt;=1,"D","F")))))),"")</f>
        <v/>
      </c>
      <c r="N79" s="3">
        <f>IF(AND('Data Source'!B79&lt;&gt;"",'Data Source'!S79="F"),IF('Data Source'!AF79&gt;=5,"A+",IF('Data Source'!AF79&gt;=4,"A",IF('Data Source'!AF79&gt;=3.5,"A-",IF('Data Source'!AF79&gt;=3,"B",IF('Data Source'!AF79&gt;=2,"C",IF('Data Source'!AF79&gt;=1,"D","F")))))),"")</f>
        <v/>
      </c>
      <c r="O79" s="3">
        <f>IF(AND('Data Source'!B79&lt;&gt;"",'Data Source'!S79="F"),IF('Data Source'!AG79&gt;=5,"A+",IF('Data Source'!AG79&gt;=4,"A",IF('Data Source'!AG79&gt;=3.5,"A-",IF('Data Source'!AG79&gt;=3,"B",IF('Data Source'!AG79&gt;=2,"C",IF('Data Source'!AG79&gt;=1,"D","F")))))),"")</f>
        <v/>
      </c>
      <c r="P79" s="5">
        <f>IF(AND('Data Source'!B79&lt;&gt;"",'Data Source'!S79="F"),'Data Source'!R79,"")</f>
        <v/>
      </c>
      <c r="Q79" s="3">
        <f>IF(AND('Data Source'!B79&lt;&gt;"",'Data Source'!S79="F"),'Data Source'!S79,"")</f>
        <v/>
      </c>
    </row>
    <row r="80">
      <c r="A80" s="3">
        <f>IF(AND('Data Source'!B80&lt;&gt;"",'Data Source'!S80="F"),COUNTIF('Data Source'!$S$3:S80,"F"),"")</f>
        <v/>
      </c>
      <c r="B80">
        <f>IF(AND('Data Source'!B80&lt;&gt;"",'Data Source'!S80="F"),'Data Source'!B80,"")</f>
        <v/>
      </c>
      <c r="C80" s="3">
        <f>IF(AND('Data Source'!B80&lt;&gt;"",'Data Source'!S80="F"),IF('Data Source'!U80&gt;=5,"A+",IF('Data Source'!U80&gt;=4,"A",IF('Data Source'!U80&gt;=3.5,"A-",IF('Data Source'!U80&gt;=3,"B",IF('Data Source'!U80&gt;=2,"C",IF('Data Source'!U80&gt;=1,"D","F")))))),"")</f>
        <v/>
      </c>
      <c r="D80" s="3">
        <f>IF(AND('Data Source'!B80&lt;&gt;"",'Data Source'!S80="F"),IF('Data Source'!V80&gt;=5,"A+",IF('Data Source'!V80&gt;=4,"A",IF('Data Source'!V80&gt;=3.5,"A-",IF('Data Source'!V80&gt;=3,"B",IF('Data Source'!V80&gt;=2,"C",IF('Data Source'!V80&gt;=1,"D","F")))))),"")</f>
        <v/>
      </c>
      <c r="E80" s="3">
        <f>IF(AND('Data Source'!B80&lt;&gt;"",'Data Source'!S80="F"),IF('Data Source'!W80&gt;=5,"A+",IF('Data Source'!W80&gt;=4,"A",IF('Data Source'!W80&gt;=3.5,"A-",IF('Data Source'!W80&gt;=3,"B",IF('Data Source'!W80&gt;=2,"C",IF('Data Source'!W80&gt;=1,"D","F")))))),"")</f>
        <v/>
      </c>
      <c r="F80" s="3">
        <f>IF(AND('Data Source'!B80&lt;&gt;"",'Data Source'!S80="F"),IF('Data Source'!X80&gt;=5,"A+",IF('Data Source'!X80&gt;=4,"A",IF('Data Source'!X80&gt;=3.5,"A-",IF('Data Source'!X80&gt;=3,"B",IF('Data Source'!X80&gt;=2,"C",IF('Data Source'!X80&gt;=1,"D","F")))))),"")</f>
        <v/>
      </c>
      <c r="G80" s="3">
        <f>IF(AND('Data Source'!B80&lt;&gt;"",'Data Source'!S80="F"),IF('Data Source'!Y80&gt;=5,"A+",IF('Data Source'!Y80&gt;=4,"A",IF('Data Source'!Y80&gt;=3.5,"A-",IF('Data Source'!Y80&gt;=3,"B",IF('Data Source'!Y80&gt;=2,"C",IF('Data Source'!Y80&gt;=1,"D","F")))))),"")</f>
        <v/>
      </c>
      <c r="H80" s="3">
        <f>IF(AND('Data Source'!B80&lt;&gt;"",'Data Source'!S80="F"),IF('Data Source'!Z80&gt;=5,"A+",IF('Data Source'!Z80&gt;=4,"A",IF('Data Source'!Z80&gt;=3.5,"A-",IF('Data Source'!Z80&gt;=3,"B",IF('Data Source'!Z80&gt;=2,"C",IF('Data Source'!Z80&gt;=1,"D","F")))))),"")</f>
        <v/>
      </c>
      <c r="I80" s="3">
        <f>IF(AND('Data Source'!B80&lt;&gt;"",'Data Source'!S80="F"),IF('Data Source'!AA80&gt;=5,"A+",IF('Data Source'!AA80&gt;=4,"A",IF('Data Source'!AA80&gt;=3.5,"A-",IF('Data Source'!AA80&gt;=3,"B",IF('Data Source'!AA80&gt;=2,"C",IF('Data Source'!AA80&gt;=1,"D","F")))))),"")</f>
        <v/>
      </c>
      <c r="J80" s="3">
        <f>IF(AND('Data Source'!B80&lt;&gt;"",'Data Source'!S80="F"),IF('Data Source'!AB80&gt;=5,"A+",IF('Data Source'!AB80&gt;=4,"A",IF('Data Source'!AB80&gt;=3.5,"A-",IF('Data Source'!AB80&gt;=3,"B",IF('Data Source'!AB80&gt;=2,"C",IF('Data Source'!AB80&gt;=1,"D","F")))))),"")</f>
        <v/>
      </c>
      <c r="K80" s="3">
        <f>IF(AND('Data Source'!B80&lt;&gt;"",'Data Source'!S80="F"),IF('Data Source'!AC80&gt;=5,"A+",IF('Data Source'!AC80&gt;=4,"A",IF('Data Source'!AC80&gt;=3.5,"A-",IF('Data Source'!AC80&gt;=3,"B",IF('Data Source'!AC80&gt;=2,"C",IF('Data Source'!AC80&gt;=1,"D","F")))))),"")</f>
        <v/>
      </c>
      <c r="L80" s="3">
        <f>IF(AND('Data Source'!B80&lt;&gt;"",'Data Source'!S80="F"),IF('Data Source'!AD80&gt;=5,"A+",IF('Data Source'!AD80&gt;=4,"A",IF('Data Source'!AD80&gt;=3.5,"A-",IF('Data Source'!AD80&gt;=3,"B",IF('Data Source'!AD80&gt;=2,"C",IF('Data Source'!AD80&gt;=1,"D","F")))))),"")</f>
        <v/>
      </c>
      <c r="M80" s="3">
        <f>IF(AND('Data Source'!B80&lt;&gt;"",'Data Source'!S80="F"),IF('Data Source'!AE80&gt;=5,"A+",IF('Data Source'!AE80&gt;=4,"A",IF('Data Source'!AE80&gt;=3.5,"A-",IF('Data Source'!AE80&gt;=3,"B",IF('Data Source'!AE80&gt;=2,"C",IF('Data Source'!AE80&gt;=1,"D","F")))))),"")</f>
        <v/>
      </c>
      <c r="N80" s="3">
        <f>IF(AND('Data Source'!B80&lt;&gt;"",'Data Source'!S80="F"),IF('Data Source'!AF80&gt;=5,"A+",IF('Data Source'!AF80&gt;=4,"A",IF('Data Source'!AF80&gt;=3.5,"A-",IF('Data Source'!AF80&gt;=3,"B",IF('Data Source'!AF80&gt;=2,"C",IF('Data Source'!AF80&gt;=1,"D","F")))))),"")</f>
        <v/>
      </c>
      <c r="O80" s="3">
        <f>IF(AND('Data Source'!B80&lt;&gt;"",'Data Source'!S80="F"),IF('Data Source'!AG80&gt;=5,"A+",IF('Data Source'!AG80&gt;=4,"A",IF('Data Source'!AG80&gt;=3.5,"A-",IF('Data Source'!AG80&gt;=3,"B",IF('Data Source'!AG80&gt;=2,"C",IF('Data Source'!AG80&gt;=1,"D","F")))))),"")</f>
        <v/>
      </c>
      <c r="P80" s="5">
        <f>IF(AND('Data Source'!B80&lt;&gt;"",'Data Source'!S80="F"),'Data Source'!R80,"")</f>
        <v/>
      </c>
      <c r="Q80" s="3">
        <f>IF(AND('Data Source'!B80&lt;&gt;"",'Data Source'!S80="F"),'Data Source'!S80,"")</f>
        <v/>
      </c>
    </row>
    <row r="81">
      <c r="A81" s="3">
        <f>IF(AND('Data Source'!B81&lt;&gt;"",'Data Source'!S81="F"),COUNTIF('Data Source'!$S$3:S81,"F"),"")</f>
        <v/>
      </c>
      <c r="B81">
        <f>IF(AND('Data Source'!B81&lt;&gt;"",'Data Source'!S81="F"),'Data Source'!B81,"")</f>
        <v/>
      </c>
      <c r="C81" s="3">
        <f>IF(AND('Data Source'!B81&lt;&gt;"",'Data Source'!S81="F"),IF('Data Source'!U81&gt;=5,"A+",IF('Data Source'!U81&gt;=4,"A",IF('Data Source'!U81&gt;=3.5,"A-",IF('Data Source'!U81&gt;=3,"B",IF('Data Source'!U81&gt;=2,"C",IF('Data Source'!U81&gt;=1,"D","F")))))),"")</f>
        <v/>
      </c>
      <c r="D81" s="3">
        <f>IF(AND('Data Source'!B81&lt;&gt;"",'Data Source'!S81="F"),IF('Data Source'!V81&gt;=5,"A+",IF('Data Source'!V81&gt;=4,"A",IF('Data Source'!V81&gt;=3.5,"A-",IF('Data Source'!V81&gt;=3,"B",IF('Data Source'!V81&gt;=2,"C",IF('Data Source'!V81&gt;=1,"D","F")))))),"")</f>
        <v/>
      </c>
      <c r="E81" s="3">
        <f>IF(AND('Data Source'!B81&lt;&gt;"",'Data Source'!S81="F"),IF('Data Source'!W81&gt;=5,"A+",IF('Data Source'!W81&gt;=4,"A",IF('Data Source'!W81&gt;=3.5,"A-",IF('Data Source'!W81&gt;=3,"B",IF('Data Source'!W81&gt;=2,"C",IF('Data Source'!W81&gt;=1,"D","F")))))),"")</f>
        <v/>
      </c>
      <c r="F81" s="3">
        <f>IF(AND('Data Source'!B81&lt;&gt;"",'Data Source'!S81="F"),IF('Data Source'!X81&gt;=5,"A+",IF('Data Source'!X81&gt;=4,"A",IF('Data Source'!X81&gt;=3.5,"A-",IF('Data Source'!X81&gt;=3,"B",IF('Data Source'!X81&gt;=2,"C",IF('Data Source'!X81&gt;=1,"D","F")))))),"")</f>
        <v/>
      </c>
      <c r="G81" s="3">
        <f>IF(AND('Data Source'!B81&lt;&gt;"",'Data Source'!S81="F"),IF('Data Source'!Y81&gt;=5,"A+",IF('Data Source'!Y81&gt;=4,"A",IF('Data Source'!Y81&gt;=3.5,"A-",IF('Data Source'!Y81&gt;=3,"B",IF('Data Source'!Y81&gt;=2,"C",IF('Data Source'!Y81&gt;=1,"D","F")))))),"")</f>
        <v/>
      </c>
      <c r="H81" s="3">
        <f>IF(AND('Data Source'!B81&lt;&gt;"",'Data Source'!S81="F"),IF('Data Source'!Z81&gt;=5,"A+",IF('Data Source'!Z81&gt;=4,"A",IF('Data Source'!Z81&gt;=3.5,"A-",IF('Data Source'!Z81&gt;=3,"B",IF('Data Source'!Z81&gt;=2,"C",IF('Data Source'!Z81&gt;=1,"D","F")))))),"")</f>
        <v/>
      </c>
      <c r="I81" s="3">
        <f>IF(AND('Data Source'!B81&lt;&gt;"",'Data Source'!S81="F"),IF('Data Source'!AA81&gt;=5,"A+",IF('Data Source'!AA81&gt;=4,"A",IF('Data Source'!AA81&gt;=3.5,"A-",IF('Data Source'!AA81&gt;=3,"B",IF('Data Source'!AA81&gt;=2,"C",IF('Data Source'!AA81&gt;=1,"D","F")))))),"")</f>
        <v/>
      </c>
      <c r="J81" s="3">
        <f>IF(AND('Data Source'!B81&lt;&gt;"",'Data Source'!S81="F"),IF('Data Source'!AB81&gt;=5,"A+",IF('Data Source'!AB81&gt;=4,"A",IF('Data Source'!AB81&gt;=3.5,"A-",IF('Data Source'!AB81&gt;=3,"B",IF('Data Source'!AB81&gt;=2,"C",IF('Data Source'!AB81&gt;=1,"D","F")))))),"")</f>
        <v/>
      </c>
      <c r="K81" s="3">
        <f>IF(AND('Data Source'!B81&lt;&gt;"",'Data Source'!S81="F"),IF('Data Source'!AC81&gt;=5,"A+",IF('Data Source'!AC81&gt;=4,"A",IF('Data Source'!AC81&gt;=3.5,"A-",IF('Data Source'!AC81&gt;=3,"B",IF('Data Source'!AC81&gt;=2,"C",IF('Data Source'!AC81&gt;=1,"D","F")))))),"")</f>
        <v/>
      </c>
      <c r="L81" s="3">
        <f>IF(AND('Data Source'!B81&lt;&gt;"",'Data Source'!S81="F"),IF('Data Source'!AD81&gt;=5,"A+",IF('Data Source'!AD81&gt;=4,"A",IF('Data Source'!AD81&gt;=3.5,"A-",IF('Data Source'!AD81&gt;=3,"B",IF('Data Source'!AD81&gt;=2,"C",IF('Data Source'!AD81&gt;=1,"D","F")))))),"")</f>
        <v/>
      </c>
      <c r="M81" s="3">
        <f>IF(AND('Data Source'!B81&lt;&gt;"",'Data Source'!S81="F"),IF('Data Source'!AE81&gt;=5,"A+",IF('Data Source'!AE81&gt;=4,"A",IF('Data Source'!AE81&gt;=3.5,"A-",IF('Data Source'!AE81&gt;=3,"B",IF('Data Source'!AE81&gt;=2,"C",IF('Data Source'!AE81&gt;=1,"D","F")))))),"")</f>
        <v/>
      </c>
      <c r="N81" s="3">
        <f>IF(AND('Data Source'!B81&lt;&gt;"",'Data Source'!S81="F"),IF('Data Source'!AF81&gt;=5,"A+",IF('Data Source'!AF81&gt;=4,"A",IF('Data Source'!AF81&gt;=3.5,"A-",IF('Data Source'!AF81&gt;=3,"B",IF('Data Source'!AF81&gt;=2,"C",IF('Data Source'!AF81&gt;=1,"D","F")))))),"")</f>
        <v/>
      </c>
      <c r="O81" s="3">
        <f>IF(AND('Data Source'!B81&lt;&gt;"",'Data Source'!S81="F"),IF('Data Source'!AG81&gt;=5,"A+",IF('Data Source'!AG81&gt;=4,"A",IF('Data Source'!AG81&gt;=3.5,"A-",IF('Data Source'!AG81&gt;=3,"B",IF('Data Source'!AG81&gt;=2,"C",IF('Data Source'!AG81&gt;=1,"D","F")))))),"")</f>
        <v/>
      </c>
      <c r="P81" s="5">
        <f>IF(AND('Data Source'!B81&lt;&gt;"",'Data Source'!S81="F"),'Data Source'!R81,"")</f>
        <v/>
      </c>
      <c r="Q81" s="3">
        <f>IF(AND('Data Source'!B81&lt;&gt;"",'Data Source'!S81="F"),'Data Source'!S81,"")</f>
        <v/>
      </c>
    </row>
    <row r="82">
      <c r="A82" s="3">
        <f>IF(AND('Data Source'!B82&lt;&gt;"",'Data Source'!S82="F"),COUNTIF('Data Source'!$S$3:S82,"F"),"")</f>
        <v/>
      </c>
      <c r="B82">
        <f>IF(AND('Data Source'!B82&lt;&gt;"",'Data Source'!S82="F"),'Data Source'!B82,"")</f>
        <v/>
      </c>
      <c r="C82" s="3">
        <f>IF(AND('Data Source'!B82&lt;&gt;"",'Data Source'!S82="F"),IF('Data Source'!U82&gt;=5,"A+",IF('Data Source'!U82&gt;=4,"A",IF('Data Source'!U82&gt;=3.5,"A-",IF('Data Source'!U82&gt;=3,"B",IF('Data Source'!U82&gt;=2,"C",IF('Data Source'!U82&gt;=1,"D","F")))))),"")</f>
        <v/>
      </c>
      <c r="D82" s="3">
        <f>IF(AND('Data Source'!B82&lt;&gt;"",'Data Source'!S82="F"),IF('Data Source'!V82&gt;=5,"A+",IF('Data Source'!V82&gt;=4,"A",IF('Data Source'!V82&gt;=3.5,"A-",IF('Data Source'!V82&gt;=3,"B",IF('Data Source'!V82&gt;=2,"C",IF('Data Source'!V82&gt;=1,"D","F")))))),"")</f>
        <v/>
      </c>
      <c r="E82" s="3">
        <f>IF(AND('Data Source'!B82&lt;&gt;"",'Data Source'!S82="F"),IF('Data Source'!W82&gt;=5,"A+",IF('Data Source'!W82&gt;=4,"A",IF('Data Source'!W82&gt;=3.5,"A-",IF('Data Source'!W82&gt;=3,"B",IF('Data Source'!W82&gt;=2,"C",IF('Data Source'!W82&gt;=1,"D","F")))))),"")</f>
        <v/>
      </c>
      <c r="F82" s="3">
        <f>IF(AND('Data Source'!B82&lt;&gt;"",'Data Source'!S82="F"),IF('Data Source'!X82&gt;=5,"A+",IF('Data Source'!X82&gt;=4,"A",IF('Data Source'!X82&gt;=3.5,"A-",IF('Data Source'!X82&gt;=3,"B",IF('Data Source'!X82&gt;=2,"C",IF('Data Source'!X82&gt;=1,"D","F")))))),"")</f>
        <v/>
      </c>
      <c r="G82" s="3">
        <f>IF(AND('Data Source'!B82&lt;&gt;"",'Data Source'!S82="F"),IF('Data Source'!Y82&gt;=5,"A+",IF('Data Source'!Y82&gt;=4,"A",IF('Data Source'!Y82&gt;=3.5,"A-",IF('Data Source'!Y82&gt;=3,"B",IF('Data Source'!Y82&gt;=2,"C",IF('Data Source'!Y82&gt;=1,"D","F")))))),"")</f>
        <v/>
      </c>
      <c r="H82" s="3">
        <f>IF(AND('Data Source'!B82&lt;&gt;"",'Data Source'!S82="F"),IF('Data Source'!Z82&gt;=5,"A+",IF('Data Source'!Z82&gt;=4,"A",IF('Data Source'!Z82&gt;=3.5,"A-",IF('Data Source'!Z82&gt;=3,"B",IF('Data Source'!Z82&gt;=2,"C",IF('Data Source'!Z82&gt;=1,"D","F")))))),"")</f>
        <v/>
      </c>
      <c r="I82" s="3">
        <f>IF(AND('Data Source'!B82&lt;&gt;"",'Data Source'!S82="F"),IF('Data Source'!AA82&gt;=5,"A+",IF('Data Source'!AA82&gt;=4,"A",IF('Data Source'!AA82&gt;=3.5,"A-",IF('Data Source'!AA82&gt;=3,"B",IF('Data Source'!AA82&gt;=2,"C",IF('Data Source'!AA82&gt;=1,"D","F")))))),"")</f>
        <v/>
      </c>
      <c r="J82" s="3">
        <f>IF(AND('Data Source'!B82&lt;&gt;"",'Data Source'!S82="F"),IF('Data Source'!AB82&gt;=5,"A+",IF('Data Source'!AB82&gt;=4,"A",IF('Data Source'!AB82&gt;=3.5,"A-",IF('Data Source'!AB82&gt;=3,"B",IF('Data Source'!AB82&gt;=2,"C",IF('Data Source'!AB82&gt;=1,"D","F")))))),"")</f>
        <v/>
      </c>
      <c r="K82" s="3">
        <f>IF(AND('Data Source'!B82&lt;&gt;"",'Data Source'!S82="F"),IF('Data Source'!AC82&gt;=5,"A+",IF('Data Source'!AC82&gt;=4,"A",IF('Data Source'!AC82&gt;=3.5,"A-",IF('Data Source'!AC82&gt;=3,"B",IF('Data Source'!AC82&gt;=2,"C",IF('Data Source'!AC82&gt;=1,"D","F")))))),"")</f>
        <v/>
      </c>
      <c r="L82" s="3">
        <f>IF(AND('Data Source'!B82&lt;&gt;"",'Data Source'!S82="F"),IF('Data Source'!AD82&gt;=5,"A+",IF('Data Source'!AD82&gt;=4,"A",IF('Data Source'!AD82&gt;=3.5,"A-",IF('Data Source'!AD82&gt;=3,"B",IF('Data Source'!AD82&gt;=2,"C",IF('Data Source'!AD82&gt;=1,"D","F")))))),"")</f>
        <v/>
      </c>
      <c r="M82" s="3">
        <f>IF(AND('Data Source'!B82&lt;&gt;"",'Data Source'!S82="F"),IF('Data Source'!AE82&gt;=5,"A+",IF('Data Source'!AE82&gt;=4,"A",IF('Data Source'!AE82&gt;=3.5,"A-",IF('Data Source'!AE82&gt;=3,"B",IF('Data Source'!AE82&gt;=2,"C",IF('Data Source'!AE82&gt;=1,"D","F")))))),"")</f>
        <v/>
      </c>
      <c r="N82" s="3">
        <f>IF(AND('Data Source'!B82&lt;&gt;"",'Data Source'!S82="F"),IF('Data Source'!AF82&gt;=5,"A+",IF('Data Source'!AF82&gt;=4,"A",IF('Data Source'!AF82&gt;=3.5,"A-",IF('Data Source'!AF82&gt;=3,"B",IF('Data Source'!AF82&gt;=2,"C",IF('Data Source'!AF82&gt;=1,"D","F")))))),"")</f>
        <v/>
      </c>
      <c r="O82" s="3">
        <f>IF(AND('Data Source'!B82&lt;&gt;"",'Data Source'!S82="F"),IF('Data Source'!AG82&gt;=5,"A+",IF('Data Source'!AG82&gt;=4,"A",IF('Data Source'!AG82&gt;=3.5,"A-",IF('Data Source'!AG82&gt;=3,"B",IF('Data Source'!AG82&gt;=2,"C",IF('Data Source'!AG82&gt;=1,"D","F")))))),"")</f>
        <v/>
      </c>
      <c r="P82" s="5">
        <f>IF(AND('Data Source'!B82&lt;&gt;"",'Data Source'!S82="F"),'Data Source'!R82,"")</f>
        <v/>
      </c>
      <c r="Q82" s="3">
        <f>IF(AND('Data Source'!B82&lt;&gt;"",'Data Source'!S82="F"),'Data Source'!S82,"")</f>
        <v/>
      </c>
    </row>
    <row r="83">
      <c r="A83" s="3">
        <f>IF(AND('Data Source'!B83&lt;&gt;"",'Data Source'!S83="F"),COUNTIF('Data Source'!$S$3:S83,"F"),"")</f>
        <v/>
      </c>
      <c r="B83">
        <f>IF(AND('Data Source'!B83&lt;&gt;"",'Data Source'!S83="F"),'Data Source'!B83,"")</f>
        <v/>
      </c>
      <c r="C83" s="3">
        <f>IF(AND('Data Source'!B83&lt;&gt;"",'Data Source'!S83="F"),IF('Data Source'!U83&gt;=5,"A+",IF('Data Source'!U83&gt;=4,"A",IF('Data Source'!U83&gt;=3.5,"A-",IF('Data Source'!U83&gt;=3,"B",IF('Data Source'!U83&gt;=2,"C",IF('Data Source'!U83&gt;=1,"D","F")))))),"")</f>
        <v/>
      </c>
      <c r="D83" s="3">
        <f>IF(AND('Data Source'!B83&lt;&gt;"",'Data Source'!S83="F"),IF('Data Source'!V83&gt;=5,"A+",IF('Data Source'!V83&gt;=4,"A",IF('Data Source'!V83&gt;=3.5,"A-",IF('Data Source'!V83&gt;=3,"B",IF('Data Source'!V83&gt;=2,"C",IF('Data Source'!V83&gt;=1,"D","F")))))),"")</f>
        <v/>
      </c>
      <c r="E83" s="3">
        <f>IF(AND('Data Source'!B83&lt;&gt;"",'Data Source'!S83="F"),IF('Data Source'!W83&gt;=5,"A+",IF('Data Source'!W83&gt;=4,"A",IF('Data Source'!W83&gt;=3.5,"A-",IF('Data Source'!W83&gt;=3,"B",IF('Data Source'!W83&gt;=2,"C",IF('Data Source'!W83&gt;=1,"D","F")))))),"")</f>
        <v/>
      </c>
      <c r="F83" s="3">
        <f>IF(AND('Data Source'!B83&lt;&gt;"",'Data Source'!S83="F"),IF('Data Source'!X83&gt;=5,"A+",IF('Data Source'!X83&gt;=4,"A",IF('Data Source'!X83&gt;=3.5,"A-",IF('Data Source'!X83&gt;=3,"B",IF('Data Source'!X83&gt;=2,"C",IF('Data Source'!X83&gt;=1,"D","F")))))),"")</f>
        <v/>
      </c>
      <c r="G83" s="3">
        <f>IF(AND('Data Source'!B83&lt;&gt;"",'Data Source'!S83="F"),IF('Data Source'!Y83&gt;=5,"A+",IF('Data Source'!Y83&gt;=4,"A",IF('Data Source'!Y83&gt;=3.5,"A-",IF('Data Source'!Y83&gt;=3,"B",IF('Data Source'!Y83&gt;=2,"C",IF('Data Source'!Y83&gt;=1,"D","F")))))),"")</f>
        <v/>
      </c>
      <c r="H83" s="3">
        <f>IF(AND('Data Source'!B83&lt;&gt;"",'Data Source'!S83="F"),IF('Data Source'!Z83&gt;=5,"A+",IF('Data Source'!Z83&gt;=4,"A",IF('Data Source'!Z83&gt;=3.5,"A-",IF('Data Source'!Z83&gt;=3,"B",IF('Data Source'!Z83&gt;=2,"C",IF('Data Source'!Z83&gt;=1,"D","F")))))),"")</f>
        <v/>
      </c>
      <c r="I83" s="3">
        <f>IF(AND('Data Source'!B83&lt;&gt;"",'Data Source'!S83="F"),IF('Data Source'!AA83&gt;=5,"A+",IF('Data Source'!AA83&gt;=4,"A",IF('Data Source'!AA83&gt;=3.5,"A-",IF('Data Source'!AA83&gt;=3,"B",IF('Data Source'!AA83&gt;=2,"C",IF('Data Source'!AA83&gt;=1,"D","F")))))),"")</f>
        <v/>
      </c>
      <c r="J83" s="3">
        <f>IF(AND('Data Source'!B83&lt;&gt;"",'Data Source'!S83="F"),IF('Data Source'!AB83&gt;=5,"A+",IF('Data Source'!AB83&gt;=4,"A",IF('Data Source'!AB83&gt;=3.5,"A-",IF('Data Source'!AB83&gt;=3,"B",IF('Data Source'!AB83&gt;=2,"C",IF('Data Source'!AB83&gt;=1,"D","F")))))),"")</f>
        <v/>
      </c>
      <c r="K83" s="3">
        <f>IF(AND('Data Source'!B83&lt;&gt;"",'Data Source'!S83="F"),IF('Data Source'!AC83&gt;=5,"A+",IF('Data Source'!AC83&gt;=4,"A",IF('Data Source'!AC83&gt;=3.5,"A-",IF('Data Source'!AC83&gt;=3,"B",IF('Data Source'!AC83&gt;=2,"C",IF('Data Source'!AC83&gt;=1,"D","F")))))),"")</f>
        <v/>
      </c>
      <c r="L83" s="3">
        <f>IF(AND('Data Source'!B83&lt;&gt;"",'Data Source'!S83="F"),IF('Data Source'!AD83&gt;=5,"A+",IF('Data Source'!AD83&gt;=4,"A",IF('Data Source'!AD83&gt;=3.5,"A-",IF('Data Source'!AD83&gt;=3,"B",IF('Data Source'!AD83&gt;=2,"C",IF('Data Source'!AD83&gt;=1,"D","F")))))),"")</f>
        <v/>
      </c>
      <c r="M83" s="3">
        <f>IF(AND('Data Source'!B83&lt;&gt;"",'Data Source'!S83="F"),IF('Data Source'!AE83&gt;=5,"A+",IF('Data Source'!AE83&gt;=4,"A",IF('Data Source'!AE83&gt;=3.5,"A-",IF('Data Source'!AE83&gt;=3,"B",IF('Data Source'!AE83&gt;=2,"C",IF('Data Source'!AE83&gt;=1,"D","F")))))),"")</f>
        <v/>
      </c>
      <c r="N83" s="3">
        <f>IF(AND('Data Source'!B83&lt;&gt;"",'Data Source'!S83="F"),IF('Data Source'!AF83&gt;=5,"A+",IF('Data Source'!AF83&gt;=4,"A",IF('Data Source'!AF83&gt;=3.5,"A-",IF('Data Source'!AF83&gt;=3,"B",IF('Data Source'!AF83&gt;=2,"C",IF('Data Source'!AF83&gt;=1,"D","F")))))),"")</f>
        <v/>
      </c>
      <c r="O83" s="3">
        <f>IF(AND('Data Source'!B83&lt;&gt;"",'Data Source'!S83="F"),IF('Data Source'!AG83&gt;=5,"A+",IF('Data Source'!AG83&gt;=4,"A",IF('Data Source'!AG83&gt;=3.5,"A-",IF('Data Source'!AG83&gt;=3,"B",IF('Data Source'!AG83&gt;=2,"C",IF('Data Source'!AG83&gt;=1,"D","F")))))),"")</f>
        <v/>
      </c>
      <c r="P83" s="5">
        <f>IF(AND('Data Source'!B83&lt;&gt;"",'Data Source'!S83="F"),'Data Source'!R83,"")</f>
        <v/>
      </c>
      <c r="Q83" s="3">
        <f>IF(AND('Data Source'!B83&lt;&gt;"",'Data Source'!S83="F"),'Data Source'!S83,"")</f>
        <v/>
      </c>
    </row>
    <row r="84">
      <c r="A84" s="3">
        <f>IF(AND('Data Source'!B84&lt;&gt;"",'Data Source'!S84="F"),COUNTIF('Data Source'!$S$3:S84,"F"),"")</f>
        <v/>
      </c>
      <c r="B84">
        <f>IF(AND('Data Source'!B84&lt;&gt;"",'Data Source'!S84="F"),'Data Source'!B84,"")</f>
        <v/>
      </c>
      <c r="C84" s="3">
        <f>IF(AND('Data Source'!B84&lt;&gt;"",'Data Source'!S84="F"),IF('Data Source'!U84&gt;=5,"A+",IF('Data Source'!U84&gt;=4,"A",IF('Data Source'!U84&gt;=3.5,"A-",IF('Data Source'!U84&gt;=3,"B",IF('Data Source'!U84&gt;=2,"C",IF('Data Source'!U84&gt;=1,"D","F")))))),"")</f>
        <v/>
      </c>
      <c r="D84" s="3">
        <f>IF(AND('Data Source'!B84&lt;&gt;"",'Data Source'!S84="F"),IF('Data Source'!V84&gt;=5,"A+",IF('Data Source'!V84&gt;=4,"A",IF('Data Source'!V84&gt;=3.5,"A-",IF('Data Source'!V84&gt;=3,"B",IF('Data Source'!V84&gt;=2,"C",IF('Data Source'!V84&gt;=1,"D","F")))))),"")</f>
        <v/>
      </c>
      <c r="E84" s="3">
        <f>IF(AND('Data Source'!B84&lt;&gt;"",'Data Source'!S84="F"),IF('Data Source'!W84&gt;=5,"A+",IF('Data Source'!W84&gt;=4,"A",IF('Data Source'!W84&gt;=3.5,"A-",IF('Data Source'!W84&gt;=3,"B",IF('Data Source'!W84&gt;=2,"C",IF('Data Source'!W84&gt;=1,"D","F")))))),"")</f>
        <v/>
      </c>
      <c r="F84" s="3">
        <f>IF(AND('Data Source'!B84&lt;&gt;"",'Data Source'!S84="F"),IF('Data Source'!X84&gt;=5,"A+",IF('Data Source'!X84&gt;=4,"A",IF('Data Source'!X84&gt;=3.5,"A-",IF('Data Source'!X84&gt;=3,"B",IF('Data Source'!X84&gt;=2,"C",IF('Data Source'!X84&gt;=1,"D","F")))))),"")</f>
        <v/>
      </c>
      <c r="G84" s="3">
        <f>IF(AND('Data Source'!B84&lt;&gt;"",'Data Source'!S84="F"),IF('Data Source'!Y84&gt;=5,"A+",IF('Data Source'!Y84&gt;=4,"A",IF('Data Source'!Y84&gt;=3.5,"A-",IF('Data Source'!Y84&gt;=3,"B",IF('Data Source'!Y84&gt;=2,"C",IF('Data Source'!Y84&gt;=1,"D","F")))))),"")</f>
        <v/>
      </c>
      <c r="H84" s="3">
        <f>IF(AND('Data Source'!B84&lt;&gt;"",'Data Source'!S84="F"),IF('Data Source'!Z84&gt;=5,"A+",IF('Data Source'!Z84&gt;=4,"A",IF('Data Source'!Z84&gt;=3.5,"A-",IF('Data Source'!Z84&gt;=3,"B",IF('Data Source'!Z84&gt;=2,"C",IF('Data Source'!Z84&gt;=1,"D","F")))))),"")</f>
        <v/>
      </c>
      <c r="I84" s="3">
        <f>IF(AND('Data Source'!B84&lt;&gt;"",'Data Source'!S84="F"),IF('Data Source'!AA84&gt;=5,"A+",IF('Data Source'!AA84&gt;=4,"A",IF('Data Source'!AA84&gt;=3.5,"A-",IF('Data Source'!AA84&gt;=3,"B",IF('Data Source'!AA84&gt;=2,"C",IF('Data Source'!AA84&gt;=1,"D","F")))))),"")</f>
        <v/>
      </c>
      <c r="J84" s="3">
        <f>IF(AND('Data Source'!B84&lt;&gt;"",'Data Source'!S84="F"),IF('Data Source'!AB84&gt;=5,"A+",IF('Data Source'!AB84&gt;=4,"A",IF('Data Source'!AB84&gt;=3.5,"A-",IF('Data Source'!AB84&gt;=3,"B",IF('Data Source'!AB84&gt;=2,"C",IF('Data Source'!AB84&gt;=1,"D","F")))))),"")</f>
        <v/>
      </c>
      <c r="K84" s="3">
        <f>IF(AND('Data Source'!B84&lt;&gt;"",'Data Source'!S84="F"),IF('Data Source'!AC84&gt;=5,"A+",IF('Data Source'!AC84&gt;=4,"A",IF('Data Source'!AC84&gt;=3.5,"A-",IF('Data Source'!AC84&gt;=3,"B",IF('Data Source'!AC84&gt;=2,"C",IF('Data Source'!AC84&gt;=1,"D","F")))))),"")</f>
        <v/>
      </c>
      <c r="L84" s="3">
        <f>IF(AND('Data Source'!B84&lt;&gt;"",'Data Source'!S84="F"),IF('Data Source'!AD84&gt;=5,"A+",IF('Data Source'!AD84&gt;=4,"A",IF('Data Source'!AD84&gt;=3.5,"A-",IF('Data Source'!AD84&gt;=3,"B",IF('Data Source'!AD84&gt;=2,"C",IF('Data Source'!AD84&gt;=1,"D","F")))))),"")</f>
        <v/>
      </c>
      <c r="M84" s="3">
        <f>IF(AND('Data Source'!B84&lt;&gt;"",'Data Source'!S84="F"),IF('Data Source'!AE84&gt;=5,"A+",IF('Data Source'!AE84&gt;=4,"A",IF('Data Source'!AE84&gt;=3.5,"A-",IF('Data Source'!AE84&gt;=3,"B",IF('Data Source'!AE84&gt;=2,"C",IF('Data Source'!AE84&gt;=1,"D","F")))))),"")</f>
        <v/>
      </c>
      <c r="N84" s="3">
        <f>IF(AND('Data Source'!B84&lt;&gt;"",'Data Source'!S84="F"),IF('Data Source'!AF84&gt;=5,"A+",IF('Data Source'!AF84&gt;=4,"A",IF('Data Source'!AF84&gt;=3.5,"A-",IF('Data Source'!AF84&gt;=3,"B",IF('Data Source'!AF84&gt;=2,"C",IF('Data Source'!AF84&gt;=1,"D","F")))))),"")</f>
        <v/>
      </c>
      <c r="O84" s="3">
        <f>IF(AND('Data Source'!B84&lt;&gt;"",'Data Source'!S84="F"),IF('Data Source'!AG84&gt;=5,"A+",IF('Data Source'!AG84&gt;=4,"A",IF('Data Source'!AG84&gt;=3.5,"A-",IF('Data Source'!AG84&gt;=3,"B",IF('Data Source'!AG84&gt;=2,"C",IF('Data Source'!AG84&gt;=1,"D","F")))))),"")</f>
        <v/>
      </c>
      <c r="P84" s="5">
        <f>IF(AND('Data Source'!B84&lt;&gt;"",'Data Source'!S84="F"),'Data Source'!R84,"")</f>
        <v/>
      </c>
      <c r="Q84" s="3">
        <f>IF(AND('Data Source'!B84&lt;&gt;"",'Data Source'!S84="F"),'Data Source'!S84,"")</f>
        <v/>
      </c>
    </row>
    <row r="85">
      <c r="A85" s="3">
        <f>IF(AND('Data Source'!B85&lt;&gt;"",'Data Source'!S85="F"),COUNTIF('Data Source'!$S$3:S85,"F"),"")</f>
        <v/>
      </c>
      <c r="B85">
        <f>IF(AND('Data Source'!B85&lt;&gt;"",'Data Source'!S85="F"),'Data Source'!B85,"")</f>
        <v/>
      </c>
      <c r="C85" s="3">
        <f>IF(AND('Data Source'!B85&lt;&gt;"",'Data Source'!S85="F"),IF('Data Source'!U85&gt;=5,"A+",IF('Data Source'!U85&gt;=4,"A",IF('Data Source'!U85&gt;=3.5,"A-",IF('Data Source'!U85&gt;=3,"B",IF('Data Source'!U85&gt;=2,"C",IF('Data Source'!U85&gt;=1,"D","F")))))),"")</f>
        <v/>
      </c>
      <c r="D85" s="3">
        <f>IF(AND('Data Source'!B85&lt;&gt;"",'Data Source'!S85="F"),IF('Data Source'!V85&gt;=5,"A+",IF('Data Source'!V85&gt;=4,"A",IF('Data Source'!V85&gt;=3.5,"A-",IF('Data Source'!V85&gt;=3,"B",IF('Data Source'!V85&gt;=2,"C",IF('Data Source'!V85&gt;=1,"D","F")))))),"")</f>
        <v/>
      </c>
      <c r="E85" s="3">
        <f>IF(AND('Data Source'!B85&lt;&gt;"",'Data Source'!S85="F"),IF('Data Source'!W85&gt;=5,"A+",IF('Data Source'!W85&gt;=4,"A",IF('Data Source'!W85&gt;=3.5,"A-",IF('Data Source'!W85&gt;=3,"B",IF('Data Source'!W85&gt;=2,"C",IF('Data Source'!W85&gt;=1,"D","F")))))),"")</f>
        <v/>
      </c>
      <c r="F85" s="3">
        <f>IF(AND('Data Source'!B85&lt;&gt;"",'Data Source'!S85="F"),IF('Data Source'!X85&gt;=5,"A+",IF('Data Source'!X85&gt;=4,"A",IF('Data Source'!X85&gt;=3.5,"A-",IF('Data Source'!X85&gt;=3,"B",IF('Data Source'!X85&gt;=2,"C",IF('Data Source'!X85&gt;=1,"D","F")))))),"")</f>
        <v/>
      </c>
      <c r="G85" s="3">
        <f>IF(AND('Data Source'!B85&lt;&gt;"",'Data Source'!S85="F"),IF('Data Source'!Y85&gt;=5,"A+",IF('Data Source'!Y85&gt;=4,"A",IF('Data Source'!Y85&gt;=3.5,"A-",IF('Data Source'!Y85&gt;=3,"B",IF('Data Source'!Y85&gt;=2,"C",IF('Data Source'!Y85&gt;=1,"D","F")))))),"")</f>
        <v/>
      </c>
      <c r="H85" s="3">
        <f>IF(AND('Data Source'!B85&lt;&gt;"",'Data Source'!S85="F"),IF('Data Source'!Z85&gt;=5,"A+",IF('Data Source'!Z85&gt;=4,"A",IF('Data Source'!Z85&gt;=3.5,"A-",IF('Data Source'!Z85&gt;=3,"B",IF('Data Source'!Z85&gt;=2,"C",IF('Data Source'!Z85&gt;=1,"D","F")))))),"")</f>
        <v/>
      </c>
      <c r="I85" s="3">
        <f>IF(AND('Data Source'!B85&lt;&gt;"",'Data Source'!S85="F"),IF('Data Source'!AA85&gt;=5,"A+",IF('Data Source'!AA85&gt;=4,"A",IF('Data Source'!AA85&gt;=3.5,"A-",IF('Data Source'!AA85&gt;=3,"B",IF('Data Source'!AA85&gt;=2,"C",IF('Data Source'!AA85&gt;=1,"D","F")))))),"")</f>
        <v/>
      </c>
      <c r="J85" s="3">
        <f>IF(AND('Data Source'!B85&lt;&gt;"",'Data Source'!S85="F"),IF('Data Source'!AB85&gt;=5,"A+",IF('Data Source'!AB85&gt;=4,"A",IF('Data Source'!AB85&gt;=3.5,"A-",IF('Data Source'!AB85&gt;=3,"B",IF('Data Source'!AB85&gt;=2,"C",IF('Data Source'!AB85&gt;=1,"D","F")))))),"")</f>
        <v/>
      </c>
      <c r="K85" s="3">
        <f>IF(AND('Data Source'!B85&lt;&gt;"",'Data Source'!S85="F"),IF('Data Source'!AC85&gt;=5,"A+",IF('Data Source'!AC85&gt;=4,"A",IF('Data Source'!AC85&gt;=3.5,"A-",IF('Data Source'!AC85&gt;=3,"B",IF('Data Source'!AC85&gt;=2,"C",IF('Data Source'!AC85&gt;=1,"D","F")))))),"")</f>
        <v/>
      </c>
      <c r="L85" s="3">
        <f>IF(AND('Data Source'!B85&lt;&gt;"",'Data Source'!S85="F"),IF('Data Source'!AD85&gt;=5,"A+",IF('Data Source'!AD85&gt;=4,"A",IF('Data Source'!AD85&gt;=3.5,"A-",IF('Data Source'!AD85&gt;=3,"B",IF('Data Source'!AD85&gt;=2,"C",IF('Data Source'!AD85&gt;=1,"D","F")))))),"")</f>
        <v/>
      </c>
      <c r="M85" s="3">
        <f>IF(AND('Data Source'!B85&lt;&gt;"",'Data Source'!S85="F"),IF('Data Source'!AE85&gt;=5,"A+",IF('Data Source'!AE85&gt;=4,"A",IF('Data Source'!AE85&gt;=3.5,"A-",IF('Data Source'!AE85&gt;=3,"B",IF('Data Source'!AE85&gt;=2,"C",IF('Data Source'!AE85&gt;=1,"D","F")))))),"")</f>
        <v/>
      </c>
      <c r="N85" s="3">
        <f>IF(AND('Data Source'!B85&lt;&gt;"",'Data Source'!S85="F"),IF('Data Source'!AF85&gt;=5,"A+",IF('Data Source'!AF85&gt;=4,"A",IF('Data Source'!AF85&gt;=3.5,"A-",IF('Data Source'!AF85&gt;=3,"B",IF('Data Source'!AF85&gt;=2,"C",IF('Data Source'!AF85&gt;=1,"D","F")))))),"")</f>
        <v/>
      </c>
      <c r="O85" s="3">
        <f>IF(AND('Data Source'!B85&lt;&gt;"",'Data Source'!S85="F"),IF('Data Source'!AG85&gt;=5,"A+",IF('Data Source'!AG85&gt;=4,"A",IF('Data Source'!AG85&gt;=3.5,"A-",IF('Data Source'!AG85&gt;=3,"B",IF('Data Source'!AG85&gt;=2,"C",IF('Data Source'!AG85&gt;=1,"D","F")))))),"")</f>
        <v/>
      </c>
      <c r="P85" s="5">
        <f>IF(AND('Data Source'!B85&lt;&gt;"",'Data Source'!S85="F"),'Data Source'!R85,"")</f>
        <v/>
      </c>
      <c r="Q85" s="3">
        <f>IF(AND('Data Source'!B85&lt;&gt;"",'Data Source'!S85="F"),'Data Source'!S85,"")</f>
        <v/>
      </c>
    </row>
    <row r="86">
      <c r="A86" s="3">
        <f>IF(AND('Data Source'!B86&lt;&gt;"",'Data Source'!S86="F"),COUNTIF('Data Source'!$S$3:S86,"F"),"")</f>
        <v/>
      </c>
      <c r="B86">
        <f>IF(AND('Data Source'!B86&lt;&gt;"",'Data Source'!S86="F"),'Data Source'!B86,"")</f>
        <v/>
      </c>
      <c r="C86" s="3">
        <f>IF(AND('Data Source'!B86&lt;&gt;"",'Data Source'!S86="F"),IF('Data Source'!U86&gt;=5,"A+",IF('Data Source'!U86&gt;=4,"A",IF('Data Source'!U86&gt;=3.5,"A-",IF('Data Source'!U86&gt;=3,"B",IF('Data Source'!U86&gt;=2,"C",IF('Data Source'!U86&gt;=1,"D","F")))))),"")</f>
        <v/>
      </c>
      <c r="D86" s="3">
        <f>IF(AND('Data Source'!B86&lt;&gt;"",'Data Source'!S86="F"),IF('Data Source'!V86&gt;=5,"A+",IF('Data Source'!V86&gt;=4,"A",IF('Data Source'!V86&gt;=3.5,"A-",IF('Data Source'!V86&gt;=3,"B",IF('Data Source'!V86&gt;=2,"C",IF('Data Source'!V86&gt;=1,"D","F")))))),"")</f>
        <v/>
      </c>
      <c r="E86" s="3">
        <f>IF(AND('Data Source'!B86&lt;&gt;"",'Data Source'!S86="F"),IF('Data Source'!W86&gt;=5,"A+",IF('Data Source'!W86&gt;=4,"A",IF('Data Source'!W86&gt;=3.5,"A-",IF('Data Source'!W86&gt;=3,"B",IF('Data Source'!W86&gt;=2,"C",IF('Data Source'!W86&gt;=1,"D","F")))))),"")</f>
        <v/>
      </c>
      <c r="F86" s="3">
        <f>IF(AND('Data Source'!B86&lt;&gt;"",'Data Source'!S86="F"),IF('Data Source'!X86&gt;=5,"A+",IF('Data Source'!X86&gt;=4,"A",IF('Data Source'!X86&gt;=3.5,"A-",IF('Data Source'!X86&gt;=3,"B",IF('Data Source'!X86&gt;=2,"C",IF('Data Source'!X86&gt;=1,"D","F")))))),"")</f>
        <v/>
      </c>
      <c r="G86" s="3">
        <f>IF(AND('Data Source'!B86&lt;&gt;"",'Data Source'!S86="F"),IF('Data Source'!Y86&gt;=5,"A+",IF('Data Source'!Y86&gt;=4,"A",IF('Data Source'!Y86&gt;=3.5,"A-",IF('Data Source'!Y86&gt;=3,"B",IF('Data Source'!Y86&gt;=2,"C",IF('Data Source'!Y86&gt;=1,"D","F")))))),"")</f>
        <v/>
      </c>
      <c r="H86" s="3">
        <f>IF(AND('Data Source'!B86&lt;&gt;"",'Data Source'!S86="F"),IF('Data Source'!Z86&gt;=5,"A+",IF('Data Source'!Z86&gt;=4,"A",IF('Data Source'!Z86&gt;=3.5,"A-",IF('Data Source'!Z86&gt;=3,"B",IF('Data Source'!Z86&gt;=2,"C",IF('Data Source'!Z86&gt;=1,"D","F")))))),"")</f>
        <v/>
      </c>
      <c r="I86" s="3">
        <f>IF(AND('Data Source'!B86&lt;&gt;"",'Data Source'!S86="F"),IF('Data Source'!AA86&gt;=5,"A+",IF('Data Source'!AA86&gt;=4,"A",IF('Data Source'!AA86&gt;=3.5,"A-",IF('Data Source'!AA86&gt;=3,"B",IF('Data Source'!AA86&gt;=2,"C",IF('Data Source'!AA86&gt;=1,"D","F")))))),"")</f>
        <v/>
      </c>
      <c r="J86" s="3">
        <f>IF(AND('Data Source'!B86&lt;&gt;"",'Data Source'!S86="F"),IF('Data Source'!AB86&gt;=5,"A+",IF('Data Source'!AB86&gt;=4,"A",IF('Data Source'!AB86&gt;=3.5,"A-",IF('Data Source'!AB86&gt;=3,"B",IF('Data Source'!AB86&gt;=2,"C",IF('Data Source'!AB86&gt;=1,"D","F")))))),"")</f>
        <v/>
      </c>
      <c r="K86" s="3">
        <f>IF(AND('Data Source'!B86&lt;&gt;"",'Data Source'!S86="F"),IF('Data Source'!AC86&gt;=5,"A+",IF('Data Source'!AC86&gt;=4,"A",IF('Data Source'!AC86&gt;=3.5,"A-",IF('Data Source'!AC86&gt;=3,"B",IF('Data Source'!AC86&gt;=2,"C",IF('Data Source'!AC86&gt;=1,"D","F")))))),"")</f>
        <v/>
      </c>
      <c r="L86" s="3">
        <f>IF(AND('Data Source'!B86&lt;&gt;"",'Data Source'!S86="F"),IF('Data Source'!AD86&gt;=5,"A+",IF('Data Source'!AD86&gt;=4,"A",IF('Data Source'!AD86&gt;=3.5,"A-",IF('Data Source'!AD86&gt;=3,"B",IF('Data Source'!AD86&gt;=2,"C",IF('Data Source'!AD86&gt;=1,"D","F")))))),"")</f>
        <v/>
      </c>
      <c r="M86" s="3">
        <f>IF(AND('Data Source'!B86&lt;&gt;"",'Data Source'!S86="F"),IF('Data Source'!AE86&gt;=5,"A+",IF('Data Source'!AE86&gt;=4,"A",IF('Data Source'!AE86&gt;=3.5,"A-",IF('Data Source'!AE86&gt;=3,"B",IF('Data Source'!AE86&gt;=2,"C",IF('Data Source'!AE86&gt;=1,"D","F")))))),"")</f>
        <v/>
      </c>
      <c r="N86" s="3">
        <f>IF(AND('Data Source'!B86&lt;&gt;"",'Data Source'!S86="F"),IF('Data Source'!AF86&gt;=5,"A+",IF('Data Source'!AF86&gt;=4,"A",IF('Data Source'!AF86&gt;=3.5,"A-",IF('Data Source'!AF86&gt;=3,"B",IF('Data Source'!AF86&gt;=2,"C",IF('Data Source'!AF86&gt;=1,"D","F")))))),"")</f>
        <v/>
      </c>
      <c r="O86" s="3">
        <f>IF(AND('Data Source'!B86&lt;&gt;"",'Data Source'!S86="F"),IF('Data Source'!AG86&gt;=5,"A+",IF('Data Source'!AG86&gt;=4,"A",IF('Data Source'!AG86&gt;=3.5,"A-",IF('Data Source'!AG86&gt;=3,"B",IF('Data Source'!AG86&gt;=2,"C",IF('Data Source'!AG86&gt;=1,"D","F")))))),"")</f>
        <v/>
      </c>
      <c r="P86" s="5">
        <f>IF(AND('Data Source'!B86&lt;&gt;"",'Data Source'!S86="F"),'Data Source'!R86,"")</f>
        <v/>
      </c>
      <c r="Q86" s="3">
        <f>IF(AND('Data Source'!B86&lt;&gt;"",'Data Source'!S86="F"),'Data Source'!S86,"")</f>
        <v/>
      </c>
    </row>
    <row r="87">
      <c r="A87" s="3">
        <f>IF(AND('Data Source'!B87&lt;&gt;"",'Data Source'!S87="F"),COUNTIF('Data Source'!$S$3:S87,"F"),"")</f>
        <v/>
      </c>
      <c r="B87">
        <f>IF(AND('Data Source'!B87&lt;&gt;"",'Data Source'!S87="F"),'Data Source'!B87,"")</f>
        <v/>
      </c>
      <c r="C87" s="3">
        <f>IF(AND('Data Source'!B87&lt;&gt;"",'Data Source'!S87="F"),IF('Data Source'!U87&gt;=5,"A+",IF('Data Source'!U87&gt;=4,"A",IF('Data Source'!U87&gt;=3.5,"A-",IF('Data Source'!U87&gt;=3,"B",IF('Data Source'!U87&gt;=2,"C",IF('Data Source'!U87&gt;=1,"D","F")))))),"")</f>
        <v/>
      </c>
      <c r="D87" s="3">
        <f>IF(AND('Data Source'!B87&lt;&gt;"",'Data Source'!S87="F"),IF('Data Source'!V87&gt;=5,"A+",IF('Data Source'!V87&gt;=4,"A",IF('Data Source'!V87&gt;=3.5,"A-",IF('Data Source'!V87&gt;=3,"B",IF('Data Source'!V87&gt;=2,"C",IF('Data Source'!V87&gt;=1,"D","F")))))),"")</f>
        <v/>
      </c>
      <c r="E87" s="3">
        <f>IF(AND('Data Source'!B87&lt;&gt;"",'Data Source'!S87="F"),IF('Data Source'!W87&gt;=5,"A+",IF('Data Source'!W87&gt;=4,"A",IF('Data Source'!W87&gt;=3.5,"A-",IF('Data Source'!W87&gt;=3,"B",IF('Data Source'!W87&gt;=2,"C",IF('Data Source'!W87&gt;=1,"D","F")))))),"")</f>
        <v/>
      </c>
      <c r="F87" s="3">
        <f>IF(AND('Data Source'!B87&lt;&gt;"",'Data Source'!S87="F"),IF('Data Source'!X87&gt;=5,"A+",IF('Data Source'!X87&gt;=4,"A",IF('Data Source'!X87&gt;=3.5,"A-",IF('Data Source'!X87&gt;=3,"B",IF('Data Source'!X87&gt;=2,"C",IF('Data Source'!X87&gt;=1,"D","F")))))),"")</f>
        <v/>
      </c>
      <c r="G87" s="3">
        <f>IF(AND('Data Source'!B87&lt;&gt;"",'Data Source'!S87="F"),IF('Data Source'!Y87&gt;=5,"A+",IF('Data Source'!Y87&gt;=4,"A",IF('Data Source'!Y87&gt;=3.5,"A-",IF('Data Source'!Y87&gt;=3,"B",IF('Data Source'!Y87&gt;=2,"C",IF('Data Source'!Y87&gt;=1,"D","F")))))),"")</f>
        <v/>
      </c>
      <c r="H87" s="3">
        <f>IF(AND('Data Source'!B87&lt;&gt;"",'Data Source'!S87="F"),IF('Data Source'!Z87&gt;=5,"A+",IF('Data Source'!Z87&gt;=4,"A",IF('Data Source'!Z87&gt;=3.5,"A-",IF('Data Source'!Z87&gt;=3,"B",IF('Data Source'!Z87&gt;=2,"C",IF('Data Source'!Z87&gt;=1,"D","F")))))),"")</f>
        <v/>
      </c>
      <c r="I87" s="3">
        <f>IF(AND('Data Source'!B87&lt;&gt;"",'Data Source'!S87="F"),IF('Data Source'!AA87&gt;=5,"A+",IF('Data Source'!AA87&gt;=4,"A",IF('Data Source'!AA87&gt;=3.5,"A-",IF('Data Source'!AA87&gt;=3,"B",IF('Data Source'!AA87&gt;=2,"C",IF('Data Source'!AA87&gt;=1,"D","F")))))),"")</f>
        <v/>
      </c>
      <c r="J87" s="3">
        <f>IF(AND('Data Source'!B87&lt;&gt;"",'Data Source'!S87="F"),IF('Data Source'!AB87&gt;=5,"A+",IF('Data Source'!AB87&gt;=4,"A",IF('Data Source'!AB87&gt;=3.5,"A-",IF('Data Source'!AB87&gt;=3,"B",IF('Data Source'!AB87&gt;=2,"C",IF('Data Source'!AB87&gt;=1,"D","F")))))),"")</f>
        <v/>
      </c>
      <c r="K87" s="3">
        <f>IF(AND('Data Source'!B87&lt;&gt;"",'Data Source'!S87="F"),IF('Data Source'!AC87&gt;=5,"A+",IF('Data Source'!AC87&gt;=4,"A",IF('Data Source'!AC87&gt;=3.5,"A-",IF('Data Source'!AC87&gt;=3,"B",IF('Data Source'!AC87&gt;=2,"C",IF('Data Source'!AC87&gt;=1,"D","F")))))),"")</f>
        <v/>
      </c>
      <c r="L87" s="3">
        <f>IF(AND('Data Source'!B87&lt;&gt;"",'Data Source'!S87="F"),IF('Data Source'!AD87&gt;=5,"A+",IF('Data Source'!AD87&gt;=4,"A",IF('Data Source'!AD87&gt;=3.5,"A-",IF('Data Source'!AD87&gt;=3,"B",IF('Data Source'!AD87&gt;=2,"C",IF('Data Source'!AD87&gt;=1,"D","F")))))),"")</f>
        <v/>
      </c>
      <c r="M87" s="3">
        <f>IF(AND('Data Source'!B87&lt;&gt;"",'Data Source'!S87="F"),IF('Data Source'!AE87&gt;=5,"A+",IF('Data Source'!AE87&gt;=4,"A",IF('Data Source'!AE87&gt;=3.5,"A-",IF('Data Source'!AE87&gt;=3,"B",IF('Data Source'!AE87&gt;=2,"C",IF('Data Source'!AE87&gt;=1,"D","F")))))),"")</f>
        <v/>
      </c>
      <c r="N87" s="3">
        <f>IF(AND('Data Source'!B87&lt;&gt;"",'Data Source'!S87="F"),IF('Data Source'!AF87&gt;=5,"A+",IF('Data Source'!AF87&gt;=4,"A",IF('Data Source'!AF87&gt;=3.5,"A-",IF('Data Source'!AF87&gt;=3,"B",IF('Data Source'!AF87&gt;=2,"C",IF('Data Source'!AF87&gt;=1,"D","F")))))),"")</f>
        <v/>
      </c>
      <c r="O87" s="3">
        <f>IF(AND('Data Source'!B87&lt;&gt;"",'Data Source'!S87="F"),IF('Data Source'!AG87&gt;=5,"A+",IF('Data Source'!AG87&gt;=4,"A",IF('Data Source'!AG87&gt;=3.5,"A-",IF('Data Source'!AG87&gt;=3,"B",IF('Data Source'!AG87&gt;=2,"C",IF('Data Source'!AG87&gt;=1,"D","F")))))),"")</f>
        <v/>
      </c>
      <c r="P87" s="5">
        <f>IF(AND('Data Source'!B87&lt;&gt;"",'Data Source'!S87="F"),'Data Source'!R87,"")</f>
        <v/>
      </c>
      <c r="Q87" s="3">
        <f>IF(AND('Data Source'!B87&lt;&gt;"",'Data Source'!S87="F"),'Data Source'!S87,"")</f>
        <v/>
      </c>
    </row>
    <row r="88">
      <c r="A88" s="3">
        <f>IF(AND('Data Source'!B88&lt;&gt;"",'Data Source'!S88="F"),COUNTIF('Data Source'!$S$3:S88,"F"),"")</f>
        <v/>
      </c>
      <c r="B88">
        <f>IF(AND('Data Source'!B88&lt;&gt;"",'Data Source'!S88="F"),'Data Source'!B88,"")</f>
        <v/>
      </c>
      <c r="C88" s="3">
        <f>IF(AND('Data Source'!B88&lt;&gt;"",'Data Source'!S88="F"),IF('Data Source'!U88&gt;=5,"A+",IF('Data Source'!U88&gt;=4,"A",IF('Data Source'!U88&gt;=3.5,"A-",IF('Data Source'!U88&gt;=3,"B",IF('Data Source'!U88&gt;=2,"C",IF('Data Source'!U88&gt;=1,"D","F")))))),"")</f>
        <v/>
      </c>
      <c r="D88" s="3">
        <f>IF(AND('Data Source'!B88&lt;&gt;"",'Data Source'!S88="F"),IF('Data Source'!V88&gt;=5,"A+",IF('Data Source'!V88&gt;=4,"A",IF('Data Source'!V88&gt;=3.5,"A-",IF('Data Source'!V88&gt;=3,"B",IF('Data Source'!V88&gt;=2,"C",IF('Data Source'!V88&gt;=1,"D","F")))))),"")</f>
        <v/>
      </c>
      <c r="E88" s="3">
        <f>IF(AND('Data Source'!B88&lt;&gt;"",'Data Source'!S88="F"),IF('Data Source'!W88&gt;=5,"A+",IF('Data Source'!W88&gt;=4,"A",IF('Data Source'!W88&gt;=3.5,"A-",IF('Data Source'!W88&gt;=3,"B",IF('Data Source'!W88&gt;=2,"C",IF('Data Source'!W88&gt;=1,"D","F")))))),"")</f>
        <v/>
      </c>
      <c r="F88" s="3">
        <f>IF(AND('Data Source'!B88&lt;&gt;"",'Data Source'!S88="F"),IF('Data Source'!X88&gt;=5,"A+",IF('Data Source'!X88&gt;=4,"A",IF('Data Source'!X88&gt;=3.5,"A-",IF('Data Source'!X88&gt;=3,"B",IF('Data Source'!X88&gt;=2,"C",IF('Data Source'!X88&gt;=1,"D","F")))))),"")</f>
        <v/>
      </c>
      <c r="G88" s="3">
        <f>IF(AND('Data Source'!B88&lt;&gt;"",'Data Source'!S88="F"),IF('Data Source'!Y88&gt;=5,"A+",IF('Data Source'!Y88&gt;=4,"A",IF('Data Source'!Y88&gt;=3.5,"A-",IF('Data Source'!Y88&gt;=3,"B",IF('Data Source'!Y88&gt;=2,"C",IF('Data Source'!Y88&gt;=1,"D","F")))))),"")</f>
        <v/>
      </c>
      <c r="H88" s="3">
        <f>IF(AND('Data Source'!B88&lt;&gt;"",'Data Source'!S88="F"),IF('Data Source'!Z88&gt;=5,"A+",IF('Data Source'!Z88&gt;=4,"A",IF('Data Source'!Z88&gt;=3.5,"A-",IF('Data Source'!Z88&gt;=3,"B",IF('Data Source'!Z88&gt;=2,"C",IF('Data Source'!Z88&gt;=1,"D","F")))))),"")</f>
        <v/>
      </c>
      <c r="I88" s="3">
        <f>IF(AND('Data Source'!B88&lt;&gt;"",'Data Source'!S88="F"),IF('Data Source'!AA88&gt;=5,"A+",IF('Data Source'!AA88&gt;=4,"A",IF('Data Source'!AA88&gt;=3.5,"A-",IF('Data Source'!AA88&gt;=3,"B",IF('Data Source'!AA88&gt;=2,"C",IF('Data Source'!AA88&gt;=1,"D","F")))))),"")</f>
        <v/>
      </c>
      <c r="J88" s="3">
        <f>IF(AND('Data Source'!B88&lt;&gt;"",'Data Source'!S88="F"),IF('Data Source'!AB88&gt;=5,"A+",IF('Data Source'!AB88&gt;=4,"A",IF('Data Source'!AB88&gt;=3.5,"A-",IF('Data Source'!AB88&gt;=3,"B",IF('Data Source'!AB88&gt;=2,"C",IF('Data Source'!AB88&gt;=1,"D","F")))))),"")</f>
        <v/>
      </c>
      <c r="K88" s="3">
        <f>IF(AND('Data Source'!B88&lt;&gt;"",'Data Source'!S88="F"),IF('Data Source'!AC88&gt;=5,"A+",IF('Data Source'!AC88&gt;=4,"A",IF('Data Source'!AC88&gt;=3.5,"A-",IF('Data Source'!AC88&gt;=3,"B",IF('Data Source'!AC88&gt;=2,"C",IF('Data Source'!AC88&gt;=1,"D","F")))))),"")</f>
        <v/>
      </c>
      <c r="L88" s="3">
        <f>IF(AND('Data Source'!B88&lt;&gt;"",'Data Source'!S88="F"),IF('Data Source'!AD88&gt;=5,"A+",IF('Data Source'!AD88&gt;=4,"A",IF('Data Source'!AD88&gt;=3.5,"A-",IF('Data Source'!AD88&gt;=3,"B",IF('Data Source'!AD88&gt;=2,"C",IF('Data Source'!AD88&gt;=1,"D","F")))))),"")</f>
        <v/>
      </c>
      <c r="M88" s="3">
        <f>IF(AND('Data Source'!B88&lt;&gt;"",'Data Source'!S88="F"),IF('Data Source'!AE88&gt;=5,"A+",IF('Data Source'!AE88&gt;=4,"A",IF('Data Source'!AE88&gt;=3.5,"A-",IF('Data Source'!AE88&gt;=3,"B",IF('Data Source'!AE88&gt;=2,"C",IF('Data Source'!AE88&gt;=1,"D","F")))))),"")</f>
        <v/>
      </c>
      <c r="N88" s="3">
        <f>IF(AND('Data Source'!B88&lt;&gt;"",'Data Source'!S88="F"),IF('Data Source'!AF88&gt;=5,"A+",IF('Data Source'!AF88&gt;=4,"A",IF('Data Source'!AF88&gt;=3.5,"A-",IF('Data Source'!AF88&gt;=3,"B",IF('Data Source'!AF88&gt;=2,"C",IF('Data Source'!AF88&gt;=1,"D","F")))))),"")</f>
        <v/>
      </c>
      <c r="O88" s="3">
        <f>IF(AND('Data Source'!B88&lt;&gt;"",'Data Source'!S88="F"),IF('Data Source'!AG88&gt;=5,"A+",IF('Data Source'!AG88&gt;=4,"A",IF('Data Source'!AG88&gt;=3.5,"A-",IF('Data Source'!AG88&gt;=3,"B",IF('Data Source'!AG88&gt;=2,"C",IF('Data Source'!AG88&gt;=1,"D","F")))))),"")</f>
        <v/>
      </c>
      <c r="P88" s="5">
        <f>IF(AND('Data Source'!B88&lt;&gt;"",'Data Source'!S88="F"),'Data Source'!R88,"")</f>
        <v/>
      </c>
      <c r="Q88" s="3">
        <f>IF(AND('Data Source'!B88&lt;&gt;"",'Data Source'!S88="F"),'Data Source'!S88,"")</f>
        <v/>
      </c>
    </row>
    <row r="89">
      <c r="A89" s="3">
        <f>IF(AND('Data Source'!B89&lt;&gt;"",'Data Source'!S89="F"),COUNTIF('Data Source'!$S$3:S89,"F"),"")</f>
        <v/>
      </c>
      <c r="B89">
        <f>IF(AND('Data Source'!B89&lt;&gt;"",'Data Source'!S89="F"),'Data Source'!B89,"")</f>
        <v/>
      </c>
      <c r="C89" s="3">
        <f>IF(AND('Data Source'!B89&lt;&gt;"",'Data Source'!S89="F"),IF('Data Source'!U89&gt;=5,"A+",IF('Data Source'!U89&gt;=4,"A",IF('Data Source'!U89&gt;=3.5,"A-",IF('Data Source'!U89&gt;=3,"B",IF('Data Source'!U89&gt;=2,"C",IF('Data Source'!U89&gt;=1,"D","F")))))),"")</f>
        <v/>
      </c>
      <c r="D89" s="3">
        <f>IF(AND('Data Source'!B89&lt;&gt;"",'Data Source'!S89="F"),IF('Data Source'!V89&gt;=5,"A+",IF('Data Source'!V89&gt;=4,"A",IF('Data Source'!V89&gt;=3.5,"A-",IF('Data Source'!V89&gt;=3,"B",IF('Data Source'!V89&gt;=2,"C",IF('Data Source'!V89&gt;=1,"D","F")))))),"")</f>
        <v/>
      </c>
      <c r="E89" s="3">
        <f>IF(AND('Data Source'!B89&lt;&gt;"",'Data Source'!S89="F"),IF('Data Source'!W89&gt;=5,"A+",IF('Data Source'!W89&gt;=4,"A",IF('Data Source'!W89&gt;=3.5,"A-",IF('Data Source'!W89&gt;=3,"B",IF('Data Source'!W89&gt;=2,"C",IF('Data Source'!W89&gt;=1,"D","F")))))),"")</f>
        <v/>
      </c>
      <c r="F89" s="3">
        <f>IF(AND('Data Source'!B89&lt;&gt;"",'Data Source'!S89="F"),IF('Data Source'!X89&gt;=5,"A+",IF('Data Source'!X89&gt;=4,"A",IF('Data Source'!X89&gt;=3.5,"A-",IF('Data Source'!X89&gt;=3,"B",IF('Data Source'!X89&gt;=2,"C",IF('Data Source'!X89&gt;=1,"D","F")))))),"")</f>
        <v/>
      </c>
      <c r="G89" s="3">
        <f>IF(AND('Data Source'!B89&lt;&gt;"",'Data Source'!S89="F"),IF('Data Source'!Y89&gt;=5,"A+",IF('Data Source'!Y89&gt;=4,"A",IF('Data Source'!Y89&gt;=3.5,"A-",IF('Data Source'!Y89&gt;=3,"B",IF('Data Source'!Y89&gt;=2,"C",IF('Data Source'!Y89&gt;=1,"D","F")))))),"")</f>
        <v/>
      </c>
      <c r="H89" s="3">
        <f>IF(AND('Data Source'!B89&lt;&gt;"",'Data Source'!S89="F"),IF('Data Source'!Z89&gt;=5,"A+",IF('Data Source'!Z89&gt;=4,"A",IF('Data Source'!Z89&gt;=3.5,"A-",IF('Data Source'!Z89&gt;=3,"B",IF('Data Source'!Z89&gt;=2,"C",IF('Data Source'!Z89&gt;=1,"D","F")))))),"")</f>
        <v/>
      </c>
      <c r="I89" s="3">
        <f>IF(AND('Data Source'!B89&lt;&gt;"",'Data Source'!S89="F"),IF('Data Source'!AA89&gt;=5,"A+",IF('Data Source'!AA89&gt;=4,"A",IF('Data Source'!AA89&gt;=3.5,"A-",IF('Data Source'!AA89&gt;=3,"B",IF('Data Source'!AA89&gt;=2,"C",IF('Data Source'!AA89&gt;=1,"D","F")))))),"")</f>
        <v/>
      </c>
      <c r="J89" s="3">
        <f>IF(AND('Data Source'!B89&lt;&gt;"",'Data Source'!S89="F"),IF('Data Source'!AB89&gt;=5,"A+",IF('Data Source'!AB89&gt;=4,"A",IF('Data Source'!AB89&gt;=3.5,"A-",IF('Data Source'!AB89&gt;=3,"B",IF('Data Source'!AB89&gt;=2,"C",IF('Data Source'!AB89&gt;=1,"D","F")))))),"")</f>
        <v/>
      </c>
      <c r="K89" s="3">
        <f>IF(AND('Data Source'!B89&lt;&gt;"",'Data Source'!S89="F"),IF('Data Source'!AC89&gt;=5,"A+",IF('Data Source'!AC89&gt;=4,"A",IF('Data Source'!AC89&gt;=3.5,"A-",IF('Data Source'!AC89&gt;=3,"B",IF('Data Source'!AC89&gt;=2,"C",IF('Data Source'!AC89&gt;=1,"D","F")))))),"")</f>
        <v/>
      </c>
      <c r="L89" s="3">
        <f>IF(AND('Data Source'!B89&lt;&gt;"",'Data Source'!S89="F"),IF('Data Source'!AD89&gt;=5,"A+",IF('Data Source'!AD89&gt;=4,"A",IF('Data Source'!AD89&gt;=3.5,"A-",IF('Data Source'!AD89&gt;=3,"B",IF('Data Source'!AD89&gt;=2,"C",IF('Data Source'!AD89&gt;=1,"D","F")))))),"")</f>
        <v/>
      </c>
      <c r="M89" s="3">
        <f>IF(AND('Data Source'!B89&lt;&gt;"",'Data Source'!S89="F"),IF('Data Source'!AE89&gt;=5,"A+",IF('Data Source'!AE89&gt;=4,"A",IF('Data Source'!AE89&gt;=3.5,"A-",IF('Data Source'!AE89&gt;=3,"B",IF('Data Source'!AE89&gt;=2,"C",IF('Data Source'!AE89&gt;=1,"D","F")))))),"")</f>
        <v/>
      </c>
      <c r="N89" s="3">
        <f>IF(AND('Data Source'!B89&lt;&gt;"",'Data Source'!S89="F"),IF('Data Source'!AF89&gt;=5,"A+",IF('Data Source'!AF89&gt;=4,"A",IF('Data Source'!AF89&gt;=3.5,"A-",IF('Data Source'!AF89&gt;=3,"B",IF('Data Source'!AF89&gt;=2,"C",IF('Data Source'!AF89&gt;=1,"D","F")))))),"")</f>
        <v/>
      </c>
      <c r="O89" s="3">
        <f>IF(AND('Data Source'!B89&lt;&gt;"",'Data Source'!S89="F"),IF('Data Source'!AG89&gt;=5,"A+",IF('Data Source'!AG89&gt;=4,"A",IF('Data Source'!AG89&gt;=3.5,"A-",IF('Data Source'!AG89&gt;=3,"B",IF('Data Source'!AG89&gt;=2,"C",IF('Data Source'!AG89&gt;=1,"D","F")))))),"")</f>
        <v/>
      </c>
      <c r="P89" s="5">
        <f>IF(AND('Data Source'!B89&lt;&gt;"",'Data Source'!S89="F"),'Data Source'!R89,"")</f>
        <v/>
      </c>
      <c r="Q89" s="3">
        <f>IF(AND('Data Source'!B89&lt;&gt;"",'Data Source'!S89="F"),'Data Source'!S89,"")</f>
        <v/>
      </c>
    </row>
    <row r="90">
      <c r="A90" s="3">
        <f>IF(AND('Data Source'!B90&lt;&gt;"",'Data Source'!S90="F"),COUNTIF('Data Source'!$S$3:S90,"F"),"")</f>
        <v/>
      </c>
      <c r="B90">
        <f>IF(AND('Data Source'!B90&lt;&gt;"",'Data Source'!S90="F"),'Data Source'!B90,"")</f>
        <v/>
      </c>
      <c r="C90" s="3">
        <f>IF(AND('Data Source'!B90&lt;&gt;"",'Data Source'!S90="F"),IF('Data Source'!U90&gt;=5,"A+",IF('Data Source'!U90&gt;=4,"A",IF('Data Source'!U90&gt;=3.5,"A-",IF('Data Source'!U90&gt;=3,"B",IF('Data Source'!U90&gt;=2,"C",IF('Data Source'!U90&gt;=1,"D","F")))))),"")</f>
        <v/>
      </c>
      <c r="D90" s="3">
        <f>IF(AND('Data Source'!B90&lt;&gt;"",'Data Source'!S90="F"),IF('Data Source'!V90&gt;=5,"A+",IF('Data Source'!V90&gt;=4,"A",IF('Data Source'!V90&gt;=3.5,"A-",IF('Data Source'!V90&gt;=3,"B",IF('Data Source'!V90&gt;=2,"C",IF('Data Source'!V90&gt;=1,"D","F")))))),"")</f>
        <v/>
      </c>
      <c r="E90" s="3">
        <f>IF(AND('Data Source'!B90&lt;&gt;"",'Data Source'!S90="F"),IF('Data Source'!W90&gt;=5,"A+",IF('Data Source'!W90&gt;=4,"A",IF('Data Source'!W90&gt;=3.5,"A-",IF('Data Source'!W90&gt;=3,"B",IF('Data Source'!W90&gt;=2,"C",IF('Data Source'!W90&gt;=1,"D","F")))))),"")</f>
        <v/>
      </c>
      <c r="F90" s="3">
        <f>IF(AND('Data Source'!B90&lt;&gt;"",'Data Source'!S90="F"),IF('Data Source'!X90&gt;=5,"A+",IF('Data Source'!X90&gt;=4,"A",IF('Data Source'!X90&gt;=3.5,"A-",IF('Data Source'!X90&gt;=3,"B",IF('Data Source'!X90&gt;=2,"C",IF('Data Source'!X90&gt;=1,"D","F")))))),"")</f>
        <v/>
      </c>
      <c r="G90" s="3">
        <f>IF(AND('Data Source'!B90&lt;&gt;"",'Data Source'!S90="F"),IF('Data Source'!Y90&gt;=5,"A+",IF('Data Source'!Y90&gt;=4,"A",IF('Data Source'!Y90&gt;=3.5,"A-",IF('Data Source'!Y90&gt;=3,"B",IF('Data Source'!Y90&gt;=2,"C",IF('Data Source'!Y90&gt;=1,"D","F")))))),"")</f>
        <v/>
      </c>
      <c r="H90" s="3">
        <f>IF(AND('Data Source'!B90&lt;&gt;"",'Data Source'!S90="F"),IF('Data Source'!Z90&gt;=5,"A+",IF('Data Source'!Z90&gt;=4,"A",IF('Data Source'!Z90&gt;=3.5,"A-",IF('Data Source'!Z90&gt;=3,"B",IF('Data Source'!Z90&gt;=2,"C",IF('Data Source'!Z90&gt;=1,"D","F")))))),"")</f>
        <v/>
      </c>
      <c r="I90" s="3">
        <f>IF(AND('Data Source'!B90&lt;&gt;"",'Data Source'!S90="F"),IF('Data Source'!AA90&gt;=5,"A+",IF('Data Source'!AA90&gt;=4,"A",IF('Data Source'!AA90&gt;=3.5,"A-",IF('Data Source'!AA90&gt;=3,"B",IF('Data Source'!AA90&gt;=2,"C",IF('Data Source'!AA90&gt;=1,"D","F")))))),"")</f>
        <v/>
      </c>
      <c r="J90" s="3">
        <f>IF(AND('Data Source'!B90&lt;&gt;"",'Data Source'!S90="F"),IF('Data Source'!AB90&gt;=5,"A+",IF('Data Source'!AB90&gt;=4,"A",IF('Data Source'!AB90&gt;=3.5,"A-",IF('Data Source'!AB90&gt;=3,"B",IF('Data Source'!AB90&gt;=2,"C",IF('Data Source'!AB90&gt;=1,"D","F")))))),"")</f>
        <v/>
      </c>
      <c r="K90" s="3">
        <f>IF(AND('Data Source'!B90&lt;&gt;"",'Data Source'!S90="F"),IF('Data Source'!AC90&gt;=5,"A+",IF('Data Source'!AC90&gt;=4,"A",IF('Data Source'!AC90&gt;=3.5,"A-",IF('Data Source'!AC90&gt;=3,"B",IF('Data Source'!AC90&gt;=2,"C",IF('Data Source'!AC90&gt;=1,"D","F")))))),"")</f>
        <v/>
      </c>
      <c r="L90" s="3">
        <f>IF(AND('Data Source'!B90&lt;&gt;"",'Data Source'!S90="F"),IF('Data Source'!AD90&gt;=5,"A+",IF('Data Source'!AD90&gt;=4,"A",IF('Data Source'!AD90&gt;=3.5,"A-",IF('Data Source'!AD90&gt;=3,"B",IF('Data Source'!AD90&gt;=2,"C",IF('Data Source'!AD90&gt;=1,"D","F")))))),"")</f>
        <v/>
      </c>
      <c r="M90" s="3">
        <f>IF(AND('Data Source'!B90&lt;&gt;"",'Data Source'!S90="F"),IF('Data Source'!AE90&gt;=5,"A+",IF('Data Source'!AE90&gt;=4,"A",IF('Data Source'!AE90&gt;=3.5,"A-",IF('Data Source'!AE90&gt;=3,"B",IF('Data Source'!AE90&gt;=2,"C",IF('Data Source'!AE90&gt;=1,"D","F")))))),"")</f>
        <v/>
      </c>
      <c r="N90" s="3">
        <f>IF(AND('Data Source'!B90&lt;&gt;"",'Data Source'!S90="F"),IF('Data Source'!AF90&gt;=5,"A+",IF('Data Source'!AF90&gt;=4,"A",IF('Data Source'!AF90&gt;=3.5,"A-",IF('Data Source'!AF90&gt;=3,"B",IF('Data Source'!AF90&gt;=2,"C",IF('Data Source'!AF90&gt;=1,"D","F")))))),"")</f>
        <v/>
      </c>
      <c r="O90" s="3">
        <f>IF(AND('Data Source'!B90&lt;&gt;"",'Data Source'!S90="F"),IF('Data Source'!AG90&gt;=5,"A+",IF('Data Source'!AG90&gt;=4,"A",IF('Data Source'!AG90&gt;=3.5,"A-",IF('Data Source'!AG90&gt;=3,"B",IF('Data Source'!AG90&gt;=2,"C",IF('Data Source'!AG90&gt;=1,"D","F")))))),"")</f>
        <v/>
      </c>
      <c r="P90" s="5">
        <f>IF(AND('Data Source'!B90&lt;&gt;"",'Data Source'!S90="F"),'Data Source'!R90,"")</f>
        <v/>
      </c>
      <c r="Q90" s="3">
        <f>IF(AND('Data Source'!B90&lt;&gt;"",'Data Source'!S90="F"),'Data Source'!S90,"")</f>
        <v/>
      </c>
    </row>
    <row r="91">
      <c r="A91" s="3">
        <f>IF(AND('Data Source'!B91&lt;&gt;"",'Data Source'!S91="F"),COUNTIF('Data Source'!$S$3:S91,"F"),"")</f>
        <v/>
      </c>
      <c r="B91">
        <f>IF(AND('Data Source'!B91&lt;&gt;"",'Data Source'!S91="F"),'Data Source'!B91,"")</f>
        <v/>
      </c>
      <c r="C91" s="3">
        <f>IF(AND('Data Source'!B91&lt;&gt;"",'Data Source'!S91="F"),IF('Data Source'!U91&gt;=5,"A+",IF('Data Source'!U91&gt;=4,"A",IF('Data Source'!U91&gt;=3.5,"A-",IF('Data Source'!U91&gt;=3,"B",IF('Data Source'!U91&gt;=2,"C",IF('Data Source'!U91&gt;=1,"D","F")))))),"")</f>
        <v/>
      </c>
      <c r="D91" s="3">
        <f>IF(AND('Data Source'!B91&lt;&gt;"",'Data Source'!S91="F"),IF('Data Source'!V91&gt;=5,"A+",IF('Data Source'!V91&gt;=4,"A",IF('Data Source'!V91&gt;=3.5,"A-",IF('Data Source'!V91&gt;=3,"B",IF('Data Source'!V91&gt;=2,"C",IF('Data Source'!V91&gt;=1,"D","F")))))),"")</f>
        <v/>
      </c>
      <c r="E91" s="3">
        <f>IF(AND('Data Source'!B91&lt;&gt;"",'Data Source'!S91="F"),IF('Data Source'!W91&gt;=5,"A+",IF('Data Source'!W91&gt;=4,"A",IF('Data Source'!W91&gt;=3.5,"A-",IF('Data Source'!W91&gt;=3,"B",IF('Data Source'!W91&gt;=2,"C",IF('Data Source'!W91&gt;=1,"D","F")))))),"")</f>
        <v/>
      </c>
      <c r="F91" s="3">
        <f>IF(AND('Data Source'!B91&lt;&gt;"",'Data Source'!S91="F"),IF('Data Source'!X91&gt;=5,"A+",IF('Data Source'!X91&gt;=4,"A",IF('Data Source'!X91&gt;=3.5,"A-",IF('Data Source'!X91&gt;=3,"B",IF('Data Source'!X91&gt;=2,"C",IF('Data Source'!X91&gt;=1,"D","F")))))),"")</f>
        <v/>
      </c>
      <c r="G91" s="3">
        <f>IF(AND('Data Source'!B91&lt;&gt;"",'Data Source'!S91="F"),IF('Data Source'!Y91&gt;=5,"A+",IF('Data Source'!Y91&gt;=4,"A",IF('Data Source'!Y91&gt;=3.5,"A-",IF('Data Source'!Y91&gt;=3,"B",IF('Data Source'!Y91&gt;=2,"C",IF('Data Source'!Y91&gt;=1,"D","F")))))),"")</f>
        <v/>
      </c>
      <c r="H91" s="3">
        <f>IF(AND('Data Source'!B91&lt;&gt;"",'Data Source'!S91="F"),IF('Data Source'!Z91&gt;=5,"A+",IF('Data Source'!Z91&gt;=4,"A",IF('Data Source'!Z91&gt;=3.5,"A-",IF('Data Source'!Z91&gt;=3,"B",IF('Data Source'!Z91&gt;=2,"C",IF('Data Source'!Z91&gt;=1,"D","F")))))),"")</f>
        <v/>
      </c>
      <c r="I91" s="3">
        <f>IF(AND('Data Source'!B91&lt;&gt;"",'Data Source'!S91="F"),IF('Data Source'!AA91&gt;=5,"A+",IF('Data Source'!AA91&gt;=4,"A",IF('Data Source'!AA91&gt;=3.5,"A-",IF('Data Source'!AA91&gt;=3,"B",IF('Data Source'!AA91&gt;=2,"C",IF('Data Source'!AA91&gt;=1,"D","F")))))),"")</f>
        <v/>
      </c>
      <c r="J91" s="3">
        <f>IF(AND('Data Source'!B91&lt;&gt;"",'Data Source'!S91="F"),IF('Data Source'!AB91&gt;=5,"A+",IF('Data Source'!AB91&gt;=4,"A",IF('Data Source'!AB91&gt;=3.5,"A-",IF('Data Source'!AB91&gt;=3,"B",IF('Data Source'!AB91&gt;=2,"C",IF('Data Source'!AB91&gt;=1,"D","F")))))),"")</f>
        <v/>
      </c>
      <c r="K91" s="3">
        <f>IF(AND('Data Source'!B91&lt;&gt;"",'Data Source'!S91="F"),IF('Data Source'!AC91&gt;=5,"A+",IF('Data Source'!AC91&gt;=4,"A",IF('Data Source'!AC91&gt;=3.5,"A-",IF('Data Source'!AC91&gt;=3,"B",IF('Data Source'!AC91&gt;=2,"C",IF('Data Source'!AC91&gt;=1,"D","F")))))),"")</f>
        <v/>
      </c>
      <c r="L91" s="3">
        <f>IF(AND('Data Source'!B91&lt;&gt;"",'Data Source'!S91="F"),IF('Data Source'!AD91&gt;=5,"A+",IF('Data Source'!AD91&gt;=4,"A",IF('Data Source'!AD91&gt;=3.5,"A-",IF('Data Source'!AD91&gt;=3,"B",IF('Data Source'!AD91&gt;=2,"C",IF('Data Source'!AD91&gt;=1,"D","F")))))),"")</f>
        <v/>
      </c>
      <c r="M91" s="3">
        <f>IF(AND('Data Source'!B91&lt;&gt;"",'Data Source'!S91="F"),IF('Data Source'!AE91&gt;=5,"A+",IF('Data Source'!AE91&gt;=4,"A",IF('Data Source'!AE91&gt;=3.5,"A-",IF('Data Source'!AE91&gt;=3,"B",IF('Data Source'!AE91&gt;=2,"C",IF('Data Source'!AE91&gt;=1,"D","F")))))),"")</f>
        <v/>
      </c>
      <c r="N91" s="3">
        <f>IF(AND('Data Source'!B91&lt;&gt;"",'Data Source'!S91="F"),IF('Data Source'!AF91&gt;=5,"A+",IF('Data Source'!AF91&gt;=4,"A",IF('Data Source'!AF91&gt;=3.5,"A-",IF('Data Source'!AF91&gt;=3,"B",IF('Data Source'!AF91&gt;=2,"C",IF('Data Source'!AF91&gt;=1,"D","F")))))),"")</f>
        <v/>
      </c>
      <c r="O91" s="3">
        <f>IF(AND('Data Source'!B91&lt;&gt;"",'Data Source'!S91="F"),IF('Data Source'!AG91&gt;=5,"A+",IF('Data Source'!AG91&gt;=4,"A",IF('Data Source'!AG91&gt;=3.5,"A-",IF('Data Source'!AG91&gt;=3,"B",IF('Data Source'!AG91&gt;=2,"C",IF('Data Source'!AG91&gt;=1,"D","F")))))),"")</f>
        <v/>
      </c>
      <c r="P91" s="5">
        <f>IF(AND('Data Source'!B91&lt;&gt;"",'Data Source'!S91="F"),'Data Source'!R91,"")</f>
        <v/>
      </c>
      <c r="Q91" s="3">
        <f>IF(AND('Data Source'!B91&lt;&gt;"",'Data Source'!S91="F"),'Data Source'!S91,"")</f>
        <v/>
      </c>
    </row>
    <row r="92">
      <c r="A92" s="3">
        <f>IF(AND('Data Source'!B92&lt;&gt;"",'Data Source'!S92="F"),COUNTIF('Data Source'!$S$3:S92,"F"),"")</f>
        <v/>
      </c>
      <c r="B92">
        <f>IF(AND('Data Source'!B92&lt;&gt;"",'Data Source'!S92="F"),'Data Source'!B92,"")</f>
        <v/>
      </c>
      <c r="C92" s="3">
        <f>IF(AND('Data Source'!B92&lt;&gt;"",'Data Source'!S92="F"),IF('Data Source'!U92&gt;=5,"A+",IF('Data Source'!U92&gt;=4,"A",IF('Data Source'!U92&gt;=3.5,"A-",IF('Data Source'!U92&gt;=3,"B",IF('Data Source'!U92&gt;=2,"C",IF('Data Source'!U92&gt;=1,"D","F")))))),"")</f>
        <v/>
      </c>
      <c r="D92" s="3">
        <f>IF(AND('Data Source'!B92&lt;&gt;"",'Data Source'!S92="F"),IF('Data Source'!V92&gt;=5,"A+",IF('Data Source'!V92&gt;=4,"A",IF('Data Source'!V92&gt;=3.5,"A-",IF('Data Source'!V92&gt;=3,"B",IF('Data Source'!V92&gt;=2,"C",IF('Data Source'!V92&gt;=1,"D","F")))))),"")</f>
        <v/>
      </c>
      <c r="E92" s="3">
        <f>IF(AND('Data Source'!B92&lt;&gt;"",'Data Source'!S92="F"),IF('Data Source'!W92&gt;=5,"A+",IF('Data Source'!W92&gt;=4,"A",IF('Data Source'!W92&gt;=3.5,"A-",IF('Data Source'!W92&gt;=3,"B",IF('Data Source'!W92&gt;=2,"C",IF('Data Source'!W92&gt;=1,"D","F")))))),"")</f>
        <v/>
      </c>
      <c r="F92" s="3">
        <f>IF(AND('Data Source'!B92&lt;&gt;"",'Data Source'!S92="F"),IF('Data Source'!X92&gt;=5,"A+",IF('Data Source'!X92&gt;=4,"A",IF('Data Source'!X92&gt;=3.5,"A-",IF('Data Source'!X92&gt;=3,"B",IF('Data Source'!X92&gt;=2,"C",IF('Data Source'!X92&gt;=1,"D","F")))))),"")</f>
        <v/>
      </c>
      <c r="G92" s="3">
        <f>IF(AND('Data Source'!B92&lt;&gt;"",'Data Source'!S92="F"),IF('Data Source'!Y92&gt;=5,"A+",IF('Data Source'!Y92&gt;=4,"A",IF('Data Source'!Y92&gt;=3.5,"A-",IF('Data Source'!Y92&gt;=3,"B",IF('Data Source'!Y92&gt;=2,"C",IF('Data Source'!Y92&gt;=1,"D","F")))))),"")</f>
        <v/>
      </c>
      <c r="H92" s="3">
        <f>IF(AND('Data Source'!B92&lt;&gt;"",'Data Source'!S92="F"),IF('Data Source'!Z92&gt;=5,"A+",IF('Data Source'!Z92&gt;=4,"A",IF('Data Source'!Z92&gt;=3.5,"A-",IF('Data Source'!Z92&gt;=3,"B",IF('Data Source'!Z92&gt;=2,"C",IF('Data Source'!Z92&gt;=1,"D","F")))))),"")</f>
        <v/>
      </c>
      <c r="I92" s="3">
        <f>IF(AND('Data Source'!B92&lt;&gt;"",'Data Source'!S92="F"),IF('Data Source'!AA92&gt;=5,"A+",IF('Data Source'!AA92&gt;=4,"A",IF('Data Source'!AA92&gt;=3.5,"A-",IF('Data Source'!AA92&gt;=3,"B",IF('Data Source'!AA92&gt;=2,"C",IF('Data Source'!AA92&gt;=1,"D","F")))))),"")</f>
        <v/>
      </c>
      <c r="J92" s="3">
        <f>IF(AND('Data Source'!B92&lt;&gt;"",'Data Source'!S92="F"),IF('Data Source'!AB92&gt;=5,"A+",IF('Data Source'!AB92&gt;=4,"A",IF('Data Source'!AB92&gt;=3.5,"A-",IF('Data Source'!AB92&gt;=3,"B",IF('Data Source'!AB92&gt;=2,"C",IF('Data Source'!AB92&gt;=1,"D","F")))))),"")</f>
        <v/>
      </c>
      <c r="K92" s="3">
        <f>IF(AND('Data Source'!B92&lt;&gt;"",'Data Source'!S92="F"),IF('Data Source'!AC92&gt;=5,"A+",IF('Data Source'!AC92&gt;=4,"A",IF('Data Source'!AC92&gt;=3.5,"A-",IF('Data Source'!AC92&gt;=3,"B",IF('Data Source'!AC92&gt;=2,"C",IF('Data Source'!AC92&gt;=1,"D","F")))))),"")</f>
        <v/>
      </c>
      <c r="L92" s="3">
        <f>IF(AND('Data Source'!B92&lt;&gt;"",'Data Source'!S92="F"),IF('Data Source'!AD92&gt;=5,"A+",IF('Data Source'!AD92&gt;=4,"A",IF('Data Source'!AD92&gt;=3.5,"A-",IF('Data Source'!AD92&gt;=3,"B",IF('Data Source'!AD92&gt;=2,"C",IF('Data Source'!AD92&gt;=1,"D","F")))))),"")</f>
        <v/>
      </c>
      <c r="M92" s="3">
        <f>IF(AND('Data Source'!B92&lt;&gt;"",'Data Source'!S92="F"),IF('Data Source'!AE92&gt;=5,"A+",IF('Data Source'!AE92&gt;=4,"A",IF('Data Source'!AE92&gt;=3.5,"A-",IF('Data Source'!AE92&gt;=3,"B",IF('Data Source'!AE92&gt;=2,"C",IF('Data Source'!AE92&gt;=1,"D","F")))))),"")</f>
        <v/>
      </c>
      <c r="N92" s="3">
        <f>IF(AND('Data Source'!B92&lt;&gt;"",'Data Source'!S92="F"),IF('Data Source'!AF92&gt;=5,"A+",IF('Data Source'!AF92&gt;=4,"A",IF('Data Source'!AF92&gt;=3.5,"A-",IF('Data Source'!AF92&gt;=3,"B",IF('Data Source'!AF92&gt;=2,"C",IF('Data Source'!AF92&gt;=1,"D","F")))))),"")</f>
        <v/>
      </c>
      <c r="O92" s="3">
        <f>IF(AND('Data Source'!B92&lt;&gt;"",'Data Source'!S92="F"),IF('Data Source'!AG92&gt;=5,"A+",IF('Data Source'!AG92&gt;=4,"A",IF('Data Source'!AG92&gt;=3.5,"A-",IF('Data Source'!AG92&gt;=3,"B",IF('Data Source'!AG92&gt;=2,"C",IF('Data Source'!AG92&gt;=1,"D","F")))))),"")</f>
        <v/>
      </c>
      <c r="P92" s="5">
        <f>IF(AND('Data Source'!B92&lt;&gt;"",'Data Source'!S92="F"),'Data Source'!R92,"")</f>
        <v/>
      </c>
      <c r="Q92" s="3">
        <f>IF(AND('Data Source'!B92&lt;&gt;"",'Data Source'!S92="F"),'Data Source'!S92,"")</f>
        <v/>
      </c>
    </row>
    <row r="93">
      <c r="A93" s="3">
        <f>IF(AND('Data Source'!B93&lt;&gt;"",'Data Source'!S93="F"),COUNTIF('Data Source'!$S$3:S93,"F"),"")</f>
        <v/>
      </c>
      <c r="B93">
        <f>IF(AND('Data Source'!B93&lt;&gt;"",'Data Source'!S93="F"),'Data Source'!B93,"")</f>
        <v/>
      </c>
      <c r="C93" s="3">
        <f>IF(AND('Data Source'!B93&lt;&gt;"",'Data Source'!S93="F"),IF('Data Source'!U93&gt;=5,"A+",IF('Data Source'!U93&gt;=4,"A",IF('Data Source'!U93&gt;=3.5,"A-",IF('Data Source'!U93&gt;=3,"B",IF('Data Source'!U93&gt;=2,"C",IF('Data Source'!U93&gt;=1,"D","F")))))),"")</f>
        <v/>
      </c>
      <c r="D93" s="3">
        <f>IF(AND('Data Source'!B93&lt;&gt;"",'Data Source'!S93="F"),IF('Data Source'!V93&gt;=5,"A+",IF('Data Source'!V93&gt;=4,"A",IF('Data Source'!V93&gt;=3.5,"A-",IF('Data Source'!V93&gt;=3,"B",IF('Data Source'!V93&gt;=2,"C",IF('Data Source'!V93&gt;=1,"D","F")))))),"")</f>
        <v/>
      </c>
      <c r="E93" s="3">
        <f>IF(AND('Data Source'!B93&lt;&gt;"",'Data Source'!S93="F"),IF('Data Source'!W93&gt;=5,"A+",IF('Data Source'!W93&gt;=4,"A",IF('Data Source'!W93&gt;=3.5,"A-",IF('Data Source'!W93&gt;=3,"B",IF('Data Source'!W93&gt;=2,"C",IF('Data Source'!W93&gt;=1,"D","F")))))),"")</f>
        <v/>
      </c>
      <c r="F93" s="3">
        <f>IF(AND('Data Source'!B93&lt;&gt;"",'Data Source'!S93="F"),IF('Data Source'!X93&gt;=5,"A+",IF('Data Source'!X93&gt;=4,"A",IF('Data Source'!X93&gt;=3.5,"A-",IF('Data Source'!X93&gt;=3,"B",IF('Data Source'!X93&gt;=2,"C",IF('Data Source'!X93&gt;=1,"D","F")))))),"")</f>
        <v/>
      </c>
      <c r="G93" s="3">
        <f>IF(AND('Data Source'!B93&lt;&gt;"",'Data Source'!S93="F"),IF('Data Source'!Y93&gt;=5,"A+",IF('Data Source'!Y93&gt;=4,"A",IF('Data Source'!Y93&gt;=3.5,"A-",IF('Data Source'!Y93&gt;=3,"B",IF('Data Source'!Y93&gt;=2,"C",IF('Data Source'!Y93&gt;=1,"D","F")))))),"")</f>
        <v/>
      </c>
      <c r="H93" s="3">
        <f>IF(AND('Data Source'!B93&lt;&gt;"",'Data Source'!S93="F"),IF('Data Source'!Z93&gt;=5,"A+",IF('Data Source'!Z93&gt;=4,"A",IF('Data Source'!Z93&gt;=3.5,"A-",IF('Data Source'!Z93&gt;=3,"B",IF('Data Source'!Z93&gt;=2,"C",IF('Data Source'!Z93&gt;=1,"D","F")))))),"")</f>
        <v/>
      </c>
      <c r="I93" s="3">
        <f>IF(AND('Data Source'!B93&lt;&gt;"",'Data Source'!S93="F"),IF('Data Source'!AA93&gt;=5,"A+",IF('Data Source'!AA93&gt;=4,"A",IF('Data Source'!AA93&gt;=3.5,"A-",IF('Data Source'!AA93&gt;=3,"B",IF('Data Source'!AA93&gt;=2,"C",IF('Data Source'!AA93&gt;=1,"D","F")))))),"")</f>
        <v/>
      </c>
      <c r="J93" s="3">
        <f>IF(AND('Data Source'!B93&lt;&gt;"",'Data Source'!S93="F"),IF('Data Source'!AB93&gt;=5,"A+",IF('Data Source'!AB93&gt;=4,"A",IF('Data Source'!AB93&gt;=3.5,"A-",IF('Data Source'!AB93&gt;=3,"B",IF('Data Source'!AB93&gt;=2,"C",IF('Data Source'!AB93&gt;=1,"D","F")))))),"")</f>
        <v/>
      </c>
      <c r="K93" s="3">
        <f>IF(AND('Data Source'!B93&lt;&gt;"",'Data Source'!S93="F"),IF('Data Source'!AC93&gt;=5,"A+",IF('Data Source'!AC93&gt;=4,"A",IF('Data Source'!AC93&gt;=3.5,"A-",IF('Data Source'!AC93&gt;=3,"B",IF('Data Source'!AC93&gt;=2,"C",IF('Data Source'!AC93&gt;=1,"D","F")))))),"")</f>
        <v/>
      </c>
      <c r="L93" s="3">
        <f>IF(AND('Data Source'!B93&lt;&gt;"",'Data Source'!S93="F"),IF('Data Source'!AD93&gt;=5,"A+",IF('Data Source'!AD93&gt;=4,"A",IF('Data Source'!AD93&gt;=3.5,"A-",IF('Data Source'!AD93&gt;=3,"B",IF('Data Source'!AD93&gt;=2,"C",IF('Data Source'!AD93&gt;=1,"D","F")))))),"")</f>
        <v/>
      </c>
      <c r="M93" s="3">
        <f>IF(AND('Data Source'!B93&lt;&gt;"",'Data Source'!S93="F"),IF('Data Source'!AE93&gt;=5,"A+",IF('Data Source'!AE93&gt;=4,"A",IF('Data Source'!AE93&gt;=3.5,"A-",IF('Data Source'!AE93&gt;=3,"B",IF('Data Source'!AE93&gt;=2,"C",IF('Data Source'!AE93&gt;=1,"D","F")))))),"")</f>
        <v/>
      </c>
      <c r="N93" s="3">
        <f>IF(AND('Data Source'!B93&lt;&gt;"",'Data Source'!S93="F"),IF('Data Source'!AF93&gt;=5,"A+",IF('Data Source'!AF93&gt;=4,"A",IF('Data Source'!AF93&gt;=3.5,"A-",IF('Data Source'!AF93&gt;=3,"B",IF('Data Source'!AF93&gt;=2,"C",IF('Data Source'!AF93&gt;=1,"D","F")))))),"")</f>
        <v/>
      </c>
      <c r="O93" s="3">
        <f>IF(AND('Data Source'!B93&lt;&gt;"",'Data Source'!S93="F"),IF('Data Source'!AG93&gt;=5,"A+",IF('Data Source'!AG93&gt;=4,"A",IF('Data Source'!AG93&gt;=3.5,"A-",IF('Data Source'!AG93&gt;=3,"B",IF('Data Source'!AG93&gt;=2,"C",IF('Data Source'!AG93&gt;=1,"D","F")))))),"")</f>
        <v/>
      </c>
      <c r="P93" s="5">
        <f>IF(AND('Data Source'!B93&lt;&gt;"",'Data Source'!S93="F"),'Data Source'!R93,"")</f>
        <v/>
      </c>
      <c r="Q93" s="3">
        <f>IF(AND('Data Source'!B93&lt;&gt;"",'Data Source'!S93="F"),'Data Source'!S93,"")</f>
        <v/>
      </c>
    </row>
    <row r="94">
      <c r="A94" s="3">
        <f>IF(AND('Data Source'!B94&lt;&gt;"",'Data Source'!S94="F"),COUNTIF('Data Source'!$S$3:S94,"F"),"")</f>
        <v/>
      </c>
      <c r="B94">
        <f>IF(AND('Data Source'!B94&lt;&gt;"",'Data Source'!S94="F"),'Data Source'!B94,"")</f>
        <v/>
      </c>
      <c r="C94" s="3">
        <f>IF(AND('Data Source'!B94&lt;&gt;"",'Data Source'!S94="F"),IF('Data Source'!U94&gt;=5,"A+",IF('Data Source'!U94&gt;=4,"A",IF('Data Source'!U94&gt;=3.5,"A-",IF('Data Source'!U94&gt;=3,"B",IF('Data Source'!U94&gt;=2,"C",IF('Data Source'!U94&gt;=1,"D","F")))))),"")</f>
        <v/>
      </c>
      <c r="D94" s="3">
        <f>IF(AND('Data Source'!B94&lt;&gt;"",'Data Source'!S94="F"),IF('Data Source'!V94&gt;=5,"A+",IF('Data Source'!V94&gt;=4,"A",IF('Data Source'!V94&gt;=3.5,"A-",IF('Data Source'!V94&gt;=3,"B",IF('Data Source'!V94&gt;=2,"C",IF('Data Source'!V94&gt;=1,"D","F")))))),"")</f>
        <v/>
      </c>
      <c r="E94" s="3">
        <f>IF(AND('Data Source'!B94&lt;&gt;"",'Data Source'!S94="F"),IF('Data Source'!W94&gt;=5,"A+",IF('Data Source'!W94&gt;=4,"A",IF('Data Source'!W94&gt;=3.5,"A-",IF('Data Source'!W94&gt;=3,"B",IF('Data Source'!W94&gt;=2,"C",IF('Data Source'!W94&gt;=1,"D","F")))))),"")</f>
        <v/>
      </c>
      <c r="F94" s="3">
        <f>IF(AND('Data Source'!B94&lt;&gt;"",'Data Source'!S94="F"),IF('Data Source'!X94&gt;=5,"A+",IF('Data Source'!X94&gt;=4,"A",IF('Data Source'!X94&gt;=3.5,"A-",IF('Data Source'!X94&gt;=3,"B",IF('Data Source'!X94&gt;=2,"C",IF('Data Source'!X94&gt;=1,"D","F")))))),"")</f>
        <v/>
      </c>
      <c r="G94" s="3">
        <f>IF(AND('Data Source'!B94&lt;&gt;"",'Data Source'!S94="F"),IF('Data Source'!Y94&gt;=5,"A+",IF('Data Source'!Y94&gt;=4,"A",IF('Data Source'!Y94&gt;=3.5,"A-",IF('Data Source'!Y94&gt;=3,"B",IF('Data Source'!Y94&gt;=2,"C",IF('Data Source'!Y94&gt;=1,"D","F")))))),"")</f>
        <v/>
      </c>
      <c r="H94" s="3">
        <f>IF(AND('Data Source'!B94&lt;&gt;"",'Data Source'!S94="F"),IF('Data Source'!Z94&gt;=5,"A+",IF('Data Source'!Z94&gt;=4,"A",IF('Data Source'!Z94&gt;=3.5,"A-",IF('Data Source'!Z94&gt;=3,"B",IF('Data Source'!Z94&gt;=2,"C",IF('Data Source'!Z94&gt;=1,"D","F")))))),"")</f>
        <v/>
      </c>
      <c r="I94" s="3">
        <f>IF(AND('Data Source'!B94&lt;&gt;"",'Data Source'!S94="F"),IF('Data Source'!AA94&gt;=5,"A+",IF('Data Source'!AA94&gt;=4,"A",IF('Data Source'!AA94&gt;=3.5,"A-",IF('Data Source'!AA94&gt;=3,"B",IF('Data Source'!AA94&gt;=2,"C",IF('Data Source'!AA94&gt;=1,"D","F")))))),"")</f>
        <v/>
      </c>
      <c r="J94" s="3">
        <f>IF(AND('Data Source'!B94&lt;&gt;"",'Data Source'!S94="F"),IF('Data Source'!AB94&gt;=5,"A+",IF('Data Source'!AB94&gt;=4,"A",IF('Data Source'!AB94&gt;=3.5,"A-",IF('Data Source'!AB94&gt;=3,"B",IF('Data Source'!AB94&gt;=2,"C",IF('Data Source'!AB94&gt;=1,"D","F")))))),"")</f>
        <v/>
      </c>
      <c r="K94" s="3">
        <f>IF(AND('Data Source'!B94&lt;&gt;"",'Data Source'!S94="F"),IF('Data Source'!AC94&gt;=5,"A+",IF('Data Source'!AC94&gt;=4,"A",IF('Data Source'!AC94&gt;=3.5,"A-",IF('Data Source'!AC94&gt;=3,"B",IF('Data Source'!AC94&gt;=2,"C",IF('Data Source'!AC94&gt;=1,"D","F")))))),"")</f>
        <v/>
      </c>
      <c r="L94" s="3">
        <f>IF(AND('Data Source'!B94&lt;&gt;"",'Data Source'!S94="F"),IF('Data Source'!AD94&gt;=5,"A+",IF('Data Source'!AD94&gt;=4,"A",IF('Data Source'!AD94&gt;=3.5,"A-",IF('Data Source'!AD94&gt;=3,"B",IF('Data Source'!AD94&gt;=2,"C",IF('Data Source'!AD94&gt;=1,"D","F")))))),"")</f>
        <v/>
      </c>
      <c r="M94" s="3">
        <f>IF(AND('Data Source'!B94&lt;&gt;"",'Data Source'!S94="F"),IF('Data Source'!AE94&gt;=5,"A+",IF('Data Source'!AE94&gt;=4,"A",IF('Data Source'!AE94&gt;=3.5,"A-",IF('Data Source'!AE94&gt;=3,"B",IF('Data Source'!AE94&gt;=2,"C",IF('Data Source'!AE94&gt;=1,"D","F")))))),"")</f>
        <v/>
      </c>
      <c r="N94" s="3">
        <f>IF(AND('Data Source'!B94&lt;&gt;"",'Data Source'!S94="F"),IF('Data Source'!AF94&gt;=5,"A+",IF('Data Source'!AF94&gt;=4,"A",IF('Data Source'!AF94&gt;=3.5,"A-",IF('Data Source'!AF94&gt;=3,"B",IF('Data Source'!AF94&gt;=2,"C",IF('Data Source'!AF94&gt;=1,"D","F")))))),"")</f>
        <v/>
      </c>
      <c r="O94" s="3">
        <f>IF(AND('Data Source'!B94&lt;&gt;"",'Data Source'!S94="F"),IF('Data Source'!AG94&gt;=5,"A+",IF('Data Source'!AG94&gt;=4,"A",IF('Data Source'!AG94&gt;=3.5,"A-",IF('Data Source'!AG94&gt;=3,"B",IF('Data Source'!AG94&gt;=2,"C",IF('Data Source'!AG94&gt;=1,"D","F")))))),"")</f>
        <v/>
      </c>
      <c r="P94" s="5">
        <f>IF(AND('Data Source'!B94&lt;&gt;"",'Data Source'!S94="F"),'Data Source'!R94,"")</f>
        <v/>
      </c>
      <c r="Q94" s="3">
        <f>IF(AND('Data Source'!B94&lt;&gt;"",'Data Source'!S94="F"),'Data Source'!S94,"")</f>
        <v/>
      </c>
    </row>
    <row r="95">
      <c r="A95" s="3">
        <f>IF(AND('Data Source'!B95&lt;&gt;"",'Data Source'!S95="F"),COUNTIF('Data Source'!$S$3:S95,"F"),"")</f>
        <v/>
      </c>
      <c r="B95">
        <f>IF(AND('Data Source'!B95&lt;&gt;"",'Data Source'!S95="F"),'Data Source'!B95,"")</f>
        <v/>
      </c>
      <c r="C95" s="3">
        <f>IF(AND('Data Source'!B95&lt;&gt;"",'Data Source'!S95="F"),IF('Data Source'!U95&gt;=5,"A+",IF('Data Source'!U95&gt;=4,"A",IF('Data Source'!U95&gt;=3.5,"A-",IF('Data Source'!U95&gt;=3,"B",IF('Data Source'!U95&gt;=2,"C",IF('Data Source'!U95&gt;=1,"D","F")))))),"")</f>
        <v/>
      </c>
      <c r="D95" s="3">
        <f>IF(AND('Data Source'!B95&lt;&gt;"",'Data Source'!S95="F"),IF('Data Source'!V95&gt;=5,"A+",IF('Data Source'!V95&gt;=4,"A",IF('Data Source'!V95&gt;=3.5,"A-",IF('Data Source'!V95&gt;=3,"B",IF('Data Source'!V95&gt;=2,"C",IF('Data Source'!V95&gt;=1,"D","F")))))),"")</f>
        <v/>
      </c>
      <c r="E95" s="3">
        <f>IF(AND('Data Source'!B95&lt;&gt;"",'Data Source'!S95="F"),IF('Data Source'!W95&gt;=5,"A+",IF('Data Source'!W95&gt;=4,"A",IF('Data Source'!W95&gt;=3.5,"A-",IF('Data Source'!W95&gt;=3,"B",IF('Data Source'!W95&gt;=2,"C",IF('Data Source'!W95&gt;=1,"D","F")))))),"")</f>
        <v/>
      </c>
      <c r="F95" s="3">
        <f>IF(AND('Data Source'!B95&lt;&gt;"",'Data Source'!S95="F"),IF('Data Source'!X95&gt;=5,"A+",IF('Data Source'!X95&gt;=4,"A",IF('Data Source'!X95&gt;=3.5,"A-",IF('Data Source'!X95&gt;=3,"B",IF('Data Source'!X95&gt;=2,"C",IF('Data Source'!X95&gt;=1,"D","F")))))),"")</f>
        <v/>
      </c>
      <c r="G95" s="3">
        <f>IF(AND('Data Source'!B95&lt;&gt;"",'Data Source'!S95="F"),IF('Data Source'!Y95&gt;=5,"A+",IF('Data Source'!Y95&gt;=4,"A",IF('Data Source'!Y95&gt;=3.5,"A-",IF('Data Source'!Y95&gt;=3,"B",IF('Data Source'!Y95&gt;=2,"C",IF('Data Source'!Y95&gt;=1,"D","F")))))),"")</f>
        <v/>
      </c>
      <c r="H95" s="3">
        <f>IF(AND('Data Source'!B95&lt;&gt;"",'Data Source'!S95="F"),IF('Data Source'!Z95&gt;=5,"A+",IF('Data Source'!Z95&gt;=4,"A",IF('Data Source'!Z95&gt;=3.5,"A-",IF('Data Source'!Z95&gt;=3,"B",IF('Data Source'!Z95&gt;=2,"C",IF('Data Source'!Z95&gt;=1,"D","F")))))),"")</f>
        <v/>
      </c>
      <c r="I95" s="3">
        <f>IF(AND('Data Source'!B95&lt;&gt;"",'Data Source'!S95="F"),IF('Data Source'!AA95&gt;=5,"A+",IF('Data Source'!AA95&gt;=4,"A",IF('Data Source'!AA95&gt;=3.5,"A-",IF('Data Source'!AA95&gt;=3,"B",IF('Data Source'!AA95&gt;=2,"C",IF('Data Source'!AA95&gt;=1,"D","F")))))),"")</f>
        <v/>
      </c>
      <c r="J95" s="3">
        <f>IF(AND('Data Source'!B95&lt;&gt;"",'Data Source'!S95="F"),IF('Data Source'!AB95&gt;=5,"A+",IF('Data Source'!AB95&gt;=4,"A",IF('Data Source'!AB95&gt;=3.5,"A-",IF('Data Source'!AB95&gt;=3,"B",IF('Data Source'!AB95&gt;=2,"C",IF('Data Source'!AB95&gt;=1,"D","F")))))),"")</f>
        <v/>
      </c>
      <c r="K95" s="3">
        <f>IF(AND('Data Source'!B95&lt;&gt;"",'Data Source'!S95="F"),IF('Data Source'!AC95&gt;=5,"A+",IF('Data Source'!AC95&gt;=4,"A",IF('Data Source'!AC95&gt;=3.5,"A-",IF('Data Source'!AC95&gt;=3,"B",IF('Data Source'!AC95&gt;=2,"C",IF('Data Source'!AC95&gt;=1,"D","F")))))),"")</f>
        <v/>
      </c>
      <c r="L95" s="3">
        <f>IF(AND('Data Source'!B95&lt;&gt;"",'Data Source'!S95="F"),IF('Data Source'!AD95&gt;=5,"A+",IF('Data Source'!AD95&gt;=4,"A",IF('Data Source'!AD95&gt;=3.5,"A-",IF('Data Source'!AD95&gt;=3,"B",IF('Data Source'!AD95&gt;=2,"C",IF('Data Source'!AD95&gt;=1,"D","F")))))),"")</f>
        <v/>
      </c>
      <c r="M95" s="3">
        <f>IF(AND('Data Source'!B95&lt;&gt;"",'Data Source'!S95="F"),IF('Data Source'!AE95&gt;=5,"A+",IF('Data Source'!AE95&gt;=4,"A",IF('Data Source'!AE95&gt;=3.5,"A-",IF('Data Source'!AE95&gt;=3,"B",IF('Data Source'!AE95&gt;=2,"C",IF('Data Source'!AE95&gt;=1,"D","F")))))),"")</f>
        <v/>
      </c>
      <c r="N95" s="3">
        <f>IF(AND('Data Source'!B95&lt;&gt;"",'Data Source'!S95="F"),IF('Data Source'!AF95&gt;=5,"A+",IF('Data Source'!AF95&gt;=4,"A",IF('Data Source'!AF95&gt;=3.5,"A-",IF('Data Source'!AF95&gt;=3,"B",IF('Data Source'!AF95&gt;=2,"C",IF('Data Source'!AF95&gt;=1,"D","F")))))),"")</f>
        <v/>
      </c>
      <c r="O95" s="3">
        <f>IF(AND('Data Source'!B95&lt;&gt;"",'Data Source'!S95="F"),IF('Data Source'!AG95&gt;=5,"A+",IF('Data Source'!AG95&gt;=4,"A",IF('Data Source'!AG95&gt;=3.5,"A-",IF('Data Source'!AG95&gt;=3,"B",IF('Data Source'!AG95&gt;=2,"C",IF('Data Source'!AG95&gt;=1,"D","F")))))),"")</f>
        <v/>
      </c>
      <c r="P95" s="5">
        <f>IF(AND('Data Source'!B95&lt;&gt;"",'Data Source'!S95="F"),'Data Source'!R95,"")</f>
        <v/>
      </c>
      <c r="Q95" s="3">
        <f>IF(AND('Data Source'!B95&lt;&gt;"",'Data Source'!S95="F"),'Data Source'!S95,"")</f>
        <v/>
      </c>
    </row>
    <row r="96">
      <c r="A96" s="3">
        <f>IF(AND('Data Source'!B96&lt;&gt;"",'Data Source'!S96="F"),COUNTIF('Data Source'!$S$3:S96,"F"),"")</f>
        <v/>
      </c>
      <c r="B96">
        <f>IF(AND('Data Source'!B96&lt;&gt;"",'Data Source'!S96="F"),'Data Source'!B96,"")</f>
        <v/>
      </c>
      <c r="C96" s="3">
        <f>IF(AND('Data Source'!B96&lt;&gt;"",'Data Source'!S96="F"),IF('Data Source'!U96&gt;=5,"A+",IF('Data Source'!U96&gt;=4,"A",IF('Data Source'!U96&gt;=3.5,"A-",IF('Data Source'!U96&gt;=3,"B",IF('Data Source'!U96&gt;=2,"C",IF('Data Source'!U96&gt;=1,"D","F")))))),"")</f>
        <v/>
      </c>
      <c r="D96" s="3">
        <f>IF(AND('Data Source'!B96&lt;&gt;"",'Data Source'!S96="F"),IF('Data Source'!V96&gt;=5,"A+",IF('Data Source'!V96&gt;=4,"A",IF('Data Source'!V96&gt;=3.5,"A-",IF('Data Source'!V96&gt;=3,"B",IF('Data Source'!V96&gt;=2,"C",IF('Data Source'!V96&gt;=1,"D","F")))))),"")</f>
        <v/>
      </c>
      <c r="E96" s="3">
        <f>IF(AND('Data Source'!B96&lt;&gt;"",'Data Source'!S96="F"),IF('Data Source'!W96&gt;=5,"A+",IF('Data Source'!W96&gt;=4,"A",IF('Data Source'!W96&gt;=3.5,"A-",IF('Data Source'!W96&gt;=3,"B",IF('Data Source'!W96&gt;=2,"C",IF('Data Source'!W96&gt;=1,"D","F")))))),"")</f>
        <v/>
      </c>
      <c r="F96" s="3">
        <f>IF(AND('Data Source'!B96&lt;&gt;"",'Data Source'!S96="F"),IF('Data Source'!X96&gt;=5,"A+",IF('Data Source'!X96&gt;=4,"A",IF('Data Source'!X96&gt;=3.5,"A-",IF('Data Source'!X96&gt;=3,"B",IF('Data Source'!X96&gt;=2,"C",IF('Data Source'!X96&gt;=1,"D","F")))))),"")</f>
        <v/>
      </c>
      <c r="G96" s="3">
        <f>IF(AND('Data Source'!B96&lt;&gt;"",'Data Source'!S96="F"),IF('Data Source'!Y96&gt;=5,"A+",IF('Data Source'!Y96&gt;=4,"A",IF('Data Source'!Y96&gt;=3.5,"A-",IF('Data Source'!Y96&gt;=3,"B",IF('Data Source'!Y96&gt;=2,"C",IF('Data Source'!Y96&gt;=1,"D","F")))))),"")</f>
        <v/>
      </c>
      <c r="H96" s="3">
        <f>IF(AND('Data Source'!B96&lt;&gt;"",'Data Source'!S96="F"),IF('Data Source'!Z96&gt;=5,"A+",IF('Data Source'!Z96&gt;=4,"A",IF('Data Source'!Z96&gt;=3.5,"A-",IF('Data Source'!Z96&gt;=3,"B",IF('Data Source'!Z96&gt;=2,"C",IF('Data Source'!Z96&gt;=1,"D","F")))))),"")</f>
        <v/>
      </c>
      <c r="I96" s="3">
        <f>IF(AND('Data Source'!B96&lt;&gt;"",'Data Source'!S96="F"),IF('Data Source'!AA96&gt;=5,"A+",IF('Data Source'!AA96&gt;=4,"A",IF('Data Source'!AA96&gt;=3.5,"A-",IF('Data Source'!AA96&gt;=3,"B",IF('Data Source'!AA96&gt;=2,"C",IF('Data Source'!AA96&gt;=1,"D","F")))))),"")</f>
        <v/>
      </c>
      <c r="J96" s="3">
        <f>IF(AND('Data Source'!B96&lt;&gt;"",'Data Source'!S96="F"),IF('Data Source'!AB96&gt;=5,"A+",IF('Data Source'!AB96&gt;=4,"A",IF('Data Source'!AB96&gt;=3.5,"A-",IF('Data Source'!AB96&gt;=3,"B",IF('Data Source'!AB96&gt;=2,"C",IF('Data Source'!AB96&gt;=1,"D","F")))))),"")</f>
        <v/>
      </c>
      <c r="K96" s="3">
        <f>IF(AND('Data Source'!B96&lt;&gt;"",'Data Source'!S96="F"),IF('Data Source'!AC96&gt;=5,"A+",IF('Data Source'!AC96&gt;=4,"A",IF('Data Source'!AC96&gt;=3.5,"A-",IF('Data Source'!AC96&gt;=3,"B",IF('Data Source'!AC96&gt;=2,"C",IF('Data Source'!AC96&gt;=1,"D","F")))))),"")</f>
        <v/>
      </c>
      <c r="L96" s="3">
        <f>IF(AND('Data Source'!B96&lt;&gt;"",'Data Source'!S96="F"),IF('Data Source'!AD96&gt;=5,"A+",IF('Data Source'!AD96&gt;=4,"A",IF('Data Source'!AD96&gt;=3.5,"A-",IF('Data Source'!AD96&gt;=3,"B",IF('Data Source'!AD96&gt;=2,"C",IF('Data Source'!AD96&gt;=1,"D","F")))))),"")</f>
        <v/>
      </c>
      <c r="M96" s="3">
        <f>IF(AND('Data Source'!B96&lt;&gt;"",'Data Source'!S96="F"),IF('Data Source'!AE96&gt;=5,"A+",IF('Data Source'!AE96&gt;=4,"A",IF('Data Source'!AE96&gt;=3.5,"A-",IF('Data Source'!AE96&gt;=3,"B",IF('Data Source'!AE96&gt;=2,"C",IF('Data Source'!AE96&gt;=1,"D","F")))))),"")</f>
        <v/>
      </c>
      <c r="N96" s="3">
        <f>IF(AND('Data Source'!B96&lt;&gt;"",'Data Source'!S96="F"),IF('Data Source'!AF96&gt;=5,"A+",IF('Data Source'!AF96&gt;=4,"A",IF('Data Source'!AF96&gt;=3.5,"A-",IF('Data Source'!AF96&gt;=3,"B",IF('Data Source'!AF96&gt;=2,"C",IF('Data Source'!AF96&gt;=1,"D","F")))))),"")</f>
        <v/>
      </c>
      <c r="O96" s="3">
        <f>IF(AND('Data Source'!B96&lt;&gt;"",'Data Source'!S96="F"),IF('Data Source'!AG96&gt;=5,"A+",IF('Data Source'!AG96&gt;=4,"A",IF('Data Source'!AG96&gt;=3.5,"A-",IF('Data Source'!AG96&gt;=3,"B",IF('Data Source'!AG96&gt;=2,"C",IF('Data Source'!AG96&gt;=1,"D","F")))))),"")</f>
        <v/>
      </c>
      <c r="P96" s="5">
        <f>IF(AND('Data Source'!B96&lt;&gt;"",'Data Source'!S96="F"),'Data Source'!R96,"")</f>
        <v/>
      </c>
      <c r="Q96" s="3">
        <f>IF(AND('Data Source'!B96&lt;&gt;"",'Data Source'!S96="F"),'Data Source'!S96,"")</f>
        <v/>
      </c>
    </row>
    <row r="97">
      <c r="A97" s="3">
        <f>IF(AND('Data Source'!B97&lt;&gt;"",'Data Source'!S97="F"),COUNTIF('Data Source'!$S$3:S97,"F"),"")</f>
        <v/>
      </c>
      <c r="B97">
        <f>IF(AND('Data Source'!B97&lt;&gt;"",'Data Source'!S97="F"),'Data Source'!B97,"")</f>
        <v/>
      </c>
      <c r="C97" s="3">
        <f>IF(AND('Data Source'!B97&lt;&gt;"",'Data Source'!S97="F"),IF('Data Source'!U97&gt;=5,"A+",IF('Data Source'!U97&gt;=4,"A",IF('Data Source'!U97&gt;=3.5,"A-",IF('Data Source'!U97&gt;=3,"B",IF('Data Source'!U97&gt;=2,"C",IF('Data Source'!U97&gt;=1,"D","F")))))),"")</f>
        <v/>
      </c>
      <c r="D97" s="3">
        <f>IF(AND('Data Source'!B97&lt;&gt;"",'Data Source'!S97="F"),IF('Data Source'!V97&gt;=5,"A+",IF('Data Source'!V97&gt;=4,"A",IF('Data Source'!V97&gt;=3.5,"A-",IF('Data Source'!V97&gt;=3,"B",IF('Data Source'!V97&gt;=2,"C",IF('Data Source'!V97&gt;=1,"D","F")))))),"")</f>
        <v/>
      </c>
      <c r="E97" s="3">
        <f>IF(AND('Data Source'!B97&lt;&gt;"",'Data Source'!S97="F"),IF('Data Source'!W97&gt;=5,"A+",IF('Data Source'!W97&gt;=4,"A",IF('Data Source'!W97&gt;=3.5,"A-",IF('Data Source'!W97&gt;=3,"B",IF('Data Source'!W97&gt;=2,"C",IF('Data Source'!W97&gt;=1,"D","F")))))),"")</f>
        <v/>
      </c>
      <c r="F97" s="3">
        <f>IF(AND('Data Source'!B97&lt;&gt;"",'Data Source'!S97="F"),IF('Data Source'!X97&gt;=5,"A+",IF('Data Source'!X97&gt;=4,"A",IF('Data Source'!X97&gt;=3.5,"A-",IF('Data Source'!X97&gt;=3,"B",IF('Data Source'!X97&gt;=2,"C",IF('Data Source'!X97&gt;=1,"D","F")))))),"")</f>
        <v/>
      </c>
      <c r="G97" s="3">
        <f>IF(AND('Data Source'!B97&lt;&gt;"",'Data Source'!S97="F"),IF('Data Source'!Y97&gt;=5,"A+",IF('Data Source'!Y97&gt;=4,"A",IF('Data Source'!Y97&gt;=3.5,"A-",IF('Data Source'!Y97&gt;=3,"B",IF('Data Source'!Y97&gt;=2,"C",IF('Data Source'!Y97&gt;=1,"D","F")))))),"")</f>
        <v/>
      </c>
      <c r="H97" s="3">
        <f>IF(AND('Data Source'!B97&lt;&gt;"",'Data Source'!S97="F"),IF('Data Source'!Z97&gt;=5,"A+",IF('Data Source'!Z97&gt;=4,"A",IF('Data Source'!Z97&gt;=3.5,"A-",IF('Data Source'!Z97&gt;=3,"B",IF('Data Source'!Z97&gt;=2,"C",IF('Data Source'!Z97&gt;=1,"D","F")))))),"")</f>
        <v/>
      </c>
      <c r="I97" s="3">
        <f>IF(AND('Data Source'!B97&lt;&gt;"",'Data Source'!S97="F"),IF('Data Source'!AA97&gt;=5,"A+",IF('Data Source'!AA97&gt;=4,"A",IF('Data Source'!AA97&gt;=3.5,"A-",IF('Data Source'!AA97&gt;=3,"B",IF('Data Source'!AA97&gt;=2,"C",IF('Data Source'!AA97&gt;=1,"D","F")))))),"")</f>
        <v/>
      </c>
      <c r="J97" s="3">
        <f>IF(AND('Data Source'!B97&lt;&gt;"",'Data Source'!S97="F"),IF('Data Source'!AB97&gt;=5,"A+",IF('Data Source'!AB97&gt;=4,"A",IF('Data Source'!AB97&gt;=3.5,"A-",IF('Data Source'!AB97&gt;=3,"B",IF('Data Source'!AB97&gt;=2,"C",IF('Data Source'!AB97&gt;=1,"D","F")))))),"")</f>
        <v/>
      </c>
      <c r="K97" s="3">
        <f>IF(AND('Data Source'!B97&lt;&gt;"",'Data Source'!S97="F"),IF('Data Source'!AC97&gt;=5,"A+",IF('Data Source'!AC97&gt;=4,"A",IF('Data Source'!AC97&gt;=3.5,"A-",IF('Data Source'!AC97&gt;=3,"B",IF('Data Source'!AC97&gt;=2,"C",IF('Data Source'!AC97&gt;=1,"D","F")))))),"")</f>
        <v/>
      </c>
      <c r="L97" s="3">
        <f>IF(AND('Data Source'!B97&lt;&gt;"",'Data Source'!S97="F"),IF('Data Source'!AD97&gt;=5,"A+",IF('Data Source'!AD97&gt;=4,"A",IF('Data Source'!AD97&gt;=3.5,"A-",IF('Data Source'!AD97&gt;=3,"B",IF('Data Source'!AD97&gt;=2,"C",IF('Data Source'!AD97&gt;=1,"D","F")))))),"")</f>
        <v/>
      </c>
      <c r="M97" s="3">
        <f>IF(AND('Data Source'!B97&lt;&gt;"",'Data Source'!S97="F"),IF('Data Source'!AE97&gt;=5,"A+",IF('Data Source'!AE97&gt;=4,"A",IF('Data Source'!AE97&gt;=3.5,"A-",IF('Data Source'!AE97&gt;=3,"B",IF('Data Source'!AE97&gt;=2,"C",IF('Data Source'!AE97&gt;=1,"D","F")))))),"")</f>
        <v/>
      </c>
      <c r="N97" s="3">
        <f>IF(AND('Data Source'!B97&lt;&gt;"",'Data Source'!S97="F"),IF('Data Source'!AF97&gt;=5,"A+",IF('Data Source'!AF97&gt;=4,"A",IF('Data Source'!AF97&gt;=3.5,"A-",IF('Data Source'!AF97&gt;=3,"B",IF('Data Source'!AF97&gt;=2,"C",IF('Data Source'!AF97&gt;=1,"D","F")))))),"")</f>
        <v/>
      </c>
      <c r="O97" s="3">
        <f>IF(AND('Data Source'!B97&lt;&gt;"",'Data Source'!S97="F"),IF('Data Source'!AG97&gt;=5,"A+",IF('Data Source'!AG97&gt;=4,"A",IF('Data Source'!AG97&gt;=3.5,"A-",IF('Data Source'!AG97&gt;=3,"B",IF('Data Source'!AG97&gt;=2,"C",IF('Data Source'!AG97&gt;=1,"D","F")))))),"")</f>
        <v/>
      </c>
      <c r="P97" s="5">
        <f>IF(AND('Data Source'!B97&lt;&gt;"",'Data Source'!S97="F"),'Data Source'!R97,"")</f>
        <v/>
      </c>
      <c r="Q97" s="3">
        <f>IF(AND('Data Source'!B97&lt;&gt;"",'Data Source'!S97="F"),'Data Source'!S97,"")</f>
        <v/>
      </c>
    </row>
    <row r="98">
      <c r="A98" s="3">
        <f>IF(AND('Data Source'!B98&lt;&gt;"",'Data Source'!S98="F"),COUNTIF('Data Source'!$S$3:S98,"F"),"")</f>
        <v/>
      </c>
      <c r="B98">
        <f>IF(AND('Data Source'!B98&lt;&gt;"",'Data Source'!S98="F"),'Data Source'!B98,"")</f>
        <v/>
      </c>
      <c r="C98" s="3">
        <f>IF(AND('Data Source'!B98&lt;&gt;"",'Data Source'!S98="F"),IF('Data Source'!U98&gt;=5,"A+",IF('Data Source'!U98&gt;=4,"A",IF('Data Source'!U98&gt;=3.5,"A-",IF('Data Source'!U98&gt;=3,"B",IF('Data Source'!U98&gt;=2,"C",IF('Data Source'!U98&gt;=1,"D","F")))))),"")</f>
        <v/>
      </c>
      <c r="D98" s="3">
        <f>IF(AND('Data Source'!B98&lt;&gt;"",'Data Source'!S98="F"),IF('Data Source'!V98&gt;=5,"A+",IF('Data Source'!V98&gt;=4,"A",IF('Data Source'!V98&gt;=3.5,"A-",IF('Data Source'!V98&gt;=3,"B",IF('Data Source'!V98&gt;=2,"C",IF('Data Source'!V98&gt;=1,"D","F")))))),"")</f>
        <v/>
      </c>
      <c r="E98" s="3">
        <f>IF(AND('Data Source'!B98&lt;&gt;"",'Data Source'!S98="F"),IF('Data Source'!W98&gt;=5,"A+",IF('Data Source'!W98&gt;=4,"A",IF('Data Source'!W98&gt;=3.5,"A-",IF('Data Source'!W98&gt;=3,"B",IF('Data Source'!W98&gt;=2,"C",IF('Data Source'!W98&gt;=1,"D","F")))))),"")</f>
        <v/>
      </c>
      <c r="F98" s="3">
        <f>IF(AND('Data Source'!B98&lt;&gt;"",'Data Source'!S98="F"),IF('Data Source'!X98&gt;=5,"A+",IF('Data Source'!X98&gt;=4,"A",IF('Data Source'!X98&gt;=3.5,"A-",IF('Data Source'!X98&gt;=3,"B",IF('Data Source'!X98&gt;=2,"C",IF('Data Source'!X98&gt;=1,"D","F")))))),"")</f>
        <v/>
      </c>
      <c r="G98" s="3">
        <f>IF(AND('Data Source'!B98&lt;&gt;"",'Data Source'!S98="F"),IF('Data Source'!Y98&gt;=5,"A+",IF('Data Source'!Y98&gt;=4,"A",IF('Data Source'!Y98&gt;=3.5,"A-",IF('Data Source'!Y98&gt;=3,"B",IF('Data Source'!Y98&gt;=2,"C",IF('Data Source'!Y98&gt;=1,"D","F")))))),"")</f>
        <v/>
      </c>
      <c r="H98" s="3">
        <f>IF(AND('Data Source'!B98&lt;&gt;"",'Data Source'!S98="F"),IF('Data Source'!Z98&gt;=5,"A+",IF('Data Source'!Z98&gt;=4,"A",IF('Data Source'!Z98&gt;=3.5,"A-",IF('Data Source'!Z98&gt;=3,"B",IF('Data Source'!Z98&gt;=2,"C",IF('Data Source'!Z98&gt;=1,"D","F")))))),"")</f>
        <v/>
      </c>
      <c r="I98" s="3">
        <f>IF(AND('Data Source'!B98&lt;&gt;"",'Data Source'!S98="F"),IF('Data Source'!AA98&gt;=5,"A+",IF('Data Source'!AA98&gt;=4,"A",IF('Data Source'!AA98&gt;=3.5,"A-",IF('Data Source'!AA98&gt;=3,"B",IF('Data Source'!AA98&gt;=2,"C",IF('Data Source'!AA98&gt;=1,"D","F")))))),"")</f>
        <v/>
      </c>
      <c r="J98" s="3">
        <f>IF(AND('Data Source'!B98&lt;&gt;"",'Data Source'!S98="F"),IF('Data Source'!AB98&gt;=5,"A+",IF('Data Source'!AB98&gt;=4,"A",IF('Data Source'!AB98&gt;=3.5,"A-",IF('Data Source'!AB98&gt;=3,"B",IF('Data Source'!AB98&gt;=2,"C",IF('Data Source'!AB98&gt;=1,"D","F")))))),"")</f>
        <v/>
      </c>
      <c r="K98" s="3">
        <f>IF(AND('Data Source'!B98&lt;&gt;"",'Data Source'!S98="F"),IF('Data Source'!AC98&gt;=5,"A+",IF('Data Source'!AC98&gt;=4,"A",IF('Data Source'!AC98&gt;=3.5,"A-",IF('Data Source'!AC98&gt;=3,"B",IF('Data Source'!AC98&gt;=2,"C",IF('Data Source'!AC98&gt;=1,"D","F")))))),"")</f>
        <v/>
      </c>
      <c r="L98" s="3">
        <f>IF(AND('Data Source'!B98&lt;&gt;"",'Data Source'!S98="F"),IF('Data Source'!AD98&gt;=5,"A+",IF('Data Source'!AD98&gt;=4,"A",IF('Data Source'!AD98&gt;=3.5,"A-",IF('Data Source'!AD98&gt;=3,"B",IF('Data Source'!AD98&gt;=2,"C",IF('Data Source'!AD98&gt;=1,"D","F")))))),"")</f>
        <v/>
      </c>
      <c r="M98" s="3">
        <f>IF(AND('Data Source'!B98&lt;&gt;"",'Data Source'!S98="F"),IF('Data Source'!AE98&gt;=5,"A+",IF('Data Source'!AE98&gt;=4,"A",IF('Data Source'!AE98&gt;=3.5,"A-",IF('Data Source'!AE98&gt;=3,"B",IF('Data Source'!AE98&gt;=2,"C",IF('Data Source'!AE98&gt;=1,"D","F")))))),"")</f>
        <v/>
      </c>
      <c r="N98" s="3">
        <f>IF(AND('Data Source'!B98&lt;&gt;"",'Data Source'!S98="F"),IF('Data Source'!AF98&gt;=5,"A+",IF('Data Source'!AF98&gt;=4,"A",IF('Data Source'!AF98&gt;=3.5,"A-",IF('Data Source'!AF98&gt;=3,"B",IF('Data Source'!AF98&gt;=2,"C",IF('Data Source'!AF98&gt;=1,"D","F")))))),"")</f>
        <v/>
      </c>
      <c r="O98" s="3">
        <f>IF(AND('Data Source'!B98&lt;&gt;"",'Data Source'!S98="F"),IF('Data Source'!AG98&gt;=5,"A+",IF('Data Source'!AG98&gt;=4,"A",IF('Data Source'!AG98&gt;=3.5,"A-",IF('Data Source'!AG98&gt;=3,"B",IF('Data Source'!AG98&gt;=2,"C",IF('Data Source'!AG98&gt;=1,"D","F")))))),"")</f>
        <v/>
      </c>
      <c r="P98" s="5">
        <f>IF(AND('Data Source'!B98&lt;&gt;"",'Data Source'!S98="F"),'Data Source'!R98,"")</f>
        <v/>
      </c>
      <c r="Q98" s="3">
        <f>IF(AND('Data Source'!B98&lt;&gt;"",'Data Source'!S98="F"),'Data Source'!S98,"")</f>
        <v/>
      </c>
    </row>
    <row r="99">
      <c r="A99" s="3">
        <f>IF(AND('Data Source'!B99&lt;&gt;"",'Data Source'!S99="F"),COUNTIF('Data Source'!$S$3:S99,"F"),"")</f>
        <v/>
      </c>
      <c r="B99">
        <f>IF(AND('Data Source'!B99&lt;&gt;"",'Data Source'!S99="F"),'Data Source'!B99,"")</f>
        <v/>
      </c>
      <c r="C99" s="3">
        <f>IF(AND('Data Source'!B99&lt;&gt;"",'Data Source'!S99="F"),IF('Data Source'!U99&gt;=5,"A+",IF('Data Source'!U99&gt;=4,"A",IF('Data Source'!U99&gt;=3.5,"A-",IF('Data Source'!U99&gt;=3,"B",IF('Data Source'!U99&gt;=2,"C",IF('Data Source'!U99&gt;=1,"D","F")))))),"")</f>
        <v/>
      </c>
      <c r="D99" s="3">
        <f>IF(AND('Data Source'!B99&lt;&gt;"",'Data Source'!S99="F"),IF('Data Source'!V99&gt;=5,"A+",IF('Data Source'!V99&gt;=4,"A",IF('Data Source'!V99&gt;=3.5,"A-",IF('Data Source'!V99&gt;=3,"B",IF('Data Source'!V99&gt;=2,"C",IF('Data Source'!V99&gt;=1,"D","F")))))),"")</f>
        <v/>
      </c>
      <c r="E99" s="3">
        <f>IF(AND('Data Source'!B99&lt;&gt;"",'Data Source'!S99="F"),IF('Data Source'!W99&gt;=5,"A+",IF('Data Source'!W99&gt;=4,"A",IF('Data Source'!W99&gt;=3.5,"A-",IF('Data Source'!W99&gt;=3,"B",IF('Data Source'!W99&gt;=2,"C",IF('Data Source'!W99&gt;=1,"D","F")))))),"")</f>
        <v/>
      </c>
      <c r="F99" s="3">
        <f>IF(AND('Data Source'!B99&lt;&gt;"",'Data Source'!S99="F"),IF('Data Source'!X99&gt;=5,"A+",IF('Data Source'!X99&gt;=4,"A",IF('Data Source'!X99&gt;=3.5,"A-",IF('Data Source'!X99&gt;=3,"B",IF('Data Source'!X99&gt;=2,"C",IF('Data Source'!X99&gt;=1,"D","F")))))),"")</f>
        <v/>
      </c>
      <c r="G99" s="3">
        <f>IF(AND('Data Source'!B99&lt;&gt;"",'Data Source'!S99="F"),IF('Data Source'!Y99&gt;=5,"A+",IF('Data Source'!Y99&gt;=4,"A",IF('Data Source'!Y99&gt;=3.5,"A-",IF('Data Source'!Y99&gt;=3,"B",IF('Data Source'!Y99&gt;=2,"C",IF('Data Source'!Y99&gt;=1,"D","F")))))),"")</f>
        <v/>
      </c>
      <c r="H99" s="3">
        <f>IF(AND('Data Source'!B99&lt;&gt;"",'Data Source'!S99="F"),IF('Data Source'!Z99&gt;=5,"A+",IF('Data Source'!Z99&gt;=4,"A",IF('Data Source'!Z99&gt;=3.5,"A-",IF('Data Source'!Z99&gt;=3,"B",IF('Data Source'!Z99&gt;=2,"C",IF('Data Source'!Z99&gt;=1,"D","F")))))),"")</f>
        <v/>
      </c>
      <c r="I99" s="3">
        <f>IF(AND('Data Source'!B99&lt;&gt;"",'Data Source'!S99="F"),IF('Data Source'!AA99&gt;=5,"A+",IF('Data Source'!AA99&gt;=4,"A",IF('Data Source'!AA99&gt;=3.5,"A-",IF('Data Source'!AA99&gt;=3,"B",IF('Data Source'!AA99&gt;=2,"C",IF('Data Source'!AA99&gt;=1,"D","F")))))),"")</f>
        <v/>
      </c>
      <c r="J99" s="3">
        <f>IF(AND('Data Source'!B99&lt;&gt;"",'Data Source'!S99="F"),IF('Data Source'!AB99&gt;=5,"A+",IF('Data Source'!AB99&gt;=4,"A",IF('Data Source'!AB99&gt;=3.5,"A-",IF('Data Source'!AB99&gt;=3,"B",IF('Data Source'!AB99&gt;=2,"C",IF('Data Source'!AB99&gt;=1,"D","F")))))),"")</f>
        <v/>
      </c>
      <c r="K99" s="3">
        <f>IF(AND('Data Source'!B99&lt;&gt;"",'Data Source'!S99="F"),IF('Data Source'!AC99&gt;=5,"A+",IF('Data Source'!AC99&gt;=4,"A",IF('Data Source'!AC99&gt;=3.5,"A-",IF('Data Source'!AC99&gt;=3,"B",IF('Data Source'!AC99&gt;=2,"C",IF('Data Source'!AC99&gt;=1,"D","F")))))),"")</f>
        <v/>
      </c>
      <c r="L99" s="3">
        <f>IF(AND('Data Source'!B99&lt;&gt;"",'Data Source'!S99="F"),IF('Data Source'!AD99&gt;=5,"A+",IF('Data Source'!AD99&gt;=4,"A",IF('Data Source'!AD99&gt;=3.5,"A-",IF('Data Source'!AD99&gt;=3,"B",IF('Data Source'!AD99&gt;=2,"C",IF('Data Source'!AD99&gt;=1,"D","F")))))),"")</f>
        <v/>
      </c>
      <c r="M99" s="3">
        <f>IF(AND('Data Source'!B99&lt;&gt;"",'Data Source'!S99="F"),IF('Data Source'!AE99&gt;=5,"A+",IF('Data Source'!AE99&gt;=4,"A",IF('Data Source'!AE99&gt;=3.5,"A-",IF('Data Source'!AE99&gt;=3,"B",IF('Data Source'!AE99&gt;=2,"C",IF('Data Source'!AE99&gt;=1,"D","F")))))),"")</f>
        <v/>
      </c>
      <c r="N99" s="3">
        <f>IF(AND('Data Source'!B99&lt;&gt;"",'Data Source'!S99="F"),IF('Data Source'!AF99&gt;=5,"A+",IF('Data Source'!AF99&gt;=4,"A",IF('Data Source'!AF99&gt;=3.5,"A-",IF('Data Source'!AF99&gt;=3,"B",IF('Data Source'!AF99&gt;=2,"C",IF('Data Source'!AF99&gt;=1,"D","F")))))),"")</f>
        <v/>
      </c>
      <c r="O99" s="3">
        <f>IF(AND('Data Source'!B99&lt;&gt;"",'Data Source'!S99="F"),IF('Data Source'!AG99&gt;=5,"A+",IF('Data Source'!AG99&gt;=4,"A",IF('Data Source'!AG99&gt;=3.5,"A-",IF('Data Source'!AG99&gt;=3,"B",IF('Data Source'!AG99&gt;=2,"C",IF('Data Source'!AG99&gt;=1,"D","F")))))),"")</f>
        <v/>
      </c>
      <c r="P99" s="5">
        <f>IF(AND('Data Source'!B99&lt;&gt;"",'Data Source'!S99="F"),'Data Source'!R99,"")</f>
        <v/>
      </c>
      <c r="Q99" s="3">
        <f>IF(AND('Data Source'!B99&lt;&gt;"",'Data Source'!S99="F"),'Data Source'!S99,"")</f>
        <v/>
      </c>
    </row>
    <row r="100">
      <c r="A100" s="3">
        <f>IF(AND('Data Source'!B100&lt;&gt;"",'Data Source'!S100="F"),COUNTIF('Data Source'!$S$3:S100,"F"),"")</f>
        <v/>
      </c>
      <c r="B100">
        <f>IF(AND('Data Source'!B100&lt;&gt;"",'Data Source'!S100="F"),'Data Source'!B100,"")</f>
        <v/>
      </c>
      <c r="C100" s="3">
        <f>IF(AND('Data Source'!B100&lt;&gt;"",'Data Source'!S100="F"),IF('Data Source'!U100&gt;=5,"A+",IF('Data Source'!U100&gt;=4,"A",IF('Data Source'!U100&gt;=3.5,"A-",IF('Data Source'!U100&gt;=3,"B",IF('Data Source'!U100&gt;=2,"C",IF('Data Source'!U100&gt;=1,"D","F")))))),"")</f>
        <v/>
      </c>
      <c r="D100" s="3">
        <f>IF(AND('Data Source'!B100&lt;&gt;"",'Data Source'!S100="F"),IF('Data Source'!V100&gt;=5,"A+",IF('Data Source'!V100&gt;=4,"A",IF('Data Source'!V100&gt;=3.5,"A-",IF('Data Source'!V100&gt;=3,"B",IF('Data Source'!V100&gt;=2,"C",IF('Data Source'!V100&gt;=1,"D","F")))))),"")</f>
        <v/>
      </c>
      <c r="E100" s="3">
        <f>IF(AND('Data Source'!B100&lt;&gt;"",'Data Source'!S100="F"),IF('Data Source'!W100&gt;=5,"A+",IF('Data Source'!W100&gt;=4,"A",IF('Data Source'!W100&gt;=3.5,"A-",IF('Data Source'!W100&gt;=3,"B",IF('Data Source'!W100&gt;=2,"C",IF('Data Source'!W100&gt;=1,"D","F")))))),"")</f>
        <v/>
      </c>
      <c r="F100" s="3">
        <f>IF(AND('Data Source'!B100&lt;&gt;"",'Data Source'!S100="F"),IF('Data Source'!X100&gt;=5,"A+",IF('Data Source'!X100&gt;=4,"A",IF('Data Source'!X100&gt;=3.5,"A-",IF('Data Source'!X100&gt;=3,"B",IF('Data Source'!X100&gt;=2,"C",IF('Data Source'!X100&gt;=1,"D","F")))))),"")</f>
        <v/>
      </c>
      <c r="G100" s="3">
        <f>IF(AND('Data Source'!B100&lt;&gt;"",'Data Source'!S100="F"),IF('Data Source'!Y100&gt;=5,"A+",IF('Data Source'!Y100&gt;=4,"A",IF('Data Source'!Y100&gt;=3.5,"A-",IF('Data Source'!Y100&gt;=3,"B",IF('Data Source'!Y100&gt;=2,"C",IF('Data Source'!Y100&gt;=1,"D","F")))))),"")</f>
        <v/>
      </c>
      <c r="H100" s="3">
        <f>IF(AND('Data Source'!B100&lt;&gt;"",'Data Source'!S100="F"),IF('Data Source'!Z100&gt;=5,"A+",IF('Data Source'!Z100&gt;=4,"A",IF('Data Source'!Z100&gt;=3.5,"A-",IF('Data Source'!Z100&gt;=3,"B",IF('Data Source'!Z100&gt;=2,"C",IF('Data Source'!Z100&gt;=1,"D","F")))))),"")</f>
        <v/>
      </c>
      <c r="I100" s="3">
        <f>IF(AND('Data Source'!B100&lt;&gt;"",'Data Source'!S100="F"),IF('Data Source'!AA100&gt;=5,"A+",IF('Data Source'!AA100&gt;=4,"A",IF('Data Source'!AA100&gt;=3.5,"A-",IF('Data Source'!AA100&gt;=3,"B",IF('Data Source'!AA100&gt;=2,"C",IF('Data Source'!AA100&gt;=1,"D","F")))))),"")</f>
        <v/>
      </c>
      <c r="J100" s="3">
        <f>IF(AND('Data Source'!B100&lt;&gt;"",'Data Source'!S100="F"),IF('Data Source'!AB100&gt;=5,"A+",IF('Data Source'!AB100&gt;=4,"A",IF('Data Source'!AB100&gt;=3.5,"A-",IF('Data Source'!AB100&gt;=3,"B",IF('Data Source'!AB100&gt;=2,"C",IF('Data Source'!AB100&gt;=1,"D","F")))))),"")</f>
        <v/>
      </c>
      <c r="K100" s="3">
        <f>IF(AND('Data Source'!B100&lt;&gt;"",'Data Source'!S100="F"),IF('Data Source'!AC100&gt;=5,"A+",IF('Data Source'!AC100&gt;=4,"A",IF('Data Source'!AC100&gt;=3.5,"A-",IF('Data Source'!AC100&gt;=3,"B",IF('Data Source'!AC100&gt;=2,"C",IF('Data Source'!AC100&gt;=1,"D","F")))))),"")</f>
        <v/>
      </c>
      <c r="L100" s="3">
        <f>IF(AND('Data Source'!B100&lt;&gt;"",'Data Source'!S100="F"),IF('Data Source'!AD100&gt;=5,"A+",IF('Data Source'!AD100&gt;=4,"A",IF('Data Source'!AD100&gt;=3.5,"A-",IF('Data Source'!AD100&gt;=3,"B",IF('Data Source'!AD100&gt;=2,"C",IF('Data Source'!AD100&gt;=1,"D","F")))))),"")</f>
        <v/>
      </c>
      <c r="M100" s="3">
        <f>IF(AND('Data Source'!B100&lt;&gt;"",'Data Source'!S100="F"),IF('Data Source'!AE100&gt;=5,"A+",IF('Data Source'!AE100&gt;=4,"A",IF('Data Source'!AE100&gt;=3.5,"A-",IF('Data Source'!AE100&gt;=3,"B",IF('Data Source'!AE100&gt;=2,"C",IF('Data Source'!AE100&gt;=1,"D","F")))))),"")</f>
        <v/>
      </c>
      <c r="N100" s="3">
        <f>IF(AND('Data Source'!B100&lt;&gt;"",'Data Source'!S100="F"),IF('Data Source'!AF100&gt;=5,"A+",IF('Data Source'!AF100&gt;=4,"A",IF('Data Source'!AF100&gt;=3.5,"A-",IF('Data Source'!AF100&gt;=3,"B",IF('Data Source'!AF100&gt;=2,"C",IF('Data Source'!AF100&gt;=1,"D","F")))))),"")</f>
        <v/>
      </c>
      <c r="O100" s="3">
        <f>IF(AND('Data Source'!B100&lt;&gt;"",'Data Source'!S100="F"),IF('Data Source'!AG100&gt;=5,"A+",IF('Data Source'!AG100&gt;=4,"A",IF('Data Source'!AG100&gt;=3.5,"A-",IF('Data Source'!AG100&gt;=3,"B",IF('Data Source'!AG100&gt;=2,"C",IF('Data Source'!AG100&gt;=1,"D","F")))))),"")</f>
        <v/>
      </c>
      <c r="P100" s="5">
        <f>IF(AND('Data Source'!B100&lt;&gt;"",'Data Source'!S100="F"),'Data Source'!R100,"")</f>
        <v/>
      </c>
      <c r="Q100" s="3">
        <f>IF(AND('Data Source'!B100&lt;&gt;"",'Data Source'!S100="F"),'Data Source'!S100,"")</f>
        <v/>
      </c>
    </row>
    <row r="101">
      <c r="A101" s="3">
        <f>IF(AND('Data Source'!B101&lt;&gt;"",'Data Source'!S101="F"),COUNTIF('Data Source'!$S$3:S101,"F"),"")</f>
        <v/>
      </c>
      <c r="B101">
        <f>IF(AND('Data Source'!B101&lt;&gt;"",'Data Source'!S101="F"),'Data Source'!B101,"")</f>
        <v/>
      </c>
      <c r="C101" s="3">
        <f>IF(AND('Data Source'!B101&lt;&gt;"",'Data Source'!S101="F"),IF('Data Source'!U101&gt;=5,"A+",IF('Data Source'!U101&gt;=4,"A",IF('Data Source'!U101&gt;=3.5,"A-",IF('Data Source'!U101&gt;=3,"B",IF('Data Source'!U101&gt;=2,"C",IF('Data Source'!U101&gt;=1,"D","F")))))),"")</f>
        <v/>
      </c>
      <c r="D101" s="3">
        <f>IF(AND('Data Source'!B101&lt;&gt;"",'Data Source'!S101="F"),IF('Data Source'!V101&gt;=5,"A+",IF('Data Source'!V101&gt;=4,"A",IF('Data Source'!V101&gt;=3.5,"A-",IF('Data Source'!V101&gt;=3,"B",IF('Data Source'!V101&gt;=2,"C",IF('Data Source'!V101&gt;=1,"D","F")))))),"")</f>
        <v/>
      </c>
      <c r="E101" s="3">
        <f>IF(AND('Data Source'!B101&lt;&gt;"",'Data Source'!S101="F"),IF('Data Source'!W101&gt;=5,"A+",IF('Data Source'!W101&gt;=4,"A",IF('Data Source'!W101&gt;=3.5,"A-",IF('Data Source'!W101&gt;=3,"B",IF('Data Source'!W101&gt;=2,"C",IF('Data Source'!W101&gt;=1,"D","F")))))),"")</f>
        <v/>
      </c>
      <c r="F101" s="3">
        <f>IF(AND('Data Source'!B101&lt;&gt;"",'Data Source'!S101="F"),IF('Data Source'!X101&gt;=5,"A+",IF('Data Source'!X101&gt;=4,"A",IF('Data Source'!X101&gt;=3.5,"A-",IF('Data Source'!X101&gt;=3,"B",IF('Data Source'!X101&gt;=2,"C",IF('Data Source'!X101&gt;=1,"D","F")))))),"")</f>
        <v/>
      </c>
      <c r="G101" s="3">
        <f>IF(AND('Data Source'!B101&lt;&gt;"",'Data Source'!S101="F"),IF('Data Source'!Y101&gt;=5,"A+",IF('Data Source'!Y101&gt;=4,"A",IF('Data Source'!Y101&gt;=3.5,"A-",IF('Data Source'!Y101&gt;=3,"B",IF('Data Source'!Y101&gt;=2,"C",IF('Data Source'!Y101&gt;=1,"D","F")))))),"")</f>
        <v/>
      </c>
      <c r="H101" s="3">
        <f>IF(AND('Data Source'!B101&lt;&gt;"",'Data Source'!S101="F"),IF('Data Source'!Z101&gt;=5,"A+",IF('Data Source'!Z101&gt;=4,"A",IF('Data Source'!Z101&gt;=3.5,"A-",IF('Data Source'!Z101&gt;=3,"B",IF('Data Source'!Z101&gt;=2,"C",IF('Data Source'!Z101&gt;=1,"D","F")))))),"")</f>
        <v/>
      </c>
      <c r="I101" s="3">
        <f>IF(AND('Data Source'!B101&lt;&gt;"",'Data Source'!S101="F"),IF('Data Source'!AA101&gt;=5,"A+",IF('Data Source'!AA101&gt;=4,"A",IF('Data Source'!AA101&gt;=3.5,"A-",IF('Data Source'!AA101&gt;=3,"B",IF('Data Source'!AA101&gt;=2,"C",IF('Data Source'!AA101&gt;=1,"D","F")))))),"")</f>
        <v/>
      </c>
      <c r="J101" s="3">
        <f>IF(AND('Data Source'!B101&lt;&gt;"",'Data Source'!S101="F"),IF('Data Source'!AB101&gt;=5,"A+",IF('Data Source'!AB101&gt;=4,"A",IF('Data Source'!AB101&gt;=3.5,"A-",IF('Data Source'!AB101&gt;=3,"B",IF('Data Source'!AB101&gt;=2,"C",IF('Data Source'!AB101&gt;=1,"D","F")))))),"")</f>
        <v/>
      </c>
      <c r="K101" s="3">
        <f>IF(AND('Data Source'!B101&lt;&gt;"",'Data Source'!S101="F"),IF('Data Source'!AC101&gt;=5,"A+",IF('Data Source'!AC101&gt;=4,"A",IF('Data Source'!AC101&gt;=3.5,"A-",IF('Data Source'!AC101&gt;=3,"B",IF('Data Source'!AC101&gt;=2,"C",IF('Data Source'!AC101&gt;=1,"D","F")))))),"")</f>
        <v/>
      </c>
      <c r="L101" s="3">
        <f>IF(AND('Data Source'!B101&lt;&gt;"",'Data Source'!S101="F"),IF('Data Source'!AD101&gt;=5,"A+",IF('Data Source'!AD101&gt;=4,"A",IF('Data Source'!AD101&gt;=3.5,"A-",IF('Data Source'!AD101&gt;=3,"B",IF('Data Source'!AD101&gt;=2,"C",IF('Data Source'!AD101&gt;=1,"D","F")))))),"")</f>
        <v/>
      </c>
      <c r="M101" s="3">
        <f>IF(AND('Data Source'!B101&lt;&gt;"",'Data Source'!S101="F"),IF('Data Source'!AE101&gt;=5,"A+",IF('Data Source'!AE101&gt;=4,"A",IF('Data Source'!AE101&gt;=3.5,"A-",IF('Data Source'!AE101&gt;=3,"B",IF('Data Source'!AE101&gt;=2,"C",IF('Data Source'!AE101&gt;=1,"D","F")))))),"")</f>
        <v/>
      </c>
      <c r="N101" s="3">
        <f>IF(AND('Data Source'!B101&lt;&gt;"",'Data Source'!S101="F"),IF('Data Source'!AF101&gt;=5,"A+",IF('Data Source'!AF101&gt;=4,"A",IF('Data Source'!AF101&gt;=3.5,"A-",IF('Data Source'!AF101&gt;=3,"B",IF('Data Source'!AF101&gt;=2,"C",IF('Data Source'!AF101&gt;=1,"D","F")))))),"")</f>
        <v/>
      </c>
      <c r="O101" s="3">
        <f>IF(AND('Data Source'!B101&lt;&gt;"",'Data Source'!S101="F"),IF('Data Source'!AG101&gt;=5,"A+",IF('Data Source'!AG101&gt;=4,"A",IF('Data Source'!AG101&gt;=3.5,"A-",IF('Data Source'!AG101&gt;=3,"B",IF('Data Source'!AG101&gt;=2,"C",IF('Data Source'!AG101&gt;=1,"D","F")))))),"")</f>
        <v/>
      </c>
      <c r="P101" s="5">
        <f>IF(AND('Data Source'!B101&lt;&gt;"",'Data Source'!S101="F"),'Data Source'!R101,"")</f>
        <v/>
      </c>
      <c r="Q101" s="3">
        <f>IF(AND('Data Source'!B101&lt;&gt;"",'Data Source'!S101="F"),'Data Source'!S101,"")</f>
        <v/>
      </c>
    </row>
    <row r="102">
      <c r="A102" s="3">
        <f>IF(AND('Data Source'!B102&lt;&gt;"",'Data Source'!S102="F"),COUNTIF('Data Source'!$S$3:S102,"F"),"")</f>
        <v/>
      </c>
      <c r="B102">
        <f>IF(AND('Data Source'!B102&lt;&gt;"",'Data Source'!S102="F"),'Data Source'!B102,"")</f>
        <v/>
      </c>
      <c r="C102" s="3">
        <f>IF(AND('Data Source'!B102&lt;&gt;"",'Data Source'!S102="F"),IF('Data Source'!U102&gt;=5,"A+",IF('Data Source'!U102&gt;=4,"A",IF('Data Source'!U102&gt;=3.5,"A-",IF('Data Source'!U102&gt;=3,"B",IF('Data Source'!U102&gt;=2,"C",IF('Data Source'!U102&gt;=1,"D","F")))))),"")</f>
        <v/>
      </c>
      <c r="D102" s="3">
        <f>IF(AND('Data Source'!B102&lt;&gt;"",'Data Source'!S102="F"),IF('Data Source'!V102&gt;=5,"A+",IF('Data Source'!V102&gt;=4,"A",IF('Data Source'!V102&gt;=3.5,"A-",IF('Data Source'!V102&gt;=3,"B",IF('Data Source'!V102&gt;=2,"C",IF('Data Source'!V102&gt;=1,"D","F")))))),"")</f>
        <v/>
      </c>
      <c r="E102" s="3">
        <f>IF(AND('Data Source'!B102&lt;&gt;"",'Data Source'!S102="F"),IF('Data Source'!W102&gt;=5,"A+",IF('Data Source'!W102&gt;=4,"A",IF('Data Source'!W102&gt;=3.5,"A-",IF('Data Source'!W102&gt;=3,"B",IF('Data Source'!W102&gt;=2,"C",IF('Data Source'!W102&gt;=1,"D","F")))))),"")</f>
        <v/>
      </c>
      <c r="F102" s="3">
        <f>IF(AND('Data Source'!B102&lt;&gt;"",'Data Source'!S102="F"),IF('Data Source'!X102&gt;=5,"A+",IF('Data Source'!X102&gt;=4,"A",IF('Data Source'!X102&gt;=3.5,"A-",IF('Data Source'!X102&gt;=3,"B",IF('Data Source'!X102&gt;=2,"C",IF('Data Source'!X102&gt;=1,"D","F")))))),"")</f>
        <v/>
      </c>
      <c r="G102" s="3">
        <f>IF(AND('Data Source'!B102&lt;&gt;"",'Data Source'!S102="F"),IF('Data Source'!Y102&gt;=5,"A+",IF('Data Source'!Y102&gt;=4,"A",IF('Data Source'!Y102&gt;=3.5,"A-",IF('Data Source'!Y102&gt;=3,"B",IF('Data Source'!Y102&gt;=2,"C",IF('Data Source'!Y102&gt;=1,"D","F")))))),"")</f>
        <v/>
      </c>
      <c r="H102" s="3">
        <f>IF(AND('Data Source'!B102&lt;&gt;"",'Data Source'!S102="F"),IF('Data Source'!Z102&gt;=5,"A+",IF('Data Source'!Z102&gt;=4,"A",IF('Data Source'!Z102&gt;=3.5,"A-",IF('Data Source'!Z102&gt;=3,"B",IF('Data Source'!Z102&gt;=2,"C",IF('Data Source'!Z102&gt;=1,"D","F")))))),"")</f>
        <v/>
      </c>
      <c r="I102" s="3">
        <f>IF(AND('Data Source'!B102&lt;&gt;"",'Data Source'!S102="F"),IF('Data Source'!AA102&gt;=5,"A+",IF('Data Source'!AA102&gt;=4,"A",IF('Data Source'!AA102&gt;=3.5,"A-",IF('Data Source'!AA102&gt;=3,"B",IF('Data Source'!AA102&gt;=2,"C",IF('Data Source'!AA102&gt;=1,"D","F")))))),"")</f>
        <v/>
      </c>
      <c r="J102" s="3">
        <f>IF(AND('Data Source'!B102&lt;&gt;"",'Data Source'!S102="F"),IF('Data Source'!AB102&gt;=5,"A+",IF('Data Source'!AB102&gt;=4,"A",IF('Data Source'!AB102&gt;=3.5,"A-",IF('Data Source'!AB102&gt;=3,"B",IF('Data Source'!AB102&gt;=2,"C",IF('Data Source'!AB102&gt;=1,"D","F")))))),"")</f>
        <v/>
      </c>
      <c r="K102" s="3">
        <f>IF(AND('Data Source'!B102&lt;&gt;"",'Data Source'!S102="F"),IF('Data Source'!AC102&gt;=5,"A+",IF('Data Source'!AC102&gt;=4,"A",IF('Data Source'!AC102&gt;=3.5,"A-",IF('Data Source'!AC102&gt;=3,"B",IF('Data Source'!AC102&gt;=2,"C",IF('Data Source'!AC102&gt;=1,"D","F")))))),"")</f>
        <v/>
      </c>
      <c r="L102" s="3">
        <f>IF(AND('Data Source'!B102&lt;&gt;"",'Data Source'!S102="F"),IF('Data Source'!AD102&gt;=5,"A+",IF('Data Source'!AD102&gt;=4,"A",IF('Data Source'!AD102&gt;=3.5,"A-",IF('Data Source'!AD102&gt;=3,"B",IF('Data Source'!AD102&gt;=2,"C",IF('Data Source'!AD102&gt;=1,"D","F")))))),"")</f>
        <v/>
      </c>
      <c r="M102" s="3">
        <f>IF(AND('Data Source'!B102&lt;&gt;"",'Data Source'!S102="F"),IF('Data Source'!AE102&gt;=5,"A+",IF('Data Source'!AE102&gt;=4,"A",IF('Data Source'!AE102&gt;=3.5,"A-",IF('Data Source'!AE102&gt;=3,"B",IF('Data Source'!AE102&gt;=2,"C",IF('Data Source'!AE102&gt;=1,"D","F")))))),"")</f>
        <v/>
      </c>
      <c r="N102" s="3">
        <f>IF(AND('Data Source'!B102&lt;&gt;"",'Data Source'!S102="F"),IF('Data Source'!AF102&gt;=5,"A+",IF('Data Source'!AF102&gt;=4,"A",IF('Data Source'!AF102&gt;=3.5,"A-",IF('Data Source'!AF102&gt;=3,"B",IF('Data Source'!AF102&gt;=2,"C",IF('Data Source'!AF102&gt;=1,"D","F")))))),"")</f>
        <v/>
      </c>
      <c r="O102" s="3">
        <f>IF(AND('Data Source'!B102&lt;&gt;"",'Data Source'!S102="F"),IF('Data Source'!AG102&gt;=5,"A+",IF('Data Source'!AG102&gt;=4,"A",IF('Data Source'!AG102&gt;=3.5,"A-",IF('Data Source'!AG102&gt;=3,"B",IF('Data Source'!AG102&gt;=2,"C",IF('Data Source'!AG102&gt;=1,"D","F")))))),"")</f>
        <v/>
      </c>
      <c r="P102" s="5">
        <f>IF(AND('Data Source'!B102&lt;&gt;"",'Data Source'!S102="F"),'Data Source'!R102,"")</f>
        <v/>
      </c>
      <c r="Q102" s="3">
        <f>IF(AND('Data Source'!B102&lt;&gt;"",'Data Source'!S102="F"),'Data Source'!S102,"")</f>
        <v/>
      </c>
    </row>
    <row r="103">
      <c r="A103" s="3">
        <f>IF(AND('Data Source'!B103&lt;&gt;"",'Data Source'!S103="F"),COUNTIF('Data Source'!$S$3:S103,"F"),"")</f>
        <v/>
      </c>
      <c r="B103">
        <f>IF(AND('Data Source'!B103&lt;&gt;"",'Data Source'!S103="F"),'Data Source'!B103,"")</f>
        <v/>
      </c>
      <c r="C103" s="3">
        <f>IF(AND('Data Source'!B103&lt;&gt;"",'Data Source'!S103="F"),IF('Data Source'!U103&gt;=5,"A+",IF('Data Source'!U103&gt;=4,"A",IF('Data Source'!U103&gt;=3.5,"A-",IF('Data Source'!U103&gt;=3,"B",IF('Data Source'!U103&gt;=2,"C",IF('Data Source'!U103&gt;=1,"D","F")))))),"")</f>
        <v/>
      </c>
      <c r="D103" s="3">
        <f>IF(AND('Data Source'!B103&lt;&gt;"",'Data Source'!S103="F"),IF('Data Source'!V103&gt;=5,"A+",IF('Data Source'!V103&gt;=4,"A",IF('Data Source'!V103&gt;=3.5,"A-",IF('Data Source'!V103&gt;=3,"B",IF('Data Source'!V103&gt;=2,"C",IF('Data Source'!V103&gt;=1,"D","F")))))),"")</f>
        <v/>
      </c>
      <c r="E103" s="3">
        <f>IF(AND('Data Source'!B103&lt;&gt;"",'Data Source'!S103="F"),IF('Data Source'!W103&gt;=5,"A+",IF('Data Source'!W103&gt;=4,"A",IF('Data Source'!W103&gt;=3.5,"A-",IF('Data Source'!W103&gt;=3,"B",IF('Data Source'!W103&gt;=2,"C",IF('Data Source'!W103&gt;=1,"D","F")))))),"")</f>
        <v/>
      </c>
      <c r="F103" s="3">
        <f>IF(AND('Data Source'!B103&lt;&gt;"",'Data Source'!S103="F"),IF('Data Source'!X103&gt;=5,"A+",IF('Data Source'!X103&gt;=4,"A",IF('Data Source'!X103&gt;=3.5,"A-",IF('Data Source'!X103&gt;=3,"B",IF('Data Source'!X103&gt;=2,"C",IF('Data Source'!X103&gt;=1,"D","F")))))),"")</f>
        <v/>
      </c>
      <c r="G103" s="3">
        <f>IF(AND('Data Source'!B103&lt;&gt;"",'Data Source'!S103="F"),IF('Data Source'!Y103&gt;=5,"A+",IF('Data Source'!Y103&gt;=4,"A",IF('Data Source'!Y103&gt;=3.5,"A-",IF('Data Source'!Y103&gt;=3,"B",IF('Data Source'!Y103&gt;=2,"C",IF('Data Source'!Y103&gt;=1,"D","F")))))),"")</f>
        <v/>
      </c>
      <c r="H103" s="3">
        <f>IF(AND('Data Source'!B103&lt;&gt;"",'Data Source'!S103="F"),IF('Data Source'!Z103&gt;=5,"A+",IF('Data Source'!Z103&gt;=4,"A",IF('Data Source'!Z103&gt;=3.5,"A-",IF('Data Source'!Z103&gt;=3,"B",IF('Data Source'!Z103&gt;=2,"C",IF('Data Source'!Z103&gt;=1,"D","F")))))),"")</f>
        <v/>
      </c>
      <c r="I103" s="3">
        <f>IF(AND('Data Source'!B103&lt;&gt;"",'Data Source'!S103="F"),IF('Data Source'!AA103&gt;=5,"A+",IF('Data Source'!AA103&gt;=4,"A",IF('Data Source'!AA103&gt;=3.5,"A-",IF('Data Source'!AA103&gt;=3,"B",IF('Data Source'!AA103&gt;=2,"C",IF('Data Source'!AA103&gt;=1,"D","F")))))),"")</f>
        <v/>
      </c>
      <c r="J103" s="3">
        <f>IF(AND('Data Source'!B103&lt;&gt;"",'Data Source'!S103="F"),IF('Data Source'!AB103&gt;=5,"A+",IF('Data Source'!AB103&gt;=4,"A",IF('Data Source'!AB103&gt;=3.5,"A-",IF('Data Source'!AB103&gt;=3,"B",IF('Data Source'!AB103&gt;=2,"C",IF('Data Source'!AB103&gt;=1,"D","F")))))),"")</f>
        <v/>
      </c>
      <c r="K103" s="3">
        <f>IF(AND('Data Source'!B103&lt;&gt;"",'Data Source'!S103="F"),IF('Data Source'!AC103&gt;=5,"A+",IF('Data Source'!AC103&gt;=4,"A",IF('Data Source'!AC103&gt;=3.5,"A-",IF('Data Source'!AC103&gt;=3,"B",IF('Data Source'!AC103&gt;=2,"C",IF('Data Source'!AC103&gt;=1,"D","F")))))),"")</f>
        <v/>
      </c>
      <c r="L103" s="3">
        <f>IF(AND('Data Source'!B103&lt;&gt;"",'Data Source'!S103="F"),IF('Data Source'!AD103&gt;=5,"A+",IF('Data Source'!AD103&gt;=4,"A",IF('Data Source'!AD103&gt;=3.5,"A-",IF('Data Source'!AD103&gt;=3,"B",IF('Data Source'!AD103&gt;=2,"C",IF('Data Source'!AD103&gt;=1,"D","F")))))),"")</f>
        <v/>
      </c>
      <c r="M103" s="3">
        <f>IF(AND('Data Source'!B103&lt;&gt;"",'Data Source'!S103="F"),IF('Data Source'!AE103&gt;=5,"A+",IF('Data Source'!AE103&gt;=4,"A",IF('Data Source'!AE103&gt;=3.5,"A-",IF('Data Source'!AE103&gt;=3,"B",IF('Data Source'!AE103&gt;=2,"C",IF('Data Source'!AE103&gt;=1,"D","F")))))),"")</f>
        <v/>
      </c>
      <c r="N103" s="3">
        <f>IF(AND('Data Source'!B103&lt;&gt;"",'Data Source'!S103="F"),IF('Data Source'!AF103&gt;=5,"A+",IF('Data Source'!AF103&gt;=4,"A",IF('Data Source'!AF103&gt;=3.5,"A-",IF('Data Source'!AF103&gt;=3,"B",IF('Data Source'!AF103&gt;=2,"C",IF('Data Source'!AF103&gt;=1,"D","F")))))),"")</f>
        <v/>
      </c>
      <c r="O103" s="3">
        <f>IF(AND('Data Source'!B103&lt;&gt;"",'Data Source'!S103="F"),IF('Data Source'!AG103&gt;=5,"A+",IF('Data Source'!AG103&gt;=4,"A",IF('Data Source'!AG103&gt;=3.5,"A-",IF('Data Source'!AG103&gt;=3,"B",IF('Data Source'!AG103&gt;=2,"C",IF('Data Source'!AG103&gt;=1,"D","F")))))),"")</f>
        <v/>
      </c>
      <c r="P103" s="5">
        <f>IF(AND('Data Source'!B103&lt;&gt;"",'Data Source'!S103="F"),'Data Source'!R103,"")</f>
        <v/>
      </c>
      <c r="Q103" s="3">
        <f>IF(AND('Data Source'!B103&lt;&gt;"",'Data Source'!S103="F"),'Data Source'!S103,"")</f>
        <v/>
      </c>
    </row>
    <row r="104">
      <c r="A104" s="3">
        <f>IF(AND('Data Source'!B104&lt;&gt;"",'Data Source'!S104="F"),COUNTIF('Data Source'!$S$3:S104,"F"),"")</f>
        <v/>
      </c>
      <c r="B104">
        <f>IF(AND('Data Source'!B104&lt;&gt;"",'Data Source'!S104="F"),'Data Source'!B104,"")</f>
        <v/>
      </c>
      <c r="C104" s="3">
        <f>IF(AND('Data Source'!B104&lt;&gt;"",'Data Source'!S104="F"),IF('Data Source'!U104&gt;=5,"A+",IF('Data Source'!U104&gt;=4,"A",IF('Data Source'!U104&gt;=3.5,"A-",IF('Data Source'!U104&gt;=3,"B",IF('Data Source'!U104&gt;=2,"C",IF('Data Source'!U104&gt;=1,"D","F")))))),"")</f>
        <v/>
      </c>
      <c r="D104" s="3">
        <f>IF(AND('Data Source'!B104&lt;&gt;"",'Data Source'!S104="F"),IF('Data Source'!V104&gt;=5,"A+",IF('Data Source'!V104&gt;=4,"A",IF('Data Source'!V104&gt;=3.5,"A-",IF('Data Source'!V104&gt;=3,"B",IF('Data Source'!V104&gt;=2,"C",IF('Data Source'!V104&gt;=1,"D","F")))))),"")</f>
        <v/>
      </c>
      <c r="E104" s="3">
        <f>IF(AND('Data Source'!B104&lt;&gt;"",'Data Source'!S104="F"),IF('Data Source'!W104&gt;=5,"A+",IF('Data Source'!W104&gt;=4,"A",IF('Data Source'!W104&gt;=3.5,"A-",IF('Data Source'!W104&gt;=3,"B",IF('Data Source'!W104&gt;=2,"C",IF('Data Source'!W104&gt;=1,"D","F")))))),"")</f>
        <v/>
      </c>
      <c r="F104" s="3">
        <f>IF(AND('Data Source'!B104&lt;&gt;"",'Data Source'!S104="F"),IF('Data Source'!X104&gt;=5,"A+",IF('Data Source'!X104&gt;=4,"A",IF('Data Source'!X104&gt;=3.5,"A-",IF('Data Source'!X104&gt;=3,"B",IF('Data Source'!X104&gt;=2,"C",IF('Data Source'!X104&gt;=1,"D","F")))))),"")</f>
        <v/>
      </c>
      <c r="G104" s="3">
        <f>IF(AND('Data Source'!B104&lt;&gt;"",'Data Source'!S104="F"),IF('Data Source'!Y104&gt;=5,"A+",IF('Data Source'!Y104&gt;=4,"A",IF('Data Source'!Y104&gt;=3.5,"A-",IF('Data Source'!Y104&gt;=3,"B",IF('Data Source'!Y104&gt;=2,"C",IF('Data Source'!Y104&gt;=1,"D","F")))))),"")</f>
        <v/>
      </c>
      <c r="H104" s="3">
        <f>IF(AND('Data Source'!B104&lt;&gt;"",'Data Source'!S104="F"),IF('Data Source'!Z104&gt;=5,"A+",IF('Data Source'!Z104&gt;=4,"A",IF('Data Source'!Z104&gt;=3.5,"A-",IF('Data Source'!Z104&gt;=3,"B",IF('Data Source'!Z104&gt;=2,"C",IF('Data Source'!Z104&gt;=1,"D","F")))))),"")</f>
        <v/>
      </c>
      <c r="I104" s="3">
        <f>IF(AND('Data Source'!B104&lt;&gt;"",'Data Source'!S104="F"),IF('Data Source'!AA104&gt;=5,"A+",IF('Data Source'!AA104&gt;=4,"A",IF('Data Source'!AA104&gt;=3.5,"A-",IF('Data Source'!AA104&gt;=3,"B",IF('Data Source'!AA104&gt;=2,"C",IF('Data Source'!AA104&gt;=1,"D","F")))))),"")</f>
        <v/>
      </c>
      <c r="J104" s="3">
        <f>IF(AND('Data Source'!B104&lt;&gt;"",'Data Source'!S104="F"),IF('Data Source'!AB104&gt;=5,"A+",IF('Data Source'!AB104&gt;=4,"A",IF('Data Source'!AB104&gt;=3.5,"A-",IF('Data Source'!AB104&gt;=3,"B",IF('Data Source'!AB104&gt;=2,"C",IF('Data Source'!AB104&gt;=1,"D","F")))))),"")</f>
        <v/>
      </c>
      <c r="K104" s="3">
        <f>IF(AND('Data Source'!B104&lt;&gt;"",'Data Source'!S104="F"),IF('Data Source'!AC104&gt;=5,"A+",IF('Data Source'!AC104&gt;=4,"A",IF('Data Source'!AC104&gt;=3.5,"A-",IF('Data Source'!AC104&gt;=3,"B",IF('Data Source'!AC104&gt;=2,"C",IF('Data Source'!AC104&gt;=1,"D","F")))))),"")</f>
        <v/>
      </c>
      <c r="L104" s="3">
        <f>IF(AND('Data Source'!B104&lt;&gt;"",'Data Source'!S104="F"),IF('Data Source'!AD104&gt;=5,"A+",IF('Data Source'!AD104&gt;=4,"A",IF('Data Source'!AD104&gt;=3.5,"A-",IF('Data Source'!AD104&gt;=3,"B",IF('Data Source'!AD104&gt;=2,"C",IF('Data Source'!AD104&gt;=1,"D","F")))))),"")</f>
        <v/>
      </c>
      <c r="M104" s="3">
        <f>IF(AND('Data Source'!B104&lt;&gt;"",'Data Source'!S104="F"),IF('Data Source'!AE104&gt;=5,"A+",IF('Data Source'!AE104&gt;=4,"A",IF('Data Source'!AE104&gt;=3.5,"A-",IF('Data Source'!AE104&gt;=3,"B",IF('Data Source'!AE104&gt;=2,"C",IF('Data Source'!AE104&gt;=1,"D","F")))))),"")</f>
        <v/>
      </c>
      <c r="N104" s="3">
        <f>IF(AND('Data Source'!B104&lt;&gt;"",'Data Source'!S104="F"),IF('Data Source'!AF104&gt;=5,"A+",IF('Data Source'!AF104&gt;=4,"A",IF('Data Source'!AF104&gt;=3.5,"A-",IF('Data Source'!AF104&gt;=3,"B",IF('Data Source'!AF104&gt;=2,"C",IF('Data Source'!AF104&gt;=1,"D","F")))))),"")</f>
        <v/>
      </c>
      <c r="O104" s="3">
        <f>IF(AND('Data Source'!B104&lt;&gt;"",'Data Source'!S104="F"),IF('Data Source'!AG104&gt;=5,"A+",IF('Data Source'!AG104&gt;=4,"A",IF('Data Source'!AG104&gt;=3.5,"A-",IF('Data Source'!AG104&gt;=3,"B",IF('Data Source'!AG104&gt;=2,"C",IF('Data Source'!AG104&gt;=1,"D","F")))))),"")</f>
        <v/>
      </c>
      <c r="P104" s="5">
        <f>IF(AND('Data Source'!B104&lt;&gt;"",'Data Source'!S104="F"),'Data Source'!R104,"")</f>
        <v/>
      </c>
      <c r="Q104" s="3">
        <f>IF(AND('Data Source'!B104&lt;&gt;"",'Data Source'!S104="F"),'Data Source'!S104,"")</f>
        <v/>
      </c>
    </row>
    <row r="105">
      <c r="A105" s="3">
        <f>IF(AND('Data Source'!B105&lt;&gt;"",'Data Source'!S105="F"),COUNTIF('Data Source'!$S$3:S105,"F"),"")</f>
        <v/>
      </c>
      <c r="B105">
        <f>IF(AND('Data Source'!B105&lt;&gt;"",'Data Source'!S105="F"),'Data Source'!B105,"")</f>
        <v/>
      </c>
      <c r="C105" s="3">
        <f>IF(AND('Data Source'!B105&lt;&gt;"",'Data Source'!S105="F"),IF('Data Source'!U105&gt;=5,"A+",IF('Data Source'!U105&gt;=4,"A",IF('Data Source'!U105&gt;=3.5,"A-",IF('Data Source'!U105&gt;=3,"B",IF('Data Source'!U105&gt;=2,"C",IF('Data Source'!U105&gt;=1,"D","F")))))),"")</f>
        <v/>
      </c>
      <c r="D105" s="3">
        <f>IF(AND('Data Source'!B105&lt;&gt;"",'Data Source'!S105="F"),IF('Data Source'!V105&gt;=5,"A+",IF('Data Source'!V105&gt;=4,"A",IF('Data Source'!V105&gt;=3.5,"A-",IF('Data Source'!V105&gt;=3,"B",IF('Data Source'!V105&gt;=2,"C",IF('Data Source'!V105&gt;=1,"D","F")))))),"")</f>
        <v/>
      </c>
      <c r="E105" s="3">
        <f>IF(AND('Data Source'!B105&lt;&gt;"",'Data Source'!S105="F"),IF('Data Source'!W105&gt;=5,"A+",IF('Data Source'!W105&gt;=4,"A",IF('Data Source'!W105&gt;=3.5,"A-",IF('Data Source'!W105&gt;=3,"B",IF('Data Source'!W105&gt;=2,"C",IF('Data Source'!W105&gt;=1,"D","F")))))),"")</f>
        <v/>
      </c>
      <c r="F105" s="3">
        <f>IF(AND('Data Source'!B105&lt;&gt;"",'Data Source'!S105="F"),IF('Data Source'!X105&gt;=5,"A+",IF('Data Source'!X105&gt;=4,"A",IF('Data Source'!X105&gt;=3.5,"A-",IF('Data Source'!X105&gt;=3,"B",IF('Data Source'!X105&gt;=2,"C",IF('Data Source'!X105&gt;=1,"D","F")))))),"")</f>
        <v/>
      </c>
      <c r="G105" s="3">
        <f>IF(AND('Data Source'!B105&lt;&gt;"",'Data Source'!S105="F"),IF('Data Source'!Y105&gt;=5,"A+",IF('Data Source'!Y105&gt;=4,"A",IF('Data Source'!Y105&gt;=3.5,"A-",IF('Data Source'!Y105&gt;=3,"B",IF('Data Source'!Y105&gt;=2,"C",IF('Data Source'!Y105&gt;=1,"D","F")))))),"")</f>
        <v/>
      </c>
      <c r="H105" s="3">
        <f>IF(AND('Data Source'!B105&lt;&gt;"",'Data Source'!S105="F"),IF('Data Source'!Z105&gt;=5,"A+",IF('Data Source'!Z105&gt;=4,"A",IF('Data Source'!Z105&gt;=3.5,"A-",IF('Data Source'!Z105&gt;=3,"B",IF('Data Source'!Z105&gt;=2,"C",IF('Data Source'!Z105&gt;=1,"D","F")))))),"")</f>
        <v/>
      </c>
      <c r="I105" s="3">
        <f>IF(AND('Data Source'!B105&lt;&gt;"",'Data Source'!S105="F"),IF('Data Source'!AA105&gt;=5,"A+",IF('Data Source'!AA105&gt;=4,"A",IF('Data Source'!AA105&gt;=3.5,"A-",IF('Data Source'!AA105&gt;=3,"B",IF('Data Source'!AA105&gt;=2,"C",IF('Data Source'!AA105&gt;=1,"D","F")))))),"")</f>
        <v/>
      </c>
      <c r="J105" s="3">
        <f>IF(AND('Data Source'!B105&lt;&gt;"",'Data Source'!S105="F"),IF('Data Source'!AB105&gt;=5,"A+",IF('Data Source'!AB105&gt;=4,"A",IF('Data Source'!AB105&gt;=3.5,"A-",IF('Data Source'!AB105&gt;=3,"B",IF('Data Source'!AB105&gt;=2,"C",IF('Data Source'!AB105&gt;=1,"D","F")))))),"")</f>
        <v/>
      </c>
      <c r="K105" s="3">
        <f>IF(AND('Data Source'!B105&lt;&gt;"",'Data Source'!S105="F"),IF('Data Source'!AC105&gt;=5,"A+",IF('Data Source'!AC105&gt;=4,"A",IF('Data Source'!AC105&gt;=3.5,"A-",IF('Data Source'!AC105&gt;=3,"B",IF('Data Source'!AC105&gt;=2,"C",IF('Data Source'!AC105&gt;=1,"D","F")))))),"")</f>
        <v/>
      </c>
      <c r="L105" s="3">
        <f>IF(AND('Data Source'!B105&lt;&gt;"",'Data Source'!S105="F"),IF('Data Source'!AD105&gt;=5,"A+",IF('Data Source'!AD105&gt;=4,"A",IF('Data Source'!AD105&gt;=3.5,"A-",IF('Data Source'!AD105&gt;=3,"B",IF('Data Source'!AD105&gt;=2,"C",IF('Data Source'!AD105&gt;=1,"D","F")))))),"")</f>
        <v/>
      </c>
      <c r="M105" s="3">
        <f>IF(AND('Data Source'!B105&lt;&gt;"",'Data Source'!S105="F"),IF('Data Source'!AE105&gt;=5,"A+",IF('Data Source'!AE105&gt;=4,"A",IF('Data Source'!AE105&gt;=3.5,"A-",IF('Data Source'!AE105&gt;=3,"B",IF('Data Source'!AE105&gt;=2,"C",IF('Data Source'!AE105&gt;=1,"D","F")))))),"")</f>
        <v/>
      </c>
      <c r="N105" s="3">
        <f>IF(AND('Data Source'!B105&lt;&gt;"",'Data Source'!S105="F"),IF('Data Source'!AF105&gt;=5,"A+",IF('Data Source'!AF105&gt;=4,"A",IF('Data Source'!AF105&gt;=3.5,"A-",IF('Data Source'!AF105&gt;=3,"B",IF('Data Source'!AF105&gt;=2,"C",IF('Data Source'!AF105&gt;=1,"D","F")))))),"")</f>
        <v/>
      </c>
      <c r="O105" s="3">
        <f>IF(AND('Data Source'!B105&lt;&gt;"",'Data Source'!S105="F"),IF('Data Source'!AG105&gt;=5,"A+",IF('Data Source'!AG105&gt;=4,"A",IF('Data Source'!AG105&gt;=3.5,"A-",IF('Data Source'!AG105&gt;=3,"B",IF('Data Source'!AG105&gt;=2,"C",IF('Data Source'!AG105&gt;=1,"D","F")))))),"")</f>
        <v/>
      </c>
      <c r="P105" s="5">
        <f>IF(AND('Data Source'!B105&lt;&gt;"",'Data Source'!S105="F"),'Data Source'!R105,"")</f>
        <v/>
      </c>
      <c r="Q105" s="3">
        <f>IF(AND('Data Source'!B105&lt;&gt;"",'Data Source'!S105="F"),'Data Source'!S105,"")</f>
        <v/>
      </c>
    </row>
    <row r="106">
      <c r="A106" s="3">
        <f>IF(AND('Data Source'!B106&lt;&gt;"",'Data Source'!S106="F"),COUNTIF('Data Source'!$S$3:S106,"F"),"")</f>
        <v/>
      </c>
      <c r="B106">
        <f>IF(AND('Data Source'!B106&lt;&gt;"",'Data Source'!S106="F"),'Data Source'!B106,"")</f>
        <v/>
      </c>
      <c r="C106" s="3">
        <f>IF(AND('Data Source'!B106&lt;&gt;"",'Data Source'!S106="F"),IF('Data Source'!U106&gt;=5,"A+",IF('Data Source'!U106&gt;=4,"A",IF('Data Source'!U106&gt;=3.5,"A-",IF('Data Source'!U106&gt;=3,"B",IF('Data Source'!U106&gt;=2,"C",IF('Data Source'!U106&gt;=1,"D","F")))))),"")</f>
        <v/>
      </c>
      <c r="D106" s="3">
        <f>IF(AND('Data Source'!B106&lt;&gt;"",'Data Source'!S106="F"),IF('Data Source'!V106&gt;=5,"A+",IF('Data Source'!V106&gt;=4,"A",IF('Data Source'!V106&gt;=3.5,"A-",IF('Data Source'!V106&gt;=3,"B",IF('Data Source'!V106&gt;=2,"C",IF('Data Source'!V106&gt;=1,"D","F")))))),"")</f>
        <v/>
      </c>
      <c r="E106" s="3">
        <f>IF(AND('Data Source'!B106&lt;&gt;"",'Data Source'!S106="F"),IF('Data Source'!W106&gt;=5,"A+",IF('Data Source'!W106&gt;=4,"A",IF('Data Source'!W106&gt;=3.5,"A-",IF('Data Source'!W106&gt;=3,"B",IF('Data Source'!W106&gt;=2,"C",IF('Data Source'!W106&gt;=1,"D","F")))))),"")</f>
        <v/>
      </c>
      <c r="F106" s="3">
        <f>IF(AND('Data Source'!B106&lt;&gt;"",'Data Source'!S106="F"),IF('Data Source'!X106&gt;=5,"A+",IF('Data Source'!X106&gt;=4,"A",IF('Data Source'!X106&gt;=3.5,"A-",IF('Data Source'!X106&gt;=3,"B",IF('Data Source'!X106&gt;=2,"C",IF('Data Source'!X106&gt;=1,"D","F")))))),"")</f>
        <v/>
      </c>
      <c r="G106" s="3">
        <f>IF(AND('Data Source'!B106&lt;&gt;"",'Data Source'!S106="F"),IF('Data Source'!Y106&gt;=5,"A+",IF('Data Source'!Y106&gt;=4,"A",IF('Data Source'!Y106&gt;=3.5,"A-",IF('Data Source'!Y106&gt;=3,"B",IF('Data Source'!Y106&gt;=2,"C",IF('Data Source'!Y106&gt;=1,"D","F")))))),"")</f>
        <v/>
      </c>
      <c r="H106" s="3">
        <f>IF(AND('Data Source'!B106&lt;&gt;"",'Data Source'!S106="F"),IF('Data Source'!Z106&gt;=5,"A+",IF('Data Source'!Z106&gt;=4,"A",IF('Data Source'!Z106&gt;=3.5,"A-",IF('Data Source'!Z106&gt;=3,"B",IF('Data Source'!Z106&gt;=2,"C",IF('Data Source'!Z106&gt;=1,"D","F")))))),"")</f>
        <v/>
      </c>
      <c r="I106" s="3">
        <f>IF(AND('Data Source'!B106&lt;&gt;"",'Data Source'!S106="F"),IF('Data Source'!AA106&gt;=5,"A+",IF('Data Source'!AA106&gt;=4,"A",IF('Data Source'!AA106&gt;=3.5,"A-",IF('Data Source'!AA106&gt;=3,"B",IF('Data Source'!AA106&gt;=2,"C",IF('Data Source'!AA106&gt;=1,"D","F")))))),"")</f>
        <v/>
      </c>
      <c r="J106" s="3">
        <f>IF(AND('Data Source'!B106&lt;&gt;"",'Data Source'!S106="F"),IF('Data Source'!AB106&gt;=5,"A+",IF('Data Source'!AB106&gt;=4,"A",IF('Data Source'!AB106&gt;=3.5,"A-",IF('Data Source'!AB106&gt;=3,"B",IF('Data Source'!AB106&gt;=2,"C",IF('Data Source'!AB106&gt;=1,"D","F")))))),"")</f>
        <v/>
      </c>
      <c r="K106" s="3">
        <f>IF(AND('Data Source'!B106&lt;&gt;"",'Data Source'!S106="F"),IF('Data Source'!AC106&gt;=5,"A+",IF('Data Source'!AC106&gt;=4,"A",IF('Data Source'!AC106&gt;=3.5,"A-",IF('Data Source'!AC106&gt;=3,"B",IF('Data Source'!AC106&gt;=2,"C",IF('Data Source'!AC106&gt;=1,"D","F")))))),"")</f>
        <v/>
      </c>
      <c r="L106" s="3">
        <f>IF(AND('Data Source'!B106&lt;&gt;"",'Data Source'!S106="F"),IF('Data Source'!AD106&gt;=5,"A+",IF('Data Source'!AD106&gt;=4,"A",IF('Data Source'!AD106&gt;=3.5,"A-",IF('Data Source'!AD106&gt;=3,"B",IF('Data Source'!AD106&gt;=2,"C",IF('Data Source'!AD106&gt;=1,"D","F")))))),"")</f>
        <v/>
      </c>
      <c r="M106" s="3">
        <f>IF(AND('Data Source'!B106&lt;&gt;"",'Data Source'!S106="F"),IF('Data Source'!AE106&gt;=5,"A+",IF('Data Source'!AE106&gt;=4,"A",IF('Data Source'!AE106&gt;=3.5,"A-",IF('Data Source'!AE106&gt;=3,"B",IF('Data Source'!AE106&gt;=2,"C",IF('Data Source'!AE106&gt;=1,"D","F")))))),"")</f>
        <v/>
      </c>
      <c r="N106" s="3">
        <f>IF(AND('Data Source'!B106&lt;&gt;"",'Data Source'!S106="F"),IF('Data Source'!AF106&gt;=5,"A+",IF('Data Source'!AF106&gt;=4,"A",IF('Data Source'!AF106&gt;=3.5,"A-",IF('Data Source'!AF106&gt;=3,"B",IF('Data Source'!AF106&gt;=2,"C",IF('Data Source'!AF106&gt;=1,"D","F")))))),"")</f>
        <v/>
      </c>
      <c r="O106" s="3">
        <f>IF(AND('Data Source'!B106&lt;&gt;"",'Data Source'!S106="F"),IF('Data Source'!AG106&gt;=5,"A+",IF('Data Source'!AG106&gt;=4,"A",IF('Data Source'!AG106&gt;=3.5,"A-",IF('Data Source'!AG106&gt;=3,"B",IF('Data Source'!AG106&gt;=2,"C",IF('Data Source'!AG106&gt;=1,"D","F")))))),"")</f>
        <v/>
      </c>
      <c r="P106" s="5">
        <f>IF(AND('Data Source'!B106&lt;&gt;"",'Data Source'!S106="F"),'Data Source'!R106,"")</f>
        <v/>
      </c>
      <c r="Q106" s="3">
        <f>IF(AND('Data Source'!B106&lt;&gt;"",'Data Source'!S106="F"),'Data Source'!S106,"")</f>
        <v/>
      </c>
    </row>
    <row r="107">
      <c r="A107" s="3">
        <f>IF(AND('Data Source'!B107&lt;&gt;"",'Data Source'!S107="F"),COUNTIF('Data Source'!$S$3:S107,"F"),"")</f>
        <v/>
      </c>
      <c r="B107">
        <f>IF(AND('Data Source'!B107&lt;&gt;"",'Data Source'!S107="F"),'Data Source'!B107,"")</f>
        <v/>
      </c>
      <c r="C107" s="3">
        <f>IF(AND('Data Source'!B107&lt;&gt;"",'Data Source'!S107="F"),IF('Data Source'!U107&gt;=5,"A+",IF('Data Source'!U107&gt;=4,"A",IF('Data Source'!U107&gt;=3.5,"A-",IF('Data Source'!U107&gt;=3,"B",IF('Data Source'!U107&gt;=2,"C",IF('Data Source'!U107&gt;=1,"D","F")))))),"")</f>
        <v/>
      </c>
      <c r="D107" s="3">
        <f>IF(AND('Data Source'!B107&lt;&gt;"",'Data Source'!S107="F"),IF('Data Source'!V107&gt;=5,"A+",IF('Data Source'!V107&gt;=4,"A",IF('Data Source'!V107&gt;=3.5,"A-",IF('Data Source'!V107&gt;=3,"B",IF('Data Source'!V107&gt;=2,"C",IF('Data Source'!V107&gt;=1,"D","F")))))),"")</f>
        <v/>
      </c>
      <c r="E107" s="3">
        <f>IF(AND('Data Source'!B107&lt;&gt;"",'Data Source'!S107="F"),IF('Data Source'!W107&gt;=5,"A+",IF('Data Source'!W107&gt;=4,"A",IF('Data Source'!W107&gt;=3.5,"A-",IF('Data Source'!W107&gt;=3,"B",IF('Data Source'!W107&gt;=2,"C",IF('Data Source'!W107&gt;=1,"D","F")))))),"")</f>
        <v/>
      </c>
      <c r="F107" s="3">
        <f>IF(AND('Data Source'!B107&lt;&gt;"",'Data Source'!S107="F"),IF('Data Source'!X107&gt;=5,"A+",IF('Data Source'!X107&gt;=4,"A",IF('Data Source'!X107&gt;=3.5,"A-",IF('Data Source'!X107&gt;=3,"B",IF('Data Source'!X107&gt;=2,"C",IF('Data Source'!X107&gt;=1,"D","F")))))),"")</f>
        <v/>
      </c>
      <c r="G107" s="3">
        <f>IF(AND('Data Source'!B107&lt;&gt;"",'Data Source'!S107="F"),IF('Data Source'!Y107&gt;=5,"A+",IF('Data Source'!Y107&gt;=4,"A",IF('Data Source'!Y107&gt;=3.5,"A-",IF('Data Source'!Y107&gt;=3,"B",IF('Data Source'!Y107&gt;=2,"C",IF('Data Source'!Y107&gt;=1,"D","F")))))),"")</f>
        <v/>
      </c>
      <c r="H107" s="3">
        <f>IF(AND('Data Source'!B107&lt;&gt;"",'Data Source'!S107="F"),IF('Data Source'!Z107&gt;=5,"A+",IF('Data Source'!Z107&gt;=4,"A",IF('Data Source'!Z107&gt;=3.5,"A-",IF('Data Source'!Z107&gt;=3,"B",IF('Data Source'!Z107&gt;=2,"C",IF('Data Source'!Z107&gt;=1,"D","F")))))),"")</f>
        <v/>
      </c>
      <c r="I107" s="3">
        <f>IF(AND('Data Source'!B107&lt;&gt;"",'Data Source'!S107="F"),IF('Data Source'!AA107&gt;=5,"A+",IF('Data Source'!AA107&gt;=4,"A",IF('Data Source'!AA107&gt;=3.5,"A-",IF('Data Source'!AA107&gt;=3,"B",IF('Data Source'!AA107&gt;=2,"C",IF('Data Source'!AA107&gt;=1,"D","F")))))),"")</f>
        <v/>
      </c>
      <c r="J107" s="3">
        <f>IF(AND('Data Source'!B107&lt;&gt;"",'Data Source'!S107="F"),IF('Data Source'!AB107&gt;=5,"A+",IF('Data Source'!AB107&gt;=4,"A",IF('Data Source'!AB107&gt;=3.5,"A-",IF('Data Source'!AB107&gt;=3,"B",IF('Data Source'!AB107&gt;=2,"C",IF('Data Source'!AB107&gt;=1,"D","F")))))),"")</f>
        <v/>
      </c>
      <c r="K107" s="3">
        <f>IF(AND('Data Source'!B107&lt;&gt;"",'Data Source'!S107="F"),IF('Data Source'!AC107&gt;=5,"A+",IF('Data Source'!AC107&gt;=4,"A",IF('Data Source'!AC107&gt;=3.5,"A-",IF('Data Source'!AC107&gt;=3,"B",IF('Data Source'!AC107&gt;=2,"C",IF('Data Source'!AC107&gt;=1,"D","F")))))),"")</f>
        <v/>
      </c>
      <c r="L107" s="3">
        <f>IF(AND('Data Source'!B107&lt;&gt;"",'Data Source'!S107="F"),IF('Data Source'!AD107&gt;=5,"A+",IF('Data Source'!AD107&gt;=4,"A",IF('Data Source'!AD107&gt;=3.5,"A-",IF('Data Source'!AD107&gt;=3,"B",IF('Data Source'!AD107&gt;=2,"C",IF('Data Source'!AD107&gt;=1,"D","F")))))),"")</f>
        <v/>
      </c>
      <c r="M107" s="3">
        <f>IF(AND('Data Source'!B107&lt;&gt;"",'Data Source'!S107="F"),IF('Data Source'!AE107&gt;=5,"A+",IF('Data Source'!AE107&gt;=4,"A",IF('Data Source'!AE107&gt;=3.5,"A-",IF('Data Source'!AE107&gt;=3,"B",IF('Data Source'!AE107&gt;=2,"C",IF('Data Source'!AE107&gt;=1,"D","F")))))),"")</f>
        <v/>
      </c>
      <c r="N107" s="3">
        <f>IF(AND('Data Source'!B107&lt;&gt;"",'Data Source'!S107="F"),IF('Data Source'!AF107&gt;=5,"A+",IF('Data Source'!AF107&gt;=4,"A",IF('Data Source'!AF107&gt;=3.5,"A-",IF('Data Source'!AF107&gt;=3,"B",IF('Data Source'!AF107&gt;=2,"C",IF('Data Source'!AF107&gt;=1,"D","F")))))),"")</f>
        <v/>
      </c>
      <c r="O107" s="3">
        <f>IF(AND('Data Source'!B107&lt;&gt;"",'Data Source'!S107="F"),IF('Data Source'!AG107&gt;=5,"A+",IF('Data Source'!AG107&gt;=4,"A",IF('Data Source'!AG107&gt;=3.5,"A-",IF('Data Source'!AG107&gt;=3,"B",IF('Data Source'!AG107&gt;=2,"C",IF('Data Source'!AG107&gt;=1,"D","F")))))),"")</f>
        <v/>
      </c>
      <c r="P107" s="5">
        <f>IF(AND('Data Source'!B107&lt;&gt;"",'Data Source'!S107="F"),'Data Source'!R107,"")</f>
        <v/>
      </c>
      <c r="Q107" s="3">
        <f>IF(AND('Data Source'!B107&lt;&gt;"",'Data Source'!S107="F"),'Data Source'!S107,"")</f>
        <v/>
      </c>
    </row>
    <row r="108">
      <c r="A108" s="3">
        <f>IF(AND('Data Source'!B108&lt;&gt;"",'Data Source'!S108="F"),COUNTIF('Data Source'!$S$3:S108,"F"),"")</f>
        <v/>
      </c>
      <c r="B108">
        <f>IF(AND('Data Source'!B108&lt;&gt;"",'Data Source'!S108="F"),'Data Source'!B108,"")</f>
        <v/>
      </c>
      <c r="C108" s="3">
        <f>IF(AND('Data Source'!B108&lt;&gt;"",'Data Source'!S108="F"),IF('Data Source'!U108&gt;=5,"A+",IF('Data Source'!U108&gt;=4,"A",IF('Data Source'!U108&gt;=3.5,"A-",IF('Data Source'!U108&gt;=3,"B",IF('Data Source'!U108&gt;=2,"C",IF('Data Source'!U108&gt;=1,"D","F")))))),"")</f>
        <v/>
      </c>
      <c r="D108" s="3">
        <f>IF(AND('Data Source'!B108&lt;&gt;"",'Data Source'!S108="F"),IF('Data Source'!V108&gt;=5,"A+",IF('Data Source'!V108&gt;=4,"A",IF('Data Source'!V108&gt;=3.5,"A-",IF('Data Source'!V108&gt;=3,"B",IF('Data Source'!V108&gt;=2,"C",IF('Data Source'!V108&gt;=1,"D","F")))))),"")</f>
        <v/>
      </c>
      <c r="E108" s="3">
        <f>IF(AND('Data Source'!B108&lt;&gt;"",'Data Source'!S108="F"),IF('Data Source'!W108&gt;=5,"A+",IF('Data Source'!W108&gt;=4,"A",IF('Data Source'!W108&gt;=3.5,"A-",IF('Data Source'!W108&gt;=3,"B",IF('Data Source'!W108&gt;=2,"C",IF('Data Source'!W108&gt;=1,"D","F")))))),"")</f>
        <v/>
      </c>
      <c r="F108" s="3">
        <f>IF(AND('Data Source'!B108&lt;&gt;"",'Data Source'!S108="F"),IF('Data Source'!X108&gt;=5,"A+",IF('Data Source'!X108&gt;=4,"A",IF('Data Source'!X108&gt;=3.5,"A-",IF('Data Source'!X108&gt;=3,"B",IF('Data Source'!X108&gt;=2,"C",IF('Data Source'!X108&gt;=1,"D","F")))))),"")</f>
        <v/>
      </c>
      <c r="G108" s="3">
        <f>IF(AND('Data Source'!B108&lt;&gt;"",'Data Source'!S108="F"),IF('Data Source'!Y108&gt;=5,"A+",IF('Data Source'!Y108&gt;=4,"A",IF('Data Source'!Y108&gt;=3.5,"A-",IF('Data Source'!Y108&gt;=3,"B",IF('Data Source'!Y108&gt;=2,"C",IF('Data Source'!Y108&gt;=1,"D","F")))))),"")</f>
        <v/>
      </c>
      <c r="H108" s="3">
        <f>IF(AND('Data Source'!B108&lt;&gt;"",'Data Source'!S108="F"),IF('Data Source'!Z108&gt;=5,"A+",IF('Data Source'!Z108&gt;=4,"A",IF('Data Source'!Z108&gt;=3.5,"A-",IF('Data Source'!Z108&gt;=3,"B",IF('Data Source'!Z108&gt;=2,"C",IF('Data Source'!Z108&gt;=1,"D","F")))))),"")</f>
        <v/>
      </c>
      <c r="I108" s="3">
        <f>IF(AND('Data Source'!B108&lt;&gt;"",'Data Source'!S108="F"),IF('Data Source'!AA108&gt;=5,"A+",IF('Data Source'!AA108&gt;=4,"A",IF('Data Source'!AA108&gt;=3.5,"A-",IF('Data Source'!AA108&gt;=3,"B",IF('Data Source'!AA108&gt;=2,"C",IF('Data Source'!AA108&gt;=1,"D","F")))))),"")</f>
        <v/>
      </c>
      <c r="J108" s="3">
        <f>IF(AND('Data Source'!B108&lt;&gt;"",'Data Source'!S108="F"),IF('Data Source'!AB108&gt;=5,"A+",IF('Data Source'!AB108&gt;=4,"A",IF('Data Source'!AB108&gt;=3.5,"A-",IF('Data Source'!AB108&gt;=3,"B",IF('Data Source'!AB108&gt;=2,"C",IF('Data Source'!AB108&gt;=1,"D","F")))))),"")</f>
        <v/>
      </c>
      <c r="K108" s="3">
        <f>IF(AND('Data Source'!B108&lt;&gt;"",'Data Source'!S108="F"),IF('Data Source'!AC108&gt;=5,"A+",IF('Data Source'!AC108&gt;=4,"A",IF('Data Source'!AC108&gt;=3.5,"A-",IF('Data Source'!AC108&gt;=3,"B",IF('Data Source'!AC108&gt;=2,"C",IF('Data Source'!AC108&gt;=1,"D","F")))))),"")</f>
        <v/>
      </c>
      <c r="L108" s="3">
        <f>IF(AND('Data Source'!B108&lt;&gt;"",'Data Source'!S108="F"),IF('Data Source'!AD108&gt;=5,"A+",IF('Data Source'!AD108&gt;=4,"A",IF('Data Source'!AD108&gt;=3.5,"A-",IF('Data Source'!AD108&gt;=3,"B",IF('Data Source'!AD108&gt;=2,"C",IF('Data Source'!AD108&gt;=1,"D","F")))))),"")</f>
        <v/>
      </c>
      <c r="M108" s="3">
        <f>IF(AND('Data Source'!B108&lt;&gt;"",'Data Source'!S108="F"),IF('Data Source'!AE108&gt;=5,"A+",IF('Data Source'!AE108&gt;=4,"A",IF('Data Source'!AE108&gt;=3.5,"A-",IF('Data Source'!AE108&gt;=3,"B",IF('Data Source'!AE108&gt;=2,"C",IF('Data Source'!AE108&gt;=1,"D","F")))))),"")</f>
        <v/>
      </c>
      <c r="N108" s="3">
        <f>IF(AND('Data Source'!B108&lt;&gt;"",'Data Source'!S108="F"),IF('Data Source'!AF108&gt;=5,"A+",IF('Data Source'!AF108&gt;=4,"A",IF('Data Source'!AF108&gt;=3.5,"A-",IF('Data Source'!AF108&gt;=3,"B",IF('Data Source'!AF108&gt;=2,"C",IF('Data Source'!AF108&gt;=1,"D","F")))))),"")</f>
        <v/>
      </c>
      <c r="O108" s="3">
        <f>IF(AND('Data Source'!B108&lt;&gt;"",'Data Source'!S108="F"),IF('Data Source'!AG108&gt;=5,"A+",IF('Data Source'!AG108&gt;=4,"A",IF('Data Source'!AG108&gt;=3.5,"A-",IF('Data Source'!AG108&gt;=3,"B",IF('Data Source'!AG108&gt;=2,"C",IF('Data Source'!AG108&gt;=1,"D","F")))))),"")</f>
        <v/>
      </c>
      <c r="P108" s="5">
        <f>IF(AND('Data Source'!B108&lt;&gt;"",'Data Source'!S108="F"),'Data Source'!R108,"")</f>
        <v/>
      </c>
      <c r="Q108" s="3">
        <f>IF(AND('Data Source'!B108&lt;&gt;"",'Data Source'!S108="F"),'Data Source'!S108,"")</f>
        <v/>
      </c>
    </row>
    <row r="109">
      <c r="A109" s="3">
        <f>IF(AND('Data Source'!B109&lt;&gt;"",'Data Source'!S109="F"),COUNTIF('Data Source'!$S$3:S109,"F"),"")</f>
        <v/>
      </c>
      <c r="B109">
        <f>IF(AND('Data Source'!B109&lt;&gt;"",'Data Source'!S109="F"),'Data Source'!B109,"")</f>
        <v/>
      </c>
      <c r="C109" s="3">
        <f>IF(AND('Data Source'!B109&lt;&gt;"",'Data Source'!S109="F"),IF('Data Source'!U109&gt;=5,"A+",IF('Data Source'!U109&gt;=4,"A",IF('Data Source'!U109&gt;=3.5,"A-",IF('Data Source'!U109&gt;=3,"B",IF('Data Source'!U109&gt;=2,"C",IF('Data Source'!U109&gt;=1,"D","F")))))),"")</f>
        <v/>
      </c>
      <c r="D109" s="3">
        <f>IF(AND('Data Source'!B109&lt;&gt;"",'Data Source'!S109="F"),IF('Data Source'!V109&gt;=5,"A+",IF('Data Source'!V109&gt;=4,"A",IF('Data Source'!V109&gt;=3.5,"A-",IF('Data Source'!V109&gt;=3,"B",IF('Data Source'!V109&gt;=2,"C",IF('Data Source'!V109&gt;=1,"D","F")))))),"")</f>
        <v/>
      </c>
      <c r="E109" s="3">
        <f>IF(AND('Data Source'!B109&lt;&gt;"",'Data Source'!S109="F"),IF('Data Source'!W109&gt;=5,"A+",IF('Data Source'!W109&gt;=4,"A",IF('Data Source'!W109&gt;=3.5,"A-",IF('Data Source'!W109&gt;=3,"B",IF('Data Source'!W109&gt;=2,"C",IF('Data Source'!W109&gt;=1,"D","F")))))),"")</f>
        <v/>
      </c>
      <c r="F109" s="3">
        <f>IF(AND('Data Source'!B109&lt;&gt;"",'Data Source'!S109="F"),IF('Data Source'!X109&gt;=5,"A+",IF('Data Source'!X109&gt;=4,"A",IF('Data Source'!X109&gt;=3.5,"A-",IF('Data Source'!X109&gt;=3,"B",IF('Data Source'!X109&gt;=2,"C",IF('Data Source'!X109&gt;=1,"D","F")))))),"")</f>
        <v/>
      </c>
      <c r="G109" s="3">
        <f>IF(AND('Data Source'!B109&lt;&gt;"",'Data Source'!S109="F"),IF('Data Source'!Y109&gt;=5,"A+",IF('Data Source'!Y109&gt;=4,"A",IF('Data Source'!Y109&gt;=3.5,"A-",IF('Data Source'!Y109&gt;=3,"B",IF('Data Source'!Y109&gt;=2,"C",IF('Data Source'!Y109&gt;=1,"D","F")))))),"")</f>
        <v/>
      </c>
      <c r="H109" s="3">
        <f>IF(AND('Data Source'!B109&lt;&gt;"",'Data Source'!S109="F"),IF('Data Source'!Z109&gt;=5,"A+",IF('Data Source'!Z109&gt;=4,"A",IF('Data Source'!Z109&gt;=3.5,"A-",IF('Data Source'!Z109&gt;=3,"B",IF('Data Source'!Z109&gt;=2,"C",IF('Data Source'!Z109&gt;=1,"D","F")))))),"")</f>
        <v/>
      </c>
      <c r="I109" s="3">
        <f>IF(AND('Data Source'!B109&lt;&gt;"",'Data Source'!S109="F"),IF('Data Source'!AA109&gt;=5,"A+",IF('Data Source'!AA109&gt;=4,"A",IF('Data Source'!AA109&gt;=3.5,"A-",IF('Data Source'!AA109&gt;=3,"B",IF('Data Source'!AA109&gt;=2,"C",IF('Data Source'!AA109&gt;=1,"D","F")))))),"")</f>
        <v/>
      </c>
      <c r="J109" s="3">
        <f>IF(AND('Data Source'!B109&lt;&gt;"",'Data Source'!S109="F"),IF('Data Source'!AB109&gt;=5,"A+",IF('Data Source'!AB109&gt;=4,"A",IF('Data Source'!AB109&gt;=3.5,"A-",IF('Data Source'!AB109&gt;=3,"B",IF('Data Source'!AB109&gt;=2,"C",IF('Data Source'!AB109&gt;=1,"D","F")))))),"")</f>
        <v/>
      </c>
      <c r="K109" s="3">
        <f>IF(AND('Data Source'!B109&lt;&gt;"",'Data Source'!S109="F"),IF('Data Source'!AC109&gt;=5,"A+",IF('Data Source'!AC109&gt;=4,"A",IF('Data Source'!AC109&gt;=3.5,"A-",IF('Data Source'!AC109&gt;=3,"B",IF('Data Source'!AC109&gt;=2,"C",IF('Data Source'!AC109&gt;=1,"D","F")))))),"")</f>
        <v/>
      </c>
      <c r="L109" s="3">
        <f>IF(AND('Data Source'!B109&lt;&gt;"",'Data Source'!S109="F"),IF('Data Source'!AD109&gt;=5,"A+",IF('Data Source'!AD109&gt;=4,"A",IF('Data Source'!AD109&gt;=3.5,"A-",IF('Data Source'!AD109&gt;=3,"B",IF('Data Source'!AD109&gt;=2,"C",IF('Data Source'!AD109&gt;=1,"D","F")))))),"")</f>
        <v/>
      </c>
      <c r="M109" s="3">
        <f>IF(AND('Data Source'!B109&lt;&gt;"",'Data Source'!S109="F"),IF('Data Source'!AE109&gt;=5,"A+",IF('Data Source'!AE109&gt;=4,"A",IF('Data Source'!AE109&gt;=3.5,"A-",IF('Data Source'!AE109&gt;=3,"B",IF('Data Source'!AE109&gt;=2,"C",IF('Data Source'!AE109&gt;=1,"D","F")))))),"")</f>
        <v/>
      </c>
      <c r="N109" s="3">
        <f>IF(AND('Data Source'!B109&lt;&gt;"",'Data Source'!S109="F"),IF('Data Source'!AF109&gt;=5,"A+",IF('Data Source'!AF109&gt;=4,"A",IF('Data Source'!AF109&gt;=3.5,"A-",IF('Data Source'!AF109&gt;=3,"B",IF('Data Source'!AF109&gt;=2,"C",IF('Data Source'!AF109&gt;=1,"D","F")))))),"")</f>
        <v/>
      </c>
      <c r="O109" s="3">
        <f>IF(AND('Data Source'!B109&lt;&gt;"",'Data Source'!S109="F"),IF('Data Source'!AG109&gt;=5,"A+",IF('Data Source'!AG109&gt;=4,"A",IF('Data Source'!AG109&gt;=3.5,"A-",IF('Data Source'!AG109&gt;=3,"B",IF('Data Source'!AG109&gt;=2,"C",IF('Data Source'!AG109&gt;=1,"D","F")))))),"")</f>
        <v/>
      </c>
      <c r="P109" s="5">
        <f>IF(AND('Data Source'!B109&lt;&gt;"",'Data Source'!S109="F"),'Data Source'!R109,"")</f>
        <v/>
      </c>
      <c r="Q109" s="3">
        <f>IF(AND('Data Source'!B109&lt;&gt;"",'Data Source'!S109="F"),'Data Source'!S109,"")</f>
        <v/>
      </c>
    </row>
    <row r="110">
      <c r="A110" s="3">
        <f>IF(AND('Data Source'!B110&lt;&gt;"",'Data Source'!S110="F"),COUNTIF('Data Source'!$S$3:S110,"F"),"")</f>
        <v/>
      </c>
      <c r="B110">
        <f>IF(AND('Data Source'!B110&lt;&gt;"",'Data Source'!S110="F"),'Data Source'!B110,"")</f>
        <v/>
      </c>
      <c r="C110" s="3">
        <f>IF(AND('Data Source'!B110&lt;&gt;"",'Data Source'!S110="F"),IF('Data Source'!U110&gt;=5,"A+",IF('Data Source'!U110&gt;=4,"A",IF('Data Source'!U110&gt;=3.5,"A-",IF('Data Source'!U110&gt;=3,"B",IF('Data Source'!U110&gt;=2,"C",IF('Data Source'!U110&gt;=1,"D","F")))))),"")</f>
        <v/>
      </c>
      <c r="D110" s="3">
        <f>IF(AND('Data Source'!B110&lt;&gt;"",'Data Source'!S110="F"),IF('Data Source'!V110&gt;=5,"A+",IF('Data Source'!V110&gt;=4,"A",IF('Data Source'!V110&gt;=3.5,"A-",IF('Data Source'!V110&gt;=3,"B",IF('Data Source'!V110&gt;=2,"C",IF('Data Source'!V110&gt;=1,"D","F")))))),"")</f>
        <v/>
      </c>
      <c r="E110" s="3">
        <f>IF(AND('Data Source'!B110&lt;&gt;"",'Data Source'!S110="F"),IF('Data Source'!W110&gt;=5,"A+",IF('Data Source'!W110&gt;=4,"A",IF('Data Source'!W110&gt;=3.5,"A-",IF('Data Source'!W110&gt;=3,"B",IF('Data Source'!W110&gt;=2,"C",IF('Data Source'!W110&gt;=1,"D","F")))))),"")</f>
        <v/>
      </c>
      <c r="F110" s="3">
        <f>IF(AND('Data Source'!B110&lt;&gt;"",'Data Source'!S110="F"),IF('Data Source'!X110&gt;=5,"A+",IF('Data Source'!X110&gt;=4,"A",IF('Data Source'!X110&gt;=3.5,"A-",IF('Data Source'!X110&gt;=3,"B",IF('Data Source'!X110&gt;=2,"C",IF('Data Source'!X110&gt;=1,"D","F")))))),"")</f>
        <v/>
      </c>
      <c r="G110" s="3">
        <f>IF(AND('Data Source'!B110&lt;&gt;"",'Data Source'!S110="F"),IF('Data Source'!Y110&gt;=5,"A+",IF('Data Source'!Y110&gt;=4,"A",IF('Data Source'!Y110&gt;=3.5,"A-",IF('Data Source'!Y110&gt;=3,"B",IF('Data Source'!Y110&gt;=2,"C",IF('Data Source'!Y110&gt;=1,"D","F")))))),"")</f>
        <v/>
      </c>
      <c r="H110" s="3">
        <f>IF(AND('Data Source'!B110&lt;&gt;"",'Data Source'!S110="F"),IF('Data Source'!Z110&gt;=5,"A+",IF('Data Source'!Z110&gt;=4,"A",IF('Data Source'!Z110&gt;=3.5,"A-",IF('Data Source'!Z110&gt;=3,"B",IF('Data Source'!Z110&gt;=2,"C",IF('Data Source'!Z110&gt;=1,"D","F")))))),"")</f>
        <v/>
      </c>
      <c r="I110" s="3">
        <f>IF(AND('Data Source'!B110&lt;&gt;"",'Data Source'!S110="F"),IF('Data Source'!AA110&gt;=5,"A+",IF('Data Source'!AA110&gt;=4,"A",IF('Data Source'!AA110&gt;=3.5,"A-",IF('Data Source'!AA110&gt;=3,"B",IF('Data Source'!AA110&gt;=2,"C",IF('Data Source'!AA110&gt;=1,"D","F")))))),"")</f>
        <v/>
      </c>
      <c r="J110" s="3">
        <f>IF(AND('Data Source'!B110&lt;&gt;"",'Data Source'!S110="F"),IF('Data Source'!AB110&gt;=5,"A+",IF('Data Source'!AB110&gt;=4,"A",IF('Data Source'!AB110&gt;=3.5,"A-",IF('Data Source'!AB110&gt;=3,"B",IF('Data Source'!AB110&gt;=2,"C",IF('Data Source'!AB110&gt;=1,"D","F")))))),"")</f>
        <v/>
      </c>
      <c r="K110" s="3">
        <f>IF(AND('Data Source'!B110&lt;&gt;"",'Data Source'!S110="F"),IF('Data Source'!AC110&gt;=5,"A+",IF('Data Source'!AC110&gt;=4,"A",IF('Data Source'!AC110&gt;=3.5,"A-",IF('Data Source'!AC110&gt;=3,"B",IF('Data Source'!AC110&gt;=2,"C",IF('Data Source'!AC110&gt;=1,"D","F")))))),"")</f>
        <v/>
      </c>
      <c r="L110" s="3">
        <f>IF(AND('Data Source'!B110&lt;&gt;"",'Data Source'!S110="F"),IF('Data Source'!AD110&gt;=5,"A+",IF('Data Source'!AD110&gt;=4,"A",IF('Data Source'!AD110&gt;=3.5,"A-",IF('Data Source'!AD110&gt;=3,"B",IF('Data Source'!AD110&gt;=2,"C",IF('Data Source'!AD110&gt;=1,"D","F")))))),"")</f>
        <v/>
      </c>
      <c r="M110" s="3">
        <f>IF(AND('Data Source'!B110&lt;&gt;"",'Data Source'!S110="F"),IF('Data Source'!AE110&gt;=5,"A+",IF('Data Source'!AE110&gt;=4,"A",IF('Data Source'!AE110&gt;=3.5,"A-",IF('Data Source'!AE110&gt;=3,"B",IF('Data Source'!AE110&gt;=2,"C",IF('Data Source'!AE110&gt;=1,"D","F")))))),"")</f>
        <v/>
      </c>
      <c r="N110" s="3">
        <f>IF(AND('Data Source'!B110&lt;&gt;"",'Data Source'!S110="F"),IF('Data Source'!AF110&gt;=5,"A+",IF('Data Source'!AF110&gt;=4,"A",IF('Data Source'!AF110&gt;=3.5,"A-",IF('Data Source'!AF110&gt;=3,"B",IF('Data Source'!AF110&gt;=2,"C",IF('Data Source'!AF110&gt;=1,"D","F")))))),"")</f>
        <v/>
      </c>
      <c r="O110" s="3">
        <f>IF(AND('Data Source'!B110&lt;&gt;"",'Data Source'!S110="F"),IF('Data Source'!AG110&gt;=5,"A+",IF('Data Source'!AG110&gt;=4,"A",IF('Data Source'!AG110&gt;=3.5,"A-",IF('Data Source'!AG110&gt;=3,"B",IF('Data Source'!AG110&gt;=2,"C",IF('Data Source'!AG110&gt;=1,"D","F")))))),"")</f>
        <v/>
      </c>
      <c r="P110" s="5">
        <f>IF(AND('Data Source'!B110&lt;&gt;"",'Data Source'!S110="F"),'Data Source'!R110,"")</f>
        <v/>
      </c>
      <c r="Q110" s="3">
        <f>IF(AND('Data Source'!B110&lt;&gt;"",'Data Source'!S110="F"),'Data Source'!S110,"")</f>
        <v/>
      </c>
    </row>
    <row r="111">
      <c r="A111" s="3">
        <f>IF(AND('Data Source'!B111&lt;&gt;"",'Data Source'!S111="F"),COUNTIF('Data Source'!$S$3:S111,"F"),"")</f>
        <v/>
      </c>
      <c r="B111">
        <f>IF(AND('Data Source'!B111&lt;&gt;"",'Data Source'!S111="F"),'Data Source'!B111,"")</f>
        <v/>
      </c>
      <c r="C111" s="3">
        <f>IF(AND('Data Source'!B111&lt;&gt;"",'Data Source'!S111="F"),IF('Data Source'!U111&gt;=5,"A+",IF('Data Source'!U111&gt;=4,"A",IF('Data Source'!U111&gt;=3.5,"A-",IF('Data Source'!U111&gt;=3,"B",IF('Data Source'!U111&gt;=2,"C",IF('Data Source'!U111&gt;=1,"D","F")))))),"")</f>
        <v/>
      </c>
      <c r="D111" s="3">
        <f>IF(AND('Data Source'!B111&lt;&gt;"",'Data Source'!S111="F"),IF('Data Source'!V111&gt;=5,"A+",IF('Data Source'!V111&gt;=4,"A",IF('Data Source'!V111&gt;=3.5,"A-",IF('Data Source'!V111&gt;=3,"B",IF('Data Source'!V111&gt;=2,"C",IF('Data Source'!V111&gt;=1,"D","F")))))),"")</f>
        <v/>
      </c>
      <c r="E111" s="3">
        <f>IF(AND('Data Source'!B111&lt;&gt;"",'Data Source'!S111="F"),IF('Data Source'!W111&gt;=5,"A+",IF('Data Source'!W111&gt;=4,"A",IF('Data Source'!W111&gt;=3.5,"A-",IF('Data Source'!W111&gt;=3,"B",IF('Data Source'!W111&gt;=2,"C",IF('Data Source'!W111&gt;=1,"D","F")))))),"")</f>
        <v/>
      </c>
      <c r="F111" s="3">
        <f>IF(AND('Data Source'!B111&lt;&gt;"",'Data Source'!S111="F"),IF('Data Source'!X111&gt;=5,"A+",IF('Data Source'!X111&gt;=4,"A",IF('Data Source'!X111&gt;=3.5,"A-",IF('Data Source'!X111&gt;=3,"B",IF('Data Source'!X111&gt;=2,"C",IF('Data Source'!X111&gt;=1,"D","F")))))),"")</f>
        <v/>
      </c>
      <c r="G111" s="3">
        <f>IF(AND('Data Source'!B111&lt;&gt;"",'Data Source'!S111="F"),IF('Data Source'!Y111&gt;=5,"A+",IF('Data Source'!Y111&gt;=4,"A",IF('Data Source'!Y111&gt;=3.5,"A-",IF('Data Source'!Y111&gt;=3,"B",IF('Data Source'!Y111&gt;=2,"C",IF('Data Source'!Y111&gt;=1,"D","F")))))),"")</f>
        <v/>
      </c>
      <c r="H111" s="3">
        <f>IF(AND('Data Source'!B111&lt;&gt;"",'Data Source'!S111="F"),IF('Data Source'!Z111&gt;=5,"A+",IF('Data Source'!Z111&gt;=4,"A",IF('Data Source'!Z111&gt;=3.5,"A-",IF('Data Source'!Z111&gt;=3,"B",IF('Data Source'!Z111&gt;=2,"C",IF('Data Source'!Z111&gt;=1,"D","F")))))),"")</f>
        <v/>
      </c>
      <c r="I111" s="3">
        <f>IF(AND('Data Source'!B111&lt;&gt;"",'Data Source'!S111="F"),IF('Data Source'!AA111&gt;=5,"A+",IF('Data Source'!AA111&gt;=4,"A",IF('Data Source'!AA111&gt;=3.5,"A-",IF('Data Source'!AA111&gt;=3,"B",IF('Data Source'!AA111&gt;=2,"C",IF('Data Source'!AA111&gt;=1,"D","F")))))),"")</f>
        <v/>
      </c>
      <c r="J111" s="3">
        <f>IF(AND('Data Source'!B111&lt;&gt;"",'Data Source'!S111="F"),IF('Data Source'!AB111&gt;=5,"A+",IF('Data Source'!AB111&gt;=4,"A",IF('Data Source'!AB111&gt;=3.5,"A-",IF('Data Source'!AB111&gt;=3,"B",IF('Data Source'!AB111&gt;=2,"C",IF('Data Source'!AB111&gt;=1,"D","F")))))),"")</f>
        <v/>
      </c>
      <c r="K111" s="3">
        <f>IF(AND('Data Source'!B111&lt;&gt;"",'Data Source'!S111="F"),IF('Data Source'!AC111&gt;=5,"A+",IF('Data Source'!AC111&gt;=4,"A",IF('Data Source'!AC111&gt;=3.5,"A-",IF('Data Source'!AC111&gt;=3,"B",IF('Data Source'!AC111&gt;=2,"C",IF('Data Source'!AC111&gt;=1,"D","F")))))),"")</f>
        <v/>
      </c>
      <c r="L111" s="3">
        <f>IF(AND('Data Source'!B111&lt;&gt;"",'Data Source'!S111="F"),IF('Data Source'!AD111&gt;=5,"A+",IF('Data Source'!AD111&gt;=4,"A",IF('Data Source'!AD111&gt;=3.5,"A-",IF('Data Source'!AD111&gt;=3,"B",IF('Data Source'!AD111&gt;=2,"C",IF('Data Source'!AD111&gt;=1,"D","F")))))),"")</f>
        <v/>
      </c>
      <c r="M111" s="3">
        <f>IF(AND('Data Source'!B111&lt;&gt;"",'Data Source'!S111="F"),IF('Data Source'!AE111&gt;=5,"A+",IF('Data Source'!AE111&gt;=4,"A",IF('Data Source'!AE111&gt;=3.5,"A-",IF('Data Source'!AE111&gt;=3,"B",IF('Data Source'!AE111&gt;=2,"C",IF('Data Source'!AE111&gt;=1,"D","F")))))),"")</f>
        <v/>
      </c>
      <c r="N111" s="3">
        <f>IF(AND('Data Source'!B111&lt;&gt;"",'Data Source'!S111="F"),IF('Data Source'!AF111&gt;=5,"A+",IF('Data Source'!AF111&gt;=4,"A",IF('Data Source'!AF111&gt;=3.5,"A-",IF('Data Source'!AF111&gt;=3,"B",IF('Data Source'!AF111&gt;=2,"C",IF('Data Source'!AF111&gt;=1,"D","F")))))),"")</f>
        <v/>
      </c>
      <c r="O111" s="3">
        <f>IF(AND('Data Source'!B111&lt;&gt;"",'Data Source'!S111="F"),IF('Data Source'!AG111&gt;=5,"A+",IF('Data Source'!AG111&gt;=4,"A",IF('Data Source'!AG111&gt;=3.5,"A-",IF('Data Source'!AG111&gt;=3,"B",IF('Data Source'!AG111&gt;=2,"C",IF('Data Source'!AG111&gt;=1,"D","F")))))),"")</f>
        <v/>
      </c>
      <c r="P111" s="5">
        <f>IF(AND('Data Source'!B111&lt;&gt;"",'Data Source'!S111="F"),'Data Source'!R111,"")</f>
        <v/>
      </c>
      <c r="Q111" s="3">
        <f>IF(AND('Data Source'!B111&lt;&gt;"",'Data Source'!S111="F"),'Data Source'!S111,"")</f>
        <v/>
      </c>
    </row>
    <row r="112">
      <c r="A112" s="3">
        <f>IF(AND('Data Source'!B112&lt;&gt;"",'Data Source'!S112="F"),COUNTIF('Data Source'!$S$3:S112,"F"),"")</f>
        <v/>
      </c>
      <c r="B112">
        <f>IF(AND('Data Source'!B112&lt;&gt;"",'Data Source'!S112="F"),'Data Source'!B112,"")</f>
        <v/>
      </c>
      <c r="C112" s="3">
        <f>IF(AND('Data Source'!B112&lt;&gt;"",'Data Source'!S112="F"),IF('Data Source'!U112&gt;=5,"A+",IF('Data Source'!U112&gt;=4,"A",IF('Data Source'!U112&gt;=3.5,"A-",IF('Data Source'!U112&gt;=3,"B",IF('Data Source'!U112&gt;=2,"C",IF('Data Source'!U112&gt;=1,"D","F")))))),"")</f>
        <v/>
      </c>
      <c r="D112" s="3">
        <f>IF(AND('Data Source'!B112&lt;&gt;"",'Data Source'!S112="F"),IF('Data Source'!V112&gt;=5,"A+",IF('Data Source'!V112&gt;=4,"A",IF('Data Source'!V112&gt;=3.5,"A-",IF('Data Source'!V112&gt;=3,"B",IF('Data Source'!V112&gt;=2,"C",IF('Data Source'!V112&gt;=1,"D","F")))))),"")</f>
        <v/>
      </c>
      <c r="E112" s="3">
        <f>IF(AND('Data Source'!B112&lt;&gt;"",'Data Source'!S112="F"),IF('Data Source'!W112&gt;=5,"A+",IF('Data Source'!W112&gt;=4,"A",IF('Data Source'!W112&gt;=3.5,"A-",IF('Data Source'!W112&gt;=3,"B",IF('Data Source'!W112&gt;=2,"C",IF('Data Source'!W112&gt;=1,"D","F")))))),"")</f>
        <v/>
      </c>
      <c r="F112" s="3">
        <f>IF(AND('Data Source'!B112&lt;&gt;"",'Data Source'!S112="F"),IF('Data Source'!X112&gt;=5,"A+",IF('Data Source'!X112&gt;=4,"A",IF('Data Source'!X112&gt;=3.5,"A-",IF('Data Source'!X112&gt;=3,"B",IF('Data Source'!X112&gt;=2,"C",IF('Data Source'!X112&gt;=1,"D","F")))))),"")</f>
        <v/>
      </c>
      <c r="G112" s="3">
        <f>IF(AND('Data Source'!B112&lt;&gt;"",'Data Source'!S112="F"),IF('Data Source'!Y112&gt;=5,"A+",IF('Data Source'!Y112&gt;=4,"A",IF('Data Source'!Y112&gt;=3.5,"A-",IF('Data Source'!Y112&gt;=3,"B",IF('Data Source'!Y112&gt;=2,"C",IF('Data Source'!Y112&gt;=1,"D","F")))))),"")</f>
        <v/>
      </c>
      <c r="H112" s="3">
        <f>IF(AND('Data Source'!B112&lt;&gt;"",'Data Source'!S112="F"),IF('Data Source'!Z112&gt;=5,"A+",IF('Data Source'!Z112&gt;=4,"A",IF('Data Source'!Z112&gt;=3.5,"A-",IF('Data Source'!Z112&gt;=3,"B",IF('Data Source'!Z112&gt;=2,"C",IF('Data Source'!Z112&gt;=1,"D","F")))))),"")</f>
        <v/>
      </c>
      <c r="I112" s="3">
        <f>IF(AND('Data Source'!B112&lt;&gt;"",'Data Source'!S112="F"),IF('Data Source'!AA112&gt;=5,"A+",IF('Data Source'!AA112&gt;=4,"A",IF('Data Source'!AA112&gt;=3.5,"A-",IF('Data Source'!AA112&gt;=3,"B",IF('Data Source'!AA112&gt;=2,"C",IF('Data Source'!AA112&gt;=1,"D","F")))))),"")</f>
        <v/>
      </c>
      <c r="J112" s="3">
        <f>IF(AND('Data Source'!B112&lt;&gt;"",'Data Source'!S112="F"),IF('Data Source'!AB112&gt;=5,"A+",IF('Data Source'!AB112&gt;=4,"A",IF('Data Source'!AB112&gt;=3.5,"A-",IF('Data Source'!AB112&gt;=3,"B",IF('Data Source'!AB112&gt;=2,"C",IF('Data Source'!AB112&gt;=1,"D","F")))))),"")</f>
        <v/>
      </c>
      <c r="K112" s="3">
        <f>IF(AND('Data Source'!B112&lt;&gt;"",'Data Source'!S112="F"),IF('Data Source'!AC112&gt;=5,"A+",IF('Data Source'!AC112&gt;=4,"A",IF('Data Source'!AC112&gt;=3.5,"A-",IF('Data Source'!AC112&gt;=3,"B",IF('Data Source'!AC112&gt;=2,"C",IF('Data Source'!AC112&gt;=1,"D","F")))))),"")</f>
        <v/>
      </c>
      <c r="L112" s="3">
        <f>IF(AND('Data Source'!B112&lt;&gt;"",'Data Source'!S112="F"),IF('Data Source'!AD112&gt;=5,"A+",IF('Data Source'!AD112&gt;=4,"A",IF('Data Source'!AD112&gt;=3.5,"A-",IF('Data Source'!AD112&gt;=3,"B",IF('Data Source'!AD112&gt;=2,"C",IF('Data Source'!AD112&gt;=1,"D","F")))))),"")</f>
        <v/>
      </c>
      <c r="M112" s="3">
        <f>IF(AND('Data Source'!B112&lt;&gt;"",'Data Source'!S112="F"),IF('Data Source'!AE112&gt;=5,"A+",IF('Data Source'!AE112&gt;=4,"A",IF('Data Source'!AE112&gt;=3.5,"A-",IF('Data Source'!AE112&gt;=3,"B",IF('Data Source'!AE112&gt;=2,"C",IF('Data Source'!AE112&gt;=1,"D","F")))))),"")</f>
        <v/>
      </c>
      <c r="N112" s="3">
        <f>IF(AND('Data Source'!B112&lt;&gt;"",'Data Source'!S112="F"),IF('Data Source'!AF112&gt;=5,"A+",IF('Data Source'!AF112&gt;=4,"A",IF('Data Source'!AF112&gt;=3.5,"A-",IF('Data Source'!AF112&gt;=3,"B",IF('Data Source'!AF112&gt;=2,"C",IF('Data Source'!AF112&gt;=1,"D","F")))))),"")</f>
        <v/>
      </c>
      <c r="O112" s="3">
        <f>IF(AND('Data Source'!B112&lt;&gt;"",'Data Source'!S112="F"),IF('Data Source'!AG112&gt;=5,"A+",IF('Data Source'!AG112&gt;=4,"A",IF('Data Source'!AG112&gt;=3.5,"A-",IF('Data Source'!AG112&gt;=3,"B",IF('Data Source'!AG112&gt;=2,"C",IF('Data Source'!AG112&gt;=1,"D","F")))))),"")</f>
        <v/>
      </c>
      <c r="P112" s="5">
        <f>IF(AND('Data Source'!B112&lt;&gt;"",'Data Source'!S112="F"),'Data Source'!R112,"")</f>
        <v/>
      </c>
      <c r="Q112" s="3">
        <f>IF(AND('Data Source'!B112&lt;&gt;"",'Data Source'!S112="F"),'Data Source'!S112,"")</f>
        <v/>
      </c>
    </row>
    <row r="113">
      <c r="A113" s="3">
        <f>IF(AND('Data Source'!B113&lt;&gt;"",'Data Source'!S113="F"),COUNTIF('Data Source'!$S$3:S113,"F"),"")</f>
        <v/>
      </c>
      <c r="B113">
        <f>IF(AND('Data Source'!B113&lt;&gt;"",'Data Source'!S113="F"),'Data Source'!B113,"")</f>
        <v/>
      </c>
      <c r="C113" s="3">
        <f>IF(AND('Data Source'!B113&lt;&gt;"",'Data Source'!S113="F"),IF('Data Source'!U113&gt;=5,"A+",IF('Data Source'!U113&gt;=4,"A",IF('Data Source'!U113&gt;=3.5,"A-",IF('Data Source'!U113&gt;=3,"B",IF('Data Source'!U113&gt;=2,"C",IF('Data Source'!U113&gt;=1,"D","F")))))),"")</f>
        <v/>
      </c>
      <c r="D113" s="3">
        <f>IF(AND('Data Source'!B113&lt;&gt;"",'Data Source'!S113="F"),IF('Data Source'!V113&gt;=5,"A+",IF('Data Source'!V113&gt;=4,"A",IF('Data Source'!V113&gt;=3.5,"A-",IF('Data Source'!V113&gt;=3,"B",IF('Data Source'!V113&gt;=2,"C",IF('Data Source'!V113&gt;=1,"D","F")))))),"")</f>
        <v/>
      </c>
      <c r="E113" s="3">
        <f>IF(AND('Data Source'!B113&lt;&gt;"",'Data Source'!S113="F"),IF('Data Source'!W113&gt;=5,"A+",IF('Data Source'!W113&gt;=4,"A",IF('Data Source'!W113&gt;=3.5,"A-",IF('Data Source'!W113&gt;=3,"B",IF('Data Source'!W113&gt;=2,"C",IF('Data Source'!W113&gt;=1,"D","F")))))),"")</f>
        <v/>
      </c>
      <c r="F113" s="3">
        <f>IF(AND('Data Source'!B113&lt;&gt;"",'Data Source'!S113="F"),IF('Data Source'!X113&gt;=5,"A+",IF('Data Source'!X113&gt;=4,"A",IF('Data Source'!X113&gt;=3.5,"A-",IF('Data Source'!X113&gt;=3,"B",IF('Data Source'!X113&gt;=2,"C",IF('Data Source'!X113&gt;=1,"D","F")))))),"")</f>
        <v/>
      </c>
      <c r="G113" s="3">
        <f>IF(AND('Data Source'!B113&lt;&gt;"",'Data Source'!S113="F"),IF('Data Source'!Y113&gt;=5,"A+",IF('Data Source'!Y113&gt;=4,"A",IF('Data Source'!Y113&gt;=3.5,"A-",IF('Data Source'!Y113&gt;=3,"B",IF('Data Source'!Y113&gt;=2,"C",IF('Data Source'!Y113&gt;=1,"D","F")))))),"")</f>
        <v/>
      </c>
      <c r="H113" s="3">
        <f>IF(AND('Data Source'!B113&lt;&gt;"",'Data Source'!S113="F"),IF('Data Source'!Z113&gt;=5,"A+",IF('Data Source'!Z113&gt;=4,"A",IF('Data Source'!Z113&gt;=3.5,"A-",IF('Data Source'!Z113&gt;=3,"B",IF('Data Source'!Z113&gt;=2,"C",IF('Data Source'!Z113&gt;=1,"D","F")))))),"")</f>
        <v/>
      </c>
      <c r="I113" s="3">
        <f>IF(AND('Data Source'!B113&lt;&gt;"",'Data Source'!S113="F"),IF('Data Source'!AA113&gt;=5,"A+",IF('Data Source'!AA113&gt;=4,"A",IF('Data Source'!AA113&gt;=3.5,"A-",IF('Data Source'!AA113&gt;=3,"B",IF('Data Source'!AA113&gt;=2,"C",IF('Data Source'!AA113&gt;=1,"D","F")))))),"")</f>
        <v/>
      </c>
      <c r="J113" s="3">
        <f>IF(AND('Data Source'!B113&lt;&gt;"",'Data Source'!S113="F"),IF('Data Source'!AB113&gt;=5,"A+",IF('Data Source'!AB113&gt;=4,"A",IF('Data Source'!AB113&gt;=3.5,"A-",IF('Data Source'!AB113&gt;=3,"B",IF('Data Source'!AB113&gt;=2,"C",IF('Data Source'!AB113&gt;=1,"D","F")))))),"")</f>
        <v/>
      </c>
      <c r="K113" s="3">
        <f>IF(AND('Data Source'!B113&lt;&gt;"",'Data Source'!S113="F"),IF('Data Source'!AC113&gt;=5,"A+",IF('Data Source'!AC113&gt;=4,"A",IF('Data Source'!AC113&gt;=3.5,"A-",IF('Data Source'!AC113&gt;=3,"B",IF('Data Source'!AC113&gt;=2,"C",IF('Data Source'!AC113&gt;=1,"D","F")))))),"")</f>
        <v/>
      </c>
      <c r="L113" s="3">
        <f>IF(AND('Data Source'!B113&lt;&gt;"",'Data Source'!S113="F"),IF('Data Source'!AD113&gt;=5,"A+",IF('Data Source'!AD113&gt;=4,"A",IF('Data Source'!AD113&gt;=3.5,"A-",IF('Data Source'!AD113&gt;=3,"B",IF('Data Source'!AD113&gt;=2,"C",IF('Data Source'!AD113&gt;=1,"D","F")))))),"")</f>
        <v/>
      </c>
      <c r="M113" s="3">
        <f>IF(AND('Data Source'!B113&lt;&gt;"",'Data Source'!S113="F"),IF('Data Source'!AE113&gt;=5,"A+",IF('Data Source'!AE113&gt;=4,"A",IF('Data Source'!AE113&gt;=3.5,"A-",IF('Data Source'!AE113&gt;=3,"B",IF('Data Source'!AE113&gt;=2,"C",IF('Data Source'!AE113&gt;=1,"D","F")))))),"")</f>
        <v/>
      </c>
      <c r="N113" s="3">
        <f>IF(AND('Data Source'!B113&lt;&gt;"",'Data Source'!S113="F"),IF('Data Source'!AF113&gt;=5,"A+",IF('Data Source'!AF113&gt;=4,"A",IF('Data Source'!AF113&gt;=3.5,"A-",IF('Data Source'!AF113&gt;=3,"B",IF('Data Source'!AF113&gt;=2,"C",IF('Data Source'!AF113&gt;=1,"D","F")))))),"")</f>
        <v/>
      </c>
      <c r="O113" s="3">
        <f>IF(AND('Data Source'!B113&lt;&gt;"",'Data Source'!S113="F"),IF('Data Source'!AG113&gt;=5,"A+",IF('Data Source'!AG113&gt;=4,"A",IF('Data Source'!AG113&gt;=3.5,"A-",IF('Data Source'!AG113&gt;=3,"B",IF('Data Source'!AG113&gt;=2,"C",IF('Data Source'!AG113&gt;=1,"D","F")))))),"")</f>
        <v/>
      </c>
      <c r="P113" s="5">
        <f>IF(AND('Data Source'!B113&lt;&gt;"",'Data Source'!S113="F"),'Data Source'!R113,"")</f>
        <v/>
      </c>
      <c r="Q113" s="3">
        <f>IF(AND('Data Source'!B113&lt;&gt;"",'Data Source'!S113="F"),'Data Source'!S113,"")</f>
        <v/>
      </c>
    </row>
    <row r="114">
      <c r="A114" s="3">
        <f>IF(AND('Data Source'!B114&lt;&gt;"",'Data Source'!S114="F"),COUNTIF('Data Source'!$S$3:S114,"F"),"")</f>
        <v/>
      </c>
      <c r="B114">
        <f>IF(AND('Data Source'!B114&lt;&gt;"",'Data Source'!S114="F"),'Data Source'!B114,"")</f>
        <v/>
      </c>
      <c r="C114" s="3">
        <f>IF(AND('Data Source'!B114&lt;&gt;"",'Data Source'!S114="F"),IF('Data Source'!U114&gt;=5,"A+",IF('Data Source'!U114&gt;=4,"A",IF('Data Source'!U114&gt;=3.5,"A-",IF('Data Source'!U114&gt;=3,"B",IF('Data Source'!U114&gt;=2,"C",IF('Data Source'!U114&gt;=1,"D","F")))))),"")</f>
        <v/>
      </c>
      <c r="D114" s="3">
        <f>IF(AND('Data Source'!B114&lt;&gt;"",'Data Source'!S114="F"),IF('Data Source'!V114&gt;=5,"A+",IF('Data Source'!V114&gt;=4,"A",IF('Data Source'!V114&gt;=3.5,"A-",IF('Data Source'!V114&gt;=3,"B",IF('Data Source'!V114&gt;=2,"C",IF('Data Source'!V114&gt;=1,"D","F")))))),"")</f>
        <v/>
      </c>
      <c r="E114" s="3">
        <f>IF(AND('Data Source'!B114&lt;&gt;"",'Data Source'!S114="F"),IF('Data Source'!W114&gt;=5,"A+",IF('Data Source'!W114&gt;=4,"A",IF('Data Source'!W114&gt;=3.5,"A-",IF('Data Source'!W114&gt;=3,"B",IF('Data Source'!W114&gt;=2,"C",IF('Data Source'!W114&gt;=1,"D","F")))))),"")</f>
        <v/>
      </c>
      <c r="F114" s="3">
        <f>IF(AND('Data Source'!B114&lt;&gt;"",'Data Source'!S114="F"),IF('Data Source'!X114&gt;=5,"A+",IF('Data Source'!X114&gt;=4,"A",IF('Data Source'!X114&gt;=3.5,"A-",IF('Data Source'!X114&gt;=3,"B",IF('Data Source'!X114&gt;=2,"C",IF('Data Source'!X114&gt;=1,"D","F")))))),"")</f>
        <v/>
      </c>
      <c r="G114" s="3">
        <f>IF(AND('Data Source'!B114&lt;&gt;"",'Data Source'!S114="F"),IF('Data Source'!Y114&gt;=5,"A+",IF('Data Source'!Y114&gt;=4,"A",IF('Data Source'!Y114&gt;=3.5,"A-",IF('Data Source'!Y114&gt;=3,"B",IF('Data Source'!Y114&gt;=2,"C",IF('Data Source'!Y114&gt;=1,"D","F")))))),"")</f>
        <v/>
      </c>
      <c r="H114" s="3">
        <f>IF(AND('Data Source'!B114&lt;&gt;"",'Data Source'!S114="F"),IF('Data Source'!Z114&gt;=5,"A+",IF('Data Source'!Z114&gt;=4,"A",IF('Data Source'!Z114&gt;=3.5,"A-",IF('Data Source'!Z114&gt;=3,"B",IF('Data Source'!Z114&gt;=2,"C",IF('Data Source'!Z114&gt;=1,"D","F")))))),"")</f>
        <v/>
      </c>
      <c r="I114" s="3">
        <f>IF(AND('Data Source'!B114&lt;&gt;"",'Data Source'!S114="F"),IF('Data Source'!AA114&gt;=5,"A+",IF('Data Source'!AA114&gt;=4,"A",IF('Data Source'!AA114&gt;=3.5,"A-",IF('Data Source'!AA114&gt;=3,"B",IF('Data Source'!AA114&gt;=2,"C",IF('Data Source'!AA114&gt;=1,"D","F")))))),"")</f>
        <v/>
      </c>
      <c r="J114" s="3">
        <f>IF(AND('Data Source'!B114&lt;&gt;"",'Data Source'!S114="F"),IF('Data Source'!AB114&gt;=5,"A+",IF('Data Source'!AB114&gt;=4,"A",IF('Data Source'!AB114&gt;=3.5,"A-",IF('Data Source'!AB114&gt;=3,"B",IF('Data Source'!AB114&gt;=2,"C",IF('Data Source'!AB114&gt;=1,"D","F")))))),"")</f>
        <v/>
      </c>
      <c r="K114" s="3">
        <f>IF(AND('Data Source'!B114&lt;&gt;"",'Data Source'!S114="F"),IF('Data Source'!AC114&gt;=5,"A+",IF('Data Source'!AC114&gt;=4,"A",IF('Data Source'!AC114&gt;=3.5,"A-",IF('Data Source'!AC114&gt;=3,"B",IF('Data Source'!AC114&gt;=2,"C",IF('Data Source'!AC114&gt;=1,"D","F")))))),"")</f>
        <v/>
      </c>
      <c r="L114" s="3">
        <f>IF(AND('Data Source'!B114&lt;&gt;"",'Data Source'!S114="F"),IF('Data Source'!AD114&gt;=5,"A+",IF('Data Source'!AD114&gt;=4,"A",IF('Data Source'!AD114&gt;=3.5,"A-",IF('Data Source'!AD114&gt;=3,"B",IF('Data Source'!AD114&gt;=2,"C",IF('Data Source'!AD114&gt;=1,"D","F")))))),"")</f>
        <v/>
      </c>
      <c r="M114" s="3">
        <f>IF(AND('Data Source'!B114&lt;&gt;"",'Data Source'!S114="F"),IF('Data Source'!AE114&gt;=5,"A+",IF('Data Source'!AE114&gt;=4,"A",IF('Data Source'!AE114&gt;=3.5,"A-",IF('Data Source'!AE114&gt;=3,"B",IF('Data Source'!AE114&gt;=2,"C",IF('Data Source'!AE114&gt;=1,"D","F")))))),"")</f>
        <v/>
      </c>
      <c r="N114" s="3">
        <f>IF(AND('Data Source'!B114&lt;&gt;"",'Data Source'!S114="F"),IF('Data Source'!AF114&gt;=5,"A+",IF('Data Source'!AF114&gt;=4,"A",IF('Data Source'!AF114&gt;=3.5,"A-",IF('Data Source'!AF114&gt;=3,"B",IF('Data Source'!AF114&gt;=2,"C",IF('Data Source'!AF114&gt;=1,"D","F")))))),"")</f>
        <v/>
      </c>
      <c r="O114" s="3">
        <f>IF(AND('Data Source'!B114&lt;&gt;"",'Data Source'!S114="F"),IF('Data Source'!AG114&gt;=5,"A+",IF('Data Source'!AG114&gt;=4,"A",IF('Data Source'!AG114&gt;=3.5,"A-",IF('Data Source'!AG114&gt;=3,"B",IF('Data Source'!AG114&gt;=2,"C",IF('Data Source'!AG114&gt;=1,"D","F")))))),"")</f>
        <v/>
      </c>
      <c r="P114" s="5">
        <f>IF(AND('Data Source'!B114&lt;&gt;"",'Data Source'!S114="F"),'Data Source'!R114,"")</f>
        <v/>
      </c>
      <c r="Q114" s="3">
        <f>IF(AND('Data Source'!B114&lt;&gt;"",'Data Source'!S114="F"),'Data Source'!S114,"")</f>
        <v/>
      </c>
    </row>
    <row r="115">
      <c r="A115" s="3">
        <f>IF(AND('Data Source'!B115&lt;&gt;"",'Data Source'!S115="F"),COUNTIF('Data Source'!$S$3:S115,"F"),"")</f>
        <v/>
      </c>
      <c r="B115">
        <f>IF(AND('Data Source'!B115&lt;&gt;"",'Data Source'!S115="F"),'Data Source'!B115,"")</f>
        <v/>
      </c>
      <c r="C115" s="3">
        <f>IF(AND('Data Source'!B115&lt;&gt;"",'Data Source'!S115="F"),IF('Data Source'!U115&gt;=5,"A+",IF('Data Source'!U115&gt;=4,"A",IF('Data Source'!U115&gt;=3.5,"A-",IF('Data Source'!U115&gt;=3,"B",IF('Data Source'!U115&gt;=2,"C",IF('Data Source'!U115&gt;=1,"D","F")))))),"")</f>
        <v/>
      </c>
      <c r="D115" s="3">
        <f>IF(AND('Data Source'!B115&lt;&gt;"",'Data Source'!S115="F"),IF('Data Source'!V115&gt;=5,"A+",IF('Data Source'!V115&gt;=4,"A",IF('Data Source'!V115&gt;=3.5,"A-",IF('Data Source'!V115&gt;=3,"B",IF('Data Source'!V115&gt;=2,"C",IF('Data Source'!V115&gt;=1,"D","F")))))),"")</f>
        <v/>
      </c>
      <c r="E115" s="3">
        <f>IF(AND('Data Source'!B115&lt;&gt;"",'Data Source'!S115="F"),IF('Data Source'!W115&gt;=5,"A+",IF('Data Source'!W115&gt;=4,"A",IF('Data Source'!W115&gt;=3.5,"A-",IF('Data Source'!W115&gt;=3,"B",IF('Data Source'!W115&gt;=2,"C",IF('Data Source'!W115&gt;=1,"D","F")))))),"")</f>
        <v/>
      </c>
      <c r="F115" s="3">
        <f>IF(AND('Data Source'!B115&lt;&gt;"",'Data Source'!S115="F"),IF('Data Source'!X115&gt;=5,"A+",IF('Data Source'!X115&gt;=4,"A",IF('Data Source'!X115&gt;=3.5,"A-",IF('Data Source'!X115&gt;=3,"B",IF('Data Source'!X115&gt;=2,"C",IF('Data Source'!X115&gt;=1,"D","F")))))),"")</f>
        <v/>
      </c>
      <c r="G115" s="3">
        <f>IF(AND('Data Source'!B115&lt;&gt;"",'Data Source'!S115="F"),IF('Data Source'!Y115&gt;=5,"A+",IF('Data Source'!Y115&gt;=4,"A",IF('Data Source'!Y115&gt;=3.5,"A-",IF('Data Source'!Y115&gt;=3,"B",IF('Data Source'!Y115&gt;=2,"C",IF('Data Source'!Y115&gt;=1,"D","F")))))),"")</f>
        <v/>
      </c>
      <c r="H115" s="3">
        <f>IF(AND('Data Source'!B115&lt;&gt;"",'Data Source'!S115="F"),IF('Data Source'!Z115&gt;=5,"A+",IF('Data Source'!Z115&gt;=4,"A",IF('Data Source'!Z115&gt;=3.5,"A-",IF('Data Source'!Z115&gt;=3,"B",IF('Data Source'!Z115&gt;=2,"C",IF('Data Source'!Z115&gt;=1,"D","F")))))),"")</f>
        <v/>
      </c>
      <c r="I115" s="3">
        <f>IF(AND('Data Source'!B115&lt;&gt;"",'Data Source'!S115="F"),IF('Data Source'!AA115&gt;=5,"A+",IF('Data Source'!AA115&gt;=4,"A",IF('Data Source'!AA115&gt;=3.5,"A-",IF('Data Source'!AA115&gt;=3,"B",IF('Data Source'!AA115&gt;=2,"C",IF('Data Source'!AA115&gt;=1,"D","F")))))),"")</f>
        <v/>
      </c>
      <c r="J115" s="3">
        <f>IF(AND('Data Source'!B115&lt;&gt;"",'Data Source'!S115="F"),IF('Data Source'!AB115&gt;=5,"A+",IF('Data Source'!AB115&gt;=4,"A",IF('Data Source'!AB115&gt;=3.5,"A-",IF('Data Source'!AB115&gt;=3,"B",IF('Data Source'!AB115&gt;=2,"C",IF('Data Source'!AB115&gt;=1,"D","F")))))),"")</f>
        <v/>
      </c>
      <c r="K115" s="3">
        <f>IF(AND('Data Source'!B115&lt;&gt;"",'Data Source'!S115="F"),IF('Data Source'!AC115&gt;=5,"A+",IF('Data Source'!AC115&gt;=4,"A",IF('Data Source'!AC115&gt;=3.5,"A-",IF('Data Source'!AC115&gt;=3,"B",IF('Data Source'!AC115&gt;=2,"C",IF('Data Source'!AC115&gt;=1,"D","F")))))),"")</f>
        <v/>
      </c>
      <c r="L115" s="3">
        <f>IF(AND('Data Source'!B115&lt;&gt;"",'Data Source'!S115="F"),IF('Data Source'!AD115&gt;=5,"A+",IF('Data Source'!AD115&gt;=4,"A",IF('Data Source'!AD115&gt;=3.5,"A-",IF('Data Source'!AD115&gt;=3,"B",IF('Data Source'!AD115&gt;=2,"C",IF('Data Source'!AD115&gt;=1,"D","F")))))),"")</f>
        <v/>
      </c>
      <c r="M115" s="3">
        <f>IF(AND('Data Source'!B115&lt;&gt;"",'Data Source'!S115="F"),IF('Data Source'!AE115&gt;=5,"A+",IF('Data Source'!AE115&gt;=4,"A",IF('Data Source'!AE115&gt;=3.5,"A-",IF('Data Source'!AE115&gt;=3,"B",IF('Data Source'!AE115&gt;=2,"C",IF('Data Source'!AE115&gt;=1,"D","F")))))),"")</f>
        <v/>
      </c>
      <c r="N115" s="3">
        <f>IF(AND('Data Source'!B115&lt;&gt;"",'Data Source'!S115="F"),IF('Data Source'!AF115&gt;=5,"A+",IF('Data Source'!AF115&gt;=4,"A",IF('Data Source'!AF115&gt;=3.5,"A-",IF('Data Source'!AF115&gt;=3,"B",IF('Data Source'!AF115&gt;=2,"C",IF('Data Source'!AF115&gt;=1,"D","F")))))),"")</f>
        <v/>
      </c>
      <c r="O115" s="3">
        <f>IF(AND('Data Source'!B115&lt;&gt;"",'Data Source'!S115="F"),IF('Data Source'!AG115&gt;=5,"A+",IF('Data Source'!AG115&gt;=4,"A",IF('Data Source'!AG115&gt;=3.5,"A-",IF('Data Source'!AG115&gt;=3,"B",IF('Data Source'!AG115&gt;=2,"C",IF('Data Source'!AG115&gt;=1,"D","F")))))),"")</f>
        <v/>
      </c>
      <c r="P115" s="5">
        <f>IF(AND('Data Source'!B115&lt;&gt;"",'Data Source'!S115="F"),'Data Source'!R115,"")</f>
        <v/>
      </c>
      <c r="Q115" s="3">
        <f>IF(AND('Data Source'!B115&lt;&gt;"",'Data Source'!S115="F"),'Data Source'!S115,"")</f>
        <v/>
      </c>
    </row>
    <row r="116">
      <c r="A116" s="3">
        <f>IF(AND('Data Source'!B116&lt;&gt;"",'Data Source'!S116="F"),COUNTIF('Data Source'!$S$3:S116,"F"),"")</f>
        <v/>
      </c>
      <c r="B116">
        <f>IF(AND('Data Source'!B116&lt;&gt;"",'Data Source'!S116="F"),'Data Source'!B116,"")</f>
        <v/>
      </c>
      <c r="C116" s="3">
        <f>IF(AND('Data Source'!B116&lt;&gt;"",'Data Source'!S116="F"),IF('Data Source'!U116&gt;=5,"A+",IF('Data Source'!U116&gt;=4,"A",IF('Data Source'!U116&gt;=3.5,"A-",IF('Data Source'!U116&gt;=3,"B",IF('Data Source'!U116&gt;=2,"C",IF('Data Source'!U116&gt;=1,"D","F")))))),"")</f>
        <v/>
      </c>
      <c r="D116" s="3">
        <f>IF(AND('Data Source'!B116&lt;&gt;"",'Data Source'!S116="F"),IF('Data Source'!V116&gt;=5,"A+",IF('Data Source'!V116&gt;=4,"A",IF('Data Source'!V116&gt;=3.5,"A-",IF('Data Source'!V116&gt;=3,"B",IF('Data Source'!V116&gt;=2,"C",IF('Data Source'!V116&gt;=1,"D","F")))))),"")</f>
        <v/>
      </c>
      <c r="E116" s="3">
        <f>IF(AND('Data Source'!B116&lt;&gt;"",'Data Source'!S116="F"),IF('Data Source'!W116&gt;=5,"A+",IF('Data Source'!W116&gt;=4,"A",IF('Data Source'!W116&gt;=3.5,"A-",IF('Data Source'!W116&gt;=3,"B",IF('Data Source'!W116&gt;=2,"C",IF('Data Source'!W116&gt;=1,"D","F")))))),"")</f>
        <v/>
      </c>
      <c r="F116" s="3">
        <f>IF(AND('Data Source'!B116&lt;&gt;"",'Data Source'!S116="F"),IF('Data Source'!X116&gt;=5,"A+",IF('Data Source'!X116&gt;=4,"A",IF('Data Source'!X116&gt;=3.5,"A-",IF('Data Source'!X116&gt;=3,"B",IF('Data Source'!X116&gt;=2,"C",IF('Data Source'!X116&gt;=1,"D","F")))))),"")</f>
        <v/>
      </c>
      <c r="G116" s="3">
        <f>IF(AND('Data Source'!B116&lt;&gt;"",'Data Source'!S116="F"),IF('Data Source'!Y116&gt;=5,"A+",IF('Data Source'!Y116&gt;=4,"A",IF('Data Source'!Y116&gt;=3.5,"A-",IF('Data Source'!Y116&gt;=3,"B",IF('Data Source'!Y116&gt;=2,"C",IF('Data Source'!Y116&gt;=1,"D","F")))))),"")</f>
        <v/>
      </c>
      <c r="H116" s="3">
        <f>IF(AND('Data Source'!B116&lt;&gt;"",'Data Source'!S116="F"),IF('Data Source'!Z116&gt;=5,"A+",IF('Data Source'!Z116&gt;=4,"A",IF('Data Source'!Z116&gt;=3.5,"A-",IF('Data Source'!Z116&gt;=3,"B",IF('Data Source'!Z116&gt;=2,"C",IF('Data Source'!Z116&gt;=1,"D","F")))))),"")</f>
        <v/>
      </c>
      <c r="I116" s="3">
        <f>IF(AND('Data Source'!B116&lt;&gt;"",'Data Source'!S116="F"),IF('Data Source'!AA116&gt;=5,"A+",IF('Data Source'!AA116&gt;=4,"A",IF('Data Source'!AA116&gt;=3.5,"A-",IF('Data Source'!AA116&gt;=3,"B",IF('Data Source'!AA116&gt;=2,"C",IF('Data Source'!AA116&gt;=1,"D","F")))))),"")</f>
        <v/>
      </c>
      <c r="J116" s="3">
        <f>IF(AND('Data Source'!B116&lt;&gt;"",'Data Source'!S116="F"),IF('Data Source'!AB116&gt;=5,"A+",IF('Data Source'!AB116&gt;=4,"A",IF('Data Source'!AB116&gt;=3.5,"A-",IF('Data Source'!AB116&gt;=3,"B",IF('Data Source'!AB116&gt;=2,"C",IF('Data Source'!AB116&gt;=1,"D","F")))))),"")</f>
        <v/>
      </c>
      <c r="K116" s="3">
        <f>IF(AND('Data Source'!B116&lt;&gt;"",'Data Source'!S116="F"),IF('Data Source'!AC116&gt;=5,"A+",IF('Data Source'!AC116&gt;=4,"A",IF('Data Source'!AC116&gt;=3.5,"A-",IF('Data Source'!AC116&gt;=3,"B",IF('Data Source'!AC116&gt;=2,"C",IF('Data Source'!AC116&gt;=1,"D","F")))))),"")</f>
        <v/>
      </c>
      <c r="L116" s="3">
        <f>IF(AND('Data Source'!B116&lt;&gt;"",'Data Source'!S116="F"),IF('Data Source'!AD116&gt;=5,"A+",IF('Data Source'!AD116&gt;=4,"A",IF('Data Source'!AD116&gt;=3.5,"A-",IF('Data Source'!AD116&gt;=3,"B",IF('Data Source'!AD116&gt;=2,"C",IF('Data Source'!AD116&gt;=1,"D","F")))))),"")</f>
        <v/>
      </c>
      <c r="M116" s="3">
        <f>IF(AND('Data Source'!B116&lt;&gt;"",'Data Source'!S116="F"),IF('Data Source'!AE116&gt;=5,"A+",IF('Data Source'!AE116&gt;=4,"A",IF('Data Source'!AE116&gt;=3.5,"A-",IF('Data Source'!AE116&gt;=3,"B",IF('Data Source'!AE116&gt;=2,"C",IF('Data Source'!AE116&gt;=1,"D","F")))))),"")</f>
        <v/>
      </c>
      <c r="N116" s="3">
        <f>IF(AND('Data Source'!B116&lt;&gt;"",'Data Source'!S116="F"),IF('Data Source'!AF116&gt;=5,"A+",IF('Data Source'!AF116&gt;=4,"A",IF('Data Source'!AF116&gt;=3.5,"A-",IF('Data Source'!AF116&gt;=3,"B",IF('Data Source'!AF116&gt;=2,"C",IF('Data Source'!AF116&gt;=1,"D","F")))))),"")</f>
        <v/>
      </c>
      <c r="O116" s="3">
        <f>IF(AND('Data Source'!B116&lt;&gt;"",'Data Source'!S116="F"),IF('Data Source'!AG116&gt;=5,"A+",IF('Data Source'!AG116&gt;=4,"A",IF('Data Source'!AG116&gt;=3.5,"A-",IF('Data Source'!AG116&gt;=3,"B",IF('Data Source'!AG116&gt;=2,"C",IF('Data Source'!AG116&gt;=1,"D","F")))))),"")</f>
        <v/>
      </c>
      <c r="P116" s="5">
        <f>IF(AND('Data Source'!B116&lt;&gt;"",'Data Source'!S116="F"),'Data Source'!R116,"")</f>
        <v/>
      </c>
      <c r="Q116" s="3">
        <f>IF(AND('Data Source'!B116&lt;&gt;"",'Data Source'!S116="F"),'Data Source'!S116,"")</f>
        <v/>
      </c>
    </row>
    <row r="117">
      <c r="A117" s="3">
        <f>IF(AND('Data Source'!B117&lt;&gt;"",'Data Source'!S117="F"),COUNTIF('Data Source'!$S$3:S117,"F"),"")</f>
        <v/>
      </c>
      <c r="B117">
        <f>IF(AND('Data Source'!B117&lt;&gt;"",'Data Source'!S117="F"),'Data Source'!B117,"")</f>
        <v/>
      </c>
      <c r="C117" s="3">
        <f>IF(AND('Data Source'!B117&lt;&gt;"",'Data Source'!S117="F"),IF('Data Source'!U117&gt;=5,"A+",IF('Data Source'!U117&gt;=4,"A",IF('Data Source'!U117&gt;=3.5,"A-",IF('Data Source'!U117&gt;=3,"B",IF('Data Source'!U117&gt;=2,"C",IF('Data Source'!U117&gt;=1,"D","F")))))),"")</f>
        <v/>
      </c>
      <c r="D117" s="3">
        <f>IF(AND('Data Source'!B117&lt;&gt;"",'Data Source'!S117="F"),IF('Data Source'!V117&gt;=5,"A+",IF('Data Source'!V117&gt;=4,"A",IF('Data Source'!V117&gt;=3.5,"A-",IF('Data Source'!V117&gt;=3,"B",IF('Data Source'!V117&gt;=2,"C",IF('Data Source'!V117&gt;=1,"D","F")))))),"")</f>
        <v/>
      </c>
      <c r="E117" s="3">
        <f>IF(AND('Data Source'!B117&lt;&gt;"",'Data Source'!S117="F"),IF('Data Source'!W117&gt;=5,"A+",IF('Data Source'!W117&gt;=4,"A",IF('Data Source'!W117&gt;=3.5,"A-",IF('Data Source'!W117&gt;=3,"B",IF('Data Source'!W117&gt;=2,"C",IF('Data Source'!W117&gt;=1,"D","F")))))),"")</f>
        <v/>
      </c>
      <c r="F117" s="3">
        <f>IF(AND('Data Source'!B117&lt;&gt;"",'Data Source'!S117="F"),IF('Data Source'!X117&gt;=5,"A+",IF('Data Source'!X117&gt;=4,"A",IF('Data Source'!X117&gt;=3.5,"A-",IF('Data Source'!X117&gt;=3,"B",IF('Data Source'!X117&gt;=2,"C",IF('Data Source'!X117&gt;=1,"D","F")))))),"")</f>
        <v/>
      </c>
      <c r="G117" s="3">
        <f>IF(AND('Data Source'!B117&lt;&gt;"",'Data Source'!S117="F"),IF('Data Source'!Y117&gt;=5,"A+",IF('Data Source'!Y117&gt;=4,"A",IF('Data Source'!Y117&gt;=3.5,"A-",IF('Data Source'!Y117&gt;=3,"B",IF('Data Source'!Y117&gt;=2,"C",IF('Data Source'!Y117&gt;=1,"D","F")))))),"")</f>
        <v/>
      </c>
      <c r="H117" s="3">
        <f>IF(AND('Data Source'!B117&lt;&gt;"",'Data Source'!S117="F"),IF('Data Source'!Z117&gt;=5,"A+",IF('Data Source'!Z117&gt;=4,"A",IF('Data Source'!Z117&gt;=3.5,"A-",IF('Data Source'!Z117&gt;=3,"B",IF('Data Source'!Z117&gt;=2,"C",IF('Data Source'!Z117&gt;=1,"D","F")))))),"")</f>
        <v/>
      </c>
      <c r="I117" s="3">
        <f>IF(AND('Data Source'!B117&lt;&gt;"",'Data Source'!S117="F"),IF('Data Source'!AA117&gt;=5,"A+",IF('Data Source'!AA117&gt;=4,"A",IF('Data Source'!AA117&gt;=3.5,"A-",IF('Data Source'!AA117&gt;=3,"B",IF('Data Source'!AA117&gt;=2,"C",IF('Data Source'!AA117&gt;=1,"D","F")))))),"")</f>
        <v/>
      </c>
      <c r="J117" s="3">
        <f>IF(AND('Data Source'!B117&lt;&gt;"",'Data Source'!S117="F"),IF('Data Source'!AB117&gt;=5,"A+",IF('Data Source'!AB117&gt;=4,"A",IF('Data Source'!AB117&gt;=3.5,"A-",IF('Data Source'!AB117&gt;=3,"B",IF('Data Source'!AB117&gt;=2,"C",IF('Data Source'!AB117&gt;=1,"D","F")))))),"")</f>
        <v/>
      </c>
      <c r="K117" s="3">
        <f>IF(AND('Data Source'!B117&lt;&gt;"",'Data Source'!S117="F"),IF('Data Source'!AC117&gt;=5,"A+",IF('Data Source'!AC117&gt;=4,"A",IF('Data Source'!AC117&gt;=3.5,"A-",IF('Data Source'!AC117&gt;=3,"B",IF('Data Source'!AC117&gt;=2,"C",IF('Data Source'!AC117&gt;=1,"D","F")))))),"")</f>
        <v/>
      </c>
      <c r="L117" s="3">
        <f>IF(AND('Data Source'!B117&lt;&gt;"",'Data Source'!S117="F"),IF('Data Source'!AD117&gt;=5,"A+",IF('Data Source'!AD117&gt;=4,"A",IF('Data Source'!AD117&gt;=3.5,"A-",IF('Data Source'!AD117&gt;=3,"B",IF('Data Source'!AD117&gt;=2,"C",IF('Data Source'!AD117&gt;=1,"D","F")))))),"")</f>
        <v/>
      </c>
      <c r="M117" s="3">
        <f>IF(AND('Data Source'!B117&lt;&gt;"",'Data Source'!S117="F"),IF('Data Source'!AE117&gt;=5,"A+",IF('Data Source'!AE117&gt;=4,"A",IF('Data Source'!AE117&gt;=3.5,"A-",IF('Data Source'!AE117&gt;=3,"B",IF('Data Source'!AE117&gt;=2,"C",IF('Data Source'!AE117&gt;=1,"D","F")))))),"")</f>
        <v/>
      </c>
      <c r="N117" s="3">
        <f>IF(AND('Data Source'!B117&lt;&gt;"",'Data Source'!S117="F"),IF('Data Source'!AF117&gt;=5,"A+",IF('Data Source'!AF117&gt;=4,"A",IF('Data Source'!AF117&gt;=3.5,"A-",IF('Data Source'!AF117&gt;=3,"B",IF('Data Source'!AF117&gt;=2,"C",IF('Data Source'!AF117&gt;=1,"D","F")))))),"")</f>
        <v/>
      </c>
      <c r="O117" s="3">
        <f>IF(AND('Data Source'!B117&lt;&gt;"",'Data Source'!S117="F"),IF('Data Source'!AG117&gt;=5,"A+",IF('Data Source'!AG117&gt;=4,"A",IF('Data Source'!AG117&gt;=3.5,"A-",IF('Data Source'!AG117&gt;=3,"B",IF('Data Source'!AG117&gt;=2,"C",IF('Data Source'!AG117&gt;=1,"D","F")))))),"")</f>
        <v/>
      </c>
      <c r="P117" s="5">
        <f>IF(AND('Data Source'!B117&lt;&gt;"",'Data Source'!S117="F"),'Data Source'!R117,"")</f>
        <v/>
      </c>
      <c r="Q117" s="3">
        <f>IF(AND('Data Source'!B117&lt;&gt;"",'Data Source'!S117="F"),'Data Source'!S117,"")</f>
        <v/>
      </c>
    </row>
    <row r="118">
      <c r="A118" s="3">
        <f>IF(AND('Data Source'!B118&lt;&gt;"",'Data Source'!S118="F"),COUNTIF('Data Source'!$S$3:S118,"F"),"")</f>
        <v/>
      </c>
      <c r="B118">
        <f>IF(AND('Data Source'!B118&lt;&gt;"",'Data Source'!S118="F"),'Data Source'!B118,"")</f>
        <v/>
      </c>
      <c r="C118" s="3">
        <f>IF(AND('Data Source'!B118&lt;&gt;"",'Data Source'!S118="F"),IF('Data Source'!U118&gt;=5,"A+",IF('Data Source'!U118&gt;=4,"A",IF('Data Source'!U118&gt;=3.5,"A-",IF('Data Source'!U118&gt;=3,"B",IF('Data Source'!U118&gt;=2,"C",IF('Data Source'!U118&gt;=1,"D","F")))))),"")</f>
        <v/>
      </c>
      <c r="D118" s="3">
        <f>IF(AND('Data Source'!B118&lt;&gt;"",'Data Source'!S118="F"),IF('Data Source'!V118&gt;=5,"A+",IF('Data Source'!V118&gt;=4,"A",IF('Data Source'!V118&gt;=3.5,"A-",IF('Data Source'!V118&gt;=3,"B",IF('Data Source'!V118&gt;=2,"C",IF('Data Source'!V118&gt;=1,"D","F")))))),"")</f>
        <v/>
      </c>
      <c r="E118" s="3">
        <f>IF(AND('Data Source'!B118&lt;&gt;"",'Data Source'!S118="F"),IF('Data Source'!W118&gt;=5,"A+",IF('Data Source'!W118&gt;=4,"A",IF('Data Source'!W118&gt;=3.5,"A-",IF('Data Source'!W118&gt;=3,"B",IF('Data Source'!W118&gt;=2,"C",IF('Data Source'!W118&gt;=1,"D","F")))))),"")</f>
        <v/>
      </c>
      <c r="F118" s="3">
        <f>IF(AND('Data Source'!B118&lt;&gt;"",'Data Source'!S118="F"),IF('Data Source'!X118&gt;=5,"A+",IF('Data Source'!X118&gt;=4,"A",IF('Data Source'!X118&gt;=3.5,"A-",IF('Data Source'!X118&gt;=3,"B",IF('Data Source'!X118&gt;=2,"C",IF('Data Source'!X118&gt;=1,"D","F")))))),"")</f>
        <v/>
      </c>
      <c r="G118" s="3">
        <f>IF(AND('Data Source'!B118&lt;&gt;"",'Data Source'!S118="F"),IF('Data Source'!Y118&gt;=5,"A+",IF('Data Source'!Y118&gt;=4,"A",IF('Data Source'!Y118&gt;=3.5,"A-",IF('Data Source'!Y118&gt;=3,"B",IF('Data Source'!Y118&gt;=2,"C",IF('Data Source'!Y118&gt;=1,"D","F")))))),"")</f>
        <v/>
      </c>
      <c r="H118" s="3">
        <f>IF(AND('Data Source'!B118&lt;&gt;"",'Data Source'!S118="F"),IF('Data Source'!Z118&gt;=5,"A+",IF('Data Source'!Z118&gt;=4,"A",IF('Data Source'!Z118&gt;=3.5,"A-",IF('Data Source'!Z118&gt;=3,"B",IF('Data Source'!Z118&gt;=2,"C",IF('Data Source'!Z118&gt;=1,"D","F")))))),"")</f>
        <v/>
      </c>
      <c r="I118" s="3">
        <f>IF(AND('Data Source'!B118&lt;&gt;"",'Data Source'!S118="F"),IF('Data Source'!AA118&gt;=5,"A+",IF('Data Source'!AA118&gt;=4,"A",IF('Data Source'!AA118&gt;=3.5,"A-",IF('Data Source'!AA118&gt;=3,"B",IF('Data Source'!AA118&gt;=2,"C",IF('Data Source'!AA118&gt;=1,"D","F")))))),"")</f>
        <v/>
      </c>
      <c r="J118" s="3">
        <f>IF(AND('Data Source'!B118&lt;&gt;"",'Data Source'!S118="F"),IF('Data Source'!AB118&gt;=5,"A+",IF('Data Source'!AB118&gt;=4,"A",IF('Data Source'!AB118&gt;=3.5,"A-",IF('Data Source'!AB118&gt;=3,"B",IF('Data Source'!AB118&gt;=2,"C",IF('Data Source'!AB118&gt;=1,"D","F")))))),"")</f>
        <v/>
      </c>
      <c r="K118" s="3">
        <f>IF(AND('Data Source'!B118&lt;&gt;"",'Data Source'!S118="F"),IF('Data Source'!AC118&gt;=5,"A+",IF('Data Source'!AC118&gt;=4,"A",IF('Data Source'!AC118&gt;=3.5,"A-",IF('Data Source'!AC118&gt;=3,"B",IF('Data Source'!AC118&gt;=2,"C",IF('Data Source'!AC118&gt;=1,"D","F")))))),"")</f>
        <v/>
      </c>
      <c r="L118" s="3">
        <f>IF(AND('Data Source'!B118&lt;&gt;"",'Data Source'!S118="F"),IF('Data Source'!AD118&gt;=5,"A+",IF('Data Source'!AD118&gt;=4,"A",IF('Data Source'!AD118&gt;=3.5,"A-",IF('Data Source'!AD118&gt;=3,"B",IF('Data Source'!AD118&gt;=2,"C",IF('Data Source'!AD118&gt;=1,"D","F")))))),"")</f>
        <v/>
      </c>
      <c r="M118" s="3">
        <f>IF(AND('Data Source'!B118&lt;&gt;"",'Data Source'!S118="F"),IF('Data Source'!AE118&gt;=5,"A+",IF('Data Source'!AE118&gt;=4,"A",IF('Data Source'!AE118&gt;=3.5,"A-",IF('Data Source'!AE118&gt;=3,"B",IF('Data Source'!AE118&gt;=2,"C",IF('Data Source'!AE118&gt;=1,"D","F")))))),"")</f>
        <v/>
      </c>
      <c r="N118" s="3">
        <f>IF(AND('Data Source'!B118&lt;&gt;"",'Data Source'!S118="F"),IF('Data Source'!AF118&gt;=5,"A+",IF('Data Source'!AF118&gt;=4,"A",IF('Data Source'!AF118&gt;=3.5,"A-",IF('Data Source'!AF118&gt;=3,"B",IF('Data Source'!AF118&gt;=2,"C",IF('Data Source'!AF118&gt;=1,"D","F")))))),"")</f>
        <v/>
      </c>
      <c r="O118" s="3">
        <f>IF(AND('Data Source'!B118&lt;&gt;"",'Data Source'!S118="F"),IF('Data Source'!AG118&gt;=5,"A+",IF('Data Source'!AG118&gt;=4,"A",IF('Data Source'!AG118&gt;=3.5,"A-",IF('Data Source'!AG118&gt;=3,"B",IF('Data Source'!AG118&gt;=2,"C",IF('Data Source'!AG118&gt;=1,"D","F")))))),"")</f>
        <v/>
      </c>
      <c r="P118" s="5">
        <f>IF(AND('Data Source'!B118&lt;&gt;"",'Data Source'!S118="F"),'Data Source'!R118,"")</f>
        <v/>
      </c>
      <c r="Q118" s="3">
        <f>IF(AND('Data Source'!B118&lt;&gt;"",'Data Source'!S118="F"),'Data Source'!S118,"")</f>
        <v/>
      </c>
    </row>
    <row r="119">
      <c r="A119" s="3">
        <f>IF(AND('Data Source'!B119&lt;&gt;"",'Data Source'!S119="F"),COUNTIF('Data Source'!$S$3:S119,"F"),"")</f>
        <v/>
      </c>
      <c r="B119">
        <f>IF(AND('Data Source'!B119&lt;&gt;"",'Data Source'!S119="F"),'Data Source'!B119,"")</f>
        <v/>
      </c>
      <c r="C119" s="3">
        <f>IF(AND('Data Source'!B119&lt;&gt;"",'Data Source'!S119="F"),IF('Data Source'!U119&gt;=5,"A+",IF('Data Source'!U119&gt;=4,"A",IF('Data Source'!U119&gt;=3.5,"A-",IF('Data Source'!U119&gt;=3,"B",IF('Data Source'!U119&gt;=2,"C",IF('Data Source'!U119&gt;=1,"D","F")))))),"")</f>
        <v/>
      </c>
      <c r="D119" s="3">
        <f>IF(AND('Data Source'!B119&lt;&gt;"",'Data Source'!S119="F"),IF('Data Source'!V119&gt;=5,"A+",IF('Data Source'!V119&gt;=4,"A",IF('Data Source'!V119&gt;=3.5,"A-",IF('Data Source'!V119&gt;=3,"B",IF('Data Source'!V119&gt;=2,"C",IF('Data Source'!V119&gt;=1,"D","F")))))),"")</f>
        <v/>
      </c>
      <c r="E119" s="3">
        <f>IF(AND('Data Source'!B119&lt;&gt;"",'Data Source'!S119="F"),IF('Data Source'!W119&gt;=5,"A+",IF('Data Source'!W119&gt;=4,"A",IF('Data Source'!W119&gt;=3.5,"A-",IF('Data Source'!W119&gt;=3,"B",IF('Data Source'!W119&gt;=2,"C",IF('Data Source'!W119&gt;=1,"D","F")))))),"")</f>
        <v/>
      </c>
      <c r="F119" s="3">
        <f>IF(AND('Data Source'!B119&lt;&gt;"",'Data Source'!S119="F"),IF('Data Source'!X119&gt;=5,"A+",IF('Data Source'!X119&gt;=4,"A",IF('Data Source'!X119&gt;=3.5,"A-",IF('Data Source'!X119&gt;=3,"B",IF('Data Source'!X119&gt;=2,"C",IF('Data Source'!X119&gt;=1,"D","F")))))),"")</f>
        <v/>
      </c>
      <c r="G119" s="3">
        <f>IF(AND('Data Source'!B119&lt;&gt;"",'Data Source'!S119="F"),IF('Data Source'!Y119&gt;=5,"A+",IF('Data Source'!Y119&gt;=4,"A",IF('Data Source'!Y119&gt;=3.5,"A-",IF('Data Source'!Y119&gt;=3,"B",IF('Data Source'!Y119&gt;=2,"C",IF('Data Source'!Y119&gt;=1,"D","F")))))),"")</f>
        <v/>
      </c>
      <c r="H119" s="3">
        <f>IF(AND('Data Source'!B119&lt;&gt;"",'Data Source'!S119="F"),IF('Data Source'!Z119&gt;=5,"A+",IF('Data Source'!Z119&gt;=4,"A",IF('Data Source'!Z119&gt;=3.5,"A-",IF('Data Source'!Z119&gt;=3,"B",IF('Data Source'!Z119&gt;=2,"C",IF('Data Source'!Z119&gt;=1,"D","F")))))),"")</f>
        <v/>
      </c>
      <c r="I119" s="3">
        <f>IF(AND('Data Source'!B119&lt;&gt;"",'Data Source'!S119="F"),IF('Data Source'!AA119&gt;=5,"A+",IF('Data Source'!AA119&gt;=4,"A",IF('Data Source'!AA119&gt;=3.5,"A-",IF('Data Source'!AA119&gt;=3,"B",IF('Data Source'!AA119&gt;=2,"C",IF('Data Source'!AA119&gt;=1,"D","F")))))),"")</f>
        <v/>
      </c>
      <c r="J119" s="3">
        <f>IF(AND('Data Source'!B119&lt;&gt;"",'Data Source'!S119="F"),IF('Data Source'!AB119&gt;=5,"A+",IF('Data Source'!AB119&gt;=4,"A",IF('Data Source'!AB119&gt;=3.5,"A-",IF('Data Source'!AB119&gt;=3,"B",IF('Data Source'!AB119&gt;=2,"C",IF('Data Source'!AB119&gt;=1,"D","F")))))),"")</f>
        <v/>
      </c>
      <c r="K119" s="3">
        <f>IF(AND('Data Source'!B119&lt;&gt;"",'Data Source'!S119="F"),IF('Data Source'!AC119&gt;=5,"A+",IF('Data Source'!AC119&gt;=4,"A",IF('Data Source'!AC119&gt;=3.5,"A-",IF('Data Source'!AC119&gt;=3,"B",IF('Data Source'!AC119&gt;=2,"C",IF('Data Source'!AC119&gt;=1,"D","F")))))),"")</f>
        <v/>
      </c>
      <c r="L119" s="3">
        <f>IF(AND('Data Source'!B119&lt;&gt;"",'Data Source'!S119="F"),IF('Data Source'!AD119&gt;=5,"A+",IF('Data Source'!AD119&gt;=4,"A",IF('Data Source'!AD119&gt;=3.5,"A-",IF('Data Source'!AD119&gt;=3,"B",IF('Data Source'!AD119&gt;=2,"C",IF('Data Source'!AD119&gt;=1,"D","F")))))),"")</f>
        <v/>
      </c>
      <c r="M119" s="3">
        <f>IF(AND('Data Source'!B119&lt;&gt;"",'Data Source'!S119="F"),IF('Data Source'!AE119&gt;=5,"A+",IF('Data Source'!AE119&gt;=4,"A",IF('Data Source'!AE119&gt;=3.5,"A-",IF('Data Source'!AE119&gt;=3,"B",IF('Data Source'!AE119&gt;=2,"C",IF('Data Source'!AE119&gt;=1,"D","F")))))),"")</f>
        <v/>
      </c>
      <c r="N119" s="3">
        <f>IF(AND('Data Source'!B119&lt;&gt;"",'Data Source'!S119="F"),IF('Data Source'!AF119&gt;=5,"A+",IF('Data Source'!AF119&gt;=4,"A",IF('Data Source'!AF119&gt;=3.5,"A-",IF('Data Source'!AF119&gt;=3,"B",IF('Data Source'!AF119&gt;=2,"C",IF('Data Source'!AF119&gt;=1,"D","F")))))),"")</f>
        <v/>
      </c>
      <c r="O119" s="3">
        <f>IF(AND('Data Source'!B119&lt;&gt;"",'Data Source'!S119="F"),IF('Data Source'!AG119&gt;=5,"A+",IF('Data Source'!AG119&gt;=4,"A",IF('Data Source'!AG119&gt;=3.5,"A-",IF('Data Source'!AG119&gt;=3,"B",IF('Data Source'!AG119&gt;=2,"C",IF('Data Source'!AG119&gt;=1,"D","F")))))),"")</f>
        <v/>
      </c>
      <c r="P119" s="5">
        <f>IF(AND('Data Source'!B119&lt;&gt;"",'Data Source'!S119="F"),'Data Source'!R119,"")</f>
        <v/>
      </c>
      <c r="Q119" s="3">
        <f>IF(AND('Data Source'!B119&lt;&gt;"",'Data Source'!S119="F"),'Data Source'!S119,"")</f>
        <v/>
      </c>
    </row>
    <row r="120">
      <c r="A120" s="3">
        <f>IF(AND('Data Source'!B120&lt;&gt;"",'Data Source'!S120="F"),COUNTIF('Data Source'!$S$3:S120,"F"),"")</f>
        <v/>
      </c>
      <c r="B120">
        <f>IF(AND('Data Source'!B120&lt;&gt;"",'Data Source'!S120="F"),'Data Source'!B120,"")</f>
        <v/>
      </c>
      <c r="C120" s="3">
        <f>IF(AND('Data Source'!B120&lt;&gt;"",'Data Source'!S120="F"),IF('Data Source'!U120&gt;=5,"A+",IF('Data Source'!U120&gt;=4,"A",IF('Data Source'!U120&gt;=3.5,"A-",IF('Data Source'!U120&gt;=3,"B",IF('Data Source'!U120&gt;=2,"C",IF('Data Source'!U120&gt;=1,"D","F")))))),"")</f>
        <v/>
      </c>
      <c r="D120" s="3">
        <f>IF(AND('Data Source'!B120&lt;&gt;"",'Data Source'!S120="F"),IF('Data Source'!V120&gt;=5,"A+",IF('Data Source'!V120&gt;=4,"A",IF('Data Source'!V120&gt;=3.5,"A-",IF('Data Source'!V120&gt;=3,"B",IF('Data Source'!V120&gt;=2,"C",IF('Data Source'!V120&gt;=1,"D","F")))))),"")</f>
        <v/>
      </c>
      <c r="E120" s="3">
        <f>IF(AND('Data Source'!B120&lt;&gt;"",'Data Source'!S120="F"),IF('Data Source'!W120&gt;=5,"A+",IF('Data Source'!W120&gt;=4,"A",IF('Data Source'!W120&gt;=3.5,"A-",IF('Data Source'!W120&gt;=3,"B",IF('Data Source'!W120&gt;=2,"C",IF('Data Source'!W120&gt;=1,"D","F")))))),"")</f>
        <v/>
      </c>
      <c r="F120" s="3">
        <f>IF(AND('Data Source'!B120&lt;&gt;"",'Data Source'!S120="F"),IF('Data Source'!X120&gt;=5,"A+",IF('Data Source'!X120&gt;=4,"A",IF('Data Source'!X120&gt;=3.5,"A-",IF('Data Source'!X120&gt;=3,"B",IF('Data Source'!X120&gt;=2,"C",IF('Data Source'!X120&gt;=1,"D","F")))))),"")</f>
        <v/>
      </c>
      <c r="G120" s="3">
        <f>IF(AND('Data Source'!B120&lt;&gt;"",'Data Source'!S120="F"),IF('Data Source'!Y120&gt;=5,"A+",IF('Data Source'!Y120&gt;=4,"A",IF('Data Source'!Y120&gt;=3.5,"A-",IF('Data Source'!Y120&gt;=3,"B",IF('Data Source'!Y120&gt;=2,"C",IF('Data Source'!Y120&gt;=1,"D","F")))))),"")</f>
        <v/>
      </c>
      <c r="H120" s="3">
        <f>IF(AND('Data Source'!B120&lt;&gt;"",'Data Source'!S120="F"),IF('Data Source'!Z120&gt;=5,"A+",IF('Data Source'!Z120&gt;=4,"A",IF('Data Source'!Z120&gt;=3.5,"A-",IF('Data Source'!Z120&gt;=3,"B",IF('Data Source'!Z120&gt;=2,"C",IF('Data Source'!Z120&gt;=1,"D","F")))))),"")</f>
        <v/>
      </c>
      <c r="I120" s="3">
        <f>IF(AND('Data Source'!B120&lt;&gt;"",'Data Source'!S120="F"),IF('Data Source'!AA120&gt;=5,"A+",IF('Data Source'!AA120&gt;=4,"A",IF('Data Source'!AA120&gt;=3.5,"A-",IF('Data Source'!AA120&gt;=3,"B",IF('Data Source'!AA120&gt;=2,"C",IF('Data Source'!AA120&gt;=1,"D","F")))))),"")</f>
        <v/>
      </c>
      <c r="J120" s="3">
        <f>IF(AND('Data Source'!B120&lt;&gt;"",'Data Source'!S120="F"),IF('Data Source'!AB120&gt;=5,"A+",IF('Data Source'!AB120&gt;=4,"A",IF('Data Source'!AB120&gt;=3.5,"A-",IF('Data Source'!AB120&gt;=3,"B",IF('Data Source'!AB120&gt;=2,"C",IF('Data Source'!AB120&gt;=1,"D","F")))))),"")</f>
        <v/>
      </c>
      <c r="K120" s="3">
        <f>IF(AND('Data Source'!B120&lt;&gt;"",'Data Source'!S120="F"),IF('Data Source'!AC120&gt;=5,"A+",IF('Data Source'!AC120&gt;=4,"A",IF('Data Source'!AC120&gt;=3.5,"A-",IF('Data Source'!AC120&gt;=3,"B",IF('Data Source'!AC120&gt;=2,"C",IF('Data Source'!AC120&gt;=1,"D","F")))))),"")</f>
        <v/>
      </c>
      <c r="L120" s="3">
        <f>IF(AND('Data Source'!B120&lt;&gt;"",'Data Source'!S120="F"),IF('Data Source'!AD120&gt;=5,"A+",IF('Data Source'!AD120&gt;=4,"A",IF('Data Source'!AD120&gt;=3.5,"A-",IF('Data Source'!AD120&gt;=3,"B",IF('Data Source'!AD120&gt;=2,"C",IF('Data Source'!AD120&gt;=1,"D","F")))))),"")</f>
        <v/>
      </c>
      <c r="M120" s="3">
        <f>IF(AND('Data Source'!B120&lt;&gt;"",'Data Source'!S120="F"),IF('Data Source'!AE120&gt;=5,"A+",IF('Data Source'!AE120&gt;=4,"A",IF('Data Source'!AE120&gt;=3.5,"A-",IF('Data Source'!AE120&gt;=3,"B",IF('Data Source'!AE120&gt;=2,"C",IF('Data Source'!AE120&gt;=1,"D","F")))))),"")</f>
        <v/>
      </c>
      <c r="N120" s="3">
        <f>IF(AND('Data Source'!B120&lt;&gt;"",'Data Source'!S120="F"),IF('Data Source'!AF120&gt;=5,"A+",IF('Data Source'!AF120&gt;=4,"A",IF('Data Source'!AF120&gt;=3.5,"A-",IF('Data Source'!AF120&gt;=3,"B",IF('Data Source'!AF120&gt;=2,"C",IF('Data Source'!AF120&gt;=1,"D","F")))))),"")</f>
        <v/>
      </c>
      <c r="O120" s="3">
        <f>IF(AND('Data Source'!B120&lt;&gt;"",'Data Source'!S120="F"),IF('Data Source'!AG120&gt;=5,"A+",IF('Data Source'!AG120&gt;=4,"A",IF('Data Source'!AG120&gt;=3.5,"A-",IF('Data Source'!AG120&gt;=3,"B",IF('Data Source'!AG120&gt;=2,"C",IF('Data Source'!AG120&gt;=1,"D","F")))))),"")</f>
        <v/>
      </c>
      <c r="P120" s="5">
        <f>IF(AND('Data Source'!B120&lt;&gt;"",'Data Source'!S120="F"),'Data Source'!R120,"")</f>
        <v/>
      </c>
      <c r="Q120" s="3">
        <f>IF(AND('Data Source'!B120&lt;&gt;"",'Data Source'!S120="F"),'Data Source'!S120,"")</f>
        <v/>
      </c>
    </row>
    <row r="121">
      <c r="A121" s="3">
        <f>IF(AND('Data Source'!B121&lt;&gt;"",'Data Source'!S121="F"),COUNTIF('Data Source'!$S$3:S121,"F"),"")</f>
        <v/>
      </c>
      <c r="B121">
        <f>IF(AND('Data Source'!B121&lt;&gt;"",'Data Source'!S121="F"),'Data Source'!B121,"")</f>
        <v/>
      </c>
      <c r="C121" s="3">
        <f>IF(AND('Data Source'!B121&lt;&gt;"",'Data Source'!S121="F"),IF('Data Source'!U121&gt;=5,"A+",IF('Data Source'!U121&gt;=4,"A",IF('Data Source'!U121&gt;=3.5,"A-",IF('Data Source'!U121&gt;=3,"B",IF('Data Source'!U121&gt;=2,"C",IF('Data Source'!U121&gt;=1,"D","F")))))),"")</f>
        <v/>
      </c>
      <c r="D121" s="3">
        <f>IF(AND('Data Source'!B121&lt;&gt;"",'Data Source'!S121="F"),IF('Data Source'!V121&gt;=5,"A+",IF('Data Source'!V121&gt;=4,"A",IF('Data Source'!V121&gt;=3.5,"A-",IF('Data Source'!V121&gt;=3,"B",IF('Data Source'!V121&gt;=2,"C",IF('Data Source'!V121&gt;=1,"D","F")))))),"")</f>
        <v/>
      </c>
      <c r="E121" s="3">
        <f>IF(AND('Data Source'!B121&lt;&gt;"",'Data Source'!S121="F"),IF('Data Source'!W121&gt;=5,"A+",IF('Data Source'!W121&gt;=4,"A",IF('Data Source'!W121&gt;=3.5,"A-",IF('Data Source'!W121&gt;=3,"B",IF('Data Source'!W121&gt;=2,"C",IF('Data Source'!W121&gt;=1,"D","F")))))),"")</f>
        <v/>
      </c>
      <c r="F121" s="3">
        <f>IF(AND('Data Source'!B121&lt;&gt;"",'Data Source'!S121="F"),IF('Data Source'!X121&gt;=5,"A+",IF('Data Source'!X121&gt;=4,"A",IF('Data Source'!X121&gt;=3.5,"A-",IF('Data Source'!X121&gt;=3,"B",IF('Data Source'!X121&gt;=2,"C",IF('Data Source'!X121&gt;=1,"D","F")))))),"")</f>
        <v/>
      </c>
      <c r="G121" s="3">
        <f>IF(AND('Data Source'!B121&lt;&gt;"",'Data Source'!S121="F"),IF('Data Source'!Y121&gt;=5,"A+",IF('Data Source'!Y121&gt;=4,"A",IF('Data Source'!Y121&gt;=3.5,"A-",IF('Data Source'!Y121&gt;=3,"B",IF('Data Source'!Y121&gt;=2,"C",IF('Data Source'!Y121&gt;=1,"D","F")))))),"")</f>
        <v/>
      </c>
      <c r="H121" s="3">
        <f>IF(AND('Data Source'!B121&lt;&gt;"",'Data Source'!S121="F"),IF('Data Source'!Z121&gt;=5,"A+",IF('Data Source'!Z121&gt;=4,"A",IF('Data Source'!Z121&gt;=3.5,"A-",IF('Data Source'!Z121&gt;=3,"B",IF('Data Source'!Z121&gt;=2,"C",IF('Data Source'!Z121&gt;=1,"D","F")))))),"")</f>
        <v/>
      </c>
      <c r="I121" s="3">
        <f>IF(AND('Data Source'!B121&lt;&gt;"",'Data Source'!S121="F"),IF('Data Source'!AA121&gt;=5,"A+",IF('Data Source'!AA121&gt;=4,"A",IF('Data Source'!AA121&gt;=3.5,"A-",IF('Data Source'!AA121&gt;=3,"B",IF('Data Source'!AA121&gt;=2,"C",IF('Data Source'!AA121&gt;=1,"D","F")))))),"")</f>
        <v/>
      </c>
      <c r="J121" s="3">
        <f>IF(AND('Data Source'!B121&lt;&gt;"",'Data Source'!S121="F"),IF('Data Source'!AB121&gt;=5,"A+",IF('Data Source'!AB121&gt;=4,"A",IF('Data Source'!AB121&gt;=3.5,"A-",IF('Data Source'!AB121&gt;=3,"B",IF('Data Source'!AB121&gt;=2,"C",IF('Data Source'!AB121&gt;=1,"D","F")))))),"")</f>
        <v/>
      </c>
      <c r="K121" s="3">
        <f>IF(AND('Data Source'!B121&lt;&gt;"",'Data Source'!S121="F"),IF('Data Source'!AC121&gt;=5,"A+",IF('Data Source'!AC121&gt;=4,"A",IF('Data Source'!AC121&gt;=3.5,"A-",IF('Data Source'!AC121&gt;=3,"B",IF('Data Source'!AC121&gt;=2,"C",IF('Data Source'!AC121&gt;=1,"D","F")))))),"")</f>
        <v/>
      </c>
      <c r="L121" s="3">
        <f>IF(AND('Data Source'!B121&lt;&gt;"",'Data Source'!S121="F"),IF('Data Source'!AD121&gt;=5,"A+",IF('Data Source'!AD121&gt;=4,"A",IF('Data Source'!AD121&gt;=3.5,"A-",IF('Data Source'!AD121&gt;=3,"B",IF('Data Source'!AD121&gt;=2,"C",IF('Data Source'!AD121&gt;=1,"D","F")))))),"")</f>
        <v/>
      </c>
      <c r="M121" s="3">
        <f>IF(AND('Data Source'!B121&lt;&gt;"",'Data Source'!S121="F"),IF('Data Source'!AE121&gt;=5,"A+",IF('Data Source'!AE121&gt;=4,"A",IF('Data Source'!AE121&gt;=3.5,"A-",IF('Data Source'!AE121&gt;=3,"B",IF('Data Source'!AE121&gt;=2,"C",IF('Data Source'!AE121&gt;=1,"D","F")))))),"")</f>
        <v/>
      </c>
      <c r="N121" s="3">
        <f>IF(AND('Data Source'!B121&lt;&gt;"",'Data Source'!S121="F"),IF('Data Source'!AF121&gt;=5,"A+",IF('Data Source'!AF121&gt;=4,"A",IF('Data Source'!AF121&gt;=3.5,"A-",IF('Data Source'!AF121&gt;=3,"B",IF('Data Source'!AF121&gt;=2,"C",IF('Data Source'!AF121&gt;=1,"D","F")))))),"")</f>
        <v/>
      </c>
      <c r="O121" s="3">
        <f>IF(AND('Data Source'!B121&lt;&gt;"",'Data Source'!S121="F"),IF('Data Source'!AG121&gt;=5,"A+",IF('Data Source'!AG121&gt;=4,"A",IF('Data Source'!AG121&gt;=3.5,"A-",IF('Data Source'!AG121&gt;=3,"B",IF('Data Source'!AG121&gt;=2,"C",IF('Data Source'!AG121&gt;=1,"D","F")))))),"")</f>
        <v/>
      </c>
      <c r="P121" s="5">
        <f>IF(AND('Data Source'!B121&lt;&gt;"",'Data Source'!S121="F"),'Data Source'!R121,"")</f>
        <v/>
      </c>
      <c r="Q121" s="3">
        <f>IF(AND('Data Source'!B121&lt;&gt;"",'Data Source'!S121="F"),'Data Source'!S121,"")</f>
        <v/>
      </c>
    </row>
    <row r="122">
      <c r="A122" s="3">
        <f>IF(AND('Data Source'!B122&lt;&gt;"",'Data Source'!S122="F"),COUNTIF('Data Source'!$S$3:S122,"F"),"")</f>
        <v/>
      </c>
      <c r="B122">
        <f>IF(AND('Data Source'!B122&lt;&gt;"",'Data Source'!S122="F"),'Data Source'!B122,"")</f>
        <v/>
      </c>
      <c r="C122" s="3">
        <f>IF(AND('Data Source'!B122&lt;&gt;"",'Data Source'!S122="F"),IF('Data Source'!U122&gt;=5,"A+",IF('Data Source'!U122&gt;=4,"A",IF('Data Source'!U122&gt;=3.5,"A-",IF('Data Source'!U122&gt;=3,"B",IF('Data Source'!U122&gt;=2,"C",IF('Data Source'!U122&gt;=1,"D","F")))))),"")</f>
        <v/>
      </c>
      <c r="D122" s="3">
        <f>IF(AND('Data Source'!B122&lt;&gt;"",'Data Source'!S122="F"),IF('Data Source'!V122&gt;=5,"A+",IF('Data Source'!V122&gt;=4,"A",IF('Data Source'!V122&gt;=3.5,"A-",IF('Data Source'!V122&gt;=3,"B",IF('Data Source'!V122&gt;=2,"C",IF('Data Source'!V122&gt;=1,"D","F")))))),"")</f>
        <v/>
      </c>
      <c r="E122" s="3">
        <f>IF(AND('Data Source'!B122&lt;&gt;"",'Data Source'!S122="F"),IF('Data Source'!W122&gt;=5,"A+",IF('Data Source'!W122&gt;=4,"A",IF('Data Source'!W122&gt;=3.5,"A-",IF('Data Source'!W122&gt;=3,"B",IF('Data Source'!W122&gt;=2,"C",IF('Data Source'!W122&gt;=1,"D","F")))))),"")</f>
        <v/>
      </c>
      <c r="F122" s="3">
        <f>IF(AND('Data Source'!B122&lt;&gt;"",'Data Source'!S122="F"),IF('Data Source'!X122&gt;=5,"A+",IF('Data Source'!X122&gt;=4,"A",IF('Data Source'!X122&gt;=3.5,"A-",IF('Data Source'!X122&gt;=3,"B",IF('Data Source'!X122&gt;=2,"C",IF('Data Source'!X122&gt;=1,"D","F")))))),"")</f>
        <v/>
      </c>
      <c r="G122" s="3">
        <f>IF(AND('Data Source'!B122&lt;&gt;"",'Data Source'!S122="F"),IF('Data Source'!Y122&gt;=5,"A+",IF('Data Source'!Y122&gt;=4,"A",IF('Data Source'!Y122&gt;=3.5,"A-",IF('Data Source'!Y122&gt;=3,"B",IF('Data Source'!Y122&gt;=2,"C",IF('Data Source'!Y122&gt;=1,"D","F")))))),"")</f>
        <v/>
      </c>
      <c r="H122" s="3">
        <f>IF(AND('Data Source'!B122&lt;&gt;"",'Data Source'!S122="F"),IF('Data Source'!Z122&gt;=5,"A+",IF('Data Source'!Z122&gt;=4,"A",IF('Data Source'!Z122&gt;=3.5,"A-",IF('Data Source'!Z122&gt;=3,"B",IF('Data Source'!Z122&gt;=2,"C",IF('Data Source'!Z122&gt;=1,"D","F")))))),"")</f>
        <v/>
      </c>
      <c r="I122" s="3">
        <f>IF(AND('Data Source'!B122&lt;&gt;"",'Data Source'!S122="F"),IF('Data Source'!AA122&gt;=5,"A+",IF('Data Source'!AA122&gt;=4,"A",IF('Data Source'!AA122&gt;=3.5,"A-",IF('Data Source'!AA122&gt;=3,"B",IF('Data Source'!AA122&gt;=2,"C",IF('Data Source'!AA122&gt;=1,"D","F")))))),"")</f>
        <v/>
      </c>
      <c r="J122" s="3">
        <f>IF(AND('Data Source'!B122&lt;&gt;"",'Data Source'!S122="F"),IF('Data Source'!AB122&gt;=5,"A+",IF('Data Source'!AB122&gt;=4,"A",IF('Data Source'!AB122&gt;=3.5,"A-",IF('Data Source'!AB122&gt;=3,"B",IF('Data Source'!AB122&gt;=2,"C",IF('Data Source'!AB122&gt;=1,"D","F")))))),"")</f>
        <v/>
      </c>
      <c r="K122" s="3">
        <f>IF(AND('Data Source'!B122&lt;&gt;"",'Data Source'!S122="F"),IF('Data Source'!AC122&gt;=5,"A+",IF('Data Source'!AC122&gt;=4,"A",IF('Data Source'!AC122&gt;=3.5,"A-",IF('Data Source'!AC122&gt;=3,"B",IF('Data Source'!AC122&gt;=2,"C",IF('Data Source'!AC122&gt;=1,"D","F")))))),"")</f>
        <v/>
      </c>
      <c r="L122" s="3">
        <f>IF(AND('Data Source'!B122&lt;&gt;"",'Data Source'!S122="F"),IF('Data Source'!AD122&gt;=5,"A+",IF('Data Source'!AD122&gt;=4,"A",IF('Data Source'!AD122&gt;=3.5,"A-",IF('Data Source'!AD122&gt;=3,"B",IF('Data Source'!AD122&gt;=2,"C",IF('Data Source'!AD122&gt;=1,"D","F")))))),"")</f>
        <v/>
      </c>
      <c r="M122" s="3">
        <f>IF(AND('Data Source'!B122&lt;&gt;"",'Data Source'!S122="F"),IF('Data Source'!AE122&gt;=5,"A+",IF('Data Source'!AE122&gt;=4,"A",IF('Data Source'!AE122&gt;=3.5,"A-",IF('Data Source'!AE122&gt;=3,"B",IF('Data Source'!AE122&gt;=2,"C",IF('Data Source'!AE122&gt;=1,"D","F")))))),"")</f>
        <v/>
      </c>
      <c r="N122" s="3">
        <f>IF(AND('Data Source'!B122&lt;&gt;"",'Data Source'!S122="F"),IF('Data Source'!AF122&gt;=5,"A+",IF('Data Source'!AF122&gt;=4,"A",IF('Data Source'!AF122&gt;=3.5,"A-",IF('Data Source'!AF122&gt;=3,"B",IF('Data Source'!AF122&gt;=2,"C",IF('Data Source'!AF122&gt;=1,"D","F")))))),"")</f>
        <v/>
      </c>
      <c r="O122" s="3">
        <f>IF(AND('Data Source'!B122&lt;&gt;"",'Data Source'!S122="F"),IF('Data Source'!AG122&gt;=5,"A+",IF('Data Source'!AG122&gt;=4,"A",IF('Data Source'!AG122&gt;=3.5,"A-",IF('Data Source'!AG122&gt;=3,"B",IF('Data Source'!AG122&gt;=2,"C",IF('Data Source'!AG122&gt;=1,"D","F")))))),"")</f>
        <v/>
      </c>
      <c r="P122" s="5">
        <f>IF(AND('Data Source'!B122&lt;&gt;"",'Data Source'!S122="F"),'Data Source'!R122,"")</f>
        <v/>
      </c>
      <c r="Q122" s="3">
        <f>IF(AND('Data Source'!B122&lt;&gt;"",'Data Source'!S122="F"),'Data Source'!S122,"")</f>
        <v/>
      </c>
    </row>
    <row r="123">
      <c r="A123" s="3">
        <f>IF(AND('Data Source'!B123&lt;&gt;"",'Data Source'!S123="F"),COUNTIF('Data Source'!$S$3:S123,"F"),"")</f>
        <v/>
      </c>
      <c r="B123">
        <f>IF(AND('Data Source'!B123&lt;&gt;"",'Data Source'!S123="F"),'Data Source'!B123,"")</f>
        <v/>
      </c>
      <c r="C123" s="3">
        <f>IF(AND('Data Source'!B123&lt;&gt;"",'Data Source'!S123="F"),IF('Data Source'!U123&gt;=5,"A+",IF('Data Source'!U123&gt;=4,"A",IF('Data Source'!U123&gt;=3.5,"A-",IF('Data Source'!U123&gt;=3,"B",IF('Data Source'!U123&gt;=2,"C",IF('Data Source'!U123&gt;=1,"D","F")))))),"")</f>
        <v/>
      </c>
      <c r="D123" s="3">
        <f>IF(AND('Data Source'!B123&lt;&gt;"",'Data Source'!S123="F"),IF('Data Source'!V123&gt;=5,"A+",IF('Data Source'!V123&gt;=4,"A",IF('Data Source'!V123&gt;=3.5,"A-",IF('Data Source'!V123&gt;=3,"B",IF('Data Source'!V123&gt;=2,"C",IF('Data Source'!V123&gt;=1,"D","F")))))),"")</f>
        <v/>
      </c>
      <c r="E123" s="3">
        <f>IF(AND('Data Source'!B123&lt;&gt;"",'Data Source'!S123="F"),IF('Data Source'!W123&gt;=5,"A+",IF('Data Source'!W123&gt;=4,"A",IF('Data Source'!W123&gt;=3.5,"A-",IF('Data Source'!W123&gt;=3,"B",IF('Data Source'!W123&gt;=2,"C",IF('Data Source'!W123&gt;=1,"D","F")))))),"")</f>
        <v/>
      </c>
      <c r="F123" s="3">
        <f>IF(AND('Data Source'!B123&lt;&gt;"",'Data Source'!S123="F"),IF('Data Source'!X123&gt;=5,"A+",IF('Data Source'!X123&gt;=4,"A",IF('Data Source'!X123&gt;=3.5,"A-",IF('Data Source'!X123&gt;=3,"B",IF('Data Source'!X123&gt;=2,"C",IF('Data Source'!X123&gt;=1,"D","F")))))),"")</f>
        <v/>
      </c>
      <c r="G123" s="3">
        <f>IF(AND('Data Source'!B123&lt;&gt;"",'Data Source'!S123="F"),IF('Data Source'!Y123&gt;=5,"A+",IF('Data Source'!Y123&gt;=4,"A",IF('Data Source'!Y123&gt;=3.5,"A-",IF('Data Source'!Y123&gt;=3,"B",IF('Data Source'!Y123&gt;=2,"C",IF('Data Source'!Y123&gt;=1,"D","F")))))),"")</f>
        <v/>
      </c>
      <c r="H123" s="3">
        <f>IF(AND('Data Source'!B123&lt;&gt;"",'Data Source'!S123="F"),IF('Data Source'!Z123&gt;=5,"A+",IF('Data Source'!Z123&gt;=4,"A",IF('Data Source'!Z123&gt;=3.5,"A-",IF('Data Source'!Z123&gt;=3,"B",IF('Data Source'!Z123&gt;=2,"C",IF('Data Source'!Z123&gt;=1,"D","F")))))),"")</f>
        <v/>
      </c>
      <c r="I123" s="3">
        <f>IF(AND('Data Source'!B123&lt;&gt;"",'Data Source'!S123="F"),IF('Data Source'!AA123&gt;=5,"A+",IF('Data Source'!AA123&gt;=4,"A",IF('Data Source'!AA123&gt;=3.5,"A-",IF('Data Source'!AA123&gt;=3,"B",IF('Data Source'!AA123&gt;=2,"C",IF('Data Source'!AA123&gt;=1,"D","F")))))),"")</f>
        <v/>
      </c>
      <c r="J123" s="3">
        <f>IF(AND('Data Source'!B123&lt;&gt;"",'Data Source'!S123="F"),IF('Data Source'!AB123&gt;=5,"A+",IF('Data Source'!AB123&gt;=4,"A",IF('Data Source'!AB123&gt;=3.5,"A-",IF('Data Source'!AB123&gt;=3,"B",IF('Data Source'!AB123&gt;=2,"C",IF('Data Source'!AB123&gt;=1,"D","F")))))),"")</f>
        <v/>
      </c>
      <c r="K123" s="3">
        <f>IF(AND('Data Source'!B123&lt;&gt;"",'Data Source'!S123="F"),IF('Data Source'!AC123&gt;=5,"A+",IF('Data Source'!AC123&gt;=4,"A",IF('Data Source'!AC123&gt;=3.5,"A-",IF('Data Source'!AC123&gt;=3,"B",IF('Data Source'!AC123&gt;=2,"C",IF('Data Source'!AC123&gt;=1,"D","F")))))),"")</f>
        <v/>
      </c>
      <c r="L123" s="3">
        <f>IF(AND('Data Source'!B123&lt;&gt;"",'Data Source'!S123="F"),IF('Data Source'!AD123&gt;=5,"A+",IF('Data Source'!AD123&gt;=4,"A",IF('Data Source'!AD123&gt;=3.5,"A-",IF('Data Source'!AD123&gt;=3,"B",IF('Data Source'!AD123&gt;=2,"C",IF('Data Source'!AD123&gt;=1,"D","F")))))),"")</f>
        <v/>
      </c>
      <c r="M123" s="3">
        <f>IF(AND('Data Source'!B123&lt;&gt;"",'Data Source'!S123="F"),IF('Data Source'!AE123&gt;=5,"A+",IF('Data Source'!AE123&gt;=4,"A",IF('Data Source'!AE123&gt;=3.5,"A-",IF('Data Source'!AE123&gt;=3,"B",IF('Data Source'!AE123&gt;=2,"C",IF('Data Source'!AE123&gt;=1,"D","F")))))),"")</f>
        <v/>
      </c>
      <c r="N123" s="3">
        <f>IF(AND('Data Source'!B123&lt;&gt;"",'Data Source'!S123="F"),IF('Data Source'!AF123&gt;=5,"A+",IF('Data Source'!AF123&gt;=4,"A",IF('Data Source'!AF123&gt;=3.5,"A-",IF('Data Source'!AF123&gt;=3,"B",IF('Data Source'!AF123&gt;=2,"C",IF('Data Source'!AF123&gt;=1,"D","F")))))),"")</f>
        <v/>
      </c>
      <c r="O123" s="3">
        <f>IF(AND('Data Source'!B123&lt;&gt;"",'Data Source'!S123="F"),IF('Data Source'!AG123&gt;=5,"A+",IF('Data Source'!AG123&gt;=4,"A",IF('Data Source'!AG123&gt;=3.5,"A-",IF('Data Source'!AG123&gt;=3,"B",IF('Data Source'!AG123&gt;=2,"C",IF('Data Source'!AG123&gt;=1,"D","F")))))),"")</f>
        <v/>
      </c>
      <c r="P123" s="5">
        <f>IF(AND('Data Source'!B123&lt;&gt;"",'Data Source'!S123="F"),'Data Source'!R123,"")</f>
        <v/>
      </c>
      <c r="Q123" s="3">
        <f>IF(AND('Data Source'!B123&lt;&gt;"",'Data Source'!S123="F"),'Data Source'!S123,"")</f>
        <v/>
      </c>
    </row>
    <row r="124">
      <c r="A124" s="3">
        <f>IF(AND('Data Source'!B124&lt;&gt;"",'Data Source'!S124="F"),COUNTIF('Data Source'!$S$3:S124,"F"),"")</f>
        <v/>
      </c>
      <c r="B124">
        <f>IF(AND('Data Source'!B124&lt;&gt;"",'Data Source'!S124="F"),'Data Source'!B124,"")</f>
        <v/>
      </c>
      <c r="C124" s="3">
        <f>IF(AND('Data Source'!B124&lt;&gt;"",'Data Source'!S124="F"),IF('Data Source'!U124&gt;=5,"A+",IF('Data Source'!U124&gt;=4,"A",IF('Data Source'!U124&gt;=3.5,"A-",IF('Data Source'!U124&gt;=3,"B",IF('Data Source'!U124&gt;=2,"C",IF('Data Source'!U124&gt;=1,"D","F")))))),"")</f>
        <v/>
      </c>
      <c r="D124" s="3">
        <f>IF(AND('Data Source'!B124&lt;&gt;"",'Data Source'!S124="F"),IF('Data Source'!V124&gt;=5,"A+",IF('Data Source'!V124&gt;=4,"A",IF('Data Source'!V124&gt;=3.5,"A-",IF('Data Source'!V124&gt;=3,"B",IF('Data Source'!V124&gt;=2,"C",IF('Data Source'!V124&gt;=1,"D","F")))))),"")</f>
        <v/>
      </c>
      <c r="E124" s="3">
        <f>IF(AND('Data Source'!B124&lt;&gt;"",'Data Source'!S124="F"),IF('Data Source'!W124&gt;=5,"A+",IF('Data Source'!W124&gt;=4,"A",IF('Data Source'!W124&gt;=3.5,"A-",IF('Data Source'!W124&gt;=3,"B",IF('Data Source'!W124&gt;=2,"C",IF('Data Source'!W124&gt;=1,"D","F")))))),"")</f>
        <v/>
      </c>
      <c r="F124" s="3">
        <f>IF(AND('Data Source'!B124&lt;&gt;"",'Data Source'!S124="F"),IF('Data Source'!X124&gt;=5,"A+",IF('Data Source'!X124&gt;=4,"A",IF('Data Source'!X124&gt;=3.5,"A-",IF('Data Source'!X124&gt;=3,"B",IF('Data Source'!X124&gt;=2,"C",IF('Data Source'!X124&gt;=1,"D","F")))))),"")</f>
        <v/>
      </c>
      <c r="G124" s="3">
        <f>IF(AND('Data Source'!B124&lt;&gt;"",'Data Source'!S124="F"),IF('Data Source'!Y124&gt;=5,"A+",IF('Data Source'!Y124&gt;=4,"A",IF('Data Source'!Y124&gt;=3.5,"A-",IF('Data Source'!Y124&gt;=3,"B",IF('Data Source'!Y124&gt;=2,"C",IF('Data Source'!Y124&gt;=1,"D","F")))))),"")</f>
        <v/>
      </c>
      <c r="H124" s="3">
        <f>IF(AND('Data Source'!B124&lt;&gt;"",'Data Source'!S124="F"),IF('Data Source'!Z124&gt;=5,"A+",IF('Data Source'!Z124&gt;=4,"A",IF('Data Source'!Z124&gt;=3.5,"A-",IF('Data Source'!Z124&gt;=3,"B",IF('Data Source'!Z124&gt;=2,"C",IF('Data Source'!Z124&gt;=1,"D","F")))))),"")</f>
        <v/>
      </c>
      <c r="I124" s="3">
        <f>IF(AND('Data Source'!B124&lt;&gt;"",'Data Source'!S124="F"),IF('Data Source'!AA124&gt;=5,"A+",IF('Data Source'!AA124&gt;=4,"A",IF('Data Source'!AA124&gt;=3.5,"A-",IF('Data Source'!AA124&gt;=3,"B",IF('Data Source'!AA124&gt;=2,"C",IF('Data Source'!AA124&gt;=1,"D","F")))))),"")</f>
        <v/>
      </c>
      <c r="J124" s="3">
        <f>IF(AND('Data Source'!B124&lt;&gt;"",'Data Source'!S124="F"),IF('Data Source'!AB124&gt;=5,"A+",IF('Data Source'!AB124&gt;=4,"A",IF('Data Source'!AB124&gt;=3.5,"A-",IF('Data Source'!AB124&gt;=3,"B",IF('Data Source'!AB124&gt;=2,"C",IF('Data Source'!AB124&gt;=1,"D","F")))))),"")</f>
        <v/>
      </c>
      <c r="K124" s="3">
        <f>IF(AND('Data Source'!B124&lt;&gt;"",'Data Source'!S124="F"),IF('Data Source'!AC124&gt;=5,"A+",IF('Data Source'!AC124&gt;=4,"A",IF('Data Source'!AC124&gt;=3.5,"A-",IF('Data Source'!AC124&gt;=3,"B",IF('Data Source'!AC124&gt;=2,"C",IF('Data Source'!AC124&gt;=1,"D","F")))))),"")</f>
        <v/>
      </c>
      <c r="L124" s="3">
        <f>IF(AND('Data Source'!B124&lt;&gt;"",'Data Source'!S124="F"),IF('Data Source'!AD124&gt;=5,"A+",IF('Data Source'!AD124&gt;=4,"A",IF('Data Source'!AD124&gt;=3.5,"A-",IF('Data Source'!AD124&gt;=3,"B",IF('Data Source'!AD124&gt;=2,"C",IF('Data Source'!AD124&gt;=1,"D","F")))))),"")</f>
        <v/>
      </c>
      <c r="M124" s="3">
        <f>IF(AND('Data Source'!B124&lt;&gt;"",'Data Source'!S124="F"),IF('Data Source'!AE124&gt;=5,"A+",IF('Data Source'!AE124&gt;=4,"A",IF('Data Source'!AE124&gt;=3.5,"A-",IF('Data Source'!AE124&gt;=3,"B",IF('Data Source'!AE124&gt;=2,"C",IF('Data Source'!AE124&gt;=1,"D","F")))))),"")</f>
        <v/>
      </c>
      <c r="N124" s="3">
        <f>IF(AND('Data Source'!B124&lt;&gt;"",'Data Source'!S124="F"),IF('Data Source'!AF124&gt;=5,"A+",IF('Data Source'!AF124&gt;=4,"A",IF('Data Source'!AF124&gt;=3.5,"A-",IF('Data Source'!AF124&gt;=3,"B",IF('Data Source'!AF124&gt;=2,"C",IF('Data Source'!AF124&gt;=1,"D","F")))))),"")</f>
        <v/>
      </c>
      <c r="O124" s="3">
        <f>IF(AND('Data Source'!B124&lt;&gt;"",'Data Source'!S124="F"),IF('Data Source'!AG124&gt;=5,"A+",IF('Data Source'!AG124&gt;=4,"A",IF('Data Source'!AG124&gt;=3.5,"A-",IF('Data Source'!AG124&gt;=3,"B",IF('Data Source'!AG124&gt;=2,"C",IF('Data Source'!AG124&gt;=1,"D","F")))))),"")</f>
        <v/>
      </c>
      <c r="P124" s="5">
        <f>IF(AND('Data Source'!B124&lt;&gt;"",'Data Source'!S124="F"),'Data Source'!R124,"")</f>
        <v/>
      </c>
      <c r="Q124" s="3">
        <f>IF(AND('Data Source'!B124&lt;&gt;"",'Data Source'!S124="F"),'Data Source'!S124,"")</f>
        <v/>
      </c>
    </row>
    <row r="125">
      <c r="A125" s="3">
        <f>IF(AND('Data Source'!B125&lt;&gt;"",'Data Source'!S125="F"),COUNTIF('Data Source'!$S$3:S125,"F"),"")</f>
        <v/>
      </c>
      <c r="B125">
        <f>IF(AND('Data Source'!B125&lt;&gt;"",'Data Source'!S125="F"),'Data Source'!B125,"")</f>
        <v/>
      </c>
      <c r="C125" s="3">
        <f>IF(AND('Data Source'!B125&lt;&gt;"",'Data Source'!S125="F"),IF('Data Source'!U125&gt;=5,"A+",IF('Data Source'!U125&gt;=4,"A",IF('Data Source'!U125&gt;=3.5,"A-",IF('Data Source'!U125&gt;=3,"B",IF('Data Source'!U125&gt;=2,"C",IF('Data Source'!U125&gt;=1,"D","F")))))),"")</f>
        <v/>
      </c>
      <c r="D125" s="3">
        <f>IF(AND('Data Source'!B125&lt;&gt;"",'Data Source'!S125="F"),IF('Data Source'!V125&gt;=5,"A+",IF('Data Source'!V125&gt;=4,"A",IF('Data Source'!V125&gt;=3.5,"A-",IF('Data Source'!V125&gt;=3,"B",IF('Data Source'!V125&gt;=2,"C",IF('Data Source'!V125&gt;=1,"D","F")))))),"")</f>
        <v/>
      </c>
      <c r="E125" s="3">
        <f>IF(AND('Data Source'!B125&lt;&gt;"",'Data Source'!S125="F"),IF('Data Source'!W125&gt;=5,"A+",IF('Data Source'!W125&gt;=4,"A",IF('Data Source'!W125&gt;=3.5,"A-",IF('Data Source'!W125&gt;=3,"B",IF('Data Source'!W125&gt;=2,"C",IF('Data Source'!W125&gt;=1,"D","F")))))),"")</f>
        <v/>
      </c>
      <c r="F125" s="3">
        <f>IF(AND('Data Source'!B125&lt;&gt;"",'Data Source'!S125="F"),IF('Data Source'!X125&gt;=5,"A+",IF('Data Source'!X125&gt;=4,"A",IF('Data Source'!X125&gt;=3.5,"A-",IF('Data Source'!X125&gt;=3,"B",IF('Data Source'!X125&gt;=2,"C",IF('Data Source'!X125&gt;=1,"D","F")))))),"")</f>
        <v/>
      </c>
      <c r="G125" s="3">
        <f>IF(AND('Data Source'!B125&lt;&gt;"",'Data Source'!S125="F"),IF('Data Source'!Y125&gt;=5,"A+",IF('Data Source'!Y125&gt;=4,"A",IF('Data Source'!Y125&gt;=3.5,"A-",IF('Data Source'!Y125&gt;=3,"B",IF('Data Source'!Y125&gt;=2,"C",IF('Data Source'!Y125&gt;=1,"D","F")))))),"")</f>
        <v/>
      </c>
      <c r="H125" s="3">
        <f>IF(AND('Data Source'!B125&lt;&gt;"",'Data Source'!S125="F"),IF('Data Source'!Z125&gt;=5,"A+",IF('Data Source'!Z125&gt;=4,"A",IF('Data Source'!Z125&gt;=3.5,"A-",IF('Data Source'!Z125&gt;=3,"B",IF('Data Source'!Z125&gt;=2,"C",IF('Data Source'!Z125&gt;=1,"D","F")))))),"")</f>
        <v/>
      </c>
      <c r="I125" s="3">
        <f>IF(AND('Data Source'!B125&lt;&gt;"",'Data Source'!S125="F"),IF('Data Source'!AA125&gt;=5,"A+",IF('Data Source'!AA125&gt;=4,"A",IF('Data Source'!AA125&gt;=3.5,"A-",IF('Data Source'!AA125&gt;=3,"B",IF('Data Source'!AA125&gt;=2,"C",IF('Data Source'!AA125&gt;=1,"D","F")))))),"")</f>
        <v/>
      </c>
      <c r="J125" s="3">
        <f>IF(AND('Data Source'!B125&lt;&gt;"",'Data Source'!S125="F"),IF('Data Source'!AB125&gt;=5,"A+",IF('Data Source'!AB125&gt;=4,"A",IF('Data Source'!AB125&gt;=3.5,"A-",IF('Data Source'!AB125&gt;=3,"B",IF('Data Source'!AB125&gt;=2,"C",IF('Data Source'!AB125&gt;=1,"D","F")))))),"")</f>
        <v/>
      </c>
      <c r="K125" s="3">
        <f>IF(AND('Data Source'!B125&lt;&gt;"",'Data Source'!S125="F"),IF('Data Source'!AC125&gt;=5,"A+",IF('Data Source'!AC125&gt;=4,"A",IF('Data Source'!AC125&gt;=3.5,"A-",IF('Data Source'!AC125&gt;=3,"B",IF('Data Source'!AC125&gt;=2,"C",IF('Data Source'!AC125&gt;=1,"D","F")))))),"")</f>
        <v/>
      </c>
      <c r="L125" s="3">
        <f>IF(AND('Data Source'!B125&lt;&gt;"",'Data Source'!S125="F"),IF('Data Source'!AD125&gt;=5,"A+",IF('Data Source'!AD125&gt;=4,"A",IF('Data Source'!AD125&gt;=3.5,"A-",IF('Data Source'!AD125&gt;=3,"B",IF('Data Source'!AD125&gt;=2,"C",IF('Data Source'!AD125&gt;=1,"D","F")))))),"")</f>
        <v/>
      </c>
      <c r="M125" s="3">
        <f>IF(AND('Data Source'!B125&lt;&gt;"",'Data Source'!S125="F"),IF('Data Source'!AE125&gt;=5,"A+",IF('Data Source'!AE125&gt;=4,"A",IF('Data Source'!AE125&gt;=3.5,"A-",IF('Data Source'!AE125&gt;=3,"B",IF('Data Source'!AE125&gt;=2,"C",IF('Data Source'!AE125&gt;=1,"D","F")))))),"")</f>
        <v/>
      </c>
      <c r="N125" s="3">
        <f>IF(AND('Data Source'!B125&lt;&gt;"",'Data Source'!S125="F"),IF('Data Source'!AF125&gt;=5,"A+",IF('Data Source'!AF125&gt;=4,"A",IF('Data Source'!AF125&gt;=3.5,"A-",IF('Data Source'!AF125&gt;=3,"B",IF('Data Source'!AF125&gt;=2,"C",IF('Data Source'!AF125&gt;=1,"D","F")))))),"")</f>
        <v/>
      </c>
      <c r="O125" s="3">
        <f>IF(AND('Data Source'!B125&lt;&gt;"",'Data Source'!S125="F"),IF('Data Source'!AG125&gt;=5,"A+",IF('Data Source'!AG125&gt;=4,"A",IF('Data Source'!AG125&gt;=3.5,"A-",IF('Data Source'!AG125&gt;=3,"B",IF('Data Source'!AG125&gt;=2,"C",IF('Data Source'!AG125&gt;=1,"D","F")))))),"")</f>
        <v/>
      </c>
      <c r="P125" s="5">
        <f>IF(AND('Data Source'!B125&lt;&gt;"",'Data Source'!S125="F"),'Data Source'!R125,"")</f>
        <v/>
      </c>
      <c r="Q125" s="3">
        <f>IF(AND('Data Source'!B125&lt;&gt;"",'Data Source'!S125="F"),'Data Source'!S125,"")</f>
        <v/>
      </c>
    </row>
    <row r="126">
      <c r="A126" s="3">
        <f>IF(AND('Data Source'!B126&lt;&gt;"",'Data Source'!S126="F"),COUNTIF('Data Source'!$S$3:S126,"F"),"")</f>
        <v/>
      </c>
      <c r="B126">
        <f>IF(AND('Data Source'!B126&lt;&gt;"",'Data Source'!S126="F"),'Data Source'!B126,"")</f>
        <v/>
      </c>
      <c r="C126" s="3">
        <f>IF(AND('Data Source'!B126&lt;&gt;"",'Data Source'!S126="F"),IF('Data Source'!U126&gt;=5,"A+",IF('Data Source'!U126&gt;=4,"A",IF('Data Source'!U126&gt;=3.5,"A-",IF('Data Source'!U126&gt;=3,"B",IF('Data Source'!U126&gt;=2,"C",IF('Data Source'!U126&gt;=1,"D","F")))))),"")</f>
        <v/>
      </c>
      <c r="D126" s="3">
        <f>IF(AND('Data Source'!B126&lt;&gt;"",'Data Source'!S126="F"),IF('Data Source'!V126&gt;=5,"A+",IF('Data Source'!V126&gt;=4,"A",IF('Data Source'!V126&gt;=3.5,"A-",IF('Data Source'!V126&gt;=3,"B",IF('Data Source'!V126&gt;=2,"C",IF('Data Source'!V126&gt;=1,"D","F")))))),"")</f>
        <v/>
      </c>
      <c r="E126" s="3">
        <f>IF(AND('Data Source'!B126&lt;&gt;"",'Data Source'!S126="F"),IF('Data Source'!W126&gt;=5,"A+",IF('Data Source'!W126&gt;=4,"A",IF('Data Source'!W126&gt;=3.5,"A-",IF('Data Source'!W126&gt;=3,"B",IF('Data Source'!W126&gt;=2,"C",IF('Data Source'!W126&gt;=1,"D","F")))))),"")</f>
        <v/>
      </c>
      <c r="F126" s="3">
        <f>IF(AND('Data Source'!B126&lt;&gt;"",'Data Source'!S126="F"),IF('Data Source'!X126&gt;=5,"A+",IF('Data Source'!X126&gt;=4,"A",IF('Data Source'!X126&gt;=3.5,"A-",IF('Data Source'!X126&gt;=3,"B",IF('Data Source'!X126&gt;=2,"C",IF('Data Source'!X126&gt;=1,"D","F")))))),"")</f>
        <v/>
      </c>
      <c r="G126" s="3">
        <f>IF(AND('Data Source'!B126&lt;&gt;"",'Data Source'!S126="F"),IF('Data Source'!Y126&gt;=5,"A+",IF('Data Source'!Y126&gt;=4,"A",IF('Data Source'!Y126&gt;=3.5,"A-",IF('Data Source'!Y126&gt;=3,"B",IF('Data Source'!Y126&gt;=2,"C",IF('Data Source'!Y126&gt;=1,"D","F")))))),"")</f>
        <v/>
      </c>
      <c r="H126" s="3">
        <f>IF(AND('Data Source'!B126&lt;&gt;"",'Data Source'!S126="F"),IF('Data Source'!Z126&gt;=5,"A+",IF('Data Source'!Z126&gt;=4,"A",IF('Data Source'!Z126&gt;=3.5,"A-",IF('Data Source'!Z126&gt;=3,"B",IF('Data Source'!Z126&gt;=2,"C",IF('Data Source'!Z126&gt;=1,"D","F")))))),"")</f>
        <v/>
      </c>
      <c r="I126" s="3">
        <f>IF(AND('Data Source'!B126&lt;&gt;"",'Data Source'!S126="F"),IF('Data Source'!AA126&gt;=5,"A+",IF('Data Source'!AA126&gt;=4,"A",IF('Data Source'!AA126&gt;=3.5,"A-",IF('Data Source'!AA126&gt;=3,"B",IF('Data Source'!AA126&gt;=2,"C",IF('Data Source'!AA126&gt;=1,"D","F")))))),"")</f>
        <v/>
      </c>
      <c r="J126" s="3">
        <f>IF(AND('Data Source'!B126&lt;&gt;"",'Data Source'!S126="F"),IF('Data Source'!AB126&gt;=5,"A+",IF('Data Source'!AB126&gt;=4,"A",IF('Data Source'!AB126&gt;=3.5,"A-",IF('Data Source'!AB126&gt;=3,"B",IF('Data Source'!AB126&gt;=2,"C",IF('Data Source'!AB126&gt;=1,"D","F")))))),"")</f>
        <v/>
      </c>
      <c r="K126" s="3">
        <f>IF(AND('Data Source'!B126&lt;&gt;"",'Data Source'!S126="F"),IF('Data Source'!AC126&gt;=5,"A+",IF('Data Source'!AC126&gt;=4,"A",IF('Data Source'!AC126&gt;=3.5,"A-",IF('Data Source'!AC126&gt;=3,"B",IF('Data Source'!AC126&gt;=2,"C",IF('Data Source'!AC126&gt;=1,"D","F")))))),"")</f>
        <v/>
      </c>
      <c r="L126" s="3">
        <f>IF(AND('Data Source'!B126&lt;&gt;"",'Data Source'!S126="F"),IF('Data Source'!AD126&gt;=5,"A+",IF('Data Source'!AD126&gt;=4,"A",IF('Data Source'!AD126&gt;=3.5,"A-",IF('Data Source'!AD126&gt;=3,"B",IF('Data Source'!AD126&gt;=2,"C",IF('Data Source'!AD126&gt;=1,"D","F")))))),"")</f>
        <v/>
      </c>
      <c r="M126" s="3">
        <f>IF(AND('Data Source'!B126&lt;&gt;"",'Data Source'!S126="F"),IF('Data Source'!AE126&gt;=5,"A+",IF('Data Source'!AE126&gt;=4,"A",IF('Data Source'!AE126&gt;=3.5,"A-",IF('Data Source'!AE126&gt;=3,"B",IF('Data Source'!AE126&gt;=2,"C",IF('Data Source'!AE126&gt;=1,"D","F")))))),"")</f>
        <v/>
      </c>
      <c r="N126" s="3">
        <f>IF(AND('Data Source'!B126&lt;&gt;"",'Data Source'!S126="F"),IF('Data Source'!AF126&gt;=5,"A+",IF('Data Source'!AF126&gt;=4,"A",IF('Data Source'!AF126&gt;=3.5,"A-",IF('Data Source'!AF126&gt;=3,"B",IF('Data Source'!AF126&gt;=2,"C",IF('Data Source'!AF126&gt;=1,"D","F")))))),"")</f>
        <v/>
      </c>
      <c r="O126" s="3">
        <f>IF(AND('Data Source'!B126&lt;&gt;"",'Data Source'!S126="F"),IF('Data Source'!AG126&gt;=5,"A+",IF('Data Source'!AG126&gt;=4,"A",IF('Data Source'!AG126&gt;=3.5,"A-",IF('Data Source'!AG126&gt;=3,"B",IF('Data Source'!AG126&gt;=2,"C",IF('Data Source'!AG126&gt;=1,"D","F")))))),"")</f>
        <v/>
      </c>
      <c r="P126" s="5">
        <f>IF(AND('Data Source'!B126&lt;&gt;"",'Data Source'!S126="F"),'Data Source'!R126,"")</f>
        <v/>
      </c>
      <c r="Q126" s="3">
        <f>IF(AND('Data Source'!B126&lt;&gt;"",'Data Source'!S126="F"),'Data Source'!S126,"")</f>
        <v/>
      </c>
    </row>
    <row r="127">
      <c r="A127" s="3">
        <f>IF(AND('Data Source'!B127&lt;&gt;"",'Data Source'!S127="F"),COUNTIF('Data Source'!$S$3:S127,"F"),"")</f>
        <v/>
      </c>
      <c r="B127">
        <f>IF(AND('Data Source'!B127&lt;&gt;"",'Data Source'!S127="F"),'Data Source'!B127,"")</f>
        <v/>
      </c>
      <c r="C127" s="3">
        <f>IF(AND('Data Source'!B127&lt;&gt;"",'Data Source'!S127="F"),IF('Data Source'!U127&gt;=5,"A+",IF('Data Source'!U127&gt;=4,"A",IF('Data Source'!U127&gt;=3.5,"A-",IF('Data Source'!U127&gt;=3,"B",IF('Data Source'!U127&gt;=2,"C",IF('Data Source'!U127&gt;=1,"D","F")))))),"")</f>
        <v/>
      </c>
      <c r="D127" s="3">
        <f>IF(AND('Data Source'!B127&lt;&gt;"",'Data Source'!S127="F"),IF('Data Source'!V127&gt;=5,"A+",IF('Data Source'!V127&gt;=4,"A",IF('Data Source'!V127&gt;=3.5,"A-",IF('Data Source'!V127&gt;=3,"B",IF('Data Source'!V127&gt;=2,"C",IF('Data Source'!V127&gt;=1,"D","F")))))),"")</f>
        <v/>
      </c>
      <c r="E127" s="3">
        <f>IF(AND('Data Source'!B127&lt;&gt;"",'Data Source'!S127="F"),IF('Data Source'!W127&gt;=5,"A+",IF('Data Source'!W127&gt;=4,"A",IF('Data Source'!W127&gt;=3.5,"A-",IF('Data Source'!W127&gt;=3,"B",IF('Data Source'!W127&gt;=2,"C",IF('Data Source'!W127&gt;=1,"D","F")))))),"")</f>
        <v/>
      </c>
      <c r="F127" s="3">
        <f>IF(AND('Data Source'!B127&lt;&gt;"",'Data Source'!S127="F"),IF('Data Source'!X127&gt;=5,"A+",IF('Data Source'!X127&gt;=4,"A",IF('Data Source'!X127&gt;=3.5,"A-",IF('Data Source'!X127&gt;=3,"B",IF('Data Source'!X127&gt;=2,"C",IF('Data Source'!X127&gt;=1,"D","F")))))),"")</f>
        <v/>
      </c>
      <c r="G127" s="3">
        <f>IF(AND('Data Source'!B127&lt;&gt;"",'Data Source'!S127="F"),IF('Data Source'!Y127&gt;=5,"A+",IF('Data Source'!Y127&gt;=4,"A",IF('Data Source'!Y127&gt;=3.5,"A-",IF('Data Source'!Y127&gt;=3,"B",IF('Data Source'!Y127&gt;=2,"C",IF('Data Source'!Y127&gt;=1,"D","F")))))),"")</f>
        <v/>
      </c>
      <c r="H127" s="3">
        <f>IF(AND('Data Source'!B127&lt;&gt;"",'Data Source'!S127="F"),IF('Data Source'!Z127&gt;=5,"A+",IF('Data Source'!Z127&gt;=4,"A",IF('Data Source'!Z127&gt;=3.5,"A-",IF('Data Source'!Z127&gt;=3,"B",IF('Data Source'!Z127&gt;=2,"C",IF('Data Source'!Z127&gt;=1,"D","F")))))),"")</f>
        <v/>
      </c>
      <c r="I127" s="3">
        <f>IF(AND('Data Source'!B127&lt;&gt;"",'Data Source'!S127="F"),IF('Data Source'!AA127&gt;=5,"A+",IF('Data Source'!AA127&gt;=4,"A",IF('Data Source'!AA127&gt;=3.5,"A-",IF('Data Source'!AA127&gt;=3,"B",IF('Data Source'!AA127&gt;=2,"C",IF('Data Source'!AA127&gt;=1,"D","F")))))),"")</f>
        <v/>
      </c>
      <c r="J127" s="3">
        <f>IF(AND('Data Source'!B127&lt;&gt;"",'Data Source'!S127="F"),IF('Data Source'!AB127&gt;=5,"A+",IF('Data Source'!AB127&gt;=4,"A",IF('Data Source'!AB127&gt;=3.5,"A-",IF('Data Source'!AB127&gt;=3,"B",IF('Data Source'!AB127&gt;=2,"C",IF('Data Source'!AB127&gt;=1,"D","F")))))),"")</f>
        <v/>
      </c>
      <c r="K127" s="3">
        <f>IF(AND('Data Source'!B127&lt;&gt;"",'Data Source'!S127="F"),IF('Data Source'!AC127&gt;=5,"A+",IF('Data Source'!AC127&gt;=4,"A",IF('Data Source'!AC127&gt;=3.5,"A-",IF('Data Source'!AC127&gt;=3,"B",IF('Data Source'!AC127&gt;=2,"C",IF('Data Source'!AC127&gt;=1,"D","F")))))),"")</f>
        <v/>
      </c>
      <c r="L127" s="3">
        <f>IF(AND('Data Source'!B127&lt;&gt;"",'Data Source'!S127="F"),IF('Data Source'!AD127&gt;=5,"A+",IF('Data Source'!AD127&gt;=4,"A",IF('Data Source'!AD127&gt;=3.5,"A-",IF('Data Source'!AD127&gt;=3,"B",IF('Data Source'!AD127&gt;=2,"C",IF('Data Source'!AD127&gt;=1,"D","F")))))),"")</f>
        <v/>
      </c>
      <c r="M127" s="3">
        <f>IF(AND('Data Source'!B127&lt;&gt;"",'Data Source'!S127="F"),IF('Data Source'!AE127&gt;=5,"A+",IF('Data Source'!AE127&gt;=4,"A",IF('Data Source'!AE127&gt;=3.5,"A-",IF('Data Source'!AE127&gt;=3,"B",IF('Data Source'!AE127&gt;=2,"C",IF('Data Source'!AE127&gt;=1,"D","F")))))),"")</f>
        <v/>
      </c>
      <c r="N127" s="3">
        <f>IF(AND('Data Source'!B127&lt;&gt;"",'Data Source'!S127="F"),IF('Data Source'!AF127&gt;=5,"A+",IF('Data Source'!AF127&gt;=4,"A",IF('Data Source'!AF127&gt;=3.5,"A-",IF('Data Source'!AF127&gt;=3,"B",IF('Data Source'!AF127&gt;=2,"C",IF('Data Source'!AF127&gt;=1,"D","F")))))),"")</f>
        <v/>
      </c>
      <c r="O127" s="3">
        <f>IF(AND('Data Source'!B127&lt;&gt;"",'Data Source'!S127="F"),IF('Data Source'!AG127&gt;=5,"A+",IF('Data Source'!AG127&gt;=4,"A",IF('Data Source'!AG127&gt;=3.5,"A-",IF('Data Source'!AG127&gt;=3,"B",IF('Data Source'!AG127&gt;=2,"C",IF('Data Source'!AG127&gt;=1,"D","F")))))),"")</f>
        <v/>
      </c>
      <c r="P127" s="5">
        <f>IF(AND('Data Source'!B127&lt;&gt;"",'Data Source'!S127="F"),'Data Source'!R127,"")</f>
        <v/>
      </c>
      <c r="Q127" s="3">
        <f>IF(AND('Data Source'!B127&lt;&gt;"",'Data Source'!S127="F"),'Data Source'!S127,"")</f>
        <v/>
      </c>
    </row>
    <row r="128">
      <c r="A128" s="3">
        <f>IF(AND('Data Source'!B128&lt;&gt;"",'Data Source'!S128="F"),COUNTIF('Data Source'!$S$3:S128,"F"),"")</f>
        <v/>
      </c>
      <c r="B128">
        <f>IF(AND('Data Source'!B128&lt;&gt;"",'Data Source'!S128="F"),'Data Source'!B128,"")</f>
        <v/>
      </c>
      <c r="C128" s="3">
        <f>IF(AND('Data Source'!B128&lt;&gt;"",'Data Source'!S128="F"),IF('Data Source'!U128&gt;=5,"A+",IF('Data Source'!U128&gt;=4,"A",IF('Data Source'!U128&gt;=3.5,"A-",IF('Data Source'!U128&gt;=3,"B",IF('Data Source'!U128&gt;=2,"C",IF('Data Source'!U128&gt;=1,"D","F")))))),"")</f>
        <v/>
      </c>
      <c r="D128" s="3">
        <f>IF(AND('Data Source'!B128&lt;&gt;"",'Data Source'!S128="F"),IF('Data Source'!V128&gt;=5,"A+",IF('Data Source'!V128&gt;=4,"A",IF('Data Source'!V128&gt;=3.5,"A-",IF('Data Source'!V128&gt;=3,"B",IF('Data Source'!V128&gt;=2,"C",IF('Data Source'!V128&gt;=1,"D","F")))))),"")</f>
        <v/>
      </c>
      <c r="E128" s="3">
        <f>IF(AND('Data Source'!B128&lt;&gt;"",'Data Source'!S128="F"),IF('Data Source'!W128&gt;=5,"A+",IF('Data Source'!W128&gt;=4,"A",IF('Data Source'!W128&gt;=3.5,"A-",IF('Data Source'!W128&gt;=3,"B",IF('Data Source'!W128&gt;=2,"C",IF('Data Source'!W128&gt;=1,"D","F")))))),"")</f>
        <v/>
      </c>
      <c r="F128" s="3">
        <f>IF(AND('Data Source'!B128&lt;&gt;"",'Data Source'!S128="F"),IF('Data Source'!X128&gt;=5,"A+",IF('Data Source'!X128&gt;=4,"A",IF('Data Source'!X128&gt;=3.5,"A-",IF('Data Source'!X128&gt;=3,"B",IF('Data Source'!X128&gt;=2,"C",IF('Data Source'!X128&gt;=1,"D","F")))))),"")</f>
        <v/>
      </c>
      <c r="G128" s="3">
        <f>IF(AND('Data Source'!B128&lt;&gt;"",'Data Source'!S128="F"),IF('Data Source'!Y128&gt;=5,"A+",IF('Data Source'!Y128&gt;=4,"A",IF('Data Source'!Y128&gt;=3.5,"A-",IF('Data Source'!Y128&gt;=3,"B",IF('Data Source'!Y128&gt;=2,"C",IF('Data Source'!Y128&gt;=1,"D","F")))))),"")</f>
        <v/>
      </c>
      <c r="H128" s="3">
        <f>IF(AND('Data Source'!B128&lt;&gt;"",'Data Source'!S128="F"),IF('Data Source'!Z128&gt;=5,"A+",IF('Data Source'!Z128&gt;=4,"A",IF('Data Source'!Z128&gt;=3.5,"A-",IF('Data Source'!Z128&gt;=3,"B",IF('Data Source'!Z128&gt;=2,"C",IF('Data Source'!Z128&gt;=1,"D","F")))))),"")</f>
        <v/>
      </c>
      <c r="I128" s="3">
        <f>IF(AND('Data Source'!B128&lt;&gt;"",'Data Source'!S128="F"),IF('Data Source'!AA128&gt;=5,"A+",IF('Data Source'!AA128&gt;=4,"A",IF('Data Source'!AA128&gt;=3.5,"A-",IF('Data Source'!AA128&gt;=3,"B",IF('Data Source'!AA128&gt;=2,"C",IF('Data Source'!AA128&gt;=1,"D","F")))))),"")</f>
        <v/>
      </c>
      <c r="J128" s="3">
        <f>IF(AND('Data Source'!B128&lt;&gt;"",'Data Source'!S128="F"),IF('Data Source'!AB128&gt;=5,"A+",IF('Data Source'!AB128&gt;=4,"A",IF('Data Source'!AB128&gt;=3.5,"A-",IF('Data Source'!AB128&gt;=3,"B",IF('Data Source'!AB128&gt;=2,"C",IF('Data Source'!AB128&gt;=1,"D","F")))))),"")</f>
        <v/>
      </c>
      <c r="K128" s="3">
        <f>IF(AND('Data Source'!B128&lt;&gt;"",'Data Source'!S128="F"),IF('Data Source'!AC128&gt;=5,"A+",IF('Data Source'!AC128&gt;=4,"A",IF('Data Source'!AC128&gt;=3.5,"A-",IF('Data Source'!AC128&gt;=3,"B",IF('Data Source'!AC128&gt;=2,"C",IF('Data Source'!AC128&gt;=1,"D","F")))))),"")</f>
        <v/>
      </c>
      <c r="L128" s="3">
        <f>IF(AND('Data Source'!B128&lt;&gt;"",'Data Source'!S128="F"),IF('Data Source'!AD128&gt;=5,"A+",IF('Data Source'!AD128&gt;=4,"A",IF('Data Source'!AD128&gt;=3.5,"A-",IF('Data Source'!AD128&gt;=3,"B",IF('Data Source'!AD128&gt;=2,"C",IF('Data Source'!AD128&gt;=1,"D","F")))))),"")</f>
        <v/>
      </c>
      <c r="M128" s="3">
        <f>IF(AND('Data Source'!B128&lt;&gt;"",'Data Source'!S128="F"),IF('Data Source'!AE128&gt;=5,"A+",IF('Data Source'!AE128&gt;=4,"A",IF('Data Source'!AE128&gt;=3.5,"A-",IF('Data Source'!AE128&gt;=3,"B",IF('Data Source'!AE128&gt;=2,"C",IF('Data Source'!AE128&gt;=1,"D","F")))))),"")</f>
        <v/>
      </c>
      <c r="N128" s="3">
        <f>IF(AND('Data Source'!B128&lt;&gt;"",'Data Source'!S128="F"),IF('Data Source'!AF128&gt;=5,"A+",IF('Data Source'!AF128&gt;=4,"A",IF('Data Source'!AF128&gt;=3.5,"A-",IF('Data Source'!AF128&gt;=3,"B",IF('Data Source'!AF128&gt;=2,"C",IF('Data Source'!AF128&gt;=1,"D","F")))))),"")</f>
        <v/>
      </c>
      <c r="O128" s="3">
        <f>IF(AND('Data Source'!B128&lt;&gt;"",'Data Source'!S128="F"),IF('Data Source'!AG128&gt;=5,"A+",IF('Data Source'!AG128&gt;=4,"A",IF('Data Source'!AG128&gt;=3.5,"A-",IF('Data Source'!AG128&gt;=3,"B",IF('Data Source'!AG128&gt;=2,"C",IF('Data Source'!AG128&gt;=1,"D","F")))))),"")</f>
        <v/>
      </c>
      <c r="P128" s="5">
        <f>IF(AND('Data Source'!B128&lt;&gt;"",'Data Source'!S128="F"),'Data Source'!R128,"")</f>
        <v/>
      </c>
      <c r="Q128" s="3">
        <f>IF(AND('Data Source'!B128&lt;&gt;"",'Data Source'!S128="F"),'Data Source'!S128,"")</f>
        <v/>
      </c>
    </row>
    <row r="129">
      <c r="A129" s="3">
        <f>IF(AND('Data Source'!B129&lt;&gt;"",'Data Source'!S129="F"),COUNTIF('Data Source'!$S$3:S129,"F"),"")</f>
        <v/>
      </c>
      <c r="B129">
        <f>IF(AND('Data Source'!B129&lt;&gt;"",'Data Source'!S129="F"),'Data Source'!B129,"")</f>
        <v/>
      </c>
      <c r="C129" s="3">
        <f>IF(AND('Data Source'!B129&lt;&gt;"",'Data Source'!S129="F"),IF('Data Source'!U129&gt;=5,"A+",IF('Data Source'!U129&gt;=4,"A",IF('Data Source'!U129&gt;=3.5,"A-",IF('Data Source'!U129&gt;=3,"B",IF('Data Source'!U129&gt;=2,"C",IF('Data Source'!U129&gt;=1,"D","F")))))),"")</f>
        <v/>
      </c>
      <c r="D129" s="3">
        <f>IF(AND('Data Source'!B129&lt;&gt;"",'Data Source'!S129="F"),IF('Data Source'!V129&gt;=5,"A+",IF('Data Source'!V129&gt;=4,"A",IF('Data Source'!V129&gt;=3.5,"A-",IF('Data Source'!V129&gt;=3,"B",IF('Data Source'!V129&gt;=2,"C",IF('Data Source'!V129&gt;=1,"D","F")))))),"")</f>
        <v/>
      </c>
      <c r="E129" s="3">
        <f>IF(AND('Data Source'!B129&lt;&gt;"",'Data Source'!S129="F"),IF('Data Source'!W129&gt;=5,"A+",IF('Data Source'!W129&gt;=4,"A",IF('Data Source'!W129&gt;=3.5,"A-",IF('Data Source'!W129&gt;=3,"B",IF('Data Source'!W129&gt;=2,"C",IF('Data Source'!W129&gt;=1,"D","F")))))),"")</f>
        <v/>
      </c>
      <c r="F129" s="3">
        <f>IF(AND('Data Source'!B129&lt;&gt;"",'Data Source'!S129="F"),IF('Data Source'!X129&gt;=5,"A+",IF('Data Source'!X129&gt;=4,"A",IF('Data Source'!X129&gt;=3.5,"A-",IF('Data Source'!X129&gt;=3,"B",IF('Data Source'!X129&gt;=2,"C",IF('Data Source'!X129&gt;=1,"D","F")))))),"")</f>
        <v/>
      </c>
      <c r="G129" s="3">
        <f>IF(AND('Data Source'!B129&lt;&gt;"",'Data Source'!S129="F"),IF('Data Source'!Y129&gt;=5,"A+",IF('Data Source'!Y129&gt;=4,"A",IF('Data Source'!Y129&gt;=3.5,"A-",IF('Data Source'!Y129&gt;=3,"B",IF('Data Source'!Y129&gt;=2,"C",IF('Data Source'!Y129&gt;=1,"D","F")))))),"")</f>
        <v/>
      </c>
      <c r="H129" s="3">
        <f>IF(AND('Data Source'!B129&lt;&gt;"",'Data Source'!S129="F"),IF('Data Source'!Z129&gt;=5,"A+",IF('Data Source'!Z129&gt;=4,"A",IF('Data Source'!Z129&gt;=3.5,"A-",IF('Data Source'!Z129&gt;=3,"B",IF('Data Source'!Z129&gt;=2,"C",IF('Data Source'!Z129&gt;=1,"D","F")))))),"")</f>
        <v/>
      </c>
      <c r="I129" s="3">
        <f>IF(AND('Data Source'!B129&lt;&gt;"",'Data Source'!S129="F"),IF('Data Source'!AA129&gt;=5,"A+",IF('Data Source'!AA129&gt;=4,"A",IF('Data Source'!AA129&gt;=3.5,"A-",IF('Data Source'!AA129&gt;=3,"B",IF('Data Source'!AA129&gt;=2,"C",IF('Data Source'!AA129&gt;=1,"D","F")))))),"")</f>
        <v/>
      </c>
      <c r="J129" s="3">
        <f>IF(AND('Data Source'!B129&lt;&gt;"",'Data Source'!S129="F"),IF('Data Source'!AB129&gt;=5,"A+",IF('Data Source'!AB129&gt;=4,"A",IF('Data Source'!AB129&gt;=3.5,"A-",IF('Data Source'!AB129&gt;=3,"B",IF('Data Source'!AB129&gt;=2,"C",IF('Data Source'!AB129&gt;=1,"D","F")))))),"")</f>
        <v/>
      </c>
      <c r="K129" s="3">
        <f>IF(AND('Data Source'!B129&lt;&gt;"",'Data Source'!S129="F"),IF('Data Source'!AC129&gt;=5,"A+",IF('Data Source'!AC129&gt;=4,"A",IF('Data Source'!AC129&gt;=3.5,"A-",IF('Data Source'!AC129&gt;=3,"B",IF('Data Source'!AC129&gt;=2,"C",IF('Data Source'!AC129&gt;=1,"D","F")))))),"")</f>
        <v/>
      </c>
      <c r="L129" s="3">
        <f>IF(AND('Data Source'!B129&lt;&gt;"",'Data Source'!S129="F"),IF('Data Source'!AD129&gt;=5,"A+",IF('Data Source'!AD129&gt;=4,"A",IF('Data Source'!AD129&gt;=3.5,"A-",IF('Data Source'!AD129&gt;=3,"B",IF('Data Source'!AD129&gt;=2,"C",IF('Data Source'!AD129&gt;=1,"D","F")))))),"")</f>
        <v/>
      </c>
      <c r="M129" s="3">
        <f>IF(AND('Data Source'!B129&lt;&gt;"",'Data Source'!S129="F"),IF('Data Source'!AE129&gt;=5,"A+",IF('Data Source'!AE129&gt;=4,"A",IF('Data Source'!AE129&gt;=3.5,"A-",IF('Data Source'!AE129&gt;=3,"B",IF('Data Source'!AE129&gt;=2,"C",IF('Data Source'!AE129&gt;=1,"D","F")))))),"")</f>
        <v/>
      </c>
      <c r="N129" s="3">
        <f>IF(AND('Data Source'!B129&lt;&gt;"",'Data Source'!S129="F"),IF('Data Source'!AF129&gt;=5,"A+",IF('Data Source'!AF129&gt;=4,"A",IF('Data Source'!AF129&gt;=3.5,"A-",IF('Data Source'!AF129&gt;=3,"B",IF('Data Source'!AF129&gt;=2,"C",IF('Data Source'!AF129&gt;=1,"D","F")))))),"")</f>
        <v/>
      </c>
      <c r="O129" s="3">
        <f>IF(AND('Data Source'!B129&lt;&gt;"",'Data Source'!S129="F"),IF('Data Source'!AG129&gt;=5,"A+",IF('Data Source'!AG129&gt;=4,"A",IF('Data Source'!AG129&gt;=3.5,"A-",IF('Data Source'!AG129&gt;=3,"B",IF('Data Source'!AG129&gt;=2,"C",IF('Data Source'!AG129&gt;=1,"D","F")))))),"")</f>
        <v/>
      </c>
      <c r="P129" s="5">
        <f>IF(AND('Data Source'!B129&lt;&gt;"",'Data Source'!S129="F"),'Data Source'!R129,"")</f>
        <v/>
      </c>
      <c r="Q129" s="3">
        <f>IF(AND('Data Source'!B129&lt;&gt;"",'Data Source'!S129="F"),'Data Source'!S129,"")</f>
        <v/>
      </c>
    </row>
    <row r="130">
      <c r="A130" s="3">
        <f>IF(AND('Data Source'!B130&lt;&gt;"",'Data Source'!S130="F"),COUNTIF('Data Source'!$S$3:S130,"F"),"")</f>
        <v/>
      </c>
      <c r="B130">
        <f>IF(AND('Data Source'!B130&lt;&gt;"",'Data Source'!S130="F"),'Data Source'!B130,"")</f>
        <v/>
      </c>
      <c r="C130" s="3">
        <f>IF(AND('Data Source'!B130&lt;&gt;"",'Data Source'!S130="F"),IF('Data Source'!U130&gt;=5,"A+",IF('Data Source'!U130&gt;=4,"A",IF('Data Source'!U130&gt;=3.5,"A-",IF('Data Source'!U130&gt;=3,"B",IF('Data Source'!U130&gt;=2,"C",IF('Data Source'!U130&gt;=1,"D","F")))))),"")</f>
        <v/>
      </c>
      <c r="D130" s="3">
        <f>IF(AND('Data Source'!B130&lt;&gt;"",'Data Source'!S130="F"),IF('Data Source'!V130&gt;=5,"A+",IF('Data Source'!V130&gt;=4,"A",IF('Data Source'!V130&gt;=3.5,"A-",IF('Data Source'!V130&gt;=3,"B",IF('Data Source'!V130&gt;=2,"C",IF('Data Source'!V130&gt;=1,"D","F")))))),"")</f>
        <v/>
      </c>
      <c r="E130" s="3">
        <f>IF(AND('Data Source'!B130&lt;&gt;"",'Data Source'!S130="F"),IF('Data Source'!W130&gt;=5,"A+",IF('Data Source'!W130&gt;=4,"A",IF('Data Source'!W130&gt;=3.5,"A-",IF('Data Source'!W130&gt;=3,"B",IF('Data Source'!W130&gt;=2,"C",IF('Data Source'!W130&gt;=1,"D","F")))))),"")</f>
        <v/>
      </c>
      <c r="F130" s="3">
        <f>IF(AND('Data Source'!B130&lt;&gt;"",'Data Source'!S130="F"),IF('Data Source'!X130&gt;=5,"A+",IF('Data Source'!X130&gt;=4,"A",IF('Data Source'!X130&gt;=3.5,"A-",IF('Data Source'!X130&gt;=3,"B",IF('Data Source'!X130&gt;=2,"C",IF('Data Source'!X130&gt;=1,"D","F")))))),"")</f>
        <v/>
      </c>
      <c r="G130" s="3">
        <f>IF(AND('Data Source'!B130&lt;&gt;"",'Data Source'!S130="F"),IF('Data Source'!Y130&gt;=5,"A+",IF('Data Source'!Y130&gt;=4,"A",IF('Data Source'!Y130&gt;=3.5,"A-",IF('Data Source'!Y130&gt;=3,"B",IF('Data Source'!Y130&gt;=2,"C",IF('Data Source'!Y130&gt;=1,"D","F")))))),"")</f>
        <v/>
      </c>
      <c r="H130" s="3">
        <f>IF(AND('Data Source'!B130&lt;&gt;"",'Data Source'!S130="F"),IF('Data Source'!Z130&gt;=5,"A+",IF('Data Source'!Z130&gt;=4,"A",IF('Data Source'!Z130&gt;=3.5,"A-",IF('Data Source'!Z130&gt;=3,"B",IF('Data Source'!Z130&gt;=2,"C",IF('Data Source'!Z130&gt;=1,"D","F")))))),"")</f>
        <v/>
      </c>
      <c r="I130" s="3">
        <f>IF(AND('Data Source'!B130&lt;&gt;"",'Data Source'!S130="F"),IF('Data Source'!AA130&gt;=5,"A+",IF('Data Source'!AA130&gt;=4,"A",IF('Data Source'!AA130&gt;=3.5,"A-",IF('Data Source'!AA130&gt;=3,"B",IF('Data Source'!AA130&gt;=2,"C",IF('Data Source'!AA130&gt;=1,"D","F")))))),"")</f>
        <v/>
      </c>
      <c r="J130" s="3">
        <f>IF(AND('Data Source'!B130&lt;&gt;"",'Data Source'!S130="F"),IF('Data Source'!AB130&gt;=5,"A+",IF('Data Source'!AB130&gt;=4,"A",IF('Data Source'!AB130&gt;=3.5,"A-",IF('Data Source'!AB130&gt;=3,"B",IF('Data Source'!AB130&gt;=2,"C",IF('Data Source'!AB130&gt;=1,"D","F")))))),"")</f>
        <v/>
      </c>
      <c r="K130" s="3">
        <f>IF(AND('Data Source'!B130&lt;&gt;"",'Data Source'!S130="F"),IF('Data Source'!AC130&gt;=5,"A+",IF('Data Source'!AC130&gt;=4,"A",IF('Data Source'!AC130&gt;=3.5,"A-",IF('Data Source'!AC130&gt;=3,"B",IF('Data Source'!AC130&gt;=2,"C",IF('Data Source'!AC130&gt;=1,"D","F")))))),"")</f>
        <v/>
      </c>
      <c r="L130" s="3">
        <f>IF(AND('Data Source'!B130&lt;&gt;"",'Data Source'!S130="F"),IF('Data Source'!AD130&gt;=5,"A+",IF('Data Source'!AD130&gt;=4,"A",IF('Data Source'!AD130&gt;=3.5,"A-",IF('Data Source'!AD130&gt;=3,"B",IF('Data Source'!AD130&gt;=2,"C",IF('Data Source'!AD130&gt;=1,"D","F")))))),"")</f>
        <v/>
      </c>
      <c r="M130" s="3">
        <f>IF(AND('Data Source'!B130&lt;&gt;"",'Data Source'!S130="F"),IF('Data Source'!AE130&gt;=5,"A+",IF('Data Source'!AE130&gt;=4,"A",IF('Data Source'!AE130&gt;=3.5,"A-",IF('Data Source'!AE130&gt;=3,"B",IF('Data Source'!AE130&gt;=2,"C",IF('Data Source'!AE130&gt;=1,"D","F")))))),"")</f>
        <v/>
      </c>
      <c r="N130" s="3">
        <f>IF(AND('Data Source'!B130&lt;&gt;"",'Data Source'!S130="F"),IF('Data Source'!AF130&gt;=5,"A+",IF('Data Source'!AF130&gt;=4,"A",IF('Data Source'!AF130&gt;=3.5,"A-",IF('Data Source'!AF130&gt;=3,"B",IF('Data Source'!AF130&gt;=2,"C",IF('Data Source'!AF130&gt;=1,"D","F")))))),"")</f>
        <v/>
      </c>
      <c r="O130" s="3">
        <f>IF(AND('Data Source'!B130&lt;&gt;"",'Data Source'!S130="F"),IF('Data Source'!AG130&gt;=5,"A+",IF('Data Source'!AG130&gt;=4,"A",IF('Data Source'!AG130&gt;=3.5,"A-",IF('Data Source'!AG130&gt;=3,"B",IF('Data Source'!AG130&gt;=2,"C",IF('Data Source'!AG130&gt;=1,"D","F")))))),"")</f>
        <v/>
      </c>
      <c r="P130" s="5">
        <f>IF(AND('Data Source'!B130&lt;&gt;"",'Data Source'!S130="F"),'Data Source'!R130,"")</f>
        <v/>
      </c>
      <c r="Q130" s="3">
        <f>IF(AND('Data Source'!B130&lt;&gt;"",'Data Source'!S130="F"),'Data Source'!S130,"")</f>
        <v/>
      </c>
    </row>
    <row r="131">
      <c r="A131" s="3">
        <f>IF(AND('Data Source'!B131&lt;&gt;"",'Data Source'!S131="F"),COUNTIF('Data Source'!$S$3:S131,"F"),"")</f>
        <v/>
      </c>
      <c r="B131">
        <f>IF(AND('Data Source'!B131&lt;&gt;"",'Data Source'!S131="F"),'Data Source'!B131,"")</f>
        <v/>
      </c>
      <c r="C131" s="3">
        <f>IF(AND('Data Source'!B131&lt;&gt;"",'Data Source'!S131="F"),IF('Data Source'!U131&gt;=5,"A+",IF('Data Source'!U131&gt;=4,"A",IF('Data Source'!U131&gt;=3.5,"A-",IF('Data Source'!U131&gt;=3,"B",IF('Data Source'!U131&gt;=2,"C",IF('Data Source'!U131&gt;=1,"D","F")))))),"")</f>
        <v/>
      </c>
      <c r="D131" s="3">
        <f>IF(AND('Data Source'!B131&lt;&gt;"",'Data Source'!S131="F"),IF('Data Source'!V131&gt;=5,"A+",IF('Data Source'!V131&gt;=4,"A",IF('Data Source'!V131&gt;=3.5,"A-",IF('Data Source'!V131&gt;=3,"B",IF('Data Source'!V131&gt;=2,"C",IF('Data Source'!V131&gt;=1,"D","F")))))),"")</f>
        <v/>
      </c>
      <c r="E131" s="3">
        <f>IF(AND('Data Source'!B131&lt;&gt;"",'Data Source'!S131="F"),IF('Data Source'!W131&gt;=5,"A+",IF('Data Source'!W131&gt;=4,"A",IF('Data Source'!W131&gt;=3.5,"A-",IF('Data Source'!W131&gt;=3,"B",IF('Data Source'!W131&gt;=2,"C",IF('Data Source'!W131&gt;=1,"D","F")))))),"")</f>
        <v/>
      </c>
      <c r="F131" s="3">
        <f>IF(AND('Data Source'!B131&lt;&gt;"",'Data Source'!S131="F"),IF('Data Source'!X131&gt;=5,"A+",IF('Data Source'!X131&gt;=4,"A",IF('Data Source'!X131&gt;=3.5,"A-",IF('Data Source'!X131&gt;=3,"B",IF('Data Source'!X131&gt;=2,"C",IF('Data Source'!X131&gt;=1,"D","F")))))),"")</f>
        <v/>
      </c>
      <c r="G131" s="3">
        <f>IF(AND('Data Source'!B131&lt;&gt;"",'Data Source'!S131="F"),IF('Data Source'!Y131&gt;=5,"A+",IF('Data Source'!Y131&gt;=4,"A",IF('Data Source'!Y131&gt;=3.5,"A-",IF('Data Source'!Y131&gt;=3,"B",IF('Data Source'!Y131&gt;=2,"C",IF('Data Source'!Y131&gt;=1,"D","F")))))),"")</f>
        <v/>
      </c>
      <c r="H131" s="3">
        <f>IF(AND('Data Source'!B131&lt;&gt;"",'Data Source'!S131="F"),IF('Data Source'!Z131&gt;=5,"A+",IF('Data Source'!Z131&gt;=4,"A",IF('Data Source'!Z131&gt;=3.5,"A-",IF('Data Source'!Z131&gt;=3,"B",IF('Data Source'!Z131&gt;=2,"C",IF('Data Source'!Z131&gt;=1,"D","F")))))),"")</f>
        <v/>
      </c>
      <c r="I131" s="3">
        <f>IF(AND('Data Source'!B131&lt;&gt;"",'Data Source'!S131="F"),IF('Data Source'!AA131&gt;=5,"A+",IF('Data Source'!AA131&gt;=4,"A",IF('Data Source'!AA131&gt;=3.5,"A-",IF('Data Source'!AA131&gt;=3,"B",IF('Data Source'!AA131&gt;=2,"C",IF('Data Source'!AA131&gt;=1,"D","F")))))),"")</f>
        <v/>
      </c>
      <c r="J131" s="3">
        <f>IF(AND('Data Source'!B131&lt;&gt;"",'Data Source'!S131="F"),IF('Data Source'!AB131&gt;=5,"A+",IF('Data Source'!AB131&gt;=4,"A",IF('Data Source'!AB131&gt;=3.5,"A-",IF('Data Source'!AB131&gt;=3,"B",IF('Data Source'!AB131&gt;=2,"C",IF('Data Source'!AB131&gt;=1,"D","F")))))),"")</f>
        <v/>
      </c>
      <c r="K131" s="3">
        <f>IF(AND('Data Source'!B131&lt;&gt;"",'Data Source'!S131="F"),IF('Data Source'!AC131&gt;=5,"A+",IF('Data Source'!AC131&gt;=4,"A",IF('Data Source'!AC131&gt;=3.5,"A-",IF('Data Source'!AC131&gt;=3,"B",IF('Data Source'!AC131&gt;=2,"C",IF('Data Source'!AC131&gt;=1,"D","F")))))),"")</f>
        <v/>
      </c>
      <c r="L131" s="3">
        <f>IF(AND('Data Source'!B131&lt;&gt;"",'Data Source'!S131="F"),IF('Data Source'!AD131&gt;=5,"A+",IF('Data Source'!AD131&gt;=4,"A",IF('Data Source'!AD131&gt;=3.5,"A-",IF('Data Source'!AD131&gt;=3,"B",IF('Data Source'!AD131&gt;=2,"C",IF('Data Source'!AD131&gt;=1,"D","F")))))),"")</f>
        <v/>
      </c>
      <c r="M131" s="3">
        <f>IF(AND('Data Source'!B131&lt;&gt;"",'Data Source'!S131="F"),IF('Data Source'!AE131&gt;=5,"A+",IF('Data Source'!AE131&gt;=4,"A",IF('Data Source'!AE131&gt;=3.5,"A-",IF('Data Source'!AE131&gt;=3,"B",IF('Data Source'!AE131&gt;=2,"C",IF('Data Source'!AE131&gt;=1,"D","F")))))),"")</f>
        <v/>
      </c>
      <c r="N131" s="3">
        <f>IF(AND('Data Source'!B131&lt;&gt;"",'Data Source'!S131="F"),IF('Data Source'!AF131&gt;=5,"A+",IF('Data Source'!AF131&gt;=4,"A",IF('Data Source'!AF131&gt;=3.5,"A-",IF('Data Source'!AF131&gt;=3,"B",IF('Data Source'!AF131&gt;=2,"C",IF('Data Source'!AF131&gt;=1,"D","F")))))),"")</f>
        <v/>
      </c>
      <c r="O131" s="3">
        <f>IF(AND('Data Source'!B131&lt;&gt;"",'Data Source'!S131="F"),IF('Data Source'!AG131&gt;=5,"A+",IF('Data Source'!AG131&gt;=4,"A",IF('Data Source'!AG131&gt;=3.5,"A-",IF('Data Source'!AG131&gt;=3,"B",IF('Data Source'!AG131&gt;=2,"C",IF('Data Source'!AG131&gt;=1,"D","F")))))),"")</f>
        <v/>
      </c>
      <c r="P131" s="5">
        <f>IF(AND('Data Source'!B131&lt;&gt;"",'Data Source'!S131="F"),'Data Source'!R131,"")</f>
        <v/>
      </c>
      <c r="Q131" s="3">
        <f>IF(AND('Data Source'!B131&lt;&gt;"",'Data Source'!S131="F"),'Data Source'!S131,"")</f>
        <v/>
      </c>
    </row>
    <row r="132">
      <c r="A132" s="3">
        <f>IF(AND('Data Source'!B132&lt;&gt;"",'Data Source'!S132="F"),COUNTIF('Data Source'!$S$3:S132,"F"),"")</f>
        <v/>
      </c>
      <c r="B132">
        <f>IF(AND('Data Source'!B132&lt;&gt;"",'Data Source'!S132="F"),'Data Source'!B132,"")</f>
        <v/>
      </c>
      <c r="C132" s="3">
        <f>IF(AND('Data Source'!B132&lt;&gt;"",'Data Source'!S132="F"),IF('Data Source'!U132&gt;=5,"A+",IF('Data Source'!U132&gt;=4,"A",IF('Data Source'!U132&gt;=3.5,"A-",IF('Data Source'!U132&gt;=3,"B",IF('Data Source'!U132&gt;=2,"C",IF('Data Source'!U132&gt;=1,"D","F")))))),"")</f>
        <v/>
      </c>
      <c r="D132" s="3">
        <f>IF(AND('Data Source'!B132&lt;&gt;"",'Data Source'!S132="F"),IF('Data Source'!V132&gt;=5,"A+",IF('Data Source'!V132&gt;=4,"A",IF('Data Source'!V132&gt;=3.5,"A-",IF('Data Source'!V132&gt;=3,"B",IF('Data Source'!V132&gt;=2,"C",IF('Data Source'!V132&gt;=1,"D","F")))))),"")</f>
        <v/>
      </c>
      <c r="E132" s="3">
        <f>IF(AND('Data Source'!B132&lt;&gt;"",'Data Source'!S132="F"),IF('Data Source'!W132&gt;=5,"A+",IF('Data Source'!W132&gt;=4,"A",IF('Data Source'!W132&gt;=3.5,"A-",IF('Data Source'!W132&gt;=3,"B",IF('Data Source'!W132&gt;=2,"C",IF('Data Source'!W132&gt;=1,"D","F")))))),"")</f>
        <v/>
      </c>
      <c r="F132" s="3">
        <f>IF(AND('Data Source'!B132&lt;&gt;"",'Data Source'!S132="F"),IF('Data Source'!X132&gt;=5,"A+",IF('Data Source'!X132&gt;=4,"A",IF('Data Source'!X132&gt;=3.5,"A-",IF('Data Source'!X132&gt;=3,"B",IF('Data Source'!X132&gt;=2,"C",IF('Data Source'!X132&gt;=1,"D","F")))))),"")</f>
        <v/>
      </c>
      <c r="G132" s="3">
        <f>IF(AND('Data Source'!B132&lt;&gt;"",'Data Source'!S132="F"),IF('Data Source'!Y132&gt;=5,"A+",IF('Data Source'!Y132&gt;=4,"A",IF('Data Source'!Y132&gt;=3.5,"A-",IF('Data Source'!Y132&gt;=3,"B",IF('Data Source'!Y132&gt;=2,"C",IF('Data Source'!Y132&gt;=1,"D","F")))))),"")</f>
        <v/>
      </c>
      <c r="H132" s="3">
        <f>IF(AND('Data Source'!B132&lt;&gt;"",'Data Source'!S132="F"),IF('Data Source'!Z132&gt;=5,"A+",IF('Data Source'!Z132&gt;=4,"A",IF('Data Source'!Z132&gt;=3.5,"A-",IF('Data Source'!Z132&gt;=3,"B",IF('Data Source'!Z132&gt;=2,"C",IF('Data Source'!Z132&gt;=1,"D","F")))))),"")</f>
        <v/>
      </c>
      <c r="I132" s="3">
        <f>IF(AND('Data Source'!B132&lt;&gt;"",'Data Source'!S132="F"),IF('Data Source'!AA132&gt;=5,"A+",IF('Data Source'!AA132&gt;=4,"A",IF('Data Source'!AA132&gt;=3.5,"A-",IF('Data Source'!AA132&gt;=3,"B",IF('Data Source'!AA132&gt;=2,"C",IF('Data Source'!AA132&gt;=1,"D","F")))))),"")</f>
        <v/>
      </c>
      <c r="J132" s="3">
        <f>IF(AND('Data Source'!B132&lt;&gt;"",'Data Source'!S132="F"),IF('Data Source'!AB132&gt;=5,"A+",IF('Data Source'!AB132&gt;=4,"A",IF('Data Source'!AB132&gt;=3.5,"A-",IF('Data Source'!AB132&gt;=3,"B",IF('Data Source'!AB132&gt;=2,"C",IF('Data Source'!AB132&gt;=1,"D","F")))))),"")</f>
        <v/>
      </c>
      <c r="K132" s="3">
        <f>IF(AND('Data Source'!B132&lt;&gt;"",'Data Source'!S132="F"),IF('Data Source'!AC132&gt;=5,"A+",IF('Data Source'!AC132&gt;=4,"A",IF('Data Source'!AC132&gt;=3.5,"A-",IF('Data Source'!AC132&gt;=3,"B",IF('Data Source'!AC132&gt;=2,"C",IF('Data Source'!AC132&gt;=1,"D","F")))))),"")</f>
        <v/>
      </c>
      <c r="L132" s="3">
        <f>IF(AND('Data Source'!B132&lt;&gt;"",'Data Source'!S132="F"),IF('Data Source'!AD132&gt;=5,"A+",IF('Data Source'!AD132&gt;=4,"A",IF('Data Source'!AD132&gt;=3.5,"A-",IF('Data Source'!AD132&gt;=3,"B",IF('Data Source'!AD132&gt;=2,"C",IF('Data Source'!AD132&gt;=1,"D","F")))))),"")</f>
        <v/>
      </c>
      <c r="M132" s="3">
        <f>IF(AND('Data Source'!B132&lt;&gt;"",'Data Source'!S132="F"),IF('Data Source'!AE132&gt;=5,"A+",IF('Data Source'!AE132&gt;=4,"A",IF('Data Source'!AE132&gt;=3.5,"A-",IF('Data Source'!AE132&gt;=3,"B",IF('Data Source'!AE132&gt;=2,"C",IF('Data Source'!AE132&gt;=1,"D","F")))))),"")</f>
        <v/>
      </c>
      <c r="N132" s="3">
        <f>IF(AND('Data Source'!B132&lt;&gt;"",'Data Source'!S132="F"),IF('Data Source'!AF132&gt;=5,"A+",IF('Data Source'!AF132&gt;=4,"A",IF('Data Source'!AF132&gt;=3.5,"A-",IF('Data Source'!AF132&gt;=3,"B",IF('Data Source'!AF132&gt;=2,"C",IF('Data Source'!AF132&gt;=1,"D","F")))))),"")</f>
        <v/>
      </c>
      <c r="O132" s="3">
        <f>IF(AND('Data Source'!B132&lt;&gt;"",'Data Source'!S132="F"),IF('Data Source'!AG132&gt;=5,"A+",IF('Data Source'!AG132&gt;=4,"A",IF('Data Source'!AG132&gt;=3.5,"A-",IF('Data Source'!AG132&gt;=3,"B",IF('Data Source'!AG132&gt;=2,"C",IF('Data Source'!AG132&gt;=1,"D","F")))))),"")</f>
        <v/>
      </c>
      <c r="P132" s="5">
        <f>IF(AND('Data Source'!B132&lt;&gt;"",'Data Source'!S132="F"),'Data Source'!R132,"")</f>
        <v/>
      </c>
      <c r="Q132" s="3">
        <f>IF(AND('Data Source'!B132&lt;&gt;"",'Data Source'!S132="F"),'Data Source'!S132,"")</f>
        <v/>
      </c>
    </row>
    <row r="133">
      <c r="A133" s="3">
        <f>IF(AND('Data Source'!B133&lt;&gt;"",'Data Source'!S133="F"),COUNTIF('Data Source'!$S$3:S133,"F"),"")</f>
        <v/>
      </c>
      <c r="B133">
        <f>IF(AND('Data Source'!B133&lt;&gt;"",'Data Source'!S133="F"),'Data Source'!B133,"")</f>
        <v/>
      </c>
      <c r="C133" s="3">
        <f>IF(AND('Data Source'!B133&lt;&gt;"",'Data Source'!S133="F"),IF('Data Source'!U133&gt;=5,"A+",IF('Data Source'!U133&gt;=4,"A",IF('Data Source'!U133&gt;=3.5,"A-",IF('Data Source'!U133&gt;=3,"B",IF('Data Source'!U133&gt;=2,"C",IF('Data Source'!U133&gt;=1,"D","F")))))),"")</f>
        <v/>
      </c>
      <c r="D133" s="3">
        <f>IF(AND('Data Source'!B133&lt;&gt;"",'Data Source'!S133="F"),IF('Data Source'!V133&gt;=5,"A+",IF('Data Source'!V133&gt;=4,"A",IF('Data Source'!V133&gt;=3.5,"A-",IF('Data Source'!V133&gt;=3,"B",IF('Data Source'!V133&gt;=2,"C",IF('Data Source'!V133&gt;=1,"D","F")))))),"")</f>
        <v/>
      </c>
      <c r="E133" s="3">
        <f>IF(AND('Data Source'!B133&lt;&gt;"",'Data Source'!S133="F"),IF('Data Source'!W133&gt;=5,"A+",IF('Data Source'!W133&gt;=4,"A",IF('Data Source'!W133&gt;=3.5,"A-",IF('Data Source'!W133&gt;=3,"B",IF('Data Source'!W133&gt;=2,"C",IF('Data Source'!W133&gt;=1,"D","F")))))),"")</f>
        <v/>
      </c>
      <c r="F133" s="3">
        <f>IF(AND('Data Source'!B133&lt;&gt;"",'Data Source'!S133="F"),IF('Data Source'!X133&gt;=5,"A+",IF('Data Source'!X133&gt;=4,"A",IF('Data Source'!X133&gt;=3.5,"A-",IF('Data Source'!X133&gt;=3,"B",IF('Data Source'!X133&gt;=2,"C",IF('Data Source'!X133&gt;=1,"D","F")))))),"")</f>
        <v/>
      </c>
      <c r="G133" s="3">
        <f>IF(AND('Data Source'!B133&lt;&gt;"",'Data Source'!S133="F"),IF('Data Source'!Y133&gt;=5,"A+",IF('Data Source'!Y133&gt;=4,"A",IF('Data Source'!Y133&gt;=3.5,"A-",IF('Data Source'!Y133&gt;=3,"B",IF('Data Source'!Y133&gt;=2,"C",IF('Data Source'!Y133&gt;=1,"D","F")))))),"")</f>
        <v/>
      </c>
      <c r="H133" s="3">
        <f>IF(AND('Data Source'!B133&lt;&gt;"",'Data Source'!S133="F"),IF('Data Source'!Z133&gt;=5,"A+",IF('Data Source'!Z133&gt;=4,"A",IF('Data Source'!Z133&gt;=3.5,"A-",IF('Data Source'!Z133&gt;=3,"B",IF('Data Source'!Z133&gt;=2,"C",IF('Data Source'!Z133&gt;=1,"D","F")))))),"")</f>
        <v/>
      </c>
      <c r="I133" s="3">
        <f>IF(AND('Data Source'!B133&lt;&gt;"",'Data Source'!S133="F"),IF('Data Source'!AA133&gt;=5,"A+",IF('Data Source'!AA133&gt;=4,"A",IF('Data Source'!AA133&gt;=3.5,"A-",IF('Data Source'!AA133&gt;=3,"B",IF('Data Source'!AA133&gt;=2,"C",IF('Data Source'!AA133&gt;=1,"D","F")))))),"")</f>
        <v/>
      </c>
      <c r="J133" s="3">
        <f>IF(AND('Data Source'!B133&lt;&gt;"",'Data Source'!S133="F"),IF('Data Source'!AB133&gt;=5,"A+",IF('Data Source'!AB133&gt;=4,"A",IF('Data Source'!AB133&gt;=3.5,"A-",IF('Data Source'!AB133&gt;=3,"B",IF('Data Source'!AB133&gt;=2,"C",IF('Data Source'!AB133&gt;=1,"D","F")))))),"")</f>
        <v/>
      </c>
      <c r="K133" s="3">
        <f>IF(AND('Data Source'!B133&lt;&gt;"",'Data Source'!S133="F"),IF('Data Source'!AC133&gt;=5,"A+",IF('Data Source'!AC133&gt;=4,"A",IF('Data Source'!AC133&gt;=3.5,"A-",IF('Data Source'!AC133&gt;=3,"B",IF('Data Source'!AC133&gt;=2,"C",IF('Data Source'!AC133&gt;=1,"D","F")))))),"")</f>
        <v/>
      </c>
      <c r="L133" s="3">
        <f>IF(AND('Data Source'!B133&lt;&gt;"",'Data Source'!S133="F"),IF('Data Source'!AD133&gt;=5,"A+",IF('Data Source'!AD133&gt;=4,"A",IF('Data Source'!AD133&gt;=3.5,"A-",IF('Data Source'!AD133&gt;=3,"B",IF('Data Source'!AD133&gt;=2,"C",IF('Data Source'!AD133&gt;=1,"D","F")))))),"")</f>
        <v/>
      </c>
      <c r="M133" s="3">
        <f>IF(AND('Data Source'!B133&lt;&gt;"",'Data Source'!S133="F"),IF('Data Source'!AE133&gt;=5,"A+",IF('Data Source'!AE133&gt;=4,"A",IF('Data Source'!AE133&gt;=3.5,"A-",IF('Data Source'!AE133&gt;=3,"B",IF('Data Source'!AE133&gt;=2,"C",IF('Data Source'!AE133&gt;=1,"D","F")))))),"")</f>
        <v/>
      </c>
      <c r="N133" s="3">
        <f>IF(AND('Data Source'!B133&lt;&gt;"",'Data Source'!S133="F"),IF('Data Source'!AF133&gt;=5,"A+",IF('Data Source'!AF133&gt;=4,"A",IF('Data Source'!AF133&gt;=3.5,"A-",IF('Data Source'!AF133&gt;=3,"B",IF('Data Source'!AF133&gt;=2,"C",IF('Data Source'!AF133&gt;=1,"D","F")))))),"")</f>
        <v/>
      </c>
      <c r="O133" s="3">
        <f>IF(AND('Data Source'!B133&lt;&gt;"",'Data Source'!S133="F"),IF('Data Source'!AG133&gt;=5,"A+",IF('Data Source'!AG133&gt;=4,"A",IF('Data Source'!AG133&gt;=3.5,"A-",IF('Data Source'!AG133&gt;=3,"B",IF('Data Source'!AG133&gt;=2,"C",IF('Data Source'!AG133&gt;=1,"D","F")))))),"")</f>
        <v/>
      </c>
      <c r="P133" s="5">
        <f>IF(AND('Data Source'!B133&lt;&gt;"",'Data Source'!S133="F"),'Data Source'!R133,"")</f>
        <v/>
      </c>
      <c r="Q133" s="3">
        <f>IF(AND('Data Source'!B133&lt;&gt;"",'Data Source'!S133="F"),'Data Source'!S133,"")</f>
        <v/>
      </c>
    </row>
    <row r="134">
      <c r="A134" s="3">
        <f>IF(AND('Data Source'!B134&lt;&gt;"",'Data Source'!S134="F"),COUNTIF('Data Source'!$S$3:S134,"F"),"")</f>
        <v/>
      </c>
      <c r="B134">
        <f>IF(AND('Data Source'!B134&lt;&gt;"",'Data Source'!S134="F"),'Data Source'!B134,"")</f>
        <v/>
      </c>
      <c r="C134" s="3">
        <f>IF(AND('Data Source'!B134&lt;&gt;"",'Data Source'!S134="F"),IF('Data Source'!U134&gt;=5,"A+",IF('Data Source'!U134&gt;=4,"A",IF('Data Source'!U134&gt;=3.5,"A-",IF('Data Source'!U134&gt;=3,"B",IF('Data Source'!U134&gt;=2,"C",IF('Data Source'!U134&gt;=1,"D","F")))))),"")</f>
        <v/>
      </c>
      <c r="D134" s="3">
        <f>IF(AND('Data Source'!B134&lt;&gt;"",'Data Source'!S134="F"),IF('Data Source'!V134&gt;=5,"A+",IF('Data Source'!V134&gt;=4,"A",IF('Data Source'!V134&gt;=3.5,"A-",IF('Data Source'!V134&gt;=3,"B",IF('Data Source'!V134&gt;=2,"C",IF('Data Source'!V134&gt;=1,"D","F")))))),"")</f>
        <v/>
      </c>
      <c r="E134" s="3">
        <f>IF(AND('Data Source'!B134&lt;&gt;"",'Data Source'!S134="F"),IF('Data Source'!W134&gt;=5,"A+",IF('Data Source'!W134&gt;=4,"A",IF('Data Source'!W134&gt;=3.5,"A-",IF('Data Source'!W134&gt;=3,"B",IF('Data Source'!W134&gt;=2,"C",IF('Data Source'!W134&gt;=1,"D","F")))))),"")</f>
        <v/>
      </c>
      <c r="F134" s="3">
        <f>IF(AND('Data Source'!B134&lt;&gt;"",'Data Source'!S134="F"),IF('Data Source'!X134&gt;=5,"A+",IF('Data Source'!X134&gt;=4,"A",IF('Data Source'!X134&gt;=3.5,"A-",IF('Data Source'!X134&gt;=3,"B",IF('Data Source'!X134&gt;=2,"C",IF('Data Source'!X134&gt;=1,"D","F")))))),"")</f>
        <v/>
      </c>
      <c r="G134" s="3">
        <f>IF(AND('Data Source'!B134&lt;&gt;"",'Data Source'!S134="F"),IF('Data Source'!Y134&gt;=5,"A+",IF('Data Source'!Y134&gt;=4,"A",IF('Data Source'!Y134&gt;=3.5,"A-",IF('Data Source'!Y134&gt;=3,"B",IF('Data Source'!Y134&gt;=2,"C",IF('Data Source'!Y134&gt;=1,"D","F")))))),"")</f>
        <v/>
      </c>
      <c r="H134" s="3">
        <f>IF(AND('Data Source'!B134&lt;&gt;"",'Data Source'!S134="F"),IF('Data Source'!Z134&gt;=5,"A+",IF('Data Source'!Z134&gt;=4,"A",IF('Data Source'!Z134&gt;=3.5,"A-",IF('Data Source'!Z134&gt;=3,"B",IF('Data Source'!Z134&gt;=2,"C",IF('Data Source'!Z134&gt;=1,"D","F")))))),"")</f>
        <v/>
      </c>
      <c r="I134" s="3">
        <f>IF(AND('Data Source'!B134&lt;&gt;"",'Data Source'!S134="F"),IF('Data Source'!AA134&gt;=5,"A+",IF('Data Source'!AA134&gt;=4,"A",IF('Data Source'!AA134&gt;=3.5,"A-",IF('Data Source'!AA134&gt;=3,"B",IF('Data Source'!AA134&gt;=2,"C",IF('Data Source'!AA134&gt;=1,"D","F")))))),"")</f>
        <v/>
      </c>
      <c r="J134" s="3">
        <f>IF(AND('Data Source'!B134&lt;&gt;"",'Data Source'!S134="F"),IF('Data Source'!AB134&gt;=5,"A+",IF('Data Source'!AB134&gt;=4,"A",IF('Data Source'!AB134&gt;=3.5,"A-",IF('Data Source'!AB134&gt;=3,"B",IF('Data Source'!AB134&gt;=2,"C",IF('Data Source'!AB134&gt;=1,"D","F")))))),"")</f>
        <v/>
      </c>
      <c r="K134" s="3">
        <f>IF(AND('Data Source'!B134&lt;&gt;"",'Data Source'!S134="F"),IF('Data Source'!AC134&gt;=5,"A+",IF('Data Source'!AC134&gt;=4,"A",IF('Data Source'!AC134&gt;=3.5,"A-",IF('Data Source'!AC134&gt;=3,"B",IF('Data Source'!AC134&gt;=2,"C",IF('Data Source'!AC134&gt;=1,"D","F")))))),"")</f>
        <v/>
      </c>
      <c r="L134" s="3">
        <f>IF(AND('Data Source'!B134&lt;&gt;"",'Data Source'!S134="F"),IF('Data Source'!AD134&gt;=5,"A+",IF('Data Source'!AD134&gt;=4,"A",IF('Data Source'!AD134&gt;=3.5,"A-",IF('Data Source'!AD134&gt;=3,"B",IF('Data Source'!AD134&gt;=2,"C",IF('Data Source'!AD134&gt;=1,"D","F")))))),"")</f>
        <v/>
      </c>
      <c r="M134" s="3">
        <f>IF(AND('Data Source'!B134&lt;&gt;"",'Data Source'!S134="F"),IF('Data Source'!AE134&gt;=5,"A+",IF('Data Source'!AE134&gt;=4,"A",IF('Data Source'!AE134&gt;=3.5,"A-",IF('Data Source'!AE134&gt;=3,"B",IF('Data Source'!AE134&gt;=2,"C",IF('Data Source'!AE134&gt;=1,"D","F")))))),"")</f>
        <v/>
      </c>
      <c r="N134" s="3">
        <f>IF(AND('Data Source'!B134&lt;&gt;"",'Data Source'!S134="F"),IF('Data Source'!AF134&gt;=5,"A+",IF('Data Source'!AF134&gt;=4,"A",IF('Data Source'!AF134&gt;=3.5,"A-",IF('Data Source'!AF134&gt;=3,"B",IF('Data Source'!AF134&gt;=2,"C",IF('Data Source'!AF134&gt;=1,"D","F")))))),"")</f>
        <v/>
      </c>
      <c r="O134" s="3">
        <f>IF(AND('Data Source'!B134&lt;&gt;"",'Data Source'!S134="F"),IF('Data Source'!AG134&gt;=5,"A+",IF('Data Source'!AG134&gt;=4,"A",IF('Data Source'!AG134&gt;=3.5,"A-",IF('Data Source'!AG134&gt;=3,"B",IF('Data Source'!AG134&gt;=2,"C",IF('Data Source'!AG134&gt;=1,"D","F")))))),"")</f>
        <v/>
      </c>
      <c r="P134" s="5">
        <f>IF(AND('Data Source'!B134&lt;&gt;"",'Data Source'!S134="F"),'Data Source'!R134,"")</f>
        <v/>
      </c>
      <c r="Q134" s="3">
        <f>IF(AND('Data Source'!B134&lt;&gt;"",'Data Source'!S134="F"),'Data Source'!S134,"")</f>
        <v/>
      </c>
    </row>
    <row r="135">
      <c r="A135" s="3">
        <f>IF(AND('Data Source'!B135&lt;&gt;"",'Data Source'!S135="F"),COUNTIF('Data Source'!$S$3:S135,"F"),"")</f>
        <v/>
      </c>
      <c r="B135">
        <f>IF(AND('Data Source'!B135&lt;&gt;"",'Data Source'!S135="F"),'Data Source'!B135,"")</f>
        <v/>
      </c>
      <c r="C135" s="3">
        <f>IF(AND('Data Source'!B135&lt;&gt;"",'Data Source'!S135="F"),IF('Data Source'!U135&gt;=5,"A+",IF('Data Source'!U135&gt;=4,"A",IF('Data Source'!U135&gt;=3.5,"A-",IF('Data Source'!U135&gt;=3,"B",IF('Data Source'!U135&gt;=2,"C",IF('Data Source'!U135&gt;=1,"D","F")))))),"")</f>
        <v/>
      </c>
      <c r="D135" s="3">
        <f>IF(AND('Data Source'!B135&lt;&gt;"",'Data Source'!S135="F"),IF('Data Source'!V135&gt;=5,"A+",IF('Data Source'!V135&gt;=4,"A",IF('Data Source'!V135&gt;=3.5,"A-",IF('Data Source'!V135&gt;=3,"B",IF('Data Source'!V135&gt;=2,"C",IF('Data Source'!V135&gt;=1,"D","F")))))),"")</f>
        <v/>
      </c>
      <c r="E135" s="3">
        <f>IF(AND('Data Source'!B135&lt;&gt;"",'Data Source'!S135="F"),IF('Data Source'!W135&gt;=5,"A+",IF('Data Source'!W135&gt;=4,"A",IF('Data Source'!W135&gt;=3.5,"A-",IF('Data Source'!W135&gt;=3,"B",IF('Data Source'!W135&gt;=2,"C",IF('Data Source'!W135&gt;=1,"D","F")))))),"")</f>
        <v/>
      </c>
      <c r="F135" s="3">
        <f>IF(AND('Data Source'!B135&lt;&gt;"",'Data Source'!S135="F"),IF('Data Source'!X135&gt;=5,"A+",IF('Data Source'!X135&gt;=4,"A",IF('Data Source'!X135&gt;=3.5,"A-",IF('Data Source'!X135&gt;=3,"B",IF('Data Source'!X135&gt;=2,"C",IF('Data Source'!X135&gt;=1,"D","F")))))),"")</f>
        <v/>
      </c>
      <c r="G135" s="3">
        <f>IF(AND('Data Source'!B135&lt;&gt;"",'Data Source'!S135="F"),IF('Data Source'!Y135&gt;=5,"A+",IF('Data Source'!Y135&gt;=4,"A",IF('Data Source'!Y135&gt;=3.5,"A-",IF('Data Source'!Y135&gt;=3,"B",IF('Data Source'!Y135&gt;=2,"C",IF('Data Source'!Y135&gt;=1,"D","F")))))),"")</f>
        <v/>
      </c>
      <c r="H135" s="3">
        <f>IF(AND('Data Source'!B135&lt;&gt;"",'Data Source'!S135="F"),IF('Data Source'!Z135&gt;=5,"A+",IF('Data Source'!Z135&gt;=4,"A",IF('Data Source'!Z135&gt;=3.5,"A-",IF('Data Source'!Z135&gt;=3,"B",IF('Data Source'!Z135&gt;=2,"C",IF('Data Source'!Z135&gt;=1,"D","F")))))),"")</f>
        <v/>
      </c>
      <c r="I135" s="3">
        <f>IF(AND('Data Source'!B135&lt;&gt;"",'Data Source'!S135="F"),IF('Data Source'!AA135&gt;=5,"A+",IF('Data Source'!AA135&gt;=4,"A",IF('Data Source'!AA135&gt;=3.5,"A-",IF('Data Source'!AA135&gt;=3,"B",IF('Data Source'!AA135&gt;=2,"C",IF('Data Source'!AA135&gt;=1,"D","F")))))),"")</f>
        <v/>
      </c>
      <c r="J135" s="3">
        <f>IF(AND('Data Source'!B135&lt;&gt;"",'Data Source'!S135="F"),IF('Data Source'!AB135&gt;=5,"A+",IF('Data Source'!AB135&gt;=4,"A",IF('Data Source'!AB135&gt;=3.5,"A-",IF('Data Source'!AB135&gt;=3,"B",IF('Data Source'!AB135&gt;=2,"C",IF('Data Source'!AB135&gt;=1,"D","F")))))),"")</f>
        <v/>
      </c>
      <c r="K135" s="3">
        <f>IF(AND('Data Source'!B135&lt;&gt;"",'Data Source'!S135="F"),IF('Data Source'!AC135&gt;=5,"A+",IF('Data Source'!AC135&gt;=4,"A",IF('Data Source'!AC135&gt;=3.5,"A-",IF('Data Source'!AC135&gt;=3,"B",IF('Data Source'!AC135&gt;=2,"C",IF('Data Source'!AC135&gt;=1,"D","F")))))),"")</f>
        <v/>
      </c>
      <c r="L135" s="3">
        <f>IF(AND('Data Source'!B135&lt;&gt;"",'Data Source'!S135="F"),IF('Data Source'!AD135&gt;=5,"A+",IF('Data Source'!AD135&gt;=4,"A",IF('Data Source'!AD135&gt;=3.5,"A-",IF('Data Source'!AD135&gt;=3,"B",IF('Data Source'!AD135&gt;=2,"C",IF('Data Source'!AD135&gt;=1,"D","F")))))),"")</f>
        <v/>
      </c>
      <c r="M135" s="3">
        <f>IF(AND('Data Source'!B135&lt;&gt;"",'Data Source'!S135="F"),IF('Data Source'!AE135&gt;=5,"A+",IF('Data Source'!AE135&gt;=4,"A",IF('Data Source'!AE135&gt;=3.5,"A-",IF('Data Source'!AE135&gt;=3,"B",IF('Data Source'!AE135&gt;=2,"C",IF('Data Source'!AE135&gt;=1,"D","F")))))),"")</f>
        <v/>
      </c>
      <c r="N135" s="3">
        <f>IF(AND('Data Source'!B135&lt;&gt;"",'Data Source'!S135="F"),IF('Data Source'!AF135&gt;=5,"A+",IF('Data Source'!AF135&gt;=4,"A",IF('Data Source'!AF135&gt;=3.5,"A-",IF('Data Source'!AF135&gt;=3,"B",IF('Data Source'!AF135&gt;=2,"C",IF('Data Source'!AF135&gt;=1,"D","F")))))),"")</f>
        <v/>
      </c>
      <c r="O135" s="3">
        <f>IF(AND('Data Source'!B135&lt;&gt;"",'Data Source'!S135="F"),IF('Data Source'!AG135&gt;=5,"A+",IF('Data Source'!AG135&gt;=4,"A",IF('Data Source'!AG135&gt;=3.5,"A-",IF('Data Source'!AG135&gt;=3,"B",IF('Data Source'!AG135&gt;=2,"C",IF('Data Source'!AG135&gt;=1,"D","F")))))),"")</f>
        <v/>
      </c>
      <c r="P135" s="5">
        <f>IF(AND('Data Source'!B135&lt;&gt;"",'Data Source'!S135="F"),'Data Source'!R135,"")</f>
        <v/>
      </c>
      <c r="Q135" s="3">
        <f>IF(AND('Data Source'!B135&lt;&gt;"",'Data Source'!S135="F"),'Data Source'!S135,"")</f>
        <v/>
      </c>
    </row>
    <row r="136">
      <c r="A136" s="3">
        <f>IF(AND('Data Source'!B136&lt;&gt;"",'Data Source'!S136="F"),COUNTIF('Data Source'!$S$3:S136,"F"),"")</f>
        <v/>
      </c>
      <c r="B136">
        <f>IF(AND('Data Source'!B136&lt;&gt;"",'Data Source'!S136="F"),'Data Source'!B136,"")</f>
        <v/>
      </c>
      <c r="C136" s="3">
        <f>IF(AND('Data Source'!B136&lt;&gt;"",'Data Source'!S136="F"),IF('Data Source'!U136&gt;=5,"A+",IF('Data Source'!U136&gt;=4,"A",IF('Data Source'!U136&gt;=3.5,"A-",IF('Data Source'!U136&gt;=3,"B",IF('Data Source'!U136&gt;=2,"C",IF('Data Source'!U136&gt;=1,"D","F")))))),"")</f>
        <v/>
      </c>
      <c r="D136" s="3">
        <f>IF(AND('Data Source'!B136&lt;&gt;"",'Data Source'!S136="F"),IF('Data Source'!V136&gt;=5,"A+",IF('Data Source'!V136&gt;=4,"A",IF('Data Source'!V136&gt;=3.5,"A-",IF('Data Source'!V136&gt;=3,"B",IF('Data Source'!V136&gt;=2,"C",IF('Data Source'!V136&gt;=1,"D","F")))))),"")</f>
        <v/>
      </c>
      <c r="E136" s="3">
        <f>IF(AND('Data Source'!B136&lt;&gt;"",'Data Source'!S136="F"),IF('Data Source'!W136&gt;=5,"A+",IF('Data Source'!W136&gt;=4,"A",IF('Data Source'!W136&gt;=3.5,"A-",IF('Data Source'!W136&gt;=3,"B",IF('Data Source'!W136&gt;=2,"C",IF('Data Source'!W136&gt;=1,"D","F")))))),"")</f>
        <v/>
      </c>
      <c r="F136" s="3">
        <f>IF(AND('Data Source'!B136&lt;&gt;"",'Data Source'!S136="F"),IF('Data Source'!X136&gt;=5,"A+",IF('Data Source'!X136&gt;=4,"A",IF('Data Source'!X136&gt;=3.5,"A-",IF('Data Source'!X136&gt;=3,"B",IF('Data Source'!X136&gt;=2,"C",IF('Data Source'!X136&gt;=1,"D","F")))))),"")</f>
        <v/>
      </c>
      <c r="G136" s="3">
        <f>IF(AND('Data Source'!B136&lt;&gt;"",'Data Source'!S136="F"),IF('Data Source'!Y136&gt;=5,"A+",IF('Data Source'!Y136&gt;=4,"A",IF('Data Source'!Y136&gt;=3.5,"A-",IF('Data Source'!Y136&gt;=3,"B",IF('Data Source'!Y136&gt;=2,"C",IF('Data Source'!Y136&gt;=1,"D","F")))))),"")</f>
        <v/>
      </c>
      <c r="H136" s="3">
        <f>IF(AND('Data Source'!B136&lt;&gt;"",'Data Source'!S136="F"),IF('Data Source'!Z136&gt;=5,"A+",IF('Data Source'!Z136&gt;=4,"A",IF('Data Source'!Z136&gt;=3.5,"A-",IF('Data Source'!Z136&gt;=3,"B",IF('Data Source'!Z136&gt;=2,"C",IF('Data Source'!Z136&gt;=1,"D","F")))))),"")</f>
        <v/>
      </c>
      <c r="I136" s="3">
        <f>IF(AND('Data Source'!B136&lt;&gt;"",'Data Source'!S136="F"),IF('Data Source'!AA136&gt;=5,"A+",IF('Data Source'!AA136&gt;=4,"A",IF('Data Source'!AA136&gt;=3.5,"A-",IF('Data Source'!AA136&gt;=3,"B",IF('Data Source'!AA136&gt;=2,"C",IF('Data Source'!AA136&gt;=1,"D","F")))))),"")</f>
        <v/>
      </c>
      <c r="J136" s="3">
        <f>IF(AND('Data Source'!B136&lt;&gt;"",'Data Source'!S136="F"),IF('Data Source'!AB136&gt;=5,"A+",IF('Data Source'!AB136&gt;=4,"A",IF('Data Source'!AB136&gt;=3.5,"A-",IF('Data Source'!AB136&gt;=3,"B",IF('Data Source'!AB136&gt;=2,"C",IF('Data Source'!AB136&gt;=1,"D","F")))))),"")</f>
        <v/>
      </c>
      <c r="K136" s="3">
        <f>IF(AND('Data Source'!B136&lt;&gt;"",'Data Source'!S136="F"),IF('Data Source'!AC136&gt;=5,"A+",IF('Data Source'!AC136&gt;=4,"A",IF('Data Source'!AC136&gt;=3.5,"A-",IF('Data Source'!AC136&gt;=3,"B",IF('Data Source'!AC136&gt;=2,"C",IF('Data Source'!AC136&gt;=1,"D","F")))))),"")</f>
        <v/>
      </c>
      <c r="L136" s="3">
        <f>IF(AND('Data Source'!B136&lt;&gt;"",'Data Source'!S136="F"),IF('Data Source'!AD136&gt;=5,"A+",IF('Data Source'!AD136&gt;=4,"A",IF('Data Source'!AD136&gt;=3.5,"A-",IF('Data Source'!AD136&gt;=3,"B",IF('Data Source'!AD136&gt;=2,"C",IF('Data Source'!AD136&gt;=1,"D","F")))))),"")</f>
        <v/>
      </c>
      <c r="M136" s="3">
        <f>IF(AND('Data Source'!B136&lt;&gt;"",'Data Source'!S136="F"),IF('Data Source'!AE136&gt;=5,"A+",IF('Data Source'!AE136&gt;=4,"A",IF('Data Source'!AE136&gt;=3.5,"A-",IF('Data Source'!AE136&gt;=3,"B",IF('Data Source'!AE136&gt;=2,"C",IF('Data Source'!AE136&gt;=1,"D","F")))))),"")</f>
        <v/>
      </c>
      <c r="N136" s="3">
        <f>IF(AND('Data Source'!B136&lt;&gt;"",'Data Source'!S136="F"),IF('Data Source'!AF136&gt;=5,"A+",IF('Data Source'!AF136&gt;=4,"A",IF('Data Source'!AF136&gt;=3.5,"A-",IF('Data Source'!AF136&gt;=3,"B",IF('Data Source'!AF136&gt;=2,"C",IF('Data Source'!AF136&gt;=1,"D","F")))))),"")</f>
        <v/>
      </c>
      <c r="O136" s="3">
        <f>IF(AND('Data Source'!B136&lt;&gt;"",'Data Source'!S136="F"),IF('Data Source'!AG136&gt;=5,"A+",IF('Data Source'!AG136&gt;=4,"A",IF('Data Source'!AG136&gt;=3.5,"A-",IF('Data Source'!AG136&gt;=3,"B",IF('Data Source'!AG136&gt;=2,"C",IF('Data Source'!AG136&gt;=1,"D","F")))))),"")</f>
        <v/>
      </c>
      <c r="P136" s="5">
        <f>IF(AND('Data Source'!B136&lt;&gt;"",'Data Source'!S136="F"),'Data Source'!R136,"")</f>
        <v/>
      </c>
      <c r="Q136" s="3">
        <f>IF(AND('Data Source'!B136&lt;&gt;"",'Data Source'!S136="F"),'Data Source'!S136,"")</f>
        <v/>
      </c>
    </row>
    <row r="137">
      <c r="A137" s="3">
        <f>IF(AND('Data Source'!B137&lt;&gt;"",'Data Source'!S137="F"),COUNTIF('Data Source'!$S$3:S137,"F"),"")</f>
        <v/>
      </c>
      <c r="B137">
        <f>IF(AND('Data Source'!B137&lt;&gt;"",'Data Source'!S137="F"),'Data Source'!B137,"")</f>
        <v/>
      </c>
      <c r="C137" s="3">
        <f>IF(AND('Data Source'!B137&lt;&gt;"",'Data Source'!S137="F"),IF('Data Source'!U137&gt;=5,"A+",IF('Data Source'!U137&gt;=4,"A",IF('Data Source'!U137&gt;=3.5,"A-",IF('Data Source'!U137&gt;=3,"B",IF('Data Source'!U137&gt;=2,"C",IF('Data Source'!U137&gt;=1,"D","F")))))),"")</f>
        <v/>
      </c>
      <c r="D137" s="3">
        <f>IF(AND('Data Source'!B137&lt;&gt;"",'Data Source'!S137="F"),IF('Data Source'!V137&gt;=5,"A+",IF('Data Source'!V137&gt;=4,"A",IF('Data Source'!V137&gt;=3.5,"A-",IF('Data Source'!V137&gt;=3,"B",IF('Data Source'!V137&gt;=2,"C",IF('Data Source'!V137&gt;=1,"D","F")))))),"")</f>
        <v/>
      </c>
      <c r="E137" s="3">
        <f>IF(AND('Data Source'!B137&lt;&gt;"",'Data Source'!S137="F"),IF('Data Source'!W137&gt;=5,"A+",IF('Data Source'!W137&gt;=4,"A",IF('Data Source'!W137&gt;=3.5,"A-",IF('Data Source'!W137&gt;=3,"B",IF('Data Source'!W137&gt;=2,"C",IF('Data Source'!W137&gt;=1,"D","F")))))),"")</f>
        <v/>
      </c>
      <c r="F137" s="3">
        <f>IF(AND('Data Source'!B137&lt;&gt;"",'Data Source'!S137="F"),IF('Data Source'!X137&gt;=5,"A+",IF('Data Source'!X137&gt;=4,"A",IF('Data Source'!X137&gt;=3.5,"A-",IF('Data Source'!X137&gt;=3,"B",IF('Data Source'!X137&gt;=2,"C",IF('Data Source'!X137&gt;=1,"D","F")))))),"")</f>
        <v/>
      </c>
      <c r="G137" s="3">
        <f>IF(AND('Data Source'!B137&lt;&gt;"",'Data Source'!S137="F"),IF('Data Source'!Y137&gt;=5,"A+",IF('Data Source'!Y137&gt;=4,"A",IF('Data Source'!Y137&gt;=3.5,"A-",IF('Data Source'!Y137&gt;=3,"B",IF('Data Source'!Y137&gt;=2,"C",IF('Data Source'!Y137&gt;=1,"D","F")))))),"")</f>
        <v/>
      </c>
      <c r="H137" s="3">
        <f>IF(AND('Data Source'!B137&lt;&gt;"",'Data Source'!S137="F"),IF('Data Source'!Z137&gt;=5,"A+",IF('Data Source'!Z137&gt;=4,"A",IF('Data Source'!Z137&gt;=3.5,"A-",IF('Data Source'!Z137&gt;=3,"B",IF('Data Source'!Z137&gt;=2,"C",IF('Data Source'!Z137&gt;=1,"D","F")))))),"")</f>
        <v/>
      </c>
      <c r="I137" s="3">
        <f>IF(AND('Data Source'!B137&lt;&gt;"",'Data Source'!S137="F"),IF('Data Source'!AA137&gt;=5,"A+",IF('Data Source'!AA137&gt;=4,"A",IF('Data Source'!AA137&gt;=3.5,"A-",IF('Data Source'!AA137&gt;=3,"B",IF('Data Source'!AA137&gt;=2,"C",IF('Data Source'!AA137&gt;=1,"D","F")))))),"")</f>
        <v/>
      </c>
      <c r="J137" s="3">
        <f>IF(AND('Data Source'!B137&lt;&gt;"",'Data Source'!S137="F"),IF('Data Source'!AB137&gt;=5,"A+",IF('Data Source'!AB137&gt;=4,"A",IF('Data Source'!AB137&gt;=3.5,"A-",IF('Data Source'!AB137&gt;=3,"B",IF('Data Source'!AB137&gt;=2,"C",IF('Data Source'!AB137&gt;=1,"D","F")))))),"")</f>
        <v/>
      </c>
      <c r="K137" s="3">
        <f>IF(AND('Data Source'!B137&lt;&gt;"",'Data Source'!S137="F"),IF('Data Source'!AC137&gt;=5,"A+",IF('Data Source'!AC137&gt;=4,"A",IF('Data Source'!AC137&gt;=3.5,"A-",IF('Data Source'!AC137&gt;=3,"B",IF('Data Source'!AC137&gt;=2,"C",IF('Data Source'!AC137&gt;=1,"D","F")))))),"")</f>
        <v/>
      </c>
      <c r="L137" s="3">
        <f>IF(AND('Data Source'!B137&lt;&gt;"",'Data Source'!S137="F"),IF('Data Source'!AD137&gt;=5,"A+",IF('Data Source'!AD137&gt;=4,"A",IF('Data Source'!AD137&gt;=3.5,"A-",IF('Data Source'!AD137&gt;=3,"B",IF('Data Source'!AD137&gt;=2,"C",IF('Data Source'!AD137&gt;=1,"D","F")))))),"")</f>
        <v/>
      </c>
      <c r="M137" s="3">
        <f>IF(AND('Data Source'!B137&lt;&gt;"",'Data Source'!S137="F"),IF('Data Source'!AE137&gt;=5,"A+",IF('Data Source'!AE137&gt;=4,"A",IF('Data Source'!AE137&gt;=3.5,"A-",IF('Data Source'!AE137&gt;=3,"B",IF('Data Source'!AE137&gt;=2,"C",IF('Data Source'!AE137&gt;=1,"D","F")))))),"")</f>
        <v/>
      </c>
      <c r="N137" s="3">
        <f>IF(AND('Data Source'!B137&lt;&gt;"",'Data Source'!S137="F"),IF('Data Source'!AF137&gt;=5,"A+",IF('Data Source'!AF137&gt;=4,"A",IF('Data Source'!AF137&gt;=3.5,"A-",IF('Data Source'!AF137&gt;=3,"B",IF('Data Source'!AF137&gt;=2,"C",IF('Data Source'!AF137&gt;=1,"D","F")))))),"")</f>
        <v/>
      </c>
      <c r="O137" s="3">
        <f>IF(AND('Data Source'!B137&lt;&gt;"",'Data Source'!S137="F"),IF('Data Source'!AG137&gt;=5,"A+",IF('Data Source'!AG137&gt;=4,"A",IF('Data Source'!AG137&gt;=3.5,"A-",IF('Data Source'!AG137&gt;=3,"B",IF('Data Source'!AG137&gt;=2,"C",IF('Data Source'!AG137&gt;=1,"D","F")))))),"")</f>
        <v/>
      </c>
      <c r="P137" s="5">
        <f>IF(AND('Data Source'!B137&lt;&gt;"",'Data Source'!S137="F"),'Data Source'!R137,"")</f>
        <v/>
      </c>
      <c r="Q137" s="3">
        <f>IF(AND('Data Source'!B137&lt;&gt;"",'Data Source'!S137="F"),'Data Source'!S137,"")</f>
        <v/>
      </c>
    </row>
    <row r="138">
      <c r="A138" s="3">
        <f>IF(AND('Data Source'!B138&lt;&gt;"",'Data Source'!S138="F"),COUNTIF('Data Source'!$S$3:S138,"F"),"")</f>
        <v/>
      </c>
      <c r="B138">
        <f>IF(AND('Data Source'!B138&lt;&gt;"",'Data Source'!S138="F"),'Data Source'!B138,"")</f>
        <v/>
      </c>
      <c r="C138" s="3">
        <f>IF(AND('Data Source'!B138&lt;&gt;"",'Data Source'!S138="F"),IF('Data Source'!U138&gt;=5,"A+",IF('Data Source'!U138&gt;=4,"A",IF('Data Source'!U138&gt;=3.5,"A-",IF('Data Source'!U138&gt;=3,"B",IF('Data Source'!U138&gt;=2,"C",IF('Data Source'!U138&gt;=1,"D","F")))))),"")</f>
        <v/>
      </c>
      <c r="D138" s="3">
        <f>IF(AND('Data Source'!B138&lt;&gt;"",'Data Source'!S138="F"),IF('Data Source'!V138&gt;=5,"A+",IF('Data Source'!V138&gt;=4,"A",IF('Data Source'!V138&gt;=3.5,"A-",IF('Data Source'!V138&gt;=3,"B",IF('Data Source'!V138&gt;=2,"C",IF('Data Source'!V138&gt;=1,"D","F")))))),"")</f>
        <v/>
      </c>
      <c r="E138" s="3">
        <f>IF(AND('Data Source'!B138&lt;&gt;"",'Data Source'!S138="F"),IF('Data Source'!W138&gt;=5,"A+",IF('Data Source'!W138&gt;=4,"A",IF('Data Source'!W138&gt;=3.5,"A-",IF('Data Source'!W138&gt;=3,"B",IF('Data Source'!W138&gt;=2,"C",IF('Data Source'!W138&gt;=1,"D","F")))))),"")</f>
        <v/>
      </c>
      <c r="F138" s="3">
        <f>IF(AND('Data Source'!B138&lt;&gt;"",'Data Source'!S138="F"),IF('Data Source'!X138&gt;=5,"A+",IF('Data Source'!X138&gt;=4,"A",IF('Data Source'!X138&gt;=3.5,"A-",IF('Data Source'!X138&gt;=3,"B",IF('Data Source'!X138&gt;=2,"C",IF('Data Source'!X138&gt;=1,"D","F")))))),"")</f>
        <v/>
      </c>
      <c r="G138" s="3">
        <f>IF(AND('Data Source'!B138&lt;&gt;"",'Data Source'!S138="F"),IF('Data Source'!Y138&gt;=5,"A+",IF('Data Source'!Y138&gt;=4,"A",IF('Data Source'!Y138&gt;=3.5,"A-",IF('Data Source'!Y138&gt;=3,"B",IF('Data Source'!Y138&gt;=2,"C",IF('Data Source'!Y138&gt;=1,"D","F")))))),"")</f>
        <v/>
      </c>
      <c r="H138" s="3">
        <f>IF(AND('Data Source'!B138&lt;&gt;"",'Data Source'!S138="F"),IF('Data Source'!Z138&gt;=5,"A+",IF('Data Source'!Z138&gt;=4,"A",IF('Data Source'!Z138&gt;=3.5,"A-",IF('Data Source'!Z138&gt;=3,"B",IF('Data Source'!Z138&gt;=2,"C",IF('Data Source'!Z138&gt;=1,"D","F")))))),"")</f>
        <v/>
      </c>
      <c r="I138" s="3">
        <f>IF(AND('Data Source'!B138&lt;&gt;"",'Data Source'!S138="F"),IF('Data Source'!AA138&gt;=5,"A+",IF('Data Source'!AA138&gt;=4,"A",IF('Data Source'!AA138&gt;=3.5,"A-",IF('Data Source'!AA138&gt;=3,"B",IF('Data Source'!AA138&gt;=2,"C",IF('Data Source'!AA138&gt;=1,"D","F")))))),"")</f>
        <v/>
      </c>
      <c r="J138" s="3">
        <f>IF(AND('Data Source'!B138&lt;&gt;"",'Data Source'!S138="F"),IF('Data Source'!AB138&gt;=5,"A+",IF('Data Source'!AB138&gt;=4,"A",IF('Data Source'!AB138&gt;=3.5,"A-",IF('Data Source'!AB138&gt;=3,"B",IF('Data Source'!AB138&gt;=2,"C",IF('Data Source'!AB138&gt;=1,"D","F")))))),"")</f>
        <v/>
      </c>
      <c r="K138" s="3">
        <f>IF(AND('Data Source'!B138&lt;&gt;"",'Data Source'!S138="F"),IF('Data Source'!AC138&gt;=5,"A+",IF('Data Source'!AC138&gt;=4,"A",IF('Data Source'!AC138&gt;=3.5,"A-",IF('Data Source'!AC138&gt;=3,"B",IF('Data Source'!AC138&gt;=2,"C",IF('Data Source'!AC138&gt;=1,"D","F")))))),"")</f>
        <v/>
      </c>
      <c r="L138" s="3">
        <f>IF(AND('Data Source'!B138&lt;&gt;"",'Data Source'!S138="F"),IF('Data Source'!AD138&gt;=5,"A+",IF('Data Source'!AD138&gt;=4,"A",IF('Data Source'!AD138&gt;=3.5,"A-",IF('Data Source'!AD138&gt;=3,"B",IF('Data Source'!AD138&gt;=2,"C",IF('Data Source'!AD138&gt;=1,"D","F")))))),"")</f>
        <v/>
      </c>
      <c r="M138" s="3">
        <f>IF(AND('Data Source'!B138&lt;&gt;"",'Data Source'!S138="F"),IF('Data Source'!AE138&gt;=5,"A+",IF('Data Source'!AE138&gt;=4,"A",IF('Data Source'!AE138&gt;=3.5,"A-",IF('Data Source'!AE138&gt;=3,"B",IF('Data Source'!AE138&gt;=2,"C",IF('Data Source'!AE138&gt;=1,"D","F")))))),"")</f>
        <v/>
      </c>
      <c r="N138" s="3">
        <f>IF(AND('Data Source'!B138&lt;&gt;"",'Data Source'!S138="F"),IF('Data Source'!AF138&gt;=5,"A+",IF('Data Source'!AF138&gt;=4,"A",IF('Data Source'!AF138&gt;=3.5,"A-",IF('Data Source'!AF138&gt;=3,"B",IF('Data Source'!AF138&gt;=2,"C",IF('Data Source'!AF138&gt;=1,"D","F")))))),"")</f>
        <v/>
      </c>
      <c r="O138" s="3">
        <f>IF(AND('Data Source'!B138&lt;&gt;"",'Data Source'!S138="F"),IF('Data Source'!AG138&gt;=5,"A+",IF('Data Source'!AG138&gt;=4,"A",IF('Data Source'!AG138&gt;=3.5,"A-",IF('Data Source'!AG138&gt;=3,"B",IF('Data Source'!AG138&gt;=2,"C",IF('Data Source'!AG138&gt;=1,"D","F")))))),"")</f>
        <v/>
      </c>
      <c r="P138" s="5">
        <f>IF(AND('Data Source'!B138&lt;&gt;"",'Data Source'!S138="F"),'Data Source'!R138,"")</f>
        <v/>
      </c>
      <c r="Q138" s="3">
        <f>IF(AND('Data Source'!B138&lt;&gt;"",'Data Source'!S138="F"),'Data Source'!S138,"")</f>
        <v/>
      </c>
    </row>
    <row r="139">
      <c r="A139" s="3">
        <f>IF(AND('Data Source'!B139&lt;&gt;"",'Data Source'!S139="F"),COUNTIF('Data Source'!$S$3:S139,"F"),"")</f>
        <v/>
      </c>
      <c r="B139">
        <f>IF(AND('Data Source'!B139&lt;&gt;"",'Data Source'!S139="F"),'Data Source'!B139,"")</f>
        <v/>
      </c>
      <c r="C139" s="3">
        <f>IF(AND('Data Source'!B139&lt;&gt;"",'Data Source'!S139="F"),IF('Data Source'!U139&gt;=5,"A+",IF('Data Source'!U139&gt;=4,"A",IF('Data Source'!U139&gt;=3.5,"A-",IF('Data Source'!U139&gt;=3,"B",IF('Data Source'!U139&gt;=2,"C",IF('Data Source'!U139&gt;=1,"D","F")))))),"")</f>
        <v/>
      </c>
      <c r="D139" s="3">
        <f>IF(AND('Data Source'!B139&lt;&gt;"",'Data Source'!S139="F"),IF('Data Source'!V139&gt;=5,"A+",IF('Data Source'!V139&gt;=4,"A",IF('Data Source'!V139&gt;=3.5,"A-",IF('Data Source'!V139&gt;=3,"B",IF('Data Source'!V139&gt;=2,"C",IF('Data Source'!V139&gt;=1,"D","F")))))),"")</f>
        <v/>
      </c>
      <c r="E139" s="3">
        <f>IF(AND('Data Source'!B139&lt;&gt;"",'Data Source'!S139="F"),IF('Data Source'!W139&gt;=5,"A+",IF('Data Source'!W139&gt;=4,"A",IF('Data Source'!W139&gt;=3.5,"A-",IF('Data Source'!W139&gt;=3,"B",IF('Data Source'!W139&gt;=2,"C",IF('Data Source'!W139&gt;=1,"D","F")))))),"")</f>
        <v/>
      </c>
      <c r="F139" s="3">
        <f>IF(AND('Data Source'!B139&lt;&gt;"",'Data Source'!S139="F"),IF('Data Source'!X139&gt;=5,"A+",IF('Data Source'!X139&gt;=4,"A",IF('Data Source'!X139&gt;=3.5,"A-",IF('Data Source'!X139&gt;=3,"B",IF('Data Source'!X139&gt;=2,"C",IF('Data Source'!X139&gt;=1,"D","F")))))),"")</f>
        <v/>
      </c>
      <c r="G139" s="3">
        <f>IF(AND('Data Source'!B139&lt;&gt;"",'Data Source'!S139="F"),IF('Data Source'!Y139&gt;=5,"A+",IF('Data Source'!Y139&gt;=4,"A",IF('Data Source'!Y139&gt;=3.5,"A-",IF('Data Source'!Y139&gt;=3,"B",IF('Data Source'!Y139&gt;=2,"C",IF('Data Source'!Y139&gt;=1,"D","F")))))),"")</f>
        <v/>
      </c>
      <c r="H139" s="3">
        <f>IF(AND('Data Source'!B139&lt;&gt;"",'Data Source'!S139="F"),IF('Data Source'!Z139&gt;=5,"A+",IF('Data Source'!Z139&gt;=4,"A",IF('Data Source'!Z139&gt;=3.5,"A-",IF('Data Source'!Z139&gt;=3,"B",IF('Data Source'!Z139&gt;=2,"C",IF('Data Source'!Z139&gt;=1,"D","F")))))),"")</f>
        <v/>
      </c>
      <c r="I139" s="3">
        <f>IF(AND('Data Source'!B139&lt;&gt;"",'Data Source'!S139="F"),IF('Data Source'!AA139&gt;=5,"A+",IF('Data Source'!AA139&gt;=4,"A",IF('Data Source'!AA139&gt;=3.5,"A-",IF('Data Source'!AA139&gt;=3,"B",IF('Data Source'!AA139&gt;=2,"C",IF('Data Source'!AA139&gt;=1,"D","F")))))),"")</f>
        <v/>
      </c>
      <c r="J139" s="3">
        <f>IF(AND('Data Source'!B139&lt;&gt;"",'Data Source'!S139="F"),IF('Data Source'!AB139&gt;=5,"A+",IF('Data Source'!AB139&gt;=4,"A",IF('Data Source'!AB139&gt;=3.5,"A-",IF('Data Source'!AB139&gt;=3,"B",IF('Data Source'!AB139&gt;=2,"C",IF('Data Source'!AB139&gt;=1,"D","F")))))),"")</f>
        <v/>
      </c>
      <c r="K139" s="3">
        <f>IF(AND('Data Source'!B139&lt;&gt;"",'Data Source'!S139="F"),IF('Data Source'!AC139&gt;=5,"A+",IF('Data Source'!AC139&gt;=4,"A",IF('Data Source'!AC139&gt;=3.5,"A-",IF('Data Source'!AC139&gt;=3,"B",IF('Data Source'!AC139&gt;=2,"C",IF('Data Source'!AC139&gt;=1,"D","F")))))),"")</f>
        <v/>
      </c>
      <c r="L139" s="3">
        <f>IF(AND('Data Source'!B139&lt;&gt;"",'Data Source'!S139="F"),IF('Data Source'!AD139&gt;=5,"A+",IF('Data Source'!AD139&gt;=4,"A",IF('Data Source'!AD139&gt;=3.5,"A-",IF('Data Source'!AD139&gt;=3,"B",IF('Data Source'!AD139&gt;=2,"C",IF('Data Source'!AD139&gt;=1,"D","F")))))),"")</f>
        <v/>
      </c>
      <c r="M139" s="3">
        <f>IF(AND('Data Source'!B139&lt;&gt;"",'Data Source'!S139="F"),IF('Data Source'!AE139&gt;=5,"A+",IF('Data Source'!AE139&gt;=4,"A",IF('Data Source'!AE139&gt;=3.5,"A-",IF('Data Source'!AE139&gt;=3,"B",IF('Data Source'!AE139&gt;=2,"C",IF('Data Source'!AE139&gt;=1,"D","F")))))),"")</f>
        <v/>
      </c>
      <c r="N139" s="3">
        <f>IF(AND('Data Source'!B139&lt;&gt;"",'Data Source'!S139="F"),IF('Data Source'!AF139&gt;=5,"A+",IF('Data Source'!AF139&gt;=4,"A",IF('Data Source'!AF139&gt;=3.5,"A-",IF('Data Source'!AF139&gt;=3,"B",IF('Data Source'!AF139&gt;=2,"C",IF('Data Source'!AF139&gt;=1,"D","F")))))),"")</f>
        <v/>
      </c>
      <c r="O139" s="3">
        <f>IF(AND('Data Source'!B139&lt;&gt;"",'Data Source'!S139="F"),IF('Data Source'!AG139&gt;=5,"A+",IF('Data Source'!AG139&gt;=4,"A",IF('Data Source'!AG139&gt;=3.5,"A-",IF('Data Source'!AG139&gt;=3,"B",IF('Data Source'!AG139&gt;=2,"C",IF('Data Source'!AG139&gt;=1,"D","F")))))),"")</f>
        <v/>
      </c>
      <c r="P139" s="5">
        <f>IF(AND('Data Source'!B139&lt;&gt;"",'Data Source'!S139="F"),'Data Source'!R139,"")</f>
        <v/>
      </c>
      <c r="Q139" s="3">
        <f>IF(AND('Data Source'!B139&lt;&gt;"",'Data Source'!S139="F"),'Data Source'!S139,"")</f>
        <v/>
      </c>
    </row>
    <row r="140">
      <c r="A140" s="3">
        <f>IF(AND('Data Source'!B140&lt;&gt;"",'Data Source'!S140="F"),COUNTIF('Data Source'!$S$3:S140,"F"),"")</f>
        <v/>
      </c>
      <c r="B140">
        <f>IF(AND('Data Source'!B140&lt;&gt;"",'Data Source'!S140="F"),'Data Source'!B140,"")</f>
        <v/>
      </c>
      <c r="C140" s="3">
        <f>IF(AND('Data Source'!B140&lt;&gt;"",'Data Source'!S140="F"),IF('Data Source'!U140&gt;=5,"A+",IF('Data Source'!U140&gt;=4,"A",IF('Data Source'!U140&gt;=3.5,"A-",IF('Data Source'!U140&gt;=3,"B",IF('Data Source'!U140&gt;=2,"C",IF('Data Source'!U140&gt;=1,"D","F")))))),"")</f>
        <v/>
      </c>
      <c r="D140" s="3">
        <f>IF(AND('Data Source'!B140&lt;&gt;"",'Data Source'!S140="F"),IF('Data Source'!V140&gt;=5,"A+",IF('Data Source'!V140&gt;=4,"A",IF('Data Source'!V140&gt;=3.5,"A-",IF('Data Source'!V140&gt;=3,"B",IF('Data Source'!V140&gt;=2,"C",IF('Data Source'!V140&gt;=1,"D","F")))))),"")</f>
        <v/>
      </c>
      <c r="E140" s="3">
        <f>IF(AND('Data Source'!B140&lt;&gt;"",'Data Source'!S140="F"),IF('Data Source'!W140&gt;=5,"A+",IF('Data Source'!W140&gt;=4,"A",IF('Data Source'!W140&gt;=3.5,"A-",IF('Data Source'!W140&gt;=3,"B",IF('Data Source'!W140&gt;=2,"C",IF('Data Source'!W140&gt;=1,"D","F")))))),"")</f>
        <v/>
      </c>
      <c r="F140" s="3">
        <f>IF(AND('Data Source'!B140&lt;&gt;"",'Data Source'!S140="F"),IF('Data Source'!X140&gt;=5,"A+",IF('Data Source'!X140&gt;=4,"A",IF('Data Source'!X140&gt;=3.5,"A-",IF('Data Source'!X140&gt;=3,"B",IF('Data Source'!X140&gt;=2,"C",IF('Data Source'!X140&gt;=1,"D","F")))))),"")</f>
        <v/>
      </c>
      <c r="G140" s="3">
        <f>IF(AND('Data Source'!B140&lt;&gt;"",'Data Source'!S140="F"),IF('Data Source'!Y140&gt;=5,"A+",IF('Data Source'!Y140&gt;=4,"A",IF('Data Source'!Y140&gt;=3.5,"A-",IF('Data Source'!Y140&gt;=3,"B",IF('Data Source'!Y140&gt;=2,"C",IF('Data Source'!Y140&gt;=1,"D","F")))))),"")</f>
        <v/>
      </c>
      <c r="H140" s="3">
        <f>IF(AND('Data Source'!B140&lt;&gt;"",'Data Source'!S140="F"),IF('Data Source'!Z140&gt;=5,"A+",IF('Data Source'!Z140&gt;=4,"A",IF('Data Source'!Z140&gt;=3.5,"A-",IF('Data Source'!Z140&gt;=3,"B",IF('Data Source'!Z140&gt;=2,"C",IF('Data Source'!Z140&gt;=1,"D","F")))))),"")</f>
        <v/>
      </c>
      <c r="I140" s="3">
        <f>IF(AND('Data Source'!B140&lt;&gt;"",'Data Source'!S140="F"),IF('Data Source'!AA140&gt;=5,"A+",IF('Data Source'!AA140&gt;=4,"A",IF('Data Source'!AA140&gt;=3.5,"A-",IF('Data Source'!AA140&gt;=3,"B",IF('Data Source'!AA140&gt;=2,"C",IF('Data Source'!AA140&gt;=1,"D","F")))))),"")</f>
        <v/>
      </c>
      <c r="J140" s="3">
        <f>IF(AND('Data Source'!B140&lt;&gt;"",'Data Source'!S140="F"),IF('Data Source'!AB140&gt;=5,"A+",IF('Data Source'!AB140&gt;=4,"A",IF('Data Source'!AB140&gt;=3.5,"A-",IF('Data Source'!AB140&gt;=3,"B",IF('Data Source'!AB140&gt;=2,"C",IF('Data Source'!AB140&gt;=1,"D","F")))))),"")</f>
        <v/>
      </c>
      <c r="K140" s="3">
        <f>IF(AND('Data Source'!B140&lt;&gt;"",'Data Source'!S140="F"),IF('Data Source'!AC140&gt;=5,"A+",IF('Data Source'!AC140&gt;=4,"A",IF('Data Source'!AC140&gt;=3.5,"A-",IF('Data Source'!AC140&gt;=3,"B",IF('Data Source'!AC140&gt;=2,"C",IF('Data Source'!AC140&gt;=1,"D","F")))))),"")</f>
        <v/>
      </c>
      <c r="L140" s="3">
        <f>IF(AND('Data Source'!B140&lt;&gt;"",'Data Source'!S140="F"),IF('Data Source'!AD140&gt;=5,"A+",IF('Data Source'!AD140&gt;=4,"A",IF('Data Source'!AD140&gt;=3.5,"A-",IF('Data Source'!AD140&gt;=3,"B",IF('Data Source'!AD140&gt;=2,"C",IF('Data Source'!AD140&gt;=1,"D","F")))))),"")</f>
        <v/>
      </c>
      <c r="M140" s="3">
        <f>IF(AND('Data Source'!B140&lt;&gt;"",'Data Source'!S140="F"),IF('Data Source'!AE140&gt;=5,"A+",IF('Data Source'!AE140&gt;=4,"A",IF('Data Source'!AE140&gt;=3.5,"A-",IF('Data Source'!AE140&gt;=3,"B",IF('Data Source'!AE140&gt;=2,"C",IF('Data Source'!AE140&gt;=1,"D","F")))))),"")</f>
        <v/>
      </c>
      <c r="N140" s="3">
        <f>IF(AND('Data Source'!B140&lt;&gt;"",'Data Source'!S140="F"),IF('Data Source'!AF140&gt;=5,"A+",IF('Data Source'!AF140&gt;=4,"A",IF('Data Source'!AF140&gt;=3.5,"A-",IF('Data Source'!AF140&gt;=3,"B",IF('Data Source'!AF140&gt;=2,"C",IF('Data Source'!AF140&gt;=1,"D","F")))))),"")</f>
        <v/>
      </c>
      <c r="O140" s="3">
        <f>IF(AND('Data Source'!B140&lt;&gt;"",'Data Source'!S140="F"),IF('Data Source'!AG140&gt;=5,"A+",IF('Data Source'!AG140&gt;=4,"A",IF('Data Source'!AG140&gt;=3.5,"A-",IF('Data Source'!AG140&gt;=3,"B",IF('Data Source'!AG140&gt;=2,"C",IF('Data Source'!AG140&gt;=1,"D","F")))))),"")</f>
        <v/>
      </c>
      <c r="P140" s="5">
        <f>IF(AND('Data Source'!B140&lt;&gt;"",'Data Source'!S140="F"),'Data Source'!R140,"")</f>
        <v/>
      </c>
      <c r="Q140" s="3">
        <f>IF(AND('Data Source'!B140&lt;&gt;"",'Data Source'!S140="F"),'Data Source'!S140,"")</f>
        <v/>
      </c>
    </row>
    <row r="141">
      <c r="A141" s="3">
        <f>IF(AND('Data Source'!B141&lt;&gt;"",'Data Source'!S141="F"),COUNTIF('Data Source'!$S$3:S141,"F"),"")</f>
        <v/>
      </c>
      <c r="B141">
        <f>IF(AND('Data Source'!B141&lt;&gt;"",'Data Source'!S141="F"),'Data Source'!B141,"")</f>
        <v/>
      </c>
      <c r="C141" s="3">
        <f>IF(AND('Data Source'!B141&lt;&gt;"",'Data Source'!S141="F"),IF('Data Source'!U141&gt;=5,"A+",IF('Data Source'!U141&gt;=4,"A",IF('Data Source'!U141&gt;=3.5,"A-",IF('Data Source'!U141&gt;=3,"B",IF('Data Source'!U141&gt;=2,"C",IF('Data Source'!U141&gt;=1,"D","F")))))),"")</f>
        <v/>
      </c>
      <c r="D141" s="3">
        <f>IF(AND('Data Source'!B141&lt;&gt;"",'Data Source'!S141="F"),IF('Data Source'!V141&gt;=5,"A+",IF('Data Source'!V141&gt;=4,"A",IF('Data Source'!V141&gt;=3.5,"A-",IF('Data Source'!V141&gt;=3,"B",IF('Data Source'!V141&gt;=2,"C",IF('Data Source'!V141&gt;=1,"D","F")))))),"")</f>
        <v/>
      </c>
      <c r="E141" s="3">
        <f>IF(AND('Data Source'!B141&lt;&gt;"",'Data Source'!S141="F"),IF('Data Source'!W141&gt;=5,"A+",IF('Data Source'!W141&gt;=4,"A",IF('Data Source'!W141&gt;=3.5,"A-",IF('Data Source'!W141&gt;=3,"B",IF('Data Source'!W141&gt;=2,"C",IF('Data Source'!W141&gt;=1,"D","F")))))),"")</f>
        <v/>
      </c>
      <c r="F141" s="3">
        <f>IF(AND('Data Source'!B141&lt;&gt;"",'Data Source'!S141="F"),IF('Data Source'!X141&gt;=5,"A+",IF('Data Source'!X141&gt;=4,"A",IF('Data Source'!X141&gt;=3.5,"A-",IF('Data Source'!X141&gt;=3,"B",IF('Data Source'!X141&gt;=2,"C",IF('Data Source'!X141&gt;=1,"D","F")))))),"")</f>
        <v/>
      </c>
      <c r="G141" s="3">
        <f>IF(AND('Data Source'!B141&lt;&gt;"",'Data Source'!S141="F"),IF('Data Source'!Y141&gt;=5,"A+",IF('Data Source'!Y141&gt;=4,"A",IF('Data Source'!Y141&gt;=3.5,"A-",IF('Data Source'!Y141&gt;=3,"B",IF('Data Source'!Y141&gt;=2,"C",IF('Data Source'!Y141&gt;=1,"D","F")))))),"")</f>
        <v/>
      </c>
      <c r="H141" s="3">
        <f>IF(AND('Data Source'!B141&lt;&gt;"",'Data Source'!S141="F"),IF('Data Source'!Z141&gt;=5,"A+",IF('Data Source'!Z141&gt;=4,"A",IF('Data Source'!Z141&gt;=3.5,"A-",IF('Data Source'!Z141&gt;=3,"B",IF('Data Source'!Z141&gt;=2,"C",IF('Data Source'!Z141&gt;=1,"D","F")))))),"")</f>
        <v/>
      </c>
      <c r="I141" s="3">
        <f>IF(AND('Data Source'!B141&lt;&gt;"",'Data Source'!S141="F"),IF('Data Source'!AA141&gt;=5,"A+",IF('Data Source'!AA141&gt;=4,"A",IF('Data Source'!AA141&gt;=3.5,"A-",IF('Data Source'!AA141&gt;=3,"B",IF('Data Source'!AA141&gt;=2,"C",IF('Data Source'!AA141&gt;=1,"D","F")))))),"")</f>
        <v/>
      </c>
      <c r="J141" s="3">
        <f>IF(AND('Data Source'!B141&lt;&gt;"",'Data Source'!S141="F"),IF('Data Source'!AB141&gt;=5,"A+",IF('Data Source'!AB141&gt;=4,"A",IF('Data Source'!AB141&gt;=3.5,"A-",IF('Data Source'!AB141&gt;=3,"B",IF('Data Source'!AB141&gt;=2,"C",IF('Data Source'!AB141&gt;=1,"D","F")))))),"")</f>
        <v/>
      </c>
      <c r="K141" s="3">
        <f>IF(AND('Data Source'!B141&lt;&gt;"",'Data Source'!S141="F"),IF('Data Source'!AC141&gt;=5,"A+",IF('Data Source'!AC141&gt;=4,"A",IF('Data Source'!AC141&gt;=3.5,"A-",IF('Data Source'!AC141&gt;=3,"B",IF('Data Source'!AC141&gt;=2,"C",IF('Data Source'!AC141&gt;=1,"D","F")))))),"")</f>
        <v/>
      </c>
      <c r="L141" s="3">
        <f>IF(AND('Data Source'!B141&lt;&gt;"",'Data Source'!S141="F"),IF('Data Source'!AD141&gt;=5,"A+",IF('Data Source'!AD141&gt;=4,"A",IF('Data Source'!AD141&gt;=3.5,"A-",IF('Data Source'!AD141&gt;=3,"B",IF('Data Source'!AD141&gt;=2,"C",IF('Data Source'!AD141&gt;=1,"D","F")))))),"")</f>
        <v/>
      </c>
      <c r="M141" s="3">
        <f>IF(AND('Data Source'!B141&lt;&gt;"",'Data Source'!S141="F"),IF('Data Source'!AE141&gt;=5,"A+",IF('Data Source'!AE141&gt;=4,"A",IF('Data Source'!AE141&gt;=3.5,"A-",IF('Data Source'!AE141&gt;=3,"B",IF('Data Source'!AE141&gt;=2,"C",IF('Data Source'!AE141&gt;=1,"D","F")))))),"")</f>
        <v/>
      </c>
      <c r="N141" s="3">
        <f>IF(AND('Data Source'!B141&lt;&gt;"",'Data Source'!S141="F"),IF('Data Source'!AF141&gt;=5,"A+",IF('Data Source'!AF141&gt;=4,"A",IF('Data Source'!AF141&gt;=3.5,"A-",IF('Data Source'!AF141&gt;=3,"B",IF('Data Source'!AF141&gt;=2,"C",IF('Data Source'!AF141&gt;=1,"D","F")))))),"")</f>
        <v/>
      </c>
      <c r="O141" s="3">
        <f>IF(AND('Data Source'!B141&lt;&gt;"",'Data Source'!S141="F"),IF('Data Source'!AG141&gt;=5,"A+",IF('Data Source'!AG141&gt;=4,"A",IF('Data Source'!AG141&gt;=3.5,"A-",IF('Data Source'!AG141&gt;=3,"B",IF('Data Source'!AG141&gt;=2,"C",IF('Data Source'!AG141&gt;=1,"D","F")))))),"")</f>
        <v/>
      </c>
      <c r="P141" s="5">
        <f>IF(AND('Data Source'!B141&lt;&gt;"",'Data Source'!S141="F"),'Data Source'!R141,"")</f>
        <v/>
      </c>
      <c r="Q141" s="3">
        <f>IF(AND('Data Source'!B141&lt;&gt;"",'Data Source'!S141="F"),'Data Source'!S141,"")</f>
        <v/>
      </c>
    </row>
    <row r="142">
      <c r="A142" s="3">
        <f>IF(AND('Data Source'!B142&lt;&gt;"",'Data Source'!S142="F"),COUNTIF('Data Source'!$S$3:S142,"F"),"")</f>
        <v/>
      </c>
      <c r="B142">
        <f>IF(AND('Data Source'!B142&lt;&gt;"",'Data Source'!S142="F"),'Data Source'!B142,"")</f>
        <v/>
      </c>
      <c r="C142" s="3">
        <f>IF(AND('Data Source'!B142&lt;&gt;"",'Data Source'!S142="F"),IF('Data Source'!U142&gt;=5,"A+",IF('Data Source'!U142&gt;=4,"A",IF('Data Source'!U142&gt;=3.5,"A-",IF('Data Source'!U142&gt;=3,"B",IF('Data Source'!U142&gt;=2,"C",IF('Data Source'!U142&gt;=1,"D","F")))))),"")</f>
        <v/>
      </c>
      <c r="D142" s="3">
        <f>IF(AND('Data Source'!B142&lt;&gt;"",'Data Source'!S142="F"),IF('Data Source'!V142&gt;=5,"A+",IF('Data Source'!V142&gt;=4,"A",IF('Data Source'!V142&gt;=3.5,"A-",IF('Data Source'!V142&gt;=3,"B",IF('Data Source'!V142&gt;=2,"C",IF('Data Source'!V142&gt;=1,"D","F")))))),"")</f>
        <v/>
      </c>
      <c r="E142" s="3">
        <f>IF(AND('Data Source'!B142&lt;&gt;"",'Data Source'!S142="F"),IF('Data Source'!W142&gt;=5,"A+",IF('Data Source'!W142&gt;=4,"A",IF('Data Source'!W142&gt;=3.5,"A-",IF('Data Source'!W142&gt;=3,"B",IF('Data Source'!W142&gt;=2,"C",IF('Data Source'!W142&gt;=1,"D","F")))))),"")</f>
        <v/>
      </c>
      <c r="F142" s="3">
        <f>IF(AND('Data Source'!B142&lt;&gt;"",'Data Source'!S142="F"),IF('Data Source'!X142&gt;=5,"A+",IF('Data Source'!X142&gt;=4,"A",IF('Data Source'!X142&gt;=3.5,"A-",IF('Data Source'!X142&gt;=3,"B",IF('Data Source'!X142&gt;=2,"C",IF('Data Source'!X142&gt;=1,"D","F")))))),"")</f>
        <v/>
      </c>
      <c r="G142" s="3">
        <f>IF(AND('Data Source'!B142&lt;&gt;"",'Data Source'!S142="F"),IF('Data Source'!Y142&gt;=5,"A+",IF('Data Source'!Y142&gt;=4,"A",IF('Data Source'!Y142&gt;=3.5,"A-",IF('Data Source'!Y142&gt;=3,"B",IF('Data Source'!Y142&gt;=2,"C",IF('Data Source'!Y142&gt;=1,"D","F")))))),"")</f>
        <v/>
      </c>
      <c r="H142" s="3">
        <f>IF(AND('Data Source'!B142&lt;&gt;"",'Data Source'!S142="F"),IF('Data Source'!Z142&gt;=5,"A+",IF('Data Source'!Z142&gt;=4,"A",IF('Data Source'!Z142&gt;=3.5,"A-",IF('Data Source'!Z142&gt;=3,"B",IF('Data Source'!Z142&gt;=2,"C",IF('Data Source'!Z142&gt;=1,"D","F")))))),"")</f>
        <v/>
      </c>
      <c r="I142" s="3">
        <f>IF(AND('Data Source'!B142&lt;&gt;"",'Data Source'!S142="F"),IF('Data Source'!AA142&gt;=5,"A+",IF('Data Source'!AA142&gt;=4,"A",IF('Data Source'!AA142&gt;=3.5,"A-",IF('Data Source'!AA142&gt;=3,"B",IF('Data Source'!AA142&gt;=2,"C",IF('Data Source'!AA142&gt;=1,"D","F")))))),"")</f>
        <v/>
      </c>
      <c r="J142" s="3">
        <f>IF(AND('Data Source'!B142&lt;&gt;"",'Data Source'!S142="F"),IF('Data Source'!AB142&gt;=5,"A+",IF('Data Source'!AB142&gt;=4,"A",IF('Data Source'!AB142&gt;=3.5,"A-",IF('Data Source'!AB142&gt;=3,"B",IF('Data Source'!AB142&gt;=2,"C",IF('Data Source'!AB142&gt;=1,"D","F")))))),"")</f>
        <v/>
      </c>
      <c r="K142" s="3">
        <f>IF(AND('Data Source'!B142&lt;&gt;"",'Data Source'!S142="F"),IF('Data Source'!AC142&gt;=5,"A+",IF('Data Source'!AC142&gt;=4,"A",IF('Data Source'!AC142&gt;=3.5,"A-",IF('Data Source'!AC142&gt;=3,"B",IF('Data Source'!AC142&gt;=2,"C",IF('Data Source'!AC142&gt;=1,"D","F")))))),"")</f>
        <v/>
      </c>
      <c r="L142" s="3">
        <f>IF(AND('Data Source'!B142&lt;&gt;"",'Data Source'!S142="F"),IF('Data Source'!AD142&gt;=5,"A+",IF('Data Source'!AD142&gt;=4,"A",IF('Data Source'!AD142&gt;=3.5,"A-",IF('Data Source'!AD142&gt;=3,"B",IF('Data Source'!AD142&gt;=2,"C",IF('Data Source'!AD142&gt;=1,"D","F")))))),"")</f>
        <v/>
      </c>
      <c r="M142" s="3">
        <f>IF(AND('Data Source'!B142&lt;&gt;"",'Data Source'!S142="F"),IF('Data Source'!AE142&gt;=5,"A+",IF('Data Source'!AE142&gt;=4,"A",IF('Data Source'!AE142&gt;=3.5,"A-",IF('Data Source'!AE142&gt;=3,"B",IF('Data Source'!AE142&gt;=2,"C",IF('Data Source'!AE142&gt;=1,"D","F")))))),"")</f>
        <v/>
      </c>
      <c r="N142" s="3">
        <f>IF(AND('Data Source'!B142&lt;&gt;"",'Data Source'!S142="F"),IF('Data Source'!AF142&gt;=5,"A+",IF('Data Source'!AF142&gt;=4,"A",IF('Data Source'!AF142&gt;=3.5,"A-",IF('Data Source'!AF142&gt;=3,"B",IF('Data Source'!AF142&gt;=2,"C",IF('Data Source'!AF142&gt;=1,"D","F")))))),"")</f>
        <v/>
      </c>
      <c r="O142" s="3">
        <f>IF(AND('Data Source'!B142&lt;&gt;"",'Data Source'!S142="F"),IF('Data Source'!AG142&gt;=5,"A+",IF('Data Source'!AG142&gt;=4,"A",IF('Data Source'!AG142&gt;=3.5,"A-",IF('Data Source'!AG142&gt;=3,"B",IF('Data Source'!AG142&gt;=2,"C",IF('Data Source'!AG142&gt;=1,"D","F")))))),"")</f>
        <v/>
      </c>
      <c r="P142" s="5">
        <f>IF(AND('Data Source'!B142&lt;&gt;"",'Data Source'!S142="F"),'Data Source'!R142,"")</f>
        <v/>
      </c>
      <c r="Q142" s="3">
        <f>IF(AND('Data Source'!B142&lt;&gt;"",'Data Source'!S142="F"),'Data Source'!S142,"")</f>
        <v/>
      </c>
    </row>
    <row r="143">
      <c r="A143" s="3">
        <f>IF(AND('Data Source'!B143&lt;&gt;"",'Data Source'!S143="F"),COUNTIF('Data Source'!$S$3:S143,"F"),"")</f>
        <v/>
      </c>
      <c r="B143">
        <f>IF(AND('Data Source'!B143&lt;&gt;"",'Data Source'!S143="F"),'Data Source'!B143,"")</f>
        <v/>
      </c>
      <c r="C143" s="3">
        <f>IF(AND('Data Source'!B143&lt;&gt;"",'Data Source'!S143="F"),IF('Data Source'!U143&gt;=5,"A+",IF('Data Source'!U143&gt;=4,"A",IF('Data Source'!U143&gt;=3.5,"A-",IF('Data Source'!U143&gt;=3,"B",IF('Data Source'!U143&gt;=2,"C",IF('Data Source'!U143&gt;=1,"D","F")))))),"")</f>
        <v/>
      </c>
      <c r="D143" s="3">
        <f>IF(AND('Data Source'!B143&lt;&gt;"",'Data Source'!S143="F"),IF('Data Source'!V143&gt;=5,"A+",IF('Data Source'!V143&gt;=4,"A",IF('Data Source'!V143&gt;=3.5,"A-",IF('Data Source'!V143&gt;=3,"B",IF('Data Source'!V143&gt;=2,"C",IF('Data Source'!V143&gt;=1,"D","F")))))),"")</f>
        <v/>
      </c>
      <c r="E143" s="3">
        <f>IF(AND('Data Source'!B143&lt;&gt;"",'Data Source'!S143="F"),IF('Data Source'!W143&gt;=5,"A+",IF('Data Source'!W143&gt;=4,"A",IF('Data Source'!W143&gt;=3.5,"A-",IF('Data Source'!W143&gt;=3,"B",IF('Data Source'!W143&gt;=2,"C",IF('Data Source'!W143&gt;=1,"D","F")))))),"")</f>
        <v/>
      </c>
      <c r="F143" s="3">
        <f>IF(AND('Data Source'!B143&lt;&gt;"",'Data Source'!S143="F"),IF('Data Source'!X143&gt;=5,"A+",IF('Data Source'!X143&gt;=4,"A",IF('Data Source'!X143&gt;=3.5,"A-",IF('Data Source'!X143&gt;=3,"B",IF('Data Source'!X143&gt;=2,"C",IF('Data Source'!X143&gt;=1,"D","F")))))),"")</f>
        <v/>
      </c>
      <c r="G143" s="3">
        <f>IF(AND('Data Source'!B143&lt;&gt;"",'Data Source'!S143="F"),IF('Data Source'!Y143&gt;=5,"A+",IF('Data Source'!Y143&gt;=4,"A",IF('Data Source'!Y143&gt;=3.5,"A-",IF('Data Source'!Y143&gt;=3,"B",IF('Data Source'!Y143&gt;=2,"C",IF('Data Source'!Y143&gt;=1,"D","F")))))),"")</f>
        <v/>
      </c>
      <c r="H143" s="3">
        <f>IF(AND('Data Source'!B143&lt;&gt;"",'Data Source'!S143="F"),IF('Data Source'!Z143&gt;=5,"A+",IF('Data Source'!Z143&gt;=4,"A",IF('Data Source'!Z143&gt;=3.5,"A-",IF('Data Source'!Z143&gt;=3,"B",IF('Data Source'!Z143&gt;=2,"C",IF('Data Source'!Z143&gt;=1,"D","F")))))),"")</f>
        <v/>
      </c>
      <c r="I143" s="3">
        <f>IF(AND('Data Source'!B143&lt;&gt;"",'Data Source'!S143="F"),IF('Data Source'!AA143&gt;=5,"A+",IF('Data Source'!AA143&gt;=4,"A",IF('Data Source'!AA143&gt;=3.5,"A-",IF('Data Source'!AA143&gt;=3,"B",IF('Data Source'!AA143&gt;=2,"C",IF('Data Source'!AA143&gt;=1,"D","F")))))),"")</f>
        <v/>
      </c>
      <c r="J143" s="3">
        <f>IF(AND('Data Source'!B143&lt;&gt;"",'Data Source'!S143="F"),IF('Data Source'!AB143&gt;=5,"A+",IF('Data Source'!AB143&gt;=4,"A",IF('Data Source'!AB143&gt;=3.5,"A-",IF('Data Source'!AB143&gt;=3,"B",IF('Data Source'!AB143&gt;=2,"C",IF('Data Source'!AB143&gt;=1,"D","F")))))),"")</f>
        <v/>
      </c>
      <c r="K143" s="3">
        <f>IF(AND('Data Source'!B143&lt;&gt;"",'Data Source'!S143="F"),IF('Data Source'!AC143&gt;=5,"A+",IF('Data Source'!AC143&gt;=4,"A",IF('Data Source'!AC143&gt;=3.5,"A-",IF('Data Source'!AC143&gt;=3,"B",IF('Data Source'!AC143&gt;=2,"C",IF('Data Source'!AC143&gt;=1,"D","F")))))),"")</f>
        <v/>
      </c>
      <c r="L143" s="3">
        <f>IF(AND('Data Source'!B143&lt;&gt;"",'Data Source'!S143="F"),IF('Data Source'!AD143&gt;=5,"A+",IF('Data Source'!AD143&gt;=4,"A",IF('Data Source'!AD143&gt;=3.5,"A-",IF('Data Source'!AD143&gt;=3,"B",IF('Data Source'!AD143&gt;=2,"C",IF('Data Source'!AD143&gt;=1,"D","F")))))),"")</f>
        <v/>
      </c>
      <c r="M143" s="3">
        <f>IF(AND('Data Source'!B143&lt;&gt;"",'Data Source'!S143="F"),IF('Data Source'!AE143&gt;=5,"A+",IF('Data Source'!AE143&gt;=4,"A",IF('Data Source'!AE143&gt;=3.5,"A-",IF('Data Source'!AE143&gt;=3,"B",IF('Data Source'!AE143&gt;=2,"C",IF('Data Source'!AE143&gt;=1,"D","F")))))),"")</f>
        <v/>
      </c>
      <c r="N143" s="3">
        <f>IF(AND('Data Source'!B143&lt;&gt;"",'Data Source'!S143="F"),IF('Data Source'!AF143&gt;=5,"A+",IF('Data Source'!AF143&gt;=4,"A",IF('Data Source'!AF143&gt;=3.5,"A-",IF('Data Source'!AF143&gt;=3,"B",IF('Data Source'!AF143&gt;=2,"C",IF('Data Source'!AF143&gt;=1,"D","F")))))),"")</f>
        <v/>
      </c>
      <c r="O143" s="3">
        <f>IF(AND('Data Source'!B143&lt;&gt;"",'Data Source'!S143="F"),IF('Data Source'!AG143&gt;=5,"A+",IF('Data Source'!AG143&gt;=4,"A",IF('Data Source'!AG143&gt;=3.5,"A-",IF('Data Source'!AG143&gt;=3,"B",IF('Data Source'!AG143&gt;=2,"C",IF('Data Source'!AG143&gt;=1,"D","F")))))),"")</f>
        <v/>
      </c>
      <c r="P143" s="5">
        <f>IF(AND('Data Source'!B143&lt;&gt;"",'Data Source'!S143="F"),'Data Source'!R143,"")</f>
        <v/>
      </c>
      <c r="Q143" s="3">
        <f>IF(AND('Data Source'!B143&lt;&gt;"",'Data Source'!S143="F"),'Data Source'!S143,"")</f>
        <v/>
      </c>
    </row>
    <row r="144">
      <c r="A144" s="3">
        <f>IF(AND('Data Source'!B144&lt;&gt;"",'Data Source'!S144="F"),COUNTIF('Data Source'!$S$3:S144,"F"),"")</f>
        <v/>
      </c>
      <c r="B144">
        <f>IF(AND('Data Source'!B144&lt;&gt;"",'Data Source'!S144="F"),'Data Source'!B144,"")</f>
        <v/>
      </c>
      <c r="C144" s="3">
        <f>IF(AND('Data Source'!B144&lt;&gt;"",'Data Source'!S144="F"),IF('Data Source'!U144&gt;=5,"A+",IF('Data Source'!U144&gt;=4,"A",IF('Data Source'!U144&gt;=3.5,"A-",IF('Data Source'!U144&gt;=3,"B",IF('Data Source'!U144&gt;=2,"C",IF('Data Source'!U144&gt;=1,"D","F")))))),"")</f>
        <v/>
      </c>
      <c r="D144" s="3">
        <f>IF(AND('Data Source'!B144&lt;&gt;"",'Data Source'!S144="F"),IF('Data Source'!V144&gt;=5,"A+",IF('Data Source'!V144&gt;=4,"A",IF('Data Source'!V144&gt;=3.5,"A-",IF('Data Source'!V144&gt;=3,"B",IF('Data Source'!V144&gt;=2,"C",IF('Data Source'!V144&gt;=1,"D","F")))))),"")</f>
        <v/>
      </c>
      <c r="E144" s="3">
        <f>IF(AND('Data Source'!B144&lt;&gt;"",'Data Source'!S144="F"),IF('Data Source'!W144&gt;=5,"A+",IF('Data Source'!W144&gt;=4,"A",IF('Data Source'!W144&gt;=3.5,"A-",IF('Data Source'!W144&gt;=3,"B",IF('Data Source'!W144&gt;=2,"C",IF('Data Source'!W144&gt;=1,"D","F")))))),"")</f>
        <v/>
      </c>
      <c r="F144" s="3">
        <f>IF(AND('Data Source'!B144&lt;&gt;"",'Data Source'!S144="F"),IF('Data Source'!X144&gt;=5,"A+",IF('Data Source'!X144&gt;=4,"A",IF('Data Source'!X144&gt;=3.5,"A-",IF('Data Source'!X144&gt;=3,"B",IF('Data Source'!X144&gt;=2,"C",IF('Data Source'!X144&gt;=1,"D","F")))))),"")</f>
        <v/>
      </c>
      <c r="G144" s="3">
        <f>IF(AND('Data Source'!B144&lt;&gt;"",'Data Source'!S144="F"),IF('Data Source'!Y144&gt;=5,"A+",IF('Data Source'!Y144&gt;=4,"A",IF('Data Source'!Y144&gt;=3.5,"A-",IF('Data Source'!Y144&gt;=3,"B",IF('Data Source'!Y144&gt;=2,"C",IF('Data Source'!Y144&gt;=1,"D","F")))))),"")</f>
        <v/>
      </c>
      <c r="H144" s="3">
        <f>IF(AND('Data Source'!B144&lt;&gt;"",'Data Source'!S144="F"),IF('Data Source'!Z144&gt;=5,"A+",IF('Data Source'!Z144&gt;=4,"A",IF('Data Source'!Z144&gt;=3.5,"A-",IF('Data Source'!Z144&gt;=3,"B",IF('Data Source'!Z144&gt;=2,"C",IF('Data Source'!Z144&gt;=1,"D","F")))))),"")</f>
        <v/>
      </c>
      <c r="I144" s="3">
        <f>IF(AND('Data Source'!B144&lt;&gt;"",'Data Source'!S144="F"),IF('Data Source'!AA144&gt;=5,"A+",IF('Data Source'!AA144&gt;=4,"A",IF('Data Source'!AA144&gt;=3.5,"A-",IF('Data Source'!AA144&gt;=3,"B",IF('Data Source'!AA144&gt;=2,"C",IF('Data Source'!AA144&gt;=1,"D","F")))))),"")</f>
        <v/>
      </c>
      <c r="J144" s="3">
        <f>IF(AND('Data Source'!B144&lt;&gt;"",'Data Source'!S144="F"),IF('Data Source'!AB144&gt;=5,"A+",IF('Data Source'!AB144&gt;=4,"A",IF('Data Source'!AB144&gt;=3.5,"A-",IF('Data Source'!AB144&gt;=3,"B",IF('Data Source'!AB144&gt;=2,"C",IF('Data Source'!AB144&gt;=1,"D","F")))))),"")</f>
        <v/>
      </c>
      <c r="K144" s="3">
        <f>IF(AND('Data Source'!B144&lt;&gt;"",'Data Source'!S144="F"),IF('Data Source'!AC144&gt;=5,"A+",IF('Data Source'!AC144&gt;=4,"A",IF('Data Source'!AC144&gt;=3.5,"A-",IF('Data Source'!AC144&gt;=3,"B",IF('Data Source'!AC144&gt;=2,"C",IF('Data Source'!AC144&gt;=1,"D","F")))))),"")</f>
        <v/>
      </c>
      <c r="L144" s="3">
        <f>IF(AND('Data Source'!B144&lt;&gt;"",'Data Source'!S144="F"),IF('Data Source'!AD144&gt;=5,"A+",IF('Data Source'!AD144&gt;=4,"A",IF('Data Source'!AD144&gt;=3.5,"A-",IF('Data Source'!AD144&gt;=3,"B",IF('Data Source'!AD144&gt;=2,"C",IF('Data Source'!AD144&gt;=1,"D","F")))))),"")</f>
        <v/>
      </c>
      <c r="M144" s="3">
        <f>IF(AND('Data Source'!B144&lt;&gt;"",'Data Source'!S144="F"),IF('Data Source'!AE144&gt;=5,"A+",IF('Data Source'!AE144&gt;=4,"A",IF('Data Source'!AE144&gt;=3.5,"A-",IF('Data Source'!AE144&gt;=3,"B",IF('Data Source'!AE144&gt;=2,"C",IF('Data Source'!AE144&gt;=1,"D","F")))))),"")</f>
        <v/>
      </c>
      <c r="N144" s="3">
        <f>IF(AND('Data Source'!B144&lt;&gt;"",'Data Source'!S144="F"),IF('Data Source'!AF144&gt;=5,"A+",IF('Data Source'!AF144&gt;=4,"A",IF('Data Source'!AF144&gt;=3.5,"A-",IF('Data Source'!AF144&gt;=3,"B",IF('Data Source'!AF144&gt;=2,"C",IF('Data Source'!AF144&gt;=1,"D","F")))))),"")</f>
        <v/>
      </c>
      <c r="O144" s="3">
        <f>IF(AND('Data Source'!B144&lt;&gt;"",'Data Source'!S144="F"),IF('Data Source'!AG144&gt;=5,"A+",IF('Data Source'!AG144&gt;=4,"A",IF('Data Source'!AG144&gt;=3.5,"A-",IF('Data Source'!AG144&gt;=3,"B",IF('Data Source'!AG144&gt;=2,"C",IF('Data Source'!AG144&gt;=1,"D","F")))))),"")</f>
        <v/>
      </c>
      <c r="P144" s="5">
        <f>IF(AND('Data Source'!B144&lt;&gt;"",'Data Source'!S144="F"),'Data Source'!R144,"")</f>
        <v/>
      </c>
      <c r="Q144" s="3">
        <f>IF(AND('Data Source'!B144&lt;&gt;"",'Data Source'!S144="F"),'Data Source'!S144,"")</f>
        <v/>
      </c>
    </row>
    <row r="145">
      <c r="A145" s="3">
        <f>IF(AND('Data Source'!B145&lt;&gt;"",'Data Source'!S145="F"),COUNTIF('Data Source'!$S$3:S145,"F"),"")</f>
        <v/>
      </c>
      <c r="B145">
        <f>IF(AND('Data Source'!B145&lt;&gt;"",'Data Source'!S145="F"),'Data Source'!B145,"")</f>
        <v/>
      </c>
      <c r="C145" s="3">
        <f>IF(AND('Data Source'!B145&lt;&gt;"",'Data Source'!S145="F"),IF('Data Source'!U145&gt;=5,"A+",IF('Data Source'!U145&gt;=4,"A",IF('Data Source'!U145&gt;=3.5,"A-",IF('Data Source'!U145&gt;=3,"B",IF('Data Source'!U145&gt;=2,"C",IF('Data Source'!U145&gt;=1,"D","F")))))),"")</f>
        <v/>
      </c>
      <c r="D145" s="3">
        <f>IF(AND('Data Source'!B145&lt;&gt;"",'Data Source'!S145="F"),IF('Data Source'!V145&gt;=5,"A+",IF('Data Source'!V145&gt;=4,"A",IF('Data Source'!V145&gt;=3.5,"A-",IF('Data Source'!V145&gt;=3,"B",IF('Data Source'!V145&gt;=2,"C",IF('Data Source'!V145&gt;=1,"D","F")))))),"")</f>
        <v/>
      </c>
      <c r="E145" s="3">
        <f>IF(AND('Data Source'!B145&lt;&gt;"",'Data Source'!S145="F"),IF('Data Source'!W145&gt;=5,"A+",IF('Data Source'!W145&gt;=4,"A",IF('Data Source'!W145&gt;=3.5,"A-",IF('Data Source'!W145&gt;=3,"B",IF('Data Source'!W145&gt;=2,"C",IF('Data Source'!W145&gt;=1,"D","F")))))),"")</f>
        <v/>
      </c>
      <c r="F145" s="3">
        <f>IF(AND('Data Source'!B145&lt;&gt;"",'Data Source'!S145="F"),IF('Data Source'!X145&gt;=5,"A+",IF('Data Source'!X145&gt;=4,"A",IF('Data Source'!X145&gt;=3.5,"A-",IF('Data Source'!X145&gt;=3,"B",IF('Data Source'!X145&gt;=2,"C",IF('Data Source'!X145&gt;=1,"D","F")))))),"")</f>
        <v/>
      </c>
      <c r="G145" s="3">
        <f>IF(AND('Data Source'!B145&lt;&gt;"",'Data Source'!S145="F"),IF('Data Source'!Y145&gt;=5,"A+",IF('Data Source'!Y145&gt;=4,"A",IF('Data Source'!Y145&gt;=3.5,"A-",IF('Data Source'!Y145&gt;=3,"B",IF('Data Source'!Y145&gt;=2,"C",IF('Data Source'!Y145&gt;=1,"D","F")))))),"")</f>
        <v/>
      </c>
      <c r="H145" s="3">
        <f>IF(AND('Data Source'!B145&lt;&gt;"",'Data Source'!S145="F"),IF('Data Source'!Z145&gt;=5,"A+",IF('Data Source'!Z145&gt;=4,"A",IF('Data Source'!Z145&gt;=3.5,"A-",IF('Data Source'!Z145&gt;=3,"B",IF('Data Source'!Z145&gt;=2,"C",IF('Data Source'!Z145&gt;=1,"D","F")))))),"")</f>
        <v/>
      </c>
      <c r="I145" s="3">
        <f>IF(AND('Data Source'!B145&lt;&gt;"",'Data Source'!S145="F"),IF('Data Source'!AA145&gt;=5,"A+",IF('Data Source'!AA145&gt;=4,"A",IF('Data Source'!AA145&gt;=3.5,"A-",IF('Data Source'!AA145&gt;=3,"B",IF('Data Source'!AA145&gt;=2,"C",IF('Data Source'!AA145&gt;=1,"D","F")))))),"")</f>
        <v/>
      </c>
      <c r="J145" s="3">
        <f>IF(AND('Data Source'!B145&lt;&gt;"",'Data Source'!S145="F"),IF('Data Source'!AB145&gt;=5,"A+",IF('Data Source'!AB145&gt;=4,"A",IF('Data Source'!AB145&gt;=3.5,"A-",IF('Data Source'!AB145&gt;=3,"B",IF('Data Source'!AB145&gt;=2,"C",IF('Data Source'!AB145&gt;=1,"D","F")))))),"")</f>
        <v/>
      </c>
      <c r="K145" s="3">
        <f>IF(AND('Data Source'!B145&lt;&gt;"",'Data Source'!S145="F"),IF('Data Source'!AC145&gt;=5,"A+",IF('Data Source'!AC145&gt;=4,"A",IF('Data Source'!AC145&gt;=3.5,"A-",IF('Data Source'!AC145&gt;=3,"B",IF('Data Source'!AC145&gt;=2,"C",IF('Data Source'!AC145&gt;=1,"D","F")))))),"")</f>
        <v/>
      </c>
      <c r="L145" s="3">
        <f>IF(AND('Data Source'!B145&lt;&gt;"",'Data Source'!S145="F"),IF('Data Source'!AD145&gt;=5,"A+",IF('Data Source'!AD145&gt;=4,"A",IF('Data Source'!AD145&gt;=3.5,"A-",IF('Data Source'!AD145&gt;=3,"B",IF('Data Source'!AD145&gt;=2,"C",IF('Data Source'!AD145&gt;=1,"D","F")))))),"")</f>
        <v/>
      </c>
      <c r="M145" s="3">
        <f>IF(AND('Data Source'!B145&lt;&gt;"",'Data Source'!S145="F"),IF('Data Source'!AE145&gt;=5,"A+",IF('Data Source'!AE145&gt;=4,"A",IF('Data Source'!AE145&gt;=3.5,"A-",IF('Data Source'!AE145&gt;=3,"B",IF('Data Source'!AE145&gt;=2,"C",IF('Data Source'!AE145&gt;=1,"D","F")))))),"")</f>
        <v/>
      </c>
      <c r="N145" s="3">
        <f>IF(AND('Data Source'!B145&lt;&gt;"",'Data Source'!S145="F"),IF('Data Source'!AF145&gt;=5,"A+",IF('Data Source'!AF145&gt;=4,"A",IF('Data Source'!AF145&gt;=3.5,"A-",IF('Data Source'!AF145&gt;=3,"B",IF('Data Source'!AF145&gt;=2,"C",IF('Data Source'!AF145&gt;=1,"D","F")))))),"")</f>
        <v/>
      </c>
      <c r="O145" s="3">
        <f>IF(AND('Data Source'!B145&lt;&gt;"",'Data Source'!S145="F"),IF('Data Source'!AG145&gt;=5,"A+",IF('Data Source'!AG145&gt;=4,"A",IF('Data Source'!AG145&gt;=3.5,"A-",IF('Data Source'!AG145&gt;=3,"B",IF('Data Source'!AG145&gt;=2,"C",IF('Data Source'!AG145&gt;=1,"D","F")))))),"")</f>
        <v/>
      </c>
      <c r="P145" s="5">
        <f>IF(AND('Data Source'!B145&lt;&gt;"",'Data Source'!S145="F"),'Data Source'!R145,"")</f>
        <v/>
      </c>
      <c r="Q145" s="3">
        <f>IF(AND('Data Source'!B145&lt;&gt;"",'Data Source'!S145="F"),'Data Source'!S145,"")</f>
        <v/>
      </c>
    </row>
    <row r="146">
      <c r="A146" s="3">
        <f>IF(AND('Data Source'!B146&lt;&gt;"",'Data Source'!S146="F"),COUNTIF('Data Source'!$S$3:S146,"F"),"")</f>
        <v/>
      </c>
      <c r="B146">
        <f>IF(AND('Data Source'!B146&lt;&gt;"",'Data Source'!S146="F"),'Data Source'!B146,"")</f>
        <v/>
      </c>
      <c r="C146" s="3">
        <f>IF(AND('Data Source'!B146&lt;&gt;"",'Data Source'!S146="F"),IF('Data Source'!U146&gt;=5,"A+",IF('Data Source'!U146&gt;=4,"A",IF('Data Source'!U146&gt;=3.5,"A-",IF('Data Source'!U146&gt;=3,"B",IF('Data Source'!U146&gt;=2,"C",IF('Data Source'!U146&gt;=1,"D","F")))))),"")</f>
        <v/>
      </c>
      <c r="D146" s="3">
        <f>IF(AND('Data Source'!B146&lt;&gt;"",'Data Source'!S146="F"),IF('Data Source'!V146&gt;=5,"A+",IF('Data Source'!V146&gt;=4,"A",IF('Data Source'!V146&gt;=3.5,"A-",IF('Data Source'!V146&gt;=3,"B",IF('Data Source'!V146&gt;=2,"C",IF('Data Source'!V146&gt;=1,"D","F")))))),"")</f>
        <v/>
      </c>
      <c r="E146" s="3">
        <f>IF(AND('Data Source'!B146&lt;&gt;"",'Data Source'!S146="F"),IF('Data Source'!W146&gt;=5,"A+",IF('Data Source'!W146&gt;=4,"A",IF('Data Source'!W146&gt;=3.5,"A-",IF('Data Source'!W146&gt;=3,"B",IF('Data Source'!W146&gt;=2,"C",IF('Data Source'!W146&gt;=1,"D","F")))))),"")</f>
        <v/>
      </c>
      <c r="F146" s="3">
        <f>IF(AND('Data Source'!B146&lt;&gt;"",'Data Source'!S146="F"),IF('Data Source'!X146&gt;=5,"A+",IF('Data Source'!X146&gt;=4,"A",IF('Data Source'!X146&gt;=3.5,"A-",IF('Data Source'!X146&gt;=3,"B",IF('Data Source'!X146&gt;=2,"C",IF('Data Source'!X146&gt;=1,"D","F")))))),"")</f>
        <v/>
      </c>
      <c r="G146" s="3">
        <f>IF(AND('Data Source'!B146&lt;&gt;"",'Data Source'!S146="F"),IF('Data Source'!Y146&gt;=5,"A+",IF('Data Source'!Y146&gt;=4,"A",IF('Data Source'!Y146&gt;=3.5,"A-",IF('Data Source'!Y146&gt;=3,"B",IF('Data Source'!Y146&gt;=2,"C",IF('Data Source'!Y146&gt;=1,"D","F")))))),"")</f>
        <v/>
      </c>
      <c r="H146" s="3">
        <f>IF(AND('Data Source'!B146&lt;&gt;"",'Data Source'!S146="F"),IF('Data Source'!Z146&gt;=5,"A+",IF('Data Source'!Z146&gt;=4,"A",IF('Data Source'!Z146&gt;=3.5,"A-",IF('Data Source'!Z146&gt;=3,"B",IF('Data Source'!Z146&gt;=2,"C",IF('Data Source'!Z146&gt;=1,"D","F")))))),"")</f>
        <v/>
      </c>
      <c r="I146" s="3">
        <f>IF(AND('Data Source'!B146&lt;&gt;"",'Data Source'!S146="F"),IF('Data Source'!AA146&gt;=5,"A+",IF('Data Source'!AA146&gt;=4,"A",IF('Data Source'!AA146&gt;=3.5,"A-",IF('Data Source'!AA146&gt;=3,"B",IF('Data Source'!AA146&gt;=2,"C",IF('Data Source'!AA146&gt;=1,"D","F")))))),"")</f>
        <v/>
      </c>
      <c r="J146" s="3">
        <f>IF(AND('Data Source'!B146&lt;&gt;"",'Data Source'!S146="F"),IF('Data Source'!AB146&gt;=5,"A+",IF('Data Source'!AB146&gt;=4,"A",IF('Data Source'!AB146&gt;=3.5,"A-",IF('Data Source'!AB146&gt;=3,"B",IF('Data Source'!AB146&gt;=2,"C",IF('Data Source'!AB146&gt;=1,"D","F")))))),"")</f>
        <v/>
      </c>
      <c r="K146" s="3">
        <f>IF(AND('Data Source'!B146&lt;&gt;"",'Data Source'!S146="F"),IF('Data Source'!AC146&gt;=5,"A+",IF('Data Source'!AC146&gt;=4,"A",IF('Data Source'!AC146&gt;=3.5,"A-",IF('Data Source'!AC146&gt;=3,"B",IF('Data Source'!AC146&gt;=2,"C",IF('Data Source'!AC146&gt;=1,"D","F")))))),"")</f>
        <v/>
      </c>
      <c r="L146" s="3">
        <f>IF(AND('Data Source'!B146&lt;&gt;"",'Data Source'!S146="F"),IF('Data Source'!AD146&gt;=5,"A+",IF('Data Source'!AD146&gt;=4,"A",IF('Data Source'!AD146&gt;=3.5,"A-",IF('Data Source'!AD146&gt;=3,"B",IF('Data Source'!AD146&gt;=2,"C",IF('Data Source'!AD146&gt;=1,"D","F")))))),"")</f>
        <v/>
      </c>
      <c r="M146" s="3">
        <f>IF(AND('Data Source'!B146&lt;&gt;"",'Data Source'!S146="F"),IF('Data Source'!AE146&gt;=5,"A+",IF('Data Source'!AE146&gt;=4,"A",IF('Data Source'!AE146&gt;=3.5,"A-",IF('Data Source'!AE146&gt;=3,"B",IF('Data Source'!AE146&gt;=2,"C",IF('Data Source'!AE146&gt;=1,"D","F")))))),"")</f>
        <v/>
      </c>
      <c r="N146" s="3">
        <f>IF(AND('Data Source'!B146&lt;&gt;"",'Data Source'!S146="F"),IF('Data Source'!AF146&gt;=5,"A+",IF('Data Source'!AF146&gt;=4,"A",IF('Data Source'!AF146&gt;=3.5,"A-",IF('Data Source'!AF146&gt;=3,"B",IF('Data Source'!AF146&gt;=2,"C",IF('Data Source'!AF146&gt;=1,"D","F")))))),"")</f>
        <v/>
      </c>
      <c r="O146" s="3">
        <f>IF(AND('Data Source'!B146&lt;&gt;"",'Data Source'!S146="F"),IF('Data Source'!AG146&gt;=5,"A+",IF('Data Source'!AG146&gt;=4,"A",IF('Data Source'!AG146&gt;=3.5,"A-",IF('Data Source'!AG146&gt;=3,"B",IF('Data Source'!AG146&gt;=2,"C",IF('Data Source'!AG146&gt;=1,"D","F")))))),"")</f>
        <v/>
      </c>
      <c r="P146" s="5">
        <f>IF(AND('Data Source'!B146&lt;&gt;"",'Data Source'!S146="F"),'Data Source'!R146,"")</f>
        <v/>
      </c>
      <c r="Q146" s="3">
        <f>IF(AND('Data Source'!B146&lt;&gt;"",'Data Source'!S146="F"),'Data Source'!S146,"")</f>
        <v/>
      </c>
    </row>
    <row r="147">
      <c r="A147" s="3">
        <f>IF(AND('Data Source'!B147&lt;&gt;"",'Data Source'!S147="F"),COUNTIF('Data Source'!$S$3:S147,"F"),"")</f>
        <v/>
      </c>
      <c r="B147">
        <f>IF(AND('Data Source'!B147&lt;&gt;"",'Data Source'!S147="F"),'Data Source'!B147,"")</f>
        <v/>
      </c>
      <c r="C147" s="3">
        <f>IF(AND('Data Source'!B147&lt;&gt;"",'Data Source'!S147="F"),IF('Data Source'!U147&gt;=5,"A+",IF('Data Source'!U147&gt;=4,"A",IF('Data Source'!U147&gt;=3.5,"A-",IF('Data Source'!U147&gt;=3,"B",IF('Data Source'!U147&gt;=2,"C",IF('Data Source'!U147&gt;=1,"D","F")))))),"")</f>
        <v/>
      </c>
      <c r="D147" s="3">
        <f>IF(AND('Data Source'!B147&lt;&gt;"",'Data Source'!S147="F"),IF('Data Source'!V147&gt;=5,"A+",IF('Data Source'!V147&gt;=4,"A",IF('Data Source'!V147&gt;=3.5,"A-",IF('Data Source'!V147&gt;=3,"B",IF('Data Source'!V147&gt;=2,"C",IF('Data Source'!V147&gt;=1,"D","F")))))),"")</f>
        <v/>
      </c>
      <c r="E147" s="3">
        <f>IF(AND('Data Source'!B147&lt;&gt;"",'Data Source'!S147="F"),IF('Data Source'!W147&gt;=5,"A+",IF('Data Source'!W147&gt;=4,"A",IF('Data Source'!W147&gt;=3.5,"A-",IF('Data Source'!W147&gt;=3,"B",IF('Data Source'!W147&gt;=2,"C",IF('Data Source'!W147&gt;=1,"D","F")))))),"")</f>
        <v/>
      </c>
      <c r="F147" s="3">
        <f>IF(AND('Data Source'!B147&lt;&gt;"",'Data Source'!S147="F"),IF('Data Source'!X147&gt;=5,"A+",IF('Data Source'!X147&gt;=4,"A",IF('Data Source'!X147&gt;=3.5,"A-",IF('Data Source'!X147&gt;=3,"B",IF('Data Source'!X147&gt;=2,"C",IF('Data Source'!X147&gt;=1,"D","F")))))),"")</f>
        <v/>
      </c>
      <c r="G147" s="3">
        <f>IF(AND('Data Source'!B147&lt;&gt;"",'Data Source'!S147="F"),IF('Data Source'!Y147&gt;=5,"A+",IF('Data Source'!Y147&gt;=4,"A",IF('Data Source'!Y147&gt;=3.5,"A-",IF('Data Source'!Y147&gt;=3,"B",IF('Data Source'!Y147&gt;=2,"C",IF('Data Source'!Y147&gt;=1,"D","F")))))),"")</f>
        <v/>
      </c>
      <c r="H147" s="3">
        <f>IF(AND('Data Source'!B147&lt;&gt;"",'Data Source'!S147="F"),IF('Data Source'!Z147&gt;=5,"A+",IF('Data Source'!Z147&gt;=4,"A",IF('Data Source'!Z147&gt;=3.5,"A-",IF('Data Source'!Z147&gt;=3,"B",IF('Data Source'!Z147&gt;=2,"C",IF('Data Source'!Z147&gt;=1,"D","F")))))),"")</f>
        <v/>
      </c>
      <c r="I147" s="3">
        <f>IF(AND('Data Source'!B147&lt;&gt;"",'Data Source'!S147="F"),IF('Data Source'!AA147&gt;=5,"A+",IF('Data Source'!AA147&gt;=4,"A",IF('Data Source'!AA147&gt;=3.5,"A-",IF('Data Source'!AA147&gt;=3,"B",IF('Data Source'!AA147&gt;=2,"C",IF('Data Source'!AA147&gt;=1,"D","F")))))),"")</f>
        <v/>
      </c>
      <c r="J147" s="3">
        <f>IF(AND('Data Source'!B147&lt;&gt;"",'Data Source'!S147="F"),IF('Data Source'!AB147&gt;=5,"A+",IF('Data Source'!AB147&gt;=4,"A",IF('Data Source'!AB147&gt;=3.5,"A-",IF('Data Source'!AB147&gt;=3,"B",IF('Data Source'!AB147&gt;=2,"C",IF('Data Source'!AB147&gt;=1,"D","F")))))),"")</f>
        <v/>
      </c>
      <c r="K147" s="3">
        <f>IF(AND('Data Source'!B147&lt;&gt;"",'Data Source'!S147="F"),IF('Data Source'!AC147&gt;=5,"A+",IF('Data Source'!AC147&gt;=4,"A",IF('Data Source'!AC147&gt;=3.5,"A-",IF('Data Source'!AC147&gt;=3,"B",IF('Data Source'!AC147&gt;=2,"C",IF('Data Source'!AC147&gt;=1,"D","F")))))),"")</f>
        <v/>
      </c>
      <c r="L147" s="3">
        <f>IF(AND('Data Source'!B147&lt;&gt;"",'Data Source'!S147="F"),IF('Data Source'!AD147&gt;=5,"A+",IF('Data Source'!AD147&gt;=4,"A",IF('Data Source'!AD147&gt;=3.5,"A-",IF('Data Source'!AD147&gt;=3,"B",IF('Data Source'!AD147&gt;=2,"C",IF('Data Source'!AD147&gt;=1,"D","F")))))),"")</f>
        <v/>
      </c>
      <c r="M147" s="3">
        <f>IF(AND('Data Source'!B147&lt;&gt;"",'Data Source'!S147="F"),IF('Data Source'!AE147&gt;=5,"A+",IF('Data Source'!AE147&gt;=4,"A",IF('Data Source'!AE147&gt;=3.5,"A-",IF('Data Source'!AE147&gt;=3,"B",IF('Data Source'!AE147&gt;=2,"C",IF('Data Source'!AE147&gt;=1,"D","F")))))),"")</f>
        <v/>
      </c>
      <c r="N147" s="3">
        <f>IF(AND('Data Source'!B147&lt;&gt;"",'Data Source'!S147="F"),IF('Data Source'!AF147&gt;=5,"A+",IF('Data Source'!AF147&gt;=4,"A",IF('Data Source'!AF147&gt;=3.5,"A-",IF('Data Source'!AF147&gt;=3,"B",IF('Data Source'!AF147&gt;=2,"C",IF('Data Source'!AF147&gt;=1,"D","F")))))),"")</f>
        <v/>
      </c>
      <c r="O147" s="3">
        <f>IF(AND('Data Source'!B147&lt;&gt;"",'Data Source'!S147="F"),IF('Data Source'!AG147&gt;=5,"A+",IF('Data Source'!AG147&gt;=4,"A",IF('Data Source'!AG147&gt;=3.5,"A-",IF('Data Source'!AG147&gt;=3,"B",IF('Data Source'!AG147&gt;=2,"C",IF('Data Source'!AG147&gt;=1,"D","F")))))),"")</f>
        <v/>
      </c>
      <c r="P147" s="5">
        <f>IF(AND('Data Source'!B147&lt;&gt;"",'Data Source'!S147="F"),'Data Source'!R147,"")</f>
        <v/>
      </c>
      <c r="Q147" s="3">
        <f>IF(AND('Data Source'!B147&lt;&gt;"",'Data Source'!S147="F"),'Data Source'!S147,"")</f>
        <v/>
      </c>
    </row>
    <row r="148">
      <c r="A148" s="3">
        <f>IF(AND('Data Source'!B148&lt;&gt;"",'Data Source'!S148="F"),COUNTIF('Data Source'!$S$3:S148,"F"),"")</f>
        <v/>
      </c>
      <c r="B148">
        <f>IF(AND('Data Source'!B148&lt;&gt;"",'Data Source'!S148="F"),'Data Source'!B148,"")</f>
        <v/>
      </c>
      <c r="C148" s="3">
        <f>IF(AND('Data Source'!B148&lt;&gt;"",'Data Source'!S148="F"),IF('Data Source'!U148&gt;=5,"A+",IF('Data Source'!U148&gt;=4,"A",IF('Data Source'!U148&gt;=3.5,"A-",IF('Data Source'!U148&gt;=3,"B",IF('Data Source'!U148&gt;=2,"C",IF('Data Source'!U148&gt;=1,"D","F")))))),"")</f>
        <v/>
      </c>
      <c r="D148" s="3">
        <f>IF(AND('Data Source'!B148&lt;&gt;"",'Data Source'!S148="F"),IF('Data Source'!V148&gt;=5,"A+",IF('Data Source'!V148&gt;=4,"A",IF('Data Source'!V148&gt;=3.5,"A-",IF('Data Source'!V148&gt;=3,"B",IF('Data Source'!V148&gt;=2,"C",IF('Data Source'!V148&gt;=1,"D","F")))))),"")</f>
        <v/>
      </c>
      <c r="E148" s="3">
        <f>IF(AND('Data Source'!B148&lt;&gt;"",'Data Source'!S148="F"),IF('Data Source'!W148&gt;=5,"A+",IF('Data Source'!W148&gt;=4,"A",IF('Data Source'!W148&gt;=3.5,"A-",IF('Data Source'!W148&gt;=3,"B",IF('Data Source'!W148&gt;=2,"C",IF('Data Source'!W148&gt;=1,"D","F")))))),"")</f>
        <v/>
      </c>
      <c r="F148" s="3">
        <f>IF(AND('Data Source'!B148&lt;&gt;"",'Data Source'!S148="F"),IF('Data Source'!X148&gt;=5,"A+",IF('Data Source'!X148&gt;=4,"A",IF('Data Source'!X148&gt;=3.5,"A-",IF('Data Source'!X148&gt;=3,"B",IF('Data Source'!X148&gt;=2,"C",IF('Data Source'!X148&gt;=1,"D","F")))))),"")</f>
        <v/>
      </c>
      <c r="G148" s="3">
        <f>IF(AND('Data Source'!B148&lt;&gt;"",'Data Source'!S148="F"),IF('Data Source'!Y148&gt;=5,"A+",IF('Data Source'!Y148&gt;=4,"A",IF('Data Source'!Y148&gt;=3.5,"A-",IF('Data Source'!Y148&gt;=3,"B",IF('Data Source'!Y148&gt;=2,"C",IF('Data Source'!Y148&gt;=1,"D","F")))))),"")</f>
        <v/>
      </c>
      <c r="H148" s="3">
        <f>IF(AND('Data Source'!B148&lt;&gt;"",'Data Source'!S148="F"),IF('Data Source'!Z148&gt;=5,"A+",IF('Data Source'!Z148&gt;=4,"A",IF('Data Source'!Z148&gt;=3.5,"A-",IF('Data Source'!Z148&gt;=3,"B",IF('Data Source'!Z148&gt;=2,"C",IF('Data Source'!Z148&gt;=1,"D","F")))))),"")</f>
        <v/>
      </c>
      <c r="I148" s="3">
        <f>IF(AND('Data Source'!B148&lt;&gt;"",'Data Source'!S148="F"),IF('Data Source'!AA148&gt;=5,"A+",IF('Data Source'!AA148&gt;=4,"A",IF('Data Source'!AA148&gt;=3.5,"A-",IF('Data Source'!AA148&gt;=3,"B",IF('Data Source'!AA148&gt;=2,"C",IF('Data Source'!AA148&gt;=1,"D","F")))))),"")</f>
        <v/>
      </c>
      <c r="J148" s="3">
        <f>IF(AND('Data Source'!B148&lt;&gt;"",'Data Source'!S148="F"),IF('Data Source'!AB148&gt;=5,"A+",IF('Data Source'!AB148&gt;=4,"A",IF('Data Source'!AB148&gt;=3.5,"A-",IF('Data Source'!AB148&gt;=3,"B",IF('Data Source'!AB148&gt;=2,"C",IF('Data Source'!AB148&gt;=1,"D","F")))))),"")</f>
        <v/>
      </c>
      <c r="K148" s="3">
        <f>IF(AND('Data Source'!B148&lt;&gt;"",'Data Source'!S148="F"),IF('Data Source'!AC148&gt;=5,"A+",IF('Data Source'!AC148&gt;=4,"A",IF('Data Source'!AC148&gt;=3.5,"A-",IF('Data Source'!AC148&gt;=3,"B",IF('Data Source'!AC148&gt;=2,"C",IF('Data Source'!AC148&gt;=1,"D","F")))))),"")</f>
        <v/>
      </c>
      <c r="L148" s="3">
        <f>IF(AND('Data Source'!B148&lt;&gt;"",'Data Source'!S148="F"),IF('Data Source'!AD148&gt;=5,"A+",IF('Data Source'!AD148&gt;=4,"A",IF('Data Source'!AD148&gt;=3.5,"A-",IF('Data Source'!AD148&gt;=3,"B",IF('Data Source'!AD148&gt;=2,"C",IF('Data Source'!AD148&gt;=1,"D","F")))))),"")</f>
        <v/>
      </c>
      <c r="M148" s="3">
        <f>IF(AND('Data Source'!B148&lt;&gt;"",'Data Source'!S148="F"),IF('Data Source'!AE148&gt;=5,"A+",IF('Data Source'!AE148&gt;=4,"A",IF('Data Source'!AE148&gt;=3.5,"A-",IF('Data Source'!AE148&gt;=3,"B",IF('Data Source'!AE148&gt;=2,"C",IF('Data Source'!AE148&gt;=1,"D","F")))))),"")</f>
        <v/>
      </c>
      <c r="N148" s="3">
        <f>IF(AND('Data Source'!B148&lt;&gt;"",'Data Source'!S148="F"),IF('Data Source'!AF148&gt;=5,"A+",IF('Data Source'!AF148&gt;=4,"A",IF('Data Source'!AF148&gt;=3.5,"A-",IF('Data Source'!AF148&gt;=3,"B",IF('Data Source'!AF148&gt;=2,"C",IF('Data Source'!AF148&gt;=1,"D","F")))))),"")</f>
        <v/>
      </c>
      <c r="O148" s="3">
        <f>IF(AND('Data Source'!B148&lt;&gt;"",'Data Source'!S148="F"),IF('Data Source'!AG148&gt;=5,"A+",IF('Data Source'!AG148&gt;=4,"A",IF('Data Source'!AG148&gt;=3.5,"A-",IF('Data Source'!AG148&gt;=3,"B",IF('Data Source'!AG148&gt;=2,"C",IF('Data Source'!AG148&gt;=1,"D","F")))))),"")</f>
        <v/>
      </c>
      <c r="P148" s="5">
        <f>IF(AND('Data Source'!B148&lt;&gt;"",'Data Source'!S148="F"),'Data Source'!R148,"")</f>
        <v/>
      </c>
      <c r="Q148" s="3">
        <f>IF(AND('Data Source'!B148&lt;&gt;"",'Data Source'!S148="F"),'Data Source'!S148,"")</f>
        <v/>
      </c>
    </row>
    <row r="149">
      <c r="A149" s="3">
        <f>IF(AND('Data Source'!B149&lt;&gt;"",'Data Source'!S149="F"),COUNTIF('Data Source'!$S$3:S149,"F"),"")</f>
        <v/>
      </c>
      <c r="B149">
        <f>IF(AND('Data Source'!B149&lt;&gt;"",'Data Source'!S149="F"),'Data Source'!B149,"")</f>
        <v/>
      </c>
      <c r="C149" s="3">
        <f>IF(AND('Data Source'!B149&lt;&gt;"",'Data Source'!S149="F"),IF('Data Source'!U149&gt;=5,"A+",IF('Data Source'!U149&gt;=4,"A",IF('Data Source'!U149&gt;=3.5,"A-",IF('Data Source'!U149&gt;=3,"B",IF('Data Source'!U149&gt;=2,"C",IF('Data Source'!U149&gt;=1,"D","F")))))),"")</f>
        <v/>
      </c>
      <c r="D149" s="3">
        <f>IF(AND('Data Source'!B149&lt;&gt;"",'Data Source'!S149="F"),IF('Data Source'!V149&gt;=5,"A+",IF('Data Source'!V149&gt;=4,"A",IF('Data Source'!V149&gt;=3.5,"A-",IF('Data Source'!V149&gt;=3,"B",IF('Data Source'!V149&gt;=2,"C",IF('Data Source'!V149&gt;=1,"D","F")))))),"")</f>
        <v/>
      </c>
      <c r="E149" s="3">
        <f>IF(AND('Data Source'!B149&lt;&gt;"",'Data Source'!S149="F"),IF('Data Source'!W149&gt;=5,"A+",IF('Data Source'!W149&gt;=4,"A",IF('Data Source'!W149&gt;=3.5,"A-",IF('Data Source'!W149&gt;=3,"B",IF('Data Source'!W149&gt;=2,"C",IF('Data Source'!W149&gt;=1,"D","F")))))),"")</f>
        <v/>
      </c>
      <c r="F149" s="3">
        <f>IF(AND('Data Source'!B149&lt;&gt;"",'Data Source'!S149="F"),IF('Data Source'!X149&gt;=5,"A+",IF('Data Source'!X149&gt;=4,"A",IF('Data Source'!X149&gt;=3.5,"A-",IF('Data Source'!X149&gt;=3,"B",IF('Data Source'!X149&gt;=2,"C",IF('Data Source'!X149&gt;=1,"D","F")))))),"")</f>
        <v/>
      </c>
      <c r="G149" s="3">
        <f>IF(AND('Data Source'!B149&lt;&gt;"",'Data Source'!S149="F"),IF('Data Source'!Y149&gt;=5,"A+",IF('Data Source'!Y149&gt;=4,"A",IF('Data Source'!Y149&gt;=3.5,"A-",IF('Data Source'!Y149&gt;=3,"B",IF('Data Source'!Y149&gt;=2,"C",IF('Data Source'!Y149&gt;=1,"D","F")))))),"")</f>
        <v/>
      </c>
      <c r="H149" s="3">
        <f>IF(AND('Data Source'!B149&lt;&gt;"",'Data Source'!S149="F"),IF('Data Source'!Z149&gt;=5,"A+",IF('Data Source'!Z149&gt;=4,"A",IF('Data Source'!Z149&gt;=3.5,"A-",IF('Data Source'!Z149&gt;=3,"B",IF('Data Source'!Z149&gt;=2,"C",IF('Data Source'!Z149&gt;=1,"D","F")))))),"")</f>
        <v/>
      </c>
      <c r="I149" s="3">
        <f>IF(AND('Data Source'!B149&lt;&gt;"",'Data Source'!S149="F"),IF('Data Source'!AA149&gt;=5,"A+",IF('Data Source'!AA149&gt;=4,"A",IF('Data Source'!AA149&gt;=3.5,"A-",IF('Data Source'!AA149&gt;=3,"B",IF('Data Source'!AA149&gt;=2,"C",IF('Data Source'!AA149&gt;=1,"D","F")))))),"")</f>
        <v/>
      </c>
      <c r="J149" s="3">
        <f>IF(AND('Data Source'!B149&lt;&gt;"",'Data Source'!S149="F"),IF('Data Source'!AB149&gt;=5,"A+",IF('Data Source'!AB149&gt;=4,"A",IF('Data Source'!AB149&gt;=3.5,"A-",IF('Data Source'!AB149&gt;=3,"B",IF('Data Source'!AB149&gt;=2,"C",IF('Data Source'!AB149&gt;=1,"D","F")))))),"")</f>
        <v/>
      </c>
      <c r="K149" s="3">
        <f>IF(AND('Data Source'!B149&lt;&gt;"",'Data Source'!S149="F"),IF('Data Source'!AC149&gt;=5,"A+",IF('Data Source'!AC149&gt;=4,"A",IF('Data Source'!AC149&gt;=3.5,"A-",IF('Data Source'!AC149&gt;=3,"B",IF('Data Source'!AC149&gt;=2,"C",IF('Data Source'!AC149&gt;=1,"D","F")))))),"")</f>
        <v/>
      </c>
      <c r="L149" s="3">
        <f>IF(AND('Data Source'!B149&lt;&gt;"",'Data Source'!S149="F"),IF('Data Source'!AD149&gt;=5,"A+",IF('Data Source'!AD149&gt;=4,"A",IF('Data Source'!AD149&gt;=3.5,"A-",IF('Data Source'!AD149&gt;=3,"B",IF('Data Source'!AD149&gt;=2,"C",IF('Data Source'!AD149&gt;=1,"D","F")))))),"")</f>
        <v/>
      </c>
      <c r="M149" s="3">
        <f>IF(AND('Data Source'!B149&lt;&gt;"",'Data Source'!S149="F"),IF('Data Source'!AE149&gt;=5,"A+",IF('Data Source'!AE149&gt;=4,"A",IF('Data Source'!AE149&gt;=3.5,"A-",IF('Data Source'!AE149&gt;=3,"B",IF('Data Source'!AE149&gt;=2,"C",IF('Data Source'!AE149&gt;=1,"D","F")))))),"")</f>
        <v/>
      </c>
      <c r="N149" s="3">
        <f>IF(AND('Data Source'!B149&lt;&gt;"",'Data Source'!S149="F"),IF('Data Source'!AF149&gt;=5,"A+",IF('Data Source'!AF149&gt;=4,"A",IF('Data Source'!AF149&gt;=3.5,"A-",IF('Data Source'!AF149&gt;=3,"B",IF('Data Source'!AF149&gt;=2,"C",IF('Data Source'!AF149&gt;=1,"D","F")))))),"")</f>
        <v/>
      </c>
      <c r="O149" s="3">
        <f>IF(AND('Data Source'!B149&lt;&gt;"",'Data Source'!S149="F"),IF('Data Source'!AG149&gt;=5,"A+",IF('Data Source'!AG149&gt;=4,"A",IF('Data Source'!AG149&gt;=3.5,"A-",IF('Data Source'!AG149&gt;=3,"B",IF('Data Source'!AG149&gt;=2,"C",IF('Data Source'!AG149&gt;=1,"D","F")))))),"")</f>
        <v/>
      </c>
      <c r="P149" s="5">
        <f>IF(AND('Data Source'!B149&lt;&gt;"",'Data Source'!S149="F"),'Data Source'!R149,"")</f>
        <v/>
      </c>
      <c r="Q149" s="3">
        <f>IF(AND('Data Source'!B149&lt;&gt;"",'Data Source'!S149="F"),'Data Source'!S149,"")</f>
        <v/>
      </c>
    </row>
    <row r="150">
      <c r="A150" s="3">
        <f>IF(AND('Data Source'!B150&lt;&gt;"",'Data Source'!S150="F"),COUNTIF('Data Source'!$S$3:S150,"F"),"")</f>
        <v/>
      </c>
      <c r="B150">
        <f>IF(AND('Data Source'!B150&lt;&gt;"",'Data Source'!S150="F"),'Data Source'!B150,"")</f>
        <v/>
      </c>
      <c r="C150" s="3">
        <f>IF(AND('Data Source'!B150&lt;&gt;"",'Data Source'!S150="F"),IF('Data Source'!U150&gt;=5,"A+",IF('Data Source'!U150&gt;=4,"A",IF('Data Source'!U150&gt;=3.5,"A-",IF('Data Source'!U150&gt;=3,"B",IF('Data Source'!U150&gt;=2,"C",IF('Data Source'!U150&gt;=1,"D","F")))))),"")</f>
        <v/>
      </c>
      <c r="D150" s="3">
        <f>IF(AND('Data Source'!B150&lt;&gt;"",'Data Source'!S150="F"),IF('Data Source'!V150&gt;=5,"A+",IF('Data Source'!V150&gt;=4,"A",IF('Data Source'!V150&gt;=3.5,"A-",IF('Data Source'!V150&gt;=3,"B",IF('Data Source'!V150&gt;=2,"C",IF('Data Source'!V150&gt;=1,"D","F")))))),"")</f>
        <v/>
      </c>
      <c r="E150" s="3">
        <f>IF(AND('Data Source'!B150&lt;&gt;"",'Data Source'!S150="F"),IF('Data Source'!W150&gt;=5,"A+",IF('Data Source'!W150&gt;=4,"A",IF('Data Source'!W150&gt;=3.5,"A-",IF('Data Source'!W150&gt;=3,"B",IF('Data Source'!W150&gt;=2,"C",IF('Data Source'!W150&gt;=1,"D","F")))))),"")</f>
        <v/>
      </c>
      <c r="F150" s="3">
        <f>IF(AND('Data Source'!B150&lt;&gt;"",'Data Source'!S150="F"),IF('Data Source'!X150&gt;=5,"A+",IF('Data Source'!X150&gt;=4,"A",IF('Data Source'!X150&gt;=3.5,"A-",IF('Data Source'!X150&gt;=3,"B",IF('Data Source'!X150&gt;=2,"C",IF('Data Source'!X150&gt;=1,"D","F")))))),"")</f>
        <v/>
      </c>
      <c r="G150" s="3">
        <f>IF(AND('Data Source'!B150&lt;&gt;"",'Data Source'!S150="F"),IF('Data Source'!Y150&gt;=5,"A+",IF('Data Source'!Y150&gt;=4,"A",IF('Data Source'!Y150&gt;=3.5,"A-",IF('Data Source'!Y150&gt;=3,"B",IF('Data Source'!Y150&gt;=2,"C",IF('Data Source'!Y150&gt;=1,"D","F")))))),"")</f>
        <v/>
      </c>
      <c r="H150" s="3">
        <f>IF(AND('Data Source'!B150&lt;&gt;"",'Data Source'!S150="F"),IF('Data Source'!Z150&gt;=5,"A+",IF('Data Source'!Z150&gt;=4,"A",IF('Data Source'!Z150&gt;=3.5,"A-",IF('Data Source'!Z150&gt;=3,"B",IF('Data Source'!Z150&gt;=2,"C",IF('Data Source'!Z150&gt;=1,"D","F")))))),"")</f>
        <v/>
      </c>
      <c r="I150" s="3">
        <f>IF(AND('Data Source'!B150&lt;&gt;"",'Data Source'!S150="F"),IF('Data Source'!AA150&gt;=5,"A+",IF('Data Source'!AA150&gt;=4,"A",IF('Data Source'!AA150&gt;=3.5,"A-",IF('Data Source'!AA150&gt;=3,"B",IF('Data Source'!AA150&gt;=2,"C",IF('Data Source'!AA150&gt;=1,"D","F")))))),"")</f>
        <v/>
      </c>
      <c r="J150" s="3">
        <f>IF(AND('Data Source'!B150&lt;&gt;"",'Data Source'!S150="F"),IF('Data Source'!AB150&gt;=5,"A+",IF('Data Source'!AB150&gt;=4,"A",IF('Data Source'!AB150&gt;=3.5,"A-",IF('Data Source'!AB150&gt;=3,"B",IF('Data Source'!AB150&gt;=2,"C",IF('Data Source'!AB150&gt;=1,"D","F")))))),"")</f>
        <v/>
      </c>
      <c r="K150" s="3">
        <f>IF(AND('Data Source'!B150&lt;&gt;"",'Data Source'!S150="F"),IF('Data Source'!AC150&gt;=5,"A+",IF('Data Source'!AC150&gt;=4,"A",IF('Data Source'!AC150&gt;=3.5,"A-",IF('Data Source'!AC150&gt;=3,"B",IF('Data Source'!AC150&gt;=2,"C",IF('Data Source'!AC150&gt;=1,"D","F")))))),"")</f>
        <v/>
      </c>
      <c r="L150" s="3">
        <f>IF(AND('Data Source'!B150&lt;&gt;"",'Data Source'!S150="F"),IF('Data Source'!AD150&gt;=5,"A+",IF('Data Source'!AD150&gt;=4,"A",IF('Data Source'!AD150&gt;=3.5,"A-",IF('Data Source'!AD150&gt;=3,"B",IF('Data Source'!AD150&gt;=2,"C",IF('Data Source'!AD150&gt;=1,"D","F")))))),"")</f>
        <v/>
      </c>
      <c r="M150" s="3">
        <f>IF(AND('Data Source'!B150&lt;&gt;"",'Data Source'!S150="F"),IF('Data Source'!AE150&gt;=5,"A+",IF('Data Source'!AE150&gt;=4,"A",IF('Data Source'!AE150&gt;=3.5,"A-",IF('Data Source'!AE150&gt;=3,"B",IF('Data Source'!AE150&gt;=2,"C",IF('Data Source'!AE150&gt;=1,"D","F")))))),"")</f>
        <v/>
      </c>
      <c r="N150" s="3">
        <f>IF(AND('Data Source'!B150&lt;&gt;"",'Data Source'!S150="F"),IF('Data Source'!AF150&gt;=5,"A+",IF('Data Source'!AF150&gt;=4,"A",IF('Data Source'!AF150&gt;=3.5,"A-",IF('Data Source'!AF150&gt;=3,"B",IF('Data Source'!AF150&gt;=2,"C",IF('Data Source'!AF150&gt;=1,"D","F")))))),"")</f>
        <v/>
      </c>
      <c r="O150" s="3">
        <f>IF(AND('Data Source'!B150&lt;&gt;"",'Data Source'!S150="F"),IF('Data Source'!AG150&gt;=5,"A+",IF('Data Source'!AG150&gt;=4,"A",IF('Data Source'!AG150&gt;=3.5,"A-",IF('Data Source'!AG150&gt;=3,"B",IF('Data Source'!AG150&gt;=2,"C",IF('Data Source'!AG150&gt;=1,"D","F")))))),"")</f>
        <v/>
      </c>
      <c r="P150" s="5">
        <f>IF(AND('Data Source'!B150&lt;&gt;"",'Data Source'!S150="F"),'Data Source'!R150,"")</f>
        <v/>
      </c>
      <c r="Q150" s="3">
        <f>IF(AND('Data Source'!B150&lt;&gt;"",'Data Source'!S150="F"),'Data Source'!S150,"")</f>
        <v/>
      </c>
    </row>
    <row r="151">
      <c r="A151" s="3">
        <f>IF(AND('Data Source'!B151&lt;&gt;"",'Data Source'!S151="F"),COUNTIF('Data Source'!$S$3:S151,"F"),"")</f>
        <v/>
      </c>
      <c r="B151">
        <f>IF(AND('Data Source'!B151&lt;&gt;"",'Data Source'!S151="F"),'Data Source'!B151,"")</f>
        <v/>
      </c>
      <c r="C151" s="3">
        <f>IF(AND('Data Source'!B151&lt;&gt;"",'Data Source'!S151="F"),IF('Data Source'!U151&gt;=5,"A+",IF('Data Source'!U151&gt;=4,"A",IF('Data Source'!U151&gt;=3.5,"A-",IF('Data Source'!U151&gt;=3,"B",IF('Data Source'!U151&gt;=2,"C",IF('Data Source'!U151&gt;=1,"D","F")))))),"")</f>
        <v/>
      </c>
      <c r="D151" s="3">
        <f>IF(AND('Data Source'!B151&lt;&gt;"",'Data Source'!S151="F"),IF('Data Source'!V151&gt;=5,"A+",IF('Data Source'!V151&gt;=4,"A",IF('Data Source'!V151&gt;=3.5,"A-",IF('Data Source'!V151&gt;=3,"B",IF('Data Source'!V151&gt;=2,"C",IF('Data Source'!V151&gt;=1,"D","F")))))),"")</f>
        <v/>
      </c>
      <c r="E151" s="3">
        <f>IF(AND('Data Source'!B151&lt;&gt;"",'Data Source'!S151="F"),IF('Data Source'!W151&gt;=5,"A+",IF('Data Source'!W151&gt;=4,"A",IF('Data Source'!W151&gt;=3.5,"A-",IF('Data Source'!W151&gt;=3,"B",IF('Data Source'!W151&gt;=2,"C",IF('Data Source'!W151&gt;=1,"D","F")))))),"")</f>
        <v/>
      </c>
      <c r="F151" s="3">
        <f>IF(AND('Data Source'!B151&lt;&gt;"",'Data Source'!S151="F"),IF('Data Source'!X151&gt;=5,"A+",IF('Data Source'!X151&gt;=4,"A",IF('Data Source'!X151&gt;=3.5,"A-",IF('Data Source'!X151&gt;=3,"B",IF('Data Source'!X151&gt;=2,"C",IF('Data Source'!X151&gt;=1,"D","F")))))),"")</f>
        <v/>
      </c>
      <c r="G151" s="3">
        <f>IF(AND('Data Source'!B151&lt;&gt;"",'Data Source'!S151="F"),IF('Data Source'!Y151&gt;=5,"A+",IF('Data Source'!Y151&gt;=4,"A",IF('Data Source'!Y151&gt;=3.5,"A-",IF('Data Source'!Y151&gt;=3,"B",IF('Data Source'!Y151&gt;=2,"C",IF('Data Source'!Y151&gt;=1,"D","F")))))),"")</f>
        <v/>
      </c>
      <c r="H151" s="3">
        <f>IF(AND('Data Source'!B151&lt;&gt;"",'Data Source'!S151="F"),IF('Data Source'!Z151&gt;=5,"A+",IF('Data Source'!Z151&gt;=4,"A",IF('Data Source'!Z151&gt;=3.5,"A-",IF('Data Source'!Z151&gt;=3,"B",IF('Data Source'!Z151&gt;=2,"C",IF('Data Source'!Z151&gt;=1,"D","F")))))),"")</f>
        <v/>
      </c>
      <c r="I151" s="3">
        <f>IF(AND('Data Source'!B151&lt;&gt;"",'Data Source'!S151="F"),IF('Data Source'!AA151&gt;=5,"A+",IF('Data Source'!AA151&gt;=4,"A",IF('Data Source'!AA151&gt;=3.5,"A-",IF('Data Source'!AA151&gt;=3,"B",IF('Data Source'!AA151&gt;=2,"C",IF('Data Source'!AA151&gt;=1,"D","F")))))),"")</f>
        <v/>
      </c>
      <c r="J151" s="3">
        <f>IF(AND('Data Source'!B151&lt;&gt;"",'Data Source'!S151="F"),IF('Data Source'!AB151&gt;=5,"A+",IF('Data Source'!AB151&gt;=4,"A",IF('Data Source'!AB151&gt;=3.5,"A-",IF('Data Source'!AB151&gt;=3,"B",IF('Data Source'!AB151&gt;=2,"C",IF('Data Source'!AB151&gt;=1,"D","F")))))),"")</f>
        <v/>
      </c>
      <c r="K151" s="3">
        <f>IF(AND('Data Source'!B151&lt;&gt;"",'Data Source'!S151="F"),IF('Data Source'!AC151&gt;=5,"A+",IF('Data Source'!AC151&gt;=4,"A",IF('Data Source'!AC151&gt;=3.5,"A-",IF('Data Source'!AC151&gt;=3,"B",IF('Data Source'!AC151&gt;=2,"C",IF('Data Source'!AC151&gt;=1,"D","F")))))),"")</f>
        <v/>
      </c>
      <c r="L151" s="3">
        <f>IF(AND('Data Source'!B151&lt;&gt;"",'Data Source'!S151="F"),IF('Data Source'!AD151&gt;=5,"A+",IF('Data Source'!AD151&gt;=4,"A",IF('Data Source'!AD151&gt;=3.5,"A-",IF('Data Source'!AD151&gt;=3,"B",IF('Data Source'!AD151&gt;=2,"C",IF('Data Source'!AD151&gt;=1,"D","F")))))),"")</f>
        <v/>
      </c>
      <c r="M151" s="3">
        <f>IF(AND('Data Source'!B151&lt;&gt;"",'Data Source'!S151="F"),IF('Data Source'!AE151&gt;=5,"A+",IF('Data Source'!AE151&gt;=4,"A",IF('Data Source'!AE151&gt;=3.5,"A-",IF('Data Source'!AE151&gt;=3,"B",IF('Data Source'!AE151&gt;=2,"C",IF('Data Source'!AE151&gt;=1,"D","F")))))),"")</f>
        <v/>
      </c>
      <c r="N151" s="3">
        <f>IF(AND('Data Source'!B151&lt;&gt;"",'Data Source'!S151="F"),IF('Data Source'!AF151&gt;=5,"A+",IF('Data Source'!AF151&gt;=4,"A",IF('Data Source'!AF151&gt;=3.5,"A-",IF('Data Source'!AF151&gt;=3,"B",IF('Data Source'!AF151&gt;=2,"C",IF('Data Source'!AF151&gt;=1,"D","F")))))),"")</f>
        <v/>
      </c>
      <c r="O151" s="3">
        <f>IF(AND('Data Source'!B151&lt;&gt;"",'Data Source'!S151="F"),IF('Data Source'!AG151&gt;=5,"A+",IF('Data Source'!AG151&gt;=4,"A",IF('Data Source'!AG151&gt;=3.5,"A-",IF('Data Source'!AG151&gt;=3,"B",IF('Data Source'!AG151&gt;=2,"C",IF('Data Source'!AG151&gt;=1,"D","F")))))),"")</f>
        <v/>
      </c>
      <c r="P151" s="5">
        <f>IF(AND('Data Source'!B151&lt;&gt;"",'Data Source'!S151="F"),'Data Source'!R151,"")</f>
        <v/>
      </c>
      <c r="Q151" s="3">
        <f>IF(AND('Data Source'!B151&lt;&gt;"",'Data Source'!S151="F"),'Data Source'!S151,"")</f>
        <v/>
      </c>
    </row>
    <row r="152">
      <c r="A152" s="3">
        <f>IF(AND('Data Source'!B152&lt;&gt;"",'Data Source'!S152="F"),COUNTIF('Data Source'!$S$3:S152,"F"),"")</f>
        <v/>
      </c>
      <c r="B152">
        <f>IF(AND('Data Source'!B152&lt;&gt;"",'Data Source'!S152="F"),'Data Source'!B152,"")</f>
        <v/>
      </c>
      <c r="C152" s="3">
        <f>IF(AND('Data Source'!B152&lt;&gt;"",'Data Source'!S152="F"),IF('Data Source'!U152&gt;=5,"A+",IF('Data Source'!U152&gt;=4,"A",IF('Data Source'!U152&gt;=3.5,"A-",IF('Data Source'!U152&gt;=3,"B",IF('Data Source'!U152&gt;=2,"C",IF('Data Source'!U152&gt;=1,"D","F")))))),"")</f>
        <v/>
      </c>
      <c r="D152" s="3">
        <f>IF(AND('Data Source'!B152&lt;&gt;"",'Data Source'!S152="F"),IF('Data Source'!V152&gt;=5,"A+",IF('Data Source'!V152&gt;=4,"A",IF('Data Source'!V152&gt;=3.5,"A-",IF('Data Source'!V152&gt;=3,"B",IF('Data Source'!V152&gt;=2,"C",IF('Data Source'!V152&gt;=1,"D","F")))))),"")</f>
        <v/>
      </c>
      <c r="E152" s="3">
        <f>IF(AND('Data Source'!B152&lt;&gt;"",'Data Source'!S152="F"),IF('Data Source'!W152&gt;=5,"A+",IF('Data Source'!W152&gt;=4,"A",IF('Data Source'!W152&gt;=3.5,"A-",IF('Data Source'!W152&gt;=3,"B",IF('Data Source'!W152&gt;=2,"C",IF('Data Source'!W152&gt;=1,"D","F")))))),"")</f>
        <v/>
      </c>
      <c r="F152" s="3">
        <f>IF(AND('Data Source'!B152&lt;&gt;"",'Data Source'!S152="F"),IF('Data Source'!X152&gt;=5,"A+",IF('Data Source'!X152&gt;=4,"A",IF('Data Source'!X152&gt;=3.5,"A-",IF('Data Source'!X152&gt;=3,"B",IF('Data Source'!X152&gt;=2,"C",IF('Data Source'!X152&gt;=1,"D","F")))))),"")</f>
        <v/>
      </c>
      <c r="G152" s="3">
        <f>IF(AND('Data Source'!B152&lt;&gt;"",'Data Source'!S152="F"),IF('Data Source'!Y152&gt;=5,"A+",IF('Data Source'!Y152&gt;=4,"A",IF('Data Source'!Y152&gt;=3.5,"A-",IF('Data Source'!Y152&gt;=3,"B",IF('Data Source'!Y152&gt;=2,"C",IF('Data Source'!Y152&gt;=1,"D","F")))))),"")</f>
        <v/>
      </c>
      <c r="H152" s="3">
        <f>IF(AND('Data Source'!B152&lt;&gt;"",'Data Source'!S152="F"),IF('Data Source'!Z152&gt;=5,"A+",IF('Data Source'!Z152&gt;=4,"A",IF('Data Source'!Z152&gt;=3.5,"A-",IF('Data Source'!Z152&gt;=3,"B",IF('Data Source'!Z152&gt;=2,"C",IF('Data Source'!Z152&gt;=1,"D","F")))))),"")</f>
        <v/>
      </c>
      <c r="I152" s="3">
        <f>IF(AND('Data Source'!B152&lt;&gt;"",'Data Source'!S152="F"),IF('Data Source'!AA152&gt;=5,"A+",IF('Data Source'!AA152&gt;=4,"A",IF('Data Source'!AA152&gt;=3.5,"A-",IF('Data Source'!AA152&gt;=3,"B",IF('Data Source'!AA152&gt;=2,"C",IF('Data Source'!AA152&gt;=1,"D","F")))))),"")</f>
        <v/>
      </c>
      <c r="J152" s="3">
        <f>IF(AND('Data Source'!B152&lt;&gt;"",'Data Source'!S152="F"),IF('Data Source'!AB152&gt;=5,"A+",IF('Data Source'!AB152&gt;=4,"A",IF('Data Source'!AB152&gt;=3.5,"A-",IF('Data Source'!AB152&gt;=3,"B",IF('Data Source'!AB152&gt;=2,"C",IF('Data Source'!AB152&gt;=1,"D","F")))))),"")</f>
        <v/>
      </c>
      <c r="K152" s="3">
        <f>IF(AND('Data Source'!B152&lt;&gt;"",'Data Source'!S152="F"),IF('Data Source'!AC152&gt;=5,"A+",IF('Data Source'!AC152&gt;=4,"A",IF('Data Source'!AC152&gt;=3.5,"A-",IF('Data Source'!AC152&gt;=3,"B",IF('Data Source'!AC152&gt;=2,"C",IF('Data Source'!AC152&gt;=1,"D","F")))))),"")</f>
        <v/>
      </c>
      <c r="L152" s="3">
        <f>IF(AND('Data Source'!B152&lt;&gt;"",'Data Source'!S152="F"),IF('Data Source'!AD152&gt;=5,"A+",IF('Data Source'!AD152&gt;=4,"A",IF('Data Source'!AD152&gt;=3.5,"A-",IF('Data Source'!AD152&gt;=3,"B",IF('Data Source'!AD152&gt;=2,"C",IF('Data Source'!AD152&gt;=1,"D","F")))))),"")</f>
        <v/>
      </c>
      <c r="M152" s="3">
        <f>IF(AND('Data Source'!B152&lt;&gt;"",'Data Source'!S152="F"),IF('Data Source'!AE152&gt;=5,"A+",IF('Data Source'!AE152&gt;=4,"A",IF('Data Source'!AE152&gt;=3.5,"A-",IF('Data Source'!AE152&gt;=3,"B",IF('Data Source'!AE152&gt;=2,"C",IF('Data Source'!AE152&gt;=1,"D","F")))))),"")</f>
        <v/>
      </c>
      <c r="N152" s="3">
        <f>IF(AND('Data Source'!B152&lt;&gt;"",'Data Source'!S152="F"),IF('Data Source'!AF152&gt;=5,"A+",IF('Data Source'!AF152&gt;=4,"A",IF('Data Source'!AF152&gt;=3.5,"A-",IF('Data Source'!AF152&gt;=3,"B",IF('Data Source'!AF152&gt;=2,"C",IF('Data Source'!AF152&gt;=1,"D","F")))))),"")</f>
        <v/>
      </c>
      <c r="O152" s="3">
        <f>IF(AND('Data Source'!B152&lt;&gt;"",'Data Source'!S152="F"),IF('Data Source'!AG152&gt;=5,"A+",IF('Data Source'!AG152&gt;=4,"A",IF('Data Source'!AG152&gt;=3.5,"A-",IF('Data Source'!AG152&gt;=3,"B",IF('Data Source'!AG152&gt;=2,"C",IF('Data Source'!AG152&gt;=1,"D","F")))))),"")</f>
        <v/>
      </c>
      <c r="P152" s="5">
        <f>IF(AND('Data Source'!B152&lt;&gt;"",'Data Source'!S152="F"),'Data Source'!R152,"")</f>
        <v/>
      </c>
      <c r="Q152" s="3">
        <f>IF(AND('Data Source'!B152&lt;&gt;"",'Data Source'!S152="F"),'Data Source'!S152,"")</f>
        <v/>
      </c>
    </row>
    <row r="153">
      <c r="A153" s="3">
        <f>IF(AND('Data Source'!B153&lt;&gt;"",'Data Source'!S153="F"),COUNTIF('Data Source'!$S$3:S153,"F"),"")</f>
        <v/>
      </c>
      <c r="B153">
        <f>IF(AND('Data Source'!B153&lt;&gt;"",'Data Source'!S153="F"),'Data Source'!B153,"")</f>
        <v/>
      </c>
      <c r="C153" s="3">
        <f>IF(AND('Data Source'!B153&lt;&gt;"",'Data Source'!S153="F"),IF('Data Source'!U153&gt;=5,"A+",IF('Data Source'!U153&gt;=4,"A",IF('Data Source'!U153&gt;=3.5,"A-",IF('Data Source'!U153&gt;=3,"B",IF('Data Source'!U153&gt;=2,"C",IF('Data Source'!U153&gt;=1,"D","F")))))),"")</f>
        <v/>
      </c>
      <c r="D153" s="3">
        <f>IF(AND('Data Source'!B153&lt;&gt;"",'Data Source'!S153="F"),IF('Data Source'!V153&gt;=5,"A+",IF('Data Source'!V153&gt;=4,"A",IF('Data Source'!V153&gt;=3.5,"A-",IF('Data Source'!V153&gt;=3,"B",IF('Data Source'!V153&gt;=2,"C",IF('Data Source'!V153&gt;=1,"D","F")))))),"")</f>
        <v/>
      </c>
      <c r="E153" s="3">
        <f>IF(AND('Data Source'!B153&lt;&gt;"",'Data Source'!S153="F"),IF('Data Source'!W153&gt;=5,"A+",IF('Data Source'!W153&gt;=4,"A",IF('Data Source'!W153&gt;=3.5,"A-",IF('Data Source'!W153&gt;=3,"B",IF('Data Source'!W153&gt;=2,"C",IF('Data Source'!W153&gt;=1,"D","F")))))),"")</f>
        <v/>
      </c>
      <c r="F153" s="3">
        <f>IF(AND('Data Source'!B153&lt;&gt;"",'Data Source'!S153="F"),IF('Data Source'!X153&gt;=5,"A+",IF('Data Source'!X153&gt;=4,"A",IF('Data Source'!X153&gt;=3.5,"A-",IF('Data Source'!X153&gt;=3,"B",IF('Data Source'!X153&gt;=2,"C",IF('Data Source'!X153&gt;=1,"D","F")))))),"")</f>
        <v/>
      </c>
      <c r="G153" s="3">
        <f>IF(AND('Data Source'!B153&lt;&gt;"",'Data Source'!S153="F"),IF('Data Source'!Y153&gt;=5,"A+",IF('Data Source'!Y153&gt;=4,"A",IF('Data Source'!Y153&gt;=3.5,"A-",IF('Data Source'!Y153&gt;=3,"B",IF('Data Source'!Y153&gt;=2,"C",IF('Data Source'!Y153&gt;=1,"D","F")))))),"")</f>
        <v/>
      </c>
      <c r="H153" s="3">
        <f>IF(AND('Data Source'!B153&lt;&gt;"",'Data Source'!S153="F"),IF('Data Source'!Z153&gt;=5,"A+",IF('Data Source'!Z153&gt;=4,"A",IF('Data Source'!Z153&gt;=3.5,"A-",IF('Data Source'!Z153&gt;=3,"B",IF('Data Source'!Z153&gt;=2,"C",IF('Data Source'!Z153&gt;=1,"D","F")))))),"")</f>
        <v/>
      </c>
      <c r="I153" s="3">
        <f>IF(AND('Data Source'!B153&lt;&gt;"",'Data Source'!S153="F"),IF('Data Source'!AA153&gt;=5,"A+",IF('Data Source'!AA153&gt;=4,"A",IF('Data Source'!AA153&gt;=3.5,"A-",IF('Data Source'!AA153&gt;=3,"B",IF('Data Source'!AA153&gt;=2,"C",IF('Data Source'!AA153&gt;=1,"D","F")))))),"")</f>
        <v/>
      </c>
      <c r="J153" s="3">
        <f>IF(AND('Data Source'!B153&lt;&gt;"",'Data Source'!S153="F"),IF('Data Source'!AB153&gt;=5,"A+",IF('Data Source'!AB153&gt;=4,"A",IF('Data Source'!AB153&gt;=3.5,"A-",IF('Data Source'!AB153&gt;=3,"B",IF('Data Source'!AB153&gt;=2,"C",IF('Data Source'!AB153&gt;=1,"D","F")))))),"")</f>
        <v/>
      </c>
      <c r="K153" s="3">
        <f>IF(AND('Data Source'!B153&lt;&gt;"",'Data Source'!S153="F"),IF('Data Source'!AC153&gt;=5,"A+",IF('Data Source'!AC153&gt;=4,"A",IF('Data Source'!AC153&gt;=3.5,"A-",IF('Data Source'!AC153&gt;=3,"B",IF('Data Source'!AC153&gt;=2,"C",IF('Data Source'!AC153&gt;=1,"D","F")))))),"")</f>
        <v/>
      </c>
      <c r="L153" s="3">
        <f>IF(AND('Data Source'!B153&lt;&gt;"",'Data Source'!S153="F"),IF('Data Source'!AD153&gt;=5,"A+",IF('Data Source'!AD153&gt;=4,"A",IF('Data Source'!AD153&gt;=3.5,"A-",IF('Data Source'!AD153&gt;=3,"B",IF('Data Source'!AD153&gt;=2,"C",IF('Data Source'!AD153&gt;=1,"D","F")))))),"")</f>
        <v/>
      </c>
      <c r="M153" s="3">
        <f>IF(AND('Data Source'!B153&lt;&gt;"",'Data Source'!S153="F"),IF('Data Source'!AE153&gt;=5,"A+",IF('Data Source'!AE153&gt;=4,"A",IF('Data Source'!AE153&gt;=3.5,"A-",IF('Data Source'!AE153&gt;=3,"B",IF('Data Source'!AE153&gt;=2,"C",IF('Data Source'!AE153&gt;=1,"D","F")))))),"")</f>
        <v/>
      </c>
      <c r="N153" s="3">
        <f>IF(AND('Data Source'!B153&lt;&gt;"",'Data Source'!S153="F"),IF('Data Source'!AF153&gt;=5,"A+",IF('Data Source'!AF153&gt;=4,"A",IF('Data Source'!AF153&gt;=3.5,"A-",IF('Data Source'!AF153&gt;=3,"B",IF('Data Source'!AF153&gt;=2,"C",IF('Data Source'!AF153&gt;=1,"D","F")))))),"")</f>
        <v/>
      </c>
      <c r="O153" s="3">
        <f>IF(AND('Data Source'!B153&lt;&gt;"",'Data Source'!S153="F"),IF('Data Source'!AG153&gt;=5,"A+",IF('Data Source'!AG153&gt;=4,"A",IF('Data Source'!AG153&gt;=3.5,"A-",IF('Data Source'!AG153&gt;=3,"B",IF('Data Source'!AG153&gt;=2,"C",IF('Data Source'!AG153&gt;=1,"D","F")))))),"")</f>
        <v/>
      </c>
      <c r="P153" s="5">
        <f>IF(AND('Data Source'!B153&lt;&gt;"",'Data Source'!S153="F"),'Data Source'!R153,"")</f>
        <v/>
      </c>
      <c r="Q153" s="3">
        <f>IF(AND('Data Source'!B153&lt;&gt;"",'Data Source'!S153="F"),'Data Source'!S153,"")</f>
        <v/>
      </c>
    </row>
    <row r="154">
      <c r="A154" s="3">
        <f>IF(AND('Data Source'!B154&lt;&gt;"",'Data Source'!S154="F"),COUNTIF('Data Source'!$S$3:S154,"F"),"")</f>
        <v/>
      </c>
      <c r="B154">
        <f>IF(AND('Data Source'!B154&lt;&gt;"",'Data Source'!S154="F"),'Data Source'!B154,"")</f>
        <v/>
      </c>
      <c r="C154" s="3">
        <f>IF(AND('Data Source'!B154&lt;&gt;"",'Data Source'!S154="F"),IF('Data Source'!U154&gt;=5,"A+",IF('Data Source'!U154&gt;=4,"A",IF('Data Source'!U154&gt;=3.5,"A-",IF('Data Source'!U154&gt;=3,"B",IF('Data Source'!U154&gt;=2,"C",IF('Data Source'!U154&gt;=1,"D","F")))))),"")</f>
        <v/>
      </c>
      <c r="D154" s="3">
        <f>IF(AND('Data Source'!B154&lt;&gt;"",'Data Source'!S154="F"),IF('Data Source'!V154&gt;=5,"A+",IF('Data Source'!V154&gt;=4,"A",IF('Data Source'!V154&gt;=3.5,"A-",IF('Data Source'!V154&gt;=3,"B",IF('Data Source'!V154&gt;=2,"C",IF('Data Source'!V154&gt;=1,"D","F")))))),"")</f>
        <v/>
      </c>
      <c r="E154" s="3">
        <f>IF(AND('Data Source'!B154&lt;&gt;"",'Data Source'!S154="F"),IF('Data Source'!W154&gt;=5,"A+",IF('Data Source'!W154&gt;=4,"A",IF('Data Source'!W154&gt;=3.5,"A-",IF('Data Source'!W154&gt;=3,"B",IF('Data Source'!W154&gt;=2,"C",IF('Data Source'!W154&gt;=1,"D","F")))))),"")</f>
        <v/>
      </c>
      <c r="F154" s="3">
        <f>IF(AND('Data Source'!B154&lt;&gt;"",'Data Source'!S154="F"),IF('Data Source'!X154&gt;=5,"A+",IF('Data Source'!X154&gt;=4,"A",IF('Data Source'!X154&gt;=3.5,"A-",IF('Data Source'!X154&gt;=3,"B",IF('Data Source'!X154&gt;=2,"C",IF('Data Source'!X154&gt;=1,"D","F")))))),"")</f>
        <v/>
      </c>
      <c r="G154" s="3">
        <f>IF(AND('Data Source'!B154&lt;&gt;"",'Data Source'!S154="F"),IF('Data Source'!Y154&gt;=5,"A+",IF('Data Source'!Y154&gt;=4,"A",IF('Data Source'!Y154&gt;=3.5,"A-",IF('Data Source'!Y154&gt;=3,"B",IF('Data Source'!Y154&gt;=2,"C",IF('Data Source'!Y154&gt;=1,"D","F")))))),"")</f>
        <v/>
      </c>
      <c r="H154" s="3">
        <f>IF(AND('Data Source'!B154&lt;&gt;"",'Data Source'!S154="F"),IF('Data Source'!Z154&gt;=5,"A+",IF('Data Source'!Z154&gt;=4,"A",IF('Data Source'!Z154&gt;=3.5,"A-",IF('Data Source'!Z154&gt;=3,"B",IF('Data Source'!Z154&gt;=2,"C",IF('Data Source'!Z154&gt;=1,"D","F")))))),"")</f>
        <v/>
      </c>
      <c r="I154" s="3">
        <f>IF(AND('Data Source'!B154&lt;&gt;"",'Data Source'!S154="F"),IF('Data Source'!AA154&gt;=5,"A+",IF('Data Source'!AA154&gt;=4,"A",IF('Data Source'!AA154&gt;=3.5,"A-",IF('Data Source'!AA154&gt;=3,"B",IF('Data Source'!AA154&gt;=2,"C",IF('Data Source'!AA154&gt;=1,"D","F")))))),"")</f>
        <v/>
      </c>
      <c r="J154" s="3">
        <f>IF(AND('Data Source'!B154&lt;&gt;"",'Data Source'!S154="F"),IF('Data Source'!AB154&gt;=5,"A+",IF('Data Source'!AB154&gt;=4,"A",IF('Data Source'!AB154&gt;=3.5,"A-",IF('Data Source'!AB154&gt;=3,"B",IF('Data Source'!AB154&gt;=2,"C",IF('Data Source'!AB154&gt;=1,"D","F")))))),"")</f>
        <v/>
      </c>
      <c r="K154" s="3">
        <f>IF(AND('Data Source'!B154&lt;&gt;"",'Data Source'!S154="F"),IF('Data Source'!AC154&gt;=5,"A+",IF('Data Source'!AC154&gt;=4,"A",IF('Data Source'!AC154&gt;=3.5,"A-",IF('Data Source'!AC154&gt;=3,"B",IF('Data Source'!AC154&gt;=2,"C",IF('Data Source'!AC154&gt;=1,"D","F")))))),"")</f>
        <v/>
      </c>
      <c r="L154" s="3">
        <f>IF(AND('Data Source'!B154&lt;&gt;"",'Data Source'!S154="F"),IF('Data Source'!AD154&gt;=5,"A+",IF('Data Source'!AD154&gt;=4,"A",IF('Data Source'!AD154&gt;=3.5,"A-",IF('Data Source'!AD154&gt;=3,"B",IF('Data Source'!AD154&gt;=2,"C",IF('Data Source'!AD154&gt;=1,"D","F")))))),"")</f>
        <v/>
      </c>
      <c r="M154" s="3">
        <f>IF(AND('Data Source'!B154&lt;&gt;"",'Data Source'!S154="F"),IF('Data Source'!AE154&gt;=5,"A+",IF('Data Source'!AE154&gt;=4,"A",IF('Data Source'!AE154&gt;=3.5,"A-",IF('Data Source'!AE154&gt;=3,"B",IF('Data Source'!AE154&gt;=2,"C",IF('Data Source'!AE154&gt;=1,"D","F")))))),"")</f>
        <v/>
      </c>
      <c r="N154" s="3">
        <f>IF(AND('Data Source'!B154&lt;&gt;"",'Data Source'!S154="F"),IF('Data Source'!AF154&gt;=5,"A+",IF('Data Source'!AF154&gt;=4,"A",IF('Data Source'!AF154&gt;=3.5,"A-",IF('Data Source'!AF154&gt;=3,"B",IF('Data Source'!AF154&gt;=2,"C",IF('Data Source'!AF154&gt;=1,"D","F")))))),"")</f>
        <v/>
      </c>
      <c r="O154" s="3">
        <f>IF(AND('Data Source'!B154&lt;&gt;"",'Data Source'!S154="F"),IF('Data Source'!AG154&gt;=5,"A+",IF('Data Source'!AG154&gt;=4,"A",IF('Data Source'!AG154&gt;=3.5,"A-",IF('Data Source'!AG154&gt;=3,"B",IF('Data Source'!AG154&gt;=2,"C",IF('Data Source'!AG154&gt;=1,"D","F")))))),"")</f>
        <v/>
      </c>
      <c r="P154" s="5">
        <f>IF(AND('Data Source'!B154&lt;&gt;"",'Data Source'!S154="F"),'Data Source'!R154,"")</f>
        <v/>
      </c>
      <c r="Q154" s="3">
        <f>IF(AND('Data Source'!B154&lt;&gt;"",'Data Source'!S154="F"),'Data Source'!S154,"")</f>
        <v/>
      </c>
    </row>
    <row r="155">
      <c r="A155" s="3">
        <f>IF(AND('Data Source'!B155&lt;&gt;"",'Data Source'!S155="F"),COUNTIF('Data Source'!$S$3:S155,"F"),"")</f>
        <v/>
      </c>
      <c r="B155">
        <f>IF(AND('Data Source'!B155&lt;&gt;"",'Data Source'!S155="F"),'Data Source'!B155,"")</f>
        <v/>
      </c>
      <c r="C155" s="3">
        <f>IF(AND('Data Source'!B155&lt;&gt;"",'Data Source'!S155="F"),IF('Data Source'!U155&gt;=5,"A+",IF('Data Source'!U155&gt;=4,"A",IF('Data Source'!U155&gt;=3.5,"A-",IF('Data Source'!U155&gt;=3,"B",IF('Data Source'!U155&gt;=2,"C",IF('Data Source'!U155&gt;=1,"D","F")))))),"")</f>
        <v/>
      </c>
      <c r="D155" s="3">
        <f>IF(AND('Data Source'!B155&lt;&gt;"",'Data Source'!S155="F"),IF('Data Source'!V155&gt;=5,"A+",IF('Data Source'!V155&gt;=4,"A",IF('Data Source'!V155&gt;=3.5,"A-",IF('Data Source'!V155&gt;=3,"B",IF('Data Source'!V155&gt;=2,"C",IF('Data Source'!V155&gt;=1,"D","F")))))),"")</f>
        <v/>
      </c>
      <c r="E155" s="3">
        <f>IF(AND('Data Source'!B155&lt;&gt;"",'Data Source'!S155="F"),IF('Data Source'!W155&gt;=5,"A+",IF('Data Source'!W155&gt;=4,"A",IF('Data Source'!W155&gt;=3.5,"A-",IF('Data Source'!W155&gt;=3,"B",IF('Data Source'!W155&gt;=2,"C",IF('Data Source'!W155&gt;=1,"D","F")))))),"")</f>
        <v/>
      </c>
      <c r="F155" s="3">
        <f>IF(AND('Data Source'!B155&lt;&gt;"",'Data Source'!S155="F"),IF('Data Source'!X155&gt;=5,"A+",IF('Data Source'!X155&gt;=4,"A",IF('Data Source'!X155&gt;=3.5,"A-",IF('Data Source'!X155&gt;=3,"B",IF('Data Source'!X155&gt;=2,"C",IF('Data Source'!X155&gt;=1,"D","F")))))),"")</f>
        <v/>
      </c>
      <c r="G155" s="3">
        <f>IF(AND('Data Source'!B155&lt;&gt;"",'Data Source'!S155="F"),IF('Data Source'!Y155&gt;=5,"A+",IF('Data Source'!Y155&gt;=4,"A",IF('Data Source'!Y155&gt;=3.5,"A-",IF('Data Source'!Y155&gt;=3,"B",IF('Data Source'!Y155&gt;=2,"C",IF('Data Source'!Y155&gt;=1,"D","F")))))),"")</f>
        <v/>
      </c>
      <c r="H155" s="3">
        <f>IF(AND('Data Source'!B155&lt;&gt;"",'Data Source'!S155="F"),IF('Data Source'!Z155&gt;=5,"A+",IF('Data Source'!Z155&gt;=4,"A",IF('Data Source'!Z155&gt;=3.5,"A-",IF('Data Source'!Z155&gt;=3,"B",IF('Data Source'!Z155&gt;=2,"C",IF('Data Source'!Z155&gt;=1,"D","F")))))),"")</f>
        <v/>
      </c>
      <c r="I155" s="3">
        <f>IF(AND('Data Source'!B155&lt;&gt;"",'Data Source'!S155="F"),IF('Data Source'!AA155&gt;=5,"A+",IF('Data Source'!AA155&gt;=4,"A",IF('Data Source'!AA155&gt;=3.5,"A-",IF('Data Source'!AA155&gt;=3,"B",IF('Data Source'!AA155&gt;=2,"C",IF('Data Source'!AA155&gt;=1,"D","F")))))),"")</f>
        <v/>
      </c>
      <c r="J155" s="3">
        <f>IF(AND('Data Source'!B155&lt;&gt;"",'Data Source'!S155="F"),IF('Data Source'!AB155&gt;=5,"A+",IF('Data Source'!AB155&gt;=4,"A",IF('Data Source'!AB155&gt;=3.5,"A-",IF('Data Source'!AB155&gt;=3,"B",IF('Data Source'!AB155&gt;=2,"C",IF('Data Source'!AB155&gt;=1,"D","F")))))),"")</f>
        <v/>
      </c>
      <c r="K155" s="3">
        <f>IF(AND('Data Source'!B155&lt;&gt;"",'Data Source'!S155="F"),IF('Data Source'!AC155&gt;=5,"A+",IF('Data Source'!AC155&gt;=4,"A",IF('Data Source'!AC155&gt;=3.5,"A-",IF('Data Source'!AC155&gt;=3,"B",IF('Data Source'!AC155&gt;=2,"C",IF('Data Source'!AC155&gt;=1,"D","F")))))),"")</f>
        <v/>
      </c>
      <c r="L155" s="3">
        <f>IF(AND('Data Source'!B155&lt;&gt;"",'Data Source'!S155="F"),IF('Data Source'!AD155&gt;=5,"A+",IF('Data Source'!AD155&gt;=4,"A",IF('Data Source'!AD155&gt;=3.5,"A-",IF('Data Source'!AD155&gt;=3,"B",IF('Data Source'!AD155&gt;=2,"C",IF('Data Source'!AD155&gt;=1,"D","F")))))),"")</f>
        <v/>
      </c>
      <c r="M155" s="3">
        <f>IF(AND('Data Source'!B155&lt;&gt;"",'Data Source'!S155="F"),IF('Data Source'!AE155&gt;=5,"A+",IF('Data Source'!AE155&gt;=4,"A",IF('Data Source'!AE155&gt;=3.5,"A-",IF('Data Source'!AE155&gt;=3,"B",IF('Data Source'!AE155&gt;=2,"C",IF('Data Source'!AE155&gt;=1,"D","F")))))),"")</f>
        <v/>
      </c>
      <c r="N155" s="3">
        <f>IF(AND('Data Source'!B155&lt;&gt;"",'Data Source'!S155="F"),IF('Data Source'!AF155&gt;=5,"A+",IF('Data Source'!AF155&gt;=4,"A",IF('Data Source'!AF155&gt;=3.5,"A-",IF('Data Source'!AF155&gt;=3,"B",IF('Data Source'!AF155&gt;=2,"C",IF('Data Source'!AF155&gt;=1,"D","F")))))),"")</f>
        <v/>
      </c>
      <c r="O155" s="3">
        <f>IF(AND('Data Source'!B155&lt;&gt;"",'Data Source'!S155="F"),IF('Data Source'!AG155&gt;=5,"A+",IF('Data Source'!AG155&gt;=4,"A",IF('Data Source'!AG155&gt;=3.5,"A-",IF('Data Source'!AG155&gt;=3,"B",IF('Data Source'!AG155&gt;=2,"C",IF('Data Source'!AG155&gt;=1,"D","F")))))),"")</f>
        <v/>
      </c>
      <c r="P155" s="5">
        <f>IF(AND('Data Source'!B155&lt;&gt;"",'Data Source'!S155="F"),'Data Source'!R155,"")</f>
        <v/>
      </c>
      <c r="Q155" s="3">
        <f>IF(AND('Data Source'!B155&lt;&gt;"",'Data Source'!S155="F"),'Data Source'!S155,"")</f>
        <v/>
      </c>
    </row>
    <row r="156">
      <c r="A156" s="3">
        <f>IF(AND('Data Source'!B156&lt;&gt;"",'Data Source'!S156="F"),COUNTIF('Data Source'!$S$3:S156,"F"),"")</f>
        <v/>
      </c>
      <c r="B156">
        <f>IF(AND('Data Source'!B156&lt;&gt;"",'Data Source'!S156="F"),'Data Source'!B156,"")</f>
        <v/>
      </c>
      <c r="C156" s="3">
        <f>IF(AND('Data Source'!B156&lt;&gt;"",'Data Source'!S156="F"),IF('Data Source'!U156&gt;=5,"A+",IF('Data Source'!U156&gt;=4,"A",IF('Data Source'!U156&gt;=3.5,"A-",IF('Data Source'!U156&gt;=3,"B",IF('Data Source'!U156&gt;=2,"C",IF('Data Source'!U156&gt;=1,"D","F")))))),"")</f>
        <v/>
      </c>
      <c r="D156" s="3">
        <f>IF(AND('Data Source'!B156&lt;&gt;"",'Data Source'!S156="F"),IF('Data Source'!V156&gt;=5,"A+",IF('Data Source'!V156&gt;=4,"A",IF('Data Source'!V156&gt;=3.5,"A-",IF('Data Source'!V156&gt;=3,"B",IF('Data Source'!V156&gt;=2,"C",IF('Data Source'!V156&gt;=1,"D","F")))))),"")</f>
        <v/>
      </c>
      <c r="E156" s="3">
        <f>IF(AND('Data Source'!B156&lt;&gt;"",'Data Source'!S156="F"),IF('Data Source'!W156&gt;=5,"A+",IF('Data Source'!W156&gt;=4,"A",IF('Data Source'!W156&gt;=3.5,"A-",IF('Data Source'!W156&gt;=3,"B",IF('Data Source'!W156&gt;=2,"C",IF('Data Source'!W156&gt;=1,"D","F")))))),"")</f>
        <v/>
      </c>
      <c r="F156" s="3">
        <f>IF(AND('Data Source'!B156&lt;&gt;"",'Data Source'!S156="F"),IF('Data Source'!X156&gt;=5,"A+",IF('Data Source'!X156&gt;=4,"A",IF('Data Source'!X156&gt;=3.5,"A-",IF('Data Source'!X156&gt;=3,"B",IF('Data Source'!X156&gt;=2,"C",IF('Data Source'!X156&gt;=1,"D","F")))))),"")</f>
        <v/>
      </c>
      <c r="G156" s="3">
        <f>IF(AND('Data Source'!B156&lt;&gt;"",'Data Source'!S156="F"),IF('Data Source'!Y156&gt;=5,"A+",IF('Data Source'!Y156&gt;=4,"A",IF('Data Source'!Y156&gt;=3.5,"A-",IF('Data Source'!Y156&gt;=3,"B",IF('Data Source'!Y156&gt;=2,"C",IF('Data Source'!Y156&gt;=1,"D","F")))))),"")</f>
        <v/>
      </c>
      <c r="H156" s="3">
        <f>IF(AND('Data Source'!B156&lt;&gt;"",'Data Source'!S156="F"),IF('Data Source'!Z156&gt;=5,"A+",IF('Data Source'!Z156&gt;=4,"A",IF('Data Source'!Z156&gt;=3.5,"A-",IF('Data Source'!Z156&gt;=3,"B",IF('Data Source'!Z156&gt;=2,"C",IF('Data Source'!Z156&gt;=1,"D","F")))))),"")</f>
        <v/>
      </c>
      <c r="I156" s="3">
        <f>IF(AND('Data Source'!B156&lt;&gt;"",'Data Source'!S156="F"),IF('Data Source'!AA156&gt;=5,"A+",IF('Data Source'!AA156&gt;=4,"A",IF('Data Source'!AA156&gt;=3.5,"A-",IF('Data Source'!AA156&gt;=3,"B",IF('Data Source'!AA156&gt;=2,"C",IF('Data Source'!AA156&gt;=1,"D","F")))))),"")</f>
        <v/>
      </c>
      <c r="J156" s="3">
        <f>IF(AND('Data Source'!B156&lt;&gt;"",'Data Source'!S156="F"),IF('Data Source'!AB156&gt;=5,"A+",IF('Data Source'!AB156&gt;=4,"A",IF('Data Source'!AB156&gt;=3.5,"A-",IF('Data Source'!AB156&gt;=3,"B",IF('Data Source'!AB156&gt;=2,"C",IF('Data Source'!AB156&gt;=1,"D","F")))))),"")</f>
        <v/>
      </c>
      <c r="K156" s="3">
        <f>IF(AND('Data Source'!B156&lt;&gt;"",'Data Source'!S156="F"),IF('Data Source'!AC156&gt;=5,"A+",IF('Data Source'!AC156&gt;=4,"A",IF('Data Source'!AC156&gt;=3.5,"A-",IF('Data Source'!AC156&gt;=3,"B",IF('Data Source'!AC156&gt;=2,"C",IF('Data Source'!AC156&gt;=1,"D","F")))))),"")</f>
        <v/>
      </c>
      <c r="L156" s="3">
        <f>IF(AND('Data Source'!B156&lt;&gt;"",'Data Source'!S156="F"),IF('Data Source'!AD156&gt;=5,"A+",IF('Data Source'!AD156&gt;=4,"A",IF('Data Source'!AD156&gt;=3.5,"A-",IF('Data Source'!AD156&gt;=3,"B",IF('Data Source'!AD156&gt;=2,"C",IF('Data Source'!AD156&gt;=1,"D","F")))))),"")</f>
        <v/>
      </c>
      <c r="M156" s="3">
        <f>IF(AND('Data Source'!B156&lt;&gt;"",'Data Source'!S156="F"),IF('Data Source'!AE156&gt;=5,"A+",IF('Data Source'!AE156&gt;=4,"A",IF('Data Source'!AE156&gt;=3.5,"A-",IF('Data Source'!AE156&gt;=3,"B",IF('Data Source'!AE156&gt;=2,"C",IF('Data Source'!AE156&gt;=1,"D","F")))))),"")</f>
        <v/>
      </c>
      <c r="N156" s="3">
        <f>IF(AND('Data Source'!B156&lt;&gt;"",'Data Source'!S156="F"),IF('Data Source'!AF156&gt;=5,"A+",IF('Data Source'!AF156&gt;=4,"A",IF('Data Source'!AF156&gt;=3.5,"A-",IF('Data Source'!AF156&gt;=3,"B",IF('Data Source'!AF156&gt;=2,"C",IF('Data Source'!AF156&gt;=1,"D","F")))))),"")</f>
        <v/>
      </c>
      <c r="O156" s="3">
        <f>IF(AND('Data Source'!B156&lt;&gt;"",'Data Source'!S156="F"),IF('Data Source'!AG156&gt;=5,"A+",IF('Data Source'!AG156&gt;=4,"A",IF('Data Source'!AG156&gt;=3.5,"A-",IF('Data Source'!AG156&gt;=3,"B",IF('Data Source'!AG156&gt;=2,"C",IF('Data Source'!AG156&gt;=1,"D","F")))))),"")</f>
        <v/>
      </c>
      <c r="P156" s="5">
        <f>IF(AND('Data Source'!B156&lt;&gt;"",'Data Source'!S156="F"),'Data Source'!R156,"")</f>
        <v/>
      </c>
      <c r="Q156" s="3">
        <f>IF(AND('Data Source'!B156&lt;&gt;"",'Data Source'!S156="F"),'Data Source'!S156,"")</f>
        <v/>
      </c>
    </row>
    <row r="157">
      <c r="A157" s="3">
        <f>IF(AND('Data Source'!B157&lt;&gt;"",'Data Source'!S157="F"),COUNTIF('Data Source'!$S$3:S157,"F"),"")</f>
        <v/>
      </c>
      <c r="B157">
        <f>IF(AND('Data Source'!B157&lt;&gt;"",'Data Source'!S157="F"),'Data Source'!B157,"")</f>
        <v/>
      </c>
      <c r="C157" s="3">
        <f>IF(AND('Data Source'!B157&lt;&gt;"",'Data Source'!S157="F"),IF('Data Source'!U157&gt;=5,"A+",IF('Data Source'!U157&gt;=4,"A",IF('Data Source'!U157&gt;=3.5,"A-",IF('Data Source'!U157&gt;=3,"B",IF('Data Source'!U157&gt;=2,"C",IF('Data Source'!U157&gt;=1,"D","F")))))),"")</f>
        <v/>
      </c>
      <c r="D157" s="3">
        <f>IF(AND('Data Source'!B157&lt;&gt;"",'Data Source'!S157="F"),IF('Data Source'!V157&gt;=5,"A+",IF('Data Source'!V157&gt;=4,"A",IF('Data Source'!V157&gt;=3.5,"A-",IF('Data Source'!V157&gt;=3,"B",IF('Data Source'!V157&gt;=2,"C",IF('Data Source'!V157&gt;=1,"D","F")))))),"")</f>
        <v/>
      </c>
      <c r="E157" s="3">
        <f>IF(AND('Data Source'!B157&lt;&gt;"",'Data Source'!S157="F"),IF('Data Source'!W157&gt;=5,"A+",IF('Data Source'!W157&gt;=4,"A",IF('Data Source'!W157&gt;=3.5,"A-",IF('Data Source'!W157&gt;=3,"B",IF('Data Source'!W157&gt;=2,"C",IF('Data Source'!W157&gt;=1,"D","F")))))),"")</f>
        <v/>
      </c>
      <c r="F157" s="3">
        <f>IF(AND('Data Source'!B157&lt;&gt;"",'Data Source'!S157="F"),IF('Data Source'!X157&gt;=5,"A+",IF('Data Source'!X157&gt;=4,"A",IF('Data Source'!X157&gt;=3.5,"A-",IF('Data Source'!X157&gt;=3,"B",IF('Data Source'!X157&gt;=2,"C",IF('Data Source'!X157&gt;=1,"D","F")))))),"")</f>
        <v/>
      </c>
      <c r="G157" s="3">
        <f>IF(AND('Data Source'!B157&lt;&gt;"",'Data Source'!S157="F"),IF('Data Source'!Y157&gt;=5,"A+",IF('Data Source'!Y157&gt;=4,"A",IF('Data Source'!Y157&gt;=3.5,"A-",IF('Data Source'!Y157&gt;=3,"B",IF('Data Source'!Y157&gt;=2,"C",IF('Data Source'!Y157&gt;=1,"D","F")))))),"")</f>
        <v/>
      </c>
      <c r="H157" s="3">
        <f>IF(AND('Data Source'!B157&lt;&gt;"",'Data Source'!S157="F"),IF('Data Source'!Z157&gt;=5,"A+",IF('Data Source'!Z157&gt;=4,"A",IF('Data Source'!Z157&gt;=3.5,"A-",IF('Data Source'!Z157&gt;=3,"B",IF('Data Source'!Z157&gt;=2,"C",IF('Data Source'!Z157&gt;=1,"D","F")))))),"")</f>
        <v/>
      </c>
      <c r="I157" s="3">
        <f>IF(AND('Data Source'!B157&lt;&gt;"",'Data Source'!S157="F"),IF('Data Source'!AA157&gt;=5,"A+",IF('Data Source'!AA157&gt;=4,"A",IF('Data Source'!AA157&gt;=3.5,"A-",IF('Data Source'!AA157&gt;=3,"B",IF('Data Source'!AA157&gt;=2,"C",IF('Data Source'!AA157&gt;=1,"D","F")))))),"")</f>
        <v/>
      </c>
      <c r="J157" s="3">
        <f>IF(AND('Data Source'!B157&lt;&gt;"",'Data Source'!S157="F"),IF('Data Source'!AB157&gt;=5,"A+",IF('Data Source'!AB157&gt;=4,"A",IF('Data Source'!AB157&gt;=3.5,"A-",IF('Data Source'!AB157&gt;=3,"B",IF('Data Source'!AB157&gt;=2,"C",IF('Data Source'!AB157&gt;=1,"D","F")))))),"")</f>
        <v/>
      </c>
      <c r="K157" s="3">
        <f>IF(AND('Data Source'!B157&lt;&gt;"",'Data Source'!S157="F"),IF('Data Source'!AC157&gt;=5,"A+",IF('Data Source'!AC157&gt;=4,"A",IF('Data Source'!AC157&gt;=3.5,"A-",IF('Data Source'!AC157&gt;=3,"B",IF('Data Source'!AC157&gt;=2,"C",IF('Data Source'!AC157&gt;=1,"D","F")))))),"")</f>
        <v/>
      </c>
      <c r="L157" s="3">
        <f>IF(AND('Data Source'!B157&lt;&gt;"",'Data Source'!S157="F"),IF('Data Source'!AD157&gt;=5,"A+",IF('Data Source'!AD157&gt;=4,"A",IF('Data Source'!AD157&gt;=3.5,"A-",IF('Data Source'!AD157&gt;=3,"B",IF('Data Source'!AD157&gt;=2,"C",IF('Data Source'!AD157&gt;=1,"D","F")))))),"")</f>
        <v/>
      </c>
      <c r="M157" s="3">
        <f>IF(AND('Data Source'!B157&lt;&gt;"",'Data Source'!S157="F"),IF('Data Source'!AE157&gt;=5,"A+",IF('Data Source'!AE157&gt;=4,"A",IF('Data Source'!AE157&gt;=3.5,"A-",IF('Data Source'!AE157&gt;=3,"B",IF('Data Source'!AE157&gt;=2,"C",IF('Data Source'!AE157&gt;=1,"D","F")))))),"")</f>
        <v/>
      </c>
      <c r="N157" s="3">
        <f>IF(AND('Data Source'!B157&lt;&gt;"",'Data Source'!S157="F"),IF('Data Source'!AF157&gt;=5,"A+",IF('Data Source'!AF157&gt;=4,"A",IF('Data Source'!AF157&gt;=3.5,"A-",IF('Data Source'!AF157&gt;=3,"B",IF('Data Source'!AF157&gt;=2,"C",IF('Data Source'!AF157&gt;=1,"D","F")))))),"")</f>
        <v/>
      </c>
      <c r="O157" s="3">
        <f>IF(AND('Data Source'!B157&lt;&gt;"",'Data Source'!S157="F"),IF('Data Source'!AG157&gt;=5,"A+",IF('Data Source'!AG157&gt;=4,"A",IF('Data Source'!AG157&gt;=3.5,"A-",IF('Data Source'!AG157&gt;=3,"B",IF('Data Source'!AG157&gt;=2,"C",IF('Data Source'!AG157&gt;=1,"D","F")))))),"")</f>
        <v/>
      </c>
      <c r="P157" s="5">
        <f>IF(AND('Data Source'!B157&lt;&gt;"",'Data Source'!S157="F"),'Data Source'!R157,"")</f>
        <v/>
      </c>
      <c r="Q157" s="3">
        <f>IF(AND('Data Source'!B157&lt;&gt;"",'Data Source'!S157="F"),'Data Source'!S157,"")</f>
        <v/>
      </c>
    </row>
    <row r="158">
      <c r="A158" s="3">
        <f>IF(AND('Data Source'!B158&lt;&gt;"",'Data Source'!S158="F"),COUNTIF('Data Source'!$S$3:S158,"F"),"")</f>
        <v/>
      </c>
      <c r="B158">
        <f>IF(AND('Data Source'!B158&lt;&gt;"",'Data Source'!S158="F"),'Data Source'!B158,"")</f>
        <v/>
      </c>
      <c r="C158" s="3">
        <f>IF(AND('Data Source'!B158&lt;&gt;"",'Data Source'!S158="F"),IF('Data Source'!U158&gt;=5,"A+",IF('Data Source'!U158&gt;=4,"A",IF('Data Source'!U158&gt;=3.5,"A-",IF('Data Source'!U158&gt;=3,"B",IF('Data Source'!U158&gt;=2,"C",IF('Data Source'!U158&gt;=1,"D","F")))))),"")</f>
        <v/>
      </c>
      <c r="D158" s="3">
        <f>IF(AND('Data Source'!B158&lt;&gt;"",'Data Source'!S158="F"),IF('Data Source'!V158&gt;=5,"A+",IF('Data Source'!V158&gt;=4,"A",IF('Data Source'!V158&gt;=3.5,"A-",IF('Data Source'!V158&gt;=3,"B",IF('Data Source'!V158&gt;=2,"C",IF('Data Source'!V158&gt;=1,"D","F")))))),"")</f>
        <v/>
      </c>
      <c r="E158" s="3">
        <f>IF(AND('Data Source'!B158&lt;&gt;"",'Data Source'!S158="F"),IF('Data Source'!W158&gt;=5,"A+",IF('Data Source'!W158&gt;=4,"A",IF('Data Source'!W158&gt;=3.5,"A-",IF('Data Source'!W158&gt;=3,"B",IF('Data Source'!W158&gt;=2,"C",IF('Data Source'!W158&gt;=1,"D","F")))))),"")</f>
        <v/>
      </c>
      <c r="F158" s="3">
        <f>IF(AND('Data Source'!B158&lt;&gt;"",'Data Source'!S158="F"),IF('Data Source'!X158&gt;=5,"A+",IF('Data Source'!X158&gt;=4,"A",IF('Data Source'!X158&gt;=3.5,"A-",IF('Data Source'!X158&gt;=3,"B",IF('Data Source'!X158&gt;=2,"C",IF('Data Source'!X158&gt;=1,"D","F")))))),"")</f>
        <v/>
      </c>
      <c r="G158" s="3">
        <f>IF(AND('Data Source'!B158&lt;&gt;"",'Data Source'!S158="F"),IF('Data Source'!Y158&gt;=5,"A+",IF('Data Source'!Y158&gt;=4,"A",IF('Data Source'!Y158&gt;=3.5,"A-",IF('Data Source'!Y158&gt;=3,"B",IF('Data Source'!Y158&gt;=2,"C",IF('Data Source'!Y158&gt;=1,"D","F")))))),"")</f>
        <v/>
      </c>
      <c r="H158" s="3">
        <f>IF(AND('Data Source'!B158&lt;&gt;"",'Data Source'!S158="F"),IF('Data Source'!Z158&gt;=5,"A+",IF('Data Source'!Z158&gt;=4,"A",IF('Data Source'!Z158&gt;=3.5,"A-",IF('Data Source'!Z158&gt;=3,"B",IF('Data Source'!Z158&gt;=2,"C",IF('Data Source'!Z158&gt;=1,"D","F")))))),"")</f>
        <v/>
      </c>
      <c r="I158" s="3">
        <f>IF(AND('Data Source'!B158&lt;&gt;"",'Data Source'!S158="F"),IF('Data Source'!AA158&gt;=5,"A+",IF('Data Source'!AA158&gt;=4,"A",IF('Data Source'!AA158&gt;=3.5,"A-",IF('Data Source'!AA158&gt;=3,"B",IF('Data Source'!AA158&gt;=2,"C",IF('Data Source'!AA158&gt;=1,"D","F")))))),"")</f>
        <v/>
      </c>
      <c r="J158" s="3">
        <f>IF(AND('Data Source'!B158&lt;&gt;"",'Data Source'!S158="F"),IF('Data Source'!AB158&gt;=5,"A+",IF('Data Source'!AB158&gt;=4,"A",IF('Data Source'!AB158&gt;=3.5,"A-",IF('Data Source'!AB158&gt;=3,"B",IF('Data Source'!AB158&gt;=2,"C",IF('Data Source'!AB158&gt;=1,"D","F")))))),"")</f>
        <v/>
      </c>
      <c r="K158" s="3">
        <f>IF(AND('Data Source'!B158&lt;&gt;"",'Data Source'!S158="F"),IF('Data Source'!AC158&gt;=5,"A+",IF('Data Source'!AC158&gt;=4,"A",IF('Data Source'!AC158&gt;=3.5,"A-",IF('Data Source'!AC158&gt;=3,"B",IF('Data Source'!AC158&gt;=2,"C",IF('Data Source'!AC158&gt;=1,"D","F")))))),"")</f>
        <v/>
      </c>
      <c r="L158" s="3">
        <f>IF(AND('Data Source'!B158&lt;&gt;"",'Data Source'!S158="F"),IF('Data Source'!AD158&gt;=5,"A+",IF('Data Source'!AD158&gt;=4,"A",IF('Data Source'!AD158&gt;=3.5,"A-",IF('Data Source'!AD158&gt;=3,"B",IF('Data Source'!AD158&gt;=2,"C",IF('Data Source'!AD158&gt;=1,"D","F")))))),"")</f>
        <v/>
      </c>
      <c r="M158" s="3">
        <f>IF(AND('Data Source'!B158&lt;&gt;"",'Data Source'!S158="F"),IF('Data Source'!AE158&gt;=5,"A+",IF('Data Source'!AE158&gt;=4,"A",IF('Data Source'!AE158&gt;=3.5,"A-",IF('Data Source'!AE158&gt;=3,"B",IF('Data Source'!AE158&gt;=2,"C",IF('Data Source'!AE158&gt;=1,"D","F")))))),"")</f>
        <v/>
      </c>
      <c r="N158" s="3">
        <f>IF(AND('Data Source'!B158&lt;&gt;"",'Data Source'!S158="F"),IF('Data Source'!AF158&gt;=5,"A+",IF('Data Source'!AF158&gt;=4,"A",IF('Data Source'!AF158&gt;=3.5,"A-",IF('Data Source'!AF158&gt;=3,"B",IF('Data Source'!AF158&gt;=2,"C",IF('Data Source'!AF158&gt;=1,"D","F")))))),"")</f>
        <v/>
      </c>
      <c r="O158" s="3">
        <f>IF(AND('Data Source'!B158&lt;&gt;"",'Data Source'!S158="F"),IF('Data Source'!AG158&gt;=5,"A+",IF('Data Source'!AG158&gt;=4,"A",IF('Data Source'!AG158&gt;=3.5,"A-",IF('Data Source'!AG158&gt;=3,"B",IF('Data Source'!AG158&gt;=2,"C",IF('Data Source'!AG158&gt;=1,"D","F")))))),"")</f>
        <v/>
      </c>
      <c r="P158" s="5">
        <f>IF(AND('Data Source'!B158&lt;&gt;"",'Data Source'!S158="F"),'Data Source'!R158,"")</f>
        <v/>
      </c>
      <c r="Q158" s="3">
        <f>IF(AND('Data Source'!B158&lt;&gt;"",'Data Source'!S158="F"),'Data Source'!S158,"")</f>
        <v/>
      </c>
    </row>
    <row r="159">
      <c r="A159" s="3">
        <f>IF(AND('Data Source'!B159&lt;&gt;"",'Data Source'!S159="F"),COUNTIF('Data Source'!$S$3:S159,"F"),"")</f>
        <v/>
      </c>
      <c r="B159">
        <f>IF(AND('Data Source'!B159&lt;&gt;"",'Data Source'!S159="F"),'Data Source'!B159,"")</f>
        <v/>
      </c>
      <c r="C159" s="3">
        <f>IF(AND('Data Source'!B159&lt;&gt;"",'Data Source'!S159="F"),IF('Data Source'!U159&gt;=5,"A+",IF('Data Source'!U159&gt;=4,"A",IF('Data Source'!U159&gt;=3.5,"A-",IF('Data Source'!U159&gt;=3,"B",IF('Data Source'!U159&gt;=2,"C",IF('Data Source'!U159&gt;=1,"D","F")))))),"")</f>
        <v/>
      </c>
      <c r="D159" s="3">
        <f>IF(AND('Data Source'!B159&lt;&gt;"",'Data Source'!S159="F"),IF('Data Source'!V159&gt;=5,"A+",IF('Data Source'!V159&gt;=4,"A",IF('Data Source'!V159&gt;=3.5,"A-",IF('Data Source'!V159&gt;=3,"B",IF('Data Source'!V159&gt;=2,"C",IF('Data Source'!V159&gt;=1,"D","F")))))),"")</f>
        <v/>
      </c>
      <c r="E159" s="3">
        <f>IF(AND('Data Source'!B159&lt;&gt;"",'Data Source'!S159="F"),IF('Data Source'!W159&gt;=5,"A+",IF('Data Source'!W159&gt;=4,"A",IF('Data Source'!W159&gt;=3.5,"A-",IF('Data Source'!W159&gt;=3,"B",IF('Data Source'!W159&gt;=2,"C",IF('Data Source'!W159&gt;=1,"D","F")))))),"")</f>
        <v/>
      </c>
      <c r="F159" s="3">
        <f>IF(AND('Data Source'!B159&lt;&gt;"",'Data Source'!S159="F"),IF('Data Source'!X159&gt;=5,"A+",IF('Data Source'!X159&gt;=4,"A",IF('Data Source'!X159&gt;=3.5,"A-",IF('Data Source'!X159&gt;=3,"B",IF('Data Source'!X159&gt;=2,"C",IF('Data Source'!X159&gt;=1,"D","F")))))),"")</f>
        <v/>
      </c>
      <c r="G159" s="3">
        <f>IF(AND('Data Source'!B159&lt;&gt;"",'Data Source'!S159="F"),IF('Data Source'!Y159&gt;=5,"A+",IF('Data Source'!Y159&gt;=4,"A",IF('Data Source'!Y159&gt;=3.5,"A-",IF('Data Source'!Y159&gt;=3,"B",IF('Data Source'!Y159&gt;=2,"C",IF('Data Source'!Y159&gt;=1,"D","F")))))),"")</f>
        <v/>
      </c>
      <c r="H159" s="3">
        <f>IF(AND('Data Source'!B159&lt;&gt;"",'Data Source'!S159="F"),IF('Data Source'!Z159&gt;=5,"A+",IF('Data Source'!Z159&gt;=4,"A",IF('Data Source'!Z159&gt;=3.5,"A-",IF('Data Source'!Z159&gt;=3,"B",IF('Data Source'!Z159&gt;=2,"C",IF('Data Source'!Z159&gt;=1,"D","F")))))),"")</f>
        <v/>
      </c>
      <c r="I159" s="3">
        <f>IF(AND('Data Source'!B159&lt;&gt;"",'Data Source'!S159="F"),IF('Data Source'!AA159&gt;=5,"A+",IF('Data Source'!AA159&gt;=4,"A",IF('Data Source'!AA159&gt;=3.5,"A-",IF('Data Source'!AA159&gt;=3,"B",IF('Data Source'!AA159&gt;=2,"C",IF('Data Source'!AA159&gt;=1,"D","F")))))),"")</f>
        <v/>
      </c>
      <c r="J159" s="3">
        <f>IF(AND('Data Source'!B159&lt;&gt;"",'Data Source'!S159="F"),IF('Data Source'!AB159&gt;=5,"A+",IF('Data Source'!AB159&gt;=4,"A",IF('Data Source'!AB159&gt;=3.5,"A-",IF('Data Source'!AB159&gt;=3,"B",IF('Data Source'!AB159&gt;=2,"C",IF('Data Source'!AB159&gt;=1,"D","F")))))),"")</f>
        <v/>
      </c>
      <c r="K159" s="3">
        <f>IF(AND('Data Source'!B159&lt;&gt;"",'Data Source'!S159="F"),IF('Data Source'!AC159&gt;=5,"A+",IF('Data Source'!AC159&gt;=4,"A",IF('Data Source'!AC159&gt;=3.5,"A-",IF('Data Source'!AC159&gt;=3,"B",IF('Data Source'!AC159&gt;=2,"C",IF('Data Source'!AC159&gt;=1,"D","F")))))),"")</f>
        <v/>
      </c>
      <c r="L159" s="3">
        <f>IF(AND('Data Source'!B159&lt;&gt;"",'Data Source'!S159="F"),IF('Data Source'!AD159&gt;=5,"A+",IF('Data Source'!AD159&gt;=4,"A",IF('Data Source'!AD159&gt;=3.5,"A-",IF('Data Source'!AD159&gt;=3,"B",IF('Data Source'!AD159&gt;=2,"C",IF('Data Source'!AD159&gt;=1,"D","F")))))),"")</f>
        <v/>
      </c>
      <c r="M159" s="3">
        <f>IF(AND('Data Source'!B159&lt;&gt;"",'Data Source'!S159="F"),IF('Data Source'!AE159&gt;=5,"A+",IF('Data Source'!AE159&gt;=4,"A",IF('Data Source'!AE159&gt;=3.5,"A-",IF('Data Source'!AE159&gt;=3,"B",IF('Data Source'!AE159&gt;=2,"C",IF('Data Source'!AE159&gt;=1,"D","F")))))),"")</f>
        <v/>
      </c>
      <c r="N159" s="3">
        <f>IF(AND('Data Source'!B159&lt;&gt;"",'Data Source'!S159="F"),IF('Data Source'!AF159&gt;=5,"A+",IF('Data Source'!AF159&gt;=4,"A",IF('Data Source'!AF159&gt;=3.5,"A-",IF('Data Source'!AF159&gt;=3,"B",IF('Data Source'!AF159&gt;=2,"C",IF('Data Source'!AF159&gt;=1,"D","F")))))),"")</f>
        <v/>
      </c>
      <c r="O159" s="3">
        <f>IF(AND('Data Source'!B159&lt;&gt;"",'Data Source'!S159="F"),IF('Data Source'!AG159&gt;=5,"A+",IF('Data Source'!AG159&gt;=4,"A",IF('Data Source'!AG159&gt;=3.5,"A-",IF('Data Source'!AG159&gt;=3,"B",IF('Data Source'!AG159&gt;=2,"C",IF('Data Source'!AG159&gt;=1,"D","F")))))),"")</f>
        <v/>
      </c>
      <c r="P159" s="5">
        <f>IF(AND('Data Source'!B159&lt;&gt;"",'Data Source'!S159="F"),'Data Source'!R159,"")</f>
        <v/>
      </c>
      <c r="Q159" s="3">
        <f>IF(AND('Data Source'!B159&lt;&gt;"",'Data Source'!S159="F"),'Data Source'!S159,"")</f>
        <v/>
      </c>
    </row>
    <row r="160">
      <c r="A160" s="3">
        <f>IF(AND('Data Source'!B160&lt;&gt;"",'Data Source'!S160="F"),COUNTIF('Data Source'!$S$3:S160,"F"),"")</f>
        <v/>
      </c>
      <c r="B160">
        <f>IF(AND('Data Source'!B160&lt;&gt;"",'Data Source'!S160="F"),'Data Source'!B160,"")</f>
        <v/>
      </c>
      <c r="C160" s="3">
        <f>IF(AND('Data Source'!B160&lt;&gt;"",'Data Source'!S160="F"),IF('Data Source'!U160&gt;=5,"A+",IF('Data Source'!U160&gt;=4,"A",IF('Data Source'!U160&gt;=3.5,"A-",IF('Data Source'!U160&gt;=3,"B",IF('Data Source'!U160&gt;=2,"C",IF('Data Source'!U160&gt;=1,"D","F")))))),"")</f>
        <v/>
      </c>
      <c r="D160" s="3">
        <f>IF(AND('Data Source'!B160&lt;&gt;"",'Data Source'!S160="F"),IF('Data Source'!V160&gt;=5,"A+",IF('Data Source'!V160&gt;=4,"A",IF('Data Source'!V160&gt;=3.5,"A-",IF('Data Source'!V160&gt;=3,"B",IF('Data Source'!V160&gt;=2,"C",IF('Data Source'!V160&gt;=1,"D","F")))))),"")</f>
        <v/>
      </c>
      <c r="E160" s="3">
        <f>IF(AND('Data Source'!B160&lt;&gt;"",'Data Source'!S160="F"),IF('Data Source'!W160&gt;=5,"A+",IF('Data Source'!W160&gt;=4,"A",IF('Data Source'!W160&gt;=3.5,"A-",IF('Data Source'!W160&gt;=3,"B",IF('Data Source'!W160&gt;=2,"C",IF('Data Source'!W160&gt;=1,"D","F")))))),"")</f>
        <v/>
      </c>
      <c r="F160" s="3">
        <f>IF(AND('Data Source'!B160&lt;&gt;"",'Data Source'!S160="F"),IF('Data Source'!X160&gt;=5,"A+",IF('Data Source'!X160&gt;=4,"A",IF('Data Source'!X160&gt;=3.5,"A-",IF('Data Source'!X160&gt;=3,"B",IF('Data Source'!X160&gt;=2,"C",IF('Data Source'!X160&gt;=1,"D","F")))))),"")</f>
        <v/>
      </c>
      <c r="G160" s="3">
        <f>IF(AND('Data Source'!B160&lt;&gt;"",'Data Source'!S160="F"),IF('Data Source'!Y160&gt;=5,"A+",IF('Data Source'!Y160&gt;=4,"A",IF('Data Source'!Y160&gt;=3.5,"A-",IF('Data Source'!Y160&gt;=3,"B",IF('Data Source'!Y160&gt;=2,"C",IF('Data Source'!Y160&gt;=1,"D","F")))))),"")</f>
        <v/>
      </c>
      <c r="H160" s="3">
        <f>IF(AND('Data Source'!B160&lt;&gt;"",'Data Source'!S160="F"),IF('Data Source'!Z160&gt;=5,"A+",IF('Data Source'!Z160&gt;=4,"A",IF('Data Source'!Z160&gt;=3.5,"A-",IF('Data Source'!Z160&gt;=3,"B",IF('Data Source'!Z160&gt;=2,"C",IF('Data Source'!Z160&gt;=1,"D","F")))))),"")</f>
        <v/>
      </c>
      <c r="I160" s="3">
        <f>IF(AND('Data Source'!B160&lt;&gt;"",'Data Source'!S160="F"),IF('Data Source'!AA160&gt;=5,"A+",IF('Data Source'!AA160&gt;=4,"A",IF('Data Source'!AA160&gt;=3.5,"A-",IF('Data Source'!AA160&gt;=3,"B",IF('Data Source'!AA160&gt;=2,"C",IF('Data Source'!AA160&gt;=1,"D","F")))))),"")</f>
        <v/>
      </c>
      <c r="J160" s="3">
        <f>IF(AND('Data Source'!B160&lt;&gt;"",'Data Source'!S160="F"),IF('Data Source'!AB160&gt;=5,"A+",IF('Data Source'!AB160&gt;=4,"A",IF('Data Source'!AB160&gt;=3.5,"A-",IF('Data Source'!AB160&gt;=3,"B",IF('Data Source'!AB160&gt;=2,"C",IF('Data Source'!AB160&gt;=1,"D","F")))))),"")</f>
        <v/>
      </c>
      <c r="K160" s="3">
        <f>IF(AND('Data Source'!B160&lt;&gt;"",'Data Source'!S160="F"),IF('Data Source'!AC160&gt;=5,"A+",IF('Data Source'!AC160&gt;=4,"A",IF('Data Source'!AC160&gt;=3.5,"A-",IF('Data Source'!AC160&gt;=3,"B",IF('Data Source'!AC160&gt;=2,"C",IF('Data Source'!AC160&gt;=1,"D","F")))))),"")</f>
        <v/>
      </c>
      <c r="L160" s="3">
        <f>IF(AND('Data Source'!B160&lt;&gt;"",'Data Source'!S160="F"),IF('Data Source'!AD160&gt;=5,"A+",IF('Data Source'!AD160&gt;=4,"A",IF('Data Source'!AD160&gt;=3.5,"A-",IF('Data Source'!AD160&gt;=3,"B",IF('Data Source'!AD160&gt;=2,"C",IF('Data Source'!AD160&gt;=1,"D","F")))))),"")</f>
        <v/>
      </c>
      <c r="M160" s="3">
        <f>IF(AND('Data Source'!B160&lt;&gt;"",'Data Source'!S160="F"),IF('Data Source'!AE160&gt;=5,"A+",IF('Data Source'!AE160&gt;=4,"A",IF('Data Source'!AE160&gt;=3.5,"A-",IF('Data Source'!AE160&gt;=3,"B",IF('Data Source'!AE160&gt;=2,"C",IF('Data Source'!AE160&gt;=1,"D","F")))))),"")</f>
        <v/>
      </c>
      <c r="N160" s="3">
        <f>IF(AND('Data Source'!B160&lt;&gt;"",'Data Source'!S160="F"),IF('Data Source'!AF160&gt;=5,"A+",IF('Data Source'!AF160&gt;=4,"A",IF('Data Source'!AF160&gt;=3.5,"A-",IF('Data Source'!AF160&gt;=3,"B",IF('Data Source'!AF160&gt;=2,"C",IF('Data Source'!AF160&gt;=1,"D","F")))))),"")</f>
        <v/>
      </c>
      <c r="O160" s="3">
        <f>IF(AND('Data Source'!B160&lt;&gt;"",'Data Source'!S160="F"),IF('Data Source'!AG160&gt;=5,"A+",IF('Data Source'!AG160&gt;=4,"A",IF('Data Source'!AG160&gt;=3.5,"A-",IF('Data Source'!AG160&gt;=3,"B",IF('Data Source'!AG160&gt;=2,"C",IF('Data Source'!AG160&gt;=1,"D","F")))))),"")</f>
        <v/>
      </c>
      <c r="P160" s="5">
        <f>IF(AND('Data Source'!B160&lt;&gt;"",'Data Source'!S160="F"),'Data Source'!R160,"")</f>
        <v/>
      </c>
      <c r="Q160" s="3">
        <f>IF(AND('Data Source'!B160&lt;&gt;"",'Data Source'!S160="F"),'Data Source'!S160,"")</f>
        <v/>
      </c>
    </row>
    <row r="161">
      <c r="A161" s="3">
        <f>IF(AND('Data Source'!B161&lt;&gt;"",'Data Source'!S161="F"),COUNTIF('Data Source'!$S$3:S161,"F"),"")</f>
        <v/>
      </c>
      <c r="B161">
        <f>IF(AND('Data Source'!B161&lt;&gt;"",'Data Source'!S161="F"),'Data Source'!B161,"")</f>
        <v/>
      </c>
      <c r="C161" s="3">
        <f>IF(AND('Data Source'!B161&lt;&gt;"",'Data Source'!S161="F"),IF('Data Source'!U161&gt;=5,"A+",IF('Data Source'!U161&gt;=4,"A",IF('Data Source'!U161&gt;=3.5,"A-",IF('Data Source'!U161&gt;=3,"B",IF('Data Source'!U161&gt;=2,"C",IF('Data Source'!U161&gt;=1,"D","F")))))),"")</f>
        <v/>
      </c>
      <c r="D161" s="3">
        <f>IF(AND('Data Source'!B161&lt;&gt;"",'Data Source'!S161="F"),IF('Data Source'!V161&gt;=5,"A+",IF('Data Source'!V161&gt;=4,"A",IF('Data Source'!V161&gt;=3.5,"A-",IF('Data Source'!V161&gt;=3,"B",IF('Data Source'!V161&gt;=2,"C",IF('Data Source'!V161&gt;=1,"D","F")))))),"")</f>
        <v/>
      </c>
      <c r="E161" s="3">
        <f>IF(AND('Data Source'!B161&lt;&gt;"",'Data Source'!S161="F"),IF('Data Source'!W161&gt;=5,"A+",IF('Data Source'!W161&gt;=4,"A",IF('Data Source'!W161&gt;=3.5,"A-",IF('Data Source'!W161&gt;=3,"B",IF('Data Source'!W161&gt;=2,"C",IF('Data Source'!W161&gt;=1,"D","F")))))),"")</f>
        <v/>
      </c>
      <c r="F161" s="3">
        <f>IF(AND('Data Source'!B161&lt;&gt;"",'Data Source'!S161="F"),IF('Data Source'!X161&gt;=5,"A+",IF('Data Source'!X161&gt;=4,"A",IF('Data Source'!X161&gt;=3.5,"A-",IF('Data Source'!X161&gt;=3,"B",IF('Data Source'!X161&gt;=2,"C",IF('Data Source'!X161&gt;=1,"D","F")))))),"")</f>
        <v/>
      </c>
      <c r="G161" s="3">
        <f>IF(AND('Data Source'!B161&lt;&gt;"",'Data Source'!S161="F"),IF('Data Source'!Y161&gt;=5,"A+",IF('Data Source'!Y161&gt;=4,"A",IF('Data Source'!Y161&gt;=3.5,"A-",IF('Data Source'!Y161&gt;=3,"B",IF('Data Source'!Y161&gt;=2,"C",IF('Data Source'!Y161&gt;=1,"D","F")))))),"")</f>
        <v/>
      </c>
      <c r="H161" s="3">
        <f>IF(AND('Data Source'!B161&lt;&gt;"",'Data Source'!S161="F"),IF('Data Source'!Z161&gt;=5,"A+",IF('Data Source'!Z161&gt;=4,"A",IF('Data Source'!Z161&gt;=3.5,"A-",IF('Data Source'!Z161&gt;=3,"B",IF('Data Source'!Z161&gt;=2,"C",IF('Data Source'!Z161&gt;=1,"D","F")))))),"")</f>
        <v/>
      </c>
      <c r="I161" s="3">
        <f>IF(AND('Data Source'!B161&lt;&gt;"",'Data Source'!S161="F"),IF('Data Source'!AA161&gt;=5,"A+",IF('Data Source'!AA161&gt;=4,"A",IF('Data Source'!AA161&gt;=3.5,"A-",IF('Data Source'!AA161&gt;=3,"B",IF('Data Source'!AA161&gt;=2,"C",IF('Data Source'!AA161&gt;=1,"D","F")))))),"")</f>
        <v/>
      </c>
      <c r="J161" s="3">
        <f>IF(AND('Data Source'!B161&lt;&gt;"",'Data Source'!S161="F"),IF('Data Source'!AB161&gt;=5,"A+",IF('Data Source'!AB161&gt;=4,"A",IF('Data Source'!AB161&gt;=3.5,"A-",IF('Data Source'!AB161&gt;=3,"B",IF('Data Source'!AB161&gt;=2,"C",IF('Data Source'!AB161&gt;=1,"D","F")))))),"")</f>
        <v/>
      </c>
      <c r="K161" s="3">
        <f>IF(AND('Data Source'!B161&lt;&gt;"",'Data Source'!S161="F"),IF('Data Source'!AC161&gt;=5,"A+",IF('Data Source'!AC161&gt;=4,"A",IF('Data Source'!AC161&gt;=3.5,"A-",IF('Data Source'!AC161&gt;=3,"B",IF('Data Source'!AC161&gt;=2,"C",IF('Data Source'!AC161&gt;=1,"D","F")))))),"")</f>
        <v/>
      </c>
      <c r="L161" s="3">
        <f>IF(AND('Data Source'!B161&lt;&gt;"",'Data Source'!S161="F"),IF('Data Source'!AD161&gt;=5,"A+",IF('Data Source'!AD161&gt;=4,"A",IF('Data Source'!AD161&gt;=3.5,"A-",IF('Data Source'!AD161&gt;=3,"B",IF('Data Source'!AD161&gt;=2,"C",IF('Data Source'!AD161&gt;=1,"D","F")))))),"")</f>
        <v/>
      </c>
      <c r="M161" s="3">
        <f>IF(AND('Data Source'!B161&lt;&gt;"",'Data Source'!S161="F"),IF('Data Source'!AE161&gt;=5,"A+",IF('Data Source'!AE161&gt;=4,"A",IF('Data Source'!AE161&gt;=3.5,"A-",IF('Data Source'!AE161&gt;=3,"B",IF('Data Source'!AE161&gt;=2,"C",IF('Data Source'!AE161&gt;=1,"D","F")))))),"")</f>
        <v/>
      </c>
      <c r="N161" s="3">
        <f>IF(AND('Data Source'!B161&lt;&gt;"",'Data Source'!S161="F"),IF('Data Source'!AF161&gt;=5,"A+",IF('Data Source'!AF161&gt;=4,"A",IF('Data Source'!AF161&gt;=3.5,"A-",IF('Data Source'!AF161&gt;=3,"B",IF('Data Source'!AF161&gt;=2,"C",IF('Data Source'!AF161&gt;=1,"D","F")))))),"")</f>
        <v/>
      </c>
      <c r="O161" s="3">
        <f>IF(AND('Data Source'!B161&lt;&gt;"",'Data Source'!S161="F"),IF('Data Source'!AG161&gt;=5,"A+",IF('Data Source'!AG161&gt;=4,"A",IF('Data Source'!AG161&gt;=3.5,"A-",IF('Data Source'!AG161&gt;=3,"B",IF('Data Source'!AG161&gt;=2,"C",IF('Data Source'!AG161&gt;=1,"D","F")))))),"")</f>
        <v/>
      </c>
      <c r="P161" s="5">
        <f>IF(AND('Data Source'!B161&lt;&gt;"",'Data Source'!S161="F"),'Data Source'!R161,"")</f>
        <v/>
      </c>
      <c r="Q161" s="3">
        <f>IF(AND('Data Source'!B161&lt;&gt;"",'Data Source'!S161="F"),'Data Source'!S161,"")</f>
        <v/>
      </c>
    </row>
    <row r="162">
      <c r="A162" s="3">
        <f>IF(AND('Data Source'!B162&lt;&gt;"",'Data Source'!S162="F"),COUNTIF('Data Source'!$S$3:S162,"F"),"")</f>
        <v/>
      </c>
      <c r="B162">
        <f>IF(AND('Data Source'!B162&lt;&gt;"",'Data Source'!S162="F"),'Data Source'!B162,"")</f>
        <v/>
      </c>
      <c r="C162" s="3">
        <f>IF(AND('Data Source'!B162&lt;&gt;"",'Data Source'!S162="F"),IF('Data Source'!U162&gt;=5,"A+",IF('Data Source'!U162&gt;=4,"A",IF('Data Source'!U162&gt;=3.5,"A-",IF('Data Source'!U162&gt;=3,"B",IF('Data Source'!U162&gt;=2,"C",IF('Data Source'!U162&gt;=1,"D","F")))))),"")</f>
        <v/>
      </c>
      <c r="D162" s="3">
        <f>IF(AND('Data Source'!B162&lt;&gt;"",'Data Source'!S162="F"),IF('Data Source'!V162&gt;=5,"A+",IF('Data Source'!V162&gt;=4,"A",IF('Data Source'!V162&gt;=3.5,"A-",IF('Data Source'!V162&gt;=3,"B",IF('Data Source'!V162&gt;=2,"C",IF('Data Source'!V162&gt;=1,"D","F")))))),"")</f>
        <v/>
      </c>
      <c r="E162" s="3">
        <f>IF(AND('Data Source'!B162&lt;&gt;"",'Data Source'!S162="F"),IF('Data Source'!W162&gt;=5,"A+",IF('Data Source'!W162&gt;=4,"A",IF('Data Source'!W162&gt;=3.5,"A-",IF('Data Source'!W162&gt;=3,"B",IF('Data Source'!W162&gt;=2,"C",IF('Data Source'!W162&gt;=1,"D","F")))))),"")</f>
        <v/>
      </c>
      <c r="F162" s="3">
        <f>IF(AND('Data Source'!B162&lt;&gt;"",'Data Source'!S162="F"),IF('Data Source'!X162&gt;=5,"A+",IF('Data Source'!X162&gt;=4,"A",IF('Data Source'!X162&gt;=3.5,"A-",IF('Data Source'!X162&gt;=3,"B",IF('Data Source'!X162&gt;=2,"C",IF('Data Source'!X162&gt;=1,"D","F")))))),"")</f>
        <v/>
      </c>
      <c r="G162" s="3">
        <f>IF(AND('Data Source'!B162&lt;&gt;"",'Data Source'!S162="F"),IF('Data Source'!Y162&gt;=5,"A+",IF('Data Source'!Y162&gt;=4,"A",IF('Data Source'!Y162&gt;=3.5,"A-",IF('Data Source'!Y162&gt;=3,"B",IF('Data Source'!Y162&gt;=2,"C",IF('Data Source'!Y162&gt;=1,"D","F")))))),"")</f>
        <v/>
      </c>
      <c r="H162" s="3">
        <f>IF(AND('Data Source'!B162&lt;&gt;"",'Data Source'!S162="F"),IF('Data Source'!Z162&gt;=5,"A+",IF('Data Source'!Z162&gt;=4,"A",IF('Data Source'!Z162&gt;=3.5,"A-",IF('Data Source'!Z162&gt;=3,"B",IF('Data Source'!Z162&gt;=2,"C",IF('Data Source'!Z162&gt;=1,"D","F")))))),"")</f>
        <v/>
      </c>
      <c r="I162" s="3">
        <f>IF(AND('Data Source'!B162&lt;&gt;"",'Data Source'!S162="F"),IF('Data Source'!AA162&gt;=5,"A+",IF('Data Source'!AA162&gt;=4,"A",IF('Data Source'!AA162&gt;=3.5,"A-",IF('Data Source'!AA162&gt;=3,"B",IF('Data Source'!AA162&gt;=2,"C",IF('Data Source'!AA162&gt;=1,"D","F")))))),"")</f>
        <v/>
      </c>
      <c r="J162" s="3">
        <f>IF(AND('Data Source'!B162&lt;&gt;"",'Data Source'!S162="F"),IF('Data Source'!AB162&gt;=5,"A+",IF('Data Source'!AB162&gt;=4,"A",IF('Data Source'!AB162&gt;=3.5,"A-",IF('Data Source'!AB162&gt;=3,"B",IF('Data Source'!AB162&gt;=2,"C",IF('Data Source'!AB162&gt;=1,"D","F")))))),"")</f>
        <v/>
      </c>
      <c r="K162" s="3">
        <f>IF(AND('Data Source'!B162&lt;&gt;"",'Data Source'!S162="F"),IF('Data Source'!AC162&gt;=5,"A+",IF('Data Source'!AC162&gt;=4,"A",IF('Data Source'!AC162&gt;=3.5,"A-",IF('Data Source'!AC162&gt;=3,"B",IF('Data Source'!AC162&gt;=2,"C",IF('Data Source'!AC162&gt;=1,"D","F")))))),"")</f>
        <v/>
      </c>
      <c r="L162" s="3">
        <f>IF(AND('Data Source'!B162&lt;&gt;"",'Data Source'!S162="F"),IF('Data Source'!AD162&gt;=5,"A+",IF('Data Source'!AD162&gt;=4,"A",IF('Data Source'!AD162&gt;=3.5,"A-",IF('Data Source'!AD162&gt;=3,"B",IF('Data Source'!AD162&gt;=2,"C",IF('Data Source'!AD162&gt;=1,"D","F")))))),"")</f>
        <v/>
      </c>
      <c r="M162" s="3">
        <f>IF(AND('Data Source'!B162&lt;&gt;"",'Data Source'!S162="F"),IF('Data Source'!AE162&gt;=5,"A+",IF('Data Source'!AE162&gt;=4,"A",IF('Data Source'!AE162&gt;=3.5,"A-",IF('Data Source'!AE162&gt;=3,"B",IF('Data Source'!AE162&gt;=2,"C",IF('Data Source'!AE162&gt;=1,"D","F")))))),"")</f>
        <v/>
      </c>
      <c r="N162" s="3">
        <f>IF(AND('Data Source'!B162&lt;&gt;"",'Data Source'!S162="F"),IF('Data Source'!AF162&gt;=5,"A+",IF('Data Source'!AF162&gt;=4,"A",IF('Data Source'!AF162&gt;=3.5,"A-",IF('Data Source'!AF162&gt;=3,"B",IF('Data Source'!AF162&gt;=2,"C",IF('Data Source'!AF162&gt;=1,"D","F")))))),"")</f>
        <v/>
      </c>
      <c r="O162" s="3">
        <f>IF(AND('Data Source'!B162&lt;&gt;"",'Data Source'!S162="F"),IF('Data Source'!AG162&gt;=5,"A+",IF('Data Source'!AG162&gt;=4,"A",IF('Data Source'!AG162&gt;=3.5,"A-",IF('Data Source'!AG162&gt;=3,"B",IF('Data Source'!AG162&gt;=2,"C",IF('Data Source'!AG162&gt;=1,"D","F")))))),"")</f>
        <v/>
      </c>
      <c r="P162" s="5">
        <f>IF(AND('Data Source'!B162&lt;&gt;"",'Data Source'!S162="F"),'Data Source'!R162,"")</f>
        <v/>
      </c>
      <c r="Q162" s="3">
        <f>IF(AND('Data Source'!B162&lt;&gt;"",'Data Source'!S162="F"),'Data Source'!S162,"")</f>
        <v/>
      </c>
    </row>
    <row r="163">
      <c r="A163" s="3">
        <f>IF(AND('Data Source'!B163&lt;&gt;"",'Data Source'!S163="F"),COUNTIF('Data Source'!$S$3:S163,"F"),"")</f>
        <v/>
      </c>
      <c r="B163">
        <f>IF(AND('Data Source'!B163&lt;&gt;"",'Data Source'!S163="F"),'Data Source'!B163,"")</f>
        <v/>
      </c>
      <c r="C163" s="3">
        <f>IF(AND('Data Source'!B163&lt;&gt;"",'Data Source'!S163="F"),IF('Data Source'!U163&gt;=5,"A+",IF('Data Source'!U163&gt;=4,"A",IF('Data Source'!U163&gt;=3.5,"A-",IF('Data Source'!U163&gt;=3,"B",IF('Data Source'!U163&gt;=2,"C",IF('Data Source'!U163&gt;=1,"D","F")))))),"")</f>
        <v/>
      </c>
      <c r="D163" s="3">
        <f>IF(AND('Data Source'!B163&lt;&gt;"",'Data Source'!S163="F"),IF('Data Source'!V163&gt;=5,"A+",IF('Data Source'!V163&gt;=4,"A",IF('Data Source'!V163&gt;=3.5,"A-",IF('Data Source'!V163&gt;=3,"B",IF('Data Source'!V163&gt;=2,"C",IF('Data Source'!V163&gt;=1,"D","F")))))),"")</f>
        <v/>
      </c>
      <c r="E163" s="3">
        <f>IF(AND('Data Source'!B163&lt;&gt;"",'Data Source'!S163="F"),IF('Data Source'!W163&gt;=5,"A+",IF('Data Source'!W163&gt;=4,"A",IF('Data Source'!W163&gt;=3.5,"A-",IF('Data Source'!W163&gt;=3,"B",IF('Data Source'!W163&gt;=2,"C",IF('Data Source'!W163&gt;=1,"D","F")))))),"")</f>
        <v/>
      </c>
      <c r="F163" s="3">
        <f>IF(AND('Data Source'!B163&lt;&gt;"",'Data Source'!S163="F"),IF('Data Source'!X163&gt;=5,"A+",IF('Data Source'!X163&gt;=4,"A",IF('Data Source'!X163&gt;=3.5,"A-",IF('Data Source'!X163&gt;=3,"B",IF('Data Source'!X163&gt;=2,"C",IF('Data Source'!X163&gt;=1,"D","F")))))),"")</f>
        <v/>
      </c>
      <c r="G163" s="3">
        <f>IF(AND('Data Source'!B163&lt;&gt;"",'Data Source'!S163="F"),IF('Data Source'!Y163&gt;=5,"A+",IF('Data Source'!Y163&gt;=4,"A",IF('Data Source'!Y163&gt;=3.5,"A-",IF('Data Source'!Y163&gt;=3,"B",IF('Data Source'!Y163&gt;=2,"C",IF('Data Source'!Y163&gt;=1,"D","F")))))),"")</f>
        <v/>
      </c>
      <c r="H163" s="3">
        <f>IF(AND('Data Source'!B163&lt;&gt;"",'Data Source'!S163="F"),IF('Data Source'!Z163&gt;=5,"A+",IF('Data Source'!Z163&gt;=4,"A",IF('Data Source'!Z163&gt;=3.5,"A-",IF('Data Source'!Z163&gt;=3,"B",IF('Data Source'!Z163&gt;=2,"C",IF('Data Source'!Z163&gt;=1,"D","F")))))),"")</f>
        <v/>
      </c>
      <c r="I163" s="3">
        <f>IF(AND('Data Source'!B163&lt;&gt;"",'Data Source'!S163="F"),IF('Data Source'!AA163&gt;=5,"A+",IF('Data Source'!AA163&gt;=4,"A",IF('Data Source'!AA163&gt;=3.5,"A-",IF('Data Source'!AA163&gt;=3,"B",IF('Data Source'!AA163&gt;=2,"C",IF('Data Source'!AA163&gt;=1,"D","F")))))),"")</f>
        <v/>
      </c>
      <c r="J163" s="3">
        <f>IF(AND('Data Source'!B163&lt;&gt;"",'Data Source'!S163="F"),IF('Data Source'!AB163&gt;=5,"A+",IF('Data Source'!AB163&gt;=4,"A",IF('Data Source'!AB163&gt;=3.5,"A-",IF('Data Source'!AB163&gt;=3,"B",IF('Data Source'!AB163&gt;=2,"C",IF('Data Source'!AB163&gt;=1,"D","F")))))),"")</f>
        <v/>
      </c>
      <c r="K163" s="3">
        <f>IF(AND('Data Source'!B163&lt;&gt;"",'Data Source'!S163="F"),IF('Data Source'!AC163&gt;=5,"A+",IF('Data Source'!AC163&gt;=4,"A",IF('Data Source'!AC163&gt;=3.5,"A-",IF('Data Source'!AC163&gt;=3,"B",IF('Data Source'!AC163&gt;=2,"C",IF('Data Source'!AC163&gt;=1,"D","F")))))),"")</f>
        <v/>
      </c>
      <c r="L163" s="3">
        <f>IF(AND('Data Source'!B163&lt;&gt;"",'Data Source'!S163="F"),IF('Data Source'!AD163&gt;=5,"A+",IF('Data Source'!AD163&gt;=4,"A",IF('Data Source'!AD163&gt;=3.5,"A-",IF('Data Source'!AD163&gt;=3,"B",IF('Data Source'!AD163&gt;=2,"C",IF('Data Source'!AD163&gt;=1,"D","F")))))),"")</f>
        <v/>
      </c>
      <c r="M163" s="3">
        <f>IF(AND('Data Source'!B163&lt;&gt;"",'Data Source'!S163="F"),IF('Data Source'!AE163&gt;=5,"A+",IF('Data Source'!AE163&gt;=4,"A",IF('Data Source'!AE163&gt;=3.5,"A-",IF('Data Source'!AE163&gt;=3,"B",IF('Data Source'!AE163&gt;=2,"C",IF('Data Source'!AE163&gt;=1,"D","F")))))),"")</f>
        <v/>
      </c>
      <c r="N163" s="3">
        <f>IF(AND('Data Source'!B163&lt;&gt;"",'Data Source'!S163="F"),IF('Data Source'!AF163&gt;=5,"A+",IF('Data Source'!AF163&gt;=4,"A",IF('Data Source'!AF163&gt;=3.5,"A-",IF('Data Source'!AF163&gt;=3,"B",IF('Data Source'!AF163&gt;=2,"C",IF('Data Source'!AF163&gt;=1,"D","F")))))),"")</f>
        <v/>
      </c>
      <c r="O163" s="3">
        <f>IF(AND('Data Source'!B163&lt;&gt;"",'Data Source'!S163="F"),IF('Data Source'!AG163&gt;=5,"A+",IF('Data Source'!AG163&gt;=4,"A",IF('Data Source'!AG163&gt;=3.5,"A-",IF('Data Source'!AG163&gt;=3,"B",IF('Data Source'!AG163&gt;=2,"C",IF('Data Source'!AG163&gt;=1,"D","F")))))),"")</f>
        <v/>
      </c>
      <c r="P163" s="5">
        <f>IF(AND('Data Source'!B163&lt;&gt;"",'Data Source'!S163="F"),'Data Source'!R163,"")</f>
        <v/>
      </c>
      <c r="Q163" s="3">
        <f>IF(AND('Data Source'!B163&lt;&gt;"",'Data Source'!S163="F"),'Data Source'!S163,"")</f>
        <v/>
      </c>
    </row>
    <row r="164">
      <c r="A164" s="3">
        <f>IF(AND('Data Source'!B164&lt;&gt;"",'Data Source'!S164="F"),COUNTIF('Data Source'!$S$3:S164,"F"),"")</f>
        <v/>
      </c>
      <c r="B164">
        <f>IF(AND('Data Source'!B164&lt;&gt;"",'Data Source'!S164="F"),'Data Source'!B164,"")</f>
        <v/>
      </c>
      <c r="C164" s="3">
        <f>IF(AND('Data Source'!B164&lt;&gt;"",'Data Source'!S164="F"),IF('Data Source'!U164&gt;=5,"A+",IF('Data Source'!U164&gt;=4,"A",IF('Data Source'!U164&gt;=3.5,"A-",IF('Data Source'!U164&gt;=3,"B",IF('Data Source'!U164&gt;=2,"C",IF('Data Source'!U164&gt;=1,"D","F")))))),"")</f>
        <v/>
      </c>
      <c r="D164" s="3">
        <f>IF(AND('Data Source'!B164&lt;&gt;"",'Data Source'!S164="F"),IF('Data Source'!V164&gt;=5,"A+",IF('Data Source'!V164&gt;=4,"A",IF('Data Source'!V164&gt;=3.5,"A-",IF('Data Source'!V164&gt;=3,"B",IF('Data Source'!V164&gt;=2,"C",IF('Data Source'!V164&gt;=1,"D","F")))))),"")</f>
        <v/>
      </c>
      <c r="E164" s="3">
        <f>IF(AND('Data Source'!B164&lt;&gt;"",'Data Source'!S164="F"),IF('Data Source'!W164&gt;=5,"A+",IF('Data Source'!W164&gt;=4,"A",IF('Data Source'!W164&gt;=3.5,"A-",IF('Data Source'!W164&gt;=3,"B",IF('Data Source'!W164&gt;=2,"C",IF('Data Source'!W164&gt;=1,"D","F")))))),"")</f>
        <v/>
      </c>
      <c r="F164" s="3">
        <f>IF(AND('Data Source'!B164&lt;&gt;"",'Data Source'!S164="F"),IF('Data Source'!X164&gt;=5,"A+",IF('Data Source'!X164&gt;=4,"A",IF('Data Source'!X164&gt;=3.5,"A-",IF('Data Source'!X164&gt;=3,"B",IF('Data Source'!X164&gt;=2,"C",IF('Data Source'!X164&gt;=1,"D","F")))))),"")</f>
        <v/>
      </c>
      <c r="G164" s="3">
        <f>IF(AND('Data Source'!B164&lt;&gt;"",'Data Source'!S164="F"),IF('Data Source'!Y164&gt;=5,"A+",IF('Data Source'!Y164&gt;=4,"A",IF('Data Source'!Y164&gt;=3.5,"A-",IF('Data Source'!Y164&gt;=3,"B",IF('Data Source'!Y164&gt;=2,"C",IF('Data Source'!Y164&gt;=1,"D","F")))))),"")</f>
        <v/>
      </c>
      <c r="H164" s="3">
        <f>IF(AND('Data Source'!B164&lt;&gt;"",'Data Source'!S164="F"),IF('Data Source'!Z164&gt;=5,"A+",IF('Data Source'!Z164&gt;=4,"A",IF('Data Source'!Z164&gt;=3.5,"A-",IF('Data Source'!Z164&gt;=3,"B",IF('Data Source'!Z164&gt;=2,"C",IF('Data Source'!Z164&gt;=1,"D","F")))))),"")</f>
        <v/>
      </c>
      <c r="I164" s="3">
        <f>IF(AND('Data Source'!B164&lt;&gt;"",'Data Source'!S164="F"),IF('Data Source'!AA164&gt;=5,"A+",IF('Data Source'!AA164&gt;=4,"A",IF('Data Source'!AA164&gt;=3.5,"A-",IF('Data Source'!AA164&gt;=3,"B",IF('Data Source'!AA164&gt;=2,"C",IF('Data Source'!AA164&gt;=1,"D","F")))))),"")</f>
        <v/>
      </c>
      <c r="J164" s="3">
        <f>IF(AND('Data Source'!B164&lt;&gt;"",'Data Source'!S164="F"),IF('Data Source'!AB164&gt;=5,"A+",IF('Data Source'!AB164&gt;=4,"A",IF('Data Source'!AB164&gt;=3.5,"A-",IF('Data Source'!AB164&gt;=3,"B",IF('Data Source'!AB164&gt;=2,"C",IF('Data Source'!AB164&gt;=1,"D","F")))))),"")</f>
        <v/>
      </c>
      <c r="K164" s="3">
        <f>IF(AND('Data Source'!B164&lt;&gt;"",'Data Source'!S164="F"),IF('Data Source'!AC164&gt;=5,"A+",IF('Data Source'!AC164&gt;=4,"A",IF('Data Source'!AC164&gt;=3.5,"A-",IF('Data Source'!AC164&gt;=3,"B",IF('Data Source'!AC164&gt;=2,"C",IF('Data Source'!AC164&gt;=1,"D","F")))))),"")</f>
        <v/>
      </c>
      <c r="L164" s="3">
        <f>IF(AND('Data Source'!B164&lt;&gt;"",'Data Source'!S164="F"),IF('Data Source'!AD164&gt;=5,"A+",IF('Data Source'!AD164&gt;=4,"A",IF('Data Source'!AD164&gt;=3.5,"A-",IF('Data Source'!AD164&gt;=3,"B",IF('Data Source'!AD164&gt;=2,"C",IF('Data Source'!AD164&gt;=1,"D","F")))))),"")</f>
        <v/>
      </c>
      <c r="M164" s="3">
        <f>IF(AND('Data Source'!B164&lt;&gt;"",'Data Source'!S164="F"),IF('Data Source'!AE164&gt;=5,"A+",IF('Data Source'!AE164&gt;=4,"A",IF('Data Source'!AE164&gt;=3.5,"A-",IF('Data Source'!AE164&gt;=3,"B",IF('Data Source'!AE164&gt;=2,"C",IF('Data Source'!AE164&gt;=1,"D","F")))))),"")</f>
        <v/>
      </c>
      <c r="N164" s="3">
        <f>IF(AND('Data Source'!B164&lt;&gt;"",'Data Source'!S164="F"),IF('Data Source'!AF164&gt;=5,"A+",IF('Data Source'!AF164&gt;=4,"A",IF('Data Source'!AF164&gt;=3.5,"A-",IF('Data Source'!AF164&gt;=3,"B",IF('Data Source'!AF164&gt;=2,"C",IF('Data Source'!AF164&gt;=1,"D","F")))))),"")</f>
        <v/>
      </c>
      <c r="O164" s="3">
        <f>IF(AND('Data Source'!B164&lt;&gt;"",'Data Source'!S164="F"),IF('Data Source'!AG164&gt;=5,"A+",IF('Data Source'!AG164&gt;=4,"A",IF('Data Source'!AG164&gt;=3.5,"A-",IF('Data Source'!AG164&gt;=3,"B",IF('Data Source'!AG164&gt;=2,"C",IF('Data Source'!AG164&gt;=1,"D","F")))))),"")</f>
        <v/>
      </c>
      <c r="P164" s="5">
        <f>IF(AND('Data Source'!B164&lt;&gt;"",'Data Source'!S164="F"),'Data Source'!R164,"")</f>
        <v/>
      </c>
      <c r="Q164" s="3">
        <f>IF(AND('Data Source'!B164&lt;&gt;"",'Data Source'!S164="F"),'Data Source'!S164,"")</f>
        <v/>
      </c>
    </row>
    <row r="165">
      <c r="A165" s="3">
        <f>IF(AND('Data Source'!B165&lt;&gt;"",'Data Source'!S165="F"),COUNTIF('Data Source'!$S$3:S165,"F"),"")</f>
        <v/>
      </c>
      <c r="B165">
        <f>IF(AND('Data Source'!B165&lt;&gt;"",'Data Source'!S165="F"),'Data Source'!B165,"")</f>
        <v/>
      </c>
      <c r="C165" s="3">
        <f>IF(AND('Data Source'!B165&lt;&gt;"",'Data Source'!S165="F"),IF('Data Source'!U165&gt;=5,"A+",IF('Data Source'!U165&gt;=4,"A",IF('Data Source'!U165&gt;=3.5,"A-",IF('Data Source'!U165&gt;=3,"B",IF('Data Source'!U165&gt;=2,"C",IF('Data Source'!U165&gt;=1,"D","F")))))),"")</f>
        <v/>
      </c>
      <c r="D165" s="3">
        <f>IF(AND('Data Source'!B165&lt;&gt;"",'Data Source'!S165="F"),IF('Data Source'!V165&gt;=5,"A+",IF('Data Source'!V165&gt;=4,"A",IF('Data Source'!V165&gt;=3.5,"A-",IF('Data Source'!V165&gt;=3,"B",IF('Data Source'!V165&gt;=2,"C",IF('Data Source'!V165&gt;=1,"D","F")))))),"")</f>
        <v/>
      </c>
      <c r="E165" s="3">
        <f>IF(AND('Data Source'!B165&lt;&gt;"",'Data Source'!S165="F"),IF('Data Source'!W165&gt;=5,"A+",IF('Data Source'!W165&gt;=4,"A",IF('Data Source'!W165&gt;=3.5,"A-",IF('Data Source'!W165&gt;=3,"B",IF('Data Source'!W165&gt;=2,"C",IF('Data Source'!W165&gt;=1,"D","F")))))),"")</f>
        <v/>
      </c>
      <c r="F165" s="3">
        <f>IF(AND('Data Source'!B165&lt;&gt;"",'Data Source'!S165="F"),IF('Data Source'!X165&gt;=5,"A+",IF('Data Source'!X165&gt;=4,"A",IF('Data Source'!X165&gt;=3.5,"A-",IF('Data Source'!X165&gt;=3,"B",IF('Data Source'!X165&gt;=2,"C",IF('Data Source'!X165&gt;=1,"D","F")))))),"")</f>
        <v/>
      </c>
      <c r="G165" s="3">
        <f>IF(AND('Data Source'!B165&lt;&gt;"",'Data Source'!S165="F"),IF('Data Source'!Y165&gt;=5,"A+",IF('Data Source'!Y165&gt;=4,"A",IF('Data Source'!Y165&gt;=3.5,"A-",IF('Data Source'!Y165&gt;=3,"B",IF('Data Source'!Y165&gt;=2,"C",IF('Data Source'!Y165&gt;=1,"D","F")))))),"")</f>
        <v/>
      </c>
      <c r="H165" s="3">
        <f>IF(AND('Data Source'!B165&lt;&gt;"",'Data Source'!S165="F"),IF('Data Source'!Z165&gt;=5,"A+",IF('Data Source'!Z165&gt;=4,"A",IF('Data Source'!Z165&gt;=3.5,"A-",IF('Data Source'!Z165&gt;=3,"B",IF('Data Source'!Z165&gt;=2,"C",IF('Data Source'!Z165&gt;=1,"D","F")))))),"")</f>
        <v/>
      </c>
      <c r="I165" s="3">
        <f>IF(AND('Data Source'!B165&lt;&gt;"",'Data Source'!S165="F"),IF('Data Source'!AA165&gt;=5,"A+",IF('Data Source'!AA165&gt;=4,"A",IF('Data Source'!AA165&gt;=3.5,"A-",IF('Data Source'!AA165&gt;=3,"B",IF('Data Source'!AA165&gt;=2,"C",IF('Data Source'!AA165&gt;=1,"D","F")))))),"")</f>
        <v/>
      </c>
      <c r="J165" s="3">
        <f>IF(AND('Data Source'!B165&lt;&gt;"",'Data Source'!S165="F"),IF('Data Source'!AB165&gt;=5,"A+",IF('Data Source'!AB165&gt;=4,"A",IF('Data Source'!AB165&gt;=3.5,"A-",IF('Data Source'!AB165&gt;=3,"B",IF('Data Source'!AB165&gt;=2,"C",IF('Data Source'!AB165&gt;=1,"D","F")))))),"")</f>
        <v/>
      </c>
      <c r="K165" s="3">
        <f>IF(AND('Data Source'!B165&lt;&gt;"",'Data Source'!S165="F"),IF('Data Source'!AC165&gt;=5,"A+",IF('Data Source'!AC165&gt;=4,"A",IF('Data Source'!AC165&gt;=3.5,"A-",IF('Data Source'!AC165&gt;=3,"B",IF('Data Source'!AC165&gt;=2,"C",IF('Data Source'!AC165&gt;=1,"D","F")))))),"")</f>
        <v/>
      </c>
      <c r="L165" s="3">
        <f>IF(AND('Data Source'!B165&lt;&gt;"",'Data Source'!S165="F"),IF('Data Source'!AD165&gt;=5,"A+",IF('Data Source'!AD165&gt;=4,"A",IF('Data Source'!AD165&gt;=3.5,"A-",IF('Data Source'!AD165&gt;=3,"B",IF('Data Source'!AD165&gt;=2,"C",IF('Data Source'!AD165&gt;=1,"D","F")))))),"")</f>
        <v/>
      </c>
      <c r="M165" s="3">
        <f>IF(AND('Data Source'!B165&lt;&gt;"",'Data Source'!S165="F"),IF('Data Source'!AE165&gt;=5,"A+",IF('Data Source'!AE165&gt;=4,"A",IF('Data Source'!AE165&gt;=3.5,"A-",IF('Data Source'!AE165&gt;=3,"B",IF('Data Source'!AE165&gt;=2,"C",IF('Data Source'!AE165&gt;=1,"D","F")))))),"")</f>
        <v/>
      </c>
      <c r="N165" s="3">
        <f>IF(AND('Data Source'!B165&lt;&gt;"",'Data Source'!S165="F"),IF('Data Source'!AF165&gt;=5,"A+",IF('Data Source'!AF165&gt;=4,"A",IF('Data Source'!AF165&gt;=3.5,"A-",IF('Data Source'!AF165&gt;=3,"B",IF('Data Source'!AF165&gt;=2,"C",IF('Data Source'!AF165&gt;=1,"D","F")))))),"")</f>
        <v/>
      </c>
      <c r="O165" s="3">
        <f>IF(AND('Data Source'!B165&lt;&gt;"",'Data Source'!S165="F"),IF('Data Source'!AG165&gt;=5,"A+",IF('Data Source'!AG165&gt;=4,"A",IF('Data Source'!AG165&gt;=3.5,"A-",IF('Data Source'!AG165&gt;=3,"B",IF('Data Source'!AG165&gt;=2,"C",IF('Data Source'!AG165&gt;=1,"D","F")))))),"")</f>
        <v/>
      </c>
      <c r="P165" s="5">
        <f>IF(AND('Data Source'!B165&lt;&gt;"",'Data Source'!S165="F"),'Data Source'!R165,"")</f>
        <v/>
      </c>
      <c r="Q165" s="3">
        <f>IF(AND('Data Source'!B165&lt;&gt;"",'Data Source'!S165="F"),'Data Source'!S165,"")</f>
        <v/>
      </c>
    </row>
    <row r="166">
      <c r="A166" s="3">
        <f>IF(AND('Data Source'!B166&lt;&gt;"",'Data Source'!S166="F"),COUNTIF('Data Source'!$S$3:S166,"F"),"")</f>
        <v/>
      </c>
      <c r="B166">
        <f>IF(AND('Data Source'!B166&lt;&gt;"",'Data Source'!S166="F"),'Data Source'!B166,"")</f>
        <v/>
      </c>
      <c r="C166" s="3">
        <f>IF(AND('Data Source'!B166&lt;&gt;"",'Data Source'!S166="F"),IF('Data Source'!U166&gt;=5,"A+",IF('Data Source'!U166&gt;=4,"A",IF('Data Source'!U166&gt;=3.5,"A-",IF('Data Source'!U166&gt;=3,"B",IF('Data Source'!U166&gt;=2,"C",IF('Data Source'!U166&gt;=1,"D","F")))))),"")</f>
        <v/>
      </c>
      <c r="D166" s="3">
        <f>IF(AND('Data Source'!B166&lt;&gt;"",'Data Source'!S166="F"),IF('Data Source'!V166&gt;=5,"A+",IF('Data Source'!V166&gt;=4,"A",IF('Data Source'!V166&gt;=3.5,"A-",IF('Data Source'!V166&gt;=3,"B",IF('Data Source'!V166&gt;=2,"C",IF('Data Source'!V166&gt;=1,"D","F")))))),"")</f>
        <v/>
      </c>
      <c r="E166" s="3">
        <f>IF(AND('Data Source'!B166&lt;&gt;"",'Data Source'!S166="F"),IF('Data Source'!W166&gt;=5,"A+",IF('Data Source'!W166&gt;=4,"A",IF('Data Source'!W166&gt;=3.5,"A-",IF('Data Source'!W166&gt;=3,"B",IF('Data Source'!W166&gt;=2,"C",IF('Data Source'!W166&gt;=1,"D","F")))))),"")</f>
        <v/>
      </c>
      <c r="F166" s="3">
        <f>IF(AND('Data Source'!B166&lt;&gt;"",'Data Source'!S166="F"),IF('Data Source'!X166&gt;=5,"A+",IF('Data Source'!X166&gt;=4,"A",IF('Data Source'!X166&gt;=3.5,"A-",IF('Data Source'!X166&gt;=3,"B",IF('Data Source'!X166&gt;=2,"C",IF('Data Source'!X166&gt;=1,"D","F")))))),"")</f>
        <v/>
      </c>
      <c r="G166" s="3">
        <f>IF(AND('Data Source'!B166&lt;&gt;"",'Data Source'!S166="F"),IF('Data Source'!Y166&gt;=5,"A+",IF('Data Source'!Y166&gt;=4,"A",IF('Data Source'!Y166&gt;=3.5,"A-",IF('Data Source'!Y166&gt;=3,"B",IF('Data Source'!Y166&gt;=2,"C",IF('Data Source'!Y166&gt;=1,"D","F")))))),"")</f>
        <v/>
      </c>
      <c r="H166" s="3">
        <f>IF(AND('Data Source'!B166&lt;&gt;"",'Data Source'!S166="F"),IF('Data Source'!Z166&gt;=5,"A+",IF('Data Source'!Z166&gt;=4,"A",IF('Data Source'!Z166&gt;=3.5,"A-",IF('Data Source'!Z166&gt;=3,"B",IF('Data Source'!Z166&gt;=2,"C",IF('Data Source'!Z166&gt;=1,"D","F")))))),"")</f>
        <v/>
      </c>
      <c r="I166" s="3">
        <f>IF(AND('Data Source'!B166&lt;&gt;"",'Data Source'!S166="F"),IF('Data Source'!AA166&gt;=5,"A+",IF('Data Source'!AA166&gt;=4,"A",IF('Data Source'!AA166&gt;=3.5,"A-",IF('Data Source'!AA166&gt;=3,"B",IF('Data Source'!AA166&gt;=2,"C",IF('Data Source'!AA166&gt;=1,"D","F")))))),"")</f>
        <v/>
      </c>
      <c r="J166" s="3">
        <f>IF(AND('Data Source'!B166&lt;&gt;"",'Data Source'!S166="F"),IF('Data Source'!AB166&gt;=5,"A+",IF('Data Source'!AB166&gt;=4,"A",IF('Data Source'!AB166&gt;=3.5,"A-",IF('Data Source'!AB166&gt;=3,"B",IF('Data Source'!AB166&gt;=2,"C",IF('Data Source'!AB166&gt;=1,"D","F")))))),"")</f>
        <v/>
      </c>
      <c r="K166" s="3">
        <f>IF(AND('Data Source'!B166&lt;&gt;"",'Data Source'!S166="F"),IF('Data Source'!AC166&gt;=5,"A+",IF('Data Source'!AC166&gt;=4,"A",IF('Data Source'!AC166&gt;=3.5,"A-",IF('Data Source'!AC166&gt;=3,"B",IF('Data Source'!AC166&gt;=2,"C",IF('Data Source'!AC166&gt;=1,"D","F")))))),"")</f>
        <v/>
      </c>
      <c r="L166" s="3">
        <f>IF(AND('Data Source'!B166&lt;&gt;"",'Data Source'!S166="F"),IF('Data Source'!AD166&gt;=5,"A+",IF('Data Source'!AD166&gt;=4,"A",IF('Data Source'!AD166&gt;=3.5,"A-",IF('Data Source'!AD166&gt;=3,"B",IF('Data Source'!AD166&gt;=2,"C",IF('Data Source'!AD166&gt;=1,"D","F")))))),"")</f>
        <v/>
      </c>
      <c r="M166" s="3">
        <f>IF(AND('Data Source'!B166&lt;&gt;"",'Data Source'!S166="F"),IF('Data Source'!AE166&gt;=5,"A+",IF('Data Source'!AE166&gt;=4,"A",IF('Data Source'!AE166&gt;=3.5,"A-",IF('Data Source'!AE166&gt;=3,"B",IF('Data Source'!AE166&gt;=2,"C",IF('Data Source'!AE166&gt;=1,"D","F")))))),"")</f>
        <v/>
      </c>
      <c r="N166" s="3">
        <f>IF(AND('Data Source'!B166&lt;&gt;"",'Data Source'!S166="F"),IF('Data Source'!AF166&gt;=5,"A+",IF('Data Source'!AF166&gt;=4,"A",IF('Data Source'!AF166&gt;=3.5,"A-",IF('Data Source'!AF166&gt;=3,"B",IF('Data Source'!AF166&gt;=2,"C",IF('Data Source'!AF166&gt;=1,"D","F")))))),"")</f>
        <v/>
      </c>
      <c r="O166" s="3">
        <f>IF(AND('Data Source'!B166&lt;&gt;"",'Data Source'!S166="F"),IF('Data Source'!AG166&gt;=5,"A+",IF('Data Source'!AG166&gt;=4,"A",IF('Data Source'!AG166&gt;=3.5,"A-",IF('Data Source'!AG166&gt;=3,"B",IF('Data Source'!AG166&gt;=2,"C",IF('Data Source'!AG166&gt;=1,"D","F")))))),"")</f>
        <v/>
      </c>
      <c r="P166" s="5">
        <f>IF(AND('Data Source'!B166&lt;&gt;"",'Data Source'!S166="F"),'Data Source'!R166,"")</f>
        <v/>
      </c>
      <c r="Q166" s="3">
        <f>IF(AND('Data Source'!B166&lt;&gt;"",'Data Source'!S166="F"),'Data Source'!S166,"")</f>
        <v/>
      </c>
    </row>
    <row r="167">
      <c r="A167" s="3">
        <f>IF(AND('Data Source'!B167&lt;&gt;"",'Data Source'!S167="F"),COUNTIF('Data Source'!$S$3:S167,"F"),"")</f>
        <v/>
      </c>
      <c r="B167">
        <f>IF(AND('Data Source'!B167&lt;&gt;"",'Data Source'!S167="F"),'Data Source'!B167,"")</f>
        <v/>
      </c>
      <c r="C167" s="3">
        <f>IF(AND('Data Source'!B167&lt;&gt;"",'Data Source'!S167="F"),IF('Data Source'!U167&gt;=5,"A+",IF('Data Source'!U167&gt;=4,"A",IF('Data Source'!U167&gt;=3.5,"A-",IF('Data Source'!U167&gt;=3,"B",IF('Data Source'!U167&gt;=2,"C",IF('Data Source'!U167&gt;=1,"D","F")))))),"")</f>
        <v/>
      </c>
      <c r="D167" s="3">
        <f>IF(AND('Data Source'!B167&lt;&gt;"",'Data Source'!S167="F"),IF('Data Source'!V167&gt;=5,"A+",IF('Data Source'!V167&gt;=4,"A",IF('Data Source'!V167&gt;=3.5,"A-",IF('Data Source'!V167&gt;=3,"B",IF('Data Source'!V167&gt;=2,"C",IF('Data Source'!V167&gt;=1,"D","F")))))),"")</f>
        <v/>
      </c>
      <c r="E167" s="3">
        <f>IF(AND('Data Source'!B167&lt;&gt;"",'Data Source'!S167="F"),IF('Data Source'!W167&gt;=5,"A+",IF('Data Source'!W167&gt;=4,"A",IF('Data Source'!W167&gt;=3.5,"A-",IF('Data Source'!W167&gt;=3,"B",IF('Data Source'!W167&gt;=2,"C",IF('Data Source'!W167&gt;=1,"D","F")))))),"")</f>
        <v/>
      </c>
      <c r="F167" s="3">
        <f>IF(AND('Data Source'!B167&lt;&gt;"",'Data Source'!S167="F"),IF('Data Source'!X167&gt;=5,"A+",IF('Data Source'!X167&gt;=4,"A",IF('Data Source'!X167&gt;=3.5,"A-",IF('Data Source'!X167&gt;=3,"B",IF('Data Source'!X167&gt;=2,"C",IF('Data Source'!X167&gt;=1,"D","F")))))),"")</f>
        <v/>
      </c>
      <c r="G167" s="3">
        <f>IF(AND('Data Source'!B167&lt;&gt;"",'Data Source'!S167="F"),IF('Data Source'!Y167&gt;=5,"A+",IF('Data Source'!Y167&gt;=4,"A",IF('Data Source'!Y167&gt;=3.5,"A-",IF('Data Source'!Y167&gt;=3,"B",IF('Data Source'!Y167&gt;=2,"C",IF('Data Source'!Y167&gt;=1,"D","F")))))),"")</f>
        <v/>
      </c>
      <c r="H167" s="3">
        <f>IF(AND('Data Source'!B167&lt;&gt;"",'Data Source'!S167="F"),IF('Data Source'!Z167&gt;=5,"A+",IF('Data Source'!Z167&gt;=4,"A",IF('Data Source'!Z167&gt;=3.5,"A-",IF('Data Source'!Z167&gt;=3,"B",IF('Data Source'!Z167&gt;=2,"C",IF('Data Source'!Z167&gt;=1,"D","F")))))),"")</f>
        <v/>
      </c>
      <c r="I167" s="3">
        <f>IF(AND('Data Source'!B167&lt;&gt;"",'Data Source'!S167="F"),IF('Data Source'!AA167&gt;=5,"A+",IF('Data Source'!AA167&gt;=4,"A",IF('Data Source'!AA167&gt;=3.5,"A-",IF('Data Source'!AA167&gt;=3,"B",IF('Data Source'!AA167&gt;=2,"C",IF('Data Source'!AA167&gt;=1,"D","F")))))),"")</f>
        <v/>
      </c>
      <c r="J167" s="3">
        <f>IF(AND('Data Source'!B167&lt;&gt;"",'Data Source'!S167="F"),IF('Data Source'!AB167&gt;=5,"A+",IF('Data Source'!AB167&gt;=4,"A",IF('Data Source'!AB167&gt;=3.5,"A-",IF('Data Source'!AB167&gt;=3,"B",IF('Data Source'!AB167&gt;=2,"C",IF('Data Source'!AB167&gt;=1,"D","F")))))),"")</f>
        <v/>
      </c>
      <c r="K167" s="3">
        <f>IF(AND('Data Source'!B167&lt;&gt;"",'Data Source'!S167="F"),IF('Data Source'!AC167&gt;=5,"A+",IF('Data Source'!AC167&gt;=4,"A",IF('Data Source'!AC167&gt;=3.5,"A-",IF('Data Source'!AC167&gt;=3,"B",IF('Data Source'!AC167&gt;=2,"C",IF('Data Source'!AC167&gt;=1,"D","F")))))),"")</f>
        <v/>
      </c>
      <c r="L167" s="3">
        <f>IF(AND('Data Source'!B167&lt;&gt;"",'Data Source'!S167="F"),IF('Data Source'!AD167&gt;=5,"A+",IF('Data Source'!AD167&gt;=4,"A",IF('Data Source'!AD167&gt;=3.5,"A-",IF('Data Source'!AD167&gt;=3,"B",IF('Data Source'!AD167&gt;=2,"C",IF('Data Source'!AD167&gt;=1,"D","F")))))),"")</f>
        <v/>
      </c>
      <c r="M167" s="3">
        <f>IF(AND('Data Source'!B167&lt;&gt;"",'Data Source'!S167="F"),IF('Data Source'!AE167&gt;=5,"A+",IF('Data Source'!AE167&gt;=4,"A",IF('Data Source'!AE167&gt;=3.5,"A-",IF('Data Source'!AE167&gt;=3,"B",IF('Data Source'!AE167&gt;=2,"C",IF('Data Source'!AE167&gt;=1,"D","F")))))),"")</f>
        <v/>
      </c>
      <c r="N167" s="3">
        <f>IF(AND('Data Source'!B167&lt;&gt;"",'Data Source'!S167="F"),IF('Data Source'!AF167&gt;=5,"A+",IF('Data Source'!AF167&gt;=4,"A",IF('Data Source'!AF167&gt;=3.5,"A-",IF('Data Source'!AF167&gt;=3,"B",IF('Data Source'!AF167&gt;=2,"C",IF('Data Source'!AF167&gt;=1,"D","F")))))),"")</f>
        <v/>
      </c>
      <c r="O167" s="3">
        <f>IF(AND('Data Source'!B167&lt;&gt;"",'Data Source'!S167="F"),IF('Data Source'!AG167&gt;=5,"A+",IF('Data Source'!AG167&gt;=4,"A",IF('Data Source'!AG167&gt;=3.5,"A-",IF('Data Source'!AG167&gt;=3,"B",IF('Data Source'!AG167&gt;=2,"C",IF('Data Source'!AG167&gt;=1,"D","F")))))),"")</f>
        <v/>
      </c>
      <c r="P167" s="5">
        <f>IF(AND('Data Source'!B167&lt;&gt;"",'Data Source'!S167="F"),'Data Source'!R167,"")</f>
        <v/>
      </c>
      <c r="Q167" s="3">
        <f>IF(AND('Data Source'!B167&lt;&gt;"",'Data Source'!S167="F"),'Data Source'!S167,"")</f>
        <v/>
      </c>
    </row>
    <row r="168">
      <c r="A168" s="3">
        <f>IF(AND('Data Source'!B168&lt;&gt;"",'Data Source'!S168="F"),COUNTIF('Data Source'!$S$3:S168,"F"),"")</f>
        <v/>
      </c>
      <c r="B168">
        <f>IF(AND('Data Source'!B168&lt;&gt;"",'Data Source'!S168="F"),'Data Source'!B168,"")</f>
        <v/>
      </c>
      <c r="C168" s="3">
        <f>IF(AND('Data Source'!B168&lt;&gt;"",'Data Source'!S168="F"),IF('Data Source'!U168&gt;=5,"A+",IF('Data Source'!U168&gt;=4,"A",IF('Data Source'!U168&gt;=3.5,"A-",IF('Data Source'!U168&gt;=3,"B",IF('Data Source'!U168&gt;=2,"C",IF('Data Source'!U168&gt;=1,"D","F")))))),"")</f>
        <v/>
      </c>
      <c r="D168" s="3">
        <f>IF(AND('Data Source'!B168&lt;&gt;"",'Data Source'!S168="F"),IF('Data Source'!V168&gt;=5,"A+",IF('Data Source'!V168&gt;=4,"A",IF('Data Source'!V168&gt;=3.5,"A-",IF('Data Source'!V168&gt;=3,"B",IF('Data Source'!V168&gt;=2,"C",IF('Data Source'!V168&gt;=1,"D","F")))))),"")</f>
        <v/>
      </c>
      <c r="E168" s="3">
        <f>IF(AND('Data Source'!B168&lt;&gt;"",'Data Source'!S168="F"),IF('Data Source'!W168&gt;=5,"A+",IF('Data Source'!W168&gt;=4,"A",IF('Data Source'!W168&gt;=3.5,"A-",IF('Data Source'!W168&gt;=3,"B",IF('Data Source'!W168&gt;=2,"C",IF('Data Source'!W168&gt;=1,"D","F")))))),"")</f>
        <v/>
      </c>
      <c r="F168" s="3">
        <f>IF(AND('Data Source'!B168&lt;&gt;"",'Data Source'!S168="F"),IF('Data Source'!X168&gt;=5,"A+",IF('Data Source'!X168&gt;=4,"A",IF('Data Source'!X168&gt;=3.5,"A-",IF('Data Source'!X168&gt;=3,"B",IF('Data Source'!X168&gt;=2,"C",IF('Data Source'!X168&gt;=1,"D","F")))))),"")</f>
        <v/>
      </c>
      <c r="G168" s="3">
        <f>IF(AND('Data Source'!B168&lt;&gt;"",'Data Source'!S168="F"),IF('Data Source'!Y168&gt;=5,"A+",IF('Data Source'!Y168&gt;=4,"A",IF('Data Source'!Y168&gt;=3.5,"A-",IF('Data Source'!Y168&gt;=3,"B",IF('Data Source'!Y168&gt;=2,"C",IF('Data Source'!Y168&gt;=1,"D","F")))))),"")</f>
        <v/>
      </c>
      <c r="H168" s="3">
        <f>IF(AND('Data Source'!B168&lt;&gt;"",'Data Source'!S168="F"),IF('Data Source'!Z168&gt;=5,"A+",IF('Data Source'!Z168&gt;=4,"A",IF('Data Source'!Z168&gt;=3.5,"A-",IF('Data Source'!Z168&gt;=3,"B",IF('Data Source'!Z168&gt;=2,"C",IF('Data Source'!Z168&gt;=1,"D","F")))))),"")</f>
        <v/>
      </c>
      <c r="I168" s="3">
        <f>IF(AND('Data Source'!B168&lt;&gt;"",'Data Source'!S168="F"),IF('Data Source'!AA168&gt;=5,"A+",IF('Data Source'!AA168&gt;=4,"A",IF('Data Source'!AA168&gt;=3.5,"A-",IF('Data Source'!AA168&gt;=3,"B",IF('Data Source'!AA168&gt;=2,"C",IF('Data Source'!AA168&gt;=1,"D","F")))))),"")</f>
        <v/>
      </c>
      <c r="J168" s="3">
        <f>IF(AND('Data Source'!B168&lt;&gt;"",'Data Source'!S168="F"),IF('Data Source'!AB168&gt;=5,"A+",IF('Data Source'!AB168&gt;=4,"A",IF('Data Source'!AB168&gt;=3.5,"A-",IF('Data Source'!AB168&gt;=3,"B",IF('Data Source'!AB168&gt;=2,"C",IF('Data Source'!AB168&gt;=1,"D","F")))))),"")</f>
        <v/>
      </c>
      <c r="K168" s="3">
        <f>IF(AND('Data Source'!B168&lt;&gt;"",'Data Source'!S168="F"),IF('Data Source'!AC168&gt;=5,"A+",IF('Data Source'!AC168&gt;=4,"A",IF('Data Source'!AC168&gt;=3.5,"A-",IF('Data Source'!AC168&gt;=3,"B",IF('Data Source'!AC168&gt;=2,"C",IF('Data Source'!AC168&gt;=1,"D","F")))))),"")</f>
        <v/>
      </c>
      <c r="L168" s="3">
        <f>IF(AND('Data Source'!B168&lt;&gt;"",'Data Source'!S168="F"),IF('Data Source'!AD168&gt;=5,"A+",IF('Data Source'!AD168&gt;=4,"A",IF('Data Source'!AD168&gt;=3.5,"A-",IF('Data Source'!AD168&gt;=3,"B",IF('Data Source'!AD168&gt;=2,"C",IF('Data Source'!AD168&gt;=1,"D","F")))))),"")</f>
        <v/>
      </c>
      <c r="M168" s="3">
        <f>IF(AND('Data Source'!B168&lt;&gt;"",'Data Source'!S168="F"),IF('Data Source'!AE168&gt;=5,"A+",IF('Data Source'!AE168&gt;=4,"A",IF('Data Source'!AE168&gt;=3.5,"A-",IF('Data Source'!AE168&gt;=3,"B",IF('Data Source'!AE168&gt;=2,"C",IF('Data Source'!AE168&gt;=1,"D","F")))))),"")</f>
        <v/>
      </c>
      <c r="N168" s="3">
        <f>IF(AND('Data Source'!B168&lt;&gt;"",'Data Source'!S168="F"),IF('Data Source'!AF168&gt;=5,"A+",IF('Data Source'!AF168&gt;=4,"A",IF('Data Source'!AF168&gt;=3.5,"A-",IF('Data Source'!AF168&gt;=3,"B",IF('Data Source'!AF168&gt;=2,"C",IF('Data Source'!AF168&gt;=1,"D","F")))))),"")</f>
        <v/>
      </c>
      <c r="O168" s="3">
        <f>IF(AND('Data Source'!B168&lt;&gt;"",'Data Source'!S168="F"),IF('Data Source'!AG168&gt;=5,"A+",IF('Data Source'!AG168&gt;=4,"A",IF('Data Source'!AG168&gt;=3.5,"A-",IF('Data Source'!AG168&gt;=3,"B",IF('Data Source'!AG168&gt;=2,"C",IF('Data Source'!AG168&gt;=1,"D","F")))))),"")</f>
        <v/>
      </c>
      <c r="P168" s="5">
        <f>IF(AND('Data Source'!B168&lt;&gt;"",'Data Source'!S168="F"),'Data Source'!R168,"")</f>
        <v/>
      </c>
      <c r="Q168" s="3">
        <f>IF(AND('Data Source'!B168&lt;&gt;"",'Data Source'!S168="F"),'Data Source'!S168,"")</f>
        <v/>
      </c>
    </row>
    <row r="169">
      <c r="A169" s="3">
        <f>IF(AND('Data Source'!B169&lt;&gt;"",'Data Source'!S169="F"),COUNTIF('Data Source'!$S$3:S169,"F"),"")</f>
        <v/>
      </c>
      <c r="B169">
        <f>IF(AND('Data Source'!B169&lt;&gt;"",'Data Source'!S169="F"),'Data Source'!B169,"")</f>
        <v/>
      </c>
      <c r="C169" s="3">
        <f>IF(AND('Data Source'!B169&lt;&gt;"",'Data Source'!S169="F"),IF('Data Source'!U169&gt;=5,"A+",IF('Data Source'!U169&gt;=4,"A",IF('Data Source'!U169&gt;=3.5,"A-",IF('Data Source'!U169&gt;=3,"B",IF('Data Source'!U169&gt;=2,"C",IF('Data Source'!U169&gt;=1,"D","F")))))),"")</f>
        <v/>
      </c>
      <c r="D169" s="3">
        <f>IF(AND('Data Source'!B169&lt;&gt;"",'Data Source'!S169="F"),IF('Data Source'!V169&gt;=5,"A+",IF('Data Source'!V169&gt;=4,"A",IF('Data Source'!V169&gt;=3.5,"A-",IF('Data Source'!V169&gt;=3,"B",IF('Data Source'!V169&gt;=2,"C",IF('Data Source'!V169&gt;=1,"D","F")))))),"")</f>
        <v/>
      </c>
      <c r="E169" s="3">
        <f>IF(AND('Data Source'!B169&lt;&gt;"",'Data Source'!S169="F"),IF('Data Source'!W169&gt;=5,"A+",IF('Data Source'!W169&gt;=4,"A",IF('Data Source'!W169&gt;=3.5,"A-",IF('Data Source'!W169&gt;=3,"B",IF('Data Source'!W169&gt;=2,"C",IF('Data Source'!W169&gt;=1,"D","F")))))),"")</f>
        <v/>
      </c>
      <c r="F169" s="3">
        <f>IF(AND('Data Source'!B169&lt;&gt;"",'Data Source'!S169="F"),IF('Data Source'!X169&gt;=5,"A+",IF('Data Source'!X169&gt;=4,"A",IF('Data Source'!X169&gt;=3.5,"A-",IF('Data Source'!X169&gt;=3,"B",IF('Data Source'!X169&gt;=2,"C",IF('Data Source'!X169&gt;=1,"D","F")))))),"")</f>
        <v/>
      </c>
      <c r="G169" s="3">
        <f>IF(AND('Data Source'!B169&lt;&gt;"",'Data Source'!S169="F"),IF('Data Source'!Y169&gt;=5,"A+",IF('Data Source'!Y169&gt;=4,"A",IF('Data Source'!Y169&gt;=3.5,"A-",IF('Data Source'!Y169&gt;=3,"B",IF('Data Source'!Y169&gt;=2,"C",IF('Data Source'!Y169&gt;=1,"D","F")))))),"")</f>
        <v/>
      </c>
      <c r="H169" s="3">
        <f>IF(AND('Data Source'!B169&lt;&gt;"",'Data Source'!S169="F"),IF('Data Source'!Z169&gt;=5,"A+",IF('Data Source'!Z169&gt;=4,"A",IF('Data Source'!Z169&gt;=3.5,"A-",IF('Data Source'!Z169&gt;=3,"B",IF('Data Source'!Z169&gt;=2,"C",IF('Data Source'!Z169&gt;=1,"D","F")))))),"")</f>
        <v/>
      </c>
      <c r="I169" s="3">
        <f>IF(AND('Data Source'!B169&lt;&gt;"",'Data Source'!S169="F"),IF('Data Source'!AA169&gt;=5,"A+",IF('Data Source'!AA169&gt;=4,"A",IF('Data Source'!AA169&gt;=3.5,"A-",IF('Data Source'!AA169&gt;=3,"B",IF('Data Source'!AA169&gt;=2,"C",IF('Data Source'!AA169&gt;=1,"D","F")))))),"")</f>
        <v/>
      </c>
      <c r="J169" s="3">
        <f>IF(AND('Data Source'!B169&lt;&gt;"",'Data Source'!S169="F"),IF('Data Source'!AB169&gt;=5,"A+",IF('Data Source'!AB169&gt;=4,"A",IF('Data Source'!AB169&gt;=3.5,"A-",IF('Data Source'!AB169&gt;=3,"B",IF('Data Source'!AB169&gt;=2,"C",IF('Data Source'!AB169&gt;=1,"D","F")))))),"")</f>
        <v/>
      </c>
      <c r="K169" s="3">
        <f>IF(AND('Data Source'!B169&lt;&gt;"",'Data Source'!S169="F"),IF('Data Source'!AC169&gt;=5,"A+",IF('Data Source'!AC169&gt;=4,"A",IF('Data Source'!AC169&gt;=3.5,"A-",IF('Data Source'!AC169&gt;=3,"B",IF('Data Source'!AC169&gt;=2,"C",IF('Data Source'!AC169&gt;=1,"D","F")))))),"")</f>
        <v/>
      </c>
      <c r="L169" s="3">
        <f>IF(AND('Data Source'!B169&lt;&gt;"",'Data Source'!S169="F"),IF('Data Source'!AD169&gt;=5,"A+",IF('Data Source'!AD169&gt;=4,"A",IF('Data Source'!AD169&gt;=3.5,"A-",IF('Data Source'!AD169&gt;=3,"B",IF('Data Source'!AD169&gt;=2,"C",IF('Data Source'!AD169&gt;=1,"D","F")))))),"")</f>
        <v/>
      </c>
      <c r="M169" s="3">
        <f>IF(AND('Data Source'!B169&lt;&gt;"",'Data Source'!S169="F"),IF('Data Source'!AE169&gt;=5,"A+",IF('Data Source'!AE169&gt;=4,"A",IF('Data Source'!AE169&gt;=3.5,"A-",IF('Data Source'!AE169&gt;=3,"B",IF('Data Source'!AE169&gt;=2,"C",IF('Data Source'!AE169&gt;=1,"D","F")))))),"")</f>
        <v/>
      </c>
      <c r="N169" s="3">
        <f>IF(AND('Data Source'!B169&lt;&gt;"",'Data Source'!S169="F"),IF('Data Source'!AF169&gt;=5,"A+",IF('Data Source'!AF169&gt;=4,"A",IF('Data Source'!AF169&gt;=3.5,"A-",IF('Data Source'!AF169&gt;=3,"B",IF('Data Source'!AF169&gt;=2,"C",IF('Data Source'!AF169&gt;=1,"D","F")))))),"")</f>
        <v/>
      </c>
      <c r="O169" s="3">
        <f>IF(AND('Data Source'!B169&lt;&gt;"",'Data Source'!S169="F"),IF('Data Source'!AG169&gt;=5,"A+",IF('Data Source'!AG169&gt;=4,"A",IF('Data Source'!AG169&gt;=3.5,"A-",IF('Data Source'!AG169&gt;=3,"B",IF('Data Source'!AG169&gt;=2,"C",IF('Data Source'!AG169&gt;=1,"D","F")))))),"")</f>
        <v/>
      </c>
      <c r="P169" s="5">
        <f>IF(AND('Data Source'!B169&lt;&gt;"",'Data Source'!S169="F"),'Data Source'!R169,"")</f>
        <v/>
      </c>
      <c r="Q169" s="3">
        <f>IF(AND('Data Source'!B169&lt;&gt;"",'Data Source'!S169="F"),'Data Source'!S169,"")</f>
        <v/>
      </c>
    </row>
    <row r="170">
      <c r="A170" s="3">
        <f>IF(AND('Data Source'!B170&lt;&gt;"",'Data Source'!S170="F"),COUNTIF('Data Source'!$S$3:S170,"F"),"")</f>
        <v/>
      </c>
      <c r="B170">
        <f>IF(AND('Data Source'!B170&lt;&gt;"",'Data Source'!S170="F"),'Data Source'!B170,"")</f>
        <v/>
      </c>
      <c r="C170" s="3">
        <f>IF(AND('Data Source'!B170&lt;&gt;"",'Data Source'!S170="F"),IF('Data Source'!U170&gt;=5,"A+",IF('Data Source'!U170&gt;=4,"A",IF('Data Source'!U170&gt;=3.5,"A-",IF('Data Source'!U170&gt;=3,"B",IF('Data Source'!U170&gt;=2,"C",IF('Data Source'!U170&gt;=1,"D","F")))))),"")</f>
        <v/>
      </c>
      <c r="D170" s="3">
        <f>IF(AND('Data Source'!B170&lt;&gt;"",'Data Source'!S170="F"),IF('Data Source'!V170&gt;=5,"A+",IF('Data Source'!V170&gt;=4,"A",IF('Data Source'!V170&gt;=3.5,"A-",IF('Data Source'!V170&gt;=3,"B",IF('Data Source'!V170&gt;=2,"C",IF('Data Source'!V170&gt;=1,"D","F")))))),"")</f>
        <v/>
      </c>
      <c r="E170" s="3">
        <f>IF(AND('Data Source'!B170&lt;&gt;"",'Data Source'!S170="F"),IF('Data Source'!W170&gt;=5,"A+",IF('Data Source'!W170&gt;=4,"A",IF('Data Source'!W170&gt;=3.5,"A-",IF('Data Source'!W170&gt;=3,"B",IF('Data Source'!W170&gt;=2,"C",IF('Data Source'!W170&gt;=1,"D","F")))))),"")</f>
        <v/>
      </c>
      <c r="F170" s="3">
        <f>IF(AND('Data Source'!B170&lt;&gt;"",'Data Source'!S170="F"),IF('Data Source'!X170&gt;=5,"A+",IF('Data Source'!X170&gt;=4,"A",IF('Data Source'!X170&gt;=3.5,"A-",IF('Data Source'!X170&gt;=3,"B",IF('Data Source'!X170&gt;=2,"C",IF('Data Source'!X170&gt;=1,"D","F")))))),"")</f>
        <v/>
      </c>
      <c r="G170" s="3">
        <f>IF(AND('Data Source'!B170&lt;&gt;"",'Data Source'!S170="F"),IF('Data Source'!Y170&gt;=5,"A+",IF('Data Source'!Y170&gt;=4,"A",IF('Data Source'!Y170&gt;=3.5,"A-",IF('Data Source'!Y170&gt;=3,"B",IF('Data Source'!Y170&gt;=2,"C",IF('Data Source'!Y170&gt;=1,"D","F")))))),"")</f>
        <v/>
      </c>
      <c r="H170" s="3">
        <f>IF(AND('Data Source'!B170&lt;&gt;"",'Data Source'!S170="F"),IF('Data Source'!Z170&gt;=5,"A+",IF('Data Source'!Z170&gt;=4,"A",IF('Data Source'!Z170&gt;=3.5,"A-",IF('Data Source'!Z170&gt;=3,"B",IF('Data Source'!Z170&gt;=2,"C",IF('Data Source'!Z170&gt;=1,"D","F")))))),"")</f>
        <v/>
      </c>
      <c r="I170" s="3">
        <f>IF(AND('Data Source'!B170&lt;&gt;"",'Data Source'!S170="F"),IF('Data Source'!AA170&gt;=5,"A+",IF('Data Source'!AA170&gt;=4,"A",IF('Data Source'!AA170&gt;=3.5,"A-",IF('Data Source'!AA170&gt;=3,"B",IF('Data Source'!AA170&gt;=2,"C",IF('Data Source'!AA170&gt;=1,"D","F")))))),"")</f>
        <v/>
      </c>
      <c r="J170" s="3">
        <f>IF(AND('Data Source'!B170&lt;&gt;"",'Data Source'!S170="F"),IF('Data Source'!AB170&gt;=5,"A+",IF('Data Source'!AB170&gt;=4,"A",IF('Data Source'!AB170&gt;=3.5,"A-",IF('Data Source'!AB170&gt;=3,"B",IF('Data Source'!AB170&gt;=2,"C",IF('Data Source'!AB170&gt;=1,"D","F")))))),"")</f>
        <v/>
      </c>
      <c r="K170" s="3">
        <f>IF(AND('Data Source'!B170&lt;&gt;"",'Data Source'!S170="F"),IF('Data Source'!AC170&gt;=5,"A+",IF('Data Source'!AC170&gt;=4,"A",IF('Data Source'!AC170&gt;=3.5,"A-",IF('Data Source'!AC170&gt;=3,"B",IF('Data Source'!AC170&gt;=2,"C",IF('Data Source'!AC170&gt;=1,"D","F")))))),"")</f>
        <v/>
      </c>
      <c r="L170" s="3">
        <f>IF(AND('Data Source'!B170&lt;&gt;"",'Data Source'!S170="F"),IF('Data Source'!AD170&gt;=5,"A+",IF('Data Source'!AD170&gt;=4,"A",IF('Data Source'!AD170&gt;=3.5,"A-",IF('Data Source'!AD170&gt;=3,"B",IF('Data Source'!AD170&gt;=2,"C",IF('Data Source'!AD170&gt;=1,"D","F")))))),"")</f>
        <v/>
      </c>
      <c r="M170" s="3">
        <f>IF(AND('Data Source'!B170&lt;&gt;"",'Data Source'!S170="F"),IF('Data Source'!AE170&gt;=5,"A+",IF('Data Source'!AE170&gt;=4,"A",IF('Data Source'!AE170&gt;=3.5,"A-",IF('Data Source'!AE170&gt;=3,"B",IF('Data Source'!AE170&gt;=2,"C",IF('Data Source'!AE170&gt;=1,"D","F")))))),"")</f>
        <v/>
      </c>
      <c r="N170" s="3">
        <f>IF(AND('Data Source'!B170&lt;&gt;"",'Data Source'!S170="F"),IF('Data Source'!AF170&gt;=5,"A+",IF('Data Source'!AF170&gt;=4,"A",IF('Data Source'!AF170&gt;=3.5,"A-",IF('Data Source'!AF170&gt;=3,"B",IF('Data Source'!AF170&gt;=2,"C",IF('Data Source'!AF170&gt;=1,"D","F")))))),"")</f>
        <v/>
      </c>
      <c r="O170" s="3">
        <f>IF(AND('Data Source'!B170&lt;&gt;"",'Data Source'!S170="F"),IF('Data Source'!AG170&gt;=5,"A+",IF('Data Source'!AG170&gt;=4,"A",IF('Data Source'!AG170&gt;=3.5,"A-",IF('Data Source'!AG170&gt;=3,"B",IF('Data Source'!AG170&gt;=2,"C",IF('Data Source'!AG170&gt;=1,"D","F")))))),"")</f>
        <v/>
      </c>
      <c r="P170" s="5">
        <f>IF(AND('Data Source'!B170&lt;&gt;"",'Data Source'!S170="F"),'Data Source'!R170,"")</f>
        <v/>
      </c>
      <c r="Q170" s="3">
        <f>IF(AND('Data Source'!B170&lt;&gt;"",'Data Source'!S170="F"),'Data Source'!S170,"")</f>
        <v/>
      </c>
    </row>
    <row r="171">
      <c r="A171" s="3">
        <f>IF(AND('Data Source'!B171&lt;&gt;"",'Data Source'!S171="F"),COUNTIF('Data Source'!$S$3:S171,"F"),"")</f>
        <v/>
      </c>
      <c r="B171">
        <f>IF(AND('Data Source'!B171&lt;&gt;"",'Data Source'!S171="F"),'Data Source'!B171,"")</f>
        <v/>
      </c>
      <c r="C171" s="3">
        <f>IF(AND('Data Source'!B171&lt;&gt;"",'Data Source'!S171="F"),IF('Data Source'!U171&gt;=5,"A+",IF('Data Source'!U171&gt;=4,"A",IF('Data Source'!U171&gt;=3.5,"A-",IF('Data Source'!U171&gt;=3,"B",IF('Data Source'!U171&gt;=2,"C",IF('Data Source'!U171&gt;=1,"D","F")))))),"")</f>
        <v/>
      </c>
      <c r="D171" s="3">
        <f>IF(AND('Data Source'!B171&lt;&gt;"",'Data Source'!S171="F"),IF('Data Source'!V171&gt;=5,"A+",IF('Data Source'!V171&gt;=4,"A",IF('Data Source'!V171&gt;=3.5,"A-",IF('Data Source'!V171&gt;=3,"B",IF('Data Source'!V171&gt;=2,"C",IF('Data Source'!V171&gt;=1,"D","F")))))),"")</f>
        <v/>
      </c>
      <c r="E171" s="3">
        <f>IF(AND('Data Source'!B171&lt;&gt;"",'Data Source'!S171="F"),IF('Data Source'!W171&gt;=5,"A+",IF('Data Source'!W171&gt;=4,"A",IF('Data Source'!W171&gt;=3.5,"A-",IF('Data Source'!W171&gt;=3,"B",IF('Data Source'!W171&gt;=2,"C",IF('Data Source'!W171&gt;=1,"D","F")))))),"")</f>
        <v/>
      </c>
      <c r="F171" s="3">
        <f>IF(AND('Data Source'!B171&lt;&gt;"",'Data Source'!S171="F"),IF('Data Source'!X171&gt;=5,"A+",IF('Data Source'!X171&gt;=4,"A",IF('Data Source'!X171&gt;=3.5,"A-",IF('Data Source'!X171&gt;=3,"B",IF('Data Source'!X171&gt;=2,"C",IF('Data Source'!X171&gt;=1,"D","F")))))),"")</f>
        <v/>
      </c>
      <c r="G171" s="3">
        <f>IF(AND('Data Source'!B171&lt;&gt;"",'Data Source'!S171="F"),IF('Data Source'!Y171&gt;=5,"A+",IF('Data Source'!Y171&gt;=4,"A",IF('Data Source'!Y171&gt;=3.5,"A-",IF('Data Source'!Y171&gt;=3,"B",IF('Data Source'!Y171&gt;=2,"C",IF('Data Source'!Y171&gt;=1,"D","F")))))),"")</f>
        <v/>
      </c>
      <c r="H171" s="3">
        <f>IF(AND('Data Source'!B171&lt;&gt;"",'Data Source'!S171="F"),IF('Data Source'!Z171&gt;=5,"A+",IF('Data Source'!Z171&gt;=4,"A",IF('Data Source'!Z171&gt;=3.5,"A-",IF('Data Source'!Z171&gt;=3,"B",IF('Data Source'!Z171&gt;=2,"C",IF('Data Source'!Z171&gt;=1,"D","F")))))),"")</f>
        <v/>
      </c>
      <c r="I171" s="3">
        <f>IF(AND('Data Source'!B171&lt;&gt;"",'Data Source'!S171="F"),IF('Data Source'!AA171&gt;=5,"A+",IF('Data Source'!AA171&gt;=4,"A",IF('Data Source'!AA171&gt;=3.5,"A-",IF('Data Source'!AA171&gt;=3,"B",IF('Data Source'!AA171&gt;=2,"C",IF('Data Source'!AA171&gt;=1,"D","F")))))),"")</f>
        <v/>
      </c>
      <c r="J171" s="3">
        <f>IF(AND('Data Source'!B171&lt;&gt;"",'Data Source'!S171="F"),IF('Data Source'!AB171&gt;=5,"A+",IF('Data Source'!AB171&gt;=4,"A",IF('Data Source'!AB171&gt;=3.5,"A-",IF('Data Source'!AB171&gt;=3,"B",IF('Data Source'!AB171&gt;=2,"C",IF('Data Source'!AB171&gt;=1,"D","F")))))),"")</f>
        <v/>
      </c>
      <c r="K171" s="3">
        <f>IF(AND('Data Source'!B171&lt;&gt;"",'Data Source'!S171="F"),IF('Data Source'!AC171&gt;=5,"A+",IF('Data Source'!AC171&gt;=4,"A",IF('Data Source'!AC171&gt;=3.5,"A-",IF('Data Source'!AC171&gt;=3,"B",IF('Data Source'!AC171&gt;=2,"C",IF('Data Source'!AC171&gt;=1,"D","F")))))),"")</f>
        <v/>
      </c>
      <c r="L171" s="3">
        <f>IF(AND('Data Source'!B171&lt;&gt;"",'Data Source'!S171="F"),IF('Data Source'!AD171&gt;=5,"A+",IF('Data Source'!AD171&gt;=4,"A",IF('Data Source'!AD171&gt;=3.5,"A-",IF('Data Source'!AD171&gt;=3,"B",IF('Data Source'!AD171&gt;=2,"C",IF('Data Source'!AD171&gt;=1,"D","F")))))),"")</f>
        <v/>
      </c>
      <c r="M171" s="3">
        <f>IF(AND('Data Source'!B171&lt;&gt;"",'Data Source'!S171="F"),IF('Data Source'!AE171&gt;=5,"A+",IF('Data Source'!AE171&gt;=4,"A",IF('Data Source'!AE171&gt;=3.5,"A-",IF('Data Source'!AE171&gt;=3,"B",IF('Data Source'!AE171&gt;=2,"C",IF('Data Source'!AE171&gt;=1,"D","F")))))),"")</f>
        <v/>
      </c>
      <c r="N171" s="3">
        <f>IF(AND('Data Source'!B171&lt;&gt;"",'Data Source'!S171="F"),IF('Data Source'!AF171&gt;=5,"A+",IF('Data Source'!AF171&gt;=4,"A",IF('Data Source'!AF171&gt;=3.5,"A-",IF('Data Source'!AF171&gt;=3,"B",IF('Data Source'!AF171&gt;=2,"C",IF('Data Source'!AF171&gt;=1,"D","F")))))),"")</f>
        <v/>
      </c>
      <c r="O171" s="3">
        <f>IF(AND('Data Source'!B171&lt;&gt;"",'Data Source'!S171="F"),IF('Data Source'!AG171&gt;=5,"A+",IF('Data Source'!AG171&gt;=4,"A",IF('Data Source'!AG171&gt;=3.5,"A-",IF('Data Source'!AG171&gt;=3,"B",IF('Data Source'!AG171&gt;=2,"C",IF('Data Source'!AG171&gt;=1,"D","F")))))),"")</f>
        <v/>
      </c>
      <c r="P171" s="5">
        <f>IF(AND('Data Source'!B171&lt;&gt;"",'Data Source'!S171="F"),'Data Source'!R171,"")</f>
        <v/>
      </c>
      <c r="Q171" s="3">
        <f>IF(AND('Data Source'!B171&lt;&gt;"",'Data Source'!S171="F"),'Data Source'!S171,"")</f>
        <v/>
      </c>
    </row>
    <row r="172">
      <c r="A172" s="3">
        <f>IF(AND('Data Source'!B172&lt;&gt;"",'Data Source'!S172="F"),COUNTIF('Data Source'!$S$3:S172,"F"),"")</f>
        <v/>
      </c>
      <c r="B172">
        <f>IF(AND('Data Source'!B172&lt;&gt;"",'Data Source'!S172="F"),'Data Source'!B172,"")</f>
        <v/>
      </c>
      <c r="C172" s="3">
        <f>IF(AND('Data Source'!B172&lt;&gt;"",'Data Source'!S172="F"),IF('Data Source'!U172&gt;=5,"A+",IF('Data Source'!U172&gt;=4,"A",IF('Data Source'!U172&gt;=3.5,"A-",IF('Data Source'!U172&gt;=3,"B",IF('Data Source'!U172&gt;=2,"C",IF('Data Source'!U172&gt;=1,"D","F")))))),"")</f>
        <v/>
      </c>
      <c r="D172" s="3">
        <f>IF(AND('Data Source'!B172&lt;&gt;"",'Data Source'!S172="F"),IF('Data Source'!V172&gt;=5,"A+",IF('Data Source'!V172&gt;=4,"A",IF('Data Source'!V172&gt;=3.5,"A-",IF('Data Source'!V172&gt;=3,"B",IF('Data Source'!V172&gt;=2,"C",IF('Data Source'!V172&gt;=1,"D","F")))))),"")</f>
        <v/>
      </c>
      <c r="E172" s="3">
        <f>IF(AND('Data Source'!B172&lt;&gt;"",'Data Source'!S172="F"),IF('Data Source'!W172&gt;=5,"A+",IF('Data Source'!W172&gt;=4,"A",IF('Data Source'!W172&gt;=3.5,"A-",IF('Data Source'!W172&gt;=3,"B",IF('Data Source'!W172&gt;=2,"C",IF('Data Source'!W172&gt;=1,"D","F")))))),"")</f>
        <v/>
      </c>
      <c r="F172" s="3">
        <f>IF(AND('Data Source'!B172&lt;&gt;"",'Data Source'!S172="F"),IF('Data Source'!X172&gt;=5,"A+",IF('Data Source'!X172&gt;=4,"A",IF('Data Source'!X172&gt;=3.5,"A-",IF('Data Source'!X172&gt;=3,"B",IF('Data Source'!X172&gt;=2,"C",IF('Data Source'!X172&gt;=1,"D","F")))))),"")</f>
        <v/>
      </c>
      <c r="G172" s="3">
        <f>IF(AND('Data Source'!B172&lt;&gt;"",'Data Source'!S172="F"),IF('Data Source'!Y172&gt;=5,"A+",IF('Data Source'!Y172&gt;=4,"A",IF('Data Source'!Y172&gt;=3.5,"A-",IF('Data Source'!Y172&gt;=3,"B",IF('Data Source'!Y172&gt;=2,"C",IF('Data Source'!Y172&gt;=1,"D","F")))))),"")</f>
        <v/>
      </c>
      <c r="H172" s="3">
        <f>IF(AND('Data Source'!B172&lt;&gt;"",'Data Source'!S172="F"),IF('Data Source'!Z172&gt;=5,"A+",IF('Data Source'!Z172&gt;=4,"A",IF('Data Source'!Z172&gt;=3.5,"A-",IF('Data Source'!Z172&gt;=3,"B",IF('Data Source'!Z172&gt;=2,"C",IF('Data Source'!Z172&gt;=1,"D","F")))))),"")</f>
        <v/>
      </c>
      <c r="I172" s="3">
        <f>IF(AND('Data Source'!B172&lt;&gt;"",'Data Source'!S172="F"),IF('Data Source'!AA172&gt;=5,"A+",IF('Data Source'!AA172&gt;=4,"A",IF('Data Source'!AA172&gt;=3.5,"A-",IF('Data Source'!AA172&gt;=3,"B",IF('Data Source'!AA172&gt;=2,"C",IF('Data Source'!AA172&gt;=1,"D","F")))))),"")</f>
        <v/>
      </c>
      <c r="J172" s="3">
        <f>IF(AND('Data Source'!B172&lt;&gt;"",'Data Source'!S172="F"),IF('Data Source'!AB172&gt;=5,"A+",IF('Data Source'!AB172&gt;=4,"A",IF('Data Source'!AB172&gt;=3.5,"A-",IF('Data Source'!AB172&gt;=3,"B",IF('Data Source'!AB172&gt;=2,"C",IF('Data Source'!AB172&gt;=1,"D","F")))))),"")</f>
        <v/>
      </c>
      <c r="K172" s="3">
        <f>IF(AND('Data Source'!B172&lt;&gt;"",'Data Source'!S172="F"),IF('Data Source'!AC172&gt;=5,"A+",IF('Data Source'!AC172&gt;=4,"A",IF('Data Source'!AC172&gt;=3.5,"A-",IF('Data Source'!AC172&gt;=3,"B",IF('Data Source'!AC172&gt;=2,"C",IF('Data Source'!AC172&gt;=1,"D","F")))))),"")</f>
        <v/>
      </c>
      <c r="L172" s="3">
        <f>IF(AND('Data Source'!B172&lt;&gt;"",'Data Source'!S172="F"),IF('Data Source'!AD172&gt;=5,"A+",IF('Data Source'!AD172&gt;=4,"A",IF('Data Source'!AD172&gt;=3.5,"A-",IF('Data Source'!AD172&gt;=3,"B",IF('Data Source'!AD172&gt;=2,"C",IF('Data Source'!AD172&gt;=1,"D","F")))))),"")</f>
        <v/>
      </c>
      <c r="M172" s="3">
        <f>IF(AND('Data Source'!B172&lt;&gt;"",'Data Source'!S172="F"),IF('Data Source'!AE172&gt;=5,"A+",IF('Data Source'!AE172&gt;=4,"A",IF('Data Source'!AE172&gt;=3.5,"A-",IF('Data Source'!AE172&gt;=3,"B",IF('Data Source'!AE172&gt;=2,"C",IF('Data Source'!AE172&gt;=1,"D","F")))))),"")</f>
        <v/>
      </c>
      <c r="N172" s="3">
        <f>IF(AND('Data Source'!B172&lt;&gt;"",'Data Source'!S172="F"),IF('Data Source'!AF172&gt;=5,"A+",IF('Data Source'!AF172&gt;=4,"A",IF('Data Source'!AF172&gt;=3.5,"A-",IF('Data Source'!AF172&gt;=3,"B",IF('Data Source'!AF172&gt;=2,"C",IF('Data Source'!AF172&gt;=1,"D","F")))))),"")</f>
        <v/>
      </c>
      <c r="O172" s="3">
        <f>IF(AND('Data Source'!B172&lt;&gt;"",'Data Source'!S172="F"),IF('Data Source'!AG172&gt;=5,"A+",IF('Data Source'!AG172&gt;=4,"A",IF('Data Source'!AG172&gt;=3.5,"A-",IF('Data Source'!AG172&gt;=3,"B",IF('Data Source'!AG172&gt;=2,"C",IF('Data Source'!AG172&gt;=1,"D","F")))))),"")</f>
        <v/>
      </c>
      <c r="P172" s="5">
        <f>IF(AND('Data Source'!B172&lt;&gt;"",'Data Source'!S172="F"),'Data Source'!R172,"")</f>
        <v/>
      </c>
      <c r="Q172" s="3">
        <f>IF(AND('Data Source'!B172&lt;&gt;"",'Data Source'!S172="F"),'Data Source'!S172,"")</f>
        <v/>
      </c>
    </row>
    <row r="173">
      <c r="A173" s="3">
        <f>IF(AND('Data Source'!B173&lt;&gt;"",'Data Source'!S173="F"),COUNTIF('Data Source'!$S$3:S173,"F"),"")</f>
        <v/>
      </c>
      <c r="B173">
        <f>IF(AND('Data Source'!B173&lt;&gt;"",'Data Source'!S173="F"),'Data Source'!B173,"")</f>
        <v/>
      </c>
      <c r="C173" s="3">
        <f>IF(AND('Data Source'!B173&lt;&gt;"",'Data Source'!S173="F"),IF('Data Source'!U173&gt;=5,"A+",IF('Data Source'!U173&gt;=4,"A",IF('Data Source'!U173&gt;=3.5,"A-",IF('Data Source'!U173&gt;=3,"B",IF('Data Source'!U173&gt;=2,"C",IF('Data Source'!U173&gt;=1,"D","F")))))),"")</f>
        <v/>
      </c>
      <c r="D173" s="3">
        <f>IF(AND('Data Source'!B173&lt;&gt;"",'Data Source'!S173="F"),IF('Data Source'!V173&gt;=5,"A+",IF('Data Source'!V173&gt;=4,"A",IF('Data Source'!V173&gt;=3.5,"A-",IF('Data Source'!V173&gt;=3,"B",IF('Data Source'!V173&gt;=2,"C",IF('Data Source'!V173&gt;=1,"D","F")))))),"")</f>
        <v/>
      </c>
      <c r="E173" s="3">
        <f>IF(AND('Data Source'!B173&lt;&gt;"",'Data Source'!S173="F"),IF('Data Source'!W173&gt;=5,"A+",IF('Data Source'!W173&gt;=4,"A",IF('Data Source'!W173&gt;=3.5,"A-",IF('Data Source'!W173&gt;=3,"B",IF('Data Source'!W173&gt;=2,"C",IF('Data Source'!W173&gt;=1,"D","F")))))),"")</f>
        <v/>
      </c>
      <c r="F173" s="3">
        <f>IF(AND('Data Source'!B173&lt;&gt;"",'Data Source'!S173="F"),IF('Data Source'!X173&gt;=5,"A+",IF('Data Source'!X173&gt;=4,"A",IF('Data Source'!X173&gt;=3.5,"A-",IF('Data Source'!X173&gt;=3,"B",IF('Data Source'!X173&gt;=2,"C",IF('Data Source'!X173&gt;=1,"D","F")))))),"")</f>
        <v/>
      </c>
      <c r="G173" s="3">
        <f>IF(AND('Data Source'!B173&lt;&gt;"",'Data Source'!S173="F"),IF('Data Source'!Y173&gt;=5,"A+",IF('Data Source'!Y173&gt;=4,"A",IF('Data Source'!Y173&gt;=3.5,"A-",IF('Data Source'!Y173&gt;=3,"B",IF('Data Source'!Y173&gt;=2,"C",IF('Data Source'!Y173&gt;=1,"D","F")))))),"")</f>
        <v/>
      </c>
      <c r="H173" s="3">
        <f>IF(AND('Data Source'!B173&lt;&gt;"",'Data Source'!S173="F"),IF('Data Source'!Z173&gt;=5,"A+",IF('Data Source'!Z173&gt;=4,"A",IF('Data Source'!Z173&gt;=3.5,"A-",IF('Data Source'!Z173&gt;=3,"B",IF('Data Source'!Z173&gt;=2,"C",IF('Data Source'!Z173&gt;=1,"D","F")))))),"")</f>
        <v/>
      </c>
      <c r="I173" s="3">
        <f>IF(AND('Data Source'!B173&lt;&gt;"",'Data Source'!S173="F"),IF('Data Source'!AA173&gt;=5,"A+",IF('Data Source'!AA173&gt;=4,"A",IF('Data Source'!AA173&gt;=3.5,"A-",IF('Data Source'!AA173&gt;=3,"B",IF('Data Source'!AA173&gt;=2,"C",IF('Data Source'!AA173&gt;=1,"D","F")))))),"")</f>
        <v/>
      </c>
      <c r="J173" s="3">
        <f>IF(AND('Data Source'!B173&lt;&gt;"",'Data Source'!S173="F"),IF('Data Source'!AB173&gt;=5,"A+",IF('Data Source'!AB173&gt;=4,"A",IF('Data Source'!AB173&gt;=3.5,"A-",IF('Data Source'!AB173&gt;=3,"B",IF('Data Source'!AB173&gt;=2,"C",IF('Data Source'!AB173&gt;=1,"D","F")))))),"")</f>
        <v/>
      </c>
      <c r="K173" s="3">
        <f>IF(AND('Data Source'!B173&lt;&gt;"",'Data Source'!S173="F"),IF('Data Source'!AC173&gt;=5,"A+",IF('Data Source'!AC173&gt;=4,"A",IF('Data Source'!AC173&gt;=3.5,"A-",IF('Data Source'!AC173&gt;=3,"B",IF('Data Source'!AC173&gt;=2,"C",IF('Data Source'!AC173&gt;=1,"D","F")))))),"")</f>
        <v/>
      </c>
      <c r="L173" s="3">
        <f>IF(AND('Data Source'!B173&lt;&gt;"",'Data Source'!S173="F"),IF('Data Source'!AD173&gt;=5,"A+",IF('Data Source'!AD173&gt;=4,"A",IF('Data Source'!AD173&gt;=3.5,"A-",IF('Data Source'!AD173&gt;=3,"B",IF('Data Source'!AD173&gt;=2,"C",IF('Data Source'!AD173&gt;=1,"D","F")))))),"")</f>
        <v/>
      </c>
      <c r="M173" s="3">
        <f>IF(AND('Data Source'!B173&lt;&gt;"",'Data Source'!S173="F"),IF('Data Source'!AE173&gt;=5,"A+",IF('Data Source'!AE173&gt;=4,"A",IF('Data Source'!AE173&gt;=3.5,"A-",IF('Data Source'!AE173&gt;=3,"B",IF('Data Source'!AE173&gt;=2,"C",IF('Data Source'!AE173&gt;=1,"D","F")))))),"")</f>
        <v/>
      </c>
      <c r="N173" s="3">
        <f>IF(AND('Data Source'!B173&lt;&gt;"",'Data Source'!S173="F"),IF('Data Source'!AF173&gt;=5,"A+",IF('Data Source'!AF173&gt;=4,"A",IF('Data Source'!AF173&gt;=3.5,"A-",IF('Data Source'!AF173&gt;=3,"B",IF('Data Source'!AF173&gt;=2,"C",IF('Data Source'!AF173&gt;=1,"D","F")))))),"")</f>
        <v/>
      </c>
      <c r="O173" s="3">
        <f>IF(AND('Data Source'!B173&lt;&gt;"",'Data Source'!S173="F"),IF('Data Source'!AG173&gt;=5,"A+",IF('Data Source'!AG173&gt;=4,"A",IF('Data Source'!AG173&gt;=3.5,"A-",IF('Data Source'!AG173&gt;=3,"B",IF('Data Source'!AG173&gt;=2,"C",IF('Data Source'!AG173&gt;=1,"D","F")))))),"")</f>
        <v/>
      </c>
      <c r="P173" s="5">
        <f>IF(AND('Data Source'!B173&lt;&gt;"",'Data Source'!S173="F"),'Data Source'!R173,"")</f>
        <v/>
      </c>
      <c r="Q173" s="3">
        <f>IF(AND('Data Source'!B173&lt;&gt;"",'Data Source'!S173="F"),'Data Source'!S173,"")</f>
        <v/>
      </c>
    </row>
    <row r="174">
      <c r="A174" s="3">
        <f>IF(AND('Data Source'!B174&lt;&gt;"",'Data Source'!S174="F"),COUNTIF('Data Source'!$S$3:S174,"F"),"")</f>
        <v/>
      </c>
      <c r="B174">
        <f>IF(AND('Data Source'!B174&lt;&gt;"",'Data Source'!S174="F"),'Data Source'!B174,"")</f>
        <v/>
      </c>
      <c r="C174" s="3">
        <f>IF(AND('Data Source'!B174&lt;&gt;"",'Data Source'!S174="F"),IF('Data Source'!U174&gt;=5,"A+",IF('Data Source'!U174&gt;=4,"A",IF('Data Source'!U174&gt;=3.5,"A-",IF('Data Source'!U174&gt;=3,"B",IF('Data Source'!U174&gt;=2,"C",IF('Data Source'!U174&gt;=1,"D","F")))))),"")</f>
        <v/>
      </c>
      <c r="D174" s="3">
        <f>IF(AND('Data Source'!B174&lt;&gt;"",'Data Source'!S174="F"),IF('Data Source'!V174&gt;=5,"A+",IF('Data Source'!V174&gt;=4,"A",IF('Data Source'!V174&gt;=3.5,"A-",IF('Data Source'!V174&gt;=3,"B",IF('Data Source'!V174&gt;=2,"C",IF('Data Source'!V174&gt;=1,"D","F")))))),"")</f>
        <v/>
      </c>
      <c r="E174" s="3">
        <f>IF(AND('Data Source'!B174&lt;&gt;"",'Data Source'!S174="F"),IF('Data Source'!W174&gt;=5,"A+",IF('Data Source'!W174&gt;=4,"A",IF('Data Source'!W174&gt;=3.5,"A-",IF('Data Source'!W174&gt;=3,"B",IF('Data Source'!W174&gt;=2,"C",IF('Data Source'!W174&gt;=1,"D","F")))))),"")</f>
        <v/>
      </c>
      <c r="F174" s="3">
        <f>IF(AND('Data Source'!B174&lt;&gt;"",'Data Source'!S174="F"),IF('Data Source'!X174&gt;=5,"A+",IF('Data Source'!X174&gt;=4,"A",IF('Data Source'!X174&gt;=3.5,"A-",IF('Data Source'!X174&gt;=3,"B",IF('Data Source'!X174&gt;=2,"C",IF('Data Source'!X174&gt;=1,"D","F")))))),"")</f>
        <v/>
      </c>
      <c r="G174" s="3">
        <f>IF(AND('Data Source'!B174&lt;&gt;"",'Data Source'!S174="F"),IF('Data Source'!Y174&gt;=5,"A+",IF('Data Source'!Y174&gt;=4,"A",IF('Data Source'!Y174&gt;=3.5,"A-",IF('Data Source'!Y174&gt;=3,"B",IF('Data Source'!Y174&gt;=2,"C",IF('Data Source'!Y174&gt;=1,"D","F")))))),"")</f>
        <v/>
      </c>
      <c r="H174" s="3">
        <f>IF(AND('Data Source'!B174&lt;&gt;"",'Data Source'!S174="F"),IF('Data Source'!Z174&gt;=5,"A+",IF('Data Source'!Z174&gt;=4,"A",IF('Data Source'!Z174&gt;=3.5,"A-",IF('Data Source'!Z174&gt;=3,"B",IF('Data Source'!Z174&gt;=2,"C",IF('Data Source'!Z174&gt;=1,"D","F")))))),"")</f>
        <v/>
      </c>
      <c r="I174" s="3">
        <f>IF(AND('Data Source'!B174&lt;&gt;"",'Data Source'!S174="F"),IF('Data Source'!AA174&gt;=5,"A+",IF('Data Source'!AA174&gt;=4,"A",IF('Data Source'!AA174&gt;=3.5,"A-",IF('Data Source'!AA174&gt;=3,"B",IF('Data Source'!AA174&gt;=2,"C",IF('Data Source'!AA174&gt;=1,"D","F")))))),"")</f>
        <v/>
      </c>
      <c r="J174" s="3">
        <f>IF(AND('Data Source'!B174&lt;&gt;"",'Data Source'!S174="F"),IF('Data Source'!AB174&gt;=5,"A+",IF('Data Source'!AB174&gt;=4,"A",IF('Data Source'!AB174&gt;=3.5,"A-",IF('Data Source'!AB174&gt;=3,"B",IF('Data Source'!AB174&gt;=2,"C",IF('Data Source'!AB174&gt;=1,"D","F")))))),"")</f>
        <v/>
      </c>
      <c r="K174" s="3">
        <f>IF(AND('Data Source'!B174&lt;&gt;"",'Data Source'!S174="F"),IF('Data Source'!AC174&gt;=5,"A+",IF('Data Source'!AC174&gt;=4,"A",IF('Data Source'!AC174&gt;=3.5,"A-",IF('Data Source'!AC174&gt;=3,"B",IF('Data Source'!AC174&gt;=2,"C",IF('Data Source'!AC174&gt;=1,"D","F")))))),"")</f>
        <v/>
      </c>
      <c r="L174" s="3">
        <f>IF(AND('Data Source'!B174&lt;&gt;"",'Data Source'!S174="F"),IF('Data Source'!AD174&gt;=5,"A+",IF('Data Source'!AD174&gt;=4,"A",IF('Data Source'!AD174&gt;=3.5,"A-",IF('Data Source'!AD174&gt;=3,"B",IF('Data Source'!AD174&gt;=2,"C",IF('Data Source'!AD174&gt;=1,"D","F")))))),"")</f>
        <v/>
      </c>
      <c r="M174" s="3">
        <f>IF(AND('Data Source'!B174&lt;&gt;"",'Data Source'!S174="F"),IF('Data Source'!AE174&gt;=5,"A+",IF('Data Source'!AE174&gt;=4,"A",IF('Data Source'!AE174&gt;=3.5,"A-",IF('Data Source'!AE174&gt;=3,"B",IF('Data Source'!AE174&gt;=2,"C",IF('Data Source'!AE174&gt;=1,"D","F")))))),"")</f>
        <v/>
      </c>
      <c r="N174" s="3">
        <f>IF(AND('Data Source'!B174&lt;&gt;"",'Data Source'!S174="F"),IF('Data Source'!AF174&gt;=5,"A+",IF('Data Source'!AF174&gt;=4,"A",IF('Data Source'!AF174&gt;=3.5,"A-",IF('Data Source'!AF174&gt;=3,"B",IF('Data Source'!AF174&gt;=2,"C",IF('Data Source'!AF174&gt;=1,"D","F")))))),"")</f>
        <v/>
      </c>
      <c r="O174" s="3">
        <f>IF(AND('Data Source'!B174&lt;&gt;"",'Data Source'!S174="F"),IF('Data Source'!AG174&gt;=5,"A+",IF('Data Source'!AG174&gt;=4,"A",IF('Data Source'!AG174&gt;=3.5,"A-",IF('Data Source'!AG174&gt;=3,"B",IF('Data Source'!AG174&gt;=2,"C",IF('Data Source'!AG174&gt;=1,"D","F")))))),"")</f>
        <v/>
      </c>
      <c r="P174" s="5">
        <f>IF(AND('Data Source'!B174&lt;&gt;"",'Data Source'!S174="F"),'Data Source'!R174,"")</f>
        <v/>
      </c>
      <c r="Q174" s="3">
        <f>IF(AND('Data Source'!B174&lt;&gt;"",'Data Source'!S174="F"),'Data Source'!S174,"")</f>
        <v/>
      </c>
    </row>
    <row r="175">
      <c r="A175" s="3">
        <f>IF(AND('Data Source'!B175&lt;&gt;"",'Data Source'!S175="F"),COUNTIF('Data Source'!$S$3:S175,"F"),"")</f>
        <v/>
      </c>
      <c r="B175">
        <f>IF(AND('Data Source'!B175&lt;&gt;"",'Data Source'!S175="F"),'Data Source'!B175,"")</f>
        <v/>
      </c>
      <c r="C175" s="3">
        <f>IF(AND('Data Source'!B175&lt;&gt;"",'Data Source'!S175="F"),IF('Data Source'!U175&gt;=5,"A+",IF('Data Source'!U175&gt;=4,"A",IF('Data Source'!U175&gt;=3.5,"A-",IF('Data Source'!U175&gt;=3,"B",IF('Data Source'!U175&gt;=2,"C",IF('Data Source'!U175&gt;=1,"D","F")))))),"")</f>
        <v/>
      </c>
      <c r="D175" s="3">
        <f>IF(AND('Data Source'!B175&lt;&gt;"",'Data Source'!S175="F"),IF('Data Source'!V175&gt;=5,"A+",IF('Data Source'!V175&gt;=4,"A",IF('Data Source'!V175&gt;=3.5,"A-",IF('Data Source'!V175&gt;=3,"B",IF('Data Source'!V175&gt;=2,"C",IF('Data Source'!V175&gt;=1,"D","F")))))),"")</f>
        <v/>
      </c>
      <c r="E175" s="3">
        <f>IF(AND('Data Source'!B175&lt;&gt;"",'Data Source'!S175="F"),IF('Data Source'!W175&gt;=5,"A+",IF('Data Source'!W175&gt;=4,"A",IF('Data Source'!W175&gt;=3.5,"A-",IF('Data Source'!W175&gt;=3,"B",IF('Data Source'!W175&gt;=2,"C",IF('Data Source'!W175&gt;=1,"D","F")))))),"")</f>
        <v/>
      </c>
      <c r="F175" s="3">
        <f>IF(AND('Data Source'!B175&lt;&gt;"",'Data Source'!S175="F"),IF('Data Source'!X175&gt;=5,"A+",IF('Data Source'!X175&gt;=4,"A",IF('Data Source'!X175&gt;=3.5,"A-",IF('Data Source'!X175&gt;=3,"B",IF('Data Source'!X175&gt;=2,"C",IF('Data Source'!X175&gt;=1,"D","F")))))),"")</f>
        <v/>
      </c>
      <c r="G175" s="3">
        <f>IF(AND('Data Source'!B175&lt;&gt;"",'Data Source'!S175="F"),IF('Data Source'!Y175&gt;=5,"A+",IF('Data Source'!Y175&gt;=4,"A",IF('Data Source'!Y175&gt;=3.5,"A-",IF('Data Source'!Y175&gt;=3,"B",IF('Data Source'!Y175&gt;=2,"C",IF('Data Source'!Y175&gt;=1,"D","F")))))),"")</f>
        <v/>
      </c>
      <c r="H175" s="3">
        <f>IF(AND('Data Source'!B175&lt;&gt;"",'Data Source'!S175="F"),IF('Data Source'!Z175&gt;=5,"A+",IF('Data Source'!Z175&gt;=4,"A",IF('Data Source'!Z175&gt;=3.5,"A-",IF('Data Source'!Z175&gt;=3,"B",IF('Data Source'!Z175&gt;=2,"C",IF('Data Source'!Z175&gt;=1,"D","F")))))),"")</f>
        <v/>
      </c>
      <c r="I175" s="3">
        <f>IF(AND('Data Source'!B175&lt;&gt;"",'Data Source'!S175="F"),IF('Data Source'!AA175&gt;=5,"A+",IF('Data Source'!AA175&gt;=4,"A",IF('Data Source'!AA175&gt;=3.5,"A-",IF('Data Source'!AA175&gt;=3,"B",IF('Data Source'!AA175&gt;=2,"C",IF('Data Source'!AA175&gt;=1,"D","F")))))),"")</f>
        <v/>
      </c>
      <c r="J175" s="3">
        <f>IF(AND('Data Source'!B175&lt;&gt;"",'Data Source'!S175="F"),IF('Data Source'!AB175&gt;=5,"A+",IF('Data Source'!AB175&gt;=4,"A",IF('Data Source'!AB175&gt;=3.5,"A-",IF('Data Source'!AB175&gt;=3,"B",IF('Data Source'!AB175&gt;=2,"C",IF('Data Source'!AB175&gt;=1,"D","F")))))),"")</f>
        <v/>
      </c>
      <c r="K175" s="3">
        <f>IF(AND('Data Source'!B175&lt;&gt;"",'Data Source'!S175="F"),IF('Data Source'!AC175&gt;=5,"A+",IF('Data Source'!AC175&gt;=4,"A",IF('Data Source'!AC175&gt;=3.5,"A-",IF('Data Source'!AC175&gt;=3,"B",IF('Data Source'!AC175&gt;=2,"C",IF('Data Source'!AC175&gt;=1,"D","F")))))),"")</f>
        <v/>
      </c>
      <c r="L175" s="3">
        <f>IF(AND('Data Source'!B175&lt;&gt;"",'Data Source'!S175="F"),IF('Data Source'!AD175&gt;=5,"A+",IF('Data Source'!AD175&gt;=4,"A",IF('Data Source'!AD175&gt;=3.5,"A-",IF('Data Source'!AD175&gt;=3,"B",IF('Data Source'!AD175&gt;=2,"C",IF('Data Source'!AD175&gt;=1,"D","F")))))),"")</f>
        <v/>
      </c>
      <c r="M175" s="3">
        <f>IF(AND('Data Source'!B175&lt;&gt;"",'Data Source'!S175="F"),IF('Data Source'!AE175&gt;=5,"A+",IF('Data Source'!AE175&gt;=4,"A",IF('Data Source'!AE175&gt;=3.5,"A-",IF('Data Source'!AE175&gt;=3,"B",IF('Data Source'!AE175&gt;=2,"C",IF('Data Source'!AE175&gt;=1,"D","F")))))),"")</f>
        <v/>
      </c>
      <c r="N175" s="3">
        <f>IF(AND('Data Source'!B175&lt;&gt;"",'Data Source'!S175="F"),IF('Data Source'!AF175&gt;=5,"A+",IF('Data Source'!AF175&gt;=4,"A",IF('Data Source'!AF175&gt;=3.5,"A-",IF('Data Source'!AF175&gt;=3,"B",IF('Data Source'!AF175&gt;=2,"C",IF('Data Source'!AF175&gt;=1,"D","F")))))),"")</f>
        <v/>
      </c>
      <c r="O175" s="3">
        <f>IF(AND('Data Source'!B175&lt;&gt;"",'Data Source'!S175="F"),IF('Data Source'!AG175&gt;=5,"A+",IF('Data Source'!AG175&gt;=4,"A",IF('Data Source'!AG175&gt;=3.5,"A-",IF('Data Source'!AG175&gt;=3,"B",IF('Data Source'!AG175&gt;=2,"C",IF('Data Source'!AG175&gt;=1,"D","F")))))),"")</f>
        <v/>
      </c>
      <c r="P175" s="5">
        <f>IF(AND('Data Source'!B175&lt;&gt;"",'Data Source'!S175="F"),'Data Source'!R175,"")</f>
        <v/>
      </c>
      <c r="Q175" s="3">
        <f>IF(AND('Data Source'!B175&lt;&gt;"",'Data Source'!S175="F"),'Data Source'!S175,"")</f>
        <v/>
      </c>
    </row>
    <row r="176">
      <c r="A176" s="3">
        <f>IF(AND('Data Source'!B176&lt;&gt;"",'Data Source'!S176="F"),COUNTIF('Data Source'!$S$3:S176,"F"),"")</f>
        <v/>
      </c>
      <c r="B176">
        <f>IF(AND('Data Source'!B176&lt;&gt;"",'Data Source'!S176="F"),'Data Source'!B176,"")</f>
        <v/>
      </c>
      <c r="C176" s="3">
        <f>IF(AND('Data Source'!B176&lt;&gt;"",'Data Source'!S176="F"),IF('Data Source'!U176&gt;=5,"A+",IF('Data Source'!U176&gt;=4,"A",IF('Data Source'!U176&gt;=3.5,"A-",IF('Data Source'!U176&gt;=3,"B",IF('Data Source'!U176&gt;=2,"C",IF('Data Source'!U176&gt;=1,"D","F")))))),"")</f>
        <v/>
      </c>
      <c r="D176" s="3">
        <f>IF(AND('Data Source'!B176&lt;&gt;"",'Data Source'!S176="F"),IF('Data Source'!V176&gt;=5,"A+",IF('Data Source'!V176&gt;=4,"A",IF('Data Source'!V176&gt;=3.5,"A-",IF('Data Source'!V176&gt;=3,"B",IF('Data Source'!V176&gt;=2,"C",IF('Data Source'!V176&gt;=1,"D","F")))))),"")</f>
        <v/>
      </c>
      <c r="E176" s="3">
        <f>IF(AND('Data Source'!B176&lt;&gt;"",'Data Source'!S176="F"),IF('Data Source'!W176&gt;=5,"A+",IF('Data Source'!W176&gt;=4,"A",IF('Data Source'!W176&gt;=3.5,"A-",IF('Data Source'!W176&gt;=3,"B",IF('Data Source'!W176&gt;=2,"C",IF('Data Source'!W176&gt;=1,"D","F")))))),"")</f>
        <v/>
      </c>
      <c r="F176" s="3">
        <f>IF(AND('Data Source'!B176&lt;&gt;"",'Data Source'!S176="F"),IF('Data Source'!X176&gt;=5,"A+",IF('Data Source'!X176&gt;=4,"A",IF('Data Source'!X176&gt;=3.5,"A-",IF('Data Source'!X176&gt;=3,"B",IF('Data Source'!X176&gt;=2,"C",IF('Data Source'!X176&gt;=1,"D","F")))))),"")</f>
        <v/>
      </c>
      <c r="G176" s="3">
        <f>IF(AND('Data Source'!B176&lt;&gt;"",'Data Source'!S176="F"),IF('Data Source'!Y176&gt;=5,"A+",IF('Data Source'!Y176&gt;=4,"A",IF('Data Source'!Y176&gt;=3.5,"A-",IF('Data Source'!Y176&gt;=3,"B",IF('Data Source'!Y176&gt;=2,"C",IF('Data Source'!Y176&gt;=1,"D","F")))))),"")</f>
        <v/>
      </c>
      <c r="H176" s="3">
        <f>IF(AND('Data Source'!B176&lt;&gt;"",'Data Source'!S176="F"),IF('Data Source'!Z176&gt;=5,"A+",IF('Data Source'!Z176&gt;=4,"A",IF('Data Source'!Z176&gt;=3.5,"A-",IF('Data Source'!Z176&gt;=3,"B",IF('Data Source'!Z176&gt;=2,"C",IF('Data Source'!Z176&gt;=1,"D","F")))))),"")</f>
        <v/>
      </c>
      <c r="I176" s="3">
        <f>IF(AND('Data Source'!B176&lt;&gt;"",'Data Source'!S176="F"),IF('Data Source'!AA176&gt;=5,"A+",IF('Data Source'!AA176&gt;=4,"A",IF('Data Source'!AA176&gt;=3.5,"A-",IF('Data Source'!AA176&gt;=3,"B",IF('Data Source'!AA176&gt;=2,"C",IF('Data Source'!AA176&gt;=1,"D","F")))))),"")</f>
        <v/>
      </c>
      <c r="J176" s="3">
        <f>IF(AND('Data Source'!B176&lt;&gt;"",'Data Source'!S176="F"),IF('Data Source'!AB176&gt;=5,"A+",IF('Data Source'!AB176&gt;=4,"A",IF('Data Source'!AB176&gt;=3.5,"A-",IF('Data Source'!AB176&gt;=3,"B",IF('Data Source'!AB176&gt;=2,"C",IF('Data Source'!AB176&gt;=1,"D","F")))))),"")</f>
        <v/>
      </c>
      <c r="K176" s="3">
        <f>IF(AND('Data Source'!B176&lt;&gt;"",'Data Source'!S176="F"),IF('Data Source'!AC176&gt;=5,"A+",IF('Data Source'!AC176&gt;=4,"A",IF('Data Source'!AC176&gt;=3.5,"A-",IF('Data Source'!AC176&gt;=3,"B",IF('Data Source'!AC176&gt;=2,"C",IF('Data Source'!AC176&gt;=1,"D","F")))))),"")</f>
        <v/>
      </c>
      <c r="L176" s="3">
        <f>IF(AND('Data Source'!B176&lt;&gt;"",'Data Source'!S176="F"),IF('Data Source'!AD176&gt;=5,"A+",IF('Data Source'!AD176&gt;=4,"A",IF('Data Source'!AD176&gt;=3.5,"A-",IF('Data Source'!AD176&gt;=3,"B",IF('Data Source'!AD176&gt;=2,"C",IF('Data Source'!AD176&gt;=1,"D","F")))))),"")</f>
        <v/>
      </c>
      <c r="M176" s="3">
        <f>IF(AND('Data Source'!B176&lt;&gt;"",'Data Source'!S176="F"),IF('Data Source'!AE176&gt;=5,"A+",IF('Data Source'!AE176&gt;=4,"A",IF('Data Source'!AE176&gt;=3.5,"A-",IF('Data Source'!AE176&gt;=3,"B",IF('Data Source'!AE176&gt;=2,"C",IF('Data Source'!AE176&gt;=1,"D","F")))))),"")</f>
        <v/>
      </c>
      <c r="N176" s="3">
        <f>IF(AND('Data Source'!B176&lt;&gt;"",'Data Source'!S176="F"),IF('Data Source'!AF176&gt;=5,"A+",IF('Data Source'!AF176&gt;=4,"A",IF('Data Source'!AF176&gt;=3.5,"A-",IF('Data Source'!AF176&gt;=3,"B",IF('Data Source'!AF176&gt;=2,"C",IF('Data Source'!AF176&gt;=1,"D","F")))))),"")</f>
        <v/>
      </c>
      <c r="O176" s="3">
        <f>IF(AND('Data Source'!B176&lt;&gt;"",'Data Source'!S176="F"),IF('Data Source'!AG176&gt;=5,"A+",IF('Data Source'!AG176&gt;=4,"A",IF('Data Source'!AG176&gt;=3.5,"A-",IF('Data Source'!AG176&gt;=3,"B",IF('Data Source'!AG176&gt;=2,"C",IF('Data Source'!AG176&gt;=1,"D","F")))))),"")</f>
        <v/>
      </c>
      <c r="P176" s="5">
        <f>IF(AND('Data Source'!B176&lt;&gt;"",'Data Source'!S176="F"),'Data Source'!R176,"")</f>
        <v/>
      </c>
      <c r="Q176" s="3">
        <f>IF(AND('Data Source'!B176&lt;&gt;"",'Data Source'!S176="F"),'Data Source'!S176,"")</f>
        <v/>
      </c>
    </row>
    <row r="177">
      <c r="A177" s="3">
        <f>IF(AND('Data Source'!B177&lt;&gt;"",'Data Source'!S177="F"),COUNTIF('Data Source'!$S$3:S177,"F"),"")</f>
        <v/>
      </c>
      <c r="B177">
        <f>IF(AND('Data Source'!B177&lt;&gt;"",'Data Source'!S177="F"),'Data Source'!B177,"")</f>
        <v/>
      </c>
      <c r="C177" s="3">
        <f>IF(AND('Data Source'!B177&lt;&gt;"",'Data Source'!S177="F"),IF('Data Source'!U177&gt;=5,"A+",IF('Data Source'!U177&gt;=4,"A",IF('Data Source'!U177&gt;=3.5,"A-",IF('Data Source'!U177&gt;=3,"B",IF('Data Source'!U177&gt;=2,"C",IF('Data Source'!U177&gt;=1,"D","F")))))),"")</f>
        <v/>
      </c>
      <c r="D177" s="3">
        <f>IF(AND('Data Source'!B177&lt;&gt;"",'Data Source'!S177="F"),IF('Data Source'!V177&gt;=5,"A+",IF('Data Source'!V177&gt;=4,"A",IF('Data Source'!V177&gt;=3.5,"A-",IF('Data Source'!V177&gt;=3,"B",IF('Data Source'!V177&gt;=2,"C",IF('Data Source'!V177&gt;=1,"D","F")))))),"")</f>
        <v/>
      </c>
      <c r="E177" s="3">
        <f>IF(AND('Data Source'!B177&lt;&gt;"",'Data Source'!S177="F"),IF('Data Source'!W177&gt;=5,"A+",IF('Data Source'!W177&gt;=4,"A",IF('Data Source'!W177&gt;=3.5,"A-",IF('Data Source'!W177&gt;=3,"B",IF('Data Source'!W177&gt;=2,"C",IF('Data Source'!W177&gt;=1,"D","F")))))),"")</f>
        <v/>
      </c>
      <c r="F177" s="3">
        <f>IF(AND('Data Source'!B177&lt;&gt;"",'Data Source'!S177="F"),IF('Data Source'!X177&gt;=5,"A+",IF('Data Source'!X177&gt;=4,"A",IF('Data Source'!X177&gt;=3.5,"A-",IF('Data Source'!X177&gt;=3,"B",IF('Data Source'!X177&gt;=2,"C",IF('Data Source'!X177&gt;=1,"D","F")))))),"")</f>
        <v/>
      </c>
      <c r="G177" s="3">
        <f>IF(AND('Data Source'!B177&lt;&gt;"",'Data Source'!S177="F"),IF('Data Source'!Y177&gt;=5,"A+",IF('Data Source'!Y177&gt;=4,"A",IF('Data Source'!Y177&gt;=3.5,"A-",IF('Data Source'!Y177&gt;=3,"B",IF('Data Source'!Y177&gt;=2,"C",IF('Data Source'!Y177&gt;=1,"D","F")))))),"")</f>
        <v/>
      </c>
      <c r="H177" s="3">
        <f>IF(AND('Data Source'!B177&lt;&gt;"",'Data Source'!S177="F"),IF('Data Source'!Z177&gt;=5,"A+",IF('Data Source'!Z177&gt;=4,"A",IF('Data Source'!Z177&gt;=3.5,"A-",IF('Data Source'!Z177&gt;=3,"B",IF('Data Source'!Z177&gt;=2,"C",IF('Data Source'!Z177&gt;=1,"D","F")))))),"")</f>
        <v/>
      </c>
      <c r="I177" s="3">
        <f>IF(AND('Data Source'!B177&lt;&gt;"",'Data Source'!S177="F"),IF('Data Source'!AA177&gt;=5,"A+",IF('Data Source'!AA177&gt;=4,"A",IF('Data Source'!AA177&gt;=3.5,"A-",IF('Data Source'!AA177&gt;=3,"B",IF('Data Source'!AA177&gt;=2,"C",IF('Data Source'!AA177&gt;=1,"D","F")))))),"")</f>
        <v/>
      </c>
      <c r="J177" s="3">
        <f>IF(AND('Data Source'!B177&lt;&gt;"",'Data Source'!S177="F"),IF('Data Source'!AB177&gt;=5,"A+",IF('Data Source'!AB177&gt;=4,"A",IF('Data Source'!AB177&gt;=3.5,"A-",IF('Data Source'!AB177&gt;=3,"B",IF('Data Source'!AB177&gt;=2,"C",IF('Data Source'!AB177&gt;=1,"D","F")))))),"")</f>
        <v/>
      </c>
      <c r="K177" s="3">
        <f>IF(AND('Data Source'!B177&lt;&gt;"",'Data Source'!S177="F"),IF('Data Source'!AC177&gt;=5,"A+",IF('Data Source'!AC177&gt;=4,"A",IF('Data Source'!AC177&gt;=3.5,"A-",IF('Data Source'!AC177&gt;=3,"B",IF('Data Source'!AC177&gt;=2,"C",IF('Data Source'!AC177&gt;=1,"D","F")))))),"")</f>
        <v/>
      </c>
      <c r="L177" s="3">
        <f>IF(AND('Data Source'!B177&lt;&gt;"",'Data Source'!S177="F"),IF('Data Source'!AD177&gt;=5,"A+",IF('Data Source'!AD177&gt;=4,"A",IF('Data Source'!AD177&gt;=3.5,"A-",IF('Data Source'!AD177&gt;=3,"B",IF('Data Source'!AD177&gt;=2,"C",IF('Data Source'!AD177&gt;=1,"D","F")))))),"")</f>
        <v/>
      </c>
      <c r="M177" s="3">
        <f>IF(AND('Data Source'!B177&lt;&gt;"",'Data Source'!S177="F"),IF('Data Source'!AE177&gt;=5,"A+",IF('Data Source'!AE177&gt;=4,"A",IF('Data Source'!AE177&gt;=3.5,"A-",IF('Data Source'!AE177&gt;=3,"B",IF('Data Source'!AE177&gt;=2,"C",IF('Data Source'!AE177&gt;=1,"D","F")))))),"")</f>
        <v/>
      </c>
      <c r="N177" s="3">
        <f>IF(AND('Data Source'!B177&lt;&gt;"",'Data Source'!S177="F"),IF('Data Source'!AF177&gt;=5,"A+",IF('Data Source'!AF177&gt;=4,"A",IF('Data Source'!AF177&gt;=3.5,"A-",IF('Data Source'!AF177&gt;=3,"B",IF('Data Source'!AF177&gt;=2,"C",IF('Data Source'!AF177&gt;=1,"D","F")))))),"")</f>
        <v/>
      </c>
      <c r="O177" s="3">
        <f>IF(AND('Data Source'!B177&lt;&gt;"",'Data Source'!S177="F"),IF('Data Source'!AG177&gt;=5,"A+",IF('Data Source'!AG177&gt;=4,"A",IF('Data Source'!AG177&gt;=3.5,"A-",IF('Data Source'!AG177&gt;=3,"B",IF('Data Source'!AG177&gt;=2,"C",IF('Data Source'!AG177&gt;=1,"D","F")))))),"")</f>
        <v/>
      </c>
      <c r="P177" s="5">
        <f>IF(AND('Data Source'!B177&lt;&gt;"",'Data Source'!S177="F"),'Data Source'!R177,"")</f>
        <v/>
      </c>
      <c r="Q177" s="3">
        <f>IF(AND('Data Source'!B177&lt;&gt;"",'Data Source'!S177="F"),'Data Source'!S177,"")</f>
        <v/>
      </c>
    </row>
    <row r="178">
      <c r="A178" s="3">
        <f>IF(AND('Data Source'!B178&lt;&gt;"",'Data Source'!S178="F"),COUNTIF('Data Source'!$S$3:S178,"F"),"")</f>
        <v/>
      </c>
      <c r="B178">
        <f>IF(AND('Data Source'!B178&lt;&gt;"",'Data Source'!S178="F"),'Data Source'!B178,"")</f>
        <v/>
      </c>
      <c r="C178" s="3">
        <f>IF(AND('Data Source'!B178&lt;&gt;"",'Data Source'!S178="F"),IF('Data Source'!U178&gt;=5,"A+",IF('Data Source'!U178&gt;=4,"A",IF('Data Source'!U178&gt;=3.5,"A-",IF('Data Source'!U178&gt;=3,"B",IF('Data Source'!U178&gt;=2,"C",IF('Data Source'!U178&gt;=1,"D","F")))))),"")</f>
        <v/>
      </c>
      <c r="D178" s="3">
        <f>IF(AND('Data Source'!B178&lt;&gt;"",'Data Source'!S178="F"),IF('Data Source'!V178&gt;=5,"A+",IF('Data Source'!V178&gt;=4,"A",IF('Data Source'!V178&gt;=3.5,"A-",IF('Data Source'!V178&gt;=3,"B",IF('Data Source'!V178&gt;=2,"C",IF('Data Source'!V178&gt;=1,"D","F")))))),"")</f>
        <v/>
      </c>
      <c r="E178" s="3">
        <f>IF(AND('Data Source'!B178&lt;&gt;"",'Data Source'!S178="F"),IF('Data Source'!W178&gt;=5,"A+",IF('Data Source'!W178&gt;=4,"A",IF('Data Source'!W178&gt;=3.5,"A-",IF('Data Source'!W178&gt;=3,"B",IF('Data Source'!W178&gt;=2,"C",IF('Data Source'!W178&gt;=1,"D","F")))))),"")</f>
        <v/>
      </c>
      <c r="F178" s="3">
        <f>IF(AND('Data Source'!B178&lt;&gt;"",'Data Source'!S178="F"),IF('Data Source'!X178&gt;=5,"A+",IF('Data Source'!X178&gt;=4,"A",IF('Data Source'!X178&gt;=3.5,"A-",IF('Data Source'!X178&gt;=3,"B",IF('Data Source'!X178&gt;=2,"C",IF('Data Source'!X178&gt;=1,"D","F")))))),"")</f>
        <v/>
      </c>
      <c r="G178" s="3">
        <f>IF(AND('Data Source'!B178&lt;&gt;"",'Data Source'!S178="F"),IF('Data Source'!Y178&gt;=5,"A+",IF('Data Source'!Y178&gt;=4,"A",IF('Data Source'!Y178&gt;=3.5,"A-",IF('Data Source'!Y178&gt;=3,"B",IF('Data Source'!Y178&gt;=2,"C",IF('Data Source'!Y178&gt;=1,"D","F")))))),"")</f>
        <v/>
      </c>
      <c r="H178" s="3">
        <f>IF(AND('Data Source'!B178&lt;&gt;"",'Data Source'!S178="F"),IF('Data Source'!Z178&gt;=5,"A+",IF('Data Source'!Z178&gt;=4,"A",IF('Data Source'!Z178&gt;=3.5,"A-",IF('Data Source'!Z178&gt;=3,"B",IF('Data Source'!Z178&gt;=2,"C",IF('Data Source'!Z178&gt;=1,"D","F")))))),"")</f>
        <v/>
      </c>
      <c r="I178" s="3">
        <f>IF(AND('Data Source'!B178&lt;&gt;"",'Data Source'!S178="F"),IF('Data Source'!AA178&gt;=5,"A+",IF('Data Source'!AA178&gt;=4,"A",IF('Data Source'!AA178&gt;=3.5,"A-",IF('Data Source'!AA178&gt;=3,"B",IF('Data Source'!AA178&gt;=2,"C",IF('Data Source'!AA178&gt;=1,"D","F")))))),"")</f>
        <v/>
      </c>
      <c r="J178" s="3">
        <f>IF(AND('Data Source'!B178&lt;&gt;"",'Data Source'!S178="F"),IF('Data Source'!AB178&gt;=5,"A+",IF('Data Source'!AB178&gt;=4,"A",IF('Data Source'!AB178&gt;=3.5,"A-",IF('Data Source'!AB178&gt;=3,"B",IF('Data Source'!AB178&gt;=2,"C",IF('Data Source'!AB178&gt;=1,"D","F")))))),"")</f>
        <v/>
      </c>
      <c r="K178" s="3">
        <f>IF(AND('Data Source'!B178&lt;&gt;"",'Data Source'!S178="F"),IF('Data Source'!AC178&gt;=5,"A+",IF('Data Source'!AC178&gt;=4,"A",IF('Data Source'!AC178&gt;=3.5,"A-",IF('Data Source'!AC178&gt;=3,"B",IF('Data Source'!AC178&gt;=2,"C",IF('Data Source'!AC178&gt;=1,"D","F")))))),"")</f>
        <v/>
      </c>
      <c r="L178" s="3">
        <f>IF(AND('Data Source'!B178&lt;&gt;"",'Data Source'!S178="F"),IF('Data Source'!AD178&gt;=5,"A+",IF('Data Source'!AD178&gt;=4,"A",IF('Data Source'!AD178&gt;=3.5,"A-",IF('Data Source'!AD178&gt;=3,"B",IF('Data Source'!AD178&gt;=2,"C",IF('Data Source'!AD178&gt;=1,"D","F")))))),"")</f>
        <v/>
      </c>
      <c r="M178" s="3">
        <f>IF(AND('Data Source'!B178&lt;&gt;"",'Data Source'!S178="F"),IF('Data Source'!AE178&gt;=5,"A+",IF('Data Source'!AE178&gt;=4,"A",IF('Data Source'!AE178&gt;=3.5,"A-",IF('Data Source'!AE178&gt;=3,"B",IF('Data Source'!AE178&gt;=2,"C",IF('Data Source'!AE178&gt;=1,"D","F")))))),"")</f>
        <v/>
      </c>
      <c r="N178" s="3">
        <f>IF(AND('Data Source'!B178&lt;&gt;"",'Data Source'!S178="F"),IF('Data Source'!AF178&gt;=5,"A+",IF('Data Source'!AF178&gt;=4,"A",IF('Data Source'!AF178&gt;=3.5,"A-",IF('Data Source'!AF178&gt;=3,"B",IF('Data Source'!AF178&gt;=2,"C",IF('Data Source'!AF178&gt;=1,"D","F")))))),"")</f>
        <v/>
      </c>
      <c r="O178" s="3">
        <f>IF(AND('Data Source'!B178&lt;&gt;"",'Data Source'!S178="F"),IF('Data Source'!AG178&gt;=5,"A+",IF('Data Source'!AG178&gt;=4,"A",IF('Data Source'!AG178&gt;=3.5,"A-",IF('Data Source'!AG178&gt;=3,"B",IF('Data Source'!AG178&gt;=2,"C",IF('Data Source'!AG178&gt;=1,"D","F")))))),"")</f>
        <v/>
      </c>
      <c r="P178" s="5">
        <f>IF(AND('Data Source'!B178&lt;&gt;"",'Data Source'!S178="F"),'Data Source'!R178,"")</f>
        <v/>
      </c>
      <c r="Q178" s="3">
        <f>IF(AND('Data Source'!B178&lt;&gt;"",'Data Source'!S178="F"),'Data Source'!S178,"")</f>
        <v/>
      </c>
    </row>
    <row r="179">
      <c r="A179" s="3">
        <f>IF(AND('Data Source'!B179&lt;&gt;"",'Data Source'!S179="F"),COUNTIF('Data Source'!$S$3:S179,"F"),"")</f>
        <v/>
      </c>
      <c r="B179">
        <f>IF(AND('Data Source'!B179&lt;&gt;"",'Data Source'!S179="F"),'Data Source'!B179,"")</f>
        <v/>
      </c>
      <c r="C179" s="3">
        <f>IF(AND('Data Source'!B179&lt;&gt;"",'Data Source'!S179="F"),IF('Data Source'!U179&gt;=5,"A+",IF('Data Source'!U179&gt;=4,"A",IF('Data Source'!U179&gt;=3.5,"A-",IF('Data Source'!U179&gt;=3,"B",IF('Data Source'!U179&gt;=2,"C",IF('Data Source'!U179&gt;=1,"D","F")))))),"")</f>
        <v/>
      </c>
      <c r="D179" s="3">
        <f>IF(AND('Data Source'!B179&lt;&gt;"",'Data Source'!S179="F"),IF('Data Source'!V179&gt;=5,"A+",IF('Data Source'!V179&gt;=4,"A",IF('Data Source'!V179&gt;=3.5,"A-",IF('Data Source'!V179&gt;=3,"B",IF('Data Source'!V179&gt;=2,"C",IF('Data Source'!V179&gt;=1,"D","F")))))),"")</f>
        <v/>
      </c>
      <c r="E179" s="3">
        <f>IF(AND('Data Source'!B179&lt;&gt;"",'Data Source'!S179="F"),IF('Data Source'!W179&gt;=5,"A+",IF('Data Source'!W179&gt;=4,"A",IF('Data Source'!W179&gt;=3.5,"A-",IF('Data Source'!W179&gt;=3,"B",IF('Data Source'!W179&gt;=2,"C",IF('Data Source'!W179&gt;=1,"D","F")))))),"")</f>
        <v/>
      </c>
      <c r="F179" s="3">
        <f>IF(AND('Data Source'!B179&lt;&gt;"",'Data Source'!S179="F"),IF('Data Source'!X179&gt;=5,"A+",IF('Data Source'!X179&gt;=4,"A",IF('Data Source'!X179&gt;=3.5,"A-",IF('Data Source'!X179&gt;=3,"B",IF('Data Source'!X179&gt;=2,"C",IF('Data Source'!X179&gt;=1,"D","F")))))),"")</f>
        <v/>
      </c>
      <c r="G179" s="3">
        <f>IF(AND('Data Source'!B179&lt;&gt;"",'Data Source'!S179="F"),IF('Data Source'!Y179&gt;=5,"A+",IF('Data Source'!Y179&gt;=4,"A",IF('Data Source'!Y179&gt;=3.5,"A-",IF('Data Source'!Y179&gt;=3,"B",IF('Data Source'!Y179&gt;=2,"C",IF('Data Source'!Y179&gt;=1,"D","F")))))),"")</f>
        <v/>
      </c>
      <c r="H179" s="3">
        <f>IF(AND('Data Source'!B179&lt;&gt;"",'Data Source'!S179="F"),IF('Data Source'!Z179&gt;=5,"A+",IF('Data Source'!Z179&gt;=4,"A",IF('Data Source'!Z179&gt;=3.5,"A-",IF('Data Source'!Z179&gt;=3,"B",IF('Data Source'!Z179&gt;=2,"C",IF('Data Source'!Z179&gt;=1,"D","F")))))),"")</f>
        <v/>
      </c>
      <c r="I179" s="3">
        <f>IF(AND('Data Source'!B179&lt;&gt;"",'Data Source'!S179="F"),IF('Data Source'!AA179&gt;=5,"A+",IF('Data Source'!AA179&gt;=4,"A",IF('Data Source'!AA179&gt;=3.5,"A-",IF('Data Source'!AA179&gt;=3,"B",IF('Data Source'!AA179&gt;=2,"C",IF('Data Source'!AA179&gt;=1,"D","F")))))),"")</f>
        <v/>
      </c>
      <c r="J179" s="3">
        <f>IF(AND('Data Source'!B179&lt;&gt;"",'Data Source'!S179="F"),IF('Data Source'!AB179&gt;=5,"A+",IF('Data Source'!AB179&gt;=4,"A",IF('Data Source'!AB179&gt;=3.5,"A-",IF('Data Source'!AB179&gt;=3,"B",IF('Data Source'!AB179&gt;=2,"C",IF('Data Source'!AB179&gt;=1,"D","F")))))),"")</f>
        <v/>
      </c>
      <c r="K179" s="3">
        <f>IF(AND('Data Source'!B179&lt;&gt;"",'Data Source'!S179="F"),IF('Data Source'!AC179&gt;=5,"A+",IF('Data Source'!AC179&gt;=4,"A",IF('Data Source'!AC179&gt;=3.5,"A-",IF('Data Source'!AC179&gt;=3,"B",IF('Data Source'!AC179&gt;=2,"C",IF('Data Source'!AC179&gt;=1,"D","F")))))),"")</f>
        <v/>
      </c>
      <c r="L179" s="3">
        <f>IF(AND('Data Source'!B179&lt;&gt;"",'Data Source'!S179="F"),IF('Data Source'!AD179&gt;=5,"A+",IF('Data Source'!AD179&gt;=4,"A",IF('Data Source'!AD179&gt;=3.5,"A-",IF('Data Source'!AD179&gt;=3,"B",IF('Data Source'!AD179&gt;=2,"C",IF('Data Source'!AD179&gt;=1,"D","F")))))),"")</f>
        <v/>
      </c>
      <c r="M179" s="3">
        <f>IF(AND('Data Source'!B179&lt;&gt;"",'Data Source'!S179="F"),IF('Data Source'!AE179&gt;=5,"A+",IF('Data Source'!AE179&gt;=4,"A",IF('Data Source'!AE179&gt;=3.5,"A-",IF('Data Source'!AE179&gt;=3,"B",IF('Data Source'!AE179&gt;=2,"C",IF('Data Source'!AE179&gt;=1,"D","F")))))),"")</f>
        <v/>
      </c>
      <c r="N179" s="3">
        <f>IF(AND('Data Source'!B179&lt;&gt;"",'Data Source'!S179="F"),IF('Data Source'!AF179&gt;=5,"A+",IF('Data Source'!AF179&gt;=4,"A",IF('Data Source'!AF179&gt;=3.5,"A-",IF('Data Source'!AF179&gt;=3,"B",IF('Data Source'!AF179&gt;=2,"C",IF('Data Source'!AF179&gt;=1,"D","F")))))),"")</f>
        <v/>
      </c>
      <c r="O179" s="3">
        <f>IF(AND('Data Source'!B179&lt;&gt;"",'Data Source'!S179="F"),IF('Data Source'!AG179&gt;=5,"A+",IF('Data Source'!AG179&gt;=4,"A",IF('Data Source'!AG179&gt;=3.5,"A-",IF('Data Source'!AG179&gt;=3,"B",IF('Data Source'!AG179&gt;=2,"C",IF('Data Source'!AG179&gt;=1,"D","F")))))),"")</f>
        <v/>
      </c>
      <c r="P179" s="5">
        <f>IF(AND('Data Source'!B179&lt;&gt;"",'Data Source'!S179="F"),'Data Source'!R179,"")</f>
        <v/>
      </c>
      <c r="Q179" s="3">
        <f>IF(AND('Data Source'!B179&lt;&gt;"",'Data Source'!S179="F"),'Data Source'!S179,"")</f>
        <v/>
      </c>
    </row>
    <row r="180">
      <c r="A180" s="3">
        <f>IF(AND('Data Source'!B180&lt;&gt;"",'Data Source'!S180="F"),COUNTIF('Data Source'!$S$3:S180,"F"),"")</f>
        <v/>
      </c>
      <c r="B180">
        <f>IF(AND('Data Source'!B180&lt;&gt;"",'Data Source'!S180="F"),'Data Source'!B180,"")</f>
        <v/>
      </c>
      <c r="C180" s="3">
        <f>IF(AND('Data Source'!B180&lt;&gt;"",'Data Source'!S180="F"),IF('Data Source'!U180&gt;=5,"A+",IF('Data Source'!U180&gt;=4,"A",IF('Data Source'!U180&gt;=3.5,"A-",IF('Data Source'!U180&gt;=3,"B",IF('Data Source'!U180&gt;=2,"C",IF('Data Source'!U180&gt;=1,"D","F")))))),"")</f>
        <v/>
      </c>
      <c r="D180" s="3">
        <f>IF(AND('Data Source'!B180&lt;&gt;"",'Data Source'!S180="F"),IF('Data Source'!V180&gt;=5,"A+",IF('Data Source'!V180&gt;=4,"A",IF('Data Source'!V180&gt;=3.5,"A-",IF('Data Source'!V180&gt;=3,"B",IF('Data Source'!V180&gt;=2,"C",IF('Data Source'!V180&gt;=1,"D","F")))))),"")</f>
        <v/>
      </c>
      <c r="E180" s="3">
        <f>IF(AND('Data Source'!B180&lt;&gt;"",'Data Source'!S180="F"),IF('Data Source'!W180&gt;=5,"A+",IF('Data Source'!W180&gt;=4,"A",IF('Data Source'!W180&gt;=3.5,"A-",IF('Data Source'!W180&gt;=3,"B",IF('Data Source'!W180&gt;=2,"C",IF('Data Source'!W180&gt;=1,"D","F")))))),"")</f>
        <v/>
      </c>
      <c r="F180" s="3">
        <f>IF(AND('Data Source'!B180&lt;&gt;"",'Data Source'!S180="F"),IF('Data Source'!X180&gt;=5,"A+",IF('Data Source'!X180&gt;=4,"A",IF('Data Source'!X180&gt;=3.5,"A-",IF('Data Source'!X180&gt;=3,"B",IF('Data Source'!X180&gt;=2,"C",IF('Data Source'!X180&gt;=1,"D","F")))))),"")</f>
        <v/>
      </c>
      <c r="G180" s="3">
        <f>IF(AND('Data Source'!B180&lt;&gt;"",'Data Source'!S180="F"),IF('Data Source'!Y180&gt;=5,"A+",IF('Data Source'!Y180&gt;=4,"A",IF('Data Source'!Y180&gt;=3.5,"A-",IF('Data Source'!Y180&gt;=3,"B",IF('Data Source'!Y180&gt;=2,"C",IF('Data Source'!Y180&gt;=1,"D","F")))))),"")</f>
        <v/>
      </c>
      <c r="H180" s="3">
        <f>IF(AND('Data Source'!B180&lt;&gt;"",'Data Source'!S180="F"),IF('Data Source'!Z180&gt;=5,"A+",IF('Data Source'!Z180&gt;=4,"A",IF('Data Source'!Z180&gt;=3.5,"A-",IF('Data Source'!Z180&gt;=3,"B",IF('Data Source'!Z180&gt;=2,"C",IF('Data Source'!Z180&gt;=1,"D","F")))))),"")</f>
        <v/>
      </c>
      <c r="I180" s="3">
        <f>IF(AND('Data Source'!B180&lt;&gt;"",'Data Source'!S180="F"),IF('Data Source'!AA180&gt;=5,"A+",IF('Data Source'!AA180&gt;=4,"A",IF('Data Source'!AA180&gt;=3.5,"A-",IF('Data Source'!AA180&gt;=3,"B",IF('Data Source'!AA180&gt;=2,"C",IF('Data Source'!AA180&gt;=1,"D","F")))))),"")</f>
        <v/>
      </c>
      <c r="J180" s="3">
        <f>IF(AND('Data Source'!B180&lt;&gt;"",'Data Source'!S180="F"),IF('Data Source'!AB180&gt;=5,"A+",IF('Data Source'!AB180&gt;=4,"A",IF('Data Source'!AB180&gt;=3.5,"A-",IF('Data Source'!AB180&gt;=3,"B",IF('Data Source'!AB180&gt;=2,"C",IF('Data Source'!AB180&gt;=1,"D","F")))))),"")</f>
        <v/>
      </c>
      <c r="K180" s="3">
        <f>IF(AND('Data Source'!B180&lt;&gt;"",'Data Source'!S180="F"),IF('Data Source'!AC180&gt;=5,"A+",IF('Data Source'!AC180&gt;=4,"A",IF('Data Source'!AC180&gt;=3.5,"A-",IF('Data Source'!AC180&gt;=3,"B",IF('Data Source'!AC180&gt;=2,"C",IF('Data Source'!AC180&gt;=1,"D","F")))))),"")</f>
        <v/>
      </c>
      <c r="L180" s="3">
        <f>IF(AND('Data Source'!B180&lt;&gt;"",'Data Source'!S180="F"),IF('Data Source'!AD180&gt;=5,"A+",IF('Data Source'!AD180&gt;=4,"A",IF('Data Source'!AD180&gt;=3.5,"A-",IF('Data Source'!AD180&gt;=3,"B",IF('Data Source'!AD180&gt;=2,"C",IF('Data Source'!AD180&gt;=1,"D","F")))))),"")</f>
        <v/>
      </c>
      <c r="M180" s="3">
        <f>IF(AND('Data Source'!B180&lt;&gt;"",'Data Source'!S180="F"),IF('Data Source'!AE180&gt;=5,"A+",IF('Data Source'!AE180&gt;=4,"A",IF('Data Source'!AE180&gt;=3.5,"A-",IF('Data Source'!AE180&gt;=3,"B",IF('Data Source'!AE180&gt;=2,"C",IF('Data Source'!AE180&gt;=1,"D","F")))))),"")</f>
        <v/>
      </c>
      <c r="N180" s="3">
        <f>IF(AND('Data Source'!B180&lt;&gt;"",'Data Source'!S180="F"),IF('Data Source'!AF180&gt;=5,"A+",IF('Data Source'!AF180&gt;=4,"A",IF('Data Source'!AF180&gt;=3.5,"A-",IF('Data Source'!AF180&gt;=3,"B",IF('Data Source'!AF180&gt;=2,"C",IF('Data Source'!AF180&gt;=1,"D","F")))))),"")</f>
        <v/>
      </c>
      <c r="O180" s="3">
        <f>IF(AND('Data Source'!B180&lt;&gt;"",'Data Source'!S180="F"),IF('Data Source'!AG180&gt;=5,"A+",IF('Data Source'!AG180&gt;=4,"A",IF('Data Source'!AG180&gt;=3.5,"A-",IF('Data Source'!AG180&gt;=3,"B",IF('Data Source'!AG180&gt;=2,"C",IF('Data Source'!AG180&gt;=1,"D","F")))))),"")</f>
        <v/>
      </c>
      <c r="P180" s="5">
        <f>IF(AND('Data Source'!B180&lt;&gt;"",'Data Source'!S180="F"),'Data Source'!R180,"")</f>
        <v/>
      </c>
      <c r="Q180" s="3">
        <f>IF(AND('Data Source'!B180&lt;&gt;"",'Data Source'!S180="F"),'Data Source'!S180,"")</f>
        <v/>
      </c>
    </row>
    <row r="181">
      <c r="A181" s="3">
        <f>IF(AND('Data Source'!B181&lt;&gt;"",'Data Source'!S181="F"),COUNTIF('Data Source'!$S$3:S181,"F"),"")</f>
        <v/>
      </c>
      <c r="B181">
        <f>IF(AND('Data Source'!B181&lt;&gt;"",'Data Source'!S181="F"),'Data Source'!B181,"")</f>
        <v/>
      </c>
      <c r="C181" s="3">
        <f>IF(AND('Data Source'!B181&lt;&gt;"",'Data Source'!S181="F"),IF('Data Source'!U181&gt;=5,"A+",IF('Data Source'!U181&gt;=4,"A",IF('Data Source'!U181&gt;=3.5,"A-",IF('Data Source'!U181&gt;=3,"B",IF('Data Source'!U181&gt;=2,"C",IF('Data Source'!U181&gt;=1,"D","F")))))),"")</f>
        <v/>
      </c>
      <c r="D181" s="3">
        <f>IF(AND('Data Source'!B181&lt;&gt;"",'Data Source'!S181="F"),IF('Data Source'!V181&gt;=5,"A+",IF('Data Source'!V181&gt;=4,"A",IF('Data Source'!V181&gt;=3.5,"A-",IF('Data Source'!V181&gt;=3,"B",IF('Data Source'!V181&gt;=2,"C",IF('Data Source'!V181&gt;=1,"D","F")))))),"")</f>
        <v/>
      </c>
      <c r="E181" s="3">
        <f>IF(AND('Data Source'!B181&lt;&gt;"",'Data Source'!S181="F"),IF('Data Source'!W181&gt;=5,"A+",IF('Data Source'!W181&gt;=4,"A",IF('Data Source'!W181&gt;=3.5,"A-",IF('Data Source'!W181&gt;=3,"B",IF('Data Source'!W181&gt;=2,"C",IF('Data Source'!W181&gt;=1,"D","F")))))),"")</f>
        <v/>
      </c>
      <c r="F181" s="3">
        <f>IF(AND('Data Source'!B181&lt;&gt;"",'Data Source'!S181="F"),IF('Data Source'!X181&gt;=5,"A+",IF('Data Source'!X181&gt;=4,"A",IF('Data Source'!X181&gt;=3.5,"A-",IF('Data Source'!X181&gt;=3,"B",IF('Data Source'!X181&gt;=2,"C",IF('Data Source'!X181&gt;=1,"D","F")))))),"")</f>
        <v/>
      </c>
      <c r="G181" s="3">
        <f>IF(AND('Data Source'!B181&lt;&gt;"",'Data Source'!S181="F"),IF('Data Source'!Y181&gt;=5,"A+",IF('Data Source'!Y181&gt;=4,"A",IF('Data Source'!Y181&gt;=3.5,"A-",IF('Data Source'!Y181&gt;=3,"B",IF('Data Source'!Y181&gt;=2,"C",IF('Data Source'!Y181&gt;=1,"D","F")))))),"")</f>
        <v/>
      </c>
      <c r="H181" s="3">
        <f>IF(AND('Data Source'!B181&lt;&gt;"",'Data Source'!S181="F"),IF('Data Source'!Z181&gt;=5,"A+",IF('Data Source'!Z181&gt;=4,"A",IF('Data Source'!Z181&gt;=3.5,"A-",IF('Data Source'!Z181&gt;=3,"B",IF('Data Source'!Z181&gt;=2,"C",IF('Data Source'!Z181&gt;=1,"D","F")))))),"")</f>
        <v/>
      </c>
      <c r="I181" s="3">
        <f>IF(AND('Data Source'!B181&lt;&gt;"",'Data Source'!S181="F"),IF('Data Source'!AA181&gt;=5,"A+",IF('Data Source'!AA181&gt;=4,"A",IF('Data Source'!AA181&gt;=3.5,"A-",IF('Data Source'!AA181&gt;=3,"B",IF('Data Source'!AA181&gt;=2,"C",IF('Data Source'!AA181&gt;=1,"D","F")))))),"")</f>
        <v/>
      </c>
      <c r="J181" s="3">
        <f>IF(AND('Data Source'!B181&lt;&gt;"",'Data Source'!S181="F"),IF('Data Source'!AB181&gt;=5,"A+",IF('Data Source'!AB181&gt;=4,"A",IF('Data Source'!AB181&gt;=3.5,"A-",IF('Data Source'!AB181&gt;=3,"B",IF('Data Source'!AB181&gt;=2,"C",IF('Data Source'!AB181&gt;=1,"D","F")))))),"")</f>
        <v/>
      </c>
      <c r="K181" s="3">
        <f>IF(AND('Data Source'!B181&lt;&gt;"",'Data Source'!S181="F"),IF('Data Source'!AC181&gt;=5,"A+",IF('Data Source'!AC181&gt;=4,"A",IF('Data Source'!AC181&gt;=3.5,"A-",IF('Data Source'!AC181&gt;=3,"B",IF('Data Source'!AC181&gt;=2,"C",IF('Data Source'!AC181&gt;=1,"D","F")))))),"")</f>
        <v/>
      </c>
      <c r="L181" s="3">
        <f>IF(AND('Data Source'!B181&lt;&gt;"",'Data Source'!S181="F"),IF('Data Source'!AD181&gt;=5,"A+",IF('Data Source'!AD181&gt;=4,"A",IF('Data Source'!AD181&gt;=3.5,"A-",IF('Data Source'!AD181&gt;=3,"B",IF('Data Source'!AD181&gt;=2,"C",IF('Data Source'!AD181&gt;=1,"D","F")))))),"")</f>
        <v/>
      </c>
      <c r="M181" s="3">
        <f>IF(AND('Data Source'!B181&lt;&gt;"",'Data Source'!S181="F"),IF('Data Source'!AE181&gt;=5,"A+",IF('Data Source'!AE181&gt;=4,"A",IF('Data Source'!AE181&gt;=3.5,"A-",IF('Data Source'!AE181&gt;=3,"B",IF('Data Source'!AE181&gt;=2,"C",IF('Data Source'!AE181&gt;=1,"D","F")))))),"")</f>
        <v/>
      </c>
      <c r="N181" s="3">
        <f>IF(AND('Data Source'!B181&lt;&gt;"",'Data Source'!S181="F"),IF('Data Source'!AF181&gt;=5,"A+",IF('Data Source'!AF181&gt;=4,"A",IF('Data Source'!AF181&gt;=3.5,"A-",IF('Data Source'!AF181&gt;=3,"B",IF('Data Source'!AF181&gt;=2,"C",IF('Data Source'!AF181&gt;=1,"D","F")))))),"")</f>
        <v/>
      </c>
      <c r="O181" s="3">
        <f>IF(AND('Data Source'!B181&lt;&gt;"",'Data Source'!S181="F"),IF('Data Source'!AG181&gt;=5,"A+",IF('Data Source'!AG181&gt;=4,"A",IF('Data Source'!AG181&gt;=3.5,"A-",IF('Data Source'!AG181&gt;=3,"B",IF('Data Source'!AG181&gt;=2,"C",IF('Data Source'!AG181&gt;=1,"D","F")))))),"")</f>
        <v/>
      </c>
      <c r="P181" s="5">
        <f>IF(AND('Data Source'!B181&lt;&gt;"",'Data Source'!S181="F"),'Data Source'!R181,"")</f>
        <v/>
      </c>
      <c r="Q181" s="3">
        <f>IF(AND('Data Source'!B181&lt;&gt;"",'Data Source'!S181="F"),'Data Source'!S181,"")</f>
        <v/>
      </c>
    </row>
    <row r="182">
      <c r="A182" s="3">
        <f>IF(AND('Data Source'!B182&lt;&gt;"",'Data Source'!S182="F"),COUNTIF('Data Source'!$S$3:S182,"F"),"")</f>
        <v/>
      </c>
      <c r="B182">
        <f>IF(AND('Data Source'!B182&lt;&gt;"",'Data Source'!S182="F"),'Data Source'!B182,"")</f>
        <v/>
      </c>
      <c r="C182" s="3">
        <f>IF(AND('Data Source'!B182&lt;&gt;"",'Data Source'!S182="F"),IF('Data Source'!U182&gt;=5,"A+",IF('Data Source'!U182&gt;=4,"A",IF('Data Source'!U182&gt;=3.5,"A-",IF('Data Source'!U182&gt;=3,"B",IF('Data Source'!U182&gt;=2,"C",IF('Data Source'!U182&gt;=1,"D","F")))))),"")</f>
        <v/>
      </c>
      <c r="D182" s="3">
        <f>IF(AND('Data Source'!B182&lt;&gt;"",'Data Source'!S182="F"),IF('Data Source'!V182&gt;=5,"A+",IF('Data Source'!V182&gt;=4,"A",IF('Data Source'!V182&gt;=3.5,"A-",IF('Data Source'!V182&gt;=3,"B",IF('Data Source'!V182&gt;=2,"C",IF('Data Source'!V182&gt;=1,"D","F")))))),"")</f>
        <v/>
      </c>
      <c r="E182" s="3">
        <f>IF(AND('Data Source'!B182&lt;&gt;"",'Data Source'!S182="F"),IF('Data Source'!W182&gt;=5,"A+",IF('Data Source'!W182&gt;=4,"A",IF('Data Source'!W182&gt;=3.5,"A-",IF('Data Source'!W182&gt;=3,"B",IF('Data Source'!W182&gt;=2,"C",IF('Data Source'!W182&gt;=1,"D","F")))))),"")</f>
        <v/>
      </c>
      <c r="F182" s="3">
        <f>IF(AND('Data Source'!B182&lt;&gt;"",'Data Source'!S182="F"),IF('Data Source'!X182&gt;=5,"A+",IF('Data Source'!X182&gt;=4,"A",IF('Data Source'!X182&gt;=3.5,"A-",IF('Data Source'!X182&gt;=3,"B",IF('Data Source'!X182&gt;=2,"C",IF('Data Source'!X182&gt;=1,"D","F")))))),"")</f>
        <v/>
      </c>
      <c r="G182" s="3">
        <f>IF(AND('Data Source'!B182&lt;&gt;"",'Data Source'!S182="F"),IF('Data Source'!Y182&gt;=5,"A+",IF('Data Source'!Y182&gt;=4,"A",IF('Data Source'!Y182&gt;=3.5,"A-",IF('Data Source'!Y182&gt;=3,"B",IF('Data Source'!Y182&gt;=2,"C",IF('Data Source'!Y182&gt;=1,"D","F")))))),"")</f>
        <v/>
      </c>
      <c r="H182" s="3">
        <f>IF(AND('Data Source'!B182&lt;&gt;"",'Data Source'!S182="F"),IF('Data Source'!Z182&gt;=5,"A+",IF('Data Source'!Z182&gt;=4,"A",IF('Data Source'!Z182&gt;=3.5,"A-",IF('Data Source'!Z182&gt;=3,"B",IF('Data Source'!Z182&gt;=2,"C",IF('Data Source'!Z182&gt;=1,"D","F")))))),"")</f>
        <v/>
      </c>
      <c r="I182" s="3">
        <f>IF(AND('Data Source'!B182&lt;&gt;"",'Data Source'!S182="F"),IF('Data Source'!AA182&gt;=5,"A+",IF('Data Source'!AA182&gt;=4,"A",IF('Data Source'!AA182&gt;=3.5,"A-",IF('Data Source'!AA182&gt;=3,"B",IF('Data Source'!AA182&gt;=2,"C",IF('Data Source'!AA182&gt;=1,"D","F")))))),"")</f>
        <v/>
      </c>
      <c r="J182" s="3">
        <f>IF(AND('Data Source'!B182&lt;&gt;"",'Data Source'!S182="F"),IF('Data Source'!AB182&gt;=5,"A+",IF('Data Source'!AB182&gt;=4,"A",IF('Data Source'!AB182&gt;=3.5,"A-",IF('Data Source'!AB182&gt;=3,"B",IF('Data Source'!AB182&gt;=2,"C",IF('Data Source'!AB182&gt;=1,"D","F")))))),"")</f>
        <v/>
      </c>
      <c r="K182" s="3">
        <f>IF(AND('Data Source'!B182&lt;&gt;"",'Data Source'!S182="F"),IF('Data Source'!AC182&gt;=5,"A+",IF('Data Source'!AC182&gt;=4,"A",IF('Data Source'!AC182&gt;=3.5,"A-",IF('Data Source'!AC182&gt;=3,"B",IF('Data Source'!AC182&gt;=2,"C",IF('Data Source'!AC182&gt;=1,"D","F")))))),"")</f>
        <v/>
      </c>
      <c r="L182" s="3">
        <f>IF(AND('Data Source'!B182&lt;&gt;"",'Data Source'!S182="F"),IF('Data Source'!AD182&gt;=5,"A+",IF('Data Source'!AD182&gt;=4,"A",IF('Data Source'!AD182&gt;=3.5,"A-",IF('Data Source'!AD182&gt;=3,"B",IF('Data Source'!AD182&gt;=2,"C",IF('Data Source'!AD182&gt;=1,"D","F")))))),"")</f>
        <v/>
      </c>
      <c r="M182" s="3">
        <f>IF(AND('Data Source'!B182&lt;&gt;"",'Data Source'!S182="F"),IF('Data Source'!AE182&gt;=5,"A+",IF('Data Source'!AE182&gt;=4,"A",IF('Data Source'!AE182&gt;=3.5,"A-",IF('Data Source'!AE182&gt;=3,"B",IF('Data Source'!AE182&gt;=2,"C",IF('Data Source'!AE182&gt;=1,"D","F")))))),"")</f>
        <v/>
      </c>
      <c r="N182" s="3">
        <f>IF(AND('Data Source'!B182&lt;&gt;"",'Data Source'!S182="F"),IF('Data Source'!AF182&gt;=5,"A+",IF('Data Source'!AF182&gt;=4,"A",IF('Data Source'!AF182&gt;=3.5,"A-",IF('Data Source'!AF182&gt;=3,"B",IF('Data Source'!AF182&gt;=2,"C",IF('Data Source'!AF182&gt;=1,"D","F")))))),"")</f>
        <v/>
      </c>
      <c r="O182" s="3">
        <f>IF(AND('Data Source'!B182&lt;&gt;"",'Data Source'!S182="F"),IF('Data Source'!AG182&gt;=5,"A+",IF('Data Source'!AG182&gt;=4,"A",IF('Data Source'!AG182&gt;=3.5,"A-",IF('Data Source'!AG182&gt;=3,"B",IF('Data Source'!AG182&gt;=2,"C",IF('Data Source'!AG182&gt;=1,"D","F")))))),"")</f>
        <v/>
      </c>
      <c r="P182" s="5">
        <f>IF(AND('Data Source'!B182&lt;&gt;"",'Data Source'!S182="F"),'Data Source'!R182,"")</f>
        <v/>
      </c>
      <c r="Q182" s="3">
        <f>IF(AND('Data Source'!B182&lt;&gt;"",'Data Source'!S182="F"),'Data Source'!S182,"")</f>
        <v/>
      </c>
    </row>
    <row r="183">
      <c r="A183" s="3">
        <f>IF(AND('Data Source'!B183&lt;&gt;"",'Data Source'!S183="F"),COUNTIF('Data Source'!$S$3:S183,"F"),"")</f>
        <v/>
      </c>
      <c r="B183">
        <f>IF(AND('Data Source'!B183&lt;&gt;"",'Data Source'!S183="F"),'Data Source'!B183,"")</f>
        <v/>
      </c>
      <c r="C183" s="3">
        <f>IF(AND('Data Source'!B183&lt;&gt;"",'Data Source'!S183="F"),IF('Data Source'!U183&gt;=5,"A+",IF('Data Source'!U183&gt;=4,"A",IF('Data Source'!U183&gt;=3.5,"A-",IF('Data Source'!U183&gt;=3,"B",IF('Data Source'!U183&gt;=2,"C",IF('Data Source'!U183&gt;=1,"D","F")))))),"")</f>
        <v/>
      </c>
      <c r="D183" s="3">
        <f>IF(AND('Data Source'!B183&lt;&gt;"",'Data Source'!S183="F"),IF('Data Source'!V183&gt;=5,"A+",IF('Data Source'!V183&gt;=4,"A",IF('Data Source'!V183&gt;=3.5,"A-",IF('Data Source'!V183&gt;=3,"B",IF('Data Source'!V183&gt;=2,"C",IF('Data Source'!V183&gt;=1,"D","F")))))),"")</f>
        <v/>
      </c>
      <c r="E183" s="3">
        <f>IF(AND('Data Source'!B183&lt;&gt;"",'Data Source'!S183="F"),IF('Data Source'!W183&gt;=5,"A+",IF('Data Source'!W183&gt;=4,"A",IF('Data Source'!W183&gt;=3.5,"A-",IF('Data Source'!W183&gt;=3,"B",IF('Data Source'!W183&gt;=2,"C",IF('Data Source'!W183&gt;=1,"D","F")))))),"")</f>
        <v/>
      </c>
      <c r="F183" s="3">
        <f>IF(AND('Data Source'!B183&lt;&gt;"",'Data Source'!S183="F"),IF('Data Source'!X183&gt;=5,"A+",IF('Data Source'!X183&gt;=4,"A",IF('Data Source'!X183&gt;=3.5,"A-",IF('Data Source'!X183&gt;=3,"B",IF('Data Source'!X183&gt;=2,"C",IF('Data Source'!X183&gt;=1,"D","F")))))),"")</f>
        <v/>
      </c>
      <c r="G183" s="3">
        <f>IF(AND('Data Source'!B183&lt;&gt;"",'Data Source'!S183="F"),IF('Data Source'!Y183&gt;=5,"A+",IF('Data Source'!Y183&gt;=4,"A",IF('Data Source'!Y183&gt;=3.5,"A-",IF('Data Source'!Y183&gt;=3,"B",IF('Data Source'!Y183&gt;=2,"C",IF('Data Source'!Y183&gt;=1,"D","F")))))),"")</f>
        <v/>
      </c>
      <c r="H183" s="3">
        <f>IF(AND('Data Source'!B183&lt;&gt;"",'Data Source'!S183="F"),IF('Data Source'!Z183&gt;=5,"A+",IF('Data Source'!Z183&gt;=4,"A",IF('Data Source'!Z183&gt;=3.5,"A-",IF('Data Source'!Z183&gt;=3,"B",IF('Data Source'!Z183&gt;=2,"C",IF('Data Source'!Z183&gt;=1,"D","F")))))),"")</f>
        <v/>
      </c>
      <c r="I183" s="3">
        <f>IF(AND('Data Source'!B183&lt;&gt;"",'Data Source'!S183="F"),IF('Data Source'!AA183&gt;=5,"A+",IF('Data Source'!AA183&gt;=4,"A",IF('Data Source'!AA183&gt;=3.5,"A-",IF('Data Source'!AA183&gt;=3,"B",IF('Data Source'!AA183&gt;=2,"C",IF('Data Source'!AA183&gt;=1,"D","F")))))),"")</f>
        <v/>
      </c>
      <c r="J183" s="3">
        <f>IF(AND('Data Source'!B183&lt;&gt;"",'Data Source'!S183="F"),IF('Data Source'!AB183&gt;=5,"A+",IF('Data Source'!AB183&gt;=4,"A",IF('Data Source'!AB183&gt;=3.5,"A-",IF('Data Source'!AB183&gt;=3,"B",IF('Data Source'!AB183&gt;=2,"C",IF('Data Source'!AB183&gt;=1,"D","F")))))),"")</f>
        <v/>
      </c>
      <c r="K183" s="3">
        <f>IF(AND('Data Source'!B183&lt;&gt;"",'Data Source'!S183="F"),IF('Data Source'!AC183&gt;=5,"A+",IF('Data Source'!AC183&gt;=4,"A",IF('Data Source'!AC183&gt;=3.5,"A-",IF('Data Source'!AC183&gt;=3,"B",IF('Data Source'!AC183&gt;=2,"C",IF('Data Source'!AC183&gt;=1,"D","F")))))),"")</f>
        <v/>
      </c>
      <c r="L183" s="3">
        <f>IF(AND('Data Source'!B183&lt;&gt;"",'Data Source'!S183="F"),IF('Data Source'!AD183&gt;=5,"A+",IF('Data Source'!AD183&gt;=4,"A",IF('Data Source'!AD183&gt;=3.5,"A-",IF('Data Source'!AD183&gt;=3,"B",IF('Data Source'!AD183&gt;=2,"C",IF('Data Source'!AD183&gt;=1,"D","F")))))),"")</f>
        <v/>
      </c>
      <c r="M183" s="3">
        <f>IF(AND('Data Source'!B183&lt;&gt;"",'Data Source'!S183="F"),IF('Data Source'!AE183&gt;=5,"A+",IF('Data Source'!AE183&gt;=4,"A",IF('Data Source'!AE183&gt;=3.5,"A-",IF('Data Source'!AE183&gt;=3,"B",IF('Data Source'!AE183&gt;=2,"C",IF('Data Source'!AE183&gt;=1,"D","F")))))),"")</f>
        <v/>
      </c>
      <c r="N183" s="3">
        <f>IF(AND('Data Source'!B183&lt;&gt;"",'Data Source'!S183="F"),IF('Data Source'!AF183&gt;=5,"A+",IF('Data Source'!AF183&gt;=4,"A",IF('Data Source'!AF183&gt;=3.5,"A-",IF('Data Source'!AF183&gt;=3,"B",IF('Data Source'!AF183&gt;=2,"C",IF('Data Source'!AF183&gt;=1,"D","F")))))),"")</f>
        <v/>
      </c>
      <c r="O183" s="3">
        <f>IF(AND('Data Source'!B183&lt;&gt;"",'Data Source'!S183="F"),IF('Data Source'!AG183&gt;=5,"A+",IF('Data Source'!AG183&gt;=4,"A",IF('Data Source'!AG183&gt;=3.5,"A-",IF('Data Source'!AG183&gt;=3,"B",IF('Data Source'!AG183&gt;=2,"C",IF('Data Source'!AG183&gt;=1,"D","F")))))),"")</f>
        <v/>
      </c>
      <c r="P183" s="5">
        <f>IF(AND('Data Source'!B183&lt;&gt;"",'Data Source'!S183="F"),'Data Source'!R183,"")</f>
        <v/>
      </c>
      <c r="Q183" s="3">
        <f>IF(AND('Data Source'!B183&lt;&gt;"",'Data Source'!S183="F"),'Data Source'!S183,"")</f>
        <v/>
      </c>
    </row>
    <row r="184">
      <c r="A184" s="3">
        <f>IF(AND('Data Source'!B184&lt;&gt;"",'Data Source'!S184="F"),COUNTIF('Data Source'!$S$3:S184,"F"),"")</f>
        <v/>
      </c>
      <c r="B184">
        <f>IF(AND('Data Source'!B184&lt;&gt;"",'Data Source'!S184="F"),'Data Source'!B184,"")</f>
        <v/>
      </c>
      <c r="C184" s="3">
        <f>IF(AND('Data Source'!B184&lt;&gt;"",'Data Source'!S184="F"),IF('Data Source'!U184&gt;=5,"A+",IF('Data Source'!U184&gt;=4,"A",IF('Data Source'!U184&gt;=3.5,"A-",IF('Data Source'!U184&gt;=3,"B",IF('Data Source'!U184&gt;=2,"C",IF('Data Source'!U184&gt;=1,"D","F")))))),"")</f>
        <v/>
      </c>
      <c r="D184" s="3">
        <f>IF(AND('Data Source'!B184&lt;&gt;"",'Data Source'!S184="F"),IF('Data Source'!V184&gt;=5,"A+",IF('Data Source'!V184&gt;=4,"A",IF('Data Source'!V184&gt;=3.5,"A-",IF('Data Source'!V184&gt;=3,"B",IF('Data Source'!V184&gt;=2,"C",IF('Data Source'!V184&gt;=1,"D","F")))))),"")</f>
        <v/>
      </c>
      <c r="E184" s="3">
        <f>IF(AND('Data Source'!B184&lt;&gt;"",'Data Source'!S184="F"),IF('Data Source'!W184&gt;=5,"A+",IF('Data Source'!W184&gt;=4,"A",IF('Data Source'!W184&gt;=3.5,"A-",IF('Data Source'!W184&gt;=3,"B",IF('Data Source'!W184&gt;=2,"C",IF('Data Source'!W184&gt;=1,"D","F")))))),"")</f>
        <v/>
      </c>
      <c r="F184" s="3">
        <f>IF(AND('Data Source'!B184&lt;&gt;"",'Data Source'!S184="F"),IF('Data Source'!X184&gt;=5,"A+",IF('Data Source'!X184&gt;=4,"A",IF('Data Source'!X184&gt;=3.5,"A-",IF('Data Source'!X184&gt;=3,"B",IF('Data Source'!X184&gt;=2,"C",IF('Data Source'!X184&gt;=1,"D","F")))))),"")</f>
        <v/>
      </c>
      <c r="G184" s="3">
        <f>IF(AND('Data Source'!B184&lt;&gt;"",'Data Source'!S184="F"),IF('Data Source'!Y184&gt;=5,"A+",IF('Data Source'!Y184&gt;=4,"A",IF('Data Source'!Y184&gt;=3.5,"A-",IF('Data Source'!Y184&gt;=3,"B",IF('Data Source'!Y184&gt;=2,"C",IF('Data Source'!Y184&gt;=1,"D","F")))))),"")</f>
        <v/>
      </c>
      <c r="H184" s="3">
        <f>IF(AND('Data Source'!B184&lt;&gt;"",'Data Source'!S184="F"),IF('Data Source'!Z184&gt;=5,"A+",IF('Data Source'!Z184&gt;=4,"A",IF('Data Source'!Z184&gt;=3.5,"A-",IF('Data Source'!Z184&gt;=3,"B",IF('Data Source'!Z184&gt;=2,"C",IF('Data Source'!Z184&gt;=1,"D","F")))))),"")</f>
        <v/>
      </c>
      <c r="I184" s="3">
        <f>IF(AND('Data Source'!B184&lt;&gt;"",'Data Source'!S184="F"),IF('Data Source'!AA184&gt;=5,"A+",IF('Data Source'!AA184&gt;=4,"A",IF('Data Source'!AA184&gt;=3.5,"A-",IF('Data Source'!AA184&gt;=3,"B",IF('Data Source'!AA184&gt;=2,"C",IF('Data Source'!AA184&gt;=1,"D","F")))))),"")</f>
        <v/>
      </c>
      <c r="J184" s="3">
        <f>IF(AND('Data Source'!B184&lt;&gt;"",'Data Source'!S184="F"),IF('Data Source'!AB184&gt;=5,"A+",IF('Data Source'!AB184&gt;=4,"A",IF('Data Source'!AB184&gt;=3.5,"A-",IF('Data Source'!AB184&gt;=3,"B",IF('Data Source'!AB184&gt;=2,"C",IF('Data Source'!AB184&gt;=1,"D","F")))))),"")</f>
        <v/>
      </c>
      <c r="K184" s="3">
        <f>IF(AND('Data Source'!B184&lt;&gt;"",'Data Source'!S184="F"),IF('Data Source'!AC184&gt;=5,"A+",IF('Data Source'!AC184&gt;=4,"A",IF('Data Source'!AC184&gt;=3.5,"A-",IF('Data Source'!AC184&gt;=3,"B",IF('Data Source'!AC184&gt;=2,"C",IF('Data Source'!AC184&gt;=1,"D","F")))))),"")</f>
        <v/>
      </c>
      <c r="L184" s="3">
        <f>IF(AND('Data Source'!B184&lt;&gt;"",'Data Source'!S184="F"),IF('Data Source'!AD184&gt;=5,"A+",IF('Data Source'!AD184&gt;=4,"A",IF('Data Source'!AD184&gt;=3.5,"A-",IF('Data Source'!AD184&gt;=3,"B",IF('Data Source'!AD184&gt;=2,"C",IF('Data Source'!AD184&gt;=1,"D","F")))))),"")</f>
        <v/>
      </c>
      <c r="M184" s="3">
        <f>IF(AND('Data Source'!B184&lt;&gt;"",'Data Source'!S184="F"),IF('Data Source'!AE184&gt;=5,"A+",IF('Data Source'!AE184&gt;=4,"A",IF('Data Source'!AE184&gt;=3.5,"A-",IF('Data Source'!AE184&gt;=3,"B",IF('Data Source'!AE184&gt;=2,"C",IF('Data Source'!AE184&gt;=1,"D","F")))))),"")</f>
        <v/>
      </c>
      <c r="N184" s="3">
        <f>IF(AND('Data Source'!B184&lt;&gt;"",'Data Source'!S184="F"),IF('Data Source'!AF184&gt;=5,"A+",IF('Data Source'!AF184&gt;=4,"A",IF('Data Source'!AF184&gt;=3.5,"A-",IF('Data Source'!AF184&gt;=3,"B",IF('Data Source'!AF184&gt;=2,"C",IF('Data Source'!AF184&gt;=1,"D","F")))))),"")</f>
        <v/>
      </c>
      <c r="O184" s="3">
        <f>IF(AND('Data Source'!B184&lt;&gt;"",'Data Source'!S184="F"),IF('Data Source'!AG184&gt;=5,"A+",IF('Data Source'!AG184&gt;=4,"A",IF('Data Source'!AG184&gt;=3.5,"A-",IF('Data Source'!AG184&gt;=3,"B",IF('Data Source'!AG184&gt;=2,"C",IF('Data Source'!AG184&gt;=1,"D","F")))))),"")</f>
        <v/>
      </c>
      <c r="P184" s="5">
        <f>IF(AND('Data Source'!B184&lt;&gt;"",'Data Source'!S184="F"),'Data Source'!R184,"")</f>
        <v/>
      </c>
      <c r="Q184" s="3">
        <f>IF(AND('Data Source'!B184&lt;&gt;"",'Data Source'!S184="F"),'Data Source'!S184,"")</f>
        <v/>
      </c>
    </row>
    <row r="185">
      <c r="A185" s="3">
        <f>IF(AND('Data Source'!B185&lt;&gt;"",'Data Source'!S185="F"),COUNTIF('Data Source'!$S$3:S185,"F"),"")</f>
        <v/>
      </c>
      <c r="B185">
        <f>IF(AND('Data Source'!B185&lt;&gt;"",'Data Source'!S185="F"),'Data Source'!B185,"")</f>
        <v/>
      </c>
      <c r="C185" s="3">
        <f>IF(AND('Data Source'!B185&lt;&gt;"",'Data Source'!S185="F"),IF('Data Source'!U185&gt;=5,"A+",IF('Data Source'!U185&gt;=4,"A",IF('Data Source'!U185&gt;=3.5,"A-",IF('Data Source'!U185&gt;=3,"B",IF('Data Source'!U185&gt;=2,"C",IF('Data Source'!U185&gt;=1,"D","F")))))),"")</f>
        <v/>
      </c>
      <c r="D185" s="3">
        <f>IF(AND('Data Source'!B185&lt;&gt;"",'Data Source'!S185="F"),IF('Data Source'!V185&gt;=5,"A+",IF('Data Source'!V185&gt;=4,"A",IF('Data Source'!V185&gt;=3.5,"A-",IF('Data Source'!V185&gt;=3,"B",IF('Data Source'!V185&gt;=2,"C",IF('Data Source'!V185&gt;=1,"D","F")))))),"")</f>
        <v/>
      </c>
      <c r="E185" s="3">
        <f>IF(AND('Data Source'!B185&lt;&gt;"",'Data Source'!S185="F"),IF('Data Source'!W185&gt;=5,"A+",IF('Data Source'!W185&gt;=4,"A",IF('Data Source'!W185&gt;=3.5,"A-",IF('Data Source'!W185&gt;=3,"B",IF('Data Source'!W185&gt;=2,"C",IF('Data Source'!W185&gt;=1,"D","F")))))),"")</f>
        <v/>
      </c>
      <c r="F185" s="3">
        <f>IF(AND('Data Source'!B185&lt;&gt;"",'Data Source'!S185="F"),IF('Data Source'!X185&gt;=5,"A+",IF('Data Source'!X185&gt;=4,"A",IF('Data Source'!X185&gt;=3.5,"A-",IF('Data Source'!X185&gt;=3,"B",IF('Data Source'!X185&gt;=2,"C",IF('Data Source'!X185&gt;=1,"D","F")))))),"")</f>
        <v/>
      </c>
      <c r="G185" s="3">
        <f>IF(AND('Data Source'!B185&lt;&gt;"",'Data Source'!S185="F"),IF('Data Source'!Y185&gt;=5,"A+",IF('Data Source'!Y185&gt;=4,"A",IF('Data Source'!Y185&gt;=3.5,"A-",IF('Data Source'!Y185&gt;=3,"B",IF('Data Source'!Y185&gt;=2,"C",IF('Data Source'!Y185&gt;=1,"D","F")))))),"")</f>
        <v/>
      </c>
      <c r="H185" s="3">
        <f>IF(AND('Data Source'!B185&lt;&gt;"",'Data Source'!S185="F"),IF('Data Source'!Z185&gt;=5,"A+",IF('Data Source'!Z185&gt;=4,"A",IF('Data Source'!Z185&gt;=3.5,"A-",IF('Data Source'!Z185&gt;=3,"B",IF('Data Source'!Z185&gt;=2,"C",IF('Data Source'!Z185&gt;=1,"D","F")))))),"")</f>
        <v/>
      </c>
      <c r="I185" s="3">
        <f>IF(AND('Data Source'!B185&lt;&gt;"",'Data Source'!S185="F"),IF('Data Source'!AA185&gt;=5,"A+",IF('Data Source'!AA185&gt;=4,"A",IF('Data Source'!AA185&gt;=3.5,"A-",IF('Data Source'!AA185&gt;=3,"B",IF('Data Source'!AA185&gt;=2,"C",IF('Data Source'!AA185&gt;=1,"D","F")))))),"")</f>
        <v/>
      </c>
      <c r="J185" s="3">
        <f>IF(AND('Data Source'!B185&lt;&gt;"",'Data Source'!S185="F"),IF('Data Source'!AB185&gt;=5,"A+",IF('Data Source'!AB185&gt;=4,"A",IF('Data Source'!AB185&gt;=3.5,"A-",IF('Data Source'!AB185&gt;=3,"B",IF('Data Source'!AB185&gt;=2,"C",IF('Data Source'!AB185&gt;=1,"D","F")))))),"")</f>
        <v/>
      </c>
      <c r="K185" s="3">
        <f>IF(AND('Data Source'!B185&lt;&gt;"",'Data Source'!S185="F"),IF('Data Source'!AC185&gt;=5,"A+",IF('Data Source'!AC185&gt;=4,"A",IF('Data Source'!AC185&gt;=3.5,"A-",IF('Data Source'!AC185&gt;=3,"B",IF('Data Source'!AC185&gt;=2,"C",IF('Data Source'!AC185&gt;=1,"D","F")))))),"")</f>
        <v/>
      </c>
      <c r="L185" s="3">
        <f>IF(AND('Data Source'!B185&lt;&gt;"",'Data Source'!S185="F"),IF('Data Source'!AD185&gt;=5,"A+",IF('Data Source'!AD185&gt;=4,"A",IF('Data Source'!AD185&gt;=3.5,"A-",IF('Data Source'!AD185&gt;=3,"B",IF('Data Source'!AD185&gt;=2,"C",IF('Data Source'!AD185&gt;=1,"D","F")))))),"")</f>
        <v/>
      </c>
      <c r="M185" s="3">
        <f>IF(AND('Data Source'!B185&lt;&gt;"",'Data Source'!S185="F"),IF('Data Source'!AE185&gt;=5,"A+",IF('Data Source'!AE185&gt;=4,"A",IF('Data Source'!AE185&gt;=3.5,"A-",IF('Data Source'!AE185&gt;=3,"B",IF('Data Source'!AE185&gt;=2,"C",IF('Data Source'!AE185&gt;=1,"D","F")))))),"")</f>
        <v/>
      </c>
      <c r="N185" s="3">
        <f>IF(AND('Data Source'!B185&lt;&gt;"",'Data Source'!S185="F"),IF('Data Source'!AF185&gt;=5,"A+",IF('Data Source'!AF185&gt;=4,"A",IF('Data Source'!AF185&gt;=3.5,"A-",IF('Data Source'!AF185&gt;=3,"B",IF('Data Source'!AF185&gt;=2,"C",IF('Data Source'!AF185&gt;=1,"D","F")))))),"")</f>
        <v/>
      </c>
      <c r="O185" s="3">
        <f>IF(AND('Data Source'!B185&lt;&gt;"",'Data Source'!S185="F"),IF('Data Source'!AG185&gt;=5,"A+",IF('Data Source'!AG185&gt;=4,"A",IF('Data Source'!AG185&gt;=3.5,"A-",IF('Data Source'!AG185&gt;=3,"B",IF('Data Source'!AG185&gt;=2,"C",IF('Data Source'!AG185&gt;=1,"D","F")))))),"")</f>
        <v/>
      </c>
      <c r="P185" s="5">
        <f>IF(AND('Data Source'!B185&lt;&gt;"",'Data Source'!S185="F"),'Data Source'!R185,"")</f>
        <v/>
      </c>
      <c r="Q185" s="3">
        <f>IF(AND('Data Source'!B185&lt;&gt;"",'Data Source'!S185="F"),'Data Source'!S185,"")</f>
        <v/>
      </c>
    </row>
    <row r="186">
      <c r="A186" s="3">
        <f>IF(AND('Data Source'!B186&lt;&gt;"",'Data Source'!S186="F"),COUNTIF('Data Source'!$S$3:S186,"F"),"")</f>
        <v/>
      </c>
      <c r="B186">
        <f>IF(AND('Data Source'!B186&lt;&gt;"",'Data Source'!S186="F"),'Data Source'!B186,"")</f>
        <v/>
      </c>
      <c r="C186" s="3">
        <f>IF(AND('Data Source'!B186&lt;&gt;"",'Data Source'!S186="F"),IF('Data Source'!U186&gt;=5,"A+",IF('Data Source'!U186&gt;=4,"A",IF('Data Source'!U186&gt;=3.5,"A-",IF('Data Source'!U186&gt;=3,"B",IF('Data Source'!U186&gt;=2,"C",IF('Data Source'!U186&gt;=1,"D","F")))))),"")</f>
        <v/>
      </c>
      <c r="D186" s="3">
        <f>IF(AND('Data Source'!B186&lt;&gt;"",'Data Source'!S186="F"),IF('Data Source'!V186&gt;=5,"A+",IF('Data Source'!V186&gt;=4,"A",IF('Data Source'!V186&gt;=3.5,"A-",IF('Data Source'!V186&gt;=3,"B",IF('Data Source'!V186&gt;=2,"C",IF('Data Source'!V186&gt;=1,"D","F")))))),"")</f>
        <v/>
      </c>
      <c r="E186" s="3">
        <f>IF(AND('Data Source'!B186&lt;&gt;"",'Data Source'!S186="F"),IF('Data Source'!W186&gt;=5,"A+",IF('Data Source'!W186&gt;=4,"A",IF('Data Source'!W186&gt;=3.5,"A-",IF('Data Source'!W186&gt;=3,"B",IF('Data Source'!W186&gt;=2,"C",IF('Data Source'!W186&gt;=1,"D","F")))))),"")</f>
        <v/>
      </c>
      <c r="F186" s="3">
        <f>IF(AND('Data Source'!B186&lt;&gt;"",'Data Source'!S186="F"),IF('Data Source'!X186&gt;=5,"A+",IF('Data Source'!X186&gt;=4,"A",IF('Data Source'!X186&gt;=3.5,"A-",IF('Data Source'!X186&gt;=3,"B",IF('Data Source'!X186&gt;=2,"C",IF('Data Source'!X186&gt;=1,"D","F")))))),"")</f>
        <v/>
      </c>
      <c r="G186" s="3">
        <f>IF(AND('Data Source'!B186&lt;&gt;"",'Data Source'!S186="F"),IF('Data Source'!Y186&gt;=5,"A+",IF('Data Source'!Y186&gt;=4,"A",IF('Data Source'!Y186&gt;=3.5,"A-",IF('Data Source'!Y186&gt;=3,"B",IF('Data Source'!Y186&gt;=2,"C",IF('Data Source'!Y186&gt;=1,"D","F")))))),"")</f>
        <v/>
      </c>
      <c r="H186" s="3">
        <f>IF(AND('Data Source'!B186&lt;&gt;"",'Data Source'!S186="F"),IF('Data Source'!Z186&gt;=5,"A+",IF('Data Source'!Z186&gt;=4,"A",IF('Data Source'!Z186&gt;=3.5,"A-",IF('Data Source'!Z186&gt;=3,"B",IF('Data Source'!Z186&gt;=2,"C",IF('Data Source'!Z186&gt;=1,"D","F")))))),"")</f>
        <v/>
      </c>
      <c r="I186" s="3">
        <f>IF(AND('Data Source'!B186&lt;&gt;"",'Data Source'!S186="F"),IF('Data Source'!AA186&gt;=5,"A+",IF('Data Source'!AA186&gt;=4,"A",IF('Data Source'!AA186&gt;=3.5,"A-",IF('Data Source'!AA186&gt;=3,"B",IF('Data Source'!AA186&gt;=2,"C",IF('Data Source'!AA186&gt;=1,"D","F")))))),"")</f>
        <v/>
      </c>
      <c r="J186" s="3">
        <f>IF(AND('Data Source'!B186&lt;&gt;"",'Data Source'!S186="F"),IF('Data Source'!AB186&gt;=5,"A+",IF('Data Source'!AB186&gt;=4,"A",IF('Data Source'!AB186&gt;=3.5,"A-",IF('Data Source'!AB186&gt;=3,"B",IF('Data Source'!AB186&gt;=2,"C",IF('Data Source'!AB186&gt;=1,"D","F")))))),"")</f>
        <v/>
      </c>
      <c r="K186" s="3">
        <f>IF(AND('Data Source'!B186&lt;&gt;"",'Data Source'!S186="F"),IF('Data Source'!AC186&gt;=5,"A+",IF('Data Source'!AC186&gt;=4,"A",IF('Data Source'!AC186&gt;=3.5,"A-",IF('Data Source'!AC186&gt;=3,"B",IF('Data Source'!AC186&gt;=2,"C",IF('Data Source'!AC186&gt;=1,"D","F")))))),"")</f>
        <v/>
      </c>
      <c r="L186" s="3">
        <f>IF(AND('Data Source'!B186&lt;&gt;"",'Data Source'!S186="F"),IF('Data Source'!AD186&gt;=5,"A+",IF('Data Source'!AD186&gt;=4,"A",IF('Data Source'!AD186&gt;=3.5,"A-",IF('Data Source'!AD186&gt;=3,"B",IF('Data Source'!AD186&gt;=2,"C",IF('Data Source'!AD186&gt;=1,"D","F")))))),"")</f>
        <v/>
      </c>
      <c r="M186" s="3">
        <f>IF(AND('Data Source'!B186&lt;&gt;"",'Data Source'!S186="F"),IF('Data Source'!AE186&gt;=5,"A+",IF('Data Source'!AE186&gt;=4,"A",IF('Data Source'!AE186&gt;=3.5,"A-",IF('Data Source'!AE186&gt;=3,"B",IF('Data Source'!AE186&gt;=2,"C",IF('Data Source'!AE186&gt;=1,"D","F")))))),"")</f>
        <v/>
      </c>
      <c r="N186" s="3">
        <f>IF(AND('Data Source'!B186&lt;&gt;"",'Data Source'!S186="F"),IF('Data Source'!AF186&gt;=5,"A+",IF('Data Source'!AF186&gt;=4,"A",IF('Data Source'!AF186&gt;=3.5,"A-",IF('Data Source'!AF186&gt;=3,"B",IF('Data Source'!AF186&gt;=2,"C",IF('Data Source'!AF186&gt;=1,"D","F")))))),"")</f>
        <v/>
      </c>
      <c r="O186" s="3">
        <f>IF(AND('Data Source'!B186&lt;&gt;"",'Data Source'!S186="F"),IF('Data Source'!AG186&gt;=5,"A+",IF('Data Source'!AG186&gt;=4,"A",IF('Data Source'!AG186&gt;=3.5,"A-",IF('Data Source'!AG186&gt;=3,"B",IF('Data Source'!AG186&gt;=2,"C",IF('Data Source'!AG186&gt;=1,"D","F")))))),"")</f>
        <v/>
      </c>
      <c r="P186" s="5">
        <f>IF(AND('Data Source'!B186&lt;&gt;"",'Data Source'!S186="F"),'Data Source'!R186,"")</f>
        <v/>
      </c>
      <c r="Q186" s="3">
        <f>IF(AND('Data Source'!B186&lt;&gt;"",'Data Source'!S186="F"),'Data Source'!S186,"")</f>
        <v/>
      </c>
    </row>
    <row r="187">
      <c r="A187" s="3">
        <f>IF(AND('Data Source'!B187&lt;&gt;"",'Data Source'!S187="F"),COUNTIF('Data Source'!$S$3:S187,"F"),"")</f>
        <v/>
      </c>
      <c r="B187">
        <f>IF(AND('Data Source'!B187&lt;&gt;"",'Data Source'!S187="F"),'Data Source'!B187,"")</f>
        <v/>
      </c>
      <c r="C187" s="3">
        <f>IF(AND('Data Source'!B187&lt;&gt;"",'Data Source'!S187="F"),IF('Data Source'!U187&gt;=5,"A+",IF('Data Source'!U187&gt;=4,"A",IF('Data Source'!U187&gt;=3.5,"A-",IF('Data Source'!U187&gt;=3,"B",IF('Data Source'!U187&gt;=2,"C",IF('Data Source'!U187&gt;=1,"D","F")))))),"")</f>
        <v/>
      </c>
      <c r="D187" s="3">
        <f>IF(AND('Data Source'!B187&lt;&gt;"",'Data Source'!S187="F"),IF('Data Source'!V187&gt;=5,"A+",IF('Data Source'!V187&gt;=4,"A",IF('Data Source'!V187&gt;=3.5,"A-",IF('Data Source'!V187&gt;=3,"B",IF('Data Source'!V187&gt;=2,"C",IF('Data Source'!V187&gt;=1,"D","F")))))),"")</f>
        <v/>
      </c>
      <c r="E187" s="3">
        <f>IF(AND('Data Source'!B187&lt;&gt;"",'Data Source'!S187="F"),IF('Data Source'!W187&gt;=5,"A+",IF('Data Source'!W187&gt;=4,"A",IF('Data Source'!W187&gt;=3.5,"A-",IF('Data Source'!W187&gt;=3,"B",IF('Data Source'!W187&gt;=2,"C",IF('Data Source'!W187&gt;=1,"D","F")))))),"")</f>
        <v/>
      </c>
      <c r="F187" s="3">
        <f>IF(AND('Data Source'!B187&lt;&gt;"",'Data Source'!S187="F"),IF('Data Source'!X187&gt;=5,"A+",IF('Data Source'!X187&gt;=4,"A",IF('Data Source'!X187&gt;=3.5,"A-",IF('Data Source'!X187&gt;=3,"B",IF('Data Source'!X187&gt;=2,"C",IF('Data Source'!X187&gt;=1,"D","F")))))),"")</f>
        <v/>
      </c>
      <c r="G187" s="3">
        <f>IF(AND('Data Source'!B187&lt;&gt;"",'Data Source'!S187="F"),IF('Data Source'!Y187&gt;=5,"A+",IF('Data Source'!Y187&gt;=4,"A",IF('Data Source'!Y187&gt;=3.5,"A-",IF('Data Source'!Y187&gt;=3,"B",IF('Data Source'!Y187&gt;=2,"C",IF('Data Source'!Y187&gt;=1,"D","F")))))),"")</f>
        <v/>
      </c>
      <c r="H187" s="3">
        <f>IF(AND('Data Source'!B187&lt;&gt;"",'Data Source'!S187="F"),IF('Data Source'!Z187&gt;=5,"A+",IF('Data Source'!Z187&gt;=4,"A",IF('Data Source'!Z187&gt;=3.5,"A-",IF('Data Source'!Z187&gt;=3,"B",IF('Data Source'!Z187&gt;=2,"C",IF('Data Source'!Z187&gt;=1,"D","F")))))),"")</f>
        <v/>
      </c>
      <c r="I187" s="3">
        <f>IF(AND('Data Source'!B187&lt;&gt;"",'Data Source'!S187="F"),IF('Data Source'!AA187&gt;=5,"A+",IF('Data Source'!AA187&gt;=4,"A",IF('Data Source'!AA187&gt;=3.5,"A-",IF('Data Source'!AA187&gt;=3,"B",IF('Data Source'!AA187&gt;=2,"C",IF('Data Source'!AA187&gt;=1,"D","F")))))),"")</f>
        <v/>
      </c>
      <c r="J187" s="3">
        <f>IF(AND('Data Source'!B187&lt;&gt;"",'Data Source'!S187="F"),IF('Data Source'!AB187&gt;=5,"A+",IF('Data Source'!AB187&gt;=4,"A",IF('Data Source'!AB187&gt;=3.5,"A-",IF('Data Source'!AB187&gt;=3,"B",IF('Data Source'!AB187&gt;=2,"C",IF('Data Source'!AB187&gt;=1,"D","F")))))),"")</f>
        <v/>
      </c>
      <c r="K187" s="3">
        <f>IF(AND('Data Source'!B187&lt;&gt;"",'Data Source'!S187="F"),IF('Data Source'!AC187&gt;=5,"A+",IF('Data Source'!AC187&gt;=4,"A",IF('Data Source'!AC187&gt;=3.5,"A-",IF('Data Source'!AC187&gt;=3,"B",IF('Data Source'!AC187&gt;=2,"C",IF('Data Source'!AC187&gt;=1,"D","F")))))),"")</f>
        <v/>
      </c>
      <c r="L187" s="3">
        <f>IF(AND('Data Source'!B187&lt;&gt;"",'Data Source'!S187="F"),IF('Data Source'!AD187&gt;=5,"A+",IF('Data Source'!AD187&gt;=4,"A",IF('Data Source'!AD187&gt;=3.5,"A-",IF('Data Source'!AD187&gt;=3,"B",IF('Data Source'!AD187&gt;=2,"C",IF('Data Source'!AD187&gt;=1,"D","F")))))),"")</f>
        <v/>
      </c>
      <c r="M187" s="3">
        <f>IF(AND('Data Source'!B187&lt;&gt;"",'Data Source'!S187="F"),IF('Data Source'!AE187&gt;=5,"A+",IF('Data Source'!AE187&gt;=4,"A",IF('Data Source'!AE187&gt;=3.5,"A-",IF('Data Source'!AE187&gt;=3,"B",IF('Data Source'!AE187&gt;=2,"C",IF('Data Source'!AE187&gt;=1,"D","F")))))),"")</f>
        <v/>
      </c>
      <c r="N187" s="3">
        <f>IF(AND('Data Source'!B187&lt;&gt;"",'Data Source'!S187="F"),IF('Data Source'!AF187&gt;=5,"A+",IF('Data Source'!AF187&gt;=4,"A",IF('Data Source'!AF187&gt;=3.5,"A-",IF('Data Source'!AF187&gt;=3,"B",IF('Data Source'!AF187&gt;=2,"C",IF('Data Source'!AF187&gt;=1,"D","F")))))),"")</f>
        <v/>
      </c>
      <c r="O187" s="3">
        <f>IF(AND('Data Source'!B187&lt;&gt;"",'Data Source'!S187="F"),IF('Data Source'!AG187&gt;=5,"A+",IF('Data Source'!AG187&gt;=4,"A",IF('Data Source'!AG187&gt;=3.5,"A-",IF('Data Source'!AG187&gt;=3,"B",IF('Data Source'!AG187&gt;=2,"C",IF('Data Source'!AG187&gt;=1,"D","F")))))),"")</f>
        <v/>
      </c>
      <c r="P187" s="5">
        <f>IF(AND('Data Source'!B187&lt;&gt;"",'Data Source'!S187="F"),'Data Source'!R187,"")</f>
        <v/>
      </c>
      <c r="Q187" s="3">
        <f>IF(AND('Data Source'!B187&lt;&gt;"",'Data Source'!S187="F"),'Data Source'!S187,"")</f>
        <v/>
      </c>
    </row>
    <row r="188">
      <c r="A188" s="3">
        <f>IF(AND('Data Source'!B188&lt;&gt;"",'Data Source'!S188="F"),COUNTIF('Data Source'!$S$3:S188,"F"),"")</f>
        <v/>
      </c>
      <c r="B188">
        <f>IF(AND('Data Source'!B188&lt;&gt;"",'Data Source'!S188="F"),'Data Source'!B188,"")</f>
        <v/>
      </c>
      <c r="C188" s="3">
        <f>IF(AND('Data Source'!B188&lt;&gt;"",'Data Source'!S188="F"),IF('Data Source'!U188&gt;=5,"A+",IF('Data Source'!U188&gt;=4,"A",IF('Data Source'!U188&gt;=3.5,"A-",IF('Data Source'!U188&gt;=3,"B",IF('Data Source'!U188&gt;=2,"C",IF('Data Source'!U188&gt;=1,"D","F")))))),"")</f>
        <v/>
      </c>
      <c r="D188" s="3">
        <f>IF(AND('Data Source'!B188&lt;&gt;"",'Data Source'!S188="F"),IF('Data Source'!V188&gt;=5,"A+",IF('Data Source'!V188&gt;=4,"A",IF('Data Source'!V188&gt;=3.5,"A-",IF('Data Source'!V188&gt;=3,"B",IF('Data Source'!V188&gt;=2,"C",IF('Data Source'!V188&gt;=1,"D","F")))))),"")</f>
        <v/>
      </c>
      <c r="E188" s="3">
        <f>IF(AND('Data Source'!B188&lt;&gt;"",'Data Source'!S188="F"),IF('Data Source'!W188&gt;=5,"A+",IF('Data Source'!W188&gt;=4,"A",IF('Data Source'!W188&gt;=3.5,"A-",IF('Data Source'!W188&gt;=3,"B",IF('Data Source'!W188&gt;=2,"C",IF('Data Source'!W188&gt;=1,"D","F")))))),"")</f>
        <v/>
      </c>
      <c r="F188" s="3">
        <f>IF(AND('Data Source'!B188&lt;&gt;"",'Data Source'!S188="F"),IF('Data Source'!X188&gt;=5,"A+",IF('Data Source'!X188&gt;=4,"A",IF('Data Source'!X188&gt;=3.5,"A-",IF('Data Source'!X188&gt;=3,"B",IF('Data Source'!X188&gt;=2,"C",IF('Data Source'!X188&gt;=1,"D","F")))))),"")</f>
        <v/>
      </c>
      <c r="G188" s="3">
        <f>IF(AND('Data Source'!B188&lt;&gt;"",'Data Source'!S188="F"),IF('Data Source'!Y188&gt;=5,"A+",IF('Data Source'!Y188&gt;=4,"A",IF('Data Source'!Y188&gt;=3.5,"A-",IF('Data Source'!Y188&gt;=3,"B",IF('Data Source'!Y188&gt;=2,"C",IF('Data Source'!Y188&gt;=1,"D","F")))))),"")</f>
        <v/>
      </c>
      <c r="H188" s="3">
        <f>IF(AND('Data Source'!B188&lt;&gt;"",'Data Source'!S188="F"),IF('Data Source'!Z188&gt;=5,"A+",IF('Data Source'!Z188&gt;=4,"A",IF('Data Source'!Z188&gt;=3.5,"A-",IF('Data Source'!Z188&gt;=3,"B",IF('Data Source'!Z188&gt;=2,"C",IF('Data Source'!Z188&gt;=1,"D","F")))))),"")</f>
        <v/>
      </c>
      <c r="I188" s="3">
        <f>IF(AND('Data Source'!B188&lt;&gt;"",'Data Source'!S188="F"),IF('Data Source'!AA188&gt;=5,"A+",IF('Data Source'!AA188&gt;=4,"A",IF('Data Source'!AA188&gt;=3.5,"A-",IF('Data Source'!AA188&gt;=3,"B",IF('Data Source'!AA188&gt;=2,"C",IF('Data Source'!AA188&gt;=1,"D","F")))))),"")</f>
        <v/>
      </c>
      <c r="J188" s="3">
        <f>IF(AND('Data Source'!B188&lt;&gt;"",'Data Source'!S188="F"),IF('Data Source'!AB188&gt;=5,"A+",IF('Data Source'!AB188&gt;=4,"A",IF('Data Source'!AB188&gt;=3.5,"A-",IF('Data Source'!AB188&gt;=3,"B",IF('Data Source'!AB188&gt;=2,"C",IF('Data Source'!AB188&gt;=1,"D","F")))))),"")</f>
        <v/>
      </c>
      <c r="K188" s="3">
        <f>IF(AND('Data Source'!B188&lt;&gt;"",'Data Source'!S188="F"),IF('Data Source'!AC188&gt;=5,"A+",IF('Data Source'!AC188&gt;=4,"A",IF('Data Source'!AC188&gt;=3.5,"A-",IF('Data Source'!AC188&gt;=3,"B",IF('Data Source'!AC188&gt;=2,"C",IF('Data Source'!AC188&gt;=1,"D","F")))))),"")</f>
        <v/>
      </c>
      <c r="L188" s="3">
        <f>IF(AND('Data Source'!B188&lt;&gt;"",'Data Source'!S188="F"),IF('Data Source'!AD188&gt;=5,"A+",IF('Data Source'!AD188&gt;=4,"A",IF('Data Source'!AD188&gt;=3.5,"A-",IF('Data Source'!AD188&gt;=3,"B",IF('Data Source'!AD188&gt;=2,"C",IF('Data Source'!AD188&gt;=1,"D","F")))))),"")</f>
        <v/>
      </c>
      <c r="M188" s="3">
        <f>IF(AND('Data Source'!B188&lt;&gt;"",'Data Source'!S188="F"),IF('Data Source'!AE188&gt;=5,"A+",IF('Data Source'!AE188&gt;=4,"A",IF('Data Source'!AE188&gt;=3.5,"A-",IF('Data Source'!AE188&gt;=3,"B",IF('Data Source'!AE188&gt;=2,"C",IF('Data Source'!AE188&gt;=1,"D","F")))))),"")</f>
        <v/>
      </c>
      <c r="N188" s="3">
        <f>IF(AND('Data Source'!B188&lt;&gt;"",'Data Source'!S188="F"),IF('Data Source'!AF188&gt;=5,"A+",IF('Data Source'!AF188&gt;=4,"A",IF('Data Source'!AF188&gt;=3.5,"A-",IF('Data Source'!AF188&gt;=3,"B",IF('Data Source'!AF188&gt;=2,"C",IF('Data Source'!AF188&gt;=1,"D","F")))))),"")</f>
        <v/>
      </c>
      <c r="O188" s="3">
        <f>IF(AND('Data Source'!B188&lt;&gt;"",'Data Source'!S188="F"),IF('Data Source'!AG188&gt;=5,"A+",IF('Data Source'!AG188&gt;=4,"A",IF('Data Source'!AG188&gt;=3.5,"A-",IF('Data Source'!AG188&gt;=3,"B",IF('Data Source'!AG188&gt;=2,"C",IF('Data Source'!AG188&gt;=1,"D","F")))))),"")</f>
        <v/>
      </c>
      <c r="P188" s="5">
        <f>IF(AND('Data Source'!B188&lt;&gt;"",'Data Source'!S188="F"),'Data Source'!R188,"")</f>
        <v/>
      </c>
      <c r="Q188" s="3">
        <f>IF(AND('Data Source'!B188&lt;&gt;"",'Data Source'!S188="F"),'Data Source'!S188,"")</f>
        <v/>
      </c>
    </row>
    <row r="189">
      <c r="A189" s="3">
        <f>IF(AND('Data Source'!B189&lt;&gt;"",'Data Source'!S189="F"),COUNTIF('Data Source'!$S$3:S189,"F"),"")</f>
        <v/>
      </c>
      <c r="B189">
        <f>IF(AND('Data Source'!B189&lt;&gt;"",'Data Source'!S189="F"),'Data Source'!B189,"")</f>
        <v/>
      </c>
      <c r="C189" s="3">
        <f>IF(AND('Data Source'!B189&lt;&gt;"",'Data Source'!S189="F"),IF('Data Source'!U189&gt;=5,"A+",IF('Data Source'!U189&gt;=4,"A",IF('Data Source'!U189&gt;=3.5,"A-",IF('Data Source'!U189&gt;=3,"B",IF('Data Source'!U189&gt;=2,"C",IF('Data Source'!U189&gt;=1,"D","F")))))),"")</f>
        <v/>
      </c>
      <c r="D189" s="3">
        <f>IF(AND('Data Source'!B189&lt;&gt;"",'Data Source'!S189="F"),IF('Data Source'!V189&gt;=5,"A+",IF('Data Source'!V189&gt;=4,"A",IF('Data Source'!V189&gt;=3.5,"A-",IF('Data Source'!V189&gt;=3,"B",IF('Data Source'!V189&gt;=2,"C",IF('Data Source'!V189&gt;=1,"D","F")))))),"")</f>
        <v/>
      </c>
      <c r="E189" s="3">
        <f>IF(AND('Data Source'!B189&lt;&gt;"",'Data Source'!S189="F"),IF('Data Source'!W189&gt;=5,"A+",IF('Data Source'!W189&gt;=4,"A",IF('Data Source'!W189&gt;=3.5,"A-",IF('Data Source'!W189&gt;=3,"B",IF('Data Source'!W189&gt;=2,"C",IF('Data Source'!W189&gt;=1,"D","F")))))),"")</f>
        <v/>
      </c>
      <c r="F189" s="3">
        <f>IF(AND('Data Source'!B189&lt;&gt;"",'Data Source'!S189="F"),IF('Data Source'!X189&gt;=5,"A+",IF('Data Source'!X189&gt;=4,"A",IF('Data Source'!X189&gt;=3.5,"A-",IF('Data Source'!X189&gt;=3,"B",IF('Data Source'!X189&gt;=2,"C",IF('Data Source'!X189&gt;=1,"D","F")))))),"")</f>
        <v/>
      </c>
      <c r="G189" s="3">
        <f>IF(AND('Data Source'!B189&lt;&gt;"",'Data Source'!S189="F"),IF('Data Source'!Y189&gt;=5,"A+",IF('Data Source'!Y189&gt;=4,"A",IF('Data Source'!Y189&gt;=3.5,"A-",IF('Data Source'!Y189&gt;=3,"B",IF('Data Source'!Y189&gt;=2,"C",IF('Data Source'!Y189&gt;=1,"D","F")))))),"")</f>
        <v/>
      </c>
      <c r="H189" s="3">
        <f>IF(AND('Data Source'!B189&lt;&gt;"",'Data Source'!S189="F"),IF('Data Source'!Z189&gt;=5,"A+",IF('Data Source'!Z189&gt;=4,"A",IF('Data Source'!Z189&gt;=3.5,"A-",IF('Data Source'!Z189&gt;=3,"B",IF('Data Source'!Z189&gt;=2,"C",IF('Data Source'!Z189&gt;=1,"D","F")))))),"")</f>
        <v/>
      </c>
      <c r="I189" s="3">
        <f>IF(AND('Data Source'!B189&lt;&gt;"",'Data Source'!S189="F"),IF('Data Source'!AA189&gt;=5,"A+",IF('Data Source'!AA189&gt;=4,"A",IF('Data Source'!AA189&gt;=3.5,"A-",IF('Data Source'!AA189&gt;=3,"B",IF('Data Source'!AA189&gt;=2,"C",IF('Data Source'!AA189&gt;=1,"D","F")))))),"")</f>
        <v/>
      </c>
      <c r="J189" s="3">
        <f>IF(AND('Data Source'!B189&lt;&gt;"",'Data Source'!S189="F"),IF('Data Source'!AB189&gt;=5,"A+",IF('Data Source'!AB189&gt;=4,"A",IF('Data Source'!AB189&gt;=3.5,"A-",IF('Data Source'!AB189&gt;=3,"B",IF('Data Source'!AB189&gt;=2,"C",IF('Data Source'!AB189&gt;=1,"D","F")))))),"")</f>
        <v/>
      </c>
      <c r="K189" s="3">
        <f>IF(AND('Data Source'!B189&lt;&gt;"",'Data Source'!S189="F"),IF('Data Source'!AC189&gt;=5,"A+",IF('Data Source'!AC189&gt;=4,"A",IF('Data Source'!AC189&gt;=3.5,"A-",IF('Data Source'!AC189&gt;=3,"B",IF('Data Source'!AC189&gt;=2,"C",IF('Data Source'!AC189&gt;=1,"D","F")))))),"")</f>
        <v/>
      </c>
      <c r="L189" s="3">
        <f>IF(AND('Data Source'!B189&lt;&gt;"",'Data Source'!S189="F"),IF('Data Source'!AD189&gt;=5,"A+",IF('Data Source'!AD189&gt;=4,"A",IF('Data Source'!AD189&gt;=3.5,"A-",IF('Data Source'!AD189&gt;=3,"B",IF('Data Source'!AD189&gt;=2,"C",IF('Data Source'!AD189&gt;=1,"D","F")))))),"")</f>
        <v/>
      </c>
      <c r="M189" s="3">
        <f>IF(AND('Data Source'!B189&lt;&gt;"",'Data Source'!S189="F"),IF('Data Source'!AE189&gt;=5,"A+",IF('Data Source'!AE189&gt;=4,"A",IF('Data Source'!AE189&gt;=3.5,"A-",IF('Data Source'!AE189&gt;=3,"B",IF('Data Source'!AE189&gt;=2,"C",IF('Data Source'!AE189&gt;=1,"D","F")))))),"")</f>
        <v/>
      </c>
      <c r="N189" s="3">
        <f>IF(AND('Data Source'!B189&lt;&gt;"",'Data Source'!S189="F"),IF('Data Source'!AF189&gt;=5,"A+",IF('Data Source'!AF189&gt;=4,"A",IF('Data Source'!AF189&gt;=3.5,"A-",IF('Data Source'!AF189&gt;=3,"B",IF('Data Source'!AF189&gt;=2,"C",IF('Data Source'!AF189&gt;=1,"D","F")))))),"")</f>
        <v/>
      </c>
      <c r="O189" s="3">
        <f>IF(AND('Data Source'!B189&lt;&gt;"",'Data Source'!S189="F"),IF('Data Source'!AG189&gt;=5,"A+",IF('Data Source'!AG189&gt;=4,"A",IF('Data Source'!AG189&gt;=3.5,"A-",IF('Data Source'!AG189&gt;=3,"B",IF('Data Source'!AG189&gt;=2,"C",IF('Data Source'!AG189&gt;=1,"D","F")))))),"")</f>
        <v/>
      </c>
      <c r="P189" s="5">
        <f>IF(AND('Data Source'!B189&lt;&gt;"",'Data Source'!S189="F"),'Data Source'!R189,"")</f>
        <v/>
      </c>
      <c r="Q189" s="3">
        <f>IF(AND('Data Source'!B189&lt;&gt;"",'Data Source'!S189="F"),'Data Source'!S189,"")</f>
        <v/>
      </c>
    </row>
    <row r="190">
      <c r="A190" s="3">
        <f>IF(AND('Data Source'!B190&lt;&gt;"",'Data Source'!S190="F"),COUNTIF('Data Source'!$S$3:S190,"F"),"")</f>
        <v/>
      </c>
      <c r="B190">
        <f>IF(AND('Data Source'!B190&lt;&gt;"",'Data Source'!S190="F"),'Data Source'!B190,"")</f>
        <v/>
      </c>
      <c r="C190" s="3">
        <f>IF(AND('Data Source'!B190&lt;&gt;"",'Data Source'!S190="F"),IF('Data Source'!U190&gt;=5,"A+",IF('Data Source'!U190&gt;=4,"A",IF('Data Source'!U190&gt;=3.5,"A-",IF('Data Source'!U190&gt;=3,"B",IF('Data Source'!U190&gt;=2,"C",IF('Data Source'!U190&gt;=1,"D","F")))))),"")</f>
        <v/>
      </c>
      <c r="D190" s="3">
        <f>IF(AND('Data Source'!B190&lt;&gt;"",'Data Source'!S190="F"),IF('Data Source'!V190&gt;=5,"A+",IF('Data Source'!V190&gt;=4,"A",IF('Data Source'!V190&gt;=3.5,"A-",IF('Data Source'!V190&gt;=3,"B",IF('Data Source'!V190&gt;=2,"C",IF('Data Source'!V190&gt;=1,"D","F")))))),"")</f>
        <v/>
      </c>
      <c r="E190" s="3">
        <f>IF(AND('Data Source'!B190&lt;&gt;"",'Data Source'!S190="F"),IF('Data Source'!W190&gt;=5,"A+",IF('Data Source'!W190&gt;=4,"A",IF('Data Source'!W190&gt;=3.5,"A-",IF('Data Source'!W190&gt;=3,"B",IF('Data Source'!W190&gt;=2,"C",IF('Data Source'!W190&gt;=1,"D","F")))))),"")</f>
        <v/>
      </c>
      <c r="F190" s="3">
        <f>IF(AND('Data Source'!B190&lt;&gt;"",'Data Source'!S190="F"),IF('Data Source'!X190&gt;=5,"A+",IF('Data Source'!X190&gt;=4,"A",IF('Data Source'!X190&gt;=3.5,"A-",IF('Data Source'!X190&gt;=3,"B",IF('Data Source'!X190&gt;=2,"C",IF('Data Source'!X190&gt;=1,"D","F")))))),"")</f>
        <v/>
      </c>
      <c r="G190" s="3">
        <f>IF(AND('Data Source'!B190&lt;&gt;"",'Data Source'!S190="F"),IF('Data Source'!Y190&gt;=5,"A+",IF('Data Source'!Y190&gt;=4,"A",IF('Data Source'!Y190&gt;=3.5,"A-",IF('Data Source'!Y190&gt;=3,"B",IF('Data Source'!Y190&gt;=2,"C",IF('Data Source'!Y190&gt;=1,"D","F")))))),"")</f>
        <v/>
      </c>
      <c r="H190" s="3">
        <f>IF(AND('Data Source'!B190&lt;&gt;"",'Data Source'!S190="F"),IF('Data Source'!Z190&gt;=5,"A+",IF('Data Source'!Z190&gt;=4,"A",IF('Data Source'!Z190&gt;=3.5,"A-",IF('Data Source'!Z190&gt;=3,"B",IF('Data Source'!Z190&gt;=2,"C",IF('Data Source'!Z190&gt;=1,"D","F")))))),"")</f>
        <v/>
      </c>
      <c r="I190" s="3">
        <f>IF(AND('Data Source'!B190&lt;&gt;"",'Data Source'!S190="F"),IF('Data Source'!AA190&gt;=5,"A+",IF('Data Source'!AA190&gt;=4,"A",IF('Data Source'!AA190&gt;=3.5,"A-",IF('Data Source'!AA190&gt;=3,"B",IF('Data Source'!AA190&gt;=2,"C",IF('Data Source'!AA190&gt;=1,"D","F")))))),"")</f>
        <v/>
      </c>
      <c r="J190" s="3">
        <f>IF(AND('Data Source'!B190&lt;&gt;"",'Data Source'!S190="F"),IF('Data Source'!AB190&gt;=5,"A+",IF('Data Source'!AB190&gt;=4,"A",IF('Data Source'!AB190&gt;=3.5,"A-",IF('Data Source'!AB190&gt;=3,"B",IF('Data Source'!AB190&gt;=2,"C",IF('Data Source'!AB190&gt;=1,"D","F")))))),"")</f>
        <v/>
      </c>
      <c r="K190" s="3">
        <f>IF(AND('Data Source'!B190&lt;&gt;"",'Data Source'!S190="F"),IF('Data Source'!AC190&gt;=5,"A+",IF('Data Source'!AC190&gt;=4,"A",IF('Data Source'!AC190&gt;=3.5,"A-",IF('Data Source'!AC190&gt;=3,"B",IF('Data Source'!AC190&gt;=2,"C",IF('Data Source'!AC190&gt;=1,"D","F")))))),"")</f>
        <v/>
      </c>
      <c r="L190" s="3">
        <f>IF(AND('Data Source'!B190&lt;&gt;"",'Data Source'!S190="F"),IF('Data Source'!AD190&gt;=5,"A+",IF('Data Source'!AD190&gt;=4,"A",IF('Data Source'!AD190&gt;=3.5,"A-",IF('Data Source'!AD190&gt;=3,"B",IF('Data Source'!AD190&gt;=2,"C",IF('Data Source'!AD190&gt;=1,"D","F")))))),"")</f>
        <v/>
      </c>
      <c r="M190" s="3">
        <f>IF(AND('Data Source'!B190&lt;&gt;"",'Data Source'!S190="F"),IF('Data Source'!AE190&gt;=5,"A+",IF('Data Source'!AE190&gt;=4,"A",IF('Data Source'!AE190&gt;=3.5,"A-",IF('Data Source'!AE190&gt;=3,"B",IF('Data Source'!AE190&gt;=2,"C",IF('Data Source'!AE190&gt;=1,"D","F")))))),"")</f>
        <v/>
      </c>
      <c r="N190" s="3">
        <f>IF(AND('Data Source'!B190&lt;&gt;"",'Data Source'!S190="F"),IF('Data Source'!AF190&gt;=5,"A+",IF('Data Source'!AF190&gt;=4,"A",IF('Data Source'!AF190&gt;=3.5,"A-",IF('Data Source'!AF190&gt;=3,"B",IF('Data Source'!AF190&gt;=2,"C",IF('Data Source'!AF190&gt;=1,"D","F")))))),"")</f>
        <v/>
      </c>
      <c r="O190" s="3">
        <f>IF(AND('Data Source'!B190&lt;&gt;"",'Data Source'!S190="F"),IF('Data Source'!AG190&gt;=5,"A+",IF('Data Source'!AG190&gt;=4,"A",IF('Data Source'!AG190&gt;=3.5,"A-",IF('Data Source'!AG190&gt;=3,"B",IF('Data Source'!AG190&gt;=2,"C",IF('Data Source'!AG190&gt;=1,"D","F")))))),"")</f>
        <v/>
      </c>
      <c r="P190" s="5">
        <f>IF(AND('Data Source'!B190&lt;&gt;"",'Data Source'!S190="F"),'Data Source'!R190,"")</f>
        <v/>
      </c>
      <c r="Q190" s="3">
        <f>IF(AND('Data Source'!B190&lt;&gt;"",'Data Source'!S190="F"),'Data Source'!S190,"")</f>
        <v/>
      </c>
    </row>
    <row r="191">
      <c r="A191" s="3">
        <f>IF(AND('Data Source'!B191&lt;&gt;"",'Data Source'!S191="F"),COUNTIF('Data Source'!$S$3:S191,"F"),"")</f>
        <v/>
      </c>
      <c r="B191">
        <f>IF(AND('Data Source'!B191&lt;&gt;"",'Data Source'!S191="F"),'Data Source'!B191,"")</f>
        <v/>
      </c>
      <c r="C191" s="3">
        <f>IF(AND('Data Source'!B191&lt;&gt;"",'Data Source'!S191="F"),IF('Data Source'!U191&gt;=5,"A+",IF('Data Source'!U191&gt;=4,"A",IF('Data Source'!U191&gt;=3.5,"A-",IF('Data Source'!U191&gt;=3,"B",IF('Data Source'!U191&gt;=2,"C",IF('Data Source'!U191&gt;=1,"D","F")))))),"")</f>
        <v/>
      </c>
      <c r="D191" s="3">
        <f>IF(AND('Data Source'!B191&lt;&gt;"",'Data Source'!S191="F"),IF('Data Source'!V191&gt;=5,"A+",IF('Data Source'!V191&gt;=4,"A",IF('Data Source'!V191&gt;=3.5,"A-",IF('Data Source'!V191&gt;=3,"B",IF('Data Source'!V191&gt;=2,"C",IF('Data Source'!V191&gt;=1,"D","F")))))),"")</f>
        <v/>
      </c>
      <c r="E191" s="3">
        <f>IF(AND('Data Source'!B191&lt;&gt;"",'Data Source'!S191="F"),IF('Data Source'!W191&gt;=5,"A+",IF('Data Source'!W191&gt;=4,"A",IF('Data Source'!W191&gt;=3.5,"A-",IF('Data Source'!W191&gt;=3,"B",IF('Data Source'!W191&gt;=2,"C",IF('Data Source'!W191&gt;=1,"D","F")))))),"")</f>
        <v/>
      </c>
      <c r="F191" s="3">
        <f>IF(AND('Data Source'!B191&lt;&gt;"",'Data Source'!S191="F"),IF('Data Source'!X191&gt;=5,"A+",IF('Data Source'!X191&gt;=4,"A",IF('Data Source'!X191&gt;=3.5,"A-",IF('Data Source'!X191&gt;=3,"B",IF('Data Source'!X191&gt;=2,"C",IF('Data Source'!X191&gt;=1,"D","F")))))),"")</f>
        <v/>
      </c>
      <c r="G191" s="3">
        <f>IF(AND('Data Source'!B191&lt;&gt;"",'Data Source'!S191="F"),IF('Data Source'!Y191&gt;=5,"A+",IF('Data Source'!Y191&gt;=4,"A",IF('Data Source'!Y191&gt;=3.5,"A-",IF('Data Source'!Y191&gt;=3,"B",IF('Data Source'!Y191&gt;=2,"C",IF('Data Source'!Y191&gt;=1,"D","F")))))),"")</f>
        <v/>
      </c>
      <c r="H191" s="3">
        <f>IF(AND('Data Source'!B191&lt;&gt;"",'Data Source'!S191="F"),IF('Data Source'!Z191&gt;=5,"A+",IF('Data Source'!Z191&gt;=4,"A",IF('Data Source'!Z191&gt;=3.5,"A-",IF('Data Source'!Z191&gt;=3,"B",IF('Data Source'!Z191&gt;=2,"C",IF('Data Source'!Z191&gt;=1,"D","F")))))),"")</f>
        <v/>
      </c>
      <c r="I191" s="3">
        <f>IF(AND('Data Source'!B191&lt;&gt;"",'Data Source'!S191="F"),IF('Data Source'!AA191&gt;=5,"A+",IF('Data Source'!AA191&gt;=4,"A",IF('Data Source'!AA191&gt;=3.5,"A-",IF('Data Source'!AA191&gt;=3,"B",IF('Data Source'!AA191&gt;=2,"C",IF('Data Source'!AA191&gt;=1,"D","F")))))),"")</f>
        <v/>
      </c>
      <c r="J191" s="3">
        <f>IF(AND('Data Source'!B191&lt;&gt;"",'Data Source'!S191="F"),IF('Data Source'!AB191&gt;=5,"A+",IF('Data Source'!AB191&gt;=4,"A",IF('Data Source'!AB191&gt;=3.5,"A-",IF('Data Source'!AB191&gt;=3,"B",IF('Data Source'!AB191&gt;=2,"C",IF('Data Source'!AB191&gt;=1,"D","F")))))),"")</f>
        <v/>
      </c>
      <c r="K191" s="3">
        <f>IF(AND('Data Source'!B191&lt;&gt;"",'Data Source'!S191="F"),IF('Data Source'!AC191&gt;=5,"A+",IF('Data Source'!AC191&gt;=4,"A",IF('Data Source'!AC191&gt;=3.5,"A-",IF('Data Source'!AC191&gt;=3,"B",IF('Data Source'!AC191&gt;=2,"C",IF('Data Source'!AC191&gt;=1,"D","F")))))),"")</f>
        <v/>
      </c>
      <c r="L191" s="3">
        <f>IF(AND('Data Source'!B191&lt;&gt;"",'Data Source'!S191="F"),IF('Data Source'!AD191&gt;=5,"A+",IF('Data Source'!AD191&gt;=4,"A",IF('Data Source'!AD191&gt;=3.5,"A-",IF('Data Source'!AD191&gt;=3,"B",IF('Data Source'!AD191&gt;=2,"C",IF('Data Source'!AD191&gt;=1,"D","F")))))),"")</f>
        <v/>
      </c>
      <c r="M191" s="3">
        <f>IF(AND('Data Source'!B191&lt;&gt;"",'Data Source'!S191="F"),IF('Data Source'!AE191&gt;=5,"A+",IF('Data Source'!AE191&gt;=4,"A",IF('Data Source'!AE191&gt;=3.5,"A-",IF('Data Source'!AE191&gt;=3,"B",IF('Data Source'!AE191&gt;=2,"C",IF('Data Source'!AE191&gt;=1,"D","F")))))),"")</f>
        <v/>
      </c>
      <c r="N191" s="3">
        <f>IF(AND('Data Source'!B191&lt;&gt;"",'Data Source'!S191="F"),IF('Data Source'!AF191&gt;=5,"A+",IF('Data Source'!AF191&gt;=4,"A",IF('Data Source'!AF191&gt;=3.5,"A-",IF('Data Source'!AF191&gt;=3,"B",IF('Data Source'!AF191&gt;=2,"C",IF('Data Source'!AF191&gt;=1,"D","F")))))),"")</f>
        <v/>
      </c>
      <c r="O191" s="3">
        <f>IF(AND('Data Source'!B191&lt;&gt;"",'Data Source'!S191="F"),IF('Data Source'!AG191&gt;=5,"A+",IF('Data Source'!AG191&gt;=4,"A",IF('Data Source'!AG191&gt;=3.5,"A-",IF('Data Source'!AG191&gt;=3,"B",IF('Data Source'!AG191&gt;=2,"C",IF('Data Source'!AG191&gt;=1,"D","F")))))),"")</f>
        <v/>
      </c>
      <c r="P191" s="5">
        <f>IF(AND('Data Source'!B191&lt;&gt;"",'Data Source'!S191="F"),'Data Source'!R191,"")</f>
        <v/>
      </c>
      <c r="Q191" s="3">
        <f>IF(AND('Data Source'!B191&lt;&gt;"",'Data Source'!S191="F"),'Data Source'!S191,"")</f>
        <v/>
      </c>
    </row>
    <row r="192">
      <c r="A192" s="3">
        <f>IF(AND('Data Source'!B192&lt;&gt;"",'Data Source'!S192="F"),COUNTIF('Data Source'!$S$3:S192,"F"),"")</f>
        <v/>
      </c>
      <c r="B192">
        <f>IF(AND('Data Source'!B192&lt;&gt;"",'Data Source'!S192="F"),'Data Source'!B192,"")</f>
        <v/>
      </c>
      <c r="C192" s="3">
        <f>IF(AND('Data Source'!B192&lt;&gt;"",'Data Source'!S192="F"),IF('Data Source'!U192&gt;=5,"A+",IF('Data Source'!U192&gt;=4,"A",IF('Data Source'!U192&gt;=3.5,"A-",IF('Data Source'!U192&gt;=3,"B",IF('Data Source'!U192&gt;=2,"C",IF('Data Source'!U192&gt;=1,"D","F")))))),"")</f>
        <v/>
      </c>
      <c r="D192" s="3">
        <f>IF(AND('Data Source'!B192&lt;&gt;"",'Data Source'!S192="F"),IF('Data Source'!V192&gt;=5,"A+",IF('Data Source'!V192&gt;=4,"A",IF('Data Source'!V192&gt;=3.5,"A-",IF('Data Source'!V192&gt;=3,"B",IF('Data Source'!V192&gt;=2,"C",IF('Data Source'!V192&gt;=1,"D","F")))))),"")</f>
        <v/>
      </c>
      <c r="E192" s="3">
        <f>IF(AND('Data Source'!B192&lt;&gt;"",'Data Source'!S192="F"),IF('Data Source'!W192&gt;=5,"A+",IF('Data Source'!W192&gt;=4,"A",IF('Data Source'!W192&gt;=3.5,"A-",IF('Data Source'!W192&gt;=3,"B",IF('Data Source'!W192&gt;=2,"C",IF('Data Source'!W192&gt;=1,"D","F")))))),"")</f>
        <v/>
      </c>
      <c r="F192" s="3">
        <f>IF(AND('Data Source'!B192&lt;&gt;"",'Data Source'!S192="F"),IF('Data Source'!X192&gt;=5,"A+",IF('Data Source'!X192&gt;=4,"A",IF('Data Source'!X192&gt;=3.5,"A-",IF('Data Source'!X192&gt;=3,"B",IF('Data Source'!X192&gt;=2,"C",IF('Data Source'!X192&gt;=1,"D","F")))))),"")</f>
        <v/>
      </c>
      <c r="G192" s="3">
        <f>IF(AND('Data Source'!B192&lt;&gt;"",'Data Source'!S192="F"),IF('Data Source'!Y192&gt;=5,"A+",IF('Data Source'!Y192&gt;=4,"A",IF('Data Source'!Y192&gt;=3.5,"A-",IF('Data Source'!Y192&gt;=3,"B",IF('Data Source'!Y192&gt;=2,"C",IF('Data Source'!Y192&gt;=1,"D","F")))))),"")</f>
        <v/>
      </c>
      <c r="H192" s="3">
        <f>IF(AND('Data Source'!B192&lt;&gt;"",'Data Source'!S192="F"),IF('Data Source'!Z192&gt;=5,"A+",IF('Data Source'!Z192&gt;=4,"A",IF('Data Source'!Z192&gt;=3.5,"A-",IF('Data Source'!Z192&gt;=3,"B",IF('Data Source'!Z192&gt;=2,"C",IF('Data Source'!Z192&gt;=1,"D","F")))))),"")</f>
        <v/>
      </c>
      <c r="I192" s="3">
        <f>IF(AND('Data Source'!B192&lt;&gt;"",'Data Source'!S192="F"),IF('Data Source'!AA192&gt;=5,"A+",IF('Data Source'!AA192&gt;=4,"A",IF('Data Source'!AA192&gt;=3.5,"A-",IF('Data Source'!AA192&gt;=3,"B",IF('Data Source'!AA192&gt;=2,"C",IF('Data Source'!AA192&gt;=1,"D","F")))))),"")</f>
        <v/>
      </c>
      <c r="J192" s="3">
        <f>IF(AND('Data Source'!B192&lt;&gt;"",'Data Source'!S192="F"),IF('Data Source'!AB192&gt;=5,"A+",IF('Data Source'!AB192&gt;=4,"A",IF('Data Source'!AB192&gt;=3.5,"A-",IF('Data Source'!AB192&gt;=3,"B",IF('Data Source'!AB192&gt;=2,"C",IF('Data Source'!AB192&gt;=1,"D","F")))))),"")</f>
        <v/>
      </c>
      <c r="K192" s="3">
        <f>IF(AND('Data Source'!B192&lt;&gt;"",'Data Source'!S192="F"),IF('Data Source'!AC192&gt;=5,"A+",IF('Data Source'!AC192&gt;=4,"A",IF('Data Source'!AC192&gt;=3.5,"A-",IF('Data Source'!AC192&gt;=3,"B",IF('Data Source'!AC192&gt;=2,"C",IF('Data Source'!AC192&gt;=1,"D","F")))))),"")</f>
        <v/>
      </c>
      <c r="L192" s="3">
        <f>IF(AND('Data Source'!B192&lt;&gt;"",'Data Source'!S192="F"),IF('Data Source'!AD192&gt;=5,"A+",IF('Data Source'!AD192&gt;=4,"A",IF('Data Source'!AD192&gt;=3.5,"A-",IF('Data Source'!AD192&gt;=3,"B",IF('Data Source'!AD192&gt;=2,"C",IF('Data Source'!AD192&gt;=1,"D","F")))))),"")</f>
        <v/>
      </c>
      <c r="M192" s="3">
        <f>IF(AND('Data Source'!B192&lt;&gt;"",'Data Source'!S192="F"),IF('Data Source'!AE192&gt;=5,"A+",IF('Data Source'!AE192&gt;=4,"A",IF('Data Source'!AE192&gt;=3.5,"A-",IF('Data Source'!AE192&gt;=3,"B",IF('Data Source'!AE192&gt;=2,"C",IF('Data Source'!AE192&gt;=1,"D","F")))))),"")</f>
        <v/>
      </c>
      <c r="N192" s="3">
        <f>IF(AND('Data Source'!B192&lt;&gt;"",'Data Source'!S192="F"),IF('Data Source'!AF192&gt;=5,"A+",IF('Data Source'!AF192&gt;=4,"A",IF('Data Source'!AF192&gt;=3.5,"A-",IF('Data Source'!AF192&gt;=3,"B",IF('Data Source'!AF192&gt;=2,"C",IF('Data Source'!AF192&gt;=1,"D","F")))))),"")</f>
        <v/>
      </c>
      <c r="O192" s="3">
        <f>IF(AND('Data Source'!B192&lt;&gt;"",'Data Source'!S192="F"),IF('Data Source'!AG192&gt;=5,"A+",IF('Data Source'!AG192&gt;=4,"A",IF('Data Source'!AG192&gt;=3.5,"A-",IF('Data Source'!AG192&gt;=3,"B",IF('Data Source'!AG192&gt;=2,"C",IF('Data Source'!AG192&gt;=1,"D","F")))))),"")</f>
        <v/>
      </c>
      <c r="P192" s="5">
        <f>IF(AND('Data Source'!B192&lt;&gt;"",'Data Source'!S192="F"),'Data Source'!R192,"")</f>
        <v/>
      </c>
      <c r="Q192" s="3">
        <f>IF(AND('Data Source'!B192&lt;&gt;"",'Data Source'!S192="F"),'Data Source'!S192,"")</f>
        <v/>
      </c>
    </row>
    <row r="193">
      <c r="A193" s="3">
        <f>IF(AND('Data Source'!B193&lt;&gt;"",'Data Source'!S193="F"),COUNTIF('Data Source'!$S$3:S193,"F"),"")</f>
        <v/>
      </c>
      <c r="B193">
        <f>IF(AND('Data Source'!B193&lt;&gt;"",'Data Source'!S193="F"),'Data Source'!B193,"")</f>
        <v/>
      </c>
      <c r="C193" s="3">
        <f>IF(AND('Data Source'!B193&lt;&gt;"",'Data Source'!S193="F"),IF('Data Source'!U193&gt;=5,"A+",IF('Data Source'!U193&gt;=4,"A",IF('Data Source'!U193&gt;=3.5,"A-",IF('Data Source'!U193&gt;=3,"B",IF('Data Source'!U193&gt;=2,"C",IF('Data Source'!U193&gt;=1,"D","F")))))),"")</f>
        <v/>
      </c>
      <c r="D193" s="3">
        <f>IF(AND('Data Source'!B193&lt;&gt;"",'Data Source'!S193="F"),IF('Data Source'!V193&gt;=5,"A+",IF('Data Source'!V193&gt;=4,"A",IF('Data Source'!V193&gt;=3.5,"A-",IF('Data Source'!V193&gt;=3,"B",IF('Data Source'!V193&gt;=2,"C",IF('Data Source'!V193&gt;=1,"D","F")))))),"")</f>
        <v/>
      </c>
      <c r="E193" s="3">
        <f>IF(AND('Data Source'!B193&lt;&gt;"",'Data Source'!S193="F"),IF('Data Source'!W193&gt;=5,"A+",IF('Data Source'!W193&gt;=4,"A",IF('Data Source'!W193&gt;=3.5,"A-",IF('Data Source'!W193&gt;=3,"B",IF('Data Source'!W193&gt;=2,"C",IF('Data Source'!W193&gt;=1,"D","F")))))),"")</f>
        <v/>
      </c>
      <c r="F193" s="3">
        <f>IF(AND('Data Source'!B193&lt;&gt;"",'Data Source'!S193="F"),IF('Data Source'!X193&gt;=5,"A+",IF('Data Source'!X193&gt;=4,"A",IF('Data Source'!X193&gt;=3.5,"A-",IF('Data Source'!X193&gt;=3,"B",IF('Data Source'!X193&gt;=2,"C",IF('Data Source'!X193&gt;=1,"D","F")))))),"")</f>
        <v/>
      </c>
      <c r="G193" s="3">
        <f>IF(AND('Data Source'!B193&lt;&gt;"",'Data Source'!S193="F"),IF('Data Source'!Y193&gt;=5,"A+",IF('Data Source'!Y193&gt;=4,"A",IF('Data Source'!Y193&gt;=3.5,"A-",IF('Data Source'!Y193&gt;=3,"B",IF('Data Source'!Y193&gt;=2,"C",IF('Data Source'!Y193&gt;=1,"D","F")))))),"")</f>
        <v/>
      </c>
      <c r="H193" s="3">
        <f>IF(AND('Data Source'!B193&lt;&gt;"",'Data Source'!S193="F"),IF('Data Source'!Z193&gt;=5,"A+",IF('Data Source'!Z193&gt;=4,"A",IF('Data Source'!Z193&gt;=3.5,"A-",IF('Data Source'!Z193&gt;=3,"B",IF('Data Source'!Z193&gt;=2,"C",IF('Data Source'!Z193&gt;=1,"D","F")))))),"")</f>
        <v/>
      </c>
      <c r="I193" s="3">
        <f>IF(AND('Data Source'!B193&lt;&gt;"",'Data Source'!S193="F"),IF('Data Source'!AA193&gt;=5,"A+",IF('Data Source'!AA193&gt;=4,"A",IF('Data Source'!AA193&gt;=3.5,"A-",IF('Data Source'!AA193&gt;=3,"B",IF('Data Source'!AA193&gt;=2,"C",IF('Data Source'!AA193&gt;=1,"D","F")))))),"")</f>
        <v/>
      </c>
      <c r="J193" s="3">
        <f>IF(AND('Data Source'!B193&lt;&gt;"",'Data Source'!S193="F"),IF('Data Source'!AB193&gt;=5,"A+",IF('Data Source'!AB193&gt;=4,"A",IF('Data Source'!AB193&gt;=3.5,"A-",IF('Data Source'!AB193&gt;=3,"B",IF('Data Source'!AB193&gt;=2,"C",IF('Data Source'!AB193&gt;=1,"D","F")))))),"")</f>
        <v/>
      </c>
      <c r="K193" s="3">
        <f>IF(AND('Data Source'!B193&lt;&gt;"",'Data Source'!S193="F"),IF('Data Source'!AC193&gt;=5,"A+",IF('Data Source'!AC193&gt;=4,"A",IF('Data Source'!AC193&gt;=3.5,"A-",IF('Data Source'!AC193&gt;=3,"B",IF('Data Source'!AC193&gt;=2,"C",IF('Data Source'!AC193&gt;=1,"D","F")))))),"")</f>
        <v/>
      </c>
      <c r="L193" s="3">
        <f>IF(AND('Data Source'!B193&lt;&gt;"",'Data Source'!S193="F"),IF('Data Source'!AD193&gt;=5,"A+",IF('Data Source'!AD193&gt;=4,"A",IF('Data Source'!AD193&gt;=3.5,"A-",IF('Data Source'!AD193&gt;=3,"B",IF('Data Source'!AD193&gt;=2,"C",IF('Data Source'!AD193&gt;=1,"D","F")))))),"")</f>
        <v/>
      </c>
      <c r="M193" s="3">
        <f>IF(AND('Data Source'!B193&lt;&gt;"",'Data Source'!S193="F"),IF('Data Source'!AE193&gt;=5,"A+",IF('Data Source'!AE193&gt;=4,"A",IF('Data Source'!AE193&gt;=3.5,"A-",IF('Data Source'!AE193&gt;=3,"B",IF('Data Source'!AE193&gt;=2,"C",IF('Data Source'!AE193&gt;=1,"D","F")))))),"")</f>
        <v/>
      </c>
      <c r="N193" s="3">
        <f>IF(AND('Data Source'!B193&lt;&gt;"",'Data Source'!S193="F"),IF('Data Source'!AF193&gt;=5,"A+",IF('Data Source'!AF193&gt;=4,"A",IF('Data Source'!AF193&gt;=3.5,"A-",IF('Data Source'!AF193&gt;=3,"B",IF('Data Source'!AF193&gt;=2,"C",IF('Data Source'!AF193&gt;=1,"D","F")))))),"")</f>
        <v/>
      </c>
      <c r="O193" s="3">
        <f>IF(AND('Data Source'!B193&lt;&gt;"",'Data Source'!S193="F"),IF('Data Source'!AG193&gt;=5,"A+",IF('Data Source'!AG193&gt;=4,"A",IF('Data Source'!AG193&gt;=3.5,"A-",IF('Data Source'!AG193&gt;=3,"B",IF('Data Source'!AG193&gt;=2,"C",IF('Data Source'!AG193&gt;=1,"D","F")))))),"")</f>
        <v/>
      </c>
      <c r="P193" s="5">
        <f>IF(AND('Data Source'!B193&lt;&gt;"",'Data Source'!S193="F"),'Data Source'!R193,"")</f>
        <v/>
      </c>
      <c r="Q193" s="3">
        <f>IF(AND('Data Source'!B193&lt;&gt;"",'Data Source'!S193="F"),'Data Source'!S193,"")</f>
        <v/>
      </c>
    </row>
    <row r="194">
      <c r="A194" s="3">
        <f>IF(AND('Data Source'!B194&lt;&gt;"",'Data Source'!S194="F"),COUNTIF('Data Source'!$S$3:S194,"F"),"")</f>
        <v/>
      </c>
      <c r="B194">
        <f>IF(AND('Data Source'!B194&lt;&gt;"",'Data Source'!S194="F"),'Data Source'!B194,"")</f>
        <v/>
      </c>
      <c r="C194" s="3">
        <f>IF(AND('Data Source'!B194&lt;&gt;"",'Data Source'!S194="F"),IF('Data Source'!U194&gt;=5,"A+",IF('Data Source'!U194&gt;=4,"A",IF('Data Source'!U194&gt;=3.5,"A-",IF('Data Source'!U194&gt;=3,"B",IF('Data Source'!U194&gt;=2,"C",IF('Data Source'!U194&gt;=1,"D","F")))))),"")</f>
        <v/>
      </c>
      <c r="D194" s="3">
        <f>IF(AND('Data Source'!B194&lt;&gt;"",'Data Source'!S194="F"),IF('Data Source'!V194&gt;=5,"A+",IF('Data Source'!V194&gt;=4,"A",IF('Data Source'!V194&gt;=3.5,"A-",IF('Data Source'!V194&gt;=3,"B",IF('Data Source'!V194&gt;=2,"C",IF('Data Source'!V194&gt;=1,"D","F")))))),"")</f>
        <v/>
      </c>
      <c r="E194" s="3">
        <f>IF(AND('Data Source'!B194&lt;&gt;"",'Data Source'!S194="F"),IF('Data Source'!W194&gt;=5,"A+",IF('Data Source'!W194&gt;=4,"A",IF('Data Source'!W194&gt;=3.5,"A-",IF('Data Source'!W194&gt;=3,"B",IF('Data Source'!W194&gt;=2,"C",IF('Data Source'!W194&gt;=1,"D","F")))))),"")</f>
        <v/>
      </c>
      <c r="F194" s="3">
        <f>IF(AND('Data Source'!B194&lt;&gt;"",'Data Source'!S194="F"),IF('Data Source'!X194&gt;=5,"A+",IF('Data Source'!X194&gt;=4,"A",IF('Data Source'!X194&gt;=3.5,"A-",IF('Data Source'!X194&gt;=3,"B",IF('Data Source'!X194&gt;=2,"C",IF('Data Source'!X194&gt;=1,"D","F")))))),"")</f>
        <v/>
      </c>
      <c r="G194" s="3">
        <f>IF(AND('Data Source'!B194&lt;&gt;"",'Data Source'!S194="F"),IF('Data Source'!Y194&gt;=5,"A+",IF('Data Source'!Y194&gt;=4,"A",IF('Data Source'!Y194&gt;=3.5,"A-",IF('Data Source'!Y194&gt;=3,"B",IF('Data Source'!Y194&gt;=2,"C",IF('Data Source'!Y194&gt;=1,"D","F")))))),"")</f>
        <v/>
      </c>
      <c r="H194" s="3">
        <f>IF(AND('Data Source'!B194&lt;&gt;"",'Data Source'!S194="F"),IF('Data Source'!Z194&gt;=5,"A+",IF('Data Source'!Z194&gt;=4,"A",IF('Data Source'!Z194&gt;=3.5,"A-",IF('Data Source'!Z194&gt;=3,"B",IF('Data Source'!Z194&gt;=2,"C",IF('Data Source'!Z194&gt;=1,"D","F")))))),"")</f>
        <v/>
      </c>
      <c r="I194" s="3">
        <f>IF(AND('Data Source'!B194&lt;&gt;"",'Data Source'!S194="F"),IF('Data Source'!AA194&gt;=5,"A+",IF('Data Source'!AA194&gt;=4,"A",IF('Data Source'!AA194&gt;=3.5,"A-",IF('Data Source'!AA194&gt;=3,"B",IF('Data Source'!AA194&gt;=2,"C",IF('Data Source'!AA194&gt;=1,"D","F")))))),"")</f>
        <v/>
      </c>
      <c r="J194" s="3">
        <f>IF(AND('Data Source'!B194&lt;&gt;"",'Data Source'!S194="F"),IF('Data Source'!AB194&gt;=5,"A+",IF('Data Source'!AB194&gt;=4,"A",IF('Data Source'!AB194&gt;=3.5,"A-",IF('Data Source'!AB194&gt;=3,"B",IF('Data Source'!AB194&gt;=2,"C",IF('Data Source'!AB194&gt;=1,"D","F")))))),"")</f>
        <v/>
      </c>
      <c r="K194" s="3">
        <f>IF(AND('Data Source'!B194&lt;&gt;"",'Data Source'!S194="F"),IF('Data Source'!AC194&gt;=5,"A+",IF('Data Source'!AC194&gt;=4,"A",IF('Data Source'!AC194&gt;=3.5,"A-",IF('Data Source'!AC194&gt;=3,"B",IF('Data Source'!AC194&gt;=2,"C",IF('Data Source'!AC194&gt;=1,"D","F")))))),"")</f>
        <v/>
      </c>
      <c r="L194" s="3">
        <f>IF(AND('Data Source'!B194&lt;&gt;"",'Data Source'!S194="F"),IF('Data Source'!AD194&gt;=5,"A+",IF('Data Source'!AD194&gt;=4,"A",IF('Data Source'!AD194&gt;=3.5,"A-",IF('Data Source'!AD194&gt;=3,"B",IF('Data Source'!AD194&gt;=2,"C",IF('Data Source'!AD194&gt;=1,"D","F")))))),"")</f>
        <v/>
      </c>
      <c r="M194" s="3">
        <f>IF(AND('Data Source'!B194&lt;&gt;"",'Data Source'!S194="F"),IF('Data Source'!AE194&gt;=5,"A+",IF('Data Source'!AE194&gt;=4,"A",IF('Data Source'!AE194&gt;=3.5,"A-",IF('Data Source'!AE194&gt;=3,"B",IF('Data Source'!AE194&gt;=2,"C",IF('Data Source'!AE194&gt;=1,"D","F")))))),"")</f>
        <v/>
      </c>
      <c r="N194" s="3">
        <f>IF(AND('Data Source'!B194&lt;&gt;"",'Data Source'!S194="F"),IF('Data Source'!AF194&gt;=5,"A+",IF('Data Source'!AF194&gt;=4,"A",IF('Data Source'!AF194&gt;=3.5,"A-",IF('Data Source'!AF194&gt;=3,"B",IF('Data Source'!AF194&gt;=2,"C",IF('Data Source'!AF194&gt;=1,"D","F")))))),"")</f>
        <v/>
      </c>
      <c r="O194" s="3">
        <f>IF(AND('Data Source'!B194&lt;&gt;"",'Data Source'!S194="F"),IF('Data Source'!AG194&gt;=5,"A+",IF('Data Source'!AG194&gt;=4,"A",IF('Data Source'!AG194&gt;=3.5,"A-",IF('Data Source'!AG194&gt;=3,"B",IF('Data Source'!AG194&gt;=2,"C",IF('Data Source'!AG194&gt;=1,"D","F")))))),"")</f>
        <v/>
      </c>
      <c r="P194" s="5">
        <f>IF(AND('Data Source'!B194&lt;&gt;"",'Data Source'!S194="F"),'Data Source'!R194,"")</f>
        <v/>
      </c>
      <c r="Q194" s="3">
        <f>IF(AND('Data Source'!B194&lt;&gt;"",'Data Source'!S194="F"),'Data Source'!S194,"")</f>
        <v/>
      </c>
    </row>
    <row r="195">
      <c r="A195" s="3">
        <f>IF(AND('Data Source'!B195&lt;&gt;"",'Data Source'!S195="F"),COUNTIF('Data Source'!$S$3:S195,"F"),"")</f>
        <v/>
      </c>
      <c r="B195">
        <f>IF(AND('Data Source'!B195&lt;&gt;"",'Data Source'!S195="F"),'Data Source'!B195,"")</f>
        <v/>
      </c>
      <c r="C195" s="3">
        <f>IF(AND('Data Source'!B195&lt;&gt;"",'Data Source'!S195="F"),IF('Data Source'!U195&gt;=5,"A+",IF('Data Source'!U195&gt;=4,"A",IF('Data Source'!U195&gt;=3.5,"A-",IF('Data Source'!U195&gt;=3,"B",IF('Data Source'!U195&gt;=2,"C",IF('Data Source'!U195&gt;=1,"D","F")))))),"")</f>
        <v/>
      </c>
      <c r="D195" s="3">
        <f>IF(AND('Data Source'!B195&lt;&gt;"",'Data Source'!S195="F"),IF('Data Source'!V195&gt;=5,"A+",IF('Data Source'!V195&gt;=4,"A",IF('Data Source'!V195&gt;=3.5,"A-",IF('Data Source'!V195&gt;=3,"B",IF('Data Source'!V195&gt;=2,"C",IF('Data Source'!V195&gt;=1,"D","F")))))),"")</f>
        <v/>
      </c>
      <c r="E195" s="3">
        <f>IF(AND('Data Source'!B195&lt;&gt;"",'Data Source'!S195="F"),IF('Data Source'!W195&gt;=5,"A+",IF('Data Source'!W195&gt;=4,"A",IF('Data Source'!W195&gt;=3.5,"A-",IF('Data Source'!W195&gt;=3,"B",IF('Data Source'!W195&gt;=2,"C",IF('Data Source'!W195&gt;=1,"D","F")))))),"")</f>
        <v/>
      </c>
      <c r="F195" s="3">
        <f>IF(AND('Data Source'!B195&lt;&gt;"",'Data Source'!S195="F"),IF('Data Source'!X195&gt;=5,"A+",IF('Data Source'!X195&gt;=4,"A",IF('Data Source'!X195&gt;=3.5,"A-",IF('Data Source'!X195&gt;=3,"B",IF('Data Source'!X195&gt;=2,"C",IF('Data Source'!X195&gt;=1,"D","F")))))),"")</f>
        <v/>
      </c>
      <c r="G195" s="3">
        <f>IF(AND('Data Source'!B195&lt;&gt;"",'Data Source'!S195="F"),IF('Data Source'!Y195&gt;=5,"A+",IF('Data Source'!Y195&gt;=4,"A",IF('Data Source'!Y195&gt;=3.5,"A-",IF('Data Source'!Y195&gt;=3,"B",IF('Data Source'!Y195&gt;=2,"C",IF('Data Source'!Y195&gt;=1,"D","F")))))),"")</f>
        <v/>
      </c>
      <c r="H195" s="3">
        <f>IF(AND('Data Source'!B195&lt;&gt;"",'Data Source'!S195="F"),IF('Data Source'!Z195&gt;=5,"A+",IF('Data Source'!Z195&gt;=4,"A",IF('Data Source'!Z195&gt;=3.5,"A-",IF('Data Source'!Z195&gt;=3,"B",IF('Data Source'!Z195&gt;=2,"C",IF('Data Source'!Z195&gt;=1,"D","F")))))),"")</f>
        <v/>
      </c>
      <c r="I195" s="3">
        <f>IF(AND('Data Source'!B195&lt;&gt;"",'Data Source'!S195="F"),IF('Data Source'!AA195&gt;=5,"A+",IF('Data Source'!AA195&gt;=4,"A",IF('Data Source'!AA195&gt;=3.5,"A-",IF('Data Source'!AA195&gt;=3,"B",IF('Data Source'!AA195&gt;=2,"C",IF('Data Source'!AA195&gt;=1,"D","F")))))),"")</f>
        <v/>
      </c>
      <c r="J195" s="3">
        <f>IF(AND('Data Source'!B195&lt;&gt;"",'Data Source'!S195="F"),IF('Data Source'!AB195&gt;=5,"A+",IF('Data Source'!AB195&gt;=4,"A",IF('Data Source'!AB195&gt;=3.5,"A-",IF('Data Source'!AB195&gt;=3,"B",IF('Data Source'!AB195&gt;=2,"C",IF('Data Source'!AB195&gt;=1,"D","F")))))),"")</f>
        <v/>
      </c>
      <c r="K195" s="3">
        <f>IF(AND('Data Source'!B195&lt;&gt;"",'Data Source'!S195="F"),IF('Data Source'!AC195&gt;=5,"A+",IF('Data Source'!AC195&gt;=4,"A",IF('Data Source'!AC195&gt;=3.5,"A-",IF('Data Source'!AC195&gt;=3,"B",IF('Data Source'!AC195&gt;=2,"C",IF('Data Source'!AC195&gt;=1,"D","F")))))),"")</f>
        <v/>
      </c>
      <c r="L195" s="3">
        <f>IF(AND('Data Source'!B195&lt;&gt;"",'Data Source'!S195="F"),IF('Data Source'!AD195&gt;=5,"A+",IF('Data Source'!AD195&gt;=4,"A",IF('Data Source'!AD195&gt;=3.5,"A-",IF('Data Source'!AD195&gt;=3,"B",IF('Data Source'!AD195&gt;=2,"C",IF('Data Source'!AD195&gt;=1,"D","F")))))),"")</f>
        <v/>
      </c>
      <c r="M195" s="3">
        <f>IF(AND('Data Source'!B195&lt;&gt;"",'Data Source'!S195="F"),IF('Data Source'!AE195&gt;=5,"A+",IF('Data Source'!AE195&gt;=4,"A",IF('Data Source'!AE195&gt;=3.5,"A-",IF('Data Source'!AE195&gt;=3,"B",IF('Data Source'!AE195&gt;=2,"C",IF('Data Source'!AE195&gt;=1,"D","F")))))),"")</f>
        <v/>
      </c>
      <c r="N195" s="3">
        <f>IF(AND('Data Source'!B195&lt;&gt;"",'Data Source'!S195="F"),IF('Data Source'!AF195&gt;=5,"A+",IF('Data Source'!AF195&gt;=4,"A",IF('Data Source'!AF195&gt;=3.5,"A-",IF('Data Source'!AF195&gt;=3,"B",IF('Data Source'!AF195&gt;=2,"C",IF('Data Source'!AF195&gt;=1,"D","F")))))),"")</f>
        <v/>
      </c>
      <c r="O195" s="3">
        <f>IF(AND('Data Source'!B195&lt;&gt;"",'Data Source'!S195="F"),IF('Data Source'!AG195&gt;=5,"A+",IF('Data Source'!AG195&gt;=4,"A",IF('Data Source'!AG195&gt;=3.5,"A-",IF('Data Source'!AG195&gt;=3,"B",IF('Data Source'!AG195&gt;=2,"C",IF('Data Source'!AG195&gt;=1,"D","F")))))),"")</f>
        <v/>
      </c>
      <c r="P195" s="5">
        <f>IF(AND('Data Source'!B195&lt;&gt;"",'Data Source'!S195="F"),'Data Source'!R195,"")</f>
        <v/>
      </c>
      <c r="Q195" s="3">
        <f>IF(AND('Data Source'!B195&lt;&gt;"",'Data Source'!S195="F"),'Data Source'!S195,"")</f>
        <v/>
      </c>
    </row>
    <row r="196">
      <c r="A196" s="3">
        <f>IF(AND('Data Source'!B196&lt;&gt;"",'Data Source'!S196="F"),COUNTIF('Data Source'!$S$3:S196,"F"),"")</f>
        <v/>
      </c>
      <c r="B196">
        <f>IF(AND('Data Source'!B196&lt;&gt;"",'Data Source'!S196="F"),'Data Source'!B196,"")</f>
        <v/>
      </c>
      <c r="C196" s="3">
        <f>IF(AND('Data Source'!B196&lt;&gt;"",'Data Source'!S196="F"),IF('Data Source'!U196&gt;=5,"A+",IF('Data Source'!U196&gt;=4,"A",IF('Data Source'!U196&gt;=3.5,"A-",IF('Data Source'!U196&gt;=3,"B",IF('Data Source'!U196&gt;=2,"C",IF('Data Source'!U196&gt;=1,"D","F")))))),"")</f>
        <v/>
      </c>
      <c r="D196" s="3">
        <f>IF(AND('Data Source'!B196&lt;&gt;"",'Data Source'!S196="F"),IF('Data Source'!V196&gt;=5,"A+",IF('Data Source'!V196&gt;=4,"A",IF('Data Source'!V196&gt;=3.5,"A-",IF('Data Source'!V196&gt;=3,"B",IF('Data Source'!V196&gt;=2,"C",IF('Data Source'!V196&gt;=1,"D","F")))))),"")</f>
        <v/>
      </c>
      <c r="E196" s="3">
        <f>IF(AND('Data Source'!B196&lt;&gt;"",'Data Source'!S196="F"),IF('Data Source'!W196&gt;=5,"A+",IF('Data Source'!W196&gt;=4,"A",IF('Data Source'!W196&gt;=3.5,"A-",IF('Data Source'!W196&gt;=3,"B",IF('Data Source'!W196&gt;=2,"C",IF('Data Source'!W196&gt;=1,"D","F")))))),"")</f>
        <v/>
      </c>
      <c r="F196" s="3">
        <f>IF(AND('Data Source'!B196&lt;&gt;"",'Data Source'!S196="F"),IF('Data Source'!X196&gt;=5,"A+",IF('Data Source'!X196&gt;=4,"A",IF('Data Source'!X196&gt;=3.5,"A-",IF('Data Source'!X196&gt;=3,"B",IF('Data Source'!X196&gt;=2,"C",IF('Data Source'!X196&gt;=1,"D","F")))))),"")</f>
        <v/>
      </c>
      <c r="G196" s="3">
        <f>IF(AND('Data Source'!B196&lt;&gt;"",'Data Source'!S196="F"),IF('Data Source'!Y196&gt;=5,"A+",IF('Data Source'!Y196&gt;=4,"A",IF('Data Source'!Y196&gt;=3.5,"A-",IF('Data Source'!Y196&gt;=3,"B",IF('Data Source'!Y196&gt;=2,"C",IF('Data Source'!Y196&gt;=1,"D","F")))))),"")</f>
        <v/>
      </c>
      <c r="H196" s="3">
        <f>IF(AND('Data Source'!B196&lt;&gt;"",'Data Source'!S196="F"),IF('Data Source'!Z196&gt;=5,"A+",IF('Data Source'!Z196&gt;=4,"A",IF('Data Source'!Z196&gt;=3.5,"A-",IF('Data Source'!Z196&gt;=3,"B",IF('Data Source'!Z196&gt;=2,"C",IF('Data Source'!Z196&gt;=1,"D","F")))))),"")</f>
        <v/>
      </c>
      <c r="I196" s="3">
        <f>IF(AND('Data Source'!B196&lt;&gt;"",'Data Source'!S196="F"),IF('Data Source'!AA196&gt;=5,"A+",IF('Data Source'!AA196&gt;=4,"A",IF('Data Source'!AA196&gt;=3.5,"A-",IF('Data Source'!AA196&gt;=3,"B",IF('Data Source'!AA196&gt;=2,"C",IF('Data Source'!AA196&gt;=1,"D","F")))))),"")</f>
        <v/>
      </c>
      <c r="J196" s="3">
        <f>IF(AND('Data Source'!B196&lt;&gt;"",'Data Source'!S196="F"),IF('Data Source'!AB196&gt;=5,"A+",IF('Data Source'!AB196&gt;=4,"A",IF('Data Source'!AB196&gt;=3.5,"A-",IF('Data Source'!AB196&gt;=3,"B",IF('Data Source'!AB196&gt;=2,"C",IF('Data Source'!AB196&gt;=1,"D","F")))))),"")</f>
        <v/>
      </c>
      <c r="K196" s="3">
        <f>IF(AND('Data Source'!B196&lt;&gt;"",'Data Source'!S196="F"),IF('Data Source'!AC196&gt;=5,"A+",IF('Data Source'!AC196&gt;=4,"A",IF('Data Source'!AC196&gt;=3.5,"A-",IF('Data Source'!AC196&gt;=3,"B",IF('Data Source'!AC196&gt;=2,"C",IF('Data Source'!AC196&gt;=1,"D","F")))))),"")</f>
        <v/>
      </c>
      <c r="L196" s="3">
        <f>IF(AND('Data Source'!B196&lt;&gt;"",'Data Source'!S196="F"),IF('Data Source'!AD196&gt;=5,"A+",IF('Data Source'!AD196&gt;=4,"A",IF('Data Source'!AD196&gt;=3.5,"A-",IF('Data Source'!AD196&gt;=3,"B",IF('Data Source'!AD196&gt;=2,"C",IF('Data Source'!AD196&gt;=1,"D","F")))))),"")</f>
        <v/>
      </c>
      <c r="M196" s="3">
        <f>IF(AND('Data Source'!B196&lt;&gt;"",'Data Source'!S196="F"),IF('Data Source'!AE196&gt;=5,"A+",IF('Data Source'!AE196&gt;=4,"A",IF('Data Source'!AE196&gt;=3.5,"A-",IF('Data Source'!AE196&gt;=3,"B",IF('Data Source'!AE196&gt;=2,"C",IF('Data Source'!AE196&gt;=1,"D","F")))))),"")</f>
        <v/>
      </c>
      <c r="N196" s="3">
        <f>IF(AND('Data Source'!B196&lt;&gt;"",'Data Source'!S196="F"),IF('Data Source'!AF196&gt;=5,"A+",IF('Data Source'!AF196&gt;=4,"A",IF('Data Source'!AF196&gt;=3.5,"A-",IF('Data Source'!AF196&gt;=3,"B",IF('Data Source'!AF196&gt;=2,"C",IF('Data Source'!AF196&gt;=1,"D","F")))))),"")</f>
        <v/>
      </c>
      <c r="O196" s="3">
        <f>IF(AND('Data Source'!B196&lt;&gt;"",'Data Source'!S196="F"),IF('Data Source'!AG196&gt;=5,"A+",IF('Data Source'!AG196&gt;=4,"A",IF('Data Source'!AG196&gt;=3.5,"A-",IF('Data Source'!AG196&gt;=3,"B",IF('Data Source'!AG196&gt;=2,"C",IF('Data Source'!AG196&gt;=1,"D","F")))))),"")</f>
        <v/>
      </c>
      <c r="P196" s="5">
        <f>IF(AND('Data Source'!B196&lt;&gt;"",'Data Source'!S196="F"),'Data Source'!R196,"")</f>
        <v/>
      </c>
      <c r="Q196" s="3">
        <f>IF(AND('Data Source'!B196&lt;&gt;"",'Data Source'!S196="F"),'Data Source'!S196,"")</f>
        <v/>
      </c>
    </row>
    <row r="197">
      <c r="A197" s="3">
        <f>IF(AND('Data Source'!B197&lt;&gt;"",'Data Source'!S197="F"),COUNTIF('Data Source'!$S$3:S197,"F"),"")</f>
        <v/>
      </c>
      <c r="B197">
        <f>IF(AND('Data Source'!B197&lt;&gt;"",'Data Source'!S197="F"),'Data Source'!B197,"")</f>
        <v/>
      </c>
      <c r="C197" s="3">
        <f>IF(AND('Data Source'!B197&lt;&gt;"",'Data Source'!S197="F"),IF('Data Source'!U197&gt;=5,"A+",IF('Data Source'!U197&gt;=4,"A",IF('Data Source'!U197&gt;=3.5,"A-",IF('Data Source'!U197&gt;=3,"B",IF('Data Source'!U197&gt;=2,"C",IF('Data Source'!U197&gt;=1,"D","F")))))),"")</f>
        <v/>
      </c>
      <c r="D197" s="3">
        <f>IF(AND('Data Source'!B197&lt;&gt;"",'Data Source'!S197="F"),IF('Data Source'!V197&gt;=5,"A+",IF('Data Source'!V197&gt;=4,"A",IF('Data Source'!V197&gt;=3.5,"A-",IF('Data Source'!V197&gt;=3,"B",IF('Data Source'!V197&gt;=2,"C",IF('Data Source'!V197&gt;=1,"D","F")))))),"")</f>
        <v/>
      </c>
      <c r="E197" s="3">
        <f>IF(AND('Data Source'!B197&lt;&gt;"",'Data Source'!S197="F"),IF('Data Source'!W197&gt;=5,"A+",IF('Data Source'!W197&gt;=4,"A",IF('Data Source'!W197&gt;=3.5,"A-",IF('Data Source'!W197&gt;=3,"B",IF('Data Source'!W197&gt;=2,"C",IF('Data Source'!W197&gt;=1,"D","F")))))),"")</f>
        <v/>
      </c>
      <c r="F197" s="3">
        <f>IF(AND('Data Source'!B197&lt;&gt;"",'Data Source'!S197="F"),IF('Data Source'!X197&gt;=5,"A+",IF('Data Source'!X197&gt;=4,"A",IF('Data Source'!X197&gt;=3.5,"A-",IF('Data Source'!X197&gt;=3,"B",IF('Data Source'!X197&gt;=2,"C",IF('Data Source'!X197&gt;=1,"D","F")))))),"")</f>
        <v/>
      </c>
      <c r="G197" s="3">
        <f>IF(AND('Data Source'!B197&lt;&gt;"",'Data Source'!S197="F"),IF('Data Source'!Y197&gt;=5,"A+",IF('Data Source'!Y197&gt;=4,"A",IF('Data Source'!Y197&gt;=3.5,"A-",IF('Data Source'!Y197&gt;=3,"B",IF('Data Source'!Y197&gt;=2,"C",IF('Data Source'!Y197&gt;=1,"D","F")))))),"")</f>
        <v/>
      </c>
      <c r="H197" s="3">
        <f>IF(AND('Data Source'!B197&lt;&gt;"",'Data Source'!S197="F"),IF('Data Source'!Z197&gt;=5,"A+",IF('Data Source'!Z197&gt;=4,"A",IF('Data Source'!Z197&gt;=3.5,"A-",IF('Data Source'!Z197&gt;=3,"B",IF('Data Source'!Z197&gt;=2,"C",IF('Data Source'!Z197&gt;=1,"D","F")))))),"")</f>
        <v/>
      </c>
      <c r="I197" s="3">
        <f>IF(AND('Data Source'!B197&lt;&gt;"",'Data Source'!S197="F"),IF('Data Source'!AA197&gt;=5,"A+",IF('Data Source'!AA197&gt;=4,"A",IF('Data Source'!AA197&gt;=3.5,"A-",IF('Data Source'!AA197&gt;=3,"B",IF('Data Source'!AA197&gt;=2,"C",IF('Data Source'!AA197&gt;=1,"D","F")))))),"")</f>
        <v/>
      </c>
      <c r="J197" s="3">
        <f>IF(AND('Data Source'!B197&lt;&gt;"",'Data Source'!S197="F"),IF('Data Source'!AB197&gt;=5,"A+",IF('Data Source'!AB197&gt;=4,"A",IF('Data Source'!AB197&gt;=3.5,"A-",IF('Data Source'!AB197&gt;=3,"B",IF('Data Source'!AB197&gt;=2,"C",IF('Data Source'!AB197&gt;=1,"D","F")))))),"")</f>
        <v/>
      </c>
      <c r="K197" s="3">
        <f>IF(AND('Data Source'!B197&lt;&gt;"",'Data Source'!S197="F"),IF('Data Source'!AC197&gt;=5,"A+",IF('Data Source'!AC197&gt;=4,"A",IF('Data Source'!AC197&gt;=3.5,"A-",IF('Data Source'!AC197&gt;=3,"B",IF('Data Source'!AC197&gt;=2,"C",IF('Data Source'!AC197&gt;=1,"D","F")))))),"")</f>
        <v/>
      </c>
      <c r="L197" s="3">
        <f>IF(AND('Data Source'!B197&lt;&gt;"",'Data Source'!S197="F"),IF('Data Source'!AD197&gt;=5,"A+",IF('Data Source'!AD197&gt;=4,"A",IF('Data Source'!AD197&gt;=3.5,"A-",IF('Data Source'!AD197&gt;=3,"B",IF('Data Source'!AD197&gt;=2,"C",IF('Data Source'!AD197&gt;=1,"D","F")))))),"")</f>
        <v/>
      </c>
      <c r="M197" s="3">
        <f>IF(AND('Data Source'!B197&lt;&gt;"",'Data Source'!S197="F"),IF('Data Source'!AE197&gt;=5,"A+",IF('Data Source'!AE197&gt;=4,"A",IF('Data Source'!AE197&gt;=3.5,"A-",IF('Data Source'!AE197&gt;=3,"B",IF('Data Source'!AE197&gt;=2,"C",IF('Data Source'!AE197&gt;=1,"D","F")))))),"")</f>
        <v/>
      </c>
      <c r="N197" s="3">
        <f>IF(AND('Data Source'!B197&lt;&gt;"",'Data Source'!S197="F"),IF('Data Source'!AF197&gt;=5,"A+",IF('Data Source'!AF197&gt;=4,"A",IF('Data Source'!AF197&gt;=3.5,"A-",IF('Data Source'!AF197&gt;=3,"B",IF('Data Source'!AF197&gt;=2,"C",IF('Data Source'!AF197&gt;=1,"D","F")))))),"")</f>
        <v/>
      </c>
      <c r="O197" s="3">
        <f>IF(AND('Data Source'!B197&lt;&gt;"",'Data Source'!S197="F"),IF('Data Source'!AG197&gt;=5,"A+",IF('Data Source'!AG197&gt;=4,"A",IF('Data Source'!AG197&gt;=3.5,"A-",IF('Data Source'!AG197&gt;=3,"B",IF('Data Source'!AG197&gt;=2,"C",IF('Data Source'!AG197&gt;=1,"D","F")))))),"")</f>
        <v/>
      </c>
      <c r="P197" s="5">
        <f>IF(AND('Data Source'!B197&lt;&gt;"",'Data Source'!S197="F"),'Data Source'!R197,"")</f>
        <v/>
      </c>
      <c r="Q197" s="3">
        <f>IF(AND('Data Source'!B197&lt;&gt;"",'Data Source'!S197="F"),'Data Source'!S197,"")</f>
        <v/>
      </c>
    </row>
    <row r="198">
      <c r="A198" s="3">
        <f>IF(AND('Data Source'!B198&lt;&gt;"",'Data Source'!S198="F"),COUNTIF('Data Source'!$S$3:S198,"F"),"")</f>
        <v/>
      </c>
      <c r="B198">
        <f>IF(AND('Data Source'!B198&lt;&gt;"",'Data Source'!S198="F"),'Data Source'!B198,"")</f>
        <v/>
      </c>
      <c r="C198" s="3">
        <f>IF(AND('Data Source'!B198&lt;&gt;"",'Data Source'!S198="F"),IF('Data Source'!U198&gt;=5,"A+",IF('Data Source'!U198&gt;=4,"A",IF('Data Source'!U198&gt;=3.5,"A-",IF('Data Source'!U198&gt;=3,"B",IF('Data Source'!U198&gt;=2,"C",IF('Data Source'!U198&gt;=1,"D","F")))))),"")</f>
        <v/>
      </c>
      <c r="D198" s="3">
        <f>IF(AND('Data Source'!B198&lt;&gt;"",'Data Source'!S198="F"),IF('Data Source'!V198&gt;=5,"A+",IF('Data Source'!V198&gt;=4,"A",IF('Data Source'!V198&gt;=3.5,"A-",IF('Data Source'!V198&gt;=3,"B",IF('Data Source'!V198&gt;=2,"C",IF('Data Source'!V198&gt;=1,"D","F")))))),"")</f>
        <v/>
      </c>
      <c r="E198" s="3">
        <f>IF(AND('Data Source'!B198&lt;&gt;"",'Data Source'!S198="F"),IF('Data Source'!W198&gt;=5,"A+",IF('Data Source'!W198&gt;=4,"A",IF('Data Source'!W198&gt;=3.5,"A-",IF('Data Source'!W198&gt;=3,"B",IF('Data Source'!W198&gt;=2,"C",IF('Data Source'!W198&gt;=1,"D","F")))))),"")</f>
        <v/>
      </c>
      <c r="F198" s="3">
        <f>IF(AND('Data Source'!B198&lt;&gt;"",'Data Source'!S198="F"),IF('Data Source'!X198&gt;=5,"A+",IF('Data Source'!X198&gt;=4,"A",IF('Data Source'!X198&gt;=3.5,"A-",IF('Data Source'!X198&gt;=3,"B",IF('Data Source'!X198&gt;=2,"C",IF('Data Source'!X198&gt;=1,"D","F")))))),"")</f>
        <v/>
      </c>
      <c r="G198" s="3">
        <f>IF(AND('Data Source'!B198&lt;&gt;"",'Data Source'!S198="F"),IF('Data Source'!Y198&gt;=5,"A+",IF('Data Source'!Y198&gt;=4,"A",IF('Data Source'!Y198&gt;=3.5,"A-",IF('Data Source'!Y198&gt;=3,"B",IF('Data Source'!Y198&gt;=2,"C",IF('Data Source'!Y198&gt;=1,"D","F")))))),"")</f>
        <v/>
      </c>
      <c r="H198" s="3">
        <f>IF(AND('Data Source'!B198&lt;&gt;"",'Data Source'!S198="F"),IF('Data Source'!Z198&gt;=5,"A+",IF('Data Source'!Z198&gt;=4,"A",IF('Data Source'!Z198&gt;=3.5,"A-",IF('Data Source'!Z198&gt;=3,"B",IF('Data Source'!Z198&gt;=2,"C",IF('Data Source'!Z198&gt;=1,"D","F")))))),"")</f>
        <v/>
      </c>
      <c r="I198" s="3">
        <f>IF(AND('Data Source'!B198&lt;&gt;"",'Data Source'!S198="F"),IF('Data Source'!AA198&gt;=5,"A+",IF('Data Source'!AA198&gt;=4,"A",IF('Data Source'!AA198&gt;=3.5,"A-",IF('Data Source'!AA198&gt;=3,"B",IF('Data Source'!AA198&gt;=2,"C",IF('Data Source'!AA198&gt;=1,"D","F")))))),"")</f>
        <v/>
      </c>
      <c r="J198" s="3">
        <f>IF(AND('Data Source'!B198&lt;&gt;"",'Data Source'!S198="F"),IF('Data Source'!AB198&gt;=5,"A+",IF('Data Source'!AB198&gt;=4,"A",IF('Data Source'!AB198&gt;=3.5,"A-",IF('Data Source'!AB198&gt;=3,"B",IF('Data Source'!AB198&gt;=2,"C",IF('Data Source'!AB198&gt;=1,"D","F")))))),"")</f>
        <v/>
      </c>
      <c r="K198" s="3">
        <f>IF(AND('Data Source'!B198&lt;&gt;"",'Data Source'!S198="F"),IF('Data Source'!AC198&gt;=5,"A+",IF('Data Source'!AC198&gt;=4,"A",IF('Data Source'!AC198&gt;=3.5,"A-",IF('Data Source'!AC198&gt;=3,"B",IF('Data Source'!AC198&gt;=2,"C",IF('Data Source'!AC198&gt;=1,"D","F")))))),"")</f>
        <v/>
      </c>
      <c r="L198" s="3">
        <f>IF(AND('Data Source'!B198&lt;&gt;"",'Data Source'!S198="F"),IF('Data Source'!AD198&gt;=5,"A+",IF('Data Source'!AD198&gt;=4,"A",IF('Data Source'!AD198&gt;=3.5,"A-",IF('Data Source'!AD198&gt;=3,"B",IF('Data Source'!AD198&gt;=2,"C",IF('Data Source'!AD198&gt;=1,"D","F")))))),"")</f>
        <v/>
      </c>
      <c r="M198" s="3">
        <f>IF(AND('Data Source'!B198&lt;&gt;"",'Data Source'!S198="F"),IF('Data Source'!AE198&gt;=5,"A+",IF('Data Source'!AE198&gt;=4,"A",IF('Data Source'!AE198&gt;=3.5,"A-",IF('Data Source'!AE198&gt;=3,"B",IF('Data Source'!AE198&gt;=2,"C",IF('Data Source'!AE198&gt;=1,"D","F")))))),"")</f>
        <v/>
      </c>
      <c r="N198" s="3">
        <f>IF(AND('Data Source'!B198&lt;&gt;"",'Data Source'!S198="F"),IF('Data Source'!AF198&gt;=5,"A+",IF('Data Source'!AF198&gt;=4,"A",IF('Data Source'!AF198&gt;=3.5,"A-",IF('Data Source'!AF198&gt;=3,"B",IF('Data Source'!AF198&gt;=2,"C",IF('Data Source'!AF198&gt;=1,"D","F")))))),"")</f>
        <v/>
      </c>
      <c r="O198" s="3">
        <f>IF(AND('Data Source'!B198&lt;&gt;"",'Data Source'!S198="F"),IF('Data Source'!AG198&gt;=5,"A+",IF('Data Source'!AG198&gt;=4,"A",IF('Data Source'!AG198&gt;=3.5,"A-",IF('Data Source'!AG198&gt;=3,"B",IF('Data Source'!AG198&gt;=2,"C",IF('Data Source'!AG198&gt;=1,"D","F")))))),"")</f>
        <v/>
      </c>
      <c r="P198" s="5">
        <f>IF(AND('Data Source'!B198&lt;&gt;"",'Data Source'!S198="F"),'Data Source'!R198,"")</f>
        <v/>
      </c>
      <c r="Q198" s="3">
        <f>IF(AND('Data Source'!B198&lt;&gt;"",'Data Source'!S198="F"),'Data Source'!S198,"")</f>
        <v/>
      </c>
    </row>
    <row r="199">
      <c r="A199" s="3">
        <f>IF(AND('Data Source'!B199&lt;&gt;"",'Data Source'!S199="F"),COUNTIF('Data Source'!$S$3:S199,"F"),"")</f>
        <v/>
      </c>
      <c r="B199">
        <f>IF(AND('Data Source'!B199&lt;&gt;"",'Data Source'!S199="F"),'Data Source'!B199,"")</f>
        <v/>
      </c>
      <c r="C199" s="3">
        <f>IF(AND('Data Source'!B199&lt;&gt;"",'Data Source'!S199="F"),IF('Data Source'!U199&gt;=5,"A+",IF('Data Source'!U199&gt;=4,"A",IF('Data Source'!U199&gt;=3.5,"A-",IF('Data Source'!U199&gt;=3,"B",IF('Data Source'!U199&gt;=2,"C",IF('Data Source'!U199&gt;=1,"D","F")))))),"")</f>
        <v/>
      </c>
      <c r="D199" s="3">
        <f>IF(AND('Data Source'!B199&lt;&gt;"",'Data Source'!S199="F"),IF('Data Source'!V199&gt;=5,"A+",IF('Data Source'!V199&gt;=4,"A",IF('Data Source'!V199&gt;=3.5,"A-",IF('Data Source'!V199&gt;=3,"B",IF('Data Source'!V199&gt;=2,"C",IF('Data Source'!V199&gt;=1,"D","F")))))),"")</f>
        <v/>
      </c>
      <c r="E199" s="3">
        <f>IF(AND('Data Source'!B199&lt;&gt;"",'Data Source'!S199="F"),IF('Data Source'!W199&gt;=5,"A+",IF('Data Source'!W199&gt;=4,"A",IF('Data Source'!W199&gt;=3.5,"A-",IF('Data Source'!W199&gt;=3,"B",IF('Data Source'!W199&gt;=2,"C",IF('Data Source'!W199&gt;=1,"D","F")))))),"")</f>
        <v/>
      </c>
      <c r="F199" s="3">
        <f>IF(AND('Data Source'!B199&lt;&gt;"",'Data Source'!S199="F"),IF('Data Source'!X199&gt;=5,"A+",IF('Data Source'!X199&gt;=4,"A",IF('Data Source'!X199&gt;=3.5,"A-",IF('Data Source'!X199&gt;=3,"B",IF('Data Source'!X199&gt;=2,"C",IF('Data Source'!X199&gt;=1,"D","F")))))),"")</f>
        <v/>
      </c>
      <c r="G199" s="3">
        <f>IF(AND('Data Source'!B199&lt;&gt;"",'Data Source'!S199="F"),IF('Data Source'!Y199&gt;=5,"A+",IF('Data Source'!Y199&gt;=4,"A",IF('Data Source'!Y199&gt;=3.5,"A-",IF('Data Source'!Y199&gt;=3,"B",IF('Data Source'!Y199&gt;=2,"C",IF('Data Source'!Y199&gt;=1,"D","F")))))),"")</f>
        <v/>
      </c>
      <c r="H199" s="3">
        <f>IF(AND('Data Source'!B199&lt;&gt;"",'Data Source'!S199="F"),IF('Data Source'!Z199&gt;=5,"A+",IF('Data Source'!Z199&gt;=4,"A",IF('Data Source'!Z199&gt;=3.5,"A-",IF('Data Source'!Z199&gt;=3,"B",IF('Data Source'!Z199&gt;=2,"C",IF('Data Source'!Z199&gt;=1,"D","F")))))),"")</f>
        <v/>
      </c>
      <c r="I199" s="3">
        <f>IF(AND('Data Source'!B199&lt;&gt;"",'Data Source'!S199="F"),IF('Data Source'!AA199&gt;=5,"A+",IF('Data Source'!AA199&gt;=4,"A",IF('Data Source'!AA199&gt;=3.5,"A-",IF('Data Source'!AA199&gt;=3,"B",IF('Data Source'!AA199&gt;=2,"C",IF('Data Source'!AA199&gt;=1,"D","F")))))),"")</f>
        <v/>
      </c>
      <c r="J199" s="3">
        <f>IF(AND('Data Source'!B199&lt;&gt;"",'Data Source'!S199="F"),IF('Data Source'!AB199&gt;=5,"A+",IF('Data Source'!AB199&gt;=4,"A",IF('Data Source'!AB199&gt;=3.5,"A-",IF('Data Source'!AB199&gt;=3,"B",IF('Data Source'!AB199&gt;=2,"C",IF('Data Source'!AB199&gt;=1,"D","F")))))),"")</f>
        <v/>
      </c>
      <c r="K199" s="3">
        <f>IF(AND('Data Source'!B199&lt;&gt;"",'Data Source'!S199="F"),IF('Data Source'!AC199&gt;=5,"A+",IF('Data Source'!AC199&gt;=4,"A",IF('Data Source'!AC199&gt;=3.5,"A-",IF('Data Source'!AC199&gt;=3,"B",IF('Data Source'!AC199&gt;=2,"C",IF('Data Source'!AC199&gt;=1,"D","F")))))),"")</f>
        <v/>
      </c>
      <c r="L199" s="3">
        <f>IF(AND('Data Source'!B199&lt;&gt;"",'Data Source'!S199="F"),IF('Data Source'!AD199&gt;=5,"A+",IF('Data Source'!AD199&gt;=4,"A",IF('Data Source'!AD199&gt;=3.5,"A-",IF('Data Source'!AD199&gt;=3,"B",IF('Data Source'!AD199&gt;=2,"C",IF('Data Source'!AD199&gt;=1,"D","F")))))),"")</f>
        <v/>
      </c>
      <c r="M199" s="3">
        <f>IF(AND('Data Source'!B199&lt;&gt;"",'Data Source'!S199="F"),IF('Data Source'!AE199&gt;=5,"A+",IF('Data Source'!AE199&gt;=4,"A",IF('Data Source'!AE199&gt;=3.5,"A-",IF('Data Source'!AE199&gt;=3,"B",IF('Data Source'!AE199&gt;=2,"C",IF('Data Source'!AE199&gt;=1,"D","F")))))),"")</f>
        <v/>
      </c>
      <c r="N199" s="3">
        <f>IF(AND('Data Source'!B199&lt;&gt;"",'Data Source'!S199="F"),IF('Data Source'!AF199&gt;=5,"A+",IF('Data Source'!AF199&gt;=4,"A",IF('Data Source'!AF199&gt;=3.5,"A-",IF('Data Source'!AF199&gt;=3,"B",IF('Data Source'!AF199&gt;=2,"C",IF('Data Source'!AF199&gt;=1,"D","F")))))),"")</f>
        <v/>
      </c>
      <c r="O199" s="3">
        <f>IF(AND('Data Source'!B199&lt;&gt;"",'Data Source'!S199="F"),IF('Data Source'!AG199&gt;=5,"A+",IF('Data Source'!AG199&gt;=4,"A",IF('Data Source'!AG199&gt;=3.5,"A-",IF('Data Source'!AG199&gt;=3,"B",IF('Data Source'!AG199&gt;=2,"C",IF('Data Source'!AG199&gt;=1,"D","F")))))),"")</f>
        <v/>
      </c>
      <c r="P199" s="5">
        <f>IF(AND('Data Source'!B199&lt;&gt;"",'Data Source'!S199="F"),'Data Source'!R199,"")</f>
        <v/>
      </c>
      <c r="Q199" s="3">
        <f>IF(AND('Data Source'!B199&lt;&gt;"",'Data Source'!S199="F"),'Data Source'!S199,"")</f>
        <v/>
      </c>
    </row>
    <row r="200">
      <c r="A200" s="3">
        <f>IF(AND('Data Source'!B200&lt;&gt;"",'Data Source'!S200="F"),COUNTIF('Data Source'!$S$3:S200,"F"),"")</f>
        <v/>
      </c>
      <c r="B200">
        <f>IF(AND('Data Source'!B200&lt;&gt;"",'Data Source'!S200="F"),'Data Source'!B200,"")</f>
        <v/>
      </c>
      <c r="C200" s="3">
        <f>IF(AND('Data Source'!B200&lt;&gt;"",'Data Source'!S200="F"),IF('Data Source'!U200&gt;=5,"A+",IF('Data Source'!U200&gt;=4,"A",IF('Data Source'!U200&gt;=3.5,"A-",IF('Data Source'!U200&gt;=3,"B",IF('Data Source'!U200&gt;=2,"C",IF('Data Source'!U200&gt;=1,"D","F")))))),"")</f>
        <v/>
      </c>
      <c r="D200" s="3">
        <f>IF(AND('Data Source'!B200&lt;&gt;"",'Data Source'!S200="F"),IF('Data Source'!V200&gt;=5,"A+",IF('Data Source'!V200&gt;=4,"A",IF('Data Source'!V200&gt;=3.5,"A-",IF('Data Source'!V200&gt;=3,"B",IF('Data Source'!V200&gt;=2,"C",IF('Data Source'!V200&gt;=1,"D","F")))))),"")</f>
        <v/>
      </c>
      <c r="E200" s="3">
        <f>IF(AND('Data Source'!B200&lt;&gt;"",'Data Source'!S200="F"),IF('Data Source'!W200&gt;=5,"A+",IF('Data Source'!W200&gt;=4,"A",IF('Data Source'!W200&gt;=3.5,"A-",IF('Data Source'!W200&gt;=3,"B",IF('Data Source'!W200&gt;=2,"C",IF('Data Source'!W200&gt;=1,"D","F")))))),"")</f>
        <v/>
      </c>
      <c r="F200" s="3">
        <f>IF(AND('Data Source'!B200&lt;&gt;"",'Data Source'!S200="F"),IF('Data Source'!X200&gt;=5,"A+",IF('Data Source'!X200&gt;=4,"A",IF('Data Source'!X200&gt;=3.5,"A-",IF('Data Source'!X200&gt;=3,"B",IF('Data Source'!X200&gt;=2,"C",IF('Data Source'!X200&gt;=1,"D","F")))))),"")</f>
        <v/>
      </c>
      <c r="G200" s="3">
        <f>IF(AND('Data Source'!B200&lt;&gt;"",'Data Source'!S200="F"),IF('Data Source'!Y200&gt;=5,"A+",IF('Data Source'!Y200&gt;=4,"A",IF('Data Source'!Y200&gt;=3.5,"A-",IF('Data Source'!Y200&gt;=3,"B",IF('Data Source'!Y200&gt;=2,"C",IF('Data Source'!Y200&gt;=1,"D","F")))))),"")</f>
        <v/>
      </c>
      <c r="H200" s="3">
        <f>IF(AND('Data Source'!B200&lt;&gt;"",'Data Source'!S200="F"),IF('Data Source'!Z200&gt;=5,"A+",IF('Data Source'!Z200&gt;=4,"A",IF('Data Source'!Z200&gt;=3.5,"A-",IF('Data Source'!Z200&gt;=3,"B",IF('Data Source'!Z200&gt;=2,"C",IF('Data Source'!Z200&gt;=1,"D","F")))))),"")</f>
        <v/>
      </c>
      <c r="I200" s="3">
        <f>IF(AND('Data Source'!B200&lt;&gt;"",'Data Source'!S200="F"),IF('Data Source'!AA200&gt;=5,"A+",IF('Data Source'!AA200&gt;=4,"A",IF('Data Source'!AA200&gt;=3.5,"A-",IF('Data Source'!AA200&gt;=3,"B",IF('Data Source'!AA200&gt;=2,"C",IF('Data Source'!AA200&gt;=1,"D","F")))))),"")</f>
        <v/>
      </c>
      <c r="J200" s="3">
        <f>IF(AND('Data Source'!B200&lt;&gt;"",'Data Source'!S200="F"),IF('Data Source'!AB200&gt;=5,"A+",IF('Data Source'!AB200&gt;=4,"A",IF('Data Source'!AB200&gt;=3.5,"A-",IF('Data Source'!AB200&gt;=3,"B",IF('Data Source'!AB200&gt;=2,"C",IF('Data Source'!AB200&gt;=1,"D","F")))))),"")</f>
        <v/>
      </c>
      <c r="K200" s="3">
        <f>IF(AND('Data Source'!B200&lt;&gt;"",'Data Source'!S200="F"),IF('Data Source'!AC200&gt;=5,"A+",IF('Data Source'!AC200&gt;=4,"A",IF('Data Source'!AC200&gt;=3.5,"A-",IF('Data Source'!AC200&gt;=3,"B",IF('Data Source'!AC200&gt;=2,"C",IF('Data Source'!AC200&gt;=1,"D","F")))))),"")</f>
        <v/>
      </c>
      <c r="L200" s="3">
        <f>IF(AND('Data Source'!B200&lt;&gt;"",'Data Source'!S200="F"),IF('Data Source'!AD200&gt;=5,"A+",IF('Data Source'!AD200&gt;=4,"A",IF('Data Source'!AD200&gt;=3.5,"A-",IF('Data Source'!AD200&gt;=3,"B",IF('Data Source'!AD200&gt;=2,"C",IF('Data Source'!AD200&gt;=1,"D","F")))))),"")</f>
        <v/>
      </c>
      <c r="M200" s="3">
        <f>IF(AND('Data Source'!B200&lt;&gt;"",'Data Source'!S200="F"),IF('Data Source'!AE200&gt;=5,"A+",IF('Data Source'!AE200&gt;=4,"A",IF('Data Source'!AE200&gt;=3.5,"A-",IF('Data Source'!AE200&gt;=3,"B",IF('Data Source'!AE200&gt;=2,"C",IF('Data Source'!AE200&gt;=1,"D","F")))))),"")</f>
        <v/>
      </c>
      <c r="N200" s="3">
        <f>IF(AND('Data Source'!B200&lt;&gt;"",'Data Source'!S200="F"),IF('Data Source'!AF200&gt;=5,"A+",IF('Data Source'!AF200&gt;=4,"A",IF('Data Source'!AF200&gt;=3.5,"A-",IF('Data Source'!AF200&gt;=3,"B",IF('Data Source'!AF200&gt;=2,"C",IF('Data Source'!AF200&gt;=1,"D","F")))))),"")</f>
        <v/>
      </c>
      <c r="O200" s="3">
        <f>IF(AND('Data Source'!B200&lt;&gt;"",'Data Source'!S200="F"),IF('Data Source'!AG200&gt;=5,"A+",IF('Data Source'!AG200&gt;=4,"A",IF('Data Source'!AG200&gt;=3.5,"A-",IF('Data Source'!AG200&gt;=3,"B",IF('Data Source'!AG200&gt;=2,"C",IF('Data Source'!AG200&gt;=1,"D","F")))))),"")</f>
        <v/>
      </c>
      <c r="P200" s="5">
        <f>IF(AND('Data Source'!B200&lt;&gt;"",'Data Source'!S200="F"),'Data Source'!R200,"")</f>
        <v/>
      </c>
      <c r="Q200" s="3">
        <f>IF(AND('Data Source'!B200&lt;&gt;"",'Data Source'!S200="F"),'Data Source'!S200,"")</f>
        <v/>
      </c>
    </row>
    <row r="201">
      <c r="A201" s="3">
        <f>IF(AND('Data Source'!B201&lt;&gt;"",'Data Source'!S201="F"),COUNTIF('Data Source'!$S$3:S201,"F"),"")</f>
        <v/>
      </c>
      <c r="B201">
        <f>IF(AND('Data Source'!B201&lt;&gt;"",'Data Source'!S201="F"),'Data Source'!B201,"")</f>
        <v/>
      </c>
      <c r="C201" s="3">
        <f>IF(AND('Data Source'!B201&lt;&gt;"",'Data Source'!S201="F"),IF('Data Source'!U201&gt;=5,"A+",IF('Data Source'!U201&gt;=4,"A",IF('Data Source'!U201&gt;=3.5,"A-",IF('Data Source'!U201&gt;=3,"B",IF('Data Source'!U201&gt;=2,"C",IF('Data Source'!U201&gt;=1,"D","F")))))),"")</f>
        <v/>
      </c>
      <c r="D201" s="3">
        <f>IF(AND('Data Source'!B201&lt;&gt;"",'Data Source'!S201="F"),IF('Data Source'!V201&gt;=5,"A+",IF('Data Source'!V201&gt;=4,"A",IF('Data Source'!V201&gt;=3.5,"A-",IF('Data Source'!V201&gt;=3,"B",IF('Data Source'!V201&gt;=2,"C",IF('Data Source'!V201&gt;=1,"D","F")))))),"")</f>
        <v/>
      </c>
      <c r="E201" s="3">
        <f>IF(AND('Data Source'!B201&lt;&gt;"",'Data Source'!S201="F"),IF('Data Source'!W201&gt;=5,"A+",IF('Data Source'!W201&gt;=4,"A",IF('Data Source'!W201&gt;=3.5,"A-",IF('Data Source'!W201&gt;=3,"B",IF('Data Source'!W201&gt;=2,"C",IF('Data Source'!W201&gt;=1,"D","F")))))),"")</f>
        <v/>
      </c>
      <c r="F201" s="3">
        <f>IF(AND('Data Source'!B201&lt;&gt;"",'Data Source'!S201="F"),IF('Data Source'!X201&gt;=5,"A+",IF('Data Source'!X201&gt;=4,"A",IF('Data Source'!X201&gt;=3.5,"A-",IF('Data Source'!X201&gt;=3,"B",IF('Data Source'!X201&gt;=2,"C",IF('Data Source'!X201&gt;=1,"D","F")))))),"")</f>
        <v/>
      </c>
      <c r="G201" s="3">
        <f>IF(AND('Data Source'!B201&lt;&gt;"",'Data Source'!S201="F"),IF('Data Source'!Y201&gt;=5,"A+",IF('Data Source'!Y201&gt;=4,"A",IF('Data Source'!Y201&gt;=3.5,"A-",IF('Data Source'!Y201&gt;=3,"B",IF('Data Source'!Y201&gt;=2,"C",IF('Data Source'!Y201&gt;=1,"D","F")))))),"")</f>
        <v/>
      </c>
      <c r="H201" s="3">
        <f>IF(AND('Data Source'!B201&lt;&gt;"",'Data Source'!S201="F"),IF('Data Source'!Z201&gt;=5,"A+",IF('Data Source'!Z201&gt;=4,"A",IF('Data Source'!Z201&gt;=3.5,"A-",IF('Data Source'!Z201&gt;=3,"B",IF('Data Source'!Z201&gt;=2,"C",IF('Data Source'!Z201&gt;=1,"D","F")))))),"")</f>
        <v/>
      </c>
      <c r="I201" s="3">
        <f>IF(AND('Data Source'!B201&lt;&gt;"",'Data Source'!S201="F"),IF('Data Source'!AA201&gt;=5,"A+",IF('Data Source'!AA201&gt;=4,"A",IF('Data Source'!AA201&gt;=3.5,"A-",IF('Data Source'!AA201&gt;=3,"B",IF('Data Source'!AA201&gt;=2,"C",IF('Data Source'!AA201&gt;=1,"D","F")))))),"")</f>
        <v/>
      </c>
      <c r="J201" s="3">
        <f>IF(AND('Data Source'!B201&lt;&gt;"",'Data Source'!S201="F"),IF('Data Source'!AB201&gt;=5,"A+",IF('Data Source'!AB201&gt;=4,"A",IF('Data Source'!AB201&gt;=3.5,"A-",IF('Data Source'!AB201&gt;=3,"B",IF('Data Source'!AB201&gt;=2,"C",IF('Data Source'!AB201&gt;=1,"D","F")))))),"")</f>
        <v/>
      </c>
      <c r="K201" s="3">
        <f>IF(AND('Data Source'!B201&lt;&gt;"",'Data Source'!S201="F"),IF('Data Source'!AC201&gt;=5,"A+",IF('Data Source'!AC201&gt;=4,"A",IF('Data Source'!AC201&gt;=3.5,"A-",IF('Data Source'!AC201&gt;=3,"B",IF('Data Source'!AC201&gt;=2,"C",IF('Data Source'!AC201&gt;=1,"D","F")))))),"")</f>
        <v/>
      </c>
      <c r="L201" s="3">
        <f>IF(AND('Data Source'!B201&lt;&gt;"",'Data Source'!S201="F"),IF('Data Source'!AD201&gt;=5,"A+",IF('Data Source'!AD201&gt;=4,"A",IF('Data Source'!AD201&gt;=3.5,"A-",IF('Data Source'!AD201&gt;=3,"B",IF('Data Source'!AD201&gt;=2,"C",IF('Data Source'!AD201&gt;=1,"D","F")))))),"")</f>
        <v/>
      </c>
      <c r="M201" s="3">
        <f>IF(AND('Data Source'!B201&lt;&gt;"",'Data Source'!S201="F"),IF('Data Source'!AE201&gt;=5,"A+",IF('Data Source'!AE201&gt;=4,"A",IF('Data Source'!AE201&gt;=3.5,"A-",IF('Data Source'!AE201&gt;=3,"B",IF('Data Source'!AE201&gt;=2,"C",IF('Data Source'!AE201&gt;=1,"D","F")))))),"")</f>
        <v/>
      </c>
      <c r="N201" s="3">
        <f>IF(AND('Data Source'!B201&lt;&gt;"",'Data Source'!S201="F"),IF('Data Source'!AF201&gt;=5,"A+",IF('Data Source'!AF201&gt;=4,"A",IF('Data Source'!AF201&gt;=3.5,"A-",IF('Data Source'!AF201&gt;=3,"B",IF('Data Source'!AF201&gt;=2,"C",IF('Data Source'!AF201&gt;=1,"D","F")))))),"")</f>
        <v/>
      </c>
      <c r="O201" s="3">
        <f>IF(AND('Data Source'!B201&lt;&gt;"",'Data Source'!S201="F"),IF('Data Source'!AG201&gt;=5,"A+",IF('Data Source'!AG201&gt;=4,"A",IF('Data Source'!AG201&gt;=3.5,"A-",IF('Data Source'!AG201&gt;=3,"B",IF('Data Source'!AG201&gt;=2,"C",IF('Data Source'!AG201&gt;=1,"D","F")))))),"")</f>
        <v/>
      </c>
      <c r="P201" s="5">
        <f>IF(AND('Data Source'!B201&lt;&gt;"",'Data Source'!S201="F"),'Data Source'!R201,"")</f>
        <v/>
      </c>
      <c r="Q201" s="3">
        <f>IF(AND('Data Source'!B201&lt;&gt;"",'Data Source'!S201="F"),'Data Source'!S201,"")</f>
        <v/>
      </c>
    </row>
    <row r="202">
      <c r="A202" s="3">
        <f>IF(AND('Data Source'!B202&lt;&gt;"",'Data Source'!S202="F"),COUNTIF('Data Source'!$S$3:S202,"F"),"")</f>
        <v/>
      </c>
      <c r="B202">
        <f>IF(AND('Data Source'!B202&lt;&gt;"",'Data Source'!S202="F"),'Data Source'!B202,"")</f>
        <v/>
      </c>
      <c r="C202" s="3">
        <f>IF(AND('Data Source'!B202&lt;&gt;"",'Data Source'!S202="F"),IF('Data Source'!U202&gt;=5,"A+",IF('Data Source'!U202&gt;=4,"A",IF('Data Source'!U202&gt;=3.5,"A-",IF('Data Source'!U202&gt;=3,"B",IF('Data Source'!U202&gt;=2,"C",IF('Data Source'!U202&gt;=1,"D","F")))))),"")</f>
        <v/>
      </c>
      <c r="D202" s="3">
        <f>IF(AND('Data Source'!B202&lt;&gt;"",'Data Source'!S202="F"),IF('Data Source'!V202&gt;=5,"A+",IF('Data Source'!V202&gt;=4,"A",IF('Data Source'!V202&gt;=3.5,"A-",IF('Data Source'!V202&gt;=3,"B",IF('Data Source'!V202&gt;=2,"C",IF('Data Source'!V202&gt;=1,"D","F")))))),"")</f>
        <v/>
      </c>
      <c r="E202" s="3">
        <f>IF(AND('Data Source'!B202&lt;&gt;"",'Data Source'!S202="F"),IF('Data Source'!W202&gt;=5,"A+",IF('Data Source'!W202&gt;=4,"A",IF('Data Source'!W202&gt;=3.5,"A-",IF('Data Source'!W202&gt;=3,"B",IF('Data Source'!W202&gt;=2,"C",IF('Data Source'!W202&gt;=1,"D","F")))))),"")</f>
        <v/>
      </c>
      <c r="F202" s="3">
        <f>IF(AND('Data Source'!B202&lt;&gt;"",'Data Source'!S202="F"),IF('Data Source'!X202&gt;=5,"A+",IF('Data Source'!X202&gt;=4,"A",IF('Data Source'!X202&gt;=3.5,"A-",IF('Data Source'!X202&gt;=3,"B",IF('Data Source'!X202&gt;=2,"C",IF('Data Source'!X202&gt;=1,"D","F")))))),"")</f>
        <v/>
      </c>
      <c r="G202" s="3">
        <f>IF(AND('Data Source'!B202&lt;&gt;"",'Data Source'!S202="F"),IF('Data Source'!Y202&gt;=5,"A+",IF('Data Source'!Y202&gt;=4,"A",IF('Data Source'!Y202&gt;=3.5,"A-",IF('Data Source'!Y202&gt;=3,"B",IF('Data Source'!Y202&gt;=2,"C",IF('Data Source'!Y202&gt;=1,"D","F")))))),"")</f>
        <v/>
      </c>
      <c r="H202" s="3">
        <f>IF(AND('Data Source'!B202&lt;&gt;"",'Data Source'!S202="F"),IF('Data Source'!Z202&gt;=5,"A+",IF('Data Source'!Z202&gt;=4,"A",IF('Data Source'!Z202&gt;=3.5,"A-",IF('Data Source'!Z202&gt;=3,"B",IF('Data Source'!Z202&gt;=2,"C",IF('Data Source'!Z202&gt;=1,"D","F")))))),"")</f>
        <v/>
      </c>
      <c r="I202" s="3">
        <f>IF(AND('Data Source'!B202&lt;&gt;"",'Data Source'!S202="F"),IF('Data Source'!AA202&gt;=5,"A+",IF('Data Source'!AA202&gt;=4,"A",IF('Data Source'!AA202&gt;=3.5,"A-",IF('Data Source'!AA202&gt;=3,"B",IF('Data Source'!AA202&gt;=2,"C",IF('Data Source'!AA202&gt;=1,"D","F")))))),"")</f>
        <v/>
      </c>
      <c r="J202" s="3">
        <f>IF(AND('Data Source'!B202&lt;&gt;"",'Data Source'!S202="F"),IF('Data Source'!AB202&gt;=5,"A+",IF('Data Source'!AB202&gt;=4,"A",IF('Data Source'!AB202&gt;=3.5,"A-",IF('Data Source'!AB202&gt;=3,"B",IF('Data Source'!AB202&gt;=2,"C",IF('Data Source'!AB202&gt;=1,"D","F")))))),"")</f>
        <v/>
      </c>
      <c r="K202" s="3">
        <f>IF(AND('Data Source'!B202&lt;&gt;"",'Data Source'!S202="F"),IF('Data Source'!AC202&gt;=5,"A+",IF('Data Source'!AC202&gt;=4,"A",IF('Data Source'!AC202&gt;=3.5,"A-",IF('Data Source'!AC202&gt;=3,"B",IF('Data Source'!AC202&gt;=2,"C",IF('Data Source'!AC202&gt;=1,"D","F")))))),"")</f>
        <v/>
      </c>
      <c r="L202" s="3">
        <f>IF(AND('Data Source'!B202&lt;&gt;"",'Data Source'!S202="F"),IF('Data Source'!AD202&gt;=5,"A+",IF('Data Source'!AD202&gt;=4,"A",IF('Data Source'!AD202&gt;=3.5,"A-",IF('Data Source'!AD202&gt;=3,"B",IF('Data Source'!AD202&gt;=2,"C",IF('Data Source'!AD202&gt;=1,"D","F")))))),"")</f>
        <v/>
      </c>
      <c r="M202" s="3">
        <f>IF(AND('Data Source'!B202&lt;&gt;"",'Data Source'!S202="F"),IF('Data Source'!AE202&gt;=5,"A+",IF('Data Source'!AE202&gt;=4,"A",IF('Data Source'!AE202&gt;=3.5,"A-",IF('Data Source'!AE202&gt;=3,"B",IF('Data Source'!AE202&gt;=2,"C",IF('Data Source'!AE202&gt;=1,"D","F")))))),"")</f>
        <v/>
      </c>
      <c r="N202" s="3">
        <f>IF(AND('Data Source'!B202&lt;&gt;"",'Data Source'!S202="F"),IF('Data Source'!AF202&gt;=5,"A+",IF('Data Source'!AF202&gt;=4,"A",IF('Data Source'!AF202&gt;=3.5,"A-",IF('Data Source'!AF202&gt;=3,"B",IF('Data Source'!AF202&gt;=2,"C",IF('Data Source'!AF202&gt;=1,"D","F")))))),"")</f>
        <v/>
      </c>
      <c r="O202" s="3">
        <f>IF(AND('Data Source'!B202&lt;&gt;"",'Data Source'!S202="F"),IF('Data Source'!AG202&gt;=5,"A+",IF('Data Source'!AG202&gt;=4,"A",IF('Data Source'!AG202&gt;=3.5,"A-",IF('Data Source'!AG202&gt;=3,"B",IF('Data Source'!AG202&gt;=2,"C",IF('Data Source'!AG202&gt;=1,"D","F")))))),"")</f>
        <v/>
      </c>
      <c r="P202" s="5">
        <f>IF(AND('Data Source'!B202&lt;&gt;"",'Data Source'!S202="F"),'Data Source'!R202,"")</f>
        <v/>
      </c>
      <c r="Q202" s="3">
        <f>IF(AND('Data Source'!B202&lt;&gt;"",'Data Source'!S202="F"),'Data Source'!S202,"")</f>
        <v/>
      </c>
    </row>
    <row r="203">
      <c r="A203" s="3">
        <f>IF(AND('Data Source'!B203&lt;&gt;"",'Data Source'!S203="F"),COUNTIF('Data Source'!$S$3:S203,"F"),"")</f>
        <v/>
      </c>
      <c r="B203">
        <f>IF(AND('Data Source'!B203&lt;&gt;"",'Data Source'!S203="F"),'Data Source'!B203,"")</f>
        <v/>
      </c>
      <c r="C203" s="3">
        <f>IF(AND('Data Source'!B203&lt;&gt;"",'Data Source'!S203="F"),IF('Data Source'!U203&gt;=5,"A+",IF('Data Source'!U203&gt;=4,"A",IF('Data Source'!U203&gt;=3.5,"A-",IF('Data Source'!U203&gt;=3,"B",IF('Data Source'!U203&gt;=2,"C",IF('Data Source'!U203&gt;=1,"D","F")))))),"")</f>
        <v/>
      </c>
      <c r="D203" s="3">
        <f>IF(AND('Data Source'!B203&lt;&gt;"",'Data Source'!S203="F"),IF('Data Source'!V203&gt;=5,"A+",IF('Data Source'!V203&gt;=4,"A",IF('Data Source'!V203&gt;=3.5,"A-",IF('Data Source'!V203&gt;=3,"B",IF('Data Source'!V203&gt;=2,"C",IF('Data Source'!V203&gt;=1,"D","F")))))),"")</f>
        <v/>
      </c>
      <c r="E203" s="3">
        <f>IF(AND('Data Source'!B203&lt;&gt;"",'Data Source'!S203="F"),IF('Data Source'!W203&gt;=5,"A+",IF('Data Source'!W203&gt;=4,"A",IF('Data Source'!W203&gt;=3.5,"A-",IF('Data Source'!W203&gt;=3,"B",IF('Data Source'!W203&gt;=2,"C",IF('Data Source'!W203&gt;=1,"D","F")))))),"")</f>
        <v/>
      </c>
      <c r="F203" s="3">
        <f>IF(AND('Data Source'!B203&lt;&gt;"",'Data Source'!S203="F"),IF('Data Source'!X203&gt;=5,"A+",IF('Data Source'!X203&gt;=4,"A",IF('Data Source'!X203&gt;=3.5,"A-",IF('Data Source'!X203&gt;=3,"B",IF('Data Source'!X203&gt;=2,"C",IF('Data Source'!X203&gt;=1,"D","F")))))),"")</f>
        <v/>
      </c>
      <c r="G203" s="3">
        <f>IF(AND('Data Source'!B203&lt;&gt;"",'Data Source'!S203="F"),IF('Data Source'!Y203&gt;=5,"A+",IF('Data Source'!Y203&gt;=4,"A",IF('Data Source'!Y203&gt;=3.5,"A-",IF('Data Source'!Y203&gt;=3,"B",IF('Data Source'!Y203&gt;=2,"C",IF('Data Source'!Y203&gt;=1,"D","F")))))),"")</f>
        <v/>
      </c>
      <c r="H203" s="3">
        <f>IF(AND('Data Source'!B203&lt;&gt;"",'Data Source'!S203="F"),IF('Data Source'!Z203&gt;=5,"A+",IF('Data Source'!Z203&gt;=4,"A",IF('Data Source'!Z203&gt;=3.5,"A-",IF('Data Source'!Z203&gt;=3,"B",IF('Data Source'!Z203&gt;=2,"C",IF('Data Source'!Z203&gt;=1,"D","F")))))),"")</f>
        <v/>
      </c>
      <c r="I203" s="3">
        <f>IF(AND('Data Source'!B203&lt;&gt;"",'Data Source'!S203="F"),IF('Data Source'!AA203&gt;=5,"A+",IF('Data Source'!AA203&gt;=4,"A",IF('Data Source'!AA203&gt;=3.5,"A-",IF('Data Source'!AA203&gt;=3,"B",IF('Data Source'!AA203&gt;=2,"C",IF('Data Source'!AA203&gt;=1,"D","F")))))),"")</f>
        <v/>
      </c>
      <c r="J203" s="3">
        <f>IF(AND('Data Source'!B203&lt;&gt;"",'Data Source'!S203="F"),IF('Data Source'!AB203&gt;=5,"A+",IF('Data Source'!AB203&gt;=4,"A",IF('Data Source'!AB203&gt;=3.5,"A-",IF('Data Source'!AB203&gt;=3,"B",IF('Data Source'!AB203&gt;=2,"C",IF('Data Source'!AB203&gt;=1,"D","F")))))),"")</f>
        <v/>
      </c>
      <c r="K203" s="3">
        <f>IF(AND('Data Source'!B203&lt;&gt;"",'Data Source'!S203="F"),IF('Data Source'!AC203&gt;=5,"A+",IF('Data Source'!AC203&gt;=4,"A",IF('Data Source'!AC203&gt;=3.5,"A-",IF('Data Source'!AC203&gt;=3,"B",IF('Data Source'!AC203&gt;=2,"C",IF('Data Source'!AC203&gt;=1,"D","F")))))),"")</f>
        <v/>
      </c>
      <c r="L203" s="3">
        <f>IF(AND('Data Source'!B203&lt;&gt;"",'Data Source'!S203="F"),IF('Data Source'!AD203&gt;=5,"A+",IF('Data Source'!AD203&gt;=4,"A",IF('Data Source'!AD203&gt;=3.5,"A-",IF('Data Source'!AD203&gt;=3,"B",IF('Data Source'!AD203&gt;=2,"C",IF('Data Source'!AD203&gt;=1,"D","F")))))),"")</f>
        <v/>
      </c>
      <c r="M203" s="3">
        <f>IF(AND('Data Source'!B203&lt;&gt;"",'Data Source'!S203="F"),IF('Data Source'!AE203&gt;=5,"A+",IF('Data Source'!AE203&gt;=4,"A",IF('Data Source'!AE203&gt;=3.5,"A-",IF('Data Source'!AE203&gt;=3,"B",IF('Data Source'!AE203&gt;=2,"C",IF('Data Source'!AE203&gt;=1,"D","F")))))),"")</f>
        <v/>
      </c>
      <c r="N203" s="3">
        <f>IF(AND('Data Source'!B203&lt;&gt;"",'Data Source'!S203="F"),IF('Data Source'!AF203&gt;=5,"A+",IF('Data Source'!AF203&gt;=4,"A",IF('Data Source'!AF203&gt;=3.5,"A-",IF('Data Source'!AF203&gt;=3,"B",IF('Data Source'!AF203&gt;=2,"C",IF('Data Source'!AF203&gt;=1,"D","F")))))),"")</f>
        <v/>
      </c>
      <c r="O203" s="3">
        <f>IF(AND('Data Source'!B203&lt;&gt;"",'Data Source'!S203="F"),IF('Data Source'!AG203&gt;=5,"A+",IF('Data Source'!AG203&gt;=4,"A",IF('Data Source'!AG203&gt;=3.5,"A-",IF('Data Source'!AG203&gt;=3,"B",IF('Data Source'!AG203&gt;=2,"C",IF('Data Source'!AG203&gt;=1,"D","F")))))),"")</f>
        <v/>
      </c>
      <c r="P203" s="5">
        <f>IF(AND('Data Source'!B203&lt;&gt;"",'Data Source'!S203="F"),'Data Source'!R203,"")</f>
        <v/>
      </c>
      <c r="Q203" s="3">
        <f>IF(AND('Data Source'!B203&lt;&gt;"",'Data Source'!S203="F"),'Data Source'!S203,"")</f>
        <v/>
      </c>
    </row>
    <row r="204">
      <c r="A204" s="3">
        <f>IF(AND('Data Source'!B204&lt;&gt;"",'Data Source'!S204="F"),COUNTIF('Data Source'!$S$3:S204,"F"),"")</f>
        <v/>
      </c>
      <c r="B204">
        <f>IF(AND('Data Source'!B204&lt;&gt;"",'Data Source'!S204="F"),'Data Source'!B204,"")</f>
        <v/>
      </c>
      <c r="C204" s="3">
        <f>IF(AND('Data Source'!B204&lt;&gt;"",'Data Source'!S204="F"),IF('Data Source'!U204&gt;=5,"A+",IF('Data Source'!U204&gt;=4,"A",IF('Data Source'!U204&gt;=3.5,"A-",IF('Data Source'!U204&gt;=3,"B",IF('Data Source'!U204&gt;=2,"C",IF('Data Source'!U204&gt;=1,"D","F")))))),"")</f>
        <v/>
      </c>
      <c r="D204" s="3">
        <f>IF(AND('Data Source'!B204&lt;&gt;"",'Data Source'!S204="F"),IF('Data Source'!V204&gt;=5,"A+",IF('Data Source'!V204&gt;=4,"A",IF('Data Source'!V204&gt;=3.5,"A-",IF('Data Source'!V204&gt;=3,"B",IF('Data Source'!V204&gt;=2,"C",IF('Data Source'!V204&gt;=1,"D","F")))))),"")</f>
        <v/>
      </c>
      <c r="E204" s="3">
        <f>IF(AND('Data Source'!B204&lt;&gt;"",'Data Source'!S204="F"),IF('Data Source'!W204&gt;=5,"A+",IF('Data Source'!W204&gt;=4,"A",IF('Data Source'!W204&gt;=3.5,"A-",IF('Data Source'!W204&gt;=3,"B",IF('Data Source'!W204&gt;=2,"C",IF('Data Source'!W204&gt;=1,"D","F")))))),"")</f>
        <v/>
      </c>
      <c r="F204" s="3">
        <f>IF(AND('Data Source'!B204&lt;&gt;"",'Data Source'!S204="F"),IF('Data Source'!X204&gt;=5,"A+",IF('Data Source'!X204&gt;=4,"A",IF('Data Source'!X204&gt;=3.5,"A-",IF('Data Source'!X204&gt;=3,"B",IF('Data Source'!X204&gt;=2,"C",IF('Data Source'!X204&gt;=1,"D","F")))))),"")</f>
        <v/>
      </c>
      <c r="G204" s="3">
        <f>IF(AND('Data Source'!B204&lt;&gt;"",'Data Source'!S204="F"),IF('Data Source'!Y204&gt;=5,"A+",IF('Data Source'!Y204&gt;=4,"A",IF('Data Source'!Y204&gt;=3.5,"A-",IF('Data Source'!Y204&gt;=3,"B",IF('Data Source'!Y204&gt;=2,"C",IF('Data Source'!Y204&gt;=1,"D","F")))))),"")</f>
        <v/>
      </c>
      <c r="H204" s="3">
        <f>IF(AND('Data Source'!B204&lt;&gt;"",'Data Source'!S204="F"),IF('Data Source'!Z204&gt;=5,"A+",IF('Data Source'!Z204&gt;=4,"A",IF('Data Source'!Z204&gt;=3.5,"A-",IF('Data Source'!Z204&gt;=3,"B",IF('Data Source'!Z204&gt;=2,"C",IF('Data Source'!Z204&gt;=1,"D","F")))))),"")</f>
        <v/>
      </c>
      <c r="I204" s="3">
        <f>IF(AND('Data Source'!B204&lt;&gt;"",'Data Source'!S204="F"),IF('Data Source'!AA204&gt;=5,"A+",IF('Data Source'!AA204&gt;=4,"A",IF('Data Source'!AA204&gt;=3.5,"A-",IF('Data Source'!AA204&gt;=3,"B",IF('Data Source'!AA204&gt;=2,"C",IF('Data Source'!AA204&gt;=1,"D","F")))))),"")</f>
        <v/>
      </c>
      <c r="J204" s="3">
        <f>IF(AND('Data Source'!B204&lt;&gt;"",'Data Source'!S204="F"),IF('Data Source'!AB204&gt;=5,"A+",IF('Data Source'!AB204&gt;=4,"A",IF('Data Source'!AB204&gt;=3.5,"A-",IF('Data Source'!AB204&gt;=3,"B",IF('Data Source'!AB204&gt;=2,"C",IF('Data Source'!AB204&gt;=1,"D","F")))))),"")</f>
        <v/>
      </c>
      <c r="K204" s="3">
        <f>IF(AND('Data Source'!B204&lt;&gt;"",'Data Source'!S204="F"),IF('Data Source'!AC204&gt;=5,"A+",IF('Data Source'!AC204&gt;=4,"A",IF('Data Source'!AC204&gt;=3.5,"A-",IF('Data Source'!AC204&gt;=3,"B",IF('Data Source'!AC204&gt;=2,"C",IF('Data Source'!AC204&gt;=1,"D","F")))))),"")</f>
        <v/>
      </c>
      <c r="L204" s="3">
        <f>IF(AND('Data Source'!B204&lt;&gt;"",'Data Source'!S204="F"),IF('Data Source'!AD204&gt;=5,"A+",IF('Data Source'!AD204&gt;=4,"A",IF('Data Source'!AD204&gt;=3.5,"A-",IF('Data Source'!AD204&gt;=3,"B",IF('Data Source'!AD204&gt;=2,"C",IF('Data Source'!AD204&gt;=1,"D","F")))))),"")</f>
        <v/>
      </c>
      <c r="M204" s="3">
        <f>IF(AND('Data Source'!B204&lt;&gt;"",'Data Source'!S204="F"),IF('Data Source'!AE204&gt;=5,"A+",IF('Data Source'!AE204&gt;=4,"A",IF('Data Source'!AE204&gt;=3.5,"A-",IF('Data Source'!AE204&gt;=3,"B",IF('Data Source'!AE204&gt;=2,"C",IF('Data Source'!AE204&gt;=1,"D","F")))))),"")</f>
        <v/>
      </c>
      <c r="N204" s="3">
        <f>IF(AND('Data Source'!B204&lt;&gt;"",'Data Source'!S204="F"),IF('Data Source'!AF204&gt;=5,"A+",IF('Data Source'!AF204&gt;=4,"A",IF('Data Source'!AF204&gt;=3.5,"A-",IF('Data Source'!AF204&gt;=3,"B",IF('Data Source'!AF204&gt;=2,"C",IF('Data Source'!AF204&gt;=1,"D","F")))))),"")</f>
        <v/>
      </c>
      <c r="O204" s="3">
        <f>IF(AND('Data Source'!B204&lt;&gt;"",'Data Source'!S204="F"),IF('Data Source'!AG204&gt;=5,"A+",IF('Data Source'!AG204&gt;=4,"A",IF('Data Source'!AG204&gt;=3.5,"A-",IF('Data Source'!AG204&gt;=3,"B",IF('Data Source'!AG204&gt;=2,"C",IF('Data Source'!AG204&gt;=1,"D","F")))))),"")</f>
        <v/>
      </c>
      <c r="P204" s="5">
        <f>IF(AND('Data Source'!B204&lt;&gt;"",'Data Source'!S204="F"),'Data Source'!R204,"")</f>
        <v/>
      </c>
      <c r="Q204" s="3">
        <f>IF(AND('Data Source'!B204&lt;&gt;"",'Data Source'!S204="F"),'Data Source'!S204,"")</f>
        <v/>
      </c>
    </row>
    <row r="205">
      <c r="A205" s="3">
        <f>IF(AND('Data Source'!B205&lt;&gt;"",'Data Source'!S205="F"),COUNTIF('Data Source'!$S$3:S205,"F"),"")</f>
        <v/>
      </c>
      <c r="B205">
        <f>IF(AND('Data Source'!B205&lt;&gt;"",'Data Source'!S205="F"),'Data Source'!B205,"")</f>
        <v/>
      </c>
      <c r="C205" s="3">
        <f>IF(AND('Data Source'!B205&lt;&gt;"",'Data Source'!S205="F"),IF('Data Source'!U205&gt;=5,"A+",IF('Data Source'!U205&gt;=4,"A",IF('Data Source'!U205&gt;=3.5,"A-",IF('Data Source'!U205&gt;=3,"B",IF('Data Source'!U205&gt;=2,"C",IF('Data Source'!U205&gt;=1,"D","F")))))),"")</f>
        <v/>
      </c>
      <c r="D205" s="3">
        <f>IF(AND('Data Source'!B205&lt;&gt;"",'Data Source'!S205="F"),IF('Data Source'!V205&gt;=5,"A+",IF('Data Source'!V205&gt;=4,"A",IF('Data Source'!V205&gt;=3.5,"A-",IF('Data Source'!V205&gt;=3,"B",IF('Data Source'!V205&gt;=2,"C",IF('Data Source'!V205&gt;=1,"D","F")))))),"")</f>
        <v/>
      </c>
      <c r="E205" s="3">
        <f>IF(AND('Data Source'!B205&lt;&gt;"",'Data Source'!S205="F"),IF('Data Source'!W205&gt;=5,"A+",IF('Data Source'!W205&gt;=4,"A",IF('Data Source'!W205&gt;=3.5,"A-",IF('Data Source'!W205&gt;=3,"B",IF('Data Source'!W205&gt;=2,"C",IF('Data Source'!W205&gt;=1,"D","F")))))),"")</f>
        <v/>
      </c>
      <c r="F205" s="3">
        <f>IF(AND('Data Source'!B205&lt;&gt;"",'Data Source'!S205="F"),IF('Data Source'!X205&gt;=5,"A+",IF('Data Source'!X205&gt;=4,"A",IF('Data Source'!X205&gt;=3.5,"A-",IF('Data Source'!X205&gt;=3,"B",IF('Data Source'!X205&gt;=2,"C",IF('Data Source'!X205&gt;=1,"D","F")))))),"")</f>
        <v/>
      </c>
      <c r="G205" s="3">
        <f>IF(AND('Data Source'!B205&lt;&gt;"",'Data Source'!S205="F"),IF('Data Source'!Y205&gt;=5,"A+",IF('Data Source'!Y205&gt;=4,"A",IF('Data Source'!Y205&gt;=3.5,"A-",IF('Data Source'!Y205&gt;=3,"B",IF('Data Source'!Y205&gt;=2,"C",IF('Data Source'!Y205&gt;=1,"D","F")))))),"")</f>
        <v/>
      </c>
      <c r="H205" s="3">
        <f>IF(AND('Data Source'!B205&lt;&gt;"",'Data Source'!S205="F"),IF('Data Source'!Z205&gt;=5,"A+",IF('Data Source'!Z205&gt;=4,"A",IF('Data Source'!Z205&gt;=3.5,"A-",IF('Data Source'!Z205&gt;=3,"B",IF('Data Source'!Z205&gt;=2,"C",IF('Data Source'!Z205&gt;=1,"D","F")))))),"")</f>
        <v/>
      </c>
      <c r="I205" s="3">
        <f>IF(AND('Data Source'!B205&lt;&gt;"",'Data Source'!S205="F"),IF('Data Source'!AA205&gt;=5,"A+",IF('Data Source'!AA205&gt;=4,"A",IF('Data Source'!AA205&gt;=3.5,"A-",IF('Data Source'!AA205&gt;=3,"B",IF('Data Source'!AA205&gt;=2,"C",IF('Data Source'!AA205&gt;=1,"D","F")))))),"")</f>
        <v/>
      </c>
      <c r="J205" s="3">
        <f>IF(AND('Data Source'!B205&lt;&gt;"",'Data Source'!S205="F"),IF('Data Source'!AB205&gt;=5,"A+",IF('Data Source'!AB205&gt;=4,"A",IF('Data Source'!AB205&gt;=3.5,"A-",IF('Data Source'!AB205&gt;=3,"B",IF('Data Source'!AB205&gt;=2,"C",IF('Data Source'!AB205&gt;=1,"D","F")))))),"")</f>
        <v/>
      </c>
      <c r="K205" s="3">
        <f>IF(AND('Data Source'!B205&lt;&gt;"",'Data Source'!S205="F"),IF('Data Source'!AC205&gt;=5,"A+",IF('Data Source'!AC205&gt;=4,"A",IF('Data Source'!AC205&gt;=3.5,"A-",IF('Data Source'!AC205&gt;=3,"B",IF('Data Source'!AC205&gt;=2,"C",IF('Data Source'!AC205&gt;=1,"D","F")))))),"")</f>
        <v/>
      </c>
      <c r="L205" s="3">
        <f>IF(AND('Data Source'!B205&lt;&gt;"",'Data Source'!S205="F"),IF('Data Source'!AD205&gt;=5,"A+",IF('Data Source'!AD205&gt;=4,"A",IF('Data Source'!AD205&gt;=3.5,"A-",IF('Data Source'!AD205&gt;=3,"B",IF('Data Source'!AD205&gt;=2,"C",IF('Data Source'!AD205&gt;=1,"D","F")))))),"")</f>
        <v/>
      </c>
      <c r="M205" s="3">
        <f>IF(AND('Data Source'!B205&lt;&gt;"",'Data Source'!S205="F"),IF('Data Source'!AE205&gt;=5,"A+",IF('Data Source'!AE205&gt;=4,"A",IF('Data Source'!AE205&gt;=3.5,"A-",IF('Data Source'!AE205&gt;=3,"B",IF('Data Source'!AE205&gt;=2,"C",IF('Data Source'!AE205&gt;=1,"D","F")))))),"")</f>
        <v/>
      </c>
      <c r="N205" s="3">
        <f>IF(AND('Data Source'!B205&lt;&gt;"",'Data Source'!S205="F"),IF('Data Source'!AF205&gt;=5,"A+",IF('Data Source'!AF205&gt;=4,"A",IF('Data Source'!AF205&gt;=3.5,"A-",IF('Data Source'!AF205&gt;=3,"B",IF('Data Source'!AF205&gt;=2,"C",IF('Data Source'!AF205&gt;=1,"D","F")))))),"")</f>
        <v/>
      </c>
      <c r="O205" s="3">
        <f>IF(AND('Data Source'!B205&lt;&gt;"",'Data Source'!S205="F"),IF('Data Source'!AG205&gt;=5,"A+",IF('Data Source'!AG205&gt;=4,"A",IF('Data Source'!AG205&gt;=3.5,"A-",IF('Data Source'!AG205&gt;=3,"B",IF('Data Source'!AG205&gt;=2,"C",IF('Data Source'!AG205&gt;=1,"D","F")))))),"")</f>
        <v/>
      </c>
      <c r="P205" s="5">
        <f>IF(AND('Data Source'!B205&lt;&gt;"",'Data Source'!S205="F"),'Data Source'!R205,"")</f>
        <v/>
      </c>
      <c r="Q205" s="3">
        <f>IF(AND('Data Source'!B205&lt;&gt;"",'Data Source'!S205="F"),'Data Source'!S205,"")</f>
        <v/>
      </c>
    </row>
    <row r="206">
      <c r="A206" s="3">
        <f>IF(AND('Data Source'!B206&lt;&gt;"",'Data Source'!S206="F"),COUNTIF('Data Source'!$S$3:S206,"F"),"")</f>
        <v/>
      </c>
      <c r="B206">
        <f>IF(AND('Data Source'!B206&lt;&gt;"",'Data Source'!S206="F"),'Data Source'!B206,"")</f>
        <v/>
      </c>
      <c r="C206" s="3">
        <f>IF(AND('Data Source'!B206&lt;&gt;"",'Data Source'!S206="F"),IF('Data Source'!U206&gt;=5,"A+",IF('Data Source'!U206&gt;=4,"A",IF('Data Source'!U206&gt;=3.5,"A-",IF('Data Source'!U206&gt;=3,"B",IF('Data Source'!U206&gt;=2,"C",IF('Data Source'!U206&gt;=1,"D","F")))))),"")</f>
        <v/>
      </c>
      <c r="D206" s="3">
        <f>IF(AND('Data Source'!B206&lt;&gt;"",'Data Source'!S206="F"),IF('Data Source'!V206&gt;=5,"A+",IF('Data Source'!V206&gt;=4,"A",IF('Data Source'!V206&gt;=3.5,"A-",IF('Data Source'!V206&gt;=3,"B",IF('Data Source'!V206&gt;=2,"C",IF('Data Source'!V206&gt;=1,"D","F")))))),"")</f>
        <v/>
      </c>
      <c r="E206" s="3">
        <f>IF(AND('Data Source'!B206&lt;&gt;"",'Data Source'!S206="F"),IF('Data Source'!W206&gt;=5,"A+",IF('Data Source'!W206&gt;=4,"A",IF('Data Source'!W206&gt;=3.5,"A-",IF('Data Source'!W206&gt;=3,"B",IF('Data Source'!W206&gt;=2,"C",IF('Data Source'!W206&gt;=1,"D","F")))))),"")</f>
        <v/>
      </c>
      <c r="F206" s="3">
        <f>IF(AND('Data Source'!B206&lt;&gt;"",'Data Source'!S206="F"),IF('Data Source'!X206&gt;=5,"A+",IF('Data Source'!X206&gt;=4,"A",IF('Data Source'!X206&gt;=3.5,"A-",IF('Data Source'!X206&gt;=3,"B",IF('Data Source'!X206&gt;=2,"C",IF('Data Source'!X206&gt;=1,"D","F")))))),"")</f>
        <v/>
      </c>
      <c r="G206" s="3">
        <f>IF(AND('Data Source'!B206&lt;&gt;"",'Data Source'!S206="F"),IF('Data Source'!Y206&gt;=5,"A+",IF('Data Source'!Y206&gt;=4,"A",IF('Data Source'!Y206&gt;=3.5,"A-",IF('Data Source'!Y206&gt;=3,"B",IF('Data Source'!Y206&gt;=2,"C",IF('Data Source'!Y206&gt;=1,"D","F")))))),"")</f>
        <v/>
      </c>
      <c r="H206" s="3">
        <f>IF(AND('Data Source'!B206&lt;&gt;"",'Data Source'!S206="F"),IF('Data Source'!Z206&gt;=5,"A+",IF('Data Source'!Z206&gt;=4,"A",IF('Data Source'!Z206&gt;=3.5,"A-",IF('Data Source'!Z206&gt;=3,"B",IF('Data Source'!Z206&gt;=2,"C",IF('Data Source'!Z206&gt;=1,"D","F")))))),"")</f>
        <v/>
      </c>
      <c r="I206" s="3">
        <f>IF(AND('Data Source'!B206&lt;&gt;"",'Data Source'!S206="F"),IF('Data Source'!AA206&gt;=5,"A+",IF('Data Source'!AA206&gt;=4,"A",IF('Data Source'!AA206&gt;=3.5,"A-",IF('Data Source'!AA206&gt;=3,"B",IF('Data Source'!AA206&gt;=2,"C",IF('Data Source'!AA206&gt;=1,"D","F")))))),"")</f>
        <v/>
      </c>
      <c r="J206" s="3">
        <f>IF(AND('Data Source'!B206&lt;&gt;"",'Data Source'!S206="F"),IF('Data Source'!AB206&gt;=5,"A+",IF('Data Source'!AB206&gt;=4,"A",IF('Data Source'!AB206&gt;=3.5,"A-",IF('Data Source'!AB206&gt;=3,"B",IF('Data Source'!AB206&gt;=2,"C",IF('Data Source'!AB206&gt;=1,"D","F")))))),"")</f>
        <v/>
      </c>
      <c r="K206" s="3">
        <f>IF(AND('Data Source'!B206&lt;&gt;"",'Data Source'!S206="F"),IF('Data Source'!AC206&gt;=5,"A+",IF('Data Source'!AC206&gt;=4,"A",IF('Data Source'!AC206&gt;=3.5,"A-",IF('Data Source'!AC206&gt;=3,"B",IF('Data Source'!AC206&gt;=2,"C",IF('Data Source'!AC206&gt;=1,"D","F")))))),"")</f>
        <v/>
      </c>
      <c r="L206" s="3">
        <f>IF(AND('Data Source'!B206&lt;&gt;"",'Data Source'!S206="F"),IF('Data Source'!AD206&gt;=5,"A+",IF('Data Source'!AD206&gt;=4,"A",IF('Data Source'!AD206&gt;=3.5,"A-",IF('Data Source'!AD206&gt;=3,"B",IF('Data Source'!AD206&gt;=2,"C",IF('Data Source'!AD206&gt;=1,"D","F")))))),"")</f>
        <v/>
      </c>
      <c r="M206" s="3">
        <f>IF(AND('Data Source'!B206&lt;&gt;"",'Data Source'!S206="F"),IF('Data Source'!AE206&gt;=5,"A+",IF('Data Source'!AE206&gt;=4,"A",IF('Data Source'!AE206&gt;=3.5,"A-",IF('Data Source'!AE206&gt;=3,"B",IF('Data Source'!AE206&gt;=2,"C",IF('Data Source'!AE206&gt;=1,"D","F")))))),"")</f>
        <v/>
      </c>
      <c r="N206" s="3">
        <f>IF(AND('Data Source'!B206&lt;&gt;"",'Data Source'!S206="F"),IF('Data Source'!AF206&gt;=5,"A+",IF('Data Source'!AF206&gt;=4,"A",IF('Data Source'!AF206&gt;=3.5,"A-",IF('Data Source'!AF206&gt;=3,"B",IF('Data Source'!AF206&gt;=2,"C",IF('Data Source'!AF206&gt;=1,"D","F")))))),"")</f>
        <v/>
      </c>
      <c r="O206" s="3">
        <f>IF(AND('Data Source'!B206&lt;&gt;"",'Data Source'!S206="F"),IF('Data Source'!AG206&gt;=5,"A+",IF('Data Source'!AG206&gt;=4,"A",IF('Data Source'!AG206&gt;=3.5,"A-",IF('Data Source'!AG206&gt;=3,"B",IF('Data Source'!AG206&gt;=2,"C",IF('Data Source'!AG206&gt;=1,"D","F")))))),"")</f>
        <v/>
      </c>
      <c r="P206" s="5">
        <f>IF(AND('Data Source'!B206&lt;&gt;"",'Data Source'!S206="F"),'Data Source'!R206,"")</f>
        <v/>
      </c>
      <c r="Q206" s="3">
        <f>IF(AND('Data Source'!B206&lt;&gt;"",'Data Source'!S206="F"),'Data Source'!S206,"")</f>
        <v/>
      </c>
    </row>
    <row r="207">
      <c r="A207" s="3">
        <f>IF(AND('Data Source'!B207&lt;&gt;"",'Data Source'!S207="F"),COUNTIF('Data Source'!$S$3:S207,"F"),"")</f>
        <v/>
      </c>
      <c r="B207">
        <f>IF(AND('Data Source'!B207&lt;&gt;"",'Data Source'!S207="F"),'Data Source'!B207,"")</f>
        <v/>
      </c>
      <c r="C207" s="3">
        <f>IF(AND('Data Source'!B207&lt;&gt;"",'Data Source'!S207="F"),IF('Data Source'!U207&gt;=5,"A+",IF('Data Source'!U207&gt;=4,"A",IF('Data Source'!U207&gt;=3.5,"A-",IF('Data Source'!U207&gt;=3,"B",IF('Data Source'!U207&gt;=2,"C",IF('Data Source'!U207&gt;=1,"D","F")))))),"")</f>
        <v/>
      </c>
      <c r="D207" s="3">
        <f>IF(AND('Data Source'!B207&lt;&gt;"",'Data Source'!S207="F"),IF('Data Source'!V207&gt;=5,"A+",IF('Data Source'!V207&gt;=4,"A",IF('Data Source'!V207&gt;=3.5,"A-",IF('Data Source'!V207&gt;=3,"B",IF('Data Source'!V207&gt;=2,"C",IF('Data Source'!V207&gt;=1,"D","F")))))),"")</f>
        <v/>
      </c>
      <c r="E207" s="3">
        <f>IF(AND('Data Source'!B207&lt;&gt;"",'Data Source'!S207="F"),IF('Data Source'!W207&gt;=5,"A+",IF('Data Source'!W207&gt;=4,"A",IF('Data Source'!W207&gt;=3.5,"A-",IF('Data Source'!W207&gt;=3,"B",IF('Data Source'!W207&gt;=2,"C",IF('Data Source'!W207&gt;=1,"D","F")))))),"")</f>
        <v/>
      </c>
      <c r="F207" s="3">
        <f>IF(AND('Data Source'!B207&lt;&gt;"",'Data Source'!S207="F"),IF('Data Source'!X207&gt;=5,"A+",IF('Data Source'!X207&gt;=4,"A",IF('Data Source'!X207&gt;=3.5,"A-",IF('Data Source'!X207&gt;=3,"B",IF('Data Source'!X207&gt;=2,"C",IF('Data Source'!X207&gt;=1,"D","F")))))),"")</f>
        <v/>
      </c>
      <c r="G207" s="3">
        <f>IF(AND('Data Source'!B207&lt;&gt;"",'Data Source'!S207="F"),IF('Data Source'!Y207&gt;=5,"A+",IF('Data Source'!Y207&gt;=4,"A",IF('Data Source'!Y207&gt;=3.5,"A-",IF('Data Source'!Y207&gt;=3,"B",IF('Data Source'!Y207&gt;=2,"C",IF('Data Source'!Y207&gt;=1,"D","F")))))),"")</f>
        <v/>
      </c>
      <c r="H207" s="3">
        <f>IF(AND('Data Source'!B207&lt;&gt;"",'Data Source'!S207="F"),IF('Data Source'!Z207&gt;=5,"A+",IF('Data Source'!Z207&gt;=4,"A",IF('Data Source'!Z207&gt;=3.5,"A-",IF('Data Source'!Z207&gt;=3,"B",IF('Data Source'!Z207&gt;=2,"C",IF('Data Source'!Z207&gt;=1,"D","F")))))),"")</f>
        <v/>
      </c>
      <c r="I207" s="3">
        <f>IF(AND('Data Source'!B207&lt;&gt;"",'Data Source'!S207="F"),IF('Data Source'!AA207&gt;=5,"A+",IF('Data Source'!AA207&gt;=4,"A",IF('Data Source'!AA207&gt;=3.5,"A-",IF('Data Source'!AA207&gt;=3,"B",IF('Data Source'!AA207&gt;=2,"C",IF('Data Source'!AA207&gt;=1,"D","F")))))),"")</f>
        <v/>
      </c>
      <c r="J207" s="3">
        <f>IF(AND('Data Source'!B207&lt;&gt;"",'Data Source'!S207="F"),IF('Data Source'!AB207&gt;=5,"A+",IF('Data Source'!AB207&gt;=4,"A",IF('Data Source'!AB207&gt;=3.5,"A-",IF('Data Source'!AB207&gt;=3,"B",IF('Data Source'!AB207&gt;=2,"C",IF('Data Source'!AB207&gt;=1,"D","F")))))),"")</f>
        <v/>
      </c>
      <c r="K207" s="3">
        <f>IF(AND('Data Source'!B207&lt;&gt;"",'Data Source'!S207="F"),IF('Data Source'!AC207&gt;=5,"A+",IF('Data Source'!AC207&gt;=4,"A",IF('Data Source'!AC207&gt;=3.5,"A-",IF('Data Source'!AC207&gt;=3,"B",IF('Data Source'!AC207&gt;=2,"C",IF('Data Source'!AC207&gt;=1,"D","F")))))),"")</f>
        <v/>
      </c>
      <c r="L207" s="3">
        <f>IF(AND('Data Source'!B207&lt;&gt;"",'Data Source'!S207="F"),IF('Data Source'!AD207&gt;=5,"A+",IF('Data Source'!AD207&gt;=4,"A",IF('Data Source'!AD207&gt;=3.5,"A-",IF('Data Source'!AD207&gt;=3,"B",IF('Data Source'!AD207&gt;=2,"C",IF('Data Source'!AD207&gt;=1,"D","F")))))),"")</f>
        <v/>
      </c>
      <c r="M207" s="3">
        <f>IF(AND('Data Source'!B207&lt;&gt;"",'Data Source'!S207="F"),IF('Data Source'!AE207&gt;=5,"A+",IF('Data Source'!AE207&gt;=4,"A",IF('Data Source'!AE207&gt;=3.5,"A-",IF('Data Source'!AE207&gt;=3,"B",IF('Data Source'!AE207&gt;=2,"C",IF('Data Source'!AE207&gt;=1,"D","F")))))),"")</f>
        <v/>
      </c>
      <c r="N207" s="3">
        <f>IF(AND('Data Source'!B207&lt;&gt;"",'Data Source'!S207="F"),IF('Data Source'!AF207&gt;=5,"A+",IF('Data Source'!AF207&gt;=4,"A",IF('Data Source'!AF207&gt;=3.5,"A-",IF('Data Source'!AF207&gt;=3,"B",IF('Data Source'!AF207&gt;=2,"C",IF('Data Source'!AF207&gt;=1,"D","F")))))),"")</f>
        <v/>
      </c>
      <c r="O207" s="3">
        <f>IF(AND('Data Source'!B207&lt;&gt;"",'Data Source'!S207="F"),IF('Data Source'!AG207&gt;=5,"A+",IF('Data Source'!AG207&gt;=4,"A",IF('Data Source'!AG207&gt;=3.5,"A-",IF('Data Source'!AG207&gt;=3,"B",IF('Data Source'!AG207&gt;=2,"C",IF('Data Source'!AG207&gt;=1,"D","F")))))),"")</f>
        <v/>
      </c>
      <c r="P207" s="5">
        <f>IF(AND('Data Source'!B207&lt;&gt;"",'Data Source'!S207="F"),'Data Source'!R207,"")</f>
        <v/>
      </c>
      <c r="Q207" s="3">
        <f>IF(AND('Data Source'!B207&lt;&gt;"",'Data Source'!S207="F"),'Data Source'!S207,"")</f>
        <v/>
      </c>
    </row>
    <row r="208">
      <c r="A208" s="3">
        <f>IF(AND('Data Source'!B208&lt;&gt;"",'Data Source'!S208="F"),COUNTIF('Data Source'!$S$3:S208,"F"),"")</f>
        <v/>
      </c>
      <c r="B208">
        <f>IF(AND('Data Source'!B208&lt;&gt;"",'Data Source'!S208="F"),'Data Source'!B208,"")</f>
        <v/>
      </c>
      <c r="C208" s="3">
        <f>IF(AND('Data Source'!B208&lt;&gt;"",'Data Source'!S208="F"),IF('Data Source'!U208&gt;=5,"A+",IF('Data Source'!U208&gt;=4,"A",IF('Data Source'!U208&gt;=3.5,"A-",IF('Data Source'!U208&gt;=3,"B",IF('Data Source'!U208&gt;=2,"C",IF('Data Source'!U208&gt;=1,"D","F")))))),"")</f>
        <v/>
      </c>
      <c r="D208" s="3">
        <f>IF(AND('Data Source'!B208&lt;&gt;"",'Data Source'!S208="F"),IF('Data Source'!V208&gt;=5,"A+",IF('Data Source'!V208&gt;=4,"A",IF('Data Source'!V208&gt;=3.5,"A-",IF('Data Source'!V208&gt;=3,"B",IF('Data Source'!V208&gt;=2,"C",IF('Data Source'!V208&gt;=1,"D","F")))))),"")</f>
        <v/>
      </c>
      <c r="E208" s="3">
        <f>IF(AND('Data Source'!B208&lt;&gt;"",'Data Source'!S208="F"),IF('Data Source'!W208&gt;=5,"A+",IF('Data Source'!W208&gt;=4,"A",IF('Data Source'!W208&gt;=3.5,"A-",IF('Data Source'!W208&gt;=3,"B",IF('Data Source'!W208&gt;=2,"C",IF('Data Source'!W208&gt;=1,"D","F")))))),"")</f>
        <v/>
      </c>
      <c r="F208" s="3">
        <f>IF(AND('Data Source'!B208&lt;&gt;"",'Data Source'!S208="F"),IF('Data Source'!X208&gt;=5,"A+",IF('Data Source'!X208&gt;=4,"A",IF('Data Source'!X208&gt;=3.5,"A-",IF('Data Source'!X208&gt;=3,"B",IF('Data Source'!X208&gt;=2,"C",IF('Data Source'!X208&gt;=1,"D","F")))))),"")</f>
        <v/>
      </c>
      <c r="G208" s="3">
        <f>IF(AND('Data Source'!B208&lt;&gt;"",'Data Source'!S208="F"),IF('Data Source'!Y208&gt;=5,"A+",IF('Data Source'!Y208&gt;=4,"A",IF('Data Source'!Y208&gt;=3.5,"A-",IF('Data Source'!Y208&gt;=3,"B",IF('Data Source'!Y208&gt;=2,"C",IF('Data Source'!Y208&gt;=1,"D","F")))))),"")</f>
        <v/>
      </c>
      <c r="H208" s="3">
        <f>IF(AND('Data Source'!B208&lt;&gt;"",'Data Source'!S208="F"),IF('Data Source'!Z208&gt;=5,"A+",IF('Data Source'!Z208&gt;=4,"A",IF('Data Source'!Z208&gt;=3.5,"A-",IF('Data Source'!Z208&gt;=3,"B",IF('Data Source'!Z208&gt;=2,"C",IF('Data Source'!Z208&gt;=1,"D","F")))))),"")</f>
        <v/>
      </c>
      <c r="I208" s="3">
        <f>IF(AND('Data Source'!B208&lt;&gt;"",'Data Source'!S208="F"),IF('Data Source'!AA208&gt;=5,"A+",IF('Data Source'!AA208&gt;=4,"A",IF('Data Source'!AA208&gt;=3.5,"A-",IF('Data Source'!AA208&gt;=3,"B",IF('Data Source'!AA208&gt;=2,"C",IF('Data Source'!AA208&gt;=1,"D","F")))))),"")</f>
        <v/>
      </c>
      <c r="J208" s="3">
        <f>IF(AND('Data Source'!B208&lt;&gt;"",'Data Source'!S208="F"),IF('Data Source'!AB208&gt;=5,"A+",IF('Data Source'!AB208&gt;=4,"A",IF('Data Source'!AB208&gt;=3.5,"A-",IF('Data Source'!AB208&gt;=3,"B",IF('Data Source'!AB208&gt;=2,"C",IF('Data Source'!AB208&gt;=1,"D","F")))))),"")</f>
        <v/>
      </c>
      <c r="K208" s="3">
        <f>IF(AND('Data Source'!B208&lt;&gt;"",'Data Source'!S208="F"),IF('Data Source'!AC208&gt;=5,"A+",IF('Data Source'!AC208&gt;=4,"A",IF('Data Source'!AC208&gt;=3.5,"A-",IF('Data Source'!AC208&gt;=3,"B",IF('Data Source'!AC208&gt;=2,"C",IF('Data Source'!AC208&gt;=1,"D","F")))))),"")</f>
        <v/>
      </c>
      <c r="L208" s="3">
        <f>IF(AND('Data Source'!B208&lt;&gt;"",'Data Source'!S208="F"),IF('Data Source'!AD208&gt;=5,"A+",IF('Data Source'!AD208&gt;=4,"A",IF('Data Source'!AD208&gt;=3.5,"A-",IF('Data Source'!AD208&gt;=3,"B",IF('Data Source'!AD208&gt;=2,"C",IF('Data Source'!AD208&gt;=1,"D","F")))))),"")</f>
        <v/>
      </c>
      <c r="M208" s="3">
        <f>IF(AND('Data Source'!B208&lt;&gt;"",'Data Source'!S208="F"),IF('Data Source'!AE208&gt;=5,"A+",IF('Data Source'!AE208&gt;=4,"A",IF('Data Source'!AE208&gt;=3.5,"A-",IF('Data Source'!AE208&gt;=3,"B",IF('Data Source'!AE208&gt;=2,"C",IF('Data Source'!AE208&gt;=1,"D","F")))))),"")</f>
        <v/>
      </c>
      <c r="N208" s="3">
        <f>IF(AND('Data Source'!B208&lt;&gt;"",'Data Source'!S208="F"),IF('Data Source'!AF208&gt;=5,"A+",IF('Data Source'!AF208&gt;=4,"A",IF('Data Source'!AF208&gt;=3.5,"A-",IF('Data Source'!AF208&gt;=3,"B",IF('Data Source'!AF208&gt;=2,"C",IF('Data Source'!AF208&gt;=1,"D","F")))))),"")</f>
        <v/>
      </c>
      <c r="O208" s="3">
        <f>IF(AND('Data Source'!B208&lt;&gt;"",'Data Source'!S208="F"),IF('Data Source'!AG208&gt;=5,"A+",IF('Data Source'!AG208&gt;=4,"A",IF('Data Source'!AG208&gt;=3.5,"A-",IF('Data Source'!AG208&gt;=3,"B",IF('Data Source'!AG208&gt;=2,"C",IF('Data Source'!AG208&gt;=1,"D","F")))))),"")</f>
        <v/>
      </c>
      <c r="P208" s="5">
        <f>IF(AND('Data Source'!B208&lt;&gt;"",'Data Source'!S208="F"),'Data Source'!R208,"")</f>
        <v/>
      </c>
      <c r="Q208" s="3">
        <f>IF(AND('Data Source'!B208&lt;&gt;"",'Data Source'!S208="F"),'Data Source'!S208,"")</f>
        <v/>
      </c>
    </row>
    <row r="209">
      <c r="A209" s="3">
        <f>IF(AND('Data Source'!B209&lt;&gt;"",'Data Source'!S209="F"),COUNTIF('Data Source'!$S$3:S209,"F"),"")</f>
        <v/>
      </c>
      <c r="B209">
        <f>IF(AND('Data Source'!B209&lt;&gt;"",'Data Source'!S209="F"),'Data Source'!B209,"")</f>
        <v/>
      </c>
      <c r="C209" s="3">
        <f>IF(AND('Data Source'!B209&lt;&gt;"",'Data Source'!S209="F"),IF('Data Source'!U209&gt;=5,"A+",IF('Data Source'!U209&gt;=4,"A",IF('Data Source'!U209&gt;=3.5,"A-",IF('Data Source'!U209&gt;=3,"B",IF('Data Source'!U209&gt;=2,"C",IF('Data Source'!U209&gt;=1,"D","F")))))),"")</f>
        <v/>
      </c>
      <c r="D209" s="3">
        <f>IF(AND('Data Source'!B209&lt;&gt;"",'Data Source'!S209="F"),IF('Data Source'!V209&gt;=5,"A+",IF('Data Source'!V209&gt;=4,"A",IF('Data Source'!V209&gt;=3.5,"A-",IF('Data Source'!V209&gt;=3,"B",IF('Data Source'!V209&gt;=2,"C",IF('Data Source'!V209&gt;=1,"D","F")))))),"")</f>
        <v/>
      </c>
      <c r="E209" s="3">
        <f>IF(AND('Data Source'!B209&lt;&gt;"",'Data Source'!S209="F"),IF('Data Source'!W209&gt;=5,"A+",IF('Data Source'!W209&gt;=4,"A",IF('Data Source'!W209&gt;=3.5,"A-",IF('Data Source'!W209&gt;=3,"B",IF('Data Source'!W209&gt;=2,"C",IF('Data Source'!W209&gt;=1,"D","F")))))),"")</f>
        <v/>
      </c>
      <c r="F209" s="3">
        <f>IF(AND('Data Source'!B209&lt;&gt;"",'Data Source'!S209="F"),IF('Data Source'!X209&gt;=5,"A+",IF('Data Source'!X209&gt;=4,"A",IF('Data Source'!X209&gt;=3.5,"A-",IF('Data Source'!X209&gt;=3,"B",IF('Data Source'!X209&gt;=2,"C",IF('Data Source'!X209&gt;=1,"D","F")))))),"")</f>
        <v/>
      </c>
      <c r="G209" s="3">
        <f>IF(AND('Data Source'!B209&lt;&gt;"",'Data Source'!S209="F"),IF('Data Source'!Y209&gt;=5,"A+",IF('Data Source'!Y209&gt;=4,"A",IF('Data Source'!Y209&gt;=3.5,"A-",IF('Data Source'!Y209&gt;=3,"B",IF('Data Source'!Y209&gt;=2,"C",IF('Data Source'!Y209&gt;=1,"D","F")))))),"")</f>
        <v/>
      </c>
      <c r="H209" s="3">
        <f>IF(AND('Data Source'!B209&lt;&gt;"",'Data Source'!S209="F"),IF('Data Source'!Z209&gt;=5,"A+",IF('Data Source'!Z209&gt;=4,"A",IF('Data Source'!Z209&gt;=3.5,"A-",IF('Data Source'!Z209&gt;=3,"B",IF('Data Source'!Z209&gt;=2,"C",IF('Data Source'!Z209&gt;=1,"D","F")))))),"")</f>
        <v/>
      </c>
      <c r="I209" s="3">
        <f>IF(AND('Data Source'!B209&lt;&gt;"",'Data Source'!S209="F"),IF('Data Source'!AA209&gt;=5,"A+",IF('Data Source'!AA209&gt;=4,"A",IF('Data Source'!AA209&gt;=3.5,"A-",IF('Data Source'!AA209&gt;=3,"B",IF('Data Source'!AA209&gt;=2,"C",IF('Data Source'!AA209&gt;=1,"D","F")))))),"")</f>
        <v/>
      </c>
      <c r="J209" s="3">
        <f>IF(AND('Data Source'!B209&lt;&gt;"",'Data Source'!S209="F"),IF('Data Source'!AB209&gt;=5,"A+",IF('Data Source'!AB209&gt;=4,"A",IF('Data Source'!AB209&gt;=3.5,"A-",IF('Data Source'!AB209&gt;=3,"B",IF('Data Source'!AB209&gt;=2,"C",IF('Data Source'!AB209&gt;=1,"D","F")))))),"")</f>
        <v/>
      </c>
      <c r="K209" s="3">
        <f>IF(AND('Data Source'!B209&lt;&gt;"",'Data Source'!S209="F"),IF('Data Source'!AC209&gt;=5,"A+",IF('Data Source'!AC209&gt;=4,"A",IF('Data Source'!AC209&gt;=3.5,"A-",IF('Data Source'!AC209&gt;=3,"B",IF('Data Source'!AC209&gt;=2,"C",IF('Data Source'!AC209&gt;=1,"D","F")))))),"")</f>
        <v/>
      </c>
      <c r="L209" s="3">
        <f>IF(AND('Data Source'!B209&lt;&gt;"",'Data Source'!S209="F"),IF('Data Source'!AD209&gt;=5,"A+",IF('Data Source'!AD209&gt;=4,"A",IF('Data Source'!AD209&gt;=3.5,"A-",IF('Data Source'!AD209&gt;=3,"B",IF('Data Source'!AD209&gt;=2,"C",IF('Data Source'!AD209&gt;=1,"D","F")))))),"")</f>
        <v/>
      </c>
      <c r="M209" s="3">
        <f>IF(AND('Data Source'!B209&lt;&gt;"",'Data Source'!S209="F"),IF('Data Source'!AE209&gt;=5,"A+",IF('Data Source'!AE209&gt;=4,"A",IF('Data Source'!AE209&gt;=3.5,"A-",IF('Data Source'!AE209&gt;=3,"B",IF('Data Source'!AE209&gt;=2,"C",IF('Data Source'!AE209&gt;=1,"D","F")))))),"")</f>
        <v/>
      </c>
      <c r="N209" s="3">
        <f>IF(AND('Data Source'!B209&lt;&gt;"",'Data Source'!S209="F"),IF('Data Source'!AF209&gt;=5,"A+",IF('Data Source'!AF209&gt;=4,"A",IF('Data Source'!AF209&gt;=3.5,"A-",IF('Data Source'!AF209&gt;=3,"B",IF('Data Source'!AF209&gt;=2,"C",IF('Data Source'!AF209&gt;=1,"D","F")))))),"")</f>
        <v/>
      </c>
      <c r="O209" s="3">
        <f>IF(AND('Data Source'!B209&lt;&gt;"",'Data Source'!S209="F"),IF('Data Source'!AG209&gt;=5,"A+",IF('Data Source'!AG209&gt;=4,"A",IF('Data Source'!AG209&gt;=3.5,"A-",IF('Data Source'!AG209&gt;=3,"B",IF('Data Source'!AG209&gt;=2,"C",IF('Data Source'!AG209&gt;=1,"D","F")))))),"")</f>
        <v/>
      </c>
      <c r="P209" s="5">
        <f>IF(AND('Data Source'!B209&lt;&gt;"",'Data Source'!S209="F"),'Data Source'!R209,"")</f>
        <v/>
      </c>
      <c r="Q209" s="3">
        <f>IF(AND('Data Source'!B209&lt;&gt;"",'Data Source'!S209="F"),'Data Source'!S209,"")</f>
        <v/>
      </c>
    </row>
    <row r="210">
      <c r="A210" s="3">
        <f>IF(AND('Data Source'!B210&lt;&gt;"",'Data Source'!S210="F"),COUNTIF('Data Source'!$S$3:S210,"F"),"")</f>
        <v/>
      </c>
      <c r="B210">
        <f>IF(AND('Data Source'!B210&lt;&gt;"",'Data Source'!S210="F"),'Data Source'!B210,"")</f>
        <v/>
      </c>
      <c r="C210" s="3">
        <f>IF(AND('Data Source'!B210&lt;&gt;"",'Data Source'!S210="F"),IF('Data Source'!U210&gt;=5,"A+",IF('Data Source'!U210&gt;=4,"A",IF('Data Source'!U210&gt;=3.5,"A-",IF('Data Source'!U210&gt;=3,"B",IF('Data Source'!U210&gt;=2,"C",IF('Data Source'!U210&gt;=1,"D","F")))))),"")</f>
        <v/>
      </c>
      <c r="D210" s="3">
        <f>IF(AND('Data Source'!B210&lt;&gt;"",'Data Source'!S210="F"),IF('Data Source'!V210&gt;=5,"A+",IF('Data Source'!V210&gt;=4,"A",IF('Data Source'!V210&gt;=3.5,"A-",IF('Data Source'!V210&gt;=3,"B",IF('Data Source'!V210&gt;=2,"C",IF('Data Source'!V210&gt;=1,"D","F")))))),"")</f>
        <v/>
      </c>
      <c r="E210" s="3">
        <f>IF(AND('Data Source'!B210&lt;&gt;"",'Data Source'!S210="F"),IF('Data Source'!W210&gt;=5,"A+",IF('Data Source'!W210&gt;=4,"A",IF('Data Source'!W210&gt;=3.5,"A-",IF('Data Source'!W210&gt;=3,"B",IF('Data Source'!W210&gt;=2,"C",IF('Data Source'!W210&gt;=1,"D","F")))))),"")</f>
        <v/>
      </c>
      <c r="F210" s="3">
        <f>IF(AND('Data Source'!B210&lt;&gt;"",'Data Source'!S210="F"),IF('Data Source'!X210&gt;=5,"A+",IF('Data Source'!X210&gt;=4,"A",IF('Data Source'!X210&gt;=3.5,"A-",IF('Data Source'!X210&gt;=3,"B",IF('Data Source'!X210&gt;=2,"C",IF('Data Source'!X210&gt;=1,"D","F")))))),"")</f>
        <v/>
      </c>
      <c r="G210" s="3">
        <f>IF(AND('Data Source'!B210&lt;&gt;"",'Data Source'!S210="F"),IF('Data Source'!Y210&gt;=5,"A+",IF('Data Source'!Y210&gt;=4,"A",IF('Data Source'!Y210&gt;=3.5,"A-",IF('Data Source'!Y210&gt;=3,"B",IF('Data Source'!Y210&gt;=2,"C",IF('Data Source'!Y210&gt;=1,"D","F")))))),"")</f>
        <v/>
      </c>
      <c r="H210" s="3">
        <f>IF(AND('Data Source'!B210&lt;&gt;"",'Data Source'!S210="F"),IF('Data Source'!Z210&gt;=5,"A+",IF('Data Source'!Z210&gt;=4,"A",IF('Data Source'!Z210&gt;=3.5,"A-",IF('Data Source'!Z210&gt;=3,"B",IF('Data Source'!Z210&gt;=2,"C",IF('Data Source'!Z210&gt;=1,"D","F")))))),"")</f>
        <v/>
      </c>
      <c r="I210" s="3">
        <f>IF(AND('Data Source'!B210&lt;&gt;"",'Data Source'!S210="F"),IF('Data Source'!AA210&gt;=5,"A+",IF('Data Source'!AA210&gt;=4,"A",IF('Data Source'!AA210&gt;=3.5,"A-",IF('Data Source'!AA210&gt;=3,"B",IF('Data Source'!AA210&gt;=2,"C",IF('Data Source'!AA210&gt;=1,"D","F")))))),"")</f>
        <v/>
      </c>
      <c r="J210" s="3">
        <f>IF(AND('Data Source'!B210&lt;&gt;"",'Data Source'!S210="F"),IF('Data Source'!AB210&gt;=5,"A+",IF('Data Source'!AB210&gt;=4,"A",IF('Data Source'!AB210&gt;=3.5,"A-",IF('Data Source'!AB210&gt;=3,"B",IF('Data Source'!AB210&gt;=2,"C",IF('Data Source'!AB210&gt;=1,"D","F")))))),"")</f>
        <v/>
      </c>
      <c r="K210" s="3">
        <f>IF(AND('Data Source'!B210&lt;&gt;"",'Data Source'!S210="F"),IF('Data Source'!AC210&gt;=5,"A+",IF('Data Source'!AC210&gt;=4,"A",IF('Data Source'!AC210&gt;=3.5,"A-",IF('Data Source'!AC210&gt;=3,"B",IF('Data Source'!AC210&gt;=2,"C",IF('Data Source'!AC210&gt;=1,"D","F")))))),"")</f>
        <v/>
      </c>
      <c r="L210" s="3">
        <f>IF(AND('Data Source'!B210&lt;&gt;"",'Data Source'!S210="F"),IF('Data Source'!AD210&gt;=5,"A+",IF('Data Source'!AD210&gt;=4,"A",IF('Data Source'!AD210&gt;=3.5,"A-",IF('Data Source'!AD210&gt;=3,"B",IF('Data Source'!AD210&gt;=2,"C",IF('Data Source'!AD210&gt;=1,"D","F")))))),"")</f>
        <v/>
      </c>
      <c r="M210" s="3">
        <f>IF(AND('Data Source'!B210&lt;&gt;"",'Data Source'!S210="F"),IF('Data Source'!AE210&gt;=5,"A+",IF('Data Source'!AE210&gt;=4,"A",IF('Data Source'!AE210&gt;=3.5,"A-",IF('Data Source'!AE210&gt;=3,"B",IF('Data Source'!AE210&gt;=2,"C",IF('Data Source'!AE210&gt;=1,"D","F")))))),"")</f>
        <v/>
      </c>
      <c r="N210" s="3">
        <f>IF(AND('Data Source'!B210&lt;&gt;"",'Data Source'!S210="F"),IF('Data Source'!AF210&gt;=5,"A+",IF('Data Source'!AF210&gt;=4,"A",IF('Data Source'!AF210&gt;=3.5,"A-",IF('Data Source'!AF210&gt;=3,"B",IF('Data Source'!AF210&gt;=2,"C",IF('Data Source'!AF210&gt;=1,"D","F")))))),"")</f>
        <v/>
      </c>
      <c r="O210" s="3">
        <f>IF(AND('Data Source'!B210&lt;&gt;"",'Data Source'!S210="F"),IF('Data Source'!AG210&gt;=5,"A+",IF('Data Source'!AG210&gt;=4,"A",IF('Data Source'!AG210&gt;=3.5,"A-",IF('Data Source'!AG210&gt;=3,"B",IF('Data Source'!AG210&gt;=2,"C",IF('Data Source'!AG210&gt;=1,"D","F")))))),"")</f>
        <v/>
      </c>
      <c r="P210" s="5">
        <f>IF(AND('Data Source'!B210&lt;&gt;"",'Data Source'!S210="F"),'Data Source'!R210,"")</f>
        <v/>
      </c>
      <c r="Q210" s="3">
        <f>IF(AND('Data Source'!B210&lt;&gt;"",'Data Source'!S210="F"),'Data Source'!S210,"")</f>
        <v/>
      </c>
    </row>
    <row r="211">
      <c r="A211" s="3">
        <f>IF(AND('Data Source'!B211&lt;&gt;"",'Data Source'!S211="F"),COUNTIF('Data Source'!$S$3:S211,"F"),"")</f>
        <v/>
      </c>
      <c r="B211">
        <f>IF(AND('Data Source'!B211&lt;&gt;"",'Data Source'!S211="F"),'Data Source'!B211,"")</f>
        <v/>
      </c>
      <c r="C211" s="3">
        <f>IF(AND('Data Source'!B211&lt;&gt;"",'Data Source'!S211="F"),IF('Data Source'!U211&gt;=5,"A+",IF('Data Source'!U211&gt;=4,"A",IF('Data Source'!U211&gt;=3.5,"A-",IF('Data Source'!U211&gt;=3,"B",IF('Data Source'!U211&gt;=2,"C",IF('Data Source'!U211&gt;=1,"D","F")))))),"")</f>
        <v/>
      </c>
      <c r="D211" s="3">
        <f>IF(AND('Data Source'!B211&lt;&gt;"",'Data Source'!S211="F"),IF('Data Source'!V211&gt;=5,"A+",IF('Data Source'!V211&gt;=4,"A",IF('Data Source'!V211&gt;=3.5,"A-",IF('Data Source'!V211&gt;=3,"B",IF('Data Source'!V211&gt;=2,"C",IF('Data Source'!V211&gt;=1,"D","F")))))),"")</f>
        <v/>
      </c>
      <c r="E211" s="3">
        <f>IF(AND('Data Source'!B211&lt;&gt;"",'Data Source'!S211="F"),IF('Data Source'!W211&gt;=5,"A+",IF('Data Source'!W211&gt;=4,"A",IF('Data Source'!W211&gt;=3.5,"A-",IF('Data Source'!W211&gt;=3,"B",IF('Data Source'!W211&gt;=2,"C",IF('Data Source'!W211&gt;=1,"D","F")))))),"")</f>
        <v/>
      </c>
      <c r="F211" s="3">
        <f>IF(AND('Data Source'!B211&lt;&gt;"",'Data Source'!S211="F"),IF('Data Source'!X211&gt;=5,"A+",IF('Data Source'!X211&gt;=4,"A",IF('Data Source'!X211&gt;=3.5,"A-",IF('Data Source'!X211&gt;=3,"B",IF('Data Source'!X211&gt;=2,"C",IF('Data Source'!X211&gt;=1,"D","F")))))),"")</f>
        <v/>
      </c>
      <c r="G211" s="3">
        <f>IF(AND('Data Source'!B211&lt;&gt;"",'Data Source'!S211="F"),IF('Data Source'!Y211&gt;=5,"A+",IF('Data Source'!Y211&gt;=4,"A",IF('Data Source'!Y211&gt;=3.5,"A-",IF('Data Source'!Y211&gt;=3,"B",IF('Data Source'!Y211&gt;=2,"C",IF('Data Source'!Y211&gt;=1,"D","F")))))),"")</f>
        <v/>
      </c>
      <c r="H211" s="3">
        <f>IF(AND('Data Source'!B211&lt;&gt;"",'Data Source'!S211="F"),IF('Data Source'!Z211&gt;=5,"A+",IF('Data Source'!Z211&gt;=4,"A",IF('Data Source'!Z211&gt;=3.5,"A-",IF('Data Source'!Z211&gt;=3,"B",IF('Data Source'!Z211&gt;=2,"C",IF('Data Source'!Z211&gt;=1,"D","F")))))),"")</f>
        <v/>
      </c>
      <c r="I211" s="3">
        <f>IF(AND('Data Source'!B211&lt;&gt;"",'Data Source'!S211="F"),IF('Data Source'!AA211&gt;=5,"A+",IF('Data Source'!AA211&gt;=4,"A",IF('Data Source'!AA211&gt;=3.5,"A-",IF('Data Source'!AA211&gt;=3,"B",IF('Data Source'!AA211&gt;=2,"C",IF('Data Source'!AA211&gt;=1,"D","F")))))),"")</f>
        <v/>
      </c>
      <c r="J211" s="3">
        <f>IF(AND('Data Source'!B211&lt;&gt;"",'Data Source'!S211="F"),IF('Data Source'!AB211&gt;=5,"A+",IF('Data Source'!AB211&gt;=4,"A",IF('Data Source'!AB211&gt;=3.5,"A-",IF('Data Source'!AB211&gt;=3,"B",IF('Data Source'!AB211&gt;=2,"C",IF('Data Source'!AB211&gt;=1,"D","F")))))),"")</f>
        <v/>
      </c>
      <c r="K211" s="3">
        <f>IF(AND('Data Source'!B211&lt;&gt;"",'Data Source'!S211="F"),IF('Data Source'!AC211&gt;=5,"A+",IF('Data Source'!AC211&gt;=4,"A",IF('Data Source'!AC211&gt;=3.5,"A-",IF('Data Source'!AC211&gt;=3,"B",IF('Data Source'!AC211&gt;=2,"C",IF('Data Source'!AC211&gt;=1,"D","F")))))),"")</f>
        <v/>
      </c>
      <c r="L211" s="3">
        <f>IF(AND('Data Source'!B211&lt;&gt;"",'Data Source'!S211="F"),IF('Data Source'!AD211&gt;=5,"A+",IF('Data Source'!AD211&gt;=4,"A",IF('Data Source'!AD211&gt;=3.5,"A-",IF('Data Source'!AD211&gt;=3,"B",IF('Data Source'!AD211&gt;=2,"C",IF('Data Source'!AD211&gt;=1,"D","F")))))),"")</f>
        <v/>
      </c>
      <c r="M211" s="3">
        <f>IF(AND('Data Source'!B211&lt;&gt;"",'Data Source'!S211="F"),IF('Data Source'!AE211&gt;=5,"A+",IF('Data Source'!AE211&gt;=4,"A",IF('Data Source'!AE211&gt;=3.5,"A-",IF('Data Source'!AE211&gt;=3,"B",IF('Data Source'!AE211&gt;=2,"C",IF('Data Source'!AE211&gt;=1,"D","F")))))),"")</f>
        <v/>
      </c>
      <c r="N211" s="3">
        <f>IF(AND('Data Source'!B211&lt;&gt;"",'Data Source'!S211="F"),IF('Data Source'!AF211&gt;=5,"A+",IF('Data Source'!AF211&gt;=4,"A",IF('Data Source'!AF211&gt;=3.5,"A-",IF('Data Source'!AF211&gt;=3,"B",IF('Data Source'!AF211&gt;=2,"C",IF('Data Source'!AF211&gt;=1,"D","F")))))),"")</f>
        <v/>
      </c>
      <c r="O211" s="3">
        <f>IF(AND('Data Source'!B211&lt;&gt;"",'Data Source'!S211="F"),IF('Data Source'!AG211&gt;=5,"A+",IF('Data Source'!AG211&gt;=4,"A",IF('Data Source'!AG211&gt;=3.5,"A-",IF('Data Source'!AG211&gt;=3,"B",IF('Data Source'!AG211&gt;=2,"C",IF('Data Source'!AG211&gt;=1,"D","F")))))),"")</f>
        <v/>
      </c>
      <c r="P211" s="5">
        <f>IF(AND('Data Source'!B211&lt;&gt;"",'Data Source'!S211="F"),'Data Source'!R211,"")</f>
        <v/>
      </c>
      <c r="Q211" s="3">
        <f>IF(AND('Data Source'!B211&lt;&gt;"",'Data Source'!S211="F"),'Data Source'!S211,"")</f>
        <v/>
      </c>
    </row>
    <row r="212">
      <c r="A212" s="3">
        <f>IF(AND('Data Source'!B212&lt;&gt;"",'Data Source'!S212="F"),COUNTIF('Data Source'!$S$3:S212,"F"),"")</f>
        <v/>
      </c>
      <c r="B212">
        <f>IF(AND('Data Source'!B212&lt;&gt;"",'Data Source'!S212="F"),'Data Source'!B212,"")</f>
        <v/>
      </c>
      <c r="C212" s="3">
        <f>IF(AND('Data Source'!B212&lt;&gt;"",'Data Source'!S212="F"),IF('Data Source'!U212&gt;=5,"A+",IF('Data Source'!U212&gt;=4,"A",IF('Data Source'!U212&gt;=3.5,"A-",IF('Data Source'!U212&gt;=3,"B",IF('Data Source'!U212&gt;=2,"C",IF('Data Source'!U212&gt;=1,"D","F")))))),"")</f>
        <v/>
      </c>
      <c r="D212" s="3">
        <f>IF(AND('Data Source'!B212&lt;&gt;"",'Data Source'!S212="F"),IF('Data Source'!V212&gt;=5,"A+",IF('Data Source'!V212&gt;=4,"A",IF('Data Source'!V212&gt;=3.5,"A-",IF('Data Source'!V212&gt;=3,"B",IF('Data Source'!V212&gt;=2,"C",IF('Data Source'!V212&gt;=1,"D","F")))))),"")</f>
        <v/>
      </c>
      <c r="E212" s="3">
        <f>IF(AND('Data Source'!B212&lt;&gt;"",'Data Source'!S212="F"),IF('Data Source'!W212&gt;=5,"A+",IF('Data Source'!W212&gt;=4,"A",IF('Data Source'!W212&gt;=3.5,"A-",IF('Data Source'!W212&gt;=3,"B",IF('Data Source'!W212&gt;=2,"C",IF('Data Source'!W212&gt;=1,"D","F")))))),"")</f>
        <v/>
      </c>
      <c r="F212" s="3">
        <f>IF(AND('Data Source'!B212&lt;&gt;"",'Data Source'!S212="F"),IF('Data Source'!X212&gt;=5,"A+",IF('Data Source'!X212&gt;=4,"A",IF('Data Source'!X212&gt;=3.5,"A-",IF('Data Source'!X212&gt;=3,"B",IF('Data Source'!X212&gt;=2,"C",IF('Data Source'!X212&gt;=1,"D","F")))))),"")</f>
        <v/>
      </c>
      <c r="G212" s="3">
        <f>IF(AND('Data Source'!B212&lt;&gt;"",'Data Source'!S212="F"),IF('Data Source'!Y212&gt;=5,"A+",IF('Data Source'!Y212&gt;=4,"A",IF('Data Source'!Y212&gt;=3.5,"A-",IF('Data Source'!Y212&gt;=3,"B",IF('Data Source'!Y212&gt;=2,"C",IF('Data Source'!Y212&gt;=1,"D","F")))))),"")</f>
        <v/>
      </c>
      <c r="H212" s="3">
        <f>IF(AND('Data Source'!B212&lt;&gt;"",'Data Source'!S212="F"),IF('Data Source'!Z212&gt;=5,"A+",IF('Data Source'!Z212&gt;=4,"A",IF('Data Source'!Z212&gt;=3.5,"A-",IF('Data Source'!Z212&gt;=3,"B",IF('Data Source'!Z212&gt;=2,"C",IF('Data Source'!Z212&gt;=1,"D","F")))))),"")</f>
        <v/>
      </c>
      <c r="I212" s="3">
        <f>IF(AND('Data Source'!B212&lt;&gt;"",'Data Source'!S212="F"),IF('Data Source'!AA212&gt;=5,"A+",IF('Data Source'!AA212&gt;=4,"A",IF('Data Source'!AA212&gt;=3.5,"A-",IF('Data Source'!AA212&gt;=3,"B",IF('Data Source'!AA212&gt;=2,"C",IF('Data Source'!AA212&gt;=1,"D","F")))))),"")</f>
        <v/>
      </c>
      <c r="J212" s="3">
        <f>IF(AND('Data Source'!B212&lt;&gt;"",'Data Source'!S212="F"),IF('Data Source'!AB212&gt;=5,"A+",IF('Data Source'!AB212&gt;=4,"A",IF('Data Source'!AB212&gt;=3.5,"A-",IF('Data Source'!AB212&gt;=3,"B",IF('Data Source'!AB212&gt;=2,"C",IF('Data Source'!AB212&gt;=1,"D","F")))))),"")</f>
        <v/>
      </c>
      <c r="K212" s="3">
        <f>IF(AND('Data Source'!B212&lt;&gt;"",'Data Source'!S212="F"),IF('Data Source'!AC212&gt;=5,"A+",IF('Data Source'!AC212&gt;=4,"A",IF('Data Source'!AC212&gt;=3.5,"A-",IF('Data Source'!AC212&gt;=3,"B",IF('Data Source'!AC212&gt;=2,"C",IF('Data Source'!AC212&gt;=1,"D","F")))))),"")</f>
        <v/>
      </c>
      <c r="L212" s="3">
        <f>IF(AND('Data Source'!B212&lt;&gt;"",'Data Source'!S212="F"),IF('Data Source'!AD212&gt;=5,"A+",IF('Data Source'!AD212&gt;=4,"A",IF('Data Source'!AD212&gt;=3.5,"A-",IF('Data Source'!AD212&gt;=3,"B",IF('Data Source'!AD212&gt;=2,"C",IF('Data Source'!AD212&gt;=1,"D","F")))))),"")</f>
        <v/>
      </c>
      <c r="M212" s="3">
        <f>IF(AND('Data Source'!B212&lt;&gt;"",'Data Source'!S212="F"),IF('Data Source'!AE212&gt;=5,"A+",IF('Data Source'!AE212&gt;=4,"A",IF('Data Source'!AE212&gt;=3.5,"A-",IF('Data Source'!AE212&gt;=3,"B",IF('Data Source'!AE212&gt;=2,"C",IF('Data Source'!AE212&gt;=1,"D","F")))))),"")</f>
        <v/>
      </c>
      <c r="N212" s="3">
        <f>IF(AND('Data Source'!B212&lt;&gt;"",'Data Source'!S212="F"),IF('Data Source'!AF212&gt;=5,"A+",IF('Data Source'!AF212&gt;=4,"A",IF('Data Source'!AF212&gt;=3.5,"A-",IF('Data Source'!AF212&gt;=3,"B",IF('Data Source'!AF212&gt;=2,"C",IF('Data Source'!AF212&gt;=1,"D","F")))))),"")</f>
        <v/>
      </c>
      <c r="O212" s="3">
        <f>IF(AND('Data Source'!B212&lt;&gt;"",'Data Source'!S212="F"),IF('Data Source'!AG212&gt;=5,"A+",IF('Data Source'!AG212&gt;=4,"A",IF('Data Source'!AG212&gt;=3.5,"A-",IF('Data Source'!AG212&gt;=3,"B",IF('Data Source'!AG212&gt;=2,"C",IF('Data Source'!AG212&gt;=1,"D","F")))))),"")</f>
        <v/>
      </c>
      <c r="P212" s="5">
        <f>IF(AND('Data Source'!B212&lt;&gt;"",'Data Source'!S212="F"),'Data Source'!R212,"")</f>
        <v/>
      </c>
      <c r="Q212" s="3">
        <f>IF(AND('Data Source'!B212&lt;&gt;"",'Data Source'!S212="F"),'Data Source'!S212,"")</f>
        <v/>
      </c>
    </row>
    <row r="213">
      <c r="A213" s="3">
        <f>IF(AND('Data Source'!B213&lt;&gt;"",'Data Source'!S213="F"),COUNTIF('Data Source'!$S$3:S213,"F"),"")</f>
        <v/>
      </c>
      <c r="B213">
        <f>IF(AND('Data Source'!B213&lt;&gt;"",'Data Source'!S213="F"),'Data Source'!B213,"")</f>
        <v/>
      </c>
      <c r="C213" s="3">
        <f>IF(AND('Data Source'!B213&lt;&gt;"",'Data Source'!S213="F"),IF('Data Source'!U213&gt;=5,"A+",IF('Data Source'!U213&gt;=4,"A",IF('Data Source'!U213&gt;=3.5,"A-",IF('Data Source'!U213&gt;=3,"B",IF('Data Source'!U213&gt;=2,"C",IF('Data Source'!U213&gt;=1,"D","F")))))),"")</f>
        <v/>
      </c>
      <c r="D213" s="3">
        <f>IF(AND('Data Source'!B213&lt;&gt;"",'Data Source'!S213="F"),IF('Data Source'!V213&gt;=5,"A+",IF('Data Source'!V213&gt;=4,"A",IF('Data Source'!V213&gt;=3.5,"A-",IF('Data Source'!V213&gt;=3,"B",IF('Data Source'!V213&gt;=2,"C",IF('Data Source'!V213&gt;=1,"D","F")))))),"")</f>
        <v/>
      </c>
      <c r="E213" s="3">
        <f>IF(AND('Data Source'!B213&lt;&gt;"",'Data Source'!S213="F"),IF('Data Source'!W213&gt;=5,"A+",IF('Data Source'!W213&gt;=4,"A",IF('Data Source'!W213&gt;=3.5,"A-",IF('Data Source'!W213&gt;=3,"B",IF('Data Source'!W213&gt;=2,"C",IF('Data Source'!W213&gt;=1,"D","F")))))),"")</f>
        <v/>
      </c>
      <c r="F213" s="3">
        <f>IF(AND('Data Source'!B213&lt;&gt;"",'Data Source'!S213="F"),IF('Data Source'!X213&gt;=5,"A+",IF('Data Source'!X213&gt;=4,"A",IF('Data Source'!X213&gt;=3.5,"A-",IF('Data Source'!X213&gt;=3,"B",IF('Data Source'!X213&gt;=2,"C",IF('Data Source'!X213&gt;=1,"D","F")))))),"")</f>
        <v/>
      </c>
      <c r="G213" s="3">
        <f>IF(AND('Data Source'!B213&lt;&gt;"",'Data Source'!S213="F"),IF('Data Source'!Y213&gt;=5,"A+",IF('Data Source'!Y213&gt;=4,"A",IF('Data Source'!Y213&gt;=3.5,"A-",IF('Data Source'!Y213&gt;=3,"B",IF('Data Source'!Y213&gt;=2,"C",IF('Data Source'!Y213&gt;=1,"D","F")))))),"")</f>
        <v/>
      </c>
      <c r="H213" s="3">
        <f>IF(AND('Data Source'!B213&lt;&gt;"",'Data Source'!S213="F"),IF('Data Source'!Z213&gt;=5,"A+",IF('Data Source'!Z213&gt;=4,"A",IF('Data Source'!Z213&gt;=3.5,"A-",IF('Data Source'!Z213&gt;=3,"B",IF('Data Source'!Z213&gt;=2,"C",IF('Data Source'!Z213&gt;=1,"D","F")))))),"")</f>
        <v/>
      </c>
      <c r="I213" s="3">
        <f>IF(AND('Data Source'!B213&lt;&gt;"",'Data Source'!S213="F"),IF('Data Source'!AA213&gt;=5,"A+",IF('Data Source'!AA213&gt;=4,"A",IF('Data Source'!AA213&gt;=3.5,"A-",IF('Data Source'!AA213&gt;=3,"B",IF('Data Source'!AA213&gt;=2,"C",IF('Data Source'!AA213&gt;=1,"D","F")))))),"")</f>
        <v/>
      </c>
      <c r="J213" s="3">
        <f>IF(AND('Data Source'!B213&lt;&gt;"",'Data Source'!S213="F"),IF('Data Source'!AB213&gt;=5,"A+",IF('Data Source'!AB213&gt;=4,"A",IF('Data Source'!AB213&gt;=3.5,"A-",IF('Data Source'!AB213&gt;=3,"B",IF('Data Source'!AB213&gt;=2,"C",IF('Data Source'!AB213&gt;=1,"D","F")))))),"")</f>
        <v/>
      </c>
      <c r="K213" s="3">
        <f>IF(AND('Data Source'!B213&lt;&gt;"",'Data Source'!S213="F"),IF('Data Source'!AC213&gt;=5,"A+",IF('Data Source'!AC213&gt;=4,"A",IF('Data Source'!AC213&gt;=3.5,"A-",IF('Data Source'!AC213&gt;=3,"B",IF('Data Source'!AC213&gt;=2,"C",IF('Data Source'!AC213&gt;=1,"D","F")))))),"")</f>
        <v/>
      </c>
      <c r="L213" s="3">
        <f>IF(AND('Data Source'!B213&lt;&gt;"",'Data Source'!S213="F"),IF('Data Source'!AD213&gt;=5,"A+",IF('Data Source'!AD213&gt;=4,"A",IF('Data Source'!AD213&gt;=3.5,"A-",IF('Data Source'!AD213&gt;=3,"B",IF('Data Source'!AD213&gt;=2,"C",IF('Data Source'!AD213&gt;=1,"D","F")))))),"")</f>
        <v/>
      </c>
      <c r="M213" s="3">
        <f>IF(AND('Data Source'!B213&lt;&gt;"",'Data Source'!S213="F"),IF('Data Source'!AE213&gt;=5,"A+",IF('Data Source'!AE213&gt;=4,"A",IF('Data Source'!AE213&gt;=3.5,"A-",IF('Data Source'!AE213&gt;=3,"B",IF('Data Source'!AE213&gt;=2,"C",IF('Data Source'!AE213&gt;=1,"D","F")))))),"")</f>
        <v/>
      </c>
      <c r="N213" s="3">
        <f>IF(AND('Data Source'!B213&lt;&gt;"",'Data Source'!S213="F"),IF('Data Source'!AF213&gt;=5,"A+",IF('Data Source'!AF213&gt;=4,"A",IF('Data Source'!AF213&gt;=3.5,"A-",IF('Data Source'!AF213&gt;=3,"B",IF('Data Source'!AF213&gt;=2,"C",IF('Data Source'!AF213&gt;=1,"D","F")))))),"")</f>
        <v/>
      </c>
      <c r="O213" s="3">
        <f>IF(AND('Data Source'!B213&lt;&gt;"",'Data Source'!S213="F"),IF('Data Source'!AG213&gt;=5,"A+",IF('Data Source'!AG213&gt;=4,"A",IF('Data Source'!AG213&gt;=3.5,"A-",IF('Data Source'!AG213&gt;=3,"B",IF('Data Source'!AG213&gt;=2,"C",IF('Data Source'!AG213&gt;=1,"D","F")))))),"")</f>
        <v/>
      </c>
      <c r="P213" s="5">
        <f>IF(AND('Data Source'!B213&lt;&gt;"",'Data Source'!S213="F"),'Data Source'!R213,"")</f>
        <v/>
      </c>
      <c r="Q213" s="3">
        <f>IF(AND('Data Source'!B213&lt;&gt;"",'Data Source'!S213="F"),'Data Source'!S213,"")</f>
        <v/>
      </c>
    </row>
    <row r="214">
      <c r="A214" s="3">
        <f>IF(AND('Data Source'!B214&lt;&gt;"",'Data Source'!S214="F"),COUNTIF('Data Source'!$S$3:S214,"F"),"")</f>
        <v/>
      </c>
      <c r="B214">
        <f>IF(AND('Data Source'!B214&lt;&gt;"",'Data Source'!S214="F"),'Data Source'!B214,"")</f>
        <v/>
      </c>
      <c r="C214" s="3">
        <f>IF(AND('Data Source'!B214&lt;&gt;"",'Data Source'!S214="F"),IF('Data Source'!U214&gt;=5,"A+",IF('Data Source'!U214&gt;=4,"A",IF('Data Source'!U214&gt;=3.5,"A-",IF('Data Source'!U214&gt;=3,"B",IF('Data Source'!U214&gt;=2,"C",IF('Data Source'!U214&gt;=1,"D","F")))))),"")</f>
        <v/>
      </c>
      <c r="D214" s="3">
        <f>IF(AND('Data Source'!B214&lt;&gt;"",'Data Source'!S214="F"),IF('Data Source'!V214&gt;=5,"A+",IF('Data Source'!V214&gt;=4,"A",IF('Data Source'!V214&gt;=3.5,"A-",IF('Data Source'!V214&gt;=3,"B",IF('Data Source'!V214&gt;=2,"C",IF('Data Source'!V214&gt;=1,"D","F")))))),"")</f>
        <v/>
      </c>
      <c r="E214" s="3">
        <f>IF(AND('Data Source'!B214&lt;&gt;"",'Data Source'!S214="F"),IF('Data Source'!W214&gt;=5,"A+",IF('Data Source'!W214&gt;=4,"A",IF('Data Source'!W214&gt;=3.5,"A-",IF('Data Source'!W214&gt;=3,"B",IF('Data Source'!W214&gt;=2,"C",IF('Data Source'!W214&gt;=1,"D","F")))))),"")</f>
        <v/>
      </c>
      <c r="F214" s="3">
        <f>IF(AND('Data Source'!B214&lt;&gt;"",'Data Source'!S214="F"),IF('Data Source'!X214&gt;=5,"A+",IF('Data Source'!X214&gt;=4,"A",IF('Data Source'!X214&gt;=3.5,"A-",IF('Data Source'!X214&gt;=3,"B",IF('Data Source'!X214&gt;=2,"C",IF('Data Source'!X214&gt;=1,"D","F")))))),"")</f>
        <v/>
      </c>
      <c r="G214" s="3">
        <f>IF(AND('Data Source'!B214&lt;&gt;"",'Data Source'!S214="F"),IF('Data Source'!Y214&gt;=5,"A+",IF('Data Source'!Y214&gt;=4,"A",IF('Data Source'!Y214&gt;=3.5,"A-",IF('Data Source'!Y214&gt;=3,"B",IF('Data Source'!Y214&gt;=2,"C",IF('Data Source'!Y214&gt;=1,"D","F")))))),"")</f>
        <v/>
      </c>
      <c r="H214" s="3">
        <f>IF(AND('Data Source'!B214&lt;&gt;"",'Data Source'!S214="F"),IF('Data Source'!Z214&gt;=5,"A+",IF('Data Source'!Z214&gt;=4,"A",IF('Data Source'!Z214&gt;=3.5,"A-",IF('Data Source'!Z214&gt;=3,"B",IF('Data Source'!Z214&gt;=2,"C",IF('Data Source'!Z214&gt;=1,"D","F")))))),"")</f>
        <v/>
      </c>
      <c r="I214" s="3">
        <f>IF(AND('Data Source'!B214&lt;&gt;"",'Data Source'!S214="F"),IF('Data Source'!AA214&gt;=5,"A+",IF('Data Source'!AA214&gt;=4,"A",IF('Data Source'!AA214&gt;=3.5,"A-",IF('Data Source'!AA214&gt;=3,"B",IF('Data Source'!AA214&gt;=2,"C",IF('Data Source'!AA214&gt;=1,"D","F")))))),"")</f>
        <v/>
      </c>
      <c r="J214" s="3">
        <f>IF(AND('Data Source'!B214&lt;&gt;"",'Data Source'!S214="F"),IF('Data Source'!AB214&gt;=5,"A+",IF('Data Source'!AB214&gt;=4,"A",IF('Data Source'!AB214&gt;=3.5,"A-",IF('Data Source'!AB214&gt;=3,"B",IF('Data Source'!AB214&gt;=2,"C",IF('Data Source'!AB214&gt;=1,"D","F")))))),"")</f>
        <v/>
      </c>
      <c r="K214" s="3">
        <f>IF(AND('Data Source'!B214&lt;&gt;"",'Data Source'!S214="F"),IF('Data Source'!AC214&gt;=5,"A+",IF('Data Source'!AC214&gt;=4,"A",IF('Data Source'!AC214&gt;=3.5,"A-",IF('Data Source'!AC214&gt;=3,"B",IF('Data Source'!AC214&gt;=2,"C",IF('Data Source'!AC214&gt;=1,"D","F")))))),"")</f>
        <v/>
      </c>
      <c r="L214" s="3">
        <f>IF(AND('Data Source'!B214&lt;&gt;"",'Data Source'!S214="F"),IF('Data Source'!AD214&gt;=5,"A+",IF('Data Source'!AD214&gt;=4,"A",IF('Data Source'!AD214&gt;=3.5,"A-",IF('Data Source'!AD214&gt;=3,"B",IF('Data Source'!AD214&gt;=2,"C",IF('Data Source'!AD214&gt;=1,"D","F")))))),"")</f>
        <v/>
      </c>
      <c r="M214" s="3">
        <f>IF(AND('Data Source'!B214&lt;&gt;"",'Data Source'!S214="F"),IF('Data Source'!AE214&gt;=5,"A+",IF('Data Source'!AE214&gt;=4,"A",IF('Data Source'!AE214&gt;=3.5,"A-",IF('Data Source'!AE214&gt;=3,"B",IF('Data Source'!AE214&gt;=2,"C",IF('Data Source'!AE214&gt;=1,"D","F")))))),"")</f>
        <v/>
      </c>
      <c r="N214" s="3">
        <f>IF(AND('Data Source'!B214&lt;&gt;"",'Data Source'!S214="F"),IF('Data Source'!AF214&gt;=5,"A+",IF('Data Source'!AF214&gt;=4,"A",IF('Data Source'!AF214&gt;=3.5,"A-",IF('Data Source'!AF214&gt;=3,"B",IF('Data Source'!AF214&gt;=2,"C",IF('Data Source'!AF214&gt;=1,"D","F")))))),"")</f>
        <v/>
      </c>
      <c r="O214" s="3">
        <f>IF(AND('Data Source'!B214&lt;&gt;"",'Data Source'!S214="F"),IF('Data Source'!AG214&gt;=5,"A+",IF('Data Source'!AG214&gt;=4,"A",IF('Data Source'!AG214&gt;=3.5,"A-",IF('Data Source'!AG214&gt;=3,"B",IF('Data Source'!AG214&gt;=2,"C",IF('Data Source'!AG214&gt;=1,"D","F")))))),"")</f>
        <v/>
      </c>
      <c r="P214" s="5">
        <f>IF(AND('Data Source'!B214&lt;&gt;"",'Data Source'!S214="F"),'Data Source'!R214,"")</f>
        <v/>
      </c>
      <c r="Q214" s="3">
        <f>IF(AND('Data Source'!B214&lt;&gt;"",'Data Source'!S214="F"),'Data Source'!S214,"")</f>
        <v/>
      </c>
    </row>
    <row r="215">
      <c r="A215" s="3">
        <f>IF(AND('Data Source'!B215&lt;&gt;"",'Data Source'!S215="F"),COUNTIF('Data Source'!$S$3:S215,"F"),"")</f>
        <v/>
      </c>
      <c r="B215">
        <f>IF(AND('Data Source'!B215&lt;&gt;"",'Data Source'!S215="F"),'Data Source'!B215,"")</f>
        <v/>
      </c>
      <c r="C215" s="3">
        <f>IF(AND('Data Source'!B215&lt;&gt;"",'Data Source'!S215="F"),IF('Data Source'!U215&gt;=5,"A+",IF('Data Source'!U215&gt;=4,"A",IF('Data Source'!U215&gt;=3.5,"A-",IF('Data Source'!U215&gt;=3,"B",IF('Data Source'!U215&gt;=2,"C",IF('Data Source'!U215&gt;=1,"D","F")))))),"")</f>
        <v/>
      </c>
      <c r="D215" s="3">
        <f>IF(AND('Data Source'!B215&lt;&gt;"",'Data Source'!S215="F"),IF('Data Source'!V215&gt;=5,"A+",IF('Data Source'!V215&gt;=4,"A",IF('Data Source'!V215&gt;=3.5,"A-",IF('Data Source'!V215&gt;=3,"B",IF('Data Source'!V215&gt;=2,"C",IF('Data Source'!V215&gt;=1,"D","F")))))),"")</f>
        <v/>
      </c>
      <c r="E215" s="3">
        <f>IF(AND('Data Source'!B215&lt;&gt;"",'Data Source'!S215="F"),IF('Data Source'!W215&gt;=5,"A+",IF('Data Source'!W215&gt;=4,"A",IF('Data Source'!W215&gt;=3.5,"A-",IF('Data Source'!W215&gt;=3,"B",IF('Data Source'!W215&gt;=2,"C",IF('Data Source'!W215&gt;=1,"D","F")))))),"")</f>
        <v/>
      </c>
      <c r="F215" s="3">
        <f>IF(AND('Data Source'!B215&lt;&gt;"",'Data Source'!S215="F"),IF('Data Source'!X215&gt;=5,"A+",IF('Data Source'!X215&gt;=4,"A",IF('Data Source'!X215&gt;=3.5,"A-",IF('Data Source'!X215&gt;=3,"B",IF('Data Source'!X215&gt;=2,"C",IF('Data Source'!X215&gt;=1,"D","F")))))),"")</f>
        <v/>
      </c>
      <c r="G215" s="3">
        <f>IF(AND('Data Source'!B215&lt;&gt;"",'Data Source'!S215="F"),IF('Data Source'!Y215&gt;=5,"A+",IF('Data Source'!Y215&gt;=4,"A",IF('Data Source'!Y215&gt;=3.5,"A-",IF('Data Source'!Y215&gt;=3,"B",IF('Data Source'!Y215&gt;=2,"C",IF('Data Source'!Y215&gt;=1,"D","F")))))),"")</f>
        <v/>
      </c>
      <c r="H215" s="3">
        <f>IF(AND('Data Source'!B215&lt;&gt;"",'Data Source'!S215="F"),IF('Data Source'!Z215&gt;=5,"A+",IF('Data Source'!Z215&gt;=4,"A",IF('Data Source'!Z215&gt;=3.5,"A-",IF('Data Source'!Z215&gt;=3,"B",IF('Data Source'!Z215&gt;=2,"C",IF('Data Source'!Z215&gt;=1,"D","F")))))),"")</f>
        <v/>
      </c>
      <c r="I215" s="3">
        <f>IF(AND('Data Source'!B215&lt;&gt;"",'Data Source'!S215="F"),IF('Data Source'!AA215&gt;=5,"A+",IF('Data Source'!AA215&gt;=4,"A",IF('Data Source'!AA215&gt;=3.5,"A-",IF('Data Source'!AA215&gt;=3,"B",IF('Data Source'!AA215&gt;=2,"C",IF('Data Source'!AA215&gt;=1,"D","F")))))),"")</f>
        <v/>
      </c>
      <c r="J215" s="3">
        <f>IF(AND('Data Source'!B215&lt;&gt;"",'Data Source'!S215="F"),IF('Data Source'!AB215&gt;=5,"A+",IF('Data Source'!AB215&gt;=4,"A",IF('Data Source'!AB215&gt;=3.5,"A-",IF('Data Source'!AB215&gt;=3,"B",IF('Data Source'!AB215&gt;=2,"C",IF('Data Source'!AB215&gt;=1,"D","F")))))),"")</f>
        <v/>
      </c>
      <c r="K215" s="3">
        <f>IF(AND('Data Source'!B215&lt;&gt;"",'Data Source'!S215="F"),IF('Data Source'!AC215&gt;=5,"A+",IF('Data Source'!AC215&gt;=4,"A",IF('Data Source'!AC215&gt;=3.5,"A-",IF('Data Source'!AC215&gt;=3,"B",IF('Data Source'!AC215&gt;=2,"C",IF('Data Source'!AC215&gt;=1,"D","F")))))),"")</f>
        <v/>
      </c>
      <c r="L215" s="3">
        <f>IF(AND('Data Source'!B215&lt;&gt;"",'Data Source'!S215="F"),IF('Data Source'!AD215&gt;=5,"A+",IF('Data Source'!AD215&gt;=4,"A",IF('Data Source'!AD215&gt;=3.5,"A-",IF('Data Source'!AD215&gt;=3,"B",IF('Data Source'!AD215&gt;=2,"C",IF('Data Source'!AD215&gt;=1,"D","F")))))),"")</f>
        <v/>
      </c>
      <c r="M215" s="3">
        <f>IF(AND('Data Source'!B215&lt;&gt;"",'Data Source'!S215="F"),IF('Data Source'!AE215&gt;=5,"A+",IF('Data Source'!AE215&gt;=4,"A",IF('Data Source'!AE215&gt;=3.5,"A-",IF('Data Source'!AE215&gt;=3,"B",IF('Data Source'!AE215&gt;=2,"C",IF('Data Source'!AE215&gt;=1,"D","F")))))),"")</f>
        <v/>
      </c>
      <c r="N215" s="3">
        <f>IF(AND('Data Source'!B215&lt;&gt;"",'Data Source'!S215="F"),IF('Data Source'!AF215&gt;=5,"A+",IF('Data Source'!AF215&gt;=4,"A",IF('Data Source'!AF215&gt;=3.5,"A-",IF('Data Source'!AF215&gt;=3,"B",IF('Data Source'!AF215&gt;=2,"C",IF('Data Source'!AF215&gt;=1,"D","F")))))),"")</f>
        <v/>
      </c>
      <c r="O215" s="3">
        <f>IF(AND('Data Source'!B215&lt;&gt;"",'Data Source'!S215="F"),IF('Data Source'!AG215&gt;=5,"A+",IF('Data Source'!AG215&gt;=4,"A",IF('Data Source'!AG215&gt;=3.5,"A-",IF('Data Source'!AG215&gt;=3,"B",IF('Data Source'!AG215&gt;=2,"C",IF('Data Source'!AG215&gt;=1,"D","F")))))),"")</f>
        <v/>
      </c>
      <c r="P215" s="5">
        <f>IF(AND('Data Source'!B215&lt;&gt;"",'Data Source'!S215="F"),'Data Source'!R215,"")</f>
        <v/>
      </c>
      <c r="Q215" s="3">
        <f>IF(AND('Data Source'!B215&lt;&gt;"",'Data Source'!S215="F"),'Data Source'!S215,"")</f>
        <v/>
      </c>
    </row>
    <row r="216">
      <c r="A216" s="3">
        <f>IF(AND('Data Source'!B216&lt;&gt;"",'Data Source'!S216="F"),COUNTIF('Data Source'!$S$3:S216,"F"),"")</f>
        <v/>
      </c>
      <c r="B216">
        <f>IF(AND('Data Source'!B216&lt;&gt;"",'Data Source'!S216="F"),'Data Source'!B216,"")</f>
        <v/>
      </c>
      <c r="C216" s="3">
        <f>IF(AND('Data Source'!B216&lt;&gt;"",'Data Source'!S216="F"),IF('Data Source'!U216&gt;=5,"A+",IF('Data Source'!U216&gt;=4,"A",IF('Data Source'!U216&gt;=3.5,"A-",IF('Data Source'!U216&gt;=3,"B",IF('Data Source'!U216&gt;=2,"C",IF('Data Source'!U216&gt;=1,"D","F")))))),"")</f>
        <v/>
      </c>
      <c r="D216" s="3">
        <f>IF(AND('Data Source'!B216&lt;&gt;"",'Data Source'!S216="F"),IF('Data Source'!V216&gt;=5,"A+",IF('Data Source'!V216&gt;=4,"A",IF('Data Source'!V216&gt;=3.5,"A-",IF('Data Source'!V216&gt;=3,"B",IF('Data Source'!V216&gt;=2,"C",IF('Data Source'!V216&gt;=1,"D","F")))))),"")</f>
        <v/>
      </c>
      <c r="E216" s="3">
        <f>IF(AND('Data Source'!B216&lt;&gt;"",'Data Source'!S216="F"),IF('Data Source'!W216&gt;=5,"A+",IF('Data Source'!W216&gt;=4,"A",IF('Data Source'!W216&gt;=3.5,"A-",IF('Data Source'!W216&gt;=3,"B",IF('Data Source'!W216&gt;=2,"C",IF('Data Source'!W216&gt;=1,"D","F")))))),"")</f>
        <v/>
      </c>
      <c r="F216" s="3">
        <f>IF(AND('Data Source'!B216&lt;&gt;"",'Data Source'!S216="F"),IF('Data Source'!X216&gt;=5,"A+",IF('Data Source'!X216&gt;=4,"A",IF('Data Source'!X216&gt;=3.5,"A-",IF('Data Source'!X216&gt;=3,"B",IF('Data Source'!X216&gt;=2,"C",IF('Data Source'!X216&gt;=1,"D","F")))))),"")</f>
        <v/>
      </c>
      <c r="G216" s="3">
        <f>IF(AND('Data Source'!B216&lt;&gt;"",'Data Source'!S216="F"),IF('Data Source'!Y216&gt;=5,"A+",IF('Data Source'!Y216&gt;=4,"A",IF('Data Source'!Y216&gt;=3.5,"A-",IF('Data Source'!Y216&gt;=3,"B",IF('Data Source'!Y216&gt;=2,"C",IF('Data Source'!Y216&gt;=1,"D","F")))))),"")</f>
        <v/>
      </c>
      <c r="H216" s="3">
        <f>IF(AND('Data Source'!B216&lt;&gt;"",'Data Source'!S216="F"),IF('Data Source'!Z216&gt;=5,"A+",IF('Data Source'!Z216&gt;=4,"A",IF('Data Source'!Z216&gt;=3.5,"A-",IF('Data Source'!Z216&gt;=3,"B",IF('Data Source'!Z216&gt;=2,"C",IF('Data Source'!Z216&gt;=1,"D","F")))))),"")</f>
        <v/>
      </c>
      <c r="I216" s="3">
        <f>IF(AND('Data Source'!B216&lt;&gt;"",'Data Source'!S216="F"),IF('Data Source'!AA216&gt;=5,"A+",IF('Data Source'!AA216&gt;=4,"A",IF('Data Source'!AA216&gt;=3.5,"A-",IF('Data Source'!AA216&gt;=3,"B",IF('Data Source'!AA216&gt;=2,"C",IF('Data Source'!AA216&gt;=1,"D","F")))))),"")</f>
        <v/>
      </c>
      <c r="J216" s="3">
        <f>IF(AND('Data Source'!B216&lt;&gt;"",'Data Source'!S216="F"),IF('Data Source'!AB216&gt;=5,"A+",IF('Data Source'!AB216&gt;=4,"A",IF('Data Source'!AB216&gt;=3.5,"A-",IF('Data Source'!AB216&gt;=3,"B",IF('Data Source'!AB216&gt;=2,"C",IF('Data Source'!AB216&gt;=1,"D","F")))))),"")</f>
        <v/>
      </c>
      <c r="K216" s="3">
        <f>IF(AND('Data Source'!B216&lt;&gt;"",'Data Source'!S216="F"),IF('Data Source'!AC216&gt;=5,"A+",IF('Data Source'!AC216&gt;=4,"A",IF('Data Source'!AC216&gt;=3.5,"A-",IF('Data Source'!AC216&gt;=3,"B",IF('Data Source'!AC216&gt;=2,"C",IF('Data Source'!AC216&gt;=1,"D","F")))))),"")</f>
        <v/>
      </c>
      <c r="L216" s="3">
        <f>IF(AND('Data Source'!B216&lt;&gt;"",'Data Source'!S216="F"),IF('Data Source'!AD216&gt;=5,"A+",IF('Data Source'!AD216&gt;=4,"A",IF('Data Source'!AD216&gt;=3.5,"A-",IF('Data Source'!AD216&gt;=3,"B",IF('Data Source'!AD216&gt;=2,"C",IF('Data Source'!AD216&gt;=1,"D","F")))))),"")</f>
        <v/>
      </c>
      <c r="M216" s="3">
        <f>IF(AND('Data Source'!B216&lt;&gt;"",'Data Source'!S216="F"),IF('Data Source'!AE216&gt;=5,"A+",IF('Data Source'!AE216&gt;=4,"A",IF('Data Source'!AE216&gt;=3.5,"A-",IF('Data Source'!AE216&gt;=3,"B",IF('Data Source'!AE216&gt;=2,"C",IF('Data Source'!AE216&gt;=1,"D","F")))))),"")</f>
        <v/>
      </c>
      <c r="N216" s="3">
        <f>IF(AND('Data Source'!B216&lt;&gt;"",'Data Source'!S216="F"),IF('Data Source'!AF216&gt;=5,"A+",IF('Data Source'!AF216&gt;=4,"A",IF('Data Source'!AF216&gt;=3.5,"A-",IF('Data Source'!AF216&gt;=3,"B",IF('Data Source'!AF216&gt;=2,"C",IF('Data Source'!AF216&gt;=1,"D","F")))))),"")</f>
        <v/>
      </c>
      <c r="O216" s="3">
        <f>IF(AND('Data Source'!B216&lt;&gt;"",'Data Source'!S216="F"),IF('Data Source'!AG216&gt;=5,"A+",IF('Data Source'!AG216&gt;=4,"A",IF('Data Source'!AG216&gt;=3.5,"A-",IF('Data Source'!AG216&gt;=3,"B",IF('Data Source'!AG216&gt;=2,"C",IF('Data Source'!AG216&gt;=1,"D","F")))))),"")</f>
        <v/>
      </c>
      <c r="P216" s="5">
        <f>IF(AND('Data Source'!B216&lt;&gt;"",'Data Source'!S216="F"),'Data Source'!R216,"")</f>
        <v/>
      </c>
      <c r="Q216" s="3">
        <f>IF(AND('Data Source'!B216&lt;&gt;"",'Data Source'!S216="F"),'Data Source'!S216,"")</f>
        <v/>
      </c>
    </row>
    <row r="217">
      <c r="A217" s="3">
        <f>IF(AND('Data Source'!B217&lt;&gt;"",'Data Source'!S217="F"),COUNTIF('Data Source'!$S$3:S217,"F"),"")</f>
        <v/>
      </c>
      <c r="B217">
        <f>IF(AND('Data Source'!B217&lt;&gt;"",'Data Source'!S217="F"),'Data Source'!B217,"")</f>
        <v/>
      </c>
      <c r="C217" s="3">
        <f>IF(AND('Data Source'!B217&lt;&gt;"",'Data Source'!S217="F"),IF('Data Source'!U217&gt;=5,"A+",IF('Data Source'!U217&gt;=4,"A",IF('Data Source'!U217&gt;=3.5,"A-",IF('Data Source'!U217&gt;=3,"B",IF('Data Source'!U217&gt;=2,"C",IF('Data Source'!U217&gt;=1,"D","F")))))),"")</f>
        <v/>
      </c>
      <c r="D217" s="3">
        <f>IF(AND('Data Source'!B217&lt;&gt;"",'Data Source'!S217="F"),IF('Data Source'!V217&gt;=5,"A+",IF('Data Source'!V217&gt;=4,"A",IF('Data Source'!V217&gt;=3.5,"A-",IF('Data Source'!V217&gt;=3,"B",IF('Data Source'!V217&gt;=2,"C",IF('Data Source'!V217&gt;=1,"D","F")))))),"")</f>
        <v/>
      </c>
      <c r="E217" s="3">
        <f>IF(AND('Data Source'!B217&lt;&gt;"",'Data Source'!S217="F"),IF('Data Source'!W217&gt;=5,"A+",IF('Data Source'!W217&gt;=4,"A",IF('Data Source'!W217&gt;=3.5,"A-",IF('Data Source'!W217&gt;=3,"B",IF('Data Source'!W217&gt;=2,"C",IF('Data Source'!W217&gt;=1,"D","F")))))),"")</f>
        <v/>
      </c>
      <c r="F217" s="3">
        <f>IF(AND('Data Source'!B217&lt;&gt;"",'Data Source'!S217="F"),IF('Data Source'!X217&gt;=5,"A+",IF('Data Source'!X217&gt;=4,"A",IF('Data Source'!X217&gt;=3.5,"A-",IF('Data Source'!X217&gt;=3,"B",IF('Data Source'!X217&gt;=2,"C",IF('Data Source'!X217&gt;=1,"D","F")))))),"")</f>
        <v/>
      </c>
      <c r="G217" s="3">
        <f>IF(AND('Data Source'!B217&lt;&gt;"",'Data Source'!S217="F"),IF('Data Source'!Y217&gt;=5,"A+",IF('Data Source'!Y217&gt;=4,"A",IF('Data Source'!Y217&gt;=3.5,"A-",IF('Data Source'!Y217&gt;=3,"B",IF('Data Source'!Y217&gt;=2,"C",IF('Data Source'!Y217&gt;=1,"D","F")))))),"")</f>
        <v/>
      </c>
      <c r="H217" s="3">
        <f>IF(AND('Data Source'!B217&lt;&gt;"",'Data Source'!S217="F"),IF('Data Source'!Z217&gt;=5,"A+",IF('Data Source'!Z217&gt;=4,"A",IF('Data Source'!Z217&gt;=3.5,"A-",IF('Data Source'!Z217&gt;=3,"B",IF('Data Source'!Z217&gt;=2,"C",IF('Data Source'!Z217&gt;=1,"D","F")))))),"")</f>
        <v/>
      </c>
      <c r="I217" s="3">
        <f>IF(AND('Data Source'!B217&lt;&gt;"",'Data Source'!S217="F"),IF('Data Source'!AA217&gt;=5,"A+",IF('Data Source'!AA217&gt;=4,"A",IF('Data Source'!AA217&gt;=3.5,"A-",IF('Data Source'!AA217&gt;=3,"B",IF('Data Source'!AA217&gt;=2,"C",IF('Data Source'!AA217&gt;=1,"D","F")))))),"")</f>
        <v/>
      </c>
      <c r="J217" s="3">
        <f>IF(AND('Data Source'!B217&lt;&gt;"",'Data Source'!S217="F"),IF('Data Source'!AB217&gt;=5,"A+",IF('Data Source'!AB217&gt;=4,"A",IF('Data Source'!AB217&gt;=3.5,"A-",IF('Data Source'!AB217&gt;=3,"B",IF('Data Source'!AB217&gt;=2,"C",IF('Data Source'!AB217&gt;=1,"D","F")))))),"")</f>
        <v/>
      </c>
      <c r="K217" s="3">
        <f>IF(AND('Data Source'!B217&lt;&gt;"",'Data Source'!S217="F"),IF('Data Source'!AC217&gt;=5,"A+",IF('Data Source'!AC217&gt;=4,"A",IF('Data Source'!AC217&gt;=3.5,"A-",IF('Data Source'!AC217&gt;=3,"B",IF('Data Source'!AC217&gt;=2,"C",IF('Data Source'!AC217&gt;=1,"D","F")))))),"")</f>
        <v/>
      </c>
      <c r="L217" s="3">
        <f>IF(AND('Data Source'!B217&lt;&gt;"",'Data Source'!S217="F"),IF('Data Source'!AD217&gt;=5,"A+",IF('Data Source'!AD217&gt;=4,"A",IF('Data Source'!AD217&gt;=3.5,"A-",IF('Data Source'!AD217&gt;=3,"B",IF('Data Source'!AD217&gt;=2,"C",IF('Data Source'!AD217&gt;=1,"D","F")))))),"")</f>
        <v/>
      </c>
      <c r="M217" s="3">
        <f>IF(AND('Data Source'!B217&lt;&gt;"",'Data Source'!S217="F"),IF('Data Source'!AE217&gt;=5,"A+",IF('Data Source'!AE217&gt;=4,"A",IF('Data Source'!AE217&gt;=3.5,"A-",IF('Data Source'!AE217&gt;=3,"B",IF('Data Source'!AE217&gt;=2,"C",IF('Data Source'!AE217&gt;=1,"D","F")))))),"")</f>
        <v/>
      </c>
      <c r="N217" s="3">
        <f>IF(AND('Data Source'!B217&lt;&gt;"",'Data Source'!S217="F"),IF('Data Source'!AF217&gt;=5,"A+",IF('Data Source'!AF217&gt;=4,"A",IF('Data Source'!AF217&gt;=3.5,"A-",IF('Data Source'!AF217&gt;=3,"B",IF('Data Source'!AF217&gt;=2,"C",IF('Data Source'!AF217&gt;=1,"D","F")))))),"")</f>
        <v/>
      </c>
      <c r="O217" s="3">
        <f>IF(AND('Data Source'!B217&lt;&gt;"",'Data Source'!S217="F"),IF('Data Source'!AG217&gt;=5,"A+",IF('Data Source'!AG217&gt;=4,"A",IF('Data Source'!AG217&gt;=3.5,"A-",IF('Data Source'!AG217&gt;=3,"B",IF('Data Source'!AG217&gt;=2,"C",IF('Data Source'!AG217&gt;=1,"D","F")))))),"")</f>
        <v/>
      </c>
      <c r="P217" s="5">
        <f>IF(AND('Data Source'!B217&lt;&gt;"",'Data Source'!S217="F"),'Data Source'!R217,"")</f>
        <v/>
      </c>
      <c r="Q217" s="3">
        <f>IF(AND('Data Source'!B217&lt;&gt;"",'Data Source'!S217="F"),'Data Source'!S217,"")</f>
        <v/>
      </c>
    </row>
    <row r="218">
      <c r="A218" s="3">
        <f>IF(AND('Data Source'!B218&lt;&gt;"",'Data Source'!S218="F"),COUNTIF('Data Source'!$S$3:S218,"F"),"")</f>
        <v/>
      </c>
      <c r="B218">
        <f>IF(AND('Data Source'!B218&lt;&gt;"",'Data Source'!S218="F"),'Data Source'!B218,"")</f>
        <v/>
      </c>
      <c r="C218" s="3">
        <f>IF(AND('Data Source'!B218&lt;&gt;"",'Data Source'!S218="F"),IF('Data Source'!U218&gt;=5,"A+",IF('Data Source'!U218&gt;=4,"A",IF('Data Source'!U218&gt;=3.5,"A-",IF('Data Source'!U218&gt;=3,"B",IF('Data Source'!U218&gt;=2,"C",IF('Data Source'!U218&gt;=1,"D","F")))))),"")</f>
        <v/>
      </c>
      <c r="D218" s="3">
        <f>IF(AND('Data Source'!B218&lt;&gt;"",'Data Source'!S218="F"),IF('Data Source'!V218&gt;=5,"A+",IF('Data Source'!V218&gt;=4,"A",IF('Data Source'!V218&gt;=3.5,"A-",IF('Data Source'!V218&gt;=3,"B",IF('Data Source'!V218&gt;=2,"C",IF('Data Source'!V218&gt;=1,"D","F")))))),"")</f>
        <v/>
      </c>
      <c r="E218" s="3">
        <f>IF(AND('Data Source'!B218&lt;&gt;"",'Data Source'!S218="F"),IF('Data Source'!W218&gt;=5,"A+",IF('Data Source'!W218&gt;=4,"A",IF('Data Source'!W218&gt;=3.5,"A-",IF('Data Source'!W218&gt;=3,"B",IF('Data Source'!W218&gt;=2,"C",IF('Data Source'!W218&gt;=1,"D","F")))))),"")</f>
        <v/>
      </c>
      <c r="F218" s="3">
        <f>IF(AND('Data Source'!B218&lt;&gt;"",'Data Source'!S218="F"),IF('Data Source'!X218&gt;=5,"A+",IF('Data Source'!X218&gt;=4,"A",IF('Data Source'!X218&gt;=3.5,"A-",IF('Data Source'!X218&gt;=3,"B",IF('Data Source'!X218&gt;=2,"C",IF('Data Source'!X218&gt;=1,"D","F")))))),"")</f>
        <v/>
      </c>
      <c r="G218" s="3">
        <f>IF(AND('Data Source'!B218&lt;&gt;"",'Data Source'!S218="F"),IF('Data Source'!Y218&gt;=5,"A+",IF('Data Source'!Y218&gt;=4,"A",IF('Data Source'!Y218&gt;=3.5,"A-",IF('Data Source'!Y218&gt;=3,"B",IF('Data Source'!Y218&gt;=2,"C",IF('Data Source'!Y218&gt;=1,"D","F")))))),"")</f>
        <v/>
      </c>
      <c r="H218" s="3">
        <f>IF(AND('Data Source'!B218&lt;&gt;"",'Data Source'!S218="F"),IF('Data Source'!Z218&gt;=5,"A+",IF('Data Source'!Z218&gt;=4,"A",IF('Data Source'!Z218&gt;=3.5,"A-",IF('Data Source'!Z218&gt;=3,"B",IF('Data Source'!Z218&gt;=2,"C",IF('Data Source'!Z218&gt;=1,"D","F")))))),"")</f>
        <v/>
      </c>
      <c r="I218" s="3">
        <f>IF(AND('Data Source'!B218&lt;&gt;"",'Data Source'!S218="F"),IF('Data Source'!AA218&gt;=5,"A+",IF('Data Source'!AA218&gt;=4,"A",IF('Data Source'!AA218&gt;=3.5,"A-",IF('Data Source'!AA218&gt;=3,"B",IF('Data Source'!AA218&gt;=2,"C",IF('Data Source'!AA218&gt;=1,"D","F")))))),"")</f>
        <v/>
      </c>
      <c r="J218" s="3">
        <f>IF(AND('Data Source'!B218&lt;&gt;"",'Data Source'!S218="F"),IF('Data Source'!AB218&gt;=5,"A+",IF('Data Source'!AB218&gt;=4,"A",IF('Data Source'!AB218&gt;=3.5,"A-",IF('Data Source'!AB218&gt;=3,"B",IF('Data Source'!AB218&gt;=2,"C",IF('Data Source'!AB218&gt;=1,"D","F")))))),"")</f>
        <v/>
      </c>
      <c r="K218" s="3">
        <f>IF(AND('Data Source'!B218&lt;&gt;"",'Data Source'!S218="F"),IF('Data Source'!AC218&gt;=5,"A+",IF('Data Source'!AC218&gt;=4,"A",IF('Data Source'!AC218&gt;=3.5,"A-",IF('Data Source'!AC218&gt;=3,"B",IF('Data Source'!AC218&gt;=2,"C",IF('Data Source'!AC218&gt;=1,"D","F")))))),"")</f>
        <v/>
      </c>
      <c r="L218" s="3">
        <f>IF(AND('Data Source'!B218&lt;&gt;"",'Data Source'!S218="F"),IF('Data Source'!AD218&gt;=5,"A+",IF('Data Source'!AD218&gt;=4,"A",IF('Data Source'!AD218&gt;=3.5,"A-",IF('Data Source'!AD218&gt;=3,"B",IF('Data Source'!AD218&gt;=2,"C",IF('Data Source'!AD218&gt;=1,"D","F")))))),"")</f>
        <v/>
      </c>
      <c r="M218" s="3">
        <f>IF(AND('Data Source'!B218&lt;&gt;"",'Data Source'!S218="F"),IF('Data Source'!AE218&gt;=5,"A+",IF('Data Source'!AE218&gt;=4,"A",IF('Data Source'!AE218&gt;=3.5,"A-",IF('Data Source'!AE218&gt;=3,"B",IF('Data Source'!AE218&gt;=2,"C",IF('Data Source'!AE218&gt;=1,"D","F")))))),"")</f>
        <v/>
      </c>
      <c r="N218" s="3">
        <f>IF(AND('Data Source'!B218&lt;&gt;"",'Data Source'!S218="F"),IF('Data Source'!AF218&gt;=5,"A+",IF('Data Source'!AF218&gt;=4,"A",IF('Data Source'!AF218&gt;=3.5,"A-",IF('Data Source'!AF218&gt;=3,"B",IF('Data Source'!AF218&gt;=2,"C",IF('Data Source'!AF218&gt;=1,"D","F")))))),"")</f>
        <v/>
      </c>
      <c r="O218" s="3">
        <f>IF(AND('Data Source'!B218&lt;&gt;"",'Data Source'!S218="F"),IF('Data Source'!AG218&gt;=5,"A+",IF('Data Source'!AG218&gt;=4,"A",IF('Data Source'!AG218&gt;=3.5,"A-",IF('Data Source'!AG218&gt;=3,"B",IF('Data Source'!AG218&gt;=2,"C",IF('Data Source'!AG218&gt;=1,"D","F")))))),"")</f>
        <v/>
      </c>
      <c r="P218" s="5">
        <f>IF(AND('Data Source'!B218&lt;&gt;"",'Data Source'!S218="F"),'Data Source'!R218,"")</f>
        <v/>
      </c>
      <c r="Q218" s="3">
        <f>IF(AND('Data Source'!B218&lt;&gt;"",'Data Source'!S218="F"),'Data Source'!S218,"")</f>
        <v/>
      </c>
    </row>
    <row r="219">
      <c r="A219" s="3">
        <f>IF(AND('Data Source'!B219&lt;&gt;"",'Data Source'!S219="F"),COUNTIF('Data Source'!$S$3:S219,"F"),"")</f>
        <v/>
      </c>
      <c r="B219">
        <f>IF(AND('Data Source'!B219&lt;&gt;"",'Data Source'!S219="F"),'Data Source'!B219,"")</f>
        <v/>
      </c>
      <c r="C219" s="3">
        <f>IF(AND('Data Source'!B219&lt;&gt;"",'Data Source'!S219="F"),IF('Data Source'!U219&gt;=5,"A+",IF('Data Source'!U219&gt;=4,"A",IF('Data Source'!U219&gt;=3.5,"A-",IF('Data Source'!U219&gt;=3,"B",IF('Data Source'!U219&gt;=2,"C",IF('Data Source'!U219&gt;=1,"D","F")))))),"")</f>
        <v/>
      </c>
      <c r="D219" s="3">
        <f>IF(AND('Data Source'!B219&lt;&gt;"",'Data Source'!S219="F"),IF('Data Source'!V219&gt;=5,"A+",IF('Data Source'!V219&gt;=4,"A",IF('Data Source'!V219&gt;=3.5,"A-",IF('Data Source'!V219&gt;=3,"B",IF('Data Source'!V219&gt;=2,"C",IF('Data Source'!V219&gt;=1,"D","F")))))),"")</f>
        <v/>
      </c>
      <c r="E219" s="3">
        <f>IF(AND('Data Source'!B219&lt;&gt;"",'Data Source'!S219="F"),IF('Data Source'!W219&gt;=5,"A+",IF('Data Source'!W219&gt;=4,"A",IF('Data Source'!W219&gt;=3.5,"A-",IF('Data Source'!W219&gt;=3,"B",IF('Data Source'!W219&gt;=2,"C",IF('Data Source'!W219&gt;=1,"D","F")))))),"")</f>
        <v/>
      </c>
      <c r="F219" s="3">
        <f>IF(AND('Data Source'!B219&lt;&gt;"",'Data Source'!S219="F"),IF('Data Source'!X219&gt;=5,"A+",IF('Data Source'!X219&gt;=4,"A",IF('Data Source'!X219&gt;=3.5,"A-",IF('Data Source'!X219&gt;=3,"B",IF('Data Source'!X219&gt;=2,"C",IF('Data Source'!X219&gt;=1,"D","F")))))),"")</f>
        <v/>
      </c>
      <c r="G219" s="3">
        <f>IF(AND('Data Source'!B219&lt;&gt;"",'Data Source'!S219="F"),IF('Data Source'!Y219&gt;=5,"A+",IF('Data Source'!Y219&gt;=4,"A",IF('Data Source'!Y219&gt;=3.5,"A-",IF('Data Source'!Y219&gt;=3,"B",IF('Data Source'!Y219&gt;=2,"C",IF('Data Source'!Y219&gt;=1,"D","F")))))),"")</f>
        <v/>
      </c>
      <c r="H219" s="3">
        <f>IF(AND('Data Source'!B219&lt;&gt;"",'Data Source'!S219="F"),IF('Data Source'!Z219&gt;=5,"A+",IF('Data Source'!Z219&gt;=4,"A",IF('Data Source'!Z219&gt;=3.5,"A-",IF('Data Source'!Z219&gt;=3,"B",IF('Data Source'!Z219&gt;=2,"C",IF('Data Source'!Z219&gt;=1,"D","F")))))),"")</f>
        <v/>
      </c>
      <c r="I219" s="3">
        <f>IF(AND('Data Source'!B219&lt;&gt;"",'Data Source'!S219="F"),IF('Data Source'!AA219&gt;=5,"A+",IF('Data Source'!AA219&gt;=4,"A",IF('Data Source'!AA219&gt;=3.5,"A-",IF('Data Source'!AA219&gt;=3,"B",IF('Data Source'!AA219&gt;=2,"C",IF('Data Source'!AA219&gt;=1,"D","F")))))),"")</f>
        <v/>
      </c>
      <c r="J219" s="3">
        <f>IF(AND('Data Source'!B219&lt;&gt;"",'Data Source'!S219="F"),IF('Data Source'!AB219&gt;=5,"A+",IF('Data Source'!AB219&gt;=4,"A",IF('Data Source'!AB219&gt;=3.5,"A-",IF('Data Source'!AB219&gt;=3,"B",IF('Data Source'!AB219&gt;=2,"C",IF('Data Source'!AB219&gt;=1,"D","F")))))),"")</f>
        <v/>
      </c>
      <c r="K219" s="3">
        <f>IF(AND('Data Source'!B219&lt;&gt;"",'Data Source'!S219="F"),IF('Data Source'!AC219&gt;=5,"A+",IF('Data Source'!AC219&gt;=4,"A",IF('Data Source'!AC219&gt;=3.5,"A-",IF('Data Source'!AC219&gt;=3,"B",IF('Data Source'!AC219&gt;=2,"C",IF('Data Source'!AC219&gt;=1,"D","F")))))),"")</f>
        <v/>
      </c>
      <c r="L219" s="3">
        <f>IF(AND('Data Source'!B219&lt;&gt;"",'Data Source'!S219="F"),IF('Data Source'!AD219&gt;=5,"A+",IF('Data Source'!AD219&gt;=4,"A",IF('Data Source'!AD219&gt;=3.5,"A-",IF('Data Source'!AD219&gt;=3,"B",IF('Data Source'!AD219&gt;=2,"C",IF('Data Source'!AD219&gt;=1,"D","F")))))),"")</f>
        <v/>
      </c>
      <c r="M219" s="3">
        <f>IF(AND('Data Source'!B219&lt;&gt;"",'Data Source'!S219="F"),IF('Data Source'!AE219&gt;=5,"A+",IF('Data Source'!AE219&gt;=4,"A",IF('Data Source'!AE219&gt;=3.5,"A-",IF('Data Source'!AE219&gt;=3,"B",IF('Data Source'!AE219&gt;=2,"C",IF('Data Source'!AE219&gt;=1,"D","F")))))),"")</f>
        <v/>
      </c>
      <c r="N219" s="3">
        <f>IF(AND('Data Source'!B219&lt;&gt;"",'Data Source'!S219="F"),IF('Data Source'!AF219&gt;=5,"A+",IF('Data Source'!AF219&gt;=4,"A",IF('Data Source'!AF219&gt;=3.5,"A-",IF('Data Source'!AF219&gt;=3,"B",IF('Data Source'!AF219&gt;=2,"C",IF('Data Source'!AF219&gt;=1,"D","F")))))),"")</f>
        <v/>
      </c>
      <c r="O219" s="3">
        <f>IF(AND('Data Source'!B219&lt;&gt;"",'Data Source'!S219="F"),IF('Data Source'!AG219&gt;=5,"A+",IF('Data Source'!AG219&gt;=4,"A",IF('Data Source'!AG219&gt;=3.5,"A-",IF('Data Source'!AG219&gt;=3,"B",IF('Data Source'!AG219&gt;=2,"C",IF('Data Source'!AG219&gt;=1,"D","F")))))),"")</f>
        <v/>
      </c>
      <c r="P219" s="5">
        <f>IF(AND('Data Source'!B219&lt;&gt;"",'Data Source'!S219="F"),'Data Source'!R219,"")</f>
        <v/>
      </c>
      <c r="Q219" s="3">
        <f>IF(AND('Data Source'!B219&lt;&gt;"",'Data Source'!S219="F"),'Data Source'!S219,"")</f>
        <v/>
      </c>
    </row>
    <row r="220">
      <c r="A220" s="3">
        <f>IF(AND('Data Source'!B220&lt;&gt;"",'Data Source'!S220="F"),COUNTIF('Data Source'!$S$3:S220,"F"),"")</f>
        <v/>
      </c>
      <c r="B220">
        <f>IF(AND('Data Source'!B220&lt;&gt;"",'Data Source'!S220="F"),'Data Source'!B220,"")</f>
        <v/>
      </c>
      <c r="C220" s="3">
        <f>IF(AND('Data Source'!B220&lt;&gt;"",'Data Source'!S220="F"),IF('Data Source'!U220&gt;=5,"A+",IF('Data Source'!U220&gt;=4,"A",IF('Data Source'!U220&gt;=3.5,"A-",IF('Data Source'!U220&gt;=3,"B",IF('Data Source'!U220&gt;=2,"C",IF('Data Source'!U220&gt;=1,"D","F")))))),"")</f>
        <v/>
      </c>
      <c r="D220" s="3">
        <f>IF(AND('Data Source'!B220&lt;&gt;"",'Data Source'!S220="F"),IF('Data Source'!V220&gt;=5,"A+",IF('Data Source'!V220&gt;=4,"A",IF('Data Source'!V220&gt;=3.5,"A-",IF('Data Source'!V220&gt;=3,"B",IF('Data Source'!V220&gt;=2,"C",IF('Data Source'!V220&gt;=1,"D","F")))))),"")</f>
        <v/>
      </c>
      <c r="E220" s="3">
        <f>IF(AND('Data Source'!B220&lt;&gt;"",'Data Source'!S220="F"),IF('Data Source'!W220&gt;=5,"A+",IF('Data Source'!W220&gt;=4,"A",IF('Data Source'!W220&gt;=3.5,"A-",IF('Data Source'!W220&gt;=3,"B",IF('Data Source'!W220&gt;=2,"C",IF('Data Source'!W220&gt;=1,"D","F")))))),"")</f>
        <v/>
      </c>
      <c r="F220" s="3">
        <f>IF(AND('Data Source'!B220&lt;&gt;"",'Data Source'!S220="F"),IF('Data Source'!X220&gt;=5,"A+",IF('Data Source'!X220&gt;=4,"A",IF('Data Source'!X220&gt;=3.5,"A-",IF('Data Source'!X220&gt;=3,"B",IF('Data Source'!X220&gt;=2,"C",IF('Data Source'!X220&gt;=1,"D","F")))))),"")</f>
        <v/>
      </c>
      <c r="G220" s="3">
        <f>IF(AND('Data Source'!B220&lt;&gt;"",'Data Source'!S220="F"),IF('Data Source'!Y220&gt;=5,"A+",IF('Data Source'!Y220&gt;=4,"A",IF('Data Source'!Y220&gt;=3.5,"A-",IF('Data Source'!Y220&gt;=3,"B",IF('Data Source'!Y220&gt;=2,"C",IF('Data Source'!Y220&gt;=1,"D","F")))))),"")</f>
        <v/>
      </c>
      <c r="H220" s="3">
        <f>IF(AND('Data Source'!B220&lt;&gt;"",'Data Source'!S220="F"),IF('Data Source'!Z220&gt;=5,"A+",IF('Data Source'!Z220&gt;=4,"A",IF('Data Source'!Z220&gt;=3.5,"A-",IF('Data Source'!Z220&gt;=3,"B",IF('Data Source'!Z220&gt;=2,"C",IF('Data Source'!Z220&gt;=1,"D","F")))))),"")</f>
        <v/>
      </c>
      <c r="I220" s="3">
        <f>IF(AND('Data Source'!B220&lt;&gt;"",'Data Source'!S220="F"),IF('Data Source'!AA220&gt;=5,"A+",IF('Data Source'!AA220&gt;=4,"A",IF('Data Source'!AA220&gt;=3.5,"A-",IF('Data Source'!AA220&gt;=3,"B",IF('Data Source'!AA220&gt;=2,"C",IF('Data Source'!AA220&gt;=1,"D","F")))))),"")</f>
        <v/>
      </c>
      <c r="J220" s="3">
        <f>IF(AND('Data Source'!B220&lt;&gt;"",'Data Source'!S220="F"),IF('Data Source'!AB220&gt;=5,"A+",IF('Data Source'!AB220&gt;=4,"A",IF('Data Source'!AB220&gt;=3.5,"A-",IF('Data Source'!AB220&gt;=3,"B",IF('Data Source'!AB220&gt;=2,"C",IF('Data Source'!AB220&gt;=1,"D","F")))))),"")</f>
        <v/>
      </c>
      <c r="K220" s="3">
        <f>IF(AND('Data Source'!B220&lt;&gt;"",'Data Source'!S220="F"),IF('Data Source'!AC220&gt;=5,"A+",IF('Data Source'!AC220&gt;=4,"A",IF('Data Source'!AC220&gt;=3.5,"A-",IF('Data Source'!AC220&gt;=3,"B",IF('Data Source'!AC220&gt;=2,"C",IF('Data Source'!AC220&gt;=1,"D","F")))))),"")</f>
        <v/>
      </c>
      <c r="L220" s="3">
        <f>IF(AND('Data Source'!B220&lt;&gt;"",'Data Source'!S220="F"),IF('Data Source'!AD220&gt;=5,"A+",IF('Data Source'!AD220&gt;=4,"A",IF('Data Source'!AD220&gt;=3.5,"A-",IF('Data Source'!AD220&gt;=3,"B",IF('Data Source'!AD220&gt;=2,"C",IF('Data Source'!AD220&gt;=1,"D","F")))))),"")</f>
        <v/>
      </c>
      <c r="M220" s="3">
        <f>IF(AND('Data Source'!B220&lt;&gt;"",'Data Source'!S220="F"),IF('Data Source'!AE220&gt;=5,"A+",IF('Data Source'!AE220&gt;=4,"A",IF('Data Source'!AE220&gt;=3.5,"A-",IF('Data Source'!AE220&gt;=3,"B",IF('Data Source'!AE220&gt;=2,"C",IF('Data Source'!AE220&gt;=1,"D","F")))))),"")</f>
        <v/>
      </c>
      <c r="N220" s="3">
        <f>IF(AND('Data Source'!B220&lt;&gt;"",'Data Source'!S220="F"),IF('Data Source'!AF220&gt;=5,"A+",IF('Data Source'!AF220&gt;=4,"A",IF('Data Source'!AF220&gt;=3.5,"A-",IF('Data Source'!AF220&gt;=3,"B",IF('Data Source'!AF220&gt;=2,"C",IF('Data Source'!AF220&gt;=1,"D","F")))))),"")</f>
        <v/>
      </c>
      <c r="O220" s="3">
        <f>IF(AND('Data Source'!B220&lt;&gt;"",'Data Source'!S220="F"),IF('Data Source'!AG220&gt;=5,"A+",IF('Data Source'!AG220&gt;=4,"A",IF('Data Source'!AG220&gt;=3.5,"A-",IF('Data Source'!AG220&gt;=3,"B",IF('Data Source'!AG220&gt;=2,"C",IF('Data Source'!AG220&gt;=1,"D","F")))))),"")</f>
        <v/>
      </c>
      <c r="P220" s="5">
        <f>IF(AND('Data Source'!B220&lt;&gt;"",'Data Source'!S220="F"),'Data Source'!R220,"")</f>
        <v/>
      </c>
      <c r="Q220" s="3">
        <f>IF(AND('Data Source'!B220&lt;&gt;"",'Data Source'!S220="F"),'Data Source'!S220,"")</f>
        <v/>
      </c>
    </row>
    <row r="221">
      <c r="A221" s="3">
        <f>IF(AND('Data Source'!B221&lt;&gt;"",'Data Source'!S221="F"),COUNTIF('Data Source'!$S$3:S221,"F"),"")</f>
        <v/>
      </c>
      <c r="B221">
        <f>IF(AND('Data Source'!B221&lt;&gt;"",'Data Source'!S221="F"),'Data Source'!B221,"")</f>
        <v/>
      </c>
      <c r="C221" s="3">
        <f>IF(AND('Data Source'!B221&lt;&gt;"",'Data Source'!S221="F"),IF('Data Source'!U221&gt;=5,"A+",IF('Data Source'!U221&gt;=4,"A",IF('Data Source'!U221&gt;=3.5,"A-",IF('Data Source'!U221&gt;=3,"B",IF('Data Source'!U221&gt;=2,"C",IF('Data Source'!U221&gt;=1,"D","F")))))),"")</f>
        <v/>
      </c>
      <c r="D221" s="3">
        <f>IF(AND('Data Source'!B221&lt;&gt;"",'Data Source'!S221="F"),IF('Data Source'!V221&gt;=5,"A+",IF('Data Source'!V221&gt;=4,"A",IF('Data Source'!V221&gt;=3.5,"A-",IF('Data Source'!V221&gt;=3,"B",IF('Data Source'!V221&gt;=2,"C",IF('Data Source'!V221&gt;=1,"D","F")))))),"")</f>
        <v/>
      </c>
      <c r="E221" s="3">
        <f>IF(AND('Data Source'!B221&lt;&gt;"",'Data Source'!S221="F"),IF('Data Source'!W221&gt;=5,"A+",IF('Data Source'!W221&gt;=4,"A",IF('Data Source'!W221&gt;=3.5,"A-",IF('Data Source'!W221&gt;=3,"B",IF('Data Source'!W221&gt;=2,"C",IF('Data Source'!W221&gt;=1,"D","F")))))),"")</f>
        <v/>
      </c>
      <c r="F221" s="3">
        <f>IF(AND('Data Source'!B221&lt;&gt;"",'Data Source'!S221="F"),IF('Data Source'!X221&gt;=5,"A+",IF('Data Source'!X221&gt;=4,"A",IF('Data Source'!X221&gt;=3.5,"A-",IF('Data Source'!X221&gt;=3,"B",IF('Data Source'!X221&gt;=2,"C",IF('Data Source'!X221&gt;=1,"D","F")))))),"")</f>
        <v/>
      </c>
      <c r="G221" s="3">
        <f>IF(AND('Data Source'!B221&lt;&gt;"",'Data Source'!S221="F"),IF('Data Source'!Y221&gt;=5,"A+",IF('Data Source'!Y221&gt;=4,"A",IF('Data Source'!Y221&gt;=3.5,"A-",IF('Data Source'!Y221&gt;=3,"B",IF('Data Source'!Y221&gt;=2,"C",IF('Data Source'!Y221&gt;=1,"D","F")))))),"")</f>
        <v/>
      </c>
      <c r="H221" s="3">
        <f>IF(AND('Data Source'!B221&lt;&gt;"",'Data Source'!S221="F"),IF('Data Source'!Z221&gt;=5,"A+",IF('Data Source'!Z221&gt;=4,"A",IF('Data Source'!Z221&gt;=3.5,"A-",IF('Data Source'!Z221&gt;=3,"B",IF('Data Source'!Z221&gt;=2,"C",IF('Data Source'!Z221&gt;=1,"D","F")))))),"")</f>
        <v/>
      </c>
      <c r="I221" s="3">
        <f>IF(AND('Data Source'!B221&lt;&gt;"",'Data Source'!S221="F"),IF('Data Source'!AA221&gt;=5,"A+",IF('Data Source'!AA221&gt;=4,"A",IF('Data Source'!AA221&gt;=3.5,"A-",IF('Data Source'!AA221&gt;=3,"B",IF('Data Source'!AA221&gt;=2,"C",IF('Data Source'!AA221&gt;=1,"D","F")))))),"")</f>
        <v/>
      </c>
      <c r="J221" s="3">
        <f>IF(AND('Data Source'!B221&lt;&gt;"",'Data Source'!S221="F"),IF('Data Source'!AB221&gt;=5,"A+",IF('Data Source'!AB221&gt;=4,"A",IF('Data Source'!AB221&gt;=3.5,"A-",IF('Data Source'!AB221&gt;=3,"B",IF('Data Source'!AB221&gt;=2,"C",IF('Data Source'!AB221&gt;=1,"D","F")))))),"")</f>
        <v/>
      </c>
      <c r="K221" s="3">
        <f>IF(AND('Data Source'!B221&lt;&gt;"",'Data Source'!S221="F"),IF('Data Source'!AC221&gt;=5,"A+",IF('Data Source'!AC221&gt;=4,"A",IF('Data Source'!AC221&gt;=3.5,"A-",IF('Data Source'!AC221&gt;=3,"B",IF('Data Source'!AC221&gt;=2,"C",IF('Data Source'!AC221&gt;=1,"D","F")))))),"")</f>
        <v/>
      </c>
      <c r="L221" s="3">
        <f>IF(AND('Data Source'!B221&lt;&gt;"",'Data Source'!S221="F"),IF('Data Source'!AD221&gt;=5,"A+",IF('Data Source'!AD221&gt;=4,"A",IF('Data Source'!AD221&gt;=3.5,"A-",IF('Data Source'!AD221&gt;=3,"B",IF('Data Source'!AD221&gt;=2,"C",IF('Data Source'!AD221&gt;=1,"D","F")))))),"")</f>
        <v/>
      </c>
      <c r="M221" s="3">
        <f>IF(AND('Data Source'!B221&lt;&gt;"",'Data Source'!S221="F"),IF('Data Source'!AE221&gt;=5,"A+",IF('Data Source'!AE221&gt;=4,"A",IF('Data Source'!AE221&gt;=3.5,"A-",IF('Data Source'!AE221&gt;=3,"B",IF('Data Source'!AE221&gt;=2,"C",IF('Data Source'!AE221&gt;=1,"D","F")))))),"")</f>
        <v/>
      </c>
      <c r="N221" s="3">
        <f>IF(AND('Data Source'!B221&lt;&gt;"",'Data Source'!S221="F"),IF('Data Source'!AF221&gt;=5,"A+",IF('Data Source'!AF221&gt;=4,"A",IF('Data Source'!AF221&gt;=3.5,"A-",IF('Data Source'!AF221&gt;=3,"B",IF('Data Source'!AF221&gt;=2,"C",IF('Data Source'!AF221&gt;=1,"D","F")))))),"")</f>
        <v/>
      </c>
      <c r="O221" s="3">
        <f>IF(AND('Data Source'!B221&lt;&gt;"",'Data Source'!S221="F"),IF('Data Source'!AG221&gt;=5,"A+",IF('Data Source'!AG221&gt;=4,"A",IF('Data Source'!AG221&gt;=3.5,"A-",IF('Data Source'!AG221&gt;=3,"B",IF('Data Source'!AG221&gt;=2,"C",IF('Data Source'!AG221&gt;=1,"D","F")))))),"")</f>
        <v/>
      </c>
      <c r="P221" s="5">
        <f>IF(AND('Data Source'!B221&lt;&gt;"",'Data Source'!S221="F"),'Data Source'!R221,"")</f>
        <v/>
      </c>
      <c r="Q221" s="3">
        <f>IF(AND('Data Source'!B221&lt;&gt;"",'Data Source'!S221="F"),'Data Source'!S221,"")</f>
        <v/>
      </c>
    </row>
    <row r="222">
      <c r="A222" s="3">
        <f>IF(AND('Data Source'!B222&lt;&gt;"",'Data Source'!S222="F"),COUNTIF('Data Source'!$S$3:S222,"F"),"")</f>
        <v/>
      </c>
      <c r="B222">
        <f>IF(AND('Data Source'!B222&lt;&gt;"",'Data Source'!S222="F"),'Data Source'!B222,"")</f>
        <v/>
      </c>
      <c r="C222" s="3">
        <f>IF(AND('Data Source'!B222&lt;&gt;"",'Data Source'!S222="F"),IF('Data Source'!U222&gt;=5,"A+",IF('Data Source'!U222&gt;=4,"A",IF('Data Source'!U222&gt;=3.5,"A-",IF('Data Source'!U222&gt;=3,"B",IF('Data Source'!U222&gt;=2,"C",IF('Data Source'!U222&gt;=1,"D","F")))))),"")</f>
        <v/>
      </c>
      <c r="D222" s="3">
        <f>IF(AND('Data Source'!B222&lt;&gt;"",'Data Source'!S222="F"),IF('Data Source'!V222&gt;=5,"A+",IF('Data Source'!V222&gt;=4,"A",IF('Data Source'!V222&gt;=3.5,"A-",IF('Data Source'!V222&gt;=3,"B",IF('Data Source'!V222&gt;=2,"C",IF('Data Source'!V222&gt;=1,"D","F")))))),"")</f>
        <v/>
      </c>
      <c r="E222" s="3">
        <f>IF(AND('Data Source'!B222&lt;&gt;"",'Data Source'!S222="F"),IF('Data Source'!W222&gt;=5,"A+",IF('Data Source'!W222&gt;=4,"A",IF('Data Source'!W222&gt;=3.5,"A-",IF('Data Source'!W222&gt;=3,"B",IF('Data Source'!W222&gt;=2,"C",IF('Data Source'!W222&gt;=1,"D","F")))))),"")</f>
        <v/>
      </c>
      <c r="F222" s="3">
        <f>IF(AND('Data Source'!B222&lt;&gt;"",'Data Source'!S222="F"),IF('Data Source'!X222&gt;=5,"A+",IF('Data Source'!X222&gt;=4,"A",IF('Data Source'!X222&gt;=3.5,"A-",IF('Data Source'!X222&gt;=3,"B",IF('Data Source'!X222&gt;=2,"C",IF('Data Source'!X222&gt;=1,"D","F")))))),"")</f>
        <v/>
      </c>
      <c r="G222" s="3">
        <f>IF(AND('Data Source'!B222&lt;&gt;"",'Data Source'!S222="F"),IF('Data Source'!Y222&gt;=5,"A+",IF('Data Source'!Y222&gt;=4,"A",IF('Data Source'!Y222&gt;=3.5,"A-",IF('Data Source'!Y222&gt;=3,"B",IF('Data Source'!Y222&gt;=2,"C",IF('Data Source'!Y222&gt;=1,"D","F")))))),"")</f>
        <v/>
      </c>
      <c r="H222" s="3">
        <f>IF(AND('Data Source'!B222&lt;&gt;"",'Data Source'!S222="F"),IF('Data Source'!Z222&gt;=5,"A+",IF('Data Source'!Z222&gt;=4,"A",IF('Data Source'!Z222&gt;=3.5,"A-",IF('Data Source'!Z222&gt;=3,"B",IF('Data Source'!Z222&gt;=2,"C",IF('Data Source'!Z222&gt;=1,"D","F")))))),"")</f>
        <v/>
      </c>
      <c r="I222" s="3">
        <f>IF(AND('Data Source'!B222&lt;&gt;"",'Data Source'!S222="F"),IF('Data Source'!AA222&gt;=5,"A+",IF('Data Source'!AA222&gt;=4,"A",IF('Data Source'!AA222&gt;=3.5,"A-",IF('Data Source'!AA222&gt;=3,"B",IF('Data Source'!AA222&gt;=2,"C",IF('Data Source'!AA222&gt;=1,"D","F")))))),"")</f>
        <v/>
      </c>
      <c r="J222" s="3">
        <f>IF(AND('Data Source'!B222&lt;&gt;"",'Data Source'!S222="F"),IF('Data Source'!AB222&gt;=5,"A+",IF('Data Source'!AB222&gt;=4,"A",IF('Data Source'!AB222&gt;=3.5,"A-",IF('Data Source'!AB222&gt;=3,"B",IF('Data Source'!AB222&gt;=2,"C",IF('Data Source'!AB222&gt;=1,"D","F")))))),"")</f>
        <v/>
      </c>
      <c r="K222" s="3">
        <f>IF(AND('Data Source'!B222&lt;&gt;"",'Data Source'!S222="F"),IF('Data Source'!AC222&gt;=5,"A+",IF('Data Source'!AC222&gt;=4,"A",IF('Data Source'!AC222&gt;=3.5,"A-",IF('Data Source'!AC222&gt;=3,"B",IF('Data Source'!AC222&gt;=2,"C",IF('Data Source'!AC222&gt;=1,"D","F")))))),"")</f>
        <v/>
      </c>
      <c r="L222" s="3">
        <f>IF(AND('Data Source'!B222&lt;&gt;"",'Data Source'!S222="F"),IF('Data Source'!AD222&gt;=5,"A+",IF('Data Source'!AD222&gt;=4,"A",IF('Data Source'!AD222&gt;=3.5,"A-",IF('Data Source'!AD222&gt;=3,"B",IF('Data Source'!AD222&gt;=2,"C",IF('Data Source'!AD222&gt;=1,"D","F")))))),"")</f>
        <v/>
      </c>
      <c r="M222" s="3">
        <f>IF(AND('Data Source'!B222&lt;&gt;"",'Data Source'!S222="F"),IF('Data Source'!AE222&gt;=5,"A+",IF('Data Source'!AE222&gt;=4,"A",IF('Data Source'!AE222&gt;=3.5,"A-",IF('Data Source'!AE222&gt;=3,"B",IF('Data Source'!AE222&gt;=2,"C",IF('Data Source'!AE222&gt;=1,"D","F")))))),"")</f>
        <v/>
      </c>
      <c r="N222" s="3">
        <f>IF(AND('Data Source'!B222&lt;&gt;"",'Data Source'!S222="F"),IF('Data Source'!AF222&gt;=5,"A+",IF('Data Source'!AF222&gt;=4,"A",IF('Data Source'!AF222&gt;=3.5,"A-",IF('Data Source'!AF222&gt;=3,"B",IF('Data Source'!AF222&gt;=2,"C",IF('Data Source'!AF222&gt;=1,"D","F")))))),"")</f>
        <v/>
      </c>
      <c r="O222" s="3">
        <f>IF(AND('Data Source'!B222&lt;&gt;"",'Data Source'!S222="F"),IF('Data Source'!AG222&gt;=5,"A+",IF('Data Source'!AG222&gt;=4,"A",IF('Data Source'!AG222&gt;=3.5,"A-",IF('Data Source'!AG222&gt;=3,"B",IF('Data Source'!AG222&gt;=2,"C",IF('Data Source'!AG222&gt;=1,"D","F")))))),"")</f>
        <v/>
      </c>
      <c r="P222" s="5">
        <f>IF(AND('Data Source'!B222&lt;&gt;"",'Data Source'!S222="F"),'Data Source'!R222,"")</f>
        <v/>
      </c>
      <c r="Q222" s="3">
        <f>IF(AND('Data Source'!B222&lt;&gt;"",'Data Source'!S222="F"),'Data Source'!S222,"")</f>
        <v/>
      </c>
    </row>
    <row r="223">
      <c r="A223" s="3">
        <f>IF(AND('Data Source'!B223&lt;&gt;"",'Data Source'!S223="F"),COUNTIF('Data Source'!$S$3:S223,"F"),"")</f>
        <v/>
      </c>
      <c r="B223">
        <f>IF(AND('Data Source'!B223&lt;&gt;"",'Data Source'!S223="F"),'Data Source'!B223,"")</f>
        <v/>
      </c>
      <c r="C223" s="3">
        <f>IF(AND('Data Source'!B223&lt;&gt;"",'Data Source'!S223="F"),IF('Data Source'!U223&gt;=5,"A+",IF('Data Source'!U223&gt;=4,"A",IF('Data Source'!U223&gt;=3.5,"A-",IF('Data Source'!U223&gt;=3,"B",IF('Data Source'!U223&gt;=2,"C",IF('Data Source'!U223&gt;=1,"D","F")))))),"")</f>
        <v/>
      </c>
      <c r="D223" s="3">
        <f>IF(AND('Data Source'!B223&lt;&gt;"",'Data Source'!S223="F"),IF('Data Source'!V223&gt;=5,"A+",IF('Data Source'!V223&gt;=4,"A",IF('Data Source'!V223&gt;=3.5,"A-",IF('Data Source'!V223&gt;=3,"B",IF('Data Source'!V223&gt;=2,"C",IF('Data Source'!V223&gt;=1,"D","F")))))),"")</f>
        <v/>
      </c>
      <c r="E223" s="3">
        <f>IF(AND('Data Source'!B223&lt;&gt;"",'Data Source'!S223="F"),IF('Data Source'!W223&gt;=5,"A+",IF('Data Source'!W223&gt;=4,"A",IF('Data Source'!W223&gt;=3.5,"A-",IF('Data Source'!W223&gt;=3,"B",IF('Data Source'!W223&gt;=2,"C",IF('Data Source'!W223&gt;=1,"D","F")))))),"")</f>
        <v/>
      </c>
      <c r="F223" s="3">
        <f>IF(AND('Data Source'!B223&lt;&gt;"",'Data Source'!S223="F"),IF('Data Source'!X223&gt;=5,"A+",IF('Data Source'!X223&gt;=4,"A",IF('Data Source'!X223&gt;=3.5,"A-",IF('Data Source'!X223&gt;=3,"B",IF('Data Source'!X223&gt;=2,"C",IF('Data Source'!X223&gt;=1,"D","F")))))),"")</f>
        <v/>
      </c>
      <c r="G223" s="3">
        <f>IF(AND('Data Source'!B223&lt;&gt;"",'Data Source'!S223="F"),IF('Data Source'!Y223&gt;=5,"A+",IF('Data Source'!Y223&gt;=4,"A",IF('Data Source'!Y223&gt;=3.5,"A-",IF('Data Source'!Y223&gt;=3,"B",IF('Data Source'!Y223&gt;=2,"C",IF('Data Source'!Y223&gt;=1,"D","F")))))),"")</f>
        <v/>
      </c>
      <c r="H223" s="3">
        <f>IF(AND('Data Source'!B223&lt;&gt;"",'Data Source'!S223="F"),IF('Data Source'!Z223&gt;=5,"A+",IF('Data Source'!Z223&gt;=4,"A",IF('Data Source'!Z223&gt;=3.5,"A-",IF('Data Source'!Z223&gt;=3,"B",IF('Data Source'!Z223&gt;=2,"C",IF('Data Source'!Z223&gt;=1,"D","F")))))),"")</f>
        <v/>
      </c>
      <c r="I223" s="3">
        <f>IF(AND('Data Source'!B223&lt;&gt;"",'Data Source'!S223="F"),IF('Data Source'!AA223&gt;=5,"A+",IF('Data Source'!AA223&gt;=4,"A",IF('Data Source'!AA223&gt;=3.5,"A-",IF('Data Source'!AA223&gt;=3,"B",IF('Data Source'!AA223&gt;=2,"C",IF('Data Source'!AA223&gt;=1,"D","F")))))),"")</f>
        <v/>
      </c>
      <c r="J223" s="3">
        <f>IF(AND('Data Source'!B223&lt;&gt;"",'Data Source'!S223="F"),IF('Data Source'!AB223&gt;=5,"A+",IF('Data Source'!AB223&gt;=4,"A",IF('Data Source'!AB223&gt;=3.5,"A-",IF('Data Source'!AB223&gt;=3,"B",IF('Data Source'!AB223&gt;=2,"C",IF('Data Source'!AB223&gt;=1,"D","F")))))),"")</f>
        <v/>
      </c>
      <c r="K223" s="3">
        <f>IF(AND('Data Source'!B223&lt;&gt;"",'Data Source'!S223="F"),IF('Data Source'!AC223&gt;=5,"A+",IF('Data Source'!AC223&gt;=4,"A",IF('Data Source'!AC223&gt;=3.5,"A-",IF('Data Source'!AC223&gt;=3,"B",IF('Data Source'!AC223&gt;=2,"C",IF('Data Source'!AC223&gt;=1,"D","F")))))),"")</f>
        <v/>
      </c>
      <c r="L223" s="3">
        <f>IF(AND('Data Source'!B223&lt;&gt;"",'Data Source'!S223="F"),IF('Data Source'!AD223&gt;=5,"A+",IF('Data Source'!AD223&gt;=4,"A",IF('Data Source'!AD223&gt;=3.5,"A-",IF('Data Source'!AD223&gt;=3,"B",IF('Data Source'!AD223&gt;=2,"C",IF('Data Source'!AD223&gt;=1,"D","F")))))),"")</f>
        <v/>
      </c>
      <c r="M223" s="3">
        <f>IF(AND('Data Source'!B223&lt;&gt;"",'Data Source'!S223="F"),IF('Data Source'!AE223&gt;=5,"A+",IF('Data Source'!AE223&gt;=4,"A",IF('Data Source'!AE223&gt;=3.5,"A-",IF('Data Source'!AE223&gt;=3,"B",IF('Data Source'!AE223&gt;=2,"C",IF('Data Source'!AE223&gt;=1,"D","F")))))),"")</f>
        <v/>
      </c>
      <c r="N223" s="3">
        <f>IF(AND('Data Source'!B223&lt;&gt;"",'Data Source'!S223="F"),IF('Data Source'!AF223&gt;=5,"A+",IF('Data Source'!AF223&gt;=4,"A",IF('Data Source'!AF223&gt;=3.5,"A-",IF('Data Source'!AF223&gt;=3,"B",IF('Data Source'!AF223&gt;=2,"C",IF('Data Source'!AF223&gt;=1,"D","F")))))),"")</f>
        <v/>
      </c>
      <c r="O223" s="3">
        <f>IF(AND('Data Source'!B223&lt;&gt;"",'Data Source'!S223="F"),IF('Data Source'!AG223&gt;=5,"A+",IF('Data Source'!AG223&gt;=4,"A",IF('Data Source'!AG223&gt;=3.5,"A-",IF('Data Source'!AG223&gt;=3,"B",IF('Data Source'!AG223&gt;=2,"C",IF('Data Source'!AG223&gt;=1,"D","F")))))),"")</f>
        <v/>
      </c>
      <c r="P223" s="5">
        <f>IF(AND('Data Source'!B223&lt;&gt;"",'Data Source'!S223="F"),'Data Source'!R223,"")</f>
        <v/>
      </c>
      <c r="Q223" s="3">
        <f>IF(AND('Data Source'!B223&lt;&gt;"",'Data Source'!S223="F"),'Data Source'!S223,"")</f>
        <v/>
      </c>
    </row>
    <row r="224">
      <c r="A224" s="3">
        <f>IF(AND('Data Source'!B224&lt;&gt;"",'Data Source'!S224="F"),COUNTIF('Data Source'!$S$3:S224,"F"),"")</f>
        <v/>
      </c>
      <c r="B224">
        <f>IF(AND('Data Source'!B224&lt;&gt;"",'Data Source'!S224="F"),'Data Source'!B224,"")</f>
        <v/>
      </c>
      <c r="C224" s="3">
        <f>IF(AND('Data Source'!B224&lt;&gt;"",'Data Source'!S224="F"),IF('Data Source'!U224&gt;=5,"A+",IF('Data Source'!U224&gt;=4,"A",IF('Data Source'!U224&gt;=3.5,"A-",IF('Data Source'!U224&gt;=3,"B",IF('Data Source'!U224&gt;=2,"C",IF('Data Source'!U224&gt;=1,"D","F")))))),"")</f>
        <v/>
      </c>
      <c r="D224" s="3">
        <f>IF(AND('Data Source'!B224&lt;&gt;"",'Data Source'!S224="F"),IF('Data Source'!V224&gt;=5,"A+",IF('Data Source'!V224&gt;=4,"A",IF('Data Source'!V224&gt;=3.5,"A-",IF('Data Source'!V224&gt;=3,"B",IF('Data Source'!V224&gt;=2,"C",IF('Data Source'!V224&gt;=1,"D","F")))))),"")</f>
        <v/>
      </c>
      <c r="E224" s="3">
        <f>IF(AND('Data Source'!B224&lt;&gt;"",'Data Source'!S224="F"),IF('Data Source'!W224&gt;=5,"A+",IF('Data Source'!W224&gt;=4,"A",IF('Data Source'!W224&gt;=3.5,"A-",IF('Data Source'!W224&gt;=3,"B",IF('Data Source'!W224&gt;=2,"C",IF('Data Source'!W224&gt;=1,"D","F")))))),"")</f>
        <v/>
      </c>
      <c r="F224" s="3">
        <f>IF(AND('Data Source'!B224&lt;&gt;"",'Data Source'!S224="F"),IF('Data Source'!X224&gt;=5,"A+",IF('Data Source'!X224&gt;=4,"A",IF('Data Source'!X224&gt;=3.5,"A-",IF('Data Source'!X224&gt;=3,"B",IF('Data Source'!X224&gt;=2,"C",IF('Data Source'!X224&gt;=1,"D","F")))))),"")</f>
        <v/>
      </c>
      <c r="G224" s="3">
        <f>IF(AND('Data Source'!B224&lt;&gt;"",'Data Source'!S224="F"),IF('Data Source'!Y224&gt;=5,"A+",IF('Data Source'!Y224&gt;=4,"A",IF('Data Source'!Y224&gt;=3.5,"A-",IF('Data Source'!Y224&gt;=3,"B",IF('Data Source'!Y224&gt;=2,"C",IF('Data Source'!Y224&gt;=1,"D","F")))))),"")</f>
        <v/>
      </c>
      <c r="H224" s="3">
        <f>IF(AND('Data Source'!B224&lt;&gt;"",'Data Source'!S224="F"),IF('Data Source'!Z224&gt;=5,"A+",IF('Data Source'!Z224&gt;=4,"A",IF('Data Source'!Z224&gt;=3.5,"A-",IF('Data Source'!Z224&gt;=3,"B",IF('Data Source'!Z224&gt;=2,"C",IF('Data Source'!Z224&gt;=1,"D","F")))))),"")</f>
        <v/>
      </c>
      <c r="I224" s="3">
        <f>IF(AND('Data Source'!B224&lt;&gt;"",'Data Source'!S224="F"),IF('Data Source'!AA224&gt;=5,"A+",IF('Data Source'!AA224&gt;=4,"A",IF('Data Source'!AA224&gt;=3.5,"A-",IF('Data Source'!AA224&gt;=3,"B",IF('Data Source'!AA224&gt;=2,"C",IF('Data Source'!AA224&gt;=1,"D","F")))))),"")</f>
        <v/>
      </c>
      <c r="J224" s="3">
        <f>IF(AND('Data Source'!B224&lt;&gt;"",'Data Source'!S224="F"),IF('Data Source'!AB224&gt;=5,"A+",IF('Data Source'!AB224&gt;=4,"A",IF('Data Source'!AB224&gt;=3.5,"A-",IF('Data Source'!AB224&gt;=3,"B",IF('Data Source'!AB224&gt;=2,"C",IF('Data Source'!AB224&gt;=1,"D","F")))))),"")</f>
        <v/>
      </c>
      <c r="K224" s="3">
        <f>IF(AND('Data Source'!B224&lt;&gt;"",'Data Source'!S224="F"),IF('Data Source'!AC224&gt;=5,"A+",IF('Data Source'!AC224&gt;=4,"A",IF('Data Source'!AC224&gt;=3.5,"A-",IF('Data Source'!AC224&gt;=3,"B",IF('Data Source'!AC224&gt;=2,"C",IF('Data Source'!AC224&gt;=1,"D","F")))))),"")</f>
        <v/>
      </c>
      <c r="L224" s="3">
        <f>IF(AND('Data Source'!B224&lt;&gt;"",'Data Source'!S224="F"),IF('Data Source'!AD224&gt;=5,"A+",IF('Data Source'!AD224&gt;=4,"A",IF('Data Source'!AD224&gt;=3.5,"A-",IF('Data Source'!AD224&gt;=3,"B",IF('Data Source'!AD224&gt;=2,"C",IF('Data Source'!AD224&gt;=1,"D","F")))))),"")</f>
        <v/>
      </c>
      <c r="M224" s="3">
        <f>IF(AND('Data Source'!B224&lt;&gt;"",'Data Source'!S224="F"),IF('Data Source'!AE224&gt;=5,"A+",IF('Data Source'!AE224&gt;=4,"A",IF('Data Source'!AE224&gt;=3.5,"A-",IF('Data Source'!AE224&gt;=3,"B",IF('Data Source'!AE224&gt;=2,"C",IF('Data Source'!AE224&gt;=1,"D","F")))))),"")</f>
        <v/>
      </c>
      <c r="N224" s="3">
        <f>IF(AND('Data Source'!B224&lt;&gt;"",'Data Source'!S224="F"),IF('Data Source'!AF224&gt;=5,"A+",IF('Data Source'!AF224&gt;=4,"A",IF('Data Source'!AF224&gt;=3.5,"A-",IF('Data Source'!AF224&gt;=3,"B",IF('Data Source'!AF224&gt;=2,"C",IF('Data Source'!AF224&gt;=1,"D","F")))))),"")</f>
        <v/>
      </c>
      <c r="O224" s="3">
        <f>IF(AND('Data Source'!B224&lt;&gt;"",'Data Source'!S224="F"),IF('Data Source'!AG224&gt;=5,"A+",IF('Data Source'!AG224&gt;=4,"A",IF('Data Source'!AG224&gt;=3.5,"A-",IF('Data Source'!AG224&gt;=3,"B",IF('Data Source'!AG224&gt;=2,"C",IF('Data Source'!AG224&gt;=1,"D","F")))))),"")</f>
        <v/>
      </c>
      <c r="P224" s="5">
        <f>IF(AND('Data Source'!B224&lt;&gt;"",'Data Source'!S224="F"),'Data Source'!R224,"")</f>
        <v/>
      </c>
      <c r="Q224" s="3">
        <f>IF(AND('Data Source'!B224&lt;&gt;"",'Data Source'!S224="F"),'Data Source'!S224,"")</f>
        <v/>
      </c>
    </row>
    <row r="225">
      <c r="A225" s="3">
        <f>IF(AND('Data Source'!B225&lt;&gt;"",'Data Source'!S225="F"),COUNTIF('Data Source'!$S$3:S225,"F"),"")</f>
        <v/>
      </c>
      <c r="B225">
        <f>IF(AND('Data Source'!B225&lt;&gt;"",'Data Source'!S225="F"),'Data Source'!B225,"")</f>
        <v/>
      </c>
      <c r="C225" s="3">
        <f>IF(AND('Data Source'!B225&lt;&gt;"",'Data Source'!S225="F"),IF('Data Source'!U225&gt;=5,"A+",IF('Data Source'!U225&gt;=4,"A",IF('Data Source'!U225&gt;=3.5,"A-",IF('Data Source'!U225&gt;=3,"B",IF('Data Source'!U225&gt;=2,"C",IF('Data Source'!U225&gt;=1,"D","F")))))),"")</f>
        <v/>
      </c>
      <c r="D225" s="3">
        <f>IF(AND('Data Source'!B225&lt;&gt;"",'Data Source'!S225="F"),IF('Data Source'!V225&gt;=5,"A+",IF('Data Source'!V225&gt;=4,"A",IF('Data Source'!V225&gt;=3.5,"A-",IF('Data Source'!V225&gt;=3,"B",IF('Data Source'!V225&gt;=2,"C",IF('Data Source'!V225&gt;=1,"D","F")))))),"")</f>
        <v/>
      </c>
      <c r="E225" s="3">
        <f>IF(AND('Data Source'!B225&lt;&gt;"",'Data Source'!S225="F"),IF('Data Source'!W225&gt;=5,"A+",IF('Data Source'!W225&gt;=4,"A",IF('Data Source'!W225&gt;=3.5,"A-",IF('Data Source'!W225&gt;=3,"B",IF('Data Source'!W225&gt;=2,"C",IF('Data Source'!W225&gt;=1,"D","F")))))),"")</f>
        <v/>
      </c>
      <c r="F225" s="3">
        <f>IF(AND('Data Source'!B225&lt;&gt;"",'Data Source'!S225="F"),IF('Data Source'!X225&gt;=5,"A+",IF('Data Source'!X225&gt;=4,"A",IF('Data Source'!X225&gt;=3.5,"A-",IF('Data Source'!X225&gt;=3,"B",IF('Data Source'!X225&gt;=2,"C",IF('Data Source'!X225&gt;=1,"D","F")))))),"")</f>
        <v/>
      </c>
      <c r="G225" s="3">
        <f>IF(AND('Data Source'!B225&lt;&gt;"",'Data Source'!S225="F"),IF('Data Source'!Y225&gt;=5,"A+",IF('Data Source'!Y225&gt;=4,"A",IF('Data Source'!Y225&gt;=3.5,"A-",IF('Data Source'!Y225&gt;=3,"B",IF('Data Source'!Y225&gt;=2,"C",IF('Data Source'!Y225&gt;=1,"D","F")))))),"")</f>
        <v/>
      </c>
      <c r="H225" s="3">
        <f>IF(AND('Data Source'!B225&lt;&gt;"",'Data Source'!S225="F"),IF('Data Source'!Z225&gt;=5,"A+",IF('Data Source'!Z225&gt;=4,"A",IF('Data Source'!Z225&gt;=3.5,"A-",IF('Data Source'!Z225&gt;=3,"B",IF('Data Source'!Z225&gt;=2,"C",IF('Data Source'!Z225&gt;=1,"D","F")))))),"")</f>
        <v/>
      </c>
      <c r="I225" s="3">
        <f>IF(AND('Data Source'!B225&lt;&gt;"",'Data Source'!S225="F"),IF('Data Source'!AA225&gt;=5,"A+",IF('Data Source'!AA225&gt;=4,"A",IF('Data Source'!AA225&gt;=3.5,"A-",IF('Data Source'!AA225&gt;=3,"B",IF('Data Source'!AA225&gt;=2,"C",IF('Data Source'!AA225&gt;=1,"D","F")))))),"")</f>
        <v/>
      </c>
      <c r="J225" s="3">
        <f>IF(AND('Data Source'!B225&lt;&gt;"",'Data Source'!S225="F"),IF('Data Source'!AB225&gt;=5,"A+",IF('Data Source'!AB225&gt;=4,"A",IF('Data Source'!AB225&gt;=3.5,"A-",IF('Data Source'!AB225&gt;=3,"B",IF('Data Source'!AB225&gt;=2,"C",IF('Data Source'!AB225&gt;=1,"D","F")))))),"")</f>
        <v/>
      </c>
      <c r="K225" s="3">
        <f>IF(AND('Data Source'!B225&lt;&gt;"",'Data Source'!S225="F"),IF('Data Source'!AC225&gt;=5,"A+",IF('Data Source'!AC225&gt;=4,"A",IF('Data Source'!AC225&gt;=3.5,"A-",IF('Data Source'!AC225&gt;=3,"B",IF('Data Source'!AC225&gt;=2,"C",IF('Data Source'!AC225&gt;=1,"D","F")))))),"")</f>
        <v/>
      </c>
      <c r="L225" s="3">
        <f>IF(AND('Data Source'!B225&lt;&gt;"",'Data Source'!S225="F"),IF('Data Source'!AD225&gt;=5,"A+",IF('Data Source'!AD225&gt;=4,"A",IF('Data Source'!AD225&gt;=3.5,"A-",IF('Data Source'!AD225&gt;=3,"B",IF('Data Source'!AD225&gt;=2,"C",IF('Data Source'!AD225&gt;=1,"D","F")))))),"")</f>
        <v/>
      </c>
      <c r="M225" s="3">
        <f>IF(AND('Data Source'!B225&lt;&gt;"",'Data Source'!S225="F"),IF('Data Source'!AE225&gt;=5,"A+",IF('Data Source'!AE225&gt;=4,"A",IF('Data Source'!AE225&gt;=3.5,"A-",IF('Data Source'!AE225&gt;=3,"B",IF('Data Source'!AE225&gt;=2,"C",IF('Data Source'!AE225&gt;=1,"D","F")))))),"")</f>
        <v/>
      </c>
      <c r="N225" s="3">
        <f>IF(AND('Data Source'!B225&lt;&gt;"",'Data Source'!S225="F"),IF('Data Source'!AF225&gt;=5,"A+",IF('Data Source'!AF225&gt;=4,"A",IF('Data Source'!AF225&gt;=3.5,"A-",IF('Data Source'!AF225&gt;=3,"B",IF('Data Source'!AF225&gt;=2,"C",IF('Data Source'!AF225&gt;=1,"D","F")))))),"")</f>
        <v/>
      </c>
      <c r="O225" s="3">
        <f>IF(AND('Data Source'!B225&lt;&gt;"",'Data Source'!S225="F"),IF('Data Source'!AG225&gt;=5,"A+",IF('Data Source'!AG225&gt;=4,"A",IF('Data Source'!AG225&gt;=3.5,"A-",IF('Data Source'!AG225&gt;=3,"B",IF('Data Source'!AG225&gt;=2,"C",IF('Data Source'!AG225&gt;=1,"D","F")))))),"")</f>
        <v/>
      </c>
      <c r="P225" s="5">
        <f>IF(AND('Data Source'!B225&lt;&gt;"",'Data Source'!S225="F"),'Data Source'!R225,"")</f>
        <v/>
      </c>
      <c r="Q225" s="3">
        <f>IF(AND('Data Source'!B225&lt;&gt;"",'Data Source'!S225="F"),'Data Source'!S225,"")</f>
        <v/>
      </c>
    </row>
    <row r="226">
      <c r="A226" s="3">
        <f>IF(AND('Data Source'!B226&lt;&gt;"",'Data Source'!S226="F"),COUNTIF('Data Source'!$S$3:S226,"F"),"")</f>
        <v/>
      </c>
      <c r="B226">
        <f>IF(AND('Data Source'!B226&lt;&gt;"",'Data Source'!S226="F"),'Data Source'!B226,"")</f>
        <v/>
      </c>
      <c r="C226" s="3">
        <f>IF(AND('Data Source'!B226&lt;&gt;"",'Data Source'!S226="F"),IF('Data Source'!U226&gt;=5,"A+",IF('Data Source'!U226&gt;=4,"A",IF('Data Source'!U226&gt;=3.5,"A-",IF('Data Source'!U226&gt;=3,"B",IF('Data Source'!U226&gt;=2,"C",IF('Data Source'!U226&gt;=1,"D","F")))))),"")</f>
        <v/>
      </c>
      <c r="D226" s="3">
        <f>IF(AND('Data Source'!B226&lt;&gt;"",'Data Source'!S226="F"),IF('Data Source'!V226&gt;=5,"A+",IF('Data Source'!V226&gt;=4,"A",IF('Data Source'!V226&gt;=3.5,"A-",IF('Data Source'!V226&gt;=3,"B",IF('Data Source'!V226&gt;=2,"C",IF('Data Source'!V226&gt;=1,"D","F")))))),"")</f>
        <v/>
      </c>
      <c r="E226" s="3">
        <f>IF(AND('Data Source'!B226&lt;&gt;"",'Data Source'!S226="F"),IF('Data Source'!W226&gt;=5,"A+",IF('Data Source'!W226&gt;=4,"A",IF('Data Source'!W226&gt;=3.5,"A-",IF('Data Source'!W226&gt;=3,"B",IF('Data Source'!W226&gt;=2,"C",IF('Data Source'!W226&gt;=1,"D","F")))))),"")</f>
        <v/>
      </c>
      <c r="F226" s="3">
        <f>IF(AND('Data Source'!B226&lt;&gt;"",'Data Source'!S226="F"),IF('Data Source'!X226&gt;=5,"A+",IF('Data Source'!X226&gt;=4,"A",IF('Data Source'!X226&gt;=3.5,"A-",IF('Data Source'!X226&gt;=3,"B",IF('Data Source'!X226&gt;=2,"C",IF('Data Source'!X226&gt;=1,"D","F")))))),"")</f>
        <v/>
      </c>
      <c r="G226" s="3">
        <f>IF(AND('Data Source'!B226&lt;&gt;"",'Data Source'!S226="F"),IF('Data Source'!Y226&gt;=5,"A+",IF('Data Source'!Y226&gt;=4,"A",IF('Data Source'!Y226&gt;=3.5,"A-",IF('Data Source'!Y226&gt;=3,"B",IF('Data Source'!Y226&gt;=2,"C",IF('Data Source'!Y226&gt;=1,"D","F")))))),"")</f>
        <v/>
      </c>
      <c r="H226" s="3">
        <f>IF(AND('Data Source'!B226&lt;&gt;"",'Data Source'!S226="F"),IF('Data Source'!Z226&gt;=5,"A+",IF('Data Source'!Z226&gt;=4,"A",IF('Data Source'!Z226&gt;=3.5,"A-",IF('Data Source'!Z226&gt;=3,"B",IF('Data Source'!Z226&gt;=2,"C",IF('Data Source'!Z226&gt;=1,"D","F")))))),"")</f>
        <v/>
      </c>
      <c r="I226" s="3">
        <f>IF(AND('Data Source'!B226&lt;&gt;"",'Data Source'!S226="F"),IF('Data Source'!AA226&gt;=5,"A+",IF('Data Source'!AA226&gt;=4,"A",IF('Data Source'!AA226&gt;=3.5,"A-",IF('Data Source'!AA226&gt;=3,"B",IF('Data Source'!AA226&gt;=2,"C",IF('Data Source'!AA226&gt;=1,"D","F")))))),"")</f>
        <v/>
      </c>
      <c r="J226" s="3">
        <f>IF(AND('Data Source'!B226&lt;&gt;"",'Data Source'!S226="F"),IF('Data Source'!AB226&gt;=5,"A+",IF('Data Source'!AB226&gt;=4,"A",IF('Data Source'!AB226&gt;=3.5,"A-",IF('Data Source'!AB226&gt;=3,"B",IF('Data Source'!AB226&gt;=2,"C",IF('Data Source'!AB226&gt;=1,"D","F")))))),"")</f>
        <v/>
      </c>
      <c r="K226" s="3">
        <f>IF(AND('Data Source'!B226&lt;&gt;"",'Data Source'!S226="F"),IF('Data Source'!AC226&gt;=5,"A+",IF('Data Source'!AC226&gt;=4,"A",IF('Data Source'!AC226&gt;=3.5,"A-",IF('Data Source'!AC226&gt;=3,"B",IF('Data Source'!AC226&gt;=2,"C",IF('Data Source'!AC226&gt;=1,"D","F")))))),"")</f>
        <v/>
      </c>
      <c r="L226" s="3">
        <f>IF(AND('Data Source'!B226&lt;&gt;"",'Data Source'!S226="F"),IF('Data Source'!AD226&gt;=5,"A+",IF('Data Source'!AD226&gt;=4,"A",IF('Data Source'!AD226&gt;=3.5,"A-",IF('Data Source'!AD226&gt;=3,"B",IF('Data Source'!AD226&gt;=2,"C",IF('Data Source'!AD226&gt;=1,"D","F")))))),"")</f>
        <v/>
      </c>
      <c r="M226" s="3">
        <f>IF(AND('Data Source'!B226&lt;&gt;"",'Data Source'!S226="F"),IF('Data Source'!AE226&gt;=5,"A+",IF('Data Source'!AE226&gt;=4,"A",IF('Data Source'!AE226&gt;=3.5,"A-",IF('Data Source'!AE226&gt;=3,"B",IF('Data Source'!AE226&gt;=2,"C",IF('Data Source'!AE226&gt;=1,"D","F")))))),"")</f>
        <v/>
      </c>
      <c r="N226" s="3">
        <f>IF(AND('Data Source'!B226&lt;&gt;"",'Data Source'!S226="F"),IF('Data Source'!AF226&gt;=5,"A+",IF('Data Source'!AF226&gt;=4,"A",IF('Data Source'!AF226&gt;=3.5,"A-",IF('Data Source'!AF226&gt;=3,"B",IF('Data Source'!AF226&gt;=2,"C",IF('Data Source'!AF226&gt;=1,"D","F")))))),"")</f>
        <v/>
      </c>
      <c r="O226" s="3">
        <f>IF(AND('Data Source'!B226&lt;&gt;"",'Data Source'!S226="F"),IF('Data Source'!AG226&gt;=5,"A+",IF('Data Source'!AG226&gt;=4,"A",IF('Data Source'!AG226&gt;=3.5,"A-",IF('Data Source'!AG226&gt;=3,"B",IF('Data Source'!AG226&gt;=2,"C",IF('Data Source'!AG226&gt;=1,"D","F")))))),"")</f>
        <v/>
      </c>
      <c r="P226" s="5">
        <f>IF(AND('Data Source'!B226&lt;&gt;"",'Data Source'!S226="F"),'Data Source'!R226,"")</f>
        <v/>
      </c>
      <c r="Q226" s="3">
        <f>IF(AND('Data Source'!B226&lt;&gt;"",'Data Source'!S226="F"),'Data Source'!S226,"")</f>
        <v/>
      </c>
    </row>
    <row r="227">
      <c r="A227" s="3">
        <f>IF(AND('Data Source'!B227&lt;&gt;"",'Data Source'!S227="F"),COUNTIF('Data Source'!$S$3:S227,"F"),"")</f>
        <v/>
      </c>
      <c r="B227">
        <f>IF(AND('Data Source'!B227&lt;&gt;"",'Data Source'!S227="F"),'Data Source'!B227,"")</f>
        <v/>
      </c>
      <c r="C227" s="3">
        <f>IF(AND('Data Source'!B227&lt;&gt;"",'Data Source'!S227="F"),IF('Data Source'!U227&gt;=5,"A+",IF('Data Source'!U227&gt;=4,"A",IF('Data Source'!U227&gt;=3.5,"A-",IF('Data Source'!U227&gt;=3,"B",IF('Data Source'!U227&gt;=2,"C",IF('Data Source'!U227&gt;=1,"D","F")))))),"")</f>
        <v/>
      </c>
      <c r="D227" s="3">
        <f>IF(AND('Data Source'!B227&lt;&gt;"",'Data Source'!S227="F"),IF('Data Source'!V227&gt;=5,"A+",IF('Data Source'!V227&gt;=4,"A",IF('Data Source'!V227&gt;=3.5,"A-",IF('Data Source'!V227&gt;=3,"B",IF('Data Source'!V227&gt;=2,"C",IF('Data Source'!V227&gt;=1,"D","F")))))),"")</f>
        <v/>
      </c>
      <c r="E227" s="3">
        <f>IF(AND('Data Source'!B227&lt;&gt;"",'Data Source'!S227="F"),IF('Data Source'!W227&gt;=5,"A+",IF('Data Source'!W227&gt;=4,"A",IF('Data Source'!W227&gt;=3.5,"A-",IF('Data Source'!W227&gt;=3,"B",IF('Data Source'!W227&gt;=2,"C",IF('Data Source'!W227&gt;=1,"D","F")))))),"")</f>
        <v/>
      </c>
      <c r="F227" s="3">
        <f>IF(AND('Data Source'!B227&lt;&gt;"",'Data Source'!S227="F"),IF('Data Source'!X227&gt;=5,"A+",IF('Data Source'!X227&gt;=4,"A",IF('Data Source'!X227&gt;=3.5,"A-",IF('Data Source'!X227&gt;=3,"B",IF('Data Source'!X227&gt;=2,"C",IF('Data Source'!X227&gt;=1,"D","F")))))),"")</f>
        <v/>
      </c>
      <c r="G227" s="3">
        <f>IF(AND('Data Source'!B227&lt;&gt;"",'Data Source'!S227="F"),IF('Data Source'!Y227&gt;=5,"A+",IF('Data Source'!Y227&gt;=4,"A",IF('Data Source'!Y227&gt;=3.5,"A-",IF('Data Source'!Y227&gt;=3,"B",IF('Data Source'!Y227&gt;=2,"C",IF('Data Source'!Y227&gt;=1,"D","F")))))),"")</f>
        <v/>
      </c>
      <c r="H227" s="3">
        <f>IF(AND('Data Source'!B227&lt;&gt;"",'Data Source'!S227="F"),IF('Data Source'!Z227&gt;=5,"A+",IF('Data Source'!Z227&gt;=4,"A",IF('Data Source'!Z227&gt;=3.5,"A-",IF('Data Source'!Z227&gt;=3,"B",IF('Data Source'!Z227&gt;=2,"C",IF('Data Source'!Z227&gt;=1,"D","F")))))),"")</f>
        <v/>
      </c>
      <c r="I227" s="3">
        <f>IF(AND('Data Source'!B227&lt;&gt;"",'Data Source'!S227="F"),IF('Data Source'!AA227&gt;=5,"A+",IF('Data Source'!AA227&gt;=4,"A",IF('Data Source'!AA227&gt;=3.5,"A-",IF('Data Source'!AA227&gt;=3,"B",IF('Data Source'!AA227&gt;=2,"C",IF('Data Source'!AA227&gt;=1,"D","F")))))),"")</f>
        <v/>
      </c>
      <c r="J227" s="3">
        <f>IF(AND('Data Source'!B227&lt;&gt;"",'Data Source'!S227="F"),IF('Data Source'!AB227&gt;=5,"A+",IF('Data Source'!AB227&gt;=4,"A",IF('Data Source'!AB227&gt;=3.5,"A-",IF('Data Source'!AB227&gt;=3,"B",IF('Data Source'!AB227&gt;=2,"C",IF('Data Source'!AB227&gt;=1,"D","F")))))),"")</f>
        <v/>
      </c>
      <c r="K227" s="3">
        <f>IF(AND('Data Source'!B227&lt;&gt;"",'Data Source'!S227="F"),IF('Data Source'!AC227&gt;=5,"A+",IF('Data Source'!AC227&gt;=4,"A",IF('Data Source'!AC227&gt;=3.5,"A-",IF('Data Source'!AC227&gt;=3,"B",IF('Data Source'!AC227&gt;=2,"C",IF('Data Source'!AC227&gt;=1,"D","F")))))),"")</f>
        <v/>
      </c>
      <c r="L227" s="3">
        <f>IF(AND('Data Source'!B227&lt;&gt;"",'Data Source'!S227="F"),IF('Data Source'!AD227&gt;=5,"A+",IF('Data Source'!AD227&gt;=4,"A",IF('Data Source'!AD227&gt;=3.5,"A-",IF('Data Source'!AD227&gt;=3,"B",IF('Data Source'!AD227&gt;=2,"C",IF('Data Source'!AD227&gt;=1,"D","F")))))),"")</f>
        <v/>
      </c>
      <c r="M227" s="3">
        <f>IF(AND('Data Source'!B227&lt;&gt;"",'Data Source'!S227="F"),IF('Data Source'!AE227&gt;=5,"A+",IF('Data Source'!AE227&gt;=4,"A",IF('Data Source'!AE227&gt;=3.5,"A-",IF('Data Source'!AE227&gt;=3,"B",IF('Data Source'!AE227&gt;=2,"C",IF('Data Source'!AE227&gt;=1,"D","F")))))),"")</f>
        <v/>
      </c>
      <c r="N227" s="3">
        <f>IF(AND('Data Source'!B227&lt;&gt;"",'Data Source'!S227="F"),IF('Data Source'!AF227&gt;=5,"A+",IF('Data Source'!AF227&gt;=4,"A",IF('Data Source'!AF227&gt;=3.5,"A-",IF('Data Source'!AF227&gt;=3,"B",IF('Data Source'!AF227&gt;=2,"C",IF('Data Source'!AF227&gt;=1,"D","F")))))),"")</f>
        <v/>
      </c>
      <c r="O227" s="3">
        <f>IF(AND('Data Source'!B227&lt;&gt;"",'Data Source'!S227="F"),IF('Data Source'!AG227&gt;=5,"A+",IF('Data Source'!AG227&gt;=4,"A",IF('Data Source'!AG227&gt;=3.5,"A-",IF('Data Source'!AG227&gt;=3,"B",IF('Data Source'!AG227&gt;=2,"C",IF('Data Source'!AG227&gt;=1,"D","F")))))),"")</f>
        <v/>
      </c>
      <c r="P227" s="5">
        <f>IF(AND('Data Source'!B227&lt;&gt;"",'Data Source'!S227="F"),'Data Source'!R227,"")</f>
        <v/>
      </c>
      <c r="Q227" s="3">
        <f>IF(AND('Data Source'!B227&lt;&gt;"",'Data Source'!S227="F"),'Data Source'!S227,"")</f>
        <v/>
      </c>
    </row>
    <row r="228">
      <c r="A228" s="3">
        <f>IF(AND('Data Source'!B228&lt;&gt;"",'Data Source'!S228="F"),COUNTIF('Data Source'!$S$3:S228,"F"),"")</f>
        <v/>
      </c>
      <c r="B228">
        <f>IF(AND('Data Source'!B228&lt;&gt;"",'Data Source'!S228="F"),'Data Source'!B228,"")</f>
        <v/>
      </c>
      <c r="C228" s="3">
        <f>IF(AND('Data Source'!B228&lt;&gt;"",'Data Source'!S228="F"),IF('Data Source'!U228&gt;=5,"A+",IF('Data Source'!U228&gt;=4,"A",IF('Data Source'!U228&gt;=3.5,"A-",IF('Data Source'!U228&gt;=3,"B",IF('Data Source'!U228&gt;=2,"C",IF('Data Source'!U228&gt;=1,"D","F")))))),"")</f>
        <v/>
      </c>
      <c r="D228" s="3">
        <f>IF(AND('Data Source'!B228&lt;&gt;"",'Data Source'!S228="F"),IF('Data Source'!V228&gt;=5,"A+",IF('Data Source'!V228&gt;=4,"A",IF('Data Source'!V228&gt;=3.5,"A-",IF('Data Source'!V228&gt;=3,"B",IF('Data Source'!V228&gt;=2,"C",IF('Data Source'!V228&gt;=1,"D","F")))))),"")</f>
        <v/>
      </c>
      <c r="E228" s="3">
        <f>IF(AND('Data Source'!B228&lt;&gt;"",'Data Source'!S228="F"),IF('Data Source'!W228&gt;=5,"A+",IF('Data Source'!W228&gt;=4,"A",IF('Data Source'!W228&gt;=3.5,"A-",IF('Data Source'!W228&gt;=3,"B",IF('Data Source'!W228&gt;=2,"C",IF('Data Source'!W228&gt;=1,"D","F")))))),"")</f>
        <v/>
      </c>
      <c r="F228" s="3">
        <f>IF(AND('Data Source'!B228&lt;&gt;"",'Data Source'!S228="F"),IF('Data Source'!X228&gt;=5,"A+",IF('Data Source'!X228&gt;=4,"A",IF('Data Source'!X228&gt;=3.5,"A-",IF('Data Source'!X228&gt;=3,"B",IF('Data Source'!X228&gt;=2,"C",IF('Data Source'!X228&gt;=1,"D","F")))))),"")</f>
        <v/>
      </c>
      <c r="G228" s="3">
        <f>IF(AND('Data Source'!B228&lt;&gt;"",'Data Source'!S228="F"),IF('Data Source'!Y228&gt;=5,"A+",IF('Data Source'!Y228&gt;=4,"A",IF('Data Source'!Y228&gt;=3.5,"A-",IF('Data Source'!Y228&gt;=3,"B",IF('Data Source'!Y228&gt;=2,"C",IF('Data Source'!Y228&gt;=1,"D","F")))))),"")</f>
        <v/>
      </c>
      <c r="H228" s="3">
        <f>IF(AND('Data Source'!B228&lt;&gt;"",'Data Source'!S228="F"),IF('Data Source'!Z228&gt;=5,"A+",IF('Data Source'!Z228&gt;=4,"A",IF('Data Source'!Z228&gt;=3.5,"A-",IF('Data Source'!Z228&gt;=3,"B",IF('Data Source'!Z228&gt;=2,"C",IF('Data Source'!Z228&gt;=1,"D","F")))))),"")</f>
        <v/>
      </c>
      <c r="I228" s="3">
        <f>IF(AND('Data Source'!B228&lt;&gt;"",'Data Source'!S228="F"),IF('Data Source'!AA228&gt;=5,"A+",IF('Data Source'!AA228&gt;=4,"A",IF('Data Source'!AA228&gt;=3.5,"A-",IF('Data Source'!AA228&gt;=3,"B",IF('Data Source'!AA228&gt;=2,"C",IF('Data Source'!AA228&gt;=1,"D","F")))))),"")</f>
        <v/>
      </c>
      <c r="J228" s="3">
        <f>IF(AND('Data Source'!B228&lt;&gt;"",'Data Source'!S228="F"),IF('Data Source'!AB228&gt;=5,"A+",IF('Data Source'!AB228&gt;=4,"A",IF('Data Source'!AB228&gt;=3.5,"A-",IF('Data Source'!AB228&gt;=3,"B",IF('Data Source'!AB228&gt;=2,"C",IF('Data Source'!AB228&gt;=1,"D","F")))))),"")</f>
        <v/>
      </c>
      <c r="K228" s="3">
        <f>IF(AND('Data Source'!B228&lt;&gt;"",'Data Source'!S228="F"),IF('Data Source'!AC228&gt;=5,"A+",IF('Data Source'!AC228&gt;=4,"A",IF('Data Source'!AC228&gt;=3.5,"A-",IF('Data Source'!AC228&gt;=3,"B",IF('Data Source'!AC228&gt;=2,"C",IF('Data Source'!AC228&gt;=1,"D","F")))))),"")</f>
        <v/>
      </c>
      <c r="L228" s="3">
        <f>IF(AND('Data Source'!B228&lt;&gt;"",'Data Source'!S228="F"),IF('Data Source'!AD228&gt;=5,"A+",IF('Data Source'!AD228&gt;=4,"A",IF('Data Source'!AD228&gt;=3.5,"A-",IF('Data Source'!AD228&gt;=3,"B",IF('Data Source'!AD228&gt;=2,"C",IF('Data Source'!AD228&gt;=1,"D","F")))))),"")</f>
        <v/>
      </c>
      <c r="M228" s="3">
        <f>IF(AND('Data Source'!B228&lt;&gt;"",'Data Source'!S228="F"),IF('Data Source'!AE228&gt;=5,"A+",IF('Data Source'!AE228&gt;=4,"A",IF('Data Source'!AE228&gt;=3.5,"A-",IF('Data Source'!AE228&gt;=3,"B",IF('Data Source'!AE228&gt;=2,"C",IF('Data Source'!AE228&gt;=1,"D","F")))))),"")</f>
        <v/>
      </c>
      <c r="N228" s="3">
        <f>IF(AND('Data Source'!B228&lt;&gt;"",'Data Source'!S228="F"),IF('Data Source'!AF228&gt;=5,"A+",IF('Data Source'!AF228&gt;=4,"A",IF('Data Source'!AF228&gt;=3.5,"A-",IF('Data Source'!AF228&gt;=3,"B",IF('Data Source'!AF228&gt;=2,"C",IF('Data Source'!AF228&gt;=1,"D","F")))))),"")</f>
        <v/>
      </c>
      <c r="O228" s="3">
        <f>IF(AND('Data Source'!B228&lt;&gt;"",'Data Source'!S228="F"),IF('Data Source'!AG228&gt;=5,"A+",IF('Data Source'!AG228&gt;=4,"A",IF('Data Source'!AG228&gt;=3.5,"A-",IF('Data Source'!AG228&gt;=3,"B",IF('Data Source'!AG228&gt;=2,"C",IF('Data Source'!AG228&gt;=1,"D","F")))))),"")</f>
        <v/>
      </c>
      <c r="P228" s="5">
        <f>IF(AND('Data Source'!B228&lt;&gt;"",'Data Source'!S228="F"),'Data Source'!R228,"")</f>
        <v/>
      </c>
      <c r="Q228" s="3">
        <f>IF(AND('Data Source'!B228&lt;&gt;"",'Data Source'!S228="F"),'Data Source'!S228,"")</f>
        <v/>
      </c>
    </row>
    <row r="229">
      <c r="A229" s="3">
        <f>IF(AND('Data Source'!B229&lt;&gt;"",'Data Source'!S229="F"),COUNTIF('Data Source'!$S$3:S229,"F"),"")</f>
        <v/>
      </c>
      <c r="B229">
        <f>IF(AND('Data Source'!B229&lt;&gt;"",'Data Source'!S229="F"),'Data Source'!B229,"")</f>
        <v/>
      </c>
      <c r="C229" s="3">
        <f>IF(AND('Data Source'!B229&lt;&gt;"",'Data Source'!S229="F"),IF('Data Source'!U229&gt;=5,"A+",IF('Data Source'!U229&gt;=4,"A",IF('Data Source'!U229&gt;=3.5,"A-",IF('Data Source'!U229&gt;=3,"B",IF('Data Source'!U229&gt;=2,"C",IF('Data Source'!U229&gt;=1,"D","F")))))),"")</f>
        <v/>
      </c>
      <c r="D229" s="3">
        <f>IF(AND('Data Source'!B229&lt;&gt;"",'Data Source'!S229="F"),IF('Data Source'!V229&gt;=5,"A+",IF('Data Source'!V229&gt;=4,"A",IF('Data Source'!V229&gt;=3.5,"A-",IF('Data Source'!V229&gt;=3,"B",IF('Data Source'!V229&gt;=2,"C",IF('Data Source'!V229&gt;=1,"D","F")))))),"")</f>
        <v/>
      </c>
      <c r="E229" s="3">
        <f>IF(AND('Data Source'!B229&lt;&gt;"",'Data Source'!S229="F"),IF('Data Source'!W229&gt;=5,"A+",IF('Data Source'!W229&gt;=4,"A",IF('Data Source'!W229&gt;=3.5,"A-",IF('Data Source'!W229&gt;=3,"B",IF('Data Source'!W229&gt;=2,"C",IF('Data Source'!W229&gt;=1,"D","F")))))),"")</f>
        <v/>
      </c>
      <c r="F229" s="3">
        <f>IF(AND('Data Source'!B229&lt;&gt;"",'Data Source'!S229="F"),IF('Data Source'!X229&gt;=5,"A+",IF('Data Source'!X229&gt;=4,"A",IF('Data Source'!X229&gt;=3.5,"A-",IF('Data Source'!X229&gt;=3,"B",IF('Data Source'!X229&gt;=2,"C",IF('Data Source'!X229&gt;=1,"D","F")))))),"")</f>
        <v/>
      </c>
      <c r="G229" s="3">
        <f>IF(AND('Data Source'!B229&lt;&gt;"",'Data Source'!S229="F"),IF('Data Source'!Y229&gt;=5,"A+",IF('Data Source'!Y229&gt;=4,"A",IF('Data Source'!Y229&gt;=3.5,"A-",IF('Data Source'!Y229&gt;=3,"B",IF('Data Source'!Y229&gt;=2,"C",IF('Data Source'!Y229&gt;=1,"D","F")))))),"")</f>
        <v/>
      </c>
      <c r="H229" s="3">
        <f>IF(AND('Data Source'!B229&lt;&gt;"",'Data Source'!S229="F"),IF('Data Source'!Z229&gt;=5,"A+",IF('Data Source'!Z229&gt;=4,"A",IF('Data Source'!Z229&gt;=3.5,"A-",IF('Data Source'!Z229&gt;=3,"B",IF('Data Source'!Z229&gt;=2,"C",IF('Data Source'!Z229&gt;=1,"D","F")))))),"")</f>
        <v/>
      </c>
      <c r="I229" s="3">
        <f>IF(AND('Data Source'!B229&lt;&gt;"",'Data Source'!S229="F"),IF('Data Source'!AA229&gt;=5,"A+",IF('Data Source'!AA229&gt;=4,"A",IF('Data Source'!AA229&gt;=3.5,"A-",IF('Data Source'!AA229&gt;=3,"B",IF('Data Source'!AA229&gt;=2,"C",IF('Data Source'!AA229&gt;=1,"D","F")))))),"")</f>
        <v/>
      </c>
      <c r="J229" s="3">
        <f>IF(AND('Data Source'!B229&lt;&gt;"",'Data Source'!S229="F"),IF('Data Source'!AB229&gt;=5,"A+",IF('Data Source'!AB229&gt;=4,"A",IF('Data Source'!AB229&gt;=3.5,"A-",IF('Data Source'!AB229&gt;=3,"B",IF('Data Source'!AB229&gt;=2,"C",IF('Data Source'!AB229&gt;=1,"D","F")))))),"")</f>
        <v/>
      </c>
      <c r="K229" s="3">
        <f>IF(AND('Data Source'!B229&lt;&gt;"",'Data Source'!S229="F"),IF('Data Source'!AC229&gt;=5,"A+",IF('Data Source'!AC229&gt;=4,"A",IF('Data Source'!AC229&gt;=3.5,"A-",IF('Data Source'!AC229&gt;=3,"B",IF('Data Source'!AC229&gt;=2,"C",IF('Data Source'!AC229&gt;=1,"D","F")))))),"")</f>
        <v/>
      </c>
      <c r="L229" s="3">
        <f>IF(AND('Data Source'!B229&lt;&gt;"",'Data Source'!S229="F"),IF('Data Source'!AD229&gt;=5,"A+",IF('Data Source'!AD229&gt;=4,"A",IF('Data Source'!AD229&gt;=3.5,"A-",IF('Data Source'!AD229&gt;=3,"B",IF('Data Source'!AD229&gt;=2,"C",IF('Data Source'!AD229&gt;=1,"D","F")))))),"")</f>
        <v/>
      </c>
      <c r="M229" s="3">
        <f>IF(AND('Data Source'!B229&lt;&gt;"",'Data Source'!S229="F"),IF('Data Source'!AE229&gt;=5,"A+",IF('Data Source'!AE229&gt;=4,"A",IF('Data Source'!AE229&gt;=3.5,"A-",IF('Data Source'!AE229&gt;=3,"B",IF('Data Source'!AE229&gt;=2,"C",IF('Data Source'!AE229&gt;=1,"D","F")))))),"")</f>
        <v/>
      </c>
      <c r="N229" s="3">
        <f>IF(AND('Data Source'!B229&lt;&gt;"",'Data Source'!S229="F"),IF('Data Source'!AF229&gt;=5,"A+",IF('Data Source'!AF229&gt;=4,"A",IF('Data Source'!AF229&gt;=3.5,"A-",IF('Data Source'!AF229&gt;=3,"B",IF('Data Source'!AF229&gt;=2,"C",IF('Data Source'!AF229&gt;=1,"D","F")))))),"")</f>
        <v/>
      </c>
      <c r="O229" s="3">
        <f>IF(AND('Data Source'!B229&lt;&gt;"",'Data Source'!S229="F"),IF('Data Source'!AG229&gt;=5,"A+",IF('Data Source'!AG229&gt;=4,"A",IF('Data Source'!AG229&gt;=3.5,"A-",IF('Data Source'!AG229&gt;=3,"B",IF('Data Source'!AG229&gt;=2,"C",IF('Data Source'!AG229&gt;=1,"D","F")))))),"")</f>
        <v/>
      </c>
      <c r="P229" s="5">
        <f>IF(AND('Data Source'!B229&lt;&gt;"",'Data Source'!S229="F"),'Data Source'!R229,"")</f>
        <v/>
      </c>
      <c r="Q229" s="3">
        <f>IF(AND('Data Source'!B229&lt;&gt;"",'Data Source'!S229="F"),'Data Source'!S229,"")</f>
        <v/>
      </c>
    </row>
    <row r="230">
      <c r="A230" s="3">
        <f>IF(AND('Data Source'!B230&lt;&gt;"",'Data Source'!S230="F"),COUNTIF('Data Source'!$S$3:S230,"F"),"")</f>
        <v/>
      </c>
      <c r="B230">
        <f>IF(AND('Data Source'!B230&lt;&gt;"",'Data Source'!S230="F"),'Data Source'!B230,"")</f>
        <v/>
      </c>
      <c r="C230" s="3">
        <f>IF(AND('Data Source'!B230&lt;&gt;"",'Data Source'!S230="F"),IF('Data Source'!U230&gt;=5,"A+",IF('Data Source'!U230&gt;=4,"A",IF('Data Source'!U230&gt;=3.5,"A-",IF('Data Source'!U230&gt;=3,"B",IF('Data Source'!U230&gt;=2,"C",IF('Data Source'!U230&gt;=1,"D","F")))))),"")</f>
        <v/>
      </c>
      <c r="D230" s="3">
        <f>IF(AND('Data Source'!B230&lt;&gt;"",'Data Source'!S230="F"),IF('Data Source'!V230&gt;=5,"A+",IF('Data Source'!V230&gt;=4,"A",IF('Data Source'!V230&gt;=3.5,"A-",IF('Data Source'!V230&gt;=3,"B",IF('Data Source'!V230&gt;=2,"C",IF('Data Source'!V230&gt;=1,"D","F")))))),"")</f>
        <v/>
      </c>
      <c r="E230" s="3">
        <f>IF(AND('Data Source'!B230&lt;&gt;"",'Data Source'!S230="F"),IF('Data Source'!W230&gt;=5,"A+",IF('Data Source'!W230&gt;=4,"A",IF('Data Source'!W230&gt;=3.5,"A-",IF('Data Source'!W230&gt;=3,"B",IF('Data Source'!W230&gt;=2,"C",IF('Data Source'!W230&gt;=1,"D","F")))))),"")</f>
        <v/>
      </c>
      <c r="F230" s="3">
        <f>IF(AND('Data Source'!B230&lt;&gt;"",'Data Source'!S230="F"),IF('Data Source'!X230&gt;=5,"A+",IF('Data Source'!X230&gt;=4,"A",IF('Data Source'!X230&gt;=3.5,"A-",IF('Data Source'!X230&gt;=3,"B",IF('Data Source'!X230&gt;=2,"C",IF('Data Source'!X230&gt;=1,"D","F")))))),"")</f>
        <v/>
      </c>
      <c r="G230" s="3">
        <f>IF(AND('Data Source'!B230&lt;&gt;"",'Data Source'!S230="F"),IF('Data Source'!Y230&gt;=5,"A+",IF('Data Source'!Y230&gt;=4,"A",IF('Data Source'!Y230&gt;=3.5,"A-",IF('Data Source'!Y230&gt;=3,"B",IF('Data Source'!Y230&gt;=2,"C",IF('Data Source'!Y230&gt;=1,"D","F")))))),"")</f>
        <v/>
      </c>
      <c r="H230" s="3">
        <f>IF(AND('Data Source'!B230&lt;&gt;"",'Data Source'!S230="F"),IF('Data Source'!Z230&gt;=5,"A+",IF('Data Source'!Z230&gt;=4,"A",IF('Data Source'!Z230&gt;=3.5,"A-",IF('Data Source'!Z230&gt;=3,"B",IF('Data Source'!Z230&gt;=2,"C",IF('Data Source'!Z230&gt;=1,"D","F")))))),"")</f>
        <v/>
      </c>
      <c r="I230" s="3">
        <f>IF(AND('Data Source'!B230&lt;&gt;"",'Data Source'!S230="F"),IF('Data Source'!AA230&gt;=5,"A+",IF('Data Source'!AA230&gt;=4,"A",IF('Data Source'!AA230&gt;=3.5,"A-",IF('Data Source'!AA230&gt;=3,"B",IF('Data Source'!AA230&gt;=2,"C",IF('Data Source'!AA230&gt;=1,"D","F")))))),"")</f>
        <v/>
      </c>
      <c r="J230" s="3">
        <f>IF(AND('Data Source'!B230&lt;&gt;"",'Data Source'!S230="F"),IF('Data Source'!AB230&gt;=5,"A+",IF('Data Source'!AB230&gt;=4,"A",IF('Data Source'!AB230&gt;=3.5,"A-",IF('Data Source'!AB230&gt;=3,"B",IF('Data Source'!AB230&gt;=2,"C",IF('Data Source'!AB230&gt;=1,"D","F")))))),"")</f>
        <v/>
      </c>
      <c r="K230" s="3">
        <f>IF(AND('Data Source'!B230&lt;&gt;"",'Data Source'!S230="F"),IF('Data Source'!AC230&gt;=5,"A+",IF('Data Source'!AC230&gt;=4,"A",IF('Data Source'!AC230&gt;=3.5,"A-",IF('Data Source'!AC230&gt;=3,"B",IF('Data Source'!AC230&gt;=2,"C",IF('Data Source'!AC230&gt;=1,"D","F")))))),"")</f>
        <v/>
      </c>
      <c r="L230" s="3">
        <f>IF(AND('Data Source'!B230&lt;&gt;"",'Data Source'!S230="F"),IF('Data Source'!AD230&gt;=5,"A+",IF('Data Source'!AD230&gt;=4,"A",IF('Data Source'!AD230&gt;=3.5,"A-",IF('Data Source'!AD230&gt;=3,"B",IF('Data Source'!AD230&gt;=2,"C",IF('Data Source'!AD230&gt;=1,"D","F")))))),"")</f>
        <v/>
      </c>
      <c r="M230" s="3">
        <f>IF(AND('Data Source'!B230&lt;&gt;"",'Data Source'!S230="F"),IF('Data Source'!AE230&gt;=5,"A+",IF('Data Source'!AE230&gt;=4,"A",IF('Data Source'!AE230&gt;=3.5,"A-",IF('Data Source'!AE230&gt;=3,"B",IF('Data Source'!AE230&gt;=2,"C",IF('Data Source'!AE230&gt;=1,"D","F")))))),"")</f>
        <v/>
      </c>
      <c r="N230" s="3">
        <f>IF(AND('Data Source'!B230&lt;&gt;"",'Data Source'!S230="F"),IF('Data Source'!AF230&gt;=5,"A+",IF('Data Source'!AF230&gt;=4,"A",IF('Data Source'!AF230&gt;=3.5,"A-",IF('Data Source'!AF230&gt;=3,"B",IF('Data Source'!AF230&gt;=2,"C",IF('Data Source'!AF230&gt;=1,"D","F")))))),"")</f>
        <v/>
      </c>
      <c r="O230" s="3">
        <f>IF(AND('Data Source'!B230&lt;&gt;"",'Data Source'!S230="F"),IF('Data Source'!AG230&gt;=5,"A+",IF('Data Source'!AG230&gt;=4,"A",IF('Data Source'!AG230&gt;=3.5,"A-",IF('Data Source'!AG230&gt;=3,"B",IF('Data Source'!AG230&gt;=2,"C",IF('Data Source'!AG230&gt;=1,"D","F")))))),"")</f>
        <v/>
      </c>
      <c r="P230" s="5">
        <f>IF(AND('Data Source'!B230&lt;&gt;"",'Data Source'!S230="F"),'Data Source'!R230,"")</f>
        <v/>
      </c>
      <c r="Q230" s="3">
        <f>IF(AND('Data Source'!B230&lt;&gt;"",'Data Source'!S230="F"),'Data Source'!S230,"")</f>
        <v/>
      </c>
    </row>
    <row r="231">
      <c r="A231" s="3">
        <f>IF(AND('Data Source'!B231&lt;&gt;"",'Data Source'!S231="F"),COUNTIF('Data Source'!$S$3:S231,"F"),"")</f>
        <v/>
      </c>
      <c r="B231">
        <f>IF(AND('Data Source'!B231&lt;&gt;"",'Data Source'!S231="F"),'Data Source'!B231,"")</f>
        <v/>
      </c>
      <c r="C231" s="3">
        <f>IF(AND('Data Source'!B231&lt;&gt;"",'Data Source'!S231="F"),IF('Data Source'!U231&gt;=5,"A+",IF('Data Source'!U231&gt;=4,"A",IF('Data Source'!U231&gt;=3.5,"A-",IF('Data Source'!U231&gt;=3,"B",IF('Data Source'!U231&gt;=2,"C",IF('Data Source'!U231&gt;=1,"D","F")))))),"")</f>
        <v/>
      </c>
      <c r="D231" s="3">
        <f>IF(AND('Data Source'!B231&lt;&gt;"",'Data Source'!S231="F"),IF('Data Source'!V231&gt;=5,"A+",IF('Data Source'!V231&gt;=4,"A",IF('Data Source'!V231&gt;=3.5,"A-",IF('Data Source'!V231&gt;=3,"B",IF('Data Source'!V231&gt;=2,"C",IF('Data Source'!V231&gt;=1,"D","F")))))),"")</f>
        <v/>
      </c>
      <c r="E231" s="3">
        <f>IF(AND('Data Source'!B231&lt;&gt;"",'Data Source'!S231="F"),IF('Data Source'!W231&gt;=5,"A+",IF('Data Source'!W231&gt;=4,"A",IF('Data Source'!W231&gt;=3.5,"A-",IF('Data Source'!W231&gt;=3,"B",IF('Data Source'!W231&gt;=2,"C",IF('Data Source'!W231&gt;=1,"D","F")))))),"")</f>
        <v/>
      </c>
      <c r="F231" s="3">
        <f>IF(AND('Data Source'!B231&lt;&gt;"",'Data Source'!S231="F"),IF('Data Source'!X231&gt;=5,"A+",IF('Data Source'!X231&gt;=4,"A",IF('Data Source'!X231&gt;=3.5,"A-",IF('Data Source'!X231&gt;=3,"B",IF('Data Source'!X231&gt;=2,"C",IF('Data Source'!X231&gt;=1,"D","F")))))),"")</f>
        <v/>
      </c>
      <c r="G231" s="3">
        <f>IF(AND('Data Source'!B231&lt;&gt;"",'Data Source'!S231="F"),IF('Data Source'!Y231&gt;=5,"A+",IF('Data Source'!Y231&gt;=4,"A",IF('Data Source'!Y231&gt;=3.5,"A-",IF('Data Source'!Y231&gt;=3,"B",IF('Data Source'!Y231&gt;=2,"C",IF('Data Source'!Y231&gt;=1,"D","F")))))),"")</f>
        <v/>
      </c>
      <c r="H231" s="3">
        <f>IF(AND('Data Source'!B231&lt;&gt;"",'Data Source'!S231="F"),IF('Data Source'!Z231&gt;=5,"A+",IF('Data Source'!Z231&gt;=4,"A",IF('Data Source'!Z231&gt;=3.5,"A-",IF('Data Source'!Z231&gt;=3,"B",IF('Data Source'!Z231&gt;=2,"C",IF('Data Source'!Z231&gt;=1,"D","F")))))),"")</f>
        <v/>
      </c>
      <c r="I231" s="3">
        <f>IF(AND('Data Source'!B231&lt;&gt;"",'Data Source'!S231="F"),IF('Data Source'!AA231&gt;=5,"A+",IF('Data Source'!AA231&gt;=4,"A",IF('Data Source'!AA231&gt;=3.5,"A-",IF('Data Source'!AA231&gt;=3,"B",IF('Data Source'!AA231&gt;=2,"C",IF('Data Source'!AA231&gt;=1,"D","F")))))),"")</f>
        <v/>
      </c>
      <c r="J231" s="3">
        <f>IF(AND('Data Source'!B231&lt;&gt;"",'Data Source'!S231="F"),IF('Data Source'!AB231&gt;=5,"A+",IF('Data Source'!AB231&gt;=4,"A",IF('Data Source'!AB231&gt;=3.5,"A-",IF('Data Source'!AB231&gt;=3,"B",IF('Data Source'!AB231&gt;=2,"C",IF('Data Source'!AB231&gt;=1,"D","F")))))),"")</f>
        <v/>
      </c>
      <c r="K231" s="3">
        <f>IF(AND('Data Source'!B231&lt;&gt;"",'Data Source'!S231="F"),IF('Data Source'!AC231&gt;=5,"A+",IF('Data Source'!AC231&gt;=4,"A",IF('Data Source'!AC231&gt;=3.5,"A-",IF('Data Source'!AC231&gt;=3,"B",IF('Data Source'!AC231&gt;=2,"C",IF('Data Source'!AC231&gt;=1,"D","F")))))),"")</f>
        <v/>
      </c>
      <c r="L231" s="3">
        <f>IF(AND('Data Source'!B231&lt;&gt;"",'Data Source'!S231="F"),IF('Data Source'!AD231&gt;=5,"A+",IF('Data Source'!AD231&gt;=4,"A",IF('Data Source'!AD231&gt;=3.5,"A-",IF('Data Source'!AD231&gt;=3,"B",IF('Data Source'!AD231&gt;=2,"C",IF('Data Source'!AD231&gt;=1,"D","F")))))),"")</f>
        <v/>
      </c>
      <c r="M231" s="3">
        <f>IF(AND('Data Source'!B231&lt;&gt;"",'Data Source'!S231="F"),IF('Data Source'!AE231&gt;=5,"A+",IF('Data Source'!AE231&gt;=4,"A",IF('Data Source'!AE231&gt;=3.5,"A-",IF('Data Source'!AE231&gt;=3,"B",IF('Data Source'!AE231&gt;=2,"C",IF('Data Source'!AE231&gt;=1,"D","F")))))),"")</f>
        <v/>
      </c>
      <c r="N231" s="3">
        <f>IF(AND('Data Source'!B231&lt;&gt;"",'Data Source'!S231="F"),IF('Data Source'!AF231&gt;=5,"A+",IF('Data Source'!AF231&gt;=4,"A",IF('Data Source'!AF231&gt;=3.5,"A-",IF('Data Source'!AF231&gt;=3,"B",IF('Data Source'!AF231&gt;=2,"C",IF('Data Source'!AF231&gt;=1,"D","F")))))),"")</f>
        <v/>
      </c>
      <c r="O231" s="3">
        <f>IF(AND('Data Source'!B231&lt;&gt;"",'Data Source'!S231="F"),IF('Data Source'!AG231&gt;=5,"A+",IF('Data Source'!AG231&gt;=4,"A",IF('Data Source'!AG231&gt;=3.5,"A-",IF('Data Source'!AG231&gt;=3,"B",IF('Data Source'!AG231&gt;=2,"C",IF('Data Source'!AG231&gt;=1,"D","F")))))),"")</f>
        <v/>
      </c>
      <c r="P231" s="5">
        <f>IF(AND('Data Source'!B231&lt;&gt;"",'Data Source'!S231="F"),'Data Source'!R231,"")</f>
        <v/>
      </c>
      <c r="Q231" s="3">
        <f>IF(AND('Data Source'!B231&lt;&gt;"",'Data Source'!S231="F"),'Data Source'!S231,"")</f>
        <v/>
      </c>
    </row>
    <row r="232">
      <c r="A232" s="3">
        <f>IF(AND('Data Source'!B232&lt;&gt;"",'Data Source'!S232="F"),COUNTIF('Data Source'!$S$3:S232,"F"),"")</f>
        <v/>
      </c>
      <c r="B232">
        <f>IF(AND('Data Source'!B232&lt;&gt;"",'Data Source'!S232="F"),'Data Source'!B232,"")</f>
        <v/>
      </c>
      <c r="C232" s="3">
        <f>IF(AND('Data Source'!B232&lt;&gt;"",'Data Source'!S232="F"),IF('Data Source'!U232&gt;=5,"A+",IF('Data Source'!U232&gt;=4,"A",IF('Data Source'!U232&gt;=3.5,"A-",IF('Data Source'!U232&gt;=3,"B",IF('Data Source'!U232&gt;=2,"C",IF('Data Source'!U232&gt;=1,"D","F")))))),"")</f>
        <v/>
      </c>
      <c r="D232" s="3">
        <f>IF(AND('Data Source'!B232&lt;&gt;"",'Data Source'!S232="F"),IF('Data Source'!V232&gt;=5,"A+",IF('Data Source'!V232&gt;=4,"A",IF('Data Source'!V232&gt;=3.5,"A-",IF('Data Source'!V232&gt;=3,"B",IF('Data Source'!V232&gt;=2,"C",IF('Data Source'!V232&gt;=1,"D","F")))))),"")</f>
        <v/>
      </c>
      <c r="E232" s="3">
        <f>IF(AND('Data Source'!B232&lt;&gt;"",'Data Source'!S232="F"),IF('Data Source'!W232&gt;=5,"A+",IF('Data Source'!W232&gt;=4,"A",IF('Data Source'!W232&gt;=3.5,"A-",IF('Data Source'!W232&gt;=3,"B",IF('Data Source'!W232&gt;=2,"C",IF('Data Source'!W232&gt;=1,"D","F")))))),"")</f>
        <v/>
      </c>
      <c r="F232" s="3">
        <f>IF(AND('Data Source'!B232&lt;&gt;"",'Data Source'!S232="F"),IF('Data Source'!X232&gt;=5,"A+",IF('Data Source'!X232&gt;=4,"A",IF('Data Source'!X232&gt;=3.5,"A-",IF('Data Source'!X232&gt;=3,"B",IF('Data Source'!X232&gt;=2,"C",IF('Data Source'!X232&gt;=1,"D","F")))))),"")</f>
        <v/>
      </c>
      <c r="G232" s="3">
        <f>IF(AND('Data Source'!B232&lt;&gt;"",'Data Source'!S232="F"),IF('Data Source'!Y232&gt;=5,"A+",IF('Data Source'!Y232&gt;=4,"A",IF('Data Source'!Y232&gt;=3.5,"A-",IF('Data Source'!Y232&gt;=3,"B",IF('Data Source'!Y232&gt;=2,"C",IF('Data Source'!Y232&gt;=1,"D","F")))))),"")</f>
        <v/>
      </c>
      <c r="H232" s="3">
        <f>IF(AND('Data Source'!B232&lt;&gt;"",'Data Source'!S232="F"),IF('Data Source'!Z232&gt;=5,"A+",IF('Data Source'!Z232&gt;=4,"A",IF('Data Source'!Z232&gt;=3.5,"A-",IF('Data Source'!Z232&gt;=3,"B",IF('Data Source'!Z232&gt;=2,"C",IF('Data Source'!Z232&gt;=1,"D","F")))))),"")</f>
        <v/>
      </c>
      <c r="I232" s="3">
        <f>IF(AND('Data Source'!B232&lt;&gt;"",'Data Source'!S232="F"),IF('Data Source'!AA232&gt;=5,"A+",IF('Data Source'!AA232&gt;=4,"A",IF('Data Source'!AA232&gt;=3.5,"A-",IF('Data Source'!AA232&gt;=3,"B",IF('Data Source'!AA232&gt;=2,"C",IF('Data Source'!AA232&gt;=1,"D","F")))))),"")</f>
        <v/>
      </c>
      <c r="J232" s="3">
        <f>IF(AND('Data Source'!B232&lt;&gt;"",'Data Source'!S232="F"),IF('Data Source'!AB232&gt;=5,"A+",IF('Data Source'!AB232&gt;=4,"A",IF('Data Source'!AB232&gt;=3.5,"A-",IF('Data Source'!AB232&gt;=3,"B",IF('Data Source'!AB232&gt;=2,"C",IF('Data Source'!AB232&gt;=1,"D","F")))))),"")</f>
        <v/>
      </c>
      <c r="K232" s="3">
        <f>IF(AND('Data Source'!B232&lt;&gt;"",'Data Source'!S232="F"),IF('Data Source'!AC232&gt;=5,"A+",IF('Data Source'!AC232&gt;=4,"A",IF('Data Source'!AC232&gt;=3.5,"A-",IF('Data Source'!AC232&gt;=3,"B",IF('Data Source'!AC232&gt;=2,"C",IF('Data Source'!AC232&gt;=1,"D","F")))))),"")</f>
        <v/>
      </c>
      <c r="L232" s="3">
        <f>IF(AND('Data Source'!B232&lt;&gt;"",'Data Source'!S232="F"),IF('Data Source'!AD232&gt;=5,"A+",IF('Data Source'!AD232&gt;=4,"A",IF('Data Source'!AD232&gt;=3.5,"A-",IF('Data Source'!AD232&gt;=3,"B",IF('Data Source'!AD232&gt;=2,"C",IF('Data Source'!AD232&gt;=1,"D","F")))))),"")</f>
        <v/>
      </c>
      <c r="M232" s="3">
        <f>IF(AND('Data Source'!B232&lt;&gt;"",'Data Source'!S232="F"),IF('Data Source'!AE232&gt;=5,"A+",IF('Data Source'!AE232&gt;=4,"A",IF('Data Source'!AE232&gt;=3.5,"A-",IF('Data Source'!AE232&gt;=3,"B",IF('Data Source'!AE232&gt;=2,"C",IF('Data Source'!AE232&gt;=1,"D","F")))))),"")</f>
        <v/>
      </c>
      <c r="N232" s="3">
        <f>IF(AND('Data Source'!B232&lt;&gt;"",'Data Source'!S232="F"),IF('Data Source'!AF232&gt;=5,"A+",IF('Data Source'!AF232&gt;=4,"A",IF('Data Source'!AF232&gt;=3.5,"A-",IF('Data Source'!AF232&gt;=3,"B",IF('Data Source'!AF232&gt;=2,"C",IF('Data Source'!AF232&gt;=1,"D","F")))))),"")</f>
        <v/>
      </c>
      <c r="O232" s="3">
        <f>IF(AND('Data Source'!B232&lt;&gt;"",'Data Source'!S232="F"),IF('Data Source'!AG232&gt;=5,"A+",IF('Data Source'!AG232&gt;=4,"A",IF('Data Source'!AG232&gt;=3.5,"A-",IF('Data Source'!AG232&gt;=3,"B",IF('Data Source'!AG232&gt;=2,"C",IF('Data Source'!AG232&gt;=1,"D","F")))))),"")</f>
        <v/>
      </c>
      <c r="P232" s="5">
        <f>IF(AND('Data Source'!B232&lt;&gt;"",'Data Source'!S232="F"),'Data Source'!R232,"")</f>
        <v/>
      </c>
      <c r="Q232" s="3">
        <f>IF(AND('Data Source'!B232&lt;&gt;"",'Data Source'!S232="F"),'Data Source'!S232,"")</f>
        <v/>
      </c>
    </row>
    <row r="233">
      <c r="A233" s="3">
        <f>IF(AND('Data Source'!B233&lt;&gt;"",'Data Source'!S233="F"),COUNTIF('Data Source'!$S$3:S233,"F"),"")</f>
        <v/>
      </c>
      <c r="B233">
        <f>IF(AND('Data Source'!B233&lt;&gt;"",'Data Source'!S233="F"),'Data Source'!B233,"")</f>
        <v/>
      </c>
      <c r="C233" s="3">
        <f>IF(AND('Data Source'!B233&lt;&gt;"",'Data Source'!S233="F"),IF('Data Source'!U233&gt;=5,"A+",IF('Data Source'!U233&gt;=4,"A",IF('Data Source'!U233&gt;=3.5,"A-",IF('Data Source'!U233&gt;=3,"B",IF('Data Source'!U233&gt;=2,"C",IF('Data Source'!U233&gt;=1,"D","F")))))),"")</f>
        <v/>
      </c>
      <c r="D233" s="3">
        <f>IF(AND('Data Source'!B233&lt;&gt;"",'Data Source'!S233="F"),IF('Data Source'!V233&gt;=5,"A+",IF('Data Source'!V233&gt;=4,"A",IF('Data Source'!V233&gt;=3.5,"A-",IF('Data Source'!V233&gt;=3,"B",IF('Data Source'!V233&gt;=2,"C",IF('Data Source'!V233&gt;=1,"D","F")))))),"")</f>
        <v/>
      </c>
      <c r="E233" s="3">
        <f>IF(AND('Data Source'!B233&lt;&gt;"",'Data Source'!S233="F"),IF('Data Source'!W233&gt;=5,"A+",IF('Data Source'!W233&gt;=4,"A",IF('Data Source'!W233&gt;=3.5,"A-",IF('Data Source'!W233&gt;=3,"B",IF('Data Source'!W233&gt;=2,"C",IF('Data Source'!W233&gt;=1,"D","F")))))),"")</f>
        <v/>
      </c>
      <c r="F233" s="3">
        <f>IF(AND('Data Source'!B233&lt;&gt;"",'Data Source'!S233="F"),IF('Data Source'!X233&gt;=5,"A+",IF('Data Source'!X233&gt;=4,"A",IF('Data Source'!X233&gt;=3.5,"A-",IF('Data Source'!X233&gt;=3,"B",IF('Data Source'!X233&gt;=2,"C",IF('Data Source'!X233&gt;=1,"D","F")))))),"")</f>
        <v/>
      </c>
      <c r="G233" s="3">
        <f>IF(AND('Data Source'!B233&lt;&gt;"",'Data Source'!S233="F"),IF('Data Source'!Y233&gt;=5,"A+",IF('Data Source'!Y233&gt;=4,"A",IF('Data Source'!Y233&gt;=3.5,"A-",IF('Data Source'!Y233&gt;=3,"B",IF('Data Source'!Y233&gt;=2,"C",IF('Data Source'!Y233&gt;=1,"D","F")))))),"")</f>
        <v/>
      </c>
      <c r="H233" s="3">
        <f>IF(AND('Data Source'!B233&lt;&gt;"",'Data Source'!S233="F"),IF('Data Source'!Z233&gt;=5,"A+",IF('Data Source'!Z233&gt;=4,"A",IF('Data Source'!Z233&gt;=3.5,"A-",IF('Data Source'!Z233&gt;=3,"B",IF('Data Source'!Z233&gt;=2,"C",IF('Data Source'!Z233&gt;=1,"D","F")))))),"")</f>
        <v/>
      </c>
      <c r="I233" s="3">
        <f>IF(AND('Data Source'!B233&lt;&gt;"",'Data Source'!S233="F"),IF('Data Source'!AA233&gt;=5,"A+",IF('Data Source'!AA233&gt;=4,"A",IF('Data Source'!AA233&gt;=3.5,"A-",IF('Data Source'!AA233&gt;=3,"B",IF('Data Source'!AA233&gt;=2,"C",IF('Data Source'!AA233&gt;=1,"D","F")))))),"")</f>
        <v/>
      </c>
      <c r="J233" s="3">
        <f>IF(AND('Data Source'!B233&lt;&gt;"",'Data Source'!S233="F"),IF('Data Source'!AB233&gt;=5,"A+",IF('Data Source'!AB233&gt;=4,"A",IF('Data Source'!AB233&gt;=3.5,"A-",IF('Data Source'!AB233&gt;=3,"B",IF('Data Source'!AB233&gt;=2,"C",IF('Data Source'!AB233&gt;=1,"D","F")))))),"")</f>
        <v/>
      </c>
      <c r="K233" s="3">
        <f>IF(AND('Data Source'!B233&lt;&gt;"",'Data Source'!S233="F"),IF('Data Source'!AC233&gt;=5,"A+",IF('Data Source'!AC233&gt;=4,"A",IF('Data Source'!AC233&gt;=3.5,"A-",IF('Data Source'!AC233&gt;=3,"B",IF('Data Source'!AC233&gt;=2,"C",IF('Data Source'!AC233&gt;=1,"D","F")))))),"")</f>
        <v/>
      </c>
      <c r="L233" s="3">
        <f>IF(AND('Data Source'!B233&lt;&gt;"",'Data Source'!S233="F"),IF('Data Source'!AD233&gt;=5,"A+",IF('Data Source'!AD233&gt;=4,"A",IF('Data Source'!AD233&gt;=3.5,"A-",IF('Data Source'!AD233&gt;=3,"B",IF('Data Source'!AD233&gt;=2,"C",IF('Data Source'!AD233&gt;=1,"D","F")))))),"")</f>
        <v/>
      </c>
      <c r="M233" s="3">
        <f>IF(AND('Data Source'!B233&lt;&gt;"",'Data Source'!S233="F"),IF('Data Source'!AE233&gt;=5,"A+",IF('Data Source'!AE233&gt;=4,"A",IF('Data Source'!AE233&gt;=3.5,"A-",IF('Data Source'!AE233&gt;=3,"B",IF('Data Source'!AE233&gt;=2,"C",IF('Data Source'!AE233&gt;=1,"D","F")))))),"")</f>
        <v/>
      </c>
      <c r="N233" s="3">
        <f>IF(AND('Data Source'!B233&lt;&gt;"",'Data Source'!S233="F"),IF('Data Source'!AF233&gt;=5,"A+",IF('Data Source'!AF233&gt;=4,"A",IF('Data Source'!AF233&gt;=3.5,"A-",IF('Data Source'!AF233&gt;=3,"B",IF('Data Source'!AF233&gt;=2,"C",IF('Data Source'!AF233&gt;=1,"D","F")))))),"")</f>
        <v/>
      </c>
      <c r="O233" s="3">
        <f>IF(AND('Data Source'!B233&lt;&gt;"",'Data Source'!S233="F"),IF('Data Source'!AG233&gt;=5,"A+",IF('Data Source'!AG233&gt;=4,"A",IF('Data Source'!AG233&gt;=3.5,"A-",IF('Data Source'!AG233&gt;=3,"B",IF('Data Source'!AG233&gt;=2,"C",IF('Data Source'!AG233&gt;=1,"D","F")))))),"")</f>
        <v/>
      </c>
      <c r="P233" s="5">
        <f>IF(AND('Data Source'!B233&lt;&gt;"",'Data Source'!S233="F"),'Data Source'!R233,"")</f>
        <v/>
      </c>
      <c r="Q233" s="3">
        <f>IF(AND('Data Source'!B233&lt;&gt;"",'Data Source'!S233="F"),'Data Source'!S233,"")</f>
        <v/>
      </c>
    </row>
    <row r="234">
      <c r="A234" s="3">
        <f>IF(AND('Data Source'!B234&lt;&gt;"",'Data Source'!S234="F"),COUNTIF('Data Source'!$S$3:S234,"F"),"")</f>
        <v/>
      </c>
      <c r="B234">
        <f>IF(AND('Data Source'!B234&lt;&gt;"",'Data Source'!S234="F"),'Data Source'!B234,"")</f>
        <v/>
      </c>
      <c r="C234" s="3">
        <f>IF(AND('Data Source'!B234&lt;&gt;"",'Data Source'!S234="F"),IF('Data Source'!U234&gt;=5,"A+",IF('Data Source'!U234&gt;=4,"A",IF('Data Source'!U234&gt;=3.5,"A-",IF('Data Source'!U234&gt;=3,"B",IF('Data Source'!U234&gt;=2,"C",IF('Data Source'!U234&gt;=1,"D","F")))))),"")</f>
        <v/>
      </c>
      <c r="D234" s="3">
        <f>IF(AND('Data Source'!B234&lt;&gt;"",'Data Source'!S234="F"),IF('Data Source'!V234&gt;=5,"A+",IF('Data Source'!V234&gt;=4,"A",IF('Data Source'!V234&gt;=3.5,"A-",IF('Data Source'!V234&gt;=3,"B",IF('Data Source'!V234&gt;=2,"C",IF('Data Source'!V234&gt;=1,"D","F")))))),"")</f>
        <v/>
      </c>
      <c r="E234" s="3">
        <f>IF(AND('Data Source'!B234&lt;&gt;"",'Data Source'!S234="F"),IF('Data Source'!W234&gt;=5,"A+",IF('Data Source'!W234&gt;=4,"A",IF('Data Source'!W234&gt;=3.5,"A-",IF('Data Source'!W234&gt;=3,"B",IF('Data Source'!W234&gt;=2,"C",IF('Data Source'!W234&gt;=1,"D","F")))))),"")</f>
        <v/>
      </c>
      <c r="F234" s="3">
        <f>IF(AND('Data Source'!B234&lt;&gt;"",'Data Source'!S234="F"),IF('Data Source'!X234&gt;=5,"A+",IF('Data Source'!X234&gt;=4,"A",IF('Data Source'!X234&gt;=3.5,"A-",IF('Data Source'!X234&gt;=3,"B",IF('Data Source'!X234&gt;=2,"C",IF('Data Source'!X234&gt;=1,"D","F")))))),"")</f>
        <v/>
      </c>
      <c r="G234" s="3">
        <f>IF(AND('Data Source'!B234&lt;&gt;"",'Data Source'!S234="F"),IF('Data Source'!Y234&gt;=5,"A+",IF('Data Source'!Y234&gt;=4,"A",IF('Data Source'!Y234&gt;=3.5,"A-",IF('Data Source'!Y234&gt;=3,"B",IF('Data Source'!Y234&gt;=2,"C",IF('Data Source'!Y234&gt;=1,"D","F")))))),"")</f>
        <v/>
      </c>
      <c r="H234" s="3">
        <f>IF(AND('Data Source'!B234&lt;&gt;"",'Data Source'!S234="F"),IF('Data Source'!Z234&gt;=5,"A+",IF('Data Source'!Z234&gt;=4,"A",IF('Data Source'!Z234&gt;=3.5,"A-",IF('Data Source'!Z234&gt;=3,"B",IF('Data Source'!Z234&gt;=2,"C",IF('Data Source'!Z234&gt;=1,"D","F")))))),"")</f>
        <v/>
      </c>
      <c r="I234" s="3">
        <f>IF(AND('Data Source'!B234&lt;&gt;"",'Data Source'!S234="F"),IF('Data Source'!AA234&gt;=5,"A+",IF('Data Source'!AA234&gt;=4,"A",IF('Data Source'!AA234&gt;=3.5,"A-",IF('Data Source'!AA234&gt;=3,"B",IF('Data Source'!AA234&gt;=2,"C",IF('Data Source'!AA234&gt;=1,"D","F")))))),"")</f>
        <v/>
      </c>
      <c r="J234" s="3">
        <f>IF(AND('Data Source'!B234&lt;&gt;"",'Data Source'!S234="F"),IF('Data Source'!AB234&gt;=5,"A+",IF('Data Source'!AB234&gt;=4,"A",IF('Data Source'!AB234&gt;=3.5,"A-",IF('Data Source'!AB234&gt;=3,"B",IF('Data Source'!AB234&gt;=2,"C",IF('Data Source'!AB234&gt;=1,"D","F")))))),"")</f>
        <v/>
      </c>
      <c r="K234" s="3">
        <f>IF(AND('Data Source'!B234&lt;&gt;"",'Data Source'!S234="F"),IF('Data Source'!AC234&gt;=5,"A+",IF('Data Source'!AC234&gt;=4,"A",IF('Data Source'!AC234&gt;=3.5,"A-",IF('Data Source'!AC234&gt;=3,"B",IF('Data Source'!AC234&gt;=2,"C",IF('Data Source'!AC234&gt;=1,"D","F")))))),"")</f>
        <v/>
      </c>
      <c r="L234" s="3">
        <f>IF(AND('Data Source'!B234&lt;&gt;"",'Data Source'!S234="F"),IF('Data Source'!AD234&gt;=5,"A+",IF('Data Source'!AD234&gt;=4,"A",IF('Data Source'!AD234&gt;=3.5,"A-",IF('Data Source'!AD234&gt;=3,"B",IF('Data Source'!AD234&gt;=2,"C",IF('Data Source'!AD234&gt;=1,"D","F")))))),"")</f>
        <v/>
      </c>
      <c r="M234" s="3">
        <f>IF(AND('Data Source'!B234&lt;&gt;"",'Data Source'!S234="F"),IF('Data Source'!AE234&gt;=5,"A+",IF('Data Source'!AE234&gt;=4,"A",IF('Data Source'!AE234&gt;=3.5,"A-",IF('Data Source'!AE234&gt;=3,"B",IF('Data Source'!AE234&gt;=2,"C",IF('Data Source'!AE234&gt;=1,"D","F")))))),"")</f>
        <v/>
      </c>
      <c r="N234" s="3">
        <f>IF(AND('Data Source'!B234&lt;&gt;"",'Data Source'!S234="F"),IF('Data Source'!AF234&gt;=5,"A+",IF('Data Source'!AF234&gt;=4,"A",IF('Data Source'!AF234&gt;=3.5,"A-",IF('Data Source'!AF234&gt;=3,"B",IF('Data Source'!AF234&gt;=2,"C",IF('Data Source'!AF234&gt;=1,"D","F")))))),"")</f>
        <v/>
      </c>
      <c r="O234" s="3">
        <f>IF(AND('Data Source'!B234&lt;&gt;"",'Data Source'!S234="F"),IF('Data Source'!AG234&gt;=5,"A+",IF('Data Source'!AG234&gt;=4,"A",IF('Data Source'!AG234&gt;=3.5,"A-",IF('Data Source'!AG234&gt;=3,"B",IF('Data Source'!AG234&gt;=2,"C",IF('Data Source'!AG234&gt;=1,"D","F")))))),"")</f>
        <v/>
      </c>
      <c r="P234" s="5">
        <f>IF(AND('Data Source'!B234&lt;&gt;"",'Data Source'!S234="F"),'Data Source'!R234,"")</f>
        <v/>
      </c>
      <c r="Q234" s="3">
        <f>IF(AND('Data Source'!B234&lt;&gt;"",'Data Source'!S234="F"),'Data Source'!S234,"")</f>
        <v/>
      </c>
    </row>
    <row r="235">
      <c r="A235" s="3">
        <f>IF(AND('Data Source'!B235&lt;&gt;"",'Data Source'!S235="F"),COUNTIF('Data Source'!$S$3:S235,"F"),"")</f>
        <v/>
      </c>
      <c r="B235">
        <f>IF(AND('Data Source'!B235&lt;&gt;"",'Data Source'!S235="F"),'Data Source'!B235,"")</f>
        <v/>
      </c>
      <c r="C235" s="3">
        <f>IF(AND('Data Source'!B235&lt;&gt;"",'Data Source'!S235="F"),IF('Data Source'!U235&gt;=5,"A+",IF('Data Source'!U235&gt;=4,"A",IF('Data Source'!U235&gt;=3.5,"A-",IF('Data Source'!U235&gt;=3,"B",IF('Data Source'!U235&gt;=2,"C",IF('Data Source'!U235&gt;=1,"D","F")))))),"")</f>
        <v/>
      </c>
      <c r="D235" s="3">
        <f>IF(AND('Data Source'!B235&lt;&gt;"",'Data Source'!S235="F"),IF('Data Source'!V235&gt;=5,"A+",IF('Data Source'!V235&gt;=4,"A",IF('Data Source'!V235&gt;=3.5,"A-",IF('Data Source'!V235&gt;=3,"B",IF('Data Source'!V235&gt;=2,"C",IF('Data Source'!V235&gt;=1,"D","F")))))),"")</f>
        <v/>
      </c>
      <c r="E235" s="3">
        <f>IF(AND('Data Source'!B235&lt;&gt;"",'Data Source'!S235="F"),IF('Data Source'!W235&gt;=5,"A+",IF('Data Source'!W235&gt;=4,"A",IF('Data Source'!W235&gt;=3.5,"A-",IF('Data Source'!W235&gt;=3,"B",IF('Data Source'!W235&gt;=2,"C",IF('Data Source'!W235&gt;=1,"D","F")))))),"")</f>
        <v/>
      </c>
      <c r="F235" s="3">
        <f>IF(AND('Data Source'!B235&lt;&gt;"",'Data Source'!S235="F"),IF('Data Source'!X235&gt;=5,"A+",IF('Data Source'!X235&gt;=4,"A",IF('Data Source'!X235&gt;=3.5,"A-",IF('Data Source'!X235&gt;=3,"B",IF('Data Source'!X235&gt;=2,"C",IF('Data Source'!X235&gt;=1,"D","F")))))),"")</f>
        <v/>
      </c>
      <c r="G235" s="3">
        <f>IF(AND('Data Source'!B235&lt;&gt;"",'Data Source'!S235="F"),IF('Data Source'!Y235&gt;=5,"A+",IF('Data Source'!Y235&gt;=4,"A",IF('Data Source'!Y235&gt;=3.5,"A-",IF('Data Source'!Y235&gt;=3,"B",IF('Data Source'!Y235&gt;=2,"C",IF('Data Source'!Y235&gt;=1,"D","F")))))),"")</f>
        <v/>
      </c>
      <c r="H235" s="3">
        <f>IF(AND('Data Source'!B235&lt;&gt;"",'Data Source'!S235="F"),IF('Data Source'!Z235&gt;=5,"A+",IF('Data Source'!Z235&gt;=4,"A",IF('Data Source'!Z235&gt;=3.5,"A-",IF('Data Source'!Z235&gt;=3,"B",IF('Data Source'!Z235&gt;=2,"C",IF('Data Source'!Z235&gt;=1,"D","F")))))),"")</f>
        <v/>
      </c>
      <c r="I235" s="3">
        <f>IF(AND('Data Source'!B235&lt;&gt;"",'Data Source'!S235="F"),IF('Data Source'!AA235&gt;=5,"A+",IF('Data Source'!AA235&gt;=4,"A",IF('Data Source'!AA235&gt;=3.5,"A-",IF('Data Source'!AA235&gt;=3,"B",IF('Data Source'!AA235&gt;=2,"C",IF('Data Source'!AA235&gt;=1,"D","F")))))),"")</f>
        <v/>
      </c>
      <c r="J235" s="3">
        <f>IF(AND('Data Source'!B235&lt;&gt;"",'Data Source'!S235="F"),IF('Data Source'!AB235&gt;=5,"A+",IF('Data Source'!AB235&gt;=4,"A",IF('Data Source'!AB235&gt;=3.5,"A-",IF('Data Source'!AB235&gt;=3,"B",IF('Data Source'!AB235&gt;=2,"C",IF('Data Source'!AB235&gt;=1,"D","F")))))),"")</f>
        <v/>
      </c>
      <c r="K235" s="3">
        <f>IF(AND('Data Source'!B235&lt;&gt;"",'Data Source'!S235="F"),IF('Data Source'!AC235&gt;=5,"A+",IF('Data Source'!AC235&gt;=4,"A",IF('Data Source'!AC235&gt;=3.5,"A-",IF('Data Source'!AC235&gt;=3,"B",IF('Data Source'!AC235&gt;=2,"C",IF('Data Source'!AC235&gt;=1,"D","F")))))),"")</f>
        <v/>
      </c>
      <c r="L235" s="3">
        <f>IF(AND('Data Source'!B235&lt;&gt;"",'Data Source'!S235="F"),IF('Data Source'!AD235&gt;=5,"A+",IF('Data Source'!AD235&gt;=4,"A",IF('Data Source'!AD235&gt;=3.5,"A-",IF('Data Source'!AD235&gt;=3,"B",IF('Data Source'!AD235&gt;=2,"C",IF('Data Source'!AD235&gt;=1,"D","F")))))),"")</f>
        <v/>
      </c>
      <c r="M235" s="3">
        <f>IF(AND('Data Source'!B235&lt;&gt;"",'Data Source'!S235="F"),IF('Data Source'!AE235&gt;=5,"A+",IF('Data Source'!AE235&gt;=4,"A",IF('Data Source'!AE235&gt;=3.5,"A-",IF('Data Source'!AE235&gt;=3,"B",IF('Data Source'!AE235&gt;=2,"C",IF('Data Source'!AE235&gt;=1,"D","F")))))),"")</f>
        <v/>
      </c>
      <c r="N235" s="3">
        <f>IF(AND('Data Source'!B235&lt;&gt;"",'Data Source'!S235="F"),IF('Data Source'!AF235&gt;=5,"A+",IF('Data Source'!AF235&gt;=4,"A",IF('Data Source'!AF235&gt;=3.5,"A-",IF('Data Source'!AF235&gt;=3,"B",IF('Data Source'!AF235&gt;=2,"C",IF('Data Source'!AF235&gt;=1,"D","F")))))),"")</f>
        <v/>
      </c>
      <c r="O235" s="3">
        <f>IF(AND('Data Source'!B235&lt;&gt;"",'Data Source'!S235="F"),IF('Data Source'!AG235&gt;=5,"A+",IF('Data Source'!AG235&gt;=4,"A",IF('Data Source'!AG235&gt;=3.5,"A-",IF('Data Source'!AG235&gt;=3,"B",IF('Data Source'!AG235&gt;=2,"C",IF('Data Source'!AG235&gt;=1,"D","F")))))),"")</f>
        <v/>
      </c>
      <c r="P235" s="5">
        <f>IF(AND('Data Source'!B235&lt;&gt;"",'Data Source'!S235="F"),'Data Source'!R235,"")</f>
        <v/>
      </c>
      <c r="Q235" s="3">
        <f>IF(AND('Data Source'!B235&lt;&gt;"",'Data Source'!S235="F"),'Data Source'!S235,"")</f>
        <v/>
      </c>
    </row>
    <row r="236">
      <c r="A236" s="3">
        <f>IF(AND('Data Source'!B236&lt;&gt;"",'Data Source'!S236="F"),COUNTIF('Data Source'!$S$3:S236,"F"),"")</f>
        <v/>
      </c>
      <c r="B236">
        <f>IF(AND('Data Source'!B236&lt;&gt;"",'Data Source'!S236="F"),'Data Source'!B236,"")</f>
        <v/>
      </c>
      <c r="C236" s="3">
        <f>IF(AND('Data Source'!B236&lt;&gt;"",'Data Source'!S236="F"),IF('Data Source'!U236&gt;=5,"A+",IF('Data Source'!U236&gt;=4,"A",IF('Data Source'!U236&gt;=3.5,"A-",IF('Data Source'!U236&gt;=3,"B",IF('Data Source'!U236&gt;=2,"C",IF('Data Source'!U236&gt;=1,"D","F")))))),"")</f>
        <v/>
      </c>
      <c r="D236" s="3">
        <f>IF(AND('Data Source'!B236&lt;&gt;"",'Data Source'!S236="F"),IF('Data Source'!V236&gt;=5,"A+",IF('Data Source'!V236&gt;=4,"A",IF('Data Source'!V236&gt;=3.5,"A-",IF('Data Source'!V236&gt;=3,"B",IF('Data Source'!V236&gt;=2,"C",IF('Data Source'!V236&gt;=1,"D","F")))))),"")</f>
        <v/>
      </c>
      <c r="E236" s="3">
        <f>IF(AND('Data Source'!B236&lt;&gt;"",'Data Source'!S236="F"),IF('Data Source'!W236&gt;=5,"A+",IF('Data Source'!W236&gt;=4,"A",IF('Data Source'!W236&gt;=3.5,"A-",IF('Data Source'!W236&gt;=3,"B",IF('Data Source'!W236&gt;=2,"C",IF('Data Source'!W236&gt;=1,"D","F")))))),"")</f>
        <v/>
      </c>
      <c r="F236" s="3">
        <f>IF(AND('Data Source'!B236&lt;&gt;"",'Data Source'!S236="F"),IF('Data Source'!X236&gt;=5,"A+",IF('Data Source'!X236&gt;=4,"A",IF('Data Source'!X236&gt;=3.5,"A-",IF('Data Source'!X236&gt;=3,"B",IF('Data Source'!X236&gt;=2,"C",IF('Data Source'!X236&gt;=1,"D","F")))))),"")</f>
        <v/>
      </c>
      <c r="G236" s="3">
        <f>IF(AND('Data Source'!B236&lt;&gt;"",'Data Source'!S236="F"),IF('Data Source'!Y236&gt;=5,"A+",IF('Data Source'!Y236&gt;=4,"A",IF('Data Source'!Y236&gt;=3.5,"A-",IF('Data Source'!Y236&gt;=3,"B",IF('Data Source'!Y236&gt;=2,"C",IF('Data Source'!Y236&gt;=1,"D","F")))))),"")</f>
        <v/>
      </c>
      <c r="H236" s="3">
        <f>IF(AND('Data Source'!B236&lt;&gt;"",'Data Source'!S236="F"),IF('Data Source'!Z236&gt;=5,"A+",IF('Data Source'!Z236&gt;=4,"A",IF('Data Source'!Z236&gt;=3.5,"A-",IF('Data Source'!Z236&gt;=3,"B",IF('Data Source'!Z236&gt;=2,"C",IF('Data Source'!Z236&gt;=1,"D","F")))))),"")</f>
        <v/>
      </c>
      <c r="I236" s="3">
        <f>IF(AND('Data Source'!B236&lt;&gt;"",'Data Source'!S236="F"),IF('Data Source'!AA236&gt;=5,"A+",IF('Data Source'!AA236&gt;=4,"A",IF('Data Source'!AA236&gt;=3.5,"A-",IF('Data Source'!AA236&gt;=3,"B",IF('Data Source'!AA236&gt;=2,"C",IF('Data Source'!AA236&gt;=1,"D","F")))))),"")</f>
        <v/>
      </c>
      <c r="J236" s="3">
        <f>IF(AND('Data Source'!B236&lt;&gt;"",'Data Source'!S236="F"),IF('Data Source'!AB236&gt;=5,"A+",IF('Data Source'!AB236&gt;=4,"A",IF('Data Source'!AB236&gt;=3.5,"A-",IF('Data Source'!AB236&gt;=3,"B",IF('Data Source'!AB236&gt;=2,"C",IF('Data Source'!AB236&gt;=1,"D","F")))))),"")</f>
        <v/>
      </c>
      <c r="K236" s="3">
        <f>IF(AND('Data Source'!B236&lt;&gt;"",'Data Source'!S236="F"),IF('Data Source'!AC236&gt;=5,"A+",IF('Data Source'!AC236&gt;=4,"A",IF('Data Source'!AC236&gt;=3.5,"A-",IF('Data Source'!AC236&gt;=3,"B",IF('Data Source'!AC236&gt;=2,"C",IF('Data Source'!AC236&gt;=1,"D","F")))))),"")</f>
        <v/>
      </c>
      <c r="L236" s="3">
        <f>IF(AND('Data Source'!B236&lt;&gt;"",'Data Source'!S236="F"),IF('Data Source'!AD236&gt;=5,"A+",IF('Data Source'!AD236&gt;=4,"A",IF('Data Source'!AD236&gt;=3.5,"A-",IF('Data Source'!AD236&gt;=3,"B",IF('Data Source'!AD236&gt;=2,"C",IF('Data Source'!AD236&gt;=1,"D","F")))))),"")</f>
        <v/>
      </c>
      <c r="M236" s="3">
        <f>IF(AND('Data Source'!B236&lt;&gt;"",'Data Source'!S236="F"),IF('Data Source'!AE236&gt;=5,"A+",IF('Data Source'!AE236&gt;=4,"A",IF('Data Source'!AE236&gt;=3.5,"A-",IF('Data Source'!AE236&gt;=3,"B",IF('Data Source'!AE236&gt;=2,"C",IF('Data Source'!AE236&gt;=1,"D","F")))))),"")</f>
        <v/>
      </c>
      <c r="N236" s="3">
        <f>IF(AND('Data Source'!B236&lt;&gt;"",'Data Source'!S236="F"),IF('Data Source'!AF236&gt;=5,"A+",IF('Data Source'!AF236&gt;=4,"A",IF('Data Source'!AF236&gt;=3.5,"A-",IF('Data Source'!AF236&gt;=3,"B",IF('Data Source'!AF236&gt;=2,"C",IF('Data Source'!AF236&gt;=1,"D","F")))))),"")</f>
        <v/>
      </c>
      <c r="O236" s="3">
        <f>IF(AND('Data Source'!B236&lt;&gt;"",'Data Source'!S236="F"),IF('Data Source'!AG236&gt;=5,"A+",IF('Data Source'!AG236&gt;=4,"A",IF('Data Source'!AG236&gt;=3.5,"A-",IF('Data Source'!AG236&gt;=3,"B",IF('Data Source'!AG236&gt;=2,"C",IF('Data Source'!AG236&gt;=1,"D","F")))))),"")</f>
        <v/>
      </c>
      <c r="P236" s="5">
        <f>IF(AND('Data Source'!B236&lt;&gt;"",'Data Source'!S236="F"),'Data Source'!R236,"")</f>
        <v/>
      </c>
      <c r="Q236" s="3">
        <f>IF(AND('Data Source'!B236&lt;&gt;"",'Data Source'!S236="F"),'Data Source'!S236,"")</f>
        <v/>
      </c>
    </row>
    <row r="237">
      <c r="A237" s="3">
        <f>IF(AND('Data Source'!B237&lt;&gt;"",'Data Source'!S237="F"),COUNTIF('Data Source'!$S$3:S237,"F"),"")</f>
        <v/>
      </c>
      <c r="B237">
        <f>IF(AND('Data Source'!B237&lt;&gt;"",'Data Source'!S237="F"),'Data Source'!B237,"")</f>
        <v/>
      </c>
      <c r="C237" s="3">
        <f>IF(AND('Data Source'!B237&lt;&gt;"",'Data Source'!S237="F"),IF('Data Source'!U237&gt;=5,"A+",IF('Data Source'!U237&gt;=4,"A",IF('Data Source'!U237&gt;=3.5,"A-",IF('Data Source'!U237&gt;=3,"B",IF('Data Source'!U237&gt;=2,"C",IF('Data Source'!U237&gt;=1,"D","F")))))),"")</f>
        <v/>
      </c>
      <c r="D237" s="3">
        <f>IF(AND('Data Source'!B237&lt;&gt;"",'Data Source'!S237="F"),IF('Data Source'!V237&gt;=5,"A+",IF('Data Source'!V237&gt;=4,"A",IF('Data Source'!V237&gt;=3.5,"A-",IF('Data Source'!V237&gt;=3,"B",IF('Data Source'!V237&gt;=2,"C",IF('Data Source'!V237&gt;=1,"D","F")))))),"")</f>
        <v/>
      </c>
      <c r="E237" s="3">
        <f>IF(AND('Data Source'!B237&lt;&gt;"",'Data Source'!S237="F"),IF('Data Source'!W237&gt;=5,"A+",IF('Data Source'!W237&gt;=4,"A",IF('Data Source'!W237&gt;=3.5,"A-",IF('Data Source'!W237&gt;=3,"B",IF('Data Source'!W237&gt;=2,"C",IF('Data Source'!W237&gt;=1,"D","F")))))),"")</f>
        <v/>
      </c>
      <c r="F237" s="3">
        <f>IF(AND('Data Source'!B237&lt;&gt;"",'Data Source'!S237="F"),IF('Data Source'!X237&gt;=5,"A+",IF('Data Source'!X237&gt;=4,"A",IF('Data Source'!X237&gt;=3.5,"A-",IF('Data Source'!X237&gt;=3,"B",IF('Data Source'!X237&gt;=2,"C",IF('Data Source'!X237&gt;=1,"D","F")))))),"")</f>
        <v/>
      </c>
      <c r="G237" s="3">
        <f>IF(AND('Data Source'!B237&lt;&gt;"",'Data Source'!S237="F"),IF('Data Source'!Y237&gt;=5,"A+",IF('Data Source'!Y237&gt;=4,"A",IF('Data Source'!Y237&gt;=3.5,"A-",IF('Data Source'!Y237&gt;=3,"B",IF('Data Source'!Y237&gt;=2,"C",IF('Data Source'!Y237&gt;=1,"D","F")))))),"")</f>
        <v/>
      </c>
      <c r="H237" s="3">
        <f>IF(AND('Data Source'!B237&lt;&gt;"",'Data Source'!S237="F"),IF('Data Source'!Z237&gt;=5,"A+",IF('Data Source'!Z237&gt;=4,"A",IF('Data Source'!Z237&gt;=3.5,"A-",IF('Data Source'!Z237&gt;=3,"B",IF('Data Source'!Z237&gt;=2,"C",IF('Data Source'!Z237&gt;=1,"D","F")))))),"")</f>
        <v/>
      </c>
      <c r="I237" s="3">
        <f>IF(AND('Data Source'!B237&lt;&gt;"",'Data Source'!S237="F"),IF('Data Source'!AA237&gt;=5,"A+",IF('Data Source'!AA237&gt;=4,"A",IF('Data Source'!AA237&gt;=3.5,"A-",IF('Data Source'!AA237&gt;=3,"B",IF('Data Source'!AA237&gt;=2,"C",IF('Data Source'!AA237&gt;=1,"D","F")))))),"")</f>
        <v/>
      </c>
      <c r="J237" s="3">
        <f>IF(AND('Data Source'!B237&lt;&gt;"",'Data Source'!S237="F"),IF('Data Source'!AB237&gt;=5,"A+",IF('Data Source'!AB237&gt;=4,"A",IF('Data Source'!AB237&gt;=3.5,"A-",IF('Data Source'!AB237&gt;=3,"B",IF('Data Source'!AB237&gt;=2,"C",IF('Data Source'!AB237&gt;=1,"D","F")))))),"")</f>
        <v/>
      </c>
      <c r="K237" s="3">
        <f>IF(AND('Data Source'!B237&lt;&gt;"",'Data Source'!S237="F"),IF('Data Source'!AC237&gt;=5,"A+",IF('Data Source'!AC237&gt;=4,"A",IF('Data Source'!AC237&gt;=3.5,"A-",IF('Data Source'!AC237&gt;=3,"B",IF('Data Source'!AC237&gt;=2,"C",IF('Data Source'!AC237&gt;=1,"D","F")))))),"")</f>
        <v/>
      </c>
      <c r="L237" s="3">
        <f>IF(AND('Data Source'!B237&lt;&gt;"",'Data Source'!S237="F"),IF('Data Source'!AD237&gt;=5,"A+",IF('Data Source'!AD237&gt;=4,"A",IF('Data Source'!AD237&gt;=3.5,"A-",IF('Data Source'!AD237&gt;=3,"B",IF('Data Source'!AD237&gt;=2,"C",IF('Data Source'!AD237&gt;=1,"D","F")))))),"")</f>
        <v/>
      </c>
      <c r="M237" s="3">
        <f>IF(AND('Data Source'!B237&lt;&gt;"",'Data Source'!S237="F"),IF('Data Source'!AE237&gt;=5,"A+",IF('Data Source'!AE237&gt;=4,"A",IF('Data Source'!AE237&gt;=3.5,"A-",IF('Data Source'!AE237&gt;=3,"B",IF('Data Source'!AE237&gt;=2,"C",IF('Data Source'!AE237&gt;=1,"D","F")))))),"")</f>
        <v/>
      </c>
      <c r="N237" s="3">
        <f>IF(AND('Data Source'!B237&lt;&gt;"",'Data Source'!S237="F"),IF('Data Source'!AF237&gt;=5,"A+",IF('Data Source'!AF237&gt;=4,"A",IF('Data Source'!AF237&gt;=3.5,"A-",IF('Data Source'!AF237&gt;=3,"B",IF('Data Source'!AF237&gt;=2,"C",IF('Data Source'!AF237&gt;=1,"D","F")))))),"")</f>
        <v/>
      </c>
      <c r="O237" s="3">
        <f>IF(AND('Data Source'!B237&lt;&gt;"",'Data Source'!S237="F"),IF('Data Source'!AG237&gt;=5,"A+",IF('Data Source'!AG237&gt;=4,"A",IF('Data Source'!AG237&gt;=3.5,"A-",IF('Data Source'!AG237&gt;=3,"B",IF('Data Source'!AG237&gt;=2,"C",IF('Data Source'!AG237&gt;=1,"D","F")))))),"")</f>
        <v/>
      </c>
      <c r="P237" s="5">
        <f>IF(AND('Data Source'!B237&lt;&gt;"",'Data Source'!S237="F"),'Data Source'!R237,"")</f>
        <v/>
      </c>
      <c r="Q237" s="3">
        <f>IF(AND('Data Source'!B237&lt;&gt;"",'Data Source'!S237="F"),'Data Source'!S237,"")</f>
        <v/>
      </c>
    </row>
    <row r="238">
      <c r="A238" s="3">
        <f>IF(AND('Data Source'!B238&lt;&gt;"",'Data Source'!S238="F"),COUNTIF('Data Source'!$S$3:S238,"F"),"")</f>
        <v/>
      </c>
      <c r="B238">
        <f>IF(AND('Data Source'!B238&lt;&gt;"",'Data Source'!S238="F"),'Data Source'!B238,"")</f>
        <v/>
      </c>
      <c r="C238" s="3">
        <f>IF(AND('Data Source'!B238&lt;&gt;"",'Data Source'!S238="F"),IF('Data Source'!U238&gt;=5,"A+",IF('Data Source'!U238&gt;=4,"A",IF('Data Source'!U238&gt;=3.5,"A-",IF('Data Source'!U238&gt;=3,"B",IF('Data Source'!U238&gt;=2,"C",IF('Data Source'!U238&gt;=1,"D","F")))))),"")</f>
        <v/>
      </c>
      <c r="D238" s="3">
        <f>IF(AND('Data Source'!B238&lt;&gt;"",'Data Source'!S238="F"),IF('Data Source'!V238&gt;=5,"A+",IF('Data Source'!V238&gt;=4,"A",IF('Data Source'!V238&gt;=3.5,"A-",IF('Data Source'!V238&gt;=3,"B",IF('Data Source'!V238&gt;=2,"C",IF('Data Source'!V238&gt;=1,"D","F")))))),"")</f>
        <v/>
      </c>
      <c r="E238" s="3">
        <f>IF(AND('Data Source'!B238&lt;&gt;"",'Data Source'!S238="F"),IF('Data Source'!W238&gt;=5,"A+",IF('Data Source'!W238&gt;=4,"A",IF('Data Source'!W238&gt;=3.5,"A-",IF('Data Source'!W238&gt;=3,"B",IF('Data Source'!W238&gt;=2,"C",IF('Data Source'!W238&gt;=1,"D","F")))))),"")</f>
        <v/>
      </c>
      <c r="F238" s="3">
        <f>IF(AND('Data Source'!B238&lt;&gt;"",'Data Source'!S238="F"),IF('Data Source'!X238&gt;=5,"A+",IF('Data Source'!X238&gt;=4,"A",IF('Data Source'!X238&gt;=3.5,"A-",IF('Data Source'!X238&gt;=3,"B",IF('Data Source'!X238&gt;=2,"C",IF('Data Source'!X238&gt;=1,"D","F")))))),"")</f>
        <v/>
      </c>
      <c r="G238" s="3">
        <f>IF(AND('Data Source'!B238&lt;&gt;"",'Data Source'!S238="F"),IF('Data Source'!Y238&gt;=5,"A+",IF('Data Source'!Y238&gt;=4,"A",IF('Data Source'!Y238&gt;=3.5,"A-",IF('Data Source'!Y238&gt;=3,"B",IF('Data Source'!Y238&gt;=2,"C",IF('Data Source'!Y238&gt;=1,"D","F")))))),"")</f>
        <v/>
      </c>
      <c r="H238" s="3">
        <f>IF(AND('Data Source'!B238&lt;&gt;"",'Data Source'!S238="F"),IF('Data Source'!Z238&gt;=5,"A+",IF('Data Source'!Z238&gt;=4,"A",IF('Data Source'!Z238&gt;=3.5,"A-",IF('Data Source'!Z238&gt;=3,"B",IF('Data Source'!Z238&gt;=2,"C",IF('Data Source'!Z238&gt;=1,"D","F")))))),"")</f>
        <v/>
      </c>
      <c r="I238" s="3">
        <f>IF(AND('Data Source'!B238&lt;&gt;"",'Data Source'!S238="F"),IF('Data Source'!AA238&gt;=5,"A+",IF('Data Source'!AA238&gt;=4,"A",IF('Data Source'!AA238&gt;=3.5,"A-",IF('Data Source'!AA238&gt;=3,"B",IF('Data Source'!AA238&gt;=2,"C",IF('Data Source'!AA238&gt;=1,"D","F")))))),"")</f>
        <v/>
      </c>
      <c r="J238" s="3">
        <f>IF(AND('Data Source'!B238&lt;&gt;"",'Data Source'!S238="F"),IF('Data Source'!AB238&gt;=5,"A+",IF('Data Source'!AB238&gt;=4,"A",IF('Data Source'!AB238&gt;=3.5,"A-",IF('Data Source'!AB238&gt;=3,"B",IF('Data Source'!AB238&gt;=2,"C",IF('Data Source'!AB238&gt;=1,"D","F")))))),"")</f>
        <v/>
      </c>
      <c r="K238" s="3">
        <f>IF(AND('Data Source'!B238&lt;&gt;"",'Data Source'!S238="F"),IF('Data Source'!AC238&gt;=5,"A+",IF('Data Source'!AC238&gt;=4,"A",IF('Data Source'!AC238&gt;=3.5,"A-",IF('Data Source'!AC238&gt;=3,"B",IF('Data Source'!AC238&gt;=2,"C",IF('Data Source'!AC238&gt;=1,"D","F")))))),"")</f>
        <v/>
      </c>
      <c r="L238" s="3">
        <f>IF(AND('Data Source'!B238&lt;&gt;"",'Data Source'!S238="F"),IF('Data Source'!AD238&gt;=5,"A+",IF('Data Source'!AD238&gt;=4,"A",IF('Data Source'!AD238&gt;=3.5,"A-",IF('Data Source'!AD238&gt;=3,"B",IF('Data Source'!AD238&gt;=2,"C",IF('Data Source'!AD238&gt;=1,"D","F")))))),"")</f>
        <v/>
      </c>
      <c r="M238" s="3">
        <f>IF(AND('Data Source'!B238&lt;&gt;"",'Data Source'!S238="F"),IF('Data Source'!AE238&gt;=5,"A+",IF('Data Source'!AE238&gt;=4,"A",IF('Data Source'!AE238&gt;=3.5,"A-",IF('Data Source'!AE238&gt;=3,"B",IF('Data Source'!AE238&gt;=2,"C",IF('Data Source'!AE238&gt;=1,"D","F")))))),"")</f>
        <v/>
      </c>
      <c r="N238" s="3">
        <f>IF(AND('Data Source'!B238&lt;&gt;"",'Data Source'!S238="F"),IF('Data Source'!AF238&gt;=5,"A+",IF('Data Source'!AF238&gt;=4,"A",IF('Data Source'!AF238&gt;=3.5,"A-",IF('Data Source'!AF238&gt;=3,"B",IF('Data Source'!AF238&gt;=2,"C",IF('Data Source'!AF238&gt;=1,"D","F")))))),"")</f>
        <v/>
      </c>
      <c r="O238" s="3">
        <f>IF(AND('Data Source'!B238&lt;&gt;"",'Data Source'!S238="F"),IF('Data Source'!AG238&gt;=5,"A+",IF('Data Source'!AG238&gt;=4,"A",IF('Data Source'!AG238&gt;=3.5,"A-",IF('Data Source'!AG238&gt;=3,"B",IF('Data Source'!AG238&gt;=2,"C",IF('Data Source'!AG238&gt;=1,"D","F")))))),"")</f>
        <v/>
      </c>
      <c r="P238" s="5">
        <f>IF(AND('Data Source'!B238&lt;&gt;"",'Data Source'!S238="F"),'Data Source'!R238,"")</f>
        <v/>
      </c>
      <c r="Q238" s="3">
        <f>IF(AND('Data Source'!B238&lt;&gt;"",'Data Source'!S238="F"),'Data Source'!S238,"")</f>
        <v/>
      </c>
    </row>
    <row r="239">
      <c r="A239" s="3">
        <f>IF(AND('Data Source'!B239&lt;&gt;"",'Data Source'!S239="F"),COUNTIF('Data Source'!$S$3:S239,"F"),"")</f>
        <v/>
      </c>
      <c r="B239">
        <f>IF(AND('Data Source'!B239&lt;&gt;"",'Data Source'!S239="F"),'Data Source'!B239,"")</f>
        <v/>
      </c>
      <c r="C239" s="3">
        <f>IF(AND('Data Source'!B239&lt;&gt;"",'Data Source'!S239="F"),IF('Data Source'!U239&gt;=5,"A+",IF('Data Source'!U239&gt;=4,"A",IF('Data Source'!U239&gt;=3.5,"A-",IF('Data Source'!U239&gt;=3,"B",IF('Data Source'!U239&gt;=2,"C",IF('Data Source'!U239&gt;=1,"D","F")))))),"")</f>
        <v/>
      </c>
      <c r="D239" s="3">
        <f>IF(AND('Data Source'!B239&lt;&gt;"",'Data Source'!S239="F"),IF('Data Source'!V239&gt;=5,"A+",IF('Data Source'!V239&gt;=4,"A",IF('Data Source'!V239&gt;=3.5,"A-",IF('Data Source'!V239&gt;=3,"B",IF('Data Source'!V239&gt;=2,"C",IF('Data Source'!V239&gt;=1,"D","F")))))),"")</f>
        <v/>
      </c>
      <c r="E239" s="3">
        <f>IF(AND('Data Source'!B239&lt;&gt;"",'Data Source'!S239="F"),IF('Data Source'!W239&gt;=5,"A+",IF('Data Source'!W239&gt;=4,"A",IF('Data Source'!W239&gt;=3.5,"A-",IF('Data Source'!W239&gt;=3,"B",IF('Data Source'!W239&gt;=2,"C",IF('Data Source'!W239&gt;=1,"D","F")))))),"")</f>
        <v/>
      </c>
      <c r="F239" s="3">
        <f>IF(AND('Data Source'!B239&lt;&gt;"",'Data Source'!S239="F"),IF('Data Source'!X239&gt;=5,"A+",IF('Data Source'!X239&gt;=4,"A",IF('Data Source'!X239&gt;=3.5,"A-",IF('Data Source'!X239&gt;=3,"B",IF('Data Source'!X239&gt;=2,"C",IF('Data Source'!X239&gt;=1,"D","F")))))),"")</f>
        <v/>
      </c>
      <c r="G239" s="3">
        <f>IF(AND('Data Source'!B239&lt;&gt;"",'Data Source'!S239="F"),IF('Data Source'!Y239&gt;=5,"A+",IF('Data Source'!Y239&gt;=4,"A",IF('Data Source'!Y239&gt;=3.5,"A-",IF('Data Source'!Y239&gt;=3,"B",IF('Data Source'!Y239&gt;=2,"C",IF('Data Source'!Y239&gt;=1,"D","F")))))),"")</f>
        <v/>
      </c>
      <c r="H239" s="3">
        <f>IF(AND('Data Source'!B239&lt;&gt;"",'Data Source'!S239="F"),IF('Data Source'!Z239&gt;=5,"A+",IF('Data Source'!Z239&gt;=4,"A",IF('Data Source'!Z239&gt;=3.5,"A-",IF('Data Source'!Z239&gt;=3,"B",IF('Data Source'!Z239&gt;=2,"C",IF('Data Source'!Z239&gt;=1,"D","F")))))),"")</f>
        <v/>
      </c>
      <c r="I239" s="3">
        <f>IF(AND('Data Source'!B239&lt;&gt;"",'Data Source'!S239="F"),IF('Data Source'!AA239&gt;=5,"A+",IF('Data Source'!AA239&gt;=4,"A",IF('Data Source'!AA239&gt;=3.5,"A-",IF('Data Source'!AA239&gt;=3,"B",IF('Data Source'!AA239&gt;=2,"C",IF('Data Source'!AA239&gt;=1,"D","F")))))),"")</f>
        <v/>
      </c>
      <c r="J239" s="3">
        <f>IF(AND('Data Source'!B239&lt;&gt;"",'Data Source'!S239="F"),IF('Data Source'!AB239&gt;=5,"A+",IF('Data Source'!AB239&gt;=4,"A",IF('Data Source'!AB239&gt;=3.5,"A-",IF('Data Source'!AB239&gt;=3,"B",IF('Data Source'!AB239&gt;=2,"C",IF('Data Source'!AB239&gt;=1,"D","F")))))),"")</f>
        <v/>
      </c>
      <c r="K239" s="3">
        <f>IF(AND('Data Source'!B239&lt;&gt;"",'Data Source'!S239="F"),IF('Data Source'!AC239&gt;=5,"A+",IF('Data Source'!AC239&gt;=4,"A",IF('Data Source'!AC239&gt;=3.5,"A-",IF('Data Source'!AC239&gt;=3,"B",IF('Data Source'!AC239&gt;=2,"C",IF('Data Source'!AC239&gt;=1,"D","F")))))),"")</f>
        <v/>
      </c>
      <c r="L239" s="3">
        <f>IF(AND('Data Source'!B239&lt;&gt;"",'Data Source'!S239="F"),IF('Data Source'!AD239&gt;=5,"A+",IF('Data Source'!AD239&gt;=4,"A",IF('Data Source'!AD239&gt;=3.5,"A-",IF('Data Source'!AD239&gt;=3,"B",IF('Data Source'!AD239&gt;=2,"C",IF('Data Source'!AD239&gt;=1,"D","F")))))),"")</f>
        <v/>
      </c>
      <c r="M239" s="3">
        <f>IF(AND('Data Source'!B239&lt;&gt;"",'Data Source'!S239="F"),IF('Data Source'!AE239&gt;=5,"A+",IF('Data Source'!AE239&gt;=4,"A",IF('Data Source'!AE239&gt;=3.5,"A-",IF('Data Source'!AE239&gt;=3,"B",IF('Data Source'!AE239&gt;=2,"C",IF('Data Source'!AE239&gt;=1,"D","F")))))),"")</f>
        <v/>
      </c>
      <c r="N239" s="3">
        <f>IF(AND('Data Source'!B239&lt;&gt;"",'Data Source'!S239="F"),IF('Data Source'!AF239&gt;=5,"A+",IF('Data Source'!AF239&gt;=4,"A",IF('Data Source'!AF239&gt;=3.5,"A-",IF('Data Source'!AF239&gt;=3,"B",IF('Data Source'!AF239&gt;=2,"C",IF('Data Source'!AF239&gt;=1,"D","F")))))),"")</f>
        <v/>
      </c>
      <c r="O239" s="3">
        <f>IF(AND('Data Source'!B239&lt;&gt;"",'Data Source'!S239="F"),IF('Data Source'!AG239&gt;=5,"A+",IF('Data Source'!AG239&gt;=4,"A",IF('Data Source'!AG239&gt;=3.5,"A-",IF('Data Source'!AG239&gt;=3,"B",IF('Data Source'!AG239&gt;=2,"C",IF('Data Source'!AG239&gt;=1,"D","F")))))),"")</f>
        <v/>
      </c>
      <c r="P239" s="5">
        <f>IF(AND('Data Source'!B239&lt;&gt;"",'Data Source'!S239="F"),'Data Source'!R239,"")</f>
        <v/>
      </c>
      <c r="Q239" s="3">
        <f>IF(AND('Data Source'!B239&lt;&gt;"",'Data Source'!S239="F"),'Data Source'!S239,"")</f>
        <v/>
      </c>
    </row>
    <row r="240">
      <c r="A240" s="3">
        <f>IF(AND('Data Source'!B240&lt;&gt;"",'Data Source'!S240="F"),COUNTIF('Data Source'!$S$3:S240,"F"),"")</f>
        <v/>
      </c>
      <c r="B240">
        <f>IF(AND('Data Source'!B240&lt;&gt;"",'Data Source'!S240="F"),'Data Source'!B240,"")</f>
        <v/>
      </c>
      <c r="C240" s="3">
        <f>IF(AND('Data Source'!B240&lt;&gt;"",'Data Source'!S240="F"),IF('Data Source'!U240&gt;=5,"A+",IF('Data Source'!U240&gt;=4,"A",IF('Data Source'!U240&gt;=3.5,"A-",IF('Data Source'!U240&gt;=3,"B",IF('Data Source'!U240&gt;=2,"C",IF('Data Source'!U240&gt;=1,"D","F")))))),"")</f>
        <v/>
      </c>
      <c r="D240" s="3">
        <f>IF(AND('Data Source'!B240&lt;&gt;"",'Data Source'!S240="F"),IF('Data Source'!V240&gt;=5,"A+",IF('Data Source'!V240&gt;=4,"A",IF('Data Source'!V240&gt;=3.5,"A-",IF('Data Source'!V240&gt;=3,"B",IF('Data Source'!V240&gt;=2,"C",IF('Data Source'!V240&gt;=1,"D","F")))))),"")</f>
        <v/>
      </c>
      <c r="E240" s="3">
        <f>IF(AND('Data Source'!B240&lt;&gt;"",'Data Source'!S240="F"),IF('Data Source'!W240&gt;=5,"A+",IF('Data Source'!W240&gt;=4,"A",IF('Data Source'!W240&gt;=3.5,"A-",IF('Data Source'!W240&gt;=3,"B",IF('Data Source'!W240&gt;=2,"C",IF('Data Source'!W240&gt;=1,"D","F")))))),"")</f>
        <v/>
      </c>
      <c r="F240" s="3">
        <f>IF(AND('Data Source'!B240&lt;&gt;"",'Data Source'!S240="F"),IF('Data Source'!X240&gt;=5,"A+",IF('Data Source'!X240&gt;=4,"A",IF('Data Source'!X240&gt;=3.5,"A-",IF('Data Source'!X240&gt;=3,"B",IF('Data Source'!X240&gt;=2,"C",IF('Data Source'!X240&gt;=1,"D","F")))))),"")</f>
        <v/>
      </c>
      <c r="G240" s="3">
        <f>IF(AND('Data Source'!B240&lt;&gt;"",'Data Source'!S240="F"),IF('Data Source'!Y240&gt;=5,"A+",IF('Data Source'!Y240&gt;=4,"A",IF('Data Source'!Y240&gt;=3.5,"A-",IF('Data Source'!Y240&gt;=3,"B",IF('Data Source'!Y240&gt;=2,"C",IF('Data Source'!Y240&gt;=1,"D","F")))))),"")</f>
        <v/>
      </c>
      <c r="H240" s="3">
        <f>IF(AND('Data Source'!B240&lt;&gt;"",'Data Source'!S240="F"),IF('Data Source'!Z240&gt;=5,"A+",IF('Data Source'!Z240&gt;=4,"A",IF('Data Source'!Z240&gt;=3.5,"A-",IF('Data Source'!Z240&gt;=3,"B",IF('Data Source'!Z240&gt;=2,"C",IF('Data Source'!Z240&gt;=1,"D","F")))))),"")</f>
        <v/>
      </c>
      <c r="I240" s="3">
        <f>IF(AND('Data Source'!B240&lt;&gt;"",'Data Source'!S240="F"),IF('Data Source'!AA240&gt;=5,"A+",IF('Data Source'!AA240&gt;=4,"A",IF('Data Source'!AA240&gt;=3.5,"A-",IF('Data Source'!AA240&gt;=3,"B",IF('Data Source'!AA240&gt;=2,"C",IF('Data Source'!AA240&gt;=1,"D","F")))))),"")</f>
        <v/>
      </c>
      <c r="J240" s="3">
        <f>IF(AND('Data Source'!B240&lt;&gt;"",'Data Source'!S240="F"),IF('Data Source'!AB240&gt;=5,"A+",IF('Data Source'!AB240&gt;=4,"A",IF('Data Source'!AB240&gt;=3.5,"A-",IF('Data Source'!AB240&gt;=3,"B",IF('Data Source'!AB240&gt;=2,"C",IF('Data Source'!AB240&gt;=1,"D","F")))))),"")</f>
        <v/>
      </c>
      <c r="K240" s="3">
        <f>IF(AND('Data Source'!B240&lt;&gt;"",'Data Source'!S240="F"),IF('Data Source'!AC240&gt;=5,"A+",IF('Data Source'!AC240&gt;=4,"A",IF('Data Source'!AC240&gt;=3.5,"A-",IF('Data Source'!AC240&gt;=3,"B",IF('Data Source'!AC240&gt;=2,"C",IF('Data Source'!AC240&gt;=1,"D","F")))))),"")</f>
        <v/>
      </c>
      <c r="L240" s="3">
        <f>IF(AND('Data Source'!B240&lt;&gt;"",'Data Source'!S240="F"),IF('Data Source'!AD240&gt;=5,"A+",IF('Data Source'!AD240&gt;=4,"A",IF('Data Source'!AD240&gt;=3.5,"A-",IF('Data Source'!AD240&gt;=3,"B",IF('Data Source'!AD240&gt;=2,"C",IF('Data Source'!AD240&gt;=1,"D","F")))))),"")</f>
        <v/>
      </c>
      <c r="M240" s="3">
        <f>IF(AND('Data Source'!B240&lt;&gt;"",'Data Source'!S240="F"),IF('Data Source'!AE240&gt;=5,"A+",IF('Data Source'!AE240&gt;=4,"A",IF('Data Source'!AE240&gt;=3.5,"A-",IF('Data Source'!AE240&gt;=3,"B",IF('Data Source'!AE240&gt;=2,"C",IF('Data Source'!AE240&gt;=1,"D","F")))))),"")</f>
        <v/>
      </c>
      <c r="N240" s="3">
        <f>IF(AND('Data Source'!B240&lt;&gt;"",'Data Source'!S240="F"),IF('Data Source'!AF240&gt;=5,"A+",IF('Data Source'!AF240&gt;=4,"A",IF('Data Source'!AF240&gt;=3.5,"A-",IF('Data Source'!AF240&gt;=3,"B",IF('Data Source'!AF240&gt;=2,"C",IF('Data Source'!AF240&gt;=1,"D","F")))))),"")</f>
        <v/>
      </c>
      <c r="O240" s="3">
        <f>IF(AND('Data Source'!B240&lt;&gt;"",'Data Source'!S240="F"),IF('Data Source'!AG240&gt;=5,"A+",IF('Data Source'!AG240&gt;=4,"A",IF('Data Source'!AG240&gt;=3.5,"A-",IF('Data Source'!AG240&gt;=3,"B",IF('Data Source'!AG240&gt;=2,"C",IF('Data Source'!AG240&gt;=1,"D","F")))))),"")</f>
        <v/>
      </c>
      <c r="P240" s="5">
        <f>IF(AND('Data Source'!B240&lt;&gt;"",'Data Source'!S240="F"),'Data Source'!R240,"")</f>
        <v/>
      </c>
      <c r="Q240" s="3">
        <f>IF(AND('Data Source'!B240&lt;&gt;"",'Data Source'!S240="F"),'Data Source'!S240,"")</f>
        <v/>
      </c>
    </row>
    <row r="241">
      <c r="A241" s="3">
        <f>IF(AND('Data Source'!B241&lt;&gt;"",'Data Source'!S241="F"),COUNTIF('Data Source'!$S$3:S241,"F"),"")</f>
        <v/>
      </c>
      <c r="B241">
        <f>IF(AND('Data Source'!B241&lt;&gt;"",'Data Source'!S241="F"),'Data Source'!B241,"")</f>
        <v/>
      </c>
      <c r="C241" s="3">
        <f>IF(AND('Data Source'!B241&lt;&gt;"",'Data Source'!S241="F"),IF('Data Source'!U241&gt;=5,"A+",IF('Data Source'!U241&gt;=4,"A",IF('Data Source'!U241&gt;=3.5,"A-",IF('Data Source'!U241&gt;=3,"B",IF('Data Source'!U241&gt;=2,"C",IF('Data Source'!U241&gt;=1,"D","F")))))),"")</f>
        <v/>
      </c>
      <c r="D241" s="3">
        <f>IF(AND('Data Source'!B241&lt;&gt;"",'Data Source'!S241="F"),IF('Data Source'!V241&gt;=5,"A+",IF('Data Source'!V241&gt;=4,"A",IF('Data Source'!V241&gt;=3.5,"A-",IF('Data Source'!V241&gt;=3,"B",IF('Data Source'!V241&gt;=2,"C",IF('Data Source'!V241&gt;=1,"D","F")))))),"")</f>
        <v/>
      </c>
      <c r="E241" s="3">
        <f>IF(AND('Data Source'!B241&lt;&gt;"",'Data Source'!S241="F"),IF('Data Source'!W241&gt;=5,"A+",IF('Data Source'!W241&gt;=4,"A",IF('Data Source'!W241&gt;=3.5,"A-",IF('Data Source'!W241&gt;=3,"B",IF('Data Source'!W241&gt;=2,"C",IF('Data Source'!W241&gt;=1,"D","F")))))),"")</f>
        <v/>
      </c>
      <c r="F241" s="3">
        <f>IF(AND('Data Source'!B241&lt;&gt;"",'Data Source'!S241="F"),IF('Data Source'!X241&gt;=5,"A+",IF('Data Source'!X241&gt;=4,"A",IF('Data Source'!X241&gt;=3.5,"A-",IF('Data Source'!X241&gt;=3,"B",IF('Data Source'!X241&gt;=2,"C",IF('Data Source'!X241&gt;=1,"D","F")))))),"")</f>
        <v/>
      </c>
      <c r="G241" s="3">
        <f>IF(AND('Data Source'!B241&lt;&gt;"",'Data Source'!S241="F"),IF('Data Source'!Y241&gt;=5,"A+",IF('Data Source'!Y241&gt;=4,"A",IF('Data Source'!Y241&gt;=3.5,"A-",IF('Data Source'!Y241&gt;=3,"B",IF('Data Source'!Y241&gt;=2,"C",IF('Data Source'!Y241&gt;=1,"D","F")))))),"")</f>
        <v/>
      </c>
      <c r="H241" s="3">
        <f>IF(AND('Data Source'!B241&lt;&gt;"",'Data Source'!S241="F"),IF('Data Source'!Z241&gt;=5,"A+",IF('Data Source'!Z241&gt;=4,"A",IF('Data Source'!Z241&gt;=3.5,"A-",IF('Data Source'!Z241&gt;=3,"B",IF('Data Source'!Z241&gt;=2,"C",IF('Data Source'!Z241&gt;=1,"D","F")))))),"")</f>
        <v/>
      </c>
      <c r="I241" s="3">
        <f>IF(AND('Data Source'!B241&lt;&gt;"",'Data Source'!S241="F"),IF('Data Source'!AA241&gt;=5,"A+",IF('Data Source'!AA241&gt;=4,"A",IF('Data Source'!AA241&gt;=3.5,"A-",IF('Data Source'!AA241&gt;=3,"B",IF('Data Source'!AA241&gt;=2,"C",IF('Data Source'!AA241&gt;=1,"D","F")))))),"")</f>
        <v/>
      </c>
      <c r="J241" s="3">
        <f>IF(AND('Data Source'!B241&lt;&gt;"",'Data Source'!S241="F"),IF('Data Source'!AB241&gt;=5,"A+",IF('Data Source'!AB241&gt;=4,"A",IF('Data Source'!AB241&gt;=3.5,"A-",IF('Data Source'!AB241&gt;=3,"B",IF('Data Source'!AB241&gt;=2,"C",IF('Data Source'!AB241&gt;=1,"D","F")))))),"")</f>
        <v/>
      </c>
      <c r="K241" s="3">
        <f>IF(AND('Data Source'!B241&lt;&gt;"",'Data Source'!S241="F"),IF('Data Source'!AC241&gt;=5,"A+",IF('Data Source'!AC241&gt;=4,"A",IF('Data Source'!AC241&gt;=3.5,"A-",IF('Data Source'!AC241&gt;=3,"B",IF('Data Source'!AC241&gt;=2,"C",IF('Data Source'!AC241&gt;=1,"D","F")))))),"")</f>
        <v/>
      </c>
      <c r="L241" s="3">
        <f>IF(AND('Data Source'!B241&lt;&gt;"",'Data Source'!S241="F"),IF('Data Source'!AD241&gt;=5,"A+",IF('Data Source'!AD241&gt;=4,"A",IF('Data Source'!AD241&gt;=3.5,"A-",IF('Data Source'!AD241&gt;=3,"B",IF('Data Source'!AD241&gt;=2,"C",IF('Data Source'!AD241&gt;=1,"D","F")))))),"")</f>
        <v/>
      </c>
      <c r="M241" s="3">
        <f>IF(AND('Data Source'!B241&lt;&gt;"",'Data Source'!S241="F"),IF('Data Source'!AE241&gt;=5,"A+",IF('Data Source'!AE241&gt;=4,"A",IF('Data Source'!AE241&gt;=3.5,"A-",IF('Data Source'!AE241&gt;=3,"B",IF('Data Source'!AE241&gt;=2,"C",IF('Data Source'!AE241&gt;=1,"D","F")))))),"")</f>
        <v/>
      </c>
      <c r="N241" s="3">
        <f>IF(AND('Data Source'!B241&lt;&gt;"",'Data Source'!S241="F"),IF('Data Source'!AF241&gt;=5,"A+",IF('Data Source'!AF241&gt;=4,"A",IF('Data Source'!AF241&gt;=3.5,"A-",IF('Data Source'!AF241&gt;=3,"B",IF('Data Source'!AF241&gt;=2,"C",IF('Data Source'!AF241&gt;=1,"D","F")))))),"")</f>
        <v/>
      </c>
      <c r="O241" s="3">
        <f>IF(AND('Data Source'!B241&lt;&gt;"",'Data Source'!S241="F"),IF('Data Source'!AG241&gt;=5,"A+",IF('Data Source'!AG241&gt;=4,"A",IF('Data Source'!AG241&gt;=3.5,"A-",IF('Data Source'!AG241&gt;=3,"B",IF('Data Source'!AG241&gt;=2,"C",IF('Data Source'!AG241&gt;=1,"D","F")))))),"")</f>
        <v/>
      </c>
      <c r="P241" s="5">
        <f>IF(AND('Data Source'!B241&lt;&gt;"",'Data Source'!S241="F"),'Data Source'!R241,"")</f>
        <v/>
      </c>
      <c r="Q241" s="3">
        <f>IF(AND('Data Source'!B241&lt;&gt;"",'Data Source'!S241="F"),'Data Source'!S241,"")</f>
        <v/>
      </c>
    </row>
    <row r="242">
      <c r="A242" s="3">
        <f>IF(AND('Data Source'!B242&lt;&gt;"",'Data Source'!S242="F"),COUNTIF('Data Source'!$S$3:S242,"F"),"")</f>
        <v/>
      </c>
      <c r="B242">
        <f>IF(AND('Data Source'!B242&lt;&gt;"",'Data Source'!S242="F"),'Data Source'!B242,"")</f>
        <v/>
      </c>
      <c r="C242" s="3">
        <f>IF(AND('Data Source'!B242&lt;&gt;"",'Data Source'!S242="F"),IF('Data Source'!U242&gt;=5,"A+",IF('Data Source'!U242&gt;=4,"A",IF('Data Source'!U242&gt;=3.5,"A-",IF('Data Source'!U242&gt;=3,"B",IF('Data Source'!U242&gt;=2,"C",IF('Data Source'!U242&gt;=1,"D","F")))))),"")</f>
        <v/>
      </c>
      <c r="D242" s="3">
        <f>IF(AND('Data Source'!B242&lt;&gt;"",'Data Source'!S242="F"),IF('Data Source'!V242&gt;=5,"A+",IF('Data Source'!V242&gt;=4,"A",IF('Data Source'!V242&gt;=3.5,"A-",IF('Data Source'!V242&gt;=3,"B",IF('Data Source'!V242&gt;=2,"C",IF('Data Source'!V242&gt;=1,"D","F")))))),"")</f>
        <v/>
      </c>
      <c r="E242" s="3">
        <f>IF(AND('Data Source'!B242&lt;&gt;"",'Data Source'!S242="F"),IF('Data Source'!W242&gt;=5,"A+",IF('Data Source'!W242&gt;=4,"A",IF('Data Source'!W242&gt;=3.5,"A-",IF('Data Source'!W242&gt;=3,"B",IF('Data Source'!W242&gt;=2,"C",IF('Data Source'!W242&gt;=1,"D","F")))))),"")</f>
        <v/>
      </c>
      <c r="F242" s="3">
        <f>IF(AND('Data Source'!B242&lt;&gt;"",'Data Source'!S242="F"),IF('Data Source'!X242&gt;=5,"A+",IF('Data Source'!X242&gt;=4,"A",IF('Data Source'!X242&gt;=3.5,"A-",IF('Data Source'!X242&gt;=3,"B",IF('Data Source'!X242&gt;=2,"C",IF('Data Source'!X242&gt;=1,"D","F")))))),"")</f>
        <v/>
      </c>
      <c r="G242" s="3">
        <f>IF(AND('Data Source'!B242&lt;&gt;"",'Data Source'!S242="F"),IF('Data Source'!Y242&gt;=5,"A+",IF('Data Source'!Y242&gt;=4,"A",IF('Data Source'!Y242&gt;=3.5,"A-",IF('Data Source'!Y242&gt;=3,"B",IF('Data Source'!Y242&gt;=2,"C",IF('Data Source'!Y242&gt;=1,"D","F")))))),"")</f>
        <v/>
      </c>
      <c r="H242" s="3">
        <f>IF(AND('Data Source'!B242&lt;&gt;"",'Data Source'!S242="F"),IF('Data Source'!Z242&gt;=5,"A+",IF('Data Source'!Z242&gt;=4,"A",IF('Data Source'!Z242&gt;=3.5,"A-",IF('Data Source'!Z242&gt;=3,"B",IF('Data Source'!Z242&gt;=2,"C",IF('Data Source'!Z242&gt;=1,"D","F")))))),"")</f>
        <v/>
      </c>
      <c r="I242" s="3">
        <f>IF(AND('Data Source'!B242&lt;&gt;"",'Data Source'!S242="F"),IF('Data Source'!AA242&gt;=5,"A+",IF('Data Source'!AA242&gt;=4,"A",IF('Data Source'!AA242&gt;=3.5,"A-",IF('Data Source'!AA242&gt;=3,"B",IF('Data Source'!AA242&gt;=2,"C",IF('Data Source'!AA242&gt;=1,"D","F")))))),"")</f>
        <v/>
      </c>
      <c r="J242" s="3">
        <f>IF(AND('Data Source'!B242&lt;&gt;"",'Data Source'!S242="F"),IF('Data Source'!AB242&gt;=5,"A+",IF('Data Source'!AB242&gt;=4,"A",IF('Data Source'!AB242&gt;=3.5,"A-",IF('Data Source'!AB242&gt;=3,"B",IF('Data Source'!AB242&gt;=2,"C",IF('Data Source'!AB242&gt;=1,"D","F")))))),"")</f>
        <v/>
      </c>
      <c r="K242" s="3">
        <f>IF(AND('Data Source'!B242&lt;&gt;"",'Data Source'!S242="F"),IF('Data Source'!AC242&gt;=5,"A+",IF('Data Source'!AC242&gt;=4,"A",IF('Data Source'!AC242&gt;=3.5,"A-",IF('Data Source'!AC242&gt;=3,"B",IF('Data Source'!AC242&gt;=2,"C",IF('Data Source'!AC242&gt;=1,"D","F")))))),"")</f>
        <v/>
      </c>
      <c r="L242" s="3">
        <f>IF(AND('Data Source'!B242&lt;&gt;"",'Data Source'!S242="F"),IF('Data Source'!AD242&gt;=5,"A+",IF('Data Source'!AD242&gt;=4,"A",IF('Data Source'!AD242&gt;=3.5,"A-",IF('Data Source'!AD242&gt;=3,"B",IF('Data Source'!AD242&gt;=2,"C",IF('Data Source'!AD242&gt;=1,"D","F")))))),"")</f>
        <v/>
      </c>
      <c r="M242" s="3">
        <f>IF(AND('Data Source'!B242&lt;&gt;"",'Data Source'!S242="F"),IF('Data Source'!AE242&gt;=5,"A+",IF('Data Source'!AE242&gt;=4,"A",IF('Data Source'!AE242&gt;=3.5,"A-",IF('Data Source'!AE242&gt;=3,"B",IF('Data Source'!AE242&gt;=2,"C",IF('Data Source'!AE242&gt;=1,"D","F")))))),"")</f>
        <v/>
      </c>
      <c r="N242" s="3">
        <f>IF(AND('Data Source'!B242&lt;&gt;"",'Data Source'!S242="F"),IF('Data Source'!AF242&gt;=5,"A+",IF('Data Source'!AF242&gt;=4,"A",IF('Data Source'!AF242&gt;=3.5,"A-",IF('Data Source'!AF242&gt;=3,"B",IF('Data Source'!AF242&gt;=2,"C",IF('Data Source'!AF242&gt;=1,"D","F")))))),"")</f>
        <v/>
      </c>
      <c r="O242" s="3">
        <f>IF(AND('Data Source'!B242&lt;&gt;"",'Data Source'!S242="F"),IF('Data Source'!AG242&gt;=5,"A+",IF('Data Source'!AG242&gt;=4,"A",IF('Data Source'!AG242&gt;=3.5,"A-",IF('Data Source'!AG242&gt;=3,"B",IF('Data Source'!AG242&gt;=2,"C",IF('Data Source'!AG242&gt;=1,"D","F")))))),"")</f>
        <v/>
      </c>
      <c r="P242" s="5">
        <f>IF(AND('Data Source'!B242&lt;&gt;"",'Data Source'!S242="F"),'Data Source'!R242,"")</f>
        <v/>
      </c>
      <c r="Q242" s="3">
        <f>IF(AND('Data Source'!B242&lt;&gt;"",'Data Source'!S242="F"),'Data Source'!S242,"")</f>
        <v/>
      </c>
    </row>
    <row r="243">
      <c r="A243" s="3">
        <f>IF(AND('Data Source'!B243&lt;&gt;"",'Data Source'!S243="F"),COUNTIF('Data Source'!$S$3:S243,"F"),"")</f>
        <v/>
      </c>
      <c r="B243">
        <f>IF(AND('Data Source'!B243&lt;&gt;"",'Data Source'!S243="F"),'Data Source'!B243,"")</f>
        <v/>
      </c>
      <c r="C243" s="3">
        <f>IF(AND('Data Source'!B243&lt;&gt;"",'Data Source'!S243="F"),IF('Data Source'!U243&gt;=5,"A+",IF('Data Source'!U243&gt;=4,"A",IF('Data Source'!U243&gt;=3.5,"A-",IF('Data Source'!U243&gt;=3,"B",IF('Data Source'!U243&gt;=2,"C",IF('Data Source'!U243&gt;=1,"D","F")))))),"")</f>
        <v/>
      </c>
      <c r="D243" s="3">
        <f>IF(AND('Data Source'!B243&lt;&gt;"",'Data Source'!S243="F"),IF('Data Source'!V243&gt;=5,"A+",IF('Data Source'!V243&gt;=4,"A",IF('Data Source'!V243&gt;=3.5,"A-",IF('Data Source'!V243&gt;=3,"B",IF('Data Source'!V243&gt;=2,"C",IF('Data Source'!V243&gt;=1,"D","F")))))),"")</f>
        <v/>
      </c>
      <c r="E243" s="3">
        <f>IF(AND('Data Source'!B243&lt;&gt;"",'Data Source'!S243="F"),IF('Data Source'!W243&gt;=5,"A+",IF('Data Source'!W243&gt;=4,"A",IF('Data Source'!W243&gt;=3.5,"A-",IF('Data Source'!W243&gt;=3,"B",IF('Data Source'!W243&gt;=2,"C",IF('Data Source'!W243&gt;=1,"D","F")))))),"")</f>
        <v/>
      </c>
      <c r="F243" s="3">
        <f>IF(AND('Data Source'!B243&lt;&gt;"",'Data Source'!S243="F"),IF('Data Source'!X243&gt;=5,"A+",IF('Data Source'!X243&gt;=4,"A",IF('Data Source'!X243&gt;=3.5,"A-",IF('Data Source'!X243&gt;=3,"B",IF('Data Source'!X243&gt;=2,"C",IF('Data Source'!X243&gt;=1,"D","F")))))),"")</f>
        <v/>
      </c>
      <c r="G243" s="3">
        <f>IF(AND('Data Source'!B243&lt;&gt;"",'Data Source'!S243="F"),IF('Data Source'!Y243&gt;=5,"A+",IF('Data Source'!Y243&gt;=4,"A",IF('Data Source'!Y243&gt;=3.5,"A-",IF('Data Source'!Y243&gt;=3,"B",IF('Data Source'!Y243&gt;=2,"C",IF('Data Source'!Y243&gt;=1,"D","F")))))),"")</f>
        <v/>
      </c>
      <c r="H243" s="3">
        <f>IF(AND('Data Source'!B243&lt;&gt;"",'Data Source'!S243="F"),IF('Data Source'!Z243&gt;=5,"A+",IF('Data Source'!Z243&gt;=4,"A",IF('Data Source'!Z243&gt;=3.5,"A-",IF('Data Source'!Z243&gt;=3,"B",IF('Data Source'!Z243&gt;=2,"C",IF('Data Source'!Z243&gt;=1,"D","F")))))),"")</f>
        <v/>
      </c>
      <c r="I243" s="3">
        <f>IF(AND('Data Source'!B243&lt;&gt;"",'Data Source'!S243="F"),IF('Data Source'!AA243&gt;=5,"A+",IF('Data Source'!AA243&gt;=4,"A",IF('Data Source'!AA243&gt;=3.5,"A-",IF('Data Source'!AA243&gt;=3,"B",IF('Data Source'!AA243&gt;=2,"C",IF('Data Source'!AA243&gt;=1,"D","F")))))),"")</f>
        <v/>
      </c>
      <c r="J243" s="3">
        <f>IF(AND('Data Source'!B243&lt;&gt;"",'Data Source'!S243="F"),IF('Data Source'!AB243&gt;=5,"A+",IF('Data Source'!AB243&gt;=4,"A",IF('Data Source'!AB243&gt;=3.5,"A-",IF('Data Source'!AB243&gt;=3,"B",IF('Data Source'!AB243&gt;=2,"C",IF('Data Source'!AB243&gt;=1,"D","F")))))),"")</f>
        <v/>
      </c>
      <c r="K243" s="3">
        <f>IF(AND('Data Source'!B243&lt;&gt;"",'Data Source'!S243="F"),IF('Data Source'!AC243&gt;=5,"A+",IF('Data Source'!AC243&gt;=4,"A",IF('Data Source'!AC243&gt;=3.5,"A-",IF('Data Source'!AC243&gt;=3,"B",IF('Data Source'!AC243&gt;=2,"C",IF('Data Source'!AC243&gt;=1,"D","F")))))),"")</f>
        <v/>
      </c>
      <c r="L243" s="3">
        <f>IF(AND('Data Source'!B243&lt;&gt;"",'Data Source'!S243="F"),IF('Data Source'!AD243&gt;=5,"A+",IF('Data Source'!AD243&gt;=4,"A",IF('Data Source'!AD243&gt;=3.5,"A-",IF('Data Source'!AD243&gt;=3,"B",IF('Data Source'!AD243&gt;=2,"C",IF('Data Source'!AD243&gt;=1,"D","F")))))),"")</f>
        <v/>
      </c>
      <c r="M243" s="3">
        <f>IF(AND('Data Source'!B243&lt;&gt;"",'Data Source'!S243="F"),IF('Data Source'!AE243&gt;=5,"A+",IF('Data Source'!AE243&gt;=4,"A",IF('Data Source'!AE243&gt;=3.5,"A-",IF('Data Source'!AE243&gt;=3,"B",IF('Data Source'!AE243&gt;=2,"C",IF('Data Source'!AE243&gt;=1,"D","F")))))),"")</f>
        <v/>
      </c>
      <c r="N243" s="3">
        <f>IF(AND('Data Source'!B243&lt;&gt;"",'Data Source'!S243="F"),IF('Data Source'!AF243&gt;=5,"A+",IF('Data Source'!AF243&gt;=4,"A",IF('Data Source'!AF243&gt;=3.5,"A-",IF('Data Source'!AF243&gt;=3,"B",IF('Data Source'!AF243&gt;=2,"C",IF('Data Source'!AF243&gt;=1,"D","F")))))),"")</f>
        <v/>
      </c>
      <c r="O243" s="3">
        <f>IF(AND('Data Source'!B243&lt;&gt;"",'Data Source'!S243="F"),IF('Data Source'!AG243&gt;=5,"A+",IF('Data Source'!AG243&gt;=4,"A",IF('Data Source'!AG243&gt;=3.5,"A-",IF('Data Source'!AG243&gt;=3,"B",IF('Data Source'!AG243&gt;=2,"C",IF('Data Source'!AG243&gt;=1,"D","F")))))),"")</f>
        <v/>
      </c>
      <c r="P243" s="5">
        <f>IF(AND('Data Source'!B243&lt;&gt;"",'Data Source'!S243="F"),'Data Source'!R243,"")</f>
        <v/>
      </c>
      <c r="Q243" s="3">
        <f>IF(AND('Data Source'!B243&lt;&gt;"",'Data Source'!S243="F"),'Data Source'!S243,"")</f>
        <v/>
      </c>
    </row>
    <row r="244">
      <c r="A244" s="3">
        <f>IF(AND('Data Source'!B244&lt;&gt;"",'Data Source'!S244="F"),COUNTIF('Data Source'!$S$3:S244,"F"),"")</f>
        <v/>
      </c>
      <c r="B244">
        <f>IF(AND('Data Source'!B244&lt;&gt;"",'Data Source'!S244="F"),'Data Source'!B244,"")</f>
        <v/>
      </c>
      <c r="C244" s="3">
        <f>IF(AND('Data Source'!B244&lt;&gt;"",'Data Source'!S244="F"),IF('Data Source'!U244&gt;=5,"A+",IF('Data Source'!U244&gt;=4,"A",IF('Data Source'!U244&gt;=3.5,"A-",IF('Data Source'!U244&gt;=3,"B",IF('Data Source'!U244&gt;=2,"C",IF('Data Source'!U244&gt;=1,"D","F")))))),"")</f>
        <v/>
      </c>
      <c r="D244" s="3">
        <f>IF(AND('Data Source'!B244&lt;&gt;"",'Data Source'!S244="F"),IF('Data Source'!V244&gt;=5,"A+",IF('Data Source'!V244&gt;=4,"A",IF('Data Source'!V244&gt;=3.5,"A-",IF('Data Source'!V244&gt;=3,"B",IF('Data Source'!V244&gt;=2,"C",IF('Data Source'!V244&gt;=1,"D","F")))))),"")</f>
        <v/>
      </c>
      <c r="E244" s="3">
        <f>IF(AND('Data Source'!B244&lt;&gt;"",'Data Source'!S244="F"),IF('Data Source'!W244&gt;=5,"A+",IF('Data Source'!W244&gt;=4,"A",IF('Data Source'!W244&gt;=3.5,"A-",IF('Data Source'!W244&gt;=3,"B",IF('Data Source'!W244&gt;=2,"C",IF('Data Source'!W244&gt;=1,"D","F")))))),"")</f>
        <v/>
      </c>
      <c r="F244" s="3">
        <f>IF(AND('Data Source'!B244&lt;&gt;"",'Data Source'!S244="F"),IF('Data Source'!X244&gt;=5,"A+",IF('Data Source'!X244&gt;=4,"A",IF('Data Source'!X244&gt;=3.5,"A-",IF('Data Source'!X244&gt;=3,"B",IF('Data Source'!X244&gt;=2,"C",IF('Data Source'!X244&gt;=1,"D","F")))))),"")</f>
        <v/>
      </c>
      <c r="G244" s="3">
        <f>IF(AND('Data Source'!B244&lt;&gt;"",'Data Source'!S244="F"),IF('Data Source'!Y244&gt;=5,"A+",IF('Data Source'!Y244&gt;=4,"A",IF('Data Source'!Y244&gt;=3.5,"A-",IF('Data Source'!Y244&gt;=3,"B",IF('Data Source'!Y244&gt;=2,"C",IF('Data Source'!Y244&gt;=1,"D","F")))))),"")</f>
        <v/>
      </c>
      <c r="H244" s="3">
        <f>IF(AND('Data Source'!B244&lt;&gt;"",'Data Source'!S244="F"),IF('Data Source'!Z244&gt;=5,"A+",IF('Data Source'!Z244&gt;=4,"A",IF('Data Source'!Z244&gt;=3.5,"A-",IF('Data Source'!Z244&gt;=3,"B",IF('Data Source'!Z244&gt;=2,"C",IF('Data Source'!Z244&gt;=1,"D","F")))))),"")</f>
        <v/>
      </c>
      <c r="I244" s="3">
        <f>IF(AND('Data Source'!B244&lt;&gt;"",'Data Source'!S244="F"),IF('Data Source'!AA244&gt;=5,"A+",IF('Data Source'!AA244&gt;=4,"A",IF('Data Source'!AA244&gt;=3.5,"A-",IF('Data Source'!AA244&gt;=3,"B",IF('Data Source'!AA244&gt;=2,"C",IF('Data Source'!AA244&gt;=1,"D","F")))))),"")</f>
        <v/>
      </c>
      <c r="J244" s="3">
        <f>IF(AND('Data Source'!B244&lt;&gt;"",'Data Source'!S244="F"),IF('Data Source'!AB244&gt;=5,"A+",IF('Data Source'!AB244&gt;=4,"A",IF('Data Source'!AB244&gt;=3.5,"A-",IF('Data Source'!AB244&gt;=3,"B",IF('Data Source'!AB244&gt;=2,"C",IF('Data Source'!AB244&gt;=1,"D","F")))))),"")</f>
        <v/>
      </c>
      <c r="K244" s="3">
        <f>IF(AND('Data Source'!B244&lt;&gt;"",'Data Source'!S244="F"),IF('Data Source'!AC244&gt;=5,"A+",IF('Data Source'!AC244&gt;=4,"A",IF('Data Source'!AC244&gt;=3.5,"A-",IF('Data Source'!AC244&gt;=3,"B",IF('Data Source'!AC244&gt;=2,"C",IF('Data Source'!AC244&gt;=1,"D","F")))))),"")</f>
        <v/>
      </c>
      <c r="L244" s="3">
        <f>IF(AND('Data Source'!B244&lt;&gt;"",'Data Source'!S244="F"),IF('Data Source'!AD244&gt;=5,"A+",IF('Data Source'!AD244&gt;=4,"A",IF('Data Source'!AD244&gt;=3.5,"A-",IF('Data Source'!AD244&gt;=3,"B",IF('Data Source'!AD244&gt;=2,"C",IF('Data Source'!AD244&gt;=1,"D","F")))))),"")</f>
        <v/>
      </c>
      <c r="M244" s="3">
        <f>IF(AND('Data Source'!B244&lt;&gt;"",'Data Source'!S244="F"),IF('Data Source'!AE244&gt;=5,"A+",IF('Data Source'!AE244&gt;=4,"A",IF('Data Source'!AE244&gt;=3.5,"A-",IF('Data Source'!AE244&gt;=3,"B",IF('Data Source'!AE244&gt;=2,"C",IF('Data Source'!AE244&gt;=1,"D","F")))))),"")</f>
        <v/>
      </c>
      <c r="N244" s="3">
        <f>IF(AND('Data Source'!B244&lt;&gt;"",'Data Source'!S244="F"),IF('Data Source'!AF244&gt;=5,"A+",IF('Data Source'!AF244&gt;=4,"A",IF('Data Source'!AF244&gt;=3.5,"A-",IF('Data Source'!AF244&gt;=3,"B",IF('Data Source'!AF244&gt;=2,"C",IF('Data Source'!AF244&gt;=1,"D","F")))))),"")</f>
        <v/>
      </c>
      <c r="O244" s="3">
        <f>IF(AND('Data Source'!B244&lt;&gt;"",'Data Source'!S244="F"),IF('Data Source'!AG244&gt;=5,"A+",IF('Data Source'!AG244&gt;=4,"A",IF('Data Source'!AG244&gt;=3.5,"A-",IF('Data Source'!AG244&gt;=3,"B",IF('Data Source'!AG244&gt;=2,"C",IF('Data Source'!AG244&gt;=1,"D","F")))))),"")</f>
        <v/>
      </c>
      <c r="P244" s="5">
        <f>IF(AND('Data Source'!B244&lt;&gt;"",'Data Source'!S244="F"),'Data Source'!R244,"")</f>
        <v/>
      </c>
      <c r="Q244" s="3">
        <f>IF(AND('Data Source'!B244&lt;&gt;"",'Data Source'!S244="F"),'Data Source'!S244,"")</f>
        <v/>
      </c>
    </row>
    <row r="245">
      <c r="A245" s="3">
        <f>IF(AND('Data Source'!B245&lt;&gt;"",'Data Source'!S245="F"),COUNTIF('Data Source'!$S$3:S245,"F"),"")</f>
        <v/>
      </c>
      <c r="B245">
        <f>IF(AND('Data Source'!B245&lt;&gt;"",'Data Source'!S245="F"),'Data Source'!B245,"")</f>
        <v/>
      </c>
      <c r="C245" s="3">
        <f>IF(AND('Data Source'!B245&lt;&gt;"",'Data Source'!S245="F"),IF('Data Source'!U245&gt;=5,"A+",IF('Data Source'!U245&gt;=4,"A",IF('Data Source'!U245&gt;=3.5,"A-",IF('Data Source'!U245&gt;=3,"B",IF('Data Source'!U245&gt;=2,"C",IF('Data Source'!U245&gt;=1,"D","F")))))),"")</f>
        <v/>
      </c>
      <c r="D245" s="3">
        <f>IF(AND('Data Source'!B245&lt;&gt;"",'Data Source'!S245="F"),IF('Data Source'!V245&gt;=5,"A+",IF('Data Source'!V245&gt;=4,"A",IF('Data Source'!V245&gt;=3.5,"A-",IF('Data Source'!V245&gt;=3,"B",IF('Data Source'!V245&gt;=2,"C",IF('Data Source'!V245&gt;=1,"D","F")))))),"")</f>
        <v/>
      </c>
      <c r="E245" s="3">
        <f>IF(AND('Data Source'!B245&lt;&gt;"",'Data Source'!S245="F"),IF('Data Source'!W245&gt;=5,"A+",IF('Data Source'!W245&gt;=4,"A",IF('Data Source'!W245&gt;=3.5,"A-",IF('Data Source'!W245&gt;=3,"B",IF('Data Source'!W245&gt;=2,"C",IF('Data Source'!W245&gt;=1,"D","F")))))),"")</f>
        <v/>
      </c>
      <c r="F245" s="3">
        <f>IF(AND('Data Source'!B245&lt;&gt;"",'Data Source'!S245="F"),IF('Data Source'!X245&gt;=5,"A+",IF('Data Source'!X245&gt;=4,"A",IF('Data Source'!X245&gt;=3.5,"A-",IF('Data Source'!X245&gt;=3,"B",IF('Data Source'!X245&gt;=2,"C",IF('Data Source'!X245&gt;=1,"D","F")))))),"")</f>
        <v/>
      </c>
      <c r="G245" s="3">
        <f>IF(AND('Data Source'!B245&lt;&gt;"",'Data Source'!S245="F"),IF('Data Source'!Y245&gt;=5,"A+",IF('Data Source'!Y245&gt;=4,"A",IF('Data Source'!Y245&gt;=3.5,"A-",IF('Data Source'!Y245&gt;=3,"B",IF('Data Source'!Y245&gt;=2,"C",IF('Data Source'!Y245&gt;=1,"D","F")))))),"")</f>
        <v/>
      </c>
      <c r="H245" s="3">
        <f>IF(AND('Data Source'!B245&lt;&gt;"",'Data Source'!S245="F"),IF('Data Source'!Z245&gt;=5,"A+",IF('Data Source'!Z245&gt;=4,"A",IF('Data Source'!Z245&gt;=3.5,"A-",IF('Data Source'!Z245&gt;=3,"B",IF('Data Source'!Z245&gt;=2,"C",IF('Data Source'!Z245&gt;=1,"D","F")))))),"")</f>
        <v/>
      </c>
      <c r="I245" s="3">
        <f>IF(AND('Data Source'!B245&lt;&gt;"",'Data Source'!S245="F"),IF('Data Source'!AA245&gt;=5,"A+",IF('Data Source'!AA245&gt;=4,"A",IF('Data Source'!AA245&gt;=3.5,"A-",IF('Data Source'!AA245&gt;=3,"B",IF('Data Source'!AA245&gt;=2,"C",IF('Data Source'!AA245&gt;=1,"D","F")))))),"")</f>
        <v/>
      </c>
      <c r="J245" s="3">
        <f>IF(AND('Data Source'!B245&lt;&gt;"",'Data Source'!S245="F"),IF('Data Source'!AB245&gt;=5,"A+",IF('Data Source'!AB245&gt;=4,"A",IF('Data Source'!AB245&gt;=3.5,"A-",IF('Data Source'!AB245&gt;=3,"B",IF('Data Source'!AB245&gt;=2,"C",IF('Data Source'!AB245&gt;=1,"D","F")))))),"")</f>
        <v/>
      </c>
      <c r="K245" s="3">
        <f>IF(AND('Data Source'!B245&lt;&gt;"",'Data Source'!S245="F"),IF('Data Source'!AC245&gt;=5,"A+",IF('Data Source'!AC245&gt;=4,"A",IF('Data Source'!AC245&gt;=3.5,"A-",IF('Data Source'!AC245&gt;=3,"B",IF('Data Source'!AC245&gt;=2,"C",IF('Data Source'!AC245&gt;=1,"D","F")))))),"")</f>
        <v/>
      </c>
      <c r="L245" s="3">
        <f>IF(AND('Data Source'!B245&lt;&gt;"",'Data Source'!S245="F"),IF('Data Source'!AD245&gt;=5,"A+",IF('Data Source'!AD245&gt;=4,"A",IF('Data Source'!AD245&gt;=3.5,"A-",IF('Data Source'!AD245&gt;=3,"B",IF('Data Source'!AD245&gt;=2,"C",IF('Data Source'!AD245&gt;=1,"D","F")))))),"")</f>
        <v/>
      </c>
      <c r="M245" s="3">
        <f>IF(AND('Data Source'!B245&lt;&gt;"",'Data Source'!S245="F"),IF('Data Source'!AE245&gt;=5,"A+",IF('Data Source'!AE245&gt;=4,"A",IF('Data Source'!AE245&gt;=3.5,"A-",IF('Data Source'!AE245&gt;=3,"B",IF('Data Source'!AE245&gt;=2,"C",IF('Data Source'!AE245&gt;=1,"D","F")))))),"")</f>
        <v/>
      </c>
      <c r="N245" s="3">
        <f>IF(AND('Data Source'!B245&lt;&gt;"",'Data Source'!S245="F"),IF('Data Source'!AF245&gt;=5,"A+",IF('Data Source'!AF245&gt;=4,"A",IF('Data Source'!AF245&gt;=3.5,"A-",IF('Data Source'!AF245&gt;=3,"B",IF('Data Source'!AF245&gt;=2,"C",IF('Data Source'!AF245&gt;=1,"D","F")))))),"")</f>
        <v/>
      </c>
      <c r="O245" s="3">
        <f>IF(AND('Data Source'!B245&lt;&gt;"",'Data Source'!S245="F"),IF('Data Source'!AG245&gt;=5,"A+",IF('Data Source'!AG245&gt;=4,"A",IF('Data Source'!AG245&gt;=3.5,"A-",IF('Data Source'!AG245&gt;=3,"B",IF('Data Source'!AG245&gt;=2,"C",IF('Data Source'!AG245&gt;=1,"D","F")))))),"")</f>
        <v/>
      </c>
      <c r="P245" s="5">
        <f>IF(AND('Data Source'!B245&lt;&gt;"",'Data Source'!S245="F"),'Data Source'!R245,"")</f>
        <v/>
      </c>
      <c r="Q245" s="3">
        <f>IF(AND('Data Source'!B245&lt;&gt;"",'Data Source'!S245="F"),'Data Source'!S245,"")</f>
        <v/>
      </c>
    </row>
    <row r="246">
      <c r="A246" s="3">
        <f>IF(AND('Data Source'!B246&lt;&gt;"",'Data Source'!S246="F"),COUNTIF('Data Source'!$S$3:S246,"F"),"")</f>
        <v/>
      </c>
      <c r="B246">
        <f>IF(AND('Data Source'!B246&lt;&gt;"",'Data Source'!S246="F"),'Data Source'!B246,"")</f>
        <v/>
      </c>
      <c r="C246" s="3">
        <f>IF(AND('Data Source'!B246&lt;&gt;"",'Data Source'!S246="F"),IF('Data Source'!U246&gt;=5,"A+",IF('Data Source'!U246&gt;=4,"A",IF('Data Source'!U246&gt;=3.5,"A-",IF('Data Source'!U246&gt;=3,"B",IF('Data Source'!U246&gt;=2,"C",IF('Data Source'!U246&gt;=1,"D","F")))))),"")</f>
        <v/>
      </c>
      <c r="D246" s="3">
        <f>IF(AND('Data Source'!B246&lt;&gt;"",'Data Source'!S246="F"),IF('Data Source'!V246&gt;=5,"A+",IF('Data Source'!V246&gt;=4,"A",IF('Data Source'!V246&gt;=3.5,"A-",IF('Data Source'!V246&gt;=3,"B",IF('Data Source'!V246&gt;=2,"C",IF('Data Source'!V246&gt;=1,"D","F")))))),"")</f>
        <v/>
      </c>
      <c r="E246" s="3">
        <f>IF(AND('Data Source'!B246&lt;&gt;"",'Data Source'!S246="F"),IF('Data Source'!W246&gt;=5,"A+",IF('Data Source'!W246&gt;=4,"A",IF('Data Source'!W246&gt;=3.5,"A-",IF('Data Source'!W246&gt;=3,"B",IF('Data Source'!W246&gt;=2,"C",IF('Data Source'!W246&gt;=1,"D","F")))))),"")</f>
        <v/>
      </c>
      <c r="F246" s="3">
        <f>IF(AND('Data Source'!B246&lt;&gt;"",'Data Source'!S246="F"),IF('Data Source'!X246&gt;=5,"A+",IF('Data Source'!X246&gt;=4,"A",IF('Data Source'!X246&gt;=3.5,"A-",IF('Data Source'!X246&gt;=3,"B",IF('Data Source'!X246&gt;=2,"C",IF('Data Source'!X246&gt;=1,"D","F")))))),"")</f>
        <v/>
      </c>
      <c r="G246" s="3">
        <f>IF(AND('Data Source'!B246&lt;&gt;"",'Data Source'!S246="F"),IF('Data Source'!Y246&gt;=5,"A+",IF('Data Source'!Y246&gt;=4,"A",IF('Data Source'!Y246&gt;=3.5,"A-",IF('Data Source'!Y246&gt;=3,"B",IF('Data Source'!Y246&gt;=2,"C",IF('Data Source'!Y246&gt;=1,"D","F")))))),"")</f>
        <v/>
      </c>
      <c r="H246" s="3">
        <f>IF(AND('Data Source'!B246&lt;&gt;"",'Data Source'!S246="F"),IF('Data Source'!Z246&gt;=5,"A+",IF('Data Source'!Z246&gt;=4,"A",IF('Data Source'!Z246&gt;=3.5,"A-",IF('Data Source'!Z246&gt;=3,"B",IF('Data Source'!Z246&gt;=2,"C",IF('Data Source'!Z246&gt;=1,"D","F")))))),"")</f>
        <v/>
      </c>
      <c r="I246" s="3">
        <f>IF(AND('Data Source'!B246&lt;&gt;"",'Data Source'!S246="F"),IF('Data Source'!AA246&gt;=5,"A+",IF('Data Source'!AA246&gt;=4,"A",IF('Data Source'!AA246&gt;=3.5,"A-",IF('Data Source'!AA246&gt;=3,"B",IF('Data Source'!AA246&gt;=2,"C",IF('Data Source'!AA246&gt;=1,"D","F")))))),"")</f>
        <v/>
      </c>
      <c r="J246" s="3">
        <f>IF(AND('Data Source'!B246&lt;&gt;"",'Data Source'!S246="F"),IF('Data Source'!AB246&gt;=5,"A+",IF('Data Source'!AB246&gt;=4,"A",IF('Data Source'!AB246&gt;=3.5,"A-",IF('Data Source'!AB246&gt;=3,"B",IF('Data Source'!AB246&gt;=2,"C",IF('Data Source'!AB246&gt;=1,"D","F")))))),"")</f>
        <v/>
      </c>
      <c r="K246" s="3">
        <f>IF(AND('Data Source'!B246&lt;&gt;"",'Data Source'!S246="F"),IF('Data Source'!AC246&gt;=5,"A+",IF('Data Source'!AC246&gt;=4,"A",IF('Data Source'!AC246&gt;=3.5,"A-",IF('Data Source'!AC246&gt;=3,"B",IF('Data Source'!AC246&gt;=2,"C",IF('Data Source'!AC246&gt;=1,"D","F")))))),"")</f>
        <v/>
      </c>
      <c r="L246" s="3">
        <f>IF(AND('Data Source'!B246&lt;&gt;"",'Data Source'!S246="F"),IF('Data Source'!AD246&gt;=5,"A+",IF('Data Source'!AD246&gt;=4,"A",IF('Data Source'!AD246&gt;=3.5,"A-",IF('Data Source'!AD246&gt;=3,"B",IF('Data Source'!AD246&gt;=2,"C",IF('Data Source'!AD246&gt;=1,"D","F")))))),"")</f>
        <v/>
      </c>
      <c r="M246" s="3">
        <f>IF(AND('Data Source'!B246&lt;&gt;"",'Data Source'!S246="F"),IF('Data Source'!AE246&gt;=5,"A+",IF('Data Source'!AE246&gt;=4,"A",IF('Data Source'!AE246&gt;=3.5,"A-",IF('Data Source'!AE246&gt;=3,"B",IF('Data Source'!AE246&gt;=2,"C",IF('Data Source'!AE246&gt;=1,"D","F")))))),"")</f>
        <v/>
      </c>
      <c r="N246" s="3">
        <f>IF(AND('Data Source'!B246&lt;&gt;"",'Data Source'!S246="F"),IF('Data Source'!AF246&gt;=5,"A+",IF('Data Source'!AF246&gt;=4,"A",IF('Data Source'!AF246&gt;=3.5,"A-",IF('Data Source'!AF246&gt;=3,"B",IF('Data Source'!AF246&gt;=2,"C",IF('Data Source'!AF246&gt;=1,"D","F")))))),"")</f>
        <v/>
      </c>
      <c r="O246" s="3">
        <f>IF(AND('Data Source'!B246&lt;&gt;"",'Data Source'!S246="F"),IF('Data Source'!AG246&gt;=5,"A+",IF('Data Source'!AG246&gt;=4,"A",IF('Data Source'!AG246&gt;=3.5,"A-",IF('Data Source'!AG246&gt;=3,"B",IF('Data Source'!AG246&gt;=2,"C",IF('Data Source'!AG246&gt;=1,"D","F")))))),"")</f>
        <v/>
      </c>
      <c r="P246" s="5">
        <f>IF(AND('Data Source'!B246&lt;&gt;"",'Data Source'!S246="F"),'Data Source'!R246,"")</f>
        <v/>
      </c>
      <c r="Q246" s="3">
        <f>IF(AND('Data Source'!B246&lt;&gt;"",'Data Source'!S246="F"),'Data Source'!S246,"")</f>
        <v/>
      </c>
    </row>
    <row r="247">
      <c r="A247" s="3">
        <f>IF(AND('Data Source'!B247&lt;&gt;"",'Data Source'!S247="F"),COUNTIF('Data Source'!$S$3:S247,"F"),"")</f>
        <v/>
      </c>
      <c r="B247">
        <f>IF(AND('Data Source'!B247&lt;&gt;"",'Data Source'!S247="F"),'Data Source'!B247,"")</f>
        <v/>
      </c>
      <c r="C247" s="3">
        <f>IF(AND('Data Source'!B247&lt;&gt;"",'Data Source'!S247="F"),IF('Data Source'!U247&gt;=5,"A+",IF('Data Source'!U247&gt;=4,"A",IF('Data Source'!U247&gt;=3.5,"A-",IF('Data Source'!U247&gt;=3,"B",IF('Data Source'!U247&gt;=2,"C",IF('Data Source'!U247&gt;=1,"D","F")))))),"")</f>
        <v/>
      </c>
      <c r="D247" s="3">
        <f>IF(AND('Data Source'!B247&lt;&gt;"",'Data Source'!S247="F"),IF('Data Source'!V247&gt;=5,"A+",IF('Data Source'!V247&gt;=4,"A",IF('Data Source'!V247&gt;=3.5,"A-",IF('Data Source'!V247&gt;=3,"B",IF('Data Source'!V247&gt;=2,"C",IF('Data Source'!V247&gt;=1,"D","F")))))),"")</f>
        <v/>
      </c>
      <c r="E247" s="3">
        <f>IF(AND('Data Source'!B247&lt;&gt;"",'Data Source'!S247="F"),IF('Data Source'!W247&gt;=5,"A+",IF('Data Source'!W247&gt;=4,"A",IF('Data Source'!W247&gt;=3.5,"A-",IF('Data Source'!W247&gt;=3,"B",IF('Data Source'!W247&gt;=2,"C",IF('Data Source'!W247&gt;=1,"D","F")))))),"")</f>
        <v/>
      </c>
      <c r="F247" s="3">
        <f>IF(AND('Data Source'!B247&lt;&gt;"",'Data Source'!S247="F"),IF('Data Source'!X247&gt;=5,"A+",IF('Data Source'!X247&gt;=4,"A",IF('Data Source'!X247&gt;=3.5,"A-",IF('Data Source'!X247&gt;=3,"B",IF('Data Source'!X247&gt;=2,"C",IF('Data Source'!X247&gt;=1,"D","F")))))),"")</f>
        <v/>
      </c>
      <c r="G247" s="3">
        <f>IF(AND('Data Source'!B247&lt;&gt;"",'Data Source'!S247="F"),IF('Data Source'!Y247&gt;=5,"A+",IF('Data Source'!Y247&gt;=4,"A",IF('Data Source'!Y247&gt;=3.5,"A-",IF('Data Source'!Y247&gt;=3,"B",IF('Data Source'!Y247&gt;=2,"C",IF('Data Source'!Y247&gt;=1,"D","F")))))),"")</f>
        <v/>
      </c>
      <c r="H247" s="3">
        <f>IF(AND('Data Source'!B247&lt;&gt;"",'Data Source'!S247="F"),IF('Data Source'!Z247&gt;=5,"A+",IF('Data Source'!Z247&gt;=4,"A",IF('Data Source'!Z247&gt;=3.5,"A-",IF('Data Source'!Z247&gt;=3,"B",IF('Data Source'!Z247&gt;=2,"C",IF('Data Source'!Z247&gt;=1,"D","F")))))),"")</f>
        <v/>
      </c>
      <c r="I247" s="3">
        <f>IF(AND('Data Source'!B247&lt;&gt;"",'Data Source'!S247="F"),IF('Data Source'!AA247&gt;=5,"A+",IF('Data Source'!AA247&gt;=4,"A",IF('Data Source'!AA247&gt;=3.5,"A-",IF('Data Source'!AA247&gt;=3,"B",IF('Data Source'!AA247&gt;=2,"C",IF('Data Source'!AA247&gt;=1,"D","F")))))),"")</f>
        <v/>
      </c>
      <c r="J247" s="3">
        <f>IF(AND('Data Source'!B247&lt;&gt;"",'Data Source'!S247="F"),IF('Data Source'!AB247&gt;=5,"A+",IF('Data Source'!AB247&gt;=4,"A",IF('Data Source'!AB247&gt;=3.5,"A-",IF('Data Source'!AB247&gt;=3,"B",IF('Data Source'!AB247&gt;=2,"C",IF('Data Source'!AB247&gt;=1,"D","F")))))),"")</f>
        <v/>
      </c>
      <c r="K247" s="3">
        <f>IF(AND('Data Source'!B247&lt;&gt;"",'Data Source'!S247="F"),IF('Data Source'!AC247&gt;=5,"A+",IF('Data Source'!AC247&gt;=4,"A",IF('Data Source'!AC247&gt;=3.5,"A-",IF('Data Source'!AC247&gt;=3,"B",IF('Data Source'!AC247&gt;=2,"C",IF('Data Source'!AC247&gt;=1,"D","F")))))),"")</f>
        <v/>
      </c>
      <c r="L247" s="3">
        <f>IF(AND('Data Source'!B247&lt;&gt;"",'Data Source'!S247="F"),IF('Data Source'!AD247&gt;=5,"A+",IF('Data Source'!AD247&gt;=4,"A",IF('Data Source'!AD247&gt;=3.5,"A-",IF('Data Source'!AD247&gt;=3,"B",IF('Data Source'!AD247&gt;=2,"C",IF('Data Source'!AD247&gt;=1,"D","F")))))),"")</f>
        <v/>
      </c>
      <c r="M247" s="3">
        <f>IF(AND('Data Source'!B247&lt;&gt;"",'Data Source'!S247="F"),IF('Data Source'!AE247&gt;=5,"A+",IF('Data Source'!AE247&gt;=4,"A",IF('Data Source'!AE247&gt;=3.5,"A-",IF('Data Source'!AE247&gt;=3,"B",IF('Data Source'!AE247&gt;=2,"C",IF('Data Source'!AE247&gt;=1,"D","F")))))),"")</f>
        <v/>
      </c>
      <c r="N247" s="3">
        <f>IF(AND('Data Source'!B247&lt;&gt;"",'Data Source'!S247="F"),IF('Data Source'!AF247&gt;=5,"A+",IF('Data Source'!AF247&gt;=4,"A",IF('Data Source'!AF247&gt;=3.5,"A-",IF('Data Source'!AF247&gt;=3,"B",IF('Data Source'!AF247&gt;=2,"C",IF('Data Source'!AF247&gt;=1,"D","F")))))),"")</f>
        <v/>
      </c>
      <c r="O247" s="3">
        <f>IF(AND('Data Source'!B247&lt;&gt;"",'Data Source'!S247="F"),IF('Data Source'!AG247&gt;=5,"A+",IF('Data Source'!AG247&gt;=4,"A",IF('Data Source'!AG247&gt;=3.5,"A-",IF('Data Source'!AG247&gt;=3,"B",IF('Data Source'!AG247&gt;=2,"C",IF('Data Source'!AG247&gt;=1,"D","F")))))),"")</f>
        <v/>
      </c>
      <c r="P247" s="5">
        <f>IF(AND('Data Source'!B247&lt;&gt;"",'Data Source'!S247="F"),'Data Source'!R247,"")</f>
        <v/>
      </c>
      <c r="Q247" s="3">
        <f>IF(AND('Data Source'!B247&lt;&gt;"",'Data Source'!S247="F"),'Data Source'!S247,"")</f>
        <v/>
      </c>
    </row>
    <row r="248">
      <c r="A248" s="3">
        <f>IF(AND('Data Source'!B248&lt;&gt;"",'Data Source'!S248="F"),COUNTIF('Data Source'!$S$3:S248,"F"),"")</f>
        <v/>
      </c>
      <c r="B248">
        <f>IF(AND('Data Source'!B248&lt;&gt;"",'Data Source'!S248="F"),'Data Source'!B248,"")</f>
        <v/>
      </c>
      <c r="C248" s="3">
        <f>IF(AND('Data Source'!B248&lt;&gt;"",'Data Source'!S248="F"),IF('Data Source'!U248&gt;=5,"A+",IF('Data Source'!U248&gt;=4,"A",IF('Data Source'!U248&gt;=3.5,"A-",IF('Data Source'!U248&gt;=3,"B",IF('Data Source'!U248&gt;=2,"C",IF('Data Source'!U248&gt;=1,"D","F")))))),"")</f>
        <v/>
      </c>
      <c r="D248" s="3">
        <f>IF(AND('Data Source'!B248&lt;&gt;"",'Data Source'!S248="F"),IF('Data Source'!V248&gt;=5,"A+",IF('Data Source'!V248&gt;=4,"A",IF('Data Source'!V248&gt;=3.5,"A-",IF('Data Source'!V248&gt;=3,"B",IF('Data Source'!V248&gt;=2,"C",IF('Data Source'!V248&gt;=1,"D","F")))))),"")</f>
        <v/>
      </c>
      <c r="E248" s="3">
        <f>IF(AND('Data Source'!B248&lt;&gt;"",'Data Source'!S248="F"),IF('Data Source'!W248&gt;=5,"A+",IF('Data Source'!W248&gt;=4,"A",IF('Data Source'!W248&gt;=3.5,"A-",IF('Data Source'!W248&gt;=3,"B",IF('Data Source'!W248&gt;=2,"C",IF('Data Source'!W248&gt;=1,"D","F")))))),"")</f>
        <v/>
      </c>
      <c r="F248" s="3">
        <f>IF(AND('Data Source'!B248&lt;&gt;"",'Data Source'!S248="F"),IF('Data Source'!X248&gt;=5,"A+",IF('Data Source'!X248&gt;=4,"A",IF('Data Source'!X248&gt;=3.5,"A-",IF('Data Source'!X248&gt;=3,"B",IF('Data Source'!X248&gt;=2,"C",IF('Data Source'!X248&gt;=1,"D","F")))))),"")</f>
        <v/>
      </c>
      <c r="G248" s="3">
        <f>IF(AND('Data Source'!B248&lt;&gt;"",'Data Source'!S248="F"),IF('Data Source'!Y248&gt;=5,"A+",IF('Data Source'!Y248&gt;=4,"A",IF('Data Source'!Y248&gt;=3.5,"A-",IF('Data Source'!Y248&gt;=3,"B",IF('Data Source'!Y248&gt;=2,"C",IF('Data Source'!Y248&gt;=1,"D","F")))))),"")</f>
        <v/>
      </c>
      <c r="H248" s="3">
        <f>IF(AND('Data Source'!B248&lt;&gt;"",'Data Source'!S248="F"),IF('Data Source'!Z248&gt;=5,"A+",IF('Data Source'!Z248&gt;=4,"A",IF('Data Source'!Z248&gt;=3.5,"A-",IF('Data Source'!Z248&gt;=3,"B",IF('Data Source'!Z248&gt;=2,"C",IF('Data Source'!Z248&gt;=1,"D","F")))))),"")</f>
        <v/>
      </c>
      <c r="I248" s="3">
        <f>IF(AND('Data Source'!B248&lt;&gt;"",'Data Source'!S248="F"),IF('Data Source'!AA248&gt;=5,"A+",IF('Data Source'!AA248&gt;=4,"A",IF('Data Source'!AA248&gt;=3.5,"A-",IF('Data Source'!AA248&gt;=3,"B",IF('Data Source'!AA248&gt;=2,"C",IF('Data Source'!AA248&gt;=1,"D","F")))))),"")</f>
        <v/>
      </c>
      <c r="J248" s="3">
        <f>IF(AND('Data Source'!B248&lt;&gt;"",'Data Source'!S248="F"),IF('Data Source'!AB248&gt;=5,"A+",IF('Data Source'!AB248&gt;=4,"A",IF('Data Source'!AB248&gt;=3.5,"A-",IF('Data Source'!AB248&gt;=3,"B",IF('Data Source'!AB248&gt;=2,"C",IF('Data Source'!AB248&gt;=1,"D","F")))))),"")</f>
        <v/>
      </c>
      <c r="K248" s="3">
        <f>IF(AND('Data Source'!B248&lt;&gt;"",'Data Source'!S248="F"),IF('Data Source'!AC248&gt;=5,"A+",IF('Data Source'!AC248&gt;=4,"A",IF('Data Source'!AC248&gt;=3.5,"A-",IF('Data Source'!AC248&gt;=3,"B",IF('Data Source'!AC248&gt;=2,"C",IF('Data Source'!AC248&gt;=1,"D","F")))))),"")</f>
        <v/>
      </c>
      <c r="L248" s="3">
        <f>IF(AND('Data Source'!B248&lt;&gt;"",'Data Source'!S248="F"),IF('Data Source'!AD248&gt;=5,"A+",IF('Data Source'!AD248&gt;=4,"A",IF('Data Source'!AD248&gt;=3.5,"A-",IF('Data Source'!AD248&gt;=3,"B",IF('Data Source'!AD248&gt;=2,"C",IF('Data Source'!AD248&gt;=1,"D","F")))))),"")</f>
        <v/>
      </c>
      <c r="M248" s="3">
        <f>IF(AND('Data Source'!B248&lt;&gt;"",'Data Source'!S248="F"),IF('Data Source'!AE248&gt;=5,"A+",IF('Data Source'!AE248&gt;=4,"A",IF('Data Source'!AE248&gt;=3.5,"A-",IF('Data Source'!AE248&gt;=3,"B",IF('Data Source'!AE248&gt;=2,"C",IF('Data Source'!AE248&gt;=1,"D","F")))))),"")</f>
        <v/>
      </c>
      <c r="N248" s="3">
        <f>IF(AND('Data Source'!B248&lt;&gt;"",'Data Source'!S248="F"),IF('Data Source'!AF248&gt;=5,"A+",IF('Data Source'!AF248&gt;=4,"A",IF('Data Source'!AF248&gt;=3.5,"A-",IF('Data Source'!AF248&gt;=3,"B",IF('Data Source'!AF248&gt;=2,"C",IF('Data Source'!AF248&gt;=1,"D","F")))))),"")</f>
        <v/>
      </c>
      <c r="O248" s="3">
        <f>IF(AND('Data Source'!B248&lt;&gt;"",'Data Source'!S248="F"),IF('Data Source'!AG248&gt;=5,"A+",IF('Data Source'!AG248&gt;=4,"A",IF('Data Source'!AG248&gt;=3.5,"A-",IF('Data Source'!AG248&gt;=3,"B",IF('Data Source'!AG248&gt;=2,"C",IF('Data Source'!AG248&gt;=1,"D","F")))))),"")</f>
        <v/>
      </c>
      <c r="P248" s="5">
        <f>IF(AND('Data Source'!B248&lt;&gt;"",'Data Source'!S248="F"),'Data Source'!R248,"")</f>
        <v/>
      </c>
      <c r="Q248" s="3">
        <f>IF(AND('Data Source'!B248&lt;&gt;"",'Data Source'!S248="F"),'Data Source'!S248,"")</f>
        <v/>
      </c>
    </row>
    <row r="249">
      <c r="A249" s="3">
        <f>IF(AND('Data Source'!B249&lt;&gt;"",'Data Source'!S249="F"),COUNTIF('Data Source'!$S$3:S249,"F"),"")</f>
        <v/>
      </c>
      <c r="B249">
        <f>IF(AND('Data Source'!B249&lt;&gt;"",'Data Source'!S249="F"),'Data Source'!B249,"")</f>
        <v/>
      </c>
      <c r="C249" s="3">
        <f>IF(AND('Data Source'!B249&lt;&gt;"",'Data Source'!S249="F"),IF('Data Source'!U249&gt;=5,"A+",IF('Data Source'!U249&gt;=4,"A",IF('Data Source'!U249&gt;=3.5,"A-",IF('Data Source'!U249&gt;=3,"B",IF('Data Source'!U249&gt;=2,"C",IF('Data Source'!U249&gt;=1,"D","F")))))),"")</f>
        <v/>
      </c>
      <c r="D249" s="3">
        <f>IF(AND('Data Source'!B249&lt;&gt;"",'Data Source'!S249="F"),IF('Data Source'!V249&gt;=5,"A+",IF('Data Source'!V249&gt;=4,"A",IF('Data Source'!V249&gt;=3.5,"A-",IF('Data Source'!V249&gt;=3,"B",IF('Data Source'!V249&gt;=2,"C",IF('Data Source'!V249&gt;=1,"D","F")))))),"")</f>
        <v/>
      </c>
      <c r="E249" s="3">
        <f>IF(AND('Data Source'!B249&lt;&gt;"",'Data Source'!S249="F"),IF('Data Source'!W249&gt;=5,"A+",IF('Data Source'!W249&gt;=4,"A",IF('Data Source'!W249&gt;=3.5,"A-",IF('Data Source'!W249&gt;=3,"B",IF('Data Source'!W249&gt;=2,"C",IF('Data Source'!W249&gt;=1,"D","F")))))),"")</f>
        <v/>
      </c>
      <c r="F249" s="3">
        <f>IF(AND('Data Source'!B249&lt;&gt;"",'Data Source'!S249="F"),IF('Data Source'!X249&gt;=5,"A+",IF('Data Source'!X249&gt;=4,"A",IF('Data Source'!X249&gt;=3.5,"A-",IF('Data Source'!X249&gt;=3,"B",IF('Data Source'!X249&gt;=2,"C",IF('Data Source'!X249&gt;=1,"D","F")))))),"")</f>
        <v/>
      </c>
      <c r="G249" s="3">
        <f>IF(AND('Data Source'!B249&lt;&gt;"",'Data Source'!S249="F"),IF('Data Source'!Y249&gt;=5,"A+",IF('Data Source'!Y249&gt;=4,"A",IF('Data Source'!Y249&gt;=3.5,"A-",IF('Data Source'!Y249&gt;=3,"B",IF('Data Source'!Y249&gt;=2,"C",IF('Data Source'!Y249&gt;=1,"D","F")))))),"")</f>
        <v/>
      </c>
      <c r="H249" s="3">
        <f>IF(AND('Data Source'!B249&lt;&gt;"",'Data Source'!S249="F"),IF('Data Source'!Z249&gt;=5,"A+",IF('Data Source'!Z249&gt;=4,"A",IF('Data Source'!Z249&gt;=3.5,"A-",IF('Data Source'!Z249&gt;=3,"B",IF('Data Source'!Z249&gt;=2,"C",IF('Data Source'!Z249&gt;=1,"D","F")))))),"")</f>
        <v/>
      </c>
      <c r="I249" s="3">
        <f>IF(AND('Data Source'!B249&lt;&gt;"",'Data Source'!S249="F"),IF('Data Source'!AA249&gt;=5,"A+",IF('Data Source'!AA249&gt;=4,"A",IF('Data Source'!AA249&gt;=3.5,"A-",IF('Data Source'!AA249&gt;=3,"B",IF('Data Source'!AA249&gt;=2,"C",IF('Data Source'!AA249&gt;=1,"D","F")))))),"")</f>
        <v/>
      </c>
      <c r="J249" s="3">
        <f>IF(AND('Data Source'!B249&lt;&gt;"",'Data Source'!S249="F"),IF('Data Source'!AB249&gt;=5,"A+",IF('Data Source'!AB249&gt;=4,"A",IF('Data Source'!AB249&gt;=3.5,"A-",IF('Data Source'!AB249&gt;=3,"B",IF('Data Source'!AB249&gt;=2,"C",IF('Data Source'!AB249&gt;=1,"D","F")))))),"")</f>
        <v/>
      </c>
      <c r="K249" s="3">
        <f>IF(AND('Data Source'!B249&lt;&gt;"",'Data Source'!S249="F"),IF('Data Source'!AC249&gt;=5,"A+",IF('Data Source'!AC249&gt;=4,"A",IF('Data Source'!AC249&gt;=3.5,"A-",IF('Data Source'!AC249&gt;=3,"B",IF('Data Source'!AC249&gt;=2,"C",IF('Data Source'!AC249&gt;=1,"D","F")))))),"")</f>
        <v/>
      </c>
      <c r="L249" s="3">
        <f>IF(AND('Data Source'!B249&lt;&gt;"",'Data Source'!S249="F"),IF('Data Source'!AD249&gt;=5,"A+",IF('Data Source'!AD249&gt;=4,"A",IF('Data Source'!AD249&gt;=3.5,"A-",IF('Data Source'!AD249&gt;=3,"B",IF('Data Source'!AD249&gt;=2,"C",IF('Data Source'!AD249&gt;=1,"D","F")))))),"")</f>
        <v/>
      </c>
      <c r="M249" s="3">
        <f>IF(AND('Data Source'!B249&lt;&gt;"",'Data Source'!S249="F"),IF('Data Source'!AE249&gt;=5,"A+",IF('Data Source'!AE249&gt;=4,"A",IF('Data Source'!AE249&gt;=3.5,"A-",IF('Data Source'!AE249&gt;=3,"B",IF('Data Source'!AE249&gt;=2,"C",IF('Data Source'!AE249&gt;=1,"D","F")))))),"")</f>
        <v/>
      </c>
      <c r="N249" s="3">
        <f>IF(AND('Data Source'!B249&lt;&gt;"",'Data Source'!S249="F"),IF('Data Source'!AF249&gt;=5,"A+",IF('Data Source'!AF249&gt;=4,"A",IF('Data Source'!AF249&gt;=3.5,"A-",IF('Data Source'!AF249&gt;=3,"B",IF('Data Source'!AF249&gt;=2,"C",IF('Data Source'!AF249&gt;=1,"D","F")))))),"")</f>
        <v/>
      </c>
      <c r="O249" s="3">
        <f>IF(AND('Data Source'!B249&lt;&gt;"",'Data Source'!S249="F"),IF('Data Source'!AG249&gt;=5,"A+",IF('Data Source'!AG249&gt;=4,"A",IF('Data Source'!AG249&gt;=3.5,"A-",IF('Data Source'!AG249&gt;=3,"B",IF('Data Source'!AG249&gt;=2,"C",IF('Data Source'!AG249&gt;=1,"D","F")))))),"")</f>
        <v/>
      </c>
      <c r="P249" s="5">
        <f>IF(AND('Data Source'!B249&lt;&gt;"",'Data Source'!S249="F"),'Data Source'!R249,"")</f>
        <v/>
      </c>
      <c r="Q249" s="3">
        <f>IF(AND('Data Source'!B249&lt;&gt;"",'Data Source'!S249="F"),'Data Source'!S249,"")</f>
        <v/>
      </c>
    </row>
    <row r="250">
      <c r="A250" s="3">
        <f>IF(AND('Data Source'!B250&lt;&gt;"",'Data Source'!S250="F"),COUNTIF('Data Source'!$S$3:S250,"F"),"")</f>
        <v/>
      </c>
      <c r="B250">
        <f>IF(AND('Data Source'!B250&lt;&gt;"",'Data Source'!S250="F"),'Data Source'!B250,"")</f>
        <v/>
      </c>
      <c r="C250" s="3">
        <f>IF(AND('Data Source'!B250&lt;&gt;"",'Data Source'!S250="F"),IF('Data Source'!U250&gt;=5,"A+",IF('Data Source'!U250&gt;=4,"A",IF('Data Source'!U250&gt;=3.5,"A-",IF('Data Source'!U250&gt;=3,"B",IF('Data Source'!U250&gt;=2,"C",IF('Data Source'!U250&gt;=1,"D","F")))))),"")</f>
        <v/>
      </c>
      <c r="D250" s="3">
        <f>IF(AND('Data Source'!B250&lt;&gt;"",'Data Source'!S250="F"),IF('Data Source'!V250&gt;=5,"A+",IF('Data Source'!V250&gt;=4,"A",IF('Data Source'!V250&gt;=3.5,"A-",IF('Data Source'!V250&gt;=3,"B",IF('Data Source'!V250&gt;=2,"C",IF('Data Source'!V250&gt;=1,"D","F")))))),"")</f>
        <v/>
      </c>
      <c r="E250" s="3">
        <f>IF(AND('Data Source'!B250&lt;&gt;"",'Data Source'!S250="F"),IF('Data Source'!W250&gt;=5,"A+",IF('Data Source'!W250&gt;=4,"A",IF('Data Source'!W250&gt;=3.5,"A-",IF('Data Source'!W250&gt;=3,"B",IF('Data Source'!W250&gt;=2,"C",IF('Data Source'!W250&gt;=1,"D","F")))))),"")</f>
        <v/>
      </c>
      <c r="F250" s="3">
        <f>IF(AND('Data Source'!B250&lt;&gt;"",'Data Source'!S250="F"),IF('Data Source'!X250&gt;=5,"A+",IF('Data Source'!X250&gt;=4,"A",IF('Data Source'!X250&gt;=3.5,"A-",IF('Data Source'!X250&gt;=3,"B",IF('Data Source'!X250&gt;=2,"C",IF('Data Source'!X250&gt;=1,"D","F")))))),"")</f>
        <v/>
      </c>
      <c r="G250" s="3">
        <f>IF(AND('Data Source'!B250&lt;&gt;"",'Data Source'!S250="F"),IF('Data Source'!Y250&gt;=5,"A+",IF('Data Source'!Y250&gt;=4,"A",IF('Data Source'!Y250&gt;=3.5,"A-",IF('Data Source'!Y250&gt;=3,"B",IF('Data Source'!Y250&gt;=2,"C",IF('Data Source'!Y250&gt;=1,"D","F")))))),"")</f>
        <v/>
      </c>
      <c r="H250" s="3">
        <f>IF(AND('Data Source'!B250&lt;&gt;"",'Data Source'!S250="F"),IF('Data Source'!Z250&gt;=5,"A+",IF('Data Source'!Z250&gt;=4,"A",IF('Data Source'!Z250&gt;=3.5,"A-",IF('Data Source'!Z250&gt;=3,"B",IF('Data Source'!Z250&gt;=2,"C",IF('Data Source'!Z250&gt;=1,"D","F")))))),"")</f>
        <v/>
      </c>
      <c r="I250" s="3">
        <f>IF(AND('Data Source'!B250&lt;&gt;"",'Data Source'!S250="F"),IF('Data Source'!AA250&gt;=5,"A+",IF('Data Source'!AA250&gt;=4,"A",IF('Data Source'!AA250&gt;=3.5,"A-",IF('Data Source'!AA250&gt;=3,"B",IF('Data Source'!AA250&gt;=2,"C",IF('Data Source'!AA250&gt;=1,"D","F")))))),"")</f>
        <v/>
      </c>
      <c r="J250" s="3">
        <f>IF(AND('Data Source'!B250&lt;&gt;"",'Data Source'!S250="F"),IF('Data Source'!AB250&gt;=5,"A+",IF('Data Source'!AB250&gt;=4,"A",IF('Data Source'!AB250&gt;=3.5,"A-",IF('Data Source'!AB250&gt;=3,"B",IF('Data Source'!AB250&gt;=2,"C",IF('Data Source'!AB250&gt;=1,"D","F")))))),"")</f>
        <v/>
      </c>
      <c r="K250" s="3">
        <f>IF(AND('Data Source'!B250&lt;&gt;"",'Data Source'!S250="F"),IF('Data Source'!AC250&gt;=5,"A+",IF('Data Source'!AC250&gt;=4,"A",IF('Data Source'!AC250&gt;=3.5,"A-",IF('Data Source'!AC250&gt;=3,"B",IF('Data Source'!AC250&gt;=2,"C",IF('Data Source'!AC250&gt;=1,"D","F")))))),"")</f>
        <v/>
      </c>
      <c r="L250" s="3">
        <f>IF(AND('Data Source'!B250&lt;&gt;"",'Data Source'!S250="F"),IF('Data Source'!AD250&gt;=5,"A+",IF('Data Source'!AD250&gt;=4,"A",IF('Data Source'!AD250&gt;=3.5,"A-",IF('Data Source'!AD250&gt;=3,"B",IF('Data Source'!AD250&gt;=2,"C",IF('Data Source'!AD250&gt;=1,"D","F")))))),"")</f>
        <v/>
      </c>
      <c r="M250" s="3">
        <f>IF(AND('Data Source'!B250&lt;&gt;"",'Data Source'!S250="F"),IF('Data Source'!AE250&gt;=5,"A+",IF('Data Source'!AE250&gt;=4,"A",IF('Data Source'!AE250&gt;=3.5,"A-",IF('Data Source'!AE250&gt;=3,"B",IF('Data Source'!AE250&gt;=2,"C",IF('Data Source'!AE250&gt;=1,"D","F")))))),"")</f>
        <v/>
      </c>
      <c r="N250" s="3">
        <f>IF(AND('Data Source'!B250&lt;&gt;"",'Data Source'!S250="F"),IF('Data Source'!AF250&gt;=5,"A+",IF('Data Source'!AF250&gt;=4,"A",IF('Data Source'!AF250&gt;=3.5,"A-",IF('Data Source'!AF250&gt;=3,"B",IF('Data Source'!AF250&gt;=2,"C",IF('Data Source'!AF250&gt;=1,"D","F")))))),"")</f>
        <v/>
      </c>
      <c r="O250" s="3">
        <f>IF(AND('Data Source'!B250&lt;&gt;"",'Data Source'!S250="F"),IF('Data Source'!AG250&gt;=5,"A+",IF('Data Source'!AG250&gt;=4,"A",IF('Data Source'!AG250&gt;=3.5,"A-",IF('Data Source'!AG250&gt;=3,"B",IF('Data Source'!AG250&gt;=2,"C",IF('Data Source'!AG250&gt;=1,"D","F")))))),"")</f>
        <v/>
      </c>
      <c r="P250" s="5">
        <f>IF(AND('Data Source'!B250&lt;&gt;"",'Data Source'!S250="F"),'Data Source'!R250,"")</f>
        <v/>
      </c>
      <c r="Q250" s="3">
        <f>IF(AND('Data Source'!B250&lt;&gt;"",'Data Source'!S250="F"),'Data Source'!S250,"")</f>
        <v/>
      </c>
    </row>
    <row r="251">
      <c r="A251" s="3">
        <f>IF(AND('Data Source'!B251&lt;&gt;"",'Data Source'!S251="F"),COUNTIF('Data Source'!$S$3:S251,"F"),"")</f>
        <v/>
      </c>
      <c r="B251">
        <f>IF(AND('Data Source'!B251&lt;&gt;"",'Data Source'!S251="F"),'Data Source'!B251,"")</f>
        <v/>
      </c>
      <c r="C251" s="3">
        <f>IF(AND('Data Source'!B251&lt;&gt;"",'Data Source'!S251="F"),IF('Data Source'!U251&gt;=5,"A+",IF('Data Source'!U251&gt;=4,"A",IF('Data Source'!U251&gt;=3.5,"A-",IF('Data Source'!U251&gt;=3,"B",IF('Data Source'!U251&gt;=2,"C",IF('Data Source'!U251&gt;=1,"D","F")))))),"")</f>
        <v/>
      </c>
      <c r="D251" s="3">
        <f>IF(AND('Data Source'!B251&lt;&gt;"",'Data Source'!S251="F"),IF('Data Source'!V251&gt;=5,"A+",IF('Data Source'!V251&gt;=4,"A",IF('Data Source'!V251&gt;=3.5,"A-",IF('Data Source'!V251&gt;=3,"B",IF('Data Source'!V251&gt;=2,"C",IF('Data Source'!V251&gt;=1,"D","F")))))),"")</f>
        <v/>
      </c>
      <c r="E251" s="3">
        <f>IF(AND('Data Source'!B251&lt;&gt;"",'Data Source'!S251="F"),IF('Data Source'!W251&gt;=5,"A+",IF('Data Source'!W251&gt;=4,"A",IF('Data Source'!W251&gt;=3.5,"A-",IF('Data Source'!W251&gt;=3,"B",IF('Data Source'!W251&gt;=2,"C",IF('Data Source'!W251&gt;=1,"D","F")))))),"")</f>
        <v/>
      </c>
      <c r="F251" s="3">
        <f>IF(AND('Data Source'!B251&lt;&gt;"",'Data Source'!S251="F"),IF('Data Source'!X251&gt;=5,"A+",IF('Data Source'!X251&gt;=4,"A",IF('Data Source'!X251&gt;=3.5,"A-",IF('Data Source'!X251&gt;=3,"B",IF('Data Source'!X251&gt;=2,"C",IF('Data Source'!X251&gt;=1,"D","F")))))),"")</f>
        <v/>
      </c>
      <c r="G251" s="3">
        <f>IF(AND('Data Source'!B251&lt;&gt;"",'Data Source'!S251="F"),IF('Data Source'!Y251&gt;=5,"A+",IF('Data Source'!Y251&gt;=4,"A",IF('Data Source'!Y251&gt;=3.5,"A-",IF('Data Source'!Y251&gt;=3,"B",IF('Data Source'!Y251&gt;=2,"C",IF('Data Source'!Y251&gt;=1,"D","F")))))),"")</f>
        <v/>
      </c>
      <c r="H251" s="3">
        <f>IF(AND('Data Source'!B251&lt;&gt;"",'Data Source'!S251="F"),IF('Data Source'!Z251&gt;=5,"A+",IF('Data Source'!Z251&gt;=4,"A",IF('Data Source'!Z251&gt;=3.5,"A-",IF('Data Source'!Z251&gt;=3,"B",IF('Data Source'!Z251&gt;=2,"C",IF('Data Source'!Z251&gt;=1,"D","F")))))),"")</f>
        <v/>
      </c>
      <c r="I251" s="3">
        <f>IF(AND('Data Source'!B251&lt;&gt;"",'Data Source'!S251="F"),IF('Data Source'!AA251&gt;=5,"A+",IF('Data Source'!AA251&gt;=4,"A",IF('Data Source'!AA251&gt;=3.5,"A-",IF('Data Source'!AA251&gt;=3,"B",IF('Data Source'!AA251&gt;=2,"C",IF('Data Source'!AA251&gt;=1,"D","F")))))),"")</f>
        <v/>
      </c>
      <c r="J251" s="3">
        <f>IF(AND('Data Source'!B251&lt;&gt;"",'Data Source'!S251="F"),IF('Data Source'!AB251&gt;=5,"A+",IF('Data Source'!AB251&gt;=4,"A",IF('Data Source'!AB251&gt;=3.5,"A-",IF('Data Source'!AB251&gt;=3,"B",IF('Data Source'!AB251&gt;=2,"C",IF('Data Source'!AB251&gt;=1,"D","F")))))),"")</f>
        <v/>
      </c>
      <c r="K251" s="3">
        <f>IF(AND('Data Source'!B251&lt;&gt;"",'Data Source'!S251="F"),IF('Data Source'!AC251&gt;=5,"A+",IF('Data Source'!AC251&gt;=4,"A",IF('Data Source'!AC251&gt;=3.5,"A-",IF('Data Source'!AC251&gt;=3,"B",IF('Data Source'!AC251&gt;=2,"C",IF('Data Source'!AC251&gt;=1,"D","F")))))),"")</f>
        <v/>
      </c>
      <c r="L251" s="3">
        <f>IF(AND('Data Source'!B251&lt;&gt;"",'Data Source'!S251="F"),IF('Data Source'!AD251&gt;=5,"A+",IF('Data Source'!AD251&gt;=4,"A",IF('Data Source'!AD251&gt;=3.5,"A-",IF('Data Source'!AD251&gt;=3,"B",IF('Data Source'!AD251&gt;=2,"C",IF('Data Source'!AD251&gt;=1,"D","F")))))),"")</f>
        <v/>
      </c>
      <c r="M251" s="3">
        <f>IF(AND('Data Source'!B251&lt;&gt;"",'Data Source'!S251="F"),IF('Data Source'!AE251&gt;=5,"A+",IF('Data Source'!AE251&gt;=4,"A",IF('Data Source'!AE251&gt;=3.5,"A-",IF('Data Source'!AE251&gt;=3,"B",IF('Data Source'!AE251&gt;=2,"C",IF('Data Source'!AE251&gt;=1,"D","F")))))),"")</f>
        <v/>
      </c>
      <c r="N251" s="3">
        <f>IF(AND('Data Source'!B251&lt;&gt;"",'Data Source'!S251="F"),IF('Data Source'!AF251&gt;=5,"A+",IF('Data Source'!AF251&gt;=4,"A",IF('Data Source'!AF251&gt;=3.5,"A-",IF('Data Source'!AF251&gt;=3,"B",IF('Data Source'!AF251&gt;=2,"C",IF('Data Source'!AF251&gt;=1,"D","F")))))),"")</f>
        <v/>
      </c>
      <c r="O251" s="3">
        <f>IF(AND('Data Source'!B251&lt;&gt;"",'Data Source'!S251="F"),IF('Data Source'!AG251&gt;=5,"A+",IF('Data Source'!AG251&gt;=4,"A",IF('Data Source'!AG251&gt;=3.5,"A-",IF('Data Source'!AG251&gt;=3,"B",IF('Data Source'!AG251&gt;=2,"C",IF('Data Source'!AG251&gt;=1,"D","F")))))),"")</f>
        <v/>
      </c>
      <c r="P251" s="5">
        <f>IF(AND('Data Source'!B251&lt;&gt;"",'Data Source'!S251="F"),'Data Source'!R251,"")</f>
        <v/>
      </c>
      <c r="Q251" s="3">
        <f>IF(AND('Data Source'!B251&lt;&gt;"",'Data Source'!S251="F"),'Data Source'!S251,"")</f>
        <v/>
      </c>
    </row>
    <row r="252">
      <c r="A252" s="3">
        <f>IF(AND('Data Source'!B252&lt;&gt;"",'Data Source'!S252="F"),COUNTIF('Data Source'!$S$3:S252,"F"),"")</f>
        <v/>
      </c>
      <c r="B252">
        <f>IF(AND('Data Source'!B252&lt;&gt;"",'Data Source'!S252="F"),'Data Source'!B252,"")</f>
        <v/>
      </c>
      <c r="C252" s="3">
        <f>IF(AND('Data Source'!B252&lt;&gt;"",'Data Source'!S252="F"),IF('Data Source'!U252&gt;=5,"A+",IF('Data Source'!U252&gt;=4,"A",IF('Data Source'!U252&gt;=3.5,"A-",IF('Data Source'!U252&gt;=3,"B",IF('Data Source'!U252&gt;=2,"C",IF('Data Source'!U252&gt;=1,"D","F")))))),"")</f>
        <v/>
      </c>
      <c r="D252" s="3">
        <f>IF(AND('Data Source'!B252&lt;&gt;"",'Data Source'!S252="F"),IF('Data Source'!V252&gt;=5,"A+",IF('Data Source'!V252&gt;=4,"A",IF('Data Source'!V252&gt;=3.5,"A-",IF('Data Source'!V252&gt;=3,"B",IF('Data Source'!V252&gt;=2,"C",IF('Data Source'!V252&gt;=1,"D","F")))))),"")</f>
        <v/>
      </c>
      <c r="E252" s="3">
        <f>IF(AND('Data Source'!B252&lt;&gt;"",'Data Source'!S252="F"),IF('Data Source'!W252&gt;=5,"A+",IF('Data Source'!W252&gt;=4,"A",IF('Data Source'!W252&gt;=3.5,"A-",IF('Data Source'!W252&gt;=3,"B",IF('Data Source'!W252&gt;=2,"C",IF('Data Source'!W252&gt;=1,"D","F")))))),"")</f>
        <v/>
      </c>
      <c r="F252" s="3">
        <f>IF(AND('Data Source'!B252&lt;&gt;"",'Data Source'!S252="F"),IF('Data Source'!X252&gt;=5,"A+",IF('Data Source'!X252&gt;=4,"A",IF('Data Source'!X252&gt;=3.5,"A-",IF('Data Source'!X252&gt;=3,"B",IF('Data Source'!X252&gt;=2,"C",IF('Data Source'!X252&gt;=1,"D","F")))))),"")</f>
        <v/>
      </c>
      <c r="G252" s="3">
        <f>IF(AND('Data Source'!B252&lt;&gt;"",'Data Source'!S252="F"),IF('Data Source'!Y252&gt;=5,"A+",IF('Data Source'!Y252&gt;=4,"A",IF('Data Source'!Y252&gt;=3.5,"A-",IF('Data Source'!Y252&gt;=3,"B",IF('Data Source'!Y252&gt;=2,"C",IF('Data Source'!Y252&gt;=1,"D","F")))))),"")</f>
        <v/>
      </c>
      <c r="H252" s="3">
        <f>IF(AND('Data Source'!B252&lt;&gt;"",'Data Source'!S252="F"),IF('Data Source'!Z252&gt;=5,"A+",IF('Data Source'!Z252&gt;=4,"A",IF('Data Source'!Z252&gt;=3.5,"A-",IF('Data Source'!Z252&gt;=3,"B",IF('Data Source'!Z252&gt;=2,"C",IF('Data Source'!Z252&gt;=1,"D","F")))))),"")</f>
        <v/>
      </c>
      <c r="I252" s="3">
        <f>IF(AND('Data Source'!B252&lt;&gt;"",'Data Source'!S252="F"),IF('Data Source'!AA252&gt;=5,"A+",IF('Data Source'!AA252&gt;=4,"A",IF('Data Source'!AA252&gt;=3.5,"A-",IF('Data Source'!AA252&gt;=3,"B",IF('Data Source'!AA252&gt;=2,"C",IF('Data Source'!AA252&gt;=1,"D","F")))))),"")</f>
        <v/>
      </c>
      <c r="J252" s="3">
        <f>IF(AND('Data Source'!B252&lt;&gt;"",'Data Source'!S252="F"),IF('Data Source'!AB252&gt;=5,"A+",IF('Data Source'!AB252&gt;=4,"A",IF('Data Source'!AB252&gt;=3.5,"A-",IF('Data Source'!AB252&gt;=3,"B",IF('Data Source'!AB252&gt;=2,"C",IF('Data Source'!AB252&gt;=1,"D","F")))))),"")</f>
        <v/>
      </c>
      <c r="K252" s="3">
        <f>IF(AND('Data Source'!B252&lt;&gt;"",'Data Source'!S252="F"),IF('Data Source'!AC252&gt;=5,"A+",IF('Data Source'!AC252&gt;=4,"A",IF('Data Source'!AC252&gt;=3.5,"A-",IF('Data Source'!AC252&gt;=3,"B",IF('Data Source'!AC252&gt;=2,"C",IF('Data Source'!AC252&gt;=1,"D","F")))))),"")</f>
        <v/>
      </c>
      <c r="L252" s="3">
        <f>IF(AND('Data Source'!B252&lt;&gt;"",'Data Source'!S252="F"),IF('Data Source'!AD252&gt;=5,"A+",IF('Data Source'!AD252&gt;=4,"A",IF('Data Source'!AD252&gt;=3.5,"A-",IF('Data Source'!AD252&gt;=3,"B",IF('Data Source'!AD252&gt;=2,"C",IF('Data Source'!AD252&gt;=1,"D","F")))))),"")</f>
        <v/>
      </c>
      <c r="M252" s="3">
        <f>IF(AND('Data Source'!B252&lt;&gt;"",'Data Source'!S252="F"),IF('Data Source'!AE252&gt;=5,"A+",IF('Data Source'!AE252&gt;=4,"A",IF('Data Source'!AE252&gt;=3.5,"A-",IF('Data Source'!AE252&gt;=3,"B",IF('Data Source'!AE252&gt;=2,"C",IF('Data Source'!AE252&gt;=1,"D","F")))))),"")</f>
        <v/>
      </c>
      <c r="N252" s="3">
        <f>IF(AND('Data Source'!B252&lt;&gt;"",'Data Source'!S252="F"),IF('Data Source'!AF252&gt;=5,"A+",IF('Data Source'!AF252&gt;=4,"A",IF('Data Source'!AF252&gt;=3.5,"A-",IF('Data Source'!AF252&gt;=3,"B",IF('Data Source'!AF252&gt;=2,"C",IF('Data Source'!AF252&gt;=1,"D","F")))))),"")</f>
        <v/>
      </c>
      <c r="O252" s="3">
        <f>IF(AND('Data Source'!B252&lt;&gt;"",'Data Source'!S252="F"),IF('Data Source'!AG252&gt;=5,"A+",IF('Data Source'!AG252&gt;=4,"A",IF('Data Source'!AG252&gt;=3.5,"A-",IF('Data Source'!AG252&gt;=3,"B",IF('Data Source'!AG252&gt;=2,"C",IF('Data Source'!AG252&gt;=1,"D","F")))))),"")</f>
        <v/>
      </c>
      <c r="P252" s="5">
        <f>IF(AND('Data Source'!B252&lt;&gt;"",'Data Source'!S252="F"),'Data Source'!R252,"")</f>
        <v/>
      </c>
      <c r="Q252" s="3">
        <f>IF(AND('Data Source'!B252&lt;&gt;"",'Data Source'!S252="F"),'Data Source'!S252,"")</f>
        <v/>
      </c>
    </row>
    <row r="253">
      <c r="A253" s="3">
        <f>IF(AND('Data Source'!B253&lt;&gt;"",'Data Source'!S253="F"),COUNTIF('Data Source'!$S$3:S253,"F"),"")</f>
        <v/>
      </c>
      <c r="B253">
        <f>IF(AND('Data Source'!B253&lt;&gt;"",'Data Source'!S253="F"),'Data Source'!B253,"")</f>
        <v/>
      </c>
      <c r="C253" s="3">
        <f>IF(AND('Data Source'!B253&lt;&gt;"",'Data Source'!S253="F"),IF('Data Source'!U253&gt;=5,"A+",IF('Data Source'!U253&gt;=4,"A",IF('Data Source'!U253&gt;=3.5,"A-",IF('Data Source'!U253&gt;=3,"B",IF('Data Source'!U253&gt;=2,"C",IF('Data Source'!U253&gt;=1,"D","F")))))),"")</f>
        <v/>
      </c>
      <c r="D253" s="3">
        <f>IF(AND('Data Source'!B253&lt;&gt;"",'Data Source'!S253="F"),IF('Data Source'!V253&gt;=5,"A+",IF('Data Source'!V253&gt;=4,"A",IF('Data Source'!V253&gt;=3.5,"A-",IF('Data Source'!V253&gt;=3,"B",IF('Data Source'!V253&gt;=2,"C",IF('Data Source'!V253&gt;=1,"D","F")))))),"")</f>
        <v/>
      </c>
      <c r="E253" s="3">
        <f>IF(AND('Data Source'!B253&lt;&gt;"",'Data Source'!S253="F"),IF('Data Source'!W253&gt;=5,"A+",IF('Data Source'!W253&gt;=4,"A",IF('Data Source'!W253&gt;=3.5,"A-",IF('Data Source'!W253&gt;=3,"B",IF('Data Source'!W253&gt;=2,"C",IF('Data Source'!W253&gt;=1,"D","F")))))),"")</f>
        <v/>
      </c>
      <c r="F253" s="3">
        <f>IF(AND('Data Source'!B253&lt;&gt;"",'Data Source'!S253="F"),IF('Data Source'!X253&gt;=5,"A+",IF('Data Source'!X253&gt;=4,"A",IF('Data Source'!X253&gt;=3.5,"A-",IF('Data Source'!X253&gt;=3,"B",IF('Data Source'!X253&gt;=2,"C",IF('Data Source'!X253&gt;=1,"D","F")))))),"")</f>
        <v/>
      </c>
      <c r="G253" s="3">
        <f>IF(AND('Data Source'!B253&lt;&gt;"",'Data Source'!S253="F"),IF('Data Source'!Y253&gt;=5,"A+",IF('Data Source'!Y253&gt;=4,"A",IF('Data Source'!Y253&gt;=3.5,"A-",IF('Data Source'!Y253&gt;=3,"B",IF('Data Source'!Y253&gt;=2,"C",IF('Data Source'!Y253&gt;=1,"D","F")))))),"")</f>
        <v/>
      </c>
      <c r="H253" s="3">
        <f>IF(AND('Data Source'!B253&lt;&gt;"",'Data Source'!S253="F"),IF('Data Source'!Z253&gt;=5,"A+",IF('Data Source'!Z253&gt;=4,"A",IF('Data Source'!Z253&gt;=3.5,"A-",IF('Data Source'!Z253&gt;=3,"B",IF('Data Source'!Z253&gt;=2,"C",IF('Data Source'!Z253&gt;=1,"D","F")))))),"")</f>
        <v/>
      </c>
      <c r="I253" s="3">
        <f>IF(AND('Data Source'!B253&lt;&gt;"",'Data Source'!S253="F"),IF('Data Source'!AA253&gt;=5,"A+",IF('Data Source'!AA253&gt;=4,"A",IF('Data Source'!AA253&gt;=3.5,"A-",IF('Data Source'!AA253&gt;=3,"B",IF('Data Source'!AA253&gt;=2,"C",IF('Data Source'!AA253&gt;=1,"D","F")))))),"")</f>
        <v/>
      </c>
      <c r="J253" s="3">
        <f>IF(AND('Data Source'!B253&lt;&gt;"",'Data Source'!S253="F"),IF('Data Source'!AB253&gt;=5,"A+",IF('Data Source'!AB253&gt;=4,"A",IF('Data Source'!AB253&gt;=3.5,"A-",IF('Data Source'!AB253&gt;=3,"B",IF('Data Source'!AB253&gt;=2,"C",IF('Data Source'!AB253&gt;=1,"D","F")))))),"")</f>
        <v/>
      </c>
      <c r="K253" s="3">
        <f>IF(AND('Data Source'!B253&lt;&gt;"",'Data Source'!S253="F"),IF('Data Source'!AC253&gt;=5,"A+",IF('Data Source'!AC253&gt;=4,"A",IF('Data Source'!AC253&gt;=3.5,"A-",IF('Data Source'!AC253&gt;=3,"B",IF('Data Source'!AC253&gt;=2,"C",IF('Data Source'!AC253&gt;=1,"D","F")))))),"")</f>
        <v/>
      </c>
      <c r="L253" s="3">
        <f>IF(AND('Data Source'!B253&lt;&gt;"",'Data Source'!S253="F"),IF('Data Source'!AD253&gt;=5,"A+",IF('Data Source'!AD253&gt;=4,"A",IF('Data Source'!AD253&gt;=3.5,"A-",IF('Data Source'!AD253&gt;=3,"B",IF('Data Source'!AD253&gt;=2,"C",IF('Data Source'!AD253&gt;=1,"D","F")))))),"")</f>
        <v/>
      </c>
      <c r="M253" s="3">
        <f>IF(AND('Data Source'!B253&lt;&gt;"",'Data Source'!S253="F"),IF('Data Source'!AE253&gt;=5,"A+",IF('Data Source'!AE253&gt;=4,"A",IF('Data Source'!AE253&gt;=3.5,"A-",IF('Data Source'!AE253&gt;=3,"B",IF('Data Source'!AE253&gt;=2,"C",IF('Data Source'!AE253&gt;=1,"D","F")))))),"")</f>
        <v/>
      </c>
      <c r="N253" s="3">
        <f>IF(AND('Data Source'!B253&lt;&gt;"",'Data Source'!S253="F"),IF('Data Source'!AF253&gt;=5,"A+",IF('Data Source'!AF253&gt;=4,"A",IF('Data Source'!AF253&gt;=3.5,"A-",IF('Data Source'!AF253&gt;=3,"B",IF('Data Source'!AF253&gt;=2,"C",IF('Data Source'!AF253&gt;=1,"D","F")))))),"")</f>
        <v/>
      </c>
      <c r="O253" s="3">
        <f>IF(AND('Data Source'!B253&lt;&gt;"",'Data Source'!S253="F"),IF('Data Source'!AG253&gt;=5,"A+",IF('Data Source'!AG253&gt;=4,"A",IF('Data Source'!AG253&gt;=3.5,"A-",IF('Data Source'!AG253&gt;=3,"B",IF('Data Source'!AG253&gt;=2,"C",IF('Data Source'!AG253&gt;=1,"D","F")))))),"")</f>
        <v/>
      </c>
      <c r="P253" s="5">
        <f>IF(AND('Data Source'!B253&lt;&gt;"",'Data Source'!S253="F"),'Data Source'!R253,"")</f>
        <v/>
      </c>
      <c r="Q253" s="3">
        <f>IF(AND('Data Source'!B253&lt;&gt;"",'Data Source'!S253="F"),'Data Source'!S253,"")</f>
        <v/>
      </c>
    </row>
    <row r="254">
      <c r="A254" s="3">
        <f>IF(AND('Data Source'!B254&lt;&gt;"",'Data Source'!S254="F"),COUNTIF('Data Source'!$S$3:S254,"F"),"")</f>
        <v/>
      </c>
      <c r="B254">
        <f>IF(AND('Data Source'!B254&lt;&gt;"",'Data Source'!S254="F"),'Data Source'!B254,"")</f>
        <v/>
      </c>
      <c r="C254" s="3">
        <f>IF(AND('Data Source'!B254&lt;&gt;"",'Data Source'!S254="F"),IF('Data Source'!U254&gt;=5,"A+",IF('Data Source'!U254&gt;=4,"A",IF('Data Source'!U254&gt;=3.5,"A-",IF('Data Source'!U254&gt;=3,"B",IF('Data Source'!U254&gt;=2,"C",IF('Data Source'!U254&gt;=1,"D","F")))))),"")</f>
        <v/>
      </c>
      <c r="D254" s="3">
        <f>IF(AND('Data Source'!B254&lt;&gt;"",'Data Source'!S254="F"),IF('Data Source'!V254&gt;=5,"A+",IF('Data Source'!V254&gt;=4,"A",IF('Data Source'!V254&gt;=3.5,"A-",IF('Data Source'!V254&gt;=3,"B",IF('Data Source'!V254&gt;=2,"C",IF('Data Source'!V254&gt;=1,"D","F")))))),"")</f>
        <v/>
      </c>
      <c r="E254" s="3">
        <f>IF(AND('Data Source'!B254&lt;&gt;"",'Data Source'!S254="F"),IF('Data Source'!W254&gt;=5,"A+",IF('Data Source'!W254&gt;=4,"A",IF('Data Source'!W254&gt;=3.5,"A-",IF('Data Source'!W254&gt;=3,"B",IF('Data Source'!W254&gt;=2,"C",IF('Data Source'!W254&gt;=1,"D","F")))))),"")</f>
        <v/>
      </c>
      <c r="F254" s="3">
        <f>IF(AND('Data Source'!B254&lt;&gt;"",'Data Source'!S254="F"),IF('Data Source'!X254&gt;=5,"A+",IF('Data Source'!X254&gt;=4,"A",IF('Data Source'!X254&gt;=3.5,"A-",IF('Data Source'!X254&gt;=3,"B",IF('Data Source'!X254&gt;=2,"C",IF('Data Source'!X254&gt;=1,"D","F")))))),"")</f>
        <v/>
      </c>
      <c r="G254" s="3">
        <f>IF(AND('Data Source'!B254&lt;&gt;"",'Data Source'!S254="F"),IF('Data Source'!Y254&gt;=5,"A+",IF('Data Source'!Y254&gt;=4,"A",IF('Data Source'!Y254&gt;=3.5,"A-",IF('Data Source'!Y254&gt;=3,"B",IF('Data Source'!Y254&gt;=2,"C",IF('Data Source'!Y254&gt;=1,"D","F")))))),"")</f>
        <v/>
      </c>
      <c r="H254" s="3">
        <f>IF(AND('Data Source'!B254&lt;&gt;"",'Data Source'!S254="F"),IF('Data Source'!Z254&gt;=5,"A+",IF('Data Source'!Z254&gt;=4,"A",IF('Data Source'!Z254&gt;=3.5,"A-",IF('Data Source'!Z254&gt;=3,"B",IF('Data Source'!Z254&gt;=2,"C",IF('Data Source'!Z254&gt;=1,"D","F")))))),"")</f>
        <v/>
      </c>
      <c r="I254" s="3">
        <f>IF(AND('Data Source'!B254&lt;&gt;"",'Data Source'!S254="F"),IF('Data Source'!AA254&gt;=5,"A+",IF('Data Source'!AA254&gt;=4,"A",IF('Data Source'!AA254&gt;=3.5,"A-",IF('Data Source'!AA254&gt;=3,"B",IF('Data Source'!AA254&gt;=2,"C",IF('Data Source'!AA254&gt;=1,"D","F")))))),"")</f>
        <v/>
      </c>
      <c r="J254" s="3">
        <f>IF(AND('Data Source'!B254&lt;&gt;"",'Data Source'!S254="F"),IF('Data Source'!AB254&gt;=5,"A+",IF('Data Source'!AB254&gt;=4,"A",IF('Data Source'!AB254&gt;=3.5,"A-",IF('Data Source'!AB254&gt;=3,"B",IF('Data Source'!AB254&gt;=2,"C",IF('Data Source'!AB254&gt;=1,"D","F")))))),"")</f>
        <v/>
      </c>
      <c r="K254" s="3">
        <f>IF(AND('Data Source'!B254&lt;&gt;"",'Data Source'!S254="F"),IF('Data Source'!AC254&gt;=5,"A+",IF('Data Source'!AC254&gt;=4,"A",IF('Data Source'!AC254&gt;=3.5,"A-",IF('Data Source'!AC254&gt;=3,"B",IF('Data Source'!AC254&gt;=2,"C",IF('Data Source'!AC254&gt;=1,"D","F")))))),"")</f>
        <v/>
      </c>
      <c r="L254" s="3">
        <f>IF(AND('Data Source'!B254&lt;&gt;"",'Data Source'!S254="F"),IF('Data Source'!AD254&gt;=5,"A+",IF('Data Source'!AD254&gt;=4,"A",IF('Data Source'!AD254&gt;=3.5,"A-",IF('Data Source'!AD254&gt;=3,"B",IF('Data Source'!AD254&gt;=2,"C",IF('Data Source'!AD254&gt;=1,"D","F")))))),"")</f>
        <v/>
      </c>
      <c r="M254" s="3">
        <f>IF(AND('Data Source'!B254&lt;&gt;"",'Data Source'!S254="F"),IF('Data Source'!AE254&gt;=5,"A+",IF('Data Source'!AE254&gt;=4,"A",IF('Data Source'!AE254&gt;=3.5,"A-",IF('Data Source'!AE254&gt;=3,"B",IF('Data Source'!AE254&gt;=2,"C",IF('Data Source'!AE254&gt;=1,"D","F")))))),"")</f>
        <v/>
      </c>
      <c r="N254" s="3">
        <f>IF(AND('Data Source'!B254&lt;&gt;"",'Data Source'!S254="F"),IF('Data Source'!AF254&gt;=5,"A+",IF('Data Source'!AF254&gt;=4,"A",IF('Data Source'!AF254&gt;=3.5,"A-",IF('Data Source'!AF254&gt;=3,"B",IF('Data Source'!AF254&gt;=2,"C",IF('Data Source'!AF254&gt;=1,"D","F")))))),"")</f>
        <v/>
      </c>
      <c r="O254" s="3">
        <f>IF(AND('Data Source'!B254&lt;&gt;"",'Data Source'!S254="F"),IF('Data Source'!AG254&gt;=5,"A+",IF('Data Source'!AG254&gt;=4,"A",IF('Data Source'!AG254&gt;=3.5,"A-",IF('Data Source'!AG254&gt;=3,"B",IF('Data Source'!AG254&gt;=2,"C",IF('Data Source'!AG254&gt;=1,"D","F")))))),"")</f>
        <v/>
      </c>
      <c r="P254" s="5">
        <f>IF(AND('Data Source'!B254&lt;&gt;"",'Data Source'!S254="F"),'Data Source'!R254,"")</f>
        <v/>
      </c>
      <c r="Q254" s="3">
        <f>IF(AND('Data Source'!B254&lt;&gt;"",'Data Source'!S254="F"),'Data Source'!S254,"")</f>
        <v/>
      </c>
    </row>
    <row r="255">
      <c r="A255" s="3">
        <f>IF(AND('Data Source'!B255&lt;&gt;"",'Data Source'!S255="F"),COUNTIF('Data Source'!$S$3:S255,"F"),"")</f>
        <v/>
      </c>
      <c r="B255">
        <f>IF(AND('Data Source'!B255&lt;&gt;"",'Data Source'!S255="F"),'Data Source'!B255,"")</f>
        <v/>
      </c>
      <c r="C255" s="3">
        <f>IF(AND('Data Source'!B255&lt;&gt;"",'Data Source'!S255="F"),IF('Data Source'!U255&gt;=5,"A+",IF('Data Source'!U255&gt;=4,"A",IF('Data Source'!U255&gt;=3.5,"A-",IF('Data Source'!U255&gt;=3,"B",IF('Data Source'!U255&gt;=2,"C",IF('Data Source'!U255&gt;=1,"D","F")))))),"")</f>
        <v/>
      </c>
      <c r="D255" s="3">
        <f>IF(AND('Data Source'!B255&lt;&gt;"",'Data Source'!S255="F"),IF('Data Source'!V255&gt;=5,"A+",IF('Data Source'!V255&gt;=4,"A",IF('Data Source'!V255&gt;=3.5,"A-",IF('Data Source'!V255&gt;=3,"B",IF('Data Source'!V255&gt;=2,"C",IF('Data Source'!V255&gt;=1,"D","F")))))),"")</f>
        <v/>
      </c>
      <c r="E255" s="3">
        <f>IF(AND('Data Source'!B255&lt;&gt;"",'Data Source'!S255="F"),IF('Data Source'!W255&gt;=5,"A+",IF('Data Source'!W255&gt;=4,"A",IF('Data Source'!W255&gt;=3.5,"A-",IF('Data Source'!W255&gt;=3,"B",IF('Data Source'!W255&gt;=2,"C",IF('Data Source'!W255&gt;=1,"D","F")))))),"")</f>
        <v/>
      </c>
      <c r="F255" s="3">
        <f>IF(AND('Data Source'!B255&lt;&gt;"",'Data Source'!S255="F"),IF('Data Source'!X255&gt;=5,"A+",IF('Data Source'!X255&gt;=4,"A",IF('Data Source'!X255&gt;=3.5,"A-",IF('Data Source'!X255&gt;=3,"B",IF('Data Source'!X255&gt;=2,"C",IF('Data Source'!X255&gt;=1,"D","F")))))),"")</f>
        <v/>
      </c>
      <c r="G255" s="3">
        <f>IF(AND('Data Source'!B255&lt;&gt;"",'Data Source'!S255="F"),IF('Data Source'!Y255&gt;=5,"A+",IF('Data Source'!Y255&gt;=4,"A",IF('Data Source'!Y255&gt;=3.5,"A-",IF('Data Source'!Y255&gt;=3,"B",IF('Data Source'!Y255&gt;=2,"C",IF('Data Source'!Y255&gt;=1,"D","F")))))),"")</f>
        <v/>
      </c>
      <c r="H255" s="3">
        <f>IF(AND('Data Source'!B255&lt;&gt;"",'Data Source'!S255="F"),IF('Data Source'!Z255&gt;=5,"A+",IF('Data Source'!Z255&gt;=4,"A",IF('Data Source'!Z255&gt;=3.5,"A-",IF('Data Source'!Z255&gt;=3,"B",IF('Data Source'!Z255&gt;=2,"C",IF('Data Source'!Z255&gt;=1,"D","F")))))),"")</f>
        <v/>
      </c>
      <c r="I255" s="3">
        <f>IF(AND('Data Source'!B255&lt;&gt;"",'Data Source'!S255="F"),IF('Data Source'!AA255&gt;=5,"A+",IF('Data Source'!AA255&gt;=4,"A",IF('Data Source'!AA255&gt;=3.5,"A-",IF('Data Source'!AA255&gt;=3,"B",IF('Data Source'!AA255&gt;=2,"C",IF('Data Source'!AA255&gt;=1,"D","F")))))),"")</f>
        <v/>
      </c>
      <c r="J255" s="3">
        <f>IF(AND('Data Source'!B255&lt;&gt;"",'Data Source'!S255="F"),IF('Data Source'!AB255&gt;=5,"A+",IF('Data Source'!AB255&gt;=4,"A",IF('Data Source'!AB255&gt;=3.5,"A-",IF('Data Source'!AB255&gt;=3,"B",IF('Data Source'!AB255&gt;=2,"C",IF('Data Source'!AB255&gt;=1,"D","F")))))),"")</f>
        <v/>
      </c>
      <c r="K255" s="3">
        <f>IF(AND('Data Source'!B255&lt;&gt;"",'Data Source'!S255="F"),IF('Data Source'!AC255&gt;=5,"A+",IF('Data Source'!AC255&gt;=4,"A",IF('Data Source'!AC255&gt;=3.5,"A-",IF('Data Source'!AC255&gt;=3,"B",IF('Data Source'!AC255&gt;=2,"C",IF('Data Source'!AC255&gt;=1,"D","F")))))),"")</f>
        <v/>
      </c>
      <c r="L255" s="3">
        <f>IF(AND('Data Source'!B255&lt;&gt;"",'Data Source'!S255="F"),IF('Data Source'!AD255&gt;=5,"A+",IF('Data Source'!AD255&gt;=4,"A",IF('Data Source'!AD255&gt;=3.5,"A-",IF('Data Source'!AD255&gt;=3,"B",IF('Data Source'!AD255&gt;=2,"C",IF('Data Source'!AD255&gt;=1,"D","F")))))),"")</f>
        <v/>
      </c>
      <c r="M255" s="3">
        <f>IF(AND('Data Source'!B255&lt;&gt;"",'Data Source'!S255="F"),IF('Data Source'!AE255&gt;=5,"A+",IF('Data Source'!AE255&gt;=4,"A",IF('Data Source'!AE255&gt;=3.5,"A-",IF('Data Source'!AE255&gt;=3,"B",IF('Data Source'!AE255&gt;=2,"C",IF('Data Source'!AE255&gt;=1,"D","F")))))),"")</f>
        <v/>
      </c>
      <c r="N255" s="3">
        <f>IF(AND('Data Source'!B255&lt;&gt;"",'Data Source'!S255="F"),IF('Data Source'!AF255&gt;=5,"A+",IF('Data Source'!AF255&gt;=4,"A",IF('Data Source'!AF255&gt;=3.5,"A-",IF('Data Source'!AF255&gt;=3,"B",IF('Data Source'!AF255&gt;=2,"C",IF('Data Source'!AF255&gt;=1,"D","F")))))),"")</f>
        <v/>
      </c>
      <c r="O255" s="3">
        <f>IF(AND('Data Source'!B255&lt;&gt;"",'Data Source'!S255="F"),IF('Data Source'!AG255&gt;=5,"A+",IF('Data Source'!AG255&gt;=4,"A",IF('Data Source'!AG255&gt;=3.5,"A-",IF('Data Source'!AG255&gt;=3,"B",IF('Data Source'!AG255&gt;=2,"C",IF('Data Source'!AG255&gt;=1,"D","F")))))),"")</f>
        <v/>
      </c>
      <c r="P255" s="5">
        <f>IF(AND('Data Source'!B255&lt;&gt;"",'Data Source'!S255="F"),'Data Source'!R255,"")</f>
        <v/>
      </c>
      <c r="Q255" s="3">
        <f>IF(AND('Data Source'!B255&lt;&gt;"",'Data Source'!S255="F"),'Data Source'!S255,"")</f>
        <v/>
      </c>
    </row>
    <row r="256">
      <c r="A256" s="3">
        <f>IF(AND('Data Source'!B256&lt;&gt;"",'Data Source'!S256="F"),COUNTIF('Data Source'!$S$3:S256,"F"),"")</f>
        <v/>
      </c>
      <c r="B256">
        <f>IF(AND('Data Source'!B256&lt;&gt;"",'Data Source'!S256="F"),'Data Source'!B256,"")</f>
        <v/>
      </c>
      <c r="C256" s="3">
        <f>IF(AND('Data Source'!B256&lt;&gt;"",'Data Source'!S256="F"),IF('Data Source'!U256&gt;=5,"A+",IF('Data Source'!U256&gt;=4,"A",IF('Data Source'!U256&gt;=3.5,"A-",IF('Data Source'!U256&gt;=3,"B",IF('Data Source'!U256&gt;=2,"C",IF('Data Source'!U256&gt;=1,"D","F")))))),"")</f>
        <v/>
      </c>
      <c r="D256" s="3">
        <f>IF(AND('Data Source'!B256&lt;&gt;"",'Data Source'!S256="F"),IF('Data Source'!V256&gt;=5,"A+",IF('Data Source'!V256&gt;=4,"A",IF('Data Source'!V256&gt;=3.5,"A-",IF('Data Source'!V256&gt;=3,"B",IF('Data Source'!V256&gt;=2,"C",IF('Data Source'!V256&gt;=1,"D","F")))))),"")</f>
        <v/>
      </c>
      <c r="E256" s="3">
        <f>IF(AND('Data Source'!B256&lt;&gt;"",'Data Source'!S256="F"),IF('Data Source'!W256&gt;=5,"A+",IF('Data Source'!W256&gt;=4,"A",IF('Data Source'!W256&gt;=3.5,"A-",IF('Data Source'!W256&gt;=3,"B",IF('Data Source'!W256&gt;=2,"C",IF('Data Source'!W256&gt;=1,"D","F")))))),"")</f>
        <v/>
      </c>
      <c r="F256" s="3">
        <f>IF(AND('Data Source'!B256&lt;&gt;"",'Data Source'!S256="F"),IF('Data Source'!X256&gt;=5,"A+",IF('Data Source'!X256&gt;=4,"A",IF('Data Source'!X256&gt;=3.5,"A-",IF('Data Source'!X256&gt;=3,"B",IF('Data Source'!X256&gt;=2,"C",IF('Data Source'!X256&gt;=1,"D","F")))))),"")</f>
        <v/>
      </c>
      <c r="G256" s="3">
        <f>IF(AND('Data Source'!B256&lt;&gt;"",'Data Source'!S256="F"),IF('Data Source'!Y256&gt;=5,"A+",IF('Data Source'!Y256&gt;=4,"A",IF('Data Source'!Y256&gt;=3.5,"A-",IF('Data Source'!Y256&gt;=3,"B",IF('Data Source'!Y256&gt;=2,"C",IF('Data Source'!Y256&gt;=1,"D","F")))))),"")</f>
        <v/>
      </c>
      <c r="H256" s="3">
        <f>IF(AND('Data Source'!B256&lt;&gt;"",'Data Source'!S256="F"),IF('Data Source'!Z256&gt;=5,"A+",IF('Data Source'!Z256&gt;=4,"A",IF('Data Source'!Z256&gt;=3.5,"A-",IF('Data Source'!Z256&gt;=3,"B",IF('Data Source'!Z256&gt;=2,"C",IF('Data Source'!Z256&gt;=1,"D","F")))))),"")</f>
        <v/>
      </c>
      <c r="I256" s="3">
        <f>IF(AND('Data Source'!B256&lt;&gt;"",'Data Source'!S256="F"),IF('Data Source'!AA256&gt;=5,"A+",IF('Data Source'!AA256&gt;=4,"A",IF('Data Source'!AA256&gt;=3.5,"A-",IF('Data Source'!AA256&gt;=3,"B",IF('Data Source'!AA256&gt;=2,"C",IF('Data Source'!AA256&gt;=1,"D","F")))))),"")</f>
        <v/>
      </c>
      <c r="J256" s="3">
        <f>IF(AND('Data Source'!B256&lt;&gt;"",'Data Source'!S256="F"),IF('Data Source'!AB256&gt;=5,"A+",IF('Data Source'!AB256&gt;=4,"A",IF('Data Source'!AB256&gt;=3.5,"A-",IF('Data Source'!AB256&gt;=3,"B",IF('Data Source'!AB256&gt;=2,"C",IF('Data Source'!AB256&gt;=1,"D","F")))))),"")</f>
        <v/>
      </c>
      <c r="K256" s="3">
        <f>IF(AND('Data Source'!B256&lt;&gt;"",'Data Source'!S256="F"),IF('Data Source'!AC256&gt;=5,"A+",IF('Data Source'!AC256&gt;=4,"A",IF('Data Source'!AC256&gt;=3.5,"A-",IF('Data Source'!AC256&gt;=3,"B",IF('Data Source'!AC256&gt;=2,"C",IF('Data Source'!AC256&gt;=1,"D","F")))))),"")</f>
        <v/>
      </c>
      <c r="L256" s="3">
        <f>IF(AND('Data Source'!B256&lt;&gt;"",'Data Source'!S256="F"),IF('Data Source'!AD256&gt;=5,"A+",IF('Data Source'!AD256&gt;=4,"A",IF('Data Source'!AD256&gt;=3.5,"A-",IF('Data Source'!AD256&gt;=3,"B",IF('Data Source'!AD256&gt;=2,"C",IF('Data Source'!AD256&gt;=1,"D","F")))))),"")</f>
        <v/>
      </c>
      <c r="M256" s="3">
        <f>IF(AND('Data Source'!B256&lt;&gt;"",'Data Source'!S256="F"),IF('Data Source'!AE256&gt;=5,"A+",IF('Data Source'!AE256&gt;=4,"A",IF('Data Source'!AE256&gt;=3.5,"A-",IF('Data Source'!AE256&gt;=3,"B",IF('Data Source'!AE256&gt;=2,"C",IF('Data Source'!AE256&gt;=1,"D","F")))))),"")</f>
        <v/>
      </c>
      <c r="N256" s="3">
        <f>IF(AND('Data Source'!B256&lt;&gt;"",'Data Source'!S256="F"),IF('Data Source'!AF256&gt;=5,"A+",IF('Data Source'!AF256&gt;=4,"A",IF('Data Source'!AF256&gt;=3.5,"A-",IF('Data Source'!AF256&gt;=3,"B",IF('Data Source'!AF256&gt;=2,"C",IF('Data Source'!AF256&gt;=1,"D","F")))))),"")</f>
        <v/>
      </c>
      <c r="O256" s="3">
        <f>IF(AND('Data Source'!B256&lt;&gt;"",'Data Source'!S256="F"),IF('Data Source'!AG256&gt;=5,"A+",IF('Data Source'!AG256&gt;=4,"A",IF('Data Source'!AG256&gt;=3.5,"A-",IF('Data Source'!AG256&gt;=3,"B",IF('Data Source'!AG256&gt;=2,"C",IF('Data Source'!AG256&gt;=1,"D","F")))))),"")</f>
        <v/>
      </c>
      <c r="P256" s="5">
        <f>IF(AND('Data Source'!B256&lt;&gt;"",'Data Source'!S256="F"),'Data Source'!R256,"")</f>
        <v/>
      </c>
      <c r="Q256" s="3">
        <f>IF(AND('Data Source'!B256&lt;&gt;"",'Data Source'!S256="F"),'Data Source'!S256,"")</f>
        <v/>
      </c>
    </row>
    <row r="257">
      <c r="A257" s="3">
        <f>IF(AND('Data Source'!B257&lt;&gt;"",'Data Source'!S257="F"),COUNTIF('Data Source'!$S$3:S257,"F"),"")</f>
        <v/>
      </c>
      <c r="B257">
        <f>IF(AND('Data Source'!B257&lt;&gt;"",'Data Source'!S257="F"),'Data Source'!B257,"")</f>
        <v/>
      </c>
      <c r="C257" s="3">
        <f>IF(AND('Data Source'!B257&lt;&gt;"",'Data Source'!S257="F"),IF('Data Source'!U257&gt;=5,"A+",IF('Data Source'!U257&gt;=4,"A",IF('Data Source'!U257&gt;=3.5,"A-",IF('Data Source'!U257&gt;=3,"B",IF('Data Source'!U257&gt;=2,"C",IF('Data Source'!U257&gt;=1,"D","F")))))),"")</f>
        <v/>
      </c>
      <c r="D257" s="3">
        <f>IF(AND('Data Source'!B257&lt;&gt;"",'Data Source'!S257="F"),IF('Data Source'!V257&gt;=5,"A+",IF('Data Source'!V257&gt;=4,"A",IF('Data Source'!V257&gt;=3.5,"A-",IF('Data Source'!V257&gt;=3,"B",IF('Data Source'!V257&gt;=2,"C",IF('Data Source'!V257&gt;=1,"D","F")))))),"")</f>
        <v/>
      </c>
      <c r="E257" s="3">
        <f>IF(AND('Data Source'!B257&lt;&gt;"",'Data Source'!S257="F"),IF('Data Source'!W257&gt;=5,"A+",IF('Data Source'!W257&gt;=4,"A",IF('Data Source'!W257&gt;=3.5,"A-",IF('Data Source'!W257&gt;=3,"B",IF('Data Source'!W257&gt;=2,"C",IF('Data Source'!W257&gt;=1,"D","F")))))),"")</f>
        <v/>
      </c>
      <c r="F257" s="3">
        <f>IF(AND('Data Source'!B257&lt;&gt;"",'Data Source'!S257="F"),IF('Data Source'!X257&gt;=5,"A+",IF('Data Source'!X257&gt;=4,"A",IF('Data Source'!X257&gt;=3.5,"A-",IF('Data Source'!X257&gt;=3,"B",IF('Data Source'!X257&gt;=2,"C",IF('Data Source'!X257&gt;=1,"D","F")))))),"")</f>
        <v/>
      </c>
      <c r="G257" s="3">
        <f>IF(AND('Data Source'!B257&lt;&gt;"",'Data Source'!S257="F"),IF('Data Source'!Y257&gt;=5,"A+",IF('Data Source'!Y257&gt;=4,"A",IF('Data Source'!Y257&gt;=3.5,"A-",IF('Data Source'!Y257&gt;=3,"B",IF('Data Source'!Y257&gt;=2,"C",IF('Data Source'!Y257&gt;=1,"D","F")))))),"")</f>
        <v/>
      </c>
      <c r="H257" s="3">
        <f>IF(AND('Data Source'!B257&lt;&gt;"",'Data Source'!S257="F"),IF('Data Source'!Z257&gt;=5,"A+",IF('Data Source'!Z257&gt;=4,"A",IF('Data Source'!Z257&gt;=3.5,"A-",IF('Data Source'!Z257&gt;=3,"B",IF('Data Source'!Z257&gt;=2,"C",IF('Data Source'!Z257&gt;=1,"D","F")))))),"")</f>
        <v/>
      </c>
      <c r="I257" s="3">
        <f>IF(AND('Data Source'!B257&lt;&gt;"",'Data Source'!S257="F"),IF('Data Source'!AA257&gt;=5,"A+",IF('Data Source'!AA257&gt;=4,"A",IF('Data Source'!AA257&gt;=3.5,"A-",IF('Data Source'!AA257&gt;=3,"B",IF('Data Source'!AA257&gt;=2,"C",IF('Data Source'!AA257&gt;=1,"D","F")))))),"")</f>
        <v/>
      </c>
      <c r="J257" s="3">
        <f>IF(AND('Data Source'!B257&lt;&gt;"",'Data Source'!S257="F"),IF('Data Source'!AB257&gt;=5,"A+",IF('Data Source'!AB257&gt;=4,"A",IF('Data Source'!AB257&gt;=3.5,"A-",IF('Data Source'!AB257&gt;=3,"B",IF('Data Source'!AB257&gt;=2,"C",IF('Data Source'!AB257&gt;=1,"D","F")))))),"")</f>
        <v/>
      </c>
      <c r="K257" s="3">
        <f>IF(AND('Data Source'!B257&lt;&gt;"",'Data Source'!S257="F"),IF('Data Source'!AC257&gt;=5,"A+",IF('Data Source'!AC257&gt;=4,"A",IF('Data Source'!AC257&gt;=3.5,"A-",IF('Data Source'!AC257&gt;=3,"B",IF('Data Source'!AC257&gt;=2,"C",IF('Data Source'!AC257&gt;=1,"D","F")))))),"")</f>
        <v/>
      </c>
      <c r="L257" s="3">
        <f>IF(AND('Data Source'!B257&lt;&gt;"",'Data Source'!S257="F"),IF('Data Source'!AD257&gt;=5,"A+",IF('Data Source'!AD257&gt;=4,"A",IF('Data Source'!AD257&gt;=3.5,"A-",IF('Data Source'!AD257&gt;=3,"B",IF('Data Source'!AD257&gt;=2,"C",IF('Data Source'!AD257&gt;=1,"D","F")))))),"")</f>
        <v/>
      </c>
      <c r="M257" s="3">
        <f>IF(AND('Data Source'!B257&lt;&gt;"",'Data Source'!S257="F"),IF('Data Source'!AE257&gt;=5,"A+",IF('Data Source'!AE257&gt;=4,"A",IF('Data Source'!AE257&gt;=3.5,"A-",IF('Data Source'!AE257&gt;=3,"B",IF('Data Source'!AE257&gt;=2,"C",IF('Data Source'!AE257&gt;=1,"D","F")))))),"")</f>
        <v/>
      </c>
      <c r="N257" s="3">
        <f>IF(AND('Data Source'!B257&lt;&gt;"",'Data Source'!S257="F"),IF('Data Source'!AF257&gt;=5,"A+",IF('Data Source'!AF257&gt;=4,"A",IF('Data Source'!AF257&gt;=3.5,"A-",IF('Data Source'!AF257&gt;=3,"B",IF('Data Source'!AF257&gt;=2,"C",IF('Data Source'!AF257&gt;=1,"D","F")))))),"")</f>
        <v/>
      </c>
      <c r="O257" s="3">
        <f>IF(AND('Data Source'!B257&lt;&gt;"",'Data Source'!S257="F"),IF('Data Source'!AG257&gt;=5,"A+",IF('Data Source'!AG257&gt;=4,"A",IF('Data Source'!AG257&gt;=3.5,"A-",IF('Data Source'!AG257&gt;=3,"B",IF('Data Source'!AG257&gt;=2,"C",IF('Data Source'!AG257&gt;=1,"D","F")))))),"")</f>
        <v/>
      </c>
      <c r="P257" s="5">
        <f>IF(AND('Data Source'!B257&lt;&gt;"",'Data Source'!S257="F"),'Data Source'!R257,"")</f>
        <v/>
      </c>
      <c r="Q257" s="3">
        <f>IF(AND('Data Source'!B257&lt;&gt;"",'Data Source'!S257="F"),'Data Source'!S257,"")</f>
        <v/>
      </c>
    </row>
    <row r="258">
      <c r="A258" s="3">
        <f>IF(AND('Data Source'!B258&lt;&gt;"",'Data Source'!S258="F"),COUNTIF('Data Source'!$S$3:S258,"F"),"")</f>
        <v/>
      </c>
      <c r="B258">
        <f>IF(AND('Data Source'!B258&lt;&gt;"",'Data Source'!S258="F"),'Data Source'!B258,"")</f>
        <v/>
      </c>
      <c r="C258" s="3">
        <f>IF(AND('Data Source'!B258&lt;&gt;"",'Data Source'!S258="F"),IF('Data Source'!U258&gt;=5,"A+",IF('Data Source'!U258&gt;=4,"A",IF('Data Source'!U258&gt;=3.5,"A-",IF('Data Source'!U258&gt;=3,"B",IF('Data Source'!U258&gt;=2,"C",IF('Data Source'!U258&gt;=1,"D","F")))))),"")</f>
        <v/>
      </c>
      <c r="D258" s="3">
        <f>IF(AND('Data Source'!B258&lt;&gt;"",'Data Source'!S258="F"),IF('Data Source'!V258&gt;=5,"A+",IF('Data Source'!V258&gt;=4,"A",IF('Data Source'!V258&gt;=3.5,"A-",IF('Data Source'!V258&gt;=3,"B",IF('Data Source'!V258&gt;=2,"C",IF('Data Source'!V258&gt;=1,"D","F")))))),"")</f>
        <v/>
      </c>
      <c r="E258" s="3">
        <f>IF(AND('Data Source'!B258&lt;&gt;"",'Data Source'!S258="F"),IF('Data Source'!W258&gt;=5,"A+",IF('Data Source'!W258&gt;=4,"A",IF('Data Source'!W258&gt;=3.5,"A-",IF('Data Source'!W258&gt;=3,"B",IF('Data Source'!W258&gt;=2,"C",IF('Data Source'!W258&gt;=1,"D","F")))))),"")</f>
        <v/>
      </c>
      <c r="F258" s="3">
        <f>IF(AND('Data Source'!B258&lt;&gt;"",'Data Source'!S258="F"),IF('Data Source'!X258&gt;=5,"A+",IF('Data Source'!X258&gt;=4,"A",IF('Data Source'!X258&gt;=3.5,"A-",IF('Data Source'!X258&gt;=3,"B",IF('Data Source'!X258&gt;=2,"C",IF('Data Source'!X258&gt;=1,"D","F")))))),"")</f>
        <v/>
      </c>
      <c r="G258" s="3">
        <f>IF(AND('Data Source'!B258&lt;&gt;"",'Data Source'!S258="F"),IF('Data Source'!Y258&gt;=5,"A+",IF('Data Source'!Y258&gt;=4,"A",IF('Data Source'!Y258&gt;=3.5,"A-",IF('Data Source'!Y258&gt;=3,"B",IF('Data Source'!Y258&gt;=2,"C",IF('Data Source'!Y258&gt;=1,"D","F")))))),"")</f>
        <v/>
      </c>
      <c r="H258" s="3">
        <f>IF(AND('Data Source'!B258&lt;&gt;"",'Data Source'!S258="F"),IF('Data Source'!Z258&gt;=5,"A+",IF('Data Source'!Z258&gt;=4,"A",IF('Data Source'!Z258&gt;=3.5,"A-",IF('Data Source'!Z258&gt;=3,"B",IF('Data Source'!Z258&gt;=2,"C",IF('Data Source'!Z258&gt;=1,"D","F")))))),"")</f>
        <v/>
      </c>
      <c r="I258" s="3">
        <f>IF(AND('Data Source'!B258&lt;&gt;"",'Data Source'!S258="F"),IF('Data Source'!AA258&gt;=5,"A+",IF('Data Source'!AA258&gt;=4,"A",IF('Data Source'!AA258&gt;=3.5,"A-",IF('Data Source'!AA258&gt;=3,"B",IF('Data Source'!AA258&gt;=2,"C",IF('Data Source'!AA258&gt;=1,"D","F")))))),"")</f>
        <v/>
      </c>
      <c r="J258" s="3">
        <f>IF(AND('Data Source'!B258&lt;&gt;"",'Data Source'!S258="F"),IF('Data Source'!AB258&gt;=5,"A+",IF('Data Source'!AB258&gt;=4,"A",IF('Data Source'!AB258&gt;=3.5,"A-",IF('Data Source'!AB258&gt;=3,"B",IF('Data Source'!AB258&gt;=2,"C",IF('Data Source'!AB258&gt;=1,"D","F")))))),"")</f>
        <v/>
      </c>
      <c r="K258" s="3">
        <f>IF(AND('Data Source'!B258&lt;&gt;"",'Data Source'!S258="F"),IF('Data Source'!AC258&gt;=5,"A+",IF('Data Source'!AC258&gt;=4,"A",IF('Data Source'!AC258&gt;=3.5,"A-",IF('Data Source'!AC258&gt;=3,"B",IF('Data Source'!AC258&gt;=2,"C",IF('Data Source'!AC258&gt;=1,"D","F")))))),"")</f>
        <v/>
      </c>
      <c r="L258" s="3">
        <f>IF(AND('Data Source'!B258&lt;&gt;"",'Data Source'!S258="F"),IF('Data Source'!AD258&gt;=5,"A+",IF('Data Source'!AD258&gt;=4,"A",IF('Data Source'!AD258&gt;=3.5,"A-",IF('Data Source'!AD258&gt;=3,"B",IF('Data Source'!AD258&gt;=2,"C",IF('Data Source'!AD258&gt;=1,"D","F")))))),"")</f>
        <v/>
      </c>
      <c r="M258" s="3">
        <f>IF(AND('Data Source'!B258&lt;&gt;"",'Data Source'!S258="F"),IF('Data Source'!AE258&gt;=5,"A+",IF('Data Source'!AE258&gt;=4,"A",IF('Data Source'!AE258&gt;=3.5,"A-",IF('Data Source'!AE258&gt;=3,"B",IF('Data Source'!AE258&gt;=2,"C",IF('Data Source'!AE258&gt;=1,"D","F")))))),"")</f>
        <v/>
      </c>
      <c r="N258" s="3">
        <f>IF(AND('Data Source'!B258&lt;&gt;"",'Data Source'!S258="F"),IF('Data Source'!AF258&gt;=5,"A+",IF('Data Source'!AF258&gt;=4,"A",IF('Data Source'!AF258&gt;=3.5,"A-",IF('Data Source'!AF258&gt;=3,"B",IF('Data Source'!AF258&gt;=2,"C",IF('Data Source'!AF258&gt;=1,"D","F")))))),"")</f>
        <v/>
      </c>
      <c r="O258" s="3">
        <f>IF(AND('Data Source'!B258&lt;&gt;"",'Data Source'!S258="F"),IF('Data Source'!AG258&gt;=5,"A+",IF('Data Source'!AG258&gt;=4,"A",IF('Data Source'!AG258&gt;=3.5,"A-",IF('Data Source'!AG258&gt;=3,"B",IF('Data Source'!AG258&gt;=2,"C",IF('Data Source'!AG258&gt;=1,"D","F")))))),"")</f>
        <v/>
      </c>
      <c r="P258" s="5">
        <f>IF(AND('Data Source'!B258&lt;&gt;"",'Data Source'!S258="F"),'Data Source'!R258,"")</f>
        <v/>
      </c>
      <c r="Q258" s="3">
        <f>IF(AND('Data Source'!B258&lt;&gt;"",'Data Source'!S258="F"),'Data Source'!S258,"")</f>
        <v/>
      </c>
    </row>
    <row r="259">
      <c r="A259" s="3">
        <f>IF(AND('Data Source'!B259&lt;&gt;"",'Data Source'!S259="F"),COUNTIF('Data Source'!$S$3:S259,"F"),"")</f>
        <v/>
      </c>
      <c r="B259">
        <f>IF(AND('Data Source'!B259&lt;&gt;"",'Data Source'!S259="F"),'Data Source'!B259,"")</f>
        <v/>
      </c>
      <c r="C259" s="3">
        <f>IF(AND('Data Source'!B259&lt;&gt;"",'Data Source'!S259="F"),IF('Data Source'!U259&gt;=5,"A+",IF('Data Source'!U259&gt;=4,"A",IF('Data Source'!U259&gt;=3.5,"A-",IF('Data Source'!U259&gt;=3,"B",IF('Data Source'!U259&gt;=2,"C",IF('Data Source'!U259&gt;=1,"D","F")))))),"")</f>
        <v/>
      </c>
      <c r="D259" s="3">
        <f>IF(AND('Data Source'!B259&lt;&gt;"",'Data Source'!S259="F"),IF('Data Source'!V259&gt;=5,"A+",IF('Data Source'!V259&gt;=4,"A",IF('Data Source'!V259&gt;=3.5,"A-",IF('Data Source'!V259&gt;=3,"B",IF('Data Source'!V259&gt;=2,"C",IF('Data Source'!V259&gt;=1,"D","F")))))),"")</f>
        <v/>
      </c>
      <c r="E259" s="3">
        <f>IF(AND('Data Source'!B259&lt;&gt;"",'Data Source'!S259="F"),IF('Data Source'!W259&gt;=5,"A+",IF('Data Source'!W259&gt;=4,"A",IF('Data Source'!W259&gt;=3.5,"A-",IF('Data Source'!W259&gt;=3,"B",IF('Data Source'!W259&gt;=2,"C",IF('Data Source'!W259&gt;=1,"D","F")))))),"")</f>
        <v/>
      </c>
      <c r="F259" s="3">
        <f>IF(AND('Data Source'!B259&lt;&gt;"",'Data Source'!S259="F"),IF('Data Source'!X259&gt;=5,"A+",IF('Data Source'!X259&gt;=4,"A",IF('Data Source'!X259&gt;=3.5,"A-",IF('Data Source'!X259&gt;=3,"B",IF('Data Source'!X259&gt;=2,"C",IF('Data Source'!X259&gt;=1,"D","F")))))),"")</f>
        <v/>
      </c>
      <c r="G259" s="3">
        <f>IF(AND('Data Source'!B259&lt;&gt;"",'Data Source'!S259="F"),IF('Data Source'!Y259&gt;=5,"A+",IF('Data Source'!Y259&gt;=4,"A",IF('Data Source'!Y259&gt;=3.5,"A-",IF('Data Source'!Y259&gt;=3,"B",IF('Data Source'!Y259&gt;=2,"C",IF('Data Source'!Y259&gt;=1,"D","F")))))),"")</f>
        <v/>
      </c>
      <c r="H259" s="3">
        <f>IF(AND('Data Source'!B259&lt;&gt;"",'Data Source'!S259="F"),IF('Data Source'!Z259&gt;=5,"A+",IF('Data Source'!Z259&gt;=4,"A",IF('Data Source'!Z259&gt;=3.5,"A-",IF('Data Source'!Z259&gt;=3,"B",IF('Data Source'!Z259&gt;=2,"C",IF('Data Source'!Z259&gt;=1,"D","F")))))),"")</f>
        <v/>
      </c>
      <c r="I259" s="3">
        <f>IF(AND('Data Source'!B259&lt;&gt;"",'Data Source'!S259="F"),IF('Data Source'!AA259&gt;=5,"A+",IF('Data Source'!AA259&gt;=4,"A",IF('Data Source'!AA259&gt;=3.5,"A-",IF('Data Source'!AA259&gt;=3,"B",IF('Data Source'!AA259&gt;=2,"C",IF('Data Source'!AA259&gt;=1,"D","F")))))),"")</f>
        <v/>
      </c>
      <c r="J259" s="3">
        <f>IF(AND('Data Source'!B259&lt;&gt;"",'Data Source'!S259="F"),IF('Data Source'!AB259&gt;=5,"A+",IF('Data Source'!AB259&gt;=4,"A",IF('Data Source'!AB259&gt;=3.5,"A-",IF('Data Source'!AB259&gt;=3,"B",IF('Data Source'!AB259&gt;=2,"C",IF('Data Source'!AB259&gt;=1,"D","F")))))),"")</f>
        <v/>
      </c>
      <c r="K259" s="3">
        <f>IF(AND('Data Source'!B259&lt;&gt;"",'Data Source'!S259="F"),IF('Data Source'!AC259&gt;=5,"A+",IF('Data Source'!AC259&gt;=4,"A",IF('Data Source'!AC259&gt;=3.5,"A-",IF('Data Source'!AC259&gt;=3,"B",IF('Data Source'!AC259&gt;=2,"C",IF('Data Source'!AC259&gt;=1,"D","F")))))),"")</f>
        <v/>
      </c>
      <c r="L259" s="3">
        <f>IF(AND('Data Source'!B259&lt;&gt;"",'Data Source'!S259="F"),IF('Data Source'!AD259&gt;=5,"A+",IF('Data Source'!AD259&gt;=4,"A",IF('Data Source'!AD259&gt;=3.5,"A-",IF('Data Source'!AD259&gt;=3,"B",IF('Data Source'!AD259&gt;=2,"C",IF('Data Source'!AD259&gt;=1,"D","F")))))),"")</f>
        <v/>
      </c>
      <c r="M259" s="3">
        <f>IF(AND('Data Source'!B259&lt;&gt;"",'Data Source'!S259="F"),IF('Data Source'!AE259&gt;=5,"A+",IF('Data Source'!AE259&gt;=4,"A",IF('Data Source'!AE259&gt;=3.5,"A-",IF('Data Source'!AE259&gt;=3,"B",IF('Data Source'!AE259&gt;=2,"C",IF('Data Source'!AE259&gt;=1,"D","F")))))),"")</f>
        <v/>
      </c>
      <c r="N259" s="3">
        <f>IF(AND('Data Source'!B259&lt;&gt;"",'Data Source'!S259="F"),IF('Data Source'!AF259&gt;=5,"A+",IF('Data Source'!AF259&gt;=4,"A",IF('Data Source'!AF259&gt;=3.5,"A-",IF('Data Source'!AF259&gt;=3,"B",IF('Data Source'!AF259&gt;=2,"C",IF('Data Source'!AF259&gt;=1,"D","F")))))),"")</f>
        <v/>
      </c>
      <c r="O259" s="3">
        <f>IF(AND('Data Source'!B259&lt;&gt;"",'Data Source'!S259="F"),IF('Data Source'!AG259&gt;=5,"A+",IF('Data Source'!AG259&gt;=4,"A",IF('Data Source'!AG259&gt;=3.5,"A-",IF('Data Source'!AG259&gt;=3,"B",IF('Data Source'!AG259&gt;=2,"C",IF('Data Source'!AG259&gt;=1,"D","F")))))),"")</f>
        <v/>
      </c>
      <c r="P259" s="5">
        <f>IF(AND('Data Source'!B259&lt;&gt;"",'Data Source'!S259="F"),'Data Source'!R259,"")</f>
        <v/>
      </c>
      <c r="Q259" s="3">
        <f>IF(AND('Data Source'!B259&lt;&gt;"",'Data Source'!S259="F"),'Data Source'!S259,"")</f>
        <v/>
      </c>
    </row>
    <row r="260">
      <c r="A260" s="3">
        <f>IF(AND('Data Source'!B260&lt;&gt;"",'Data Source'!S260="F"),COUNTIF('Data Source'!$S$3:S260,"F"),"")</f>
        <v/>
      </c>
      <c r="B260">
        <f>IF(AND('Data Source'!B260&lt;&gt;"",'Data Source'!S260="F"),'Data Source'!B260,"")</f>
        <v/>
      </c>
      <c r="C260" s="3">
        <f>IF(AND('Data Source'!B260&lt;&gt;"",'Data Source'!S260="F"),IF('Data Source'!U260&gt;=5,"A+",IF('Data Source'!U260&gt;=4,"A",IF('Data Source'!U260&gt;=3.5,"A-",IF('Data Source'!U260&gt;=3,"B",IF('Data Source'!U260&gt;=2,"C",IF('Data Source'!U260&gt;=1,"D","F")))))),"")</f>
        <v/>
      </c>
      <c r="D260" s="3">
        <f>IF(AND('Data Source'!B260&lt;&gt;"",'Data Source'!S260="F"),IF('Data Source'!V260&gt;=5,"A+",IF('Data Source'!V260&gt;=4,"A",IF('Data Source'!V260&gt;=3.5,"A-",IF('Data Source'!V260&gt;=3,"B",IF('Data Source'!V260&gt;=2,"C",IF('Data Source'!V260&gt;=1,"D","F")))))),"")</f>
        <v/>
      </c>
      <c r="E260" s="3">
        <f>IF(AND('Data Source'!B260&lt;&gt;"",'Data Source'!S260="F"),IF('Data Source'!W260&gt;=5,"A+",IF('Data Source'!W260&gt;=4,"A",IF('Data Source'!W260&gt;=3.5,"A-",IF('Data Source'!W260&gt;=3,"B",IF('Data Source'!W260&gt;=2,"C",IF('Data Source'!W260&gt;=1,"D","F")))))),"")</f>
        <v/>
      </c>
      <c r="F260" s="3">
        <f>IF(AND('Data Source'!B260&lt;&gt;"",'Data Source'!S260="F"),IF('Data Source'!X260&gt;=5,"A+",IF('Data Source'!X260&gt;=4,"A",IF('Data Source'!X260&gt;=3.5,"A-",IF('Data Source'!X260&gt;=3,"B",IF('Data Source'!X260&gt;=2,"C",IF('Data Source'!X260&gt;=1,"D","F")))))),"")</f>
        <v/>
      </c>
      <c r="G260" s="3">
        <f>IF(AND('Data Source'!B260&lt;&gt;"",'Data Source'!S260="F"),IF('Data Source'!Y260&gt;=5,"A+",IF('Data Source'!Y260&gt;=4,"A",IF('Data Source'!Y260&gt;=3.5,"A-",IF('Data Source'!Y260&gt;=3,"B",IF('Data Source'!Y260&gt;=2,"C",IF('Data Source'!Y260&gt;=1,"D","F")))))),"")</f>
        <v/>
      </c>
      <c r="H260" s="3">
        <f>IF(AND('Data Source'!B260&lt;&gt;"",'Data Source'!S260="F"),IF('Data Source'!Z260&gt;=5,"A+",IF('Data Source'!Z260&gt;=4,"A",IF('Data Source'!Z260&gt;=3.5,"A-",IF('Data Source'!Z260&gt;=3,"B",IF('Data Source'!Z260&gt;=2,"C",IF('Data Source'!Z260&gt;=1,"D","F")))))),"")</f>
        <v/>
      </c>
      <c r="I260" s="3">
        <f>IF(AND('Data Source'!B260&lt;&gt;"",'Data Source'!S260="F"),IF('Data Source'!AA260&gt;=5,"A+",IF('Data Source'!AA260&gt;=4,"A",IF('Data Source'!AA260&gt;=3.5,"A-",IF('Data Source'!AA260&gt;=3,"B",IF('Data Source'!AA260&gt;=2,"C",IF('Data Source'!AA260&gt;=1,"D","F")))))),"")</f>
        <v/>
      </c>
      <c r="J260" s="3">
        <f>IF(AND('Data Source'!B260&lt;&gt;"",'Data Source'!S260="F"),IF('Data Source'!AB260&gt;=5,"A+",IF('Data Source'!AB260&gt;=4,"A",IF('Data Source'!AB260&gt;=3.5,"A-",IF('Data Source'!AB260&gt;=3,"B",IF('Data Source'!AB260&gt;=2,"C",IF('Data Source'!AB260&gt;=1,"D","F")))))),"")</f>
        <v/>
      </c>
      <c r="K260" s="3">
        <f>IF(AND('Data Source'!B260&lt;&gt;"",'Data Source'!S260="F"),IF('Data Source'!AC260&gt;=5,"A+",IF('Data Source'!AC260&gt;=4,"A",IF('Data Source'!AC260&gt;=3.5,"A-",IF('Data Source'!AC260&gt;=3,"B",IF('Data Source'!AC260&gt;=2,"C",IF('Data Source'!AC260&gt;=1,"D","F")))))),"")</f>
        <v/>
      </c>
      <c r="L260" s="3">
        <f>IF(AND('Data Source'!B260&lt;&gt;"",'Data Source'!S260="F"),IF('Data Source'!AD260&gt;=5,"A+",IF('Data Source'!AD260&gt;=4,"A",IF('Data Source'!AD260&gt;=3.5,"A-",IF('Data Source'!AD260&gt;=3,"B",IF('Data Source'!AD260&gt;=2,"C",IF('Data Source'!AD260&gt;=1,"D","F")))))),"")</f>
        <v/>
      </c>
      <c r="M260" s="3">
        <f>IF(AND('Data Source'!B260&lt;&gt;"",'Data Source'!S260="F"),IF('Data Source'!AE260&gt;=5,"A+",IF('Data Source'!AE260&gt;=4,"A",IF('Data Source'!AE260&gt;=3.5,"A-",IF('Data Source'!AE260&gt;=3,"B",IF('Data Source'!AE260&gt;=2,"C",IF('Data Source'!AE260&gt;=1,"D","F")))))),"")</f>
        <v/>
      </c>
      <c r="N260" s="3">
        <f>IF(AND('Data Source'!B260&lt;&gt;"",'Data Source'!S260="F"),IF('Data Source'!AF260&gt;=5,"A+",IF('Data Source'!AF260&gt;=4,"A",IF('Data Source'!AF260&gt;=3.5,"A-",IF('Data Source'!AF260&gt;=3,"B",IF('Data Source'!AF260&gt;=2,"C",IF('Data Source'!AF260&gt;=1,"D","F")))))),"")</f>
        <v/>
      </c>
      <c r="O260" s="3">
        <f>IF(AND('Data Source'!B260&lt;&gt;"",'Data Source'!S260="F"),IF('Data Source'!AG260&gt;=5,"A+",IF('Data Source'!AG260&gt;=4,"A",IF('Data Source'!AG260&gt;=3.5,"A-",IF('Data Source'!AG260&gt;=3,"B",IF('Data Source'!AG260&gt;=2,"C",IF('Data Source'!AG260&gt;=1,"D","F")))))),"")</f>
        <v/>
      </c>
      <c r="P260" s="5">
        <f>IF(AND('Data Source'!B260&lt;&gt;"",'Data Source'!S260="F"),'Data Source'!R260,"")</f>
        <v/>
      </c>
      <c r="Q260" s="3">
        <f>IF(AND('Data Source'!B260&lt;&gt;"",'Data Source'!S260="F"),'Data Source'!S260,"")</f>
        <v/>
      </c>
    </row>
    <row r="261">
      <c r="A261" s="3">
        <f>IF(AND('Data Source'!B261&lt;&gt;"",'Data Source'!S261="F"),COUNTIF('Data Source'!$S$3:S261,"F"),"")</f>
        <v/>
      </c>
      <c r="B261">
        <f>IF(AND('Data Source'!B261&lt;&gt;"",'Data Source'!S261="F"),'Data Source'!B261,"")</f>
        <v/>
      </c>
      <c r="C261" s="3">
        <f>IF(AND('Data Source'!B261&lt;&gt;"",'Data Source'!S261="F"),IF('Data Source'!U261&gt;=5,"A+",IF('Data Source'!U261&gt;=4,"A",IF('Data Source'!U261&gt;=3.5,"A-",IF('Data Source'!U261&gt;=3,"B",IF('Data Source'!U261&gt;=2,"C",IF('Data Source'!U261&gt;=1,"D","F")))))),"")</f>
        <v/>
      </c>
      <c r="D261" s="3">
        <f>IF(AND('Data Source'!B261&lt;&gt;"",'Data Source'!S261="F"),IF('Data Source'!V261&gt;=5,"A+",IF('Data Source'!V261&gt;=4,"A",IF('Data Source'!V261&gt;=3.5,"A-",IF('Data Source'!V261&gt;=3,"B",IF('Data Source'!V261&gt;=2,"C",IF('Data Source'!V261&gt;=1,"D","F")))))),"")</f>
        <v/>
      </c>
      <c r="E261" s="3">
        <f>IF(AND('Data Source'!B261&lt;&gt;"",'Data Source'!S261="F"),IF('Data Source'!W261&gt;=5,"A+",IF('Data Source'!W261&gt;=4,"A",IF('Data Source'!W261&gt;=3.5,"A-",IF('Data Source'!W261&gt;=3,"B",IF('Data Source'!W261&gt;=2,"C",IF('Data Source'!W261&gt;=1,"D","F")))))),"")</f>
        <v/>
      </c>
      <c r="F261" s="3">
        <f>IF(AND('Data Source'!B261&lt;&gt;"",'Data Source'!S261="F"),IF('Data Source'!X261&gt;=5,"A+",IF('Data Source'!X261&gt;=4,"A",IF('Data Source'!X261&gt;=3.5,"A-",IF('Data Source'!X261&gt;=3,"B",IF('Data Source'!X261&gt;=2,"C",IF('Data Source'!X261&gt;=1,"D","F")))))),"")</f>
        <v/>
      </c>
      <c r="G261" s="3">
        <f>IF(AND('Data Source'!B261&lt;&gt;"",'Data Source'!S261="F"),IF('Data Source'!Y261&gt;=5,"A+",IF('Data Source'!Y261&gt;=4,"A",IF('Data Source'!Y261&gt;=3.5,"A-",IF('Data Source'!Y261&gt;=3,"B",IF('Data Source'!Y261&gt;=2,"C",IF('Data Source'!Y261&gt;=1,"D","F")))))),"")</f>
        <v/>
      </c>
      <c r="H261" s="3">
        <f>IF(AND('Data Source'!B261&lt;&gt;"",'Data Source'!S261="F"),IF('Data Source'!Z261&gt;=5,"A+",IF('Data Source'!Z261&gt;=4,"A",IF('Data Source'!Z261&gt;=3.5,"A-",IF('Data Source'!Z261&gt;=3,"B",IF('Data Source'!Z261&gt;=2,"C",IF('Data Source'!Z261&gt;=1,"D","F")))))),"")</f>
        <v/>
      </c>
      <c r="I261" s="3">
        <f>IF(AND('Data Source'!B261&lt;&gt;"",'Data Source'!S261="F"),IF('Data Source'!AA261&gt;=5,"A+",IF('Data Source'!AA261&gt;=4,"A",IF('Data Source'!AA261&gt;=3.5,"A-",IF('Data Source'!AA261&gt;=3,"B",IF('Data Source'!AA261&gt;=2,"C",IF('Data Source'!AA261&gt;=1,"D","F")))))),"")</f>
        <v/>
      </c>
      <c r="J261" s="3">
        <f>IF(AND('Data Source'!B261&lt;&gt;"",'Data Source'!S261="F"),IF('Data Source'!AB261&gt;=5,"A+",IF('Data Source'!AB261&gt;=4,"A",IF('Data Source'!AB261&gt;=3.5,"A-",IF('Data Source'!AB261&gt;=3,"B",IF('Data Source'!AB261&gt;=2,"C",IF('Data Source'!AB261&gt;=1,"D","F")))))),"")</f>
        <v/>
      </c>
      <c r="K261" s="3">
        <f>IF(AND('Data Source'!B261&lt;&gt;"",'Data Source'!S261="F"),IF('Data Source'!AC261&gt;=5,"A+",IF('Data Source'!AC261&gt;=4,"A",IF('Data Source'!AC261&gt;=3.5,"A-",IF('Data Source'!AC261&gt;=3,"B",IF('Data Source'!AC261&gt;=2,"C",IF('Data Source'!AC261&gt;=1,"D","F")))))),"")</f>
        <v/>
      </c>
      <c r="L261" s="3">
        <f>IF(AND('Data Source'!B261&lt;&gt;"",'Data Source'!S261="F"),IF('Data Source'!AD261&gt;=5,"A+",IF('Data Source'!AD261&gt;=4,"A",IF('Data Source'!AD261&gt;=3.5,"A-",IF('Data Source'!AD261&gt;=3,"B",IF('Data Source'!AD261&gt;=2,"C",IF('Data Source'!AD261&gt;=1,"D","F")))))),"")</f>
        <v/>
      </c>
      <c r="M261" s="3">
        <f>IF(AND('Data Source'!B261&lt;&gt;"",'Data Source'!S261="F"),IF('Data Source'!AE261&gt;=5,"A+",IF('Data Source'!AE261&gt;=4,"A",IF('Data Source'!AE261&gt;=3.5,"A-",IF('Data Source'!AE261&gt;=3,"B",IF('Data Source'!AE261&gt;=2,"C",IF('Data Source'!AE261&gt;=1,"D","F")))))),"")</f>
        <v/>
      </c>
      <c r="N261" s="3">
        <f>IF(AND('Data Source'!B261&lt;&gt;"",'Data Source'!S261="F"),IF('Data Source'!AF261&gt;=5,"A+",IF('Data Source'!AF261&gt;=4,"A",IF('Data Source'!AF261&gt;=3.5,"A-",IF('Data Source'!AF261&gt;=3,"B",IF('Data Source'!AF261&gt;=2,"C",IF('Data Source'!AF261&gt;=1,"D","F")))))),"")</f>
        <v/>
      </c>
      <c r="O261" s="3">
        <f>IF(AND('Data Source'!B261&lt;&gt;"",'Data Source'!S261="F"),IF('Data Source'!AG261&gt;=5,"A+",IF('Data Source'!AG261&gt;=4,"A",IF('Data Source'!AG261&gt;=3.5,"A-",IF('Data Source'!AG261&gt;=3,"B",IF('Data Source'!AG261&gt;=2,"C",IF('Data Source'!AG261&gt;=1,"D","F")))))),"")</f>
        <v/>
      </c>
      <c r="P261" s="5">
        <f>IF(AND('Data Source'!B261&lt;&gt;"",'Data Source'!S261="F"),'Data Source'!R261,"")</f>
        <v/>
      </c>
      <c r="Q261" s="3">
        <f>IF(AND('Data Source'!B261&lt;&gt;"",'Data Source'!S261="F"),'Data Source'!S261,"")</f>
        <v/>
      </c>
    </row>
    <row r="262">
      <c r="A262" s="3">
        <f>IF(AND('Data Source'!B262&lt;&gt;"",'Data Source'!S262="F"),COUNTIF('Data Source'!$S$3:S262,"F"),"")</f>
        <v/>
      </c>
      <c r="B262">
        <f>IF(AND('Data Source'!B262&lt;&gt;"",'Data Source'!S262="F"),'Data Source'!B262,"")</f>
        <v/>
      </c>
      <c r="C262" s="3">
        <f>IF(AND('Data Source'!B262&lt;&gt;"",'Data Source'!S262="F"),IF('Data Source'!U262&gt;=5,"A+",IF('Data Source'!U262&gt;=4,"A",IF('Data Source'!U262&gt;=3.5,"A-",IF('Data Source'!U262&gt;=3,"B",IF('Data Source'!U262&gt;=2,"C",IF('Data Source'!U262&gt;=1,"D","F")))))),"")</f>
        <v/>
      </c>
      <c r="D262" s="3">
        <f>IF(AND('Data Source'!B262&lt;&gt;"",'Data Source'!S262="F"),IF('Data Source'!V262&gt;=5,"A+",IF('Data Source'!V262&gt;=4,"A",IF('Data Source'!V262&gt;=3.5,"A-",IF('Data Source'!V262&gt;=3,"B",IF('Data Source'!V262&gt;=2,"C",IF('Data Source'!V262&gt;=1,"D","F")))))),"")</f>
        <v/>
      </c>
      <c r="E262" s="3">
        <f>IF(AND('Data Source'!B262&lt;&gt;"",'Data Source'!S262="F"),IF('Data Source'!W262&gt;=5,"A+",IF('Data Source'!W262&gt;=4,"A",IF('Data Source'!W262&gt;=3.5,"A-",IF('Data Source'!W262&gt;=3,"B",IF('Data Source'!W262&gt;=2,"C",IF('Data Source'!W262&gt;=1,"D","F")))))),"")</f>
        <v/>
      </c>
      <c r="F262" s="3">
        <f>IF(AND('Data Source'!B262&lt;&gt;"",'Data Source'!S262="F"),IF('Data Source'!X262&gt;=5,"A+",IF('Data Source'!X262&gt;=4,"A",IF('Data Source'!X262&gt;=3.5,"A-",IF('Data Source'!X262&gt;=3,"B",IF('Data Source'!X262&gt;=2,"C",IF('Data Source'!X262&gt;=1,"D","F")))))),"")</f>
        <v/>
      </c>
      <c r="G262" s="3">
        <f>IF(AND('Data Source'!B262&lt;&gt;"",'Data Source'!S262="F"),IF('Data Source'!Y262&gt;=5,"A+",IF('Data Source'!Y262&gt;=4,"A",IF('Data Source'!Y262&gt;=3.5,"A-",IF('Data Source'!Y262&gt;=3,"B",IF('Data Source'!Y262&gt;=2,"C",IF('Data Source'!Y262&gt;=1,"D","F")))))),"")</f>
        <v/>
      </c>
      <c r="H262" s="3">
        <f>IF(AND('Data Source'!B262&lt;&gt;"",'Data Source'!S262="F"),IF('Data Source'!Z262&gt;=5,"A+",IF('Data Source'!Z262&gt;=4,"A",IF('Data Source'!Z262&gt;=3.5,"A-",IF('Data Source'!Z262&gt;=3,"B",IF('Data Source'!Z262&gt;=2,"C",IF('Data Source'!Z262&gt;=1,"D","F")))))),"")</f>
        <v/>
      </c>
      <c r="I262" s="3">
        <f>IF(AND('Data Source'!B262&lt;&gt;"",'Data Source'!S262="F"),IF('Data Source'!AA262&gt;=5,"A+",IF('Data Source'!AA262&gt;=4,"A",IF('Data Source'!AA262&gt;=3.5,"A-",IF('Data Source'!AA262&gt;=3,"B",IF('Data Source'!AA262&gt;=2,"C",IF('Data Source'!AA262&gt;=1,"D","F")))))),"")</f>
        <v/>
      </c>
      <c r="J262" s="3">
        <f>IF(AND('Data Source'!B262&lt;&gt;"",'Data Source'!S262="F"),IF('Data Source'!AB262&gt;=5,"A+",IF('Data Source'!AB262&gt;=4,"A",IF('Data Source'!AB262&gt;=3.5,"A-",IF('Data Source'!AB262&gt;=3,"B",IF('Data Source'!AB262&gt;=2,"C",IF('Data Source'!AB262&gt;=1,"D","F")))))),"")</f>
        <v/>
      </c>
      <c r="K262" s="3">
        <f>IF(AND('Data Source'!B262&lt;&gt;"",'Data Source'!S262="F"),IF('Data Source'!AC262&gt;=5,"A+",IF('Data Source'!AC262&gt;=4,"A",IF('Data Source'!AC262&gt;=3.5,"A-",IF('Data Source'!AC262&gt;=3,"B",IF('Data Source'!AC262&gt;=2,"C",IF('Data Source'!AC262&gt;=1,"D","F")))))),"")</f>
        <v/>
      </c>
      <c r="L262" s="3">
        <f>IF(AND('Data Source'!B262&lt;&gt;"",'Data Source'!S262="F"),IF('Data Source'!AD262&gt;=5,"A+",IF('Data Source'!AD262&gt;=4,"A",IF('Data Source'!AD262&gt;=3.5,"A-",IF('Data Source'!AD262&gt;=3,"B",IF('Data Source'!AD262&gt;=2,"C",IF('Data Source'!AD262&gt;=1,"D","F")))))),"")</f>
        <v/>
      </c>
      <c r="M262" s="3">
        <f>IF(AND('Data Source'!B262&lt;&gt;"",'Data Source'!S262="F"),IF('Data Source'!AE262&gt;=5,"A+",IF('Data Source'!AE262&gt;=4,"A",IF('Data Source'!AE262&gt;=3.5,"A-",IF('Data Source'!AE262&gt;=3,"B",IF('Data Source'!AE262&gt;=2,"C",IF('Data Source'!AE262&gt;=1,"D","F")))))),"")</f>
        <v/>
      </c>
      <c r="N262" s="3">
        <f>IF(AND('Data Source'!B262&lt;&gt;"",'Data Source'!S262="F"),IF('Data Source'!AF262&gt;=5,"A+",IF('Data Source'!AF262&gt;=4,"A",IF('Data Source'!AF262&gt;=3.5,"A-",IF('Data Source'!AF262&gt;=3,"B",IF('Data Source'!AF262&gt;=2,"C",IF('Data Source'!AF262&gt;=1,"D","F")))))),"")</f>
        <v/>
      </c>
      <c r="O262" s="3">
        <f>IF(AND('Data Source'!B262&lt;&gt;"",'Data Source'!S262="F"),IF('Data Source'!AG262&gt;=5,"A+",IF('Data Source'!AG262&gt;=4,"A",IF('Data Source'!AG262&gt;=3.5,"A-",IF('Data Source'!AG262&gt;=3,"B",IF('Data Source'!AG262&gt;=2,"C",IF('Data Source'!AG262&gt;=1,"D","F")))))),"")</f>
        <v/>
      </c>
      <c r="P262" s="5">
        <f>IF(AND('Data Source'!B262&lt;&gt;"",'Data Source'!S262="F"),'Data Source'!R262,"")</f>
        <v/>
      </c>
      <c r="Q262" s="3">
        <f>IF(AND('Data Source'!B262&lt;&gt;"",'Data Source'!S262="F"),'Data Source'!S262,"")</f>
        <v/>
      </c>
    </row>
    <row r="263">
      <c r="A263" s="3">
        <f>IF(AND('Data Source'!B263&lt;&gt;"",'Data Source'!S263="F"),COUNTIF('Data Source'!$S$3:S263,"F"),"")</f>
        <v/>
      </c>
      <c r="B263">
        <f>IF(AND('Data Source'!B263&lt;&gt;"",'Data Source'!S263="F"),'Data Source'!B263,"")</f>
        <v/>
      </c>
      <c r="C263" s="3">
        <f>IF(AND('Data Source'!B263&lt;&gt;"",'Data Source'!S263="F"),IF('Data Source'!U263&gt;=5,"A+",IF('Data Source'!U263&gt;=4,"A",IF('Data Source'!U263&gt;=3.5,"A-",IF('Data Source'!U263&gt;=3,"B",IF('Data Source'!U263&gt;=2,"C",IF('Data Source'!U263&gt;=1,"D","F")))))),"")</f>
        <v/>
      </c>
      <c r="D263" s="3">
        <f>IF(AND('Data Source'!B263&lt;&gt;"",'Data Source'!S263="F"),IF('Data Source'!V263&gt;=5,"A+",IF('Data Source'!V263&gt;=4,"A",IF('Data Source'!V263&gt;=3.5,"A-",IF('Data Source'!V263&gt;=3,"B",IF('Data Source'!V263&gt;=2,"C",IF('Data Source'!V263&gt;=1,"D","F")))))),"")</f>
        <v/>
      </c>
      <c r="E263" s="3">
        <f>IF(AND('Data Source'!B263&lt;&gt;"",'Data Source'!S263="F"),IF('Data Source'!W263&gt;=5,"A+",IF('Data Source'!W263&gt;=4,"A",IF('Data Source'!W263&gt;=3.5,"A-",IF('Data Source'!W263&gt;=3,"B",IF('Data Source'!W263&gt;=2,"C",IF('Data Source'!W263&gt;=1,"D","F")))))),"")</f>
        <v/>
      </c>
      <c r="F263" s="3">
        <f>IF(AND('Data Source'!B263&lt;&gt;"",'Data Source'!S263="F"),IF('Data Source'!X263&gt;=5,"A+",IF('Data Source'!X263&gt;=4,"A",IF('Data Source'!X263&gt;=3.5,"A-",IF('Data Source'!X263&gt;=3,"B",IF('Data Source'!X263&gt;=2,"C",IF('Data Source'!X263&gt;=1,"D","F")))))),"")</f>
        <v/>
      </c>
      <c r="G263" s="3">
        <f>IF(AND('Data Source'!B263&lt;&gt;"",'Data Source'!S263="F"),IF('Data Source'!Y263&gt;=5,"A+",IF('Data Source'!Y263&gt;=4,"A",IF('Data Source'!Y263&gt;=3.5,"A-",IF('Data Source'!Y263&gt;=3,"B",IF('Data Source'!Y263&gt;=2,"C",IF('Data Source'!Y263&gt;=1,"D","F")))))),"")</f>
        <v/>
      </c>
      <c r="H263" s="3">
        <f>IF(AND('Data Source'!B263&lt;&gt;"",'Data Source'!S263="F"),IF('Data Source'!Z263&gt;=5,"A+",IF('Data Source'!Z263&gt;=4,"A",IF('Data Source'!Z263&gt;=3.5,"A-",IF('Data Source'!Z263&gt;=3,"B",IF('Data Source'!Z263&gt;=2,"C",IF('Data Source'!Z263&gt;=1,"D","F")))))),"")</f>
        <v/>
      </c>
      <c r="I263" s="3">
        <f>IF(AND('Data Source'!B263&lt;&gt;"",'Data Source'!S263="F"),IF('Data Source'!AA263&gt;=5,"A+",IF('Data Source'!AA263&gt;=4,"A",IF('Data Source'!AA263&gt;=3.5,"A-",IF('Data Source'!AA263&gt;=3,"B",IF('Data Source'!AA263&gt;=2,"C",IF('Data Source'!AA263&gt;=1,"D","F")))))),"")</f>
        <v/>
      </c>
      <c r="J263" s="3">
        <f>IF(AND('Data Source'!B263&lt;&gt;"",'Data Source'!S263="F"),IF('Data Source'!AB263&gt;=5,"A+",IF('Data Source'!AB263&gt;=4,"A",IF('Data Source'!AB263&gt;=3.5,"A-",IF('Data Source'!AB263&gt;=3,"B",IF('Data Source'!AB263&gt;=2,"C",IF('Data Source'!AB263&gt;=1,"D","F")))))),"")</f>
        <v/>
      </c>
      <c r="K263" s="3">
        <f>IF(AND('Data Source'!B263&lt;&gt;"",'Data Source'!S263="F"),IF('Data Source'!AC263&gt;=5,"A+",IF('Data Source'!AC263&gt;=4,"A",IF('Data Source'!AC263&gt;=3.5,"A-",IF('Data Source'!AC263&gt;=3,"B",IF('Data Source'!AC263&gt;=2,"C",IF('Data Source'!AC263&gt;=1,"D","F")))))),"")</f>
        <v/>
      </c>
      <c r="L263" s="3">
        <f>IF(AND('Data Source'!B263&lt;&gt;"",'Data Source'!S263="F"),IF('Data Source'!AD263&gt;=5,"A+",IF('Data Source'!AD263&gt;=4,"A",IF('Data Source'!AD263&gt;=3.5,"A-",IF('Data Source'!AD263&gt;=3,"B",IF('Data Source'!AD263&gt;=2,"C",IF('Data Source'!AD263&gt;=1,"D","F")))))),"")</f>
        <v/>
      </c>
      <c r="M263" s="3">
        <f>IF(AND('Data Source'!B263&lt;&gt;"",'Data Source'!S263="F"),IF('Data Source'!AE263&gt;=5,"A+",IF('Data Source'!AE263&gt;=4,"A",IF('Data Source'!AE263&gt;=3.5,"A-",IF('Data Source'!AE263&gt;=3,"B",IF('Data Source'!AE263&gt;=2,"C",IF('Data Source'!AE263&gt;=1,"D","F")))))),"")</f>
        <v/>
      </c>
      <c r="N263" s="3">
        <f>IF(AND('Data Source'!B263&lt;&gt;"",'Data Source'!S263="F"),IF('Data Source'!AF263&gt;=5,"A+",IF('Data Source'!AF263&gt;=4,"A",IF('Data Source'!AF263&gt;=3.5,"A-",IF('Data Source'!AF263&gt;=3,"B",IF('Data Source'!AF263&gt;=2,"C",IF('Data Source'!AF263&gt;=1,"D","F")))))),"")</f>
        <v/>
      </c>
      <c r="O263" s="3">
        <f>IF(AND('Data Source'!B263&lt;&gt;"",'Data Source'!S263="F"),IF('Data Source'!AG263&gt;=5,"A+",IF('Data Source'!AG263&gt;=4,"A",IF('Data Source'!AG263&gt;=3.5,"A-",IF('Data Source'!AG263&gt;=3,"B",IF('Data Source'!AG263&gt;=2,"C",IF('Data Source'!AG263&gt;=1,"D","F")))))),"")</f>
        <v/>
      </c>
      <c r="P263" s="5">
        <f>IF(AND('Data Source'!B263&lt;&gt;"",'Data Source'!S263="F"),'Data Source'!R263,"")</f>
        <v/>
      </c>
      <c r="Q263" s="3">
        <f>IF(AND('Data Source'!B263&lt;&gt;"",'Data Source'!S263="F"),'Data Source'!S263,"")</f>
        <v/>
      </c>
    </row>
    <row r="264">
      <c r="A264" s="3">
        <f>IF(AND('Data Source'!B264&lt;&gt;"",'Data Source'!S264="F"),COUNTIF('Data Source'!$S$3:S264,"F"),"")</f>
        <v/>
      </c>
      <c r="B264">
        <f>IF(AND('Data Source'!B264&lt;&gt;"",'Data Source'!S264="F"),'Data Source'!B264,"")</f>
        <v/>
      </c>
      <c r="C264" s="3">
        <f>IF(AND('Data Source'!B264&lt;&gt;"",'Data Source'!S264="F"),IF('Data Source'!U264&gt;=5,"A+",IF('Data Source'!U264&gt;=4,"A",IF('Data Source'!U264&gt;=3.5,"A-",IF('Data Source'!U264&gt;=3,"B",IF('Data Source'!U264&gt;=2,"C",IF('Data Source'!U264&gt;=1,"D","F")))))),"")</f>
        <v/>
      </c>
      <c r="D264" s="3">
        <f>IF(AND('Data Source'!B264&lt;&gt;"",'Data Source'!S264="F"),IF('Data Source'!V264&gt;=5,"A+",IF('Data Source'!V264&gt;=4,"A",IF('Data Source'!V264&gt;=3.5,"A-",IF('Data Source'!V264&gt;=3,"B",IF('Data Source'!V264&gt;=2,"C",IF('Data Source'!V264&gt;=1,"D","F")))))),"")</f>
        <v/>
      </c>
      <c r="E264" s="3">
        <f>IF(AND('Data Source'!B264&lt;&gt;"",'Data Source'!S264="F"),IF('Data Source'!W264&gt;=5,"A+",IF('Data Source'!W264&gt;=4,"A",IF('Data Source'!W264&gt;=3.5,"A-",IF('Data Source'!W264&gt;=3,"B",IF('Data Source'!W264&gt;=2,"C",IF('Data Source'!W264&gt;=1,"D","F")))))),"")</f>
        <v/>
      </c>
      <c r="F264" s="3">
        <f>IF(AND('Data Source'!B264&lt;&gt;"",'Data Source'!S264="F"),IF('Data Source'!X264&gt;=5,"A+",IF('Data Source'!X264&gt;=4,"A",IF('Data Source'!X264&gt;=3.5,"A-",IF('Data Source'!X264&gt;=3,"B",IF('Data Source'!X264&gt;=2,"C",IF('Data Source'!X264&gt;=1,"D","F")))))),"")</f>
        <v/>
      </c>
      <c r="G264" s="3">
        <f>IF(AND('Data Source'!B264&lt;&gt;"",'Data Source'!S264="F"),IF('Data Source'!Y264&gt;=5,"A+",IF('Data Source'!Y264&gt;=4,"A",IF('Data Source'!Y264&gt;=3.5,"A-",IF('Data Source'!Y264&gt;=3,"B",IF('Data Source'!Y264&gt;=2,"C",IF('Data Source'!Y264&gt;=1,"D","F")))))),"")</f>
        <v/>
      </c>
      <c r="H264" s="3">
        <f>IF(AND('Data Source'!B264&lt;&gt;"",'Data Source'!S264="F"),IF('Data Source'!Z264&gt;=5,"A+",IF('Data Source'!Z264&gt;=4,"A",IF('Data Source'!Z264&gt;=3.5,"A-",IF('Data Source'!Z264&gt;=3,"B",IF('Data Source'!Z264&gt;=2,"C",IF('Data Source'!Z264&gt;=1,"D","F")))))),"")</f>
        <v/>
      </c>
      <c r="I264" s="3">
        <f>IF(AND('Data Source'!B264&lt;&gt;"",'Data Source'!S264="F"),IF('Data Source'!AA264&gt;=5,"A+",IF('Data Source'!AA264&gt;=4,"A",IF('Data Source'!AA264&gt;=3.5,"A-",IF('Data Source'!AA264&gt;=3,"B",IF('Data Source'!AA264&gt;=2,"C",IF('Data Source'!AA264&gt;=1,"D","F")))))),"")</f>
        <v/>
      </c>
      <c r="J264" s="3">
        <f>IF(AND('Data Source'!B264&lt;&gt;"",'Data Source'!S264="F"),IF('Data Source'!AB264&gt;=5,"A+",IF('Data Source'!AB264&gt;=4,"A",IF('Data Source'!AB264&gt;=3.5,"A-",IF('Data Source'!AB264&gt;=3,"B",IF('Data Source'!AB264&gt;=2,"C",IF('Data Source'!AB264&gt;=1,"D","F")))))),"")</f>
        <v/>
      </c>
      <c r="K264" s="3">
        <f>IF(AND('Data Source'!B264&lt;&gt;"",'Data Source'!S264="F"),IF('Data Source'!AC264&gt;=5,"A+",IF('Data Source'!AC264&gt;=4,"A",IF('Data Source'!AC264&gt;=3.5,"A-",IF('Data Source'!AC264&gt;=3,"B",IF('Data Source'!AC264&gt;=2,"C",IF('Data Source'!AC264&gt;=1,"D","F")))))),"")</f>
        <v/>
      </c>
      <c r="L264" s="3">
        <f>IF(AND('Data Source'!B264&lt;&gt;"",'Data Source'!S264="F"),IF('Data Source'!AD264&gt;=5,"A+",IF('Data Source'!AD264&gt;=4,"A",IF('Data Source'!AD264&gt;=3.5,"A-",IF('Data Source'!AD264&gt;=3,"B",IF('Data Source'!AD264&gt;=2,"C",IF('Data Source'!AD264&gt;=1,"D","F")))))),"")</f>
        <v/>
      </c>
      <c r="M264" s="3">
        <f>IF(AND('Data Source'!B264&lt;&gt;"",'Data Source'!S264="F"),IF('Data Source'!AE264&gt;=5,"A+",IF('Data Source'!AE264&gt;=4,"A",IF('Data Source'!AE264&gt;=3.5,"A-",IF('Data Source'!AE264&gt;=3,"B",IF('Data Source'!AE264&gt;=2,"C",IF('Data Source'!AE264&gt;=1,"D","F")))))),"")</f>
        <v/>
      </c>
      <c r="N264" s="3">
        <f>IF(AND('Data Source'!B264&lt;&gt;"",'Data Source'!S264="F"),IF('Data Source'!AF264&gt;=5,"A+",IF('Data Source'!AF264&gt;=4,"A",IF('Data Source'!AF264&gt;=3.5,"A-",IF('Data Source'!AF264&gt;=3,"B",IF('Data Source'!AF264&gt;=2,"C",IF('Data Source'!AF264&gt;=1,"D","F")))))),"")</f>
        <v/>
      </c>
      <c r="O264" s="3">
        <f>IF(AND('Data Source'!B264&lt;&gt;"",'Data Source'!S264="F"),IF('Data Source'!AG264&gt;=5,"A+",IF('Data Source'!AG264&gt;=4,"A",IF('Data Source'!AG264&gt;=3.5,"A-",IF('Data Source'!AG264&gt;=3,"B",IF('Data Source'!AG264&gt;=2,"C",IF('Data Source'!AG264&gt;=1,"D","F")))))),"")</f>
        <v/>
      </c>
      <c r="P264" s="5">
        <f>IF(AND('Data Source'!B264&lt;&gt;"",'Data Source'!S264="F"),'Data Source'!R264,"")</f>
        <v/>
      </c>
      <c r="Q264" s="3">
        <f>IF(AND('Data Source'!B264&lt;&gt;"",'Data Source'!S264="F"),'Data Source'!S264,"")</f>
        <v/>
      </c>
    </row>
    <row r="265">
      <c r="A265" s="3">
        <f>IF(AND('Data Source'!B265&lt;&gt;"",'Data Source'!S265="F"),COUNTIF('Data Source'!$S$3:S265,"F"),"")</f>
        <v/>
      </c>
      <c r="B265">
        <f>IF(AND('Data Source'!B265&lt;&gt;"",'Data Source'!S265="F"),'Data Source'!B265,"")</f>
        <v/>
      </c>
      <c r="C265" s="3">
        <f>IF(AND('Data Source'!B265&lt;&gt;"",'Data Source'!S265="F"),IF('Data Source'!U265&gt;=5,"A+",IF('Data Source'!U265&gt;=4,"A",IF('Data Source'!U265&gt;=3.5,"A-",IF('Data Source'!U265&gt;=3,"B",IF('Data Source'!U265&gt;=2,"C",IF('Data Source'!U265&gt;=1,"D","F")))))),"")</f>
        <v/>
      </c>
      <c r="D265" s="3">
        <f>IF(AND('Data Source'!B265&lt;&gt;"",'Data Source'!S265="F"),IF('Data Source'!V265&gt;=5,"A+",IF('Data Source'!V265&gt;=4,"A",IF('Data Source'!V265&gt;=3.5,"A-",IF('Data Source'!V265&gt;=3,"B",IF('Data Source'!V265&gt;=2,"C",IF('Data Source'!V265&gt;=1,"D","F")))))),"")</f>
        <v/>
      </c>
      <c r="E265" s="3">
        <f>IF(AND('Data Source'!B265&lt;&gt;"",'Data Source'!S265="F"),IF('Data Source'!W265&gt;=5,"A+",IF('Data Source'!W265&gt;=4,"A",IF('Data Source'!W265&gt;=3.5,"A-",IF('Data Source'!W265&gt;=3,"B",IF('Data Source'!W265&gt;=2,"C",IF('Data Source'!W265&gt;=1,"D","F")))))),"")</f>
        <v/>
      </c>
      <c r="F265" s="3">
        <f>IF(AND('Data Source'!B265&lt;&gt;"",'Data Source'!S265="F"),IF('Data Source'!X265&gt;=5,"A+",IF('Data Source'!X265&gt;=4,"A",IF('Data Source'!X265&gt;=3.5,"A-",IF('Data Source'!X265&gt;=3,"B",IF('Data Source'!X265&gt;=2,"C",IF('Data Source'!X265&gt;=1,"D","F")))))),"")</f>
        <v/>
      </c>
      <c r="G265" s="3">
        <f>IF(AND('Data Source'!B265&lt;&gt;"",'Data Source'!S265="F"),IF('Data Source'!Y265&gt;=5,"A+",IF('Data Source'!Y265&gt;=4,"A",IF('Data Source'!Y265&gt;=3.5,"A-",IF('Data Source'!Y265&gt;=3,"B",IF('Data Source'!Y265&gt;=2,"C",IF('Data Source'!Y265&gt;=1,"D","F")))))),"")</f>
        <v/>
      </c>
      <c r="H265" s="3">
        <f>IF(AND('Data Source'!B265&lt;&gt;"",'Data Source'!S265="F"),IF('Data Source'!Z265&gt;=5,"A+",IF('Data Source'!Z265&gt;=4,"A",IF('Data Source'!Z265&gt;=3.5,"A-",IF('Data Source'!Z265&gt;=3,"B",IF('Data Source'!Z265&gt;=2,"C",IF('Data Source'!Z265&gt;=1,"D","F")))))),"")</f>
        <v/>
      </c>
      <c r="I265" s="3">
        <f>IF(AND('Data Source'!B265&lt;&gt;"",'Data Source'!S265="F"),IF('Data Source'!AA265&gt;=5,"A+",IF('Data Source'!AA265&gt;=4,"A",IF('Data Source'!AA265&gt;=3.5,"A-",IF('Data Source'!AA265&gt;=3,"B",IF('Data Source'!AA265&gt;=2,"C",IF('Data Source'!AA265&gt;=1,"D","F")))))),"")</f>
        <v/>
      </c>
      <c r="J265" s="3">
        <f>IF(AND('Data Source'!B265&lt;&gt;"",'Data Source'!S265="F"),IF('Data Source'!AB265&gt;=5,"A+",IF('Data Source'!AB265&gt;=4,"A",IF('Data Source'!AB265&gt;=3.5,"A-",IF('Data Source'!AB265&gt;=3,"B",IF('Data Source'!AB265&gt;=2,"C",IF('Data Source'!AB265&gt;=1,"D","F")))))),"")</f>
        <v/>
      </c>
      <c r="K265" s="3">
        <f>IF(AND('Data Source'!B265&lt;&gt;"",'Data Source'!S265="F"),IF('Data Source'!AC265&gt;=5,"A+",IF('Data Source'!AC265&gt;=4,"A",IF('Data Source'!AC265&gt;=3.5,"A-",IF('Data Source'!AC265&gt;=3,"B",IF('Data Source'!AC265&gt;=2,"C",IF('Data Source'!AC265&gt;=1,"D","F")))))),"")</f>
        <v/>
      </c>
      <c r="L265" s="3">
        <f>IF(AND('Data Source'!B265&lt;&gt;"",'Data Source'!S265="F"),IF('Data Source'!AD265&gt;=5,"A+",IF('Data Source'!AD265&gt;=4,"A",IF('Data Source'!AD265&gt;=3.5,"A-",IF('Data Source'!AD265&gt;=3,"B",IF('Data Source'!AD265&gt;=2,"C",IF('Data Source'!AD265&gt;=1,"D","F")))))),"")</f>
        <v/>
      </c>
      <c r="M265" s="3">
        <f>IF(AND('Data Source'!B265&lt;&gt;"",'Data Source'!S265="F"),IF('Data Source'!AE265&gt;=5,"A+",IF('Data Source'!AE265&gt;=4,"A",IF('Data Source'!AE265&gt;=3.5,"A-",IF('Data Source'!AE265&gt;=3,"B",IF('Data Source'!AE265&gt;=2,"C",IF('Data Source'!AE265&gt;=1,"D","F")))))),"")</f>
        <v/>
      </c>
      <c r="N265" s="3">
        <f>IF(AND('Data Source'!B265&lt;&gt;"",'Data Source'!S265="F"),IF('Data Source'!AF265&gt;=5,"A+",IF('Data Source'!AF265&gt;=4,"A",IF('Data Source'!AF265&gt;=3.5,"A-",IF('Data Source'!AF265&gt;=3,"B",IF('Data Source'!AF265&gt;=2,"C",IF('Data Source'!AF265&gt;=1,"D","F")))))),"")</f>
        <v/>
      </c>
      <c r="O265" s="3">
        <f>IF(AND('Data Source'!B265&lt;&gt;"",'Data Source'!S265="F"),IF('Data Source'!AG265&gt;=5,"A+",IF('Data Source'!AG265&gt;=4,"A",IF('Data Source'!AG265&gt;=3.5,"A-",IF('Data Source'!AG265&gt;=3,"B",IF('Data Source'!AG265&gt;=2,"C",IF('Data Source'!AG265&gt;=1,"D","F")))))),"")</f>
        <v/>
      </c>
      <c r="P265" s="5">
        <f>IF(AND('Data Source'!B265&lt;&gt;"",'Data Source'!S265="F"),'Data Source'!R265,"")</f>
        <v/>
      </c>
      <c r="Q265" s="3">
        <f>IF(AND('Data Source'!B265&lt;&gt;"",'Data Source'!S265="F"),'Data Source'!S265,"")</f>
        <v/>
      </c>
    </row>
    <row r="266">
      <c r="A266" s="3">
        <f>IF(AND('Data Source'!B266&lt;&gt;"",'Data Source'!S266="F"),COUNTIF('Data Source'!$S$3:S266,"F"),"")</f>
        <v/>
      </c>
      <c r="B266">
        <f>IF(AND('Data Source'!B266&lt;&gt;"",'Data Source'!S266="F"),'Data Source'!B266,"")</f>
        <v/>
      </c>
      <c r="C266" s="3">
        <f>IF(AND('Data Source'!B266&lt;&gt;"",'Data Source'!S266="F"),IF('Data Source'!U266&gt;=5,"A+",IF('Data Source'!U266&gt;=4,"A",IF('Data Source'!U266&gt;=3.5,"A-",IF('Data Source'!U266&gt;=3,"B",IF('Data Source'!U266&gt;=2,"C",IF('Data Source'!U266&gt;=1,"D","F")))))),"")</f>
        <v/>
      </c>
      <c r="D266" s="3">
        <f>IF(AND('Data Source'!B266&lt;&gt;"",'Data Source'!S266="F"),IF('Data Source'!V266&gt;=5,"A+",IF('Data Source'!V266&gt;=4,"A",IF('Data Source'!V266&gt;=3.5,"A-",IF('Data Source'!V266&gt;=3,"B",IF('Data Source'!V266&gt;=2,"C",IF('Data Source'!V266&gt;=1,"D","F")))))),"")</f>
        <v/>
      </c>
      <c r="E266" s="3">
        <f>IF(AND('Data Source'!B266&lt;&gt;"",'Data Source'!S266="F"),IF('Data Source'!W266&gt;=5,"A+",IF('Data Source'!W266&gt;=4,"A",IF('Data Source'!W266&gt;=3.5,"A-",IF('Data Source'!W266&gt;=3,"B",IF('Data Source'!W266&gt;=2,"C",IF('Data Source'!W266&gt;=1,"D","F")))))),"")</f>
        <v/>
      </c>
      <c r="F266" s="3">
        <f>IF(AND('Data Source'!B266&lt;&gt;"",'Data Source'!S266="F"),IF('Data Source'!X266&gt;=5,"A+",IF('Data Source'!X266&gt;=4,"A",IF('Data Source'!X266&gt;=3.5,"A-",IF('Data Source'!X266&gt;=3,"B",IF('Data Source'!X266&gt;=2,"C",IF('Data Source'!X266&gt;=1,"D","F")))))),"")</f>
        <v/>
      </c>
      <c r="G266" s="3">
        <f>IF(AND('Data Source'!B266&lt;&gt;"",'Data Source'!S266="F"),IF('Data Source'!Y266&gt;=5,"A+",IF('Data Source'!Y266&gt;=4,"A",IF('Data Source'!Y266&gt;=3.5,"A-",IF('Data Source'!Y266&gt;=3,"B",IF('Data Source'!Y266&gt;=2,"C",IF('Data Source'!Y266&gt;=1,"D","F")))))),"")</f>
        <v/>
      </c>
      <c r="H266" s="3">
        <f>IF(AND('Data Source'!B266&lt;&gt;"",'Data Source'!S266="F"),IF('Data Source'!Z266&gt;=5,"A+",IF('Data Source'!Z266&gt;=4,"A",IF('Data Source'!Z266&gt;=3.5,"A-",IF('Data Source'!Z266&gt;=3,"B",IF('Data Source'!Z266&gt;=2,"C",IF('Data Source'!Z266&gt;=1,"D","F")))))),"")</f>
        <v/>
      </c>
      <c r="I266" s="3">
        <f>IF(AND('Data Source'!B266&lt;&gt;"",'Data Source'!S266="F"),IF('Data Source'!AA266&gt;=5,"A+",IF('Data Source'!AA266&gt;=4,"A",IF('Data Source'!AA266&gt;=3.5,"A-",IF('Data Source'!AA266&gt;=3,"B",IF('Data Source'!AA266&gt;=2,"C",IF('Data Source'!AA266&gt;=1,"D","F")))))),"")</f>
        <v/>
      </c>
      <c r="J266" s="3">
        <f>IF(AND('Data Source'!B266&lt;&gt;"",'Data Source'!S266="F"),IF('Data Source'!AB266&gt;=5,"A+",IF('Data Source'!AB266&gt;=4,"A",IF('Data Source'!AB266&gt;=3.5,"A-",IF('Data Source'!AB266&gt;=3,"B",IF('Data Source'!AB266&gt;=2,"C",IF('Data Source'!AB266&gt;=1,"D","F")))))),"")</f>
        <v/>
      </c>
      <c r="K266" s="3">
        <f>IF(AND('Data Source'!B266&lt;&gt;"",'Data Source'!S266="F"),IF('Data Source'!AC266&gt;=5,"A+",IF('Data Source'!AC266&gt;=4,"A",IF('Data Source'!AC266&gt;=3.5,"A-",IF('Data Source'!AC266&gt;=3,"B",IF('Data Source'!AC266&gt;=2,"C",IF('Data Source'!AC266&gt;=1,"D","F")))))),"")</f>
        <v/>
      </c>
      <c r="L266" s="3">
        <f>IF(AND('Data Source'!B266&lt;&gt;"",'Data Source'!S266="F"),IF('Data Source'!AD266&gt;=5,"A+",IF('Data Source'!AD266&gt;=4,"A",IF('Data Source'!AD266&gt;=3.5,"A-",IF('Data Source'!AD266&gt;=3,"B",IF('Data Source'!AD266&gt;=2,"C",IF('Data Source'!AD266&gt;=1,"D","F")))))),"")</f>
        <v/>
      </c>
      <c r="M266" s="3">
        <f>IF(AND('Data Source'!B266&lt;&gt;"",'Data Source'!S266="F"),IF('Data Source'!AE266&gt;=5,"A+",IF('Data Source'!AE266&gt;=4,"A",IF('Data Source'!AE266&gt;=3.5,"A-",IF('Data Source'!AE266&gt;=3,"B",IF('Data Source'!AE266&gt;=2,"C",IF('Data Source'!AE266&gt;=1,"D","F")))))),"")</f>
        <v/>
      </c>
      <c r="N266" s="3">
        <f>IF(AND('Data Source'!B266&lt;&gt;"",'Data Source'!S266="F"),IF('Data Source'!AF266&gt;=5,"A+",IF('Data Source'!AF266&gt;=4,"A",IF('Data Source'!AF266&gt;=3.5,"A-",IF('Data Source'!AF266&gt;=3,"B",IF('Data Source'!AF266&gt;=2,"C",IF('Data Source'!AF266&gt;=1,"D","F")))))),"")</f>
        <v/>
      </c>
      <c r="O266" s="3">
        <f>IF(AND('Data Source'!B266&lt;&gt;"",'Data Source'!S266="F"),IF('Data Source'!AG266&gt;=5,"A+",IF('Data Source'!AG266&gt;=4,"A",IF('Data Source'!AG266&gt;=3.5,"A-",IF('Data Source'!AG266&gt;=3,"B",IF('Data Source'!AG266&gt;=2,"C",IF('Data Source'!AG266&gt;=1,"D","F")))))),"")</f>
        <v/>
      </c>
      <c r="P266" s="5">
        <f>IF(AND('Data Source'!B266&lt;&gt;"",'Data Source'!S266="F"),'Data Source'!R266,"")</f>
        <v/>
      </c>
      <c r="Q266" s="3">
        <f>IF(AND('Data Source'!B266&lt;&gt;"",'Data Source'!S266="F"),'Data Source'!S266,"")</f>
        <v/>
      </c>
    </row>
    <row r="267">
      <c r="A267" s="3">
        <f>IF(AND('Data Source'!B267&lt;&gt;"",'Data Source'!S267="F"),COUNTIF('Data Source'!$S$3:S267,"F"),"")</f>
        <v/>
      </c>
      <c r="B267">
        <f>IF(AND('Data Source'!B267&lt;&gt;"",'Data Source'!S267="F"),'Data Source'!B267,"")</f>
        <v/>
      </c>
      <c r="C267" s="3">
        <f>IF(AND('Data Source'!B267&lt;&gt;"",'Data Source'!S267="F"),IF('Data Source'!U267&gt;=5,"A+",IF('Data Source'!U267&gt;=4,"A",IF('Data Source'!U267&gt;=3.5,"A-",IF('Data Source'!U267&gt;=3,"B",IF('Data Source'!U267&gt;=2,"C",IF('Data Source'!U267&gt;=1,"D","F")))))),"")</f>
        <v/>
      </c>
      <c r="D267" s="3">
        <f>IF(AND('Data Source'!B267&lt;&gt;"",'Data Source'!S267="F"),IF('Data Source'!V267&gt;=5,"A+",IF('Data Source'!V267&gt;=4,"A",IF('Data Source'!V267&gt;=3.5,"A-",IF('Data Source'!V267&gt;=3,"B",IF('Data Source'!V267&gt;=2,"C",IF('Data Source'!V267&gt;=1,"D","F")))))),"")</f>
        <v/>
      </c>
      <c r="E267" s="3">
        <f>IF(AND('Data Source'!B267&lt;&gt;"",'Data Source'!S267="F"),IF('Data Source'!W267&gt;=5,"A+",IF('Data Source'!W267&gt;=4,"A",IF('Data Source'!W267&gt;=3.5,"A-",IF('Data Source'!W267&gt;=3,"B",IF('Data Source'!W267&gt;=2,"C",IF('Data Source'!W267&gt;=1,"D","F")))))),"")</f>
        <v/>
      </c>
      <c r="F267" s="3">
        <f>IF(AND('Data Source'!B267&lt;&gt;"",'Data Source'!S267="F"),IF('Data Source'!X267&gt;=5,"A+",IF('Data Source'!X267&gt;=4,"A",IF('Data Source'!X267&gt;=3.5,"A-",IF('Data Source'!X267&gt;=3,"B",IF('Data Source'!X267&gt;=2,"C",IF('Data Source'!X267&gt;=1,"D","F")))))),"")</f>
        <v/>
      </c>
      <c r="G267" s="3">
        <f>IF(AND('Data Source'!B267&lt;&gt;"",'Data Source'!S267="F"),IF('Data Source'!Y267&gt;=5,"A+",IF('Data Source'!Y267&gt;=4,"A",IF('Data Source'!Y267&gt;=3.5,"A-",IF('Data Source'!Y267&gt;=3,"B",IF('Data Source'!Y267&gt;=2,"C",IF('Data Source'!Y267&gt;=1,"D","F")))))),"")</f>
        <v/>
      </c>
      <c r="H267" s="3">
        <f>IF(AND('Data Source'!B267&lt;&gt;"",'Data Source'!S267="F"),IF('Data Source'!Z267&gt;=5,"A+",IF('Data Source'!Z267&gt;=4,"A",IF('Data Source'!Z267&gt;=3.5,"A-",IF('Data Source'!Z267&gt;=3,"B",IF('Data Source'!Z267&gt;=2,"C",IF('Data Source'!Z267&gt;=1,"D","F")))))),"")</f>
        <v/>
      </c>
      <c r="I267" s="3">
        <f>IF(AND('Data Source'!B267&lt;&gt;"",'Data Source'!S267="F"),IF('Data Source'!AA267&gt;=5,"A+",IF('Data Source'!AA267&gt;=4,"A",IF('Data Source'!AA267&gt;=3.5,"A-",IF('Data Source'!AA267&gt;=3,"B",IF('Data Source'!AA267&gt;=2,"C",IF('Data Source'!AA267&gt;=1,"D","F")))))),"")</f>
        <v/>
      </c>
      <c r="J267" s="3">
        <f>IF(AND('Data Source'!B267&lt;&gt;"",'Data Source'!S267="F"),IF('Data Source'!AB267&gt;=5,"A+",IF('Data Source'!AB267&gt;=4,"A",IF('Data Source'!AB267&gt;=3.5,"A-",IF('Data Source'!AB267&gt;=3,"B",IF('Data Source'!AB267&gt;=2,"C",IF('Data Source'!AB267&gt;=1,"D","F")))))),"")</f>
        <v/>
      </c>
      <c r="K267" s="3">
        <f>IF(AND('Data Source'!B267&lt;&gt;"",'Data Source'!S267="F"),IF('Data Source'!AC267&gt;=5,"A+",IF('Data Source'!AC267&gt;=4,"A",IF('Data Source'!AC267&gt;=3.5,"A-",IF('Data Source'!AC267&gt;=3,"B",IF('Data Source'!AC267&gt;=2,"C",IF('Data Source'!AC267&gt;=1,"D","F")))))),"")</f>
        <v/>
      </c>
      <c r="L267" s="3">
        <f>IF(AND('Data Source'!B267&lt;&gt;"",'Data Source'!S267="F"),IF('Data Source'!AD267&gt;=5,"A+",IF('Data Source'!AD267&gt;=4,"A",IF('Data Source'!AD267&gt;=3.5,"A-",IF('Data Source'!AD267&gt;=3,"B",IF('Data Source'!AD267&gt;=2,"C",IF('Data Source'!AD267&gt;=1,"D","F")))))),"")</f>
        <v/>
      </c>
      <c r="M267" s="3">
        <f>IF(AND('Data Source'!B267&lt;&gt;"",'Data Source'!S267="F"),IF('Data Source'!AE267&gt;=5,"A+",IF('Data Source'!AE267&gt;=4,"A",IF('Data Source'!AE267&gt;=3.5,"A-",IF('Data Source'!AE267&gt;=3,"B",IF('Data Source'!AE267&gt;=2,"C",IF('Data Source'!AE267&gt;=1,"D","F")))))),"")</f>
        <v/>
      </c>
      <c r="N267" s="3">
        <f>IF(AND('Data Source'!B267&lt;&gt;"",'Data Source'!S267="F"),IF('Data Source'!AF267&gt;=5,"A+",IF('Data Source'!AF267&gt;=4,"A",IF('Data Source'!AF267&gt;=3.5,"A-",IF('Data Source'!AF267&gt;=3,"B",IF('Data Source'!AF267&gt;=2,"C",IF('Data Source'!AF267&gt;=1,"D","F")))))),"")</f>
        <v/>
      </c>
      <c r="O267" s="3">
        <f>IF(AND('Data Source'!B267&lt;&gt;"",'Data Source'!S267="F"),IF('Data Source'!AG267&gt;=5,"A+",IF('Data Source'!AG267&gt;=4,"A",IF('Data Source'!AG267&gt;=3.5,"A-",IF('Data Source'!AG267&gt;=3,"B",IF('Data Source'!AG267&gt;=2,"C",IF('Data Source'!AG267&gt;=1,"D","F")))))),"")</f>
        <v/>
      </c>
      <c r="P267" s="5">
        <f>IF(AND('Data Source'!B267&lt;&gt;"",'Data Source'!S267="F"),'Data Source'!R267,"")</f>
        <v/>
      </c>
      <c r="Q267" s="3">
        <f>IF(AND('Data Source'!B267&lt;&gt;"",'Data Source'!S267="F"),'Data Source'!S267,"")</f>
        <v/>
      </c>
    </row>
    <row r="268">
      <c r="A268" s="3">
        <f>IF(AND('Data Source'!B268&lt;&gt;"",'Data Source'!S268="F"),COUNTIF('Data Source'!$S$3:S268,"F"),"")</f>
        <v/>
      </c>
      <c r="B268">
        <f>IF(AND('Data Source'!B268&lt;&gt;"",'Data Source'!S268="F"),'Data Source'!B268,"")</f>
        <v/>
      </c>
      <c r="C268" s="3">
        <f>IF(AND('Data Source'!B268&lt;&gt;"",'Data Source'!S268="F"),IF('Data Source'!U268&gt;=5,"A+",IF('Data Source'!U268&gt;=4,"A",IF('Data Source'!U268&gt;=3.5,"A-",IF('Data Source'!U268&gt;=3,"B",IF('Data Source'!U268&gt;=2,"C",IF('Data Source'!U268&gt;=1,"D","F")))))),"")</f>
        <v/>
      </c>
      <c r="D268" s="3">
        <f>IF(AND('Data Source'!B268&lt;&gt;"",'Data Source'!S268="F"),IF('Data Source'!V268&gt;=5,"A+",IF('Data Source'!V268&gt;=4,"A",IF('Data Source'!V268&gt;=3.5,"A-",IF('Data Source'!V268&gt;=3,"B",IF('Data Source'!V268&gt;=2,"C",IF('Data Source'!V268&gt;=1,"D","F")))))),"")</f>
        <v/>
      </c>
      <c r="E268" s="3">
        <f>IF(AND('Data Source'!B268&lt;&gt;"",'Data Source'!S268="F"),IF('Data Source'!W268&gt;=5,"A+",IF('Data Source'!W268&gt;=4,"A",IF('Data Source'!W268&gt;=3.5,"A-",IF('Data Source'!W268&gt;=3,"B",IF('Data Source'!W268&gt;=2,"C",IF('Data Source'!W268&gt;=1,"D","F")))))),"")</f>
        <v/>
      </c>
      <c r="F268" s="3">
        <f>IF(AND('Data Source'!B268&lt;&gt;"",'Data Source'!S268="F"),IF('Data Source'!X268&gt;=5,"A+",IF('Data Source'!X268&gt;=4,"A",IF('Data Source'!X268&gt;=3.5,"A-",IF('Data Source'!X268&gt;=3,"B",IF('Data Source'!X268&gt;=2,"C",IF('Data Source'!X268&gt;=1,"D","F")))))),"")</f>
        <v/>
      </c>
      <c r="G268" s="3">
        <f>IF(AND('Data Source'!B268&lt;&gt;"",'Data Source'!S268="F"),IF('Data Source'!Y268&gt;=5,"A+",IF('Data Source'!Y268&gt;=4,"A",IF('Data Source'!Y268&gt;=3.5,"A-",IF('Data Source'!Y268&gt;=3,"B",IF('Data Source'!Y268&gt;=2,"C",IF('Data Source'!Y268&gt;=1,"D","F")))))),"")</f>
        <v/>
      </c>
      <c r="H268" s="3">
        <f>IF(AND('Data Source'!B268&lt;&gt;"",'Data Source'!S268="F"),IF('Data Source'!Z268&gt;=5,"A+",IF('Data Source'!Z268&gt;=4,"A",IF('Data Source'!Z268&gt;=3.5,"A-",IF('Data Source'!Z268&gt;=3,"B",IF('Data Source'!Z268&gt;=2,"C",IF('Data Source'!Z268&gt;=1,"D","F")))))),"")</f>
        <v/>
      </c>
      <c r="I268" s="3">
        <f>IF(AND('Data Source'!B268&lt;&gt;"",'Data Source'!S268="F"),IF('Data Source'!AA268&gt;=5,"A+",IF('Data Source'!AA268&gt;=4,"A",IF('Data Source'!AA268&gt;=3.5,"A-",IF('Data Source'!AA268&gt;=3,"B",IF('Data Source'!AA268&gt;=2,"C",IF('Data Source'!AA268&gt;=1,"D","F")))))),"")</f>
        <v/>
      </c>
      <c r="J268" s="3">
        <f>IF(AND('Data Source'!B268&lt;&gt;"",'Data Source'!S268="F"),IF('Data Source'!AB268&gt;=5,"A+",IF('Data Source'!AB268&gt;=4,"A",IF('Data Source'!AB268&gt;=3.5,"A-",IF('Data Source'!AB268&gt;=3,"B",IF('Data Source'!AB268&gt;=2,"C",IF('Data Source'!AB268&gt;=1,"D","F")))))),"")</f>
        <v/>
      </c>
      <c r="K268" s="3">
        <f>IF(AND('Data Source'!B268&lt;&gt;"",'Data Source'!S268="F"),IF('Data Source'!AC268&gt;=5,"A+",IF('Data Source'!AC268&gt;=4,"A",IF('Data Source'!AC268&gt;=3.5,"A-",IF('Data Source'!AC268&gt;=3,"B",IF('Data Source'!AC268&gt;=2,"C",IF('Data Source'!AC268&gt;=1,"D","F")))))),"")</f>
        <v/>
      </c>
      <c r="L268" s="3">
        <f>IF(AND('Data Source'!B268&lt;&gt;"",'Data Source'!S268="F"),IF('Data Source'!AD268&gt;=5,"A+",IF('Data Source'!AD268&gt;=4,"A",IF('Data Source'!AD268&gt;=3.5,"A-",IF('Data Source'!AD268&gt;=3,"B",IF('Data Source'!AD268&gt;=2,"C",IF('Data Source'!AD268&gt;=1,"D","F")))))),"")</f>
        <v/>
      </c>
      <c r="M268" s="3">
        <f>IF(AND('Data Source'!B268&lt;&gt;"",'Data Source'!S268="F"),IF('Data Source'!AE268&gt;=5,"A+",IF('Data Source'!AE268&gt;=4,"A",IF('Data Source'!AE268&gt;=3.5,"A-",IF('Data Source'!AE268&gt;=3,"B",IF('Data Source'!AE268&gt;=2,"C",IF('Data Source'!AE268&gt;=1,"D","F")))))),"")</f>
        <v/>
      </c>
      <c r="N268" s="3">
        <f>IF(AND('Data Source'!B268&lt;&gt;"",'Data Source'!S268="F"),IF('Data Source'!AF268&gt;=5,"A+",IF('Data Source'!AF268&gt;=4,"A",IF('Data Source'!AF268&gt;=3.5,"A-",IF('Data Source'!AF268&gt;=3,"B",IF('Data Source'!AF268&gt;=2,"C",IF('Data Source'!AF268&gt;=1,"D","F")))))),"")</f>
        <v/>
      </c>
      <c r="O268" s="3">
        <f>IF(AND('Data Source'!B268&lt;&gt;"",'Data Source'!S268="F"),IF('Data Source'!AG268&gt;=5,"A+",IF('Data Source'!AG268&gt;=4,"A",IF('Data Source'!AG268&gt;=3.5,"A-",IF('Data Source'!AG268&gt;=3,"B",IF('Data Source'!AG268&gt;=2,"C",IF('Data Source'!AG268&gt;=1,"D","F")))))),"")</f>
        <v/>
      </c>
      <c r="P268" s="5">
        <f>IF(AND('Data Source'!B268&lt;&gt;"",'Data Source'!S268="F"),'Data Source'!R268,"")</f>
        <v/>
      </c>
      <c r="Q268" s="3">
        <f>IF(AND('Data Source'!B268&lt;&gt;"",'Data Source'!S268="F"),'Data Source'!S268,"")</f>
        <v/>
      </c>
    </row>
    <row r="269">
      <c r="A269" s="3">
        <f>IF(AND('Data Source'!B269&lt;&gt;"",'Data Source'!S269="F"),COUNTIF('Data Source'!$S$3:S269,"F"),"")</f>
        <v/>
      </c>
      <c r="B269">
        <f>IF(AND('Data Source'!B269&lt;&gt;"",'Data Source'!S269="F"),'Data Source'!B269,"")</f>
        <v/>
      </c>
      <c r="C269" s="3">
        <f>IF(AND('Data Source'!B269&lt;&gt;"",'Data Source'!S269="F"),IF('Data Source'!U269&gt;=5,"A+",IF('Data Source'!U269&gt;=4,"A",IF('Data Source'!U269&gt;=3.5,"A-",IF('Data Source'!U269&gt;=3,"B",IF('Data Source'!U269&gt;=2,"C",IF('Data Source'!U269&gt;=1,"D","F")))))),"")</f>
        <v/>
      </c>
      <c r="D269" s="3">
        <f>IF(AND('Data Source'!B269&lt;&gt;"",'Data Source'!S269="F"),IF('Data Source'!V269&gt;=5,"A+",IF('Data Source'!V269&gt;=4,"A",IF('Data Source'!V269&gt;=3.5,"A-",IF('Data Source'!V269&gt;=3,"B",IF('Data Source'!V269&gt;=2,"C",IF('Data Source'!V269&gt;=1,"D","F")))))),"")</f>
        <v/>
      </c>
      <c r="E269" s="3">
        <f>IF(AND('Data Source'!B269&lt;&gt;"",'Data Source'!S269="F"),IF('Data Source'!W269&gt;=5,"A+",IF('Data Source'!W269&gt;=4,"A",IF('Data Source'!W269&gt;=3.5,"A-",IF('Data Source'!W269&gt;=3,"B",IF('Data Source'!W269&gt;=2,"C",IF('Data Source'!W269&gt;=1,"D","F")))))),"")</f>
        <v/>
      </c>
      <c r="F269" s="3">
        <f>IF(AND('Data Source'!B269&lt;&gt;"",'Data Source'!S269="F"),IF('Data Source'!X269&gt;=5,"A+",IF('Data Source'!X269&gt;=4,"A",IF('Data Source'!X269&gt;=3.5,"A-",IF('Data Source'!X269&gt;=3,"B",IF('Data Source'!X269&gt;=2,"C",IF('Data Source'!X269&gt;=1,"D","F")))))),"")</f>
        <v/>
      </c>
      <c r="G269" s="3">
        <f>IF(AND('Data Source'!B269&lt;&gt;"",'Data Source'!S269="F"),IF('Data Source'!Y269&gt;=5,"A+",IF('Data Source'!Y269&gt;=4,"A",IF('Data Source'!Y269&gt;=3.5,"A-",IF('Data Source'!Y269&gt;=3,"B",IF('Data Source'!Y269&gt;=2,"C",IF('Data Source'!Y269&gt;=1,"D","F")))))),"")</f>
        <v/>
      </c>
      <c r="H269" s="3">
        <f>IF(AND('Data Source'!B269&lt;&gt;"",'Data Source'!S269="F"),IF('Data Source'!Z269&gt;=5,"A+",IF('Data Source'!Z269&gt;=4,"A",IF('Data Source'!Z269&gt;=3.5,"A-",IF('Data Source'!Z269&gt;=3,"B",IF('Data Source'!Z269&gt;=2,"C",IF('Data Source'!Z269&gt;=1,"D","F")))))),"")</f>
        <v/>
      </c>
      <c r="I269" s="3">
        <f>IF(AND('Data Source'!B269&lt;&gt;"",'Data Source'!S269="F"),IF('Data Source'!AA269&gt;=5,"A+",IF('Data Source'!AA269&gt;=4,"A",IF('Data Source'!AA269&gt;=3.5,"A-",IF('Data Source'!AA269&gt;=3,"B",IF('Data Source'!AA269&gt;=2,"C",IF('Data Source'!AA269&gt;=1,"D","F")))))),"")</f>
        <v/>
      </c>
      <c r="J269" s="3">
        <f>IF(AND('Data Source'!B269&lt;&gt;"",'Data Source'!S269="F"),IF('Data Source'!AB269&gt;=5,"A+",IF('Data Source'!AB269&gt;=4,"A",IF('Data Source'!AB269&gt;=3.5,"A-",IF('Data Source'!AB269&gt;=3,"B",IF('Data Source'!AB269&gt;=2,"C",IF('Data Source'!AB269&gt;=1,"D","F")))))),"")</f>
        <v/>
      </c>
      <c r="K269" s="3">
        <f>IF(AND('Data Source'!B269&lt;&gt;"",'Data Source'!S269="F"),IF('Data Source'!AC269&gt;=5,"A+",IF('Data Source'!AC269&gt;=4,"A",IF('Data Source'!AC269&gt;=3.5,"A-",IF('Data Source'!AC269&gt;=3,"B",IF('Data Source'!AC269&gt;=2,"C",IF('Data Source'!AC269&gt;=1,"D","F")))))),"")</f>
        <v/>
      </c>
      <c r="L269" s="3">
        <f>IF(AND('Data Source'!B269&lt;&gt;"",'Data Source'!S269="F"),IF('Data Source'!AD269&gt;=5,"A+",IF('Data Source'!AD269&gt;=4,"A",IF('Data Source'!AD269&gt;=3.5,"A-",IF('Data Source'!AD269&gt;=3,"B",IF('Data Source'!AD269&gt;=2,"C",IF('Data Source'!AD269&gt;=1,"D","F")))))),"")</f>
        <v/>
      </c>
      <c r="M269" s="3">
        <f>IF(AND('Data Source'!B269&lt;&gt;"",'Data Source'!S269="F"),IF('Data Source'!AE269&gt;=5,"A+",IF('Data Source'!AE269&gt;=4,"A",IF('Data Source'!AE269&gt;=3.5,"A-",IF('Data Source'!AE269&gt;=3,"B",IF('Data Source'!AE269&gt;=2,"C",IF('Data Source'!AE269&gt;=1,"D","F")))))),"")</f>
        <v/>
      </c>
      <c r="N269" s="3">
        <f>IF(AND('Data Source'!B269&lt;&gt;"",'Data Source'!S269="F"),IF('Data Source'!AF269&gt;=5,"A+",IF('Data Source'!AF269&gt;=4,"A",IF('Data Source'!AF269&gt;=3.5,"A-",IF('Data Source'!AF269&gt;=3,"B",IF('Data Source'!AF269&gt;=2,"C",IF('Data Source'!AF269&gt;=1,"D","F")))))),"")</f>
        <v/>
      </c>
      <c r="O269" s="3">
        <f>IF(AND('Data Source'!B269&lt;&gt;"",'Data Source'!S269="F"),IF('Data Source'!AG269&gt;=5,"A+",IF('Data Source'!AG269&gt;=4,"A",IF('Data Source'!AG269&gt;=3.5,"A-",IF('Data Source'!AG269&gt;=3,"B",IF('Data Source'!AG269&gt;=2,"C",IF('Data Source'!AG269&gt;=1,"D","F")))))),"")</f>
        <v/>
      </c>
      <c r="P269" s="5">
        <f>IF(AND('Data Source'!B269&lt;&gt;"",'Data Source'!S269="F"),'Data Source'!R269,"")</f>
        <v/>
      </c>
      <c r="Q269" s="3">
        <f>IF(AND('Data Source'!B269&lt;&gt;"",'Data Source'!S269="F"),'Data Source'!S269,"")</f>
        <v/>
      </c>
    </row>
    <row r="270">
      <c r="A270" s="3">
        <f>IF(AND('Data Source'!B270&lt;&gt;"",'Data Source'!S270="F"),COUNTIF('Data Source'!$S$3:S270,"F"),"")</f>
        <v/>
      </c>
      <c r="B270">
        <f>IF(AND('Data Source'!B270&lt;&gt;"",'Data Source'!S270="F"),'Data Source'!B270,"")</f>
        <v/>
      </c>
      <c r="C270" s="3">
        <f>IF(AND('Data Source'!B270&lt;&gt;"",'Data Source'!S270="F"),IF('Data Source'!U270&gt;=5,"A+",IF('Data Source'!U270&gt;=4,"A",IF('Data Source'!U270&gt;=3.5,"A-",IF('Data Source'!U270&gt;=3,"B",IF('Data Source'!U270&gt;=2,"C",IF('Data Source'!U270&gt;=1,"D","F")))))),"")</f>
        <v/>
      </c>
      <c r="D270" s="3">
        <f>IF(AND('Data Source'!B270&lt;&gt;"",'Data Source'!S270="F"),IF('Data Source'!V270&gt;=5,"A+",IF('Data Source'!V270&gt;=4,"A",IF('Data Source'!V270&gt;=3.5,"A-",IF('Data Source'!V270&gt;=3,"B",IF('Data Source'!V270&gt;=2,"C",IF('Data Source'!V270&gt;=1,"D","F")))))),"")</f>
        <v/>
      </c>
      <c r="E270" s="3">
        <f>IF(AND('Data Source'!B270&lt;&gt;"",'Data Source'!S270="F"),IF('Data Source'!W270&gt;=5,"A+",IF('Data Source'!W270&gt;=4,"A",IF('Data Source'!W270&gt;=3.5,"A-",IF('Data Source'!W270&gt;=3,"B",IF('Data Source'!W270&gt;=2,"C",IF('Data Source'!W270&gt;=1,"D","F")))))),"")</f>
        <v/>
      </c>
      <c r="F270" s="3">
        <f>IF(AND('Data Source'!B270&lt;&gt;"",'Data Source'!S270="F"),IF('Data Source'!X270&gt;=5,"A+",IF('Data Source'!X270&gt;=4,"A",IF('Data Source'!X270&gt;=3.5,"A-",IF('Data Source'!X270&gt;=3,"B",IF('Data Source'!X270&gt;=2,"C",IF('Data Source'!X270&gt;=1,"D","F")))))),"")</f>
        <v/>
      </c>
      <c r="G270" s="3">
        <f>IF(AND('Data Source'!B270&lt;&gt;"",'Data Source'!S270="F"),IF('Data Source'!Y270&gt;=5,"A+",IF('Data Source'!Y270&gt;=4,"A",IF('Data Source'!Y270&gt;=3.5,"A-",IF('Data Source'!Y270&gt;=3,"B",IF('Data Source'!Y270&gt;=2,"C",IF('Data Source'!Y270&gt;=1,"D","F")))))),"")</f>
        <v/>
      </c>
      <c r="H270" s="3">
        <f>IF(AND('Data Source'!B270&lt;&gt;"",'Data Source'!S270="F"),IF('Data Source'!Z270&gt;=5,"A+",IF('Data Source'!Z270&gt;=4,"A",IF('Data Source'!Z270&gt;=3.5,"A-",IF('Data Source'!Z270&gt;=3,"B",IF('Data Source'!Z270&gt;=2,"C",IF('Data Source'!Z270&gt;=1,"D","F")))))),"")</f>
        <v/>
      </c>
      <c r="I270" s="3">
        <f>IF(AND('Data Source'!B270&lt;&gt;"",'Data Source'!S270="F"),IF('Data Source'!AA270&gt;=5,"A+",IF('Data Source'!AA270&gt;=4,"A",IF('Data Source'!AA270&gt;=3.5,"A-",IF('Data Source'!AA270&gt;=3,"B",IF('Data Source'!AA270&gt;=2,"C",IF('Data Source'!AA270&gt;=1,"D","F")))))),"")</f>
        <v/>
      </c>
      <c r="J270" s="3">
        <f>IF(AND('Data Source'!B270&lt;&gt;"",'Data Source'!S270="F"),IF('Data Source'!AB270&gt;=5,"A+",IF('Data Source'!AB270&gt;=4,"A",IF('Data Source'!AB270&gt;=3.5,"A-",IF('Data Source'!AB270&gt;=3,"B",IF('Data Source'!AB270&gt;=2,"C",IF('Data Source'!AB270&gt;=1,"D","F")))))),"")</f>
        <v/>
      </c>
      <c r="K270" s="3">
        <f>IF(AND('Data Source'!B270&lt;&gt;"",'Data Source'!S270="F"),IF('Data Source'!AC270&gt;=5,"A+",IF('Data Source'!AC270&gt;=4,"A",IF('Data Source'!AC270&gt;=3.5,"A-",IF('Data Source'!AC270&gt;=3,"B",IF('Data Source'!AC270&gt;=2,"C",IF('Data Source'!AC270&gt;=1,"D","F")))))),"")</f>
        <v/>
      </c>
      <c r="L270" s="3">
        <f>IF(AND('Data Source'!B270&lt;&gt;"",'Data Source'!S270="F"),IF('Data Source'!AD270&gt;=5,"A+",IF('Data Source'!AD270&gt;=4,"A",IF('Data Source'!AD270&gt;=3.5,"A-",IF('Data Source'!AD270&gt;=3,"B",IF('Data Source'!AD270&gt;=2,"C",IF('Data Source'!AD270&gt;=1,"D","F")))))),"")</f>
        <v/>
      </c>
      <c r="M270" s="3">
        <f>IF(AND('Data Source'!B270&lt;&gt;"",'Data Source'!S270="F"),IF('Data Source'!AE270&gt;=5,"A+",IF('Data Source'!AE270&gt;=4,"A",IF('Data Source'!AE270&gt;=3.5,"A-",IF('Data Source'!AE270&gt;=3,"B",IF('Data Source'!AE270&gt;=2,"C",IF('Data Source'!AE270&gt;=1,"D","F")))))),"")</f>
        <v/>
      </c>
      <c r="N270" s="3">
        <f>IF(AND('Data Source'!B270&lt;&gt;"",'Data Source'!S270="F"),IF('Data Source'!AF270&gt;=5,"A+",IF('Data Source'!AF270&gt;=4,"A",IF('Data Source'!AF270&gt;=3.5,"A-",IF('Data Source'!AF270&gt;=3,"B",IF('Data Source'!AF270&gt;=2,"C",IF('Data Source'!AF270&gt;=1,"D","F")))))),"")</f>
        <v/>
      </c>
      <c r="O270" s="3">
        <f>IF(AND('Data Source'!B270&lt;&gt;"",'Data Source'!S270="F"),IF('Data Source'!AG270&gt;=5,"A+",IF('Data Source'!AG270&gt;=4,"A",IF('Data Source'!AG270&gt;=3.5,"A-",IF('Data Source'!AG270&gt;=3,"B",IF('Data Source'!AG270&gt;=2,"C",IF('Data Source'!AG270&gt;=1,"D","F")))))),"")</f>
        <v/>
      </c>
      <c r="P270" s="5">
        <f>IF(AND('Data Source'!B270&lt;&gt;"",'Data Source'!S270="F"),'Data Source'!R270,"")</f>
        <v/>
      </c>
      <c r="Q270" s="3">
        <f>IF(AND('Data Source'!B270&lt;&gt;"",'Data Source'!S270="F"),'Data Source'!S270,"")</f>
        <v/>
      </c>
    </row>
    <row r="271">
      <c r="A271" s="3">
        <f>IF(AND('Data Source'!B271&lt;&gt;"",'Data Source'!S271="F"),COUNTIF('Data Source'!$S$3:S271,"F"),"")</f>
        <v/>
      </c>
      <c r="B271">
        <f>IF(AND('Data Source'!B271&lt;&gt;"",'Data Source'!S271="F"),'Data Source'!B271,"")</f>
        <v/>
      </c>
      <c r="C271" s="3">
        <f>IF(AND('Data Source'!B271&lt;&gt;"",'Data Source'!S271="F"),IF('Data Source'!U271&gt;=5,"A+",IF('Data Source'!U271&gt;=4,"A",IF('Data Source'!U271&gt;=3.5,"A-",IF('Data Source'!U271&gt;=3,"B",IF('Data Source'!U271&gt;=2,"C",IF('Data Source'!U271&gt;=1,"D","F")))))),"")</f>
        <v/>
      </c>
      <c r="D271" s="3">
        <f>IF(AND('Data Source'!B271&lt;&gt;"",'Data Source'!S271="F"),IF('Data Source'!V271&gt;=5,"A+",IF('Data Source'!V271&gt;=4,"A",IF('Data Source'!V271&gt;=3.5,"A-",IF('Data Source'!V271&gt;=3,"B",IF('Data Source'!V271&gt;=2,"C",IF('Data Source'!V271&gt;=1,"D","F")))))),"")</f>
        <v/>
      </c>
      <c r="E271" s="3">
        <f>IF(AND('Data Source'!B271&lt;&gt;"",'Data Source'!S271="F"),IF('Data Source'!W271&gt;=5,"A+",IF('Data Source'!W271&gt;=4,"A",IF('Data Source'!W271&gt;=3.5,"A-",IF('Data Source'!W271&gt;=3,"B",IF('Data Source'!W271&gt;=2,"C",IF('Data Source'!W271&gt;=1,"D","F")))))),"")</f>
        <v/>
      </c>
      <c r="F271" s="3">
        <f>IF(AND('Data Source'!B271&lt;&gt;"",'Data Source'!S271="F"),IF('Data Source'!X271&gt;=5,"A+",IF('Data Source'!X271&gt;=4,"A",IF('Data Source'!X271&gt;=3.5,"A-",IF('Data Source'!X271&gt;=3,"B",IF('Data Source'!X271&gt;=2,"C",IF('Data Source'!X271&gt;=1,"D","F")))))),"")</f>
        <v/>
      </c>
      <c r="G271" s="3">
        <f>IF(AND('Data Source'!B271&lt;&gt;"",'Data Source'!S271="F"),IF('Data Source'!Y271&gt;=5,"A+",IF('Data Source'!Y271&gt;=4,"A",IF('Data Source'!Y271&gt;=3.5,"A-",IF('Data Source'!Y271&gt;=3,"B",IF('Data Source'!Y271&gt;=2,"C",IF('Data Source'!Y271&gt;=1,"D","F")))))),"")</f>
        <v/>
      </c>
      <c r="H271" s="3">
        <f>IF(AND('Data Source'!B271&lt;&gt;"",'Data Source'!S271="F"),IF('Data Source'!Z271&gt;=5,"A+",IF('Data Source'!Z271&gt;=4,"A",IF('Data Source'!Z271&gt;=3.5,"A-",IF('Data Source'!Z271&gt;=3,"B",IF('Data Source'!Z271&gt;=2,"C",IF('Data Source'!Z271&gt;=1,"D","F")))))),"")</f>
        <v/>
      </c>
      <c r="I271" s="3">
        <f>IF(AND('Data Source'!B271&lt;&gt;"",'Data Source'!S271="F"),IF('Data Source'!AA271&gt;=5,"A+",IF('Data Source'!AA271&gt;=4,"A",IF('Data Source'!AA271&gt;=3.5,"A-",IF('Data Source'!AA271&gt;=3,"B",IF('Data Source'!AA271&gt;=2,"C",IF('Data Source'!AA271&gt;=1,"D","F")))))),"")</f>
        <v/>
      </c>
      <c r="J271" s="3">
        <f>IF(AND('Data Source'!B271&lt;&gt;"",'Data Source'!S271="F"),IF('Data Source'!AB271&gt;=5,"A+",IF('Data Source'!AB271&gt;=4,"A",IF('Data Source'!AB271&gt;=3.5,"A-",IF('Data Source'!AB271&gt;=3,"B",IF('Data Source'!AB271&gt;=2,"C",IF('Data Source'!AB271&gt;=1,"D","F")))))),"")</f>
        <v/>
      </c>
      <c r="K271" s="3">
        <f>IF(AND('Data Source'!B271&lt;&gt;"",'Data Source'!S271="F"),IF('Data Source'!AC271&gt;=5,"A+",IF('Data Source'!AC271&gt;=4,"A",IF('Data Source'!AC271&gt;=3.5,"A-",IF('Data Source'!AC271&gt;=3,"B",IF('Data Source'!AC271&gt;=2,"C",IF('Data Source'!AC271&gt;=1,"D","F")))))),"")</f>
        <v/>
      </c>
      <c r="L271" s="3">
        <f>IF(AND('Data Source'!B271&lt;&gt;"",'Data Source'!S271="F"),IF('Data Source'!AD271&gt;=5,"A+",IF('Data Source'!AD271&gt;=4,"A",IF('Data Source'!AD271&gt;=3.5,"A-",IF('Data Source'!AD271&gt;=3,"B",IF('Data Source'!AD271&gt;=2,"C",IF('Data Source'!AD271&gt;=1,"D","F")))))),"")</f>
        <v/>
      </c>
      <c r="M271" s="3">
        <f>IF(AND('Data Source'!B271&lt;&gt;"",'Data Source'!S271="F"),IF('Data Source'!AE271&gt;=5,"A+",IF('Data Source'!AE271&gt;=4,"A",IF('Data Source'!AE271&gt;=3.5,"A-",IF('Data Source'!AE271&gt;=3,"B",IF('Data Source'!AE271&gt;=2,"C",IF('Data Source'!AE271&gt;=1,"D","F")))))),"")</f>
        <v/>
      </c>
      <c r="N271" s="3">
        <f>IF(AND('Data Source'!B271&lt;&gt;"",'Data Source'!S271="F"),IF('Data Source'!AF271&gt;=5,"A+",IF('Data Source'!AF271&gt;=4,"A",IF('Data Source'!AF271&gt;=3.5,"A-",IF('Data Source'!AF271&gt;=3,"B",IF('Data Source'!AF271&gt;=2,"C",IF('Data Source'!AF271&gt;=1,"D","F")))))),"")</f>
        <v/>
      </c>
      <c r="O271" s="3">
        <f>IF(AND('Data Source'!B271&lt;&gt;"",'Data Source'!S271="F"),IF('Data Source'!AG271&gt;=5,"A+",IF('Data Source'!AG271&gt;=4,"A",IF('Data Source'!AG271&gt;=3.5,"A-",IF('Data Source'!AG271&gt;=3,"B",IF('Data Source'!AG271&gt;=2,"C",IF('Data Source'!AG271&gt;=1,"D","F")))))),"")</f>
        <v/>
      </c>
      <c r="P271" s="5">
        <f>IF(AND('Data Source'!B271&lt;&gt;"",'Data Source'!S271="F"),'Data Source'!R271,"")</f>
        <v/>
      </c>
      <c r="Q271" s="3">
        <f>IF(AND('Data Source'!B271&lt;&gt;"",'Data Source'!S271="F"),'Data Source'!S271,"")</f>
        <v/>
      </c>
    </row>
    <row r="272">
      <c r="A272" s="3">
        <f>IF(AND('Data Source'!B272&lt;&gt;"",'Data Source'!S272="F"),COUNTIF('Data Source'!$S$3:S272,"F"),"")</f>
        <v/>
      </c>
      <c r="B272">
        <f>IF(AND('Data Source'!B272&lt;&gt;"",'Data Source'!S272="F"),'Data Source'!B272,"")</f>
        <v/>
      </c>
      <c r="C272" s="3">
        <f>IF(AND('Data Source'!B272&lt;&gt;"",'Data Source'!S272="F"),IF('Data Source'!U272&gt;=5,"A+",IF('Data Source'!U272&gt;=4,"A",IF('Data Source'!U272&gt;=3.5,"A-",IF('Data Source'!U272&gt;=3,"B",IF('Data Source'!U272&gt;=2,"C",IF('Data Source'!U272&gt;=1,"D","F")))))),"")</f>
        <v/>
      </c>
      <c r="D272" s="3">
        <f>IF(AND('Data Source'!B272&lt;&gt;"",'Data Source'!S272="F"),IF('Data Source'!V272&gt;=5,"A+",IF('Data Source'!V272&gt;=4,"A",IF('Data Source'!V272&gt;=3.5,"A-",IF('Data Source'!V272&gt;=3,"B",IF('Data Source'!V272&gt;=2,"C",IF('Data Source'!V272&gt;=1,"D","F")))))),"")</f>
        <v/>
      </c>
      <c r="E272" s="3">
        <f>IF(AND('Data Source'!B272&lt;&gt;"",'Data Source'!S272="F"),IF('Data Source'!W272&gt;=5,"A+",IF('Data Source'!W272&gt;=4,"A",IF('Data Source'!W272&gt;=3.5,"A-",IF('Data Source'!W272&gt;=3,"B",IF('Data Source'!W272&gt;=2,"C",IF('Data Source'!W272&gt;=1,"D","F")))))),"")</f>
        <v/>
      </c>
      <c r="F272" s="3">
        <f>IF(AND('Data Source'!B272&lt;&gt;"",'Data Source'!S272="F"),IF('Data Source'!X272&gt;=5,"A+",IF('Data Source'!X272&gt;=4,"A",IF('Data Source'!X272&gt;=3.5,"A-",IF('Data Source'!X272&gt;=3,"B",IF('Data Source'!X272&gt;=2,"C",IF('Data Source'!X272&gt;=1,"D","F")))))),"")</f>
        <v/>
      </c>
      <c r="G272" s="3">
        <f>IF(AND('Data Source'!B272&lt;&gt;"",'Data Source'!S272="F"),IF('Data Source'!Y272&gt;=5,"A+",IF('Data Source'!Y272&gt;=4,"A",IF('Data Source'!Y272&gt;=3.5,"A-",IF('Data Source'!Y272&gt;=3,"B",IF('Data Source'!Y272&gt;=2,"C",IF('Data Source'!Y272&gt;=1,"D","F")))))),"")</f>
        <v/>
      </c>
      <c r="H272" s="3">
        <f>IF(AND('Data Source'!B272&lt;&gt;"",'Data Source'!S272="F"),IF('Data Source'!Z272&gt;=5,"A+",IF('Data Source'!Z272&gt;=4,"A",IF('Data Source'!Z272&gt;=3.5,"A-",IF('Data Source'!Z272&gt;=3,"B",IF('Data Source'!Z272&gt;=2,"C",IF('Data Source'!Z272&gt;=1,"D","F")))))),"")</f>
        <v/>
      </c>
      <c r="I272" s="3">
        <f>IF(AND('Data Source'!B272&lt;&gt;"",'Data Source'!S272="F"),IF('Data Source'!AA272&gt;=5,"A+",IF('Data Source'!AA272&gt;=4,"A",IF('Data Source'!AA272&gt;=3.5,"A-",IF('Data Source'!AA272&gt;=3,"B",IF('Data Source'!AA272&gt;=2,"C",IF('Data Source'!AA272&gt;=1,"D","F")))))),"")</f>
        <v/>
      </c>
      <c r="J272" s="3">
        <f>IF(AND('Data Source'!B272&lt;&gt;"",'Data Source'!S272="F"),IF('Data Source'!AB272&gt;=5,"A+",IF('Data Source'!AB272&gt;=4,"A",IF('Data Source'!AB272&gt;=3.5,"A-",IF('Data Source'!AB272&gt;=3,"B",IF('Data Source'!AB272&gt;=2,"C",IF('Data Source'!AB272&gt;=1,"D","F")))))),"")</f>
        <v/>
      </c>
      <c r="K272" s="3">
        <f>IF(AND('Data Source'!B272&lt;&gt;"",'Data Source'!S272="F"),IF('Data Source'!AC272&gt;=5,"A+",IF('Data Source'!AC272&gt;=4,"A",IF('Data Source'!AC272&gt;=3.5,"A-",IF('Data Source'!AC272&gt;=3,"B",IF('Data Source'!AC272&gt;=2,"C",IF('Data Source'!AC272&gt;=1,"D","F")))))),"")</f>
        <v/>
      </c>
      <c r="L272" s="3">
        <f>IF(AND('Data Source'!B272&lt;&gt;"",'Data Source'!S272="F"),IF('Data Source'!AD272&gt;=5,"A+",IF('Data Source'!AD272&gt;=4,"A",IF('Data Source'!AD272&gt;=3.5,"A-",IF('Data Source'!AD272&gt;=3,"B",IF('Data Source'!AD272&gt;=2,"C",IF('Data Source'!AD272&gt;=1,"D","F")))))),"")</f>
        <v/>
      </c>
      <c r="M272" s="3">
        <f>IF(AND('Data Source'!B272&lt;&gt;"",'Data Source'!S272="F"),IF('Data Source'!AE272&gt;=5,"A+",IF('Data Source'!AE272&gt;=4,"A",IF('Data Source'!AE272&gt;=3.5,"A-",IF('Data Source'!AE272&gt;=3,"B",IF('Data Source'!AE272&gt;=2,"C",IF('Data Source'!AE272&gt;=1,"D","F")))))),"")</f>
        <v/>
      </c>
      <c r="N272" s="3">
        <f>IF(AND('Data Source'!B272&lt;&gt;"",'Data Source'!S272="F"),IF('Data Source'!AF272&gt;=5,"A+",IF('Data Source'!AF272&gt;=4,"A",IF('Data Source'!AF272&gt;=3.5,"A-",IF('Data Source'!AF272&gt;=3,"B",IF('Data Source'!AF272&gt;=2,"C",IF('Data Source'!AF272&gt;=1,"D","F")))))),"")</f>
        <v/>
      </c>
      <c r="O272" s="3">
        <f>IF(AND('Data Source'!B272&lt;&gt;"",'Data Source'!S272="F"),IF('Data Source'!AG272&gt;=5,"A+",IF('Data Source'!AG272&gt;=4,"A",IF('Data Source'!AG272&gt;=3.5,"A-",IF('Data Source'!AG272&gt;=3,"B",IF('Data Source'!AG272&gt;=2,"C",IF('Data Source'!AG272&gt;=1,"D","F")))))),"")</f>
        <v/>
      </c>
      <c r="P272" s="5">
        <f>IF(AND('Data Source'!B272&lt;&gt;"",'Data Source'!S272="F"),'Data Source'!R272,"")</f>
        <v/>
      </c>
      <c r="Q272" s="3">
        <f>IF(AND('Data Source'!B272&lt;&gt;"",'Data Source'!S272="F"),'Data Source'!S272,"")</f>
        <v/>
      </c>
    </row>
    <row r="273">
      <c r="A273" s="3">
        <f>IF(AND('Data Source'!B273&lt;&gt;"",'Data Source'!S273="F"),COUNTIF('Data Source'!$S$3:S273,"F"),"")</f>
        <v/>
      </c>
      <c r="B273">
        <f>IF(AND('Data Source'!B273&lt;&gt;"",'Data Source'!S273="F"),'Data Source'!B273,"")</f>
        <v/>
      </c>
      <c r="C273" s="3">
        <f>IF(AND('Data Source'!B273&lt;&gt;"",'Data Source'!S273="F"),IF('Data Source'!U273&gt;=5,"A+",IF('Data Source'!U273&gt;=4,"A",IF('Data Source'!U273&gt;=3.5,"A-",IF('Data Source'!U273&gt;=3,"B",IF('Data Source'!U273&gt;=2,"C",IF('Data Source'!U273&gt;=1,"D","F")))))),"")</f>
        <v/>
      </c>
      <c r="D273" s="3">
        <f>IF(AND('Data Source'!B273&lt;&gt;"",'Data Source'!S273="F"),IF('Data Source'!V273&gt;=5,"A+",IF('Data Source'!V273&gt;=4,"A",IF('Data Source'!V273&gt;=3.5,"A-",IF('Data Source'!V273&gt;=3,"B",IF('Data Source'!V273&gt;=2,"C",IF('Data Source'!V273&gt;=1,"D","F")))))),"")</f>
        <v/>
      </c>
      <c r="E273" s="3">
        <f>IF(AND('Data Source'!B273&lt;&gt;"",'Data Source'!S273="F"),IF('Data Source'!W273&gt;=5,"A+",IF('Data Source'!W273&gt;=4,"A",IF('Data Source'!W273&gt;=3.5,"A-",IF('Data Source'!W273&gt;=3,"B",IF('Data Source'!W273&gt;=2,"C",IF('Data Source'!W273&gt;=1,"D","F")))))),"")</f>
        <v/>
      </c>
      <c r="F273" s="3">
        <f>IF(AND('Data Source'!B273&lt;&gt;"",'Data Source'!S273="F"),IF('Data Source'!X273&gt;=5,"A+",IF('Data Source'!X273&gt;=4,"A",IF('Data Source'!X273&gt;=3.5,"A-",IF('Data Source'!X273&gt;=3,"B",IF('Data Source'!X273&gt;=2,"C",IF('Data Source'!X273&gt;=1,"D","F")))))),"")</f>
        <v/>
      </c>
      <c r="G273" s="3">
        <f>IF(AND('Data Source'!B273&lt;&gt;"",'Data Source'!S273="F"),IF('Data Source'!Y273&gt;=5,"A+",IF('Data Source'!Y273&gt;=4,"A",IF('Data Source'!Y273&gt;=3.5,"A-",IF('Data Source'!Y273&gt;=3,"B",IF('Data Source'!Y273&gt;=2,"C",IF('Data Source'!Y273&gt;=1,"D","F")))))),"")</f>
        <v/>
      </c>
      <c r="H273" s="3">
        <f>IF(AND('Data Source'!B273&lt;&gt;"",'Data Source'!S273="F"),IF('Data Source'!Z273&gt;=5,"A+",IF('Data Source'!Z273&gt;=4,"A",IF('Data Source'!Z273&gt;=3.5,"A-",IF('Data Source'!Z273&gt;=3,"B",IF('Data Source'!Z273&gt;=2,"C",IF('Data Source'!Z273&gt;=1,"D","F")))))),"")</f>
        <v/>
      </c>
      <c r="I273" s="3">
        <f>IF(AND('Data Source'!B273&lt;&gt;"",'Data Source'!S273="F"),IF('Data Source'!AA273&gt;=5,"A+",IF('Data Source'!AA273&gt;=4,"A",IF('Data Source'!AA273&gt;=3.5,"A-",IF('Data Source'!AA273&gt;=3,"B",IF('Data Source'!AA273&gt;=2,"C",IF('Data Source'!AA273&gt;=1,"D","F")))))),"")</f>
        <v/>
      </c>
      <c r="J273" s="3">
        <f>IF(AND('Data Source'!B273&lt;&gt;"",'Data Source'!S273="F"),IF('Data Source'!AB273&gt;=5,"A+",IF('Data Source'!AB273&gt;=4,"A",IF('Data Source'!AB273&gt;=3.5,"A-",IF('Data Source'!AB273&gt;=3,"B",IF('Data Source'!AB273&gt;=2,"C",IF('Data Source'!AB273&gt;=1,"D","F")))))),"")</f>
        <v/>
      </c>
      <c r="K273" s="3">
        <f>IF(AND('Data Source'!B273&lt;&gt;"",'Data Source'!S273="F"),IF('Data Source'!AC273&gt;=5,"A+",IF('Data Source'!AC273&gt;=4,"A",IF('Data Source'!AC273&gt;=3.5,"A-",IF('Data Source'!AC273&gt;=3,"B",IF('Data Source'!AC273&gt;=2,"C",IF('Data Source'!AC273&gt;=1,"D","F")))))),"")</f>
        <v/>
      </c>
      <c r="L273" s="3">
        <f>IF(AND('Data Source'!B273&lt;&gt;"",'Data Source'!S273="F"),IF('Data Source'!AD273&gt;=5,"A+",IF('Data Source'!AD273&gt;=4,"A",IF('Data Source'!AD273&gt;=3.5,"A-",IF('Data Source'!AD273&gt;=3,"B",IF('Data Source'!AD273&gt;=2,"C",IF('Data Source'!AD273&gt;=1,"D","F")))))),"")</f>
        <v/>
      </c>
      <c r="M273" s="3">
        <f>IF(AND('Data Source'!B273&lt;&gt;"",'Data Source'!S273="F"),IF('Data Source'!AE273&gt;=5,"A+",IF('Data Source'!AE273&gt;=4,"A",IF('Data Source'!AE273&gt;=3.5,"A-",IF('Data Source'!AE273&gt;=3,"B",IF('Data Source'!AE273&gt;=2,"C",IF('Data Source'!AE273&gt;=1,"D","F")))))),"")</f>
        <v/>
      </c>
      <c r="N273" s="3">
        <f>IF(AND('Data Source'!B273&lt;&gt;"",'Data Source'!S273="F"),IF('Data Source'!AF273&gt;=5,"A+",IF('Data Source'!AF273&gt;=4,"A",IF('Data Source'!AF273&gt;=3.5,"A-",IF('Data Source'!AF273&gt;=3,"B",IF('Data Source'!AF273&gt;=2,"C",IF('Data Source'!AF273&gt;=1,"D","F")))))),"")</f>
        <v/>
      </c>
      <c r="O273" s="3">
        <f>IF(AND('Data Source'!B273&lt;&gt;"",'Data Source'!S273="F"),IF('Data Source'!AG273&gt;=5,"A+",IF('Data Source'!AG273&gt;=4,"A",IF('Data Source'!AG273&gt;=3.5,"A-",IF('Data Source'!AG273&gt;=3,"B",IF('Data Source'!AG273&gt;=2,"C",IF('Data Source'!AG273&gt;=1,"D","F")))))),"")</f>
        <v/>
      </c>
      <c r="P273" s="5">
        <f>IF(AND('Data Source'!B273&lt;&gt;"",'Data Source'!S273="F"),'Data Source'!R273,"")</f>
        <v/>
      </c>
      <c r="Q273" s="3">
        <f>IF(AND('Data Source'!B273&lt;&gt;"",'Data Source'!S273="F"),'Data Source'!S273,"")</f>
        <v/>
      </c>
    </row>
    <row r="274">
      <c r="A274" s="3">
        <f>IF(AND('Data Source'!B274&lt;&gt;"",'Data Source'!S274="F"),COUNTIF('Data Source'!$S$3:S274,"F"),"")</f>
        <v/>
      </c>
      <c r="B274">
        <f>IF(AND('Data Source'!B274&lt;&gt;"",'Data Source'!S274="F"),'Data Source'!B274,"")</f>
        <v/>
      </c>
      <c r="C274" s="3">
        <f>IF(AND('Data Source'!B274&lt;&gt;"",'Data Source'!S274="F"),IF('Data Source'!U274&gt;=5,"A+",IF('Data Source'!U274&gt;=4,"A",IF('Data Source'!U274&gt;=3.5,"A-",IF('Data Source'!U274&gt;=3,"B",IF('Data Source'!U274&gt;=2,"C",IF('Data Source'!U274&gt;=1,"D","F")))))),"")</f>
        <v/>
      </c>
      <c r="D274" s="3">
        <f>IF(AND('Data Source'!B274&lt;&gt;"",'Data Source'!S274="F"),IF('Data Source'!V274&gt;=5,"A+",IF('Data Source'!V274&gt;=4,"A",IF('Data Source'!V274&gt;=3.5,"A-",IF('Data Source'!V274&gt;=3,"B",IF('Data Source'!V274&gt;=2,"C",IF('Data Source'!V274&gt;=1,"D","F")))))),"")</f>
        <v/>
      </c>
      <c r="E274" s="3">
        <f>IF(AND('Data Source'!B274&lt;&gt;"",'Data Source'!S274="F"),IF('Data Source'!W274&gt;=5,"A+",IF('Data Source'!W274&gt;=4,"A",IF('Data Source'!W274&gt;=3.5,"A-",IF('Data Source'!W274&gt;=3,"B",IF('Data Source'!W274&gt;=2,"C",IF('Data Source'!W274&gt;=1,"D","F")))))),"")</f>
        <v/>
      </c>
      <c r="F274" s="3">
        <f>IF(AND('Data Source'!B274&lt;&gt;"",'Data Source'!S274="F"),IF('Data Source'!X274&gt;=5,"A+",IF('Data Source'!X274&gt;=4,"A",IF('Data Source'!X274&gt;=3.5,"A-",IF('Data Source'!X274&gt;=3,"B",IF('Data Source'!X274&gt;=2,"C",IF('Data Source'!X274&gt;=1,"D","F")))))),"")</f>
        <v/>
      </c>
      <c r="G274" s="3">
        <f>IF(AND('Data Source'!B274&lt;&gt;"",'Data Source'!S274="F"),IF('Data Source'!Y274&gt;=5,"A+",IF('Data Source'!Y274&gt;=4,"A",IF('Data Source'!Y274&gt;=3.5,"A-",IF('Data Source'!Y274&gt;=3,"B",IF('Data Source'!Y274&gt;=2,"C",IF('Data Source'!Y274&gt;=1,"D","F")))))),"")</f>
        <v/>
      </c>
      <c r="H274" s="3">
        <f>IF(AND('Data Source'!B274&lt;&gt;"",'Data Source'!S274="F"),IF('Data Source'!Z274&gt;=5,"A+",IF('Data Source'!Z274&gt;=4,"A",IF('Data Source'!Z274&gt;=3.5,"A-",IF('Data Source'!Z274&gt;=3,"B",IF('Data Source'!Z274&gt;=2,"C",IF('Data Source'!Z274&gt;=1,"D","F")))))),"")</f>
        <v/>
      </c>
      <c r="I274" s="3">
        <f>IF(AND('Data Source'!B274&lt;&gt;"",'Data Source'!S274="F"),IF('Data Source'!AA274&gt;=5,"A+",IF('Data Source'!AA274&gt;=4,"A",IF('Data Source'!AA274&gt;=3.5,"A-",IF('Data Source'!AA274&gt;=3,"B",IF('Data Source'!AA274&gt;=2,"C",IF('Data Source'!AA274&gt;=1,"D","F")))))),"")</f>
        <v/>
      </c>
      <c r="J274" s="3">
        <f>IF(AND('Data Source'!B274&lt;&gt;"",'Data Source'!S274="F"),IF('Data Source'!AB274&gt;=5,"A+",IF('Data Source'!AB274&gt;=4,"A",IF('Data Source'!AB274&gt;=3.5,"A-",IF('Data Source'!AB274&gt;=3,"B",IF('Data Source'!AB274&gt;=2,"C",IF('Data Source'!AB274&gt;=1,"D","F")))))),"")</f>
        <v/>
      </c>
      <c r="K274" s="3">
        <f>IF(AND('Data Source'!B274&lt;&gt;"",'Data Source'!S274="F"),IF('Data Source'!AC274&gt;=5,"A+",IF('Data Source'!AC274&gt;=4,"A",IF('Data Source'!AC274&gt;=3.5,"A-",IF('Data Source'!AC274&gt;=3,"B",IF('Data Source'!AC274&gt;=2,"C",IF('Data Source'!AC274&gt;=1,"D","F")))))),"")</f>
        <v/>
      </c>
      <c r="L274" s="3">
        <f>IF(AND('Data Source'!B274&lt;&gt;"",'Data Source'!S274="F"),IF('Data Source'!AD274&gt;=5,"A+",IF('Data Source'!AD274&gt;=4,"A",IF('Data Source'!AD274&gt;=3.5,"A-",IF('Data Source'!AD274&gt;=3,"B",IF('Data Source'!AD274&gt;=2,"C",IF('Data Source'!AD274&gt;=1,"D","F")))))),"")</f>
        <v/>
      </c>
      <c r="M274" s="3">
        <f>IF(AND('Data Source'!B274&lt;&gt;"",'Data Source'!S274="F"),IF('Data Source'!AE274&gt;=5,"A+",IF('Data Source'!AE274&gt;=4,"A",IF('Data Source'!AE274&gt;=3.5,"A-",IF('Data Source'!AE274&gt;=3,"B",IF('Data Source'!AE274&gt;=2,"C",IF('Data Source'!AE274&gt;=1,"D","F")))))),"")</f>
        <v/>
      </c>
      <c r="N274" s="3">
        <f>IF(AND('Data Source'!B274&lt;&gt;"",'Data Source'!S274="F"),IF('Data Source'!AF274&gt;=5,"A+",IF('Data Source'!AF274&gt;=4,"A",IF('Data Source'!AF274&gt;=3.5,"A-",IF('Data Source'!AF274&gt;=3,"B",IF('Data Source'!AF274&gt;=2,"C",IF('Data Source'!AF274&gt;=1,"D","F")))))),"")</f>
        <v/>
      </c>
      <c r="O274" s="3">
        <f>IF(AND('Data Source'!B274&lt;&gt;"",'Data Source'!S274="F"),IF('Data Source'!AG274&gt;=5,"A+",IF('Data Source'!AG274&gt;=4,"A",IF('Data Source'!AG274&gt;=3.5,"A-",IF('Data Source'!AG274&gt;=3,"B",IF('Data Source'!AG274&gt;=2,"C",IF('Data Source'!AG274&gt;=1,"D","F")))))),"")</f>
        <v/>
      </c>
      <c r="P274" s="5">
        <f>IF(AND('Data Source'!B274&lt;&gt;"",'Data Source'!S274="F"),'Data Source'!R274,"")</f>
        <v/>
      </c>
      <c r="Q274" s="3">
        <f>IF(AND('Data Source'!B274&lt;&gt;"",'Data Source'!S274="F"),'Data Source'!S274,"")</f>
        <v/>
      </c>
    </row>
    <row r="275">
      <c r="A275" s="3">
        <f>IF(AND('Data Source'!B275&lt;&gt;"",'Data Source'!S275="F"),COUNTIF('Data Source'!$S$3:S275,"F"),"")</f>
        <v/>
      </c>
      <c r="B275">
        <f>IF(AND('Data Source'!B275&lt;&gt;"",'Data Source'!S275="F"),'Data Source'!B275,"")</f>
        <v/>
      </c>
      <c r="C275" s="3">
        <f>IF(AND('Data Source'!B275&lt;&gt;"",'Data Source'!S275="F"),IF('Data Source'!U275&gt;=5,"A+",IF('Data Source'!U275&gt;=4,"A",IF('Data Source'!U275&gt;=3.5,"A-",IF('Data Source'!U275&gt;=3,"B",IF('Data Source'!U275&gt;=2,"C",IF('Data Source'!U275&gt;=1,"D","F")))))),"")</f>
        <v/>
      </c>
      <c r="D275" s="3">
        <f>IF(AND('Data Source'!B275&lt;&gt;"",'Data Source'!S275="F"),IF('Data Source'!V275&gt;=5,"A+",IF('Data Source'!V275&gt;=4,"A",IF('Data Source'!V275&gt;=3.5,"A-",IF('Data Source'!V275&gt;=3,"B",IF('Data Source'!V275&gt;=2,"C",IF('Data Source'!V275&gt;=1,"D","F")))))),"")</f>
        <v/>
      </c>
      <c r="E275" s="3">
        <f>IF(AND('Data Source'!B275&lt;&gt;"",'Data Source'!S275="F"),IF('Data Source'!W275&gt;=5,"A+",IF('Data Source'!W275&gt;=4,"A",IF('Data Source'!W275&gt;=3.5,"A-",IF('Data Source'!W275&gt;=3,"B",IF('Data Source'!W275&gt;=2,"C",IF('Data Source'!W275&gt;=1,"D","F")))))),"")</f>
        <v/>
      </c>
      <c r="F275" s="3">
        <f>IF(AND('Data Source'!B275&lt;&gt;"",'Data Source'!S275="F"),IF('Data Source'!X275&gt;=5,"A+",IF('Data Source'!X275&gt;=4,"A",IF('Data Source'!X275&gt;=3.5,"A-",IF('Data Source'!X275&gt;=3,"B",IF('Data Source'!X275&gt;=2,"C",IF('Data Source'!X275&gt;=1,"D","F")))))),"")</f>
        <v/>
      </c>
      <c r="G275" s="3">
        <f>IF(AND('Data Source'!B275&lt;&gt;"",'Data Source'!S275="F"),IF('Data Source'!Y275&gt;=5,"A+",IF('Data Source'!Y275&gt;=4,"A",IF('Data Source'!Y275&gt;=3.5,"A-",IF('Data Source'!Y275&gt;=3,"B",IF('Data Source'!Y275&gt;=2,"C",IF('Data Source'!Y275&gt;=1,"D","F")))))),"")</f>
        <v/>
      </c>
      <c r="H275" s="3">
        <f>IF(AND('Data Source'!B275&lt;&gt;"",'Data Source'!S275="F"),IF('Data Source'!Z275&gt;=5,"A+",IF('Data Source'!Z275&gt;=4,"A",IF('Data Source'!Z275&gt;=3.5,"A-",IF('Data Source'!Z275&gt;=3,"B",IF('Data Source'!Z275&gt;=2,"C",IF('Data Source'!Z275&gt;=1,"D","F")))))),"")</f>
        <v/>
      </c>
      <c r="I275" s="3">
        <f>IF(AND('Data Source'!B275&lt;&gt;"",'Data Source'!S275="F"),IF('Data Source'!AA275&gt;=5,"A+",IF('Data Source'!AA275&gt;=4,"A",IF('Data Source'!AA275&gt;=3.5,"A-",IF('Data Source'!AA275&gt;=3,"B",IF('Data Source'!AA275&gt;=2,"C",IF('Data Source'!AA275&gt;=1,"D","F")))))),"")</f>
        <v/>
      </c>
      <c r="J275" s="3">
        <f>IF(AND('Data Source'!B275&lt;&gt;"",'Data Source'!S275="F"),IF('Data Source'!AB275&gt;=5,"A+",IF('Data Source'!AB275&gt;=4,"A",IF('Data Source'!AB275&gt;=3.5,"A-",IF('Data Source'!AB275&gt;=3,"B",IF('Data Source'!AB275&gt;=2,"C",IF('Data Source'!AB275&gt;=1,"D","F")))))),"")</f>
        <v/>
      </c>
      <c r="K275" s="3">
        <f>IF(AND('Data Source'!B275&lt;&gt;"",'Data Source'!S275="F"),IF('Data Source'!AC275&gt;=5,"A+",IF('Data Source'!AC275&gt;=4,"A",IF('Data Source'!AC275&gt;=3.5,"A-",IF('Data Source'!AC275&gt;=3,"B",IF('Data Source'!AC275&gt;=2,"C",IF('Data Source'!AC275&gt;=1,"D","F")))))),"")</f>
        <v/>
      </c>
      <c r="L275" s="3">
        <f>IF(AND('Data Source'!B275&lt;&gt;"",'Data Source'!S275="F"),IF('Data Source'!AD275&gt;=5,"A+",IF('Data Source'!AD275&gt;=4,"A",IF('Data Source'!AD275&gt;=3.5,"A-",IF('Data Source'!AD275&gt;=3,"B",IF('Data Source'!AD275&gt;=2,"C",IF('Data Source'!AD275&gt;=1,"D","F")))))),"")</f>
        <v/>
      </c>
      <c r="M275" s="3">
        <f>IF(AND('Data Source'!B275&lt;&gt;"",'Data Source'!S275="F"),IF('Data Source'!AE275&gt;=5,"A+",IF('Data Source'!AE275&gt;=4,"A",IF('Data Source'!AE275&gt;=3.5,"A-",IF('Data Source'!AE275&gt;=3,"B",IF('Data Source'!AE275&gt;=2,"C",IF('Data Source'!AE275&gt;=1,"D","F")))))),"")</f>
        <v/>
      </c>
      <c r="N275" s="3">
        <f>IF(AND('Data Source'!B275&lt;&gt;"",'Data Source'!S275="F"),IF('Data Source'!AF275&gt;=5,"A+",IF('Data Source'!AF275&gt;=4,"A",IF('Data Source'!AF275&gt;=3.5,"A-",IF('Data Source'!AF275&gt;=3,"B",IF('Data Source'!AF275&gt;=2,"C",IF('Data Source'!AF275&gt;=1,"D","F")))))),"")</f>
        <v/>
      </c>
      <c r="O275" s="3">
        <f>IF(AND('Data Source'!B275&lt;&gt;"",'Data Source'!S275="F"),IF('Data Source'!AG275&gt;=5,"A+",IF('Data Source'!AG275&gt;=4,"A",IF('Data Source'!AG275&gt;=3.5,"A-",IF('Data Source'!AG275&gt;=3,"B",IF('Data Source'!AG275&gt;=2,"C",IF('Data Source'!AG275&gt;=1,"D","F")))))),"")</f>
        <v/>
      </c>
      <c r="P275" s="5">
        <f>IF(AND('Data Source'!B275&lt;&gt;"",'Data Source'!S275="F"),'Data Source'!R275,"")</f>
        <v/>
      </c>
      <c r="Q275" s="3">
        <f>IF(AND('Data Source'!B275&lt;&gt;"",'Data Source'!S275="F"),'Data Source'!S275,"")</f>
        <v/>
      </c>
    </row>
    <row r="276">
      <c r="A276" s="3">
        <f>IF(AND('Data Source'!B276&lt;&gt;"",'Data Source'!S276="F"),COUNTIF('Data Source'!$S$3:S276,"F"),"")</f>
        <v/>
      </c>
      <c r="B276">
        <f>IF(AND('Data Source'!B276&lt;&gt;"",'Data Source'!S276="F"),'Data Source'!B276,"")</f>
        <v/>
      </c>
      <c r="C276" s="3">
        <f>IF(AND('Data Source'!B276&lt;&gt;"",'Data Source'!S276="F"),IF('Data Source'!U276&gt;=5,"A+",IF('Data Source'!U276&gt;=4,"A",IF('Data Source'!U276&gt;=3.5,"A-",IF('Data Source'!U276&gt;=3,"B",IF('Data Source'!U276&gt;=2,"C",IF('Data Source'!U276&gt;=1,"D","F")))))),"")</f>
        <v/>
      </c>
      <c r="D276" s="3">
        <f>IF(AND('Data Source'!B276&lt;&gt;"",'Data Source'!S276="F"),IF('Data Source'!V276&gt;=5,"A+",IF('Data Source'!V276&gt;=4,"A",IF('Data Source'!V276&gt;=3.5,"A-",IF('Data Source'!V276&gt;=3,"B",IF('Data Source'!V276&gt;=2,"C",IF('Data Source'!V276&gt;=1,"D","F")))))),"")</f>
        <v/>
      </c>
      <c r="E276" s="3">
        <f>IF(AND('Data Source'!B276&lt;&gt;"",'Data Source'!S276="F"),IF('Data Source'!W276&gt;=5,"A+",IF('Data Source'!W276&gt;=4,"A",IF('Data Source'!W276&gt;=3.5,"A-",IF('Data Source'!W276&gt;=3,"B",IF('Data Source'!W276&gt;=2,"C",IF('Data Source'!W276&gt;=1,"D","F")))))),"")</f>
        <v/>
      </c>
      <c r="F276" s="3">
        <f>IF(AND('Data Source'!B276&lt;&gt;"",'Data Source'!S276="F"),IF('Data Source'!X276&gt;=5,"A+",IF('Data Source'!X276&gt;=4,"A",IF('Data Source'!X276&gt;=3.5,"A-",IF('Data Source'!X276&gt;=3,"B",IF('Data Source'!X276&gt;=2,"C",IF('Data Source'!X276&gt;=1,"D","F")))))),"")</f>
        <v/>
      </c>
      <c r="G276" s="3">
        <f>IF(AND('Data Source'!B276&lt;&gt;"",'Data Source'!S276="F"),IF('Data Source'!Y276&gt;=5,"A+",IF('Data Source'!Y276&gt;=4,"A",IF('Data Source'!Y276&gt;=3.5,"A-",IF('Data Source'!Y276&gt;=3,"B",IF('Data Source'!Y276&gt;=2,"C",IF('Data Source'!Y276&gt;=1,"D","F")))))),"")</f>
        <v/>
      </c>
      <c r="H276" s="3">
        <f>IF(AND('Data Source'!B276&lt;&gt;"",'Data Source'!S276="F"),IF('Data Source'!Z276&gt;=5,"A+",IF('Data Source'!Z276&gt;=4,"A",IF('Data Source'!Z276&gt;=3.5,"A-",IF('Data Source'!Z276&gt;=3,"B",IF('Data Source'!Z276&gt;=2,"C",IF('Data Source'!Z276&gt;=1,"D","F")))))),"")</f>
        <v/>
      </c>
      <c r="I276" s="3">
        <f>IF(AND('Data Source'!B276&lt;&gt;"",'Data Source'!S276="F"),IF('Data Source'!AA276&gt;=5,"A+",IF('Data Source'!AA276&gt;=4,"A",IF('Data Source'!AA276&gt;=3.5,"A-",IF('Data Source'!AA276&gt;=3,"B",IF('Data Source'!AA276&gt;=2,"C",IF('Data Source'!AA276&gt;=1,"D","F")))))),"")</f>
        <v/>
      </c>
      <c r="J276" s="3">
        <f>IF(AND('Data Source'!B276&lt;&gt;"",'Data Source'!S276="F"),IF('Data Source'!AB276&gt;=5,"A+",IF('Data Source'!AB276&gt;=4,"A",IF('Data Source'!AB276&gt;=3.5,"A-",IF('Data Source'!AB276&gt;=3,"B",IF('Data Source'!AB276&gt;=2,"C",IF('Data Source'!AB276&gt;=1,"D","F")))))),"")</f>
        <v/>
      </c>
      <c r="K276" s="3">
        <f>IF(AND('Data Source'!B276&lt;&gt;"",'Data Source'!S276="F"),IF('Data Source'!AC276&gt;=5,"A+",IF('Data Source'!AC276&gt;=4,"A",IF('Data Source'!AC276&gt;=3.5,"A-",IF('Data Source'!AC276&gt;=3,"B",IF('Data Source'!AC276&gt;=2,"C",IF('Data Source'!AC276&gt;=1,"D","F")))))),"")</f>
        <v/>
      </c>
      <c r="L276" s="3">
        <f>IF(AND('Data Source'!B276&lt;&gt;"",'Data Source'!S276="F"),IF('Data Source'!AD276&gt;=5,"A+",IF('Data Source'!AD276&gt;=4,"A",IF('Data Source'!AD276&gt;=3.5,"A-",IF('Data Source'!AD276&gt;=3,"B",IF('Data Source'!AD276&gt;=2,"C",IF('Data Source'!AD276&gt;=1,"D","F")))))),"")</f>
        <v/>
      </c>
      <c r="M276" s="3">
        <f>IF(AND('Data Source'!B276&lt;&gt;"",'Data Source'!S276="F"),IF('Data Source'!AE276&gt;=5,"A+",IF('Data Source'!AE276&gt;=4,"A",IF('Data Source'!AE276&gt;=3.5,"A-",IF('Data Source'!AE276&gt;=3,"B",IF('Data Source'!AE276&gt;=2,"C",IF('Data Source'!AE276&gt;=1,"D","F")))))),"")</f>
        <v/>
      </c>
      <c r="N276" s="3">
        <f>IF(AND('Data Source'!B276&lt;&gt;"",'Data Source'!S276="F"),IF('Data Source'!AF276&gt;=5,"A+",IF('Data Source'!AF276&gt;=4,"A",IF('Data Source'!AF276&gt;=3.5,"A-",IF('Data Source'!AF276&gt;=3,"B",IF('Data Source'!AF276&gt;=2,"C",IF('Data Source'!AF276&gt;=1,"D","F")))))),"")</f>
        <v/>
      </c>
      <c r="O276" s="3">
        <f>IF(AND('Data Source'!B276&lt;&gt;"",'Data Source'!S276="F"),IF('Data Source'!AG276&gt;=5,"A+",IF('Data Source'!AG276&gt;=4,"A",IF('Data Source'!AG276&gt;=3.5,"A-",IF('Data Source'!AG276&gt;=3,"B",IF('Data Source'!AG276&gt;=2,"C",IF('Data Source'!AG276&gt;=1,"D","F")))))),"")</f>
        <v/>
      </c>
      <c r="P276" s="5">
        <f>IF(AND('Data Source'!B276&lt;&gt;"",'Data Source'!S276="F"),'Data Source'!R276,"")</f>
        <v/>
      </c>
      <c r="Q276" s="3">
        <f>IF(AND('Data Source'!B276&lt;&gt;"",'Data Source'!S276="F"),'Data Source'!S276,"")</f>
        <v/>
      </c>
    </row>
    <row r="277">
      <c r="A277" s="3">
        <f>IF(AND('Data Source'!B277&lt;&gt;"",'Data Source'!S277="F"),COUNTIF('Data Source'!$S$3:S277,"F"),"")</f>
        <v/>
      </c>
      <c r="B277">
        <f>IF(AND('Data Source'!B277&lt;&gt;"",'Data Source'!S277="F"),'Data Source'!B277,"")</f>
        <v/>
      </c>
      <c r="C277" s="3">
        <f>IF(AND('Data Source'!B277&lt;&gt;"",'Data Source'!S277="F"),IF('Data Source'!U277&gt;=5,"A+",IF('Data Source'!U277&gt;=4,"A",IF('Data Source'!U277&gt;=3.5,"A-",IF('Data Source'!U277&gt;=3,"B",IF('Data Source'!U277&gt;=2,"C",IF('Data Source'!U277&gt;=1,"D","F")))))),"")</f>
        <v/>
      </c>
      <c r="D277" s="3">
        <f>IF(AND('Data Source'!B277&lt;&gt;"",'Data Source'!S277="F"),IF('Data Source'!V277&gt;=5,"A+",IF('Data Source'!V277&gt;=4,"A",IF('Data Source'!V277&gt;=3.5,"A-",IF('Data Source'!V277&gt;=3,"B",IF('Data Source'!V277&gt;=2,"C",IF('Data Source'!V277&gt;=1,"D","F")))))),"")</f>
        <v/>
      </c>
      <c r="E277" s="3">
        <f>IF(AND('Data Source'!B277&lt;&gt;"",'Data Source'!S277="F"),IF('Data Source'!W277&gt;=5,"A+",IF('Data Source'!W277&gt;=4,"A",IF('Data Source'!W277&gt;=3.5,"A-",IF('Data Source'!W277&gt;=3,"B",IF('Data Source'!W277&gt;=2,"C",IF('Data Source'!W277&gt;=1,"D","F")))))),"")</f>
        <v/>
      </c>
      <c r="F277" s="3">
        <f>IF(AND('Data Source'!B277&lt;&gt;"",'Data Source'!S277="F"),IF('Data Source'!X277&gt;=5,"A+",IF('Data Source'!X277&gt;=4,"A",IF('Data Source'!X277&gt;=3.5,"A-",IF('Data Source'!X277&gt;=3,"B",IF('Data Source'!X277&gt;=2,"C",IF('Data Source'!X277&gt;=1,"D","F")))))),"")</f>
        <v/>
      </c>
      <c r="G277" s="3">
        <f>IF(AND('Data Source'!B277&lt;&gt;"",'Data Source'!S277="F"),IF('Data Source'!Y277&gt;=5,"A+",IF('Data Source'!Y277&gt;=4,"A",IF('Data Source'!Y277&gt;=3.5,"A-",IF('Data Source'!Y277&gt;=3,"B",IF('Data Source'!Y277&gt;=2,"C",IF('Data Source'!Y277&gt;=1,"D","F")))))),"")</f>
        <v/>
      </c>
      <c r="H277" s="3">
        <f>IF(AND('Data Source'!B277&lt;&gt;"",'Data Source'!S277="F"),IF('Data Source'!Z277&gt;=5,"A+",IF('Data Source'!Z277&gt;=4,"A",IF('Data Source'!Z277&gt;=3.5,"A-",IF('Data Source'!Z277&gt;=3,"B",IF('Data Source'!Z277&gt;=2,"C",IF('Data Source'!Z277&gt;=1,"D","F")))))),"")</f>
        <v/>
      </c>
      <c r="I277" s="3">
        <f>IF(AND('Data Source'!B277&lt;&gt;"",'Data Source'!S277="F"),IF('Data Source'!AA277&gt;=5,"A+",IF('Data Source'!AA277&gt;=4,"A",IF('Data Source'!AA277&gt;=3.5,"A-",IF('Data Source'!AA277&gt;=3,"B",IF('Data Source'!AA277&gt;=2,"C",IF('Data Source'!AA277&gt;=1,"D","F")))))),"")</f>
        <v/>
      </c>
      <c r="J277" s="3">
        <f>IF(AND('Data Source'!B277&lt;&gt;"",'Data Source'!S277="F"),IF('Data Source'!AB277&gt;=5,"A+",IF('Data Source'!AB277&gt;=4,"A",IF('Data Source'!AB277&gt;=3.5,"A-",IF('Data Source'!AB277&gt;=3,"B",IF('Data Source'!AB277&gt;=2,"C",IF('Data Source'!AB277&gt;=1,"D","F")))))),"")</f>
        <v/>
      </c>
      <c r="K277" s="3">
        <f>IF(AND('Data Source'!B277&lt;&gt;"",'Data Source'!S277="F"),IF('Data Source'!AC277&gt;=5,"A+",IF('Data Source'!AC277&gt;=4,"A",IF('Data Source'!AC277&gt;=3.5,"A-",IF('Data Source'!AC277&gt;=3,"B",IF('Data Source'!AC277&gt;=2,"C",IF('Data Source'!AC277&gt;=1,"D","F")))))),"")</f>
        <v/>
      </c>
      <c r="L277" s="3">
        <f>IF(AND('Data Source'!B277&lt;&gt;"",'Data Source'!S277="F"),IF('Data Source'!AD277&gt;=5,"A+",IF('Data Source'!AD277&gt;=4,"A",IF('Data Source'!AD277&gt;=3.5,"A-",IF('Data Source'!AD277&gt;=3,"B",IF('Data Source'!AD277&gt;=2,"C",IF('Data Source'!AD277&gt;=1,"D","F")))))),"")</f>
        <v/>
      </c>
      <c r="M277" s="3">
        <f>IF(AND('Data Source'!B277&lt;&gt;"",'Data Source'!S277="F"),IF('Data Source'!AE277&gt;=5,"A+",IF('Data Source'!AE277&gt;=4,"A",IF('Data Source'!AE277&gt;=3.5,"A-",IF('Data Source'!AE277&gt;=3,"B",IF('Data Source'!AE277&gt;=2,"C",IF('Data Source'!AE277&gt;=1,"D","F")))))),"")</f>
        <v/>
      </c>
      <c r="N277" s="3">
        <f>IF(AND('Data Source'!B277&lt;&gt;"",'Data Source'!S277="F"),IF('Data Source'!AF277&gt;=5,"A+",IF('Data Source'!AF277&gt;=4,"A",IF('Data Source'!AF277&gt;=3.5,"A-",IF('Data Source'!AF277&gt;=3,"B",IF('Data Source'!AF277&gt;=2,"C",IF('Data Source'!AF277&gt;=1,"D","F")))))),"")</f>
        <v/>
      </c>
      <c r="O277" s="3">
        <f>IF(AND('Data Source'!B277&lt;&gt;"",'Data Source'!S277="F"),IF('Data Source'!AG277&gt;=5,"A+",IF('Data Source'!AG277&gt;=4,"A",IF('Data Source'!AG277&gt;=3.5,"A-",IF('Data Source'!AG277&gt;=3,"B",IF('Data Source'!AG277&gt;=2,"C",IF('Data Source'!AG277&gt;=1,"D","F")))))),"")</f>
        <v/>
      </c>
      <c r="P277" s="5">
        <f>IF(AND('Data Source'!B277&lt;&gt;"",'Data Source'!S277="F"),'Data Source'!R277,"")</f>
        <v/>
      </c>
      <c r="Q277" s="3">
        <f>IF(AND('Data Source'!B277&lt;&gt;"",'Data Source'!S277="F"),'Data Source'!S277,"")</f>
        <v/>
      </c>
    </row>
    <row r="278">
      <c r="A278" s="3">
        <f>IF(AND('Data Source'!B278&lt;&gt;"",'Data Source'!S278="F"),COUNTIF('Data Source'!$S$3:S278,"F"),"")</f>
        <v/>
      </c>
      <c r="B278">
        <f>IF(AND('Data Source'!B278&lt;&gt;"",'Data Source'!S278="F"),'Data Source'!B278,"")</f>
        <v/>
      </c>
      <c r="C278" s="3">
        <f>IF(AND('Data Source'!B278&lt;&gt;"",'Data Source'!S278="F"),IF('Data Source'!U278&gt;=5,"A+",IF('Data Source'!U278&gt;=4,"A",IF('Data Source'!U278&gt;=3.5,"A-",IF('Data Source'!U278&gt;=3,"B",IF('Data Source'!U278&gt;=2,"C",IF('Data Source'!U278&gt;=1,"D","F")))))),"")</f>
        <v/>
      </c>
      <c r="D278" s="3">
        <f>IF(AND('Data Source'!B278&lt;&gt;"",'Data Source'!S278="F"),IF('Data Source'!V278&gt;=5,"A+",IF('Data Source'!V278&gt;=4,"A",IF('Data Source'!V278&gt;=3.5,"A-",IF('Data Source'!V278&gt;=3,"B",IF('Data Source'!V278&gt;=2,"C",IF('Data Source'!V278&gt;=1,"D","F")))))),"")</f>
        <v/>
      </c>
      <c r="E278" s="3">
        <f>IF(AND('Data Source'!B278&lt;&gt;"",'Data Source'!S278="F"),IF('Data Source'!W278&gt;=5,"A+",IF('Data Source'!W278&gt;=4,"A",IF('Data Source'!W278&gt;=3.5,"A-",IF('Data Source'!W278&gt;=3,"B",IF('Data Source'!W278&gt;=2,"C",IF('Data Source'!W278&gt;=1,"D","F")))))),"")</f>
        <v/>
      </c>
      <c r="F278" s="3">
        <f>IF(AND('Data Source'!B278&lt;&gt;"",'Data Source'!S278="F"),IF('Data Source'!X278&gt;=5,"A+",IF('Data Source'!X278&gt;=4,"A",IF('Data Source'!X278&gt;=3.5,"A-",IF('Data Source'!X278&gt;=3,"B",IF('Data Source'!X278&gt;=2,"C",IF('Data Source'!X278&gt;=1,"D","F")))))),"")</f>
        <v/>
      </c>
      <c r="G278" s="3">
        <f>IF(AND('Data Source'!B278&lt;&gt;"",'Data Source'!S278="F"),IF('Data Source'!Y278&gt;=5,"A+",IF('Data Source'!Y278&gt;=4,"A",IF('Data Source'!Y278&gt;=3.5,"A-",IF('Data Source'!Y278&gt;=3,"B",IF('Data Source'!Y278&gt;=2,"C",IF('Data Source'!Y278&gt;=1,"D","F")))))),"")</f>
        <v/>
      </c>
      <c r="H278" s="3">
        <f>IF(AND('Data Source'!B278&lt;&gt;"",'Data Source'!S278="F"),IF('Data Source'!Z278&gt;=5,"A+",IF('Data Source'!Z278&gt;=4,"A",IF('Data Source'!Z278&gt;=3.5,"A-",IF('Data Source'!Z278&gt;=3,"B",IF('Data Source'!Z278&gt;=2,"C",IF('Data Source'!Z278&gt;=1,"D","F")))))),"")</f>
        <v/>
      </c>
      <c r="I278" s="3">
        <f>IF(AND('Data Source'!B278&lt;&gt;"",'Data Source'!S278="F"),IF('Data Source'!AA278&gt;=5,"A+",IF('Data Source'!AA278&gt;=4,"A",IF('Data Source'!AA278&gt;=3.5,"A-",IF('Data Source'!AA278&gt;=3,"B",IF('Data Source'!AA278&gt;=2,"C",IF('Data Source'!AA278&gt;=1,"D","F")))))),"")</f>
        <v/>
      </c>
      <c r="J278" s="3">
        <f>IF(AND('Data Source'!B278&lt;&gt;"",'Data Source'!S278="F"),IF('Data Source'!AB278&gt;=5,"A+",IF('Data Source'!AB278&gt;=4,"A",IF('Data Source'!AB278&gt;=3.5,"A-",IF('Data Source'!AB278&gt;=3,"B",IF('Data Source'!AB278&gt;=2,"C",IF('Data Source'!AB278&gt;=1,"D","F")))))),"")</f>
        <v/>
      </c>
      <c r="K278" s="3">
        <f>IF(AND('Data Source'!B278&lt;&gt;"",'Data Source'!S278="F"),IF('Data Source'!AC278&gt;=5,"A+",IF('Data Source'!AC278&gt;=4,"A",IF('Data Source'!AC278&gt;=3.5,"A-",IF('Data Source'!AC278&gt;=3,"B",IF('Data Source'!AC278&gt;=2,"C",IF('Data Source'!AC278&gt;=1,"D","F")))))),"")</f>
        <v/>
      </c>
      <c r="L278" s="3">
        <f>IF(AND('Data Source'!B278&lt;&gt;"",'Data Source'!S278="F"),IF('Data Source'!AD278&gt;=5,"A+",IF('Data Source'!AD278&gt;=4,"A",IF('Data Source'!AD278&gt;=3.5,"A-",IF('Data Source'!AD278&gt;=3,"B",IF('Data Source'!AD278&gt;=2,"C",IF('Data Source'!AD278&gt;=1,"D","F")))))),"")</f>
        <v/>
      </c>
      <c r="M278" s="3">
        <f>IF(AND('Data Source'!B278&lt;&gt;"",'Data Source'!S278="F"),IF('Data Source'!AE278&gt;=5,"A+",IF('Data Source'!AE278&gt;=4,"A",IF('Data Source'!AE278&gt;=3.5,"A-",IF('Data Source'!AE278&gt;=3,"B",IF('Data Source'!AE278&gt;=2,"C",IF('Data Source'!AE278&gt;=1,"D","F")))))),"")</f>
        <v/>
      </c>
      <c r="N278" s="3">
        <f>IF(AND('Data Source'!B278&lt;&gt;"",'Data Source'!S278="F"),IF('Data Source'!AF278&gt;=5,"A+",IF('Data Source'!AF278&gt;=4,"A",IF('Data Source'!AF278&gt;=3.5,"A-",IF('Data Source'!AF278&gt;=3,"B",IF('Data Source'!AF278&gt;=2,"C",IF('Data Source'!AF278&gt;=1,"D","F")))))),"")</f>
        <v/>
      </c>
      <c r="O278" s="3">
        <f>IF(AND('Data Source'!B278&lt;&gt;"",'Data Source'!S278="F"),IF('Data Source'!AG278&gt;=5,"A+",IF('Data Source'!AG278&gt;=4,"A",IF('Data Source'!AG278&gt;=3.5,"A-",IF('Data Source'!AG278&gt;=3,"B",IF('Data Source'!AG278&gt;=2,"C",IF('Data Source'!AG278&gt;=1,"D","F")))))),"")</f>
        <v/>
      </c>
      <c r="P278" s="5">
        <f>IF(AND('Data Source'!B278&lt;&gt;"",'Data Source'!S278="F"),'Data Source'!R278,"")</f>
        <v/>
      </c>
      <c r="Q278" s="3">
        <f>IF(AND('Data Source'!B278&lt;&gt;"",'Data Source'!S278="F"),'Data Source'!S278,"")</f>
        <v/>
      </c>
    </row>
    <row r="279">
      <c r="A279" s="3">
        <f>IF(AND('Data Source'!B279&lt;&gt;"",'Data Source'!S279="F"),COUNTIF('Data Source'!$S$3:S279,"F"),"")</f>
        <v/>
      </c>
      <c r="B279">
        <f>IF(AND('Data Source'!B279&lt;&gt;"",'Data Source'!S279="F"),'Data Source'!B279,"")</f>
        <v/>
      </c>
      <c r="C279" s="3">
        <f>IF(AND('Data Source'!B279&lt;&gt;"",'Data Source'!S279="F"),IF('Data Source'!U279&gt;=5,"A+",IF('Data Source'!U279&gt;=4,"A",IF('Data Source'!U279&gt;=3.5,"A-",IF('Data Source'!U279&gt;=3,"B",IF('Data Source'!U279&gt;=2,"C",IF('Data Source'!U279&gt;=1,"D","F")))))),"")</f>
        <v/>
      </c>
      <c r="D279" s="3">
        <f>IF(AND('Data Source'!B279&lt;&gt;"",'Data Source'!S279="F"),IF('Data Source'!V279&gt;=5,"A+",IF('Data Source'!V279&gt;=4,"A",IF('Data Source'!V279&gt;=3.5,"A-",IF('Data Source'!V279&gt;=3,"B",IF('Data Source'!V279&gt;=2,"C",IF('Data Source'!V279&gt;=1,"D","F")))))),"")</f>
        <v/>
      </c>
      <c r="E279" s="3">
        <f>IF(AND('Data Source'!B279&lt;&gt;"",'Data Source'!S279="F"),IF('Data Source'!W279&gt;=5,"A+",IF('Data Source'!W279&gt;=4,"A",IF('Data Source'!W279&gt;=3.5,"A-",IF('Data Source'!W279&gt;=3,"B",IF('Data Source'!W279&gt;=2,"C",IF('Data Source'!W279&gt;=1,"D","F")))))),"")</f>
        <v/>
      </c>
      <c r="F279" s="3">
        <f>IF(AND('Data Source'!B279&lt;&gt;"",'Data Source'!S279="F"),IF('Data Source'!X279&gt;=5,"A+",IF('Data Source'!X279&gt;=4,"A",IF('Data Source'!X279&gt;=3.5,"A-",IF('Data Source'!X279&gt;=3,"B",IF('Data Source'!X279&gt;=2,"C",IF('Data Source'!X279&gt;=1,"D","F")))))),"")</f>
        <v/>
      </c>
      <c r="G279" s="3">
        <f>IF(AND('Data Source'!B279&lt;&gt;"",'Data Source'!S279="F"),IF('Data Source'!Y279&gt;=5,"A+",IF('Data Source'!Y279&gt;=4,"A",IF('Data Source'!Y279&gt;=3.5,"A-",IF('Data Source'!Y279&gt;=3,"B",IF('Data Source'!Y279&gt;=2,"C",IF('Data Source'!Y279&gt;=1,"D","F")))))),"")</f>
        <v/>
      </c>
      <c r="H279" s="3">
        <f>IF(AND('Data Source'!B279&lt;&gt;"",'Data Source'!S279="F"),IF('Data Source'!Z279&gt;=5,"A+",IF('Data Source'!Z279&gt;=4,"A",IF('Data Source'!Z279&gt;=3.5,"A-",IF('Data Source'!Z279&gt;=3,"B",IF('Data Source'!Z279&gt;=2,"C",IF('Data Source'!Z279&gt;=1,"D","F")))))),"")</f>
        <v/>
      </c>
      <c r="I279" s="3">
        <f>IF(AND('Data Source'!B279&lt;&gt;"",'Data Source'!S279="F"),IF('Data Source'!AA279&gt;=5,"A+",IF('Data Source'!AA279&gt;=4,"A",IF('Data Source'!AA279&gt;=3.5,"A-",IF('Data Source'!AA279&gt;=3,"B",IF('Data Source'!AA279&gt;=2,"C",IF('Data Source'!AA279&gt;=1,"D","F")))))),"")</f>
        <v/>
      </c>
      <c r="J279" s="3">
        <f>IF(AND('Data Source'!B279&lt;&gt;"",'Data Source'!S279="F"),IF('Data Source'!AB279&gt;=5,"A+",IF('Data Source'!AB279&gt;=4,"A",IF('Data Source'!AB279&gt;=3.5,"A-",IF('Data Source'!AB279&gt;=3,"B",IF('Data Source'!AB279&gt;=2,"C",IF('Data Source'!AB279&gt;=1,"D","F")))))),"")</f>
        <v/>
      </c>
      <c r="K279" s="3">
        <f>IF(AND('Data Source'!B279&lt;&gt;"",'Data Source'!S279="F"),IF('Data Source'!AC279&gt;=5,"A+",IF('Data Source'!AC279&gt;=4,"A",IF('Data Source'!AC279&gt;=3.5,"A-",IF('Data Source'!AC279&gt;=3,"B",IF('Data Source'!AC279&gt;=2,"C",IF('Data Source'!AC279&gt;=1,"D","F")))))),"")</f>
        <v/>
      </c>
      <c r="L279" s="3">
        <f>IF(AND('Data Source'!B279&lt;&gt;"",'Data Source'!S279="F"),IF('Data Source'!AD279&gt;=5,"A+",IF('Data Source'!AD279&gt;=4,"A",IF('Data Source'!AD279&gt;=3.5,"A-",IF('Data Source'!AD279&gt;=3,"B",IF('Data Source'!AD279&gt;=2,"C",IF('Data Source'!AD279&gt;=1,"D","F")))))),"")</f>
        <v/>
      </c>
      <c r="M279" s="3">
        <f>IF(AND('Data Source'!B279&lt;&gt;"",'Data Source'!S279="F"),IF('Data Source'!AE279&gt;=5,"A+",IF('Data Source'!AE279&gt;=4,"A",IF('Data Source'!AE279&gt;=3.5,"A-",IF('Data Source'!AE279&gt;=3,"B",IF('Data Source'!AE279&gt;=2,"C",IF('Data Source'!AE279&gt;=1,"D","F")))))),"")</f>
        <v/>
      </c>
      <c r="N279" s="3">
        <f>IF(AND('Data Source'!B279&lt;&gt;"",'Data Source'!S279="F"),IF('Data Source'!AF279&gt;=5,"A+",IF('Data Source'!AF279&gt;=4,"A",IF('Data Source'!AF279&gt;=3.5,"A-",IF('Data Source'!AF279&gt;=3,"B",IF('Data Source'!AF279&gt;=2,"C",IF('Data Source'!AF279&gt;=1,"D","F")))))),"")</f>
        <v/>
      </c>
      <c r="O279" s="3">
        <f>IF(AND('Data Source'!B279&lt;&gt;"",'Data Source'!S279="F"),IF('Data Source'!AG279&gt;=5,"A+",IF('Data Source'!AG279&gt;=4,"A",IF('Data Source'!AG279&gt;=3.5,"A-",IF('Data Source'!AG279&gt;=3,"B",IF('Data Source'!AG279&gt;=2,"C",IF('Data Source'!AG279&gt;=1,"D","F")))))),"")</f>
        <v/>
      </c>
      <c r="P279" s="5">
        <f>IF(AND('Data Source'!B279&lt;&gt;"",'Data Source'!S279="F"),'Data Source'!R279,"")</f>
        <v/>
      </c>
      <c r="Q279" s="3">
        <f>IF(AND('Data Source'!B279&lt;&gt;"",'Data Source'!S279="F"),'Data Source'!S279,"")</f>
        <v/>
      </c>
    </row>
    <row r="280">
      <c r="A280" s="3">
        <f>IF(AND('Data Source'!B280&lt;&gt;"",'Data Source'!S280="F"),COUNTIF('Data Source'!$S$3:S280,"F"),"")</f>
        <v/>
      </c>
      <c r="B280">
        <f>IF(AND('Data Source'!B280&lt;&gt;"",'Data Source'!S280="F"),'Data Source'!B280,"")</f>
        <v/>
      </c>
      <c r="C280" s="3">
        <f>IF(AND('Data Source'!B280&lt;&gt;"",'Data Source'!S280="F"),IF('Data Source'!U280&gt;=5,"A+",IF('Data Source'!U280&gt;=4,"A",IF('Data Source'!U280&gt;=3.5,"A-",IF('Data Source'!U280&gt;=3,"B",IF('Data Source'!U280&gt;=2,"C",IF('Data Source'!U280&gt;=1,"D","F")))))),"")</f>
        <v/>
      </c>
      <c r="D280" s="3">
        <f>IF(AND('Data Source'!B280&lt;&gt;"",'Data Source'!S280="F"),IF('Data Source'!V280&gt;=5,"A+",IF('Data Source'!V280&gt;=4,"A",IF('Data Source'!V280&gt;=3.5,"A-",IF('Data Source'!V280&gt;=3,"B",IF('Data Source'!V280&gt;=2,"C",IF('Data Source'!V280&gt;=1,"D","F")))))),"")</f>
        <v/>
      </c>
      <c r="E280" s="3">
        <f>IF(AND('Data Source'!B280&lt;&gt;"",'Data Source'!S280="F"),IF('Data Source'!W280&gt;=5,"A+",IF('Data Source'!W280&gt;=4,"A",IF('Data Source'!W280&gt;=3.5,"A-",IF('Data Source'!W280&gt;=3,"B",IF('Data Source'!W280&gt;=2,"C",IF('Data Source'!W280&gt;=1,"D","F")))))),"")</f>
        <v/>
      </c>
      <c r="F280" s="3">
        <f>IF(AND('Data Source'!B280&lt;&gt;"",'Data Source'!S280="F"),IF('Data Source'!X280&gt;=5,"A+",IF('Data Source'!X280&gt;=4,"A",IF('Data Source'!X280&gt;=3.5,"A-",IF('Data Source'!X280&gt;=3,"B",IF('Data Source'!X280&gt;=2,"C",IF('Data Source'!X280&gt;=1,"D","F")))))),"")</f>
        <v/>
      </c>
      <c r="G280" s="3">
        <f>IF(AND('Data Source'!B280&lt;&gt;"",'Data Source'!S280="F"),IF('Data Source'!Y280&gt;=5,"A+",IF('Data Source'!Y280&gt;=4,"A",IF('Data Source'!Y280&gt;=3.5,"A-",IF('Data Source'!Y280&gt;=3,"B",IF('Data Source'!Y280&gt;=2,"C",IF('Data Source'!Y280&gt;=1,"D","F")))))),"")</f>
        <v/>
      </c>
      <c r="H280" s="3">
        <f>IF(AND('Data Source'!B280&lt;&gt;"",'Data Source'!S280="F"),IF('Data Source'!Z280&gt;=5,"A+",IF('Data Source'!Z280&gt;=4,"A",IF('Data Source'!Z280&gt;=3.5,"A-",IF('Data Source'!Z280&gt;=3,"B",IF('Data Source'!Z280&gt;=2,"C",IF('Data Source'!Z280&gt;=1,"D","F")))))),"")</f>
        <v/>
      </c>
      <c r="I280" s="3">
        <f>IF(AND('Data Source'!B280&lt;&gt;"",'Data Source'!S280="F"),IF('Data Source'!AA280&gt;=5,"A+",IF('Data Source'!AA280&gt;=4,"A",IF('Data Source'!AA280&gt;=3.5,"A-",IF('Data Source'!AA280&gt;=3,"B",IF('Data Source'!AA280&gt;=2,"C",IF('Data Source'!AA280&gt;=1,"D","F")))))),"")</f>
        <v/>
      </c>
      <c r="J280" s="3">
        <f>IF(AND('Data Source'!B280&lt;&gt;"",'Data Source'!S280="F"),IF('Data Source'!AB280&gt;=5,"A+",IF('Data Source'!AB280&gt;=4,"A",IF('Data Source'!AB280&gt;=3.5,"A-",IF('Data Source'!AB280&gt;=3,"B",IF('Data Source'!AB280&gt;=2,"C",IF('Data Source'!AB280&gt;=1,"D","F")))))),"")</f>
        <v/>
      </c>
      <c r="K280" s="3">
        <f>IF(AND('Data Source'!B280&lt;&gt;"",'Data Source'!S280="F"),IF('Data Source'!AC280&gt;=5,"A+",IF('Data Source'!AC280&gt;=4,"A",IF('Data Source'!AC280&gt;=3.5,"A-",IF('Data Source'!AC280&gt;=3,"B",IF('Data Source'!AC280&gt;=2,"C",IF('Data Source'!AC280&gt;=1,"D","F")))))),"")</f>
        <v/>
      </c>
      <c r="L280" s="3">
        <f>IF(AND('Data Source'!B280&lt;&gt;"",'Data Source'!S280="F"),IF('Data Source'!AD280&gt;=5,"A+",IF('Data Source'!AD280&gt;=4,"A",IF('Data Source'!AD280&gt;=3.5,"A-",IF('Data Source'!AD280&gt;=3,"B",IF('Data Source'!AD280&gt;=2,"C",IF('Data Source'!AD280&gt;=1,"D","F")))))),"")</f>
        <v/>
      </c>
      <c r="M280" s="3">
        <f>IF(AND('Data Source'!B280&lt;&gt;"",'Data Source'!S280="F"),IF('Data Source'!AE280&gt;=5,"A+",IF('Data Source'!AE280&gt;=4,"A",IF('Data Source'!AE280&gt;=3.5,"A-",IF('Data Source'!AE280&gt;=3,"B",IF('Data Source'!AE280&gt;=2,"C",IF('Data Source'!AE280&gt;=1,"D","F")))))),"")</f>
        <v/>
      </c>
      <c r="N280" s="3">
        <f>IF(AND('Data Source'!B280&lt;&gt;"",'Data Source'!S280="F"),IF('Data Source'!AF280&gt;=5,"A+",IF('Data Source'!AF280&gt;=4,"A",IF('Data Source'!AF280&gt;=3.5,"A-",IF('Data Source'!AF280&gt;=3,"B",IF('Data Source'!AF280&gt;=2,"C",IF('Data Source'!AF280&gt;=1,"D","F")))))),"")</f>
        <v/>
      </c>
      <c r="O280" s="3">
        <f>IF(AND('Data Source'!B280&lt;&gt;"",'Data Source'!S280="F"),IF('Data Source'!AG280&gt;=5,"A+",IF('Data Source'!AG280&gt;=4,"A",IF('Data Source'!AG280&gt;=3.5,"A-",IF('Data Source'!AG280&gt;=3,"B",IF('Data Source'!AG280&gt;=2,"C",IF('Data Source'!AG280&gt;=1,"D","F")))))),"")</f>
        <v/>
      </c>
      <c r="P280" s="5">
        <f>IF(AND('Data Source'!B280&lt;&gt;"",'Data Source'!S280="F"),'Data Source'!R280,"")</f>
        <v/>
      </c>
      <c r="Q280" s="3">
        <f>IF(AND('Data Source'!B280&lt;&gt;"",'Data Source'!S280="F"),'Data Source'!S280,"")</f>
        <v/>
      </c>
    </row>
    <row r="281">
      <c r="A281" s="3">
        <f>IF(AND('Data Source'!B281&lt;&gt;"",'Data Source'!S281="F"),COUNTIF('Data Source'!$S$3:S281,"F"),"")</f>
        <v/>
      </c>
      <c r="B281">
        <f>IF(AND('Data Source'!B281&lt;&gt;"",'Data Source'!S281="F"),'Data Source'!B281,"")</f>
        <v/>
      </c>
      <c r="C281" s="3">
        <f>IF(AND('Data Source'!B281&lt;&gt;"",'Data Source'!S281="F"),IF('Data Source'!U281&gt;=5,"A+",IF('Data Source'!U281&gt;=4,"A",IF('Data Source'!U281&gt;=3.5,"A-",IF('Data Source'!U281&gt;=3,"B",IF('Data Source'!U281&gt;=2,"C",IF('Data Source'!U281&gt;=1,"D","F")))))),"")</f>
        <v/>
      </c>
      <c r="D281" s="3">
        <f>IF(AND('Data Source'!B281&lt;&gt;"",'Data Source'!S281="F"),IF('Data Source'!V281&gt;=5,"A+",IF('Data Source'!V281&gt;=4,"A",IF('Data Source'!V281&gt;=3.5,"A-",IF('Data Source'!V281&gt;=3,"B",IF('Data Source'!V281&gt;=2,"C",IF('Data Source'!V281&gt;=1,"D","F")))))),"")</f>
        <v/>
      </c>
      <c r="E281" s="3">
        <f>IF(AND('Data Source'!B281&lt;&gt;"",'Data Source'!S281="F"),IF('Data Source'!W281&gt;=5,"A+",IF('Data Source'!W281&gt;=4,"A",IF('Data Source'!W281&gt;=3.5,"A-",IF('Data Source'!W281&gt;=3,"B",IF('Data Source'!W281&gt;=2,"C",IF('Data Source'!W281&gt;=1,"D","F")))))),"")</f>
        <v/>
      </c>
      <c r="F281" s="3">
        <f>IF(AND('Data Source'!B281&lt;&gt;"",'Data Source'!S281="F"),IF('Data Source'!X281&gt;=5,"A+",IF('Data Source'!X281&gt;=4,"A",IF('Data Source'!X281&gt;=3.5,"A-",IF('Data Source'!X281&gt;=3,"B",IF('Data Source'!X281&gt;=2,"C",IF('Data Source'!X281&gt;=1,"D","F")))))),"")</f>
        <v/>
      </c>
      <c r="G281" s="3">
        <f>IF(AND('Data Source'!B281&lt;&gt;"",'Data Source'!S281="F"),IF('Data Source'!Y281&gt;=5,"A+",IF('Data Source'!Y281&gt;=4,"A",IF('Data Source'!Y281&gt;=3.5,"A-",IF('Data Source'!Y281&gt;=3,"B",IF('Data Source'!Y281&gt;=2,"C",IF('Data Source'!Y281&gt;=1,"D","F")))))),"")</f>
        <v/>
      </c>
      <c r="H281" s="3">
        <f>IF(AND('Data Source'!B281&lt;&gt;"",'Data Source'!S281="F"),IF('Data Source'!Z281&gt;=5,"A+",IF('Data Source'!Z281&gt;=4,"A",IF('Data Source'!Z281&gt;=3.5,"A-",IF('Data Source'!Z281&gt;=3,"B",IF('Data Source'!Z281&gt;=2,"C",IF('Data Source'!Z281&gt;=1,"D","F")))))),"")</f>
        <v/>
      </c>
      <c r="I281" s="3">
        <f>IF(AND('Data Source'!B281&lt;&gt;"",'Data Source'!S281="F"),IF('Data Source'!AA281&gt;=5,"A+",IF('Data Source'!AA281&gt;=4,"A",IF('Data Source'!AA281&gt;=3.5,"A-",IF('Data Source'!AA281&gt;=3,"B",IF('Data Source'!AA281&gt;=2,"C",IF('Data Source'!AA281&gt;=1,"D","F")))))),"")</f>
        <v/>
      </c>
      <c r="J281" s="3">
        <f>IF(AND('Data Source'!B281&lt;&gt;"",'Data Source'!S281="F"),IF('Data Source'!AB281&gt;=5,"A+",IF('Data Source'!AB281&gt;=4,"A",IF('Data Source'!AB281&gt;=3.5,"A-",IF('Data Source'!AB281&gt;=3,"B",IF('Data Source'!AB281&gt;=2,"C",IF('Data Source'!AB281&gt;=1,"D","F")))))),"")</f>
        <v/>
      </c>
      <c r="K281" s="3">
        <f>IF(AND('Data Source'!B281&lt;&gt;"",'Data Source'!S281="F"),IF('Data Source'!AC281&gt;=5,"A+",IF('Data Source'!AC281&gt;=4,"A",IF('Data Source'!AC281&gt;=3.5,"A-",IF('Data Source'!AC281&gt;=3,"B",IF('Data Source'!AC281&gt;=2,"C",IF('Data Source'!AC281&gt;=1,"D","F")))))),"")</f>
        <v/>
      </c>
      <c r="L281" s="3">
        <f>IF(AND('Data Source'!B281&lt;&gt;"",'Data Source'!S281="F"),IF('Data Source'!AD281&gt;=5,"A+",IF('Data Source'!AD281&gt;=4,"A",IF('Data Source'!AD281&gt;=3.5,"A-",IF('Data Source'!AD281&gt;=3,"B",IF('Data Source'!AD281&gt;=2,"C",IF('Data Source'!AD281&gt;=1,"D","F")))))),"")</f>
        <v/>
      </c>
      <c r="M281" s="3">
        <f>IF(AND('Data Source'!B281&lt;&gt;"",'Data Source'!S281="F"),IF('Data Source'!AE281&gt;=5,"A+",IF('Data Source'!AE281&gt;=4,"A",IF('Data Source'!AE281&gt;=3.5,"A-",IF('Data Source'!AE281&gt;=3,"B",IF('Data Source'!AE281&gt;=2,"C",IF('Data Source'!AE281&gt;=1,"D","F")))))),"")</f>
        <v/>
      </c>
      <c r="N281" s="3">
        <f>IF(AND('Data Source'!B281&lt;&gt;"",'Data Source'!S281="F"),IF('Data Source'!AF281&gt;=5,"A+",IF('Data Source'!AF281&gt;=4,"A",IF('Data Source'!AF281&gt;=3.5,"A-",IF('Data Source'!AF281&gt;=3,"B",IF('Data Source'!AF281&gt;=2,"C",IF('Data Source'!AF281&gt;=1,"D","F")))))),"")</f>
        <v/>
      </c>
      <c r="O281" s="3">
        <f>IF(AND('Data Source'!B281&lt;&gt;"",'Data Source'!S281="F"),IF('Data Source'!AG281&gt;=5,"A+",IF('Data Source'!AG281&gt;=4,"A",IF('Data Source'!AG281&gt;=3.5,"A-",IF('Data Source'!AG281&gt;=3,"B",IF('Data Source'!AG281&gt;=2,"C",IF('Data Source'!AG281&gt;=1,"D","F")))))),"")</f>
        <v/>
      </c>
      <c r="P281" s="5">
        <f>IF(AND('Data Source'!B281&lt;&gt;"",'Data Source'!S281="F"),'Data Source'!R281,"")</f>
        <v/>
      </c>
      <c r="Q281" s="3">
        <f>IF(AND('Data Source'!B281&lt;&gt;"",'Data Source'!S281="F"),'Data Source'!S281,"")</f>
        <v/>
      </c>
    </row>
    <row r="282">
      <c r="A282" s="3">
        <f>IF(AND('Data Source'!B282&lt;&gt;"",'Data Source'!S282="F"),COUNTIF('Data Source'!$S$3:S282,"F"),"")</f>
        <v/>
      </c>
      <c r="B282">
        <f>IF(AND('Data Source'!B282&lt;&gt;"",'Data Source'!S282="F"),'Data Source'!B282,"")</f>
        <v/>
      </c>
      <c r="C282" s="3">
        <f>IF(AND('Data Source'!B282&lt;&gt;"",'Data Source'!S282="F"),IF('Data Source'!U282&gt;=5,"A+",IF('Data Source'!U282&gt;=4,"A",IF('Data Source'!U282&gt;=3.5,"A-",IF('Data Source'!U282&gt;=3,"B",IF('Data Source'!U282&gt;=2,"C",IF('Data Source'!U282&gt;=1,"D","F")))))),"")</f>
        <v/>
      </c>
      <c r="D282" s="3">
        <f>IF(AND('Data Source'!B282&lt;&gt;"",'Data Source'!S282="F"),IF('Data Source'!V282&gt;=5,"A+",IF('Data Source'!V282&gt;=4,"A",IF('Data Source'!V282&gt;=3.5,"A-",IF('Data Source'!V282&gt;=3,"B",IF('Data Source'!V282&gt;=2,"C",IF('Data Source'!V282&gt;=1,"D","F")))))),"")</f>
        <v/>
      </c>
      <c r="E282" s="3">
        <f>IF(AND('Data Source'!B282&lt;&gt;"",'Data Source'!S282="F"),IF('Data Source'!W282&gt;=5,"A+",IF('Data Source'!W282&gt;=4,"A",IF('Data Source'!W282&gt;=3.5,"A-",IF('Data Source'!W282&gt;=3,"B",IF('Data Source'!W282&gt;=2,"C",IF('Data Source'!W282&gt;=1,"D","F")))))),"")</f>
        <v/>
      </c>
      <c r="F282" s="3">
        <f>IF(AND('Data Source'!B282&lt;&gt;"",'Data Source'!S282="F"),IF('Data Source'!X282&gt;=5,"A+",IF('Data Source'!X282&gt;=4,"A",IF('Data Source'!X282&gt;=3.5,"A-",IF('Data Source'!X282&gt;=3,"B",IF('Data Source'!X282&gt;=2,"C",IF('Data Source'!X282&gt;=1,"D","F")))))),"")</f>
        <v/>
      </c>
      <c r="G282" s="3">
        <f>IF(AND('Data Source'!B282&lt;&gt;"",'Data Source'!S282="F"),IF('Data Source'!Y282&gt;=5,"A+",IF('Data Source'!Y282&gt;=4,"A",IF('Data Source'!Y282&gt;=3.5,"A-",IF('Data Source'!Y282&gt;=3,"B",IF('Data Source'!Y282&gt;=2,"C",IF('Data Source'!Y282&gt;=1,"D","F")))))),"")</f>
        <v/>
      </c>
      <c r="H282" s="3">
        <f>IF(AND('Data Source'!B282&lt;&gt;"",'Data Source'!S282="F"),IF('Data Source'!Z282&gt;=5,"A+",IF('Data Source'!Z282&gt;=4,"A",IF('Data Source'!Z282&gt;=3.5,"A-",IF('Data Source'!Z282&gt;=3,"B",IF('Data Source'!Z282&gt;=2,"C",IF('Data Source'!Z282&gt;=1,"D","F")))))),"")</f>
        <v/>
      </c>
      <c r="I282" s="3">
        <f>IF(AND('Data Source'!B282&lt;&gt;"",'Data Source'!S282="F"),IF('Data Source'!AA282&gt;=5,"A+",IF('Data Source'!AA282&gt;=4,"A",IF('Data Source'!AA282&gt;=3.5,"A-",IF('Data Source'!AA282&gt;=3,"B",IF('Data Source'!AA282&gt;=2,"C",IF('Data Source'!AA282&gt;=1,"D","F")))))),"")</f>
        <v/>
      </c>
      <c r="J282" s="3">
        <f>IF(AND('Data Source'!B282&lt;&gt;"",'Data Source'!S282="F"),IF('Data Source'!AB282&gt;=5,"A+",IF('Data Source'!AB282&gt;=4,"A",IF('Data Source'!AB282&gt;=3.5,"A-",IF('Data Source'!AB282&gt;=3,"B",IF('Data Source'!AB282&gt;=2,"C",IF('Data Source'!AB282&gt;=1,"D","F")))))),"")</f>
        <v/>
      </c>
      <c r="K282" s="3">
        <f>IF(AND('Data Source'!B282&lt;&gt;"",'Data Source'!S282="F"),IF('Data Source'!AC282&gt;=5,"A+",IF('Data Source'!AC282&gt;=4,"A",IF('Data Source'!AC282&gt;=3.5,"A-",IF('Data Source'!AC282&gt;=3,"B",IF('Data Source'!AC282&gt;=2,"C",IF('Data Source'!AC282&gt;=1,"D","F")))))),"")</f>
        <v/>
      </c>
      <c r="L282" s="3">
        <f>IF(AND('Data Source'!B282&lt;&gt;"",'Data Source'!S282="F"),IF('Data Source'!AD282&gt;=5,"A+",IF('Data Source'!AD282&gt;=4,"A",IF('Data Source'!AD282&gt;=3.5,"A-",IF('Data Source'!AD282&gt;=3,"B",IF('Data Source'!AD282&gt;=2,"C",IF('Data Source'!AD282&gt;=1,"D","F")))))),"")</f>
        <v/>
      </c>
      <c r="M282" s="3">
        <f>IF(AND('Data Source'!B282&lt;&gt;"",'Data Source'!S282="F"),IF('Data Source'!AE282&gt;=5,"A+",IF('Data Source'!AE282&gt;=4,"A",IF('Data Source'!AE282&gt;=3.5,"A-",IF('Data Source'!AE282&gt;=3,"B",IF('Data Source'!AE282&gt;=2,"C",IF('Data Source'!AE282&gt;=1,"D","F")))))),"")</f>
        <v/>
      </c>
      <c r="N282" s="3">
        <f>IF(AND('Data Source'!B282&lt;&gt;"",'Data Source'!S282="F"),IF('Data Source'!AF282&gt;=5,"A+",IF('Data Source'!AF282&gt;=4,"A",IF('Data Source'!AF282&gt;=3.5,"A-",IF('Data Source'!AF282&gt;=3,"B",IF('Data Source'!AF282&gt;=2,"C",IF('Data Source'!AF282&gt;=1,"D","F")))))),"")</f>
        <v/>
      </c>
      <c r="O282" s="3">
        <f>IF(AND('Data Source'!B282&lt;&gt;"",'Data Source'!S282="F"),IF('Data Source'!AG282&gt;=5,"A+",IF('Data Source'!AG282&gt;=4,"A",IF('Data Source'!AG282&gt;=3.5,"A-",IF('Data Source'!AG282&gt;=3,"B",IF('Data Source'!AG282&gt;=2,"C",IF('Data Source'!AG282&gt;=1,"D","F")))))),"")</f>
        <v/>
      </c>
      <c r="P282" s="5">
        <f>IF(AND('Data Source'!B282&lt;&gt;"",'Data Source'!S282="F"),'Data Source'!R282,"")</f>
        <v/>
      </c>
      <c r="Q282" s="3">
        <f>IF(AND('Data Source'!B282&lt;&gt;"",'Data Source'!S282="F"),'Data Source'!S282,"")</f>
        <v/>
      </c>
    </row>
    <row r="283">
      <c r="A283" s="3">
        <f>IF(AND('Data Source'!B283&lt;&gt;"",'Data Source'!S283="F"),COUNTIF('Data Source'!$S$3:S283,"F"),"")</f>
        <v/>
      </c>
      <c r="B283">
        <f>IF(AND('Data Source'!B283&lt;&gt;"",'Data Source'!S283="F"),'Data Source'!B283,"")</f>
        <v/>
      </c>
      <c r="C283" s="3">
        <f>IF(AND('Data Source'!B283&lt;&gt;"",'Data Source'!S283="F"),IF('Data Source'!U283&gt;=5,"A+",IF('Data Source'!U283&gt;=4,"A",IF('Data Source'!U283&gt;=3.5,"A-",IF('Data Source'!U283&gt;=3,"B",IF('Data Source'!U283&gt;=2,"C",IF('Data Source'!U283&gt;=1,"D","F")))))),"")</f>
        <v/>
      </c>
      <c r="D283" s="3">
        <f>IF(AND('Data Source'!B283&lt;&gt;"",'Data Source'!S283="F"),IF('Data Source'!V283&gt;=5,"A+",IF('Data Source'!V283&gt;=4,"A",IF('Data Source'!V283&gt;=3.5,"A-",IF('Data Source'!V283&gt;=3,"B",IF('Data Source'!V283&gt;=2,"C",IF('Data Source'!V283&gt;=1,"D","F")))))),"")</f>
        <v/>
      </c>
      <c r="E283" s="3">
        <f>IF(AND('Data Source'!B283&lt;&gt;"",'Data Source'!S283="F"),IF('Data Source'!W283&gt;=5,"A+",IF('Data Source'!W283&gt;=4,"A",IF('Data Source'!W283&gt;=3.5,"A-",IF('Data Source'!W283&gt;=3,"B",IF('Data Source'!W283&gt;=2,"C",IF('Data Source'!W283&gt;=1,"D","F")))))),"")</f>
        <v/>
      </c>
      <c r="F283" s="3">
        <f>IF(AND('Data Source'!B283&lt;&gt;"",'Data Source'!S283="F"),IF('Data Source'!X283&gt;=5,"A+",IF('Data Source'!X283&gt;=4,"A",IF('Data Source'!X283&gt;=3.5,"A-",IF('Data Source'!X283&gt;=3,"B",IF('Data Source'!X283&gt;=2,"C",IF('Data Source'!X283&gt;=1,"D","F")))))),"")</f>
        <v/>
      </c>
      <c r="G283" s="3">
        <f>IF(AND('Data Source'!B283&lt;&gt;"",'Data Source'!S283="F"),IF('Data Source'!Y283&gt;=5,"A+",IF('Data Source'!Y283&gt;=4,"A",IF('Data Source'!Y283&gt;=3.5,"A-",IF('Data Source'!Y283&gt;=3,"B",IF('Data Source'!Y283&gt;=2,"C",IF('Data Source'!Y283&gt;=1,"D","F")))))),"")</f>
        <v/>
      </c>
      <c r="H283" s="3">
        <f>IF(AND('Data Source'!B283&lt;&gt;"",'Data Source'!S283="F"),IF('Data Source'!Z283&gt;=5,"A+",IF('Data Source'!Z283&gt;=4,"A",IF('Data Source'!Z283&gt;=3.5,"A-",IF('Data Source'!Z283&gt;=3,"B",IF('Data Source'!Z283&gt;=2,"C",IF('Data Source'!Z283&gt;=1,"D","F")))))),"")</f>
        <v/>
      </c>
      <c r="I283" s="3">
        <f>IF(AND('Data Source'!B283&lt;&gt;"",'Data Source'!S283="F"),IF('Data Source'!AA283&gt;=5,"A+",IF('Data Source'!AA283&gt;=4,"A",IF('Data Source'!AA283&gt;=3.5,"A-",IF('Data Source'!AA283&gt;=3,"B",IF('Data Source'!AA283&gt;=2,"C",IF('Data Source'!AA283&gt;=1,"D","F")))))),"")</f>
        <v/>
      </c>
      <c r="J283" s="3">
        <f>IF(AND('Data Source'!B283&lt;&gt;"",'Data Source'!S283="F"),IF('Data Source'!AB283&gt;=5,"A+",IF('Data Source'!AB283&gt;=4,"A",IF('Data Source'!AB283&gt;=3.5,"A-",IF('Data Source'!AB283&gt;=3,"B",IF('Data Source'!AB283&gt;=2,"C",IF('Data Source'!AB283&gt;=1,"D","F")))))),"")</f>
        <v/>
      </c>
      <c r="K283" s="3">
        <f>IF(AND('Data Source'!B283&lt;&gt;"",'Data Source'!S283="F"),IF('Data Source'!AC283&gt;=5,"A+",IF('Data Source'!AC283&gt;=4,"A",IF('Data Source'!AC283&gt;=3.5,"A-",IF('Data Source'!AC283&gt;=3,"B",IF('Data Source'!AC283&gt;=2,"C",IF('Data Source'!AC283&gt;=1,"D","F")))))),"")</f>
        <v/>
      </c>
      <c r="L283" s="3">
        <f>IF(AND('Data Source'!B283&lt;&gt;"",'Data Source'!S283="F"),IF('Data Source'!AD283&gt;=5,"A+",IF('Data Source'!AD283&gt;=4,"A",IF('Data Source'!AD283&gt;=3.5,"A-",IF('Data Source'!AD283&gt;=3,"B",IF('Data Source'!AD283&gt;=2,"C",IF('Data Source'!AD283&gt;=1,"D","F")))))),"")</f>
        <v/>
      </c>
      <c r="M283" s="3">
        <f>IF(AND('Data Source'!B283&lt;&gt;"",'Data Source'!S283="F"),IF('Data Source'!AE283&gt;=5,"A+",IF('Data Source'!AE283&gt;=4,"A",IF('Data Source'!AE283&gt;=3.5,"A-",IF('Data Source'!AE283&gt;=3,"B",IF('Data Source'!AE283&gt;=2,"C",IF('Data Source'!AE283&gt;=1,"D","F")))))),"")</f>
        <v/>
      </c>
      <c r="N283" s="3">
        <f>IF(AND('Data Source'!B283&lt;&gt;"",'Data Source'!S283="F"),IF('Data Source'!AF283&gt;=5,"A+",IF('Data Source'!AF283&gt;=4,"A",IF('Data Source'!AF283&gt;=3.5,"A-",IF('Data Source'!AF283&gt;=3,"B",IF('Data Source'!AF283&gt;=2,"C",IF('Data Source'!AF283&gt;=1,"D","F")))))),"")</f>
        <v/>
      </c>
      <c r="O283" s="3">
        <f>IF(AND('Data Source'!B283&lt;&gt;"",'Data Source'!S283="F"),IF('Data Source'!AG283&gt;=5,"A+",IF('Data Source'!AG283&gt;=4,"A",IF('Data Source'!AG283&gt;=3.5,"A-",IF('Data Source'!AG283&gt;=3,"B",IF('Data Source'!AG283&gt;=2,"C",IF('Data Source'!AG283&gt;=1,"D","F")))))),"")</f>
        <v/>
      </c>
      <c r="P283" s="5">
        <f>IF(AND('Data Source'!B283&lt;&gt;"",'Data Source'!S283="F"),'Data Source'!R283,"")</f>
        <v/>
      </c>
      <c r="Q283" s="3">
        <f>IF(AND('Data Source'!B283&lt;&gt;"",'Data Source'!S283="F"),'Data Source'!S283,"")</f>
        <v/>
      </c>
    </row>
    <row r="284">
      <c r="A284" s="3">
        <f>IF(AND('Data Source'!B284&lt;&gt;"",'Data Source'!S284="F"),COUNTIF('Data Source'!$S$3:S284,"F"),"")</f>
        <v/>
      </c>
      <c r="B284">
        <f>IF(AND('Data Source'!B284&lt;&gt;"",'Data Source'!S284="F"),'Data Source'!B284,"")</f>
        <v/>
      </c>
      <c r="C284" s="3">
        <f>IF(AND('Data Source'!B284&lt;&gt;"",'Data Source'!S284="F"),IF('Data Source'!U284&gt;=5,"A+",IF('Data Source'!U284&gt;=4,"A",IF('Data Source'!U284&gt;=3.5,"A-",IF('Data Source'!U284&gt;=3,"B",IF('Data Source'!U284&gt;=2,"C",IF('Data Source'!U284&gt;=1,"D","F")))))),"")</f>
        <v/>
      </c>
      <c r="D284" s="3">
        <f>IF(AND('Data Source'!B284&lt;&gt;"",'Data Source'!S284="F"),IF('Data Source'!V284&gt;=5,"A+",IF('Data Source'!V284&gt;=4,"A",IF('Data Source'!V284&gt;=3.5,"A-",IF('Data Source'!V284&gt;=3,"B",IF('Data Source'!V284&gt;=2,"C",IF('Data Source'!V284&gt;=1,"D","F")))))),"")</f>
        <v/>
      </c>
      <c r="E284" s="3">
        <f>IF(AND('Data Source'!B284&lt;&gt;"",'Data Source'!S284="F"),IF('Data Source'!W284&gt;=5,"A+",IF('Data Source'!W284&gt;=4,"A",IF('Data Source'!W284&gt;=3.5,"A-",IF('Data Source'!W284&gt;=3,"B",IF('Data Source'!W284&gt;=2,"C",IF('Data Source'!W284&gt;=1,"D","F")))))),"")</f>
        <v/>
      </c>
      <c r="F284" s="3">
        <f>IF(AND('Data Source'!B284&lt;&gt;"",'Data Source'!S284="F"),IF('Data Source'!X284&gt;=5,"A+",IF('Data Source'!X284&gt;=4,"A",IF('Data Source'!X284&gt;=3.5,"A-",IF('Data Source'!X284&gt;=3,"B",IF('Data Source'!X284&gt;=2,"C",IF('Data Source'!X284&gt;=1,"D","F")))))),"")</f>
        <v/>
      </c>
      <c r="G284" s="3">
        <f>IF(AND('Data Source'!B284&lt;&gt;"",'Data Source'!S284="F"),IF('Data Source'!Y284&gt;=5,"A+",IF('Data Source'!Y284&gt;=4,"A",IF('Data Source'!Y284&gt;=3.5,"A-",IF('Data Source'!Y284&gt;=3,"B",IF('Data Source'!Y284&gt;=2,"C",IF('Data Source'!Y284&gt;=1,"D","F")))))),"")</f>
        <v/>
      </c>
      <c r="H284" s="3">
        <f>IF(AND('Data Source'!B284&lt;&gt;"",'Data Source'!S284="F"),IF('Data Source'!Z284&gt;=5,"A+",IF('Data Source'!Z284&gt;=4,"A",IF('Data Source'!Z284&gt;=3.5,"A-",IF('Data Source'!Z284&gt;=3,"B",IF('Data Source'!Z284&gt;=2,"C",IF('Data Source'!Z284&gt;=1,"D","F")))))),"")</f>
        <v/>
      </c>
      <c r="I284" s="3">
        <f>IF(AND('Data Source'!B284&lt;&gt;"",'Data Source'!S284="F"),IF('Data Source'!AA284&gt;=5,"A+",IF('Data Source'!AA284&gt;=4,"A",IF('Data Source'!AA284&gt;=3.5,"A-",IF('Data Source'!AA284&gt;=3,"B",IF('Data Source'!AA284&gt;=2,"C",IF('Data Source'!AA284&gt;=1,"D","F")))))),"")</f>
        <v/>
      </c>
      <c r="J284" s="3">
        <f>IF(AND('Data Source'!B284&lt;&gt;"",'Data Source'!S284="F"),IF('Data Source'!AB284&gt;=5,"A+",IF('Data Source'!AB284&gt;=4,"A",IF('Data Source'!AB284&gt;=3.5,"A-",IF('Data Source'!AB284&gt;=3,"B",IF('Data Source'!AB284&gt;=2,"C",IF('Data Source'!AB284&gt;=1,"D","F")))))),"")</f>
        <v/>
      </c>
      <c r="K284" s="3">
        <f>IF(AND('Data Source'!B284&lt;&gt;"",'Data Source'!S284="F"),IF('Data Source'!AC284&gt;=5,"A+",IF('Data Source'!AC284&gt;=4,"A",IF('Data Source'!AC284&gt;=3.5,"A-",IF('Data Source'!AC284&gt;=3,"B",IF('Data Source'!AC284&gt;=2,"C",IF('Data Source'!AC284&gt;=1,"D","F")))))),"")</f>
        <v/>
      </c>
      <c r="L284" s="3">
        <f>IF(AND('Data Source'!B284&lt;&gt;"",'Data Source'!S284="F"),IF('Data Source'!AD284&gt;=5,"A+",IF('Data Source'!AD284&gt;=4,"A",IF('Data Source'!AD284&gt;=3.5,"A-",IF('Data Source'!AD284&gt;=3,"B",IF('Data Source'!AD284&gt;=2,"C",IF('Data Source'!AD284&gt;=1,"D","F")))))),"")</f>
        <v/>
      </c>
      <c r="M284" s="3">
        <f>IF(AND('Data Source'!B284&lt;&gt;"",'Data Source'!S284="F"),IF('Data Source'!AE284&gt;=5,"A+",IF('Data Source'!AE284&gt;=4,"A",IF('Data Source'!AE284&gt;=3.5,"A-",IF('Data Source'!AE284&gt;=3,"B",IF('Data Source'!AE284&gt;=2,"C",IF('Data Source'!AE284&gt;=1,"D","F")))))),"")</f>
        <v/>
      </c>
      <c r="N284" s="3">
        <f>IF(AND('Data Source'!B284&lt;&gt;"",'Data Source'!S284="F"),IF('Data Source'!AF284&gt;=5,"A+",IF('Data Source'!AF284&gt;=4,"A",IF('Data Source'!AF284&gt;=3.5,"A-",IF('Data Source'!AF284&gt;=3,"B",IF('Data Source'!AF284&gt;=2,"C",IF('Data Source'!AF284&gt;=1,"D","F")))))),"")</f>
        <v/>
      </c>
      <c r="O284" s="3">
        <f>IF(AND('Data Source'!B284&lt;&gt;"",'Data Source'!S284="F"),IF('Data Source'!AG284&gt;=5,"A+",IF('Data Source'!AG284&gt;=4,"A",IF('Data Source'!AG284&gt;=3.5,"A-",IF('Data Source'!AG284&gt;=3,"B",IF('Data Source'!AG284&gt;=2,"C",IF('Data Source'!AG284&gt;=1,"D","F")))))),"")</f>
        <v/>
      </c>
      <c r="P284" s="5">
        <f>IF(AND('Data Source'!B284&lt;&gt;"",'Data Source'!S284="F"),'Data Source'!R284,"")</f>
        <v/>
      </c>
      <c r="Q284" s="3">
        <f>IF(AND('Data Source'!B284&lt;&gt;"",'Data Source'!S284="F"),'Data Source'!S284,"")</f>
        <v/>
      </c>
    </row>
    <row r="285">
      <c r="A285" s="3">
        <f>IF(AND('Data Source'!B285&lt;&gt;"",'Data Source'!S285="F"),COUNTIF('Data Source'!$S$3:S285,"F"),"")</f>
        <v/>
      </c>
      <c r="B285">
        <f>IF(AND('Data Source'!B285&lt;&gt;"",'Data Source'!S285="F"),'Data Source'!B285,"")</f>
        <v/>
      </c>
      <c r="C285" s="3">
        <f>IF(AND('Data Source'!B285&lt;&gt;"",'Data Source'!S285="F"),IF('Data Source'!U285&gt;=5,"A+",IF('Data Source'!U285&gt;=4,"A",IF('Data Source'!U285&gt;=3.5,"A-",IF('Data Source'!U285&gt;=3,"B",IF('Data Source'!U285&gt;=2,"C",IF('Data Source'!U285&gt;=1,"D","F")))))),"")</f>
        <v/>
      </c>
      <c r="D285" s="3">
        <f>IF(AND('Data Source'!B285&lt;&gt;"",'Data Source'!S285="F"),IF('Data Source'!V285&gt;=5,"A+",IF('Data Source'!V285&gt;=4,"A",IF('Data Source'!V285&gt;=3.5,"A-",IF('Data Source'!V285&gt;=3,"B",IF('Data Source'!V285&gt;=2,"C",IF('Data Source'!V285&gt;=1,"D","F")))))),"")</f>
        <v/>
      </c>
      <c r="E285" s="3">
        <f>IF(AND('Data Source'!B285&lt;&gt;"",'Data Source'!S285="F"),IF('Data Source'!W285&gt;=5,"A+",IF('Data Source'!W285&gt;=4,"A",IF('Data Source'!W285&gt;=3.5,"A-",IF('Data Source'!W285&gt;=3,"B",IF('Data Source'!W285&gt;=2,"C",IF('Data Source'!W285&gt;=1,"D","F")))))),"")</f>
        <v/>
      </c>
      <c r="F285" s="3">
        <f>IF(AND('Data Source'!B285&lt;&gt;"",'Data Source'!S285="F"),IF('Data Source'!X285&gt;=5,"A+",IF('Data Source'!X285&gt;=4,"A",IF('Data Source'!X285&gt;=3.5,"A-",IF('Data Source'!X285&gt;=3,"B",IF('Data Source'!X285&gt;=2,"C",IF('Data Source'!X285&gt;=1,"D","F")))))),"")</f>
        <v/>
      </c>
      <c r="G285" s="3">
        <f>IF(AND('Data Source'!B285&lt;&gt;"",'Data Source'!S285="F"),IF('Data Source'!Y285&gt;=5,"A+",IF('Data Source'!Y285&gt;=4,"A",IF('Data Source'!Y285&gt;=3.5,"A-",IF('Data Source'!Y285&gt;=3,"B",IF('Data Source'!Y285&gt;=2,"C",IF('Data Source'!Y285&gt;=1,"D","F")))))),"")</f>
        <v/>
      </c>
      <c r="H285" s="3">
        <f>IF(AND('Data Source'!B285&lt;&gt;"",'Data Source'!S285="F"),IF('Data Source'!Z285&gt;=5,"A+",IF('Data Source'!Z285&gt;=4,"A",IF('Data Source'!Z285&gt;=3.5,"A-",IF('Data Source'!Z285&gt;=3,"B",IF('Data Source'!Z285&gt;=2,"C",IF('Data Source'!Z285&gt;=1,"D","F")))))),"")</f>
        <v/>
      </c>
      <c r="I285" s="3">
        <f>IF(AND('Data Source'!B285&lt;&gt;"",'Data Source'!S285="F"),IF('Data Source'!AA285&gt;=5,"A+",IF('Data Source'!AA285&gt;=4,"A",IF('Data Source'!AA285&gt;=3.5,"A-",IF('Data Source'!AA285&gt;=3,"B",IF('Data Source'!AA285&gt;=2,"C",IF('Data Source'!AA285&gt;=1,"D","F")))))),"")</f>
        <v/>
      </c>
      <c r="J285" s="3">
        <f>IF(AND('Data Source'!B285&lt;&gt;"",'Data Source'!S285="F"),IF('Data Source'!AB285&gt;=5,"A+",IF('Data Source'!AB285&gt;=4,"A",IF('Data Source'!AB285&gt;=3.5,"A-",IF('Data Source'!AB285&gt;=3,"B",IF('Data Source'!AB285&gt;=2,"C",IF('Data Source'!AB285&gt;=1,"D","F")))))),"")</f>
        <v/>
      </c>
      <c r="K285" s="3">
        <f>IF(AND('Data Source'!B285&lt;&gt;"",'Data Source'!S285="F"),IF('Data Source'!AC285&gt;=5,"A+",IF('Data Source'!AC285&gt;=4,"A",IF('Data Source'!AC285&gt;=3.5,"A-",IF('Data Source'!AC285&gt;=3,"B",IF('Data Source'!AC285&gt;=2,"C",IF('Data Source'!AC285&gt;=1,"D","F")))))),"")</f>
        <v/>
      </c>
      <c r="L285" s="3">
        <f>IF(AND('Data Source'!B285&lt;&gt;"",'Data Source'!S285="F"),IF('Data Source'!AD285&gt;=5,"A+",IF('Data Source'!AD285&gt;=4,"A",IF('Data Source'!AD285&gt;=3.5,"A-",IF('Data Source'!AD285&gt;=3,"B",IF('Data Source'!AD285&gt;=2,"C",IF('Data Source'!AD285&gt;=1,"D","F")))))),"")</f>
        <v/>
      </c>
      <c r="M285" s="3">
        <f>IF(AND('Data Source'!B285&lt;&gt;"",'Data Source'!S285="F"),IF('Data Source'!AE285&gt;=5,"A+",IF('Data Source'!AE285&gt;=4,"A",IF('Data Source'!AE285&gt;=3.5,"A-",IF('Data Source'!AE285&gt;=3,"B",IF('Data Source'!AE285&gt;=2,"C",IF('Data Source'!AE285&gt;=1,"D","F")))))),"")</f>
        <v/>
      </c>
      <c r="N285" s="3">
        <f>IF(AND('Data Source'!B285&lt;&gt;"",'Data Source'!S285="F"),IF('Data Source'!AF285&gt;=5,"A+",IF('Data Source'!AF285&gt;=4,"A",IF('Data Source'!AF285&gt;=3.5,"A-",IF('Data Source'!AF285&gt;=3,"B",IF('Data Source'!AF285&gt;=2,"C",IF('Data Source'!AF285&gt;=1,"D","F")))))),"")</f>
        <v/>
      </c>
      <c r="O285" s="3">
        <f>IF(AND('Data Source'!B285&lt;&gt;"",'Data Source'!S285="F"),IF('Data Source'!AG285&gt;=5,"A+",IF('Data Source'!AG285&gt;=4,"A",IF('Data Source'!AG285&gt;=3.5,"A-",IF('Data Source'!AG285&gt;=3,"B",IF('Data Source'!AG285&gt;=2,"C",IF('Data Source'!AG285&gt;=1,"D","F")))))),"")</f>
        <v/>
      </c>
      <c r="P285" s="5">
        <f>IF(AND('Data Source'!B285&lt;&gt;"",'Data Source'!S285="F"),'Data Source'!R285,"")</f>
        <v/>
      </c>
      <c r="Q285" s="3">
        <f>IF(AND('Data Source'!B285&lt;&gt;"",'Data Source'!S285="F"),'Data Source'!S285,"")</f>
        <v/>
      </c>
    </row>
    <row r="286">
      <c r="A286" s="3">
        <f>IF(AND('Data Source'!B286&lt;&gt;"",'Data Source'!S286="F"),COUNTIF('Data Source'!$S$3:S286,"F"),"")</f>
        <v/>
      </c>
      <c r="B286">
        <f>IF(AND('Data Source'!B286&lt;&gt;"",'Data Source'!S286="F"),'Data Source'!B286,"")</f>
        <v/>
      </c>
      <c r="C286" s="3">
        <f>IF(AND('Data Source'!B286&lt;&gt;"",'Data Source'!S286="F"),IF('Data Source'!U286&gt;=5,"A+",IF('Data Source'!U286&gt;=4,"A",IF('Data Source'!U286&gt;=3.5,"A-",IF('Data Source'!U286&gt;=3,"B",IF('Data Source'!U286&gt;=2,"C",IF('Data Source'!U286&gt;=1,"D","F")))))),"")</f>
        <v/>
      </c>
      <c r="D286" s="3">
        <f>IF(AND('Data Source'!B286&lt;&gt;"",'Data Source'!S286="F"),IF('Data Source'!V286&gt;=5,"A+",IF('Data Source'!V286&gt;=4,"A",IF('Data Source'!V286&gt;=3.5,"A-",IF('Data Source'!V286&gt;=3,"B",IF('Data Source'!V286&gt;=2,"C",IF('Data Source'!V286&gt;=1,"D","F")))))),"")</f>
        <v/>
      </c>
      <c r="E286" s="3">
        <f>IF(AND('Data Source'!B286&lt;&gt;"",'Data Source'!S286="F"),IF('Data Source'!W286&gt;=5,"A+",IF('Data Source'!W286&gt;=4,"A",IF('Data Source'!W286&gt;=3.5,"A-",IF('Data Source'!W286&gt;=3,"B",IF('Data Source'!W286&gt;=2,"C",IF('Data Source'!W286&gt;=1,"D","F")))))),"")</f>
        <v/>
      </c>
      <c r="F286" s="3">
        <f>IF(AND('Data Source'!B286&lt;&gt;"",'Data Source'!S286="F"),IF('Data Source'!X286&gt;=5,"A+",IF('Data Source'!X286&gt;=4,"A",IF('Data Source'!X286&gt;=3.5,"A-",IF('Data Source'!X286&gt;=3,"B",IF('Data Source'!X286&gt;=2,"C",IF('Data Source'!X286&gt;=1,"D","F")))))),"")</f>
        <v/>
      </c>
      <c r="G286" s="3">
        <f>IF(AND('Data Source'!B286&lt;&gt;"",'Data Source'!S286="F"),IF('Data Source'!Y286&gt;=5,"A+",IF('Data Source'!Y286&gt;=4,"A",IF('Data Source'!Y286&gt;=3.5,"A-",IF('Data Source'!Y286&gt;=3,"B",IF('Data Source'!Y286&gt;=2,"C",IF('Data Source'!Y286&gt;=1,"D","F")))))),"")</f>
        <v/>
      </c>
      <c r="H286" s="3">
        <f>IF(AND('Data Source'!B286&lt;&gt;"",'Data Source'!S286="F"),IF('Data Source'!Z286&gt;=5,"A+",IF('Data Source'!Z286&gt;=4,"A",IF('Data Source'!Z286&gt;=3.5,"A-",IF('Data Source'!Z286&gt;=3,"B",IF('Data Source'!Z286&gt;=2,"C",IF('Data Source'!Z286&gt;=1,"D","F")))))),"")</f>
        <v/>
      </c>
      <c r="I286" s="3">
        <f>IF(AND('Data Source'!B286&lt;&gt;"",'Data Source'!S286="F"),IF('Data Source'!AA286&gt;=5,"A+",IF('Data Source'!AA286&gt;=4,"A",IF('Data Source'!AA286&gt;=3.5,"A-",IF('Data Source'!AA286&gt;=3,"B",IF('Data Source'!AA286&gt;=2,"C",IF('Data Source'!AA286&gt;=1,"D","F")))))),"")</f>
        <v/>
      </c>
      <c r="J286" s="3">
        <f>IF(AND('Data Source'!B286&lt;&gt;"",'Data Source'!S286="F"),IF('Data Source'!AB286&gt;=5,"A+",IF('Data Source'!AB286&gt;=4,"A",IF('Data Source'!AB286&gt;=3.5,"A-",IF('Data Source'!AB286&gt;=3,"B",IF('Data Source'!AB286&gt;=2,"C",IF('Data Source'!AB286&gt;=1,"D","F")))))),"")</f>
        <v/>
      </c>
      <c r="K286" s="3">
        <f>IF(AND('Data Source'!B286&lt;&gt;"",'Data Source'!S286="F"),IF('Data Source'!AC286&gt;=5,"A+",IF('Data Source'!AC286&gt;=4,"A",IF('Data Source'!AC286&gt;=3.5,"A-",IF('Data Source'!AC286&gt;=3,"B",IF('Data Source'!AC286&gt;=2,"C",IF('Data Source'!AC286&gt;=1,"D","F")))))),"")</f>
        <v/>
      </c>
      <c r="L286" s="3">
        <f>IF(AND('Data Source'!B286&lt;&gt;"",'Data Source'!S286="F"),IF('Data Source'!AD286&gt;=5,"A+",IF('Data Source'!AD286&gt;=4,"A",IF('Data Source'!AD286&gt;=3.5,"A-",IF('Data Source'!AD286&gt;=3,"B",IF('Data Source'!AD286&gt;=2,"C",IF('Data Source'!AD286&gt;=1,"D","F")))))),"")</f>
        <v/>
      </c>
      <c r="M286" s="3">
        <f>IF(AND('Data Source'!B286&lt;&gt;"",'Data Source'!S286="F"),IF('Data Source'!AE286&gt;=5,"A+",IF('Data Source'!AE286&gt;=4,"A",IF('Data Source'!AE286&gt;=3.5,"A-",IF('Data Source'!AE286&gt;=3,"B",IF('Data Source'!AE286&gt;=2,"C",IF('Data Source'!AE286&gt;=1,"D","F")))))),"")</f>
        <v/>
      </c>
      <c r="N286" s="3">
        <f>IF(AND('Data Source'!B286&lt;&gt;"",'Data Source'!S286="F"),IF('Data Source'!AF286&gt;=5,"A+",IF('Data Source'!AF286&gt;=4,"A",IF('Data Source'!AF286&gt;=3.5,"A-",IF('Data Source'!AF286&gt;=3,"B",IF('Data Source'!AF286&gt;=2,"C",IF('Data Source'!AF286&gt;=1,"D","F")))))),"")</f>
        <v/>
      </c>
      <c r="O286" s="3">
        <f>IF(AND('Data Source'!B286&lt;&gt;"",'Data Source'!S286="F"),IF('Data Source'!AG286&gt;=5,"A+",IF('Data Source'!AG286&gt;=4,"A",IF('Data Source'!AG286&gt;=3.5,"A-",IF('Data Source'!AG286&gt;=3,"B",IF('Data Source'!AG286&gt;=2,"C",IF('Data Source'!AG286&gt;=1,"D","F")))))),"")</f>
        <v/>
      </c>
      <c r="P286" s="5">
        <f>IF(AND('Data Source'!B286&lt;&gt;"",'Data Source'!S286="F"),'Data Source'!R286,"")</f>
        <v/>
      </c>
      <c r="Q286" s="3">
        <f>IF(AND('Data Source'!B286&lt;&gt;"",'Data Source'!S286="F"),'Data Source'!S286,"")</f>
        <v/>
      </c>
    </row>
    <row r="287">
      <c r="A287" s="3">
        <f>IF(AND('Data Source'!B287&lt;&gt;"",'Data Source'!S287="F"),COUNTIF('Data Source'!$S$3:S287,"F"),"")</f>
        <v/>
      </c>
      <c r="B287">
        <f>IF(AND('Data Source'!B287&lt;&gt;"",'Data Source'!S287="F"),'Data Source'!B287,"")</f>
        <v/>
      </c>
      <c r="C287" s="3">
        <f>IF(AND('Data Source'!B287&lt;&gt;"",'Data Source'!S287="F"),IF('Data Source'!U287&gt;=5,"A+",IF('Data Source'!U287&gt;=4,"A",IF('Data Source'!U287&gt;=3.5,"A-",IF('Data Source'!U287&gt;=3,"B",IF('Data Source'!U287&gt;=2,"C",IF('Data Source'!U287&gt;=1,"D","F")))))),"")</f>
        <v/>
      </c>
      <c r="D287" s="3">
        <f>IF(AND('Data Source'!B287&lt;&gt;"",'Data Source'!S287="F"),IF('Data Source'!V287&gt;=5,"A+",IF('Data Source'!V287&gt;=4,"A",IF('Data Source'!V287&gt;=3.5,"A-",IF('Data Source'!V287&gt;=3,"B",IF('Data Source'!V287&gt;=2,"C",IF('Data Source'!V287&gt;=1,"D","F")))))),"")</f>
        <v/>
      </c>
      <c r="E287" s="3">
        <f>IF(AND('Data Source'!B287&lt;&gt;"",'Data Source'!S287="F"),IF('Data Source'!W287&gt;=5,"A+",IF('Data Source'!W287&gt;=4,"A",IF('Data Source'!W287&gt;=3.5,"A-",IF('Data Source'!W287&gt;=3,"B",IF('Data Source'!W287&gt;=2,"C",IF('Data Source'!W287&gt;=1,"D","F")))))),"")</f>
        <v/>
      </c>
      <c r="F287" s="3">
        <f>IF(AND('Data Source'!B287&lt;&gt;"",'Data Source'!S287="F"),IF('Data Source'!X287&gt;=5,"A+",IF('Data Source'!X287&gt;=4,"A",IF('Data Source'!X287&gt;=3.5,"A-",IF('Data Source'!X287&gt;=3,"B",IF('Data Source'!X287&gt;=2,"C",IF('Data Source'!X287&gt;=1,"D","F")))))),"")</f>
        <v/>
      </c>
      <c r="G287" s="3">
        <f>IF(AND('Data Source'!B287&lt;&gt;"",'Data Source'!S287="F"),IF('Data Source'!Y287&gt;=5,"A+",IF('Data Source'!Y287&gt;=4,"A",IF('Data Source'!Y287&gt;=3.5,"A-",IF('Data Source'!Y287&gt;=3,"B",IF('Data Source'!Y287&gt;=2,"C",IF('Data Source'!Y287&gt;=1,"D","F")))))),"")</f>
        <v/>
      </c>
      <c r="H287" s="3">
        <f>IF(AND('Data Source'!B287&lt;&gt;"",'Data Source'!S287="F"),IF('Data Source'!Z287&gt;=5,"A+",IF('Data Source'!Z287&gt;=4,"A",IF('Data Source'!Z287&gt;=3.5,"A-",IF('Data Source'!Z287&gt;=3,"B",IF('Data Source'!Z287&gt;=2,"C",IF('Data Source'!Z287&gt;=1,"D","F")))))),"")</f>
        <v/>
      </c>
      <c r="I287" s="3">
        <f>IF(AND('Data Source'!B287&lt;&gt;"",'Data Source'!S287="F"),IF('Data Source'!AA287&gt;=5,"A+",IF('Data Source'!AA287&gt;=4,"A",IF('Data Source'!AA287&gt;=3.5,"A-",IF('Data Source'!AA287&gt;=3,"B",IF('Data Source'!AA287&gt;=2,"C",IF('Data Source'!AA287&gt;=1,"D","F")))))),"")</f>
        <v/>
      </c>
      <c r="J287" s="3">
        <f>IF(AND('Data Source'!B287&lt;&gt;"",'Data Source'!S287="F"),IF('Data Source'!AB287&gt;=5,"A+",IF('Data Source'!AB287&gt;=4,"A",IF('Data Source'!AB287&gt;=3.5,"A-",IF('Data Source'!AB287&gt;=3,"B",IF('Data Source'!AB287&gt;=2,"C",IF('Data Source'!AB287&gt;=1,"D","F")))))),"")</f>
        <v/>
      </c>
      <c r="K287" s="3">
        <f>IF(AND('Data Source'!B287&lt;&gt;"",'Data Source'!S287="F"),IF('Data Source'!AC287&gt;=5,"A+",IF('Data Source'!AC287&gt;=4,"A",IF('Data Source'!AC287&gt;=3.5,"A-",IF('Data Source'!AC287&gt;=3,"B",IF('Data Source'!AC287&gt;=2,"C",IF('Data Source'!AC287&gt;=1,"D","F")))))),"")</f>
        <v/>
      </c>
      <c r="L287" s="3">
        <f>IF(AND('Data Source'!B287&lt;&gt;"",'Data Source'!S287="F"),IF('Data Source'!AD287&gt;=5,"A+",IF('Data Source'!AD287&gt;=4,"A",IF('Data Source'!AD287&gt;=3.5,"A-",IF('Data Source'!AD287&gt;=3,"B",IF('Data Source'!AD287&gt;=2,"C",IF('Data Source'!AD287&gt;=1,"D","F")))))),"")</f>
        <v/>
      </c>
      <c r="M287" s="3">
        <f>IF(AND('Data Source'!B287&lt;&gt;"",'Data Source'!S287="F"),IF('Data Source'!AE287&gt;=5,"A+",IF('Data Source'!AE287&gt;=4,"A",IF('Data Source'!AE287&gt;=3.5,"A-",IF('Data Source'!AE287&gt;=3,"B",IF('Data Source'!AE287&gt;=2,"C",IF('Data Source'!AE287&gt;=1,"D","F")))))),"")</f>
        <v/>
      </c>
      <c r="N287" s="3">
        <f>IF(AND('Data Source'!B287&lt;&gt;"",'Data Source'!S287="F"),IF('Data Source'!AF287&gt;=5,"A+",IF('Data Source'!AF287&gt;=4,"A",IF('Data Source'!AF287&gt;=3.5,"A-",IF('Data Source'!AF287&gt;=3,"B",IF('Data Source'!AF287&gt;=2,"C",IF('Data Source'!AF287&gt;=1,"D","F")))))),"")</f>
        <v/>
      </c>
      <c r="O287" s="3">
        <f>IF(AND('Data Source'!B287&lt;&gt;"",'Data Source'!S287="F"),IF('Data Source'!AG287&gt;=5,"A+",IF('Data Source'!AG287&gt;=4,"A",IF('Data Source'!AG287&gt;=3.5,"A-",IF('Data Source'!AG287&gt;=3,"B",IF('Data Source'!AG287&gt;=2,"C",IF('Data Source'!AG287&gt;=1,"D","F")))))),"")</f>
        <v/>
      </c>
      <c r="P287" s="5">
        <f>IF(AND('Data Source'!B287&lt;&gt;"",'Data Source'!S287="F"),'Data Source'!R287,"")</f>
        <v/>
      </c>
      <c r="Q287" s="3">
        <f>IF(AND('Data Source'!B287&lt;&gt;"",'Data Source'!S287="F"),'Data Source'!S287,"")</f>
        <v/>
      </c>
    </row>
    <row r="288">
      <c r="A288" s="3">
        <f>IF(AND('Data Source'!B288&lt;&gt;"",'Data Source'!S288="F"),COUNTIF('Data Source'!$S$3:S288,"F"),"")</f>
        <v/>
      </c>
      <c r="B288">
        <f>IF(AND('Data Source'!B288&lt;&gt;"",'Data Source'!S288="F"),'Data Source'!B288,"")</f>
        <v/>
      </c>
      <c r="C288" s="3">
        <f>IF(AND('Data Source'!B288&lt;&gt;"",'Data Source'!S288="F"),IF('Data Source'!U288&gt;=5,"A+",IF('Data Source'!U288&gt;=4,"A",IF('Data Source'!U288&gt;=3.5,"A-",IF('Data Source'!U288&gt;=3,"B",IF('Data Source'!U288&gt;=2,"C",IF('Data Source'!U288&gt;=1,"D","F")))))),"")</f>
        <v/>
      </c>
      <c r="D288" s="3">
        <f>IF(AND('Data Source'!B288&lt;&gt;"",'Data Source'!S288="F"),IF('Data Source'!V288&gt;=5,"A+",IF('Data Source'!V288&gt;=4,"A",IF('Data Source'!V288&gt;=3.5,"A-",IF('Data Source'!V288&gt;=3,"B",IF('Data Source'!V288&gt;=2,"C",IF('Data Source'!V288&gt;=1,"D","F")))))),"")</f>
        <v/>
      </c>
      <c r="E288" s="3">
        <f>IF(AND('Data Source'!B288&lt;&gt;"",'Data Source'!S288="F"),IF('Data Source'!W288&gt;=5,"A+",IF('Data Source'!W288&gt;=4,"A",IF('Data Source'!W288&gt;=3.5,"A-",IF('Data Source'!W288&gt;=3,"B",IF('Data Source'!W288&gt;=2,"C",IF('Data Source'!W288&gt;=1,"D","F")))))),"")</f>
        <v/>
      </c>
      <c r="F288" s="3">
        <f>IF(AND('Data Source'!B288&lt;&gt;"",'Data Source'!S288="F"),IF('Data Source'!X288&gt;=5,"A+",IF('Data Source'!X288&gt;=4,"A",IF('Data Source'!X288&gt;=3.5,"A-",IF('Data Source'!X288&gt;=3,"B",IF('Data Source'!X288&gt;=2,"C",IF('Data Source'!X288&gt;=1,"D","F")))))),"")</f>
        <v/>
      </c>
      <c r="G288" s="3">
        <f>IF(AND('Data Source'!B288&lt;&gt;"",'Data Source'!S288="F"),IF('Data Source'!Y288&gt;=5,"A+",IF('Data Source'!Y288&gt;=4,"A",IF('Data Source'!Y288&gt;=3.5,"A-",IF('Data Source'!Y288&gt;=3,"B",IF('Data Source'!Y288&gt;=2,"C",IF('Data Source'!Y288&gt;=1,"D","F")))))),"")</f>
        <v/>
      </c>
      <c r="H288" s="3">
        <f>IF(AND('Data Source'!B288&lt;&gt;"",'Data Source'!S288="F"),IF('Data Source'!Z288&gt;=5,"A+",IF('Data Source'!Z288&gt;=4,"A",IF('Data Source'!Z288&gt;=3.5,"A-",IF('Data Source'!Z288&gt;=3,"B",IF('Data Source'!Z288&gt;=2,"C",IF('Data Source'!Z288&gt;=1,"D","F")))))),"")</f>
        <v/>
      </c>
      <c r="I288" s="3">
        <f>IF(AND('Data Source'!B288&lt;&gt;"",'Data Source'!S288="F"),IF('Data Source'!AA288&gt;=5,"A+",IF('Data Source'!AA288&gt;=4,"A",IF('Data Source'!AA288&gt;=3.5,"A-",IF('Data Source'!AA288&gt;=3,"B",IF('Data Source'!AA288&gt;=2,"C",IF('Data Source'!AA288&gt;=1,"D","F")))))),"")</f>
        <v/>
      </c>
      <c r="J288" s="3">
        <f>IF(AND('Data Source'!B288&lt;&gt;"",'Data Source'!S288="F"),IF('Data Source'!AB288&gt;=5,"A+",IF('Data Source'!AB288&gt;=4,"A",IF('Data Source'!AB288&gt;=3.5,"A-",IF('Data Source'!AB288&gt;=3,"B",IF('Data Source'!AB288&gt;=2,"C",IF('Data Source'!AB288&gt;=1,"D","F")))))),"")</f>
        <v/>
      </c>
      <c r="K288" s="3">
        <f>IF(AND('Data Source'!B288&lt;&gt;"",'Data Source'!S288="F"),IF('Data Source'!AC288&gt;=5,"A+",IF('Data Source'!AC288&gt;=4,"A",IF('Data Source'!AC288&gt;=3.5,"A-",IF('Data Source'!AC288&gt;=3,"B",IF('Data Source'!AC288&gt;=2,"C",IF('Data Source'!AC288&gt;=1,"D","F")))))),"")</f>
        <v/>
      </c>
      <c r="L288" s="3">
        <f>IF(AND('Data Source'!B288&lt;&gt;"",'Data Source'!S288="F"),IF('Data Source'!AD288&gt;=5,"A+",IF('Data Source'!AD288&gt;=4,"A",IF('Data Source'!AD288&gt;=3.5,"A-",IF('Data Source'!AD288&gt;=3,"B",IF('Data Source'!AD288&gt;=2,"C",IF('Data Source'!AD288&gt;=1,"D","F")))))),"")</f>
        <v/>
      </c>
      <c r="M288" s="3">
        <f>IF(AND('Data Source'!B288&lt;&gt;"",'Data Source'!S288="F"),IF('Data Source'!AE288&gt;=5,"A+",IF('Data Source'!AE288&gt;=4,"A",IF('Data Source'!AE288&gt;=3.5,"A-",IF('Data Source'!AE288&gt;=3,"B",IF('Data Source'!AE288&gt;=2,"C",IF('Data Source'!AE288&gt;=1,"D","F")))))),"")</f>
        <v/>
      </c>
      <c r="N288" s="3">
        <f>IF(AND('Data Source'!B288&lt;&gt;"",'Data Source'!S288="F"),IF('Data Source'!AF288&gt;=5,"A+",IF('Data Source'!AF288&gt;=4,"A",IF('Data Source'!AF288&gt;=3.5,"A-",IF('Data Source'!AF288&gt;=3,"B",IF('Data Source'!AF288&gt;=2,"C",IF('Data Source'!AF288&gt;=1,"D","F")))))),"")</f>
        <v/>
      </c>
      <c r="O288" s="3">
        <f>IF(AND('Data Source'!B288&lt;&gt;"",'Data Source'!S288="F"),IF('Data Source'!AG288&gt;=5,"A+",IF('Data Source'!AG288&gt;=4,"A",IF('Data Source'!AG288&gt;=3.5,"A-",IF('Data Source'!AG288&gt;=3,"B",IF('Data Source'!AG288&gt;=2,"C",IF('Data Source'!AG288&gt;=1,"D","F")))))),"")</f>
        <v/>
      </c>
      <c r="P288" s="5">
        <f>IF(AND('Data Source'!B288&lt;&gt;"",'Data Source'!S288="F"),'Data Source'!R288,"")</f>
        <v/>
      </c>
      <c r="Q288" s="3">
        <f>IF(AND('Data Source'!B288&lt;&gt;"",'Data Source'!S288="F"),'Data Source'!S288,"")</f>
        <v/>
      </c>
    </row>
    <row r="289">
      <c r="A289" s="3">
        <f>IF(AND('Data Source'!B289&lt;&gt;"",'Data Source'!S289="F"),COUNTIF('Data Source'!$S$3:S289,"F"),"")</f>
        <v/>
      </c>
      <c r="B289">
        <f>IF(AND('Data Source'!B289&lt;&gt;"",'Data Source'!S289="F"),'Data Source'!B289,"")</f>
        <v/>
      </c>
      <c r="C289" s="3">
        <f>IF(AND('Data Source'!B289&lt;&gt;"",'Data Source'!S289="F"),IF('Data Source'!U289&gt;=5,"A+",IF('Data Source'!U289&gt;=4,"A",IF('Data Source'!U289&gt;=3.5,"A-",IF('Data Source'!U289&gt;=3,"B",IF('Data Source'!U289&gt;=2,"C",IF('Data Source'!U289&gt;=1,"D","F")))))),"")</f>
        <v/>
      </c>
      <c r="D289" s="3">
        <f>IF(AND('Data Source'!B289&lt;&gt;"",'Data Source'!S289="F"),IF('Data Source'!V289&gt;=5,"A+",IF('Data Source'!V289&gt;=4,"A",IF('Data Source'!V289&gt;=3.5,"A-",IF('Data Source'!V289&gt;=3,"B",IF('Data Source'!V289&gt;=2,"C",IF('Data Source'!V289&gt;=1,"D","F")))))),"")</f>
        <v/>
      </c>
      <c r="E289" s="3">
        <f>IF(AND('Data Source'!B289&lt;&gt;"",'Data Source'!S289="F"),IF('Data Source'!W289&gt;=5,"A+",IF('Data Source'!W289&gt;=4,"A",IF('Data Source'!W289&gt;=3.5,"A-",IF('Data Source'!W289&gt;=3,"B",IF('Data Source'!W289&gt;=2,"C",IF('Data Source'!W289&gt;=1,"D","F")))))),"")</f>
        <v/>
      </c>
      <c r="F289" s="3">
        <f>IF(AND('Data Source'!B289&lt;&gt;"",'Data Source'!S289="F"),IF('Data Source'!X289&gt;=5,"A+",IF('Data Source'!X289&gt;=4,"A",IF('Data Source'!X289&gt;=3.5,"A-",IF('Data Source'!X289&gt;=3,"B",IF('Data Source'!X289&gt;=2,"C",IF('Data Source'!X289&gt;=1,"D","F")))))),"")</f>
        <v/>
      </c>
      <c r="G289" s="3">
        <f>IF(AND('Data Source'!B289&lt;&gt;"",'Data Source'!S289="F"),IF('Data Source'!Y289&gt;=5,"A+",IF('Data Source'!Y289&gt;=4,"A",IF('Data Source'!Y289&gt;=3.5,"A-",IF('Data Source'!Y289&gt;=3,"B",IF('Data Source'!Y289&gt;=2,"C",IF('Data Source'!Y289&gt;=1,"D","F")))))),"")</f>
        <v/>
      </c>
      <c r="H289" s="3">
        <f>IF(AND('Data Source'!B289&lt;&gt;"",'Data Source'!S289="F"),IF('Data Source'!Z289&gt;=5,"A+",IF('Data Source'!Z289&gt;=4,"A",IF('Data Source'!Z289&gt;=3.5,"A-",IF('Data Source'!Z289&gt;=3,"B",IF('Data Source'!Z289&gt;=2,"C",IF('Data Source'!Z289&gt;=1,"D","F")))))),"")</f>
        <v/>
      </c>
      <c r="I289" s="3">
        <f>IF(AND('Data Source'!B289&lt;&gt;"",'Data Source'!S289="F"),IF('Data Source'!AA289&gt;=5,"A+",IF('Data Source'!AA289&gt;=4,"A",IF('Data Source'!AA289&gt;=3.5,"A-",IF('Data Source'!AA289&gt;=3,"B",IF('Data Source'!AA289&gt;=2,"C",IF('Data Source'!AA289&gt;=1,"D","F")))))),"")</f>
        <v/>
      </c>
      <c r="J289" s="3">
        <f>IF(AND('Data Source'!B289&lt;&gt;"",'Data Source'!S289="F"),IF('Data Source'!AB289&gt;=5,"A+",IF('Data Source'!AB289&gt;=4,"A",IF('Data Source'!AB289&gt;=3.5,"A-",IF('Data Source'!AB289&gt;=3,"B",IF('Data Source'!AB289&gt;=2,"C",IF('Data Source'!AB289&gt;=1,"D","F")))))),"")</f>
        <v/>
      </c>
      <c r="K289" s="3">
        <f>IF(AND('Data Source'!B289&lt;&gt;"",'Data Source'!S289="F"),IF('Data Source'!AC289&gt;=5,"A+",IF('Data Source'!AC289&gt;=4,"A",IF('Data Source'!AC289&gt;=3.5,"A-",IF('Data Source'!AC289&gt;=3,"B",IF('Data Source'!AC289&gt;=2,"C",IF('Data Source'!AC289&gt;=1,"D","F")))))),"")</f>
        <v/>
      </c>
      <c r="L289" s="3">
        <f>IF(AND('Data Source'!B289&lt;&gt;"",'Data Source'!S289="F"),IF('Data Source'!AD289&gt;=5,"A+",IF('Data Source'!AD289&gt;=4,"A",IF('Data Source'!AD289&gt;=3.5,"A-",IF('Data Source'!AD289&gt;=3,"B",IF('Data Source'!AD289&gt;=2,"C",IF('Data Source'!AD289&gt;=1,"D","F")))))),"")</f>
        <v/>
      </c>
      <c r="M289" s="3">
        <f>IF(AND('Data Source'!B289&lt;&gt;"",'Data Source'!S289="F"),IF('Data Source'!AE289&gt;=5,"A+",IF('Data Source'!AE289&gt;=4,"A",IF('Data Source'!AE289&gt;=3.5,"A-",IF('Data Source'!AE289&gt;=3,"B",IF('Data Source'!AE289&gt;=2,"C",IF('Data Source'!AE289&gt;=1,"D","F")))))),"")</f>
        <v/>
      </c>
      <c r="N289" s="3">
        <f>IF(AND('Data Source'!B289&lt;&gt;"",'Data Source'!S289="F"),IF('Data Source'!AF289&gt;=5,"A+",IF('Data Source'!AF289&gt;=4,"A",IF('Data Source'!AF289&gt;=3.5,"A-",IF('Data Source'!AF289&gt;=3,"B",IF('Data Source'!AF289&gt;=2,"C",IF('Data Source'!AF289&gt;=1,"D","F")))))),"")</f>
        <v/>
      </c>
      <c r="O289" s="3">
        <f>IF(AND('Data Source'!B289&lt;&gt;"",'Data Source'!S289="F"),IF('Data Source'!AG289&gt;=5,"A+",IF('Data Source'!AG289&gt;=4,"A",IF('Data Source'!AG289&gt;=3.5,"A-",IF('Data Source'!AG289&gt;=3,"B",IF('Data Source'!AG289&gt;=2,"C",IF('Data Source'!AG289&gt;=1,"D","F")))))),"")</f>
        <v/>
      </c>
      <c r="P289" s="5">
        <f>IF(AND('Data Source'!B289&lt;&gt;"",'Data Source'!S289="F"),'Data Source'!R289,"")</f>
        <v/>
      </c>
      <c r="Q289" s="3">
        <f>IF(AND('Data Source'!B289&lt;&gt;"",'Data Source'!S289="F"),'Data Source'!S289,"")</f>
        <v/>
      </c>
    </row>
    <row r="290">
      <c r="A290" s="3">
        <f>IF(AND('Data Source'!B290&lt;&gt;"",'Data Source'!S290="F"),COUNTIF('Data Source'!$S$3:S290,"F"),"")</f>
        <v/>
      </c>
      <c r="B290">
        <f>IF(AND('Data Source'!B290&lt;&gt;"",'Data Source'!S290="F"),'Data Source'!B290,"")</f>
        <v/>
      </c>
      <c r="C290" s="3">
        <f>IF(AND('Data Source'!B290&lt;&gt;"",'Data Source'!S290="F"),IF('Data Source'!U290&gt;=5,"A+",IF('Data Source'!U290&gt;=4,"A",IF('Data Source'!U290&gt;=3.5,"A-",IF('Data Source'!U290&gt;=3,"B",IF('Data Source'!U290&gt;=2,"C",IF('Data Source'!U290&gt;=1,"D","F")))))),"")</f>
        <v/>
      </c>
      <c r="D290" s="3">
        <f>IF(AND('Data Source'!B290&lt;&gt;"",'Data Source'!S290="F"),IF('Data Source'!V290&gt;=5,"A+",IF('Data Source'!V290&gt;=4,"A",IF('Data Source'!V290&gt;=3.5,"A-",IF('Data Source'!V290&gt;=3,"B",IF('Data Source'!V290&gt;=2,"C",IF('Data Source'!V290&gt;=1,"D","F")))))),"")</f>
        <v/>
      </c>
      <c r="E290" s="3">
        <f>IF(AND('Data Source'!B290&lt;&gt;"",'Data Source'!S290="F"),IF('Data Source'!W290&gt;=5,"A+",IF('Data Source'!W290&gt;=4,"A",IF('Data Source'!W290&gt;=3.5,"A-",IF('Data Source'!W290&gt;=3,"B",IF('Data Source'!W290&gt;=2,"C",IF('Data Source'!W290&gt;=1,"D","F")))))),"")</f>
        <v/>
      </c>
      <c r="F290" s="3">
        <f>IF(AND('Data Source'!B290&lt;&gt;"",'Data Source'!S290="F"),IF('Data Source'!X290&gt;=5,"A+",IF('Data Source'!X290&gt;=4,"A",IF('Data Source'!X290&gt;=3.5,"A-",IF('Data Source'!X290&gt;=3,"B",IF('Data Source'!X290&gt;=2,"C",IF('Data Source'!X290&gt;=1,"D","F")))))),"")</f>
        <v/>
      </c>
      <c r="G290" s="3">
        <f>IF(AND('Data Source'!B290&lt;&gt;"",'Data Source'!S290="F"),IF('Data Source'!Y290&gt;=5,"A+",IF('Data Source'!Y290&gt;=4,"A",IF('Data Source'!Y290&gt;=3.5,"A-",IF('Data Source'!Y290&gt;=3,"B",IF('Data Source'!Y290&gt;=2,"C",IF('Data Source'!Y290&gt;=1,"D","F")))))),"")</f>
        <v/>
      </c>
      <c r="H290" s="3">
        <f>IF(AND('Data Source'!B290&lt;&gt;"",'Data Source'!S290="F"),IF('Data Source'!Z290&gt;=5,"A+",IF('Data Source'!Z290&gt;=4,"A",IF('Data Source'!Z290&gt;=3.5,"A-",IF('Data Source'!Z290&gt;=3,"B",IF('Data Source'!Z290&gt;=2,"C",IF('Data Source'!Z290&gt;=1,"D","F")))))),"")</f>
        <v/>
      </c>
      <c r="I290" s="3">
        <f>IF(AND('Data Source'!B290&lt;&gt;"",'Data Source'!S290="F"),IF('Data Source'!AA290&gt;=5,"A+",IF('Data Source'!AA290&gt;=4,"A",IF('Data Source'!AA290&gt;=3.5,"A-",IF('Data Source'!AA290&gt;=3,"B",IF('Data Source'!AA290&gt;=2,"C",IF('Data Source'!AA290&gt;=1,"D","F")))))),"")</f>
        <v/>
      </c>
      <c r="J290" s="3">
        <f>IF(AND('Data Source'!B290&lt;&gt;"",'Data Source'!S290="F"),IF('Data Source'!AB290&gt;=5,"A+",IF('Data Source'!AB290&gt;=4,"A",IF('Data Source'!AB290&gt;=3.5,"A-",IF('Data Source'!AB290&gt;=3,"B",IF('Data Source'!AB290&gt;=2,"C",IF('Data Source'!AB290&gt;=1,"D","F")))))),"")</f>
        <v/>
      </c>
      <c r="K290" s="3">
        <f>IF(AND('Data Source'!B290&lt;&gt;"",'Data Source'!S290="F"),IF('Data Source'!AC290&gt;=5,"A+",IF('Data Source'!AC290&gt;=4,"A",IF('Data Source'!AC290&gt;=3.5,"A-",IF('Data Source'!AC290&gt;=3,"B",IF('Data Source'!AC290&gt;=2,"C",IF('Data Source'!AC290&gt;=1,"D","F")))))),"")</f>
        <v/>
      </c>
      <c r="L290" s="3">
        <f>IF(AND('Data Source'!B290&lt;&gt;"",'Data Source'!S290="F"),IF('Data Source'!AD290&gt;=5,"A+",IF('Data Source'!AD290&gt;=4,"A",IF('Data Source'!AD290&gt;=3.5,"A-",IF('Data Source'!AD290&gt;=3,"B",IF('Data Source'!AD290&gt;=2,"C",IF('Data Source'!AD290&gt;=1,"D","F")))))),"")</f>
        <v/>
      </c>
      <c r="M290" s="3">
        <f>IF(AND('Data Source'!B290&lt;&gt;"",'Data Source'!S290="F"),IF('Data Source'!AE290&gt;=5,"A+",IF('Data Source'!AE290&gt;=4,"A",IF('Data Source'!AE290&gt;=3.5,"A-",IF('Data Source'!AE290&gt;=3,"B",IF('Data Source'!AE290&gt;=2,"C",IF('Data Source'!AE290&gt;=1,"D","F")))))),"")</f>
        <v/>
      </c>
      <c r="N290" s="3">
        <f>IF(AND('Data Source'!B290&lt;&gt;"",'Data Source'!S290="F"),IF('Data Source'!AF290&gt;=5,"A+",IF('Data Source'!AF290&gt;=4,"A",IF('Data Source'!AF290&gt;=3.5,"A-",IF('Data Source'!AF290&gt;=3,"B",IF('Data Source'!AF290&gt;=2,"C",IF('Data Source'!AF290&gt;=1,"D","F")))))),"")</f>
        <v/>
      </c>
      <c r="O290" s="3">
        <f>IF(AND('Data Source'!B290&lt;&gt;"",'Data Source'!S290="F"),IF('Data Source'!AG290&gt;=5,"A+",IF('Data Source'!AG290&gt;=4,"A",IF('Data Source'!AG290&gt;=3.5,"A-",IF('Data Source'!AG290&gt;=3,"B",IF('Data Source'!AG290&gt;=2,"C",IF('Data Source'!AG290&gt;=1,"D","F")))))),"")</f>
        <v/>
      </c>
      <c r="P290" s="5">
        <f>IF(AND('Data Source'!B290&lt;&gt;"",'Data Source'!S290="F"),'Data Source'!R290,"")</f>
        <v/>
      </c>
      <c r="Q290" s="3">
        <f>IF(AND('Data Source'!B290&lt;&gt;"",'Data Source'!S290="F"),'Data Source'!S290,"")</f>
        <v/>
      </c>
    </row>
    <row r="291">
      <c r="A291" s="3">
        <f>IF(AND('Data Source'!B291&lt;&gt;"",'Data Source'!S291="F"),COUNTIF('Data Source'!$S$3:S291,"F"),"")</f>
        <v/>
      </c>
      <c r="B291">
        <f>IF(AND('Data Source'!B291&lt;&gt;"",'Data Source'!S291="F"),'Data Source'!B291,"")</f>
        <v/>
      </c>
      <c r="C291" s="3">
        <f>IF(AND('Data Source'!B291&lt;&gt;"",'Data Source'!S291="F"),IF('Data Source'!U291&gt;=5,"A+",IF('Data Source'!U291&gt;=4,"A",IF('Data Source'!U291&gt;=3.5,"A-",IF('Data Source'!U291&gt;=3,"B",IF('Data Source'!U291&gt;=2,"C",IF('Data Source'!U291&gt;=1,"D","F")))))),"")</f>
        <v/>
      </c>
      <c r="D291" s="3">
        <f>IF(AND('Data Source'!B291&lt;&gt;"",'Data Source'!S291="F"),IF('Data Source'!V291&gt;=5,"A+",IF('Data Source'!V291&gt;=4,"A",IF('Data Source'!V291&gt;=3.5,"A-",IF('Data Source'!V291&gt;=3,"B",IF('Data Source'!V291&gt;=2,"C",IF('Data Source'!V291&gt;=1,"D","F")))))),"")</f>
        <v/>
      </c>
      <c r="E291" s="3">
        <f>IF(AND('Data Source'!B291&lt;&gt;"",'Data Source'!S291="F"),IF('Data Source'!W291&gt;=5,"A+",IF('Data Source'!W291&gt;=4,"A",IF('Data Source'!W291&gt;=3.5,"A-",IF('Data Source'!W291&gt;=3,"B",IF('Data Source'!W291&gt;=2,"C",IF('Data Source'!W291&gt;=1,"D","F")))))),"")</f>
        <v/>
      </c>
      <c r="F291" s="3">
        <f>IF(AND('Data Source'!B291&lt;&gt;"",'Data Source'!S291="F"),IF('Data Source'!X291&gt;=5,"A+",IF('Data Source'!X291&gt;=4,"A",IF('Data Source'!X291&gt;=3.5,"A-",IF('Data Source'!X291&gt;=3,"B",IF('Data Source'!X291&gt;=2,"C",IF('Data Source'!X291&gt;=1,"D","F")))))),"")</f>
        <v/>
      </c>
      <c r="G291" s="3">
        <f>IF(AND('Data Source'!B291&lt;&gt;"",'Data Source'!S291="F"),IF('Data Source'!Y291&gt;=5,"A+",IF('Data Source'!Y291&gt;=4,"A",IF('Data Source'!Y291&gt;=3.5,"A-",IF('Data Source'!Y291&gt;=3,"B",IF('Data Source'!Y291&gt;=2,"C",IF('Data Source'!Y291&gt;=1,"D","F")))))),"")</f>
        <v/>
      </c>
      <c r="H291" s="3">
        <f>IF(AND('Data Source'!B291&lt;&gt;"",'Data Source'!S291="F"),IF('Data Source'!Z291&gt;=5,"A+",IF('Data Source'!Z291&gt;=4,"A",IF('Data Source'!Z291&gt;=3.5,"A-",IF('Data Source'!Z291&gt;=3,"B",IF('Data Source'!Z291&gt;=2,"C",IF('Data Source'!Z291&gt;=1,"D","F")))))),"")</f>
        <v/>
      </c>
      <c r="I291" s="3">
        <f>IF(AND('Data Source'!B291&lt;&gt;"",'Data Source'!S291="F"),IF('Data Source'!AA291&gt;=5,"A+",IF('Data Source'!AA291&gt;=4,"A",IF('Data Source'!AA291&gt;=3.5,"A-",IF('Data Source'!AA291&gt;=3,"B",IF('Data Source'!AA291&gt;=2,"C",IF('Data Source'!AA291&gt;=1,"D","F")))))),"")</f>
        <v/>
      </c>
      <c r="J291" s="3">
        <f>IF(AND('Data Source'!B291&lt;&gt;"",'Data Source'!S291="F"),IF('Data Source'!AB291&gt;=5,"A+",IF('Data Source'!AB291&gt;=4,"A",IF('Data Source'!AB291&gt;=3.5,"A-",IF('Data Source'!AB291&gt;=3,"B",IF('Data Source'!AB291&gt;=2,"C",IF('Data Source'!AB291&gt;=1,"D","F")))))),"")</f>
        <v/>
      </c>
      <c r="K291" s="3">
        <f>IF(AND('Data Source'!B291&lt;&gt;"",'Data Source'!S291="F"),IF('Data Source'!AC291&gt;=5,"A+",IF('Data Source'!AC291&gt;=4,"A",IF('Data Source'!AC291&gt;=3.5,"A-",IF('Data Source'!AC291&gt;=3,"B",IF('Data Source'!AC291&gt;=2,"C",IF('Data Source'!AC291&gt;=1,"D","F")))))),"")</f>
        <v/>
      </c>
      <c r="L291" s="3">
        <f>IF(AND('Data Source'!B291&lt;&gt;"",'Data Source'!S291="F"),IF('Data Source'!AD291&gt;=5,"A+",IF('Data Source'!AD291&gt;=4,"A",IF('Data Source'!AD291&gt;=3.5,"A-",IF('Data Source'!AD291&gt;=3,"B",IF('Data Source'!AD291&gt;=2,"C",IF('Data Source'!AD291&gt;=1,"D","F")))))),"")</f>
        <v/>
      </c>
      <c r="M291" s="3">
        <f>IF(AND('Data Source'!B291&lt;&gt;"",'Data Source'!S291="F"),IF('Data Source'!AE291&gt;=5,"A+",IF('Data Source'!AE291&gt;=4,"A",IF('Data Source'!AE291&gt;=3.5,"A-",IF('Data Source'!AE291&gt;=3,"B",IF('Data Source'!AE291&gt;=2,"C",IF('Data Source'!AE291&gt;=1,"D","F")))))),"")</f>
        <v/>
      </c>
      <c r="N291" s="3">
        <f>IF(AND('Data Source'!B291&lt;&gt;"",'Data Source'!S291="F"),IF('Data Source'!AF291&gt;=5,"A+",IF('Data Source'!AF291&gt;=4,"A",IF('Data Source'!AF291&gt;=3.5,"A-",IF('Data Source'!AF291&gt;=3,"B",IF('Data Source'!AF291&gt;=2,"C",IF('Data Source'!AF291&gt;=1,"D","F")))))),"")</f>
        <v/>
      </c>
      <c r="O291" s="3">
        <f>IF(AND('Data Source'!B291&lt;&gt;"",'Data Source'!S291="F"),IF('Data Source'!AG291&gt;=5,"A+",IF('Data Source'!AG291&gt;=4,"A",IF('Data Source'!AG291&gt;=3.5,"A-",IF('Data Source'!AG291&gt;=3,"B",IF('Data Source'!AG291&gt;=2,"C",IF('Data Source'!AG291&gt;=1,"D","F")))))),"")</f>
        <v/>
      </c>
      <c r="P291" s="5">
        <f>IF(AND('Data Source'!B291&lt;&gt;"",'Data Source'!S291="F"),'Data Source'!R291,"")</f>
        <v/>
      </c>
      <c r="Q291" s="3">
        <f>IF(AND('Data Source'!B291&lt;&gt;"",'Data Source'!S291="F"),'Data Source'!S291,"")</f>
        <v/>
      </c>
    </row>
    <row r="292">
      <c r="A292" s="3">
        <f>IF(AND('Data Source'!B292&lt;&gt;"",'Data Source'!S292="F"),COUNTIF('Data Source'!$S$3:S292,"F"),"")</f>
        <v/>
      </c>
      <c r="B292">
        <f>IF(AND('Data Source'!B292&lt;&gt;"",'Data Source'!S292="F"),'Data Source'!B292,"")</f>
        <v/>
      </c>
      <c r="C292" s="3">
        <f>IF(AND('Data Source'!B292&lt;&gt;"",'Data Source'!S292="F"),IF('Data Source'!U292&gt;=5,"A+",IF('Data Source'!U292&gt;=4,"A",IF('Data Source'!U292&gt;=3.5,"A-",IF('Data Source'!U292&gt;=3,"B",IF('Data Source'!U292&gt;=2,"C",IF('Data Source'!U292&gt;=1,"D","F")))))),"")</f>
        <v/>
      </c>
      <c r="D292" s="3">
        <f>IF(AND('Data Source'!B292&lt;&gt;"",'Data Source'!S292="F"),IF('Data Source'!V292&gt;=5,"A+",IF('Data Source'!V292&gt;=4,"A",IF('Data Source'!V292&gt;=3.5,"A-",IF('Data Source'!V292&gt;=3,"B",IF('Data Source'!V292&gt;=2,"C",IF('Data Source'!V292&gt;=1,"D","F")))))),"")</f>
        <v/>
      </c>
      <c r="E292" s="3">
        <f>IF(AND('Data Source'!B292&lt;&gt;"",'Data Source'!S292="F"),IF('Data Source'!W292&gt;=5,"A+",IF('Data Source'!W292&gt;=4,"A",IF('Data Source'!W292&gt;=3.5,"A-",IF('Data Source'!W292&gt;=3,"B",IF('Data Source'!W292&gt;=2,"C",IF('Data Source'!W292&gt;=1,"D","F")))))),"")</f>
        <v/>
      </c>
      <c r="F292" s="3">
        <f>IF(AND('Data Source'!B292&lt;&gt;"",'Data Source'!S292="F"),IF('Data Source'!X292&gt;=5,"A+",IF('Data Source'!X292&gt;=4,"A",IF('Data Source'!X292&gt;=3.5,"A-",IF('Data Source'!X292&gt;=3,"B",IF('Data Source'!X292&gt;=2,"C",IF('Data Source'!X292&gt;=1,"D","F")))))),"")</f>
        <v/>
      </c>
      <c r="G292" s="3">
        <f>IF(AND('Data Source'!B292&lt;&gt;"",'Data Source'!S292="F"),IF('Data Source'!Y292&gt;=5,"A+",IF('Data Source'!Y292&gt;=4,"A",IF('Data Source'!Y292&gt;=3.5,"A-",IF('Data Source'!Y292&gt;=3,"B",IF('Data Source'!Y292&gt;=2,"C",IF('Data Source'!Y292&gt;=1,"D","F")))))),"")</f>
        <v/>
      </c>
      <c r="H292" s="3">
        <f>IF(AND('Data Source'!B292&lt;&gt;"",'Data Source'!S292="F"),IF('Data Source'!Z292&gt;=5,"A+",IF('Data Source'!Z292&gt;=4,"A",IF('Data Source'!Z292&gt;=3.5,"A-",IF('Data Source'!Z292&gt;=3,"B",IF('Data Source'!Z292&gt;=2,"C",IF('Data Source'!Z292&gt;=1,"D","F")))))),"")</f>
        <v/>
      </c>
      <c r="I292" s="3">
        <f>IF(AND('Data Source'!B292&lt;&gt;"",'Data Source'!S292="F"),IF('Data Source'!AA292&gt;=5,"A+",IF('Data Source'!AA292&gt;=4,"A",IF('Data Source'!AA292&gt;=3.5,"A-",IF('Data Source'!AA292&gt;=3,"B",IF('Data Source'!AA292&gt;=2,"C",IF('Data Source'!AA292&gt;=1,"D","F")))))),"")</f>
        <v/>
      </c>
      <c r="J292" s="3">
        <f>IF(AND('Data Source'!B292&lt;&gt;"",'Data Source'!S292="F"),IF('Data Source'!AB292&gt;=5,"A+",IF('Data Source'!AB292&gt;=4,"A",IF('Data Source'!AB292&gt;=3.5,"A-",IF('Data Source'!AB292&gt;=3,"B",IF('Data Source'!AB292&gt;=2,"C",IF('Data Source'!AB292&gt;=1,"D","F")))))),"")</f>
        <v/>
      </c>
      <c r="K292" s="3">
        <f>IF(AND('Data Source'!B292&lt;&gt;"",'Data Source'!S292="F"),IF('Data Source'!AC292&gt;=5,"A+",IF('Data Source'!AC292&gt;=4,"A",IF('Data Source'!AC292&gt;=3.5,"A-",IF('Data Source'!AC292&gt;=3,"B",IF('Data Source'!AC292&gt;=2,"C",IF('Data Source'!AC292&gt;=1,"D","F")))))),"")</f>
        <v/>
      </c>
      <c r="L292" s="3">
        <f>IF(AND('Data Source'!B292&lt;&gt;"",'Data Source'!S292="F"),IF('Data Source'!AD292&gt;=5,"A+",IF('Data Source'!AD292&gt;=4,"A",IF('Data Source'!AD292&gt;=3.5,"A-",IF('Data Source'!AD292&gt;=3,"B",IF('Data Source'!AD292&gt;=2,"C",IF('Data Source'!AD292&gt;=1,"D","F")))))),"")</f>
        <v/>
      </c>
      <c r="M292" s="3">
        <f>IF(AND('Data Source'!B292&lt;&gt;"",'Data Source'!S292="F"),IF('Data Source'!AE292&gt;=5,"A+",IF('Data Source'!AE292&gt;=4,"A",IF('Data Source'!AE292&gt;=3.5,"A-",IF('Data Source'!AE292&gt;=3,"B",IF('Data Source'!AE292&gt;=2,"C",IF('Data Source'!AE292&gt;=1,"D","F")))))),"")</f>
        <v/>
      </c>
      <c r="N292" s="3">
        <f>IF(AND('Data Source'!B292&lt;&gt;"",'Data Source'!S292="F"),IF('Data Source'!AF292&gt;=5,"A+",IF('Data Source'!AF292&gt;=4,"A",IF('Data Source'!AF292&gt;=3.5,"A-",IF('Data Source'!AF292&gt;=3,"B",IF('Data Source'!AF292&gt;=2,"C",IF('Data Source'!AF292&gt;=1,"D","F")))))),"")</f>
        <v/>
      </c>
      <c r="O292" s="3">
        <f>IF(AND('Data Source'!B292&lt;&gt;"",'Data Source'!S292="F"),IF('Data Source'!AG292&gt;=5,"A+",IF('Data Source'!AG292&gt;=4,"A",IF('Data Source'!AG292&gt;=3.5,"A-",IF('Data Source'!AG292&gt;=3,"B",IF('Data Source'!AG292&gt;=2,"C",IF('Data Source'!AG292&gt;=1,"D","F")))))),"")</f>
        <v/>
      </c>
      <c r="P292" s="5">
        <f>IF(AND('Data Source'!B292&lt;&gt;"",'Data Source'!S292="F"),'Data Source'!R292,"")</f>
        <v/>
      </c>
      <c r="Q292" s="3">
        <f>IF(AND('Data Source'!B292&lt;&gt;"",'Data Source'!S292="F"),'Data Source'!S292,"")</f>
        <v/>
      </c>
    </row>
    <row r="293">
      <c r="A293" s="3">
        <f>IF(AND('Data Source'!B293&lt;&gt;"",'Data Source'!S293="F"),COUNTIF('Data Source'!$S$3:S293,"F"),"")</f>
        <v/>
      </c>
      <c r="B293">
        <f>IF(AND('Data Source'!B293&lt;&gt;"",'Data Source'!S293="F"),'Data Source'!B293,"")</f>
        <v/>
      </c>
      <c r="C293" s="3">
        <f>IF(AND('Data Source'!B293&lt;&gt;"",'Data Source'!S293="F"),IF('Data Source'!U293&gt;=5,"A+",IF('Data Source'!U293&gt;=4,"A",IF('Data Source'!U293&gt;=3.5,"A-",IF('Data Source'!U293&gt;=3,"B",IF('Data Source'!U293&gt;=2,"C",IF('Data Source'!U293&gt;=1,"D","F")))))),"")</f>
        <v/>
      </c>
      <c r="D293" s="3">
        <f>IF(AND('Data Source'!B293&lt;&gt;"",'Data Source'!S293="F"),IF('Data Source'!V293&gt;=5,"A+",IF('Data Source'!V293&gt;=4,"A",IF('Data Source'!V293&gt;=3.5,"A-",IF('Data Source'!V293&gt;=3,"B",IF('Data Source'!V293&gt;=2,"C",IF('Data Source'!V293&gt;=1,"D","F")))))),"")</f>
        <v/>
      </c>
      <c r="E293" s="3">
        <f>IF(AND('Data Source'!B293&lt;&gt;"",'Data Source'!S293="F"),IF('Data Source'!W293&gt;=5,"A+",IF('Data Source'!W293&gt;=4,"A",IF('Data Source'!W293&gt;=3.5,"A-",IF('Data Source'!W293&gt;=3,"B",IF('Data Source'!W293&gt;=2,"C",IF('Data Source'!W293&gt;=1,"D","F")))))),"")</f>
        <v/>
      </c>
      <c r="F293" s="3">
        <f>IF(AND('Data Source'!B293&lt;&gt;"",'Data Source'!S293="F"),IF('Data Source'!X293&gt;=5,"A+",IF('Data Source'!X293&gt;=4,"A",IF('Data Source'!X293&gt;=3.5,"A-",IF('Data Source'!X293&gt;=3,"B",IF('Data Source'!X293&gt;=2,"C",IF('Data Source'!X293&gt;=1,"D","F")))))),"")</f>
        <v/>
      </c>
      <c r="G293" s="3">
        <f>IF(AND('Data Source'!B293&lt;&gt;"",'Data Source'!S293="F"),IF('Data Source'!Y293&gt;=5,"A+",IF('Data Source'!Y293&gt;=4,"A",IF('Data Source'!Y293&gt;=3.5,"A-",IF('Data Source'!Y293&gt;=3,"B",IF('Data Source'!Y293&gt;=2,"C",IF('Data Source'!Y293&gt;=1,"D","F")))))),"")</f>
        <v/>
      </c>
      <c r="H293" s="3">
        <f>IF(AND('Data Source'!B293&lt;&gt;"",'Data Source'!S293="F"),IF('Data Source'!Z293&gt;=5,"A+",IF('Data Source'!Z293&gt;=4,"A",IF('Data Source'!Z293&gt;=3.5,"A-",IF('Data Source'!Z293&gt;=3,"B",IF('Data Source'!Z293&gt;=2,"C",IF('Data Source'!Z293&gt;=1,"D","F")))))),"")</f>
        <v/>
      </c>
      <c r="I293" s="3">
        <f>IF(AND('Data Source'!B293&lt;&gt;"",'Data Source'!S293="F"),IF('Data Source'!AA293&gt;=5,"A+",IF('Data Source'!AA293&gt;=4,"A",IF('Data Source'!AA293&gt;=3.5,"A-",IF('Data Source'!AA293&gt;=3,"B",IF('Data Source'!AA293&gt;=2,"C",IF('Data Source'!AA293&gt;=1,"D","F")))))),"")</f>
        <v/>
      </c>
      <c r="J293" s="3">
        <f>IF(AND('Data Source'!B293&lt;&gt;"",'Data Source'!S293="F"),IF('Data Source'!AB293&gt;=5,"A+",IF('Data Source'!AB293&gt;=4,"A",IF('Data Source'!AB293&gt;=3.5,"A-",IF('Data Source'!AB293&gt;=3,"B",IF('Data Source'!AB293&gt;=2,"C",IF('Data Source'!AB293&gt;=1,"D","F")))))),"")</f>
        <v/>
      </c>
      <c r="K293" s="3">
        <f>IF(AND('Data Source'!B293&lt;&gt;"",'Data Source'!S293="F"),IF('Data Source'!AC293&gt;=5,"A+",IF('Data Source'!AC293&gt;=4,"A",IF('Data Source'!AC293&gt;=3.5,"A-",IF('Data Source'!AC293&gt;=3,"B",IF('Data Source'!AC293&gt;=2,"C",IF('Data Source'!AC293&gt;=1,"D","F")))))),"")</f>
        <v/>
      </c>
      <c r="L293" s="3">
        <f>IF(AND('Data Source'!B293&lt;&gt;"",'Data Source'!S293="F"),IF('Data Source'!AD293&gt;=5,"A+",IF('Data Source'!AD293&gt;=4,"A",IF('Data Source'!AD293&gt;=3.5,"A-",IF('Data Source'!AD293&gt;=3,"B",IF('Data Source'!AD293&gt;=2,"C",IF('Data Source'!AD293&gt;=1,"D","F")))))),"")</f>
        <v/>
      </c>
      <c r="M293" s="3">
        <f>IF(AND('Data Source'!B293&lt;&gt;"",'Data Source'!S293="F"),IF('Data Source'!AE293&gt;=5,"A+",IF('Data Source'!AE293&gt;=4,"A",IF('Data Source'!AE293&gt;=3.5,"A-",IF('Data Source'!AE293&gt;=3,"B",IF('Data Source'!AE293&gt;=2,"C",IF('Data Source'!AE293&gt;=1,"D","F")))))),"")</f>
        <v/>
      </c>
      <c r="N293" s="3">
        <f>IF(AND('Data Source'!B293&lt;&gt;"",'Data Source'!S293="F"),IF('Data Source'!AF293&gt;=5,"A+",IF('Data Source'!AF293&gt;=4,"A",IF('Data Source'!AF293&gt;=3.5,"A-",IF('Data Source'!AF293&gt;=3,"B",IF('Data Source'!AF293&gt;=2,"C",IF('Data Source'!AF293&gt;=1,"D","F")))))),"")</f>
        <v/>
      </c>
      <c r="O293" s="3">
        <f>IF(AND('Data Source'!B293&lt;&gt;"",'Data Source'!S293="F"),IF('Data Source'!AG293&gt;=5,"A+",IF('Data Source'!AG293&gt;=4,"A",IF('Data Source'!AG293&gt;=3.5,"A-",IF('Data Source'!AG293&gt;=3,"B",IF('Data Source'!AG293&gt;=2,"C",IF('Data Source'!AG293&gt;=1,"D","F")))))),"")</f>
        <v/>
      </c>
      <c r="P293" s="5">
        <f>IF(AND('Data Source'!B293&lt;&gt;"",'Data Source'!S293="F"),'Data Source'!R293,"")</f>
        <v/>
      </c>
      <c r="Q293" s="3">
        <f>IF(AND('Data Source'!B293&lt;&gt;"",'Data Source'!S293="F"),'Data Source'!S293,"")</f>
        <v/>
      </c>
    </row>
    <row r="294">
      <c r="A294" s="3">
        <f>IF(AND('Data Source'!B294&lt;&gt;"",'Data Source'!S294="F"),COUNTIF('Data Source'!$S$3:S294,"F"),"")</f>
        <v/>
      </c>
      <c r="B294">
        <f>IF(AND('Data Source'!B294&lt;&gt;"",'Data Source'!S294="F"),'Data Source'!B294,"")</f>
        <v/>
      </c>
      <c r="C294" s="3">
        <f>IF(AND('Data Source'!B294&lt;&gt;"",'Data Source'!S294="F"),IF('Data Source'!U294&gt;=5,"A+",IF('Data Source'!U294&gt;=4,"A",IF('Data Source'!U294&gt;=3.5,"A-",IF('Data Source'!U294&gt;=3,"B",IF('Data Source'!U294&gt;=2,"C",IF('Data Source'!U294&gt;=1,"D","F")))))),"")</f>
        <v/>
      </c>
      <c r="D294" s="3">
        <f>IF(AND('Data Source'!B294&lt;&gt;"",'Data Source'!S294="F"),IF('Data Source'!V294&gt;=5,"A+",IF('Data Source'!V294&gt;=4,"A",IF('Data Source'!V294&gt;=3.5,"A-",IF('Data Source'!V294&gt;=3,"B",IF('Data Source'!V294&gt;=2,"C",IF('Data Source'!V294&gt;=1,"D","F")))))),"")</f>
        <v/>
      </c>
      <c r="E294" s="3">
        <f>IF(AND('Data Source'!B294&lt;&gt;"",'Data Source'!S294="F"),IF('Data Source'!W294&gt;=5,"A+",IF('Data Source'!W294&gt;=4,"A",IF('Data Source'!W294&gt;=3.5,"A-",IF('Data Source'!W294&gt;=3,"B",IF('Data Source'!W294&gt;=2,"C",IF('Data Source'!W294&gt;=1,"D","F")))))),"")</f>
        <v/>
      </c>
      <c r="F294" s="3">
        <f>IF(AND('Data Source'!B294&lt;&gt;"",'Data Source'!S294="F"),IF('Data Source'!X294&gt;=5,"A+",IF('Data Source'!X294&gt;=4,"A",IF('Data Source'!X294&gt;=3.5,"A-",IF('Data Source'!X294&gt;=3,"B",IF('Data Source'!X294&gt;=2,"C",IF('Data Source'!X294&gt;=1,"D","F")))))),"")</f>
        <v/>
      </c>
      <c r="G294" s="3">
        <f>IF(AND('Data Source'!B294&lt;&gt;"",'Data Source'!S294="F"),IF('Data Source'!Y294&gt;=5,"A+",IF('Data Source'!Y294&gt;=4,"A",IF('Data Source'!Y294&gt;=3.5,"A-",IF('Data Source'!Y294&gt;=3,"B",IF('Data Source'!Y294&gt;=2,"C",IF('Data Source'!Y294&gt;=1,"D","F")))))),"")</f>
        <v/>
      </c>
      <c r="H294" s="3">
        <f>IF(AND('Data Source'!B294&lt;&gt;"",'Data Source'!S294="F"),IF('Data Source'!Z294&gt;=5,"A+",IF('Data Source'!Z294&gt;=4,"A",IF('Data Source'!Z294&gt;=3.5,"A-",IF('Data Source'!Z294&gt;=3,"B",IF('Data Source'!Z294&gt;=2,"C",IF('Data Source'!Z294&gt;=1,"D","F")))))),"")</f>
        <v/>
      </c>
      <c r="I294" s="3">
        <f>IF(AND('Data Source'!B294&lt;&gt;"",'Data Source'!S294="F"),IF('Data Source'!AA294&gt;=5,"A+",IF('Data Source'!AA294&gt;=4,"A",IF('Data Source'!AA294&gt;=3.5,"A-",IF('Data Source'!AA294&gt;=3,"B",IF('Data Source'!AA294&gt;=2,"C",IF('Data Source'!AA294&gt;=1,"D","F")))))),"")</f>
        <v/>
      </c>
      <c r="J294" s="3">
        <f>IF(AND('Data Source'!B294&lt;&gt;"",'Data Source'!S294="F"),IF('Data Source'!AB294&gt;=5,"A+",IF('Data Source'!AB294&gt;=4,"A",IF('Data Source'!AB294&gt;=3.5,"A-",IF('Data Source'!AB294&gt;=3,"B",IF('Data Source'!AB294&gt;=2,"C",IF('Data Source'!AB294&gt;=1,"D","F")))))),"")</f>
        <v/>
      </c>
      <c r="K294" s="3">
        <f>IF(AND('Data Source'!B294&lt;&gt;"",'Data Source'!S294="F"),IF('Data Source'!AC294&gt;=5,"A+",IF('Data Source'!AC294&gt;=4,"A",IF('Data Source'!AC294&gt;=3.5,"A-",IF('Data Source'!AC294&gt;=3,"B",IF('Data Source'!AC294&gt;=2,"C",IF('Data Source'!AC294&gt;=1,"D","F")))))),"")</f>
        <v/>
      </c>
      <c r="L294" s="3">
        <f>IF(AND('Data Source'!B294&lt;&gt;"",'Data Source'!S294="F"),IF('Data Source'!AD294&gt;=5,"A+",IF('Data Source'!AD294&gt;=4,"A",IF('Data Source'!AD294&gt;=3.5,"A-",IF('Data Source'!AD294&gt;=3,"B",IF('Data Source'!AD294&gt;=2,"C",IF('Data Source'!AD294&gt;=1,"D","F")))))),"")</f>
        <v/>
      </c>
      <c r="M294" s="3">
        <f>IF(AND('Data Source'!B294&lt;&gt;"",'Data Source'!S294="F"),IF('Data Source'!AE294&gt;=5,"A+",IF('Data Source'!AE294&gt;=4,"A",IF('Data Source'!AE294&gt;=3.5,"A-",IF('Data Source'!AE294&gt;=3,"B",IF('Data Source'!AE294&gt;=2,"C",IF('Data Source'!AE294&gt;=1,"D","F")))))),"")</f>
        <v/>
      </c>
      <c r="N294" s="3">
        <f>IF(AND('Data Source'!B294&lt;&gt;"",'Data Source'!S294="F"),IF('Data Source'!AF294&gt;=5,"A+",IF('Data Source'!AF294&gt;=4,"A",IF('Data Source'!AF294&gt;=3.5,"A-",IF('Data Source'!AF294&gt;=3,"B",IF('Data Source'!AF294&gt;=2,"C",IF('Data Source'!AF294&gt;=1,"D","F")))))),"")</f>
        <v/>
      </c>
      <c r="O294" s="3">
        <f>IF(AND('Data Source'!B294&lt;&gt;"",'Data Source'!S294="F"),IF('Data Source'!AG294&gt;=5,"A+",IF('Data Source'!AG294&gt;=4,"A",IF('Data Source'!AG294&gt;=3.5,"A-",IF('Data Source'!AG294&gt;=3,"B",IF('Data Source'!AG294&gt;=2,"C",IF('Data Source'!AG294&gt;=1,"D","F")))))),"")</f>
        <v/>
      </c>
      <c r="P294" s="5">
        <f>IF(AND('Data Source'!B294&lt;&gt;"",'Data Source'!S294="F"),'Data Source'!R294,"")</f>
        <v/>
      </c>
      <c r="Q294" s="3">
        <f>IF(AND('Data Source'!B294&lt;&gt;"",'Data Source'!S294="F"),'Data Source'!S294,"")</f>
        <v/>
      </c>
    </row>
    <row r="295">
      <c r="A295" s="3">
        <f>IF(AND('Data Source'!B295&lt;&gt;"",'Data Source'!S295="F"),COUNTIF('Data Source'!$S$3:S295,"F"),"")</f>
        <v/>
      </c>
      <c r="B295">
        <f>IF(AND('Data Source'!B295&lt;&gt;"",'Data Source'!S295="F"),'Data Source'!B295,"")</f>
        <v/>
      </c>
      <c r="C295" s="3">
        <f>IF(AND('Data Source'!B295&lt;&gt;"",'Data Source'!S295="F"),IF('Data Source'!U295&gt;=5,"A+",IF('Data Source'!U295&gt;=4,"A",IF('Data Source'!U295&gt;=3.5,"A-",IF('Data Source'!U295&gt;=3,"B",IF('Data Source'!U295&gt;=2,"C",IF('Data Source'!U295&gt;=1,"D","F")))))),"")</f>
        <v/>
      </c>
      <c r="D295" s="3">
        <f>IF(AND('Data Source'!B295&lt;&gt;"",'Data Source'!S295="F"),IF('Data Source'!V295&gt;=5,"A+",IF('Data Source'!V295&gt;=4,"A",IF('Data Source'!V295&gt;=3.5,"A-",IF('Data Source'!V295&gt;=3,"B",IF('Data Source'!V295&gt;=2,"C",IF('Data Source'!V295&gt;=1,"D","F")))))),"")</f>
        <v/>
      </c>
      <c r="E295" s="3">
        <f>IF(AND('Data Source'!B295&lt;&gt;"",'Data Source'!S295="F"),IF('Data Source'!W295&gt;=5,"A+",IF('Data Source'!W295&gt;=4,"A",IF('Data Source'!W295&gt;=3.5,"A-",IF('Data Source'!W295&gt;=3,"B",IF('Data Source'!W295&gt;=2,"C",IF('Data Source'!W295&gt;=1,"D","F")))))),"")</f>
        <v/>
      </c>
      <c r="F295" s="3">
        <f>IF(AND('Data Source'!B295&lt;&gt;"",'Data Source'!S295="F"),IF('Data Source'!X295&gt;=5,"A+",IF('Data Source'!X295&gt;=4,"A",IF('Data Source'!X295&gt;=3.5,"A-",IF('Data Source'!X295&gt;=3,"B",IF('Data Source'!X295&gt;=2,"C",IF('Data Source'!X295&gt;=1,"D","F")))))),"")</f>
        <v/>
      </c>
      <c r="G295" s="3">
        <f>IF(AND('Data Source'!B295&lt;&gt;"",'Data Source'!S295="F"),IF('Data Source'!Y295&gt;=5,"A+",IF('Data Source'!Y295&gt;=4,"A",IF('Data Source'!Y295&gt;=3.5,"A-",IF('Data Source'!Y295&gt;=3,"B",IF('Data Source'!Y295&gt;=2,"C",IF('Data Source'!Y295&gt;=1,"D","F")))))),"")</f>
        <v/>
      </c>
      <c r="H295" s="3">
        <f>IF(AND('Data Source'!B295&lt;&gt;"",'Data Source'!S295="F"),IF('Data Source'!Z295&gt;=5,"A+",IF('Data Source'!Z295&gt;=4,"A",IF('Data Source'!Z295&gt;=3.5,"A-",IF('Data Source'!Z295&gt;=3,"B",IF('Data Source'!Z295&gt;=2,"C",IF('Data Source'!Z295&gt;=1,"D","F")))))),"")</f>
        <v/>
      </c>
      <c r="I295" s="3">
        <f>IF(AND('Data Source'!B295&lt;&gt;"",'Data Source'!S295="F"),IF('Data Source'!AA295&gt;=5,"A+",IF('Data Source'!AA295&gt;=4,"A",IF('Data Source'!AA295&gt;=3.5,"A-",IF('Data Source'!AA295&gt;=3,"B",IF('Data Source'!AA295&gt;=2,"C",IF('Data Source'!AA295&gt;=1,"D","F")))))),"")</f>
        <v/>
      </c>
      <c r="J295" s="3">
        <f>IF(AND('Data Source'!B295&lt;&gt;"",'Data Source'!S295="F"),IF('Data Source'!AB295&gt;=5,"A+",IF('Data Source'!AB295&gt;=4,"A",IF('Data Source'!AB295&gt;=3.5,"A-",IF('Data Source'!AB295&gt;=3,"B",IF('Data Source'!AB295&gt;=2,"C",IF('Data Source'!AB295&gt;=1,"D","F")))))),"")</f>
        <v/>
      </c>
      <c r="K295" s="3">
        <f>IF(AND('Data Source'!B295&lt;&gt;"",'Data Source'!S295="F"),IF('Data Source'!AC295&gt;=5,"A+",IF('Data Source'!AC295&gt;=4,"A",IF('Data Source'!AC295&gt;=3.5,"A-",IF('Data Source'!AC295&gt;=3,"B",IF('Data Source'!AC295&gt;=2,"C",IF('Data Source'!AC295&gt;=1,"D","F")))))),"")</f>
        <v/>
      </c>
      <c r="L295" s="3">
        <f>IF(AND('Data Source'!B295&lt;&gt;"",'Data Source'!S295="F"),IF('Data Source'!AD295&gt;=5,"A+",IF('Data Source'!AD295&gt;=4,"A",IF('Data Source'!AD295&gt;=3.5,"A-",IF('Data Source'!AD295&gt;=3,"B",IF('Data Source'!AD295&gt;=2,"C",IF('Data Source'!AD295&gt;=1,"D","F")))))),"")</f>
        <v/>
      </c>
      <c r="M295" s="3">
        <f>IF(AND('Data Source'!B295&lt;&gt;"",'Data Source'!S295="F"),IF('Data Source'!AE295&gt;=5,"A+",IF('Data Source'!AE295&gt;=4,"A",IF('Data Source'!AE295&gt;=3.5,"A-",IF('Data Source'!AE295&gt;=3,"B",IF('Data Source'!AE295&gt;=2,"C",IF('Data Source'!AE295&gt;=1,"D","F")))))),"")</f>
        <v/>
      </c>
      <c r="N295" s="3">
        <f>IF(AND('Data Source'!B295&lt;&gt;"",'Data Source'!S295="F"),IF('Data Source'!AF295&gt;=5,"A+",IF('Data Source'!AF295&gt;=4,"A",IF('Data Source'!AF295&gt;=3.5,"A-",IF('Data Source'!AF295&gt;=3,"B",IF('Data Source'!AF295&gt;=2,"C",IF('Data Source'!AF295&gt;=1,"D","F")))))),"")</f>
        <v/>
      </c>
      <c r="O295" s="3">
        <f>IF(AND('Data Source'!B295&lt;&gt;"",'Data Source'!S295="F"),IF('Data Source'!AG295&gt;=5,"A+",IF('Data Source'!AG295&gt;=4,"A",IF('Data Source'!AG295&gt;=3.5,"A-",IF('Data Source'!AG295&gt;=3,"B",IF('Data Source'!AG295&gt;=2,"C",IF('Data Source'!AG295&gt;=1,"D","F")))))),"")</f>
        <v/>
      </c>
      <c r="P295" s="5">
        <f>IF(AND('Data Source'!B295&lt;&gt;"",'Data Source'!S295="F"),'Data Source'!R295,"")</f>
        <v/>
      </c>
      <c r="Q295" s="3">
        <f>IF(AND('Data Source'!B295&lt;&gt;"",'Data Source'!S295="F"),'Data Source'!S295,"")</f>
        <v/>
      </c>
    </row>
    <row r="296">
      <c r="A296" s="3">
        <f>IF(AND('Data Source'!B296&lt;&gt;"",'Data Source'!S296="F"),COUNTIF('Data Source'!$S$3:S296,"F"),"")</f>
        <v/>
      </c>
      <c r="B296">
        <f>IF(AND('Data Source'!B296&lt;&gt;"",'Data Source'!S296="F"),'Data Source'!B296,"")</f>
        <v/>
      </c>
      <c r="C296" s="3">
        <f>IF(AND('Data Source'!B296&lt;&gt;"",'Data Source'!S296="F"),IF('Data Source'!U296&gt;=5,"A+",IF('Data Source'!U296&gt;=4,"A",IF('Data Source'!U296&gt;=3.5,"A-",IF('Data Source'!U296&gt;=3,"B",IF('Data Source'!U296&gt;=2,"C",IF('Data Source'!U296&gt;=1,"D","F")))))),"")</f>
        <v/>
      </c>
      <c r="D296" s="3">
        <f>IF(AND('Data Source'!B296&lt;&gt;"",'Data Source'!S296="F"),IF('Data Source'!V296&gt;=5,"A+",IF('Data Source'!V296&gt;=4,"A",IF('Data Source'!V296&gt;=3.5,"A-",IF('Data Source'!V296&gt;=3,"B",IF('Data Source'!V296&gt;=2,"C",IF('Data Source'!V296&gt;=1,"D","F")))))),"")</f>
        <v/>
      </c>
      <c r="E296" s="3">
        <f>IF(AND('Data Source'!B296&lt;&gt;"",'Data Source'!S296="F"),IF('Data Source'!W296&gt;=5,"A+",IF('Data Source'!W296&gt;=4,"A",IF('Data Source'!W296&gt;=3.5,"A-",IF('Data Source'!W296&gt;=3,"B",IF('Data Source'!W296&gt;=2,"C",IF('Data Source'!W296&gt;=1,"D","F")))))),"")</f>
        <v/>
      </c>
      <c r="F296" s="3">
        <f>IF(AND('Data Source'!B296&lt;&gt;"",'Data Source'!S296="F"),IF('Data Source'!X296&gt;=5,"A+",IF('Data Source'!X296&gt;=4,"A",IF('Data Source'!X296&gt;=3.5,"A-",IF('Data Source'!X296&gt;=3,"B",IF('Data Source'!X296&gt;=2,"C",IF('Data Source'!X296&gt;=1,"D","F")))))),"")</f>
        <v/>
      </c>
      <c r="G296" s="3">
        <f>IF(AND('Data Source'!B296&lt;&gt;"",'Data Source'!S296="F"),IF('Data Source'!Y296&gt;=5,"A+",IF('Data Source'!Y296&gt;=4,"A",IF('Data Source'!Y296&gt;=3.5,"A-",IF('Data Source'!Y296&gt;=3,"B",IF('Data Source'!Y296&gt;=2,"C",IF('Data Source'!Y296&gt;=1,"D","F")))))),"")</f>
        <v/>
      </c>
      <c r="H296" s="3">
        <f>IF(AND('Data Source'!B296&lt;&gt;"",'Data Source'!S296="F"),IF('Data Source'!Z296&gt;=5,"A+",IF('Data Source'!Z296&gt;=4,"A",IF('Data Source'!Z296&gt;=3.5,"A-",IF('Data Source'!Z296&gt;=3,"B",IF('Data Source'!Z296&gt;=2,"C",IF('Data Source'!Z296&gt;=1,"D","F")))))),"")</f>
        <v/>
      </c>
      <c r="I296" s="3">
        <f>IF(AND('Data Source'!B296&lt;&gt;"",'Data Source'!S296="F"),IF('Data Source'!AA296&gt;=5,"A+",IF('Data Source'!AA296&gt;=4,"A",IF('Data Source'!AA296&gt;=3.5,"A-",IF('Data Source'!AA296&gt;=3,"B",IF('Data Source'!AA296&gt;=2,"C",IF('Data Source'!AA296&gt;=1,"D","F")))))),"")</f>
        <v/>
      </c>
      <c r="J296" s="3">
        <f>IF(AND('Data Source'!B296&lt;&gt;"",'Data Source'!S296="F"),IF('Data Source'!AB296&gt;=5,"A+",IF('Data Source'!AB296&gt;=4,"A",IF('Data Source'!AB296&gt;=3.5,"A-",IF('Data Source'!AB296&gt;=3,"B",IF('Data Source'!AB296&gt;=2,"C",IF('Data Source'!AB296&gt;=1,"D","F")))))),"")</f>
        <v/>
      </c>
      <c r="K296" s="3">
        <f>IF(AND('Data Source'!B296&lt;&gt;"",'Data Source'!S296="F"),IF('Data Source'!AC296&gt;=5,"A+",IF('Data Source'!AC296&gt;=4,"A",IF('Data Source'!AC296&gt;=3.5,"A-",IF('Data Source'!AC296&gt;=3,"B",IF('Data Source'!AC296&gt;=2,"C",IF('Data Source'!AC296&gt;=1,"D","F")))))),"")</f>
        <v/>
      </c>
      <c r="L296" s="3">
        <f>IF(AND('Data Source'!B296&lt;&gt;"",'Data Source'!S296="F"),IF('Data Source'!AD296&gt;=5,"A+",IF('Data Source'!AD296&gt;=4,"A",IF('Data Source'!AD296&gt;=3.5,"A-",IF('Data Source'!AD296&gt;=3,"B",IF('Data Source'!AD296&gt;=2,"C",IF('Data Source'!AD296&gt;=1,"D","F")))))),"")</f>
        <v/>
      </c>
      <c r="M296" s="3">
        <f>IF(AND('Data Source'!B296&lt;&gt;"",'Data Source'!S296="F"),IF('Data Source'!AE296&gt;=5,"A+",IF('Data Source'!AE296&gt;=4,"A",IF('Data Source'!AE296&gt;=3.5,"A-",IF('Data Source'!AE296&gt;=3,"B",IF('Data Source'!AE296&gt;=2,"C",IF('Data Source'!AE296&gt;=1,"D","F")))))),"")</f>
        <v/>
      </c>
      <c r="N296" s="3">
        <f>IF(AND('Data Source'!B296&lt;&gt;"",'Data Source'!S296="F"),IF('Data Source'!AF296&gt;=5,"A+",IF('Data Source'!AF296&gt;=4,"A",IF('Data Source'!AF296&gt;=3.5,"A-",IF('Data Source'!AF296&gt;=3,"B",IF('Data Source'!AF296&gt;=2,"C",IF('Data Source'!AF296&gt;=1,"D","F")))))),"")</f>
        <v/>
      </c>
      <c r="O296" s="3">
        <f>IF(AND('Data Source'!B296&lt;&gt;"",'Data Source'!S296="F"),IF('Data Source'!AG296&gt;=5,"A+",IF('Data Source'!AG296&gt;=4,"A",IF('Data Source'!AG296&gt;=3.5,"A-",IF('Data Source'!AG296&gt;=3,"B",IF('Data Source'!AG296&gt;=2,"C",IF('Data Source'!AG296&gt;=1,"D","F")))))),"")</f>
        <v/>
      </c>
      <c r="P296" s="5">
        <f>IF(AND('Data Source'!B296&lt;&gt;"",'Data Source'!S296="F"),'Data Source'!R296,"")</f>
        <v/>
      </c>
      <c r="Q296" s="3">
        <f>IF(AND('Data Source'!B296&lt;&gt;"",'Data Source'!S296="F"),'Data Source'!S296,"")</f>
        <v/>
      </c>
    </row>
    <row r="297">
      <c r="A297" s="3">
        <f>IF(AND('Data Source'!B297&lt;&gt;"",'Data Source'!S297="F"),COUNTIF('Data Source'!$S$3:S297,"F"),"")</f>
        <v/>
      </c>
      <c r="B297">
        <f>IF(AND('Data Source'!B297&lt;&gt;"",'Data Source'!S297="F"),'Data Source'!B297,"")</f>
        <v/>
      </c>
      <c r="C297" s="3">
        <f>IF(AND('Data Source'!B297&lt;&gt;"",'Data Source'!S297="F"),IF('Data Source'!U297&gt;=5,"A+",IF('Data Source'!U297&gt;=4,"A",IF('Data Source'!U297&gt;=3.5,"A-",IF('Data Source'!U297&gt;=3,"B",IF('Data Source'!U297&gt;=2,"C",IF('Data Source'!U297&gt;=1,"D","F")))))),"")</f>
        <v/>
      </c>
      <c r="D297" s="3">
        <f>IF(AND('Data Source'!B297&lt;&gt;"",'Data Source'!S297="F"),IF('Data Source'!V297&gt;=5,"A+",IF('Data Source'!V297&gt;=4,"A",IF('Data Source'!V297&gt;=3.5,"A-",IF('Data Source'!V297&gt;=3,"B",IF('Data Source'!V297&gt;=2,"C",IF('Data Source'!V297&gt;=1,"D","F")))))),"")</f>
        <v/>
      </c>
      <c r="E297" s="3">
        <f>IF(AND('Data Source'!B297&lt;&gt;"",'Data Source'!S297="F"),IF('Data Source'!W297&gt;=5,"A+",IF('Data Source'!W297&gt;=4,"A",IF('Data Source'!W297&gt;=3.5,"A-",IF('Data Source'!W297&gt;=3,"B",IF('Data Source'!W297&gt;=2,"C",IF('Data Source'!W297&gt;=1,"D","F")))))),"")</f>
        <v/>
      </c>
      <c r="F297" s="3">
        <f>IF(AND('Data Source'!B297&lt;&gt;"",'Data Source'!S297="F"),IF('Data Source'!X297&gt;=5,"A+",IF('Data Source'!X297&gt;=4,"A",IF('Data Source'!X297&gt;=3.5,"A-",IF('Data Source'!X297&gt;=3,"B",IF('Data Source'!X297&gt;=2,"C",IF('Data Source'!X297&gt;=1,"D","F")))))),"")</f>
        <v/>
      </c>
      <c r="G297" s="3">
        <f>IF(AND('Data Source'!B297&lt;&gt;"",'Data Source'!S297="F"),IF('Data Source'!Y297&gt;=5,"A+",IF('Data Source'!Y297&gt;=4,"A",IF('Data Source'!Y297&gt;=3.5,"A-",IF('Data Source'!Y297&gt;=3,"B",IF('Data Source'!Y297&gt;=2,"C",IF('Data Source'!Y297&gt;=1,"D","F")))))),"")</f>
        <v/>
      </c>
      <c r="H297" s="3">
        <f>IF(AND('Data Source'!B297&lt;&gt;"",'Data Source'!S297="F"),IF('Data Source'!Z297&gt;=5,"A+",IF('Data Source'!Z297&gt;=4,"A",IF('Data Source'!Z297&gt;=3.5,"A-",IF('Data Source'!Z297&gt;=3,"B",IF('Data Source'!Z297&gt;=2,"C",IF('Data Source'!Z297&gt;=1,"D","F")))))),"")</f>
        <v/>
      </c>
      <c r="I297" s="3">
        <f>IF(AND('Data Source'!B297&lt;&gt;"",'Data Source'!S297="F"),IF('Data Source'!AA297&gt;=5,"A+",IF('Data Source'!AA297&gt;=4,"A",IF('Data Source'!AA297&gt;=3.5,"A-",IF('Data Source'!AA297&gt;=3,"B",IF('Data Source'!AA297&gt;=2,"C",IF('Data Source'!AA297&gt;=1,"D","F")))))),"")</f>
        <v/>
      </c>
      <c r="J297" s="3">
        <f>IF(AND('Data Source'!B297&lt;&gt;"",'Data Source'!S297="F"),IF('Data Source'!AB297&gt;=5,"A+",IF('Data Source'!AB297&gt;=4,"A",IF('Data Source'!AB297&gt;=3.5,"A-",IF('Data Source'!AB297&gt;=3,"B",IF('Data Source'!AB297&gt;=2,"C",IF('Data Source'!AB297&gt;=1,"D","F")))))),"")</f>
        <v/>
      </c>
      <c r="K297" s="3">
        <f>IF(AND('Data Source'!B297&lt;&gt;"",'Data Source'!S297="F"),IF('Data Source'!AC297&gt;=5,"A+",IF('Data Source'!AC297&gt;=4,"A",IF('Data Source'!AC297&gt;=3.5,"A-",IF('Data Source'!AC297&gt;=3,"B",IF('Data Source'!AC297&gt;=2,"C",IF('Data Source'!AC297&gt;=1,"D","F")))))),"")</f>
        <v/>
      </c>
      <c r="L297" s="3">
        <f>IF(AND('Data Source'!B297&lt;&gt;"",'Data Source'!S297="F"),IF('Data Source'!AD297&gt;=5,"A+",IF('Data Source'!AD297&gt;=4,"A",IF('Data Source'!AD297&gt;=3.5,"A-",IF('Data Source'!AD297&gt;=3,"B",IF('Data Source'!AD297&gt;=2,"C",IF('Data Source'!AD297&gt;=1,"D","F")))))),"")</f>
        <v/>
      </c>
      <c r="M297" s="3">
        <f>IF(AND('Data Source'!B297&lt;&gt;"",'Data Source'!S297="F"),IF('Data Source'!AE297&gt;=5,"A+",IF('Data Source'!AE297&gt;=4,"A",IF('Data Source'!AE297&gt;=3.5,"A-",IF('Data Source'!AE297&gt;=3,"B",IF('Data Source'!AE297&gt;=2,"C",IF('Data Source'!AE297&gt;=1,"D","F")))))),"")</f>
        <v/>
      </c>
      <c r="N297" s="3">
        <f>IF(AND('Data Source'!B297&lt;&gt;"",'Data Source'!S297="F"),IF('Data Source'!AF297&gt;=5,"A+",IF('Data Source'!AF297&gt;=4,"A",IF('Data Source'!AF297&gt;=3.5,"A-",IF('Data Source'!AF297&gt;=3,"B",IF('Data Source'!AF297&gt;=2,"C",IF('Data Source'!AF297&gt;=1,"D","F")))))),"")</f>
        <v/>
      </c>
      <c r="O297" s="3">
        <f>IF(AND('Data Source'!B297&lt;&gt;"",'Data Source'!S297="F"),IF('Data Source'!AG297&gt;=5,"A+",IF('Data Source'!AG297&gt;=4,"A",IF('Data Source'!AG297&gt;=3.5,"A-",IF('Data Source'!AG297&gt;=3,"B",IF('Data Source'!AG297&gt;=2,"C",IF('Data Source'!AG297&gt;=1,"D","F")))))),"")</f>
        <v/>
      </c>
      <c r="P297" s="5">
        <f>IF(AND('Data Source'!B297&lt;&gt;"",'Data Source'!S297="F"),'Data Source'!R297,"")</f>
        <v/>
      </c>
      <c r="Q297" s="3">
        <f>IF(AND('Data Source'!B297&lt;&gt;"",'Data Source'!S297="F"),'Data Source'!S297,"")</f>
        <v/>
      </c>
    </row>
    <row r="298">
      <c r="A298" s="3">
        <f>IF(AND('Data Source'!B298&lt;&gt;"",'Data Source'!S298="F"),COUNTIF('Data Source'!$S$3:S298,"F"),"")</f>
        <v/>
      </c>
      <c r="B298">
        <f>IF(AND('Data Source'!B298&lt;&gt;"",'Data Source'!S298="F"),'Data Source'!B298,"")</f>
        <v/>
      </c>
      <c r="C298" s="3">
        <f>IF(AND('Data Source'!B298&lt;&gt;"",'Data Source'!S298="F"),IF('Data Source'!U298&gt;=5,"A+",IF('Data Source'!U298&gt;=4,"A",IF('Data Source'!U298&gt;=3.5,"A-",IF('Data Source'!U298&gt;=3,"B",IF('Data Source'!U298&gt;=2,"C",IF('Data Source'!U298&gt;=1,"D","F")))))),"")</f>
        <v/>
      </c>
      <c r="D298" s="3">
        <f>IF(AND('Data Source'!B298&lt;&gt;"",'Data Source'!S298="F"),IF('Data Source'!V298&gt;=5,"A+",IF('Data Source'!V298&gt;=4,"A",IF('Data Source'!V298&gt;=3.5,"A-",IF('Data Source'!V298&gt;=3,"B",IF('Data Source'!V298&gt;=2,"C",IF('Data Source'!V298&gt;=1,"D","F")))))),"")</f>
        <v/>
      </c>
      <c r="E298" s="3">
        <f>IF(AND('Data Source'!B298&lt;&gt;"",'Data Source'!S298="F"),IF('Data Source'!W298&gt;=5,"A+",IF('Data Source'!W298&gt;=4,"A",IF('Data Source'!W298&gt;=3.5,"A-",IF('Data Source'!W298&gt;=3,"B",IF('Data Source'!W298&gt;=2,"C",IF('Data Source'!W298&gt;=1,"D","F")))))),"")</f>
        <v/>
      </c>
      <c r="F298" s="3">
        <f>IF(AND('Data Source'!B298&lt;&gt;"",'Data Source'!S298="F"),IF('Data Source'!X298&gt;=5,"A+",IF('Data Source'!X298&gt;=4,"A",IF('Data Source'!X298&gt;=3.5,"A-",IF('Data Source'!X298&gt;=3,"B",IF('Data Source'!X298&gt;=2,"C",IF('Data Source'!X298&gt;=1,"D","F")))))),"")</f>
        <v/>
      </c>
      <c r="G298" s="3">
        <f>IF(AND('Data Source'!B298&lt;&gt;"",'Data Source'!S298="F"),IF('Data Source'!Y298&gt;=5,"A+",IF('Data Source'!Y298&gt;=4,"A",IF('Data Source'!Y298&gt;=3.5,"A-",IF('Data Source'!Y298&gt;=3,"B",IF('Data Source'!Y298&gt;=2,"C",IF('Data Source'!Y298&gt;=1,"D","F")))))),"")</f>
        <v/>
      </c>
      <c r="H298" s="3">
        <f>IF(AND('Data Source'!B298&lt;&gt;"",'Data Source'!S298="F"),IF('Data Source'!Z298&gt;=5,"A+",IF('Data Source'!Z298&gt;=4,"A",IF('Data Source'!Z298&gt;=3.5,"A-",IF('Data Source'!Z298&gt;=3,"B",IF('Data Source'!Z298&gt;=2,"C",IF('Data Source'!Z298&gt;=1,"D","F")))))),"")</f>
        <v/>
      </c>
      <c r="I298" s="3">
        <f>IF(AND('Data Source'!B298&lt;&gt;"",'Data Source'!S298="F"),IF('Data Source'!AA298&gt;=5,"A+",IF('Data Source'!AA298&gt;=4,"A",IF('Data Source'!AA298&gt;=3.5,"A-",IF('Data Source'!AA298&gt;=3,"B",IF('Data Source'!AA298&gt;=2,"C",IF('Data Source'!AA298&gt;=1,"D","F")))))),"")</f>
        <v/>
      </c>
      <c r="J298" s="3">
        <f>IF(AND('Data Source'!B298&lt;&gt;"",'Data Source'!S298="F"),IF('Data Source'!AB298&gt;=5,"A+",IF('Data Source'!AB298&gt;=4,"A",IF('Data Source'!AB298&gt;=3.5,"A-",IF('Data Source'!AB298&gt;=3,"B",IF('Data Source'!AB298&gt;=2,"C",IF('Data Source'!AB298&gt;=1,"D","F")))))),"")</f>
        <v/>
      </c>
      <c r="K298" s="3">
        <f>IF(AND('Data Source'!B298&lt;&gt;"",'Data Source'!S298="F"),IF('Data Source'!AC298&gt;=5,"A+",IF('Data Source'!AC298&gt;=4,"A",IF('Data Source'!AC298&gt;=3.5,"A-",IF('Data Source'!AC298&gt;=3,"B",IF('Data Source'!AC298&gt;=2,"C",IF('Data Source'!AC298&gt;=1,"D","F")))))),"")</f>
        <v/>
      </c>
      <c r="L298" s="3">
        <f>IF(AND('Data Source'!B298&lt;&gt;"",'Data Source'!S298="F"),IF('Data Source'!AD298&gt;=5,"A+",IF('Data Source'!AD298&gt;=4,"A",IF('Data Source'!AD298&gt;=3.5,"A-",IF('Data Source'!AD298&gt;=3,"B",IF('Data Source'!AD298&gt;=2,"C",IF('Data Source'!AD298&gt;=1,"D","F")))))),"")</f>
        <v/>
      </c>
      <c r="M298" s="3">
        <f>IF(AND('Data Source'!B298&lt;&gt;"",'Data Source'!S298="F"),IF('Data Source'!AE298&gt;=5,"A+",IF('Data Source'!AE298&gt;=4,"A",IF('Data Source'!AE298&gt;=3.5,"A-",IF('Data Source'!AE298&gt;=3,"B",IF('Data Source'!AE298&gt;=2,"C",IF('Data Source'!AE298&gt;=1,"D","F")))))),"")</f>
        <v/>
      </c>
      <c r="N298" s="3">
        <f>IF(AND('Data Source'!B298&lt;&gt;"",'Data Source'!S298="F"),IF('Data Source'!AF298&gt;=5,"A+",IF('Data Source'!AF298&gt;=4,"A",IF('Data Source'!AF298&gt;=3.5,"A-",IF('Data Source'!AF298&gt;=3,"B",IF('Data Source'!AF298&gt;=2,"C",IF('Data Source'!AF298&gt;=1,"D","F")))))),"")</f>
        <v/>
      </c>
      <c r="O298" s="3">
        <f>IF(AND('Data Source'!B298&lt;&gt;"",'Data Source'!S298="F"),IF('Data Source'!AG298&gt;=5,"A+",IF('Data Source'!AG298&gt;=4,"A",IF('Data Source'!AG298&gt;=3.5,"A-",IF('Data Source'!AG298&gt;=3,"B",IF('Data Source'!AG298&gt;=2,"C",IF('Data Source'!AG298&gt;=1,"D","F")))))),"")</f>
        <v/>
      </c>
      <c r="P298" s="5">
        <f>IF(AND('Data Source'!B298&lt;&gt;"",'Data Source'!S298="F"),'Data Source'!R298,"")</f>
        <v/>
      </c>
      <c r="Q298" s="3">
        <f>IF(AND('Data Source'!B298&lt;&gt;"",'Data Source'!S298="F"),'Data Source'!S298,"")</f>
        <v/>
      </c>
    </row>
    <row r="299">
      <c r="A299" s="3">
        <f>IF(AND('Data Source'!B299&lt;&gt;"",'Data Source'!S299="F"),COUNTIF('Data Source'!$S$3:S299,"F"),"")</f>
        <v/>
      </c>
      <c r="B299">
        <f>IF(AND('Data Source'!B299&lt;&gt;"",'Data Source'!S299="F"),'Data Source'!B299,"")</f>
        <v/>
      </c>
      <c r="C299" s="3">
        <f>IF(AND('Data Source'!B299&lt;&gt;"",'Data Source'!S299="F"),IF('Data Source'!U299&gt;=5,"A+",IF('Data Source'!U299&gt;=4,"A",IF('Data Source'!U299&gt;=3.5,"A-",IF('Data Source'!U299&gt;=3,"B",IF('Data Source'!U299&gt;=2,"C",IF('Data Source'!U299&gt;=1,"D","F")))))),"")</f>
        <v/>
      </c>
      <c r="D299" s="3">
        <f>IF(AND('Data Source'!B299&lt;&gt;"",'Data Source'!S299="F"),IF('Data Source'!V299&gt;=5,"A+",IF('Data Source'!V299&gt;=4,"A",IF('Data Source'!V299&gt;=3.5,"A-",IF('Data Source'!V299&gt;=3,"B",IF('Data Source'!V299&gt;=2,"C",IF('Data Source'!V299&gt;=1,"D","F")))))),"")</f>
        <v/>
      </c>
      <c r="E299" s="3">
        <f>IF(AND('Data Source'!B299&lt;&gt;"",'Data Source'!S299="F"),IF('Data Source'!W299&gt;=5,"A+",IF('Data Source'!W299&gt;=4,"A",IF('Data Source'!W299&gt;=3.5,"A-",IF('Data Source'!W299&gt;=3,"B",IF('Data Source'!W299&gt;=2,"C",IF('Data Source'!W299&gt;=1,"D","F")))))),"")</f>
        <v/>
      </c>
      <c r="F299" s="3">
        <f>IF(AND('Data Source'!B299&lt;&gt;"",'Data Source'!S299="F"),IF('Data Source'!X299&gt;=5,"A+",IF('Data Source'!X299&gt;=4,"A",IF('Data Source'!X299&gt;=3.5,"A-",IF('Data Source'!X299&gt;=3,"B",IF('Data Source'!X299&gt;=2,"C",IF('Data Source'!X299&gt;=1,"D","F")))))),"")</f>
        <v/>
      </c>
      <c r="G299" s="3">
        <f>IF(AND('Data Source'!B299&lt;&gt;"",'Data Source'!S299="F"),IF('Data Source'!Y299&gt;=5,"A+",IF('Data Source'!Y299&gt;=4,"A",IF('Data Source'!Y299&gt;=3.5,"A-",IF('Data Source'!Y299&gt;=3,"B",IF('Data Source'!Y299&gt;=2,"C",IF('Data Source'!Y299&gt;=1,"D","F")))))),"")</f>
        <v/>
      </c>
      <c r="H299" s="3">
        <f>IF(AND('Data Source'!B299&lt;&gt;"",'Data Source'!S299="F"),IF('Data Source'!Z299&gt;=5,"A+",IF('Data Source'!Z299&gt;=4,"A",IF('Data Source'!Z299&gt;=3.5,"A-",IF('Data Source'!Z299&gt;=3,"B",IF('Data Source'!Z299&gt;=2,"C",IF('Data Source'!Z299&gt;=1,"D","F")))))),"")</f>
        <v/>
      </c>
      <c r="I299" s="3">
        <f>IF(AND('Data Source'!B299&lt;&gt;"",'Data Source'!S299="F"),IF('Data Source'!AA299&gt;=5,"A+",IF('Data Source'!AA299&gt;=4,"A",IF('Data Source'!AA299&gt;=3.5,"A-",IF('Data Source'!AA299&gt;=3,"B",IF('Data Source'!AA299&gt;=2,"C",IF('Data Source'!AA299&gt;=1,"D","F")))))),"")</f>
        <v/>
      </c>
      <c r="J299" s="3">
        <f>IF(AND('Data Source'!B299&lt;&gt;"",'Data Source'!S299="F"),IF('Data Source'!AB299&gt;=5,"A+",IF('Data Source'!AB299&gt;=4,"A",IF('Data Source'!AB299&gt;=3.5,"A-",IF('Data Source'!AB299&gt;=3,"B",IF('Data Source'!AB299&gt;=2,"C",IF('Data Source'!AB299&gt;=1,"D","F")))))),"")</f>
        <v/>
      </c>
      <c r="K299" s="3">
        <f>IF(AND('Data Source'!B299&lt;&gt;"",'Data Source'!S299="F"),IF('Data Source'!AC299&gt;=5,"A+",IF('Data Source'!AC299&gt;=4,"A",IF('Data Source'!AC299&gt;=3.5,"A-",IF('Data Source'!AC299&gt;=3,"B",IF('Data Source'!AC299&gt;=2,"C",IF('Data Source'!AC299&gt;=1,"D","F")))))),"")</f>
        <v/>
      </c>
      <c r="L299" s="3">
        <f>IF(AND('Data Source'!B299&lt;&gt;"",'Data Source'!S299="F"),IF('Data Source'!AD299&gt;=5,"A+",IF('Data Source'!AD299&gt;=4,"A",IF('Data Source'!AD299&gt;=3.5,"A-",IF('Data Source'!AD299&gt;=3,"B",IF('Data Source'!AD299&gt;=2,"C",IF('Data Source'!AD299&gt;=1,"D","F")))))),"")</f>
        <v/>
      </c>
      <c r="M299" s="3">
        <f>IF(AND('Data Source'!B299&lt;&gt;"",'Data Source'!S299="F"),IF('Data Source'!AE299&gt;=5,"A+",IF('Data Source'!AE299&gt;=4,"A",IF('Data Source'!AE299&gt;=3.5,"A-",IF('Data Source'!AE299&gt;=3,"B",IF('Data Source'!AE299&gt;=2,"C",IF('Data Source'!AE299&gt;=1,"D","F")))))),"")</f>
        <v/>
      </c>
      <c r="N299" s="3">
        <f>IF(AND('Data Source'!B299&lt;&gt;"",'Data Source'!S299="F"),IF('Data Source'!AF299&gt;=5,"A+",IF('Data Source'!AF299&gt;=4,"A",IF('Data Source'!AF299&gt;=3.5,"A-",IF('Data Source'!AF299&gt;=3,"B",IF('Data Source'!AF299&gt;=2,"C",IF('Data Source'!AF299&gt;=1,"D","F")))))),"")</f>
        <v/>
      </c>
      <c r="O299" s="3">
        <f>IF(AND('Data Source'!B299&lt;&gt;"",'Data Source'!S299="F"),IF('Data Source'!AG299&gt;=5,"A+",IF('Data Source'!AG299&gt;=4,"A",IF('Data Source'!AG299&gt;=3.5,"A-",IF('Data Source'!AG299&gt;=3,"B",IF('Data Source'!AG299&gt;=2,"C",IF('Data Source'!AG299&gt;=1,"D","F")))))),"")</f>
        <v/>
      </c>
      <c r="P299" s="5">
        <f>IF(AND('Data Source'!B299&lt;&gt;"",'Data Source'!S299="F"),'Data Source'!R299,"")</f>
        <v/>
      </c>
      <c r="Q299" s="3">
        <f>IF(AND('Data Source'!B299&lt;&gt;"",'Data Source'!S299="F"),'Data Source'!S299,"")</f>
        <v/>
      </c>
    </row>
    <row r="300">
      <c r="A300" s="3">
        <f>IF(AND('Data Source'!B300&lt;&gt;"",'Data Source'!S300="F"),COUNTIF('Data Source'!$S$3:S300,"F"),"")</f>
        <v/>
      </c>
      <c r="B300">
        <f>IF(AND('Data Source'!B300&lt;&gt;"",'Data Source'!S300="F"),'Data Source'!B300,"")</f>
        <v/>
      </c>
      <c r="C300" s="3">
        <f>IF(AND('Data Source'!B300&lt;&gt;"",'Data Source'!S300="F"),IF('Data Source'!U300&gt;=5,"A+",IF('Data Source'!U300&gt;=4,"A",IF('Data Source'!U300&gt;=3.5,"A-",IF('Data Source'!U300&gt;=3,"B",IF('Data Source'!U300&gt;=2,"C",IF('Data Source'!U300&gt;=1,"D","F")))))),"")</f>
        <v/>
      </c>
      <c r="D300" s="3">
        <f>IF(AND('Data Source'!B300&lt;&gt;"",'Data Source'!S300="F"),IF('Data Source'!V300&gt;=5,"A+",IF('Data Source'!V300&gt;=4,"A",IF('Data Source'!V300&gt;=3.5,"A-",IF('Data Source'!V300&gt;=3,"B",IF('Data Source'!V300&gt;=2,"C",IF('Data Source'!V300&gt;=1,"D","F")))))),"")</f>
        <v/>
      </c>
      <c r="E300" s="3">
        <f>IF(AND('Data Source'!B300&lt;&gt;"",'Data Source'!S300="F"),IF('Data Source'!W300&gt;=5,"A+",IF('Data Source'!W300&gt;=4,"A",IF('Data Source'!W300&gt;=3.5,"A-",IF('Data Source'!W300&gt;=3,"B",IF('Data Source'!W300&gt;=2,"C",IF('Data Source'!W300&gt;=1,"D","F")))))),"")</f>
        <v/>
      </c>
      <c r="F300" s="3">
        <f>IF(AND('Data Source'!B300&lt;&gt;"",'Data Source'!S300="F"),IF('Data Source'!X300&gt;=5,"A+",IF('Data Source'!X300&gt;=4,"A",IF('Data Source'!X300&gt;=3.5,"A-",IF('Data Source'!X300&gt;=3,"B",IF('Data Source'!X300&gt;=2,"C",IF('Data Source'!X300&gt;=1,"D","F")))))),"")</f>
        <v/>
      </c>
      <c r="G300" s="3">
        <f>IF(AND('Data Source'!B300&lt;&gt;"",'Data Source'!S300="F"),IF('Data Source'!Y300&gt;=5,"A+",IF('Data Source'!Y300&gt;=4,"A",IF('Data Source'!Y300&gt;=3.5,"A-",IF('Data Source'!Y300&gt;=3,"B",IF('Data Source'!Y300&gt;=2,"C",IF('Data Source'!Y300&gt;=1,"D","F")))))),"")</f>
        <v/>
      </c>
      <c r="H300" s="3">
        <f>IF(AND('Data Source'!B300&lt;&gt;"",'Data Source'!S300="F"),IF('Data Source'!Z300&gt;=5,"A+",IF('Data Source'!Z300&gt;=4,"A",IF('Data Source'!Z300&gt;=3.5,"A-",IF('Data Source'!Z300&gt;=3,"B",IF('Data Source'!Z300&gt;=2,"C",IF('Data Source'!Z300&gt;=1,"D","F")))))),"")</f>
        <v/>
      </c>
      <c r="I300" s="3">
        <f>IF(AND('Data Source'!B300&lt;&gt;"",'Data Source'!S300="F"),IF('Data Source'!AA300&gt;=5,"A+",IF('Data Source'!AA300&gt;=4,"A",IF('Data Source'!AA300&gt;=3.5,"A-",IF('Data Source'!AA300&gt;=3,"B",IF('Data Source'!AA300&gt;=2,"C",IF('Data Source'!AA300&gt;=1,"D","F")))))),"")</f>
        <v/>
      </c>
      <c r="J300" s="3">
        <f>IF(AND('Data Source'!B300&lt;&gt;"",'Data Source'!S300="F"),IF('Data Source'!AB300&gt;=5,"A+",IF('Data Source'!AB300&gt;=4,"A",IF('Data Source'!AB300&gt;=3.5,"A-",IF('Data Source'!AB300&gt;=3,"B",IF('Data Source'!AB300&gt;=2,"C",IF('Data Source'!AB300&gt;=1,"D","F")))))),"")</f>
        <v/>
      </c>
      <c r="K300" s="3">
        <f>IF(AND('Data Source'!B300&lt;&gt;"",'Data Source'!S300="F"),IF('Data Source'!AC300&gt;=5,"A+",IF('Data Source'!AC300&gt;=4,"A",IF('Data Source'!AC300&gt;=3.5,"A-",IF('Data Source'!AC300&gt;=3,"B",IF('Data Source'!AC300&gt;=2,"C",IF('Data Source'!AC300&gt;=1,"D","F")))))),"")</f>
        <v/>
      </c>
      <c r="L300" s="3">
        <f>IF(AND('Data Source'!B300&lt;&gt;"",'Data Source'!S300="F"),IF('Data Source'!AD300&gt;=5,"A+",IF('Data Source'!AD300&gt;=4,"A",IF('Data Source'!AD300&gt;=3.5,"A-",IF('Data Source'!AD300&gt;=3,"B",IF('Data Source'!AD300&gt;=2,"C",IF('Data Source'!AD300&gt;=1,"D","F")))))),"")</f>
        <v/>
      </c>
      <c r="M300" s="3">
        <f>IF(AND('Data Source'!B300&lt;&gt;"",'Data Source'!S300="F"),IF('Data Source'!AE300&gt;=5,"A+",IF('Data Source'!AE300&gt;=4,"A",IF('Data Source'!AE300&gt;=3.5,"A-",IF('Data Source'!AE300&gt;=3,"B",IF('Data Source'!AE300&gt;=2,"C",IF('Data Source'!AE300&gt;=1,"D","F")))))),"")</f>
        <v/>
      </c>
      <c r="N300" s="3">
        <f>IF(AND('Data Source'!B300&lt;&gt;"",'Data Source'!S300="F"),IF('Data Source'!AF300&gt;=5,"A+",IF('Data Source'!AF300&gt;=4,"A",IF('Data Source'!AF300&gt;=3.5,"A-",IF('Data Source'!AF300&gt;=3,"B",IF('Data Source'!AF300&gt;=2,"C",IF('Data Source'!AF300&gt;=1,"D","F")))))),"")</f>
        <v/>
      </c>
      <c r="O300" s="3">
        <f>IF(AND('Data Source'!B300&lt;&gt;"",'Data Source'!S300="F"),IF('Data Source'!AG300&gt;=5,"A+",IF('Data Source'!AG300&gt;=4,"A",IF('Data Source'!AG300&gt;=3.5,"A-",IF('Data Source'!AG300&gt;=3,"B",IF('Data Source'!AG300&gt;=2,"C",IF('Data Source'!AG300&gt;=1,"D","F")))))),"")</f>
        <v/>
      </c>
      <c r="P300" s="5">
        <f>IF(AND('Data Source'!B300&lt;&gt;"",'Data Source'!S300="F"),'Data Source'!R300,"")</f>
        <v/>
      </c>
      <c r="Q300" s="3">
        <f>IF(AND('Data Source'!B300&lt;&gt;"",'Data Source'!S300="F"),'Data Source'!S300,"")</f>
        <v/>
      </c>
    </row>
    <row r="301">
      <c r="A301" s="3">
        <f>IF(AND('Data Source'!B301&lt;&gt;"",'Data Source'!S301="F"),COUNTIF('Data Source'!$S$3:S301,"F"),"")</f>
        <v/>
      </c>
      <c r="B301">
        <f>IF(AND('Data Source'!B301&lt;&gt;"",'Data Source'!S301="F"),'Data Source'!B301,"")</f>
        <v/>
      </c>
      <c r="C301" s="3">
        <f>IF(AND('Data Source'!B301&lt;&gt;"",'Data Source'!S301="F"),IF('Data Source'!U301&gt;=5,"A+",IF('Data Source'!U301&gt;=4,"A",IF('Data Source'!U301&gt;=3.5,"A-",IF('Data Source'!U301&gt;=3,"B",IF('Data Source'!U301&gt;=2,"C",IF('Data Source'!U301&gt;=1,"D","F")))))),"")</f>
        <v/>
      </c>
      <c r="D301" s="3">
        <f>IF(AND('Data Source'!B301&lt;&gt;"",'Data Source'!S301="F"),IF('Data Source'!V301&gt;=5,"A+",IF('Data Source'!V301&gt;=4,"A",IF('Data Source'!V301&gt;=3.5,"A-",IF('Data Source'!V301&gt;=3,"B",IF('Data Source'!V301&gt;=2,"C",IF('Data Source'!V301&gt;=1,"D","F")))))),"")</f>
        <v/>
      </c>
      <c r="E301" s="3">
        <f>IF(AND('Data Source'!B301&lt;&gt;"",'Data Source'!S301="F"),IF('Data Source'!W301&gt;=5,"A+",IF('Data Source'!W301&gt;=4,"A",IF('Data Source'!W301&gt;=3.5,"A-",IF('Data Source'!W301&gt;=3,"B",IF('Data Source'!W301&gt;=2,"C",IF('Data Source'!W301&gt;=1,"D","F")))))),"")</f>
        <v/>
      </c>
      <c r="F301" s="3">
        <f>IF(AND('Data Source'!B301&lt;&gt;"",'Data Source'!S301="F"),IF('Data Source'!X301&gt;=5,"A+",IF('Data Source'!X301&gt;=4,"A",IF('Data Source'!X301&gt;=3.5,"A-",IF('Data Source'!X301&gt;=3,"B",IF('Data Source'!X301&gt;=2,"C",IF('Data Source'!X301&gt;=1,"D","F")))))),"")</f>
        <v/>
      </c>
      <c r="G301" s="3">
        <f>IF(AND('Data Source'!B301&lt;&gt;"",'Data Source'!S301="F"),IF('Data Source'!Y301&gt;=5,"A+",IF('Data Source'!Y301&gt;=4,"A",IF('Data Source'!Y301&gt;=3.5,"A-",IF('Data Source'!Y301&gt;=3,"B",IF('Data Source'!Y301&gt;=2,"C",IF('Data Source'!Y301&gt;=1,"D","F")))))),"")</f>
        <v/>
      </c>
      <c r="H301" s="3">
        <f>IF(AND('Data Source'!B301&lt;&gt;"",'Data Source'!S301="F"),IF('Data Source'!Z301&gt;=5,"A+",IF('Data Source'!Z301&gt;=4,"A",IF('Data Source'!Z301&gt;=3.5,"A-",IF('Data Source'!Z301&gt;=3,"B",IF('Data Source'!Z301&gt;=2,"C",IF('Data Source'!Z301&gt;=1,"D","F")))))),"")</f>
        <v/>
      </c>
      <c r="I301" s="3">
        <f>IF(AND('Data Source'!B301&lt;&gt;"",'Data Source'!S301="F"),IF('Data Source'!AA301&gt;=5,"A+",IF('Data Source'!AA301&gt;=4,"A",IF('Data Source'!AA301&gt;=3.5,"A-",IF('Data Source'!AA301&gt;=3,"B",IF('Data Source'!AA301&gt;=2,"C",IF('Data Source'!AA301&gt;=1,"D","F")))))),"")</f>
        <v/>
      </c>
      <c r="J301" s="3">
        <f>IF(AND('Data Source'!B301&lt;&gt;"",'Data Source'!S301="F"),IF('Data Source'!AB301&gt;=5,"A+",IF('Data Source'!AB301&gt;=4,"A",IF('Data Source'!AB301&gt;=3.5,"A-",IF('Data Source'!AB301&gt;=3,"B",IF('Data Source'!AB301&gt;=2,"C",IF('Data Source'!AB301&gt;=1,"D","F")))))),"")</f>
        <v/>
      </c>
      <c r="K301" s="3">
        <f>IF(AND('Data Source'!B301&lt;&gt;"",'Data Source'!S301="F"),IF('Data Source'!AC301&gt;=5,"A+",IF('Data Source'!AC301&gt;=4,"A",IF('Data Source'!AC301&gt;=3.5,"A-",IF('Data Source'!AC301&gt;=3,"B",IF('Data Source'!AC301&gt;=2,"C",IF('Data Source'!AC301&gt;=1,"D","F")))))),"")</f>
        <v/>
      </c>
      <c r="L301" s="3">
        <f>IF(AND('Data Source'!B301&lt;&gt;"",'Data Source'!S301="F"),IF('Data Source'!AD301&gt;=5,"A+",IF('Data Source'!AD301&gt;=4,"A",IF('Data Source'!AD301&gt;=3.5,"A-",IF('Data Source'!AD301&gt;=3,"B",IF('Data Source'!AD301&gt;=2,"C",IF('Data Source'!AD301&gt;=1,"D","F")))))),"")</f>
        <v/>
      </c>
      <c r="M301" s="3">
        <f>IF(AND('Data Source'!B301&lt;&gt;"",'Data Source'!S301="F"),IF('Data Source'!AE301&gt;=5,"A+",IF('Data Source'!AE301&gt;=4,"A",IF('Data Source'!AE301&gt;=3.5,"A-",IF('Data Source'!AE301&gt;=3,"B",IF('Data Source'!AE301&gt;=2,"C",IF('Data Source'!AE301&gt;=1,"D","F")))))),"")</f>
        <v/>
      </c>
      <c r="N301" s="3">
        <f>IF(AND('Data Source'!B301&lt;&gt;"",'Data Source'!S301="F"),IF('Data Source'!AF301&gt;=5,"A+",IF('Data Source'!AF301&gt;=4,"A",IF('Data Source'!AF301&gt;=3.5,"A-",IF('Data Source'!AF301&gt;=3,"B",IF('Data Source'!AF301&gt;=2,"C",IF('Data Source'!AF301&gt;=1,"D","F")))))),"")</f>
        <v/>
      </c>
      <c r="O301" s="3">
        <f>IF(AND('Data Source'!B301&lt;&gt;"",'Data Source'!S301="F"),IF('Data Source'!AG301&gt;=5,"A+",IF('Data Source'!AG301&gt;=4,"A",IF('Data Source'!AG301&gt;=3.5,"A-",IF('Data Source'!AG301&gt;=3,"B",IF('Data Source'!AG301&gt;=2,"C",IF('Data Source'!AG301&gt;=1,"D","F")))))),"")</f>
        <v/>
      </c>
      <c r="P301" s="5">
        <f>IF(AND('Data Source'!B301&lt;&gt;"",'Data Source'!S301="F"),'Data Source'!R301,"")</f>
        <v/>
      </c>
      <c r="Q301" s="3">
        <f>IF(AND('Data Source'!B301&lt;&gt;"",'Data Source'!S301="F"),'Data Source'!S301,"")</f>
        <v/>
      </c>
    </row>
    <row r="302">
      <c r="A302" s="3">
        <f>IF(AND('Data Source'!B302&lt;&gt;"",'Data Source'!S302="F"),COUNTIF('Data Source'!$S$3:S302,"F"),"")</f>
        <v/>
      </c>
      <c r="B302">
        <f>IF(AND('Data Source'!B302&lt;&gt;"",'Data Source'!S302="F"),'Data Source'!B302,"")</f>
        <v/>
      </c>
      <c r="C302" s="3">
        <f>IF(AND('Data Source'!B302&lt;&gt;"",'Data Source'!S302="F"),IF('Data Source'!U302&gt;=5,"A+",IF('Data Source'!U302&gt;=4,"A",IF('Data Source'!U302&gt;=3.5,"A-",IF('Data Source'!U302&gt;=3,"B",IF('Data Source'!U302&gt;=2,"C",IF('Data Source'!U302&gt;=1,"D","F")))))),"")</f>
        <v/>
      </c>
      <c r="D302" s="3">
        <f>IF(AND('Data Source'!B302&lt;&gt;"",'Data Source'!S302="F"),IF('Data Source'!V302&gt;=5,"A+",IF('Data Source'!V302&gt;=4,"A",IF('Data Source'!V302&gt;=3.5,"A-",IF('Data Source'!V302&gt;=3,"B",IF('Data Source'!V302&gt;=2,"C",IF('Data Source'!V302&gt;=1,"D","F")))))),"")</f>
        <v/>
      </c>
      <c r="E302" s="3">
        <f>IF(AND('Data Source'!B302&lt;&gt;"",'Data Source'!S302="F"),IF('Data Source'!W302&gt;=5,"A+",IF('Data Source'!W302&gt;=4,"A",IF('Data Source'!W302&gt;=3.5,"A-",IF('Data Source'!W302&gt;=3,"B",IF('Data Source'!W302&gt;=2,"C",IF('Data Source'!W302&gt;=1,"D","F")))))),"")</f>
        <v/>
      </c>
      <c r="F302" s="3">
        <f>IF(AND('Data Source'!B302&lt;&gt;"",'Data Source'!S302="F"),IF('Data Source'!X302&gt;=5,"A+",IF('Data Source'!X302&gt;=4,"A",IF('Data Source'!X302&gt;=3.5,"A-",IF('Data Source'!X302&gt;=3,"B",IF('Data Source'!X302&gt;=2,"C",IF('Data Source'!X302&gt;=1,"D","F")))))),"")</f>
        <v/>
      </c>
      <c r="G302" s="3">
        <f>IF(AND('Data Source'!B302&lt;&gt;"",'Data Source'!S302="F"),IF('Data Source'!Y302&gt;=5,"A+",IF('Data Source'!Y302&gt;=4,"A",IF('Data Source'!Y302&gt;=3.5,"A-",IF('Data Source'!Y302&gt;=3,"B",IF('Data Source'!Y302&gt;=2,"C",IF('Data Source'!Y302&gt;=1,"D","F")))))),"")</f>
        <v/>
      </c>
      <c r="H302" s="3">
        <f>IF(AND('Data Source'!B302&lt;&gt;"",'Data Source'!S302="F"),IF('Data Source'!Z302&gt;=5,"A+",IF('Data Source'!Z302&gt;=4,"A",IF('Data Source'!Z302&gt;=3.5,"A-",IF('Data Source'!Z302&gt;=3,"B",IF('Data Source'!Z302&gt;=2,"C",IF('Data Source'!Z302&gt;=1,"D","F")))))),"")</f>
        <v/>
      </c>
      <c r="I302" s="3">
        <f>IF(AND('Data Source'!B302&lt;&gt;"",'Data Source'!S302="F"),IF('Data Source'!AA302&gt;=5,"A+",IF('Data Source'!AA302&gt;=4,"A",IF('Data Source'!AA302&gt;=3.5,"A-",IF('Data Source'!AA302&gt;=3,"B",IF('Data Source'!AA302&gt;=2,"C",IF('Data Source'!AA302&gt;=1,"D","F")))))),"")</f>
        <v/>
      </c>
      <c r="J302" s="3">
        <f>IF(AND('Data Source'!B302&lt;&gt;"",'Data Source'!S302="F"),IF('Data Source'!AB302&gt;=5,"A+",IF('Data Source'!AB302&gt;=4,"A",IF('Data Source'!AB302&gt;=3.5,"A-",IF('Data Source'!AB302&gt;=3,"B",IF('Data Source'!AB302&gt;=2,"C",IF('Data Source'!AB302&gt;=1,"D","F")))))),"")</f>
        <v/>
      </c>
      <c r="K302" s="3">
        <f>IF(AND('Data Source'!B302&lt;&gt;"",'Data Source'!S302="F"),IF('Data Source'!AC302&gt;=5,"A+",IF('Data Source'!AC302&gt;=4,"A",IF('Data Source'!AC302&gt;=3.5,"A-",IF('Data Source'!AC302&gt;=3,"B",IF('Data Source'!AC302&gt;=2,"C",IF('Data Source'!AC302&gt;=1,"D","F")))))),"")</f>
        <v/>
      </c>
      <c r="L302" s="3">
        <f>IF(AND('Data Source'!B302&lt;&gt;"",'Data Source'!S302="F"),IF('Data Source'!AD302&gt;=5,"A+",IF('Data Source'!AD302&gt;=4,"A",IF('Data Source'!AD302&gt;=3.5,"A-",IF('Data Source'!AD302&gt;=3,"B",IF('Data Source'!AD302&gt;=2,"C",IF('Data Source'!AD302&gt;=1,"D","F")))))),"")</f>
        <v/>
      </c>
      <c r="M302" s="3">
        <f>IF(AND('Data Source'!B302&lt;&gt;"",'Data Source'!S302="F"),IF('Data Source'!AE302&gt;=5,"A+",IF('Data Source'!AE302&gt;=4,"A",IF('Data Source'!AE302&gt;=3.5,"A-",IF('Data Source'!AE302&gt;=3,"B",IF('Data Source'!AE302&gt;=2,"C",IF('Data Source'!AE302&gt;=1,"D","F")))))),"")</f>
        <v/>
      </c>
      <c r="N302" s="3">
        <f>IF(AND('Data Source'!B302&lt;&gt;"",'Data Source'!S302="F"),IF('Data Source'!AF302&gt;=5,"A+",IF('Data Source'!AF302&gt;=4,"A",IF('Data Source'!AF302&gt;=3.5,"A-",IF('Data Source'!AF302&gt;=3,"B",IF('Data Source'!AF302&gt;=2,"C",IF('Data Source'!AF302&gt;=1,"D","F")))))),"")</f>
        <v/>
      </c>
      <c r="O302" s="3">
        <f>IF(AND('Data Source'!B302&lt;&gt;"",'Data Source'!S302="F"),IF('Data Source'!AG302&gt;=5,"A+",IF('Data Source'!AG302&gt;=4,"A",IF('Data Source'!AG302&gt;=3.5,"A-",IF('Data Source'!AG302&gt;=3,"B",IF('Data Source'!AG302&gt;=2,"C",IF('Data Source'!AG302&gt;=1,"D","F")))))),"")</f>
        <v/>
      </c>
      <c r="P302" s="5">
        <f>IF(AND('Data Source'!B302&lt;&gt;"",'Data Source'!S302="F"),'Data Source'!R302,"")</f>
        <v/>
      </c>
      <c r="Q302" s="3">
        <f>IF(AND('Data Source'!B302&lt;&gt;"",'Data Source'!S302="F"),'Data Source'!S302,"")</f>
        <v/>
      </c>
    </row>
    <row r="303">
      <c r="A303" s="3">
        <f>IF(AND('Data Source'!B303&lt;&gt;"",'Data Source'!S303="F"),COUNTIF('Data Source'!$S$3:S303,"F"),"")</f>
        <v/>
      </c>
      <c r="B303">
        <f>IF(AND('Data Source'!B303&lt;&gt;"",'Data Source'!S303="F"),'Data Source'!B303,"")</f>
        <v/>
      </c>
      <c r="C303" s="3">
        <f>IF(AND('Data Source'!B303&lt;&gt;"",'Data Source'!S303="F"),IF('Data Source'!U303&gt;=5,"A+",IF('Data Source'!U303&gt;=4,"A",IF('Data Source'!U303&gt;=3.5,"A-",IF('Data Source'!U303&gt;=3,"B",IF('Data Source'!U303&gt;=2,"C",IF('Data Source'!U303&gt;=1,"D","F")))))),"")</f>
        <v/>
      </c>
      <c r="D303" s="3">
        <f>IF(AND('Data Source'!B303&lt;&gt;"",'Data Source'!S303="F"),IF('Data Source'!V303&gt;=5,"A+",IF('Data Source'!V303&gt;=4,"A",IF('Data Source'!V303&gt;=3.5,"A-",IF('Data Source'!V303&gt;=3,"B",IF('Data Source'!V303&gt;=2,"C",IF('Data Source'!V303&gt;=1,"D","F")))))),"")</f>
        <v/>
      </c>
      <c r="E303" s="3">
        <f>IF(AND('Data Source'!B303&lt;&gt;"",'Data Source'!S303="F"),IF('Data Source'!W303&gt;=5,"A+",IF('Data Source'!W303&gt;=4,"A",IF('Data Source'!W303&gt;=3.5,"A-",IF('Data Source'!W303&gt;=3,"B",IF('Data Source'!W303&gt;=2,"C",IF('Data Source'!W303&gt;=1,"D","F")))))),"")</f>
        <v/>
      </c>
      <c r="F303" s="3">
        <f>IF(AND('Data Source'!B303&lt;&gt;"",'Data Source'!S303="F"),IF('Data Source'!X303&gt;=5,"A+",IF('Data Source'!X303&gt;=4,"A",IF('Data Source'!X303&gt;=3.5,"A-",IF('Data Source'!X303&gt;=3,"B",IF('Data Source'!X303&gt;=2,"C",IF('Data Source'!X303&gt;=1,"D","F")))))),"")</f>
        <v/>
      </c>
      <c r="G303" s="3">
        <f>IF(AND('Data Source'!B303&lt;&gt;"",'Data Source'!S303="F"),IF('Data Source'!Y303&gt;=5,"A+",IF('Data Source'!Y303&gt;=4,"A",IF('Data Source'!Y303&gt;=3.5,"A-",IF('Data Source'!Y303&gt;=3,"B",IF('Data Source'!Y303&gt;=2,"C",IF('Data Source'!Y303&gt;=1,"D","F")))))),"")</f>
        <v/>
      </c>
      <c r="H303" s="3">
        <f>IF(AND('Data Source'!B303&lt;&gt;"",'Data Source'!S303="F"),IF('Data Source'!Z303&gt;=5,"A+",IF('Data Source'!Z303&gt;=4,"A",IF('Data Source'!Z303&gt;=3.5,"A-",IF('Data Source'!Z303&gt;=3,"B",IF('Data Source'!Z303&gt;=2,"C",IF('Data Source'!Z303&gt;=1,"D","F")))))),"")</f>
        <v/>
      </c>
      <c r="I303" s="3">
        <f>IF(AND('Data Source'!B303&lt;&gt;"",'Data Source'!S303="F"),IF('Data Source'!AA303&gt;=5,"A+",IF('Data Source'!AA303&gt;=4,"A",IF('Data Source'!AA303&gt;=3.5,"A-",IF('Data Source'!AA303&gt;=3,"B",IF('Data Source'!AA303&gt;=2,"C",IF('Data Source'!AA303&gt;=1,"D","F")))))),"")</f>
        <v/>
      </c>
      <c r="J303" s="3">
        <f>IF(AND('Data Source'!B303&lt;&gt;"",'Data Source'!S303="F"),IF('Data Source'!AB303&gt;=5,"A+",IF('Data Source'!AB303&gt;=4,"A",IF('Data Source'!AB303&gt;=3.5,"A-",IF('Data Source'!AB303&gt;=3,"B",IF('Data Source'!AB303&gt;=2,"C",IF('Data Source'!AB303&gt;=1,"D","F")))))),"")</f>
        <v/>
      </c>
      <c r="K303" s="3">
        <f>IF(AND('Data Source'!B303&lt;&gt;"",'Data Source'!S303="F"),IF('Data Source'!AC303&gt;=5,"A+",IF('Data Source'!AC303&gt;=4,"A",IF('Data Source'!AC303&gt;=3.5,"A-",IF('Data Source'!AC303&gt;=3,"B",IF('Data Source'!AC303&gt;=2,"C",IF('Data Source'!AC303&gt;=1,"D","F")))))),"")</f>
        <v/>
      </c>
      <c r="L303" s="3">
        <f>IF(AND('Data Source'!B303&lt;&gt;"",'Data Source'!S303="F"),IF('Data Source'!AD303&gt;=5,"A+",IF('Data Source'!AD303&gt;=4,"A",IF('Data Source'!AD303&gt;=3.5,"A-",IF('Data Source'!AD303&gt;=3,"B",IF('Data Source'!AD303&gt;=2,"C",IF('Data Source'!AD303&gt;=1,"D","F")))))),"")</f>
        <v/>
      </c>
      <c r="M303" s="3">
        <f>IF(AND('Data Source'!B303&lt;&gt;"",'Data Source'!S303="F"),IF('Data Source'!AE303&gt;=5,"A+",IF('Data Source'!AE303&gt;=4,"A",IF('Data Source'!AE303&gt;=3.5,"A-",IF('Data Source'!AE303&gt;=3,"B",IF('Data Source'!AE303&gt;=2,"C",IF('Data Source'!AE303&gt;=1,"D","F")))))),"")</f>
        <v/>
      </c>
      <c r="N303" s="3">
        <f>IF(AND('Data Source'!B303&lt;&gt;"",'Data Source'!S303="F"),IF('Data Source'!AF303&gt;=5,"A+",IF('Data Source'!AF303&gt;=4,"A",IF('Data Source'!AF303&gt;=3.5,"A-",IF('Data Source'!AF303&gt;=3,"B",IF('Data Source'!AF303&gt;=2,"C",IF('Data Source'!AF303&gt;=1,"D","F")))))),"")</f>
        <v/>
      </c>
      <c r="O303" s="3">
        <f>IF(AND('Data Source'!B303&lt;&gt;"",'Data Source'!S303="F"),IF('Data Source'!AG303&gt;=5,"A+",IF('Data Source'!AG303&gt;=4,"A",IF('Data Source'!AG303&gt;=3.5,"A-",IF('Data Source'!AG303&gt;=3,"B",IF('Data Source'!AG303&gt;=2,"C",IF('Data Source'!AG303&gt;=1,"D","F")))))),"")</f>
        <v/>
      </c>
      <c r="P303" s="5">
        <f>IF(AND('Data Source'!B303&lt;&gt;"",'Data Source'!S303="F"),'Data Source'!R303,"")</f>
        <v/>
      </c>
      <c r="Q303" s="3">
        <f>IF(AND('Data Source'!B303&lt;&gt;"",'Data Source'!S303="F"),'Data Source'!S303,"")</f>
        <v/>
      </c>
    </row>
    <row r="304">
      <c r="A304" s="3">
        <f>IF(AND('Data Source'!B304&lt;&gt;"",'Data Source'!S304="F"),COUNTIF('Data Source'!$S$3:S304,"F"),"")</f>
        <v/>
      </c>
      <c r="B304">
        <f>IF(AND('Data Source'!B304&lt;&gt;"",'Data Source'!S304="F"),'Data Source'!B304,"")</f>
        <v/>
      </c>
      <c r="C304" s="3">
        <f>IF(AND('Data Source'!B304&lt;&gt;"",'Data Source'!S304="F"),IF('Data Source'!U304&gt;=5,"A+",IF('Data Source'!U304&gt;=4,"A",IF('Data Source'!U304&gt;=3.5,"A-",IF('Data Source'!U304&gt;=3,"B",IF('Data Source'!U304&gt;=2,"C",IF('Data Source'!U304&gt;=1,"D","F")))))),"")</f>
        <v/>
      </c>
      <c r="D304" s="3">
        <f>IF(AND('Data Source'!B304&lt;&gt;"",'Data Source'!S304="F"),IF('Data Source'!V304&gt;=5,"A+",IF('Data Source'!V304&gt;=4,"A",IF('Data Source'!V304&gt;=3.5,"A-",IF('Data Source'!V304&gt;=3,"B",IF('Data Source'!V304&gt;=2,"C",IF('Data Source'!V304&gt;=1,"D","F")))))),"")</f>
        <v/>
      </c>
      <c r="E304" s="3">
        <f>IF(AND('Data Source'!B304&lt;&gt;"",'Data Source'!S304="F"),IF('Data Source'!W304&gt;=5,"A+",IF('Data Source'!W304&gt;=4,"A",IF('Data Source'!W304&gt;=3.5,"A-",IF('Data Source'!W304&gt;=3,"B",IF('Data Source'!W304&gt;=2,"C",IF('Data Source'!W304&gt;=1,"D","F")))))),"")</f>
        <v/>
      </c>
      <c r="F304" s="3">
        <f>IF(AND('Data Source'!B304&lt;&gt;"",'Data Source'!S304="F"),IF('Data Source'!X304&gt;=5,"A+",IF('Data Source'!X304&gt;=4,"A",IF('Data Source'!X304&gt;=3.5,"A-",IF('Data Source'!X304&gt;=3,"B",IF('Data Source'!X304&gt;=2,"C",IF('Data Source'!X304&gt;=1,"D","F")))))),"")</f>
        <v/>
      </c>
      <c r="G304" s="3">
        <f>IF(AND('Data Source'!B304&lt;&gt;"",'Data Source'!S304="F"),IF('Data Source'!Y304&gt;=5,"A+",IF('Data Source'!Y304&gt;=4,"A",IF('Data Source'!Y304&gt;=3.5,"A-",IF('Data Source'!Y304&gt;=3,"B",IF('Data Source'!Y304&gt;=2,"C",IF('Data Source'!Y304&gt;=1,"D","F")))))),"")</f>
        <v/>
      </c>
      <c r="H304" s="3">
        <f>IF(AND('Data Source'!B304&lt;&gt;"",'Data Source'!S304="F"),IF('Data Source'!Z304&gt;=5,"A+",IF('Data Source'!Z304&gt;=4,"A",IF('Data Source'!Z304&gt;=3.5,"A-",IF('Data Source'!Z304&gt;=3,"B",IF('Data Source'!Z304&gt;=2,"C",IF('Data Source'!Z304&gt;=1,"D","F")))))),"")</f>
        <v/>
      </c>
      <c r="I304" s="3">
        <f>IF(AND('Data Source'!B304&lt;&gt;"",'Data Source'!S304="F"),IF('Data Source'!AA304&gt;=5,"A+",IF('Data Source'!AA304&gt;=4,"A",IF('Data Source'!AA304&gt;=3.5,"A-",IF('Data Source'!AA304&gt;=3,"B",IF('Data Source'!AA304&gt;=2,"C",IF('Data Source'!AA304&gt;=1,"D","F")))))),"")</f>
        <v/>
      </c>
      <c r="J304" s="3">
        <f>IF(AND('Data Source'!B304&lt;&gt;"",'Data Source'!S304="F"),IF('Data Source'!AB304&gt;=5,"A+",IF('Data Source'!AB304&gt;=4,"A",IF('Data Source'!AB304&gt;=3.5,"A-",IF('Data Source'!AB304&gt;=3,"B",IF('Data Source'!AB304&gt;=2,"C",IF('Data Source'!AB304&gt;=1,"D","F")))))),"")</f>
        <v/>
      </c>
      <c r="K304" s="3">
        <f>IF(AND('Data Source'!B304&lt;&gt;"",'Data Source'!S304="F"),IF('Data Source'!AC304&gt;=5,"A+",IF('Data Source'!AC304&gt;=4,"A",IF('Data Source'!AC304&gt;=3.5,"A-",IF('Data Source'!AC304&gt;=3,"B",IF('Data Source'!AC304&gt;=2,"C",IF('Data Source'!AC304&gt;=1,"D","F")))))),"")</f>
        <v/>
      </c>
      <c r="L304" s="3">
        <f>IF(AND('Data Source'!B304&lt;&gt;"",'Data Source'!S304="F"),IF('Data Source'!AD304&gt;=5,"A+",IF('Data Source'!AD304&gt;=4,"A",IF('Data Source'!AD304&gt;=3.5,"A-",IF('Data Source'!AD304&gt;=3,"B",IF('Data Source'!AD304&gt;=2,"C",IF('Data Source'!AD304&gt;=1,"D","F")))))),"")</f>
        <v/>
      </c>
      <c r="M304" s="3">
        <f>IF(AND('Data Source'!B304&lt;&gt;"",'Data Source'!S304="F"),IF('Data Source'!AE304&gt;=5,"A+",IF('Data Source'!AE304&gt;=4,"A",IF('Data Source'!AE304&gt;=3.5,"A-",IF('Data Source'!AE304&gt;=3,"B",IF('Data Source'!AE304&gt;=2,"C",IF('Data Source'!AE304&gt;=1,"D","F")))))),"")</f>
        <v/>
      </c>
      <c r="N304" s="3">
        <f>IF(AND('Data Source'!B304&lt;&gt;"",'Data Source'!S304="F"),IF('Data Source'!AF304&gt;=5,"A+",IF('Data Source'!AF304&gt;=4,"A",IF('Data Source'!AF304&gt;=3.5,"A-",IF('Data Source'!AF304&gt;=3,"B",IF('Data Source'!AF304&gt;=2,"C",IF('Data Source'!AF304&gt;=1,"D","F")))))),"")</f>
        <v/>
      </c>
      <c r="O304" s="3">
        <f>IF(AND('Data Source'!B304&lt;&gt;"",'Data Source'!S304="F"),IF('Data Source'!AG304&gt;=5,"A+",IF('Data Source'!AG304&gt;=4,"A",IF('Data Source'!AG304&gt;=3.5,"A-",IF('Data Source'!AG304&gt;=3,"B",IF('Data Source'!AG304&gt;=2,"C",IF('Data Source'!AG304&gt;=1,"D","F")))))),"")</f>
        <v/>
      </c>
      <c r="P304" s="5">
        <f>IF(AND('Data Source'!B304&lt;&gt;"",'Data Source'!S304="F"),'Data Source'!R304,"")</f>
        <v/>
      </c>
      <c r="Q304" s="3">
        <f>IF(AND('Data Source'!B304&lt;&gt;"",'Data Source'!S304="F"),'Data Source'!S304,"")</f>
        <v/>
      </c>
    </row>
    <row r="305">
      <c r="A305" s="3">
        <f>IF(AND('Data Source'!B305&lt;&gt;"",'Data Source'!S305="F"),COUNTIF('Data Source'!$S$3:S305,"F"),"")</f>
        <v/>
      </c>
      <c r="B305">
        <f>IF(AND('Data Source'!B305&lt;&gt;"",'Data Source'!S305="F"),'Data Source'!B305,"")</f>
        <v/>
      </c>
      <c r="C305" s="3">
        <f>IF(AND('Data Source'!B305&lt;&gt;"",'Data Source'!S305="F"),IF('Data Source'!U305&gt;=5,"A+",IF('Data Source'!U305&gt;=4,"A",IF('Data Source'!U305&gt;=3.5,"A-",IF('Data Source'!U305&gt;=3,"B",IF('Data Source'!U305&gt;=2,"C",IF('Data Source'!U305&gt;=1,"D","F")))))),"")</f>
        <v/>
      </c>
      <c r="D305" s="3">
        <f>IF(AND('Data Source'!B305&lt;&gt;"",'Data Source'!S305="F"),IF('Data Source'!V305&gt;=5,"A+",IF('Data Source'!V305&gt;=4,"A",IF('Data Source'!V305&gt;=3.5,"A-",IF('Data Source'!V305&gt;=3,"B",IF('Data Source'!V305&gt;=2,"C",IF('Data Source'!V305&gt;=1,"D","F")))))),"")</f>
        <v/>
      </c>
      <c r="E305" s="3">
        <f>IF(AND('Data Source'!B305&lt;&gt;"",'Data Source'!S305="F"),IF('Data Source'!W305&gt;=5,"A+",IF('Data Source'!W305&gt;=4,"A",IF('Data Source'!W305&gt;=3.5,"A-",IF('Data Source'!W305&gt;=3,"B",IF('Data Source'!W305&gt;=2,"C",IF('Data Source'!W305&gt;=1,"D","F")))))),"")</f>
        <v/>
      </c>
      <c r="F305" s="3">
        <f>IF(AND('Data Source'!B305&lt;&gt;"",'Data Source'!S305="F"),IF('Data Source'!X305&gt;=5,"A+",IF('Data Source'!X305&gt;=4,"A",IF('Data Source'!X305&gt;=3.5,"A-",IF('Data Source'!X305&gt;=3,"B",IF('Data Source'!X305&gt;=2,"C",IF('Data Source'!X305&gt;=1,"D","F")))))),"")</f>
        <v/>
      </c>
      <c r="G305" s="3">
        <f>IF(AND('Data Source'!B305&lt;&gt;"",'Data Source'!S305="F"),IF('Data Source'!Y305&gt;=5,"A+",IF('Data Source'!Y305&gt;=4,"A",IF('Data Source'!Y305&gt;=3.5,"A-",IF('Data Source'!Y305&gt;=3,"B",IF('Data Source'!Y305&gt;=2,"C",IF('Data Source'!Y305&gt;=1,"D","F")))))),"")</f>
        <v/>
      </c>
      <c r="H305" s="3">
        <f>IF(AND('Data Source'!B305&lt;&gt;"",'Data Source'!S305="F"),IF('Data Source'!Z305&gt;=5,"A+",IF('Data Source'!Z305&gt;=4,"A",IF('Data Source'!Z305&gt;=3.5,"A-",IF('Data Source'!Z305&gt;=3,"B",IF('Data Source'!Z305&gt;=2,"C",IF('Data Source'!Z305&gt;=1,"D","F")))))),"")</f>
        <v/>
      </c>
      <c r="I305" s="3">
        <f>IF(AND('Data Source'!B305&lt;&gt;"",'Data Source'!S305="F"),IF('Data Source'!AA305&gt;=5,"A+",IF('Data Source'!AA305&gt;=4,"A",IF('Data Source'!AA305&gt;=3.5,"A-",IF('Data Source'!AA305&gt;=3,"B",IF('Data Source'!AA305&gt;=2,"C",IF('Data Source'!AA305&gt;=1,"D","F")))))),"")</f>
        <v/>
      </c>
      <c r="J305" s="3">
        <f>IF(AND('Data Source'!B305&lt;&gt;"",'Data Source'!S305="F"),IF('Data Source'!AB305&gt;=5,"A+",IF('Data Source'!AB305&gt;=4,"A",IF('Data Source'!AB305&gt;=3.5,"A-",IF('Data Source'!AB305&gt;=3,"B",IF('Data Source'!AB305&gt;=2,"C",IF('Data Source'!AB305&gt;=1,"D","F")))))),"")</f>
        <v/>
      </c>
      <c r="K305" s="3">
        <f>IF(AND('Data Source'!B305&lt;&gt;"",'Data Source'!S305="F"),IF('Data Source'!AC305&gt;=5,"A+",IF('Data Source'!AC305&gt;=4,"A",IF('Data Source'!AC305&gt;=3.5,"A-",IF('Data Source'!AC305&gt;=3,"B",IF('Data Source'!AC305&gt;=2,"C",IF('Data Source'!AC305&gt;=1,"D","F")))))),"")</f>
        <v/>
      </c>
      <c r="L305" s="3">
        <f>IF(AND('Data Source'!B305&lt;&gt;"",'Data Source'!S305="F"),IF('Data Source'!AD305&gt;=5,"A+",IF('Data Source'!AD305&gt;=4,"A",IF('Data Source'!AD305&gt;=3.5,"A-",IF('Data Source'!AD305&gt;=3,"B",IF('Data Source'!AD305&gt;=2,"C",IF('Data Source'!AD305&gt;=1,"D","F")))))),"")</f>
        <v/>
      </c>
      <c r="M305" s="3">
        <f>IF(AND('Data Source'!B305&lt;&gt;"",'Data Source'!S305="F"),IF('Data Source'!AE305&gt;=5,"A+",IF('Data Source'!AE305&gt;=4,"A",IF('Data Source'!AE305&gt;=3.5,"A-",IF('Data Source'!AE305&gt;=3,"B",IF('Data Source'!AE305&gt;=2,"C",IF('Data Source'!AE305&gt;=1,"D","F")))))),"")</f>
        <v/>
      </c>
      <c r="N305" s="3">
        <f>IF(AND('Data Source'!B305&lt;&gt;"",'Data Source'!S305="F"),IF('Data Source'!AF305&gt;=5,"A+",IF('Data Source'!AF305&gt;=4,"A",IF('Data Source'!AF305&gt;=3.5,"A-",IF('Data Source'!AF305&gt;=3,"B",IF('Data Source'!AF305&gt;=2,"C",IF('Data Source'!AF305&gt;=1,"D","F")))))),"")</f>
        <v/>
      </c>
      <c r="O305" s="3">
        <f>IF(AND('Data Source'!B305&lt;&gt;"",'Data Source'!S305="F"),IF('Data Source'!AG305&gt;=5,"A+",IF('Data Source'!AG305&gt;=4,"A",IF('Data Source'!AG305&gt;=3.5,"A-",IF('Data Source'!AG305&gt;=3,"B",IF('Data Source'!AG305&gt;=2,"C",IF('Data Source'!AG305&gt;=1,"D","F")))))),"")</f>
        <v/>
      </c>
      <c r="P305" s="5">
        <f>IF(AND('Data Source'!B305&lt;&gt;"",'Data Source'!S305="F"),'Data Source'!R305,"")</f>
        <v/>
      </c>
      <c r="Q305" s="3">
        <f>IF(AND('Data Source'!B305&lt;&gt;"",'Data Source'!S305="F"),'Data Source'!S305,"")</f>
        <v/>
      </c>
    </row>
    <row r="306">
      <c r="A306" s="3">
        <f>IF(AND('Data Source'!B306&lt;&gt;"",'Data Source'!S306="F"),COUNTIF('Data Source'!$S$3:S306,"F"),"")</f>
        <v/>
      </c>
      <c r="B306">
        <f>IF(AND('Data Source'!B306&lt;&gt;"",'Data Source'!S306="F"),'Data Source'!B306,"")</f>
        <v/>
      </c>
      <c r="C306" s="3">
        <f>IF(AND('Data Source'!B306&lt;&gt;"",'Data Source'!S306="F"),IF('Data Source'!U306&gt;=5,"A+",IF('Data Source'!U306&gt;=4,"A",IF('Data Source'!U306&gt;=3.5,"A-",IF('Data Source'!U306&gt;=3,"B",IF('Data Source'!U306&gt;=2,"C",IF('Data Source'!U306&gt;=1,"D","F")))))),"")</f>
        <v/>
      </c>
      <c r="D306" s="3">
        <f>IF(AND('Data Source'!B306&lt;&gt;"",'Data Source'!S306="F"),IF('Data Source'!V306&gt;=5,"A+",IF('Data Source'!V306&gt;=4,"A",IF('Data Source'!V306&gt;=3.5,"A-",IF('Data Source'!V306&gt;=3,"B",IF('Data Source'!V306&gt;=2,"C",IF('Data Source'!V306&gt;=1,"D","F")))))),"")</f>
        <v/>
      </c>
      <c r="E306" s="3">
        <f>IF(AND('Data Source'!B306&lt;&gt;"",'Data Source'!S306="F"),IF('Data Source'!W306&gt;=5,"A+",IF('Data Source'!W306&gt;=4,"A",IF('Data Source'!W306&gt;=3.5,"A-",IF('Data Source'!W306&gt;=3,"B",IF('Data Source'!W306&gt;=2,"C",IF('Data Source'!W306&gt;=1,"D","F")))))),"")</f>
        <v/>
      </c>
      <c r="F306" s="3">
        <f>IF(AND('Data Source'!B306&lt;&gt;"",'Data Source'!S306="F"),IF('Data Source'!X306&gt;=5,"A+",IF('Data Source'!X306&gt;=4,"A",IF('Data Source'!X306&gt;=3.5,"A-",IF('Data Source'!X306&gt;=3,"B",IF('Data Source'!X306&gt;=2,"C",IF('Data Source'!X306&gt;=1,"D","F")))))),"")</f>
        <v/>
      </c>
      <c r="G306" s="3">
        <f>IF(AND('Data Source'!B306&lt;&gt;"",'Data Source'!S306="F"),IF('Data Source'!Y306&gt;=5,"A+",IF('Data Source'!Y306&gt;=4,"A",IF('Data Source'!Y306&gt;=3.5,"A-",IF('Data Source'!Y306&gt;=3,"B",IF('Data Source'!Y306&gt;=2,"C",IF('Data Source'!Y306&gt;=1,"D","F")))))),"")</f>
        <v/>
      </c>
      <c r="H306" s="3">
        <f>IF(AND('Data Source'!B306&lt;&gt;"",'Data Source'!S306="F"),IF('Data Source'!Z306&gt;=5,"A+",IF('Data Source'!Z306&gt;=4,"A",IF('Data Source'!Z306&gt;=3.5,"A-",IF('Data Source'!Z306&gt;=3,"B",IF('Data Source'!Z306&gt;=2,"C",IF('Data Source'!Z306&gt;=1,"D","F")))))),"")</f>
        <v/>
      </c>
      <c r="I306" s="3">
        <f>IF(AND('Data Source'!B306&lt;&gt;"",'Data Source'!S306="F"),IF('Data Source'!AA306&gt;=5,"A+",IF('Data Source'!AA306&gt;=4,"A",IF('Data Source'!AA306&gt;=3.5,"A-",IF('Data Source'!AA306&gt;=3,"B",IF('Data Source'!AA306&gt;=2,"C",IF('Data Source'!AA306&gt;=1,"D","F")))))),"")</f>
        <v/>
      </c>
      <c r="J306" s="3">
        <f>IF(AND('Data Source'!B306&lt;&gt;"",'Data Source'!S306="F"),IF('Data Source'!AB306&gt;=5,"A+",IF('Data Source'!AB306&gt;=4,"A",IF('Data Source'!AB306&gt;=3.5,"A-",IF('Data Source'!AB306&gt;=3,"B",IF('Data Source'!AB306&gt;=2,"C",IF('Data Source'!AB306&gt;=1,"D","F")))))),"")</f>
        <v/>
      </c>
      <c r="K306" s="3">
        <f>IF(AND('Data Source'!B306&lt;&gt;"",'Data Source'!S306="F"),IF('Data Source'!AC306&gt;=5,"A+",IF('Data Source'!AC306&gt;=4,"A",IF('Data Source'!AC306&gt;=3.5,"A-",IF('Data Source'!AC306&gt;=3,"B",IF('Data Source'!AC306&gt;=2,"C",IF('Data Source'!AC306&gt;=1,"D","F")))))),"")</f>
        <v/>
      </c>
      <c r="L306" s="3">
        <f>IF(AND('Data Source'!B306&lt;&gt;"",'Data Source'!S306="F"),IF('Data Source'!AD306&gt;=5,"A+",IF('Data Source'!AD306&gt;=4,"A",IF('Data Source'!AD306&gt;=3.5,"A-",IF('Data Source'!AD306&gt;=3,"B",IF('Data Source'!AD306&gt;=2,"C",IF('Data Source'!AD306&gt;=1,"D","F")))))),"")</f>
        <v/>
      </c>
      <c r="M306" s="3">
        <f>IF(AND('Data Source'!B306&lt;&gt;"",'Data Source'!S306="F"),IF('Data Source'!AE306&gt;=5,"A+",IF('Data Source'!AE306&gt;=4,"A",IF('Data Source'!AE306&gt;=3.5,"A-",IF('Data Source'!AE306&gt;=3,"B",IF('Data Source'!AE306&gt;=2,"C",IF('Data Source'!AE306&gt;=1,"D","F")))))),"")</f>
        <v/>
      </c>
      <c r="N306" s="3">
        <f>IF(AND('Data Source'!B306&lt;&gt;"",'Data Source'!S306="F"),IF('Data Source'!AF306&gt;=5,"A+",IF('Data Source'!AF306&gt;=4,"A",IF('Data Source'!AF306&gt;=3.5,"A-",IF('Data Source'!AF306&gt;=3,"B",IF('Data Source'!AF306&gt;=2,"C",IF('Data Source'!AF306&gt;=1,"D","F")))))),"")</f>
        <v/>
      </c>
      <c r="O306" s="3">
        <f>IF(AND('Data Source'!B306&lt;&gt;"",'Data Source'!S306="F"),IF('Data Source'!AG306&gt;=5,"A+",IF('Data Source'!AG306&gt;=4,"A",IF('Data Source'!AG306&gt;=3.5,"A-",IF('Data Source'!AG306&gt;=3,"B",IF('Data Source'!AG306&gt;=2,"C",IF('Data Source'!AG306&gt;=1,"D","F")))))),"")</f>
        <v/>
      </c>
      <c r="P306" s="5">
        <f>IF(AND('Data Source'!B306&lt;&gt;"",'Data Source'!S306="F"),'Data Source'!R306,"")</f>
        <v/>
      </c>
      <c r="Q306" s="3">
        <f>IF(AND('Data Source'!B306&lt;&gt;"",'Data Source'!S306="F"),'Data Source'!S306,"")</f>
        <v/>
      </c>
    </row>
    <row r="307">
      <c r="A307" s="3">
        <f>IF(AND('Data Source'!B307&lt;&gt;"",'Data Source'!S307="F"),COUNTIF('Data Source'!$S$3:S307,"F"),"")</f>
        <v/>
      </c>
      <c r="B307">
        <f>IF(AND('Data Source'!B307&lt;&gt;"",'Data Source'!S307="F"),'Data Source'!B307,"")</f>
        <v/>
      </c>
      <c r="C307" s="3">
        <f>IF(AND('Data Source'!B307&lt;&gt;"",'Data Source'!S307="F"),IF('Data Source'!U307&gt;=5,"A+",IF('Data Source'!U307&gt;=4,"A",IF('Data Source'!U307&gt;=3.5,"A-",IF('Data Source'!U307&gt;=3,"B",IF('Data Source'!U307&gt;=2,"C",IF('Data Source'!U307&gt;=1,"D","F")))))),"")</f>
        <v/>
      </c>
      <c r="D307" s="3">
        <f>IF(AND('Data Source'!B307&lt;&gt;"",'Data Source'!S307="F"),IF('Data Source'!V307&gt;=5,"A+",IF('Data Source'!V307&gt;=4,"A",IF('Data Source'!V307&gt;=3.5,"A-",IF('Data Source'!V307&gt;=3,"B",IF('Data Source'!V307&gt;=2,"C",IF('Data Source'!V307&gt;=1,"D","F")))))),"")</f>
        <v/>
      </c>
      <c r="E307" s="3">
        <f>IF(AND('Data Source'!B307&lt;&gt;"",'Data Source'!S307="F"),IF('Data Source'!W307&gt;=5,"A+",IF('Data Source'!W307&gt;=4,"A",IF('Data Source'!W307&gt;=3.5,"A-",IF('Data Source'!W307&gt;=3,"B",IF('Data Source'!W307&gt;=2,"C",IF('Data Source'!W307&gt;=1,"D","F")))))),"")</f>
        <v/>
      </c>
      <c r="F307" s="3">
        <f>IF(AND('Data Source'!B307&lt;&gt;"",'Data Source'!S307="F"),IF('Data Source'!X307&gt;=5,"A+",IF('Data Source'!X307&gt;=4,"A",IF('Data Source'!X307&gt;=3.5,"A-",IF('Data Source'!X307&gt;=3,"B",IF('Data Source'!X307&gt;=2,"C",IF('Data Source'!X307&gt;=1,"D","F")))))),"")</f>
        <v/>
      </c>
      <c r="G307" s="3">
        <f>IF(AND('Data Source'!B307&lt;&gt;"",'Data Source'!S307="F"),IF('Data Source'!Y307&gt;=5,"A+",IF('Data Source'!Y307&gt;=4,"A",IF('Data Source'!Y307&gt;=3.5,"A-",IF('Data Source'!Y307&gt;=3,"B",IF('Data Source'!Y307&gt;=2,"C",IF('Data Source'!Y307&gt;=1,"D","F")))))),"")</f>
        <v/>
      </c>
      <c r="H307" s="3">
        <f>IF(AND('Data Source'!B307&lt;&gt;"",'Data Source'!S307="F"),IF('Data Source'!Z307&gt;=5,"A+",IF('Data Source'!Z307&gt;=4,"A",IF('Data Source'!Z307&gt;=3.5,"A-",IF('Data Source'!Z307&gt;=3,"B",IF('Data Source'!Z307&gt;=2,"C",IF('Data Source'!Z307&gt;=1,"D","F")))))),"")</f>
        <v/>
      </c>
      <c r="I307" s="3">
        <f>IF(AND('Data Source'!B307&lt;&gt;"",'Data Source'!S307="F"),IF('Data Source'!AA307&gt;=5,"A+",IF('Data Source'!AA307&gt;=4,"A",IF('Data Source'!AA307&gt;=3.5,"A-",IF('Data Source'!AA307&gt;=3,"B",IF('Data Source'!AA307&gt;=2,"C",IF('Data Source'!AA307&gt;=1,"D","F")))))),"")</f>
        <v/>
      </c>
      <c r="J307" s="3">
        <f>IF(AND('Data Source'!B307&lt;&gt;"",'Data Source'!S307="F"),IF('Data Source'!AB307&gt;=5,"A+",IF('Data Source'!AB307&gt;=4,"A",IF('Data Source'!AB307&gt;=3.5,"A-",IF('Data Source'!AB307&gt;=3,"B",IF('Data Source'!AB307&gt;=2,"C",IF('Data Source'!AB307&gt;=1,"D","F")))))),"")</f>
        <v/>
      </c>
      <c r="K307" s="3">
        <f>IF(AND('Data Source'!B307&lt;&gt;"",'Data Source'!S307="F"),IF('Data Source'!AC307&gt;=5,"A+",IF('Data Source'!AC307&gt;=4,"A",IF('Data Source'!AC307&gt;=3.5,"A-",IF('Data Source'!AC307&gt;=3,"B",IF('Data Source'!AC307&gt;=2,"C",IF('Data Source'!AC307&gt;=1,"D","F")))))),"")</f>
        <v/>
      </c>
      <c r="L307" s="3">
        <f>IF(AND('Data Source'!B307&lt;&gt;"",'Data Source'!S307="F"),IF('Data Source'!AD307&gt;=5,"A+",IF('Data Source'!AD307&gt;=4,"A",IF('Data Source'!AD307&gt;=3.5,"A-",IF('Data Source'!AD307&gt;=3,"B",IF('Data Source'!AD307&gt;=2,"C",IF('Data Source'!AD307&gt;=1,"D","F")))))),"")</f>
        <v/>
      </c>
      <c r="M307" s="3">
        <f>IF(AND('Data Source'!B307&lt;&gt;"",'Data Source'!S307="F"),IF('Data Source'!AE307&gt;=5,"A+",IF('Data Source'!AE307&gt;=4,"A",IF('Data Source'!AE307&gt;=3.5,"A-",IF('Data Source'!AE307&gt;=3,"B",IF('Data Source'!AE307&gt;=2,"C",IF('Data Source'!AE307&gt;=1,"D","F")))))),"")</f>
        <v/>
      </c>
      <c r="N307" s="3">
        <f>IF(AND('Data Source'!B307&lt;&gt;"",'Data Source'!S307="F"),IF('Data Source'!AF307&gt;=5,"A+",IF('Data Source'!AF307&gt;=4,"A",IF('Data Source'!AF307&gt;=3.5,"A-",IF('Data Source'!AF307&gt;=3,"B",IF('Data Source'!AF307&gt;=2,"C",IF('Data Source'!AF307&gt;=1,"D","F")))))),"")</f>
        <v/>
      </c>
      <c r="O307" s="3">
        <f>IF(AND('Data Source'!B307&lt;&gt;"",'Data Source'!S307="F"),IF('Data Source'!AG307&gt;=5,"A+",IF('Data Source'!AG307&gt;=4,"A",IF('Data Source'!AG307&gt;=3.5,"A-",IF('Data Source'!AG307&gt;=3,"B",IF('Data Source'!AG307&gt;=2,"C",IF('Data Source'!AG307&gt;=1,"D","F")))))),"")</f>
        <v/>
      </c>
      <c r="P307" s="5">
        <f>IF(AND('Data Source'!B307&lt;&gt;"",'Data Source'!S307="F"),'Data Source'!R307,"")</f>
        <v/>
      </c>
      <c r="Q307" s="3">
        <f>IF(AND('Data Source'!B307&lt;&gt;"",'Data Source'!S307="F"),'Data Source'!S307,"")</f>
        <v/>
      </c>
    </row>
    <row r="308">
      <c r="A308" s="3">
        <f>IF(AND('Data Source'!B308&lt;&gt;"",'Data Source'!S308="F"),COUNTIF('Data Source'!$S$3:S308,"F"),"")</f>
        <v/>
      </c>
      <c r="B308">
        <f>IF(AND('Data Source'!B308&lt;&gt;"",'Data Source'!S308="F"),'Data Source'!B308,"")</f>
        <v/>
      </c>
      <c r="C308" s="3">
        <f>IF(AND('Data Source'!B308&lt;&gt;"",'Data Source'!S308="F"),IF('Data Source'!U308&gt;=5,"A+",IF('Data Source'!U308&gt;=4,"A",IF('Data Source'!U308&gt;=3.5,"A-",IF('Data Source'!U308&gt;=3,"B",IF('Data Source'!U308&gt;=2,"C",IF('Data Source'!U308&gt;=1,"D","F")))))),"")</f>
        <v/>
      </c>
      <c r="D308" s="3">
        <f>IF(AND('Data Source'!B308&lt;&gt;"",'Data Source'!S308="F"),IF('Data Source'!V308&gt;=5,"A+",IF('Data Source'!V308&gt;=4,"A",IF('Data Source'!V308&gt;=3.5,"A-",IF('Data Source'!V308&gt;=3,"B",IF('Data Source'!V308&gt;=2,"C",IF('Data Source'!V308&gt;=1,"D","F")))))),"")</f>
        <v/>
      </c>
      <c r="E308" s="3">
        <f>IF(AND('Data Source'!B308&lt;&gt;"",'Data Source'!S308="F"),IF('Data Source'!W308&gt;=5,"A+",IF('Data Source'!W308&gt;=4,"A",IF('Data Source'!W308&gt;=3.5,"A-",IF('Data Source'!W308&gt;=3,"B",IF('Data Source'!W308&gt;=2,"C",IF('Data Source'!W308&gt;=1,"D","F")))))),"")</f>
        <v/>
      </c>
      <c r="F308" s="3">
        <f>IF(AND('Data Source'!B308&lt;&gt;"",'Data Source'!S308="F"),IF('Data Source'!X308&gt;=5,"A+",IF('Data Source'!X308&gt;=4,"A",IF('Data Source'!X308&gt;=3.5,"A-",IF('Data Source'!X308&gt;=3,"B",IF('Data Source'!X308&gt;=2,"C",IF('Data Source'!X308&gt;=1,"D","F")))))),"")</f>
        <v/>
      </c>
      <c r="G308" s="3">
        <f>IF(AND('Data Source'!B308&lt;&gt;"",'Data Source'!S308="F"),IF('Data Source'!Y308&gt;=5,"A+",IF('Data Source'!Y308&gt;=4,"A",IF('Data Source'!Y308&gt;=3.5,"A-",IF('Data Source'!Y308&gt;=3,"B",IF('Data Source'!Y308&gt;=2,"C",IF('Data Source'!Y308&gt;=1,"D","F")))))),"")</f>
        <v/>
      </c>
      <c r="H308" s="3">
        <f>IF(AND('Data Source'!B308&lt;&gt;"",'Data Source'!S308="F"),IF('Data Source'!Z308&gt;=5,"A+",IF('Data Source'!Z308&gt;=4,"A",IF('Data Source'!Z308&gt;=3.5,"A-",IF('Data Source'!Z308&gt;=3,"B",IF('Data Source'!Z308&gt;=2,"C",IF('Data Source'!Z308&gt;=1,"D","F")))))),"")</f>
        <v/>
      </c>
      <c r="I308" s="3">
        <f>IF(AND('Data Source'!B308&lt;&gt;"",'Data Source'!S308="F"),IF('Data Source'!AA308&gt;=5,"A+",IF('Data Source'!AA308&gt;=4,"A",IF('Data Source'!AA308&gt;=3.5,"A-",IF('Data Source'!AA308&gt;=3,"B",IF('Data Source'!AA308&gt;=2,"C",IF('Data Source'!AA308&gt;=1,"D","F")))))),"")</f>
        <v/>
      </c>
      <c r="J308" s="3">
        <f>IF(AND('Data Source'!B308&lt;&gt;"",'Data Source'!S308="F"),IF('Data Source'!AB308&gt;=5,"A+",IF('Data Source'!AB308&gt;=4,"A",IF('Data Source'!AB308&gt;=3.5,"A-",IF('Data Source'!AB308&gt;=3,"B",IF('Data Source'!AB308&gt;=2,"C",IF('Data Source'!AB308&gt;=1,"D","F")))))),"")</f>
        <v/>
      </c>
      <c r="K308" s="3">
        <f>IF(AND('Data Source'!B308&lt;&gt;"",'Data Source'!S308="F"),IF('Data Source'!AC308&gt;=5,"A+",IF('Data Source'!AC308&gt;=4,"A",IF('Data Source'!AC308&gt;=3.5,"A-",IF('Data Source'!AC308&gt;=3,"B",IF('Data Source'!AC308&gt;=2,"C",IF('Data Source'!AC308&gt;=1,"D","F")))))),"")</f>
        <v/>
      </c>
      <c r="L308" s="3">
        <f>IF(AND('Data Source'!B308&lt;&gt;"",'Data Source'!S308="F"),IF('Data Source'!AD308&gt;=5,"A+",IF('Data Source'!AD308&gt;=4,"A",IF('Data Source'!AD308&gt;=3.5,"A-",IF('Data Source'!AD308&gt;=3,"B",IF('Data Source'!AD308&gt;=2,"C",IF('Data Source'!AD308&gt;=1,"D","F")))))),"")</f>
        <v/>
      </c>
      <c r="M308" s="3">
        <f>IF(AND('Data Source'!B308&lt;&gt;"",'Data Source'!S308="F"),IF('Data Source'!AE308&gt;=5,"A+",IF('Data Source'!AE308&gt;=4,"A",IF('Data Source'!AE308&gt;=3.5,"A-",IF('Data Source'!AE308&gt;=3,"B",IF('Data Source'!AE308&gt;=2,"C",IF('Data Source'!AE308&gt;=1,"D","F")))))),"")</f>
        <v/>
      </c>
      <c r="N308" s="3">
        <f>IF(AND('Data Source'!B308&lt;&gt;"",'Data Source'!S308="F"),IF('Data Source'!AF308&gt;=5,"A+",IF('Data Source'!AF308&gt;=4,"A",IF('Data Source'!AF308&gt;=3.5,"A-",IF('Data Source'!AF308&gt;=3,"B",IF('Data Source'!AF308&gt;=2,"C",IF('Data Source'!AF308&gt;=1,"D","F")))))),"")</f>
        <v/>
      </c>
      <c r="O308" s="3">
        <f>IF(AND('Data Source'!B308&lt;&gt;"",'Data Source'!S308="F"),IF('Data Source'!AG308&gt;=5,"A+",IF('Data Source'!AG308&gt;=4,"A",IF('Data Source'!AG308&gt;=3.5,"A-",IF('Data Source'!AG308&gt;=3,"B",IF('Data Source'!AG308&gt;=2,"C",IF('Data Source'!AG308&gt;=1,"D","F")))))),"")</f>
        <v/>
      </c>
      <c r="P308" s="5">
        <f>IF(AND('Data Source'!B308&lt;&gt;"",'Data Source'!S308="F"),'Data Source'!R308,"")</f>
        <v/>
      </c>
      <c r="Q308" s="3">
        <f>IF(AND('Data Source'!B308&lt;&gt;"",'Data Source'!S308="F"),'Data Source'!S308,"")</f>
        <v/>
      </c>
    </row>
    <row r="309">
      <c r="A309" s="3">
        <f>IF(AND('Data Source'!B309&lt;&gt;"",'Data Source'!S309="F"),COUNTIF('Data Source'!$S$3:S309,"F"),"")</f>
        <v/>
      </c>
      <c r="B309">
        <f>IF(AND('Data Source'!B309&lt;&gt;"",'Data Source'!S309="F"),'Data Source'!B309,"")</f>
        <v/>
      </c>
      <c r="C309" s="3">
        <f>IF(AND('Data Source'!B309&lt;&gt;"",'Data Source'!S309="F"),IF('Data Source'!U309&gt;=5,"A+",IF('Data Source'!U309&gt;=4,"A",IF('Data Source'!U309&gt;=3.5,"A-",IF('Data Source'!U309&gt;=3,"B",IF('Data Source'!U309&gt;=2,"C",IF('Data Source'!U309&gt;=1,"D","F")))))),"")</f>
        <v/>
      </c>
      <c r="D309" s="3">
        <f>IF(AND('Data Source'!B309&lt;&gt;"",'Data Source'!S309="F"),IF('Data Source'!V309&gt;=5,"A+",IF('Data Source'!V309&gt;=4,"A",IF('Data Source'!V309&gt;=3.5,"A-",IF('Data Source'!V309&gt;=3,"B",IF('Data Source'!V309&gt;=2,"C",IF('Data Source'!V309&gt;=1,"D","F")))))),"")</f>
        <v/>
      </c>
      <c r="E309" s="3">
        <f>IF(AND('Data Source'!B309&lt;&gt;"",'Data Source'!S309="F"),IF('Data Source'!W309&gt;=5,"A+",IF('Data Source'!W309&gt;=4,"A",IF('Data Source'!W309&gt;=3.5,"A-",IF('Data Source'!W309&gt;=3,"B",IF('Data Source'!W309&gt;=2,"C",IF('Data Source'!W309&gt;=1,"D","F")))))),"")</f>
        <v/>
      </c>
      <c r="F309" s="3">
        <f>IF(AND('Data Source'!B309&lt;&gt;"",'Data Source'!S309="F"),IF('Data Source'!X309&gt;=5,"A+",IF('Data Source'!X309&gt;=4,"A",IF('Data Source'!X309&gt;=3.5,"A-",IF('Data Source'!X309&gt;=3,"B",IF('Data Source'!X309&gt;=2,"C",IF('Data Source'!X309&gt;=1,"D","F")))))),"")</f>
        <v/>
      </c>
      <c r="G309" s="3">
        <f>IF(AND('Data Source'!B309&lt;&gt;"",'Data Source'!S309="F"),IF('Data Source'!Y309&gt;=5,"A+",IF('Data Source'!Y309&gt;=4,"A",IF('Data Source'!Y309&gt;=3.5,"A-",IF('Data Source'!Y309&gt;=3,"B",IF('Data Source'!Y309&gt;=2,"C",IF('Data Source'!Y309&gt;=1,"D","F")))))),"")</f>
        <v/>
      </c>
      <c r="H309" s="3">
        <f>IF(AND('Data Source'!B309&lt;&gt;"",'Data Source'!S309="F"),IF('Data Source'!Z309&gt;=5,"A+",IF('Data Source'!Z309&gt;=4,"A",IF('Data Source'!Z309&gt;=3.5,"A-",IF('Data Source'!Z309&gt;=3,"B",IF('Data Source'!Z309&gt;=2,"C",IF('Data Source'!Z309&gt;=1,"D","F")))))),"")</f>
        <v/>
      </c>
      <c r="I309" s="3">
        <f>IF(AND('Data Source'!B309&lt;&gt;"",'Data Source'!S309="F"),IF('Data Source'!AA309&gt;=5,"A+",IF('Data Source'!AA309&gt;=4,"A",IF('Data Source'!AA309&gt;=3.5,"A-",IF('Data Source'!AA309&gt;=3,"B",IF('Data Source'!AA309&gt;=2,"C",IF('Data Source'!AA309&gt;=1,"D","F")))))),"")</f>
        <v/>
      </c>
      <c r="J309" s="3">
        <f>IF(AND('Data Source'!B309&lt;&gt;"",'Data Source'!S309="F"),IF('Data Source'!AB309&gt;=5,"A+",IF('Data Source'!AB309&gt;=4,"A",IF('Data Source'!AB309&gt;=3.5,"A-",IF('Data Source'!AB309&gt;=3,"B",IF('Data Source'!AB309&gt;=2,"C",IF('Data Source'!AB309&gt;=1,"D","F")))))),"")</f>
        <v/>
      </c>
      <c r="K309" s="3">
        <f>IF(AND('Data Source'!B309&lt;&gt;"",'Data Source'!S309="F"),IF('Data Source'!AC309&gt;=5,"A+",IF('Data Source'!AC309&gt;=4,"A",IF('Data Source'!AC309&gt;=3.5,"A-",IF('Data Source'!AC309&gt;=3,"B",IF('Data Source'!AC309&gt;=2,"C",IF('Data Source'!AC309&gt;=1,"D","F")))))),"")</f>
        <v/>
      </c>
      <c r="L309" s="3">
        <f>IF(AND('Data Source'!B309&lt;&gt;"",'Data Source'!S309="F"),IF('Data Source'!AD309&gt;=5,"A+",IF('Data Source'!AD309&gt;=4,"A",IF('Data Source'!AD309&gt;=3.5,"A-",IF('Data Source'!AD309&gt;=3,"B",IF('Data Source'!AD309&gt;=2,"C",IF('Data Source'!AD309&gt;=1,"D","F")))))),"")</f>
        <v/>
      </c>
      <c r="M309" s="3">
        <f>IF(AND('Data Source'!B309&lt;&gt;"",'Data Source'!S309="F"),IF('Data Source'!AE309&gt;=5,"A+",IF('Data Source'!AE309&gt;=4,"A",IF('Data Source'!AE309&gt;=3.5,"A-",IF('Data Source'!AE309&gt;=3,"B",IF('Data Source'!AE309&gt;=2,"C",IF('Data Source'!AE309&gt;=1,"D","F")))))),"")</f>
        <v/>
      </c>
      <c r="N309" s="3">
        <f>IF(AND('Data Source'!B309&lt;&gt;"",'Data Source'!S309="F"),IF('Data Source'!AF309&gt;=5,"A+",IF('Data Source'!AF309&gt;=4,"A",IF('Data Source'!AF309&gt;=3.5,"A-",IF('Data Source'!AF309&gt;=3,"B",IF('Data Source'!AF309&gt;=2,"C",IF('Data Source'!AF309&gt;=1,"D","F")))))),"")</f>
        <v/>
      </c>
      <c r="O309" s="3">
        <f>IF(AND('Data Source'!B309&lt;&gt;"",'Data Source'!S309="F"),IF('Data Source'!AG309&gt;=5,"A+",IF('Data Source'!AG309&gt;=4,"A",IF('Data Source'!AG309&gt;=3.5,"A-",IF('Data Source'!AG309&gt;=3,"B",IF('Data Source'!AG309&gt;=2,"C",IF('Data Source'!AG309&gt;=1,"D","F")))))),"")</f>
        <v/>
      </c>
      <c r="P309" s="5">
        <f>IF(AND('Data Source'!B309&lt;&gt;"",'Data Source'!S309="F"),'Data Source'!R309,"")</f>
        <v/>
      </c>
      <c r="Q309" s="3">
        <f>IF(AND('Data Source'!B309&lt;&gt;"",'Data Source'!S309="F"),'Data Source'!S309,"")</f>
        <v/>
      </c>
    </row>
    <row r="310">
      <c r="A310" s="3">
        <f>IF(AND('Data Source'!B310&lt;&gt;"",'Data Source'!S310="F"),COUNTIF('Data Source'!$S$3:S310,"F"),"")</f>
        <v/>
      </c>
      <c r="B310">
        <f>IF(AND('Data Source'!B310&lt;&gt;"",'Data Source'!S310="F"),'Data Source'!B310,"")</f>
        <v/>
      </c>
      <c r="C310" s="3">
        <f>IF(AND('Data Source'!B310&lt;&gt;"",'Data Source'!S310="F"),IF('Data Source'!U310&gt;=5,"A+",IF('Data Source'!U310&gt;=4,"A",IF('Data Source'!U310&gt;=3.5,"A-",IF('Data Source'!U310&gt;=3,"B",IF('Data Source'!U310&gt;=2,"C",IF('Data Source'!U310&gt;=1,"D","F")))))),"")</f>
        <v/>
      </c>
      <c r="D310" s="3">
        <f>IF(AND('Data Source'!B310&lt;&gt;"",'Data Source'!S310="F"),IF('Data Source'!V310&gt;=5,"A+",IF('Data Source'!V310&gt;=4,"A",IF('Data Source'!V310&gt;=3.5,"A-",IF('Data Source'!V310&gt;=3,"B",IF('Data Source'!V310&gt;=2,"C",IF('Data Source'!V310&gt;=1,"D","F")))))),"")</f>
        <v/>
      </c>
      <c r="E310" s="3">
        <f>IF(AND('Data Source'!B310&lt;&gt;"",'Data Source'!S310="F"),IF('Data Source'!W310&gt;=5,"A+",IF('Data Source'!W310&gt;=4,"A",IF('Data Source'!W310&gt;=3.5,"A-",IF('Data Source'!W310&gt;=3,"B",IF('Data Source'!W310&gt;=2,"C",IF('Data Source'!W310&gt;=1,"D","F")))))),"")</f>
        <v/>
      </c>
      <c r="F310" s="3">
        <f>IF(AND('Data Source'!B310&lt;&gt;"",'Data Source'!S310="F"),IF('Data Source'!X310&gt;=5,"A+",IF('Data Source'!X310&gt;=4,"A",IF('Data Source'!X310&gt;=3.5,"A-",IF('Data Source'!X310&gt;=3,"B",IF('Data Source'!X310&gt;=2,"C",IF('Data Source'!X310&gt;=1,"D","F")))))),"")</f>
        <v/>
      </c>
      <c r="G310" s="3">
        <f>IF(AND('Data Source'!B310&lt;&gt;"",'Data Source'!S310="F"),IF('Data Source'!Y310&gt;=5,"A+",IF('Data Source'!Y310&gt;=4,"A",IF('Data Source'!Y310&gt;=3.5,"A-",IF('Data Source'!Y310&gt;=3,"B",IF('Data Source'!Y310&gt;=2,"C",IF('Data Source'!Y310&gt;=1,"D","F")))))),"")</f>
        <v/>
      </c>
      <c r="H310" s="3">
        <f>IF(AND('Data Source'!B310&lt;&gt;"",'Data Source'!S310="F"),IF('Data Source'!Z310&gt;=5,"A+",IF('Data Source'!Z310&gt;=4,"A",IF('Data Source'!Z310&gt;=3.5,"A-",IF('Data Source'!Z310&gt;=3,"B",IF('Data Source'!Z310&gt;=2,"C",IF('Data Source'!Z310&gt;=1,"D","F")))))),"")</f>
        <v/>
      </c>
      <c r="I310" s="3">
        <f>IF(AND('Data Source'!B310&lt;&gt;"",'Data Source'!S310="F"),IF('Data Source'!AA310&gt;=5,"A+",IF('Data Source'!AA310&gt;=4,"A",IF('Data Source'!AA310&gt;=3.5,"A-",IF('Data Source'!AA310&gt;=3,"B",IF('Data Source'!AA310&gt;=2,"C",IF('Data Source'!AA310&gt;=1,"D","F")))))),"")</f>
        <v/>
      </c>
      <c r="J310" s="3">
        <f>IF(AND('Data Source'!B310&lt;&gt;"",'Data Source'!S310="F"),IF('Data Source'!AB310&gt;=5,"A+",IF('Data Source'!AB310&gt;=4,"A",IF('Data Source'!AB310&gt;=3.5,"A-",IF('Data Source'!AB310&gt;=3,"B",IF('Data Source'!AB310&gt;=2,"C",IF('Data Source'!AB310&gt;=1,"D","F")))))),"")</f>
        <v/>
      </c>
      <c r="K310" s="3">
        <f>IF(AND('Data Source'!B310&lt;&gt;"",'Data Source'!S310="F"),IF('Data Source'!AC310&gt;=5,"A+",IF('Data Source'!AC310&gt;=4,"A",IF('Data Source'!AC310&gt;=3.5,"A-",IF('Data Source'!AC310&gt;=3,"B",IF('Data Source'!AC310&gt;=2,"C",IF('Data Source'!AC310&gt;=1,"D","F")))))),"")</f>
        <v/>
      </c>
      <c r="L310" s="3">
        <f>IF(AND('Data Source'!B310&lt;&gt;"",'Data Source'!S310="F"),IF('Data Source'!AD310&gt;=5,"A+",IF('Data Source'!AD310&gt;=4,"A",IF('Data Source'!AD310&gt;=3.5,"A-",IF('Data Source'!AD310&gt;=3,"B",IF('Data Source'!AD310&gt;=2,"C",IF('Data Source'!AD310&gt;=1,"D","F")))))),"")</f>
        <v/>
      </c>
      <c r="M310" s="3">
        <f>IF(AND('Data Source'!B310&lt;&gt;"",'Data Source'!S310="F"),IF('Data Source'!AE310&gt;=5,"A+",IF('Data Source'!AE310&gt;=4,"A",IF('Data Source'!AE310&gt;=3.5,"A-",IF('Data Source'!AE310&gt;=3,"B",IF('Data Source'!AE310&gt;=2,"C",IF('Data Source'!AE310&gt;=1,"D","F")))))),"")</f>
        <v/>
      </c>
      <c r="N310" s="3">
        <f>IF(AND('Data Source'!B310&lt;&gt;"",'Data Source'!S310="F"),IF('Data Source'!AF310&gt;=5,"A+",IF('Data Source'!AF310&gt;=4,"A",IF('Data Source'!AF310&gt;=3.5,"A-",IF('Data Source'!AF310&gt;=3,"B",IF('Data Source'!AF310&gt;=2,"C",IF('Data Source'!AF310&gt;=1,"D","F")))))),"")</f>
        <v/>
      </c>
      <c r="O310" s="3">
        <f>IF(AND('Data Source'!B310&lt;&gt;"",'Data Source'!S310="F"),IF('Data Source'!AG310&gt;=5,"A+",IF('Data Source'!AG310&gt;=4,"A",IF('Data Source'!AG310&gt;=3.5,"A-",IF('Data Source'!AG310&gt;=3,"B",IF('Data Source'!AG310&gt;=2,"C",IF('Data Source'!AG310&gt;=1,"D","F")))))),"")</f>
        <v/>
      </c>
      <c r="P310" s="5">
        <f>IF(AND('Data Source'!B310&lt;&gt;"",'Data Source'!S310="F"),'Data Source'!R310,"")</f>
        <v/>
      </c>
      <c r="Q310" s="3">
        <f>IF(AND('Data Source'!B310&lt;&gt;"",'Data Source'!S310="F"),'Data Source'!S310,"")</f>
        <v/>
      </c>
    </row>
    <row r="311">
      <c r="A311" s="3">
        <f>IF(AND('Data Source'!B311&lt;&gt;"",'Data Source'!S311="F"),COUNTIF('Data Source'!$S$3:S311,"F"),"")</f>
        <v/>
      </c>
      <c r="B311">
        <f>IF(AND('Data Source'!B311&lt;&gt;"",'Data Source'!S311="F"),'Data Source'!B311,"")</f>
        <v/>
      </c>
      <c r="C311" s="3">
        <f>IF(AND('Data Source'!B311&lt;&gt;"",'Data Source'!S311="F"),IF('Data Source'!U311&gt;=5,"A+",IF('Data Source'!U311&gt;=4,"A",IF('Data Source'!U311&gt;=3.5,"A-",IF('Data Source'!U311&gt;=3,"B",IF('Data Source'!U311&gt;=2,"C",IF('Data Source'!U311&gt;=1,"D","F")))))),"")</f>
        <v/>
      </c>
      <c r="D311" s="3">
        <f>IF(AND('Data Source'!B311&lt;&gt;"",'Data Source'!S311="F"),IF('Data Source'!V311&gt;=5,"A+",IF('Data Source'!V311&gt;=4,"A",IF('Data Source'!V311&gt;=3.5,"A-",IF('Data Source'!V311&gt;=3,"B",IF('Data Source'!V311&gt;=2,"C",IF('Data Source'!V311&gt;=1,"D","F")))))),"")</f>
        <v/>
      </c>
      <c r="E311" s="3">
        <f>IF(AND('Data Source'!B311&lt;&gt;"",'Data Source'!S311="F"),IF('Data Source'!W311&gt;=5,"A+",IF('Data Source'!W311&gt;=4,"A",IF('Data Source'!W311&gt;=3.5,"A-",IF('Data Source'!W311&gt;=3,"B",IF('Data Source'!W311&gt;=2,"C",IF('Data Source'!W311&gt;=1,"D","F")))))),"")</f>
        <v/>
      </c>
      <c r="F311" s="3">
        <f>IF(AND('Data Source'!B311&lt;&gt;"",'Data Source'!S311="F"),IF('Data Source'!X311&gt;=5,"A+",IF('Data Source'!X311&gt;=4,"A",IF('Data Source'!X311&gt;=3.5,"A-",IF('Data Source'!X311&gt;=3,"B",IF('Data Source'!X311&gt;=2,"C",IF('Data Source'!X311&gt;=1,"D","F")))))),"")</f>
        <v/>
      </c>
      <c r="G311" s="3">
        <f>IF(AND('Data Source'!B311&lt;&gt;"",'Data Source'!S311="F"),IF('Data Source'!Y311&gt;=5,"A+",IF('Data Source'!Y311&gt;=4,"A",IF('Data Source'!Y311&gt;=3.5,"A-",IF('Data Source'!Y311&gt;=3,"B",IF('Data Source'!Y311&gt;=2,"C",IF('Data Source'!Y311&gt;=1,"D","F")))))),"")</f>
        <v/>
      </c>
      <c r="H311" s="3">
        <f>IF(AND('Data Source'!B311&lt;&gt;"",'Data Source'!S311="F"),IF('Data Source'!Z311&gt;=5,"A+",IF('Data Source'!Z311&gt;=4,"A",IF('Data Source'!Z311&gt;=3.5,"A-",IF('Data Source'!Z311&gt;=3,"B",IF('Data Source'!Z311&gt;=2,"C",IF('Data Source'!Z311&gt;=1,"D","F")))))),"")</f>
        <v/>
      </c>
      <c r="I311" s="3">
        <f>IF(AND('Data Source'!B311&lt;&gt;"",'Data Source'!S311="F"),IF('Data Source'!AA311&gt;=5,"A+",IF('Data Source'!AA311&gt;=4,"A",IF('Data Source'!AA311&gt;=3.5,"A-",IF('Data Source'!AA311&gt;=3,"B",IF('Data Source'!AA311&gt;=2,"C",IF('Data Source'!AA311&gt;=1,"D","F")))))),"")</f>
        <v/>
      </c>
      <c r="J311" s="3">
        <f>IF(AND('Data Source'!B311&lt;&gt;"",'Data Source'!S311="F"),IF('Data Source'!AB311&gt;=5,"A+",IF('Data Source'!AB311&gt;=4,"A",IF('Data Source'!AB311&gt;=3.5,"A-",IF('Data Source'!AB311&gt;=3,"B",IF('Data Source'!AB311&gt;=2,"C",IF('Data Source'!AB311&gt;=1,"D","F")))))),"")</f>
        <v/>
      </c>
      <c r="K311" s="3">
        <f>IF(AND('Data Source'!B311&lt;&gt;"",'Data Source'!S311="F"),IF('Data Source'!AC311&gt;=5,"A+",IF('Data Source'!AC311&gt;=4,"A",IF('Data Source'!AC311&gt;=3.5,"A-",IF('Data Source'!AC311&gt;=3,"B",IF('Data Source'!AC311&gt;=2,"C",IF('Data Source'!AC311&gt;=1,"D","F")))))),"")</f>
        <v/>
      </c>
      <c r="L311" s="3">
        <f>IF(AND('Data Source'!B311&lt;&gt;"",'Data Source'!S311="F"),IF('Data Source'!AD311&gt;=5,"A+",IF('Data Source'!AD311&gt;=4,"A",IF('Data Source'!AD311&gt;=3.5,"A-",IF('Data Source'!AD311&gt;=3,"B",IF('Data Source'!AD311&gt;=2,"C",IF('Data Source'!AD311&gt;=1,"D","F")))))),"")</f>
        <v/>
      </c>
      <c r="M311" s="3">
        <f>IF(AND('Data Source'!B311&lt;&gt;"",'Data Source'!S311="F"),IF('Data Source'!AE311&gt;=5,"A+",IF('Data Source'!AE311&gt;=4,"A",IF('Data Source'!AE311&gt;=3.5,"A-",IF('Data Source'!AE311&gt;=3,"B",IF('Data Source'!AE311&gt;=2,"C",IF('Data Source'!AE311&gt;=1,"D","F")))))),"")</f>
        <v/>
      </c>
      <c r="N311" s="3">
        <f>IF(AND('Data Source'!B311&lt;&gt;"",'Data Source'!S311="F"),IF('Data Source'!AF311&gt;=5,"A+",IF('Data Source'!AF311&gt;=4,"A",IF('Data Source'!AF311&gt;=3.5,"A-",IF('Data Source'!AF311&gt;=3,"B",IF('Data Source'!AF311&gt;=2,"C",IF('Data Source'!AF311&gt;=1,"D","F")))))),"")</f>
        <v/>
      </c>
      <c r="O311" s="3">
        <f>IF(AND('Data Source'!B311&lt;&gt;"",'Data Source'!S311="F"),IF('Data Source'!AG311&gt;=5,"A+",IF('Data Source'!AG311&gt;=4,"A",IF('Data Source'!AG311&gt;=3.5,"A-",IF('Data Source'!AG311&gt;=3,"B",IF('Data Source'!AG311&gt;=2,"C",IF('Data Source'!AG311&gt;=1,"D","F")))))),"")</f>
        <v/>
      </c>
      <c r="P311" s="5">
        <f>IF(AND('Data Source'!B311&lt;&gt;"",'Data Source'!S311="F"),'Data Source'!R311,"")</f>
        <v/>
      </c>
      <c r="Q311" s="3">
        <f>IF(AND('Data Source'!B311&lt;&gt;"",'Data Source'!S311="F"),'Data Source'!S311,"")</f>
        <v/>
      </c>
    </row>
    <row r="312">
      <c r="A312" s="3">
        <f>IF(AND('Data Source'!B312&lt;&gt;"",'Data Source'!S312="F"),COUNTIF('Data Source'!$S$3:S312,"F"),"")</f>
        <v/>
      </c>
      <c r="B312">
        <f>IF(AND('Data Source'!B312&lt;&gt;"",'Data Source'!S312="F"),'Data Source'!B312,"")</f>
        <v/>
      </c>
      <c r="C312" s="3">
        <f>IF(AND('Data Source'!B312&lt;&gt;"",'Data Source'!S312="F"),IF('Data Source'!U312&gt;=5,"A+",IF('Data Source'!U312&gt;=4,"A",IF('Data Source'!U312&gt;=3.5,"A-",IF('Data Source'!U312&gt;=3,"B",IF('Data Source'!U312&gt;=2,"C",IF('Data Source'!U312&gt;=1,"D","F")))))),"")</f>
        <v/>
      </c>
      <c r="D312" s="3">
        <f>IF(AND('Data Source'!B312&lt;&gt;"",'Data Source'!S312="F"),IF('Data Source'!V312&gt;=5,"A+",IF('Data Source'!V312&gt;=4,"A",IF('Data Source'!V312&gt;=3.5,"A-",IF('Data Source'!V312&gt;=3,"B",IF('Data Source'!V312&gt;=2,"C",IF('Data Source'!V312&gt;=1,"D","F")))))),"")</f>
        <v/>
      </c>
      <c r="E312" s="3">
        <f>IF(AND('Data Source'!B312&lt;&gt;"",'Data Source'!S312="F"),IF('Data Source'!W312&gt;=5,"A+",IF('Data Source'!W312&gt;=4,"A",IF('Data Source'!W312&gt;=3.5,"A-",IF('Data Source'!W312&gt;=3,"B",IF('Data Source'!W312&gt;=2,"C",IF('Data Source'!W312&gt;=1,"D","F")))))),"")</f>
        <v/>
      </c>
      <c r="F312" s="3">
        <f>IF(AND('Data Source'!B312&lt;&gt;"",'Data Source'!S312="F"),IF('Data Source'!X312&gt;=5,"A+",IF('Data Source'!X312&gt;=4,"A",IF('Data Source'!X312&gt;=3.5,"A-",IF('Data Source'!X312&gt;=3,"B",IF('Data Source'!X312&gt;=2,"C",IF('Data Source'!X312&gt;=1,"D","F")))))),"")</f>
        <v/>
      </c>
      <c r="G312" s="3">
        <f>IF(AND('Data Source'!B312&lt;&gt;"",'Data Source'!S312="F"),IF('Data Source'!Y312&gt;=5,"A+",IF('Data Source'!Y312&gt;=4,"A",IF('Data Source'!Y312&gt;=3.5,"A-",IF('Data Source'!Y312&gt;=3,"B",IF('Data Source'!Y312&gt;=2,"C",IF('Data Source'!Y312&gt;=1,"D","F")))))),"")</f>
        <v/>
      </c>
      <c r="H312" s="3">
        <f>IF(AND('Data Source'!B312&lt;&gt;"",'Data Source'!S312="F"),IF('Data Source'!Z312&gt;=5,"A+",IF('Data Source'!Z312&gt;=4,"A",IF('Data Source'!Z312&gt;=3.5,"A-",IF('Data Source'!Z312&gt;=3,"B",IF('Data Source'!Z312&gt;=2,"C",IF('Data Source'!Z312&gt;=1,"D","F")))))),"")</f>
        <v/>
      </c>
      <c r="I312" s="3">
        <f>IF(AND('Data Source'!B312&lt;&gt;"",'Data Source'!S312="F"),IF('Data Source'!AA312&gt;=5,"A+",IF('Data Source'!AA312&gt;=4,"A",IF('Data Source'!AA312&gt;=3.5,"A-",IF('Data Source'!AA312&gt;=3,"B",IF('Data Source'!AA312&gt;=2,"C",IF('Data Source'!AA312&gt;=1,"D","F")))))),"")</f>
        <v/>
      </c>
      <c r="J312" s="3">
        <f>IF(AND('Data Source'!B312&lt;&gt;"",'Data Source'!S312="F"),IF('Data Source'!AB312&gt;=5,"A+",IF('Data Source'!AB312&gt;=4,"A",IF('Data Source'!AB312&gt;=3.5,"A-",IF('Data Source'!AB312&gt;=3,"B",IF('Data Source'!AB312&gt;=2,"C",IF('Data Source'!AB312&gt;=1,"D","F")))))),"")</f>
        <v/>
      </c>
      <c r="K312" s="3">
        <f>IF(AND('Data Source'!B312&lt;&gt;"",'Data Source'!S312="F"),IF('Data Source'!AC312&gt;=5,"A+",IF('Data Source'!AC312&gt;=4,"A",IF('Data Source'!AC312&gt;=3.5,"A-",IF('Data Source'!AC312&gt;=3,"B",IF('Data Source'!AC312&gt;=2,"C",IF('Data Source'!AC312&gt;=1,"D","F")))))),"")</f>
        <v/>
      </c>
      <c r="L312" s="3">
        <f>IF(AND('Data Source'!B312&lt;&gt;"",'Data Source'!S312="F"),IF('Data Source'!AD312&gt;=5,"A+",IF('Data Source'!AD312&gt;=4,"A",IF('Data Source'!AD312&gt;=3.5,"A-",IF('Data Source'!AD312&gt;=3,"B",IF('Data Source'!AD312&gt;=2,"C",IF('Data Source'!AD312&gt;=1,"D","F")))))),"")</f>
        <v/>
      </c>
      <c r="M312" s="3">
        <f>IF(AND('Data Source'!B312&lt;&gt;"",'Data Source'!S312="F"),IF('Data Source'!AE312&gt;=5,"A+",IF('Data Source'!AE312&gt;=4,"A",IF('Data Source'!AE312&gt;=3.5,"A-",IF('Data Source'!AE312&gt;=3,"B",IF('Data Source'!AE312&gt;=2,"C",IF('Data Source'!AE312&gt;=1,"D","F")))))),"")</f>
        <v/>
      </c>
      <c r="N312" s="3">
        <f>IF(AND('Data Source'!B312&lt;&gt;"",'Data Source'!S312="F"),IF('Data Source'!AF312&gt;=5,"A+",IF('Data Source'!AF312&gt;=4,"A",IF('Data Source'!AF312&gt;=3.5,"A-",IF('Data Source'!AF312&gt;=3,"B",IF('Data Source'!AF312&gt;=2,"C",IF('Data Source'!AF312&gt;=1,"D","F")))))),"")</f>
        <v/>
      </c>
      <c r="O312" s="3">
        <f>IF(AND('Data Source'!B312&lt;&gt;"",'Data Source'!S312="F"),IF('Data Source'!AG312&gt;=5,"A+",IF('Data Source'!AG312&gt;=4,"A",IF('Data Source'!AG312&gt;=3.5,"A-",IF('Data Source'!AG312&gt;=3,"B",IF('Data Source'!AG312&gt;=2,"C",IF('Data Source'!AG312&gt;=1,"D","F")))))),"")</f>
        <v/>
      </c>
      <c r="P312" s="5">
        <f>IF(AND('Data Source'!B312&lt;&gt;"",'Data Source'!S312="F"),'Data Source'!R312,"")</f>
        <v/>
      </c>
      <c r="Q312" s="3">
        <f>IF(AND('Data Source'!B312&lt;&gt;"",'Data Source'!S312="F"),'Data Source'!S312,"")</f>
        <v/>
      </c>
    </row>
    <row r="313">
      <c r="A313" s="3">
        <f>IF(AND('Data Source'!B313&lt;&gt;"",'Data Source'!S313="F"),COUNTIF('Data Source'!$S$3:S313,"F"),"")</f>
        <v/>
      </c>
      <c r="B313">
        <f>IF(AND('Data Source'!B313&lt;&gt;"",'Data Source'!S313="F"),'Data Source'!B313,"")</f>
        <v/>
      </c>
      <c r="C313" s="3">
        <f>IF(AND('Data Source'!B313&lt;&gt;"",'Data Source'!S313="F"),IF('Data Source'!U313&gt;=5,"A+",IF('Data Source'!U313&gt;=4,"A",IF('Data Source'!U313&gt;=3.5,"A-",IF('Data Source'!U313&gt;=3,"B",IF('Data Source'!U313&gt;=2,"C",IF('Data Source'!U313&gt;=1,"D","F")))))),"")</f>
        <v/>
      </c>
      <c r="D313" s="3">
        <f>IF(AND('Data Source'!B313&lt;&gt;"",'Data Source'!S313="F"),IF('Data Source'!V313&gt;=5,"A+",IF('Data Source'!V313&gt;=4,"A",IF('Data Source'!V313&gt;=3.5,"A-",IF('Data Source'!V313&gt;=3,"B",IF('Data Source'!V313&gt;=2,"C",IF('Data Source'!V313&gt;=1,"D","F")))))),"")</f>
        <v/>
      </c>
      <c r="E313" s="3">
        <f>IF(AND('Data Source'!B313&lt;&gt;"",'Data Source'!S313="F"),IF('Data Source'!W313&gt;=5,"A+",IF('Data Source'!W313&gt;=4,"A",IF('Data Source'!W313&gt;=3.5,"A-",IF('Data Source'!W313&gt;=3,"B",IF('Data Source'!W313&gt;=2,"C",IF('Data Source'!W313&gt;=1,"D","F")))))),"")</f>
        <v/>
      </c>
      <c r="F313" s="3">
        <f>IF(AND('Data Source'!B313&lt;&gt;"",'Data Source'!S313="F"),IF('Data Source'!X313&gt;=5,"A+",IF('Data Source'!X313&gt;=4,"A",IF('Data Source'!X313&gt;=3.5,"A-",IF('Data Source'!X313&gt;=3,"B",IF('Data Source'!X313&gt;=2,"C",IF('Data Source'!X313&gt;=1,"D","F")))))),"")</f>
        <v/>
      </c>
      <c r="G313" s="3">
        <f>IF(AND('Data Source'!B313&lt;&gt;"",'Data Source'!S313="F"),IF('Data Source'!Y313&gt;=5,"A+",IF('Data Source'!Y313&gt;=4,"A",IF('Data Source'!Y313&gt;=3.5,"A-",IF('Data Source'!Y313&gt;=3,"B",IF('Data Source'!Y313&gt;=2,"C",IF('Data Source'!Y313&gt;=1,"D","F")))))),"")</f>
        <v/>
      </c>
      <c r="H313" s="3">
        <f>IF(AND('Data Source'!B313&lt;&gt;"",'Data Source'!S313="F"),IF('Data Source'!Z313&gt;=5,"A+",IF('Data Source'!Z313&gt;=4,"A",IF('Data Source'!Z313&gt;=3.5,"A-",IF('Data Source'!Z313&gt;=3,"B",IF('Data Source'!Z313&gt;=2,"C",IF('Data Source'!Z313&gt;=1,"D","F")))))),"")</f>
        <v/>
      </c>
      <c r="I313" s="3">
        <f>IF(AND('Data Source'!B313&lt;&gt;"",'Data Source'!S313="F"),IF('Data Source'!AA313&gt;=5,"A+",IF('Data Source'!AA313&gt;=4,"A",IF('Data Source'!AA313&gt;=3.5,"A-",IF('Data Source'!AA313&gt;=3,"B",IF('Data Source'!AA313&gt;=2,"C",IF('Data Source'!AA313&gt;=1,"D","F")))))),"")</f>
        <v/>
      </c>
      <c r="J313" s="3">
        <f>IF(AND('Data Source'!B313&lt;&gt;"",'Data Source'!S313="F"),IF('Data Source'!AB313&gt;=5,"A+",IF('Data Source'!AB313&gt;=4,"A",IF('Data Source'!AB313&gt;=3.5,"A-",IF('Data Source'!AB313&gt;=3,"B",IF('Data Source'!AB313&gt;=2,"C",IF('Data Source'!AB313&gt;=1,"D","F")))))),"")</f>
        <v/>
      </c>
      <c r="K313" s="3">
        <f>IF(AND('Data Source'!B313&lt;&gt;"",'Data Source'!S313="F"),IF('Data Source'!AC313&gt;=5,"A+",IF('Data Source'!AC313&gt;=4,"A",IF('Data Source'!AC313&gt;=3.5,"A-",IF('Data Source'!AC313&gt;=3,"B",IF('Data Source'!AC313&gt;=2,"C",IF('Data Source'!AC313&gt;=1,"D","F")))))),"")</f>
        <v/>
      </c>
      <c r="L313" s="3">
        <f>IF(AND('Data Source'!B313&lt;&gt;"",'Data Source'!S313="F"),IF('Data Source'!AD313&gt;=5,"A+",IF('Data Source'!AD313&gt;=4,"A",IF('Data Source'!AD313&gt;=3.5,"A-",IF('Data Source'!AD313&gt;=3,"B",IF('Data Source'!AD313&gt;=2,"C",IF('Data Source'!AD313&gt;=1,"D","F")))))),"")</f>
        <v/>
      </c>
      <c r="M313" s="3">
        <f>IF(AND('Data Source'!B313&lt;&gt;"",'Data Source'!S313="F"),IF('Data Source'!AE313&gt;=5,"A+",IF('Data Source'!AE313&gt;=4,"A",IF('Data Source'!AE313&gt;=3.5,"A-",IF('Data Source'!AE313&gt;=3,"B",IF('Data Source'!AE313&gt;=2,"C",IF('Data Source'!AE313&gt;=1,"D","F")))))),"")</f>
        <v/>
      </c>
      <c r="N313" s="3">
        <f>IF(AND('Data Source'!B313&lt;&gt;"",'Data Source'!S313="F"),IF('Data Source'!AF313&gt;=5,"A+",IF('Data Source'!AF313&gt;=4,"A",IF('Data Source'!AF313&gt;=3.5,"A-",IF('Data Source'!AF313&gt;=3,"B",IF('Data Source'!AF313&gt;=2,"C",IF('Data Source'!AF313&gt;=1,"D","F")))))),"")</f>
        <v/>
      </c>
      <c r="O313" s="3">
        <f>IF(AND('Data Source'!B313&lt;&gt;"",'Data Source'!S313="F"),IF('Data Source'!AG313&gt;=5,"A+",IF('Data Source'!AG313&gt;=4,"A",IF('Data Source'!AG313&gt;=3.5,"A-",IF('Data Source'!AG313&gt;=3,"B",IF('Data Source'!AG313&gt;=2,"C",IF('Data Source'!AG313&gt;=1,"D","F")))))),"")</f>
        <v/>
      </c>
      <c r="P313" s="5">
        <f>IF(AND('Data Source'!B313&lt;&gt;"",'Data Source'!S313="F"),'Data Source'!R313,"")</f>
        <v/>
      </c>
      <c r="Q313" s="3">
        <f>IF(AND('Data Source'!B313&lt;&gt;"",'Data Source'!S313="F"),'Data Source'!S313,"")</f>
        <v/>
      </c>
    </row>
    <row r="314">
      <c r="A314" s="3">
        <f>IF(AND('Data Source'!B314&lt;&gt;"",'Data Source'!S314="F"),COUNTIF('Data Source'!$S$3:S314,"F"),"")</f>
        <v/>
      </c>
      <c r="B314">
        <f>IF(AND('Data Source'!B314&lt;&gt;"",'Data Source'!S314="F"),'Data Source'!B314,"")</f>
        <v/>
      </c>
      <c r="C314" s="3">
        <f>IF(AND('Data Source'!B314&lt;&gt;"",'Data Source'!S314="F"),IF('Data Source'!U314&gt;=5,"A+",IF('Data Source'!U314&gt;=4,"A",IF('Data Source'!U314&gt;=3.5,"A-",IF('Data Source'!U314&gt;=3,"B",IF('Data Source'!U314&gt;=2,"C",IF('Data Source'!U314&gt;=1,"D","F")))))),"")</f>
        <v/>
      </c>
      <c r="D314" s="3">
        <f>IF(AND('Data Source'!B314&lt;&gt;"",'Data Source'!S314="F"),IF('Data Source'!V314&gt;=5,"A+",IF('Data Source'!V314&gt;=4,"A",IF('Data Source'!V314&gt;=3.5,"A-",IF('Data Source'!V314&gt;=3,"B",IF('Data Source'!V314&gt;=2,"C",IF('Data Source'!V314&gt;=1,"D","F")))))),"")</f>
        <v/>
      </c>
      <c r="E314" s="3">
        <f>IF(AND('Data Source'!B314&lt;&gt;"",'Data Source'!S314="F"),IF('Data Source'!W314&gt;=5,"A+",IF('Data Source'!W314&gt;=4,"A",IF('Data Source'!W314&gt;=3.5,"A-",IF('Data Source'!W314&gt;=3,"B",IF('Data Source'!W314&gt;=2,"C",IF('Data Source'!W314&gt;=1,"D","F")))))),"")</f>
        <v/>
      </c>
      <c r="F314" s="3">
        <f>IF(AND('Data Source'!B314&lt;&gt;"",'Data Source'!S314="F"),IF('Data Source'!X314&gt;=5,"A+",IF('Data Source'!X314&gt;=4,"A",IF('Data Source'!X314&gt;=3.5,"A-",IF('Data Source'!X314&gt;=3,"B",IF('Data Source'!X314&gt;=2,"C",IF('Data Source'!X314&gt;=1,"D","F")))))),"")</f>
        <v/>
      </c>
      <c r="G314" s="3">
        <f>IF(AND('Data Source'!B314&lt;&gt;"",'Data Source'!S314="F"),IF('Data Source'!Y314&gt;=5,"A+",IF('Data Source'!Y314&gt;=4,"A",IF('Data Source'!Y314&gt;=3.5,"A-",IF('Data Source'!Y314&gt;=3,"B",IF('Data Source'!Y314&gt;=2,"C",IF('Data Source'!Y314&gt;=1,"D","F")))))),"")</f>
        <v/>
      </c>
      <c r="H314" s="3">
        <f>IF(AND('Data Source'!B314&lt;&gt;"",'Data Source'!S314="F"),IF('Data Source'!Z314&gt;=5,"A+",IF('Data Source'!Z314&gt;=4,"A",IF('Data Source'!Z314&gt;=3.5,"A-",IF('Data Source'!Z314&gt;=3,"B",IF('Data Source'!Z314&gt;=2,"C",IF('Data Source'!Z314&gt;=1,"D","F")))))),"")</f>
        <v/>
      </c>
      <c r="I314" s="3">
        <f>IF(AND('Data Source'!B314&lt;&gt;"",'Data Source'!S314="F"),IF('Data Source'!AA314&gt;=5,"A+",IF('Data Source'!AA314&gt;=4,"A",IF('Data Source'!AA314&gt;=3.5,"A-",IF('Data Source'!AA314&gt;=3,"B",IF('Data Source'!AA314&gt;=2,"C",IF('Data Source'!AA314&gt;=1,"D","F")))))),"")</f>
        <v/>
      </c>
      <c r="J314" s="3">
        <f>IF(AND('Data Source'!B314&lt;&gt;"",'Data Source'!S314="F"),IF('Data Source'!AB314&gt;=5,"A+",IF('Data Source'!AB314&gt;=4,"A",IF('Data Source'!AB314&gt;=3.5,"A-",IF('Data Source'!AB314&gt;=3,"B",IF('Data Source'!AB314&gt;=2,"C",IF('Data Source'!AB314&gt;=1,"D","F")))))),"")</f>
        <v/>
      </c>
      <c r="K314" s="3">
        <f>IF(AND('Data Source'!B314&lt;&gt;"",'Data Source'!S314="F"),IF('Data Source'!AC314&gt;=5,"A+",IF('Data Source'!AC314&gt;=4,"A",IF('Data Source'!AC314&gt;=3.5,"A-",IF('Data Source'!AC314&gt;=3,"B",IF('Data Source'!AC314&gt;=2,"C",IF('Data Source'!AC314&gt;=1,"D","F")))))),"")</f>
        <v/>
      </c>
      <c r="L314" s="3">
        <f>IF(AND('Data Source'!B314&lt;&gt;"",'Data Source'!S314="F"),IF('Data Source'!AD314&gt;=5,"A+",IF('Data Source'!AD314&gt;=4,"A",IF('Data Source'!AD314&gt;=3.5,"A-",IF('Data Source'!AD314&gt;=3,"B",IF('Data Source'!AD314&gt;=2,"C",IF('Data Source'!AD314&gt;=1,"D","F")))))),"")</f>
        <v/>
      </c>
      <c r="M314" s="3">
        <f>IF(AND('Data Source'!B314&lt;&gt;"",'Data Source'!S314="F"),IF('Data Source'!AE314&gt;=5,"A+",IF('Data Source'!AE314&gt;=4,"A",IF('Data Source'!AE314&gt;=3.5,"A-",IF('Data Source'!AE314&gt;=3,"B",IF('Data Source'!AE314&gt;=2,"C",IF('Data Source'!AE314&gt;=1,"D","F")))))),"")</f>
        <v/>
      </c>
      <c r="N314" s="3">
        <f>IF(AND('Data Source'!B314&lt;&gt;"",'Data Source'!S314="F"),IF('Data Source'!AF314&gt;=5,"A+",IF('Data Source'!AF314&gt;=4,"A",IF('Data Source'!AF314&gt;=3.5,"A-",IF('Data Source'!AF314&gt;=3,"B",IF('Data Source'!AF314&gt;=2,"C",IF('Data Source'!AF314&gt;=1,"D","F")))))),"")</f>
        <v/>
      </c>
      <c r="O314" s="3">
        <f>IF(AND('Data Source'!B314&lt;&gt;"",'Data Source'!S314="F"),IF('Data Source'!AG314&gt;=5,"A+",IF('Data Source'!AG314&gt;=4,"A",IF('Data Source'!AG314&gt;=3.5,"A-",IF('Data Source'!AG314&gt;=3,"B",IF('Data Source'!AG314&gt;=2,"C",IF('Data Source'!AG314&gt;=1,"D","F")))))),"")</f>
        <v/>
      </c>
      <c r="P314" s="5">
        <f>IF(AND('Data Source'!B314&lt;&gt;"",'Data Source'!S314="F"),'Data Source'!R314,"")</f>
        <v/>
      </c>
      <c r="Q314" s="3">
        <f>IF(AND('Data Source'!B314&lt;&gt;"",'Data Source'!S314="F"),'Data Source'!S314,"")</f>
        <v/>
      </c>
    </row>
    <row r="315">
      <c r="A315" s="3">
        <f>IF(AND('Data Source'!B315&lt;&gt;"",'Data Source'!S315="F"),COUNTIF('Data Source'!$S$3:S315,"F"),"")</f>
        <v/>
      </c>
      <c r="B315">
        <f>IF(AND('Data Source'!B315&lt;&gt;"",'Data Source'!S315="F"),'Data Source'!B315,"")</f>
        <v/>
      </c>
      <c r="C315" s="3">
        <f>IF(AND('Data Source'!B315&lt;&gt;"",'Data Source'!S315="F"),IF('Data Source'!U315&gt;=5,"A+",IF('Data Source'!U315&gt;=4,"A",IF('Data Source'!U315&gt;=3.5,"A-",IF('Data Source'!U315&gt;=3,"B",IF('Data Source'!U315&gt;=2,"C",IF('Data Source'!U315&gt;=1,"D","F")))))),"")</f>
        <v/>
      </c>
      <c r="D315" s="3">
        <f>IF(AND('Data Source'!B315&lt;&gt;"",'Data Source'!S315="F"),IF('Data Source'!V315&gt;=5,"A+",IF('Data Source'!V315&gt;=4,"A",IF('Data Source'!V315&gt;=3.5,"A-",IF('Data Source'!V315&gt;=3,"B",IF('Data Source'!V315&gt;=2,"C",IF('Data Source'!V315&gt;=1,"D","F")))))),"")</f>
        <v/>
      </c>
      <c r="E315" s="3">
        <f>IF(AND('Data Source'!B315&lt;&gt;"",'Data Source'!S315="F"),IF('Data Source'!W315&gt;=5,"A+",IF('Data Source'!W315&gt;=4,"A",IF('Data Source'!W315&gt;=3.5,"A-",IF('Data Source'!W315&gt;=3,"B",IF('Data Source'!W315&gt;=2,"C",IF('Data Source'!W315&gt;=1,"D","F")))))),"")</f>
        <v/>
      </c>
      <c r="F315" s="3">
        <f>IF(AND('Data Source'!B315&lt;&gt;"",'Data Source'!S315="F"),IF('Data Source'!X315&gt;=5,"A+",IF('Data Source'!X315&gt;=4,"A",IF('Data Source'!X315&gt;=3.5,"A-",IF('Data Source'!X315&gt;=3,"B",IF('Data Source'!X315&gt;=2,"C",IF('Data Source'!X315&gt;=1,"D","F")))))),"")</f>
        <v/>
      </c>
      <c r="G315" s="3">
        <f>IF(AND('Data Source'!B315&lt;&gt;"",'Data Source'!S315="F"),IF('Data Source'!Y315&gt;=5,"A+",IF('Data Source'!Y315&gt;=4,"A",IF('Data Source'!Y315&gt;=3.5,"A-",IF('Data Source'!Y315&gt;=3,"B",IF('Data Source'!Y315&gt;=2,"C",IF('Data Source'!Y315&gt;=1,"D","F")))))),"")</f>
        <v/>
      </c>
      <c r="H315" s="3">
        <f>IF(AND('Data Source'!B315&lt;&gt;"",'Data Source'!S315="F"),IF('Data Source'!Z315&gt;=5,"A+",IF('Data Source'!Z315&gt;=4,"A",IF('Data Source'!Z315&gt;=3.5,"A-",IF('Data Source'!Z315&gt;=3,"B",IF('Data Source'!Z315&gt;=2,"C",IF('Data Source'!Z315&gt;=1,"D","F")))))),"")</f>
        <v/>
      </c>
      <c r="I315" s="3">
        <f>IF(AND('Data Source'!B315&lt;&gt;"",'Data Source'!S315="F"),IF('Data Source'!AA315&gt;=5,"A+",IF('Data Source'!AA315&gt;=4,"A",IF('Data Source'!AA315&gt;=3.5,"A-",IF('Data Source'!AA315&gt;=3,"B",IF('Data Source'!AA315&gt;=2,"C",IF('Data Source'!AA315&gt;=1,"D","F")))))),"")</f>
        <v/>
      </c>
      <c r="J315" s="3">
        <f>IF(AND('Data Source'!B315&lt;&gt;"",'Data Source'!S315="F"),IF('Data Source'!AB315&gt;=5,"A+",IF('Data Source'!AB315&gt;=4,"A",IF('Data Source'!AB315&gt;=3.5,"A-",IF('Data Source'!AB315&gt;=3,"B",IF('Data Source'!AB315&gt;=2,"C",IF('Data Source'!AB315&gt;=1,"D","F")))))),"")</f>
        <v/>
      </c>
      <c r="K315" s="3">
        <f>IF(AND('Data Source'!B315&lt;&gt;"",'Data Source'!S315="F"),IF('Data Source'!AC315&gt;=5,"A+",IF('Data Source'!AC315&gt;=4,"A",IF('Data Source'!AC315&gt;=3.5,"A-",IF('Data Source'!AC315&gt;=3,"B",IF('Data Source'!AC315&gt;=2,"C",IF('Data Source'!AC315&gt;=1,"D","F")))))),"")</f>
        <v/>
      </c>
      <c r="L315" s="3">
        <f>IF(AND('Data Source'!B315&lt;&gt;"",'Data Source'!S315="F"),IF('Data Source'!AD315&gt;=5,"A+",IF('Data Source'!AD315&gt;=4,"A",IF('Data Source'!AD315&gt;=3.5,"A-",IF('Data Source'!AD315&gt;=3,"B",IF('Data Source'!AD315&gt;=2,"C",IF('Data Source'!AD315&gt;=1,"D","F")))))),"")</f>
        <v/>
      </c>
      <c r="M315" s="3">
        <f>IF(AND('Data Source'!B315&lt;&gt;"",'Data Source'!S315="F"),IF('Data Source'!AE315&gt;=5,"A+",IF('Data Source'!AE315&gt;=4,"A",IF('Data Source'!AE315&gt;=3.5,"A-",IF('Data Source'!AE315&gt;=3,"B",IF('Data Source'!AE315&gt;=2,"C",IF('Data Source'!AE315&gt;=1,"D","F")))))),"")</f>
        <v/>
      </c>
      <c r="N315" s="3">
        <f>IF(AND('Data Source'!B315&lt;&gt;"",'Data Source'!S315="F"),IF('Data Source'!AF315&gt;=5,"A+",IF('Data Source'!AF315&gt;=4,"A",IF('Data Source'!AF315&gt;=3.5,"A-",IF('Data Source'!AF315&gt;=3,"B",IF('Data Source'!AF315&gt;=2,"C",IF('Data Source'!AF315&gt;=1,"D","F")))))),"")</f>
        <v/>
      </c>
      <c r="O315" s="3">
        <f>IF(AND('Data Source'!B315&lt;&gt;"",'Data Source'!S315="F"),IF('Data Source'!AG315&gt;=5,"A+",IF('Data Source'!AG315&gt;=4,"A",IF('Data Source'!AG315&gt;=3.5,"A-",IF('Data Source'!AG315&gt;=3,"B",IF('Data Source'!AG315&gt;=2,"C",IF('Data Source'!AG315&gt;=1,"D","F")))))),"")</f>
        <v/>
      </c>
      <c r="P315" s="5">
        <f>IF(AND('Data Source'!B315&lt;&gt;"",'Data Source'!S315="F"),'Data Source'!R315,"")</f>
        <v/>
      </c>
      <c r="Q315" s="3">
        <f>IF(AND('Data Source'!B315&lt;&gt;"",'Data Source'!S315="F"),'Data Source'!S315,"")</f>
        <v/>
      </c>
    </row>
    <row r="316">
      <c r="A316" s="3">
        <f>IF(AND('Data Source'!B316&lt;&gt;"",'Data Source'!S316="F"),COUNTIF('Data Source'!$S$3:S316,"F"),"")</f>
        <v/>
      </c>
      <c r="B316">
        <f>IF(AND('Data Source'!B316&lt;&gt;"",'Data Source'!S316="F"),'Data Source'!B316,"")</f>
        <v/>
      </c>
      <c r="C316" s="3">
        <f>IF(AND('Data Source'!B316&lt;&gt;"",'Data Source'!S316="F"),IF('Data Source'!U316&gt;=5,"A+",IF('Data Source'!U316&gt;=4,"A",IF('Data Source'!U316&gt;=3.5,"A-",IF('Data Source'!U316&gt;=3,"B",IF('Data Source'!U316&gt;=2,"C",IF('Data Source'!U316&gt;=1,"D","F")))))),"")</f>
        <v/>
      </c>
      <c r="D316" s="3">
        <f>IF(AND('Data Source'!B316&lt;&gt;"",'Data Source'!S316="F"),IF('Data Source'!V316&gt;=5,"A+",IF('Data Source'!V316&gt;=4,"A",IF('Data Source'!V316&gt;=3.5,"A-",IF('Data Source'!V316&gt;=3,"B",IF('Data Source'!V316&gt;=2,"C",IF('Data Source'!V316&gt;=1,"D","F")))))),"")</f>
        <v/>
      </c>
      <c r="E316" s="3">
        <f>IF(AND('Data Source'!B316&lt;&gt;"",'Data Source'!S316="F"),IF('Data Source'!W316&gt;=5,"A+",IF('Data Source'!W316&gt;=4,"A",IF('Data Source'!W316&gt;=3.5,"A-",IF('Data Source'!W316&gt;=3,"B",IF('Data Source'!W316&gt;=2,"C",IF('Data Source'!W316&gt;=1,"D","F")))))),"")</f>
        <v/>
      </c>
      <c r="F316" s="3">
        <f>IF(AND('Data Source'!B316&lt;&gt;"",'Data Source'!S316="F"),IF('Data Source'!X316&gt;=5,"A+",IF('Data Source'!X316&gt;=4,"A",IF('Data Source'!X316&gt;=3.5,"A-",IF('Data Source'!X316&gt;=3,"B",IF('Data Source'!X316&gt;=2,"C",IF('Data Source'!X316&gt;=1,"D","F")))))),"")</f>
        <v/>
      </c>
      <c r="G316" s="3">
        <f>IF(AND('Data Source'!B316&lt;&gt;"",'Data Source'!S316="F"),IF('Data Source'!Y316&gt;=5,"A+",IF('Data Source'!Y316&gt;=4,"A",IF('Data Source'!Y316&gt;=3.5,"A-",IF('Data Source'!Y316&gt;=3,"B",IF('Data Source'!Y316&gt;=2,"C",IF('Data Source'!Y316&gt;=1,"D","F")))))),"")</f>
        <v/>
      </c>
      <c r="H316" s="3">
        <f>IF(AND('Data Source'!B316&lt;&gt;"",'Data Source'!S316="F"),IF('Data Source'!Z316&gt;=5,"A+",IF('Data Source'!Z316&gt;=4,"A",IF('Data Source'!Z316&gt;=3.5,"A-",IF('Data Source'!Z316&gt;=3,"B",IF('Data Source'!Z316&gt;=2,"C",IF('Data Source'!Z316&gt;=1,"D","F")))))),"")</f>
        <v/>
      </c>
      <c r="I316" s="3">
        <f>IF(AND('Data Source'!B316&lt;&gt;"",'Data Source'!S316="F"),IF('Data Source'!AA316&gt;=5,"A+",IF('Data Source'!AA316&gt;=4,"A",IF('Data Source'!AA316&gt;=3.5,"A-",IF('Data Source'!AA316&gt;=3,"B",IF('Data Source'!AA316&gt;=2,"C",IF('Data Source'!AA316&gt;=1,"D","F")))))),"")</f>
        <v/>
      </c>
      <c r="J316" s="3">
        <f>IF(AND('Data Source'!B316&lt;&gt;"",'Data Source'!S316="F"),IF('Data Source'!AB316&gt;=5,"A+",IF('Data Source'!AB316&gt;=4,"A",IF('Data Source'!AB316&gt;=3.5,"A-",IF('Data Source'!AB316&gt;=3,"B",IF('Data Source'!AB316&gt;=2,"C",IF('Data Source'!AB316&gt;=1,"D","F")))))),"")</f>
        <v/>
      </c>
      <c r="K316" s="3">
        <f>IF(AND('Data Source'!B316&lt;&gt;"",'Data Source'!S316="F"),IF('Data Source'!AC316&gt;=5,"A+",IF('Data Source'!AC316&gt;=4,"A",IF('Data Source'!AC316&gt;=3.5,"A-",IF('Data Source'!AC316&gt;=3,"B",IF('Data Source'!AC316&gt;=2,"C",IF('Data Source'!AC316&gt;=1,"D","F")))))),"")</f>
        <v/>
      </c>
      <c r="L316" s="3">
        <f>IF(AND('Data Source'!B316&lt;&gt;"",'Data Source'!S316="F"),IF('Data Source'!AD316&gt;=5,"A+",IF('Data Source'!AD316&gt;=4,"A",IF('Data Source'!AD316&gt;=3.5,"A-",IF('Data Source'!AD316&gt;=3,"B",IF('Data Source'!AD316&gt;=2,"C",IF('Data Source'!AD316&gt;=1,"D","F")))))),"")</f>
        <v/>
      </c>
      <c r="M316" s="3">
        <f>IF(AND('Data Source'!B316&lt;&gt;"",'Data Source'!S316="F"),IF('Data Source'!AE316&gt;=5,"A+",IF('Data Source'!AE316&gt;=4,"A",IF('Data Source'!AE316&gt;=3.5,"A-",IF('Data Source'!AE316&gt;=3,"B",IF('Data Source'!AE316&gt;=2,"C",IF('Data Source'!AE316&gt;=1,"D","F")))))),"")</f>
        <v/>
      </c>
      <c r="N316" s="3">
        <f>IF(AND('Data Source'!B316&lt;&gt;"",'Data Source'!S316="F"),IF('Data Source'!AF316&gt;=5,"A+",IF('Data Source'!AF316&gt;=4,"A",IF('Data Source'!AF316&gt;=3.5,"A-",IF('Data Source'!AF316&gt;=3,"B",IF('Data Source'!AF316&gt;=2,"C",IF('Data Source'!AF316&gt;=1,"D","F")))))),"")</f>
        <v/>
      </c>
      <c r="O316" s="3">
        <f>IF(AND('Data Source'!B316&lt;&gt;"",'Data Source'!S316="F"),IF('Data Source'!AG316&gt;=5,"A+",IF('Data Source'!AG316&gt;=4,"A",IF('Data Source'!AG316&gt;=3.5,"A-",IF('Data Source'!AG316&gt;=3,"B",IF('Data Source'!AG316&gt;=2,"C",IF('Data Source'!AG316&gt;=1,"D","F")))))),"")</f>
        <v/>
      </c>
      <c r="P316" s="5">
        <f>IF(AND('Data Source'!B316&lt;&gt;"",'Data Source'!S316="F"),'Data Source'!R316,"")</f>
        <v/>
      </c>
      <c r="Q316" s="3">
        <f>IF(AND('Data Source'!B316&lt;&gt;"",'Data Source'!S316="F"),'Data Source'!S316,"")</f>
        <v/>
      </c>
    </row>
    <row r="317">
      <c r="A317" s="3">
        <f>IF(AND('Data Source'!B317&lt;&gt;"",'Data Source'!S317="F"),COUNTIF('Data Source'!$S$3:S317,"F"),"")</f>
        <v/>
      </c>
      <c r="B317">
        <f>IF(AND('Data Source'!B317&lt;&gt;"",'Data Source'!S317="F"),'Data Source'!B317,"")</f>
        <v/>
      </c>
      <c r="C317" s="3">
        <f>IF(AND('Data Source'!B317&lt;&gt;"",'Data Source'!S317="F"),IF('Data Source'!U317&gt;=5,"A+",IF('Data Source'!U317&gt;=4,"A",IF('Data Source'!U317&gt;=3.5,"A-",IF('Data Source'!U317&gt;=3,"B",IF('Data Source'!U317&gt;=2,"C",IF('Data Source'!U317&gt;=1,"D","F")))))),"")</f>
        <v/>
      </c>
      <c r="D317" s="3">
        <f>IF(AND('Data Source'!B317&lt;&gt;"",'Data Source'!S317="F"),IF('Data Source'!V317&gt;=5,"A+",IF('Data Source'!V317&gt;=4,"A",IF('Data Source'!V317&gt;=3.5,"A-",IF('Data Source'!V317&gt;=3,"B",IF('Data Source'!V317&gt;=2,"C",IF('Data Source'!V317&gt;=1,"D","F")))))),"")</f>
        <v/>
      </c>
      <c r="E317" s="3">
        <f>IF(AND('Data Source'!B317&lt;&gt;"",'Data Source'!S317="F"),IF('Data Source'!W317&gt;=5,"A+",IF('Data Source'!W317&gt;=4,"A",IF('Data Source'!W317&gt;=3.5,"A-",IF('Data Source'!W317&gt;=3,"B",IF('Data Source'!W317&gt;=2,"C",IF('Data Source'!W317&gt;=1,"D","F")))))),"")</f>
        <v/>
      </c>
      <c r="F317" s="3">
        <f>IF(AND('Data Source'!B317&lt;&gt;"",'Data Source'!S317="F"),IF('Data Source'!X317&gt;=5,"A+",IF('Data Source'!X317&gt;=4,"A",IF('Data Source'!X317&gt;=3.5,"A-",IF('Data Source'!X317&gt;=3,"B",IF('Data Source'!X317&gt;=2,"C",IF('Data Source'!X317&gt;=1,"D","F")))))),"")</f>
        <v/>
      </c>
      <c r="G317" s="3">
        <f>IF(AND('Data Source'!B317&lt;&gt;"",'Data Source'!S317="F"),IF('Data Source'!Y317&gt;=5,"A+",IF('Data Source'!Y317&gt;=4,"A",IF('Data Source'!Y317&gt;=3.5,"A-",IF('Data Source'!Y317&gt;=3,"B",IF('Data Source'!Y317&gt;=2,"C",IF('Data Source'!Y317&gt;=1,"D","F")))))),"")</f>
        <v/>
      </c>
      <c r="H317" s="3">
        <f>IF(AND('Data Source'!B317&lt;&gt;"",'Data Source'!S317="F"),IF('Data Source'!Z317&gt;=5,"A+",IF('Data Source'!Z317&gt;=4,"A",IF('Data Source'!Z317&gt;=3.5,"A-",IF('Data Source'!Z317&gt;=3,"B",IF('Data Source'!Z317&gt;=2,"C",IF('Data Source'!Z317&gt;=1,"D","F")))))),"")</f>
        <v/>
      </c>
      <c r="I317" s="3">
        <f>IF(AND('Data Source'!B317&lt;&gt;"",'Data Source'!S317="F"),IF('Data Source'!AA317&gt;=5,"A+",IF('Data Source'!AA317&gt;=4,"A",IF('Data Source'!AA317&gt;=3.5,"A-",IF('Data Source'!AA317&gt;=3,"B",IF('Data Source'!AA317&gt;=2,"C",IF('Data Source'!AA317&gt;=1,"D","F")))))),"")</f>
        <v/>
      </c>
      <c r="J317" s="3">
        <f>IF(AND('Data Source'!B317&lt;&gt;"",'Data Source'!S317="F"),IF('Data Source'!AB317&gt;=5,"A+",IF('Data Source'!AB317&gt;=4,"A",IF('Data Source'!AB317&gt;=3.5,"A-",IF('Data Source'!AB317&gt;=3,"B",IF('Data Source'!AB317&gt;=2,"C",IF('Data Source'!AB317&gt;=1,"D","F")))))),"")</f>
        <v/>
      </c>
      <c r="K317" s="3">
        <f>IF(AND('Data Source'!B317&lt;&gt;"",'Data Source'!S317="F"),IF('Data Source'!AC317&gt;=5,"A+",IF('Data Source'!AC317&gt;=4,"A",IF('Data Source'!AC317&gt;=3.5,"A-",IF('Data Source'!AC317&gt;=3,"B",IF('Data Source'!AC317&gt;=2,"C",IF('Data Source'!AC317&gt;=1,"D","F")))))),"")</f>
        <v/>
      </c>
      <c r="L317" s="3">
        <f>IF(AND('Data Source'!B317&lt;&gt;"",'Data Source'!S317="F"),IF('Data Source'!AD317&gt;=5,"A+",IF('Data Source'!AD317&gt;=4,"A",IF('Data Source'!AD317&gt;=3.5,"A-",IF('Data Source'!AD317&gt;=3,"B",IF('Data Source'!AD317&gt;=2,"C",IF('Data Source'!AD317&gt;=1,"D","F")))))),"")</f>
        <v/>
      </c>
      <c r="M317" s="3">
        <f>IF(AND('Data Source'!B317&lt;&gt;"",'Data Source'!S317="F"),IF('Data Source'!AE317&gt;=5,"A+",IF('Data Source'!AE317&gt;=4,"A",IF('Data Source'!AE317&gt;=3.5,"A-",IF('Data Source'!AE317&gt;=3,"B",IF('Data Source'!AE317&gt;=2,"C",IF('Data Source'!AE317&gt;=1,"D","F")))))),"")</f>
        <v/>
      </c>
      <c r="N317" s="3">
        <f>IF(AND('Data Source'!B317&lt;&gt;"",'Data Source'!S317="F"),IF('Data Source'!AF317&gt;=5,"A+",IF('Data Source'!AF317&gt;=4,"A",IF('Data Source'!AF317&gt;=3.5,"A-",IF('Data Source'!AF317&gt;=3,"B",IF('Data Source'!AF317&gt;=2,"C",IF('Data Source'!AF317&gt;=1,"D","F")))))),"")</f>
        <v/>
      </c>
      <c r="O317" s="3">
        <f>IF(AND('Data Source'!B317&lt;&gt;"",'Data Source'!S317="F"),IF('Data Source'!AG317&gt;=5,"A+",IF('Data Source'!AG317&gt;=4,"A",IF('Data Source'!AG317&gt;=3.5,"A-",IF('Data Source'!AG317&gt;=3,"B",IF('Data Source'!AG317&gt;=2,"C",IF('Data Source'!AG317&gt;=1,"D","F")))))),"")</f>
        <v/>
      </c>
      <c r="P317" s="5">
        <f>IF(AND('Data Source'!B317&lt;&gt;"",'Data Source'!S317="F"),'Data Source'!R317,"")</f>
        <v/>
      </c>
      <c r="Q317" s="3">
        <f>IF(AND('Data Source'!B317&lt;&gt;"",'Data Source'!S317="F"),'Data Source'!S317,"")</f>
        <v/>
      </c>
    </row>
    <row r="318">
      <c r="A318" s="3">
        <f>IF(AND('Data Source'!B318&lt;&gt;"",'Data Source'!S318="F"),COUNTIF('Data Source'!$S$3:S318,"F"),"")</f>
        <v/>
      </c>
      <c r="B318">
        <f>IF(AND('Data Source'!B318&lt;&gt;"",'Data Source'!S318="F"),'Data Source'!B318,"")</f>
        <v/>
      </c>
      <c r="C318" s="3">
        <f>IF(AND('Data Source'!B318&lt;&gt;"",'Data Source'!S318="F"),IF('Data Source'!U318&gt;=5,"A+",IF('Data Source'!U318&gt;=4,"A",IF('Data Source'!U318&gt;=3.5,"A-",IF('Data Source'!U318&gt;=3,"B",IF('Data Source'!U318&gt;=2,"C",IF('Data Source'!U318&gt;=1,"D","F")))))),"")</f>
        <v/>
      </c>
      <c r="D318" s="3">
        <f>IF(AND('Data Source'!B318&lt;&gt;"",'Data Source'!S318="F"),IF('Data Source'!V318&gt;=5,"A+",IF('Data Source'!V318&gt;=4,"A",IF('Data Source'!V318&gt;=3.5,"A-",IF('Data Source'!V318&gt;=3,"B",IF('Data Source'!V318&gt;=2,"C",IF('Data Source'!V318&gt;=1,"D","F")))))),"")</f>
        <v/>
      </c>
      <c r="E318" s="3">
        <f>IF(AND('Data Source'!B318&lt;&gt;"",'Data Source'!S318="F"),IF('Data Source'!W318&gt;=5,"A+",IF('Data Source'!W318&gt;=4,"A",IF('Data Source'!W318&gt;=3.5,"A-",IF('Data Source'!W318&gt;=3,"B",IF('Data Source'!W318&gt;=2,"C",IF('Data Source'!W318&gt;=1,"D","F")))))),"")</f>
        <v/>
      </c>
      <c r="F318" s="3">
        <f>IF(AND('Data Source'!B318&lt;&gt;"",'Data Source'!S318="F"),IF('Data Source'!X318&gt;=5,"A+",IF('Data Source'!X318&gt;=4,"A",IF('Data Source'!X318&gt;=3.5,"A-",IF('Data Source'!X318&gt;=3,"B",IF('Data Source'!X318&gt;=2,"C",IF('Data Source'!X318&gt;=1,"D","F")))))),"")</f>
        <v/>
      </c>
      <c r="G318" s="3">
        <f>IF(AND('Data Source'!B318&lt;&gt;"",'Data Source'!S318="F"),IF('Data Source'!Y318&gt;=5,"A+",IF('Data Source'!Y318&gt;=4,"A",IF('Data Source'!Y318&gt;=3.5,"A-",IF('Data Source'!Y318&gt;=3,"B",IF('Data Source'!Y318&gt;=2,"C",IF('Data Source'!Y318&gt;=1,"D","F")))))),"")</f>
        <v/>
      </c>
      <c r="H318" s="3">
        <f>IF(AND('Data Source'!B318&lt;&gt;"",'Data Source'!S318="F"),IF('Data Source'!Z318&gt;=5,"A+",IF('Data Source'!Z318&gt;=4,"A",IF('Data Source'!Z318&gt;=3.5,"A-",IF('Data Source'!Z318&gt;=3,"B",IF('Data Source'!Z318&gt;=2,"C",IF('Data Source'!Z318&gt;=1,"D","F")))))),"")</f>
        <v/>
      </c>
      <c r="I318" s="3">
        <f>IF(AND('Data Source'!B318&lt;&gt;"",'Data Source'!S318="F"),IF('Data Source'!AA318&gt;=5,"A+",IF('Data Source'!AA318&gt;=4,"A",IF('Data Source'!AA318&gt;=3.5,"A-",IF('Data Source'!AA318&gt;=3,"B",IF('Data Source'!AA318&gt;=2,"C",IF('Data Source'!AA318&gt;=1,"D","F")))))),"")</f>
        <v/>
      </c>
      <c r="J318" s="3">
        <f>IF(AND('Data Source'!B318&lt;&gt;"",'Data Source'!S318="F"),IF('Data Source'!AB318&gt;=5,"A+",IF('Data Source'!AB318&gt;=4,"A",IF('Data Source'!AB318&gt;=3.5,"A-",IF('Data Source'!AB318&gt;=3,"B",IF('Data Source'!AB318&gt;=2,"C",IF('Data Source'!AB318&gt;=1,"D","F")))))),"")</f>
        <v/>
      </c>
      <c r="K318" s="3">
        <f>IF(AND('Data Source'!B318&lt;&gt;"",'Data Source'!S318="F"),IF('Data Source'!AC318&gt;=5,"A+",IF('Data Source'!AC318&gt;=4,"A",IF('Data Source'!AC318&gt;=3.5,"A-",IF('Data Source'!AC318&gt;=3,"B",IF('Data Source'!AC318&gt;=2,"C",IF('Data Source'!AC318&gt;=1,"D","F")))))),"")</f>
        <v/>
      </c>
      <c r="L318" s="3">
        <f>IF(AND('Data Source'!B318&lt;&gt;"",'Data Source'!S318="F"),IF('Data Source'!AD318&gt;=5,"A+",IF('Data Source'!AD318&gt;=4,"A",IF('Data Source'!AD318&gt;=3.5,"A-",IF('Data Source'!AD318&gt;=3,"B",IF('Data Source'!AD318&gt;=2,"C",IF('Data Source'!AD318&gt;=1,"D","F")))))),"")</f>
        <v/>
      </c>
      <c r="M318" s="3">
        <f>IF(AND('Data Source'!B318&lt;&gt;"",'Data Source'!S318="F"),IF('Data Source'!AE318&gt;=5,"A+",IF('Data Source'!AE318&gt;=4,"A",IF('Data Source'!AE318&gt;=3.5,"A-",IF('Data Source'!AE318&gt;=3,"B",IF('Data Source'!AE318&gt;=2,"C",IF('Data Source'!AE318&gt;=1,"D","F")))))),"")</f>
        <v/>
      </c>
      <c r="N318" s="3">
        <f>IF(AND('Data Source'!B318&lt;&gt;"",'Data Source'!S318="F"),IF('Data Source'!AF318&gt;=5,"A+",IF('Data Source'!AF318&gt;=4,"A",IF('Data Source'!AF318&gt;=3.5,"A-",IF('Data Source'!AF318&gt;=3,"B",IF('Data Source'!AF318&gt;=2,"C",IF('Data Source'!AF318&gt;=1,"D","F")))))),"")</f>
        <v/>
      </c>
      <c r="O318" s="3">
        <f>IF(AND('Data Source'!B318&lt;&gt;"",'Data Source'!S318="F"),IF('Data Source'!AG318&gt;=5,"A+",IF('Data Source'!AG318&gt;=4,"A",IF('Data Source'!AG318&gt;=3.5,"A-",IF('Data Source'!AG318&gt;=3,"B",IF('Data Source'!AG318&gt;=2,"C",IF('Data Source'!AG318&gt;=1,"D","F")))))),"")</f>
        <v/>
      </c>
      <c r="P318" s="5">
        <f>IF(AND('Data Source'!B318&lt;&gt;"",'Data Source'!S318="F"),'Data Source'!R318,"")</f>
        <v/>
      </c>
      <c r="Q318" s="3">
        <f>IF(AND('Data Source'!B318&lt;&gt;"",'Data Source'!S318="F"),'Data Source'!S318,"")</f>
        <v/>
      </c>
    </row>
    <row r="319">
      <c r="A319" s="3">
        <f>IF(AND('Data Source'!B319&lt;&gt;"",'Data Source'!S319="F"),COUNTIF('Data Source'!$S$3:S319,"F"),"")</f>
        <v/>
      </c>
      <c r="B319">
        <f>IF(AND('Data Source'!B319&lt;&gt;"",'Data Source'!S319="F"),'Data Source'!B319,"")</f>
        <v/>
      </c>
      <c r="C319" s="3">
        <f>IF(AND('Data Source'!B319&lt;&gt;"",'Data Source'!S319="F"),IF('Data Source'!U319&gt;=5,"A+",IF('Data Source'!U319&gt;=4,"A",IF('Data Source'!U319&gt;=3.5,"A-",IF('Data Source'!U319&gt;=3,"B",IF('Data Source'!U319&gt;=2,"C",IF('Data Source'!U319&gt;=1,"D","F")))))),"")</f>
        <v/>
      </c>
      <c r="D319" s="3">
        <f>IF(AND('Data Source'!B319&lt;&gt;"",'Data Source'!S319="F"),IF('Data Source'!V319&gt;=5,"A+",IF('Data Source'!V319&gt;=4,"A",IF('Data Source'!V319&gt;=3.5,"A-",IF('Data Source'!V319&gt;=3,"B",IF('Data Source'!V319&gt;=2,"C",IF('Data Source'!V319&gt;=1,"D","F")))))),"")</f>
        <v/>
      </c>
      <c r="E319" s="3">
        <f>IF(AND('Data Source'!B319&lt;&gt;"",'Data Source'!S319="F"),IF('Data Source'!W319&gt;=5,"A+",IF('Data Source'!W319&gt;=4,"A",IF('Data Source'!W319&gt;=3.5,"A-",IF('Data Source'!W319&gt;=3,"B",IF('Data Source'!W319&gt;=2,"C",IF('Data Source'!W319&gt;=1,"D","F")))))),"")</f>
        <v/>
      </c>
      <c r="F319" s="3">
        <f>IF(AND('Data Source'!B319&lt;&gt;"",'Data Source'!S319="F"),IF('Data Source'!X319&gt;=5,"A+",IF('Data Source'!X319&gt;=4,"A",IF('Data Source'!X319&gt;=3.5,"A-",IF('Data Source'!X319&gt;=3,"B",IF('Data Source'!X319&gt;=2,"C",IF('Data Source'!X319&gt;=1,"D","F")))))),"")</f>
        <v/>
      </c>
      <c r="G319" s="3">
        <f>IF(AND('Data Source'!B319&lt;&gt;"",'Data Source'!S319="F"),IF('Data Source'!Y319&gt;=5,"A+",IF('Data Source'!Y319&gt;=4,"A",IF('Data Source'!Y319&gt;=3.5,"A-",IF('Data Source'!Y319&gt;=3,"B",IF('Data Source'!Y319&gt;=2,"C",IF('Data Source'!Y319&gt;=1,"D","F")))))),"")</f>
        <v/>
      </c>
      <c r="H319" s="3">
        <f>IF(AND('Data Source'!B319&lt;&gt;"",'Data Source'!S319="F"),IF('Data Source'!Z319&gt;=5,"A+",IF('Data Source'!Z319&gt;=4,"A",IF('Data Source'!Z319&gt;=3.5,"A-",IF('Data Source'!Z319&gt;=3,"B",IF('Data Source'!Z319&gt;=2,"C",IF('Data Source'!Z319&gt;=1,"D","F")))))),"")</f>
        <v/>
      </c>
      <c r="I319" s="3">
        <f>IF(AND('Data Source'!B319&lt;&gt;"",'Data Source'!S319="F"),IF('Data Source'!AA319&gt;=5,"A+",IF('Data Source'!AA319&gt;=4,"A",IF('Data Source'!AA319&gt;=3.5,"A-",IF('Data Source'!AA319&gt;=3,"B",IF('Data Source'!AA319&gt;=2,"C",IF('Data Source'!AA319&gt;=1,"D","F")))))),"")</f>
        <v/>
      </c>
      <c r="J319" s="3">
        <f>IF(AND('Data Source'!B319&lt;&gt;"",'Data Source'!S319="F"),IF('Data Source'!AB319&gt;=5,"A+",IF('Data Source'!AB319&gt;=4,"A",IF('Data Source'!AB319&gt;=3.5,"A-",IF('Data Source'!AB319&gt;=3,"B",IF('Data Source'!AB319&gt;=2,"C",IF('Data Source'!AB319&gt;=1,"D","F")))))),"")</f>
        <v/>
      </c>
      <c r="K319" s="3">
        <f>IF(AND('Data Source'!B319&lt;&gt;"",'Data Source'!S319="F"),IF('Data Source'!AC319&gt;=5,"A+",IF('Data Source'!AC319&gt;=4,"A",IF('Data Source'!AC319&gt;=3.5,"A-",IF('Data Source'!AC319&gt;=3,"B",IF('Data Source'!AC319&gt;=2,"C",IF('Data Source'!AC319&gt;=1,"D","F")))))),"")</f>
        <v/>
      </c>
      <c r="L319" s="3">
        <f>IF(AND('Data Source'!B319&lt;&gt;"",'Data Source'!S319="F"),IF('Data Source'!AD319&gt;=5,"A+",IF('Data Source'!AD319&gt;=4,"A",IF('Data Source'!AD319&gt;=3.5,"A-",IF('Data Source'!AD319&gt;=3,"B",IF('Data Source'!AD319&gt;=2,"C",IF('Data Source'!AD319&gt;=1,"D","F")))))),"")</f>
        <v/>
      </c>
      <c r="M319" s="3">
        <f>IF(AND('Data Source'!B319&lt;&gt;"",'Data Source'!S319="F"),IF('Data Source'!AE319&gt;=5,"A+",IF('Data Source'!AE319&gt;=4,"A",IF('Data Source'!AE319&gt;=3.5,"A-",IF('Data Source'!AE319&gt;=3,"B",IF('Data Source'!AE319&gt;=2,"C",IF('Data Source'!AE319&gt;=1,"D","F")))))),"")</f>
        <v/>
      </c>
      <c r="N319" s="3">
        <f>IF(AND('Data Source'!B319&lt;&gt;"",'Data Source'!S319="F"),IF('Data Source'!AF319&gt;=5,"A+",IF('Data Source'!AF319&gt;=4,"A",IF('Data Source'!AF319&gt;=3.5,"A-",IF('Data Source'!AF319&gt;=3,"B",IF('Data Source'!AF319&gt;=2,"C",IF('Data Source'!AF319&gt;=1,"D","F")))))),"")</f>
        <v/>
      </c>
      <c r="O319" s="3">
        <f>IF(AND('Data Source'!B319&lt;&gt;"",'Data Source'!S319="F"),IF('Data Source'!AG319&gt;=5,"A+",IF('Data Source'!AG319&gt;=4,"A",IF('Data Source'!AG319&gt;=3.5,"A-",IF('Data Source'!AG319&gt;=3,"B",IF('Data Source'!AG319&gt;=2,"C",IF('Data Source'!AG319&gt;=1,"D","F")))))),"")</f>
        <v/>
      </c>
      <c r="P319" s="5">
        <f>IF(AND('Data Source'!B319&lt;&gt;"",'Data Source'!S319="F"),'Data Source'!R319,"")</f>
        <v/>
      </c>
      <c r="Q319" s="3">
        <f>IF(AND('Data Source'!B319&lt;&gt;"",'Data Source'!S319="F"),'Data Source'!S319,"")</f>
        <v/>
      </c>
    </row>
    <row r="320">
      <c r="A320" s="3">
        <f>IF(AND('Data Source'!B320&lt;&gt;"",'Data Source'!S320="F"),COUNTIF('Data Source'!$S$3:S320,"F"),"")</f>
        <v/>
      </c>
      <c r="B320">
        <f>IF(AND('Data Source'!B320&lt;&gt;"",'Data Source'!S320="F"),'Data Source'!B320,"")</f>
        <v/>
      </c>
      <c r="C320" s="3">
        <f>IF(AND('Data Source'!B320&lt;&gt;"",'Data Source'!S320="F"),IF('Data Source'!U320&gt;=5,"A+",IF('Data Source'!U320&gt;=4,"A",IF('Data Source'!U320&gt;=3.5,"A-",IF('Data Source'!U320&gt;=3,"B",IF('Data Source'!U320&gt;=2,"C",IF('Data Source'!U320&gt;=1,"D","F")))))),"")</f>
        <v/>
      </c>
      <c r="D320" s="3">
        <f>IF(AND('Data Source'!B320&lt;&gt;"",'Data Source'!S320="F"),IF('Data Source'!V320&gt;=5,"A+",IF('Data Source'!V320&gt;=4,"A",IF('Data Source'!V320&gt;=3.5,"A-",IF('Data Source'!V320&gt;=3,"B",IF('Data Source'!V320&gt;=2,"C",IF('Data Source'!V320&gt;=1,"D","F")))))),"")</f>
        <v/>
      </c>
      <c r="E320" s="3">
        <f>IF(AND('Data Source'!B320&lt;&gt;"",'Data Source'!S320="F"),IF('Data Source'!W320&gt;=5,"A+",IF('Data Source'!W320&gt;=4,"A",IF('Data Source'!W320&gt;=3.5,"A-",IF('Data Source'!W320&gt;=3,"B",IF('Data Source'!W320&gt;=2,"C",IF('Data Source'!W320&gt;=1,"D","F")))))),"")</f>
        <v/>
      </c>
      <c r="F320" s="3">
        <f>IF(AND('Data Source'!B320&lt;&gt;"",'Data Source'!S320="F"),IF('Data Source'!X320&gt;=5,"A+",IF('Data Source'!X320&gt;=4,"A",IF('Data Source'!X320&gt;=3.5,"A-",IF('Data Source'!X320&gt;=3,"B",IF('Data Source'!X320&gt;=2,"C",IF('Data Source'!X320&gt;=1,"D","F")))))),"")</f>
        <v/>
      </c>
      <c r="G320" s="3">
        <f>IF(AND('Data Source'!B320&lt;&gt;"",'Data Source'!S320="F"),IF('Data Source'!Y320&gt;=5,"A+",IF('Data Source'!Y320&gt;=4,"A",IF('Data Source'!Y320&gt;=3.5,"A-",IF('Data Source'!Y320&gt;=3,"B",IF('Data Source'!Y320&gt;=2,"C",IF('Data Source'!Y320&gt;=1,"D","F")))))),"")</f>
        <v/>
      </c>
      <c r="H320" s="3">
        <f>IF(AND('Data Source'!B320&lt;&gt;"",'Data Source'!S320="F"),IF('Data Source'!Z320&gt;=5,"A+",IF('Data Source'!Z320&gt;=4,"A",IF('Data Source'!Z320&gt;=3.5,"A-",IF('Data Source'!Z320&gt;=3,"B",IF('Data Source'!Z320&gt;=2,"C",IF('Data Source'!Z320&gt;=1,"D","F")))))),"")</f>
        <v/>
      </c>
      <c r="I320" s="3">
        <f>IF(AND('Data Source'!B320&lt;&gt;"",'Data Source'!S320="F"),IF('Data Source'!AA320&gt;=5,"A+",IF('Data Source'!AA320&gt;=4,"A",IF('Data Source'!AA320&gt;=3.5,"A-",IF('Data Source'!AA320&gt;=3,"B",IF('Data Source'!AA320&gt;=2,"C",IF('Data Source'!AA320&gt;=1,"D","F")))))),"")</f>
        <v/>
      </c>
      <c r="J320" s="3">
        <f>IF(AND('Data Source'!B320&lt;&gt;"",'Data Source'!S320="F"),IF('Data Source'!AB320&gt;=5,"A+",IF('Data Source'!AB320&gt;=4,"A",IF('Data Source'!AB320&gt;=3.5,"A-",IF('Data Source'!AB320&gt;=3,"B",IF('Data Source'!AB320&gt;=2,"C",IF('Data Source'!AB320&gt;=1,"D","F")))))),"")</f>
        <v/>
      </c>
      <c r="K320" s="3">
        <f>IF(AND('Data Source'!B320&lt;&gt;"",'Data Source'!S320="F"),IF('Data Source'!AC320&gt;=5,"A+",IF('Data Source'!AC320&gt;=4,"A",IF('Data Source'!AC320&gt;=3.5,"A-",IF('Data Source'!AC320&gt;=3,"B",IF('Data Source'!AC320&gt;=2,"C",IF('Data Source'!AC320&gt;=1,"D","F")))))),"")</f>
        <v/>
      </c>
      <c r="L320" s="3">
        <f>IF(AND('Data Source'!B320&lt;&gt;"",'Data Source'!S320="F"),IF('Data Source'!AD320&gt;=5,"A+",IF('Data Source'!AD320&gt;=4,"A",IF('Data Source'!AD320&gt;=3.5,"A-",IF('Data Source'!AD320&gt;=3,"B",IF('Data Source'!AD320&gt;=2,"C",IF('Data Source'!AD320&gt;=1,"D","F")))))),"")</f>
        <v/>
      </c>
      <c r="M320" s="3">
        <f>IF(AND('Data Source'!B320&lt;&gt;"",'Data Source'!S320="F"),IF('Data Source'!AE320&gt;=5,"A+",IF('Data Source'!AE320&gt;=4,"A",IF('Data Source'!AE320&gt;=3.5,"A-",IF('Data Source'!AE320&gt;=3,"B",IF('Data Source'!AE320&gt;=2,"C",IF('Data Source'!AE320&gt;=1,"D","F")))))),"")</f>
        <v/>
      </c>
      <c r="N320" s="3">
        <f>IF(AND('Data Source'!B320&lt;&gt;"",'Data Source'!S320="F"),IF('Data Source'!AF320&gt;=5,"A+",IF('Data Source'!AF320&gt;=4,"A",IF('Data Source'!AF320&gt;=3.5,"A-",IF('Data Source'!AF320&gt;=3,"B",IF('Data Source'!AF320&gt;=2,"C",IF('Data Source'!AF320&gt;=1,"D","F")))))),"")</f>
        <v/>
      </c>
      <c r="O320" s="3">
        <f>IF(AND('Data Source'!B320&lt;&gt;"",'Data Source'!S320="F"),IF('Data Source'!AG320&gt;=5,"A+",IF('Data Source'!AG320&gt;=4,"A",IF('Data Source'!AG320&gt;=3.5,"A-",IF('Data Source'!AG320&gt;=3,"B",IF('Data Source'!AG320&gt;=2,"C",IF('Data Source'!AG320&gt;=1,"D","F")))))),"")</f>
        <v/>
      </c>
      <c r="P320" s="5">
        <f>IF(AND('Data Source'!B320&lt;&gt;"",'Data Source'!S320="F"),'Data Source'!R320,"")</f>
        <v/>
      </c>
      <c r="Q320" s="3">
        <f>IF(AND('Data Source'!B320&lt;&gt;"",'Data Source'!S320="F"),'Data Source'!S320,"")</f>
        <v/>
      </c>
    </row>
    <row r="321">
      <c r="A321" s="3">
        <f>IF(AND('Data Source'!B321&lt;&gt;"",'Data Source'!S321="F"),COUNTIF('Data Source'!$S$3:S321,"F"),"")</f>
        <v/>
      </c>
      <c r="B321">
        <f>IF(AND('Data Source'!B321&lt;&gt;"",'Data Source'!S321="F"),'Data Source'!B321,"")</f>
        <v/>
      </c>
      <c r="C321" s="3">
        <f>IF(AND('Data Source'!B321&lt;&gt;"",'Data Source'!S321="F"),IF('Data Source'!U321&gt;=5,"A+",IF('Data Source'!U321&gt;=4,"A",IF('Data Source'!U321&gt;=3.5,"A-",IF('Data Source'!U321&gt;=3,"B",IF('Data Source'!U321&gt;=2,"C",IF('Data Source'!U321&gt;=1,"D","F")))))),"")</f>
        <v/>
      </c>
      <c r="D321" s="3">
        <f>IF(AND('Data Source'!B321&lt;&gt;"",'Data Source'!S321="F"),IF('Data Source'!V321&gt;=5,"A+",IF('Data Source'!V321&gt;=4,"A",IF('Data Source'!V321&gt;=3.5,"A-",IF('Data Source'!V321&gt;=3,"B",IF('Data Source'!V321&gt;=2,"C",IF('Data Source'!V321&gt;=1,"D","F")))))),"")</f>
        <v/>
      </c>
      <c r="E321" s="3">
        <f>IF(AND('Data Source'!B321&lt;&gt;"",'Data Source'!S321="F"),IF('Data Source'!W321&gt;=5,"A+",IF('Data Source'!W321&gt;=4,"A",IF('Data Source'!W321&gt;=3.5,"A-",IF('Data Source'!W321&gt;=3,"B",IF('Data Source'!W321&gt;=2,"C",IF('Data Source'!W321&gt;=1,"D","F")))))),"")</f>
        <v/>
      </c>
      <c r="F321" s="3">
        <f>IF(AND('Data Source'!B321&lt;&gt;"",'Data Source'!S321="F"),IF('Data Source'!X321&gt;=5,"A+",IF('Data Source'!X321&gt;=4,"A",IF('Data Source'!X321&gt;=3.5,"A-",IF('Data Source'!X321&gt;=3,"B",IF('Data Source'!X321&gt;=2,"C",IF('Data Source'!X321&gt;=1,"D","F")))))),"")</f>
        <v/>
      </c>
      <c r="G321" s="3">
        <f>IF(AND('Data Source'!B321&lt;&gt;"",'Data Source'!S321="F"),IF('Data Source'!Y321&gt;=5,"A+",IF('Data Source'!Y321&gt;=4,"A",IF('Data Source'!Y321&gt;=3.5,"A-",IF('Data Source'!Y321&gt;=3,"B",IF('Data Source'!Y321&gt;=2,"C",IF('Data Source'!Y321&gt;=1,"D","F")))))),"")</f>
        <v/>
      </c>
      <c r="H321" s="3">
        <f>IF(AND('Data Source'!B321&lt;&gt;"",'Data Source'!S321="F"),IF('Data Source'!Z321&gt;=5,"A+",IF('Data Source'!Z321&gt;=4,"A",IF('Data Source'!Z321&gt;=3.5,"A-",IF('Data Source'!Z321&gt;=3,"B",IF('Data Source'!Z321&gt;=2,"C",IF('Data Source'!Z321&gt;=1,"D","F")))))),"")</f>
        <v/>
      </c>
      <c r="I321" s="3">
        <f>IF(AND('Data Source'!B321&lt;&gt;"",'Data Source'!S321="F"),IF('Data Source'!AA321&gt;=5,"A+",IF('Data Source'!AA321&gt;=4,"A",IF('Data Source'!AA321&gt;=3.5,"A-",IF('Data Source'!AA321&gt;=3,"B",IF('Data Source'!AA321&gt;=2,"C",IF('Data Source'!AA321&gt;=1,"D","F")))))),"")</f>
        <v/>
      </c>
      <c r="J321" s="3">
        <f>IF(AND('Data Source'!B321&lt;&gt;"",'Data Source'!S321="F"),IF('Data Source'!AB321&gt;=5,"A+",IF('Data Source'!AB321&gt;=4,"A",IF('Data Source'!AB321&gt;=3.5,"A-",IF('Data Source'!AB321&gt;=3,"B",IF('Data Source'!AB321&gt;=2,"C",IF('Data Source'!AB321&gt;=1,"D","F")))))),"")</f>
        <v/>
      </c>
      <c r="K321" s="3">
        <f>IF(AND('Data Source'!B321&lt;&gt;"",'Data Source'!S321="F"),IF('Data Source'!AC321&gt;=5,"A+",IF('Data Source'!AC321&gt;=4,"A",IF('Data Source'!AC321&gt;=3.5,"A-",IF('Data Source'!AC321&gt;=3,"B",IF('Data Source'!AC321&gt;=2,"C",IF('Data Source'!AC321&gt;=1,"D","F")))))),"")</f>
        <v/>
      </c>
      <c r="L321" s="3">
        <f>IF(AND('Data Source'!B321&lt;&gt;"",'Data Source'!S321="F"),IF('Data Source'!AD321&gt;=5,"A+",IF('Data Source'!AD321&gt;=4,"A",IF('Data Source'!AD321&gt;=3.5,"A-",IF('Data Source'!AD321&gt;=3,"B",IF('Data Source'!AD321&gt;=2,"C",IF('Data Source'!AD321&gt;=1,"D","F")))))),"")</f>
        <v/>
      </c>
      <c r="M321" s="3">
        <f>IF(AND('Data Source'!B321&lt;&gt;"",'Data Source'!S321="F"),IF('Data Source'!AE321&gt;=5,"A+",IF('Data Source'!AE321&gt;=4,"A",IF('Data Source'!AE321&gt;=3.5,"A-",IF('Data Source'!AE321&gt;=3,"B",IF('Data Source'!AE321&gt;=2,"C",IF('Data Source'!AE321&gt;=1,"D","F")))))),"")</f>
        <v/>
      </c>
      <c r="N321" s="3">
        <f>IF(AND('Data Source'!B321&lt;&gt;"",'Data Source'!S321="F"),IF('Data Source'!AF321&gt;=5,"A+",IF('Data Source'!AF321&gt;=4,"A",IF('Data Source'!AF321&gt;=3.5,"A-",IF('Data Source'!AF321&gt;=3,"B",IF('Data Source'!AF321&gt;=2,"C",IF('Data Source'!AF321&gt;=1,"D","F")))))),"")</f>
        <v/>
      </c>
      <c r="O321" s="3">
        <f>IF(AND('Data Source'!B321&lt;&gt;"",'Data Source'!S321="F"),IF('Data Source'!AG321&gt;=5,"A+",IF('Data Source'!AG321&gt;=4,"A",IF('Data Source'!AG321&gt;=3.5,"A-",IF('Data Source'!AG321&gt;=3,"B",IF('Data Source'!AG321&gt;=2,"C",IF('Data Source'!AG321&gt;=1,"D","F")))))),"")</f>
        <v/>
      </c>
      <c r="P321" s="5">
        <f>IF(AND('Data Source'!B321&lt;&gt;"",'Data Source'!S321="F"),'Data Source'!R321,"")</f>
        <v/>
      </c>
      <c r="Q321" s="3">
        <f>IF(AND('Data Source'!B321&lt;&gt;"",'Data Source'!S321="F"),'Data Source'!S321,"")</f>
        <v/>
      </c>
    </row>
    <row r="322">
      <c r="A322" s="3">
        <f>IF(AND('Data Source'!B322&lt;&gt;"",'Data Source'!S322="F"),COUNTIF('Data Source'!$S$3:S322,"F"),"")</f>
        <v/>
      </c>
      <c r="B322">
        <f>IF(AND('Data Source'!B322&lt;&gt;"",'Data Source'!S322="F"),'Data Source'!B322,"")</f>
        <v/>
      </c>
      <c r="C322" s="3">
        <f>IF(AND('Data Source'!B322&lt;&gt;"",'Data Source'!S322="F"),IF('Data Source'!U322&gt;=5,"A+",IF('Data Source'!U322&gt;=4,"A",IF('Data Source'!U322&gt;=3.5,"A-",IF('Data Source'!U322&gt;=3,"B",IF('Data Source'!U322&gt;=2,"C",IF('Data Source'!U322&gt;=1,"D","F")))))),"")</f>
        <v/>
      </c>
      <c r="D322" s="3">
        <f>IF(AND('Data Source'!B322&lt;&gt;"",'Data Source'!S322="F"),IF('Data Source'!V322&gt;=5,"A+",IF('Data Source'!V322&gt;=4,"A",IF('Data Source'!V322&gt;=3.5,"A-",IF('Data Source'!V322&gt;=3,"B",IF('Data Source'!V322&gt;=2,"C",IF('Data Source'!V322&gt;=1,"D","F")))))),"")</f>
        <v/>
      </c>
      <c r="E322" s="3">
        <f>IF(AND('Data Source'!B322&lt;&gt;"",'Data Source'!S322="F"),IF('Data Source'!W322&gt;=5,"A+",IF('Data Source'!W322&gt;=4,"A",IF('Data Source'!W322&gt;=3.5,"A-",IF('Data Source'!W322&gt;=3,"B",IF('Data Source'!W322&gt;=2,"C",IF('Data Source'!W322&gt;=1,"D","F")))))),"")</f>
        <v/>
      </c>
      <c r="F322" s="3">
        <f>IF(AND('Data Source'!B322&lt;&gt;"",'Data Source'!S322="F"),IF('Data Source'!X322&gt;=5,"A+",IF('Data Source'!X322&gt;=4,"A",IF('Data Source'!X322&gt;=3.5,"A-",IF('Data Source'!X322&gt;=3,"B",IF('Data Source'!X322&gt;=2,"C",IF('Data Source'!X322&gt;=1,"D","F")))))),"")</f>
        <v/>
      </c>
      <c r="G322" s="3">
        <f>IF(AND('Data Source'!B322&lt;&gt;"",'Data Source'!S322="F"),IF('Data Source'!Y322&gt;=5,"A+",IF('Data Source'!Y322&gt;=4,"A",IF('Data Source'!Y322&gt;=3.5,"A-",IF('Data Source'!Y322&gt;=3,"B",IF('Data Source'!Y322&gt;=2,"C",IF('Data Source'!Y322&gt;=1,"D","F")))))),"")</f>
        <v/>
      </c>
      <c r="H322" s="3">
        <f>IF(AND('Data Source'!B322&lt;&gt;"",'Data Source'!S322="F"),IF('Data Source'!Z322&gt;=5,"A+",IF('Data Source'!Z322&gt;=4,"A",IF('Data Source'!Z322&gt;=3.5,"A-",IF('Data Source'!Z322&gt;=3,"B",IF('Data Source'!Z322&gt;=2,"C",IF('Data Source'!Z322&gt;=1,"D","F")))))),"")</f>
        <v/>
      </c>
      <c r="I322" s="3">
        <f>IF(AND('Data Source'!B322&lt;&gt;"",'Data Source'!S322="F"),IF('Data Source'!AA322&gt;=5,"A+",IF('Data Source'!AA322&gt;=4,"A",IF('Data Source'!AA322&gt;=3.5,"A-",IF('Data Source'!AA322&gt;=3,"B",IF('Data Source'!AA322&gt;=2,"C",IF('Data Source'!AA322&gt;=1,"D","F")))))),"")</f>
        <v/>
      </c>
      <c r="J322" s="3">
        <f>IF(AND('Data Source'!B322&lt;&gt;"",'Data Source'!S322="F"),IF('Data Source'!AB322&gt;=5,"A+",IF('Data Source'!AB322&gt;=4,"A",IF('Data Source'!AB322&gt;=3.5,"A-",IF('Data Source'!AB322&gt;=3,"B",IF('Data Source'!AB322&gt;=2,"C",IF('Data Source'!AB322&gt;=1,"D","F")))))),"")</f>
        <v/>
      </c>
      <c r="K322" s="3">
        <f>IF(AND('Data Source'!B322&lt;&gt;"",'Data Source'!S322="F"),IF('Data Source'!AC322&gt;=5,"A+",IF('Data Source'!AC322&gt;=4,"A",IF('Data Source'!AC322&gt;=3.5,"A-",IF('Data Source'!AC322&gt;=3,"B",IF('Data Source'!AC322&gt;=2,"C",IF('Data Source'!AC322&gt;=1,"D","F")))))),"")</f>
        <v/>
      </c>
      <c r="L322" s="3">
        <f>IF(AND('Data Source'!B322&lt;&gt;"",'Data Source'!S322="F"),IF('Data Source'!AD322&gt;=5,"A+",IF('Data Source'!AD322&gt;=4,"A",IF('Data Source'!AD322&gt;=3.5,"A-",IF('Data Source'!AD322&gt;=3,"B",IF('Data Source'!AD322&gt;=2,"C",IF('Data Source'!AD322&gt;=1,"D","F")))))),"")</f>
        <v/>
      </c>
      <c r="M322" s="3">
        <f>IF(AND('Data Source'!B322&lt;&gt;"",'Data Source'!S322="F"),IF('Data Source'!AE322&gt;=5,"A+",IF('Data Source'!AE322&gt;=4,"A",IF('Data Source'!AE322&gt;=3.5,"A-",IF('Data Source'!AE322&gt;=3,"B",IF('Data Source'!AE322&gt;=2,"C",IF('Data Source'!AE322&gt;=1,"D","F")))))),"")</f>
        <v/>
      </c>
      <c r="N322" s="3">
        <f>IF(AND('Data Source'!B322&lt;&gt;"",'Data Source'!S322="F"),IF('Data Source'!AF322&gt;=5,"A+",IF('Data Source'!AF322&gt;=4,"A",IF('Data Source'!AF322&gt;=3.5,"A-",IF('Data Source'!AF322&gt;=3,"B",IF('Data Source'!AF322&gt;=2,"C",IF('Data Source'!AF322&gt;=1,"D","F")))))),"")</f>
        <v/>
      </c>
      <c r="O322" s="3">
        <f>IF(AND('Data Source'!B322&lt;&gt;"",'Data Source'!S322="F"),IF('Data Source'!AG322&gt;=5,"A+",IF('Data Source'!AG322&gt;=4,"A",IF('Data Source'!AG322&gt;=3.5,"A-",IF('Data Source'!AG322&gt;=3,"B",IF('Data Source'!AG322&gt;=2,"C",IF('Data Source'!AG322&gt;=1,"D","F")))))),"")</f>
        <v/>
      </c>
      <c r="P322" s="5">
        <f>IF(AND('Data Source'!B322&lt;&gt;"",'Data Source'!S322="F"),'Data Source'!R322,"")</f>
        <v/>
      </c>
      <c r="Q322" s="3">
        <f>IF(AND('Data Source'!B322&lt;&gt;"",'Data Source'!S322="F"),'Data Source'!S322,"")</f>
        <v/>
      </c>
    </row>
    <row r="323">
      <c r="A323" s="3">
        <f>IF(AND('Data Source'!B323&lt;&gt;"",'Data Source'!S323="F"),COUNTIF('Data Source'!$S$3:S323,"F"),"")</f>
        <v/>
      </c>
      <c r="B323">
        <f>IF(AND('Data Source'!B323&lt;&gt;"",'Data Source'!S323="F"),'Data Source'!B323,"")</f>
        <v/>
      </c>
      <c r="C323" s="3">
        <f>IF(AND('Data Source'!B323&lt;&gt;"",'Data Source'!S323="F"),IF('Data Source'!U323&gt;=5,"A+",IF('Data Source'!U323&gt;=4,"A",IF('Data Source'!U323&gt;=3.5,"A-",IF('Data Source'!U323&gt;=3,"B",IF('Data Source'!U323&gt;=2,"C",IF('Data Source'!U323&gt;=1,"D","F")))))),"")</f>
        <v/>
      </c>
      <c r="D323" s="3">
        <f>IF(AND('Data Source'!B323&lt;&gt;"",'Data Source'!S323="F"),IF('Data Source'!V323&gt;=5,"A+",IF('Data Source'!V323&gt;=4,"A",IF('Data Source'!V323&gt;=3.5,"A-",IF('Data Source'!V323&gt;=3,"B",IF('Data Source'!V323&gt;=2,"C",IF('Data Source'!V323&gt;=1,"D","F")))))),"")</f>
        <v/>
      </c>
      <c r="E323" s="3">
        <f>IF(AND('Data Source'!B323&lt;&gt;"",'Data Source'!S323="F"),IF('Data Source'!W323&gt;=5,"A+",IF('Data Source'!W323&gt;=4,"A",IF('Data Source'!W323&gt;=3.5,"A-",IF('Data Source'!W323&gt;=3,"B",IF('Data Source'!W323&gt;=2,"C",IF('Data Source'!W323&gt;=1,"D","F")))))),"")</f>
        <v/>
      </c>
      <c r="F323" s="3">
        <f>IF(AND('Data Source'!B323&lt;&gt;"",'Data Source'!S323="F"),IF('Data Source'!X323&gt;=5,"A+",IF('Data Source'!X323&gt;=4,"A",IF('Data Source'!X323&gt;=3.5,"A-",IF('Data Source'!X323&gt;=3,"B",IF('Data Source'!X323&gt;=2,"C",IF('Data Source'!X323&gt;=1,"D","F")))))),"")</f>
        <v/>
      </c>
      <c r="G323" s="3">
        <f>IF(AND('Data Source'!B323&lt;&gt;"",'Data Source'!S323="F"),IF('Data Source'!Y323&gt;=5,"A+",IF('Data Source'!Y323&gt;=4,"A",IF('Data Source'!Y323&gt;=3.5,"A-",IF('Data Source'!Y323&gt;=3,"B",IF('Data Source'!Y323&gt;=2,"C",IF('Data Source'!Y323&gt;=1,"D","F")))))),"")</f>
        <v/>
      </c>
      <c r="H323" s="3">
        <f>IF(AND('Data Source'!B323&lt;&gt;"",'Data Source'!S323="F"),IF('Data Source'!Z323&gt;=5,"A+",IF('Data Source'!Z323&gt;=4,"A",IF('Data Source'!Z323&gt;=3.5,"A-",IF('Data Source'!Z323&gt;=3,"B",IF('Data Source'!Z323&gt;=2,"C",IF('Data Source'!Z323&gt;=1,"D","F")))))),"")</f>
        <v/>
      </c>
      <c r="I323" s="3">
        <f>IF(AND('Data Source'!B323&lt;&gt;"",'Data Source'!S323="F"),IF('Data Source'!AA323&gt;=5,"A+",IF('Data Source'!AA323&gt;=4,"A",IF('Data Source'!AA323&gt;=3.5,"A-",IF('Data Source'!AA323&gt;=3,"B",IF('Data Source'!AA323&gt;=2,"C",IF('Data Source'!AA323&gt;=1,"D","F")))))),"")</f>
        <v/>
      </c>
      <c r="J323" s="3">
        <f>IF(AND('Data Source'!B323&lt;&gt;"",'Data Source'!S323="F"),IF('Data Source'!AB323&gt;=5,"A+",IF('Data Source'!AB323&gt;=4,"A",IF('Data Source'!AB323&gt;=3.5,"A-",IF('Data Source'!AB323&gt;=3,"B",IF('Data Source'!AB323&gt;=2,"C",IF('Data Source'!AB323&gt;=1,"D","F")))))),"")</f>
        <v/>
      </c>
      <c r="K323" s="3">
        <f>IF(AND('Data Source'!B323&lt;&gt;"",'Data Source'!S323="F"),IF('Data Source'!AC323&gt;=5,"A+",IF('Data Source'!AC323&gt;=4,"A",IF('Data Source'!AC323&gt;=3.5,"A-",IF('Data Source'!AC323&gt;=3,"B",IF('Data Source'!AC323&gt;=2,"C",IF('Data Source'!AC323&gt;=1,"D","F")))))),"")</f>
        <v/>
      </c>
      <c r="L323" s="3">
        <f>IF(AND('Data Source'!B323&lt;&gt;"",'Data Source'!S323="F"),IF('Data Source'!AD323&gt;=5,"A+",IF('Data Source'!AD323&gt;=4,"A",IF('Data Source'!AD323&gt;=3.5,"A-",IF('Data Source'!AD323&gt;=3,"B",IF('Data Source'!AD323&gt;=2,"C",IF('Data Source'!AD323&gt;=1,"D","F")))))),"")</f>
        <v/>
      </c>
      <c r="M323" s="3">
        <f>IF(AND('Data Source'!B323&lt;&gt;"",'Data Source'!S323="F"),IF('Data Source'!AE323&gt;=5,"A+",IF('Data Source'!AE323&gt;=4,"A",IF('Data Source'!AE323&gt;=3.5,"A-",IF('Data Source'!AE323&gt;=3,"B",IF('Data Source'!AE323&gt;=2,"C",IF('Data Source'!AE323&gt;=1,"D","F")))))),"")</f>
        <v/>
      </c>
      <c r="N323" s="3">
        <f>IF(AND('Data Source'!B323&lt;&gt;"",'Data Source'!S323="F"),IF('Data Source'!AF323&gt;=5,"A+",IF('Data Source'!AF323&gt;=4,"A",IF('Data Source'!AF323&gt;=3.5,"A-",IF('Data Source'!AF323&gt;=3,"B",IF('Data Source'!AF323&gt;=2,"C",IF('Data Source'!AF323&gt;=1,"D","F")))))),"")</f>
        <v/>
      </c>
      <c r="O323" s="3">
        <f>IF(AND('Data Source'!B323&lt;&gt;"",'Data Source'!S323="F"),IF('Data Source'!AG323&gt;=5,"A+",IF('Data Source'!AG323&gt;=4,"A",IF('Data Source'!AG323&gt;=3.5,"A-",IF('Data Source'!AG323&gt;=3,"B",IF('Data Source'!AG323&gt;=2,"C",IF('Data Source'!AG323&gt;=1,"D","F")))))),"")</f>
        <v/>
      </c>
      <c r="P323" s="5">
        <f>IF(AND('Data Source'!B323&lt;&gt;"",'Data Source'!S323="F"),'Data Source'!R323,"")</f>
        <v/>
      </c>
      <c r="Q323" s="3">
        <f>IF(AND('Data Source'!B323&lt;&gt;"",'Data Source'!S323="F"),'Data Source'!S323,"")</f>
        <v/>
      </c>
    </row>
    <row r="324">
      <c r="A324" s="3">
        <f>IF(AND('Data Source'!B324&lt;&gt;"",'Data Source'!S324="F"),COUNTIF('Data Source'!$S$3:S324,"F"),"")</f>
        <v/>
      </c>
      <c r="B324">
        <f>IF(AND('Data Source'!B324&lt;&gt;"",'Data Source'!S324="F"),'Data Source'!B324,"")</f>
        <v/>
      </c>
      <c r="C324" s="3">
        <f>IF(AND('Data Source'!B324&lt;&gt;"",'Data Source'!S324="F"),IF('Data Source'!U324&gt;=5,"A+",IF('Data Source'!U324&gt;=4,"A",IF('Data Source'!U324&gt;=3.5,"A-",IF('Data Source'!U324&gt;=3,"B",IF('Data Source'!U324&gt;=2,"C",IF('Data Source'!U324&gt;=1,"D","F")))))),"")</f>
        <v/>
      </c>
      <c r="D324" s="3">
        <f>IF(AND('Data Source'!B324&lt;&gt;"",'Data Source'!S324="F"),IF('Data Source'!V324&gt;=5,"A+",IF('Data Source'!V324&gt;=4,"A",IF('Data Source'!V324&gt;=3.5,"A-",IF('Data Source'!V324&gt;=3,"B",IF('Data Source'!V324&gt;=2,"C",IF('Data Source'!V324&gt;=1,"D","F")))))),"")</f>
        <v/>
      </c>
      <c r="E324" s="3">
        <f>IF(AND('Data Source'!B324&lt;&gt;"",'Data Source'!S324="F"),IF('Data Source'!W324&gt;=5,"A+",IF('Data Source'!W324&gt;=4,"A",IF('Data Source'!W324&gt;=3.5,"A-",IF('Data Source'!W324&gt;=3,"B",IF('Data Source'!W324&gt;=2,"C",IF('Data Source'!W324&gt;=1,"D","F")))))),"")</f>
        <v/>
      </c>
      <c r="F324" s="3">
        <f>IF(AND('Data Source'!B324&lt;&gt;"",'Data Source'!S324="F"),IF('Data Source'!X324&gt;=5,"A+",IF('Data Source'!X324&gt;=4,"A",IF('Data Source'!X324&gt;=3.5,"A-",IF('Data Source'!X324&gt;=3,"B",IF('Data Source'!X324&gt;=2,"C",IF('Data Source'!X324&gt;=1,"D","F")))))),"")</f>
        <v/>
      </c>
      <c r="G324" s="3">
        <f>IF(AND('Data Source'!B324&lt;&gt;"",'Data Source'!S324="F"),IF('Data Source'!Y324&gt;=5,"A+",IF('Data Source'!Y324&gt;=4,"A",IF('Data Source'!Y324&gt;=3.5,"A-",IF('Data Source'!Y324&gt;=3,"B",IF('Data Source'!Y324&gt;=2,"C",IF('Data Source'!Y324&gt;=1,"D","F")))))),"")</f>
        <v/>
      </c>
      <c r="H324" s="3">
        <f>IF(AND('Data Source'!B324&lt;&gt;"",'Data Source'!S324="F"),IF('Data Source'!Z324&gt;=5,"A+",IF('Data Source'!Z324&gt;=4,"A",IF('Data Source'!Z324&gt;=3.5,"A-",IF('Data Source'!Z324&gt;=3,"B",IF('Data Source'!Z324&gt;=2,"C",IF('Data Source'!Z324&gt;=1,"D","F")))))),"")</f>
        <v/>
      </c>
      <c r="I324" s="3">
        <f>IF(AND('Data Source'!B324&lt;&gt;"",'Data Source'!S324="F"),IF('Data Source'!AA324&gt;=5,"A+",IF('Data Source'!AA324&gt;=4,"A",IF('Data Source'!AA324&gt;=3.5,"A-",IF('Data Source'!AA324&gt;=3,"B",IF('Data Source'!AA324&gt;=2,"C",IF('Data Source'!AA324&gt;=1,"D","F")))))),"")</f>
        <v/>
      </c>
      <c r="J324" s="3">
        <f>IF(AND('Data Source'!B324&lt;&gt;"",'Data Source'!S324="F"),IF('Data Source'!AB324&gt;=5,"A+",IF('Data Source'!AB324&gt;=4,"A",IF('Data Source'!AB324&gt;=3.5,"A-",IF('Data Source'!AB324&gt;=3,"B",IF('Data Source'!AB324&gt;=2,"C",IF('Data Source'!AB324&gt;=1,"D","F")))))),"")</f>
        <v/>
      </c>
      <c r="K324" s="3">
        <f>IF(AND('Data Source'!B324&lt;&gt;"",'Data Source'!S324="F"),IF('Data Source'!AC324&gt;=5,"A+",IF('Data Source'!AC324&gt;=4,"A",IF('Data Source'!AC324&gt;=3.5,"A-",IF('Data Source'!AC324&gt;=3,"B",IF('Data Source'!AC324&gt;=2,"C",IF('Data Source'!AC324&gt;=1,"D","F")))))),"")</f>
        <v/>
      </c>
      <c r="L324" s="3">
        <f>IF(AND('Data Source'!B324&lt;&gt;"",'Data Source'!S324="F"),IF('Data Source'!AD324&gt;=5,"A+",IF('Data Source'!AD324&gt;=4,"A",IF('Data Source'!AD324&gt;=3.5,"A-",IF('Data Source'!AD324&gt;=3,"B",IF('Data Source'!AD324&gt;=2,"C",IF('Data Source'!AD324&gt;=1,"D","F")))))),"")</f>
        <v/>
      </c>
      <c r="M324" s="3">
        <f>IF(AND('Data Source'!B324&lt;&gt;"",'Data Source'!S324="F"),IF('Data Source'!AE324&gt;=5,"A+",IF('Data Source'!AE324&gt;=4,"A",IF('Data Source'!AE324&gt;=3.5,"A-",IF('Data Source'!AE324&gt;=3,"B",IF('Data Source'!AE324&gt;=2,"C",IF('Data Source'!AE324&gt;=1,"D","F")))))),"")</f>
        <v/>
      </c>
      <c r="N324" s="3">
        <f>IF(AND('Data Source'!B324&lt;&gt;"",'Data Source'!S324="F"),IF('Data Source'!AF324&gt;=5,"A+",IF('Data Source'!AF324&gt;=4,"A",IF('Data Source'!AF324&gt;=3.5,"A-",IF('Data Source'!AF324&gt;=3,"B",IF('Data Source'!AF324&gt;=2,"C",IF('Data Source'!AF324&gt;=1,"D","F")))))),"")</f>
        <v/>
      </c>
      <c r="O324" s="3">
        <f>IF(AND('Data Source'!B324&lt;&gt;"",'Data Source'!S324="F"),IF('Data Source'!AG324&gt;=5,"A+",IF('Data Source'!AG324&gt;=4,"A",IF('Data Source'!AG324&gt;=3.5,"A-",IF('Data Source'!AG324&gt;=3,"B",IF('Data Source'!AG324&gt;=2,"C",IF('Data Source'!AG324&gt;=1,"D","F")))))),"")</f>
        <v/>
      </c>
      <c r="P324" s="5">
        <f>IF(AND('Data Source'!B324&lt;&gt;"",'Data Source'!S324="F"),'Data Source'!R324,"")</f>
        <v/>
      </c>
      <c r="Q324" s="3">
        <f>IF(AND('Data Source'!B324&lt;&gt;"",'Data Source'!S324="F"),'Data Source'!S324,"")</f>
        <v/>
      </c>
    </row>
    <row r="325">
      <c r="A325" s="3">
        <f>IF(AND('Data Source'!B325&lt;&gt;"",'Data Source'!S325="F"),COUNTIF('Data Source'!$S$3:S325,"F"),"")</f>
        <v/>
      </c>
      <c r="B325">
        <f>IF(AND('Data Source'!B325&lt;&gt;"",'Data Source'!S325="F"),'Data Source'!B325,"")</f>
        <v/>
      </c>
      <c r="C325" s="3">
        <f>IF(AND('Data Source'!B325&lt;&gt;"",'Data Source'!S325="F"),IF('Data Source'!U325&gt;=5,"A+",IF('Data Source'!U325&gt;=4,"A",IF('Data Source'!U325&gt;=3.5,"A-",IF('Data Source'!U325&gt;=3,"B",IF('Data Source'!U325&gt;=2,"C",IF('Data Source'!U325&gt;=1,"D","F")))))),"")</f>
        <v/>
      </c>
      <c r="D325" s="3">
        <f>IF(AND('Data Source'!B325&lt;&gt;"",'Data Source'!S325="F"),IF('Data Source'!V325&gt;=5,"A+",IF('Data Source'!V325&gt;=4,"A",IF('Data Source'!V325&gt;=3.5,"A-",IF('Data Source'!V325&gt;=3,"B",IF('Data Source'!V325&gt;=2,"C",IF('Data Source'!V325&gt;=1,"D","F")))))),"")</f>
        <v/>
      </c>
      <c r="E325" s="3">
        <f>IF(AND('Data Source'!B325&lt;&gt;"",'Data Source'!S325="F"),IF('Data Source'!W325&gt;=5,"A+",IF('Data Source'!W325&gt;=4,"A",IF('Data Source'!W325&gt;=3.5,"A-",IF('Data Source'!W325&gt;=3,"B",IF('Data Source'!W325&gt;=2,"C",IF('Data Source'!W325&gt;=1,"D","F")))))),"")</f>
        <v/>
      </c>
      <c r="F325" s="3">
        <f>IF(AND('Data Source'!B325&lt;&gt;"",'Data Source'!S325="F"),IF('Data Source'!X325&gt;=5,"A+",IF('Data Source'!X325&gt;=4,"A",IF('Data Source'!X325&gt;=3.5,"A-",IF('Data Source'!X325&gt;=3,"B",IF('Data Source'!X325&gt;=2,"C",IF('Data Source'!X325&gt;=1,"D","F")))))),"")</f>
        <v/>
      </c>
      <c r="G325" s="3">
        <f>IF(AND('Data Source'!B325&lt;&gt;"",'Data Source'!S325="F"),IF('Data Source'!Y325&gt;=5,"A+",IF('Data Source'!Y325&gt;=4,"A",IF('Data Source'!Y325&gt;=3.5,"A-",IF('Data Source'!Y325&gt;=3,"B",IF('Data Source'!Y325&gt;=2,"C",IF('Data Source'!Y325&gt;=1,"D","F")))))),"")</f>
        <v/>
      </c>
      <c r="H325" s="3">
        <f>IF(AND('Data Source'!B325&lt;&gt;"",'Data Source'!S325="F"),IF('Data Source'!Z325&gt;=5,"A+",IF('Data Source'!Z325&gt;=4,"A",IF('Data Source'!Z325&gt;=3.5,"A-",IF('Data Source'!Z325&gt;=3,"B",IF('Data Source'!Z325&gt;=2,"C",IF('Data Source'!Z325&gt;=1,"D","F")))))),"")</f>
        <v/>
      </c>
      <c r="I325" s="3">
        <f>IF(AND('Data Source'!B325&lt;&gt;"",'Data Source'!S325="F"),IF('Data Source'!AA325&gt;=5,"A+",IF('Data Source'!AA325&gt;=4,"A",IF('Data Source'!AA325&gt;=3.5,"A-",IF('Data Source'!AA325&gt;=3,"B",IF('Data Source'!AA325&gt;=2,"C",IF('Data Source'!AA325&gt;=1,"D","F")))))),"")</f>
        <v/>
      </c>
      <c r="J325" s="3">
        <f>IF(AND('Data Source'!B325&lt;&gt;"",'Data Source'!S325="F"),IF('Data Source'!AB325&gt;=5,"A+",IF('Data Source'!AB325&gt;=4,"A",IF('Data Source'!AB325&gt;=3.5,"A-",IF('Data Source'!AB325&gt;=3,"B",IF('Data Source'!AB325&gt;=2,"C",IF('Data Source'!AB325&gt;=1,"D","F")))))),"")</f>
        <v/>
      </c>
      <c r="K325" s="3">
        <f>IF(AND('Data Source'!B325&lt;&gt;"",'Data Source'!S325="F"),IF('Data Source'!AC325&gt;=5,"A+",IF('Data Source'!AC325&gt;=4,"A",IF('Data Source'!AC325&gt;=3.5,"A-",IF('Data Source'!AC325&gt;=3,"B",IF('Data Source'!AC325&gt;=2,"C",IF('Data Source'!AC325&gt;=1,"D","F")))))),"")</f>
        <v/>
      </c>
      <c r="L325" s="3">
        <f>IF(AND('Data Source'!B325&lt;&gt;"",'Data Source'!S325="F"),IF('Data Source'!AD325&gt;=5,"A+",IF('Data Source'!AD325&gt;=4,"A",IF('Data Source'!AD325&gt;=3.5,"A-",IF('Data Source'!AD325&gt;=3,"B",IF('Data Source'!AD325&gt;=2,"C",IF('Data Source'!AD325&gt;=1,"D","F")))))),"")</f>
        <v/>
      </c>
      <c r="M325" s="3">
        <f>IF(AND('Data Source'!B325&lt;&gt;"",'Data Source'!S325="F"),IF('Data Source'!AE325&gt;=5,"A+",IF('Data Source'!AE325&gt;=4,"A",IF('Data Source'!AE325&gt;=3.5,"A-",IF('Data Source'!AE325&gt;=3,"B",IF('Data Source'!AE325&gt;=2,"C",IF('Data Source'!AE325&gt;=1,"D","F")))))),"")</f>
        <v/>
      </c>
      <c r="N325" s="3">
        <f>IF(AND('Data Source'!B325&lt;&gt;"",'Data Source'!S325="F"),IF('Data Source'!AF325&gt;=5,"A+",IF('Data Source'!AF325&gt;=4,"A",IF('Data Source'!AF325&gt;=3.5,"A-",IF('Data Source'!AF325&gt;=3,"B",IF('Data Source'!AF325&gt;=2,"C",IF('Data Source'!AF325&gt;=1,"D","F")))))),"")</f>
        <v/>
      </c>
      <c r="O325" s="3">
        <f>IF(AND('Data Source'!B325&lt;&gt;"",'Data Source'!S325="F"),IF('Data Source'!AG325&gt;=5,"A+",IF('Data Source'!AG325&gt;=4,"A",IF('Data Source'!AG325&gt;=3.5,"A-",IF('Data Source'!AG325&gt;=3,"B",IF('Data Source'!AG325&gt;=2,"C",IF('Data Source'!AG325&gt;=1,"D","F")))))),"")</f>
        <v/>
      </c>
      <c r="P325" s="5">
        <f>IF(AND('Data Source'!B325&lt;&gt;"",'Data Source'!S325="F"),'Data Source'!R325,"")</f>
        <v/>
      </c>
      <c r="Q325" s="3">
        <f>IF(AND('Data Source'!B325&lt;&gt;"",'Data Source'!S325="F"),'Data Source'!S325,"")</f>
        <v/>
      </c>
    </row>
    <row r="326">
      <c r="A326" s="3">
        <f>IF(AND('Data Source'!B326&lt;&gt;"",'Data Source'!S326="F"),COUNTIF('Data Source'!$S$3:S326,"F"),"")</f>
        <v/>
      </c>
      <c r="B326">
        <f>IF(AND('Data Source'!B326&lt;&gt;"",'Data Source'!S326="F"),'Data Source'!B326,"")</f>
        <v/>
      </c>
      <c r="C326" s="3">
        <f>IF(AND('Data Source'!B326&lt;&gt;"",'Data Source'!S326="F"),IF('Data Source'!U326&gt;=5,"A+",IF('Data Source'!U326&gt;=4,"A",IF('Data Source'!U326&gt;=3.5,"A-",IF('Data Source'!U326&gt;=3,"B",IF('Data Source'!U326&gt;=2,"C",IF('Data Source'!U326&gt;=1,"D","F")))))),"")</f>
        <v/>
      </c>
      <c r="D326" s="3">
        <f>IF(AND('Data Source'!B326&lt;&gt;"",'Data Source'!S326="F"),IF('Data Source'!V326&gt;=5,"A+",IF('Data Source'!V326&gt;=4,"A",IF('Data Source'!V326&gt;=3.5,"A-",IF('Data Source'!V326&gt;=3,"B",IF('Data Source'!V326&gt;=2,"C",IF('Data Source'!V326&gt;=1,"D","F")))))),"")</f>
        <v/>
      </c>
      <c r="E326" s="3">
        <f>IF(AND('Data Source'!B326&lt;&gt;"",'Data Source'!S326="F"),IF('Data Source'!W326&gt;=5,"A+",IF('Data Source'!W326&gt;=4,"A",IF('Data Source'!W326&gt;=3.5,"A-",IF('Data Source'!W326&gt;=3,"B",IF('Data Source'!W326&gt;=2,"C",IF('Data Source'!W326&gt;=1,"D","F")))))),"")</f>
        <v/>
      </c>
      <c r="F326" s="3">
        <f>IF(AND('Data Source'!B326&lt;&gt;"",'Data Source'!S326="F"),IF('Data Source'!X326&gt;=5,"A+",IF('Data Source'!X326&gt;=4,"A",IF('Data Source'!X326&gt;=3.5,"A-",IF('Data Source'!X326&gt;=3,"B",IF('Data Source'!X326&gt;=2,"C",IF('Data Source'!X326&gt;=1,"D","F")))))),"")</f>
        <v/>
      </c>
      <c r="G326" s="3">
        <f>IF(AND('Data Source'!B326&lt;&gt;"",'Data Source'!S326="F"),IF('Data Source'!Y326&gt;=5,"A+",IF('Data Source'!Y326&gt;=4,"A",IF('Data Source'!Y326&gt;=3.5,"A-",IF('Data Source'!Y326&gt;=3,"B",IF('Data Source'!Y326&gt;=2,"C",IF('Data Source'!Y326&gt;=1,"D","F")))))),"")</f>
        <v/>
      </c>
      <c r="H326" s="3">
        <f>IF(AND('Data Source'!B326&lt;&gt;"",'Data Source'!S326="F"),IF('Data Source'!Z326&gt;=5,"A+",IF('Data Source'!Z326&gt;=4,"A",IF('Data Source'!Z326&gt;=3.5,"A-",IF('Data Source'!Z326&gt;=3,"B",IF('Data Source'!Z326&gt;=2,"C",IF('Data Source'!Z326&gt;=1,"D","F")))))),"")</f>
        <v/>
      </c>
      <c r="I326" s="3">
        <f>IF(AND('Data Source'!B326&lt;&gt;"",'Data Source'!S326="F"),IF('Data Source'!AA326&gt;=5,"A+",IF('Data Source'!AA326&gt;=4,"A",IF('Data Source'!AA326&gt;=3.5,"A-",IF('Data Source'!AA326&gt;=3,"B",IF('Data Source'!AA326&gt;=2,"C",IF('Data Source'!AA326&gt;=1,"D","F")))))),"")</f>
        <v/>
      </c>
      <c r="J326" s="3">
        <f>IF(AND('Data Source'!B326&lt;&gt;"",'Data Source'!S326="F"),IF('Data Source'!AB326&gt;=5,"A+",IF('Data Source'!AB326&gt;=4,"A",IF('Data Source'!AB326&gt;=3.5,"A-",IF('Data Source'!AB326&gt;=3,"B",IF('Data Source'!AB326&gt;=2,"C",IF('Data Source'!AB326&gt;=1,"D","F")))))),"")</f>
        <v/>
      </c>
      <c r="K326" s="3">
        <f>IF(AND('Data Source'!B326&lt;&gt;"",'Data Source'!S326="F"),IF('Data Source'!AC326&gt;=5,"A+",IF('Data Source'!AC326&gt;=4,"A",IF('Data Source'!AC326&gt;=3.5,"A-",IF('Data Source'!AC326&gt;=3,"B",IF('Data Source'!AC326&gt;=2,"C",IF('Data Source'!AC326&gt;=1,"D","F")))))),"")</f>
        <v/>
      </c>
      <c r="L326" s="3">
        <f>IF(AND('Data Source'!B326&lt;&gt;"",'Data Source'!S326="F"),IF('Data Source'!AD326&gt;=5,"A+",IF('Data Source'!AD326&gt;=4,"A",IF('Data Source'!AD326&gt;=3.5,"A-",IF('Data Source'!AD326&gt;=3,"B",IF('Data Source'!AD326&gt;=2,"C",IF('Data Source'!AD326&gt;=1,"D","F")))))),"")</f>
        <v/>
      </c>
      <c r="M326" s="3">
        <f>IF(AND('Data Source'!B326&lt;&gt;"",'Data Source'!S326="F"),IF('Data Source'!AE326&gt;=5,"A+",IF('Data Source'!AE326&gt;=4,"A",IF('Data Source'!AE326&gt;=3.5,"A-",IF('Data Source'!AE326&gt;=3,"B",IF('Data Source'!AE326&gt;=2,"C",IF('Data Source'!AE326&gt;=1,"D","F")))))),"")</f>
        <v/>
      </c>
      <c r="N326" s="3">
        <f>IF(AND('Data Source'!B326&lt;&gt;"",'Data Source'!S326="F"),IF('Data Source'!AF326&gt;=5,"A+",IF('Data Source'!AF326&gt;=4,"A",IF('Data Source'!AF326&gt;=3.5,"A-",IF('Data Source'!AF326&gt;=3,"B",IF('Data Source'!AF326&gt;=2,"C",IF('Data Source'!AF326&gt;=1,"D","F")))))),"")</f>
        <v/>
      </c>
      <c r="O326" s="3">
        <f>IF(AND('Data Source'!B326&lt;&gt;"",'Data Source'!S326="F"),IF('Data Source'!AG326&gt;=5,"A+",IF('Data Source'!AG326&gt;=4,"A",IF('Data Source'!AG326&gt;=3.5,"A-",IF('Data Source'!AG326&gt;=3,"B",IF('Data Source'!AG326&gt;=2,"C",IF('Data Source'!AG326&gt;=1,"D","F")))))),"")</f>
        <v/>
      </c>
      <c r="P326" s="5">
        <f>IF(AND('Data Source'!B326&lt;&gt;"",'Data Source'!S326="F"),'Data Source'!R326,"")</f>
        <v/>
      </c>
      <c r="Q326" s="3">
        <f>IF(AND('Data Source'!B326&lt;&gt;"",'Data Source'!S326="F"),'Data Source'!S326,"")</f>
        <v/>
      </c>
    </row>
    <row r="327">
      <c r="A327" s="3">
        <f>IF(AND('Data Source'!B327&lt;&gt;"",'Data Source'!S327="F"),COUNTIF('Data Source'!$S$3:S327,"F"),"")</f>
        <v/>
      </c>
      <c r="B327">
        <f>IF(AND('Data Source'!B327&lt;&gt;"",'Data Source'!S327="F"),'Data Source'!B327,"")</f>
        <v/>
      </c>
      <c r="C327" s="3">
        <f>IF(AND('Data Source'!B327&lt;&gt;"",'Data Source'!S327="F"),IF('Data Source'!U327&gt;=5,"A+",IF('Data Source'!U327&gt;=4,"A",IF('Data Source'!U327&gt;=3.5,"A-",IF('Data Source'!U327&gt;=3,"B",IF('Data Source'!U327&gt;=2,"C",IF('Data Source'!U327&gt;=1,"D","F")))))),"")</f>
        <v/>
      </c>
      <c r="D327" s="3">
        <f>IF(AND('Data Source'!B327&lt;&gt;"",'Data Source'!S327="F"),IF('Data Source'!V327&gt;=5,"A+",IF('Data Source'!V327&gt;=4,"A",IF('Data Source'!V327&gt;=3.5,"A-",IF('Data Source'!V327&gt;=3,"B",IF('Data Source'!V327&gt;=2,"C",IF('Data Source'!V327&gt;=1,"D","F")))))),"")</f>
        <v/>
      </c>
      <c r="E327" s="3">
        <f>IF(AND('Data Source'!B327&lt;&gt;"",'Data Source'!S327="F"),IF('Data Source'!W327&gt;=5,"A+",IF('Data Source'!W327&gt;=4,"A",IF('Data Source'!W327&gt;=3.5,"A-",IF('Data Source'!W327&gt;=3,"B",IF('Data Source'!W327&gt;=2,"C",IF('Data Source'!W327&gt;=1,"D","F")))))),"")</f>
        <v/>
      </c>
      <c r="F327" s="3">
        <f>IF(AND('Data Source'!B327&lt;&gt;"",'Data Source'!S327="F"),IF('Data Source'!X327&gt;=5,"A+",IF('Data Source'!X327&gt;=4,"A",IF('Data Source'!X327&gt;=3.5,"A-",IF('Data Source'!X327&gt;=3,"B",IF('Data Source'!X327&gt;=2,"C",IF('Data Source'!X327&gt;=1,"D","F")))))),"")</f>
        <v/>
      </c>
      <c r="G327" s="3">
        <f>IF(AND('Data Source'!B327&lt;&gt;"",'Data Source'!S327="F"),IF('Data Source'!Y327&gt;=5,"A+",IF('Data Source'!Y327&gt;=4,"A",IF('Data Source'!Y327&gt;=3.5,"A-",IF('Data Source'!Y327&gt;=3,"B",IF('Data Source'!Y327&gt;=2,"C",IF('Data Source'!Y327&gt;=1,"D","F")))))),"")</f>
        <v/>
      </c>
      <c r="H327" s="3">
        <f>IF(AND('Data Source'!B327&lt;&gt;"",'Data Source'!S327="F"),IF('Data Source'!Z327&gt;=5,"A+",IF('Data Source'!Z327&gt;=4,"A",IF('Data Source'!Z327&gt;=3.5,"A-",IF('Data Source'!Z327&gt;=3,"B",IF('Data Source'!Z327&gt;=2,"C",IF('Data Source'!Z327&gt;=1,"D","F")))))),"")</f>
        <v/>
      </c>
      <c r="I327" s="3">
        <f>IF(AND('Data Source'!B327&lt;&gt;"",'Data Source'!S327="F"),IF('Data Source'!AA327&gt;=5,"A+",IF('Data Source'!AA327&gt;=4,"A",IF('Data Source'!AA327&gt;=3.5,"A-",IF('Data Source'!AA327&gt;=3,"B",IF('Data Source'!AA327&gt;=2,"C",IF('Data Source'!AA327&gt;=1,"D","F")))))),"")</f>
        <v/>
      </c>
      <c r="J327" s="3">
        <f>IF(AND('Data Source'!B327&lt;&gt;"",'Data Source'!S327="F"),IF('Data Source'!AB327&gt;=5,"A+",IF('Data Source'!AB327&gt;=4,"A",IF('Data Source'!AB327&gt;=3.5,"A-",IF('Data Source'!AB327&gt;=3,"B",IF('Data Source'!AB327&gt;=2,"C",IF('Data Source'!AB327&gt;=1,"D","F")))))),"")</f>
        <v/>
      </c>
      <c r="K327" s="3">
        <f>IF(AND('Data Source'!B327&lt;&gt;"",'Data Source'!S327="F"),IF('Data Source'!AC327&gt;=5,"A+",IF('Data Source'!AC327&gt;=4,"A",IF('Data Source'!AC327&gt;=3.5,"A-",IF('Data Source'!AC327&gt;=3,"B",IF('Data Source'!AC327&gt;=2,"C",IF('Data Source'!AC327&gt;=1,"D","F")))))),"")</f>
        <v/>
      </c>
      <c r="L327" s="3">
        <f>IF(AND('Data Source'!B327&lt;&gt;"",'Data Source'!S327="F"),IF('Data Source'!AD327&gt;=5,"A+",IF('Data Source'!AD327&gt;=4,"A",IF('Data Source'!AD327&gt;=3.5,"A-",IF('Data Source'!AD327&gt;=3,"B",IF('Data Source'!AD327&gt;=2,"C",IF('Data Source'!AD327&gt;=1,"D","F")))))),"")</f>
        <v/>
      </c>
      <c r="M327" s="3">
        <f>IF(AND('Data Source'!B327&lt;&gt;"",'Data Source'!S327="F"),IF('Data Source'!AE327&gt;=5,"A+",IF('Data Source'!AE327&gt;=4,"A",IF('Data Source'!AE327&gt;=3.5,"A-",IF('Data Source'!AE327&gt;=3,"B",IF('Data Source'!AE327&gt;=2,"C",IF('Data Source'!AE327&gt;=1,"D","F")))))),"")</f>
        <v/>
      </c>
      <c r="N327" s="3">
        <f>IF(AND('Data Source'!B327&lt;&gt;"",'Data Source'!S327="F"),IF('Data Source'!AF327&gt;=5,"A+",IF('Data Source'!AF327&gt;=4,"A",IF('Data Source'!AF327&gt;=3.5,"A-",IF('Data Source'!AF327&gt;=3,"B",IF('Data Source'!AF327&gt;=2,"C",IF('Data Source'!AF327&gt;=1,"D","F")))))),"")</f>
        <v/>
      </c>
      <c r="O327" s="3">
        <f>IF(AND('Data Source'!B327&lt;&gt;"",'Data Source'!S327="F"),IF('Data Source'!AG327&gt;=5,"A+",IF('Data Source'!AG327&gt;=4,"A",IF('Data Source'!AG327&gt;=3.5,"A-",IF('Data Source'!AG327&gt;=3,"B",IF('Data Source'!AG327&gt;=2,"C",IF('Data Source'!AG327&gt;=1,"D","F")))))),"")</f>
        <v/>
      </c>
      <c r="P327" s="5">
        <f>IF(AND('Data Source'!B327&lt;&gt;"",'Data Source'!S327="F"),'Data Source'!R327,"")</f>
        <v/>
      </c>
      <c r="Q327" s="3">
        <f>IF(AND('Data Source'!B327&lt;&gt;"",'Data Source'!S327="F"),'Data Source'!S327,"")</f>
        <v/>
      </c>
    </row>
    <row r="328">
      <c r="A328" s="3">
        <f>IF(AND('Data Source'!B328&lt;&gt;"",'Data Source'!S328="F"),COUNTIF('Data Source'!$S$3:S328,"F"),"")</f>
        <v/>
      </c>
      <c r="B328">
        <f>IF(AND('Data Source'!B328&lt;&gt;"",'Data Source'!S328="F"),'Data Source'!B328,"")</f>
        <v/>
      </c>
      <c r="C328" s="3">
        <f>IF(AND('Data Source'!B328&lt;&gt;"",'Data Source'!S328="F"),IF('Data Source'!U328&gt;=5,"A+",IF('Data Source'!U328&gt;=4,"A",IF('Data Source'!U328&gt;=3.5,"A-",IF('Data Source'!U328&gt;=3,"B",IF('Data Source'!U328&gt;=2,"C",IF('Data Source'!U328&gt;=1,"D","F")))))),"")</f>
        <v/>
      </c>
      <c r="D328" s="3">
        <f>IF(AND('Data Source'!B328&lt;&gt;"",'Data Source'!S328="F"),IF('Data Source'!V328&gt;=5,"A+",IF('Data Source'!V328&gt;=4,"A",IF('Data Source'!V328&gt;=3.5,"A-",IF('Data Source'!V328&gt;=3,"B",IF('Data Source'!V328&gt;=2,"C",IF('Data Source'!V328&gt;=1,"D","F")))))),"")</f>
        <v/>
      </c>
      <c r="E328" s="3">
        <f>IF(AND('Data Source'!B328&lt;&gt;"",'Data Source'!S328="F"),IF('Data Source'!W328&gt;=5,"A+",IF('Data Source'!W328&gt;=4,"A",IF('Data Source'!W328&gt;=3.5,"A-",IF('Data Source'!W328&gt;=3,"B",IF('Data Source'!W328&gt;=2,"C",IF('Data Source'!W328&gt;=1,"D","F")))))),"")</f>
        <v/>
      </c>
      <c r="F328" s="3">
        <f>IF(AND('Data Source'!B328&lt;&gt;"",'Data Source'!S328="F"),IF('Data Source'!X328&gt;=5,"A+",IF('Data Source'!X328&gt;=4,"A",IF('Data Source'!X328&gt;=3.5,"A-",IF('Data Source'!X328&gt;=3,"B",IF('Data Source'!X328&gt;=2,"C",IF('Data Source'!X328&gt;=1,"D","F")))))),"")</f>
        <v/>
      </c>
      <c r="G328" s="3">
        <f>IF(AND('Data Source'!B328&lt;&gt;"",'Data Source'!S328="F"),IF('Data Source'!Y328&gt;=5,"A+",IF('Data Source'!Y328&gt;=4,"A",IF('Data Source'!Y328&gt;=3.5,"A-",IF('Data Source'!Y328&gt;=3,"B",IF('Data Source'!Y328&gt;=2,"C",IF('Data Source'!Y328&gt;=1,"D","F")))))),"")</f>
        <v/>
      </c>
      <c r="H328" s="3">
        <f>IF(AND('Data Source'!B328&lt;&gt;"",'Data Source'!S328="F"),IF('Data Source'!Z328&gt;=5,"A+",IF('Data Source'!Z328&gt;=4,"A",IF('Data Source'!Z328&gt;=3.5,"A-",IF('Data Source'!Z328&gt;=3,"B",IF('Data Source'!Z328&gt;=2,"C",IF('Data Source'!Z328&gt;=1,"D","F")))))),"")</f>
        <v/>
      </c>
      <c r="I328" s="3">
        <f>IF(AND('Data Source'!B328&lt;&gt;"",'Data Source'!S328="F"),IF('Data Source'!AA328&gt;=5,"A+",IF('Data Source'!AA328&gt;=4,"A",IF('Data Source'!AA328&gt;=3.5,"A-",IF('Data Source'!AA328&gt;=3,"B",IF('Data Source'!AA328&gt;=2,"C",IF('Data Source'!AA328&gt;=1,"D","F")))))),"")</f>
        <v/>
      </c>
      <c r="J328" s="3">
        <f>IF(AND('Data Source'!B328&lt;&gt;"",'Data Source'!S328="F"),IF('Data Source'!AB328&gt;=5,"A+",IF('Data Source'!AB328&gt;=4,"A",IF('Data Source'!AB328&gt;=3.5,"A-",IF('Data Source'!AB328&gt;=3,"B",IF('Data Source'!AB328&gt;=2,"C",IF('Data Source'!AB328&gt;=1,"D","F")))))),"")</f>
        <v/>
      </c>
      <c r="K328" s="3">
        <f>IF(AND('Data Source'!B328&lt;&gt;"",'Data Source'!S328="F"),IF('Data Source'!AC328&gt;=5,"A+",IF('Data Source'!AC328&gt;=4,"A",IF('Data Source'!AC328&gt;=3.5,"A-",IF('Data Source'!AC328&gt;=3,"B",IF('Data Source'!AC328&gt;=2,"C",IF('Data Source'!AC328&gt;=1,"D","F")))))),"")</f>
        <v/>
      </c>
      <c r="L328" s="3">
        <f>IF(AND('Data Source'!B328&lt;&gt;"",'Data Source'!S328="F"),IF('Data Source'!AD328&gt;=5,"A+",IF('Data Source'!AD328&gt;=4,"A",IF('Data Source'!AD328&gt;=3.5,"A-",IF('Data Source'!AD328&gt;=3,"B",IF('Data Source'!AD328&gt;=2,"C",IF('Data Source'!AD328&gt;=1,"D","F")))))),"")</f>
        <v/>
      </c>
      <c r="M328" s="3">
        <f>IF(AND('Data Source'!B328&lt;&gt;"",'Data Source'!S328="F"),IF('Data Source'!AE328&gt;=5,"A+",IF('Data Source'!AE328&gt;=4,"A",IF('Data Source'!AE328&gt;=3.5,"A-",IF('Data Source'!AE328&gt;=3,"B",IF('Data Source'!AE328&gt;=2,"C",IF('Data Source'!AE328&gt;=1,"D","F")))))),"")</f>
        <v/>
      </c>
      <c r="N328" s="3">
        <f>IF(AND('Data Source'!B328&lt;&gt;"",'Data Source'!S328="F"),IF('Data Source'!AF328&gt;=5,"A+",IF('Data Source'!AF328&gt;=4,"A",IF('Data Source'!AF328&gt;=3.5,"A-",IF('Data Source'!AF328&gt;=3,"B",IF('Data Source'!AF328&gt;=2,"C",IF('Data Source'!AF328&gt;=1,"D","F")))))),"")</f>
        <v/>
      </c>
      <c r="O328" s="3">
        <f>IF(AND('Data Source'!B328&lt;&gt;"",'Data Source'!S328="F"),IF('Data Source'!AG328&gt;=5,"A+",IF('Data Source'!AG328&gt;=4,"A",IF('Data Source'!AG328&gt;=3.5,"A-",IF('Data Source'!AG328&gt;=3,"B",IF('Data Source'!AG328&gt;=2,"C",IF('Data Source'!AG328&gt;=1,"D","F")))))),"")</f>
        <v/>
      </c>
      <c r="P328" s="5">
        <f>IF(AND('Data Source'!B328&lt;&gt;"",'Data Source'!S328="F"),'Data Source'!R328,"")</f>
        <v/>
      </c>
      <c r="Q328" s="3">
        <f>IF(AND('Data Source'!B328&lt;&gt;"",'Data Source'!S328="F"),'Data Source'!S328,"")</f>
        <v/>
      </c>
    </row>
    <row r="329">
      <c r="A329" s="3">
        <f>IF(AND('Data Source'!B329&lt;&gt;"",'Data Source'!S329="F"),COUNTIF('Data Source'!$S$3:S329,"F"),"")</f>
        <v/>
      </c>
      <c r="B329">
        <f>IF(AND('Data Source'!B329&lt;&gt;"",'Data Source'!S329="F"),'Data Source'!B329,"")</f>
        <v/>
      </c>
      <c r="C329" s="3">
        <f>IF(AND('Data Source'!B329&lt;&gt;"",'Data Source'!S329="F"),IF('Data Source'!U329&gt;=5,"A+",IF('Data Source'!U329&gt;=4,"A",IF('Data Source'!U329&gt;=3.5,"A-",IF('Data Source'!U329&gt;=3,"B",IF('Data Source'!U329&gt;=2,"C",IF('Data Source'!U329&gt;=1,"D","F")))))),"")</f>
        <v/>
      </c>
      <c r="D329" s="3">
        <f>IF(AND('Data Source'!B329&lt;&gt;"",'Data Source'!S329="F"),IF('Data Source'!V329&gt;=5,"A+",IF('Data Source'!V329&gt;=4,"A",IF('Data Source'!V329&gt;=3.5,"A-",IF('Data Source'!V329&gt;=3,"B",IF('Data Source'!V329&gt;=2,"C",IF('Data Source'!V329&gt;=1,"D","F")))))),"")</f>
        <v/>
      </c>
      <c r="E329" s="3">
        <f>IF(AND('Data Source'!B329&lt;&gt;"",'Data Source'!S329="F"),IF('Data Source'!W329&gt;=5,"A+",IF('Data Source'!W329&gt;=4,"A",IF('Data Source'!W329&gt;=3.5,"A-",IF('Data Source'!W329&gt;=3,"B",IF('Data Source'!W329&gt;=2,"C",IF('Data Source'!W329&gt;=1,"D","F")))))),"")</f>
        <v/>
      </c>
      <c r="F329" s="3">
        <f>IF(AND('Data Source'!B329&lt;&gt;"",'Data Source'!S329="F"),IF('Data Source'!X329&gt;=5,"A+",IF('Data Source'!X329&gt;=4,"A",IF('Data Source'!X329&gt;=3.5,"A-",IF('Data Source'!X329&gt;=3,"B",IF('Data Source'!X329&gt;=2,"C",IF('Data Source'!X329&gt;=1,"D","F")))))),"")</f>
        <v/>
      </c>
      <c r="G329" s="3">
        <f>IF(AND('Data Source'!B329&lt;&gt;"",'Data Source'!S329="F"),IF('Data Source'!Y329&gt;=5,"A+",IF('Data Source'!Y329&gt;=4,"A",IF('Data Source'!Y329&gt;=3.5,"A-",IF('Data Source'!Y329&gt;=3,"B",IF('Data Source'!Y329&gt;=2,"C",IF('Data Source'!Y329&gt;=1,"D","F")))))),"")</f>
        <v/>
      </c>
      <c r="H329" s="3">
        <f>IF(AND('Data Source'!B329&lt;&gt;"",'Data Source'!S329="F"),IF('Data Source'!Z329&gt;=5,"A+",IF('Data Source'!Z329&gt;=4,"A",IF('Data Source'!Z329&gt;=3.5,"A-",IF('Data Source'!Z329&gt;=3,"B",IF('Data Source'!Z329&gt;=2,"C",IF('Data Source'!Z329&gt;=1,"D","F")))))),"")</f>
        <v/>
      </c>
      <c r="I329" s="3">
        <f>IF(AND('Data Source'!B329&lt;&gt;"",'Data Source'!S329="F"),IF('Data Source'!AA329&gt;=5,"A+",IF('Data Source'!AA329&gt;=4,"A",IF('Data Source'!AA329&gt;=3.5,"A-",IF('Data Source'!AA329&gt;=3,"B",IF('Data Source'!AA329&gt;=2,"C",IF('Data Source'!AA329&gt;=1,"D","F")))))),"")</f>
        <v/>
      </c>
      <c r="J329" s="3">
        <f>IF(AND('Data Source'!B329&lt;&gt;"",'Data Source'!S329="F"),IF('Data Source'!AB329&gt;=5,"A+",IF('Data Source'!AB329&gt;=4,"A",IF('Data Source'!AB329&gt;=3.5,"A-",IF('Data Source'!AB329&gt;=3,"B",IF('Data Source'!AB329&gt;=2,"C",IF('Data Source'!AB329&gt;=1,"D","F")))))),"")</f>
        <v/>
      </c>
      <c r="K329" s="3">
        <f>IF(AND('Data Source'!B329&lt;&gt;"",'Data Source'!S329="F"),IF('Data Source'!AC329&gt;=5,"A+",IF('Data Source'!AC329&gt;=4,"A",IF('Data Source'!AC329&gt;=3.5,"A-",IF('Data Source'!AC329&gt;=3,"B",IF('Data Source'!AC329&gt;=2,"C",IF('Data Source'!AC329&gt;=1,"D","F")))))),"")</f>
        <v/>
      </c>
      <c r="L329" s="3">
        <f>IF(AND('Data Source'!B329&lt;&gt;"",'Data Source'!S329="F"),IF('Data Source'!AD329&gt;=5,"A+",IF('Data Source'!AD329&gt;=4,"A",IF('Data Source'!AD329&gt;=3.5,"A-",IF('Data Source'!AD329&gt;=3,"B",IF('Data Source'!AD329&gt;=2,"C",IF('Data Source'!AD329&gt;=1,"D","F")))))),"")</f>
        <v/>
      </c>
      <c r="M329" s="3">
        <f>IF(AND('Data Source'!B329&lt;&gt;"",'Data Source'!S329="F"),IF('Data Source'!AE329&gt;=5,"A+",IF('Data Source'!AE329&gt;=4,"A",IF('Data Source'!AE329&gt;=3.5,"A-",IF('Data Source'!AE329&gt;=3,"B",IF('Data Source'!AE329&gt;=2,"C",IF('Data Source'!AE329&gt;=1,"D","F")))))),"")</f>
        <v/>
      </c>
      <c r="N329" s="3">
        <f>IF(AND('Data Source'!B329&lt;&gt;"",'Data Source'!S329="F"),IF('Data Source'!AF329&gt;=5,"A+",IF('Data Source'!AF329&gt;=4,"A",IF('Data Source'!AF329&gt;=3.5,"A-",IF('Data Source'!AF329&gt;=3,"B",IF('Data Source'!AF329&gt;=2,"C",IF('Data Source'!AF329&gt;=1,"D","F")))))),"")</f>
        <v/>
      </c>
      <c r="O329" s="3">
        <f>IF(AND('Data Source'!B329&lt;&gt;"",'Data Source'!S329="F"),IF('Data Source'!AG329&gt;=5,"A+",IF('Data Source'!AG329&gt;=4,"A",IF('Data Source'!AG329&gt;=3.5,"A-",IF('Data Source'!AG329&gt;=3,"B",IF('Data Source'!AG329&gt;=2,"C",IF('Data Source'!AG329&gt;=1,"D","F")))))),"")</f>
        <v/>
      </c>
      <c r="P329" s="5">
        <f>IF(AND('Data Source'!B329&lt;&gt;"",'Data Source'!S329="F"),'Data Source'!R329,"")</f>
        <v/>
      </c>
      <c r="Q329" s="3">
        <f>IF(AND('Data Source'!B329&lt;&gt;"",'Data Source'!S329="F"),'Data Source'!S329,"")</f>
        <v/>
      </c>
    </row>
    <row r="330">
      <c r="A330" s="3">
        <f>IF(AND('Data Source'!B330&lt;&gt;"",'Data Source'!S330="F"),COUNTIF('Data Source'!$S$3:S330,"F"),"")</f>
        <v/>
      </c>
      <c r="B330">
        <f>IF(AND('Data Source'!B330&lt;&gt;"",'Data Source'!S330="F"),'Data Source'!B330,"")</f>
        <v/>
      </c>
      <c r="C330" s="3">
        <f>IF(AND('Data Source'!B330&lt;&gt;"",'Data Source'!S330="F"),IF('Data Source'!U330&gt;=5,"A+",IF('Data Source'!U330&gt;=4,"A",IF('Data Source'!U330&gt;=3.5,"A-",IF('Data Source'!U330&gt;=3,"B",IF('Data Source'!U330&gt;=2,"C",IF('Data Source'!U330&gt;=1,"D","F")))))),"")</f>
        <v/>
      </c>
      <c r="D330" s="3">
        <f>IF(AND('Data Source'!B330&lt;&gt;"",'Data Source'!S330="F"),IF('Data Source'!V330&gt;=5,"A+",IF('Data Source'!V330&gt;=4,"A",IF('Data Source'!V330&gt;=3.5,"A-",IF('Data Source'!V330&gt;=3,"B",IF('Data Source'!V330&gt;=2,"C",IF('Data Source'!V330&gt;=1,"D","F")))))),"")</f>
        <v/>
      </c>
      <c r="E330" s="3">
        <f>IF(AND('Data Source'!B330&lt;&gt;"",'Data Source'!S330="F"),IF('Data Source'!W330&gt;=5,"A+",IF('Data Source'!W330&gt;=4,"A",IF('Data Source'!W330&gt;=3.5,"A-",IF('Data Source'!W330&gt;=3,"B",IF('Data Source'!W330&gt;=2,"C",IF('Data Source'!W330&gt;=1,"D","F")))))),"")</f>
        <v/>
      </c>
      <c r="F330" s="3">
        <f>IF(AND('Data Source'!B330&lt;&gt;"",'Data Source'!S330="F"),IF('Data Source'!X330&gt;=5,"A+",IF('Data Source'!X330&gt;=4,"A",IF('Data Source'!X330&gt;=3.5,"A-",IF('Data Source'!X330&gt;=3,"B",IF('Data Source'!X330&gt;=2,"C",IF('Data Source'!X330&gt;=1,"D","F")))))),"")</f>
        <v/>
      </c>
      <c r="G330" s="3">
        <f>IF(AND('Data Source'!B330&lt;&gt;"",'Data Source'!S330="F"),IF('Data Source'!Y330&gt;=5,"A+",IF('Data Source'!Y330&gt;=4,"A",IF('Data Source'!Y330&gt;=3.5,"A-",IF('Data Source'!Y330&gt;=3,"B",IF('Data Source'!Y330&gt;=2,"C",IF('Data Source'!Y330&gt;=1,"D","F")))))),"")</f>
        <v/>
      </c>
      <c r="H330" s="3">
        <f>IF(AND('Data Source'!B330&lt;&gt;"",'Data Source'!S330="F"),IF('Data Source'!Z330&gt;=5,"A+",IF('Data Source'!Z330&gt;=4,"A",IF('Data Source'!Z330&gt;=3.5,"A-",IF('Data Source'!Z330&gt;=3,"B",IF('Data Source'!Z330&gt;=2,"C",IF('Data Source'!Z330&gt;=1,"D","F")))))),"")</f>
        <v/>
      </c>
      <c r="I330" s="3">
        <f>IF(AND('Data Source'!B330&lt;&gt;"",'Data Source'!S330="F"),IF('Data Source'!AA330&gt;=5,"A+",IF('Data Source'!AA330&gt;=4,"A",IF('Data Source'!AA330&gt;=3.5,"A-",IF('Data Source'!AA330&gt;=3,"B",IF('Data Source'!AA330&gt;=2,"C",IF('Data Source'!AA330&gt;=1,"D","F")))))),"")</f>
        <v/>
      </c>
      <c r="J330" s="3">
        <f>IF(AND('Data Source'!B330&lt;&gt;"",'Data Source'!S330="F"),IF('Data Source'!AB330&gt;=5,"A+",IF('Data Source'!AB330&gt;=4,"A",IF('Data Source'!AB330&gt;=3.5,"A-",IF('Data Source'!AB330&gt;=3,"B",IF('Data Source'!AB330&gt;=2,"C",IF('Data Source'!AB330&gt;=1,"D","F")))))),"")</f>
        <v/>
      </c>
      <c r="K330" s="3">
        <f>IF(AND('Data Source'!B330&lt;&gt;"",'Data Source'!S330="F"),IF('Data Source'!AC330&gt;=5,"A+",IF('Data Source'!AC330&gt;=4,"A",IF('Data Source'!AC330&gt;=3.5,"A-",IF('Data Source'!AC330&gt;=3,"B",IF('Data Source'!AC330&gt;=2,"C",IF('Data Source'!AC330&gt;=1,"D","F")))))),"")</f>
        <v/>
      </c>
      <c r="L330" s="3">
        <f>IF(AND('Data Source'!B330&lt;&gt;"",'Data Source'!S330="F"),IF('Data Source'!AD330&gt;=5,"A+",IF('Data Source'!AD330&gt;=4,"A",IF('Data Source'!AD330&gt;=3.5,"A-",IF('Data Source'!AD330&gt;=3,"B",IF('Data Source'!AD330&gt;=2,"C",IF('Data Source'!AD330&gt;=1,"D","F")))))),"")</f>
        <v/>
      </c>
      <c r="M330" s="3">
        <f>IF(AND('Data Source'!B330&lt;&gt;"",'Data Source'!S330="F"),IF('Data Source'!AE330&gt;=5,"A+",IF('Data Source'!AE330&gt;=4,"A",IF('Data Source'!AE330&gt;=3.5,"A-",IF('Data Source'!AE330&gt;=3,"B",IF('Data Source'!AE330&gt;=2,"C",IF('Data Source'!AE330&gt;=1,"D","F")))))),"")</f>
        <v/>
      </c>
      <c r="N330" s="3">
        <f>IF(AND('Data Source'!B330&lt;&gt;"",'Data Source'!S330="F"),IF('Data Source'!AF330&gt;=5,"A+",IF('Data Source'!AF330&gt;=4,"A",IF('Data Source'!AF330&gt;=3.5,"A-",IF('Data Source'!AF330&gt;=3,"B",IF('Data Source'!AF330&gt;=2,"C",IF('Data Source'!AF330&gt;=1,"D","F")))))),"")</f>
        <v/>
      </c>
      <c r="O330" s="3">
        <f>IF(AND('Data Source'!B330&lt;&gt;"",'Data Source'!S330="F"),IF('Data Source'!AG330&gt;=5,"A+",IF('Data Source'!AG330&gt;=4,"A",IF('Data Source'!AG330&gt;=3.5,"A-",IF('Data Source'!AG330&gt;=3,"B",IF('Data Source'!AG330&gt;=2,"C",IF('Data Source'!AG330&gt;=1,"D","F")))))),"")</f>
        <v/>
      </c>
      <c r="P330" s="5">
        <f>IF(AND('Data Source'!B330&lt;&gt;"",'Data Source'!S330="F"),'Data Source'!R330,"")</f>
        <v/>
      </c>
      <c r="Q330" s="3">
        <f>IF(AND('Data Source'!B330&lt;&gt;"",'Data Source'!S330="F"),'Data Source'!S330,"")</f>
        <v/>
      </c>
    </row>
    <row r="331">
      <c r="A331" s="3">
        <f>IF(AND('Data Source'!B331&lt;&gt;"",'Data Source'!S331="F"),COUNTIF('Data Source'!$S$3:S331,"F"),"")</f>
        <v/>
      </c>
      <c r="B331">
        <f>IF(AND('Data Source'!B331&lt;&gt;"",'Data Source'!S331="F"),'Data Source'!B331,"")</f>
        <v/>
      </c>
      <c r="C331" s="3">
        <f>IF(AND('Data Source'!B331&lt;&gt;"",'Data Source'!S331="F"),IF('Data Source'!U331&gt;=5,"A+",IF('Data Source'!U331&gt;=4,"A",IF('Data Source'!U331&gt;=3.5,"A-",IF('Data Source'!U331&gt;=3,"B",IF('Data Source'!U331&gt;=2,"C",IF('Data Source'!U331&gt;=1,"D","F")))))),"")</f>
        <v/>
      </c>
      <c r="D331" s="3">
        <f>IF(AND('Data Source'!B331&lt;&gt;"",'Data Source'!S331="F"),IF('Data Source'!V331&gt;=5,"A+",IF('Data Source'!V331&gt;=4,"A",IF('Data Source'!V331&gt;=3.5,"A-",IF('Data Source'!V331&gt;=3,"B",IF('Data Source'!V331&gt;=2,"C",IF('Data Source'!V331&gt;=1,"D","F")))))),"")</f>
        <v/>
      </c>
      <c r="E331" s="3">
        <f>IF(AND('Data Source'!B331&lt;&gt;"",'Data Source'!S331="F"),IF('Data Source'!W331&gt;=5,"A+",IF('Data Source'!W331&gt;=4,"A",IF('Data Source'!W331&gt;=3.5,"A-",IF('Data Source'!W331&gt;=3,"B",IF('Data Source'!W331&gt;=2,"C",IF('Data Source'!W331&gt;=1,"D","F")))))),"")</f>
        <v/>
      </c>
      <c r="F331" s="3">
        <f>IF(AND('Data Source'!B331&lt;&gt;"",'Data Source'!S331="F"),IF('Data Source'!X331&gt;=5,"A+",IF('Data Source'!X331&gt;=4,"A",IF('Data Source'!X331&gt;=3.5,"A-",IF('Data Source'!X331&gt;=3,"B",IF('Data Source'!X331&gt;=2,"C",IF('Data Source'!X331&gt;=1,"D","F")))))),"")</f>
        <v/>
      </c>
      <c r="G331" s="3">
        <f>IF(AND('Data Source'!B331&lt;&gt;"",'Data Source'!S331="F"),IF('Data Source'!Y331&gt;=5,"A+",IF('Data Source'!Y331&gt;=4,"A",IF('Data Source'!Y331&gt;=3.5,"A-",IF('Data Source'!Y331&gt;=3,"B",IF('Data Source'!Y331&gt;=2,"C",IF('Data Source'!Y331&gt;=1,"D","F")))))),"")</f>
        <v/>
      </c>
      <c r="H331" s="3">
        <f>IF(AND('Data Source'!B331&lt;&gt;"",'Data Source'!S331="F"),IF('Data Source'!Z331&gt;=5,"A+",IF('Data Source'!Z331&gt;=4,"A",IF('Data Source'!Z331&gt;=3.5,"A-",IF('Data Source'!Z331&gt;=3,"B",IF('Data Source'!Z331&gt;=2,"C",IF('Data Source'!Z331&gt;=1,"D","F")))))),"")</f>
        <v/>
      </c>
      <c r="I331" s="3">
        <f>IF(AND('Data Source'!B331&lt;&gt;"",'Data Source'!S331="F"),IF('Data Source'!AA331&gt;=5,"A+",IF('Data Source'!AA331&gt;=4,"A",IF('Data Source'!AA331&gt;=3.5,"A-",IF('Data Source'!AA331&gt;=3,"B",IF('Data Source'!AA331&gt;=2,"C",IF('Data Source'!AA331&gt;=1,"D","F")))))),"")</f>
        <v/>
      </c>
      <c r="J331" s="3">
        <f>IF(AND('Data Source'!B331&lt;&gt;"",'Data Source'!S331="F"),IF('Data Source'!AB331&gt;=5,"A+",IF('Data Source'!AB331&gt;=4,"A",IF('Data Source'!AB331&gt;=3.5,"A-",IF('Data Source'!AB331&gt;=3,"B",IF('Data Source'!AB331&gt;=2,"C",IF('Data Source'!AB331&gt;=1,"D","F")))))),"")</f>
        <v/>
      </c>
      <c r="K331" s="3">
        <f>IF(AND('Data Source'!B331&lt;&gt;"",'Data Source'!S331="F"),IF('Data Source'!AC331&gt;=5,"A+",IF('Data Source'!AC331&gt;=4,"A",IF('Data Source'!AC331&gt;=3.5,"A-",IF('Data Source'!AC331&gt;=3,"B",IF('Data Source'!AC331&gt;=2,"C",IF('Data Source'!AC331&gt;=1,"D","F")))))),"")</f>
        <v/>
      </c>
      <c r="L331" s="3">
        <f>IF(AND('Data Source'!B331&lt;&gt;"",'Data Source'!S331="F"),IF('Data Source'!AD331&gt;=5,"A+",IF('Data Source'!AD331&gt;=4,"A",IF('Data Source'!AD331&gt;=3.5,"A-",IF('Data Source'!AD331&gt;=3,"B",IF('Data Source'!AD331&gt;=2,"C",IF('Data Source'!AD331&gt;=1,"D","F")))))),"")</f>
        <v/>
      </c>
      <c r="M331" s="3">
        <f>IF(AND('Data Source'!B331&lt;&gt;"",'Data Source'!S331="F"),IF('Data Source'!AE331&gt;=5,"A+",IF('Data Source'!AE331&gt;=4,"A",IF('Data Source'!AE331&gt;=3.5,"A-",IF('Data Source'!AE331&gt;=3,"B",IF('Data Source'!AE331&gt;=2,"C",IF('Data Source'!AE331&gt;=1,"D","F")))))),"")</f>
        <v/>
      </c>
      <c r="N331" s="3">
        <f>IF(AND('Data Source'!B331&lt;&gt;"",'Data Source'!S331="F"),IF('Data Source'!AF331&gt;=5,"A+",IF('Data Source'!AF331&gt;=4,"A",IF('Data Source'!AF331&gt;=3.5,"A-",IF('Data Source'!AF331&gt;=3,"B",IF('Data Source'!AF331&gt;=2,"C",IF('Data Source'!AF331&gt;=1,"D","F")))))),"")</f>
        <v/>
      </c>
      <c r="O331" s="3">
        <f>IF(AND('Data Source'!B331&lt;&gt;"",'Data Source'!S331="F"),IF('Data Source'!AG331&gt;=5,"A+",IF('Data Source'!AG331&gt;=4,"A",IF('Data Source'!AG331&gt;=3.5,"A-",IF('Data Source'!AG331&gt;=3,"B",IF('Data Source'!AG331&gt;=2,"C",IF('Data Source'!AG331&gt;=1,"D","F")))))),"")</f>
        <v/>
      </c>
      <c r="P331" s="5">
        <f>IF(AND('Data Source'!B331&lt;&gt;"",'Data Source'!S331="F"),'Data Source'!R331,"")</f>
        <v/>
      </c>
      <c r="Q331" s="3">
        <f>IF(AND('Data Source'!B331&lt;&gt;"",'Data Source'!S331="F"),'Data Source'!S331,"")</f>
        <v/>
      </c>
    </row>
    <row r="332">
      <c r="A332" s="3">
        <f>IF(AND('Data Source'!B332&lt;&gt;"",'Data Source'!S332="F"),COUNTIF('Data Source'!$S$3:S332,"F"),"")</f>
        <v/>
      </c>
      <c r="B332">
        <f>IF(AND('Data Source'!B332&lt;&gt;"",'Data Source'!S332="F"),'Data Source'!B332,"")</f>
        <v/>
      </c>
      <c r="C332" s="3">
        <f>IF(AND('Data Source'!B332&lt;&gt;"",'Data Source'!S332="F"),IF('Data Source'!U332&gt;=5,"A+",IF('Data Source'!U332&gt;=4,"A",IF('Data Source'!U332&gt;=3.5,"A-",IF('Data Source'!U332&gt;=3,"B",IF('Data Source'!U332&gt;=2,"C",IF('Data Source'!U332&gt;=1,"D","F")))))),"")</f>
        <v/>
      </c>
      <c r="D332" s="3">
        <f>IF(AND('Data Source'!B332&lt;&gt;"",'Data Source'!S332="F"),IF('Data Source'!V332&gt;=5,"A+",IF('Data Source'!V332&gt;=4,"A",IF('Data Source'!V332&gt;=3.5,"A-",IF('Data Source'!V332&gt;=3,"B",IF('Data Source'!V332&gt;=2,"C",IF('Data Source'!V332&gt;=1,"D","F")))))),"")</f>
        <v/>
      </c>
      <c r="E332" s="3">
        <f>IF(AND('Data Source'!B332&lt;&gt;"",'Data Source'!S332="F"),IF('Data Source'!W332&gt;=5,"A+",IF('Data Source'!W332&gt;=4,"A",IF('Data Source'!W332&gt;=3.5,"A-",IF('Data Source'!W332&gt;=3,"B",IF('Data Source'!W332&gt;=2,"C",IF('Data Source'!W332&gt;=1,"D","F")))))),"")</f>
        <v/>
      </c>
      <c r="F332" s="3">
        <f>IF(AND('Data Source'!B332&lt;&gt;"",'Data Source'!S332="F"),IF('Data Source'!X332&gt;=5,"A+",IF('Data Source'!X332&gt;=4,"A",IF('Data Source'!X332&gt;=3.5,"A-",IF('Data Source'!X332&gt;=3,"B",IF('Data Source'!X332&gt;=2,"C",IF('Data Source'!X332&gt;=1,"D","F")))))),"")</f>
        <v/>
      </c>
      <c r="G332" s="3">
        <f>IF(AND('Data Source'!B332&lt;&gt;"",'Data Source'!S332="F"),IF('Data Source'!Y332&gt;=5,"A+",IF('Data Source'!Y332&gt;=4,"A",IF('Data Source'!Y332&gt;=3.5,"A-",IF('Data Source'!Y332&gt;=3,"B",IF('Data Source'!Y332&gt;=2,"C",IF('Data Source'!Y332&gt;=1,"D","F")))))),"")</f>
        <v/>
      </c>
      <c r="H332" s="3">
        <f>IF(AND('Data Source'!B332&lt;&gt;"",'Data Source'!S332="F"),IF('Data Source'!Z332&gt;=5,"A+",IF('Data Source'!Z332&gt;=4,"A",IF('Data Source'!Z332&gt;=3.5,"A-",IF('Data Source'!Z332&gt;=3,"B",IF('Data Source'!Z332&gt;=2,"C",IF('Data Source'!Z332&gt;=1,"D","F")))))),"")</f>
        <v/>
      </c>
      <c r="I332" s="3">
        <f>IF(AND('Data Source'!B332&lt;&gt;"",'Data Source'!S332="F"),IF('Data Source'!AA332&gt;=5,"A+",IF('Data Source'!AA332&gt;=4,"A",IF('Data Source'!AA332&gt;=3.5,"A-",IF('Data Source'!AA332&gt;=3,"B",IF('Data Source'!AA332&gt;=2,"C",IF('Data Source'!AA332&gt;=1,"D","F")))))),"")</f>
        <v/>
      </c>
      <c r="J332" s="3">
        <f>IF(AND('Data Source'!B332&lt;&gt;"",'Data Source'!S332="F"),IF('Data Source'!AB332&gt;=5,"A+",IF('Data Source'!AB332&gt;=4,"A",IF('Data Source'!AB332&gt;=3.5,"A-",IF('Data Source'!AB332&gt;=3,"B",IF('Data Source'!AB332&gt;=2,"C",IF('Data Source'!AB332&gt;=1,"D","F")))))),"")</f>
        <v/>
      </c>
      <c r="K332" s="3">
        <f>IF(AND('Data Source'!B332&lt;&gt;"",'Data Source'!S332="F"),IF('Data Source'!AC332&gt;=5,"A+",IF('Data Source'!AC332&gt;=4,"A",IF('Data Source'!AC332&gt;=3.5,"A-",IF('Data Source'!AC332&gt;=3,"B",IF('Data Source'!AC332&gt;=2,"C",IF('Data Source'!AC332&gt;=1,"D","F")))))),"")</f>
        <v/>
      </c>
      <c r="L332" s="3">
        <f>IF(AND('Data Source'!B332&lt;&gt;"",'Data Source'!S332="F"),IF('Data Source'!AD332&gt;=5,"A+",IF('Data Source'!AD332&gt;=4,"A",IF('Data Source'!AD332&gt;=3.5,"A-",IF('Data Source'!AD332&gt;=3,"B",IF('Data Source'!AD332&gt;=2,"C",IF('Data Source'!AD332&gt;=1,"D","F")))))),"")</f>
        <v/>
      </c>
      <c r="M332" s="3">
        <f>IF(AND('Data Source'!B332&lt;&gt;"",'Data Source'!S332="F"),IF('Data Source'!AE332&gt;=5,"A+",IF('Data Source'!AE332&gt;=4,"A",IF('Data Source'!AE332&gt;=3.5,"A-",IF('Data Source'!AE332&gt;=3,"B",IF('Data Source'!AE332&gt;=2,"C",IF('Data Source'!AE332&gt;=1,"D","F")))))),"")</f>
        <v/>
      </c>
      <c r="N332" s="3">
        <f>IF(AND('Data Source'!B332&lt;&gt;"",'Data Source'!S332="F"),IF('Data Source'!AF332&gt;=5,"A+",IF('Data Source'!AF332&gt;=4,"A",IF('Data Source'!AF332&gt;=3.5,"A-",IF('Data Source'!AF332&gt;=3,"B",IF('Data Source'!AF332&gt;=2,"C",IF('Data Source'!AF332&gt;=1,"D","F")))))),"")</f>
        <v/>
      </c>
      <c r="O332" s="3">
        <f>IF(AND('Data Source'!B332&lt;&gt;"",'Data Source'!S332="F"),IF('Data Source'!AG332&gt;=5,"A+",IF('Data Source'!AG332&gt;=4,"A",IF('Data Source'!AG332&gt;=3.5,"A-",IF('Data Source'!AG332&gt;=3,"B",IF('Data Source'!AG332&gt;=2,"C",IF('Data Source'!AG332&gt;=1,"D","F")))))),"")</f>
        <v/>
      </c>
      <c r="P332" s="5">
        <f>IF(AND('Data Source'!B332&lt;&gt;"",'Data Source'!S332="F"),'Data Source'!R332,"")</f>
        <v/>
      </c>
      <c r="Q332" s="3">
        <f>IF(AND('Data Source'!B332&lt;&gt;"",'Data Source'!S332="F"),'Data Source'!S332,"")</f>
        <v/>
      </c>
    </row>
    <row r="333">
      <c r="A333" s="3">
        <f>IF(AND('Data Source'!B333&lt;&gt;"",'Data Source'!S333="F"),COUNTIF('Data Source'!$S$3:S333,"F"),"")</f>
        <v/>
      </c>
      <c r="B333">
        <f>IF(AND('Data Source'!B333&lt;&gt;"",'Data Source'!S333="F"),'Data Source'!B333,"")</f>
        <v/>
      </c>
      <c r="C333" s="3">
        <f>IF(AND('Data Source'!B333&lt;&gt;"",'Data Source'!S333="F"),IF('Data Source'!U333&gt;=5,"A+",IF('Data Source'!U333&gt;=4,"A",IF('Data Source'!U333&gt;=3.5,"A-",IF('Data Source'!U333&gt;=3,"B",IF('Data Source'!U333&gt;=2,"C",IF('Data Source'!U333&gt;=1,"D","F")))))),"")</f>
        <v/>
      </c>
      <c r="D333" s="3">
        <f>IF(AND('Data Source'!B333&lt;&gt;"",'Data Source'!S333="F"),IF('Data Source'!V333&gt;=5,"A+",IF('Data Source'!V333&gt;=4,"A",IF('Data Source'!V333&gt;=3.5,"A-",IF('Data Source'!V333&gt;=3,"B",IF('Data Source'!V333&gt;=2,"C",IF('Data Source'!V333&gt;=1,"D","F")))))),"")</f>
        <v/>
      </c>
      <c r="E333" s="3">
        <f>IF(AND('Data Source'!B333&lt;&gt;"",'Data Source'!S333="F"),IF('Data Source'!W333&gt;=5,"A+",IF('Data Source'!W333&gt;=4,"A",IF('Data Source'!W333&gt;=3.5,"A-",IF('Data Source'!W333&gt;=3,"B",IF('Data Source'!W333&gt;=2,"C",IF('Data Source'!W333&gt;=1,"D","F")))))),"")</f>
        <v/>
      </c>
      <c r="F333" s="3">
        <f>IF(AND('Data Source'!B333&lt;&gt;"",'Data Source'!S333="F"),IF('Data Source'!X333&gt;=5,"A+",IF('Data Source'!X333&gt;=4,"A",IF('Data Source'!X333&gt;=3.5,"A-",IF('Data Source'!X333&gt;=3,"B",IF('Data Source'!X333&gt;=2,"C",IF('Data Source'!X333&gt;=1,"D","F")))))),"")</f>
        <v/>
      </c>
      <c r="G333" s="3">
        <f>IF(AND('Data Source'!B333&lt;&gt;"",'Data Source'!S333="F"),IF('Data Source'!Y333&gt;=5,"A+",IF('Data Source'!Y333&gt;=4,"A",IF('Data Source'!Y333&gt;=3.5,"A-",IF('Data Source'!Y333&gt;=3,"B",IF('Data Source'!Y333&gt;=2,"C",IF('Data Source'!Y333&gt;=1,"D","F")))))),"")</f>
        <v/>
      </c>
      <c r="H333" s="3">
        <f>IF(AND('Data Source'!B333&lt;&gt;"",'Data Source'!S333="F"),IF('Data Source'!Z333&gt;=5,"A+",IF('Data Source'!Z333&gt;=4,"A",IF('Data Source'!Z333&gt;=3.5,"A-",IF('Data Source'!Z333&gt;=3,"B",IF('Data Source'!Z333&gt;=2,"C",IF('Data Source'!Z333&gt;=1,"D","F")))))),"")</f>
        <v/>
      </c>
      <c r="I333" s="3">
        <f>IF(AND('Data Source'!B333&lt;&gt;"",'Data Source'!S333="F"),IF('Data Source'!AA333&gt;=5,"A+",IF('Data Source'!AA333&gt;=4,"A",IF('Data Source'!AA333&gt;=3.5,"A-",IF('Data Source'!AA333&gt;=3,"B",IF('Data Source'!AA333&gt;=2,"C",IF('Data Source'!AA333&gt;=1,"D","F")))))),"")</f>
        <v/>
      </c>
      <c r="J333" s="3">
        <f>IF(AND('Data Source'!B333&lt;&gt;"",'Data Source'!S333="F"),IF('Data Source'!AB333&gt;=5,"A+",IF('Data Source'!AB333&gt;=4,"A",IF('Data Source'!AB333&gt;=3.5,"A-",IF('Data Source'!AB333&gt;=3,"B",IF('Data Source'!AB333&gt;=2,"C",IF('Data Source'!AB333&gt;=1,"D","F")))))),"")</f>
        <v/>
      </c>
      <c r="K333" s="3">
        <f>IF(AND('Data Source'!B333&lt;&gt;"",'Data Source'!S333="F"),IF('Data Source'!AC333&gt;=5,"A+",IF('Data Source'!AC333&gt;=4,"A",IF('Data Source'!AC333&gt;=3.5,"A-",IF('Data Source'!AC333&gt;=3,"B",IF('Data Source'!AC333&gt;=2,"C",IF('Data Source'!AC333&gt;=1,"D","F")))))),"")</f>
        <v/>
      </c>
      <c r="L333" s="3">
        <f>IF(AND('Data Source'!B333&lt;&gt;"",'Data Source'!S333="F"),IF('Data Source'!AD333&gt;=5,"A+",IF('Data Source'!AD333&gt;=4,"A",IF('Data Source'!AD333&gt;=3.5,"A-",IF('Data Source'!AD333&gt;=3,"B",IF('Data Source'!AD333&gt;=2,"C",IF('Data Source'!AD333&gt;=1,"D","F")))))),"")</f>
        <v/>
      </c>
      <c r="M333" s="3">
        <f>IF(AND('Data Source'!B333&lt;&gt;"",'Data Source'!S333="F"),IF('Data Source'!AE333&gt;=5,"A+",IF('Data Source'!AE333&gt;=4,"A",IF('Data Source'!AE333&gt;=3.5,"A-",IF('Data Source'!AE333&gt;=3,"B",IF('Data Source'!AE333&gt;=2,"C",IF('Data Source'!AE333&gt;=1,"D","F")))))),"")</f>
        <v/>
      </c>
      <c r="N333" s="3">
        <f>IF(AND('Data Source'!B333&lt;&gt;"",'Data Source'!S333="F"),IF('Data Source'!AF333&gt;=5,"A+",IF('Data Source'!AF333&gt;=4,"A",IF('Data Source'!AF333&gt;=3.5,"A-",IF('Data Source'!AF333&gt;=3,"B",IF('Data Source'!AF333&gt;=2,"C",IF('Data Source'!AF333&gt;=1,"D","F")))))),"")</f>
        <v/>
      </c>
      <c r="O333" s="3">
        <f>IF(AND('Data Source'!B333&lt;&gt;"",'Data Source'!S333="F"),IF('Data Source'!AG333&gt;=5,"A+",IF('Data Source'!AG333&gt;=4,"A",IF('Data Source'!AG333&gt;=3.5,"A-",IF('Data Source'!AG333&gt;=3,"B",IF('Data Source'!AG333&gt;=2,"C",IF('Data Source'!AG333&gt;=1,"D","F")))))),"")</f>
        <v/>
      </c>
      <c r="P333" s="5">
        <f>IF(AND('Data Source'!B333&lt;&gt;"",'Data Source'!S333="F"),'Data Source'!R333,"")</f>
        <v/>
      </c>
      <c r="Q333" s="3">
        <f>IF(AND('Data Source'!B333&lt;&gt;"",'Data Source'!S333="F"),'Data Source'!S333,"")</f>
        <v/>
      </c>
    </row>
    <row r="334">
      <c r="A334" s="3">
        <f>IF(AND('Data Source'!B334&lt;&gt;"",'Data Source'!S334="F"),COUNTIF('Data Source'!$S$3:S334,"F"),"")</f>
        <v/>
      </c>
      <c r="B334">
        <f>IF(AND('Data Source'!B334&lt;&gt;"",'Data Source'!S334="F"),'Data Source'!B334,"")</f>
        <v/>
      </c>
      <c r="C334" s="3">
        <f>IF(AND('Data Source'!B334&lt;&gt;"",'Data Source'!S334="F"),IF('Data Source'!U334&gt;=5,"A+",IF('Data Source'!U334&gt;=4,"A",IF('Data Source'!U334&gt;=3.5,"A-",IF('Data Source'!U334&gt;=3,"B",IF('Data Source'!U334&gt;=2,"C",IF('Data Source'!U334&gt;=1,"D","F")))))),"")</f>
        <v/>
      </c>
      <c r="D334" s="3">
        <f>IF(AND('Data Source'!B334&lt;&gt;"",'Data Source'!S334="F"),IF('Data Source'!V334&gt;=5,"A+",IF('Data Source'!V334&gt;=4,"A",IF('Data Source'!V334&gt;=3.5,"A-",IF('Data Source'!V334&gt;=3,"B",IF('Data Source'!V334&gt;=2,"C",IF('Data Source'!V334&gt;=1,"D","F")))))),"")</f>
        <v/>
      </c>
      <c r="E334" s="3">
        <f>IF(AND('Data Source'!B334&lt;&gt;"",'Data Source'!S334="F"),IF('Data Source'!W334&gt;=5,"A+",IF('Data Source'!W334&gt;=4,"A",IF('Data Source'!W334&gt;=3.5,"A-",IF('Data Source'!W334&gt;=3,"B",IF('Data Source'!W334&gt;=2,"C",IF('Data Source'!W334&gt;=1,"D","F")))))),"")</f>
        <v/>
      </c>
      <c r="F334" s="3">
        <f>IF(AND('Data Source'!B334&lt;&gt;"",'Data Source'!S334="F"),IF('Data Source'!X334&gt;=5,"A+",IF('Data Source'!X334&gt;=4,"A",IF('Data Source'!X334&gt;=3.5,"A-",IF('Data Source'!X334&gt;=3,"B",IF('Data Source'!X334&gt;=2,"C",IF('Data Source'!X334&gt;=1,"D","F")))))),"")</f>
        <v/>
      </c>
      <c r="G334" s="3">
        <f>IF(AND('Data Source'!B334&lt;&gt;"",'Data Source'!S334="F"),IF('Data Source'!Y334&gt;=5,"A+",IF('Data Source'!Y334&gt;=4,"A",IF('Data Source'!Y334&gt;=3.5,"A-",IF('Data Source'!Y334&gt;=3,"B",IF('Data Source'!Y334&gt;=2,"C",IF('Data Source'!Y334&gt;=1,"D","F")))))),"")</f>
        <v/>
      </c>
      <c r="H334" s="3">
        <f>IF(AND('Data Source'!B334&lt;&gt;"",'Data Source'!S334="F"),IF('Data Source'!Z334&gt;=5,"A+",IF('Data Source'!Z334&gt;=4,"A",IF('Data Source'!Z334&gt;=3.5,"A-",IF('Data Source'!Z334&gt;=3,"B",IF('Data Source'!Z334&gt;=2,"C",IF('Data Source'!Z334&gt;=1,"D","F")))))),"")</f>
        <v/>
      </c>
      <c r="I334" s="3">
        <f>IF(AND('Data Source'!B334&lt;&gt;"",'Data Source'!S334="F"),IF('Data Source'!AA334&gt;=5,"A+",IF('Data Source'!AA334&gt;=4,"A",IF('Data Source'!AA334&gt;=3.5,"A-",IF('Data Source'!AA334&gt;=3,"B",IF('Data Source'!AA334&gt;=2,"C",IF('Data Source'!AA334&gt;=1,"D","F")))))),"")</f>
        <v/>
      </c>
      <c r="J334" s="3">
        <f>IF(AND('Data Source'!B334&lt;&gt;"",'Data Source'!S334="F"),IF('Data Source'!AB334&gt;=5,"A+",IF('Data Source'!AB334&gt;=4,"A",IF('Data Source'!AB334&gt;=3.5,"A-",IF('Data Source'!AB334&gt;=3,"B",IF('Data Source'!AB334&gt;=2,"C",IF('Data Source'!AB334&gt;=1,"D","F")))))),"")</f>
        <v/>
      </c>
      <c r="K334" s="3">
        <f>IF(AND('Data Source'!B334&lt;&gt;"",'Data Source'!S334="F"),IF('Data Source'!AC334&gt;=5,"A+",IF('Data Source'!AC334&gt;=4,"A",IF('Data Source'!AC334&gt;=3.5,"A-",IF('Data Source'!AC334&gt;=3,"B",IF('Data Source'!AC334&gt;=2,"C",IF('Data Source'!AC334&gt;=1,"D","F")))))),"")</f>
        <v/>
      </c>
      <c r="L334" s="3">
        <f>IF(AND('Data Source'!B334&lt;&gt;"",'Data Source'!S334="F"),IF('Data Source'!AD334&gt;=5,"A+",IF('Data Source'!AD334&gt;=4,"A",IF('Data Source'!AD334&gt;=3.5,"A-",IF('Data Source'!AD334&gt;=3,"B",IF('Data Source'!AD334&gt;=2,"C",IF('Data Source'!AD334&gt;=1,"D","F")))))),"")</f>
        <v/>
      </c>
      <c r="M334" s="3">
        <f>IF(AND('Data Source'!B334&lt;&gt;"",'Data Source'!S334="F"),IF('Data Source'!AE334&gt;=5,"A+",IF('Data Source'!AE334&gt;=4,"A",IF('Data Source'!AE334&gt;=3.5,"A-",IF('Data Source'!AE334&gt;=3,"B",IF('Data Source'!AE334&gt;=2,"C",IF('Data Source'!AE334&gt;=1,"D","F")))))),"")</f>
        <v/>
      </c>
      <c r="N334" s="3">
        <f>IF(AND('Data Source'!B334&lt;&gt;"",'Data Source'!S334="F"),IF('Data Source'!AF334&gt;=5,"A+",IF('Data Source'!AF334&gt;=4,"A",IF('Data Source'!AF334&gt;=3.5,"A-",IF('Data Source'!AF334&gt;=3,"B",IF('Data Source'!AF334&gt;=2,"C",IF('Data Source'!AF334&gt;=1,"D","F")))))),"")</f>
        <v/>
      </c>
      <c r="O334" s="3">
        <f>IF(AND('Data Source'!B334&lt;&gt;"",'Data Source'!S334="F"),IF('Data Source'!AG334&gt;=5,"A+",IF('Data Source'!AG334&gt;=4,"A",IF('Data Source'!AG334&gt;=3.5,"A-",IF('Data Source'!AG334&gt;=3,"B",IF('Data Source'!AG334&gt;=2,"C",IF('Data Source'!AG334&gt;=1,"D","F")))))),"")</f>
        <v/>
      </c>
      <c r="P334" s="5">
        <f>IF(AND('Data Source'!B334&lt;&gt;"",'Data Source'!S334="F"),'Data Source'!R334,"")</f>
        <v/>
      </c>
      <c r="Q334" s="3">
        <f>IF(AND('Data Source'!B334&lt;&gt;"",'Data Source'!S334="F"),'Data Source'!S334,"")</f>
        <v/>
      </c>
    </row>
    <row r="335">
      <c r="A335" s="3">
        <f>IF(AND('Data Source'!B335&lt;&gt;"",'Data Source'!S335="F"),COUNTIF('Data Source'!$S$3:S335,"F"),"")</f>
        <v/>
      </c>
      <c r="B335">
        <f>IF(AND('Data Source'!B335&lt;&gt;"",'Data Source'!S335="F"),'Data Source'!B335,"")</f>
        <v/>
      </c>
      <c r="C335" s="3">
        <f>IF(AND('Data Source'!B335&lt;&gt;"",'Data Source'!S335="F"),IF('Data Source'!U335&gt;=5,"A+",IF('Data Source'!U335&gt;=4,"A",IF('Data Source'!U335&gt;=3.5,"A-",IF('Data Source'!U335&gt;=3,"B",IF('Data Source'!U335&gt;=2,"C",IF('Data Source'!U335&gt;=1,"D","F")))))),"")</f>
        <v/>
      </c>
      <c r="D335" s="3">
        <f>IF(AND('Data Source'!B335&lt;&gt;"",'Data Source'!S335="F"),IF('Data Source'!V335&gt;=5,"A+",IF('Data Source'!V335&gt;=4,"A",IF('Data Source'!V335&gt;=3.5,"A-",IF('Data Source'!V335&gt;=3,"B",IF('Data Source'!V335&gt;=2,"C",IF('Data Source'!V335&gt;=1,"D","F")))))),"")</f>
        <v/>
      </c>
      <c r="E335" s="3">
        <f>IF(AND('Data Source'!B335&lt;&gt;"",'Data Source'!S335="F"),IF('Data Source'!W335&gt;=5,"A+",IF('Data Source'!W335&gt;=4,"A",IF('Data Source'!W335&gt;=3.5,"A-",IF('Data Source'!W335&gt;=3,"B",IF('Data Source'!W335&gt;=2,"C",IF('Data Source'!W335&gt;=1,"D","F")))))),"")</f>
        <v/>
      </c>
      <c r="F335" s="3">
        <f>IF(AND('Data Source'!B335&lt;&gt;"",'Data Source'!S335="F"),IF('Data Source'!X335&gt;=5,"A+",IF('Data Source'!X335&gt;=4,"A",IF('Data Source'!X335&gt;=3.5,"A-",IF('Data Source'!X335&gt;=3,"B",IF('Data Source'!X335&gt;=2,"C",IF('Data Source'!X335&gt;=1,"D","F")))))),"")</f>
        <v/>
      </c>
      <c r="G335" s="3">
        <f>IF(AND('Data Source'!B335&lt;&gt;"",'Data Source'!S335="F"),IF('Data Source'!Y335&gt;=5,"A+",IF('Data Source'!Y335&gt;=4,"A",IF('Data Source'!Y335&gt;=3.5,"A-",IF('Data Source'!Y335&gt;=3,"B",IF('Data Source'!Y335&gt;=2,"C",IF('Data Source'!Y335&gt;=1,"D","F")))))),"")</f>
        <v/>
      </c>
      <c r="H335" s="3">
        <f>IF(AND('Data Source'!B335&lt;&gt;"",'Data Source'!S335="F"),IF('Data Source'!Z335&gt;=5,"A+",IF('Data Source'!Z335&gt;=4,"A",IF('Data Source'!Z335&gt;=3.5,"A-",IF('Data Source'!Z335&gt;=3,"B",IF('Data Source'!Z335&gt;=2,"C",IF('Data Source'!Z335&gt;=1,"D","F")))))),"")</f>
        <v/>
      </c>
      <c r="I335" s="3">
        <f>IF(AND('Data Source'!B335&lt;&gt;"",'Data Source'!S335="F"),IF('Data Source'!AA335&gt;=5,"A+",IF('Data Source'!AA335&gt;=4,"A",IF('Data Source'!AA335&gt;=3.5,"A-",IF('Data Source'!AA335&gt;=3,"B",IF('Data Source'!AA335&gt;=2,"C",IF('Data Source'!AA335&gt;=1,"D","F")))))),"")</f>
        <v/>
      </c>
      <c r="J335" s="3">
        <f>IF(AND('Data Source'!B335&lt;&gt;"",'Data Source'!S335="F"),IF('Data Source'!AB335&gt;=5,"A+",IF('Data Source'!AB335&gt;=4,"A",IF('Data Source'!AB335&gt;=3.5,"A-",IF('Data Source'!AB335&gt;=3,"B",IF('Data Source'!AB335&gt;=2,"C",IF('Data Source'!AB335&gt;=1,"D","F")))))),"")</f>
        <v/>
      </c>
      <c r="K335" s="3">
        <f>IF(AND('Data Source'!B335&lt;&gt;"",'Data Source'!S335="F"),IF('Data Source'!AC335&gt;=5,"A+",IF('Data Source'!AC335&gt;=4,"A",IF('Data Source'!AC335&gt;=3.5,"A-",IF('Data Source'!AC335&gt;=3,"B",IF('Data Source'!AC335&gt;=2,"C",IF('Data Source'!AC335&gt;=1,"D","F")))))),"")</f>
        <v/>
      </c>
      <c r="L335" s="3">
        <f>IF(AND('Data Source'!B335&lt;&gt;"",'Data Source'!S335="F"),IF('Data Source'!AD335&gt;=5,"A+",IF('Data Source'!AD335&gt;=4,"A",IF('Data Source'!AD335&gt;=3.5,"A-",IF('Data Source'!AD335&gt;=3,"B",IF('Data Source'!AD335&gt;=2,"C",IF('Data Source'!AD335&gt;=1,"D","F")))))),"")</f>
        <v/>
      </c>
      <c r="M335" s="3">
        <f>IF(AND('Data Source'!B335&lt;&gt;"",'Data Source'!S335="F"),IF('Data Source'!AE335&gt;=5,"A+",IF('Data Source'!AE335&gt;=4,"A",IF('Data Source'!AE335&gt;=3.5,"A-",IF('Data Source'!AE335&gt;=3,"B",IF('Data Source'!AE335&gt;=2,"C",IF('Data Source'!AE335&gt;=1,"D","F")))))),"")</f>
        <v/>
      </c>
      <c r="N335" s="3">
        <f>IF(AND('Data Source'!B335&lt;&gt;"",'Data Source'!S335="F"),IF('Data Source'!AF335&gt;=5,"A+",IF('Data Source'!AF335&gt;=4,"A",IF('Data Source'!AF335&gt;=3.5,"A-",IF('Data Source'!AF335&gt;=3,"B",IF('Data Source'!AF335&gt;=2,"C",IF('Data Source'!AF335&gt;=1,"D","F")))))),"")</f>
        <v/>
      </c>
      <c r="O335" s="3">
        <f>IF(AND('Data Source'!B335&lt;&gt;"",'Data Source'!S335="F"),IF('Data Source'!AG335&gt;=5,"A+",IF('Data Source'!AG335&gt;=4,"A",IF('Data Source'!AG335&gt;=3.5,"A-",IF('Data Source'!AG335&gt;=3,"B",IF('Data Source'!AG335&gt;=2,"C",IF('Data Source'!AG335&gt;=1,"D","F")))))),"")</f>
        <v/>
      </c>
      <c r="P335" s="5">
        <f>IF(AND('Data Source'!B335&lt;&gt;"",'Data Source'!S335="F"),'Data Source'!R335,"")</f>
        <v/>
      </c>
      <c r="Q335" s="3">
        <f>IF(AND('Data Source'!B335&lt;&gt;"",'Data Source'!S335="F"),'Data Source'!S335,"")</f>
        <v/>
      </c>
    </row>
    <row r="336">
      <c r="A336" s="3">
        <f>IF(AND('Data Source'!B336&lt;&gt;"",'Data Source'!S336="F"),COUNTIF('Data Source'!$S$3:S336,"F"),"")</f>
        <v/>
      </c>
      <c r="B336">
        <f>IF(AND('Data Source'!B336&lt;&gt;"",'Data Source'!S336="F"),'Data Source'!B336,"")</f>
        <v/>
      </c>
      <c r="C336" s="3">
        <f>IF(AND('Data Source'!B336&lt;&gt;"",'Data Source'!S336="F"),IF('Data Source'!U336&gt;=5,"A+",IF('Data Source'!U336&gt;=4,"A",IF('Data Source'!U336&gt;=3.5,"A-",IF('Data Source'!U336&gt;=3,"B",IF('Data Source'!U336&gt;=2,"C",IF('Data Source'!U336&gt;=1,"D","F")))))),"")</f>
        <v/>
      </c>
      <c r="D336" s="3">
        <f>IF(AND('Data Source'!B336&lt;&gt;"",'Data Source'!S336="F"),IF('Data Source'!V336&gt;=5,"A+",IF('Data Source'!V336&gt;=4,"A",IF('Data Source'!V336&gt;=3.5,"A-",IF('Data Source'!V336&gt;=3,"B",IF('Data Source'!V336&gt;=2,"C",IF('Data Source'!V336&gt;=1,"D","F")))))),"")</f>
        <v/>
      </c>
      <c r="E336" s="3">
        <f>IF(AND('Data Source'!B336&lt;&gt;"",'Data Source'!S336="F"),IF('Data Source'!W336&gt;=5,"A+",IF('Data Source'!W336&gt;=4,"A",IF('Data Source'!W336&gt;=3.5,"A-",IF('Data Source'!W336&gt;=3,"B",IF('Data Source'!W336&gt;=2,"C",IF('Data Source'!W336&gt;=1,"D","F")))))),"")</f>
        <v/>
      </c>
      <c r="F336" s="3">
        <f>IF(AND('Data Source'!B336&lt;&gt;"",'Data Source'!S336="F"),IF('Data Source'!X336&gt;=5,"A+",IF('Data Source'!X336&gt;=4,"A",IF('Data Source'!X336&gt;=3.5,"A-",IF('Data Source'!X336&gt;=3,"B",IF('Data Source'!X336&gt;=2,"C",IF('Data Source'!X336&gt;=1,"D","F")))))),"")</f>
        <v/>
      </c>
      <c r="G336" s="3">
        <f>IF(AND('Data Source'!B336&lt;&gt;"",'Data Source'!S336="F"),IF('Data Source'!Y336&gt;=5,"A+",IF('Data Source'!Y336&gt;=4,"A",IF('Data Source'!Y336&gt;=3.5,"A-",IF('Data Source'!Y336&gt;=3,"B",IF('Data Source'!Y336&gt;=2,"C",IF('Data Source'!Y336&gt;=1,"D","F")))))),"")</f>
        <v/>
      </c>
      <c r="H336" s="3">
        <f>IF(AND('Data Source'!B336&lt;&gt;"",'Data Source'!S336="F"),IF('Data Source'!Z336&gt;=5,"A+",IF('Data Source'!Z336&gt;=4,"A",IF('Data Source'!Z336&gt;=3.5,"A-",IF('Data Source'!Z336&gt;=3,"B",IF('Data Source'!Z336&gt;=2,"C",IF('Data Source'!Z336&gt;=1,"D","F")))))),"")</f>
        <v/>
      </c>
      <c r="I336" s="3">
        <f>IF(AND('Data Source'!B336&lt;&gt;"",'Data Source'!S336="F"),IF('Data Source'!AA336&gt;=5,"A+",IF('Data Source'!AA336&gt;=4,"A",IF('Data Source'!AA336&gt;=3.5,"A-",IF('Data Source'!AA336&gt;=3,"B",IF('Data Source'!AA336&gt;=2,"C",IF('Data Source'!AA336&gt;=1,"D","F")))))),"")</f>
        <v/>
      </c>
      <c r="J336" s="3">
        <f>IF(AND('Data Source'!B336&lt;&gt;"",'Data Source'!S336="F"),IF('Data Source'!AB336&gt;=5,"A+",IF('Data Source'!AB336&gt;=4,"A",IF('Data Source'!AB336&gt;=3.5,"A-",IF('Data Source'!AB336&gt;=3,"B",IF('Data Source'!AB336&gt;=2,"C",IF('Data Source'!AB336&gt;=1,"D","F")))))),"")</f>
        <v/>
      </c>
      <c r="K336" s="3">
        <f>IF(AND('Data Source'!B336&lt;&gt;"",'Data Source'!S336="F"),IF('Data Source'!AC336&gt;=5,"A+",IF('Data Source'!AC336&gt;=4,"A",IF('Data Source'!AC336&gt;=3.5,"A-",IF('Data Source'!AC336&gt;=3,"B",IF('Data Source'!AC336&gt;=2,"C",IF('Data Source'!AC336&gt;=1,"D","F")))))),"")</f>
        <v/>
      </c>
      <c r="L336" s="3">
        <f>IF(AND('Data Source'!B336&lt;&gt;"",'Data Source'!S336="F"),IF('Data Source'!AD336&gt;=5,"A+",IF('Data Source'!AD336&gt;=4,"A",IF('Data Source'!AD336&gt;=3.5,"A-",IF('Data Source'!AD336&gt;=3,"B",IF('Data Source'!AD336&gt;=2,"C",IF('Data Source'!AD336&gt;=1,"D","F")))))),"")</f>
        <v/>
      </c>
      <c r="M336" s="3">
        <f>IF(AND('Data Source'!B336&lt;&gt;"",'Data Source'!S336="F"),IF('Data Source'!AE336&gt;=5,"A+",IF('Data Source'!AE336&gt;=4,"A",IF('Data Source'!AE336&gt;=3.5,"A-",IF('Data Source'!AE336&gt;=3,"B",IF('Data Source'!AE336&gt;=2,"C",IF('Data Source'!AE336&gt;=1,"D","F")))))),"")</f>
        <v/>
      </c>
      <c r="N336" s="3">
        <f>IF(AND('Data Source'!B336&lt;&gt;"",'Data Source'!S336="F"),IF('Data Source'!AF336&gt;=5,"A+",IF('Data Source'!AF336&gt;=4,"A",IF('Data Source'!AF336&gt;=3.5,"A-",IF('Data Source'!AF336&gt;=3,"B",IF('Data Source'!AF336&gt;=2,"C",IF('Data Source'!AF336&gt;=1,"D","F")))))),"")</f>
        <v/>
      </c>
      <c r="O336" s="3">
        <f>IF(AND('Data Source'!B336&lt;&gt;"",'Data Source'!S336="F"),IF('Data Source'!AG336&gt;=5,"A+",IF('Data Source'!AG336&gt;=4,"A",IF('Data Source'!AG336&gt;=3.5,"A-",IF('Data Source'!AG336&gt;=3,"B",IF('Data Source'!AG336&gt;=2,"C",IF('Data Source'!AG336&gt;=1,"D","F")))))),"")</f>
        <v/>
      </c>
      <c r="P336" s="5">
        <f>IF(AND('Data Source'!B336&lt;&gt;"",'Data Source'!S336="F"),'Data Source'!R336,"")</f>
        <v/>
      </c>
      <c r="Q336" s="3">
        <f>IF(AND('Data Source'!B336&lt;&gt;"",'Data Source'!S336="F"),'Data Source'!S336,"")</f>
        <v/>
      </c>
    </row>
    <row r="337">
      <c r="A337" s="3">
        <f>IF(AND('Data Source'!B337&lt;&gt;"",'Data Source'!S337="F"),COUNTIF('Data Source'!$S$3:S337,"F"),"")</f>
        <v/>
      </c>
      <c r="B337">
        <f>IF(AND('Data Source'!B337&lt;&gt;"",'Data Source'!S337="F"),'Data Source'!B337,"")</f>
        <v/>
      </c>
      <c r="C337" s="3">
        <f>IF(AND('Data Source'!B337&lt;&gt;"",'Data Source'!S337="F"),IF('Data Source'!U337&gt;=5,"A+",IF('Data Source'!U337&gt;=4,"A",IF('Data Source'!U337&gt;=3.5,"A-",IF('Data Source'!U337&gt;=3,"B",IF('Data Source'!U337&gt;=2,"C",IF('Data Source'!U337&gt;=1,"D","F")))))),"")</f>
        <v/>
      </c>
      <c r="D337" s="3">
        <f>IF(AND('Data Source'!B337&lt;&gt;"",'Data Source'!S337="F"),IF('Data Source'!V337&gt;=5,"A+",IF('Data Source'!V337&gt;=4,"A",IF('Data Source'!V337&gt;=3.5,"A-",IF('Data Source'!V337&gt;=3,"B",IF('Data Source'!V337&gt;=2,"C",IF('Data Source'!V337&gt;=1,"D","F")))))),"")</f>
        <v/>
      </c>
      <c r="E337" s="3">
        <f>IF(AND('Data Source'!B337&lt;&gt;"",'Data Source'!S337="F"),IF('Data Source'!W337&gt;=5,"A+",IF('Data Source'!W337&gt;=4,"A",IF('Data Source'!W337&gt;=3.5,"A-",IF('Data Source'!W337&gt;=3,"B",IF('Data Source'!W337&gt;=2,"C",IF('Data Source'!W337&gt;=1,"D","F")))))),"")</f>
        <v/>
      </c>
      <c r="F337" s="3">
        <f>IF(AND('Data Source'!B337&lt;&gt;"",'Data Source'!S337="F"),IF('Data Source'!X337&gt;=5,"A+",IF('Data Source'!X337&gt;=4,"A",IF('Data Source'!X337&gt;=3.5,"A-",IF('Data Source'!X337&gt;=3,"B",IF('Data Source'!X337&gt;=2,"C",IF('Data Source'!X337&gt;=1,"D","F")))))),"")</f>
        <v/>
      </c>
      <c r="G337" s="3">
        <f>IF(AND('Data Source'!B337&lt;&gt;"",'Data Source'!S337="F"),IF('Data Source'!Y337&gt;=5,"A+",IF('Data Source'!Y337&gt;=4,"A",IF('Data Source'!Y337&gt;=3.5,"A-",IF('Data Source'!Y337&gt;=3,"B",IF('Data Source'!Y337&gt;=2,"C",IF('Data Source'!Y337&gt;=1,"D","F")))))),"")</f>
        <v/>
      </c>
      <c r="H337" s="3">
        <f>IF(AND('Data Source'!B337&lt;&gt;"",'Data Source'!S337="F"),IF('Data Source'!Z337&gt;=5,"A+",IF('Data Source'!Z337&gt;=4,"A",IF('Data Source'!Z337&gt;=3.5,"A-",IF('Data Source'!Z337&gt;=3,"B",IF('Data Source'!Z337&gt;=2,"C",IF('Data Source'!Z337&gt;=1,"D","F")))))),"")</f>
        <v/>
      </c>
      <c r="I337" s="3">
        <f>IF(AND('Data Source'!B337&lt;&gt;"",'Data Source'!S337="F"),IF('Data Source'!AA337&gt;=5,"A+",IF('Data Source'!AA337&gt;=4,"A",IF('Data Source'!AA337&gt;=3.5,"A-",IF('Data Source'!AA337&gt;=3,"B",IF('Data Source'!AA337&gt;=2,"C",IF('Data Source'!AA337&gt;=1,"D","F")))))),"")</f>
        <v/>
      </c>
      <c r="J337" s="3">
        <f>IF(AND('Data Source'!B337&lt;&gt;"",'Data Source'!S337="F"),IF('Data Source'!AB337&gt;=5,"A+",IF('Data Source'!AB337&gt;=4,"A",IF('Data Source'!AB337&gt;=3.5,"A-",IF('Data Source'!AB337&gt;=3,"B",IF('Data Source'!AB337&gt;=2,"C",IF('Data Source'!AB337&gt;=1,"D","F")))))),"")</f>
        <v/>
      </c>
      <c r="K337" s="3">
        <f>IF(AND('Data Source'!B337&lt;&gt;"",'Data Source'!S337="F"),IF('Data Source'!AC337&gt;=5,"A+",IF('Data Source'!AC337&gt;=4,"A",IF('Data Source'!AC337&gt;=3.5,"A-",IF('Data Source'!AC337&gt;=3,"B",IF('Data Source'!AC337&gt;=2,"C",IF('Data Source'!AC337&gt;=1,"D","F")))))),"")</f>
        <v/>
      </c>
      <c r="L337" s="3">
        <f>IF(AND('Data Source'!B337&lt;&gt;"",'Data Source'!S337="F"),IF('Data Source'!AD337&gt;=5,"A+",IF('Data Source'!AD337&gt;=4,"A",IF('Data Source'!AD337&gt;=3.5,"A-",IF('Data Source'!AD337&gt;=3,"B",IF('Data Source'!AD337&gt;=2,"C",IF('Data Source'!AD337&gt;=1,"D","F")))))),"")</f>
        <v/>
      </c>
      <c r="M337" s="3">
        <f>IF(AND('Data Source'!B337&lt;&gt;"",'Data Source'!S337="F"),IF('Data Source'!AE337&gt;=5,"A+",IF('Data Source'!AE337&gt;=4,"A",IF('Data Source'!AE337&gt;=3.5,"A-",IF('Data Source'!AE337&gt;=3,"B",IF('Data Source'!AE337&gt;=2,"C",IF('Data Source'!AE337&gt;=1,"D","F")))))),"")</f>
        <v/>
      </c>
      <c r="N337" s="3">
        <f>IF(AND('Data Source'!B337&lt;&gt;"",'Data Source'!S337="F"),IF('Data Source'!AF337&gt;=5,"A+",IF('Data Source'!AF337&gt;=4,"A",IF('Data Source'!AF337&gt;=3.5,"A-",IF('Data Source'!AF337&gt;=3,"B",IF('Data Source'!AF337&gt;=2,"C",IF('Data Source'!AF337&gt;=1,"D","F")))))),"")</f>
        <v/>
      </c>
      <c r="O337" s="3">
        <f>IF(AND('Data Source'!B337&lt;&gt;"",'Data Source'!S337="F"),IF('Data Source'!AG337&gt;=5,"A+",IF('Data Source'!AG337&gt;=4,"A",IF('Data Source'!AG337&gt;=3.5,"A-",IF('Data Source'!AG337&gt;=3,"B",IF('Data Source'!AG337&gt;=2,"C",IF('Data Source'!AG337&gt;=1,"D","F")))))),"")</f>
        <v/>
      </c>
      <c r="P337" s="5">
        <f>IF(AND('Data Source'!B337&lt;&gt;"",'Data Source'!S337="F"),'Data Source'!R337,"")</f>
        <v/>
      </c>
      <c r="Q337" s="3">
        <f>IF(AND('Data Source'!B337&lt;&gt;"",'Data Source'!S337="F"),'Data Source'!S337,"")</f>
        <v/>
      </c>
    </row>
    <row r="338">
      <c r="A338" s="3">
        <f>IF(AND('Data Source'!B338&lt;&gt;"",'Data Source'!S338="F"),COUNTIF('Data Source'!$S$3:S338,"F"),"")</f>
        <v/>
      </c>
      <c r="B338">
        <f>IF(AND('Data Source'!B338&lt;&gt;"",'Data Source'!S338="F"),'Data Source'!B338,"")</f>
        <v/>
      </c>
      <c r="C338" s="3">
        <f>IF(AND('Data Source'!B338&lt;&gt;"",'Data Source'!S338="F"),IF('Data Source'!U338&gt;=5,"A+",IF('Data Source'!U338&gt;=4,"A",IF('Data Source'!U338&gt;=3.5,"A-",IF('Data Source'!U338&gt;=3,"B",IF('Data Source'!U338&gt;=2,"C",IF('Data Source'!U338&gt;=1,"D","F")))))),"")</f>
        <v/>
      </c>
      <c r="D338" s="3">
        <f>IF(AND('Data Source'!B338&lt;&gt;"",'Data Source'!S338="F"),IF('Data Source'!V338&gt;=5,"A+",IF('Data Source'!V338&gt;=4,"A",IF('Data Source'!V338&gt;=3.5,"A-",IF('Data Source'!V338&gt;=3,"B",IF('Data Source'!V338&gt;=2,"C",IF('Data Source'!V338&gt;=1,"D","F")))))),"")</f>
        <v/>
      </c>
      <c r="E338" s="3">
        <f>IF(AND('Data Source'!B338&lt;&gt;"",'Data Source'!S338="F"),IF('Data Source'!W338&gt;=5,"A+",IF('Data Source'!W338&gt;=4,"A",IF('Data Source'!W338&gt;=3.5,"A-",IF('Data Source'!W338&gt;=3,"B",IF('Data Source'!W338&gt;=2,"C",IF('Data Source'!W338&gt;=1,"D","F")))))),"")</f>
        <v/>
      </c>
      <c r="F338" s="3">
        <f>IF(AND('Data Source'!B338&lt;&gt;"",'Data Source'!S338="F"),IF('Data Source'!X338&gt;=5,"A+",IF('Data Source'!X338&gt;=4,"A",IF('Data Source'!X338&gt;=3.5,"A-",IF('Data Source'!X338&gt;=3,"B",IF('Data Source'!X338&gt;=2,"C",IF('Data Source'!X338&gt;=1,"D","F")))))),"")</f>
        <v/>
      </c>
      <c r="G338" s="3">
        <f>IF(AND('Data Source'!B338&lt;&gt;"",'Data Source'!S338="F"),IF('Data Source'!Y338&gt;=5,"A+",IF('Data Source'!Y338&gt;=4,"A",IF('Data Source'!Y338&gt;=3.5,"A-",IF('Data Source'!Y338&gt;=3,"B",IF('Data Source'!Y338&gt;=2,"C",IF('Data Source'!Y338&gt;=1,"D","F")))))),"")</f>
        <v/>
      </c>
      <c r="H338" s="3">
        <f>IF(AND('Data Source'!B338&lt;&gt;"",'Data Source'!S338="F"),IF('Data Source'!Z338&gt;=5,"A+",IF('Data Source'!Z338&gt;=4,"A",IF('Data Source'!Z338&gt;=3.5,"A-",IF('Data Source'!Z338&gt;=3,"B",IF('Data Source'!Z338&gt;=2,"C",IF('Data Source'!Z338&gt;=1,"D","F")))))),"")</f>
        <v/>
      </c>
      <c r="I338" s="3">
        <f>IF(AND('Data Source'!B338&lt;&gt;"",'Data Source'!S338="F"),IF('Data Source'!AA338&gt;=5,"A+",IF('Data Source'!AA338&gt;=4,"A",IF('Data Source'!AA338&gt;=3.5,"A-",IF('Data Source'!AA338&gt;=3,"B",IF('Data Source'!AA338&gt;=2,"C",IF('Data Source'!AA338&gt;=1,"D","F")))))),"")</f>
        <v/>
      </c>
      <c r="J338" s="3">
        <f>IF(AND('Data Source'!B338&lt;&gt;"",'Data Source'!S338="F"),IF('Data Source'!AB338&gt;=5,"A+",IF('Data Source'!AB338&gt;=4,"A",IF('Data Source'!AB338&gt;=3.5,"A-",IF('Data Source'!AB338&gt;=3,"B",IF('Data Source'!AB338&gt;=2,"C",IF('Data Source'!AB338&gt;=1,"D","F")))))),"")</f>
        <v/>
      </c>
      <c r="K338" s="3">
        <f>IF(AND('Data Source'!B338&lt;&gt;"",'Data Source'!S338="F"),IF('Data Source'!AC338&gt;=5,"A+",IF('Data Source'!AC338&gt;=4,"A",IF('Data Source'!AC338&gt;=3.5,"A-",IF('Data Source'!AC338&gt;=3,"B",IF('Data Source'!AC338&gt;=2,"C",IF('Data Source'!AC338&gt;=1,"D","F")))))),"")</f>
        <v/>
      </c>
      <c r="L338" s="3">
        <f>IF(AND('Data Source'!B338&lt;&gt;"",'Data Source'!S338="F"),IF('Data Source'!AD338&gt;=5,"A+",IF('Data Source'!AD338&gt;=4,"A",IF('Data Source'!AD338&gt;=3.5,"A-",IF('Data Source'!AD338&gt;=3,"B",IF('Data Source'!AD338&gt;=2,"C",IF('Data Source'!AD338&gt;=1,"D","F")))))),"")</f>
        <v/>
      </c>
      <c r="M338" s="3">
        <f>IF(AND('Data Source'!B338&lt;&gt;"",'Data Source'!S338="F"),IF('Data Source'!AE338&gt;=5,"A+",IF('Data Source'!AE338&gt;=4,"A",IF('Data Source'!AE338&gt;=3.5,"A-",IF('Data Source'!AE338&gt;=3,"B",IF('Data Source'!AE338&gt;=2,"C",IF('Data Source'!AE338&gt;=1,"D","F")))))),"")</f>
        <v/>
      </c>
      <c r="N338" s="3">
        <f>IF(AND('Data Source'!B338&lt;&gt;"",'Data Source'!S338="F"),IF('Data Source'!AF338&gt;=5,"A+",IF('Data Source'!AF338&gt;=4,"A",IF('Data Source'!AF338&gt;=3.5,"A-",IF('Data Source'!AF338&gt;=3,"B",IF('Data Source'!AF338&gt;=2,"C",IF('Data Source'!AF338&gt;=1,"D","F")))))),"")</f>
        <v/>
      </c>
      <c r="O338" s="3">
        <f>IF(AND('Data Source'!B338&lt;&gt;"",'Data Source'!S338="F"),IF('Data Source'!AG338&gt;=5,"A+",IF('Data Source'!AG338&gt;=4,"A",IF('Data Source'!AG338&gt;=3.5,"A-",IF('Data Source'!AG338&gt;=3,"B",IF('Data Source'!AG338&gt;=2,"C",IF('Data Source'!AG338&gt;=1,"D","F")))))),"")</f>
        <v/>
      </c>
      <c r="P338" s="5">
        <f>IF(AND('Data Source'!B338&lt;&gt;"",'Data Source'!S338="F"),'Data Source'!R338,"")</f>
        <v/>
      </c>
      <c r="Q338" s="3">
        <f>IF(AND('Data Source'!B338&lt;&gt;"",'Data Source'!S338="F"),'Data Source'!S338,"")</f>
        <v/>
      </c>
    </row>
    <row r="339">
      <c r="A339" s="3">
        <f>IF(AND('Data Source'!B339&lt;&gt;"",'Data Source'!S339="F"),COUNTIF('Data Source'!$S$3:S339,"F"),"")</f>
        <v/>
      </c>
      <c r="B339">
        <f>IF(AND('Data Source'!B339&lt;&gt;"",'Data Source'!S339="F"),'Data Source'!B339,"")</f>
        <v/>
      </c>
      <c r="C339" s="3">
        <f>IF(AND('Data Source'!B339&lt;&gt;"",'Data Source'!S339="F"),IF('Data Source'!U339&gt;=5,"A+",IF('Data Source'!U339&gt;=4,"A",IF('Data Source'!U339&gt;=3.5,"A-",IF('Data Source'!U339&gt;=3,"B",IF('Data Source'!U339&gt;=2,"C",IF('Data Source'!U339&gt;=1,"D","F")))))),"")</f>
        <v/>
      </c>
      <c r="D339" s="3">
        <f>IF(AND('Data Source'!B339&lt;&gt;"",'Data Source'!S339="F"),IF('Data Source'!V339&gt;=5,"A+",IF('Data Source'!V339&gt;=4,"A",IF('Data Source'!V339&gt;=3.5,"A-",IF('Data Source'!V339&gt;=3,"B",IF('Data Source'!V339&gt;=2,"C",IF('Data Source'!V339&gt;=1,"D","F")))))),"")</f>
        <v/>
      </c>
      <c r="E339" s="3">
        <f>IF(AND('Data Source'!B339&lt;&gt;"",'Data Source'!S339="F"),IF('Data Source'!W339&gt;=5,"A+",IF('Data Source'!W339&gt;=4,"A",IF('Data Source'!W339&gt;=3.5,"A-",IF('Data Source'!W339&gt;=3,"B",IF('Data Source'!W339&gt;=2,"C",IF('Data Source'!W339&gt;=1,"D","F")))))),"")</f>
        <v/>
      </c>
      <c r="F339" s="3">
        <f>IF(AND('Data Source'!B339&lt;&gt;"",'Data Source'!S339="F"),IF('Data Source'!X339&gt;=5,"A+",IF('Data Source'!X339&gt;=4,"A",IF('Data Source'!X339&gt;=3.5,"A-",IF('Data Source'!X339&gt;=3,"B",IF('Data Source'!X339&gt;=2,"C",IF('Data Source'!X339&gt;=1,"D","F")))))),"")</f>
        <v/>
      </c>
      <c r="G339" s="3">
        <f>IF(AND('Data Source'!B339&lt;&gt;"",'Data Source'!S339="F"),IF('Data Source'!Y339&gt;=5,"A+",IF('Data Source'!Y339&gt;=4,"A",IF('Data Source'!Y339&gt;=3.5,"A-",IF('Data Source'!Y339&gt;=3,"B",IF('Data Source'!Y339&gt;=2,"C",IF('Data Source'!Y339&gt;=1,"D","F")))))),"")</f>
        <v/>
      </c>
      <c r="H339" s="3">
        <f>IF(AND('Data Source'!B339&lt;&gt;"",'Data Source'!S339="F"),IF('Data Source'!Z339&gt;=5,"A+",IF('Data Source'!Z339&gt;=4,"A",IF('Data Source'!Z339&gt;=3.5,"A-",IF('Data Source'!Z339&gt;=3,"B",IF('Data Source'!Z339&gt;=2,"C",IF('Data Source'!Z339&gt;=1,"D","F")))))),"")</f>
        <v/>
      </c>
      <c r="I339" s="3">
        <f>IF(AND('Data Source'!B339&lt;&gt;"",'Data Source'!S339="F"),IF('Data Source'!AA339&gt;=5,"A+",IF('Data Source'!AA339&gt;=4,"A",IF('Data Source'!AA339&gt;=3.5,"A-",IF('Data Source'!AA339&gt;=3,"B",IF('Data Source'!AA339&gt;=2,"C",IF('Data Source'!AA339&gt;=1,"D","F")))))),"")</f>
        <v/>
      </c>
      <c r="J339" s="3">
        <f>IF(AND('Data Source'!B339&lt;&gt;"",'Data Source'!S339="F"),IF('Data Source'!AB339&gt;=5,"A+",IF('Data Source'!AB339&gt;=4,"A",IF('Data Source'!AB339&gt;=3.5,"A-",IF('Data Source'!AB339&gt;=3,"B",IF('Data Source'!AB339&gt;=2,"C",IF('Data Source'!AB339&gt;=1,"D","F")))))),"")</f>
        <v/>
      </c>
      <c r="K339" s="3">
        <f>IF(AND('Data Source'!B339&lt;&gt;"",'Data Source'!S339="F"),IF('Data Source'!AC339&gt;=5,"A+",IF('Data Source'!AC339&gt;=4,"A",IF('Data Source'!AC339&gt;=3.5,"A-",IF('Data Source'!AC339&gt;=3,"B",IF('Data Source'!AC339&gt;=2,"C",IF('Data Source'!AC339&gt;=1,"D","F")))))),"")</f>
        <v/>
      </c>
      <c r="L339" s="3">
        <f>IF(AND('Data Source'!B339&lt;&gt;"",'Data Source'!S339="F"),IF('Data Source'!AD339&gt;=5,"A+",IF('Data Source'!AD339&gt;=4,"A",IF('Data Source'!AD339&gt;=3.5,"A-",IF('Data Source'!AD339&gt;=3,"B",IF('Data Source'!AD339&gt;=2,"C",IF('Data Source'!AD339&gt;=1,"D","F")))))),"")</f>
        <v/>
      </c>
      <c r="M339" s="3">
        <f>IF(AND('Data Source'!B339&lt;&gt;"",'Data Source'!S339="F"),IF('Data Source'!AE339&gt;=5,"A+",IF('Data Source'!AE339&gt;=4,"A",IF('Data Source'!AE339&gt;=3.5,"A-",IF('Data Source'!AE339&gt;=3,"B",IF('Data Source'!AE339&gt;=2,"C",IF('Data Source'!AE339&gt;=1,"D","F")))))),"")</f>
        <v/>
      </c>
      <c r="N339" s="3">
        <f>IF(AND('Data Source'!B339&lt;&gt;"",'Data Source'!S339="F"),IF('Data Source'!AF339&gt;=5,"A+",IF('Data Source'!AF339&gt;=4,"A",IF('Data Source'!AF339&gt;=3.5,"A-",IF('Data Source'!AF339&gt;=3,"B",IF('Data Source'!AF339&gt;=2,"C",IF('Data Source'!AF339&gt;=1,"D","F")))))),"")</f>
        <v/>
      </c>
      <c r="O339" s="3">
        <f>IF(AND('Data Source'!B339&lt;&gt;"",'Data Source'!S339="F"),IF('Data Source'!AG339&gt;=5,"A+",IF('Data Source'!AG339&gt;=4,"A",IF('Data Source'!AG339&gt;=3.5,"A-",IF('Data Source'!AG339&gt;=3,"B",IF('Data Source'!AG339&gt;=2,"C",IF('Data Source'!AG339&gt;=1,"D","F")))))),"")</f>
        <v/>
      </c>
      <c r="P339" s="5">
        <f>IF(AND('Data Source'!B339&lt;&gt;"",'Data Source'!S339="F"),'Data Source'!R339,"")</f>
        <v/>
      </c>
      <c r="Q339" s="3">
        <f>IF(AND('Data Source'!B339&lt;&gt;"",'Data Source'!S339="F"),'Data Source'!S339,"")</f>
        <v/>
      </c>
    </row>
    <row r="340">
      <c r="A340" s="3">
        <f>IF(AND('Data Source'!B340&lt;&gt;"",'Data Source'!S340="F"),COUNTIF('Data Source'!$S$3:S340,"F"),"")</f>
        <v/>
      </c>
      <c r="B340">
        <f>IF(AND('Data Source'!B340&lt;&gt;"",'Data Source'!S340="F"),'Data Source'!B340,"")</f>
        <v/>
      </c>
      <c r="C340" s="3">
        <f>IF(AND('Data Source'!B340&lt;&gt;"",'Data Source'!S340="F"),IF('Data Source'!U340&gt;=5,"A+",IF('Data Source'!U340&gt;=4,"A",IF('Data Source'!U340&gt;=3.5,"A-",IF('Data Source'!U340&gt;=3,"B",IF('Data Source'!U340&gt;=2,"C",IF('Data Source'!U340&gt;=1,"D","F")))))),"")</f>
        <v/>
      </c>
      <c r="D340" s="3">
        <f>IF(AND('Data Source'!B340&lt;&gt;"",'Data Source'!S340="F"),IF('Data Source'!V340&gt;=5,"A+",IF('Data Source'!V340&gt;=4,"A",IF('Data Source'!V340&gt;=3.5,"A-",IF('Data Source'!V340&gt;=3,"B",IF('Data Source'!V340&gt;=2,"C",IF('Data Source'!V340&gt;=1,"D","F")))))),"")</f>
        <v/>
      </c>
      <c r="E340" s="3">
        <f>IF(AND('Data Source'!B340&lt;&gt;"",'Data Source'!S340="F"),IF('Data Source'!W340&gt;=5,"A+",IF('Data Source'!W340&gt;=4,"A",IF('Data Source'!W340&gt;=3.5,"A-",IF('Data Source'!W340&gt;=3,"B",IF('Data Source'!W340&gt;=2,"C",IF('Data Source'!W340&gt;=1,"D","F")))))),"")</f>
        <v/>
      </c>
      <c r="F340" s="3">
        <f>IF(AND('Data Source'!B340&lt;&gt;"",'Data Source'!S340="F"),IF('Data Source'!X340&gt;=5,"A+",IF('Data Source'!X340&gt;=4,"A",IF('Data Source'!X340&gt;=3.5,"A-",IF('Data Source'!X340&gt;=3,"B",IF('Data Source'!X340&gt;=2,"C",IF('Data Source'!X340&gt;=1,"D","F")))))),"")</f>
        <v/>
      </c>
      <c r="G340" s="3">
        <f>IF(AND('Data Source'!B340&lt;&gt;"",'Data Source'!S340="F"),IF('Data Source'!Y340&gt;=5,"A+",IF('Data Source'!Y340&gt;=4,"A",IF('Data Source'!Y340&gt;=3.5,"A-",IF('Data Source'!Y340&gt;=3,"B",IF('Data Source'!Y340&gt;=2,"C",IF('Data Source'!Y340&gt;=1,"D","F")))))),"")</f>
        <v/>
      </c>
      <c r="H340" s="3">
        <f>IF(AND('Data Source'!B340&lt;&gt;"",'Data Source'!S340="F"),IF('Data Source'!Z340&gt;=5,"A+",IF('Data Source'!Z340&gt;=4,"A",IF('Data Source'!Z340&gt;=3.5,"A-",IF('Data Source'!Z340&gt;=3,"B",IF('Data Source'!Z340&gt;=2,"C",IF('Data Source'!Z340&gt;=1,"D","F")))))),"")</f>
        <v/>
      </c>
      <c r="I340" s="3">
        <f>IF(AND('Data Source'!B340&lt;&gt;"",'Data Source'!S340="F"),IF('Data Source'!AA340&gt;=5,"A+",IF('Data Source'!AA340&gt;=4,"A",IF('Data Source'!AA340&gt;=3.5,"A-",IF('Data Source'!AA340&gt;=3,"B",IF('Data Source'!AA340&gt;=2,"C",IF('Data Source'!AA340&gt;=1,"D","F")))))),"")</f>
        <v/>
      </c>
      <c r="J340" s="3">
        <f>IF(AND('Data Source'!B340&lt;&gt;"",'Data Source'!S340="F"),IF('Data Source'!AB340&gt;=5,"A+",IF('Data Source'!AB340&gt;=4,"A",IF('Data Source'!AB340&gt;=3.5,"A-",IF('Data Source'!AB340&gt;=3,"B",IF('Data Source'!AB340&gt;=2,"C",IF('Data Source'!AB340&gt;=1,"D","F")))))),"")</f>
        <v/>
      </c>
      <c r="K340" s="3">
        <f>IF(AND('Data Source'!B340&lt;&gt;"",'Data Source'!S340="F"),IF('Data Source'!AC340&gt;=5,"A+",IF('Data Source'!AC340&gt;=4,"A",IF('Data Source'!AC340&gt;=3.5,"A-",IF('Data Source'!AC340&gt;=3,"B",IF('Data Source'!AC340&gt;=2,"C",IF('Data Source'!AC340&gt;=1,"D","F")))))),"")</f>
        <v/>
      </c>
      <c r="L340" s="3">
        <f>IF(AND('Data Source'!B340&lt;&gt;"",'Data Source'!S340="F"),IF('Data Source'!AD340&gt;=5,"A+",IF('Data Source'!AD340&gt;=4,"A",IF('Data Source'!AD340&gt;=3.5,"A-",IF('Data Source'!AD340&gt;=3,"B",IF('Data Source'!AD340&gt;=2,"C",IF('Data Source'!AD340&gt;=1,"D","F")))))),"")</f>
        <v/>
      </c>
      <c r="M340" s="3">
        <f>IF(AND('Data Source'!B340&lt;&gt;"",'Data Source'!S340="F"),IF('Data Source'!AE340&gt;=5,"A+",IF('Data Source'!AE340&gt;=4,"A",IF('Data Source'!AE340&gt;=3.5,"A-",IF('Data Source'!AE340&gt;=3,"B",IF('Data Source'!AE340&gt;=2,"C",IF('Data Source'!AE340&gt;=1,"D","F")))))),"")</f>
        <v/>
      </c>
      <c r="N340" s="3">
        <f>IF(AND('Data Source'!B340&lt;&gt;"",'Data Source'!S340="F"),IF('Data Source'!AF340&gt;=5,"A+",IF('Data Source'!AF340&gt;=4,"A",IF('Data Source'!AF340&gt;=3.5,"A-",IF('Data Source'!AF340&gt;=3,"B",IF('Data Source'!AF340&gt;=2,"C",IF('Data Source'!AF340&gt;=1,"D","F")))))),"")</f>
        <v/>
      </c>
      <c r="O340" s="3">
        <f>IF(AND('Data Source'!B340&lt;&gt;"",'Data Source'!S340="F"),IF('Data Source'!AG340&gt;=5,"A+",IF('Data Source'!AG340&gt;=4,"A",IF('Data Source'!AG340&gt;=3.5,"A-",IF('Data Source'!AG340&gt;=3,"B",IF('Data Source'!AG340&gt;=2,"C",IF('Data Source'!AG340&gt;=1,"D","F")))))),"")</f>
        <v/>
      </c>
      <c r="P340" s="5">
        <f>IF(AND('Data Source'!B340&lt;&gt;"",'Data Source'!S340="F"),'Data Source'!R340,"")</f>
        <v/>
      </c>
      <c r="Q340" s="3">
        <f>IF(AND('Data Source'!B340&lt;&gt;"",'Data Source'!S340="F"),'Data Source'!S340,"")</f>
        <v/>
      </c>
    </row>
    <row r="341">
      <c r="A341" s="3">
        <f>IF(AND('Data Source'!B341&lt;&gt;"",'Data Source'!S341="F"),COUNTIF('Data Source'!$S$3:S341,"F"),"")</f>
        <v/>
      </c>
      <c r="B341">
        <f>IF(AND('Data Source'!B341&lt;&gt;"",'Data Source'!S341="F"),'Data Source'!B341,"")</f>
        <v/>
      </c>
      <c r="C341" s="3">
        <f>IF(AND('Data Source'!B341&lt;&gt;"",'Data Source'!S341="F"),IF('Data Source'!U341&gt;=5,"A+",IF('Data Source'!U341&gt;=4,"A",IF('Data Source'!U341&gt;=3.5,"A-",IF('Data Source'!U341&gt;=3,"B",IF('Data Source'!U341&gt;=2,"C",IF('Data Source'!U341&gt;=1,"D","F")))))),"")</f>
        <v/>
      </c>
      <c r="D341" s="3">
        <f>IF(AND('Data Source'!B341&lt;&gt;"",'Data Source'!S341="F"),IF('Data Source'!V341&gt;=5,"A+",IF('Data Source'!V341&gt;=4,"A",IF('Data Source'!V341&gt;=3.5,"A-",IF('Data Source'!V341&gt;=3,"B",IF('Data Source'!V341&gt;=2,"C",IF('Data Source'!V341&gt;=1,"D","F")))))),"")</f>
        <v/>
      </c>
      <c r="E341" s="3">
        <f>IF(AND('Data Source'!B341&lt;&gt;"",'Data Source'!S341="F"),IF('Data Source'!W341&gt;=5,"A+",IF('Data Source'!W341&gt;=4,"A",IF('Data Source'!W341&gt;=3.5,"A-",IF('Data Source'!W341&gt;=3,"B",IF('Data Source'!W341&gt;=2,"C",IF('Data Source'!W341&gt;=1,"D","F")))))),"")</f>
        <v/>
      </c>
      <c r="F341" s="3">
        <f>IF(AND('Data Source'!B341&lt;&gt;"",'Data Source'!S341="F"),IF('Data Source'!X341&gt;=5,"A+",IF('Data Source'!X341&gt;=4,"A",IF('Data Source'!X341&gt;=3.5,"A-",IF('Data Source'!X341&gt;=3,"B",IF('Data Source'!X341&gt;=2,"C",IF('Data Source'!X341&gt;=1,"D","F")))))),"")</f>
        <v/>
      </c>
      <c r="G341" s="3">
        <f>IF(AND('Data Source'!B341&lt;&gt;"",'Data Source'!S341="F"),IF('Data Source'!Y341&gt;=5,"A+",IF('Data Source'!Y341&gt;=4,"A",IF('Data Source'!Y341&gt;=3.5,"A-",IF('Data Source'!Y341&gt;=3,"B",IF('Data Source'!Y341&gt;=2,"C",IF('Data Source'!Y341&gt;=1,"D","F")))))),"")</f>
        <v/>
      </c>
      <c r="H341" s="3">
        <f>IF(AND('Data Source'!B341&lt;&gt;"",'Data Source'!S341="F"),IF('Data Source'!Z341&gt;=5,"A+",IF('Data Source'!Z341&gt;=4,"A",IF('Data Source'!Z341&gt;=3.5,"A-",IF('Data Source'!Z341&gt;=3,"B",IF('Data Source'!Z341&gt;=2,"C",IF('Data Source'!Z341&gt;=1,"D","F")))))),"")</f>
        <v/>
      </c>
      <c r="I341" s="3">
        <f>IF(AND('Data Source'!B341&lt;&gt;"",'Data Source'!S341="F"),IF('Data Source'!AA341&gt;=5,"A+",IF('Data Source'!AA341&gt;=4,"A",IF('Data Source'!AA341&gt;=3.5,"A-",IF('Data Source'!AA341&gt;=3,"B",IF('Data Source'!AA341&gt;=2,"C",IF('Data Source'!AA341&gt;=1,"D","F")))))),"")</f>
        <v/>
      </c>
      <c r="J341" s="3">
        <f>IF(AND('Data Source'!B341&lt;&gt;"",'Data Source'!S341="F"),IF('Data Source'!AB341&gt;=5,"A+",IF('Data Source'!AB341&gt;=4,"A",IF('Data Source'!AB341&gt;=3.5,"A-",IF('Data Source'!AB341&gt;=3,"B",IF('Data Source'!AB341&gt;=2,"C",IF('Data Source'!AB341&gt;=1,"D","F")))))),"")</f>
        <v/>
      </c>
      <c r="K341" s="3">
        <f>IF(AND('Data Source'!B341&lt;&gt;"",'Data Source'!S341="F"),IF('Data Source'!AC341&gt;=5,"A+",IF('Data Source'!AC341&gt;=4,"A",IF('Data Source'!AC341&gt;=3.5,"A-",IF('Data Source'!AC341&gt;=3,"B",IF('Data Source'!AC341&gt;=2,"C",IF('Data Source'!AC341&gt;=1,"D","F")))))),"")</f>
        <v/>
      </c>
      <c r="L341" s="3">
        <f>IF(AND('Data Source'!B341&lt;&gt;"",'Data Source'!S341="F"),IF('Data Source'!AD341&gt;=5,"A+",IF('Data Source'!AD341&gt;=4,"A",IF('Data Source'!AD341&gt;=3.5,"A-",IF('Data Source'!AD341&gt;=3,"B",IF('Data Source'!AD341&gt;=2,"C",IF('Data Source'!AD341&gt;=1,"D","F")))))),"")</f>
        <v/>
      </c>
      <c r="M341" s="3">
        <f>IF(AND('Data Source'!B341&lt;&gt;"",'Data Source'!S341="F"),IF('Data Source'!AE341&gt;=5,"A+",IF('Data Source'!AE341&gt;=4,"A",IF('Data Source'!AE341&gt;=3.5,"A-",IF('Data Source'!AE341&gt;=3,"B",IF('Data Source'!AE341&gt;=2,"C",IF('Data Source'!AE341&gt;=1,"D","F")))))),"")</f>
        <v/>
      </c>
      <c r="N341" s="3">
        <f>IF(AND('Data Source'!B341&lt;&gt;"",'Data Source'!S341="F"),IF('Data Source'!AF341&gt;=5,"A+",IF('Data Source'!AF341&gt;=4,"A",IF('Data Source'!AF341&gt;=3.5,"A-",IF('Data Source'!AF341&gt;=3,"B",IF('Data Source'!AF341&gt;=2,"C",IF('Data Source'!AF341&gt;=1,"D","F")))))),"")</f>
        <v/>
      </c>
      <c r="O341" s="3">
        <f>IF(AND('Data Source'!B341&lt;&gt;"",'Data Source'!S341="F"),IF('Data Source'!AG341&gt;=5,"A+",IF('Data Source'!AG341&gt;=4,"A",IF('Data Source'!AG341&gt;=3.5,"A-",IF('Data Source'!AG341&gt;=3,"B",IF('Data Source'!AG341&gt;=2,"C",IF('Data Source'!AG341&gt;=1,"D","F")))))),"")</f>
        <v/>
      </c>
      <c r="P341" s="5">
        <f>IF(AND('Data Source'!B341&lt;&gt;"",'Data Source'!S341="F"),'Data Source'!R341,"")</f>
        <v/>
      </c>
      <c r="Q341" s="3">
        <f>IF(AND('Data Source'!B341&lt;&gt;"",'Data Source'!S341="F"),'Data Source'!S341,"")</f>
        <v/>
      </c>
    </row>
    <row r="342">
      <c r="A342" s="3">
        <f>IF(AND('Data Source'!B342&lt;&gt;"",'Data Source'!S342="F"),COUNTIF('Data Source'!$S$3:S342,"F"),"")</f>
        <v/>
      </c>
      <c r="B342">
        <f>IF(AND('Data Source'!B342&lt;&gt;"",'Data Source'!S342="F"),'Data Source'!B342,"")</f>
        <v/>
      </c>
      <c r="C342" s="3">
        <f>IF(AND('Data Source'!B342&lt;&gt;"",'Data Source'!S342="F"),IF('Data Source'!U342&gt;=5,"A+",IF('Data Source'!U342&gt;=4,"A",IF('Data Source'!U342&gt;=3.5,"A-",IF('Data Source'!U342&gt;=3,"B",IF('Data Source'!U342&gt;=2,"C",IF('Data Source'!U342&gt;=1,"D","F")))))),"")</f>
        <v/>
      </c>
      <c r="D342" s="3">
        <f>IF(AND('Data Source'!B342&lt;&gt;"",'Data Source'!S342="F"),IF('Data Source'!V342&gt;=5,"A+",IF('Data Source'!V342&gt;=4,"A",IF('Data Source'!V342&gt;=3.5,"A-",IF('Data Source'!V342&gt;=3,"B",IF('Data Source'!V342&gt;=2,"C",IF('Data Source'!V342&gt;=1,"D","F")))))),"")</f>
        <v/>
      </c>
      <c r="E342" s="3">
        <f>IF(AND('Data Source'!B342&lt;&gt;"",'Data Source'!S342="F"),IF('Data Source'!W342&gt;=5,"A+",IF('Data Source'!W342&gt;=4,"A",IF('Data Source'!W342&gt;=3.5,"A-",IF('Data Source'!W342&gt;=3,"B",IF('Data Source'!W342&gt;=2,"C",IF('Data Source'!W342&gt;=1,"D","F")))))),"")</f>
        <v/>
      </c>
      <c r="F342" s="3">
        <f>IF(AND('Data Source'!B342&lt;&gt;"",'Data Source'!S342="F"),IF('Data Source'!X342&gt;=5,"A+",IF('Data Source'!X342&gt;=4,"A",IF('Data Source'!X342&gt;=3.5,"A-",IF('Data Source'!X342&gt;=3,"B",IF('Data Source'!X342&gt;=2,"C",IF('Data Source'!X342&gt;=1,"D","F")))))),"")</f>
        <v/>
      </c>
      <c r="G342" s="3">
        <f>IF(AND('Data Source'!B342&lt;&gt;"",'Data Source'!S342="F"),IF('Data Source'!Y342&gt;=5,"A+",IF('Data Source'!Y342&gt;=4,"A",IF('Data Source'!Y342&gt;=3.5,"A-",IF('Data Source'!Y342&gt;=3,"B",IF('Data Source'!Y342&gt;=2,"C",IF('Data Source'!Y342&gt;=1,"D","F")))))),"")</f>
        <v/>
      </c>
      <c r="H342" s="3">
        <f>IF(AND('Data Source'!B342&lt;&gt;"",'Data Source'!S342="F"),IF('Data Source'!Z342&gt;=5,"A+",IF('Data Source'!Z342&gt;=4,"A",IF('Data Source'!Z342&gt;=3.5,"A-",IF('Data Source'!Z342&gt;=3,"B",IF('Data Source'!Z342&gt;=2,"C",IF('Data Source'!Z342&gt;=1,"D","F")))))),"")</f>
        <v/>
      </c>
      <c r="I342" s="3">
        <f>IF(AND('Data Source'!B342&lt;&gt;"",'Data Source'!S342="F"),IF('Data Source'!AA342&gt;=5,"A+",IF('Data Source'!AA342&gt;=4,"A",IF('Data Source'!AA342&gt;=3.5,"A-",IF('Data Source'!AA342&gt;=3,"B",IF('Data Source'!AA342&gt;=2,"C",IF('Data Source'!AA342&gt;=1,"D","F")))))),"")</f>
        <v/>
      </c>
      <c r="J342" s="3">
        <f>IF(AND('Data Source'!B342&lt;&gt;"",'Data Source'!S342="F"),IF('Data Source'!AB342&gt;=5,"A+",IF('Data Source'!AB342&gt;=4,"A",IF('Data Source'!AB342&gt;=3.5,"A-",IF('Data Source'!AB342&gt;=3,"B",IF('Data Source'!AB342&gt;=2,"C",IF('Data Source'!AB342&gt;=1,"D","F")))))),"")</f>
        <v/>
      </c>
      <c r="K342" s="3">
        <f>IF(AND('Data Source'!B342&lt;&gt;"",'Data Source'!S342="F"),IF('Data Source'!AC342&gt;=5,"A+",IF('Data Source'!AC342&gt;=4,"A",IF('Data Source'!AC342&gt;=3.5,"A-",IF('Data Source'!AC342&gt;=3,"B",IF('Data Source'!AC342&gt;=2,"C",IF('Data Source'!AC342&gt;=1,"D","F")))))),"")</f>
        <v/>
      </c>
      <c r="L342" s="3">
        <f>IF(AND('Data Source'!B342&lt;&gt;"",'Data Source'!S342="F"),IF('Data Source'!AD342&gt;=5,"A+",IF('Data Source'!AD342&gt;=4,"A",IF('Data Source'!AD342&gt;=3.5,"A-",IF('Data Source'!AD342&gt;=3,"B",IF('Data Source'!AD342&gt;=2,"C",IF('Data Source'!AD342&gt;=1,"D","F")))))),"")</f>
        <v/>
      </c>
      <c r="M342" s="3">
        <f>IF(AND('Data Source'!B342&lt;&gt;"",'Data Source'!S342="F"),IF('Data Source'!AE342&gt;=5,"A+",IF('Data Source'!AE342&gt;=4,"A",IF('Data Source'!AE342&gt;=3.5,"A-",IF('Data Source'!AE342&gt;=3,"B",IF('Data Source'!AE342&gt;=2,"C",IF('Data Source'!AE342&gt;=1,"D","F")))))),"")</f>
        <v/>
      </c>
      <c r="N342" s="3">
        <f>IF(AND('Data Source'!B342&lt;&gt;"",'Data Source'!S342="F"),IF('Data Source'!AF342&gt;=5,"A+",IF('Data Source'!AF342&gt;=4,"A",IF('Data Source'!AF342&gt;=3.5,"A-",IF('Data Source'!AF342&gt;=3,"B",IF('Data Source'!AF342&gt;=2,"C",IF('Data Source'!AF342&gt;=1,"D","F")))))),"")</f>
        <v/>
      </c>
      <c r="O342" s="3">
        <f>IF(AND('Data Source'!B342&lt;&gt;"",'Data Source'!S342="F"),IF('Data Source'!AG342&gt;=5,"A+",IF('Data Source'!AG342&gt;=4,"A",IF('Data Source'!AG342&gt;=3.5,"A-",IF('Data Source'!AG342&gt;=3,"B",IF('Data Source'!AG342&gt;=2,"C",IF('Data Source'!AG342&gt;=1,"D","F")))))),"")</f>
        <v/>
      </c>
      <c r="P342" s="5">
        <f>IF(AND('Data Source'!B342&lt;&gt;"",'Data Source'!S342="F"),'Data Source'!R342,"")</f>
        <v/>
      </c>
      <c r="Q342" s="3">
        <f>IF(AND('Data Source'!B342&lt;&gt;"",'Data Source'!S342="F"),'Data Source'!S342,"")</f>
        <v/>
      </c>
    </row>
    <row r="343">
      <c r="A343" s="3">
        <f>IF(AND('Data Source'!B343&lt;&gt;"",'Data Source'!S343="F"),COUNTIF('Data Source'!$S$3:S343,"F"),"")</f>
        <v/>
      </c>
      <c r="B343">
        <f>IF(AND('Data Source'!B343&lt;&gt;"",'Data Source'!S343="F"),'Data Source'!B343,"")</f>
        <v/>
      </c>
      <c r="C343" s="3">
        <f>IF(AND('Data Source'!B343&lt;&gt;"",'Data Source'!S343="F"),IF('Data Source'!U343&gt;=5,"A+",IF('Data Source'!U343&gt;=4,"A",IF('Data Source'!U343&gt;=3.5,"A-",IF('Data Source'!U343&gt;=3,"B",IF('Data Source'!U343&gt;=2,"C",IF('Data Source'!U343&gt;=1,"D","F")))))),"")</f>
        <v/>
      </c>
      <c r="D343" s="3">
        <f>IF(AND('Data Source'!B343&lt;&gt;"",'Data Source'!S343="F"),IF('Data Source'!V343&gt;=5,"A+",IF('Data Source'!V343&gt;=4,"A",IF('Data Source'!V343&gt;=3.5,"A-",IF('Data Source'!V343&gt;=3,"B",IF('Data Source'!V343&gt;=2,"C",IF('Data Source'!V343&gt;=1,"D","F")))))),"")</f>
        <v/>
      </c>
      <c r="E343" s="3">
        <f>IF(AND('Data Source'!B343&lt;&gt;"",'Data Source'!S343="F"),IF('Data Source'!W343&gt;=5,"A+",IF('Data Source'!W343&gt;=4,"A",IF('Data Source'!W343&gt;=3.5,"A-",IF('Data Source'!W343&gt;=3,"B",IF('Data Source'!W343&gt;=2,"C",IF('Data Source'!W343&gt;=1,"D","F")))))),"")</f>
        <v/>
      </c>
      <c r="F343" s="3">
        <f>IF(AND('Data Source'!B343&lt;&gt;"",'Data Source'!S343="F"),IF('Data Source'!X343&gt;=5,"A+",IF('Data Source'!X343&gt;=4,"A",IF('Data Source'!X343&gt;=3.5,"A-",IF('Data Source'!X343&gt;=3,"B",IF('Data Source'!X343&gt;=2,"C",IF('Data Source'!X343&gt;=1,"D","F")))))),"")</f>
        <v/>
      </c>
      <c r="G343" s="3">
        <f>IF(AND('Data Source'!B343&lt;&gt;"",'Data Source'!S343="F"),IF('Data Source'!Y343&gt;=5,"A+",IF('Data Source'!Y343&gt;=4,"A",IF('Data Source'!Y343&gt;=3.5,"A-",IF('Data Source'!Y343&gt;=3,"B",IF('Data Source'!Y343&gt;=2,"C",IF('Data Source'!Y343&gt;=1,"D","F")))))),"")</f>
        <v/>
      </c>
      <c r="H343" s="3">
        <f>IF(AND('Data Source'!B343&lt;&gt;"",'Data Source'!S343="F"),IF('Data Source'!Z343&gt;=5,"A+",IF('Data Source'!Z343&gt;=4,"A",IF('Data Source'!Z343&gt;=3.5,"A-",IF('Data Source'!Z343&gt;=3,"B",IF('Data Source'!Z343&gt;=2,"C",IF('Data Source'!Z343&gt;=1,"D","F")))))),"")</f>
        <v/>
      </c>
      <c r="I343" s="3">
        <f>IF(AND('Data Source'!B343&lt;&gt;"",'Data Source'!S343="F"),IF('Data Source'!AA343&gt;=5,"A+",IF('Data Source'!AA343&gt;=4,"A",IF('Data Source'!AA343&gt;=3.5,"A-",IF('Data Source'!AA343&gt;=3,"B",IF('Data Source'!AA343&gt;=2,"C",IF('Data Source'!AA343&gt;=1,"D","F")))))),"")</f>
        <v/>
      </c>
      <c r="J343" s="3">
        <f>IF(AND('Data Source'!B343&lt;&gt;"",'Data Source'!S343="F"),IF('Data Source'!AB343&gt;=5,"A+",IF('Data Source'!AB343&gt;=4,"A",IF('Data Source'!AB343&gt;=3.5,"A-",IF('Data Source'!AB343&gt;=3,"B",IF('Data Source'!AB343&gt;=2,"C",IF('Data Source'!AB343&gt;=1,"D","F")))))),"")</f>
        <v/>
      </c>
      <c r="K343" s="3">
        <f>IF(AND('Data Source'!B343&lt;&gt;"",'Data Source'!S343="F"),IF('Data Source'!AC343&gt;=5,"A+",IF('Data Source'!AC343&gt;=4,"A",IF('Data Source'!AC343&gt;=3.5,"A-",IF('Data Source'!AC343&gt;=3,"B",IF('Data Source'!AC343&gt;=2,"C",IF('Data Source'!AC343&gt;=1,"D","F")))))),"")</f>
        <v/>
      </c>
      <c r="L343" s="3">
        <f>IF(AND('Data Source'!B343&lt;&gt;"",'Data Source'!S343="F"),IF('Data Source'!AD343&gt;=5,"A+",IF('Data Source'!AD343&gt;=4,"A",IF('Data Source'!AD343&gt;=3.5,"A-",IF('Data Source'!AD343&gt;=3,"B",IF('Data Source'!AD343&gt;=2,"C",IF('Data Source'!AD343&gt;=1,"D","F")))))),"")</f>
        <v/>
      </c>
      <c r="M343" s="3">
        <f>IF(AND('Data Source'!B343&lt;&gt;"",'Data Source'!S343="F"),IF('Data Source'!AE343&gt;=5,"A+",IF('Data Source'!AE343&gt;=4,"A",IF('Data Source'!AE343&gt;=3.5,"A-",IF('Data Source'!AE343&gt;=3,"B",IF('Data Source'!AE343&gt;=2,"C",IF('Data Source'!AE343&gt;=1,"D","F")))))),"")</f>
        <v/>
      </c>
      <c r="N343" s="3">
        <f>IF(AND('Data Source'!B343&lt;&gt;"",'Data Source'!S343="F"),IF('Data Source'!AF343&gt;=5,"A+",IF('Data Source'!AF343&gt;=4,"A",IF('Data Source'!AF343&gt;=3.5,"A-",IF('Data Source'!AF343&gt;=3,"B",IF('Data Source'!AF343&gt;=2,"C",IF('Data Source'!AF343&gt;=1,"D","F")))))),"")</f>
        <v/>
      </c>
      <c r="O343" s="3">
        <f>IF(AND('Data Source'!B343&lt;&gt;"",'Data Source'!S343="F"),IF('Data Source'!AG343&gt;=5,"A+",IF('Data Source'!AG343&gt;=4,"A",IF('Data Source'!AG343&gt;=3.5,"A-",IF('Data Source'!AG343&gt;=3,"B",IF('Data Source'!AG343&gt;=2,"C",IF('Data Source'!AG343&gt;=1,"D","F")))))),"")</f>
        <v/>
      </c>
      <c r="P343" s="5">
        <f>IF(AND('Data Source'!B343&lt;&gt;"",'Data Source'!S343="F"),'Data Source'!R343,"")</f>
        <v/>
      </c>
      <c r="Q343" s="3">
        <f>IF(AND('Data Source'!B343&lt;&gt;"",'Data Source'!S343="F"),'Data Source'!S343,"")</f>
        <v/>
      </c>
    </row>
    <row r="344">
      <c r="A344" s="3">
        <f>IF(AND('Data Source'!B344&lt;&gt;"",'Data Source'!S344="F"),COUNTIF('Data Source'!$S$3:S344,"F"),"")</f>
        <v/>
      </c>
      <c r="B344">
        <f>IF(AND('Data Source'!B344&lt;&gt;"",'Data Source'!S344="F"),'Data Source'!B344,"")</f>
        <v/>
      </c>
      <c r="C344" s="3">
        <f>IF(AND('Data Source'!B344&lt;&gt;"",'Data Source'!S344="F"),IF('Data Source'!U344&gt;=5,"A+",IF('Data Source'!U344&gt;=4,"A",IF('Data Source'!U344&gt;=3.5,"A-",IF('Data Source'!U344&gt;=3,"B",IF('Data Source'!U344&gt;=2,"C",IF('Data Source'!U344&gt;=1,"D","F")))))),"")</f>
        <v/>
      </c>
      <c r="D344" s="3">
        <f>IF(AND('Data Source'!B344&lt;&gt;"",'Data Source'!S344="F"),IF('Data Source'!V344&gt;=5,"A+",IF('Data Source'!V344&gt;=4,"A",IF('Data Source'!V344&gt;=3.5,"A-",IF('Data Source'!V344&gt;=3,"B",IF('Data Source'!V344&gt;=2,"C",IF('Data Source'!V344&gt;=1,"D","F")))))),"")</f>
        <v/>
      </c>
      <c r="E344" s="3">
        <f>IF(AND('Data Source'!B344&lt;&gt;"",'Data Source'!S344="F"),IF('Data Source'!W344&gt;=5,"A+",IF('Data Source'!W344&gt;=4,"A",IF('Data Source'!W344&gt;=3.5,"A-",IF('Data Source'!W344&gt;=3,"B",IF('Data Source'!W344&gt;=2,"C",IF('Data Source'!W344&gt;=1,"D","F")))))),"")</f>
        <v/>
      </c>
      <c r="F344" s="3">
        <f>IF(AND('Data Source'!B344&lt;&gt;"",'Data Source'!S344="F"),IF('Data Source'!X344&gt;=5,"A+",IF('Data Source'!X344&gt;=4,"A",IF('Data Source'!X344&gt;=3.5,"A-",IF('Data Source'!X344&gt;=3,"B",IF('Data Source'!X344&gt;=2,"C",IF('Data Source'!X344&gt;=1,"D","F")))))),"")</f>
        <v/>
      </c>
      <c r="G344" s="3">
        <f>IF(AND('Data Source'!B344&lt;&gt;"",'Data Source'!S344="F"),IF('Data Source'!Y344&gt;=5,"A+",IF('Data Source'!Y344&gt;=4,"A",IF('Data Source'!Y344&gt;=3.5,"A-",IF('Data Source'!Y344&gt;=3,"B",IF('Data Source'!Y344&gt;=2,"C",IF('Data Source'!Y344&gt;=1,"D","F")))))),"")</f>
        <v/>
      </c>
      <c r="H344" s="3">
        <f>IF(AND('Data Source'!B344&lt;&gt;"",'Data Source'!S344="F"),IF('Data Source'!Z344&gt;=5,"A+",IF('Data Source'!Z344&gt;=4,"A",IF('Data Source'!Z344&gt;=3.5,"A-",IF('Data Source'!Z344&gt;=3,"B",IF('Data Source'!Z344&gt;=2,"C",IF('Data Source'!Z344&gt;=1,"D","F")))))),"")</f>
        <v/>
      </c>
      <c r="I344" s="3">
        <f>IF(AND('Data Source'!B344&lt;&gt;"",'Data Source'!S344="F"),IF('Data Source'!AA344&gt;=5,"A+",IF('Data Source'!AA344&gt;=4,"A",IF('Data Source'!AA344&gt;=3.5,"A-",IF('Data Source'!AA344&gt;=3,"B",IF('Data Source'!AA344&gt;=2,"C",IF('Data Source'!AA344&gt;=1,"D","F")))))),"")</f>
        <v/>
      </c>
      <c r="J344" s="3">
        <f>IF(AND('Data Source'!B344&lt;&gt;"",'Data Source'!S344="F"),IF('Data Source'!AB344&gt;=5,"A+",IF('Data Source'!AB344&gt;=4,"A",IF('Data Source'!AB344&gt;=3.5,"A-",IF('Data Source'!AB344&gt;=3,"B",IF('Data Source'!AB344&gt;=2,"C",IF('Data Source'!AB344&gt;=1,"D","F")))))),"")</f>
        <v/>
      </c>
      <c r="K344" s="3">
        <f>IF(AND('Data Source'!B344&lt;&gt;"",'Data Source'!S344="F"),IF('Data Source'!AC344&gt;=5,"A+",IF('Data Source'!AC344&gt;=4,"A",IF('Data Source'!AC344&gt;=3.5,"A-",IF('Data Source'!AC344&gt;=3,"B",IF('Data Source'!AC344&gt;=2,"C",IF('Data Source'!AC344&gt;=1,"D","F")))))),"")</f>
        <v/>
      </c>
      <c r="L344" s="3">
        <f>IF(AND('Data Source'!B344&lt;&gt;"",'Data Source'!S344="F"),IF('Data Source'!AD344&gt;=5,"A+",IF('Data Source'!AD344&gt;=4,"A",IF('Data Source'!AD344&gt;=3.5,"A-",IF('Data Source'!AD344&gt;=3,"B",IF('Data Source'!AD344&gt;=2,"C",IF('Data Source'!AD344&gt;=1,"D","F")))))),"")</f>
        <v/>
      </c>
      <c r="M344" s="3">
        <f>IF(AND('Data Source'!B344&lt;&gt;"",'Data Source'!S344="F"),IF('Data Source'!AE344&gt;=5,"A+",IF('Data Source'!AE344&gt;=4,"A",IF('Data Source'!AE344&gt;=3.5,"A-",IF('Data Source'!AE344&gt;=3,"B",IF('Data Source'!AE344&gt;=2,"C",IF('Data Source'!AE344&gt;=1,"D","F")))))),"")</f>
        <v/>
      </c>
      <c r="N344" s="3">
        <f>IF(AND('Data Source'!B344&lt;&gt;"",'Data Source'!S344="F"),IF('Data Source'!AF344&gt;=5,"A+",IF('Data Source'!AF344&gt;=4,"A",IF('Data Source'!AF344&gt;=3.5,"A-",IF('Data Source'!AF344&gt;=3,"B",IF('Data Source'!AF344&gt;=2,"C",IF('Data Source'!AF344&gt;=1,"D","F")))))),"")</f>
        <v/>
      </c>
      <c r="O344" s="3">
        <f>IF(AND('Data Source'!B344&lt;&gt;"",'Data Source'!S344="F"),IF('Data Source'!AG344&gt;=5,"A+",IF('Data Source'!AG344&gt;=4,"A",IF('Data Source'!AG344&gt;=3.5,"A-",IF('Data Source'!AG344&gt;=3,"B",IF('Data Source'!AG344&gt;=2,"C",IF('Data Source'!AG344&gt;=1,"D","F")))))),"")</f>
        <v/>
      </c>
      <c r="P344" s="5">
        <f>IF(AND('Data Source'!B344&lt;&gt;"",'Data Source'!S344="F"),'Data Source'!R344,"")</f>
        <v/>
      </c>
      <c r="Q344" s="3">
        <f>IF(AND('Data Source'!B344&lt;&gt;"",'Data Source'!S344="F"),'Data Source'!S344,"")</f>
        <v/>
      </c>
    </row>
    <row r="345">
      <c r="A345" s="3">
        <f>IF(AND('Data Source'!B345&lt;&gt;"",'Data Source'!S345="F"),COUNTIF('Data Source'!$S$3:S345,"F"),"")</f>
        <v/>
      </c>
      <c r="B345">
        <f>IF(AND('Data Source'!B345&lt;&gt;"",'Data Source'!S345="F"),'Data Source'!B345,"")</f>
        <v/>
      </c>
      <c r="C345" s="3">
        <f>IF(AND('Data Source'!B345&lt;&gt;"",'Data Source'!S345="F"),IF('Data Source'!U345&gt;=5,"A+",IF('Data Source'!U345&gt;=4,"A",IF('Data Source'!U345&gt;=3.5,"A-",IF('Data Source'!U345&gt;=3,"B",IF('Data Source'!U345&gt;=2,"C",IF('Data Source'!U345&gt;=1,"D","F")))))),"")</f>
        <v/>
      </c>
      <c r="D345" s="3">
        <f>IF(AND('Data Source'!B345&lt;&gt;"",'Data Source'!S345="F"),IF('Data Source'!V345&gt;=5,"A+",IF('Data Source'!V345&gt;=4,"A",IF('Data Source'!V345&gt;=3.5,"A-",IF('Data Source'!V345&gt;=3,"B",IF('Data Source'!V345&gt;=2,"C",IF('Data Source'!V345&gt;=1,"D","F")))))),"")</f>
        <v/>
      </c>
      <c r="E345" s="3">
        <f>IF(AND('Data Source'!B345&lt;&gt;"",'Data Source'!S345="F"),IF('Data Source'!W345&gt;=5,"A+",IF('Data Source'!W345&gt;=4,"A",IF('Data Source'!W345&gt;=3.5,"A-",IF('Data Source'!W345&gt;=3,"B",IF('Data Source'!W345&gt;=2,"C",IF('Data Source'!W345&gt;=1,"D","F")))))),"")</f>
        <v/>
      </c>
      <c r="F345" s="3">
        <f>IF(AND('Data Source'!B345&lt;&gt;"",'Data Source'!S345="F"),IF('Data Source'!X345&gt;=5,"A+",IF('Data Source'!X345&gt;=4,"A",IF('Data Source'!X345&gt;=3.5,"A-",IF('Data Source'!X345&gt;=3,"B",IF('Data Source'!X345&gt;=2,"C",IF('Data Source'!X345&gt;=1,"D","F")))))),"")</f>
        <v/>
      </c>
      <c r="G345" s="3">
        <f>IF(AND('Data Source'!B345&lt;&gt;"",'Data Source'!S345="F"),IF('Data Source'!Y345&gt;=5,"A+",IF('Data Source'!Y345&gt;=4,"A",IF('Data Source'!Y345&gt;=3.5,"A-",IF('Data Source'!Y345&gt;=3,"B",IF('Data Source'!Y345&gt;=2,"C",IF('Data Source'!Y345&gt;=1,"D","F")))))),"")</f>
        <v/>
      </c>
      <c r="H345" s="3">
        <f>IF(AND('Data Source'!B345&lt;&gt;"",'Data Source'!S345="F"),IF('Data Source'!Z345&gt;=5,"A+",IF('Data Source'!Z345&gt;=4,"A",IF('Data Source'!Z345&gt;=3.5,"A-",IF('Data Source'!Z345&gt;=3,"B",IF('Data Source'!Z345&gt;=2,"C",IF('Data Source'!Z345&gt;=1,"D","F")))))),"")</f>
        <v/>
      </c>
      <c r="I345" s="3">
        <f>IF(AND('Data Source'!B345&lt;&gt;"",'Data Source'!S345="F"),IF('Data Source'!AA345&gt;=5,"A+",IF('Data Source'!AA345&gt;=4,"A",IF('Data Source'!AA345&gt;=3.5,"A-",IF('Data Source'!AA345&gt;=3,"B",IF('Data Source'!AA345&gt;=2,"C",IF('Data Source'!AA345&gt;=1,"D","F")))))),"")</f>
        <v/>
      </c>
      <c r="J345" s="3">
        <f>IF(AND('Data Source'!B345&lt;&gt;"",'Data Source'!S345="F"),IF('Data Source'!AB345&gt;=5,"A+",IF('Data Source'!AB345&gt;=4,"A",IF('Data Source'!AB345&gt;=3.5,"A-",IF('Data Source'!AB345&gt;=3,"B",IF('Data Source'!AB345&gt;=2,"C",IF('Data Source'!AB345&gt;=1,"D","F")))))),"")</f>
        <v/>
      </c>
      <c r="K345" s="3">
        <f>IF(AND('Data Source'!B345&lt;&gt;"",'Data Source'!S345="F"),IF('Data Source'!AC345&gt;=5,"A+",IF('Data Source'!AC345&gt;=4,"A",IF('Data Source'!AC345&gt;=3.5,"A-",IF('Data Source'!AC345&gt;=3,"B",IF('Data Source'!AC345&gt;=2,"C",IF('Data Source'!AC345&gt;=1,"D","F")))))),"")</f>
        <v/>
      </c>
      <c r="L345" s="3">
        <f>IF(AND('Data Source'!B345&lt;&gt;"",'Data Source'!S345="F"),IF('Data Source'!AD345&gt;=5,"A+",IF('Data Source'!AD345&gt;=4,"A",IF('Data Source'!AD345&gt;=3.5,"A-",IF('Data Source'!AD345&gt;=3,"B",IF('Data Source'!AD345&gt;=2,"C",IF('Data Source'!AD345&gt;=1,"D","F")))))),"")</f>
        <v/>
      </c>
      <c r="M345" s="3">
        <f>IF(AND('Data Source'!B345&lt;&gt;"",'Data Source'!S345="F"),IF('Data Source'!AE345&gt;=5,"A+",IF('Data Source'!AE345&gt;=4,"A",IF('Data Source'!AE345&gt;=3.5,"A-",IF('Data Source'!AE345&gt;=3,"B",IF('Data Source'!AE345&gt;=2,"C",IF('Data Source'!AE345&gt;=1,"D","F")))))),"")</f>
        <v/>
      </c>
      <c r="N345" s="3">
        <f>IF(AND('Data Source'!B345&lt;&gt;"",'Data Source'!S345="F"),IF('Data Source'!AF345&gt;=5,"A+",IF('Data Source'!AF345&gt;=4,"A",IF('Data Source'!AF345&gt;=3.5,"A-",IF('Data Source'!AF345&gt;=3,"B",IF('Data Source'!AF345&gt;=2,"C",IF('Data Source'!AF345&gt;=1,"D","F")))))),"")</f>
        <v/>
      </c>
      <c r="O345" s="3">
        <f>IF(AND('Data Source'!B345&lt;&gt;"",'Data Source'!S345="F"),IF('Data Source'!AG345&gt;=5,"A+",IF('Data Source'!AG345&gt;=4,"A",IF('Data Source'!AG345&gt;=3.5,"A-",IF('Data Source'!AG345&gt;=3,"B",IF('Data Source'!AG345&gt;=2,"C",IF('Data Source'!AG345&gt;=1,"D","F")))))),"")</f>
        <v/>
      </c>
      <c r="P345" s="5">
        <f>IF(AND('Data Source'!B345&lt;&gt;"",'Data Source'!S345="F"),'Data Source'!R345,"")</f>
        <v/>
      </c>
      <c r="Q345" s="3">
        <f>IF(AND('Data Source'!B345&lt;&gt;"",'Data Source'!S345="F"),'Data Source'!S345,"")</f>
        <v/>
      </c>
    </row>
    <row r="346">
      <c r="A346" s="3">
        <f>IF(AND('Data Source'!B346&lt;&gt;"",'Data Source'!S346="F"),COUNTIF('Data Source'!$S$3:S346,"F"),"")</f>
        <v/>
      </c>
      <c r="B346">
        <f>IF(AND('Data Source'!B346&lt;&gt;"",'Data Source'!S346="F"),'Data Source'!B346,"")</f>
        <v/>
      </c>
      <c r="C346" s="3">
        <f>IF(AND('Data Source'!B346&lt;&gt;"",'Data Source'!S346="F"),IF('Data Source'!U346&gt;=5,"A+",IF('Data Source'!U346&gt;=4,"A",IF('Data Source'!U346&gt;=3.5,"A-",IF('Data Source'!U346&gt;=3,"B",IF('Data Source'!U346&gt;=2,"C",IF('Data Source'!U346&gt;=1,"D","F")))))),"")</f>
        <v/>
      </c>
      <c r="D346" s="3">
        <f>IF(AND('Data Source'!B346&lt;&gt;"",'Data Source'!S346="F"),IF('Data Source'!V346&gt;=5,"A+",IF('Data Source'!V346&gt;=4,"A",IF('Data Source'!V346&gt;=3.5,"A-",IF('Data Source'!V346&gt;=3,"B",IF('Data Source'!V346&gt;=2,"C",IF('Data Source'!V346&gt;=1,"D","F")))))),"")</f>
        <v/>
      </c>
      <c r="E346" s="3">
        <f>IF(AND('Data Source'!B346&lt;&gt;"",'Data Source'!S346="F"),IF('Data Source'!W346&gt;=5,"A+",IF('Data Source'!W346&gt;=4,"A",IF('Data Source'!W346&gt;=3.5,"A-",IF('Data Source'!W346&gt;=3,"B",IF('Data Source'!W346&gt;=2,"C",IF('Data Source'!W346&gt;=1,"D","F")))))),"")</f>
        <v/>
      </c>
      <c r="F346" s="3">
        <f>IF(AND('Data Source'!B346&lt;&gt;"",'Data Source'!S346="F"),IF('Data Source'!X346&gt;=5,"A+",IF('Data Source'!X346&gt;=4,"A",IF('Data Source'!X346&gt;=3.5,"A-",IF('Data Source'!X346&gt;=3,"B",IF('Data Source'!X346&gt;=2,"C",IF('Data Source'!X346&gt;=1,"D","F")))))),"")</f>
        <v/>
      </c>
      <c r="G346" s="3">
        <f>IF(AND('Data Source'!B346&lt;&gt;"",'Data Source'!S346="F"),IF('Data Source'!Y346&gt;=5,"A+",IF('Data Source'!Y346&gt;=4,"A",IF('Data Source'!Y346&gt;=3.5,"A-",IF('Data Source'!Y346&gt;=3,"B",IF('Data Source'!Y346&gt;=2,"C",IF('Data Source'!Y346&gt;=1,"D","F")))))),"")</f>
        <v/>
      </c>
      <c r="H346" s="3">
        <f>IF(AND('Data Source'!B346&lt;&gt;"",'Data Source'!S346="F"),IF('Data Source'!Z346&gt;=5,"A+",IF('Data Source'!Z346&gt;=4,"A",IF('Data Source'!Z346&gt;=3.5,"A-",IF('Data Source'!Z346&gt;=3,"B",IF('Data Source'!Z346&gt;=2,"C",IF('Data Source'!Z346&gt;=1,"D","F")))))),"")</f>
        <v/>
      </c>
      <c r="I346" s="3">
        <f>IF(AND('Data Source'!B346&lt;&gt;"",'Data Source'!S346="F"),IF('Data Source'!AA346&gt;=5,"A+",IF('Data Source'!AA346&gt;=4,"A",IF('Data Source'!AA346&gt;=3.5,"A-",IF('Data Source'!AA346&gt;=3,"B",IF('Data Source'!AA346&gt;=2,"C",IF('Data Source'!AA346&gt;=1,"D","F")))))),"")</f>
        <v/>
      </c>
      <c r="J346" s="3">
        <f>IF(AND('Data Source'!B346&lt;&gt;"",'Data Source'!S346="F"),IF('Data Source'!AB346&gt;=5,"A+",IF('Data Source'!AB346&gt;=4,"A",IF('Data Source'!AB346&gt;=3.5,"A-",IF('Data Source'!AB346&gt;=3,"B",IF('Data Source'!AB346&gt;=2,"C",IF('Data Source'!AB346&gt;=1,"D","F")))))),"")</f>
        <v/>
      </c>
      <c r="K346" s="3">
        <f>IF(AND('Data Source'!B346&lt;&gt;"",'Data Source'!S346="F"),IF('Data Source'!AC346&gt;=5,"A+",IF('Data Source'!AC346&gt;=4,"A",IF('Data Source'!AC346&gt;=3.5,"A-",IF('Data Source'!AC346&gt;=3,"B",IF('Data Source'!AC346&gt;=2,"C",IF('Data Source'!AC346&gt;=1,"D","F")))))),"")</f>
        <v/>
      </c>
      <c r="L346" s="3">
        <f>IF(AND('Data Source'!B346&lt;&gt;"",'Data Source'!S346="F"),IF('Data Source'!AD346&gt;=5,"A+",IF('Data Source'!AD346&gt;=4,"A",IF('Data Source'!AD346&gt;=3.5,"A-",IF('Data Source'!AD346&gt;=3,"B",IF('Data Source'!AD346&gt;=2,"C",IF('Data Source'!AD346&gt;=1,"D","F")))))),"")</f>
        <v/>
      </c>
      <c r="M346" s="3">
        <f>IF(AND('Data Source'!B346&lt;&gt;"",'Data Source'!S346="F"),IF('Data Source'!AE346&gt;=5,"A+",IF('Data Source'!AE346&gt;=4,"A",IF('Data Source'!AE346&gt;=3.5,"A-",IF('Data Source'!AE346&gt;=3,"B",IF('Data Source'!AE346&gt;=2,"C",IF('Data Source'!AE346&gt;=1,"D","F")))))),"")</f>
        <v/>
      </c>
      <c r="N346" s="3">
        <f>IF(AND('Data Source'!B346&lt;&gt;"",'Data Source'!S346="F"),IF('Data Source'!AF346&gt;=5,"A+",IF('Data Source'!AF346&gt;=4,"A",IF('Data Source'!AF346&gt;=3.5,"A-",IF('Data Source'!AF346&gt;=3,"B",IF('Data Source'!AF346&gt;=2,"C",IF('Data Source'!AF346&gt;=1,"D","F")))))),"")</f>
        <v/>
      </c>
      <c r="O346" s="3">
        <f>IF(AND('Data Source'!B346&lt;&gt;"",'Data Source'!S346="F"),IF('Data Source'!AG346&gt;=5,"A+",IF('Data Source'!AG346&gt;=4,"A",IF('Data Source'!AG346&gt;=3.5,"A-",IF('Data Source'!AG346&gt;=3,"B",IF('Data Source'!AG346&gt;=2,"C",IF('Data Source'!AG346&gt;=1,"D","F")))))),"")</f>
        <v/>
      </c>
      <c r="P346" s="5">
        <f>IF(AND('Data Source'!B346&lt;&gt;"",'Data Source'!S346="F"),'Data Source'!R346,"")</f>
        <v/>
      </c>
      <c r="Q346" s="3">
        <f>IF(AND('Data Source'!B346&lt;&gt;"",'Data Source'!S346="F"),'Data Source'!S346,"")</f>
        <v/>
      </c>
    </row>
    <row r="347">
      <c r="A347" s="3">
        <f>IF(AND('Data Source'!B347&lt;&gt;"",'Data Source'!S347="F"),COUNTIF('Data Source'!$S$3:S347,"F"),"")</f>
        <v/>
      </c>
      <c r="B347">
        <f>IF(AND('Data Source'!B347&lt;&gt;"",'Data Source'!S347="F"),'Data Source'!B347,"")</f>
        <v/>
      </c>
      <c r="C347" s="3">
        <f>IF(AND('Data Source'!B347&lt;&gt;"",'Data Source'!S347="F"),IF('Data Source'!U347&gt;=5,"A+",IF('Data Source'!U347&gt;=4,"A",IF('Data Source'!U347&gt;=3.5,"A-",IF('Data Source'!U347&gt;=3,"B",IF('Data Source'!U347&gt;=2,"C",IF('Data Source'!U347&gt;=1,"D","F")))))),"")</f>
        <v/>
      </c>
      <c r="D347" s="3">
        <f>IF(AND('Data Source'!B347&lt;&gt;"",'Data Source'!S347="F"),IF('Data Source'!V347&gt;=5,"A+",IF('Data Source'!V347&gt;=4,"A",IF('Data Source'!V347&gt;=3.5,"A-",IF('Data Source'!V347&gt;=3,"B",IF('Data Source'!V347&gt;=2,"C",IF('Data Source'!V347&gt;=1,"D","F")))))),"")</f>
        <v/>
      </c>
      <c r="E347" s="3">
        <f>IF(AND('Data Source'!B347&lt;&gt;"",'Data Source'!S347="F"),IF('Data Source'!W347&gt;=5,"A+",IF('Data Source'!W347&gt;=4,"A",IF('Data Source'!W347&gt;=3.5,"A-",IF('Data Source'!W347&gt;=3,"B",IF('Data Source'!W347&gt;=2,"C",IF('Data Source'!W347&gt;=1,"D","F")))))),"")</f>
        <v/>
      </c>
      <c r="F347" s="3">
        <f>IF(AND('Data Source'!B347&lt;&gt;"",'Data Source'!S347="F"),IF('Data Source'!X347&gt;=5,"A+",IF('Data Source'!X347&gt;=4,"A",IF('Data Source'!X347&gt;=3.5,"A-",IF('Data Source'!X347&gt;=3,"B",IF('Data Source'!X347&gt;=2,"C",IF('Data Source'!X347&gt;=1,"D","F")))))),"")</f>
        <v/>
      </c>
      <c r="G347" s="3">
        <f>IF(AND('Data Source'!B347&lt;&gt;"",'Data Source'!S347="F"),IF('Data Source'!Y347&gt;=5,"A+",IF('Data Source'!Y347&gt;=4,"A",IF('Data Source'!Y347&gt;=3.5,"A-",IF('Data Source'!Y347&gt;=3,"B",IF('Data Source'!Y347&gt;=2,"C",IF('Data Source'!Y347&gt;=1,"D","F")))))),"")</f>
        <v/>
      </c>
      <c r="H347" s="3">
        <f>IF(AND('Data Source'!B347&lt;&gt;"",'Data Source'!S347="F"),IF('Data Source'!Z347&gt;=5,"A+",IF('Data Source'!Z347&gt;=4,"A",IF('Data Source'!Z347&gt;=3.5,"A-",IF('Data Source'!Z347&gt;=3,"B",IF('Data Source'!Z347&gt;=2,"C",IF('Data Source'!Z347&gt;=1,"D","F")))))),"")</f>
        <v/>
      </c>
      <c r="I347" s="3">
        <f>IF(AND('Data Source'!B347&lt;&gt;"",'Data Source'!S347="F"),IF('Data Source'!AA347&gt;=5,"A+",IF('Data Source'!AA347&gt;=4,"A",IF('Data Source'!AA347&gt;=3.5,"A-",IF('Data Source'!AA347&gt;=3,"B",IF('Data Source'!AA347&gt;=2,"C",IF('Data Source'!AA347&gt;=1,"D","F")))))),"")</f>
        <v/>
      </c>
      <c r="J347" s="3">
        <f>IF(AND('Data Source'!B347&lt;&gt;"",'Data Source'!S347="F"),IF('Data Source'!AB347&gt;=5,"A+",IF('Data Source'!AB347&gt;=4,"A",IF('Data Source'!AB347&gt;=3.5,"A-",IF('Data Source'!AB347&gt;=3,"B",IF('Data Source'!AB347&gt;=2,"C",IF('Data Source'!AB347&gt;=1,"D","F")))))),"")</f>
        <v/>
      </c>
      <c r="K347" s="3">
        <f>IF(AND('Data Source'!B347&lt;&gt;"",'Data Source'!S347="F"),IF('Data Source'!AC347&gt;=5,"A+",IF('Data Source'!AC347&gt;=4,"A",IF('Data Source'!AC347&gt;=3.5,"A-",IF('Data Source'!AC347&gt;=3,"B",IF('Data Source'!AC347&gt;=2,"C",IF('Data Source'!AC347&gt;=1,"D","F")))))),"")</f>
        <v/>
      </c>
      <c r="L347" s="3">
        <f>IF(AND('Data Source'!B347&lt;&gt;"",'Data Source'!S347="F"),IF('Data Source'!AD347&gt;=5,"A+",IF('Data Source'!AD347&gt;=4,"A",IF('Data Source'!AD347&gt;=3.5,"A-",IF('Data Source'!AD347&gt;=3,"B",IF('Data Source'!AD347&gt;=2,"C",IF('Data Source'!AD347&gt;=1,"D","F")))))),"")</f>
        <v/>
      </c>
      <c r="M347" s="3">
        <f>IF(AND('Data Source'!B347&lt;&gt;"",'Data Source'!S347="F"),IF('Data Source'!AE347&gt;=5,"A+",IF('Data Source'!AE347&gt;=4,"A",IF('Data Source'!AE347&gt;=3.5,"A-",IF('Data Source'!AE347&gt;=3,"B",IF('Data Source'!AE347&gt;=2,"C",IF('Data Source'!AE347&gt;=1,"D","F")))))),"")</f>
        <v/>
      </c>
      <c r="N347" s="3">
        <f>IF(AND('Data Source'!B347&lt;&gt;"",'Data Source'!S347="F"),IF('Data Source'!AF347&gt;=5,"A+",IF('Data Source'!AF347&gt;=4,"A",IF('Data Source'!AF347&gt;=3.5,"A-",IF('Data Source'!AF347&gt;=3,"B",IF('Data Source'!AF347&gt;=2,"C",IF('Data Source'!AF347&gt;=1,"D","F")))))),"")</f>
        <v/>
      </c>
      <c r="O347" s="3">
        <f>IF(AND('Data Source'!B347&lt;&gt;"",'Data Source'!S347="F"),IF('Data Source'!AG347&gt;=5,"A+",IF('Data Source'!AG347&gt;=4,"A",IF('Data Source'!AG347&gt;=3.5,"A-",IF('Data Source'!AG347&gt;=3,"B",IF('Data Source'!AG347&gt;=2,"C",IF('Data Source'!AG347&gt;=1,"D","F")))))),"")</f>
        <v/>
      </c>
      <c r="P347" s="5">
        <f>IF(AND('Data Source'!B347&lt;&gt;"",'Data Source'!S347="F"),'Data Source'!R347,"")</f>
        <v/>
      </c>
      <c r="Q347" s="3">
        <f>IF(AND('Data Source'!B347&lt;&gt;"",'Data Source'!S347="F"),'Data Source'!S347,"")</f>
        <v/>
      </c>
    </row>
    <row r="348">
      <c r="A348" s="3">
        <f>IF(AND('Data Source'!B348&lt;&gt;"",'Data Source'!S348="F"),COUNTIF('Data Source'!$S$3:S348,"F"),"")</f>
        <v/>
      </c>
      <c r="B348">
        <f>IF(AND('Data Source'!B348&lt;&gt;"",'Data Source'!S348="F"),'Data Source'!B348,"")</f>
        <v/>
      </c>
      <c r="C348" s="3">
        <f>IF(AND('Data Source'!B348&lt;&gt;"",'Data Source'!S348="F"),IF('Data Source'!U348&gt;=5,"A+",IF('Data Source'!U348&gt;=4,"A",IF('Data Source'!U348&gt;=3.5,"A-",IF('Data Source'!U348&gt;=3,"B",IF('Data Source'!U348&gt;=2,"C",IF('Data Source'!U348&gt;=1,"D","F")))))),"")</f>
        <v/>
      </c>
      <c r="D348" s="3">
        <f>IF(AND('Data Source'!B348&lt;&gt;"",'Data Source'!S348="F"),IF('Data Source'!V348&gt;=5,"A+",IF('Data Source'!V348&gt;=4,"A",IF('Data Source'!V348&gt;=3.5,"A-",IF('Data Source'!V348&gt;=3,"B",IF('Data Source'!V348&gt;=2,"C",IF('Data Source'!V348&gt;=1,"D","F")))))),"")</f>
        <v/>
      </c>
      <c r="E348" s="3">
        <f>IF(AND('Data Source'!B348&lt;&gt;"",'Data Source'!S348="F"),IF('Data Source'!W348&gt;=5,"A+",IF('Data Source'!W348&gt;=4,"A",IF('Data Source'!W348&gt;=3.5,"A-",IF('Data Source'!W348&gt;=3,"B",IF('Data Source'!W348&gt;=2,"C",IF('Data Source'!W348&gt;=1,"D","F")))))),"")</f>
        <v/>
      </c>
      <c r="F348" s="3">
        <f>IF(AND('Data Source'!B348&lt;&gt;"",'Data Source'!S348="F"),IF('Data Source'!X348&gt;=5,"A+",IF('Data Source'!X348&gt;=4,"A",IF('Data Source'!X348&gt;=3.5,"A-",IF('Data Source'!X348&gt;=3,"B",IF('Data Source'!X348&gt;=2,"C",IF('Data Source'!X348&gt;=1,"D","F")))))),"")</f>
        <v/>
      </c>
      <c r="G348" s="3">
        <f>IF(AND('Data Source'!B348&lt;&gt;"",'Data Source'!S348="F"),IF('Data Source'!Y348&gt;=5,"A+",IF('Data Source'!Y348&gt;=4,"A",IF('Data Source'!Y348&gt;=3.5,"A-",IF('Data Source'!Y348&gt;=3,"B",IF('Data Source'!Y348&gt;=2,"C",IF('Data Source'!Y348&gt;=1,"D","F")))))),"")</f>
        <v/>
      </c>
      <c r="H348" s="3">
        <f>IF(AND('Data Source'!B348&lt;&gt;"",'Data Source'!S348="F"),IF('Data Source'!Z348&gt;=5,"A+",IF('Data Source'!Z348&gt;=4,"A",IF('Data Source'!Z348&gt;=3.5,"A-",IF('Data Source'!Z348&gt;=3,"B",IF('Data Source'!Z348&gt;=2,"C",IF('Data Source'!Z348&gt;=1,"D","F")))))),"")</f>
        <v/>
      </c>
      <c r="I348" s="3">
        <f>IF(AND('Data Source'!B348&lt;&gt;"",'Data Source'!S348="F"),IF('Data Source'!AA348&gt;=5,"A+",IF('Data Source'!AA348&gt;=4,"A",IF('Data Source'!AA348&gt;=3.5,"A-",IF('Data Source'!AA348&gt;=3,"B",IF('Data Source'!AA348&gt;=2,"C",IF('Data Source'!AA348&gt;=1,"D","F")))))),"")</f>
        <v/>
      </c>
      <c r="J348" s="3">
        <f>IF(AND('Data Source'!B348&lt;&gt;"",'Data Source'!S348="F"),IF('Data Source'!AB348&gt;=5,"A+",IF('Data Source'!AB348&gt;=4,"A",IF('Data Source'!AB348&gt;=3.5,"A-",IF('Data Source'!AB348&gt;=3,"B",IF('Data Source'!AB348&gt;=2,"C",IF('Data Source'!AB348&gt;=1,"D","F")))))),"")</f>
        <v/>
      </c>
      <c r="K348" s="3">
        <f>IF(AND('Data Source'!B348&lt;&gt;"",'Data Source'!S348="F"),IF('Data Source'!AC348&gt;=5,"A+",IF('Data Source'!AC348&gt;=4,"A",IF('Data Source'!AC348&gt;=3.5,"A-",IF('Data Source'!AC348&gt;=3,"B",IF('Data Source'!AC348&gt;=2,"C",IF('Data Source'!AC348&gt;=1,"D","F")))))),"")</f>
        <v/>
      </c>
      <c r="L348" s="3">
        <f>IF(AND('Data Source'!B348&lt;&gt;"",'Data Source'!S348="F"),IF('Data Source'!AD348&gt;=5,"A+",IF('Data Source'!AD348&gt;=4,"A",IF('Data Source'!AD348&gt;=3.5,"A-",IF('Data Source'!AD348&gt;=3,"B",IF('Data Source'!AD348&gt;=2,"C",IF('Data Source'!AD348&gt;=1,"D","F")))))),"")</f>
        <v/>
      </c>
      <c r="M348" s="3">
        <f>IF(AND('Data Source'!B348&lt;&gt;"",'Data Source'!S348="F"),IF('Data Source'!AE348&gt;=5,"A+",IF('Data Source'!AE348&gt;=4,"A",IF('Data Source'!AE348&gt;=3.5,"A-",IF('Data Source'!AE348&gt;=3,"B",IF('Data Source'!AE348&gt;=2,"C",IF('Data Source'!AE348&gt;=1,"D","F")))))),"")</f>
        <v/>
      </c>
      <c r="N348" s="3">
        <f>IF(AND('Data Source'!B348&lt;&gt;"",'Data Source'!S348="F"),IF('Data Source'!AF348&gt;=5,"A+",IF('Data Source'!AF348&gt;=4,"A",IF('Data Source'!AF348&gt;=3.5,"A-",IF('Data Source'!AF348&gt;=3,"B",IF('Data Source'!AF348&gt;=2,"C",IF('Data Source'!AF348&gt;=1,"D","F")))))),"")</f>
        <v/>
      </c>
      <c r="O348" s="3">
        <f>IF(AND('Data Source'!B348&lt;&gt;"",'Data Source'!S348="F"),IF('Data Source'!AG348&gt;=5,"A+",IF('Data Source'!AG348&gt;=4,"A",IF('Data Source'!AG348&gt;=3.5,"A-",IF('Data Source'!AG348&gt;=3,"B",IF('Data Source'!AG348&gt;=2,"C",IF('Data Source'!AG348&gt;=1,"D","F")))))),"")</f>
        <v/>
      </c>
      <c r="P348" s="5">
        <f>IF(AND('Data Source'!B348&lt;&gt;"",'Data Source'!S348="F"),'Data Source'!R348,"")</f>
        <v/>
      </c>
      <c r="Q348" s="3">
        <f>IF(AND('Data Source'!B348&lt;&gt;"",'Data Source'!S348="F"),'Data Source'!S348,"")</f>
        <v/>
      </c>
    </row>
    <row r="349">
      <c r="A349" s="3">
        <f>IF(AND('Data Source'!B349&lt;&gt;"",'Data Source'!S349="F"),COUNTIF('Data Source'!$S$3:S349,"F"),"")</f>
        <v/>
      </c>
      <c r="B349">
        <f>IF(AND('Data Source'!B349&lt;&gt;"",'Data Source'!S349="F"),'Data Source'!B349,"")</f>
        <v/>
      </c>
      <c r="C349" s="3">
        <f>IF(AND('Data Source'!B349&lt;&gt;"",'Data Source'!S349="F"),IF('Data Source'!U349&gt;=5,"A+",IF('Data Source'!U349&gt;=4,"A",IF('Data Source'!U349&gt;=3.5,"A-",IF('Data Source'!U349&gt;=3,"B",IF('Data Source'!U349&gt;=2,"C",IF('Data Source'!U349&gt;=1,"D","F")))))),"")</f>
        <v/>
      </c>
      <c r="D349" s="3">
        <f>IF(AND('Data Source'!B349&lt;&gt;"",'Data Source'!S349="F"),IF('Data Source'!V349&gt;=5,"A+",IF('Data Source'!V349&gt;=4,"A",IF('Data Source'!V349&gt;=3.5,"A-",IF('Data Source'!V349&gt;=3,"B",IF('Data Source'!V349&gt;=2,"C",IF('Data Source'!V349&gt;=1,"D","F")))))),"")</f>
        <v/>
      </c>
      <c r="E349" s="3">
        <f>IF(AND('Data Source'!B349&lt;&gt;"",'Data Source'!S349="F"),IF('Data Source'!W349&gt;=5,"A+",IF('Data Source'!W349&gt;=4,"A",IF('Data Source'!W349&gt;=3.5,"A-",IF('Data Source'!W349&gt;=3,"B",IF('Data Source'!W349&gt;=2,"C",IF('Data Source'!W349&gt;=1,"D","F")))))),"")</f>
        <v/>
      </c>
      <c r="F349" s="3">
        <f>IF(AND('Data Source'!B349&lt;&gt;"",'Data Source'!S349="F"),IF('Data Source'!X349&gt;=5,"A+",IF('Data Source'!X349&gt;=4,"A",IF('Data Source'!X349&gt;=3.5,"A-",IF('Data Source'!X349&gt;=3,"B",IF('Data Source'!X349&gt;=2,"C",IF('Data Source'!X349&gt;=1,"D","F")))))),"")</f>
        <v/>
      </c>
      <c r="G349" s="3">
        <f>IF(AND('Data Source'!B349&lt;&gt;"",'Data Source'!S349="F"),IF('Data Source'!Y349&gt;=5,"A+",IF('Data Source'!Y349&gt;=4,"A",IF('Data Source'!Y349&gt;=3.5,"A-",IF('Data Source'!Y349&gt;=3,"B",IF('Data Source'!Y349&gt;=2,"C",IF('Data Source'!Y349&gt;=1,"D","F")))))),"")</f>
        <v/>
      </c>
      <c r="H349" s="3">
        <f>IF(AND('Data Source'!B349&lt;&gt;"",'Data Source'!S349="F"),IF('Data Source'!Z349&gt;=5,"A+",IF('Data Source'!Z349&gt;=4,"A",IF('Data Source'!Z349&gt;=3.5,"A-",IF('Data Source'!Z349&gt;=3,"B",IF('Data Source'!Z349&gt;=2,"C",IF('Data Source'!Z349&gt;=1,"D","F")))))),"")</f>
        <v/>
      </c>
      <c r="I349" s="3">
        <f>IF(AND('Data Source'!B349&lt;&gt;"",'Data Source'!S349="F"),IF('Data Source'!AA349&gt;=5,"A+",IF('Data Source'!AA349&gt;=4,"A",IF('Data Source'!AA349&gt;=3.5,"A-",IF('Data Source'!AA349&gt;=3,"B",IF('Data Source'!AA349&gt;=2,"C",IF('Data Source'!AA349&gt;=1,"D","F")))))),"")</f>
        <v/>
      </c>
      <c r="J349" s="3">
        <f>IF(AND('Data Source'!B349&lt;&gt;"",'Data Source'!S349="F"),IF('Data Source'!AB349&gt;=5,"A+",IF('Data Source'!AB349&gt;=4,"A",IF('Data Source'!AB349&gt;=3.5,"A-",IF('Data Source'!AB349&gt;=3,"B",IF('Data Source'!AB349&gt;=2,"C",IF('Data Source'!AB349&gt;=1,"D","F")))))),"")</f>
        <v/>
      </c>
      <c r="K349" s="3">
        <f>IF(AND('Data Source'!B349&lt;&gt;"",'Data Source'!S349="F"),IF('Data Source'!AC349&gt;=5,"A+",IF('Data Source'!AC349&gt;=4,"A",IF('Data Source'!AC349&gt;=3.5,"A-",IF('Data Source'!AC349&gt;=3,"B",IF('Data Source'!AC349&gt;=2,"C",IF('Data Source'!AC349&gt;=1,"D","F")))))),"")</f>
        <v/>
      </c>
      <c r="L349" s="3">
        <f>IF(AND('Data Source'!B349&lt;&gt;"",'Data Source'!S349="F"),IF('Data Source'!AD349&gt;=5,"A+",IF('Data Source'!AD349&gt;=4,"A",IF('Data Source'!AD349&gt;=3.5,"A-",IF('Data Source'!AD349&gt;=3,"B",IF('Data Source'!AD349&gt;=2,"C",IF('Data Source'!AD349&gt;=1,"D","F")))))),"")</f>
        <v/>
      </c>
      <c r="M349" s="3">
        <f>IF(AND('Data Source'!B349&lt;&gt;"",'Data Source'!S349="F"),IF('Data Source'!AE349&gt;=5,"A+",IF('Data Source'!AE349&gt;=4,"A",IF('Data Source'!AE349&gt;=3.5,"A-",IF('Data Source'!AE349&gt;=3,"B",IF('Data Source'!AE349&gt;=2,"C",IF('Data Source'!AE349&gt;=1,"D","F")))))),"")</f>
        <v/>
      </c>
      <c r="N349" s="3">
        <f>IF(AND('Data Source'!B349&lt;&gt;"",'Data Source'!S349="F"),IF('Data Source'!AF349&gt;=5,"A+",IF('Data Source'!AF349&gt;=4,"A",IF('Data Source'!AF349&gt;=3.5,"A-",IF('Data Source'!AF349&gt;=3,"B",IF('Data Source'!AF349&gt;=2,"C",IF('Data Source'!AF349&gt;=1,"D","F")))))),"")</f>
        <v/>
      </c>
      <c r="O349" s="3">
        <f>IF(AND('Data Source'!B349&lt;&gt;"",'Data Source'!S349="F"),IF('Data Source'!AG349&gt;=5,"A+",IF('Data Source'!AG349&gt;=4,"A",IF('Data Source'!AG349&gt;=3.5,"A-",IF('Data Source'!AG349&gt;=3,"B",IF('Data Source'!AG349&gt;=2,"C",IF('Data Source'!AG349&gt;=1,"D","F")))))),"")</f>
        <v/>
      </c>
      <c r="P349" s="5">
        <f>IF(AND('Data Source'!B349&lt;&gt;"",'Data Source'!S349="F"),'Data Source'!R349,"")</f>
        <v/>
      </c>
      <c r="Q349" s="3">
        <f>IF(AND('Data Source'!B349&lt;&gt;"",'Data Source'!S349="F"),'Data Source'!S349,"")</f>
        <v/>
      </c>
    </row>
    <row r="350">
      <c r="A350" s="3">
        <f>IF(AND('Data Source'!B350&lt;&gt;"",'Data Source'!S350="F"),COUNTIF('Data Source'!$S$3:S350,"F"),"")</f>
        <v/>
      </c>
      <c r="B350">
        <f>IF(AND('Data Source'!B350&lt;&gt;"",'Data Source'!S350="F"),'Data Source'!B350,"")</f>
        <v/>
      </c>
      <c r="C350" s="3">
        <f>IF(AND('Data Source'!B350&lt;&gt;"",'Data Source'!S350="F"),IF('Data Source'!U350&gt;=5,"A+",IF('Data Source'!U350&gt;=4,"A",IF('Data Source'!U350&gt;=3.5,"A-",IF('Data Source'!U350&gt;=3,"B",IF('Data Source'!U350&gt;=2,"C",IF('Data Source'!U350&gt;=1,"D","F")))))),"")</f>
        <v/>
      </c>
      <c r="D350" s="3">
        <f>IF(AND('Data Source'!B350&lt;&gt;"",'Data Source'!S350="F"),IF('Data Source'!V350&gt;=5,"A+",IF('Data Source'!V350&gt;=4,"A",IF('Data Source'!V350&gt;=3.5,"A-",IF('Data Source'!V350&gt;=3,"B",IF('Data Source'!V350&gt;=2,"C",IF('Data Source'!V350&gt;=1,"D","F")))))),"")</f>
        <v/>
      </c>
      <c r="E350" s="3">
        <f>IF(AND('Data Source'!B350&lt;&gt;"",'Data Source'!S350="F"),IF('Data Source'!W350&gt;=5,"A+",IF('Data Source'!W350&gt;=4,"A",IF('Data Source'!W350&gt;=3.5,"A-",IF('Data Source'!W350&gt;=3,"B",IF('Data Source'!W350&gt;=2,"C",IF('Data Source'!W350&gt;=1,"D","F")))))),"")</f>
        <v/>
      </c>
      <c r="F350" s="3">
        <f>IF(AND('Data Source'!B350&lt;&gt;"",'Data Source'!S350="F"),IF('Data Source'!X350&gt;=5,"A+",IF('Data Source'!X350&gt;=4,"A",IF('Data Source'!X350&gt;=3.5,"A-",IF('Data Source'!X350&gt;=3,"B",IF('Data Source'!X350&gt;=2,"C",IF('Data Source'!X350&gt;=1,"D","F")))))),"")</f>
        <v/>
      </c>
      <c r="G350" s="3">
        <f>IF(AND('Data Source'!B350&lt;&gt;"",'Data Source'!S350="F"),IF('Data Source'!Y350&gt;=5,"A+",IF('Data Source'!Y350&gt;=4,"A",IF('Data Source'!Y350&gt;=3.5,"A-",IF('Data Source'!Y350&gt;=3,"B",IF('Data Source'!Y350&gt;=2,"C",IF('Data Source'!Y350&gt;=1,"D","F")))))),"")</f>
        <v/>
      </c>
      <c r="H350" s="3">
        <f>IF(AND('Data Source'!B350&lt;&gt;"",'Data Source'!S350="F"),IF('Data Source'!Z350&gt;=5,"A+",IF('Data Source'!Z350&gt;=4,"A",IF('Data Source'!Z350&gt;=3.5,"A-",IF('Data Source'!Z350&gt;=3,"B",IF('Data Source'!Z350&gt;=2,"C",IF('Data Source'!Z350&gt;=1,"D","F")))))),"")</f>
        <v/>
      </c>
      <c r="I350" s="3">
        <f>IF(AND('Data Source'!B350&lt;&gt;"",'Data Source'!S350="F"),IF('Data Source'!AA350&gt;=5,"A+",IF('Data Source'!AA350&gt;=4,"A",IF('Data Source'!AA350&gt;=3.5,"A-",IF('Data Source'!AA350&gt;=3,"B",IF('Data Source'!AA350&gt;=2,"C",IF('Data Source'!AA350&gt;=1,"D","F")))))),"")</f>
        <v/>
      </c>
      <c r="J350" s="3">
        <f>IF(AND('Data Source'!B350&lt;&gt;"",'Data Source'!S350="F"),IF('Data Source'!AB350&gt;=5,"A+",IF('Data Source'!AB350&gt;=4,"A",IF('Data Source'!AB350&gt;=3.5,"A-",IF('Data Source'!AB350&gt;=3,"B",IF('Data Source'!AB350&gt;=2,"C",IF('Data Source'!AB350&gt;=1,"D","F")))))),"")</f>
        <v/>
      </c>
      <c r="K350" s="3">
        <f>IF(AND('Data Source'!B350&lt;&gt;"",'Data Source'!S350="F"),IF('Data Source'!AC350&gt;=5,"A+",IF('Data Source'!AC350&gt;=4,"A",IF('Data Source'!AC350&gt;=3.5,"A-",IF('Data Source'!AC350&gt;=3,"B",IF('Data Source'!AC350&gt;=2,"C",IF('Data Source'!AC350&gt;=1,"D","F")))))),"")</f>
        <v/>
      </c>
      <c r="L350" s="3">
        <f>IF(AND('Data Source'!B350&lt;&gt;"",'Data Source'!S350="F"),IF('Data Source'!AD350&gt;=5,"A+",IF('Data Source'!AD350&gt;=4,"A",IF('Data Source'!AD350&gt;=3.5,"A-",IF('Data Source'!AD350&gt;=3,"B",IF('Data Source'!AD350&gt;=2,"C",IF('Data Source'!AD350&gt;=1,"D","F")))))),"")</f>
        <v/>
      </c>
      <c r="M350" s="3">
        <f>IF(AND('Data Source'!B350&lt;&gt;"",'Data Source'!S350="F"),IF('Data Source'!AE350&gt;=5,"A+",IF('Data Source'!AE350&gt;=4,"A",IF('Data Source'!AE350&gt;=3.5,"A-",IF('Data Source'!AE350&gt;=3,"B",IF('Data Source'!AE350&gt;=2,"C",IF('Data Source'!AE350&gt;=1,"D","F")))))),"")</f>
        <v/>
      </c>
      <c r="N350" s="3">
        <f>IF(AND('Data Source'!B350&lt;&gt;"",'Data Source'!S350="F"),IF('Data Source'!AF350&gt;=5,"A+",IF('Data Source'!AF350&gt;=4,"A",IF('Data Source'!AF350&gt;=3.5,"A-",IF('Data Source'!AF350&gt;=3,"B",IF('Data Source'!AF350&gt;=2,"C",IF('Data Source'!AF350&gt;=1,"D","F")))))),"")</f>
        <v/>
      </c>
      <c r="O350" s="3">
        <f>IF(AND('Data Source'!B350&lt;&gt;"",'Data Source'!S350="F"),IF('Data Source'!AG350&gt;=5,"A+",IF('Data Source'!AG350&gt;=4,"A",IF('Data Source'!AG350&gt;=3.5,"A-",IF('Data Source'!AG350&gt;=3,"B",IF('Data Source'!AG350&gt;=2,"C",IF('Data Source'!AG350&gt;=1,"D","F")))))),"")</f>
        <v/>
      </c>
      <c r="P350" s="5">
        <f>IF(AND('Data Source'!B350&lt;&gt;"",'Data Source'!S350="F"),'Data Source'!R350,"")</f>
        <v/>
      </c>
      <c r="Q350" s="3">
        <f>IF(AND('Data Source'!B350&lt;&gt;"",'Data Source'!S350="F"),'Data Source'!S350,"")</f>
        <v/>
      </c>
    </row>
    <row r="351">
      <c r="A351" s="3">
        <f>IF(AND('Data Source'!B351&lt;&gt;"",'Data Source'!S351="F"),COUNTIF('Data Source'!$S$3:S351,"F"),"")</f>
        <v/>
      </c>
      <c r="B351">
        <f>IF(AND('Data Source'!B351&lt;&gt;"",'Data Source'!S351="F"),'Data Source'!B351,"")</f>
        <v/>
      </c>
      <c r="C351" s="3">
        <f>IF(AND('Data Source'!B351&lt;&gt;"",'Data Source'!S351="F"),IF('Data Source'!U351&gt;=5,"A+",IF('Data Source'!U351&gt;=4,"A",IF('Data Source'!U351&gt;=3.5,"A-",IF('Data Source'!U351&gt;=3,"B",IF('Data Source'!U351&gt;=2,"C",IF('Data Source'!U351&gt;=1,"D","F")))))),"")</f>
        <v/>
      </c>
      <c r="D351" s="3">
        <f>IF(AND('Data Source'!B351&lt;&gt;"",'Data Source'!S351="F"),IF('Data Source'!V351&gt;=5,"A+",IF('Data Source'!V351&gt;=4,"A",IF('Data Source'!V351&gt;=3.5,"A-",IF('Data Source'!V351&gt;=3,"B",IF('Data Source'!V351&gt;=2,"C",IF('Data Source'!V351&gt;=1,"D","F")))))),"")</f>
        <v/>
      </c>
      <c r="E351" s="3">
        <f>IF(AND('Data Source'!B351&lt;&gt;"",'Data Source'!S351="F"),IF('Data Source'!W351&gt;=5,"A+",IF('Data Source'!W351&gt;=4,"A",IF('Data Source'!W351&gt;=3.5,"A-",IF('Data Source'!W351&gt;=3,"B",IF('Data Source'!W351&gt;=2,"C",IF('Data Source'!W351&gt;=1,"D","F")))))),"")</f>
        <v/>
      </c>
      <c r="F351" s="3">
        <f>IF(AND('Data Source'!B351&lt;&gt;"",'Data Source'!S351="F"),IF('Data Source'!X351&gt;=5,"A+",IF('Data Source'!X351&gt;=4,"A",IF('Data Source'!X351&gt;=3.5,"A-",IF('Data Source'!X351&gt;=3,"B",IF('Data Source'!X351&gt;=2,"C",IF('Data Source'!X351&gt;=1,"D","F")))))),"")</f>
        <v/>
      </c>
      <c r="G351" s="3">
        <f>IF(AND('Data Source'!B351&lt;&gt;"",'Data Source'!S351="F"),IF('Data Source'!Y351&gt;=5,"A+",IF('Data Source'!Y351&gt;=4,"A",IF('Data Source'!Y351&gt;=3.5,"A-",IF('Data Source'!Y351&gt;=3,"B",IF('Data Source'!Y351&gt;=2,"C",IF('Data Source'!Y351&gt;=1,"D","F")))))),"")</f>
        <v/>
      </c>
      <c r="H351" s="3">
        <f>IF(AND('Data Source'!B351&lt;&gt;"",'Data Source'!S351="F"),IF('Data Source'!Z351&gt;=5,"A+",IF('Data Source'!Z351&gt;=4,"A",IF('Data Source'!Z351&gt;=3.5,"A-",IF('Data Source'!Z351&gt;=3,"B",IF('Data Source'!Z351&gt;=2,"C",IF('Data Source'!Z351&gt;=1,"D","F")))))),"")</f>
        <v/>
      </c>
      <c r="I351" s="3">
        <f>IF(AND('Data Source'!B351&lt;&gt;"",'Data Source'!S351="F"),IF('Data Source'!AA351&gt;=5,"A+",IF('Data Source'!AA351&gt;=4,"A",IF('Data Source'!AA351&gt;=3.5,"A-",IF('Data Source'!AA351&gt;=3,"B",IF('Data Source'!AA351&gt;=2,"C",IF('Data Source'!AA351&gt;=1,"D","F")))))),"")</f>
        <v/>
      </c>
      <c r="J351" s="3">
        <f>IF(AND('Data Source'!B351&lt;&gt;"",'Data Source'!S351="F"),IF('Data Source'!AB351&gt;=5,"A+",IF('Data Source'!AB351&gt;=4,"A",IF('Data Source'!AB351&gt;=3.5,"A-",IF('Data Source'!AB351&gt;=3,"B",IF('Data Source'!AB351&gt;=2,"C",IF('Data Source'!AB351&gt;=1,"D","F")))))),"")</f>
        <v/>
      </c>
      <c r="K351" s="3">
        <f>IF(AND('Data Source'!B351&lt;&gt;"",'Data Source'!S351="F"),IF('Data Source'!AC351&gt;=5,"A+",IF('Data Source'!AC351&gt;=4,"A",IF('Data Source'!AC351&gt;=3.5,"A-",IF('Data Source'!AC351&gt;=3,"B",IF('Data Source'!AC351&gt;=2,"C",IF('Data Source'!AC351&gt;=1,"D","F")))))),"")</f>
        <v/>
      </c>
      <c r="L351" s="3">
        <f>IF(AND('Data Source'!B351&lt;&gt;"",'Data Source'!S351="F"),IF('Data Source'!AD351&gt;=5,"A+",IF('Data Source'!AD351&gt;=4,"A",IF('Data Source'!AD351&gt;=3.5,"A-",IF('Data Source'!AD351&gt;=3,"B",IF('Data Source'!AD351&gt;=2,"C",IF('Data Source'!AD351&gt;=1,"D","F")))))),"")</f>
        <v/>
      </c>
      <c r="M351" s="3">
        <f>IF(AND('Data Source'!B351&lt;&gt;"",'Data Source'!S351="F"),IF('Data Source'!AE351&gt;=5,"A+",IF('Data Source'!AE351&gt;=4,"A",IF('Data Source'!AE351&gt;=3.5,"A-",IF('Data Source'!AE351&gt;=3,"B",IF('Data Source'!AE351&gt;=2,"C",IF('Data Source'!AE351&gt;=1,"D","F")))))),"")</f>
        <v/>
      </c>
      <c r="N351" s="3">
        <f>IF(AND('Data Source'!B351&lt;&gt;"",'Data Source'!S351="F"),IF('Data Source'!AF351&gt;=5,"A+",IF('Data Source'!AF351&gt;=4,"A",IF('Data Source'!AF351&gt;=3.5,"A-",IF('Data Source'!AF351&gt;=3,"B",IF('Data Source'!AF351&gt;=2,"C",IF('Data Source'!AF351&gt;=1,"D","F")))))),"")</f>
        <v/>
      </c>
      <c r="O351" s="3">
        <f>IF(AND('Data Source'!B351&lt;&gt;"",'Data Source'!S351="F"),IF('Data Source'!AG351&gt;=5,"A+",IF('Data Source'!AG351&gt;=4,"A",IF('Data Source'!AG351&gt;=3.5,"A-",IF('Data Source'!AG351&gt;=3,"B",IF('Data Source'!AG351&gt;=2,"C",IF('Data Source'!AG351&gt;=1,"D","F")))))),"")</f>
        <v/>
      </c>
      <c r="P351" s="5">
        <f>IF(AND('Data Source'!B351&lt;&gt;"",'Data Source'!S351="F"),'Data Source'!R351,"")</f>
        <v/>
      </c>
      <c r="Q351" s="3">
        <f>IF(AND('Data Source'!B351&lt;&gt;"",'Data Source'!S351="F"),'Data Source'!S351,"")</f>
        <v/>
      </c>
    </row>
    <row r="352">
      <c r="A352" s="3">
        <f>IF(AND('Data Source'!B352&lt;&gt;"",'Data Source'!S352="F"),COUNTIF('Data Source'!$S$3:S352,"F"),"")</f>
        <v/>
      </c>
      <c r="B352">
        <f>IF(AND('Data Source'!B352&lt;&gt;"",'Data Source'!S352="F"),'Data Source'!B352,"")</f>
        <v/>
      </c>
      <c r="C352" s="3">
        <f>IF(AND('Data Source'!B352&lt;&gt;"",'Data Source'!S352="F"),IF('Data Source'!U352&gt;=5,"A+",IF('Data Source'!U352&gt;=4,"A",IF('Data Source'!U352&gt;=3.5,"A-",IF('Data Source'!U352&gt;=3,"B",IF('Data Source'!U352&gt;=2,"C",IF('Data Source'!U352&gt;=1,"D","F")))))),"")</f>
        <v/>
      </c>
      <c r="D352" s="3">
        <f>IF(AND('Data Source'!B352&lt;&gt;"",'Data Source'!S352="F"),IF('Data Source'!V352&gt;=5,"A+",IF('Data Source'!V352&gt;=4,"A",IF('Data Source'!V352&gt;=3.5,"A-",IF('Data Source'!V352&gt;=3,"B",IF('Data Source'!V352&gt;=2,"C",IF('Data Source'!V352&gt;=1,"D","F")))))),"")</f>
        <v/>
      </c>
      <c r="E352" s="3">
        <f>IF(AND('Data Source'!B352&lt;&gt;"",'Data Source'!S352="F"),IF('Data Source'!W352&gt;=5,"A+",IF('Data Source'!W352&gt;=4,"A",IF('Data Source'!W352&gt;=3.5,"A-",IF('Data Source'!W352&gt;=3,"B",IF('Data Source'!W352&gt;=2,"C",IF('Data Source'!W352&gt;=1,"D","F")))))),"")</f>
        <v/>
      </c>
      <c r="F352" s="3">
        <f>IF(AND('Data Source'!B352&lt;&gt;"",'Data Source'!S352="F"),IF('Data Source'!X352&gt;=5,"A+",IF('Data Source'!X352&gt;=4,"A",IF('Data Source'!X352&gt;=3.5,"A-",IF('Data Source'!X352&gt;=3,"B",IF('Data Source'!X352&gt;=2,"C",IF('Data Source'!X352&gt;=1,"D","F")))))),"")</f>
        <v/>
      </c>
      <c r="G352" s="3">
        <f>IF(AND('Data Source'!B352&lt;&gt;"",'Data Source'!S352="F"),IF('Data Source'!Y352&gt;=5,"A+",IF('Data Source'!Y352&gt;=4,"A",IF('Data Source'!Y352&gt;=3.5,"A-",IF('Data Source'!Y352&gt;=3,"B",IF('Data Source'!Y352&gt;=2,"C",IF('Data Source'!Y352&gt;=1,"D","F")))))),"")</f>
        <v/>
      </c>
      <c r="H352" s="3">
        <f>IF(AND('Data Source'!B352&lt;&gt;"",'Data Source'!S352="F"),IF('Data Source'!Z352&gt;=5,"A+",IF('Data Source'!Z352&gt;=4,"A",IF('Data Source'!Z352&gt;=3.5,"A-",IF('Data Source'!Z352&gt;=3,"B",IF('Data Source'!Z352&gt;=2,"C",IF('Data Source'!Z352&gt;=1,"D","F")))))),"")</f>
        <v/>
      </c>
      <c r="I352" s="3">
        <f>IF(AND('Data Source'!B352&lt;&gt;"",'Data Source'!S352="F"),IF('Data Source'!AA352&gt;=5,"A+",IF('Data Source'!AA352&gt;=4,"A",IF('Data Source'!AA352&gt;=3.5,"A-",IF('Data Source'!AA352&gt;=3,"B",IF('Data Source'!AA352&gt;=2,"C",IF('Data Source'!AA352&gt;=1,"D","F")))))),"")</f>
        <v/>
      </c>
      <c r="J352" s="3">
        <f>IF(AND('Data Source'!B352&lt;&gt;"",'Data Source'!S352="F"),IF('Data Source'!AB352&gt;=5,"A+",IF('Data Source'!AB352&gt;=4,"A",IF('Data Source'!AB352&gt;=3.5,"A-",IF('Data Source'!AB352&gt;=3,"B",IF('Data Source'!AB352&gt;=2,"C",IF('Data Source'!AB352&gt;=1,"D","F")))))),"")</f>
        <v/>
      </c>
      <c r="K352" s="3">
        <f>IF(AND('Data Source'!B352&lt;&gt;"",'Data Source'!S352="F"),IF('Data Source'!AC352&gt;=5,"A+",IF('Data Source'!AC352&gt;=4,"A",IF('Data Source'!AC352&gt;=3.5,"A-",IF('Data Source'!AC352&gt;=3,"B",IF('Data Source'!AC352&gt;=2,"C",IF('Data Source'!AC352&gt;=1,"D","F")))))),"")</f>
        <v/>
      </c>
      <c r="L352" s="3">
        <f>IF(AND('Data Source'!B352&lt;&gt;"",'Data Source'!S352="F"),IF('Data Source'!AD352&gt;=5,"A+",IF('Data Source'!AD352&gt;=4,"A",IF('Data Source'!AD352&gt;=3.5,"A-",IF('Data Source'!AD352&gt;=3,"B",IF('Data Source'!AD352&gt;=2,"C",IF('Data Source'!AD352&gt;=1,"D","F")))))),"")</f>
        <v/>
      </c>
      <c r="M352" s="3">
        <f>IF(AND('Data Source'!B352&lt;&gt;"",'Data Source'!S352="F"),IF('Data Source'!AE352&gt;=5,"A+",IF('Data Source'!AE352&gt;=4,"A",IF('Data Source'!AE352&gt;=3.5,"A-",IF('Data Source'!AE352&gt;=3,"B",IF('Data Source'!AE352&gt;=2,"C",IF('Data Source'!AE352&gt;=1,"D","F")))))),"")</f>
        <v/>
      </c>
      <c r="N352" s="3">
        <f>IF(AND('Data Source'!B352&lt;&gt;"",'Data Source'!S352="F"),IF('Data Source'!AF352&gt;=5,"A+",IF('Data Source'!AF352&gt;=4,"A",IF('Data Source'!AF352&gt;=3.5,"A-",IF('Data Source'!AF352&gt;=3,"B",IF('Data Source'!AF352&gt;=2,"C",IF('Data Source'!AF352&gt;=1,"D","F")))))),"")</f>
        <v/>
      </c>
      <c r="O352" s="3">
        <f>IF(AND('Data Source'!B352&lt;&gt;"",'Data Source'!S352="F"),IF('Data Source'!AG352&gt;=5,"A+",IF('Data Source'!AG352&gt;=4,"A",IF('Data Source'!AG352&gt;=3.5,"A-",IF('Data Source'!AG352&gt;=3,"B",IF('Data Source'!AG352&gt;=2,"C",IF('Data Source'!AG352&gt;=1,"D","F")))))),"")</f>
        <v/>
      </c>
      <c r="P352" s="5">
        <f>IF(AND('Data Source'!B352&lt;&gt;"",'Data Source'!S352="F"),'Data Source'!R352,"")</f>
        <v/>
      </c>
      <c r="Q352" s="3">
        <f>IF(AND('Data Source'!B352&lt;&gt;"",'Data Source'!S352="F"),'Data Source'!S352,"")</f>
        <v/>
      </c>
    </row>
    <row r="353">
      <c r="A353" s="3">
        <f>IF(AND('Data Source'!B353&lt;&gt;"",'Data Source'!S353="F"),COUNTIF('Data Source'!$S$3:S353,"F"),"")</f>
        <v/>
      </c>
      <c r="B353">
        <f>IF(AND('Data Source'!B353&lt;&gt;"",'Data Source'!S353="F"),'Data Source'!B353,"")</f>
        <v/>
      </c>
      <c r="C353" s="3">
        <f>IF(AND('Data Source'!B353&lt;&gt;"",'Data Source'!S353="F"),IF('Data Source'!U353&gt;=5,"A+",IF('Data Source'!U353&gt;=4,"A",IF('Data Source'!U353&gt;=3.5,"A-",IF('Data Source'!U353&gt;=3,"B",IF('Data Source'!U353&gt;=2,"C",IF('Data Source'!U353&gt;=1,"D","F")))))),"")</f>
        <v/>
      </c>
      <c r="D353" s="3">
        <f>IF(AND('Data Source'!B353&lt;&gt;"",'Data Source'!S353="F"),IF('Data Source'!V353&gt;=5,"A+",IF('Data Source'!V353&gt;=4,"A",IF('Data Source'!V353&gt;=3.5,"A-",IF('Data Source'!V353&gt;=3,"B",IF('Data Source'!V353&gt;=2,"C",IF('Data Source'!V353&gt;=1,"D","F")))))),"")</f>
        <v/>
      </c>
      <c r="E353" s="3">
        <f>IF(AND('Data Source'!B353&lt;&gt;"",'Data Source'!S353="F"),IF('Data Source'!W353&gt;=5,"A+",IF('Data Source'!W353&gt;=4,"A",IF('Data Source'!W353&gt;=3.5,"A-",IF('Data Source'!W353&gt;=3,"B",IF('Data Source'!W353&gt;=2,"C",IF('Data Source'!W353&gt;=1,"D","F")))))),"")</f>
        <v/>
      </c>
      <c r="F353" s="3">
        <f>IF(AND('Data Source'!B353&lt;&gt;"",'Data Source'!S353="F"),IF('Data Source'!X353&gt;=5,"A+",IF('Data Source'!X353&gt;=4,"A",IF('Data Source'!X353&gt;=3.5,"A-",IF('Data Source'!X353&gt;=3,"B",IF('Data Source'!X353&gt;=2,"C",IF('Data Source'!X353&gt;=1,"D","F")))))),"")</f>
        <v/>
      </c>
      <c r="G353" s="3">
        <f>IF(AND('Data Source'!B353&lt;&gt;"",'Data Source'!S353="F"),IF('Data Source'!Y353&gt;=5,"A+",IF('Data Source'!Y353&gt;=4,"A",IF('Data Source'!Y353&gt;=3.5,"A-",IF('Data Source'!Y353&gt;=3,"B",IF('Data Source'!Y353&gt;=2,"C",IF('Data Source'!Y353&gt;=1,"D","F")))))),"")</f>
        <v/>
      </c>
      <c r="H353" s="3">
        <f>IF(AND('Data Source'!B353&lt;&gt;"",'Data Source'!S353="F"),IF('Data Source'!Z353&gt;=5,"A+",IF('Data Source'!Z353&gt;=4,"A",IF('Data Source'!Z353&gt;=3.5,"A-",IF('Data Source'!Z353&gt;=3,"B",IF('Data Source'!Z353&gt;=2,"C",IF('Data Source'!Z353&gt;=1,"D","F")))))),"")</f>
        <v/>
      </c>
      <c r="I353" s="3">
        <f>IF(AND('Data Source'!B353&lt;&gt;"",'Data Source'!S353="F"),IF('Data Source'!AA353&gt;=5,"A+",IF('Data Source'!AA353&gt;=4,"A",IF('Data Source'!AA353&gt;=3.5,"A-",IF('Data Source'!AA353&gt;=3,"B",IF('Data Source'!AA353&gt;=2,"C",IF('Data Source'!AA353&gt;=1,"D","F")))))),"")</f>
        <v/>
      </c>
      <c r="J353" s="3">
        <f>IF(AND('Data Source'!B353&lt;&gt;"",'Data Source'!S353="F"),IF('Data Source'!AB353&gt;=5,"A+",IF('Data Source'!AB353&gt;=4,"A",IF('Data Source'!AB353&gt;=3.5,"A-",IF('Data Source'!AB353&gt;=3,"B",IF('Data Source'!AB353&gt;=2,"C",IF('Data Source'!AB353&gt;=1,"D","F")))))),"")</f>
        <v/>
      </c>
      <c r="K353" s="3">
        <f>IF(AND('Data Source'!B353&lt;&gt;"",'Data Source'!S353="F"),IF('Data Source'!AC353&gt;=5,"A+",IF('Data Source'!AC353&gt;=4,"A",IF('Data Source'!AC353&gt;=3.5,"A-",IF('Data Source'!AC353&gt;=3,"B",IF('Data Source'!AC353&gt;=2,"C",IF('Data Source'!AC353&gt;=1,"D","F")))))),"")</f>
        <v/>
      </c>
      <c r="L353" s="3">
        <f>IF(AND('Data Source'!B353&lt;&gt;"",'Data Source'!S353="F"),IF('Data Source'!AD353&gt;=5,"A+",IF('Data Source'!AD353&gt;=4,"A",IF('Data Source'!AD353&gt;=3.5,"A-",IF('Data Source'!AD353&gt;=3,"B",IF('Data Source'!AD353&gt;=2,"C",IF('Data Source'!AD353&gt;=1,"D","F")))))),"")</f>
        <v/>
      </c>
      <c r="M353" s="3">
        <f>IF(AND('Data Source'!B353&lt;&gt;"",'Data Source'!S353="F"),IF('Data Source'!AE353&gt;=5,"A+",IF('Data Source'!AE353&gt;=4,"A",IF('Data Source'!AE353&gt;=3.5,"A-",IF('Data Source'!AE353&gt;=3,"B",IF('Data Source'!AE353&gt;=2,"C",IF('Data Source'!AE353&gt;=1,"D","F")))))),"")</f>
        <v/>
      </c>
      <c r="N353" s="3">
        <f>IF(AND('Data Source'!B353&lt;&gt;"",'Data Source'!S353="F"),IF('Data Source'!AF353&gt;=5,"A+",IF('Data Source'!AF353&gt;=4,"A",IF('Data Source'!AF353&gt;=3.5,"A-",IF('Data Source'!AF353&gt;=3,"B",IF('Data Source'!AF353&gt;=2,"C",IF('Data Source'!AF353&gt;=1,"D","F")))))),"")</f>
        <v/>
      </c>
      <c r="O353" s="3">
        <f>IF(AND('Data Source'!B353&lt;&gt;"",'Data Source'!S353="F"),IF('Data Source'!AG353&gt;=5,"A+",IF('Data Source'!AG353&gt;=4,"A",IF('Data Source'!AG353&gt;=3.5,"A-",IF('Data Source'!AG353&gt;=3,"B",IF('Data Source'!AG353&gt;=2,"C",IF('Data Source'!AG353&gt;=1,"D","F")))))),"")</f>
        <v/>
      </c>
      <c r="P353" s="5">
        <f>IF(AND('Data Source'!B353&lt;&gt;"",'Data Source'!S353="F"),'Data Source'!R353,"")</f>
        <v/>
      </c>
      <c r="Q353" s="3">
        <f>IF(AND('Data Source'!B353&lt;&gt;"",'Data Source'!S353="F"),'Data Source'!S353,"")</f>
        <v/>
      </c>
    </row>
    <row r="354">
      <c r="A354" s="3">
        <f>IF(AND('Data Source'!B354&lt;&gt;"",'Data Source'!S354="F"),COUNTIF('Data Source'!$S$3:S354,"F"),"")</f>
        <v/>
      </c>
      <c r="B354">
        <f>IF(AND('Data Source'!B354&lt;&gt;"",'Data Source'!S354="F"),'Data Source'!B354,"")</f>
        <v/>
      </c>
      <c r="C354" s="3">
        <f>IF(AND('Data Source'!B354&lt;&gt;"",'Data Source'!S354="F"),IF('Data Source'!U354&gt;=5,"A+",IF('Data Source'!U354&gt;=4,"A",IF('Data Source'!U354&gt;=3.5,"A-",IF('Data Source'!U354&gt;=3,"B",IF('Data Source'!U354&gt;=2,"C",IF('Data Source'!U354&gt;=1,"D","F")))))),"")</f>
        <v/>
      </c>
      <c r="D354" s="3">
        <f>IF(AND('Data Source'!B354&lt;&gt;"",'Data Source'!S354="F"),IF('Data Source'!V354&gt;=5,"A+",IF('Data Source'!V354&gt;=4,"A",IF('Data Source'!V354&gt;=3.5,"A-",IF('Data Source'!V354&gt;=3,"B",IF('Data Source'!V354&gt;=2,"C",IF('Data Source'!V354&gt;=1,"D","F")))))),"")</f>
        <v/>
      </c>
      <c r="E354" s="3">
        <f>IF(AND('Data Source'!B354&lt;&gt;"",'Data Source'!S354="F"),IF('Data Source'!W354&gt;=5,"A+",IF('Data Source'!W354&gt;=4,"A",IF('Data Source'!W354&gt;=3.5,"A-",IF('Data Source'!W354&gt;=3,"B",IF('Data Source'!W354&gt;=2,"C",IF('Data Source'!W354&gt;=1,"D","F")))))),"")</f>
        <v/>
      </c>
      <c r="F354" s="3">
        <f>IF(AND('Data Source'!B354&lt;&gt;"",'Data Source'!S354="F"),IF('Data Source'!X354&gt;=5,"A+",IF('Data Source'!X354&gt;=4,"A",IF('Data Source'!X354&gt;=3.5,"A-",IF('Data Source'!X354&gt;=3,"B",IF('Data Source'!X354&gt;=2,"C",IF('Data Source'!X354&gt;=1,"D","F")))))),"")</f>
        <v/>
      </c>
      <c r="G354" s="3">
        <f>IF(AND('Data Source'!B354&lt;&gt;"",'Data Source'!S354="F"),IF('Data Source'!Y354&gt;=5,"A+",IF('Data Source'!Y354&gt;=4,"A",IF('Data Source'!Y354&gt;=3.5,"A-",IF('Data Source'!Y354&gt;=3,"B",IF('Data Source'!Y354&gt;=2,"C",IF('Data Source'!Y354&gt;=1,"D","F")))))),"")</f>
        <v/>
      </c>
      <c r="H354" s="3">
        <f>IF(AND('Data Source'!B354&lt;&gt;"",'Data Source'!S354="F"),IF('Data Source'!Z354&gt;=5,"A+",IF('Data Source'!Z354&gt;=4,"A",IF('Data Source'!Z354&gt;=3.5,"A-",IF('Data Source'!Z354&gt;=3,"B",IF('Data Source'!Z354&gt;=2,"C",IF('Data Source'!Z354&gt;=1,"D","F")))))),"")</f>
        <v/>
      </c>
      <c r="I354" s="3">
        <f>IF(AND('Data Source'!B354&lt;&gt;"",'Data Source'!S354="F"),IF('Data Source'!AA354&gt;=5,"A+",IF('Data Source'!AA354&gt;=4,"A",IF('Data Source'!AA354&gt;=3.5,"A-",IF('Data Source'!AA354&gt;=3,"B",IF('Data Source'!AA354&gt;=2,"C",IF('Data Source'!AA354&gt;=1,"D","F")))))),"")</f>
        <v/>
      </c>
      <c r="J354" s="3">
        <f>IF(AND('Data Source'!B354&lt;&gt;"",'Data Source'!S354="F"),IF('Data Source'!AB354&gt;=5,"A+",IF('Data Source'!AB354&gt;=4,"A",IF('Data Source'!AB354&gt;=3.5,"A-",IF('Data Source'!AB354&gt;=3,"B",IF('Data Source'!AB354&gt;=2,"C",IF('Data Source'!AB354&gt;=1,"D","F")))))),"")</f>
        <v/>
      </c>
      <c r="K354" s="3">
        <f>IF(AND('Data Source'!B354&lt;&gt;"",'Data Source'!S354="F"),IF('Data Source'!AC354&gt;=5,"A+",IF('Data Source'!AC354&gt;=4,"A",IF('Data Source'!AC354&gt;=3.5,"A-",IF('Data Source'!AC354&gt;=3,"B",IF('Data Source'!AC354&gt;=2,"C",IF('Data Source'!AC354&gt;=1,"D","F")))))),"")</f>
        <v/>
      </c>
      <c r="L354" s="3">
        <f>IF(AND('Data Source'!B354&lt;&gt;"",'Data Source'!S354="F"),IF('Data Source'!AD354&gt;=5,"A+",IF('Data Source'!AD354&gt;=4,"A",IF('Data Source'!AD354&gt;=3.5,"A-",IF('Data Source'!AD354&gt;=3,"B",IF('Data Source'!AD354&gt;=2,"C",IF('Data Source'!AD354&gt;=1,"D","F")))))),"")</f>
        <v/>
      </c>
      <c r="M354" s="3">
        <f>IF(AND('Data Source'!B354&lt;&gt;"",'Data Source'!S354="F"),IF('Data Source'!AE354&gt;=5,"A+",IF('Data Source'!AE354&gt;=4,"A",IF('Data Source'!AE354&gt;=3.5,"A-",IF('Data Source'!AE354&gt;=3,"B",IF('Data Source'!AE354&gt;=2,"C",IF('Data Source'!AE354&gt;=1,"D","F")))))),"")</f>
        <v/>
      </c>
      <c r="N354" s="3">
        <f>IF(AND('Data Source'!B354&lt;&gt;"",'Data Source'!S354="F"),IF('Data Source'!AF354&gt;=5,"A+",IF('Data Source'!AF354&gt;=4,"A",IF('Data Source'!AF354&gt;=3.5,"A-",IF('Data Source'!AF354&gt;=3,"B",IF('Data Source'!AF354&gt;=2,"C",IF('Data Source'!AF354&gt;=1,"D","F")))))),"")</f>
        <v/>
      </c>
      <c r="O354" s="3">
        <f>IF(AND('Data Source'!B354&lt;&gt;"",'Data Source'!S354="F"),IF('Data Source'!AG354&gt;=5,"A+",IF('Data Source'!AG354&gt;=4,"A",IF('Data Source'!AG354&gt;=3.5,"A-",IF('Data Source'!AG354&gt;=3,"B",IF('Data Source'!AG354&gt;=2,"C",IF('Data Source'!AG354&gt;=1,"D","F")))))),"")</f>
        <v/>
      </c>
      <c r="P354" s="5">
        <f>IF(AND('Data Source'!B354&lt;&gt;"",'Data Source'!S354="F"),'Data Source'!R354,"")</f>
        <v/>
      </c>
      <c r="Q354" s="3">
        <f>IF(AND('Data Source'!B354&lt;&gt;"",'Data Source'!S354="F"),'Data Source'!S354,"")</f>
        <v/>
      </c>
    </row>
    <row r="355">
      <c r="A355" s="3">
        <f>IF(AND('Data Source'!B355&lt;&gt;"",'Data Source'!S355="F"),COUNTIF('Data Source'!$S$3:S355,"F"),"")</f>
        <v/>
      </c>
      <c r="B355">
        <f>IF(AND('Data Source'!B355&lt;&gt;"",'Data Source'!S355="F"),'Data Source'!B355,"")</f>
        <v/>
      </c>
      <c r="C355" s="3">
        <f>IF(AND('Data Source'!B355&lt;&gt;"",'Data Source'!S355="F"),IF('Data Source'!U355&gt;=5,"A+",IF('Data Source'!U355&gt;=4,"A",IF('Data Source'!U355&gt;=3.5,"A-",IF('Data Source'!U355&gt;=3,"B",IF('Data Source'!U355&gt;=2,"C",IF('Data Source'!U355&gt;=1,"D","F")))))),"")</f>
        <v/>
      </c>
      <c r="D355" s="3">
        <f>IF(AND('Data Source'!B355&lt;&gt;"",'Data Source'!S355="F"),IF('Data Source'!V355&gt;=5,"A+",IF('Data Source'!V355&gt;=4,"A",IF('Data Source'!V355&gt;=3.5,"A-",IF('Data Source'!V355&gt;=3,"B",IF('Data Source'!V355&gt;=2,"C",IF('Data Source'!V355&gt;=1,"D","F")))))),"")</f>
        <v/>
      </c>
      <c r="E355" s="3">
        <f>IF(AND('Data Source'!B355&lt;&gt;"",'Data Source'!S355="F"),IF('Data Source'!W355&gt;=5,"A+",IF('Data Source'!W355&gt;=4,"A",IF('Data Source'!W355&gt;=3.5,"A-",IF('Data Source'!W355&gt;=3,"B",IF('Data Source'!W355&gt;=2,"C",IF('Data Source'!W355&gt;=1,"D","F")))))),"")</f>
        <v/>
      </c>
      <c r="F355" s="3">
        <f>IF(AND('Data Source'!B355&lt;&gt;"",'Data Source'!S355="F"),IF('Data Source'!X355&gt;=5,"A+",IF('Data Source'!X355&gt;=4,"A",IF('Data Source'!X355&gt;=3.5,"A-",IF('Data Source'!X355&gt;=3,"B",IF('Data Source'!X355&gt;=2,"C",IF('Data Source'!X355&gt;=1,"D","F")))))),"")</f>
        <v/>
      </c>
      <c r="G355" s="3">
        <f>IF(AND('Data Source'!B355&lt;&gt;"",'Data Source'!S355="F"),IF('Data Source'!Y355&gt;=5,"A+",IF('Data Source'!Y355&gt;=4,"A",IF('Data Source'!Y355&gt;=3.5,"A-",IF('Data Source'!Y355&gt;=3,"B",IF('Data Source'!Y355&gt;=2,"C",IF('Data Source'!Y355&gt;=1,"D","F")))))),"")</f>
        <v/>
      </c>
      <c r="H355" s="3">
        <f>IF(AND('Data Source'!B355&lt;&gt;"",'Data Source'!S355="F"),IF('Data Source'!Z355&gt;=5,"A+",IF('Data Source'!Z355&gt;=4,"A",IF('Data Source'!Z355&gt;=3.5,"A-",IF('Data Source'!Z355&gt;=3,"B",IF('Data Source'!Z355&gt;=2,"C",IF('Data Source'!Z355&gt;=1,"D","F")))))),"")</f>
        <v/>
      </c>
      <c r="I355" s="3">
        <f>IF(AND('Data Source'!B355&lt;&gt;"",'Data Source'!S355="F"),IF('Data Source'!AA355&gt;=5,"A+",IF('Data Source'!AA355&gt;=4,"A",IF('Data Source'!AA355&gt;=3.5,"A-",IF('Data Source'!AA355&gt;=3,"B",IF('Data Source'!AA355&gt;=2,"C",IF('Data Source'!AA355&gt;=1,"D","F")))))),"")</f>
        <v/>
      </c>
      <c r="J355" s="3">
        <f>IF(AND('Data Source'!B355&lt;&gt;"",'Data Source'!S355="F"),IF('Data Source'!AB355&gt;=5,"A+",IF('Data Source'!AB355&gt;=4,"A",IF('Data Source'!AB355&gt;=3.5,"A-",IF('Data Source'!AB355&gt;=3,"B",IF('Data Source'!AB355&gt;=2,"C",IF('Data Source'!AB355&gt;=1,"D","F")))))),"")</f>
        <v/>
      </c>
      <c r="K355" s="3">
        <f>IF(AND('Data Source'!B355&lt;&gt;"",'Data Source'!S355="F"),IF('Data Source'!AC355&gt;=5,"A+",IF('Data Source'!AC355&gt;=4,"A",IF('Data Source'!AC355&gt;=3.5,"A-",IF('Data Source'!AC355&gt;=3,"B",IF('Data Source'!AC355&gt;=2,"C",IF('Data Source'!AC355&gt;=1,"D","F")))))),"")</f>
        <v/>
      </c>
      <c r="L355" s="3">
        <f>IF(AND('Data Source'!B355&lt;&gt;"",'Data Source'!S355="F"),IF('Data Source'!AD355&gt;=5,"A+",IF('Data Source'!AD355&gt;=4,"A",IF('Data Source'!AD355&gt;=3.5,"A-",IF('Data Source'!AD355&gt;=3,"B",IF('Data Source'!AD355&gt;=2,"C",IF('Data Source'!AD355&gt;=1,"D","F")))))),"")</f>
        <v/>
      </c>
      <c r="M355" s="3">
        <f>IF(AND('Data Source'!B355&lt;&gt;"",'Data Source'!S355="F"),IF('Data Source'!AE355&gt;=5,"A+",IF('Data Source'!AE355&gt;=4,"A",IF('Data Source'!AE355&gt;=3.5,"A-",IF('Data Source'!AE355&gt;=3,"B",IF('Data Source'!AE355&gt;=2,"C",IF('Data Source'!AE355&gt;=1,"D","F")))))),"")</f>
        <v/>
      </c>
      <c r="N355" s="3">
        <f>IF(AND('Data Source'!B355&lt;&gt;"",'Data Source'!S355="F"),IF('Data Source'!AF355&gt;=5,"A+",IF('Data Source'!AF355&gt;=4,"A",IF('Data Source'!AF355&gt;=3.5,"A-",IF('Data Source'!AF355&gt;=3,"B",IF('Data Source'!AF355&gt;=2,"C",IF('Data Source'!AF355&gt;=1,"D","F")))))),"")</f>
        <v/>
      </c>
      <c r="O355" s="3">
        <f>IF(AND('Data Source'!B355&lt;&gt;"",'Data Source'!S355="F"),IF('Data Source'!AG355&gt;=5,"A+",IF('Data Source'!AG355&gt;=4,"A",IF('Data Source'!AG355&gt;=3.5,"A-",IF('Data Source'!AG355&gt;=3,"B",IF('Data Source'!AG355&gt;=2,"C",IF('Data Source'!AG355&gt;=1,"D","F")))))),"")</f>
        <v/>
      </c>
      <c r="P355" s="5">
        <f>IF(AND('Data Source'!B355&lt;&gt;"",'Data Source'!S355="F"),'Data Source'!R355,"")</f>
        <v/>
      </c>
      <c r="Q355" s="3">
        <f>IF(AND('Data Source'!B355&lt;&gt;"",'Data Source'!S355="F"),'Data Source'!S355,"")</f>
        <v/>
      </c>
    </row>
    <row r="356">
      <c r="A356" s="3">
        <f>IF(AND('Data Source'!B356&lt;&gt;"",'Data Source'!S356="F"),COUNTIF('Data Source'!$S$3:S356,"F"),"")</f>
        <v/>
      </c>
      <c r="B356">
        <f>IF(AND('Data Source'!B356&lt;&gt;"",'Data Source'!S356="F"),'Data Source'!B356,"")</f>
        <v/>
      </c>
      <c r="C356" s="3">
        <f>IF(AND('Data Source'!B356&lt;&gt;"",'Data Source'!S356="F"),IF('Data Source'!U356&gt;=5,"A+",IF('Data Source'!U356&gt;=4,"A",IF('Data Source'!U356&gt;=3.5,"A-",IF('Data Source'!U356&gt;=3,"B",IF('Data Source'!U356&gt;=2,"C",IF('Data Source'!U356&gt;=1,"D","F")))))),"")</f>
        <v/>
      </c>
      <c r="D356" s="3">
        <f>IF(AND('Data Source'!B356&lt;&gt;"",'Data Source'!S356="F"),IF('Data Source'!V356&gt;=5,"A+",IF('Data Source'!V356&gt;=4,"A",IF('Data Source'!V356&gt;=3.5,"A-",IF('Data Source'!V356&gt;=3,"B",IF('Data Source'!V356&gt;=2,"C",IF('Data Source'!V356&gt;=1,"D","F")))))),"")</f>
        <v/>
      </c>
      <c r="E356" s="3">
        <f>IF(AND('Data Source'!B356&lt;&gt;"",'Data Source'!S356="F"),IF('Data Source'!W356&gt;=5,"A+",IF('Data Source'!W356&gt;=4,"A",IF('Data Source'!W356&gt;=3.5,"A-",IF('Data Source'!W356&gt;=3,"B",IF('Data Source'!W356&gt;=2,"C",IF('Data Source'!W356&gt;=1,"D","F")))))),"")</f>
        <v/>
      </c>
      <c r="F356" s="3">
        <f>IF(AND('Data Source'!B356&lt;&gt;"",'Data Source'!S356="F"),IF('Data Source'!X356&gt;=5,"A+",IF('Data Source'!X356&gt;=4,"A",IF('Data Source'!X356&gt;=3.5,"A-",IF('Data Source'!X356&gt;=3,"B",IF('Data Source'!X356&gt;=2,"C",IF('Data Source'!X356&gt;=1,"D","F")))))),"")</f>
        <v/>
      </c>
      <c r="G356" s="3">
        <f>IF(AND('Data Source'!B356&lt;&gt;"",'Data Source'!S356="F"),IF('Data Source'!Y356&gt;=5,"A+",IF('Data Source'!Y356&gt;=4,"A",IF('Data Source'!Y356&gt;=3.5,"A-",IF('Data Source'!Y356&gt;=3,"B",IF('Data Source'!Y356&gt;=2,"C",IF('Data Source'!Y356&gt;=1,"D","F")))))),"")</f>
        <v/>
      </c>
      <c r="H356" s="3">
        <f>IF(AND('Data Source'!B356&lt;&gt;"",'Data Source'!S356="F"),IF('Data Source'!Z356&gt;=5,"A+",IF('Data Source'!Z356&gt;=4,"A",IF('Data Source'!Z356&gt;=3.5,"A-",IF('Data Source'!Z356&gt;=3,"B",IF('Data Source'!Z356&gt;=2,"C",IF('Data Source'!Z356&gt;=1,"D","F")))))),"")</f>
        <v/>
      </c>
      <c r="I356" s="3">
        <f>IF(AND('Data Source'!B356&lt;&gt;"",'Data Source'!S356="F"),IF('Data Source'!AA356&gt;=5,"A+",IF('Data Source'!AA356&gt;=4,"A",IF('Data Source'!AA356&gt;=3.5,"A-",IF('Data Source'!AA356&gt;=3,"B",IF('Data Source'!AA356&gt;=2,"C",IF('Data Source'!AA356&gt;=1,"D","F")))))),"")</f>
        <v/>
      </c>
      <c r="J356" s="3">
        <f>IF(AND('Data Source'!B356&lt;&gt;"",'Data Source'!S356="F"),IF('Data Source'!AB356&gt;=5,"A+",IF('Data Source'!AB356&gt;=4,"A",IF('Data Source'!AB356&gt;=3.5,"A-",IF('Data Source'!AB356&gt;=3,"B",IF('Data Source'!AB356&gt;=2,"C",IF('Data Source'!AB356&gt;=1,"D","F")))))),"")</f>
        <v/>
      </c>
      <c r="K356" s="3">
        <f>IF(AND('Data Source'!B356&lt;&gt;"",'Data Source'!S356="F"),IF('Data Source'!AC356&gt;=5,"A+",IF('Data Source'!AC356&gt;=4,"A",IF('Data Source'!AC356&gt;=3.5,"A-",IF('Data Source'!AC356&gt;=3,"B",IF('Data Source'!AC356&gt;=2,"C",IF('Data Source'!AC356&gt;=1,"D","F")))))),"")</f>
        <v/>
      </c>
      <c r="L356" s="3">
        <f>IF(AND('Data Source'!B356&lt;&gt;"",'Data Source'!S356="F"),IF('Data Source'!AD356&gt;=5,"A+",IF('Data Source'!AD356&gt;=4,"A",IF('Data Source'!AD356&gt;=3.5,"A-",IF('Data Source'!AD356&gt;=3,"B",IF('Data Source'!AD356&gt;=2,"C",IF('Data Source'!AD356&gt;=1,"D","F")))))),"")</f>
        <v/>
      </c>
      <c r="M356" s="3">
        <f>IF(AND('Data Source'!B356&lt;&gt;"",'Data Source'!S356="F"),IF('Data Source'!AE356&gt;=5,"A+",IF('Data Source'!AE356&gt;=4,"A",IF('Data Source'!AE356&gt;=3.5,"A-",IF('Data Source'!AE356&gt;=3,"B",IF('Data Source'!AE356&gt;=2,"C",IF('Data Source'!AE356&gt;=1,"D","F")))))),"")</f>
        <v/>
      </c>
      <c r="N356" s="3">
        <f>IF(AND('Data Source'!B356&lt;&gt;"",'Data Source'!S356="F"),IF('Data Source'!AF356&gt;=5,"A+",IF('Data Source'!AF356&gt;=4,"A",IF('Data Source'!AF356&gt;=3.5,"A-",IF('Data Source'!AF356&gt;=3,"B",IF('Data Source'!AF356&gt;=2,"C",IF('Data Source'!AF356&gt;=1,"D","F")))))),"")</f>
        <v/>
      </c>
      <c r="O356" s="3">
        <f>IF(AND('Data Source'!B356&lt;&gt;"",'Data Source'!S356="F"),IF('Data Source'!AG356&gt;=5,"A+",IF('Data Source'!AG356&gt;=4,"A",IF('Data Source'!AG356&gt;=3.5,"A-",IF('Data Source'!AG356&gt;=3,"B",IF('Data Source'!AG356&gt;=2,"C",IF('Data Source'!AG356&gt;=1,"D","F")))))),"")</f>
        <v/>
      </c>
      <c r="P356" s="5">
        <f>IF(AND('Data Source'!B356&lt;&gt;"",'Data Source'!S356="F"),'Data Source'!R356,"")</f>
        <v/>
      </c>
      <c r="Q356" s="3">
        <f>IF(AND('Data Source'!B356&lt;&gt;"",'Data Source'!S356="F"),'Data Source'!S356,"")</f>
        <v/>
      </c>
    </row>
    <row r="357">
      <c r="A357" s="3">
        <f>IF(AND('Data Source'!B357&lt;&gt;"",'Data Source'!S357="F"),COUNTIF('Data Source'!$S$3:S357,"F"),"")</f>
        <v/>
      </c>
      <c r="B357">
        <f>IF(AND('Data Source'!B357&lt;&gt;"",'Data Source'!S357="F"),'Data Source'!B357,"")</f>
        <v/>
      </c>
      <c r="C357" s="3">
        <f>IF(AND('Data Source'!B357&lt;&gt;"",'Data Source'!S357="F"),IF('Data Source'!U357&gt;=5,"A+",IF('Data Source'!U357&gt;=4,"A",IF('Data Source'!U357&gt;=3.5,"A-",IF('Data Source'!U357&gt;=3,"B",IF('Data Source'!U357&gt;=2,"C",IF('Data Source'!U357&gt;=1,"D","F")))))),"")</f>
        <v/>
      </c>
      <c r="D357" s="3">
        <f>IF(AND('Data Source'!B357&lt;&gt;"",'Data Source'!S357="F"),IF('Data Source'!V357&gt;=5,"A+",IF('Data Source'!V357&gt;=4,"A",IF('Data Source'!V357&gt;=3.5,"A-",IF('Data Source'!V357&gt;=3,"B",IF('Data Source'!V357&gt;=2,"C",IF('Data Source'!V357&gt;=1,"D","F")))))),"")</f>
        <v/>
      </c>
      <c r="E357" s="3">
        <f>IF(AND('Data Source'!B357&lt;&gt;"",'Data Source'!S357="F"),IF('Data Source'!W357&gt;=5,"A+",IF('Data Source'!W357&gt;=4,"A",IF('Data Source'!W357&gt;=3.5,"A-",IF('Data Source'!W357&gt;=3,"B",IF('Data Source'!W357&gt;=2,"C",IF('Data Source'!W357&gt;=1,"D","F")))))),"")</f>
        <v/>
      </c>
      <c r="F357" s="3">
        <f>IF(AND('Data Source'!B357&lt;&gt;"",'Data Source'!S357="F"),IF('Data Source'!X357&gt;=5,"A+",IF('Data Source'!X357&gt;=4,"A",IF('Data Source'!X357&gt;=3.5,"A-",IF('Data Source'!X357&gt;=3,"B",IF('Data Source'!X357&gt;=2,"C",IF('Data Source'!X357&gt;=1,"D","F")))))),"")</f>
        <v/>
      </c>
      <c r="G357" s="3">
        <f>IF(AND('Data Source'!B357&lt;&gt;"",'Data Source'!S357="F"),IF('Data Source'!Y357&gt;=5,"A+",IF('Data Source'!Y357&gt;=4,"A",IF('Data Source'!Y357&gt;=3.5,"A-",IF('Data Source'!Y357&gt;=3,"B",IF('Data Source'!Y357&gt;=2,"C",IF('Data Source'!Y357&gt;=1,"D","F")))))),"")</f>
        <v/>
      </c>
      <c r="H357" s="3">
        <f>IF(AND('Data Source'!B357&lt;&gt;"",'Data Source'!S357="F"),IF('Data Source'!Z357&gt;=5,"A+",IF('Data Source'!Z357&gt;=4,"A",IF('Data Source'!Z357&gt;=3.5,"A-",IF('Data Source'!Z357&gt;=3,"B",IF('Data Source'!Z357&gt;=2,"C",IF('Data Source'!Z357&gt;=1,"D","F")))))),"")</f>
        <v/>
      </c>
      <c r="I357" s="3">
        <f>IF(AND('Data Source'!B357&lt;&gt;"",'Data Source'!S357="F"),IF('Data Source'!AA357&gt;=5,"A+",IF('Data Source'!AA357&gt;=4,"A",IF('Data Source'!AA357&gt;=3.5,"A-",IF('Data Source'!AA357&gt;=3,"B",IF('Data Source'!AA357&gt;=2,"C",IF('Data Source'!AA357&gt;=1,"D","F")))))),"")</f>
        <v/>
      </c>
      <c r="J357" s="3">
        <f>IF(AND('Data Source'!B357&lt;&gt;"",'Data Source'!S357="F"),IF('Data Source'!AB357&gt;=5,"A+",IF('Data Source'!AB357&gt;=4,"A",IF('Data Source'!AB357&gt;=3.5,"A-",IF('Data Source'!AB357&gt;=3,"B",IF('Data Source'!AB357&gt;=2,"C",IF('Data Source'!AB357&gt;=1,"D","F")))))),"")</f>
        <v/>
      </c>
      <c r="K357" s="3">
        <f>IF(AND('Data Source'!B357&lt;&gt;"",'Data Source'!S357="F"),IF('Data Source'!AC357&gt;=5,"A+",IF('Data Source'!AC357&gt;=4,"A",IF('Data Source'!AC357&gt;=3.5,"A-",IF('Data Source'!AC357&gt;=3,"B",IF('Data Source'!AC357&gt;=2,"C",IF('Data Source'!AC357&gt;=1,"D","F")))))),"")</f>
        <v/>
      </c>
      <c r="L357" s="3">
        <f>IF(AND('Data Source'!B357&lt;&gt;"",'Data Source'!S357="F"),IF('Data Source'!AD357&gt;=5,"A+",IF('Data Source'!AD357&gt;=4,"A",IF('Data Source'!AD357&gt;=3.5,"A-",IF('Data Source'!AD357&gt;=3,"B",IF('Data Source'!AD357&gt;=2,"C",IF('Data Source'!AD357&gt;=1,"D","F")))))),"")</f>
        <v/>
      </c>
      <c r="M357" s="3">
        <f>IF(AND('Data Source'!B357&lt;&gt;"",'Data Source'!S357="F"),IF('Data Source'!AE357&gt;=5,"A+",IF('Data Source'!AE357&gt;=4,"A",IF('Data Source'!AE357&gt;=3.5,"A-",IF('Data Source'!AE357&gt;=3,"B",IF('Data Source'!AE357&gt;=2,"C",IF('Data Source'!AE357&gt;=1,"D","F")))))),"")</f>
        <v/>
      </c>
      <c r="N357" s="3">
        <f>IF(AND('Data Source'!B357&lt;&gt;"",'Data Source'!S357="F"),IF('Data Source'!AF357&gt;=5,"A+",IF('Data Source'!AF357&gt;=4,"A",IF('Data Source'!AF357&gt;=3.5,"A-",IF('Data Source'!AF357&gt;=3,"B",IF('Data Source'!AF357&gt;=2,"C",IF('Data Source'!AF357&gt;=1,"D","F")))))),"")</f>
        <v/>
      </c>
      <c r="O357" s="3">
        <f>IF(AND('Data Source'!B357&lt;&gt;"",'Data Source'!S357="F"),IF('Data Source'!AG357&gt;=5,"A+",IF('Data Source'!AG357&gt;=4,"A",IF('Data Source'!AG357&gt;=3.5,"A-",IF('Data Source'!AG357&gt;=3,"B",IF('Data Source'!AG357&gt;=2,"C",IF('Data Source'!AG357&gt;=1,"D","F")))))),"")</f>
        <v/>
      </c>
      <c r="P357" s="5">
        <f>IF(AND('Data Source'!B357&lt;&gt;"",'Data Source'!S357="F"),'Data Source'!R357,"")</f>
        <v/>
      </c>
      <c r="Q357" s="3">
        <f>IF(AND('Data Source'!B357&lt;&gt;"",'Data Source'!S357="F"),'Data Source'!S357,"")</f>
        <v/>
      </c>
    </row>
    <row r="358">
      <c r="A358" s="3">
        <f>IF(AND('Data Source'!B358&lt;&gt;"",'Data Source'!S358="F"),COUNTIF('Data Source'!$S$3:S358,"F"),"")</f>
        <v/>
      </c>
      <c r="B358">
        <f>IF(AND('Data Source'!B358&lt;&gt;"",'Data Source'!S358="F"),'Data Source'!B358,"")</f>
        <v/>
      </c>
      <c r="C358" s="3">
        <f>IF(AND('Data Source'!B358&lt;&gt;"",'Data Source'!S358="F"),IF('Data Source'!U358&gt;=5,"A+",IF('Data Source'!U358&gt;=4,"A",IF('Data Source'!U358&gt;=3.5,"A-",IF('Data Source'!U358&gt;=3,"B",IF('Data Source'!U358&gt;=2,"C",IF('Data Source'!U358&gt;=1,"D","F")))))),"")</f>
        <v/>
      </c>
      <c r="D358" s="3">
        <f>IF(AND('Data Source'!B358&lt;&gt;"",'Data Source'!S358="F"),IF('Data Source'!V358&gt;=5,"A+",IF('Data Source'!V358&gt;=4,"A",IF('Data Source'!V358&gt;=3.5,"A-",IF('Data Source'!V358&gt;=3,"B",IF('Data Source'!V358&gt;=2,"C",IF('Data Source'!V358&gt;=1,"D","F")))))),"")</f>
        <v/>
      </c>
      <c r="E358" s="3">
        <f>IF(AND('Data Source'!B358&lt;&gt;"",'Data Source'!S358="F"),IF('Data Source'!W358&gt;=5,"A+",IF('Data Source'!W358&gt;=4,"A",IF('Data Source'!W358&gt;=3.5,"A-",IF('Data Source'!W358&gt;=3,"B",IF('Data Source'!W358&gt;=2,"C",IF('Data Source'!W358&gt;=1,"D","F")))))),"")</f>
        <v/>
      </c>
      <c r="F358" s="3">
        <f>IF(AND('Data Source'!B358&lt;&gt;"",'Data Source'!S358="F"),IF('Data Source'!X358&gt;=5,"A+",IF('Data Source'!X358&gt;=4,"A",IF('Data Source'!X358&gt;=3.5,"A-",IF('Data Source'!X358&gt;=3,"B",IF('Data Source'!X358&gt;=2,"C",IF('Data Source'!X358&gt;=1,"D","F")))))),"")</f>
        <v/>
      </c>
      <c r="G358" s="3">
        <f>IF(AND('Data Source'!B358&lt;&gt;"",'Data Source'!S358="F"),IF('Data Source'!Y358&gt;=5,"A+",IF('Data Source'!Y358&gt;=4,"A",IF('Data Source'!Y358&gt;=3.5,"A-",IF('Data Source'!Y358&gt;=3,"B",IF('Data Source'!Y358&gt;=2,"C",IF('Data Source'!Y358&gt;=1,"D","F")))))),"")</f>
        <v/>
      </c>
      <c r="H358" s="3">
        <f>IF(AND('Data Source'!B358&lt;&gt;"",'Data Source'!S358="F"),IF('Data Source'!Z358&gt;=5,"A+",IF('Data Source'!Z358&gt;=4,"A",IF('Data Source'!Z358&gt;=3.5,"A-",IF('Data Source'!Z358&gt;=3,"B",IF('Data Source'!Z358&gt;=2,"C",IF('Data Source'!Z358&gt;=1,"D","F")))))),"")</f>
        <v/>
      </c>
      <c r="I358" s="3">
        <f>IF(AND('Data Source'!B358&lt;&gt;"",'Data Source'!S358="F"),IF('Data Source'!AA358&gt;=5,"A+",IF('Data Source'!AA358&gt;=4,"A",IF('Data Source'!AA358&gt;=3.5,"A-",IF('Data Source'!AA358&gt;=3,"B",IF('Data Source'!AA358&gt;=2,"C",IF('Data Source'!AA358&gt;=1,"D","F")))))),"")</f>
        <v/>
      </c>
      <c r="J358" s="3">
        <f>IF(AND('Data Source'!B358&lt;&gt;"",'Data Source'!S358="F"),IF('Data Source'!AB358&gt;=5,"A+",IF('Data Source'!AB358&gt;=4,"A",IF('Data Source'!AB358&gt;=3.5,"A-",IF('Data Source'!AB358&gt;=3,"B",IF('Data Source'!AB358&gt;=2,"C",IF('Data Source'!AB358&gt;=1,"D","F")))))),"")</f>
        <v/>
      </c>
      <c r="K358" s="3">
        <f>IF(AND('Data Source'!B358&lt;&gt;"",'Data Source'!S358="F"),IF('Data Source'!AC358&gt;=5,"A+",IF('Data Source'!AC358&gt;=4,"A",IF('Data Source'!AC358&gt;=3.5,"A-",IF('Data Source'!AC358&gt;=3,"B",IF('Data Source'!AC358&gt;=2,"C",IF('Data Source'!AC358&gt;=1,"D","F")))))),"")</f>
        <v/>
      </c>
      <c r="L358" s="3">
        <f>IF(AND('Data Source'!B358&lt;&gt;"",'Data Source'!S358="F"),IF('Data Source'!AD358&gt;=5,"A+",IF('Data Source'!AD358&gt;=4,"A",IF('Data Source'!AD358&gt;=3.5,"A-",IF('Data Source'!AD358&gt;=3,"B",IF('Data Source'!AD358&gt;=2,"C",IF('Data Source'!AD358&gt;=1,"D","F")))))),"")</f>
        <v/>
      </c>
      <c r="M358" s="3">
        <f>IF(AND('Data Source'!B358&lt;&gt;"",'Data Source'!S358="F"),IF('Data Source'!AE358&gt;=5,"A+",IF('Data Source'!AE358&gt;=4,"A",IF('Data Source'!AE358&gt;=3.5,"A-",IF('Data Source'!AE358&gt;=3,"B",IF('Data Source'!AE358&gt;=2,"C",IF('Data Source'!AE358&gt;=1,"D","F")))))),"")</f>
        <v/>
      </c>
      <c r="N358" s="3">
        <f>IF(AND('Data Source'!B358&lt;&gt;"",'Data Source'!S358="F"),IF('Data Source'!AF358&gt;=5,"A+",IF('Data Source'!AF358&gt;=4,"A",IF('Data Source'!AF358&gt;=3.5,"A-",IF('Data Source'!AF358&gt;=3,"B",IF('Data Source'!AF358&gt;=2,"C",IF('Data Source'!AF358&gt;=1,"D","F")))))),"")</f>
        <v/>
      </c>
      <c r="O358" s="3">
        <f>IF(AND('Data Source'!B358&lt;&gt;"",'Data Source'!S358="F"),IF('Data Source'!AG358&gt;=5,"A+",IF('Data Source'!AG358&gt;=4,"A",IF('Data Source'!AG358&gt;=3.5,"A-",IF('Data Source'!AG358&gt;=3,"B",IF('Data Source'!AG358&gt;=2,"C",IF('Data Source'!AG358&gt;=1,"D","F")))))),"")</f>
        <v/>
      </c>
      <c r="P358" s="5">
        <f>IF(AND('Data Source'!B358&lt;&gt;"",'Data Source'!S358="F"),'Data Source'!R358,"")</f>
        <v/>
      </c>
      <c r="Q358" s="3">
        <f>IF(AND('Data Source'!B358&lt;&gt;"",'Data Source'!S358="F"),'Data Source'!S358,"")</f>
        <v/>
      </c>
    </row>
    <row r="359">
      <c r="A359" s="3">
        <f>IF(AND('Data Source'!B359&lt;&gt;"",'Data Source'!S359="F"),COUNTIF('Data Source'!$S$3:S359,"F"),"")</f>
        <v/>
      </c>
      <c r="B359">
        <f>IF(AND('Data Source'!B359&lt;&gt;"",'Data Source'!S359="F"),'Data Source'!B359,"")</f>
        <v/>
      </c>
      <c r="C359" s="3">
        <f>IF(AND('Data Source'!B359&lt;&gt;"",'Data Source'!S359="F"),IF('Data Source'!U359&gt;=5,"A+",IF('Data Source'!U359&gt;=4,"A",IF('Data Source'!U359&gt;=3.5,"A-",IF('Data Source'!U359&gt;=3,"B",IF('Data Source'!U359&gt;=2,"C",IF('Data Source'!U359&gt;=1,"D","F")))))),"")</f>
        <v/>
      </c>
      <c r="D359" s="3">
        <f>IF(AND('Data Source'!B359&lt;&gt;"",'Data Source'!S359="F"),IF('Data Source'!V359&gt;=5,"A+",IF('Data Source'!V359&gt;=4,"A",IF('Data Source'!V359&gt;=3.5,"A-",IF('Data Source'!V359&gt;=3,"B",IF('Data Source'!V359&gt;=2,"C",IF('Data Source'!V359&gt;=1,"D","F")))))),"")</f>
        <v/>
      </c>
      <c r="E359" s="3">
        <f>IF(AND('Data Source'!B359&lt;&gt;"",'Data Source'!S359="F"),IF('Data Source'!W359&gt;=5,"A+",IF('Data Source'!W359&gt;=4,"A",IF('Data Source'!W359&gt;=3.5,"A-",IF('Data Source'!W359&gt;=3,"B",IF('Data Source'!W359&gt;=2,"C",IF('Data Source'!W359&gt;=1,"D","F")))))),"")</f>
        <v/>
      </c>
      <c r="F359" s="3">
        <f>IF(AND('Data Source'!B359&lt;&gt;"",'Data Source'!S359="F"),IF('Data Source'!X359&gt;=5,"A+",IF('Data Source'!X359&gt;=4,"A",IF('Data Source'!X359&gt;=3.5,"A-",IF('Data Source'!X359&gt;=3,"B",IF('Data Source'!X359&gt;=2,"C",IF('Data Source'!X359&gt;=1,"D","F")))))),"")</f>
        <v/>
      </c>
      <c r="G359" s="3">
        <f>IF(AND('Data Source'!B359&lt;&gt;"",'Data Source'!S359="F"),IF('Data Source'!Y359&gt;=5,"A+",IF('Data Source'!Y359&gt;=4,"A",IF('Data Source'!Y359&gt;=3.5,"A-",IF('Data Source'!Y359&gt;=3,"B",IF('Data Source'!Y359&gt;=2,"C",IF('Data Source'!Y359&gt;=1,"D","F")))))),"")</f>
        <v/>
      </c>
      <c r="H359" s="3">
        <f>IF(AND('Data Source'!B359&lt;&gt;"",'Data Source'!S359="F"),IF('Data Source'!Z359&gt;=5,"A+",IF('Data Source'!Z359&gt;=4,"A",IF('Data Source'!Z359&gt;=3.5,"A-",IF('Data Source'!Z359&gt;=3,"B",IF('Data Source'!Z359&gt;=2,"C",IF('Data Source'!Z359&gt;=1,"D","F")))))),"")</f>
        <v/>
      </c>
      <c r="I359" s="3">
        <f>IF(AND('Data Source'!B359&lt;&gt;"",'Data Source'!S359="F"),IF('Data Source'!AA359&gt;=5,"A+",IF('Data Source'!AA359&gt;=4,"A",IF('Data Source'!AA359&gt;=3.5,"A-",IF('Data Source'!AA359&gt;=3,"B",IF('Data Source'!AA359&gt;=2,"C",IF('Data Source'!AA359&gt;=1,"D","F")))))),"")</f>
        <v/>
      </c>
      <c r="J359" s="3">
        <f>IF(AND('Data Source'!B359&lt;&gt;"",'Data Source'!S359="F"),IF('Data Source'!AB359&gt;=5,"A+",IF('Data Source'!AB359&gt;=4,"A",IF('Data Source'!AB359&gt;=3.5,"A-",IF('Data Source'!AB359&gt;=3,"B",IF('Data Source'!AB359&gt;=2,"C",IF('Data Source'!AB359&gt;=1,"D","F")))))),"")</f>
        <v/>
      </c>
      <c r="K359" s="3">
        <f>IF(AND('Data Source'!B359&lt;&gt;"",'Data Source'!S359="F"),IF('Data Source'!AC359&gt;=5,"A+",IF('Data Source'!AC359&gt;=4,"A",IF('Data Source'!AC359&gt;=3.5,"A-",IF('Data Source'!AC359&gt;=3,"B",IF('Data Source'!AC359&gt;=2,"C",IF('Data Source'!AC359&gt;=1,"D","F")))))),"")</f>
        <v/>
      </c>
      <c r="L359" s="3">
        <f>IF(AND('Data Source'!B359&lt;&gt;"",'Data Source'!S359="F"),IF('Data Source'!AD359&gt;=5,"A+",IF('Data Source'!AD359&gt;=4,"A",IF('Data Source'!AD359&gt;=3.5,"A-",IF('Data Source'!AD359&gt;=3,"B",IF('Data Source'!AD359&gt;=2,"C",IF('Data Source'!AD359&gt;=1,"D","F")))))),"")</f>
        <v/>
      </c>
      <c r="M359" s="3">
        <f>IF(AND('Data Source'!B359&lt;&gt;"",'Data Source'!S359="F"),IF('Data Source'!AE359&gt;=5,"A+",IF('Data Source'!AE359&gt;=4,"A",IF('Data Source'!AE359&gt;=3.5,"A-",IF('Data Source'!AE359&gt;=3,"B",IF('Data Source'!AE359&gt;=2,"C",IF('Data Source'!AE359&gt;=1,"D","F")))))),"")</f>
        <v/>
      </c>
      <c r="N359" s="3">
        <f>IF(AND('Data Source'!B359&lt;&gt;"",'Data Source'!S359="F"),IF('Data Source'!AF359&gt;=5,"A+",IF('Data Source'!AF359&gt;=4,"A",IF('Data Source'!AF359&gt;=3.5,"A-",IF('Data Source'!AF359&gt;=3,"B",IF('Data Source'!AF359&gt;=2,"C",IF('Data Source'!AF359&gt;=1,"D","F")))))),"")</f>
        <v/>
      </c>
      <c r="O359" s="3">
        <f>IF(AND('Data Source'!B359&lt;&gt;"",'Data Source'!S359="F"),IF('Data Source'!AG359&gt;=5,"A+",IF('Data Source'!AG359&gt;=4,"A",IF('Data Source'!AG359&gt;=3.5,"A-",IF('Data Source'!AG359&gt;=3,"B",IF('Data Source'!AG359&gt;=2,"C",IF('Data Source'!AG359&gt;=1,"D","F")))))),"")</f>
        <v/>
      </c>
      <c r="P359" s="5">
        <f>IF(AND('Data Source'!B359&lt;&gt;"",'Data Source'!S359="F"),'Data Source'!R359,"")</f>
        <v/>
      </c>
      <c r="Q359" s="3">
        <f>IF(AND('Data Source'!B359&lt;&gt;"",'Data Source'!S359="F"),'Data Source'!S359,"")</f>
        <v/>
      </c>
    </row>
    <row r="360">
      <c r="A360" s="3">
        <f>IF(AND('Data Source'!B360&lt;&gt;"",'Data Source'!S360="F"),COUNTIF('Data Source'!$S$3:S360,"F"),"")</f>
        <v/>
      </c>
      <c r="B360">
        <f>IF(AND('Data Source'!B360&lt;&gt;"",'Data Source'!S360="F"),'Data Source'!B360,"")</f>
        <v/>
      </c>
      <c r="C360" s="3">
        <f>IF(AND('Data Source'!B360&lt;&gt;"",'Data Source'!S360="F"),IF('Data Source'!U360&gt;=5,"A+",IF('Data Source'!U360&gt;=4,"A",IF('Data Source'!U360&gt;=3.5,"A-",IF('Data Source'!U360&gt;=3,"B",IF('Data Source'!U360&gt;=2,"C",IF('Data Source'!U360&gt;=1,"D","F")))))),"")</f>
        <v/>
      </c>
      <c r="D360" s="3">
        <f>IF(AND('Data Source'!B360&lt;&gt;"",'Data Source'!S360="F"),IF('Data Source'!V360&gt;=5,"A+",IF('Data Source'!V360&gt;=4,"A",IF('Data Source'!V360&gt;=3.5,"A-",IF('Data Source'!V360&gt;=3,"B",IF('Data Source'!V360&gt;=2,"C",IF('Data Source'!V360&gt;=1,"D","F")))))),"")</f>
        <v/>
      </c>
      <c r="E360" s="3">
        <f>IF(AND('Data Source'!B360&lt;&gt;"",'Data Source'!S360="F"),IF('Data Source'!W360&gt;=5,"A+",IF('Data Source'!W360&gt;=4,"A",IF('Data Source'!W360&gt;=3.5,"A-",IF('Data Source'!W360&gt;=3,"B",IF('Data Source'!W360&gt;=2,"C",IF('Data Source'!W360&gt;=1,"D","F")))))),"")</f>
        <v/>
      </c>
      <c r="F360" s="3">
        <f>IF(AND('Data Source'!B360&lt;&gt;"",'Data Source'!S360="F"),IF('Data Source'!X360&gt;=5,"A+",IF('Data Source'!X360&gt;=4,"A",IF('Data Source'!X360&gt;=3.5,"A-",IF('Data Source'!X360&gt;=3,"B",IF('Data Source'!X360&gt;=2,"C",IF('Data Source'!X360&gt;=1,"D","F")))))),"")</f>
        <v/>
      </c>
      <c r="G360" s="3">
        <f>IF(AND('Data Source'!B360&lt;&gt;"",'Data Source'!S360="F"),IF('Data Source'!Y360&gt;=5,"A+",IF('Data Source'!Y360&gt;=4,"A",IF('Data Source'!Y360&gt;=3.5,"A-",IF('Data Source'!Y360&gt;=3,"B",IF('Data Source'!Y360&gt;=2,"C",IF('Data Source'!Y360&gt;=1,"D","F")))))),"")</f>
        <v/>
      </c>
      <c r="H360" s="3">
        <f>IF(AND('Data Source'!B360&lt;&gt;"",'Data Source'!S360="F"),IF('Data Source'!Z360&gt;=5,"A+",IF('Data Source'!Z360&gt;=4,"A",IF('Data Source'!Z360&gt;=3.5,"A-",IF('Data Source'!Z360&gt;=3,"B",IF('Data Source'!Z360&gt;=2,"C",IF('Data Source'!Z360&gt;=1,"D","F")))))),"")</f>
        <v/>
      </c>
      <c r="I360" s="3">
        <f>IF(AND('Data Source'!B360&lt;&gt;"",'Data Source'!S360="F"),IF('Data Source'!AA360&gt;=5,"A+",IF('Data Source'!AA360&gt;=4,"A",IF('Data Source'!AA360&gt;=3.5,"A-",IF('Data Source'!AA360&gt;=3,"B",IF('Data Source'!AA360&gt;=2,"C",IF('Data Source'!AA360&gt;=1,"D","F")))))),"")</f>
        <v/>
      </c>
      <c r="J360" s="3">
        <f>IF(AND('Data Source'!B360&lt;&gt;"",'Data Source'!S360="F"),IF('Data Source'!AB360&gt;=5,"A+",IF('Data Source'!AB360&gt;=4,"A",IF('Data Source'!AB360&gt;=3.5,"A-",IF('Data Source'!AB360&gt;=3,"B",IF('Data Source'!AB360&gt;=2,"C",IF('Data Source'!AB360&gt;=1,"D","F")))))),"")</f>
        <v/>
      </c>
      <c r="K360" s="3">
        <f>IF(AND('Data Source'!B360&lt;&gt;"",'Data Source'!S360="F"),IF('Data Source'!AC360&gt;=5,"A+",IF('Data Source'!AC360&gt;=4,"A",IF('Data Source'!AC360&gt;=3.5,"A-",IF('Data Source'!AC360&gt;=3,"B",IF('Data Source'!AC360&gt;=2,"C",IF('Data Source'!AC360&gt;=1,"D","F")))))),"")</f>
        <v/>
      </c>
      <c r="L360" s="3">
        <f>IF(AND('Data Source'!B360&lt;&gt;"",'Data Source'!S360="F"),IF('Data Source'!AD360&gt;=5,"A+",IF('Data Source'!AD360&gt;=4,"A",IF('Data Source'!AD360&gt;=3.5,"A-",IF('Data Source'!AD360&gt;=3,"B",IF('Data Source'!AD360&gt;=2,"C",IF('Data Source'!AD360&gt;=1,"D","F")))))),"")</f>
        <v/>
      </c>
      <c r="M360" s="3">
        <f>IF(AND('Data Source'!B360&lt;&gt;"",'Data Source'!S360="F"),IF('Data Source'!AE360&gt;=5,"A+",IF('Data Source'!AE360&gt;=4,"A",IF('Data Source'!AE360&gt;=3.5,"A-",IF('Data Source'!AE360&gt;=3,"B",IF('Data Source'!AE360&gt;=2,"C",IF('Data Source'!AE360&gt;=1,"D","F")))))),"")</f>
        <v/>
      </c>
      <c r="N360" s="3">
        <f>IF(AND('Data Source'!B360&lt;&gt;"",'Data Source'!S360="F"),IF('Data Source'!AF360&gt;=5,"A+",IF('Data Source'!AF360&gt;=4,"A",IF('Data Source'!AF360&gt;=3.5,"A-",IF('Data Source'!AF360&gt;=3,"B",IF('Data Source'!AF360&gt;=2,"C",IF('Data Source'!AF360&gt;=1,"D","F")))))),"")</f>
        <v/>
      </c>
      <c r="O360" s="3">
        <f>IF(AND('Data Source'!B360&lt;&gt;"",'Data Source'!S360="F"),IF('Data Source'!AG360&gt;=5,"A+",IF('Data Source'!AG360&gt;=4,"A",IF('Data Source'!AG360&gt;=3.5,"A-",IF('Data Source'!AG360&gt;=3,"B",IF('Data Source'!AG360&gt;=2,"C",IF('Data Source'!AG360&gt;=1,"D","F")))))),"")</f>
        <v/>
      </c>
      <c r="P360" s="5">
        <f>IF(AND('Data Source'!B360&lt;&gt;"",'Data Source'!S360="F"),'Data Source'!R360,"")</f>
        <v/>
      </c>
      <c r="Q360" s="3">
        <f>IF(AND('Data Source'!B360&lt;&gt;"",'Data Source'!S360="F"),'Data Source'!S360,"")</f>
        <v/>
      </c>
    </row>
    <row r="361">
      <c r="A361" s="3">
        <f>IF(AND('Data Source'!B361&lt;&gt;"",'Data Source'!S361="F"),COUNTIF('Data Source'!$S$3:S361,"F"),"")</f>
        <v/>
      </c>
      <c r="B361">
        <f>IF(AND('Data Source'!B361&lt;&gt;"",'Data Source'!S361="F"),'Data Source'!B361,"")</f>
        <v/>
      </c>
      <c r="C361" s="3">
        <f>IF(AND('Data Source'!B361&lt;&gt;"",'Data Source'!S361="F"),IF('Data Source'!U361&gt;=5,"A+",IF('Data Source'!U361&gt;=4,"A",IF('Data Source'!U361&gt;=3.5,"A-",IF('Data Source'!U361&gt;=3,"B",IF('Data Source'!U361&gt;=2,"C",IF('Data Source'!U361&gt;=1,"D","F")))))),"")</f>
        <v/>
      </c>
      <c r="D361" s="3">
        <f>IF(AND('Data Source'!B361&lt;&gt;"",'Data Source'!S361="F"),IF('Data Source'!V361&gt;=5,"A+",IF('Data Source'!V361&gt;=4,"A",IF('Data Source'!V361&gt;=3.5,"A-",IF('Data Source'!V361&gt;=3,"B",IF('Data Source'!V361&gt;=2,"C",IF('Data Source'!V361&gt;=1,"D","F")))))),"")</f>
        <v/>
      </c>
      <c r="E361" s="3">
        <f>IF(AND('Data Source'!B361&lt;&gt;"",'Data Source'!S361="F"),IF('Data Source'!W361&gt;=5,"A+",IF('Data Source'!W361&gt;=4,"A",IF('Data Source'!W361&gt;=3.5,"A-",IF('Data Source'!W361&gt;=3,"B",IF('Data Source'!W361&gt;=2,"C",IF('Data Source'!W361&gt;=1,"D","F")))))),"")</f>
        <v/>
      </c>
      <c r="F361" s="3">
        <f>IF(AND('Data Source'!B361&lt;&gt;"",'Data Source'!S361="F"),IF('Data Source'!X361&gt;=5,"A+",IF('Data Source'!X361&gt;=4,"A",IF('Data Source'!X361&gt;=3.5,"A-",IF('Data Source'!X361&gt;=3,"B",IF('Data Source'!X361&gt;=2,"C",IF('Data Source'!X361&gt;=1,"D","F")))))),"")</f>
        <v/>
      </c>
      <c r="G361" s="3">
        <f>IF(AND('Data Source'!B361&lt;&gt;"",'Data Source'!S361="F"),IF('Data Source'!Y361&gt;=5,"A+",IF('Data Source'!Y361&gt;=4,"A",IF('Data Source'!Y361&gt;=3.5,"A-",IF('Data Source'!Y361&gt;=3,"B",IF('Data Source'!Y361&gt;=2,"C",IF('Data Source'!Y361&gt;=1,"D","F")))))),"")</f>
        <v/>
      </c>
      <c r="H361" s="3">
        <f>IF(AND('Data Source'!B361&lt;&gt;"",'Data Source'!S361="F"),IF('Data Source'!Z361&gt;=5,"A+",IF('Data Source'!Z361&gt;=4,"A",IF('Data Source'!Z361&gt;=3.5,"A-",IF('Data Source'!Z361&gt;=3,"B",IF('Data Source'!Z361&gt;=2,"C",IF('Data Source'!Z361&gt;=1,"D","F")))))),"")</f>
        <v/>
      </c>
      <c r="I361" s="3">
        <f>IF(AND('Data Source'!B361&lt;&gt;"",'Data Source'!S361="F"),IF('Data Source'!AA361&gt;=5,"A+",IF('Data Source'!AA361&gt;=4,"A",IF('Data Source'!AA361&gt;=3.5,"A-",IF('Data Source'!AA361&gt;=3,"B",IF('Data Source'!AA361&gt;=2,"C",IF('Data Source'!AA361&gt;=1,"D","F")))))),"")</f>
        <v/>
      </c>
      <c r="J361" s="3">
        <f>IF(AND('Data Source'!B361&lt;&gt;"",'Data Source'!S361="F"),IF('Data Source'!AB361&gt;=5,"A+",IF('Data Source'!AB361&gt;=4,"A",IF('Data Source'!AB361&gt;=3.5,"A-",IF('Data Source'!AB361&gt;=3,"B",IF('Data Source'!AB361&gt;=2,"C",IF('Data Source'!AB361&gt;=1,"D","F")))))),"")</f>
        <v/>
      </c>
      <c r="K361" s="3">
        <f>IF(AND('Data Source'!B361&lt;&gt;"",'Data Source'!S361="F"),IF('Data Source'!AC361&gt;=5,"A+",IF('Data Source'!AC361&gt;=4,"A",IF('Data Source'!AC361&gt;=3.5,"A-",IF('Data Source'!AC361&gt;=3,"B",IF('Data Source'!AC361&gt;=2,"C",IF('Data Source'!AC361&gt;=1,"D","F")))))),"")</f>
        <v/>
      </c>
      <c r="L361" s="3">
        <f>IF(AND('Data Source'!B361&lt;&gt;"",'Data Source'!S361="F"),IF('Data Source'!AD361&gt;=5,"A+",IF('Data Source'!AD361&gt;=4,"A",IF('Data Source'!AD361&gt;=3.5,"A-",IF('Data Source'!AD361&gt;=3,"B",IF('Data Source'!AD361&gt;=2,"C",IF('Data Source'!AD361&gt;=1,"D","F")))))),"")</f>
        <v/>
      </c>
      <c r="M361" s="3">
        <f>IF(AND('Data Source'!B361&lt;&gt;"",'Data Source'!S361="F"),IF('Data Source'!AE361&gt;=5,"A+",IF('Data Source'!AE361&gt;=4,"A",IF('Data Source'!AE361&gt;=3.5,"A-",IF('Data Source'!AE361&gt;=3,"B",IF('Data Source'!AE361&gt;=2,"C",IF('Data Source'!AE361&gt;=1,"D","F")))))),"")</f>
        <v/>
      </c>
      <c r="N361" s="3">
        <f>IF(AND('Data Source'!B361&lt;&gt;"",'Data Source'!S361="F"),IF('Data Source'!AF361&gt;=5,"A+",IF('Data Source'!AF361&gt;=4,"A",IF('Data Source'!AF361&gt;=3.5,"A-",IF('Data Source'!AF361&gt;=3,"B",IF('Data Source'!AF361&gt;=2,"C",IF('Data Source'!AF361&gt;=1,"D","F")))))),"")</f>
        <v/>
      </c>
      <c r="O361" s="3">
        <f>IF(AND('Data Source'!B361&lt;&gt;"",'Data Source'!S361="F"),IF('Data Source'!AG361&gt;=5,"A+",IF('Data Source'!AG361&gt;=4,"A",IF('Data Source'!AG361&gt;=3.5,"A-",IF('Data Source'!AG361&gt;=3,"B",IF('Data Source'!AG361&gt;=2,"C",IF('Data Source'!AG361&gt;=1,"D","F")))))),"")</f>
        <v/>
      </c>
      <c r="P361" s="5">
        <f>IF(AND('Data Source'!B361&lt;&gt;"",'Data Source'!S361="F"),'Data Source'!R361,"")</f>
        <v/>
      </c>
      <c r="Q361" s="3">
        <f>IF(AND('Data Source'!B361&lt;&gt;"",'Data Source'!S361="F"),'Data Source'!S361,"")</f>
        <v/>
      </c>
    </row>
    <row r="362">
      <c r="A362" s="3">
        <f>IF(AND('Data Source'!B362&lt;&gt;"",'Data Source'!S362="F"),COUNTIF('Data Source'!$S$3:S362,"F"),"")</f>
        <v/>
      </c>
      <c r="B362">
        <f>IF(AND('Data Source'!B362&lt;&gt;"",'Data Source'!S362="F"),'Data Source'!B362,"")</f>
        <v/>
      </c>
      <c r="C362" s="3">
        <f>IF(AND('Data Source'!B362&lt;&gt;"",'Data Source'!S362="F"),IF('Data Source'!U362&gt;=5,"A+",IF('Data Source'!U362&gt;=4,"A",IF('Data Source'!U362&gt;=3.5,"A-",IF('Data Source'!U362&gt;=3,"B",IF('Data Source'!U362&gt;=2,"C",IF('Data Source'!U362&gt;=1,"D","F")))))),"")</f>
        <v/>
      </c>
      <c r="D362" s="3">
        <f>IF(AND('Data Source'!B362&lt;&gt;"",'Data Source'!S362="F"),IF('Data Source'!V362&gt;=5,"A+",IF('Data Source'!V362&gt;=4,"A",IF('Data Source'!V362&gt;=3.5,"A-",IF('Data Source'!V362&gt;=3,"B",IF('Data Source'!V362&gt;=2,"C",IF('Data Source'!V362&gt;=1,"D","F")))))),"")</f>
        <v/>
      </c>
      <c r="E362" s="3">
        <f>IF(AND('Data Source'!B362&lt;&gt;"",'Data Source'!S362="F"),IF('Data Source'!W362&gt;=5,"A+",IF('Data Source'!W362&gt;=4,"A",IF('Data Source'!W362&gt;=3.5,"A-",IF('Data Source'!W362&gt;=3,"B",IF('Data Source'!W362&gt;=2,"C",IF('Data Source'!W362&gt;=1,"D","F")))))),"")</f>
        <v/>
      </c>
      <c r="F362" s="3">
        <f>IF(AND('Data Source'!B362&lt;&gt;"",'Data Source'!S362="F"),IF('Data Source'!X362&gt;=5,"A+",IF('Data Source'!X362&gt;=4,"A",IF('Data Source'!X362&gt;=3.5,"A-",IF('Data Source'!X362&gt;=3,"B",IF('Data Source'!X362&gt;=2,"C",IF('Data Source'!X362&gt;=1,"D","F")))))),"")</f>
        <v/>
      </c>
      <c r="G362" s="3">
        <f>IF(AND('Data Source'!B362&lt;&gt;"",'Data Source'!S362="F"),IF('Data Source'!Y362&gt;=5,"A+",IF('Data Source'!Y362&gt;=4,"A",IF('Data Source'!Y362&gt;=3.5,"A-",IF('Data Source'!Y362&gt;=3,"B",IF('Data Source'!Y362&gt;=2,"C",IF('Data Source'!Y362&gt;=1,"D","F")))))),"")</f>
        <v/>
      </c>
      <c r="H362" s="3">
        <f>IF(AND('Data Source'!B362&lt;&gt;"",'Data Source'!S362="F"),IF('Data Source'!Z362&gt;=5,"A+",IF('Data Source'!Z362&gt;=4,"A",IF('Data Source'!Z362&gt;=3.5,"A-",IF('Data Source'!Z362&gt;=3,"B",IF('Data Source'!Z362&gt;=2,"C",IF('Data Source'!Z362&gt;=1,"D","F")))))),"")</f>
        <v/>
      </c>
      <c r="I362" s="3">
        <f>IF(AND('Data Source'!B362&lt;&gt;"",'Data Source'!S362="F"),IF('Data Source'!AA362&gt;=5,"A+",IF('Data Source'!AA362&gt;=4,"A",IF('Data Source'!AA362&gt;=3.5,"A-",IF('Data Source'!AA362&gt;=3,"B",IF('Data Source'!AA362&gt;=2,"C",IF('Data Source'!AA362&gt;=1,"D","F")))))),"")</f>
        <v/>
      </c>
      <c r="J362" s="3">
        <f>IF(AND('Data Source'!B362&lt;&gt;"",'Data Source'!S362="F"),IF('Data Source'!AB362&gt;=5,"A+",IF('Data Source'!AB362&gt;=4,"A",IF('Data Source'!AB362&gt;=3.5,"A-",IF('Data Source'!AB362&gt;=3,"B",IF('Data Source'!AB362&gt;=2,"C",IF('Data Source'!AB362&gt;=1,"D","F")))))),"")</f>
        <v/>
      </c>
      <c r="K362" s="3">
        <f>IF(AND('Data Source'!B362&lt;&gt;"",'Data Source'!S362="F"),IF('Data Source'!AC362&gt;=5,"A+",IF('Data Source'!AC362&gt;=4,"A",IF('Data Source'!AC362&gt;=3.5,"A-",IF('Data Source'!AC362&gt;=3,"B",IF('Data Source'!AC362&gt;=2,"C",IF('Data Source'!AC362&gt;=1,"D","F")))))),"")</f>
        <v/>
      </c>
      <c r="L362" s="3">
        <f>IF(AND('Data Source'!B362&lt;&gt;"",'Data Source'!S362="F"),IF('Data Source'!AD362&gt;=5,"A+",IF('Data Source'!AD362&gt;=4,"A",IF('Data Source'!AD362&gt;=3.5,"A-",IF('Data Source'!AD362&gt;=3,"B",IF('Data Source'!AD362&gt;=2,"C",IF('Data Source'!AD362&gt;=1,"D","F")))))),"")</f>
        <v/>
      </c>
      <c r="M362" s="3">
        <f>IF(AND('Data Source'!B362&lt;&gt;"",'Data Source'!S362="F"),IF('Data Source'!AE362&gt;=5,"A+",IF('Data Source'!AE362&gt;=4,"A",IF('Data Source'!AE362&gt;=3.5,"A-",IF('Data Source'!AE362&gt;=3,"B",IF('Data Source'!AE362&gt;=2,"C",IF('Data Source'!AE362&gt;=1,"D","F")))))),"")</f>
        <v/>
      </c>
      <c r="N362" s="3">
        <f>IF(AND('Data Source'!B362&lt;&gt;"",'Data Source'!S362="F"),IF('Data Source'!AF362&gt;=5,"A+",IF('Data Source'!AF362&gt;=4,"A",IF('Data Source'!AF362&gt;=3.5,"A-",IF('Data Source'!AF362&gt;=3,"B",IF('Data Source'!AF362&gt;=2,"C",IF('Data Source'!AF362&gt;=1,"D","F")))))),"")</f>
        <v/>
      </c>
      <c r="O362" s="3">
        <f>IF(AND('Data Source'!B362&lt;&gt;"",'Data Source'!S362="F"),IF('Data Source'!AG362&gt;=5,"A+",IF('Data Source'!AG362&gt;=4,"A",IF('Data Source'!AG362&gt;=3.5,"A-",IF('Data Source'!AG362&gt;=3,"B",IF('Data Source'!AG362&gt;=2,"C",IF('Data Source'!AG362&gt;=1,"D","F")))))),"")</f>
        <v/>
      </c>
      <c r="P362" s="5">
        <f>IF(AND('Data Source'!B362&lt;&gt;"",'Data Source'!S362="F"),'Data Source'!R362,"")</f>
        <v/>
      </c>
      <c r="Q362" s="3">
        <f>IF(AND('Data Source'!B362&lt;&gt;"",'Data Source'!S362="F"),'Data Source'!S362,"")</f>
        <v/>
      </c>
    </row>
    <row r="363">
      <c r="A363" s="3">
        <f>IF(AND('Data Source'!B363&lt;&gt;"",'Data Source'!S363="F"),COUNTIF('Data Source'!$S$3:S363,"F"),"")</f>
        <v/>
      </c>
      <c r="B363">
        <f>IF(AND('Data Source'!B363&lt;&gt;"",'Data Source'!S363="F"),'Data Source'!B363,"")</f>
        <v/>
      </c>
      <c r="C363" s="3">
        <f>IF(AND('Data Source'!B363&lt;&gt;"",'Data Source'!S363="F"),IF('Data Source'!U363&gt;=5,"A+",IF('Data Source'!U363&gt;=4,"A",IF('Data Source'!U363&gt;=3.5,"A-",IF('Data Source'!U363&gt;=3,"B",IF('Data Source'!U363&gt;=2,"C",IF('Data Source'!U363&gt;=1,"D","F")))))),"")</f>
        <v/>
      </c>
      <c r="D363" s="3">
        <f>IF(AND('Data Source'!B363&lt;&gt;"",'Data Source'!S363="F"),IF('Data Source'!V363&gt;=5,"A+",IF('Data Source'!V363&gt;=4,"A",IF('Data Source'!V363&gt;=3.5,"A-",IF('Data Source'!V363&gt;=3,"B",IF('Data Source'!V363&gt;=2,"C",IF('Data Source'!V363&gt;=1,"D","F")))))),"")</f>
        <v/>
      </c>
      <c r="E363" s="3">
        <f>IF(AND('Data Source'!B363&lt;&gt;"",'Data Source'!S363="F"),IF('Data Source'!W363&gt;=5,"A+",IF('Data Source'!W363&gt;=4,"A",IF('Data Source'!W363&gt;=3.5,"A-",IF('Data Source'!W363&gt;=3,"B",IF('Data Source'!W363&gt;=2,"C",IF('Data Source'!W363&gt;=1,"D","F")))))),"")</f>
        <v/>
      </c>
      <c r="F363" s="3">
        <f>IF(AND('Data Source'!B363&lt;&gt;"",'Data Source'!S363="F"),IF('Data Source'!X363&gt;=5,"A+",IF('Data Source'!X363&gt;=4,"A",IF('Data Source'!X363&gt;=3.5,"A-",IF('Data Source'!X363&gt;=3,"B",IF('Data Source'!X363&gt;=2,"C",IF('Data Source'!X363&gt;=1,"D","F")))))),"")</f>
        <v/>
      </c>
      <c r="G363" s="3">
        <f>IF(AND('Data Source'!B363&lt;&gt;"",'Data Source'!S363="F"),IF('Data Source'!Y363&gt;=5,"A+",IF('Data Source'!Y363&gt;=4,"A",IF('Data Source'!Y363&gt;=3.5,"A-",IF('Data Source'!Y363&gt;=3,"B",IF('Data Source'!Y363&gt;=2,"C",IF('Data Source'!Y363&gt;=1,"D","F")))))),"")</f>
        <v/>
      </c>
      <c r="H363" s="3">
        <f>IF(AND('Data Source'!B363&lt;&gt;"",'Data Source'!S363="F"),IF('Data Source'!Z363&gt;=5,"A+",IF('Data Source'!Z363&gt;=4,"A",IF('Data Source'!Z363&gt;=3.5,"A-",IF('Data Source'!Z363&gt;=3,"B",IF('Data Source'!Z363&gt;=2,"C",IF('Data Source'!Z363&gt;=1,"D","F")))))),"")</f>
        <v/>
      </c>
      <c r="I363" s="3">
        <f>IF(AND('Data Source'!B363&lt;&gt;"",'Data Source'!S363="F"),IF('Data Source'!AA363&gt;=5,"A+",IF('Data Source'!AA363&gt;=4,"A",IF('Data Source'!AA363&gt;=3.5,"A-",IF('Data Source'!AA363&gt;=3,"B",IF('Data Source'!AA363&gt;=2,"C",IF('Data Source'!AA363&gt;=1,"D","F")))))),"")</f>
        <v/>
      </c>
      <c r="J363" s="3">
        <f>IF(AND('Data Source'!B363&lt;&gt;"",'Data Source'!S363="F"),IF('Data Source'!AB363&gt;=5,"A+",IF('Data Source'!AB363&gt;=4,"A",IF('Data Source'!AB363&gt;=3.5,"A-",IF('Data Source'!AB363&gt;=3,"B",IF('Data Source'!AB363&gt;=2,"C",IF('Data Source'!AB363&gt;=1,"D","F")))))),"")</f>
        <v/>
      </c>
      <c r="K363" s="3">
        <f>IF(AND('Data Source'!B363&lt;&gt;"",'Data Source'!S363="F"),IF('Data Source'!AC363&gt;=5,"A+",IF('Data Source'!AC363&gt;=4,"A",IF('Data Source'!AC363&gt;=3.5,"A-",IF('Data Source'!AC363&gt;=3,"B",IF('Data Source'!AC363&gt;=2,"C",IF('Data Source'!AC363&gt;=1,"D","F")))))),"")</f>
        <v/>
      </c>
      <c r="L363" s="3">
        <f>IF(AND('Data Source'!B363&lt;&gt;"",'Data Source'!S363="F"),IF('Data Source'!AD363&gt;=5,"A+",IF('Data Source'!AD363&gt;=4,"A",IF('Data Source'!AD363&gt;=3.5,"A-",IF('Data Source'!AD363&gt;=3,"B",IF('Data Source'!AD363&gt;=2,"C",IF('Data Source'!AD363&gt;=1,"D","F")))))),"")</f>
        <v/>
      </c>
      <c r="M363" s="3">
        <f>IF(AND('Data Source'!B363&lt;&gt;"",'Data Source'!S363="F"),IF('Data Source'!AE363&gt;=5,"A+",IF('Data Source'!AE363&gt;=4,"A",IF('Data Source'!AE363&gt;=3.5,"A-",IF('Data Source'!AE363&gt;=3,"B",IF('Data Source'!AE363&gt;=2,"C",IF('Data Source'!AE363&gt;=1,"D","F")))))),"")</f>
        <v/>
      </c>
      <c r="N363" s="3">
        <f>IF(AND('Data Source'!B363&lt;&gt;"",'Data Source'!S363="F"),IF('Data Source'!AF363&gt;=5,"A+",IF('Data Source'!AF363&gt;=4,"A",IF('Data Source'!AF363&gt;=3.5,"A-",IF('Data Source'!AF363&gt;=3,"B",IF('Data Source'!AF363&gt;=2,"C",IF('Data Source'!AF363&gt;=1,"D","F")))))),"")</f>
        <v/>
      </c>
      <c r="O363" s="3">
        <f>IF(AND('Data Source'!B363&lt;&gt;"",'Data Source'!S363="F"),IF('Data Source'!AG363&gt;=5,"A+",IF('Data Source'!AG363&gt;=4,"A",IF('Data Source'!AG363&gt;=3.5,"A-",IF('Data Source'!AG363&gt;=3,"B",IF('Data Source'!AG363&gt;=2,"C",IF('Data Source'!AG363&gt;=1,"D","F")))))),"")</f>
        <v/>
      </c>
      <c r="P363" s="5">
        <f>IF(AND('Data Source'!B363&lt;&gt;"",'Data Source'!S363="F"),'Data Source'!R363,"")</f>
        <v/>
      </c>
      <c r="Q363" s="3">
        <f>IF(AND('Data Source'!B363&lt;&gt;"",'Data Source'!S363="F"),'Data Source'!S363,"")</f>
        <v/>
      </c>
    </row>
    <row r="364">
      <c r="A364" s="3">
        <f>IF(AND('Data Source'!B364&lt;&gt;"",'Data Source'!S364="F"),COUNTIF('Data Source'!$S$3:S364,"F"),"")</f>
        <v/>
      </c>
      <c r="B364">
        <f>IF(AND('Data Source'!B364&lt;&gt;"",'Data Source'!S364="F"),'Data Source'!B364,"")</f>
        <v/>
      </c>
      <c r="C364" s="3">
        <f>IF(AND('Data Source'!B364&lt;&gt;"",'Data Source'!S364="F"),IF('Data Source'!U364&gt;=5,"A+",IF('Data Source'!U364&gt;=4,"A",IF('Data Source'!U364&gt;=3.5,"A-",IF('Data Source'!U364&gt;=3,"B",IF('Data Source'!U364&gt;=2,"C",IF('Data Source'!U364&gt;=1,"D","F")))))),"")</f>
        <v/>
      </c>
      <c r="D364" s="3">
        <f>IF(AND('Data Source'!B364&lt;&gt;"",'Data Source'!S364="F"),IF('Data Source'!V364&gt;=5,"A+",IF('Data Source'!V364&gt;=4,"A",IF('Data Source'!V364&gt;=3.5,"A-",IF('Data Source'!V364&gt;=3,"B",IF('Data Source'!V364&gt;=2,"C",IF('Data Source'!V364&gt;=1,"D","F")))))),"")</f>
        <v/>
      </c>
      <c r="E364" s="3">
        <f>IF(AND('Data Source'!B364&lt;&gt;"",'Data Source'!S364="F"),IF('Data Source'!W364&gt;=5,"A+",IF('Data Source'!W364&gt;=4,"A",IF('Data Source'!W364&gt;=3.5,"A-",IF('Data Source'!W364&gt;=3,"B",IF('Data Source'!W364&gt;=2,"C",IF('Data Source'!W364&gt;=1,"D","F")))))),"")</f>
        <v/>
      </c>
      <c r="F364" s="3">
        <f>IF(AND('Data Source'!B364&lt;&gt;"",'Data Source'!S364="F"),IF('Data Source'!X364&gt;=5,"A+",IF('Data Source'!X364&gt;=4,"A",IF('Data Source'!X364&gt;=3.5,"A-",IF('Data Source'!X364&gt;=3,"B",IF('Data Source'!X364&gt;=2,"C",IF('Data Source'!X364&gt;=1,"D","F")))))),"")</f>
        <v/>
      </c>
      <c r="G364" s="3">
        <f>IF(AND('Data Source'!B364&lt;&gt;"",'Data Source'!S364="F"),IF('Data Source'!Y364&gt;=5,"A+",IF('Data Source'!Y364&gt;=4,"A",IF('Data Source'!Y364&gt;=3.5,"A-",IF('Data Source'!Y364&gt;=3,"B",IF('Data Source'!Y364&gt;=2,"C",IF('Data Source'!Y364&gt;=1,"D","F")))))),"")</f>
        <v/>
      </c>
      <c r="H364" s="3">
        <f>IF(AND('Data Source'!B364&lt;&gt;"",'Data Source'!S364="F"),IF('Data Source'!Z364&gt;=5,"A+",IF('Data Source'!Z364&gt;=4,"A",IF('Data Source'!Z364&gt;=3.5,"A-",IF('Data Source'!Z364&gt;=3,"B",IF('Data Source'!Z364&gt;=2,"C",IF('Data Source'!Z364&gt;=1,"D","F")))))),"")</f>
        <v/>
      </c>
      <c r="I364" s="3">
        <f>IF(AND('Data Source'!B364&lt;&gt;"",'Data Source'!S364="F"),IF('Data Source'!AA364&gt;=5,"A+",IF('Data Source'!AA364&gt;=4,"A",IF('Data Source'!AA364&gt;=3.5,"A-",IF('Data Source'!AA364&gt;=3,"B",IF('Data Source'!AA364&gt;=2,"C",IF('Data Source'!AA364&gt;=1,"D","F")))))),"")</f>
        <v/>
      </c>
      <c r="J364" s="3">
        <f>IF(AND('Data Source'!B364&lt;&gt;"",'Data Source'!S364="F"),IF('Data Source'!AB364&gt;=5,"A+",IF('Data Source'!AB364&gt;=4,"A",IF('Data Source'!AB364&gt;=3.5,"A-",IF('Data Source'!AB364&gt;=3,"B",IF('Data Source'!AB364&gt;=2,"C",IF('Data Source'!AB364&gt;=1,"D","F")))))),"")</f>
        <v/>
      </c>
      <c r="K364" s="3">
        <f>IF(AND('Data Source'!B364&lt;&gt;"",'Data Source'!S364="F"),IF('Data Source'!AC364&gt;=5,"A+",IF('Data Source'!AC364&gt;=4,"A",IF('Data Source'!AC364&gt;=3.5,"A-",IF('Data Source'!AC364&gt;=3,"B",IF('Data Source'!AC364&gt;=2,"C",IF('Data Source'!AC364&gt;=1,"D","F")))))),"")</f>
        <v/>
      </c>
      <c r="L364" s="3">
        <f>IF(AND('Data Source'!B364&lt;&gt;"",'Data Source'!S364="F"),IF('Data Source'!AD364&gt;=5,"A+",IF('Data Source'!AD364&gt;=4,"A",IF('Data Source'!AD364&gt;=3.5,"A-",IF('Data Source'!AD364&gt;=3,"B",IF('Data Source'!AD364&gt;=2,"C",IF('Data Source'!AD364&gt;=1,"D","F")))))),"")</f>
        <v/>
      </c>
      <c r="M364" s="3">
        <f>IF(AND('Data Source'!B364&lt;&gt;"",'Data Source'!S364="F"),IF('Data Source'!AE364&gt;=5,"A+",IF('Data Source'!AE364&gt;=4,"A",IF('Data Source'!AE364&gt;=3.5,"A-",IF('Data Source'!AE364&gt;=3,"B",IF('Data Source'!AE364&gt;=2,"C",IF('Data Source'!AE364&gt;=1,"D","F")))))),"")</f>
        <v/>
      </c>
      <c r="N364" s="3">
        <f>IF(AND('Data Source'!B364&lt;&gt;"",'Data Source'!S364="F"),IF('Data Source'!AF364&gt;=5,"A+",IF('Data Source'!AF364&gt;=4,"A",IF('Data Source'!AF364&gt;=3.5,"A-",IF('Data Source'!AF364&gt;=3,"B",IF('Data Source'!AF364&gt;=2,"C",IF('Data Source'!AF364&gt;=1,"D","F")))))),"")</f>
        <v/>
      </c>
      <c r="O364" s="3">
        <f>IF(AND('Data Source'!B364&lt;&gt;"",'Data Source'!S364="F"),IF('Data Source'!AG364&gt;=5,"A+",IF('Data Source'!AG364&gt;=4,"A",IF('Data Source'!AG364&gt;=3.5,"A-",IF('Data Source'!AG364&gt;=3,"B",IF('Data Source'!AG364&gt;=2,"C",IF('Data Source'!AG364&gt;=1,"D","F")))))),"")</f>
        <v/>
      </c>
      <c r="P364" s="5">
        <f>IF(AND('Data Source'!B364&lt;&gt;"",'Data Source'!S364="F"),'Data Source'!R364,"")</f>
        <v/>
      </c>
      <c r="Q364" s="3">
        <f>IF(AND('Data Source'!B364&lt;&gt;"",'Data Source'!S364="F"),'Data Source'!S364,"")</f>
        <v/>
      </c>
    </row>
    <row r="365">
      <c r="A365" s="3">
        <f>IF(AND('Data Source'!B365&lt;&gt;"",'Data Source'!S365="F"),COUNTIF('Data Source'!$S$3:S365,"F"),"")</f>
        <v/>
      </c>
      <c r="B365">
        <f>IF(AND('Data Source'!B365&lt;&gt;"",'Data Source'!S365="F"),'Data Source'!B365,"")</f>
        <v/>
      </c>
      <c r="C365" s="3">
        <f>IF(AND('Data Source'!B365&lt;&gt;"",'Data Source'!S365="F"),IF('Data Source'!U365&gt;=5,"A+",IF('Data Source'!U365&gt;=4,"A",IF('Data Source'!U365&gt;=3.5,"A-",IF('Data Source'!U365&gt;=3,"B",IF('Data Source'!U365&gt;=2,"C",IF('Data Source'!U365&gt;=1,"D","F")))))),"")</f>
        <v/>
      </c>
      <c r="D365" s="3">
        <f>IF(AND('Data Source'!B365&lt;&gt;"",'Data Source'!S365="F"),IF('Data Source'!V365&gt;=5,"A+",IF('Data Source'!V365&gt;=4,"A",IF('Data Source'!V365&gt;=3.5,"A-",IF('Data Source'!V365&gt;=3,"B",IF('Data Source'!V365&gt;=2,"C",IF('Data Source'!V365&gt;=1,"D","F")))))),"")</f>
        <v/>
      </c>
      <c r="E365" s="3">
        <f>IF(AND('Data Source'!B365&lt;&gt;"",'Data Source'!S365="F"),IF('Data Source'!W365&gt;=5,"A+",IF('Data Source'!W365&gt;=4,"A",IF('Data Source'!W365&gt;=3.5,"A-",IF('Data Source'!W365&gt;=3,"B",IF('Data Source'!W365&gt;=2,"C",IF('Data Source'!W365&gt;=1,"D","F")))))),"")</f>
        <v/>
      </c>
      <c r="F365" s="3">
        <f>IF(AND('Data Source'!B365&lt;&gt;"",'Data Source'!S365="F"),IF('Data Source'!X365&gt;=5,"A+",IF('Data Source'!X365&gt;=4,"A",IF('Data Source'!X365&gt;=3.5,"A-",IF('Data Source'!X365&gt;=3,"B",IF('Data Source'!X365&gt;=2,"C",IF('Data Source'!X365&gt;=1,"D","F")))))),"")</f>
        <v/>
      </c>
      <c r="G365" s="3">
        <f>IF(AND('Data Source'!B365&lt;&gt;"",'Data Source'!S365="F"),IF('Data Source'!Y365&gt;=5,"A+",IF('Data Source'!Y365&gt;=4,"A",IF('Data Source'!Y365&gt;=3.5,"A-",IF('Data Source'!Y365&gt;=3,"B",IF('Data Source'!Y365&gt;=2,"C",IF('Data Source'!Y365&gt;=1,"D","F")))))),"")</f>
        <v/>
      </c>
      <c r="H365" s="3">
        <f>IF(AND('Data Source'!B365&lt;&gt;"",'Data Source'!S365="F"),IF('Data Source'!Z365&gt;=5,"A+",IF('Data Source'!Z365&gt;=4,"A",IF('Data Source'!Z365&gt;=3.5,"A-",IF('Data Source'!Z365&gt;=3,"B",IF('Data Source'!Z365&gt;=2,"C",IF('Data Source'!Z365&gt;=1,"D","F")))))),"")</f>
        <v/>
      </c>
      <c r="I365" s="3">
        <f>IF(AND('Data Source'!B365&lt;&gt;"",'Data Source'!S365="F"),IF('Data Source'!AA365&gt;=5,"A+",IF('Data Source'!AA365&gt;=4,"A",IF('Data Source'!AA365&gt;=3.5,"A-",IF('Data Source'!AA365&gt;=3,"B",IF('Data Source'!AA365&gt;=2,"C",IF('Data Source'!AA365&gt;=1,"D","F")))))),"")</f>
        <v/>
      </c>
      <c r="J365" s="3">
        <f>IF(AND('Data Source'!B365&lt;&gt;"",'Data Source'!S365="F"),IF('Data Source'!AB365&gt;=5,"A+",IF('Data Source'!AB365&gt;=4,"A",IF('Data Source'!AB365&gt;=3.5,"A-",IF('Data Source'!AB365&gt;=3,"B",IF('Data Source'!AB365&gt;=2,"C",IF('Data Source'!AB365&gt;=1,"D","F")))))),"")</f>
        <v/>
      </c>
      <c r="K365" s="3">
        <f>IF(AND('Data Source'!B365&lt;&gt;"",'Data Source'!S365="F"),IF('Data Source'!AC365&gt;=5,"A+",IF('Data Source'!AC365&gt;=4,"A",IF('Data Source'!AC365&gt;=3.5,"A-",IF('Data Source'!AC365&gt;=3,"B",IF('Data Source'!AC365&gt;=2,"C",IF('Data Source'!AC365&gt;=1,"D","F")))))),"")</f>
        <v/>
      </c>
      <c r="L365" s="3">
        <f>IF(AND('Data Source'!B365&lt;&gt;"",'Data Source'!S365="F"),IF('Data Source'!AD365&gt;=5,"A+",IF('Data Source'!AD365&gt;=4,"A",IF('Data Source'!AD365&gt;=3.5,"A-",IF('Data Source'!AD365&gt;=3,"B",IF('Data Source'!AD365&gt;=2,"C",IF('Data Source'!AD365&gt;=1,"D","F")))))),"")</f>
        <v/>
      </c>
      <c r="M365" s="3">
        <f>IF(AND('Data Source'!B365&lt;&gt;"",'Data Source'!S365="F"),IF('Data Source'!AE365&gt;=5,"A+",IF('Data Source'!AE365&gt;=4,"A",IF('Data Source'!AE365&gt;=3.5,"A-",IF('Data Source'!AE365&gt;=3,"B",IF('Data Source'!AE365&gt;=2,"C",IF('Data Source'!AE365&gt;=1,"D","F")))))),"")</f>
        <v/>
      </c>
      <c r="N365" s="3">
        <f>IF(AND('Data Source'!B365&lt;&gt;"",'Data Source'!S365="F"),IF('Data Source'!AF365&gt;=5,"A+",IF('Data Source'!AF365&gt;=4,"A",IF('Data Source'!AF365&gt;=3.5,"A-",IF('Data Source'!AF365&gt;=3,"B",IF('Data Source'!AF365&gt;=2,"C",IF('Data Source'!AF365&gt;=1,"D","F")))))),"")</f>
        <v/>
      </c>
      <c r="O365" s="3">
        <f>IF(AND('Data Source'!B365&lt;&gt;"",'Data Source'!S365="F"),IF('Data Source'!AG365&gt;=5,"A+",IF('Data Source'!AG365&gt;=4,"A",IF('Data Source'!AG365&gt;=3.5,"A-",IF('Data Source'!AG365&gt;=3,"B",IF('Data Source'!AG365&gt;=2,"C",IF('Data Source'!AG365&gt;=1,"D","F")))))),"")</f>
        <v/>
      </c>
      <c r="P365" s="5">
        <f>IF(AND('Data Source'!B365&lt;&gt;"",'Data Source'!S365="F"),'Data Source'!R365,"")</f>
        <v/>
      </c>
      <c r="Q365" s="3">
        <f>IF(AND('Data Source'!B365&lt;&gt;"",'Data Source'!S365="F"),'Data Source'!S365,"")</f>
        <v/>
      </c>
    </row>
    <row r="366">
      <c r="A366" s="3">
        <f>IF(AND('Data Source'!B366&lt;&gt;"",'Data Source'!S366="F"),COUNTIF('Data Source'!$S$3:S366,"F"),"")</f>
        <v/>
      </c>
      <c r="B366">
        <f>IF(AND('Data Source'!B366&lt;&gt;"",'Data Source'!S366="F"),'Data Source'!B366,"")</f>
        <v/>
      </c>
      <c r="C366" s="3">
        <f>IF(AND('Data Source'!B366&lt;&gt;"",'Data Source'!S366="F"),IF('Data Source'!U366&gt;=5,"A+",IF('Data Source'!U366&gt;=4,"A",IF('Data Source'!U366&gt;=3.5,"A-",IF('Data Source'!U366&gt;=3,"B",IF('Data Source'!U366&gt;=2,"C",IF('Data Source'!U366&gt;=1,"D","F")))))),"")</f>
        <v/>
      </c>
      <c r="D366" s="3">
        <f>IF(AND('Data Source'!B366&lt;&gt;"",'Data Source'!S366="F"),IF('Data Source'!V366&gt;=5,"A+",IF('Data Source'!V366&gt;=4,"A",IF('Data Source'!V366&gt;=3.5,"A-",IF('Data Source'!V366&gt;=3,"B",IF('Data Source'!V366&gt;=2,"C",IF('Data Source'!V366&gt;=1,"D","F")))))),"")</f>
        <v/>
      </c>
      <c r="E366" s="3">
        <f>IF(AND('Data Source'!B366&lt;&gt;"",'Data Source'!S366="F"),IF('Data Source'!W366&gt;=5,"A+",IF('Data Source'!W366&gt;=4,"A",IF('Data Source'!W366&gt;=3.5,"A-",IF('Data Source'!W366&gt;=3,"B",IF('Data Source'!W366&gt;=2,"C",IF('Data Source'!W366&gt;=1,"D","F")))))),"")</f>
        <v/>
      </c>
      <c r="F366" s="3">
        <f>IF(AND('Data Source'!B366&lt;&gt;"",'Data Source'!S366="F"),IF('Data Source'!X366&gt;=5,"A+",IF('Data Source'!X366&gt;=4,"A",IF('Data Source'!X366&gt;=3.5,"A-",IF('Data Source'!X366&gt;=3,"B",IF('Data Source'!X366&gt;=2,"C",IF('Data Source'!X366&gt;=1,"D","F")))))),"")</f>
        <v/>
      </c>
      <c r="G366" s="3">
        <f>IF(AND('Data Source'!B366&lt;&gt;"",'Data Source'!S366="F"),IF('Data Source'!Y366&gt;=5,"A+",IF('Data Source'!Y366&gt;=4,"A",IF('Data Source'!Y366&gt;=3.5,"A-",IF('Data Source'!Y366&gt;=3,"B",IF('Data Source'!Y366&gt;=2,"C",IF('Data Source'!Y366&gt;=1,"D","F")))))),"")</f>
        <v/>
      </c>
      <c r="H366" s="3">
        <f>IF(AND('Data Source'!B366&lt;&gt;"",'Data Source'!S366="F"),IF('Data Source'!Z366&gt;=5,"A+",IF('Data Source'!Z366&gt;=4,"A",IF('Data Source'!Z366&gt;=3.5,"A-",IF('Data Source'!Z366&gt;=3,"B",IF('Data Source'!Z366&gt;=2,"C",IF('Data Source'!Z366&gt;=1,"D","F")))))),"")</f>
        <v/>
      </c>
      <c r="I366" s="3">
        <f>IF(AND('Data Source'!B366&lt;&gt;"",'Data Source'!S366="F"),IF('Data Source'!AA366&gt;=5,"A+",IF('Data Source'!AA366&gt;=4,"A",IF('Data Source'!AA366&gt;=3.5,"A-",IF('Data Source'!AA366&gt;=3,"B",IF('Data Source'!AA366&gt;=2,"C",IF('Data Source'!AA366&gt;=1,"D","F")))))),"")</f>
        <v/>
      </c>
      <c r="J366" s="3">
        <f>IF(AND('Data Source'!B366&lt;&gt;"",'Data Source'!S366="F"),IF('Data Source'!AB366&gt;=5,"A+",IF('Data Source'!AB366&gt;=4,"A",IF('Data Source'!AB366&gt;=3.5,"A-",IF('Data Source'!AB366&gt;=3,"B",IF('Data Source'!AB366&gt;=2,"C",IF('Data Source'!AB366&gt;=1,"D","F")))))),"")</f>
        <v/>
      </c>
      <c r="K366" s="3">
        <f>IF(AND('Data Source'!B366&lt;&gt;"",'Data Source'!S366="F"),IF('Data Source'!AC366&gt;=5,"A+",IF('Data Source'!AC366&gt;=4,"A",IF('Data Source'!AC366&gt;=3.5,"A-",IF('Data Source'!AC366&gt;=3,"B",IF('Data Source'!AC366&gt;=2,"C",IF('Data Source'!AC366&gt;=1,"D","F")))))),"")</f>
        <v/>
      </c>
      <c r="L366" s="3">
        <f>IF(AND('Data Source'!B366&lt;&gt;"",'Data Source'!S366="F"),IF('Data Source'!AD366&gt;=5,"A+",IF('Data Source'!AD366&gt;=4,"A",IF('Data Source'!AD366&gt;=3.5,"A-",IF('Data Source'!AD366&gt;=3,"B",IF('Data Source'!AD366&gt;=2,"C",IF('Data Source'!AD366&gt;=1,"D","F")))))),"")</f>
        <v/>
      </c>
      <c r="M366" s="3">
        <f>IF(AND('Data Source'!B366&lt;&gt;"",'Data Source'!S366="F"),IF('Data Source'!AE366&gt;=5,"A+",IF('Data Source'!AE366&gt;=4,"A",IF('Data Source'!AE366&gt;=3.5,"A-",IF('Data Source'!AE366&gt;=3,"B",IF('Data Source'!AE366&gt;=2,"C",IF('Data Source'!AE366&gt;=1,"D","F")))))),"")</f>
        <v/>
      </c>
      <c r="N366" s="3">
        <f>IF(AND('Data Source'!B366&lt;&gt;"",'Data Source'!S366="F"),IF('Data Source'!AF366&gt;=5,"A+",IF('Data Source'!AF366&gt;=4,"A",IF('Data Source'!AF366&gt;=3.5,"A-",IF('Data Source'!AF366&gt;=3,"B",IF('Data Source'!AF366&gt;=2,"C",IF('Data Source'!AF366&gt;=1,"D","F")))))),"")</f>
        <v/>
      </c>
      <c r="O366" s="3">
        <f>IF(AND('Data Source'!B366&lt;&gt;"",'Data Source'!S366="F"),IF('Data Source'!AG366&gt;=5,"A+",IF('Data Source'!AG366&gt;=4,"A",IF('Data Source'!AG366&gt;=3.5,"A-",IF('Data Source'!AG366&gt;=3,"B",IF('Data Source'!AG366&gt;=2,"C",IF('Data Source'!AG366&gt;=1,"D","F")))))),"")</f>
        <v/>
      </c>
      <c r="P366" s="5">
        <f>IF(AND('Data Source'!B366&lt;&gt;"",'Data Source'!S366="F"),'Data Source'!R366,"")</f>
        <v/>
      </c>
      <c r="Q366" s="3">
        <f>IF(AND('Data Source'!B366&lt;&gt;"",'Data Source'!S366="F"),'Data Source'!S366,"")</f>
        <v/>
      </c>
    </row>
    <row r="367">
      <c r="A367" s="3">
        <f>IF(AND('Data Source'!B367&lt;&gt;"",'Data Source'!S367="F"),COUNTIF('Data Source'!$S$3:S367,"F"),"")</f>
        <v/>
      </c>
      <c r="B367">
        <f>IF(AND('Data Source'!B367&lt;&gt;"",'Data Source'!S367="F"),'Data Source'!B367,"")</f>
        <v/>
      </c>
      <c r="C367" s="3">
        <f>IF(AND('Data Source'!B367&lt;&gt;"",'Data Source'!S367="F"),IF('Data Source'!U367&gt;=5,"A+",IF('Data Source'!U367&gt;=4,"A",IF('Data Source'!U367&gt;=3.5,"A-",IF('Data Source'!U367&gt;=3,"B",IF('Data Source'!U367&gt;=2,"C",IF('Data Source'!U367&gt;=1,"D","F")))))),"")</f>
        <v/>
      </c>
      <c r="D367" s="3">
        <f>IF(AND('Data Source'!B367&lt;&gt;"",'Data Source'!S367="F"),IF('Data Source'!V367&gt;=5,"A+",IF('Data Source'!V367&gt;=4,"A",IF('Data Source'!V367&gt;=3.5,"A-",IF('Data Source'!V367&gt;=3,"B",IF('Data Source'!V367&gt;=2,"C",IF('Data Source'!V367&gt;=1,"D","F")))))),"")</f>
        <v/>
      </c>
      <c r="E367" s="3">
        <f>IF(AND('Data Source'!B367&lt;&gt;"",'Data Source'!S367="F"),IF('Data Source'!W367&gt;=5,"A+",IF('Data Source'!W367&gt;=4,"A",IF('Data Source'!W367&gt;=3.5,"A-",IF('Data Source'!W367&gt;=3,"B",IF('Data Source'!W367&gt;=2,"C",IF('Data Source'!W367&gt;=1,"D","F")))))),"")</f>
        <v/>
      </c>
      <c r="F367" s="3">
        <f>IF(AND('Data Source'!B367&lt;&gt;"",'Data Source'!S367="F"),IF('Data Source'!X367&gt;=5,"A+",IF('Data Source'!X367&gt;=4,"A",IF('Data Source'!X367&gt;=3.5,"A-",IF('Data Source'!X367&gt;=3,"B",IF('Data Source'!X367&gt;=2,"C",IF('Data Source'!X367&gt;=1,"D","F")))))),"")</f>
        <v/>
      </c>
      <c r="G367" s="3">
        <f>IF(AND('Data Source'!B367&lt;&gt;"",'Data Source'!S367="F"),IF('Data Source'!Y367&gt;=5,"A+",IF('Data Source'!Y367&gt;=4,"A",IF('Data Source'!Y367&gt;=3.5,"A-",IF('Data Source'!Y367&gt;=3,"B",IF('Data Source'!Y367&gt;=2,"C",IF('Data Source'!Y367&gt;=1,"D","F")))))),"")</f>
        <v/>
      </c>
      <c r="H367" s="3">
        <f>IF(AND('Data Source'!B367&lt;&gt;"",'Data Source'!S367="F"),IF('Data Source'!Z367&gt;=5,"A+",IF('Data Source'!Z367&gt;=4,"A",IF('Data Source'!Z367&gt;=3.5,"A-",IF('Data Source'!Z367&gt;=3,"B",IF('Data Source'!Z367&gt;=2,"C",IF('Data Source'!Z367&gt;=1,"D","F")))))),"")</f>
        <v/>
      </c>
      <c r="I367" s="3">
        <f>IF(AND('Data Source'!B367&lt;&gt;"",'Data Source'!S367="F"),IF('Data Source'!AA367&gt;=5,"A+",IF('Data Source'!AA367&gt;=4,"A",IF('Data Source'!AA367&gt;=3.5,"A-",IF('Data Source'!AA367&gt;=3,"B",IF('Data Source'!AA367&gt;=2,"C",IF('Data Source'!AA367&gt;=1,"D","F")))))),"")</f>
        <v/>
      </c>
      <c r="J367" s="3">
        <f>IF(AND('Data Source'!B367&lt;&gt;"",'Data Source'!S367="F"),IF('Data Source'!AB367&gt;=5,"A+",IF('Data Source'!AB367&gt;=4,"A",IF('Data Source'!AB367&gt;=3.5,"A-",IF('Data Source'!AB367&gt;=3,"B",IF('Data Source'!AB367&gt;=2,"C",IF('Data Source'!AB367&gt;=1,"D","F")))))),"")</f>
        <v/>
      </c>
      <c r="K367" s="3">
        <f>IF(AND('Data Source'!B367&lt;&gt;"",'Data Source'!S367="F"),IF('Data Source'!AC367&gt;=5,"A+",IF('Data Source'!AC367&gt;=4,"A",IF('Data Source'!AC367&gt;=3.5,"A-",IF('Data Source'!AC367&gt;=3,"B",IF('Data Source'!AC367&gt;=2,"C",IF('Data Source'!AC367&gt;=1,"D","F")))))),"")</f>
        <v/>
      </c>
      <c r="L367" s="3">
        <f>IF(AND('Data Source'!B367&lt;&gt;"",'Data Source'!S367="F"),IF('Data Source'!AD367&gt;=5,"A+",IF('Data Source'!AD367&gt;=4,"A",IF('Data Source'!AD367&gt;=3.5,"A-",IF('Data Source'!AD367&gt;=3,"B",IF('Data Source'!AD367&gt;=2,"C",IF('Data Source'!AD367&gt;=1,"D","F")))))),"")</f>
        <v/>
      </c>
      <c r="M367" s="3">
        <f>IF(AND('Data Source'!B367&lt;&gt;"",'Data Source'!S367="F"),IF('Data Source'!AE367&gt;=5,"A+",IF('Data Source'!AE367&gt;=4,"A",IF('Data Source'!AE367&gt;=3.5,"A-",IF('Data Source'!AE367&gt;=3,"B",IF('Data Source'!AE367&gt;=2,"C",IF('Data Source'!AE367&gt;=1,"D","F")))))),"")</f>
        <v/>
      </c>
      <c r="N367" s="3">
        <f>IF(AND('Data Source'!B367&lt;&gt;"",'Data Source'!S367="F"),IF('Data Source'!AF367&gt;=5,"A+",IF('Data Source'!AF367&gt;=4,"A",IF('Data Source'!AF367&gt;=3.5,"A-",IF('Data Source'!AF367&gt;=3,"B",IF('Data Source'!AF367&gt;=2,"C",IF('Data Source'!AF367&gt;=1,"D","F")))))),"")</f>
        <v/>
      </c>
      <c r="O367" s="3">
        <f>IF(AND('Data Source'!B367&lt;&gt;"",'Data Source'!S367="F"),IF('Data Source'!AG367&gt;=5,"A+",IF('Data Source'!AG367&gt;=4,"A",IF('Data Source'!AG367&gt;=3.5,"A-",IF('Data Source'!AG367&gt;=3,"B",IF('Data Source'!AG367&gt;=2,"C",IF('Data Source'!AG367&gt;=1,"D","F")))))),"")</f>
        <v/>
      </c>
      <c r="P367" s="5">
        <f>IF(AND('Data Source'!B367&lt;&gt;"",'Data Source'!S367="F"),'Data Source'!R367,"")</f>
        <v/>
      </c>
      <c r="Q367" s="3">
        <f>IF(AND('Data Source'!B367&lt;&gt;"",'Data Source'!S367="F"),'Data Source'!S367,"")</f>
        <v/>
      </c>
    </row>
    <row r="368">
      <c r="A368" s="3">
        <f>IF(AND('Data Source'!B368&lt;&gt;"",'Data Source'!S368="F"),COUNTIF('Data Source'!$S$3:S368,"F"),"")</f>
        <v/>
      </c>
      <c r="B368">
        <f>IF(AND('Data Source'!B368&lt;&gt;"",'Data Source'!S368="F"),'Data Source'!B368,"")</f>
        <v/>
      </c>
      <c r="C368" s="3">
        <f>IF(AND('Data Source'!B368&lt;&gt;"",'Data Source'!S368="F"),IF('Data Source'!U368&gt;=5,"A+",IF('Data Source'!U368&gt;=4,"A",IF('Data Source'!U368&gt;=3.5,"A-",IF('Data Source'!U368&gt;=3,"B",IF('Data Source'!U368&gt;=2,"C",IF('Data Source'!U368&gt;=1,"D","F")))))),"")</f>
        <v/>
      </c>
      <c r="D368" s="3">
        <f>IF(AND('Data Source'!B368&lt;&gt;"",'Data Source'!S368="F"),IF('Data Source'!V368&gt;=5,"A+",IF('Data Source'!V368&gt;=4,"A",IF('Data Source'!V368&gt;=3.5,"A-",IF('Data Source'!V368&gt;=3,"B",IF('Data Source'!V368&gt;=2,"C",IF('Data Source'!V368&gt;=1,"D","F")))))),"")</f>
        <v/>
      </c>
      <c r="E368" s="3">
        <f>IF(AND('Data Source'!B368&lt;&gt;"",'Data Source'!S368="F"),IF('Data Source'!W368&gt;=5,"A+",IF('Data Source'!W368&gt;=4,"A",IF('Data Source'!W368&gt;=3.5,"A-",IF('Data Source'!W368&gt;=3,"B",IF('Data Source'!W368&gt;=2,"C",IF('Data Source'!W368&gt;=1,"D","F")))))),"")</f>
        <v/>
      </c>
      <c r="F368" s="3">
        <f>IF(AND('Data Source'!B368&lt;&gt;"",'Data Source'!S368="F"),IF('Data Source'!X368&gt;=5,"A+",IF('Data Source'!X368&gt;=4,"A",IF('Data Source'!X368&gt;=3.5,"A-",IF('Data Source'!X368&gt;=3,"B",IF('Data Source'!X368&gt;=2,"C",IF('Data Source'!X368&gt;=1,"D","F")))))),"")</f>
        <v/>
      </c>
      <c r="G368" s="3">
        <f>IF(AND('Data Source'!B368&lt;&gt;"",'Data Source'!S368="F"),IF('Data Source'!Y368&gt;=5,"A+",IF('Data Source'!Y368&gt;=4,"A",IF('Data Source'!Y368&gt;=3.5,"A-",IF('Data Source'!Y368&gt;=3,"B",IF('Data Source'!Y368&gt;=2,"C",IF('Data Source'!Y368&gt;=1,"D","F")))))),"")</f>
        <v/>
      </c>
      <c r="H368" s="3">
        <f>IF(AND('Data Source'!B368&lt;&gt;"",'Data Source'!S368="F"),IF('Data Source'!Z368&gt;=5,"A+",IF('Data Source'!Z368&gt;=4,"A",IF('Data Source'!Z368&gt;=3.5,"A-",IF('Data Source'!Z368&gt;=3,"B",IF('Data Source'!Z368&gt;=2,"C",IF('Data Source'!Z368&gt;=1,"D","F")))))),"")</f>
        <v/>
      </c>
      <c r="I368" s="3">
        <f>IF(AND('Data Source'!B368&lt;&gt;"",'Data Source'!S368="F"),IF('Data Source'!AA368&gt;=5,"A+",IF('Data Source'!AA368&gt;=4,"A",IF('Data Source'!AA368&gt;=3.5,"A-",IF('Data Source'!AA368&gt;=3,"B",IF('Data Source'!AA368&gt;=2,"C",IF('Data Source'!AA368&gt;=1,"D","F")))))),"")</f>
        <v/>
      </c>
      <c r="J368" s="3">
        <f>IF(AND('Data Source'!B368&lt;&gt;"",'Data Source'!S368="F"),IF('Data Source'!AB368&gt;=5,"A+",IF('Data Source'!AB368&gt;=4,"A",IF('Data Source'!AB368&gt;=3.5,"A-",IF('Data Source'!AB368&gt;=3,"B",IF('Data Source'!AB368&gt;=2,"C",IF('Data Source'!AB368&gt;=1,"D","F")))))),"")</f>
        <v/>
      </c>
      <c r="K368" s="3">
        <f>IF(AND('Data Source'!B368&lt;&gt;"",'Data Source'!S368="F"),IF('Data Source'!AC368&gt;=5,"A+",IF('Data Source'!AC368&gt;=4,"A",IF('Data Source'!AC368&gt;=3.5,"A-",IF('Data Source'!AC368&gt;=3,"B",IF('Data Source'!AC368&gt;=2,"C",IF('Data Source'!AC368&gt;=1,"D","F")))))),"")</f>
        <v/>
      </c>
      <c r="L368" s="3">
        <f>IF(AND('Data Source'!B368&lt;&gt;"",'Data Source'!S368="F"),IF('Data Source'!AD368&gt;=5,"A+",IF('Data Source'!AD368&gt;=4,"A",IF('Data Source'!AD368&gt;=3.5,"A-",IF('Data Source'!AD368&gt;=3,"B",IF('Data Source'!AD368&gt;=2,"C",IF('Data Source'!AD368&gt;=1,"D","F")))))),"")</f>
        <v/>
      </c>
      <c r="M368" s="3">
        <f>IF(AND('Data Source'!B368&lt;&gt;"",'Data Source'!S368="F"),IF('Data Source'!AE368&gt;=5,"A+",IF('Data Source'!AE368&gt;=4,"A",IF('Data Source'!AE368&gt;=3.5,"A-",IF('Data Source'!AE368&gt;=3,"B",IF('Data Source'!AE368&gt;=2,"C",IF('Data Source'!AE368&gt;=1,"D","F")))))),"")</f>
        <v/>
      </c>
      <c r="N368" s="3">
        <f>IF(AND('Data Source'!B368&lt;&gt;"",'Data Source'!S368="F"),IF('Data Source'!AF368&gt;=5,"A+",IF('Data Source'!AF368&gt;=4,"A",IF('Data Source'!AF368&gt;=3.5,"A-",IF('Data Source'!AF368&gt;=3,"B",IF('Data Source'!AF368&gt;=2,"C",IF('Data Source'!AF368&gt;=1,"D","F")))))),"")</f>
        <v/>
      </c>
      <c r="O368" s="3">
        <f>IF(AND('Data Source'!B368&lt;&gt;"",'Data Source'!S368="F"),IF('Data Source'!AG368&gt;=5,"A+",IF('Data Source'!AG368&gt;=4,"A",IF('Data Source'!AG368&gt;=3.5,"A-",IF('Data Source'!AG368&gt;=3,"B",IF('Data Source'!AG368&gt;=2,"C",IF('Data Source'!AG368&gt;=1,"D","F")))))),"")</f>
        <v/>
      </c>
      <c r="P368" s="5">
        <f>IF(AND('Data Source'!B368&lt;&gt;"",'Data Source'!S368="F"),'Data Source'!R368,"")</f>
        <v/>
      </c>
      <c r="Q368" s="3">
        <f>IF(AND('Data Source'!B368&lt;&gt;"",'Data Source'!S368="F"),'Data Source'!S368,"")</f>
        <v/>
      </c>
    </row>
    <row r="369">
      <c r="A369" s="3">
        <f>IF(AND('Data Source'!B369&lt;&gt;"",'Data Source'!S369="F"),COUNTIF('Data Source'!$S$3:S369,"F"),"")</f>
        <v/>
      </c>
      <c r="B369">
        <f>IF(AND('Data Source'!B369&lt;&gt;"",'Data Source'!S369="F"),'Data Source'!B369,"")</f>
        <v/>
      </c>
      <c r="C369" s="3">
        <f>IF(AND('Data Source'!B369&lt;&gt;"",'Data Source'!S369="F"),IF('Data Source'!U369&gt;=5,"A+",IF('Data Source'!U369&gt;=4,"A",IF('Data Source'!U369&gt;=3.5,"A-",IF('Data Source'!U369&gt;=3,"B",IF('Data Source'!U369&gt;=2,"C",IF('Data Source'!U369&gt;=1,"D","F")))))),"")</f>
        <v/>
      </c>
      <c r="D369" s="3">
        <f>IF(AND('Data Source'!B369&lt;&gt;"",'Data Source'!S369="F"),IF('Data Source'!V369&gt;=5,"A+",IF('Data Source'!V369&gt;=4,"A",IF('Data Source'!V369&gt;=3.5,"A-",IF('Data Source'!V369&gt;=3,"B",IF('Data Source'!V369&gt;=2,"C",IF('Data Source'!V369&gt;=1,"D","F")))))),"")</f>
        <v/>
      </c>
      <c r="E369" s="3">
        <f>IF(AND('Data Source'!B369&lt;&gt;"",'Data Source'!S369="F"),IF('Data Source'!W369&gt;=5,"A+",IF('Data Source'!W369&gt;=4,"A",IF('Data Source'!W369&gt;=3.5,"A-",IF('Data Source'!W369&gt;=3,"B",IF('Data Source'!W369&gt;=2,"C",IF('Data Source'!W369&gt;=1,"D","F")))))),"")</f>
        <v/>
      </c>
      <c r="F369" s="3">
        <f>IF(AND('Data Source'!B369&lt;&gt;"",'Data Source'!S369="F"),IF('Data Source'!X369&gt;=5,"A+",IF('Data Source'!X369&gt;=4,"A",IF('Data Source'!X369&gt;=3.5,"A-",IF('Data Source'!X369&gt;=3,"B",IF('Data Source'!X369&gt;=2,"C",IF('Data Source'!X369&gt;=1,"D","F")))))),"")</f>
        <v/>
      </c>
      <c r="G369" s="3">
        <f>IF(AND('Data Source'!B369&lt;&gt;"",'Data Source'!S369="F"),IF('Data Source'!Y369&gt;=5,"A+",IF('Data Source'!Y369&gt;=4,"A",IF('Data Source'!Y369&gt;=3.5,"A-",IF('Data Source'!Y369&gt;=3,"B",IF('Data Source'!Y369&gt;=2,"C",IF('Data Source'!Y369&gt;=1,"D","F")))))),"")</f>
        <v/>
      </c>
      <c r="H369" s="3">
        <f>IF(AND('Data Source'!B369&lt;&gt;"",'Data Source'!S369="F"),IF('Data Source'!Z369&gt;=5,"A+",IF('Data Source'!Z369&gt;=4,"A",IF('Data Source'!Z369&gt;=3.5,"A-",IF('Data Source'!Z369&gt;=3,"B",IF('Data Source'!Z369&gt;=2,"C",IF('Data Source'!Z369&gt;=1,"D","F")))))),"")</f>
        <v/>
      </c>
      <c r="I369" s="3">
        <f>IF(AND('Data Source'!B369&lt;&gt;"",'Data Source'!S369="F"),IF('Data Source'!AA369&gt;=5,"A+",IF('Data Source'!AA369&gt;=4,"A",IF('Data Source'!AA369&gt;=3.5,"A-",IF('Data Source'!AA369&gt;=3,"B",IF('Data Source'!AA369&gt;=2,"C",IF('Data Source'!AA369&gt;=1,"D","F")))))),"")</f>
        <v/>
      </c>
      <c r="J369" s="3">
        <f>IF(AND('Data Source'!B369&lt;&gt;"",'Data Source'!S369="F"),IF('Data Source'!AB369&gt;=5,"A+",IF('Data Source'!AB369&gt;=4,"A",IF('Data Source'!AB369&gt;=3.5,"A-",IF('Data Source'!AB369&gt;=3,"B",IF('Data Source'!AB369&gt;=2,"C",IF('Data Source'!AB369&gt;=1,"D","F")))))),"")</f>
        <v/>
      </c>
      <c r="K369" s="3">
        <f>IF(AND('Data Source'!B369&lt;&gt;"",'Data Source'!S369="F"),IF('Data Source'!AC369&gt;=5,"A+",IF('Data Source'!AC369&gt;=4,"A",IF('Data Source'!AC369&gt;=3.5,"A-",IF('Data Source'!AC369&gt;=3,"B",IF('Data Source'!AC369&gt;=2,"C",IF('Data Source'!AC369&gt;=1,"D","F")))))),"")</f>
        <v/>
      </c>
      <c r="L369" s="3">
        <f>IF(AND('Data Source'!B369&lt;&gt;"",'Data Source'!S369="F"),IF('Data Source'!AD369&gt;=5,"A+",IF('Data Source'!AD369&gt;=4,"A",IF('Data Source'!AD369&gt;=3.5,"A-",IF('Data Source'!AD369&gt;=3,"B",IF('Data Source'!AD369&gt;=2,"C",IF('Data Source'!AD369&gt;=1,"D","F")))))),"")</f>
        <v/>
      </c>
      <c r="M369" s="3">
        <f>IF(AND('Data Source'!B369&lt;&gt;"",'Data Source'!S369="F"),IF('Data Source'!AE369&gt;=5,"A+",IF('Data Source'!AE369&gt;=4,"A",IF('Data Source'!AE369&gt;=3.5,"A-",IF('Data Source'!AE369&gt;=3,"B",IF('Data Source'!AE369&gt;=2,"C",IF('Data Source'!AE369&gt;=1,"D","F")))))),"")</f>
        <v/>
      </c>
      <c r="N369" s="3">
        <f>IF(AND('Data Source'!B369&lt;&gt;"",'Data Source'!S369="F"),IF('Data Source'!AF369&gt;=5,"A+",IF('Data Source'!AF369&gt;=4,"A",IF('Data Source'!AF369&gt;=3.5,"A-",IF('Data Source'!AF369&gt;=3,"B",IF('Data Source'!AF369&gt;=2,"C",IF('Data Source'!AF369&gt;=1,"D","F")))))),"")</f>
        <v/>
      </c>
      <c r="O369" s="3">
        <f>IF(AND('Data Source'!B369&lt;&gt;"",'Data Source'!S369="F"),IF('Data Source'!AG369&gt;=5,"A+",IF('Data Source'!AG369&gt;=4,"A",IF('Data Source'!AG369&gt;=3.5,"A-",IF('Data Source'!AG369&gt;=3,"B",IF('Data Source'!AG369&gt;=2,"C",IF('Data Source'!AG369&gt;=1,"D","F")))))),"")</f>
        <v/>
      </c>
      <c r="P369" s="5">
        <f>IF(AND('Data Source'!B369&lt;&gt;"",'Data Source'!S369="F"),'Data Source'!R369,"")</f>
        <v/>
      </c>
      <c r="Q369" s="3">
        <f>IF(AND('Data Source'!B369&lt;&gt;"",'Data Source'!S369="F"),'Data Source'!S369,"")</f>
        <v/>
      </c>
    </row>
    <row r="370">
      <c r="A370" s="3">
        <f>IF(AND('Data Source'!B370&lt;&gt;"",'Data Source'!S370="F"),COUNTIF('Data Source'!$S$3:S370,"F"),"")</f>
        <v/>
      </c>
      <c r="B370">
        <f>IF(AND('Data Source'!B370&lt;&gt;"",'Data Source'!S370="F"),'Data Source'!B370,"")</f>
        <v/>
      </c>
      <c r="C370" s="3">
        <f>IF(AND('Data Source'!B370&lt;&gt;"",'Data Source'!S370="F"),IF('Data Source'!U370&gt;=5,"A+",IF('Data Source'!U370&gt;=4,"A",IF('Data Source'!U370&gt;=3.5,"A-",IF('Data Source'!U370&gt;=3,"B",IF('Data Source'!U370&gt;=2,"C",IF('Data Source'!U370&gt;=1,"D","F")))))),"")</f>
        <v/>
      </c>
      <c r="D370" s="3">
        <f>IF(AND('Data Source'!B370&lt;&gt;"",'Data Source'!S370="F"),IF('Data Source'!V370&gt;=5,"A+",IF('Data Source'!V370&gt;=4,"A",IF('Data Source'!V370&gt;=3.5,"A-",IF('Data Source'!V370&gt;=3,"B",IF('Data Source'!V370&gt;=2,"C",IF('Data Source'!V370&gt;=1,"D","F")))))),"")</f>
        <v/>
      </c>
      <c r="E370" s="3">
        <f>IF(AND('Data Source'!B370&lt;&gt;"",'Data Source'!S370="F"),IF('Data Source'!W370&gt;=5,"A+",IF('Data Source'!W370&gt;=4,"A",IF('Data Source'!W370&gt;=3.5,"A-",IF('Data Source'!W370&gt;=3,"B",IF('Data Source'!W370&gt;=2,"C",IF('Data Source'!W370&gt;=1,"D","F")))))),"")</f>
        <v/>
      </c>
      <c r="F370" s="3">
        <f>IF(AND('Data Source'!B370&lt;&gt;"",'Data Source'!S370="F"),IF('Data Source'!X370&gt;=5,"A+",IF('Data Source'!X370&gt;=4,"A",IF('Data Source'!X370&gt;=3.5,"A-",IF('Data Source'!X370&gt;=3,"B",IF('Data Source'!X370&gt;=2,"C",IF('Data Source'!X370&gt;=1,"D","F")))))),"")</f>
        <v/>
      </c>
      <c r="G370" s="3">
        <f>IF(AND('Data Source'!B370&lt;&gt;"",'Data Source'!S370="F"),IF('Data Source'!Y370&gt;=5,"A+",IF('Data Source'!Y370&gt;=4,"A",IF('Data Source'!Y370&gt;=3.5,"A-",IF('Data Source'!Y370&gt;=3,"B",IF('Data Source'!Y370&gt;=2,"C",IF('Data Source'!Y370&gt;=1,"D","F")))))),"")</f>
        <v/>
      </c>
      <c r="H370" s="3">
        <f>IF(AND('Data Source'!B370&lt;&gt;"",'Data Source'!S370="F"),IF('Data Source'!Z370&gt;=5,"A+",IF('Data Source'!Z370&gt;=4,"A",IF('Data Source'!Z370&gt;=3.5,"A-",IF('Data Source'!Z370&gt;=3,"B",IF('Data Source'!Z370&gt;=2,"C",IF('Data Source'!Z370&gt;=1,"D","F")))))),"")</f>
        <v/>
      </c>
      <c r="I370" s="3">
        <f>IF(AND('Data Source'!B370&lt;&gt;"",'Data Source'!S370="F"),IF('Data Source'!AA370&gt;=5,"A+",IF('Data Source'!AA370&gt;=4,"A",IF('Data Source'!AA370&gt;=3.5,"A-",IF('Data Source'!AA370&gt;=3,"B",IF('Data Source'!AA370&gt;=2,"C",IF('Data Source'!AA370&gt;=1,"D","F")))))),"")</f>
        <v/>
      </c>
      <c r="J370" s="3">
        <f>IF(AND('Data Source'!B370&lt;&gt;"",'Data Source'!S370="F"),IF('Data Source'!AB370&gt;=5,"A+",IF('Data Source'!AB370&gt;=4,"A",IF('Data Source'!AB370&gt;=3.5,"A-",IF('Data Source'!AB370&gt;=3,"B",IF('Data Source'!AB370&gt;=2,"C",IF('Data Source'!AB370&gt;=1,"D","F")))))),"")</f>
        <v/>
      </c>
      <c r="K370" s="3">
        <f>IF(AND('Data Source'!B370&lt;&gt;"",'Data Source'!S370="F"),IF('Data Source'!AC370&gt;=5,"A+",IF('Data Source'!AC370&gt;=4,"A",IF('Data Source'!AC370&gt;=3.5,"A-",IF('Data Source'!AC370&gt;=3,"B",IF('Data Source'!AC370&gt;=2,"C",IF('Data Source'!AC370&gt;=1,"D","F")))))),"")</f>
        <v/>
      </c>
      <c r="L370" s="3">
        <f>IF(AND('Data Source'!B370&lt;&gt;"",'Data Source'!S370="F"),IF('Data Source'!AD370&gt;=5,"A+",IF('Data Source'!AD370&gt;=4,"A",IF('Data Source'!AD370&gt;=3.5,"A-",IF('Data Source'!AD370&gt;=3,"B",IF('Data Source'!AD370&gt;=2,"C",IF('Data Source'!AD370&gt;=1,"D","F")))))),"")</f>
        <v/>
      </c>
      <c r="M370" s="3">
        <f>IF(AND('Data Source'!B370&lt;&gt;"",'Data Source'!S370="F"),IF('Data Source'!AE370&gt;=5,"A+",IF('Data Source'!AE370&gt;=4,"A",IF('Data Source'!AE370&gt;=3.5,"A-",IF('Data Source'!AE370&gt;=3,"B",IF('Data Source'!AE370&gt;=2,"C",IF('Data Source'!AE370&gt;=1,"D","F")))))),"")</f>
        <v/>
      </c>
      <c r="N370" s="3">
        <f>IF(AND('Data Source'!B370&lt;&gt;"",'Data Source'!S370="F"),IF('Data Source'!AF370&gt;=5,"A+",IF('Data Source'!AF370&gt;=4,"A",IF('Data Source'!AF370&gt;=3.5,"A-",IF('Data Source'!AF370&gt;=3,"B",IF('Data Source'!AF370&gt;=2,"C",IF('Data Source'!AF370&gt;=1,"D","F")))))),"")</f>
        <v/>
      </c>
      <c r="O370" s="3">
        <f>IF(AND('Data Source'!B370&lt;&gt;"",'Data Source'!S370="F"),IF('Data Source'!AG370&gt;=5,"A+",IF('Data Source'!AG370&gt;=4,"A",IF('Data Source'!AG370&gt;=3.5,"A-",IF('Data Source'!AG370&gt;=3,"B",IF('Data Source'!AG370&gt;=2,"C",IF('Data Source'!AG370&gt;=1,"D","F")))))),"")</f>
        <v/>
      </c>
      <c r="P370" s="5">
        <f>IF(AND('Data Source'!B370&lt;&gt;"",'Data Source'!S370="F"),'Data Source'!R370,"")</f>
        <v/>
      </c>
      <c r="Q370" s="3">
        <f>IF(AND('Data Source'!B370&lt;&gt;"",'Data Source'!S370="F"),'Data Source'!S370,"")</f>
        <v/>
      </c>
    </row>
    <row r="371">
      <c r="A371" s="3">
        <f>IF(AND('Data Source'!B371&lt;&gt;"",'Data Source'!S371="F"),COUNTIF('Data Source'!$S$3:S371,"F"),"")</f>
        <v/>
      </c>
      <c r="B371">
        <f>IF(AND('Data Source'!B371&lt;&gt;"",'Data Source'!S371="F"),'Data Source'!B371,"")</f>
        <v/>
      </c>
      <c r="C371" s="3">
        <f>IF(AND('Data Source'!B371&lt;&gt;"",'Data Source'!S371="F"),IF('Data Source'!U371&gt;=5,"A+",IF('Data Source'!U371&gt;=4,"A",IF('Data Source'!U371&gt;=3.5,"A-",IF('Data Source'!U371&gt;=3,"B",IF('Data Source'!U371&gt;=2,"C",IF('Data Source'!U371&gt;=1,"D","F")))))),"")</f>
        <v/>
      </c>
      <c r="D371" s="3">
        <f>IF(AND('Data Source'!B371&lt;&gt;"",'Data Source'!S371="F"),IF('Data Source'!V371&gt;=5,"A+",IF('Data Source'!V371&gt;=4,"A",IF('Data Source'!V371&gt;=3.5,"A-",IF('Data Source'!V371&gt;=3,"B",IF('Data Source'!V371&gt;=2,"C",IF('Data Source'!V371&gt;=1,"D","F")))))),"")</f>
        <v/>
      </c>
      <c r="E371" s="3">
        <f>IF(AND('Data Source'!B371&lt;&gt;"",'Data Source'!S371="F"),IF('Data Source'!W371&gt;=5,"A+",IF('Data Source'!W371&gt;=4,"A",IF('Data Source'!W371&gt;=3.5,"A-",IF('Data Source'!W371&gt;=3,"B",IF('Data Source'!W371&gt;=2,"C",IF('Data Source'!W371&gt;=1,"D","F")))))),"")</f>
        <v/>
      </c>
      <c r="F371" s="3">
        <f>IF(AND('Data Source'!B371&lt;&gt;"",'Data Source'!S371="F"),IF('Data Source'!X371&gt;=5,"A+",IF('Data Source'!X371&gt;=4,"A",IF('Data Source'!X371&gt;=3.5,"A-",IF('Data Source'!X371&gt;=3,"B",IF('Data Source'!X371&gt;=2,"C",IF('Data Source'!X371&gt;=1,"D","F")))))),"")</f>
        <v/>
      </c>
      <c r="G371" s="3">
        <f>IF(AND('Data Source'!B371&lt;&gt;"",'Data Source'!S371="F"),IF('Data Source'!Y371&gt;=5,"A+",IF('Data Source'!Y371&gt;=4,"A",IF('Data Source'!Y371&gt;=3.5,"A-",IF('Data Source'!Y371&gt;=3,"B",IF('Data Source'!Y371&gt;=2,"C",IF('Data Source'!Y371&gt;=1,"D","F")))))),"")</f>
        <v/>
      </c>
      <c r="H371" s="3">
        <f>IF(AND('Data Source'!B371&lt;&gt;"",'Data Source'!S371="F"),IF('Data Source'!Z371&gt;=5,"A+",IF('Data Source'!Z371&gt;=4,"A",IF('Data Source'!Z371&gt;=3.5,"A-",IF('Data Source'!Z371&gt;=3,"B",IF('Data Source'!Z371&gt;=2,"C",IF('Data Source'!Z371&gt;=1,"D","F")))))),"")</f>
        <v/>
      </c>
      <c r="I371" s="3">
        <f>IF(AND('Data Source'!B371&lt;&gt;"",'Data Source'!S371="F"),IF('Data Source'!AA371&gt;=5,"A+",IF('Data Source'!AA371&gt;=4,"A",IF('Data Source'!AA371&gt;=3.5,"A-",IF('Data Source'!AA371&gt;=3,"B",IF('Data Source'!AA371&gt;=2,"C",IF('Data Source'!AA371&gt;=1,"D","F")))))),"")</f>
        <v/>
      </c>
      <c r="J371" s="3">
        <f>IF(AND('Data Source'!B371&lt;&gt;"",'Data Source'!S371="F"),IF('Data Source'!AB371&gt;=5,"A+",IF('Data Source'!AB371&gt;=4,"A",IF('Data Source'!AB371&gt;=3.5,"A-",IF('Data Source'!AB371&gt;=3,"B",IF('Data Source'!AB371&gt;=2,"C",IF('Data Source'!AB371&gt;=1,"D","F")))))),"")</f>
        <v/>
      </c>
      <c r="K371" s="3">
        <f>IF(AND('Data Source'!B371&lt;&gt;"",'Data Source'!S371="F"),IF('Data Source'!AC371&gt;=5,"A+",IF('Data Source'!AC371&gt;=4,"A",IF('Data Source'!AC371&gt;=3.5,"A-",IF('Data Source'!AC371&gt;=3,"B",IF('Data Source'!AC371&gt;=2,"C",IF('Data Source'!AC371&gt;=1,"D","F")))))),"")</f>
        <v/>
      </c>
      <c r="L371" s="3">
        <f>IF(AND('Data Source'!B371&lt;&gt;"",'Data Source'!S371="F"),IF('Data Source'!AD371&gt;=5,"A+",IF('Data Source'!AD371&gt;=4,"A",IF('Data Source'!AD371&gt;=3.5,"A-",IF('Data Source'!AD371&gt;=3,"B",IF('Data Source'!AD371&gt;=2,"C",IF('Data Source'!AD371&gt;=1,"D","F")))))),"")</f>
        <v/>
      </c>
      <c r="M371" s="3">
        <f>IF(AND('Data Source'!B371&lt;&gt;"",'Data Source'!S371="F"),IF('Data Source'!AE371&gt;=5,"A+",IF('Data Source'!AE371&gt;=4,"A",IF('Data Source'!AE371&gt;=3.5,"A-",IF('Data Source'!AE371&gt;=3,"B",IF('Data Source'!AE371&gt;=2,"C",IF('Data Source'!AE371&gt;=1,"D","F")))))),"")</f>
        <v/>
      </c>
      <c r="N371" s="3">
        <f>IF(AND('Data Source'!B371&lt;&gt;"",'Data Source'!S371="F"),IF('Data Source'!AF371&gt;=5,"A+",IF('Data Source'!AF371&gt;=4,"A",IF('Data Source'!AF371&gt;=3.5,"A-",IF('Data Source'!AF371&gt;=3,"B",IF('Data Source'!AF371&gt;=2,"C",IF('Data Source'!AF371&gt;=1,"D","F")))))),"")</f>
        <v/>
      </c>
      <c r="O371" s="3">
        <f>IF(AND('Data Source'!B371&lt;&gt;"",'Data Source'!S371="F"),IF('Data Source'!AG371&gt;=5,"A+",IF('Data Source'!AG371&gt;=4,"A",IF('Data Source'!AG371&gt;=3.5,"A-",IF('Data Source'!AG371&gt;=3,"B",IF('Data Source'!AG371&gt;=2,"C",IF('Data Source'!AG371&gt;=1,"D","F")))))),"")</f>
        <v/>
      </c>
      <c r="P371" s="5">
        <f>IF(AND('Data Source'!B371&lt;&gt;"",'Data Source'!S371="F"),'Data Source'!R371,"")</f>
        <v/>
      </c>
      <c r="Q371" s="3">
        <f>IF(AND('Data Source'!B371&lt;&gt;"",'Data Source'!S371="F"),'Data Source'!S371,"")</f>
        <v/>
      </c>
    </row>
    <row r="372">
      <c r="A372" s="3">
        <f>IF(AND('Data Source'!B372&lt;&gt;"",'Data Source'!S372="F"),COUNTIF('Data Source'!$S$3:S372,"F"),"")</f>
        <v/>
      </c>
      <c r="B372">
        <f>IF(AND('Data Source'!B372&lt;&gt;"",'Data Source'!S372="F"),'Data Source'!B372,"")</f>
        <v/>
      </c>
      <c r="C372" s="3">
        <f>IF(AND('Data Source'!B372&lt;&gt;"",'Data Source'!S372="F"),IF('Data Source'!U372&gt;=5,"A+",IF('Data Source'!U372&gt;=4,"A",IF('Data Source'!U372&gt;=3.5,"A-",IF('Data Source'!U372&gt;=3,"B",IF('Data Source'!U372&gt;=2,"C",IF('Data Source'!U372&gt;=1,"D","F")))))),"")</f>
        <v/>
      </c>
      <c r="D372" s="3">
        <f>IF(AND('Data Source'!B372&lt;&gt;"",'Data Source'!S372="F"),IF('Data Source'!V372&gt;=5,"A+",IF('Data Source'!V372&gt;=4,"A",IF('Data Source'!V372&gt;=3.5,"A-",IF('Data Source'!V372&gt;=3,"B",IF('Data Source'!V372&gt;=2,"C",IF('Data Source'!V372&gt;=1,"D","F")))))),"")</f>
        <v/>
      </c>
      <c r="E372" s="3">
        <f>IF(AND('Data Source'!B372&lt;&gt;"",'Data Source'!S372="F"),IF('Data Source'!W372&gt;=5,"A+",IF('Data Source'!W372&gt;=4,"A",IF('Data Source'!W372&gt;=3.5,"A-",IF('Data Source'!W372&gt;=3,"B",IF('Data Source'!W372&gt;=2,"C",IF('Data Source'!W372&gt;=1,"D","F")))))),"")</f>
        <v/>
      </c>
      <c r="F372" s="3">
        <f>IF(AND('Data Source'!B372&lt;&gt;"",'Data Source'!S372="F"),IF('Data Source'!X372&gt;=5,"A+",IF('Data Source'!X372&gt;=4,"A",IF('Data Source'!X372&gt;=3.5,"A-",IF('Data Source'!X372&gt;=3,"B",IF('Data Source'!X372&gt;=2,"C",IF('Data Source'!X372&gt;=1,"D","F")))))),"")</f>
        <v/>
      </c>
      <c r="G372" s="3">
        <f>IF(AND('Data Source'!B372&lt;&gt;"",'Data Source'!S372="F"),IF('Data Source'!Y372&gt;=5,"A+",IF('Data Source'!Y372&gt;=4,"A",IF('Data Source'!Y372&gt;=3.5,"A-",IF('Data Source'!Y372&gt;=3,"B",IF('Data Source'!Y372&gt;=2,"C",IF('Data Source'!Y372&gt;=1,"D","F")))))),"")</f>
        <v/>
      </c>
      <c r="H372" s="3">
        <f>IF(AND('Data Source'!B372&lt;&gt;"",'Data Source'!S372="F"),IF('Data Source'!Z372&gt;=5,"A+",IF('Data Source'!Z372&gt;=4,"A",IF('Data Source'!Z372&gt;=3.5,"A-",IF('Data Source'!Z372&gt;=3,"B",IF('Data Source'!Z372&gt;=2,"C",IF('Data Source'!Z372&gt;=1,"D","F")))))),"")</f>
        <v/>
      </c>
      <c r="I372" s="3">
        <f>IF(AND('Data Source'!B372&lt;&gt;"",'Data Source'!S372="F"),IF('Data Source'!AA372&gt;=5,"A+",IF('Data Source'!AA372&gt;=4,"A",IF('Data Source'!AA372&gt;=3.5,"A-",IF('Data Source'!AA372&gt;=3,"B",IF('Data Source'!AA372&gt;=2,"C",IF('Data Source'!AA372&gt;=1,"D","F")))))),"")</f>
        <v/>
      </c>
      <c r="J372" s="3">
        <f>IF(AND('Data Source'!B372&lt;&gt;"",'Data Source'!S372="F"),IF('Data Source'!AB372&gt;=5,"A+",IF('Data Source'!AB372&gt;=4,"A",IF('Data Source'!AB372&gt;=3.5,"A-",IF('Data Source'!AB372&gt;=3,"B",IF('Data Source'!AB372&gt;=2,"C",IF('Data Source'!AB372&gt;=1,"D","F")))))),"")</f>
        <v/>
      </c>
      <c r="K372" s="3">
        <f>IF(AND('Data Source'!B372&lt;&gt;"",'Data Source'!S372="F"),IF('Data Source'!AC372&gt;=5,"A+",IF('Data Source'!AC372&gt;=4,"A",IF('Data Source'!AC372&gt;=3.5,"A-",IF('Data Source'!AC372&gt;=3,"B",IF('Data Source'!AC372&gt;=2,"C",IF('Data Source'!AC372&gt;=1,"D","F")))))),"")</f>
        <v/>
      </c>
      <c r="L372" s="3">
        <f>IF(AND('Data Source'!B372&lt;&gt;"",'Data Source'!S372="F"),IF('Data Source'!AD372&gt;=5,"A+",IF('Data Source'!AD372&gt;=4,"A",IF('Data Source'!AD372&gt;=3.5,"A-",IF('Data Source'!AD372&gt;=3,"B",IF('Data Source'!AD372&gt;=2,"C",IF('Data Source'!AD372&gt;=1,"D","F")))))),"")</f>
        <v/>
      </c>
      <c r="M372" s="3">
        <f>IF(AND('Data Source'!B372&lt;&gt;"",'Data Source'!S372="F"),IF('Data Source'!AE372&gt;=5,"A+",IF('Data Source'!AE372&gt;=4,"A",IF('Data Source'!AE372&gt;=3.5,"A-",IF('Data Source'!AE372&gt;=3,"B",IF('Data Source'!AE372&gt;=2,"C",IF('Data Source'!AE372&gt;=1,"D","F")))))),"")</f>
        <v/>
      </c>
      <c r="N372" s="3">
        <f>IF(AND('Data Source'!B372&lt;&gt;"",'Data Source'!S372="F"),IF('Data Source'!AF372&gt;=5,"A+",IF('Data Source'!AF372&gt;=4,"A",IF('Data Source'!AF372&gt;=3.5,"A-",IF('Data Source'!AF372&gt;=3,"B",IF('Data Source'!AF372&gt;=2,"C",IF('Data Source'!AF372&gt;=1,"D","F")))))),"")</f>
        <v/>
      </c>
      <c r="O372" s="3">
        <f>IF(AND('Data Source'!B372&lt;&gt;"",'Data Source'!S372="F"),IF('Data Source'!AG372&gt;=5,"A+",IF('Data Source'!AG372&gt;=4,"A",IF('Data Source'!AG372&gt;=3.5,"A-",IF('Data Source'!AG372&gt;=3,"B",IF('Data Source'!AG372&gt;=2,"C",IF('Data Source'!AG372&gt;=1,"D","F")))))),"")</f>
        <v/>
      </c>
      <c r="P372" s="5">
        <f>IF(AND('Data Source'!B372&lt;&gt;"",'Data Source'!S372="F"),'Data Source'!R372,"")</f>
        <v/>
      </c>
      <c r="Q372" s="3">
        <f>IF(AND('Data Source'!B372&lt;&gt;"",'Data Source'!S372="F"),'Data Source'!S372,"")</f>
        <v/>
      </c>
    </row>
    <row r="373">
      <c r="A373" s="3">
        <f>IF(AND('Data Source'!B373&lt;&gt;"",'Data Source'!S373="F"),COUNTIF('Data Source'!$S$3:S373,"F"),"")</f>
        <v/>
      </c>
      <c r="B373">
        <f>IF(AND('Data Source'!B373&lt;&gt;"",'Data Source'!S373="F"),'Data Source'!B373,"")</f>
        <v/>
      </c>
      <c r="C373" s="3">
        <f>IF(AND('Data Source'!B373&lt;&gt;"",'Data Source'!S373="F"),IF('Data Source'!U373&gt;=5,"A+",IF('Data Source'!U373&gt;=4,"A",IF('Data Source'!U373&gt;=3.5,"A-",IF('Data Source'!U373&gt;=3,"B",IF('Data Source'!U373&gt;=2,"C",IF('Data Source'!U373&gt;=1,"D","F")))))),"")</f>
        <v/>
      </c>
      <c r="D373" s="3">
        <f>IF(AND('Data Source'!B373&lt;&gt;"",'Data Source'!S373="F"),IF('Data Source'!V373&gt;=5,"A+",IF('Data Source'!V373&gt;=4,"A",IF('Data Source'!V373&gt;=3.5,"A-",IF('Data Source'!V373&gt;=3,"B",IF('Data Source'!V373&gt;=2,"C",IF('Data Source'!V373&gt;=1,"D","F")))))),"")</f>
        <v/>
      </c>
      <c r="E373" s="3">
        <f>IF(AND('Data Source'!B373&lt;&gt;"",'Data Source'!S373="F"),IF('Data Source'!W373&gt;=5,"A+",IF('Data Source'!W373&gt;=4,"A",IF('Data Source'!W373&gt;=3.5,"A-",IF('Data Source'!W373&gt;=3,"B",IF('Data Source'!W373&gt;=2,"C",IF('Data Source'!W373&gt;=1,"D","F")))))),"")</f>
        <v/>
      </c>
      <c r="F373" s="3">
        <f>IF(AND('Data Source'!B373&lt;&gt;"",'Data Source'!S373="F"),IF('Data Source'!X373&gt;=5,"A+",IF('Data Source'!X373&gt;=4,"A",IF('Data Source'!X373&gt;=3.5,"A-",IF('Data Source'!X373&gt;=3,"B",IF('Data Source'!X373&gt;=2,"C",IF('Data Source'!X373&gt;=1,"D","F")))))),"")</f>
        <v/>
      </c>
      <c r="G373" s="3">
        <f>IF(AND('Data Source'!B373&lt;&gt;"",'Data Source'!S373="F"),IF('Data Source'!Y373&gt;=5,"A+",IF('Data Source'!Y373&gt;=4,"A",IF('Data Source'!Y373&gt;=3.5,"A-",IF('Data Source'!Y373&gt;=3,"B",IF('Data Source'!Y373&gt;=2,"C",IF('Data Source'!Y373&gt;=1,"D","F")))))),"")</f>
        <v/>
      </c>
      <c r="H373" s="3">
        <f>IF(AND('Data Source'!B373&lt;&gt;"",'Data Source'!S373="F"),IF('Data Source'!Z373&gt;=5,"A+",IF('Data Source'!Z373&gt;=4,"A",IF('Data Source'!Z373&gt;=3.5,"A-",IF('Data Source'!Z373&gt;=3,"B",IF('Data Source'!Z373&gt;=2,"C",IF('Data Source'!Z373&gt;=1,"D","F")))))),"")</f>
        <v/>
      </c>
      <c r="I373" s="3">
        <f>IF(AND('Data Source'!B373&lt;&gt;"",'Data Source'!S373="F"),IF('Data Source'!AA373&gt;=5,"A+",IF('Data Source'!AA373&gt;=4,"A",IF('Data Source'!AA373&gt;=3.5,"A-",IF('Data Source'!AA373&gt;=3,"B",IF('Data Source'!AA373&gt;=2,"C",IF('Data Source'!AA373&gt;=1,"D","F")))))),"")</f>
        <v/>
      </c>
      <c r="J373" s="3">
        <f>IF(AND('Data Source'!B373&lt;&gt;"",'Data Source'!S373="F"),IF('Data Source'!AB373&gt;=5,"A+",IF('Data Source'!AB373&gt;=4,"A",IF('Data Source'!AB373&gt;=3.5,"A-",IF('Data Source'!AB373&gt;=3,"B",IF('Data Source'!AB373&gt;=2,"C",IF('Data Source'!AB373&gt;=1,"D","F")))))),"")</f>
        <v/>
      </c>
      <c r="K373" s="3">
        <f>IF(AND('Data Source'!B373&lt;&gt;"",'Data Source'!S373="F"),IF('Data Source'!AC373&gt;=5,"A+",IF('Data Source'!AC373&gt;=4,"A",IF('Data Source'!AC373&gt;=3.5,"A-",IF('Data Source'!AC373&gt;=3,"B",IF('Data Source'!AC373&gt;=2,"C",IF('Data Source'!AC373&gt;=1,"D","F")))))),"")</f>
        <v/>
      </c>
      <c r="L373" s="3">
        <f>IF(AND('Data Source'!B373&lt;&gt;"",'Data Source'!S373="F"),IF('Data Source'!AD373&gt;=5,"A+",IF('Data Source'!AD373&gt;=4,"A",IF('Data Source'!AD373&gt;=3.5,"A-",IF('Data Source'!AD373&gt;=3,"B",IF('Data Source'!AD373&gt;=2,"C",IF('Data Source'!AD373&gt;=1,"D","F")))))),"")</f>
        <v/>
      </c>
      <c r="M373" s="3">
        <f>IF(AND('Data Source'!B373&lt;&gt;"",'Data Source'!S373="F"),IF('Data Source'!AE373&gt;=5,"A+",IF('Data Source'!AE373&gt;=4,"A",IF('Data Source'!AE373&gt;=3.5,"A-",IF('Data Source'!AE373&gt;=3,"B",IF('Data Source'!AE373&gt;=2,"C",IF('Data Source'!AE373&gt;=1,"D","F")))))),"")</f>
        <v/>
      </c>
      <c r="N373" s="3">
        <f>IF(AND('Data Source'!B373&lt;&gt;"",'Data Source'!S373="F"),IF('Data Source'!AF373&gt;=5,"A+",IF('Data Source'!AF373&gt;=4,"A",IF('Data Source'!AF373&gt;=3.5,"A-",IF('Data Source'!AF373&gt;=3,"B",IF('Data Source'!AF373&gt;=2,"C",IF('Data Source'!AF373&gt;=1,"D","F")))))),"")</f>
        <v/>
      </c>
      <c r="O373" s="3">
        <f>IF(AND('Data Source'!B373&lt;&gt;"",'Data Source'!S373="F"),IF('Data Source'!AG373&gt;=5,"A+",IF('Data Source'!AG373&gt;=4,"A",IF('Data Source'!AG373&gt;=3.5,"A-",IF('Data Source'!AG373&gt;=3,"B",IF('Data Source'!AG373&gt;=2,"C",IF('Data Source'!AG373&gt;=1,"D","F")))))),"")</f>
        <v/>
      </c>
      <c r="P373" s="5">
        <f>IF(AND('Data Source'!B373&lt;&gt;"",'Data Source'!S373="F"),'Data Source'!R373,"")</f>
        <v/>
      </c>
      <c r="Q373" s="3">
        <f>IF(AND('Data Source'!B373&lt;&gt;"",'Data Source'!S373="F"),'Data Source'!S373,"")</f>
        <v/>
      </c>
    </row>
    <row r="374">
      <c r="A374" s="3">
        <f>IF(AND('Data Source'!B374&lt;&gt;"",'Data Source'!S374="F"),COUNTIF('Data Source'!$S$3:S374,"F"),"")</f>
        <v/>
      </c>
      <c r="B374">
        <f>IF(AND('Data Source'!B374&lt;&gt;"",'Data Source'!S374="F"),'Data Source'!B374,"")</f>
        <v/>
      </c>
      <c r="C374" s="3">
        <f>IF(AND('Data Source'!B374&lt;&gt;"",'Data Source'!S374="F"),IF('Data Source'!U374&gt;=5,"A+",IF('Data Source'!U374&gt;=4,"A",IF('Data Source'!U374&gt;=3.5,"A-",IF('Data Source'!U374&gt;=3,"B",IF('Data Source'!U374&gt;=2,"C",IF('Data Source'!U374&gt;=1,"D","F")))))),"")</f>
        <v/>
      </c>
      <c r="D374" s="3">
        <f>IF(AND('Data Source'!B374&lt;&gt;"",'Data Source'!S374="F"),IF('Data Source'!V374&gt;=5,"A+",IF('Data Source'!V374&gt;=4,"A",IF('Data Source'!V374&gt;=3.5,"A-",IF('Data Source'!V374&gt;=3,"B",IF('Data Source'!V374&gt;=2,"C",IF('Data Source'!V374&gt;=1,"D","F")))))),"")</f>
        <v/>
      </c>
      <c r="E374" s="3">
        <f>IF(AND('Data Source'!B374&lt;&gt;"",'Data Source'!S374="F"),IF('Data Source'!W374&gt;=5,"A+",IF('Data Source'!W374&gt;=4,"A",IF('Data Source'!W374&gt;=3.5,"A-",IF('Data Source'!W374&gt;=3,"B",IF('Data Source'!W374&gt;=2,"C",IF('Data Source'!W374&gt;=1,"D","F")))))),"")</f>
        <v/>
      </c>
      <c r="F374" s="3">
        <f>IF(AND('Data Source'!B374&lt;&gt;"",'Data Source'!S374="F"),IF('Data Source'!X374&gt;=5,"A+",IF('Data Source'!X374&gt;=4,"A",IF('Data Source'!X374&gt;=3.5,"A-",IF('Data Source'!X374&gt;=3,"B",IF('Data Source'!X374&gt;=2,"C",IF('Data Source'!X374&gt;=1,"D","F")))))),"")</f>
        <v/>
      </c>
      <c r="G374" s="3">
        <f>IF(AND('Data Source'!B374&lt;&gt;"",'Data Source'!S374="F"),IF('Data Source'!Y374&gt;=5,"A+",IF('Data Source'!Y374&gt;=4,"A",IF('Data Source'!Y374&gt;=3.5,"A-",IF('Data Source'!Y374&gt;=3,"B",IF('Data Source'!Y374&gt;=2,"C",IF('Data Source'!Y374&gt;=1,"D","F")))))),"")</f>
        <v/>
      </c>
      <c r="H374" s="3">
        <f>IF(AND('Data Source'!B374&lt;&gt;"",'Data Source'!S374="F"),IF('Data Source'!Z374&gt;=5,"A+",IF('Data Source'!Z374&gt;=4,"A",IF('Data Source'!Z374&gt;=3.5,"A-",IF('Data Source'!Z374&gt;=3,"B",IF('Data Source'!Z374&gt;=2,"C",IF('Data Source'!Z374&gt;=1,"D","F")))))),"")</f>
        <v/>
      </c>
      <c r="I374" s="3">
        <f>IF(AND('Data Source'!B374&lt;&gt;"",'Data Source'!S374="F"),IF('Data Source'!AA374&gt;=5,"A+",IF('Data Source'!AA374&gt;=4,"A",IF('Data Source'!AA374&gt;=3.5,"A-",IF('Data Source'!AA374&gt;=3,"B",IF('Data Source'!AA374&gt;=2,"C",IF('Data Source'!AA374&gt;=1,"D","F")))))),"")</f>
        <v/>
      </c>
      <c r="J374" s="3">
        <f>IF(AND('Data Source'!B374&lt;&gt;"",'Data Source'!S374="F"),IF('Data Source'!AB374&gt;=5,"A+",IF('Data Source'!AB374&gt;=4,"A",IF('Data Source'!AB374&gt;=3.5,"A-",IF('Data Source'!AB374&gt;=3,"B",IF('Data Source'!AB374&gt;=2,"C",IF('Data Source'!AB374&gt;=1,"D","F")))))),"")</f>
        <v/>
      </c>
      <c r="K374" s="3">
        <f>IF(AND('Data Source'!B374&lt;&gt;"",'Data Source'!S374="F"),IF('Data Source'!AC374&gt;=5,"A+",IF('Data Source'!AC374&gt;=4,"A",IF('Data Source'!AC374&gt;=3.5,"A-",IF('Data Source'!AC374&gt;=3,"B",IF('Data Source'!AC374&gt;=2,"C",IF('Data Source'!AC374&gt;=1,"D","F")))))),"")</f>
        <v/>
      </c>
      <c r="L374" s="3">
        <f>IF(AND('Data Source'!B374&lt;&gt;"",'Data Source'!S374="F"),IF('Data Source'!AD374&gt;=5,"A+",IF('Data Source'!AD374&gt;=4,"A",IF('Data Source'!AD374&gt;=3.5,"A-",IF('Data Source'!AD374&gt;=3,"B",IF('Data Source'!AD374&gt;=2,"C",IF('Data Source'!AD374&gt;=1,"D","F")))))),"")</f>
        <v/>
      </c>
      <c r="M374" s="3">
        <f>IF(AND('Data Source'!B374&lt;&gt;"",'Data Source'!S374="F"),IF('Data Source'!AE374&gt;=5,"A+",IF('Data Source'!AE374&gt;=4,"A",IF('Data Source'!AE374&gt;=3.5,"A-",IF('Data Source'!AE374&gt;=3,"B",IF('Data Source'!AE374&gt;=2,"C",IF('Data Source'!AE374&gt;=1,"D","F")))))),"")</f>
        <v/>
      </c>
      <c r="N374" s="3">
        <f>IF(AND('Data Source'!B374&lt;&gt;"",'Data Source'!S374="F"),IF('Data Source'!AF374&gt;=5,"A+",IF('Data Source'!AF374&gt;=4,"A",IF('Data Source'!AF374&gt;=3.5,"A-",IF('Data Source'!AF374&gt;=3,"B",IF('Data Source'!AF374&gt;=2,"C",IF('Data Source'!AF374&gt;=1,"D","F")))))),"")</f>
        <v/>
      </c>
      <c r="O374" s="3">
        <f>IF(AND('Data Source'!B374&lt;&gt;"",'Data Source'!S374="F"),IF('Data Source'!AG374&gt;=5,"A+",IF('Data Source'!AG374&gt;=4,"A",IF('Data Source'!AG374&gt;=3.5,"A-",IF('Data Source'!AG374&gt;=3,"B",IF('Data Source'!AG374&gt;=2,"C",IF('Data Source'!AG374&gt;=1,"D","F")))))),"")</f>
        <v/>
      </c>
      <c r="P374" s="5">
        <f>IF(AND('Data Source'!B374&lt;&gt;"",'Data Source'!S374="F"),'Data Source'!R374,"")</f>
        <v/>
      </c>
      <c r="Q374" s="3">
        <f>IF(AND('Data Source'!B374&lt;&gt;"",'Data Source'!S374="F"),'Data Source'!S374,"")</f>
        <v/>
      </c>
    </row>
    <row r="375">
      <c r="A375" s="3">
        <f>IF(AND('Data Source'!B375&lt;&gt;"",'Data Source'!S375="F"),COUNTIF('Data Source'!$S$3:S375,"F"),"")</f>
        <v/>
      </c>
      <c r="B375">
        <f>IF(AND('Data Source'!B375&lt;&gt;"",'Data Source'!S375="F"),'Data Source'!B375,"")</f>
        <v/>
      </c>
      <c r="C375" s="3">
        <f>IF(AND('Data Source'!B375&lt;&gt;"",'Data Source'!S375="F"),IF('Data Source'!U375&gt;=5,"A+",IF('Data Source'!U375&gt;=4,"A",IF('Data Source'!U375&gt;=3.5,"A-",IF('Data Source'!U375&gt;=3,"B",IF('Data Source'!U375&gt;=2,"C",IF('Data Source'!U375&gt;=1,"D","F")))))),"")</f>
        <v/>
      </c>
      <c r="D375" s="3">
        <f>IF(AND('Data Source'!B375&lt;&gt;"",'Data Source'!S375="F"),IF('Data Source'!V375&gt;=5,"A+",IF('Data Source'!V375&gt;=4,"A",IF('Data Source'!V375&gt;=3.5,"A-",IF('Data Source'!V375&gt;=3,"B",IF('Data Source'!V375&gt;=2,"C",IF('Data Source'!V375&gt;=1,"D","F")))))),"")</f>
        <v/>
      </c>
      <c r="E375" s="3">
        <f>IF(AND('Data Source'!B375&lt;&gt;"",'Data Source'!S375="F"),IF('Data Source'!W375&gt;=5,"A+",IF('Data Source'!W375&gt;=4,"A",IF('Data Source'!W375&gt;=3.5,"A-",IF('Data Source'!W375&gt;=3,"B",IF('Data Source'!W375&gt;=2,"C",IF('Data Source'!W375&gt;=1,"D","F")))))),"")</f>
        <v/>
      </c>
      <c r="F375" s="3">
        <f>IF(AND('Data Source'!B375&lt;&gt;"",'Data Source'!S375="F"),IF('Data Source'!X375&gt;=5,"A+",IF('Data Source'!X375&gt;=4,"A",IF('Data Source'!X375&gt;=3.5,"A-",IF('Data Source'!X375&gt;=3,"B",IF('Data Source'!X375&gt;=2,"C",IF('Data Source'!X375&gt;=1,"D","F")))))),"")</f>
        <v/>
      </c>
      <c r="G375" s="3">
        <f>IF(AND('Data Source'!B375&lt;&gt;"",'Data Source'!S375="F"),IF('Data Source'!Y375&gt;=5,"A+",IF('Data Source'!Y375&gt;=4,"A",IF('Data Source'!Y375&gt;=3.5,"A-",IF('Data Source'!Y375&gt;=3,"B",IF('Data Source'!Y375&gt;=2,"C",IF('Data Source'!Y375&gt;=1,"D","F")))))),"")</f>
        <v/>
      </c>
      <c r="H375" s="3">
        <f>IF(AND('Data Source'!B375&lt;&gt;"",'Data Source'!S375="F"),IF('Data Source'!Z375&gt;=5,"A+",IF('Data Source'!Z375&gt;=4,"A",IF('Data Source'!Z375&gt;=3.5,"A-",IF('Data Source'!Z375&gt;=3,"B",IF('Data Source'!Z375&gt;=2,"C",IF('Data Source'!Z375&gt;=1,"D","F")))))),"")</f>
        <v/>
      </c>
      <c r="I375" s="3">
        <f>IF(AND('Data Source'!B375&lt;&gt;"",'Data Source'!S375="F"),IF('Data Source'!AA375&gt;=5,"A+",IF('Data Source'!AA375&gt;=4,"A",IF('Data Source'!AA375&gt;=3.5,"A-",IF('Data Source'!AA375&gt;=3,"B",IF('Data Source'!AA375&gt;=2,"C",IF('Data Source'!AA375&gt;=1,"D","F")))))),"")</f>
        <v/>
      </c>
      <c r="J375" s="3">
        <f>IF(AND('Data Source'!B375&lt;&gt;"",'Data Source'!S375="F"),IF('Data Source'!AB375&gt;=5,"A+",IF('Data Source'!AB375&gt;=4,"A",IF('Data Source'!AB375&gt;=3.5,"A-",IF('Data Source'!AB375&gt;=3,"B",IF('Data Source'!AB375&gt;=2,"C",IF('Data Source'!AB375&gt;=1,"D","F")))))),"")</f>
        <v/>
      </c>
      <c r="K375" s="3">
        <f>IF(AND('Data Source'!B375&lt;&gt;"",'Data Source'!S375="F"),IF('Data Source'!AC375&gt;=5,"A+",IF('Data Source'!AC375&gt;=4,"A",IF('Data Source'!AC375&gt;=3.5,"A-",IF('Data Source'!AC375&gt;=3,"B",IF('Data Source'!AC375&gt;=2,"C",IF('Data Source'!AC375&gt;=1,"D","F")))))),"")</f>
        <v/>
      </c>
      <c r="L375" s="3">
        <f>IF(AND('Data Source'!B375&lt;&gt;"",'Data Source'!S375="F"),IF('Data Source'!AD375&gt;=5,"A+",IF('Data Source'!AD375&gt;=4,"A",IF('Data Source'!AD375&gt;=3.5,"A-",IF('Data Source'!AD375&gt;=3,"B",IF('Data Source'!AD375&gt;=2,"C",IF('Data Source'!AD375&gt;=1,"D","F")))))),"")</f>
        <v/>
      </c>
      <c r="M375" s="3">
        <f>IF(AND('Data Source'!B375&lt;&gt;"",'Data Source'!S375="F"),IF('Data Source'!AE375&gt;=5,"A+",IF('Data Source'!AE375&gt;=4,"A",IF('Data Source'!AE375&gt;=3.5,"A-",IF('Data Source'!AE375&gt;=3,"B",IF('Data Source'!AE375&gt;=2,"C",IF('Data Source'!AE375&gt;=1,"D","F")))))),"")</f>
        <v/>
      </c>
      <c r="N375" s="3">
        <f>IF(AND('Data Source'!B375&lt;&gt;"",'Data Source'!S375="F"),IF('Data Source'!AF375&gt;=5,"A+",IF('Data Source'!AF375&gt;=4,"A",IF('Data Source'!AF375&gt;=3.5,"A-",IF('Data Source'!AF375&gt;=3,"B",IF('Data Source'!AF375&gt;=2,"C",IF('Data Source'!AF375&gt;=1,"D","F")))))),"")</f>
        <v/>
      </c>
      <c r="O375" s="3">
        <f>IF(AND('Data Source'!B375&lt;&gt;"",'Data Source'!S375="F"),IF('Data Source'!AG375&gt;=5,"A+",IF('Data Source'!AG375&gt;=4,"A",IF('Data Source'!AG375&gt;=3.5,"A-",IF('Data Source'!AG375&gt;=3,"B",IF('Data Source'!AG375&gt;=2,"C",IF('Data Source'!AG375&gt;=1,"D","F")))))),"")</f>
        <v/>
      </c>
      <c r="P375" s="5">
        <f>IF(AND('Data Source'!B375&lt;&gt;"",'Data Source'!S375="F"),'Data Source'!R375,"")</f>
        <v/>
      </c>
      <c r="Q375" s="3">
        <f>IF(AND('Data Source'!B375&lt;&gt;"",'Data Source'!S375="F"),'Data Source'!S375,"")</f>
        <v/>
      </c>
    </row>
    <row r="376">
      <c r="A376" s="3">
        <f>IF(AND('Data Source'!B376&lt;&gt;"",'Data Source'!S376="F"),COUNTIF('Data Source'!$S$3:S376,"F"),"")</f>
        <v/>
      </c>
      <c r="B376">
        <f>IF(AND('Data Source'!B376&lt;&gt;"",'Data Source'!S376="F"),'Data Source'!B376,"")</f>
        <v/>
      </c>
      <c r="C376" s="3">
        <f>IF(AND('Data Source'!B376&lt;&gt;"",'Data Source'!S376="F"),IF('Data Source'!U376&gt;=5,"A+",IF('Data Source'!U376&gt;=4,"A",IF('Data Source'!U376&gt;=3.5,"A-",IF('Data Source'!U376&gt;=3,"B",IF('Data Source'!U376&gt;=2,"C",IF('Data Source'!U376&gt;=1,"D","F")))))),"")</f>
        <v/>
      </c>
      <c r="D376" s="3">
        <f>IF(AND('Data Source'!B376&lt;&gt;"",'Data Source'!S376="F"),IF('Data Source'!V376&gt;=5,"A+",IF('Data Source'!V376&gt;=4,"A",IF('Data Source'!V376&gt;=3.5,"A-",IF('Data Source'!V376&gt;=3,"B",IF('Data Source'!V376&gt;=2,"C",IF('Data Source'!V376&gt;=1,"D","F")))))),"")</f>
        <v/>
      </c>
      <c r="E376" s="3">
        <f>IF(AND('Data Source'!B376&lt;&gt;"",'Data Source'!S376="F"),IF('Data Source'!W376&gt;=5,"A+",IF('Data Source'!W376&gt;=4,"A",IF('Data Source'!W376&gt;=3.5,"A-",IF('Data Source'!W376&gt;=3,"B",IF('Data Source'!W376&gt;=2,"C",IF('Data Source'!W376&gt;=1,"D","F")))))),"")</f>
        <v/>
      </c>
      <c r="F376" s="3">
        <f>IF(AND('Data Source'!B376&lt;&gt;"",'Data Source'!S376="F"),IF('Data Source'!X376&gt;=5,"A+",IF('Data Source'!X376&gt;=4,"A",IF('Data Source'!X376&gt;=3.5,"A-",IF('Data Source'!X376&gt;=3,"B",IF('Data Source'!X376&gt;=2,"C",IF('Data Source'!X376&gt;=1,"D","F")))))),"")</f>
        <v/>
      </c>
      <c r="G376" s="3">
        <f>IF(AND('Data Source'!B376&lt;&gt;"",'Data Source'!S376="F"),IF('Data Source'!Y376&gt;=5,"A+",IF('Data Source'!Y376&gt;=4,"A",IF('Data Source'!Y376&gt;=3.5,"A-",IF('Data Source'!Y376&gt;=3,"B",IF('Data Source'!Y376&gt;=2,"C",IF('Data Source'!Y376&gt;=1,"D","F")))))),"")</f>
        <v/>
      </c>
      <c r="H376" s="3">
        <f>IF(AND('Data Source'!B376&lt;&gt;"",'Data Source'!S376="F"),IF('Data Source'!Z376&gt;=5,"A+",IF('Data Source'!Z376&gt;=4,"A",IF('Data Source'!Z376&gt;=3.5,"A-",IF('Data Source'!Z376&gt;=3,"B",IF('Data Source'!Z376&gt;=2,"C",IF('Data Source'!Z376&gt;=1,"D","F")))))),"")</f>
        <v/>
      </c>
      <c r="I376" s="3">
        <f>IF(AND('Data Source'!B376&lt;&gt;"",'Data Source'!S376="F"),IF('Data Source'!AA376&gt;=5,"A+",IF('Data Source'!AA376&gt;=4,"A",IF('Data Source'!AA376&gt;=3.5,"A-",IF('Data Source'!AA376&gt;=3,"B",IF('Data Source'!AA376&gt;=2,"C",IF('Data Source'!AA376&gt;=1,"D","F")))))),"")</f>
        <v/>
      </c>
      <c r="J376" s="3">
        <f>IF(AND('Data Source'!B376&lt;&gt;"",'Data Source'!S376="F"),IF('Data Source'!AB376&gt;=5,"A+",IF('Data Source'!AB376&gt;=4,"A",IF('Data Source'!AB376&gt;=3.5,"A-",IF('Data Source'!AB376&gt;=3,"B",IF('Data Source'!AB376&gt;=2,"C",IF('Data Source'!AB376&gt;=1,"D","F")))))),"")</f>
        <v/>
      </c>
      <c r="K376" s="3">
        <f>IF(AND('Data Source'!B376&lt;&gt;"",'Data Source'!S376="F"),IF('Data Source'!AC376&gt;=5,"A+",IF('Data Source'!AC376&gt;=4,"A",IF('Data Source'!AC376&gt;=3.5,"A-",IF('Data Source'!AC376&gt;=3,"B",IF('Data Source'!AC376&gt;=2,"C",IF('Data Source'!AC376&gt;=1,"D","F")))))),"")</f>
        <v/>
      </c>
      <c r="L376" s="3">
        <f>IF(AND('Data Source'!B376&lt;&gt;"",'Data Source'!S376="F"),IF('Data Source'!AD376&gt;=5,"A+",IF('Data Source'!AD376&gt;=4,"A",IF('Data Source'!AD376&gt;=3.5,"A-",IF('Data Source'!AD376&gt;=3,"B",IF('Data Source'!AD376&gt;=2,"C",IF('Data Source'!AD376&gt;=1,"D","F")))))),"")</f>
        <v/>
      </c>
      <c r="M376" s="3">
        <f>IF(AND('Data Source'!B376&lt;&gt;"",'Data Source'!S376="F"),IF('Data Source'!AE376&gt;=5,"A+",IF('Data Source'!AE376&gt;=4,"A",IF('Data Source'!AE376&gt;=3.5,"A-",IF('Data Source'!AE376&gt;=3,"B",IF('Data Source'!AE376&gt;=2,"C",IF('Data Source'!AE376&gt;=1,"D","F")))))),"")</f>
        <v/>
      </c>
      <c r="N376" s="3">
        <f>IF(AND('Data Source'!B376&lt;&gt;"",'Data Source'!S376="F"),IF('Data Source'!AF376&gt;=5,"A+",IF('Data Source'!AF376&gt;=4,"A",IF('Data Source'!AF376&gt;=3.5,"A-",IF('Data Source'!AF376&gt;=3,"B",IF('Data Source'!AF376&gt;=2,"C",IF('Data Source'!AF376&gt;=1,"D","F")))))),"")</f>
        <v/>
      </c>
      <c r="O376" s="3">
        <f>IF(AND('Data Source'!B376&lt;&gt;"",'Data Source'!S376="F"),IF('Data Source'!AG376&gt;=5,"A+",IF('Data Source'!AG376&gt;=4,"A",IF('Data Source'!AG376&gt;=3.5,"A-",IF('Data Source'!AG376&gt;=3,"B",IF('Data Source'!AG376&gt;=2,"C",IF('Data Source'!AG376&gt;=1,"D","F")))))),"")</f>
        <v/>
      </c>
      <c r="P376" s="5">
        <f>IF(AND('Data Source'!B376&lt;&gt;"",'Data Source'!S376="F"),'Data Source'!R376,"")</f>
        <v/>
      </c>
      <c r="Q376" s="3">
        <f>IF(AND('Data Source'!B376&lt;&gt;"",'Data Source'!S376="F"),'Data Source'!S376,"")</f>
        <v/>
      </c>
    </row>
    <row r="377">
      <c r="A377" s="3">
        <f>IF(AND('Data Source'!B377&lt;&gt;"",'Data Source'!S377="F"),COUNTIF('Data Source'!$S$3:S377,"F"),"")</f>
        <v/>
      </c>
      <c r="B377">
        <f>IF(AND('Data Source'!B377&lt;&gt;"",'Data Source'!S377="F"),'Data Source'!B377,"")</f>
        <v/>
      </c>
      <c r="C377" s="3">
        <f>IF(AND('Data Source'!B377&lt;&gt;"",'Data Source'!S377="F"),IF('Data Source'!U377&gt;=5,"A+",IF('Data Source'!U377&gt;=4,"A",IF('Data Source'!U377&gt;=3.5,"A-",IF('Data Source'!U377&gt;=3,"B",IF('Data Source'!U377&gt;=2,"C",IF('Data Source'!U377&gt;=1,"D","F")))))),"")</f>
        <v/>
      </c>
      <c r="D377" s="3">
        <f>IF(AND('Data Source'!B377&lt;&gt;"",'Data Source'!S377="F"),IF('Data Source'!V377&gt;=5,"A+",IF('Data Source'!V377&gt;=4,"A",IF('Data Source'!V377&gt;=3.5,"A-",IF('Data Source'!V377&gt;=3,"B",IF('Data Source'!V377&gt;=2,"C",IF('Data Source'!V377&gt;=1,"D","F")))))),"")</f>
        <v/>
      </c>
      <c r="E377" s="3">
        <f>IF(AND('Data Source'!B377&lt;&gt;"",'Data Source'!S377="F"),IF('Data Source'!W377&gt;=5,"A+",IF('Data Source'!W377&gt;=4,"A",IF('Data Source'!W377&gt;=3.5,"A-",IF('Data Source'!W377&gt;=3,"B",IF('Data Source'!W377&gt;=2,"C",IF('Data Source'!W377&gt;=1,"D","F")))))),"")</f>
        <v/>
      </c>
      <c r="F377" s="3">
        <f>IF(AND('Data Source'!B377&lt;&gt;"",'Data Source'!S377="F"),IF('Data Source'!X377&gt;=5,"A+",IF('Data Source'!X377&gt;=4,"A",IF('Data Source'!X377&gt;=3.5,"A-",IF('Data Source'!X377&gt;=3,"B",IF('Data Source'!X377&gt;=2,"C",IF('Data Source'!X377&gt;=1,"D","F")))))),"")</f>
        <v/>
      </c>
      <c r="G377" s="3">
        <f>IF(AND('Data Source'!B377&lt;&gt;"",'Data Source'!S377="F"),IF('Data Source'!Y377&gt;=5,"A+",IF('Data Source'!Y377&gt;=4,"A",IF('Data Source'!Y377&gt;=3.5,"A-",IF('Data Source'!Y377&gt;=3,"B",IF('Data Source'!Y377&gt;=2,"C",IF('Data Source'!Y377&gt;=1,"D","F")))))),"")</f>
        <v/>
      </c>
      <c r="H377" s="3">
        <f>IF(AND('Data Source'!B377&lt;&gt;"",'Data Source'!S377="F"),IF('Data Source'!Z377&gt;=5,"A+",IF('Data Source'!Z377&gt;=4,"A",IF('Data Source'!Z377&gt;=3.5,"A-",IF('Data Source'!Z377&gt;=3,"B",IF('Data Source'!Z377&gt;=2,"C",IF('Data Source'!Z377&gt;=1,"D","F")))))),"")</f>
        <v/>
      </c>
      <c r="I377" s="3">
        <f>IF(AND('Data Source'!B377&lt;&gt;"",'Data Source'!S377="F"),IF('Data Source'!AA377&gt;=5,"A+",IF('Data Source'!AA377&gt;=4,"A",IF('Data Source'!AA377&gt;=3.5,"A-",IF('Data Source'!AA377&gt;=3,"B",IF('Data Source'!AA377&gt;=2,"C",IF('Data Source'!AA377&gt;=1,"D","F")))))),"")</f>
        <v/>
      </c>
      <c r="J377" s="3">
        <f>IF(AND('Data Source'!B377&lt;&gt;"",'Data Source'!S377="F"),IF('Data Source'!AB377&gt;=5,"A+",IF('Data Source'!AB377&gt;=4,"A",IF('Data Source'!AB377&gt;=3.5,"A-",IF('Data Source'!AB377&gt;=3,"B",IF('Data Source'!AB377&gt;=2,"C",IF('Data Source'!AB377&gt;=1,"D","F")))))),"")</f>
        <v/>
      </c>
      <c r="K377" s="3">
        <f>IF(AND('Data Source'!B377&lt;&gt;"",'Data Source'!S377="F"),IF('Data Source'!AC377&gt;=5,"A+",IF('Data Source'!AC377&gt;=4,"A",IF('Data Source'!AC377&gt;=3.5,"A-",IF('Data Source'!AC377&gt;=3,"B",IF('Data Source'!AC377&gt;=2,"C",IF('Data Source'!AC377&gt;=1,"D","F")))))),"")</f>
        <v/>
      </c>
      <c r="L377" s="3">
        <f>IF(AND('Data Source'!B377&lt;&gt;"",'Data Source'!S377="F"),IF('Data Source'!AD377&gt;=5,"A+",IF('Data Source'!AD377&gt;=4,"A",IF('Data Source'!AD377&gt;=3.5,"A-",IF('Data Source'!AD377&gt;=3,"B",IF('Data Source'!AD377&gt;=2,"C",IF('Data Source'!AD377&gt;=1,"D","F")))))),"")</f>
        <v/>
      </c>
      <c r="M377" s="3">
        <f>IF(AND('Data Source'!B377&lt;&gt;"",'Data Source'!S377="F"),IF('Data Source'!AE377&gt;=5,"A+",IF('Data Source'!AE377&gt;=4,"A",IF('Data Source'!AE377&gt;=3.5,"A-",IF('Data Source'!AE377&gt;=3,"B",IF('Data Source'!AE377&gt;=2,"C",IF('Data Source'!AE377&gt;=1,"D","F")))))),"")</f>
        <v/>
      </c>
      <c r="N377" s="3">
        <f>IF(AND('Data Source'!B377&lt;&gt;"",'Data Source'!S377="F"),IF('Data Source'!AF377&gt;=5,"A+",IF('Data Source'!AF377&gt;=4,"A",IF('Data Source'!AF377&gt;=3.5,"A-",IF('Data Source'!AF377&gt;=3,"B",IF('Data Source'!AF377&gt;=2,"C",IF('Data Source'!AF377&gt;=1,"D","F")))))),"")</f>
        <v/>
      </c>
      <c r="O377" s="3">
        <f>IF(AND('Data Source'!B377&lt;&gt;"",'Data Source'!S377="F"),IF('Data Source'!AG377&gt;=5,"A+",IF('Data Source'!AG377&gt;=4,"A",IF('Data Source'!AG377&gt;=3.5,"A-",IF('Data Source'!AG377&gt;=3,"B",IF('Data Source'!AG377&gt;=2,"C",IF('Data Source'!AG377&gt;=1,"D","F")))))),"")</f>
        <v/>
      </c>
      <c r="P377" s="5">
        <f>IF(AND('Data Source'!B377&lt;&gt;"",'Data Source'!S377="F"),'Data Source'!R377,"")</f>
        <v/>
      </c>
      <c r="Q377" s="3">
        <f>IF(AND('Data Source'!B377&lt;&gt;"",'Data Source'!S377="F"),'Data Source'!S377,"")</f>
        <v/>
      </c>
    </row>
    <row r="378">
      <c r="A378" s="3">
        <f>IF(AND('Data Source'!B378&lt;&gt;"",'Data Source'!S378="F"),COUNTIF('Data Source'!$S$3:S378,"F"),"")</f>
        <v/>
      </c>
      <c r="B378">
        <f>IF(AND('Data Source'!B378&lt;&gt;"",'Data Source'!S378="F"),'Data Source'!B378,"")</f>
        <v/>
      </c>
      <c r="C378" s="3">
        <f>IF(AND('Data Source'!B378&lt;&gt;"",'Data Source'!S378="F"),IF('Data Source'!U378&gt;=5,"A+",IF('Data Source'!U378&gt;=4,"A",IF('Data Source'!U378&gt;=3.5,"A-",IF('Data Source'!U378&gt;=3,"B",IF('Data Source'!U378&gt;=2,"C",IF('Data Source'!U378&gt;=1,"D","F")))))),"")</f>
        <v/>
      </c>
      <c r="D378" s="3">
        <f>IF(AND('Data Source'!B378&lt;&gt;"",'Data Source'!S378="F"),IF('Data Source'!V378&gt;=5,"A+",IF('Data Source'!V378&gt;=4,"A",IF('Data Source'!V378&gt;=3.5,"A-",IF('Data Source'!V378&gt;=3,"B",IF('Data Source'!V378&gt;=2,"C",IF('Data Source'!V378&gt;=1,"D","F")))))),"")</f>
        <v/>
      </c>
      <c r="E378" s="3">
        <f>IF(AND('Data Source'!B378&lt;&gt;"",'Data Source'!S378="F"),IF('Data Source'!W378&gt;=5,"A+",IF('Data Source'!W378&gt;=4,"A",IF('Data Source'!W378&gt;=3.5,"A-",IF('Data Source'!W378&gt;=3,"B",IF('Data Source'!W378&gt;=2,"C",IF('Data Source'!W378&gt;=1,"D","F")))))),"")</f>
        <v/>
      </c>
      <c r="F378" s="3">
        <f>IF(AND('Data Source'!B378&lt;&gt;"",'Data Source'!S378="F"),IF('Data Source'!X378&gt;=5,"A+",IF('Data Source'!X378&gt;=4,"A",IF('Data Source'!X378&gt;=3.5,"A-",IF('Data Source'!X378&gt;=3,"B",IF('Data Source'!X378&gt;=2,"C",IF('Data Source'!X378&gt;=1,"D","F")))))),"")</f>
        <v/>
      </c>
      <c r="G378" s="3">
        <f>IF(AND('Data Source'!B378&lt;&gt;"",'Data Source'!S378="F"),IF('Data Source'!Y378&gt;=5,"A+",IF('Data Source'!Y378&gt;=4,"A",IF('Data Source'!Y378&gt;=3.5,"A-",IF('Data Source'!Y378&gt;=3,"B",IF('Data Source'!Y378&gt;=2,"C",IF('Data Source'!Y378&gt;=1,"D","F")))))),"")</f>
        <v/>
      </c>
      <c r="H378" s="3">
        <f>IF(AND('Data Source'!B378&lt;&gt;"",'Data Source'!S378="F"),IF('Data Source'!Z378&gt;=5,"A+",IF('Data Source'!Z378&gt;=4,"A",IF('Data Source'!Z378&gt;=3.5,"A-",IF('Data Source'!Z378&gt;=3,"B",IF('Data Source'!Z378&gt;=2,"C",IF('Data Source'!Z378&gt;=1,"D","F")))))),"")</f>
        <v/>
      </c>
      <c r="I378" s="3">
        <f>IF(AND('Data Source'!B378&lt;&gt;"",'Data Source'!S378="F"),IF('Data Source'!AA378&gt;=5,"A+",IF('Data Source'!AA378&gt;=4,"A",IF('Data Source'!AA378&gt;=3.5,"A-",IF('Data Source'!AA378&gt;=3,"B",IF('Data Source'!AA378&gt;=2,"C",IF('Data Source'!AA378&gt;=1,"D","F")))))),"")</f>
        <v/>
      </c>
      <c r="J378" s="3">
        <f>IF(AND('Data Source'!B378&lt;&gt;"",'Data Source'!S378="F"),IF('Data Source'!AB378&gt;=5,"A+",IF('Data Source'!AB378&gt;=4,"A",IF('Data Source'!AB378&gt;=3.5,"A-",IF('Data Source'!AB378&gt;=3,"B",IF('Data Source'!AB378&gt;=2,"C",IF('Data Source'!AB378&gt;=1,"D","F")))))),"")</f>
        <v/>
      </c>
      <c r="K378" s="3">
        <f>IF(AND('Data Source'!B378&lt;&gt;"",'Data Source'!S378="F"),IF('Data Source'!AC378&gt;=5,"A+",IF('Data Source'!AC378&gt;=4,"A",IF('Data Source'!AC378&gt;=3.5,"A-",IF('Data Source'!AC378&gt;=3,"B",IF('Data Source'!AC378&gt;=2,"C",IF('Data Source'!AC378&gt;=1,"D","F")))))),"")</f>
        <v/>
      </c>
      <c r="L378" s="3">
        <f>IF(AND('Data Source'!B378&lt;&gt;"",'Data Source'!S378="F"),IF('Data Source'!AD378&gt;=5,"A+",IF('Data Source'!AD378&gt;=4,"A",IF('Data Source'!AD378&gt;=3.5,"A-",IF('Data Source'!AD378&gt;=3,"B",IF('Data Source'!AD378&gt;=2,"C",IF('Data Source'!AD378&gt;=1,"D","F")))))),"")</f>
        <v/>
      </c>
      <c r="M378" s="3">
        <f>IF(AND('Data Source'!B378&lt;&gt;"",'Data Source'!S378="F"),IF('Data Source'!AE378&gt;=5,"A+",IF('Data Source'!AE378&gt;=4,"A",IF('Data Source'!AE378&gt;=3.5,"A-",IF('Data Source'!AE378&gt;=3,"B",IF('Data Source'!AE378&gt;=2,"C",IF('Data Source'!AE378&gt;=1,"D","F")))))),"")</f>
        <v/>
      </c>
      <c r="N378" s="3">
        <f>IF(AND('Data Source'!B378&lt;&gt;"",'Data Source'!S378="F"),IF('Data Source'!AF378&gt;=5,"A+",IF('Data Source'!AF378&gt;=4,"A",IF('Data Source'!AF378&gt;=3.5,"A-",IF('Data Source'!AF378&gt;=3,"B",IF('Data Source'!AF378&gt;=2,"C",IF('Data Source'!AF378&gt;=1,"D","F")))))),"")</f>
        <v/>
      </c>
      <c r="O378" s="3">
        <f>IF(AND('Data Source'!B378&lt;&gt;"",'Data Source'!S378="F"),IF('Data Source'!AG378&gt;=5,"A+",IF('Data Source'!AG378&gt;=4,"A",IF('Data Source'!AG378&gt;=3.5,"A-",IF('Data Source'!AG378&gt;=3,"B",IF('Data Source'!AG378&gt;=2,"C",IF('Data Source'!AG378&gt;=1,"D","F")))))),"")</f>
        <v/>
      </c>
      <c r="P378" s="5">
        <f>IF(AND('Data Source'!B378&lt;&gt;"",'Data Source'!S378="F"),'Data Source'!R378,"")</f>
        <v/>
      </c>
      <c r="Q378" s="3">
        <f>IF(AND('Data Source'!B378&lt;&gt;"",'Data Source'!S378="F"),'Data Source'!S378,"")</f>
        <v/>
      </c>
    </row>
    <row r="379">
      <c r="A379" s="3">
        <f>IF(AND('Data Source'!B379&lt;&gt;"",'Data Source'!S379="F"),COUNTIF('Data Source'!$S$3:S379,"F"),"")</f>
        <v/>
      </c>
      <c r="B379">
        <f>IF(AND('Data Source'!B379&lt;&gt;"",'Data Source'!S379="F"),'Data Source'!B379,"")</f>
        <v/>
      </c>
      <c r="C379" s="3">
        <f>IF(AND('Data Source'!B379&lt;&gt;"",'Data Source'!S379="F"),IF('Data Source'!U379&gt;=5,"A+",IF('Data Source'!U379&gt;=4,"A",IF('Data Source'!U379&gt;=3.5,"A-",IF('Data Source'!U379&gt;=3,"B",IF('Data Source'!U379&gt;=2,"C",IF('Data Source'!U379&gt;=1,"D","F")))))),"")</f>
        <v/>
      </c>
      <c r="D379" s="3">
        <f>IF(AND('Data Source'!B379&lt;&gt;"",'Data Source'!S379="F"),IF('Data Source'!V379&gt;=5,"A+",IF('Data Source'!V379&gt;=4,"A",IF('Data Source'!V379&gt;=3.5,"A-",IF('Data Source'!V379&gt;=3,"B",IF('Data Source'!V379&gt;=2,"C",IF('Data Source'!V379&gt;=1,"D","F")))))),"")</f>
        <v/>
      </c>
      <c r="E379" s="3">
        <f>IF(AND('Data Source'!B379&lt;&gt;"",'Data Source'!S379="F"),IF('Data Source'!W379&gt;=5,"A+",IF('Data Source'!W379&gt;=4,"A",IF('Data Source'!W379&gt;=3.5,"A-",IF('Data Source'!W379&gt;=3,"B",IF('Data Source'!W379&gt;=2,"C",IF('Data Source'!W379&gt;=1,"D","F")))))),"")</f>
        <v/>
      </c>
      <c r="F379" s="3">
        <f>IF(AND('Data Source'!B379&lt;&gt;"",'Data Source'!S379="F"),IF('Data Source'!X379&gt;=5,"A+",IF('Data Source'!X379&gt;=4,"A",IF('Data Source'!X379&gt;=3.5,"A-",IF('Data Source'!X379&gt;=3,"B",IF('Data Source'!X379&gt;=2,"C",IF('Data Source'!X379&gt;=1,"D","F")))))),"")</f>
        <v/>
      </c>
      <c r="G379" s="3">
        <f>IF(AND('Data Source'!B379&lt;&gt;"",'Data Source'!S379="F"),IF('Data Source'!Y379&gt;=5,"A+",IF('Data Source'!Y379&gt;=4,"A",IF('Data Source'!Y379&gt;=3.5,"A-",IF('Data Source'!Y379&gt;=3,"B",IF('Data Source'!Y379&gt;=2,"C",IF('Data Source'!Y379&gt;=1,"D","F")))))),"")</f>
        <v/>
      </c>
      <c r="H379" s="3">
        <f>IF(AND('Data Source'!B379&lt;&gt;"",'Data Source'!S379="F"),IF('Data Source'!Z379&gt;=5,"A+",IF('Data Source'!Z379&gt;=4,"A",IF('Data Source'!Z379&gt;=3.5,"A-",IF('Data Source'!Z379&gt;=3,"B",IF('Data Source'!Z379&gt;=2,"C",IF('Data Source'!Z379&gt;=1,"D","F")))))),"")</f>
        <v/>
      </c>
      <c r="I379" s="3">
        <f>IF(AND('Data Source'!B379&lt;&gt;"",'Data Source'!S379="F"),IF('Data Source'!AA379&gt;=5,"A+",IF('Data Source'!AA379&gt;=4,"A",IF('Data Source'!AA379&gt;=3.5,"A-",IF('Data Source'!AA379&gt;=3,"B",IF('Data Source'!AA379&gt;=2,"C",IF('Data Source'!AA379&gt;=1,"D","F")))))),"")</f>
        <v/>
      </c>
      <c r="J379" s="3">
        <f>IF(AND('Data Source'!B379&lt;&gt;"",'Data Source'!S379="F"),IF('Data Source'!AB379&gt;=5,"A+",IF('Data Source'!AB379&gt;=4,"A",IF('Data Source'!AB379&gt;=3.5,"A-",IF('Data Source'!AB379&gt;=3,"B",IF('Data Source'!AB379&gt;=2,"C",IF('Data Source'!AB379&gt;=1,"D","F")))))),"")</f>
        <v/>
      </c>
      <c r="K379" s="3">
        <f>IF(AND('Data Source'!B379&lt;&gt;"",'Data Source'!S379="F"),IF('Data Source'!AC379&gt;=5,"A+",IF('Data Source'!AC379&gt;=4,"A",IF('Data Source'!AC379&gt;=3.5,"A-",IF('Data Source'!AC379&gt;=3,"B",IF('Data Source'!AC379&gt;=2,"C",IF('Data Source'!AC379&gt;=1,"D","F")))))),"")</f>
        <v/>
      </c>
      <c r="L379" s="3">
        <f>IF(AND('Data Source'!B379&lt;&gt;"",'Data Source'!S379="F"),IF('Data Source'!AD379&gt;=5,"A+",IF('Data Source'!AD379&gt;=4,"A",IF('Data Source'!AD379&gt;=3.5,"A-",IF('Data Source'!AD379&gt;=3,"B",IF('Data Source'!AD379&gt;=2,"C",IF('Data Source'!AD379&gt;=1,"D","F")))))),"")</f>
        <v/>
      </c>
      <c r="M379" s="3">
        <f>IF(AND('Data Source'!B379&lt;&gt;"",'Data Source'!S379="F"),IF('Data Source'!AE379&gt;=5,"A+",IF('Data Source'!AE379&gt;=4,"A",IF('Data Source'!AE379&gt;=3.5,"A-",IF('Data Source'!AE379&gt;=3,"B",IF('Data Source'!AE379&gt;=2,"C",IF('Data Source'!AE379&gt;=1,"D","F")))))),"")</f>
        <v/>
      </c>
      <c r="N379" s="3">
        <f>IF(AND('Data Source'!B379&lt;&gt;"",'Data Source'!S379="F"),IF('Data Source'!AF379&gt;=5,"A+",IF('Data Source'!AF379&gt;=4,"A",IF('Data Source'!AF379&gt;=3.5,"A-",IF('Data Source'!AF379&gt;=3,"B",IF('Data Source'!AF379&gt;=2,"C",IF('Data Source'!AF379&gt;=1,"D","F")))))),"")</f>
        <v/>
      </c>
      <c r="O379" s="3">
        <f>IF(AND('Data Source'!B379&lt;&gt;"",'Data Source'!S379="F"),IF('Data Source'!AG379&gt;=5,"A+",IF('Data Source'!AG379&gt;=4,"A",IF('Data Source'!AG379&gt;=3.5,"A-",IF('Data Source'!AG379&gt;=3,"B",IF('Data Source'!AG379&gt;=2,"C",IF('Data Source'!AG379&gt;=1,"D","F")))))),"")</f>
        <v/>
      </c>
      <c r="P379" s="5">
        <f>IF(AND('Data Source'!B379&lt;&gt;"",'Data Source'!S379="F"),'Data Source'!R379,"")</f>
        <v/>
      </c>
      <c r="Q379" s="3">
        <f>IF(AND('Data Source'!B379&lt;&gt;"",'Data Source'!S379="F"),'Data Source'!S379,"")</f>
        <v/>
      </c>
    </row>
    <row r="380">
      <c r="A380" s="3">
        <f>IF(AND('Data Source'!B380&lt;&gt;"",'Data Source'!S380="F"),COUNTIF('Data Source'!$S$3:S380,"F"),"")</f>
        <v/>
      </c>
      <c r="B380">
        <f>IF(AND('Data Source'!B380&lt;&gt;"",'Data Source'!S380="F"),'Data Source'!B380,"")</f>
        <v/>
      </c>
      <c r="C380" s="3">
        <f>IF(AND('Data Source'!B380&lt;&gt;"",'Data Source'!S380="F"),IF('Data Source'!U380&gt;=5,"A+",IF('Data Source'!U380&gt;=4,"A",IF('Data Source'!U380&gt;=3.5,"A-",IF('Data Source'!U380&gt;=3,"B",IF('Data Source'!U380&gt;=2,"C",IF('Data Source'!U380&gt;=1,"D","F")))))),"")</f>
        <v/>
      </c>
      <c r="D380" s="3">
        <f>IF(AND('Data Source'!B380&lt;&gt;"",'Data Source'!S380="F"),IF('Data Source'!V380&gt;=5,"A+",IF('Data Source'!V380&gt;=4,"A",IF('Data Source'!V380&gt;=3.5,"A-",IF('Data Source'!V380&gt;=3,"B",IF('Data Source'!V380&gt;=2,"C",IF('Data Source'!V380&gt;=1,"D","F")))))),"")</f>
        <v/>
      </c>
      <c r="E380" s="3">
        <f>IF(AND('Data Source'!B380&lt;&gt;"",'Data Source'!S380="F"),IF('Data Source'!W380&gt;=5,"A+",IF('Data Source'!W380&gt;=4,"A",IF('Data Source'!W380&gt;=3.5,"A-",IF('Data Source'!W380&gt;=3,"B",IF('Data Source'!W380&gt;=2,"C",IF('Data Source'!W380&gt;=1,"D","F")))))),"")</f>
        <v/>
      </c>
      <c r="F380" s="3">
        <f>IF(AND('Data Source'!B380&lt;&gt;"",'Data Source'!S380="F"),IF('Data Source'!X380&gt;=5,"A+",IF('Data Source'!X380&gt;=4,"A",IF('Data Source'!X380&gt;=3.5,"A-",IF('Data Source'!X380&gt;=3,"B",IF('Data Source'!X380&gt;=2,"C",IF('Data Source'!X380&gt;=1,"D","F")))))),"")</f>
        <v/>
      </c>
      <c r="G380" s="3">
        <f>IF(AND('Data Source'!B380&lt;&gt;"",'Data Source'!S380="F"),IF('Data Source'!Y380&gt;=5,"A+",IF('Data Source'!Y380&gt;=4,"A",IF('Data Source'!Y380&gt;=3.5,"A-",IF('Data Source'!Y380&gt;=3,"B",IF('Data Source'!Y380&gt;=2,"C",IF('Data Source'!Y380&gt;=1,"D","F")))))),"")</f>
        <v/>
      </c>
      <c r="H380" s="3">
        <f>IF(AND('Data Source'!B380&lt;&gt;"",'Data Source'!S380="F"),IF('Data Source'!Z380&gt;=5,"A+",IF('Data Source'!Z380&gt;=4,"A",IF('Data Source'!Z380&gt;=3.5,"A-",IF('Data Source'!Z380&gt;=3,"B",IF('Data Source'!Z380&gt;=2,"C",IF('Data Source'!Z380&gt;=1,"D","F")))))),"")</f>
        <v/>
      </c>
      <c r="I380" s="3">
        <f>IF(AND('Data Source'!B380&lt;&gt;"",'Data Source'!S380="F"),IF('Data Source'!AA380&gt;=5,"A+",IF('Data Source'!AA380&gt;=4,"A",IF('Data Source'!AA380&gt;=3.5,"A-",IF('Data Source'!AA380&gt;=3,"B",IF('Data Source'!AA380&gt;=2,"C",IF('Data Source'!AA380&gt;=1,"D","F")))))),"")</f>
        <v/>
      </c>
      <c r="J380" s="3">
        <f>IF(AND('Data Source'!B380&lt;&gt;"",'Data Source'!S380="F"),IF('Data Source'!AB380&gt;=5,"A+",IF('Data Source'!AB380&gt;=4,"A",IF('Data Source'!AB380&gt;=3.5,"A-",IF('Data Source'!AB380&gt;=3,"B",IF('Data Source'!AB380&gt;=2,"C",IF('Data Source'!AB380&gt;=1,"D","F")))))),"")</f>
        <v/>
      </c>
      <c r="K380" s="3">
        <f>IF(AND('Data Source'!B380&lt;&gt;"",'Data Source'!S380="F"),IF('Data Source'!AC380&gt;=5,"A+",IF('Data Source'!AC380&gt;=4,"A",IF('Data Source'!AC380&gt;=3.5,"A-",IF('Data Source'!AC380&gt;=3,"B",IF('Data Source'!AC380&gt;=2,"C",IF('Data Source'!AC380&gt;=1,"D","F")))))),"")</f>
        <v/>
      </c>
      <c r="L380" s="3">
        <f>IF(AND('Data Source'!B380&lt;&gt;"",'Data Source'!S380="F"),IF('Data Source'!AD380&gt;=5,"A+",IF('Data Source'!AD380&gt;=4,"A",IF('Data Source'!AD380&gt;=3.5,"A-",IF('Data Source'!AD380&gt;=3,"B",IF('Data Source'!AD380&gt;=2,"C",IF('Data Source'!AD380&gt;=1,"D","F")))))),"")</f>
        <v/>
      </c>
      <c r="M380" s="3">
        <f>IF(AND('Data Source'!B380&lt;&gt;"",'Data Source'!S380="F"),IF('Data Source'!AE380&gt;=5,"A+",IF('Data Source'!AE380&gt;=4,"A",IF('Data Source'!AE380&gt;=3.5,"A-",IF('Data Source'!AE380&gt;=3,"B",IF('Data Source'!AE380&gt;=2,"C",IF('Data Source'!AE380&gt;=1,"D","F")))))),"")</f>
        <v/>
      </c>
      <c r="N380" s="3">
        <f>IF(AND('Data Source'!B380&lt;&gt;"",'Data Source'!S380="F"),IF('Data Source'!AF380&gt;=5,"A+",IF('Data Source'!AF380&gt;=4,"A",IF('Data Source'!AF380&gt;=3.5,"A-",IF('Data Source'!AF380&gt;=3,"B",IF('Data Source'!AF380&gt;=2,"C",IF('Data Source'!AF380&gt;=1,"D","F")))))),"")</f>
        <v/>
      </c>
      <c r="O380" s="3">
        <f>IF(AND('Data Source'!B380&lt;&gt;"",'Data Source'!S380="F"),IF('Data Source'!AG380&gt;=5,"A+",IF('Data Source'!AG380&gt;=4,"A",IF('Data Source'!AG380&gt;=3.5,"A-",IF('Data Source'!AG380&gt;=3,"B",IF('Data Source'!AG380&gt;=2,"C",IF('Data Source'!AG380&gt;=1,"D","F")))))),"")</f>
        <v/>
      </c>
      <c r="P380" s="5">
        <f>IF(AND('Data Source'!B380&lt;&gt;"",'Data Source'!S380="F"),'Data Source'!R380,"")</f>
        <v/>
      </c>
      <c r="Q380" s="3">
        <f>IF(AND('Data Source'!B380&lt;&gt;"",'Data Source'!S380="F"),'Data Source'!S380,"")</f>
        <v/>
      </c>
    </row>
    <row r="381">
      <c r="A381" s="3">
        <f>IF(AND('Data Source'!B381&lt;&gt;"",'Data Source'!S381="F"),COUNTIF('Data Source'!$S$3:S381,"F"),"")</f>
        <v/>
      </c>
      <c r="B381">
        <f>IF(AND('Data Source'!B381&lt;&gt;"",'Data Source'!S381="F"),'Data Source'!B381,"")</f>
        <v/>
      </c>
      <c r="C381" s="3">
        <f>IF(AND('Data Source'!B381&lt;&gt;"",'Data Source'!S381="F"),IF('Data Source'!U381&gt;=5,"A+",IF('Data Source'!U381&gt;=4,"A",IF('Data Source'!U381&gt;=3.5,"A-",IF('Data Source'!U381&gt;=3,"B",IF('Data Source'!U381&gt;=2,"C",IF('Data Source'!U381&gt;=1,"D","F")))))),"")</f>
        <v/>
      </c>
      <c r="D381" s="3">
        <f>IF(AND('Data Source'!B381&lt;&gt;"",'Data Source'!S381="F"),IF('Data Source'!V381&gt;=5,"A+",IF('Data Source'!V381&gt;=4,"A",IF('Data Source'!V381&gt;=3.5,"A-",IF('Data Source'!V381&gt;=3,"B",IF('Data Source'!V381&gt;=2,"C",IF('Data Source'!V381&gt;=1,"D","F")))))),"")</f>
        <v/>
      </c>
      <c r="E381" s="3">
        <f>IF(AND('Data Source'!B381&lt;&gt;"",'Data Source'!S381="F"),IF('Data Source'!W381&gt;=5,"A+",IF('Data Source'!W381&gt;=4,"A",IF('Data Source'!W381&gt;=3.5,"A-",IF('Data Source'!W381&gt;=3,"B",IF('Data Source'!W381&gt;=2,"C",IF('Data Source'!W381&gt;=1,"D","F")))))),"")</f>
        <v/>
      </c>
      <c r="F381" s="3">
        <f>IF(AND('Data Source'!B381&lt;&gt;"",'Data Source'!S381="F"),IF('Data Source'!X381&gt;=5,"A+",IF('Data Source'!X381&gt;=4,"A",IF('Data Source'!X381&gt;=3.5,"A-",IF('Data Source'!X381&gt;=3,"B",IF('Data Source'!X381&gt;=2,"C",IF('Data Source'!X381&gt;=1,"D","F")))))),"")</f>
        <v/>
      </c>
      <c r="G381" s="3">
        <f>IF(AND('Data Source'!B381&lt;&gt;"",'Data Source'!S381="F"),IF('Data Source'!Y381&gt;=5,"A+",IF('Data Source'!Y381&gt;=4,"A",IF('Data Source'!Y381&gt;=3.5,"A-",IF('Data Source'!Y381&gt;=3,"B",IF('Data Source'!Y381&gt;=2,"C",IF('Data Source'!Y381&gt;=1,"D","F")))))),"")</f>
        <v/>
      </c>
      <c r="H381" s="3">
        <f>IF(AND('Data Source'!B381&lt;&gt;"",'Data Source'!S381="F"),IF('Data Source'!Z381&gt;=5,"A+",IF('Data Source'!Z381&gt;=4,"A",IF('Data Source'!Z381&gt;=3.5,"A-",IF('Data Source'!Z381&gt;=3,"B",IF('Data Source'!Z381&gt;=2,"C",IF('Data Source'!Z381&gt;=1,"D","F")))))),"")</f>
        <v/>
      </c>
      <c r="I381" s="3">
        <f>IF(AND('Data Source'!B381&lt;&gt;"",'Data Source'!S381="F"),IF('Data Source'!AA381&gt;=5,"A+",IF('Data Source'!AA381&gt;=4,"A",IF('Data Source'!AA381&gt;=3.5,"A-",IF('Data Source'!AA381&gt;=3,"B",IF('Data Source'!AA381&gt;=2,"C",IF('Data Source'!AA381&gt;=1,"D","F")))))),"")</f>
        <v/>
      </c>
      <c r="J381" s="3">
        <f>IF(AND('Data Source'!B381&lt;&gt;"",'Data Source'!S381="F"),IF('Data Source'!AB381&gt;=5,"A+",IF('Data Source'!AB381&gt;=4,"A",IF('Data Source'!AB381&gt;=3.5,"A-",IF('Data Source'!AB381&gt;=3,"B",IF('Data Source'!AB381&gt;=2,"C",IF('Data Source'!AB381&gt;=1,"D","F")))))),"")</f>
        <v/>
      </c>
      <c r="K381" s="3">
        <f>IF(AND('Data Source'!B381&lt;&gt;"",'Data Source'!S381="F"),IF('Data Source'!AC381&gt;=5,"A+",IF('Data Source'!AC381&gt;=4,"A",IF('Data Source'!AC381&gt;=3.5,"A-",IF('Data Source'!AC381&gt;=3,"B",IF('Data Source'!AC381&gt;=2,"C",IF('Data Source'!AC381&gt;=1,"D","F")))))),"")</f>
        <v/>
      </c>
      <c r="L381" s="3">
        <f>IF(AND('Data Source'!B381&lt;&gt;"",'Data Source'!S381="F"),IF('Data Source'!AD381&gt;=5,"A+",IF('Data Source'!AD381&gt;=4,"A",IF('Data Source'!AD381&gt;=3.5,"A-",IF('Data Source'!AD381&gt;=3,"B",IF('Data Source'!AD381&gt;=2,"C",IF('Data Source'!AD381&gt;=1,"D","F")))))),"")</f>
        <v/>
      </c>
      <c r="M381" s="3">
        <f>IF(AND('Data Source'!B381&lt;&gt;"",'Data Source'!S381="F"),IF('Data Source'!AE381&gt;=5,"A+",IF('Data Source'!AE381&gt;=4,"A",IF('Data Source'!AE381&gt;=3.5,"A-",IF('Data Source'!AE381&gt;=3,"B",IF('Data Source'!AE381&gt;=2,"C",IF('Data Source'!AE381&gt;=1,"D","F")))))),"")</f>
        <v/>
      </c>
      <c r="N381" s="3">
        <f>IF(AND('Data Source'!B381&lt;&gt;"",'Data Source'!S381="F"),IF('Data Source'!AF381&gt;=5,"A+",IF('Data Source'!AF381&gt;=4,"A",IF('Data Source'!AF381&gt;=3.5,"A-",IF('Data Source'!AF381&gt;=3,"B",IF('Data Source'!AF381&gt;=2,"C",IF('Data Source'!AF381&gt;=1,"D","F")))))),"")</f>
        <v/>
      </c>
      <c r="O381" s="3">
        <f>IF(AND('Data Source'!B381&lt;&gt;"",'Data Source'!S381="F"),IF('Data Source'!AG381&gt;=5,"A+",IF('Data Source'!AG381&gt;=4,"A",IF('Data Source'!AG381&gt;=3.5,"A-",IF('Data Source'!AG381&gt;=3,"B",IF('Data Source'!AG381&gt;=2,"C",IF('Data Source'!AG381&gt;=1,"D","F")))))),"")</f>
        <v/>
      </c>
      <c r="P381" s="5">
        <f>IF(AND('Data Source'!B381&lt;&gt;"",'Data Source'!S381="F"),'Data Source'!R381,"")</f>
        <v/>
      </c>
      <c r="Q381" s="3">
        <f>IF(AND('Data Source'!B381&lt;&gt;"",'Data Source'!S381="F"),'Data Source'!S381,"")</f>
        <v/>
      </c>
    </row>
    <row r="382">
      <c r="A382" s="3">
        <f>IF(AND('Data Source'!B382&lt;&gt;"",'Data Source'!S382="F"),COUNTIF('Data Source'!$S$3:S382,"F"),"")</f>
        <v/>
      </c>
      <c r="B382">
        <f>IF(AND('Data Source'!B382&lt;&gt;"",'Data Source'!S382="F"),'Data Source'!B382,"")</f>
        <v/>
      </c>
      <c r="C382" s="3">
        <f>IF(AND('Data Source'!B382&lt;&gt;"",'Data Source'!S382="F"),IF('Data Source'!U382&gt;=5,"A+",IF('Data Source'!U382&gt;=4,"A",IF('Data Source'!U382&gt;=3.5,"A-",IF('Data Source'!U382&gt;=3,"B",IF('Data Source'!U382&gt;=2,"C",IF('Data Source'!U382&gt;=1,"D","F")))))),"")</f>
        <v/>
      </c>
      <c r="D382" s="3">
        <f>IF(AND('Data Source'!B382&lt;&gt;"",'Data Source'!S382="F"),IF('Data Source'!V382&gt;=5,"A+",IF('Data Source'!V382&gt;=4,"A",IF('Data Source'!V382&gt;=3.5,"A-",IF('Data Source'!V382&gt;=3,"B",IF('Data Source'!V382&gt;=2,"C",IF('Data Source'!V382&gt;=1,"D","F")))))),"")</f>
        <v/>
      </c>
      <c r="E382" s="3">
        <f>IF(AND('Data Source'!B382&lt;&gt;"",'Data Source'!S382="F"),IF('Data Source'!W382&gt;=5,"A+",IF('Data Source'!W382&gt;=4,"A",IF('Data Source'!W382&gt;=3.5,"A-",IF('Data Source'!W382&gt;=3,"B",IF('Data Source'!W382&gt;=2,"C",IF('Data Source'!W382&gt;=1,"D","F")))))),"")</f>
        <v/>
      </c>
      <c r="F382" s="3">
        <f>IF(AND('Data Source'!B382&lt;&gt;"",'Data Source'!S382="F"),IF('Data Source'!X382&gt;=5,"A+",IF('Data Source'!X382&gt;=4,"A",IF('Data Source'!X382&gt;=3.5,"A-",IF('Data Source'!X382&gt;=3,"B",IF('Data Source'!X382&gt;=2,"C",IF('Data Source'!X382&gt;=1,"D","F")))))),"")</f>
        <v/>
      </c>
      <c r="G382" s="3">
        <f>IF(AND('Data Source'!B382&lt;&gt;"",'Data Source'!S382="F"),IF('Data Source'!Y382&gt;=5,"A+",IF('Data Source'!Y382&gt;=4,"A",IF('Data Source'!Y382&gt;=3.5,"A-",IF('Data Source'!Y382&gt;=3,"B",IF('Data Source'!Y382&gt;=2,"C",IF('Data Source'!Y382&gt;=1,"D","F")))))),"")</f>
        <v/>
      </c>
      <c r="H382" s="3">
        <f>IF(AND('Data Source'!B382&lt;&gt;"",'Data Source'!S382="F"),IF('Data Source'!Z382&gt;=5,"A+",IF('Data Source'!Z382&gt;=4,"A",IF('Data Source'!Z382&gt;=3.5,"A-",IF('Data Source'!Z382&gt;=3,"B",IF('Data Source'!Z382&gt;=2,"C",IF('Data Source'!Z382&gt;=1,"D","F")))))),"")</f>
        <v/>
      </c>
      <c r="I382" s="3">
        <f>IF(AND('Data Source'!B382&lt;&gt;"",'Data Source'!S382="F"),IF('Data Source'!AA382&gt;=5,"A+",IF('Data Source'!AA382&gt;=4,"A",IF('Data Source'!AA382&gt;=3.5,"A-",IF('Data Source'!AA382&gt;=3,"B",IF('Data Source'!AA382&gt;=2,"C",IF('Data Source'!AA382&gt;=1,"D","F")))))),"")</f>
        <v/>
      </c>
      <c r="J382" s="3">
        <f>IF(AND('Data Source'!B382&lt;&gt;"",'Data Source'!S382="F"),IF('Data Source'!AB382&gt;=5,"A+",IF('Data Source'!AB382&gt;=4,"A",IF('Data Source'!AB382&gt;=3.5,"A-",IF('Data Source'!AB382&gt;=3,"B",IF('Data Source'!AB382&gt;=2,"C",IF('Data Source'!AB382&gt;=1,"D","F")))))),"")</f>
        <v/>
      </c>
      <c r="K382" s="3">
        <f>IF(AND('Data Source'!B382&lt;&gt;"",'Data Source'!S382="F"),IF('Data Source'!AC382&gt;=5,"A+",IF('Data Source'!AC382&gt;=4,"A",IF('Data Source'!AC382&gt;=3.5,"A-",IF('Data Source'!AC382&gt;=3,"B",IF('Data Source'!AC382&gt;=2,"C",IF('Data Source'!AC382&gt;=1,"D","F")))))),"")</f>
        <v/>
      </c>
      <c r="L382" s="3">
        <f>IF(AND('Data Source'!B382&lt;&gt;"",'Data Source'!S382="F"),IF('Data Source'!AD382&gt;=5,"A+",IF('Data Source'!AD382&gt;=4,"A",IF('Data Source'!AD382&gt;=3.5,"A-",IF('Data Source'!AD382&gt;=3,"B",IF('Data Source'!AD382&gt;=2,"C",IF('Data Source'!AD382&gt;=1,"D","F")))))),"")</f>
        <v/>
      </c>
      <c r="M382" s="3">
        <f>IF(AND('Data Source'!B382&lt;&gt;"",'Data Source'!S382="F"),IF('Data Source'!AE382&gt;=5,"A+",IF('Data Source'!AE382&gt;=4,"A",IF('Data Source'!AE382&gt;=3.5,"A-",IF('Data Source'!AE382&gt;=3,"B",IF('Data Source'!AE382&gt;=2,"C",IF('Data Source'!AE382&gt;=1,"D","F")))))),"")</f>
        <v/>
      </c>
      <c r="N382" s="3">
        <f>IF(AND('Data Source'!B382&lt;&gt;"",'Data Source'!S382="F"),IF('Data Source'!AF382&gt;=5,"A+",IF('Data Source'!AF382&gt;=4,"A",IF('Data Source'!AF382&gt;=3.5,"A-",IF('Data Source'!AF382&gt;=3,"B",IF('Data Source'!AF382&gt;=2,"C",IF('Data Source'!AF382&gt;=1,"D","F")))))),"")</f>
        <v/>
      </c>
      <c r="O382" s="3">
        <f>IF(AND('Data Source'!B382&lt;&gt;"",'Data Source'!S382="F"),IF('Data Source'!AG382&gt;=5,"A+",IF('Data Source'!AG382&gt;=4,"A",IF('Data Source'!AG382&gt;=3.5,"A-",IF('Data Source'!AG382&gt;=3,"B",IF('Data Source'!AG382&gt;=2,"C",IF('Data Source'!AG382&gt;=1,"D","F")))))),"")</f>
        <v/>
      </c>
      <c r="P382" s="5">
        <f>IF(AND('Data Source'!B382&lt;&gt;"",'Data Source'!S382="F"),'Data Source'!R382,"")</f>
        <v/>
      </c>
      <c r="Q382" s="3">
        <f>IF(AND('Data Source'!B382&lt;&gt;"",'Data Source'!S382="F"),'Data Source'!S382,"")</f>
        <v/>
      </c>
    </row>
    <row r="383">
      <c r="A383" s="3">
        <f>IF(AND('Data Source'!B383&lt;&gt;"",'Data Source'!S383="F"),COUNTIF('Data Source'!$S$3:S383,"F"),"")</f>
        <v/>
      </c>
      <c r="B383">
        <f>IF(AND('Data Source'!B383&lt;&gt;"",'Data Source'!S383="F"),'Data Source'!B383,"")</f>
        <v/>
      </c>
      <c r="C383" s="3">
        <f>IF(AND('Data Source'!B383&lt;&gt;"",'Data Source'!S383="F"),IF('Data Source'!U383&gt;=5,"A+",IF('Data Source'!U383&gt;=4,"A",IF('Data Source'!U383&gt;=3.5,"A-",IF('Data Source'!U383&gt;=3,"B",IF('Data Source'!U383&gt;=2,"C",IF('Data Source'!U383&gt;=1,"D","F")))))),"")</f>
        <v/>
      </c>
      <c r="D383" s="3">
        <f>IF(AND('Data Source'!B383&lt;&gt;"",'Data Source'!S383="F"),IF('Data Source'!V383&gt;=5,"A+",IF('Data Source'!V383&gt;=4,"A",IF('Data Source'!V383&gt;=3.5,"A-",IF('Data Source'!V383&gt;=3,"B",IF('Data Source'!V383&gt;=2,"C",IF('Data Source'!V383&gt;=1,"D","F")))))),"")</f>
        <v/>
      </c>
      <c r="E383" s="3">
        <f>IF(AND('Data Source'!B383&lt;&gt;"",'Data Source'!S383="F"),IF('Data Source'!W383&gt;=5,"A+",IF('Data Source'!W383&gt;=4,"A",IF('Data Source'!W383&gt;=3.5,"A-",IF('Data Source'!W383&gt;=3,"B",IF('Data Source'!W383&gt;=2,"C",IF('Data Source'!W383&gt;=1,"D","F")))))),"")</f>
        <v/>
      </c>
      <c r="F383" s="3">
        <f>IF(AND('Data Source'!B383&lt;&gt;"",'Data Source'!S383="F"),IF('Data Source'!X383&gt;=5,"A+",IF('Data Source'!X383&gt;=4,"A",IF('Data Source'!X383&gt;=3.5,"A-",IF('Data Source'!X383&gt;=3,"B",IF('Data Source'!X383&gt;=2,"C",IF('Data Source'!X383&gt;=1,"D","F")))))),"")</f>
        <v/>
      </c>
      <c r="G383" s="3">
        <f>IF(AND('Data Source'!B383&lt;&gt;"",'Data Source'!S383="F"),IF('Data Source'!Y383&gt;=5,"A+",IF('Data Source'!Y383&gt;=4,"A",IF('Data Source'!Y383&gt;=3.5,"A-",IF('Data Source'!Y383&gt;=3,"B",IF('Data Source'!Y383&gt;=2,"C",IF('Data Source'!Y383&gt;=1,"D","F")))))),"")</f>
        <v/>
      </c>
      <c r="H383" s="3">
        <f>IF(AND('Data Source'!B383&lt;&gt;"",'Data Source'!S383="F"),IF('Data Source'!Z383&gt;=5,"A+",IF('Data Source'!Z383&gt;=4,"A",IF('Data Source'!Z383&gt;=3.5,"A-",IF('Data Source'!Z383&gt;=3,"B",IF('Data Source'!Z383&gt;=2,"C",IF('Data Source'!Z383&gt;=1,"D","F")))))),"")</f>
        <v/>
      </c>
      <c r="I383" s="3">
        <f>IF(AND('Data Source'!B383&lt;&gt;"",'Data Source'!S383="F"),IF('Data Source'!AA383&gt;=5,"A+",IF('Data Source'!AA383&gt;=4,"A",IF('Data Source'!AA383&gt;=3.5,"A-",IF('Data Source'!AA383&gt;=3,"B",IF('Data Source'!AA383&gt;=2,"C",IF('Data Source'!AA383&gt;=1,"D","F")))))),"")</f>
        <v/>
      </c>
      <c r="J383" s="3">
        <f>IF(AND('Data Source'!B383&lt;&gt;"",'Data Source'!S383="F"),IF('Data Source'!AB383&gt;=5,"A+",IF('Data Source'!AB383&gt;=4,"A",IF('Data Source'!AB383&gt;=3.5,"A-",IF('Data Source'!AB383&gt;=3,"B",IF('Data Source'!AB383&gt;=2,"C",IF('Data Source'!AB383&gt;=1,"D","F")))))),"")</f>
        <v/>
      </c>
      <c r="K383" s="3">
        <f>IF(AND('Data Source'!B383&lt;&gt;"",'Data Source'!S383="F"),IF('Data Source'!AC383&gt;=5,"A+",IF('Data Source'!AC383&gt;=4,"A",IF('Data Source'!AC383&gt;=3.5,"A-",IF('Data Source'!AC383&gt;=3,"B",IF('Data Source'!AC383&gt;=2,"C",IF('Data Source'!AC383&gt;=1,"D","F")))))),"")</f>
        <v/>
      </c>
      <c r="L383" s="3">
        <f>IF(AND('Data Source'!B383&lt;&gt;"",'Data Source'!S383="F"),IF('Data Source'!AD383&gt;=5,"A+",IF('Data Source'!AD383&gt;=4,"A",IF('Data Source'!AD383&gt;=3.5,"A-",IF('Data Source'!AD383&gt;=3,"B",IF('Data Source'!AD383&gt;=2,"C",IF('Data Source'!AD383&gt;=1,"D","F")))))),"")</f>
        <v/>
      </c>
      <c r="M383" s="3">
        <f>IF(AND('Data Source'!B383&lt;&gt;"",'Data Source'!S383="F"),IF('Data Source'!AE383&gt;=5,"A+",IF('Data Source'!AE383&gt;=4,"A",IF('Data Source'!AE383&gt;=3.5,"A-",IF('Data Source'!AE383&gt;=3,"B",IF('Data Source'!AE383&gt;=2,"C",IF('Data Source'!AE383&gt;=1,"D","F")))))),"")</f>
        <v/>
      </c>
      <c r="N383" s="3">
        <f>IF(AND('Data Source'!B383&lt;&gt;"",'Data Source'!S383="F"),IF('Data Source'!AF383&gt;=5,"A+",IF('Data Source'!AF383&gt;=4,"A",IF('Data Source'!AF383&gt;=3.5,"A-",IF('Data Source'!AF383&gt;=3,"B",IF('Data Source'!AF383&gt;=2,"C",IF('Data Source'!AF383&gt;=1,"D","F")))))),"")</f>
        <v/>
      </c>
      <c r="O383" s="3">
        <f>IF(AND('Data Source'!B383&lt;&gt;"",'Data Source'!S383="F"),IF('Data Source'!AG383&gt;=5,"A+",IF('Data Source'!AG383&gt;=4,"A",IF('Data Source'!AG383&gt;=3.5,"A-",IF('Data Source'!AG383&gt;=3,"B",IF('Data Source'!AG383&gt;=2,"C",IF('Data Source'!AG383&gt;=1,"D","F")))))),"")</f>
        <v/>
      </c>
      <c r="P383" s="5">
        <f>IF(AND('Data Source'!B383&lt;&gt;"",'Data Source'!S383="F"),'Data Source'!R383,"")</f>
        <v/>
      </c>
      <c r="Q383" s="3">
        <f>IF(AND('Data Source'!B383&lt;&gt;"",'Data Source'!S383="F"),'Data Source'!S383,"")</f>
        <v/>
      </c>
    </row>
    <row r="384">
      <c r="A384" s="3">
        <f>IF(AND('Data Source'!B384&lt;&gt;"",'Data Source'!S384="F"),COUNTIF('Data Source'!$S$3:S384,"F"),"")</f>
        <v/>
      </c>
      <c r="B384">
        <f>IF(AND('Data Source'!B384&lt;&gt;"",'Data Source'!S384="F"),'Data Source'!B384,"")</f>
        <v/>
      </c>
      <c r="C384" s="3">
        <f>IF(AND('Data Source'!B384&lt;&gt;"",'Data Source'!S384="F"),IF('Data Source'!U384&gt;=5,"A+",IF('Data Source'!U384&gt;=4,"A",IF('Data Source'!U384&gt;=3.5,"A-",IF('Data Source'!U384&gt;=3,"B",IF('Data Source'!U384&gt;=2,"C",IF('Data Source'!U384&gt;=1,"D","F")))))),"")</f>
        <v/>
      </c>
      <c r="D384" s="3">
        <f>IF(AND('Data Source'!B384&lt;&gt;"",'Data Source'!S384="F"),IF('Data Source'!V384&gt;=5,"A+",IF('Data Source'!V384&gt;=4,"A",IF('Data Source'!V384&gt;=3.5,"A-",IF('Data Source'!V384&gt;=3,"B",IF('Data Source'!V384&gt;=2,"C",IF('Data Source'!V384&gt;=1,"D","F")))))),"")</f>
        <v/>
      </c>
      <c r="E384" s="3">
        <f>IF(AND('Data Source'!B384&lt;&gt;"",'Data Source'!S384="F"),IF('Data Source'!W384&gt;=5,"A+",IF('Data Source'!W384&gt;=4,"A",IF('Data Source'!W384&gt;=3.5,"A-",IF('Data Source'!W384&gt;=3,"B",IF('Data Source'!W384&gt;=2,"C",IF('Data Source'!W384&gt;=1,"D","F")))))),"")</f>
        <v/>
      </c>
      <c r="F384" s="3">
        <f>IF(AND('Data Source'!B384&lt;&gt;"",'Data Source'!S384="F"),IF('Data Source'!X384&gt;=5,"A+",IF('Data Source'!X384&gt;=4,"A",IF('Data Source'!X384&gt;=3.5,"A-",IF('Data Source'!X384&gt;=3,"B",IF('Data Source'!X384&gt;=2,"C",IF('Data Source'!X384&gt;=1,"D","F")))))),"")</f>
        <v/>
      </c>
      <c r="G384" s="3">
        <f>IF(AND('Data Source'!B384&lt;&gt;"",'Data Source'!S384="F"),IF('Data Source'!Y384&gt;=5,"A+",IF('Data Source'!Y384&gt;=4,"A",IF('Data Source'!Y384&gt;=3.5,"A-",IF('Data Source'!Y384&gt;=3,"B",IF('Data Source'!Y384&gt;=2,"C",IF('Data Source'!Y384&gt;=1,"D","F")))))),"")</f>
        <v/>
      </c>
      <c r="H384" s="3">
        <f>IF(AND('Data Source'!B384&lt;&gt;"",'Data Source'!S384="F"),IF('Data Source'!Z384&gt;=5,"A+",IF('Data Source'!Z384&gt;=4,"A",IF('Data Source'!Z384&gt;=3.5,"A-",IF('Data Source'!Z384&gt;=3,"B",IF('Data Source'!Z384&gt;=2,"C",IF('Data Source'!Z384&gt;=1,"D","F")))))),"")</f>
        <v/>
      </c>
      <c r="I384" s="3">
        <f>IF(AND('Data Source'!B384&lt;&gt;"",'Data Source'!S384="F"),IF('Data Source'!AA384&gt;=5,"A+",IF('Data Source'!AA384&gt;=4,"A",IF('Data Source'!AA384&gt;=3.5,"A-",IF('Data Source'!AA384&gt;=3,"B",IF('Data Source'!AA384&gt;=2,"C",IF('Data Source'!AA384&gt;=1,"D","F")))))),"")</f>
        <v/>
      </c>
      <c r="J384" s="3">
        <f>IF(AND('Data Source'!B384&lt;&gt;"",'Data Source'!S384="F"),IF('Data Source'!AB384&gt;=5,"A+",IF('Data Source'!AB384&gt;=4,"A",IF('Data Source'!AB384&gt;=3.5,"A-",IF('Data Source'!AB384&gt;=3,"B",IF('Data Source'!AB384&gt;=2,"C",IF('Data Source'!AB384&gt;=1,"D","F")))))),"")</f>
        <v/>
      </c>
      <c r="K384" s="3">
        <f>IF(AND('Data Source'!B384&lt;&gt;"",'Data Source'!S384="F"),IF('Data Source'!AC384&gt;=5,"A+",IF('Data Source'!AC384&gt;=4,"A",IF('Data Source'!AC384&gt;=3.5,"A-",IF('Data Source'!AC384&gt;=3,"B",IF('Data Source'!AC384&gt;=2,"C",IF('Data Source'!AC384&gt;=1,"D","F")))))),"")</f>
        <v/>
      </c>
      <c r="L384" s="3">
        <f>IF(AND('Data Source'!B384&lt;&gt;"",'Data Source'!S384="F"),IF('Data Source'!AD384&gt;=5,"A+",IF('Data Source'!AD384&gt;=4,"A",IF('Data Source'!AD384&gt;=3.5,"A-",IF('Data Source'!AD384&gt;=3,"B",IF('Data Source'!AD384&gt;=2,"C",IF('Data Source'!AD384&gt;=1,"D","F")))))),"")</f>
        <v/>
      </c>
      <c r="M384" s="3">
        <f>IF(AND('Data Source'!B384&lt;&gt;"",'Data Source'!S384="F"),IF('Data Source'!AE384&gt;=5,"A+",IF('Data Source'!AE384&gt;=4,"A",IF('Data Source'!AE384&gt;=3.5,"A-",IF('Data Source'!AE384&gt;=3,"B",IF('Data Source'!AE384&gt;=2,"C",IF('Data Source'!AE384&gt;=1,"D","F")))))),"")</f>
        <v/>
      </c>
      <c r="N384" s="3">
        <f>IF(AND('Data Source'!B384&lt;&gt;"",'Data Source'!S384="F"),IF('Data Source'!AF384&gt;=5,"A+",IF('Data Source'!AF384&gt;=4,"A",IF('Data Source'!AF384&gt;=3.5,"A-",IF('Data Source'!AF384&gt;=3,"B",IF('Data Source'!AF384&gt;=2,"C",IF('Data Source'!AF384&gt;=1,"D","F")))))),"")</f>
        <v/>
      </c>
      <c r="O384" s="3">
        <f>IF(AND('Data Source'!B384&lt;&gt;"",'Data Source'!S384="F"),IF('Data Source'!AG384&gt;=5,"A+",IF('Data Source'!AG384&gt;=4,"A",IF('Data Source'!AG384&gt;=3.5,"A-",IF('Data Source'!AG384&gt;=3,"B",IF('Data Source'!AG384&gt;=2,"C",IF('Data Source'!AG384&gt;=1,"D","F")))))),"")</f>
        <v/>
      </c>
      <c r="P384" s="5">
        <f>IF(AND('Data Source'!B384&lt;&gt;"",'Data Source'!S384="F"),'Data Source'!R384,"")</f>
        <v/>
      </c>
      <c r="Q384" s="3">
        <f>IF(AND('Data Source'!B384&lt;&gt;"",'Data Source'!S384="F"),'Data Source'!S384,"")</f>
        <v/>
      </c>
    </row>
    <row r="385">
      <c r="A385" s="3">
        <f>IF(AND('Data Source'!B385&lt;&gt;"",'Data Source'!S385="F"),COUNTIF('Data Source'!$S$3:S385,"F"),"")</f>
        <v/>
      </c>
      <c r="B385">
        <f>IF(AND('Data Source'!B385&lt;&gt;"",'Data Source'!S385="F"),'Data Source'!B385,"")</f>
        <v/>
      </c>
      <c r="C385" s="3">
        <f>IF(AND('Data Source'!B385&lt;&gt;"",'Data Source'!S385="F"),IF('Data Source'!U385&gt;=5,"A+",IF('Data Source'!U385&gt;=4,"A",IF('Data Source'!U385&gt;=3.5,"A-",IF('Data Source'!U385&gt;=3,"B",IF('Data Source'!U385&gt;=2,"C",IF('Data Source'!U385&gt;=1,"D","F")))))),"")</f>
        <v/>
      </c>
      <c r="D385" s="3">
        <f>IF(AND('Data Source'!B385&lt;&gt;"",'Data Source'!S385="F"),IF('Data Source'!V385&gt;=5,"A+",IF('Data Source'!V385&gt;=4,"A",IF('Data Source'!V385&gt;=3.5,"A-",IF('Data Source'!V385&gt;=3,"B",IF('Data Source'!V385&gt;=2,"C",IF('Data Source'!V385&gt;=1,"D","F")))))),"")</f>
        <v/>
      </c>
      <c r="E385" s="3">
        <f>IF(AND('Data Source'!B385&lt;&gt;"",'Data Source'!S385="F"),IF('Data Source'!W385&gt;=5,"A+",IF('Data Source'!W385&gt;=4,"A",IF('Data Source'!W385&gt;=3.5,"A-",IF('Data Source'!W385&gt;=3,"B",IF('Data Source'!W385&gt;=2,"C",IF('Data Source'!W385&gt;=1,"D","F")))))),"")</f>
        <v/>
      </c>
      <c r="F385" s="3">
        <f>IF(AND('Data Source'!B385&lt;&gt;"",'Data Source'!S385="F"),IF('Data Source'!X385&gt;=5,"A+",IF('Data Source'!X385&gt;=4,"A",IF('Data Source'!X385&gt;=3.5,"A-",IF('Data Source'!X385&gt;=3,"B",IF('Data Source'!X385&gt;=2,"C",IF('Data Source'!X385&gt;=1,"D","F")))))),"")</f>
        <v/>
      </c>
      <c r="G385" s="3">
        <f>IF(AND('Data Source'!B385&lt;&gt;"",'Data Source'!S385="F"),IF('Data Source'!Y385&gt;=5,"A+",IF('Data Source'!Y385&gt;=4,"A",IF('Data Source'!Y385&gt;=3.5,"A-",IF('Data Source'!Y385&gt;=3,"B",IF('Data Source'!Y385&gt;=2,"C",IF('Data Source'!Y385&gt;=1,"D","F")))))),"")</f>
        <v/>
      </c>
      <c r="H385" s="3">
        <f>IF(AND('Data Source'!B385&lt;&gt;"",'Data Source'!S385="F"),IF('Data Source'!Z385&gt;=5,"A+",IF('Data Source'!Z385&gt;=4,"A",IF('Data Source'!Z385&gt;=3.5,"A-",IF('Data Source'!Z385&gt;=3,"B",IF('Data Source'!Z385&gt;=2,"C",IF('Data Source'!Z385&gt;=1,"D","F")))))),"")</f>
        <v/>
      </c>
      <c r="I385" s="3">
        <f>IF(AND('Data Source'!B385&lt;&gt;"",'Data Source'!S385="F"),IF('Data Source'!AA385&gt;=5,"A+",IF('Data Source'!AA385&gt;=4,"A",IF('Data Source'!AA385&gt;=3.5,"A-",IF('Data Source'!AA385&gt;=3,"B",IF('Data Source'!AA385&gt;=2,"C",IF('Data Source'!AA385&gt;=1,"D","F")))))),"")</f>
        <v/>
      </c>
      <c r="J385" s="3">
        <f>IF(AND('Data Source'!B385&lt;&gt;"",'Data Source'!S385="F"),IF('Data Source'!AB385&gt;=5,"A+",IF('Data Source'!AB385&gt;=4,"A",IF('Data Source'!AB385&gt;=3.5,"A-",IF('Data Source'!AB385&gt;=3,"B",IF('Data Source'!AB385&gt;=2,"C",IF('Data Source'!AB385&gt;=1,"D","F")))))),"")</f>
        <v/>
      </c>
      <c r="K385" s="3">
        <f>IF(AND('Data Source'!B385&lt;&gt;"",'Data Source'!S385="F"),IF('Data Source'!AC385&gt;=5,"A+",IF('Data Source'!AC385&gt;=4,"A",IF('Data Source'!AC385&gt;=3.5,"A-",IF('Data Source'!AC385&gt;=3,"B",IF('Data Source'!AC385&gt;=2,"C",IF('Data Source'!AC385&gt;=1,"D","F")))))),"")</f>
        <v/>
      </c>
      <c r="L385" s="3">
        <f>IF(AND('Data Source'!B385&lt;&gt;"",'Data Source'!S385="F"),IF('Data Source'!AD385&gt;=5,"A+",IF('Data Source'!AD385&gt;=4,"A",IF('Data Source'!AD385&gt;=3.5,"A-",IF('Data Source'!AD385&gt;=3,"B",IF('Data Source'!AD385&gt;=2,"C",IF('Data Source'!AD385&gt;=1,"D","F")))))),"")</f>
        <v/>
      </c>
      <c r="M385" s="3">
        <f>IF(AND('Data Source'!B385&lt;&gt;"",'Data Source'!S385="F"),IF('Data Source'!AE385&gt;=5,"A+",IF('Data Source'!AE385&gt;=4,"A",IF('Data Source'!AE385&gt;=3.5,"A-",IF('Data Source'!AE385&gt;=3,"B",IF('Data Source'!AE385&gt;=2,"C",IF('Data Source'!AE385&gt;=1,"D","F")))))),"")</f>
        <v/>
      </c>
      <c r="N385" s="3">
        <f>IF(AND('Data Source'!B385&lt;&gt;"",'Data Source'!S385="F"),IF('Data Source'!AF385&gt;=5,"A+",IF('Data Source'!AF385&gt;=4,"A",IF('Data Source'!AF385&gt;=3.5,"A-",IF('Data Source'!AF385&gt;=3,"B",IF('Data Source'!AF385&gt;=2,"C",IF('Data Source'!AF385&gt;=1,"D","F")))))),"")</f>
        <v/>
      </c>
      <c r="O385" s="3">
        <f>IF(AND('Data Source'!B385&lt;&gt;"",'Data Source'!S385="F"),IF('Data Source'!AG385&gt;=5,"A+",IF('Data Source'!AG385&gt;=4,"A",IF('Data Source'!AG385&gt;=3.5,"A-",IF('Data Source'!AG385&gt;=3,"B",IF('Data Source'!AG385&gt;=2,"C",IF('Data Source'!AG385&gt;=1,"D","F")))))),"")</f>
        <v/>
      </c>
      <c r="P385" s="5">
        <f>IF(AND('Data Source'!B385&lt;&gt;"",'Data Source'!S385="F"),'Data Source'!R385,"")</f>
        <v/>
      </c>
      <c r="Q385" s="3">
        <f>IF(AND('Data Source'!B385&lt;&gt;"",'Data Source'!S385="F"),'Data Source'!S385,"")</f>
        <v/>
      </c>
    </row>
    <row r="386">
      <c r="A386" s="3">
        <f>IF(AND('Data Source'!B386&lt;&gt;"",'Data Source'!S386="F"),COUNTIF('Data Source'!$S$3:S386,"F"),"")</f>
        <v/>
      </c>
      <c r="B386">
        <f>IF(AND('Data Source'!B386&lt;&gt;"",'Data Source'!S386="F"),'Data Source'!B386,"")</f>
        <v/>
      </c>
      <c r="C386" s="3">
        <f>IF(AND('Data Source'!B386&lt;&gt;"",'Data Source'!S386="F"),IF('Data Source'!U386&gt;=5,"A+",IF('Data Source'!U386&gt;=4,"A",IF('Data Source'!U386&gt;=3.5,"A-",IF('Data Source'!U386&gt;=3,"B",IF('Data Source'!U386&gt;=2,"C",IF('Data Source'!U386&gt;=1,"D","F")))))),"")</f>
        <v/>
      </c>
      <c r="D386" s="3">
        <f>IF(AND('Data Source'!B386&lt;&gt;"",'Data Source'!S386="F"),IF('Data Source'!V386&gt;=5,"A+",IF('Data Source'!V386&gt;=4,"A",IF('Data Source'!V386&gt;=3.5,"A-",IF('Data Source'!V386&gt;=3,"B",IF('Data Source'!V386&gt;=2,"C",IF('Data Source'!V386&gt;=1,"D","F")))))),"")</f>
        <v/>
      </c>
      <c r="E386" s="3">
        <f>IF(AND('Data Source'!B386&lt;&gt;"",'Data Source'!S386="F"),IF('Data Source'!W386&gt;=5,"A+",IF('Data Source'!W386&gt;=4,"A",IF('Data Source'!W386&gt;=3.5,"A-",IF('Data Source'!W386&gt;=3,"B",IF('Data Source'!W386&gt;=2,"C",IF('Data Source'!W386&gt;=1,"D","F")))))),"")</f>
        <v/>
      </c>
      <c r="F386" s="3">
        <f>IF(AND('Data Source'!B386&lt;&gt;"",'Data Source'!S386="F"),IF('Data Source'!X386&gt;=5,"A+",IF('Data Source'!X386&gt;=4,"A",IF('Data Source'!X386&gt;=3.5,"A-",IF('Data Source'!X386&gt;=3,"B",IF('Data Source'!X386&gt;=2,"C",IF('Data Source'!X386&gt;=1,"D","F")))))),"")</f>
        <v/>
      </c>
      <c r="G386" s="3">
        <f>IF(AND('Data Source'!B386&lt;&gt;"",'Data Source'!S386="F"),IF('Data Source'!Y386&gt;=5,"A+",IF('Data Source'!Y386&gt;=4,"A",IF('Data Source'!Y386&gt;=3.5,"A-",IF('Data Source'!Y386&gt;=3,"B",IF('Data Source'!Y386&gt;=2,"C",IF('Data Source'!Y386&gt;=1,"D","F")))))),"")</f>
        <v/>
      </c>
      <c r="H386" s="3">
        <f>IF(AND('Data Source'!B386&lt;&gt;"",'Data Source'!S386="F"),IF('Data Source'!Z386&gt;=5,"A+",IF('Data Source'!Z386&gt;=4,"A",IF('Data Source'!Z386&gt;=3.5,"A-",IF('Data Source'!Z386&gt;=3,"B",IF('Data Source'!Z386&gt;=2,"C",IF('Data Source'!Z386&gt;=1,"D","F")))))),"")</f>
        <v/>
      </c>
      <c r="I386" s="3">
        <f>IF(AND('Data Source'!B386&lt;&gt;"",'Data Source'!S386="F"),IF('Data Source'!AA386&gt;=5,"A+",IF('Data Source'!AA386&gt;=4,"A",IF('Data Source'!AA386&gt;=3.5,"A-",IF('Data Source'!AA386&gt;=3,"B",IF('Data Source'!AA386&gt;=2,"C",IF('Data Source'!AA386&gt;=1,"D","F")))))),"")</f>
        <v/>
      </c>
      <c r="J386" s="3">
        <f>IF(AND('Data Source'!B386&lt;&gt;"",'Data Source'!S386="F"),IF('Data Source'!AB386&gt;=5,"A+",IF('Data Source'!AB386&gt;=4,"A",IF('Data Source'!AB386&gt;=3.5,"A-",IF('Data Source'!AB386&gt;=3,"B",IF('Data Source'!AB386&gt;=2,"C",IF('Data Source'!AB386&gt;=1,"D","F")))))),"")</f>
        <v/>
      </c>
      <c r="K386" s="3">
        <f>IF(AND('Data Source'!B386&lt;&gt;"",'Data Source'!S386="F"),IF('Data Source'!AC386&gt;=5,"A+",IF('Data Source'!AC386&gt;=4,"A",IF('Data Source'!AC386&gt;=3.5,"A-",IF('Data Source'!AC386&gt;=3,"B",IF('Data Source'!AC386&gt;=2,"C",IF('Data Source'!AC386&gt;=1,"D","F")))))),"")</f>
        <v/>
      </c>
      <c r="L386" s="3">
        <f>IF(AND('Data Source'!B386&lt;&gt;"",'Data Source'!S386="F"),IF('Data Source'!AD386&gt;=5,"A+",IF('Data Source'!AD386&gt;=4,"A",IF('Data Source'!AD386&gt;=3.5,"A-",IF('Data Source'!AD386&gt;=3,"B",IF('Data Source'!AD386&gt;=2,"C",IF('Data Source'!AD386&gt;=1,"D","F")))))),"")</f>
        <v/>
      </c>
      <c r="M386" s="3">
        <f>IF(AND('Data Source'!B386&lt;&gt;"",'Data Source'!S386="F"),IF('Data Source'!AE386&gt;=5,"A+",IF('Data Source'!AE386&gt;=4,"A",IF('Data Source'!AE386&gt;=3.5,"A-",IF('Data Source'!AE386&gt;=3,"B",IF('Data Source'!AE386&gt;=2,"C",IF('Data Source'!AE386&gt;=1,"D","F")))))),"")</f>
        <v/>
      </c>
      <c r="N386" s="3">
        <f>IF(AND('Data Source'!B386&lt;&gt;"",'Data Source'!S386="F"),IF('Data Source'!AF386&gt;=5,"A+",IF('Data Source'!AF386&gt;=4,"A",IF('Data Source'!AF386&gt;=3.5,"A-",IF('Data Source'!AF386&gt;=3,"B",IF('Data Source'!AF386&gt;=2,"C",IF('Data Source'!AF386&gt;=1,"D","F")))))),"")</f>
        <v/>
      </c>
      <c r="O386" s="3">
        <f>IF(AND('Data Source'!B386&lt;&gt;"",'Data Source'!S386="F"),IF('Data Source'!AG386&gt;=5,"A+",IF('Data Source'!AG386&gt;=4,"A",IF('Data Source'!AG386&gt;=3.5,"A-",IF('Data Source'!AG386&gt;=3,"B",IF('Data Source'!AG386&gt;=2,"C",IF('Data Source'!AG386&gt;=1,"D","F")))))),"")</f>
        <v/>
      </c>
      <c r="P386" s="5">
        <f>IF(AND('Data Source'!B386&lt;&gt;"",'Data Source'!S386="F"),'Data Source'!R386,"")</f>
        <v/>
      </c>
      <c r="Q386" s="3">
        <f>IF(AND('Data Source'!B386&lt;&gt;"",'Data Source'!S386="F"),'Data Source'!S386,"")</f>
        <v/>
      </c>
    </row>
    <row r="387">
      <c r="A387" s="3">
        <f>IF(AND('Data Source'!B387&lt;&gt;"",'Data Source'!S387="F"),COUNTIF('Data Source'!$S$3:S387,"F"),"")</f>
        <v/>
      </c>
      <c r="B387">
        <f>IF(AND('Data Source'!B387&lt;&gt;"",'Data Source'!S387="F"),'Data Source'!B387,"")</f>
        <v/>
      </c>
      <c r="C387" s="3">
        <f>IF(AND('Data Source'!B387&lt;&gt;"",'Data Source'!S387="F"),IF('Data Source'!U387&gt;=5,"A+",IF('Data Source'!U387&gt;=4,"A",IF('Data Source'!U387&gt;=3.5,"A-",IF('Data Source'!U387&gt;=3,"B",IF('Data Source'!U387&gt;=2,"C",IF('Data Source'!U387&gt;=1,"D","F")))))),"")</f>
        <v/>
      </c>
      <c r="D387" s="3">
        <f>IF(AND('Data Source'!B387&lt;&gt;"",'Data Source'!S387="F"),IF('Data Source'!V387&gt;=5,"A+",IF('Data Source'!V387&gt;=4,"A",IF('Data Source'!V387&gt;=3.5,"A-",IF('Data Source'!V387&gt;=3,"B",IF('Data Source'!V387&gt;=2,"C",IF('Data Source'!V387&gt;=1,"D","F")))))),"")</f>
        <v/>
      </c>
      <c r="E387" s="3">
        <f>IF(AND('Data Source'!B387&lt;&gt;"",'Data Source'!S387="F"),IF('Data Source'!W387&gt;=5,"A+",IF('Data Source'!W387&gt;=4,"A",IF('Data Source'!W387&gt;=3.5,"A-",IF('Data Source'!W387&gt;=3,"B",IF('Data Source'!W387&gt;=2,"C",IF('Data Source'!W387&gt;=1,"D","F")))))),"")</f>
        <v/>
      </c>
      <c r="F387" s="3">
        <f>IF(AND('Data Source'!B387&lt;&gt;"",'Data Source'!S387="F"),IF('Data Source'!X387&gt;=5,"A+",IF('Data Source'!X387&gt;=4,"A",IF('Data Source'!X387&gt;=3.5,"A-",IF('Data Source'!X387&gt;=3,"B",IF('Data Source'!X387&gt;=2,"C",IF('Data Source'!X387&gt;=1,"D","F")))))),"")</f>
        <v/>
      </c>
      <c r="G387" s="3">
        <f>IF(AND('Data Source'!B387&lt;&gt;"",'Data Source'!S387="F"),IF('Data Source'!Y387&gt;=5,"A+",IF('Data Source'!Y387&gt;=4,"A",IF('Data Source'!Y387&gt;=3.5,"A-",IF('Data Source'!Y387&gt;=3,"B",IF('Data Source'!Y387&gt;=2,"C",IF('Data Source'!Y387&gt;=1,"D","F")))))),"")</f>
        <v/>
      </c>
      <c r="H387" s="3">
        <f>IF(AND('Data Source'!B387&lt;&gt;"",'Data Source'!S387="F"),IF('Data Source'!Z387&gt;=5,"A+",IF('Data Source'!Z387&gt;=4,"A",IF('Data Source'!Z387&gt;=3.5,"A-",IF('Data Source'!Z387&gt;=3,"B",IF('Data Source'!Z387&gt;=2,"C",IF('Data Source'!Z387&gt;=1,"D","F")))))),"")</f>
        <v/>
      </c>
      <c r="I387" s="3">
        <f>IF(AND('Data Source'!B387&lt;&gt;"",'Data Source'!S387="F"),IF('Data Source'!AA387&gt;=5,"A+",IF('Data Source'!AA387&gt;=4,"A",IF('Data Source'!AA387&gt;=3.5,"A-",IF('Data Source'!AA387&gt;=3,"B",IF('Data Source'!AA387&gt;=2,"C",IF('Data Source'!AA387&gt;=1,"D","F")))))),"")</f>
        <v/>
      </c>
      <c r="J387" s="3">
        <f>IF(AND('Data Source'!B387&lt;&gt;"",'Data Source'!S387="F"),IF('Data Source'!AB387&gt;=5,"A+",IF('Data Source'!AB387&gt;=4,"A",IF('Data Source'!AB387&gt;=3.5,"A-",IF('Data Source'!AB387&gt;=3,"B",IF('Data Source'!AB387&gt;=2,"C",IF('Data Source'!AB387&gt;=1,"D","F")))))),"")</f>
        <v/>
      </c>
      <c r="K387" s="3">
        <f>IF(AND('Data Source'!B387&lt;&gt;"",'Data Source'!S387="F"),IF('Data Source'!AC387&gt;=5,"A+",IF('Data Source'!AC387&gt;=4,"A",IF('Data Source'!AC387&gt;=3.5,"A-",IF('Data Source'!AC387&gt;=3,"B",IF('Data Source'!AC387&gt;=2,"C",IF('Data Source'!AC387&gt;=1,"D","F")))))),"")</f>
        <v/>
      </c>
      <c r="L387" s="3">
        <f>IF(AND('Data Source'!B387&lt;&gt;"",'Data Source'!S387="F"),IF('Data Source'!AD387&gt;=5,"A+",IF('Data Source'!AD387&gt;=4,"A",IF('Data Source'!AD387&gt;=3.5,"A-",IF('Data Source'!AD387&gt;=3,"B",IF('Data Source'!AD387&gt;=2,"C",IF('Data Source'!AD387&gt;=1,"D","F")))))),"")</f>
        <v/>
      </c>
      <c r="M387" s="3">
        <f>IF(AND('Data Source'!B387&lt;&gt;"",'Data Source'!S387="F"),IF('Data Source'!AE387&gt;=5,"A+",IF('Data Source'!AE387&gt;=4,"A",IF('Data Source'!AE387&gt;=3.5,"A-",IF('Data Source'!AE387&gt;=3,"B",IF('Data Source'!AE387&gt;=2,"C",IF('Data Source'!AE387&gt;=1,"D","F")))))),"")</f>
        <v/>
      </c>
      <c r="N387" s="3">
        <f>IF(AND('Data Source'!B387&lt;&gt;"",'Data Source'!S387="F"),IF('Data Source'!AF387&gt;=5,"A+",IF('Data Source'!AF387&gt;=4,"A",IF('Data Source'!AF387&gt;=3.5,"A-",IF('Data Source'!AF387&gt;=3,"B",IF('Data Source'!AF387&gt;=2,"C",IF('Data Source'!AF387&gt;=1,"D","F")))))),"")</f>
        <v/>
      </c>
      <c r="O387" s="3">
        <f>IF(AND('Data Source'!B387&lt;&gt;"",'Data Source'!S387="F"),IF('Data Source'!AG387&gt;=5,"A+",IF('Data Source'!AG387&gt;=4,"A",IF('Data Source'!AG387&gt;=3.5,"A-",IF('Data Source'!AG387&gt;=3,"B",IF('Data Source'!AG387&gt;=2,"C",IF('Data Source'!AG387&gt;=1,"D","F")))))),"")</f>
        <v/>
      </c>
      <c r="P387" s="5">
        <f>IF(AND('Data Source'!B387&lt;&gt;"",'Data Source'!S387="F"),'Data Source'!R387,"")</f>
        <v/>
      </c>
      <c r="Q387" s="3">
        <f>IF(AND('Data Source'!B387&lt;&gt;"",'Data Source'!S387="F"),'Data Source'!S387,"")</f>
        <v/>
      </c>
    </row>
    <row r="388">
      <c r="A388" s="3">
        <f>IF(AND('Data Source'!B388&lt;&gt;"",'Data Source'!S388="F"),COUNTIF('Data Source'!$S$3:S388,"F"),"")</f>
        <v/>
      </c>
      <c r="B388">
        <f>IF(AND('Data Source'!B388&lt;&gt;"",'Data Source'!S388="F"),'Data Source'!B388,"")</f>
        <v/>
      </c>
      <c r="C388" s="3">
        <f>IF(AND('Data Source'!B388&lt;&gt;"",'Data Source'!S388="F"),IF('Data Source'!U388&gt;=5,"A+",IF('Data Source'!U388&gt;=4,"A",IF('Data Source'!U388&gt;=3.5,"A-",IF('Data Source'!U388&gt;=3,"B",IF('Data Source'!U388&gt;=2,"C",IF('Data Source'!U388&gt;=1,"D","F")))))),"")</f>
        <v/>
      </c>
      <c r="D388" s="3">
        <f>IF(AND('Data Source'!B388&lt;&gt;"",'Data Source'!S388="F"),IF('Data Source'!V388&gt;=5,"A+",IF('Data Source'!V388&gt;=4,"A",IF('Data Source'!V388&gt;=3.5,"A-",IF('Data Source'!V388&gt;=3,"B",IF('Data Source'!V388&gt;=2,"C",IF('Data Source'!V388&gt;=1,"D","F")))))),"")</f>
        <v/>
      </c>
      <c r="E388" s="3">
        <f>IF(AND('Data Source'!B388&lt;&gt;"",'Data Source'!S388="F"),IF('Data Source'!W388&gt;=5,"A+",IF('Data Source'!W388&gt;=4,"A",IF('Data Source'!W388&gt;=3.5,"A-",IF('Data Source'!W388&gt;=3,"B",IF('Data Source'!W388&gt;=2,"C",IF('Data Source'!W388&gt;=1,"D","F")))))),"")</f>
        <v/>
      </c>
      <c r="F388" s="3">
        <f>IF(AND('Data Source'!B388&lt;&gt;"",'Data Source'!S388="F"),IF('Data Source'!X388&gt;=5,"A+",IF('Data Source'!X388&gt;=4,"A",IF('Data Source'!X388&gt;=3.5,"A-",IF('Data Source'!X388&gt;=3,"B",IF('Data Source'!X388&gt;=2,"C",IF('Data Source'!X388&gt;=1,"D","F")))))),"")</f>
        <v/>
      </c>
      <c r="G388" s="3">
        <f>IF(AND('Data Source'!B388&lt;&gt;"",'Data Source'!S388="F"),IF('Data Source'!Y388&gt;=5,"A+",IF('Data Source'!Y388&gt;=4,"A",IF('Data Source'!Y388&gt;=3.5,"A-",IF('Data Source'!Y388&gt;=3,"B",IF('Data Source'!Y388&gt;=2,"C",IF('Data Source'!Y388&gt;=1,"D","F")))))),"")</f>
        <v/>
      </c>
      <c r="H388" s="3">
        <f>IF(AND('Data Source'!B388&lt;&gt;"",'Data Source'!S388="F"),IF('Data Source'!Z388&gt;=5,"A+",IF('Data Source'!Z388&gt;=4,"A",IF('Data Source'!Z388&gt;=3.5,"A-",IF('Data Source'!Z388&gt;=3,"B",IF('Data Source'!Z388&gt;=2,"C",IF('Data Source'!Z388&gt;=1,"D","F")))))),"")</f>
        <v/>
      </c>
      <c r="I388" s="3">
        <f>IF(AND('Data Source'!B388&lt;&gt;"",'Data Source'!S388="F"),IF('Data Source'!AA388&gt;=5,"A+",IF('Data Source'!AA388&gt;=4,"A",IF('Data Source'!AA388&gt;=3.5,"A-",IF('Data Source'!AA388&gt;=3,"B",IF('Data Source'!AA388&gt;=2,"C",IF('Data Source'!AA388&gt;=1,"D","F")))))),"")</f>
        <v/>
      </c>
      <c r="J388" s="3">
        <f>IF(AND('Data Source'!B388&lt;&gt;"",'Data Source'!S388="F"),IF('Data Source'!AB388&gt;=5,"A+",IF('Data Source'!AB388&gt;=4,"A",IF('Data Source'!AB388&gt;=3.5,"A-",IF('Data Source'!AB388&gt;=3,"B",IF('Data Source'!AB388&gt;=2,"C",IF('Data Source'!AB388&gt;=1,"D","F")))))),"")</f>
        <v/>
      </c>
      <c r="K388" s="3">
        <f>IF(AND('Data Source'!B388&lt;&gt;"",'Data Source'!S388="F"),IF('Data Source'!AC388&gt;=5,"A+",IF('Data Source'!AC388&gt;=4,"A",IF('Data Source'!AC388&gt;=3.5,"A-",IF('Data Source'!AC388&gt;=3,"B",IF('Data Source'!AC388&gt;=2,"C",IF('Data Source'!AC388&gt;=1,"D","F")))))),"")</f>
        <v/>
      </c>
      <c r="L388" s="3">
        <f>IF(AND('Data Source'!B388&lt;&gt;"",'Data Source'!S388="F"),IF('Data Source'!AD388&gt;=5,"A+",IF('Data Source'!AD388&gt;=4,"A",IF('Data Source'!AD388&gt;=3.5,"A-",IF('Data Source'!AD388&gt;=3,"B",IF('Data Source'!AD388&gt;=2,"C",IF('Data Source'!AD388&gt;=1,"D","F")))))),"")</f>
        <v/>
      </c>
      <c r="M388" s="3">
        <f>IF(AND('Data Source'!B388&lt;&gt;"",'Data Source'!S388="F"),IF('Data Source'!AE388&gt;=5,"A+",IF('Data Source'!AE388&gt;=4,"A",IF('Data Source'!AE388&gt;=3.5,"A-",IF('Data Source'!AE388&gt;=3,"B",IF('Data Source'!AE388&gt;=2,"C",IF('Data Source'!AE388&gt;=1,"D","F")))))),"")</f>
        <v/>
      </c>
      <c r="N388" s="3">
        <f>IF(AND('Data Source'!B388&lt;&gt;"",'Data Source'!S388="F"),IF('Data Source'!AF388&gt;=5,"A+",IF('Data Source'!AF388&gt;=4,"A",IF('Data Source'!AF388&gt;=3.5,"A-",IF('Data Source'!AF388&gt;=3,"B",IF('Data Source'!AF388&gt;=2,"C",IF('Data Source'!AF388&gt;=1,"D","F")))))),"")</f>
        <v/>
      </c>
      <c r="O388" s="3">
        <f>IF(AND('Data Source'!B388&lt;&gt;"",'Data Source'!S388="F"),IF('Data Source'!AG388&gt;=5,"A+",IF('Data Source'!AG388&gt;=4,"A",IF('Data Source'!AG388&gt;=3.5,"A-",IF('Data Source'!AG388&gt;=3,"B",IF('Data Source'!AG388&gt;=2,"C",IF('Data Source'!AG388&gt;=1,"D","F")))))),"")</f>
        <v/>
      </c>
      <c r="P388" s="5">
        <f>IF(AND('Data Source'!B388&lt;&gt;"",'Data Source'!S388="F"),'Data Source'!R388,"")</f>
        <v/>
      </c>
      <c r="Q388" s="3">
        <f>IF(AND('Data Source'!B388&lt;&gt;"",'Data Source'!S388="F"),'Data Source'!S388,"")</f>
        <v/>
      </c>
    </row>
    <row r="389">
      <c r="A389" s="3">
        <f>IF(AND('Data Source'!B389&lt;&gt;"",'Data Source'!S389="F"),COUNTIF('Data Source'!$S$3:S389,"F"),"")</f>
        <v/>
      </c>
      <c r="B389">
        <f>IF(AND('Data Source'!B389&lt;&gt;"",'Data Source'!S389="F"),'Data Source'!B389,"")</f>
        <v/>
      </c>
      <c r="C389" s="3">
        <f>IF(AND('Data Source'!B389&lt;&gt;"",'Data Source'!S389="F"),IF('Data Source'!U389&gt;=5,"A+",IF('Data Source'!U389&gt;=4,"A",IF('Data Source'!U389&gt;=3.5,"A-",IF('Data Source'!U389&gt;=3,"B",IF('Data Source'!U389&gt;=2,"C",IF('Data Source'!U389&gt;=1,"D","F")))))),"")</f>
        <v/>
      </c>
      <c r="D389" s="3">
        <f>IF(AND('Data Source'!B389&lt;&gt;"",'Data Source'!S389="F"),IF('Data Source'!V389&gt;=5,"A+",IF('Data Source'!V389&gt;=4,"A",IF('Data Source'!V389&gt;=3.5,"A-",IF('Data Source'!V389&gt;=3,"B",IF('Data Source'!V389&gt;=2,"C",IF('Data Source'!V389&gt;=1,"D","F")))))),"")</f>
        <v/>
      </c>
      <c r="E389" s="3">
        <f>IF(AND('Data Source'!B389&lt;&gt;"",'Data Source'!S389="F"),IF('Data Source'!W389&gt;=5,"A+",IF('Data Source'!W389&gt;=4,"A",IF('Data Source'!W389&gt;=3.5,"A-",IF('Data Source'!W389&gt;=3,"B",IF('Data Source'!W389&gt;=2,"C",IF('Data Source'!W389&gt;=1,"D","F")))))),"")</f>
        <v/>
      </c>
      <c r="F389" s="3">
        <f>IF(AND('Data Source'!B389&lt;&gt;"",'Data Source'!S389="F"),IF('Data Source'!X389&gt;=5,"A+",IF('Data Source'!X389&gt;=4,"A",IF('Data Source'!X389&gt;=3.5,"A-",IF('Data Source'!X389&gt;=3,"B",IF('Data Source'!X389&gt;=2,"C",IF('Data Source'!X389&gt;=1,"D","F")))))),"")</f>
        <v/>
      </c>
      <c r="G389" s="3">
        <f>IF(AND('Data Source'!B389&lt;&gt;"",'Data Source'!S389="F"),IF('Data Source'!Y389&gt;=5,"A+",IF('Data Source'!Y389&gt;=4,"A",IF('Data Source'!Y389&gt;=3.5,"A-",IF('Data Source'!Y389&gt;=3,"B",IF('Data Source'!Y389&gt;=2,"C",IF('Data Source'!Y389&gt;=1,"D","F")))))),"")</f>
        <v/>
      </c>
      <c r="H389" s="3">
        <f>IF(AND('Data Source'!B389&lt;&gt;"",'Data Source'!S389="F"),IF('Data Source'!Z389&gt;=5,"A+",IF('Data Source'!Z389&gt;=4,"A",IF('Data Source'!Z389&gt;=3.5,"A-",IF('Data Source'!Z389&gt;=3,"B",IF('Data Source'!Z389&gt;=2,"C",IF('Data Source'!Z389&gt;=1,"D","F")))))),"")</f>
        <v/>
      </c>
      <c r="I389" s="3">
        <f>IF(AND('Data Source'!B389&lt;&gt;"",'Data Source'!S389="F"),IF('Data Source'!AA389&gt;=5,"A+",IF('Data Source'!AA389&gt;=4,"A",IF('Data Source'!AA389&gt;=3.5,"A-",IF('Data Source'!AA389&gt;=3,"B",IF('Data Source'!AA389&gt;=2,"C",IF('Data Source'!AA389&gt;=1,"D","F")))))),"")</f>
        <v/>
      </c>
      <c r="J389" s="3">
        <f>IF(AND('Data Source'!B389&lt;&gt;"",'Data Source'!S389="F"),IF('Data Source'!AB389&gt;=5,"A+",IF('Data Source'!AB389&gt;=4,"A",IF('Data Source'!AB389&gt;=3.5,"A-",IF('Data Source'!AB389&gt;=3,"B",IF('Data Source'!AB389&gt;=2,"C",IF('Data Source'!AB389&gt;=1,"D","F")))))),"")</f>
        <v/>
      </c>
      <c r="K389" s="3">
        <f>IF(AND('Data Source'!B389&lt;&gt;"",'Data Source'!S389="F"),IF('Data Source'!AC389&gt;=5,"A+",IF('Data Source'!AC389&gt;=4,"A",IF('Data Source'!AC389&gt;=3.5,"A-",IF('Data Source'!AC389&gt;=3,"B",IF('Data Source'!AC389&gt;=2,"C",IF('Data Source'!AC389&gt;=1,"D","F")))))),"")</f>
        <v/>
      </c>
      <c r="L389" s="3">
        <f>IF(AND('Data Source'!B389&lt;&gt;"",'Data Source'!S389="F"),IF('Data Source'!AD389&gt;=5,"A+",IF('Data Source'!AD389&gt;=4,"A",IF('Data Source'!AD389&gt;=3.5,"A-",IF('Data Source'!AD389&gt;=3,"B",IF('Data Source'!AD389&gt;=2,"C",IF('Data Source'!AD389&gt;=1,"D","F")))))),"")</f>
        <v/>
      </c>
      <c r="M389" s="3">
        <f>IF(AND('Data Source'!B389&lt;&gt;"",'Data Source'!S389="F"),IF('Data Source'!AE389&gt;=5,"A+",IF('Data Source'!AE389&gt;=4,"A",IF('Data Source'!AE389&gt;=3.5,"A-",IF('Data Source'!AE389&gt;=3,"B",IF('Data Source'!AE389&gt;=2,"C",IF('Data Source'!AE389&gt;=1,"D","F")))))),"")</f>
        <v/>
      </c>
      <c r="N389" s="3">
        <f>IF(AND('Data Source'!B389&lt;&gt;"",'Data Source'!S389="F"),IF('Data Source'!AF389&gt;=5,"A+",IF('Data Source'!AF389&gt;=4,"A",IF('Data Source'!AF389&gt;=3.5,"A-",IF('Data Source'!AF389&gt;=3,"B",IF('Data Source'!AF389&gt;=2,"C",IF('Data Source'!AF389&gt;=1,"D","F")))))),"")</f>
        <v/>
      </c>
      <c r="O389" s="3">
        <f>IF(AND('Data Source'!B389&lt;&gt;"",'Data Source'!S389="F"),IF('Data Source'!AG389&gt;=5,"A+",IF('Data Source'!AG389&gt;=4,"A",IF('Data Source'!AG389&gt;=3.5,"A-",IF('Data Source'!AG389&gt;=3,"B",IF('Data Source'!AG389&gt;=2,"C",IF('Data Source'!AG389&gt;=1,"D","F")))))),"")</f>
        <v/>
      </c>
      <c r="P389" s="5">
        <f>IF(AND('Data Source'!B389&lt;&gt;"",'Data Source'!S389="F"),'Data Source'!R389,"")</f>
        <v/>
      </c>
      <c r="Q389" s="3">
        <f>IF(AND('Data Source'!B389&lt;&gt;"",'Data Source'!S389="F"),'Data Source'!S389,"")</f>
        <v/>
      </c>
    </row>
    <row r="390">
      <c r="A390" s="3">
        <f>IF(AND('Data Source'!B390&lt;&gt;"",'Data Source'!S390="F"),COUNTIF('Data Source'!$S$3:S390,"F"),"")</f>
        <v/>
      </c>
      <c r="B390">
        <f>IF(AND('Data Source'!B390&lt;&gt;"",'Data Source'!S390="F"),'Data Source'!B390,"")</f>
        <v/>
      </c>
      <c r="C390" s="3">
        <f>IF(AND('Data Source'!B390&lt;&gt;"",'Data Source'!S390="F"),IF('Data Source'!U390&gt;=5,"A+",IF('Data Source'!U390&gt;=4,"A",IF('Data Source'!U390&gt;=3.5,"A-",IF('Data Source'!U390&gt;=3,"B",IF('Data Source'!U390&gt;=2,"C",IF('Data Source'!U390&gt;=1,"D","F")))))),"")</f>
        <v/>
      </c>
      <c r="D390" s="3">
        <f>IF(AND('Data Source'!B390&lt;&gt;"",'Data Source'!S390="F"),IF('Data Source'!V390&gt;=5,"A+",IF('Data Source'!V390&gt;=4,"A",IF('Data Source'!V390&gt;=3.5,"A-",IF('Data Source'!V390&gt;=3,"B",IF('Data Source'!V390&gt;=2,"C",IF('Data Source'!V390&gt;=1,"D","F")))))),"")</f>
        <v/>
      </c>
      <c r="E390" s="3">
        <f>IF(AND('Data Source'!B390&lt;&gt;"",'Data Source'!S390="F"),IF('Data Source'!W390&gt;=5,"A+",IF('Data Source'!W390&gt;=4,"A",IF('Data Source'!W390&gt;=3.5,"A-",IF('Data Source'!W390&gt;=3,"B",IF('Data Source'!W390&gt;=2,"C",IF('Data Source'!W390&gt;=1,"D","F")))))),"")</f>
        <v/>
      </c>
      <c r="F390" s="3">
        <f>IF(AND('Data Source'!B390&lt;&gt;"",'Data Source'!S390="F"),IF('Data Source'!X390&gt;=5,"A+",IF('Data Source'!X390&gt;=4,"A",IF('Data Source'!X390&gt;=3.5,"A-",IF('Data Source'!X390&gt;=3,"B",IF('Data Source'!X390&gt;=2,"C",IF('Data Source'!X390&gt;=1,"D","F")))))),"")</f>
        <v/>
      </c>
      <c r="G390" s="3">
        <f>IF(AND('Data Source'!B390&lt;&gt;"",'Data Source'!S390="F"),IF('Data Source'!Y390&gt;=5,"A+",IF('Data Source'!Y390&gt;=4,"A",IF('Data Source'!Y390&gt;=3.5,"A-",IF('Data Source'!Y390&gt;=3,"B",IF('Data Source'!Y390&gt;=2,"C",IF('Data Source'!Y390&gt;=1,"D","F")))))),"")</f>
        <v/>
      </c>
      <c r="H390" s="3">
        <f>IF(AND('Data Source'!B390&lt;&gt;"",'Data Source'!S390="F"),IF('Data Source'!Z390&gt;=5,"A+",IF('Data Source'!Z390&gt;=4,"A",IF('Data Source'!Z390&gt;=3.5,"A-",IF('Data Source'!Z390&gt;=3,"B",IF('Data Source'!Z390&gt;=2,"C",IF('Data Source'!Z390&gt;=1,"D","F")))))),"")</f>
        <v/>
      </c>
      <c r="I390" s="3">
        <f>IF(AND('Data Source'!B390&lt;&gt;"",'Data Source'!S390="F"),IF('Data Source'!AA390&gt;=5,"A+",IF('Data Source'!AA390&gt;=4,"A",IF('Data Source'!AA390&gt;=3.5,"A-",IF('Data Source'!AA390&gt;=3,"B",IF('Data Source'!AA390&gt;=2,"C",IF('Data Source'!AA390&gt;=1,"D","F")))))),"")</f>
        <v/>
      </c>
      <c r="J390" s="3">
        <f>IF(AND('Data Source'!B390&lt;&gt;"",'Data Source'!S390="F"),IF('Data Source'!AB390&gt;=5,"A+",IF('Data Source'!AB390&gt;=4,"A",IF('Data Source'!AB390&gt;=3.5,"A-",IF('Data Source'!AB390&gt;=3,"B",IF('Data Source'!AB390&gt;=2,"C",IF('Data Source'!AB390&gt;=1,"D","F")))))),"")</f>
        <v/>
      </c>
      <c r="K390" s="3">
        <f>IF(AND('Data Source'!B390&lt;&gt;"",'Data Source'!S390="F"),IF('Data Source'!AC390&gt;=5,"A+",IF('Data Source'!AC390&gt;=4,"A",IF('Data Source'!AC390&gt;=3.5,"A-",IF('Data Source'!AC390&gt;=3,"B",IF('Data Source'!AC390&gt;=2,"C",IF('Data Source'!AC390&gt;=1,"D","F")))))),"")</f>
        <v/>
      </c>
      <c r="L390" s="3">
        <f>IF(AND('Data Source'!B390&lt;&gt;"",'Data Source'!S390="F"),IF('Data Source'!AD390&gt;=5,"A+",IF('Data Source'!AD390&gt;=4,"A",IF('Data Source'!AD390&gt;=3.5,"A-",IF('Data Source'!AD390&gt;=3,"B",IF('Data Source'!AD390&gt;=2,"C",IF('Data Source'!AD390&gt;=1,"D","F")))))),"")</f>
        <v/>
      </c>
      <c r="M390" s="3">
        <f>IF(AND('Data Source'!B390&lt;&gt;"",'Data Source'!S390="F"),IF('Data Source'!AE390&gt;=5,"A+",IF('Data Source'!AE390&gt;=4,"A",IF('Data Source'!AE390&gt;=3.5,"A-",IF('Data Source'!AE390&gt;=3,"B",IF('Data Source'!AE390&gt;=2,"C",IF('Data Source'!AE390&gt;=1,"D","F")))))),"")</f>
        <v/>
      </c>
      <c r="N390" s="3">
        <f>IF(AND('Data Source'!B390&lt;&gt;"",'Data Source'!S390="F"),IF('Data Source'!AF390&gt;=5,"A+",IF('Data Source'!AF390&gt;=4,"A",IF('Data Source'!AF390&gt;=3.5,"A-",IF('Data Source'!AF390&gt;=3,"B",IF('Data Source'!AF390&gt;=2,"C",IF('Data Source'!AF390&gt;=1,"D","F")))))),"")</f>
        <v/>
      </c>
      <c r="O390" s="3">
        <f>IF(AND('Data Source'!B390&lt;&gt;"",'Data Source'!S390="F"),IF('Data Source'!AG390&gt;=5,"A+",IF('Data Source'!AG390&gt;=4,"A",IF('Data Source'!AG390&gt;=3.5,"A-",IF('Data Source'!AG390&gt;=3,"B",IF('Data Source'!AG390&gt;=2,"C",IF('Data Source'!AG390&gt;=1,"D","F")))))),"")</f>
        <v/>
      </c>
      <c r="P390" s="5">
        <f>IF(AND('Data Source'!B390&lt;&gt;"",'Data Source'!S390="F"),'Data Source'!R390,"")</f>
        <v/>
      </c>
      <c r="Q390" s="3">
        <f>IF(AND('Data Source'!B390&lt;&gt;"",'Data Source'!S390="F"),'Data Source'!S390,"")</f>
        <v/>
      </c>
    </row>
    <row r="391">
      <c r="A391" s="3">
        <f>IF(AND('Data Source'!B391&lt;&gt;"",'Data Source'!S391="F"),COUNTIF('Data Source'!$S$3:S391,"F"),"")</f>
        <v/>
      </c>
      <c r="B391">
        <f>IF(AND('Data Source'!B391&lt;&gt;"",'Data Source'!S391="F"),'Data Source'!B391,"")</f>
        <v/>
      </c>
      <c r="C391" s="3">
        <f>IF(AND('Data Source'!B391&lt;&gt;"",'Data Source'!S391="F"),IF('Data Source'!U391&gt;=5,"A+",IF('Data Source'!U391&gt;=4,"A",IF('Data Source'!U391&gt;=3.5,"A-",IF('Data Source'!U391&gt;=3,"B",IF('Data Source'!U391&gt;=2,"C",IF('Data Source'!U391&gt;=1,"D","F")))))),"")</f>
        <v/>
      </c>
      <c r="D391" s="3">
        <f>IF(AND('Data Source'!B391&lt;&gt;"",'Data Source'!S391="F"),IF('Data Source'!V391&gt;=5,"A+",IF('Data Source'!V391&gt;=4,"A",IF('Data Source'!V391&gt;=3.5,"A-",IF('Data Source'!V391&gt;=3,"B",IF('Data Source'!V391&gt;=2,"C",IF('Data Source'!V391&gt;=1,"D","F")))))),"")</f>
        <v/>
      </c>
      <c r="E391" s="3">
        <f>IF(AND('Data Source'!B391&lt;&gt;"",'Data Source'!S391="F"),IF('Data Source'!W391&gt;=5,"A+",IF('Data Source'!W391&gt;=4,"A",IF('Data Source'!W391&gt;=3.5,"A-",IF('Data Source'!W391&gt;=3,"B",IF('Data Source'!W391&gt;=2,"C",IF('Data Source'!W391&gt;=1,"D","F")))))),"")</f>
        <v/>
      </c>
      <c r="F391" s="3">
        <f>IF(AND('Data Source'!B391&lt;&gt;"",'Data Source'!S391="F"),IF('Data Source'!X391&gt;=5,"A+",IF('Data Source'!X391&gt;=4,"A",IF('Data Source'!X391&gt;=3.5,"A-",IF('Data Source'!X391&gt;=3,"B",IF('Data Source'!X391&gt;=2,"C",IF('Data Source'!X391&gt;=1,"D","F")))))),"")</f>
        <v/>
      </c>
      <c r="G391" s="3">
        <f>IF(AND('Data Source'!B391&lt;&gt;"",'Data Source'!S391="F"),IF('Data Source'!Y391&gt;=5,"A+",IF('Data Source'!Y391&gt;=4,"A",IF('Data Source'!Y391&gt;=3.5,"A-",IF('Data Source'!Y391&gt;=3,"B",IF('Data Source'!Y391&gt;=2,"C",IF('Data Source'!Y391&gt;=1,"D","F")))))),"")</f>
        <v/>
      </c>
      <c r="H391" s="3">
        <f>IF(AND('Data Source'!B391&lt;&gt;"",'Data Source'!S391="F"),IF('Data Source'!Z391&gt;=5,"A+",IF('Data Source'!Z391&gt;=4,"A",IF('Data Source'!Z391&gt;=3.5,"A-",IF('Data Source'!Z391&gt;=3,"B",IF('Data Source'!Z391&gt;=2,"C",IF('Data Source'!Z391&gt;=1,"D","F")))))),"")</f>
        <v/>
      </c>
      <c r="I391" s="3">
        <f>IF(AND('Data Source'!B391&lt;&gt;"",'Data Source'!S391="F"),IF('Data Source'!AA391&gt;=5,"A+",IF('Data Source'!AA391&gt;=4,"A",IF('Data Source'!AA391&gt;=3.5,"A-",IF('Data Source'!AA391&gt;=3,"B",IF('Data Source'!AA391&gt;=2,"C",IF('Data Source'!AA391&gt;=1,"D","F")))))),"")</f>
        <v/>
      </c>
      <c r="J391" s="3">
        <f>IF(AND('Data Source'!B391&lt;&gt;"",'Data Source'!S391="F"),IF('Data Source'!AB391&gt;=5,"A+",IF('Data Source'!AB391&gt;=4,"A",IF('Data Source'!AB391&gt;=3.5,"A-",IF('Data Source'!AB391&gt;=3,"B",IF('Data Source'!AB391&gt;=2,"C",IF('Data Source'!AB391&gt;=1,"D","F")))))),"")</f>
        <v/>
      </c>
      <c r="K391" s="3">
        <f>IF(AND('Data Source'!B391&lt;&gt;"",'Data Source'!S391="F"),IF('Data Source'!AC391&gt;=5,"A+",IF('Data Source'!AC391&gt;=4,"A",IF('Data Source'!AC391&gt;=3.5,"A-",IF('Data Source'!AC391&gt;=3,"B",IF('Data Source'!AC391&gt;=2,"C",IF('Data Source'!AC391&gt;=1,"D","F")))))),"")</f>
        <v/>
      </c>
      <c r="L391" s="3">
        <f>IF(AND('Data Source'!B391&lt;&gt;"",'Data Source'!S391="F"),IF('Data Source'!AD391&gt;=5,"A+",IF('Data Source'!AD391&gt;=4,"A",IF('Data Source'!AD391&gt;=3.5,"A-",IF('Data Source'!AD391&gt;=3,"B",IF('Data Source'!AD391&gt;=2,"C",IF('Data Source'!AD391&gt;=1,"D","F")))))),"")</f>
        <v/>
      </c>
      <c r="M391" s="3">
        <f>IF(AND('Data Source'!B391&lt;&gt;"",'Data Source'!S391="F"),IF('Data Source'!AE391&gt;=5,"A+",IF('Data Source'!AE391&gt;=4,"A",IF('Data Source'!AE391&gt;=3.5,"A-",IF('Data Source'!AE391&gt;=3,"B",IF('Data Source'!AE391&gt;=2,"C",IF('Data Source'!AE391&gt;=1,"D","F")))))),"")</f>
        <v/>
      </c>
      <c r="N391" s="3">
        <f>IF(AND('Data Source'!B391&lt;&gt;"",'Data Source'!S391="F"),IF('Data Source'!AF391&gt;=5,"A+",IF('Data Source'!AF391&gt;=4,"A",IF('Data Source'!AF391&gt;=3.5,"A-",IF('Data Source'!AF391&gt;=3,"B",IF('Data Source'!AF391&gt;=2,"C",IF('Data Source'!AF391&gt;=1,"D","F")))))),"")</f>
        <v/>
      </c>
      <c r="O391" s="3">
        <f>IF(AND('Data Source'!B391&lt;&gt;"",'Data Source'!S391="F"),IF('Data Source'!AG391&gt;=5,"A+",IF('Data Source'!AG391&gt;=4,"A",IF('Data Source'!AG391&gt;=3.5,"A-",IF('Data Source'!AG391&gt;=3,"B",IF('Data Source'!AG391&gt;=2,"C",IF('Data Source'!AG391&gt;=1,"D","F")))))),"")</f>
        <v/>
      </c>
      <c r="P391" s="5">
        <f>IF(AND('Data Source'!B391&lt;&gt;"",'Data Source'!S391="F"),'Data Source'!R391,"")</f>
        <v/>
      </c>
      <c r="Q391" s="3">
        <f>IF(AND('Data Source'!B391&lt;&gt;"",'Data Source'!S391="F"),'Data Source'!S391,"")</f>
        <v/>
      </c>
    </row>
    <row r="392">
      <c r="A392" s="3">
        <f>IF(AND('Data Source'!B392&lt;&gt;"",'Data Source'!S392="F"),COUNTIF('Data Source'!$S$3:S392,"F"),"")</f>
        <v/>
      </c>
      <c r="B392">
        <f>IF(AND('Data Source'!B392&lt;&gt;"",'Data Source'!S392="F"),'Data Source'!B392,"")</f>
        <v/>
      </c>
      <c r="C392" s="3">
        <f>IF(AND('Data Source'!B392&lt;&gt;"",'Data Source'!S392="F"),IF('Data Source'!U392&gt;=5,"A+",IF('Data Source'!U392&gt;=4,"A",IF('Data Source'!U392&gt;=3.5,"A-",IF('Data Source'!U392&gt;=3,"B",IF('Data Source'!U392&gt;=2,"C",IF('Data Source'!U392&gt;=1,"D","F")))))),"")</f>
        <v/>
      </c>
      <c r="D392" s="3">
        <f>IF(AND('Data Source'!B392&lt;&gt;"",'Data Source'!S392="F"),IF('Data Source'!V392&gt;=5,"A+",IF('Data Source'!V392&gt;=4,"A",IF('Data Source'!V392&gt;=3.5,"A-",IF('Data Source'!V392&gt;=3,"B",IF('Data Source'!V392&gt;=2,"C",IF('Data Source'!V392&gt;=1,"D","F")))))),"")</f>
        <v/>
      </c>
      <c r="E392" s="3">
        <f>IF(AND('Data Source'!B392&lt;&gt;"",'Data Source'!S392="F"),IF('Data Source'!W392&gt;=5,"A+",IF('Data Source'!W392&gt;=4,"A",IF('Data Source'!W392&gt;=3.5,"A-",IF('Data Source'!W392&gt;=3,"B",IF('Data Source'!W392&gt;=2,"C",IF('Data Source'!W392&gt;=1,"D","F")))))),"")</f>
        <v/>
      </c>
      <c r="F392" s="3">
        <f>IF(AND('Data Source'!B392&lt;&gt;"",'Data Source'!S392="F"),IF('Data Source'!X392&gt;=5,"A+",IF('Data Source'!X392&gt;=4,"A",IF('Data Source'!X392&gt;=3.5,"A-",IF('Data Source'!X392&gt;=3,"B",IF('Data Source'!X392&gt;=2,"C",IF('Data Source'!X392&gt;=1,"D","F")))))),"")</f>
        <v/>
      </c>
      <c r="G392" s="3">
        <f>IF(AND('Data Source'!B392&lt;&gt;"",'Data Source'!S392="F"),IF('Data Source'!Y392&gt;=5,"A+",IF('Data Source'!Y392&gt;=4,"A",IF('Data Source'!Y392&gt;=3.5,"A-",IF('Data Source'!Y392&gt;=3,"B",IF('Data Source'!Y392&gt;=2,"C",IF('Data Source'!Y392&gt;=1,"D","F")))))),"")</f>
        <v/>
      </c>
      <c r="H392" s="3">
        <f>IF(AND('Data Source'!B392&lt;&gt;"",'Data Source'!S392="F"),IF('Data Source'!Z392&gt;=5,"A+",IF('Data Source'!Z392&gt;=4,"A",IF('Data Source'!Z392&gt;=3.5,"A-",IF('Data Source'!Z392&gt;=3,"B",IF('Data Source'!Z392&gt;=2,"C",IF('Data Source'!Z392&gt;=1,"D","F")))))),"")</f>
        <v/>
      </c>
      <c r="I392" s="3">
        <f>IF(AND('Data Source'!B392&lt;&gt;"",'Data Source'!S392="F"),IF('Data Source'!AA392&gt;=5,"A+",IF('Data Source'!AA392&gt;=4,"A",IF('Data Source'!AA392&gt;=3.5,"A-",IF('Data Source'!AA392&gt;=3,"B",IF('Data Source'!AA392&gt;=2,"C",IF('Data Source'!AA392&gt;=1,"D","F")))))),"")</f>
        <v/>
      </c>
      <c r="J392" s="3">
        <f>IF(AND('Data Source'!B392&lt;&gt;"",'Data Source'!S392="F"),IF('Data Source'!AB392&gt;=5,"A+",IF('Data Source'!AB392&gt;=4,"A",IF('Data Source'!AB392&gt;=3.5,"A-",IF('Data Source'!AB392&gt;=3,"B",IF('Data Source'!AB392&gt;=2,"C",IF('Data Source'!AB392&gt;=1,"D","F")))))),"")</f>
        <v/>
      </c>
      <c r="K392" s="3">
        <f>IF(AND('Data Source'!B392&lt;&gt;"",'Data Source'!S392="F"),IF('Data Source'!AC392&gt;=5,"A+",IF('Data Source'!AC392&gt;=4,"A",IF('Data Source'!AC392&gt;=3.5,"A-",IF('Data Source'!AC392&gt;=3,"B",IF('Data Source'!AC392&gt;=2,"C",IF('Data Source'!AC392&gt;=1,"D","F")))))),"")</f>
        <v/>
      </c>
      <c r="L392" s="3">
        <f>IF(AND('Data Source'!B392&lt;&gt;"",'Data Source'!S392="F"),IF('Data Source'!AD392&gt;=5,"A+",IF('Data Source'!AD392&gt;=4,"A",IF('Data Source'!AD392&gt;=3.5,"A-",IF('Data Source'!AD392&gt;=3,"B",IF('Data Source'!AD392&gt;=2,"C",IF('Data Source'!AD392&gt;=1,"D","F")))))),"")</f>
        <v/>
      </c>
      <c r="M392" s="3">
        <f>IF(AND('Data Source'!B392&lt;&gt;"",'Data Source'!S392="F"),IF('Data Source'!AE392&gt;=5,"A+",IF('Data Source'!AE392&gt;=4,"A",IF('Data Source'!AE392&gt;=3.5,"A-",IF('Data Source'!AE392&gt;=3,"B",IF('Data Source'!AE392&gt;=2,"C",IF('Data Source'!AE392&gt;=1,"D","F")))))),"")</f>
        <v/>
      </c>
      <c r="N392" s="3">
        <f>IF(AND('Data Source'!B392&lt;&gt;"",'Data Source'!S392="F"),IF('Data Source'!AF392&gt;=5,"A+",IF('Data Source'!AF392&gt;=4,"A",IF('Data Source'!AF392&gt;=3.5,"A-",IF('Data Source'!AF392&gt;=3,"B",IF('Data Source'!AF392&gt;=2,"C",IF('Data Source'!AF392&gt;=1,"D","F")))))),"")</f>
        <v/>
      </c>
      <c r="O392" s="3">
        <f>IF(AND('Data Source'!B392&lt;&gt;"",'Data Source'!S392="F"),IF('Data Source'!AG392&gt;=5,"A+",IF('Data Source'!AG392&gt;=4,"A",IF('Data Source'!AG392&gt;=3.5,"A-",IF('Data Source'!AG392&gt;=3,"B",IF('Data Source'!AG392&gt;=2,"C",IF('Data Source'!AG392&gt;=1,"D","F")))))),"")</f>
        <v/>
      </c>
      <c r="P392" s="5">
        <f>IF(AND('Data Source'!B392&lt;&gt;"",'Data Source'!S392="F"),'Data Source'!R392,"")</f>
        <v/>
      </c>
      <c r="Q392" s="3">
        <f>IF(AND('Data Source'!B392&lt;&gt;"",'Data Source'!S392="F"),'Data Source'!S392,"")</f>
        <v/>
      </c>
    </row>
    <row r="393">
      <c r="A393" s="3">
        <f>IF(AND('Data Source'!B393&lt;&gt;"",'Data Source'!S393="F"),COUNTIF('Data Source'!$S$3:S393,"F"),"")</f>
        <v/>
      </c>
      <c r="B393">
        <f>IF(AND('Data Source'!B393&lt;&gt;"",'Data Source'!S393="F"),'Data Source'!B393,"")</f>
        <v/>
      </c>
      <c r="C393" s="3">
        <f>IF(AND('Data Source'!B393&lt;&gt;"",'Data Source'!S393="F"),IF('Data Source'!U393&gt;=5,"A+",IF('Data Source'!U393&gt;=4,"A",IF('Data Source'!U393&gt;=3.5,"A-",IF('Data Source'!U393&gt;=3,"B",IF('Data Source'!U393&gt;=2,"C",IF('Data Source'!U393&gt;=1,"D","F")))))),"")</f>
        <v/>
      </c>
      <c r="D393" s="3">
        <f>IF(AND('Data Source'!B393&lt;&gt;"",'Data Source'!S393="F"),IF('Data Source'!V393&gt;=5,"A+",IF('Data Source'!V393&gt;=4,"A",IF('Data Source'!V393&gt;=3.5,"A-",IF('Data Source'!V393&gt;=3,"B",IF('Data Source'!V393&gt;=2,"C",IF('Data Source'!V393&gt;=1,"D","F")))))),"")</f>
        <v/>
      </c>
      <c r="E393" s="3">
        <f>IF(AND('Data Source'!B393&lt;&gt;"",'Data Source'!S393="F"),IF('Data Source'!W393&gt;=5,"A+",IF('Data Source'!W393&gt;=4,"A",IF('Data Source'!W393&gt;=3.5,"A-",IF('Data Source'!W393&gt;=3,"B",IF('Data Source'!W393&gt;=2,"C",IF('Data Source'!W393&gt;=1,"D","F")))))),"")</f>
        <v/>
      </c>
      <c r="F393" s="3">
        <f>IF(AND('Data Source'!B393&lt;&gt;"",'Data Source'!S393="F"),IF('Data Source'!X393&gt;=5,"A+",IF('Data Source'!X393&gt;=4,"A",IF('Data Source'!X393&gt;=3.5,"A-",IF('Data Source'!X393&gt;=3,"B",IF('Data Source'!X393&gt;=2,"C",IF('Data Source'!X393&gt;=1,"D","F")))))),"")</f>
        <v/>
      </c>
      <c r="G393" s="3">
        <f>IF(AND('Data Source'!B393&lt;&gt;"",'Data Source'!S393="F"),IF('Data Source'!Y393&gt;=5,"A+",IF('Data Source'!Y393&gt;=4,"A",IF('Data Source'!Y393&gt;=3.5,"A-",IF('Data Source'!Y393&gt;=3,"B",IF('Data Source'!Y393&gt;=2,"C",IF('Data Source'!Y393&gt;=1,"D","F")))))),"")</f>
        <v/>
      </c>
      <c r="H393" s="3">
        <f>IF(AND('Data Source'!B393&lt;&gt;"",'Data Source'!S393="F"),IF('Data Source'!Z393&gt;=5,"A+",IF('Data Source'!Z393&gt;=4,"A",IF('Data Source'!Z393&gt;=3.5,"A-",IF('Data Source'!Z393&gt;=3,"B",IF('Data Source'!Z393&gt;=2,"C",IF('Data Source'!Z393&gt;=1,"D","F")))))),"")</f>
        <v/>
      </c>
      <c r="I393" s="3">
        <f>IF(AND('Data Source'!B393&lt;&gt;"",'Data Source'!S393="F"),IF('Data Source'!AA393&gt;=5,"A+",IF('Data Source'!AA393&gt;=4,"A",IF('Data Source'!AA393&gt;=3.5,"A-",IF('Data Source'!AA393&gt;=3,"B",IF('Data Source'!AA393&gt;=2,"C",IF('Data Source'!AA393&gt;=1,"D","F")))))),"")</f>
        <v/>
      </c>
      <c r="J393" s="3">
        <f>IF(AND('Data Source'!B393&lt;&gt;"",'Data Source'!S393="F"),IF('Data Source'!AB393&gt;=5,"A+",IF('Data Source'!AB393&gt;=4,"A",IF('Data Source'!AB393&gt;=3.5,"A-",IF('Data Source'!AB393&gt;=3,"B",IF('Data Source'!AB393&gt;=2,"C",IF('Data Source'!AB393&gt;=1,"D","F")))))),"")</f>
        <v/>
      </c>
      <c r="K393" s="3">
        <f>IF(AND('Data Source'!B393&lt;&gt;"",'Data Source'!S393="F"),IF('Data Source'!AC393&gt;=5,"A+",IF('Data Source'!AC393&gt;=4,"A",IF('Data Source'!AC393&gt;=3.5,"A-",IF('Data Source'!AC393&gt;=3,"B",IF('Data Source'!AC393&gt;=2,"C",IF('Data Source'!AC393&gt;=1,"D","F")))))),"")</f>
        <v/>
      </c>
      <c r="L393" s="3">
        <f>IF(AND('Data Source'!B393&lt;&gt;"",'Data Source'!S393="F"),IF('Data Source'!AD393&gt;=5,"A+",IF('Data Source'!AD393&gt;=4,"A",IF('Data Source'!AD393&gt;=3.5,"A-",IF('Data Source'!AD393&gt;=3,"B",IF('Data Source'!AD393&gt;=2,"C",IF('Data Source'!AD393&gt;=1,"D","F")))))),"")</f>
        <v/>
      </c>
      <c r="M393" s="3">
        <f>IF(AND('Data Source'!B393&lt;&gt;"",'Data Source'!S393="F"),IF('Data Source'!AE393&gt;=5,"A+",IF('Data Source'!AE393&gt;=4,"A",IF('Data Source'!AE393&gt;=3.5,"A-",IF('Data Source'!AE393&gt;=3,"B",IF('Data Source'!AE393&gt;=2,"C",IF('Data Source'!AE393&gt;=1,"D","F")))))),"")</f>
        <v/>
      </c>
      <c r="N393" s="3">
        <f>IF(AND('Data Source'!B393&lt;&gt;"",'Data Source'!S393="F"),IF('Data Source'!AF393&gt;=5,"A+",IF('Data Source'!AF393&gt;=4,"A",IF('Data Source'!AF393&gt;=3.5,"A-",IF('Data Source'!AF393&gt;=3,"B",IF('Data Source'!AF393&gt;=2,"C",IF('Data Source'!AF393&gt;=1,"D","F")))))),"")</f>
        <v/>
      </c>
      <c r="O393" s="3">
        <f>IF(AND('Data Source'!B393&lt;&gt;"",'Data Source'!S393="F"),IF('Data Source'!AG393&gt;=5,"A+",IF('Data Source'!AG393&gt;=4,"A",IF('Data Source'!AG393&gt;=3.5,"A-",IF('Data Source'!AG393&gt;=3,"B",IF('Data Source'!AG393&gt;=2,"C",IF('Data Source'!AG393&gt;=1,"D","F")))))),"")</f>
        <v/>
      </c>
      <c r="P393" s="5">
        <f>IF(AND('Data Source'!B393&lt;&gt;"",'Data Source'!S393="F"),'Data Source'!R393,"")</f>
        <v/>
      </c>
      <c r="Q393" s="3">
        <f>IF(AND('Data Source'!B393&lt;&gt;"",'Data Source'!S393="F"),'Data Source'!S393,"")</f>
        <v/>
      </c>
    </row>
    <row r="394">
      <c r="A394" s="3">
        <f>IF(AND('Data Source'!B394&lt;&gt;"",'Data Source'!S394="F"),COUNTIF('Data Source'!$S$3:S394,"F"),"")</f>
        <v/>
      </c>
      <c r="B394">
        <f>IF(AND('Data Source'!B394&lt;&gt;"",'Data Source'!S394="F"),'Data Source'!B394,"")</f>
        <v/>
      </c>
      <c r="C394" s="3">
        <f>IF(AND('Data Source'!B394&lt;&gt;"",'Data Source'!S394="F"),IF('Data Source'!U394&gt;=5,"A+",IF('Data Source'!U394&gt;=4,"A",IF('Data Source'!U394&gt;=3.5,"A-",IF('Data Source'!U394&gt;=3,"B",IF('Data Source'!U394&gt;=2,"C",IF('Data Source'!U394&gt;=1,"D","F")))))),"")</f>
        <v/>
      </c>
      <c r="D394" s="3">
        <f>IF(AND('Data Source'!B394&lt;&gt;"",'Data Source'!S394="F"),IF('Data Source'!V394&gt;=5,"A+",IF('Data Source'!V394&gt;=4,"A",IF('Data Source'!V394&gt;=3.5,"A-",IF('Data Source'!V394&gt;=3,"B",IF('Data Source'!V394&gt;=2,"C",IF('Data Source'!V394&gt;=1,"D","F")))))),"")</f>
        <v/>
      </c>
      <c r="E394" s="3">
        <f>IF(AND('Data Source'!B394&lt;&gt;"",'Data Source'!S394="F"),IF('Data Source'!W394&gt;=5,"A+",IF('Data Source'!W394&gt;=4,"A",IF('Data Source'!W394&gt;=3.5,"A-",IF('Data Source'!W394&gt;=3,"B",IF('Data Source'!W394&gt;=2,"C",IF('Data Source'!W394&gt;=1,"D","F")))))),"")</f>
        <v/>
      </c>
      <c r="F394" s="3">
        <f>IF(AND('Data Source'!B394&lt;&gt;"",'Data Source'!S394="F"),IF('Data Source'!X394&gt;=5,"A+",IF('Data Source'!X394&gt;=4,"A",IF('Data Source'!X394&gt;=3.5,"A-",IF('Data Source'!X394&gt;=3,"B",IF('Data Source'!X394&gt;=2,"C",IF('Data Source'!X394&gt;=1,"D","F")))))),"")</f>
        <v/>
      </c>
      <c r="G394" s="3">
        <f>IF(AND('Data Source'!B394&lt;&gt;"",'Data Source'!S394="F"),IF('Data Source'!Y394&gt;=5,"A+",IF('Data Source'!Y394&gt;=4,"A",IF('Data Source'!Y394&gt;=3.5,"A-",IF('Data Source'!Y394&gt;=3,"B",IF('Data Source'!Y394&gt;=2,"C",IF('Data Source'!Y394&gt;=1,"D","F")))))),"")</f>
        <v/>
      </c>
      <c r="H394" s="3">
        <f>IF(AND('Data Source'!B394&lt;&gt;"",'Data Source'!S394="F"),IF('Data Source'!Z394&gt;=5,"A+",IF('Data Source'!Z394&gt;=4,"A",IF('Data Source'!Z394&gt;=3.5,"A-",IF('Data Source'!Z394&gt;=3,"B",IF('Data Source'!Z394&gt;=2,"C",IF('Data Source'!Z394&gt;=1,"D","F")))))),"")</f>
        <v/>
      </c>
      <c r="I394" s="3">
        <f>IF(AND('Data Source'!B394&lt;&gt;"",'Data Source'!S394="F"),IF('Data Source'!AA394&gt;=5,"A+",IF('Data Source'!AA394&gt;=4,"A",IF('Data Source'!AA394&gt;=3.5,"A-",IF('Data Source'!AA394&gt;=3,"B",IF('Data Source'!AA394&gt;=2,"C",IF('Data Source'!AA394&gt;=1,"D","F")))))),"")</f>
        <v/>
      </c>
      <c r="J394" s="3">
        <f>IF(AND('Data Source'!B394&lt;&gt;"",'Data Source'!S394="F"),IF('Data Source'!AB394&gt;=5,"A+",IF('Data Source'!AB394&gt;=4,"A",IF('Data Source'!AB394&gt;=3.5,"A-",IF('Data Source'!AB394&gt;=3,"B",IF('Data Source'!AB394&gt;=2,"C",IF('Data Source'!AB394&gt;=1,"D","F")))))),"")</f>
        <v/>
      </c>
      <c r="K394" s="3">
        <f>IF(AND('Data Source'!B394&lt;&gt;"",'Data Source'!S394="F"),IF('Data Source'!AC394&gt;=5,"A+",IF('Data Source'!AC394&gt;=4,"A",IF('Data Source'!AC394&gt;=3.5,"A-",IF('Data Source'!AC394&gt;=3,"B",IF('Data Source'!AC394&gt;=2,"C",IF('Data Source'!AC394&gt;=1,"D","F")))))),"")</f>
        <v/>
      </c>
      <c r="L394" s="3">
        <f>IF(AND('Data Source'!B394&lt;&gt;"",'Data Source'!S394="F"),IF('Data Source'!AD394&gt;=5,"A+",IF('Data Source'!AD394&gt;=4,"A",IF('Data Source'!AD394&gt;=3.5,"A-",IF('Data Source'!AD394&gt;=3,"B",IF('Data Source'!AD394&gt;=2,"C",IF('Data Source'!AD394&gt;=1,"D","F")))))),"")</f>
        <v/>
      </c>
      <c r="M394" s="3">
        <f>IF(AND('Data Source'!B394&lt;&gt;"",'Data Source'!S394="F"),IF('Data Source'!AE394&gt;=5,"A+",IF('Data Source'!AE394&gt;=4,"A",IF('Data Source'!AE394&gt;=3.5,"A-",IF('Data Source'!AE394&gt;=3,"B",IF('Data Source'!AE394&gt;=2,"C",IF('Data Source'!AE394&gt;=1,"D","F")))))),"")</f>
        <v/>
      </c>
      <c r="N394" s="3">
        <f>IF(AND('Data Source'!B394&lt;&gt;"",'Data Source'!S394="F"),IF('Data Source'!AF394&gt;=5,"A+",IF('Data Source'!AF394&gt;=4,"A",IF('Data Source'!AF394&gt;=3.5,"A-",IF('Data Source'!AF394&gt;=3,"B",IF('Data Source'!AF394&gt;=2,"C",IF('Data Source'!AF394&gt;=1,"D","F")))))),"")</f>
        <v/>
      </c>
      <c r="O394" s="3">
        <f>IF(AND('Data Source'!B394&lt;&gt;"",'Data Source'!S394="F"),IF('Data Source'!AG394&gt;=5,"A+",IF('Data Source'!AG394&gt;=4,"A",IF('Data Source'!AG394&gt;=3.5,"A-",IF('Data Source'!AG394&gt;=3,"B",IF('Data Source'!AG394&gt;=2,"C",IF('Data Source'!AG394&gt;=1,"D","F")))))),"")</f>
        <v/>
      </c>
      <c r="P394" s="5">
        <f>IF(AND('Data Source'!B394&lt;&gt;"",'Data Source'!S394="F"),'Data Source'!R394,"")</f>
        <v/>
      </c>
      <c r="Q394" s="3">
        <f>IF(AND('Data Source'!B394&lt;&gt;"",'Data Source'!S394="F"),'Data Source'!S394,"")</f>
        <v/>
      </c>
    </row>
    <row r="395">
      <c r="A395" s="3">
        <f>IF(AND('Data Source'!B395&lt;&gt;"",'Data Source'!S395="F"),COUNTIF('Data Source'!$S$3:S395,"F"),"")</f>
        <v/>
      </c>
      <c r="B395">
        <f>IF(AND('Data Source'!B395&lt;&gt;"",'Data Source'!S395="F"),'Data Source'!B395,"")</f>
        <v/>
      </c>
      <c r="C395" s="3">
        <f>IF(AND('Data Source'!B395&lt;&gt;"",'Data Source'!S395="F"),IF('Data Source'!U395&gt;=5,"A+",IF('Data Source'!U395&gt;=4,"A",IF('Data Source'!U395&gt;=3.5,"A-",IF('Data Source'!U395&gt;=3,"B",IF('Data Source'!U395&gt;=2,"C",IF('Data Source'!U395&gt;=1,"D","F")))))),"")</f>
        <v/>
      </c>
      <c r="D395" s="3">
        <f>IF(AND('Data Source'!B395&lt;&gt;"",'Data Source'!S395="F"),IF('Data Source'!V395&gt;=5,"A+",IF('Data Source'!V395&gt;=4,"A",IF('Data Source'!V395&gt;=3.5,"A-",IF('Data Source'!V395&gt;=3,"B",IF('Data Source'!V395&gt;=2,"C",IF('Data Source'!V395&gt;=1,"D","F")))))),"")</f>
        <v/>
      </c>
      <c r="E395" s="3">
        <f>IF(AND('Data Source'!B395&lt;&gt;"",'Data Source'!S395="F"),IF('Data Source'!W395&gt;=5,"A+",IF('Data Source'!W395&gt;=4,"A",IF('Data Source'!W395&gt;=3.5,"A-",IF('Data Source'!W395&gt;=3,"B",IF('Data Source'!W395&gt;=2,"C",IF('Data Source'!W395&gt;=1,"D","F")))))),"")</f>
        <v/>
      </c>
      <c r="F395" s="3">
        <f>IF(AND('Data Source'!B395&lt;&gt;"",'Data Source'!S395="F"),IF('Data Source'!X395&gt;=5,"A+",IF('Data Source'!X395&gt;=4,"A",IF('Data Source'!X395&gt;=3.5,"A-",IF('Data Source'!X395&gt;=3,"B",IF('Data Source'!X395&gt;=2,"C",IF('Data Source'!X395&gt;=1,"D","F")))))),"")</f>
        <v/>
      </c>
      <c r="G395" s="3">
        <f>IF(AND('Data Source'!B395&lt;&gt;"",'Data Source'!S395="F"),IF('Data Source'!Y395&gt;=5,"A+",IF('Data Source'!Y395&gt;=4,"A",IF('Data Source'!Y395&gt;=3.5,"A-",IF('Data Source'!Y395&gt;=3,"B",IF('Data Source'!Y395&gt;=2,"C",IF('Data Source'!Y395&gt;=1,"D","F")))))),"")</f>
        <v/>
      </c>
      <c r="H395" s="3">
        <f>IF(AND('Data Source'!B395&lt;&gt;"",'Data Source'!S395="F"),IF('Data Source'!Z395&gt;=5,"A+",IF('Data Source'!Z395&gt;=4,"A",IF('Data Source'!Z395&gt;=3.5,"A-",IF('Data Source'!Z395&gt;=3,"B",IF('Data Source'!Z395&gt;=2,"C",IF('Data Source'!Z395&gt;=1,"D","F")))))),"")</f>
        <v/>
      </c>
      <c r="I395" s="3">
        <f>IF(AND('Data Source'!B395&lt;&gt;"",'Data Source'!S395="F"),IF('Data Source'!AA395&gt;=5,"A+",IF('Data Source'!AA395&gt;=4,"A",IF('Data Source'!AA395&gt;=3.5,"A-",IF('Data Source'!AA395&gt;=3,"B",IF('Data Source'!AA395&gt;=2,"C",IF('Data Source'!AA395&gt;=1,"D","F")))))),"")</f>
        <v/>
      </c>
      <c r="J395" s="3">
        <f>IF(AND('Data Source'!B395&lt;&gt;"",'Data Source'!S395="F"),IF('Data Source'!AB395&gt;=5,"A+",IF('Data Source'!AB395&gt;=4,"A",IF('Data Source'!AB395&gt;=3.5,"A-",IF('Data Source'!AB395&gt;=3,"B",IF('Data Source'!AB395&gt;=2,"C",IF('Data Source'!AB395&gt;=1,"D","F")))))),"")</f>
        <v/>
      </c>
      <c r="K395" s="3">
        <f>IF(AND('Data Source'!B395&lt;&gt;"",'Data Source'!S395="F"),IF('Data Source'!AC395&gt;=5,"A+",IF('Data Source'!AC395&gt;=4,"A",IF('Data Source'!AC395&gt;=3.5,"A-",IF('Data Source'!AC395&gt;=3,"B",IF('Data Source'!AC395&gt;=2,"C",IF('Data Source'!AC395&gt;=1,"D","F")))))),"")</f>
        <v/>
      </c>
      <c r="L395" s="3">
        <f>IF(AND('Data Source'!B395&lt;&gt;"",'Data Source'!S395="F"),IF('Data Source'!AD395&gt;=5,"A+",IF('Data Source'!AD395&gt;=4,"A",IF('Data Source'!AD395&gt;=3.5,"A-",IF('Data Source'!AD395&gt;=3,"B",IF('Data Source'!AD395&gt;=2,"C",IF('Data Source'!AD395&gt;=1,"D","F")))))),"")</f>
        <v/>
      </c>
      <c r="M395" s="3">
        <f>IF(AND('Data Source'!B395&lt;&gt;"",'Data Source'!S395="F"),IF('Data Source'!AE395&gt;=5,"A+",IF('Data Source'!AE395&gt;=4,"A",IF('Data Source'!AE395&gt;=3.5,"A-",IF('Data Source'!AE395&gt;=3,"B",IF('Data Source'!AE395&gt;=2,"C",IF('Data Source'!AE395&gt;=1,"D","F")))))),"")</f>
        <v/>
      </c>
      <c r="N395" s="3">
        <f>IF(AND('Data Source'!B395&lt;&gt;"",'Data Source'!S395="F"),IF('Data Source'!AF395&gt;=5,"A+",IF('Data Source'!AF395&gt;=4,"A",IF('Data Source'!AF395&gt;=3.5,"A-",IF('Data Source'!AF395&gt;=3,"B",IF('Data Source'!AF395&gt;=2,"C",IF('Data Source'!AF395&gt;=1,"D","F")))))),"")</f>
        <v/>
      </c>
      <c r="O395" s="3">
        <f>IF(AND('Data Source'!B395&lt;&gt;"",'Data Source'!S395="F"),IF('Data Source'!AG395&gt;=5,"A+",IF('Data Source'!AG395&gt;=4,"A",IF('Data Source'!AG395&gt;=3.5,"A-",IF('Data Source'!AG395&gt;=3,"B",IF('Data Source'!AG395&gt;=2,"C",IF('Data Source'!AG395&gt;=1,"D","F")))))),"")</f>
        <v/>
      </c>
      <c r="P395" s="5">
        <f>IF(AND('Data Source'!B395&lt;&gt;"",'Data Source'!S395="F"),'Data Source'!R395,"")</f>
        <v/>
      </c>
      <c r="Q395" s="3">
        <f>IF(AND('Data Source'!B395&lt;&gt;"",'Data Source'!S395="F"),'Data Source'!S395,"")</f>
        <v/>
      </c>
    </row>
    <row r="396">
      <c r="A396" s="3">
        <f>IF(AND('Data Source'!B396&lt;&gt;"",'Data Source'!S396="F"),COUNTIF('Data Source'!$S$3:S396,"F"),"")</f>
        <v/>
      </c>
      <c r="B396">
        <f>IF(AND('Data Source'!B396&lt;&gt;"",'Data Source'!S396="F"),'Data Source'!B396,"")</f>
        <v/>
      </c>
      <c r="C396" s="3">
        <f>IF(AND('Data Source'!B396&lt;&gt;"",'Data Source'!S396="F"),IF('Data Source'!U396&gt;=5,"A+",IF('Data Source'!U396&gt;=4,"A",IF('Data Source'!U396&gt;=3.5,"A-",IF('Data Source'!U396&gt;=3,"B",IF('Data Source'!U396&gt;=2,"C",IF('Data Source'!U396&gt;=1,"D","F")))))),"")</f>
        <v/>
      </c>
      <c r="D396" s="3">
        <f>IF(AND('Data Source'!B396&lt;&gt;"",'Data Source'!S396="F"),IF('Data Source'!V396&gt;=5,"A+",IF('Data Source'!V396&gt;=4,"A",IF('Data Source'!V396&gt;=3.5,"A-",IF('Data Source'!V396&gt;=3,"B",IF('Data Source'!V396&gt;=2,"C",IF('Data Source'!V396&gt;=1,"D","F")))))),"")</f>
        <v/>
      </c>
      <c r="E396" s="3">
        <f>IF(AND('Data Source'!B396&lt;&gt;"",'Data Source'!S396="F"),IF('Data Source'!W396&gt;=5,"A+",IF('Data Source'!W396&gt;=4,"A",IF('Data Source'!W396&gt;=3.5,"A-",IF('Data Source'!W396&gt;=3,"B",IF('Data Source'!W396&gt;=2,"C",IF('Data Source'!W396&gt;=1,"D","F")))))),"")</f>
        <v/>
      </c>
      <c r="F396" s="3">
        <f>IF(AND('Data Source'!B396&lt;&gt;"",'Data Source'!S396="F"),IF('Data Source'!X396&gt;=5,"A+",IF('Data Source'!X396&gt;=4,"A",IF('Data Source'!X396&gt;=3.5,"A-",IF('Data Source'!X396&gt;=3,"B",IF('Data Source'!X396&gt;=2,"C",IF('Data Source'!X396&gt;=1,"D","F")))))),"")</f>
        <v/>
      </c>
      <c r="G396" s="3">
        <f>IF(AND('Data Source'!B396&lt;&gt;"",'Data Source'!S396="F"),IF('Data Source'!Y396&gt;=5,"A+",IF('Data Source'!Y396&gt;=4,"A",IF('Data Source'!Y396&gt;=3.5,"A-",IF('Data Source'!Y396&gt;=3,"B",IF('Data Source'!Y396&gt;=2,"C",IF('Data Source'!Y396&gt;=1,"D","F")))))),"")</f>
        <v/>
      </c>
      <c r="H396" s="3">
        <f>IF(AND('Data Source'!B396&lt;&gt;"",'Data Source'!S396="F"),IF('Data Source'!Z396&gt;=5,"A+",IF('Data Source'!Z396&gt;=4,"A",IF('Data Source'!Z396&gt;=3.5,"A-",IF('Data Source'!Z396&gt;=3,"B",IF('Data Source'!Z396&gt;=2,"C",IF('Data Source'!Z396&gt;=1,"D","F")))))),"")</f>
        <v/>
      </c>
      <c r="I396" s="3">
        <f>IF(AND('Data Source'!B396&lt;&gt;"",'Data Source'!S396="F"),IF('Data Source'!AA396&gt;=5,"A+",IF('Data Source'!AA396&gt;=4,"A",IF('Data Source'!AA396&gt;=3.5,"A-",IF('Data Source'!AA396&gt;=3,"B",IF('Data Source'!AA396&gt;=2,"C",IF('Data Source'!AA396&gt;=1,"D","F")))))),"")</f>
        <v/>
      </c>
      <c r="J396" s="3">
        <f>IF(AND('Data Source'!B396&lt;&gt;"",'Data Source'!S396="F"),IF('Data Source'!AB396&gt;=5,"A+",IF('Data Source'!AB396&gt;=4,"A",IF('Data Source'!AB396&gt;=3.5,"A-",IF('Data Source'!AB396&gt;=3,"B",IF('Data Source'!AB396&gt;=2,"C",IF('Data Source'!AB396&gt;=1,"D","F")))))),"")</f>
        <v/>
      </c>
      <c r="K396" s="3">
        <f>IF(AND('Data Source'!B396&lt;&gt;"",'Data Source'!S396="F"),IF('Data Source'!AC396&gt;=5,"A+",IF('Data Source'!AC396&gt;=4,"A",IF('Data Source'!AC396&gt;=3.5,"A-",IF('Data Source'!AC396&gt;=3,"B",IF('Data Source'!AC396&gt;=2,"C",IF('Data Source'!AC396&gt;=1,"D","F")))))),"")</f>
        <v/>
      </c>
      <c r="L396" s="3">
        <f>IF(AND('Data Source'!B396&lt;&gt;"",'Data Source'!S396="F"),IF('Data Source'!AD396&gt;=5,"A+",IF('Data Source'!AD396&gt;=4,"A",IF('Data Source'!AD396&gt;=3.5,"A-",IF('Data Source'!AD396&gt;=3,"B",IF('Data Source'!AD396&gt;=2,"C",IF('Data Source'!AD396&gt;=1,"D","F")))))),"")</f>
        <v/>
      </c>
      <c r="M396" s="3">
        <f>IF(AND('Data Source'!B396&lt;&gt;"",'Data Source'!S396="F"),IF('Data Source'!AE396&gt;=5,"A+",IF('Data Source'!AE396&gt;=4,"A",IF('Data Source'!AE396&gt;=3.5,"A-",IF('Data Source'!AE396&gt;=3,"B",IF('Data Source'!AE396&gt;=2,"C",IF('Data Source'!AE396&gt;=1,"D","F")))))),"")</f>
        <v/>
      </c>
      <c r="N396" s="3">
        <f>IF(AND('Data Source'!B396&lt;&gt;"",'Data Source'!S396="F"),IF('Data Source'!AF396&gt;=5,"A+",IF('Data Source'!AF396&gt;=4,"A",IF('Data Source'!AF396&gt;=3.5,"A-",IF('Data Source'!AF396&gt;=3,"B",IF('Data Source'!AF396&gt;=2,"C",IF('Data Source'!AF396&gt;=1,"D","F")))))),"")</f>
        <v/>
      </c>
      <c r="O396" s="3">
        <f>IF(AND('Data Source'!B396&lt;&gt;"",'Data Source'!S396="F"),IF('Data Source'!AG396&gt;=5,"A+",IF('Data Source'!AG396&gt;=4,"A",IF('Data Source'!AG396&gt;=3.5,"A-",IF('Data Source'!AG396&gt;=3,"B",IF('Data Source'!AG396&gt;=2,"C",IF('Data Source'!AG396&gt;=1,"D","F")))))),"")</f>
        <v/>
      </c>
      <c r="P396" s="5">
        <f>IF(AND('Data Source'!B396&lt;&gt;"",'Data Source'!S396="F"),'Data Source'!R396,"")</f>
        <v/>
      </c>
      <c r="Q396" s="3">
        <f>IF(AND('Data Source'!B396&lt;&gt;"",'Data Source'!S396="F"),'Data Source'!S396,"")</f>
        <v/>
      </c>
    </row>
    <row r="397">
      <c r="A397" s="3">
        <f>IF(AND('Data Source'!B397&lt;&gt;"",'Data Source'!S397="F"),COUNTIF('Data Source'!$S$3:S397,"F"),"")</f>
        <v/>
      </c>
      <c r="B397">
        <f>IF(AND('Data Source'!B397&lt;&gt;"",'Data Source'!S397="F"),'Data Source'!B397,"")</f>
        <v/>
      </c>
      <c r="C397" s="3">
        <f>IF(AND('Data Source'!B397&lt;&gt;"",'Data Source'!S397="F"),IF('Data Source'!U397&gt;=5,"A+",IF('Data Source'!U397&gt;=4,"A",IF('Data Source'!U397&gt;=3.5,"A-",IF('Data Source'!U397&gt;=3,"B",IF('Data Source'!U397&gt;=2,"C",IF('Data Source'!U397&gt;=1,"D","F")))))),"")</f>
        <v/>
      </c>
      <c r="D397" s="3">
        <f>IF(AND('Data Source'!B397&lt;&gt;"",'Data Source'!S397="F"),IF('Data Source'!V397&gt;=5,"A+",IF('Data Source'!V397&gt;=4,"A",IF('Data Source'!V397&gt;=3.5,"A-",IF('Data Source'!V397&gt;=3,"B",IF('Data Source'!V397&gt;=2,"C",IF('Data Source'!V397&gt;=1,"D","F")))))),"")</f>
        <v/>
      </c>
      <c r="E397" s="3">
        <f>IF(AND('Data Source'!B397&lt;&gt;"",'Data Source'!S397="F"),IF('Data Source'!W397&gt;=5,"A+",IF('Data Source'!W397&gt;=4,"A",IF('Data Source'!W397&gt;=3.5,"A-",IF('Data Source'!W397&gt;=3,"B",IF('Data Source'!W397&gt;=2,"C",IF('Data Source'!W397&gt;=1,"D","F")))))),"")</f>
        <v/>
      </c>
      <c r="F397" s="3">
        <f>IF(AND('Data Source'!B397&lt;&gt;"",'Data Source'!S397="F"),IF('Data Source'!X397&gt;=5,"A+",IF('Data Source'!X397&gt;=4,"A",IF('Data Source'!X397&gt;=3.5,"A-",IF('Data Source'!X397&gt;=3,"B",IF('Data Source'!X397&gt;=2,"C",IF('Data Source'!X397&gt;=1,"D","F")))))),"")</f>
        <v/>
      </c>
      <c r="G397" s="3">
        <f>IF(AND('Data Source'!B397&lt;&gt;"",'Data Source'!S397="F"),IF('Data Source'!Y397&gt;=5,"A+",IF('Data Source'!Y397&gt;=4,"A",IF('Data Source'!Y397&gt;=3.5,"A-",IF('Data Source'!Y397&gt;=3,"B",IF('Data Source'!Y397&gt;=2,"C",IF('Data Source'!Y397&gt;=1,"D","F")))))),"")</f>
        <v/>
      </c>
      <c r="H397" s="3">
        <f>IF(AND('Data Source'!B397&lt;&gt;"",'Data Source'!S397="F"),IF('Data Source'!Z397&gt;=5,"A+",IF('Data Source'!Z397&gt;=4,"A",IF('Data Source'!Z397&gt;=3.5,"A-",IF('Data Source'!Z397&gt;=3,"B",IF('Data Source'!Z397&gt;=2,"C",IF('Data Source'!Z397&gt;=1,"D","F")))))),"")</f>
        <v/>
      </c>
      <c r="I397" s="3">
        <f>IF(AND('Data Source'!B397&lt;&gt;"",'Data Source'!S397="F"),IF('Data Source'!AA397&gt;=5,"A+",IF('Data Source'!AA397&gt;=4,"A",IF('Data Source'!AA397&gt;=3.5,"A-",IF('Data Source'!AA397&gt;=3,"B",IF('Data Source'!AA397&gt;=2,"C",IF('Data Source'!AA397&gt;=1,"D","F")))))),"")</f>
        <v/>
      </c>
      <c r="J397" s="3">
        <f>IF(AND('Data Source'!B397&lt;&gt;"",'Data Source'!S397="F"),IF('Data Source'!AB397&gt;=5,"A+",IF('Data Source'!AB397&gt;=4,"A",IF('Data Source'!AB397&gt;=3.5,"A-",IF('Data Source'!AB397&gt;=3,"B",IF('Data Source'!AB397&gt;=2,"C",IF('Data Source'!AB397&gt;=1,"D","F")))))),"")</f>
        <v/>
      </c>
      <c r="K397" s="3">
        <f>IF(AND('Data Source'!B397&lt;&gt;"",'Data Source'!S397="F"),IF('Data Source'!AC397&gt;=5,"A+",IF('Data Source'!AC397&gt;=4,"A",IF('Data Source'!AC397&gt;=3.5,"A-",IF('Data Source'!AC397&gt;=3,"B",IF('Data Source'!AC397&gt;=2,"C",IF('Data Source'!AC397&gt;=1,"D","F")))))),"")</f>
        <v/>
      </c>
      <c r="L397" s="3">
        <f>IF(AND('Data Source'!B397&lt;&gt;"",'Data Source'!S397="F"),IF('Data Source'!AD397&gt;=5,"A+",IF('Data Source'!AD397&gt;=4,"A",IF('Data Source'!AD397&gt;=3.5,"A-",IF('Data Source'!AD397&gt;=3,"B",IF('Data Source'!AD397&gt;=2,"C",IF('Data Source'!AD397&gt;=1,"D","F")))))),"")</f>
        <v/>
      </c>
      <c r="M397" s="3">
        <f>IF(AND('Data Source'!B397&lt;&gt;"",'Data Source'!S397="F"),IF('Data Source'!AE397&gt;=5,"A+",IF('Data Source'!AE397&gt;=4,"A",IF('Data Source'!AE397&gt;=3.5,"A-",IF('Data Source'!AE397&gt;=3,"B",IF('Data Source'!AE397&gt;=2,"C",IF('Data Source'!AE397&gt;=1,"D","F")))))),"")</f>
        <v/>
      </c>
      <c r="N397" s="3">
        <f>IF(AND('Data Source'!B397&lt;&gt;"",'Data Source'!S397="F"),IF('Data Source'!AF397&gt;=5,"A+",IF('Data Source'!AF397&gt;=4,"A",IF('Data Source'!AF397&gt;=3.5,"A-",IF('Data Source'!AF397&gt;=3,"B",IF('Data Source'!AF397&gt;=2,"C",IF('Data Source'!AF397&gt;=1,"D","F")))))),"")</f>
        <v/>
      </c>
      <c r="O397" s="3">
        <f>IF(AND('Data Source'!B397&lt;&gt;"",'Data Source'!S397="F"),IF('Data Source'!AG397&gt;=5,"A+",IF('Data Source'!AG397&gt;=4,"A",IF('Data Source'!AG397&gt;=3.5,"A-",IF('Data Source'!AG397&gt;=3,"B",IF('Data Source'!AG397&gt;=2,"C",IF('Data Source'!AG397&gt;=1,"D","F")))))),"")</f>
        <v/>
      </c>
      <c r="P397" s="5">
        <f>IF(AND('Data Source'!B397&lt;&gt;"",'Data Source'!S397="F"),'Data Source'!R397,"")</f>
        <v/>
      </c>
      <c r="Q397" s="3">
        <f>IF(AND('Data Source'!B397&lt;&gt;"",'Data Source'!S397="F"),'Data Source'!S397,"")</f>
        <v/>
      </c>
    </row>
    <row r="398">
      <c r="A398" s="3">
        <f>IF(AND('Data Source'!B398&lt;&gt;"",'Data Source'!S398="F"),COUNTIF('Data Source'!$S$3:S398,"F"),"")</f>
        <v/>
      </c>
      <c r="B398">
        <f>IF(AND('Data Source'!B398&lt;&gt;"",'Data Source'!S398="F"),'Data Source'!B398,"")</f>
        <v/>
      </c>
      <c r="C398" s="3">
        <f>IF(AND('Data Source'!B398&lt;&gt;"",'Data Source'!S398="F"),IF('Data Source'!U398&gt;=5,"A+",IF('Data Source'!U398&gt;=4,"A",IF('Data Source'!U398&gt;=3.5,"A-",IF('Data Source'!U398&gt;=3,"B",IF('Data Source'!U398&gt;=2,"C",IF('Data Source'!U398&gt;=1,"D","F")))))),"")</f>
        <v/>
      </c>
      <c r="D398" s="3">
        <f>IF(AND('Data Source'!B398&lt;&gt;"",'Data Source'!S398="F"),IF('Data Source'!V398&gt;=5,"A+",IF('Data Source'!V398&gt;=4,"A",IF('Data Source'!V398&gt;=3.5,"A-",IF('Data Source'!V398&gt;=3,"B",IF('Data Source'!V398&gt;=2,"C",IF('Data Source'!V398&gt;=1,"D","F")))))),"")</f>
        <v/>
      </c>
      <c r="E398" s="3">
        <f>IF(AND('Data Source'!B398&lt;&gt;"",'Data Source'!S398="F"),IF('Data Source'!W398&gt;=5,"A+",IF('Data Source'!W398&gt;=4,"A",IF('Data Source'!W398&gt;=3.5,"A-",IF('Data Source'!W398&gt;=3,"B",IF('Data Source'!W398&gt;=2,"C",IF('Data Source'!W398&gt;=1,"D","F")))))),"")</f>
        <v/>
      </c>
      <c r="F398" s="3">
        <f>IF(AND('Data Source'!B398&lt;&gt;"",'Data Source'!S398="F"),IF('Data Source'!X398&gt;=5,"A+",IF('Data Source'!X398&gt;=4,"A",IF('Data Source'!X398&gt;=3.5,"A-",IF('Data Source'!X398&gt;=3,"B",IF('Data Source'!X398&gt;=2,"C",IF('Data Source'!X398&gt;=1,"D","F")))))),"")</f>
        <v/>
      </c>
      <c r="G398" s="3">
        <f>IF(AND('Data Source'!B398&lt;&gt;"",'Data Source'!S398="F"),IF('Data Source'!Y398&gt;=5,"A+",IF('Data Source'!Y398&gt;=4,"A",IF('Data Source'!Y398&gt;=3.5,"A-",IF('Data Source'!Y398&gt;=3,"B",IF('Data Source'!Y398&gt;=2,"C",IF('Data Source'!Y398&gt;=1,"D","F")))))),"")</f>
        <v/>
      </c>
      <c r="H398" s="3">
        <f>IF(AND('Data Source'!B398&lt;&gt;"",'Data Source'!S398="F"),IF('Data Source'!Z398&gt;=5,"A+",IF('Data Source'!Z398&gt;=4,"A",IF('Data Source'!Z398&gt;=3.5,"A-",IF('Data Source'!Z398&gt;=3,"B",IF('Data Source'!Z398&gt;=2,"C",IF('Data Source'!Z398&gt;=1,"D","F")))))),"")</f>
        <v/>
      </c>
      <c r="I398" s="3">
        <f>IF(AND('Data Source'!B398&lt;&gt;"",'Data Source'!S398="F"),IF('Data Source'!AA398&gt;=5,"A+",IF('Data Source'!AA398&gt;=4,"A",IF('Data Source'!AA398&gt;=3.5,"A-",IF('Data Source'!AA398&gt;=3,"B",IF('Data Source'!AA398&gt;=2,"C",IF('Data Source'!AA398&gt;=1,"D","F")))))),"")</f>
        <v/>
      </c>
      <c r="J398" s="3">
        <f>IF(AND('Data Source'!B398&lt;&gt;"",'Data Source'!S398="F"),IF('Data Source'!AB398&gt;=5,"A+",IF('Data Source'!AB398&gt;=4,"A",IF('Data Source'!AB398&gt;=3.5,"A-",IF('Data Source'!AB398&gt;=3,"B",IF('Data Source'!AB398&gt;=2,"C",IF('Data Source'!AB398&gt;=1,"D","F")))))),"")</f>
        <v/>
      </c>
      <c r="K398" s="3">
        <f>IF(AND('Data Source'!B398&lt;&gt;"",'Data Source'!S398="F"),IF('Data Source'!AC398&gt;=5,"A+",IF('Data Source'!AC398&gt;=4,"A",IF('Data Source'!AC398&gt;=3.5,"A-",IF('Data Source'!AC398&gt;=3,"B",IF('Data Source'!AC398&gt;=2,"C",IF('Data Source'!AC398&gt;=1,"D","F")))))),"")</f>
        <v/>
      </c>
      <c r="L398" s="3">
        <f>IF(AND('Data Source'!B398&lt;&gt;"",'Data Source'!S398="F"),IF('Data Source'!AD398&gt;=5,"A+",IF('Data Source'!AD398&gt;=4,"A",IF('Data Source'!AD398&gt;=3.5,"A-",IF('Data Source'!AD398&gt;=3,"B",IF('Data Source'!AD398&gt;=2,"C",IF('Data Source'!AD398&gt;=1,"D","F")))))),"")</f>
        <v/>
      </c>
      <c r="M398" s="3">
        <f>IF(AND('Data Source'!B398&lt;&gt;"",'Data Source'!S398="F"),IF('Data Source'!AE398&gt;=5,"A+",IF('Data Source'!AE398&gt;=4,"A",IF('Data Source'!AE398&gt;=3.5,"A-",IF('Data Source'!AE398&gt;=3,"B",IF('Data Source'!AE398&gt;=2,"C",IF('Data Source'!AE398&gt;=1,"D","F")))))),"")</f>
        <v/>
      </c>
      <c r="N398" s="3">
        <f>IF(AND('Data Source'!B398&lt;&gt;"",'Data Source'!S398="F"),IF('Data Source'!AF398&gt;=5,"A+",IF('Data Source'!AF398&gt;=4,"A",IF('Data Source'!AF398&gt;=3.5,"A-",IF('Data Source'!AF398&gt;=3,"B",IF('Data Source'!AF398&gt;=2,"C",IF('Data Source'!AF398&gt;=1,"D","F")))))),"")</f>
        <v/>
      </c>
      <c r="O398" s="3">
        <f>IF(AND('Data Source'!B398&lt;&gt;"",'Data Source'!S398="F"),IF('Data Source'!AG398&gt;=5,"A+",IF('Data Source'!AG398&gt;=4,"A",IF('Data Source'!AG398&gt;=3.5,"A-",IF('Data Source'!AG398&gt;=3,"B",IF('Data Source'!AG398&gt;=2,"C",IF('Data Source'!AG398&gt;=1,"D","F")))))),"")</f>
        <v/>
      </c>
      <c r="P398" s="5">
        <f>IF(AND('Data Source'!B398&lt;&gt;"",'Data Source'!S398="F"),'Data Source'!R398,"")</f>
        <v/>
      </c>
      <c r="Q398" s="3">
        <f>IF(AND('Data Source'!B398&lt;&gt;"",'Data Source'!S398="F"),'Data Source'!S398,"")</f>
        <v/>
      </c>
    </row>
    <row r="399">
      <c r="A399" s="3">
        <f>IF(AND('Data Source'!B399&lt;&gt;"",'Data Source'!S399="F"),COUNTIF('Data Source'!$S$3:S399,"F"),"")</f>
        <v/>
      </c>
      <c r="B399">
        <f>IF(AND('Data Source'!B399&lt;&gt;"",'Data Source'!S399="F"),'Data Source'!B399,"")</f>
        <v/>
      </c>
      <c r="C399" s="3">
        <f>IF(AND('Data Source'!B399&lt;&gt;"",'Data Source'!S399="F"),IF('Data Source'!U399&gt;=5,"A+",IF('Data Source'!U399&gt;=4,"A",IF('Data Source'!U399&gt;=3.5,"A-",IF('Data Source'!U399&gt;=3,"B",IF('Data Source'!U399&gt;=2,"C",IF('Data Source'!U399&gt;=1,"D","F")))))),"")</f>
        <v/>
      </c>
      <c r="D399" s="3">
        <f>IF(AND('Data Source'!B399&lt;&gt;"",'Data Source'!S399="F"),IF('Data Source'!V399&gt;=5,"A+",IF('Data Source'!V399&gt;=4,"A",IF('Data Source'!V399&gt;=3.5,"A-",IF('Data Source'!V399&gt;=3,"B",IF('Data Source'!V399&gt;=2,"C",IF('Data Source'!V399&gt;=1,"D","F")))))),"")</f>
        <v/>
      </c>
      <c r="E399" s="3">
        <f>IF(AND('Data Source'!B399&lt;&gt;"",'Data Source'!S399="F"),IF('Data Source'!W399&gt;=5,"A+",IF('Data Source'!W399&gt;=4,"A",IF('Data Source'!W399&gt;=3.5,"A-",IF('Data Source'!W399&gt;=3,"B",IF('Data Source'!W399&gt;=2,"C",IF('Data Source'!W399&gt;=1,"D","F")))))),"")</f>
        <v/>
      </c>
      <c r="F399" s="3">
        <f>IF(AND('Data Source'!B399&lt;&gt;"",'Data Source'!S399="F"),IF('Data Source'!X399&gt;=5,"A+",IF('Data Source'!X399&gt;=4,"A",IF('Data Source'!X399&gt;=3.5,"A-",IF('Data Source'!X399&gt;=3,"B",IF('Data Source'!X399&gt;=2,"C",IF('Data Source'!X399&gt;=1,"D","F")))))),"")</f>
        <v/>
      </c>
      <c r="G399" s="3">
        <f>IF(AND('Data Source'!B399&lt;&gt;"",'Data Source'!S399="F"),IF('Data Source'!Y399&gt;=5,"A+",IF('Data Source'!Y399&gt;=4,"A",IF('Data Source'!Y399&gt;=3.5,"A-",IF('Data Source'!Y399&gt;=3,"B",IF('Data Source'!Y399&gt;=2,"C",IF('Data Source'!Y399&gt;=1,"D","F")))))),"")</f>
        <v/>
      </c>
      <c r="H399" s="3">
        <f>IF(AND('Data Source'!B399&lt;&gt;"",'Data Source'!S399="F"),IF('Data Source'!Z399&gt;=5,"A+",IF('Data Source'!Z399&gt;=4,"A",IF('Data Source'!Z399&gt;=3.5,"A-",IF('Data Source'!Z399&gt;=3,"B",IF('Data Source'!Z399&gt;=2,"C",IF('Data Source'!Z399&gt;=1,"D","F")))))),"")</f>
        <v/>
      </c>
      <c r="I399" s="3">
        <f>IF(AND('Data Source'!B399&lt;&gt;"",'Data Source'!S399="F"),IF('Data Source'!AA399&gt;=5,"A+",IF('Data Source'!AA399&gt;=4,"A",IF('Data Source'!AA399&gt;=3.5,"A-",IF('Data Source'!AA399&gt;=3,"B",IF('Data Source'!AA399&gt;=2,"C",IF('Data Source'!AA399&gt;=1,"D","F")))))),"")</f>
        <v/>
      </c>
      <c r="J399" s="3">
        <f>IF(AND('Data Source'!B399&lt;&gt;"",'Data Source'!S399="F"),IF('Data Source'!AB399&gt;=5,"A+",IF('Data Source'!AB399&gt;=4,"A",IF('Data Source'!AB399&gt;=3.5,"A-",IF('Data Source'!AB399&gt;=3,"B",IF('Data Source'!AB399&gt;=2,"C",IF('Data Source'!AB399&gt;=1,"D","F")))))),"")</f>
        <v/>
      </c>
      <c r="K399" s="3">
        <f>IF(AND('Data Source'!B399&lt;&gt;"",'Data Source'!S399="F"),IF('Data Source'!AC399&gt;=5,"A+",IF('Data Source'!AC399&gt;=4,"A",IF('Data Source'!AC399&gt;=3.5,"A-",IF('Data Source'!AC399&gt;=3,"B",IF('Data Source'!AC399&gt;=2,"C",IF('Data Source'!AC399&gt;=1,"D","F")))))),"")</f>
        <v/>
      </c>
      <c r="L399" s="3">
        <f>IF(AND('Data Source'!B399&lt;&gt;"",'Data Source'!S399="F"),IF('Data Source'!AD399&gt;=5,"A+",IF('Data Source'!AD399&gt;=4,"A",IF('Data Source'!AD399&gt;=3.5,"A-",IF('Data Source'!AD399&gt;=3,"B",IF('Data Source'!AD399&gt;=2,"C",IF('Data Source'!AD399&gt;=1,"D","F")))))),"")</f>
        <v/>
      </c>
      <c r="M399" s="3">
        <f>IF(AND('Data Source'!B399&lt;&gt;"",'Data Source'!S399="F"),IF('Data Source'!AE399&gt;=5,"A+",IF('Data Source'!AE399&gt;=4,"A",IF('Data Source'!AE399&gt;=3.5,"A-",IF('Data Source'!AE399&gt;=3,"B",IF('Data Source'!AE399&gt;=2,"C",IF('Data Source'!AE399&gt;=1,"D","F")))))),"")</f>
        <v/>
      </c>
      <c r="N399" s="3">
        <f>IF(AND('Data Source'!B399&lt;&gt;"",'Data Source'!S399="F"),IF('Data Source'!AF399&gt;=5,"A+",IF('Data Source'!AF399&gt;=4,"A",IF('Data Source'!AF399&gt;=3.5,"A-",IF('Data Source'!AF399&gt;=3,"B",IF('Data Source'!AF399&gt;=2,"C",IF('Data Source'!AF399&gt;=1,"D","F")))))),"")</f>
        <v/>
      </c>
      <c r="O399" s="3">
        <f>IF(AND('Data Source'!B399&lt;&gt;"",'Data Source'!S399="F"),IF('Data Source'!AG399&gt;=5,"A+",IF('Data Source'!AG399&gt;=4,"A",IF('Data Source'!AG399&gt;=3.5,"A-",IF('Data Source'!AG399&gt;=3,"B",IF('Data Source'!AG399&gt;=2,"C",IF('Data Source'!AG399&gt;=1,"D","F")))))),"")</f>
        <v/>
      </c>
      <c r="P399" s="5">
        <f>IF(AND('Data Source'!B399&lt;&gt;"",'Data Source'!S399="F"),'Data Source'!R399,"")</f>
        <v/>
      </c>
      <c r="Q399" s="3">
        <f>IF(AND('Data Source'!B399&lt;&gt;"",'Data Source'!S399="F"),'Data Source'!S399,"")</f>
        <v/>
      </c>
    </row>
    <row r="400">
      <c r="A400" s="3">
        <f>IF(AND('Data Source'!B400&lt;&gt;"",'Data Source'!S400="F"),COUNTIF('Data Source'!$S$3:S400,"F"),"")</f>
        <v/>
      </c>
      <c r="B400">
        <f>IF(AND('Data Source'!B400&lt;&gt;"",'Data Source'!S400="F"),'Data Source'!B400,"")</f>
        <v/>
      </c>
      <c r="C400" s="3">
        <f>IF(AND('Data Source'!B400&lt;&gt;"",'Data Source'!S400="F"),IF('Data Source'!U400&gt;=5,"A+",IF('Data Source'!U400&gt;=4,"A",IF('Data Source'!U400&gt;=3.5,"A-",IF('Data Source'!U400&gt;=3,"B",IF('Data Source'!U400&gt;=2,"C",IF('Data Source'!U400&gt;=1,"D","F")))))),"")</f>
        <v/>
      </c>
      <c r="D400" s="3">
        <f>IF(AND('Data Source'!B400&lt;&gt;"",'Data Source'!S400="F"),IF('Data Source'!V400&gt;=5,"A+",IF('Data Source'!V400&gt;=4,"A",IF('Data Source'!V400&gt;=3.5,"A-",IF('Data Source'!V400&gt;=3,"B",IF('Data Source'!V400&gt;=2,"C",IF('Data Source'!V400&gt;=1,"D","F")))))),"")</f>
        <v/>
      </c>
      <c r="E400" s="3">
        <f>IF(AND('Data Source'!B400&lt;&gt;"",'Data Source'!S400="F"),IF('Data Source'!W400&gt;=5,"A+",IF('Data Source'!W400&gt;=4,"A",IF('Data Source'!W400&gt;=3.5,"A-",IF('Data Source'!W400&gt;=3,"B",IF('Data Source'!W400&gt;=2,"C",IF('Data Source'!W400&gt;=1,"D","F")))))),"")</f>
        <v/>
      </c>
      <c r="F400" s="3">
        <f>IF(AND('Data Source'!B400&lt;&gt;"",'Data Source'!S400="F"),IF('Data Source'!X400&gt;=5,"A+",IF('Data Source'!X400&gt;=4,"A",IF('Data Source'!X400&gt;=3.5,"A-",IF('Data Source'!X400&gt;=3,"B",IF('Data Source'!X400&gt;=2,"C",IF('Data Source'!X400&gt;=1,"D","F")))))),"")</f>
        <v/>
      </c>
      <c r="G400" s="3">
        <f>IF(AND('Data Source'!B400&lt;&gt;"",'Data Source'!S400="F"),IF('Data Source'!Y400&gt;=5,"A+",IF('Data Source'!Y400&gt;=4,"A",IF('Data Source'!Y400&gt;=3.5,"A-",IF('Data Source'!Y400&gt;=3,"B",IF('Data Source'!Y400&gt;=2,"C",IF('Data Source'!Y400&gt;=1,"D","F")))))),"")</f>
        <v/>
      </c>
      <c r="H400" s="3">
        <f>IF(AND('Data Source'!B400&lt;&gt;"",'Data Source'!S400="F"),IF('Data Source'!Z400&gt;=5,"A+",IF('Data Source'!Z400&gt;=4,"A",IF('Data Source'!Z400&gt;=3.5,"A-",IF('Data Source'!Z400&gt;=3,"B",IF('Data Source'!Z400&gt;=2,"C",IF('Data Source'!Z400&gt;=1,"D","F")))))),"")</f>
        <v/>
      </c>
      <c r="I400" s="3">
        <f>IF(AND('Data Source'!B400&lt;&gt;"",'Data Source'!S400="F"),IF('Data Source'!AA400&gt;=5,"A+",IF('Data Source'!AA400&gt;=4,"A",IF('Data Source'!AA400&gt;=3.5,"A-",IF('Data Source'!AA400&gt;=3,"B",IF('Data Source'!AA400&gt;=2,"C",IF('Data Source'!AA400&gt;=1,"D","F")))))),"")</f>
        <v/>
      </c>
      <c r="J400" s="3">
        <f>IF(AND('Data Source'!B400&lt;&gt;"",'Data Source'!S400="F"),IF('Data Source'!AB400&gt;=5,"A+",IF('Data Source'!AB400&gt;=4,"A",IF('Data Source'!AB400&gt;=3.5,"A-",IF('Data Source'!AB400&gt;=3,"B",IF('Data Source'!AB400&gt;=2,"C",IF('Data Source'!AB400&gt;=1,"D","F")))))),"")</f>
        <v/>
      </c>
      <c r="K400" s="3">
        <f>IF(AND('Data Source'!B400&lt;&gt;"",'Data Source'!S400="F"),IF('Data Source'!AC400&gt;=5,"A+",IF('Data Source'!AC400&gt;=4,"A",IF('Data Source'!AC400&gt;=3.5,"A-",IF('Data Source'!AC400&gt;=3,"B",IF('Data Source'!AC400&gt;=2,"C",IF('Data Source'!AC400&gt;=1,"D","F")))))),"")</f>
        <v/>
      </c>
      <c r="L400" s="3">
        <f>IF(AND('Data Source'!B400&lt;&gt;"",'Data Source'!S400="F"),IF('Data Source'!AD400&gt;=5,"A+",IF('Data Source'!AD400&gt;=4,"A",IF('Data Source'!AD400&gt;=3.5,"A-",IF('Data Source'!AD400&gt;=3,"B",IF('Data Source'!AD400&gt;=2,"C",IF('Data Source'!AD400&gt;=1,"D","F")))))),"")</f>
        <v/>
      </c>
      <c r="M400" s="3">
        <f>IF(AND('Data Source'!B400&lt;&gt;"",'Data Source'!S400="F"),IF('Data Source'!AE400&gt;=5,"A+",IF('Data Source'!AE400&gt;=4,"A",IF('Data Source'!AE400&gt;=3.5,"A-",IF('Data Source'!AE400&gt;=3,"B",IF('Data Source'!AE400&gt;=2,"C",IF('Data Source'!AE400&gt;=1,"D","F")))))),"")</f>
        <v/>
      </c>
      <c r="N400" s="3">
        <f>IF(AND('Data Source'!B400&lt;&gt;"",'Data Source'!S400="F"),IF('Data Source'!AF400&gt;=5,"A+",IF('Data Source'!AF400&gt;=4,"A",IF('Data Source'!AF400&gt;=3.5,"A-",IF('Data Source'!AF400&gt;=3,"B",IF('Data Source'!AF400&gt;=2,"C",IF('Data Source'!AF400&gt;=1,"D","F")))))),"")</f>
        <v/>
      </c>
      <c r="O400" s="3">
        <f>IF(AND('Data Source'!B400&lt;&gt;"",'Data Source'!S400="F"),IF('Data Source'!AG400&gt;=5,"A+",IF('Data Source'!AG400&gt;=4,"A",IF('Data Source'!AG400&gt;=3.5,"A-",IF('Data Source'!AG400&gt;=3,"B",IF('Data Source'!AG400&gt;=2,"C",IF('Data Source'!AG400&gt;=1,"D","F")))))),"")</f>
        <v/>
      </c>
      <c r="P400" s="5">
        <f>IF(AND('Data Source'!B400&lt;&gt;"",'Data Source'!S400="F"),'Data Source'!R400,"")</f>
        <v/>
      </c>
      <c r="Q400" s="3">
        <f>IF(AND('Data Source'!B400&lt;&gt;"",'Data Source'!S400="F"),'Data Source'!S400,"")</f>
        <v/>
      </c>
    </row>
    <row r="401">
      <c r="A401" s="3">
        <f>IF(AND('Data Source'!B401&lt;&gt;"",'Data Source'!S401="F"),COUNTIF('Data Source'!$S$3:S401,"F"),"")</f>
        <v/>
      </c>
      <c r="B401">
        <f>IF(AND('Data Source'!B401&lt;&gt;"",'Data Source'!S401="F"),'Data Source'!B401,"")</f>
        <v/>
      </c>
      <c r="C401" s="3">
        <f>IF(AND('Data Source'!B401&lt;&gt;"",'Data Source'!S401="F"),IF('Data Source'!U401&gt;=5,"A+",IF('Data Source'!U401&gt;=4,"A",IF('Data Source'!U401&gt;=3.5,"A-",IF('Data Source'!U401&gt;=3,"B",IF('Data Source'!U401&gt;=2,"C",IF('Data Source'!U401&gt;=1,"D","F")))))),"")</f>
        <v/>
      </c>
      <c r="D401" s="3">
        <f>IF(AND('Data Source'!B401&lt;&gt;"",'Data Source'!S401="F"),IF('Data Source'!V401&gt;=5,"A+",IF('Data Source'!V401&gt;=4,"A",IF('Data Source'!V401&gt;=3.5,"A-",IF('Data Source'!V401&gt;=3,"B",IF('Data Source'!V401&gt;=2,"C",IF('Data Source'!V401&gt;=1,"D","F")))))),"")</f>
        <v/>
      </c>
      <c r="E401" s="3">
        <f>IF(AND('Data Source'!B401&lt;&gt;"",'Data Source'!S401="F"),IF('Data Source'!W401&gt;=5,"A+",IF('Data Source'!W401&gt;=4,"A",IF('Data Source'!W401&gt;=3.5,"A-",IF('Data Source'!W401&gt;=3,"B",IF('Data Source'!W401&gt;=2,"C",IF('Data Source'!W401&gt;=1,"D","F")))))),"")</f>
        <v/>
      </c>
      <c r="F401" s="3">
        <f>IF(AND('Data Source'!B401&lt;&gt;"",'Data Source'!S401="F"),IF('Data Source'!X401&gt;=5,"A+",IF('Data Source'!X401&gt;=4,"A",IF('Data Source'!X401&gt;=3.5,"A-",IF('Data Source'!X401&gt;=3,"B",IF('Data Source'!X401&gt;=2,"C",IF('Data Source'!X401&gt;=1,"D","F")))))),"")</f>
        <v/>
      </c>
      <c r="G401" s="3">
        <f>IF(AND('Data Source'!B401&lt;&gt;"",'Data Source'!S401="F"),IF('Data Source'!Y401&gt;=5,"A+",IF('Data Source'!Y401&gt;=4,"A",IF('Data Source'!Y401&gt;=3.5,"A-",IF('Data Source'!Y401&gt;=3,"B",IF('Data Source'!Y401&gt;=2,"C",IF('Data Source'!Y401&gt;=1,"D","F")))))),"")</f>
        <v/>
      </c>
      <c r="H401" s="3">
        <f>IF(AND('Data Source'!B401&lt;&gt;"",'Data Source'!S401="F"),IF('Data Source'!Z401&gt;=5,"A+",IF('Data Source'!Z401&gt;=4,"A",IF('Data Source'!Z401&gt;=3.5,"A-",IF('Data Source'!Z401&gt;=3,"B",IF('Data Source'!Z401&gt;=2,"C",IF('Data Source'!Z401&gt;=1,"D","F")))))),"")</f>
        <v/>
      </c>
      <c r="I401" s="3">
        <f>IF(AND('Data Source'!B401&lt;&gt;"",'Data Source'!S401="F"),IF('Data Source'!AA401&gt;=5,"A+",IF('Data Source'!AA401&gt;=4,"A",IF('Data Source'!AA401&gt;=3.5,"A-",IF('Data Source'!AA401&gt;=3,"B",IF('Data Source'!AA401&gt;=2,"C",IF('Data Source'!AA401&gt;=1,"D","F")))))),"")</f>
        <v/>
      </c>
      <c r="J401" s="3">
        <f>IF(AND('Data Source'!B401&lt;&gt;"",'Data Source'!S401="F"),IF('Data Source'!AB401&gt;=5,"A+",IF('Data Source'!AB401&gt;=4,"A",IF('Data Source'!AB401&gt;=3.5,"A-",IF('Data Source'!AB401&gt;=3,"B",IF('Data Source'!AB401&gt;=2,"C",IF('Data Source'!AB401&gt;=1,"D","F")))))),"")</f>
        <v/>
      </c>
      <c r="K401" s="3">
        <f>IF(AND('Data Source'!B401&lt;&gt;"",'Data Source'!S401="F"),IF('Data Source'!AC401&gt;=5,"A+",IF('Data Source'!AC401&gt;=4,"A",IF('Data Source'!AC401&gt;=3.5,"A-",IF('Data Source'!AC401&gt;=3,"B",IF('Data Source'!AC401&gt;=2,"C",IF('Data Source'!AC401&gt;=1,"D","F")))))),"")</f>
        <v/>
      </c>
      <c r="L401" s="3">
        <f>IF(AND('Data Source'!B401&lt;&gt;"",'Data Source'!S401="F"),IF('Data Source'!AD401&gt;=5,"A+",IF('Data Source'!AD401&gt;=4,"A",IF('Data Source'!AD401&gt;=3.5,"A-",IF('Data Source'!AD401&gt;=3,"B",IF('Data Source'!AD401&gt;=2,"C",IF('Data Source'!AD401&gt;=1,"D","F")))))),"")</f>
        <v/>
      </c>
      <c r="M401" s="3">
        <f>IF(AND('Data Source'!B401&lt;&gt;"",'Data Source'!S401="F"),IF('Data Source'!AE401&gt;=5,"A+",IF('Data Source'!AE401&gt;=4,"A",IF('Data Source'!AE401&gt;=3.5,"A-",IF('Data Source'!AE401&gt;=3,"B",IF('Data Source'!AE401&gt;=2,"C",IF('Data Source'!AE401&gt;=1,"D","F")))))),"")</f>
        <v/>
      </c>
      <c r="N401" s="3">
        <f>IF(AND('Data Source'!B401&lt;&gt;"",'Data Source'!S401="F"),IF('Data Source'!AF401&gt;=5,"A+",IF('Data Source'!AF401&gt;=4,"A",IF('Data Source'!AF401&gt;=3.5,"A-",IF('Data Source'!AF401&gt;=3,"B",IF('Data Source'!AF401&gt;=2,"C",IF('Data Source'!AF401&gt;=1,"D","F")))))),"")</f>
        <v/>
      </c>
      <c r="O401" s="3">
        <f>IF(AND('Data Source'!B401&lt;&gt;"",'Data Source'!S401="F"),IF('Data Source'!AG401&gt;=5,"A+",IF('Data Source'!AG401&gt;=4,"A",IF('Data Source'!AG401&gt;=3.5,"A-",IF('Data Source'!AG401&gt;=3,"B",IF('Data Source'!AG401&gt;=2,"C",IF('Data Source'!AG401&gt;=1,"D","F")))))),"")</f>
        <v/>
      </c>
      <c r="P401" s="5">
        <f>IF(AND('Data Source'!B401&lt;&gt;"",'Data Source'!S401="F"),'Data Source'!R401,"")</f>
        <v/>
      </c>
      <c r="Q401" s="3">
        <f>IF(AND('Data Source'!B401&lt;&gt;"",'Data Source'!S401="F"),'Data Source'!S401,"")</f>
        <v/>
      </c>
    </row>
    <row r="402">
      <c r="A402" s="3">
        <f>IF(AND('Data Source'!B402&lt;&gt;"",'Data Source'!S402="F"),COUNTIF('Data Source'!$S$3:S402,"F"),"")</f>
        <v/>
      </c>
      <c r="B402">
        <f>IF(AND('Data Source'!B402&lt;&gt;"",'Data Source'!S402="F"),'Data Source'!B402,"")</f>
        <v/>
      </c>
      <c r="C402" s="3">
        <f>IF(AND('Data Source'!B402&lt;&gt;"",'Data Source'!S402="F"),IF('Data Source'!U402&gt;=5,"A+",IF('Data Source'!U402&gt;=4,"A",IF('Data Source'!U402&gt;=3.5,"A-",IF('Data Source'!U402&gt;=3,"B",IF('Data Source'!U402&gt;=2,"C",IF('Data Source'!U402&gt;=1,"D","F")))))),"")</f>
        <v/>
      </c>
      <c r="D402" s="3">
        <f>IF(AND('Data Source'!B402&lt;&gt;"",'Data Source'!S402="F"),IF('Data Source'!V402&gt;=5,"A+",IF('Data Source'!V402&gt;=4,"A",IF('Data Source'!V402&gt;=3.5,"A-",IF('Data Source'!V402&gt;=3,"B",IF('Data Source'!V402&gt;=2,"C",IF('Data Source'!V402&gt;=1,"D","F")))))),"")</f>
        <v/>
      </c>
      <c r="E402" s="3">
        <f>IF(AND('Data Source'!B402&lt;&gt;"",'Data Source'!S402="F"),IF('Data Source'!W402&gt;=5,"A+",IF('Data Source'!W402&gt;=4,"A",IF('Data Source'!W402&gt;=3.5,"A-",IF('Data Source'!W402&gt;=3,"B",IF('Data Source'!W402&gt;=2,"C",IF('Data Source'!W402&gt;=1,"D","F")))))),"")</f>
        <v/>
      </c>
      <c r="F402" s="3">
        <f>IF(AND('Data Source'!B402&lt;&gt;"",'Data Source'!S402="F"),IF('Data Source'!X402&gt;=5,"A+",IF('Data Source'!X402&gt;=4,"A",IF('Data Source'!X402&gt;=3.5,"A-",IF('Data Source'!X402&gt;=3,"B",IF('Data Source'!X402&gt;=2,"C",IF('Data Source'!X402&gt;=1,"D","F")))))),"")</f>
        <v/>
      </c>
      <c r="G402" s="3">
        <f>IF(AND('Data Source'!B402&lt;&gt;"",'Data Source'!S402="F"),IF('Data Source'!Y402&gt;=5,"A+",IF('Data Source'!Y402&gt;=4,"A",IF('Data Source'!Y402&gt;=3.5,"A-",IF('Data Source'!Y402&gt;=3,"B",IF('Data Source'!Y402&gt;=2,"C",IF('Data Source'!Y402&gt;=1,"D","F")))))),"")</f>
        <v/>
      </c>
      <c r="H402" s="3">
        <f>IF(AND('Data Source'!B402&lt;&gt;"",'Data Source'!S402="F"),IF('Data Source'!Z402&gt;=5,"A+",IF('Data Source'!Z402&gt;=4,"A",IF('Data Source'!Z402&gt;=3.5,"A-",IF('Data Source'!Z402&gt;=3,"B",IF('Data Source'!Z402&gt;=2,"C",IF('Data Source'!Z402&gt;=1,"D","F")))))),"")</f>
        <v/>
      </c>
      <c r="I402" s="3">
        <f>IF(AND('Data Source'!B402&lt;&gt;"",'Data Source'!S402="F"),IF('Data Source'!AA402&gt;=5,"A+",IF('Data Source'!AA402&gt;=4,"A",IF('Data Source'!AA402&gt;=3.5,"A-",IF('Data Source'!AA402&gt;=3,"B",IF('Data Source'!AA402&gt;=2,"C",IF('Data Source'!AA402&gt;=1,"D","F")))))),"")</f>
        <v/>
      </c>
      <c r="J402" s="3">
        <f>IF(AND('Data Source'!B402&lt;&gt;"",'Data Source'!S402="F"),IF('Data Source'!AB402&gt;=5,"A+",IF('Data Source'!AB402&gt;=4,"A",IF('Data Source'!AB402&gt;=3.5,"A-",IF('Data Source'!AB402&gt;=3,"B",IF('Data Source'!AB402&gt;=2,"C",IF('Data Source'!AB402&gt;=1,"D","F")))))),"")</f>
        <v/>
      </c>
      <c r="K402" s="3">
        <f>IF(AND('Data Source'!B402&lt;&gt;"",'Data Source'!S402="F"),IF('Data Source'!AC402&gt;=5,"A+",IF('Data Source'!AC402&gt;=4,"A",IF('Data Source'!AC402&gt;=3.5,"A-",IF('Data Source'!AC402&gt;=3,"B",IF('Data Source'!AC402&gt;=2,"C",IF('Data Source'!AC402&gt;=1,"D","F")))))),"")</f>
        <v/>
      </c>
      <c r="L402" s="3">
        <f>IF(AND('Data Source'!B402&lt;&gt;"",'Data Source'!S402="F"),IF('Data Source'!AD402&gt;=5,"A+",IF('Data Source'!AD402&gt;=4,"A",IF('Data Source'!AD402&gt;=3.5,"A-",IF('Data Source'!AD402&gt;=3,"B",IF('Data Source'!AD402&gt;=2,"C",IF('Data Source'!AD402&gt;=1,"D","F")))))),"")</f>
        <v/>
      </c>
      <c r="M402" s="3">
        <f>IF(AND('Data Source'!B402&lt;&gt;"",'Data Source'!S402="F"),IF('Data Source'!AE402&gt;=5,"A+",IF('Data Source'!AE402&gt;=4,"A",IF('Data Source'!AE402&gt;=3.5,"A-",IF('Data Source'!AE402&gt;=3,"B",IF('Data Source'!AE402&gt;=2,"C",IF('Data Source'!AE402&gt;=1,"D","F")))))),"")</f>
        <v/>
      </c>
      <c r="N402" s="3">
        <f>IF(AND('Data Source'!B402&lt;&gt;"",'Data Source'!S402="F"),IF('Data Source'!AF402&gt;=5,"A+",IF('Data Source'!AF402&gt;=4,"A",IF('Data Source'!AF402&gt;=3.5,"A-",IF('Data Source'!AF402&gt;=3,"B",IF('Data Source'!AF402&gt;=2,"C",IF('Data Source'!AF402&gt;=1,"D","F")))))),"")</f>
        <v/>
      </c>
      <c r="O402" s="3">
        <f>IF(AND('Data Source'!B402&lt;&gt;"",'Data Source'!S402="F"),IF('Data Source'!AG402&gt;=5,"A+",IF('Data Source'!AG402&gt;=4,"A",IF('Data Source'!AG402&gt;=3.5,"A-",IF('Data Source'!AG402&gt;=3,"B",IF('Data Source'!AG402&gt;=2,"C",IF('Data Source'!AG402&gt;=1,"D","F")))))),"")</f>
        <v/>
      </c>
      <c r="P402" s="5">
        <f>IF(AND('Data Source'!B402&lt;&gt;"",'Data Source'!S402="F"),'Data Source'!R402,"")</f>
        <v/>
      </c>
      <c r="Q402" s="3">
        <f>IF(AND('Data Source'!B402&lt;&gt;"",'Data Source'!S402="F"),'Data Source'!S402,"")</f>
        <v/>
      </c>
    </row>
    <row r="403">
      <c r="A403" s="3">
        <f>IF(AND('Data Source'!B403&lt;&gt;"",'Data Source'!S403="F"),COUNTIF('Data Source'!$S$3:S403,"F"),"")</f>
        <v/>
      </c>
      <c r="B403">
        <f>IF(AND('Data Source'!B403&lt;&gt;"",'Data Source'!S403="F"),'Data Source'!B403,"")</f>
        <v/>
      </c>
      <c r="C403" s="3">
        <f>IF(AND('Data Source'!B403&lt;&gt;"",'Data Source'!S403="F"),IF('Data Source'!U403&gt;=5,"A+",IF('Data Source'!U403&gt;=4,"A",IF('Data Source'!U403&gt;=3.5,"A-",IF('Data Source'!U403&gt;=3,"B",IF('Data Source'!U403&gt;=2,"C",IF('Data Source'!U403&gt;=1,"D","F")))))),"")</f>
        <v/>
      </c>
      <c r="D403" s="3">
        <f>IF(AND('Data Source'!B403&lt;&gt;"",'Data Source'!S403="F"),IF('Data Source'!V403&gt;=5,"A+",IF('Data Source'!V403&gt;=4,"A",IF('Data Source'!V403&gt;=3.5,"A-",IF('Data Source'!V403&gt;=3,"B",IF('Data Source'!V403&gt;=2,"C",IF('Data Source'!V403&gt;=1,"D","F")))))),"")</f>
        <v/>
      </c>
      <c r="E403" s="3">
        <f>IF(AND('Data Source'!B403&lt;&gt;"",'Data Source'!S403="F"),IF('Data Source'!W403&gt;=5,"A+",IF('Data Source'!W403&gt;=4,"A",IF('Data Source'!W403&gt;=3.5,"A-",IF('Data Source'!W403&gt;=3,"B",IF('Data Source'!W403&gt;=2,"C",IF('Data Source'!W403&gt;=1,"D","F")))))),"")</f>
        <v/>
      </c>
      <c r="F403" s="3">
        <f>IF(AND('Data Source'!B403&lt;&gt;"",'Data Source'!S403="F"),IF('Data Source'!X403&gt;=5,"A+",IF('Data Source'!X403&gt;=4,"A",IF('Data Source'!X403&gt;=3.5,"A-",IF('Data Source'!X403&gt;=3,"B",IF('Data Source'!X403&gt;=2,"C",IF('Data Source'!X403&gt;=1,"D","F")))))),"")</f>
        <v/>
      </c>
      <c r="G403" s="3">
        <f>IF(AND('Data Source'!B403&lt;&gt;"",'Data Source'!S403="F"),IF('Data Source'!Y403&gt;=5,"A+",IF('Data Source'!Y403&gt;=4,"A",IF('Data Source'!Y403&gt;=3.5,"A-",IF('Data Source'!Y403&gt;=3,"B",IF('Data Source'!Y403&gt;=2,"C",IF('Data Source'!Y403&gt;=1,"D","F")))))),"")</f>
        <v/>
      </c>
      <c r="H403" s="3">
        <f>IF(AND('Data Source'!B403&lt;&gt;"",'Data Source'!S403="F"),IF('Data Source'!Z403&gt;=5,"A+",IF('Data Source'!Z403&gt;=4,"A",IF('Data Source'!Z403&gt;=3.5,"A-",IF('Data Source'!Z403&gt;=3,"B",IF('Data Source'!Z403&gt;=2,"C",IF('Data Source'!Z403&gt;=1,"D","F")))))),"")</f>
        <v/>
      </c>
      <c r="I403" s="3">
        <f>IF(AND('Data Source'!B403&lt;&gt;"",'Data Source'!S403="F"),IF('Data Source'!AA403&gt;=5,"A+",IF('Data Source'!AA403&gt;=4,"A",IF('Data Source'!AA403&gt;=3.5,"A-",IF('Data Source'!AA403&gt;=3,"B",IF('Data Source'!AA403&gt;=2,"C",IF('Data Source'!AA403&gt;=1,"D","F")))))),"")</f>
        <v/>
      </c>
      <c r="J403" s="3">
        <f>IF(AND('Data Source'!B403&lt;&gt;"",'Data Source'!S403="F"),IF('Data Source'!AB403&gt;=5,"A+",IF('Data Source'!AB403&gt;=4,"A",IF('Data Source'!AB403&gt;=3.5,"A-",IF('Data Source'!AB403&gt;=3,"B",IF('Data Source'!AB403&gt;=2,"C",IF('Data Source'!AB403&gt;=1,"D","F")))))),"")</f>
        <v/>
      </c>
      <c r="K403" s="3">
        <f>IF(AND('Data Source'!B403&lt;&gt;"",'Data Source'!S403="F"),IF('Data Source'!AC403&gt;=5,"A+",IF('Data Source'!AC403&gt;=4,"A",IF('Data Source'!AC403&gt;=3.5,"A-",IF('Data Source'!AC403&gt;=3,"B",IF('Data Source'!AC403&gt;=2,"C",IF('Data Source'!AC403&gt;=1,"D","F")))))),"")</f>
        <v/>
      </c>
      <c r="L403" s="3">
        <f>IF(AND('Data Source'!B403&lt;&gt;"",'Data Source'!S403="F"),IF('Data Source'!AD403&gt;=5,"A+",IF('Data Source'!AD403&gt;=4,"A",IF('Data Source'!AD403&gt;=3.5,"A-",IF('Data Source'!AD403&gt;=3,"B",IF('Data Source'!AD403&gt;=2,"C",IF('Data Source'!AD403&gt;=1,"D","F")))))),"")</f>
        <v/>
      </c>
      <c r="M403" s="3">
        <f>IF(AND('Data Source'!B403&lt;&gt;"",'Data Source'!S403="F"),IF('Data Source'!AE403&gt;=5,"A+",IF('Data Source'!AE403&gt;=4,"A",IF('Data Source'!AE403&gt;=3.5,"A-",IF('Data Source'!AE403&gt;=3,"B",IF('Data Source'!AE403&gt;=2,"C",IF('Data Source'!AE403&gt;=1,"D","F")))))),"")</f>
        <v/>
      </c>
      <c r="N403" s="3">
        <f>IF(AND('Data Source'!B403&lt;&gt;"",'Data Source'!S403="F"),IF('Data Source'!AF403&gt;=5,"A+",IF('Data Source'!AF403&gt;=4,"A",IF('Data Source'!AF403&gt;=3.5,"A-",IF('Data Source'!AF403&gt;=3,"B",IF('Data Source'!AF403&gt;=2,"C",IF('Data Source'!AF403&gt;=1,"D","F")))))),"")</f>
        <v/>
      </c>
      <c r="O403" s="3">
        <f>IF(AND('Data Source'!B403&lt;&gt;"",'Data Source'!S403="F"),IF('Data Source'!AG403&gt;=5,"A+",IF('Data Source'!AG403&gt;=4,"A",IF('Data Source'!AG403&gt;=3.5,"A-",IF('Data Source'!AG403&gt;=3,"B",IF('Data Source'!AG403&gt;=2,"C",IF('Data Source'!AG403&gt;=1,"D","F")))))),"")</f>
        <v/>
      </c>
      <c r="P403" s="5">
        <f>IF(AND('Data Source'!B403&lt;&gt;"",'Data Source'!S403="F"),'Data Source'!R403,"")</f>
        <v/>
      </c>
      <c r="Q403" s="3">
        <f>IF(AND('Data Source'!B403&lt;&gt;"",'Data Source'!S403="F"),'Data Source'!S403,"")</f>
        <v/>
      </c>
    </row>
    <row r="404">
      <c r="A404" s="3">
        <f>IF(AND('Data Source'!B404&lt;&gt;"",'Data Source'!S404="F"),COUNTIF('Data Source'!$S$3:S404,"F"),"")</f>
        <v/>
      </c>
      <c r="B404">
        <f>IF(AND('Data Source'!B404&lt;&gt;"",'Data Source'!S404="F"),'Data Source'!B404,"")</f>
        <v/>
      </c>
      <c r="C404" s="3">
        <f>IF(AND('Data Source'!B404&lt;&gt;"",'Data Source'!S404="F"),IF('Data Source'!U404&gt;=5,"A+",IF('Data Source'!U404&gt;=4,"A",IF('Data Source'!U404&gt;=3.5,"A-",IF('Data Source'!U404&gt;=3,"B",IF('Data Source'!U404&gt;=2,"C",IF('Data Source'!U404&gt;=1,"D","F")))))),"")</f>
        <v/>
      </c>
      <c r="D404" s="3">
        <f>IF(AND('Data Source'!B404&lt;&gt;"",'Data Source'!S404="F"),IF('Data Source'!V404&gt;=5,"A+",IF('Data Source'!V404&gt;=4,"A",IF('Data Source'!V404&gt;=3.5,"A-",IF('Data Source'!V404&gt;=3,"B",IF('Data Source'!V404&gt;=2,"C",IF('Data Source'!V404&gt;=1,"D","F")))))),"")</f>
        <v/>
      </c>
      <c r="E404" s="3">
        <f>IF(AND('Data Source'!B404&lt;&gt;"",'Data Source'!S404="F"),IF('Data Source'!W404&gt;=5,"A+",IF('Data Source'!W404&gt;=4,"A",IF('Data Source'!W404&gt;=3.5,"A-",IF('Data Source'!W404&gt;=3,"B",IF('Data Source'!W404&gt;=2,"C",IF('Data Source'!W404&gt;=1,"D","F")))))),"")</f>
        <v/>
      </c>
      <c r="F404" s="3">
        <f>IF(AND('Data Source'!B404&lt;&gt;"",'Data Source'!S404="F"),IF('Data Source'!X404&gt;=5,"A+",IF('Data Source'!X404&gt;=4,"A",IF('Data Source'!X404&gt;=3.5,"A-",IF('Data Source'!X404&gt;=3,"B",IF('Data Source'!X404&gt;=2,"C",IF('Data Source'!X404&gt;=1,"D","F")))))),"")</f>
        <v/>
      </c>
      <c r="G404" s="3">
        <f>IF(AND('Data Source'!B404&lt;&gt;"",'Data Source'!S404="F"),IF('Data Source'!Y404&gt;=5,"A+",IF('Data Source'!Y404&gt;=4,"A",IF('Data Source'!Y404&gt;=3.5,"A-",IF('Data Source'!Y404&gt;=3,"B",IF('Data Source'!Y404&gt;=2,"C",IF('Data Source'!Y404&gt;=1,"D","F")))))),"")</f>
        <v/>
      </c>
      <c r="H404" s="3">
        <f>IF(AND('Data Source'!B404&lt;&gt;"",'Data Source'!S404="F"),IF('Data Source'!Z404&gt;=5,"A+",IF('Data Source'!Z404&gt;=4,"A",IF('Data Source'!Z404&gt;=3.5,"A-",IF('Data Source'!Z404&gt;=3,"B",IF('Data Source'!Z404&gt;=2,"C",IF('Data Source'!Z404&gt;=1,"D","F")))))),"")</f>
        <v/>
      </c>
      <c r="I404" s="3">
        <f>IF(AND('Data Source'!B404&lt;&gt;"",'Data Source'!S404="F"),IF('Data Source'!AA404&gt;=5,"A+",IF('Data Source'!AA404&gt;=4,"A",IF('Data Source'!AA404&gt;=3.5,"A-",IF('Data Source'!AA404&gt;=3,"B",IF('Data Source'!AA404&gt;=2,"C",IF('Data Source'!AA404&gt;=1,"D","F")))))),"")</f>
        <v/>
      </c>
      <c r="J404" s="3">
        <f>IF(AND('Data Source'!B404&lt;&gt;"",'Data Source'!S404="F"),IF('Data Source'!AB404&gt;=5,"A+",IF('Data Source'!AB404&gt;=4,"A",IF('Data Source'!AB404&gt;=3.5,"A-",IF('Data Source'!AB404&gt;=3,"B",IF('Data Source'!AB404&gt;=2,"C",IF('Data Source'!AB404&gt;=1,"D","F")))))),"")</f>
        <v/>
      </c>
      <c r="K404" s="3">
        <f>IF(AND('Data Source'!B404&lt;&gt;"",'Data Source'!S404="F"),IF('Data Source'!AC404&gt;=5,"A+",IF('Data Source'!AC404&gt;=4,"A",IF('Data Source'!AC404&gt;=3.5,"A-",IF('Data Source'!AC404&gt;=3,"B",IF('Data Source'!AC404&gt;=2,"C",IF('Data Source'!AC404&gt;=1,"D","F")))))),"")</f>
        <v/>
      </c>
      <c r="L404" s="3">
        <f>IF(AND('Data Source'!B404&lt;&gt;"",'Data Source'!S404="F"),IF('Data Source'!AD404&gt;=5,"A+",IF('Data Source'!AD404&gt;=4,"A",IF('Data Source'!AD404&gt;=3.5,"A-",IF('Data Source'!AD404&gt;=3,"B",IF('Data Source'!AD404&gt;=2,"C",IF('Data Source'!AD404&gt;=1,"D","F")))))),"")</f>
        <v/>
      </c>
      <c r="M404" s="3">
        <f>IF(AND('Data Source'!B404&lt;&gt;"",'Data Source'!S404="F"),IF('Data Source'!AE404&gt;=5,"A+",IF('Data Source'!AE404&gt;=4,"A",IF('Data Source'!AE404&gt;=3.5,"A-",IF('Data Source'!AE404&gt;=3,"B",IF('Data Source'!AE404&gt;=2,"C",IF('Data Source'!AE404&gt;=1,"D","F")))))),"")</f>
        <v/>
      </c>
      <c r="N404" s="3">
        <f>IF(AND('Data Source'!B404&lt;&gt;"",'Data Source'!S404="F"),IF('Data Source'!AF404&gt;=5,"A+",IF('Data Source'!AF404&gt;=4,"A",IF('Data Source'!AF404&gt;=3.5,"A-",IF('Data Source'!AF404&gt;=3,"B",IF('Data Source'!AF404&gt;=2,"C",IF('Data Source'!AF404&gt;=1,"D","F")))))),"")</f>
        <v/>
      </c>
      <c r="O404" s="3">
        <f>IF(AND('Data Source'!B404&lt;&gt;"",'Data Source'!S404="F"),IF('Data Source'!AG404&gt;=5,"A+",IF('Data Source'!AG404&gt;=4,"A",IF('Data Source'!AG404&gt;=3.5,"A-",IF('Data Source'!AG404&gt;=3,"B",IF('Data Source'!AG404&gt;=2,"C",IF('Data Source'!AG404&gt;=1,"D","F")))))),"")</f>
        <v/>
      </c>
      <c r="P404" s="5">
        <f>IF(AND('Data Source'!B404&lt;&gt;"",'Data Source'!S404="F"),'Data Source'!R404,"")</f>
        <v/>
      </c>
      <c r="Q404" s="3">
        <f>IF(AND('Data Source'!B404&lt;&gt;"",'Data Source'!S404="F"),'Data Source'!S404,"")</f>
        <v/>
      </c>
    </row>
    <row r="405">
      <c r="A405" s="3">
        <f>IF(AND('Data Source'!B405&lt;&gt;"",'Data Source'!S405="F"),COUNTIF('Data Source'!$S$3:S405,"F"),"")</f>
        <v/>
      </c>
      <c r="B405">
        <f>IF(AND('Data Source'!B405&lt;&gt;"",'Data Source'!S405="F"),'Data Source'!B405,"")</f>
        <v/>
      </c>
      <c r="C405" s="3">
        <f>IF(AND('Data Source'!B405&lt;&gt;"",'Data Source'!S405="F"),IF('Data Source'!U405&gt;=5,"A+",IF('Data Source'!U405&gt;=4,"A",IF('Data Source'!U405&gt;=3.5,"A-",IF('Data Source'!U405&gt;=3,"B",IF('Data Source'!U405&gt;=2,"C",IF('Data Source'!U405&gt;=1,"D","F")))))),"")</f>
        <v/>
      </c>
      <c r="D405" s="3">
        <f>IF(AND('Data Source'!B405&lt;&gt;"",'Data Source'!S405="F"),IF('Data Source'!V405&gt;=5,"A+",IF('Data Source'!V405&gt;=4,"A",IF('Data Source'!V405&gt;=3.5,"A-",IF('Data Source'!V405&gt;=3,"B",IF('Data Source'!V405&gt;=2,"C",IF('Data Source'!V405&gt;=1,"D","F")))))),"")</f>
        <v/>
      </c>
      <c r="E405" s="3">
        <f>IF(AND('Data Source'!B405&lt;&gt;"",'Data Source'!S405="F"),IF('Data Source'!W405&gt;=5,"A+",IF('Data Source'!W405&gt;=4,"A",IF('Data Source'!W405&gt;=3.5,"A-",IF('Data Source'!W405&gt;=3,"B",IF('Data Source'!W405&gt;=2,"C",IF('Data Source'!W405&gt;=1,"D","F")))))),"")</f>
        <v/>
      </c>
      <c r="F405" s="3">
        <f>IF(AND('Data Source'!B405&lt;&gt;"",'Data Source'!S405="F"),IF('Data Source'!X405&gt;=5,"A+",IF('Data Source'!X405&gt;=4,"A",IF('Data Source'!X405&gt;=3.5,"A-",IF('Data Source'!X405&gt;=3,"B",IF('Data Source'!X405&gt;=2,"C",IF('Data Source'!X405&gt;=1,"D","F")))))),"")</f>
        <v/>
      </c>
      <c r="G405" s="3">
        <f>IF(AND('Data Source'!B405&lt;&gt;"",'Data Source'!S405="F"),IF('Data Source'!Y405&gt;=5,"A+",IF('Data Source'!Y405&gt;=4,"A",IF('Data Source'!Y405&gt;=3.5,"A-",IF('Data Source'!Y405&gt;=3,"B",IF('Data Source'!Y405&gt;=2,"C",IF('Data Source'!Y405&gt;=1,"D","F")))))),"")</f>
        <v/>
      </c>
      <c r="H405" s="3">
        <f>IF(AND('Data Source'!B405&lt;&gt;"",'Data Source'!S405="F"),IF('Data Source'!Z405&gt;=5,"A+",IF('Data Source'!Z405&gt;=4,"A",IF('Data Source'!Z405&gt;=3.5,"A-",IF('Data Source'!Z405&gt;=3,"B",IF('Data Source'!Z405&gt;=2,"C",IF('Data Source'!Z405&gt;=1,"D","F")))))),"")</f>
        <v/>
      </c>
      <c r="I405" s="3">
        <f>IF(AND('Data Source'!B405&lt;&gt;"",'Data Source'!S405="F"),IF('Data Source'!AA405&gt;=5,"A+",IF('Data Source'!AA405&gt;=4,"A",IF('Data Source'!AA405&gt;=3.5,"A-",IF('Data Source'!AA405&gt;=3,"B",IF('Data Source'!AA405&gt;=2,"C",IF('Data Source'!AA405&gt;=1,"D","F")))))),"")</f>
        <v/>
      </c>
      <c r="J405" s="3">
        <f>IF(AND('Data Source'!B405&lt;&gt;"",'Data Source'!S405="F"),IF('Data Source'!AB405&gt;=5,"A+",IF('Data Source'!AB405&gt;=4,"A",IF('Data Source'!AB405&gt;=3.5,"A-",IF('Data Source'!AB405&gt;=3,"B",IF('Data Source'!AB405&gt;=2,"C",IF('Data Source'!AB405&gt;=1,"D","F")))))),"")</f>
        <v/>
      </c>
      <c r="K405" s="3">
        <f>IF(AND('Data Source'!B405&lt;&gt;"",'Data Source'!S405="F"),IF('Data Source'!AC405&gt;=5,"A+",IF('Data Source'!AC405&gt;=4,"A",IF('Data Source'!AC405&gt;=3.5,"A-",IF('Data Source'!AC405&gt;=3,"B",IF('Data Source'!AC405&gt;=2,"C",IF('Data Source'!AC405&gt;=1,"D","F")))))),"")</f>
        <v/>
      </c>
      <c r="L405" s="3">
        <f>IF(AND('Data Source'!B405&lt;&gt;"",'Data Source'!S405="F"),IF('Data Source'!AD405&gt;=5,"A+",IF('Data Source'!AD405&gt;=4,"A",IF('Data Source'!AD405&gt;=3.5,"A-",IF('Data Source'!AD405&gt;=3,"B",IF('Data Source'!AD405&gt;=2,"C",IF('Data Source'!AD405&gt;=1,"D","F")))))),"")</f>
        <v/>
      </c>
      <c r="M405" s="3">
        <f>IF(AND('Data Source'!B405&lt;&gt;"",'Data Source'!S405="F"),IF('Data Source'!AE405&gt;=5,"A+",IF('Data Source'!AE405&gt;=4,"A",IF('Data Source'!AE405&gt;=3.5,"A-",IF('Data Source'!AE405&gt;=3,"B",IF('Data Source'!AE405&gt;=2,"C",IF('Data Source'!AE405&gt;=1,"D","F")))))),"")</f>
        <v/>
      </c>
      <c r="N405" s="3">
        <f>IF(AND('Data Source'!B405&lt;&gt;"",'Data Source'!S405="F"),IF('Data Source'!AF405&gt;=5,"A+",IF('Data Source'!AF405&gt;=4,"A",IF('Data Source'!AF405&gt;=3.5,"A-",IF('Data Source'!AF405&gt;=3,"B",IF('Data Source'!AF405&gt;=2,"C",IF('Data Source'!AF405&gt;=1,"D","F")))))),"")</f>
        <v/>
      </c>
      <c r="O405" s="3">
        <f>IF(AND('Data Source'!B405&lt;&gt;"",'Data Source'!S405="F"),IF('Data Source'!AG405&gt;=5,"A+",IF('Data Source'!AG405&gt;=4,"A",IF('Data Source'!AG405&gt;=3.5,"A-",IF('Data Source'!AG405&gt;=3,"B",IF('Data Source'!AG405&gt;=2,"C",IF('Data Source'!AG405&gt;=1,"D","F")))))),"")</f>
        <v/>
      </c>
      <c r="P405" s="5">
        <f>IF(AND('Data Source'!B405&lt;&gt;"",'Data Source'!S405="F"),'Data Source'!R405,"")</f>
        <v/>
      </c>
      <c r="Q405" s="3">
        <f>IF(AND('Data Source'!B405&lt;&gt;"",'Data Source'!S405="F"),'Data Source'!S405,"")</f>
        <v/>
      </c>
    </row>
    <row r="406">
      <c r="A406" s="3">
        <f>IF(AND('Data Source'!B406&lt;&gt;"",'Data Source'!S406="F"),COUNTIF('Data Source'!$S$3:S406,"F"),"")</f>
        <v/>
      </c>
      <c r="B406">
        <f>IF(AND('Data Source'!B406&lt;&gt;"",'Data Source'!S406="F"),'Data Source'!B406,"")</f>
        <v/>
      </c>
      <c r="C406" s="3">
        <f>IF(AND('Data Source'!B406&lt;&gt;"",'Data Source'!S406="F"),IF('Data Source'!U406&gt;=5,"A+",IF('Data Source'!U406&gt;=4,"A",IF('Data Source'!U406&gt;=3.5,"A-",IF('Data Source'!U406&gt;=3,"B",IF('Data Source'!U406&gt;=2,"C",IF('Data Source'!U406&gt;=1,"D","F")))))),"")</f>
        <v/>
      </c>
      <c r="D406" s="3">
        <f>IF(AND('Data Source'!B406&lt;&gt;"",'Data Source'!S406="F"),IF('Data Source'!V406&gt;=5,"A+",IF('Data Source'!V406&gt;=4,"A",IF('Data Source'!V406&gt;=3.5,"A-",IF('Data Source'!V406&gt;=3,"B",IF('Data Source'!V406&gt;=2,"C",IF('Data Source'!V406&gt;=1,"D","F")))))),"")</f>
        <v/>
      </c>
      <c r="E406" s="3">
        <f>IF(AND('Data Source'!B406&lt;&gt;"",'Data Source'!S406="F"),IF('Data Source'!W406&gt;=5,"A+",IF('Data Source'!W406&gt;=4,"A",IF('Data Source'!W406&gt;=3.5,"A-",IF('Data Source'!W406&gt;=3,"B",IF('Data Source'!W406&gt;=2,"C",IF('Data Source'!W406&gt;=1,"D","F")))))),"")</f>
        <v/>
      </c>
      <c r="F406" s="3">
        <f>IF(AND('Data Source'!B406&lt;&gt;"",'Data Source'!S406="F"),IF('Data Source'!X406&gt;=5,"A+",IF('Data Source'!X406&gt;=4,"A",IF('Data Source'!X406&gt;=3.5,"A-",IF('Data Source'!X406&gt;=3,"B",IF('Data Source'!X406&gt;=2,"C",IF('Data Source'!X406&gt;=1,"D","F")))))),"")</f>
        <v/>
      </c>
      <c r="G406" s="3">
        <f>IF(AND('Data Source'!B406&lt;&gt;"",'Data Source'!S406="F"),IF('Data Source'!Y406&gt;=5,"A+",IF('Data Source'!Y406&gt;=4,"A",IF('Data Source'!Y406&gt;=3.5,"A-",IF('Data Source'!Y406&gt;=3,"B",IF('Data Source'!Y406&gt;=2,"C",IF('Data Source'!Y406&gt;=1,"D","F")))))),"")</f>
        <v/>
      </c>
      <c r="H406" s="3">
        <f>IF(AND('Data Source'!B406&lt;&gt;"",'Data Source'!S406="F"),IF('Data Source'!Z406&gt;=5,"A+",IF('Data Source'!Z406&gt;=4,"A",IF('Data Source'!Z406&gt;=3.5,"A-",IF('Data Source'!Z406&gt;=3,"B",IF('Data Source'!Z406&gt;=2,"C",IF('Data Source'!Z406&gt;=1,"D","F")))))),"")</f>
        <v/>
      </c>
      <c r="I406" s="3">
        <f>IF(AND('Data Source'!B406&lt;&gt;"",'Data Source'!S406="F"),IF('Data Source'!AA406&gt;=5,"A+",IF('Data Source'!AA406&gt;=4,"A",IF('Data Source'!AA406&gt;=3.5,"A-",IF('Data Source'!AA406&gt;=3,"B",IF('Data Source'!AA406&gt;=2,"C",IF('Data Source'!AA406&gt;=1,"D","F")))))),"")</f>
        <v/>
      </c>
      <c r="J406" s="3">
        <f>IF(AND('Data Source'!B406&lt;&gt;"",'Data Source'!S406="F"),IF('Data Source'!AB406&gt;=5,"A+",IF('Data Source'!AB406&gt;=4,"A",IF('Data Source'!AB406&gt;=3.5,"A-",IF('Data Source'!AB406&gt;=3,"B",IF('Data Source'!AB406&gt;=2,"C",IF('Data Source'!AB406&gt;=1,"D","F")))))),"")</f>
        <v/>
      </c>
      <c r="K406" s="3">
        <f>IF(AND('Data Source'!B406&lt;&gt;"",'Data Source'!S406="F"),IF('Data Source'!AC406&gt;=5,"A+",IF('Data Source'!AC406&gt;=4,"A",IF('Data Source'!AC406&gt;=3.5,"A-",IF('Data Source'!AC406&gt;=3,"B",IF('Data Source'!AC406&gt;=2,"C",IF('Data Source'!AC406&gt;=1,"D","F")))))),"")</f>
        <v/>
      </c>
      <c r="L406" s="3">
        <f>IF(AND('Data Source'!B406&lt;&gt;"",'Data Source'!S406="F"),IF('Data Source'!AD406&gt;=5,"A+",IF('Data Source'!AD406&gt;=4,"A",IF('Data Source'!AD406&gt;=3.5,"A-",IF('Data Source'!AD406&gt;=3,"B",IF('Data Source'!AD406&gt;=2,"C",IF('Data Source'!AD406&gt;=1,"D","F")))))),"")</f>
        <v/>
      </c>
      <c r="M406" s="3">
        <f>IF(AND('Data Source'!B406&lt;&gt;"",'Data Source'!S406="F"),IF('Data Source'!AE406&gt;=5,"A+",IF('Data Source'!AE406&gt;=4,"A",IF('Data Source'!AE406&gt;=3.5,"A-",IF('Data Source'!AE406&gt;=3,"B",IF('Data Source'!AE406&gt;=2,"C",IF('Data Source'!AE406&gt;=1,"D","F")))))),"")</f>
        <v/>
      </c>
      <c r="N406" s="3">
        <f>IF(AND('Data Source'!B406&lt;&gt;"",'Data Source'!S406="F"),IF('Data Source'!AF406&gt;=5,"A+",IF('Data Source'!AF406&gt;=4,"A",IF('Data Source'!AF406&gt;=3.5,"A-",IF('Data Source'!AF406&gt;=3,"B",IF('Data Source'!AF406&gt;=2,"C",IF('Data Source'!AF406&gt;=1,"D","F")))))),"")</f>
        <v/>
      </c>
      <c r="O406" s="3">
        <f>IF(AND('Data Source'!B406&lt;&gt;"",'Data Source'!S406="F"),IF('Data Source'!AG406&gt;=5,"A+",IF('Data Source'!AG406&gt;=4,"A",IF('Data Source'!AG406&gt;=3.5,"A-",IF('Data Source'!AG406&gt;=3,"B",IF('Data Source'!AG406&gt;=2,"C",IF('Data Source'!AG406&gt;=1,"D","F")))))),"")</f>
        <v/>
      </c>
      <c r="P406" s="5">
        <f>IF(AND('Data Source'!B406&lt;&gt;"",'Data Source'!S406="F"),'Data Source'!R406,"")</f>
        <v/>
      </c>
      <c r="Q406" s="3">
        <f>IF(AND('Data Source'!B406&lt;&gt;"",'Data Source'!S406="F"),'Data Source'!S406,"")</f>
        <v/>
      </c>
    </row>
    <row r="407">
      <c r="A407" s="3">
        <f>IF(AND('Data Source'!B407&lt;&gt;"",'Data Source'!S407="F"),COUNTIF('Data Source'!$S$3:S407,"F"),"")</f>
        <v/>
      </c>
      <c r="B407">
        <f>IF(AND('Data Source'!B407&lt;&gt;"",'Data Source'!S407="F"),'Data Source'!B407,"")</f>
        <v/>
      </c>
      <c r="C407" s="3">
        <f>IF(AND('Data Source'!B407&lt;&gt;"",'Data Source'!S407="F"),IF('Data Source'!U407&gt;=5,"A+",IF('Data Source'!U407&gt;=4,"A",IF('Data Source'!U407&gt;=3.5,"A-",IF('Data Source'!U407&gt;=3,"B",IF('Data Source'!U407&gt;=2,"C",IF('Data Source'!U407&gt;=1,"D","F")))))),"")</f>
        <v/>
      </c>
      <c r="D407" s="3">
        <f>IF(AND('Data Source'!B407&lt;&gt;"",'Data Source'!S407="F"),IF('Data Source'!V407&gt;=5,"A+",IF('Data Source'!V407&gt;=4,"A",IF('Data Source'!V407&gt;=3.5,"A-",IF('Data Source'!V407&gt;=3,"B",IF('Data Source'!V407&gt;=2,"C",IF('Data Source'!V407&gt;=1,"D","F")))))),"")</f>
        <v/>
      </c>
      <c r="E407" s="3">
        <f>IF(AND('Data Source'!B407&lt;&gt;"",'Data Source'!S407="F"),IF('Data Source'!W407&gt;=5,"A+",IF('Data Source'!W407&gt;=4,"A",IF('Data Source'!W407&gt;=3.5,"A-",IF('Data Source'!W407&gt;=3,"B",IF('Data Source'!W407&gt;=2,"C",IF('Data Source'!W407&gt;=1,"D","F")))))),"")</f>
        <v/>
      </c>
      <c r="F407" s="3">
        <f>IF(AND('Data Source'!B407&lt;&gt;"",'Data Source'!S407="F"),IF('Data Source'!X407&gt;=5,"A+",IF('Data Source'!X407&gt;=4,"A",IF('Data Source'!X407&gt;=3.5,"A-",IF('Data Source'!X407&gt;=3,"B",IF('Data Source'!X407&gt;=2,"C",IF('Data Source'!X407&gt;=1,"D","F")))))),"")</f>
        <v/>
      </c>
      <c r="G407" s="3">
        <f>IF(AND('Data Source'!B407&lt;&gt;"",'Data Source'!S407="F"),IF('Data Source'!Y407&gt;=5,"A+",IF('Data Source'!Y407&gt;=4,"A",IF('Data Source'!Y407&gt;=3.5,"A-",IF('Data Source'!Y407&gt;=3,"B",IF('Data Source'!Y407&gt;=2,"C",IF('Data Source'!Y407&gt;=1,"D","F")))))),"")</f>
        <v/>
      </c>
      <c r="H407" s="3">
        <f>IF(AND('Data Source'!B407&lt;&gt;"",'Data Source'!S407="F"),IF('Data Source'!Z407&gt;=5,"A+",IF('Data Source'!Z407&gt;=4,"A",IF('Data Source'!Z407&gt;=3.5,"A-",IF('Data Source'!Z407&gt;=3,"B",IF('Data Source'!Z407&gt;=2,"C",IF('Data Source'!Z407&gt;=1,"D","F")))))),"")</f>
        <v/>
      </c>
      <c r="I407" s="3">
        <f>IF(AND('Data Source'!B407&lt;&gt;"",'Data Source'!S407="F"),IF('Data Source'!AA407&gt;=5,"A+",IF('Data Source'!AA407&gt;=4,"A",IF('Data Source'!AA407&gt;=3.5,"A-",IF('Data Source'!AA407&gt;=3,"B",IF('Data Source'!AA407&gt;=2,"C",IF('Data Source'!AA407&gt;=1,"D","F")))))),"")</f>
        <v/>
      </c>
      <c r="J407" s="3">
        <f>IF(AND('Data Source'!B407&lt;&gt;"",'Data Source'!S407="F"),IF('Data Source'!AB407&gt;=5,"A+",IF('Data Source'!AB407&gt;=4,"A",IF('Data Source'!AB407&gt;=3.5,"A-",IF('Data Source'!AB407&gt;=3,"B",IF('Data Source'!AB407&gt;=2,"C",IF('Data Source'!AB407&gt;=1,"D","F")))))),"")</f>
        <v/>
      </c>
      <c r="K407" s="3">
        <f>IF(AND('Data Source'!B407&lt;&gt;"",'Data Source'!S407="F"),IF('Data Source'!AC407&gt;=5,"A+",IF('Data Source'!AC407&gt;=4,"A",IF('Data Source'!AC407&gt;=3.5,"A-",IF('Data Source'!AC407&gt;=3,"B",IF('Data Source'!AC407&gt;=2,"C",IF('Data Source'!AC407&gt;=1,"D","F")))))),"")</f>
        <v/>
      </c>
      <c r="L407" s="3">
        <f>IF(AND('Data Source'!B407&lt;&gt;"",'Data Source'!S407="F"),IF('Data Source'!AD407&gt;=5,"A+",IF('Data Source'!AD407&gt;=4,"A",IF('Data Source'!AD407&gt;=3.5,"A-",IF('Data Source'!AD407&gt;=3,"B",IF('Data Source'!AD407&gt;=2,"C",IF('Data Source'!AD407&gt;=1,"D","F")))))),"")</f>
        <v/>
      </c>
      <c r="M407" s="3">
        <f>IF(AND('Data Source'!B407&lt;&gt;"",'Data Source'!S407="F"),IF('Data Source'!AE407&gt;=5,"A+",IF('Data Source'!AE407&gt;=4,"A",IF('Data Source'!AE407&gt;=3.5,"A-",IF('Data Source'!AE407&gt;=3,"B",IF('Data Source'!AE407&gt;=2,"C",IF('Data Source'!AE407&gt;=1,"D","F")))))),"")</f>
        <v/>
      </c>
      <c r="N407" s="3">
        <f>IF(AND('Data Source'!B407&lt;&gt;"",'Data Source'!S407="F"),IF('Data Source'!AF407&gt;=5,"A+",IF('Data Source'!AF407&gt;=4,"A",IF('Data Source'!AF407&gt;=3.5,"A-",IF('Data Source'!AF407&gt;=3,"B",IF('Data Source'!AF407&gt;=2,"C",IF('Data Source'!AF407&gt;=1,"D","F")))))),"")</f>
        <v/>
      </c>
      <c r="O407" s="3">
        <f>IF(AND('Data Source'!B407&lt;&gt;"",'Data Source'!S407="F"),IF('Data Source'!AG407&gt;=5,"A+",IF('Data Source'!AG407&gt;=4,"A",IF('Data Source'!AG407&gt;=3.5,"A-",IF('Data Source'!AG407&gt;=3,"B",IF('Data Source'!AG407&gt;=2,"C",IF('Data Source'!AG407&gt;=1,"D","F")))))),"")</f>
        <v/>
      </c>
      <c r="P407" s="5">
        <f>IF(AND('Data Source'!B407&lt;&gt;"",'Data Source'!S407="F"),'Data Source'!R407,"")</f>
        <v/>
      </c>
      <c r="Q407" s="3">
        <f>IF(AND('Data Source'!B407&lt;&gt;"",'Data Source'!S407="F"),'Data Source'!S407,"")</f>
        <v/>
      </c>
    </row>
    <row r="408">
      <c r="A408" s="3">
        <f>IF(AND('Data Source'!B408&lt;&gt;"",'Data Source'!S408="F"),COUNTIF('Data Source'!$S$3:S408,"F"),"")</f>
        <v/>
      </c>
      <c r="B408">
        <f>IF(AND('Data Source'!B408&lt;&gt;"",'Data Source'!S408="F"),'Data Source'!B408,"")</f>
        <v/>
      </c>
      <c r="C408" s="3">
        <f>IF(AND('Data Source'!B408&lt;&gt;"",'Data Source'!S408="F"),IF('Data Source'!U408&gt;=5,"A+",IF('Data Source'!U408&gt;=4,"A",IF('Data Source'!U408&gt;=3.5,"A-",IF('Data Source'!U408&gt;=3,"B",IF('Data Source'!U408&gt;=2,"C",IF('Data Source'!U408&gt;=1,"D","F")))))),"")</f>
        <v/>
      </c>
      <c r="D408" s="3">
        <f>IF(AND('Data Source'!B408&lt;&gt;"",'Data Source'!S408="F"),IF('Data Source'!V408&gt;=5,"A+",IF('Data Source'!V408&gt;=4,"A",IF('Data Source'!V408&gt;=3.5,"A-",IF('Data Source'!V408&gt;=3,"B",IF('Data Source'!V408&gt;=2,"C",IF('Data Source'!V408&gt;=1,"D","F")))))),"")</f>
        <v/>
      </c>
      <c r="E408" s="3">
        <f>IF(AND('Data Source'!B408&lt;&gt;"",'Data Source'!S408="F"),IF('Data Source'!W408&gt;=5,"A+",IF('Data Source'!W408&gt;=4,"A",IF('Data Source'!W408&gt;=3.5,"A-",IF('Data Source'!W408&gt;=3,"B",IF('Data Source'!W408&gt;=2,"C",IF('Data Source'!W408&gt;=1,"D","F")))))),"")</f>
        <v/>
      </c>
      <c r="F408" s="3">
        <f>IF(AND('Data Source'!B408&lt;&gt;"",'Data Source'!S408="F"),IF('Data Source'!X408&gt;=5,"A+",IF('Data Source'!X408&gt;=4,"A",IF('Data Source'!X408&gt;=3.5,"A-",IF('Data Source'!X408&gt;=3,"B",IF('Data Source'!X408&gt;=2,"C",IF('Data Source'!X408&gt;=1,"D","F")))))),"")</f>
        <v/>
      </c>
      <c r="G408" s="3">
        <f>IF(AND('Data Source'!B408&lt;&gt;"",'Data Source'!S408="F"),IF('Data Source'!Y408&gt;=5,"A+",IF('Data Source'!Y408&gt;=4,"A",IF('Data Source'!Y408&gt;=3.5,"A-",IF('Data Source'!Y408&gt;=3,"B",IF('Data Source'!Y408&gt;=2,"C",IF('Data Source'!Y408&gt;=1,"D","F")))))),"")</f>
        <v/>
      </c>
      <c r="H408" s="3">
        <f>IF(AND('Data Source'!B408&lt;&gt;"",'Data Source'!S408="F"),IF('Data Source'!Z408&gt;=5,"A+",IF('Data Source'!Z408&gt;=4,"A",IF('Data Source'!Z408&gt;=3.5,"A-",IF('Data Source'!Z408&gt;=3,"B",IF('Data Source'!Z408&gt;=2,"C",IF('Data Source'!Z408&gt;=1,"D","F")))))),"")</f>
        <v/>
      </c>
      <c r="I408" s="3">
        <f>IF(AND('Data Source'!B408&lt;&gt;"",'Data Source'!S408="F"),IF('Data Source'!AA408&gt;=5,"A+",IF('Data Source'!AA408&gt;=4,"A",IF('Data Source'!AA408&gt;=3.5,"A-",IF('Data Source'!AA408&gt;=3,"B",IF('Data Source'!AA408&gt;=2,"C",IF('Data Source'!AA408&gt;=1,"D","F")))))),"")</f>
        <v/>
      </c>
      <c r="J408" s="3">
        <f>IF(AND('Data Source'!B408&lt;&gt;"",'Data Source'!S408="F"),IF('Data Source'!AB408&gt;=5,"A+",IF('Data Source'!AB408&gt;=4,"A",IF('Data Source'!AB408&gt;=3.5,"A-",IF('Data Source'!AB408&gt;=3,"B",IF('Data Source'!AB408&gt;=2,"C",IF('Data Source'!AB408&gt;=1,"D","F")))))),"")</f>
        <v/>
      </c>
      <c r="K408" s="3">
        <f>IF(AND('Data Source'!B408&lt;&gt;"",'Data Source'!S408="F"),IF('Data Source'!AC408&gt;=5,"A+",IF('Data Source'!AC408&gt;=4,"A",IF('Data Source'!AC408&gt;=3.5,"A-",IF('Data Source'!AC408&gt;=3,"B",IF('Data Source'!AC408&gt;=2,"C",IF('Data Source'!AC408&gt;=1,"D","F")))))),"")</f>
        <v/>
      </c>
      <c r="L408" s="3">
        <f>IF(AND('Data Source'!B408&lt;&gt;"",'Data Source'!S408="F"),IF('Data Source'!AD408&gt;=5,"A+",IF('Data Source'!AD408&gt;=4,"A",IF('Data Source'!AD408&gt;=3.5,"A-",IF('Data Source'!AD408&gt;=3,"B",IF('Data Source'!AD408&gt;=2,"C",IF('Data Source'!AD408&gt;=1,"D","F")))))),"")</f>
        <v/>
      </c>
      <c r="M408" s="3">
        <f>IF(AND('Data Source'!B408&lt;&gt;"",'Data Source'!S408="F"),IF('Data Source'!AE408&gt;=5,"A+",IF('Data Source'!AE408&gt;=4,"A",IF('Data Source'!AE408&gt;=3.5,"A-",IF('Data Source'!AE408&gt;=3,"B",IF('Data Source'!AE408&gt;=2,"C",IF('Data Source'!AE408&gt;=1,"D","F")))))),"")</f>
        <v/>
      </c>
      <c r="N408" s="3">
        <f>IF(AND('Data Source'!B408&lt;&gt;"",'Data Source'!S408="F"),IF('Data Source'!AF408&gt;=5,"A+",IF('Data Source'!AF408&gt;=4,"A",IF('Data Source'!AF408&gt;=3.5,"A-",IF('Data Source'!AF408&gt;=3,"B",IF('Data Source'!AF408&gt;=2,"C",IF('Data Source'!AF408&gt;=1,"D","F")))))),"")</f>
        <v/>
      </c>
      <c r="O408" s="3">
        <f>IF(AND('Data Source'!B408&lt;&gt;"",'Data Source'!S408="F"),IF('Data Source'!AG408&gt;=5,"A+",IF('Data Source'!AG408&gt;=4,"A",IF('Data Source'!AG408&gt;=3.5,"A-",IF('Data Source'!AG408&gt;=3,"B",IF('Data Source'!AG408&gt;=2,"C",IF('Data Source'!AG408&gt;=1,"D","F")))))),"")</f>
        <v/>
      </c>
      <c r="P408" s="5">
        <f>IF(AND('Data Source'!B408&lt;&gt;"",'Data Source'!S408="F"),'Data Source'!R408,"")</f>
        <v/>
      </c>
      <c r="Q408" s="3">
        <f>IF(AND('Data Source'!B408&lt;&gt;"",'Data Source'!S408="F"),'Data Source'!S408,"")</f>
        <v/>
      </c>
    </row>
    <row r="409">
      <c r="A409" s="3">
        <f>IF(AND('Data Source'!B409&lt;&gt;"",'Data Source'!S409="F"),COUNTIF('Data Source'!$S$3:S409,"F"),"")</f>
        <v/>
      </c>
      <c r="B409">
        <f>IF(AND('Data Source'!B409&lt;&gt;"",'Data Source'!S409="F"),'Data Source'!B409,"")</f>
        <v/>
      </c>
      <c r="C409" s="3">
        <f>IF(AND('Data Source'!B409&lt;&gt;"",'Data Source'!S409="F"),IF('Data Source'!U409&gt;=5,"A+",IF('Data Source'!U409&gt;=4,"A",IF('Data Source'!U409&gt;=3.5,"A-",IF('Data Source'!U409&gt;=3,"B",IF('Data Source'!U409&gt;=2,"C",IF('Data Source'!U409&gt;=1,"D","F")))))),"")</f>
        <v/>
      </c>
      <c r="D409" s="3">
        <f>IF(AND('Data Source'!B409&lt;&gt;"",'Data Source'!S409="F"),IF('Data Source'!V409&gt;=5,"A+",IF('Data Source'!V409&gt;=4,"A",IF('Data Source'!V409&gt;=3.5,"A-",IF('Data Source'!V409&gt;=3,"B",IF('Data Source'!V409&gt;=2,"C",IF('Data Source'!V409&gt;=1,"D","F")))))),"")</f>
        <v/>
      </c>
      <c r="E409" s="3">
        <f>IF(AND('Data Source'!B409&lt;&gt;"",'Data Source'!S409="F"),IF('Data Source'!W409&gt;=5,"A+",IF('Data Source'!W409&gt;=4,"A",IF('Data Source'!W409&gt;=3.5,"A-",IF('Data Source'!W409&gt;=3,"B",IF('Data Source'!W409&gt;=2,"C",IF('Data Source'!W409&gt;=1,"D","F")))))),"")</f>
        <v/>
      </c>
      <c r="F409" s="3">
        <f>IF(AND('Data Source'!B409&lt;&gt;"",'Data Source'!S409="F"),IF('Data Source'!X409&gt;=5,"A+",IF('Data Source'!X409&gt;=4,"A",IF('Data Source'!X409&gt;=3.5,"A-",IF('Data Source'!X409&gt;=3,"B",IF('Data Source'!X409&gt;=2,"C",IF('Data Source'!X409&gt;=1,"D","F")))))),"")</f>
        <v/>
      </c>
      <c r="G409" s="3">
        <f>IF(AND('Data Source'!B409&lt;&gt;"",'Data Source'!S409="F"),IF('Data Source'!Y409&gt;=5,"A+",IF('Data Source'!Y409&gt;=4,"A",IF('Data Source'!Y409&gt;=3.5,"A-",IF('Data Source'!Y409&gt;=3,"B",IF('Data Source'!Y409&gt;=2,"C",IF('Data Source'!Y409&gt;=1,"D","F")))))),"")</f>
        <v/>
      </c>
      <c r="H409" s="3">
        <f>IF(AND('Data Source'!B409&lt;&gt;"",'Data Source'!S409="F"),IF('Data Source'!Z409&gt;=5,"A+",IF('Data Source'!Z409&gt;=4,"A",IF('Data Source'!Z409&gt;=3.5,"A-",IF('Data Source'!Z409&gt;=3,"B",IF('Data Source'!Z409&gt;=2,"C",IF('Data Source'!Z409&gt;=1,"D","F")))))),"")</f>
        <v/>
      </c>
      <c r="I409" s="3">
        <f>IF(AND('Data Source'!B409&lt;&gt;"",'Data Source'!S409="F"),IF('Data Source'!AA409&gt;=5,"A+",IF('Data Source'!AA409&gt;=4,"A",IF('Data Source'!AA409&gt;=3.5,"A-",IF('Data Source'!AA409&gt;=3,"B",IF('Data Source'!AA409&gt;=2,"C",IF('Data Source'!AA409&gt;=1,"D","F")))))),"")</f>
        <v/>
      </c>
      <c r="J409" s="3">
        <f>IF(AND('Data Source'!B409&lt;&gt;"",'Data Source'!S409="F"),IF('Data Source'!AB409&gt;=5,"A+",IF('Data Source'!AB409&gt;=4,"A",IF('Data Source'!AB409&gt;=3.5,"A-",IF('Data Source'!AB409&gt;=3,"B",IF('Data Source'!AB409&gt;=2,"C",IF('Data Source'!AB409&gt;=1,"D","F")))))),"")</f>
        <v/>
      </c>
      <c r="K409" s="3">
        <f>IF(AND('Data Source'!B409&lt;&gt;"",'Data Source'!S409="F"),IF('Data Source'!AC409&gt;=5,"A+",IF('Data Source'!AC409&gt;=4,"A",IF('Data Source'!AC409&gt;=3.5,"A-",IF('Data Source'!AC409&gt;=3,"B",IF('Data Source'!AC409&gt;=2,"C",IF('Data Source'!AC409&gt;=1,"D","F")))))),"")</f>
        <v/>
      </c>
      <c r="L409" s="3">
        <f>IF(AND('Data Source'!B409&lt;&gt;"",'Data Source'!S409="F"),IF('Data Source'!AD409&gt;=5,"A+",IF('Data Source'!AD409&gt;=4,"A",IF('Data Source'!AD409&gt;=3.5,"A-",IF('Data Source'!AD409&gt;=3,"B",IF('Data Source'!AD409&gt;=2,"C",IF('Data Source'!AD409&gt;=1,"D","F")))))),"")</f>
        <v/>
      </c>
      <c r="M409" s="3">
        <f>IF(AND('Data Source'!B409&lt;&gt;"",'Data Source'!S409="F"),IF('Data Source'!AE409&gt;=5,"A+",IF('Data Source'!AE409&gt;=4,"A",IF('Data Source'!AE409&gt;=3.5,"A-",IF('Data Source'!AE409&gt;=3,"B",IF('Data Source'!AE409&gt;=2,"C",IF('Data Source'!AE409&gt;=1,"D","F")))))),"")</f>
        <v/>
      </c>
      <c r="N409" s="3">
        <f>IF(AND('Data Source'!B409&lt;&gt;"",'Data Source'!S409="F"),IF('Data Source'!AF409&gt;=5,"A+",IF('Data Source'!AF409&gt;=4,"A",IF('Data Source'!AF409&gt;=3.5,"A-",IF('Data Source'!AF409&gt;=3,"B",IF('Data Source'!AF409&gt;=2,"C",IF('Data Source'!AF409&gt;=1,"D","F")))))),"")</f>
        <v/>
      </c>
      <c r="O409" s="3">
        <f>IF(AND('Data Source'!B409&lt;&gt;"",'Data Source'!S409="F"),IF('Data Source'!AG409&gt;=5,"A+",IF('Data Source'!AG409&gt;=4,"A",IF('Data Source'!AG409&gt;=3.5,"A-",IF('Data Source'!AG409&gt;=3,"B",IF('Data Source'!AG409&gt;=2,"C",IF('Data Source'!AG409&gt;=1,"D","F")))))),"")</f>
        <v/>
      </c>
      <c r="P409" s="5">
        <f>IF(AND('Data Source'!B409&lt;&gt;"",'Data Source'!S409="F"),'Data Source'!R409,"")</f>
        <v/>
      </c>
      <c r="Q409" s="3">
        <f>IF(AND('Data Source'!B409&lt;&gt;"",'Data Source'!S409="F"),'Data Source'!S409,"")</f>
        <v/>
      </c>
    </row>
    <row r="410">
      <c r="A410" s="3">
        <f>IF(AND('Data Source'!B410&lt;&gt;"",'Data Source'!S410="F"),COUNTIF('Data Source'!$S$3:S410,"F"),"")</f>
        <v/>
      </c>
      <c r="B410">
        <f>IF(AND('Data Source'!B410&lt;&gt;"",'Data Source'!S410="F"),'Data Source'!B410,"")</f>
        <v/>
      </c>
      <c r="C410" s="3">
        <f>IF(AND('Data Source'!B410&lt;&gt;"",'Data Source'!S410="F"),IF('Data Source'!U410&gt;=5,"A+",IF('Data Source'!U410&gt;=4,"A",IF('Data Source'!U410&gt;=3.5,"A-",IF('Data Source'!U410&gt;=3,"B",IF('Data Source'!U410&gt;=2,"C",IF('Data Source'!U410&gt;=1,"D","F")))))),"")</f>
        <v/>
      </c>
      <c r="D410" s="3">
        <f>IF(AND('Data Source'!B410&lt;&gt;"",'Data Source'!S410="F"),IF('Data Source'!V410&gt;=5,"A+",IF('Data Source'!V410&gt;=4,"A",IF('Data Source'!V410&gt;=3.5,"A-",IF('Data Source'!V410&gt;=3,"B",IF('Data Source'!V410&gt;=2,"C",IF('Data Source'!V410&gt;=1,"D","F")))))),"")</f>
        <v/>
      </c>
      <c r="E410" s="3">
        <f>IF(AND('Data Source'!B410&lt;&gt;"",'Data Source'!S410="F"),IF('Data Source'!W410&gt;=5,"A+",IF('Data Source'!W410&gt;=4,"A",IF('Data Source'!W410&gt;=3.5,"A-",IF('Data Source'!W410&gt;=3,"B",IF('Data Source'!W410&gt;=2,"C",IF('Data Source'!W410&gt;=1,"D","F")))))),"")</f>
        <v/>
      </c>
      <c r="F410" s="3">
        <f>IF(AND('Data Source'!B410&lt;&gt;"",'Data Source'!S410="F"),IF('Data Source'!X410&gt;=5,"A+",IF('Data Source'!X410&gt;=4,"A",IF('Data Source'!X410&gt;=3.5,"A-",IF('Data Source'!X410&gt;=3,"B",IF('Data Source'!X410&gt;=2,"C",IF('Data Source'!X410&gt;=1,"D","F")))))),"")</f>
        <v/>
      </c>
      <c r="G410" s="3">
        <f>IF(AND('Data Source'!B410&lt;&gt;"",'Data Source'!S410="F"),IF('Data Source'!Y410&gt;=5,"A+",IF('Data Source'!Y410&gt;=4,"A",IF('Data Source'!Y410&gt;=3.5,"A-",IF('Data Source'!Y410&gt;=3,"B",IF('Data Source'!Y410&gt;=2,"C",IF('Data Source'!Y410&gt;=1,"D","F")))))),"")</f>
        <v/>
      </c>
      <c r="H410" s="3">
        <f>IF(AND('Data Source'!B410&lt;&gt;"",'Data Source'!S410="F"),IF('Data Source'!Z410&gt;=5,"A+",IF('Data Source'!Z410&gt;=4,"A",IF('Data Source'!Z410&gt;=3.5,"A-",IF('Data Source'!Z410&gt;=3,"B",IF('Data Source'!Z410&gt;=2,"C",IF('Data Source'!Z410&gt;=1,"D","F")))))),"")</f>
        <v/>
      </c>
      <c r="I410" s="3">
        <f>IF(AND('Data Source'!B410&lt;&gt;"",'Data Source'!S410="F"),IF('Data Source'!AA410&gt;=5,"A+",IF('Data Source'!AA410&gt;=4,"A",IF('Data Source'!AA410&gt;=3.5,"A-",IF('Data Source'!AA410&gt;=3,"B",IF('Data Source'!AA410&gt;=2,"C",IF('Data Source'!AA410&gt;=1,"D","F")))))),"")</f>
        <v/>
      </c>
      <c r="J410" s="3">
        <f>IF(AND('Data Source'!B410&lt;&gt;"",'Data Source'!S410="F"),IF('Data Source'!AB410&gt;=5,"A+",IF('Data Source'!AB410&gt;=4,"A",IF('Data Source'!AB410&gt;=3.5,"A-",IF('Data Source'!AB410&gt;=3,"B",IF('Data Source'!AB410&gt;=2,"C",IF('Data Source'!AB410&gt;=1,"D","F")))))),"")</f>
        <v/>
      </c>
      <c r="K410" s="3">
        <f>IF(AND('Data Source'!B410&lt;&gt;"",'Data Source'!S410="F"),IF('Data Source'!AC410&gt;=5,"A+",IF('Data Source'!AC410&gt;=4,"A",IF('Data Source'!AC410&gt;=3.5,"A-",IF('Data Source'!AC410&gt;=3,"B",IF('Data Source'!AC410&gt;=2,"C",IF('Data Source'!AC410&gt;=1,"D","F")))))),"")</f>
        <v/>
      </c>
      <c r="L410" s="3">
        <f>IF(AND('Data Source'!B410&lt;&gt;"",'Data Source'!S410="F"),IF('Data Source'!AD410&gt;=5,"A+",IF('Data Source'!AD410&gt;=4,"A",IF('Data Source'!AD410&gt;=3.5,"A-",IF('Data Source'!AD410&gt;=3,"B",IF('Data Source'!AD410&gt;=2,"C",IF('Data Source'!AD410&gt;=1,"D","F")))))),"")</f>
        <v/>
      </c>
      <c r="M410" s="3">
        <f>IF(AND('Data Source'!B410&lt;&gt;"",'Data Source'!S410="F"),IF('Data Source'!AE410&gt;=5,"A+",IF('Data Source'!AE410&gt;=4,"A",IF('Data Source'!AE410&gt;=3.5,"A-",IF('Data Source'!AE410&gt;=3,"B",IF('Data Source'!AE410&gt;=2,"C",IF('Data Source'!AE410&gt;=1,"D","F")))))),"")</f>
        <v/>
      </c>
      <c r="N410" s="3">
        <f>IF(AND('Data Source'!B410&lt;&gt;"",'Data Source'!S410="F"),IF('Data Source'!AF410&gt;=5,"A+",IF('Data Source'!AF410&gt;=4,"A",IF('Data Source'!AF410&gt;=3.5,"A-",IF('Data Source'!AF410&gt;=3,"B",IF('Data Source'!AF410&gt;=2,"C",IF('Data Source'!AF410&gt;=1,"D","F")))))),"")</f>
        <v/>
      </c>
      <c r="O410" s="3">
        <f>IF(AND('Data Source'!B410&lt;&gt;"",'Data Source'!S410="F"),IF('Data Source'!AG410&gt;=5,"A+",IF('Data Source'!AG410&gt;=4,"A",IF('Data Source'!AG410&gt;=3.5,"A-",IF('Data Source'!AG410&gt;=3,"B",IF('Data Source'!AG410&gt;=2,"C",IF('Data Source'!AG410&gt;=1,"D","F")))))),"")</f>
        <v/>
      </c>
      <c r="P410" s="5">
        <f>IF(AND('Data Source'!B410&lt;&gt;"",'Data Source'!S410="F"),'Data Source'!R410,"")</f>
        <v/>
      </c>
      <c r="Q410" s="3">
        <f>IF(AND('Data Source'!B410&lt;&gt;"",'Data Source'!S410="F"),'Data Source'!S410,"")</f>
        <v/>
      </c>
    </row>
    <row r="411">
      <c r="A411" s="3">
        <f>IF(AND('Data Source'!B411&lt;&gt;"",'Data Source'!S411="F"),COUNTIF('Data Source'!$S$3:S411,"F"),"")</f>
        <v/>
      </c>
      <c r="B411">
        <f>IF(AND('Data Source'!B411&lt;&gt;"",'Data Source'!S411="F"),'Data Source'!B411,"")</f>
        <v/>
      </c>
      <c r="C411" s="3">
        <f>IF(AND('Data Source'!B411&lt;&gt;"",'Data Source'!S411="F"),IF('Data Source'!U411&gt;=5,"A+",IF('Data Source'!U411&gt;=4,"A",IF('Data Source'!U411&gt;=3.5,"A-",IF('Data Source'!U411&gt;=3,"B",IF('Data Source'!U411&gt;=2,"C",IF('Data Source'!U411&gt;=1,"D","F")))))),"")</f>
        <v/>
      </c>
      <c r="D411" s="3">
        <f>IF(AND('Data Source'!B411&lt;&gt;"",'Data Source'!S411="F"),IF('Data Source'!V411&gt;=5,"A+",IF('Data Source'!V411&gt;=4,"A",IF('Data Source'!V411&gt;=3.5,"A-",IF('Data Source'!V411&gt;=3,"B",IF('Data Source'!V411&gt;=2,"C",IF('Data Source'!V411&gt;=1,"D","F")))))),"")</f>
        <v/>
      </c>
      <c r="E411" s="3">
        <f>IF(AND('Data Source'!B411&lt;&gt;"",'Data Source'!S411="F"),IF('Data Source'!W411&gt;=5,"A+",IF('Data Source'!W411&gt;=4,"A",IF('Data Source'!W411&gt;=3.5,"A-",IF('Data Source'!W411&gt;=3,"B",IF('Data Source'!W411&gt;=2,"C",IF('Data Source'!W411&gt;=1,"D","F")))))),"")</f>
        <v/>
      </c>
      <c r="F411" s="3">
        <f>IF(AND('Data Source'!B411&lt;&gt;"",'Data Source'!S411="F"),IF('Data Source'!X411&gt;=5,"A+",IF('Data Source'!X411&gt;=4,"A",IF('Data Source'!X411&gt;=3.5,"A-",IF('Data Source'!X411&gt;=3,"B",IF('Data Source'!X411&gt;=2,"C",IF('Data Source'!X411&gt;=1,"D","F")))))),"")</f>
        <v/>
      </c>
      <c r="G411" s="3">
        <f>IF(AND('Data Source'!B411&lt;&gt;"",'Data Source'!S411="F"),IF('Data Source'!Y411&gt;=5,"A+",IF('Data Source'!Y411&gt;=4,"A",IF('Data Source'!Y411&gt;=3.5,"A-",IF('Data Source'!Y411&gt;=3,"B",IF('Data Source'!Y411&gt;=2,"C",IF('Data Source'!Y411&gt;=1,"D","F")))))),"")</f>
        <v/>
      </c>
      <c r="H411" s="3">
        <f>IF(AND('Data Source'!B411&lt;&gt;"",'Data Source'!S411="F"),IF('Data Source'!Z411&gt;=5,"A+",IF('Data Source'!Z411&gt;=4,"A",IF('Data Source'!Z411&gt;=3.5,"A-",IF('Data Source'!Z411&gt;=3,"B",IF('Data Source'!Z411&gt;=2,"C",IF('Data Source'!Z411&gt;=1,"D","F")))))),"")</f>
        <v/>
      </c>
      <c r="I411" s="3">
        <f>IF(AND('Data Source'!B411&lt;&gt;"",'Data Source'!S411="F"),IF('Data Source'!AA411&gt;=5,"A+",IF('Data Source'!AA411&gt;=4,"A",IF('Data Source'!AA411&gt;=3.5,"A-",IF('Data Source'!AA411&gt;=3,"B",IF('Data Source'!AA411&gt;=2,"C",IF('Data Source'!AA411&gt;=1,"D","F")))))),"")</f>
        <v/>
      </c>
      <c r="J411" s="3">
        <f>IF(AND('Data Source'!B411&lt;&gt;"",'Data Source'!S411="F"),IF('Data Source'!AB411&gt;=5,"A+",IF('Data Source'!AB411&gt;=4,"A",IF('Data Source'!AB411&gt;=3.5,"A-",IF('Data Source'!AB411&gt;=3,"B",IF('Data Source'!AB411&gt;=2,"C",IF('Data Source'!AB411&gt;=1,"D","F")))))),"")</f>
        <v/>
      </c>
      <c r="K411" s="3">
        <f>IF(AND('Data Source'!B411&lt;&gt;"",'Data Source'!S411="F"),IF('Data Source'!AC411&gt;=5,"A+",IF('Data Source'!AC411&gt;=4,"A",IF('Data Source'!AC411&gt;=3.5,"A-",IF('Data Source'!AC411&gt;=3,"B",IF('Data Source'!AC411&gt;=2,"C",IF('Data Source'!AC411&gt;=1,"D","F")))))),"")</f>
        <v/>
      </c>
      <c r="L411" s="3">
        <f>IF(AND('Data Source'!B411&lt;&gt;"",'Data Source'!S411="F"),IF('Data Source'!AD411&gt;=5,"A+",IF('Data Source'!AD411&gt;=4,"A",IF('Data Source'!AD411&gt;=3.5,"A-",IF('Data Source'!AD411&gt;=3,"B",IF('Data Source'!AD411&gt;=2,"C",IF('Data Source'!AD411&gt;=1,"D","F")))))),"")</f>
        <v/>
      </c>
      <c r="M411" s="3">
        <f>IF(AND('Data Source'!B411&lt;&gt;"",'Data Source'!S411="F"),IF('Data Source'!AE411&gt;=5,"A+",IF('Data Source'!AE411&gt;=4,"A",IF('Data Source'!AE411&gt;=3.5,"A-",IF('Data Source'!AE411&gt;=3,"B",IF('Data Source'!AE411&gt;=2,"C",IF('Data Source'!AE411&gt;=1,"D","F")))))),"")</f>
        <v/>
      </c>
      <c r="N411" s="3">
        <f>IF(AND('Data Source'!B411&lt;&gt;"",'Data Source'!S411="F"),IF('Data Source'!AF411&gt;=5,"A+",IF('Data Source'!AF411&gt;=4,"A",IF('Data Source'!AF411&gt;=3.5,"A-",IF('Data Source'!AF411&gt;=3,"B",IF('Data Source'!AF411&gt;=2,"C",IF('Data Source'!AF411&gt;=1,"D","F")))))),"")</f>
        <v/>
      </c>
      <c r="O411" s="3">
        <f>IF(AND('Data Source'!B411&lt;&gt;"",'Data Source'!S411="F"),IF('Data Source'!AG411&gt;=5,"A+",IF('Data Source'!AG411&gt;=4,"A",IF('Data Source'!AG411&gt;=3.5,"A-",IF('Data Source'!AG411&gt;=3,"B",IF('Data Source'!AG411&gt;=2,"C",IF('Data Source'!AG411&gt;=1,"D","F")))))),"")</f>
        <v/>
      </c>
      <c r="P411" s="5">
        <f>IF(AND('Data Source'!B411&lt;&gt;"",'Data Source'!S411="F"),'Data Source'!R411,"")</f>
        <v/>
      </c>
      <c r="Q411" s="3">
        <f>IF(AND('Data Source'!B411&lt;&gt;"",'Data Source'!S411="F"),'Data Source'!S411,"")</f>
        <v/>
      </c>
    </row>
    <row r="412">
      <c r="A412" s="3">
        <f>IF(AND('Data Source'!B412&lt;&gt;"",'Data Source'!S412="F"),COUNTIF('Data Source'!$S$3:S412,"F"),"")</f>
        <v/>
      </c>
      <c r="B412">
        <f>IF(AND('Data Source'!B412&lt;&gt;"",'Data Source'!S412="F"),'Data Source'!B412,"")</f>
        <v/>
      </c>
      <c r="C412" s="3">
        <f>IF(AND('Data Source'!B412&lt;&gt;"",'Data Source'!S412="F"),IF('Data Source'!U412&gt;=5,"A+",IF('Data Source'!U412&gt;=4,"A",IF('Data Source'!U412&gt;=3.5,"A-",IF('Data Source'!U412&gt;=3,"B",IF('Data Source'!U412&gt;=2,"C",IF('Data Source'!U412&gt;=1,"D","F")))))),"")</f>
        <v/>
      </c>
      <c r="D412" s="3">
        <f>IF(AND('Data Source'!B412&lt;&gt;"",'Data Source'!S412="F"),IF('Data Source'!V412&gt;=5,"A+",IF('Data Source'!V412&gt;=4,"A",IF('Data Source'!V412&gt;=3.5,"A-",IF('Data Source'!V412&gt;=3,"B",IF('Data Source'!V412&gt;=2,"C",IF('Data Source'!V412&gt;=1,"D","F")))))),"")</f>
        <v/>
      </c>
      <c r="E412" s="3">
        <f>IF(AND('Data Source'!B412&lt;&gt;"",'Data Source'!S412="F"),IF('Data Source'!W412&gt;=5,"A+",IF('Data Source'!W412&gt;=4,"A",IF('Data Source'!W412&gt;=3.5,"A-",IF('Data Source'!W412&gt;=3,"B",IF('Data Source'!W412&gt;=2,"C",IF('Data Source'!W412&gt;=1,"D","F")))))),"")</f>
        <v/>
      </c>
      <c r="F412" s="3">
        <f>IF(AND('Data Source'!B412&lt;&gt;"",'Data Source'!S412="F"),IF('Data Source'!X412&gt;=5,"A+",IF('Data Source'!X412&gt;=4,"A",IF('Data Source'!X412&gt;=3.5,"A-",IF('Data Source'!X412&gt;=3,"B",IF('Data Source'!X412&gt;=2,"C",IF('Data Source'!X412&gt;=1,"D","F")))))),"")</f>
        <v/>
      </c>
      <c r="G412" s="3">
        <f>IF(AND('Data Source'!B412&lt;&gt;"",'Data Source'!S412="F"),IF('Data Source'!Y412&gt;=5,"A+",IF('Data Source'!Y412&gt;=4,"A",IF('Data Source'!Y412&gt;=3.5,"A-",IF('Data Source'!Y412&gt;=3,"B",IF('Data Source'!Y412&gt;=2,"C",IF('Data Source'!Y412&gt;=1,"D","F")))))),"")</f>
        <v/>
      </c>
      <c r="H412" s="3">
        <f>IF(AND('Data Source'!B412&lt;&gt;"",'Data Source'!S412="F"),IF('Data Source'!Z412&gt;=5,"A+",IF('Data Source'!Z412&gt;=4,"A",IF('Data Source'!Z412&gt;=3.5,"A-",IF('Data Source'!Z412&gt;=3,"B",IF('Data Source'!Z412&gt;=2,"C",IF('Data Source'!Z412&gt;=1,"D","F")))))),"")</f>
        <v/>
      </c>
      <c r="I412" s="3">
        <f>IF(AND('Data Source'!B412&lt;&gt;"",'Data Source'!S412="F"),IF('Data Source'!AA412&gt;=5,"A+",IF('Data Source'!AA412&gt;=4,"A",IF('Data Source'!AA412&gt;=3.5,"A-",IF('Data Source'!AA412&gt;=3,"B",IF('Data Source'!AA412&gt;=2,"C",IF('Data Source'!AA412&gt;=1,"D","F")))))),"")</f>
        <v/>
      </c>
      <c r="J412" s="3">
        <f>IF(AND('Data Source'!B412&lt;&gt;"",'Data Source'!S412="F"),IF('Data Source'!AB412&gt;=5,"A+",IF('Data Source'!AB412&gt;=4,"A",IF('Data Source'!AB412&gt;=3.5,"A-",IF('Data Source'!AB412&gt;=3,"B",IF('Data Source'!AB412&gt;=2,"C",IF('Data Source'!AB412&gt;=1,"D","F")))))),"")</f>
        <v/>
      </c>
      <c r="K412" s="3">
        <f>IF(AND('Data Source'!B412&lt;&gt;"",'Data Source'!S412="F"),IF('Data Source'!AC412&gt;=5,"A+",IF('Data Source'!AC412&gt;=4,"A",IF('Data Source'!AC412&gt;=3.5,"A-",IF('Data Source'!AC412&gt;=3,"B",IF('Data Source'!AC412&gt;=2,"C",IF('Data Source'!AC412&gt;=1,"D","F")))))),"")</f>
        <v/>
      </c>
      <c r="L412" s="3">
        <f>IF(AND('Data Source'!B412&lt;&gt;"",'Data Source'!S412="F"),IF('Data Source'!AD412&gt;=5,"A+",IF('Data Source'!AD412&gt;=4,"A",IF('Data Source'!AD412&gt;=3.5,"A-",IF('Data Source'!AD412&gt;=3,"B",IF('Data Source'!AD412&gt;=2,"C",IF('Data Source'!AD412&gt;=1,"D","F")))))),"")</f>
        <v/>
      </c>
      <c r="M412" s="3">
        <f>IF(AND('Data Source'!B412&lt;&gt;"",'Data Source'!S412="F"),IF('Data Source'!AE412&gt;=5,"A+",IF('Data Source'!AE412&gt;=4,"A",IF('Data Source'!AE412&gt;=3.5,"A-",IF('Data Source'!AE412&gt;=3,"B",IF('Data Source'!AE412&gt;=2,"C",IF('Data Source'!AE412&gt;=1,"D","F")))))),"")</f>
        <v/>
      </c>
      <c r="N412" s="3">
        <f>IF(AND('Data Source'!B412&lt;&gt;"",'Data Source'!S412="F"),IF('Data Source'!AF412&gt;=5,"A+",IF('Data Source'!AF412&gt;=4,"A",IF('Data Source'!AF412&gt;=3.5,"A-",IF('Data Source'!AF412&gt;=3,"B",IF('Data Source'!AF412&gt;=2,"C",IF('Data Source'!AF412&gt;=1,"D","F")))))),"")</f>
        <v/>
      </c>
      <c r="O412" s="3">
        <f>IF(AND('Data Source'!B412&lt;&gt;"",'Data Source'!S412="F"),IF('Data Source'!AG412&gt;=5,"A+",IF('Data Source'!AG412&gt;=4,"A",IF('Data Source'!AG412&gt;=3.5,"A-",IF('Data Source'!AG412&gt;=3,"B",IF('Data Source'!AG412&gt;=2,"C",IF('Data Source'!AG412&gt;=1,"D","F")))))),"")</f>
        <v/>
      </c>
      <c r="P412" s="5">
        <f>IF(AND('Data Source'!B412&lt;&gt;"",'Data Source'!S412="F"),'Data Source'!R412,"")</f>
        <v/>
      </c>
      <c r="Q412" s="3">
        <f>IF(AND('Data Source'!B412&lt;&gt;"",'Data Source'!S412="F"),'Data Source'!S412,"")</f>
        <v/>
      </c>
    </row>
    <row r="413">
      <c r="A413" s="3">
        <f>IF(AND('Data Source'!B413&lt;&gt;"",'Data Source'!S413="F"),COUNTIF('Data Source'!$S$3:S413,"F"),"")</f>
        <v/>
      </c>
      <c r="B413">
        <f>IF(AND('Data Source'!B413&lt;&gt;"",'Data Source'!S413="F"),'Data Source'!B413,"")</f>
        <v/>
      </c>
      <c r="C413" s="3">
        <f>IF(AND('Data Source'!B413&lt;&gt;"",'Data Source'!S413="F"),IF('Data Source'!U413&gt;=5,"A+",IF('Data Source'!U413&gt;=4,"A",IF('Data Source'!U413&gt;=3.5,"A-",IF('Data Source'!U413&gt;=3,"B",IF('Data Source'!U413&gt;=2,"C",IF('Data Source'!U413&gt;=1,"D","F")))))),"")</f>
        <v/>
      </c>
      <c r="D413" s="3">
        <f>IF(AND('Data Source'!B413&lt;&gt;"",'Data Source'!S413="F"),IF('Data Source'!V413&gt;=5,"A+",IF('Data Source'!V413&gt;=4,"A",IF('Data Source'!V413&gt;=3.5,"A-",IF('Data Source'!V413&gt;=3,"B",IF('Data Source'!V413&gt;=2,"C",IF('Data Source'!V413&gt;=1,"D","F")))))),"")</f>
        <v/>
      </c>
      <c r="E413" s="3">
        <f>IF(AND('Data Source'!B413&lt;&gt;"",'Data Source'!S413="F"),IF('Data Source'!W413&gt;=5,"A+",IF('Data Source'!W413&gt;=4,"A",IF('Data Source'!W413&gt;=3.5,"A-",IF('Data Source'!W413&gt;=3,"B",IF('Data Source'!W413&gt;=2,"C",IF('Data Source'!W413&gt;=1,"D","F")))))),"")</f>
        <v/>
      </c>
      <c r="F413" s="3">
        <f>IF(AND('Data Source'!B413&lt;&gt;"",'Data Source'!S413="F"),IF('Data Source'!X413&gt;=5,"A+",IF('Data Source'!X413&gt;=4,"A",IF('Data Source'!X413&gt;=3.5,"A-",IF('Data Source'!X413&gt;=3,"B",IF('Data Source'!X413&gt;=2,"C",IF('Data Source'!X413&gt;=1,"D","F")))))),"")</f>
        <v/>
      </c>
      <c r="G413" s="3">
        <f>IF(AND('Data Source'!B413&lt;&gt;"",'Data Source'!S413="F"),IF('Data Source'!Y413&gt;=5,"A+",IF('Data Source'!Y413&gt;=4,"A",IF('Data Source'!Y413&gt;=3.5,"A-",IF('Data Source'!Y413&gt;=3,"B",IF('Data Source'!Y413&gt;=2,"C",IF('Data Source'!Y413&gt;=1,"D","F")))))),"")</f>
        <v/>
      </c>
      <c r="H413" s="3">
        <f>IF(AND('Data Source'!B413&lt;&gt;"",'Data Source'!S413="F"),IF('Data Source'!Z413&gt;=5,"A+",IF('Data Source'!Z413&gt;=4,"A",IF('Data Source'!Z413&gt;=3.5,"A-",IF('Data Source'!Z413&gt;=3,"B",IF('Data Source'!Z413&gt;=2,"C",IF('Data Source'!Z413&gt;=1,"D","F")))))),"")</f>
        <v/>
      </c>
      <c r="I413" s="3">
        <f>IF(AND('Data Source'!B413&lt;&gt;"",'Data Source'!S413="F"),IF('Data Source'!AA413&gt;=5,"A+",IF('Data Source'!AA413&gt;=4,"A",IF('Data Source'!AA413&gt;=3.5,"A-",IF('Data Source'!AA413&gt;=3,"B",IF('Data Source'!AA413&gt;=2,"C",IF('Data Source'!AA413&gt;=1,"D","F")))))),"")</f>
        <v/>
      </c>
      <c r="J413" s="3">
        <f>IF(AND('Data Source'!B413&lt;&gt;"",'Data Source'!S413="F"),IF('Data Source'!AB413&gt;=5,"A+",IF('Data Source'!AB413&gt;=4,"A",IF('Data Source'!AB413&gt;=3.5,"A-",IF('Data Source'!AB413&gt;=3,"B",IF('Data Source'!AB413&gt;=2,"C",IF('Data Source'!AB413&gt;=1,"D","F")))))),"")</f>
        <v/>
      </c>
      <c r="K413" s="3">
        <f>IF(AND('Data Source'!B413&lt;&gt;"",'Data Source'!S413="F"),IF('Data Source'!AC413&gt;=5,"A+",IF('Data Source'!AC413&gt;=4,"A",IF('Data Source'!AC413&gt;=3.5,"A-",IF('Data Source'!AC413&gt;=3,"B",IF('Data Source'!AC413&gt;=2,"C",IF('Data Source'!AC413&gt;=1,"D","F")))))),"")</f>
        <v/>
      </c>
      <c r="L413" s="3">
        <f>IF(AND('Data Source'!B413&lt;&gt;"",'Data Source'!S413="F"),IF('Data Source'!AD413&gt;=5,"A+",IF('Data Source'!AD413&gt;=4,"A",IF('Data Source'!AD413&gt;=3.5,"A-",IF('Data Source'!AD413&gt;=3,"B",IF('Data Source'!AD413&gt;=2,"C",IF('Data Source'!AD413&gt;=1,"D","F")))))),"")</f>
        <v/>
      </c>
      <c r="M413" s="3">
        <f>IF(AND('Data Source'!B413&lt;&gt;"",'Data Source'!S413="F"),IF('Data Source'!AE413&gt;=5,"A+",IF('Data Source'!AE413&gt;=4,"A",IF('Data Source'!AE413&gt;=3.5,"A-",IF('Data Source'!AE413&gt;=3,"B",IF('Data Source'!AE413&gt;=2,"C",IF('Data Source'!AE413&gt;=1,"D","F")))))),"")</f>
        <v/>
      </c>
      <c r="N413" s="3">
        <f>IF(AND('Data Source'!B413&lt;&gt;"",'Data Source'!S413="F"),IF('Data Source'!AF413&gt;=5,"A+",IF('Data Source'!AF413&gt;=4,"A",IF('Data Source'!AF413&gt;=3.5,"A-",IF('Data Source'!AF413&gt;=3,"B",IF('Data Source'!AF413&gt;=2,"C",IF('Data Source'!AF413&gt;=1,"D","F")))))),"")</f>
        <v/>
      </c>
      <c r="O413" s="3">
        <f>IF(AND('Data Source'!B413&lt;&gt;"",'Data Source'!S413="F"),IF('Data Source'!AG413&gt;=5,"A+",IF('Data Source'!AG413&gt;=4,"A",IF('Data Source'!AG413&gt;=3.5,"A-",IF('Data Source'!AG413&gt;=3,"B",IF('Data Source'!AG413&gt;=2,"C",IF('Data Source'!AG413&gt;=1,"D","F")))))),"")</f>
        <v/>
      </c>
      <c r="P413" s="5">
        <f>IF(AND('Data Source'!B413&lt;&gt;"",'Data Source'!S413="F"),'Data Source'!R413,"")</f>
        <v/>
      </c>
      <c r="Q413" s="3">
        <f>IF(AND('Data Source'!B413&lt;&gt;"",'Data Source'!S413="F"),'Data Source'!S413,"")</f>
        <v/>
      </c>
    </row>
    <row r="414">
      <c r="A414" s="3">
        <f>IF(AND('Data Source'!B414&lt;&gt;"",'Data Source'!S414="F"),COUNTIF('Data Source'!$S$3:S414,"F"),"")</f>
        <v/>
      </c>
      <c r="B414">
        <f>IF(AND('Data Source'!B414&lt;&gt;"",'Data Source'!S414="F"),'Data Source'!B414,"")</f>
        <v/>
      </c>
      <c r="C414" s="3">
        <f>IF(AND('Data Source'!B414&lt;&gt;"",'Data Source'!S414="F"),IF('Data Source'!U414&gt;=5,"A+",IF('Data Source'!U414&gt;=4,"A",IF('Data Source'!U414&gt;=3.5,"A-",IF('Data Source'!U414&gt;=3,"B",IF('Data Source'!U414&gt;=2,"C",IF('Data Source'!U414&gt;=1,"D","F")))))),"")</f>
        <v/>
      </c>
      <c r="D414" s="3">
        <f>IF(AND('Data Source'!B414&lt;&gt;"",'Data Source'!S414="F"),IF('Data Source'!V414&gt;=5,"A+",IF('Data Source'!V414&gt;=4,"A",IF('Data Source'!V414&gt;=3.5,"A-",IF('Data Source'!V414&gt;=3,"B",IF('Data Source'!V414&gt;=2,"C",IF('Data Source'!V414&gt;=1,"D","F")))))),"")</f>
        <v/>
      </c>
      <c r="E414" s="3">
        <f>IF(AND('Data Source'!B414&lt;&gt;"",'Data Source'!S414="F"),IF('Data Source'!W414&gt;=5,"A+",IF('Data Source'!W414&gt;=4,"A",IF('Data Source'!W414&gt;=3.5,"A-",IF('Data Source'!W414&gt;=3,"B",IF('Data Source'!W414&gt;=2,"C",IF('Data Source'!W414&gt;=1,"D","F")))))),"")</f>
        <v/>
      </c>
      <c r="F414" s="3">
        <f>IF(AND('Data Source'!B414&lt;&gt;"",'Data Source'!S414="F"),IF('Data Source'!X414&gt;=5,"A+",IF('Data Source'!X414&gt;=4,"A",IF('Data Source'!X414&gt;=3.5,"A-",IF('Data Source'!X414&gt;=3,"B",IF('Data Source'!X414&gt;=2,"C",IF('Data Source'!X414&gt;=1,"D","F")))))),"")</f>
        <v/>
      </c>
      <c r="G414" s="3">
        <f>IF(AND('Data Source'!B414&lt;&gt;"",'Data Source'!S414="F"),IF('Data Source'!Y414&gt;=5,"A+",IF('Data Source'!Y414&gt;=4,"A",IF('Data Source'!Y414&gt;=3.5,"A-",IF('Data Source'!Y414&gt;=3,"B",IF('Data Source'!Y414&gt;=2,"C",IF('Data Source'!Y414&gt;=1,"D","F")))))),"")</f>
        <v/>
      </c>
      <c r="H414" s="3">
        <f>IF(AND('Data Source'!B414&lt;&gt;"",'Data Source'!S414="F"),IF('Data Source'!Z414&gt;=5,"A+",IF('Data Source'!Z414&gt;=4,"A",IF('Data Source'!Z414&gt;=3.5,"A-",IF('Data Source'!Z414&gt;=3,"B",IF('Data Source'!Z414&gt;=2,"C",IF('Data Source'!Z414&gt;=1,"D","F")))))),"")</f>
        <v/>
      </c>
      <c r="I414" s="3">
        <f>IF(AND('Data Source'!B414&lt;&gt;"",'Data Source'!S414="F"),IF('Data Source'!AA414&gt;=5,"A+",IF('Data Source'!AA414&gt;=4,"A",IF('Data Source'!AA414&gt;=3.5,"A-",IF('Data Source'!AA414&gt;=3,"B",IF('Data Source'!AA414&gt;=2,"C",IF('Data Source'!AA414&gt;=1,"D","F")))))),"")</f>
        <v/>
      </c>
      <c r="J414" s="3">
        <f>IF(AND('Data Source'!B414&lt;&gt;"",'Data Source'!S414="F"),IF('Data Source'!AB414&gt;=5,"A+",IF('Data Source'!AB414&gt;=4,"A",IF('Data Source'!AB414&gt;=3.5,"A-",IF('Data Source'!AB414&gt;=3,"B",IF('Data Source'!AB414&gt;=2,"C",IF('Data Source'!AB414&gt;=1,"D","F")))))),"")</f>
        <v/>
      </c>
      <c r="K414" s="3">
        <f>IF(AND('Data Source'!B414&lt;&gt;"",'Data Source'!S414="F"),IF('Data Source'!AC414&gt;=5,"A+",IF('Data Source'!AC414&gt;=4,"A",IF('Data Source'!AC414&gt;=3.5,"A-",IF('Data Source'!AC414&gt;=3,"B",IF('Data Source'!AC414&gt;=2,"C",IF('Data Source'!AC414&gt;=1,"D","F")))))),"")</f>
        <v/>
      </c>
      <c r="L414" s="3">
        <f>IF(AND('Data Source'!B414&lt;&gt;"",'Data Source'!S414="F"),IF('Data Source'!AD414&gt;=5,"A+",IF('Data Source'!AD414&gt;=4,"A",IF('Data Source'!AD414&gt;=3.5,"A-",IF('Data Source'!AD414&gt;=3,"B",IF('Data Source'!AD414&gt;=2,"C",IF('Data Source'!AD414&gt;=1,"D","F")))))),"")</f>
        <v/>
      </c>
      <c r="M414" s="3">
        <f>IF(AND('Data Source'!B414&lt;&gt;"",'Data Source'!S414="F"),IF('Data Source'!AE414&gt;=5,"A+",IF('Data Source'!AE414&gt;=4,"A",IF('Data Source'!AE414&gt;=3.5,"A-",IF('Data Source'!AE414&gt;=3,"B",IF('Data Source'!AE414&gt;=2,"C",IF('Data Source'!AE414&gt;=1,"D","F")))))),"")</f>
        <v/>
      </c>
      <c r="N414" s="3">
        <f>IF(AND('Data Source'!B414&lt;&gt;"",'Data Source'!S414="F"),IF('Data Source'!AF414&gt;=5,"A+",IF('Data Source'!AF414&gt;=4,"A",IF('Data Source'!AF414&gt;=3.5,"A-",IF('Data Source'!AF414&gt;=3,"B",IF('Data Source'!AF414&gt;=2,"C",IF('Data Source'!AF414&gt;=1,"D","F")))))),"")</f>
        <v/>
      </c>
      <c r="O414" s="3">
        <f>IF(AND('Data Source'!B414&lt;&gt;"",'Data Source'!S414="F"),IF('Data Source'!AG414&gt;=5,"A+",IF('Data Source'!AG414&gt;=4,"A",IF('Data Source'!AG414&gt;=3.5,"A-",IF('Data Source'!AG414&gt;=3,"B",IF('Data Source'!AG414&gt;=2,"C",IF('Data Source'!AG414&gt;=1,"D","F")))))),"")</f>
        <v/>
      </c>
      <c r="P414" s="5">
        <f>IF(AND('Data Source'!B414&lt;&gt;"",'Data Source'!S414="F"),'Data Source'!R414,"")</f>
        <v/>
      </c>
      <c r="Q414" s="3">
        <f>IF(AND('Data Source'!B414&lt;&gt;"",'Data Source'!S414="F"),'Data Source'!S414,"")</f>
        <v/>
      </c>
    </row>
    <row r="415">
      <c r="A415" s="3">
        <f>IF(AND('Data Source'!B415&lt;&gt;"",'Data Source'!S415="F"),COUNTIF('Data Source'!$S$3:S415,"F"),"")</f>
        <v/>
      </c>
      <c r="B415">
        <f>IF(AND('Data Source'!B415&lt;&gt;"",'Data Source'!S415="F"),'Data Source'!B415,"")</f>
        <v/>
      </c>
      <c r="C415" s="3">
        <f>IF(AND('Data Source'!B415&lt;&gt;"",'Data Source'!S415="F"),IF('Data Source'!U415&gt;=5,"A+",IF('Data Source'!U415&gt;=4,"A",IF('Data Source'!U415&gt;=3.5,"A-",IF('Data Source'!U415&gt;=3,"B",IF('Data Source'!U415&gt;=2,"C",IF('Data Source'!U415&gt;=1,"D","F")))))),"")</f>
        <v/>
      </c>
      <c r="D415" s="3">
        <f>IF(AND('Data Source'!B415&lt;&gt;"",'Data Source'!S415="F"),IF('Data Source'!V415&gt;=5,"A+",IF('Data Source'!V415&gt;=4,"A",IF('Data Source'!V415&gt;=3.5,"A-",IF('Data Source'!V415&gt;=3,"B",IF('Data Source'!V415&gt;=2,"C",IF('Data Source'!V415&gt;=1,"D","F")))))),"")</f>
        <v/>
      </c>
      <c r="E415" s="3">
        <f>IF(AND('Data Source'!B415&lt;&gt;"",'Data Source'!S415="F"),IF('Data Source'!W415&gt;=5,"A+",IF('Data Source'!W415&gt;=4,"A",IF('Data Source'!W415&gt;=3.5,"A-",IF('Data Source'!W415&gt;=3,"B",IF('Data Source'!W415&gt;=2,"C",IF('Data Source'!W415&gt;=1,"D","F")))))),"")</f>
        <v/>
      </c>
      <c r="F415" s="3">
        <f>IF(AND('Data Source'!B415&lt;&gt;"",'Data Source'!S415="F"),IF('Data Source'!X415&gt;=5,"A+",IF('Data Source'!X415&gt;=4,"A",IF('Data Source'!X415&gt;=3.5,"A-",IF('Data Source'!X415&gt;=3,"B",IF('Data Source'!X415&gt;=2,"C",IF('Data Source'!X415&gt;=1,"D","F")))))),"")</f>
        <v/>
      </c>
      <c r="G415" s="3">
        <f>IF(AND('Data Source'!B415&lt;&gt;"",'Data Source'!S415="F"),IF('Data Source'!Y415&gt;=5,"A+",IF('Data Source'!Y415&gt;=4,"A",IF('Data Source'!Y415&gt;=3.5,"A-",IF('Data Source'!Y415&gt;=3,"B",IF('Data Source'!Y415&gt;=2,"C",IF('Data Source'!Y415&gt;=1,"D","F")))))),"")</f>
        <v/>
      </c>
      <c r="H415" s="3">
        <f>IF(AND('Data Source'!B415&lt;&gt;"",'Data Source'!S415="F"),IF('Data Source'!Z415&gt;=5,"A+",IF('Data Source'!Z415&gt;=4,"A",IF('Data Source'!Z415&gt;=3.5,"A-",IF('Data Source'!Z415&gt;=3,"B",IF('Data Source'!Z415&gt;=2,"C",IF('Data Source'!Z415&gt;=1,"D","F")))))),"")</f>
        <v/>
      </c>
      <c r="I415" s="3">
        <f>IF(AND('Data Source'!B415&lt;&gt;"",'Data Source'!S415="F"),IF('Data Source'!AA415&gt;=5,"A+",IF('Data Source'!AA415&gt;=4,"A",IF('Data Source'!AA415&gt;=3.5,"A-",IF('Data Source'!AA415&gt;=3,"B",IF('Data Source'!AA415&gt;=2,"C",IF('Data Source'!AA415&gt;=1,"D","F")))))),"")</f>
        <v/>
      </c>
      <c r="J415" s="3">
        <f>IF(AND('Data Source'!B415&lt;&gt;"",'Data Source'!S415="F"),IF('Data Source'!AB415&gt;=5,"A+",IF('Data Source'!AB415&gt;=4,"A",IF('Data Source'!AB415&gt;=3.5,"A-",IF('Data Source'!AB415&gt;=3,"B",IF('Data Source'!AB415&gt;=2,"C",IF('Data Source'!AB415&gt;=1,"D","F")))))),"")</f>
        <v/>
      </c>
      <c r="K415" s="3">
        <f>IF(AND('Data Source'!B415&lt;&gt;"",'Data Source'!S415="F"),IF('Data Source'!AC415&gt;=5,"A+",IF('Data Source'!AC415&gt;=4,"A",IF('Data Source'!AC415&gt;=3.5,"A-",IF('Data Source'!AC415&gt;=3,"B",IF('Data Source'!AC415&gt;=2,"C",IF('Data Source'!AC415&gt;=1,"D","F")))))),"")</f>
        <v/>
      </c>
      <c r="L415" s="3">
        <f>IF(AND('Data Source'!B415&lt;&gt;"",'Data Source'!S415="F"),IF('Data Source'!AD415&gt;=5,"A+",IF('Data Source'!AD415&gt;=4,"A",IF('Data Source'!AD415&gt;=3.5,"A-",IF('Data Source'!AD415&gt;=3,"B",IF('Data Source'!AD415&gt;=2,"C",IF('Data Source'!AD415&gt;=1,"D","F")))))),"")</f>
        <v/>
      </c>
      <c r="M415" s="3">
        <f>IF(AND('Data Source'!B415&lt;&gt;"",'Data Source'!S415="F"),IF('Data Source'!AE415&gt;=5,"A+",IF('Data Source'!AE415&gt;=4,"A",IF('Data Source'!AE415&gt;=3.5,"A-",IF('Data Source'!AE415&gt;=3,"B",IF('Data Source'!AE415&gt;=2,"C",IF('Data Source'!AE415&gt;=1,"D","F")))))),"")</f>
        <v/>
      </c>
      <c r="N415" s="3">
        <f>IF(AND('Data Source'!B415&lt;&gt;"",'Data Source'!S415="F"),IF('Data Source'!AF415&gt;=5,"A+",IF('Data Source'!AF415&gt;=4,"A",IF('Data Source'!AF415&gt;=3.5,"A-",IF('Data Source'!AF415&gt;=3,"B",IF('Data Source'!AF415&gt;=2,"C",IF('Data Source'!AF415&gt;=1,"D","F")))))),"")</f>
        <v/>
      </c>
      <c r="O415" s="3">
        <f>IF(AND('Data Source'!B415&lt;&gt;"",'Data Source'!S415="F"),IF('Data Source'!AG415&gt;=5,"A+",IF('Data Source'!AG415&gt;=4,"A",IF('Data Source'!AG415&gt;=3.5,"A-",IF('Data Source'!AG415&gt;=3,"B",IF('Data Source'!AG415&gt;=2,"C",IF('Data Source'!AG415&gt;=1,"D","F")))))),"")</f>
        <v/>
      </c>
      <c r="P415" s="5">
        <f>IF(AND('Data Source'!B415&lt;&gt;"",'Data Source'!S415="F"),'Data Source'!R415,"")</f>
        <v/>
      </c>
      <c r="Q415" s="3">
        <f>IF(AND('Data Source'!B415&lt;&gt;"",'Data Source'!S415="F"),'Data Source'!S415,"")</f>
        <v/>
      </c>
    </row>
    <row r="416">
      <c r="A416" s="3">
        <f>IF(AND('Data Source'!B416&lt;&gt;"",'Data Source'!S416="F"),COUNTIF('Data Source'!$S$3:S416,"F"),"")</f>
        <v/>
      </c>
      <c r="B416">
        <f>IF(AND('Data Source'!B416&lt;&gt;"",'Data Source'!S416="F"),'Data Source'!B416,"")</f>
        <v/>
      </c>
      <c r="C416" s="3">
        <f>IF(AND('Data Source'!B416&lt;&gt;"",'Data Source'!S416="F"),IF('Data Source'!U416&gt;=5,"A+",IF('Data Source'!U416&gt;=4,"A",IF('Data Source'!U416&gt;=3.5,"A-",IF('Data Source'!U416&gt;=3,"B",IF('Data Source'!U416&gt;=2,"C",IF('Data Source'!U416&gt;=1,"D","F")))))),"")</f>
        <v/>
      </c>
      <c r="D416" s="3">
        <f>IF(AND('Data Source'!B416&lt;&gt;"",'Data Source'!S416="F"),IF('Data Source'!V416&gt;=5,"A+",IF('Data Source'!V416&gt;=4,"A",IF('Data Source'!V416&gt;=3.5,"A-",IF('Data Source'!V416&gt;=3,"B",IF('Data Source'!V416&gt;=2,"C",IF('Data Source'!V416&gt;=1,"D","F")))))),"")</f>
        <v/>
      </c>
      <c r="E416" s="3">
        <f>IF(AND('Data Source'!B416&lt;&gt;"",'Data Source'!S416="F"),IF('Data Source'!W416&gt;=5,"A+",IF('Data Source'!W416&gt;=4,"A",IF('Data Source'!W416&gt;=3.5,"A-",IF('Data Source'!W416&gt;=3,"B",IF('Data Source'!W416&gt;=2,"C",IF('Data Source'!W416&gt;=1,"D","F")))))),"")</f>
        <v/>
      </c>
      <c r="F416" s="3">
        <f>IF(AND('Data Source'!B416&lt;&gt;"",'Data Source'!S416="F"),IF('Data Source'!X416&gt;=5,"A+",IF('Data Source'!X416&gt;=4,"A",IF('Data Source'!X416&gt;=3.5,"A-",IF('Data Source'!X416&gt;=3,"B",IF('Data Source'!X416&gt;=2,"C",IF('Data Source'!X416&gt;=1,"D","F")))))),"")</f>
        <v/>
      </c>
      <c r="G416" s="3">
        <f>IF(AND('Data Source'!B416&lt;&gt;"",'Data Source'!S416="F"),IF('Data Source'!Y416&gt;=5,"A+",IF('Data Source'!Y416&gt;=4,"A",IF('Data Source'!Y416&gt;=3.5,"A-",IF('Data Source'!Y416&gt;=3,"B",IF('Data Source'!Y416&gt;=2,"C",IF('Data Source'!Y416&gt;=1,"D","F")))))),"")</f>
        <v/>
      </c>
      <c r="H416" s="3">
        <f>IF(AND('Data Source'!B416&lt;&gt;"",'Data Source'!S416="F"),IF('Data Source'!Z416&gt;=5,"A+",IF('Data Source'!Z416&gt;=4,"A",IF('Data Source'!Z416&gt;=3.5,"A-",IF('Data Source'!Z416&gt;=3,"B",IF('Data Source'!Z416&gt;=2,"C",IF('Data Source'!Z416&gt;=1,"D","F")))))),"")</f>
        <v/>
      </c>
      <c r="I416" s="3">
        <f>IF(AND('Data Source'!B416&lt;&gt;"",'Data Source'!S416="F"),IF('Data Source'!AA416&gt;=5,"A+",IF('Data Source'!AA416&gt;=4,"A",IF('Data Source'!AA416&gt;=3.5,"A-",IF('Data Source'!AA416&gt;=3,"B",IF('Data Source'!AA416&gt;=2,"C",IF('Data Source'!AA416&gt;=1,"D","F")))))),"")</f>
        <v/>
      </c>
      <c r="J416" s="3">
        <f>IF(AND('Data Source'!B416&lt;&gt;"",'Data Source'!S416="F"),IF('Data Source'!AB416&gt;=5,"A+",IF('Data Source'!AB416&gt;=4,"A",IF('Data Source'!AB416&gt;=3.5,"A-",IF('Data Source'!AB416&gt;=3,"B",IF('Data Source'!AB416&gt;=2,"C",IF('Data Source'!AB416&gt;=1,"D","F")))))),"")</f>
        <v/>
      </c>
      <c r="K416" s="3">
        <f>IF(AND('Data Source'!B416&lt;&gt;"",'Data Source'!S416="F"),IF('Data Source'!AC416&gt;=5,"A+",IF('Data Source'!AC416&gt;=4,"A",IF('Data Source'!AC416&gt;=3.5,"A-",IF('Data Source'!AC416&gt;=3,"B",IF('Data Source'!AC416&gt;=2,"C",IF('Data Source'!AC416&gt;=1,"D","F")))))),"")</f>
        <v/>
      </c>
      <c r="L416" s="3">
        <f>IF(AND('Data Source'!B416&lt;&gt;"",'Data Source'!S416="F"),IF('Data Source'!AD416&gt;=5,"A+",IF('Data Source'!AD416&gt;=4,"A",IF('Data Source'!AD416&gt;=3.5,"A-",IF('Data Source'!AD416&gt;=3,"B",IF('Data Source'!AD416&gt;=2,"C",IF('Data Source'!AD416&gt;=1,"D","F")))))),"")</f>
        <v/>
      </c>
      <c r="M416" s="3">
        <f>IF(AND('Data Source'!B416&lt;&gt;"",'Data Source'!S416="F"),IF('Data Source'!AE416&gt;=5,"A+",IF('Data Source'!AE416&gt;=4,"A",IF('Data Source'!AE416&gt;=3.5,"A-",IF('Data Source'!AE416&gt;=3,"B",IF('Data Source'!AE416&gt;=2,"C",IF('Data Source'!AE416&gt;=1,"D","F")))))),"")</f>
        <v/>
      </c>
      <c r="N416" s="3">
        <f>IF(AND('Data Source'!B416&lt;&gt;"",'Data Source'!S416="F"),IF('Data Source'!AF416&gt;=5,"A+",IF('Data Source'!AF416&gt;=4,"A",IF('Data Source'!AF416&gt;=3.5,"A-",IF('Data Source'!AF416&gt;=3,"B",IF('Data Source'!AF416&gt;=2,"C",IF('Data Source'!AF416&gt;=1,"D","F")))))),"")</f>
        <v/>
      </c>
      <c r="O416" s="3">
        <f>IF(AND('Data Source'!B416&lt;&gt;"",'Data Source'!S416="F"),IF('Data Source'!AG416&gt;=5,"A+",IF('Data Source'!AG416&gt;=4,"A",IF('Data Source'!AG416&gt;=3.5,"A-",IF('Data Source'!AG416&gt;=3,"B",IF('Data Source'!AG416&gt;=2,"C",IF('Data Source'!AG416&gt;=1,"D","F")))))),"")</f>
        <v/>
      </c>
      <c r="P416" s="5">
        <f>IF(AND('Data Source'!B416&lt;&gt;"",'Data Source'!S416="F"),'Data Source'!R416,"")</f>
        <v/>
      </c>
      <c r="Q416" s="3">
        <f>IF(AND('Data Source'!B416&lt;&gt;"",'Data Source'!S416="F"),'Data Source'!S416,"")</f>
        <v/>
      </c>
    </row>
    <row r="417">
      <c r="A417" s="3">
        <f>IF(AND('Data Source'!B417&lt;&gt;"",'Data Source'!S417="F"),COUNTIF('Data Source'!$S$3:S417,"F"),"")</f>
        <v/>
      </c>
      <c r="B417">
        <f>IF(AND('Data Source'!B417&lt;&gt;"",'Data Source'!S417="F"),'Data Source'!B417,"")</f>
        <v/>
      </c>
      <c r="C417" s="3">
        <f>IF(AND('Data Source'!B417&lt;&gt;"",'Data Source'!S417="F"),IF('Data Source'!U417&gt;=5,"A+",IF('Data Source'!U417&gt;=4,"A",IF('Data Source'!U417&gt;=3.5,"A-",IF('Data Source'!U417&gt;=3,"B",IF('Data Source'!U417&gt;=2,"C",IF('Data Source'!U417&gt;=1,"D","F")))))),"")</f>
        <v/>
      </c>
      <c r="D417" s="3">
        <f>IF(AND('Data Source'!B417&lt;&gt;"",'Data Source'!S417="F"),IF('Data Source'!V417&gt;=5,"A+",IF('Data Source'!V417&gt;=4,"A",IF('Data Source'!V417&gt;=3.5,"A-",IF('Data Source'!V417&gt;=3,"B",IF('Data Source'!V417&gt;=2,"C",IF('Data Source'!V417&gt;=1,"D","F")))))),"")</f>
        <v/>
      </c>
      <c r="E417" s="3">
        <f>IF(AND('Data Source'!B417&lt;&gt;"",'Data Source'!S417="F"),IF('Data Source'!W417&gt;=5,"A+",IF('Data Source'!W417&gt;=4,"A",IF('Data Source'!W417&gt;=3.5,"A-",IF('Data Source'!W417&gt;=3,"B",IF('Data Source'!W417&gt;=2,"C",IF('Data Source'!W417&gt;=1,"D","F")))))),"")</f>
        <v/>
      </c>
      <c r="F417" s="3">
        <f>IF(AND('Data Source'!B417&lt;&gt;"",'Data Source'!S417="F"),IF('Data Source'!X417&gt;=5,"A+",IF('Data Source'!X417&gt;=4,"A",IF('Data Source'!X417&gt;=3.5,"A-",IF('Data Source'!X417&gt;=3,"B",IF('Data Source'!X417&gt;=2,"C",IF('Data Source'!X417&gt;=1,"D","F")))))),"")</f>
        <v/>
      </c>
      <c r="G417" s="3">
        <f>IF(AND('Data Source'!B417&lt;&gt;"",'Data Source'!S417="F"),IF('Data Source'!Y417&gt;=5,"A+",IF('Data Source'!Y417&gt;=4,"A",IF('Data Source'!Y417&gt;=3.5,"A-",IF('Data Source'!Y417&gt;=3,"B",IF('Data Source'!Y417&gt;=2,"C",IF('Data Source'!Y417&gt;=1,"D","F")))))),"")</f>
        <v/>
      </c>
      <c r="H417" s="3">
        <f>IF(AND('Data Source'!B417&lt;&gt;"",'Data Source'!S417="F"),IF('Data Source'!Z417&gt;=5,"A+",IF('Data Source'!Z417&gt;=4,"A",IF('Data Source'!Z417&gt;=3.5,"A-",IF('Data Source'!Z417&gt;=3,"B",IF('Data Source'!Z417&gt;=2,"C",IF('Data Source'!Z417&gt;=1,"D","F")))))),"")</f>
        <v/>
      </c>
      <c r="I417" s="3">
        <f>IF(AND('Data Source'!B417&lt;&gt;"",'Data Source'!S417="F"),IF('Data Source'!AA417&gt;=5,"A+",IF('Data Source'!AA417&gt;=4,"A",IF('Data Source'!AA417&gt;=3.5,"A-",IF('Data Source'!AA417&gt;=3,"B",IF('Data Source'!AA417&gt;=2,"C",IF('Data Source'!AA417&gt;=1,"D","F")))))),"")</f>
        <v/>
      </c>
      <c r="J417" s="3">
        <f>IF(AND('Data Source'!B417&lt;&gt;"",'Data Source'!S417="F"),IF('Data Source'!AB417&gt;=5,"A+",IF('Data Source'!AB417&gt;=4,"A",IF('Data Source'!AB417&gt;=3.5,"A-",IF('Data Source'!AB417&gt;=3,"B",IF('Data Source'!AB417&gt;=2,"C",IF('Data Source'!AB417&gt;=1,"D","F")))))),"")</f>
        <v/>
      </c>
      <c r="K417" s="3">
        <f>IF(AND('Data Source'!B417&lt;&gt;"",'Data Source'!S417="F"),IF('Data Source'!AC417&gt;=5,"A+",IF('Data Source'!AC417&gt;=4,"A",IF('Data Source'!AC417&gt;=3.5,"A-",IF('Data Source'!AC417&gt;=3,"B",IF('Data Source'!AC417&gt;=2,"C",IF('Data Source'!AC417&gt;=1,"D","F")))))),"")</f>
        <v/>
      </c>
      <c r="L417" s="3">
        <f>IF(AND('Data Source'!B417&lt;&gt;"",'Data Source'!S417="F"),IF('Data Source'!AD417&gt;=5,"A+",IF('Data Source'!AD417&gt;=4,"A",IF('Data Source'!AD417&gt;=3.5,"A-",IF('Data Source'!AD417&gt;=3,"B",IF('Data Source'!AD417&gt;=2,"C",IF('Data Source'!AD417&gt;=1,"D","F")))))),"")</f>
        <v/>
      </c>
      <c r="M417" s="3">
        <f>IF(AND('Data Source'!B417&lt;&gt;"",'Data Source'!S417="F"),IF('Data Source'!AE417&gt;=5,"A+",IF('Data Source'!AE417&gt;=4,"A",IF('Data Source'!AE417&gt;=3.5,"A-",IF('Data Source'!AE417&gt;=3,"B",IF('Data Source'!AE417&gt;=2,"C",IF('Data Source'!AE417&gt;=1,"D","F")))))),"")</f>
        <v/>
      </c>
      <c r="N417" s="3">
        <f>IF(AND('Data Source'!B417&lt;&gt;"",'Data Source'!S417="F"),IF('Data Source'!AF417&gt;=5,"A+",IF('Data Source'!AF417&gt;=4,"A",IF('Data Source'!AF417&gt;=3.5,"A-",IF('Data Source'!AF417&gt;=3,"B",IF('Data Source'!AF417&gt;=2,"C",IF('Data Source'!AF417&gt;=1,"D","F")))))),"")</f>
        <v/>
      </c>
      <c r="O417" s="3">
        <f>IF(AND('Data Source'!B417&lt;&gt;"",'Data Source'!S417="F"),IF('Data Source'!AG417&gt;=5,"A+",IF('Data Source'!AG417&gt;=4,"A",IF('Data Source'!AG417&gt;=3.5,"A-",IF('Data Source'!AG417&gt;=3,"B",IF('Data Source'!AG417&gt;=2,"C",IF('Data Source'!AG417&gt;=1,"D","F")))))),"")</f>
        <v/>
      </c>
      <c r="P417" s="5">
        <f>IF(AND('Data Source'!B417&lt;&gt;"",'Data Source'!S417="F"),'Data Source'!R417,"")</f>
        <v/>
      </c>
      <c r="Q417" s="3">
        <f>IF(AND('Data Source'!B417&lt;&gt;"",'Data Source'!S417="F"),'Data Source'!S417,"")</f>
        <v/>
      </c>
    </row>
    <row r="418">
      <c r="A418" s="3">
        <f>IF(AND('Data Source'!B418&lt;&gt;"",'Data Source'!S418="F"),COUNTIF('Data Source'!$S$3:S418,"F"),"")</f>
        <v/>
      </c>
      <c r="B418">
        <f>IF(AND('Data Source'!B418&lt;&gt;"",'Data Source'!S418="F"),'Data Source'!B418,"")</f>
        <v/>
      </c>
      <c r="C418" s="3">
        <f>IF(AND('Data Source'!B418&lt;&gt;"",'Data Source'!S418="F"),IF('Data Source'!U418&gt;=5,"A+",IF('Data Source'!U418&gt;=4,"A",IF('Data Source'!U418&gt;=3.5,"A-",IF('Data Source'!U418&gt;=3,"B",IF('Data Source'!U418&gt;=2,"C",IF('Data Source'!U418&gt;=1,"D","F")))))),"")</f>
        <v/>
      </c>
      <c r="D418" s="3">
        <f>IF(AND('Data Source'!B418&lt;&gt;"",'Data Source'!S418="F"),IF('Data Source'!V418&gt;=5,"A+",IF('Data Source'!V418&gt;=4,"A",IF('Data Source'!V418&gt;=3.5,"A-",IF('Data Source'!V418&gt;=3,"B",IF('Data Source'!V418&gt;=2,"C",IF('Data Source'!V418&gt;=1,"D","F")))))),"")</f>
        <v/>
      </c>
      <c r="E418" s="3">
        <f>IF(AND('Data Source'!B418&lt;&gt;"",'Data Source'!S418="F"),IF('Data Source'!W418&gt;=5,"A+",IF('Data Source'!W418&gt;=4,"A",IF('Data Source'!W418&gt;=3.5,"A-",IF('Data Source'!W418&gt;=3,"B",IF('Data Source'!W418&gt;=2,"C",IF('Data Source'!W418&gt;=1,"D","F")))))),"")</f>
        <v/>
      </c>
      <c r="F418" s="3">
        <f>IF(AND('Data Source'!B418&lt;&gt;"",'Data Source'!S418="F"),IF('Data Source'!X418&gt;=5,"A+",IF('Data Source'!X418&gt;=4,"A",IF('Data Source'!X418&gt;=3.5,"A-",IF('Data Source'!X418&gt;=3,"B",IF('Data Source'!X418&gt;=2,"C",IF('Data Source'!X418&gt;=1,"D","F")))))),"")</f>
        <v/>
      </c>
      <c r="G418" s="3">
        <f>IF(AND('Data Source'!B418&lt;&gt;"",'Data Source'!S418="F"),IF('Data Source'!Y418&gt;=5,"A+",IF('Data Source'!Y418&gt;=4,"A",IF('Data Source'!Y418&gt;=3.5,"A-",IF('Data Source'!Y418&gt;=3,"B",IF('Data Source'!Y418&gt;=2,"C",IF('Data Source'!Y418&gt;=1,"D","F")))))),"")</f>
        <v/>
      </c>
      <c r="H418" s="3">
        <f>IF(AND('Data Source'!B418&lt;&gt;"",'Data Source'!S418="F"),IF('Data Source'!Z418&gt;=5,"A+",IF('Data Source'!Z418&gt;=4,"A",IF('Data Source'!Z418&gt;=3.5,"A-",IF('Data Source'!Z418&gt;=3,"B",IF('Data Source'!Z418&gt;=2,"C",IF('Data Source'!Z418&gt;=1,"D","F")))))),"")</f>
        <v/>
      </c>
      <c r="I418" s="3">
        <f>IF(AND('Data Source'!B418&lt;&gt;"",'Data Source'!S418="F"),IF('Data Source'!AA418&gt;=5,"A+",IF('Data Source'!AA418&gt;=4,"A",IF('Data Source'!AA418&gt;=3.5,"A-",IF('Data Source'!AA418&gt;=3,"B",IF('Data Source'!AA418&gt;=2,"C",IF('Data Source'!AA418&gt;=1,"D","F")))))),"")</f>
        <v/>
      </c>
      <c r="J418" s="3">
        <f>IF(AND('Data Source'!B418&lt;&gt;"",'Data Source'!S418="F"),IF('Data Source'!AB418&gt;=5,"A+",IF('Data Source'!AB418&gt;=4,"A",IF('Data Source'!AB418&gt;=3.5,"A-",IF('Data Source'!AB418&gt;=3,"B",IF('Data Source'!AB418&gt;=2,"C",IF('Data Source'!AB418&gt;=1,"D","F")))))),"")</f>
        <v/>
      </c>
      <c r="K418" s="3">
        <f>IF(AND('Data Source'!B418&lt;&gt;"",'Data Source'!S418="F"),IF('Data Source'!AC418&gt;=5,"A+",IF('Data Source'!AC418&gt;=4,"A",IF('Data Source'!AC418&gt;=3.5,"A-",IF('Data Source'!AC418&gt;=3,"B",IF('Data Source'!AC418&gt;=2,"C",IF('Data Source'!AC418&gt;=1,"D","F")))))),"")</f>
        <v/>
      </c>
      <c r="L418" s="3">
        <f>IF(AND('Data Source'!B418&lt;&gt;"",'Data Source'!S418="F"),IF('Data Source'!AD418&gt;=5,"A+",IF('Data Source'!AD418&gt;=4,"A",IF('Data Source'!AD418&gt;=3.5,"A-",IF('Data Source'!AD418&gt;=3,"B",IF('Data Source'!AD418&gt;=2,"C",IF('Data Source'!AD418&gt;=1,"D","F")))))),"")</f>
        <v/>
      </c>
      <c r="M418" s="3">
        <f>IF(AND('Data Source'!B418&lt;&gt;"",'Data Source'!S418="F"),IF('Data Source'!AE418&gt;=5,"A+",IF('Data Source'!AE418&gt;=4,"A",IF('Data Source'!AE418&gt;=3.5,"A-",IF('Data Source'!AE418&gt;=3,"B",IF('Data Source'!AE418&gt;=2,"C",IF('Data Source'!AE418&gt;=1,"D","F")))))),"")</f>
        <v/>
      </c>
      <c r="N418" s="3">
        <f>IF(AND('Data Source'!B418&lt;&gt;"",'Data Source'!S418="F"),IF('Data Source'!AF418&gt;=5,"A+",IF('Data Source'!AF418&gt;=4,"A",IF('Data Source'!AF418&gt;=3.5,"A-",IF('Data Source'!AF418&gt;=3,"B",IF('Data Source'!AF418&gt;=2,"C",IF('Data Source'!AF418&gt;=1,"D","F")))))),"")</f>
        <v/>
      </c>
      <c r="O418" s="3">
        <f>IF(AND('Data Source'!B418&lt;&gt;"",'Data Source'!S418="F"),IF('Data Source'!AG418&gt;=5,"A+",IF('Data Source'!AG418&gt;=4,"A",IF('Data Source'!AG418&gt;=3.5,"A-",IF('Data Source'!AG418&gt;=3,"B",IF('Data Source'!AG418&gt;=2,"C",IF('Data Source'!AG418&gt;=1,"D","F")))))),"")</f>
        <v/>
      </c>
      <c r="P418" s="5">
        <f>IF(AND('Data Source'!B418&lt;&gt;"",'Data Source'!S418="F"),'Data Source'!R418,"")</f>
        <v/>
      </c>
      <c r="Q418" s="3">
        <f>IF(AND('Data Source'!B418&lt;&gt;"",'Data Source'!S418="F"),'Data Source'!S418,"")</f>
        <v/>
      </c>
    </row>
    <row r="419">
      <c r="A419" s="3">
        <f>IF(AND('Data Source'!B419&lt;&gt;"",'Data Source'!S419="F"),COUNTIF('Data Source'!$S$3:S419,"F"),"")</f>
        <v/>
      </c>
      <c r="B419">
        <f>IF(AND('Data Source'!B419&lt;&gt;"",'Data Source'!S419="F"),'Data Source'!B419,"")</f>
        <v/>
      </c>
      <c r="C419" s="3">
        <f>IF(AND('Data Source'!B419&lt;&gt;"",'Data Source'!S419="F"),IF('Data Source'!U419&gt;=5,"A+",IF('Data Source'!U419&gt;=4,"A",IF('Data Source'!U419&gt;=3.5,"A-",IF('Data Source'!U419&gt;=3,"B",IF('Data Source'!U419&gt;=2,"C",IF('Data Source'!U419&gt;=1,"D","F")))))),"")</f>
        <v/>
      </c>
      <c r="D419" s="3">
        <f>IF(AND('Data Source'!B419&lt;&gt;"",'Data Source'!S419="F"),IF('Data Source'!V419&gt;=5,"A+",IF('Data Source'!V419&gt;=4,"A",IF('Data Source'!V419&gt;=3.5,"A-",IF('Data Source'!V419&gt;=3,"B",IF('Data Source'!V419&gt;=2,"C",IF('Data Source'!V419&gt;=1,"D","F")))))),"")</f>
        <v/>
      </c>
      <c r="E419" s="3">
        <f>IF(AND('Data Source'!B419&lt;&gt;"",'Data Source'!S419="F"),IF('Data Source'!W419&gt;=5,"A+",IF('Data Source'!W419&gt;=4,"A",IF('Data Source'!W419&gt;=3.5,"A-",IF('Data Source'!W419&gt;=3,"B",IF('Data Source'!W419&gt;=2,"C",IF('Data Source'!W419&gt;=1,"D","F")))))),"")</f>
        <v/>
      </c>
      <c r="F419" s="3">
        <f>IF(AND('Data Source'!B419&lt;&gt;"",'Data Source'!S419="F"),IF('Data Source'!X419&gt;=5,"A+",IF('Data Source'!X419&gt;=4,"A",IF('Data Source'!X419&gt;=3.5,"A-",IF('Data Source'!X419&gt;=3,"B",IF('Data Source'!X419&gt;=2,"C",IF('Data Source'!X419&gt;=1,"D","F")))))),"")</f>
        <v/>
      </c>
      <c r="G419" s="3">
        <f>IF(AND('Data Source'!B419&lt;&gt;"",'Data Source'!S419="F"),IF('Data Source'!Y419&gt;=5,"A+",IF('Data Source'!Y419&gt;=4,"A",IF('Data Source'!Y419&gt;=3.5,"A-",IF('Data Source'!Y419&gt;=3,"B",IF('Data Source'!Y419&gt;=2,"C",IF('Data Source'!Y419&gt;=1,"D","F")))))),"")</f>
        <v/>
      </c>
      <c r="H419" s="3">
        <f>IF(AND('Data Source'!B419&lt;&gt;"",'Data Source'!S419="F"),IF('Data Source'!Z419&gt;=5,"A+",IF('Data Source'!Z419&gt;=4,"A",IF('Data Source'!Z419&gt;=3.5,"A-",IF('Data Source'!Z419&gt;=3,"B",IF('Data Source'!Z419&gt;=2,"C",IF('Data Source'!Z419&gt;=1,"D","F")))))),"")</f>
        <v/>
      </c>
      <c r="I419" s="3">
        <f>IF(AND('Data Source'!B419&lt;&gt;"",'Data Source'!S419="F"),IF('Data Source'!AA419&gt;=5,"A+",IF('Data Source'!AA419&gt;=4,"A",IF('Data Source'!AA419&gt;=3.5,"A-",IF('Data Source'!AA419&gt;=3,"B",IF('Data Source'!AA419&gt;=2,"C",IF('Data Source'!AA419&gt;=1,"D","F")))))),"")</f>
        <v/>
      </c>
      <c r="J419" s="3">
        <f>IF(AND('Data Source'!B419&lt;&gt;"",'Data Source'!S419="F"),IF('Data Source'!AB419&gt;=5,"A+",IF('Data Source'!AB419&gt;=4,"A",IF('Data Source'!AB419&gt;=3.5,"A-",IF('Data Source'!AB419&gt;=3,"B",IF('Data Source'!AB419&gt;=2,"C",IF('Data Source'!AB419&gt;=1,"D","F")))))),"")</f>
        <v/>
      </c>
      <c r="K419" s="3">
        <f>IF(AND('Data Source'!B419&lt;&gt;"",'Data Source'!S419="F"),IF('Data Source'!AC419&gt;=5,"A+",IF('Data Source'!AC419&gt;=4,"A",IF('Data Source'!AC419&gt;=3.5,"A-",IF('Data Source'!AC419&gt;=3,"B",IF('Data Source'!AC419&gt;=2,"C",IF('Data Source'!AC419&gt;=1,"D","F")))))),"")</f>
        <v/>
      </c>
      <c r="L419" s="3">
        <f>IF(AND('Data Source'!B419&lt;&gt;"",'Data Source'!S419="F"),IF('Data Source'!AD419&gt;=5,"A+",IF('Data Source'!AD419&gt;=4,"A",IF('Data Source'!AD419&gt;=3.5,"A-",IF('Data Source'!AD419&gt;=3,"B",IF('Data Source'!AD419&gt;=2,"C",IF('Data Source'!AD419&gt;=1,"D","F")))))),"")</f>
        <v/>
      </c>
      <c r="M419" s="3">
        <f>IF(AND('Data Source'!B419&lt;&gt;"",'Data Source'!S419="F"),IF('Data Source'!AE419&gt;=5,"A+",IF('Data Source'!AE419&gt;=4,"A",IF('Data Source'!AE419&gt;=3.5,"A-",IF('Data Source'!AE419&gt;=3,"B",IF('Data Source'!AE419&gt;=2,"C",IF('Data Source'!AE419&gt;=1,"D","F")))))),"")</f>
        <v/>
      </c>
      <c r="N419" s="3">
        <f>IF(AND('Data Source'!B419&lt;&gt;"",'Data Source'!S419="F"),IF('Data Source'!AF419&gt;=5,"A+",IF('Data Source'!AF419&gt;=4,"A",IF('Data Source'!AF419&gt;=3.5,"A-",IF('Data Source'!AF419&gt;=3,"B",IF('Data Source'!AF419&gt;=2,"C",IF('Data Source'!AF419&gt;=1,"D","F")))))),"")</f>
        <v/>
      </c>
      <c r="O419" s="3">
        <f>IF(AND('Data Source'!B419&lt;&gt;"",'Data Source'!S419="F"),IF('Data Source'!AG419&gt;=5,"A+",IF('Data Source'!AG419&gt;=4,"A",IF('Data Source'!AG419&gt;=3.5,"A-",IF('Data Source'!AG419&gt;=3,"B",IF('Data Source'!AG419&gt;=2,"C",IF('Data Source'!AG419&gt;=1,"D","F")))))),"")</f>
        <v/>
      </c>
      <c r="P419" s="5">
        <f>IF(AND('Data Source'!B419&lt;&gt;"",'Data Source'!S419="F"),'Data Source'!R419,"")</f>
        <v/>
      </c>
      <c r="Q419" s="3">
        <f>IF(AND('Data Source'!B419&lt;&gt;"",'Data Source'!S419="F"),'Data Source'!S419,"")</f>
        <v/>
      </c>
    </row>
    <row r="420">
      <c r="A420" s="3">
        <f>IF(AND('Data Source'!B420&lt;&gt;"",'Data Source'!S420="F"),COUNTIF('Data Source'!$S$3:S420,"F"),"")</f>
        <v/>
      </c>
      <c r="B420">
        <f>IF(AND('Data Source'!B420&lt;&gt;"",'Data Source'!S420="F"),'Data Source'!B420,"")</f>
        <v/>
      </c>
      <c r="C420" s="3">
        <f>IF(AND('Data Source'!B420&lt;&gt;"",'Data Source'!S420="F"),IF('Data Source'!U420&gt;=5,"A+",IF('Data Source'!U420&gt;=4,"A",IF('Data Source'!U420&gt;=3.5,"A-",IF('Data Source'!U420&gt;=3,"B",IF('Data Source'!U420&gt;=2,"C",IF('Data Source'!U420&gt;=1,"D","F")))))),"")</f>
        <v/>
      </c>
      <c r="D420" s="3">
        <f>IF(AND('Data Source'!B420&lt;&gt;"",'Data Source'!S420="F"),IF('Data Source'!V420&gt;=5,"A+",IF('Data Source'!V420&gt;=4,"A",IF('Data Source'!V420&gt;=3.5,"A-",IF('Data Source'!V420&gt;=3,"B",IF('Data Source'!V420&gt;=2,"C",IF('Data Source'!V420&gt;=1,"D","F")))))),"")</f>
        <v/>
      </c>
      <c r="E420" s="3">
        <f>IF(AND('Data Source'!B420&lt;&gt;"",'Data Source'!S420="F"),IF('Data Source'!W420&gt;=5,"A+",IF('Data Source'!W420&gt;=4,"A",IF('Data Source'!W420&gt;=3.5,"A-",IF('Data Source'!W420&gt;=3,"B",IF('Data Source'!W420&gt;=2,"C",IF('Data Source'!W420&gt;=1,"D","F")))))),"")</f>
        <v/>
      </c>
      <c r="F420" s="3">
        <f>IF(AND('Data Source'!B420&lt;&gt;"",'Data Source'!S420="F"),IF('Data Source'!X420&gt;=5,"A+",IF('Data Source'!X420&gt;=4,"A",IF('Data Source'!X420&gt;=3.5,"A-",IF('Data Source'!X420&gt;=3,"B",IF('Data Source'!X420&gt;=2,"C",IF('Data Source'!X420&gt;=1,"D","F")))))),"")</f>
        <v/>
      </c>
      <c r="G420" s="3">
        <f>IF(AND('Data Source'!B420&lt;&gt;"",'Data Source'!S420="F"),IF('Data Source'!Y420&gt;=5,"A+",IF('Data Source'!Y420&gt;=4,"A",IF('Data Source'!Y420&gt;=3.5,"A-",IF('Data Source'!Y420&gt;=3,"B",IF('Data Source'!Y420&gt;=2,"C",IF('Data Source'!Y420&gt;=1,"D","F")))))),"")</f>
        <v/>
      </c>
      <c r="H420" s="3">
        <f>IF(AND('Data Source'!B420&lt;&gt;"",'Data Source'!S420="F"),IF('Data Source'!Z420&gt;=5,"A+",IF('Data Source'!Z420&gt;=4,"A",IF('Data Source'!Z420&gt;=3.5,"A-",IF('Data Source'!Z420&gt;=3,"B",IF('Data Source'!Z420&gt;=2,"C",IF('Data Source'!Z420&gt;=1,"D","F")))))),"")</f>
        <v/>
      </c>
      <c r="I420" s="3">
        <f>IF(AND('Data Source'!B420&lt;&gt;"",'Data Source'!S420="F"),IF('Data Source'!AA420&gt;=5,"A+",IF('Data Source'!AA420&gt;=4,"A",IF('Data Source'!AA420&gt;=3.5,"A-",IF('Data Source'!AA420&gt;=3,"B",IF('Data Source'!AA420&gt;=2,"C",IF('Data Source'!AA420&gt;=1,"D","F")))))),"")</f>
        <v/>
      </c>
      <c r="J420" s="3">
        <f>IF(AND('Data Source'!B420&lt;&gt;"",'Data Source'!S420="F"),IF('Data Source'!AB420&gt;=5,"A+",IF('Data Source'!AB420&gt;=4,"A",IF('Data Source'!AB420&gt;=3.5,"A-",IF('Data Source'!AB420&gt;=3,"B",IF('Data Source'!AB420&gt;=2,"C",IF('Data Source'!AB420&gt;=1,"D","F")))))),"")</f>
        <v/>
      </c>
      <c r="K420" s="3">
        <f>IF(AND('Data Source'!B420&lt;&gt;"",'Data Source'!S420="F"),IF('Data Source'!AC420&gt;=5,"A+",IF('Data Source'!AC420&gt;=4,"A",IF('Data Source'!AC420&gt;=3.5,"A-",IF('Data Source'!AC420&gt;=3,"B",IF('Data Source'!AC420&gt;=2,"C",IF('Data Source'!AC420&gt;=1,"D","F")))))),"")</f>
        <v/>
      </c>
      <c r="L420" s="3">
        <f>IF(AND('Data Source'!B420&lt;&gt;"",'Data Source'!S420="F"),IF('Data Source'!AD420&gt;=5,"A+",IF('Data Source'!AD420&gt;=4,"A",IF('Data Source'!AD420&gt;=3.5,"A-",IF('Data Source'!AD420&gt;=3,"B",IF('Data Source'!AD420&gt;=2,"C",IF('Data Source'!AD420&gt;=1,"D","F")))))),"")</f>
        <v/>
      </c>
      <c r="M420" s="3">
        <f>IF(AND('Data Source'!B420&lt;&gt;"",'Data Source'!S420="F"),IF('Data Source'!AE420&gt;=5,"A+",IF('Data Source'!AE420&gt;=4,"A",IF('Data Source'!AE420&gt;=3.5,"A-",IF('Data Source'!AE420&gt;=3,"B",IF('Data Source'!AE420&gt;=2,"C",IF('Data Source'!AE420&gt;=1,"D","F")))))),"")</f>
        <v/>
      </c>
      <c r="N420" s="3">
        <f>IF(AND('Data Source'!B420&lt;&gt;"",'Data Source'!S420="F"),IF('Data Source'!AF420&gt;=5,"A+",IF('Data Source'!AF420&gt;=4,"A",IF('Data Source'!AF420&gt;=3.5,"A-",IF('Data Source'!AF420&gt;=3,"B",IF('Data Source'!AF420&gt;=2,"C",IF('Data Source'!AF420&gt;=1,"D","F")))))),"")</f>
        <v/>
      </c>
      <c r="O420" s="3">
        <f>IF(AND('Data Source'!B420&lt;&gt;"",'Data Source'!S420="F"),IF('Data Source'!AG420&gt;=5,"A+",IF('Data Source'!AG420&gt;=4,"A",IF('Data Source'!AG420&gt;=3.5,"A-",IF('Data Source'!AG420&gt;=3,"B",IF('Data Source'!AG420&gt;=2,"C",IF('Data Source'!AG420&gt;=1,"D","F")))))),"")</f>
        <v/>
      </c>
      <c r="P420" s="5">
        <f>IF(AND('Data Source'!B420&lt;&gt;"",'Data Source'!S420="F"),'Data Source'!R420,"")</f>
        <v/>
      </c>
      <c r="Q420" s="3">
        <f>IF(AND('Data Source'!B420&lt;&gt;"",'Data Source'!S420="F"),'Data Source'!S420,"")</f>
        <v/>
      </c>
    </row>
    <row r="421">
      <c r="A421" s="3">
        <f>IF(AND('Data Source'!B421&lt;&gt;"",'Data Source'!S421="F"),COUNTIF('Data Source'!$S$3:S421,"F"),"")</f>
        <v/>
      </c>
      <c r="B421">
        <f>IF(AND('Data Source'!B421&lt;&gt;"",'Data Source'!S421="F"),'Data Source'!B421,"")</f>
        <v/>
      </c>
      <c r="C421" s="3">
        <f>IF(AND('Data Source'!B421&lt;&gt;"",'Data Source'!S421="F"),IF('Data Source'!U421&gt;=5,"A+",IF('Data Source'!U421&gt;=4,"A",IF('Data Source'!U421&gt;=3.5,"A-",IF('Data Source'!U421&gt;=3,"B",IF('Data Source'!U421&gt;=2,"C",IF('Data Source'!U421&gt;=1,"D","F")))))),"")</f>
        <v/>
      </c>
      <c r="D421" s="3">
        <f>IF(AND('Data Source'!B421&lt;&gt;"",'Data Source'!S421="F"),IF('Data Source'!V421&gt;=5,"A+",IF('Data Source'!V421&gt;=4,"A",IF('Data Source'!V421&gt;=3.5,"A-",IF('Data Source'!V421&gt;=3,"B",IF('Data Source'!V421&gt;=2,"C",IF('Data Source'!V421&gt;=1,"D","F")))))),"")</f>
        <v/>
      </c>
      <c r="E421" s="3">
        <f>IF(AND('Data Source'!B421&lt;&gt;"",'Data Source'!S421="F"),IF('Data Source'!W421&gt;=5,"A+",IF('Data Source'!W421&gt;=4,"A",IF('Data Source'!W421&gt;=3.5,"A-",IF('Data Source'!W421&gt;=3,"B",IF('Data Source'!W421&gt;=2,"C",IF('Data Source'!W421&gt;=1,"D","F")))))),"")</f>
        <v/>
      </c>
      <c r="F421" s="3">
        <f>IF(AND('Data Source'!B421&lt;&gt;"",'Data Source'!S421="F"),IF('Data Source'!X421&gt;=5,"A+",IF('Data Source'!X421&gt;=4,"A",IF('Data Source'!X421&gt;=3.5,"A-",IF('Data Source'!X421&gt;=3,"B",IF('Data Source'!X421&gt;=2,"C",IF('Data Source'!X421&gt;=1,"D","F")))))),"")</f>
        <v/>
      </c>
      <c r="G421" s="3">
        <f>IF(AND('Data Source'!B421&lt;&gt;"",'Data Source'!S421="F"),IF('Data Source'!Y421&gt;=5,"A+",IF('Data Source'!Y421&gt;=4,"A",IF('Data Source'!Y421&gt;=3.5,"A-",IF('Data Source'!Y421&gt;=3,"B",IF('Data Source'!Y421&gt;=2,"C",IF('Data Source'!Y421&gt;=1,"D","F")))))),"")</f>
        <v/>
      </c>
      <c r="H421" s="3">
        <f>IF(AND('Data Source'!B421&lt;&gt;"",'Data Source'!S421="F"),IF('Data Source'!Z421&gt;=5,"A+",IF('Data Source'!Z421&gt;=4,"A",IF('Data Source'!Z421&gt;=3.5,"A-",IF('Data Source'!Z421&gt;=3,"B",IF('Data Source'!Z421&gt;=2,"C",IF('Data Source'!Z421&gt;=1,"D","F")))))),"")</f>
        <v/>
      </c>
      <c r="I421" s="3">
        <f>IF(AND('Data Source'!B421&lt;&gt;"",'Data Source'!S421="F"),IF('Data Source'!AA421&gt;=5,"A+",IF('Data Source'!AA421&gt;=4,"A",IF('Data Source'!AA421&gt;=3.5,"A-",IF('Data Source'!AA421&gt;=3,"B",IF('Data Source'!AA421&gt;=2,"C",IF('Data Source'!AA421&gt;=1,"D","F")))))),"")</f>
        <v/>
      </c>
      <c r="J421" s="3">
        <f>IF(AND('Data Source'!B421&lt;&gt;"",'Data Source'!S421="F"),IF('Data Source'!AB421&gt;=5,"A+",IF('Data Source'!AB421&gt;=4,"A",IF('Data Source'!AB421&gt;=3.5,"A-",IF('Data Source'!AB421&gt;=3,"B",IF('Data Source'!AB421&gt;=2,"C",IF('Data Source'!AB421&gt;=1,"D","F")))))),"")</f>
        <v/>
      </c>
      <c r="K421" s="3">
        <f>IF(AND('Data Source'!B421&lt;&gt;"",'Data Source'!S421="F"),IF('Data Source'!AC421&gt;=5,"A+",IF('Data Source'!AC421&gt;=4,"A",IF('Data Source'!AC421&gt;=3.5,"A-",IF('Data Source'!AC421&gt;=3,"B",IF('Data Source'!AC421&gt;=2,"C",IF('Data Source'!AC421&gt;=1,"D","F")))))),"")</f>
        <v/>
      </c>
      <c r="L421" s="3">
        <f>IF(AND('Data Source'!B421&lt;&gt;"",'Data Source'!S421="F"),IF('Data Source'!AD421&gt;=5,"A+",IF('Data Source'!AD421&gt;=4,"A",IF('Data Source'!AD421&gt;=3.5,"A-",IF('Data Source'!AD421&gt;=3,"B",IF('Data Source'!AD421&gt;=2,"C",IF('Data Source'!AD421&gt;=1,"D","F")))))),"")</f>
        <v/>
      </c>
      <c r="M421" s="3">
        <f>IF(AND('Data Source'!B421&lt;&gt;"",'Data Source'!S421="F"),IF('Data Source'!AE421&gt;=5,"A+",IF('Data Source'!AE421&gt;=4,"A",IF('Data Source'!AE421&gt;=3.5,"A-",IF('Data Source'!AE421&gt;=3,"B",IF('Data Source'!AE421&gt;=2,"C",IF('Data Source'!AE421&gt;=1,"D","F")))))),"")</f>
        <v/>
      </c>
      <c r="N421" s="3">
        <f>IF(AND('Data Source'!B421&lt;&gt;"",'Data Source'!S421="F"),IF('Data Source'!AF421&gt;=5,"A+",IF('Data Source'!AF421&gt;=4,"A",IF('Data Source'!AF421&gt;=3.5,"A-",IF('Data Source'!AF421&gt;=3,"B",IF('Data Source'!AF421&gt;=2,"C",IF('Data Source'!AF421&gt;=1,"D","F")))))),"")</f>
        <v/>
      </c>
      <c r="O421" s="3">
        <f>IF(AND('Data Source'!B421&lt;&gt;"",'Data Source'!S421="F"),IF('Data Source'!AG421&gt;=5,"A+",IF('Data Source'!AG421&gt;=4,"A",IF('Data Source'!AG421&gt;=3.5,"A-",IF('Data Source'!AG421&gt;=3,"B",IF('Data Source'!AG421&gt;=2,"C",IF('Data Source'!AG421&gt;=1,"D","F")))))),"")</f>
        <v/>
      </c>
      <c r="P421" s="5">
        <f>IF(AND('Data Source'!B421&lt;&gt;"",'Data Source'!S421="F"),'Data Source'!R421,"")</f>
        <v/>
      </c>
      <c r="Q421" s="3">
        <f>IF(AND('Data Source'!B421&lt;&gt;"",'Data Source'!S421="F"),'Data Source'!S421,"")</f>
        <v/>
      </c>
    </row>
    <row r="422">
      <c r="A422" s="3">
        <f>IF(AND('Data Source'!B422&lt;&gt;"",'Data Source'!S422="F"),COUNTIF('Data Source'!$S$3:S422,"F"),"")</f>
        <v/>
      </c>
      <c r="B422">
        <f>IF(AND('Data Source'!B422&lt;&gt;"",'Data Source'!S422="F"),'Data Source'!B422,"")</f>
        <v/>
      </c>
      <c r="C422" s="3">
        <f>IF(AND('Data Source'!B422&lt;&gt;"",'Data Source'!S422="F"),IF('Data Source'!U422&gt;=5,"A+",IF('Data Source'!U422&gt;=4,"A",IF('Data Source'!U422&gt;=3.5,"A-",IF('Data Source'!U422&gt;=3,"B",IF('Data Source'!U422&gt;=2,"C",IF('Data Source'!U422&gt;=1,"D","F")))))),"")</f>
        <v/>
      </c>
      <c r="D422" s="3">
        <f>IF(AND('Data Source'!B422&lt;&gt;"",'Data Source'!S422="F"),IF('Data Source'!V422&gt;=5,"A+",IF('Data Source'!V422&gt;=4,"A",IF('Data Source'!V422&gt;=3.5,"A-",IF('Data Source'!V422&gt;=3,"B",IF('Data Source'!V422&gt;=2,"C",IF('Data Source'!V422&gt;=1,"D","F")))))),"")</f>
        <v/>
      </c>
      <c r="E422" s="3">
        <f>IF(AND('Data Source'!B422&lt;&gt;"",'Data Source'!S422="F"),IF('Data Source'!W422&gt;=5,"A+",IF('Data Source'!W422&gt;=4,"A",IF('Data Source'!W422&gt;=3.5,"A-",IF('Data Source'!W422&gt;=3,"B",IF('Data Source'!W422&gt;=2,"C",IF('Data Source'!W422&gt;=1,"D","F")))))),"")</f>
        <v/>
      </c>
      <c r="F422" s="3">
        <f>IF(AND('Data Source'!B422&lt;&gt;"",'Data Source'!S422="F"),IF('Data Source'!X422&gt;=5,"A+",IF('Data Source'!X422&gt;=4,"A",IF('Data Source'!X422&gt;=3.5,"A-",IF('Data Source'!X422&gt;=3,"B",IF('Data Source'!X422&gt;=2,"C",IF('Data Source'!X422&gt;=1,"D","F")))))),"")</f>
        <v/>
      </c>
      <c r="G422" s="3">
        <f>IF(AND('Data Source'!B422&lt;&gt;"",'Data Source'!S422="F"),IF('Data Source'!Y422&gt;=5,"A+",IF('Data Source'!Y422&gt;=4,"A",IF('Data Source'!Y422&gt;=3.5,"A-",IF('Data Source'!Y422&gt;=3,"B",IF('Data Source'!Y422&gt;=2,"C",IF('Data Source'!Y422&gt;=1,"D","F")))))),"")</f>
        <v/>
      </c>
      <c r="H422" s="3">
        <f>IF(AND('Data Source'!B422&lt;&gt;"",'Data Source'!S422="F"),IF('Data Source'!Z422&gt;=5,"A+",IF('Data Source'!Z422&gt;=4,"A",IF('Data Source'!Z422&gt;=3.5,"A-",IF('Data Source'!Z422&gt;=3,"B",IF('Data Source'!Z422&gt;=2,"C",IF('Data Source'!Z422&gt;=1,"D","F")))))),"")</f>
        <v/>
      </c>
      <c r="I422" s="3">
        <f>IF(AND('Data Source'!B422&lt;&gt;"",'Data Source'!S422="F"),IF('Data Source'!AA422&gt;=5,"A+",IF('Data Source'!AA422&gt;=4,"A",IF('Data Source'!AA422&gt;=3.5,"A-",IF('Data Source'!AA422&gt;=3,"B",IF('Data Source'!AA422&gt;=2,"C",IF('Data Source'!AA422&gt;=1,"D","F")))))),"")</f>
        <v/>
      </c>
      <c r="J422" s="3">
        <f>IF(AND('Data Source'!B422&lt;&gt;"",'Data Source'!S422="F"),IF('Data Source'!AB422&gt;=5,"A+",IF('Data Source'!AB422&gt;=4,"A",IF('Data Source'!AB422&gt;=3.5,"A-",IF('Data Source'!AB422&gt;=3,"B",IF('Data Source'!AB422&gt;=2,"C",IF('Data Source'!AB422&gt;=1,"D","F")))))),"")</f>
        <v/>
      </c>
      <c r="K422" s="3">
        <f>IF(AND('Data Source'!B422&lt;&gt;"",'Data Source'!S422="F"),IF('Data Source'!AC422&gt;=5,"A+",IF('Data Source'!AC422&gt;=4,"A",IF('Data Source'!AC422&gt;=3.5,"A-",IF('Data Source'!AC422&gt;=3,"B",IF('Data Source'!AC422&gt;=2,"C",IF('Data Source'!AC422&gt;=1,"D","F")))))),"")</f>
        <v/>
      </c>
      <c r="L422" s="3">
        <f>IF(AND('Data Source'!B422&lt;&gt;"",'Data Source'!S422="F"),IF('Data Source'!AD422&gt;=5,"A+",IF('Data Source'!AD422&gt;=4,"A",IF('Data Source'!AD422&gt;=3.5,"A-",IF('Data Source'!AD422&gt;=3,"B",IF('Data Source'!AD422&gt;=2,"C",IF('Data Source'!AD422&gt;=1,"D","F")))))),"")</f>
        <v/>
      </c>
      <c r="M422" s="3">
        <f>IF(AND('Data Source'!B422&lt;&gt;"",'Data Source'!S422="F"),IF('Data Source'!AE422&gt;=5,"A+",IF('Data Source'!AE422&gt;=4,"A",IF('Data Source'!AE422&gt;=3.5,"A-",IF('Data Source'!AE422&gt;=3,"B",IF('Data Source'!AE422&gt;=2,"C",IF('Data Source'!AE422&gt;=1,"D","F")))))),"")</f>
        <v/>
      </c>
      <c r="N422" s="3">
        <f>IF(AND('Data Source'!B422&lt;&gt;"",'Data Source'!S422="F"),IF('Data Source'!AF422&gt;=5,"A+",IF('Data Source'!AF422&gt;=4,"A",IF('Data Source'!AF422&gt;=3.5,"A-",IF('Data Source'!AF422&gt;=3,"B",IF('Data Source'!AF422&gt;=2,"C",IF('Data Source'!AF422&gt;=1,"D","F")))))),"")</f>
        <v/>
      </c>
      <c r="O422" s="3">
        <f>IF(AND('Data Source'!B422&lt;&gt;"",'Data Source'!S422="F"),IF('Data Source'!AG422&gt;=5,"A+",IF('Data Source'!AG422&gt;=4,"A",IF('Data Source'!AG422&gt;=3.5,"A-",IF('Data Source'!AG422&gt;=3,"B",IF('Data Source'!AG422&gt;=2,"C",IF('Data Source'!AG422&gt;=1,"D","F")))))),"")</f>
        <v/>
      </c>
      <c r="P422" s="5">
        <f>IF(AND('Data Source'!B422&lt;&gt;"",'Data Source'!S422="F"),'Data Source'!R422,"")</f>
        <v/>
      </c>
      <c r="Q422" s="3">
        <f>IF(AND('Data Source'!B422&lt;&gt;"",'Data Source'!S422="F"),'Data Source'!S422,"")</f>
        <v/>
      </c>
    </row>
    <row r="423">
      <c r="A423" s="3">
        <f>IF(AND('Data Source'!B423&lt;&gt;"",'Data Source'!S423="F"),COUNTIF('Data Source'!$S$3:S423,"F"),"")</f>
        <v/>
      </c>
      <c r="B423">
        <f>IF(AND('Data Source'!B423&lt;&gt;"",'Data Source'!S423="F"),'Data Source'!B423,"")</f>
        <v/>
      </c>
      <c r="C423" s="3">
        <f>IF(AND('Data Source'!B423&lt;&gt;"",'Data Source'!S423="F"),IF('Data Source'!U423&gt;=5,"A+",IF('Data Source'!U423&gt;=4,"A",IF('Data Source'!U423&gt;=3.5,"A-",IF('Data Source'!U423&gt;=3,"B",IF('Data Source'!U423&gt;=2,"C",IF('Data Source'!U423&gt;=1,"D","F")))))),"")</f>
        <v/>
      </c>
      <c r="D423" s="3">
        <f>IF(AND('Data Source'!B423&lt;&gt;"",'Data Source'!S423="F"),IF('Data Source'!V423&gt;=5,"A+",IF('Data Source'!V423&gt;=4,"A",IF('Data Source'!V423&gt;=3.5,"A-",IF('Data Source'!V423&gt;=3,"B",IF('Data Source'!V423&gt;=2,"C",IF('Data Source'!V423&gt;=1,"D","F")))))),"")</f>
        <v/>
      </c>
      <c r="E423" s="3">
        <f>IF(AND('Data Source'!B423&lt;&gt;"",'Data Source'!S423="F"),IF('Data Source'!W423&gt;=5,"A+",IF('Data Source'!W423&gt;=4,"A",IF('Data Source'!W423&gt;=3.5,"A-",IF('Data Source'!W423&gt;=3,"B",IF('Data Source'!W423&gt;=2,"C",IF('Data Source'!W423&gt;=1,"D","F")))))),"")</f>
        <v/>
      </c>
      <c r="F423" s="3">
        <f>IF(AND('Data Source'!B423&lt;&gt;"",'Data Source'!S423="F"),IF('Data Source'!X423&gt;=5,"A+",IF('Data Source'!X423&gt;=4,"A",IF('Data Source'!X423&gt;=3.5,"A-",IF('Data Source'!X423&gt;=3,"B",IF('Data Source'!X423&gt;=2,"C",IF('Data Source'!X423&gt;=1,"D","F")))))),"")</f>
        <v/>
      </c>
      <c r="G423" s="3">
        <f>IF(AND('Data Source'!B423&lt;&gt;"",'Data Source'!S423="F"),IF('Data Source'!Y423&gt;=5,"A+",IF('Data Source'!Y423&gt;=4,"A",IF('Data Source'!Y423&gt;=3.5,"A-",IF('Data Source'!Y423&gt;=3,"B",IF('Data Source'!Y423&gt;=2,"C",IF('Data Source'!Y423&gt;=1,"D","F")))))),"")</f>
        <v/>
      </c>
      <c r="H423" s="3">
        <f>IF(AND('Data Source'!B423&lt;&gt;"",'Data Source'!S423="F"),IF('Data Source'!Z423&gt;=5,"A+",IF('Data Source'!Z423&gt;=4,"A",IF('Data Source'!Z423&gt;=3.5,"A-",IF('Data Source'!Z423&gt;=3,"B",IF('Data Source'!Z423&gt;=2,"C",IF('Data Source'!Z423&gt;=1,"D","F")))))),"")</f>
        <v/>
      </c>
      <c r="I423" s="3">
        <f>IF(AND('Data Source'!B423&lt;&gt;"",'Data Source'!S423="F"),IF('Data Source'!AA423&gt;=5,"A+",IF('Data Source'!AA423&gt;=4,"A",IF('Data Source'!AA423&gt;=3.5,"A-",IF('Data Source'!AA423&gt;=3,"B",IF('Data Source'!AA423&gt;=2,"C",IF('Data Source'!AA423&gt;=1,"D","F")))))),"")</f>
        <v/>
      </c>
      <c r="J423" s="3">
        <f>IF(AND('Data Source'!B423&lt;&gt;"",'Data Source'!S423="F"),IF('Data Source'!AB423&gt;=5,"A+",IF('Data Source'!AB423&gt;=4,"A",IF('Data Source'!AB423&gt;=3.5,"A-",IF('Data Source'!AB423&gt;=3,"B",IF('Data Source'!AB423&gt;=2,"C",IF('Data Source'!AB423&gt;=1,"D","F")))))),"")</f>
        <v/>
      </c>
      <c r="K423" s="3">
        <f>IF(AND('Data Source'!B423&lt;&gt;"",'Data Source'!S423="F"),IF('Data Source'!AC423&gt;=5,"A+",IF('Data Source'!AC423&gt;=4,"A",IF('Data Source'!AC423&gt;=3.5,"A-",IF('Data Source'!AC423&gt;=3,"B",IF('Data Source'!AC423&gt;=2,"C",IF('Data Source'!AC423&gt;=1,"D","F")))))),"")</f>
        <v/>
      </c>
      <c r="L423" s="3">
        <f>IF(AND('Data Source'!B423&lt;&gt;"",'Data Source'!S423="F"),IF('Data Source'!AD423&gt;=5,"A+",IF('Data Source'!AD423&gt;=4,"A",IF('Data Source'!AD423&gt;=3.5,"A-",IF('Data Source'!AD423&gt;=3,"B",IF('Data Source'!AD423&gt;=2,"C",IF('Data Source'!AD423&gt;=1,"D","F")))))),"")</f>
        <v/>
      </c>
      <c r="M423" s="3">
        <f>IF(AND('Data Source'!B423&lt;&gt;"",'Data Source'!S423="F"),IF('Data Source'!AE423&gt;=5,"A+",IF('Data Source'!AE423&gt;=4,"A",IF('Data Source'!AE423&gt;=3.5,"A-",IF('Data Source'!AE423&gt;=3,"B",IF('Data Source'!AE423&gt;=2,"C",IF('Data Source'!AE423&gt;=1,"D","F")))))),"")</f>
        <v/>
      </c>
      <c r="N423" s="3">
        <f>IF(AND('Data Source'!B423&lt;&gt;"",'Data Source'!S423="F"),IF('Data Source'!AF423&gt;=5,"A+",IF('Data Source'!AF423&gt;=4,"A",IF('Data Source'!AF423&gt;=3.5,"A-",IF('Data Source'!AF423&gt;=3,"B",IF('Data Source'!AF423&gt;=2,"C",IF('Data Source'!AF423&gt;=1,"D","F")))))),"")</f>
        <v/>
      </c>
      <c r="O423" s="3">
        <f>IF(AND('Data Source'!B423&lt;&gt;"",'Data Source'!S423="F"),IF('Data Source'!AG423&gt;=5,"A+",IF('Data Source'!AG423&gt;=4,"A",IF('Data Source'!AG423&gt;=3.5,"A-",IF('Data Source'!AG423&gt;=3,"B",IF('Data Source'!AG423&gt;=2,"C",IF('Data Source'!AG423&gt;=1,"D","F")))))),"")</f>
        <v/>
      </c>
      <c r="P423" s="5">
        <f>IF(AND('Data Source'!B423&lt;&gt;"",'Data Source'!S423="F"),'Data Source'!R423,"")</f>
        <v/>
      </c>
      <c r="Q423" s="3">
        <f>IF(AND('Data Source'!B423&lt;&gt;"",'Data Source'!S423="F"),'Data Source'!S423,"")</f>
        <v/>
      </c>
    </row>
    <row r="424">
      <c r="A424" s="3">
        <f>IF(AND('Data Source'!B424&lt;&gt;"",'Data Source'!S424="F"),COUNTIF('Data Source'!$S$3:S424,"F"),"")</f>
        <v/>
      </c>
      <c r="B424">
        <f>IF(AND('Data Source'!B424&lt;&gt;"",'Data Source'!S424="F"),'Data Source'!B424,"")</f>
        <v/>
      </c>
      <c r="C424" s="3">
        <f>IF(AND('Data Source'!B424&lt;&gt;"",'Data Source'!S424="F"),IF('Data Source'!U424&gt;=5,"A+",IF('Data Source'!U424&gt;=4,"A",IF('Data Source'!U424&gt;=3.5,"A-",IF('Data Source'!U424&gt;=3,"B",IF('Data Source'!U424&gt;=2,"C",IF('Data Source'!U424&gt;=1,"D","F")))))),"")</f>
        <v/>
      </c>
      <c r="D424" s="3">
        <f>IF(AND('Data Source'!B424&lt;&gt;"",'Data Source'!S424="F"),IF('Data Source'!V424&gt;=5,"A+",IF('Data Source'!V424&gt;=4,"A",IF('Data Source'!V424&gt;=3.5,"A-",IF('Data Source'!V424&gt;=3,"B",IF('Data Source'!V424&gt;=2,"C",IF('Data Source'!V424&gt;=1,"D","F")))))),"")</f>
        <v/>
      </c>
      <c r="E424" s="3">
        <f>IF(AND('Data Source'!B424&lt;&gt;"",'Data Source'!S424="F"),IF('Data Source'!W424&gt;=5,"A+",IF('Data Source'!W424&gt;=4,"A",IF('Data Source'!W424&gt;=3.5,"A-",IF('Data Source'!W424&gt;=3,"B",IF('Data Source'!W424&gt;=2,"C",IF('Data Source'!W424&gt;=1,"D","F")))))),"")</f>
        <v/>
      </c>
      <c r="F424" s="3">
        <f>IF(AND('Data Source'!B424&lt;&gt;"",'Data Source'!S424="F"),IF('Data Source'!X424&gt;=5,"A+",IF('Data Source'!X424&gt;=4,"A",IF('Data Source'!X424&gt;=3.5,"A-",IF('Data Source'!X424&gt;=3,"B",IF('Data Source'!X424&gt;=2,"C",IF('Data Source'!X424&gt;=1,"D","F")))))),"")</f>
        <v/>
      </c>
      <c r="G424" s="3">
        <f>IF(AND('Data Source'!B424&lt;&gt;"",'Data Source'!S424="F"),IF('Data Source'!Y424&gt;=5,"A+",IF('Data Source'!Y424&gt;=4,"A",IF('Data Source'!Y424&gt;=3.5,"A-",IF('Data Source'!Y424&gt;=3,"B",IF('Data Source'!Y424&gt;=2,"C",IF('Data Source'!Y424&gt;=1,"D","F")))))),"")</f>
        <v/>
      </c>
      <c r="H424" s="3">
        <f>IF(AND('Data Source'!B424&lt;&gt;"",'Data Source'!S424="F"),IF('Data Source'!Z424&gt;=5,"A+",IF('Data Source'!Z424&gt;=4,"A",IF('Data Source'!Z424&gt;=3.5,"A-",IF('Data Source'!Z424&gt;=3,"B",IF('Data Source'!Z424&gt;=2,"C",IF('Data Source'!Z424&gt;=1,"D","F")))))),"")</f>
        <v/>
      </c>
      <c r="I424" s="3">
        <f>IF(AND('Data Source'!B424&lt;&gt;"",'Data Source'!S424="F"),IF('Data Source'!AA424&gt;=5,"A+",IF('Data Source'!AA424&gt;=4,"A",IF('Data Source'!AA424&gt;=3.5,"A-",IF('Data Source'!AA424&gt;=3,"B",IF('Data Source'!AA424&gt;=2,"C",IF('Data Source'!AA424&gt;=1,"D","F")))))),"")</f>
        <v/>
      </c>
      <c r="J424" s="3">
        <f>IF(AND('Data Source'!B424&lt;&gt;"",'Data Source'!S424="F"),IF('Data Source'!AB424&gt;=5,"A+",IF('Data Source'!AB424&gt;=4,"A",IF('Data Source'!AB424&gt;=3.5,"A-",IF('Data Source'!AB424&gt;=3,"B",IF('Data Source'!AB424&gt;=2,"C",IF('Data Source'!AB424&gt;=1,"D","F")))))),"")</f>
        <v/>
      </c>
      <c r="K424" s="3">
        <f>IF(AND('Data Source'!B424&lt;&gt;"",'Data Source'!S424="F"),IF('Data Source'!AC424&gt;=5,"A+",IF('Data Source'!AC424&gt;=4,"A",IF('Data Source'!AC424&gt;=3.5,"A-",IF('Data Source'!AC424&gt;=3,"B",IF('Data Source'!AC424&gt;=2,"C",IF('Data Source'!AC424&gt;=1,"D","F")))))),"")</f>
        <v/>
      </c>
      <c r="L424" s="3">
        <f>IF(AND('Data Source'!B424&lt;&gt;"",'Data Source'!S424="F"),IF('Data Source'!AD424&gt;=5,"A+",IF('Data Source'!AD424&gt;=4,"A",IF('Data Source'!AD424&gt;=3.5,"A-",IF('Data Source'!AD424&gt;=3,"B",IF('Data Source'!AD424&gt;=2,"C",IF('Data Source'!AD424&gt;=1,"D","F")))))),"")</f>
        <v/>
      </c>
      <c r="M424" s="3">
        <f>IF(AND('Data Source'!B424&lt;&gt;"",'Data Source'!S424="F"),IF('Data Source'!AE424&gt;=5,"A+",IF('Data Source'!AE424&gt;=4,"A",IF('Data Source'!AE424&gt;=3.5,"A-",IF('Data Source'!AE424&gt;=3,"B",IF('Data Source'!AE424&gt;=2,"C",IF('Data Source'!AE424&gt;=1,"D","F")))))),"")</f>
        <v/>
      </c>
      <c r="N424" s="3">
        <f>IF(AND('Data Source'!B424&lt;&gt;"",'Data Source'!S424="F"),IF('Data Source'!AF424&gt;=5,"A+",IF('Data Source'!AF424&gt;=4,"A",IF('Data Source'!AF424&gt;=3.5,"A-",IF('Data Source'!AF424&gt;=3,"B",IF('Data Source'!AF424&gt;=2,"C",IF('Data Source'!AF424&gt;=1,"D","F")))))),"")</f>
        <v/>
      </c>
      <c r="O424" s="3">
        <f>IF(AND('Data Source'!B424&lt;&gt;"",'Data Source'!S424="F"),IF('Data Source'!AG424&gt;=5,"A+",IF('Data Source'!AG424&gt;=4,"A",IF('Data Source'!AG424&gt;=3.5,"A-",IF('Data Source'!AG424&gt;=3,"B",IF('Data Source'!AG424&gt;=2,"C",IF('Data Source'!AG424&gt;=1,"D","F")))))),"")</f>
        <v/>
      </c>
      <c r="P424" s="5">
        <f>IF(AND('Data Source'!B424&lt;&gt;"",'Data Source'!S424="F"),'Data Source'!R424,"")</f>
        <v/>
      </c>
      <c r="Q424" s="3">
        <f>IF(AND('Data Source'!B424&lt;&gt;"",'Data Source'!S424="F"),'Data Source'!S424,"")</f>
        <v/>
      </c>
    </row>
    <row r="425">
      <c r="A425" s="3">
        <f>IF(AND('Data Source'!B425&lt;&gt;"",'Data Source'!S425="F"),COUNTIF('Data Source'!$S$3:S425,"F"),"")</f>
        <v/>
      </c>
      <c r="B425">
        <f>IF(AND('Data Source'!B425&lt;&gt;"",'Data Source'!S425="F"),'Data Source'!B425,"")</f>
        <v/>
      </c>
      <c r="C425" s="3">
        <f>IF(AND('Data Source'!B425&lt;&gt;"",'Data Source'!S425="F"),IF('Data Source'!U425&gt;=5,"A+",IF('Data Source'!U425&gt;=4,"A",IF('Data Source'!U425&gt;=3.5,"A-",IF('Data Source'!U425&gt;=3,"B",IF('Data Source'!U425&gt;=2,"C",IF('Data Source'!U425&gt;=1,"D","F")))))),"")</f>
        <v/>
      </c>
      <c r="D425" s="3">
        <f>IF(AND('Data Source'!B425&lt;&gt;"",'Data Source'!S425="F"),IF('Data Source'!V425&gt;=5,"A+",IF('Data Source'!V425&gt;=4,"A",IF('Data Source'!V425&gt;=3.5,"A-",IF('Data Source'!V425&gt;=3,"B",IF('Data Source'!V425&gt;=2,"C",IF('Data Source'!V425&gt;=1,"D","F")))))),"")</f>
        <v/>
      </c>
      <c r="E425" s="3">
        <f>IF(AND('Data Source'!B425&lt;&gt;"",'Data Source'!S425="F"),IF('Data Source'!W425&gt;=5,"A+",IF('Data Source'!W425&gt;=4,"A",IF('Data Source'!W425&gt;=3.5,"A-",IF('Data Source'!W425&gt;=3,"B",IF('Data Source'!W425&gt;=2,"C",IF('Data Source'!W425&gt;=1,"D","F")))))),"")</f>
        <v/>
      </c>
      <c r="F425" s="3">
        <f>IF(AND('Data Source'!B425&lt;&gt;"",'Data Source'!S425="F"),IF('Data Source'!X425&gt;=5,"A+",IF('Data Source'!X425&gt;=4,"A",IF('Data Source'!X425&gt;=3.5,"A-",IF('Data Source'!X425&gt;=3,"B",IF('Data Source'!X425&gt;=2,"C",IF('Data Source'!X425&gt;=1,"D","F")))))),"")</f>
        <v/>
      </c>
      <c r="G425" s="3">
        <f>IF(AND('Data Source'!B425&lt;&gt;"",'Data Source'!S425="F"),IF('Data Source'!Y425&gt;=5,"A+",IF('Data Source'!Y425&gt;=4,"A",IF('Data Source'!Y425&gt;=3.5,"A-",IF('Data Source'!Y425&gt;=3,"B",IF('Data Source'!Y425&gt;=2,"C",IF('Data Source'!Y425&gt;=1,"D","F")))))),"")</f>
        <v/>
      </c>
      <c r="H425" s="3">
        <f>IF(AND('Data Source'!B425&lt;&gt;"",'Data Source'!S425="F"),IF('Data Source'!Z425&gt;=5,"A+",IF('Data Source'!Z425&gt;=4,"A",IF('Data Source'!Z425&gt;=3.5,"A-",IF('Data Source'!Z425&gt;=3,"B",IF('Data Source'!Z425&gt;=2,"C",IF('Data Source'!Z425&gt;=1,"D","F")))))),"")</f>
        <v/>
      </c>
      <c r="I425" s="3">
        <f>IF(AND('Data Source'!B425&lt;&gt;"",'Data Source'!S425="F"),IF('Data Source'!AA425&gt;=5,"A+",IF('Data Source'!AA425&gt;=4,"A",IF('Data Source'!AA425&gt;=3.5,"A-",IF('Data Source'!AA425&gt;=3,"B",IF('Data Source'!AA425&gt;=2,"C",IF('Data Source'!AA425&gt;=1,"D","F")))))),"")</f>
        <v/>
      </c>
      <c r="J425" s="3">
        <f>IF(AND('Data Source'!B425&lt;&gt;"",'Data Source'!S425="F"),IF('Data Source'!AB425&gt;=5,"A+",IF('Data Source'!AB425&gt;=4,"A",IF('Data Source'!AB425&gt;=3.5,"A-",IF('Data Source'!AB425&gt;=3,"B",IF('Data Source'!AB425&gt;=2,"C",IF('Data Source'!AB425&gt;=1,"D","F")))))),"")</f>
        <v/>
      </c>
      <c r="K425" s="3">
        <f>IF(AND('Data Source'!B425&lt;&gt;"",'Data Source'!S425="F"),IF('Data Source'!AC425&gt;=5,"A+",IF('Data Source'!AC425&gt;=4,"A",IF('Data Source'!AC425&gt;=3.5,"A-",IF('Data Source'!AC425&gt;=3,"B",IF('Data Source'!AC425&gt;=2,"C",IF('Data Source'!AC425&gt;=1,"D","F")))))),"")</f>
        <v/>
      </c>
      <c r="L425" s="3">
        <f>IF(AND('Data Source'!B425&lt;&gt;"",'Data Source'!S425="F"),IF('Data Source'!AD425&gt;=5,"A+",IF('Data Source'!AD425&gt;=4,"A",IF('Data Source'!AD425&gt;=3.5,"A-",IF('Data Source'!AD425&gt;=3,"B",IF('Data Source'!AD425&gt;=2,"C",IF('Data Source'!AD425&gt;=1,"D","F")))))),"")</f>
        <v/>
      </c>
      <c r="M425" s="3">
        <f>IF(AND('Data Source'!B425&lt;&gt;"",'Data Source'!S425="F"),IF('Data Source'!AE425&gt;=5,"A+",IF('Data Source'!AE425&gt;=4,"A",IF('Data Source'!AE425&gt;=3.5,"A-",IF('Data Source'!AE425&gt;=3,"B",IF('Data Source'!AE425&gt;=2,"C",IF('Data Source'!AE425&gt;=1,"D","F")))))),"")</f>
        <v/>
      </c>
      <c r="N425" s="3">
        <f>IF(AND('Data Source'!B425&lt;&gt;"",'Data Source'!S425="F"),IF('Data Source'!AF425&gt;=5,"A+",IF('Data Source'!AF425&gt;=4,"A",IF('Data Source'!AF425&gt;=3.5,"A-",IF('Data Source'!AF425&gt;=3,"B",IF('Data Source'!AF425&gt;=2,"C",IF('Data Source'!AF425&gt;=1,"D","F")))))),"")</f>
        <v/>
      </c>
      <c r="O425" s="3">
        <f>IF(AND('Data Source'!B425&lt;&gt;"",'Data Source'!S425="F"),IF('Data Source'!AG425&gt;=5,"A+",IF('Data Source'!AG425&gt;=4,"A",IF('Data Source'!AG425&gt;=3.5,"A-",IF('Data Source'!AG425&gt;=3,"B",IF('Data Source'!AG425&gt;=2,"C",IF('Data Source'!AG425&gt;=1,"D","F")))))),"")</f>
        <v/>
      </c>
      <c r="P425" s="5">
        <f>IF(AND('Data Source'!B425&lt;&gt;"",'Data Source'!S425="F"),'Data Source'!R425,"")</f>
        <v/>
      </c>
      <c r="Q425" s="3">
        <f>IF(AND('Data Source'!B425&lt;&gt;"",'Data Source'!S425="F"),'Data Source'!S425,"")</f>
        <v/>
      </c>
    </row>
    <row r="426">
      <c r="A426" s="3">
        <f>IF(AND('Data Source'!B426&lt;&gt;"",'Data Source'!S426="F"),COUNTIF('Data Source'!$S$3:S426,"F"),"")</f>
        <v/>
      </c>
      <c r="B426">
        <f>IF(AND('Data Source'!B426&lt;&gt;"",'Data Source'!S426="F"),'Data Source'!B426,"")</f>
        <v/>
      </c>
      <c r="C426" s="3">
        <f>IF(AND('Data Source'!B426&lt;&gt;"",'Data Source'!S426="F"),IF('Data Source'!U426&gt;=5,"A+",IF('Data Source'!U426&gt;=4,"A",IF('Data Source'!U426&gt;=3.5,"A-",IF('Data Source'!U426&gt;=3,"B",IF('Data Source'!U426&gt;=2,"C",IF('Data Source'!U426&gt;=1,"D","F")))))),"")</f>
        <v/>
      </c>
      <c r="D426" s="3">
        <f>IF(AND('Data Source'!B426&lt;&gt;"",'Data Source'!S426="F"),IF('Data Source'!V426&gt;=5,"A+",IF('Data Source'!V426&gt;=4,"A",IF('Data Source'!V426&gt;=3.5,"A-",IF('Data Source'!V426&gt;=3,"B",IF('Data Source'!V426&gt;=2,"C",IF('Data Source'!V426&gt;=1,"D","F")))))),"")</f>
        <v/>
      </c>
      <c r="E426" s="3">
        <f>IF(AND('Data Source'!B426&lt;&gt;"",'Data Source'!S426="F"),IF('Data Source'!W426&gt;=5,"A+",IF('Data Source'!W426&gt;=4,"A",IF('Data Source'!W426&gt;=3.5,"A-",IF('Data Source'!W426&gt;=3,"B",IF('Data Source'!W426&gt;=2,"C",IF('Data Source'!W426&gt;=1,"D","F")))))),"")</f>
        <v/>
      </c>
      <c r="F426" s="3">
        <f>IF(AND('Data Source'!B426&lt;&gt;"",'Data Source'!S426="F"),IF('Data Source'!X426&gt;=5,"A+",IF('Data Source'!X426&gt;=4,"A",IF('Data Source'!X426&gt;=3.5,"A-",IF('Data Source'!X426&gt;=3,"B",IF('Data Source'!X426&gt;=2,"C",IF('Data Source'!X426&gt;=1,"D","F")))))),"")</f>
        <v/>
      </c>
      <c r="G426" s="3">
        <f>IF(AND('Data Source'!B426&lt;&gt;"",'Data Source'!S426="F"),IF('Data Source'!Y426&gt;=5,"A+",IF('Data Source'!Y426&gt;=4,"A",IF('Data Source'!Y426&gt;=3.5,"A-",IF('Data Source'!Y426&gt;=3,"B",IF('Data Source'!Y426&gt;=2,"C",IF('Data Source'!Y426&gt;=1,"D","F")))))),"")</f>
        <v/>
      </c>
      <c r="H426" s="3">
        <f>IF(AND('Data Source'!B426&lt;&gt;"",'Data Source'!S426="F"),IF('Data Source'!Z426&gt;=5,"A+",IF('Data Source'!Z426&gt;=4,"A",IF('Data Source'!Z426&gt;=3.5,"A-",IF('Data Source'!Z426&gt;=3,"B",IF('Data Source'!Z426&gt;=2,"C",IF('Data Source'!Z426&gt;=1,"D","F")))))),"")</f>
        <v/>
      </c>
      <c r="I426" s="3">
        <f>IF(AND('Data Source'!B426&lt;&gt;"",'Data Source'!S426="F"),IF('Data Source'!AA426&gt;=5,"A+",IF('Data Source'!AA426&gt;=4,"A",IF('Data Source'!AA426&gt;=3.5,"A-",IF('Data Source'!AA426&gt;=3,"B",IF('Data Source'!AA426&gt;=2,"C",IF('Data Source'!AA426&gt;=1,"D","F")))))),"")</f>
        <v/>
      </c>
      <c r="J426" s="3">
        <f>IF(AND('Data Source'!B426&lt;&gt;"",'Data Source'!S426="F"),IF('Data Source'!AB426&gt;=5,"A+",IF('Data Source'!AB426&gt;=4,"A",IF('Data Source'!AB426&gt;=3.5,"A-",IF('Data Source'!AB426&gt;=3,"B",IF('Data Source'!AB426&gt;=2,"C",IF('Data Source'!AB426&gt;=1,"D","F")))))),"")</f>
        <v/>
      </c>
      <c r="K426" s="3">
        <f>IF(AND('Data Source'!B426&lt;&gt;"",'Data Source'!S426="F"),IF('Data Source'!AC426&gt;=5,"A+",IF('Data Source'!AC426&gt;=4,"A",IF('Data Source'!AC426&gt;=3.5,"A-",IF('Data Source'!AC426&gt;=3,"B",IF('Data Source'!AC426&gt;=2,"C",IF('Data Source'!AC426&gt;=1,"D","F")))))),"")</f>
        <v/>
      </c>
      <c r="L426" s="3">
        <f>IF(AND('Data Source'!B426&lt;&gt;"",'Data Source'!S426="F"),IF('Data Source'!AD426&gt;=5,"A+",IF('Data Source'!AD426&gt;=4,"A",IF('Data Source'!AD426&gt;=3.5,"A-",IF('Data Source'!AD426&gt;=3,"B",IF('Data Source'!AD426&gt;=2,"C",IF('Data Source'!AD426&gt;=1,"D","F")))))),"")</f>
        <v/>
      </c>
      <c r="M426" s="3">
        <f>IF(AND('Data Source'!B426&lt;&gt;"",'Data Source'!S426="F"),IF('Data Source'!AE426&gt;=5,"A+",IF('Data Source'!AE426&gt;=4,"A",IF('Data Source'!AE426&gt;=3.5,"A-",IF('Data Source'!AE426&gt;=3,"B",IF('Data Source'!AE426&gt;=2,"C",IF('Data Source'!AE426&gt;=1,"D","F")))))),"")</f>
        <v/>
      </c>
      <c r="N426" s="3">
        <f>IF(AND('Data Source'!B426&lt;&gt;"",'Data Source'!S426="F"),IF('Data Source'!AF426&gt;=5,"A+",IF('Data Source'!AF426&gt;=4,"A",IF('Data Source'!AF426&gt;=3.5,"A-",IF('Data Source'!AF426&gt;=3,"B",IF('Data Source'!AF426&gt;=2,"C",IF('Data Source'!AF426&gt;=1,"D","F")))))),"")</f>
        <v/>
      </c>
      <c r="O426" s="3">
        <f>IF(AND('Data Source'!B426&lt;&gt;"",'Data Source'!S426="F"),IF('Data Source'!AG426&gt;=5,"A+",IF('Data Source'!AG426&gt;=4,"A",IF('Data Source'!AG426&gt;=3.5,"A-",IF('Data Source'!AG426&gt;=3,"B",IF('Data Source'!AG426&gt;=2,"C",IF('Data Source'!AG426&gt;=1,"D","F")))))),"")</f>
        <v/>
      </c>
      <c r="P426" s="5">
        <f>IF(AND('Data Source'!B426&lt;&gt;"",'Data Source'!S426="F"),'Data Source'!R426,"")</f>
        <v/>
      </c>
      <c r="Q426" s="3">
        <f>IF(AND('Data Source'!B426&lt;&gt;"",'Data Source'!S426="F"),'Data Source'!S426,"")</f>
        <v/>
      </c>
    </row>
    <row r="427">
      <c r="A427" s="3">
        <f>IF(AND('Data Source'!B427&lt;&gt;"",'Data Source'!S427="F"),COUNTIF('Data Source'!$S$3:S427,"F"),"")</f>
        <v/>
      </c>
      <c r="B427">
        <f>IF(AND('Data Source'!B427&lt;&gt;"",'Data Source'!S427="F"),'Data Source'!B427,"")</f>
        <v/>
      </c>
      <c r="C427" s="3">
        <f>IF(AND('Data Source'!B427&lt;&gt;"",'Data Source'!S427="F"),IF('Data Source'!U427&gt;=5,"A+",IF('Data Source'!U427&gt;=4,"A",IF('Data Source'!U427&gt;=3.5,"A-",IF('Data Source'!U427&gt;=3,"B",IF('Data Source'!U427&gt;=2,"C",IF('Data Source'!U427&gt;=1,"D","F")))))),"")</f>
        <v/>
      </c>
      <c r="D427" s="3">
        <f>IF(AND('Data Source'!B427&lt;&gt;"",'Data Source'!S427="F"),IF('Data Source'!V427&gt;=5,"A+",IF('Data Source'!V427&gt;=4,"A",IF('Data Source'!V427&gt;=3.5,"A-",IF('Data Source'!V427&gt;=3,"B",IF('Data Source'!V427&gt;=2,"C",IF('Data Source'!V427&gt;=1,"D","F")))))),"")</f>
        <v/>
      </c>
      <c r="E427" s="3">
        <f>IF(AND('Data Source'!B427&lt;&gt;"",'Data Source'!S427="F"),IF('Data Source'!W427&gt;=5,"A+",IF('Data Source'!W427&gt;=4,"A",IF('Data Source'!W427&gt;=3.5,"A-",IF('Data Source'!W427&gt;=3,"B",IF('Data Source'!W427&gt;=2,"C",IF('Data Source'!W427&gt;=1,"D","F")))))),"")</f>
        <v/>
      </c>
      <c r="F427" s="3">
        <f>IF(AND('Data Source'!B427&lt;&gt;"",'Data Source'!S427="F"),IF('Data Source'!X427&gt;=5,"A+",IF('Data Source'!X427&gt;=4,"A",IF('Data Source'!X427&gt;=3.5,"A-",IF('Data Source'!X427&gt;=3,"B",IF('Data Source'!X427&gt;=2,"C",IF('Data Source'!X427&gt;=1,"D","F")))))),"")</f>
        <v/>
      </c>
      <c r="G427" s="3">
        <f>IF(AND('Data Source'!B427&lt;&gt;"",'Data Source'!S427="F"),IF('Data Source'!Y427&gt;=5,"A+",IF('Data Source'!Y427&gt;=4,"A",IF('Data Source'!Y427&gt;=3.5,"A-",IF('Data Source'!Y427&gt;=3,"B",IF('Data Source'!Y427&gt;=2,"C",IF('Data Source'!Y427&gt;=1,"D","F")))))),"")</f>
        <v/>
      </c>
      <c r="H427" s="3">
        <f>IF(AND('Data Source'!B427&lt;&gt;"",'Data Source'!S427="F"),IF('Data Source'!Z427&gt;=5,"A+",IF('Data Source'!Z427&gt;=4,"A",IF('Data Source'!Z427&gt;=3.5,"A-",IF('Data Source'!Z427&gt;=3,"B",IF('Data Source'!Z427&gt;=2,"C",IF('Data Source'!Z427&gt;=1,"D","F")))))),"")</f>
        <v/>
      </c>
      <c r="I427" s="3">
        <f>IF(AND('Data Source'!B427&lt;&gt;"",'Data Source'!S427="F"),IF('Data Source'!AA427&gt;=5,"A+",IF('Data Source'!AA427&gt;=4,"A",IF('Data Source'!AA427&gt;=3.5,"A-",IF('Data Source'!AA427&gt;=3,"B",IF('Data Source'!AA427&gt;=2,"C",IF('Data Source'!AA427&gt;=1,"D","F")))))),"")</f>
        <v/>
      </c>
      <c r="J427" s="3">
        <f>IF(AND('Data Source'!B427&lt;&gt;"",'Data Source'!S427="F"),IF('Data Source'!AB427&gt;=5,"A+",IF('Data Source'!AB427&gt;=4,"A",IF('Data Source'!AB427&gt;=3.5,"A-",IF('Data Source'!AB427&gt;=3,"B",IF('Data Source'!AB427&gt;=2,"C",IF('Data Source'!AB427&gt;=1,"D","F")))))),"")</f>
        <v/>
      </c>
      <c r="K427" s="3">
        <f>IF(AND('Data Source'!B427&lt;&gt;"",'Data Source'!S427="F"),IF('Data Source'!AC427&gt;=5,"A+",IF('Data Source'!AC427&gt;=4,"A",IF('Data Source'!AC427&gt;=3.5,"A-",IF('Data Source'!AC427&gt;=3,"B",IF('Data Source'!AC427&gt;=2,"C",IF('Data Source'!AC427&gt;=1,"D","F")))))),"")</f>
        <v/>
      </c>
      <c r="L427" s="3">
        <f>IF(AND('Data Source'!B427&lt;&gt;"",'Data Source'!S427="F"),IF('Data Source'!AD427&gt;=5,"A+",IF('Data Source'!AD427&gt;=4,"A",IF('Data Source'!AD427&gt;=3.5,"A-",IF('Data Source'!AD427&gt;=3,"B",IF('Data Source'!AD427&gt;=2,"C",IF('Data Source'!AD427&gt;=1,"D","F")))))),"")</f>
        <v/>
      </c>
      <c r="M427" s="3">
        <f>IF(AND('Data Source'!B427&lt;&gt;"",'Data Source'!S427="F"),IF('Data Source'!AE427&gt;=5,"A+",IF('Data Source'!AE427&gt;=4,"A",IF('Data Source'!AE427&gt;=3.5,"A-",IF('Data Source'!AE427&gt;=3,"B",IF('Data Source'!AE427&gt;=2,"C",IF('Data Source'!AE427&gt;=1,"D","F")))))),"")</f>
        <v/>
      </c>
      <c r="N427" s="3">
        <f>IF(AND('Data Source'!B427&lt;&gt;"",'Data Source'!S427="F"),IF('Data Source'!AF427&gt;=5,"A+",IF('Data Source'!AF427&gt;=4,"A",IF('Data Source'!AF427&gt;=3.5,"A-",IF('Data Source'!AF427&gt;=3,"B",IF('Data Source'!AF427&gt;=2,"C",IF('Data Source'!AF427&gt;=1,"D","F")))))),"")</f>
        <v/>
      </c>
      <c r="O427" s="3">
        <f>IF(AND('Data Source'!B427&lt;&gt;"",'Data Source'!S427="F"),IF('Data Source'!AG427&gt;=5,"A+",IF('Data Source'!AG427&gt;=4,"A",IF('Data Source'!AG427&gt;=3.5,"A-",IF('Data Source'!AG427&gt;=3,"B",IF('Data Source'!AG427&gt;=2,"C",IF('Data Source'!AG427&gt;=1,"D","F")))))),"")</f>
        <v/>
      </c>
      <c r="P427" s="5">
        <f>IF(AND('Data Source'!B427&lt;&gt;"",'Data Source'!S427="F"),'Data Source'!R427,"")</f>
        <v/>
      </c>
      <c r="Q427" s="3">
        <f>IF(AND('Data Source'!B427&lt;&gt;"",'Data Source'!S427="F"),'Data Source'!S427,"")</f>
        <v/>
      </c>
    </row>
    <row r="428">
      <c r="A428" s="3">
        <f>IF(AND('Data Source'!B428&lt;&gt;"",'Data Source'!S428="F"),COUNTIF('Data Source'!$S$3:S428,"F"),"")</f>
        <v/>
      </c>
      <c r="B428">
        <f>IF(AND('Data Source'!B428&lt;&gt;"",'Data Source'!S428="F"),'Data Source'!B428,"")</f>
        <v/>
      </c>
      <c r="C428" s="3">
        <f>IF(AND('Data Source'!B428&lt;&gt;"",'Data Source'!S428="F"),IF('Data Source'!U428&gt;=5,"A+",IF('Data Source'!U428&gt;=4,"A",IF('Data Source'!U428&gt;=3.5,"A-",IF('Data Source'!U428&gt;=3,"B",IF('Data Source'!U428&gt;=2,"C",IF('Data Source'!U428&gt;=1,"D","F")))))),"")</f>
        <v/>
      </c>
      <c r="D428" s="3">
        <f>IF(AND('Data Source'!B428&lt;&gt;"",'Data Source'!S428="F"),IF('Data Source'!V428&gt;=5,"A+",IF('Data Source'!V428&gt;=4,"A",IF('Data Source'!V428&gt;=3.5,"A-",IF('Data Source'!V428&gt;=3,"B",IF('Data Source'!V428&gt;=2,"C",IF('Data Source'!V428&gt;=1,"D","F")))))),"")</f>
        <v/>
      </c>
      <c r="E428" s="3">
        <f>IF(AND('Data Source'!B428&lt;&gt;"",'Data Source'!S428="F"),IF('Data Source'!W428&gt;=5,"A+",IF('Data Source'!W428&gt;=4,"A",IF('Data Source'!W428&gt;=3.5,"A-",IF('Data Source'!W428&gt;=3,"B",IF('Data Source'!W428&gt;=2,"C",IF('Data Source'!W428&gt;=1,"D","F")))))),"")</f>
        <v/>
      </c>
      <c r="F428" s="3">
        <f>IF(AND('Data Source'!B428&lt;&gt;"",'Data Source'!S428="F"),IF('Data Source'!X428&gt;=5,"A+",IF('Data Source'!X428&gt;=4,"A",IF('Data Source'!X428&gt;=3.5,"A-",IF('Data Source'!X428&gt;=3,"B",IF('Data Source'!X428&gt;=2,"C",IF('Data Source'!X428&gt;=1,"D","F")))))),"")</f>
        <v/>
      </c>
      <c r="G428" s="3">
        <f>IF(AND('Data Source'!B428&lt;&gt;"",'Data Source'!S428="F"),IF('Data Source'!Y428&gt;=5,"A+",IF('Data Source'!Y428&gt;=4,"A",IF('Data Source'!Y428&gt;=3.5,"A-",IF('Data Source'!Y428&gt;=3,"B",IF('Data Source'!Y428&gt;=2,"C",IF('Data Source'!Y428&gt;=1,"D","F")))))),"")</f>
        <v/>
      </c>
      <c r="H428" s="3">
        <f>IF(AND('Data Source'!B428&lt;&gt;"",'Data Source'!S428="F"),IF('Data Source'!Z428&gt;=5,"A+",IF('Data Source'!Z428&gt;=4,"A",IF('Data Source'!Z428&gt;=3.5,"A-",IF('Data Source'!Z428&gt;=3,"B",IF('Data Source'!Z428&gt;=2,"C",IF('Data Source'!Z428&gt;=1,"D","F")))))),"")</f>
        <v/>
      </c>
      <c r="I428" s="3">
        <f>IF(AND('Data Source'!B428&lt;&gt;"",'Data Source'!S428="F"),IF('Data Source'!AA428&gt;=5,"A+",IF('Data Source'!AA428&gt;=4,"A",IF('Data Source'!AA428&gt;=3.5,"A-",IF('Data Source'!AA428&gt;=3,"B",IF('Data Source'!AA428&gt;=2,"C",IF('Data Source'!AA428&gt;=1,"D","F")))))),"")</f>
        <v/>
      </c>
      <c r="J428" s="3">
        <f>IF(AND('Data Source'!B428&lt;&gt;"",'Data Source'!S428="F"),IF('Data Source'!AB428&gt;=5,"A+",IF('Data Source'!AB428&gt;=4,"A",IF('Data Source'!AB428&gt;=3.5,"A-",IF('Data Source'!AB428&gt;=3,"B",IF('Data Source'!AB428&gt;=2,"C",IF('Data Source'!AB428&gt;=1,"D","F")))))),"")</f>
        <v/>
      </c>
      <c r="K428" s="3">
        <f>IF(AND('Data Source'!B428&lt;&gt;"",'Data Source'!S428="F"),IF('Data Source'!AC428&gt;=5,"A+",IF('Data Source'!AC428&gt;=4,"A",IF('Data Source'!AC428&gt;=3.5,"A-",IF('Data Source'!AC428&gt;=3,"B",IF('Data Source'!AC428&gt;=2,"C",IF('Data Source'!AC428&gt;=1,"D","F")))))),"")</f>
        <v/>
      </c>
      <c r="L428" s="3">
        <f>IF(AND('Data Source'!B428&lt;&gt;"",'Data Source'!S428="F"),IF('Data Source'!AD428&gt;=5,"A+",IF('Data Source'!AD428&gt;=4,"A",IF('Data Source'!AD428&gt;=3.5,"A-",IF('Data Source'!AD428&gt;=3,"B",IF('Data Source'!AD428&gt;=2,"C",IF('Data Source'!AD428&gt;=1,"D","F")))))),"")</f>
        <v/>
      </c>
      <c r="M428" s="3">
        <f>IF(AND('Data Source'!B428&lt;&gt;"",'Data Source'!S428="F"),IF('Data Source'!AE428&gt;=5,"A+",IF('Data Source'!AE428&gt;=4,"A",IF('Data Source'!AE428&gt;=3.5,"A-",IF('Data Source'!AE428&gt;=3,"B",IF('Data Source'!AE428&gt;=2,"C",IF('Data Source'!AE428&gt;=1,"D","F")))))),"")</f>
        <v/>
      </c>
      <c r="N428" s="3">
        <f>IF(AND('Data Source'!B428&lt;&gt;"",'Data Source'!S428="F"),IF('Data Source'!AF428&gt;=5,"A+",IF('Data Source'!AF428&gt;=4,"A",IF('Data Source'!AF428&gt;=3.5,"A-",IF('Data Source'!AF428&gt;=3,"B",IF('Data Source'!AF428&gt;=2,"C",IF('Data Source'!AF428&gt;=1,"D","F")))))),"")</f>
        <v/>
      </c>
      <c r="O428" s="3">
        <f>IF(AND('Data Source'!B428&lt;&gt;"",'Data Source'!S428="F"),IF('Data Source'!AG428&gt;=5,"A+",IF('Data Source'!AG428&gt;=4,"A",IF('Data Source'!AG428&gt;=3.5,"A-",IF('Data Source'!AG428&gt;=3,"B",IF('Data Source'!AG428&gt;=2,"C",IF('Data Source'!AG428&gt;=1,"D","F")))))),"")</f>
        <v/>
      </c>
      <c r="P428" s="5">
        <f>IF(AND('Data Source'!B428&lt;&gt;"",'Data Source'!S428="F"),'Data Source'!R428,"")</f>
        <v/>
      </c>
      <c r="Q428" s="3">
        <f>IF(AND('Data Source'!B428&lt;&gt;"",'Data Source'!S428="F"),'Data Source'!S428,"")</f>
        <v/>
      </c>
    </row>
    <row r="429">
      <c r="A429" s="3">
        <f>IF(AND('Data Source'!B429&lt;&gt;"",'Data Source'!S429="F"),COUNTIF('Data Source'!$S$3:S429,"F"),"")</f>
        <v/>
      </c>
      <c r="B429">
        <f>IF(AND('Data Source'!B429&lt;&gt;"",'Data Source'!S429="F"),'Data Source'!B429,"")</f>
        <v/>
      </c>
      <c r="C429" s="3">
        <f>IF(AND('Data Source'!B429&lt;&gt;"",'Data Source'!S429="F"),IF('Data Source'!U429&gt;=5,"A+",IF('Data Source'!U429&gt;=4,"A",IF('Data Source'!U429&gt;=3.5,"A-",IF('Data Source'!U429&gt;=3,"B",IF('Data Source'!U429&gt;=2,"C",IF('Data Source'!U429&gt;=1,"D","F")))))),"")</f>
        <v/>
      </c>
      <c r="D429" s="3">
        <f>IF(AND('Data Source'!B429&lt;&gt;"",'Data Source'!S429="F"),IF('Data Source'!V429&gt;=5,"A+",IF('Data Source'!V429&gt;=4,"A",IF('Data Source'!V429&gt;=3.5,"A-",IF('Data Source'!V429&gt;=3,"B",IF('Data Source'!V429&gt;=2,"C",IF('Data Source'!V429&gt;=1,"D","F")))))),"")</f>
        <v/>
      </c>
      <c r="E429" s="3">
        <f>IF(AND('Data Source'!B429&lt;&gt;"",'Data Source'!S429="F"),IF('Data Source'!W429&gt;=5,"A+",IF('Data Source'!W429&gt;=4,"A",IF('Data Source'!W429&gt;=3.5,"A-",IF('Data Source'!W429&gt;=3,"B",IF('Data Source'!W429&gt;=2,"C",IF('Data Source'!W429&gt;=1,"D","F")))))),"")</f>
        <v/>
      </c>
      <c r="F429" s="3">
        <f>IF(AND('Data Source'!B429&lt;&gt;"",'Data Source'!S429="F"),IF('Data Source'!X429&gt;=5,"A+",IF('Data Source'!X429&gt;=4,"A",IF('Data Source'!X429&gt;=3.5,"A-",IF('Data Source'!X429&gt;=3,"B",IF('Data Source'!X429&gt;=2,"C",IF('Data Source'!X429&gt;=1,"D","F")))))),"")</f>
        <v/>
      </c>
      <c r="G429" s="3">
        <f>IF(AND('Data Source'!B429&lt;&gt;"",'Data Source'!S429="F"),IF('Data Source'!Y429&gt;=5,"A+",IF('Data Source'!Y429&gt;=4,"A",IF('Data Source'!Y429&gt;=3.5,"A-",IF('Data Source'!Y429&gt;=3,"B",IF('Data Source'!Y429&gt;=2,"C",IF('Data Source'!Y429&gt;=1,"D","F")))))),"")</f>
        <v/>
      </c>
      <c r="H429" s="3">
        <f>IF(AND('Data Source'!B429&lt;&gt;"",'Data Source'!S429="F"),IF('Data Source'!Z429&gt;=5,"A+",IF('Data Source'!Z429&gt;=4,"A",IF('Data Source'!Z429&gt;=3.5,"A-",IF('Data Source'!Z429&gt;=3,"B",IF('Data Source'!Z429&gt;=2,"C",IF('Data Source'!Z429&gt;=1,"D","F")))))),"")</f>
        <v/>
      </c>
      <c r="I429" s="3">
        <f>IF(AND('Data Source'!B429&lt;&gt;"",'Data Source'!S429="F"),IF('Data Source'!AA429&gt;=5,"A+",IF('Data Source'!AA429&gt;=4,"A",IF('Data Source'!AA429&gt;=3.5,"A-",IF('Data Source'!AA429&gt;=3,"B",IF('Data Source'!AA429&gt;=2,"C",IF('Data Source'!AA429&gt;=1,"D","F")))))),"")</f>
        <v/>
      </c>
      <c r="J429" s="3">
        <f>IF(AND('Data Source'!B429&lt;&gt;"",'Data Source'!S429="F"),IF('Data Source'!AB429&gt;=5,"A+",IF('Data Source'!AB429&gt;=4,"A",IF('Data Source'!AB429&gt;=3.5,"A-",IF('Data Source'!AB429&gt;=3,"B",IF('Data Source'!AB429&gt;=2,"C",IF('Data Source'!AB429&gt;=1,"D","F")))))),"")</f>
        <v/>
      </c>
      <c r="K429" s="3">
        <f>IF(AND('Data Source'!B429&lt;&gt;"",'Data Source'!S429="F"),IF('Data Source'!AC429&gt;=5,"A+",IF('Data Source'!AC429&gt;=4,"A",IF('Data Source'!AC429&gt;=3.5,"A-",IF('Data Source'!AC429&gt;=3,"B",IF('Data Source'!AC429&gt;=2,"C",IF('Data Source'!AC429&gt;=1,"D","F")))))),"")</f>
        <v/>
      </c>
      <c r="L429" s="3">
        <f>IF(AND('Data Source'!B429&lt;&gt;"",'Data Source'!S429="F"),IF('Data Source'!AD429&gt;=5,"A+",IF('Data Source'!AD429&gt;=4,"A",IF('Data Source'!AD429&gt;=3.5,"A-",IF('Data Source'!AD429&gt;=3,"B",IF('Data Source'!AD429&gt;=2,"C",IF('Data Source'!AD429&gt;=1,"D","F")))))),"")</f>
        <v/>
      </c>
      <c r="M429" s="3">
        <f>IF(AND('Data Source'!B429&lt;&gt;"",'Data Source'!S429="F"),IF('Data Source'!AE429&gt;=5,"A+",IF('Data Source'!AE429&gt;=4,"A",IF('Data Source'!AE429&gt;=3.5,"A-",IF('Data Source'!AE429&gt;=3,"B",IF('Data Source'!AE429&gt;=2,"C",IF('Data Source'!AE429&gt;=1,"D","F")))))),"")</f>
        <v/>
      </c>
      <c r="N429" s="3">
        <f>IF(AND('Data Source'!B429&lt;&gt;"",'Data Source'!S429="F"),IF('Data Source'!AF429&gt;=5,"A+",IF('Data Source'!AF429&gt;=4,"A",IF('Data Source'!AF429&gt;=3.5,"A-",IF('Data Source'!AF429&gt;=3,"B",IF('Data Source'!AF429&gt;=2,"C",IF('Data Source'!AF429&gt;=1,"D","F")))))),"")</f>
        <v/>
      </c>
      <c r="O429" s="3">
        <f>IF(AND('Data Source'!B429&lt;&gt;"",'Data Source'!S429="F"),IF('Data Source'!AG429&gt;=5,"A+",IF('Data Source'!AG429&gt;=4,"A",IF('Data Source'!AG429&gt;=3.5,"A-",IF('Data Source'!AG429&gt;=3,"B",IF('Data Source'!AG429&gt;=2,"C",IF('Data Source'!AG429&gt;=1,"D","F")))))),"")</f>
        <v/>
      </c>
      <c r="P429" s="5">
        <f>IF(AND('Data Source'!B429&lt;&gt;"",'Data Source'!S429="F"),'Data Source'!R429,"")</f>
        <v/>
      </c>
      <c r="Q429" s="3">
        <f>IF(AND('Data Source'!B429&lt;&gt;"",'Data Source'!S429="F"),'Data Source'!S429,"")</f>
        <v/>
      </c>
    </row>
    <row r="430">
      <c r="A430" s="3">
        <f>IF(AND('Data Source'!B430&lt;&gt;"",'Data Source'!S430="F"),COUNTIF('Data Source'!$S$3:S430,"F"),"")</f>
        <v/>
      </c>
      <c r="B430">
        <f>IF(AND('Data Source'!B430&lt;&gt;"",'Data Source'!S430="F"),'Data Source'!B430,"")</f>
        <v/>
      </c>
      <c r="C430" s="3">
        <f>IF(AND('Data Source'!B430&lt;&gt;"",'Data Source'!S430="F"),IF('Data Source'!U430&gt;=5,"A+",IF('Data Source'!U430&gt;=4,"A",IF('Data Source'!U430&gt;=3.5,"A-",IF('Data Source'!U430&gt;=3,"B",IF('Data Source'!U430&gt;=2,"C",IF('Data Source'!U430&gt;=1,"D","F")))))),"")</f>
        <v/>
      </c>
      <c r="D430" s="3">
        <f>IF(AND('Data Source'!B430&lt;&gt;"",'Data Source'!S430="F"),IF('Data Source'!V430&gt;=5,"A+",IF('Data Source'!V430&gt;=4,"A",IF('Data Source'!V430&gt;=3.5,"A-",IF('Data Source'!V430&gt;=3,"B",IF('Data Source'!V430&gt;=2,"C",IF('Data Source'!V430&gt;=1,"D","F")))))),"")</f>
        <v/>
      </c>
      <c r="E430" s="3">
        <f>IF(AND('Data Source'!B430&lt;&gt;"",'Data Source'!S430="F"),IF('Data Source'!W430&gt;=5,"A+",IF('Data Source'!W430&gt;=4,"A",IF('Data Source'!W430&gt;=3.5,"A-",IF('Data Source'!W430&gt;=3,"B",IF('Data Source'!W430&gt;=2,"C",IF('Data Source'!W430&gt;=1,"D","F")))))),"")</f>
        <v/>
      </c>
      <c r="F430" s="3">
        <f>IF(AND('Data Source'!B430&lt;&gt;"",'Data Source'!S430="F"),IF('Data Source'!X430&gt;=5,"A+",IF('Data Source'!X430&gt;=4,"A",IF('Data Source'!X430&gt;=3.5,"A-",IF('Data Source'!X430&gt;=3,"B",IF('Data Source'!X430&gt;=2,"C",IF('Data Source'!X430&gt;=1,"D","F")))))),"")</f>
        <v/>
      </c>
      <c r="G430" s="3">
        <f>IF(AND('Data Source'!B430&lt;&gt;"",'Data Source'!S430="F"),IF('Data Source'!Y430&gt;=5,"A+",IF('Data Source'!Y430&gt;=4,"A",IF('Data Source'!Y430&gt;=3.5,"A-",IF('Data Source'!Y430&gt;=3,"B",IF('Data Source'!Y430&gt;=2,"C",IF('Data Source'!Y430&gt;=1,"D","F")))))),"")</f>
        <v/>
      </c>
      <c r="H430" s="3">
        <f>IF(AND('Data Source'!B430&lt;&gt;"",'Data Source'!S430="F"),IF('Data Source'!Z430&gt;=5,"A+",IF('Data Source'!Z430&gt;=4,"A",IF('Data Source'!Z430&gt;=3.5,"A-",IF('Data Source'!Z430&gt;=3,"B",IF('Data Source'!Z430&gt;=2,"C",IF('Data Source'!Z430&gt;=1,"D","F")))))),"")</f>
        <v/>
      </c>
      <c r="I430" s="3">
        <f>IF(AND('Data Source'!B430&lt;&gt;"",'Data Source'!S430="F"),IF('Data Source'!AA430&gt;=5,"A+",IF('Data Source'!AA430&gt;=4,"A",IF('Data Source'!AA430&gt;=3.5,"A-",IF('Data Source'!AA430&gt;=3,"B",IF('Data Source'!AA430&gt;=2,"C",IF('Data Source'!AA430&gt;=1,"D","F")))))),"")</f>
        <v/>
      </c>
      <c r="J430" s="3">
        <f>IF(AND('Data Source'!B430&lt;&gt;"",'Data Source'!S430="F"),IF('Data Source'!AB430&gt;=5,"A+",IF('Data Source'!AB430&gt;=4,"A",IF('Data Source'!AB430&gt;=3.5,"A-",IF('Data Source'!AB430&gt;=3,"B",IF('Data Source'!AB430&gt;=2,"C",IF('Data Source'!AB430&gt;=1,"D","F")))))),"")</f>
        <v/>
      </c>
      <c r="K430" s="3">
        <f>IF(AND('Data Source'!B430&lt;&gt;"",'Data Source'!S430="F"),IF('Data Source'!AC430&gt;=5,"A+",IF('Data Source'!AC430&gt;=4,"A",IF('Data Source'!AC430&gt;=3.5,"A-",IF('Data Source'!AC430&gt;=3,"B",IF('Data Source'!AC430&gt;=2,"C",IF('Data Source'!AC430&gt;=1,"D","F")))))),"")</f>
        <v/>
      </c>
      <c r="L430" s="3">
        <f>IF(AND('Data Source'!B430&lt;&gt;"",'Data Source'!S430="F"),IF('Data Source'!AD430&gt;=5,"A+",IF('Data Source'!AD430&gt;=4,"A",IF('Data Source'!AD430&gt;=3.5,"A-",IF('Data Source'!AD430&gt;=3,"B",IF('Data Source'!AD430&gt;=2,"C",IF('Data Source'!AD430&gt;=1,"D","F")))))),"")</f>
        <v/>
      </c>
      <c r="M430" s="3">
        <f>IF(AND('Data Source'!B430&lt;&gt;"",'Data Source'!S430="F"),IF('Data Source'!AE430&gt;=5,"A+",IF('Data Source'!AE430&gt;=4,"A",IF('Data Source'!AE430&gt;=3.5,"A-",IF('Data Source'!AE430&gt;=3,"B",IF('Data Source'!AE430&gt;=2,"C",IF('Data Source'!AE430&gt;=1,"D","F")))))),"")</f>
        <v/>
      </c>
      <c r="N430" s="3">
        <f>IF(AND('Data Source'!B430&lt;&gt;"",'Data Source'!S430="F"),IF('Data Source'!AF430&gt;=5,"A+",IF('Data Source'!AF430&gt;=4,"A",IF('Data Source'!AF430&gt;=3.5,"A-",IF('Data Source'!AF430&gt;=3,"B",IF('Data Source'!AF430&gt;=2,"C",IF('Data Source'!AF430&gt;=1,"D","F")))))),"")</f>
        <v/>
      </c>
      <c r="O430" s="3">
        <f>IF(AND('Data Source'!B430&lt;&gt;"",'Data Source'!S430="F"),IF('Data Source'!AG430&gt;=5,"A+",IF('Data Source'!AG430&gt;=4,"A",IF('Data Source'!AG430&gt;=3.5,"A-",IF('Data Source'!AG430&gt;=3,"B",IF('Data Source'!AG430&gt;=2,"C",IF('Data Source'!AG430&gt;=1,"D","F")))))),"")</f>
        <v/>
      </c>
      <c r="P430" s="5">
        <f>IF(AND('Data Source'!B430&lt;&gt;"",'Data Source'!S430="F"),'Data Source'!R430,"")</f>
        <v/>
      </c>
      <c r="Q430" s="3">
        <f>IF(AND('Data Source'!B430&lt;&gt;"",'Data Source'!S430="F"),'Data Source'!S430,"")</f>
        <v/>
      </c>
    </row>
    <row r="431">
      <c r="A431" s="3">
        <f>IF(AND('Data Source'!B431&lt;&gt;"",'Data Source'!S431="F"),COUNTIF('Data Source'!$S$3:S431,"F"),"")</f>
        <v/>
      </c>
      <c r="B431">
        <f>IF(AND('Data Source'!B431&lt;&gt;"",'Data Source'!S431="F"),'Data Source'!B431,"")</f>
        <v/>
      </c>
      <c r="C431" s="3">
        <f>IF(AND('Data Source'!B431&lt;&gt;"",'Data Source'!S431="F"),IF('Data Source'!U431&gt;=5,"A+",IF('Data Source'!U431&gt;=4,"A",IF('Data Source'!U431&gt;=3.5,"A-",IF('Data Source'!U431&gt;=3,"B",IF('Data Source'!U431&gt;=2,"C",IF('Data Source'!U431&gt;=1,"D","F")))))),"")</f>
        <v/>
      </c>
      <c r="D431" s="3">
        <f>IF(AND('Data Source'!B431&lt;&gt;"",'Data Source'!S431="F"),IF('Data Source'!V431&gt;=5,"A+",IF('Data Source'!V431&gt;=4,"A",IF('Data Source'!V431&gt;=3.5,"A-",IF('Data Source'!V431&gt;=3,"B",IF('Data Source'!V431&gt;=2,"C",IF('Data Source'!V431&gt;=1,"D","F")))))),"")</f>
        <v/>
      </c>
      <c r="E431" s="3">
        <f>IF(AND('Data Source'!B431&lt;&gt;"",'Data Source'!S431="F"),IF('Data Source'!W431&gt;=5,"A+",IF('Data Source'!W431&gt;=4,"A",IF('Data Source'!W431&gt;=3.5,"A-",IF('Data Source'!W431&gt;=3,"B",IF('Data Source'!W431&gt;=2,"C",IF('Data Source'!W431&gt;=1,"D","F")))))),"")</f>
        <v/>
      </c>
      <c r="F431" s="3">
        <f>IF(AND('Data Source'!B431&lt;&gt;"",'Data Source'!S431="F"),IF('Data Source'!X431&gt;=5,"A+",IF('Data Source'!X431&gt;=4,"A",IF('Data Source'!X431&gt;=3.5,"A-",IF('Data Source'!X431&gt;=3,"B",IF('Data Source'!X431&gt;=2,"C",IF('Data Source'!X431&gt;=1,"D","F")))))),"")</f>
        <v/>
      </c>
      <c r="G431" s="3">
        <f>IF(AND('Data Source'!B431&lt;&gt;"",'Data Source'!S431="F"),IF('Data Source'!Y431&gt;=5,"A+",IF('Data Source'!Y431&gt;=4,"A",IF('Data Source'!Y431&gt;=3.5,"A-",IF('Data Source'!Y431&gt;=3,"B",IF('Data Source'!Y431&gt;=2,"C",IF('Data Source'!Y431&gt;=1,"D","F")))))),"")</f>
        <v/>
      </c>
      <c r="H431" s="3">
        <f>IF(AND('Data Source'!B431&lt;&gt;"",'Data Source'!S431="F"),IF('Data Source'!Z431&gt;=5,"A+",IF('Data Source'!Z431&gt;=4,"A",IF('Data Source'!Z431&gt;=3.5,"A-",IF('Data Source'!Z431&gt;=3,"B",IF('Data Source'!Z431&gt;=2,"C",IF('Data Source'!Z431&gt;=1,"D","F")))))),"")</f>
        <v/>
      </c>
      <c r="I431" s="3">
        <f>IF(AND('Data Source'!B431&lt;&gt;"",'Data Source'!S431="F"),IF('Data Source'!AA431&gt;=5,"A+",IF('Data Source'!AA431&gt;=4,"A",IF('Data Source'!AA431&gt;=3.5,"A-",IF('Data Source'!AA431&gt;=3,"B",IF('Data Source'!AA431&gt;=2,"C",IF('Data Source'!AA431&gt;=1,"D","F")))))),"")</f>
        <v/>
      </c>
      <c r="J431" s="3">
        <f>IF(AND('Data Source'!B431&lt;&gt;"",'Data Source'!S431="F"),IF('Data Source'!AB431&gt;=5,"A+",IF('Data Source'!AB431&gt;=4,"A",IF('Data Source'!AB431&gt;=3.5,"A-",IF('Data Source'!AB431&gt;=3,"B",IF('Data Source'!AB431&gt;=2,"C",IF('Data Source'!AB431&gt;=1,"D","F")))))),"")</f>
        <v/>
      </c>
      <c r="K431" s="3">
        <f>IF(AND('Data Source'!B431&lt;&gt;"",'Data Source'!S431="F"),IF('Data Source'!AC431&gt;=5,"A+",IF('Data Source'!AC431&gt;=4,"A",IF('Data Source'!AC431&gt;=3.5,"A-",IF('Data Source'!AC431&gt;=3,"B",IF('Data Source'!AC431&gt;=2,"C",IF('Data Source'!AC431&gt;=1,"D","F")))))),"")</f>
        <v/>
      </c>
      <c r="L431" s="3">
        <f>IF(AND('Data Source'!B431&lt;&gt;"",'Data Source'!S431="F"),IF('Data Source'!AD431&gt;=5,"A+",IF('Data Source'!AD431&gt;=4,"A",IF('Data Source'!AD431&gt;=3.5,"A-",IF('Data Source'!AD431&gt;=3,"B",IF('Data Source'!AD431&gt;=2,"C",IF('Data Source'!AD431&gt;=1,"D","F")))))),"")</f>
        <v/>
      </c>
      <c r="M431" s="3">
        <f>IF(AND('Data Source'!B431&lt;&gt;"",'Data Source'!S431="F"),IF('Data Source'!AE431&gt;=5,"A+",IF('Data Source'!AE431&gt;=4,"A",IF('Data Source'!AE431&gt;=3.5,"A-",IF('Data Source'!AE431&gt;=3,"B",IF('Data Source'!AE431&gt;=2,"C",IF('Data Source'!AE431&gt;=1,"D","F")))))),"")</f>
        <v/>
      </c>
      <c r="N431" s="3">
        <f>IF(AND('Data Source'!B431&lt;&gt;"",'Data Source'!S431="F"),IF('Data Source'!AF431&gt;=5,"A+",IF('Data Source'!AF431&gt;=4,"A",IF('Data Source'!AF431&gt;=3.5,"A-",IF('Data Source'!AF431&gt;=3,"B",IF('Data Source'!AF431&gt;=2,"C",IF('Data Source'!AF431&gt;=1,"D","F")))))),"")</f>
        <v/>
      </c>
      <c r="O431" s="3">
        <f>IF(AND('Data Source'!B431&lt;&gt;"",'Data Source'!S431="F"),IF('Data Source'!AG431&gt;=5,"A+",IF('Data Source'!AG431&gt;=4,"A",IF('Data Source'!AG431&gt;=3.5,"A-",IF('Data Source'!AG431&gt;=3,"B",IF('Data Source'!AG431&gt;=2,"C",IF('Data Source'!AG431&gt;=1,"D","F")))))),"")</f>
        <v/>
      </c>
      <c r="P431" s="5">
        <f>IF(AND('Data Source'!B431&lt;&gt;"",'Data Source'!S431="F"),'Data Source'!R431,"")</f>
        <v/>
      </c>
      <c r="Q431" s="3">
        <f>IF(AND('Data Source'!B431&lt;&gt;"",'Data Source'!S431="F"),'Data Source'!S431,"")</f>
        <v/>
      </c>
    </row>
    <row r="432">
      <c r="A432" s="3">
        <f>IF(AND('Data Source'!B432&lt;&gt;"",'Data Source'!S432="F"),COUNTIF('Data Source'!$S$3:S432,"F"),"")</f>
        <v/>
      </c>
      <c r="B432">
        <f>IF(AND('Data Source'!B432&lt;&gt;"",'Data Source'!S432="F"),'Data Source'!B432,"")</f>
        <v/>
      </c>
      <c r="C432" s="3">
        <f>IF(AND('Data Source'!B432&lt;&gt;"",'Data Source'!S432="F"),IF('Data Source'!U432&gt;=5,"A+",IF('Data Source'!U432&gt;=4,"A",IF('Data Source'!U432&gt;=3.5,"A-",IF('Data Source'!U432&gt;=3,"B",IF('Data Source'!U432&gt;=2,"C",IF('Data Source'!U432&gt;=1,"D","F")))))),"")</f>
        <v/>
      </c>
      <c r="D432" s="3">
        <f>IF(AND('Data Source'!B432&lt;&gt;"",'Data Source'!S432="F"),IF('Data Source'!V432&gt;=5,"A+",IF('Data Source'!V432&gt;=4,"A",IF('Data Source'!V432&gt;=3.5,"A-",IF('Data Source'!V432&gt;=3,"B",IF('Data Source'!V432&gt;=2,"C",IF('Data Source'!V432&gt;=1,"D","F")))))),"")</f>
        <v/>
      </c>
      <c r="E432" s="3">
        <f>IF(AND('Data Source'!B432&lt;&gt;"",'Data Source'!S432="F"),IF('Data Source'!W432&gt;=5,"A+",IF('Data Source'!W432&gt;=4,"A",IF('Data Source'!W432&gt;=3.5,"A-",IF('Data Source'!W432&gt;=3,"B",IF('Data Source'!W432&gt;=2,"C",IF('Data Source'!W432&gt;=1,"D","F")))))),"")</f>
        <v/>
      </c>
      <c r="F432" s="3">
        <f>IF(AND('Data Source'!B432&lt;&gt;"",'Data Source'!S432="F"),IF('Data Source'!X432&gt;=5,"A+",IF('Data Source'!X432&gt;=4,"A",IF('Data Source'!X432&gt;=3.5,"A-",IF('Data Source'!X432&gt;=3,"B",IF('Data Source'!X432&gt;=2,"C",IF('Data Source'!X432&gt;=1,"D","F")))))),"")</f>
        <v/>
      </c>
      <c r="G432" s="3">
        <f>IF(AND('Data Source'!B432&lt;&gt;"",'Data Source'!S432="F"),IF('Data Source'!Y432&gt;=5,"A+",IF('Data Source'!Y432&gt;=4,"A",IF('Data Source'!Y432&gt;=3.5,"A-",IF('Data Source'!Y432&gt;=3,"B",IF('Data Source'!Y432&gt;=2,"C",IF('Data Source'!Y432&gt;=1,"D","F")))))),"")</f>
        <v/>
      </c>
      <c r="H432" s="3">
        <f>IF(AND('Data Source'!B432&lt;&gt;"",'Data Source'!S432="F"),IF('Data Source'!Z432&gt;=5,"A+",IF('Data Source'!Z432&gt;=4,"A",IF('Data Source'!Z432&gt;=3.5,"A-",IF('Data Source'!Z432&gt;=3,"B",IF('Data Source'!Z432&gt;=2,"C",IF('Data Source'!Z432&gt;=1,"D","F")))))),"")</f>
        <v/>
      </c>
      <c r="I432" s="3">
        <f>IF(AND('Data Source'!B432&lt;&gt;"",'Data Source'!S432="F"),IF('Data Source'!AA432&gt;=5,"A+",IF('Data Source'!AA432&gt;=4,"A",IF('Data Source'!AA432&gt;=3.5,"A-",IF('Data Source'!AA432&gt;=3,"B",IF('Data Source'!AA432&gt;=2,"C",IF('Data Source'!AA432&gt;=1,"D","F")))))),"")</f>
        <v/>
      </c>
      <c r="J432" s="3">
        <f>IF(AND('Data Source'!B432&lt;&gt;"",'Data Source'!S432="F"),IF('Data Source'!AB432&gt;=5,"A+",IF('Data Source'!AB432&gt;=4,"A",IF('Data Source'!AB432&gt;=3.5,"A-",IF('Data Source'!AB432&gt;=3,"B",IF('Data Source'!AB432&gt;=2,"C",IF('Data Source'!AB432&gt;=1,"D","F")))))),"")</f>
        <v/>
      </c>
      <c r="K432" s="3">
        <f>IF(AND('Data Source'!B432&lt;&gt;"",'Data Source'!S432="F"),IF('Data Source'!AC432&gt;=5,"A+",IF('Data Source'!AC432&gt;=4,"A",IF('Data Source'!AC432&gt;=3.5,"A-",IF('Data Source'!AC432&gt;=3,"B",IF('Data Source'!AC432&gt;=2,"C",IF('Data Source'!AC432&gt;=1,"D","F")))))),"")</f>
        <v/>
      </c>
      <c r="L432" s="3">
        <f>IF(AND('Data Source'!B432&lt;&gt;"",'Data Source'!S432="F"),IF('Data Source'!AD432&gt;=5,"A+",IF('Data Source'!AD432&gt;=4,"A",IF('Data Source'!AD432&gt;=3.5,"A-",IF('Data Source'!AD432&gt;=3,"B",IF('Data Source'!AD432&gt;=2,"C",IF('Data Source'!AD432&gt;=1,"D","F")))))),"")</f>
        <v/>
      </c>
      <c r="M432" s="3">
        <f>IF(AND('Data Source'!B432&lt;&gt;"",'Data Source'!S432="F"),IF('Data Source'!AE432&gt;=5,"A+",IF('Data Source'!AE432&gt;=4,"A",IF('Data Source'!AE432&gt;=3.5,"A-",IF('Data Source'!AE432&gt;=3,"B",IF('Data Source'!AE432&gt;=2,"C",IF('Data Source'!AE432&gt;=1,"D","F")))))),"")</f>
        <v/>
      </c>
      <c r="N432" s="3">
        <f>IF(AND('Data Source'!B432&lt;&gt;"",'Data Source'!S432="F"),IF('Data Source'!AF432&gt;=5,"A+",IF('Data Source'!AF432&gt;=4,"A",IF('Data Source'!AF432&gt;=3.5,"A-",IF('Data Source'!AF432&gt;=3,"B",IF('Data Source'!AF432&gt;=2,"C",IF('Data Source'!AF432&gt;=1,"D","F")))))),"")</f>
        <v/>
      </c>
      <c r="O432" s="3">
        <f>IF(AND('Data Source'!B432&lt;&gt;"",'Data Source'!S432="F"),IF('Data Source'!AG432&gt;=5,"A+",IF('Data Source'!AG432&gt;=4,"A",IF('Data Source'!AG432&gt;=3.5,"A-",IF('Data Source'!AG432&gt;=3,"B",IF('Data Source'!AG432&gt;=2,"C",IF('Data Source'!AG432&gt;=1,"D","F")))))),"")</f>
        <v/>
      </c>
      <c r="P432" s="5">
        <f>IF(AND('Data Source'!B432&lt;&gt;"",'Data Source'!S432="F"),'Data Source'!R432,"")</f>
        <v/>
      </c>
      <c r="Q432" s="3">
        <f>IF(AND('Data Source'!B432&lt;&gt;"",'Data Source'!S432="F"),'Data Source'!S432,"")</f>
        <v/>
      </c>
    </row>
    <row r="433">
      <c r="A433" s="3">
        <f>IF(AND('Data Source'!B433&lt;&gt;"",'Data Source'!S433="F"),COUNTIF('Data Source'!$S$3:S433,"F"),"")</f>
        <v/>
      </c>
      <c r="B433">
        <f>IF(AND('Data Source'!B433&lt;&gt;"",'Data Source'!S433="F"),'Data Source'!B433,"")</f>
        <v/>
      </c>
      <c r="C433" s="3">
        <f>IF(AND('Data Source'!B433&lt;&gt;"",'Data Source'!S433="F"),IF('Data Source'!U433&gt;=5,"A+",IF('Data Source'!U433&gt;=4,"A",IF('Data Source'!U433&gt;=3.5,"A-",IF('Data Source'!U433&gt;=3,"B",IF('Data Source'!U433&gt;=2,"C",IF('Data Source'!U433&gt;=1,"D","F")))))),"")</f>
        <v/>
      </c>
      <c r="D433" s="3">
        <f>IF(AND('Data Source'!B433&lt;&gt;"",'Data Source'!S433="F"),IF('Data Source'!V433&gt;=5,"A+",IF('Data Source'!V433&gt;=4,"A",IF('Data Source'!V433&gt;=3.5,"A-",IF('Data Source'!V433&gt;=3,"B",IF('Data Source'!V433&gt;=2,"C",IF('Data Source'!V433&gt;=1,"D","F")))))),"")</f>
        <v/>
      </c>
      <c r="E433" s="3">
        <f>IF(AND('Data Source'!B433&lt;&gt;"",'Data Source'!S433="F"),IF('Data Source'!W433&gt;=5,"A+",IF('Data Source'!W433&gt;=4,"A",IF('Data Source'!W433&gt;=3.5,"A-",IF('Data Source'!W433&gt;=3,"B",IF('Data Source'!W433&gt;=2,"C",IF('Data Source'!W433&gt;=1,"D","F")))))),"")</f>
        <v/>
      </c>
      <c r="F433" s="3">
        <f>IF(AND('Data Source'!B433&lt;&gt;"",'Data Source'!S433="F"),IF('Data Source'!X433&gt;=5,"A+",IF('Data Source'!X433&gt;=4,"A",IF('Data Source'!X433&gt;=3.5,"A-",IF('Data Source'!X433&gt;=3,"B",IF('Data Source'!X433&gt;=2,"C",IF('Data Source'!X433&gt;=1,"D","F")))))),"")</f>
        <v/>
      </c>
      <c r="G433" s="3">
        <f>IF(AND('Data Source'!B433&lt;&gt;"",'Data Source'!S433="F"),IF('Data Source'!Y433&gt;=5,"A+",IF('Data Source'!Y433&gt;=4,"A",IF('Data Source'!Y433&gt;=3.5,"A-",IF('Data Source'!Y433&gt;=3,"B",IF('Data Source'!Y433&gt;=2,"C",IF('Data Source'!Y433&gt;=1,"D","F")))))),"")</f>
        <v/>
      </c>
      <c r="H433" s="3">
        <f>IF(AND('Data Source'!B433&lt;&gt;"",'Data Source'!S433="F"),IF('Data Source'!Z433&gt;=5,"A+",IF('Data Source'!Z433&gt;=4,"A",IF('Data Source'!Z433&gt;=3.5,"A-",IF('Data Source'!Z433&gt;=3,"B",IF('Data Source'!Z433&gt;=2,"C",IF('Data Source'!Z433&gt;=1,"D","F")))))),"")</f>
        <v/>
      </c>
      <c r="I433" s="3">
        <f>IF(AND('Data Source'!B433&lt;&gt;"",'Data Source'!S433="F"),IF('Data Source'!AA433&gt;=5,"A+",IF('Data Source'!AA433&gt;=4,"A",IF('Data Source'!AA433&gt;=3.5,"A-",IF('Data Source'!AA433&gt;=3,"B",IF('Data Source'!AA433&gt;=2,"C",IF('Data Source'!AA433&gt;=1,"D","F")))))),"")</f>
        <v/>
      </c>
      <c r="J433" s="3">
        <f>IF(AND('Data Source'!B433&lt;&gt;"",'Data Source'!S433="F"),IF('Data Source'!AB433&gt;=5,"A+",IF('Data Source'!AB433&gt;=4,"A",IF('Data Source'!AB433&gt;=3.5,"A-",IF('Data Source'!AB433&gt;=3,"B",IF('Data Source'!AB433&gt;=2,"C",IF('Data Source'!AB433&gt;=1,"D","F")))))),"")</f>
        <v/>
      </c>
      <c r="K433" s="3">
        <f>IF(AND('Data Source'!B433&lt;&gt;"",'Data Source'!S433="F"),IF('Data Source'!AC433&gt;=5,"A+",IF('Data Source'!AC433&gt;=4,"A",IF('Data Source'!AC433&gt;=3.5,"A-",IF('Data Source'!AC433&gt;=3,"B",IF('Data Source'!AC433&gt;=2,"C",IF('Data Source'!AC433&gt;=1,"D","F")))))),"")</f>
        <v/>
      </c>
      <c r="L433" s="3">
        <f>IF(AND('Data Source'!B433&lt;&gt;"",'Data Source'!S433="F"),IF('Data Source'!AD433&gt;=5,"A+",IF('Data Source'!AD433&gt;=4,"A",IF('Data Source'!AD433&gt;=3.5,"A-",IF('Data Source'!AD433&gt;=3,"B",IF('Data Source'!AD433&gt;=2,"C",IF('Data Source'!AD433&gt;=1,"D","F")))))),"")</f>
        <v/>
      </c>
      <c r="M433" s="3">
        <f>IF(AND('Data Source'!B433&lt;&gt;"",'Data Source'!S433="F"),IF('Data Source'!AE433&gt;=5,"A+",IF('Data Source'!AE433&gt;=4,"A",IF('Data Source'!AE433&gt;=3.5,"A-",IF('Data Source'!AE433&gt;=3,"B",IF('Data Source'!AE433&gt;=2,"C",IF('Data Source'!AE433&gt;=1,"D","F")))))),"")</f>
        <v/>
      </c>
      <c r="N433" s="3">
        <f>IF(AND('Data Source'!B433&lt;&gt;"",'Data Source'!S433="F"),IF('Data Source'!AF433&gt;=5,"A+",IF('Data Source'!AF433&gt;=4,"A",IF('Data Source'!AF433&gt;=3.5,"A-",IF('Data Source'!AF433&gt;=3,"B",IF('Data Source'!AF433&gt;=2,"C",IF('Data Source'!AF433&gt;=1,"D","F")))))),"")</f>
        <v/>
      </c>
      <c r="O433" s="3">
        <f>IF(AND('Data Source'!B433&lt;&gt;"",'Data Source'!S433="F"),IF('Data Source'!AG433&gt;=5,"A+",IF('Data Source'!AG433&gt;=4,"A",IF('Data Source'!AG433&gt;=3.5,"A-",IF('Data Source'!AG433&gt;=3,"B",IF('Data Source'!AG433&gt;=2,"C",IF('Data Source'!AG433&gt;=1,"D","F")))))),"")</f>
        <v/>
      </c>
      <c r="P433" s="5">
        <f>IF(AND('Data Source'!B433&lt;&gt;"",'Data Source'!S433="F"),'Data Source'!R433,"")</f>
        <v/>
      </c>
      <c r="Q433" s="3">
        <f>IF(AND('Data Source'!B433&lt;&gt;"",'Data Source'!S433="F"),'Data Source'!S433,"")</f>
        <v/>
      </c>
    </row>
    <row r="434">
      <c r="A434" s="3">
        <f>IF(AND('Data Source'!B434&lt;&gt;"",'Data Source'!S434="F"),COUNTIF('Data Source'!$S$3:S434,"F"),"")</f>
        <v/>
      </c>
      <c r="B434">
        <f>IF(AND('Data Source'!B434&lt;&gt;"",'Data Source'!S434="F"),'Data Source'!B434,"")</f>
        <v/>
      </c>
      <c r="C434" s="3">
        <f>IF(AND('Data Source'!B434&lt;&gt;"",'Data Source'!S434="F"),IF('Data Source'!U434&gt;=5,"A+",IF('Data Source'!U434&gt;=4,"A",IF('Data Source'!U434&gt;=3.5,"A-",IF('Data Source'!U434&gt;=3,"B",IF('Data Source'!U434&gt;=2,"C",IF('Data Source'!U434&gt;=1,"D","F")))))),"")</f>
        <v/>
      </c>
      <c r="D434" s="3">
        <f>IF(AND('Data Source'!B434&lt;&gt;"",'Data Source'!S434="F"),IF('Data Source'!V434&gt;=5,"A+",IF('Data Source'!V434&gt;=4,"A",IF('Data Source'!V434&gt;=3.5,"A-",IF('Data Source'!V434&gt;=3,"B",IF('Data Source'!V434&gt;=2,"C",IF('Data Source'!V434&gt;=1,"D","F")))))),"")</f>
        <v/>
      </c>
      <c r="E434" s="3">
        <f>IF(AND('Data Source'!B434&lt;&gt;"",'Data Source'!S434="F"),IF('Data Source'!W434&gt;=5,"A+",IF('Data Source'!W434&gt;=4,"A",IF('Data Source'!W434&gt;=3.5,"A-",IF('Data Source'!W434&gt;=3,"B",IF('Data Source'!W434&gt;=2,"C",IF('Data Source'!W434&gt;=1,"D","F")))))),"")</f>
        <v/>
      </c>
      <c r="F434" s="3">
        <f>IF(AND('Data Source'!B434&lt;&gt;"",'Data Source'!S434="F"),IF('Data Source'!X434&gt;=5,"A+",IF('Data Source'!X434&gt;=4,"A",IF('Data Source'!X434&gt;=3.5,"A-",IF('Data Source'!X434&gt;=3,"B",IF('Data Source'!X434&gt;=2,"C",IF('Data Source'!X434&gt;=1,"D","F")))))),"")</f>
        <v/>
      </c>
      <c r="G434" s="3">
        <f>IF(AND('Data Source'!B434&lt;&gt;"",'Data Source'!S434="F"),IF('Data Source'!Y434&gt;=5,"A+",IF('Data Source'!Y434&gt;=4,"A",IF('Data Source'!Y434&gt;=3.5,"A-",IF('Data Source'!Y434&gt;=3,"B",IF('Data Source'!Y434&gt;=2,"C",IF('Data Source'!Y434&gt;=1,"D","F")))))),"")</f>
        <v/>
      </c>
      <c r="H434" s="3">
        <f>IF(AND('Data Source'!B434&lt;&gt;"",'Data Source'!S434="F"),IF('Data Source'!Z434&gt;=5,"A+",IF('Data Source'!Z434&gt;=4,"A",IF('Data Source'!Z434&gt;=3.5,"A-",IF('Data Source'!Z434&gt;=3,"B",IF('Data Source'!Z434&gt;=2,"C",IF('Data Source'!Z434&gt;=1,"D","F")))))),"")</f>
        <v/>
      </c>
      <c r="I434" s="3">
        <f>IF(AND('Data Source'!B434&lt;&gt;"",'Data Source'!S434="F"),IF('Data Source'!AA434&gt;=5,"A+",IF('Data Source'!AA434&gt;=4,"A",IF('Data Source'!AA434&gt;=3.5,"A-",IF('Data Source'!AA434&gt;=3,"B",IF('Data Source'!AA434&gt;=2,"C",IF('Data Source'!AA434&gt;=1,"D","F")))))),"")</f>
        <v/>
      </c>
      <c r="J434" s="3">
        <f>IF(AND('Data Source'!B434&lt;&gt;"",'Data Source'!S434="F"),IF('Data Source'!AB434&gt;=5,"A+",IF('Data Source'!AB434&gt;=4,"A",IF('Data Source'!AB434&gt;=3.5,"A-",IF('Data Source'!AB434&gt;=3,"B",IF('Data Source'!AB434&gt;=2,"C",IF('Data Source'!AB434&gt;=1,"D","F")))))),"")</f>
        <v/>
      </c>
      <c r="K434" s="3">
        <f>IF(AND('Data Source'!B434&lt;&gt;"",'Data Source'!S434="F"),IF('Data Source'!AC434&gt;=5,"A+",IF('Data Source'!AC434&gt;=4,"A",IF('Data Source'!AC434&gt;=3.5,"A-",IF('Data Source'!AC434&gt;=3,"B",IF('Data Source'!AC434&gt;=2,"C",IF('Data Source'!AC434&gt;=1,"D","F")))))),"")</f>
        <v/>
      </c>
      <c r="L434" s="3">
        <f>IF(AND('Data Source'!B434&lt;&gt;"",'Data Source'!S434="F"),IF('Data Source'!AD434&gt;=5,"A+",IF('Data Source'!AD434&gt;=4,"A",IF('Data Source'!AD434&gt;=3.5,"A-",IF('Data Source'!AD434&gt;=3,"B",IF('Data Source'!AD434&gt;=2,"C",IF('Data Source'!AD434&gt;=1,"D","F")))))),"")</f>
        <v/>
      </c>
      <c r="M434" s="3">
        <f>IF(AND('Data Source'!B434&lt;&gt;"",'Data Source'!S434="F"),IF('Data Source'!AE434&gt;=5,"A+",IF('Data Source'!AE434&gt;=4,"A",IF('Data Source'!AE434&gt;=3.5,"A-",IF('Data Source'!AE434&gt;=3,"B",IF('Data Source'!AE434&gt;=2,"C",IF('Data Source'!AE434&gt;=1,"D","F")))))),"")</f>
        <v/>
      </c>
      <c r="N434" s="3">
        <f>IF(AND('Data Source'!B434&lt;&gt;"",'Data Source'!S434="F"),IF('Data Source'!AF434&gt;=5,"A+",IF('Data Source'!AF434&gt;=4,"A",IF('Data Source'!AF434&gt;=3.5,"A-",IF('Data Source'!AF434&gt;=3,"B",IF('Data Source'!AF434&gt;=2,"C",IF('Data Source'!AF434&gt;=1,"D","F")))))),"")</f>
        <v/>
      </c>
      <c r="O434" s="3">
        <f>IF(AND('Data Source'!B434&lt;&gt;"",'Data Source'!S434="F"),IF('Data Source'!AG434&gt;=5,"A+",IF('Data Source'!AG434&gt;=4,"A",IF('Data Source'!AG434&gt;=3.5,"A-",IF('Data Source'!AG434&gt;=3,"B",IF('Data Source'!AG434&gt;=2,"C",IF('Data Source'!AG434&gt;=1,"D","F")))))),"")</f>
        <v/>
      </c>
      <c r="P434" s="5">
        <f>IF(AND('Data Source'!B434&lt;&gt;"",'Data Source'!S434="F"),'Data Source'!R434,"")</f>
        <v/>
      </c>
      <c r="Q434" s="3">
        <f>IF(AND('Data Source'!B434&lt;&gt;"",'Data Source'!S434="F"),'Data Source'!S434,"")</f>
        <v/>
      </c>
    </row>
    <row r="435">
      <c r="A435" s="3">
        <f>IF(AND('Data Source'!B435&lt;&gt;"",'Data Source'!S435="F"),COUNTIF('Data Source'!$S$3:S435,"F"),"")</f>
        <v/>
      </c>
      <c r="B435">
        <f>IF(AND('Data Source'!B435&lt;&gt;"",'Data Source'!S435="F"),'Data Source'!B435,"")</f>
        <v/>
      </c>
      <c r="C435" s="3">
        <f>IF(AND('Data Source'!B435&lt;&gt;"",'Data Source'!S435="F"),IF('Data Source'!U435&gt;=5,"A+",IF('Data Source'!U435&gt;=4,"A",IF('Data Source'!U435&gt;=3.5,"A-",IF('Data Source'!U435&gt;=3,"B",IF('Data Source'!U435&gt;=2,"C",IF('Data Source'!U435&gt;=1,"D","F")))))),"")</f>
        <v/>
      </c>
      <c r="D435" s="3">
        <f>IF(AND('Data Source'!B435&lt;&gt;"",'Data Source'!S435="F"),IF('Data Source'!V435&gt;=5,"A+",IF('Data Source'!V435&gt;=4,"A",IF('Data Source'!V435&gt;=3.5,"A-",IF('Data Source'!V435&gt;=3,"B",IF('Data Source'!V435&gt;=2,"C",IF('Data Source'!V435&gt;=1,"D","F")))))),"")</f>
        <v/>
      </c>
      <c r="E435" s="3">
        <f>IF(AND('Data Source'!B435&lt;&gt;"",'Data Source'!S435="F"),IF('Data Source'!W435&gt;=5,"A+",IF('Data Source'!W435&gt;=4,"A",IF('Data Source'!W435&gt;=3.5,"A-",IF('Data Source'!W435&gt;=3,"B",IF('Data Source'!W435&gt;=2,"C",IF('Data Source'!W435&gt;=1,"D","F")))))),"")</f>
        <v/>
      </c>
      <c r="F435" s="3">
        <f>IF(AND('Data Source'!B435&lt;&gt;"",'Data Source'!S435="F"),IF('Data Source'!X435&gt;=5,"A+",IF('Data Source'!X435&gt;=4,"A",IF('Data Source'!X435&gt;=3.5,"A-",IF('Data Source'!X435&gt;=3,"B",IF('Data Source'!X435&gt;=2,"C",IF('Data Source'!X435&gt;=1,"D","F")))))),"")</f>
        <v/>
      </c>
      <c r="G435" s="3">
        <f>IF(AND('Data Source'!B435&lt;&gt;"",'Data Source'!S435="F"),IF('Data Source'!Y435&gt;=5,"A+",IF('Data Source'!Y435&gt;=4,"A",IF('Data Source'!Y435&gt;=3.5,"A-",IF('Data Source'!Y435&gt;=3,"B",IF('Data Source'!Y435&gt;=2,"C",IF('Data Source'!Y435&gt;=1,"D","F")))))),"")</f>
        <v/>
      </c>
      <c r="H435" s="3">
        <f>IF(AND('Data Source'!B435&lt;&gt;"",'Data Source'!S435="F"),IF('Data Source'!Z435&gt;=5,"A+",IF('Data Source'!Z435&gt;=4,"A",IF('Data Source'!Z435&gt;=3.5,"A-",IF('Data Source'!Z435&gt;=3,"B",IF('Data Source'!Z435&gt;=2,"C",IF('Data Source'!Z435&gt;=1,"D","F")))))),"")</f>
        <v/>
      </c>
      <c r="I435" s="3">
        <f>IF(AND('Data Source'!B435&lt;&gt;"",'Data Source'!S435="F"),IF('Data Source'!AA435&gt;=5,"A+",IF('Data Source'!AA435&gt;=4,"A",IF('Data Source'!AA435&gt;=3.5,"A-",IF('Data Source'!AA435&gt;=3,"B",IF('Data Source'!AA435&gt;=2,"C",IF('Data Source'!AA435&gt;=1,"D","F")))))),"")</f>
        <v/>
      </c>
      <c r="J435" s="3">
        <f>IF(AND('Data Source'!B435&lt;&gt;"",'Data Source'!S435="F"),IF('Data Source'!AB435&gt;=5,"A+",IF('Data Source'!AB435&gt;=4,"A",IF('Data Source'!AB435&gt;=3.5,"A-",IF('Data Source'!AB435&gt;=3,"B",IF('Data Source'!AB435&gt;=2,"C",IF('Data Source'!AB435&gt;=1,"D","F")))))),"")</f>
        <v/>
      </c>
      <c r="K435" s="3">
        <f>IF(AND('Data Source'!B435&lt;&gt;"",'Data Source'!S435="F"),IF('Data Source'!AC435&gt;=5,"A+",IF('Data Source'!AC435&gt;=4,"A",IF('Data Source'!AC435&gt;=3.5,"A-",IF('Data Source'!AC435&gt;=3,"B",IF('Data Source'!AC435&gt;=2,"C",IF('Data Source'!AC435&gt;=1,"D","F")))))),"")</f>
        <v/>
      </c>
      <c r="L435" s="3">
        <f>IF(AND('Data Source'!B435&lt;&gt;"",'Data Source'!S435="F"),IF('Data Source'!AD435&gt;=5,"A+",IF('Data Source'!AD435&gt;=4,"A",IF('Data Source'!AD435&gt;=3.5,"A-",IF('Data Source'!AD435&gt;=3,"B",IF('Data Source'!AD435&gt;=2,"C",IF('Data Source'!AD435&gt;=1,"D","F")))))),"")</f>
        <v/>
      </c>
      <c r="M435" s="3">
        <f>IF(AND('Data Source'!B435&lt;&gt;"",'Data Source'!S435="F"),IF('Data Source'!AE435&gt;=5,"A+",IF('Data Source'!AE435&gt;=4,"A",IF('Data Source'!AE435&gt;=3.5,"A-",IF('Data Source'!AE435&gt;=3,"B",IF('Data Source'!AE435&gt;=2,"C",IF('Data Source'!AE435&gt;=1,"D","F")))))),"")</f>
        <v/>
      </c>
      <c r="N435" s="3">
        <f>IF(AND('Data Source'!B435&lt;&gt;"",'Data Source'!S435="F"),IF('Data Source'!AF435&gt;=5,"A+",IF('Data Source'!AF435&gt;=4,"A",IF('Data Source'!AF435&gt;=3.5,"A-",IF('Data Source'!AF435&gt;=3,"B",IF('Data Source'!AF435&gt;=2,"C",IF('Data Source'!AF435&gt;=1,"D","F")))))),"")</f>
        <v/>
      </c>
      <c r="O435" s="3">
        <f>IF(AND('Data Source'!B435&lt;&gt;"",'Data Source'!S435="F"),IF('Data Source'!AG435&gt;=5,"A+",IF('Data Source'!AG435&gt;=4,"A",IF('Data Source'!AG435&gt;=3.5,"A-",IF('Data Source'!AG435&gt;=3,"B",IF('Data Source'!AG435&gt;=2,"C",IF('Data Source'!AG435&gt;=1,"D","F")))))),"")</f>
        <v/>
      </c>
      <c r="P435" s="5">
        <f>IF(AND('Data Source'!B435&lt;&gt;"",'Data Source'!S435="F"),'Data Source'!R435,"")</f>
        <v/>
      </c>
      <c r="Q435" s="3">
        <f>IF(AND('Data Source'!B435&lt;&gt;"",'Data Source'!S435="F"),'Data Source'!S435,"")</f>
        <v/>
      </c>
    </row>
    <row r="436">
      <c r="A436" s="3">
        <f>IF(AND('Data Source'!B436&lt;&gt;"",'Data Source'!S436="F"),COUNTIF('Data Source'!$S$3:S436,"F"),"")</f>
        <v/>
      </c>
      <c r="B436">
        <f>IF(AND('Data Source'!B436&lt;&gt;"",'Data Source'!S436="F"),'Data Source'!B436,"")</f>
        <v/>
      </c>
      <c r="C436" s="3">
        <f>IF(AND('Data Source'!B436&lt;&gt;"",'Data Source'!S436="F"),IF('Data Source'!U436&gt;=5,"A+",IF('Data Source'!U436&gt;=4,"A",IF('Data Source'!U436&gt;=3.5,"A-",IF('Data Source'!U436&gt;=3,"B",IF('Data Source'!U436&gt;=2,"C",IF('Data Source'!U436&gt;=1,"D","F")))))),"")</f>
        <v/>
      </c>
      <c r="D436" s="3">
        <f>IF(AND('Data Source'!B436&lt;&gt;"",'Data Source'!S436="F"),IF('Data Source'!V436&gt;=5,"A+",IF('Data Source'!V436&gt;=4,"A",IF('Data Source'!V436&gt;=3.5,"A-",IF('Data Source'!V436&gt;=3,"B",IF('Data Source'!V436&gt;=2,"C",IF('Data Source'!V436&gt;=1,"D","F")))))),"")</f>
        <v/>
      </c>
      <c r="E436" s="3">
        <f>IF(AND('Data Source'!B436&lt;&gt;"",'Data Source'!S436="F"),IF('Data Source'!W436&gt;=5,"A+",IF('Data Source'!W436&gt;=4,"A",IF('Data Source'!W436&gt;=3.5,"A-",IF('Data Source'!W436&gt;=3,"B",IF('Data Source'!W436&gt;=2,"C",IF('Data Source'!W436&gt;=1,"D","F")))))),"")</f>
        <v/>
      </c>
      <c r="F436" s="3">
        <f>IF(AND('Data Source'!B436&lt;&gt;"",'Data Source'!S436="F"),IF('Data Source'!X436&gt;=5,"A+",IF('Data Source'!X436&gt;=4,"A",IF('Data Source'!X436&gt;=3.5,"A-",IF('Data Source'!X436&gt;=3,"B",IF('Data Source'!X436&gt;=2,"C",IF('Data Source'!X436&gt;=1,"D","F")))))),"")</f>
        <v/>
      </c>
      <c r="G436" s="3">
        <f>IF(AND('Data Source'!B436&lt;&gt;"",'Data Source'!S436="F"),IF('Data Source'!Y436&gt;=5,"A+",IF('Data Source'!Y436&gt;=4,"A",IF('Data Source'!Y436&gt;=3.5,"A-",IF('Data Source'!Y436&gt;=3,"B",IF('Data Source'!Y436&gt;=2,"C",IF('Data Source'!Y436&gt;=1,"D","F")))))),"")</f>
        <v/>
      </c>
      <c r="H436" s="3">
        <f>IF(AND('Data Source'!B436&lt;&gt;"",'Data Source'!S436="F"),IF('Data Source'!Z436&gt;=5,"A+",IF('Data Source'!Z436&gt;=4,"A",IF('Data Source'!Z436&gt;=3.5,"A-",IF('Data Source'!Z436&gt;=3,"B",IF('Data Source'!Z436&gt;=2,"C",IF('Data Source'!Z436&gt;=1,"D","F")))))),"")</f>
        <v/>
      </c>
      <c r="I436" s="3">
        <f>IF(AND('Data Source'!B436&lt;&gt;"",'Data Source'!S436="F"),IF('Data Source'!AA436&gt;=5,"A+",IF('Data Source'!AA436&gt;=4,"A",IF('Data Source'!AA436&gt;=3.5,"A-",IF('Data Source'!AA436&gt;=3,"B",IF('Data Source'!AA436&gt;=2,"C",IF('Data Source'!AA436&gt;=1,"D","F")))))),"")</f>
        <v/>
      </c>
      <c r="J436" s="3">
        <f>IF(AND('Data Source'!B436&lt;&gt;"",'Data Source'!S436="F"),IF('Data Source'!AB436&gt;=5,"A+",IF('Data Source'!AB436&gt;=4,"A",IF('Data Source'!AB436&gt;=3.5,"A-",IF('Data Source'!AB436&gt;=3,"B",IF('Data Source'!AB436&gt;=2,"C",IF('Data Source'!AB436&gt;=1,"D","F")))))),"")</f>
        <v/>
      </c>
      <c r="K436" s="3">
        <f>IF(AND('Data Source'!B436&lt;&gt;"",'Data Source'!S436="F"),IF('Data Source'!AC436&gt;=5,"A+",IF('Data Source'!AC436&gt;=4,"A",IF('Data Source'!AC436&gt;=3.5,"A-",IF('Data Source'!AC436&gt;=3,"B",IF('Data Source'!AC436&gt;=2,"C",IF('Data Source'!AC436&gt;=1,"D","F")))))),"")</f>
        <v/>
      </c>
      <c r="L436" s="3">
        <f>IF(AND('Data Source'!B436&lt;&gt;"",'Data Source'!S436="F"),IF('Data Source'!AD436&gt;=5,"A+",IF('Data Source'!AD436&gt;=4,"A",IF('Data Source'!AD436&gt;=3.5,"A-",IF('Data Source'!AD436&gt;=3,"B",IF('Data Source'!AD436&gt;=2,"C",IF('Data Source'!AD436&gt;=1,"D","F")))))),"")</f>
        <v/>
      </c>
      <c r="M436" s="3">
        <f>IF(AND('Data Source'!B436&lt;&gt;"",'Data Source'!S436="F"),IF('Data Source'!AE436&gt;=5,"A+",IF('Data Source'!AE436&gt;=4,"A",IF('Data Source'!AE436&gt;=3.5,"A-",IF('Data Source'!AE436&gt;=3,"B",IF('Data Source'!AE436&gt;=2,"C",IF('Data Source'!AE436&gt;=1,"D","F")))))),"")</f>
        <v/>
      </c>
      <c r="N436" s="3">
        <f>IF(AND('Data Source'!B436&lt;&gt;"",'Data Source'!S436="F"),IF('Data Source'!AF436&gt;=5,"A+",IF('Data Source'!AF436&gt;=4,"A",IF('Data Source'!AF436&gt;=3.5,"A-",IF('Data Source'!AF436&gt;=3,"B",IF('Data Source'!AF436&gt;=2,"C",IF('Data Source'!AF436&gt;=1,"D","F")))))),"")</f>
        <v/>
      </c>
      <c r="O436" s="3">
        <f>IF(AND('Data Source'!B436&lt;&gt;"",'Data Source'!S436="F"),IF('Data Source'!AG436&gt;=5,"A+",IF('Data Source'!AG436&gt;=4,"A",IF('Data Source'!AG436&gt;=3.5,"A-",IF('Data Source'!AG436&gt;=3,"B",IF('Data Source'!AG436&gt;=2,"C",IF('Data Source'!AG436&gt;=1,"D","F")))))),"")</f>
        <v/>
      </c>
      <c r="P436" s="5">
        <f>IF(AND('Data Source'!B436&lt;&gt;"",'Data Source'!S436="F"),'Data Source'!R436,"")</f>
        <v/>
      </c>
      <c r="Q436" s="3">
        <f>IF(AND('Data Source'!B436&lt;&gt;"",'Data Source'!S436="F"),'Data Source'!S436,"")</f>
        <v/>
      </c>
    </row>
    <row r="437">
      <c r="A437" s="3">
        <f>IF(AND('Data Source'!B437&lt;&gt;"",'Data Source'!S437="F"),COUNTIF('Data Source'!$S$3:S437,"F"),"")</f>
        <v/>
      </c>
      <c r="B437">
        <f>IF(AND('Data Source'!B437&lt;&gt;"",'Data Source'!S437="F"),'Data Source'!B437,"")</f>
        <v/>
      </c>
      <c r="C437" s="3">
        <f>IF(AND('Data Source'!B437&lt;&gt;"",'Data Source'!S437="F"),IF('Data Source'!U437&gt;=5,"A+",IF('Data Source'!U437&gt;=4,"A",IF('Data Source'!U437&gt;=3.5,"A-",IF('Data Source'!U437&gt;=3,"B",IF('Data Source'!U437&gt;=2,"C",IF('Data Source'!U437&gt;=1,"D","F")))))),"")</f>
        <v/>
      </c>
      <c r="D437" s="3">
        <f>IF(AND('Data Source'!B437&lt;&gt;"",'Data Source'!S437="F"),IF('Data Source'!V437&gt;=5,"A+",IF('Data Source'!V437&gt;=4,"A",IF('Data Source'!V437&gt;=3.5,"A-",IF('Data Source'!V437&gt;=3,"B",IF('Data Source'!V437&gt;=2,"C",IF('Data Source'!V437&gt;=1,"D","F")))))),"")</f>
        <v/>
      </c>
      <c r="E437" s="3">
        <f>IF(AND('Data Source'!B437&lt;&gt;"",'Data Source'!S437="F"),IF('Data Source'!W437&gt;=5,"A+",IF('Data Source'!W437&gt;=4,"A",IF('Data Source'!W437&gt;=3.5,"A-",IF('Data Source'!W437&gt;=3,"B",IF('Data Source'!W437&gt;=2,"C",IF('Data Source'!W437&gt;=1,"D","F")))))),"")</f>
        <v/>
      </c>
      <c r="F437" s="3">
        <f>IF(AND('Data Source'!B437&lt;&gt;"",'Data Source'!S437="F"),IF('Data Source'!X437&gt;=5,"A+",IF('Data Source'!X437&gt;=4,"A",IF('Data Source'!X437&gt;=3.5,"A-",IF('Data Source'!X437&gt;=3,"B",IF('Data Source'!X437&gt;=2,"C",IF('Data Source'!X437&gt;=1,"D","F")))))),"")</f>
        <v/>
      </c>
      <c r="G437" s="3">
        <f>IF(AND('Data Source'!B437&lt;&gt;"",'Data Source'!S437="F"),IF('Data Source'!Y437&gt;=5,"A+",IF('Data Source'!Y437&gt;=4,"A",IF('Data Source'!Y437&gt;=3.5,"A-",IF('Data Source'!Y437&gt;=3,"B",IF('Data Source'!Y437&gt;=2,"C",IF('Data Source'!Y437&gt;=1,"D","F")))))),"")</f>
        <v/>
      </c>
      <c r="H437" s="3">
        <f>IF(AND('Data Source'!B437&lt;&gt;"",'Data Source'!S437="F"),IF('Data Source'!Z437&gt;=5,"A+",IF('Data Source'!Z437&gt;=4,"A",IF('Data Source'!Z437&gt;=3.5,"A-",IF('Data Source'!Z437&gt;=3,"B",IF('Data Source'!Z437&gt;=2,"C",IF('Data Source'!Z437&gt;=1,"D","F")))))),"")</f>
        <v/>
      </c>
      <c r="I437" s="3">
        <f>IF(AND('Data Source'!B437&lt;&gt;"",'Data Source'!S437="F"),IF('Data Source'!AA437&gt;=5,"A+",IF('Data Source'!AA437&gt;=4,"A",IF('Data Source'!AA437&gt;=3.5,"A-",IF('Data Source'!AA437&gt;=3,"B",IF('Data Source'!AA437&gt;=2,"C",IF('Data Source'!AA437&gt;=1,"D","F")))))),"")</f>
        <v/>
      </c>
      <c r="J437" s="3">
        <f>IF(AND('Data Source'!B437&lt;&gt;"",'Data Source'!S437="F"),IF('Data Source'!AB437&gt;=5,"A+",IF('Data Source'!AB437&gt;=4,"A",IF('Data Source'!AB437&gt;=3.5,"A-",IF('Data Source'!AB437&gt;=3,"B",IF('Data Source'!AB437&gt;=2,"C",IF('Data Source'!AB437&gt;=1,"D","F")))))),"")</f>
        <v/>
      </c>
      <c r="K437" s="3">
        <f>IF(AND('Data Source'!B437&lt;&gt;"",'Data Source'!S437="F"),IF('Data Source'!AC437&gt;=5,"A+",IF('Data Source'!AC437&gt;=4,"A",IF('Data Source'!AC437&gt;=3.5,"A-",IF('Data Source'!AC437&gt;=3,"B",IF('Data Source'!AC437&gt;=2,"C",IF('Data Source'!AC437&gt;=1,"D","F")))))),"")</f>
        <v/>
      </c>
      <c r="L437" s="3">
        <f>IF(AND('Data Source'!B437&lt;&gt;"",'Data Source'!S437="F"),IF('Data Source'!AD437&gt;=5,"A+",IF('Data Source'!AD437&gt;=4,"A",IF('Data Source'!AD437&gt;=3.5,"A-",IF('Data Source'!AD437&gt;=3,"B",IF('Data Source'!AD437&gt;=2,"C",IF('Data Source'!AD437&gt;=1,"D","F")))))),"")</f>
        <v/>
      </c>
      <c r="M437" s="3">
        <f>IF(AND('Data Source'!B437&lt;&gt;"",'Data Source'!S437="F"),IF('Data Source'!AE437&gt;=5,"A+",IF('Data Source'!AE437&gt;=4,"A",IF('Data Source'!AE437&gt;=3.5,"A-",IF('Data Source'!AE437&gt;=3,"B",IF('Data Source'!AE437&gt;=2,"C",IF('Data Source'!AE437&gt;=1,"D","F")))))),"")</f>
        <v/>
      </c>
      <c r="N437" s="3">
        <f>IF(AND('Data Source'!B437&lt;&gt;"",'Data Source'!S437="F"),IF('Data Source'!AF437&gt;=5,"A+",IF('Data Source'!AF437&gt;=4,"A",IF('Data Source'!AF437&gt;=3.5,"A-",IF('Data Source'!AF437&gt;=3,"B",IF('Data Source'!AF437&gt;=2,"C",IF('Data Source'!AF437&gt;=1,"D","F")))))),"")</f>
        <v/>
      </c>
      <c r="O437" s="3">
        <f>IF(AND('Data Source'!B437&lt;&gt;"",'Data Source'!S437="F"),IF('Data Source'!AG437&gt;=5,"A+",IF('Data Source'!AG437&gt;=4,"A",IF('Data Source'!AG437&gt;=3.5,"A-",IF('Data Source'!AG437&gt;=3,"B",IF('Data Source'!AG437&gt;=2,"C",IF('Data Source'!AG437&gt;=1,"D","F")))))),"")</f>
        <v/>
      </c>
      <c r="P437" s="5">
        <f>IF(AND('Data Source'!B437&lt;&gt;"",'Data Source'!S437="F"),'Data Source'!R437,"")</f>
        <v/>
      </c>
      <c r="Q437" s="3">
        <f>IF(AND('Data Source'!B437&lt;&gt;"",'Data Source'!S437="F"),'Data Source'!S437,"")</f>
        <v/>
      </c>
    </row>
    <row r="438">
      <c r="A438" s="3">
        <f>IF(AND('Data Source'!B438&lt;&gt;"",'Data Source'!S438="F"),COUNTIF('Data Source'!$S$3:S438,"F"),"")</f>
        <v/>
      </c>
      <c r="B438">
        <f>IF(AND('Data Source'!B438&lt;&gt;"",'Data Source'!S438="F"),'Data Source'!B438,"")</f>
        <v/>
      </c>
      <c r="C438" s="3">
        <f>IF(AND('Data Source'!B438&lt;&gt;"",'Data Source'!S438="F"),IF('Data Source'!U438&gt;=5,"A+",IF('Data Source'!U438&gt;=4,"A",IF('Data Source'!U438&gt;=3.5,"A-",IF('Data Source'!U438&gt;=3,"B",IF('Data Source'!U438&gt;=2,"C",IF('Data Source'!U438&gt;=1,"D","F")))))),"")</f>
        <v/>
      </c>
      <c r="D438" s="3">
        <f>IF(AND('Data Source'!B438&lt;&gt;"",'Data Source'!S438="F"),IF('Data Source'!V438&gt;=5,"A+",IF('Data Source'!V438&gt;=4,"A",IF('Data Source'!V438&gt;=3.5,"A-",IF('Data Source'!V438&gt;=3,"B",IF('Data Source'!V438&gt;=2,"C",IF('Data Source'!V438&gt;=1,"D","F")))))),"")</f>
        <v/>
      </c>
      <c r="E438" s="3">
        <f>IF(AND('Data Source'!B438&lt;&gt;"",'Data Source'!S438="F"),IF('Data Source'!W438&gt;=5,"A+",IF('Data Source'!W438&gt;=4,"A",IF('Data Source'!W438&gt;=3.5,"A-",IF('Data Source'!W438&gt;=3,"B",IF('Data Source'!W438&gt;=2,"C",IF('Data Source'!W438&gt;=1,"D","F")))))),"")</f>
        <v/>
      </c>
      <c r="F438" s="3">
        <f>IF(AND('Data Source'!B438&lt;&gt;"",'Data Source'!S438="F"),IF('Data Source'!X438&gt;=5,"A+",IF('Data Source'!X438&gt;=4,"A",IF('Data Source'!X438&gt;=3.5,"A-",IF('Data Source'!X438&gt;=3,"B",IF('Data Source'!X438&gt;=2,"C",IF('Data Source'!X438&gt;=1,"D","F")))))),"")</f>
        <v/>
      </c>
      <c r="G438" s="3">
        <f>IF(AND('Data Source'!B438&lt;&gt;"",'Data Source'!S438="F"),IF('Data Source'!Y438&gt;=5,"A+",IF('Data Source'!Y438&gt;=4,"A",IF('Data Source'!Y438&gt;=3.5,"A-",IF('Data Source'!Y438&gt;=3,"B",IF('Data Source'!Y438&gt;=2,"C",IF('Data Source'!Y438&gt;=1,"D","F")))))),"")</f>
        <v/>
      </c>
      <c r="H438" s="3">
        <f>IF(AND('Data Source'!B438&lt;&gt;"",'Data Source'!S438="F"),IF('Data Source'!Z438&gt;=5,"A+",IF('Data Source'!Z438&gt;=4,"A",IF('Data Source'!Z438&gt;=3.5,"A-",IF('Data Source'!Z438&gt;=3,"B",IF('Data Source'!Z438&gt;=2,"C",IF('Data Source'!Z438&gt;=1,"D","F")))))),"")</f>
        <v/>
      </c>
      <c r="I438" s="3">
        <f>IF(AND('Data Source'!B438&lt;&gt;"",'Data Source'!S438="F"),IF('Data Source'!AA438&gt;=5,"A+",IF('Data Source'!AA438&gt;=4,"A",IF('Data Source'!AA438&gt;=3.5,"A-",IF('Data Source'!AA438&gt;=3,"B",IF('Data Source'!AA438&gt;=2,"C",IF('Data Source'!AA438&gt;=1,"D","F")))))),"")</f>
        <v/>
      </c>
      <c r="J438" s="3">
        <f>IF(AND('Data Source'!B438&lt;&gt;"",'Data Source'!S438="F"),IF('Data Source'!AB438&gt;=5,"A+",IF('Data Source'!AB438&gt;=4,"A",IF('Data Source'!AB438&gt;=3.5,"A-",IF('Data Source'!AB438&gt;=3,"B",IF('Data Source'!AB438&gt;=2,"C",IF('Data Source'!AB438&gt;=1,"D","F")))))),"")</f>
        <v/>
      </c>
      <c r="K438" s="3">
        <f>IF(AND('Data Source'!B438&lt;&gt;"",'Data Source'!S438="F"),IF('Data Source'!AC438&gt;=5,"A+",IF('Data Source'!AC438&gt;=4,"A",IF('Data Source'!AC438&gt;=3.5,"A-",IF('Data Source'!AC438&gt;=3,"B",IF('Data Source'!AC438&gt;=2,"C",IF('Data Source'!AC438&gt;=1,"D","F")))))),"")</f>
        <v/>
      </c>
      <c r="L438" s="3">
        <f>IF(AND('Data Source'!B438&lt;&gt;"",'Data Source'!S438="F"),IF('Data Source'!AD438&gt;=5,"A+",IF('Data Source'!AD438&gt;=4,"A",IF('Data Source'!AD438&gt;=3.5,"A-",IF('Data Source'!AD438&gt;=3,"B",IF('Data Source'!AD438&gt;=2,"C",IF('Data Source'!AD438&gt;=1,"D","F")))))),"")</f>
        <v/>
      </c>
      <c r="M438" s="3">
        <f>IF(AND('Data Source'!B438&lt;&gt;"",'Data Source'!S438="F"),IF('Data Source'!AE438&gt;=5,"A+",IF('Data Source'!AE438&gt;=4,"A",IF('Data Source'!AE438&gt;=3.5,"A-",IF('Data Source'!AE438&gt;=3,"B",IF('Data Source'!AE438&gt;=2,"C",IF('Data Source'!AE438&gt;=1,"D","F")))))),"")</f>
        <v/>
      </c>
      <c r="N438" s="3">
        <f>IF(AND('Data Source'!B438&lt;&gt;"",'Data Source'!S438="F"),IF('Data Source'!AF438&gt;=5,"A+",IF('Data Source'!AF438&gt;=4,"A",IF('Data Source'!AF438&gt;=3.5,"A-",IF('Data Source'!AF438&gt;=3,"B",IF('Data Source'!AF438&gt;=2,"C",IF('Data Source'!AF438&gt;=1,"D","F")))))),"")</f>
        <v/>
      </c>
      <c r="O438" s="3">
        <f>IF(AND('Data Source'!B438&lt;&gt;"",'Data Source'!S438="F"),IF('Data Source'!AG438&gt;=5,"A+",IF('Data Source'!AG438&gt;=4,"A",IF('Data Source'!AG438&gt;=3.5,"A-",IF('Data Source'!AG438&gt;=3,"B",IF('Data Source'!AG438&gt;=2,"C",IF('Data Source'!AG438&gt;=1,"D","F")))))),"")</f>
        <v/>
      </c>
      <c r="P438" s="5">
        <f>IF(AND('Data Source'!B438&lt;&gt;"",'Data Source'!S438="F"),'Data Source'!R438,"")</f>
        <v/>
      </c>
      <c r="Q438" s="3">
        <f>IF(AND('Data Source'!B438&lt;&gt;"",'Data Source'!S438="F"),'Data Source'!S438,"")</f>
        <v/>
      </c>
    </row>
    <row r="439">
      <c r="A439" s="3">
        <f>IF(AND('Data Source'!B439&lt;&gt;"",'Data Source'!S439="F"),COUNTIF('Data Source'!$S$3:S439,"F"),"")</f>
        <v/>
      </c>
      <c r="B439">
        <f>IF(AND('Data Source'!B439&lt;&gt;"",'Data Source'!S439="F"),'Data Source'!B439,"")</f>
        <v/>
      </c>
      <c r="C439" s="3">
        <f>IF(AND('Data Source'!B439&lt;&gt;"",'Data Source'!S439="F"),IF('Data Source'!U439&gt;=5,"A+",IF('Data Source'!U439&gt;=4,"A",IF('Data Source'!U439&gt;=3.5,"A-",IF('Data Source'!U439&gt;=3,"B",IF('Data Source'!U439&gt;=2,"C",IF('Data Source'!U439&gt;=1,"D","F")))))),"")</f>
        <v/>
      </c>
      <c r="D439" s="3">
        <f>IF(AND('Data Source'!B439&lt;&gt;"",'Data Source'!S439="F"),IF('Data Source'!V439&gt;=5,"A+",IF('Data Source'!V439&gt;=4,"A",IF('Data Source'!V439&gt;=3.5,"A-",IF('Data Source'!V439&gt;=3,"B",IF('Data Source'!V439&gt;=2,"C",IF('Data Source'!V439&gt;=1,"D","F")))))),"")</f>
        <v/>
      </c>
      <c r="E439" s="3">
        <f>IF(AND('Data Source'!B439&lt;&gt;"",'Data Source'!S439="F"),IF('Data Source'!W439&gt;=5,"A+",IF('Data Source'!W439&gt;=4,"A",IF('Data Source'!W439&gt;=3.5,"A-",IF('Data Source'!W439&gt;=3,"B",IF('Data Source'!W439&gt;=2,"C",IF('Data Source'!W439&gt;=1,"D","F")))))),"")</f>
        <v/>
      </c>
      <c r="F439" s="3">
        <f>IF(AND('Data Source'!B439&lt;&gt;"",'Data Source'!S439="F"),IF('Data Source'!X439&gt;=5,"A+",IF('Data Source'!X439&gt;=4,"A",IF('Data Source'!X439&gt;=3.5,"A-",IF('Data Source'!X439&gt;=3,"B",IF('Data Source'!X439&gt;=2,"C",IF('Data Source'!X439&gt;=1,"D","F")))))),"")</f>
        <v/>
      </c>
      <c r="G439" s="3">
        <f>IF(AND('Data Source'!B439&lt;&gt;"",'Data Source'!S439="F"),IF('Data Source'!Y439&gt;=5,"A+",IF('Data Source'!Y439&gt;=4,"A",IF('Data Source'!Y439&gt;=3.5,"A-",IF('Data Source'!Y439&gt;=3,"B",IF('Data Source'!Y439&gt;=2,"C",IF('Data Source'!Y439&gt;=1,"D","F")))))),"")</f>
        <v/>
      </c>
      <c r="H439" s="3">
        <f>IF(AND('Data Source'!B439&lt;&gt;"",'Data Source'!S439="F"),IF('Data Source'!Z439&gt;=5,"A+",IF('Data Source'!Z439&gt;=4,"A",IF('Data Source'!Z439&gt;=3.5,"A-",IF('Data Source'!Z439&gt;=3,"B",IF('Data Source'!Z439&gt;=2,"C",IF('Data Source'!Z439&gt;=1,"D","F")))))),"")</f>
        <v/>
      </c>
      <c r="I439" s="3">
        <f>IF(AND('Data Source'!B439&lt;&gt;"",'Data Source'!S439="F"),IF('Data Source'!AA439&gt;=5,"A+",IF('Data Source'!AA439&gt;=4,"A",IF('Data Source'!AA439&gt;=3.5,"A-",IF('Data Source'!AA439&gt;=3,"B",IF('Data Source'!AA439&gt;=2,"C",IF('Data Source'!AA439&gt;=1,"D","F")))))),"")</f>
        <v/>
      </c>
      <c r="J439" s="3">
        <f>IF(AND('Data Source'!B439&lt;&gt;"",'Data Source'!S439="F"),IF('Data Source'!AB439&gt;=5,"A+",IF('Data Source'!AB439&gt;=4,"A",IF('Data Source'!AB439&gt;=3.5,"A-",IF('Data Source'!AB439&gt;=3,"B",IF('Data Source'!AB439&gt;=2,"C",IF('Data Source'!AB439&gt;=1,"D","F")))))),"")</f>
        <v/>
      </c>
      <c r="K439" s="3">
        <f>IF(AND('Data Source'!B439&lt;&gt;"",'Data Source'!S439="F"),IF('Data Source'!AC439&gt;=5,"A+",IF('Data Source'!AC439&gt;=4,"A",IF('Data Source'!AC439&gt;=3.5,"A-",IF('Data Source'!AC439&gt;=3,"B",IF('Data Source'!AC439&gt;=2,"C",IF('Data Source'!AC439&gt;=1,"D","F")))))),"")</f>
        <v/>
      </c>
      <c r="L439" s="3">
        <f>IF(AND('Data Source'!B439&lt;&gt;"",'Data Source'!S439="F"),IF('Data Source'!AD439&gt;=5,"A+",IF('Data Source'!AD439&gt;=4,"A",IF('Data Source'!AD439&gt;=3.5,"A-",IF('Data Source'!AD439&gt;=3,"B",IF('Data Source'!AD439&gt;=2,"C",IF('Data Source'!AD439&gt;=1,"D","F")))))),"")</f>
        <v/>
      </c>
      <c r="M439" s="3">
        <f>IF(AND('Data Source'!B439&lt;&gt;"",'Data Source'!S439="F"),IF('Data Source'!AE439&gt;=5,"A+",IF('Data Source'!AE439&gt;=4,"A",IF('Data Source'!AE439&gt;=3.5,"A-",IF('Data Source'!AE439&gt;=3,"B",IF('Data Source'!AE439&gt;=2,"C",IF('Data Source'!AE439&gt;=1,"D","F")))))),"")</f>
        <v/>
      </c>
      <c r="N439" s="3">
        <f>IF(AND('Data Source'!B439&lt;&gt;"",'Data Source'!S439="F"),IF('Data Source'!AF439&gt;=5,"A+",IF('Data Source'!AF439&gt;=4,"A",IF('Data Source'!AF439&gt;=3.5,"A-",IF('Data Source'!AF439&gt;=3,"B",IF('Data Source'!AF439&gt;=2,"C",IF('Data Source'!AF439&gt;=1,"D","F")))))),"")</f>
        <v/>
      </c>
      <c r="O439" s="3">
        <f>IF(AND('Data Source'!B439&lt;&gt;"",'Data Source'!S439="F"),IF('Data Source'!AG439&gt;=5,"A+",IF('Data Source'!AG439&gt;=4,"A",IF('Data Source'!AG439&gt;=3.5,"A-",IF('Data Source'!AG439&gt;=3,"B",IF('Data Source'!AG439&gt;=2,"C",IF('Data Source'!AG439&gt;=1,"D","F")))))),"")</f>
        <v/>
      </c>
      <c r="P439" s="5">
        <f>IF(AND('Data Source'!B439&lt;&gt;"",'Data Source'!S439="F"),'Data Source'!R439,"")</f>
        <v/>
      </c>
      <c r="Q439" s="3">
        <f>IF(AND('Data Source'!B439&lt;&gt;"",'Data Source'!S439="F"),'Data Source'!S439,"")</f>
        <v/>
      </c>
    </row>
    <row r="440">
      <c r="A440" s="3">
        <f>IF(AND('Data Source'!B440&lt;&gt;"",'Data Source'!S440="F"),COUNTIF('Data Source'!$S$3:S440,"F"),"")</f>
        <v/>
      </c>
      <c r="B440">
        <f>IF(AND('Data Source'!B440&lt;&gt;"",'Data Source'!S440="F"),'Data Source'!B440,"")</f>
        <v/>
      </c>
      <c r="C440" s="3">
        <f>IF(AND('Data Source'!B440&lt;&gt;"",'Data Source'!S440="F"),IF('Data Source'!U440&gt;=5,"A+",IF('Data Source'!U440&gt;=4,"A",IF('Data Source'!U440&gt;=3.5,"A-",IF('Data Source'!U440&gt;=3,"B",IF('Data Source'!U440&gt;=2,"C",IF('Data Source'!U440&gt;=1,"D","F")))))),"")</f>
        <v/>
      </c>
      <c r="D440" s="3">
        <f>IF(AND('Data Source'!B440&lt;&gt;"",'Data Source'!S440="F"),IF('Data Source'!V440&gt;=5,"A+",IF('Data Source'!V440&gt;=4,"A",IF('Data Source'!V440&gt;=3.5,"A-",IF('Data Source'!V440&gt;=3,"B",IF('Data Source'!V440&gt;=2,"C",IF('Data Source'!V440&gt;=1,"D","F")))))),"")</f>
        <v/>
      </c>
      <c r="E440" s="3">
        <f>IF(AND('Data Source'!B440&lt;&gt;"",'Data Source'!S440="F"),IF('Data Source'!W440&gt;=5,"A+",IF('Data Source'!W440&gt;=4,"A",IF('Data Source'!W440&gt;=3.5,"A-",IF('Data Source'!W440&gt;=3,"B",IF('Data Source'!W440&gt;=2,"C",IF('Data Source'!W440&gt;=1,"D","F")))))),"")</f>
        <v/>
      </c>
      <c r="F440" s="3">
        <f>IF(AND('Data Source'!B440&lt;&gt;"",'Data Source'!S440="F"),IF('Data Source'!X440&gt;=5,"A+",IF('Data Source'!X440&gt;=4,"A",IF('Data Source'!X440&gt;=3.5,"A-",IF('Data Source'!X440&gt;=3,"B",IF('Data Source'!X440&gt;=2,"C",IF('Data Source'!X440&gt;=1,"D","F")))))),"")</f>
        <v/>
      </c>
      <c r="G440" s="3">
        <f>IF(AND('Data Source'!B440&lt;&gt;"",'Data Source'!S440="F"),IF('Data Source'!Y440&gt;=5,"A+",IF('Data Source'!Y440&gt;=4,"A",IF('Data Source'!Y440&gt;=3.5,"A-",IF('Data Source'!Y440&gt;=3,"B",IF('Data Source'!Y440&gt;=2,"C",IF('Data Source'!Y440&gt;=1,"D","F")))))),"")</f>
        <v/>
      </c>
      <c r="H440" s="3">
        <f>IF(AND('Data Source'!B440&lt;&gt;"",'Data Source'!S440="F"),IF('Data Source'!Z440&gt;=5,"A+",IF('Data Source'!Z440&gt;=4,"A",IF('Data Source'!Z440&gt;=3.5,"A-",IF('Data Source'!Z440&gt;=3,"B",IF('Data Source'!Z440&gt;=2,"C",IF('Data Source'!Z440&gt;=1,"D","F")))))),"")</f>
        <v/>
      </c>
      <c r="I440" s="3">
        <f>IF(AND('Data Source'!B440&lt;&gt;"",'Data Source'!S440="F"),IF('Data Source'!AA440&gt;=5,"A+",IF('Data Source'!AA440&gt;=4,"A",IF('Data Source'!AA440&gt;=3.5,"A-",IF('Data Source'!AA440&gt;=3,"B",IF('Data Source'!AA440&gt;=2,"C",IF('Data Source'!AA440&gt;=1,"D","F")))))),"")</f>
        <v/>
      </c>
      <c r="J440" s="3">
        <f>IF(AND('Data Source'!B440&lt;&gt;"",'Data Source'!S440="F"),IF('Data Source'!AB440&gt;=5,"A+",IF('Data Source'!AB440&gt;=4,"A",IF('Data Source'!AB440&gt;=3.5,"A-",IF('Data Source'!AB440&gt;=3,"B",IF('Data Source'!AB440&gt;=2,"C",IF('Data Source'!AB440&gt;=1,"D","F")))))),"")</f>
        <v/>
      </c>
      <c r="K440" s="3">
        <f>IF(AND('Data Source'!B440&lt;&gt;"",'Data Source'!S440="F"),IF('Data Source'!AC440&gt;=5,"A+",IF('Data Source'!AC440&gt;=4,"A",IF('Data Source'!AC440&gt;=3.5,"A-",IF('Data Source'!AC440&gt;=3,"B",IF('Data Source'!AC440&gt;=2,"C",IF('Data Source'!AC440&gt;=1,"D","F")))))),"")</f>
        <v/>
      </c>
      <c r="L440" s="3">
        <f>IF(AND('Data Source'!B440&lt;&gt;"",'Data Source'!S440="F"),IF('Data Source'!AD440&gt;=5,"A+",IF('Data Source'!AD440&gt;=4,"A",IF('Data Source'!AD440&gt;=3.5,"A-",IF('Data Source'!AD440&gt;=3,"B",IF('Data Source'!AD440&gt;=2,"C",IF('Data Source'!AD440&gt;=1,"D","F")))))),"")</f>
        <v/>
      </c>
      <c r="M440" s="3">
        <f>IF(AND('Data Source'!B440&lt;&gt;"",'Data Source'!S440="F"),IF('Data Source'!AE440&gt;=5,"A+",IF('Data Source'!AE440&gt;=4,"A",IF('Data Source'!AE440&gt;=3.5,"A-",IF('Data Source'!AE440&gt;=3,"B",IF('Data Source'!AE440&gt;=2,"C",IF('Data Source'!AE440&gt;=1,"D","F")))))),"")</f>
        <v/>
      </c>
      <c r="N440" s="3">
        <f>IF(AND('Data Source'!B440&lt;&gt;"",'Data Source'!S440="F"),IF('Data Source'!AF440&gt;=5,"A+",IF('Data Source'!AF440&gt;=4,"A",IF('Data Source'!AF440&gt;=3.5,"A-",IF('Data Source'!AF440&gt;=3,"B",IF('Data Source'!AF440&gt;=2,"C",IF('Data Source'!AF440&gt;=1,"D","F")))))),"")</f>
        <v/>
      </c>
      <c r="O440" s="3">
        <f>IF(AND('Data Source'!B440&lt;&gt;"",'Data Source'!S440="F"),IF('Data Source'!AG440&gt;=5,"A+",IF('Data Source'!AG440&gt;=4,"A",IF('Data Source'!AG440&gt;=3.5,"A-",IF('Data Source'!AG440&gt;=3,"B",IF('Data Source'!AG440&gt;=2,"C",IF('Data Source'!AG440&gt;=1,"D","F")))))),"")</f>
        <v/>
      </c>
      <c r="P440" s="5">
        <f>IF(AND('Data Source'!B440&lt;&gt;"",'Data Source'!S440="F"),'Data Source'!R440,"")</f>
        <v/>
      </c>
      <c r="Q440" s="3">
        <f>IF(AND('Data Source'!B440&lt;&gt;"",'Data Source'!S440="F"),'Data Source'!S440,"")</f>
        <v/>
      </c>
    </row>
    <row r="441">
      <c r="A441" s="3">
        <f>IF(AND('Data Source'!B441&lt;&gt;"",'Data Source'!S441="F"),COUNTIF('Data Source'!$S$3:S441,"F"),"")</f>
        <v/>
      </c>
      <c r="B441">
        <f>IF(AND('Data Source'!B441&lt;&gt;"",'Data Source'!S441="F"),'Data Source'!B441,"")</f>
        <v/>
      </c>
      <c r="C441" s="3">
        <f>IF(AND('Data Source'!B441&lt;&gt;"",'Data Source'!S441="F"),IF('Data Source'!U441&gt;=5,"A+",IF('Data Source'!U441&gt;=4,"A",IF('Data Source'!U441&gt;=3.5,"A-",IF('Data Source'!U441&gt;=3,"B",IF('Data Source'!U441&gt;=2,"C",IF('Data Source'!U441&gt;=1,"D","F")))))),"")</f>
        <v/>
      </c>
      <c r="D441" s="3">
        <f>IF(AND('Data Source'!B441&lt;&gt;"",'Data Source'!S441="F"),IF('Data Source'!V441&gt;=5,"A+",IF('Data Source'!V441&gt;=4,"A",IF('Data Source'!V441&gt;=3.5,"A-",IF('Data Source'!V441&gt;=3,"B",IF('Data Source'!V441&gt;=2,"C",IF('Data Source'!V441&gt;=1,"D","F")))))),"")</f>
        <v/>
      </c>
      <c r="E441" s="3">
        <f>IF(AND('Data Source'!B441&lt;&gt;"",'Data Source'!S441="F"),IF('Data Source'!W441&gt;=5,"A+",IF('Data Source'!W441&gt;=4,"A",IF('Data Source'!W441&gt;=3.5,"A-",IF('Data Source'!W441&gt;=3,"B",IF('Data Source'!W441&gt;=2,"C",IF('Data Source'!W441&gt;=1,"D","F")))))),"")</f>
        <v/>
      </c>
      <c r="F441" s="3">
        <f>IF(AND('Data Source'!B441&lt;&gt;"",'Data Source'!S441="F"),IF('Data Source'!X441&gt;=5,"A+",IF('Data Source'!X441&gt;=4,"A",IF('Data Source'!X441&gt;=3.5,"A-",IF('Data Source'!X441&gt;=3,"B",IF('Data Source'!X441&gt;=2,"C",IF('Data Source'!X441&gt;=1,"D","F")))))),"")</f>
        <v/>
      </c>
      <c r="G441" s="3">
        <f>IF(AND('Data Source'!B441&lt;&gt;"",'Data Source'!S441="F"),IF('Data Source'!Y441&gt;=5,"A+",IF('Data Source'!Y441&gt;=4,"A",IF('Data Source'!Y441&gt;=3.5,"A-",IF('Data Source'!Y441&gt;=3,"B",IF('Data Source'!Y441&gt;=2,"C",IF('Data Source'!Y441&gt;=1,"D","F")))))),"")</f>
        <v/>
      </c>
      <c r="H441" s="3">
        <f>IF(AND('Data Source'!B441&lt;&gt;"",'Data Source'!S441="F"),IF('Data Source'!Z441&gt;=5,"A+",IF('Data Source'!Z441&gt;=4,"A",IF('Data Source'!Z441&gt;=3.5,"A-",IF('Data Source'!Z441&gt;=3,"B",IF('Data Source'!Z441&gt;=2,"C",IF('Data Source'!Z441&gt;=1,"D","F")))))),"")</f>
        <v/>
      </c>
      <c r="I441" s="3">
        <f>IF(AND('Data Source'!B441&lt;&gt;"",'Data Source'!S441="F"),IF('Data Source'!AA441&gt;=5,"A+",IF('Data Source'!AA441&gt;=4,"A",IF('Data Source'!AA441&gt;=3.5,"A-",IF('Data Source'!AA441&gt;=3,"B",IF('Data Source'!AA441&gt;=2,"C",IF('Data Source'!AA441&gt;=1,"D","F")))))),"")</f>
        <v/>
      </c>
      <c r="J441" s="3">
        <f>IF(AND('Data Source'!B441&lt;&gt;"",'Data Source'!S441="F"),IF('Data Source'!AB441&gt;=5,"A+",IF('Data Source'!AB441&gt;=4,"A",IF('Data Source'!AB441&gt;=3.5,"A-",IF('Data Source'!AB441&gt;=3,"B",IF('Data Source'!AB441&gt;=2,"C",IF('Data Source'!AB441&gt;=1,"D","F")))))),"")</f>
        <v/>
      </c>
      <c r="K441" s="3">
        <f>IF(AND('Data Source'!B441&lt;&gt;"",'Data Source'!S441="F"),IF('Data Source'!AC441&gt;=5,"A+",IF('Data Source'!AC441&gt;=4,"A",IF('Data Source'!AC441&gt;=3.5,"A-",IF('Data Source'!AC441&gt;=3,"B",IF('Data Source'!AC441&gt;=2,"C",IF('Data Source'!AC441&gt;=1,"D","F")))))),"")</f>
        <v/>
      </c>
      <c r="L441" s="3">
        <f>IF(AND('Data Source'!B441&lt;&gt;"",'Data Source'!S441="F"),IF('Data Source'!AD441&gt;=5,"A+",IF('Data Source'!AD441&gt;=4,"A",IF('Data Source'!AD441&gt;=3.5,"A-",IF('Data Source'!AD441&gt;=3,"B",IF('Data Source'!AD441&gt;=2,"C",IF('Data Source'!AD441&gt;=1,"D","F")))))),"")</f>
        <v/>
      </c>
      <c r="M441" s="3">
        <f>IF(AND('Data Source'!B441&lt;&gt;"",'Data Source'!S441="F"),IF('Data Source'!AE441&gt;=5,"A+",IF('Data Source'!AE441&gt;=4,"A",IF('Data Source'!AE441&gt;=3.5,"A-",IF('Data Source'!AE441&gt;=3,"B",IF('Data Source'!AE441&gt;=2,"C",IF('Data Source'!AE441&gt;=1,"D","F")))))),"")</f>
        <v/>
      </c>
      <c r="N441" s="3">
        <f>IF(AND('Data Source'!B441&lt;&gt;"",'Data Source'!S441="F"),IF('Data Source'!AF441&gt;=5,"A+",IF('Data Source'!AF441&gt;=4,"A",IF('Data Source'!AF441&gt;=3.5,"A-",IF('Data Source'!AF441&gt;=3,"B",IF('Data Source'!AF441&gt;=2,"C",IF('Data Source'!AF441&gt;=1,"D","F")))))),"")</f>
        <v/>
      </c>
      <c r="O441" s="3">
        <f>IF(AND('Data Source'!B441&lt;&gt;"",'Data Source'!S441="F"),IF('Data Source'!AG441&gt;=5,"A+",IF('Data Source'!AG441&gt;=4,"A",IF('Data Source'!AG441&gt;=3.5,"A-",IF('Data Source'!AG441&gt;=3,"B",IF('Data Source'!AG441&gt;=2,"C",IF('Data Source'!AG441&gt;=1,"D","F")))))),"")</f>
        <v/>
      </c>
      <c r="P441" s="5">
        <f>IF(AND('Data Source'!B441&lt;&gt;"",'Data Source'!S441="F"),'Data Source'!R441,"")</f>
        <v/>
      </c>
      <c r="Q441" s="3">
        <f>IF(AND('Data Source'!B441&lt;&gt;"",'Data Source'!S441="F"),'Data Source'!S441,"")</f>
        <v/>
      </c>
    </row>
    <row r="442">
      <c r="A442" s="3">
        <f>IF(AND('Data Source'!B442&lt;&gt;"",'Data Source'!S442="F"),COUNTIF('Data Source'!$S$3:S442,"F"),"")</f>
        <v/>
      </c>
      <c r="B442">
        <f>IF(AND('Data Source'!B442&lt;&gt;"",'Data Source'!S442="F"),'Data Source'!B442,"")</f>
        <v/>
      </c>
      <c r="C442" s="3">
        <f>IF(AND('Data Source'!B442&lt;&gt;"",'Data Source'!S442="F"),IF('Data Source'!U442&gt;=5,"A+",IF('Data Source'!U442&gt;=4,"A",IF('Data Source'!U442&gt;=3.5,"A-",IF('Data Source'!U442&gt;=3,"B",IF('Data Source'!U442&gt;=2,"C",IF('Data Source'!U442&gt;=1,"D","F")))))),"")</f>
        <v/>
      </c>
      <c r="D442" s="3">
        <f>IF(AND('Data Source'!B442&lt;&gt;"",'Data Source'!S442="F"),IF('Data Source'!V442&gt;=5,"A+",IF('Data Source'!V442&gt;=4,"A",IF('Data Source'!V442&gt;=3.5,"A-",IF('Data Source'!V442&gt;=3,"B",IF('Data Source'!V442&gt;=2,"C",IF('Data Source'!V442&gt;=1,"D","F")))))),"")</f>
        <v/>
      </c>
      <c r="E442" s="3">
        <f>IF(AND('Data Source'!B442&lt;&gt;"",'Data Source'!S442="F"),IF('Data Source'!W442&gt;=5,"A+",IF('Data Source'!W442&gt;=4,"A",IF('Data Source'!W442&gt;=3.5,"A-",IF('Data Source'!W442&gt;=3,"B",IF('Data Source'!W442&gt;=2,"C",IF('Data Source'!W442&gt;=1,"D","F")))))),"")</f>
        <v/>
      </c>
      <c r="F442" s="3">
        <f>IF(AND('Data Source'!B442&lt;&gt;"",'Data Source'!S442="F"),IF('Data Source'!X442&gt;=5,"A+",IF('Data Source'!X442&gt;=4,"A",IF('Data Source'!X442&gt;=3.5,"A-",IF('Data Source'!X442&gt;=3,"B",IF('Data Source'!X442&gt;=2,"C",IF('Data Source'!X442&gt;=1,"D","F")))))),"")</f>
        <v/>
      </c>
      <c r="G442" s="3">
        <f>IF(AND('Data Source'!B442&lt;&gt;"",'Data Source'!S442="F"),IF('Data Source'!Y442&gt;=5,"A+",IF('Data Source'!Y442&gt;=4,"A",IF('Data Source'!Y442&gt;=3.5,"A-",IF('Data Source'!Y442&gt;=3,"B",IF('Data Source'!Y442&gt;=2,"C",IF('Data Source'!Y442&gt;=1,"D","F")))))),"")</f>
        <v/>
      </c>
      <c r="H442" s="3">
        <f>IF(AND('Data Source'!B442&lt;&gt;"",'Data Source'!S442="F"),IF('Data Source'!Z442&gt;=5,"A+",IF('Data Source'!Z442&gt;=4,"A",IF('Data Source'!Z442&gt;=3.5,"A-",IF('Data Source'!Z442&gt;=3,"B",IF('Data Source'!Z442&gt;=2,"C",IF('Data Source'!Z442&gt;=1,"D","F")))))),"")</f>
        <v/>
      </c>
      <c r="I442" s="3">
        <f>IF(AND('Data Source'!B442&lt;&gt;"",'Data Source'!S442="F"),IF('Data Source'!AA442&gt;=5,"A+",IF('Data Source'!AA442&gt;=4,"A",IF('Data Source'!AA442&gt;=3.5,"A-",IF('Data Source'!AA442&gt;=3,"B",IF('Data Source'!AA442&gt;=2,"C",IF('Data Source'!AA442&gt;=1,"D","F")))))),"")</f>
        <v/>
      </c>
      <c r="J442" s="3">
        <f>IF(AND('Data Source'!B442&lt;&gt;"",'Data Source'!S442="F"),IF('Data Source'!AB442&gt;=5,"A+",IF('Data Source'!AB442&gt;=4,"A",IF('Data Source'!AB442&gt;=3.5,"A-",IF('Data Source'!AB442&gt;=3,"B",IF('Data Source'!AB442&gt;=2,"C",IF('Data Source'!AB442&gt;=1,"D","F")))))),"")</f>
        <v/>
      </c>
      <c r="K442" s="3">
        <f>IF(AND('Data Source'!B442&lt;&gt;"",'Data Source'!S442="F"),IF('Data Source'!AC442&gt;=5,"A+",IF('Data Source'!AC442&gt;=4,"A",IF('Data Source'!AC442&gt;=3.5,"A-",IF('Data Source'!AC442&gt;=3,"B",IF('Data Source'!AC442&gt;=2,"C",IF('Data Source'!AC442&gt;=1,"D","F")))))),"")</f>
        <v/>
      </c>
      <c r="L442" s="3">
        <f>IF(AND('Data Source'!B442&lt;&gt;"",'Data Source'!S442="F"),IF('Data Source'!AD442&gt;=5,"A+",IF('Data Source'!AD442&gt;=4,"A",IF('Data Source'!AD442&gt;=3.5,"A-",IF('Data Source'!AD442&gt;=3,"B",IF('Data Source'!AD442&gt;=2,"C",IF('Data Source'!AD442&gt;=1,"D","F")))))),"")</f>
        <v/>
      </c>
      <c r="M442" s="3">
        <f>IF(AND('Data Source'!B442&lt;&gt;"",'Data Source'!S442="F"),IF('Data Source'!AE442&gt;=5,"A+",IF('Data Source'!AE442&gt;=4,"A",IF('Data Source'!AE442&gt;=3.5,"A-",IF('Data Source'!AE442&gt;=3,"B",IF('Data Source'!AE442&gt;=2,"C",IF('Data Source'!AE442&gt;=1,"D","F")))))),"")</f>
        <v/>
      </c>
      <c r="N442" s="3">
        <f>IF(AND('Data Source'!B442&lt;&gt;"",'Data Source'!S442="F"),IF('Data Source'!AF442&gt;=5,"A+",IF('Data Source'!AF442&gt;=4,"A",IF('Data Source'!AF442&gt;=3.5,"A-",IF('Data Source'!AF442&gt;=3,"B",IF('Data Source'!AF442&gt;=2,"C",IF('Data Source'!AF442&gt;=1,"D","F")))))),"")</f>
        <v/>
      </c>
      <c r="O442" s="3">
        <f>IF(AND('Data Source'!B442&lt;&gt;"",'Data Source'!S442="F"),IF('Data Source'!AG442&gt;=5,"A+",IF('Data Source'!AG442&gt;=4,"A",IF('Data Source'!AG442&gt;=3.5,"A-",IF('Data Source'!AG442&gt;=3,"B",IF('Data Source'!AG442&gt;=2,"C",IF('Data Source'!AG442&gt;=1,"D","F")))))),"")</f>
        <v/>
      </c>
      <c r="P442" s="5">
        <f>IF(AND('Data Source'!B442&lt;&gt;"",'Data Source'!S442="F"),'Data Source'!R442,"")</f>
        <v/>
      </c>
      <c r="Q442" s="3">
        <f>IF(AND('Data Source'!B442&lt;&gt;"",'Data Source'!S442="F"),'Data Source'!S442,"")</f>
        <v/>
      </c>
    </row>
    <row r="443">
      <c r="A443" s="3">
        <f>IF(AND('Data Source'!B443&lt;&gt;"",'Data Source'!S443="F"),COUNTIF('Data Source'!$S$3:S443,"F"),"")</f>
        <v/>
      </c>
      <c r="B443">
        <f>IF(AND('Data Source'!B443&lt;&gt;"",'Data Source'!S443="F"),'Data Source'!B443,"")</f>
        <v/>
      </c>
      <c r="C443" s="3">
        <f>IF(AND('Data Source'!B443&lt;&gt;"",'Data Source'!S443="F"),IF('Data Source'!U443&gt;=5,"A+",IF('Data Source'!U443&gt;=4,"A",IF('Data Source'!U443&gt;=3.5,"A-",IF('Data Source'!U443&gt;=3,"B",IF('Data Source'!U443&gt;=2,"C",IF('Data Source'!U443&gt;=1,"D","F")))))),"")</f>
        <v/>
      </c>
      <c r="D443" s="3">
        <f>IF(AND('Data Source'!B443&lt;&gt;"",'Data Source'!S443="F"),IF('Data Source'!V443&gt;=5,"A+",IF('Data Source'!V443&gt;=4,"A",IF('Data Source'!V443&gt;=3.5,"A-",IF('Data Source'!V443&gt;=3,"B",IF('Data Source'!V443&gt;=2,"C",IF('Data Source'!V443&gt;=1,"D","F")))))),"")</f>
        <v/>
      </c>
      <c r="E443" s="3">
        <f>IF(AND('Data Source'!B443&lt;&gt;"",'Data Source'!S443="F"),IF('Data Source'!W443&gt;=5,"A+",IF('Data Source'!W443&gt;=4,"A",IF('Data Source'!W443&gt;=3.5,"A-",IF('Data Source'!W443&gt;=3,"B",IF('Data Source'!W443&gt;=2,"C",IF('Data Source'!W443&gt;=1,"D","F")))))),"")</f>
        <v/>
      </c>
      <c r="F443" s="3">
        <f>IF(AND('Data Source'!B443&lt;&gt;"",'Data Source'!S443="F"),IF('Data Source'!X443&gt;=5,"A+",IF('Data Source'!X443&gt;=4,"A",IF('Data Source'!X443&gt;=3.5,"A-",IF('Data Source'!X443&gt;=3,"B",IF('Data Source'!X443&gt;=2,"C",IF('Data Source'!X443&gt;=1,"D","F")))))),"")</f>
        <v/>
      </c>
      <c r="G443" s="3">
        <f>IF(AND('Data Source'!B443&lt;&gt;"",'Data Source'!S443="F"),IF('Data Source'!Y443&gt;=5,"A+",IF('Data Source'!Y443&gt;=4,"A",IF('Data Source'!Y443&gt;=3.5,"A-",IF('Data Source'!Y443&gt;=3,"B",IF('Data Source'!Y443&gt;=2,"C",IF('Data Source'!Y443&gt;=1,"D","F")))))),"")</f>
        <v/>
      </c>
      <c r="H443" s="3">
        <f>IF(AND('Data Source'!B443&lt;&gt;"",'Data Source'!S443="F"),IF('Data Source'!Z443&gt;=5,"A+",IF('Data Source'!Z443&gt;=4,"A",IF('Data Source'!Z443&gt;=3.5,"A-",IF('Data Source'!Z443&gt;=3,"B",IF('Data Source'!Z443&gt;=2,"C",IF('Data Source'!Z443&gt;=1,"D","F")))))),"")</f>
        <v/>
      </c>
      <c r="I443" s="3">
        <f>IF(AND('Data Source'!B443&lt;&gt;"",'Data Source'!S443="F"),IF('Data Source'!AA443&gt;=5,"A+",IF('Data Source'!AA443&gt;=4,"A",IF('Data Source'!AA443&gt;=3.5,"A-",IF('Data Source'!AA443&gt;=3,"B",IF('Data Source'!AA443&gt;=2,"C",IF('Data Source'!AA443&gt;=1,"D","F")))))),"")</f>
        <v/>
      </c>
      <c r="J443" s="3">
        <f>IF(AND('Data Source'!B443&lt;&gt;"",'Data Source'!S443="F"),IF('Data Source'!AB443&gt;=5,"A+",IF('Data Source'!AB443&gt;=4,"A",IF('Data Source'!AB443&gt;=3.5,"A-",IF('Data Source'!AB443&gt;=3,"B",IF('Data Source'!AB443&gt;=2,"C",IF('Data Source'!AB443&gt;=1,"D","F")))))),"")</f>
        <v/>
      </c>
      <c r="K443" s="3">
        <f>IF(AND('Data Source'!B443&lt;&gt;"",'Data Source'!S443="F"),IF('Data Source'!AC443&gt;=5,"A+",IF('Data Source'!AC443&gt;=4,"A",IF('Data Source'!AC443&gt;=3.5,"A-",IF('Data Source'!AC443&gt;=3,"B",IF('Data Source'!AC443&gt;=2,"C",IF('Data Source'!AC443&gt;=1,"D","F")))))),"")</f>
        <v/>
      </c>
      <c r="L443" s="3">
        <f>IF(AND('Data Source'!B443&lt;&gt;"",'Data Source'!S443="F"),IF('Data Source'!AD443&gt;=5,"A+",IF('Data Source'!AD443&gt;=4,"A",IF('Data Source'!AD443&gt;=3.5,"A-",IF('Data Source'!AD443&gt;=3,"B",IF('Data Source'!AD443&gt;=2,"C",IF('Data Source'!AD443&gt;=1,"D","F")))))),"")</f>
        <v/>
      </c>
      <c r="M443" s="3">
        <f>IF(AND('Data Source'!B443&lt;&gt;"",'Data Source'!S443="F"),IF('Data Source'!AE443&gt;=5,"A+",IF('Data Source'!AE443&gt;=4,"A",IF('Data Source'!AE443&gt;=3.5,"A-",IF('Data Source'!AE443&gt;=3,"B",IF('Data Source'!AE443&gt;=2,"C",IF('Data Source'!AE443&gt;=1,"D","F")))))),"")</f>
        <v/>
      </c>
      <c r="N443" s="3">
        <f>IF(AND('Data Source'!B443&lt;&gt;"",'Data Source'!S443="F"),IF('Data Source'!AF443&gt;=5,"A+",IF('Data Source'!AF443&gt;=4,"A",IF('Data Source'!AF443&gt;=3.5,"A-",IF('Data Source'!AF443&gt;=3,"B",IF('Data Source'!AF443&gt;=2,"C",IF('Data Source'!AF443&gt;=1,"D","F")))))),"")</f>
        <v/>
      </c>
      <c r="O443" s="3">
        <f>IF(AND('Data Source'!B443&lt;&gt;"",'Data Source'!S443="F"),IF('Data Source'!AG443&gt;=5,"A+",IF('Data Source'!AG443&gt;=4,"A",IF('Data Source'!AG443&gt;=3.5,"A-",IF('Data Source'!AG443&gt;=3,"B",IF('Data Source'!AG443&gt;=2,"C",IF('Data Source'!AG443&gt;=1,"D","F")))))),"")</f>
        <v/>
      </c>
      <c r="P443" s="5">
        <f>IF(AND('Data Source'!B443&lt;&gt;"",'Data Source'!S443="F"),'Data Source'!R443,"")</f>
        <v/>
      </c>
      <c r="Q443" s="3">
        <f>IF(AND('Data Source'!B443&lt;&gt;"",'Data Source'!S443="F"),'Data Source'!S443,"")</f>
        <v/>
      </c>
    </row>
    <row r="444">
      <c r="A444" s="3">
        <f>IF(AND('Data Source'!B444&lt;&gt;"",'Data Source'!S444="F"),COUNTIF('Data Source'!$S$3:S444,"F"),"")</f>
        <v/>
      </c>
      <c r="B444">
        <f>IF(AND('Data Source'!B444&lt;&gt;"",'Data Source'!S444="F"),'Data Source'!B444,"")</f>
        <v/>
      </c>
      <c r="C444" s="3">
        <f>IF(AND('Data Source'!B444&lt;&gt;"",'Data Source'!S444="F"),IF('Data Source'!U444&gt;=5,"A+",IF('Data Source'!U444&gt;=4,"A",IF('Data Source'!U444&gt;=3.5,"A-",IF('Data Source'!U444&gt;=3,"B",IF('Data Source'!U444&gt;=2,"C",IF('Data Source'!U444&gt;=1,"D","F")))))),"")</f>
        <v/>
      </c>
      <c r="D444" s="3">
        <f>IF(AND('Data Source'!B444&lt;&gt;"",'Data Source'!S444="F"),IF('Data Source'!V444&gt;=5,"A+",IF('Data Source'!V444&gt;=4,"A",IF('Data Source'!V444&gt;=3.5,"A-",IF('Data Source'!V444&gt;=3,"B",IF('Data Source'!V444&gt;=2,"C",IF('Data Source'!V444&gt;=1,"D","F")))))),"")</f>
        <v/>
      </c>
      <c r="E444" s="3">
        <f>IF(AND('Data Source'!B444&lt;&gt;"",'Data Source'!S444="F"),IF('Data Source'!W444&gt;=5,"A+",IF('Data Source'!W444&gt;=4,"A",IF('Data Source'!W444&gt;=3.5,"A-",IF('Data Source'!W444&gt;=3,"B",IF('Data Source'!W444&gt;=2,"C",IF('Data Source'!W444&gt;=1,"D","F")))))),"")</f>
        <v/>
      </c>
      <c r="F444" s="3">
        <f>IF(AND('Data Source'!B444&lt;&gt;"",'Data Source'!S444="F"),IF('Data Source'!X444&gt;=5,"A+",IF('Data Source'!X444&gt;=4,"A",IF('Data Source'!X444&gt;=3.5,"A-",IF('Data Source'!X444&gt;=3,"B",IF('Data Source'!X444&gt;=2,"C",IF('Data Source'!X444&gt;=1,"D","F")))))),"")</f>
        <v/>
      </c>
      <c r="G444" s="3">
        <f>IF(AND('Data Source'!B444&lt;&gt;"",'Data Source'!S444="F"),IF('Data Source'!Y444&gt;=5,"A+",IF('Data Source'!Y444&gt;=4,"A",IF('Data Source'!Y444&gt;=3.5,"A-",IF('Data Source'!Y444&gt;=3,"B",IF('Data Source'!Y444&gt;=2,"C",IF('Data Source'!Y444&gt;=1,"D","F")))))),"")</f>
        <v/>
      </c>
      <c r="H444" s="3">
        <f>IF(AND('Data Source'!B444&lt;&gt;"",'Data Source'!S444="F"),IF('Data Source'!Z444&gt;=5,"A+",IF('Data Source'!Z444&gt;=4,"A",IF('Data Source'!Z444&gt;=3.5,"A-",IF('Data Source'!Z444&gt;=3,"B",IF('Data Source'!Z444&gt;=2,"C",IF('Data Source'!Z444&gt;=1,"D","F")))))),"")</f>
        <v/>
      </c>
      <c r="I444" s="3">
        <f>IF(AND('Data Source'!B444&lt;&gt;"",'Data Source'!S444="F"),IF('Data Source'!AA444&gt;=5,"A+",IF('Data Source'!AA444&gt;=4,"A",IF('Data Source'!AA444&gt;=3.5,"A-",IF('Data Source'!AA444&gt;=3,"B",IF('Data Source'!AA444&gt;=2,"C",IF('Data Source'!AA444&gt;=1,"D","F")))))),"")</f>
        <v/>
      </c>
      <c r="J444" s="3">
        <f>IF(AND('Data Source'!B444&lt;&gt;"",'Data Source'!S444="F"),IF('Data Source'!AB444&gt;=5,"A+",IF('Data Source'!AB444&gt;=4,"A",IF('Data Source'!AB444&gt;=3.5,"A-",IF('Data Source'!AB444&gt;=3,"B",IF('Data Source'!AB444&gt;=2,"C",IF('Data Source'!AB444&gt;=1,"D","F")))))),"")</f>
        <v/>
      </c>
      <c r="K444" s="3">
        <f>IF(AND('Data Source'!B444&lt;&gt;"",'Data Source'!S444="F"),IF('Data Source'!AC444&gt;=5,"A+",IF('Data Source'!AC444&gt;=4,"A",IF('Data Source'!AC444&gt;=3.5,"A-",IF('Data Source'!AC444&gt;=3,"B",IF('Data Source'!AC444&gt;=2,"C",IF('Data Source'!AC444&gt;=1,"D","F")))))),"")</f>
        <v/>
      </c>
      <c r="L444" s="3">
        <f>IF(AND('Data Source'!B444&lt;&gt;"",'Data Source'!S444="F"),IF('Data Source'!AD444&gt;=5,"A+",IF('Data Source'!AD444&gt;=4,"A",IF('Data Source'!AD444&gt;=3.5,"A-",IF('Data Source'!AD444&gt;=3,"B",IF('Data Source'!AD444&gt;=2,"C",IF('Data Source'!AD444&gt;=1,"D","F")))))),"")</f>
        <v/>
      </c>
      <c r="M444" s="3">
        <f>IF(AND('Data Source'!B444&lt;&gt;"",'Data Source'!S444="F"),IF('Data Source'!AE444&gt;=5,"A+",IF('Data Source'!AE444&gt;=4,"A",IF('Data Source'!AE444&gt;=3.5,"A-",IF('Data Source'!AE444&gt;=3,"B",IF('Data Source'!AE444&gt;=2,"C",IF('Data Source'!AE444&gt;=1,"D","F")))))),"")</f>
        <v/>
      </c>
      <c r="N444" s="3">
        <f>IF(AND('Data Source'!B444&lt;&gt;"",'Data Source'!S444="F"),IF('Data Source'!AF444&gt;=5,"A+",IF('Data Source'!AF444&gt;=4,"A",IF('Data Source'!AF444&gt;=3.5,"A-",IF('Data Source'!AF444&gt;=3,"B",IF('Data Source'!AF444&gt;=2,"C",IF('Data Source'!AF444&gt;=1,"D","F")))))),"")</f>
        <v/>
      </c>
      <c r="O444" s="3">
        <f>IF(AND('Data Source'!B444&lt;&gt;"",'Data Source'!S444="F"),IF('Data Source'!AG444&gt;=5,"A+",IF('Data Source'!AG444&gt;=4,"A",IF('Data Source'!AG444&gt;=3.5,"A-",IF('Data Source'!AG444&gt;=3,"B",IF('Data Source'!AG444&gt;=2,"C",IF('Data Source'!AG444&gt;=1,"D","F")))))),"")</f>
        <v/>
      </c>
      <c r="P444" s="5">
        <f>IF(AND('Data Source'!B444&lt;&gt;"",'Data Source'!S444="F"),'Data Source'!R444,"")</f>
        <v/>
      </c>
      <c r="Q444" s="3">
        <f>IF(AND('Data Source'!B444&lt;&gt;"",'Data Source'!S444="F"),'Data Source'!S444,"")</f>
        <v/>
      </c>
    </row>
    <row r="445">
      <c r="A445" s="3">
        <f>IF(AND('Data Source'!B445&lt;&gt;"",'Data Source'!S445="F"),COUNTIF('Data Source'!$S$3:S445,"F"),"")</f>
        <v/>
      </c>
      <c r="B445">
        <f>IF(AND('Data Source'!B445&lt;&gt;"",'Data Source'!S445="F"),'Data Source'!B445,"")</f>
        <v/>
      </c>
      <c r="C445" s="3">
        <f>IF(AND('Data Source'!B445&lt;&gt;"",'Data Source'!S445="F"),IF('Data Source'!U445&gt;=5,"A+",IF('Data Source'!U445&gt;=4,"A",IF('Data Source'!U445&gt;=3.5,"A-",IF('Data Source'!U445&gt;=3,"B",IF('Data Source'!U445&gt;=2,"C",IF('Data Source'!U445&gt;=1,"D","F")))))),"")</f>
        <v/>
      </c>
      <c r="D445" s="3">
        <f>IF(AND('Data Source'!B445&lt;&gt;"",'Data Source'!S445="F"),IF('Data Source'!V445&gt;=5,"A+",IF('Data Source'!V445&gt;=4,"A",IF('Data Source'!V445&gt;=3.5,"A-",IF('Data Source'!V445&gt;=3,"B",IF('Data Source'!V445&gt;=2,"C",IF('Data Source'!V445&gt;=1,"D","F")))))),"")</f>
        <v/>
      </c>
      <c r="E445" s="3">
        <f>IF(AND('Data Source'!B445&lt;&gt;"",'Data Source'!S445="F"),IF('Data Source'!W445&gt;=5,"A+",IF('Data Source'!W445&gt;=4,"A",IF('Data Source'!W445&gt;=3.5,"A-",IF('Data Source'!W445&gt;=3,"B",IF('Data Source'!W445&gt;=2,"C",IF('Data Source'!W445&gt;=1,"D","F")))))),"")</f>
        <v/>
      </c>
      <c r="F445" s="3">
        <f>IF(AND('Data Source'!B445&lt;&gt;"",'Data Source'!S445="F"),IF('Data Source'!X445&gt;=5,"A+",IF('Data Source'!X445&gt;=4,"A",IF('Data Source'!X445&gt;=3.5,"A-",IF('Data Source'!X445&gt;=3,"B",IF('Data Source'!X445&gt;=2,"C",IF('Data Source'!X445&gt;=1,"D","F")))))),"")</f>
        <v/>
      </c>
      <c r="G445" s="3">
        <f>IF(AND('Data Source'!B445&lt;&gt;"",'Data Source'!S445="F"),IF('Data Source'!Y445&gt;=5,"A+",IF('Data Source'!Y445&gt;=4,"A",IF('Data Source'!Y445&gt;=3.5,"A-",IF('Data Source'!Y445&gt;=3,"B",IF('Data Source'!Y445&gt;=2,"C",IF('Data Source'!Y445&gt;=1,"D","F")))))),"")</f>
        <v/>
      </c>
      <c r="H445" s="3">
        <f>IF(AND('Data Source'!B445&lt;&gt;"",'Data Source'!S445="F"),IF('Data Source'!Z445&gt;=5,"A+",IF('Data Source'!Z445&gt;=4,"A",IF('Data Source'!Z445&gt;=3.5,"A-",IF('Data Source'!Z445&gt;=3,"B",IF('Data Source'!Z445&gt;=2,"C",IF('Data Source'!Z445&gt;=1,"D","F")))))),"")</f>
        <v/>
      </c>
      <c r="I445" s="3">
        <f>IF(AND('Data Source'!B445&lt;&gt;"",'Data Source'!S445="F"),IF('Data Source'!AA445&gt;=5,"A+",IF('Data Source'!AA445&gt;=4,"A",IF('Data Source'!AA445&gt;=3.5,"A-",IF('Data Source'!AA445&gt;=3,"B",IF('Data Source'!AA445&gt;=2,"C",IF('Data Source'!AA445&gt;=1,"D","F")))))),"")</f>
        <v/>
      </c>
      <c r="J445" s="3">
        <f>IF(AND('Data Source'!B445&lt;&gt;"",'Data Source'!S445="F"),IF('Data Source'!AB445&gt;=5,"A+",IF('Data Source'!AB445&gt;=4,"A",IF('Data Source'!AB445&gt;=3.5,"A-",IF('Data Source'!AB445&gt;=3,"B",IF('Data Source'!AB445&gt;=2,"C",IF('Data Source'!AB445&gt;=1,"D","F")))))),"")</f>
        <v/>
      </c>
      <c r="K445" s="3">
        <f>IF(AND('Data Source'!B445&lt;&gt;"",'Data Source'!S445="F"),IF('Data Source'!AC445&gt;=5,"A+",IF('Data Source'!AC445&gt;=4,"A",IF('Data Source'!AC445&gt;=3.5,"A-",IF('Data Source'!AC445&gt;=3,"B",IF('Data Source'!AC445&gt;=2,"C",IF('Data Source'!AC445&gt;=1,"D","F")))))),"")</f>
        <v/>
      </c>
      <c r="L445" s="3">
        <f>IF(AND('Data Source'!B445&lt;&gt;"",'Data Source'!S445="F"),IF('Data Source'!AD445&gt;=5,"A+",IF('Data Source'!AD445&gt;=4,"A",IF('Data Source'!AD445&gt;=3.5,"A-",IF('Data Source'!AD445&gt;=3,"B",IF('Data Source'!AD445&gt;=2,"C",IF('Data Source'!AD445&gt;=1,"D","F")))))),"")</f>
        <v/>
      </c>
      <c r="M445" s="3">
        <f>IF(AND('Data Source'!B445&lt;&gt;"",'Data Source'!S445="F"),IF('Data Source'!AE445&gt;=5,"A+",IF('Data Source'!AE445&gt;=4,"A",IF('Data Source'!AE445&gt;=3.5,"A-",IF('Data Source'!AE445&gt;=3,"B",IF('Data Source'!AE445&gt;=2,"C",IF('Data Source'!AE445&gt;=1,"D","F")))))),"")</f>
        <v/>
      </c>
      <c r="N445" s="3">
        <f>IF(AND('Data Source'!B445&lt;&gt;"",'Data Source'!S445="F"),IF('Data Source'!AF445&gt;=5,"A+",IF('Data Source'!AF445&gt;=4,"A",IF('Data Source'!AF445&gt;=3.5,"A-",IF('Data Source'!AF445&gt;=3,"B",IF('Data Source'!AF445&gt;=2,"C",IF('Data Source'!AF445&gt;=1,"D","F")))))),"")</f>
        <v/>
      </c>
      <c r="O445" s="3">
        <f>IF(AND('Data Source'!B445&lt;&gt;"",'Data Source'!S445="F"),IF('Data Source'!AG445&gt;=5,"A+",IF('Data Source'!AG445&gt;=4,"A",IF('Data Source'!AG445&gt;=3.5,"A-",IF('Data Source'!AG445&gt;=3,"B",IF('Data Source'!AG445&gt;=2,"C",IF('Data Source'!AG445&gt;=1,"D","F")))))),"")</f>
        <v/>
      </c>
      <c r="P445" s="5">
        <f>IF(AND('Data Source'!B445&lt;&gt;"",'Data Source'!S445="F"),'Data Source'!R445,"")</f>
        <v/>
      </c>
      <c r="Q445" s="3">
        <f>IF(AND('Data Source'!B445&lt;&gt;"",'Data Source'!S445="F"),'Data Source'!S445,"")</f>
        <v/>
      </c>
    </row>
    <row r="446">
      <c r="A446" s="3">
        <f>IF(AND('Data Source'!B446&lt;&gt;"",'Data Source'!S446="F"),COUNTIF('Data Source'!$S$3:S446,"F"),"")</f>
        <v/>
      </c>
      <c r="B446">
        <f>IF(AND('Data Source'!B446&lt;&gt;"",'Data Source'!S446="F"),'Data Source'!B446,"")</f>
        <v/>
      </c>
      <c r="C446" s="3">
        <f>IF(AND('Data Source'!B446&lt;&gt;"",'Data Source'!S446="F"),IF('Data Source'!U446&gt;=5,"A+",IF('Data Source'!U446&gt;=4,"A",IF('Data Source'!U446&gt;=3.5,"A-",IF('Data Source'!U446&gt;=3,"B",IF('Data Source'!U446&gt;=2,"C",IF('Data Source'!U446&gt;=1,"D","F")))))),"")</f>
        <v/>
      </c>
      <c r="D446" s="3">
        <f>IF(AND('Data Source'!B446&lt;&gt;"",'Data Source'!S446="F"),IF('Data Source'!V446&gt;=5,"A+",IF('Data Source'!V446&gt;=4,"A",IF('Data Source'!V446&gt;=3.5,"A-",IF('Data Source'!V446&gt;=3,"B",IF('Data Source'!V446&gt;=2,"C",IF('Data Source'!V446&gt;=1,"D","F")))))),"")</f>
        <v/>
      </c>
      <c r="E446" s="3">
        <f>IF(AND('Data Source'!B446&lt;&gt;"",'Data Source'!S446="F"),IF('Data Source'!W446&gt;=5,"A+",IF('Data Source'!W446&gt;=4,"A",IF('Data Source'!W446&gt;=3.5,"A-",IF('Data Source'!W446&gt;=3,"B",IF('Data Source'!W446&gt;=2,"C",IF('Data Source'!W446&gt;=1,"D","F")))))),"")</f>
        <v/>
      </c>
      <c r="F446" s="3">
        <f>IF(AND('Data Source'!B446&lt;&gt;"",'Data Source'!S446="F"),IF('Data Source'!X446&gt;=5,"A+",IF('Data Source'!X446&gt;=4,"A",IF('Data Source'!X446&gt;=3.5,"A-",IF('Data Source'!X446&gt;=3,"B",IF('Data Source'!X446&gt;=2,"C",IF('Data Source'!X446&gt;=1,"D","F")))))),"")</f>
        <v/>
      </c>
      <c r="G446" s="3">
        <f>IF(AND('Data Source'!B446&lt;&gt;"",'Data Source'!S446="F"),IF('Data Source'!Y446&gt;=5,"A+",IF('Data Source'!Y446&gt;=4,"A",IF('Data Source'!Y446&gt;=3.5,"A-",IF('Data Source'!Y446&gt;=3,"B",IF('Data Source'!Y446&gt;=2,"C",IF('Data Source'!Y446&gt;=1,"D","F")))))),"")</f>
        <v/>
      </c>
      <c r="H446" s="3">
        <f>IF(AND('Data Source'!B446&lt;&gt;"",'Data Source'!S446="F"),IF('Data Source'!Z446&gt;=5,"A+",IF('Data Source'!Z446&gt;=4,"A",IF('Data Source'!Z446&gt;=3.5,"A-",IF('Data Source'!Z446&gt;=3,"B",IF('Data Source'!Z446&gt;=2,"C",IF('Data Source'!Z446&gt;=1,"D","F")))))),"")</f>
        <v/>
      </c>
      <c r="I446" s="3">
        <f>IF(AND('Data Source'!B446&lt;&gt;"",'Data Source'!S446="F"),IF('Data Source'!AA446&gt;=5,"A+",IF('Data Source'!AA446&gt;=4,"A",IF('Data Source'!AA446&gt;=3.5,"A-",IF('Data Source'!AA446&gt;=3,"B",IF('Data Source'!AA446&gt;=2,"C",IF('Data Source'!AA446&gt;=1,"D","F")))))),"")</f>
        <v/>
      </c>
      <c r="J446" s="3">
        <f>IF(AND('Data Source'!B446&lt;&gt;"",'Data Source'!S446="F"),IF('Data Source'!AB446&gt;=5,"A+",IF('Data Source'!AB446&gt;=4,"A",IF('Data Source'!AB446&gt;=3.5,"A-",IF('Data Source'!AB446&gt;=3,"B",IF('Data Source'!AB446&gt;=2,"C",IF('Data Source'!AB446&gt;=1,"D","F")))))),"")</f>
        <v/>
      </c>
      <c r="K446" s="3">
        <f>IF(AND('Data Source'!B446&lt;&gt;"",'Data Source'!S446="F"),IF('Data Source'!AC446&gt;=5,"A+",IF('Data Source'!AC446&gt;=4,"A",IF('Data Source'!AC446&gt;=3.5,"A-",IF('Data Source'!AC446&gt;=3,"B",IF('Data Source'!AC446&gt;=2,"C",IF('Data Source'!AC446&gt;=1,"D","F")))))),"")</f>
        <v/>
      </c>
      <c r="L446" s="3">
        <f>IF(AND('Data Source'!B446&lt;&gt;"",'Data Source'!S446="F"),IF('Data Source'!AD446&gt;=5,"A+",IF('Data Source'!AD446&gt;=4,"A",IF('Data Source'!AD446&gt;=3.5,"A-",IF('Data Source'!AD446&gt;=3,"B",IF('Data Source'!AD446&gt;=2,"C",IF('Data Source'!AD446&gt;=1,"D","F")))))),"")</f>
        <v/>
      </c>
      <c r="M446" s="3">
        <f>IF(AND('Data Source'!B446&lt;&gt;"",'Data Source'!S446="F"),IF('Data Source'!AE446&gt;=5,"A+",IF('Data Source'!AE446&gt;=4,"A",IF('Data Source'!AE446&gt;=3.5,"A-",IF('Data Source'!AE446&gt;=3,"B",IF('Data Source'!AE446&gt;=2,"C",IF('Data Source'!AE446&gt;=1,"D","F")))))),"")</f>
        <v/>
      </c>
      <c r="N446" s="3">
        <f>IF(AND('Data Source'!B446&lt;&gt;"",'Data Source'!S446="F"),IF('Data Source'!AF446&gt;=5,"A+",IF('Data Source'!AF446&gt;=4,"A",IF('Data Source'!AF446&gt;=3.5,"A-",IF('Data Source'!AF446&gt;=3,"B",IF('Data Source'!AF446&gt;=2,"C",IF('Data Source'!AF446&gt;=1,"D","F")))))),"")</f>
        <v/>
      </c>
      <c r="O446" s="3">
        <f>IF(AND('Data Source'!B446&lt;&gt;"",'Data Source'!S446="F"),IF('Data Source'!AG446&gt;=5,"A+",IF('Data Source'!AG446&gt;=4,"A",IF('Data Source'!AG446&gt;=3.5,"A-",IF('Data Source'!AG446&gt;=3,"B",IF('Data Source'!AG446&gt;=2,"C",IF('Data Source'!AG446&gt;=1,"D","F")))))),"")</f>
        <v/>
      </c>
      <c r="P446" s="5">
        <f>IF(AND('Data Source'!B446&lt;&gt;"",'Data Source'!S446="F"),'Data Source'!R446,"")</f>
        <v/>
      </c>
      <c r="Q446" s="3">
        <f>IF(AND('Data Source'!B446&lt;&gt;"",'Data Source'!S446="F"),'Data Source'!S446,"")</f>
        <v/>
      </c>
    </row>
    <row r="447">
      <c r="A447" s="3">
        <f>IF(AND('Data Source'!B447&lt;&gt;"",'Data Source'!S447="F"),COUNTIF('Data Source'!$S$3:S447,"F"),"")</f>
        <v/>
      </c>
      <c r="B447">
        <f>IF(AND('Data Source'!B447&lt;&gt;"",'Data Source'!S447="F"),'Data Source'!B447,"")</f>
        <v/>
      </c>
      <c r="C447" s="3">
        <f>IF(AND('Data Source'!B447&lt;&gt;"",'Data Source'!S447="F"),IF('Data Source'!U447&gt;=5,"A+",IF('Data Source'!U447&gt;=4,"A",IF('Data Source'!U447&gt;=3.5,"A-",IF('Data Source'!U447&gt;=3,"B",IF('Data Source'!U447&gt;=2,"C",IF('Data Source'!U447&gt;=1,"D","F")))))),"")</f>
        <v/>
      </c>
      <c r="D447" s="3">
        <f>IF(AND('Data Source'!B447&lt;&gt;"",'Data Source'!S447="F"),IF('Data Source'!V447&gt;=5,"A+",IF('Data Source'!V447&gt;=4,"A",IF('Data Source'!V447&gt;=3.5,"A-",IF('Data Source'!V447&gt;=3,"B",IF('Data Source'!V447&gt;=2,"C",IF('Data Source'!V447&gt;=1,"D","F")))))),"")</f>
        <v/>
      </c>
      <c r="E447" s="3">
        <f>IF(AND('Data Source'!B447&lt;&gt;"",'Data Source'!S447="F"),IF('Data Source'!W447&gt;=5,"A+",IF('Data Source'!W447&gt;=4,"A",IF('Data Source'!W447&gt;=3.5,"A-",IF('Data Source'!W447&gt;=3,"B",IF('Data Source'!W447&gt;=2,"C",IF('Data Source'!W447&gt;=1,"D","F")))))),"")</f>
        <v/>
      </c>
      <c r="F447" s="3">
        <f>IF(AND('Data Source'!B447&lt;&gt;"",'Data Source'!S447="F"),IF('Data Source'!X447&gt;=5,"A+",IF('Data Source'!X447&gt;=4,"A",IF('Data Source'!X447&gt;=3.5,"A-",IF('Data Source'!X447&gt;=3,"B",IF('Data Source'!X447&gt;=2,"C",IF('Data Source'!X447&gt;=1,"D","F")))))),"")</f>
        <v/>
      </c>
      <c r="G447" s="3">
        <f>IF(AND('Data Source'!B447&lt;&gt;"",'Data Source'!S447="F"),IF('Data Source'!Y447&gt;=5,"A+",IF('Data Source'!Y447&gt;=4,"A",IF('Data Source'!Y447&gt;=3.5,"A-",IF('Data Source'!Y447&gt;=3,"B",IF('Data Source'!Y447&gt;=2,"C",IF('Data Source'!Y447&gt;=1,"D","F")))))),"")</f>
        <v/>
      </c>
      <c r="H447" s="3">
        <f>IF(AND('Data Source'!B447&lt;&gt;"",'Data Source'!S447="F"),IF('Data Source'!Z447&gt;=5,"A+",IF('Data Source'!Z447&gt;=4,"A",IF('Data Source'!Z447&gt;=3.5,"A-",IF('Data Source'!Z447&gt;=3,"B",IF('Data Source'!Z447&gt;=2,"C",IF('Data Source'!Z447&gt;=1,"D","F")))))),"")</f>
        <v/>
      </c>
      <c r="I447" s="3">
        <f>IF(AND('Data Source'!B447&lt;&gt;"",'Data Source'!S447="F"),IF('Data Source'!AA447&gt;=5,"A+",IF('Data Source'!AA447&gt;=4,"A",IF('Data Source'!AA447&gt;=3.5,"A-",IF('Data Source'!AA447&gt;=3,"B",IF('Data Source'!AA447&gt;=2,"C",IF('Data Source'!AA447&gt;=1,"D","F")))))),"")</f>
        <v/>
      </c>
      <c r="J447" s="3">
        <f>IF(AND('Data Source'!B447&lt;&gt;"",'Data Source'!S447="F"),IF('Data Source'!AB447&gt;=5,"A+",IF('Data Source'!AB447&gt;=4,"A",IF('Data Source'!AB447&gt;=3.5,"A-",IF('Data Source'!AB447&gt;=3,"B",IF('Data Source'!AB447&gt;=2,"C",IF('Data Source'!AB447&gt;=1,"D","F")))))),"")</f>
        <v/>
      </c>
      <c r="K447" s="3">
        <f>IF(AND('Data Source'!B447&lt;&gt;"",'Data Source'!S447="F"),IF('Data Source'!AC447&gt;=5,"A+",IF('Data Source'!AC447&gt;=4,"A",IF('Data Source'!AC447&gt;=3.5,"A-",IF('Data Source'!AC447&gt;=3,"B",IF('Data Source'!AC447&gt;=2,"C",IF('Data Source'!AC447&gt;=1,"D","F")))))),"")</f>
        <v/>
      </c>
      <c r="L447" s="3">
        <f>IF(AND('Data Source'!B447&lt;&gt;"",'Data Source'!S447="F"),IF('Data Source'!AD447&gt;=5,"A+",IF('Data Source'!AD447&gt;=4,"A",IF('Data Source'!AD447&gt;=3.5,"A-",IF('Data Source'!AD447&gt;=3,"B",IF('Data Source'!AD447&gt;=2,"C",IF('Data Source'!AD447&gt;=1,"D","F")))))),"")</f>
        <v/>
      </c>
      <c r="M447" s="3">
        <f>IF(AND('Data Source'!B447&lt;&gt;"",'Data Source'!S447="F"),IF('Data Source'!AE447&gt;=5,"A+",IF('Data Source'!AE447&gt;=4,"A",IF('Data Source'!AE447&gt;=3.5,"A-",IF('Data Source'!AE447&gt;=3,"B",IF('Data Source'!AE447&gt;=2,"C",IF('Data Source'!AE447&gt;=1,"D","F")))))),"")</f>
        <v/>
      </c>
      <c r="N447" s="3">
        <f>IF(AND('Data Source'!B447&lt;&gt;"",'Data Source'!S447="F"),IF('Data Source'!AF447&gt;=5,"A+",IF('Data Source'!AF447&gt;=4,"A",IF('Data Source'!AF447&gt;=3.5,"A-",IF('Data Source'!AF447&gt;=3,"B",IF('Data Source'!AF447&gt;=2,"C",IF('Data Source'!AF447&gt;=1,"D","F")))))),"")</f>
        <v/>
      </c>
      <c r="O447" s="3">
        <f>IF(AND('Data Source'!B447&lt;&gt;"",'Data Source'!S447="F"),IF('Data Source'!AG447&gt;=5,"A+",IF('Data Source'!AG447&gt;=4,"A",IF('Data Source'!AG447&gt;=3.5,"A-",IF('Data Source'!AG447&gt;=3,"B",IF('Data Source'!AG447&gt;=2,"C",IF('Data Source'!AG447&gt;=1,"D","F")))))),"")</f>
        <v/>
      </c>
      <c r="P447" s="5">
        <f>IF(AND('Data Source'!B447&lt;&gt;"",'Data Source'!S447="F"),'Data Source'!R447,"")</f>
        <v/>
      </c>
      <c r="Q447" s="3">
        <f>IF(AND('Data Source'!B447&lt;&gt;"",'Data Source'!S447="F"),'Data Source'!S447,"")</f>
        <v/>
      </c>
    </row>
    <row r="448">
      <c r="A448" s="3">
        <f>IF(AND('Data Source'!B448&lt;&gt;"",'Data Source'!S448="F"),COUNTIF('Data Source'!$S$3:S448,"F"),"")</f>
        <v/>
      </c>
      <c r="B448">
        <f>IF(AND('Data Source'!B448&lt;&gt;"",'Data Source'!S448="F"),'Data Source'!B448,"")</f>
        <v/>
      </c>
      <c r="C448" s="3">
        <f>IF(AND('Data Source'!B448&lt;&gt;"",'Data Source'!S448="F"),IF('Data Source'!U448&gt;=5,"A+",IF('Data Source'!U448&gt;=4,"A",IF('Data Source'!U448&gt;=3.5,"A-",IF('Data Source'!U448&gt;=3,"B",IF('Data Source'!U448&gt;=2,"C",IF('Data Source'!U448&gt;=1,"D","F")))))),"")</f>
        <v/>
      </c>
      <c r="D448" s="3">
        <f>IF(AND('Data Source'!B448&lt;&gt;"",'Data Source'!S448="F"),IF('Data Source'!V448&gt;=5,"A+",IF('Data Source'!V448&gt;=4,"A",IF('Data Source'!V448&gt;=3.5,"A-",IF('Data Source'!V448&gt;=3,"B",IF('Data Source'!V448&gt;=2,"C",IF('Data Source'!V448&gt;=1,"D","F")))))),"")</f>
        <v/>
      </c>
      <c r="E448" s="3">
        <f>IF(AND('Data Source'!B448&lt;&gt;"",'Data Source'!S448="F"),IF('Data Source'!W448&gt;=5,"A+",IF('Data Source'!W448&gt;=4,"A",IF('Data Source'!W448&gt;=3.5,"A-",IF('Data Source'!W448&gt;=3,"B",IF('Data Source'!W448&gt;=2,"C",IF('Data Source'!W448&gt;=1,"D","F")))))),"")</f>
        <v/>
      </c>
      <c r="F448" s="3">
        <f>IF(AND('Data Source'!B448&lt;&gt;"",'Data Source'!S448="F"),IF('Data Source'!X448&gt;=5,"A+",IF('Data Source'!X448&gt;=4,"A",IF('Data Source'!X448&gt;=3.5,"A-",IF('Data Source'!X448&gt;=3,"B",IF('Data Source'!X448&gt;=2,"C",IF('Data Source'!X448&gt;=1,"D","F")))))),"")</f>
        <v/>
      </c>
      <c r="G448" s="3">
        <f>IF(AND('Data Source'!B448&lt;&gt;"",'Data Source'!S448="F"),IF('Data Source'!Y448&gt;=5,"A+",IF('Data Source'!Y448&gt;=4,"A",IF('Data Source'!Y448&gt;=3.5,"A-",IF('Data Source'!Y448&gt;=3,"B",IF('Data Source'!Y448&gt;=2,"C",IF('Data Source'!Y448&gt;=1,"D","F")))))),"")</f>
        <v/>
      </c>
      <c r="H448" s="3">
        <f>IF(AND('Data Source'!B448&lt;&gt;"",'Data Source'!S448="F"),IF('Data Source'!Z448&gt;=5,"A+",IF('Data Source'!Z448&gt;=4,"A",IF('Data Source'!Z448&gt;=3.5,"A-",IF('Data Source'!Z448&gt;=3,"B",IF('Data Source'!Z448&gt;=2,"C",IF('Data Source'!Z448&gt;=1,"D","F")))))),"")</f>
        <v/>
      </c>
      <c r="I448" s="3">
        <f>IF(AND('Data Source'!B448&lt;&gt;"",'Data Source'!S448="F"),IF('Data Source'!AA448&gt;=5,"A+",IF('Data Source'!AA448&gt;=4,"A",IF('Data Source'!AA448&gt;=3.5,"A-",IF('Data Source'!AA448&gt;=3,"B",IF('Data Source'!AA448&gt;=2,"C",IF('Data Source'!AA448&gt;=1,"D","F")))))),"")</f>
        <v/>
      </c>
      <c r="J448" s="3">
        <f>IF(AND('Data Source'!B448&lt;&gt;"",'Data Source'!S448="F"),IF('Data Source'!AB448&gt;=5,"A+",IF('Data Source'!AB448&gt;=4,"A",IF('Data Source'!AB448&gt;=3.5,"A-",IF('Data Source'!AB448&gt;=3,"B",IF('Data Source'!AB448&gt;=2,"C",IF('Data Source'!AB448&gt;=1,"D","F")))))),"")</f>
        <v/>
      </c>
      <c r="K448" s="3">
        <f>IF(AND('Data Source'!B448&lt;&gt;"",'Data Source'!S448="F"),IF('Data Source'!AC448&gt;=5,"A+",IF('Data Source'!AC448&gt;=4,"A",IF('Data Source'!AC448&gt;=3.5,"A-",IF('Data Source'!AC448&gt;=3,"B",IF('Data Source'!AC448&gt;=2,"C",IF('Data Source'!AC448&gt;=1,"D","F")))))),"")</f>
        <v/>
      </c>
      <c r="L448" s="3">
        <f>IF(AND('Data Source'!B448&lt;&gt;"",'Data Source'!S448="F"),IF('Data Source'!AD448&gt;=5,"A+",IF('Data Source'!AD448&gt;=4,"A",IF('Data Source'!AD448&gt;=3.5,"A-",IF('Data Source'!AD448&gt;=3,"B",IF('Data Source'!AD448&gt;=2,"C",IF('Data Source'!AD448&gt;=1,"D","F")))))),"")</f>
        <v/>
      </c>
      <c r="M448" s="3">
        <f>IF(AND('Data Source'!B448&lt;&gt;"",'Data Source'!S448="F"),IF('Data Source'!AE448&gt;=5,"A+",IF('Data Source'!AE448&gt;=4,"A",IF('Data Source'!AE448&gt;=3.5,"A-",IF('Data Source'!AE448&gt;=3,"B",IF('Data Source'!AE448&gt;=2,"C",IF('Data Source'!AE448&gt;=1,"D","F")))))),"")</f>
        <v/>
      </c>
      <c r="N448" s="3">
        <f>IF(AND('Data Source'!B448&lt;&gt;"",'Data Source'!S448="F"),IF('Data Source'!AF448&gt;=5,"A+",IF('Data Source'!AF448&gt;=4,"A",IF('Data Source'!AF448&gt;=3.5,"A-",IF('Data Source'!AF448&gt;=3,"B",IF('Data Source'!AF448&gt;=2,"C",IF('Data Source'!AF448&gt;=1,"D","F")))))),"")</f>
        <v/>
      </c>
      <c r="O448" s="3">
        <f>IF(AND('Data Source'!B448&lt;&gt;"",'Data Source'!S448="F"),IF('Data Source'!AG448&gt;=5,"A+",IF('Data Source'!AG448&gt;=4,"A",IF('Data Source'!AG448&gt;=3.5,"A-",IF('Data Source'!AG448&gt;=3,"B",IF('Data Source'!AG448&gt;=2,"C",IF('Data Source'!AG448&gt;=1,"D","F")))))),"")</f>
        <v/>
      </c>
      <c r="P448" s="5">
        <f>IF(AND('Data Source'!B448&lt;&gt;"",'Data Source'!S448="F"),'Data Source'!R448,"")</f>
        <v/>
      </c>
      <c r="Q448" s="3">
        <f>IF(AND('Data Source'!B448&lt;&gt;"",'Data Source'!S448="F"),'Data Source'!S448,"")</f>
        <v/>
      </c>
    </row>
    <row r="449">
      <c r="A449" s="3">
        <f>IF(AND('Data Source'!B449&lt;&gt;"",'Data Source'!S449="F"),COUNTIF('Data Source'!$S$3:S449,"F"),"")</f>
        <v/>
      </c>
      <c r="B449">
        <f>IF(AND('Data Source'!B449&lt;&gt;"",'Data Source'!S449="F"),'Data Source'!B449,"")</f>
        <v/>
      </c>
      <c r="C449" s="3">
        <f>IF(AND('Data Source'!B449&lt;&gt;"",'Data Source'!S449="F"),IF('Data Source'!U449&gt;=5,"A+",IF('Data Source'!U449&gt;=4,"A",IF('Data Source'!U449&gt;=3.5,"A-",IF('Data Source'!U449&gt;=3,"B",IF('Data Source'!U449&gt;=2,"C",IF('Data Source'!U449&gt;=1,"D","F")))))),"")</f>
        <v/>
      </c>
      <c r="D449" s="3">
        <f>IF(AND('Data Source'!B449&lt;&gt;"",'Data Source'!S449="F"),IF('Data Source'!V449&gt;=5,"A+",IF('Data Source'!V449&gt;=4,"A",IF('Data Source'!V449&gt;=3.5,"A-",IF('Data Source'!V449&gt;=3,"B",IF('Data Source'!V449&gt;=2,"C",IF('Data Source'!V449&gt;=1,"D","F")))))),"")</f>
        <v/>
      </c>
      <c r="E449" s="3">
        <f>IF(AND('Data Source'!B449&lt;&gt;"",'Data Source'!S449="F"),IF('Data Source'!W449&gt;=5,"A+",IF('Data Source'!W449&gt;=4,"A",IF('Data Source'!W449&gt;=3.5,"A-",IF('Data Source'!W449&gt;=3,"B",IF('Data Source'!W449&gt;=2,"C",IF('Data Source'!W449&gt;=1,"D","F")))))),"")</f>
        <v/>
      </c>
      <c r="F449" s="3">
        <f>IF(AND('Data Source'!B449&lt;&gt;"",'Data Source'!S449="F"),IF('Data Source'!X449&gt;=5,"A+",IF('Data Source'!X449&gt;=4,"A",IF('Data Source'!X449&gt;=3.5,"A-",IF('Data Source'!X449&gt;=3,"B",IF('Data Source'!X449&gt;=2,"C",IF('Data Source'!X449&gt;=1,"D","F")))))),"")</f>
        <v/>
      </c>
      <c r="G449" s="3">
        <f>IF(AND('Data Source'!B449&lt;&gt;"",'Data Source'!S449="F"),IF('Data Source'!Y449&gt;=5,"A+",IF('Data Source'!Y449&gt;=4,"A",IF('Data Source'!Y449&gt;=3.5,"A-",IF('Data Source'!Y449&gt;=3,"B",IF('Data Source'!Y449&gt;=2,"C",IF('Data Source'!Y449&gt;=1,"D","F")))))),"")</f>
        <v/>
      </c>
      <c r="H449" s="3">
        <f>IF(AND('Data Source'!B449&lt;&gt;"",'Data Source'!S449="F"),IF('Data Source'!Z449&gt;=5,"A+",IF('Data Source'!Z449&gt;=4,"A",IF('Data Source'!Z449&gt;=3.5,"A-",IF('Data Source'!Z449&gt;=3,"B",IF('Data Source'!Z449&gt;=2,"C",IF('Data Source'!Z449&gt;=1,"D","F")))))),"")</f>
        <v/>
      </c>
      <c r="I449" s="3">
        <f>IF(AND('Data Source'!B449&lt;&gt;"",'Data Source'!S449="F"),IF('Data Source'!AA449&gt;=5,"A+",IF('Data Source'!AA449&gt;=4,"A",IF('Data Source'!AA449&gt;=3.5,"A-",IF('Data Source'!AA449&gt;=3,"B",IF('Data Source'!AA449&gt;=2,"C",IF('Data Source'!AA449&gt;=1,"D","F")))))),"")</f>
        <v/>
      </c>
      <c r="J449" s="3">
        <f>IF(AND('Data Source'!B449&lt;&gt;"",'Data Source'!S449="F"),IF('Data Source'!AB449&gt;=5,"A+",IF('Data Source'!AB449&gt;=4,"A",IF('Data Source'!AB449&gt;=3.5,"A-",IF('Data Source'!AB449&gt;=3,"B",IF('Data Source'!AB449&gt;=2,"C",IF('Data Source'!AB449&gt;=1,"D","F")))))),"")</f>
        <v/>
      </c>
      <c r="K449" s="3">
        <f>IF(AND('Data Source'!B449&lt;&gt;"",'Data Source'!S449="F"),IF('Data Source'!AC449&gt;=5,"A+",IF('Data Source'!AC449&gt;=4,"A",IF('Data Source'!AC449&gt;=3.5,"A-",IF('Data Source'!AC449&gt;=3,"B",IF('Data Source'!AC449&gt;=2,"C",IF('Data Source'!AC449&gt;=1,"D","F")))))),"")</f>
        <v/>
      </c>
      <c r="L449" s="3">
        <f>IF(AND('Data Source'!B449&lt;&gt;"",'Data Source'!S449="F"),IF('Data Source'!AD449&gt;=5,"A+",IF('Data Source'!AD449&gt;=4,"A",IF('Data Source'!AD449&gt;=3.5,"A-",IF('Data Source'!AD449&gt;=3,"B",IF('Data Source'!AD449&gt;=2,"C",IF('Data Source'!AD449&gt;=1,"D","F")))))),"")</f>
        <v/>
      </c>
      <c r="M449" s="3">
        <f>IF(AND('Data Source'!B449&lt;&gt;"",'Data Source'!S449="F"),IF('Data Source'!AE449&gt;=5,"A+",IF('Data Source'!AE449&gt;=4,"A",IF('Data Source'!AE449&gt;=3.5,"A-",IF('Data Source'!AE449&gt;=3,"B",IF('Data Source'!AE449&gt;=2,"C",IF('Data Source'!AE449&gt;=1,"D","F")))))),"")</f>
        <v/>
      </c>
      <c r="N449" s="3">
        <f>IF(AND('Data Source'!B449&lt;&gt;"",'Data Source'!S449="F"),IF('Data Source'!AF449&gt;=5,"A+",IF('Data Source'!AF449&gt;=4,"A",IF('Data Source'!AF449&gt;=3.5,"A-",IF('Data Source'!AF449&gt;=3,"B",IF('Data Source'!AF449&gt;=2,"C",IF('Data Source'!AF449&gt;=1,"D","F")))))),"")</f>
        <v/>
      </c>
      <c r="O449" s="3">
        <f>IF(AND('Data Source'!B449&lt;&gt;"",'Data Source'!S449="F"),IF('Data Source'!AG449&gt;=5,"A+",IF('Data Source'!AG449&gt;=4,"A",IF('Data Source'!AG449&gt;=3.5,"A-",IF('Data Source'!AG449&gt;=3,"B",IF('Data Source'!AG449&gt;=2,"C",IF('Data Source'!AG449&gt;=1,"D","F")))))),"")</f>
        <v/>
      </c>
      <c r="P449" s="5">
        <f>IF(AND('Data Source'!B449&lt;&gt;"",'Data Source'!S449="F"),'Data Source'!R449,"")</f>
        <v/>
      </c>
      <c r="Q449" s="3">
        <f>IF(AND('Data Source'!B449&lt;&gt;"",'Data Source'!S449="F"),'Data Source'!S449,"")</f>
        <v/>
      </c>
    </row>
    <row r="450">
      <c r="A450" s="3">
        <f>IF(AND('Data Source'!B450&lt;&gt;"",'Data Source'!S450="F"),COUNTIF('Data Source'!$S$3:S450,"F"),"")</f>
        <v/>
      </c>
      <c r="B450">
        <f>IF(AND('Data Source'!B450&lt;&gt;"",'Data Source'!S450="F"),'Data Source'!B450,"")</f>
        <v/>
      </c>
      <c r="C450" s="3">
        <f>IF(AND('Data Source'!B450&lt;&gt;"",'Data Source'!S450="F"),IF('Data Source'!U450&gt;=5,"A+",IF('Data Source'!U450&gt;=4,"A",IF('Data Source'!U450&gt;=3.5,"A-",IF('Data Source'!U450&gt;=3,"B",IF('Data Source'!U450&gt;=2,"C",IF('Data Source'!U450&gt;=1,"D","F")))))),"")</f>
        <v/>
      </c>
      <c r="D450" s="3">
        <f>IF(AND('Data Source'!B450&lt;&gt;"",'Data Source'!S450="F"),IF('Data Source'!V450&gt;=5,"A+",IF('Data Source'!V450&gt;=4,"A",IF('Data Source'!V450&gt;=3.5,"A-",IF('Data Source'!V450&gt;=3,"B",IF('Data Source'!V450&gt;=2,"C",IF('Data Source'!V450&gt;=1,"D","F")))))),"")</f>
        <v/>
      </c>
      <c r="E450" s="3">
        <f>IF(AND('Data Source'!B450&lt;&gt;"",'Data Source'!S450="F"),IF('Data Source'!W450&gt;=5,"A+",IF('Data Source'!W450&gt;=4,"A",IF('Data Source'!W450&gt;=3.5,"A-",IF('Data Source'!W450&gt;=3,"B",IF('Data Source'!W450&gt;=2,"C",IF('Data Source'!W450&gt;=1,"D","F")))))),"")</f>
        <v/>
      </c>
      <c r="F450" s="3">
        <f>IF(AND('Data Source'!B450&lt;&gt;"",'Data Source'!S450="F"),IF('Data Source'!X450&gt;=5,"A+",IF('Data Source'!X450&gt;=4,"A",IF('Data Source'!X450&gt;=3.5,"A-",IF('Data Source'!X450&gt;=3,"B",IF('Data Source'!X450&gt;=2,"C",IF('Data Source'!X450&gt;=1,"D","F")))))),"")</f>
        <v/>
      </c>
      <c r="G450" s="3">
        <f>IF(AND('Data Source'!B450&lt;&gt;"",'Data Source'!S450="F"),IF('Data Source'!Y450&gt;=5,"A+",IF('Data Source'!Y450&gt;=4,"A",IF('Data Source'!Y450&gt;=3.5,"A-",IF('Data Source'!Y450&gt;=3,"B",IF('Data Source'!Y450&gt;=2,"C",IF('Data Source'!Y450&gt;=1,"D","F")))))),"")</f>
        <v/>
      </c>
      <c r="H450" s="3">
        <f>IF(AND('Data Source'!B450&lt;&gt;"",'Data Source'!S450="F"),IF('Data Source'!Z450&gt;=5,"A+",IF('Data Source'!Z450&gt;=4,"A",IF('Data Source'!Z450&gt;=3.5,"A-",IF('Data Source'!Z450&gt;=3,"B",IF('Data Source'!Z450&gt;=2,"C",IF('Data Source'!Z450&gt;=1,"D","F")))))),"")</f>
        <v/>
      </c>
      <c r="I450" s="3">
        <f>IF(AND('Data Source'!B450&lt;&gt;"",'Data Source'!S450="F"),IF('Data Source'!AA450&gt;=5,"A+",IF('Data Source'!AA450&gt;=4,"A",IF('Data Source'!AA450&gt;=3.5,"A-",IF('Data Source'!AA450&gt;=3,"B",IF('Data Source'!AA450&gt;=2,"C",IF('Data Source'!AA450&gt;=1,"D","F")))))),"")</f>
        <v/>
      </c>
      <c r="J450" s="3">
        <f>IF(AND('Data Source'!B450&lt;&gt;"",'Data Source'!S450="F"),IF('Data Source'!AB450&gt;=5,"A+",IF('Data Source'!AB450&gt;=4,"A",IF('Data Source'!AB450&gt;=3.5,"A-",IF('Data Source'!AB450&gt;=3,"B",IF('Data Source'!AB450&gt;=2,"C",IF('Data Source'!AB450&gt;=1,"D","F")))))),"")</f>
        <v/>
      </c>
      <c r="K450" s="3">
        <f>IF(AND('Data Source'!B450&lt;&gt;"",'Data Source'!S450="F"),IF('Data Source'!AC450&gt;=5,"A+",IF('Data Source'!AC450&gt;=4,"A",IF('Data Source'!AC450&gt;=3.5,"A-",IF('Data Source'!AC450&gt;=3,"B",IF('Data Source'!AC450&gt;=2,"C",IF('Data Source'!AC450&gt;=1,"D","F")))))),"")</f>
        <v/>
      </c>
      <c r="L450" s="3">
        <f>IF(AND('Data Source'!B450&lt;&gt;"",'Data Source'!S450="F"),IF('Data Source'!AD450&gt;=5,"A+",IF('Data Source'!AD450&gt;=4,"A",IF('Data Source'!AD450&gt;=3.5,"A-",IF('Data Source'!AD450&gt;=3,"B",IF('Data Source'!AD450&gt;=2,"C",IF('Data Source'!AD450&gt;=1,"D","F")))))),"")</f>
        <v/>
      </c>
      <c r="M450" s="3">
        <f>IF(AND('Data Source'!B450&lt;&gt;"",'Data Source'!S450="F"),IF('Data Source'!AE450&gt;=5,"A+",IF('Data Source'!AE450&gt;=4,"A",IF('Data Source'!AE450&gt;=3.5,"A-",IF('Data Source'!AE450&gt;=3,"B",IF('Data Source'!AE450&gt;=2,"C",IF('Data Source'!AE450&gt;=1,"D","F")))))),"")</f>
        <v/>
      </c>
      <c r="N450" s="3">
        <f>IF(AND('Data Source'!B450&lt;&gt;"",'Data Source'!S450="F"),IF('Data Source'!AF450&gt;=5,"A+",IF('Data Source'!AF450&gt;=4,"A",IF('Data Source'!AF450&gt;=3.5,"A-",IF('Data Source'!AF450&gt;=3,"B",IF('Data Source'!AF450&gt;=2,"C",IF('Data Source'!AF450&gt;=1,"D","F")))))),"")</f>
        <v/>
      </c>
      <c r="O450" s="3">
        <f>IF(AND('Data Source'!B450&lt;&gt;"",'Data Source'!S450="F"),IF('Data Source'!AG450&gt;=5,"A+",IF('Data Source'!AG450&gt;=4,"A",IF('Data Source'!AG450&gt;=3.5,"A-",IF('Data Source'!AG450&gt;=3,"B",IF('Data Source'!AG450&gt;=2,"C",IF('Data Source'!AG450&gt;=1,"D","F")))))),"")</f>
        <v/>
      </c>
      <c r="P450" s="5">
        <f>IF(AND('Data Source'!B450&lt;&gt;"",'Data Source'!S450="F"),'Data Source'!R450,"")</f>
        <v/>
      </c>
      <c r="Q450" s="3">
        <f>IF(AND('Data Source'!B450&lt;&gt;"",'Data Source'!S450="F"),'Data Source'!S450,"")</f>
        <v/>
      </c>
    </row>
    <row r="451">
      <c r="A451" s="3">
        <f>IF(AND('Data Source'!B451&lt;&gt;"",'Data Source'!S451="F"),COUNTIF('Data Source'!$S$3:S451,"F"),"")</f>
        <v/>
      </c>
      <c r="B451">
        <f>IF(AND('Data Source'!B451&lt;&gt;"",'Data Source'!S451="F"),'Data Source'!B451,"")</f>
        <v/>
      </c>
      <c r="C451" s="3">
        <f>IF(AND('Data Source'!B451&lt;&gt;"",'Data Source'!S451="F"),IF('Data Source'!U451&gt;=5,"A+",IF('Data Source'!U451&gt;=4,"A",IF('Data Source'!U451&gt;=3.5,"A-",IF('Data Source'!U451&gt;=3,"B",IF('Data Source'!U451&gt;=2,"C",IF('Data Source'!U451&gt;=1,"D","F")))))),"")</f>
        <v/>
      </c>
      <c r="D451" s="3">
        <f>IF(AND('Data Source'!B451&lt;&gt;"",'Data Source'!S451="F"),IF('Data Source'!V451&gt;=5,"A+",IF('Data Source'!V451&gt;=4,"A",IF('Data Source'!V451&gt;=3.5,"A-",IF('Data Source'!V451&gt;=3,"B",IF('Data Source'!V451&gt;=2,"C",IF('Data Source'!V451&gt;=1,"D","F")))))),"")</f>
        <v/>
      </c>
      <c r="E451" s="3">
        <f>IF(AND('Data Source'!B451&lt;&gt;"",'Data Source'!S451="F"),IF('Data Source'!W451&gt;=5,"A+",IF('Data Source'!W451&gt;=4,"A",IF('Data Source'!W451&gt;=3.5,"A-",IF('Data Source'!W451&gt;=3,"B",IF('Data Source'!W451&gt;=2,"C",IF('Data Source'!W451&gt;=1,"D","F")))))),"")</f>
        <v/>
      </c>
      <c r="F451" s="3">
        <f>IF(AND('Data Source'!B451&lt;&gt;"",'Data Source'!S451="F"),IF('Data Source'!X451&gt;=5,"A+",IF('Data Source'!X451&gt;=4,"A",IF('Data Source'!X451&gt;=3.5,"A-",IF('Data Source'!X451&gt;=3,"B",IF('Data Source'!X451&gt;=2,"C",IF('Data Source'!X451&gt;=1,"D","F")))))),"")</f>
        <v/>
      </c>
      <c r="G451" s="3">
        <f>IF(AND('Data Source'!B451&lt;&gt;"",'Data Source'!S451="F"),IF('Data Source'!Y451&gt;=5,"A+",IF('Data Source'!Y451&gt;=4,"A",IF('Data Source'!Y451&gt;=3.5,"A-",IF('Data Source'!Y451&gt;=3,"B",IF('Data Source'!Y451&gt;=2,"C",IF('Data Source'!Y451&gt;=1,"D","F")))))),"")</f>
        <v/>
      </c>
      <c r="H451" s="3">
        <f>IF(AND('Data Source'!B451&lt;&gt;"",'Data Source'!S451="F"),IF('Data Source'!Z451&gt;=5,"A+",IF('Data Source'!Z451&gt;=4,"A",IF('Data Source'!Z451&gt;=3.5,"A-",IF('Data Source'!Z451&gt;=3,"B",IF('Data Source'!Z451&gt;=2,"C",IF('Data Source'!Z451&gt;=1,"D","F")))))),"")</f>
        <v/>
      </c>
      <c r="I451" s="3">
        <f>IF(AND('Data Source'!B451&lt;&gt;"",'Data Source'!S451="F"),IF('Data Source'!AA451&gt;=5,"A+",IF('Data Source'!AA451&gt;=4,"A",IF('Data Source'!AA451&gt;=3.5,"A-",IF('Data Source'!AA451&gt;=3,"B",IF('Data Source'!AA451&gt;=2,"C",IF('Data Source'!AA451&gt;=1,"D","F")))))),"")</f>
        <v/>
      </c>
      <c r="J451" s="3">
        <f>IF(AND('Data Source'!B451&lt;&gt;"",'Data Source'!S451="F"),IF('Data Source'!AB451&gt;=5,"A+",IF('Data Source'!AB451&gt;=4,"A",IF('Data Source'!AB451&gt;=3.5,"A-",IF('Data Source'!AB451&gt;=3,"B",IF('Data Source'!AB451&gt;=2,"C",IF('Data Source'!AB451&gt;=1,"D","F")))))),"")</f>
        <v/>
      </c>
      <c r="K451" s="3">
        <f>IF(AND('Data Source'!B451&lt;&gt;"",'Data Source'!S451="F"),IF('Data Source'!AC451&gt;=5,"A+",IF('Data Source'!AC451&gt;=4,"A",IF('Data Source'!AC451&gt;=3.5,"A-",IF('Data Source'!AC451&gt;=3,"B",IF('Data Source'!AC451&gt;=2,"C",IF('Data Source'!AC451&gt;=1,"D","F")))))),"")</f>
        <v/>
      </c>
      <c r="L451" s="3">
        <f>IF(AND('Data Source'!B451&lt;&gt;"",'Data Source'!S451="F"),IF('Data Source'!AD451&gt;=5,"A+",IF('Data Source'!AD451&gt;=4,"A",IF('Data Source'!AD451&gt;=3.5,"A-",IF('Data Source'!AD451&gt;=3,"B",IF('Data Source'!AD451&gt;=2,"C",IF('Data Source'!AD451&gt;=1,"D","F")))))),"")</f>
        <v/>
      </c>
      <c r="M451" s="3">
        <f>IF(AND('Data Source'!B451&lt;&gt;"",'Data Source'!S451="F"),IF('Data Source'!AE451&gt;=5,"A+",IF('Data Source'!AE451&gt;=4,"A",IF('Data Source'!AE451&gt;=3.5,"A-",IF('Data Source'!AE451&gt;=3,"B",IF('Data Source'!AE451&gt;=2,"C",IF('Data Source'!AE451&gt;=1,"D","F")))))),"")</f>
        <v/>
      </c>
      <c r="N451" s="3">
        <f>IF(AND('Data Source'!B451&lt;&gt;"",'Data Source'!S451="F"),IF('Data Source'!AF451&gt;=5,"A+",IF('Data Source'!AF451&gt;=4,"A",IF('Data Source'!AF451&gt;=3.5,"A-",IF('Data Source'!AF451&gt;=3,"B",IF('Data Source'!AF451&gt;=2,"C",IF('Data Source'!AF451&gt;=1,"D","F")))))),"")</f>
        <v/>
      </c>
      <c r="O451" s="3">
        <f>IF(AND('Data Source'!B451&lt;&gt;"",'Data Source'!S451="F"),IF('Data Source'!AG451&gt;=5,"A+",IF('Data Source'!AG451&gt;=4,"A",IF('Data Source'!AG451&gt;=3.5,"A-",IF('Data Source'!AG451&gt;=3,"B",IF('Data Source'!AG451&gt;=2,"C",IF('Data Source'!AG451&gt;=1,"D","F")))))),"")</f>
        <v/>
      </c>
      <c r="P451" s="5">
        <f>IF(AND('Data Source'!B451&lt;&gt;"",'Data Source'!S451="F"),'Data Source'!R451,"")</f>
        <v/>
      </c>
      <c r="Q451" s="3">
        <f>IF(AND('Data Source'!B451&lt;&gt;"",'Data Source'!S451="F"),'Data Source'!S451,"")</f>
        <v/>
      </c>
    </row>
    <row r="452">
      <c r="A452" s="3">
        <f>IF(AND('Data Source'!B452&lt;&gt;"",'Data Source'!S452="F"),COUNTIF('Data Source'!$S$3:S452,"F"),"")</f>
        <v/>
      </c>
      <c r="B452">
        <f>IF(AND('Data Source'!B452&lt;&gt;"",'Data Source'!S452="F"),'Data Source'!B452,"")</f>
        <v/>
      </c>
      <c r="C452" s="3">
        <f>IF(AND('Data Source'!B452&lt;&gt;"",'Data Source'!S452="F"),IF('Data Source'!U452&gt;=5,"A+",IF('Data Source'!U452&gt;=4,"A",IF('Data Source'!U452&gt;=3.5,"A-",IF('Data Source'!U452&gt;=3,"B",IF('Data Source'!U452&gt;=2,"C",IF('Data Source'!U452&gt;=1,"D","F")))))),"")</f>
        <v/>
      </c>
      <c r="D452" s="3">
        <f>IF(AND('Data Source'!B452&lt;&gt;"",'Data Source'!S452="F"),IF('Data Source'!V452&gt;=5,"A+",IF('Data Source'!V452&gt;=4,"A",IF('Data Source'!V452&gt;=3.5,"A-",IF('Data Source'!V452&gt;=3,"B",IF('Data Source'!V452&gt;=2,"C",IF('Data Source'!V452&gt;=1,"D","F")))))),"")</f>
        <v/>
      </c>
      <c r="E452" s="3">
        <f>IF(AND('Data Source'!B452&lt;&gt;"",'Data Source'!S452="F"),IF('Data Source'!W452&gt;=5,"A+",IF('Data Source'!W452&gt;=4,"A",IF('Data Source'!W452&gt;=3.5,"A-",IF('Data Source'!W452&gt;=3,"B",IF('Data Source'!W452&gt;=2,"C",IF('Data Source'!W452&gt;=1,"D","F")))))),"")</f>
        <v/>
      </c>
      <c r="F452" s="3">
        <f>IF(AND('Data Source'!B452&lt;&gt;"",'Data Source'!S452="F"),IF('Data Source'!X452&gt;=5,"A+",IF('Data Source'!X452&gt;=4,"A",IF('Data Source'!X452&gt;=3.5,"A-",IF('Data Source'!X452&gt;=3,"B",IF('Data Source'!X452&gt;=2,"C",IF('Data Source'!X452&gt;=1,"D","F")))))),"")</f>
        <v/>
      </c>
      <c r="G452" s="3">
        <f>IF(AND('Data Source'!B452&lt;&gt;"",'Data Source'!S452="F"),IF('Data Source'!Y452&gt;=5,"A+",IF('Data Source'!Y452&gt;=4,"A",IF('Data Source'!Y452&gt;=3.5,"A-",IF('Data Source'!Y452&gt;=3,"B",IF('Data Source'!Y452&gt;=2,"C",IF('Data Source'!Y452&gt;=1,"D","F")))))),"")</f>
        <v/>
      </c>
      <c r="H452" s="3">
        <f>IF(AND('Data Source'!B452&lt;&gt;"",'Data Source'!S452="F"),IF('Data Source'!Z452&gt;=5,"A+",IF('Data Source'!Z452&gt;=4,"A",IF('Data Source'!Z452&gt;=3.5,"A-",IF('Data Source'!Z452&gt;=3,"B",IF('Data Source'!Z452&gt;=2,"C",IF('Data Source'!Z452&gt;=1,"D","F")))))),"")</f>
        <v/>
      </c>
      <c r="I452" s="3">
        <f>IF(AND('Data Source'!B452&lt;&gt;"",'Data Source'!S452="F"),IF('Data Source'!AA452&gt;=5,"A+",IF('Data Source'!AA452&gt;=4,"A",IF('Data Source'!AA452&gt;=3.5,"A-",IF('Data Source'!AA452&gt;=3,"B",IF('Data Source'!AA452&gt;=2,"C",IF('Data Source'!AA452&gt;=1,"D","F")))))),"")</f>
        <v/>
      </c>
      <c r="J452" s="3">
        <f>IF(AND('Data Source'!B452&lt;&gt;"",'Data Source'!S452="F"),IF('Data Source'!AB452&gt;=5,"A+",IF('Data Source'!AB452&gt;=4,"A",IF('Data Source'!AB452&gt;=3.5,"A-",IF('Data Source'!AB452&gt;=3,"B",IF('Data Source'!AB452&gt;=2,"C",IF('Data Source'!AB452&gt;=1,"D","F")))))),"")</f>
        <v/>
      </c>
      <c r="K452" s="3">
        <f>IF(AND('Data Source'!B452&lt;&gt;"",'Data Source'!S452="F"),IF('Data Source'!AC452&gt;=5,"A+",IF('Data Source'!AC452&gt;=4,"A",IF('Data Source'!AC452&gt;=3.5,"A-",IF('Data Source'!AC452&gt;=3,"B",IF('Data Source'!AC452&gt;=2,"C",IF('Data Source'!AC452&gt;=1,"D","F")))))),"")</f>
        <v/>
      </c>
      <c r="L452" s="3">
        <f>IF(AND('Data Source'!B452&lt;&gt;"",'Data Source'!S452="F"),IF('Data Source'!AD452&gt;=5,"A+",IF('Data Source'!AD452&gt;=4,"A",IF('Data Source'!AD452&gt;=3.5,"A-",IF('Data Source'!AD452&gt;=3,"B",IF('Data Source'!AD452&gt;=2,"C",IF('Data Source'!AD452&gt;=1,"D","F")))))),"")</f>
        <v/>
      </c>
      <c r="M452" s="3">
        <f>IF(AND('Data Source'!B452&lt;&gt;"",'Data Source'!S452="F"),IF('Data Source'!AE452&gt;=5,"A+",IF('Data Source'!AE452&gt;=4,"A",IF('Data Source'!AE452&gt;=3.5,"A-",IF('Data Source'!AE452&gt;=3,"B",IF('Data Source'!AE452&gt;=2,"C",IF('Data Source'!AE452&gt;=1,"D","F")))))),"")</f>
        <v/>
      </c>
      <c r="N452" s="3">
        <f>IF(AND('Data Source'!B452&lt;&gt;"",'Data Source'!S452="F"),IF('Data Source'!AF452&gt;=5,"A+",IF('Data Source'!AF452&gt;=4,"A",IF('Data Source'!AF452&gt;=3.5,"A-",IF('Data Source'!AF452&gt;=3,"B",IF('Data Source'!AF452&gt;=2,"C",IF('Data Source'!AF452&gt;=1,"D","F")))))),"")</f>
        <v/>
      </c>
      <c r="O452" s="3">
        <f>IF(AND('Data Source'!B452&lt;&gt;"",'Data Source'!S452="F"),IF('Data Source'!AG452&gt;=5,"A+",IF('Data Source'!AG452&gt;=4,"A",IF('Data Source'!AG452&gt;=3.5,"A-",IF('Data Source'!AG452&gt;=3,"B",IF('Data Source'!AG452&gt;=2,"C",IF('Data Source'!AG452&gt;=1,"D","F")))))),"")</f>
        <v/>
      </c>
      <c r="P452" s="5">
        <f>IF(AND('Data Source'!B452&lt;&gt;"",'Data Source'!S452="F"),'Data Source'!R452,"")</f>
        <v/>
      </c>
      <c r="Q452" s="3">
        <f>IF(AND('Data Source'!B452&lt;&gt;"",'Data Source'!S452="F"),'Data Source'!S452,"")</f>
        <v/>
      </c>
    </row>
    <row r="453">
      <c r="A453" s="3">
        <f>IF(AND('Data Source'!B453&lt;&gt;"",'Data Source'!S453="F"),COUNTIF('Data Source'!$S$3:S453,"F"),"")</f>
        <v/>
      </c>
      <c r="B453">
        <f>IF(AND('Data Source'!B453&lt;&gt;"",'Data Source'!S453="F"),'Data Source'!B453,"")</f>
        <v/>
      </c>
      <c r="C453" s="3">
        <f>IF(AND('Data Source'!B453&lt;&gt;"",'Data Source'!S453="F"),IF('Data Source'!U453&gt;=5,"A+",IF('Data Source'!U453&gt;=4,"A",IF('Data Source'!U453&gt;=3.5,"A-",IF('Data Source'!U453&gt;=3,"B",IF('Data Source'!U453&gt;=2,"C",IF('Data Source'!U453&gt;=1,"D","F")))))),"")</f>
        <v/>
      </c>
      <c r="D453" s="3">
        <f>IF(AND('Data Source'!B453&lt;&gt;"",'Data Source'!S453="F"),IF('Data Source'!V453&gt;=5,"A+",IF('Data Source'!V453&gt;=4,"A",IF('Data Source'!V453&gt;=3.5,"A-",IF('Data Source'!V453&gt;=3,"B",IF('Data Source'!V453&gt;=2,"C",IF('Data Source'!V453&gt;=1,"D","F")))))),"")</f>
        <v/>
      </c>
      <c r="E453" s="3">
        <f>IF(AND('Data Source'!B453&lt;&gt;"",'Data Source'!S453="F"),IF('Data Source'!W453&gt;=5,"A+",IF('Data Source'!W453&gt;=4,"A",IF('Data Source'!W453&gt;=3.5,"A-",IF('Data Source'!W453&gt;=3,"B",IF('Data Source'!W453&gt;=2,"C",IF('Data Source'!W453&gt;=1,"D","F")))))),"")</f>
        <v/>
      </c>
      <c r="F453" s="3">
        <f>IF(AND('Data Source'!B453&lt;&gt;"",'Data Source'!S453="F"),IF('Data Source'!X453&gt;=5,"A+",IF('Data Source'!X453&gt;=4,"A",IF('Data Source'!X453&gt;=3.5,"A-",IF('Data Source'!X453&gt;=3,"B",IF('Data Source'!X453&gt;=2,"C",IF('Data Source'!X453&gt;=1,"D","F")))))),"")</f>
        <v/>
      </c>
      <c r="G453" s="3">
        <f>IF(AND('Data Source'!B453&lt;&gt;"",'Data Source'!S453="F"),IF('Data Source'!Y453&gt;=5,"A+",IF('Data Source'!Y453&gt;=4,"A",IF('Data Source'!Y453&gt;=3.5,"A-",IF('Data Source'!Y453&gt;=3,"B",IF('Data Source'!Y453&gt;=2,"C",IF('Data Source'!Y453&gt;=1,"D","F")))))),"")</f>
        <v/>
      </c>
      <c r="H453" s="3">
        <f>IF(AND('Data Source'!B453&lt;&gt;"",'Data Source'!S453="F"),IF('Data Source'!Z453&gt;=5,"A+",IF('Data Source'!Z453&gt;=4,"A",IF('Data Source'!Z453&gt;=3.5,"A-",IF('Data Source'!Z453&gt;=3,"B",IF('Data Source'!Z453&gt;=2,"C",IF('Data Source'!Z453&gt;=1,"D","F")))))),"")</f>
        <v/>
      </c>
      <c r="I453" s="3">
        <f>IF(AND('Data Source'!B453&lt;&gt;"",'Data Source'!S453="F"),IF('Data Source'!AA453&gt;=5,"A+",IF('Data Source'!AA453&gt;=4,"A",IF('Data Source'!AA453&gt;=3.5,"A-",IF('Data Source'!AA453&gt;=3,"B",IF('Data Source'!AA453&gt;=2,"C",IF('Data Source'!AA453&gt;=1,"D","F")))))),"")</f>
        <v/>
      </c>
      <c r="J453" s="3">
        <f>IF(AND('Data Source'!B453&lt;&gt;"",'Data Source'!S453="F"),IF('Data Source'!AB453&gt;=5,"A+",IF('Data Source'!AB453&gt;=4,"A",IF('Data Source'!AB453&gt;=3.5,"A-",IF('Data Source'!AB453&gt;=3,"B",IF('Data Source'!AB453&gt;=2,"C",IF('Data Source'!AB453&gt;=1,"D","F")))))),"")</f>
        <v/>
      </c>
      <c r="K453" s="3">
        <f>IF(AND('Data Source'!B453&lt;&gt;"",'Data Source'!S453="F"),IF('Data Source'!AC453&gt;=5,"A+",IF('Data Source'!AC453&gt;=4,"A",IF('Data Source'!AC453&gt;=3.5,"A-",IF('Data Source'!AC453&gt;=3,"B",IF('Data Source'!AC453&gt;=2,"C",IF('Data Source'!AC453&gt;=1,"D","F")))))),"")</f>
        <v/>
      </c>
      <c r="L453" s="3">
        <f>IF(AND('Data Source'!B453&lt;&gt;"",'Data Source'!S453="F"),IF('Data Source'!AD453&gt;=5,"A+",IF('Data Source'!AD453&gt;=4,"A",IF('Data Source'!AD453&gt;=3.5,"A-",IF('Data Source'!AD453&gt;=3,"B",IF('Data Source'!AD453&gt;=2,"C",IF('Data Source'!AD453&gt;=1,"D","F")))))),"")</f>
        <v/>
      </c>
      <c r="M453" s="3">
        <f>IF(AND('Data Source'!B453&lt;&gt;"",'Data Source'!S453="F"),IF('Data Source'!AE453&gt;=5,"A+",IF('Data Source'!AE453&gt;=4,"A",IF('Data Source'!AE453&gt;=3.5,"A-",IF('Data Source'!AE453&gt;=3,"B",IF('Data Source'!AE453&gt;=2,"C",IF('Data Source'!AE453&gt;=1,"D","F")))))),"")</f>
        <v/>
      </c>
      <c r="N453" s="3">
        <f>IF(AND('Data Source'!B453&lt;&gt;"",'Data Source'!S453="F"),IF('Data Source'!AF453&gt;=5,"A+",IF('Data Source'!AF453&gt;=4,"A",IF('Data Source'!AF453&gt;=3.5,"A-",IF('Data Source'!AF453&gt;=3,"B",IF('Data Source'!AF453&gt;=2,"C",IF('Data Source'!AF453&gt;=1,"D","F")))))),"")</f>
        <v/>
      </c>
      <c r="O453" s="3">
        <f>IF(AND('Data Source'!B453&lt;&gt;"",'Data Source'!S453="F"),IF('Data Source'!AG453&gt;=5,"A+",IF('Data Source'!AG453&gt;=4,"A",IF('Data Source'!AG453&gt;=3.5,"A-",IF('Data Source'!AG453&gt;=3,"B",IF('Data Source'!AG453&gt;=2,"C",IF('Data Source'!AG453&gt;=1,"D","F")))))),"")</f>
        <v/>
      </c>
      <c r="P453" s="5">
        <f>IF(AND('Data Source'!B453&lt;&gt;"",'Data Source'!S453="F"),'Data Source'!R453,"")</f>
        <v/>
      </c>
      <c r="Q453" s="3">
        <f>IF(AND('Data Source'!B453&lt;&gt;"",'Data Source'!S453="F"),'Data Source'!S453,"")</f>
        <v/>
      </c>
    </row>
    <row r="454">
      <c r="A454" s="3">
        <f>IF(AND('Data Source'!B454&lt;&gt;"",'Data Source'!S454="F"),COUNTIF('Data Source'!$S$3:S454,"F"),"")</f>
        <v/>
      </c>
      <c r="B454">
        <f>IF(AND('Data Source'!B454&lt;&gt;"",'Data Source'!S454="F"),'Data Source'!B454,"")</f>
        <v/>
      </c>
      <c r="C454" s="3">
        <f>IF(AND('Data Source'!B454&lt;&gt;"",'Data Source'!S454="F"),IF('Data Source'!U454&gt;=5,"A+",IF('Data Source'!U454&gt;=4,"A",IF('Data Source'!U454&gt;=3.5,"A-",IF('Data Source'!U454&gt;=3,"B",IF('Data Source'!U454&gt;=2,"C",IF('Data Source'!U454&gt;=1,"D","F")))))),"")</f>
        <v/>
      </c>
      <c r="D454" s="3">
        <f>IF(AND('Data Source'!B454&lt;&gt;"",'Data Source'!S454="F"),IF('Data Source'!V454&gt;=5,"A+",IF('Data Source'!V454&gt;=4,"A",IF('Data Source'!V454&gt;=3.5,"A-",IF('Data Source'!V454&gt;=3,"B",IF('Data Source'!V454&gt;=2,"C",IF('Data Source'!V454&gt;=1,"D","F")))))),"")</f>
        <v/>
      </c>
      <c r="E454" s="3">
        <f>IF(AND('Data Source'!B454&lt;&gt;"",'Data Source'!S454="F"),IF('Data Source'!W454&gt;=5,"A+",IF('Data Source'!W454&gt;=4,"A",IF('Data Source'!W454&gt;=3.5,"A-",IF('Data Source'!W454&gt;=3,"B",IF('Data Source'!W454&gt;=2,"C",IF('Data Source'!W454&gt;=1,"D","F")))))),"")</f>
        <v/>
      </c>
      <c r="F454" s="3">
        <f>IF(AND('Data Source'!B454&lt;&gt;"",'Data Source'!S454="F"),IF('Data Source'!X454&gt;=5,"A+",IF('Data Source'!X454&gt;=4,"A",IF('Data Source'!X454&gt;=3.5,"A-",IF('Data Source'!X454&gt;=3,"B",IF('Data Source'!X454&gt;=2,"C",IF('Data Source'!X454&gt;=1,"D","F")))))),"")</f>
        <v/>
      </c>
      <c r="G454" s="3">
        <f>IF(AND('Data Source'!B454&lt;&gt;"",'Data Source'!S454="F"),IF('Data Source'!Y454&gt;=5,"A+",IF('Data Source'!Y454&gt;=4,"A",IF('Data Source'!Y454&gt;=3.5,"A-",IF('Data Source'!Y454&gt;=3,"B",IF('Data Source'!Y454&gt;=2,"C",IF('Data Source'!Y454&gt;=1,"D","F")))))),"")</f>
        <v/>
      </c>
      <c r="H454" s="3">
        <f>IF(AND('Data Source'!B454&lt;&gt;"",'Data Source'!S454="F"),IF('Data Source'!Z454&gt;=5,"A+",IF('Data Source'!Z454&gt;=4,"A",IF('Data Source'!Z454&gt;=3.5,"A-",IF('Data Source'!Z454&gt;=3,"B",IF('Data Source'!Z454&gt;=2,"C",IF('Data Source'!Z454&gt;=1,"D","F")))))),"")</f>
        <v/>
      </c>
      <c r="I454" s="3">
        <f>IF(AND('Data Source'!B454&lt;&gt;"",'Data Source'!S454="F"),IF('Data Source'!AA454&gt;=5,"A+",IF('Data Source'!AA454&gt;=4,"A",IF('Data Source'!AA454&gt;=3.5,"A-",IF('Data Source'!AA454&gt;=3,"B",IF('Data Source'!AA454&gt;=2,"C",IF('Data Source'!AA454&gt;=1,"D","F")))))),"")</f>
        <v/>
      </c>
      <c r="J454" s="3">
        <f>IF(AND('Data Source'!B454&lt;&gt;"",'Data Source'!S454="F"),IF('Data Source'!AB454&gt;=5,"A+",IF('Data Source'!AB454&gt;=4,"A",IF('Data Source'!AB454&gt;=3.5,"A-",IF('Data Source'!AB454&gt;=3,"B",IF('Data Source'!AB454&gt;=2,"C",IF('Data Source'!AB454&gt;=1,"D","F")))))),"")</f>
        <v/>
      </c>
      <c r="K454" s="3">
        <f>IF(AND('Data Source'!B454&lt;&gt;"",'Data Source'!S454="F"),IF('Data Source'!AC454&gt;=5,"A+",IF('Data Source'!AC454&gt;=4,"A",IF('Data Source'!AC454&gt;=3.5,"A-",IF('Data Source'!AC454&gt;=3,"B",IF('Data Source'!AC454&gt;=2,"C",IF('Data Source'!AC454&gt;=1,"D","F")))))),"")</f>
        <v/>
      </c>
      <c r="L454" s="3">
        <f>IF(AND('Data Source'!B454&lt;&gt;"",'Data Source'!S454="F"),IF('Data Source'!AD454&gt;=5,"A+",IF('Data Source'!AD454&gt;=4,"A",IF('Data Source'!AD454&gt;=3.5,"A-",IF('Data Source'!AD454&gt;=3,"B",IF('Data Source'!AD454&gt;=2,"C",IF('Data Source'!AD454&gt;=1,"D","F")))))),"")</f>
        <v/>
      </c>
      <c r="M454" s="3">
        <f>IF(AND('Data Source'!B454&lt;&gt;"",'Data Source'!S454="F"),IF('Data Source'!AE454&gt;=5,"A+",IF('Data Source'!AE454&gt;=4,"A",IF('Data Source'!AE454&gt;=3.5,"A-",IF('Data Source'!AE454&gt;=3,"B",IF('Data Source'!AE454&gt;=2,"C",IF('Data Source'!AE454&gt;=1,"D","F")))))),"")</f>
        <v/>
      </c>
      <c r="N454" s="3">
        <f>IF(AND('Data Source'!B454&lt;&gt;"",'Data Source'!S454="F"),IF('Data Source'!AF454&gt;=5,"A+",IF('Data Source'!AF454&gt;=4,"A",IF('Data Source'!AF454&gt;=3.5,"A-",IF('Data Source'!AF454&gt;=3,"B",IF('Data Source'!AF454&gt;=2,"C",IF('Data Source'!AF454&gt;=1,"D","F")))))),"")</f>
        <v/>
      </c>
      <c r="O454" s="3">
        <f>IF(AND('Data Source'!B454&lt;&gt;"",'Data Source'!S454="F"),IF('Data Source'!AG454&gt;=5,"A+",IF('Data Source'!AG454&gt;=4,"A",IF('Data Source'!AG454&gt;=3.5,"A-",IF('Data Source'!AG454&gt;=3,"B",IF('Data Source'!AG454&gt;=2,"C",IF('Data Source'!AG454&gt;=1,"D","F")))))),"")</f>
        <v/>
      </c>
      <c r="P454" s="5">
        <f>IF(AND('Data Source'!B454&lt;&gt;"",'Data Source'!S454="F"),'Data Source'!R454,"")</f>
        <v/>
      </c>
      <c r="Q454" s="3">
        <f>IF(AND('Data Source'!B454&lt;&gt;"",'Data Source'!S454="F"),'Data Source'!S454,"")</f>
        <v/>
      </c>
    </row>
    <row r="455">
      <c r="A455" s="3">
        <f>IF(AND('Data Source'!B455&lt;&gt;"",'Data Source'!S455="F"),COUNTIF('Data Source'!$S$3:S455,"F"),"")</f>
        <v/>
      </c>
      <c r="B455">
        <f>IF(AND('Data Source'!B455&lt;&gt;"",'Data Source'!S455="F"),'Data Source'!B455,"")</f>
        <v/>
      </c>
      <c r="C455" s="3">
        <f>IF(AND('Data Source'!B455&lt;&gt;"",'Data Source'!S455="F"),IF('Data Source'!U455&gt;=5,"A+",IF('Data Source'!U455&gt;=4,"A",IF('Data Source'!U455&gt;=3.5,"A-",IF('Data Source'!U455&gt;=3,"B",IF('Data Source'!U455&gt;=2,"C",IF('Data Source'!U455&gt;=1,"D","F")))))),"")</f>
        <v/>
      </c>
      <c r="D455" s="3">
        <f>IF(AND('Data Source'!B455&lt;&gt;"",'Data Source'!S455="F"),IF('Data Source'!V455&gt;=5,"A+",IF('Data Source'!V455&gt;=4,"A",IF('Data Source'!V455&gt;=3.5,"A-",IF('Data Source'!V455&gt;=3,"B",IF('Data Source'!V455&gt;=2,"C",IF('Data Source'!V455&gt;=1,"D","F")))))),"")</f>
        <v/>
      </c>
      <c r="E455" s="3">
        <f>IF(AND('Data Source'!B455&lt;&gt;"",'Data Source'!S455="F"),IF('Data Source'!W455&gt;=5,"A+",IF('Data Source'!W455&gt;=4,"A",IF('Data Source'!W455&gt;=3.5,"A-",IF('Data Source'!W455&gt;=3,"B",IF('Data Source'!W455&gt;=2,"C",IF('Data Source'!W455&gt;=1,"D","F")))))),"")</f>
        <v/>
      </c>
      <c r="F455" s="3">
        <f>IF(AND('Data Source'!B455&lt;&gt;"",'Data Source'!S455="F"),IF('Data Source'!X455&gt;=5,"A+",IF('Data Source'!X455&gt;=4,"A",IF('Data Source'!X455&gt;=3.5,"A-",IF('Data Source'!X455&gt;=3,"B",IF('Data Source'!X455&gt;=2,"C",IF('Data Source'!X455&gt;=1,"D","F")))))),"")</f>
        <v/>
      </c>
      <c r="G455" s="3">
        <f>IF(AND('Data Source'!B455&lt;&gt;"",'Data Source'!S455="F"),IF('Data Source'!Y455&gt;=5,"A+",IF('Data Source'!Y455&gt;=4,"A",IF('Data Source'!Y455&gt;=3.5,"A-",IF('Data Source'!Y455&gt;=3,"B",IF('Data Source'!Y455&gt;=2,"C",IF('Data Source'!Y455&gt;=1,"D","F")))))),"")</f>
        <v/>
      </c>
      <c r="H455" s="3">
        <f>IF(AND('Data Source'!B455&lt;&gt;"",'Data Source'!S455="F"),IF('Data Source'!Z455&gt;=5,"A+",IF('Data Source'!Z455&gt;=4,"A",IF('Data Source'!Z455&gt;=3.5,"A-",IF('Data Source'!Z455&gt;=3,"B",IF('Data Source'!Z455&gt;=2,"C",IF('Data Source'!Z455&gt;=1,"D","F")))))),"")</f>
        <v/>
      </c>
      <c r="I455" s="3">
        <f>IF(AND('Data Source'!B455&lt;&gt;"",'Data Source'!S455="F"),IF('Data Source'!AA455&gt;=5,"A+",IF('Data Source'!AA455&gt;=4,"A",IF('Data Source'!AA455&gt;=3.5,"A-",IF('Data Source'!AA455&gt;=3,"B",IF('Data Source'!AA455&gt;=2,"C",IF('Data Source'!AA455&gt;=1,"D","F")))))),"")</f>
        <v/>
      </c>
      <c r="J455" s="3">
        <f>IF(AND('Data Source'!B455&lt;&gt;"",'Data Source'!S455="F"),IF('Data Source'!AB455&gt;=5,"A+",IF('Data Source'!AB455&gt;=4,"A",IF('Data Source'!AB455&gt;=3.5,"A-",IF('Data Source'!AB455&gt;=3,"B",IF('Data Source'!AB455&gt;=2,"C",IF('Data Source'!AB455&gt;=1,"D","F")))))),"")</f>
        <v/>
      </c>
      <c r="K455" s="3">
        <f>IF(AND('Data Source'!B455&lt;&gt;"",'Data Source'!S455="F"),IF('Data Source'!AC455&gt;=5,"A+",IF('Data Source'!AC455&gt;=4,"A",IF('Data Source'!AC455&gt;=3.5,"A-",IF('Data Source'!AC455&gt;=3,"B",IF('Data Source'!AC455&gt;=2,"C",IF('Data Source'!AC455&gt;=1,"D","F")))))),"")</f>
        <v/>
      </c>
      <c r="L455" s="3">
        <f>IF(AND('Data Source'!B455&lt;&gt;"",'Data Source'!S455="F"),IF('Data Source'!AD455&gt;=5,"A+",IF('Data Source'!AD455&gt;=4,"A",IF('Data Source'!AD455&gt;=3.5,"A-",IF('Data Source'!AD455&gt;=3,"B",IF('Data Source'!AD455&gt;=2,"C",IF('Data Source'!AD455&gt;=1,"D","F")))))),"")</f>
        <v/>
      </c>
      <c r="M455" s="3">
        <f>IF(AND('Data Source'!B455&lt;&gt;"",'Data Source'!S455="F"),IF('Data Source'!AE455&gt;=5,"A+",IF('Data Source'!AE455&gt;=4,"A",IF('Data Source'!AE455&gt;=3.5,"A-",IF('Data Source'!AE455&gt;=3,"B",IF('Data Source'!AE455&gt;=2,"C",IF('Data Source'!AE455&gt;=1,"D","F")))))),"")</f>
        <v/>
      </c>
      <c r="N455" s="3">
        <f>IF(AND('Data Source'!B455&lt;&gt;"",'Data Source'!S455="F"),IF('Data Source'!AF455&gt;=5,"A+",IF('Data Source'!AF455&gt;=4,"A",IF('Data Source'!AF455&gt;=3.5,"A-",IF('Data Source'!AF455&gt;=3,"B",IF('Data Source'!AF455&gt;=2,"C",IF('Data Source'!AF455&gt;=1,"D","F")))))),"")</f>
        <v/>
      </c>
      <c r="O455" s="3">
        <f>IF(AND('Data Source'!B455&lt;&gt;"",'Data Source'!S455="F"),IF('Data Source'!AG455&gt;=5,"A+",IF('Data Source'!AG455&gt;=4,"A",IF('Data Source'!AG455&gt;=3.5,"A-",IF('Data Source'!AG455&gt;=3,"B",IF('Data Source'!AG455&gt;=2,"C",IF('Data Source'!AG455&gt;=1,"D","F")))))),"")</f>
        <v/>
      </c>
      <c r="P455" s="5">
        <f>IF(AND('Data Source'!B455&lt;&gt;"",'Data Source'!S455="F"),'Data Source'!R455,"")</f>
        <v/>
      </c>
      <c r="Q455" s="3">
        <f>IF(AND('Data Source'!B455&lt;&gt;"",'Data Source'!S455="F"),'Data Source'!S455,"")</f>
        <v/>
      </c>
    </row>
    <row r="456">
      <c r="A456" s="3">
        <f>IF(AND('Data Source'!B456&lt;&gt;"",'Data Source'!S456="F"),COUNTIF('Data Source'!$S$3:S456,"F"),"")</f>
        <v/>
      </c>
      <c r="B456">
        <f>IF(AND('Data Source'!B456&lt;&gt;"",'Data Source'!S456="F"),'Data Source'!B456,"")</f>
        <v/>
      </c>
      <c r="C456" s="3">
        <f>IF(AND('Data Source'!B456&lt;&gt;"",'Data Source'!S456="F"),IF('Data Source'!U456&gt;=5,"A+",IF('Data Source'!U456&gt;=4,"A",IF('Data Source'!U456&gt;=3.5,"A-",IF('Data Source'!U456&gt;=3,"B",IF('Data Source'!U456&gt;=2,"C",IF('Data Source'!U456&gt;=1,"D","F")))))),"")</f>
        <v/>
      </c>
      <c r="D456" s="3">
        <f>IF(AND('Data Source'!B456&lt;&gt;"",'Data Source'!S456="F"),IF('Data Source'!V456&gt;=5,"A+",IF('Data Source'!V456&gt;=4,"A",IF('Data Source'!V456&gt;=3.5,"A-",IF('Data Source'!V456&gt;=3,"B",IF('Data Source'!V456&gt;=2,"C",IF('Data Source'!V456&gt;=1,"D","F")))))),"")</f>
        <v/>
      </c>
      <c r="E456" s="3">
        <f>IF(AND('Data Source'!B456&lt;&gt;"",'Data Source'!S456="F"),IF('Data Source'!W456&gt;=5,"A+",IF('Data Source'!W456&gt;=4,"A",IF('Data Source'!W456&gt;=3.5,"A-",IF('Data Source'!W456&gt;=3,"B",IF('Data Source'!W456&gt;=2,"C",IF('Data Source'!W456&gt;=1,"D","F")))))),"")</f>
        <v/>
      </c>
      <c r="F456" s="3">
        <f>IF(AND('Data Source'!B456&lt;&gt;"",'Data Source'!S456="F"),IF('Data Source'!X456&gt;=5,"A+",IF('Data Source'!X456&gt;=4,"A",IF('Data Source'!X456&gt;=3.5,"A-",IF('Data Source'!X456&gt;=3,"B",IF('Data Source'!X456&gt;=2,"C",IF('Data Source'!X456&gt;=1,"D","F")))))),"")</f>
        <v/>
      </c>
      <c r="G456" s="3">
        <f>IF(AND('Data Source'!B456&lt;&gt;"",'Data Source'!S456="F"),IF('Data Source'!Y456&gt;=5,"A+",IF('Data Source'!Y456&gt;=4,"A",IF('Data Source'!Y456&gt;=3.5,"A-",IF('Data Source'!Y456&gt;=3,"B",IF('Data Source'!Y456&gt;=2,"C",IF('Data Source'!Y456&gt;=1,"D","F")))))),"")</f>
        <v/>
      </c>
      <c r="H456" s="3">
        <f>IF(AND('Data Source'!B456&lt;&gt;"",'Data Source'!S456="F"),IF('Data Source'!Z456&gt;=5,"A+",IF('Data Source'!Z456&gt;=4,"A",IF('Data Source'!Z456&gt;=3.5,"A-",IF('Data Source'!Z456&gt;=3,"B",IF('Data Source'!Z456&gt;=2,"C",IF('Data Source'!Z456&gt;=1,"D","F")))))),"")</f>
        <v/>
      </c>
      <c r="I456" s="3">
        <f>IF(AND('Data Source'!B456&lt;&gt;"",'Data Source'!S456="F"),IF('Data Source'!AA456&gt;=5,"A+",IF('Data Source'!AA456&gt;=4,"A",IF('Data Source'!AA456&gt;=3.5,"A-",IF('Data Source'!AA456&gt;=3,"B",IF('Data Source'!AA456&gt;=2,"C",IF('Data Source'!AA456&gt;=1,"D","F")))))),"")</f>
        <v/>
      </c>
      <c r="J456" s="3">
        <f>IF(AND('Data Source'!B456&lt;&gt;"",'Data Source'!S456="F"),IF('Data Source'!AB456&gt;=5,"A+",IF('Data Source'!AB456&gt;=4,"A",IF('Data Source'!AB456&gt;=3.5,"A-",IF('Data Source'!AB456&gt;=3,"B",IF('Data Source'!AB456&gt;=2,"C",IF('Data Source'!AB456&gt;=1,"D","F")))))),"")</f>
        <v/>
      </c>
      <c r="K456" s="3">
        <f>IF(AND('Data Source'!B456&lt;&gt;"",'Data Source'!S456="F"),IF('Data Source'!AC456&gt;=5,"A+",IF('Data Source'!AC456&gt;=4,"A",IF('Data Source'!AC456&gt;=3.5,"A-",IF('Data Source'!AC456&gt;=3,"B",IF('Data Source'!AC456&gt;=2,"C",IF('Data Source'!AC456&gt;=1,"D","F")))))),"")</f>
        <v/>
      </c>
      <c r="L456" s="3">
        <f>IF(AND('Data Source'!B456&lt;&gt;"",'Data Source'!S456="F"),IF('Data Source'!AD456&gt;=5,"A+",IF('Data Source'!AD456&gt;=4,"A",IF('Data Source'!AD456&gt;=3.5,"A-",IF('Data Source'!AD456&gt;=3,"B",IF('Data Source'!AD456&gt;=2,"C",IF('Data Source'!AD456&gt;=1,"D","F")))))),"")</f>
        <v/>
      </c>
      <c r="M456" s="3">
        <f>IF(AND('Data Source'!B456&lt;&gt;"",'Data Source'!S456="F"),IF('Data Source'!AE456&gt;=5,"A+",IF('Data Source'!AE456&gt;=4,"A",IF('Data Source'!AE456&gt;=3.5,"A-",IF('Data Source'!AE456&gt;=3,"B",IF('Data Source'!AE456&gt;=2,"C",IF('Data Source'!AE456&gt;=1,"D","F")))))),"")</f>
        <v/>
      </c>
      <c r="N456" s="3">
        <f>IF(AND('Data Source'!B456&lt;&gt;"",'Data Source'!S456="F"),IF('Data Source'!AF456&gt;=5,"A+",IF('Data Source'!AF456&gt;=4,"A",IF('Data Source'!AF456&gt;=3.5,"A-",IF('Data Source'!AF456&gt;=3,"B",IF('Data Source'!AF456&gt;=2,"C",IF('Data Source'!AF456&gt;=1,"D","F")))))),"")</f>
        <v/>
      </c>
      <c r="O456" s="3">
        <f>IF(AND('Data Source'!B456&lt;&gt;"",'Data Source'!S456="F"),IF('Data Source'!AG456&gt;=5,"A+",IF('Data Source'!AG456&gt;=4,"A",IF('Data Source'!AG456&gt;=3.5,"A-",IF('Data Source'!AG456&gt;=3,"B",IF('Data Source'!AG456&gt;=2,"C",IF('Data Source'!AG456&gt;=1,"D","F")))))),"")</f>
        <v/>
      </c>
      <c r="P456" s="5">
        <f>IF(AND('Data Source'!B456&lt;&gt;"",'Data Source'!S456="F"),'Data Source'!R456,"")</f>
        <v/>
      </c>
      <c r="Q456" s="3">
        <f>IF(AND('Data Source'!B456&lt;&gt;"",'Data Source'!S456="F"),'Data Source'!S456,"")</f>
        <v/>
      </c>
    </row>
    <row r="457">
      <c r="A457" s="3">
        <f>IF(AND('Data Source'!B457&lt;&gt;"",'Data Source'!S457="F"),COUNTIF('Data Source'!$S$3:S457,"F"),"")</f>
        <v/>
      </c>
      <c r="B457">
        <f>IF(AND('Data Source'!B457&lt;&gt;"",'Data Source'!S457="F"),'Data Source'!B457,"")</f>
        <v/>
      </c>
      <c r="C457" s="3">
        <f>IF(AND('Data Source'!B457&lt;&gt;"",'Data Source'!S457="F"),IF('Data Source'!U457&gt;=5,"A+",IF('Data Source'!U457&gt;=4,"A",IF('Data Source'!U457&gt;=3.5,"A-",IF('Data Source'!U457&gt;=3,"B",IF('Data Source'!U457&gt;=2,"C",IF('Data Source'!U457&gt;=1,"D","F")))))),"")</f>
        <v/>
      </c>
      <c r="D457" s="3">
        <f>IF(AND('Data Source'!B457&lt;&gt;"",'Data Source'!S457="F"),IF('Data Source'!V457&gt;=5,"A+",IF('Data Source'!V457&gt;=4,"A",IF('Data Source'!V457&gt;=3.5,"A-",IF('Data Source'!V457&gt;=3,"B",IF('Data Source'!V457&gt;=2,"C",IF('Data Source'!V457&gt;=1,"D","F")))))),"")</f>
        <v/>
      </c>
      <c r="E457" s="3">
        <f>IF(AND('Data Source'!B457&lt;&gt;"",'Data Source'!S457="F"),IF('Data Source'!W457&gt;=5,"A+",IF('Data Source'!W457&gt;=4,"A",IF('Data Source'!W457&gt;=3.5,"A-",IF('Data Source'!W457&gt;=3,"B",IF('Data Source'!W457&gt;=2,"C",IF('Data Source'!W457&gt;=1,"D","F")))))),"")</f>
        <v/>
      </c>
      <c r="F457" s="3">
        <f>IF(AND('Data Source'!B457&lt;&gt;"",'Data Source'!S457="F"),IF('Data Source'!X457&gt;=5,"A+",IF('Data Source'!X457&gt;=4,"A",IF('Data Source'!X457&gt;=3.5,"A-",IF('Data Source'!X457&gt;=3,"B",IF('Data Source'!X457&gt;=2,"C",IF('Data Source'!X457&gt;=1,"D","F")))))),"")</f>
        <v/>
      </c>
      <c r="G457" s="3">
        <f>IF(AND('Data Source'!B457&lt;&gt;"",'Data Source'!S457="F"),IF('Data Source'!Y457&gt;=5,"A+",IF('Data Source'!Y457&gt;=4,"A",IF('Data Source'!Y457&gt;=3.5,"A-",IF('Data Source'!Y457&gt;=3,"B",IF('Data Source'!Y457&gt;=2,"C",IF('Data Source'!Y457&gt;=1,"D","F")))))),"")</f>
        <v/>
      </c>
      <c r="H457" s="3">
        <f>IF(AND('Data Source'!B457&lt;&gt;"",'Data Source'!S457="F"),IF('Data Source'!Z457&gt;=5,"A+",IF('Data Source'!Z457&gt;=4,"A",IF('Data Source'!Z457&gt;=3.5,"A-",IF('Data Source'!Z457&gt;=3,"B",IF('Data Source'!Z457&gt;=2,"C",IF('Data Source'!Z457&gt;=1,"D","F")))))),"")</f>
        <v/>
      </c>
      <c r="I457" s="3">
        <f>IF(AND('Data Source'!B457&lt;&gt;"",'Data Source'!S457="F"),IF('Data Source'!AA457&gt;=5,"A+",IF('Data Source'!AA457&gt;=4,"A",IF('Data Source'!AA457&gt;=3.5,"A-",IF('Data Source'!AA457&gt;=3,"B",IF('Data Source'!AA457&gt;=2,"C",IF('Data Source'!AA457&gt;=1,"D","F")))))),"")</f>
        <v/>
      </c>
      <c r="J457" s="3">
        <f>IF(AND('Data Source'!B457&lt;&gt;"",'Data Source'!S457="F"),IF('Data Source'!AB457&gt;=5,"A+",IF('Data Source'!AB457&gt;=4,"A",IF('Data Source'!AB457&gt;=3.5,"A-",IF('Data Source'!AB457&gt;=3,"B",IF('Data Source'!AB457&gt;=2,"C",IF('Data Source'!AB457&gt;=1,"D","F")))))),"")</f>
        <v/>
      </c>
      <c r="K457" s="3">
        <f>IF(AND('Data Source'!B457&lt;&gt;"",'Data Source'!S457="F"),IF('Data Source'!AC457&gt;=5,"A+",IF('Data Source'!AC457&gt;=4,"A",IF('Data Source'!AC457&gt;=3.5,"A-",IF('Data Source'!AC457&gt;=3,"B",IF('Data Source'!AC457&gt;=2,"C",IF('Data Source'!AC457&gt;=1,"D","F")))))),"")</f>
        <v/>
      </c>
      <c r="L457" s="3">
        <f>IF(AND('Data Source'!B457&lt;&gt;"",'Data Source'!S457="F"),IF('Data Source'!AD457&gt;=5,"A+",IF('Data Source'!AD457&gt;=4,"A",IF('Data Source'!AD457&gt;=3.5,"A-",IF('Data Source'!AD457&gt;=3,"B",IF('Data Source'!AD457&gt;=2,"C",IF('Data Source'!AD457&gt;=1,"D","F")))))),"")</f>
        <v/>
      </c>
      <c r="M457" s="3">
        <f>IF(AND('Data Source'!B457&lt;&gt;"",'Data Source'!S457="F"),IF('Data Source'!AE457&gt;=5,"A+",IF('Data Source'!AE457&gt;=4,"A",IF('Data Source'!AE457&gt;=3.5,"A-",IF('Data Source'!AE457&gt;=3,"B",IF('Data Source'!AE457&gt;=2,"C",IF('Data Source'!AE457&gt;=1,"D","F")))))),"")</f>
        <v/>
      </c>
      <c r="N457" s="3">
        <f>IF(AND('Data Source'!B457&lt;&gt;"",'Data Source'!S457="F"),IF('Data Source'!AF457&gt;=5,"A+",IF('Data Source'!AF457&gt;=4,"A",IF('Data Source'!AF457&gt;=3.5,"A-",IF('Data Source'!AF457&gt;=3,"B",IF('Data Source'!AF457&gt;=2,"C",IF('Data Source'!AF457&gt;=1,"D","F")))))),"")</f>
        <v/>
      </c>
      <c r="O457" s="3">
        <f>IF(AND('Data Source'!B457&lt;&gt;"",'Data Source'!S457="F"),IF('Data Source'!AG457&gt;=5,"A+",IF('Data Source'!AG457&gt;=4,"A",IF('Data Source'!AG457&gt;=3.5,"A-",IF('Data Source'!AG457&gt;=3,"B",IF('Data Source'!AG457&gt;=2,"C",IF('Data Source'!AG457&gt;=1,"D","F")))))),"")</f>
        <v/>
      </c>
      <c r="P457" s="5">
        <f>IF(AND('Data Source'!B457&lt;&gt;"",'Data Source'!S457="F"),'Data Source'!R457,"")</f>
        <v/>
      </c>
      <c r="Q457" s="3">
        <f>IF(AND('Data Source'!B457&lt;&gt;"",'Data Source'!S457="F"),'Data Source'!S457,"")</f>
        <v/>
      </c>
    </row>
    <row r="458">
      <c r="A458" s="3">
        <f>IF(AND('Data Source'!B458&lt;&gt;"",'Data Source'!S458="F"),COUNTIF('Data Source'!$S$3:S458,"F"),"")</f>
        <v/>
      </c>
      <c r="B458">
        <f>IF(AND('Data Source'!B458&lt;&gt;"",'Data Source'!S458="F"),'Data Source'!B458,"")</f>
        <v/>
      </c>
      <c r="C458" s="3">
        <f>IF(AND('Data Source'!B458&lt;&gt;"",'Data Source'!S458="F"),IF('Data Source'!U458&gt;=5,"A+",IF('Data Source'!U458&gt;=4,"A",IF('Data Source'!U458&gt;=3.5,"A-",IF('Data Source'!U458&gt;=3,"B",IF('Data Source'!U458&gt;=2,"C",IF('Data Source'!U458&gt;=1,"D","F")))))),"")</f>
        <v/>
      </c>
      <c r="D458" s="3">
        <f>IF(AND('Data Source'!B458&lt;&gt;"",'Data Source'!S458="F"),IF('Data Source'!V458&gt;=5,"A+",IF('Data Source'!V458&gt;=4,"A",IF('Data Source'!V458&gt;=3.5,"A-",IF('Data Source'!V458&gt;=3,"B",IF('Data Source'!V458&gt;=2,"C",IF('Data Source'!V458&gt;=1,"D","F")))))),"")</f>
        <v/>
      </c>
      <c r="E458" s="3">
        <f>IF(AND('Data Source'!B458&lt;&gt;"",'Data Source'!S458="F"),IF('Data Source'!W458&gt;=5,"A+",IF('Data Source'!W458&gt;=4,"A",IF('Data Source'!W458&gt;=3.5,"A-",IF('Data Source'!W458&gt;=3,"B",IF('Data Source'!W458&gt;=2,"C",IF('Data Source'!W458&gt;=1,"D","F")))))),"")</f>
        <v/>
      </c>
      <c r="F458" s="3">
        <f>IF(AND('Data Source'!B458&lt;&gt;"",'Data Source'!S458="F"),IF('Data Source'!X458&gt;=5,"A+",IF('Data Source'!X458&gt;=4,"A",IF('Data Source'!X458&gt;=3.5,"A-",IF('Data Source'!X458&gt;=3,"B",IF('Data Source'!X458&gt;=2,"C",IF('Data Source'!X458&gt;=1,"D","F")))))),"")</f>
        <v/>
      </c>
      <c r="G458" s="3">
        <f>IF(AND('Data Source'!B458&lt;&gt;"",'Data Source'!S458="F"),IF('Data Source'!Y458&gt;=5,"A+",IF('Data Source'!Y458&gt;=4,"A",IF('Data Source'!Y458&gt;=3.5,"A-",IF('Data Source'!Y458&gt;=3,"B",IF('Data Source'!Y458&gt;=2,"C",IF('Data Source'!Y458&gt;=1,"D","F")))))),"")</f>
        <v/>
      </c>
      <c r="H458" s="3">
        <f>IF(AND('Data Source'!B458&lt;&gt;"",'Data Source'!S458="F"),IF('Data Source'!Z458&gt;=5,"A+",IF('Data Source'!Z458&gt;=4,"A",IF('Data Source'!Z458&gt;=3.5,"A-",IF('Data Source'!Z458&gt;=3,"B",IF('Data Source'!Z458&gt;=2,"C",IF('Data Source'!Z458&gt;=1,"D","F")))))),"")</f>
        <v/>
      </c>
      <c r="I458" s="3">
        <f>IF(AND('Data Source'!B458&lt;&gt;"",'Data Source'!S458="F"),IF('Data Source'!AA458&gt;=5,"A+",IF('Data Source'!AA458&gt;=4,"A",IF('Data Source'!AA458&gt;=3.5,"A-",IF('Data Source'!AA458&gt;=3,"B",IF('Data Source'!AA458&gt;=2,"C",IF('Data Source'!AA458&gt;=1,"D","F")))))),"")</f>
        <v/>
      </c>
      <c r="J458" s="3">
        <f>IF(AND('Data Source'!B458&lt;&gt;"",'Data Source'!S458="F"),IF('Data Source'!AB458&gt;=5,"A+",IF('Data Source'!AB458&gt;=4,"A",IF('Data Source'!AB458&gt;=3.5,"A-",IF('Data Source'!AB458&gt;=3,"B",IF('Data Source'!AB458&gt;=2,"C",IF('Data Source'!AB458&gt;=1,"D","F")))))),"")</f>
        <v/>
      </c>
      <c r="K458" s="3">
        <f>IF(AND('Data Source'!B458&lt;&gt;"",'Data Source'!S458="F"),IF('Data Source'!AC458&gt;=5,"A+",IF('Data Source'!AC458&gt;=4,"A",IF('Data Source'!AC458&gt;=3.5,"A-",IF('Data Source'!AC458&gt;=3,"B",IF('Data Source'!AC458&gt;=2,"C",IF('Data Source'!AC458&gt;=1,"D","F")))))),"")</f>
        <v/>
      </c>
      <c r="L458" s="3">
        <f>IF(AND('Data Source'!B458&lt;&gt;"",'Data Source'!S458="F"),IF('Data Source'!AD458&gt;=5,"A+",IF('Data Source'!AD458&gt;=4,"A",IF('Data Source'!AD458&gt;=3.5,"A-",IF('Data Source'!AD458&gt;=3,"B",IF('Data Source'!AD458&gt;=2,"C",IF('Data Source'!AD458&gt;=1,"D","F")))))),"")</f>
        <v/>
      </c>
      <c r="M458" s="3">
        <f>IF(AND('Data Source'!B458&lt;&gt;"",'Data Source'!S458="F"),IF('Data Source'!AE458&gt;=5,"A+",IF('Data Source'!AE458&gt;=4,"A",IF('Data Source'!AE458&gt;=3.5,"A-",IF('Data Source'!AE458&gt;=3,"B",IF('Data Source'!AE458&gt;=2,"C",IF('Data Source'!AE458&gt;=1,"D","F")))))),"")</f>
        <v/>
      </c>
      <c r="N458" s="3">
        <f>IF(AND('Data Source'!B458&lt;&gt;"",'Data Source'!S458="F"),IF('Data Source'!AF458&gt;=5,"A+",IF('Data Source'!AF458&gt;=4,"A",IF('Data Source'!AF458&gt;=3.5,"A-",IF('Data Source'!AF458&gt;=3,"B",IF('Data Source'!AF458&gt;=2,"C",IF('Data Source'!AF458&gt;=1,"D","F")))))),"")</f>
        <v/>
      </c>
      <c r="O458" s="3">
        <f>IF(AND('Data Source'!B458&lt;&gt;"",'Data Source'!S458="F"),IF('Data Source'!AG458&gt;=5,"A+",IF('Data Source'!AG458&gt;=4,"A",IF('Data Source'!AG458&gt;=3.5,"A-",IF('Data Source'!AG458&gt;=3,"B",IF('Data Source'!AG458&gt;=2,"C",IF('Data Source'!AG458&gt;=1,"D","F")))))),"")</f>
        <v/>
      </c>
      <c r="P458" s="5">
        <f>IF(AND('Data Source'!B458&lt;&gt;"",'Data Source'!S458="F"),'Data Source'!R458,"")</f>
        <v/>
      </c>
      <c r="Q458" s="3">
        <f>IF(AND('Data Source'!B458&lt;&gt;"",'Data Source'!S458="F"),'Data Source'!S458,"")</f>
        <v/>
      </c>
    </row>
    <row r="459">
      <c r="A459" s="3">
        <f>IF(AND('Data Source'!B459&lt;&gt;"",'Data Source'!S459="F"),COUNTIF('Data Source'!$S$3:S459,"F"),"")</f>
        <v/>
      </c>
      <c r="B459">
        <f>IF(AND('Data Source'!B459&lt;&gt;"",'Data Source'!S459="F"),'Data Source'!B459,"")</f>
        <v/>
      </c>
      <c r="C459" s="3">
        <f>IF(AND('Data Source'!B459&lt;&gt;"",'Data Source'!S459="F"),IF('Data Source'!U459&gt;=5,"A+",IF('Data Source'!U459&gt;=4,"A",IF('Data Source'!U459&gt;=3.5,"A-",IF('Data Source'!U459&gt;=3,"B",IF('Data Source'!U459&gt;=2,"C",IF('Data Source'!U459&gt;=1,"D","F")))))),"")</f>
        <v/>
      </c>
      <c r="D459" s="3">
        <f>IF(AND('Data Source'!B459&lt;&gt;"",'Data Source'!S459="F"),IF('Data Source'!V459&gt;=5,"A+",IF('Data Source'!V459&gt;=4,"A",IF('Data Source'!V459&gt;=3.5,"A-",IF('Data Source'!V459&gt;=3,"B",IF('Data Source'!V459&gt;=2,"C",IF('Data Source'!V459&gt;=1,"D","F")))))),"")</f>
        <v/>
      </c>
      <c r="E459" s="3">
        <f>IF(AND('Data Source'!B459&lt;&gt;"",'Data Source'!S459="F"),IF('Data Source'!W459&gt;=5,"A+",IF('Data Source'!W459&gt;=4,"A",IF('Data Source'!W459&gt;=3.5,"A-",IF('Data Source'!W459&gt;=3,"B",IF('Data Source'!W459&gt;=2,"C",IF('Data Source'!W459&gt;=1,"D","F")))))),"")</f>
        <v/>
      </c>
      <c r="F459" s="3">
        <f>IF(AND('Data Source'!B459&lt;&gt;"",'Data Source'!S459="F"),IF('Data Source'!X459&gt;=5,"A+",IF('Data Source'!X459&gt;=4,"A",IF('Data Source'!X459&gt;=3.5,"A-",IF('Data Source'!X459&gt;=3,"B",IF('Data Source'!X459&gt;=2,"C",IF('Data Source'!X459&gt;=1,"D","F")))))),"")</f>
        <v/>
      </c>
      <c r="G459" s="3">
        <f>IF(AND('Data Source'!B459&lt;&gt;"",'Data Source'!S459="F"),IF('Data Source'!Y459&gt;=5,"A+",IF('Data Source'!Y459&gt;=4,"A",IF('Data Source'!Y459&gt;=3.5,"A-",IF('Data Source'!Y459&gt;=3,"B",IF('Data Source'!Y459&gt;=2,"C",IF('Data Source'!Y459&gt;=1,"D","F")))))),"")</f>
        <v/>
      </c>
      <c r="H459" s="3">
        <f>IF(AND('Data Source'!B459&lt;&gt;"",'Data Source'!S459="F"),IF('Data Source'!Z459&gt;=5,"A+",IF('Data Source'!Z459&gt;=4,"A",IF('Data Source'!Z459&gt;=3.5,"A-",IF('Data Source'!Z459&gt;=3,"B",IF('Data Source'!Z459&gt;=2,"C",IF('Data Source'!Z459&gt;=1,"D","F")))))),"")</f>
        <v/>
      </c>
      <c r="I459" s="3">
        <f>IF(AND('Data Source'!B459&lt;&gt;"",'Data Source'!S459="F"),IF('Data Source'!AA459&gt;=5,"A+",IF('Data Source'!AA459&gt;=4,"A",IF('Data Source'!AA459&gt;=3.5,"A-",IF('Data Source'!AA459&gt;=3,"B",IF('Data Source'!AA459&gt;=2,"C",IF('Data Source'!AA459&gt;=1,"D","F")))))),"")</f>
        <v/>
      </c>
      <c r="J459" s="3">
        <f>IF(AND('Data Source'!B459&lt;&gt;"",'Data Source'!S459="F"),IF('Data Source'!AB459&gt;=5,"A+",IF('Data Source'!AB459&gt;=4,"A",IF('Data Source'!AB459&gt;=3.5,"A-",IF('Data Source'!AB459&gt;=3,"B",IF('Data Source'!AB459&gt;=2,"C",IF('Data Source'!AB459&gt;=1,"D","F")))))),"")</f>
        <v/>
      </c>
      <c r="K459" s="3">
        <f>IF(AND('Data Source'!B459&lt;&gt;"",'Data Source'!S459="F"),IF('Data Source'!AC459&gt;=5,"A+",IF('Data Source'!AC459&gt;=4,"A",IF('Data Source'!AC459&gt;=3.5,"A-",IF('Data Source'!AC459&gt;=3,"B",IF('Data Source'!AC459&gt;=2,"C",IF('Data Source'!AC459&gt;=1,"D","F")))))),"")</f>
        <v/>
      </c>
      <c r="L459" s="3">
        <f>IF(AND('Data Source'!B459&lt;&gt;"",'Data Source'!S459="F"),IF('Data Source'!AD459&gt;=5,"A+",IF('Data Source'!AD459&gt;=4,"A",IF('Data Source'!AD459&gt;=3.5,"A-",IF('Data Source'!AD459&gt;=3,"B",IF('Data Source'!AD459&gt;=2,"C",IF('Data Source'!AD459&gt;=1,"D","F")))))),"")</f>
        <v/>
      </c>
      <c r="M459" s="3">
        <f>IF(AND('Data Source'!B459&lt;&gt;"",'Data Source'!S459="F"),IF('Data Source'!AE459&gt;=5,"A+",IF('Data Source'!AE459&gt;=4,"A",IF('Data Source'!AE459&gt;=3.5,"A-",IF('Data Source'!AE459&gt;=3,"B",IF('Data Source'!AE459&gt;=2,"C",IF('Data Source'!AE459&gt;=1,"D","F")))))),"")</f>
        <v/>
      </c>
      <c r="N459" s="3">
        <f>IF(AND('Data Source'!B459&lt;&gt;"",'Data Source'!S459="F"),IF('Data Source'!AF459&gt;=5,"A+",IF('Data Source'!AF459&gt;=4,"A",IF('Data Source'!AF459&gt;=3.5,"A-",IF('Data Source'!AF459&gt;=3,"B",IF('Data Source'!AF459&gt;=2,"C",IF('Data Source'!AF459&gt;=1,"D","F")))))),"")</f>
        <v/>
      </c>
      <c r="O459" s="3">
        <f>IF(AND('Data Source'!B459&lt;&gt;"",'Data Source'!S459="F"),IF('Data Source'!AG459&gt;=5,"A+",IF('Data Source'!AG459&gt;=4,"A",IF('Data Source'!AG459&gt;=3.5,"A-",IF('Data Source'!AG459&gt;=3,"B",IF('Data Source'!AG459&gt;=2,"C",IF('Data Source'!AG459&gt;=1,"D","F")))))),"")</f>
        <v/>
      </c>
      <c r="P459" s="5">
        <f>IF(AND('Data Source'!B459&lt;&gt;"",'Data Source'!S459="F"),'Data Source'!R459,"")</f>
        <v/>
      </c>
      <c r="Q459" s="3">
        <f>IF(AND('Data Source'!B459&lt;&gt;"",'Data Source'!S459="F"),'Data Source'!S459,"")</f>
        <v/>
      </c>
    </row>
    <row r="460">
      <c r="A460" s="3">
        <f>IF(AND('Data Source'!B460&lt;&gt;"",'Data Source'!S460="F"),COUNTIF('Data Source'!$S$3:S460,"F"),"")</f>
        <v/>
      </c>
      <c r="B460">
        <f>IF(AND('Data Source'!B460&lt;&gt;"",'Data Source'!S460="F"),'Data Source'!B460,"")</f>
        <v/>
      </c>
      <c r="C460" s="3">
        <f>IF(AND('Data Source'!B460&lt;&gt;"",'Data Source'!S460="F"),IF('Data Source'!U460&gt;=5,"A+",IF('Data Source'!U460&gt;=4,"A",IF('Data Source'!U460&gt;=3.5,"A-",IF('Data Source'!U460&gt;=3,"B",IF('Data Source'!U460&gt;=2,"C",IF('Data Source'!U460&gt;=1,"D","F")))))),"")</f>
        <v/>
      </c>
      <c r="D460" s="3">
        <f>IF(AND('Data Source'!B460&lt;&gt;"",'Data Source'!S460="F"),IF('Data Source'!V460&gt;=5,"A+",IF('Data Source'!V460&gt;=4,"A",IF('Data Source'!V460&gt;=3.5,"A-",IF('Data Source'!V460&gt;=3,"B",IF('Data Source'!V460&gt;=2,"C",IF('Data Source'!V460&gt;=1,"D","F")))))),"")</f>
        <v/>
      </c>
      <c r="E460" s="3">
        <f>IF(AND('Data Source'!B460&lt;&gt;"",'Data Source'!S460="F"),IF('Data Source'!W460&gt;=5,"A+",IF('Data Source'!W460&gt;=4,"A",IF('Data Source'!W460&gt;=3.5,"A-",IF('Data Source'!W460&gt;=3,"B",IF('Data Source'!W460&gt;=2,"C",IF('Data Source'!W460&gt;=1,"D","F")))))),"")</f>
        <v/>
      </c>
      <c r="F460" s="3">
        <f>IF(AND('Data Source'!B460&lt;&gt;"",'Data Source'!S460="F"),IF('Data Source'!X460&gt;=5,"A+",IF('Data Source'!X460&gt;=4,"A",IF('Data Source'!X460&gt;=3.5,"A-",IF('Data Source'!X460&gt;=3,"B",IF('Data Source'!X460&gt;=2,"C",IF('Data Source'!X460&gt;=1,"D","F")))))),"")</f>
        <v/>
      </c>
      <c r="G460" s="3">
        <f>IF(AND('Data Source'!B460&lt;&gt;"",'Data Source'!S460="F"),IF('Data Source'!Y460&gt;=5,"A+",IF('Data Source'!Y460&gt;=4,"A",IF('Data Source'!Y460&gt;=3.5,"A-",IF('Data Source'!Y460&gt;=3,"B",IF('Data Source'!Y460&gt;=2,"C",IF('Data Source'!Y460&gt;=1,"D","F")))))),"")</f>
        <v/>
      </c>
      <c r="H460" s="3">
        <f>IF(AND('Data Source'!B460&lt;&gt;"",'Data Source'!S460="F"),IF('Data Source'!Z460&gt;=5,"A+",IF('Data Source'!Z460&gt;=4,"A",IF('Data Source'!Z460&gt;=3.5,"A-",IF('Data Source'!Z460&gt;=3,"B",IF('Data Source'!Z460&gt;=2,"C",IF('Data Source'!Z460&gt;=1,"D","F")))))),"")</f>
        <v/>
      </c>
      <c r="I460" s="3">
        <f>IF(AND('Data Source'!B460&lt;&gt;"",'Data Source'!S460="F"),IF('Data Source'!AA460&gt;=5,"A+",IF('Data Source'!AA460&gt;=4,"A",IF('Data Source'!AA460&gt;=3.5,"A-",IF('Data Source'!AA460&gt;=3,"B",IF('Data Source'!AA460&gt;=2,"C",IF('Data Source'!AA460&gt;=1,"D","F")))))),"")</f>
        <v/>
      </c>
      <c r="J460" s="3">
        <f>IF(AND('Data Source'!B460&lt;&gt;"",'Data Source'!S460="F"),IF('Data Source'!AB460&gt;=5,"A+",IF('Data Source'!AB460&gt;=4,"A",IF('Data Source'!AB460&gt;=3.5,"A-",IF('Data Source'!AB460&gt;=3,"B",IF('Data Source'!AB460&gt;=2,"C",IF('Data Source'!AB460&gt;=1,"D","F")))))),"")</f>
        <v/>
      </c>
      <c r="K460" s="3">
        <f>IF(AND('Data Source'!B460&lt;&gt;"",'Data Source'!S460="F"),IF('Data Source'!AC460&gt;=5,"A+",IF('Data Source'!AC460&gt;=4,"A",IF('Data Source'!AC460&gt;=3.5,"A-",IF('Data Source'!AC460&gt;=3,"B",IF('Data Source'!AC460&gt;=2,"C",IF('Data Source'!AC460&gt;=1,"D","F")))))),"")</f>
        <v/>
      </c>
      <c r="L460" s="3">
        <f>IF(AND('Data Source'!B460&lt;&gt;"",'Data Source'!S460="F"),IF('Data Source'!AD460&gt;=5,"A+",IF('Data Source'!AD460&gt;=4,"A",IF('Data Source'!AD460&gt;=3.5,"A-",IF('Data Source'!AD460&gt;=3,"B",IF('Data Source'!AD460&gt;=2,"C",IF('Data Source'!AD460&gt;=1,"D","F")))))),"")</f>
        <v/>
      </c>
      <c r="M460" s="3">
        <f>IF(AND('Data Source'!B460&lt;&gt;"",'Data Source'!S460="F"),IF('Data Source'!AE460&gt;=5,"A+",IF('Data Source'!AE460&gt;=4,"A",IF('Data Source'!AE460&gt;=3.5,"A-",IF('Data Source'!AE460&gt;=3,"B",IF('Data Source'!AE460&gt;=2,"C",IF('Data Source'!AE460&gt;=1,"D","F")))))),"")</f>
        <v/>
      </c>
      <c r="N460" s="3">
        <f>IF(AND('Data Source'!B460&lt;&gt;"",'Data Source'!S460="F"),IF('Data Source'!AF460&gt;=5,"A+",IF('Data Source'!AF460&gt;=4,"A",IF('Data Source'!AF460&gt;=3.5,"A-",IF('Data Source'!AF460&gt;=3,"B",IF('Data Source'!AF460&gt;=2,"C",IF('Data Source'!AF460&gt;=1,"D","F")))))),"")</f>
        <v/>
      </c>
      <c r="O460" s="3">
        <f>IF(AND('Data Source'!B460&lt;&gt;"",'Data Source'!S460="F"),IF('Data Source'!AG460&gt;=5,"A+",IF('Data Source'!AG460&gt;=4,"A",IF('Data Source'!AG460&gt;=3.5,"A-",IF('Data Source'!AG460&gt;=3,"B",IF('Data Source'!AG460&gt;=2,"C",IF('Data Source'!AG460&gt;=1,"D","F")))))),"")</f>
        <v/>
      </c>
      <c r="P460" s="5">
        <f>IF(AND('Data Source'!B460&lt;&gt;"",'Data Source'!S460="F"),'Data Source'!R460,"")</f>
        <v/>
      </c>
      <c r="Q460" s="3">
        <f>IF(AND('Data Source'!B460&lt;&gt;"",'Data Source'!S460="F"),'Data Source'!S460,"")</f>
        <v/>
      </c>
    </row>
    <row r="461">
      <c r="A461" s="3">
        <f>IF(AND('Data Source'!B461&lt;&gt;"",'Data Source'!S461="F"),COUNTIF('Data Source'!$S$3:S461,"F"),"")</f>
        <v/>
      </c>
      <c r="B461">
        <f>IF(AND('Data Source'!B461&lt;&gt;"",'Data Source'!S461="F"),'Data Source'!B461,"")</f>
        <v/>
      </c>
      <c r="C461" s="3">
        <f>IF(AND('Data Source'!B461&lt;&gt;"",'Data Source'!S461="F"),IF('Data Source'!U461&gt;=5,"A+",IF('Data Source'!U461&gt;=4,"A",IF('Data Source'!U461&gt;=3.5,"A-",IF('Data Source'!U461&gt;=3,"B",IF('Data Source'!U461&gt;=2,"C",IF('Data Source'!U461&gt;=1,"D","F")))))),"")</f>
        <v/>
      </c>
      <c r="D461" s="3">
        <f>IF(AND('Data Source'!B461&lt;&gt;"",'Data Source'!S461="F"),IF('Data Source'!V461&gt;=5,"A+",IF('Data Source'!V461&gt;=4,"A",IF('Data Source'!V461&gt;=3.5,"A-",IF('Data Source'!V461&gt;=3,"B",IF('Data Source'!V461&gt;=2,"C",IF('Data Source'!V461&gt;=1,"D","F")))))),"")</f>
        <v/>
      </c>
      <c r="E461" s="3">
        <f>IF(AND('Data Source'!B461&lt;&gt;"",'Data Source'!S461="F"),IF('Data Source'!W461&gt;=5,"A+",IF('Data Source'!W461&gt;=4,"A",IF('Data Source'!W461&gt;=3.5,"A-",IF('Data Source'!W461&gt;=3,"B",IF('Data Source'!W461&gt;=2,"C",IF('Data Source'!W461&gt;=1,"D","F")))))),"")</f>
        <v/>
      </c>
      <c r="F461" s="3">
        <f>IF(AND('Data Source'!B461&lt;&gt;"",'Data Source'!S461="F"),IF('Data Source'!X461&gt;=5,"A+",IF('Data Source'!X461&gt;=4,"A",IF('Data Source'!X461&gt;=3.5,"A-",IF('Data Source'!X461&gt;=3,"B",IF('Data Source'!X461&gt;=2,"C",IF('Data Source'!X461&gt;=1,"D","F")))))),"")</f>
        <v/>
      </c>
      <c r="G461" s="3">
        <f>IF(AND('Data Source'!B461&lt;&gt;"",'Data Source'!S461="F"),IF('Data Source'!Y461&gt;=5,"A+",IF('Data Source'!Y461&gt;=4,"A",IF('Data Source'!Y461&gt;=3.5,"A-",IF('Data Source'!Y461&gt;=3,"B",IF('Data Source'!Y461&gt;=2,"C",IF('Data Source'!Y461&gt;=1,"D","F")))))),"")</f>
        <v/>
      </c>
      <c r="H461" s="3">
        <f>IF(AND('Data Source'!B461&lt;&gt;"",'Data Source'!S461="F"),IF('Data Source'!Z461&gt;=5,"A+",IF('Data Source'!Z461&gt;=4,"A",IF('Data Source'!Z461&gt;=3.5,"A-",IF('Data Source'!Z461&gt;=3,"B",IF('Data Source'!Z461&gt;=2,"C",IF('Data Source'!Z461&gt;=1,"D","F")))))),"")</f>
        <v/>
      </c>
      <c r="I461" s="3">
        <f>IF(AND('Data Source'!B461&lt;&gt;"",'Data Source'!S461="F"),IF('Data Source'!AA461&gt;=5,"A+",IF('Data Source'!AA461&gt;=4,"A",IF('Data Source'!AA461&gt;=3.5,"A-",IF('Data Source'!AA461&gt;=3,"B",IF('Data Source'!AA461&gt;=2,"C",IF('Data Source'!AA461&gt;=1,"D","F")))))),"")</f>
        <v/>
      </c>
      <c r="J461" s="3">
        <f>IF(AND('Data Source'!B461&lt;&gt;"",'Data Source'!S461="F"),IF('Data Source'!AB461&gt;=5,"A+",IF('Data Source'!AB461&gt;=4,"A",IF('Data Source'!AB461&gt;=3.5,"A-",IF('Data Source'!AB461&gt;=3,"B",IF('Data Source'!AB461&gt;=2,"C",IF('Data Source'!AB461&gt;=1,"D","F")))))),"")</f>
        <v/>
      </c>
      <c r="K461" s="3">
        <f>IF(AND('Data Source'!B461&lt;&gt;"",'Data Source'!S461="F"),IF('Data Source'!AC461&gt;=5,"A+",IF('Data Source'!AC461&gt;=4,"A",IF('Data Source'!AC461&gt;=3.5,"A-",IF('Data Source'!AC461&gt;=3,"B",IF('Data Source'!AC461&gt;=2,"C",IF('Data Source'!AC461&gt;=1,"D","F")))))),"")</f>
        <v/>
      </c>
      <c r="L461" s="3">
        <f>IF(AND('Data Source'!B461&lt;&gt;"",'Data Source'!S461="F"),IF('Data Source'!AD461&gt;=5,"A+",IF('Data Source'!AD461&gt;=4,"A",IF('Data Source'!AD461&gt;=3.5,"A-",IF('Data Source'!AD461&gt;=3,"B",IF('Data Source'!AD461&gt;=2,"C",IF('Data Source'!AD461&gt;=1,"D","F")))))),"")</f>
        <v/>
      </c>
      <c r="M461" s="3">
        <f>IF(AND('Data Source'!B461&lt;&gt;"",'Data Source'!S461="F"),IF('Data Source'!AE461&gt;=5,"A+",IF('Data Source'!AE461&gt;=4,"A",IF('Data Source'!AE461&gt;=3.5,"A-",IF('Data Source'!AE461&gt;=3,"B",IF('Data Source'!AE461&gt;=2,"C",IF('Data Source'!AE461&gt;=1,"D","F")))))),"")</f>
        <v/>
      </c>
      <c r="N461" s="3">
        <f>IF(AND('Data Source'!B461&lt;&gt;"",'Data Source'!S461="F"),IF('Data Source'!AF461&gt;=5,"A+",IF('Data Source'!AF461&gt;=4,"A",IF('Data Source'!AF461&gt;=3.5,"A-",IF('Data Source'!AF461&gt;=3,"B",IF('Data Source'!AF461&gt;=2,"C",IF('Data Source'!AF461&gt;=1,"D","F")))))),"")</f>
        <v/>
      </c>
      <c r="O461" s="3">
        <f>IF(AND('Data Source'!B461&lt;&gt;"",'Data Source'!S461="F"),IF('Data Source'!AG461&gt;=5,"A+",IF('Data Source'!AG461&gt;=4,"A",IF('Data Source'!AG461&gt;=3.5,"A-",IF('Data Source'!AG461&gt;=3,"B",IF('Data Source'!AG461&gt;=2,"C",IF('Data Source'!AG461&gt;=1,"D","F")))))),"")</f>
        <v/>
      </c>
      <c r="P461" s="5">
        <f>IF(AND('Data Source'!B461&lt;&gt;"",'Data Source'!S461="F"),'Data Source'!R461,"")</f>
        <v/>
      </c>
      <c r="Q461" s="3">
        <f>IF(AND('Data Source'!B461&lt;&gt;"",'Data Source'!S461="F"),'Data Source'!S461,"")</f>
        <v/>
      </c>
    </row>
    <row r="462">
      <c r="A462" s="3">
        <f>IF(AND('Data Source'!B462&lt;&gt;"",'Data Source'!S462="F"),COUNTIF('Data Source'!$S$3:S462,"F"),"")</f>
        <v/>
      </c>
      <c r="B462">
        <f>IF(AND('Data Source'!B462&lt;&gt;"",'Data Source'!S462="F"),'Data Source'!B462,"")</f>
        <v/>
      </c>
      <c r="C462" s="3">
        <f>IF(AND('Data Source'!B462&lt;&gt;"",'Data Source'!S462="F"),IF('Data Source'!U462&gt;=5,"A+",IF('Data Source'!U462&gt;=4,"A",IF('Data Source'!U462&gt;=3.5,"A-",IF('Data Source'!U462&gt;=3,"B",IF('Data Source'!U462&gt;=2,"C",IF('Data Source'!U462&gt;=1,"D","F")))))),"")</f>
        <v/>
      </c>
      <c r="D462" s="3">
        <f>IF(AND('Data Source'!B462&lt;&gt;"",'Data Source'!S462="F"),IF('Data Source'!V462&gt;=5,"A+",IF('Data Source'!V462&gt;=4,"A",IF('Data Source'!V462&gt;=3.5,"A-",IF('Data Source'!V462&gt;=3,"B",IF('Data Source'!V462&gt;=2,"C",IF('Data Source'!V462&gt;=1,"D","F")))))),"")</f>
        <v/>
      </c>
      <c r="E462" s="3">
        <f>IF(AND('Data Source'!B462&lt;&gt;"",'Data Source'!S462="F"),IF('Data Source'!W462&gt;=5,"A+",IF('Data Source'!W462&gt;=4,"A",IF('Data Source'!W462&gt;=3.5,"A-",IF('Data Source'!W462&gt;=3,"B",IF('Data Source'!W462&gt;=2,"C",IF('Data Source'!W462&gt;=1,"D","F")))))),"")</f>
        <v/>
      </c>
      <c r="F462" s="3">
        <f>IF(AND('Data Source'!B462&lt;&gt;"",'Data Source'!S462="F"),IF('Data Source'!X462&gt;=5,"A+",IF('Data Source'!X462&gt;=4,"A",IF('Data Source'!X462&gt;=3.5,"A-",IF('Data Source'!X462&gt;=3,"B",IF('Data Source'!X462&gt;=2,"C",IF('Data Source'!X462&gt;=1,"D","F")))))),"")</f>
        <v/>
      </c>
      <c r="G462" s="3">
        <f>IF(AND('Data Source'!B462&lt;&gt;"",'Data Source'!S462="F"),IF('Data Source'!Y462&gt;=5,"A+",IF('Data Source'!Y462&gt;=4,"A",IF('Data Source'!Y462&gt;=3.5,"A-",IF('Data Source'!Y462&gt;=3,"B",IF('Data Source'!Y462&gt;=2,"C",IF('Data Source'!Y462&gt;=1,"D","F")))))),"")</f>
        <v/>
      </c>
      <c r="H462" s="3">
        <f>IF(AND('Data Source'!B462&lt;&gt;"",'Data Source'!S462="F"),IF('Data Source'!Z462&gt;=5,"A+",IF('Data Source'!Z462&gt;=4,"A",IF('Data Source'!Z462&gt;=3.5,"A-",IF('Data Source'!Z462&gt;=3,"B",IF('Data Source'!Z462&gt;=2,"C",IF('Data Source'!Z462&gt;=1,"D","F")))))),"")</f>
        <v/>
      </c>
      <c r="I462" s="3">
        <f>IF(AND('Data Source'!B462&lt;&gt;"",'Data Source'!S462="F"),IF('Data Source'!AA462&gt;=5,"A+",IF('Data Source'!AA462&gt;=4,"A",IF('Data Source'!AA462&gt;=3.5,"A-",IF('Data Source'!AA462&gt;=3,"B",IF('Data Source'!AA462&gt;=2,"C",IF('Data Source'!AA462&gt;=1,"D","F")))))),"")</f>
        <v/>
      </c>
      <c r="J462" s="3">
        <f>IF(AND('Data Source'!B462&lt;&gt;"",'Data Source'!S462="F"),IF('Data Source'!AB462&gt;=5,"A+",IF('Data Source'!AB462&gt;=4,"A",IF('Data Source'!AB462&gt;=3.5,"A-",IF('Data Source'!AB462&gt;=3,"B",IF('Data Source'!AB462&gt;=2,"C",IF('Data Source'!AB462&gt;=1,"D","F")))))),"")</f>
        <v/>
      </c>
      <c r="K462" s="3">
        <f>IF(AND('Data Source'!B462&lt;&gt;"",'Data Source'!S462="F"),IF('Data Source'!AC462&gt;=5,"A+",IF('Data Source'!AC462&gt;=4,"A",IF('Data Source'!AC462&gt;=3.5,"A-",IF('Data Source'!AC462&gt;=3,"B",IF('Data Source'!AC462&gt;=2,"C",IF('Data Source'!AC462&gt;=1,"D","F")))))),"")</f>
        <v/>
      </c>
      <c r="L462" s="3">
        <f>IF(AND('Data Source'!B462&lt;&gt;"",'Data Source'!S462="F"),IF('Data Source'!AD462&gt;=5,"A+",IF('Data Source'!AD462&gt;=4,"A",IF('Data Source'!AD462&gt;=3.5,"A-",IF('Data Source'!AD462&gt;=3,"B",IF('Data Source'!AD462&gt;=2,"C",IF('Data Source'!AD462&gt;=1,"D","F")))))),"")</f>
        <v/>
      </c>
      <c r="M462" s="3">
        <f>IF(AND('Data Source'!B462&lt;&gt;"",'Data Source'!S462="F"),IF('Data Source'!AE462&gt;=5,"A+",IF('Data Source'!AE462&gt;=4,"A",IF('Data Source'!AE462&gt;=3.5,"A-",IF('Data Source'!AE462&gt;=3,"B",IF('Data Source'!AE462&gt;=2,"C",IF('Data Source'!AE462&gt;=1,"D","F")))))),"")</f>
        <v/>
      </c>
      <c r="N462" s="3">
        <f>IF(AND('Data Source'!B462&lt;&gt;"",'Data Source'!S462="F"),IF('Data Source'!AF462&gt;=5,"A+",IF('Data Source'!AF462&gt;=4,"A",IF('Data Source'!AF462&gt;=3.5,"A-",IF('Data Source'!AF462&gt;=3,"B",IF('Data Source'!AF462&gt;=2,"C",IF('Data Source'!AF462&gt;=1,"D","F")))))),"")</f>
        <v/>
      </c>
      <c r="O462" s="3">
        <f>IF(AND('Data Source'!B462&lt;&gt;"",'Data Source'!S462="F"),IF('Data Source'!AG462&gt;=5,"A+",IF('Data Source'!AG462&gt;=4,"A",IF('Data Source'!AG462&gt;=3.5,"A-",IF('Data Source'!AG462&gt;=3,"B",IF('Data Source'!AG462&gt;=2,"C",IF('Data Source'!AG462&gt;=1,"D","F")))))),"")</f>
        <v/>
      </c>
      <c r="P462" s="5">
        <f>IF(AND('Data Source'!B462&lt;&gt;"",'Data Source'!S462="F"),'Data Source'!R462,"")</f>
        <v/>
      </c>
      <c r="Q462" s="3">
        <f>IF(AND('Data Source'!B462&lt;&gt;"",'Data Source'!S462="F"),'Data Source'!S462,"")</f>
        <v/>
      </c>
    </row>
    <row r="463">
      <c r="A463" s="3">
        <f>IF(AND('Data Source'!B463&lt;&gt;"",'Data Source'!S463="F"),COUNTIF('Data Source'!$S$3:S463,"F"),"")</f>
        <v/>
      </c>
      <c r="B463">
        <f>IF(AND('Data Source'!B463&lt;&gt;"",'Data Source'!S463="F"),'Data Source'!B463,"")</f>
        <v/>
      </c>
      <c r="C463" s="3">
        <f>IF(AND('Data Source'!B463&lt;&gt;"",'Data Source'!S463="F"),IF('Data Source'!U463&gt;=5,"A+",IF('Data Source'!U463&gt;=4,"A",IF('Data Source'!U463&gt;=3.5,"A-",IF('Data Source'!U463&gt;=3,"B",IF('Data Source'!U463&gt;=2,"C",IF('Data Source'!U463&gt;=1,"D","F")))))),"")</f>
        <v/>
      </c>
      <c r="D463" s="3">
        <f>IF(AND('Data Source'!B463&lt;&gt;"",'Data Source'!S463="F"),IF('Data Source'!V463&gt;=5,"A+",IF('Data Source'!V463&gt;=4,"A",IF('Data Source'!V463&gt;=3.5,"A-",IF('Data Source'!V463&gt;=3,"B",IF('Data Source'!V463&gt;=2,"C",IF('Data Source'!V463&gt;=1,"D","F")))))),"")</f>
        <v/>
      </c>
      <c r="E463" s="3">
        <f>IF(AND('Data Source'!B463&lt;&gt;"",'Data Source'!S463="F"),IF('Data Source'!W463&gt;=5,"A+",IF('Data Source'!W463&gt;=4,"A",IF('Data Source'!W463&gt;=3.5,"A-",IF('Data Source'!W463&gt;=3,"B",IF('Data Source'!W463&gt;=2,"C",IF('Data Source'!W463&gt;=1,"D","F")))))),"")</f>
        <v/>
      </c>
      <c r="F463" s="3">
        <f>IF(AND('Data Source'!B463&lt;&gt;"",'Data Source'!S463="F"),IF('Data Source'!X463&gt;=5,"A+",IF('Data Source'!X463&gt;=4,"A",IF('Data Source'!X463&gt;=3.5,"A-",IF('Data Source'!X463&gt;=3,"B",IF('Data Source'!X463&gt;=2,"C",IF('Data Source'!X463&gt;=1,"D","F")))))),"")</f>
        <v/>
      </c>
      <c r="G463" s="3">
        <f>IF(AND('Data Source'!B463&lt;&gt;"",'Data Source'!S463="F"),IF('Data Source'!Y463&gt;=5,"A+",IF('Data Source'!Y463&gt;=4,"A",IF('Data Source'!Y463&gt;=3.5,"A-",IF('Data Source'!Y463&gt;=3,"B",IF('Data Source'!Y463&gt;=2,"C",IF('Data Source'!Y463&gt;=1,"D","F")))))),"")</f>
        <v/>
      </c>
      <c r="H463" s="3">
        <f>IF(AND('Data Source'!B463&lt;&gt;"",'Data Source'!S463="F"),IF('Data Source'!Z463&gt;=5,"A+",IF('Data Source'!Z463&gt;=4,"A",IF('Data Source'!Z463&gt;=3.5,"A-",IF('Data Source'!Z463&gt;=3,"B",IF('Data Source'!Z463&gt;=2,"C",IF('Data Source'!Z463&gt;=1,"D","F")))))),"")</f>
        <v/>
      </c>
      <c r="I463" s="3">
        <f>IF(AND('Data Source'!B463&lt;&gt;"",'Data Source'!S463="F"),IF('Data Source'!AA463&gt;=5,"A+",IF('Data Source'!AA463&gt;=4,"A",IF('Data Source'!AA463&gt;=3.5,"A-",IF('Data Source'!AA463&gt;=3,"B",IF('Data Source'!AA463&gt;=2,"C",IF('Data Source'!AA463&gt;=1,"D","F")))))),"")</f>
        <v/>
      </c>
      <c r="J463" s="3">
        <f>IF(AND('Data Source'!B463&lt;&gt;"",'Data Source'!S463="F"),IF('Data Source'!AB463&gt;=5,"A+",IF('Data Source'!AB463&gt;=4,"A",IF('Data Source'!AB463&gt;=3.5,"A-",IF('Data Source'!AB463&gt;=3,"B",IF('Data Source'!AB463&gt;=2,"C",IF('Data Source'!AB463&gt;=1,"D","F")))))),"")</f>
        <v/>
      </c>
      <c r="K463" s="3">
        <f>IF(AND('Data Source'!B463&lt;&gt;"",'Data Source'!S463="F"),IF('Data Source'!AC463&gt;=5,"A+",IF('Data Source'!AC463&gt;=4,"A",IF('Data Source'!AC463&gt;=3.5,"A-",IF('Data Source'!AC463&gt;=3,"B",IF('Data Source'!AC463&gt;=2,"C",IF('Data Source'!AC463&gt;=1,"D","F")))))),"")</f>
        <v/>
      </c>
      <c r="L463" s="3">
        <f>IF(AND('Data Source'!B463&lt;&gt;"",'Data Source'!S463="F"),IF('Data Source'!AD463&gt;=5,"A+",IF('Data Source'!AD463&gt;=4,"A",IF('Data Source'!AD463&gt;=3.5,"A-",IF('Data Source'!AD463&gt;=3,"B",IF('Data Source'!AD463&gt;=2,"C",IF('Data Source'!AD463&gt;=1,"D","F")))))),"")</f>
        <v/>
      </c>
      <c r="M463" s="3">
        <f>IF(AND('Data Source'!B463&lt;&gt;"",'Data Source'!S463="F"),IF('Data Source'!AE463&gt;=5,"A+",IF('Data Source'!AE463&gt;=4,"A",IF('Data Source'!AE463&gt;=3.5,"A-",IF('Data Source'!AE463&gt;=3,"B",IF('Data Source'!AE463&gt;=2,"C",IF('Data Source'!AE463&gt;=1,"D","F")))))),"")</f>
        <v/>
      </c>
      <c r="N463" s="3">
        <f>IF(AND('Data Source'!B463&lt;&gt;"",'Data Source'!S463="F"),IF('Data Source'!AF463&gt;=5,"A+",IF('Data Source'!AF463&gt;=4,"A",IF('Data Source'!AF463&gt;=3.5,"A-",IF('Data Source'!AF463&gt;=3,"B",IF('Data Source'!AF463&gt;=2,"C",IF('Data Source'!AF463&gt;=1,"D","F")))))),"")</f>
        <v/>
      </c>
      <c r="O463" s="3">
        <f>IF(AND('Data Source'!B463&lt;&gt;"",'Data Source'!S463="F"),IF('Data Source'!AG463&gt;=5,"A+",IF('Data Source'!AG463&gt;=4,"A",IF('Data Source'!AG463&gt;=3.5,"A-",IF('Data Source'!AG463&gt;=3,"B",IF('Data Source'!AG463&gt;=2,"C",IF('Data Source'!AG463&gt;=1,"D","F")))))),"")</f>
        <v/>
      </c>
      <c r="P463" s="5">
        <f>IF(AND('Data Source'!B463&lt;&gt;"",'Data Source'!S463="F"),'Data Source'!R463,"")</f>
        <v/>
      </c>
      <c r="Q463" s="3">
        <f>IF(AND('Data Source'!B463&lt;&gt;"",'Data Source'!S463="F"),'Data Source'!S463,"")</f>
        <v/>
      </c>
    </row>
    <row r="464">
      <c r="A464" s="3">
        <f>IF(AND('Data Source'!B464&lt;&gt;"",'Data Source'!S464="F"),COUNTIF('Data Source'!$S$3:S464,"F"),"")</f>
        <v/>
      </c>
      <c r="B464">
        <f>IF(AND('Data Source'!B464&lt;&gt;"",'Data Source'!S464="F"),'Data Source'!B464,"")</f>
        <v/>
      </c>
      <c r="C464" s="3">
        <f>IF(AND('Data Source'!B464&lt;&gt;"",'Data Source'!S464="F"),IF('Data Source'!U464&gt;=5,"A+",IF('Data Source'!U464&gt;=4,"A",IF('Data Source'!U464&gt;=3.5,"A-",IF('Data Source'!U464&gt;=3,"B",IF('Data Source'!U464&gt;=2,"C",IF('Data Source'!U464&gt;=1,"D","F")))))),"")</f>
        <v/>
      </c>
      <c r="D464" s="3">
        <f>IF(AND('Data Source'!B464&lt;&gt;"",'Data Source'!S464="F"),IF('Data Source'!V464&gt;=5,"A+",IF('Data Source'!V464&gt;=4,"A",IF('Data Source'!V464&gt;=3.5,"A-",IF('Data Source'!V464&gt;=3,"B",IF('Data Source'!V464&gt;=2,"C",IF('Data Source'!V464&gt;=1,"D","F")))))),"")</f>
        <v/>
      </c>
      <c r="E464" s="3">
        <f>IF(AND('Data Source'!B464&lt;&gt;"",'Data Source'!S464="F"),IF('Data Source'!W464&gt;=5,"A+",IF('Data Source'!W464&gt;=4,"A",IF('Data Source'!W464&gt;=3.5,"A-",IF('Data Source'!W464&gt;=3,"B",IF('Data Source'!W464&gt;=2,"C",IF('Data Source'!W464&gt;=1,"D","F")))))),"")</f>
        <v/>
      </c>
      <c r="F464" s="3">
        <f>IF(AND('Data Source'!B464&lt;&gt;"",'Data Source'!S464="F"),IF('Data Source'!X464&gt;=5,"A+",IF('Data Source'!X464&gt;=4,"A",IF('Data Source'!X464&gt;=3.5,"A-",IF('Data Source'!X464&gt;=3,"B",IF('Data Source'!X464&gt;=2,"C",IF('Data Source'!X464&gt;=1,"D","F")))))),"")</f>
        <v/>
      </c>
      <c r="G464" s="3">
        <f>IF(AND('Data Source'!B464&lt;&gt;"",'Data Source'!S464="F"),IF('Data Source'!Y464&gt;=5,"A+",IF('Data Source'!Y464&gt;=4,"A",IF('Data Source'!Y464&gt;=3.5,"A-",IF('Data Source'!Y464&gt;=3,"B",IF('Data Source'!Y464&gt;=2,"C",IF('Data Source'!Y464&gt;=1,"D","F")))))),"")</f>
        <v/>
      </c>
      <c r="H464" s="3">
        <f>IF(AND('Data Source'!B464&lt;&gt;"",'Data Source'!S464="F"),IF('Data Source'!Z464&gt;=5,"A+",IF('Data Source'!Z464&gt;=4,"A",IF('Data Source'!Z464&gt;=3.5,"A-",IF('Data Source'!Z464&gt;=3,"B",IF('Data Source'!Z464&gt;=2,"C",IF('Data Source'!Z464&gt;=1,"D","F")))))),"")</f>
        <v/>
      </c>
      <c r="I464" s="3">
        <f>IF(AND('Data Source'!B464&lt;&gt;"",'Data Source'!S464="F"),IF('Data Source'!AA464&gt;=5,"A+",IF('Data Source'!AA464&gt;=4,"A",IF('Data Source'!AA464&gt;=3.5,"A-",IF('Data Source'!AA464&gt;=3,"B",IF('Data Source'!AA464&gt;=2,"C",IF('Data Source'!AA464&gt;=1,"D","F")))))),"")</f>
        <v/>
      </c>
      <c r="J464" s="3">
        <f>IF(AND('Data Source'!B464&lt;&gt;"",'Data Source'!S464="F"),IF('Data Source'!AB464&gt;=5,"A+",IF('Data Source'!AB464&gt;=4,"A",IF('Data Source'!AB464&gt;=3.5,"A-",IF('Data Source'!AB464&gt;=3,"B",IF('Data Source'!AB464&gt;=2,"C",IF('Data Source'!AB464&gt;=1,"D","F")))))),"")</f>
        <v/>
      </c>
      <c r="K464" s="3">
        <f>IF(AND('Data Source'!B464&lt;&gt;"",'Data Source'!S464="F"),IF('Data Source'!AC464&gt;=5,"A+",IF('Data Source'!AC464&gt;=4,"A",IF('Data Source'!AC464&gt;=3.5,"A-",IF('Data Source'!AC464&gt;=3,"B",IF('Data Source'!AC464&gt;=2,"C",IF('Data Source'!AC464&gt;=1,"D","F")))))),"")</f>
        <v/>
      </c>
      <c r="L464" s="3">
        <f>IF(AND('Data Source'!B464&lt;&gt;"",'Data Source'!S464="F"),IF('Data Source'!AD464&gt;=5,"A+",IF('Data Source'!AD464&gt;=4,"A",IF('Data Source'!AD464&gt;=3.5,"A-",IF('Data Source'!AD464&gt;=3,"B",IF('Data Source'!AD464&gt;=2,"C",IF('Data Source'!AD464&gt;=1,"D","F")))))),"")</f>
        <v/>
      </c>
      <c r="M464" s="3">
        <f>IF(AND('Data Source'!B464&lt;&gt;"",'Data Source'!S464="F"),IF('Data Source'!AE464&gt;=5,"A+",IF('Data Source'!AE464&gt;=4,"A",IF('Data Source'!AE464&gt;=3.5,"A-",IF('Data Source'!AE464&gt;=3,"B",IF('Data Source'!AE464&gt;=2,"C",IF('Data Source'!AE464&gt;=1,"D","F")))))),"")</f>
        <v/>
      </c>
      <c r="N464" s="3">
        <f>IF(AND('Data Source'!B464&lt;&gt;"",'Data Source'!S464="F"),IF('Data Source'!AF464&gt;=5,"A+",IF('Data Source'!AF464&gt;=4,"A",IF('Data Source'!AF464&gt;=3.5,"A-",IF('Data Source'!AF464&gt;=3,"B",IF('Data Source'!AF464&gt;=2,"C",IF('Data Source'!AF464&gt;=1,"D","F")))))),"")</f>
        <v/>
      </c>
      <c r="O464" s="3">
        <f>IF(AND('Data Source'!B464&lt;&gt;"",'Data Source'!S464="F"),IF('Data Source'!AG464&gt;=5,"A+",IF('Data Source'!AG464&gt;=4,"A",IF('Data Source'!AG464&gt;=3.5,"A-",IF('Data Source'!AG464&gt;=3,"B",IF('Data Source'!AG464&gt;=2,"C",IF('Data Source'!AG464&gt;=1,"D","F")))))),"")</f>
        <v/>
      </c>
      <c r="P464" s="5">
        <f>IF(AND('Data Source'!B464&lt;&gt;"",'Data Source'!S464="F"),'Data Source'!R464,"")</f>
        <v/>
      </c>
      <c r="Q464" s="3">
        <f>IF(AND('Data Source'!B464&lt;&gt;"",'Data Source'!S464="F"),'Data Source'!S464,"")</f>
        <v/>
      </c>
    </row>
    <row r="465">
      <c r="A465" s="3">
        <f>IF(AND('Data Source'!B465&lt;&gt;"",'Data Source'!S465="F"),COUNTIF('Data Source'!$S$3:S465,"F"),"")</f>
        <v/>
      </c>
      <c r="B465">
        <f>IF(AND('Data Source'!B465&lt;&gt;"",'Data Source'!S465="F"),'Data Source'!B465,"")</f>
        <v/>
      </c>
      <c r="C465" s="3">
        <f>IF(AND('Data Source'!B465&lt;&gt;"",'Data Source'!S465="F"),IF('Data Source'!U465&gt;=5,"A+",IF('Data Source'!U465&gt;=4,"A",IF('Data Source'!U465&gt;=3.5,"A-",IF('Data Source'!U465&gt;=3,"B",IF('Data Source'!U465&gt;=2,"C",IF('Data Source'!U465&gt;=1,"D","F")))))),"")</f>
        <v/>
      </c>
      <c r="D465" s="3">
        <f>IF(AND('Data Source'!B465&lt;&gt;"",'Data Source'!S465="F"),IF('Data Source'!V465&gt;=5,"A+",IF('Data Source'!V465&gt;=4,"A",IF('Data Source'!V465&gt;=3.5,"A-",IF('Data Source'!V465&gt;=3,"B",IF('Data Source'!V465&gt;=2,"C",IF('Data Source'!V465&gt;=1,"D","F")))))),"")</f>
        <v/>
      </c>
      <c r="E465" s="3">
        <f>IF(AND('Data Source'!B465&lt;&gt;"",'Data Source'!S465="F"),IF('Data Source'!W465&gt;=5,"A+",IF('Data Source'!W465&gt;=4,"A",IF('Data Source'!W465&gt;=3.5,"A-",IF('Data Source'!W465&gt;=3,"B",IF('Data Source'!W465&gt;=2,"C",IF('Data Source'!W465&gt;=1,"D","F")))))),"")</f>
        <v/>
      </c>
      <c r="F465" s="3">
        <f>IF(AND('Data Source'!B465&lt;&gt;"",'Data Source'!S465="F"),IF('Data Source'!X465&gt;=5,"A+",IF('Data Source'!X465&gt;=4,"A",IF('Data Source'!X465&gt;=3.5,"A-",IF('Data Source'!X465&gt;=3,"B",IF('Data Source'!X465&gt;=2,"C",IF('Data Source'!X465&gt;=1,"D","F")))))),"")</f>
        <v/>
      </c>
      <c r="G465" s="3">
        <f>IF(AND('Data Source'!B465&lt;&gt;"",'Data Source'!S465="F"),IF('Data Source'!Y465&gt;=5,"A+",IF('Data Source'!Y465&gt;=4,"A",IF('Data Source'!Y465&gt;=3.5,"A-",IF('Data Source'!Y465&gt;=3,"B",IF('Data Source'!Y465&gt;=2,"C",IF('Data Source'!Y465&gt;=1,"D","F")))))),"")</f>
        <v/>
      </c>
      <c r="H465" s="3">
        <f>IF(AND('Data Source'!B465&lt;&gt;"",'Data Source'!S465="F"),IF('Data Source'!Z465&gt;=5,"A+",IF('Data Source'!Z465&gt;=4,"A",IF('Data Source'!Z465&gt;=3.5,"A-",IF('Data Source'!Z465&gt;=3,"B",IF('Data Source'!Z465&gt;=2,"C",IF('Data Source'!Z465&gt;=1,"D","F")))))),"")</f>
        <v/>
      </c>
      <c r="I465" s="3">
        <f>IF(AND('Data Source'!B465&lt;&gt;"",'Data Source'!S465="F"),IF('Data Source'!AA465&gt;=5,"A+",IF('Data Source'!AA465&gt;=4,"A",IF('Data Source'!AA465&gt;=3.5,"A-",IF('Data Source'!AA465&gt;=3,"B",IF('Data Source'!AA465&gt;=2,"C",IF('Data Source'!AA465&gt;=1,"D","F")))))),"")</f>
        <v/>
      </c>
      <c r="J465" s="3">
        <f>IF(AND('Data Source'!B465&lt;&gt;"",'Data Source'!S465="F"),IF('Data Source'!AB465&gt;=5,"A+",IF('Data Source'!AB465&gt;=4,"A",IF('Data Source'!AB465&gt;=3.5,"A-",IF('Data Source'!AB465&gt;=3,"B",IF('Data Source'!AB465&gt;=2,"C",IF('Data Source'!AB465&gt;=1,"D","F")))))),"")</f>
        <v/>
      </c>
      <c r="K465" s="3">
        <f>IF(AND('Data Source'!B465&lt;&gt;"",'Data Source'!S465="F"),IF('Data Source'!AC465&gt;=5,"A+",IF('Data Source'!AC465&gt;=4,"A",IF('Data Source'!AC465&gt;=3.5,"A-",IF('Data Source'!AC465&gt;=3,"B",IF('Data Source'!AC465&gt;=2,"C",IF('Data Source'!AC465&gt;=1,"D","F")))))),"")</f>
        <v/>
      </c>
      <c r="L465" s="3">
        <f>IF(AND('Data Source'!B465&lt;&gt;"",'Data Source'!S465="F"),IF('Data Source'!AD465&gt;=5,"A+",IF('Data Source'!AD465&gt;=4,"A",IF('Data Source'!AD465&gt;=3.5,"A-",IF('Data Source'!AD465&gt;=3,"B",IF('Data Source'!AD465&gt;=2,"C",IF('Data Source'!AD465&gt;=1,"D","F")))))),"")</f>
        <v/>
      </c>
      <c r="M465" s="3">
        <f>IF(AND('Data Source'!B465&lt;&gt;"",'Data Source'!S465="F"),IF('Data Source'!AE465&gt;=5,"A+",IF('Data Source'!AE465&gt;=4,"A",IF('Data Source'!AE465&gt;=3.5,"A-",IF('Data Source'!AE465&gt;=3,"B",IF('Data Source'!AE465&gt;=2,"C",IF('Data Source'!AE465&gt;=1,"D","F")))))),"")</f>
        <v/>
      </c>
      <c r="N465" s="3">
        <f>IF(AND('Data Source'!B465&lt;&gt;"",'Data Source'!S465="F"),IF('Data Source'!AF465&gt;=5,"A+",IF('Data Source'!AF465&gt;=4,"A",IF('Data Source'!AF465&gt;=3.5,"A-",IF('Data Source'!AF465&gt;=3,"B",IF('Data Source'!AF465&gt;=2,"C",IF('Data Source'!AF465&gt;=1,"D","F")))))),"")</f>
        <v/>
      </c>
      <c r="O465" s="3">
        <f>IF(AND('Data Source'!B465&lt;&gt;"",'Data Source'!S465="F"),IF('Data Source'!AG465&gt;=5,"A+",IF('Data Source'!AG465&gt;=4,"A",IF('Data Source'!AG465&gt;=3.5,"A-",IF('Data Source'!AG465&gt;=3,"B",IF('Data Source'!AG465&gt;=2,"C",IF('Data Source'!AG465&gt;=1,"D","F")))))),"")</f>
        <v/>
      </c>
      <c r="P465" s="5">
        <f>IF(AND('Data Source'!B465&lt;&gt;"",'Data Source'!S465="F"),'Data Source'!R465,"")</f>
        <v/>
      </c>
      <c r="Q465" s="3">
        <f>IF(AND('Data Source'!B465&lt;&gt;"",'Data Source'!S465="F"),'Data Source'!S465,"")</f>
        <v/>
      </c>
    </row>
    <row r="466">
      <c r="A466" s="3">
        <f>IF(AND('Data Source'!B466&lt;&gt;"",'Data Source'!S466="F"),COUNTIF('Data Source'!$S$3:S466,"F"),"")</f>
        <v/>
      </c>
      <c r="B466">
        <f>IF(AND('Data Source'!B466&lt;&gt;"",'Data Source'!S466="F"),'Data Source'!B466,"")</f>
        <v/>
      </c>
      <c r="C466" s="3">
        <f>IF(AND('Data Source'!B466&lt;&gt;"",'Data Source'!S466="F"),IF('Data Source'!U466&gt;=5,"A+",IF('Data Source'!U466&gt;=4,"A",IF('Data Source'!U466&gt;=3.5,"A-",IF('Data Source'!U466&gt;=3,"B",IF('Data Source'!U466&gt;=2,"C",IF('Data Source'!U466&gt;=1,"D","F")))))),"")</f>
        <v/>
      </c>
      <c r="D466" s="3">
        <f>IF(AND('Data Source'!B466&lt;&gt;"",'Data Source'!S466="F"),IF('Data Source'!V466&gt;=5,"A+",IF('Data Source'!V466&gt;=4,"A",IF('Data Source'!V466&gt;=3.5,"A-",IF('Data Source'!V466&gt;=3,"B",IF('Data Source'!V466&gt;=2,"C",IF('Data Source'!V466&gt;=1,"D","F")))))),"")</f>
        <v/>
      </c>
      <c r="E466" s="3">
        <f>IF(AND('Data Source'!B466&lt;&gt;"",'Data Source'!S466="F"),IF('Data Source'!W466&gt;=5,"A+",IF('Data Source'!W466&gt;=4,"A",IF('Data Source'!W466&gt;=3.5,"A-",IF('Data Source'!W466&gt;=3,"B",IF('Data Source'!W466&gt;=2,"C",IF('Data Source'!W466&gt;=1,"D","F")))))),"")</f>
        <v/>
      </c>
      <c r="F466" s="3">
        <f>IF(AND('Data Source'!B466&lt;&gt;"",'Data Source'!S466="F"),IF('Data Source'!X466&gt;=5,"A+",IF('Data Source'!X466&gt;=4,"A",IF('Data Source'!X466&gt;=3.5,"A-",IF('Data Source'!X466&gt;=3,"B",IF('Data Source'!X466&gt;=2,"C",IF('Data Source'!X466&gt;=1,"D","F")))))),"")</f>
        <v/>
      </c>
      <c r="G466" s="3">
        <f>IF(AND('Data Source'!B466&lt;&gt;"",'Data Source'!S466="F"),IF('Data Source'!Y466&gt;=5,"A+",IF('Data Source'!Y466&gt;=4,"A",IF('Data Source'!Y466&gt;=3.5,"A-",IF('Data Source'!Y466&gt;=3,"B",IF('Data Source'!Y466&gt;=2,"C",IF('Data Source'!Y466&gt;=1,"D","F")))))),"")</f>
        <v/>
      </c>
      <c r="H466" s="3">
        <f>IF(AND('Data Source'!B466&lt;&gt;"",'Data Source'!S466="F"),IF('Data Source'!Z466&gt;=5,"A+",IF('Data Source'!Z466&gt;=4,"A",IF('Data Source'!Z466&gt;=3.5,"A-",IF('Data Source'!Z466&gt;=3,"B",IF('Data Source'!Z466&gt;=2,"C",IF('Data Source'!Z466&gt;=1,"D","F")))))),"")</f>
        <v/>
      </c>
      <c r="I466" s="3">
        <f>IF(AND('Data Source'!B466&lt;&gt;"",'Data Source'!S466="F"),IF('Data Source'!AA466&gt;=5,"A+",IF('Data Source'!AA466&gt;=4,"A",IF('Data Source'!AA466&gt;=3.5,"A-",IF('Data Source'!AA466&gt;=3,"B",IF('Data Source'!AA466&gt;=2,"C",IF('Data Source'!AA466&gt;=1,"D","F")))))),"")</f>
        <v/>
      </c>
      <c r="J466" s="3">
        <f>IF(AND('Data Source'!B466&lt;&gt;"",'Data Source'!S466="F"),IF('Data Source'!AB466&gt;=5,"A+",IF('Data Source'!AB466&gt;=4,"A",IF('Data Source'!AB466&gt;=3.5,"A-",IF('Data Source'!AB466&gt;=3,"B",IF('Data Source'!AB466&gt;=2,"C",IF('Data Source'!AB466&gt;=1,"D","F")))))),"")</f>
        <v/>
      </c>
      <c r="K466" s="3">
        <f>IF(AND('Data Source'!B466&lt;&gt;"",'Data Source'!S466="F"),IF('Data Source'!AC466&gt;=5,"A+",IF('Data Source'!AC466&gt;=4,"A",IF('Data Source'!AC466&gt;=3.5,"A-",IF('Data Source'!AC466&gt;=3,"B",IF('Data Source'!AC466&gt;=2,"C",IF('Data Source'!AC466&gt;=1,"D","F")))))),"")</f>
        <v/>
      </c>
      <c r="L466" s="3">
        <f>IF(AND('Data Source'!B466&lt;&gt;"",'Data Source'!S466="F"),IF('Data Source'!AD466&gt;=5,"A+",IF('Data Source'!AD466&gt;=4,"A",IF('Data Source'!AD466&gt;=3.5,"A-",IF('Data Source'!AD466&gt;=3,"B",IF('Data Source'!AD466&gt;=2,"C",IF('Data Source'!AD466&gt;=1,"D","F")))))),"")</f>
        <v/>
      </c>
      <c r="M466" s="3">
        <f>IF(AND('Data Source'!B466&lt;&gt;"",'Data Source'!S466="F"),IF('Data Source'!AE466&gt;=5,"A+",IF('Data Source'!AE466&gt;=4,"A",IF('Data Source'!AE466&gt;=3.5,"A-",IF('Data Source'!AE466&gt;=3,"B",IF('Data Source'!AE466&gt;=2,"C",IF('Data Source'!AE466&gt;=1,"D","F")))))),"")</f>
        <v/>
      </c>
      <c r="N466" s="3">
        <f>IF(AND('Data Source'!B466&lt;&gt;"",'Data Source'!S466="F"),IF('Data Source'!AF466&gt;=5,"A+",IF('Data Source'!AF466&gt;=4,"A",IF('Data Source'!AF466&gt;=3.5,"A-",IF('Data Source'!AF466&gt;=3,"B",IF('Data Source'!AF466&gt;=2,"C",IF('Data Source'!AF466&gt;=1,"D","F")))))),"")</f>
        <v/>
      </c>
      <c r="O466" s="3">
        <f>IF(AND('Data Source'!B466&lt;&gt;"",'Data Source'!S466="F"),IF('Data Source'!AG466&gt;=5,"A+",IF('Data Source'!AG466&gt;=4,"A",IF('Data Source'!AG466&gt;=3.5,"A-",IF('Data Source'!AG466&gt;=3,"B",IF('Data Source'!AG466&gt;=2,"C",IF('Data Source'!AG466&gt;=1,"D","F")))))),"")</f>
        <v/>
      </c>
      <c r="P466" s="5">
        <f>IF(AND('Data Source'!B466&lt;&gt;"",'Data Source'!S466="F"),'Data Source'!R466,"")</f>
        <v/>
      </c>
      <c r="Q466" s="3">
        <f>IF(AND('Data Source'!B466&lt;&gt;"",'Data Source'!S466="F"),'Data Source'!S466,"")</f>
        <v/>
      </c>
    </row>
    <row r="467">
      <c r="A467" s="3">
        <f>IF(AND('Data Source'!B467&lt;&gt;"",'Data Source'!S467="F"),COUNTIF('Data Source'!$S$3:S467,"F"),"")</f>
        <v/>
      </c>
      <c r="B467">
        <f>IF(AND('Data Source'!B467&lt;&gt;"",'Data Source'!S467="F"),'Data Source'!B467,"")</f>
        <v/>
      </c>
      <c r="C467" s="3">
        <f>IF(AND('Data Source'!B467&lt;&gt;"",'Data Source'!S467="F"),IF('Data Source'!U467&gt;=5,"A+",IF('Data Source'!U467&gt;=4,"A",IF('Data Source'!U467&gt;=3.5,"A-",IF('Data Source'!U467&gt;=3,"B",IF('Data Source'!U467&gt;=2,"C",IF('Data Source'!U467&gt;=1,"D","F")))))),"")</f>
        <v/>
      </c>
      <c r="D467" s="3">
        <f>IF(AND('Data Source'!B467&lt;&gt;"",'Data Source'!S467="F"),IF('Data Source'!V467&gt;=5,"A+",IF('Data Source'!V467&gt;=4,"A",IF('Data Source'!V467&gt;=3.5,"A-",IF('Data Source'!V467&gt;=3,"B",IF('Data Source'!V467&gt;=2,"C",IF('Data Source'!V467&gt;=1,"D","F")))))),"")</f>
        <v/>
      </c>
      <c r="E467" s="3">
        <f>IF(AND('Data Source'!B467&lt;&gt;"",'Data Source'!S467="F"),IF('Data Source'!W467&gt;=5,"A+",IF('Data Source'!W467&gt;=4,"A",IF('Data Source'!W467&gt;=3.5,"A-",IF('Data Source'!W467&gt;=3,"B",IF('Data Source'!W467&gt;=2,"C",IF('Data Source'!W467&gt;=1,"D","F")))))),"")</f>
        <v/>
      </c>
      <c r="F467" s="3">
        <f>IF(AND('Data Source'!B467&lt;&gt;"",'Data Source'!S467="F"),IF('Data Source'!X467&gt;=5,"A+",IF('Data Source'!X467&gt;=4,"A",IF('Data Source'!X467&gt;=3.5,"A-",IF('Data Source'!X467&gt;=3,"B",IF('Data Source'!X467&gt;=2,"C",IF('Data Source'!X467&gt;=1,"D","F")))))),"")</f>
        <v/>
      </c>
      <c r="G467" s="3">
        <f>IF(AND('Data Source'!B467&lt;&gt;"",'Data Source'!S467="F"),IF('Data Source'!Y467&gt;=5,"A+",IF('Data Source'!Y467&gt;=4,"A",IF('Data Source'!Y467&gt;=3.5,"A-",IF('Data Source'!Y467&gt;=3,"B",IF('Data Source'!Y467&gt;=2,"C",IF('Data Source'!Y467&gt;=1,"D","F")))))),"")</f>
        <v/>
      </c>
      <c r="H467" s="3">
        <f>IF(AND('Data Source'!B467&lt;&gt;"",'Data Source'!S467="F"),IF('Data Source'!Z467&gt;=5,"A+",IF('Data Source'!Z467&gt;=4,"A",IF('Data Source'!Z467&gt;=3.5,"A-",IF('Data Source'!Z467&gt;=3,"B",IF('Data Source'!Z467&gt;=2,"C",IF('Data Source'!Z467&gt;=1,"D","F")))))),"")</f>
        <v/>
      </c>
      <c r="I467" s="3">
        <f>IF(AND('Data Source'!B467&lt;&gt;"",'Data Source'!S467="F"),IF('Data Source'!AA467&gt;=5,"A+",IF('Data Source'!AA467&gt;=4,"A",IF('Data Source'!AA467&gt;=3.5,"A-",IF('Data Source'!AA467&gt;=3,"B",IF('Data Source'!AA467&gt;=2,"C",IF('Data Source'!AA467&gt;=1,"D","F")))))),"")</f>
        <v/>
      </c>
      <c r="J467" s="3">
        <f>IF(AND('Data Source'!B467&lt;&gt;"",'Data Source'!S467="F"),IF('Data Source'!AB467&gt;=5,"A+",IF('Data Source'!AB467&gt;=4,"A",IF('Data Source'!AB467&gt;=3.5,"A-",IF('Data Source'!AB467&gt;=3,"B",IF('Data Source'!AB467&gt;=2,"C",IF('Data Source'!AB467&gt;=1,"D","F")))))),"")</f>
        <v/>
      </c>
      <c r="K467" s="3">
        <f>IF(AND('Data Source'!B467&lt;&gt;"",'Data Source'!S467="F"),IF('Data Source'!AC467&gt;=5,"A+",IF('Data Source'!AC467&gt;=4,"A",IF('Data Source'!AC467&gt;=3.5,"A-",IF('Data Source'!AC467&gt;=3,"B",IF('Data Source'!AC467&gt;=2,"C",IF('Data Source'!AC467&gt;=1,"D","F")))))),"")</f>
        <v/>
      </c>
      <c r="L467" s="3">
        <f>IF(AND('Data Source'!B467&lt;&gt;"",'Data Source'!S467="F"),IF('Data Source'!AD467&gt;=5,"A+",IF('Data Source'!AD467&gt;=4,"A",IF('Data Source'!AD467&gt;=3.5,"A-",IF('Data Source'!AD467&gt;=3,"B",IF('Data Source'!AD467&gt;=2,"C",IF('Data Source'!AD467&gt;=1,"D","F")))))),"")</f>
        <v/>
      </c>
      <c r="M467" s="3">
        <f>IF(AND('Data Source'!B467&lt;&gt;"",'Data Source'!S467="F"),IF('Data Source'!AE467&gt;=5,"A+",IF('Data Source'!AE467&gt;=4,"A",IF('Data Source'!AE467&gt;=3.5,"A-",IF('Data Source'!AE467&gt;=3,"B",IF('Data Source'!AE467&gt;=2,"C",IF('Data Source'!AE467&gt;=1,"D","F")))))),"")</f>
        <v/>
      </c>
      <c r="N467" s="3">
        <f>IF(AND('Data Source'!B467&lt;&gt;"",'Data Source'!S467="F"),IF('Data Source'!AF467&gt;=5,"A+",IF('Data Source'!AF467&gt;=4,"A",IF('Data Source'!AF467&gt;=3.5,"A-",IF('Data Source'!AF467&gt;=3,"B",IF('Data Source'!AF467&gt;=2,"C",IF('Data Source'!AF467&gt;=1,"D","F")))))),"")</f>
        <v/>
      </c>
      <c r="O467" s="3">
        <f>IF(AND('Data Source'!B467&lt;&gt;"",'Data Source'!S467="F"),IF('Data Source'!AG467&gt;=5,"A+",IF('Data Source'!AG467&gt;=4,"A",IF('Data Source'!AG467&gt;=3.5,"A-",IF('Data Source'!AG467&gt;=3,"B",IF('Data Source'!AG467&gt;=2,"C",IF('Data Source'!AG467&gt;=1,"D","F")))))),"")</f>
        <v/>
      </c>
      <c r="P467" s="5">
        <f>IF(AND('Data Source'!B467&lt;&gt;"",'Data Source'!S467="F"),'Data Source'!R467,"")</f>
        <v/>
      </c>
      <c r="Q467" s="3">
        <f>IF(AND('Data Source'!B467&lt;&gt;"",'Data Source'!S467="F"),'Data Source'!S467,"")</f>
        <v/>
      </c>
    </row>
    <row r="468">
      <c r="A468" s="3">
        <f>IF(AND('Data Source'!B468&lt;&gt;"",'Data Source'!S468="F"),COUNTIF('Data Source'!$S$3:S468,"F"),"")</f>
        <v/>
      </c>
      <c r="B468">
        <f>IF(AND('Data Source'!B468&lt;&gt;"",'Data Source'!S468="F"),'Data Source'!B468,"")</f>
        <v/>
      </c>
      <c r="C468" s="3">
        <f>IF(AND('Data Source'!B468&lt;&gt;"",'Data Source'!S468="F"),IF('Data Source'!U468&gt;=5,"A+",IF('Data Source'!U468&gt;=4,"A",IF('Data Source'!U468&gt;=3.5,"A-",IF('Data Source'!U468&gt;=3,"B",IF('Data Source'!U468&gt;=2,"C",IF('Data Source'!U468&gt;=1,"D","F")))))),"")</f>
        <v/>
      </c>
      <c r="D468" s="3">
        <f>IF(AND('Data Source'!B468&lt;&gt;"",'Data Source'!S468="F"),IF('Data Source'!V468&gt;=5,"A+",IF('Data Source'!V468&gt;=4,"A",IF('Data Source'!V468&gt;=3.5,"A-",IF('Data Source'!V468&gt;=3,"B",IF('Data Source'!V468&gt;=2,"C",IF('Data Source'!V468&gt;=1,"D","F")))))),"")</f>
        <v/>
      </c>
      <c r="E468" s="3">
        <f>IF(AND('Data Source'!B468&lt;&gt;"",'Data Source'!S468="F"),IF('Data Source'!W468&gt;=5,"A+",IF('Data Source'!W468&gt;=4,"A",IF('Data Source'!W468&gt;=3.5,"A-",IF('Data Source'!W468&gt;=3,"B",IF('Data Source'!W468&gt;=2,"C",IF('Data Source'!W468&gt;=1,"D","F")))))),"")</f>
        <v/>
      </c>
      <c r="F468" s="3">
        <f>IF(AND('Data Source'!B468&lt;&gt;"",'Data Source'!S468="F"),IF('Data Source'!X468&gt;=5,"A+",IF('Data Source'!X468&gt;=4,"A",IF('Data Source'!X468&gt;=3.5,"A-",IF('Data Source'!X468&gt;=3,"B",IF('Data Source'!X468&gt;=2,"C",IF('Data Source'!X468&gt;=1,"D","F")))))),"")</f>
        <v/>
      </c>
      <c r="G468" s="3">
        <f>IF(AND('Data Source'!B468&lt;&gt;"",'Data Source'!S468="F"),IF('Data Source'!Y468&gt;=5,"A+",IF('Data Source'!Y468&gt;=4,"A",IF('Data Source'!Y468&gt;=3.5,"A-",IF('Data Source'!Y468&gt;=3,"B",IF('Data Source'!Y468&gt;=2,"C",IF('Data Source'!Y468&gt;=1,"D","F")))))),"")</f>
        <v/>
      </c>
      <c r="H468" s="3">
        <f>IF(AND('Data Source'!B468&lt;&gt;"",'Data Source'!S468="F"),IF('Data Source'!Z468&gt;=5,"A+",IF('Data Source'!Z468&gt;=4,"A",IF('Data Source'!Z468&gt;=3.5,"A-",IF('Data Source'!Z468&gt;=3,"B",IF('Data Source'!Z468&gt;=2,"C",IF('Data Source'!Z468&gt;=1,"D","F")))))),"")</f>
        <v/>
      </c>
      <c r="I468" s="3">
        <f>IF(AND('Data Source'!B468&lt;&gt;"",'Data Source'!S468="F"),IF('Data Source'!AA468&gt;=5,"A+",IF('Data Source'!AA468&gt;=4,"A",IF('Data Source'!AA468&gt;=3.5,"A-",IF('Data Source'!AA468&gt;=3,"B",IF('Data Source'!AA468&gt;=2,"C",IF('Data Source'!AA468&gt;=1,"D","F")))))),"")</f>
        <v/>
      </c>
      <c r="J468" s="3">
        <f>IF(AND('Data Source'!B468&lt;&gt;"",'Data Source'!S468="F"),IF('Data Source'!AB468&gt;=5,"A+",IF('Data Source'!AB468&gt;=4,"A",IF('Data Source'!AB468&gt;=3.5,"A-",IF('Data Source'!AB468&gt;=3,"B",IF('Data Source'!AB468&gt;=2,"C",IF('Data Source'!AB468&gt;=1,"D","F")))))),"")</f>
        <v/>
      </c>
      <c r="K468" s="3">
        <f>IF(AND('Data Source'!B468&lt;&gt;"",'Data Source'!S468="F"),IF('Data Source'!AC468&gt;=5,"A+",IF('Data Source'!AC468&gt;=4,"A",IF('Data Source'!AC468&gt;=3.5,"A-",IF('Data Source'!AC468&gt;=3,"B",IF('Data Source'!AC468&gt;=2,"C",IF('Data Source'!AC468&gt;=1,"D","F")))))),"")</f>
        <v/>
      </c>
      <c r="L468" s="3">
        <f>IF(AND('Data Source'!B468&lt;&gt;"",'Data Source'!S468="F"),IF('Data Source'!AD468&gt;=5,"A+",IF('Data Source'!AD468&gt;=4,"A",IF('Data Source'!AD468&gt;=3.5,"A-",IF('Data Source'!AD468&gt;=3,"B",IF('Data Source'!AD468&gt;=2,"C",IF('Data Source'!AD468&gt;=1,"D","F")))))),"")</f>
        <v/>
      </c>
      <c r="M468" s="3">
        <f>IF(AND('Data Source'!B468&lt;&gt;"",'Data Source'!S468="F"),IF('Data Source'!AE468&gt;=5,"A+",IF('Data Source'!AE468&gt;=4,"A",IF('Data Source'!AE468&gt;=3.5,"A-",IF('Data Source'!AE468&gt;=3,"B",IF('Data Source'!AE468&gt;=2,"C",IF('Data Source'!AE468&gt;=1,"D","F")))))),"")</f>
        <v/>
      </c>
      <c r="N468" s="3">
        <f>IF(AND('Data Source'!B468&lt;&gt;"",'Data Source'!S468="F"),IF('Data Source'!AF468&gt;=5,"A+",IF('Data Source'!AF468&gt;=4,"A",IF('Data Source'!AF468&gt;=3.5,"A-",IF('Data Source'!AF468&gt;=3,"B",IF('Data Source'!AF468&gt;=2,"C",IF('Data Source'!AF468&gt;=1,"D","F")))))),"")</f>
        <v/>
      </c>
      <c r="O468" s="3">
        <f>IF(AND('Data Source'!B468&lt;&gt;"",'Data Source'!S468="F"),IF('Data Source'!AG468&gt;=5,"A+",IF('Data Source'!AG468&gt;=4,"A",IF('Data Source'!AG468&gt;=3.5,"A-",IF('Data Source'!AG468&gt;=3,"B",IF('Data Source'!AG468&gt;=2,"C",IF('Data Source'!AG468&gt;=1,"D","F")))))),"")</f>
        <v/>
      </c>
      <c r="P468" s="5">
        <f>IF(AND('Data Source'!B468&lt;&gt;"",'Data Source'!S468="F"),'Data Source'!R468,"")</f>
        <v/>
      </c>
      <c r="Q468" s="3">
        <f>IF(AND('Data Source'!B468&lt;&gt;"",'Data Source'!S468="F"),'Data Source'!S468,"")</f>
        <v/>
      </c>
    </row>
    <row r="469">
      <c r="A469" s="3">
        <f>IF(AND('Data Source'!B469&lt;&gt;"",'Data Source'!S469="F"),COUNTIF('Data Source'!$S$3:S469,"F"),"")</f>
        <v/>
      </c>
      <c r="B469">
        <f>IF(AND('Data Source'!B469&lt;&gt;"",'Data Source'!S469="F"),'Data Source'!B469,"")</f>
        <v/>
      </c>
      <c r="C469" s="3">
        <f>IF(AND('Data Source'!B469&lt;&gt;"",'Data Source'!S469="F"),IF('Data Source'!U469&gt;=5,"A+",IF('Data Source'!U469&gt;=4,"A",IF('Data Source'!U469&gt;=3.5,"A-",IF('Data Source'!U469&gt;=3,"B",IF('Data Source'!U469&gt;=2,"C",IF('Data Source'!U469&gt;=1,"D","F")))))),"")</f>
        <v/>
      </c>
      <c r="D469" s="3">
        <f>IF(AND('Data Source'!B469&lt;&gt;"",'Data Source'!S469="F"),IF('Data Source'!V469&gt;=5,"A+",IF('Data Source'!V469&gt;=4,"A",IF('Data Source'!V469&gt;=3.5,"A-",IF('Data Source'!V469&gt;=3,"B",IF('Data Source'!V469&gt;=2,"C",IF('Data Source'!V469&gt;=1,"D","F")))))),"")</f>
        <v/>
      </c>
      <c r="E469" s="3">
        <f>IF(AND('Data Source'!B469&lt;&gt;"",'Data Source'!S469="F"),IF('Data Source'!W469&gt;=5,"A+",IF('Data Source'!W469&gt;=4,"A",IF('Data Source'!W469&gt;=3.5,"A-",IF('Data Source'!W469&gt;=3,"B",IF('Data Source'!W469&gt;=2,"C",IF('Data Source'!W469&gt;=1,"D","F")))))),"")</f>
        <v/>
      </c>
      <c r="F469" s="3">
        <f>IF(AND('Data Source'!B469&lt;&gt;"",'Data Source'!S469="F"),IF('Data Source'!X469&gt;=5,"A+",IF('Data Source'!X469&gt;=4,"A",IF('Data Source'!X469&gt;=3.5,"A-",IF('Data Source'!X469&gt;=3,"B",IF('Data Source'!X469&gt;=2,"C",IF('Data Source'!X469&gt;=1,"D","F")))))),"")</f>
        <v/>
      </c>
      <c r="G469" s="3">
        <f>IF(AND('Data Source'!B469&lt;&gt;"",'Data Source'!S469="F"),IF('Data Source'!Y469&gt;=5,"A+",IF('Data Source'!Y469&gt;=4,"A",IF('Data Source'!Y469&gt;=3.5,"A-",IF('Data Source'!Y469&gt;=3,"B",IF('Data Source'!Y469&gt;=2,"C",IF('Data Source'!Y469&gt;=1,"D","F")))))),"")</f>
        <v/>
      </c>
      <c r="H469" s="3">
        <f>IF(AND('Data Source'!B469&lt;&gt;"",'Data Source'!S469="F"),IF('Data Source'!Z469&gt;=5,"A+",IF('Data Source'!Z469&gt;=4,"A",IF('Data Source'!Z469&gt;=3.5,"A-",IF('Data Source'!Z469&gt;=3,"B",IF('Data Source'!Z469&gt;=2,"C",IF('Data Source'!Z469&gt;=1,"D","F")))))),"")</f>
        <v/>
      </c>
      <c r="I469" s="3">
        <f>IF(AND('Data Source'!B469&lt;&gt;"",'Data Source'!S469="F"),IF('Data Source'!AA469&gt;=5,"A+",IF('Data Source'!AA469&gt;=4,"A",IF('Data Source'!AA469&gt;=3.5,"A-",IF('Data Source'!AA469&gt;=3,"B",IF('Data Source'!AA469&gt;=2,"C",IF('Data Source'!AA469&gt;=1,"D","F")))))),"")</f>
        <v/>
      </c>
      <c r="J469" s="3">
        <f>IF(AND('Data Source'!B469&lt;&gt;"",'Data Source'!S469="F"),IF('Data Source'!AB469&gt;=5,"A+",IF('Data Source'!AB469&gt;=4,"A",IF('Data Source'!AB469&gt;=3.5,"A-",IF('Data Source'!AB469&gt;=3,"B",IF('Data Source'!AB469&gt;=2,"C",IF('Data Source'!AB469&gt;=1,"D","F")))))),"")</f>
        <v/>
      </c>
      <c r="K469" s="3">
        <f>IF(AND('Data Source'!B469&lt;&gt;"",'Data Source'!S469="F"),IF('Data Source'!AC469&gt;=5,"A+",IF('Data Source'!AC469&gt;=4,"A",IF('Data Source'!AC469&gt;=3.5,"A-",IF('Data Source'!AC469&gt;=3,"B",IF('Data Source'!AC469&gt;=2,"C",IF('Data Source'!AC469&gt;=1,"D","F")))))),"")</f>
        <v/>
      </c>
      <c r="L469" s="3">
        <f>IF(AND('Data Source'!B469&lt;&gt;"",'Data Source'!S469="F"),IF('Data Source'!AD469&gt;=5,"A+",IF('Data Source'!AD469&gt;=4,"A",IF('Data Source'!AD469&gt;=3.5,"A-",IF('Data Source'!AD469&gt;=3,"B",IF('Data Source'!AD469&gt;=2,"C",IF('Data Source'!AD469&gt;=1,"D","F")))))),"")</f>
        <v/>
      </c>
      <c r="M469" s="3">
        <f>IF(AND('Data Source'!B469&lt;&gt;"",'Data Source'!S469="F"),IF('Data Source'!AE469&gt;=5,"A+",IF('Data Source'!AE469&gt;=4,"A",IF('Data Source'!AE469&gt;=3.5,"A-",IF('Data Source'!AE469&gt;=3,"B",IF('Data Source'!AE469&gt;=2,"C",IF('Data Source'!AE469&gt;=1,"D","F")))))),"")</f>
        <v/>
      </c>
      <c r="N469" s="3">
        <f>IF(AND('Data Source'!B469&lt;&gt;"",'Data Source'!S469="F"),IF('Data Source'!AF469&gt;=5,"A+",IF('Data Source'!AF469&gt;=4,"A",IF('Data Source'!AF469&gt;=3.5,"A-",IF('Data Source'!AF469&gt;=3,"B",IF('Data Source'!AF469&gt;=2,"C",IF('Data Source'!AF469&gt;=1,"D","F")))))),"")</f>
        <v/>
      </c>
      <c r="O469" s="3">
        <f>IF(AND('Data Source'!B469&lt;&gt;"",'Data Source'!S469="F"),IF('Data Source'!AG469&gt;=5,"A+",IF('Data Source'!AG469&gt;=4,"A",IF('Data Source'!AG469&gt;=3.5,"A-",IF('Data Source'!AG469&gt;=3,"B",IF('Data Source'!AG469&gt;=2,"C",IF('Data Source'!AG469&gt;=1,"D","F")))))),"")</f>
        <v/>
      </c>
      <c r="P469" s="5">
        <f>IF(AND('Data Source'!B469&lt;&gt;"",'Data Source'!S469="F"),'Data Source'!R469,"")</f>
        <v/>
      </c>
      <c r="Q469" s="3">
        <f>IF(AND('Data Source'!B469&lt;&gt;"",'Data Source'!S469="F"),'Data Source'!S469,"")</f>
        <v/>
      </c>
    </row>
    <row r="470">
      <c r="A470" s="3">
        <f>IF(AND('Data Source'!B470&lt;&gt;"",'Data Source'!S470="F"),COUNTIF('Data Source'!$S$3:S470,"F"),"")</f>
        <v/>
      </c>
      <c r="B470">
        <f>IF(AND('Data Source'!B470&lt;&gt;"",'Data Source'!S470="F"),'Data Source'!B470,"")</f>
        <v/>
      </c>
      <c r="C470" s="3">
        <f>IF(AND('Data Source'!B470&lt;&gt;"",'Data Source'!S470="F"),IF('Data Source'!U470&gt;=5,"A+",IF('Data Source'!U470&gt;=4,"A",IF('Data Source'!U470&gt;=3.5,"A-",IF('Data Source'!U470&gt;=3,"B",IF('Data Source'!U470&gt;=2,"C",IF('Data Source'!U470&gt;=1,"D","F")))))),"")</f>
        <v/>
      </c>
      <c r="D470" s="3">
        <f>IF(AND('Data Source'!B470&lt;&gt;"",'Data Source'!S470="F"),IF('Data Source'!V470&gt;=5,"A+",IF('Data Source'!V470&gt;=4,"A",IF('Data Source'!V470&gt;=3.5,"A-",IF('Data Source'!V470&gt;=3,"B",IF('Data Source'!V470&gt;=2,"C",IF('Data Source'!V470&gt;=1,"D","F")))))),"")</f>
        <v/>
      </c>
      <c r="E470" s="3">
        <f>IF(AND('Data Source'!B470&lt;&gt;"",'Data Source'!S470="F"),IF('Data Source'!W470&gt;=5,"A+",IF('Data Source'!W470&gt;=4,"A",IF('Data Source'!W470&gt;=3.5,"A-",IF('Data Source'!W470&gt;=3,"B",IF('Data Source'!W470&gt;=2,"C",IF('Data Source'!W470&gt;=1,"D","F")))))),"")</f>
        <v/>
      </c>
      <c r="F470" s="3">
        <f>IF(AND('Data Source'!B470&lt;&gt;"",'Data Source'!S470="F"),IF('Data Source'!X470&gt;=5,"A+",IF('Data Source'!X470&gt;=4,"A",IF('Data Source'!X470&gt;=3.5,"A-",IF('Data Source'!X470&gt;=3,"B",IF('Data Source'!X470&gt;=2,"C",IF('Data Source'!X470&gt;=1,"D","F")))))),"")</f>
        <v/>
      </c>
      <c r="G470" s="3">
        <f>IF(AND('Data Source'!B470&lt;&gt;"",'Data Source'!S470="F"),IF('Data Source'!Y470&gt;=5,"A+",IF('Data Source'!Y470&gt;=4,"A",IF('Data Source'!Y470&gt;=3.5,"A-",IF('Data Source'!Y470&gt;=3,"B",IF('Data Source'!Y470&gt;=2,"C",IF('Data Source'!Y470&gt;=1,"D","F")))))),"")</f>
        <v/>
      </c>
      <c r="H470" s="3">
        <f>IF(AND('Data Source'!B470&lt;&gt;"",'Data Source'!S470="F"),IF('Data Source'!Z470&gt;=5,"A+",IF('Data Source'!Z470&gt;=4,"A",IF('Data Source'!Z470&gt;=3.5,"A-",IF('Data Source'!Z470&gt;=3,"B",IF('Data Source'!Z470&gt;=2,"C",IF('Data Source'!Z470&gt;=1,"D","F")))))),"")</f>
        <v/>
      </c>
      <c r="I470" s="3">
        <f>IF(AND('Data Source'!B470&lt;&gt;"",'Data Source'!S470="F"),IF('Data Source'!AA470&gt;=5,"A+",IF('Data Source'!AA470&gt;=4,"A",IF('Data Source'!AA470&gt;=3.5,"A-",IF('Data Source'!AA470&gt;=3,"B",IF('Data Source'!AA470&gt;=2,"C",IF('Data Source'!AA470&gt;=1,"D","F")))))),"")</f>
        <v/>
      </c>
      <c r="J470" s="3">
        <f>IF(AND('Data Source'!B470&lt;&gt;"",'Data Source'!S470="F"),IF('Data Source'!AB470&gt;=5,"A+",IF('Data Source'!AB470&gt;=4,"A",IF('Data Source'!AB470&gt;=3.5,"A-",IF('Data Source'!AB470&gt;=3,"B",IF('Data Source'!AB470&gt;=2,"C",IF('Data Source'!AB470&gt;=1,"D","F")))))),"")</f>
        <v/>
      </c>
      <c r="K470" s="3">
        <f>IF(AND('Data Source'!B470&lt;&gt;"",'Data Source'!S470="F"),IF('Data Source'!AC470&gt;=5,"A+",IF('Data Source'!AC470&gt;=4,"A",IF('Data Source'!AC470&gt;=3.5,"A-",IF('Data Source'!AC470&gt;=3,"B",IF('Data Source'!AC470&gt;=2,"C",IF('Data Source'!AC470&gt;=1,"D","F")))))),"")</f>
        <v/>
      </c>
      <c r="L470" s="3">
        <f>IF(AND('Data Source'!B470&lt;&gt;"",'Data Source'!S470="F"),IF('Data Source'!AD470&gt;=5,"A+",IF('Data Source'!AD470&gt;=4,"A",IF('Data Source'!AD470&gt;=3.5,"A-",IF('Data Source'!AD470&gt;=3,"B",IF('Data Source'!AD470&gt;=2,"C",IF('Data Source'!AD470&gt;=1,"D","F")))))),"")</f>
        <v/>
      </c>
      <c r="M470" s="3">
        <f>IF(AND('Data Source'!B470&lt;&gt;"",'Data Source'!S470="F"),IF('Data Source'!AE470&gt;=5,"A+",IF('Data Source'!AE470&gt;=4,"A",IF('Data Source'!AE470&gt;=3.5,"A-",IF('Data Source'!AE470&gt;=3,"B",IF('Data Source'!AE470&gt;=2,"C",IF('Data Source'!AE470&gt;=1,"D","F")))))),"")</f>
        <v/>
      </c>
      <c r="N470" s="3">
        <f>IF(AND('Data Source'!B470&lt;&gt;"",'Data Source'!S470="F"),IF('Data Source'!AF470&gt;=5,"A+",IF('Data Source'!AF470&gt;=4,"A",IF('Data Source'!AF470&gt;=3.5,"A-",IF('Data Source'!AF470&gt;=3,"B",IF('Data Source'!AF470&gt;=2,"C",IF('Data Source'!AF470&gt;=1,"D","F")))))),"")</f>
        <v/>
      </c>
      <c r="O470" s="3">
        <f>IF(AND('Data Source'!B470&lt;&gt;"",'Data Source'!S470="F"),IF('Data Source'!AG470&gt;=5,"A+",IF('Data Source'!AG470&gt;=4,"A",IF('Data Source'!AG470&gt;=3.5,"A-",IF('Data Source'!AG470&gt;=3,"B",IF('Data Source'!AG470&gt;=2,"C",IF('Data Source'!AG470&gt;=1,"D","F")))))),"")</f>
        <v/>
      </c>
      <c r="P470" s="5">
        <f>IF(AND('Data Source'!B470&lt;&gt;"",'Data Source'!S470="F"),'Data Source'!R470,"")</f>
        <v/>
      </c>
      <c r="Q470" s="3">
        <f>IF(AND('Data Source'!B470&lt;&gt;"",'Data Source'!S470="F"),'Data Source'!S470,"")</f>
        <v/>
      </c>
    </row>
    <row r="471">
      <c r="A471" s="3">
        <f>IF(AND('Data Source'!B471&lt;&gt;"",'Data Source'!S471="F"),COUNTIF('Data Source'!$S$3:S471,"F"),"")</f>
        <v/>
      </c>
      <c r="B471">
        <f>IF(AND('Data Source'!B471&lt;&gt;"",'Data Source'!S471="F"),'Data Source'!B471,"")</f>
        <v/>
      </c>
      <c r="C471" s="3">
        <f>IF(AND('Data Source'!B471&lt;&gt;"",'Data Source'!S471="F"),IF('Data Source'!U471&gt;=5,"A+",IF('Data Source'!U471&gt;=4,"A",IF('Data Source'!U471&gt;=3.5,"A-",IF('Data Source'!U471&gt;=3,"B",IF('Data Source'!U471&gt;=2,"C",IF('Data Source'!U471&gt;=1,"D","F")))))),"")</f>
        <v/>
      </c>
      <c r="D471" s="3">
        <f>IF(AND('Data Source'!B471&lt;&gt;"",'Data Source'!S471="F"),IF('Data Source'!V471&gt;=5,"A+",IF('Data Source'!V471&gt;=4,"A",IF('Data Source'!V471&gt;=3.5,"A-",IF('Data Source'!V471&gt;=3,"B",IF('Data Source'!V471&gt;=2,"C",IF('Data Source'!V471&gt;=1,"D","F")))))),"")</f>
        <v/>
      </c>
      <c r="E471" s="3">
        <f>IF(AND('Data Source'!B471&lt;&gt;"",'Data Source'!S471="F"),IF('Data Source'!W471&gt;=5,"A+",IF('Data Source'!W471&gt;=4,"A",IF('Data Source'!W471&gt;=3.5,"A-",IF('Data Source'!W471&gt;=3,"B",IF('Data Source'!W471&gt;=2,"C",IF('Data Source'!W471&gt;=1,"D","F")))))),"")</f>
        <v/>
      </c>
      <c r="F471" s="3">
        <f>IF(AND('Data Source'!B471&lt;&gt;"",'Data Source'!S471="F"),IF('Data Source'!X471&gt;=5,"A+",IF('Data Source'!X471&gt;=4,"A",IF('Data Source'!X471&gt;=3.5,"A-",IF('Data Source'!X471&gt;=3,"B",IF('Data Source'!X471&gt;=2,"C",IF('Data Source'!X471&gt;=1,"D","F")))))),"")</f>
        <v/>
      </c>
      <c r="G471" s="3">
        <f>IF(AND('Data Source'!B471&lt;&gt;"",'Data Source'!S471="F"),IF('Data Source'!Y471&gt;=5,"A+",IF('Data Source'!Y471&gt;=4,"A",IF('Data Source'!Y471&gt;=3.5,"A-",IF('Data Source'!Y471&gt;=3,"B",IF('Data Source'!Y471&gt;=2,"C",IF('Data Source'!Y471&gt;=1,"D","F")))))),"")</f>
        <v/>
      </c>
      <c r="H471" s="3">
        <f>IF(AND('Data Source'!B471&lt;&gt;"",'Data Source'!S471="F"),IF('Data Source'!Z471&gt;=5,"A+",IF('Data Source'!Z471&gt;=4,"A",IF('Data Source'!Z471&gt;=3.5,"A-",IF('Data Source'!Z471&gt;=3,"B",IF('Data Source'!Z471&gt;=2,"C",IF('Data Source'!Z471&gt;=1,"D","F")))))),"")</f>
        <v/>
      </c>
      <c r="I471" s="3">
        <f>IF(AND('Data Source'!B471&lt;&gt;"",'Data Source'!S471="F"),IF('Data Source'!AA471&gt;=5,"A+",IF('Data Source'!AA471&gt;=4,"A",IF('Data Source'!AA471&gt;=3.5,"A-",IF('Data Source'!AA471&gt;=3,"B",IF('Data Source'!AA471&gt;=2,"C",IF('Data Source'!AA471&gt;=1,"D","F")))))),"")</f>
        <v/>
      </c>
      <c r="J471" s="3">
        <f>IF(AND('Data Source'!B471&lt;&gt;"",'Data Source'!S471="F"),IF('Data Source'!AB471&gt;=5,"A+",IF('Data Source'!AB471&gt;=4,"A",IF('Data Source'!AB471&gt;=3.5,"A-",IF('Data Source'!AB471&gt;=3,"B",IF('Data Source'!AB471&gt;=2,"C",IF('Data Source'!AB471&gt;=1,"D","F")))))),"")</f>
        <v/>
      </c>
      <c r="K471" s="3">
        <f>IF(AND('Data Source'!B471&lt;&gt;"",'Data Source'!S471="F"),IF('Data Source'!AC471&gt;=5,"A+",IF('Data Source'!AC471&gt;=4,"A",IF('Data Source'!AC471&gt;=3.5,"A-",IF('Data Source'!AC471&gt;=3,"B",IF('Data Source'!AC471&gt;=2,"C",IF('Data Source'!AC471&gt;=1,"D","F")))))),"")</f>
        <v/>
      </c>
      <c r="L471" s="3">
        <f>IF(AND('Data Source'!B471&lt;&gt;"",'Data Source'!S471="F"),IF('Data Source'!AD471&gt;=5,"A+",IF('Data Source'!AD471&gt;=4,"A",IF('Data Source'!AD471&gt;=3.5,"A-",IF('Data Source'!AD471&gt;=3,"B",IF('Data Source'!AD471&gt;=2,"C",IF('Data Source'!AD471&gt;=1,"D","F")))))),"")</f>
        <v/>
      </c>
      <c r="M471" s="3">
        <f>IF(AND('Data Source'!B471&lt;&gt;"",'Data Source'!S471="F"),IF('Data Source'!AE471&gt;=5,"A+",IF('Data Source'!AE471&gt;=4,"A",IF('Data Source'!AE471&gt;=3.5,"A-",IF('Data Source'!AE471&gt;=3,"B",IF('Data Source'!AE471&gt;=2,"C",IF('Data Source'!AE471&gt;=1,"D","F")))))),"")</f>
        <v/>
      </c>
      <c r="N471" s="3">
        <f>IF(AND('Data Source'!B471&lt;&gt;"",'Data Source'!S471="F"),IF('Data Source'!AF471&gt;=5,"A+",IF('Data Source'!AF471&gt;=4,"A",IF('Data Source'!AF471&gt;=3.5,"A-",IF('Data Source'!AF471&gt;=3,"B",IF('Data Source'!AF471&gt;=2,"C",IF('Data Source'!AF471&gt;=1,"D","F")))))),"")</f>
        <v/>
      </c>
      <c r="O471" s="3">
        <f>IF(AND('Data Source'!B471&lt;&gt;"",'Data Source'!S471="F"),IF('Data Source'!AG471&gt;=5,"A+",IF('Data Source'!AG471&gt;=4,"A",IF('Data Source'!AG471&gt;=3.5,"A-",IF('Data Source'!AG471&gt;=3,"B",IF('Data Source'!AG471&gt;=2,"C",IF('Data Source'!AG471&gt;=1,"D","F")))))),"")</f>
        <v/>
      </c>
      <c r="P471" s="5">
        <f>IF(AND('Data Source'!B471&lt;&gt;"",'Data Source'!S471="F"),'Data Source'!R471,"")</f>
        <v/>
      </c>
      <c r="Q471" s="3">
        <f>IF(AND('Data Source'!B471&lt;&gt;"",'Data Source'!S471="F"),'Data Source'!S471,"")</f>
        <v/>
      </c>
    </row>
    <row r="472">
      <c r="A472" s="3">
        <f>IF(AND('Data Source'!B472&lt;&gt;"",'Data Source'!S472="F"),COUNTIF('Data Source'!$S$3:S472,"F"),"")</f>
        <v/>
      </c>
      <c r="B472">
        <f>IF(AND('Data Source'!B472&lt;&gt;"",'Data Source'!S472="F"),'Data Source'!B472,"")</f>
        <v/>
      </c>
      <c r="C472" s="3">
        <f>IF(AND('Data Source'!B472&lt;&gt;"",'Data Source'!S472="F"),IF('Data Source'!U472&gt;=5,"A+",IF('Data Source'!U472&gt;=4,"A",IF('Data Source'!U472&gt;=3.5,"A-",IF('Data Source'!U472&gt;=3,"B",IF('Data Source'!U472&gt;=2,"C",IF('Data Source'!U472&gt;=1,"D","F")))))),"")</f>
        <v/>
      </c>
      <c r="D472" s="3">
        <f>IF(AND('Data Source'!B472&lt;&gt;"",'Data Source'!S472="F"),IF('Data Source'!V472&gt;=5,"A+",IF('Data Source'!V472&gt;=4,"A",IF('Data Source'!V472&gt;=3.5,"A-",IF('Data Source'!V472&gt;=3,"B",IF('Data Source'!V472&gt;=2,"C",IF('Data Source'!V472&gt;=1,"D","F")))))),"")</f>
        <v/>
      </c>
      <c r="E472" s="3">
        <f>IF(AND('Data Source'!B472&lt;&gt;"",'Data Source'!S472="F"),IF('Data Source'!W472&gt;=5,"A+",IF('Data Source'!W472&gt;=4,"A",IF('Data Source'!W472&gt;=3.5,"A-",IF('Data Source'!W472&gt;=3,"B",IF('Data Source'!W472&gt;=2,"C",IF('Data Source'!W472&gt;=1,"D","F")))))),"")</f>
        <v/>
      </c>
      <c r="F472" s="3">
        <f>IF(AND('Data Source'!B472&lt;&gt;"",'Data Source'!S472="F"),IF('Data Source'!X472&gt;=5,"A+",IF('Data Source'!X472&gt;=4,"A",IF('Data Source'!X472&gt;=3.5,"A-",IF('Data Source'!X472&gt;=3,"B",IF('Data Source'!X472&gt;=2,"C",IF('Data Source'!X472&gt;=1,"D","F")))))),"")</f>
        <v/>
      </c>
      <c r="G472" s="3">
        <f>IF(AND('Data Source'!B472&lt;&gt;"",'Data Source'!S472="F"),IF('Data Source'!Y472&gt;=5,"A+",IF('Data Source'!Y472&gt;=4,"A",IF('Data Source'!Y472&gt;=3.5,"A-",IF('Data Source'!Y472&gt;=3,"B",IF('Data Source'!Y472&gt;=2,"C",IF('Data Source'!Y472&gt;=1,"D","F")))))),"")</f>
        <v/>
      </c>
      <c r="H472" s="3">
        <f>IF(AND('Data Source'!B472&lt;&gt;"",'Data Source'!S472="F"),IF('Data Source'!Z472&gt;=5,"A+",IF('Data Source'!Z472&gt;=4,"A",IF('Data Source'!Z472&gt;=3.5,"A-",IF('Data Source'!Z472&gt;=3,"B",IF('Data Source'!Z472&gt;=2,"C",IF('Data Source'!Z472&gt;=1,"D","F")))))),"")</f>
        <v/>
      </c>
      <c r="I472" s="3">
        <f>IF(AND('Data Source'!B472&lt;&gt;"",'Data Source'!S472="F"),IF('Data Source'!AA472&gt;=5,"A+",IF('Data Source'!AA472&gt;=4,"A",IF('Data Source'!AA472&gt;=3.5,"A-",IF('Data Source'!AA472&gt;=3,"B",IF('Data Source'!AA472&gt;=2,"C",IF('Data Source'!AA472&gt;=1,"D","F")))))),"")</f>
        <v/>
      </c>
      <c r="J472" s="3">
        <f>IF(AND('Data Source'!B472&lt;&gt;"",'Data Source'!S472="F"),IF('Data Source'!AB472&gt;=5,"A+",IF('Data Source'!AB472&gt;=4,"A",IF('Data Source'!AB472&gt;=3.5,"A-",IF('Data Source'!AB472&gt;=3,"B",IF('Data Source'!AB472&gt;=2,"C",IF('Data Source'!AB472&gt;=1,"D","F")))))),"")</f>
        <v/>
      </c>
      <c r="K472" s="3">
        <f>IF(AND('Data Source'!B472&lt;&gt;"",'Data Source'!S472="F"),IF('Data Source'!AC472&gt;=5,"A+",IF('Data Source'!AC472&gt;=4,"A",IF('Data Source'!AC472&gt;=3.5,"A-",IF('Data Source'!AC472&gt;=3,"B",IF('Data Source'!AC472&gt;=2,"C",IF('Data Source'!AC472&gt;=1,"D","F")))))),"")</f>
        <v/>
      </c>
      <c r="L472" s="3">
        <f>IF(AND('Data Source'!B472&lt;&gt;"",'Data Source'!S472="F"),IF('Data Source'!AD472&gt;=5,"A+",IF('Data Source'!AD472&gt;=4,"A",IF('Data Source'!AD472&gt;=3.5,"A-",IF('Data Source'!AD472&gt;=3,"B",IF('Data Source'!AD472&gt;=2,"C",IF('Data Source'!AD472&gt;=1,"D","F")))))),"")</f>
        <v/>
      </c>
      <c r="M472" s="3">
        <f>IF(AND('Data Source'!B472&lt;&gt;"",'Data Source'!S472="F"),IF('Data Source'!AE472&gt;=5,"A+",IF('Data Source'!AE472&gt;=4,"A",IF('Data Source'!AE472&gt;=3.5,"A-",IF('Data Source'!AE472&gt;=3,"B",IF('Data Source'!AE472&gt;=2,"C",IF('Data Source'!AE472&gt;=1,"D","F")))))),"")</f>
        <v/>
      </c>
      <c r="N472" s="3">
        <f>IF(AND('Data Source'!B472&lt;&gt;"",'Data Source'!S472="F"),IF('Data Source'!AF472&gt;=5,"A+",IF('Data Source'!AF472&gt;=4,"A",IF('Data Source'!AF472&gt;=3.5,"A-",IF('Data Source'!AF472&gt;=3,"B",IF('Data Source'!AF472&gt;=2,"C",IF('Data Source'!AF472&gt;=1,"D","F")))))),"")</f>
        <v/>
      </c>
      <c r="O472" s="3">
        <f>IF(AND('Data Source'!B472&lt;&gt;"",'Data Source'!S472="F"),IF('Data Source'!AG472&gt;=5,"A+",IF('Data Source'!AG472&gt;=4,"A",IF('Data Source'!AG472&gt;=3.5,"A-",IF('Data Source'!AG472&gt;=3,"B",IF('Data Source'!AG472&gt;=2,"C",IF('Data Source'!AG472&gt;=1,"D","F")))))),"")</f>
        <v/>
      </c>
      <c r="P472" s="5">
        <f>IF(AND('Data Source'!B472&lt;&gt;"",'Data Source'!S472="F"),'Data Source'!R472,"")</f>
        <v/>
      </c>
      <c r="Q472" s="3">
        <f>IF(AND('Data Source'!B472&lt;&gt;"",'Data Source'!S472="F"),'Data Source'!S472,"")</f>
        <v/>
      </c>
    </row>
    <row r="473">
      <c r="A473" s="3">
        <f>IF(AND('Data Source'!B473&lt;&gt;"",'Data Source'!S473="F"),COUNTIF('Data Source'!$S$3:S473,"F"),"")</f>
        <v/>
      </c>
      <c r="B473">
        <f>IF(AND('Data Source'!B473&lt;&gt;"",'Data Source'!S473="F"),'Data Source'!B473,"")</f>
        <v/>
      </c>
      <c r="C473" s="3">
        <f>IF(AND('Data Source'!B473&lt;&gt;"",'Data Source'!S473="F"),IF('Data Source'!U473&gt;=5,"A+",IF('Data Source'!U473&gt;=4,"A",IF('Data Source'!U473&gt;=3.5,"A-",IF('Data Source'!U473&gt;=3,"B",IF('Data Source'!U473&gt;=2,"C",IF('Data Source'!U473&gt;=1,"D","F")))))),"")</f>
        <v/>
      </c>
      <c r="D473" s="3">
        <f>IF(AND('Data Source'!B473&lt;&gt;"",'Data Source'!S473="F"),IF('Data Source'!V473&gt;=5,"A+",IF('Data Source'!V473&gt;=4,"A",IF('Data Source'!V473&gt;=3.5,"A-",IF('Data Source'!V473&gt;=3,"B",IF('Data Source'!V473&gt;=2,"C",IF('Data Source'!V473&gt;=1,"D","F")))))),"")</f>
        <v/>
      </c>
      <c r="E473" s="3">
        <f>IF(AND('Data Source'!B473&lt;&gt;"",'Data Source'!S473="F"),IF('Data Source'!W473&gt;=5,"A+",IF('Data Source'!W473&gt;=4,"A",IF('Data Source'!W473&gt;=3.5,"A-",IF('Data Source'!W473&gt;=3,"B",IF('Data Source'!W473&gt;=2,"C",IF('Data Source'!W473&gt;=1,"D","F")))))),"")</f>
        <v/>
      </c>
      <c r="F473" s="3">
        <f>IF(AND('Data Source'!B473&lt;&gt;"",'Data Source'!S473="F"),IF('Data Source'!X473&gt;=5,"A+",IF('Data Source'!X473&gt;=4,"A",IF('Data Source'!X473&gt;=3.5,"A-",IF('Data Source'!X473&gt;=3,"B",IF('Data Source'!X473&gt;=2,"C",IF('Data Source'!X473&gt;=1,"D","F")))))),"")</f>
        <v/>
      </c>
      <c r="G473" s="3">
        <f>IF(AND('Data Source'!B473&lt;&gt;"",'Data Source'!S473="F"),IF('Data Source'!Y473&gt;=5,"A+",IF('Data Source'!Y473&gt;=4,"A",IF('Data Source'!Y473&gt;=3.5,"A-",IF('Data Source'!Y473&gt;=3,"B",IF('Data Source'!Y473&gt;=2,"C",IF('Data Source'!Y473&gt;=1,"D","F")))))),"")</f>
        <v/>
      </c>
      <c r="H473" s="3">
        <f>IF(AND('Data Source'!B473&lt;&gt;"",'Data Source'!S473="F"),IF('Data Source'!Z473&gt;=5,"A+",IF('Data Source'!Z473&gt;=4,"A",IF('Data Source'!Z473&gt;=3.5,"A-",IF('Data Source'!Z473&gt;=3,"B",IF('Data Source'!Z473&gt;=2,"C",IF('Data Source'!Z473&gt;=1,"D","F")))))),"")</f>
        <v/>
      </c>
      <c r="I473" s="3">
        <f>IF(AND('Data Source'!B473&lt;&gt;"",'Data Source'!S473="F"),IF('Data Source'!AA473&gt;=5,"A+",IF('Data Source'!AA473&gt;=4,"A",IF('Data Source'!AA473&gt;=3.5,"A-",IF('Data Source'!AA473&gt;=3,"B",IF('Data Source'!AA473&gt;=2,"C",IF('Data Source'!AA473&gt;=1,"D","F")))))),"")</f>
        <v/>
      </c>
      <c r="J473" s="3">
        <f>IF(AND('Data Source'!B473&lt;&gt;"",'Data Source'!S473="F"),IF('Data Source'!AB473&gt;=5,"A+",IF('Data Source'!AB473&gt;=4,"A",IF('Data Source'!AB473&gt;=3.5,"A-",IF('Data Source'!AB473&gt;=3,"B",IF('Data Source'!AB473&gt;=2,"C",IF('Data Source'!AB473&gt;=1,"D","F")))))),"")</f>
        <v/>
      </c>
      <c r="K473" s="3">
        <f>IF(AND('Data Source'!B473&lt;&gt;"",'Data Source'!S473="F"),IF('Data Source'!AC473&gt;=5,"A+",IF('Data Source'!AC473&gt;=4,"A",IF('Data Source'!AC473&gt;=3.5,"A-",IF('Data Source'!AC473&gt;=3,"B",IF('Data Source'!AC473&gt;=2,"C",IF('Data Source'!AC473&gt;=1,"D","F")))))),"")</f>
        <v/>
      </c>
      <c r="L473" s="3">
        <f>IF(AND('Data Source'!B473&lt;&gt;"",'Data Source'!S473="F"),IF('Data Source'!AD473&gt;=5,"A+",IF('Data Source'!AD473&gt;=4,"A",IF('Data Source'!AD473&gt;=3.5,"A-",IF('Data Source'!AD473&gt;=3,"B",IF('Data Source'!AD473&gt;=2,"C",IF('Data Source'!AD473&gt;=1,"D","F")))))),"")</f>
        <v/>
      </c>
      <c r="M473" s="3">
        <f>IF(AND('Data Source'!B473&lt;&gt;"",'Data Source'!S473="F"),IF('Data Source'!AE473&gt;=5,"A+",IF('Data Source'!AE473&gt;=4,"A",IF('Data Source'!AE473&gt;=3.5,"A-",IF('Data Source'!AE473&gt;=3,"B",IF('Data Source'!AE473&gt;=2,"C",IF('Data Source'!AE473&gt;=1,"D","F")))))),"")</f>
        <v/>
      </c>
      <c r="N473" s="3">
        <f>IF(AND('Data Source'!B473&lt;&gt;"",'Data Source'!S473="F"),IF('Data Source'!AF473&gt;=5,"A+",IF('Data Source'!AF473&gt;=4,"A",IF('Data Source'!AF473&gt;=3.5,"A-",IF('Data Source'!AF473&gt;=3,"B",IF('Data Source'!AF473&gt;=2,"C",IF('Data Source'!AF473&gt;=1,"D","F")))))),"")</f>
        <v/>
      </c>
      <c r="O473" s="3">
        <f>IF(AND('Data Source'!B473&lt;&gt;"",'Data Source'!S473="F"),IF('Data Source'!AG473&gt;=5,"A+",IF('Data Source'!AG473&gt;=4,"A",IF('Data Source'!AG473&gt;=3.5,"A-",IF('Data Source'!AG473&gt;=3,"B",IF('Data Source'!AG473&gt;=2,"C",IF('Data Source'!AG473&gt;=1,"D","F")))))),"")</f>
        <v/>
      </c>
      <c r="P473" s="5">
        <f>IF(AND('Data Source'!B473&lt;&gt;"",'Data Source'!S473="F"),'Data Source'!R473,"")</f>
        <v/>
      </c>
      <c r="Q473" s="3">
        <f>IF(AND('Data Source'!B473&lt;&gt;"",'Data Source'!S473="F"),'Data Source'!S473,"")</f>
        <v/>
      </c>
    </row>
    <row r="474">
      <c r="A474" s="3">
        <f>IF(AND('Data Source'!B474&lt;&gt;"",'Data Source'!S474="F"),COUNTIF('Data Source'!$S$3:S474,"F"),"")</f>
        <v/>
      </c>
      <c r="B474">
        <f>IF(AND('Data Source'!B474&lt;&gt;"",'Data Source'!S474="F"),'Data Source'!B474,"")</f>
        <v/>
      </c>
      <c r="C474" s="3">
        <f>IF(AND('Data Source'!B474&lt;&gt;"",'Data Source'!S474="F"),IF('Data Source'!U474&gt;=5,"A+",IF('Data Source'!U474&gt;=4,"A",IF('Data Source'!U474&gt;=3.5,"A-",IF('Data Source'!U474&gt;=3,"B",IF('Data Source'!U474&gt;=2,"C",IF('Data Source'!U474&gt;=1,"D","F")))))),"")</f>
        <v/>
      </c>
      <c r="D474" s="3">
        <f>IF(AND('Data Source'!B474&lt;&gt;"",'Data Source'!S474="F"),IF('Data Source'!V474&gt;=5,"A+",IF('Data Source'!V474&gt;=4,"A",IF('Data Source'!V474&gt;=3.5,"A-",IF('Data Source'!V474&gt;=3,"B",IF('Data Source'!V474&gt;=2,"C",IF('Data Source'!V474&gt;=1,"D","F")))))),"")</f>
        <v/>
      </c>
      <c r="E474" s="3">
        <f>IF(AND('Data Source'!B474&lt;&gt;"",'Data Source'!S474="F"),IF('Data Source'!W474&gt;=5,"A+",IF('Data Source'!W474&gt;=4,"A",IF('Data Source'!W474&gt;=3.5,"A-",IF('Data Source'!W474&gt;=3,"B",IF('Data Source'!W474&gt;=2,"C",IF('Data Source'!W474&gt;=1,"D","F")))))),"")</f>
        <v/>
      </c>
      <c r="F474" s="3">
        <f>IF(AND('Data Source'!B474&lt;&gt;"",'Data Source'!S474="F"),IF('Data Source'!X474&gt;=5,"A+",IF('Data Source'!X474&gt;=4,"A",IF('Data Source'!X474&gt;=3.5,"A-",IF('Data Source'!X474&gt;=3,"B",IF('Data Source'!X474&gt;=2,"C",IF('Data Source'!X474&gt;=1,"D","F")))))),"")</f>
        <v/>
      </c>
      <c r="G474" s="3">
        <f>IF(AND('Data Source'!B474&lt;&gt;"",'Data Source'!S474="F"),IF('Data Source'!Y474&gt;=5,"A+",IF('Data Source'!Y474&gt;=4,"A",IF('Data Source'!Y474&gt;=3.5,"A-",IF('Data Source'!Y474&gt;=3,"B",IF('Data Source'!Y474&gt;=2,"C",IF('Data Source'!Y474&gt;=1,"D","F")))))),"")</f>
        <v/>
      </c>
      <c r="H474" s="3">
        <f>IF(AND('Data Source'!B474&lt;&gt;"",'Data Source'!S474="F"),IF('Data Source'!Z474&gt;=5,"A+",IF('Data Source'!Z474&gt;=4,"A",IF('Data Source'!Z474&gt;=3.5,"A-",IF('Data Source'!Z474&gt;=3,"B",IF('Data Source'!Z474&gt;=2,"C",IF('Data Source'!Z474&gt;=1,"D","F")))))),"")</f>
        <v/>
      </c>
      <c r="I474" s="3">
        <f>IF(AND('Data Source'!B474&lt;&gt;"",'Data Source'!S474="F"),IF('Data Source'!AA474&gt;=5,"A+",IF('Data Source'!AA474&gt;=4,"A",IF('Data Source'!AA474&gt;=3.5,"A-",IF('Data Source'!AA474&gt;=3,"B",IF('Data Source'!AA474&gt;=2,"C",IF('Data Source'!AA474&gt;=1,"D","F")))))),"")</f>
        <v/>
      </c>
      <c r="J474" s="3">
        <f>IF(AND('Data Source'!B474&lt;&gt;"",'Data Source'!S474="F"),IF('Data Source'!AB474&gt;=5,"A+",IF('Data Source'!AB474&gt;=4,"A",IF('Data Source'!AB474&gt;=3.5,"A-",IF('Data Source'!AB474&gt;=3,"B",IF('Data Source'!AB474&gt;=2,"C",IF('Data Source'!AB474&gt;=1,"D","F")))))),"")</f>
        <v/>
      </c>
      <c r="K474" s="3">
        <f>IF(AND('Data Source'!B474&lt;&gt;"",'Data Source'!S474="F"),IF('Data Source'!AC474&gt;=5,"A+",IF('Data Source'!AC474&gt;=4,"A",IF('Data Source'!AC474&gt;=3.5,"A-",IF('Data Source'!AC474&gt;=3,"B",IF('Data Source'!AC474&gt;=2,"C",IF('Data Source'!AC474&gt;=1,"D","F")))))),"")</f>
        <v/>
      </c>
      <c r="L474" s="3">
        <f>IF(AND('Data Source'!B474&lt;&gt;"",'Data Source'!S474="F"),IF('Data Source'!AD474&gt;=5,"A+",IF('Data Source'!AD474&gt;=4,"A",IF('Data Source'!AD474&gt;=3.5,"A-",IF('Data Source'!AD474&gt;=3,"B",IF('Data Source'!AD474&gt;=2,"C",IF('Data Source'!AD474&gt;=1,"D","F")))))),"")</f>
        <v/>
      </c>
      <c r="M474" s="3">
        <f>IF(AND('Data Source'!B474&lt;&gt;"",'Data Source'!S474="F"),IF('Data Source'!AE474&gt;=5,"A+",IF('Data Source'!AE474&gt;=4,"A",IF('Data Source'!AE474&gt;=3.5,"A-",IF('Data Source'!AE474&gt;=3,"B",IF('Data Source'!AE474&gt;=2,"C",IF('Data Source'!AE474&gt;=1,"D","F")))))),"")</f>
        <v/>
      </c>
      <c r="N474" s="3">
        <f>IF(AND('Data Source'!B474&lt;&gt;"",'Data Source'!S474="F"),IF('Data Source'!AF474&gt;=5,"A+",IF('Data Source'!AF474&gt;=4,"A",IF('Data Source'!AF474&gt;=3.5,"A-",IF('Data Source'!AF474&gt;=3,"B",IF('Data Source'!AF474&gt;=2,"C",IF('Data Source'!AF474&gt;=1,"D","F")))))),"")</f>
        <v/>
      </c>
      <c r="O474" s="3">
        <f>IF(AND('Data Source'!B474&lt;&gt;"",'Data Source'!S474="F"),IF('Data Source'!AG474&gt;=5,"A+",IF('Data Source'!AG474&gt;=4,"A",IF('Data Source'!AG474&gt;=3.5,"A-",IF('Data Source'!AG474&gt;=3,"B",IF('Data Source'!AG474&gt;=2,"C",IF('Data Source'!AG474&gt;=1,"D","F")))))),"")</f>
        <v/>
      </c>
      <c r="P474" s="5">
        <f>IF(AND('Data Source'!B474&lt;&gt;"",'Data Source'!S474="F"),'Data Source'!R474,"")</f>
        <v/>
      </c>
      <c r="Q474" s="3">
        <f>IF(AND('Data Source'!B474&lt;&gt;"",'Data Source'!S474="F"),'Data Source'!S474,"")</f>
        <v/>
      </c>
    </row>
    <row r="475">
      <c r="A475" s="3">
        <f>IF(AND('Data Source'!B475&lt;&gt;"",'Data Source'!S475="F"),COUNTIF('Data Source'!$S$3:S475,"F"),"")</f>
        <v/>
      </c>
      <c r="B475">
        <f>IF(AND('Data Source'!B475&lt;&gt;"",'Data Source'!S475="F"),'Data Source'!B475,"")</f>
        <v/>
      </c>
      <c r="C475" s="3">
        <f>IF(AND('Data Source'!B475&lt;&gt;"",'Data Source'!S475="F"),IF('Data Source'!U475&gt;=5,"A+",IF('Data Source'!U475&gt;=4,"A",IF('Data Source'!U475&gt;=3.5,"A-",IF('Data Source'!U475&gt;=3,"B",IF('Data Source'!U475&gt;=2,"C",IF('Data Source'!U475&gt;=1,"D","F")))))),"")</f>
        <v/>
      </c>
      <c r="D475" s="3">
        <f>IF(AND('Data Source'!B475&lt;&gt;"",'Data Source'!S475="F"),IF('Data Source'!V475&gt;=5,"A+",IF('Data Source'!V475&gt;=4,"A",IF('Data Source'!V475&gt;=3.5,"A-",IF('Data Source'!V475&gt;=3,"B",IF('Data Source'!V475&gt;=2,"C",IF('Data Source'!V475&gt;=1,"D","F")))))),"")</f>
        <v/>
      </c>
      <c r="E475" s="3">
        <f>IF(AND('Data Source'!B475&lt;&gt;"",'Data Source'!S475="F"),IF('Data Source'!W475&gt;=5,"A+",IF('Data Source'!W475&gt;=4,"A",IF('Data Source'!W475&gt;=3.5,"A-",IF('Data Source'!W475&gt;=3,"B",IF('Data Source'!W475&gt;=2,"C",IF('Data Source'!W475&gt;=1,"D","F")))))),"")</f>
        <v/>
      </c>
      <c r="F475" s="3">
        <f>IF(AND('Data Source'!B475&lt;&gt;"",'Data Source'!S475="F"),IF('Data Source'!X475&gt;=5,"A+",IF('Data Source'!X475&gt;=4,"A",IF('Data Source'!X475&gt;=3.5,"A-",IF('Data Source'!X475&gt;=3,"B",IF('Data Source'!X475&gt;=2,"C",IF('Data Source'!X475&gt;=1,"D","F")))))),"")</f>
        <v/>
      </c>
      <c r="G475" s="3">
        <f>IF(AND('Data Source'!B475&lt;&gt;"",'Data Source'!S475="F"),IF('Data Source'!Y475&gt;=5,"A+",IF('Data Source'!Y475&gt;=4,"A",IF('Data Source'!Y475&gt;=3.5,"A-",IF('Data Source'!Y475&gt;=3,"B",IF('Data Source'!Y475&gt;=2,"C",IF('Data Source'!Y475&gt;=1,"D","F")))))),"")</f>
        <v/>
      </c>
      <c r="H475" s="3">
        <f>IF(AND('Data Source'!B475&lt;&gt;"",'Data Source'!S475="F"),IF('Data Source'!Z475&gt;=5,"A+",IF('Data Source'!Z475&gt;=4,"A",IF('Data Source'!Z475&gt;=3.5,"A-",IF('Data Source'!Z475&gt;=3,"B",IF('Data Source'!Z475&gt;=2,"C",IF('Data Source'!Z475&gt;=1,"D","F")))))),"")</f>
        <v/>
      </c>
      <c r="I475" s="3">
        <f>IF(AND('Data Source'!B475&lt;&gt;"",'Data Source'!S475="F"),IF('Data Source'!AA475&gt;=5,"A+",IF('Data Source'!AA475&gt;=4,"A",IF('Data Source'!AA475&gt;=3.5,"A-",IF('Data Source'!AA475&gt;=3,"B",IF('Data Source'!AA475&gt;=2,"C",IF('Data Source'!AA475&gt;=1,"D","F")))))),"")</f>
        <v/>
      </c>
      <c r="J475" s="3">
        <f>IF(AND('Data Source'!B475&lt;&gt;"",'Data Source'!S475="F"),IF('Data Source'!AB475&gt;=5,"A+",IF('Data Source'!AB475&gt;=4,"A",IF('Data Source'!AB475&gt;=3.5,"A-",IF('Data Source'!AB475&gt;=3,"B",IF('Data Source'!AB475&gt;=2,"C",IF('Data Source'!AB475&gt;=1,"D","F")))))),"")</f>
        <v/>
      </c>
      <c r="K475" s="3">
        <f>IF(AND('Data Source'!B475&lt;&gt;"",'Data Source'!S475="F"),IF('Data Source'!AC475&gt;=5,"A+",IF('Data Source'!AC475&gt;=4,"A",IF('Data Source'!AC475&gt;=3.5,"A-",IF('Data Source'!AC475&gt;=3,"B",IF('Data Source'!AC475&gt;=2,"C",IF('Data Source'!AC475&gt;=1,"D","F")))))),"")</f>
        <v/>
      </c>
      <c r="L475" s="3">
        <f>IF(AND('Data Source'!B475&lt;&gt;"",'Data Source'!S475="F"),IF('Data Source'!AD475&gt;=5,"A+",IF('Data Source'!AD475&gt;=4,"A",IF('Data Source'!AD475&gt;=3.5,"A-",IF('Data Source'!AD475&gt;=3,"B",IF('Data Source'!AD475&gt;=2,"C",IF('Data Source'!AD475&gt;=1,"D","F")))))),"")</f>
        <v/>
      </c>
      <c r="M475" s="3">
        <f>IF(AND('Data Source'!B475&lt;&gt;"",'Data Source'!S475="F"),IF('Data Source'!AE475&gt;=5,"A+",IF('Data Source'!AE475&gt;=4,"A",IF('Data Source'!AE475&gt;=3.5,"A-",IF('Data Source'!AE475&gt;=3,"B",IF('Data Source'!AE475&gt;=2,"C",IF('Data Source'!AE475&gt;=1,"D","F")))))),"")</f>
        <v/>
      </c>
      <c r="N475" s="3">
        <f>IF(AND('Data Source'!B475&lt;&gt;"",'Data Source'!S475="F"),IF('Data Source'!AF475&gt;=5,"A+",IF('Data Source'!AF475&gt;=4,"A",IF('Data Source'!AF475&gt;=3.5,"A-",IF('Data Source'!AF475&gt;=3,"B",IF('Data Source'!AF475&gt;=2,"C",IF('Data Source'!AF475&gt;=1,"D","F")))))),"")</f>
        <v/>
      </c>
      <c r="O475" s="3">
        <f>IF(AND('Data Source'!B475&lt;&gt;"",'Data Source'!S475="F"),IF('Data Source'!AG475&gt;=5,"A+",IF('Data Source'!AG475&gt;=4,"A",IF('Data Source'!AG475&gt;=3.5,"A-",IF('Data Source'!AG475&gt;=3,"B",IF('Data Source'!AG475&gt;=2,"C",IF('Data Source'!AG475&gt;=1,"D","F")))))),"")</f>
        <v/>
      </c>
      <c r="P475" s="5">
        <f>IF(AND('Data Source'!B475&lt;&gt;"",'Data Source'!S475="F"),'Data Source'!R475,"")</f>
        <v/>
      </c>
      <c r="Q475" s="3">
        <f>IF(AND('Data Source'!B475&lt;&gt;"",'Data Source'!S475="F"),'Data Source'!S475,"")</f>
        <v/>
      </c>
    </row>
    <row r="476">
      <c r="A476" s="3">
        <f>IF(AND('Data Source'!B476&lt;&gt;"",'Data Source'!S476="F"),COUNTIF('Data Source'!$S$3:S476,"F"),"")</f>
        <v/>
      </c>
      <c r="B476">
        <f>IF(AND('Data Source'!B476&lt;&gt;"",'Data Source'!S476="F"),'Data Source'!B476,"")</f>
        <v/>
      </c>
      <c r="C476" s="3">
        <f>IF(AND('Data Source'!B476&lt;&gt;"",'Data Source'!S476="F"),IF('Data Source'!U476&gt;=5,"A+",IF('Data Source'!U476&gt;=4,"A",IF('Data Source'!U476&gt;=3.5,"A-",IF('Data Source'!U476&gt;=3,"B",IF('Data Source'!U476&gt;=2,"C",IF('Data Source'!U476&gt;=1,"D","F")))))),"")</f>
        <v/>
      </c>
      <c r="D476" s="3">
        <f>IF(AND('Data Source'!B476&lt;&gt;"",'Data Source'!S476="F"),IF('Data Source'!V476&gt;=5,"A+",IF('Data Source'!V476&gt;=4,"A",IF('Data Source'!V476&gt;=3.5,"A-",IF('Data Source'!V476&gt;=3,"B",IF('Data Source'!V476&gt;=2,"C",IF('Data Source'!V476&gt;=1,"D","F")))))),"")</f>
        <v/>
      </c>
      <c r="E476" s="3">
        <f>IF(AND('Data Source'!B476&lt;&gt;"",'Data Source'!S476="F"),IF('Data Source'!W476&gt;=5,"A+",IF('Data Source'!W476&gt;=4,"A",IF('Data Source'!W476&gt;=3.5,"A-",IF('Data Source'!W476&gt;=3,"B",IF('Data Source'!W476&gt;=2,"C",IF('Data Source'!W476&gt;=1,"D","F")))))),"")</f>
        <v/>
      </c>
      <c r="F476" s="3">
        <f>IF(AND('Data Source'!B476&lt;&gt;"",'Data Source'!S476="F"),IF('Data Source'!X476&gt;=5,"A+",IF('Data Source'!X476&gt;=4,"A",IF('Data Source'!X476&gt;=3.5,"A-",IF('Data Source'!X476&gt;=3,"B",IF('Data Source'!X476&gt;=2,"C",IF('Data Source'!X476&gt;=1,"D","F")))))),"")</f>
        <v/>
      </c>
      <c r="G476" s="3">
        <f>IF(AND('Data Source'!B476&lt;&gt;"",'Data Source'!S476="F"),IF('Data Source'!Y476&gt;=5,"A+",IF('Data Source'!Y476&gt;=4,"A",IF('Data Source'!Y476&gt;=3.5,"A-",IF('Data Source'!Y476&gt;=3,"B",IF('Data Source'!Y476&gt;=2,"C",IF('Data Source'!Y476&gt;=1,"D","F")))))),"")</f>
        <v/>
      </c>
      <c r="H476" s="3">
        <f>IF(AND('Data Source'!B476&lt;&gt;"",'Data Source'!S476="F"),IF('Data Source'!Z476&gt;=5,"A+",IF('Data Source'!Z476&gt;=4,"A",IF('Data Source'!Z476&gt;=3.5,"A-",IF('Data Source'!Z476&gt;=3,"B",IF('Data Source'!Z476&gt;=2,"C",IF('Data Source'!Z476&gt;=1,"D","F")))))),"")</f>
        <v/>
      </c>
      <c r="I476" s="3">
        <f>IF(AND('Data Source'!B476&lt;&gt;"",'Data Source'!S476="F"),IF('Data Source'!AA476&gt;=5,"A+",IF('Data Source'!AA476&gt;=4,"A",IF('Data Source'!AA476&gt;=3.5,"A-",IF('Data Source'!AA476&gt;=3,"B",IF('Data Source'!AA476&gt;=2,"C",IF('Data Source'!AA476&gt;=1,"D","F")))))),"")</f>
        <v/>
      </c>
      <c r="J476" s="3">
        <f>IF(AND('Data Source'!B476&lt;&gt;"",'Data Source'!S476="F"),IF('Data Source'!AB476&gt;=5,"A+",IF('Data Source'!AB476&gt;=4,"A",IF('Data Source'!AB476&gt;=3.5,"A-",IF('Data Source'!AB476&gt;=3,"B",IF('Data Source'!AB476&gt;=2,"C",IF('Data Source'!AB476&gt;=1,"D","F")))))),"")</f>
        <v/>
      </c>
      <c r="K476" s="3">
        <f>IF(AND('Data Source'!B476&lt;&gt;"",'Data Source'!S476="F"),IF('Data Source'!AC476&gt;=5,"A+",IF('Data Source'!AC476&gt;=4,"A",IF('Data Source'!AC476&gt;=3.5,"A-",IF('Data Source'!AC476&gt;=3,"B",IF('Data Source'!AC476&gt;=2,"C",IF('Data Source'!AC476&gt;=1,"D","F")))))),"")</f>
        <v/>
      </c>
      <c r="L476" s="3">
        <f>IF(AND('Data Source'!B476&lt;&gt;"",'Data Source'!S476="F"),IF('Data Source'!AD476&gt;=5,"A+",IF('Data Source'!AD476&gt;=4,"A",IF('Data Source'!AD476&gt;=3.5,"A-",IF('Data Source'!AD476&gt;=3,"B",IF('Data Source'!AD476&gt;=2,"C",IF('Data Source'!AD476&gt;=1,"D","F")))))),"")</f>
        <v/>
      </c>
      <c r="M476" s="3">
        <f>IF(AND('Data Source'!B476&lt;&gt;"",'Data Source'!S476="F"),IF('Data Source'!AE476&gt;=5,"A+",IF('Data Source'!AE476&gt;=4,"A",IF('Data Source'!AE476&gt;=3.5,"A-",IF('Data Source'!AE476&gt;=3,"B",IF('Data Source'!AE476&gt;=2,"C",IF('Data Source'!AE476&gt;=1,"D","F")))))),"")</f>
        <v/>
      </c>
      <c r="N476" s="3">
        <f>IF(AND('Data Source'!B476&lt;&gt;"",'Data Source'!S476="F"),IF('Data Source'!AF476&gt;=5,"A+",IF('Data Source'!AF476&gt;=4,"A",IF('Data Source'!AF476&gt;=3.5,"A-",IF('Data Source'!AF476&gt;=3,"B",IF('Data Source'!AF476&gt;=2,"C",IF('Data Source'!AF476&gt;=1,"D","F")))))),"")</f>
        <v/>
      </c>
      <c r="O476" s="3">
        <f>IF(AND('Data Source'!B476&lt;&gt;"",'Data Source'!S476="F"),IF('Data Source'!AG476&gt;=5,"A+",IF('Data Source'!AG476&gt;=4,"A",IF('Data Source'!AG476&gt;=3.5,"A-",IF('Data Source'!AG476&gt;=3,"B",IF('Data Source'!AG476&gt;=2,"C",IF('Data Source'!AG476&gt;=1,"D","F")))))),"")</f>
        <v/>
      </c>
      <c r="P476" s="5">
        <f>IF(AND('Data Source'!B476&lt;&gt;"",'Data Source'!S476="F"),'Data Source'!R476,"")</f>
        <v/>
      </c>
      <c r="Q476" s="3">
        <f>IF(AND('Data Source'!B476&lt;&gt;"",'Data Source'!S476="F"),'Data Source'!S476,"")</f>
        <v/>
      </c>
    </row>
    <row r="477">
      <c r="A477" s="3">
        <f>IF(AND('Data Source'!B477&lt;&gt;"",'Data Source'!S477="F"),COUNTIF('Data Source'!$S$3:S477,"F"),"")</f>
        <v/>
      </c>
      <c r="B477">
        <f>IF(AND('Data Source'!B477&lt;&gt;"",'Data Source'!S477="F"),'Data Source'!B477,"")</f>
        <v/>
      </c>
      <c r="C477" s="3">
        <f>IF(AND('Data Source'!B477&lt;&gt;"",'Data Source'!S477="F"),IF('Data Source'!U477&gt;=5,"A+",IF('Data Source'!U477&gt;=4,"A",IF('Data Source'!U477&gt;=3.5,"A-",IF('Data Source'!U477&gt;=3,"B",IF('Data Source'!U477&gt;=2,"C",IF('Data Source'!U477&gt;=1,"D","F")))))),"")</f>
        <v/>
      </c>
      <c r="D477" s="3">
        <f>IF(AND('Data Source'!B477&lt;&gt;"",'Data Source'!S477="F"),IF('Data Source'!V477&gt;=5,"A+",IF('Data Source'!V477&gt;=4,"A",IF('Data Source'!V477&gt;=3.5,"A-",IF('Data Source'!V477&gt;=3,"B",IF('Data Source'!V477&gt;=2,"C",IF('Data Source'!V477&gt;=1,"D","F")))))),"")</f>
        <v/>
      </c>
      <c r="E477" s="3">
        <f>IF(AND('Data Source'!B477&lt;&gt;"",'Data Source'!S477="F"),IF('Data Source'!W477&gt;=5,"A+",IF('Data Source'!W477&gt;=4,"A",IF('Data Source'!W477&gt;=3.5,"A-",IF('Data Source'!W477&gt;=3,"B",IF('Data Source'!W477&gt;=2,"C",IF('Data Source'!W477&gt;=1,"D","F")))))),"")</f>
        <v/>
      </c>
      <c r="F477" s="3">
        <f>IF(AND('Data Source'!B477&lt;&gt;"",'Data Source'!S477="F"),IF('Data Source'!X477&gt;=5,"A+",IF('Data Source'!X477&gt;=4,"A",IF('Data Source'!X477&gt;=3.5,"A-",IF('Data Source'!X477&gt;=3,"B",IF('Data Source'!X477&gt;=2,"C",IF('Data Source'!X477&gt;=1,"D","F")))))),"")</f>
        <v/>
      </c>
      <c r="G477" s="3">
        <f>IF(AND('Data Source'!B477&lt;&gt;"",'Data Source'!S477="F"),IF('Data Source'!Y477&gt;=5,"A+",IF('Data Source'!Y477&gt;=4,"A",IF('Data Source'!Y477&gt;=3.5,"A-",IF('Data Source'!Y477&gt;=3,"B",IF('Data Source'!Y477&gt;=2,"C",IF('Data Source'!Y477&gt;=1,"D","F")))))),"")</f>
        <v/>
      </c>
      <c r="H477" s="3">
        <f>IF(AND('Data Source'!B477&lt;&gt;"",'Data Source'!S477="F"),IF('Data Source'!Z477&gt;=5,"A+",IF('Data Source'!Z477&gt;=4,"A",IF('Data Source'!Z477&gt;=3.5,"A-",IF('Data Source'!Z477&gt;=3,"B",IF('Data Source'!Z477&gt;=2,"C",IF('Data Source'!Z477&gt;=1,"D","F")))))),"")</f>
        <v/>
      </c>
      <c r="I477" s="3">
        <f>IF(AND('Data Source'!B477&lt;&gt;"",'Data Source'!S477="F"),IF('Data Source'!AA477&gt;=5,"A+",IF('Data Source'!AA477&gt;=4,"A",IF('Data Source'!AA477&gt;=3.5,"A-",IF('Data Source'!AA477&gt;=3,"B",IF('Data Source'!AA477&gt;=2,"C",IF('Data Source'!AA477&gt;=1,"D","F")))))),"")</f>
        <v/>
      </c>
      <c r="J477" s="3">
        <f>IF(AND('Data Source'!B477&lt;&gt;"",'Data Source'!S477="F"),IF('Data Source'!AB477&gt;=5,"A+",IF('Data Source'!AB477&gt;=4,"A",IF('Data Source'!AB477&gt;=3.5,"A-",IF('Data Source'!AB477&gt;=3,"B",IF('Data Source'!AB477&gt;=2,"C",IF('Data Source'!AB477&gt;=1,"D","F")))))),"")</f>
        <v/>
      </c>
      <c r="K477" s="3">
        <f>IF(AND('Data Source'!B477&lt;&gt;"",'Data Source'!S477="F"),IF('Data Source'!AC477&gt;=5,"A+",IF('Data Source'!AC477&gt;=4,"A",IF('Data Source'!AC477&gt;=3.5,"A-",IF('Data Source'!AC477&gt;=3,"B",IF('Data Source'!AC477&gt;=2,"C",IF('Data Source'!AC477&gt;=1,"D","F")))))),"")</f>
        <v/>
      </c>
      <c r="L477" s="3">
        <f>IF(AND('Data Source'!B477&lt;&gt;"",'Data Source'!S477="F"),IF('Data Source'!AD477&gt;=5,"A+",IF('Data Source'!AD477&gt;=4,"A",IF('Data Source'!AD477&gt;=3.5,"A-",IF('Data Source'!AD477&gt;=3,"B",IF('Data Source'!AD477&gt;=2,"C",IF('Data Source'!AD477&gt;=1,"D","F")))))),"")</f>
        <v/>
      </c>
      <c r="M477" s="3">
        <f>IF(AND('Data Source'!B477&lt;&gt;"",'Data Source'!S477="F"),IF('Data Source'!AE477&gt;=5,"A+",IF('Data Source'!AE477&gt;=4,"A",IF('Data Source'!AE477&gt;=3.5,"A-",IF('Data Source'!AE477&gt;=3,"B",IF('Data Source'!AE477&gt;=2,"C",IF('Data Source'!AE477&gt;=1,"D","F")))))),"")</f>
        <v/>
      </c>
      <c r="N477" s="3">
        <f>IF(AND('Data Source'!B477&lt;&gt;"",'Data Source'!S477="F"),IF('Data Source'!AF477&gt;=5,"A+",IF('Data Source'!AF477&gt;=4,"A",IF('Data Source'!AF477&gt;=3.5,"A-",IF('Data Source'!AF477&gt;=3,"B",IF('Data Source'!AF477&gt;=2,"C",IF('Data Source'!AF477&gt;=1,"D","F")))))),"")</f>
        <v/>
      </c>
      <c r="O477" s="3">
        <f>IF(AND('Data Source'!B477&lt;&gt;"",'Data Source'!S477="F"),IF('Data Source'!AG477&gt;=5,"A+",IF('Data Source'!AG477&gt;=4,"A",IF('Data Source'!AG477&gt;=3.5,"A-",IF('Data Source'!AG477&gt;=3,"B",IF('Data Source'!AG477&gt;=2,"C",IF('Data Source'!AG477&gt;=1,"D","F")))))),"")</f>
        <v/>
      </c>
      <c r="P477" s="5">
        <f>IF(AND('Data Source'!B477&lt;&gt;"",'Data Source'!S477="F"),'Data Source'!R477,"")</f>
        <v/>
      </c>
      <c r="Q477" s="3">
        <f>IF(AND('Data Source'!B477&lt;&gt;"",'Data Source'!S477="F"),'Data Source'!S477,"")</f>
        <v/>
      </c>
    </row>
    <row r="478">
      <c r="A478" s="3">
        <f>IF(AND('Data Source'!B478&lt;&gt;"",'Data Source'!S478="F"),COUNTIF('Data Source'!$S$3:S478,"F"),"")</f>
        <v/>
      </c>
      <c r="B478">
        <f>IF(AND('Data Source'!B478&lt;&gt;"",'Data Source'!S478="F"),'Data Source'!B478,"")</f>
        <v/>
      </c>
      <c r="C478" s="3">
        <f>IF(AND('Data Source'!B478&lt;&gt;"",'Data Source'!S478="F"),IF('Data Source'!U478&gt;=5,"A+",IF('Data Source'!U478&gt;=4,"A",IF('Data Source'!U478&gt;=3.5,"A-",IF('Data Source'!U478&gt;=3,"B",IF('Data Source'!U478&gt;=2,"C",IF('Data Source'!U478&gt;=1,"D","F")))))),"")</f>
        <v/>
      </c>
      <c r="D478" s="3">
        <f>IF(AND('Data Source'!B478&lt;&gt;"",'Data Source'!S478="F"),IF('Data Source'!V478&gt;=5,"A+",IF('Data Source'!V478&gt;=4,"A",IF('Data Source'!V478&gt;=3.5,"A-",IF('Data Source'!V478&gt;=3,"B",IF('Data Source'!V478&gt;=2,"C",IF('Data Source'!V478&gt;=1,"D","F")))))),"")</f>
        <v/>
      </c>
      <c r="E478" s="3">
        <f>IF(AND('Data Source'!B478&lt;&gt;"",'Data Source'!S478="F"),IF('Data Source'!W478&gt;=5,"A+",IF('Data Source'!W478&gt;=4,"A",IF('Data Source'!W478&gt;=3.5,"A-",IF('Data Source'!W478&gt;=3,"B",IF('Data Source'!W478&gt;=2,"C",IF('Data Source'!W478&gt;=1,"D","F")))))),"")</f>
        <v/>
      </c>
      <c r="F478" s="3">
        <f>IF(AND('Data Source'!B478&lt;&gt;"",'Data Source'!S478="F"),IF('Data Source'!X478&gt;=5,"A+",IF('Data Source'!X478&gt;=4,"A",IF('Data Source'!X478&gt;=3.5,"A-",IF('Data Source'!X478&gt;=3,"B",IF('Data Source'!X478&gt;=2,"C",IF('Data Source'!X478&gt;=1,"D","F")))))),"")</f>
        <v/>
      </c>
      <c r="G478" s="3">
        <f>IF(AND('Data Source'!B478&lt;&gt;"",'Data Source'!S478="F"),IF('Data Source'!Y478&gt;=5,"A+",IF('Data Source'!Y478&gt;=4,"A",IF('Data Source'!Y478&gt;=3.5,"A-",IF('Data Source'!Y478&gt;=3,"B",IF('Data Source'!Y478&gt;=2,"C",IF('Data Source'!Y478&gt;=1,"D","F")))))),"")</f>
        <v/>
      </c>
      <c r="H478" s="3">
        <f>IF(AND('Data Source'!B478&lt;&gt;"",'Data Source'!S478="F"),IF('Data Source'!Z478&gt;=5,"A+",IF('Data Source'!Z478&gt;=4,"A",IF('Data Source'!Z478&gt;=3.5,"A-",IF('Data Source'!Z478&gt;=3,"B",IF('Data Source'!Z478&gt;=2,"C",IF('Data Source'!Z478&gt;=1,"D","F")))))),"")</f>
        <v/>
      </c>
      <c r="I478" s="3">
        <f>IF(AND('Data Source'!B478&lt;&gt;"",'Data Source'!S478="F"),IF('Data Source'!AA478&gt;=5,"A+",IF('Data Source'!AA478&gt;=4,"A",IF('Data Source'!AA478&gt;=3.5,"A-",IF('Data Source'!AA478&gt;=3,"B",IF('Data Source'!AA478&gt;=2,"C",IF('Data Source'!AA478&gt;=1,"D","F")))))),"")</f>
        <v/>
      </c>
      <c r="J478" s="3">
        <f>IF(AND('Data Source'!B478&lt;&gt;"",'Data Source'!S478="F"),IF('Data Source'!AB478&gt;=5,"A+",IF('Data Source'!AB478&gt;=4,"A",IF('Data Source'!AB478&gt;=3.5,"A-",IF('Data Source'!AB478&gt;=3,"B",IF('Data Source'!AB478&gt;=2,"C",IF('Data Source'!AB478&gt;=1,"D","F")))))),"")</f>
        <v/>
      </c>
      <c r="K478" s="3">
        <f>IF(AND('Data Source'!B478&lt;&gt;"",'Data Source'!S478="F"),IF('Data Source'!AC478&gt;=5,"A+",IF('Data Source'!AC478&gt;=4,"A",IF('Data Source'!AC478&gt;=3.5,"A-",IF('Data Source'!AC478&gt;=3,"B",IF('Data Source'!AC478&gt;=2,"C",IF('Data Source'!AC478&gt;=1,"D","F")))))),"")</f>
        <v/>
      </c>
      <c r="L478" s="3">
        <f>IF(AND('Data Source'!B478&lt;&gt;"",'Data Source'!S478="F"),IF('Data Source'!AD478&gt;=5,"A+",IF('Data Source'!AD478&gt;=4,"A",IF('Data Source'!AD478&gt;=3.5,"A-",IF('Data Source'!AD478&gt;=3,"B",IF('Data Source'!AD478&gt;=2,"C",IF('Data Source'!AD478&gt;=1,"D","F")))))),"")</f>
        <v/>
      </c>
      <c r="M478" s="3">
        <f>IF(AND('Data Source'!B478&lt;&gt;"",'Data Source'!S478="F"),IF('Data Source'!AE478&gt;=5,"A+",IF('Data Source'!AE478&gt;=4,"A",IF('Data Source'!AE478&gt;=3.5,"A-",IF('Data Source'!AE478&gt;=3,"B",IF('Data Source'!AE478&gt;=2,"C",IF('Data Source'!AE478&gt;=1,"D","F")))))),"")</f>
        <v/>
      </c>
      <c r="N478" s="3">
        <f>IF(AND('Data Source'!B478&lt;&gt;"",'Data Source'!S478="F"),IF('Data Source'!AF478&gt;=5,"A+",IF('Data Source'!AF478&gt;=4,"A",IF('Data Source'!AF478&gt;=3.5,"A-",IF('Data Source'!AF478&gt;=3,"B",IF('Data Source'!AF478&gt;=2,"C",IF('Data Source'!AF478&gt;=1,"D","F")))))),"")</f>
        <v/>
      </c>
      <c r="O478" s="3">
        <f>IF(AND('Data Source'!B478&lt;&gt;"",'Data Source'!S478="F"),IF('Data Source'!AG478&gt;=5,"A+",IF('Data Source'!AG478&gt;=4,"A",IF('Data Source'!AG478&gt;=3.5,"A-",IF('Data Source'!AG478&gt;=3,"B",IF('Data Source'!AG478&gt;=2,"C",IF('Data Source'!AG478&gt;=1,"D","F")))))),"")</f>
        <v/>
      </c>
      <c r="P478" s="5">
        <f>IF(AND('Data Source'!B478&lt;&gt;"",'Data Source'!S478="F"),'Data Source'!R478,"")</f>
        <v/>
      </c>
      <c r="Q478" s="3">
        <f>IF(AND('Data Source'!B478&lt;&gt;"",'Data Source'!S478="F"),'Data Source'!S478,"")</f>
        <v/>
      </c>
    </row>
    <row r="479">
      <c r="A479" s="3">
        <f>IF(AND('Data Source'!B479&lt;&gt;"",'Data Source'!S479="F"),COUNTIF('Data Source'!$S$3:S479,"F"),"")</f>
        <v/>
      </c>
      <c r="B479">
        <f>IF(AND('Data Source'!B479&lt;&gt;"",'Data Source'!S479="F"),'Data Source'!B479,"")</f>
        <v/>
      </c>
      <c r="C479" s="3">
        <f>IF(AND('Data Source'!B479&lt;&gt;"",'Data Source'!S479="F"),IF('Data Source'!U479&gt;=5,"A+",IF('Data Source'!U479&gt;=4,"A",IF('Data Source'!U479&gt;=3.5,"A-",IF('Data Source'!U479&gt;=3,"B",IF('Data Source'!U479&gt;=2,"C",IF('Data Source'!U479&gt;=1,"D","F")))))),"")</f>
        <v/>
      </c>
      <c r="D479" s="3">
        <f>IF(AND('Data Source'!B479&lt;&gt;"",'Data Source'!S479="F"),IF('Data Source'!V479&gt;=5,"A+",IF('Data Source'!V479&gt;=4,"A",IF('Data Source'!V479&gt;=3.5,"A-",IF('Data Source'!V479&gt;=3,"B",IF('Data Source'!V479&gt;=2,"C",IF('Data Source'!V479&gt;=1,"D","F")))))),"")</f>
        <v/>
      </c>
      <c r="E479" s="3">
        <f>IF(AND('Data Source'!B479&lt;&gt;"",'Data Source'!S479="F"),IF('Data Source'!W479&gt;=5,"A+",IF('Data Source'!W479&gt;=4,"A",IF('Data Source'!W479&gt;=3.5,"A-",IF('Data Source'!W479&gt;=3,"B",IF('Data Source'!W479&gt;=2,"C",IF('Data Source'!W479&gt;=1,"D","F")))))),"")</f>
        <v/>
      </c>
      <c r="F479" s="3">
        <f>IF(AND('Data Source'!B479&lt;&gt;"",'Data Source'!S479="F"),IF('Data Source'!X479&gt;=5,"A+",IF('Data Source'!X479&gt;=4,"A",IF('Data Source'!X479&gt;=3.5,"A-",IF('Data Source'!X479&gt;=3,"B",IF('Data Source'!X479&gt;=2,"C",IF('Data Source'!X479&gt;=1,"D","F")))))),"")</f>
        <v/>
      </c>
      <c r="G479" s="3">
        <f>IF(AND('Data Source'!B479&lt;&gt;"",'Data Source'!S479="F"),IF('Data Source'!Y479&gt;=5,"A+",IF('Data Source'!Y479&gt;=4,"A",IF('Data Source'!Y479&gt;=3.5,"A-",IF('Data Source'!Y479&gt;=3,"B",IF('Data Source'!Y479&gt;=2,"C",IF('Data Source'!Y479&gt;=1,"D","F")))))),"")</f>
        <v/>
      </c>
      <c r="H479" s="3">
        <f>IF(AND('Data Source'!B479&lt;&gt;"",'Data Source'!S479="F"),IF('Data Source'!Z479&gt;=5,"A+",IF('Data Source'!Z479&gt;=4,"A",IF('Data Source'!Z479&gt;=3.5,"A-",IF('Data Source'!Z479&gt;=3,"B",IF('Data Source'!Z479&gt;=2,"C",IF('Data Source'!Z479&gt;=1,"D","F")))))),"")</f>
        <v/>
      </c>
      <c r="I479" s="3">
        <f>IF(AND('Data Source'!B479&lt;&gt;"",'Data Source'!S479="F"),IF('Data Source'!AA479&gt;=5,"A+",IF('Data Source'!AA479&gt;=4,"A",IF('Data Source'!AA479&gt;=3.5,"A-",IF('Data Source'!AA479&gt;=3,"B",IF('Data Source'!AA479&gt;=2,"C",IF('Data Source'!AA479&gt;=1,"D","F")))))),"")</f>
        <v/>
      </c>
      <c r="J479" s="3">
        <f>IF(AND('Data Source'!B479&lt;&gt;"",'Data Source'!S479="F"),IF('Data Source'!AB479&gt;=5,"A+",IF('Data Source'!AB479&gt;=4,"A",IF('Data Source'!AB479&gt;=3.5,"A-",IF('Data Source'!AB479&gt;=3,"B",IF('Data Source'!AB479&gt;=2,"C",IF('Data Source'!AB479&gt;=1,"D","F")))))),"")</f>
        <v/>
      </c>
      <c r="K479" s="3">
        <f>IF(AND('Data Source'!B479&lt;&gt;"",'Data Source'!S479="F"),IF('Data Source'!AC479&gt;=5,"A+",IF('Data Source'!AC479&gt;=4,"A",IF('Data Source'!AC479&gt;=3.5,"A-",IF('Data Source'!AC479&gt;=3,"B",IF('Data Source'!AC479&gt;=2,"C",IF('Data Source'!AC479&gt;=1,"D","F")))))),"")</f>
        <v/>
      </c>
      <c r="L479" s="3">
        <f>IF(AND('Data Source'!B479&lt;&gt;"",'Data Source'!S479="F"),IF('Data Source'!AD479&gt;=5,"A+",IF('Data Source'!AD479&gt;=4,"A",IF('Data Source'!AD479&gt;=3.5,"A-",IF('Data Source'!AD479&gt;=3,"B",IF('Data Source'!AD479&gt;=2,"C",IF('Data Source'!AD479&gt;=1,"D","F")))))),"")</f>
        <v/>
      </c>
      <c r="M479" s="3">
        <f>IF(AND('Data Source'!B479&lt;&gt;"",'Data Source'!S479="F"),IF('Data Source'!AE479&gt;=5,"A+",IF('Data Source'!AE479&gt;=4,"A",IF('Data Source'!AE479&gt;=3.5,"A-",IF('Data Source'!AE479&gt;=3,"B",IF('Data Source'!AE479&gt;=2,"C",IF('Data Source'!AE479&gt;=1,"D","F")))))),"")</f>
        <v/>
      </c>
      <c r="N479" s="3">
        <f>IF(AND('Data Source'!B479&lt;&gt;"",'Data Source'!S479="F"),IF('Data Source'!AF479&gt;=5,"A+",IF('Data Source'!AF479&gt;=4,"A",IF('Data Source'!AF479&gt;=3.5,"A-",IF('Data Source'!AF479&gt;=3,"B",IF('Data Source'!AF479&gt;=2,"C",IF('Data Source'!AF479&gt;=1,"D","F")))))),"")</f>
        <v/>
      </c>
      <c r="O479" s="3">
        <f>IF(AND('Data Source'!B479&lt;&gt;"",'Data Source'!S479="F"),IF('Data Source'!AG479&gt;=5,"A+",IF('Data Source'!AG479&gt;=4,"A",IF('Data Source'!AG479&gt;=3.5,"A-",IF('Data Source'!AG479&gt;=3,"B",IF('Data Source'!AG479&gt;=2,"C",IF('Data Source'!AG479&gt;=1,"D","F")))))),"")</f>
        <v/>
      </c>
      <c r="P479" s="5">
        <f>IF(AND('Data Source'!B479&lt;&gt;"",'Data Source'!S479="F"),'Data Source'!R479,"")</f>
        <v/>
      </c>
      <c r="Q479" s="3">
        <f>IF(AND('Data Source'!B479&lt;&gt;"",'Data Source'!S479="F"),'Data Source'!S479,"")</f>
        <v/>
      </c>
    </row>
    <row r="480">
      <c r="A480" s="3">
        <f>IF(AND('Data Source'!B480&lt;&gt;"",'Data Source'!S480="F"),COUNTIF('Data Source'!$S$3:S480,"F"),"")</f>
        <v/>
      </c>
      <c r="B480">
        <f>IF(AND('Data Source'!B480&lt;&gt;"",'Data Source'!S480="F"),'Data Source'!B480,"")</f>
        <v/>
      </c>
      <c r="C480" s="3">
        <f>IF(AND('Data Source'!B480&lt;&gt;"",'Data Source'!S480="F"),IF('Data Source'!U480&gt;=5,"A+",IF('Data Source'!U480&gt;=4,"A",IF('Data Source'!U480&gt;=3.5,"A-",IF('Data Source'!U480&gt;=3,"B",IF('Data Source'!U480&gt;=2,"C",IF('Data Source'!U480&gt;=1,"D","F")))))),"")</f>
        <v/>
      </c>
      <c r="D480" s="3">
        <f>IF(AND('Data Source'!B480&lt;&gt;"",'Data Source'!S480="F"),IF('Data Source'!V480&gt;=5,"A+",IF('Data Source'!V480&gt;=4,"A",IF('Data Source'!V480&gt;=3.5,"A-",IF('Data Source'!V480&gt;=3,"B",IF('Data Source'!V480&gt;=2,"C",IF('Data Source'!V480&gt;=1,"D","F")))))),"")</f>
        <v/>
      </c>
      <c r="E480" s="3">
        <f>IF(AND('Data Source'!B480&lt;&gt;"",'Data Source'!S480="F"),IF('Data Source'!W480&gt;=5,"A+",IF('Data Source'!W480&gt;=4,"A",IF('Data Source'!W480&gt;=3.5,"A-",IF('Data Source'!W480&gt;=3,"B",IF('Data Source'!W480&gt;=2,"C",IF('Data Source'!W480&gt;=1,"D","F")))))),"")</f>
        <v/>
      </c>
      <c r="F480" s="3">
        <f>IF(AND('Data Source'!B480&lt;&gt;"",'Data Source'!S480="F"),IF('Data Source'!X480&gt;=5,"A+",IF('Data Source'!X480&gt;=4,"A",IF('Data Source'!X480&gt;=3.5,"A-",IF('Data Source'!X480&gt;=3,"B",IF('Data Source'!X480&gt;=2,"C",IF('Data Source'!X480&gt;=1,"D","F")))))),"")</f>
        <v/>
      </c>
      <c r="G480" s="3">
        <f>IF(AND('Data Source'!B480&lt;&gt;"",'Data Source'!S480="F"),IF('Data Source'!Y480&gt;=5,"A+",IF('Data Source'!Y480&gt;=4,"A",IF('Data Source'!Y480&gt;=3.5,"A-",IF('Data Source'!Y480&gt;=3,"B",IF('Data Source'!Y480&gt;=2,"C",IF('Data Source'!Y480&gt;=1,"D","F")))))),"")</f>
        <v/>
      </c>
      <c r="H480" s="3">
        <f>IF(AND('Data Source'!B480&lt;&gt;"",'Data Source'!S480="F"),IF('Data Source'!Z480&gt;=5,"A+",IF('Data Source'!Z480&gt;=4,"A",IF('Data Source'!Z480&gt;=3.5,"A-",IF('Data Source'!Z480&gt;=3,"B",IF('Data Source'!Z480&gt;=2,"C",IF('Data Source'!Z480&gt;=1,"D","F")))))),"")</f>
        <v/>
      </c>
      <c r="I480" s="3">
        <f>IF(AND('Data Source'!B480&lt;&gt;"",'Data Source'!S480="F"),IF('Data Source'!AA480&gt;=5,"A+",IF('Data Source'!AA480&gt;=4,"A",IF('Data Source'!AA480&gt;=3.5,"A-",IF('Data Source'!AA480&gt;=3,"B",IF('Data Source'!AA480&gt;=2,"C",IF('Data Source'!AA480&gt;=1,"D","F")))))),"")</f>
        <v/>
      </c>
      <c r="J480" s="3">
        <f>IF(AND('Data Source'!B480&lt;&gt;"",'Data Source'!S480="F"),IF('Data Source'!AB480&gt;=5,"A+",IF('Data Source'!AB480&gt;=4,"A",IF('Data Source'!AB480&gt;=3.5,"A-",IF('Data Source'!AB480&gt;=3,"B",IF('Data Source'!AB480&gt;=2,"C",IF('Data Source'!AB480&gt;=1,"D","F")))))),"")</f>
        <v/>
      </c>
      <c r="K480" s="3">
        <f>IF(AND('Data Source'!B480&lt;&gt;"",'Data Source'!S480="F"),IF('Data Source'!AC480&gt;=5,"A+",IF('Data Source'!AC480&gt;=4,"A",IF('Data Source'!AC480&gt;=3.5,"A-",IF('Data Source'!AC480&gt;=3,"B",IF('Data Source'!AC480&gt;=2,"C",IF('Data Source'!AC480&gt;=1,"D","F")))))),"")</f>
        <v/>
      </c>
      <c r="L480" s="3">
        <f>IF(AND('Data Source'!B480&lt;&gt;"",'Data Source'!S480="F"),IF('Data Source'!AD480&gt;=5,"A+",IF('Data Source'!AD480&gt;=4,"A",IF('Data Source'!AD480&gt;=3.5,"A-",IF('Data Source'!AD480&gt;=3,"B",IF('Data Source'!AD480&gt;=2,"C",IF('Data Source'!AD480&gt;=1,"D","F")))))),"")</f>
        <v/>
      </c>
      <c r="M480" s="3">
        <f>IF(AND('Data Source'!B480&lt;&gt;"",'Data Source'!S480="F"),IF('Data Source'!AE480&gt;=5,"A+",IF('Data Source'!AE480&gt;=4,"A",IF('Data Source'!AE480&gt;=3.5,"A-",IF('Data Source'!AE480&gt;=3,"B",IF('Data Source'!AE480&gt;=2,"C",IF('Data Source'!AE480&gt;=1,"D","F")))))),"")</f>
        <v/>
      </c>
      <c r="N480" s="3">
        <f>IF(AND('Data Source'!B480&lt;&gt;"",'Data Source'!S480="F"),IF('Data Source'!AF480&gt;=5,"A+",IF('Data Source'!AF480&gt;=4,"A",IF('Data Source'!AF480&gt;=3.5,"A-",IF('Data Source'!AF480&gt;=3,"B",IF('Data Source'!AF480&gt;=2,"C",IF('Data Source'!AF480&gt;=1,"D","F")))))),"")</f>
        <v/>
      </c>
      <c r="O480" s="3">
        <f>IF(AND('Data Source'!B480&lt;&gt;"",'Data Source'!S480="F"),IF('Data Source'!AG480&gt;=5,"A+",IF('Data Source'!AG480&gt;=4,"A",IF('Data Source'!AG480&gt;=3.5,"A-",IF('Data Source'!AG480&gt;=3,"B",IF('Data Source'!AG480&gt;=2,"C",IF('Data Source'!AG480&gt;=1,"D","F")))))),"")</f>
        <v/>
      </c>
      <c r="P480" s="5">
        <f>IF(AND('Data Source'!B480&lt;&gt;"",'Data Source'!S480="F"),'Data Source'!R480,"")</f>
        <v/>
      </c>
      <c r="Q480" s="3">
        <f>IF(AND('Data Source'!B480&lt;&gt;"",'Data Source'!S480="F"),'Data Source'!S480,"")</f>
        <v/>
      </c>
    </row>
    <row r="481">
      <c r="A481" s="3">
        <f>IF(AND('Data Source'!B481&lt;&gt;"",'Data Source'!S481="F"),COUNTIF('Data Source'!$S$3:S481,"F"),"")</f>
        <v/>
      </c>
      <c r="B481">
        <f>IF(AND('Data Source'!B481&lt;&gt;"",'Data Source'!S481="F"),'Data Source'!B481,"")</f>
        <v/>
      </c>
      <c r="C481" s="3">
        <f>IF(AND('Data Source'!B481&lt;&gt;"",'Data Source'!S481="F"),IF('Data Source'!U481&gt;=5,"A+",IF('Data Source'!U481&gt;=4,"A",IF('Data Source'!U481&gt;=3.5,"A-",IF('Data Source'!U481&gt;=3,"B",IF('Data Source'!U481&gt;=2,"C",IF('Data Source'!U481&gt;=1,"D","F")))))),"")</f>
        <v/>
      </c>
      <c r="D481" s="3">
        <f>IF(AND('Data Source'!B481&lt;&gt;"",'Data Source'!S481="F"),IF('Data Source'!V481&gt;=5,"A+",IF('Data Source'!V481&gt;=4,"A",IF('Data Source'!V481&gt;=3.5,"A-",IF('Data Source'!V481&gt;=3,"B",IF('Data Source'!V481&gt;=2,"C",IF('Data Source'!V481&gt;=1,"D","F")))))),"")</f>
        <v/>
      </c>
      <c r="E481" s="3">
        <f>IF(AND('Data Source'!B481&lt;&gt;"",'Data Source'!S481="F"),IF('Data Source'!W481&gt;=5,"A+",IF('Data Source'!W481&gt;=4,"A",IF('Data Source'!W481&gt;=3.5,"A-",IF('Data Source'!W481&gt;=3,"B",IF('Data Source'!W481&gt;=2,"C",IF('Data Source'!W481&gt;=1,"D","F")))))),"")</f>
        <v/>
      </c>
      <c r="F481" s="3">
        <f>IF(AND('Data Source'!B481&lt;&gt;"",'Data Source'!S481="F"),IF('Data Source'!X481&gt;=5,"A+",IF('Data Source'!X481&gt;=4,"A",IF('Data Source'!X481&gt;=3.5,"A-",IF('Data Source'!X481&gt;=3,"B",IF('Data Source'!X481&gt;=2,"C",IF('Data Source'!X481&gt;=1,"D","F")))))),"")</f>
        <v/>
      </c>
      <c r="G481" s="3">
        <f>IF(AND('Data Source'!B481&lt;&gt;"",'Data Source'!S481="F"),IF('Data Source'!Y481&gt;=5,"A+",IF('Data Source'!Y481&gt;=4,"A",IF('Data Source'!Y481&gt;=3.5,"A-",IF('Data Source'!Y481&gt;=3,"B",IF('Data Source'!Y481&gt;=2,"C",IF('Data Source'!Y481&gt;=1,"D","F")))))),"")</f>
        <v/>
      </c>
      <c r="H481" s="3">
        <f>IF(AND('Data Source'!B481&lt;&gt;"",'Data Source'!S481="F"),IF('Data Source'!Z481&gt;=5,"A+",IF('Data Source'!Z481&gt;=4,"A",IF('Data Source'!Z481&gt;=3.5,"A-",IF('Data Source'!Z481&gt;=3,"B",IF('Data Source'!Z481&gt;=2,"C",IF('Data Source'!Z481&gt;=1,"D","F")))))),"")</f>
        <v/>
      </c>
      <c r="I481" s="3">
        <f>IF(AND('Data Source'!B481&lt;&gt;"",'Data Source'!S481="F"),IF('Data Source'!AA481&gt;=5,"A+",IF('Data Source'!AA481&gt;=4,"A",IF('Data Source'!AA481&gt;=3.5,"A-",IF('Data Source'!AA481&gt;=3,"B",IF('Data Source'!AA481&gt;=2,"C",IF('Data Source'!AA481&gt;=1,"D","F")))))),"")</f>
        <v/>
      </c>
      <c r="J481" s="3">
        <f>IF(AND('Data Source'!B481&lt;&gt;"",'Data Source'!S481="F"),IF('Data Source'!AB481&gt;=5,"A+",IF('Data Source'!AB481&gt;=4,"A",IF('Data Source'!AB481&gt;=3.5,"A-",IF('Data Source'!AB481&gt;=3,"B",IF('Data Source'!AB481&gt;=2,"C",IF('Data Source'!AB481&gt;=1,"D","F")))))),"")</f>
        <v/>
      </c>
      <c r="K481" s="3">
        <f>IF(AND('Data Source'!B481&lt;&gt;"",'Data Source'!S481="F"),IF('Data Source'!AC481&gt;=5,"A+",IF('Data Source'!AC481&gt;=4,"A",IF('Data Source'!AC481&gt;=3.5,"A-",IF('Data Source'!AC481&gt;=3,"B",IF('Data Source'!AC481&gt;=2,"C",IF('Data Source'!AC481&gt;=1,"D","F")))))),"")</f>
        <v/>
      </c>
      <c r="L481" s="3">
        <f>IF(AND('Data Source'!B481&lt;&gt;"",'Data Source'!S481="F"),IF('Data Source'!AD481&gt;=5,"A+",IF('Data Source'!AD481&gt;=4,"A",IF('Data Source'!AD481&gt;=3.5,"A-",IF('Data Source'!AD481&gt;=3,"B",IF('Data Source'!AD481&gt;=2,"C",IF('Data Source'!AD481&gt;=1,"D","F")))))),"")</f>
        <v/>
      </c>
      <c r="M481" s="3">
        <f>IF(AND('Data Source'!B481&lt;&gt;"",'Data Source'!S481="F"),IF('Data Source'!AE481&gt;=5,"A+",IF('Data Source'!AE481&gt;=4,"A",IF('Data Source'!AE481&gt;=3.5,"A-",IF('Data Source'!AE481&gt;=3,"B",IF('Data Source'!AE481&gt;=2,"C",IF('Data Source'!AE481&gt;=1,"D","F")))))),"")</f>
        <v/>
      </c>
      <c r="N481" s="3">
        <f>IF(AND('Data Source'!B481&lt;&gt;"",'Data Source'!S481="F"),IF('Data Source'!AF481&gt;=5,"A+",IF('Data Source'!AF481&gt;=4,"A",IF('Data Source'!AF481&gt;=3.5,"A-",IF('Data Source'!AF481&gt;=3,"B",IF('Data Source'!AF481&gt;=2,"C",IF('Data Source'!AF481&gt;=1,"D","F")))))),"")</f>
        <v/>
      </c>
      <c r="O481" s="3">
        <f>IF(AND('Data Source'!B481&lt;&gt;"",'Data Source'!S481="F"),IF('Data Source'!AG481&gt;=5,"A+",IF('Data Source'!AG481&gt;=4,"A",IF('Data Source'!AG481&gt;=3.5,"A-",IF('Data Source'!AG481&gt;=3,"B",IF('Data Source'!AG481&gt;=2,"C",IF('Data Source'!AG481&gt;=1,"D","F")))))),"")</f>
        <v/>
      </c>
      <c r="P481" s="5">
        <f>IF(AND('Data Source'!B481&lt;&gt;"",'Data Source'!S481="F"),'Data Source'!R481,"")</f>
        <v/>
      </c>
      <c r="Q481" s="3">
        <f>IF(AND('Data Source'!B481&lt;&gt;"",'Data Source'!S481="F"),'Data Source'!S481,"")</f>
        <v/>
      </c>
    </row>
    <row r="482">
      <c r="A482" s="3">
        <f>IF(AND('Data Source'!B482&lt;&gt;"",'Data Source'!S482="F"),COUNTIF('Data Source'!$S$3:S482,"F"),"")</f>
        <v/>
      </c>
      <c r="B482">
        <f>IF(AND('Data Source'!B482&lt;&gt;"",'Data Source'!S482="F"),'Data Source'!B482,"")</f>
        <v/>
      </c>
      <c r="C482" s="3">
        <f>IF(AND('Data Source'!B482&lt;&gt;"",'Data Source'!S482="F"),IF('Data Source'!U482&gt;=5,"A+",IF('Data Source'!U482&gt;=4,"A",IF('Data Source'!U482&gt;=3.5,"A-",IF('Data Source'!U482&gt;=3,"B",IF('Data Source'!U482&gt;=2,"C",IF('Data Source'!U482&gt;=1,"D","F")))))),"")</f>
        <v/>
      </c>
      <c r="D482" s="3">
        <f>IF(AND('Data Source'!B482&lt;&gt;"",'Data Source'!S482="F"),IF('Data Source'!V482&gt;=5,"A+",IF('Data Source'!V482&gt;=4,"A",IF('Data Source'!V482&gt;=3.5,"A-",IF('Data Source'!V482&gt;=3,"B",IF('Data Source'!V482&gt;=2,"C",IF('Data Source'!V482&gt;=1,"D","F")))))),"")</f>
        <v/>
      </c>
      <c r="E482" s="3">
        <f>IF(AND('Data Source'!B482&lt;&gt;"",'Data Source'!S482="F"),IF('Data Source'!W482&gt;=5,"A+",IF('Data Source'!W482&gt;=4,"A",IF('Data Source'!W482&gt;=3.5,"A-",IF('Data Source'!W482&gt;=3,"B",IF('Data Source'!W482&gt;=2,"C",IF('Data Source'!W482&gt;=1,"D","F")))))),"")</f>
        <v/>
      </c>
      <c r="F482" s="3">
        <f>IF(AND('Data Source'!B482&lt;&gt;"",'Data Source'!S482="F"),IF('Data Source'!X482&gt;=5,"A+",IF('Data Source'!X482&gt;=4,"A",IF('Data Source'!X482&gt;=3.5,"A-",IF('Data Source'!X482&gt;=3,"B",IF('Data Source'!X482&gt;=2,"C",IF('Data Source'!X482&gt;=1,"D","F")))))),"")</f>
        <v/>
      </c>
      <c r="G482" s="3">
        <f>IF(AND('Data Source'!B482&lt;&gt;"",'Data Source'!S482="F"),IF('Data Source'!Y482&gt;=5,"A+",IF('Data Source'!Y482&gt;=4,"A",IF('Data Source'!Y482&gt;=3.5,"A-",IF('Data Source'!Y482&gt;=3,"B",IF('Data Source'!Y482&gt;=2,"C",IF('Data Source'!Y482&gt;=1,"D","F")))))),"")</f>
        <v/>
      </c>
      <c r="H482" s="3">
        <f>IF(AND('Data Source'!B482&lt;&gt;"",'Data Source'!S482="F"),IF('Data Source'!Z482&gt;=5,"A+",IF('Data Source'!Z482&gt;=4,"A",IF('Data Source'!Z482&gt;=3.5,"A-",IF('Data Source'!Z482&gt;=3,"B",IF('Data Source'!Z482&gt;=2,"C",IF('Data Source'!Z482&gt;=1,"D","F")))))),"")</f>
        <v/>
      </c>
      <c r="I482" s="3">
        <f>IF(AND('Data Source'!B482&lt;&gt;"",'Data Source'!S482="F"),IF('Data Source'!AA482&gt;=5,"A+",IF('Data Source'!AA482&gt;=4,"A",IF('Data Source'!AA482&gt;=3.5,"A-",IF('Data Source'!AA482&gt;=3,"B",IF('Data Source'!AA482&gt;=2,"C",IF('Data Source'!AA482&gt;=1,"D","F")))))),"")</f>
        <v/>
      </c>
      <c r="J482" s="3">
        <f>IF(AND('Data Source'!B482&lt;&gt;"",'Data Source'!S482="F"),IF('Data Source'!AB482&gt;=5,"A+",IF('Data Source'!AB482&gt;=4,"A",IF('Data Source'!AB482&gt;=3.5,"A-",IF('Data Source'!AB482&gt;=3,"B",IF('Data Source'!AB482&gt;=2,"C",IF('Data Source'!AB482&gt;=1,"D","F")))))),"")</f>
        <v/>
      </c>
      <c r="K482" s="3">
        <f>IF(AND('Data Source'!B482&lt;&gt;"",'Data Source'!S482="F"),IF('Data Source'!AC482&gt;=5,"A+",IF('Data Source'!AC482&gt;=4,"A",IF('Data Source'!AC482&gt;=3.5,"A-",IF('Data Source'!AC482&gt;=3,"B",IF('Data Source'!AC482&gt;=2,"C",IF('Data Source'!AC482&gt;=1,"D","F")))))),"")</f>
        <v/>
      </c>
      <c r="L482" s="3">
        <f>IF(AND('Data Source'!B482&lt;&gt;"",'Data Source'!S482="F"),IF('Data Source'!AD482&gt;=5,"A+",IF('Data Source'!AD482&gt;=4,"A",IF('Data Source'!AD482&gt;=3.5,"A-",IF('Data Source'!AD482&gt;=3,"B",IF('Data Source'!AD482&gt;=2,"C",IF('Data Source'!AD482&gt;=1,"D","F")))))),"")</f>
        <v/>
      </c>
      <c r="M482" s="3">
        <f>IF(AND('Data Source'!B482&lt;&gt;"",'Data Source'!S482="F"),IF('Data Source'!AE482&gt;=5,"A+",IF('Data Source'!AE482&gt;=4,"A",IF('Data Source'!AE482&gt;=3.5,"A-",IF('Data Source'!AE482&gt;=3,"B",IF('Data Source'!AE482&gt;=2,"C",IF('Data Source'!AE482&gt;=1,"D","F")))))),"")</f>
        <v/>
      </c>
      <c r="N482" s="3">
        <f>IF(AND('Data Source'!B482&lt;&gt;"",'Data Source'!S482="F"),IF('Data Source'!AF482&gt;=5,"A+",IF('Data Source'!AF482&gt;=4,"A",IF('Data Source'!AF482&gt;=3.5,"A-",IF('Data Source'!AF482&gt;=3,"B",IF('Data Source'!AF482&gt;=2,"C",IF('Data Source'!AF482&gt;=1,"D","F")))))),"")</f>
        <v/>
      </c>
      <c r="O482" s="3">
        <f>IF(AND('Data Source'!B482&lt;&gt;"",'Data Source'!S482="F"),IF('Data Source'!AG482&gt;=5,"A+",IF('Data Source'!AG482&gt;=4,"A",IF('Data Source'!AG482&gt;=3.5,"A-",IF('Data Source'!AG482&gt;=3,"B",IF('Data Source'!AG482&gt;=2,"C",IF('Data Source'!AG482&gt;=1,"D","F")))))),"")</f>
        <v/>
      </c>
      <c r="P482" s="5">
        <f>IF(AND('Data Source'!B482&lt;&gt;"",'Data Source'!S482="F"),'Data Source'!R482,"")</f>
        <v/>
      </c>
      <c r="Q482" s="3">
        <f>IF(AND('Data Source'!B482&lt;&gt;"",'Data Source'!S482="F"),'Data Source'!S482,"")</f>
        <v/>
      </c>
    </row>
    <row r="483">
      <c r="A483" s="3">
        <f>IF(AND('Data Source'!B483&lt;&gt;"",'Data Source'!S483="F"),COUNTIF('Data Source'!$S$3:S483,"F"),"")</f>
        <v/>
      </c>
      <c r="B483">
        <f>IF(AND('Data Source'!B483&lt;&gt;"",'Data Source'!S483="F"),'Data Source'!B483,"")</f>
        <v/>
      </c>
      <c r="C483" s="3">
        <f>IF(AND('Data Source'!B483&lt;&gt;"",'Data Source'!S483="F"),IF('Data Source'!U483&gt;=5,"A+",IF('Data Source'!U483&gt;=4,"A",IF('Data Source'!U483&gt;=3.5,"A-",IF('Data Source'!U483&gt;=3,"B",IF('Data Source'!U483&gt;=2,"C",IF('Data Source'!U483&gt;=1,"D","F")))))),"")</f>
        <v/>
      </c>
      <c r="D483" s="3">
        <f>IF(AND('Data Source'!B483&lt;&gt;"",'Data Source'!S483="F"),IF('Data Source'!V483&gt;=5,"A+",IF('Data Source'!V483&gt;=4,"A",IF('Data Source'!V483&gt;=3.5,"A-",IF('Data Source'!V483&gt;=3,"B",IF('Data Source'!V483&gt;=2,"C",IF('Data Source'!V483&gt;=1,"D","F")))))),"")</f>
        <v/>
      </c>
      <c r="E483" s="3">
        <f>IF(AND('Data Source'!B483&lt;&gt;"",'Data Source'!S483="F"),IF('Data Source'!W483&gt;=5,"A+",IF('Data Source'!W483&gt;=4,"A",IF('Data Source'!W483&gt;=3.5,"A-",IF('Data Source'!W483&gt;=3,"B",IF('Data Source'!W483&gt;=2,"C",IF('Data Source'!W483&gt;=1,"D","F")))))),"")</f>
        <v/>
      </c>
      <c r="F483" s="3">
        <f>IF(AND('Data Source'!B483&lt;&gt;"",'Data Source'!S483="F"),IF('Data Source'!X483&gt;=5,"A+",IF('Data Source'!X483&gt;=4,"A",IF('Data Source'!X483&gt;=3.5,"A-",IF('Data Source'!X483&gt;=3,"B",IF('Data Source'!X483&gt;=2,"C",IF('Data Source'!X483&gt;=1,"D","F")))))),"")</f>
        <v/>
      </c>
      <c r="G483" s="3">
        <f>IF(AND('Data Source'!B483&lt;&gt;"",'Data Source'!S483="F"),IF('Data Source'!Y483&gt;=5,"A+",IF('Data Source'!Y483&gt;=4,"A",IF('Data Source'!Y483&gt;=3.5,"A-",IF('Data Source'!Y483&gt;=3,"B",IF('Data Source'!Y483&gt;=2,"C",IF('Data Source'!Y483&gt;=1,"D","F")))))),"")</f>
        <v/>
      </c>
      <c r="H483" s="3">
        <f>IF(AND('Data Source'!B483&lt;&gt;"",'Data Source'!S483="F"),IF('Data Source'!Z483&gt;=5,"A+",IF('Data Source'!Z483&gt;=4,"A",IF('Data Source'!Z483&gt;=3.5,"A-",IF('Data Source'!Z483&gt;=3,"B",IF('Data Source'!Z483&gt;=2,"C",IF('Data Source'!Z483&gt;=1,"D","F")))))),"")</f>
        <v/>
      </c>
      <c r="I483" s="3">
        <f>IF(AND('Data Source'!B483&lt;&gt;"",'Data Source'!S483="F"),IF('Data Source'!AA483&gt;=5,"A+",IF('Data Source'!AA483&gt;=4,"A",IF('Data Source'!AA483&gt;=3.5,"A-",IF('Data Source'!AA483&gt;=3,"B",IF('Data Source'!AA483&gt;=2,"C",IF('Data Source'!AA483&gt;=1,"D","F")))))),"")</f>
        <v/>
      </c>
      <c r="J483" s="3">
        <f>IF(AND('Data Source'!B483&lt;&gt;"",'Data Source'!S483="F"),IF('Data Source'!AB483&gt;=5,"A+",IF('Data Source'!AB483&gt;=4,"A",IF('Data Source'!AB483&gt;=3.5,"A-",IF('Data Source'!AB483&gt;=3,"B",IF('Data Source'!AB483&gt;=2,"C",IF('Data Source'!AB483&gt;=1,"D","F")))))),"")</f>
        <v/>
      </c>
      <c r="K483" s="3">
        <f>IF(AND('Data Source'!B483&lt;&gt;"",'Data Source'!S483="F"),IF('Data Source'!AC483&gt;=5,"A+",IF('Data Source'!AC483&gt;=4,"A",IF('Data Source'!AC483&gt;=3.5,"A-",IF('Data Source'!AC483&gt;=3,"B",IF('Data Source'!AC483&gt;=2,"C",IF('Data Source'!AC483&gt;=1,"D","F")))))),"")</f>
        <v/>
      </c>
      <c r="L483" s="3">
        <f>IF(AND('Data Source'!B483&lt;&gt;"",'Data Source'!S483="F"),IF('Data Source'!AD483&gt;=5,"A+",IF('Data Source'!AD483&gt;=4,"A",IF('Data Source'!AD483&gt;=3.5,"A-",IF('Data Source'!AD483&gt;=3,"B",IF('Data Source'!AD483&gt;=2,"C",IF('Data Source'!AD483&gt;=1,"D","F")))))),"")</f>
        <v/>
      </c>
      <c r="M483" s="3">
        <f>IF(AND('Data Source'!B483&lt;&gt;"",'Data Source'!S483="F"),IF('Data Source'!AE483&gt;=5,"A+",IF('Data Source'!AE483&gt;=4,"A",IF('Data Source'!AE483&gt;=3.5,"A-",IF('Data Source'!AE483&gt;=3,"B",IF('Data Source'!AE483&gt;=2,"C",IF('Data Source'!AE483&gt;=1,"D","F")))))),"")</f>
        <v/>
      </c>
      <c r="N483" s="3">
        <f>IF(AND('Data Source'!B483&lt;&gt;"",'Data Source'!S483="F"),IF('Data Source'!AF483&gt;=5,"A+",IF('Data Source'!AF483&gt;=4,"A",IF('Data Source'!AF483&gt;=3.5,"A-",IF('Data Source'!AF483&gt;=3,"B",IF('Data Source'!AF483&gt;=2,"C",IF('Data Source'!AF483&gt;=1,"D","F")))))),"")</f>
        <v/>
      </c>
      <c r="O483" s="3">
        <f>IF(AND('Data Source'!B483&lt;&gt;"",'Data Source'!S483="F"),IF('Data Source'!AG483&gt;=5,"A+",IF('Data Source'!AG483&gt;=4,"A",IF('Data Source'!AG483&gt;=3.5,"A-",IF('Data Source'!AG483&gt;=3,"B",IF('Data Source'!AG483&gt;=2,"C",IF('Data Source'!AG483&gt;=1,"D","F")))))),"")</f>
        <v/>
      </c>
      <c r="P483" s="5">
        <f>IF(AND('Data Source'!B483&lt;&gt;"",'Data Source'!S483="F"),'Data Source'!R483,"")</f>
        <v/>
      </c>
      <c r="Q483" s="3">
        <f>IF(AND('Data Source'!B483&lt;&gt;"",'Data Source'!S483="F"),'Data Source'!S483,"")</f>
        <v/>
      </c>
    </row>
    <row r="484">
      <c r="A484" s="3">
        <f>IF(AND('Data Source'!B484&lt;&gt;"",'Data Source'!S484="F"),COUNTIF('Data Source'!$S$3:S484,"F"),"")</f>
        <v/>
      </c>
      <c r="B484">
        <f>IF(AND('Data Source'!B484&lt;&gt;"",'Data Source'!S484="F"),'Data Source'!B484,"")</f>
        <v/>
      </c>
      <c r="C484" s="3">
        <f>IF(AND('Data Source'!B484&lt;&gt;"",'Data Source'!S484="F"),IF('Data Source'!U484&gt;=5,"A+",IF('Data Source'!U484&gt;=4,"A",IF('Data Source'!U484&gt;=3.5,"A-",IF('Data Source'!U484&gt;=3,"B",IF('Data Source'!U484&gt;=2,"C",IF('Data Source'!U484&gt;=1,"D","F")))))),"")</f>
        <v/>
      </c>
      <c r="D484" s="3">
        <f>IF(AND('Data Source'!B484&lt;&gt;"",'Data Source'!S484="F"),IF('Data Source'!V484&gt;=5,"A+",IF('Data Source'!V484&gt;=4,"A",IF('Data Source'!V484&gt;=3.5,"A-",IF('Data Source'!V484&gt;=3,"B",IF('Data Source'!V484&gt;=2,"C",IF('Data Source'!V484&gt;=1,"D","F")))))),"")</f>
        <v/>
      </c>
      <c r="E484" s="3">
        <f>IF(AND('Data Source'!B484&lt;&gt;"",'Data Source'!S484="F"),IF('Data Source'!W484&gt;=5,"A+",IF('Data Source'!W484&gt;=4,"A",IF('Data Source'!W484&gt;=3.5,"A-",IF('Data Source'!W484&gt;=3,"B",IF('Data Source'!W484&gt;=2,"C",IF('Data Source'!W484&gt;=1,"D","F")))))),"")</f>
        <v/>
      </c>
      <c r="F484" s="3">
        <f>IF(AND('Data Source'!B484&lt;&gt;"",'Data Source'!S484="F"),IF('Data Source'!X484&gt;=5,"A+",IF('Data Source'!X484&gt;=4,"A",IF('Data Source'!X484&gt;=3.5,"A-",IF('Data Source'!X484&gt;=3,"B",IF('Data Source'!X484&gt;=2,"C",IF('Data Source'!X484&gt;=1,"D","F")))))),"")</f>
        <v/>
      </c>
      <c r="G484" s="3">
        <f>IF(AND('Data Source'!B484&lt;&gt;"",'Data Source'!S484="F"),IF('Data Source'!Y484&gt;=5,"A+",IF('Data Source'!Y484&gt;=4,"A",IF('Data Source'!Y484&gt;=3.5,"A-",IF('Data Source'!Y484&gt;=3,"B",IF('Data Source'!Y484&gt;=2,"C",IF('Data Source'!Y484&gt;=1,"D","F")))))),"")</f>
        <v/>
      </c>
      <c r="H484" s="3">
        <f>IF(AND('Data Source'!B484&lt;&gt;"",'Data Source'!S484="F"),IF('Data Source'!Z484&gt;=5,"A+",IF('Data Source'!Z484&gt;=4,"A",IF('Data Source'!Z484&gt;=3.5,"A-",IF('Data Source'!Z484&gt;=3,"B",IF('Data Source'!Z484&gt;=2,"C",IF('Data Source'!Z484&gt;=1,"D","F")))))),"")</f>
        <v/>
      </c>
      <c r="I484" s="3">
        <f>IF(AND('Data Source'!B484&lt;&gt;"",'Data Source'!S484="F"),IF('Data Source'!AA484&gt;=5,"A+",IF('Data Source'!AA484&gt;=4,"A",IF('Data Source'!AA484&gt;=3.5,"A-",IF('Data Source'!AA484&gt;=3,"B",IF('Data Source'!AA484&gt;=2,"C",IF('Data Source'!AA484&gt;=1,"D","F")))))),"")</f>
        <v/>
      </c>
      <c r="J484" s="3">
        <f>IF(AND('Data Source'!B484&lt;&gt;"",'Data Source'!S484="F"),IF('Data Source'!AB484&gt;=5,"A+",IF('Data Source'!AB484&gt;=4,"A",IF('Data Source'!AB484&gt;=3.5,"A-",IF('Data Source'!AB484&gt;=3,"B",IF('Data Source'!AB484&gt;=2,"C",IF('Data Source'!AB484&gt;=1,"D","F")))))),"")</f>
        <v/>
      </c>
      <c r="K484" s="3">
        <f>IF(AND('Data Source'!B484&lt;&gt;"",'Data Source'!S484="F"),IF('Data Source'!AC484&gt;=5,"A+",IF('Data Source'!AC484&gt;=4,"A",IF('Data Source'!AC484&gt;=3.5,"A-",IF('Data Source'!AC484&gt;=3,"B",IF('Data Source'!AC484&gt;=2,"C",IF('Data Source'!AC484&gt;=1,"D","F")))))),"")</f>
        <v/>
      </c>
      <c r="L484" s="3">
        <f>IF(AND('Data Source'!B484&lt;&gt;"",'Data Source'!S484="F"),IF('Data Source'!AD484&gt;=5,"A+",IF('Data Source'!AD484&gt;=4,"A",IF('Data Source'!AD484&gt;=3.5,"A-",IF('Data Source'!AD484&gt;=3,"B",IF('Data Source'!AD484&gt;=2,"C",IF('Data Source'!AD484&gt;=1,"D","F")))))),"")</f>
        <v/>
      </c>
      <c r="M484" s="3">
        <f>IF(AND('Data Source'!B484&lt;&gt;"",'Data Source'!S484="F"),IF('Data Source'!AE484&gt;=5,"A+",IF('Data Source'!AE484&gt;=4,"A",IF('Data Source'!AE484&gt;=3.5,"A-",IF('Data Source'!AE484&gt;=3,"B",IF('Data Source'!AE484&gt;=2,"C",IF('Data Source'!AE484&gt;=1,"D","F")))))),"")</f>
        <v/>
      </c>
      <c r="N484" s="3">
        <f>IF(AND('Data Source'!B484&lt;&gt;"",'Data Source'!S484="F"),IF('Data Source'!AF484&gt;=5,"A+",IF('Data Source'!AF484&gt;=4,"A",IF('Data Source'!AF484&gt;=3.5,"A-",IF('Data Source'!AF484&gt;=3,"B",IF('Data Source'!AF484&gt;=2,"C",IF('Data Source'!AF484&gt;=1,"D","F")))))),"")</f>
        <v/>
      </c>
      <c r="O484" s="3">
        <f>IF(AND('Data Source'!B484&lt;&gt;"",'Data Source'!S484="F"),IF('Data Source'!AG484&gt;=5,"A+",IF('Data Source'!AG484&gt;=4,"A",IF('Data Source'!AG484&gt;=3.5,"A-",IF('Data Source'!AG484&gt;=3,"B",IF('Data Source'!AG484&gt;=2,"C",IF('Data Source'!AG484&gt;=1,"D","F")))))),"")</f>
        <v/>
      </c>
      <c r="P484" s="5">
        <f>IF(AND('Data Source'!B484&lt;&gt;"",'Data Source'!S484="F"),'Data Source'!R484,"")</f>
        <v/>
      </c>
      <c r="Q484" s="3">
        <f>IF(AND('Data Source'!B484&lt;&gt;"",'Data Source'!S484="F"),'Data Source'!S484,"")</f>
        <v/>
      </c>
    </row>
    <row r="485">
      <c r="A485" s="3">
        <f>IF(AND('Data Source'!B485&lt;&gt;"",'Data Source'!S485="F"),COUNTIF('Data Source'!$S$3:S485,"F"),"")</f>
        <v/>
      </c>
      <c r="B485">
        <f>IF(AND('Data Source'!B485&lt;&gt;"",'Data Source'!S485="F"),'Data Source'!B485,"")</f>
        <v/>
      </c>
      <c r="C485" s="3">
        <f>IF(AND('Data Source'!B485&lt;&gt;"",'Data Source'!S485="F"),IF('Data Source'!U485&gt;=5,"A+",IF('Data Source'!U485&gt;=4,"A",IF('Data Source'!U485&gt;=3.5,"A-",IF('Data Source'!U485&gt;=3,"B",IF('Data Source'!U485&gt;=2,"C",IF('Data Source'!U485&gt;=1,"D","F")))))),"")</f>
        <v/>
      </c>
      <c r="D485" s="3">
        <f>IF(AND('Data Source'!B485&lt;&gt;"",'Data Source'!S485="F"),IF('Data Source'!V485&gt;=5,"A+",IF('Data Source'!V485&gt;=4,"A",IF('Data Source'!V485&gt;=3.5,"A-",IF('Data Source'!V485&gt;=3,"B",IF('Data Source'!V485&gt;=2,"C",IF('Data Source'!V485&gt;=1,"D","F")))))),"")</f>
        <v/>
      </c>
      <c r="E485" s="3">
        <f>IF(AND('Data Source'!B485&lt;&gt;"",'Data Source'!S485="F"),IF('Data Source'!W485&gt;=5,"A+",IF('Data Source'!W485&gt;=4,"A",IF('Data Source'!W485&gt;=3.5,"A-",IF('Data Source'!W485&gt;=3,"B",IF('Data Source'!W485&gt;=2,"C",IF('Data Source'!W485&gt;=1,"D","F")))))),"")</f>
        <v/>
      </c>
      <c r="F485" s="3">
        <f>IF(AND('Data Source'!B485&lt;&gt;"",'Data Source'!S485="F"),IF('Data Source'!X485&gt;=5,"A+",IF('Data Source'!X485&gt;=4,"A",IF('Data Source'!X485&gt;=3.5,"A-",IF('Data Source'!X485&gt;=3,"B",IF('Data Source'!X485&gt;=2,"C",IF('Data Source'!X485&gt;=1,"D","F")))))),"")</f>
        <v/>
      </c>
      <c r="G485" s="3">
        <f>IF(AND('Data Source'!B485&lt;&gt;"",'Data Source'!S485="F"),IF('Data Source'!Y485&gt;=5,"A+",IF('Data Source'!Y485&gt;=4,"A",IF('Data Source'!Y485&gt;=3.5,"A-",IF('Data Source'!Y485&gt;=3,"B",IF('Data Source'!Y485&gt;=2,"C",IF('Data Source'!Y485&gt;=1,"D","F")))))),"")</f>
        <v/>
      </c>
      <c r="H485" s="3">
        <f>IF(AND('Data Source'!B485&lt;&gt;"",'Data Source'!S485="F"),IF('Data Source'!Z485&gt;=5,"A+",IF('Data Source'!Z485&gt;=4,"A",IF('Data Source'!Z485&gt;=3.5,"A-",IF('Data Source'!Z485&gt;=3,"B",IF('Data Source'!Z485&gt;=2,"C",IF('Data Source'!Z485&gt;=1,"D","F")))))),"")</f>
        <v/>
      </c>
      <c r="I485" s="3">
        <f>IF(AND('Data Source'!B485&lt;&gt;"",'Data Source'!S485="F"),IF('Data Source'!AA485&gt;=5,"A+",IF('Data Source'!AA485&gt;=4,"A",IF('Data Source'!AA485&gt;=3.5,"A-",IF('Data Source'!AA485&gt;=3,"B",IF('Data Source'!AA485&gt;=2,"C",IF('Data Source'!AA485&gt;=1,"D","F")))))),"")</f>
        <v/>
      </c>
      <c r="J485" s="3">
        <f>IF(AND('Data Source'!B485&lt;&gt;"",'Data Source'!S485="F"),IF('Data Source'!AB485&gt;=5,"A+",IF('Data Source'!AB485&gt;=4,"A",IF('Data Source'!AB485&gt;=3.5,"A-",IF('Data Source'!AB485&gt;=3,"B",IF('Data Source'!AB485&gt;=2,"C",IF('Data Source'!AB485&gt;=1,"D","F")))))),"")</f>
        <v/>
      </c>
      <c r="K485" s="3">
        <f>IF(AND('Data Source'!B485&lt;&gt;"",'Data Source'!S485="F"),IF('Data Source'!AC485&gt;=5,"A+",IF('Data Source'!AC485&gt;=4,"A",IF('Data Source'!AC485&gt;=3.5,"A-",IF('Data Source'!AC485&gt;=3,"B",IF('Data Source'!AC485&gt;=2,"C",IF('Data Source'!AC485&gt;=1,"D","F")))))),"")</f>
        <v/>
      </c>
      <c r="L485" s="3">
        <f>IF(AND('Data Source'!B485&lt;&gt;"",'Data Source'!S485="F"),IF('Data Source'!AD485&gt;=5,"A+",IF('Data Source'!AD485&gt;=4,"A",IF('Data Source'!AD485&gt;=3.5,"A-",IF('Data Source'!AD485&gt;=3,"B",IF('Data Source'!AD485&gt;=2,"C",IF('Data Source'!AD485&gt;=1,"D","F")))))),"")</f>
        <v/>
      </c>
      <c r="M485" s="3">
        <f>IF(AND('Data Source'!B485&lt;&gt;"",'Data Source'!S485="F"),IF('Data Source'!AE485&gt;=5,"A+",IF('Data Source'!AE485&gt;=4,"A",IF('Data Source'!AE485&gt;=3.5,"A-",IF('Data Source'!AE485&gt;=3,"B",IF('Data Source'!AE485&gt;=2,"C",IF('Data Source'!AE485&gt;=1,"D","F")))))),"")</f>
        <v/>
      </c>
      <c r="N485" s="3">
        <f>IF(AND('Data Source'!B485&lt;&gt;"",'Data Source'!S485="F"),IF('Data Source'!AF485&gt;=5,"A+",IF('Data Source'!AF485&gt;=4,"A",IF('Data Source'!AF485&gt;=3.5,"A-",IF('Data Source'!AF485&gt;=3,"B",IF('Data Source'!AF485&gt;=2,"C",IF('Data Source'!AF485&gt;=1,"D","F")))))),"")</f>
        <v/>
      </c>
      <c r="O485" s="3">
        <f>IF(AND('Data Source'!B485&lt;&gt;"",'Data Source'!S485="F"),IF('Data Source'!AG485&gt;=5,"A+",IF('Data Source'!AG485&gt;=4,"A",IF('Data Source'!AG485&gt;=3.5,"A-",IF('Data Source'!AG485&gt;=3,"B",IF('Data Source'!AG485&gt;=2,"C",IF('Data Source'!AG485&gt;=1,"D","F")))))),"")</f>
        <v/>
      </c>
      <c r="P485" s="5">
        <f>IF(AND('Data Source'!B485&lt;&gt;"",'Data Source'!S485="F"),'Data Source'!R485,"")</f>
        <v/>
      </c>
      <c r="Q485" s="3">
        <f>IF(AND('Data Source'!B485&lt;&gt;"",'Data Source'!S485="F"),'Data Source'!S485,"")</f>
        <v/>
      </c>
    </row>
    <row r="486">
      <c r="A486" s="3">
        <f>IF(AND('Data Source'!B486&lt;&gt;"",'Data Source'!S486="F"),COUNTIF('Data Source'!$S$3:S486,"F"),"")</f>
        <v/>
      </c>
      <c r="B486">
        <f>IF(AND('Data Source'!B486&lt;&gt;"",'Data Source'!S486="F"),'Data Source'!B486,"")</f>
        <v/>
      </c>
      <c r="C486" s="3">
        <f>IF(AND('Data Source'!B486&lt;&gt;"",'Data Source'!S486="F"),IF('Data Source'!U486&gt;=5,"A+",IF('Data Source'!U486&gt;=4,"A",IF('Data Source'!U486&gt;=3.5,"A-",IF('Data Source'!U486&gt;=3,"B",IF('Data Source'!U486&gt;=2,"C",IF('Data Source'!U486&gt;=1,"D","F")))))),"")</f>
        <v/>
      </c>
      <c r="D486" s="3">
        <f>IF(AND('Data Source'!B486&lt;&gt;"",'Data Source'!S486="F"),IF('Data Source'!V486&gt;=5,"A+",IF('Data Source'!V486&gt;=4,"A",IF('Data Source'!V486&gt;=3.5,"A-",IF('Data Source'!V486&gt;=3,"B",IF('Data Source'!V486&gt;=2,"C",IF('Data Source'!V486&gt;=1,"D","F")))))),"")</f>
        <v/>
      </c>
      <c r="E486" s="3">
        <f>IF(AND('Data Source'!B486&lt;&gt;"",'Data Source'!S486="F"),IF('Data Source'!W486&gt;=5,"A+",IF('Data Source'!W486&gt;=4,"A",IF('Data Source'!W486&gt;=3.5,"A-",IF('Data Source'!W486&gt;=3,"B",IF('Data Source'!W486&gt;=2,"C",IF('Data Source'!W486&gt;=1,"D","F")))))),"")</f>
        <v/>
      </c>
      <c r="F486" s="3">
        <f>IF(AND('Data Source'!B486&lt;&gt;"",'Data Source'!S486="F"),IF('Data Source'!X486&gt;=5,"A+",IF('Data Source'!X486&gt;=4,"A",IF('Data Source'!X486&gt;=3.5,"A-",IF('Data Source'!X486&gt;=3,"B",IF('Data Source'!X486&gt;=2,"C",IF('Data Source'!X486&gt;=1,"D","F")))))),"")</f>
        <v/>
      </c>
      <c r="G486" s="3">
        <f>IF(AND('Data Source'!B486&lt;&gt;"",'Data Source'!S486="F"),IF('Data Source'!Y486&gt;=5,"A+",IF('Data Source'!Y486&gt;=4,"A",IF('Data Source'!Y486&gt;=3.5,"A-",IF('Data Source'!Y486&gt;=3,"B",IF('Data Source'!Y486&gt;=2,"C",IF('Data Source'!Y486&gt;=1,"D","F")))))),"")</f>
        <v/>
      </c>
      <c r="H486" s="3">
        <f>IF(AND('Data Source'!B486&lt;&gt;"",'Data Source'!S486="F"),IF('Data Source'!Z486&gt;=5,"A+",IF('Data Source'!Z486&gt;=4,"A",IF('Data Source'!Z486&gt;=3.5,"A-",IF('Data Source'!Z486&gt;=3,"B",IF('Data Source'!Z486&gt;=2,"C",IF('Data Source'!Z486&gt;=1,"D","F")))))),"")</f>
        <v/>
      </c>
      <c r="I486" s="3">
        <f>IF(AND('Data Source'!B486&lt;&gt;"",'Data Source'!S486="F"),IF('Data Source'!AA486&gt;=5,"A+",IF('Data Source'!AA486&gt;=4,"A",IF('Data Source'!AA486&gt;=3.5,"A-",IF('Data Source'!AA486&gt;=3,"B",IF('Data Source'!AA486&gt;=2,"C",IF('Data Source'!AA486&gt;=1,"D","F")))))),"")</f>
        <v/>
      </c>
      <c r="J486" s="3">
        <f>IF(AND('Data Source'!B486&lt;&gt;"",'Data Source'!S486="F"),IF('Data Source'!AB486&gt;=5,"A+",IF('Data Source'!AB486&gt;=4,"A",IF('Data Source'!AB486&gt;=3.5,"A-",IF('Data Source'!AB486&gt;=3,"B",IF('Data Source'!AB486&gt;=2,"C",IF('Data Source'!AB486&gt;=1,"D","F")))))),"")</f>
        <v/>
      </c>
      <c r="K486" s="3">
        <f>IF(AND('Data Source'!B486&lt;&gt;"",'Data Source'!S486="F"),IF('Data Source'!AC486&gt;=5,"A+",IF('Data Source'!AC486&gt;=4,"A",IF('Data Source'!AC486&gt;=3.5,"A-",IF('Data Source'!AC486&gt;=3,"B",IF('Data Source'!AC486&gt;=2,"C",IF('Data Source'!AC486&gt;=1,"D","F")))))),"")</f>
        <v/>
      </c>
      <c r="L486" s="3">
        <f>IF(AND('Data Source'!B486&lt;&gt;"",'Data Source'!S486="F"),IF('Data Source'!AD486&gt;=5,"A+",IF('Data Source'!AD486&gt;=4,"A",IF('Data Source'!AD486&gt;=3.5,"A-",IF('Data Source'!AD486&gt;=3,"B",IF('Data Source'!AD486&gt;=2,"C",IF('Data Source'!AD486&gt;=1,"D","F")))))),"")</f>
        <v/>
      </c>
      <c r="M486" s="3">
        <f>IF(AND('Data Source'!B486&lt;&gt;"",'Data Source'!S486="F"),IF('Data Source'!AE486&gt;=5,"A+",IF('Data Source'!AE486&gt;=4,"A",IF('Data Source'!AE486&gt;=3.5,"A-",IF('Data Source'!AE486&gt;=3,"B",IF('Data Source'!AE486&gt;=2,"C",IF('Data Source'!AE486&gt;=1,"D","F")))))),"")</f>
        <v/>
      </c>
      <c r="N486" s="3">
        <f>IF(AND('Data Source'!B486&lt;&gt;"",'Data Source'!S486="F"),IF('Data Source'!AF486&gt;=5,"A+",IF('Data Source'!AF486&gt;=4,"A",IF('Data Source'!AF486&gt;=3.5,"A-",IF('Data Source'!AF486&gt;=3,"B",IF('Data Source'!AF486&gt;=2,"C",IF('Data Source'!AF486&gt;=1,"D","F")))))),"")</f>
        <v/>
      </c>
      <c r="O486" s="3">
        <f>IF(AND('Data Source'!B486&lt;&gt;"",'Data Source'!S486="F"),IF('Data Source'!AG486&gt;=5,"A+",IF('Data Source'!AG486&gt;=4,"A",IF('Data Source'!AG486&gt;=3.5,"A-",IF('Data Source'!AG486&gt;=3,"B",IF('Data Source'!AG486&gt;=2,"C",IF('Data Source'!AG486&gt;=1,"D","F")))))),"")</f>
        <v/>
      </c>
      <c r="P486" s="5">
        <f>IF(AND('Data Source'!B486&lt;&gt;"",'Data Source'!S486="F"),'Data Source'!R486,"")</f>
        <v/>
      </c>
      <c r="Q486" s="3">
        <f>IF(AND('Data Source'!B486&lt;&gt;"",'Data Source'!S486="F"),'Data Source'!S486,"")</f>
        <v/>
      </c>
    </row>
    <row r="487">
      <c r="A487" s="3">
        <f>IF(AND('Data Source'!B487&lt;&gt;"",'Data Source'!S487="F"),COUNTIF('Data Source'!$S$3:S487,"F"),"")</f>
        <v/>
      </c>
      <c r="B487">
        <f>IF(AND('Data Source'!B487&lt;&gt;"",'Data Source'!S487="F"),'Data Source'!B487,"")</f>
        <v/>
      </c>
      <c r="C487" s="3">
        <f>IF(AND('Data Source'!B487&lt;&gt;"",'Data Source'!S487="F"),IF('Data Source'!U487&gt;=5,"A+",IF('Data Source'!U487&gt;=4,"A",IF('Data Source'!U487&gt;=3.5,"A-",IF('Data Source'!U487&gt;=3,"B",IF('Data Source'!U487&gt;=2,"C",IF('Data Source'!U487&gt;=1,"D","F")))))),"")</f>
        <v/>
      </c>
      <c r="D487" s="3">
        <f>IF(AND('Data Source'!B487&lt;&gt;"",'Data Source'!S487="F"),IF('Data Source'!V487&gt;=5,"A+",IF('Data Source'!V487&gt;=4,"A",IF('Data Source'!V487&gt;=3.5,"A-",IF('Data Source'!V487&gt;=3,"B",IF('Data Source'!V487&gt;=2,"C",IF('Data Source'!V487&gt;=1,"D","F")))))),"")</f>
        <v/>
      </c>
      <c r="E487" s="3">
        <f>IF(AND('Data Source'!B487&lt;&gt;"",'Data Source'!S487="F"),IF('Data Source'!W487&gt;=5,"A+",IF('Data Source'!W487&gt;=4,"A",IF('Data Source'!W487&gt;=3.5,"A-",IF('Data Source'!W487&gt;=3,"B",IF('Data Source'!W487&gt;=2,"C",IF('Data Source'!W487&gt;=1,"D","F")))))),"")</f>
        <v/>
      </c>
      <c r="F487" s="3">
        <f>IF(AND('Data Source'!B487&lt;&gt;"",'Data Source'!S487="F"),IF('Data Source'!X487&gt;=5,"A+",IF('Data Source'!X487&gt;=4,"A",IF('Data Source'!X487&gt;=3.5,"A-",IF('Data Source'!X487&gt;=3,"B",IF('Data Source'!X487&gt;=2,"C",IF('Data Source'!X487&gt;=1,"D","F")))))),"")</f>
        <v/>
      </c>
      <c r="G487" s="3">
        <f>IF(AND('Data Source'!B487&lt;&gt;"",'Data Source'!S487="F"),IF('Data Source'!Y487&gt;=5,"A+",IF('Data Source'!Y487&gt;=4,"A",IF('Data Source'!Y487&gt;=3.5,"A-",IF('Data Source'!Y487&gt;=3,"B",IF('Data Source'!Y487&gt;=2,"C",IF('Data Source'!Y487&gt;=1,"D","F")))))),"")</f>
        <v/>
      </c>
      <c r="H487" s="3">
        <f>IF(AND('Data Source'!B487&lt;&gt;"",'Data Source'!S487="F"),IF('Data Source'!Z487&gt;=5,"A+",IF('Data Source'!Z487&gt;=4,"A",IF('Data Source'!Z487&gt;=3.5,"A-",IF('Data Source'!Z487&gt;=3,"B",IF('Data Source'!Z487&gt;=2,"C",IF('Data Source'!Z487&gt;=1,"D","F")))))),"")</f>
        <v/>
      </c>
      <c r="I487" s="3">
        <f>IF(AND('Data Source'!B487&lt;&gt;"",'Data Source'!S487="F"),IF('Data Source'!AA487&gt;=5,"A+",IF('Data Source'!AA487&gt;=4,"A",IF('Data Source'!AA487&gt;=3.5,"A-",IF('Data Source'!AA487&gt;=3,"B",IF('Data Source'!AA487&gt;=2,"C",IF('Data Source'!AA487&gt;=1,"D","F")))))),"")</f>
        <v/>
      </c>
      <c r="J487" s="3">
        <f>IF(AND('Data Source'!B487&lt;&gt;"",'Data Source'!S487="F"),IF('Data Source'!AB487&gt;=5,"A+",IF('Data Source'!AB487&gt;=4,"A",IF('Data Source'!AB487&gt;=3.5,"A-",IF('Data Source'!AB487&gt;=3,"B",IF('Data Source'!AB487&gt;=2,"C",IF('Data Source'!AB487&gt;=1,"D","F")))))),"")</f>
        <v/>
      </c>
      <c r="K487" s="3">
        <f>IF(AND('Data Source'!B487&lt;&gt;"",'Data Source'!S487="F"),IF('Data Source'!AC487&gt;=5,"A+",IF('Data Source'!AC487&gt;=4,"A",IF('Data Source'!AC487&gt;=3.5,"A-",IF('Data Source'!AC487&gt;=3,"B",IF('Data Source'!AC487&gt;=2,"C",IF('Data Source'!AC487&gt;=1,"D","F")))))),"")</f>
        <v/>
      </c>
      <c r="L487" s="3">
        <f>IF(AND('Data Source'!B487&lt;&gt;"",'Data Source'!S487="F"),IF('Data Source'!AD487&gt;=5,"A+",IF('Data Source'!AD487&gt;=4,"A",IF('Data Source'!AD487&gt;=3.5,"A-",IF('Data Source'!AD487&gt;=3,"B",IF('Data Source'!AD487&gt;=2,"C",IF('Data Source'!AD487&gt;=1,"D","F")))))),"")</f>
        <v/>
      </c>
      <c r="M487" s="3">
        <f>IF(AND('Data Source'!B487&lt;&gt;"",'Data Source'!S487="F"),IF('Data Source'!AE487&gt;=5,"A+",IF('Data Source'!AE487&gt;=4,"A",IF('Data Source'!AE487&gt;=3.5,"A-",IF('Data Source'!AE487&gt;=3,"B",IF('Data Source'!AE487&gt;=2,"C",IF('Data Source'!AE487&gt;=1,"D","F")))))),"")</f>
        <v/>
      </c>
      <c r="N487" s="3">
        <f>IF(AND('Data Source'!B487&lt;&gt;"",'Data Source'!S487="F"),IF('Data Source'!AF487&gt;=5,"A+",IF('Data Source'!AF487&gt;=4,"A",IF('Data Source'!AF487&gt;=3.5,"A-",IF('Data Source'!AF487&gt;=3,"B",IF('Data Source'!AF487&gt;=2,"C",IF('Data Source'!AF487&gt;=1,"D","F")))))),"")</f>
        <v/>
      </c>
      <c r="O487" s="3">
        <f>IF(AND('Data Source'!B487&lt;&gt;"",'Data Source'!S487="F"),IF('Data Source'!AG487&gt;=5,"A+",IF('Data Source'!AG487&gt;=4,"A",IF('Data Source'!AG487&gt;=3.5,"A-",IF('Data Source'!AG487&gt;=3,"B",IF('Data Source'!AG487&gt;=2,"C",IF('Data Source'!AG487&gt;=1,"D","F")))))),"")</f>
        <v/>
      </c>
      <c r="P487" s="5">
        <f>IF(AND('Data Source'!B487&lt;&gt;"",'Data Source'!S487="F"),'Data Source'!R487,"")</f>
        <v/>
      </c>
      <c r="Q487" s="3">
        <f>IF(AND('Data Source'!B487&lt;&gt;"",'Data Source'!S487="F"),'Data Source'!S487,"")</f>
        <v/>
      </c>
    </row>
    <row r="488">
      <c r="A488" s="3">
        <f>IF(AND('Data Source'!B488&lt;&gt;"",'Data Source'!S488="F"),COUNTIF('Data Source'!$S$3:S488,"F"),"")</f>
        <v/>
      </c>
      <c r="B488">
        <f>IF(AND('Data Source'!B488&lt;&gt;"",'Data Source'!S488="F"),'Data Source'!B488,"")</f>
        <v/>
      </c>
      <c r="C488" s="3">
        <f>IF(AND('Data Source'!B488&lt;&gt;"",'Data Source'!S488="F"),IF('Data Source'!U488&gt;=5,"A+",IF('Data Source'!U488&gt;=4,"A",IF('Data Source'!U488&gt;=3.5,"A-",IF('Data Source'!U488&gt;=3,"B",IF('Data Source'!U488&gt;=2,"C",IF('Data Source'!U488&gt;=1,"D","F")))))),"")</f>
        <v/>
      </c>
      <c r="D488" s="3">
        <f>IF(AND('Data Source'!B488&lt;&gt;"",'Data Source'!S488="F"),IF('Data Source'!V488&gt;=5,"A+",IF('Data Source'!V488&gt;=4,"A",IF('Data Source'!V488&gt;=3.5,"A-",IF('Data Source'!V488&gt;=3,"B",IF('Data Source'!V488&gt;=2,"C",IF('Data Source'!V488&gt;=1,"D","F")))))),"")</f>
        <v/>
      </c>
      <c r="E488" s="3">
        <f>IF(AND('Data Source'!B488&lt;&gt;"",'Data Source'!S488="F"),IF('Data Source'!W488&gt;=5,"A+",IF('Data Source'!W488&gt;=4,"A",IF('Data Source'!W488&gt;=3.5,"A-",IF('Data Source'!W488&gt;=3,"B",IF('Data Source'!W488&gt;=2,"C",IF('Data Source'!W488&gt;=1,"D","F")))))),"")</f>
        <v/>
      </c>
      <c r="F488" s="3">
        <f>IF(AND('Data Source'!B488&lt;&gt;"",'Data Source'!S488="F"),IF('Data Source'!X488&gt;=5,"A+",IF('Data Source'!X488&gt;=4,"A",IF('Data Source'!X488&gt;=3.5,"A-",IF('Data Source'!X488&gt;=3,"B",IF('Data Source'!X488&gt;=2,"C",IF('Data Source'!X488&gt;=1,"D","F")))))),"")</f>
        <v/>
      </c>
      <c r="G488" s="3">
        <f>IF(AND('Data Source'!B488&lt;&gt;"",'Data Source'!S488="F"),IF('Data Source'!Y488&gt;=5,"A+",IF('Data Source'!Y488&gt;=4,"A",IF('Data Source'!Y488&gt;=3.5,"A-",IF('Data Source'!Y488&gt;=3,"B",IF('Data Source'!Y488&gt;=2,"C",IF('Data Source'!Y488&gt;=1,"D","F")))))),"")</f>
        <v/>
      </c>
      <c r="H488" s="3">
        <f>IF(AND('Data Source'!B488&lt;&gt;"",'Data Source'!S488="F"),IF('Data Source'!Z488&gt;=5,"A+",IF('Data Source'!Z488&gt;=4,"A",IF('Data Source'!Z488&gt;=3.5,"A-",IF('Data Source'!Z488&gt;=3,"B",IF('Data Source'!Z488&gt;=2,"C",IF('Data Source'!Z488&gt;=1,"D","F")))))),"")</f>
        <v/>
      </c>
      <c r="I488" s="3">
        <f>IF(AND('Data Source'!B488&lt;&gt;"",'Data Source'!S488="F"),IF('Data Source'!AA488&gt;=5,"A+",IF('Data Source'!AA488&gt;=4,"A",IF('Data Source'!AA488&gt;=3.5,"A-",IF('Data Source'!AA488&gt;=3,"B",IF('Data Source'!AA488&gt;=2,"C",IF('Data Source'!AA488&gt;=1,"D","F")))))),"")</f>
        <v/>
      </c>
      <c r="J488" s="3">
        <f>IF(AND('Data Source'!B488&lt;&gt;"",'Data Source'!S488="F"),IF('Data Source'!AB488&gt;=5,"A+",IF('Data Source'!AB488&gt;=4,"A",IF('Data Source'!AB488&gt;=3.5,"A-",IF('Data Source'!AB488&gt;=3,"B",IF('Data Source'!AB488&gt;=2,"C",IF('Data Source'!AB488&gt;=1,"D","F")))))),"")</f>
        <v/>
      </c>
      <c r="K488" s="3">
        <f>IF(AND('Data Source'!B488&lt;&gt;"",'Data Source'!S488="F"),IF('Data Source'!AC488&gt;=5,"A+",IF('Data Source'!AC488&gt;=4,"A",IF('Data Source'!AC488&gt;=3.5,"A-",IF('Data Source'!AC488&gt;=3,"B",IF('Data Source'!AC488&gt;=2,"C",IF('Data Source'!AC488&gt;=1,"D","F")))))),"")</f>
        <v/>
      </c>
      <c r="L488" s="3">
        <f>IF(AND('Data Source'!B488&lt;&gt;"",'Data Source'!S488="F"),IF('Data Source'!AD488&gt;=5,"A+",IF('Data Source'!AD488&gt;=4,"A",IF('Data Source'!AD488&gt;=3.5,"A-",IF('Data Source'!AD488&gt;=3,"B",IF('Data Source'!AD488&gt;=2,"C",IF('Data Source'!AD488&gt;=1,"D","F")))))),"")</f>
        <v/>
      </c>
      <c r="M488" s="3">
        <f>IF(AND('Data Source'!B488&lt;&gt;"",'Data Source'!S488="F"),IF('Data Source'!AE488&gt;=5,"A+",IF('Data Source'!AE488&gt;=4,"A",IF('Data Source'!AE488&gt;=3.5,"A-",IF('Data Source'!AE488&gt;=3,"B",IF('Data Source'!AE488&gt;=2,"C",IF('Data Source'!AE488&gt;=1,"D","F")))))),"")</f>
        <v/>
      </c>
      <c r="N488" s="3">
        <f>IF(AND('Data Source'!B488&lt;&gt;"",'Data Source'!S488="F"),IF('Data Source'!AF488&gt;=5,"A+",IF('Data Source'!AF488&gt;=4,"A",IF('Data Source'!AF488&gt;=3.5,"A-",IF('Data Source'!AF488&gt;=3,"B",IF('Data Source'!AF488&gt;=2,"C",IF('Data Source'!AF488&gt;=1,"D","F")))))),"")</f>
        <v/>
      </c>
      <c r="O488" s="3">
        <f>IF(AND('Data Source'!B488&lt;&gt;"",'Data Source'!S488="F"),IF('Data Source'!AG488&gt;=5,"A+",IF('Data Source'!AG488&gt;=4,"A",IF('Data Source'!AG488&gt;=3.5,"A-",IF('Data Source'!AG488&gt;=3,"B",IF('Data Source'!AG488&gt;=2,"C",IF('Data Source'!AG488&gt;=1,"D","F")))))),"")</f>
        <v/>
      </c>
      <c r="P488" s="5">
        <f>IF(AND('Data Source'!B488&lt;&gt;"",'Data Source'!S488="F"),'Data Source'!R488,"")</f>
        <v/>
      </c>
      <c r="Q488" s="3">
        <f>IF(AND('Data Source'!B488&lt;&gt;"",'Data Source'!S488="F"),'Data Source'!S488,"")</f>
        <v/>
      </c>
    </row>
    <row r="489">
      <c r="A489" s="3">
        <f>IF(AND('Data Source'!B489&lt;&gt;"",'Data Source'!S489="F"),COUNTIF('Data Source'!$S$3:S489,"F"),"")</f>
        <v/>
      </c>
      <c r="B489">
        <f>IF(AND('Data Source'!B489&lt;&gt;"",'Data Source'!S489="F"),'Data Source'!B489,"")</f>
        <v/>
      </c>
      <c r="C489" s="3">
        <f>IF(AND('Data Source'!B489&lt;&gt;"",'Data Source'!S489="F"),IF('Data Source'!U489&gt;=5,"A+",IF('Data Source'!U489&gt;=4,"A",IF('Data Source'!U489&gt;=3.5,"A-",IF('Data Source'!U489&gt;=3,"B",IF('Data Source'!U489&gt;=2,"C",IF('Data Source'!U489&gt;=1,"D","F")))))),"")</f>
        <v/>
      </c>
      <c r="D489" s="3">
        <f>IF(AND('Data Source'!B489&lt;&gt;"",'Data Source'!S489="F"),IF('Data Source'!V489&gt;=5,"A+",IF('Data Source'!V489&gt;=4,"A",IF('Data Source'!V489&gt;=3.5,"A-",IF('Data Source'!V489&gt;=3,"B",IF('Data Source'!V489&gt;=2,"C",IF('Data Source'!V489&gt;=1,"D","F")))))),"")</f>
        <v/>
      </c>
      <c r="E489" s="3">
        <f>IF(AND('Data Source'!B489&lt;&gt;"",'Data Source'!S489="F"),IF('Data Source'!W489&gt;=5,"A+",IF('Data Source'!W489&gt;=4,"A",IF('Data Source'!W489&gt;=3.5,"A-",IF('Data Source'!W489&gt;=3,"B",IF('Data Source'!W489&gt;=2,"C",IF('Data Source'!W489&gt;=1,"D","F")))))),"")</f>
        <v/>
      </c>
      <c r="F489" s="3">
        <f>IF(AND('Data Source'!B489&lt;&gt;"",'Data Source'!S489="F"),IF('Data Source'!X489&gt;=5,"A+",IF('Data Source'!X489&gt;=4,"A",IF('Data Source'!X489&gt;=3.5,"A-",IF('Data Source'!X489&gt;=3,"B",IF('Data Source'!X489&gt;=2,"C",IF('Data Source'!X489&gt;=1,"D","F")))))),"")</f>
        <v/>
      </c>
      <c r="G489" s="3">
        <f>IF(AND('Data Source'!B489&lt;&gt;"",'Data Source'!S489="F"),IF('Data Source'!Y489&gt;=5,"A+",IF('Data Source'!Y489&gt;=4,"A",IF('Data Source'!Y489&gt;=3.5,"A-",IF('Data Source'!Y489&gt;=3,"B",IF('Data Source'!Y489&gt;=2,"C",IF('Data Source'!Y489&gt;=1,"D","F")))))),"")</f>
        <v/>
      </c>
      <c r="H489" s="3">
        <f>IF(AND('Data Source'!B489&lt;&gt;"",'Data Source'!S489="F"),IF('Data Source'!Z489&gt;=5,"A+",IF('Data Source'!Z489&gt;=4,"A",IF('Data Source'!Z489&gt;=3.5,"A-",IF('Data Source'!Z489&gt;=3,"B",IF('Data Source'!Z489&gt;=2,"C",IF('Data Source'!Z489&gt;=1,"D","F")))))),"")</f>
        <v/>
      </c>
      <c r="I489" s="3">
        <f>IF(AND('Data Source'!B489&lt;&gt;"",'Data Source'!S489="F"),IF('Data Source'!AA489&gt;=5,"A+",IF('Data Source'!AA489&gt;=4,"A",IF('Data Source'!AA489&gt;=3.5,"A-",IF('Data Source'!AA489&gt;=3,"B",IF('Data Source'!AA489&gt;=2,"C",IF('Data Source'!AA489&gt;=1,"D","F")))))),"")</f>
        <v/>
      </c>
      <c r="J489" s="3">
        <f>IF(AND('Data Source'!B489&lt;&gt;"",'Data Source'!S489="F"),IF('Data Source'!AB489&gt;=5,"A+",IF('Data Source'!AB489&gt;=4,"A",IF('Data Source'!AB489&gt;=3.5,"A-",IF('Data Source'!AB489&gt;=3,"B",IF('Data Source'!AB489&gt;=2,"C",IF('Data Source'!AB489&gt;=1,"D","F")))))),"")</f>
        <v/>
      </c>
      <c r="K489" s="3">
        <f>IF(AND('Data Source'!B489&lt;&gt;"",'Data Source'!S489="F"),IF('Data Source'!AC489&gt;=5,"A+",IF('Data Source'!AC489&gt;=4,"A",IF('Data Source'!AC489&gt;=3.5,"A-",IF('Data Source'!AC489&gt;=3,"B",IF('Data Source'!AC489&gt;=2,"C",IF('Data Source'!AC489&gt;=1,"D","F")))))),"")</f>
        <v/>
      </c>
      <c r="L489" s="3">
        <f>IF(AND('Data Source'!B489&lt;&gt;"",'Data Source'!S489="F"),IF('Data Source'!AD489&gt;=5,"A+",IF('Data Source'!AD489&gt;=4,"A",IF('Data Source'!AD489&gt;=3.5,"A-",IF('Data Source'!AD489&gt;=3,"B",IF('Data Source'!AD489&gt;=2,"C",IF('Data Source'!AD489&gt;=1,"D","F")))))),"")</f>
        <v/>
      </c>
      <c r="M489" s="3">
        <f>IF(AND('Data Source'!B489&lt;&gt;"",'Data Source'!S489="F"),IF('Data Source'!AE489&gt;=5,"A+",IF('Data Source'!AE489&gt;=4,"A",IF('Data Source'!AE489&gt;=3.5,"A-",IF('Data Source'!AE489&gt;=3,"B",IF('Data Source'!AE489&gt;=2,"C",IF('Data Source'!AE489&gt;=1,"D","F")))))),"")</f>
        <v/>
      </c>
      <c r="N489" s="3">
        <f>IF(AND('Data Source'!B489&lt;&gt;"",'Data Source'!S489="F"),IF('Data Source'!AF489&gt;=5,"A+",IF('Data Source'!AF489&gt;=4,"A",IF('Data Source'!AF489&gt;=3.5,"A-",IF('Data Source'!AF489&gt;=3,"B",IF('Data Source'!AF489&gt;=2,"C",IF('Data Source'!AF489&gt;=1,"D","F")))))),"")</f>
        <v/>
      </c>
      <c r="O489" s="3">
        <f>IF(AND('Data Source'!B489&lt;&gt;"",'Data Source'!S489="F"),IF('Data Source'!AG489&gt;=5,"A+",IF('Data Source'!AG489&gt;=4,"A",IF('Data Source'!AG489&gt;=3.5,"A-",IF('Data Source'!AG489&gt;=3,"B",IF('Data Source'!AG489&gt;=2,"C",IF('Data Source'!AG489&gt;=1,"D","F")))))),"")</f>
        <v/>
      </c>
      <c r="P489" s="5">
        <f>IF(AND('Data Source'!B489&lt;&gt;"",'Data Source'!S489="F"),'Data Source'!R489,"")</f>
        <v/>
      </c>
      <c r="Q489" s="3">
        <f>IF(AND('Data Source'!B489&lt;&gt;"",'Data Source'!S489="F"),'Data Source'!S489,"")</f>
        <v/>
      </c>
    </row>
    <row r="490">
      <c r="A490" s="3">
        <f>IF(AND('Data Source'!B490&lt;&gt;"",'Data Source'!S490="F"),COUNTIF('Data Source'!$S$3:S490,"F"),"")</f>
        <v/>
      </c>
      <c r="B490">
        <f>IF(AND('Data Source'!B490&lt;&gt;"",'Data Source'!S490="F"),'Data Source'!B490,"")</f>
        <v/>
      </c>
      <c r="C490" s="3">
        <f>IF(AND('Data Source'!B490&lt;&gt;"",'Data Source'!S490="F"),IF('Data Source'!U490&gt;=5,"A+",IF('Data Source'!U490&gt;=4,"A",IF('Data Source'!U490&gt;=3.5,"A-",IF('Data Source'!U490&gt;=3,"B",IF('Data Source'!U490&gt;=2,"C",IF('Data Source'!U490&gt;=1,"D","F")))))),"")</f>
        <v/>
      </c>
      <c r="D490" s="3">
        <f>IF(AND('Data Source'!B490&lt;&gt;"",'Data Source'!S490="F"),IF('Data Source'!V490&gt;=5,"A+",IF('Data Source'!V490&gt;=4,"A",IF('Data Source'!V490&gt;=3.5,"A-",IF('Data Source'!V490&gt;=3,"B",IF('Data Source'!V490&gt;=2,"C",IF('Data Source'!V490&gt;=1,"D","F")))))),"")</f>
        <v/>
      </c>
      <c r="E490" s="3">
        <f>IF(AND('Data Source'!B490&lt;&gt;"",'Data Source'!S490="F"),IF('Data Source'!W490&gt;=5,"A+",IF('Data Source'!W490&gt;=4,"A",IF('Data Source'!W490&gt;=3.5,"A-",IF('Data Source'!W490&gt;=3,"B",IF('Data Source'!W490&gt;=2,"C",IF('Data Source'!W490&gt;=1,"D","F")))))),"")</f>
        <v/>
      </c>
      <c r="F490" s="3">
        <f>IF(AND('Data Source'!B490&lt;&gt;"",'Data Source'!S490="F"),IF('Data Source'!X490&gt;=5,"A+",IF('Data Source'!X490&gt;=4,"A",IF('Data Source'!X490&gt;=3.5,"A-",IF('Data Source'!X490&gt;=3,"B",IF('Data Source'!X490&gt;=2,"C",IF('Data Source'!X490&gt;=1,"D","F")))))),"")</f>
        <v/>
      </c>
      <c r="G490" s="3">
        <f>IF(AND('Data Source'!B490&lt;&gt;"",'Data Source'!S490="F"),IF('Data Source'!Y490&gt;=5,"A+",IF('Data Source'!Y490&gt;=4,"A",IF('Data Source'!Y490&gt;=3.5,"A-",IF('Data Source'!Y490&gt;=3,"B",IF('Data Source'!Y490&gt;=2,"C",IF('Data Source'!Y490&gt;=1,"D","F")))))),"")</f>
        <v/>
      </c>
      <c r="H490" s="3">
        <f>IF(AND('Data Source'!B490&lt;&gt;"",'Data Source'!S490="F"),IF('Data Source'!Z490&gt;=5,"A+",IF('Data Source'!Z490&gt;=4,"A",IF('Data Source'!Z490&gt;=3.5,"A-",IF('Data Source'!Z490&gt;=3,"B",IF('Data Source'!Z490&gt;=2,"C",IF('Data Source'!Z490&gt;=1,"D","F")))))),"")</f>
        <v/>
      </c>
      <c r="I490" s="3">
        <f>IF(AND('Data Source'!B490&lt;&gt;"",'Data Source'!S490="F"),IF('Data Source'!AA490&gt;=5,"A+",IF('Data Source'!AA490&gt;=4,"A",IF('Data Source'!AA490&gt;=3.5,"A-",IF('Data Source'!AA490&gt;=3,"B",IF('Data Source'!AA490&gt;=2,"C",IF('Data Source'!AA490&gt;=1,"D","F")))))),"")</f>
        <v/>
      </c>
      <c r="J490" s="3">
        <f>IF(AND('Data Source'!B490&lt;&gt;"",'Data Source'!S490="F"),IF('Data Source'!AB490&gt;=5,"A+",IF('Data Source'!AB490&gt;=4,"A",IF('Data Source'!AB490&gt;=3.5,"A-",IF('Data Source'!AB490&gt;=3,"B",IF('Data Source'!AB490&gt;=2,"C",IF('Data Source'!AB490&gt;=1,"D","F")))))),"")</f>
        <v/>
      </c>
      <c r="K490" s="3">
        <f>IF(AND('Data Source'!B490&lt;&gt;"",'Data Source'!S490="F"),IF('Data Source'!AC490&gt;=5,"A+",IF('Data Source'!AC490&gt;=4,"A",IF('Data Source'!AC490&gt;=3.5,"A-",IF('Data Source'!AC490&gt;=3,"B",IF('Data Source'!AC490&gt;=2,"C",IF('Data Source'!AC490&gt;=1,"D","F")))))),"")</f>
        <v/>
      </c>
      <c r="L490" s="3">
        <f>IF(AND('Data Source'!B490&lt;&gt;"",'Data Source'!S490="F"),IF('Data Source'!AD490&gt;=5,"A+",IF('Data Source'!AD490&gt;=4,"A",IF('Data Source'!AD490&gt;=3.5,"A-",IF('Data Source'!AD490&gt;=3,"B",IF('Data Source'!AD490&gt;=2,"C",IF('Data Source'!AD490&gt;=1,"D","F")))))),"")</f>
        <v/>
      </c>
      <c r="M490" s="3">
        <f>IF(AND('Data Source'!B490&lt;&gt;"",'Data Source'!S490="F"),IF('Data Source'!AE490&gt;=5,"A+",IF('Data Source'!AE490&gt;=4,"A",IF('Data Source'!AE490&gt;=3.5,"A-",IF('Data Source'!AE490&gt;=3,"B",IF('Data Source'!AE490&gt;=2,"C",IF('Data Source'!AE490&gt;=1,"D","F")))))),"")</f>
        <v/>
      </c>
      <c r="N490" s="3">
        <f>IF(AND('Data Source'!B490&lt;&gt;"",'Data Source'!S490="F"),IF('Data Source'!AF490&gt;=5,"A+",IF('Data Source'!AF490&gt;=4,"A",IF('Data Source'!AF490&gt;=3.5,"A-",IF('Data Source'!AF490&gt;=3,"B",IF('Data Source'!AF490&gt;=2,"C",IF('Data Source'!AF490&gt;=1,"D","F")))))),"")</f>
        <v/>
      </c>
      <c r="O490" s="3">
        <f>IF(AND('Data Source'!B490&lt;&gt;"",'Data Source'!S490="F"),IF('Data Source'!AG490&gt;=5,"A+",IF('Data Source'!AG490&gt;=4,"A",IF('Data Source'!AG490&gt;=3.5,"A-",IF('Data Source'!AG490&gt;=3,"B",IF('Data Source'!AG490&gt;=2,"C",IF('Data Source'!AG490&gt;=1,"D","F")))))),"")</f>
        <v/>
      </c>
      <c r="P490" s="5">
        <f>IF(AND('Data Source'!B490&lt;&gt;"",'Data Source'!S490="F"),'Data Source'!R490,"")</f>
        <v/>
      </c>
      <c r="Q490" s="3">
        <f>IF(AND('Data Source'!B490&lt;&gt;"",'Data Source'!S490="F"),'Data Source'!S490,"")</f>
        <v/>
      </c>
    </row>
    <row r="491">
      <c r="A491" s="3">
        <f>IF(AND('Data Source'!B491&lt;&gt;"",'Data Source'!S491="F"),COUNTIF('Data Source'!$S$3:S491,"F"),"")</f>
        <v/>
      </c>
      <c r="B491">
        <f>IF(AND('Data Source'!B491&lt;&gt;"",'Data Source'!S491="F"),'Data Source'!B491,"")</f>
        <v/>
      </c>
      <c r="C491" s="3">
        <f>IF(AND('Data Source'!B491&lt;&gt;"",'Data Source'!S491="F"),IF('Data Source'!U491&gt;=5,"A+",IF('Data Source'!U491&gt;=4,"A",IF('Data Source'!U491&gt;=3.5,"A-",IF('Data Source'!U491&gt;=3,"B",IF('Data Source'!U491&gt;=2,"C",IF('Data Source'!U491&gt;=1,"D","F")))))),"")</f>
        <v/>
      </c>
      <c r="D491" s="3">
        <f>IF(AND('Data Source'!B491&lt;&gt;"",'Data Source'!S491="F"),IF('Data Source'!V491&gt;=5,"A+",IF('Data Source'!V491&gt;=4,"A",IF('Data Source'!V491&gt;=3.5,"A-",IF('Data Source'!V491&gt;=3,"B",IF('Data Source'!V491&gt;=2,"C",IF('Data Source'!V491&gt;=1,"D","F")))))),"")</f>
        <v/>
      </c>
      <c r="E491" s="3">
        <f>IF(AND('Data Source'!B491&lt;&gt;"",'Data Source'!S491="F"),IF('Data Source'!W491&gt;=5,"A+",IF('Data Source'!W491&gt;=4,"A",IF('Data Source'!W491&gt;=3.5,"A-",IF('Data Source'!W491&gt;=3,"B",IF('Data Source'!W491&gt;=2,"C",IF('Data Source'!W491&gt;=1,"D","F")))))),"")</f>
        <v/>
      </c>
      <c r="F491" s="3">
        <f>IF(AND('Data Source'!B491&lt;&gt;"",'Data Source'!S491="F"),IF('Data Source'!X491&gt;=5,"A+",IF('Data Source'!X491&gt;=4,"A",IF('Data Source'!X491&gt;=3.5,"A-",IF('Data Source'!X491&gt;=3,"B",IF('Data Source'!X491&gt;=2,"C",IF('Data Source'!X491&gt;=1,"D","F")))))),"")</f>
        <v/>
      </c>
      <c r="G491" s="3">
        <f>IF(AND('Data Source'!B491&lt;&gt;"",'Data Source'!S491="F"),IF('Data Source'!Y491&gt;=5,"A+",IF('Data Source'!Y491&gt;=4,"A",IF('Data Source'!Y491&gt;=3.5,"A-",IF('Data Source'!Y491&gt;=3,"B",IF('Data Source'!Y491&gt;=2,"C",IF('Data Source'!Y491&gt;=1,"D","F")))))),"")</f>
        <v/>
      </c>
      <c r="H491" s="3">
        <f>IF(AND('Data Source'!B491&lt;&gt;"",'Data Source'!S491="F"),IF('Data Source'!Z491&gt;=5,"A+",IF('Data Source'!Z491&gt;=4,"A",IF('Data Source'!Z491&gt;=3.5,"A-",IF('Data Source'!Z491&gt;=3,"B",IF('Data Source'!Z491&gt;=2,"C",IF('Data Source'!Z491&gt;=1,"D","F")))))),"")</f>
        <v/>
      </c>
      <c r="I491" s="3">
        <f>IF(AND('Data Source'!B491&lt;&gt;"",'Data Source'!S491="F"),IF('Data Source'!AA491&gt;=5,"A+",IF('Data Source'!AA491&gt;=4,"A",IF('Data Source'!AA491&gt;=3.5,"A-",IF('Data Source'!AA491&gt;=3,"B",IF('Data Source'!AA491&gt;=2,"C",IF('Data Source'!AA491&gt;=1,"D","F")))))),"")</f>
        <v/>
      </c>
      <c r="J491" s="3">
        <f>IF(AND('Data Source'!B491&lt;&gt;"",'Data Source'!S491="F"),IF('Data Source'!AB491&gt;=5,"A+",IF('Data Source'!AB491&gt;=4,"A",IF('Data Source'!AB491&gt;=3.5,"A-",IF('Data Source'!AB491&gt;=3,"B",IF('Data Source'!AB491&gt;=2,"C",IF('Data Source'!AB491&gt;=1,"D","F")))))),"")</f>
        <v/>
      </c>
      <c r="K491" s="3">
        <f>IF(AND('Data Source'!B491&lt;&gt;"",'Data Source'!S491="F"),IF('Data Source'!AC491&gt;=5,"A+",IF('Data Source'!AC491&gt;=4,"A",IF('Data Source'!AC491&gt;=3.5,"A-",IF('Data Source'!AC491&gt;=3,"B",IF('Data Source'!AC491&gt;=2,"C",IF('Data Source'!AC491&gt;=1,"D","F")))))),"")</f>
        <v/>
      </c>
      <c r="L491" s="3">
        <f>IF(AND('Data Source'!B491&lt;&gt;"",'Data Source'!S491="F"),IF('Data Source'!AD491&gt;=5,"A+",IF('Data Source'!AD491&gt;=4,"A",IF('Data Source'!AD491&gt;=3.5,"A-",IF('Data Source'!AD491&gt;=3,"B",IF('Data Source'!AD491&gt;=2,"C",IF('Data Source'!AD491&gt;=1,"D","F")))))),"")</f>
        <v/>
      </c>
      <c r="M491" s="3">
        <f>IF(AND('Data Source'!B491&lt;&gt;"",'Data Source'!S491="F"),IF('Data Source'!AE491&gt;=5,"A+",IF('Data Source'!AE491&gt;=4,"A",IF('Data Source'!AE491&gt;=3.5,"A-",IF('Data Source'!AE491&gt;=3,"B",IF('Data Source'!AE491&gt;=2,"C",IF('Data Source'!AE491&gt;=1,"D","F")))))),"")</f>
        <v/>
      </c>
      <c r="N491" s="3">
        <f>IF(AND('Data Source'!B491&lt;&gt;"",'Data Source'!S491="F"),IF('Data Source'!AF491&gt;=5,"A+",IF('Data Source'!AF491&gt;=4,"A",IF('Data Source'!AF491&gt;=3.5,"A-",IF('Data Source'!AF491&gt;=3,"B",IF('Data Source'!AF491&gt;=2,"C",IF('Data Source'!AF491&gt;=1,"D","F")))))),"")</f>
        <v/>
      </c>
      <c r="O491" s="3">
        <f>IF(AND('Data Source'!B491&lt;&gt;"",'Data Source'!S491="F"),IF('Data Source'!AG491&gt;=5,"A+",IF('Data Source'!AG491&gt;=4,"A",IF('Data Source'!AG491&gt;=3.5,"A-",IF('Data Source'!AG491&gt;=3,"B",IF('Data Source'!AG491&gt;=2,"C",IF('Data Source'!AG491&gt;=1,"D","F")))))),"")</f>
        <v/>
      </c>
      <c r="P491" s="5">
        <f>IF(AND('Data Source'!B491&lt;&gt;"",'Data Source'!S491="F"),'Data Source'!R491,"")</f>
        <v/>
      </c>
      <c r="Q491" s="3">
        <f>IF(AND('Data Source'!B491&lt;&gt;"",'Data Source'!S491="F"),'Data Source'!S491,"")</f>
        <v/>
      </c>
    </row>
    <row r="492">
      <c r="A492" s="3">
        <f>IF(AND('Data Source'!B492&lt;&gt;"",'Data Source'!S492="F"),COUNTIF('Data Source'!$S$3:S492,"F"),"")</f>
        <v/>
      </c>
      <c r="B492">
        <f>IF(AND('Data Source'!B492&lt;&gt;"",'Data Source'!S492="F"),'Data Source'!B492,"")</f>
        <v/>
      </c>
      <c r="C492" s="3">
        <f>IF(AND('Data Source'!B492&lt;&gt;"",'Data Source'!S492="F"),IF('Data Source'!U492&gt;=5,"A+",IF('Data Source'!U492&gt;=4,"A",IF('Data Source'!U492&gt;=3.5,"A-",IF('Data Source'!U492&gt;=3,"B",IF('Data Source'!U492&gt;=2,"C",IF('Data Source'!U492&gt;=1,"D","F")))))),"")</f>
        <v/>
      </c>
      <c r="D492" s="3">
        <f>IF(AND('Data Source'!B492&lt;&gt;"",'Data Source'!S492="F"),IF('Data Source'!V492&gt;=5,"A+",IF('Data Source'!V492&gt;=4,"A",IF('Data Source'!V492&gt;=3.5,"A-",IF('Data Source'!V492&gt;=3,"B",IF('Data Source'!V492&gt;=2,"C",IF('Data Source'!V492&gt;=1,"D","F")))))),"")</f>
        <v/>
      </c>
      <c r="E492" s="3">
        <f>IF(AND('Data Source'!B492&lt;&gt;"",'Data Source'!S492="F"),IF('Data Source'!W492&gt;=5,"A+",IF('Data Source'!W492&gt;=4,"A",IF('Data Source'!W492&gt;=3.5,"A-",IF('Data Source'!W492&gt;=3,"B",IF('Data Source'!W492&gt;=2,"C",IF('Data Source'!W492&gt;=1,"D","F")))))),"")</f>
        <v/>
      </c>
      <c r="F492" s="3">
        <f>IF(AND('Data Source'!B492&lt;&gt;"",'Data Source'!S492="F"),IF('Data Source'!X492&gt;=5,"A+",IF('Data Source'!X492&gt;=4,"A",IF('Data Source'!X492&gt;=3.5,"A-",IF('Data Source'!X492&gt;=3,"B",IF('Data Source'!X492&gt;=2,"C",IF('Data Source'!X492&gt;=1,"D","F")))))),"")</f>
        <v/>
      </c>
      <c r="G492" s="3">
        <f>IF(AND('Data Source'!B492&lt;&gt;"",'Data Source'!S492="F"),IF('Data Source'!Y492&gt;=5,"A+",IF('Data Source'!Y492&gt;=4,"A",IF('Data Source'!Y492&gt;=3.5,"A-",IF('Data Source'!Y492&gt;=3,"B",IF('Data Source'!Y492&gt;=2,"C",IF('Data Source'!Y492&gt;=1,"D","F")))))),"")</f>
        <v/>
      </c>
      <c r="H492" s="3">
        <f>IF(AND('Data Source'!B492&lt;&gt;"",'Data Source'!S492="F"),IF('Data Source'!Z492&gt;=5,"A+",IF('Data Source'!Z492&gt;=4,"A",IF('Data Source'!Z492&gt;=3.5,"A-",IF('Data Source'!Z492&gt;=3,"B",IF('Data Source'!Z492&gt;=2,"C",IF('Data Source'!Z492&gt;=1,"D","F")))))),"")</f>
        <v/>
      </c>
      <c r="I492" s="3">
        <f>IF(AND('Data Source'!B492&lt;&gt;"",'Data Source'!S492="F"),IF('Data Source'!AA492&gt;=5,"A+",IF('Data Source'!AA492&gt;=4,"A",IF('Data Source'!AA492&gt;=3.5,"A-",IF('Data Source'!AA492&gt;=3,"B",IF('Data Source'!AA492&gt;=2,"C",IF('Data Source'!AA492&gt;=1,"D","F")))))),"")</f>
        <v/>
      </c>
      <c r="J492" s="3">
        <f>IF(AND('Data Source'!B492&lt;&gt;"",'Data Source'!S492="F"),IF('Data Source'!AB492&gt;=5,"A+",IF('Data Source'!AB492&gt;=4,"A",IF('Data Source'!AB492&gt;=3.5,"A-",IF('Data Source'!AB492&gt;=3,"B",IF('Data Source'!AB492&gt;=2,"C",IF('Data Source'!AB492&gt;=1,"D","F")))))),"")</f>
        <v/>
      </c>
      <c r="K492" s="3">
        <f>IF(AND('Data Source'!B492&lt;&gt;"",'Data Source'!S492="F"),IF('Data Source'!AC492&gt;=5,"A+",IF('Data Source'!AC492&gt;=4,"A",IF('Data Source'!AC492&gt;=3.5,"A-",IF('Data Source'!AC492&gt;=3,"B",IF('Data Source'!AC492&gt;=2,"C",IF('Data Source'!AC492&gt;=1,"D","F")))))),"")</f>
        <v/>
      </c>
      <c r="L492" s="3">
        <f>IF(AND('Data Source'!B492&lt;&gt;"",'Data Source'!S492="F"),IF('Data Source'!AD492&gt;=5,"A+",IF('Data Source'!AD492&gt;=4,"A",IF('Data Source'!AD492&gt;=3.5,"A-",IF('Data Source'!AD492&gt;=3,"B",IF('Data Source'!AD492&gt;=2,"C",IF('Data Source'!AD492&gt;=1,"D","F")))))),"")</f>
        <v/>
      </c>
      <c r="M492" s="3">
        <f>IF(AND('Data Source'!B492&lt;&gt;"",'Data Source'!S492="F"),IF('Data Source'!AE492&gt;=5,"A+",IF('Data Source'!AE492&gt;=4,"A",IF('Data Source'!AE492&gt;=3.5,"A-",IF('Data Source'!AE492&gt;=3,"B",IF('Data Source'!AE492&gt;=2,"C",IF('Data Source'!AE492&gt;=1,"D","F")))))),"")</f>
        <v/>
      </c>
      <c r="N492" s="3">
        <f>IF(AND('Data Source'!B492&lt;&gt;"",'Data Source'!S492="F"),IF('Data Source'!AF492&gt;=5,"A+",IF('Data Source'!AF492&gt;=4,"A",IF('Data Source'!AF492&gt;=3.5,"A-",IF('Data Source'!AF492&gt;=3,"B",IF('Data Source'!AF492&gt;=2,"C",IF('Data Source'!AF492&gt;=1,"D","F")))))),"")</f>
        <v/>
      </c>
      <c r="O492" s="3">
        <f>IF(AND('Data Source'!B492&lt;&gt;"",'Data Source'!S492="F"),IF('Data Source'!AG492&gt;=5,"A+",IF('Data Source'!AG492&gt;=4,"A",IF('Data Source'!AG492&gt;=3.5,"A-",IF('Data Source'!AG492&gt;=3,"B",IF('Data Source'!AG492&gt;=2,"C",IF('Data Source'!AG492&gt;=1,"D","F")))))),"")</f>
        <v/>
      </c>
      <c r="P492" s="5">
        <f>IF(AND('Data Source'!B492&lt;&gt;"",'Data Source'!S492="F"),'Data Source'!R492,"")</f>
        <v/>
      </c>
      <c r="Q492" s="3">
        <f>IF(AND('Data Source'!B492&lt;&gt;"",'Data Source'!S492="F"),'Data Source'!S492,"")</f>
        <v/>
      </c>
    </row>
    <row r="493">
      <c r="A493" s="3">
        <f>IF(AND('Data Source'!B493&lt;&gt;"",'Data Source'!S493="F"),COUNTIF('Data Source'!$S$3:S493,"F"),"")</f>
        <v/>
      </c>
      <c r="B493">
        <f>IF(AND('Data Source'!B493&lt;&gt;"",'Data Source'!S493="F"),'Data Source'!B493,"")</f>
        <v/>
      </c>
      <c r="C493" s="3">
        <f>IF(AND('Data Source'!B493&lt;&gt;"",'Data Source'!S493="F"),IF('Data Source'!U493&gt;=5,"A+",IF('Data Source'!U493&gt;=4,"A",IF('Data Source'!U493&gt;=3.5,"A-",IF('Data Source'!U493&gt;=3,"B",IF('Data Source'!U493&gt;=2,"C",IF('Data Source'!U493&gt;=1,"D","F")))))),"")</f>
        <v/>
      </c>
      <c r="D493" s="3">
        <f>IF(AND('Data Source'!B493&lt;&gt;"",'Data Source'!S493="F"),IF('Data Source'!V493&gt;=5,"A+",IF('Data Source'!V493&gt;=4,"A",IF('Data Source'!V493&gt;=3.5,"A-",IF('Data Source'!V493&gt;=3,"B",IF('Data Source'!V493&gt;=2,"C",IF('Data Source'!V493&gt;=1,"D","F")))))),"")</f>
        <v/>
      </c>
      <c r="E493" s="3">
        <f>IF(AND('Data Source'!B493&lt;&gt;"",'Data Source'!S493="F"),IF('Data Source'!W493&gt;=5,"A+",IF('Data Source'!W493&gt;=4,"A",IF('Data Source'!W493&gt;=3.5,"A-",IF('Data Source'!W493&gt;=3,"B",IF('Data Source'!W493&gt;=2,"C",IF('Data Source'!W493&gt;=1,"D","F")))))),"")</f>
        <v/>
      </c>
      <c r="F493" s="3">
        <f>IF(AND('Data Source'!B493&lt;&gt;"",'Data Source'!S493="F"),IF('Data Source'!X493&gt;=5,"A+",IF('Data Source'!X493&gt;=4,"A",IF('Data Source'!X493&gt;=3.5,"A-",IF('Data Source'!X493&gt;=3,"B",IF('Data Source'!X493&gt;=2,"C",IF('Data Source'!X493&gt;=1,"D","F")))))),"")</f>
        <v/>
      </c>
      <c r="G493" s="3">
        <f>IF(AND('Data Source'!B493&lt;&gt;"",'Data Source'!S493="F"),IF('Data Source'!Y493&gt;=5,"A+",IF('Data Source'!Y493&gt;=4,"A",IF('Data Source'!Y493&gt;=3.5,"A-",IF('Data Source'!Y493&gt;=3,"B",IF('Data Source'!Y493&gt;=2,"C",IF('Data Source'!Y493&gt;=1,"D","F")))))),"")</f>
        <v/>
      </c>
      <c r="H493" s="3">
        <f>IF(AND('Data Source'!B493&lt;&gt;"",'Data Source'!S493="F"),IF('Data Source'!Z493&gt;=5,"A+",IF('Data Source'!Z493&gt;=4,"A",IF('Data Source'!Z493&gt;=3.5,"A-",IF('Data Source'!Z493&gt;=3,"B",IF('Data Source'!Z493&gt;=2,"C",IF('Data Source'!Z493&gt;=1,"D","F")))))),"")</f>
        <v/>
      </c>
      <c r="I493" s="3">
        <f>IF(AND('Data Source'!B493&lt;&gt;"",'Data Source'!S493="F"),IF('Data Source'!AA493&gt;=5,"A+",IF('Data Source'!AA493&gt;=4,"A",IF('Data Source'!AA493&gt;=3.5,"A-",IF('Data Source'!AA493&gt;=3,"B",IF('Data Source'!AA493&gt;=2,"C",IF('Data Source'!AA493&gt;=1,"D","F")))))),"")</f>
        <v/>
      </c>
      <c r="J493" s="3">
        <f>IF(AND('Data Source'!B493&lt;&gt;"",'Data Source'!S493="F"),IF('Data Source'!AB493&gt;=5,"A+",IF('Data Source'!AB493&gt;=4,"A",IF('Data Source'!AB493&gt;=3.5,"A-",IF('Data Source'!AB493&gt;=3,"B",IF('Data Source'!AB493&gt;=2,"C",IF('Data Source'!AB493&gt;=1,"D","F")))))),"")</f>
        <v/>
      </c>
      <c r="K493" s="3">
        <f>IF(AND('Data Source'!B493&lt;&gt;"",'Data Source'!S493="F"),IF('Data Source'!AC493&gt;=5,"A+",IF('Data Source'!AC493&gt;=4,"A",IF('Data Source'!AC493&gt;=3.5,"A-",IF('Data Source'!AC493&gt;=3,"B",IF('Data Source'!AC493&gt;=2,"C",IF('Data Source'!AC493&gt;=1,"D","F")))))),"")</f>
        <v/>
      </c>
      <c r="L493" s="3">
        <f>IF(AND('Data Source'!B493&lt;&gt;"",'Data Source'!S493="F"),IF('Data Source'!AD493&gt;=5,"A+",IF('Data Source'!AD493&gt;=4,"A",IF('Data Source'!AD493&gt;=3.5,"A-",IF('Data Source'!AD493&gt;=3,"B",IF('Data Source'!AD493&gt;=2,"C",IF('Data Source'!AD493&gt;=1,"D","F")))))),"")</f>
        <v/>
      </c>
      <c r="M493" s="3">
        <f>IF(AND('Data Source'!B493&lt;&gt;"",'Data Source'!S493="F"),IF('Data Source'!AE493&gt;=5,"A+",IF('Data Source'!AE493&gt;=4,"A",IF('Data Source'!AE493&gt;=3.5,"A-",IF('Data Source'!AE493&gt;=3,"B",IF('Data Source'!AE493&gt;=2,"C",IF('Data Source'!AE493&gt;=1,"D","F")))))),"")</f>
        <v/>
      </c>
      <c r="N493" s="3">
        <f>IF(AND('Data Source'!B493&lt;&gt;"",'Data Source'!S493="F"),IF('Data Source'!AF493&gt;=5,"A+",IF('Data Source'!AF493&gt;=4,"A",IF('Data Source'!AF493&gt;=3.5,"A-",IF('Data Source'!AF493&gt;=3,"B",IF('Data Source'!AF493&gt;=2,"C",IF('Data Source'!AF493&gt;=1,"D","F")))))),"")</f>
        <v/>
      </c>
      <c r="O493" s="3">
        <f>IF(AND('Data Source'!B493&lt;&gt;"",'Data Source'!S493="F"),IF('Data Source'!AG493&gt;=5,"A+",IF('Data Source'!AG493&gt;=4,"A",IF('Data Source'!AG493&gt;=3.5,"A-",IF('Data Source'!AG493&gt;=3,"B",IF('Data Source'!AG493&gt;=2,"C",IF('Data Source'!AG493&gt;=1,"D","F")))))),"")</f>
        <v/>
      </c>
      <c r="P493" s="5">
        <f>IF(AND('Data Source'!B493&lt;&gt;"",'Data Source'!S493="F"),'Data Source'!R493,"")</f>
        <v/>
      </c>
      <c r="Q493" s="3">
        <f>IF(AND('Data Source'!B493&lt;&gt;"",'Data Source'!S493="F"),'Data Source'!S493,"")</f>
        <v/>
      </c>
    </row>
    <row r="494">
      <c r="A494" s="3">
        <f>IF(AND('Data Source'!B494&lt;&gt;"",'Data Source'!S494="F"),COUNTIF('Data Source'!$S$3:S494,"F"),"")</f>
        <v/>
      </c>
      <c r="B494">
        <f>IF(AND('Data Source'!B494&lt;&gt;"",'Data Source'!S494="F"),'Data Source'!B494,"")</f>
        <v/>
      </c>
      <c r="C494" s="3">
        <f>IF(AND('Data Source'!B494&lt;&gt;"",'Data Source'!S494="F"),IF('Data Source'!U494&gt;=5,"A+",IF('Data Source'!U494&gt;=4,"A",IF('Data Source'!U494&gt;=3.5,"A-",IF('Data Source'!U494&gt;=3,"B",IF('Data Source'!U494&gt;=2,"C",IF('Data Source'!U494&gt;=1,"D","F")))))),"")</f>
        <v/>
      </c>
      <c r="D494" s="3">
        <f>IF(AND('Data Source'!B494&lt;&gt;"",'Data Source'!S494="F"),IF('Data Source'!V494&gt;=5,"A+",IF('Data Source'!V494&gt;=4,"A",IF('Data Source'!V494&gt;=3.5,"A-",IF('Data Source'!V494&gt;=3,"B",IF('Data Source'!V494&gt;=2,"C",IF('Data Source'!V494&gt;=1,"D","F")))))),"")</f>
        <v/>
      </c>
      <c r="E494" s="3">
        <f>IF(AND('Data Source'!B494&lt;&gt;"",'Data Source'!S494="F"),IF('Data Source'!W494&gt;=5,"A+",IF('Data Source'!W494&gt;=4,"A",IF('Data Source'!W494&gt;=3.5,"A-",IF('Data Source'!W494&gt;=3,"B",IF('Data Source'!W494&gt;=2,"C",IF('Data Source'!W494&gt;=1,"D","F")))))),"")</f>
        <v/>
      </c>
      <c r="F494" s="3">
        <f>IF(AND('Data Source'!B494&lt;&gt;"",'Data Source'!S494="F"),IF('Data Source'!X494&gt;=5,"A+",IF('Data Source'!X494&gt;=4,"A",IF('Data Source'!X494&gt;=3.5,"A-",IF('Data Source'!X494&gt;=3,"B",IF('Data Source'!X494&gt;=2,"C",IF('Data Source'!X494&gt;=1,"D","F")))))),"")</f>
        <v/>
      </c>
      <c r="G494" s="3">
        <f>IF(AND('Data Source'!B494&lt;&gt;"",'Data Source'!S494="F"),IF('Data Source'!Y494&gt;=5,"A+",IF('Data Source'!Y494&gt;=4,"A",IF('Data Source'!Y494&gt;=3.5,"A-",IF('Data Source'!Y494&gt;=3,"B",IF('Data Source'!Y494&gt;=2,"C",IF('Data Source'!Y494&gt;=1,"D","F")))))),"")</f>
        <v/>
      </c>
      <c r="H494" s="3">
        <f>IF(AND('Data Source'!B494&lt;&gt;"",'Data Source'!S494="F"),IF('Data Source'!Z494&gt;=5,"A+",IF('Data Source'!Z494&gt;=4,"A",IF('Data Source'!Z494&gt;=3.5,"A-",IF('Data Source'!Z494&gt;=3,"B",IF('Data Source'!Z494&gt;=2,"C",IF('Data Source'!Z494&gt;=1,"D","F")))))),"")</f>
        <v/>
      </c>
      <c r="I494" s="3">
        <f>IF(AND('Data Source'!B494&lt;&gt;"",'Data Source'!S494="F"),IF('Data Source'!AA494&gt;=5,"A+",IF('Data Source'!AA494&gt;=4,"A",IF('Data Source'!AA494&gt;=3.5,"A-",IF('Data Source'!AA494&gt;=3,"B",IF('Data Source'!AA494&gt;=2,"C",IF('Data Source'!AA494&gt;=1,"D","F")))))),"")</f>
        <v/>
      </c>
      <c r="J494" s="3">
        <f>IF(AND('Data Source'!B494&lt;&gt;"",'Data Source'!S494="F"),IF('Data Source'!AB494&gt;=5,"A+",IF('Data Source'!AB494&gt;=4,"A",IF('Data Source'!AB494&gt;=3.5,"A-",IF('Data Source'!AB494&gt;=3,"B",IF('Data Source'!AB494&gt;=2,"C",IF('Data Source'!AB494&gt;=1,"D","F")))))),"")</f>
        <v/>
      </c>
      <c r="K494" s="3">
        <f>IF(AND('Data Source'!B494&lt;&gt;"",'Data Source'!S494="F"),IF('Data Source'!AC494&gt;=5,"A+",IF('Data Source'!AC494&gt;=4,"A",IF('Data Source'!AC494&gt;=3.5,"A-",IF('Data Source'!AC494&gt;=3,"B",IF('Data Source'!AC494&gt;=2,"C",IF('Data Source'!AC494&gt;=1,"D","F")))))),"")</f>
        <v/>
      </c>
      <c r="L494" s="3">
        <f>IF(AND('Data Source'!B494&lt;&gt;"",'Data Source'!S494="F"),IF('Data Source'!AD494&gt;=5,"A+",IF('Data Source'!AD494&gt;=4,"A",IF('Data Source'!AD494&gt;=3.5,"A-",IF('Data Source'!AD494&gt;=3,"B",IF('Data Source'!AD494&gt;=2,"C",IF('Data Source'!AD494&gt;=1,"D","F")))))),"")</f>
        <v/>
      </c>
      <c r="M494" s="3">
        <f>IF(AND('Data Source'!B494&lt;&gt;"",'Data Source'!S494="F"),IF('Data Source'!AE494&gt;=5,"A+",IF('Data Source'!AE494&gt;=4,"A",IF('Data Source'!AE494&gt;=3.5,"A-",IF('Data Source'!AE494&gt;=3,"B",IF('Data Source'!AE494&gt;=2,"C",IF('Data Source'!AE494&gt;=1,"D","F")))))),"")</f>
        <v/>
      </c>
      <c r="N494" s="3">
        <f>IF(AND('Data Source'!B494&lt;&gt;"",'Data Source'!S494="F"),IF('Data Source'!AF494&gt;=5,"A+",IF('Data Source'!AF494&gt;=4,"A",IF('Data Source'!AF494&gt;=3.5,"A-",IF('Data Source'!AF494&gt;=3,"B",IF('Data Source'!AF494&gt;=2,"C",IF('Data Source'!AF494&gt;=1,"D","F")))))),"")</f>
        <v/>
      </c>
      <c r="O494" s="3">
        <f>IF(AND('Data Source'!B494&lt;&gt;"",'Data Source'!S494="F"),IF('Data Source'!AG494&gt;=5,"A+",IF('Data Source'!AG494&gt;=4,"A",IF('Data Source'!AG494&gt;=3.5,"A-",IF('Data Source'!AG494&gt;=3,"B",IF('Data Source'!AG494&gt;=2,"C",IF('Data Source'!AG494&gt;=1,"D","F")))))),"")</f>
        <v/>
      </c>
      <c r="P494" s="5">
        <f>IF(AND('Data Source'!B494&lt;&gt;"",'Data Source'!S494="F"),'Data Source'!R494,"")</f>
        <v/>
      </c>
      <c r="Q494" s="3">
        <f>IF(AND('Data Source'!B494&lt;&gt;"",'Data Source'!S494="F"),'Data Source'!S494,"")</f>
        <v/>
      </c>
    </row>
    <row r="495">
      <c r="A495" s="3">
        <f>IF(AND('Data Source'!B495&lt;&gt;"",'Data Source'!S495="F"),COUNTIF('Data Source'!$S$3:S495,"F"),"")</f>
        <v/>
      </c>
      <c r="B495">
        <f>IF(AND('Data Source'!B495&lt;&gt;"",'Data Source'!S495="F"),'Data Source'!B495,"")</f>
        <v/>
      </c>
      <c r="C495" s="3">
        <f>IF(AND('Data Source'!B495&lt;&gt;"",'Data Source'!S495="F"),IF('Data Source'!U495&gt;=5,"A+",IF('Data Source'!U495&gt;=4,"A",IF('Data Source'!U495&gt;=3.5,"A-",IF('Data Source'!U495&gt;=3,"B",IF('Data Source'!U495&gt;=2,"C",IF('Data Source'!U495&gt;=1,"D","F")))))),"")</f>
        <v/>
      </c>
      <c r="D495" s="3">
        <f>IF(AND('Data Source'!B495&lt;&gt;"",'Data Source'!S495="F"),IF('Data Source'!V495&gt;=5,"A+",IF('Data Source'!V495&gt;=4,"A",IF('Data Source'!V495&gt;=3.5,"A-",IF('Data Source'!V495&gt;=3,"B",IF('Data Source'!V495&gt;=2,"C",IF('Data Source'!V495&gt;=1,"D","F")))))),"")</f>
        <v/>
      </c>
      <c r="E495" s="3">
        <f>IF(AND('Data Source'!B495&lt;&gt;"",'Data Source'!S495="F"),IF('Data Source'!W495&gt;=5,"A+",IF('Data Source'!W495&gt;=4,"A",IF('Data Source'!W495&gt;=3.5,"A-",IF('Data Source'!W495&gt;=3,"B",IF('Data Source'!W495&gt;=2,"C",IF('Data Source'!W495&gt;=1,"D","F")))))),"")</f>
        <v/>
      </c>
      <c r="F495" s="3">
        <f>IF(AND('Data Source'!B495&lt;&gt;"",'Data Source'!S495="F"),IF('Data Source'!X495&gt;=5,"A+",IF('Data Source'!X495&gt;=4,"A",IF('Data Source'!X495&gt;=3.5,"A-",IF('Data Source'!X495&gt;=3,"B",IF('Data Source'!X495&gt;=2,"C",IF('Data Source'!X495&gt;=1,"D","F")))))),"")</f>
        <v/>
      </c>
      <c r="G495" s="3">
        <f>IF(AND('Data Source'!B495&lt;&gt;"",'Data Source'!S495="F"),IF('Data Source'!Y495&gt;=5,"A+",IF('Data Source'!Y495&gt;=4,"A",IF('Data Source'!Y495&gt;=3.5,"A-",IF('Data Source'!Y495&gt;=3,"B",IF('Data Source'!Y495&gt;=2,"C",IF('Data Source'!Y495&gt;=1,"D","F")))))),"")</f>
        <v/>
      </c>
      <c r="H495" s="3">
        <f>IF(AND('Data Source'!B495&lt;&gt;"",'Data Source'!S495="F"),IF('Data Source'!Z495&gt;=5,"A+",IF('Data Source'!Z495&gt;=4,"A",IF('Data Source'!Z495&gt;=3.5,"A-",IF('Data Source'!Z495&gt;=3,"B",IF('Data Source'!Z495&gt;=2,"C",IF('Data Source'!Z495&gt;=1,"D","F")))))),"")</f>
        <v/>
      </c>
      <c r="I495" s="3">
        <f>IF(AND('Data Source'!B495&lt;&gt;"",'Data Source'!S495="F"),IF('Data Source'!AA495&gt;=5,"A+",IF('Data Source'!AA495&gt;=4,"A",IF('Data Source'!AA495&gt;=3.5,"A-",IF('Data Source'!AA495&gt;=3,"B",IF('Data Source'!AA495&gt;=2,"C",IF('Data Source'!AA495&gt;=1,"D","F")))))),"")</f>
        <v/>
      </c>
      <c r="J495" s="3">
        <f>IF(AND('Data Source'!B495&lt;&gt;"",'Data Source'!S495="F"),IF('Data Source'!AB495&gt;=5,"A+",IF('Data Source'!AB495&gt;=4,"A",IF('Data Source'!AB495&gt;=3.5,"A-",IF('Data Source'!AB495&gt;=3,"B",IF('Data Source'!AB495&gt;=2,"C",IF('Data Source'!AB495&gt;=1,"D","F")))))),"")</f>
        <v/>
      </c>
      <c r="K495" s="3">
        <f>IF(AND('Data Source'!B495&lt;&gt;"",'Data Source'!S495="F"),IF('Data Source'!AC495&gt;=5,"A+",IF('Data Source'!AC495&gt;=4,"A",IF('Data Source'!AC495&gt;=3.5,"A-",IF('Data Source'!AC495&gt;=3,"B",IF('Data Source'!AC495&gt;=2,"C",IF('Data Source'!AC495&gt;=1,"D","F")))))),"")</f>
        <v/>
      </c>
      <c r="L495" s="3">
        <f>IF(AND('Data Source'!B495&lt;&gt;"",'Data Source'!S495="F"),IF('Data Source'!AD495&gt;=5,"A+",IF('Data Source'!AD495&gt;=4,"A",IF('Data Source'!AD495&gt;=3.5,"A-",IF('Data Source'!AD495&gt;=3,"B",IF('Data Source'!AD495&gt;=2,"C",IF('Data Source'!AD495&gt;=1,"D","F")))))),"")</f>
        <v/>
      </c>
      <c r="M495" s="3">
        <f>IF(AND('Data Source'!B495&lt;&gt;"",'Data Source'!S495="F"),IF('Data Source'!AE495&gt;=5,"A+",IF('Data Source'!AE495&gt;=4,"A",IF('Data Source'!AE495&gt;=3.5,"A-",IF('Data Source'!AE495&gt;=3,"B",IF('Data Source'!AE495&gt;=2,"C",IF('Data Source'!AE495&gt;=1,"D","F")))))),"")</f>
        <v/>
      </c>
      <c r="N495" s="3">
        <f>IF(AND('Data Source'!B495&lt;&gt;"",'Data Source'!S495="F"),IF('Data Source'!AF495&gt;=5,"A+",IF('Data Source'!AF495&gt;=4,"A",IF('Data Source'!AF495&gt;=3.5,"A-",IF('Data Source'!AF495&gt;=3,"B",IF('Data Source'!AF495&gt;=2,"C",IF('Data Source'!AF495&gt;=1,"D","F")))))),"")</f>
        <v/>
      </c>
      <c r="O495" s="3">
        <f>IF(AND('Data Source'!B495&lt;&gt;"",'Data Source'!S495="F"),IF('Data Source'!AG495&gt;=5,"A+",IF('Data Source'!AG495&gt;=4,"A",IF('Data Source'!AG495&gt;=3.5,"A-",IF('Data Source'!AG495&gt;=3,"B",IF('Data Source'!AG495&gt;=2,"C",IF('Data Source'!AG495&gt;=1,"D","F")))))),"")</f>
        <v/>
      </c>
      <c r="P495" s="5">
        <f>IF(AND('Data Source'!B495&lt;&gt;"",'Data Source'!S495="F"),'Data Source'!R495,"")</f>
        <v/>
      </c>
      <c r="Q495" s="3">
        <f>IF(AND('Data Source'!B495&lt;&gt;"",'Data Source'!S495="F"),'Data Source'!S495,"")</f>
        <v/>
      </c>
    </row>
    <row r="496">
      <c r="A496" s="3">
        <f>IF(AND('Data Source'!B496&lt;&gt;"",'Data Source'!S496="F"),COUNTIF('Data Source'!$S$3:S496,"F"),"")</f>
        <v/>
      </c>
      <c r="B496">
        <f>IF(AND('Data Source'!B496&lt;&gt;"",'Data Source'!S496="F"),'Data Source'!B496,"")</f>
        <v/>
      </c>
      <c r="C496" s="3">
        <f>IF(AND('Data Source'!B496&lt;&gt;"",'Data Source'!S496="F"),IF('Data Source'!U496&gt;=5,"A+",IF('Data Source'!U496&gt;=4,"A",IF('Data Source'!U496&gt;=3.5,"A-",IF('Data Source'!U496&gt;=3,"B",IF('Data Source'!U496&gt;=2,"C",IF('Data Source'!U496&gt;=1,"D","F")))))),"")</f>
        <v/>
      </c>
      <c r="D496" s="3">
        <f>IF(AND('Data Source'!B496&lt;&gt;"",'Data Source'!S496="F"),IF('Data Source'!V496&gt;=5,"A+",IF('Data Source'!V496&gt;=4,"A",IF('Data Source'!V496&gt;=3.5,"A-",IF('Data Source'!V496&gt;=3,"B",IF('Data Source'!V496&gt;=2,"C",IF('Data Source'!V496&gt;=1,"D","F")))))),"")</f>
        <v/>
      </c>
      <c r="E496" s="3">
        <f>IF(AND('Data Source'!B496&lt;&gt;"",'Data Source'!S496="F"),IF('Data Source'!W496&gt;=5,"A+",IF('Data Source'!W496&gt;=4,"A",IF('Data Source'!W496&gt;=3.5,"A-",IF('Data Source'!W496&gt;=3,"B",IF('Data Source'!W496&gt;=2,"C",IF('Data Source'!W496&gt;=1,"D","F")))))),"")</f>
        <v/>
      </c>
      <c r="F496" s="3">
        <f>IF(AND('Data Source'!B496&lt;&gt;"",'Data Source'!S496="F"),IF('Data Source'!X496&gt;=5,"A+",IF('Data Source'!X496&gt;=4,"A",IF('Data Source'!X496&gt;=3.5,"A-",IF('Data Source'!X496&gt;=3,"B",IF('Data Source'!X496&gt;=2,"C",IF('Data Source'!X496&gt;=1,"D","F")))))),"")</f>
        <v/>
      </c>
      <c r="G496" s="3">
        <f>IF(AND('Data Source'!B496&lt;&gt;"",'Data Source'!S496="F"),IF('Data Source'!Y496&gt;=5,"A+",IF('Data Source'!Y496&gt;=4,"A",IF('Data Source'!Y496&gt;=3.5,"A-",IF('Data Source'!Y496&gt;=3,"B",IF('Data Source'!Y496&gt;=2,"C",IF('Data Source'!Y496&gt;=1,"D","F")))))),"")</f>
        <v/>
      </c>
      <c r="H496" s="3">
        <f>IF(AND('Data Source'!B496&lt;&gt;"",'Data Source'!S496="F"),IF('Data Source'!Z496&gt;=5,"A+",IF('Data Source'!Z496&gt;=4,"A",IF('Data Source'!Z496&gt;=3.5,"A-",IF('Data Source'!Z496&gt;=3,"B",IF('Data Source'!Z496&gt;=2,"C",IF('Data Source'!Z496&gt;=1,"D","F")))))),"")</f>
        <v/>
      </c>
      <c r="I496" s="3">
        <f>IF(AND('Data Source'!B496&lt;&gt;"",'Data Source'!S496="F"),IF('Data Source'!AA496&gt;=5,"A+",IF('Data Source'!AA496&gt;=4,"A",IF('Data Source'!AA496&gt;=3.5,"A-",IF('Data Source'!AA496&gt;=3,"B",IF('Data Source'!AA496&gt;=2,"C",IF('Data Source'!AA496&gt;=1,"D","F")))))),"")</f>
        <v/>
      </c>
      <c r="J496" s="3">
        <f>IF(AND('Data Source'!B496&lt;&gt;"",'Data Source'!S496="F"),IF('Data Source'!AB496&gt;=5,"A+",IF('Data Source'!AB496&gt;=4,"A",IF('Data Source'!AB496&gt;=3.5,"A-",IF('Data Source'!AB496&gt;=3,"B",IF('Data Source'!AB496&gt;=2,"C",IF('Data Source'!AB496&gt;=1,"D","F")))))),"")</f>
        <v/>
      </c>
      <c r="K496" s="3">
        <f>IF(AND('Data Source'!B496&lt;&gt;"",'Data Source'!S496="F"),IF('Data Source'!AC496&gt;=5,"A+",IF('Data Source'!AC496&gt;=4,"A",IF('Data Source'!AC496&gt;=3.5,"A-",IF('Data Source'!AC496&gt;=3,"B",IF('Data Source'!AC496&gt;=2,"C",IF('Data Source'!AC496&gt;=1,"D","F")))))),"")</f>
        <v/>
      </c>
      <c r="L496" s="3">
        <f>IF(AND('Data Source'!B496&lt;&gt;"",'Data Source'!S496="F"),IF('Data Source'!AD496&gt;=5,"A+",IF('Data Source'!AD496&gt;=4,"A",IF('Data Source'!AD496&gt;=3.5,"A-",IF('Data Source'!AD496&gt;=3,"B",IF('Data Source'!AD496&gt;=2,"C",IF('Data Source'!AD496&gt;=1,"D","F")))))),"")</f>
        <v/>
      </c>
      <c r="M496" s="3">
        <f>IF(AND('Data Source'!B496&lt;&gt;"",'Data Source'!S496="F"),IF('Data Source'!AE496&gt;=5,"A+",IF('Data Source'!AE496&gt;=4,"A",IF('Data Source'!AE496&gt;=3.5,"A-",IF('Data Source'!AE496&gt;=3,"B",IF('Data Source'!AE496&gt;=2,"C",IF('Data Source'!AE496&gt;=1,"D","F")))))),"")</f>
        <v/>
      </c>
      <c r="N496" s="3">
        <f>IF(AND('Data Source'!B496&lt;&gt;"",'Data Source'!S496="F"),IF('Data Source'!AF496&gt;=5,"A+",IF('Data Source'!AF496&gt;=4,"A",IF('Data Source'!AF496&gt;=3.5,"A-",IF('Data Source'!AF496&gt;=3,"B",IF('Data Source'!AF496&gt;=2,"C",IF('Data Source'!AF496&gt;=1,"D","F")))))),"")</f>
        <v/>
      </c>
      <c r="O496" s="3">
        <f>IF(AND('Data Source'!B496&lt;&gt;"",'Data Source'!S496="F"),IF('Data Source'!AG496&gt;=5,"A+",IF('Data Source'!AG496&gt;=4,"A",IF('Data Source'!AG496&gt;=3.5,"A-",IF('Data Source'!AG496&gt;=3,"B",IF('Data Source'!AG496&gt;=2,"C",IF('Data Source'!AG496&gt;=1,"D","F")))))),"")</f>
        <v/>
      </c>
      <c r="P496" s="5">
        <f>IF(AND('Data Source'!B496&lt;&gt;"",'Data Source'!S496="F"),'Data Source'!R496,"")</f>
        <v/>
      </c>
      <c r="Q496" s="3">
        <f>IF(AND('Data Source'!B496&lt;&gt;"",'Data Source'!S496="F"),'Data Source'!S496,"")</f>
        <v/>
      </c>
    </row>
    <row r="497">
      <c r="A497" s="3">
        <f>IF(AND('Data Source'!B497&lt;&gt;"",'Data Source'!S497="F"),COUNTIF('Data Source'!$S$3:S497,"F"),"")</f>
        <v/>
      </c>
      <c r="B497">
        <f>IF(AND('Data Source'!B497&lt;&gt;"",'Data Source'!S497="F"),'Data Source'!B497,"")</f>
        <v/>
      </c>
      <c r="C497" s="3">
        <f>IF(AND('Data Source'!B497&lt;&gt;"",'Data Source'!S497="F"),IF('Data Source'!U497&gt;=5,"A+",IF('Data Source'!U497&gt;=4,"A",IF('Data Source'!U497&gt;=3.5,"A-",IF('Data Source'!U497&gt;=3,"B",IF('Data Source'!U497&gt;=2,"C",IF('Data Source'!U497&gt;=1,"D","F")))))),"")</f>
        <v/>
      </c>
      <c r="D497" s="3">
        <f>IF(AND('Data Source'!B497&lt;&gt;"",'Data Source'!S497="F"),IF('Data Source'!V497&gt;=5,"A+",IF('Data Source'!V497&gt;=4,"A",IF('Data Source'!V497&gt;=3.5,"A-",IF('Data Source'!V497&gt;=3,"B",IF('Data Source'!V497&gt;=2,"C",IF('Data Source'!V497&gt;=1,"D","F")))))),"")</f>
        <v/>
      </c>
      <c r="E497" s="3">
        <f>IF(AND('Data Source'!B497&lt;&gt;"",'Data Source'!S497="F"),IF('Data Source'!W497&gt;=5,"A+",IF('Data Source'!W497&gt;=4,"A",IF('Data Source'!W497&gt;=3.5,"A-",IF('Data Source'!W497&gt;=3,"B",IF('Data Source'!W497&gt;=2,"C",IF('Data Source'!W497&gt;=1,"D","F")))))),"")</f>
        <v/>
      </c>
      <c r="F497" s="3">
        <f>IF(AND('Data Source'!B497&lt;&gt;"",'Data Source'!S497="F"),IF('Data Source'!X497&gt;=5,"A+",IF('Data Source'!X497&gt;=4,"A",IF('Data Source'!X497&gt;=3.5,"A-",IF('Data Source'!X497&gt;=3,"B",IF('Data Source'!X497&gt;=2,"C",IF('Data Source'!X497&gt;=1,"D","F")))))),"")</f>
        <v/>
      </c>
      <c r="G497" s="3">
        <f>IF(AND('Data Source'!B497&lt;&gt;"",'Data Source'!S497="F"),IF('Data Source'!Y497&gt;=5,"A+",IF('Data Source'!Y497&gt;=4,"A",IF('Data Source'!Y497&gt;=3.5,"A-",IF('Data Source'!Y497&gt;=3,"B",IF('Data Source'!Y497&gt;=2,"C",IF('Data Source'!Y497&gt;=1,"D","F")))))),"")</f>
        <v/>
      </c>
      <c r="H497" s="3">
        <f>IF(AND('Data Source'!B497&lt;&gt;"",'Data Source'!S497="F"),IF('Data Source'!Z497&gt;=5,"A+",IF('Data Source'!Z497&gt;=4,"A",IF('Data Source'!Z497&gt;=3.5,"A-",IF('Data Source'!Z497&gt;=3,"B",IF('Data Source'!Z497&gt;=2,"C",IF('Data Source'!Z497&gt;=1,"D","F")))))),"")</f>
        <v/>
      </c>
      <c r="I497" s="3">
        <f>IF(AND('Data Source'!B497&lt;&gt;"",'Data Source'!S497="F"),IF('Data Source'!AA497&gt;=5,"A+",IF('Data Source'!AA497&gt;=4,"A",IF('Data Source'!AA497&gt;=3.5,"A-",IF('Data Source'!AA497&gt;=3,"B",IF('Data Source'!AA497&gt;=2,"C",IF('Data Source'!AA497&gt;=1,"D","F")))))),"")</f>
        <v/>
      </c>
      <c r="J497" s="3">
        <f>IF(AND('Data Source'!B497&lt;&gt;"",'Data Source'!S497="F"),IF('Data Source'!AB497&gt;=5,"A+",IF('Data Source'!AB497&gt;=4,"A",IF('Data Source'!AB497&gt;=3.5,"A-",IF('Data Source'!AB497&gt;=3,"B",IF('Data Source'!AB497&gt;=2,"C",IF('Data Source'!AB497&gt;=1,"D","F")))))),"")</f>
        <v/>
      </c>
      <c r="K497" s="3">
        <f>IF(AND('Data Source'!B497&lt;&gt;"",'Data Source'!S497="F"),IF('Data Source'!AC497&gt;=5,"A+",IF('Data Source'!AC497&gt;=4,"A",IF('Data Source'!AC497&gt;=3.5,"A-",IF('Data Source'!AC497&gt;=3,"B",IF('Data Source'!AC497&gt;=2,"C",IF('Data Source'!AC497&gt;=1,"D","F")))))),"")</f>
        <v/>
      </c>
      <c r="L497" s="3">
        <f>IF(AND('Data Source'!B497&lt;&gt;"",'Data Source'!S497="F"),IF('Data Source'!AD497&gt;=5,"A+",IF('Data Source'!AD497&gt;=4,"A",IF('Data Source'!AD497&gt;=3.5,"A-",IF('Data Source'!AD497&gt;=3,"B",IF('Data Source'!AD497&gt;=2,"C",IF('Data Source'!AD497&gt;=1,"D","F")))))),"")</f>
        <v/>
      </c>
      <c r="M497" s="3">
        <f>IF(AND('Data Source'!B497&lt;&gt;"",'Data Source'!S497="F"),IF('Data Source'!AE497&gt;=5,"A+",IF('Data Source'!AE497&gt;=4,"A",IF('Data Source'!AE497&gt;=3.5,"A-",IF('Data Source'!AE497&gt;=3,"B",IF('Data Source'!AE497&gt;=2,"C",IF('Data Source'!AE497&gt;=1,"D","F")))))),"")</f>
        <v/>
      </c>
      <c r="N497" s="3">
        <f>IF(AND('Data Source'!B497&lt;&gt;"",'Data Source'!S497="F"),IF('Data Source'!AF497&gt;=5,"A+",IF('Data Source'!AF497&gt;=4,"A",IF('Data Source'!AF497&gt;=3.5,"A-",IF('Data Source'!AF497&gt;=3,"B",IF('Data Source'!AF497&gt;=2,"C",IF('Data Source'!AF497&gt;=1,"D","F")))))),"")</f>
        <v/>
      </c>
      <c r="O497" s="3">
        <f>IF(AND('Data Source'!B497&lt;&gt;"",'Data Source'!S497="F"),IF('Data Source'!AG497&gt;=5,"A+",IF('Data Source'!AG497&gt;=4,"A",IF('Data Source'!AG497&gt;=3.5,"A-",IF('Data Source'!AG497&gt;=3,"B",IF('Data Source'!AG497&gt;=2,"C",IF('Data Source'!AG497&gt;=1,"D","F")))))),"")</f>
        <v/>
      </c>
      <c r="P497" s="5">
        <f>IF(AND('Data Source'!B497&lt;&gt;"",'Data Source'!S497="F"),'Data Source'!R497,"")</f>
        <v/>
      </c>
      <c r="Q497" s="3">
        <f>IF(AND('Data Source'!B497&lt;&gt;"",'Data Source'!S497="F"),'Data Source'!S497,"")</f>
        <v/>
      </c>
    </row>
    <row r="498">
      <c r="A498" s="3">
        <f>IF(AND('Data Source'!B498&lt;&gt;"",'Data Source'!S498="F"),COUNTIF('Data Source'!$S$3:S498,"F"),"")</f>
        <v/>
      </c>
      <c r="B498">
        <f>IF(AND('Data Source'!B498&lt;&gt;"",'Data Source'!S498="F"),'Data Source'!B498,"")</f>
        <v/>
      </c>
      <c r="C498" s="3">
        <f>IF(AND('Data Source'!B498&lt;&gt;"",'Data Source'!S498="F"),IF('Data Source'!U498&gt;=5,"A+",IF('Data Source'!U498&gt;=4,"A",IF('Data Source'!U498&gt;=3.5,"A-",IF('Data Source'!U498&gt;=3,"B",IF('Data Source'!U498&gt;=2,"C",IF('Data Source'!U498&gt;=1,"D","F")))))),"")</f>
        <v/>
      </c>
      <c r="D498" s="3">
        <f>IF(AND('Data Source'!B498&lt;&gt;"",'Data Source'!S498="F"),IF('Data Source'!V498&gt;=5,"A+",IF('Data Source'!V498&gt;=4,"A",IF('Data Source'!V498&gt;=3.5,"A-",IF('Data Source'!V498&gt;=3,"B",IF('Data Source'!V498&gt;=2,"C",IF('Data Source'!V498&gt;=1,"D","F")))))),"")</f>
        <v/>
      </c>
      <c r="E498" s="3">
        <f>IF(AND('Data Source'!B498&lt;&gt;"",'Data Source'!S498="F"),IF('Data Source'!W498&gt;=5,"A+",IF('Data Source'!W498&gt;=4,"A",IF('Data Source'!W498&gt;=3.5,"A-",IF('Data Source'!W498&gt;=3,"B",IF('Data Source'!W498&gt;=2,"C",IF('Data Source'!W498&gt;=1,"D","F")))))),"")</f>
        <v/>
      </c>
      <c r="F498" s="3">
        <f>IF(AND('Data Source'!B498&lt;&gt;"",'Data Source'!S498="F"),IF('Data Source'!X498&gt;=5,"A+",IF('Data Source'!X498&gt;=4,"A",IF('Data Source'!X498&gt;=3.5,"A-",IF('Data Source'!X498&gt;=3,"B",IF('Data Source'!X498&gt;=2,"C",IF('Data Source'!X498&gt;=1,"D","F")))))),"")</f>
        <v/>
      </c>
      <c r="G498" s="3">
        <f>IF(AND('Data Source'!B498&lt;&gt;"",'Data Source'!S498="F"),IF('Data Source'!Y498&gt;=5,"A+",IF('Data Source'!Y498&gt;=4,"A",IF('Data Source'!Y498&gt;=3.5,"A-",IF('Data Source'!Y498&gt;=3,"B",IF('Data Source'!Y498&gt;=2,"C",IF('Data Source'!Y498&gt;=1,"D","F")))))),"")</f>
        <v/>
      </c>
      <c r="H498" s="3">
        <f>IF(AND('Data Source'!B498&lt;&gt;"",'Data Source'!S498="F"),IF('Data Source'!Z498&gt;=5,"A+",IF('Data Source'!Z498&gt;=4,"A",IF('Data Source'!Z498&gt;=3.5,"A-",IF('Data Source'!Z498&gt;=3,"B",IF('Data Source'!Z498&gt;=2,"C",IF('Data Source'!Z498&gt;=1,"D","F")))))),"")</f>
        <v/>
      </c>
      <c r="I498" s="3">
        <f>IF(AND('Data Source'!B498&lt;&gt;"",'Data Source'!S498="F"),IF('Data Source'!AA498&gt;=5,"A+",IF('Data Source'!AA498&gt;=4,"A",IF('Data Source'!AA498&gt;=3.5,"A-",IF('Data Source'!AA498&gt;=3,"B",IF('Data Source'!AA498&gt;=2,"C",IF('Data Source'!AA498&gt;=1,"D","F")))))),"")</f>
        <v/>
      </c>
      <c r="J498" s="3">
        <f>IF(AND('Data Source'!B498&lt;&gt;"",'Data Source'!S498="F"),IF('Data Source'!AB498&gt;=5,"A+",IF('Data Source'!AB498&gt;=4,"A",IF('Data Source'!AB498&gt;=3.5,"A-",IF('Data Source'!AB498&gt;=3,"B",IF('Data Source'!AB498&gt;=2,"C",IF('Data Source'!AB498&gt;=1,"D","F")))))),"")</f>
        <v/>
      </c>
      <c r="K498" s="3">
        <f>IF(AND('Data Source'!B498&lt;&gt;"",'Data Source'!S498="F"),IF('Data Source'!AC498&gt;=5,"A+",IF('Data Source'!AC498&gt;=4,"A",IF('Data Source'!AC498&gt;=3.5,"A-",IF('Data Source'!AC498&gt;=3,"B",IF('Data Source'!AC498&gt;=2,"C",IF('Data Source'!AC498&gt;=1,"D","F")))))),"")</f>
        <v/>
      </c>
      <c r="L498" s="3">
        <f>IF(AND('Data Source'!B498&lt;&gt;"",'Data Source'!S498="F"),IF('Data Source'!AD498&gt;=5,"A+",IF('Data Source'!AD498&gt;=4,"A",IF('Data Source'!AD498&gt;=3.5,"A-",IF('Data Source'!AD498&gt;=3,"B",IF('Data Source'!AD498&gt;=2,"C",IF('Data Source'!AD498&gt;=1,"D","F")))))),"")</f>
        <v/>
      </c>
      <c r="M498" s="3">
        <f>IF(AND('Data Source'!B498&lt;&gt;"",'Data Source'!S498="F"),IF('Data Source'!AE498&gt;=5,"A+",IF('Data Source'!AE498&gt;=4,"A",IF('Data Source'!AE498&gt;=3.5,"A-",IF('Data Source'!AE498&gt;=3,"B",IF('Data Source'!AE498&gt;=2,"C",IF('Data Source'!AE498&gt;=1,"D","F")))))),"")</f>
        <v/>
      </c>
      <c r="N498" s="3">
        <f>IF(AND('Data Source'!B498&lt;&gt;"",'Data Source'!S498="F"),IF('Data Source'!AF498&gt;=5,"A+",IF('Data Source'!AF498&gt;=4,"A",IF('Data Source'!AF498&gt;=3.5,"A-",IF('Data Source'!AF498&gt;=3,"B",IF('Data Source'!AF498&gt;=2,"C",IF('Data Source'!AF498&gt;=1,"D","F")))))),"")</f>
        <v/>
      </c>
      <c r="O498" s="3">
        <f>IF(AND('Data Source'!B498&lt;&gt;"",'Data Source'!S498="F"),IF('Data Source'!AG498&gt;=5,"A+",IF('Data Source'!AG498&gt;=4,"A",IF('Data Source'!AG498&gt;=3.5,"A-",IF('Data Source'!AG498&gt;=3,"B",IF('Data Source'!AG498&gt;=2,"C",IF('Data Source'!AG498&gt;=1,"D","F")))))),"")</f>
        <v/>
      </c>
      <c r="P498" s="5">
        <f>IF(AND('Data Source'!B498&lt;&gt;"",'Data Source'!S498="F"),'Data Source'!R498,"")</f>
        <v/>
      </c>
      <c r="Q498" s="3">
        <f>IF(AND('Data Source'!B498&lt;&gt;"",'Data Source'!S498="F"),'Data Source'!S498,"")</f>
        <v/>
      </c>
    </row>
    <row r="499">
      <c r="A499" s="3">
        <f>IF(AND('Data Source'!B499&lt;&gt;"",'Data Source'!S499="F"),COUNTIF('Data Source'!$S$3:S499,"F"),"")</f>
        <v/>
      </c>
      <c r="B499">
        <f>IF(AND('Data Source'!B499&lt;&gt;"",'Data Source'!S499="F"),'Data Source'!B499,"")</f>
        <v/>
      </c>
      <c r="C499" s="3">
        <f>IF(AND('Data Source'!B499&lt;&gt;"",'Data Source'!S499="F"),IF('Data Source'!U499&gt;=5,"A+",IF('Data Source'!U499&gt;=4,"A",IF('Data Source'!U499&gt;=3.5,"A-",IF('Data Source'!U499&gt;=3,"B",IF('Data Source'!U499&gt;=2,"C",IF('Data Source'!U499&gt;=1,"D","F")))))),"")</f>
        <v/>
      </c>
      <c r="D499" s="3">
        <f>IF(AND('Data Source'!B499&lt;&gt;"",'Data Source'!S499="F"),IF('Data Source'!V499&gt;=5,"A+",IF('Data Source'!V499&gt;=4,"A",IF('Data Source'!V499&gt;=3.5,"A-",IF('Data Source'!V499&gt;=3,"B",IF('Data Source'!V499&gt;=2,"C",IF('Data Source'!V499&gt;=1,"D","F")))))),"")</f>
        <v/>
      </c>
      <c r="E499" s="3">
        <f>IF(AND('Data Source'!B499&lt;&gt;"",'Data Source'!S499="F"),IF('Data Source'!W499&gt;=5,"A+",IF('Data Source'!W499&gt;=4,"A",IF('Data Source'!W499&gt;=3.5,"A-",IF('Data Source'!W499&gt;=3,"B",IF('Data Source'!W499&gt;=2,"C",IF('Data Source'!W499&gt;=1,"D","F")))))),"")</f>
        <v/>
      </c>
      <c r="F499" s="3">
        <f>IF(AND('Data Source'!B499&lt;&gt;"",'Data Source'!S499="F"),IF('Data Source'!X499&gt;=5,"A+",IF('Data Source'!X499&gt;=4,"A",IF('Data Source'!X499&gt;=3.5,"A-",IF('Data Source'!X499&gt;=3,"B",IF('Data Source'!X499&gt;=2,"C",IF('Data Source'!X499&gt;=1,"D","F")))))),"")</f>
        <v/>
      </c>
      <c r="G499" s="3">
        <f>IF(AND('Data Source'!B499&lt;&gt;"",'Data Source'!S499="F"),IF('Data Source'!Y499&gt;=5,"A+",IF('Data Source'!Y499&gt;=4,"A",IF('Data Source'!Y499&gt;=3.5,"A-",IF('Data Source'!Y499&gt;=3,"B",IF('Data Source'!Y499&gt;=2,"C",IF('Data Source'!Y499&gt;=1,"D","F")))))),"")</f>
        <v/>
      </c>
      <c r="H499" s="3">
        <f>IF(AND('Data Source'!B499&lt;&gt;"",'Data Source'!S499="F"),IF('Data Source'!Z499&gt;=5,"A+",IF('Data Source'!Z499&gt;=4,"A",IF('Data Source'!Z499&gt;=3.5,"A-",IF('Data Source'!Z499&gt;=3,"B",IF('Data Source'!Z499&gt;=2,"C",IF('Data Source'!Z499&gt;=1,"D","F")))))),"")</f>
        <v/>
      </c>
      <c r="I499" s="3">
        <f>IF(AND('Data Source'!B499&lt;&gt;"",'Data Source'!S499="F"),IF('Data Source'!AA499&gt;=5,"A+",IF('Data Source'!AA499&gt;=4,"A",IF('Data Source'!AA499&gt;=3.5,"A-",IF('Data Source'!AA499&gt;=3,"B",IF('Data Source'!AA499&gt;=2,"C",IF('Data Source'!AA499&gt;=1,"D","F")))))),"")</f>
        <v/>
      </c>
      <c r="J499" s="3">
        <f>IF(AND('Data Source'!B499&lt;&gt;"",'Data Source'!S499="F"),IF('Data Source'!AB499&gt;=5,"A+",IF('Data Source'!AB499&gt;=4,"A",IF('Data Source'!AB499&gt;=3.5,"A-",IF('Data Source'!AB499&gt;=3,"B",IF('Data Source'!AB499&gt;=2,"C",IF('Data Source'!AB499&gt;=1,"D","F")))))),"")</f>
        <v/>
      </c>
      <c r="K499" s="3">
        <f>IF(AND('Data Source'!B499&lt;&gt;"",'Data Source'!S499="F"),IF('Data Source'!AC499&gt;=5,"A+",IF('Data Source'!AC499&gt;=4,"A",IF('Data Source'!AC499&gt;=3.5,"A-",IF('Data Source'!AC499&gt;=3,"B",IF('Data Source'!AC499&gt;=2,"C",IF('Data Source'!AC499&gt;=1,"D","F")))))),"")</f>
        <v/>
      </c>
      <c r="L499" s="3">
        <f>IF(AND('Data Source'!B499&lt;&gt;"",'Data Source'!S499="F"),IF('Data Source'!AD499&gt;=5,"A+",IF('Data Source'!AD499&gt;=4,"A",IF('Data Source'!AD499&gt;=3.5,"A-",IF('Data Source'!AD499&gt;=3,"B",IF('Data Source'!AD499&gt;=2,"C",IF('Data Source'!AD499&gt;=1,"D","F")))))),"")</f>
        <v/>
      </c>
      <c r="M499" s="3">
        <f>IF(AND('Data Source'!B499&lt;&gt;"",'Data Source'!S499="F"),IF('Data Source'!AE499&gt;=5,"A+",IF('Data Source'!AE499&gt;=4,"A",IF('Data Source'!AE499&gt;=3.5,"A-",IF('Data Source'!AE499&gt;=3,"B",IF('Data Source'!AE499&gt;=2,"C",IF('Data Source'!AE499&gt;=1,"D","F")))))),"")</f>
        <v/>
      </c>
      <c r="N499" s="3">
        <f>IF(AND('Data Source'!B499&lt;&gt;"",'Data Source'!S499="F"),IF('Data Source'!AF499&gt;=5,"A+",IF('Data Source'!AF499&gt;=4,"A",IF('Data Source'!AF499&gt;=3.5,"A-",IF('Data Source'!AF499&gt;=3,"B",IF('Data Source'!AF499&gt;=2,"C",IF('Data Source'!AF499&gt;=1,"D","F")))))),"")</f>
        <v/>
      </c>
      <c r="O499" s="3">
        <f>IF(AND('Data Source'!B499&lt;&gt;"",'Data Source'!S499="F"),IF('Data Source'!AG499&gt;=5,"A+",IF('Data Source'!AG499&gt;=4,"A",IF('Data Source'!AG499&gt;=3.5,"A-",IF('Data Source'!AG499&gt;=3,"B",IF('Data Source'!AG499&gt;=2,"C",IF('Data Source'!AG499&gt;=1,"D","F")))))),"")</f>
        <v/>
      </c>
      <c r="P499" s="5">
        <f>IF(AND('Data Source'!B499&lt;&gt;"",'Data Source'!S499="F"),'Data Source'!R499,"")</f>
        <v/>
      </c>
      <c r="Q499" s="3">
        <f>IF(AND('Data Source'!B499&lt;&gt;"",'Data Source'!S499="F"),'Data Source'!S499,"")</f>
        <v/>
      </c>
    </row>
    <row r="500">
      <c r="A500" s="3">
        <f>IF(AND('Data Source'!B500&lt;&gt;"",'Data Source'!S500="F"),COUNTIF('Data Source'!$S$3:S500,"F"),"")</f>
        <v/>
      </c>
      <c r="B500">
        <f>IF(AND('Data Source'!B500&lt;&gt;"",'Data Source'!S500="F"),'Data Source'!B500,"")</f>
        <v/>
      </c>
      <c r="C500" s="3">
        <f>IF(AND('Data Source'!B500&lt;&gt;"",'Data Source'!S500="F"),IF('Data Source'!U500&gt;=5,"A+",IF('Data Source'!U500&gt;=4,"A",IF('Data Source'!U500&gt;=3.5,"A-",IF('Data Source'!U500&gt;=3,"B",IF('Data Source'!U500&gt;=2,"C",IF('Data Source'!U500&gt;=1,"D","F")))))),"")</f>
        <v/>
      </c>
      <c r="D500" s="3">
        <f>IF(AND('Data Source'!B500&lt;&gt;"",'Data Source'!S500="F"),IF('Data Source'!V500&gt;=5,"A+",IF('Data Source'!V500&gt;=4,"A",IF('Data Source'!V500&gt;=3.5,"A-",IF('Data Source'!V500&gt;=3,"B",IF('Data Source'!V500&gt;=2,"C",IF('Data Source'!V500&gt;=1,"D","F")))))),"")</f>
        <v/>
      </c>
      <c r="E500" s="3">
        <f>IF(AND('Data Source'!B500&lt;&gt;"",'Data Source'!S500="F"),IF('Data Source'!W500&gt;=5,"A+",IF('Data Source'!W500&gt;=4,"A",IF('Data Source'!W500&gt;=3.5,"A-",IF('Data Source'!W500&gt;=3,"B",IF('Data Source'!W500&gt;=2,"C",IF('Data Source'!W500&gt;=1,"D","F")))))),"")</f>
        <v/>
      </c>
      <c r="F500" s="3">
        <f>IF(AND('Data Source'!B500&lt;&gt;"",'Data Source'!S500="F"),IF('Data Source'!X500&gt;=5,"A+",IF('Data Source'!X500&gt;=4,"A",IF('Data Source'!X500&gt;=3.5,"A-",IF('Data Source'!X500&gt;=3,"B",IF('Data Source'!X500&gt;=2,"C",IF('Data Source'!X500&gt;=1,"D","F")))))),"")</f>
        <v/>
      </c>
      <c r="G500" s="3">
        <f>IF(AND('Data Source'!B500&lt;&gt;"",'Data Source'!S500="F"),IF('Data Source'!Y500&gt;=5,"A+",IF('Data Source'!Y500&gt;=4,"A",IF('Data Source'!Y500&gt;=3.5,"A-",IF('Data Source'!Y500&gt;=3,"B",IF('Data Source'!Y500&gt;=2,"C",IF('Data Source'!Y500&gt;=1,"D","F")))))),"")</f>
        <v/>
      </c>
      <c r="H500" s="3">
        <f>IF(AND('Data Source'!B500&lt;&gt;"",'Data Source'!S500="F"),IF('Data Source'!Z500&gt;=5,"A+",IF('Data Source'!Z500&gt;=4,"A",IF('Data Source'!Z500&gt;=3.5,"A-",IF('Data Source'!Z500&gt;=3,"B",IF('Data Source'!Z500&gt;=2,"C",IF('Data Source'!Z500&gt;=1,"D","F")))))),"")</f>
        <v/>
      </c>
      <c r="I500" s="3">
        <f>IF(AND('Data Source'!B500&lt;&gt;"",'Data Source'!S500="F"),IF('Data Source'!AA500&gt;=5,"A+",IF('Data Source'!AA500&gt;=4,"A",IF('Data Source'!AA500&gt;=3.5,"A-",IF('Data Source'!AA500&gt;=3,"B",IF('Data Source'!AA500&gt;=2,"C",IF('Data Source'!AA500&gt;=1,"D","F")))))),"")</f>
        <v/>
      </c>
      <c r="J500" s="3">
        <f>IF(AND('Data Source'!B500&lt;&gt;"",'Data Source'!S500="F"),IF('Data Source'!AB500&gt;=5,"A+",IF('Data Source'!AB500&gt;=4,"A",IF('Data Source'!AB500&gt;=3.5,"A-",IF('Data Source'!AB500&gt;=3,"B",IF('Data Source'!AB500&gt;=2,"C",IF('Data Source'!AB500&gt;=1,"D","F")))))),"")</f>
        <v/>
      </c>
      <c r="K500" s="3">
        <f>IF(AND('Data Source'!B500&lt;&gt;"",'Data Source'!S500="F"),IF('Data Source'!AC500&gt;=5,"A+",IF('Data Source'!AC500&gt;=4,"A",IF('Data Source'!AC500&gt;=3.5,"A-",IF('Data Source'!AC500&gt;=3,"B",IF('Data Source'!AC500&gt;=2,"C",IF('Data Source'!AC500&gt;=1,"D","F")))))),"")</f>
        <v/>
      </c>
      <c r="L500" s="3">
        <f>IF(AND('Data Source'!B500&lt;&gt;"",'Data Source'!S500="F"),IF('Data Source'!AD500&gt;=5,"A+",IF('Data Source'!AD500&gt;=4,"A",IF('Data Source'!AD500&gt;=3.5,"A-",IF('Data Source'!AD500&gt;=3,"B",IF('Data Source'!AD500&gt;=2,"C",IF('Data Source'!AD500&gt;=1,"D","F")))))),"")</f>
        <v/>
      </c>
      <c r="M500" s="3">
        <f>IF(AND('Data Source'!B500&lt;&gt;"",'Data Source'!S500="F"),IF('Data Source'!AE500&gt;=5,"A+",IF('Data Source'!AE500&gt;=4,"A",IF('Data Source'!AE500&gt;=3.5,"A-",IF('Data Source'!AE500&gt;=3,"B",IF('Data Source'!AE500&gt;=2,"C",IF('Data Source'!AE500&gt;=1,"D","F")))))),"")</f>
        <v/>
      </c>
      <c r="N500" s="3">
        <f>IF(AND('Data Source'!B500&lt;&gt;"",'Data Source'!S500="F"),IF('Data Source'!AF500&gt;=5,"A+",IF('Data Source'!AF500&gt;=4,"A",IF('Data Source'!AF500&gt;=3.5,"A-",IF('Data Source'!AF500&gt;=3,"B",IF('Data Source'!AF500&gt;=2,"C",IF('Data Source'!AF500&gt;=1,"D","F")))))),"")</f>
        <v/>
      </c>
      <c r="O500" s="3">
        <f>IF(AND('Data Source'!B500&lt;&gt;"",'Data Source'!S500="F"),IF('Data Source'!AG500&gt;=5,"A+",IF('Data Source'!AG500&gt;=4,"A",IF('Data Source'!AG500&gt;=3.5,"A-",IF('Data Source'!AG500&gt;=3,"B",IF('Data Source'!AG500&gt;=2,"C",IF('Data Source'!AG500&gt;=1,"D","F")))))),"")</f>
        <v/>
      </c>
      <c r="P500" s="5">
        <f>IF(AND('Data Source'!B500&lt;&gt;"",'Data Source'!S500="F"),'Data Source'!R500,"")</f>
        <v/>
      </c>
      <c r="Q500" s="3">
        <f>IF(AND('Data Source'!B500&lt;&gt;"",'Data Source'!S500="F"),'Data Source'!S500,"")</f>
        <v/>
      </c>
    </row>
    <row r="501">
      <c r="A501" s="3">
        <f>IF(AND('Data Source'!B501&lt;&gt;"",'Data Source'!S501="F"),COUNTIF('Data Source'!$S$3:S501,"F"),"")</f>
        <v/>
      </c>
      <c r="B501">
        <f>IF(AND('Data Source'!B501&lt;&gt;"",'Data Source'!S501="F"),'Data Source'!B501,"")</f>
        <v/>
      </c>
      <c r="C501" s="3">
        <f>IF(AND('Data Source'!B501&lt;&gt;"",'Data Source'!S501="F"),IF('Data Source'!U501&gt;=5,"A+",IF('Data Source'!U501&gt;=4,"A",IF('Data Source'!U501&gt;=3.5,"A-",IF('Data Source'!U501&gt;=3,"B",IF('Data Source'!U501&gt;=2,"C",IF('Data Source'!U501&gt;=1,"D","F")))))),"")</f>
        <v/>
      </c>
      <c r="D501" s="3">
        <f>IF(AND('Data Source'!B501&lt;&gt;"",'Data Source'!S501="F"),IF('Data Source'!V501&gt;=5,"A+",IF('Data Source'!V501&gt;=4,"A",IF('Data Source'!V501&gt;=3.5,"A-",IF('Data Source'!V501&gt;=3,"B",IF('Data Source'!V501&gt;=2,"C",IF('Data Source'!V501&gt;=1,"D","F")))))),"")</f>
        <v/>
      </c>
      <c r="E501" s="3">
        <f>IF(AND('Data Source'!B501&lt;&gt;"",'Data Source'!S501="F"),IF('Data Source'!W501&gt;=5,"A+",IF('Data Source'!W501&gt;=4,"A",IF('Data Source'!W501&gt;=3.5,"A-",IF('Data Source'!W501&gt;=3,"B",IF('Data Source'!W501&gt;=2,"C",IF('Data Source'!W501&gt;=1,"D","F")))))),"")</f>
        <v/>
      </c>
      <c r="F501" s="3">
        <f>IF(AND('Data Source'!B501&lt;&gt;"",'Data Source'!S501="F"),IF('Data Source'!X501&gt;=5,"A+",IF('Data Source'!X501&gt;=4,"A",IF('Data Source'!X501&gt;=3.5,"A-",IF('Data Source'!X501&gt;=3,"B",IF('Data Source'!X501&gt;=2,"C",IF('Data Source'!X501&gt;=1,"D","F")))))),"")</f>
        <v/>
      </c>
      <c r="G501" s="3">
        <f>IF(AND('Data Source'!B501&lt;&gt;"",'Data Source'!S501="F"),IF('Data Source'!Y501&gt;=5,"A+",IF('Data Source'!Y501&gt;=4,"A",IF('Data Source'!Y501&gt;=3.5,"A-",IF('Data Source'!Y501&gt;=3,"B",IF('Data Source'!Y501&gt;=2,"C",IF('Data Source'!Y501&gt;=1,"D","F")))))),"")</f>
        <v/>
      </c>
      <c r="H501" s="3">
        <f>IF(AND('Data Source'!B501&lt;&gt;"",'Data Source'!S501="F"),IF('Data Source'!Z501&gt;=5,"A+",IF('Data Source'!Z501&gt;=4,"A",IF('Data Source'!Z501&gt;=3.5,"A-",IF('Data Source'!Z501&gt;=3,"B",IF('Data Source'!Z501&gt;=2,"C",IF('Data Source'!Z501&gt;=1,"D","F")))))),"")</f>
        <v/>
      </c>
      <c r="I501" s="3">
        <f>IF(AND('Data Source'!B501&lt;&gt;"",'Data Source'!S501="F"),IF('Data Source'!AA501&gt;=5,"A+",IF('Data Source'!AA501&gt;=4,"A",IF('Data Source'!AA501&gt;=3.5,"A-",IF('Data Source'!AA501&gt;=3,"B",IF('Data Source'!AA501&gt;=2,"C",IF('Data Source'!AA501&gt;=1,"D","F")))))),"")</f>
        <v/>
      </c>
      <c r="J501" s="3">
        <f>IF(AND('Data Source'!B501&lt;&gt;"",'Data Source'!S501="F"),IF('Data Source'!AB501&gt;=5,"A+",IF('Data Source'!AB501&gt;=4,"A",IF('Data Source'!AB501&gt;=3.5,"A-",IF('Data Source'!AB501&gt;=3,"B",IF('Data Source'!AB501&gt;=2,"C",IF('Data Source'!AB501&gt;=1,"D","F")))))),"")</f>
        <v/>
      </c>
      <c r="K501" s="3">
        <f>IF(AND('Data Source'!B501&lt;&gt;"",'Data Source'!S501="F"),IF('Data Source'!AC501&gt;=5,"A+",IF('Data Source'!AC501&gt;=4,"A",IF('Data Source'!AC501&gt;=3.5,"A-",IF('Data Source'!AC501&gt;=3,"B",IF('Data Source'!AC501&gt;=2,"C",IF('Data Source'!AC501&gt;=1,"D","F")))))),"")</f>
        <v/>
      </c>
      <c r="L501" s="3">
        <f>IF(AND('Data Source'!B501&lt;&gt;"",'Data Source'!S501="F"),IF('Data Source'!AD501&gt;=5,"A+",IF('Data Source'!AD501&gt;=4,"A",IF('Data Source'!AD501&gt;=3.5,"A-",IF('Data Source'!AD501&gt;=3,"B",IF('Data Source'!AD501&gt;=2,"C",IF('Data Source'!AD501&gt;=1,"D","F")))))),"")</f>
        <v/>
      </c>
      <c r="M501" s="3">
        <f>IF(AND('Data Source'!B501&lt;&gt;"",'Data Source'!S501="F"),IF('Data Source'!AE501&gt;=5,"A+",IF('Data Source'!AE501&gt;=4,"A",IF('Data Source'!AE501&gt;=3.5,"A-",IF('Data Source'!AE501&gt;=3,"B",IF('Data Source'!AE501&gt;=2,"C",IF('Data Source'!AE501&gt;=1,"D","F")))))),"")</f>
        <v/>
      </c>
      <c r="N501" s="3">
        <f>IF(AND('Data Source'!B501&lt;&gt;"",'Data Source'!S501="F"),IF('Data Source'!AF501&gt;=5,"A+",IF('Data Source'!AF501&gt;=4,"A",IF('Data Source'!AF501&gt;=3.5,"A-",IF('Data Source'!AF501&gt;=3,"B",IF('Data Source'!AF501&gt;=2,"C",IF('Data Source'!AF501&gt;=1,"D","F")))))),"")</f>
        <v/>
      </c>
      <c r="O501" s="3">
        <f>IF(AND('Data Source'!B501&lt;&gt;"",'Data Source'!S501="F"),IF('Data Source'!AG501&gt;=5,"A+",IF('Data Source'!AG501&gt;=4,"A",IF('Data Source'!AG501&gt;=3.5,"A-",IF('Data Source'!AG501&gt;=3,"B",IF('Data Source'!AG501&gt;=2,"C",IF('Data Source'!AG501&gt;=1,"D","F")))))),"")</f>
        <v/>
      </c>
      <c r="P501" s="5">
        <f>IF(AND('Data Source'!B501&lt;&gt;"",'Data Source'!S501="F"),'Data Source'!R501,"")</f>
        <v/>
      </c>
      <c r="Q501" s="3">
        <f>IF(AND('Data Source'!B501&lt;&gt;"",'Data Source'!S501="F"),'Data Source'!S501,"")</f>
        <v/>
      </c>
    </row>
    <row r="502">
      <c r="A502" s="3">
        <f>IF(AND('Data Source'!B502&lt;&gt;"",'Data Source'!S502="F"),COUNTIF('Data Source'!$S$3:S502,"F"),"")</f>
        <v/>
      </c>
      <c r="B502">
        <f>IF(AND('Data Source'!B502&lt;&gt;"",'Data Source'!S502="F"),'Data Source'!B502,"")</f>
        <v/>
      </c>
      <c r="C502" s="3">
        <f>IF(AND('Data Source'!B502&lt;&gt;"",'Data Source'!S502="F"),IF('Data Source'!U502&gt;=5,"A+",IF('Data Source'!U502&gt;=4,"A",IF('Data Source'!U502&gt;=3.5,"A-",IF('Data Source'!U502&gt;=3,"B",IF('Data Source'!U502&gt;=2,"C",IF('Data Source'!U502&gt;=1,"D","F")))))),"")</f>
        <v/>
      </c>
      <c r="D502" s="3">
        <f>IF(AND('Data Source'!B502&lt;&gt;"",'Data Source'!S502="F"),IF('Data Source'!V502&gt;=5,"A+",IF('Data Source'!V502&gt;=4,"A",IF('Data Source'!V502&gt;=3.5,"A-",IF('Data Source'!V502&gt;=3,"B",IF('Data Source'!V502&gt;=2,"C",IF('Data Source'!V502&gt;=1,"D","F")))))),"")</f>
        <v/>
      </c>
      <c r="E502" s="3">
        <f>IF(AND('Data Source'!B502&lt;&gt;"",'Data Source'!S502="F"),IF('Data Source'!W502&gt;=5,"A+",IF('Data Source'!W502&gt;=4,"A",IF('Data Source'!W502&gt;=3.5,"A-",IF('Data Source'!W502&gt;=3,"B",IF('Data Source'!W502&gt;=2,"C",IF('Data Source'!W502&gt;=1,"D","F")))))),"")</f>
        <v/>
      </c>
      <c r="F502" s="3">
        <f>IF(AND('Data Source'!B502&lt;&gt;"",'Data Source'!S502="F"),IF('Data Source'!X502&gt;=5,"A+",IF('Data Source'!X502&gt;=4,"A",IF('Data Source'!X502&gt;=3.5,"A-",IF('Data Source'!X502&gt;=3,"B",IF('Data Source'!X502&gt;=2,"C",IF('Data Source'!X502&gt;=1,"D","F")))))),"")</f>
        <v/>
      </c>
      <c r="G502" s="3">
        <f>IF(AND('Data Source'!B502&lt;&gt;"",'Data Source'!S502="F"),IF('Data Source'!Y502&gt;=5,"A+",IF('Data Source'!Y502&gt;=4,"A",IF('Data Source'!Y502&gt;=3.5,"A-",IF('Data Source'!Y502&gt;=3,"B",IF('Data Source'!Y502&gt;=2,"C",IF('Data Source'!Y502&gt;=1,"D","F")))))),"")</f>
        <v/>
      </c>
      <c r="H502" s="3">
        <f>IF(AND('Data Source'!B502&lt;&gt;"",'Data Source'!S502="F"),IF('Data Source'!Z502&gt;=5,"A+",IF('Data Source'!Z502&gt;=4,"A",IF('Data Source'!Z502&gt;=3.5,"A-",IF('Data Source'!Z502&gt;=3,"B",IF('Data Source'!Z502&gt;=2,"C",IF('Data Source'!Z502&gt;=1,"D","F")))))),"")</f>
        <v/>
      </c>
      <c r="I502" s="3">
        <f>IF(AND('Data Source'!B502&lt;&gt;"",'Data Source'!S502="F"),IF('Data Source'!AA502&gt;=5,"A+",IF('Data Source'!AA502&gt;=4,"A",IF('Data Source'!AA502&gt;=3.5,"A-",IF('Data Source'!AA502&gt;=3,"B",IF('Data Source'!AA502&gt;=2,"C",IF('Data Source'!AA502&gt;=1,"D","F")))))),"")</f>
        <v/>
      </c>
      <c r="J502" s="3">
        <f>IF(AND('Data Source'!B502&lt;&gt;"",'Data Source'!S502="F"),IF('Data Source'!AB502&gt;=5,"A+",IF('Data Source'!AB502&gt;=4,"A",IF('Data Source'!AB502&gt;=3.5,"A-",IF('Data Source'!AB502&gt;=3,"B",IF('Data Source'!AB502&gt;=2,"C",IF('Data Source'!AB502&gt;=1,"D","F")))))),"")</f>
        <v/>
      </c>
      <c r="K502" s="3">
        <f>IF(AND('Data Source'!B502&lt;&gt;"",'Data Source'!S502="F"),IF('Data Source'!AC502&gt;=5,"A+",IF('Data Source'!AC502&gt;=4,"A",IF('Data Source'!AC502&gt;=3.5,"A-",IF('Data Source'!AC502&gt;=3,"B",IF('Data Source'!AC502&gt;=2,"C",IF('Data Source'!AC502&gt;=1,"D","F")))))),"")</f>
        <v/>
      </c>
      <c r="L502" s="3">
        <f>IF(AND('Data Source'!B502&lt;&gt;"",'Data Source'!S502="F"),IF('Data Source'!AD502&gt;=5,"A+",IF('Data Source'!AD502&gt;=4,"A",IF('Data Source'!AD502&gt;=3.5,"A-",IF('Data Source'!AD502&gt;=3,"B",IF('Data Source'!AD502&gt;=2,"C",IF('Data Source'!AD502&gt;=1,"D","F")))))),"")</f>
        <v/>
      </c>
      <c r="M502" s="3">
        <f>IF(AND('Data Source'!B502&lt;&gt;"",'Data Source'!S502="F"),IF('Data Source'!AE502&gt;=5,"A+",IF('Data Source'!AE502&gt;=4,"A",IF('Data Source'!AE502&gt;=3.5,"A-",IF('Data Source'!AE502&gt;=3,"B",IF('Data Source'!AE502&gt;=2,"C",IF('Data Source'!AE502&gt;=1,"D","F")))))),"")</f>
        <v/>
      </c>
      <c r="N502" s="3">
        <f>IF(AND('Data Source'!B502&lt;&gt;"",'Data Source'!S502="F"),IF('Data Source'!AF502&gt;=5,"A+",IF('Data Source'!AF502&gt;=4,"A",IF('Data Source'!AF502&gt;=3.5,"A-",IF('Data Source'!AF502&gt;=3,"B",IF('Data Source'!AF502&gt;=2,"C",IF('Data Source'!AF502&gt;=1,"D","F")))))),"")</f>
        <v/>
      </c>
      <c r="O502" s="3">
        <f>IF(AND('Data Source'!B502&lt;&gt;"",'Data Source'!S502="F"),IF('Data Source'!AG502&gt;=5,"A+",IF('Data Source'!AG502&gt;=4,"A",IF('Data Source'!AG502&gt;=3.5,"A-",IF('Data Source'!AG502&gt;=3,"B",IF('Data Source'!AG502&gt;=2,"C",IF('Data Source'!AG502&gt;=1,"D","F")))))),"")</f>
        <v/>
      </c>
      <c r="P502" s="5">
        <f>IF(AND('Data Source'!B502&lt;&gt;"",'Data Source'!S502="F"),'Data Source'!R502,"")</f>
        <v/>
      </c>
      <c r="Q502" s="3">
        <f>IF(AND('Data Source'!B502&lt;&gt;"",'Data Source'!S502="F"),'Data Source'!S502,"")</f>
        <v/>
      </c>
    </row>
    <row r="503">
      <c r="A503" s="3">
        <f>IF(AND('Data Source'!B503&lt;&gt;"",'Data Source'!S503="F"),COUNTIF('Data Source'!$S$3:S503,"F"),"")</f>
        <v/>
      </c>
      <c r="B503">
        <f>IF(AND('Data Source'!B503&lt;&gt;"",'Data Source'!S503="F"),'Data Source'!B503,"")</f>
        <v/>
      </c>
      <c r="C503" s="3">
        <f>IF(AND('Data Source'!B503&lt;&gt;"",'Data Source'!S503="F"),IF('Data Source'!U503&gt;=5,"A+",IF('Data Source'!U503&gt;=4,"A",IF('Data Source'!U503&gt;=3.5,"A-",IF('Data Source'!U503&gt;=3,"B",IF('Data Source'!U503&gt;=2,"C",IF('Data Source'!U503&gt;=1,"D","F")))))),"")</f>
        <v/>
      </c>
      <c r="D503" s="3">
        <f>IF(AND('Data Source'!B503&lt;&gt;"",'Data Source'!S503="F"),IF('Data Source'!V503&gt;=5,"A+",IF('Data Source'!V503&gt;=4,"A",IF('Data Source'!V503&gt;=3.5,"A-",IF('Data Source'!V503&gt;=3,"B",IF('Data Source'!V503&gt;=2,"C",IF('Data Source'!V503&gt;=1,"D","F")))))),"")</f>
        <v/>
      </c>
      <c r="E503" s="3">
        <f>IF(AND('Data Source'!B503&lt;&gt;"",'Data Source'!S503="F"),IF('Data Source'!W503&gt;=5,"A+",IF('Data Source'!W503&gt;=4,"A",IF('Data Source'!W503&gt;=3.5,"A-",IF('Data Source'!W503&gt;=3,"B",IF('Data Source'!W503&gt;=2,"C",IF('Data Source'!W503&gt;=1,"D","F")))))),"")</f>
        <v/>
      </c>
      <c r="F503" s="3">
        <f>IF(AND('Data Source'!B503&lt;&gt;"",'Data Source'!S503="F"),IF('Data Source'!X503&gt;=5,"A+",IF('Data Source'!X503&gt;=4,"A",IF('Data Source'!X503&gt;=3.5,"A-",IF('Data Source'!X503&gt;=3,"B",IF('Data Source'!X503&gt;=2,"C",IF('Data Source'!X503&gt;=1,"D","F")))))),"")</f>
        <v/>
      </c>
      <c r="G503" s="3">
        <f>IF(AND('Data Source'!B503&lt;&gt;"",'Data Source'!S503="F"),IF('Data Source'!Y503&gt;=5,"A+",IF('Data Source'!Y503&gt;=4,"A",IF('Data Source'!Y503&gt;=3.5,"A-",IF('Data Source'!Y503&gt;=3,"B",IF('Data Source'!Y503&gt;=2,"C",IF('Data Source'!Y503&gt;=1,"D","F")))))),"")</f>
        <v/>
      </c>
      <c r="H503" s="3">
        <f>IF(AND('Data Source'!B503&lt;&gt;"",'Data Source'!S503="F"),IF('Data Source'!Z503&gt;=5,"A+",IF('Data Source'!Z503&gt;=4,"A",IF('Data Source'!Z503&gt;=3.5,"A-",IF('Data Source'!Z503&gt;=3,"B",IF('Data Source'!Z503&gt;=2,"C",IF('Data Source'!Z503&gt;=1,"D","F")))))),"")</f>
        <v/>
      </c>
      <c r="I503" s="3">
        <f>IF(AND('Data Source'!B503&lt;&gt;"",'Data Source'!S503="F"),IF('Data Source'!AA503&gt;=5,"A+",IF('Data Source'!AA503&gt;=4,"A",IF('Data Source'!AA503&gt;=3.5,"A-",IF('Data Source'!AA503&gt;=3,"B",IF('Data Source'!AA503&gt;=2,"C",IF('Data Source'!AA503&gt;=1,"D","F")))))),"")</f>
        <v/>
      </c>
      <c r="J503" s="3">
        <f>IF(AND('Data Source'!B503&lt;&gt;"",'Data Source'!S503="F"),IF('Data Source'!AB503&gt;=5,"A+",IF('Data Source'!AB503&gt;=4,"A",IF('Data Source'!AB503&gt;=3.5,"A-",IF('Data Source'!AB503&gt;=3,"B",IF('Data Source'!AB503&gt;=2,"C",IF('Data Source'!AB503&gt;=1,"D","F")))))),"")</f>
        <v/>
      </c>
      <c r="K503" s="3">
        <f>IF(AND('Data Source'!B503&lt;&gt;"",'Data Source'!S503="F"),IF('Data Source'!AC503&gt;=5,"A+",IF('Data Source'!AC503&gt;=4,"A",IF('Data Source'!AC503&gt;=3.5,"A-",IF('Data Source'!AC503&gt;=3,"B",IF('Data Source'!AC503&gt;=2,"C",IF('Data Source'!AC503&gt;=1,"D","F")))))),"")</f>
        <v/>
      </c>
      <c r="L503" s="3">
        <f>IF(AND('Data Source'!B503&lt;&gt;"",'Data Source'!S503="F"),IF('Data Source'!AD503&gt;=5,"A+",IF('Data Source'!AD503&gt;=4,"A",IF('Data Source'!AD503&gt;=3.5,"A-",IF('Data Source'!AD503&gt;=3,"B",IF('Data Source'!AD503&gt;=2,"C",IF('Data Source'!AD503&gt;=1,"D","F")))))),"")</f>
        <v/>
      </c>
      <c r="M503" s="3">
        <f>IF(AND('Data Source'!B503&lt;&gt;"",'Data Source'!S503="F"),IF('Data Source'!AE503&gt;=5,"A+",IF('Data Source'!AE503&gt;=4,"A",IF('Data Source'!AE503&gt;=3.5,"A-",IF('Data Source'!AE503&gt;=3,"B",IF('Data Source'!AE503&gt;=2,"C",IF('Data Source'!AE503&gt;=1,"D","F")))))),"")</f>
        <v/>
      </c>
      <c r="N503" s="3">
        <f>IF(AND('Data Source'!B503&lt;&gt;"",'Data Source'!S503="F"),IF('Data Source'!AF503&gt;=5,"A+",IF('Data Source'!AF503&gt;=4,"A",IF('Data Source'!AF503&gt;=3.5,"A-",IF('Data Source'!AF503&gt;=3,"B",IF('Data Source'!AF503&gt;=2,"C",IF('Data Source'!AF503&gt;=1,"D","F")))))),"")</f>
        <v/>
      </c>
      <c r="O503" s="3">
        <f>IF(AND('Data Source'!B503&lt;&gt;"",'Data Source'!S503="F"),IF('Data Source'!AG503&gt;=5,"A+",IF('Data Source'!AG503&gt;=4,"A",IF('Data Source'!AG503&gt;=3.5,"A-",IF('Data Source'!AG503&gt;=3,"B",IF('Data Source'!AG503&gt;=2,"C",IF('Data Source'!AG503&gt;=1,"D","F")))))),"")</f>
        <v/>
      </c>
      <c r="P503" s="5">
        <f>IF(AND('Data Source'!B503&lt;&gt;"",'Data Source'!S503="F"),'Data Source'!R503,"")</f>
        <v/>
      </c>
      <c r="Q503" s="3">
        <f>IF(AND('Data Source'!B503&lt;&gt;"",'Data Source'!S503="F"),'Data Source'!S503,"")</f>
        <v/>
      </c>
    </row>
    <row r="504">
      <c r="A504" s="3">
        <f>IF(AND('Data Source'!B504&lt;&gt;"",'Data Source'!S504="F"),COUNTIF('Data Source'!$S$3:S504,"F"),"")</f>
        <v/>
      </c>
      <c r="B504">
        <f>IF(AND('Data Source'!B504&lt;&gt;"",'Data Source'!S504="F"),'Data Source'!B504,"")</f>
        <v/>
      </c>
      <c r="C504" s="3">
        <f>IF(AND('Data Source'!B504&lt;&gt;"",'Data Source'!S504="F"),IF('Data Source'!U504&gt;=5,"A+",IF('Data Source'!U504&gt;=4,"A",IF('Data Source'!U504&gt;=3.5,"A-",IF('Data Source'!U504&gt;=3,"B",IF('Data Source'!U504&gt;=2,"C",IF('Data Source'!U504&gt;=1,"D","F")))))),"")</f>
        <v/>
      </c>
      <c r="D504" s="3">
        <f>IF(AND('Data Source'!B504&lt;&gt;"",'Data Source'!S504="F"),IF('Data Source'!V504&gt;=5,"A+",IF('Data Source'!V504&gt;=4,"A",IF('Data Source'!V504&gt;=3.5,"A-",IF('Data Source'!V504&gt;=3,"B",IF('Data Source'!V504&gt;=2,"C",IF('Data Source'!V504&gt;=1,"D","F")))))),"")</f>
        <v/>
      </c>
      <c r="E504" s="3">
        <f>IF(AND('Data Source'!B504&lt;&gt;"",'Data Source'!S504="F"),IF('Data Source'!W504&gt;=5,"A+",IF('Data Source'!W504&gt;=4,"A",IF('Data Source'!W504&gt;=3.5,"A-",IF('Data Source'!W504&gt;=3,"B",IF('Data Source'!W504&gt;=2,"C",IF('Data Source'!W504&gt;=1,"D","F")))))),"")</f>
        <v/>
      </c>
      <c r="F504" s="3">
        <f>IF(AND('Data Source'!B504&lt;&gt;"",'Data Source'!S504="F"),IF('Data Source'!X504&gt;=5,"A+",IF('Data Source'!X504&gt;=4,"A",IF('Data Source'!X504&gt;=3.5,"A-",IF('Data Source'!X504&gt;=3,"B",IF('Data Source'!X504&gt;=2,"C",IF('Data Source'!X504&gt;=1,"D","F")))))),"")</f>
        <v/>
      </c>
      <c r="G504" s="3">
        <f>IF(AND('Data Source'!B504&lt;&gt;"",'Data Source'!S504="F"),IF('Data Source'!Y504&gt;=5,"A+",IF('Data Source'!Y504&gt;=4,"A",IF('Data Source'!Y504&gt;=3.5,"A-",IF('Data Source'!Y504&gt;=3,"B",IF('Data Source'!Y504&gt;=2,"C",IF('Data Source'!Y504&gt;=1,"D","F")))))),"")</f>
        <v/>
      </c>
      <c r="H504" s="3">
        <f>IF(AND('Data Source'!B504&lt;&gt;"",'Data Source'!S504="F"),IF('Data Source'!Z504&gt;=5,"A+",IF('Data Source'!Z504&gt;=4,"A",IF('Data Source'!Z504&gt;=3.5,"A-",IF('Data Source'!Z504&gt;=3,"B",IF('Data Source'!Z504&gt;=2,"C",IF('Data Source'!Z504&gt;=1,"D","F")))))),"")</f>
        <v/>
      </c>
      <c r="I504" s="3">
        <f>IF(AND('Data Source'!B504&lt;&gt;"",'Data Source'!S504="F"),IF('Data Source'!AA504&gt;=5,"A+",IF('Data Source'!AA504&gt;=4,"A",IF('Data Source'!AA504&gt;=3.5,"A-",IF('Data Source'!AA504&gt;=3,"B",IF('Data Source'!AA504&gt;=2,"C",IF('Data Source'!AA504&gt;=1,"D","F")))))),"")</f>
        <v/>
      </c>
      <c r="J504" s="3">
        <f>IF(AND('Data Source'!B504&lt;&gt;"",'Data Source'!S504="F"),IF('Data Source'!AB504&gt;=5,"A+",IF('Data Source'!AB504&gt;=4,"A",IF('Data Source'!AB504&gt;=3.5,"A-",IF('Data Source'!AB504&gt;=3,"B",IF('Data Source'!AB504&gt;=2,"C",IF('Data Source'!AB504&gt;=1,"D","F")))))),"")</f>
        <v/>
      </c>
      <c r="K504" s="3">
        <f>IF(AND('Data Source'!B504&lt;&gt;"",'Data Source'!S504="F"),IF('Data Source'!AC504&gt;=5,"A+",IF('Data Source'!AC504&gt;=4,"A",IF('Data Source'!AC504&gt;=3.5,"A-",IF('Data Source'!AC504&gt;=3,"B",IF('Data Source'!AC504&gt;=2,"C",IF('Data Source'!AC504&gt;=1,"D","F")))))),"")</f>
        <v/>
      </c>
      <c r="L504" s="3">
        <f>IF(AND('Data Source'!B504&lt;&gt;"",'Data Source'!S504="F"),IF('Data Source'!AD504&gt;=5,"A+",IF('Data Source'!AD504&gt;=4,"A",IF('Data Source'!AD504&gt;=3.5,"A-",IF('Data Source'!AD504&gt;=3,"B",IF('Data Source'!AD504&gt;=2,"C",IF('Data Source'!AD504&gt;=1,"D","F")))))),"")</f>
        <v/>
      </c>
      <c r="M504" s="3">
        <f>IF(AND('Data Source'!B504&lt;&gt;"",'Data Source'!S504="F"),IF('Data Source'!AE504&gt;=5,"A+",IF('Data Source'!AE504&gt;=4,"A",IF('Data Source'!AE504&gt;=3.5,"A-",IF('Data Source'!AE504&gt;=3,"B",IF('Data Source'!AE504&gt;=2,"C",IF('Data Source'!AE504&gt;=1,"D","F")))))),"")</f>
        <v/>
      </c>
      <c r="N504" s="3">
        <f>IF(AND('Data Source'!B504&lt;&gt;"",'Data Source'!S504="F"),IF('Data Source'!AF504&gt;=5,"A+",IF('Data Source'!AF504&gt;=4,"A",IF('Data Source'!AF504&gt;=3.5,"A-",IF('Data Source'!AF504&gt;=3,"B",IF('Data Source'!AF504&gt;=2,"C",IF('Data Source'!AF504&gt;=1,"D","F")))))),"")</f>
        <v/>
      </c>
      <c r="O504" s="3">
        <f>IF(AND('Data Source'!B504&lt;&gt;"",'Data Source'!S504="F"),IF('Data Source'!AG504&gt;=5,"A+",IF('Data Source'!AG504&gt;=4,"A",IF('Data Source'!AG504&gt;=3.5,"A-",IF('Data Source'!AG504&gt;=3,"B",IF('Data Source'!AG504&gt;=2,"C",IF('Data Source'!AG504&gt;=1,"D","F")))))),"")</f>
        <v/>
      </c>
      <c r="P504" s="5">
        <f>IF(AND('Data Source'!B504&lt;&gt;"",'Data Source'!S504="F"),'Data Source'!R504,"")</f>
        <v/>
      </c>
      <c r="Q504" s="3">
        <f>IF(AND('Data Source'!B504&lt;&gt;"",'Data Source'!S504="F"),'Data Source'!S504,"")</f>
        <v/>
      </c>
    </row>
    <row r="505">
      <c r="A505" s="3">
        <f>IF(AND('Data Source'!B505&lt;&gt;"",'Data Source'!S505="F"),COUNTIF('Data Source'!$S$3:S505,"F"),"")</f>
        <v/>
      </c>
      <c r="B505">
        <f>IF(AND('Data Source'!B505&lt;&gt;"",'Data Source'!S505="F"),'Data Source'!B505,"")</f>
        <v/>
      </c>
      <c r="C505" s="3">
        <f>IF(AND('Data Source'!B505&lt;&gt;"",'Data Source'!S505="F"),IF('Data Source'!U505&gt;=5,"A+",IF('Data Source'!U505&gt;=4,"A",IF('Data Source'!U505&gt;=3.5,"A-",IF('Data Source'!U505&gt;=3,"B",IF('Data Source'!U505&gt;=2,"C",IF('Data Source'!U505&gt;=1,"D","F")))))),"")</f>
        <v/>
      </c>
      <c r="D505" s="3">
        <f>IF(AND('Data Source'!B505&lt;&gt;"",'Data Source'!S505="F"),IF('Data Source'!V505&gt;=5,"A+",IF('Data Source'!V505&gt;=4,"A",IF('Data Source'!V505&gt;=3.5,"A-",IF('Data Source'!V505&gt;=3,"B",IF('Data Source'!V505&gt;=2,"C",IF('Data Source'!V505&gt;=1,"D","F")))))),"")</f>
        <v/>
      </c>
      <c r="E505" s="3">
        <f>IF(AND('Data Source'!B505&lt;&gt;"",'Data Source'!S505="F"),IF('Data Source'!W505&gt;=5,"A+",IF('Data Source'!W505&gt;=4,"A",IF('Data Source'!W505&gt;=3.5,"A-",IF('Data Source'!W505&gt;=3,"B",IF('Data Source'!W505&gt;=2,"C",IF('Data Source'!W505&gt;=1,"D","F")))))),"")</f>
        <v/>
      </c>
      <c r="F505" s="3">
        <f>IF(AND('Data Source'!B505&lt;&gt;"",'Data Source'!S505="F"),IF('Data Source'!X505&gt;=5,"A+",IF('Data Source'!X505&gt;=4,"A",IF('Data Source'!X505&gt;=3.5,"A-",IF('Data Source'!X505&gt;=3,"B",IF('Data Source'!X505&gt;=2,"C",IF('Data Source'!X505&gt;=1,"D","F")))))),"")</f>
        <v/>
      </c>
      <c r="G505" s="3">
        <f>IF(AND('Data Source'!B505&lt;&gt;"",'Data Source'!S505="F"),IF('Data Source'!Y505&gt;=5,"A+",IF('Data Source'!Y505&gt;=4,"A",IF('Data Source'!Y505&gt;=3.5,"A-",IF('Data Source'!Y505&gt;=3,"B",IF('Data Source'!Y505&gt;=2,"C",IF('Data Source'!Y505&gt;=1,"D","F")))))),"")</f>
        <v/>
      </c>
      <c r="H505" s="3">
        <f>IF(AND('Data Source'!B505&lt;&gt;"",'Data Source'!S505="F"),IF('Data Source'!Z505&gt;=5,"A+",IF('Data Source'!Z505&gt;=4,"A",IF('Data Source'!Z505&gt;=3.5,"A-",IF('Data Source'!Z505&gt;=3,"B",IF('Data Source'!Z505&gt;=2,"C",IF('Data Source'!Z505&gt;=1,"D","F")))))),"")</f>
        <v/>
      </c>
      <c r="I505" s="3">
        <f>IF(AND('Data Source'!B505&lt;&gt;"",'Data Source'!S505="F"),IF('Data Source'!AA505&gt;=5,"A+",IF('Data Source'!AA505&gt;=4,"A",IF('Data Source'!AA505&gt;=3.5,"A-",IF('Data Source'!AA505&gt;=3,"B",IF('Data Source'!AA505&gt;=2,"C",IF('Data Source'!AA505&gt;=1,"D","F")))))),"")</f>
        <v/>
      </c>
      <c r="J505" s="3">
        <f>IF(AND('Data Source'!B505&lt;&gt;"",'Data Source'!S505="F"),IF('Data Source'!AB505&gt;=5,"A+",IF('Data Source'!AB505&gt;=4,"A",IF('Data Source'!AB505&gt;=3.5,"A-",IF('Data Source'!AB505&gt;=3,"B",IF('Data Source'!AB505&gt;=2,"C",IF('Data Source'!AB505&gt;=1,"D","F")))))),"")</f>
        <v/>
      </c>
      <c r="K505" s="3">
        <f>IF(AND('Data Source'!B505&lt;&gt;"",'Data Source'!S505="F"),IF('Data Source'!AC505&gt;=5,"A+",IF('Data Source'!AC505&gt;=4,"A",IF('Data Source'!AC505&gt;=3.5,"A-",IF('Data Source'!AC505&gt;=3,"B",IF('Data Source'!AC505&gt;=2,"C",IF('Data Source'!AC505&gt;=1,"D","F")))))),"")</f>
        <v/>
      </c>
      <c r="L505" s="3">
        <f>IF(AND('Data Source'!B505&lt;&gt;"",'Data Source'!S505="F"),IF('Data Source'!AD505&gt;=5,"A+",IF('Data Source'!AD505&gt;=4,"A",IF('Data Source'!AD505&gt;=3.5,"A-",IF('Data Source'!AD505&gt;=3,"B",IF('Data Source'!AD505&gt;=2,"C",IF('Data Source'!AD505&gt;=1,"D","F")))))),"")</f>
        <v/>
      </c>
      <c r="M505" s="3">
        <f>IF(AND('Data Source'!B505&lt;&gt;"",'Data Source'!S505="F"),IF('Data Source'!AE505&gt;=5,"A+",IF('Data Source'!AE505&gt;=4,"A",IF('Data Source'!AE505&gt;=3.5,"A-",IF('Data Source'!AE505&gt;=3,"B",IF('Data Source'!AE505&gt;=2,"C",IF('Data Source'!AE505&gt;=1,"D","F")))))),"")</f>
        <v/>
      </c>
      <c r="N505" s="3">
        <f>IF(AND('Data Source'!B505&lt;&gt;"",'Data Source'!S505="F"),IF('Data Source'!AF505&gt;=5,"A+",IF('Data Source'!AF505&gt;=4,"A",IF('Data Source'!AF505&gt;=3.5,"A-",IF('Data Source'!AF505&gt;=3,"B",IF('Data Source'!AF505&gt;=2,"C",IF('Data Source'!AF505&gt;=1,"D","F")))))),"")</f>
        <v/>
      </c>
      <c r="O505" s="3">
        <f>IF(AND('Data Source'!B505&lt;&gt;"",'Data Source'!S505="F"),IF('Data Source'!AG505&gt;=5,"A+",IF('Data Source'!AG505&gt;=4,"A",IF('Data Source'!AG505&gt;=3.5,"A-",IF('Data Source'!AG505&gt;=3,"B",IF('Data Source'!AG505&gt;=2,"C",IF('Data Source'!AG505&gt;=1,"D","F")))))),"")</f>
        <v/>
      </c>
      <c r="P505" s="5">
        <f>IF(AND('Data Source'!B505&lt;&gt;"",'Data Source'!S505="F"),'Data Source'!R505,"")</f>
        <v/>
      </c>
      <c r="Q505" s="3">
        <f>IF(AND('Data Source'!B505&lt;&gt;"",'Data Source'!S505="F"),'Data Source'!S505,"")</f>
        <v/>
      </c>
    </row>
    <row r="506">
      <c r="A506" s="3">
        <f>IF(AND('Data Source'!B506&lt;&gt;"",'Data Source'!S506="F"),COUNTIF('Data Source'!$S$3:S506,"F"),"")</f>
        <v/>
      </c>
      <c r="B506">
        <f>IF(AND('Data Source'!B506&lt;&gt;"",'Data Source'!S506="F"),'Data Source'!B506,"")</f>
        <v/>
      </c>
      <c r="C506" s="3">
        <f>IF(AND('Data Source'!B506&lt;&gt;"",'Data Source'!S506="F"),IF('Data Source'!U506&gt;=5,"A+",IF('Data Source'!U506&gt;=4,"A",IF('Data Source'!U506&gt;=3.5,"A-",IF('Data Source'!U506&gt;=3,"B",IF('Data Source'!U506&gt;=2,"C",IF('Data Source'!U506&gt;=1,"D","F")))))),"")</f>
        <v/>
      </c>
      <c r="D506" s="3">
        <f>IF(AND('Data Source'!B506&lt;&gt;"",'Data Source'!S506="F"),IF('Data Source'!V506&gt;=5,"A+",IF('Data Source'!V506&gt;=4,"A",IF('Data Source'!V506&gt;=3.5,"A-",IF('Data Source'!V506&gt;=3,"B",IF('Data Source'!V506&gt;=2,"C",IF('Data Source'!V506&gt;=1,"D","F")))))),"")</f>
        <v/>
      </c>
      <c r="E506" s="3">
        <f>IF(AND('Data Source'!B506&lt;&gt;"",'Data Source'!S506="F"),IF('Data Source'!W506&gt;=5,"A+",IF('Data Source'!W506&gt;=4,"A",IF('Data Source'!W506&gt;=3.5,"A-",IF('Data Source'!W506&gt;=3,"B",IF('Data Source'!W506&gt;=2,"C",IF('Data Source'!W506&gt;=1,"D","F")))))),"")</f>
        <v/>
      </c>
      <c r="F506" s="3">
        <f>IF(AND('Data Source'!B506&lt;&gt;"",'Data Source'!S506="F"),IF('Data Source'!X506&gt;=5,"A+",IF('Data Source'!X506&gt;=4,"A",IF('Data Source'!X506&gt;=3.5,"A-",IF('Data Source'!X506&gt;=3,"B",IF('Data Source'!X506&gt;=2,"C",IF('Data Source'!X506&gt;=1,"D","F")))))),"")</f>
        <v/>
      </c>
      <c r="G506" s="3">
        <f>IF(AND('Data Source'!B506&lt;&gt;"",'Data Source'!S506="F"),IF('Data Source'!Y506&gt;=5,"A+",IF('Data Source'!Y506&gt;=4,"A",IF('Data Source'!Y506&gt;=3.5,"A-",IF('Data Source'!Y506&gt;=3,"B",IF('Data Source'!Y506&gt;=2,"C",IF('Data Source'!Y506&gt;=1,"D","F")))))),"")</f>
        <v/>
      </c>
      <c r="H506" s="3">
        <f>IF(AND('Data Source'!B506&lt;&gt;"",'Data Source'!S506="F"),IF('Data Source'!Z506&gt;=5,"A+",IF('Data Source'!Z506&gt;=4,"A",IF('Data Source'!Z506&gt;=3.5,"A-",IF('Data Source'!Z506&gt;=3,"B",IF('Data Source'!Z506&gt;=2,"C",IF('Data Source'!Z506&gt;=1,"D","F")))))),"")</f>
        <v/>
      </c>
      <c r="I506" s="3">
        <f>IF(AND('Data Source'!B506&lt;&gt;"",'Data Source'!S506="F"),IF('Data Source'!AA506&gt;=5,"A+",IF('Data Source'!AA506&gt;=4,"A",IF('Data Source'!AA506&gt;=3.5,"A-",IF('Data Source'!AA506&gt;=3,"B",IF('Data Source'!AA506&gt;=2,"C",IF('Data Source'!AA506&gt;=1,"D","F")))))),"")</f>
        <v/>
      </c>
      <c r="J506" s="3">
        <f>IF(AND('Data Source'!B506&lt;&gt;"",'Data Source'!S506="F"),IF('Data Source'!AB506&gt;=5,"A+",IF('Data Source'!AB506&gt;=4,"A",IF('Data Source'!AB506&gt;=3.5,"A-",IF('Data Source'!AB506&gt;=3,"B",IF('Data Source'!AB506&gt;=2,"C",IF('Data Source'!AB506&gt;=1,"D","F")))))),"")</f>
        <v/>
      </c>
      <c r="K506" s="3">
        <f>IF(AND('Data Source'!B506&lt;&gt;"",'Data Source'!S506="F"),IF('Data Source'!AC506&gt;=5,"A+",IF('Data Source'!AC506&gt;=4,"A",IF('Data Source'!AC506&gt;=3.5,"A-",IF('Data Source'!AC506&gt;=3,"B",IF('Data Source'!AC506&gt;=2,"C",IF('Data Source'!AC506&gt;=1,"D","F")))))),"")</f>
        <v/>
      </c>
      <c r="L506" s="3">
        <f>IF(AND('Data Source'!B506&lt;&gt;"",'Data Source'!S506="F"),IF('Data Source'!AD506&gt;=5,"A+",IF('Data Source'!AD506&gt;=4,"A",IF('Data Source'!AD506&gt;=3.5,"A-",IF('Data Source'!AD506&gt;=3,"B",IF('Data Source'!AD506&gt;=2,"C",IF('Data Source'!AD506&gt;=1,"D","F")))))),"")</f>
        <v/>
      </c>
      <c r="M506" s="3">
        <f>IF(AND('Data Source'!B506&lt;&gt;"",'Data Source'!S506="F"),IF('Data Source'!AE506&gt;=5,"A+",IF('Data Source'!AE506&gt;=4,"A",IF('Data Source'!AE506&gt;=3.5,"A-",IF('Data Source'!AE506&gt;=3,"B",IF('Data Source'!AE506&gt;=2,"C",IF('Data Source'!AE506&gt;=1,"D","F")))))),"")</f>
        <v/>
      </c>
      <c r="N506" s="3">
        <f>IF(AND('Data Source'!B506&lt;&gt;"",'Data Source'!S506="F"),IF('Data Source'!AF506&gt;=5,"A+",IF('Data Source'!AF506&gt;=4,"A",IF('Data Source'!AF506&gt;=3.5,"A-",IF('Data Source'!AF506&gt;=3,"B",IF('Data Source'!AF506&gt;=2,"C",IF('Data Source'!AF506&gt;=1,"D","F")))))),"")</f>
        <v/>
      </c>
      <c r="O506" s="3">
        <f>IF(AND('Data Source'!B506&lt;&gt;"",'Data Source'!S506="F"),IF('Data Source'!AG506&gt;=5,"A+",IF('Data Source'!AG506&gt;=4,"A",IF('Data Source'!AG506&gt;=3.5,"A-",IF('Data Source'!AG506&gt;=3,"B",IF('Data Source'!AG506&gt;=2,"C",IF('Data Source'!AG506&gt;=1,"D","F")))))),"")</f>
        <v/>
      </c>
      <c r="P506" s="5">
        <f>IF(AND('Data Source'!B506&lt;&gt;"",'Data Source'!S506="F"),'Data Source'!R506,"")</f>
        <v/>
      </c>
      <c r="Q506" s="3">
        <f>IF(AND('Data Source'!B506&lt;&gt;"",'Data Source'!S506="F"),'Data Source'!S506,"")</f>
        <v/>
      </c>
    </row>
    <row r="507">
      <c r="A507" s="3">
        <f>IF(AND('Data Source'!B507&lt;&gt;"",'Data Source'!S507="F"),COUNTIF('Data Source'!$S$3:S507,"F"),"")</f>
        <v/>
      </c>
      <c r="B507">
        <f>IF(AND('Data Source'!B507&lt;&gt;"",'Data Source'!S507="F"),'Data Source'!B507,"")</f>
        <v/>
      </c>
      <c r="C507" s="3">
        <f>IF(AND('Data Source'!B507&lt;&gt;"",'Data Source'!S507="F"),IF('Data Source'!U507&gt;=5,"A+",IF('Data Source'!U507&gt;=4,"A",IF('Data Source'!U507&gt;=3.5,"A-",IF('Data Source'!U507&gt;=3,"B",IF('Data Source'!U507&gt;=2,"C",IF('Data Source'!U507&gt;=1,"D","F")))))),"")</f>
        <v/>
      </c>
      <c r="D507" s="3">
        <f>IF(AND('Data Source'!B507&lt;&gt;"",'Data Source'!S507="F"),IF('Data Source'!V507&gt;=5,"A+",IF('Data Source'!V507&gt;=4,"A",IF('Data Source'!V507&gt;=3.5,"A-",IF('Data Source'!V507&gt;=3,"B",IF('Data Source'!V507&gt;=2,"C",IF('Data Source'!V507&gt;=1,"D","F")))))),"")</f>
        <v/>
      </c>
      <c r="E507" s="3">
        <f>IF(AND('Data Source'!B507&lt;&gt;"",'Data Source'!S507="F"),IF('Data Source'!W507&gt;=5,"A+",IF('Data Source'!W507&gt;=4,"A",IF('Data Source'!W507&gt;=3.5,"A-",IF('Data Source'!W507&gt;=3,"B",IF('Data Source'!W507&gt;=2,"C",IF('Data Source'!W507&gt;=1,"D","F")))))),"")</f>
        <v/>
      </c>
      <c r="F507" s="3">
        <f>IF(AND('Data Source'!B507&lt;&gt;"",'Data Source'!S507="F"),IF('Data Source'!X507&gt;=5,"A+",IF('Data Source'!X507&gt;=4,"A",IF('Data Source'!X507&gt;=3.5,"A-",IF('Data Source'!X507&gt;=3,"B",IF('Data Source'!X507&gt;=2,"C",IF('Data Source'!X507&gt;=1,"D","F")))))),"")</f>
        <v/>
      </c>
      <c r="G507" s="3">
        <f>IF(AND('Data Source'!B507&lt;&gt;"",'Data Source'!S507="F"),IF('Data Source'!Y507&gt;=5,"A+",IF('Data Source'!Y507&gt;=4,"A",IF('Data Source'!Y507&gt;=3.5,"A-",IF('Data Source'!Y507&gt;=3,"B",IF('Data Source'!Y507&gt;=2,"C",IF('Data Source'!Y507&gt;=1,"D","F")))))),"")</f>
        <v/>
      </c>
      <c r="H507" s="3">
        <f>IF(AND('Data Source'!B507&lt;&gt;"",'Data Source'!S507="F"),IF('Data Source'!Z507&gt;=5,"A+",IF('Data Source'!Z507&gt;=4,"A",IF('Data Source'!Z507&gt;=3.5,"A-",IF('Data Source'!Z507&gt;=3,"B",IF('Data Source'!Z507&gt;=2,"C",IF('Data Source'!Z507&gt;=1,"D","F")))))),"")</f>
        <v/>
      </c>
      <c r="I507" s="3">
        <f>IF(AND('Data Source'!B507&lt;&gt;"",'Data Source'!S507="F"),IF('Data Source'!AA507&gt;=5,"A+",IF('Data Source'!AA507&gt;=4,"A",IF('Data Source'!AA507&gt;=3.5,"A-",IF('Data Source'!AA507&gt;=3,"B",IF('Data Source'!AA507&gt;=2,"C",IF('Data Source'!AA507&gt;=1,"D","F")))))),"")</f>
        <v/>
      </c>
      <c r="J507" s="3">
        <f>IF(AND('Data Source'!B507&lt;&gt;"",'Data Source'!S507="F"),IF('Data Source'!AB507&gt;=5,"A+",IF('Data Source'!AB507&gt;=4,"A",IF('Data Source'!AB507&gt;=3.5,"A-",IF('Data Source'!AB507&gt;=3,"B",IF('Data Source'!AB507&gt;=2,"C",IF('Data Source'!AB507&gt;=1,"D","F")))))),"")</f>
        <v/>
      </c>
      <c r="K507" s="3">
        <f>IF(AND('Data Source'!B507&lt;&gt;"",'Data Source'!S507="F"),IF('Data Source'!AC507&gt;=5,"A+",IF('Data Source'!AC507&gt;=4,"A",IF('Data Source'!AC507&gt;=3.5,"A-",IF('Data Source'!AC507&gt;=3,"B",IF('Data Source'!AC507&gt;=2,"C",IF('Data Source'!AC507&gt;=1,"D","F")))))),"")</f>
        <v/>
      </c>
      <c r="L507" s="3">
        <f>IF(AND('Data Source'!B507&lt;&gt;"",'Data Source'!S507="F"),IF('Data Source'!AD507&gt;=5,"A+",IF('Data Source'!AD507&gt;=4,"A",IF('Data Source'!AD507&gt;=3.5,"A-",IF('Data Source'!AD507&gt;=3,"B",IF('Data Source'!AD507&gt;=2,"C",IF('Data Source'!AD507&gt;=1,"D","F")))))),"")</f>
        <v/>
      </c>
      <c r="M507" s="3">
        <f>IF(AND('Data Source'!B507&lt;&gt;"",'Data Source'!S507="F"),IF('Data Source'!AE507&gt;=5,"A+",IF('Data Source'!AE507&gt;=4,"A",IF('Data Source'!AE507&gt;=3.5,"A-",IF('Data Source'!AE507&gt;=3,"B",IF('Data Source'!AE507&gt;=2,"C",IF('Data Source'!AE507&gt;=1,"D","F")))))),"")</f>
        <v/>
      </c>
      <c r="N507" s="3">
        <f>IF(AND('Data Source'!B507&lt;&gt;"",'Data Source'!S507="F"),IF('Data Source'!AF507&gt;=5,"A+",IF('Data Source'!AF507&gt;=4,"A",IF('Data Source'!AF507&gt;=3.5,"A-",IF('Data Source'!AF507&gt;=3,"B",IF('Data Source'!AF507&gt;=2,"C",IF('Data Source'!AF507&gt;=1,"D","F")))))),"")</f>
        <v/>
      </c>
      <c r="O507" s="3">
        <f>IF(AND('Data Source'!B507&lt;&gt;"",'Data Source'!S507="F"),IF('Data Source'!AG507&gt;=5,"A+",IF('Data Source'!AG507&gt;=4,"A",IF('Data Source'!AG507&gt;=3.5,"A-",IF('Data Source'!AG507&gt;=3,"B",IF('Data Source'!AG507&gt;=2,"C",IF('Data Source'!AG507&gt;=1,"D","F")))))),"")</f>
        <v/>
      </c>
      <c r="P507" s="5">
        <f>IF(AND('Data Source'!B507&lt;&gt;"",'Data Source'!S507="F"),'Data Source'!R507,"")</f>
        <v/>
      </c>
      <c r="Q507" s="3">
        <f>IF(AND('Data Source'!B507&lt;&gt;"",'Data Source'!S507="F"),'Data Source'!S507,"")</f>
        <v/>
      </c>
    </row>
    <row r="508">
      <c r="A508" s="3">
        <f>IF(AND('Data Source'!B508&lt;&gt;"",'Data Source'!S508="F"),COUNTIF('Data Source'!$S$3:S508,"F"),"")</f>
        <v/>
      </c>
      <c r="B508">
        <f>IF(AND('Data Source'!B508&lt;&gt;"",'Data Source'!S508="F"),'Data Source'!B508,"")</f>
        <v/>
      </c>
      <c r="C508" s="3">
        <f>IF(AND('Data Source'!B508&lt;&gt;"",'Data Source'!S508="F"),IF('Data Source'!U508&gt;=5,"A+",IF('Data Source'!U508&gt;=4,"A",IF('Data Source'!U508&gt;=3.5,"A-",IF('Data Source'!U508&gt;=3,"B",IF('Data Source'!U508&gt;=2,"C",IF('Data Source'!U508&gt;=1,"D","F")))))),"")</f>
        <v/>
      </c>
      <c r="D508" s="3">
        <f>IF(AND('Data Source'!B508&lt;&gt;"",'Data Source'!S508="F"),IF('Data Source'!V508&gt;=5,"A+",IF('Data Source'!V508&gt;=4,"A",IF('Data Source'!V508&gt;=3.5,"A-",IF('Data Source'!V508&gt;=3,"B",IF('Data Source'!V508&gt;=2,"C",IF('Data Source'!V508&gt;=1,"D","F")))))),"")</f>
        <v/>
      </c>
      <c r="E508" s="3">
        <f>IF(AND('Data Source'!B508&lt;&gt;"",'Data Source'!S508="F"),IF('Data Source'!W508&gt;=5,"A+",IF('Data Source'!W508&gt;=4,"A",IF('Data Source'!W508&gt;=3.5,"A-",IF('Data Source'!W508&gt;=3,"B",IF('Data Source'!W508&gt;=2,"C",IF('Data Source'!W508&gt;=1,"D","F")))))),"")</f>
        <v/>
      </c>
      <c r="F508" s="3">
        <f>IF(AND('Data Source'!B508&lt;&gt;"",'Data Source'!S508="F"),IF('Data Source'!X508&gt;=5,"A+",IF('Data Source'!X508&gt;=4,"A",IF('Data Source'!X508&gt;=3.5,"A-",IF('Data Source'!X508&gt;=3,"B",IF('Data Source'!X508&gt;=2,"C",IF('Data Source'!X508&gt;=1,"D","F")))))),"")</f>
        <v/>
      </c>
      <c r="G508" s="3">
        <f>IF(AND('Data Source'!B508&lt;&gt;"",'Data Source'!S508="F"),IF('Data Source'!Y508&gt;=5,"A+",IF('Data Source'!Y508&gt;=4,"A",IF('Data Source'!Y508&gt;=3.5,"A-",IF('Data Source'!Y508&gt;=3,"B",IF('Data Source'!Y508&gt;=2,"C",IF('Data Source'!Y508&gt;=1,"D","F")))))),"")</f>
        <v/>
      </c>
      <c r="H508" s="3">
        <f>IF(AND('Data Source'!B508&lt;&gt;"",'Data Source'!S508="F"),IF('Data Source'!Z508&gt;=5,"A+",IF('Data Source'!Z508&gt;=4,"A",IF('Data Source'!Z508&gt;=3.5,"A-",IF('Data Source'!Z508&gt;=3,"B",IF('Data Source'!Z508&gt;=2,"C",IF('Data Source'!Z508&gt;=1,"D","F")))))),"")</f>
        <v/>
      </c>
      <c r="I508" s="3">
        <f>IF(AND('Data Source'!B508&lt;&gt;"",'Data Source'!S508="F"),IF('Data Source'!AA508&gt;=5,"A+",IF('Data Source'!AA508&gt;=4,"A",IF('Data Source'!AA508&gt;=3.5,"A-",IF('Data Source'!AA508&gt;=3,"B",IF('Data Source'!AA508&gt;=2,"C",IF('Data Source'!AA508&gt;=1,"D","F")))))),"")</f>
        <v/>
      </c>
      <c r="J508" s="3">
        <f>IF(AND('Data Source'!B508&lt;&gt;"",'Data Source'!S508="F"),IF('Data Source'!AB508&gt;=5,"A+",IF('Data Source'!AB508&gt;=4,"A",IF('Data Source'!AB508&gt;=3.5,"A-",IF('Data Source'!AB508&gt;=3,"B",IF('Data Source'!AB508&gt;=2,"C",IF('Data Source'!AB508&gt;=1,"D","F")))))),"")</f>
        <v/>
      </c>
      <c r="K508" s="3">
        <f>IF(AND('Data Source'!B508&lt;&gt;"",'Data Source'!S508="F"),IF('Data Source'!AC508&gt;=5,"A+",IF('Data Source'!AC508&gt;=4,"A",IF('Data Source'!AC508&gt;=3.5,"A-",IF('Data Source'!AC508&gt;=3,"B",IF('Data Source'!AC508&gt;=2,"C",IF('Data Source'!AC508&gt;=1,"D","F")))))),"")</f>
        <v/>
      </c>
      <c r="L508" s="3">
        <f>IF(AND('Data Source'!B508&lt;&gt;"",'Data Source'!S508="F"),IF('Data Source'!AD508&gt;=5,"A+",IF('Data Source'!AD508&gt;=4,"A",IF('Data Source'!AD508&gt;=3.5,"A-",IF('Data Source'!AD508&gt;=3,"B",IF('Data Source'!AD508&gt;=2,"C",IF('Data Source'!AD508&gt;=1,"D","F")))))),"")</f>
        <v/>
      </c>
      <c r="M508" s="3">
        <f>IF(AND('Data Source'!B508&lt;&gt;"",'Data Source'!S508="F"),IF('Data Source'!AE508&gt;=5,"A+",IF('Data Source'!AE508&gt;=4,"A",IF('Data Source'!AE508&gt;=3.5,"A-",IF('Data Source'!AE508&gt;=3,"B",IF('Data Source'!AE508&gt;=2,"C",IF('Data Source'!AE508&gt;=1,"D","F")))))),"")</f>
        <v/>
      </c>
      <c r="N508" s="3">
        <f>IF(AND('Data Source'!B508&lt;&gt;"",'Data Source'!S508="F"),IF('Data Source'!AF508&gt;=5,"A+",IF('Data Source'!AF508&gt;=4,"A",IF('Data Source'!AF508&gt;=3.5,"A-",IF('Data Source'!AF508&gt;=3,"B",IF('Data Source'!AF508&gt;=2,"C",IF('Data Source'!AF508&gt;=1,"D","F")))))),"")</f>
        <v/>
      </c>
      <c r="O508" s="3">
        <f>IF(AND('Data Source'!B508&lt;&gt;"",'Data Source'!S508="F"),IF('Data Source'!AG508&gt;=5,"A+",IF('Data Source'!AG508&gt;=4,"A",IF('Data Source'!AG508&gt;=3.5,"A-",IF('Data Source'!AG508&gt;=3,"B",IF('Data Source'!AG508&gt;=2,"C",IF('Data Source'!AG508&gt;=1,"D","F")))))),"")</f>
        <v/>
      </c>
      <c r="P508" s="5">
        <f>IF(AND('Data Source'!B508&lt;&gt;"",'Data Source'!S508="F"),'Data Source'!R508,"")</f>
        <v/>
      </c>
      <c r="Q508" s="3">
        <f>IF(AND('Data Source'!B508&lt;&gt;"",'Data Source'!S508="F"),'Data Source'!S508,"")</f>
        <v/>
      </c>
    </row>
    <row r="509">
      <c r="A509" s="3">
        <f>IF(AND('Data Source'!B509&lt;&gt;"",'Data Source'!S509="F"),COUNTIF('Data Source'!$S$3:S509,"F"),"")</f>
        <v/>
      </c>
      <c r="B509">
        <f>IF(AND('Data Source'!B509&lt;&gt;"",'Data Source'!S509="F"),'Data Source'!B509,"")</f>
        <v/>
      </c>
      <c r="C509" s="3">
        <f>IF(AND('Data Source'!B509&lt;&gt;"",'Data Source'!S509="F"),IF('Data Source'!U509&gt;=5,"A+",IF('Data Source'!U509&gt;=4,"A",IF('Data Source'!U509&gt;=3.5,"A-",IF('Data Source'!U509&gt;=3,"B",IF('Data Source'!U509&gt;=2,"C",IF('Data Source'!U509&gt;=1,"D","F")))))),"")</f>
        <v/>
      </c>
      <c r="D509" s="3">
        <f>IF(AND('Data Source'!B509&lt;&gt;"",'Data Source'!S509="F"),IF('Data Source'!V509&gt;=5,"A+",IF('Data Source'!V509&gt;=4,"A",IF('Data Source'!V509&gt;=3.5,"A-",IF('Data Source'!V509&gt;=3,"B",IF('Data Source'!V509&gt;=2,"C",IF('Data Source'!V509&gt;=1,"D","F")))))),"")</f>
        <v/>
      </c>
      <c r="E509" s="3">
        <f>IF(AND('Data Source'!B509&lt;&gt;"",'Data Source'!S509="F"),IF('Data Source'!W509&gt;=5,"A+",IF('Data Source'!W509&gt;=4,"A",IF('Data Source'!W509&gt;=3.5,"A-",IF('Data Source'!W509&gt;=3,"B",IF('Data Source'!W509&gt;=2,"C",IF('Data Source'!W509&gt;=1,"D","F")))))),"")</f>
        <v/>
      </c>
      <c r="F509" s="3">
        <f>IF(AND('Data Source'!B509&lt;&gt;"",'Data Source'!S509="F"),IF('Data Source'!X509&gt;=5,"A+",IF('Data Source'!X509&gt;=4,"A",IF('Data Source'!X509&gt;=3.5,"A-",IF('Data Source'!X509&gt;=3,"B",IF('Data Source'!X509&gt;=2,"C",IF('Data Source'!X509&gt;=1,"D","F")))))),"")</f>
        <v/>
      </c>
      <c r="G509" s="3">
        <f>IF(AND('Data Source'!B509&lt;&gt;"",'Data Source'!S509="F"),IF('Data Source'!Y509&gt;=5,"A+",IF('Data Source'!Y509&gt;=4,"A",IF('Data Source'!Y509&gt;=3.5,"A-",IF('Data Source'!Y509&gt;=3,"B",IF('Data Source'!Y509&gt;=2,"C",IF('Data Source'!Y509&gt;=1,"D","F")))))),"")</f>
        <v/>
      </c>
      <c r="H509" s="3">
        <f>IF(AND('Data Source'!B509&lt;&gt;"",'Data Source'!S509="F"),IF('Data Source'!Z509&gt;=5,"A+",IF('Data Source'!Z509&gt;=4,"A",IF('Data Source'!Z509&gt;=3.5,"A-",IF('Data Source'!Z509&gt;=3,"B",IF('Data Source'!Z509&gt;=2,"C",IF('Data Source'!Z509&gt;=1,"D","F")))))),"")</f>
        <v/>
      </c>
      <c r="I509" s="3">
        <f>IF(AND('Data Source'!B509&lt;&gt;"",'Data Source'!S509="F"),IF('Data Source'!AA509&gt;=5,"A+",IF('Data Source'!AA509&gt;=4,"A",IF('Data Source'!AA509&gt;=3.5,"A-",IF('Data Source'!AA509&gt;=3,"B",IF('Data Source'!AA509&gt;=2,"C",IF('Data Source'!AA509&gt;=1,"D","F")))))),"")</f>
        <v/>
      </c>
      <c r="J509" s="3">
        <f>IF(AND('Data Source'!B509&lt;&gt;"",'Data Source'!S509="F"),IF('Data Source'!AB509&gt;=5,"A+",IF('Data Source'!AB509&gt;=4,"A",IF('Data Source'!AB509&gt;=3.5,"A-",IF('Data Source'!AB509&gt;=3,"B",IF('Data Source'!AB509&gt;=2,"C",IF('Data Source'!AB509&gt;=1,"D","F")))))),"")</f>
        <v/>
      </c>
      <c r="K509" s="3">
        <f>IF(AND('Data Source'!B509&lt;&gt;"",'Data Source'!S509="F"),IF('Data Source'!AC509&gt;=5,"A+",IF('Data Source'!AC509&gt;=4,"A",IF('Data Source'!AC509&gt;=3.5,"A-",IF('Data Source'!AC509&gt;=3,"B",IF('Data Source'!AC509&gt;=2,"C",IF('Data Source'!AC509&gt;=1,"D","F")))))),"")</f>
        <v/>
      </c>
      <c r="L509" s="3">
        <f>IF(AND('Data Source'!B509&lt;&gt;"",'Data Source'!S509="F"),IF('Data Source'!AD509&gt;=5,"A+",IF('Data Source'!AD509&gt;=4,"A",IF('Data Source'!AD509&gt;=3.5,"A-",IF('Data Source'!AD509&gt;=3,"B",IF('Data Source'!AD509&gt;=2,"C",IF('Data Source'!AD509&gt;=1,"D","F")))))),"")</f>
        <v/>
      </c>
      <c r="M509" s="3">
        <f>IF(AND('Data Source'!B509&lt;&gt;"",'Data Source'!S509="F"),IF('Data Source'!AE509&gt;=5,"A+",IF('Data Source'!AE509&gt;=4,"A",IF('Data Source'!AE509&gt;=3.5,"A-",IF('Data Source'!AE509&gt;=3,"B",IF('Data Source'!AE509&gt;=2,"C",IF('Data Source'!AE509&gt;=1,"D","F")))))),"")</f>
        <v/>
      </c>
      <c r="N509" s="3">
        <f>IF(AND('Data Source'!B509&lt;&gt;"",'Data Source'!S509="F"),IF('Data Source'!AF509&gt;=5,"A+",IF('Data Source'!AF509&gt;=4,"A",IF('Data Source'!AF509&gt;=3.5,"A-",IF('Data Source'!AF509&gt;=3,"B",IF('Data Source'!AF509&gt;=2,"C",IF('Data Source'!AF509&gt;=1,"D","F")))))),"")</f>
        <v/>
      </c>
      <c r="O509" s="3">
        <f>IF(AND('Data Source'!B509&lt;&gt;"",'Data Source'!S509="F"),IF('Data Source'!AG509&gt;=5,"A+",IF('Data Source'!AG509&gt;=4,"A",IF('Data Source'!AG509&gt;=3.5,"A-",IF('Data Source'!AG509&gt;=3,"B",IF('Data Source'!AG509&gt;=2,"C",IF('Data Source'!AG509&gt;=1,"D","F")))))),"")</f>
        <v/>
      </c>
      <c r="P509" s="5">
        <f>IF(AND('Data Source'!B509&lt;&gt;"",'Data Source'!S509="F"),'Data Source'!R509,"")</f>
        <v/>
      </c>
      <c r="Q509" s="3">
        <f>IF(AND('Data Source'!B509&lt;&gt;"",'Data Source'!S509="F"),'Data Source'!S509,"")</f>
        <v/>
      </c>
    </row>
    <row r="510">
      <c r="A510" s="3">
        <f>IF(AND('Data Source'!B510&lt;&gt;"",'Data Source'!S510="F"),COUNTIF('Data Source'!$S$3:S510,"F"),"")</f>
        <v/>
      </c>
      <c r="B510">
        <f>IF(AND('Data Source'!B510&lt;&gt;"",'Data Source'!S510="F"),'Data Source'!B510,"")</f>
        <v/>
      </c>
      <c r="C510" s="3">
        <f>IF(AND('Data Source'!B510&lt;&gt;"",'Data Source'!S510="F"),IF('Data Source'!U510&gt;=5,"A+",IF('Data Source'!U510&gt;=4,"A",IF('Data Source'!U510&gt;=3.5,"A-",IF('Data Source'!U510&gt;=3,"B",IF('Data Source'!U510&gt;=2,"C",IF('Data Source'!U510&gt;=1,"D","F")))))),"")</f>
        <v/>
      </c>
      <c r="D510" s="3">
        <f>IF(AND('Data Source'!B510&lt;&gt;"",'Data Source'!S510="F"),IF('Data Source'!V510&gt;=5,"A+",IF('Data Source'!V510&gt;=4,"A",IF('Data Source'!V510&gt;=3.5,"A-",IF('Data Source'!V510&gt;=3,"B",IF('Data Source'!V510&gt;=2,"C",IF('Data Source'!V510&gt;=1,"D","F")))))),"")</f>
        <v/>
      </c>
      <c r="E510" s="3">
        <f>IF(AND('Data Source'!B510&lt;&gt;"",'Data Source'!S510="F"),IF('Data Source'!W510&gt;=5,"A+",IF('Data Source'!W510&gt;=4,"A",IF('Data Source'!W510&gt;=3.5,"A-",IF('Data Source'!W510&gt;=3,"B",IF('Data Source'!W510&gt;=2,"C",IF('Data Source'!W510&gt;=1,"D","F")))))),"")</f>
        <v/>
      </c>
      <c r="F510" s="3">
        <f>IF(AND('Data Source'!B510&lt;&gt;"",'Data Source'!S510="F"),IF('Data Source'!X510&gt;=5,"A+",IF('Data Source'!X510&gt;=4,"A",IF('Data Source'!X510&gt;=3.5,"A-",IF('Data Source'!X510&gt;=3,"B",IF('Data Source'!X510&gt;=2,"C",IF('Data Source'!X510&gt;=1,"D","F")))))),"")</f>
        <v/>
      </c>
      <c r="G510" s="3">
        <f>IF(AND('Data Source'!B510&lt;&gt;"",'Data Source'!S510="F"),IF('Data Source'!Y510&gt;=5,"A+",IF('Data Source'!Y510&gt;=4,"A",IF('Data Source'!Y510&gt;=3.5,"A-",IF('Data Source'!Y510&gt;=3,"B",IF('Data Source'!Y510&gt;=2,"C",IF('Data Source'!Y510&gt;=1,"D","F")))))),"")</f>
        <v/>
      </c>
      <c r="H510" s="3">
        <f>IF(AND('Data Source'!B510&lt;&gt;"",'Data Source'!S510="F"),IF('Data Source'!Z510&gt;=5,"A+",IF('Data Source'!Z510&gt;=4,"A",IF('Data Source'!Z510&gt;=3.5,"A-",IF('Data Source'!Z510&gt;=3,"B",IF('Data Source'!Z510&gt;=2,"C",IF('Data Source'!Z510&gt;=1,"D","F")))))),"")</f>
        <v/>
      </c>
      <c r="I510" s="3">
        <f>IF(AND('Data Source'!B510&lt;&gt;"",'Data Source'!S510="F"),IF('Data Source'!AA510&gt;=5,"A+",IF('Data Source'!AA510&gt;=4,"A",IF('Data Source'!AA510&gt;=3.5,"A-",IF('Data Source'!AA510&gt;=3,"B",IF('Data Source'!AA510&gt;=2,"C",IF('Data Source'!AA510&gt;=1,"D","F")))))),"")</f>
        <v/>
      </c>
      <c r="J510" s="3">
        <f>IF(AND('Data Source'!B510&lt;&gt;"",'Data Source'!S510="F"),IF('Data Source'!AB510&gt;=5,"A+",IF('Data Source'!AB510&gt;=4,"A",IF('Data Source'!AB510&gt;=3.5,"A-",IF('Data Source'!AB510&gt;=3,"B",IF('Data Source'!AB510&gt;=2,"C",IF('Data Source'!AB510&gt;=1,"D","F")))))),"")</f>
        <v/>
      </c>
      <c r="K510" s="3">
        <f>IF(AND('Data Source'!B510&lt;&gt;"",'Data Source'!S510="F"),IF('Data Source'!AC510&gt;=5,"A+",IF('Data Source'!AC510&gt;=4,"A",IF('Data Source'!AC510&gt;=3.5,"A-",IF('Data Source'!AC510&gt;=3,"B",IF('Data Source'!AC510&gt;=2,"C",IF('Data Source'!AC510&gt;=1,"D","F")))))),"")</f>
        <v/>
      </c>
      <c r="L510" s="3">
        <f>IF(AND('Data Source'!B510&lt;&gt;"",'Data Source'!S510="F"),IF('Data Source'!AD510&gt;=5,"A+",IF('Data Source'!AD510&gt;=4,"A",IF('Data Source'!AD510&gt;=3.5,"A-",IF('Data Source'!AD510&gt;=3,"B",IF('Data Source'!AD510&gt;=2,"C",IF('Data Source'!AD510&gt;=1,"D","F")))))),"")</f>
        <v/>
      </c>
      <c r="M510" s="3">
        <f>IF(AND('Data Source'!B510&lt;&gt;"",'Data Source'!S510="F"),IF('Data Source'!AE510&gt;=5,"A+",IF('Data Source'!AE510&gt;=4,"A",IF('Data Source'!AE510&gt;=3.5,"A-",IF('Data Source'!AE510&gt;=3,"B",IF('Data Source'!AE510&gt;=2,"C",IF('Data Source'!AE510&gt;=1,"D","F")))))),"")</f>
        <v/>
      </c>
      <c r="N510" s="3">
        <f>IF(AND('Data Source'!B510&lt;&gt;"",'Data Source'!S510="F"),IF('Data Source'!AF510&gt;=5,"A+",IF('Data Source'!AF510&gt;=4,"A",IF('Data Source'!AF510&gt;=3.5,"A-",IF('Data Source'!AF510&gt;=3,"B",IF('Data Source'!AF510&gt;=2,"C",IF('Data Source'!AF510&gt;=1,"D","F")))))),"")</f>
        <v/>
      </c>
      <c r="O510" s="3">
        <f>IF(AND('Data Source'!B510&lt;&gt;"",'Data Source'!S510="F"),IF('Data Source'!AG510&gt;=5,"A+",IF('Data Source'!AG510&gt;=4,"A",IF('Data Source'!AG510&gt;=3.5,"A-",IF('Data Source'!AG510&gt;=3,"B",IF('Data Source'!AG510&gt;=2,"C",IF('Data Source'!AG510&gt;=1,"D","F")))))),"")</f>
        <v/>
      </c>
      <c r="P510" s="5">
        <f>IF(AND('Data Source'!B510&lt;&gt;"",'Data Source'!S510="F"),'Data Source'!R510,"")</f>
        <v/>
      </c>
      <c r="Q510" s="3">
        <f>IF(AND('Data Source'!B510&lt;&gt;"",'Data Source'!S510="F"),'Data Source'!S510,"")</f>
        <v/>
      </c>
    </row>
    <row r="511">
      <c r="A511" s="3">
        <f>IF(AND('Data Source'!B511&lt;&gt;"",'Data Source'!S511="F"),COUNTIF('Data Source'!$S$3:S511,"F"),"")</f>
        <v/>
      </c>
      <c r="B511">
        <f>IF(AND('Data Source'!B511&lt;&gt;"",'Data Source'!S511="F"),'Data Source'!B511,"")</f>
        <v/>
      </c>
      <c r="C511" s="3">
        <f>IF(AND('Data Source'!B511&lt;&gt;"",'Data Source'!S511="F"),IF('Data Source'!U511&gt;=5,"A+",IF('Data Source'!U511&gt;=4,"A",IF('Data Source'!U511&gt;=3.5,"A-",IF('Data Source'!U511&gt;=3,"B",IF('Data Source'!U511&gt;=2,"C",IF('Data Source'!U511&gt;=1,"D","F")))))),"")</f>
        <v/>
      </c>
      <c r="D511" s="3">
        <f>IF(AND('Data Source'!B511&lt;&gt;"",'Data Source'!S511="F"),IF('Data Source'!V511&gt;=5,"A+",IF('Data Source'!V511&gt;=4,"A",IF('Data Source'!V511&gt;=3.5,"A-",IF('Data Source'!V511&gt;=3,"B",IF('Data Source'!V511&gt;=2,"C",IF('Data Source'!V511&gt;=1,"D","F")))))),"")</f>
        <v/>
      </c>
      <c r="E511" s="3">
        <f>IF(AND('Data Source'!B511&lt;&gt;"",'Data Source'!S511="F"),IF('Data Source'!W511&gt;=5,"A+",IF('Data Source'!W511&gt;=4,"A",IF('Data Source'!W511&gt;=3.5,"A-",IF('Data Source'!W511&gt;=3,"B",IF('Data Source'!W511&gt;=2,"C",IF('Data Source'!W511&gt;=1,"D","F")))))),"")</f>
        <v/>
      </c>
      <c r="F511" s="3">
        <f>IF(AND('Data Source'!B511&lt;&gt;"",'Data Source'!S511="F"),IF('Data Source'!X511&gt;=5,"A+",IF('Data Source'!X511&gt;=4,"A",IF('Data Source'!X511&gt;=3.5,"A-",IF('Data Source'!X511&gt;=3,"B",IF('Data Source'!X511&gt;=2,"C",IF('Data Source'!X511&gt;=1,"D","F")))))),"")</f>
        <v/>
      </c>
      <c r="G511" s="3">
        <f>IF(AND('Data Source'!B511&lt;&gt;"",'Data Source'!S511="F"),IF('Data Source'!Y511&gt;=5,"A+",IF('Data Source'!Y511&gt;=4,"A",IF('Data Source'!Y511&gt;=3.5,"A-",IF('Data Source'!Y511&gt;=3,"B",IF('Data Source'!Y511&gt;=2,"C",IF('Data Source'!Y511&gt;=1,"D","F")))))),"")</f>
        <v/>
      </c>
      <c r="H511" s="3">
        <f>IF(AND('Data Source'!B511&lt;&gt;"",'Data Source'!S511="F"),IF('Data Source'!Z511&gt;=5,"A+",IF('Data Source'!Z511&gt;=4,"A",IF('Data Source'!Z511&gt;=3.5,"A-",IF('Data Source'!Z511&gt;=3,"B",IF('Data Source'!Z511&gt;=2,"C",IF('Data Source'!Z511&gt;=1,"D","F")))))),"")</f>
        <v/>
      </c>
      <c r="I511" s="3">
        <f>IF(AND('Data Source'!B511&lt;&gt;"",'Data Source'!S511="F"),IF('Data Source'!AA511&gt;=5,"A+",IF('Data Source'!AA511&gt;=4,"A",IF('Data Source'!AA511&gt;=3.5,"A-",IF('Data Source'!AA511&gt;=3,"B",IF('Data Source'!AA511&gt;=2,"C",IF('Data Source'!AA511&gt;=1,"D","F")))))),"")</f>
        <v/>
      </c>
      <c r="J511" s="3">
        <f>IF(AND('Data Source'!B511&lt;&gt;"",'Data Source'!S511="F"),IF('Data Source'!AB511&gt;=5,"A+",IF('Data Source'!AB511&gt;=4,"A",IF('Data Source'!AB511&gt;=3.5,"A-",IF('Data Source'!AB511&gt;=3,"B",IF('Data Source'!AB511&gt;=2,"C",IF('Data Source'!AB511&gt;=1,"D","F")))))),"")</f>
        <v/>
      </c>
      <c r="K511" s="3">
        <f>IF(AND('Data Source'!B511&lt;&gt;"",'Data Source'!S511="F"),IF('Data Source'!AC511&gt;=5,"A+",IF('Data Source'!AC511&gt;=4,"A",IF('Data Source'!AC511&gt;=3.5,"A-",IF('Data Source'!AC511&gt;=3,"B",IF('Data Source'!AC511&gt;=2,"C",IF('Data Source'!AC511&gt;=1,"D","F")))))),"")</f>
        <v/>
      </c>
      <c r="L511" s="3">
        <f>IF(AND('Data Source'!B511&lt;&gt;"",'Data Source'!S511="F"),IF('Data Source'!AD511&gt;=5,"A+",IF('Data Source'!AD511&gt;=4,"A",IF('Data Source'!AD511&gt;=3.5,"A-",IF('Data Source'!AD511&gt;=3,"B",IF('Data Source'!AD511&gt;=2,"C",IF('Data Source'!AD511&gt;=1,"D","F")))))),"")</f>
        <v/>
      </c>
      <c r="M511" s="3">
        <f>IF(AND('Data Source'!B511&lt;&gt;"",'Data Source'!S511="F"),IF('Data Source'!AE511&gt;=5,"A+",IF('Data Source'!AE511&gt;=4,"A",IF('Data Source'!AE511&gt;=3.5,"A-",IF('Data Source'!AE511&gt;=3,"B",IF('Data Source'!AE511&gt;=2,"C",IF('Data Source'!AE511&gt;=1,"D","F")))))),"")</f>
        <v/>
      </c>
      <c r="N511" s="3">
        <f>IF(AND('Data Source'!B511&lt;&gt;"",'Data Source'!S511="F"),IF('Data Source'!AF511&gt;=5,"A+",IF('Data Source'!AF511&gt;=4,"A",IF('Data Source'!AF511&gt;=3.5,"A-",IF('Data Source'!AF511&gt;=3,"B",IF('Data Source'!AF511&gt;=2,"C",IF('Data Source'!AF511&gt;=1,"D","F")))))),"")</f>
        <v/>
      </c>
      <c r="O511" s="3">
        <f>IF(AND('Data Source'!B511&lt;&gt;"",'Data Source'!S511="F"),IF('Data Source'!AG511&gt;=5,"A+",IF('Data Source'!AG511&gt;=4,"A",IF('Data Source'!AG511&gt;=3.5,"A-",IF('Data Source'!AG511&gt;=3,"B",IF('Data Source'!AG511&gt;=2,"C",IF('Data Source'!AG511&gt;=1,"D","F")))))),"")</f>
        <v/>
      </c>
      <c r="P511" s="5">
        <f>IF(AND('Data Source'!B511&lt;&gt;"",'Data Source'!S511="F"),'Data Source'!R511,"")</f>
        <v/>
      </c>
      <c r="Q511" s="3">
        <f>IF(AND('Data Source'!B511&lt;&gt;"",'Data Source'!S511="F"),'Data Source'!S511,"")</f>
        <v/>
      </c>
    </row>
    <row r="512">
      <c r="A512" s="3">
        <f>IF(AND('Data Source'!B512&lt;&gt;"",'Data Source'!S512="F"),COUNTIF('Data Source'!$S$3:S512,"F"),"")</f>
        <v/>
      </c>
      <c r="B512">
        <f>IF(AND('Data Source'!B512&lt;&gt;"",'Data Source'!S512="F"),'Data Source'!B512,"")</f>
        <v/>
      </c>
      <c r="C512" s="3">
        <f>IF(AND('Data Source'!B512&lt;&gt;"",'Data Source'!S512="F"),IF('Data Source'!U512&gt;=5,"A+",IF('Data Source'!U512&gt;=4,"A",IF('Data Source'!U512&gt;=3.5,"A-",IF('Data Source'!U512&gt;=3,"B",IF('Data Source'!U512&gt;=2,"C",IF('Data Source'!U512&gt;=1,"D","F")))))),"")</f>
        <v/>
      </c>
      <c r="D512" s="3">
        <f>IF(AND('Data Source'!B512&lt;&gt;"",'Data Source'!S512="F"),IF('Data Source'!V512&gt;=5,"A+",IF('Data Source'!V512&gt;=4,"A",IF('Data Source'!V512&gt;=3.5,"A-",IF('Data Source'!V512&gt;=3,"B",IF('Data Source'!V512&gt;=2,"C",IF('Data Source'!V512&gt;=1,"D","F")))))),"")</f>
        <v/>
      </c>
      <c r="E512" s="3">
        <f>IF(AND('Data Source'!B512&lt;&gt;"",'Data Source'!S512="F"),IF('Data Source'!W512&gt;=5,"A+",IF('Data Source'!W512&gt;=4,"A",IF('Data Source'!W512&gt;=3.5,"A-",IF('Data Source'!W512&gt;=3,"B",IF('Data Source'!W512&gt;=2,"C",IF('Data Source'!W512&gt;=1,"D","F")))))),"")</f>
        <v/>
      </c>
      <c r="F512" s="3">
        <f>IF(AND('Data Source'!B512&lt;&gt;"",'Data Source'!S512="F"),IF('Data Source'!X512&gt;=5,"A+",IF('Data Source'!X512&gt;=4,"A",IF('Data Source'!X512&gt;=3.5,"A-",IF('Data Source'!X512&gt;=3,"B",IF('Data Source'!X512&gt;=2,"C",IF('Data Source'!X512&gt;=1,"D","F")))))),"")</f>
        <v/>
      </c>
      <c r="G512" s="3">
        <f>IF(AND('Data Source'!B512&lt;&gt;"",'Data Source'!S512="F"),IF('Data Source'!Y512&gt;=5,"A+",IF('Data Source'!Y512&gt;=4,"A",IF('Data Source'!Y512&gt;=3.5,"A-",IF('Data Source'!Y512&gt;=3,"B",IF('Data Source'!Y512&gt;=2,"C",IF('Data Source'!Y512&gt;=1,"D","F")))))),"")</f>
        <v/>
      </c>
      <c r="H512" s="3">
        <f>IF(AND('Data Source'!B512&lt;&gt;"",'Data Source'!S512="F"),IF('Data Source'!Z512&gt;=5,"A+",IF('Data Source'!Z512&gt;=4,"A",IF('Data Source'!Z512&gt;=3.5,"A-",IF('Data Source'!Z512&gt;=3,"B",IF('Data Source'!Z512&gt;=2,"C",IF('Data Source'!Z512&gt;=1,"D","F")))))),"")</f>
        <v/>
      </c>
      <c r="I512" s="3">
        <f>IF(AND('Data Source'!B512&lt;&gt;"",'Data Source'!S512="F"),IF('Data Source'!AA512&gt;=5,"A+",IF('Data Source'!AA512&gt;=4,"A",IF('Data Source'!AA512&gt;=3.5,"A-",IF('Data Source'!AA512&gt;=3,"B",IF('Data Source'!AA512&gt;=2,"C",IF('Data Source'!AA512&gt;=1,"D","F")))))),"")</f>
        <v/>
      </c>
      <c r="J512" s="3">
        <f>IF(AND('Data Source'!B512&lt;&gt;"",'Data Source'!S512="F"),IF('Data Source'!AB512&gt;=5,"A+",IF('Data Source'!AB512&gt;=4,"A",IF('Data Source'!AB512&gt;=3.5,"A-",IF('Data Source'!AB512&gt;=3,"B",IF('Data Source'!AB512&gt;=2,"C",IF('Data Source'!AB512&gt;=1,"D","F")))))),"")</f>
        <v/>
      </c>
      <c r="K512" s="3">
        <f>IF(AND('Data Source'!B512&lt;&gt;"",'Data Source'!S512="F"),IF('Data Source'!AC512&gt;=5,"A+",IF('Data Source'!AC512&gt;=4,"A",IF('Data Source'!AC512&gt;=3.5,"A-",IF('Data Source'!AC512&gt;=3,"B",IF('Data Source'!AC512&gt;=2,"C",IF('Data Source'!AC512&gt;=1,"D","F")))))),"")</f>
        <v/>
      </c>
      <c r="L512" s="3">
        <f>IF(AND('Data Source'!B512&lt;&gt;"",'Data Source'!S512="F"),IF('Data Source'!AD512&gt;=5,"A+",IF('Data Source'!AD512&gt;=4,"A",IF('Data Source'!AD512&gt;=3.5,"A-",IF('Data Source'!AD512&gt;=3,"B",IF('Data Source'!AD512&gt;=2,"C",IF('Data Source'!AD512&gt;=1,"D","F")))))),"")</f>
        <v/>
      </c>
      <c r="M512" s="3">
        <f>IF(AND('Data Source'!B512&lt;&gt;"",'Data Source'!S512="F"),IF('Data Source'!AE512&gt;=5,"A+",IF('Data Source'!AE512&gt;=4,"A",IF('Data Source'!AE512&gt;=3.5,"A-",IF('Data Source'!AE512&gt;=3,"B",IF('Data Source'!AE512&gt;=2,"C",IF('Data Source'!AE512&gt;=1,"D","F")))))),"")</f>
        <v/>
      </c>
      <c r="N512" s="3">
        <f>IF(AND('Data Source'!B512&lt;&gt;"",'Data Source'!S512="F"),IF('Data Source'!AF512&gt;=5,"A+",IF('Data Source'!AF512&gt;=4,"A",IF('Data Source'!AF512&gt;=3.5,"A-",IF('Data Source'!AF512&gt;=3,"B",IF('Data Source'!AF512&gt;=2,"C",IF('Data Source'!AF512&gt;=1,"D","F")))))),"")</f>
        <v/>
      </c>
      <c r="O512" s="3">
        <f>IF(AND('Data Source'!B512&lt;&gt;"",'Data Source'!S512="F"),IF('Data Source'!AG512&gt;=5,"A+",IF('Data Source'!AG512&gt;=4,"A",IF('Data Source'!AG512&gt;=3.5,"A-",IF('Data Source'!AG512&gt;=3,"B",IF('Data Source'!AG512&gt;=2,"C",IF('Data Source'!AG512&gt;=1,"D","F")))))),"")</f>
        <v/>
      </c>
      <c r="P512" s="5">
        <f>IF(AND('Data Source'!B512&lt;&gt;"",'Data Source'!S512="F"),'Data Source'!R512,"")</f>
        <v/>
      </c>
      <c r="Q512" s="3">
        <f>IF(AND('Data Source'!B512&lt;&gt;"",'Data Source'!S512="F"),'Data Source'!S512,"")</f>
        <v/>
      </c>
    </row>
    <row r="513">
      <c r="A513" s="3">
        <f>IF(AND('Data Source'!B513&lt;&gt;"",'Data Source'!S513="F"),COUNTIF('Data Source'!$S$3:S513,"F"),"")</f>
        <v/>
      </c>
      <c r="B513">
        <f>IF(AND('Data Source'!B513&lt;&gt;"",'Data Source'!S513="F"),'Data Source'!B513,"")</f>
        <v/>
      </c>
      <c r="C513" s="3">
        <f>IF(AND('Data Source'!B513&lt;&gt;"",'Data Source'!S513="F"),IF('Data Source'!U513&gt;=5,"A+",IF('Data Source'!U513&gt;=4,"A",IF('Data Source'!U513&gt;=3.5,"A-",IF('Data Source'!U513&gt;=3,"B",IF('Data Source'!U513&gt;=2,"C",IF('Data Source'!U513&gt;=1,"D","F")))))),"")</f>
        <v/>
      </c>
      <c r="D513" s="3">
        <f>IF(AND('Data Source'!B513&lt;&gt;"",'Data Source'!S513="F"),IF('Data Source'!V513&gt;=5,"A+",IF('Data Source'!V513&gt;=4,"A",IF('Data Source'!V513&gt;=3.5,"A-",IF('Data Source'!V513&gt;=3,"B",IF('Data Source'!V513&gt;=2,"C",IF('Data Source'!V513&gt;=1,"D","F")))))),"")</f>
        <v/>
      </c>
      <c r="E513" s="3">
        <f>IF(AND('Data Source'!B513&lt;&gt;"",'Data Source'!S513="F"),IF('Data Source'!W513&gt;=5,"A+",IF('Data Source'!W513&gt;=4,"A",IF('Data Source'!W513&gt;=3.5,"A-",IF('Data Source'!W513&gt;=3,"B",IF('Data Source'!W513&gt;=2,"C",IF('Data Source'!W513&gt;=1,"D","F")))))),"")</f>
        <v/>
      </c>
      <c r="F513" s="3">
        <f>IF(AND('Data Source'!B513&lt;&gt;"",'Data Source'!S513="F"),IF('Data Source'!X513&gt;=5,"A+",IF('Data Source'!X513&gt;=4,"A",IF('Data Source'!X513&gt;=3.5,"A-",IF('Data Source'!X513&gt;=3,"B",IF('Data Source'!X513&gt;=2,"C",IF('Data Source'!X513&gt;=1,"D","F")))))),"")</f>
        <v/>
      </c>
      <c r="G513" s="3">
        <f>IF(AND('Data Source'!B513&lt;&gt;"",'Data Source'!S513="F"),IF('Data Source'!Y513&gt;=5,"A+",IF('Data Source'!Y513&gt;=4,"A",IF('Data Source'!Y513&gt;=3.5,"A-",IF('Data Source'!Y513&gt;=3,"B",IF('Data Source'!Y513&gt;=2,"C",IF('Data Source'!Y513&gt;=1,"D","F")))))),"")</f>
        <v/>
      </c>
      <c r="H513" s="3">
        <f>IF(AND('Data Source'!B513&lt;&gt;"",'Data Source'!S513="F"),IF('Data Source'!Z513&gt;=5,"A+",IF('Data Source'!Z513&gt;=4,"A",IF('Data Source'!Z513&gt;=3.5,"A-",IF('Data Source'!Z513&gt;=3,"B",IF('Data Source'!Z513&gt;=2,"C",IF('Data Source'!Z513&gt;=1,"D","F")))))),"")</f>
        <v/>
      </c>
      <c r="I513" s="3">
        <f>IF(AND('Data Source'!B513&lt;&gt;"",'Data Source'!S513="F"),IF('Data Source'!AA513&gt;=5,"A+",IF('Data Source'!AA513&gt;=4,"A",IF('Data Source'!AA513&gt;=3.5,"A-",IF('Data Source'!AA513&gt;=3,"B",IF('Data Source'!AA513&gt;=2,"C",IF('Data Source'!AA513&gt;=1,"D","F")))))),"")</f>
        <v/>
      </c>
      <c r="J513" s="3">
        <f>IF(AND('Data Source'!B513&lt;&gt;"",'Data Source'!S513="F"),IF('Data Source'!AB513&gt;=5,"A+",IF('Data Source'!AB513&gt;=4,"A",IF('Data Source'!AB513&gt;=3.5,"A-",IF('Data Source'!AB513&gt;=3,"B",IF('Data Source'!AB513&gt;=2,"C",IF('Data Source'!AB513&gt;=1,"D","F")))))),"")</f>
        <v/>
      </c>
      <c r="K513" s="3">
        <f>IF(AND('Data Source'!B513&lt;&gt;"",'Data Source'!S513="F"),IF('Data Source'!AC513&gt;=5,"A+",IF('Data Source'!AC513&gt;=4,"A",IF('Data Source'!AC513&gt;=3.5,"A-",IF('Data Source'!AC513&gt;=3,"B",IF('Data Source'!AC513&gt;=2,"C",IF('Data Source'!AC513&gt;=1,"D","F")))))),"")</f>
        <v/>
      </c>
      <c r="L513" s="3">
        <f>IF(AND('Data Source'!B513&lt;&gt;"",'Data Source'!S513="F"),IF('Data Source'!AD513&gt;=5,"A+",IF('Data Source'!AD513&gt;=4,"A",IF('Data Source'!AD513&gt;=3.5,"A-",IF('Data Source'!AD513&gt;=3,"B",IF('Data Source'!AD513&gt;=2,"C",IF('Data Source'!AD513&gt;=1,"D","F")))))),"")</f>
        <v/>
      </c>
      <c r="M513" s="3">
        <f>IF(AND('Data Source'!B513&lt;&gt;"",'Data Source'!S513="F"),IF('Data Source'!AE513&gt;=5,"A+",IF('Data Source'!AE513&gt;=4,"A",IF('Data Source'!AE513&gt;=3.5,"A-",IF('Data Source'!AE513&gt;=3,"B",IF('Data Source'!AE513&gt;=2,"C",IF('Data Source'!AE513&gt;=1,"D","F")))))),"")</f>
        <v/>
      </c>
      <c r="N513" s="3">
        <f>IF(AND('Data Source'!B513&lt;&gt;"",'Data Source'!S513="F"),IF('Data Source'!AF513&gt;=5,"A+",IF('Data Source'!AF513&gt;=4,"A",IF('Data Source'!AF513&gt;=3.5,"A-",IF('Data Source'!AF513&gt;=3,"B",IF('Data Source'!AF513&gt;=2,"C",IF('Data Source'!AF513&gt;=1,"D","F")))))),"")</f>
        <v/>
      </c>
      <c r="O513" s="3">
        <f>IF(AND('Data Source'!B513&lt;&gt;"",'Data Source'!S513="F"),IF('Data Source'!AG513&gt;=5,"A+",IF('Data Source'!AG513&gt;=4,"A",IF('Data Source'!AG513&gt;=3.5,"A-",IF('Data Source'!AG513&gt;=3,"B",IF('Data Source'!AG513&gt;=2,"C",IF('Data Source'!AG513&gt;=1,"D","F")))))),"")</f>
        <v/>
      </c>
      <c r="P513" s="5">
        <f>IF(AND('Data Source'!B513&lt;&gt;"",'Data Source'!S513="F"),'Data Source'!R513,"")</f>
        <v/>
      </c>
      <c r="Q513" s="3">
        <f>IF(AND('Data Source'!B513&lt;&gt;"",'Data Source'!S513="F"),'Data Source'!S513,"")</f>
        <v/>
      </c>
    </row>
    <row r="514">
      <c r="A514" s="3">
        <f>IF(AND('Data Source'!B514&lt;&gt;"",'Data Source'!S514="F"),COUNTIF('Data Source'!$S$3:S514,"F"),"")</f>
        <v/>
      </c>
      <c r="B514">
        <f>IF(AND('Data Source'!B514&lt;&gt;"",'Data Source'!S514="F"),'Data Source'!B514,"")</f>
        <v/>
      </c>
      <c r="C514" s="3">
        <f>IF(AND('Data Source'!B514&lt;&gt;"",'Data Source'!S514="F"),IF('Data Source'!U514&gt;=5,"A+",IF('Data Source'!U514&gt;=4,"A",IF('Data Source'!U514&gt;=3.5,"A-",IF('Data Source'!U514&gt;=3,"B",IF('Data Source'!U514&gt;=2,"C",IF('Data Source'!U514&gt;=1,"D","F")))))),"")</f>
        <v/>
      </c>
      <c r="D514" s="3">
        <f>IF(AND('Data Source'!B514&lt;&gt;"",'Data Source'!S514="F"),IF('Data Source'!V514&gt;=5,"A+",IF('Data Source'!V514&gt;=4,"A",IF('Data Source'!V514&gt;=3.5,"A-",IF('Data Source'!V514&gt;=3,"B",IF('Data Source'!V514&gt;=2,"C",IF('Data Source'!V514&gt;=1,"D","F")))))),"")</f>
        <v/>
      </c>
      <c r="E514" s="3">
        <f>IF(AND('Data Source'!B514&lt;&gt;"",'Data Source'!S514="F"),IF('Data Source'!W514&gt;=5,"A+",IF('Data Source'!W514&gt;=4,"A",IF('Data Source'!W514&gt;=3.5,"A-",IF('Data Source'!W514&gt;=3,"B",IF('Data Source'!W514&gt;=2,"C",IF('Data Source'!W514&gt;=1,"D","F")))))),"")</f>
        <v/>
      </c>
      <c r="F514" s="3">
        <f>IF(AND('Data Source'!B514&lt;&gt;"",'Data Source'!S514="F"),IF('Data Source'!X514&gt;=5,"A+",IF('Data Source'!X514&gt;=4,"A",IF('Data Source'!X514&gt;=3.5,"A-",IF('Data Source'!X514&gt;=3,"B",IF('Data Source'!X514&gt;=2,"C",IF('Data Source'!X514&gt;=1,"D","F")))))),"")</f>
        <v/>
      </c>
      <c r="G514" s="3">
        <f>IF(AND('Data Source'!B514&lt;&gt;"",'Data Source'!S514="F"),IF('Data Source'!Y514&gt;=5,"A+",IF('Data Source'!Y514&gt;=4,"A",IF('Data Source'!Y514&gt;=3.5,"A-",IF('Data Source'!Y514&gt;=3,"B",IF('Data Source'!Y514&gt;=2,"C",IF('Data Source'!Y514&gt;=1,"D","F")))))),"")</f>
        <v/>
      </c>
      <c r="H514" s="3">
        <f>IF(AND('Data Source'!B514&lt;&gt;"",'Data Source'!S514="F"),IF('Data Source'!Z514&gt;=5,"A+",IF('Data Source'!Z514&gt;=4,"A",IF('Data Source'!Z514&gt;=3.5,"A-",IF('Data Source'!Z514&gt;=3,"B",IF('Data Source'!Z514&gt;=2,"C",IF('Data Source'!Z514&gt;=1,"D","F")))))),"")</f>
        <v/>
      </c>
      <c r="I514" s="3">
        <f>IF(AND('Data Source'!B514&lt;&gt;"",'Data Source'!S514="F"),IF('Data Source'!AA514&gt;=5,"A+",IF('Data Source'!AA514&gt;=4,"A",IF('Data Source'!AA514&gt;=3.5,"A-",IF('Data Source'!AA514&gt;=3,"B",IF('Data Source'!AA514&gt;=2,"C",IF('Data Source'!AA514&gt;=1,"D","F")))))),"")</f>
        <v/>
      </c>
      <c r="J514" s="3">
        <f>IF(AND('Data Source'!B514&lt;&gt;"",'Data Source'!S514="F"),IF('Data Source'!AB514&gt;=5,"A+",IF('Data Source'!AB514&gt;=4,"A",IF('Data Source'!AB514&gt;=3.5,"A-",IF('Data Source'!AB514&gt;=3,"B",IF('Data Source'!AB514&gt;=2,"C",IF('Data Source'!AB514&gt;=1,"D","F")))))),"")</f>
        <v/>
      </c>
      <c r="K514" s="3">
        <f>IF(AND('Data Source'!B514&lt;&gt;"",'Data Source'!S514="F"),IF('Data Source'!AC514&gt;=5,"A+",IF('Data Source'!AC514&gt;=4,"A",IF('Data Source'!AC514&gt;=3.5,"A-",IF('Data Source'!AC514&gt;=3,"B",IF('Data Source'!AC514&gt;=2,"C",IF('Data Source'!AC514&gt;=1,"D","F")))))),"")</f>
        <v/>
      </c>
      <c r="L514" s="3">
        <f>IF(AND('Data Source'!B514&lt;&gt;"",'Data Source'!S514="F"),IF('Data Source'!AD514&gt;=5,"A+",IF('Data Source'!AD514&gt;=4,"A",IF('Data Source'!AD514&gt;=3.5,"A-",IF('Data Source'!AD514&gt;=3,"B",IF('Data Source'!AD514&gt;=2,"C",IF('Data Source'!AD514&gt;=1,"D","F")))))),"")</f>
        <v/>
      </c>
      <c r="M514" s="3">
        <f>IF(AND('Data Source'!B514&lt;&gt;"",'Data Source'!S514="F"),IF('Data Source'!AE514&gt;=5,"A+",IF('Data Source'!AE514&gt;=4,"A",IF('Data Source'!AE514&gt;=3.5,"A-",IF('Data Source'!AE514&gt;=3,"B",IF('Data Source'!AE514&gt;=2,"C",IF('Data Source'!AE514&gt;=1,"D","F")))))),"")</f>
        <v/>
      </c>
      <c r="N514" s="3">
        <f>IF(AND('Data Source'!B514&lt;&gt;"",'Data Source'!S514="F"),IF('Data Source'!AF514&gt;=5,"A+",IF('Data Source'!AF514&gt;=4,"A",IF('Data Source'!AF514&gt;=3.5,"A-",IF('Data Source'!AF514&gt;=3,"B",IF('Data Source'!AF514&gt;=2,"C",IF('Data Source'!AF514&gt;=1,"D","F")))))),"")</f>
        <v/>
      </c>
      <c r="O514" s="3">
        <f>IF(AND('Data Source'!B514&lt;&gt;"",'Data Source'!S514="F"),IF('Data Source'!AG514&gt;=5,"A+",IF('Data Source'!AG514&gt;=4,"A",IF('Data Source'!AG514&gt;=3.5,"A-",IF('Data Source'!AG514&gt;=3,"B",IF('Data Source'!AG514&gt;=2,"C",IF('Data Source'!AG514&gt;=1,"D","F")))))),"")</f>
        <v/>
      </c>
      <c r="P514" s="5">
        <f>IF(AND('Data Source'!B514&lt;&gt;"",'Data Source'!S514="F"),'Data Source'!R514,"")</f>
        <v/>
      </c>
      <c r="Q514" s="3">
        <f>IF(AND('Data Source'!B514&lt;&gt;"",'Data Source'!S514="F"),'Data Source'!S514,"")</f>
        <v/>
      </c>
    </row>
    <row r="515">
      <c r="A515" s="3">
        <f>IF(AND('Data Source'!B515&lt;&gt;"",'Data Source'!S515="F"),COUNTIF('Data Source'!$S$3:S515,"F"),"")</f>
        <v/>
      </c>
      <c r="B515">
        <f>IF(AND('Data Source'!B515&lt;&gt;"",'Data Source'!S515="F"),'Data Source'!B515,"")</f>
        <v/>
      </c>
      <c r="C515" s="3">
        <f>IF(AND('Data Source'!B515&lt;&gt;"",'Data Source'!S515="F"),IF('Data Source'!U515&gt;=5,"A+",IF('Data Source'!U515&gt;=4,"A",IF('Data Source'!U515&gt;=3.5,"A-",IF('Data Source'!U515&gt;=3,"B",IF('Data Source'!U515&gt;=2,"C",IF('Data Source'!U515&gt;=1,"D","F")))))),"")</f>
        <v/>
      </c>
      <c r="D515" s="3">
        <f>IF(AND('Data Source'!B515&lt;&gt;"",'Data Source'!S515="F"),IF('Data Source'!V515&gt;=5,"A+",IF('Data Source'!V515&gt;=4,"A",IF('Data Source'!V515&gt;=3.5,"A-",IF('Data Source'!V515&gt;=3,"B",IF('Data Source'!V515&gt;=2,"C",IF('Data Source'!V515&gt;=1,"D","F")))))),"")</f>
        <v/>
      </c>
      <c r="E515" s="3">
        <f>IF(AND('Data Source'!B515&lt;&gt;"",'Data Source'!S515="F"),IF('Data Source'!W515&gt;=5,"A+",IF('Data Source'!W515&gt;=4,"A",IF('Data Source'!W515&gt;=3.5,"A-",IF('Data Source'!W515&gt;=3,"B",IF('Data Source'!W515&gt;=2,"C",IF('Data Source'!W515&gt;=1,"D","F")))))),"")</f>
        <v/>
      </c>
      <c r="F515" s="3">
        <f>IF(AND('Data Source'!B515&lt;&gt;"",'Data Source'!S515="F"),IF('Data Source'!X515&gt;=5,"A+",IF('Data Source'!X515&gt;=4,"A",IF('Data Source'!X515&gt;=3.5,"A-",IF('Data Source'!X515&gt;=3,"B",IF('Data Source'!X515&gt;=2,"C",IF('Data Source'!X515&gt;=1,"D","F")))))),"")</f>
        <v/>
      </c>
      <c r="G515" s="3">
        <f>IF(AND('Data Source'!B515&lt;&gt;"",'Data Source'!S515="F"),IF('Data Source'!Y515&gt;=5,"A+",IF('Data Source'!Y515&gt;=4,"A",IF('Data Source'!Y515&gt;=3.5,"A-",IF('Data Source'!Y515&gt;=3,"B",IF('Data Source'!Y515&gt;=2,"C",IF('Data Source'!Y515&gt;=1,"D","F")))))),"")</f>
        <v/>
      </c>
      <c r="H515" s="3">
        <f>IF(AND('Data Source'!B515&lt;&gt;"",'Data Source'!S515="F"),IF('Data Source'!Z515&gt;=5,"A+",IF('Data Source'!Z515&gt;=4,"A",IF('Data Source'!Z515&gt;=3.5,"A-",IF('Data Source'!Z515&gt;=3,"B",IF('Data Source'!Z515&gt;=2,"C",IF('Data Source'!Z515&gt;=1,"D","F")))))),"")</f>
        <v/>
      </c>
      <c r="I515" s="3">
        <f>IF(AND('Data Source'!B515&lt;&gt;"",'Data Source'!S515="F"),IF('Data Source'!AA515&gt;=5,"A+",IF('Data Source'!AA515&gt;=4,"A",IF('Data Source'!AA515&gt;=3.5,"A-",IF('Data Source'!AA515&gt;=3,"B",IF('Data Source'!AA515&gt;=2,"C",IF('Data Source'!AA515&gt;=1,"D","F")))))),"")</f>
        <v/>
      </c>
      <c r="J515" s="3">
        <f>IF(AND('Data Source'!B515&lt;&gt;"",'Data Source'!S515="F"),IF('Data Source'!AB515&gt;=5,"A+",IF('Data Source'!AB515&gt;=4,"A",IF('Data Source'!AB515&gt;=3.5,"A-",IF('Data Source'!AB515&gt;=3,"B",IF('Data Source'!AB515&gt;=2,"C",IF('Data Source'!AB515&gt;=1,"D","F")))))),"")</f>
        <v/>
      </c>
      <c r="K515" s="3">
        <f>IF(AND('Data Source'!B515&lt;&gt;"",'Data Source'!S515="F"),IF('Data Source'!AC515&gt;=5,"A+",IF('Data Source'!AC515&gt;=4,"A",IF('Data Source'!AC515&gt;=3.5,"A-",IF('Data Source'!AC515&gt;=3,"B",IF('Data Source'!AC515&gt;=2,"C",IF('Data Source'!AC515&gt;=1,"D","F")))))),"")</f>
        <v/>
      </c>
      <c r="L515" s="3">
        <f>IF(AND('Data Source'!B515&lt;&gt;"",'Data Source'!S515="F"),IF('Data Source'!AD515&gt;=5,"A+",IF('Data Source'!AD515&gt;=4,"A",IF('Data Source'!AD515&gt;=3.5,"A-",IF('Data Source'!AD515&gt;=3,"B",IF('Data Source'!AD515&gt;=2,"C",IF('Data Source'!AD515&gt;=1,"D","F")))))),"")</f>
        <v/>
      </c>
      <c r="M515" s="3">
        <f>IF(AND('Data Source'!B515&lt;&gt;"",'Data Source'!S515="F"),IF('Data Source'!AE515&gt;=5,"A+",IF('Data Source'!AE515&gt;=4,"A",IF('Data Source'!AE515&gt;=3.5,"A-",IF('Data Source'!AE515&gt;=3,"B",IF('Data Source'!AE515&gt;=2,"C",IF('Data Source'!AE515&gt;=1,"D","F")))))),"")</f>
        <v/>
      </c>
      <c r="N515" s="3">
        <f>IF(AND('Data Source'!B515&lt;&gt;"",'Data Source'!S515="F"),IF('Data Source'!AF515&gt;=5,"A+",IF('Data Source'!AF515&gt;=4,"A",IF('Data Source'!AF515&gt;=3.5,"A-",IF('Data Source'!AF515&gt;=3,"B",IF('Data Source'!AF515&gt;=2,"C",IF('Data Source'!AF515&gt;=1,"D","F")))))),"")</f>
        <v/>
      </c>
      <c r="O515" s="3">
        <f>IF(AND('Data Source'!B515&lt;&gt;"",'Data Source'!S515="F"),IF('Data Source'!AG515&gt;=5,"A+",IF('Data Source'!AG515&gt;=4,"A",IF('Data Source'!AG515&gt;=3.5,"A-",IF('Data Source'!AG515&gt;=3,"B",IF('Data Source'!AG515&gt;=2,"C",IF('Data Source'!AG515&gt;=1,"D","F")))))),"")</f>
        <v/>
      </c>
      <c r="P515" s="5">
        <f>IF(AND('Data Source'!B515&lt;&gt;"",'Data Source'!S515="F"),'Data Source'!R515,"")</f>
        <v/>
      </c>
      <c r="Q515" s="3">
        <f>IF(AND('Data Source'!B515&lt;&gt;"",'Data Source'!S515="F"),'Data Source'!S515,"")</f>
        <v/>
      </c>
    </row>
    <row r="516">
      <c r="A516" s="3">
        <f>IF(AND('Data Source'!B516&lt;&gt;"",'Data Source'!S516="F"),COUNTIF('Data Source'!$S$3:S516,"F"),"")</f>
        <v/>
      </c>
      <c r="B516">
        <f>IF(AND('Data Source'!B516&lt;&gt;"",'Data Source'!S516="F"),'Data Source'!B516,"")</f>
        <v/>
      </c>
      <c r="C516" s="3">
        <f>IF(AND('Data Source'!B516&lt;&gt;"",'Data Source'!S516="F"),IF('Data Source'!U516&gt;=5,"A+",IF('Data Source'!U516&gt;=4,"A",IF('Data Source'!U516&gt;=3.5,"A-",IF('Data Source'!U516&gt;=3,"B",IF('Data Source'!U516&gt;=2,"C",IF('Data Source'!U516&gt;=1,"D","F")))))),"")</f>
        <v/>
      </c>
      <c r="D516" s="3">
        <f>IF(AND('Data Source'!B516&lt;&gt;"",'Data Source'!S516="F"),IF('Data Source'!V516&gt;=5,"A+",IF('Data Source'!V516&gt;=4,"A",IF('Data Source'!V516&gt;=3.5,"A-",IF('Data Source'!V516&gt;=3,"B",IF('Data Source'!V516&gt;=2,"C",IF('Data Source'!V516&gt;=1,"D","F")))))),"")</f>
        <v/>
      </c>
      <c r="E516" s="3">
        <f>IF(AND('Data Source'!B516&lt;&gt;"",'Data Source'!S516="F"),IF('Data Source'!W516&gt;=5,"A+",IF('Data Source'!W516&gt;=4,"A",IF('Data Source'!W516&gt;=3.5,"A-",IF('Data Source'!W516&gt;=3,"B",IF('Data Source'!W516&gt;=2,"C",IF('Data Source'!W516&gt;=1,"D","F")))))),"")</f>
        <v/>
      </c>
      <c r="F516" s="3">
        <f>IF(AND('Data Source'!B516&lt;&gt;"",'Data Source'!S516="F"),IF('Data Source'!X516&gt;=5,"A+",IF('Data Source'!X516&gt;=4,"A",IF('Data Source'!X516&gt;=3.5,"A-",IF('Data Source'!X516&gt;=3,"B",IF('Data Source'!X516&gt;=2,"C",IF('Data Source'!X516&gt;=1,"D","F")))))),"")</f>
        <v/>
      </c>
      <c r="G516" s="3">
        <f>IF(AND('Data Source'!B516&lt;&gt;"",'Data Source'!S516="F"),IF('Data Source'!Y516&gt;=5,"A+",IF('Data Source'!Y516&gt;=4,"A",IF('Data Source'!Y516&gt;=3.5,"A-",IF('Data Source'!Y516&gt;=3,"B",IF('Data Source'!Y516&gt;=2,"C",IF('Data Source'!Y516&gt;=1,"D","F")))))),"")</f>
        <v/>
      </c>
      <c r="H516" s="3">
        <f>IF(AND('Data Source'!B516&lt;&gt;"",'Data Source'!S516="F"),IF('Data Source'!Z516&gt;=5,"A+",IF('Data Source'!Z516&gt;=4,"A",IF('Data Source'!Z516&gt;=3.5,"A-",IF('Data Source'!Z516&gt;=3,"B",IF('Data Source'!Z516&gt;=2,"C",IF('Data Source'!Z516&gt;=1,"D","F")))))),"")</f>
        <v/>
      </c>
      <c r="I516" s="3">
        <f>IF(AND('Data Source'!B516&lt;&gt;"",'Data Source'!S516="F"),IF('Data Source'!AA516&gt;=5,"A+",IF('Data Source'!AA516&gt;=4,"A",IF('Data Source'!AA516&gt;=3.5,"A-",IF('Data Source'!AA516&gt;=3,"B",IF('Data Source'!AA516&gt;=2,"C",IF('Data Source'!AA516&gt;=1,"D","F")))))),"")</f>
        <v/>
      </c>
      <c r="J516" s="3">
        <f>IF(AND('Data Source'!B516&lt;&gt;"",'Data Source'!S516="F"),IF('Data Source'!AB516&gt;=5,"A+",IF('Data Source'!AB516&gt;=4,"A",IF('Data Source'!AB516&gt;=3.5,"A-",IF('Data Source'!AB516&gt;=3,"B",IF('Data Source'!AB516&gt;=2,"C",IF('Data Source'!AB516&gt;=1,"D","F")))))),"")</f>
        <v/>
      </c>
      <c r="K516" s="3">
        <f>IF(AND('Data Source'!B516&lt;&gt;"",'Data Source'!S516="F"),IF('Data Source'!AC516&gt;=5,"A+",IF('Data Source'!AC516&gt;=4,"A",IF('Data Source'!AC516&gt;=3.5,"A-",IF('Data Source'!AC516&gt;=3,"B",IF('Data Source'!AC516&gt;=2,"C",IF('Data Source'!AC516&gt;=1,"D","F")))))),"")</f>
        <v/>
      </c>
      <c r="L516" s="3">
        <f>IF(AND('Data Source'!B516&lt;&gt;"",'Data Source'!S516="F"),IF('Data Source'!AD516&gt;=5,"A+",IF('Data Source'!AD516&gt;=4,"A",IF('Data Source'!AD516&gt;=3.5,"A-",IF('Data Source'!AD516&gt;=3,"B",IF('Data Source'!AD516&gt;=2,"C",IF('Data Source'!AD516&gt;=1,"D","F")))))),"")</f>
        <v/>
      </c>
      <c r="M516" s="3">
        <f>IF(AND('Data Source'!B516&lt;&gt;"",'Data Source'!S516="F"),IF('Data Source'!AE516&gt;=5,"A+",IF('Data Source'!AE516&gt;=4,"A",IF('Data Source'!AE516&gt;=3.5,"A-",IF('Data Source'!AE516&gt;=3,"B",IF('Data Source'!AE516&gt;=2,"C",IF('Data Source'!AE516&gt;=1,"D","F")))))),"")</f>
        <v/>
      </c>
      <c r="N516" s="3">
        <f>IF(AND('Data Source'!B516&lt;&gt;"",'Data Source'!S516="F"),IF('Data Source'!AF516&gt;=5,"A+",IF('Data Source'!AF516&gt;=4,"A",IF('Data Source'!AF516&gt;=3.5,"A-",IF('Data Source'!AF516&gt;=3,"B",IF('Data Source'!AF516&gt;=2,"C",IF('Data Source'!AF516&gt;=1,"D","F")))))),"")</f>
        <v/>
      </c>
      <c r="O516" s="3">
        <f>IF(AND('Data Source'!B516&lt;&gt;"",'Data Source'!S516="F"),IF('Data Source'!AG516&gt;=5,"A+",IF('Data Source'!AG516&gt;=4,"A",IF('Data Source'!AG516&gt;=3.5,"A-",IF('Data Source'!AG516&gt;=3,"B",IF('Data Source'!AG516&gt;=2,"C",IF('Data Source'!AG516&gt;=1,"D","F")))))),"")</f>
        <v/>
      </c>
      <c r="P516" s="5">
        <f>IF(AND('Data Source'!B516&lt;&gt;"",'Data Source'!S516="F"),'Data Source'!R516,"")</f>
        <v/>
      </c>
      <c r="Q516" s="3">
        <f>IF(AND('Data Source'!B516&lt;&gt;"",'Data Source'!S516="F"),'Data Source'!S516,"")</f>
        <v/>
      </c>
    </row>
    <row r="517">
      <c r="A517" s="3">
        <f>IF(AND('Data Source'!B517&lt;&gt;"",'Data Source'!S517="F"),COUNTIF('Data Source'!$S$3:S517,"F"),"")</f>
        <v/>
      </c>
      <c r="B517">
        <f>IF(AND('Data Source'!B517&lt;&gt;"",'Data Source'!S517="F"),'Data Source'!B517,"")</f>
        <v/>
      </c>
      <c r="C517" s="3">
        <f>IF(AND('Data Source'!B517&lt;&gt;"",'Data Source'!S517="F"),IF('Data Source'!U517&gt;=5,"A+",IF('Data Source'!U517&gt;=4,"A",IF('Data Source'!U517&gt;=3.5,"A-",IF('Data Source'!U517&gt;=3,"B",IF('Data Source'!U517&gt;=2,"C",IF('Data Source'!U517&gt;=1,"D","F")))))),"")</f>
        <v/>
      </c>
      <c r="D517" s="3">
        <f>IF(AND('Data Source'!B517&lt;&gt;"",'Data Source'!S517="F"),IF('Data Source'!V517&gt;=5,"A+",IF('Data Source'!V517&gt;=4,"A",IF('Data Source'!V517&gt;=3.5,"A-",IF('Data Source'!V517&gt;=3,"B",IF('Data Source'!V517&gt;=2,"C",IF('Data Source'!V517&gt;=1,"D","F")))))),"")</f>
        <v/>
      </c>
      <c r="E517" s="3">
        <f>IF(AND('Data Source'!B517&lt;&gt;"",'Data Source'!S517="F"),IF('Data Source'!W517&gt;=5,"A+",IF('Data Source'!W517&gt;=4,"A",IF('Data Source'!W517&gt;=3.5,"A-",IF('Data Source'!W517&gt;=3,"B",IF('Data Source'!W517&gt;=2,"C",IF('Data Source'!W517&gt;=1,"D","F")))))),"")</f>
        <v/>
      </c>
      <c r="F517" s="3">
        <f>IF(AND('Data Source'!B517&lt;&gt;"",'Data Source'!S517="F"),IF('Data Source'!X517&gt;=5,"A+",IF('Data Source'!X517&gt;=4,"A",IF('Data Source'!X517&gt;=3.5,"A-",IF('Data Source'!X517&gt;=3,"B",IF('Data Source'!X517&gt;=2,"C",IF('Data Source'!X517&gt;=1,"D","F")))))),"")</f>
        <v/>
      </c>
      <c r="G517" s="3">
        <f>IF(AND('Data Source'!B517&lt;&gt;"",'Data Source'!S517="F"),IF('Data Source'!Y517&gt;=5,"A+",IF('Data Source'!Y517&gt;=4,"A",IF('Data Source'!Y517&gt;=3.5,"A-",IF('Data Source'!Y517&gt;=3,"B",IF('Data Source'!Y517&gt;=2,"C",IF('Data Source'!Y517&gt;=1,"D","F")))))),"")</f>
        <v/>
      </c>
      <c r="H517" s="3">
        <f>IF(AND('Data Source'!B517&lt;&gt;"",'Data Source'!S517="F"),IF('Data Source'!Z517&gt;=5,"A+",IF('Data Source'!Z517&gt;=4,"A",IF('Data Source'!Z517&gt;=3.5,"A-",IF('Data Source'!Z517&gt;=3,"B",IF('Data Source'!Z517&gt;=2,"C",IF('Data Source'!Z517&gt;=1,"D","F")))))),"")</f>
        <v/>
      </c>
      <c r="I517" s="3">
        <f>IF(AND('Data Source'!B517&lt;&gt;"",'Data Source'!S517="F"),IF('Data Source'!AA517&gt;=5,"A+",IF('Data Source'!AA517&gt;=4,"A",IF('Data Source'!AA517&gt;=3.5,"A-",IF('Data Source'!AA517&gt;=3,"B",IF('Data Source'!AA517&gt;=2,"C",IF('Data Source'!AA517&gt;=1,"D","F")))))),"")</f>
        <v/>
      </c>
      <c r="J517" s="3">
        <f>IF(AND('Data Source'!B517&lt;&gt;"",'Data Source'!S517="F"),IF('Data Source'!AB517&gt;=5,"A+",IF('Data Source'!AB517&gt;=4,"A",IF('Data Source'!AB517&gt;=3.5,"A-",IF('Data Source'!AB517&gt;=3,"B",IF('Data Source'!AB517&gt;=2,"C",IF('Data Source'!AB517&gt;=1,"D","F")))))),"")</f>
        <v/>
      </c>
      <c r="K517" s="3">
        <f>IF(AND('Data Source'!B517&lt;&gt;"",'Data Source'!S517="F"),IF('Data Source'!AC517&gt;=5,"A+",IF('Data Source'!AC517&gt;=4,"A",IF('Data Source'!AC517&gt;=3.5,"A-",IF('Data Source'!AC517&gt;=3,"B",IF('Data Source'!AC517&gt;=2,"C",IF('Data Source'!AC517&gt;=1,"D","F")))))),"")</f>
        <v/>
      </c>
      <c r="L517" s="3">
        <f>IF(AND('Data Source'!B517&lt;&gt;"",'Data Source'!S517="F"),IF('Data Source'!AD517&gt;=5,"A+",IF('Data Source'!AD517&gt;=4,"A",IF('Data Source'!AD517&gt;=3.5,"A-",IF('Data Source'!AD517&gt;=3,"B",IF('Data Source'!AD517&gt;=2,"C",IF('Data Source'!AD517&gt;=1,"D","F")))))),"")</f>
        <v/>
      </c>
      <c r="M517" s="3">
        <f>IF(AND('Data Source'!B517&lt;&gt;"",'Data Source'!S517="F"),IF('Data Source'!AE517&gt;=5,"A+",IF('Data Source'!AE517&gt;=4,"A",IF('Data Source'!AE517&gt;=3.5,"A-",IF('Data Source'!AE517&gt;=3,"B",IF('Data Source'!AE517&gt;=2,"C",IF('Data Source'!AE517&gt;=1,"D","F")))))),"")</f>
        <v/>
      </c>
      <c r="N517" s="3">
        <f>IF(AND('Data Source'!B517&lt;&gt;"",'Data Source'!S517="F"),IF('Data Source'!AF517&gt;=5,"A+",IF('Data Source'!AF517&gt;=4,"A",IF('Data Source'!AF517&gt;=3.5,"A-",IF('Data Source'!AF517&gt;=3,"B",IF('Data Source'!AF517&gt;=2,"C",IF('Data Source'!AF517&gt;=1,"D","F")))))),"")</f>
        <v/>
      </c>
      <c r="O517" s="3">
        <f>IF(AND('Data Source'!B517&lt;&gt;"",'Data Source'!S517="F"),IF('Data Source'!AG517&gt;=5,"A+",IF('Data Source'!AG517&gt;=4,"A",IF('Data Source'!AG517&gt;=3.5,"A-",IF('Data Source'!AG517&gt;=3,"B",IF('Data Source'!AG517&gt;=2,"C",IF('Data Source'!AG517&gt;=1,"D","F")))))),"")</f>
        <v/>
      </c>
      <c r="P517" s="5">
        <f>IF(AND('Data Source'!B517&lt;&gt;"",'Data Source'!S517="F"),'Data Source'!R517,"")</f>
        <v/>
      </c>
      <c r="Q517" s="3">
        <f>IF(AND('Data Source'!B517&lt;&gt;"",'Data Source'!S517="F"),'Data Source'!S517,"")</f>
        <v/>
      </c>
    </row>
    <row r="518">
      <c r="A518" s="3">
        <f>IF(AND('Data Source'!B518&lt;&gt;"",'Data Source'!S518="F"),COUNTIF('Data Source'!$S$3:S518,"F"),"")</f>
        <v/>
      </c>
      <c r="B518">
        <f>IF(AND('Data Source'!B518&lt;&gt;"",'Data Source'!S518="F"),'Data Source'!B518,"")</f>
        <v/>
      </c>
      <c r="C518" s="3">
        <f>IF(AND('Data Source'!B518&lt;&gt;"",'Data Source'!S518="F"),IF('Data Source'!U518&gt;=5,"A+",IF('Data Source'!U518&gt;=4,"A",IF('Data Source'!U518&gt;=3.5,"A-",IF('Data Source'!U518&gt;=3,"B",IF('Data Source'!U518&gt;=2,"C",IF('Data Source'!U518&gt;=1,"D","F")))))),"")</f>
        <v/>
      </c>
      <c r="D518" s="3">
        <f>IF(AND('Data Source'!B518&lt;&gt;"",'Data Source'!S518="F"),IF('Data Source'!V518&gt;=5,"A+",IF('Data Source'!V518&gt;=4,"A",IF('Data Source'!V518&gt;=3.5,"A-",IF('Data Source'!V518&gt;=3,"B",IF('Data Source'!V518&gt;=2,"C",IF('Data Source'!V518&gt;=1,"D","F")))))),"")</f>
        <v/>
      </c>
      <c r="E518" s="3">
        <f>IF(AND('Data Source'!B518&lt;&gt;"",'Data Source'!S518="F"),IF('Data Source'!W518&gt;=5,"A+",IF('Data Source'!W518&gt;=4,"A",IF('Data Source'!W518&gt;=3.5,"A-",IF('Data Source'!W518&gt;=3,"B",IF('Data Source'!W518&gt;=2,"C",IF('Data Source'!W518&gt;=1,"D","F")))))),"")</f>
        <v/>
      </c>
      <c r="F518" s="3">
        <f>IF(AND('Data Source'!B518&lt;&gt;"",'Data Source'!S518="F"),IF('Data Source'!X518&gt;=5,"A+",IF('Data Source'!X518&gt;=4,"A",IF('Data Source'!X518&gt;=3.5,"A-",IF('Data Source'!X518&gt;=3,"B",IF('Data Source'!X518&gt;=2,"C",IF('Data Source'!X518&gt;=1,"D","F")))))),"")</f>
        <v/>
      </c>
      <c r="G518" s="3">
        <f>IF(AND('Data Source'!B518&lt;&gt;"",'Data Source'!S518="F"),IF('Data Source'!Y518&gt;=5,"A+",IF('Data Source'!Y518&gt;=4,"A",IF('Data Source'!Y518&gt;=3.5,"A-",IF('Data Source'!Y518&gt;=3,"B",IF('Data Source'!Y518&gt;=2,"C",IF('Data Source'!Y518&gt;=1,"D","F")))))),"")</f>
        <v/>
      </c>
      <c r="H518" s="3">
        <f>IF(AND('Data Source'!B518&lt;&gt;"",'Data Source'!S518="F"),IF('Data Source'!Z518&gt;=5,"A+",IF('Data Source'!Z518&gt;=4,"A",IF('Data Source'!Z518&gt;=3.5,"A-",IF('Data Source'!Z518&gt;=3,"B",IF('Data Source'!Z518&gt;=2,"C",IF('Data Source'!Z518&gt;=1,"D","F")))))),"")</f>
        <v/>
      </c>
      <c r="I518" s="3">
        <f>IF(AND('Data Source'!B518&lt;&gt;"",'Data Source'!S518="F"),IF('Data Source'!AA518&gt;=5,"A+",IF('Data Source'!AA518&gt;=4,"A",IF('Data Source'!AA518&gt;=3.5,"A-",IF('Data Source'!AA518&gt;=3,"B",IF('Data Source'!AA518&gt;=2,"C",IF('Data Source'!AA518&gt;=1,"D","F")))))),"")</f>
        <v/>
      </c>
      <c r="J518" s="3">
        <f>IF(AND('Data Source'!B518&lt;&gt;"",'Data Source'!S518="F"),IF('Data Source'!AB518&gt;=5,"A+",IF('Data Source'!AB518&gt;=4,"A",IF('Data Source'!AB518&gt;=3.5,"A-",IF('Data Source'!AB518&gt;=3,"B",IF('Data Source'!AB518&gt;=2,"C",IF('Data Source'!AB518&gt;=1,"D","F")))))),"")</f>
        <v/>
      </c>
      <c r="K518" s="3">
        <f>IF(AND('Data Source'!B518&lt;&gt;"",'Data Source'!S518="F"),IF('Data Source'!AC518&gt;=5,"A+",IF('Data Source'!AC518&gt;=4,"A",IF('Data Source'!AC518&gt;=3.5,"A-",IF('Data Source'!AC518&gt;=3,"B",IF('Data Source'!AC518&gt;=2,"C",IF('Data Source'!AC518&gt;=1,"D","F")))))),"")</f>
        <v/>
      </c>
      <c r="L518" s="3">
        <f>IF(AND('Data Source'!B518&lt;&gt;"",'Data Source'!S518="F"),IF('Data Source'!AD518&gt;=5,"A+",IF('Data Source'!AD518&gt;=4,"A",IF('Data Source'!AD518&gt;=3.5,"A-",IF('Data Source'!AD518&gt;=3,"B",IF('Data Source'!AD518&gt;=2,"C",IF('Data Source'!AD518&gt;=1,"D","F")))))),"")</f>
        <v/>
      </c>
      <c r="M518" s="3">
        <f>IF(AND('Data Source'!B518&lt;&gt;"",'Data Source'!S518="F"),IF('Data Source'!AE518&gt;=5,"A+",IF('Data Source'!AE518&gt;=4,"A",IF('Data Source'!AE518&gt;=3.5,"A-",IF('Data Source'!AE518&gt;=3,"B",IF('Data Source'!AE518&gt;=2,"C",IF('Data Source'!AE518&gt;=1,"D","F")))))),"")</f>
        <v/>
      </c>
      <c r="N518" s="3">
        <f>IF(AND('Data Source'!B518&lt;&gt;"",'Data Source'!S518="F"),IF('Data Source'!AF518&gt;=5,"A+",IF('Data Source'!AF518&gt;=4,"A",IF('Data Source'!AF518&gt;=3.5,"A-",IF('Data Source'!AF518&gt;=3,"B",IF('Data Source'!AF518&gt;=2,"C",IF('Data Source'!AF518&gt;=1,"D","F")))))),"")</f>
        <v/>
      </c>
      <c r="O518" s="3">
        <f>IF(AND('Data Source'!B518&lt;&gt;"",'Data Source'!S518="F"),IF('Data Source'!AG518&gt;=5,"A+",IF('Data Source'!AG518&gt;=4,"A",IF('Data Source'!AG518&gt;=3.5,"A-",IF('Data Source'!AG518&gt;=3,"B",IF('Data Source'!AG518&gt;=2,"C",IF('Data Source'!AG518&gt;=1,"D","F")))))),"")</f>
        <v/>
      </c>
      <c r="P518" s="5">
        <f>IF(AND('Data Source'!B518&lt;&gt;"",'Data Source'!S518="F"),'Data Source'!R518,"")</f>
        <v/>
      </c>
      <c r="Q518" s="3">
        <f>IF(AND('Data Source'!B518&lt;&gt;"",'Data Source'!S518="F"),'Data Source'!S518,"")</f>
        <v/>
      </c>
    </row>
    <row r="519">
      <c r="A519" s="3">
        <f>IF(AND('Data Source'!B519&lt;&gt;"",'Data Source'!S519="F"),COUNTIF('Data Source'!$S$3:S519,"F"),"")</f>
        <v/>
      </c>
      <c r="B519">
        <f>IF(AND('Data Source'!B519&lt;&gt;"",'Data Source'!S519="F"),'Data Source'!B519,"")</f>
        <v/>
      </c>
      <c r="C519" s="3">
        <f>IF(AND('Data Source'!B519&lt;&gt;"",'Data Source'!S519="F"),IF('Data Source'!U519&gt;=5,"A+",IF('Data Source'!U519&gt;=4,"A",IF('Data Source'!U519&gt;=3.5,"A-",IF('Data Source'!U519&gt;=3,"B",IF('Data Source'!U519&gt;=2,"C",IF('Data Source'!U519&gt;=1,"D","F")))))),"")</f>
        <v/>
      </c>
      <c r="D519" s="3">
        <f>IF(AND('Data Source'!B519&lt;&gt;"",'Data Source'!S519="F"),IF('Data Source'!V519&gt;=5,"A+",IF('Data Source'!V519&gt;=4,"A",IF('Data Source'!V519&gt;=3.5,"A-",IF('Data Source'!V519&gt;=3,"B",IF('Data Source'!V519&gt;=2,"C",IF('Data Source'!V519&gt;=1,"D","F")))))),"")</f>
        <v/>
      </c>
      <c r="E519" s="3">
        <f>IF(AND('Data Source'!B519&lt;&gt;"",'Data Source'!S519="F"),IF('Data Source'!W519&gt;=5,"A+",IF('Data Source'!W519&gt;=4,"A",IF('Data Source'!W519&gt;=3.5,"A-",IF('Data Source'!W519&gt;=3,"B",IF('Data Source'!W519&gt;=2,"C",IF('Data Source'!W519&gt;=1,"D","F")))))),"")</f>
        <v/>
      </c>
      <c r="F519" s="3">
        <f>IF(AND('Data Source'!B519&lt;&gt;"",'Data Source'!S519="F"),IF('Data Source'!X519&gt;=5,"A+",IF('Data Source'!X519&gt;=4,"A",IF('Data Source'!X519&gt;=3.5,"A-",IF('Data Source'!X519&gt;=3,"B",IF('Data Source'!X519&gt;=2,"C",IF('Data Source'!X519&gt;=1,"D","F")))))),"")</f>
        <v/>
      </c>
      <c r="G519" s="3">
        <f>IF(AND('Data Source'!B519&lt;&gt;"",'Data Source'!S519="F"),IF('Data Source'!Y519&gt;=5,"A+",IF('Data Source'!Y519&gt;=4,"A",IF('Data Source'!Y519&gt;=3.5,"A-",IF('Data Source'!Y519&gt;=3,"B",IF('Data Source'!Y519&gt;=2,"C",IF('Data Source'!Y519&gt;=1,"D","F")))))),"")</f>
        <v/>
      </c>
      <c r="H519" s="3">
        <f>IF(AND('Data Source'!B519&lt;&gt;"",'Data Source'!S519="F"),IF('Data Source'!Z519&gt;=5,"A+",IF('Data Source'!Z519&gt;=4,"A",IF('Data Source'!Z519&gt;=3.5,"A-",IF('Data Source'!Z519&gt;=3,"B",IF('Data Source'!Z519&gt;=2,"C",IF('Data Source'!Z519&gt;=1,"D","F")))))),"")</f>
        <v/>
      </c>
      <c r="I519" s="3">
        <f>IF(AND('Data Source'!B519&lt;&gt;"",'Data Source'!S519="F"),IF('Data Source'!AA519&gt;=5,"A+",IF('Data Source'!AA519&gt;=4,"A",IF('Data Source'!AA519&gt;=3.5,"A-",IF('Data Source'!AA519&gt;=3,"B",IF('Data Source'!AA519&gt;=2,"C",IF('Data Source'!AA519&gt;=1,"D","F")))))),"")</f>
        <v/>
      </c>
      <c r="J519" s="3">
        <f>IF(AND('Data Source'!B519&lt;&gt;"",'Data Source'!S519="F"),IF('Data Source'!AB519&gt;=5,"A+",IF('Data Source'!AB519&gt;=4,"A",IF('Data Source'!AB519&gt;=3.5,"A-",IF('Data Source'!AB519&gt;=3,"B",IF('Data Source'!AB519&gt;=2,"C",IF('Data Source'!AB519&gt;=1,"D","F")))))),"")</f>
        <v/>
      </c>
      <c r="K519" s="3">
        <f>IF(AND('Data Source'!B519&lt;&gt;"",'Data Source'!S519="F"),IF('Data Source'!AC519&gt;=5,"A+",IF('Data Source'!AC519&gt;=4,"A",IF('Data Source'!AC519&gt;=3.5,"A-",IF('Data Source'!AC519&gt;=3,"B",IF('Data Source'!AC519&gt;=2,"C",IF('Data Source'!AC519&gt;=1,"D","F")))))),"")</f>
        <v/>
      </c>
      <c r="L519" s="3">
        <f>IF(AND('Data Source'!B519&lt;&gt;"",'Data Source'!S519="F"),IF('Data Source'!AD519&gt;=5,"A+",IF('Data Source'!AD519&gt;=4,"A",IF('Data Source'!AD519&gt;=3.5,"A-",IF('Data Source'!AD519&gt;=3,"B",IF('Data Source'!AD519&gt;=2,"C",IF('Data Source'!AD519&gt;=1,"D","F")))))),"")</f>
        <v/>
      </c>
      <c r="M519" s="3">
        <f>IF(AND('Data Source'!B519&lt;&gt;"",'Data Source'!S519="F"),IF('Data Source'!AE519&gt;=5,"A+",IF('Data Source'!AE519&gt;=4,"A",IF('Data Source'!AE519&gt;=3.5,"A-",IF('Data Source'!AE519&gt;=3,"B",IF('Data Source'!AE519&gt;=2,"C",IF('Data Source'!AE519&gt;=1,"D","F")))))),"")</f>
        <v/>
      </c>
      <c r="N519" s="3">
        <f>IF(AND('Data Source'!B519&lt;&gt;"",'Data Source'!S519="F"),IF('Data Source'!AF519&gt;=5,"A+",IF('Data Source'!AF519&gt;=4,"A",IF('Data Source'!AF519&gt;=3.5,"A-",IF('Data Source'!AF519&gt;=3,"B",IF('Data Source'!AF519&gt;=2,"C",IF('Data Source'!AF519&gt;=1,"D","F")))))),"")</f>
        <v/>
      </c>
      <c r="O519" s="3">
        <f>IF(AND('Data Source'!B519&lt;&gt;"",'Data Source'!S519="F"),IF('Data Source'!AG519&gt;=5,"A+",IF('Data Source'!AG519&gt;=4,"A",IF('Data Source'!AG519&gt;=3.5,"A-",IF('Data Source'!AG519&gt;=3,"B",IF('Data Source'!AG519&gt;=2,"C",IF('Data Source'!AG519&gt;=1,"D","F")))))),"")</f>
        <v/>
      </c>
      <c r="P519" s="5">
        <f>IF(AND('Data Source'!B519&lt;&gt;"",'Data Source'!S519="F"),'Data Source'!R519,"")</f>
        <v/>
      </c>
      <c r="Q519" s="3">
        <f>IF(AND('Data Source'!B519&lt;&gt;"",'Data Source'!S519="F"),'Data Source'!S519,"")</f>
        <v/>
      </c>
    </row>
    <row r="520">
      <c r="A520" s="3">
        <f>IF(AND('Data Source'!B520&lt;&gt;"",'Data Source'!S520="F"),COUNTIF('Data Source'!$S$3:S520,"F"),"")</f>
        <v/>
      </c>
      <c r="B520">
        <f>IF(AND('Data Source'!B520&lt;&gt;"",'Data Source'!S520="F"),'Data Source'!B520,"")</f>
        <v/>
      </c>
      <c r="C520" s="3">
        <f>IF(AND('Data Source'!B520&lt;&gt;"",'Data Source'!S520="F"),IF('Data Source'!U520&gt;=5,"A+",IF('Data Source'!U520&gt;=4,"A",IF('Data Source'!U520&gt;=3.5,"A-",IF('Data Source'!U520&gt;=3,"B",IF('Data Source'!U520&gt;=2,"C",IF('Data Source'!U520&gt;=1,"D","F")))))),"")</f>
        <v/>
      </c>
      <c r="D520" s="3">
        <f>IF(AND('Data Source'!B520&lt;&gt;"",'Data Source'!S520="F"),IF('Data Source'!V520&gt;=5,"A+",IF('Data Source'!V520&gt;=4,"A",IF('Data Source'!V520&gt;=3.5,"A-",IF('Data Source'!V520&gt;=3,"B",IF('Data Source'!V520&gt;=2,"C",IF('Data Source'!V520&gt;=1,"D","F")))))),"")</f>
        <v/>
      </c>
      <c r="E520" s="3">
        <f>IF(AND('Data Source'!B520&lt;&gt;"",'Data Source'!S520="F"),IF('Data Source'!W520&gt;=5,"A+",IF('Data Source'!W520&gt;=4,"A",IF('Data Source'!W520&gt;=3.5,"A-",IF('Data Source'!W520&gt;=3,"B",IF('Data Source'!W520&gt;=2,"C",IF('Data Source'!W520&gt;=1,"D","F")))))),"")</f>
        <v/>
      </c>
      <c r="F520" s="3">
        <f>IF(AND('Data Source'!B520&lt;&gt;"",'Data Source'!S520="F"),IF('Data Source'!X520&gt;=5,"A+",IF('Data Source'!X520&gt;=4,"A",IF('Data Source'!X520&gt;=3.5,"A-",IF('Data Source'!X520&gt;=3,"B",IF('Data Source'!X520&gt;=2,"C",IF('Data Source'!X520&gt;=1,"D","F")))))),"")</f>
        <v/>
      </c>
      <c r="G520" s="3">
        <f>IF(AND('Data Source'!B520&lt;&gt;"",'Data Source'!S520="F"),IF('Data Source'!Y520&gt;=5,"A+",IF('Data Source'!Y520&gt;=4,"A",IF('Data Source'!Y520&gt;=3.5,"A-",IF('Data Source'!Y520&gt;=3,"B",IF('Data Source'!Y520&gt;=2,"C",IF('Data Source'!Y520&gt;=1,"D","F")))))),"")</f>
        <v/>
      </c>
      <c r="H520" s="3">
        <f>IF(AND('Data Source'!B520&lt;&gt;"",'Data Source'!S520="F"),IF('Data Source'!Z520&gt;=5,"A+",IF('Data Source'!Z520&gt;=4,"A",IF('Data Source'!Z520&gt;=3.5,"A-",IF('Data Source'!Z520&gt;=3,"B",IF('Data Source'!Z520&gt;=2,"C",IF('Data Source'!Z520&gt;=1,"D","F")))))),"")</f>
        <v/>
      </c>
      <c r="I520" s="3">
        <f>IF(AND('Data Source'!B520&lt;&gt;"",'Data Source'!S520="F"),IF('Data Source'!AA520&gt;=5,"A+",IF('Data Source'!AA520&gt;=4,"A",IF('Data Source'!AA520&gt;=3.5,"A-",IF('Data Source'!AA520&gt;=3,"B",IF('Data Source'!AA520&gt;=2,"C",IF('Data Source'!AA520&gt;=1,"D","F")))))),"")</f>
        <v/>
      </c>
      <c r="J520" s="3">
        <f>IF(AND('Data Source'!B520&lt;&gt;"",'Data Source'!S520="F"),IF('Data Source'!AB520&gt;=5,"A+",IF('Data Source'!AB520&gt;=4,"A",IF('Data Source'!AB520&gt;=3.5,"A-",IF('Data Source'!AB520&gt;=3,"B",IF('Data Source'!AB520&gt;=2,"C",IF('Data Source'!AB520&gt;=1,"D","F")))))),"")</f>
        <v/>
      </c>
      <c r="K520" s="3">
        <f>IF(AND('Data Source'!B520&lt;&gt;"",'Data Source'!S520="F"),IF('Data Source'!AC520&gt;=5,"A+",IF('Data Source'!AC520&gt;=4,"A",IF('Data Source'!AC520&gt;=3.5,"A-",IF('Data Source'!AC520&gt;=3,"B",IF('Data Source'!AC520&gt;=2,"C",IF('Data Source'!AC520&gt;=1,"D","F")))))),"")</f>
        <v/>
      </c>
      <c r="L520" s="3">
        <f>IF(AND('Data Source'!B520&lt;&gt;"",'Data Source'!S520="F"),IF('Data Source'!AD520&gt;=5,"A+",IF('Data Source'!AD520&gt;=4,"A",IF('Data Source'!AD520&gt;=3.5,"A-",IF('Data Source'!AD520&gt;=3,"B",IF('Data Source'!AD520&gt;=2,"C",IF('Data Source'!AD520&gt;=1,"D","F")))))),"")</f>
        <v/>
      </c>
      <c r="M520" s="3">
        <f>IF(AND('Data Source'!B520&lt;&gt;"",'Data Source'!S520="F"),IF('Data Source'!AE520&gt;=5,"A+",IF('Data Source'!AE520&gt;=4,"A",IF('Data Source'!AE520&gt;=3.5,"A-",IF('Data Source'!AE520&gt;=3,"B",IF('Data Source'!AE520&gt;=2,"C",IF('Data Source'!AE520&gt;=1,"D","F")))))),"")</f>
        <v/>
      </c>
      <c r="N520" s="3">
        <f>IF(AND('Data Source'!B520&lt;&gt;"",'Data Source'!S520="F"),IF('Data Source'!AF520&gt;=5,"A+",IF('Data Source'!AF520&gt;=4,"A",IF('Data Source'!AF520&gt;=3.5,"A-",IF('Data Source'!AF520&gt;=3,"B",IF('Data Source'!AF520&gt;=2,"C",IF('Data Source'!AF520&gt;=1,"D","F")))))),"")</f>
        <v/>
      </c>
      <c r="O520" s="3">
        <f>IF(AND('Data Source'!B520&lt;&gt;"",'Data Source'!S520="F"),IF('Data Source'!AG520&gt;=5,"A+",IF('Data Source'!AG520&gt;=4,"A",IF('Data Source'!AG520&gt;=3.5,"A-",IF('Data Source'!AG520&gt;=3,"B",IF('Data Source'!AG520&gt;=2,"C",IF('Data Source'!AG520&gt;=1,"D","F")))))),"")</f>
        <v/>
      </c>
      <c r="P520" s="5">
        <f>IF(AND('Data Source'!B520&lt;&gt;"",'Data Source'!S520="F"),'Data Source'!R520,"")</f>
        <v/>
      </c>
      <c r="Q520" s="3">
        <f>IF(AND('Data Source'!B520&lt;&gt;"",'Data Source'!S520="F"),'Data Source'!S520,"")</f>
        <v/>
      </c>
    </row>
    <row r="521">
      <c r="A521" s="3">
        <f>IF(AND('Data Source'!B521&lt;&gt;"",'Data Source'!S521="F"),COUNTIF('Data Source'!$S$3:S521,"F"),"")</f>
        <v/>
      </c>
      <c r="B521">
        <f>IF(AND('Data Source'!B521&lt;&gt;"",'Data Source'!S521="F"),'Data Source'!B521,"")</f>
        <v/>
      </c>
      <c r="C521" s="3">
        <f>IF(AND('Data Source'!B521&lt;&gt;"",'Data Source'!S521="F"),IF('Data Source'!U521&gt;=5,"A+",IF('Data Source'!U521&gt;=4,"A",IF('Data Source'!U521&gt;=3.5,"A-",IF('Data Source'!U521&gt;=3,"B",IF('Data Source'!U521&gt;=2,"C",IF('Data Source'!U521&gt;=1,"D","F")))))),"")</f>
        <v/>
      </c>
      <c r="D521" s="3">
        <f>IF(AND('Data Source'!B521&lt;&gt;"",'Data Source'!S521="F"),IF('Data Source'!V521&gt;=5,"A+",IF('Data Source'!V521&gt;=4,"A",IF('Data Source'!V521&gt;=3.5,"A-",IF('Data Source'!V521&gt;=3,"B",IF('Data Source'!V521&gt;=2,"C",IF('Data Source'!V521&gt;=1,"D","F")))))),"")</f>
        <v/>
      </c>
      <c r="E521" s="3">
        <f>IF(AND('Data Source'!B521&lt;&gt;"",'Data Source'!S521="F"),IF('Data Source'!W521&gt;=5,"A+",IF('Data Source'!W521&gt;=4,"A",IF('Data Source'!W521&gt;=3.5,"A-",IF('Data Source'!W521&gt;=3,"B",IF('Data Source'!W521&gt;=2,"C",IF('Data Source'!W521&gt;=1,"D","F")))))),"")</f>
        <v/>
      </c>
      <c r="F521" s="3">
        <f>IF(AND('Data Source'!B521&lt;&gt;"",'Data Source'!S521="F"),IF('Data Source'!X521&gt;=5,"A+",IF('Data Source'!X521&gt;=4,"A",IF('Data Source'!X521&gt;=3.5,"A-",IF('Data Source'!X521&gt;=3,"B",IF('Data Source'!X521&gt;=2,"C",IF('Data Source'!X521&gt;=1,"D","F")))))),"")</f>
        <v/>
      </c>
      <c r="G521" s="3">
        <f>IF(AND('Data Source'!B521&lt;&gt;"",'Data Source'!S521="F"),IF('Data Source'!Y521&gt;=5,"A+",IF('Data Source'!Y521&gt;=4,"A",IF('Data Source'!Y521&gt;=3.5,"A-",IF('Data Source'!Y521&gt;=3,"B",IF('Data Source'!Y521&gt;=2,"C",IF('Data Source'!Y521&gt;=1,"D","F")))))),"")</f>
        <v/>
      </c>
      <c r="H521" s="3">
        <f>IF(AND('Data Source'!B521&lt;&gt;"",'Data Source'!S521="F"),IF('Data Source'!Z521&gt;=5,"A+",IF('Data Source'!Z521&gt;=4,"A",IF('Data Source'!Z521&gt;=3.5,"A-",IF('Data Source'!Z521&gt;=3,"B",IF('Data Source'!Z521&gt;=2,"C",IF('Data Source'!Z521&gt;=1,"D","F")))))),"")</f>
        <v/>
      </c>
      <c r="I521" s="3">
        <f>IF(AND('Data Source'!B521&lt;&gt;"",'Data Source'!S521="F"),IF('Data Source'!AA521&gt;=5,"A+",IF('Data Source'!AA521&gt;=4,"A",IF('Data Source'!AA521&gt;=3.5,"A-",IF('Data Source'!AA521&gt;=3,"B",IF('Data Source'!AA521&gt;=2,"C",IF('Data Source'!AA521&gt;=1,"D","F")))))),"")</f>
        <v/>
      </c>
      <c r="J521" s="3">
        <f>IF(AND('Data Source'!B521&lt;&gt;"",'Data Source'!S521="F"),IF('Data Source'!AB521&gt;=5,"A+",IF('Data Source'!AB521&gt;=4,"A",IF('Data Source'!AB521&gt;=3.5,"A-",IF('Data Source'!AB521&gt;=3,"B",IF('Data Source'!AB521&gt;=2,"C",IF('Data Source'!AB521&gt;=1,"D","F")))))),"")</f>
        <v/>
      </c>
      <c r="K521" s="3">
        <f>IF(AND('Data Source'!B521&lt;&gt;"",'Data Source'!S521="F"),IF('Data Source'!AC521&gt;=5,"A+",IF('Data Source'!AC521&gt;=4,"A",IF('Data Source'!AC521&gt;=3.5,"A-",IF('Data Source'!AC521&gt;=3,"B",IF('Data Source'!AC521&gt;=2,"C",IF('Data Source'!AC521&gt;=1,"D","F")))))),"")</f>
        <v/>
      </c>
      <c r="L521" s="3">
        <f>IF(AND('Data Source'!B521&lt;&gt;"",'Data Source'!S521="F"),IF('Data Source'!AD521&gt;=5,"A+",IF('Data Source'!AD521&gt;=4,"A",IF('Data Source'!AD521&gt;=3.5,"A-",IF('Data Source'!AD521&gt;=3,"B",IF('Data Source'!AD521&gt;=2,"C",IF('Data Source'!AD521&gt;=1,"D","F")))))),"")</f>
        <v/>
      </c>
      <c r="M521" s="3">
        <f>IF(AND('Data Source'!B521&lt;&gt;"",'Data Source'!S521="F"),IF('Data Source'!AE521&gt;=5,"A+",IF('Data Source'!AE521&gt;=4,"A",IF('Data Source'!AE521&gt;=3.5,"A-",IF('Data Source'!AE521&gt;=3,"B",IF('Data Source'!AE521&gt;=2,"C",IF('Data Source'!AE521&gt;=1,"D","F")))))),"")</f>
        <v/>
      </c>
      <c r="N521" s="3">
        <f>IF(AND('Data Source'!B521&lt;&gt;"",'Data Source'!S521="F"),IF('Data Source'!AF521&gt;=5,"A+",IF('Data Source'!AF521&gt;=4,"A",IF('Data Source'!AF521&gt;=3.5,"A-",IF('Data Source'!AF521&gt;=3,"B",IF('Data Source'!AF521&gt;=2,"C",IF('Data Source'!AF521&gt;=1,"D","F")))))),"")</f>
        <v/>
      </c>
      <c r="O521" s="3">
        <f>IF(AND('Data Source'!B521&lt;&gt;"",'Data Source'!S521="F"),IF('Data Source'!AG521&gt;=5,"A+",IF('Data Source'!AG521&gt;=4,"A",IF('Data Source'!AG521&gt;=3.5,"A-",IF('Data Source'!AG521&gt;=3,"B",IF('Data Source'!AG521&gt;=2,"C",IF('Data Source'!AG521&gt;=1,"D","F")))))),"")</f>
        <v/>
      </c>
      <c r="P521" s="5">
        <f>IF(AND('Data Source'!B521&lt;&gt;"",'Data Source'!S521="F"),'Data Source'!R521,"")</f>
        <v/>
      </c>
      <c r="Q521" s="3">
        <f>IF(AND('Data Source'!B521&lt;&gt;"",'Data Source'!S521="F"),'Data Source'!S521,"")</f>
        <v/>
      </c>
    </row>
    <row r="522">
      <c r="A522" s="3">
        <f>IF(AND('Data Source'!B522&lt;&gt;"",'Data Source'!S522="F"),COUNTIF('Data Source'!$S$3:S522,"F"),"")</f>
        <v/>
      </c>
      <c r="B522">
        <f>IF(AND('Data Source'!B522&lt;&gt;"",'Data Source'!S522="F"),'Data Source'!B522,"")</f>
        <v/>
      </c>
      <c r="C522" s="3">
        <f>IF(AND('Data Source'!B522&lt;&gt;"",'Data Source'!S522="F"),IF('Data Source'!U522&gt;=5,"A+",IF('Data Source'!U522&gt;=4,"A",IF('Data Source'!U522&gt;=3.5,"A-",IF('Data Source'!U522&gt;=3,"B",IF('Data Source'!U522&gt;=2,"C",IF('Data Source'!U522&gt;=1,"D","F")))))),"")</f>
        <v/>
      </c>
      <c r="D522" s="3">
        <f>IF(AND('Data Source'!B522&lt;&gt;"",'Data Source'!S522="F"),IF('Data Source'!V522&gt;=5,"A+",IF('Data Source'!V522&gt;=4,"A",IF('Data Source'!V522&gt;=3.5,"A-",IF('Data Source'!V522&gt;=3,"B",IF('Data Source'!V522&gt;=2,"C",IF('Data Source'!V522&gt;=1,"D","F")))))),"")</f>
        <v/>
      </c>
      <c r="E522" s="3">
        <f>IF(AND('Data Source'!B522&lt;&gt;"",'Data Source'!S522="F"),IF('Data Source'!W522&gt;=5,"A+",IF('Data Source'!W522&gt;=4,"A",IF('Data Source'!W522&gt;=3.5,"A-",IF('Data Source'!W522&gt;=3,"B",IF('Data Source'!W522&gt;=2,"C",IF('Data Source'!W522&gt;=1,"D","F")))))),"")</f>
        <v/>
      </c>
      <c r="F522" s="3">
        <f>IF(AND('Data Source'!B522&lt;&gt;"",'Data Source'!S522="F"),IF('Data Source'!X522&gt;=5,"A+",IF('Data Source'!X522&gt;=4,"A",IF('Data Source'!X522&gt;=3.5,"A-",IF('Data Source'!X522&gt;=3,"B",IF('Data Source'!X522&gt;=2,"C",IF('Data Source'!X522&gt;=1,"D","F")))))),"")</f>
        <v/>
      </c>
      <c r="G522" s="3">
        <f>IF(AND('Data Source'!B522&lt;&gt;"",'Data Source'!S522="F"),IF('Data Source'!Y522&gt;=5,"A+",IF('Data Source'!Y522&gt;=4,"A",IF('Data Source'!Y522&gt;=3.5,"A-",IF('Data Source'!Y522&gt;=3,"B",IF('Data Source'!Y522&gt;=2,"C",IF('Data Source'!Y522&gt;=1,"D","F")))))),"")</f>
        <v/>
      </c>
      <c r="H522" s="3">
        <f>IF(AND('Data Source'!B522&lt;&gt;"",'Data Source'!S522="F"),IF('Data Source'!Z522&gt;=5,"A+",IF('Data Source'!Z522&gt;=4,"A",IF('Data Source'!Z522&gt;=3.5,"A-",IF('Data Source'!Z522&gt;=3,"B",IF('Data Source'!Z522&gt;=2,"C",IF('Data Source'!Z522&gt;=1,"D","F")))))),"")</f>
        <v/>
      </c>
      <c r="I522" s="3">
        <f>IF(AND('Data Source'!B522&lt;&gt;"",'Data Source'!S522="F"),IF('Data Source'!AA522&gt;=5,"A+",IF('Data Source'!AA522&gt;=4,"A",IF('Data Source'!AA522&gt;=3.5,"A-",IF('Data Source'!AA522&gt;=3,"B",IF('Data Source'!AA522&gt;=2,"C",IF('Data Source'!AA522&gt;=1,"D","F")))))),"")</f>
        <v/>
      </c>
      <c r="J522" s="3">
        <f>IF(AND('Data Source'!B522&lt;&gt;"",'Data Source'!S522="F"),IF('Data Source'!AB522&gt;=5,"A+",IF('Data Source'!AB522&gt;=4,"A",IF('Data Source'!AB522&gt;=3.5,"A-",IF('Data Source'!AB522&gt;=3,"B",IF('Data Source'!AB522&gt;=2,"C",IF('Data Source'!AB522&gt;=1,"D","F")))))),"")</f>
        <v/>
      </c>
      <c r="K522" s="3">
        <f>IF(AND('Data Source'!B522&lt;&gt;"",'Data Source'!S522="F"),IF('Data Source'!AC522&gt;=5,"A+",IF('Data Source'!AC522&gt;=4,"A",IF('Data Source'!AC522&gt;=3.5,"A-",IF('Data Source'!AC522&gt;=3,"B",IF('Data Source'!AC522&gt;=2,"C",IF('Data Source'!AC522&gt;=1,"D","F")))))),"")</f>
        <v/>
      </c>
      <c r="L522" s="3">
        <f>IF(AND('Data Source'!B522&lt;&gt;"",'Data Source'!S522="F"),IF('Data Source'!AD522&gt;=5,"A+",IF('Data Source'!AD522&gt;=4,"A",IF('Data Source'!AD522&gt;=3.5,"A-",IF('Data Source'!AD522&gt;=3,"B",IF('Data Source'!AD522&gt;=2,"C",IF('Data Source'!AD522&gt;=1,"D","F")))))),"")</f>
        <v/>
      </c>
      <c r="M522" s="3">
        <f>IF(AND('Data Source'!B522&lt;&gt;"",'Data Source'!S522="F"),IF('Data Source'!AE522&gt;=5,"A+",IF('Data Source'!AE522&gt;=4,"A",IF('Data Source'!AE522&gt;=3.5,"A-",IF('Data Source'!AE522&gt;=3,"B",IF('Data Source'!AE522&gt;=2,"C",IF('Data Source'!AE522&gt;=1,"D","F")))))),"")</f>
        <v/>
      </c>
      <c r="N522" s="3">
        <f>IF(AND('Data Source'!B522&lt;&gt;"",'Data Source'!S522="F"),IF('Data Source'!AF522&gt;=5,"A+",IF('Data Source'!AF522&gt;=4,"A",IF('Data Source'!AF522&gt;=3.5,"A-",IF('Data Source'!AF522&gt;=3,"B",IF('Data Source'!AF522&gt;=2,"C",IF('Data Source'!AF522&gt;=1,"D","F")))))),"")</f>
        <v/>
      </c>
      <c r="O522" s="3">
        <f>IF(AND('Data Source'!B522&lt;&gt;"",'Data Source'!S522="F"),IF('Data Source'!AG522&gt;=5,"A+",IF('Data Source'!AG522&gt;=4,"A",IF('Data Source'!AG522&gt;=3.5,"A-",IF('Data Source'!AG522&gt;=3,"B",IF('Data Source'!AG522&gt;=2,"C",IF('Data Source'!AG522&gt;=1,"D","F")))))),"")</f>
        <v/>
      </c>
      <c r="P522" s="5">
        <f>IF(AND('Data Source'!B522&lt;&gt;"",'Data Source'!S522="F"),'Data Source'!R522,"")</f>
        <v/>
      </c>
      <c r="Q522" s="3">
        <f>IF(AND('Data Source'!B522&lt;&gt;"",'Data Source'!S522="F"),'Data Source'!S522,"")</f>
        <v/>
      </c>
    </row>
    <row r="523">
      <c r="A523" s="3">
        <f>IF(AND('Data Source'!B523&lt;&gt;"",'Data Source'!S523="F"),COUNTIF('Data Source'!$S$3:S523,"F"),"")</f>
        <v/>
      </c>
      <c r="B523">
        <f>IF(AND('Data Source'!B523&lt;&gt;"",'Data Source'!S523="F"),'Data Source'!B523,"")</f>
        <v/>
      </c>
      <c r="C523" s="3">
        <f>IF(AND('Data Source'!B523&lt;&gt;"",'Data Source'!S523="F"),IF('Data Source'!U523&gt;=5,"A+",IF('Data Source'!U523&gt;=4,"A",IF('Data Source'!U523&gt;=3.5,"A-",IF('Data Source'!U523&gt;=3,"B",IF('Data Source'!U523&gt;=2,"C",IF('Data Source'!U523&gt;=1,"D","F")))))),"")</f>
        <v/>
      </c>
      <c r="D523" s="3">
        <f>IF(AND('Data Source'!B523&lt;&gt;"",'Data Source'!S523="F"),IF('Data Source'!V523&gt;=5,"A+",IF('Data Source'!V523&gt;=4,"A",IF('Data Source'!V523&gt;=3.5,"A-",IF('Data Source'!V523&gt;=3,"B",IF('Data Source'!V523&gt;=2,"C",IF('Data Source'!V523&gt;=1,"D","F")))))),"")</f>
        <v/>
      </c>
      <c r="E523" s="3">
        <f>IF(AND('Data Source'!B523&lt;&gt;"",'Data Source'!S523="F"),IF('Data Source'!W523&gt;=5,"A+",IF('Data Source'!W523&gt;=4,"A",IF('Data Source'!W523&gt;=3.5,"A-",IF('Data Source'!W523&gt;=3,"B",IF('Data Source'!W523&gt;=2,"C",IF('Data Source'!W523&gt;=1,"D","F")))))),"")</f>
        <v/>
      </c>
      <c r="F523" s="3">
        <f>IF(AND('Data Source'!B523&lt;&gt;"",'Data Source'!S523="F"),IF('Data Source'!X523&gt;=5,"A+",IF('Data Source'!X523&gt;=4,"A",IF('Data Source'!X523&gt;=3.5,"A-",IF('Data Source'!X523&gt;=3,"B",IF('Data Source'!X523&gt;=2,"C",IF('Data Source'!X523&gt;=1,"D","F")))))),"")</f>
        <v/>
      </c>
      <c r="G523" s="3">
        <f>IF(AND('Data Source'!B523&lt;&gt;"",'Data Source'!S523="F"),IF('Data Source'!Y523&gt;=5,"A+",IF('Data Source'!Y523&gt;=4,"A",IF('Data Source'!Y523&gt;=3.5,"A-",IF('Data Source'!Y523&gt;=3,"B",IF('Data Source'!Y523&gt;=2,"C",IF('Data Source'!Y523&gt;=1,"D","F")))))),"")</f>
        <v/>
      </c>
      <c r="H523" s="3">
        <f>IF(AND('Data Source'!B523&lt;&gt;"",'Data Source'!S523="F"),IF('Data Source'!Z523&gt;=5,"A+",IF('Data Source'!Z523&gt;=4,"A",IF('Data Source'!Z523&gt;=3.5,"A-",IF('Data Source'!Z523&gt;=3,"B",IF('Data Source'!Z523&gt;=2,"C",IF('Data Source'!Z523&gt;=1,"D","F")))))),"")</f>
        <v/>
      </c>
      <c r="I523" s="3">
        <f>IF(AND('Data Source'!B523&lt;&gt;"",'Data Source'!S523="F"),IF('Data Source'!AA523&gt;=5,"A+",IF('Data Source'!AA523&gt;=4,"A",IF('Data Source'!AA523&gt;=3.5,"A-",IF('Data Source'!AA523&gt;=3,"B",IF('Data Source'!AA523&gt;=2,"C",IF('Data Source'!AA523&gt;=1,"D","F")))))),"")</f>
        <v/>
      </c>
      <c r="J523" s="3">
        <f>IF(AND('Data Source'!B523&lt;&gt;"",'Data Source'!S523="F"),IF('Data Source'!AB523&gt;=5,"A+",IF('Data Source'!AB523&gt;=4,"A",IF('Data Source'!AB523&gt;=3.5,"A-",IF('Data Source'!AB523&gt;=3,"B",IF('Data Source'!AB523&gt;=2,"C",IF('Data Source'!AB523&gt;=1,"D","F")))))),"")</f>
        <v/>
      </c>
      <c r="K523" s="3">
        <f>IF(AND('Data Source'!B523&lt;&gt;"",'Data Source'!S523="F"),IF('Data Source'!AC523&gt;=5,"A+",IF('Data Source'!AC523&gt;=4,"A",IF('Data Source'!AC523&gt;=3.5,"A-",IF('Data Source'!AC523&gt;=3,"B",IF('Data Source'!AC523&gt;=2,"C",IF('Data Source'!AC523&gt;=1,"D","F")))))),"")</f>
        <v/>
      </c>
      <c r="L523" s="3">
        <f>IF(AND('Data Source'!B523&lt;&gt;"",'Data Source'!S523="F"),IF('Data Source'!AD523&gt;=5,"A+",IF('Data Source'!AD523&gt;=4,"A",IF('Data Source'!AD523&gt;=3.5,"A-",IF('Data Source'!AD523&gt;=3,"B",IF('Data Source'!AD523&gt;=2,"C",IF('Data Source'!AD523&gt;=1,"D","F")))))),"")</f>
        <v/>
      </c>
      <c r="M523" s="3">
        <f>IF(AND('Data Source'!B523&lt;&gt;"",'Data Source'!S523="F"),IF('Data Source'!AE523&gt;=5,"A+",IF('Data Source'!AE523&gt;=4,"A",IF('Data Source'!AE523&gt;=3.5,"A-",IF('Data Source'!AE523&gt;=3,"B",IF('Data Source'!AE523&gt;=2,"C",IF('Data Source'!AE523&gt;=1,"D","F")))))),"")</f>
        <v/>
      </c>
      <c r="N523" s="3">
        <f>IF(AND('Data Source'!B523&lt;&gt;"",'Data Source'!S523="F"),IF('Data Source'!AF523&gt;=5,"A+",IF('Data Source'!AF523&gt;=4,"A",IF('Data Source'!AF523&gt;=3.5,"A-",IF('Data Source'!AF523&gt;=3,"B",IF('Data Source'!AF523&gt;=2,"C",IF('Data Source'!AF523&gt;=1,"D","F")))))),"")</f>
        <v/>
      </c>
      <c r="O523" s="3">
        <f>IF(AND('Data Source'!B523&lt;&gt;"",'Data Source'!S523="F"),IF('Data Source'!AG523&gt;=5,"A+",IF('Data Source'!AG523&gt;=4,"A",IF('Data Source'!AG523&gt;=3.5,"A-",IF('Data Source'!AG523&gt;=3,"B",IF('Data Source'!AG523&gt;=2,"C",IF('Data Source'!AG523&gt;=1,"D","F")))))),"")</f>
        <v/>
      </c>
      <c r="P523" s="5">
        <f>IF(AND('Data Source'!B523&lt;&gt;"",'Data Source'!S523="F"),'Data Source'!R523,"")</f>
        <v/>
      </c>
      <c r="Q523" s="3">
        <f>IF(AND('Data Source'!B523&lt;&gt;"",'Data Source'!S523="F"),'Data Source'!S523,"")</f>
        <v/>
      </c>
    </row>
    <row r="524">
      <c r="A524" s="3">
        <f>IF(AND('Data Source'!B524&lt;&gt;"",'Data Source'!S524="F"),COUNTIF('Data Source'!$S$3:S524,"F"),"")</f>
        <v/>
      </c>
      <c r="B524">
        <f>IF(AND('Data Source'!B524&lt;&gt;"",'Data Source'!S524="F"),'Data Source'!B524,"")</f>
        <v/>
      </c>
      <c r="C524" s="3">
        <f>IF(AND('Data Source'!B524&lt;&gt;"",'Data Source'!S524="F"),IF('Data Source'!U524&gt;=5,"A+",IF('Data Source'!U524&gt;=4,"A",IF('Data Source'!U524&gt;=3.5,"A-",IF('Data Source'!U524&gt;=3,"B",IF('Data Source'!U524&gt;=2,"C",IF('Data Source'!U524&gt;=1,"D","F")))))),"")</f>
        <v/>
      </c>
      <c r="D524" s="3">
        <f>IF(AND('Data Source'!B524&lt;&gt;"",'Data Source'!S524="F"),IF('Data Source'!V524&gt;=5,"A+",IF('Data Source'!V524&gt;=4,"A",IF('Data Source'!V524&gt;=3.5,"A-",IF('Data Source'!V524&gt;=3,"B",IF('Data Source'!V524&gt;=2,"C",IF('Data Source'!V524&gt;=1,"D","F")))))),"")</f>
        <v/>
      </c>
      <c r="E524" s="3">
        <f>IF(AND('Data Source'!B524&lt;&gt;"",'Data Source'!S524="F"),IF('Data Source'!W524&gt;=5,"A+",IF('Data Source'!W524&gt;=4,"A",IF('Data Source'!W524&gt;=3.5,"A-",IF('Data Source'!W524&gt;=3,"B",IF('Data Source'!W524&gt;=2,"C",IF('Data Source'!W524&gt;=1,"D","F")))))),"")</f>
        <v/>
      </c>
      <c r="F524" s="3">
        <f>IF(AND('Data Source'!B524&lt;&gt;"",'Data Source'!S524="F"),IF('Data Source'!X524&gt;=5,"A+",IF('Data Source'!X524&gt;=4,"A",IF('Data Source'!X524&gt;=3.5,"A-",IF('Data Source'!X524&gt;=3,"B",IF('Data Source'!X524&gt;=2,"C",IF('Data Source'!X524&gt;=1,"D","F")))))),"")</f>
        <v/>
      </c>
      <c r="G524" s="3">
        <f>IF(AND('Data Source'!B524&lt;&gt;"",'Data Source'!S524="F"),IF('Data Source'!Y524&gt;=5,"A+",IF('Data Source'!Y524&gt;=4,"A",IF('Data Source'!Y524&gt;=3.5,"A-",IF('Data Source'!Y524&gt;=3,"B",IF('Data Source'!Y524&gt;=2,"C",IF('Data Source'!Y524&gt;=1,"D","F")))))),"")</f>
        <v/>
      </c>
      <c r="H524" s="3">
        <f>IF(AND('Data Source'!B524&lt;&gt;"",'Data Source'!S524="F"),IF('Data Source'!Z524&gt;=5,"A+",IF('Data Source'!Z524&gt;=4,"A",IF('Data Source'!Z524&gt;=3.5,"A-",IF('Data Source'!Z524&gt;=3,"B",IF('Data Source'!Z524&gt;=2,"C",IF('Data Source'!Z524&gt;=1,"D","F")))))),"")</f>
        <v/>
      </c>
      <c r="I524" s="3">
        <f>IF(AND('Data Source'!B524&lt;&gt;"",'Data Source'!S524="F"),IF('Data Source'!AA524&gt;=5,"A+",IF('Data Source'!AA524&gt;=4,"A",IF('Data Source'!AA524&gt;=3.5,"A-",IF('Data Source'!AA524&gt;=3,"B",IF('Data Source'!AA524&gt;=2,"C",IF('Data Source'!AA524&gt;=1,"D","F")))))),"")</f>
        <v/>
      </c>
      <c r="J524" s="3">
        <f>IF(AND('Data Source'!B524&lt;&gt;"",'Data Source'!S524="F"),IF('Data Source'!AB524&gt;=5,"A+",IF('Data Source'!AB524&gt;=4,"A",IF('Data Source'!AB524&gt;=3.5,"A-",IF('Data Source'!AB524&gt;=3,"B",IF('Data Source'!AB524&gt;=2,"C",IF('Data Source'!AB524&gt;=1,"D","F")))))),"")</f>
        <v/>
      </c>
      <c r="K524" s="3">
        <f>IF(AND('Data Source'!B524&lt;&gt;"",'Data Source'!S524="F"),IF('Data Source'!AC524&gt;=5,"A+",IF('Data Source'!AC524&gt;=4,"A",IF('Data Source'!AC524&gt;=3.5,"A-",IF('Data Source'!AC524&gt;=3,"B",IF('Data Source'!AC524&gt;=2,"C",IF('Data Source'!AC524&gt;=1,"D","F")))))),"")</f>
        <v/>
      </c>
      <c r="L524" s="3">
        <f>IF(AND('Data Source'!B524&lt;&gt;"",'Data Source'!S524="F"),IF('Data Source'!AD524&gt;=5,"A+",IF('Data Source'!AD524&gt;=4,"A",IF('Data Source'!AD524&gt;=3.5,"A-",IF('Data Source'!AD524&gt;=3,"B",IF('Data Source'!AD524&gt;=2,"C",IF('Data Source'!AD524&gt;=1,"D","F")))))),"")</f>
        <v/>
      </c>
      <c r="M524" s="3">
        <f>IF(AND('Data Source'!B524&lt;&gt;"",'Data Source'!S524="F"),IF('Data Source'!AE524&gt;=5,"A+",IF('Data Source'!AE524&gt;=4,"A",IF('Data Source'!AE524&gt;=3.5,"A-",IF('Data Source'!AE524&gt;=3,"B",IF('Data Source'!AE524&gt;=2,"C",IF('Data Source'!AE524&gt;=1,"D","F")))))),"")</f>
        <v/>
      </c>
      <c r="N524" s="3">
        <f>IF(AND('Data Source'!B524&lt;&gt;"",'Data Source'!S524="F"),IF('Data Source'!AF524&gt;=5,"A+",IF('Data Source'!AF524&gt;=4,"A",IF('Data Source'!AF524&gt;=3.5,"A-",IF('Data Source'!AF524&gt;=3,"B",IF('Data Source'!AF524&gt;=2,"C",IF('Data Source'!AF524&gt;=1,"D","F")))))),"")</f>
        <v/>
      </c>
      <c r="O524" s="3">
        <f>IF(AND('Data Source'!B524&lt;&gt;"",'Data Source'!S524="F"),IF('Data Source'!AG524&gt;=5,"A+",IF('Data Source'!AG524&gt;=4,"A",IF('Data Source'!AG524&gt;=3.5,"A-",IF('Data Source'!AG524&gt;=3,"B",IF('Data Source'!AG524&gt;=2,"C",IF('Data Source'!AG524&gt;=1,"D","F")))))),"")</f>
        <v/>
      </c>
      <c r="P524" s="5">
        <f>IF(AND('Data Source'!B524&lt;&gt;"",'Data Source'!S524="F"),'Data Source'!R524,"")</f>
        <v/>
      </c>
      <c r="Q524" s="3">
        <f>IF(AND('Data Source'!B524&lt;&gt;"",'Data Source'!S524="F"),'Data Source'!S524,"")</f>
        <v/>
      </c>
    </row>
    <row r="525">
      <c r="A525" s="3">
        <f>IF(AND('Data Source'!B525&lt;&gt;"",'Data Source'!S525="F"),COUNTIF('Data Source'!$S$3:S525,"F"),"")</f>
        <v/>
      </c>
      <c r="B525">
        <f>IF(AND('Data Source'!B525&lt;&gt;"",'Data Source'!S525="F"),'Data Source'!B525,"")</f>
        <v/>
      </c>
      <c r="C525" s="3">
        <f>IF(AND('Data Source'!B525&lt;&gt;"",'Data Source'!S525="F"),IF('Data Source'!U525&gt;=5,"A+",IF('Data Source'!U525&gt;=4,"A",IF('Data Source'!U525&gt;=3.5,"A-",IF('Data Source'!U525&gt;=3,"B",IF('Data Source'!U525&gt;=2,"C",IF('Data Source'!U525&gt;=1,"D","F")))))),"")</f>
        <v/>
      </c>
      <c r="D525" s="3">
        <f>IF(AND('Data Source'!B525&lt;&gt;"",'Data Source'!S525="F"),IF('Data Source'!V525&gt;=5,"A+",IF('Data Source'!V525&gt;=4,"A",IF('Data Source'!V525&gt;=3.5,"A-",IF('Data Source'!V525&gt;=3,"B",IF('Data Source'!V525&gt;=2,"C",IF('Data Source'!V525&gt;=1,"D","F")))))),"")</f>
        <v/>
      </c>
      <c r="E525" s="3">
        <f>IF(AND('Data Source'!B525&lt;&gt;"",'Data Source'!S525="F"),IF('Data Source'!W525&gt;=5,"A+",IF('Data Source'!W525&gt;=4,"A",IF('Data Source'!W525&gt;=3.5,"A-",IF('Data Source'!W525&gt;=3,"B",IF('Data Source'!W525&gt;=2,"C",IF('Data Source'!W525&gt;=1,"D","F")))))),"")</f>
        <v/>
      </c>
      <c r="F525" s="3">
        <f>IF(AND('Data Source'!B525&lt;&gt;"",'Data Source'!S525="F"),IF('Data Source'!X525&gt;=5,"A+",IF('Data Source'!X525&gt;=4,"A",IF('Data Source'!X525&gt;=3.5,"A-",IF('Data Source'!X525&gt;=3,"B",IF('Data Source'!X525&gt;=2,"C",IF('Data Source'!X525&gt;=1,"D","F")))))),"")</f>
        <v/>
      </c>
      <c r="G525" s="3">
        <f>IF(AND('Data Source'!B525&lt;&gt;"",'Data Source'!S525="F"),IF('Data Source'!Y525&gt;=5,"A+",IF('Data Source'!Y525&gt;=4,"A",IF('Data Source'!Y525&gt;=3.5,"A-",IF('Data Source'!Y525&gt;=3,"B",IF('Data Source'!Y525&gt;=2,"C",IF('Data Source'!Y525&gt;=1,"D","F")))))),"")</f>
        <v/>
      </c>
      <c r="H525" s="3">
        <f>IF(AND('Data Source'!B525&lt;&gt;"",'Data Source'!S525="F"),IF('Data Source'!Z525&gt;=5,"A+",IF('Data Source'!Z525&gt;=4,"A",IF('Data Source'!Z525&gt;=3.5,"A-",IF('Data Source'!Z525&gt;=3,"B",IF('Data Source'!Z525&gt;=2,"C",IF('Data Source'!Z525&gt;=1,"D","F")))))),"")</f>
        <v/>
      </c>
      <c r="I525" s="3">
        <f>IF(AND('Data Source'!B525&lt;&gt;"",'Data Source'!S525="F"),IF('Data Source'!AA525&gt;=5,"A+",IF('Data Source'!AA525&gt;=4,"A",IF('Data Source'!AA525&gt;=3.5,"A-",IF('Data Source'!AA525&gt;=3,"B",IF('Data Source'!AA525&gt;=2,"C",IF('Data Source'!AA525&gt;=1,"D","F")))))),"")</f>
        <v/>
      </c>
      <c r="J525" s="3">
        <f>IF(AND('Data Source'!B525&lt;&gt;"",'Data Source'!S525="F"),IF('Data Source'!AB525&gt;=5,"A+",IF('Data Source'!AB525&gt;=4,"A",IF('Data Source'!AB525&gt;=3.5,"A-",IF('Data Source'!AB525&gt;=3,"B",IF('Data Source'!AB525&gt;=2,"C",IF('Data Source'!AB525&gt;=1,"D","F")))))),"")</f>
        <v/>
      </c>
      <c r="K525" s="3">
        <f>IF(AND('Data Source'!B525&lt;&gt;"",'Data Source'!S525="F"),IF('Data Source'!AC525&gt;=5,"A+",IF('Data Source'!AC525&gt;=4,"A",IF('Data Source'!AC525&gt;=3.5,"A-",IF('Data Source'!AC525&gt;=3,"B",IF('Data Source'!AC525&gt;=2,"C",IF('Data Source'!AC525&gt;=1,"D","F")))))),"")</f>
        <v/>
      </c>
      <c r="L525" s="3">
        <f>IF(AND('Data Source'!B525&lt;&gt;"",'Data Source'!S525="F"),IF('Data Source'!AD525&gt;=5,"A+",IF('Data Source'!AD525&gt;=4,"A",IF('Data Source'!AD525&gt;=3.5,"A-",IF('Data Source'!AD525&gt;=3,"B",IF('Data Source'!AD525&gt;=2,"C",IF('Data Source'!AD525&gt;=1,"D","F")))))),"")</f>
        <v/>
      </c>
      <c r="M525" s="3">
        <f>IF(AND('Data Source'!B525&lt;&gt;"",'Data Source'!S525="F"),IF('Data Source'!AE525&gt;=5,"A+",IF('Data Source'!AE525&gt;=4,"A",IF('Data Source'!AE525&gt;=3.5,"A-",IF('Data Source'!AE525&gt;=3,"B",IF('Data Source'!AE525&gt;=2,"C",IF('Data Source'!AE525&gt;=1,"D","F")))))),"")</f>
        <v/>
      </c>
      <c r="N525" s="3">
        <f>IF(AND('Data Source'!B525&lt;&gt;"",'Data Source'!S525="F"),IF('Data Source'!AF525&gt;=5,"A+",IF('Data Source'!AF525&gt;=4,"A",IF('Data Source'!AF525&gt;=3.5,"A-",IF('Data Source'!AF525&gt;=3,"B",IF('Data Source'!AF525&gt;=2,"C",IF('Data Source'!AF525&gt;=1,"D","F")))))),"")</f>
        <v/>
      </c>
      <c r="O525" s="3">
        <f>IF(AND('Data Source'!B525&lt;&gt;"",'Data Source'!S525="F"),IF('Data Source'!AG525&gt;=5,"A+",IF('Data Source'!AG525&gt;=4,"A",IF('Data Source'!AG525&gt;=3.5,"A-",IF('Data Source'!AG525&gt;=3,"B",IF('Data Source'!AG525&gt;=2,"C",IF('Data Source'!AG525&gt;=1,"D","F")))))),"")</f>
        <v/>
      </c>
      <c r="P525" s="5">
        <f>IF(AND('Data Source'!B525&lt;&gt;"",'Data Source'!S525="F"),'Data Source'!R525,"")</f>
        <v/>
      </c>
      <c r="Q525" s="3">
        <f>IF(AND('Data Source'!B525&lt;&gt;"",'Data Source'!S525="F"),'Data Source'!S525,"")</f>
        <v/>
      </c>
    </row>
    <row r="526">
      <c r="A526" s="3">
        <f>IF(AND('Data Source'!B526&lt;&gt;"",'Data Source'!S526="F"),COUNTIF('Data Source'!$S$3:S526,"F"),"")</f>
        <v/>
      </c>
      <c r="B526">
        <f>IF(AND('Data Source'!B526&lt;&gt;"",'Data Source'!S526="F"),'Data Source'!B526,"")</f>
        <v/>
      </c>
      <c r="C526" s="3">
        <f>IF(AND('Data Source'!B526&lt;&gt;"",'Data Source'!S526="F"),IF('Data Source'!U526&gt;=5,"A+",IF('Data Source'!U526&gt;=4,"A",IF('Data Source'!U526&gt;=3.5,"A-",IF('Data Source'!U526&gt;=3,"B",IF('Data Source'!U526&gt;=2,"C",IF('Data Source'!U526&gt;=1,"D","F")))))),"")</f>
        <v/>
      </c>
      <c r="D526" s="3">
        <f>IF(AND('Data Source'!B526&lt;&gt;"",'Data Source'!S526="F"),IF('Data Source'!V526&gt;=5,"A+",IF('Data Source'!V526&gt;=4,"A",IF('Data Source'!V526&gt;=3.5,"A-",IF('Data Source'!V526&gt;=3,"B",IF('Data Source'!V526&gt;=2,"C",IF('Data Source'!V526&gt;=1,"D","F")))))),"")</f>
        <v/>
      </c>
      <c r="E526" s="3">
        <f>IF(AND('Data Source'!B526&lt;&gt;"",'Data Source'!S526="F"),IF('Data Source'!W526&gt;=5,"A+",IF('Data Source'!W526&gt;=4,"A",IF('Data Source'!W526&gt;=3.5,"A-",IF('Data Source'!W526&gt;=3,"B",IF('Data Source'!W526&gt;=2,"C",IF('Data Source'!W526&gt;=1,"D","F")))))),"")</f>
        <v/>
      </c>
      <c r="F526" s="3">
        <f>IF(AND('Data Source'!B526&lt;&gt;"",'Data Source'!S526="F"),IF('Data Source'!X526&gt;=5,"A+",IF('Data Source'!X526&gt;=4,"A",IF('Data Source'!X526&gt;=3.5,"A-",IF('Data Source'!X526&gt;=3,"B",IF('Data Source'!X526&gt;=2,"C",IF('Data Source'!X526&gt;=1,"D","F")))))),"")</f>
        <v/>
      </c>
      <c r="G526" s="3">
        <f>IF(AND('Data Source'!B526&lt;&gt;"",'Data Source'!S526="F"),IF('Data Source'!Y526&gt;=5,"A+",IF('Data Source'!Y526&gt;=4,"A",IF('Data Source'!Y526&gt;=3.5,"A-",IF('Data Source'!Y526&gt;=3,"B",IF('Data Source'!Y526&gt;=2,"C",IF('Data Source'!Y526&gt;=1,"D","F")))))),"")</f>
        <v/>
      </c>
      <c r="H526" s="3">
        <f>IF(AND('Data Source'!B526&lt;&gt;"",'Data Source'!S526="F"),IF('Data Source'!Z526&gt;=5,"A+",IF('Data Source'!Z526&gt;=4,"A",IF('Data Source'!Z526&gt;=3.5,"A-",IF('Data Source'!Z526&gt;=3,"B",IF('Data Source'!Z526&gt;=2,"C",IF('Data Source'!Z526&gt;=1,"D","F")))))),"")</f>
        <v/>
      </c>
      <c r="I526" s="3">
        <f>IF(AND('Data Source'!B526&lt;&gt;"",'Data Source'!S526="F"),IF('Data Source'!AA526&gt;=5,"A+",IF('Data Source'!AA526&gt;=4,"A",IF('Data Source'!AA526&gt;=3.5,"A-",IF('Data Source'!AA526&gt;=3,"B",IF('Data Source'!AA526&gt;=2,"C",IF('Data Source'!AA526&gt;=1,"D","F")))))),"")</f>
        <v/>
      </c>
      <c r="J526" s="3">
        <f>IF(AND('Data Source'!B526&lt;&gt;"",'Data Source'!S526="F"),IF('Data Source'!AB526&gt;=5,"A+",IF('Data Source'!AB526&gt;=4,"A",IF('Data Source'!AB526&gt;=3.5,"A-",IF('Data Source'!AB526&gt;=3,"B",IF('Data Source'!AB526&gt;=2,"C",IF('Data Source'!AB526&gt;=1,"D","F")))))),"")</f>
        <v/>
      </c>
      <c r="K526" s="3">
        <f>IF(AND('Data Source'!B526&lt;&gt;"",'Data Source'!S526="F"),IF('Data Source'!AC526&gt;=5,"A+",IF('Data Source'!AC526&gt;=4,"A",IF('Data Source'!AC526&gt;=3.5,"A-",IF('Data Source'!AC526&gt;=3,"B",IF('Data Source'!AC526&gt;=2,"C",IF('Data Source'!AC526&gt;=1,"D","F")))))),"")</f>
        <v/>
      </c>
      <c r="L526" s="3">
        <f>IF(AND('Data Source'!B526&lt;&gt;"",'Data Source'!S526="F"),IF('Data Source'!AD526&gt;=5,"A+",IF('Data Source'!AD526&gt;=4,"A",IF('Data Source'!AD526&gt;=3.5,"A-",IF('Data Source'!AD526&gt;=3,"B",IF('Data Source'!AD526&gt;=2,"C",IF('Data Source'!AD526&gt;=1,"D","F")))))),"")</f>
        <v/>
      </c>
      <c r="M526" s="3">
        <f>IF(AND('Data Source'!B526&lt;&gt;"",'Data Source'!S526="F"),IF('Data Source'!AE526&gt;=5,"A+",IF('Data Source'!AE526&gt;=4,"A",IF('Data Source'!AE526&gt;=3.5,"A-",IF('Data Source'!AE526&gt;=3,"B",IF('Data Source'!AE526&gt;=2,"C",IF('Data Source'!AE526&gt;=1,"D","F")))))),"")</f>
        <v/>
      </c>
      <c r="N526" s="3">
        <f>IF(AND('Data Source'!B526&lt;&gt;"",'Data Source'!S526="F"),IF('Data Source'!AF526&gt;=5,"A+",IF('Data Source'!AF526&gt;=4,"A",IF('Data Source'!AF526&gt;=3.5,"A-",IF('Data Source'!AF526&gt;=3,"B",IF('Data Source'!AF526&gt;=2,"C",IF('Data Source'!AF526&gt;=1,"D","F")))))),"")</f>
        <v/>
      </c>
      <c r="O526" s="3">
        <f>IF(AND('Data Source'!B526&lt;&gt;"",'Data Source'!S526="F"),IF('Data Source'!AG526&gt;=5,"A+",IF('Data Source'!AG526&gt;=4,"A",IF('Data Source'!AG526&gt;=3.5,"A-",IF('Data Source'!AG526&gt;=3,"B",IF('Data Source'!AG526&gt;=2,"C",IF('Data Source'!AG526&gt;=1,"D","F")))))),"")</f>
        <v/>
      </c>
      <c r="P526" s="5">
        <f>IF(AND('Data Source'!B526&lt;&gt;"",'Data Source'!S526="F"),'Data Source'!R526,"")</f>
        <v/>
      </c>
      <c r="Q526" s="3">
        <f>IF(AND('Data Source'!B526&lt;&gt;"",'Data Source'!S526="F"),'Data Source'!S526,"")</f>
        <v/>
      </c>
    </row>
    <row r="527">
      <c r="A527" s="3">
        <f>IF(AND('Data Source'!B527&lt;&gt;"",'Data Source'!S527="F"),COUNTIF('Data Source'!$S$3:S527,"F"),"")</f>
        <v/>
      </c>
      <c r="B527">
        <f>IF(AND('Data Source'!B527&lt;&gt;"",'Data Source'!S527="F"),'Data Source'!B527,"")</f>
        <v/>
      </c>
      <c r="C527" s="3">
        <f>IF(AND('Data Source'!B527&lt;&gt;"",'Data Source'!S527="F"),IF('Data Source'!U527&gt;=5,"A+",IF('Data Source'!U527&gt;=4,"A",IF('Data Source'!U527&gt;=3.5,"A-",IF('Data Source'!U527&gt;=3,"B",IF('Data Source'!U527&gt;=2,"C",IF('Data Source'!U527&gt;=1,"D","F")))))),"")</f>
        <v/>
      </c>
      <c r="D527" s="3">
        <f>IF(AND('Data Source'!B527&lt;&gt;"",'Data Source'!S527="F"),IF('Data Source'!V527&gt;=5,"A+",IF('Data Source'!V527&gt;=4,"A",IF('Data Source'!V527&gt;=3.5,"A-",IF('Data Source'!V527&gt;=3,"B",IF('Data Source'!V527&gt;=2,"C",IF('Data Source'!V527&gt;=1,"D","F")))))),"")</f>
        <v/>
      </c>
      <c r="E527" s="3">
        <f>IF(AND('Data Source'!B527&lt;&gt;"",'Data Source'!S527="F"),IF('Data Source'!W527&gt;=5,"A+",IF('Data Source'!W527&gt;=4,"A",IF('Data Source'!W527&gt;=3.5,"A-",IF('Data Source'!W527&gt;=3,"B",IF('Data Source'!W527&gt;=2,"C",IF('Data Source'!W527&gt;=1,"D","F")))))),"")</f>
        <v/>
      </c>
      <c r="F527" s="3">
        <f>IF(AND('Data Source'!B527&lt;&gt;"",'Data Source'!S527="F"),IF('Data Source'!X527&gt;=5,"A+",IF('Data Source'!X527&gt;=4,"A",IF('Data Source'!X527&gt;=3.5,"A-",IF('Data Source'!X527&gt;=3,"B",IF('Data Source'!X527&gt;=2,"C",IF('Data Source'!X527&gt;=1,"D","F")))))),"")</f>
        <v/>
      </c>
      <c r="G527" s="3">
        <f>IF(AND('Data Source'!B527&lt;&gt;"",'Data Source'!S527="F"),IF('Data Source'!Y527&gt;=5,"A+",IF('Data Source'!Y527&gt;=4,"A",IF('Data Source'!Y527&gt;=3.5,"A-",IF('Data Source'!Y527&gt;=3,"B",IF('Data Source'!Y527&gt;=2,"C",IF('Data Source'!Y527&gt;=1,"D","F")))))),"")</f>
        <v/>
      </c>
      <c r="H527" s="3">
        <f>IF(AND('Data Source'!B527&lt;&gt;"",'Data Source'!S527="F"),IF('Data Source'!Z527&gt;=5,"A+",IF('Data Source'!Z527&gt;=4,"A",IF('Data Source'!Z527&gt;=3.5,"A-",IF('Data Source'!Z527&gt;=3,"B",IF('Data Source'!Z527&gt;=2,"C",IF('Data Source'!Z527&gt;=1,"D","F")))))),"")</f>
        <v/>
      </c>
      <c r="I527" s="3">
        <f>IF(AND('Data Source'!B527&lt;&gt;"",'Data Source'!S527="F"),IF('Data Source'!AA527&gt;=5,"A+",IF('Data Source'!AA527&gt;=4,"A",IF('Data Source'!AA527&gt;=3.5,"A-",IF('Data Source'!AA527&gt;=3,"B",IF('Data Source'!AA527&gt;=2,"C",IF('Data Source'!AA527&gt;=1,"D","F")))))),"")</f>
        <v/>
      </c>
      <c r="J527" s="3">
        <f>IF(AND('Data Source'!B527&lt;&gt;"",'Data Source'!S527="F"),IF('Data Source'!AB527&gt;=5,"A+",IF('Data Source'!AB527&gt;=4,"A",IF('Data Source'!AB527&gt;=3.5,"A-",IF('Data Source'!AB527&gt;=3,"B",IF('Data Source'!AB527&gt;=2,"C",IF('Data Source'!AB527&gt;=1,"D","F")))))),"")</f>
        <v/>
      </c>
      <c r="K527" s="3">
        <f>IF(AND('Data Source'!B527&lt;&gt;"",'Data Source'!S527="F"),IF('Data Source'!AC527&gt;=5,"A+",IF('Data Source'!AC527&gt;=4,"A",IF('Data Source'!AC527&gt;=3.5,"A-",IF('Data Source'!AC527&gt;=3,"B",IF('Data Source'!AC527&gt;=2,"C",IF('Data Source'!AC527&gt;=1,"D","F")))))),"")</f>
        <v/>
      </c>
      <c r="L527" s="3">
        <f>IF(AND('Data Source'!B527&lt;&gt;"",'Data Source'!S527="F"),IF('Data Source'!AD527&gt;=5,"A+",IF('Data Source'!AD527&gt;=4,"A",IF('Data Source'!AD527&gt;=3.5,"A-",IF('Data Source'!AD527&gt;=3,"B",IF('Data Source'!AD527&gt;=2,"C",IF('Data Source'!AD527&gt;=1,"D","F")))))),"")</f>
        <v/>
      </c>
      <c r="M527" s="3">
        <f>IF(AND('Data Source'!B527&lt;&gt;"",'Data Source'!S527="F"),IF('Data Source'!AE527&gt;=5,"A+",IF('Data Source'!AE527&gt;=4,"A",IF('Data Source'!AE527&gt;=3.5,"A-",IF('Data Source'!AE527&gt;=3,"B",IF('Data Source'!AE527&gt;=2,"C",IF('Data Source'!AE527&gt;=1,"D","F")))))),"")</f>
        <v/>
      </c>
      <c r="N527" s="3">
        <f>IF(AND('Data Source'!B527&lt;&gt;"",'Data Source'!S527="F"),IF('Data Source'!AF527&gt;=5,"A+",IF('Data Source'!AF527&gt;=4,"A",IF('Data Source'!AF527&gt;=3.5,"A-",IF('Data Source'!AF527&gt;=3,"B",IF('Data Source'!AF527&gt;=2,"C",IF('Data Source'!AF527&gt;=1,"D","F")))))),"")</f>
        <v/>
      </c>
      <c r="O527" s="3">
        <f>IF(AND('Data Source'!B527&lt;&gt;"",'Data Source'!S527="F"),IF('Data Source'!AG527&gt;=5,"A+",IF('Data Source'!AG527&gt;=4,"A",IF('Data Source'!AG527&gt;=3.5,"A-",IF('Data Source'!AG527&gt;=3,"B",IF('Data Source'!AG527&gt;=2,"C",IF('Data Source'!AG527&gt;=1,"D","F")))))),"")</f>
        <v/>
      </c>
      <c r="P527" s="5">
        <f>IF(AND('Data Source'!B527&lt;&gt;"",'Data Source'!S527="F"),'Data Source'!R527,"")</f>
        <v/>
      </c>
      <c r="Q527" s="3">
        <f>IF(AND('Data Source'!B527&lt;&gt;"",'Data Source'!S527="F"),'Data Source'!S527,"")</f>
        <v/>
      </c>
    </row>
    <row r="528">
      <c r="A528" s="3">
        <f>IF(AND('Data Source'!B528&lt;&gt;"",'Data Source'!S528="F"),COUNTIF('Data Source'!$S$3:S528,"F"),"")</f>
        <v/>
      </c>
      <c r="B528">
        <f>IF(AND('Data Source'!B528&lt;&gt;"",'Data Source'!S528="F"),'Data Source'!B528,"")</f>
        <v/>
      </c>
      <c r="C528" s="3">
        <f>IF(AND('Data Source'!B528&lt;&gt;"",'Data Source'!S528="F"),IF('Data Source'!U528&gt;=5,"A+",IF('Data Source'!U528&gt;=4,"A",IF('Data Source'!U528&gt;=3.5,"A-",IF('Data Source'!U528&gt;=3,"B",IF('Data Source'!U528&gt;=2,"C",IF('Data Source'!U528&gt;=1,"D","F")))))),"")</f>
        <v/>
      </c>
      <c r="D528" s="3">
        <f>IF(AND('Data Source'!B528&lt;&gt;"",'Data Source'!S528="F"),IF('Data Source'!V528&gt;=5,"A+",IF('Data Source'!V528&gt;=4,"A",IF('Data Source'!V528&gt;=3.5,"A-",IF('Data Source'!V528&gt;=3,"B",IF('Data Source'!V528&gt;=2,"C",IF('Data Source'!V528&gt;=1,"D","F")))))),"")</f>
        <v/>
      </c>
      <c r="E528" s="3">
        <f>IF(AND('Data Source'!B528&lt;&gt;"",'Data Source'!S528="F"),IF('Data Source'!W528&gt;=5,"A+",IF('Data Source'!W528&gt;=4,"A",IF('Data Source'!W528&gt;=3.5,"A-",IF('Data Source'!W528&gt;=3,"B",IF('Data Source'!W528&gt;=2,"C",IF('Data Source'!W528&gt;=1,"D","F")))))),"")</f>
        <v/>
      </c>
      <c r="F528" s="3">
        <f>IF(AND('Data Source'!B528&lt;&gt;"",'Data Source'!S528="F"),IF('Data Source'!X528&gt;=5,"A+",IF('Data Source'!X528&gt;=4,"A",IF('Data Source'!X528&gt;=3.5,"A-",IF('Data Source'!X528&gt;=3,"B",IF('Data Source'!X528&gt;=2,"C",IF('Data Source'!X528&gt;=1,"D","F")))))),"")</f>
        <v/>
      </c>
      <c r="G528" s="3">
        <f>IF(AND('Data Source'!B528&lt;&gt;"",'Data Source'!S528="F"),IF('Data Source'!Y528&gt;=5,"A+",IF('Data Source'!Y528&gt;=4,"A",IF('Data Source'!Y528&gt;=3.5,"A-",IF('Data Source'!Y528&gt;=3,"B",IF('Data Source'!Y528&gt;=2,"C",IF('Data Source'!Y528&gt;=1,"D","F")))))),"")</f>
        <v/>
      </c>
      <c r="H528" s="3">
        <f>IF(AND('Data Source'!B528&lt;&gt;"",'Data Source'!S528="F"),IF('Data Source'!Z528&gt;=5,"A+",IF('Data Source'!Z528&gt;=4,"A",IF('Data Source'!Z528&gt;=3.5,"A-",IF('Data Source'!Z528&gt;=3,"B",IF('Data Source'!Z528&gt;=2,"C",IF('Data Source'!Z528&gt;=1,"D","F")))))),"")</f>
        <v/>
      </c>
      <c r="I528" s="3">
        <f>IF(AND('Data Source'!B528&lt;&gt;"",'Data Source'!S528="F"),IF('Data Source'!AA528&gt;=5,"A+",IF('Data Source'!AA528&gt;=4,"A",IF('Data Source'!AA528&gt;=3.5,"A-",IF('Data Source'!AA528&gt;=3,"B",IF('Data Source'!AA528&gt;=2,"C",IF('Data Source'!AA528&gt;=1,"D","F")))))),"")</f>
        <v/>
      </c>
      <c r="J528" s="3">
        <f>IF(AND('Data Source'!B528&lt;&gt;"",'Data Source'!S528="F"),IF('Data Source'!AB528&gt;=5,"A+",IF('Data Source'!AB528&gt;=4,"A",IF('Data Source'!AB528&gt;=3.5,"A-",IF('Data Source'!AB528&gt;=3,"B",IF('Data Source'!AB528&gt;=2,"C",IF('Data Source'!AB528&gt;=1,"D","F")))))),"")</f>
        <v/>
      </c>
      <c r="K528" s="3">
        <f>IF(AND('Data Source'!B528&lt;&gt;"",'Data Source'!S528="F"),IF('Data Source'!AC528&gt;=5,"A+",IF('Data Source'!AC528&gt;=4,"A",IF('Data Source'!AC528&gt;=3.5,"A-",IF('Data Source'!AC528&gt;=3,"B",IF('Data Source'!AC528&gt;=2,"C",IF('Data Source'!AC528&gt;=1,"D","F")))))),"")</f>
        <v/>
      </c>
      <c r="L528" s="3">
        <f>IF(AND('Data Source'!B528&lt;&gt;"",'Data Source'!S528="F"),IF('Data Source'!AD528&gt;=5,"A+",IF('Data Source'!AD528&gt;=4,"A",IF('Data Source'!AD528&gt;=3.5,"A-",IF('Data Source'!AD528&gt;=3,"B",IF('Data Source'!AD528&gt;=2,"C",IF('Data Source'!AD528&gt;=1,"D","F")))))),"")</f>
        <v/>
      </c>
      <c r="M528" s="3">
        <f>IF(AND('Data Source'!B528&lt;&gt;"",'Data Source'!S528="F"),IF('Data Source'!AE528&gt;=5,"A+",IF('Data Source'!AE528&gt;=4,"A",IF('Data Source'!AE528&gt;=3.5,"A-",IF('Data Source'!AE528&gt;=3,"B",IF('Data Source'!AE528&gt;=2,"C",IF('Data Source'!AE528&gt;=1,"D","F")))))),"")</f>
        <v/>
      </c>
      <c r="N528" s="3">
        <f>IF(AND('Data Source'!B528&lt;&gt;"",'Data Source'!S528="F"),IF('Data Source'!AF528&gt;=5,"A+",IF('Data Source'!AF528&gt;=4,"A",IF('Data Source'!AF528&gt;=3.5,"A-",IF('Data Source'!AF528&gt;=3,"B",IF('Data Source'!AF528&gt;=2,"C",IF('Data Source'!AF528&gt;=1,"D","F")))))),"")</f>
        <v/>
      </c>
      <c r="O528" s="3">
        <f>IF(AND('Data Source'!B528&lt;&gt;"",'Data Source'!S528="F"),IF('Data Source'!AG528&gt;=5,"A+",IF('Data Source'!AG528&gt;=4,"A",IF('Data Source'!AG528&gt;=3.5,"A-",IF('Data Source'!AG528&gt;=3,"B",IF('Data Source'!AG528&gt;=2,"C",IF('Data Source'!AG528&gt;=1,"D","F")))))),"")</f>
        <v/>
      </c>
      <c r="P528" s="5">
        <f>IF(AND('Data Source'!B528&lt;&gt;"",'Data Source'!S528="F"),'Data Source'!R528,"")</f>
        <v/>
      </c>
      <c r="Q528" s="3">
        <f>IF(AND('Data Source'!B528&lt;&gt;"",'Data Source'!S528="F"),'Data Source'!S528,"")</f>
        <v/>
      </c>
    </row>
    <row r="529">
      <c r="A529" s="3">
        <f>IF(AND('Data Source'!B529&lt;&gt;"",'Data Source'!S529="F"),COUNTIF('Data Source'!$S$3:S529,"F"),"")</f>
        <v/>
      </c>
      <c r="B529">
        <f>IF(AND('Data Source'!B529&lt;&gt;"",'Data Source'!S529="F"),'Data Source'!B529,"")</f>
        <v/>
      </c>
      <c r="C529" s="3">
        <f>IF(AND('Data Source'!B529&lt;&gt;"",'Data Source'!S529="F"),IF('Data Source'!U529&gt;=5,"A+",IF('Data Source'!U529&gt;=4,"A",IF('Data Source'!U529&gt;=3.5,"A-",IF('Data Source'!U529&gt;=3,"B",IF('Data Source'!U529&gt;=2,"C",IF('Data Source'!U529&gt;=1,"D","F")))))),"")</f>
        <v/>
      </c>
      <c r="D529" s="3">
        <f>IF(AND('Data Source'!B529&lt;&gt;"",'Data Source'!S529="F"),IF('Data Source'!V529&gt;=5,"A+",IF('Data Source'!V529&gt;=4,"A",IF('Data Source'!V529&gt;=3.5,"A-",IF('Data Source'!V529&gt;=3,"B",IF('Data Source'!V529&gt;=2,"C",IF('Data Source'!V529&gt;=1,"D","F")))))),"")</f>
        <v/>
      </c>
      <c r="E529" s="3">
        <f>IF(AND('Data Source'!B529&lt;&gt;"",'Data Source'!S529="F"),IF('Data Source'!W529&gt;=5,"A+",IF('Data Source'!W529&gt;=4,"A",IF('Data Source'!W529&gt;=3.5,"A-",IF('Data Source'!W529&gt;=3,"B",IF('Data Source'!W529&gt;=2,"C",IF('Data Source'!W529&gt;=1,"D","F")))))),"")</f>
        <v/>
      </c>
      <c r="F529" s="3">
        <f>IF(AND('Data Source'!B529&lt;&gt;"",'Data Source'!S529="F"),IF('Data Source'!X529&gt;=5,"A+",IF('Data Source'!X529&gt;=4,"A",IF('Data Source'!X529&gt;=3.5,"A-",IF('Data Source'!X529&gt;=3,"B",IF('Data Source'!X529&gt;=2,"C",IF('Data Source'!X529&gt;=1,"D","F")))))),"")</f>
        <v/>
      </c>
      <c r="G529" s="3">
        <f>IF(AND('Data Source'!B529&lt;&gt;"",'Data Source'!S529="F"),IF('Data Source'!Y529&gt;=5,"A+",IF('Data Source'!Y529&gt;=4,"A",IF('Data Source'!Y529&gt;=3.5,"A-",IF('Data Source'!Y529&gt;=3,"B",IF('Data Source'!Y529&gt;=2,"C",IF('Data Source'!Y529&gt;=1,"D","F")))))),"")</f>
        <v/>
      </c>
      <c r="H529" s="3">
        <f>IF(AND('Data Source'!B529&lt;&gt;"",'Data Source'!S529="F"),IF('Data Source'!Z529&gt;=5,"A+",IF('Data Source'!Z529&gt;=4,"A",IF('Data Source'!Z529&gt;=3.5,"A-",IF('Data Source'!Z529&gt;=3,"B",IF('Data Source'!Z529&gt;=2,"C",IF('Data Source'!Z529&gt;=1,"D","F")))))),"")</f>
        <v/>
      </c>
      <c r="I529" s="3">
        <f>IF(AND('Data Source'!B529&lt;&gt;"",'Data Source'!S529="F"),IF('Data Source'!AA529&gt;=5,"A+",IF('Data Source'!AA529&gt;=4,"A",IF('Data Source'!AA529&gt;=3.5,"A-",IF('Data Source'!AA529&gt;=3,"B",IF('Data Source'!AA529&gt;=2,"C",IF('Data Source'!AA529&gt;=1,"D","F")))))),"")</f>
        <v/>
      </c>
      <c r="J529" s="3">
        <f>IF(AND('Data Source'!B529&lt;&gt;"",'Data Source'!S529="F"),IF('Data Source'!AB529&gt;=5,"A+",IF('Data Source'!AB529&gt;=4,"A",IF('Data Source'!AB529&gt;=3.5,"A-",IF('Data Source'!AB529&gt;=3,"B",IF('Data Source'!AB529&gt;=2,"C",IF('Data Source'!AB529&gt;=1,"D","F")))))),"")</f>
        <v/>
      </c>
      <c r="K529" s="3">
        <f>IF(AND('Data Source'!B529&lt;&gt;"",'Data Source'!S529="F"),IF('Data Source'!AC529&gt;=5,"A+",IF('Data Source'!AC529&gt;=4,"A",IF('Data Source'!AC529&gt;=3.5,"A-",IF('Data Source'!AC529&gt;=3,"B",IF('Data Source'!AC529&gt;=2,"C",IF('Data Source'!AC529&gt;=1,"D","F")))))),"")</f>
        <v/>
      </c>
      <c r="L529" s="3">
        <f>IF(AND('Data Source'!B529&lt;&gt;"",'Data Source'!S529="F"),IF('Data Source'!AD529&gt;=5,"A+",IF('Data Source'!AD529&gt;=4,"A",IF('Data Source'!AD529&gt;=3.5,"A-",IF('Data Source'!AD529&gt;=3,"B",IF('Data Source'!AD529&gt;=2,"C",IF('Data Source'!AD529&gt;=1,"D","F")))))),"")</f>
        <v/>
      </c>
      <c r="M529" s="3">
        <f>IF(AND('Data Source'!B529&lt;&gt;"",'Data Source'!S529="F"),IF('Data Source'!AE529&gt;=5,"A+",IF('Data Source'!AE529&gt;=4,"A",IF('Data Source'!AE529&gt;=3.5,"A-",IF('Data Source'!AE529&gt;=3,"B",IF('Data Source'!AE529&gt;=2,"C",IF('Data Source'!AE529&gt;=1,"D","F")))))),"")</f>
        <v/>
      </c>
      <c r="N529" s="3">
        <f>IF(AND('Data Source'!B529&lt;&gt;"",'Data Source'!S529="F"),IF('Data Source'!AF529&gt;=5,"A+",IF('Data Source'!AF529&gt;=4,"A",IF('Data Source'!AF529&gt;=3.5,"A-",IF('Data Source'!AF529&gt;=3,"B",IF('Data Source'!AF529&gt;=2,"C",IF('Data Source'!AF529&gt;=1,"D","F")))))),"")</f>
        <v/>
      </c>
      <c r="O529" s="3">
        <f>IF(AND('Data Source'!B529&lt;&gt;"",'Data Source'!S529="F"),IF('Data Source'!AG529&gt;=5,"A+",IF('Data Source'!AG529&gt;=4,"A",IF('Data Source'!AG529&gt;=3.5,"A-",IF('Data Source'!AG529&gt;=3,"B",IF('Data Source'!AG529&gt;=2,"C",IF('Data Source'!AG529&gt;=1,"D","F")))))),"")</f>
        <v/>
      </c>
      <c r="P529" s="5">
        <f>IF(AND('Data Source'!B529&lt;&gt;"",'Data Source'!S529="F"),'Data Source'!R529,"")</f>
        <v/>
      </c>
      <c r="Q529" s="3">
        <f>IF(AND('Data Source'!B529&lt;&gt;"",'Data Source'!S529="F"),'Data Source'!S529,"")</f>
        <v/>
      </c>
    </row>
    <row r="530">
      <c r="A530" s="3">
        <f>IF(AND('Data Source'!B530&lt;&gt;"",'Data Source'!S530="F"),COUNTIF('Data Source'!$S$3:S530,"F"),"")</f>
        <v/>
      </c>
      <c r="B530">
        <f>IF(AND('Data Source'!B530&lt;&gt;"",'Data Source'!S530="F"),'Data Source'!B530,"")</f>
        <v/>
      </c>
      <c r="C530" s="3">
        <f>IF(AND('Data Source'!B530&lt;&gt;"",'Data Source'!S530="F"),IF('Data Source'!U530&gt;=5,"A+",IF('Data Source'!U530&gt;=4,"A",IF('Data Source'!U530&gt;=3.5,"A-",IF('Data Source'!U530&gt;=3,"B",IF('Data Source'!U530&gt;=2,"C",IF('Data Source'!U530&gt;=1,"D","F")))))),"")</f>
        <v/>
      </c>
      <c r="D530" s="3">
        <f>IF(AND('Data Source'!B530&lt;&gt;"",'Data Source'!S530="F"),IF('Data Source'!V530&gt;=5,"A+",IF('Data Source'!V530&gt;=4,"A",IF('Data Source'!V530&gt;=3.5,"A-",IF('Data Source'!V530&gt;=3,"B",IF('Data Source'!V530&gt;=2,"C",IF('Data Source'!V530&gt;=1,"D","F")))))),"")</f>
        <v/>
      </c>
      <c r="E530" s="3">
        <f>IF(AND('Data Source'!B530&lt;&gt;"",'Data Source'!S530="F"),IF('Data Source'!W530&gt;=5,"A+",IF('Data Source'!W530&gt;=4,"A",IF('Data Source'!W530&gt;=3.5,"A-",IF('Data Source'!W530&gt;=3,"B",IF('Data Source'!W530&gt;=2,"C",IF('Data Source'!W530&gt;=1,"D","F")))))),"")</f>
        <v/>
      </c>
      <c r="F530" s="3">
        <f>IF(AND('Data Source'!B530&lt;&gt;"",'Data Source'!S530="F"),IF('Data Source'!X530&gt;=5,"A+",IF('Data Source'!X530&gt;=4,"A",IF('Data Source'!X530&gt;=3.5,"A-",IF('Data Source'!X530&gt;=3,"B",IF('Data Source'!X530&gt;=2,"C",IF('Data Source'!X530&gt;=1,"D","F")))))),"")</f>
        <v/>
      </c>
      <c r="G530" s="3">
        <f>IF(AND('Data Source'!B530&lt;&gt;"",'Data Source'!S530="F"),IF('Data Source'!Y530&gt;=5,"A+",IF('Data Source'!Y530&gt;=4,"A",IF('Data Source'!Y530&gt;=3.5,"A-",IF('Data Source'!Y530&gt;=3,"B",IF('Data Source'!Y530&gt;=2,"C",IF('Data Source'!Y530&gt;=1,"D","F")))))),"")</f>
        <v/>
      </c>
      <c r="H530" s="3">
        <f>IF(AND('Data Source'!B530&lt;&gt;"",'Data Source'!S530="F"),IF('Data Source'!Z530&gt;=5,"A+",IF('Data Source'!Z530&gt;=4,"A",IF('Data Source'!Z530&gt;=3.5,"A-",IF('Data Source'!Z530&gt;=3,"B",IF('Data Source'!Z530&gt;=2,"C",IF('Data Source'!Z530&gt;=1,"D","F")))))),"")</f>
        <v/>
      </c>
      <c r="I530" s="3">
        <f>IF(AND('Data Source'!B530&lt;&gt;"",'Data Source'!S530="F"),IF('Data Source'!AA530&gt;=5,"A+",IF('Data Source'!AA530&gt;=4,"A",IF('Data Source'!AA530&gt;=3.5,"A-",IF('Data Source'!AA530&gt;=3,"B",IF('Data Source'!AA530&gt;=2,"C",IF('Data Source'!AA530&gt;=1,"D","F")))))),"")</f>
        <v/>
      </c>
      <c r="J530" s="3">
        <f>IF(AND('Data Source'!B530&lt;&gt;"",'Data Source'!S530="F"),IF('Data Source'!AB530&gt;=5,"A+",IF('Data Source'!AB530&gt;=4,"A",IF('Data Source'!AB530&gt;=3.5,"A-",IF('Data Source'!AB530&gt;=3,"B",IF('Data Source'!AB530&gt;=2,"C",IF('Data Source'!AB530&gt;=1,"D","F")))))),"")</f>
        <v/>
      </c>
      <c r="K530" s="3">
        <f>IF(AND('Data Source'!B530&lt;&gt;"",'Data Source'!S530="F"),IF('Data Source'!AC530&gt;=5,"A+",IF('Data Source'!AC530&gt;=4,"A",IF('Data Source'!AC530&gt;=3.5,"A-",IF('Data Source'!AC530&gt;=3,"B",IF('Data Source'!AC530&gt;=2,"C",IF('Data Source'!AC530&gt;=1,"D","F")))))),"")</f>
        <v/>
      </c>
      <c r="L530" s="3">
        <f>IF(AND('Data Source'!B530&lt;&gt;"",'Data Source'!S530="F"),IF('Data Source'!AD530&gt;=5,"A+",IF('Data Source'!AD530&gt;=4,"A",IF('Data Source'!AD530&gt;=3.5,"A-",IF('Data Source'!AD530&gt;=3,"B",IF('Data Source'!AD530&gt;=2,"C",IF('Data Source'!AD530&gt;=1,"D","F")))))),"")</f>
        <v/>
      </c>
      <c r="M530" s="3">
        <f>IF(AND('Data Source'!B530&lt;&gt;"",'Data Source'!S530="F"),IF('Data Source'!AE530&gt;=5,"A+",IF('Data Source'!AE530&gt;=4,"A",IF('Data Source'!AE530&gt;=3.5,"A-",IF('Data Source'!AE530&gt;=3,"B",IF('Data Source'!AE530&gt;=2,"C",IF('Data Source'!AE530&gt;=1,"D","F")))))),"")</f>
        <v/>
      </c>
      <c r="N530" s="3">
        <f>IF(AND('Data Source'!B530&lt;&gt;"",'Data Source'!S530="F"),IF('Data Source'!AF530&gt;=5,"A+",IF('Data Source'!AF530&gt;=4,"A",IF('Data Source'!AF530&gt;=3.5,"A-",IF('Data Source'!AF530&gt;=3,"B",IF('Data Source'!AF530&gt;=2,"C",IF('Data Source'!AF530&gt;=1,"D","F")))))),"")</f>
        <v/>
      </c>
      <c r="O530" s="3">
        <f>IF(AND('Data Source'!B530&lt;&gt;"",'Data Source'!S530="F"),IF('Data Source'!AG530&gt;=5,"A+",IF('Data Source'!AG530&gt;=4,"A",IF('Data Source'!AG530&gt;=3.5,"A-",IF('Data Source'!AG530&gt;=3,"B",IF('Data Source'!AG530&gt;=2,"C",IF('Data Source'!AG530&gt;=1,"D","F")))))),"")</f>
        <v/>
      </c>
      <c r="P530" s="5">
        <f>IF(AND('Data Source'!B530&lt;&gt;"",'Data Source'!S530="F"),'Data Source'!R530,"")</f>
        <v/>
      </c>
      <c r="Q530" s="3">
        <f>IF(AND('Data Source'!B530&lt;&gt;"",'Data Source'!S530="F"),'Data Source'!S530,"")</f>
        <v/>
      </c>
    </row>
    <row r="531">
      <c r="A531" s="3">
        <f>IF(AND('Data Source'!B531&lt;&gt;"",'Data Source'!S531="F"),COUNTIF('Data Source'!$S$3:S531,"F"),"")</f>
        <v/>
      </c>
      <c r="B531">
        <f>IF(AND('Data Source'!B531&lt;&gt;"",'Data Source'!S531="F"),'Data Source'!B531,"")</f>
        <v/>
      </c>
      <c r="C531" s="3">
        <f>IF(AND('Data Source'!B531&lt;&gt;"",'Data Source'!S531="F"),IF('Data Source'!U531&gt;=5,"A+",IF('Data Source'!U531&gt;=4,"A",IF('Data Source'!U531&gt;=3.5,"A-",IF('Data Source'!U531&gt;=3,"B",IF('Data Source'!U531&gt;=2,"C",IF('Data Source'!U531&gt;=1,"D","F")))))),"")</f>
        <v/>
      </c>
      <c r="D531" s="3">
        <f>IF(AND('Data Source'!B531&lt;&gt;"",'Data Source'!S531="F"),IF('Data Source'!V531&gt;=5,"A+",IF('Data Source'!V531&gt;=4,"A",IF('Data Source'!V531&gt;=3.5,"A-",IF('Data Source'!V531&gt;=3,"B",IF('Data Source'!V531&gt;=2,"C",IF('Data Source'!V531&gt;=1,"D","F")))))),"")</f>
        <v/>
      </c>
      <c r="E531" s="3">
        <f>IF(AND('Data Source'!B531&lt;&gt;"",'Data Source'!S531="F"),IF('Data Source'!W531&gt;=5,"A+",IF('Data Source'!W531&gt;=4,"A",IF('Data Source'!W531&gt;=3.5,"A-",IF('Data Source'!W531&gt;=3,"B",IF('Data Source'!W531&gt;=2,"C",IF('Data Source'!W531&gt;=1,"D","F")))))),"")</f>
        <v/>
      </c>
      <c r="F531" s="3">
        <f>IF(AND('Data Source'!B531&lt;&gt;"",'Data Source'!S531="F"),IF('Data Source'!X531&gt;=5,"A+",IF('Data Source'!X531&gt;=4,"A",IF('Data Source'!X531&gt;=3.5,"A-",IF('Data Source'!X531&gt;=3,"B",IF('Data Source'!X531&gt;=2,"C",IF('Data Source'!X531&gt;=1,"D","F")))))),"")</f>
        <v/>
      </c>
      <c r="G531" s="3">
        <f>IF(AND('Data Source'!B531&lt;&gt;"",'Data Source'!S531="F"),IF('Data Source'!Y531&gt;=5,"A+",IF('Data Source'!Y531&gt;=4,"A",IF('Data Source'!Y531&gt;=3.5,"A-",IF('Data Source'!Y531&gt;=3,"B",IF('Data Source'!Y531&gt;=2,"C",IF('Data Source'!Y531&gt;=1,"D","F")))))),"")</f>
        <v/>
      </c>
      <c r="H531" s="3">
        <f>IF(AND('Data Source'!B531&lt;&gt;"",'Data Source'!S531="F"),IF('Data Source'!Z531&gt;=5,"A+",IF('Data Source'!Z531&gt;=4,"A",IF('Data Source'!Z531&gt;=3.5,"A-",IF('Data Source'!Z531&gt;=3,"B",IF('Data Source'!Z531&gt;=2,"C",IF('Data Source'!Z531&gt;=1,"D","F")))))),"")</f>
        <v/>
      </c>
      <c r="I531" s="3">
        <f>IF(AND('Data Source'!B531&lt;&gt;"",'Data Source'!S531="F"),IF('Data Source'!AA531&gt;=5,"A+",IF('Data Source'!AA531&gt;=4,"A",IF('Data Source'!AA531&gt;=3.5,"A-",IF('Data Source'!AA531&gt;=3,"B",IF('Data Source'!AA531&gt;=2,"C",IF('Data Source'!AA531&gt;=1,"D","F")))))),"")</f>
        <v/>
      </c>
      <c r="J531" s="3">
        <f>IF(AND('Data Source'!B531&lt;&gt;"",'Data Source'!S531="F"),IF('Data Source'!AB531&gt;=5,"A+",IF('Data Source'!AB531&gt;=4,"A",IF('Data Source'!AB531&gt;=3.5,"A-",IF('Data Source'!AB531&gt;=3,"B",IF('Data Source'!AB531&gt;=2,"C",IF('Data Source'!AB531&gt;=1,"D","F")))))),"")</f>
        <v/>
      </c>
      <c r="K531" s="3">
        <f>IF(AND('Data Source'!B531&lt;&gt;"",'Data Source'!S531="F"),IF('Data Source'!AC531&gt;=5,"A+",IF('Data Source'!AC531&gt;=4,"A",IF('Data Source'!AC531&gt;=3.5,"A-",IF('Data Source'!AC531&gt;=3,"B",IF('Data Source'!AC531&gt;=2,"C",IF('Data Source'!AC531&gt;=1,"D","F")))))),"")</f>
        <v/>
      </c>
      <c r="L531" s="3">
        <f>IF(AND('Data Source'!B531&lt;&gt;"",'Data Source'!S531="F"),IF('Data Source'!AD531&gt;=5,"A+",IF('Data Source'!AD531&gt;=4,"A",IF('Data Source'!AD531&gt;=3.5,"A-",IF('Data Source'!AD531&gt;=3,"B",IF('Data Source'!AD531&gt;=2,"C",IF('Data Source'!AD531&gt;=1,"D","F")))))),"")</f>
        <v/>
      </c>
      <c r="M531" s="3">
        <f>IF(AND('Data Source'!B531&lt;&gt;"",'Data Source'!S531="F"),IF('Data Source'!AE531&gt;=5,"A+",IF('Data Source'!AE531&gt;=4,"A",IF('Data Source'!AE531&gt;=3.5,"A-",IF('Data Source'!AE531&gt;=3,"B",IF('Data Source'!AE531&gt;=2,"C",IF('Data Source'!AE531&gt;=1,"D","F")))))),"")</f>
        <v/>
      </c>
      <c r="N531" s="3">
        <f>IF(AND('Data Source'!B531&lt;&gt;"",'Data Source'!S531="F"),IF('Data Source'!AF531&gt;=5,"A+",IF('Data Source'!AF531&gt;=4,"A",IF('Data Source'!AF531&gt;=3.5,"A-",IF('Data Source'!AF531&gt;=3,"B",IF('Data Source'!AF531&gt;=2,"C",IF('Data Source'!AF531&gt;=1,"D","F")))))),"")</f>
        <v/>
      </c>
      <c r="O531" s="3">
        <f>IF(AND('Data Source'!B531&lt;&gt;"",'Data Source'!S531="F"),IF('Data Source'!AG531&gt;=5,"A+",IF('Data Source'!AG531&gt;=4,"A",IF('Data Source'!AG531&gt;=3.5,"A-",IF('Data Source'!AG531&gt;=3,"B",IF('Data Source'!AG531&gt;=2,"C",IF('Data Source'!AG531&gt;=1,"D","F")))))),"")</f>
        <v/>
      </c>
      <c r="P531" s="5">
        <f>IF(AND('Data Source'!B531&lt;&gt;"",'Data Source'!S531="F"),'Data Source'!R531,"")</f>
        <v/>
      </c>
      <c r="Q531" s="3">
        <f>IF(AND('Data Source'!B531&lt;&gt;"",'Data Source'!S531="F"),'Data Source'!S531,"")</f>
        <v/>
      </c>
    </row>
    <row r="532">
      <c r="A532" s="3">
        <f>IF(AND('Data Source'!B532&lt;&gt;"",'Data Source'!S532="F"),COUNTIF('Data Source'!$S$3:S532,"F"),"")</f>
        <v/>
      </c>
      <c r="B532">
        <f>IF(AND('Data Source'!B532&lt;&gt;"",'Data Source'!S532="F"),'Data Source'!B532,"")</f>
        <v/>
      </c>
      <c r="C532" s="3">
        <f>IF(AND('Data Source'!B532&lt;&gt;"",'Data Source'!S532="F"),IF('Data Source'!U532&gt;=5,"A+",IF('Data Source'!U532&gt;=4,"A",IF('Data Source'!U532&gt;=3.5,"A-",IF('Data Source'!U532&gt;=3,"B",IF('Data Source'!U532&gt;=2,"C",IF('Data Source'!U532&gt;=1,"D","F")))))),"")</f>
        <v/>
      </c>
      <c r="D532" s="3">
        <f>IF(AND('Data Source'!B532&lt;&gt;"",'Data Source'!S532="F"),IF('Data Source'!V532&gt;=5,"A+",IF('Data Source'!V532&gt;=4,"A",IF('Data Source'!V532&gt;=3.5,"A-",IF('Data Source'!V532&gt;=3,"B",IF('Data Source'!V532&gt;=2,"C",IF('Data Source'!V532&gt;=1,"D","F")))))),"")</f>
        <v/>
      </c>
      <c r="E532" s="3">
        <f>IF(AND('Data Source'!B532&lt;&gt;"",'Data Source'!S532="F"),IF('Data Source'!W532&gt;=5,"A+",IF('Data Source'!W532&gt;=4,"A",IF('Data Source'!W532&gt;=3.5,"A-",IF('Data Source'!W532&gt;=3,"B",IF('Data Source'!W532&gt;=2,"C",IF('Data Source'!W532&gt;=1,"D","F")))))),"")</f>
        <v/>
      </c>
      <c r="F532" s="3">
        <f>IF(AND('Data Source'!B532&lt;&gt;"",'Data Source'!S532="F"),IF('Data Source'!X532&gt;=5,"A+",IF('Data Source'!X532&gt;=4,"A",IF('Data Source'!X532&gt;=3.5,"A-",IF('Data Source'!X532&gt;=3,"B",IF('Data Source'!X532&gt;=2,"C",IF('Data Source'!X532&gt;=1,"D","F")))))),"")</f>
        <v/>
      </c>
      <c r="G532" s="3">
        <f>IF(AND('Data Source'!B532&lt;&gt;"",'Data Source'!S532="F"),IF('Data Source'!Y532&gt;=5,"A+",IF('Data Source'!Y532&gt;=4,"A",IF('Data Source'!Y532&gt;=3.5,"A-",IF('Data Source'!Y532&gt;=3,"B",IF('Data Source'!Y532&gt;=2,"C",IF('Data Source'!Y532&gt;=1,"D","F")))))),"")</f>
        <v/>
      </c>
      <c r="H532" s="3">
        <f>IF(AND('Data Source'!B532&lt;&gt;"",'Data Source'!S532="F"),IF('Data Source'!Z532&gt;=5,"A+",IF('Data Source'!Z532&gt;=4,"A",IF('Data Source'!Z532&gt;=3.5,"A-",IF('Data Source'!Z532&gt;=3,"B",IF('Data Source'!Z532&gt;=2,"C",IF('Data Source'!Z532&gt;=1,"D","F")))))),"")</f>
        <v/>
      </c>
      <c r="I532" s="3">
        <f>IF(AND('Data Source'!B532&lt;&gt;"",'Data Source'!S532="F"),IF('Data Source'!AA532&gt;=5,"A+",IF('Data Source'!AA532&gt;=4,"A",IF('Data Source'!AA532&gt;=3.5,"A-",IF('Data Source'!AA532&gt;=3,"B",IF('Data Source'!AA532&gt;=2,"C",IF('Data Source'!AA532&gt;=1,"D","F")))))),"")</f>
        <v/>
      </c>
      <c r="J532" s="3">
        <f>IF(AND('Data Source'!B532&lt;&gt;"",'Data Source'!S532="F"),IF('Data Source'!AB532&gt;=5,"A+",IF('Data Source'!AB532&gt;=4,"A",IF('Data Source'!AB532&gt;=3.5,"A-",IF('Data Source'!AB532&gt;=3,"B",IF('Data Source'!AB532&gt;=2,"C",IF('Data Source'!AB532&gt;=1,"D","F")))))),"")</f>
        <v/>
      </c>
      <c r="K532" s="3">
        <f>IF(AND('Data Source'!B532&lt;&gt;"",'Data Source'!S532="F"),IF('Data Source'!AC532&gt;=5,"A+",IF('Data Source'!AC532&gt;=4,"A",IF('Data Source'!AC532&gt;=3.5,"A-",IF('Data Source'!AC532&gt;=3,"B",IF('Data Source'!AC532&gt;=2,"C",IF('Data Source'!AC532&gt;=1,"D","F")))))),"")</f>
        <v/>
      </c>
      <c r="L532" s="3">
        <f>IF(AND('Data Source'!B532&lt;&gt;"",'Data Source'!S532="F"),IF('Data Source'!AD532&gt;=5,"A+",IF('Data Source'!AD532&gt;=4,"A",IF('Data Source'!AD532&gt;=3.5,"A-",IF('Data Source'!AD532&gt;=3,"B",IF('Data Source'!AD532&gt;=2,"C",IF('Data Source'!AD532&gt;=1,"D","F")))))),"")</f>
        <v/>
      </c>
      <c r="M532" s="3">
        <f>IF(AND('Data Source'!B532&lt;&gt;"",'Data Source'!S532="F"),IF('Data Source'!AE532&gt;=5,"A+",IF('Data Source'!AE532&gt;=4,"A",IF('Data Source'!AE532&gt;=3.5,"A-",IF('Data Source'!AE532&gt;=3,"B",IF('Data Source'!AE532&gt;=2,"C",IF('Data Source'!AE532&gt;=1,"D","F")))))),"")</f>
        <v/>
      </c>
      <c r="N532" s="3">
        <f>IF(AND('Data Source'!B532&lt;&gt;"",'Data Source'!S532="F"),IF('Data Source'!AF532&gt;=5,"A+",IF('Data Source'!AF532&gt;=4,"A",IF('Data Source'!AF532&gt;=3.5,"A-",IF('Data Source'!AF532&gt;=3,"B",IF('Data Source'!AF532&gt;=2,"C",IF('Data Source'!AF532&gt;=1,"D","F")))))),"")</f>
        <v/>
      </c>
      <c r="O532" s="3">
        <f>IF(AND('Data Source'!B532&lt;&gt;"",'Data Source'!S532="F"),IF('Data Source'!AG532&gt;=5,"A+",IF('Data Source'!AG532&gt;=4,"A",IF('Data Source'!AG532&gt;=3.5,"A-",IF('Data Source'!AG532&gt;=3,"B",IF('Data Source'!AG532&gt;=2,"C",IF('Data Source'!AG532&gt;=1,"D","F")))))),"")</f>
        <v/>
      </c>
      <c r="P532" s="5">
        <f>IF(AND('Data Source'!B532&lt;&gt;"",'Data Source'!S532="F"),'Data Source'!R532,"")</f>
        <v/>
      </c>
      <c r="Q532" s="3">
        <f>IF(AND('Data Source'!B532&lt;&gt;"",'Data Source'!S532="F"),'Data Source'!S532,"")</f>
        <v/>
      </c>
    </row>
    <row r="533">
      <c r="A533" s="3">
        <f>IF(AND('Data Source'!B533&lt;&gt;"",'Data Source'!S533="F"),COUNTIF('Data Source'!$S$3:S533,"F"),"")</f>
        <v/>
      </c>
      <c r="B533">
        <f>IF(AND('Data Source'!B533&lt;&gt;"",'Data Source'!S533="F"),'Data Source'!B533,"")</f>
        <v/>
      </c>
      <c r="C533" s="3">
        <f>IF(AND('Data Source'!B533&lt;&gt;"",'Data Source'!S533="F"),IF('Data Source'!U533&gt;=5,"A+",IF('Data Source'!U533&gt;=4,"A",IF('Data Source'!U533&gt;=3.5,"A-",IF('Data Source'!U533&gt;=3,"B",IF('Data Source'!U533&gt;=2,"C",IF('Data Source'!U533&gt;=1,"D","F")))))),"")</f>
        <v/>
      </c>
      <c r="D533" s="3">
        <f>IF(AND('Data Source'!B533&lt;&gt;"",'Data Source'!S533="F"),IF('Data Source'!V533&gt;=5,"A+",IF('Data Source'!V533&gt;=4,"A",IF('Data Source'!V533&gt;=3.5,"A-",IF('Data Source'!V533&gt;=3,"B",IF('Data Source'!V533&gt;=2,"C",IF('Data Source'!V533&gt;=1,"D","F")))))),"")</f>
        <v/>
      </c>
      <c r="E533" s="3">
        <f>IF(AND('Data Source'!B533&lt;&gt;"",'Data Source'!S533="F"),IF('Data Source'!W533&gt;=5,"A+",IF('Data Source'!W533&gt;=4,"A",IF('Data Source'!W533&gt;=3.5,"A-",IF('Data Source'!W533&gt;=3,"B",IF('Data Source'!W533&gt;=2,"C",IF('Data Source'!W533&gt;=1,"D","F")))))),"")</f>
        <v/>
      </c>
      <c r="F533" s="3">
        <f>IF(AND('Data Source'!B533&lt;&gt;"",'Data Source'!S533="F"),IF('Data Source'!X533&gt;=5,"A+",IF('Data Source'!X533&gt;=4,"A",IF('Data Source'!X533&gt;=3.5,"A-",IF('Data Source'!X533&gt;=3,"B",IF('Data Source'!X533&gt;=2,"C",IF('Data Source'!X533&gt;=1,"D","F")))))),"")</f>
        <v/>
      </c>
      <c r="G533" s="3">
        <f>IF(AND('Data Source'!B533&lt;&gt;"",'Data Source'!S533="F"),IF('Data Source'!Y533&gt;=5,"A+",IF('Data Source'!Y533&gt;=4,"A",IF('Data Source'!Y533&gt;=3.5,"A-",IF('Data Source'!Y533&gt;=3,"B",IF('Data Source'!Y533&gt;=2,"C",IF('Data Source'!Y533&gt;=1,"D","F")))))),"")</f>
        <v/>
      </c>
      <c r="H533" s="3">
        <f>IF(AND('Data Source'!B533&lt;&gt;"",'Data Source'!S533="F"),IF('Data Source'!Z533&gt;=5,"A+",IF('Data Source'!Z533&gt;=4,"A",IF('Data Source'!Z533&gt;=3.5,"A-",IF('Data Source'!Z533&gt;=3,"B",IF('Data Source'!Z533&gt;=2,"C",IF('Data Source'!Z533&gt;=1,"D","F")))))),"")</f>
        <v/>
      </c>
      <c r="I533" s="3">
        <f>IF(AND('Data Source'!B533&lt;&gt;"",'Data Source'!S533="F"),IF('Data Source'!AA533&gt;=5,"A+",IF('Data Source'!AA533&gt;=4,"A",IF('Data Source'!AA533&gt;=3.5,"A-",IF('Data Source'!AA533&gt;=3,"B",IF('Data Source'!AA533&gt;=2,"C",IF('Data Source'!AA533&gt;=1,"D","F")))))),"")</f>
        <v/>
      </c>
      <c r="J533" s="3">
        <f>IF(AND('Data Source'!B533&lt;&gt;"",'Data Source'!S533="F"),IF('Data Source'!AB533&gt;=5,"A+",IF('Data Source'!AB533&gt;=4,"A",IF('Data Source'!AB533&gt;=3.5,"A-",IF('Data Source'!AB533&gt;=3,"B",IF('Data Source'!AB533&gt;=2,"C",IF('Data Source'!AB533&gt;=1,"D","F")))))),"")</f>
        <v/>
      </c>
      <c r="K533" s="3">
        <f>IF(AND('Data Source'!B533&lt;&gt;"",'Data Source'!S533="F"),IF('Data Source'!AC533&gt;=5,"A+",IF('Data Source'!AC533&gt;=4,"A",IF('Data Source'!AC533&gt;=3.5,"A-",IF('Data Source'!AC533&gt;=3,"B",IF('Data Source'!AC533&gt;=2,"C",IF('Data Source'!AC533&gt;=1,"D","F")))))),"")</f>
        <v/>
      </c>
      <c r="L533" s="3">
        <f>IF(AND('Data Source'!B533&lt;&gt;"",'Data Source'!S533="F"),IF('Data Source'!AD533&gt;=5,"A+",IF('Data Source'!AD533&gt;=4,"A",IF('Data Source'!AD533&gt;=3.5,"A-",IF('Data Source'!AD533&gt;=3,"B",IF('Data Source'!AD533&gt;=2,"C",IF('Data Source'!AD533&gt;=1,"D","F")))))),"")</f>
        <v/>
      </c>
      <c r="M533" s="3">
        <f>IF(AND('Data Source'!B533&lt;&gt;"",'Data Source'!S533="F"),IF('Data Source'!AE533&gt;=5,"A+",IF('Data Source'!AE533&gt;=4,"A",IF('Data Source'!AE533&gt;=3.5,"A-",IF('Data Source'!AE533&gt;=3,"B",IF('Data Source'!AE533&gt;=2,"C",IF('Data Source'!AE533&gt;=1,"D","F")))))),"")</f>
        <v/>
      </c>
      <c r="N533" s="3">
        <f>IF(AND('Data Source'!B533&lt;&gt;"",'Data Source'!S533="F"),IF('Data Source'!AF533&gt;=5,"A+",IF('Data Source'!AF533&gt;=4,"A",IF('Data Source'!AF533&gt;=3.5,"A-",IF('Data Source'!AF533&gt;=3,"B",IF('Data Source'!AF533&gt;=2,"C",IF('Data Source'!AF533&gt;=1,"D","F")))))),"")</f>
        <v/>
      </c>
      <c r="O533" s="3">
        <f>IF(AND('Data Source'!B533&lt;&gt;"",'Data Source'!S533="F"),IF('Data Source'!AG533&gt;=5,"A+",IF('Data Source'!AG533&gt;=4,"A",IF('Data Source'!AG533&gt;=3.5,"A-",IF('Data Source'!AG533&gt;=3,"B",IF('Data Source'!AG533&gt;=2,"C",IF('Data Source'!AG533&gt;=1,"D","F")))))),"")</f>
        <v/>
      </c>
      <c r="P533" s="5">
        <f>IF(AND('Data Source'!B533&lt;&gt;"",'Data Source'!S533="F"),'Data Source'!R533,"")</f>
        <v/>
      </c>
      <c r="Q533" s="3">
        <f>IF(AND('Data Source'!B533&lt;&gt;"",'Data Source'!S533="F"),'Data Source'!S533,"")</f>
        <v/>
      </c>
    </row>
    <row r="534">
      <c r="A534" s="3">
        <f>IF(AND('Data Source'!B534&lt;&gt;"",'Data Source'!S534="F"),COUNTIF('Data Source'!$S$3:S534,"F"),"")</f>
        <v/>
      </c>
      <c r="B534">
        <f>IF(AND('Data Source'!B534&lt;&gt;"",'Data Source'!S534="F"),'Data Source'!B534,"")</f>
        <v/>
      </c>
      <c r="C534" s="3">
        <f>IF(AND('Data Source'!B534&lt;&gt;"",'Data Source'!S534="F"),IF('Data Source'!U534&gt;=5,"A+",IF('Data Source'!U534&gt;=4,"A",IF('Data Source'!U534&gt;=3.5,"A-",IF('Data Source'!U534&gt;=3,"B",IF('Data Source'!U534&gt;=2,"C",IF('Data Source'!U534&gt;=1,"D","F")))))),"")</f>
        <v/>
      </c>
      <c r="D534" s="3">
        <f>IF(AND('Data Source'!B534&lt;&gt;"",'Data Source'!S534="F"),IF('Data Source'!V534&gt;=5,"A+",IF('Data Source'!V534&gt;=4,"A",IF('Data Source'!V534&gt;=3.5,"A-",IF('Data Source'!V534&gt;=3,"B",IF('Data Source'!V534&gt;=2,"C",IF('Data Source'!V534&gt;=1,"D","F")))))),"")</f>
        <v/>
      </c>
      <c r="E534" s="3">
        <f>IF(AND('Data Source'!B534&lt;&gt;"",'Data Source'!S534="F"),IF('Data Source'!W534&gt;=5,"A+",IF('Data Source'!W534&gt;=4,"A",IF('Data Source'!W534&gt;=3.5,"A-",IF('Data Source'!W534&gt;=3,"B",IF('Data Source'!W534&gt;=2,"C",IF('Data Source'!W534&gt;=1,"D","F")))))),"")</f>
        <v/>
      </c>
      <c r="F534" s="3">
        <f>IF(AND('Data Source'!B534&lt;&gt;"",'Data Source'!S534="F"),IF('Data Source'!X534&gt;=5,"A+",IF('Data Source'!X534&gt;=4,"A",IF('Data Source'!X534&gt;=3.5,"A-",IF('Data Source'!X534&gt;=3,"B",IF('Data Source'!X534&gt;=2,"C",IF('Data Source'!X534&gt;=1,"D","F")))))),"")</f>
        <v/>
      </c>
      <c r="G534" s="3">
        <f>IF(AND('Data Source'!B534&lt;&gt;"",'Data Source'!S534="F"),IF('Data Source'!Y534&gt;=5,"A+",IF('Data Source'!Y534&gt;=4,"A",IF('Data Source'!Y534&gt;=3.5,"A-",IF('Data Source'!Y534&gt;=3,"B",IF('Data Source'!Y534&gt;=2,"C",IF('Data Source'!Y534&gt;=1,"D","F")))))),"")</f>
        <v/>
      </c>
      <c r="H534" s="3">
        <f>IF(AND('Data Source'!B534&lt;&gt;"",'Data Source'!S534="F"),IF('Data Source'!Z534&gt;=5,"A+",IF('Data Source'!Z534&gt;=4,"A",IF('Data Source'!Z534&gt;=3.5,"A-",IF('Data Source'!Z534&gt;=3,"B",IF('Data Source'!Z534&gt;=2,"C",IF('Data Source'!Z534&gt;=1,"D","F")))))),"")</f>
        <v/>
      </c>
      <c r="I534" s="3">
        <f>IF(AND('Data Source'!B534&lt;&gt;"",'Data Source'!S534="F"),IF('Data Source'!AA534&gt;=5,"A+",IF('Data Source'!AA534&gt;=4,"A",IF('Data Source'!AA534&gt;=3.5,"A-",IF('Data Source'!AA534&gt;=3,"B",IF('Data Source'!AA534&gt;=2,"C",IF('Data Source'!AA534&gt;=1,"D","F")))))),"")</f>
        <v/>
      </c>
      <c r="J534" s="3">
        <f>IF(AND('Data Source'!B534&lt;&gt;"",'Data Source'!S534="F"),IF('Data Source'!AB534&gt;=5,"A+",IF('Data Source'!AB534&gt;=4,"A",IF('Data Source'!AB534&gt;=3.5,"A-",IF('Data Source'!AB534&gt;=3,"B",IF('Data Source'!AB534&gt;=2,"C",IF('Data Source'!AB534&gt;=1,"D","F")))))),"")</f>
        <v/>
      </c>
      <c r="K534" s="3">
        <f>IF(AND('Data Source'!B534&lt;&gt;"",'Data Source'!S534="F"),IF('Data Source'!AC534&gt;=5,"A+",IF('Data Source'!AC534&gt;=4,"A",IF('Data Source'!AC534&gt;=3.5,"A-",IF('Data Source'!AC534&gt;=3,"B",IF('Data Source'!AC534&gt;=2,"C",IF('Data Source'!AC534&gt;=1,"D","F")))))),"")</f>
        <v/>
      </c>
      <c r="L534" s="3">
        <f>IF(AND('Data Source'!B534&lt;&gt;"",'Data Source'!S534="F"),IF('Data Source'!AD534&gt;=5,"A+",IF('Data Source'!AD534&gt;=4,"A",IF('Data Source'!AD534&gt;=3.5,"A-",IF('Data Source'!AD534&gt;=3,"B",IF('Data Source'!AD534&gt;=2,"C",IF('Data Source'!AD534&gt;=1,"D","F")))))),"")</f>
        <v/>
      </c>
      <c r="M534" s="3">
        <f>IF(AND('Data Source'!B534&lt;&gt;"",'Data Source'!S534="F"),IF('Data Source'!AE534&gt;=5,"A+",IF('Data Source'!AE534&gt;=4,"A",IF('Data Source'!AE534&gt;=3.5,"A-",IF('Data Source'!AE534&gt;=3,"B",IF('Data Source'!AE534&gt;=2,"C",IF('Data Source'!AE534&gt;=1,"D","F")))))),"")</f>
        <v/>
      </c>
      <c r="N534" s="3">
        <f>IF(AND('Data Source'!B534&lt;&gt;"",'Data Source'!S534="F"),IF('Data Source'!AF534&gt;=5,"A+",IF('Data Source'!AF534&gt;=4,"A",IF('Data Source'!AF534&gt;=3.5,"A-",IF('Data Source'!AF534&gt;=3,"B",IF('Data Source'!AF534&gt;=2,"C",IF('Data Source'!AF534&gt;=1,"D","F")))))),"")</f>
        <v/>
      </c>
      <c r="O534" s="3">
        <f>IF(AND('Data Source'!B534&lt;&gt;"",'Data Source'!S534="F"),IF('Data Source'!AG534&gt;=5,"A+",IF('Data Source'!AG534&gt;=4,"A",IF('Data Source'!AG534&gt;=3.5,"A-",IF('Data Source'!AG534&gt;=3,"B",IF('Data Source'!AG534&gt;=2,"C",IF('Data Source'!AG534&gt;=1,"D","F")))))),"")</f>
        <v/>
      </c>
      <c r="P534" s="5">
        <f>IF(AND('Data Source'!B534&lt;&gt;"",'Data Source'!S534="F"),'Data Source'!R534,"")</f>
        <v/>
      </c>
      <c r="Q534" s="3">
        <f>IF(AND('Data Source'!B534&lt;&gt;"",'Data Source'!S534="F"),'Data Source'!S534,"")</f>
        <v/>
      </c>
    </row>
    <row r="535">
      <c r="A535" s="3">
        <f>IF(AND('Data Source'!B535&lt;&gt;"",'Data Source'!S535="F"),COUNTIF('Data Source'!$S$3:S535,"F"),"")</f>
        <v/>
      </c>
      <c r="B535">
        <f>IF(AND('Data Source'!B535&lt;&gt;"",'Data Source'!S535="F"),'Data Source'!B535,"")</f>
        <v/>
      </c>
      <c r="C535" s="3">
        <f>IF(AND('Data Source'!B535&lt;&gt;"",'Data Source'!S535="F"),IF('Data Source'!U535&gt;=5,"A+",IF('Data Source'!U535&gt;=4,"A",IF('Data Source'!U535&gt;=3.5,"A-",IF('Data Source'!U535&gt;=3,"B",IF('Data Source'!U535&gt;=2,"C",IF('Data Source'!U535&gt;=1,"D","F")))))),"")</f>
        <v/>
      </c>
      <c r="D535" s="3">
        <f>IF(AND('Data Source'!B535&lt;&gt;"",'Data Source'!S535="F"),IF('Data Source'!V535&gt;=5,"A+",IF('Data Source'!V535&gt;=4,"A",IF('Data Source'!V535&gt;=3.5,"A-",IF('Data Source'!V535&gt;=3,"B",IF('Data Source'!V535&gt;=2,"C",IF('Data Source'!V535&gt;=1,"D","F")))))),"")</f>
        <v/>
      </c>
      <c r="E535" s="3">
        <f>IF(AND('Data Source'!B535&lt;&gt;"",'Data Source'!S535="F"),IF('Data Source'!W535&gt;=5,"A+",IF('Data Source'!W535&gt;=4,"A",IF('Data Source'!W535&gt;=3.5,"A-",IF('Data Source'!W535&gt;=3,"B",IF('Data Source'!W535&gt;=2,"C",IF('Data Source'!W535&gt;=1,"D","F")))))),"")</f>
        <v/>
      </c>
      <c r="F535" s="3">
        <f>IF(AND('Data Source'!B535&lt;&gt;"",'Data Source'!S535="F"),IF('Data Source'!X535&gt;=5,"A+",IF('Data Source'!X535&gt;=4,"A",IF('Data Source'!X535&gt;=3.5,"A-",IF('Data Source'!X535&gt;=3,"B",IF('Data Source'!X535&gt;=2,"C",IF('Data Source'!X535&gt;=1,"D","F")))))),"")</f>
        <v/>
      </c>
      <c r="G535" s="3">
        <f>IF(AND('Data Source'!B535&lt;&gt;"",'Data Source'!S535="F"),IF('Data Source'!Y535&gt;=5,"A+",IF('Data Source'!Y535&gt;=4,"A",IF('Data Source'!Y535&gt;=3.5,"A-",IF('Data Source'!Y535&gt;=3,"B",IF('Data Source'!Y535&gt;=2,"C",IF('Data Source'!Y535&gt;=1,"D","F")))))),"")</f>
        <v/>
      </c>
      <c r="H535" s="3">
        <f>IF(AND('Data Source'!B535&lt;&gt;"",'Data Source'!S535="F"),IF('Data Source'!Z535&gt;=5,"A+",IF('Data Source'!Z535&gt;=4,"A",IF('Data Source'!Z535&gt;=3.5,"A-",IF('Data Source'!Z535&gt;=3,"B",IF('Data Source'!Z535&gt;=2,"C",IF('Data Source'!Z535&gt;=1,"D","F")))))),"")</f>
        <v/>
      </c>
      <c r="I535" s="3">
        <f>IF(AND('Data Source'!B535&lt;&gt;"",'Data Source'!S535="F"),IF('Data Source'!AA535&gt;=5,"A+",IF('Data Source'!AA535&gt;=4,"A",IF('Data Source'!AA535&gt;=3.5,"A-",IF('Data Source'!AA535&gt;=3,"B",IF('Data Source'!AA535&gt;=2,"C",IF('Data Source'!AA535&gt;=1,"D","F")))))),"")</f>
        <v/>
      </c>
      <c r="J535" s="3">
        <f>IF(AND('Data Source'!B535&lt;&gt;"",'Data Source'!S535="F"),IF('Data Source'!AB535&gt;=5,"A+",IF('Data Source'!AB535&gt;=4,"A",IF('Data Source'!AB535&gt;=3.5,"A-",IF('Data Source'!AB535&gt;=3,"B",IF('Data Source'!AB535&gt;=2,"C",IF('Data Source'!AB535&gt;=1,"D","F")))))),"")</f>
        <v/>
      </c>
      <c r="K535" s="3">
        <f>IF(AND('Data Source'!B535&lt;&gt;"",'Data Source'!S535="F"),IF('Data Source'!AC535&gt;=5,"A+",IF('Data Source'!AC535&gt;=4,"A",IF('Data Source'!AC535&gt;=3.5,"A-",IF('Data Source'!AC535&gt;=3,"B",IF('Data Source'!AC535&gt;=2,"C",IF('Data Source'!AC535&gt;=1,"D","F")))))),"")</f>
        <v/>
      </c>
      <c r="L535" s="3">
        <f>IF(AND('Data Source'!B535&lt;&gt;"",'Data Source'!S535="F"),IF('Data Source'!AD535&gt;=5,"A+",IF('Data Source'!AD535&gt;=4,"A",IF('Data Source'!AD535&gt;=3.5,"A-",IF('Data Source'!AD535&gt;=3,"B",IF('Data Source'!AD535&gt;=2,"C",IF('Data Source'!AD535&gt;=1,"D","F")))))),"")</f>
        <v/>
      </c>
      <c r="M535" s="3">
        <f>IF(AND('Data Source'!B535&lt;&gt;"",'Data Source'!S535="F"),IF('Data Source'!AE535&gt;=5,"A+",IF('Data Source'!AE535&gt;=4,"A",IF('Data Source'!AE535&gt;=3.5,"A-",IF('Data Source'!AE535&gt;=3,"B",IF('Data Source'!AE535&gt;=2,"C",IF('Data Source'!AE535&gt;=1,"D","F")))))),"")</f>
        <v/>
      </c>
      <c r="N535" s="3">
        <f>IF(AND('Data Source'!B535&lt;&gt;"",'Data Source'!S535="F"),IF('Data Source'!AF535&gt;=5,"A+",IF('Data Source'!AF535&gt;=4,"A",IF('Data Source'!AF535&gt;=3.5,"A-",IF('Data Source'!AF535&gt;=3,"B",IF('Data Source'!AF535&gt;=2,"C",IF('Data Source'!AF535&gt;=1,"D","F")))))),"")</f>
        <v/>
      </c>
      <c r="O535" s="3">
        <f>IF(AND('Data Source'!B535&lt;&gt;"",'Data Source'!S535="F"),IF('Data Source'!AG535&gt;=5,"A+",IF('Data Source'!AG535&gt;=4,"A",IF('Data Source'!AG535&gt;=3.5,"A-",IF('Data Source'!AG535&gt;=3,"B",IF('Data Source'!AG535&gt;=2,"C",IF('Data Source'!AG535&gt;=1,"D","F")))))),"")</f>
        <v/>
      </c>
      <c r="P535" s="5">
        <f>IF(AND('Data Source'!B535&lt;&gt;"",'Data Source'!S535="F"),'Data Source'!R535,"")</f>
        <v/>
      </c>
      <c r="Q535" s="3">
        <f>IF(AND('Data Source'!B535&lt;&gt;"",'Data Source'!S535="F"),'Data Source'!S535,"")</f>
        <v/>
      </c>
    </row>
    <row r="536">
      <c r="A536" s="3">
        <f>IF(AND('Data Source'!B536&lt;&gt;"",'Data Source'!S536="F"),COUNTIF('Data Source'!$S$3:S536,"F"),"")</f>
        <v/>
      </c>
      <c r="B536">
        <f>IF(AND('Data Source'!B536&lt;&gt;"",'Data Source'!S536="F"),'Data Source'!B536,"")</f>
        <v/>
      </c>
      <c r="C536" s="3">
        <f>IF(AND('Data Source'!B536&lt;&gt;"",'Data Source'!S536="F"),IF('Data Source'!U536&gt;=5,"A+",IF('Data Source'!U536&gt;=4,"A",IF('Data Source'!U536&gt;=3.5,"A-",IF('Data Source'!U536&gt;=3,"B",IF('Data Source'!U536&gt;=2,"C",IF('Data Source'!U536&gt;=1,"D","F")))))),"")</f>
        <v/>
      </c>
      <c r="D536" s="3">
        <f>IF(AND('Data Source'!B536&lt;&gt;"",'Data Source'!S536="F"),IF('Data Source'!V536&gt;=5,"A+",IF('Data Source'!V536&gt;=4,"A",IF('Data Source'!V536&gt;=3.5,"A-",IF('Data Source'!V536&gt;=3,"B",IF('Data Source'!V536&gt;=2,"C",IF('Data Source'!V536&gt;=1,"D","F")))))),"")</f>
        <v/>
      </c>
      <c r="E536" s="3">
        <f>IF(AND('Data Source'!B536&lt;&gt;"",'Data Source'!S536="F"),IF('Data Source'!W536&gt;=5,"A+",IF('Data Source'!W536&gt;=4,"A",IF('Data Source'!W536&gt;=3.5,"A-",IF('Data Source'!W536&gt;=3,"B",IF('Data Source'!W536&gt;=2,"C",IF('Data Source'!W536&gt;=1,"D","F")))))),"")</f>
        <v/>
      </c>
      <c r="F536" s="3">
        <f>IF(AND('Data Source'!B536&lt;&gt;"",'Data Source'!S536="F"),IF('Data Source'!X536&gt;=5,"A+",IF('Data Source'!X536&gt;=4,"A",IF('Data Source'!X536&gt;=3.5,"A-",IF('Data Source'!X536&gt;=3,"B",IF('Data Source'!X536&gt;=2,"C",IF('Data Source'!X536&gt;=1,"D","F")))))),"")</f>
        <v/>
      </c>
      <c r="G536" s="3">
        <f>IF(AND('Data Source'!B536&lt;&gt;"",'Data Source'!S536="F"),IF('Data Source'!Y536&gt;=5,"A+",IF('Data Source'!Y536&gt;=4,"A",IF('Data Source'!Y536&gt;=3.5,"A-",IF('Data Source'!Y536&gt;=3,"B",IF('Data Source'!Y536&gt;=2,"C",IF('Data Source'!Y536&gt;=1,"D","F")))))),"")</f>
        <v/>
      </c>
      <c r="H536" s="3">
        <f>IF(AND('Data Source'!B536&lt;&gt;"",'Data Source'!S536="F"),IF('Data Source'!Z536&gt;=5,"A+",IF('Data Source'!Z536&gt;=4,"A",IF('Data Source'!Z536&gt;=3.5,"A-",IF('Data Source'!Z536&gt;=3,"B",IF('Data Source'!Z536&gt;=2,"C",IF('Data Source'!Z536&gt;=1,"D","F")))))),"")</f>
        <v/>
      </c>
      <c r="I536" s="3">
        <f>IF(AND('Data Source'!B536&lt;&gt;"",'Data Source'!S536="F"),IF('Data Source'!AA536&gt;=5,"A+",IF('Data Source'!AA536&gt;=4,"A",IF('Data Source'!AA536&gt;=3.5,"A-",IF('Data Source'!AA536&gt;=3,"B",IF('Data Source'!AA536&gt;=2,"C",IF('Data Source'!AA536&gt;=1,"D","F")))))),"")</f>
        <v/>
      </c>
      <c r="J536" s="3">
        <f>IF(AND('Data Source'!B536&lt;&gt;"",'Data Source'!S536="F"),IF('Data Source'!AB536&gt;=5,"A+",IF('Data Source'!AB536&gt;=4,"A",IF('Data Source'!AB536&gt;=3.5,"A-",IF('Data Source'!AB536&gt;=3,"B",IF('Data Source'!AB536&gt;=2,"C",IF('Data Source'!AB536&gt;=1,"D","F")))))),"")</f>
        <v/>
      </c>
      <c r="K536" s="3">
        <f>IF(AND('Data Source'!B536&lt;&gt;"",'Data Source'!S536="F"),IF('Data Source'!AC536&gt;=5,"A+",IF('Data Source'!AC536&gt;=4,"A",IF('Data Source'!AC536&gt;=3.5,"A-",IF('Data Source'!AC536&gt;=3,"B",IF('Data Source'!AC536&gt;=2,"C",IF('Data Source'!AC536&gt;=1,"D","F")))))),"")</f>
        <v/>
      </c>
      <c r="L536" s="3">
        <f>IF(AND('Data Source'!B536&lt;&gt;"",'Data Source'!S536="F"),IF('Data Source'!AD536&gt;=5,"A+",IF('Data Source'!AD536&gt;=4,"A",IF('Data Source'!AD536&gt;=3.5,"A-",IF('Data Source'!AD536&gt;=3,"B",IF('Data Source'!AD536&gt;=2,"C",IF('Data Source'!AD536&gt;=1,"D","F")))))),"")</f>
        <v/>
      </c>
      <c r="M536" s="3">
        <f>IF(AND('Data Source'!B536&lt;&gt;"",'Data Source'!S536="F"),IF('Data Source'!AE536&gt;=5,"A+",IF('Data Source'!AE536&gt;=4,"A",IF('Data Source'!AE536&gt;=3.5,"A-",IF('Data Source'!AE536&gt;=3,"B",IF('Data Source'!AE536&gt;=2,"C",IF('Data Source'!AE536&gt;=1,"D","F")))))),"")</f>
        <v/>
      </c>
      <c r="N536" s="3">
        <f>IF(AND('Data Source'!B536&lt;&gt;"",'Data Source'!S536="F"),IF('Data Source'!AF536&gt;=5,"A+",IF('Data Source'!AF536&gt;=4,"A",IF('Data Source'!AF536&gt;=3.5,"A-",IF('Data Source'!AF536&gt;=3,"B",IF('Data Source'!AF536&gt;=2,"C",IF('Data Source'!AF536&gt;=1,"D","F")))))),"")</f>
        <v/>
      </c>
      <c r="O536" s="3">
        <f>IF(AND('Data Source'!B536&lt;&gt;"",'Data Source'!S536="F"),IF('Data Source'!AG536&gt;=5,"A+",IF('Data Source'!AG536&gt;=4,"A",IF('Data Source'!AG536&gt;=3.5,"A-",IF('Data Source'!AG536&gt;=3,"B",IF('Data Source'!AG536&gt;=2,"C",IF('Data Source'!AG536&gt;=1,"D","F")))))),"")</f>
        <v/>
      </c>
      <c r="P536" s="5">
        <f>IF(AND('Data Source'!B536&lt;&gt;"",'Data Source'!S536="F"),'Data Source'!R536,"")</f>
        <v/>
      </c>
      <c r="Q536" s="3">
        <f>IF(AND('Data Source'!B536&lt;&gt;"",'Data Source'!S536="F"),'Data Source'!S536,"")</f>
        <v/>
      </c>
    </row>
    <row r="537">
      <c r="A537" s="3">
        <f>IF(AND('Data Source'!B537&lt;&gt;"",'Data Source'!S537="F"),COUNTIF('Data Source'!$S$3:S537,"F"),"")</f>
        <v/>
      </c>
      <c r="B537">
        <f>IF(AND('Data Source'!B537&lt;&gt;"",'Data Source'!S537="F"),'Data Source'!B537,"")</f>
        <v/>
      </c>
      <c r="C537" s="3">
        <f>IF(AND('Data Source'!B537&lt;&gt;"",'Data Source'!S537="F"),IF('Data Source'!U537&gt;=5,"A+",IF('Data Source'!U537&gt;=4,"A",IF('Data Source'!U537&gt;=3.5,"A-",IF('Data Source'!U537&gt;=3,"B",IF('Data Source'!U537&gt;=2,"C",IF('Data Source'!U537&gt;=1,"D","F")))))),"")</f>
        <v/>
      </c>
      <c r="D537" s="3">
        <f>IF(AND('Data Source'!B537&lt;&gt;"",'Data Source'!S537="F"),IF('Data Source'!V537&gt;=5,"A+",IF('Data Source'!V537&gt;=4,"A",IF('Data Source'!V537&gt;=3.5,"A-",IF('Data Source'!V537&gt;=3,"B",IF('Data Source'!V537&gt;=2,"C",IF('Data Source'!V537&gt;=1,"D","F")))))),"")</f>
        <v/>
      </c>
      <c r="E537" s="3">
        <f>IF(AND('Data Source'!B537&lt;&gt;"",'Data Source'!S537="F"),IF('Data Source'!W537&gt;=5,"A+",IF('Data Source'!W537&gt;=4,"A",IF('Data Source'!W537&gt;=3.5,"A-",IF('Data Source'!W537&gt;=3,"B",IF('Data Source'!W537&gt;=2,"C",IF('Data Source'!W537&gt;=1,"D","F")))))),"")</f>
        <v/>
      </c>
      <c r="F537" s="3">
        <f>IF(AND('Data Source'!B537&lt;&gt;"",'Data Source'!S537="F"),IF('Data Source'!X537&gt;=5,"A+",IF('Data Source'!X537&gt;=4,"A",IF('Data Source'!X537&gt;=3.5,"A-",IF('Data Source'!X537&gt;=3,"B",IF('Data Source'!X537&gt;=2,"C",IF('Data Source'!X537&gt;=1,"D","F")))))),"")</f>
        <v/>
      </c>
      <c r="G537" s="3">
        <f>IF(AND('Data Source'!B537&lt;&gt;"",'Data Source'!S537="F"),IF('Data Source'!Y537&gt;=5,"A+",IF('Data Source'!Y537&gt;=4,"A",IF('Data Source'!Y537&gt;=3.5,"A-",IF('Data Source'!Y537&gt;=3,"B",IF('Data Source'!Y537&gt;=2,"C",IF('Data Source'!Y537&gt;=1,"D","F")))))),"")</f>
        <v/>
      </c>
      <c r="H537" s="3">
        <f>IF(AND('Data Source'!B537&lt;&gt;"",'Data Source'!S537="F"),IF('Data Source'!Z537&gt;=5,"A+",IF('Data Source'!Z537&gt;=4,"A",IF('Data Source'!Z537&gt;=3.5,"A-",IF('Data Source'!Z537&gt;=3,"B",IF('Data Source'!Z537&gt;=2,"C",IF('Data Source'!Z537&gt;=1,"D","F")))))),"")</f>
        <v/>
      </c>
      <c r="I537" s="3">
        <f>IF(AND('Data Source'!B537&lt;&gt;"",'Data Source'!S537="F"),IF('Data Source'!AA537&gt;=5,"A+",IF('Data Source'!AA537&gt;=4,"A",IF('Data Source'!AA537&gt;=3.5,"A-",IF('Data Source'!AA537&gt;=3,"B",IF('Data Source'!AA537&gt;=2,"C",IF('Data Source'!AA537&gt;=1,"D","F")))))),"")</f>
        <v/>
      </c>
      <c r="J537" s="3">
        <f>IF(AND('Data Source'!B537&lt;&gt;"",'Data Source'!S537="F"),IF('Data Source'!AB537&gt;=5,"A+",IF('Data Source'!AB537&gt;=4,"A",IF('Data Source'!AB537&gt;=3.5,"A-",IF('Data Source'!AB537&gt;=3,"B",IF('Data Source'!AB537&gt;=2,"C",IF('Data Source'!AB537&gt;=1,"D","F")))))),"")</f>
        <v/>
      </c>
      <c r="K537" s="3">
        <f>IF(AND('Data Source'!B537&lt;&gt;"",'Data Source'!S537="F"),IF('Data Source'!AC537&gt;=5,"A+",IF('Data Source'!AC537&gt;=4,"A",IF('Data Source'!AC537&gt;=3.5,"A-",IF('Data Source'!AC537&gt;=3,"B",IF('Data Source'!AC537&gt;=2,"C",IF('Data Source'!AC537&gt;=1,"D","F")))))),"")</f>
        <v/>
      </c>
      <c r="L537" s="3">
        <f>IF(AND('Data Source'!B537&lt;&gt;"",'Data Source'!S537="F"),IF('Data Source'!AD537&gt;=5,"A+",IF('Data Source'!AD537&gt;=4,"A",IF('Data Source'!AD537&gt;=3.5,"A-",IF('Data Source'!AD537&gt;=3,"B",IF('Data Source'!AD537&gt;=2,"C",IF('Data Source'!AD537&gt;=1,"D","F")))))),"")</f>
        <v/>
      </c>
      <c r="M537" s="3">
        <f>IF(AND('Data Source'!B537&lt;&gt;"",'Data Source'!S537="F"),IF('Data Source'!AE537&gt;=5,"A+",IF('Data Source'!AE537&gt;=4,"A",IF('Data Source'!AE537&gt;=3.5,"A-",IF('Data Source'!AE537&gt;=3,"B",IF('Data Source'!AE537&gt;=2,"C",IF('Data Source'!AE537&gt;=1,"D","F")))))),"")</f>
        <v/>
      </c>
      <c r="N537" s="3">
        <f>IF(AND('Data Source'!B537&lt;&gt;"",'Data Source'!S537="F"),IF('Data Source'!AF537&gt;=5,"A+",IF('Data Source'!AF537&gt;=4,"A",IF('Data Source'!AF537&gt;=3.5,"A-",IF('Data Source'!AF537&gt;=3,"B",IF('Data Source'!AF537&gt;=2,"C",IF('Data Source'!AF537&gt;=1,"D","F")))))),"")</f>
        <v/>
      </c>
      <c r="O537" s="3">
        <f>IF(AND('Data Source'!B537&lt;&gt;"",'Data Source'!S537="F"),IF('Data Source'!AG537&gt;=5,"A+",IF('Data Source'!AG537&gt;=4,"A",IF('Data Source'!AG537&gt;=3.5,"A-",IF('Data Source'!AG537&gt;=3,"B",IF('Data Source'!AG537&gt;=2,"C",IF('Data Source'!AG537&gt;=1,"D","F")))))),"")</f>
        <v/>
      </c>
      <c r="P537" s="5">
        <f>IF(AND('Data Source'!B537&lt;&gt;"",'Data Source'!S537="F"),'Data Source'!R537,"")</f>
        <v/>
      </c>
      <c r="Q537" s="3">
        <f>IF(AND('Data Source'!B537&lt;&gt;"",'Data Source'!S537="F"),'Data Source'!S537,"")</f>
        <v/>
      </c>
    </row>
    <row r="538">
      <c r="A538" s="3">
        <f>IF(AND('Data Source'!B538&lt;&gt;"",'Data Source'!S538="F"),COUNTIF('Data Source'!$S$3:S538,"F"),"")</f>
        <v/>
      </c>
      <c r="B538">
        <f>IF(AND('Data Source'!B538&lt;&gt;"",'Data Source'!S538="F"),'Data Source'!B538,"")</f>
        <v/>
      </c>
      <c r="C538" s="3">
        <f>IF(AND('Data Source'!B538&lt;&gt;"",'Data Source'!S538="F"),IF('Data Source'!U538&gt;=5,"A+",IF('Data Source'!U538&gt;=4,"A",IF('Data Source'!U538&gt;=3.5,"A-",IF('Data Source'!U538&gt;=3,"B",IF('Data Source'!U538&gt;=2,"C",IF('Data Source'!U538&gt;=1,"D","F")))))),"")</f>
        <v/>
      </c>
      <c r="D538" s="3">
        <f>IF(AND('Data Source'!B538&lt;&gt;"",'Data Source'!S538="F"),IF('Data Source'!V538&gt;=5,"A+",IF('Data Source'!V538&gt;=4,"A",IF('Data Source'!V538&gt;=3.5,"A-",IF('Data Source'!V538&gt;=3,"B",IF('Data Source'!V538&gt;=2,"C",IF('Data Source'!V538&gt;=1,"D","F")))))),"")</f>
        <v/>
      </c>
      <c r="E538" s="3">
        <f>IF(AND('Data Source'!B538&lt;&gt;"",'Data Source'!S538="F"),IF('Data Source'!W538&gt;=5,"A+",IF('Data Source'!W538&gt;=4,"A",IF('Data Source'!W538&gt;=3.5,"A-",IF('Data Source'!W538&gt;=3,"B",IF('Data Source'!W538&gt;=2,"C",IF('Data Source'!W538&gt;=1,"D","F")))))),"")</f>
        <v/>
      </c>
      <c r="F538" s="3">
        <f>IF(AND('Data Source'!B538&lt;&gt;"",'Data Source'!S538="F"),IF('Data Source'!X538&gt;=5,"A+",IF('Data Source'!X538&gt;=4,"A",IF('Data Source'!X538&gt;=3.5,"A-",IF('Data Source'!X538&gt;=3,"B",IF('Data Source'!X538&gt;=2,"C",IF('Data Source'!X538&gt;=1,"D","F")))))),"")</f>
        <v/>
      </c>
      <c r="G538" s="3">
        <f>IF(AND('Data Source'!B538&lt;&gt;"",'Data Source'!S538="F"),IF('Data Source'!Y538&gt;=5,"A+",IF('Data Source'!Y538&gt;=4,"A",IF('Data Source'!Y538&gt;=3.5,"A-",IF('Data Source'!Y538&gt;=3,"B",IF('Data Source'!Y538&gt;=2,"C",IF('Data Source'!Y538&gt;=1,"D","F")))))),"")</f>
        <v/>
      </c>
      <c r="H538" s="3">
        <f>IF(AND('Data Source'!B538&lt;&gt;"",'Data Source'!S538="F"),IF('Data Source'!Z538&gt;=5,"A+",IF('Data Source'!Z538&gt;=4,"A",IF('Data Source'!Z538&gt;=3.5,"A-",IF('Data Source'!Z538&gt;=3,"B",IF('Data Source'!Z538&gt;=2,"C",IF('Data Source'!Z538&gt;=1,"D","F")))))),"")</f>
        <v/>
      </c>
      <c r="I538" s="3">
        <f>IF(AND('Data Source'!B538&lt;&gt;"",'Data Source'!S538="F"),IF('Data Source'!AA538&gt;=5,"A+",IF('Data Source'!AA538&gt;=4,"A",IF('Data Source'!AA538&gt;=3.5,"A-",IF('Data Source'!AA538&gt;=3,"B",IF('Data Source'!AA538&gt;=2,"C",IF('Data Source'!AA538&gt;=1,"D","F")))))),"")</f>
        <v/>
      </c>
      <c r="J538" s="3">
        <f>IF(AND('Data Source'!B538&lt;&gt;"",'Data Source'!S538="F"),IF('Data Source'!AB538&gt;=5,"A+",IF('Data Source'!AB538&gt;=4,"A",IF('Data Source'!AB538&gt;=3.5,"A-",IF('Data Source'!AB538&gt;=3,"B",IF('Data Source'!AB538&gt;=2,"C",IF('Data Source'!AB538&gt;=1,"D","F")))))),"")</f>
        <v/>
      </c>
      <c r="K538" s="3">
        <f>IF(AND('Data Source'!B538&lt;&gt;"",'Data Source'!S538="F"),IF('Data Source'!AC538&gt;=5,"A+",IF('Data Source'!AC538&gt;=4,"A",IF('Data Source'!AC538&gt;=3.5,"A-",IF('Data Source'!AC538&gt;=3,"B",IF('Data Source'!AC538&gt;=2,"C",IF('Data Source'!AC538&gt;=1,"D","F")))))),"")</f>
        <v/>
      </c>
      <c r="L538" s="3">
        <f>IF(AND('Data Source'!B538&lt;&gt;"",'Data Source'!S538="F"),IF('Data Source'!AD538&gt;=5,"A+",IF('Data Source'!AD538&gt;=4,"A",IF('Data Source'!AD538&gt;=3.5,"A-",IF('Data Source'!AD538&gt;=3,"B",IF('Data Source'!AD538&gt;=2,"C",IF('Data Source'!AD538&gt;=1,"D","F")))))),"")</f>
        <v/>
      </c>
      <c r="M538" s="3">
        <f>IF(AND('Data Source'!B538&lt;&gt;"",'Data Source'!S538="F"),IF('Data Source'!AE538&gt;=5,"A+",IF('Data Source'!AE538&gt;=4,"A",IF('Data Source'!AE538&gt;=3.5,"A-",IF('Data Source'!AE538&gt;=3,"B",IF('Data Source'!AE538&gt;=2,"C",IF('Data Source'!AE538&gt;=1,"D","F")))))),"")</f>
        <v/>
      </c>
      <c r="N538" s="3">
        <f>IF(AND('Data Source'!B538&lt;&gt;"",'Data Source'!S538="F"),IF('Data Source'!AF538&gt;=5,"A+",IF('Data Source'!AF538&gt;=4,"A",IF('Data Source'!AF538&gt;=3.5,"A-",IF('Data Source'!AF538&gt;=3,"B",IF('Data Source'!AF538&gt;=2,"C",IF('Data Source'!AF538&gt;=1,"D","F")))))),"")</f>
        <v/>
      </c>
      <c r="O538" s="3">
        <f>IF(AND('Data Source'!B538&lt;&gt;"",'Data Source'!S538="F"),IF('Data Source'!AG538&gt;=5,"A+",IF('Data Source'!AG538&gt;=4,"A",IF('Data Source'!AG538&gt;=3.5,"A-",IF('Data Source'!AG538&gt;=3,"B",IF('Data Source'!AG538&gt;=2,"C",IF('Data Source'!AG538&gt;=1,"D","F")))))),"")</f>
        <v/>
      </c>
      <c r="P538" s="5">
        <f>IF(AND('Data Source'!B538&lt;&gt;"",'Data Source'!S538="F"),'Data Source'!R538,"")</f>
        <v/>
      </c>
      <c r="Q538" s="3">
        <f>IF(AND('Data Source'!B538&lt;&gt;"",'Data Source'!S538="F"),'Data Source'!S538,"")</f>
        <v/>
      </c>
    </row>
    <row r="539">
      <c r="A539" s="3">
        <f>IF(AND('Data Source'!B539&lt;&gt;"",'Data Source'!S539="F"),COUNTIF('Data Source'!$S$3:S539,"F"),"")</f>
        <v/>
      </c>
      <c r="B539">
        <f>IF(AND('Data Source'!B539&lt;&gt;"",'Data Source'!S539="F"),'Data Source'!B539,"")</f>
        <v/>
      </c>
      <c r="C539" s="3">
        <f>IF(AND('Data Source'!B539&lt;&gt;"",'Data Source'!S539="F"),IF('Data Source'!U539&gt;=5,"A+",IF('Data Source'!U539&gt;=4,"A",IF('Data Source'!U539&gt;=3.5,"A-",IF('Data Source'!U539&gt;=3,"B",IF('Data Source'!U539&gt;=2,"C",IF('Data Source'!U539&gt;=1,"D","F")))))),"")</f>
        <v/>
      </c>
      <c r="D539" s="3">
        <f>IF(AND('Data Source'!B539&lt;&gt;"",'Data Source'!S539="F"),IF('Data Source'!V539&gt;=5,"A+",IF('Data Source'!V539&gt;=4,"A",IF('Data Source'!V539&gt;=3.5,"A-",IF('Data Source'!V539&gt;=3,"B",IF('Data Source'!V539&gt;=2,"C",IF('Data Source'!V539&gt;=1,"D","F")))))),"")</f>
        <v/>
      </c>
      <c r="E539" s="3">
        <f>IF(AND('Data Source'!B539&lt;&gt;"",'Data Source'!S539="F"),IF('Data Source'!W539&gt;=5,"A+",IF('Data Source'!W539&gt;=4,"A",IF('Data Source'!W539&gt;=3.5,"A-",IF('Data Source'!W539&gt;=3,"B",IF('Data Source'!W539&gt;=2,"C",IF('Data Source'!W539&gt;=1,"D","F")))))),"")</f>
        <v/>
      </c>
      <c r="F539" s="3">
        <f>IF(AND('Data Source'!B539&lt;&gt;"",'Data Source'!S539="F"),IF('Data Source'!X539&gt;=5,"A+",IF('Data Source'!X539&gt;=4,"A",IF('Data Source'!X539&gt;=3.5,"A-",IF('Data Source'!X539&gt;=3,"B",IF('Data Source'!X539&gt;=2,"C",IF('Data Source'!X539&gt;=1,"D","F")))))),"")</f>
        <v/>
      </c>
      <c r="G539" s="3">
        <f>IF(AND('Data Source'!B539&lt;&gt;"",'Data Source'!S539="F"),IF('Data Source'!Y539&gt;=5,"A+",IF('Data Source'!Y539&gt;=4,"A",IF('Data Source'!Y539&gt;=3.5,"A-",IF('Data Source'!Y539&gt;=3,"B",IF('Data Source'!Y539&gt;=2,"C",IF('Data Source'!Y539&gt;=1,"D","F")))))),"")</f>
        <v/>
      </c>
      <c r="H539" s="3">
        <f>IF(AND('Data Source'!B539&lt;&gt;"",'Data Source'!S539="F"),IF('Data Source'!Z539&gt;=5,"A+",IF('Data Source'!Z539&gt;=4,"A",IF('Data Source'!Z539&gt;=3.5,"A-",IF('Data Source'!Z539&gt;=3,"B",IF('Data Source'!Z539&gt;=2,"C",IF('Data Source'!Z539&gt;=1,"D","F")))))),"")</f>
        <v/>
      </c>
      <c r="I539" s="3">
        <f>IF(AND('Data Source'!B539&lt;&gt;"",'Data Source'!S539="F"),IF('Data Source'!AA539&gt;=5,"A+",IF('Data Source'!AA539&gt;=4,"A",IF('Data Source'!AA539&gt;=3.5,"A-",IF('Data Source'!AA539&gt;=3,"B",IF('Data Source'!AA539&gt;=2,"C",IF('Data Source'!AA539&gt;=1,"D","F")))))),"")</f>
        <v/>
      </c>
      <c r="J539" s="3">
        <f>IF(AND('Data Source'!B539&lt;&gt;"",'Data Source'!S539="F"),IF('Data Source'!AB539&gt;=5,"A+",IF('Data Source'!AB539&gt;=4,"A",IF('Data Source'!AB539&gt;=3.5,"A-",IF('Data Source'!AB539&gt;=3,"B",IF('Data Source'!AB539&gt;=2,"C",IF('Data Source'!AB539&gt;=1,"D","F")))))),"")</f>
        <v/>
      </c>
      <c r="K539" s="3">
        <f>IF(AND('Data Source'!B539&lt;&gt;"",'Data Source'!S539="F"),IF('Data Source'!AC539&gt;=5,"A+",IF('Data Source'!AC539&gt;=4,"A",IF('Data Source'!AC539&gt;=3.5,"A-",IF('Data Source'!AC539&gt;=3,"B",IF('Data Source'!AC539&gt;=2,"C",IF('Data Source'!AC539&gt;=1,"D","F")))))),"")</f>
        <v/>
      </c>
      <c r="L539" s="3">
        <f>IF(AND('Data Source'!B539&lt;&gt;"",'Data Source'!S539="F"),IF('Data Source'!AD539&gt;=5,"A+",IF('Data Source'!AD539&gt;=4,"A",IF('Data Source'!AD539&gt;=3.5,"A-",IF('Data Source'!AD539&gt;=3,"B",IF('Data Source'!AD539&gt;=2,"C",IF('Data Source'!AD539&gt;=1,"D","F")))))),"")</f>
        <v/>
      </c>
      <c r="M539" s="3">
        <f>IF(AND('Data Source'!B539&lt;&gt;"",'Data Source'!S539="F"),IF('Data Source'!AE539&gt;=5,"A+",IF('Data Source'!AE539&gt;=4,"A",IF('Data Source'!AE539&gt;=3.5,"A-",IF('Data Source'!AE539&gt;=3,"B",IF('Data Source'!AE539&gt;=2,"C",IF('Data Source'!AE539&gt;=1,"D","F")))))),"")</f>
        <v/>
      </c>
      <c r="N539" s="3">
        <f>IF(AND('Data Source'!B539&lt;&gt;"",'Data Source'!S539="F"),IF('Data Source'!AF539&gt;=5,"A+",IF('Data Source'!AF539&gt;=4,"A",IF('Data Source'!AF539&gt;=3.5,"A-",IF('Data Source'!AF539&gt;=3,"B",IF('Data Source'!AF539&gt;=2,"C",IF('Data Source'!AF539&gt;=1,"D","F")))))),"")</f>
        <v/>
      </c>
      <c r="O539" s="3">
        <f>IF(AND('Data Source'!B539&lt;&gt;"",'Data Source'!S539="F"),IF('Data Source'!AG539&gt;=5,"A+",IF('Data Source'!AG539&gt;=4,"A",IF('Data Source'!AG539&gt;=3.5,"A-",IF('Data Source'!AG539&gt;=3,"B",IF('Data Source'!AG539&gt;=2,"C",IF('Data Source'!AG539&gt;=1,"D","F")))))),"")</f>
        <v/>
      </c>
      <c r="P539" s="5">
        <f>IF(AND('Data Source'!B539&lt;&gt;"",'Data Source'!S539="F"),'Data Source'!R539,"")</f>
        <v/>
      </c>
      <c r="Q539" s="3">
        <f>IF(AND('Data Source'!B539&lt;&gt;"",'Data Source'!S539="F"),'Data Source'!S539,"")</f>
        <v/>
      </c>
    </row>
    <row r="540">
      <c r="A540" s="3">
        <f>IF(AND('Data Source'!B540&lt;&gt;"",'Data Source'!S540="F"),COUNTIF('Data Source'!$S$3:S540,"F"),"")</f>
        <v/>
      </c>
      <c r="B540">
        <f>IF(AND('Data Source'!B540&lt;&gt;"",'Data Source'!S540="F"),'Data Source'!B540,"")</f>
        <v/>
      </c>
      <c r="C540" s="3">
        <f>IF(AND('Data Source'!B540&lt;&gt;"",'Data Source'!S540="F"),IF('Data Source'!U540&gt;=5,"A+",IF('Data Source'!U540&gt;=4,"A",IF('Data Source'!U540&gt;=3.5,"A-",IF('Data Source'!U540&gt;=3,"B",IF('Data Source'!U540&gt;=2,"C",IF('Data Source'!U540&gt;=1,"D","F")))))),"")</f>
        <v/>
      </c>
      <c r="D540" s="3">
        <f>IF(AND('Data Source'!B540&lt;&gt;"",'Data Source'!S540="F"),IF('Data Source'!V540&gt;=5,"A+",IF('Data Source'!V540&gt;=4,"A",IF('Data Source'!V540&gt;=3.5,"A-",IF('Data Source'!V540&gt;=3,"B",IF('Data Source'!V540&gt;=2,"C",IF('Data Source'!V540&gt;=1,"D","F")))))),"")</f>
        <v/>
      </c>
      <c r="E540" s="3">
        <f>IF(AND('Data Source'!B540&lt;&gt;"",'Data Source'!S540="F"),IF('Data Source'!W540&gt;=5,"A+",IF('Data Source'!W540&gt;=4,"A",IF('Data Source'!W540&gt;=3.5,"A-",IF('Data Source'!W540&gt;=3,"B",IF('Data Source'!W540&gt;=2,"C",IF('Data Source'!W540&gt;=1,"D","F")))))),"")</f>
        <v/>
      </c>
      <c r="F540" s="3">
        <f>IF(AND('Data Source'!B540&lt;&gt;"",'Data Source'!S540="F"),IF('Data Source'!X540&gt;=5,"A+",IF('Data Source'!X540&gt;=4,"A",IF('Data Source'!X540&gt;=3.5,"A-",IF('Data Source'!X540&gt;=3,"B",IF('Data Source'!X540&gt;=2,"C",IF('Data Source'!X540&gt;=1,"D","F")))))),"")</f>
        <v/>
      </c>
      <c r="G540" s="3">
        <f>IF(AND('Data Source'!B540&lt;&gt;"",'Data Source'!S540="F"),IF('Data Source'!Y540&gt;=5,"A+",IF('Data Source'!Y540&gt;=4,"A",IF('Data Source'!Y540&gt;=3.5,"A-",IF('Data Source'!Y540&gt;=3,"B",IF('Data Source'!Y540&gt;=2,"C",IF('Data Source'!Y540&gt;=1,"D","F")))))),"")</f>
        <v/>
      </c>
      <c r="H540" s="3">
        <f>IF(AND('Data Source'!B540&lt;&gt;"",'Data Source'!S540="F"),IF('Data Source'!Z540&gt;=5,"A+",IF('Data Source'!Z540&gt;=4,"A",IF('Data Source'!Z540&gt;=3.5,"A-",IF('Data Source'!Z540&gt;=3,"B",IF('Data Source'!Z540&gt;=2,"C",IF('Data Source'!Z540&gt;=1,"D","F")))))),"")</f>
        <v/>
      </c>
      <c r="I540" s="3">
        <f>IF(AND('Data Source'!B540&lt;&gt;"",'Data Source'!S540="F"),IF('Data Source'!AA540&gt;=5,"A+",IF('Data Source'!AA540&gt;=4,"A",IF('Data Source'!AA540&gt;=3.5,"A-",IF('Data Source'!AA540&gt;=3,"B",IF('Data Source'!AA540&gt;=2,"C",IF('Data Source'!AA540&gt;=1,"D","F")))))),"")</f>
        <v/>
      </c>
      <c r="J540" s="3">
        <f>IF(AND('Data Source'!B540&lt;&gt;"",'Data Source'!S540="F"),IF('Data Source'!AB540&gt;=5,"A+",IF('Data Source'!AB540&gt;=4,"A",IF('Data Source'!AB540&gt;=3.5,"A-",IF('Data Source'!AB540&gt;=3,"B",IF('Data Source'!AB540&gt;=2,"C",IF('Data Source'!AB540&gt;=1,"D","F")))))),"")</f>
        <v/>
      </c>
      <c r="K540" s="3">
        <f>IF(AND('Data Source'!B540&lt;&gt;"",'Data Source'!S540="F"),IF('Data Source'!AC540&gt;=5,"A+",IF('Data Source'!AC540&gt;=4,"A",IF('Data Source'!AC540&gt;=3.5,"A-",IF('Data Source'!AC540&gt;=3,"B",IF('Data Source'!AC540&gt;=2,"C",IF('Data Source'!AC540&gt;=1,"D","F")))))),"")</f>
        <v/>
      </c>
      <c r="L540" s="3">
        <f>IF(AND('Data Source'!B540&lt;&gt;"",'Data Source'!S540="F"),IF('Data Source'!AD540&gt;=5,"A+",IF('Data Source'!AD540&gt;=4,"A",IF('Data Source'!AD540&gt;=3.5,"A-",IF('Data Source'!AD540&gt;=3,"B",IF('Data Source'!AD540&gt;=2,"C",IF('Data Source'!AD540&gt;=1,"D","F")))))),"")</f>
        <v/>
      </c>
      <c r="M540" s="3">
        <f>IF(AND('Data Source'!B540&lt;&gt;"",'Data Source'!S540="F"),IF('Data Source'!AE540&gt;=5,"A+",IF('Data Source'!AE540&gt;=4,"A",IF('Data Source'!AE540&gt;=3.5,"A-",IF('Data Source'!AE540&gt;=3,"B",IF('Data Source'!AE540&gt;=2,"C",IF('Data Source'!AE540&gt;=1,"D","F")))))),"")</f>
        <v/>
      </c>
      <c r="N540" s="3">
        <f>IF(AND('Data Source'!B540&lt;&gt;"",'Data Source'!S540="F"),IF('Data Source'!AF540&gt;=5,"A+",IF('Data Source'!AF540&gt;=4,"A",IF('Data Source'!AF540&gt;=3.5,"A-",IF('Data Source'!AF540&gt;=3,"B",IF('Data Source'!AF540&gt;=2,"C",IF('Data Source'!AF540&gt;=1,"D","F")))))),"")</f>
        <v/>
      </c>
      <c r="O540" s="3">
        <f>IF(AND('Data Source'!B540&lt;&gt;"",'Data Source'!S540="F"),IF('Data Source'!AG540&gt;=5,"A+",IF('Data Source'!AG540&gt;=4,"A",IF('Data Source'!AG540&gt;=3.5,"A-",IF('Data Source'!AG540&gt;=3,"B",IF('Data Source'!AG540&gt;=2,"C",IF('Data Source'!AG540&gt;=1,"D","F")))))),"")</f>
        <v/>
      </c>
      <c r="P540" s="5">
        <f>IF(AND('Data Source'!B540&lt;&gt;"",'Data Source'!S540="F"),'Data Source'!R540,"")</f>
        <v/>
      </c>
      <c r="Q540" s="3">
        <f>IF(AND('Data Source'!B540&lt;&gt;"",'Data Source'!S540="F"),'Data Source'!S540,"")</f>
        <v/>
      </c>
    </row>
    <row r="541">
      <c r="A541" s="3">
        <f>IF(AND('Data Source'!B541&lt;&gt;"",'Data Source'!S541="F"),COUNTIF('Data Source'!$S$3:S541,"F"),"")</f>
        <v/>
      </c>
      <c r="B541">
        <f>IF(AND('Data Source'!B541&lt;&gt;"",'Data Source'!S541="F"),'Data Source'!B541,"")</f>
        <v/>
      </c>
      <c r="C541" s="3">
        <f>IF(AND('Data Source'!B541&lt;&gt;"",'Data Source'!S541="F"),IF('Data Source'!U541&gt;=5,"A+",IF('Data Source'!U541&gt;=4,"A",IF('Data Source'!U541&gt;=3.5,"A-",IF('Data Source'!U541&gt;=3,"B",IF('Data Source'!U541&gt;=2,"C",IF('Data Source'!U541&gt;=1,"D","F")))))),"")</f>
        <v/>
      </c>
      <c r="D541" s="3">
        <f>IF(AND('Data Source'!B541&lt;&gt;"",'Data Source'!S541="F"),IF('Data Source'!V541&gt;=5,"A+",IF('Data Source'!V541&gt;=4,"A",IF('Data Source'!V541&gt;=3.5,"A-",IF('Data Source'!V541&gt;=3,"B",IF('Data Source'!V541&gt;=2,"C",IF('Data Source'!V541&gt;=1,"D","F")))))),"")</f>
        <v/>
      </c>
      <c r="E541" s="3">
        <f>IF(AND('Data Source'!B541&lt;&gt;"",'Data Source'!S541="F"),IF('Data Source'!W541&gt;=5,"A+",IF('Data Source'!W541&gt;=4,"A",IF('Data Source'!W541&gt;=3.5,"A-",IF('Data Source'!W541&gt;=3,"B",IF('Data Source'!W541&gt;=2,"C",IF('Data Source'!W541&gt;=1,"D","F")))))),"")</f>
        <v/>
      </c>
      <c r="F541" s="3">
        <f>IF(AND('Data Source'!B541&lt;&gt;"",'Data Source'!S541="F"),IF('Data Source'!X541&gt;=5,"A+",IF('Data Source'!X541&gt;=4,"A",IF('Data Source'!X541&gt;=3.5,"A-",IF('Data Source'!X541&gt;=3,"B",IF('Data Source'!X541&gt;=2,"C",IF('Data Source'!X541&gt;=1,"D","F")))))),"")</f>
        <v/>
      </c>
      <c r="G541" s="3">
        <f>IF(AND('Data Source'!B541&lt;&gt;"",'Data Source'!S541="F"),IF('Data Source'!Y541&gt;=5,"A+",IF('Data Source'!Y541&gt;=4,"A",IF('Data Source'!Y541&gt;=3.5,"A-",IF('Data Source'!Y541&gt;=3,"B",IF('Data Source'!Y541&gt;=2,"C",IF('Data Source'!Y541&gt;=1,"D","F")))))),"")</f>
        <v/>
      </c>
      <c r="H541" s="3">
        <f>IF(AND('Data Source'!B541&lt;&gt;"",'Data Source'!S541="F"),IF('Data Source'!Z541&gt;=5,"A+",IF('Data Source'!Z541&gt;=4,"A",IF('Data Source'!Z541&gt;=3.5,"A-",IF('Data Source'!Z541&gt;=3,"B",IF('Data Source'!Z541&gt;=2,"C",IF('Data Source'!Z541&gt;=1,"D","F")))))),"")</f>
        <v/>
      </c>
      <c r="I541" s="3">
        <f>IF(AND('Data Source'!B541&lt;&gt;"",'Data Source'!S541="F"),IF('Data Source'!AA541&gt;=5,"A+",IF('Data Source'!AA541&gt;=4,"A",IF('Data Source'!AA541&gt;=3.5,"A-",IF('Data Source'!AA541&gt;=3,"B",IF('Data Source'!AA541&gt;=2,"C",IF('Data Source'!AA541&gt;=1,"D","F")))))),"")</f>
        <v/>
      </c>
      <c r="J541" s="3">
        <f>IF(AND('Data Source'!B541&lt;&gt;"",'Data Source'!S541="F"),IF('Data Source'!AB541&gt;=5,"A+",IF('Data Source'!AB541&gt;=4,"A",IF('Data Source'!AB541&gt;=3.5,"A-",IF('Data Source'!AB541&gt;=3,"B",IF('Data Source'!AB541&gt;=2,"C",IF('Data Source'!AB541&gt;=1,"D","F")))))),"")</f>
        <v/>
      </c>
      <c r="K541" s="3">
        <f>IF(AND('Data Source'!B541&lt;&gt;"",'Data Source'!S541="F"),IF('Data Source'!AC541&gt;=5,"A+",IF('Data Source'!AC541&gt;=4,"A",IF('Data Source'!AC541&gt;=3.5,"A-",IF('Data Source'!AC541&gt;=3,"B",IF('Data Source'!AC541&gt;=2,"C",IF('Data Source'!AC541&gt;=1,"D","F")))))),"")</f>
        <v/>
      </c>
      <c r="L541" s="3">
        <f>IF(AND('Data Source'!B541&lt;&gt;"",'Data Source'!S541="F"),IF('Data Source'!AD541&gt;=5,"A+",IF('Data Source'!AD541&gt;=4,"A",IF('Data Source'!AD541&gt;=3.5,"A-",IF('Data Source'!AD541&gt;=3,"B",IF('Data Source'!AD541&gt;=2,"C",IF('Data Source'!AD541&gt;=1,"D","F")))))),"")</f>
        <v/>
      </c>
      <c r="M541" s="3">
        <f>IF(AND('Data Source'!B541&lt;&gt;"",'Data Source'!S541="F"),IF('Data Source'!AE541&gt;=5,"A+",IF('Data Source'!AE541&gt;=4,"A",IF('Data Source'!AE541&gt;=3.5,"A-",IF('Data Source'!AE541&gt;=3,"B",IF('Data Source'!AE541&gt;=2,"C",IF('Data Source'!AE541&gt;=1,"D","F")))))),"")</f>
        <v/>
      </c>
      <c r="N541" s="3">
        <f>IF(AND('Data Source'!B541&lt;&gt;"",'Data Source'!S541="F"),IF('Data Source'!AF541&gt;=5,"A+",IF('Data Source'!AF541&gt;=4,"A",IF('Data Source'!AF541&gt;=3.5,"A-",IF('Data Source'!AF541&gt;=3,"B",IF('Data Source'!AF541&gt;=2,"C",IF('Data Source'!AF541&gt;=1,"D","F")))))),"")</f>
        <v/>
      </c>
      <c r="O541" s="3">
        <f>IF(AND('Data Source'!B541&lt;&gt;"",'Data Source'!S541="F"),IF('Data Source'!AG541&gt;=5,"A+",IF('Data Source'!AG541&gt;=4,"A",IF('Data Source'!AG541&gt;=3.5,"A-",IF('Data Source'!AG541&gt;=3,"B",IF('Data Source'!AG541&gt;=2,"C",IF('Data Source'!AG541&gt;=1,"D","F")))))),"")</f>
        <v/>
      </c>
      <c r="P541" s="5">
        <f>IF(AND('Data Source'!B541&lt;&gt;"",'Data Source'!S541="F"),'Data Source'!R541,"")</f>
        <v/>
      </c>
      <c r="Q541" s="3">
        <f>IF(AND('Data Source'!B541&lt;&gt;"",'Data Source'!S541="F"),'Data Source'!S541,"")</f>
        <v/>
      </c>
    </row>
    <row r="542">
      <c r="A542" s="3">
        <f>IF(AND('Data Source'!B542&lt;&gt;"",'Data Source'!S542="F"),COUNTIF('Data Source'!$S$3:S542,"F"),"")</f>
        <v/>
      </c>
      <c r="B542">
        <f>IF(AND('Data Source'!B542&lt;&gt;"",'Data Source'!S542="F"),'Data Source'!B542,"")</f>
        <v/>
      </c>
      <c r="C542" s="3">
        <f>IF(AND('Data Source'!B542&lt;&gt;"",'Data Source'!S542="F"),IF('Data Source'!U542&gt;=5,"A+",IF('Data Source'!U542&gt;=4,"A",IF('Data Source'!U542&gt;=3.5,"A-",IF('Data Source'!U542&gt;=3,"B",IF('Data Source'!U542&gt;=2,"C",IF('Data Source'!U542&gt;=1,"D","F")))))),"")</f>
        <v/>
      </c>
      <c r="D542" s="3">
        <f>IF(AND('Data Source'!B542&lt;&gt;"",'Data Source'!S542="F"),IF('Data Source'!V542&gt;=5,"A+",IF('Data Source'!V542&gt;=4,"A",IF('Data Source'!V542&gt;=3.5,"A-",IF('Data Source'!V542&gt;=3,"B",IF('Data Source'!V542&gt;=2,"C",IF('Data Source'!V542&gt;=1,"D","F")))))),"")</f>
        <v/>
      </c>
      <c r="E542" s="3">
        <f>IF(AND('Data Source'!B542&lt;&gt;"",'Data Source'!S542="F"),IF('Data Source'!W542&gt;=5,"A+",IF('Data Source'!W542&gt;=4,"A",IF('Data Source'!W542&gt;=3.5,"A-",IF('Data Source'!W542&gt;=3,"B",IF('Data Source'!W542&gt;=2,"C",IF('Data Source'!W542&gt;=1,"D","F")))))),"")</f>
        <v/>
      </c>
      <c r="F542" s="3">
        <f>IF(AND('Data Source'!B542&lt;&gt;"",'Data Source'!S542="F"),IF('Data Source'!X542&gt;=5,"A+",IF('Data Source'!X542&gt;=4,"A",IF('Data Source'!X542&gt;=3.5,"A-",IF('Data Source'!X542&gt;=3,"B",IF('Data Source'!X542&gt;=2,"C",IF('Data Source'!X542&gt;=1,"D","F")))))),"")</f>
        <v/>
      </c>
      <c r="G542" s="3">
        <f>IF(AND('Data Source'!B542&lt;&gt;"",'Data Source'!S542="F"),IF('Data Source'!Y542&gt;=5,"A+",IF('Data Source'!Y542&gt;=4,"A",IF('Data Source'!Y542&gt;=3.5,"A-",IF('Data Source'!Y542&gt;=3,"B",IF('Data Source'!Y542&gt;=2,"C",IF('Data Source'!Y542&gt;=1,"D","F")))))),"")</f>
        <v/>
      </c>
      <c r="H542" s="3">
        <f>IF(AND('Data Source'!B542&lt;&gt;"",'Data Source'!S542="F"),IF('Data Source'!Z542&gt;=5,"A+",IF('Data Source'!Z542&gt;=4,"A",IF('Data Source'!Z542&gt;=3.5,"A-",IF('Data Source'!Z542&gt;=3,"B",IF('Data Source'!Z542&gt;=2,"C",IF('Data Source'!Z542&gt;=1,"D","F")))))),"")</f>
        <v/>
      </c>
      <c r="I542" s="3">
        <f>IF(AND('Data Source'!B542&lt;&gt;"",'Data Source'!S542="F"),IF('Data Source'!AA542&gt;=5,"A+",IF('Data Source'!AA542&gt;=4,"A",IF('Data Source'!AA542&gt;=3.5,"A-",IF('Data Source'!AA542&gt;=3,"B",IF('Data Source'!AA542&gt;=2,"C",IF('Data Source'!AA542&gt;=1,"D","F")))))),"")</f>
        <v/>
      </c>
      <c r="J542" s="3">
        <f>IF(AND('Data Source'!B542&lt;&gt;"",'Data Source'!S542="F"),IF('Data Source'!AB542&gt;=5,"A+",IF('Data Source'!AB542&gt;=4,"A",IF('Data Source'!AB542&gt;=3.5,"A-",IF('Data Source'!AB542&gt;=3,"B",IF('Data Source'!AB542&gt;=2,"C",IF('Data Source'!AB542&gt;=1,"D","F")))))),"")</f>
        <v/>
      </c>
      <c r="K542" s="3">
        <f>IF(AND('Data Source'!B542&lt;&gt;"",'Data Source'!S542="F"),IF('Data Source'!AC542&gt;=5,"A+",IF('Data Source'!AC542&gt;=4,"A",IF('Data Source'!AC542&gt;=3.5,"A-",IF('Data Source'!AC542&gt;=3,"B",IF('Data Source'!AC542&gt;=2,"C",IF('Data Source'!AC542&gt;=1,"D","F")))))),"")</f>
        <v/>
      </c>
      <c r="L542" s="3">
        <f>IF(AND('Data Source'!B542&lt;&gt;"",'Data Source'!S542="F"),IF('Data Source'!AD542&gt;=5,"A+",IF('Data Source'!AD542&gt;=4,"A",IF('Data Source'!AD542&gt;=3.5,"A-",IF('Data Source'!AD542&gt;=3,"B",IF('Data Source'!AD542&gt;=2,"C",IF('Data Source'!AD542&gt;=1,"D","F")))))),"")</f>
        <v/>
      </c>
      <c r="M542" s="3">
        <f>IF(AND('Data Source'!B542&lt;&gt;"",'Data Source'!S542="F"),IF('Data Source'!AE542&gt;=5,"A+",IF('Data Source'!AE542&gt;=4,"A",IF('Data Source'!AE542&gt;=3.5,"A-",IF('Data Source'!AE542&gt;=3,"B",IF('Data Source'!AE542&gt;=2,"C",IF('Data Source'!AE542&gt;=1,"D","F")))))),"")</f>
        <v/>
      </c>
      <c r="N542" s="3">
        <f>IF(AND('Data Source'!B542&lt;&gt;"",'Data Source'!S542="F"),IF('Data Source'!AF542&gt;=5,"A+",IF('Data Source'!AF542&gt;=4,"A",IF('Data Source'!AF542&gt;=3.5,"A-",IF('Data Source'!AF542&gt;=3,"B",IF('Data Source'!AF542&gt;=2,"C",IF('Data Source'!AF542&gt;=1,"D","F")))))),"")</f>
        <v/>
      </c>
      <c r="O542" s="3">
        <f>IF(AND('Data Source'!B542&lt;&gt;"",'Data Source'!S542="F"),IF('Data Source'!AG542&gt;=5,"A+",IF('Data Source'!AG542&gt;=4,"A",IF('Data Source'!AG542&gt;=3.5,"A-",IF('Data Source'!AG542&gt;=3,"B",IF('Data Source'!AG542&gt;=2,"C",IF('Data Source'!AG542&gt;=1,"D","F")))))),"")</f>
        <v/>
      </c>
      <c r="P542" s="5">
        <f>IF(AND('Data Source'!B542&lt;&gt;"",'Data Source'!S542="F"),'Data Source'!R542,"")</f>
        <v/>
      </c>
      <c r="Q542" s="3">
        <f>IF(AND('Data Source'!B542&lt;&gt;"",'Data Source'!S542="F"),'Data Source'!S542,"")</f>
        <v/>
      </c>
    </row>
    <row r="543">
      <c r="A543" s="3">
        <f>IF(AND('Data Source'!B543&lt;&gt;"",'Data Source'!S543="F"),COUNTIF('Data Source'!$S$3:S543,"F"),"")</f>
        <v/>
      </c>
      <c r="B543">
        <f>IF(AND('Data Source'!B543&lt;&gt;"",'Data Source'!S543="F"),'Data Source'!B543,"")</f>
        <v/>
      </c>
      <c r="C543" s="3">
        <f>IF(AND('Data Source'!B543&lt;&gt;"",'Data Source'!S543="F"),IF('Data Source'!U543&gt;=5,"A+",IF('Data Source'!U543&gt;=4,"A",IF('Data Source'!U543&gt;=3.5,"A-",IF('Data Source'!U543&gt;=3,"B",IF('Data Source'!U543&gt;=2,"C",IF('Data Source'!U543&gt;=1,"D","F")))))),"")</f>
        <v/>
      </c>
      <c r="D543" s="3">
        <f>IF(AND('Data Source'!B543&lt;&gt;"",'Data Source'!S543="F"),IF('Data Source'!V543&gt;=5,"A+",IF('Data Source'!V543&gt;=4,"A",IF('Data Source'!V543&gt;=3.5,"A-",IF('Data Source'!V543&gt;=3,"B",IF('Data Source'!V543&gt;=2,"C",IF('Data Source'!V543&gt;=1,"D","F")))))),"")</f>
        <v/>
      </c>
      <c r="E543" s="3">
        <f>IF(AND('Data Source'!B543&lt;&gt;"",'Data Source'!S543="F"),IF('Data Source'!W543&gt;=5,"A+",IF('Data Source'!W543&gt;=4,"A",IF('Data Source'!W543&gt;=3.5,"A-",IF('Data Source'!W543&gt;=3,"B",IF('Data Source'!W543&gt;=2,"C",IF('Data Source'!W543&gt;=1,"D","F")))))),"")</f>
        <v/>
      </c>
      <c r="F543" s="3">
        <f>IF(AND('Data Source'!B543&lt;&gt;"",'Data Source'!S543="F"),IF('Data Source'!X543&gt;=5,"A+",IF('Data Source'!X543&gt;=4,"A",IF('Data Source'!X543&gt;=3.5,"A-",IF('Data Source'!X543&gt;=3,"B",IF('Data Source'!X543&gt;=2,"C",IF('Data Source'!X543&gt;=1,"D","F")))))),"")</f>
        <v/>
      </c>
      <c r="G543" s="3">
        <f>IF(AND('Data Source'!B543&lt;&gt;"",'Data Source'!S543="F"),IF('Data Source'!Y543&gt;=5,"A+",IF('Data Source'!Y543&gt;=4,"A",IF('Data Source'!Y543&gt;=3.5,"A-",IF('Data Source'!Y543&gt;=3,"B",IF('Data Source'!Y543&gt;=2,"C",IF('Data Source'!Y543&gt;=1,"D","F")))))),"")</f>
        <v/>
      </c>
      <c r="H543" s="3">
        <f>IF(AND('Data Source'!B543&lt;&gt;"",'Data Source'!S543="F"),IF('Data Source'!Z543&gt;=5,"A+",IF('Data Source'!Z543&gt;=4,"A",IF('Data Source'!Z543&gt;=3.5,"A-",IF('Data Source'!Z543&gt;=3,"B",IF('Data Source'!Z543&gt;=2,"C",IF('Data Source'!Z543&gt;=1,"D","F")))))),"")</f>
        <v/>
      </c>
      <c r="I543" s="3">
        <f>IF(AND('Data Source'!B543&lt;&gt;"",'Data Source'!S543="F"),IF('Data Source'!AA543&gt;=5,"A+",IF('Data Source'!AA543&gt;=4,"A",IF('Data Source'!AA543&gt;=3.5,"A-",IF('Data Source'!AA543&gt;=3,"B",IF('Data Source'!AA543&gt;=2,"C",IF('Data Source'!AA543&gt;=1,"D","F")))))),"")</f>
        <v/>
      </c>
      <c r="J543" s="3">
        <f>IF(AND('Data Source'!B543&lt;&gt;"",'Data Source'!S543="F"),IF('Data Source'!AB543&gt;=5,"A+",IF('Data Source'!AB543&gt;=4,"A",IF('Data Source'!AB543&gt;=3.5,"A-",IF('Data Source'!AB543&gt;=3,"B",IF('Data Source'!AB543&gt;=2,"C",IF('Data Source'!AB543&gt;=1,"D","F")))))),"")</f>
        <v/>
      </c>
      <c r="K543" s="3">
        <f>IF(AND('Data Source'!B543&lt;&gt;"",'Data Source'!S543="F"),IF('Data Source'!AC543&gt;=5,"A+",IF('Data Source'!AC543&gt;=4,"A",IF('Data Source'!AC543&gt;=3.5,"A-",IF('Data Source'!AC543&gt;=3,"B",IF('Data Source'!AC543&gt;=2,"C",IF('Data Source'!AC543&gt;=1,"D","F")))))),"")</f>
        <v/>
      </c>
      <c r="L543" s="3">
        <f>IF(AND('Data Source'!B543&lt;&gt;"",'Data Source'!S543="F"),IF('Data Source'!AD543&gt;=5,"A+",IF('Data Source'!AD543&gt;=4,"A",IF('Data Source'!AD543&gt;=3.5,"A-",IF('Data Source'!AD543&gt;=3,"B",IF('Data Source'!AD543&gt;=2,"C",IF('Data Source'!AD543&gt;=1,"D","F")))))),"")</f>
        <v/>
      </c>
      <c r="M543" s="3">
        <f>IF(AND('Data Source'!B543&lt;&gt;"",'Data Source'!S543="F"),IF('Data Source'!AE543&gt;=5,"A+",IF('Data Source'!AE543&gt;=4,"A",IF('Data Source'!AE543&gt;=3.5,"A-",IF('Data Source'!AE543&gt;=3,"B",IF('Data Source'!AE543&gt;=2,"C",IF('Data Source'!AE543&gt;=1,"D","F")))))),"")</f>
        <v/>
      </c>
      <c r="N543" s="3">
        <f>IF(AND('Data Source'!B543&lt;&gt;"",'Data Source'!S543="F"),IF('Data Source'!AF543&gt;=5,"A+",IF('Data Source'!AF543&gt;=4,"A",IF('Data Source'!AF543&gt;=3.5,"A-",IF('Data Source'!AF543&gt;=3,"B",IF('Data Source'!AF543&gt;=2,"C",IF('Data Source'!AF543&gt;=1,"D","F")))))),"")</f>
        <v/>
      </c>
      <c r="O543" s="3">
        <f>IF(AND('Data Source'!B543&lt;&gt;"",'Data Source'!S543="F"),IF('Data Source'!AG543&gt;=5,"A+",IF('Data Source'!AG543&gt;=4,"A",IF('Data Source'!AG543&gt;=3.5,"A-",IF('Data Source'!AG543&gt;=3,"B",IF('Data Source'!AG543&gt;=2,"C",IF('Data Source'!AG543&gt;=1,"D","F")))))),"")</f>
        <v/>
      </c>
      <c r="P543" s="5">
        <f>IF(AND('Data Source'!B543&lt;&gt;"",'Data Source'!S543="F"),'Data Source'!R543,"")</f>
        <v/>
      </c>
      <c r="Q543" s="3">
        <f>IF(AND('Data Source'!B543&lt;&gt;"",'Data Source'!S543="F"),'Data Source'!S543,"")</f>
        <v/>
      </c>
    </row>
    <row r="544">
      <c r="A544" s="3">
        <f>IF(AND('Data Source'!B544&lt;&gt;"",'Data Source'!S544="F"),COUNTIF('Data Source'!$S$3:S544,"F"),"")</f>
        <v/>
      </c>
      <c r="B544">
        <f>IF(AND('Data Source'!B544&lt;&gt;"",'Data Source'!S544="F"),'Data Source'!B544,"")</f>
        <v/>
      </c>
      <c r="C544" s="3">
        <f>IF(AND('Data Source'!B544&lt;&gt;"",'Data Source'!S544="F"),IF('Data Source'!U544&gt;=5,"A+",IF('Data Source'!U544&gt;=4,"A",IF('Data Source'!U544&gt;=3.5,"A-",IF('Data Source'!U544&gt;=3,"B",IF('Data Source'!U544&gt;=2,"C",IF('Data Source'!U544&gt;=1,"D","F")))))),"")</f>
        <v/>
      </c>
      <c r="D544" s="3">
        <f>IF(AND('Data Source'!B544&lt;&gt;"",'Data Source'!S544="F"),IF('Data Source'!V544&gt;=5,"A+",IF('Data Source'!V544&gt;=4,"A",IF('Data Source'!V544&gt;=3.5,"A-",IF('Data Source'!V544&gt;=3,"B",IF('Data Source'!V544&gt;=2,"C",IF('Data Source'!V544&gt;=1,"D","F")))))),"")</f>
        <v/>
      </c>
      <c r="E544" s="3">
        <f>IF(AND('Data Source'!B544&lt;&gt;"",'Data Source'!S544="F"),IF('Data Source'!W544&gt;=5,"A+",IF('Data Source'!W544&gt;=4,"A",IF('Data Source'!W544&gt;=3.5,"A-",IF('Data Source'!W544&gt;=3,"B",IF('Data Source'!W544&gt;=2,"C",IF('Data Source'!W544&gt;=1,"D","F")))))),"")</f>
        <v/>
      </c>
      <c r="F544" s="3">
        <f>IF(AND('Data Source'!B544&lt;&gt;"",'Data Source'!S544="F"),IF('Data Source'!X544&gt;=5,"A+",IF('Data Source'!X544&gt;=4,"A",IF('Data Source'!X544&gt;=3.5,"A-",IF('Data Source'!X544&gt;=3,"B",IF('Data Source'!X544&gt;=2,"C",IF('Data Source'!X544&gt;=1,"D","F")))))),"")</f>
        <v/>
      </c>
      <c r="G544" s="3">
        <f>IF(AND('Data Source'!B544&lt;&gt;"",'Data Source'!S544="F"),IF('Data Source'!Y544&gt;=5,"A+",IF('Data Source'!Y544&gt;=4,"A",IF('Data Source'!Y544&gt;=3.5,"A-",IF('Data Source'!Y544&gt;=3,"B",IF('Data Source'!Y544&gt;=2,"C",IF('Data Source'!Y544&gt;=1,"D","F")))))),"")</f>
        <v/>
      </c>
      <c r="H544" s="3">
        <f>IF(AND('Data Source'!B544&lt;&gt;"",'Data Source'!S544="F"),IF('Data Source'!Z544&gt;=5,"A+",IF('Data Source'!Z544&gt;=4,"A",IF('Data Source'!Z544&gt;=3.5,"A-",IF('Data Source'!Z544&gt;=3,"B",IF('Data Source'!Z544&gt;=2,"C",IF('Data Source'!Z544&gt;=1,"D","F")))))),"")</f>
        <v/>
      </c>
      <c r="I544" s="3">
        <f>IF(AND('Data Source'!B544&lt;&gt;"",'Data Source'!S544="F"),IF('Data Source'!AA544&gt;=5,"A+",IF('Data Source'!AA544&gt;=4,"A",IF('Data Source'!AA544&gt;=3.5,"A-",IF('Data Source'!AA544&gt;=3,"B",IF('Data Source'!AA544&gt;=2,"C",IF('Data Source'!AA544&gt;=1,"D","F")))))),"")</f>
        <v/>
      </c>
      <c r="J544" s="3">
        <f>IF(AND('Data Source'!B544&lt;&gt;"",'Data Source'!S544="F"),IF('Data Source'!AB544&gt;=5,"A+",IF('Data Source'!AB544&gt;=4,"A",IF('Data Source'!AB544&gt;=3.5,"A-",IF('Data Source'!AB544&gt;=3,"B",IF('Data Source'!AB544&gt;=2,"C",IF('Data Source'!AB544&gt;=1,"D","F")))))),"")</f>
        <v/>
      </c>
      <c r="K544" s="3">
        <f>IF(AND('Data Source'!B544&lt;&gt;"",'Data Source'!S544="F"),IF('Data Source'!AC544&gt;=5,"A+",IF('Data Source'!AC544&gt;=4,"A",IF('Data Source'!AC544&gt;=3.5,"A-",IF('Data Source'!AC544&gt;=3,"B",IF('Data Source'!AC544&gt;=2,"C",IF('Data Source'!AC544&gt;=1,"D","F")))))),"")</f>
        <v/>
      </c>
      <c r="L544" s="3">
        <f>IF(AND('Data Source'!B544&lt;&gt;"",'Data Source'!S544="F"),IF('Data Source'!AD544&gt;=5,"A+",IF('Data Source'!AD544&gt;=4,"A",IF('Data Source'!AD544&gt;=3.5,"A-",IF('Data Source'!AD544&gt;=3,"B",IF('Data Source'!AD544&gt;=2,"C",IF('Data Source'!AD544&gt;=1,"D","F")))))),"")</f>
        <v/>
      </c>
      <c r="M544" s="3">
        <f>IF(AND('Data Source'!B544&lt;&gt;"",'Data Source'!S544="F"),IF('Data Source'!AE544&gt;=5,"A+",IF('Data Source'!AE544&gt;=4,"A",IF('Data Source'!AE544&gt;=3.5,"A-",IF('Data Source'!AE544&gt;=3,"B",IF('Data Source'!AE544&gt;=2,"C",IF('Data Source'!AE544&gt;=1,"D","F")))))),"")</f>
        <v/>
      </c>
      <c r="N544" s="3">
        <f>IF(AND('Data Source'!B544&lt;&gt;"",'Data Source'!S544="F"),IF('Data Source'!AF544&gt;=5,"A+",IF('Data Source'!AF544&gt;=4,"A",IF('Data Source'!AF544&gt;=3.5,"A-",IF('Data Source'!AF544&gt;=3,"B",IF('Data Source'!AF544&gt;=2,"C",IF('Data Source'!AF544&gt;=1,"D","F")))))),"")</f>
        <v/>
      </c>
      <c r="O544" s="3">
        <f>IF(AND('Data Source'!B544&lt;&gt;"",'Data Source'!S544="F"),IF('Data Source'!AG544&gt;=5,"A+",IF('Data Source'!AG544&gt;=4,"A",IF('Data Source'!AG544&gt;=3.5,"A-",IF('Data Source'!AG544&gt;=3,"B",IF('Data Source'!AG544&gt;=2,"C",IF('Data Source'!AG544&gt;=1,"D","F")))))),"")</f>
        <v/>
      </c>
      <c r="P544" s="5">
        <f>IF(AND('Data Source'!B544&lt;&gt;"",'Data Source'!S544="F"),'Data Source'!R544,"")</f>
        <v/>
      </c>
      <c r="Q544" s="3">
        <f>IF(AND('Data Source'!B544&lt;&gt;"",'Data Source'!S544="F"),'Data Source'!S544,"")</f>
        <v/>
      </c>
    </row>
    <row r="545">
      <c r="A545" s="3">
        <f>IF(AND('Data Source'!B545&lt;&gt;"",'Data Source'!S545="F"),COUNTIF('Data Source'!$S$3:S545,"F"),"")</f>
        <v/>
      </c>
      <c r="B545">
        <f>IF(AND('Data Source'!B545&lt;&gt;"",'Data Source'!S545="F"),'Data Source'!B545,"")</f>
        <v/>
      </c>
      <c r="C545" s="3">
        <f>IF(AND('Data Source'!B545&lt;&gt;"",'Data Source'!S545="F"),IF('Data Source'!U545&gt;=5,"A+",IF('Data Source'!U545&gt;=4,"A",IF('Data Source'!U545&gt;=3.5,"A-",IF('Data Source'!U545&gt;=3,"B",IF('Data Source'!U545&gt;=2,"C",IF('Data Source'!U545&gt;=1,"D","F")))))),"")</f>
        <v/>
      </c>
      <c r="D545" s="3">
        <f>IF(AND('Data Source'!B545&lt;&gt;"",'Data Source'!S545="F"),IF('Data Source'!V545&gt;=5,"A+",IF('Data Source'!V545&gt;=4,"A",IF('Data Source'!V545&gt;=3.5,"A-",IF('Data Source'!V545&gt;=3,"B",IF('Data Source'!V545&gt;=2,"C",IF('Data Source'!V545&gt;=1,"D","F")))))),"")</f>
        <v/>
      </c>
      <c r="E545" s="3">
        <f>IF(AND('Data Source'!B545&lt;&gt;"",'Data Source'!S545="F"),IF('Data Source'!W545&gt;=5,"A+",IF('Data Source'!W545&gt;=4,"A",IF('Data Source'!W545&gt;=3.5,"A-",IF('Data Source'!W545&gt;=3,"B",IF('Data Source'!W545&gt;=2,"C",IF('Data Source'!W545&gt;=1,"D","F")))))),"")</f>
        <v/>
      </c>
      <c r="F545" s="3">
        <f>IF(AND('Data Source'!B545&lt;&gt;"",'Data Source'!S545="F"),IF('Data Source'!X545&gt;=5,"A+",IF('Data Source'!X545&gt;=4,"A",IF('Data Source'!X545&gt;=3.5,"A-",IF('Data Source'!X545&gt;=3,"B",IF('Data Source'!X545&gt;=2,"C",IF('Data Source'!X545&gt;=1,"D","F")))))),"")</f>
        <v/>
      </c>
      <c r="G545" s="3">
        <f>IF(AND('Data Source'!B545&lt;&gt;"",'Data Source'!S545="F"),IF('Data Source'!Y545&gt;=5,"A+",IF('Data Source'!Y545&gt;=4,"A",IF('Data Source'!Y545&gt;=3.5,"A-",IF('Data Source'!Y545&gt;=3,"B",IF('Data Source'!Y545&gt;=2,"C",IF('Data Source'!Y545&gt;=1,"D","F")))))),"")</f>
        <v/>
      </c>
      <c r="H545" s="3">
        <f>IF(AND('Data Source'!B545&lt;&gt;"",'Data Source'!S545="F"),IF('Data Source'!Z545&gt;=5,"A+",IF('Data Source'!Z545&gt;=4,"A",IF('Data Source'!Z545&gt;=3.5,"A-",IF('Data Source'!Z545&gt;=3,"B",IF('Data Source'!Z545&gt;=2,"C",IF('Data Source'!Z545&gt;=1,"D","F")))))),"")</f>
        <v/>
      </c>
      <c r="I545" s="3">
        <f>IF(AND('Data Source'!B545&lt;&gt;"",'Data Source'!S545="F"),IF('Data Source'!AA545&gt;=5,"A+",IF('Data Source'!AA545&gt;=4,"A",IF('Data Source'!AA545&gt;=3.5,"A-",IF('Data Source'!AA545&gt;=3,"B",IF('Data Source'!AA545&gt;=2,"C",IF('Data Source'!AA545&gt;=1,"D","F")))))),"")</f>
        <v/>
      </c>
      <c r="J545" s="3">
        <f>IF(AND('Data Source'!B545&lt;&gt;"",'Data Source'!S545="F"),IF('Data Source'!AB545&gt;=5,"A+",IF('Data Source'!AB545&gt;=4,"A",IF('Data Source'!AB545&gt;=3.5,"A-",IF('Data Source'!AB545&gt;=3,"B",IF('Data Source'!AB545&gt;=2,"C",IF('Data Source'!AB545&gt;=1,"D","F")))))),"")</f>
        <v/>
      </c>
      <c r="K545" s="3">
        <f>IF(AND('Data Source'!B545&lt;&gt;"",'Data Source'!S545="F"),IF('Data Source'!AC545&gt;=5,"A+",IF('Data Source'!AC545&gt;=4,"A",IF('Data Source'!AC545&gt;=3.5,"A-",IF('Data Source'!AC545&gt;=3,"B",IF('Data Source'!AC545&gt;=2,"C",IF('Data Source'!AC545&gt;=1,"D","F")))))),"")</f>
        <v/>
      </c>
      <c r="L545" s="3">
        <f>IF(AND('Data Source'!B545&lt;&gt;"",'Data Source'!S545="F"),IF('Data Source'!AD545&gt;=5,"A+",IF('Data Source'!AD545&gt;=4,"A",IF('Data Source'!AD545&gt;=3.5,"A-",IF('Data Source'!AD545&gt;=3,"B",IF('Data Source'!AD545&gt;=2,"C",IF('Data Source'!AD545&gt;=1,"D","F")))))),"")</f>
        <v/>
      </c>
      <c r="M545" s="3">
        <f>IF(AND('Data Source'!B545&lt;&gt;"",'Data Source'!S545="F"),IF('Data Source'!AE545&gt;=5,"A+",IF('Data Source'!AE545&gt;=4,"A",IF('Data Source'!AE545&gt;=3.5,"A-",IF('Data Source'!AE545&gt;=3,"B",IF('Data Source'!AE545&gt;=2,"C",IF('Data Source'!AE545&gt;=1,"D","F")))))),"")</f>
        <v/>
      </c>
      <c r="N545" s="3">
        <f>IF(AND('Data Source'!B545&lt;&gt;"",'Data Source'!S545="F"),IF('Data Source'!AF545&gt;=5,"A+",IF('Data Source'!AF545&gt;=4,"A",IF('Data Source'!AF545&gt;=3.5,"A-",IF('Data Source'!AF545&gt;=3,"B",IF('Data Source'!AF545&gt;=2,"C",IF('Data Source'!AF545&gt;=1,"D","F")))))),"")</f>
        <v/>
      </c>
      <c r="O545" s="3">
        <f>IF(AND('Data Source'!B545&lt;&gt;"",'Data Source'!S545="F"),IF('Data Source'!AG545&gt;=5,"A+",IF('Data Source'!AG545&gt;=4,"A",IF('Data Source'!AG545&gt;=3.5,"A-",IF('Data Source'!AG545&gt;=3,"B",IF('Data Source'!AG545&gt;=2,"C",IF('Data Source'!AG545&gt;=1,"D","F")))))),"")</f>
        <v/>
      </c>
      <c r="P545" s="5">
        <f>IF(AND('Data Source'!B545&lt;&gt;"",'Data Source'!S545="F"),'Data Source'!R545,"")</f>
        <v/>
      </c>
      <c r="Q545" s="3">
        <f>IF(AND('Data Source'!B545&lt;&gt;"",'Data Source'!S545="F"),'Data Source'!S545,"")</f>
        <v/>
      </c>
    </row>
    <row r="546">
      <c r="A546" s="3">
        <f>IF(AND('Data Source'!B546&lt;&gt;"",'Data Source'!S546="F"),COUNTIF('Data Source'!$S$3:S546,"F"),"")</f>
        <v/>
      </c>
      <c r="B546">
        <f>IF(AND('Data Source'!B546&lt;&gt;"",'Data Source'!S546="F"),'Data Source'!B546,"")</f>
        <v/>
      </c>
      <c r="C546" s="3">
        <f>IF(AND('Data Source'!B546&lt;&gt;"",'Data Source'!S546="F"),IF('Data Source'!U546&gt;=5,"A+",IF('Data Source'!U546&gt;=4,"A",IF('Data Source'!U546&gt;=3.5,"A-",IF('Data Source'!U546&gt;=3,"B",IF('Data Source'!U546&gt;=2,"C",IF('Data Source'!U546&gt;=1,"D","F")))))),"")</f>
        <v/>
      </c>
      <c r="D546" s="3">
        <f>IF(AND('Data Source'!B546&lt;&gt;"",'Data Source'!S546="F"),IF('Data Source'!V546&gt;=5,"A+",IF('Data Source'!V546&gt;=4,"A",IF('Data Source'!V546&gt;=3.5,"A-",IF('Data Source'!V546&gt;=3,"B",IF('Data Source'!V546&gt;=2,"C",IF('Data Source'!V546&gt;=1,"D","F")))))),"")</f>
        <v/>
      </c>
      <c r="E546" s="3">
        <f>IF(AND('Data Source'!B546&lt;&gt;"",'Data Source'!S546="F"),IF('Data Source'!W546&gt;=5,"A+",IF('Data Source'!W546&gt;=4,"A",IF('Data Source'!W546&gt;=3.5,"A-",IF('Data Source'!W546&gt;=3,"B",IF('Data Source'!W546&gt;=2,"C",IF('Data Source'!W546&gt;=1,"D","F")))))),"")</f>
        <v/>
      </c>
      <c r="F546" s="3">
        <f>IF(AND('Data Source'!B546&lt;&gt;"",'Data Source'!S546="F"),IF('Data Source'!X546&gt;=5,"A+",IF('Data Source'!X546&gt;=4,"A",IF('Data Source'!X546&gt;=3.5,"A-",IF('Data Source'!X546&gt;=3,"B",IF('Data Source'!X546&gt;=2,"C",IF('Data Source'!X546&gt;=1,"D","F")))))),"")</f>
        <v/>
      </c>
      <c r="G546" s="3">
        <f>IF(AND('Data Source'!B546&lt;&gt;"",'Data Source'!S546="F"),IF('Data Source'!Y546&gt;=5,"A+",IF('Data Source'!Y546&gt;=4,"A",IF('Data Source'!Y546&gt;=3.5,"A-",IF('Data Source'!Y546&gt;=3,"B",IF('Data Source'!Y546&gt;=2,"C",IF('Data Source'!Y546&gt;=1,"D","F")))))),"")</f>
        <v/>
      </c>
      <c r="H546" s="3">
        <f>IF(AND('Data Source'!B546&lt;&gt;"",'Data Source'!S546="F"),IF('Data Source'!Z546&gt;=5,"A+",IF('Data Source'!Z546&gt;=4,"A",IF('Data Source'!Z546&gt;=3.5,"A-",IF('Data Source'!Z546&gt;=3,"B",IF('Data Source'!Z546&gt;=2,"C",IF('Data Source'!Z546&gt;=1,"D","F")))))),"")</f>
        <v/>
      </c>
      <c r="I546" s="3">
        <f>IF(AND('Data Source'!B546&lt;&gt;"",'Data Source'!S546="F"),IF('Data Source'!AA546&gt;=5,"A+",IF('Data Source'!AA546&gt;=4,"A",IF('Data Source'!AA546&gt;=3.5,"A-",IF('Data Source'!AA546&gt;=3,"B",IF('Data Source'!AA546&gt;=2,"C",IF('Data Source'!AA546&gt;=1,"D","F")))))),"")</f>
        <v/>
      </c>
      <c r="J546" s="3">
        <f>IF(AND('Data Source'!B546&lt;&gt;"",'Data Source'!S546="F"),IF('Data Source'!AB546&gt;=5,"A+",IF('Data Source'!AB546&gt;=4,"A",IF('Data Source'!AB546&gt;=3.5,"A-",IF('Data Source'!AB546&gt;=3,"B",IF('Data Source'!AB546&gt;=2,"C",IF('Data Source'!AB546&gt;=1,"D","F")))))),"")</f>
        <v/>
      </c>
      <c r="K546" s="3">
        <f>IF(AND('Data Source'!B546&lt;&gt;"",'Data Source'!S546="F"),IF('Data Source'!AC546&gt;=5,"A+",IF('Data Source'!AC546&gt;=4,"A",IF('Data Source'!AC546&gt;=3.5,"A-",IF('Data Source'!AC546&gt;=3,"B",IF('Data Source'!AC546&gt;=2,"C",IF('Data Source'!AC546&gt;=1,"D","F")))))),"")</f>
        <v/>
      </c>
      <c r="L546" s="3">
        <f>IF(AND('Data Source'!B546&lt;&gt;"",'Data Source'!S546="F"),IF('Data Source'!AD546&gt;=5,"A+",IF('Data Source'!AD546&gt;=4,"A",IF('Data Source'!AD546&gt;=3.5,"A-",IF('Data Source'!AD546&gt;=3,"B",IF('Data Source'!AD546&gt;=2,"C",IF('Data Source'!AD546&gt;=1,"D","F")))))),"")</f>
        <v/>
      </c>
      <c r="M546" s="3">
        <f>IF(AND('Data Source'!B546&lt;&gt;"",'Data Source'!S546="F"),IF('Data Source'!AE546&gt;=5,"A+",IF('Data Source'!AE546&gt;=4,"A",IF('Data Source'!AE546&gt;=3.5,"A-",IF('Data Source'!AE546&gt;=3,"B",IF('Data Source'!AE546&gt;=2,"C",IF('Data Source'!AE546&gt;=1,"D","F")))))),"")</f>
        <v/>
      </c>
      <c r="N546" s="3">
        <f>IF(AND('Data Source'!B546&lt;&gt;"",'Data Source'!S546="F"),IF('Data Source'!AF546&gt;=5,"A+",IF('Data Source'!AF546&gt;=4,"A",IF('Data Source'!AF546&gt;=3.5,"A-",IF('Data Source'!AF546&gt;=3,"B",IF('Data Source'!AF546&gt;=2,"C",IF('Data Source'!AF546&gt;=1,"D","F")))))),"")</f>
        <v/>
      </c>
      <c r="O546" s="3">
        <f>IF(AND('Data Source'!B546&lt;&gt;"",'Data Source'!S546="F"),IF('Data Source'!AG546&gt;=5,"A+",IF('Data Source'!AG546&gt;=4,"A",IF('Data Source'!AG546&gt;=3.5,"A-",IF('Data Source'!AG546&gt;=3,"B",IF('Data Source'!AG546&gt;=2,"C",IF('Data Source'!AG546&gt;=1,"D","F")))))),"")</f>
        <v/>
      </c>
      <c r="P546" s="5">
        <f>IF(AND('Data Source'!B546&lt;&gt;"",'Data Source'!S546="F"),'Data Source'!R546,"")</f>
        <v/>
      </c>
      <c r="Q546" s="3">
        <f>IF(AND('Data Source'!B546&lt;&gt;"",'Data Source'!S546="F"),'Data Source'!S546,"")</f>
        <v/>
      </c>
    </row>
    <row r="547">
      <c r="A547" s="3">
        <f>IF(AND('Data Source'!B547&lt;&gt;"",'Data Source'!S547="F"),COUNTIF('Data Source'!$S$3:S547,"F"),"")</f>
        <v/>
      </c>
      <c r="B547">
        <f>IF(AND('Data Source'!B547&lt;&gt;"",'Data Source'!S547="F"),'Data Source'!B547,"")</f>
        <v/>
      </c>
      <c r="C547" s="3">
        <f>IF(AND('Data Source'!B547&lt;&gt;"",'Data Source'!S547="F"),IF('Data Source'!U547&gt;=5,"A+",IF('Data Source'!U547&gt;=4,"A",IF('Data Source'!U547&gt;=3.5,"A-",IF('Data Source'!U547&gt;=3,"B",IF('Data Source'!U547&gt;=2,"C",IF('Data Source'!U547&gt;=1,"D","F")))))),"")</f>
        <v/>
      </c>
      <c r="D547" s="3">
        <f>IF(AND('Data Source'!B547&lt;&gt;"",'Data Source'!S547="F"),IF('Data Source'!V547&gt;=5,"A+",IF('Data Source'!V547&gt;=4,"A",IF('Data Source'!V547&gt;=3.5,"A-",IF('Data Source'!V547&gt;=3,"B",IF('Data Source'!V547&gt;=2,"C",IF('Data Source'!V547&gt;=1,"D","F")))))),"")</f>
        <v/>
      </c>
      <c r="E547" s="3">
        <f>IF(AND('Data Source'!B547&lt;&gt;"",'Data Source'!S547="F"),IF('Data Source'!W547&gt;=5,"A+",IF('Data Source'!W547&gt;=4,"A",IF('Data Source'!W547&gt;=3.5,"A-",IF('Data Source'!W547&gt;=3,"B",IF('Data Source'!W547&gt;=2,"C",IF('Data Source'!W547&gt;=1,"D","F")))))),"")</f>
        <v/>
      </c>
      <c r="F547" s="3">
        <f>IF(AND('Data Source'!B547&lt;&gt;"",'Data Source'!S547="F"),IF('Data Source'!X547&gt;=5,"A+",IF('Data Source'!X547&gt;=4,"A",IF('Data Source'!X547&gt;=3.5,"A-",IF('Data Source'!X547&gt;=3,"B",IF('Data Source'!X547&gt;=2,"C",IF('Data Source'!X547&gt;=1,"D","F")))))),"")</f>
        <v/>
      </c>
      <c r="G547" s="3">
        <f>IF(AND('Data Source'!B547&lt;&gt;"",'Data Source'!S547="F"),IF('Data Source'!Y547&gt;=5,"A+",IF('Data Source'!Y547&gt;=4,"A",IF('Data Source'!Y547&gt;=3.5,"A-",IF('Data Source'!Y547&gt;=3,"B",IF('Data Source'!Y547&gt;=2,"C",IF('Data Source'!Y547&gt;=1,"D","F")))))),"")</f>
        <v/>
      </c>
      <c r="H547" s="3">
        <f>IF(AND('Data Source'!B547&lt;&gt;"",'Data Source'!S547="F"),IF('Data Source'!Z547&gt;=5,"A+",IF('Data Source'!Z547&gt;=4,"A",IF('Data Source'!Z547&gt;=3.5,"A-",IF('Data Source'!Z547&gt;=3,"B",IF('Data Source'!Z547&gt;=2,"C",IF('Data Source'!Z547&gt;=1,"D","F")))))),"")</f>
        <v/>
      </c>
      <c r="I547" s="3">
        <f>IF(AND('Data Source'!B547&lt;&gt;"",'Data Source'!S547="F"),IF('Data Source'!AA547&gt;=5,"A+",IF('Data Source'!AA547&gt;=4,"A",IF('Data Source'!AA547&gt;=3.5,"A-",IF('Data Source'!AA547&gt;=3,"B",IF('Data Source'!AA547&gt;=2,"C",IF('Data Source'!AA547&gt;=1,"D","F")))))),"")</f>
        <v/>
      </c>
      <c r="J547" s="3">
        <f>IF(AND('Data Source'!B547&lt;&gt;"",'Data Source'!S547="F"),IF('Data Source'!AB547&gt;=5,"A+",IF('Data Source'!AB547&gt;=4,"A",IF('Data Source'!AB547&gt;=3.5,"A-",IF('Data Source'!AB547&gt;=3,"B",IF('Data Source'!AB547&gt;=2,"C",IF('Data Source'!AB547&gt;=1,"D","F")))))),"")</f>
        <v/>
      </c>
      <c r="K547" s="3">
        <f>IF(AND('Data Source'!B547&lt;&gt;"",'Data Source'!S547="F"),IF('Data Source'!AC547&gt;=5,"A+",IF('Data Source'!AC547&gt;=4,"A",IF('Data Source'!AC547&gt;=3.5,"A-",IF('Data Source'!AC547&gt;=3,"B",IF('Data Source'!AC547&gt;=2,"C",IF('Data Source'!AC547&gt;=1,"D","F")))))),"")</f>
        <v/>
      </c>
      <c r="L547" s="3">
        <f>IF(AND('Data Source'!B547&lt;&gt;"",'Data Source'!S547="F"),IF('Data Source'!AD547&gt;=5,"A+",IF('Data Source'!AD547&gt;=4,"A",IF('Data Source'!AD547&gt;=3.5,"A-",IF('Data Source'!AD547&gt;=3,"B",IF('Data Source'!AD547&gt;=2,"C",IF('Data Source'!AD547&gt;=1,"D","F")))))),"")</f>
        <v/>
      </c>
      <c r="M547" s="3">
        <f>IF(AND('Data Source'!B547&lt;&gt;"",'Data Source'!S547="F"),IF('Data Source'!AE547&gt;=5,"A+",IF('Data Source'!AE547&gt;=4,"A",IF('Data Source'!AE547&gt;=3.5,"A-",IF('Data Source'!AE547&gt;=3,"B",IF('Data Source'!AE547&gt;=2,"C",IF('Data Source'!AE547&gt;=1,"D","F")))))),"")</f>
        <v/>
      </c>
      <c r="N547" s="3">
        <f>IF(AND('Data Source'!B547&lt;&gt;"",'Data Source'!S547="F"),IF('Data Source'!AF547&gt;=5,"A+",IF('Data Source'!AF547&gt;=4,"A",IF('Data Source'!AF547&gt;=3.5,"A-",IF('Data Source'!AF547&gt;=3,"B",IF('Data Source'!AF547&gt;=2,"C",IF('Data Source'!AF547&gt;=1,"D","F")))))),"")</f>
        <v/>
      </c>
      <c r="O547" s="3">
        <f>IF(AND('Data Source'!B547&lt;&gt;"",'Data Source'!S547="F"),IF('Data Source'!AG547&gt;=5,"A+",IF('Data Source'!AG547&gt;=4,"A",IF('Data Source'!AG547&gt;=3.5,"A-",IF('Data Source'!AG547&gt;=3,"B",IF('Data Source'!AG547&gt;=2,"C",IF('Data Source'!AG547&gt;=1,"D","F")))))),"")</f>
        <v/>
      </c>
      <c r="P547" s="5">
        <f>IF(AND('Data Source'!B547&lt;&gt;"",'Data Source'!S547="F"),'Data Source'!R547,"")</f>
        <v/>
      </c>
      <c r="Q547" s="3">
        <f>IF(AND('Data Source'!B547&lt;&gt;"",'Data Source'!S547="F"),'Data Source'!S547,"")</f>
        <v/>
      </c>
    </row>
    <row r="548">
      <c r="A548" s="3">
        <f>IF(AND('Data Source'!B548&lt;&gt;"",'Data Source'!S548="F"),COUNTIF('Data Source'!$S$3:S548,"F"),"")</f>
        <v/>
      </c>
      <c r="B548">
        <f>IF(AND('Data Source'!B548&lt;&gt;"",'Data Source'!S548="F"),'Data Source'!B548,"")</f>
        <v/>
      </c>
      <c r="C548" s="3">
        <f>IF(AND('Data Source'!B548&lt;&gt;"",'Data Source'!S548="F"),IF('Data Source'!U548&gt;=5,"A+",IF('Data Source'!U548&gt;=4,"A",IF('Data Source'!U548&gt;=3.5,"A-",IF('Data Source'!U548&gt;=3,"B",IF('Data Source'!U548&gt;=2,"C",IF('Data Source'!U548&gt;=1,"D","F")))))),"")</f>
        <v/>
      </c>
      <c r="D548" s="3">
        <f>IF(AND('Data Source'!B548&lt;&gt;"",'Data Source'!S548="F"),IF('Data Source'!V548&gt;=5,"A+",IF('Data Source'!V548&gt;=4,"A",IF('Data Source'!V548&gt;=3.5,"A-",IF('Data Source'!V548&gt;=3,"B",IF('Data Source'!V548&gt;=2,"C",IF('Data Source'!V548&gt;=1,"D","F")))))),"")</f>
        <v/>
      </c>
      <c r="E548" s="3">
        <f>IF(AND('Data Source'!B548&lt;&gt;"",'Data Source'!S548="F"),IF('Data Source'!W548&gt;=5,"A+",IF('Data Source'!W548&gt;=4,"A",IF('Data Source'!W548&gt;=3.5,"A-",IF('Data Source'!W548&gt;=3,"B",IF('Data Source'!W548&gt;=2,"C",IF('Data Source'!W548&gt;=1,"D","F")))))),"")</f>
        <v/>
      </c>
      <c r="F548" s="3">
        <f>IF(AND('Data Source'!B548&lt;&gt;"",'Data Source'!S548="F"),IF('Data Source'!X548&gt;=5,"A+",IF('Data Source'!X548&gt;=4,"A",IF('Data Source'!X548&gt;=3.5,"A-",IF('Data Source'!X548&gt;=3,"B",IF('Data Source'!X548&gt;=2,"C",IF('Data Source'!X548&gt;=1,"D","F")))))),"")</f>
        <v/>
      </c>
      <c r="G548" s="3">
        <f>IF(AND('Data Source'!B548&lt;&gt;"",'Data Source'!S548="F"),IF('Data Source'!Y548&gt;=5,"A+",IF('Data Source'!Y548&gt;=4,"A",IF('Data Source'!Y548&gt;=3.5,"A-",IF('Data Source'!Y548&gt;=3,"B",IF('Data Source'!Y548&gt;=2,"C",IF('Data Source'!Y548&gt;=1,"D","F")))))),"")</f>
        <v/>
      </c>
      <c r="H548" s="3">
        <f>IF(AND('Data Source'!B548&lt;&gt;"",'Data Source'!S548="F"),IF('Data Source'!Z548&gt;=5,"A+",IF('Data Source'!Z548&gt;=4,"A",IF('Data Source'!Z548&gt;=3.5,"A-",IF('Data Source'!Z548&gt;=3,"B",IF('Data Source'!Z548&gt;=2,"C",IF('Data Source'!Z548&gt;=1,"D","F")))))),"")</f>
        <v/>
      </c>
      <c r="I548" s="3">
        <f>IF(AND('Data Source'!B548&lt;&gt;"",'Data Source'!S548="F"),IF('Data Source'!AA548&gt;=5,"A+",IF('Data Source'!AA548&gt;=4,"A",IF('Data Source'!AA548&gt;=3.5,"A-",IF('Data Source'!AA548&gt;=3,"B",IF('Data Source'!AA548&gt;=2,"C",IF('Data Source'!AA548&gt;=1,"D","F")))))),"")</f>
        <v/>
      </c>
      <c r="J548" s="3">
        <f>IF(AND('Data Source'!B548&lt;&gt;"",'Data Source'!S548="F"),IF('Data Source'!AB548&gt;=5,"A+",IF('Data Source'!AB548&gt;=4,"A",IF('Data Source'!AB548&gt;=3.5,"A-",IF('Data Source'!AB548&gt;=3,"B",IF('Data Source'!AB548&gt;=2,"C",IF('Data Source'!AB548&gt;=1,"D","F")))))),"")</f>
        <v/>
      </c>
      <c r="K548" s="3">
        <f>IF(AND('Data Source'!B548&lt;&gt;"",'Data Source'!S548="F"),IF('Data Source'!AC548&gt;=5,"A+",IF('Data Source'!AC548&gt;=4,"A",IF('Data Source'!AC548&gt;=3.5,"A-",IF('Data Source'!AC548&gt;=3,"B",IF('Data Source'!AC548&gt;=2,"C",IF('Data Source'!AC548&gt;=1,"D","F")))))),"")</f>
        <v/>
      </c>
      <c r="L548" s="3">
        <f>IF(AND('Data Source'!B548&lt;&gt;"",'Data Source'!S548="F"),IF('Data Source'!AD548&gt;=5,"A+",IF('Data Source'!AD548&gt;=4,"A",IF('Data Source'!AD548&gt;=3.5,"A-",IF('Data Source'!AD548&gt;=3,"B",IF('Data Source'!AD548&gt;=2,"C",IF('Data Source'!AD548&gt;=1,"D","F")))))),"")</f>
        <v/>
      </c>
      <c r="M548" s="3">
        <f>IF(AND('Data Source'!B548&lt;&gt;"",'Data Source'!S548="F"),IF('Data Source'!AE548&gt;=5,"A+",IF('Data Source'!AE548&gt;=4,"A",IF('Data Source'!AE548&gt;=3.5,"A-",IF('Data Source'!AE548&gt;=3,"B",IF('Data Source'!AE548&gt;=2,"C",IF('Data Source'!AE548&gt;=1,"D","F")))))),"")</f>
        <v/>
      </c>
      <c r="N548" s="3">
        <f>IF(AND('Data Source'!B548&lt;&gt;"",'Data Source'!S548="F"),IF('Data Source'!AF548&gt;=5,"A+",IF('Data Source'!AF548&gt;=4,"A",IF('Data Source'!AF548&gt;=3.5,"A-",IF('Data Source'!AF548&gt;=3,"B",IF('Data Source'!AF548&gt;=2,"C",IF('Data Source'!AF548&gt;=1,"D","F")))))),"")</f>
        <v/>
      </c>
      <c r="O548" s="3">
        <f>IF(AND('Data Source'!B548&lt;&gt;"",'Data Source'!S548="F"),IF('Data Source'!AG548&gt;=5,"A+",IF('Data Source'!AG548&gt;=4,"A",IF('Data Source'!AG548&gt;=3.5,"A-",IF('Data Source'!AG548&gt;=3,"B",IF('Data Source'!AG548&gt;=2,"C",IF('Data Source'!AG548&gt;=1,"D","F")))))),"")</f>
        <v/>
      </c>
      <c r="P548" s="5">
        <f>IF(AND('Data Source'!B548&lt;&gt;"",'Data Source'!S548="F"),'Data Source'!R548,"")</f>
        <v/>
      </c>
      <c r="Q548" s="3">
        <f>IF(AND('Data Source'!B548&lt;&gt;"",'Data Source'!S548="F"),'Data Source'!S548,"")</f>
        <v/>
      </c>
    </row>
    <row r="549">
      <c r="A549" s="3">
        <f>IF(AND('Data Source'!B549&lt;&gt;"",'Data Source'!S549="F"),COUNTIF('Data Source'!$S$3:S549,"F"),"")</f>
        <v/>
      </c>
      <c r="B549">
        <f>IF(AND('Data Source'!B549&lt;&gt;"",'Data Source'!S549="F"),'Data Source'!B549,"")</f>
        <v/>
      </c>
      <c r="C549" s="3">
        <f>IF(AND('Data Source'!B549&lt;&gt;"",'Data Source'!S549="F"),IF('Data Source'!U549&gt;=5,"A+",IF('Data Source'!U549&gt;=4,"A",IF('Data Source'!U549&gt;=3.5,"A-",IF('Data Source'!U549&gt;=3,"B",IF('Data Source'!U549&gt;=2,"C",IF('Data Source'!U549&gt;=1,"D","F")))))),"")</f>
        <v/>
      </c>
      <c r="D549" s="3">
        <f>IF(AND('Data Source'!B549&lt;&gt;"",'Data Source'!S549="F"),IF('Data Source'!V549&gt;=5,"A+",IF('Data Source'!V549&gt;=4,"A",IF('Data Source'!V549&gt;=3.5,"A-",IF('Data Source'!V549&gt;=3,"B",IF('Data Source'!V549&gt;=2,"C",IF('Data Source'!V549&gt;=1,"D","F")))))),"")</f>
        <v/>
      </c>
      <c r="E549" s="3">
        <f>IF(AND('Data Source'!B549&lt;&gt;"",'Data Source'!S549="F"),IF('Data Source'!W549&gt;=5,"A+",IF('Data Source'!W549&gt;=4,"A",IF('Data Source'!W549&gt;=3.5,"A-",IF('Data Source'!W549&gt;=3,"B",IF('Data Source'!W549&gt;=2,"C",IF('Data Source'!W549&gt;=1,"D","F")))))),"")</f>
        <v/>
      </c>
      <c r="F549" s="3">
        <f>IF(AND('Data Source'!B549&lt;&gt;"",'Data Source'!S549="F"),IF('Data Source'!X549&gt;=5,"A+",IF('Data Source'!X549&gt;=4,"A",IF('Data Source'!X549&gt;=3.5,"A-",IF('Data Source'!X549&gt;=3,"B",IF('Data Source'!X549&gt;=2,"C",IF('Data Source'!X549&gt;=1,"D","F")))))),"")</f>
        <v/>
      </c>
      <c r="G549" s="3">
        <f>IF(AND('Data Source'!B549&lt;&gt;"",'Data Source'!S549="F"),IF('Data Source'!Y549&gt;=5,"A+",IF('Data Source'!Y549&gt;=4,"A",IF('Data Source'!Y549&gt;=3.5,"A-",IF('Data Source'!Y549&gt;=3,"B",IF('Data Source'!Y549&gt;=2,"C",IF('Data Source'!Y549&gt;=1,"D","F")))))),"")</f>
        <v/>
      </c>
      <c r="H549" s="3">
        <f>IF(AND('Data Source'!B549&lt;&gt;"",'Data Source'!S549="F"),IF('Data Source'!Z549&gt;=5,"A+",IF('Data Source'!Z549&gt;=4,"A",IF('Data Source'!Z549&gt;=3.5,"A-",IF('Data Source'!Z549&gt;=3,"B",IF('Data Source'!Z549&gt;=2,"C",IF('Data Source'!Z549&gt;=1,"D","F")))))),"")</f>
        <v/>
      </c>
      <c r="I549" s="3">
        <f>IF(AND('Data Source'!B549&lt;&gt;"",'Data Source'!S549="F"),IF('Data Source'!AA549&gt;=5,"A+",IF('Data Source'!AA549&gt;=4,"A",IF('Data Source'!AA549&gt;=3.5,"A-",IF('Data Source'!AA549&gt;=3,"B",IF('Data Source'!AA549&gt;=2,"C",IF('Data Source'!AA549&gt;=1,"D","F")))))),"")</f>
        <v/>
      </c>
      <c r="J549" s="3">
        <f>IF(AND('Data Source'!B549&lt;&gt;"",'Data Source'!S549="F"),IF('Data Source'!AB549&gt;=5,"A+",IF('Data Source'!AB549&gt;=4,"A",IF('Data Source'!AB549&gt;=3.5,"A-",IF('Data Source'!AB549&gt;=3,"B",IF('Data Source'!AB549&gt;=2,"C",IF('Data Source'!AB549&gt;=1,"D","F")))))),"")</f>
        <v/>
      </c>
      <c r="K549" s="3">
        <f>IF(AND('Data Source'!B549&lt;&gt;"",'Data Source'!S549="F"),IF('Data Source'!AC549&gt;=5,"A+",IF('Data Source'!AC549&gt;=4,"A",IF('Data Source'!AC549&gt;=3.5,"A-",IF('Data Source'!AC549&gt;=3,"B",IF('Data Source'!AC549&gt;=2,"C",IF('Data Source'!AC549&gt;=1,"D","F")))))),"")</f>
        <v/>
      </c>
      <c r="L549" s="3">
        <f>IF(AND('Data Source'!B549&lt;&gt;"",'Data Source'!S549="F"),IF('Data Source'!AD549&gt;=5,"A+",IF('Data Source'!AD549&gt;=4,"A",IF('Data Source'!AD549&gt;=3.5,"A-",IF('Data Source'!AD549&gt;=3,"B",IF('Data Source'!AD549&gt;=2,"C",IF('Data Source'!AD549&gt;=1,"D","F")))))),"")</f>
        <v/>
      </c>
      <c r="M549" s="3">
        <f>IF(AND('Data Source'!B549&lt;&gt;"",'Data Source'!S549="F"),IF('Data Source'!AE549&gt;=5,"A+",IF('Data Source'!AE549&gt;=4,"A",IF('Data Source'!AE549&gt;=3.5,"A-",IF('Data Source'!AE549&gt;=3,"B",IF('Data Source'!AE549&gt;=2,"C",IF('Data Source'!AE549&gt;=1,"D","F")))))),"")</f>
        <v/>
      </c>
      <c r="N549" s="3">
        <f>IF(AND('Data Source'!B549&lt;&gt;"",'Data Source'!S549="F"),IF('Data Source'!AF549&gt;=5,"A+",IF('Data Source'!AF549&gt;=4,"A",IF('Data Source'!AF549&gt;=3.5,"A-",IF('Data Source'!AF549&gt;=3,"B",IF('Data Source'!AF549&gt;=2,"C",IF('Data Source'!AF549&gt;=1,"D","F")))))),"")</f>
        <v/>
      </c>
      <c r="O549" s="3">
        <f>IF(AND('Data Source'!B549&lt;&gt;"",'Data Source'!S549="F"),IF('Data Source'!AG549&gt;=5,"A+",IF('Data Source'!AG549&gt;=4,"A",IF('Data Source'!AG549&gt;=3.5,"A-",IF('Data Source'!AG549&gt;=3,"B",IF('Data Source'!AG549&gt;=2,"C",IF('Data Source'!AG549&gt;=1,"D","F")))))),"")</f>
        <v/>
      </c>
      <c r="P549" s="5">
        <f>IF(AND('Data Source'!B549&lt;&gt;"",'Data Source'!S549="F"),'Data Source'!R549,"")</f>
        <v/>
      </c>
      <c r="Q549" s="3">
        <f>IF(AND('Data Source'!B549&lt;&gt;"",'Data Source'!S549="F"),'Data Source'!S549,"")</f>
        <v/>
      </c>
    </row>
    <row r="550">
      <c r="A550" s="3">
        <f>IF(AND('Data Source'!B550&lt;&gt;"",'Data Source'!S550="F"),COUNTIF('Data Source'!$S$3:S550,"F"),"")</f>
        <v/>
      </c>
      <c r="B550">
        <f>IF(AND('Data Source'!B550&lt;&gt;"",'Data Source'!S550="F"),'Data Source'!B550,"")</f>
        <v/>
      </c>
      <c r="C550" s="3">
        <f>IF(AND('Data Source'!B550&lt;&gt;"",'Data Source'!S550="F"),IF('Data Source'!U550&gt;=5,"A+",IF('Data Source'!U550&gt;=4,"A",IF('Data Source'!U550&gt;=3.5,"A-",IF('Data Source'!U550&gt;=3,"B",IF('Data Source'!U550&gt;=2,"C",IF('Data Source'!U550&gt;=1,"D","F")))))),"")</f>
        <v/>
      </c>
      <c r="D550" s="3">
        <f>IF(AND('Data Source'!B550&lt;&gt;"",'Data Source'!S550="F"),IF('Data Source'!V550&gt;=5,"A+",IF('Data Source'!V550&gt;=4,"A",IF('Data Source'!V550&gt;=3.5,"A-",IF('Data Source'!V550&gt;=3,"B",IF('Data Source'!V550&gt;=2,"C",IF('Data Source'!V550&gt;=1,"D","F")))))),"")</f>
        <v/>
      </c>
      <c r="E550" s="3">
        <f>IF(AND('Data Source'!B550&lt;&gt;"",'Data Source'!S550="F"),IF('Data Source'!W550&gt;=5,"A+",IF('Data Source'!W550&gt;=4,"A",IF('Data Source'!W550&gt;=3.5,"A-",IF('Data Source'!W550&gt;=3,"B",IF('Data Source'!W550&gt;=2,"C",IF('Data Source'!W550&gt;=1,"D","F")))))),"")</f>
        <v/>
      </c>
      <c r="F550" s="3">
        <f>IF(AND('Data Source'!B550&lt;&gt;"",'Data Source'!S550="F"),IF('Data Source'!X550&gt;=5,"A+",IF('Data Source'!X550&gt;=4,"A",IF('Data Source'!X550&gt;=3.5,"A-",IF('Data Source'!X550&gt;=3,"B",IF('Data Source'!X550&gt;=2,"C",IF('Data Source'!X550&gt;=1,"D","F")))))),"")</f>
        <v/>
      </c>
      <c r="G550" s="3">
        <f>IF(AND('Data Source'!B550&lt;&gt;"",'Data Source'!S550="F"),IF('Data Source'!Y550&gt;=5,"A+",IF('Data Source'!Y550&gt;=4,"A",IF('Data Source'!Y550&gt;=3.5,"A-",IF('Data Source'!Y550&gt;=3,"B",IF('Data Source'!Y550&gt;=2,"C",IF('Data Source'!Y550&gt;=1,"D","F")))))),"")</f>
        <v/>
      </c>
      <c r="H550" s="3">
        <f>IF(AND('Data Source'!B550&lt;&gt;"",'Data Source'!S550="F"),IF('Data Source'!Z550&gt;=5,"A+",IF('Data Source'!Z550&gt;=4,"A",IF('Data Source'!Z550&gt;=3.5,"A-",IF('Data Source'!Z550&gt;=3,"B",IF('Data Source'!Z550&gt;=2,"C",IF('Data Source'!Z550&gt;=1,"D","F")))))),"")</f>
        <v/>
      </c>
      <c r="I550" s="3">
        <f>IF(AND('Data Source'!B550&lt;&gt;"",'Data Source'!S550="F"),IF('Data Source'!AA550&gt;=5,"A+",IF('Data Source'!AA550&gt;=4,"A",IF('Data Source'!AA550&gt;=3.5,"A-",IF('Data Source'!AA550&gt;=3,"B",IF('Data Source'!AA550&gt;=2,"C",IF('Data Source'!AA550&gt;=1,"D","F")))))),"")</f>
        <v/>
      </c>
      <c r="J550" s="3">
        <f>IF(AND('Data Source'!B550&lt;&gt;"",'Data Source'!S550="F"),IF('Data Source'!AB550&gt;=5,"A+",IF('Data Source'!AB550&gt;=4,"A",IF('Data Source'!AB550&gt;=3.5,"A-",IF('Data Source'!AB550&gt;=3,"B",IF('Data Source'!AB550&gt;=2,"C",IF('Data Source'!AB550&gt;=1,"D","F")))))),"")</f>
        <v/>
      </c>
      <c r="K550" s="3">
        <f>IF(AND('Data Source'!B550&lt;&gt;"",'Data Source'!S550="F"),IF('Data Source'!AC550&gt;=5,"A+",IF('Data Source'!AC550&gt;=4,"A",IF('Data Source'!AC550&gt;=3.5,"A-",IF('Data Source'!AC550&gt;=3,"B",IF('Data Source'!AC550&gt;=2,"C",IF('Data Source'!AC550&gt;=1,"D","F")))))),"")</f>
        <v/>
      </c>
      <c r="L550" s="3">
        <f>IF(AND('Data Source'!B550&lt;&gt;"",'Data Source'!S550="F"),IF('Data Source'!AD550&gt;=5,"A+",IF('Data Source'!AD550&gt;=4,"A",IF('Data Source'!AD550&gt;=3.5,"A-",IF('Data Source'!AD550&gt;=3,"B",IF('Data Source'!AD550&gt;=2,"C",IF('Data Source'!AD550&gt;=1,"D","F")))))),"")</f>
        <v/>
      </c>
      <c r="M550" s="3">
        <f>IF(AND('Data Source'!B550&lt;&gt;"",'Data Source'!S550="F"),IF('Data Source'!AE550&gt;=5,"A+",IF('Data Source'!AE550&gt;=4,"A",IF('Data Source'!AE550&gt;=3.5,"A-",IF('Data Source'!AE550&gt;=3,"B",IF('Data Source'!AE550&gt;=2,"C",IF('Data Source'!AE550&gt;=1,"D","F")))))),"")</f>
        <v/>
      </c>
      <c r="N550" s="3">
        <f>IF(AND('Data Source'!B550&lt;&gt;"",'Data Source'!S550="F"),IF('Data Source'!AF550&gt;=5,"A+",IF('Data Source'!AF550&gt;=4,"A",IF('Data Source'!AF550&gt;=3.5,"A-",IF('Data Source'!AF550&gt;=3,"B",IF('Data Source'!AF550&gt;=2,"C",IF('Data Source'!AF550&gt;=1,"D","F")))))),"")</f>
        <v/>
      </c>
      <c r="O550" s="3">
        <f>IF(AND('Data Source'!B550&lt;&gt;"",'Data Source'!S550="F"),IF('Data Source'!AG550&gt;=5,"A+",IF('Data Source'!AG550&gt;=4,"A",IF('Data Source'!AG550&gt;=3.5,"A-",IF('Data Source'!AG550&gt;=3,"B",IF('Data Source'!AG550&gt;=2,"C",IF('Data Source'!AG550&gt;=1,"D","F")))))),"")</f>
        <v/>
      </c>
      <c r="P550" s="5">
        <f>IF(AND('Data Source'!B550&lt;&gt;"",'Data Source'!S550="F"),'Data Source'!R550,"")</f>
        <v/>
      </c>
      <c r="Q550" s="3">
        <f>IF(AND('Data Source'!B550&lt;&gt;"",'Data Source'!S550="F"),'Data Source'!S550,"")</f>
        <v/>
      </c>
    </row>
    <row r="551">
      <c r="A551" s="3">
        <f>IF(AND('Data Source'!B551&lt;&gt;"",'Data Source'!S551="F"),COUNTIF('Data Source'!$S$3:S551,"F"),"")</f>
        <v/>
      </c>
      <c r="B551">
        <f>IF(AND('Data Source'!B551&lt;&gt;"",'Data Source'!S551="F"),'Data Source'!B551,"")</f>
        <v/>
      </c>
      <c r="C551" s="3">
        <f>IF(AND('Data Source'!B551&lt;&gt;"",'Data Source'!S551="F"),IF('Data Source'!U551&gt;=5,"A+",IF('Data Source'!U551&gt;=4,"A",IF('Data Source'!U551&gt;=3.5,"A-",IF('Data Source'!U551&gt;=3,"B",IF('Data Source'!U551&gt;=2,"C",IF('Data Source'!U551&gt;=1,"D","F")))))),"")</f>
        <v/>
      </c>
      <c r="D551" s="3">
        <f>IF(AND('Data Source'!B551&lt;&gt;"",'Data Source'!S551="F"),IF('Data Source'!V551&gt;=5,"A+",IF('Data Source'!V551&gt;=4,"A",IF('Data Source'!V551&gt;=3.5,"A-",IF('Data Source'!V551&gt;=3,"B",IF('Data Source'!V551&gt;=2,"C",IF('Data Source'!V551&gt;=1,"D","F")))))),"")</f>
        <v/>
      </c>
      <c r="E551" s="3">
        <f>IF(AND('Data Source'!B551&lt;&gt;"",'Data Source'!S551="F"),IF('Data Source'!W551&gt;=5,"A+",IF('Data Source'!W551&gt;=4,"A",IF('Data Source'!W551&gt;=3.5,"A-",IF('Data Source'!W551&gt;=3,"B",IF('Data Source'!W551&gt;=2,"C",IF('Data Source'!W551&gt;=1,"D","F")))))),"")</f>
        <v/>
      </c>
      <c r="F551" s="3">
        <f>IF(AND('Data Source'!B551&lt;&gt;"",'Data Source'!S551="F"),IF('Data Source'!X551&gt;=5,"A+",IF('Data Source'!X551&gt;=4,"A",IF('Data Source'!X551&gt;=3.5,"A-",IF('Data Source'!X551&gt;=3,"B",IF('Data Source'!X551&gt;=2,"C",IF('Data Source'!X551&gt;=1,"D","F")))))),"")</f>
        <v/>
      </c>
      <c r="G551" s="3">
        <f>IF(AND('Data Source'!B551&lt;&gt;"",'Data Source'!S551="F"),IF('Data Source'!Y551&gt;=5,"A+",IF('Data Source'!Y551&gt;=4,"A",IF('Data Source'!Y551&gt;=3.5,"A-",IF('Data Source'!Y551&gt;=3,"B",IF('Data Source'!Y551&gt;=2,"C",IF('Data Source'!Y551&gt;=1,"D","F")))))),"")</f>
        <v/>
      </c>
      <c r="H551" s="3">
        <f>IF(AND('Data Source'!B551&lt;&gt;"",'Data Source'!S551="F"),IF('Data Source'!Z551&gt;=5,"A+",IF('Data Source'!Z551&gt;=4,"A",IF('Data Source'!Z551&gt;=3.5,"A-",IF('Data Source'!Z551&gt;=3,"B",IF('Data Source'!Z551&gt;=2,"C",IF('Data Source'!Z551&gt;=1,"D","F")))))),"")</f>
        <v/>
      </c>
      <c r="I551" s="3">
        <f>IF(AND('Data Source'!B551&lt;&gt;"",'Data Source'!S551="F"),IF('Data Source'!AA551&gt;=5,"A+",IF('Data Source'!AA551&gt;=4,"A",IF('Data Source'!AA551&gt;=3.5,"A-",IF('Data Source'!AA551&gt;=3,"B",IF('Data Source'!AA551&gt;=2,"C",IF('Data Source'!AA551&gt;=1,"D","F")))))),"")</f>
        <v/>
      </c>
      <c r="J551" s="3">
        <f>IF(AND('Data Source'!B551&lt;&gt;"",'Data Source'!S551="F"),IF('Data Source'!AB551&gt;=5,"A+",IF('Data Source'!AB551&gt;=4,"A",IF('Data Source'!AB551&gt;=3.5,"A-",IF('Data Source'!AB551&gt;=3,"B",IF('Data Source'!AB551&gt;=2,"C",IF('Data Source'!AB551&gt;=1,"D","F")))))),"")</f>
        <v/>
      </c>
      <c r="K551" s="3">
        <f>IF(AND('Data Source'!B551&lt;&gt;"",'Data Source'!S551="F"),IF('Data Source'!AC551&gt;=5,"A+",IF('Data Source'!AC551&gt;=4,"A",IF('Data Source'!AC551&gt;=3.5,"A-",IF('Data Source'!AC551&gt;=3,"B",IF('Data Source'!AC551&gt;=2,"C",IF('Data Source'!AC551&gt;=1,"D","F")))))),"")</f>
        <v/>
      </c>
      <c r="L551" s="3">
        <f>IF(AND('Data Source'!B551&lt;&gt;"",'Data Source'!S551="F"),IF('Data Source'!AD551&gt;=5,"A+",IF('Data Source'!AD551&gt;=4,"A",IF('Data Source'!AD551&gt;=3.5,"A-",IF('Data Source'!AD551&gt;=3,"B",IF('Data Source'!AD551&gt;=2,"C",IF('Data Source'!AD551&gt;=1,"D","F")))))),"")</f>
        <v/>
      </c>
      <c r="M551" s="3">
        <f>IF(AND('Data Source'!B551&lt;&gt;"",'Data Source'!S551="F"),IF('Data Source'!AE551&gt;=5,"A+",IF('Data Source'!AE551&gt;=4,"A",IF('Data Source'!AE551&gt;=3.5,"A-",IF('Data Source'!AE551&gt;=3,"B",IF('Data Source'!AE551&gt;=2,"C",IF('Data Source'!AE551&gt;=1,"D","F")))))),"")</f>
        <v/>
      </c>
      <c r="N551" s="3">
        <f>IF(AND('Data Source'!B551&lt;&gt;"",'Data Source'!S551="F"),IF('Data Source'!AF551&gt;=5,"A+",IF('Data Source'!AF551&gt;=4,"A",IF('Data Source'!AF551&gt;=3.5,"A-",IF('Data Source'!AF551&gt;=3,"B",IF('Data Source'!AF551&gt;=2,"C",IF('Data Source'!AF551&gt;=1,"D","F")))))),"")</f>
        <v/>
      </c>
      <c r="O551" s="3">
        <f>IF(AND('Data Source'!B551&lt;&gt;"",'Data Source'!S551="F"),IF('Data Source'!AG551&gt;=5,"A+",IF('Data Source'!AG551&gt;=4,"A",IF('Data Source'!AG551&gt;=3.5,"A-",IF('Data Source'!AG551&gt;=3,"B",IF('Data Source'!AG551&gt;=2,"C",IF('Data Source'!AG551&gt;=1,"D","F")))))),"")</f>
        <v/>
      </c>
      <c r="P551" s="5">
        <f>IF(AND('Data Source'!B551&lt;&gt;"",'Data Source'!S551="F"),'Data Source'!R551,"")</f>
        <v/>
      </c>
      <c r="Q551" s="3">
        <f>IF(AND('Data Source'!B551&lt;&gt;"",'Data Source'!S551="F"),'Data Source'!S551,"")</f>
        <v/>
      </c>
    </row>
    <row r="552">
      <c r="A552" s="3">
        <f>IF(AND('Data Source'!B552&lt;&gt;"",'Data Source'!S552="F"),COUNTIF('Data Source'!$S$3:S552,"F"),"")</f>
        <v/>
      </c>
      <c r="B552">
        <f>IF(AND('Data Source'!B552&lt;&gt;"",'Data Source'!S552="F"),'Data Source'!B552,"")</f>
        <v/>
      </c>
      <c r="C552" s="3">
        <f>IF(AND('Data Source'!B552&lt;&gt;"",'Data Source'!S552="F"),IF('Data Source'!U552&gt;=5,"A+",IF('Data Source'!U552&gt;=4,"A",IF('Data Source'!U552&gt;=3.5,"A-",IF('Data Source'!U552&gt;=3,"B",IF('Data Source'!U552&gt;=2,"C",IF('Data Source'!U552&gt;=1,"D","F")))))),"")</f>
        <v/>
      </c>
      <c r="D552" s="3">
        <f>IF(AND('Data Source'!B552&lt;&gt;"",'Data Source'!S552="F"),IF('Data Source'!V552&gt;=5,"A+",IF('Data Source'!V552&gt;=4,"A",IF('Data Source'!V552&gt;=3.5,"A-",IF('Data Source'!V552&gt;=3,"B",IF('Data Source'!V552&gt;=2,"C",IF('Data Source'!V552&gt;=1,"D","F")))))),"")</f>
        <v/>
      </c>
      <c r="E552" s="3">
        <f>IF(AND('Data Source'!B552&lt;&gt;"",'Data Source'!S552="F"),IF('Data Source'!W552&gt;=5,"A+",IF('Data Source'!W552&gt;=4,"A",IF('Data Source'!W552&gt;=3.5,"A-",IF('Data Source'!W552&gt;=3,"B",IF('Data Source'!W552&gt;=2,"C",IF('Data Source'!W552&gt;=1,"D","F")))))),"")</f>
        <v/>
      </c>
      <c r="F552" s="3">
        <f>IF(AND('Data Source'!B552&lt;&gt;"",'Data Source'!S552="F"),IF('Data Source'!X552&gt;=5,"A+",IF('Data Source'!X552&gt;=4,"A",IF('Data Source'!X552&gt;=3.5,"A-",IF('Data Source'!X552&gt;=3,"B",IF('Data Source'!X552&gt;=2,"C",IF('Data Source'!X552&gt;=1,"D","F")))))),"")</f>
        <v/>
      </c>
      <c r="G552" s="3">
        <f>IF(AND('Data Source'!B552&lt;&gt;"",'Data Source'!S552="F"),IF('Data Source'!Y552&gt;=5,"A+",IF('Data Source'!Y552&gt;=4,"A",IF('Data Source'!Y552&gt;=3.5,"A-",IF('Data Source'!Y552&gt;=3,"B",IF('Data Source'!Y552&gt;=2,"C",IF('Data Source'!Y552&gt;=1,"D","F")))))),"")</f>
        <v/>
      </c>
      <c r="H552" s="3">
        <f>IF(AND('Data Source'!B552&lt;&gt;"",'Data Source'!S552="F"),IF('Data Source'!Z552&gt;=5,"A+",IF('Data Source'!Z552&gt;=4,"A",IF('Data Source'!Z552&gt;=3.5,"A-",IF('Data Source'!Z552&gt;=3,"B",IF('Data Source'!Z552&gt;=2,"C",IF('Data Source'!Z552&gt;=1,"D","F")))))),"")</f>
        <v/>
      </c>
      <c r="I552" s="3">
        <f>IF(AND('Data Source'!B552&lt;&gt;"",'Data Source'!S552="F"),IF('Data Source'!AA552&gt;=5,"A+",IF('Data Source'!AA552&gt;=4,"A",IF('Data Source'!AA552&gt;=3.5,"A-",IF('Data Source'!AA552&gt;=3,"B",IF('Data Source'!AA552&gt;=2,"C",IF('Data Source'!AA552&gt;=1,"D","F")))))),"")</f>
        <v/>
      </c>
      <c r="J552" s="3">
        <f>IF(AND('Data Source'!B552&lt;&gt;"",'Data Source'!S552="F"),IF('Data Source'!AB552&gt;=5,"A+",IF('Data Source'!AB552&gt;=4,"A",IF('Data Source'!AB552&gt;=3.5,"A-",IF('Data Source'!AB552&gt;=3,"B",IF('Data Source'!AB552&gt;=2,"C",IF('Data Source'!AB552&gt;=1,"D","F")))))),"")</f>
        <v/>
      </c>
      <c r="K552" s="3">
        <f>IF(AND('Data Source'!B552&lt;&gt;"",'Data Source'!S552="F"),IF('Data Source'!AC552&gt;=5,"A+",IF('Data Source'!AC552&gt;=4,"A",IF('Data Source'!AC552&gt;=3.5,"A-",IF('Data Source'!AC552&gt;=3,"B",IF('Data Source'!AC552&gt;=2,"C",IF('Data Source'!AC552&gt;=1,"D","F")))))),"")</f>
        <v/>
      </c>
      <c r="L552" s="3">
        <f>IF(AND('Data Source'!B552&lt;&gt;"",'Data Source'!S552="F"),IF('Data Source'!AD552&gt;=5,"A+",IF('Data Source'!AD552&gt;=4,"A",IF('Data Source'!AD552&gt;=3.5,"A-",IF('Data Source'!AD552&gt;=3,"B",IF('Data Source'!AD552&gt;=2,"C",IF('Data Source'!AD552&gt;=1,"D","F")))))),"")</f>
        <v/>
      </c>
      <c r="M552" s="3">
        <f>IF(AND('Data Source'!B552&lt;&gt;"",'Data Source'!S552="F"),IF('Data Source'!AE552&gt;=5,"A+",IF('Data Source'!AE552&gt;=4,"A",IF('Data Source'!AE552&gt;=3.5,"A-",IF('Data Source'!AE552&gt;=3,"B",IF('Data Source'!AE552&gt;=2,"C",IF('Data Source'!AE552&gt;=1,"D","F")))))),"")</f>
        <v/>
      </c>
      <c r="N552" s="3">
        <f>IF(AND('Data Source'!B552&lt;&gt;"",'Data Source'!S552="F"),IF('Data Source'!AF552&gt;=5,"A+",IF('Data Source'!AF552&gt;=4,"A",IF('Data Source'!AF552&gt;=3.5,"A-",IF('Data Source'!AF552&gt;=3,"B",IF('Data Source'!AF552&gt;=2,"C",IF('Data Source'!AF552&gt;=1,"D","F")))))),"")</f>
        <v/>
      </c>
      <c r="O552" s="3">
        <f>IF(AND('Data Source'!B552&lt;&gt;"",'Data Source'!S552="F"),IF('Data Source'!AG552&gt;=5,"A+",IF('Data Source'!AG552&gt;=4,"A",IF('Data Source'!AG552&gt;=3.5,"A-",IF('Data Source'!AG552&gt;=3,"B",IF('Data Source'!AG552&gt;=2,"C",IF('Data Source'!AG552&gt;=1,"D","F")))))),"")</f>
        <v/>
      </c>
      <c r="P552" s="5">
        <f>IF(AND('Data Source'!B552&lt;&gt;"",'Data Source'!S552="F"),'Data Source'!R552,"")</f>
        <v/>
      </c>
      <c r="Q552" s="3">
        <f>IF(AND('Data Source'!B552&lt;&gt;"",'Data Source'!S552="F"),'Data Source'!S552,"")</f>
        <v/>
      </c>
    </row>
    <row r="553">
      <c r="A553" s="3">
        <f>IF(AND('Data Source'!B553&lt;&gt;"",'Data Source'!S553="F"),COUNTIF('Data Source'!$S$3:S553,"F"),"")</f>
        <v/>
      </c>
      <c r="B553">
        <f>IF(AND('Data Source'!B553&lt;&gt;"",'Data Source'!S553="F"),'Data Source'!B553,"")</f>
        <v/>
      </c>
      <c r="C553" s="3">
        <f>IF(AND('Data Source'!B553&lt;&gt;"",'Data Source'!S553="F"),IF('Data Source'!U553&gt;=5,"A+",IF('Data Source'!U553&gt;=4,"A",IF('Data Source'!U553&gt;=3.5,"A-",IF('Data Source'!U553&gt;=3,"B",IF('Data Source'!U553&gt;=2,"C",IF('Data Source'!U553&gt;=1,"D","F")))))),"")</f>
        <v/>
      </c>
      <c r="D553" s="3">
        <f>IF(AND('Data Source'!B553&lt;&gt;"",'Data Source'!S553="F"),IF('Data Source'!V553&gt;=5,"A+",IF('Data Source'!V553&gt;=4,"A",IF('Data Source'!V553&gt;=3.5,"A-",IF('Data Source'!V553&gt;=3,"B",IF('Data Source'!V553&gt;=2,"C",IF('Data Source'!V553&gt;=1,"D","F")))))),"")</f>
        <v/>
      </c>
      <c r="E553" s="3">
        <f>IF(AND('Data Source'!B553&lt;&gt;"",'Data Source'!S553="F"),IF('Data Source'!W553&gt;=5,"A+",IF('Data Source'!W553&gt;=4,"A",IF('Data Source'!W553&gt;=3.5,"A-",IF('Data Source'!W553&gt;=3,"B",IF('Data Source'!W553&gt;=2,"C",IF('Data Source'!W553&gt;=1,"D","F")))))),"")</f>
        <v/>
      </c>
      <c r="F553" s="3">
        <f>IF(AND('Data Source'!B553&lt;&gt;"",'Data Source'!S553="F"),IF('Data Source'!X553&gt;=5,"A+",IF('Data Source'!X553&gt;=4,"A",IF('Data Source'!X553&gt;=3.5,"A-",IF('Data Source'!X553&gt;=3,"B",IF('Data Source'!X553&gt;=2,"C",IF('Data Source'!X553&gt;=1,"D","F")))))),"")</f>
        <v/>
      </c>
      <c r="G553" s="3">
        <f>IF(AND('Data Source'!B553&lt;&gt;"",'Data Source'!S553="F"),IF('Data Source'!Y553&gt;=5,"A+",IF('Data Source'!Y553&gt;=4,"A",IF('Data Source'!Y553&gt;=3.5,"A-",IF('Data Source'!Y553&gt;=3,"B",IF('Data Source'!Y553&gt;=2,"C",IF('Data Source'!Y553&gt;=1,"D","F")))))),"")</f>
        <v/>
      </c>
      <c r="H553" s="3">
        <f>IF(AND('Data Source'!B553&lt;&gt;"",'Data Source'!S553="F"),IF('Data Source'!Z553&gt;=5,"A+",IF('Data Source'!Z553&gt;=4,"A",IF('Data Source'!Z553&gt;=3.5,"A-",IF('Data Source'!Z553&gt;=3,"B",IF('Data Source'!Z553&gt;=2,"C",IF('Data Source'!Z553&gt;=1,"D","F")))))),"")</f>
        <v/>
      </c>
      <c r="I553" s="3">
        <f>IF(AND('Data Source'!B553&lt;&gt;"",'Data Source'!S553="F"),IF('Data Source'!AA553&gt;=5,"A+",IF('Data Source'!AA553&gt;=4,"A",IF('Data Source'!AA553&gt;=3.5,"A-",IF('Data Source'!AA553&gt;=3,"B",IF('Data Source'!AA553&gt;=2,"C",IF('Data Source'!AA553&gt;=1,"D","F")))))),"")</f>
        <v/>
      </c>
      <c r="J553" s="3">
        <f>IF(AND('Data Source'!B553&lt;&gt;"",'Data Source'!S553="F"),IF('Data Source'!AB553&gt;=5,"A+",IF('Data Source'!AB553&gt;=4,"A",IF('Data Source'!AB553&gt;=3.5,"A-",IF('Data Source'!AB553&gt;=3,"B",IF('Data Source'!AB553&gt;=2,"C",IF('Data Source'!AB553&gt;=1,"D","F")))))),"")</f>
        <v/>
      </c>
      <c r="K553" s="3">
        <f>IF(AND('Data Source'!B553&lt;&gt;"",'Data Source'!S553="F"),IF('Data Source'!AC553&gt;=5,"A+",IF('Data Source'!AC553&gt;=4,"A",IF('Data Source'!AC553&gt;=3.5,"A-",IF('Data Source'!AC553&gt;=3,"B",IF('Data Source'!AC553&gt;=2,"C",IF('Data Source'!AC553&gt;=1,"D","F")))))),"")</f>
        <v/>
      </c>
      <c r="L553" s="3">
        <f>IF(AND('Data Source'!B553&lt;&gt;"",'Data Source'!S553="F"),IF('Data Source'!AD553&gt;=5,"A+",IF('Data Source'!AD553&gt;=4,"A",IF('Data Source'!AD553&gt;=3.5,"A-",IF('Data Source'!AD553&gt;=3,"B",IF('Data Source'!AD553&gt;=2,"C",IF('Data Source'!AD553&gt;=1,"D","F")))))),"")</f>
        <v/>
      </c>
      <c r="M553" s="3">
        <f>IF(AND('Data Source'!B553&lt;&gt;"",'Data Source'!S553="F"),IF('Data Source'!AE553&gt;=5,"A+",IF('Data Source'!AE553&gt;=4,"A",IF('Data Source'!AE553&gt;=3.5,"A-",IF('Data Source'!AE553&gt;=3,"B",IF('Data Source'!AE553&gt;=2,"C",IF('Data Source'!AE553&gt;=1,"D","F")))))),"")</f>
        <v/>
      </c>
      <c r="N553" s="3">
        <f>IF(AND('Data Source'!B553&lt;&gt;"",'Data Source'!S553="F"),IF('Data Source'!AF553&gt;=5,"A+",IF('Data Source'!AF553&gt;=4,"A",IF('Data Source'!AF553&gt;=3.5,"A-",IF('Data Source'!AF553&gt;=3,"B",IF('Data Source'!AF553&gt;=2,"C",IF('Data Source'!AF553&gt;=1,"D","F")))))),"")</f>
        <v/>
      </c>
      <c r="O553" s="3">
        <f>IF(AND('Data Source'!B553&lt;&gt;"",'Data Source'!S553="F"),IF('Data Source'!AG553&gt;=5,"A+",IF('Data Source'!AG553&gt;=4,"A",IF('Data Source'!AG553&gt;=3.5,"A-",IF('Data Source'!AG553&gt;=3,"B",IF('Data Source'!AG553&gt;=2,"C",IF('Data Source'!AG553&gt;=1,"D","F")))))),"")</f>
        <v/>
      </c>
      <c r="P553" s="5">
        <f>IF(AND('Data Source'!B553&lt;&gt;"",'Data Source'!S553="F"),'Data Source'!R553,"")</f>
        <v/>
      </c>
      <c r="Q553" s="3">
        <f>IF(AND('Data Source'!B553&lt;&gt;"",'Data Source'!S553="F"),'Data Source'!S553,"")</f>
        <v/>
      </c>
    </row>
    <row r="554">
      <c r="A554" s="3">
        <f>IF(AND('Data Source'!B554&lt;&gt;"",'Data Source'!S554="F"),COUNTIF('Data Source'!$S$3:S554,"F"),"")</f>
        <v/>
      </c>
      <c r="B554">
        <f>IF(AND('Data Source'!B554&lt;&gt;"",'Data Source'!S554="F"),'Data Source'!B554,"")</f>
        <v/>
      </c>
      <c r="C554" s="3">
        <f>IF(AND('Data Source'!B554&lt;&gt;"",'Data Source'!S554="F"),IF('Data Source'!U554&gt;=5,"A+",IF('Data Source'!U554&gt;=4,"A",IF('Data Source'!U554&gt;=3.5,"A-",IF('Data Source'!U554&gt;=3,"B",IF('Data Source'!U554&gt;=2,"C",IF('Data Source'!U554&gt;=1,"D","F")))))),"")</f>
        <v/>
      </c>
      <c r="D554" s="3">
        <f>IF(AND('Data Source'!B554&lt;&gt;"",'Data Source'!S554="F"),IF('Data Source'!V554&gt;=5,"A+",IF('Data Source'!V554&gt;=4,"A",IF('Data Source'!V554&gt;=3.5,"A-",IF('Data Source'!V554&gt;=3,"B",IF('Data Source'!V554&gt;=2,"C",IF('Data Source'!V554&gt;=1,"D","F")))))),"")</f>
        <v/>
      </c>
      <c r="E554" s="3">
        <f>IF(AND('Data Source'!B554&lt;&gt;"",'Data Source'!S554="F"),IF('Data Source'!W554&gt;=5,"A+",IF('Data Source'!W554&gt;=4,"A",IF('Data Source'!W554&gt;=3.5,"A-",IF('Data Source'!W554&gt;=3,"B",IF('Data Source'!W554&gt;=2,"C",IF('Data Source'!W554&gt;=1,"D","F")))))),"")</f>
        <v/>
      </c>
      <c r="F554" s="3">
        <f>IF(AND('Data Source'!B554&lt;&gt;"",'Data Source'!S554="F"),IF('Data Source'!X554&gt;=5,"A+",IF('Data Source'!X554&gt;=4,"A",IF('Data Source'!X554&gt;=3.5,"A-",IF('Data Source'!X554&gt;=3,"B",IF('Data Source'!X554&gt;=2,"C",IF('Data Source'!X554&gt;=1,"D","F")))))),"")</f>
        <v/>
      </c>
      <c r="G554" s="3">
        <f>IF(AND('Data Source'!B554&lt;&gt;"",'Data Source'!S554="F"),IF('Data Source'!Y554&gt;=5,"A+",IF('Data Source'!Y554&gt;=4,"A",IF('Data Source'!Y554&gt;=3.5,"A-",IF('Data Source'!Y554&gt;=3,"B",IF('Data Source'!Y554&gt;=2,"C",IF('Data Source'!Y554&gt;=1,"D","F")))))),"")</f>
        <v/>
      </c>
      <c r="H554" s="3">
        <f>IF(AND('Data Source'!B554&lt;&gt;"",'Data Source'!S554="F"),IF('Data Source'!Z554&gt;=5,"A+",IF('Data Source'!Z554&gt;=4,"A",IF('Data Source'!Z554&gt;=3.5,"A-",IF('Data Source'!Z554&gt;=3,"B",IF('Data Source'!Z554&gt;=2,"C",IF('Data Source'!Z554&gt;=1,"D","F")))))),"")</f>
        <v/>
      </c>
      <c r="I554" s="3">
        <f>IF(AND('Data Source'!B554&lt;&gt;"",'Data Source'!S554="F"),IF('Data Source'!AA554&gt;=5,"A+",IF('Data Source'!AA554&gt;=4,"A",IF('Data Source'!AA554&gt;=3.5,"A-",IF('Data Source'!AA554&gt;=3,"B",IF('Data Source'!AA554&gt;=2,"C",IF('Data Source'!AA554&gt;=1,"D","F")))))),"")</f>
        <v/>
      </c>
      <c r="J554" s="3">
        <f>IF(AND('Data Source'!B554&lt;&gt;"",'Data Source'!S554="F"),IF('Data Source'!AB554&gt;=5,"A+",IF('Data Source'!AB554&gt;=4,"A",IF('Data Source'!AB554&gt;=3.5,"A-",IF('Data Source'!AB554&gt;=3,"B",IF('Data Source'!AB554&gt;=2,"C",IF('Data Source'!AB554&gt;=1,"D","F")))))),"")</f>
        <v/>
      </c>
      <c r="K554" s="3">
        <f>IF(AND('Data Source'!B554&lt;&gt;"",'Data Source'!S554="F"),IF('Data Source'!AC554&gt;=5,"A+",IF('Data Source'!AC554&gt;=4,"A",IF('Data Source'!AC554&gt;=3.5,"A-",IF('Data Source'!AC554&gt;=3,"B",IF('Data Source'!AC554&gt;=2,"C",IF('Data Source'!AC554&gt;=1,"D","F")))))),"")</f>
        <v/>
      </c>
      <c r="L554" s="3">
        <f>IF(AND('Data Source'!B554&lt;&gt;"",'Data Source'!S554="F"),IF('Data Source'!AD554&gt;=5,"A+",IF('Data Source'!AD554&gt;=4,"A",IF('Data Source'!AD554&gt;=3.5,"A-",IF('Data Source'!AD554&gt;=3,"B",IF('Data Source'!AD554&gt;=2,"C",IF('Data Source'!AD554&gt;=1,"D","F")))))),"")</f>
        <v/>
      </c>
      <c r="M554" s="3">
        <f>IF(AND('Data Source'!B554&lt;&gt;"",'Data Source'!S554="F"),IF('Data Source'!AE554&gt;=5,"A+",IF('Data Source'!AE554&gt;=4,"A",IF('Data Source'!AE554&gt;=3.5,"A-",IF('Data Source'!AE554&gt;=3,"B",IF('Data Source'!AE554&gt;=2,"C",IF('Data Source'!AE554&gt;=1,"D","F")))))),"")</f>
        <v/>
      </c>
      <c r="N554" s="3">
        <f>IF(AND('Data Source'!B554&lt;&gt;"",'Data Source'!S554="F"),IF('Data Source'!AF554&gt;=5,"A+",IF('Data Source'!AF554&gt;=4,"A",IF('Data Source'!AF554&gt;=3.5,"A-",IF('Data Source'!AF554&gt;=3,"B",IF('Data Source'!AF554&gt;=2,"C",IF('Data Source'!AF554&gt;=1,"D","F")))))),"")</f>
        <v/>
      </c>
      <c r="O554" s="3">
        <f>IF(AND('Data Source'!B554&lt;&gt;"",'Data Source'!S554="F"),IF('Data Source'!AG554&gt;=5,"A+",IF('Data Source'!AG554&gt;=4,"A",IF('Data Source'!AG554&gt;=3.5,"A-",IF('Data Source'!AG554&gt;=3,"B",IF('Data Source'!AG554&gt;=2,"C",IF('Data Source'!AG554&gt;=1,"D","F")))))),"")</f>
        <v/>
      </c>
      <c r="P554" s="5">
        <f>IF(AND('Data Source'!B554&lt;&gt;"",'Data Source'!S554="F"),'Data Source'!R554,"")</f>
        <v/>
      </c>
      <c r="Q554" s="3">
        <f>IF(AND('Data Source'!B554&lt;&gt;"",'Data Source'!S554="F"),'Data Source'!S554,"")</f>
        <v/>
      </c>
    </row>
    <row r="555">
      <c r="A555" s="3">
        <f>IF(AND('Data Source'!B555&lt;&gt;"",'Data Source'!S555="F"),COUNTIF('Data Source'!$S$3:S555,"F"),"")</f>
        <v/>
      </c>
      <c r="B555">
        <f>IF(AND('Data Source'!B555&lt;&gt;"",'Data Source'!S555="F"),'Data Source'!B555,"")</f>
        <v/>
      </c>
      <c r="C555" s="3">
        <f>IF(AND('Data Source'!B555&lt;&gt;"",'Data Source'!S555="F"),IF('Data Source'!U555&gt;=5,"A+",IF('Data Source'!U555&gt;=4,"A",IF('Data Source'!U555&gt;=3.5,"A-",IF('Data Source'!U555&gt;=3,"B",IF('Data Source'!U555&gt;=2,"C",IF('Data Source'!U555&gt;=1,"D","F")))))),"")</f>
        <v/>
      </c>
      <c r="D555" s="3">
        <f>IF(AND('Data Source'!B555&lt;&gt;"",'Data Source'!S555="F"),IF('Data Source'!V555&gt;=5,"A+",IF('Data Source'!V555&gt;=4,"A",IF('Data Source'!V555&gt;=3.5,"A-",IF('Data Source'!V555&gt;=3,"B",IF('Data Source'!V555&gt;=2,"C",IF('Data Source'!V555&gt;=1,"D","F")))))),"")</f>
        <v/>
      </c>
      <c r="E555" s="3">
        <f>IF(AND('Data Source'!B555&lt;&gt;"",'Data Source'!S555="F"),IF('Data Source'!W555&gt;=5,"A+",IF('Data Source'!W555&gt;=4,"A",IF('Data Source'!W555&gt;=3.5,"A-",IF('Data Source'!W555&gt;=3,"B",IF('Data Source'!W555&gt;=2,"C",IF('Data Source'!W555&gt;=1,"D","F")))))),"")</f>
        <v/>
      </c>
      <c r="F555" s="3">
        <f>IF(AND('Data Source'!B555&lt;&gt;"",'Data Source'!S555="F"),IF('Data Source'!X555&gt;=5,"A+",IF('Data Source'!X555&gt;=4,"A",IF('Data Source'!X555&gt;=3.5,"A-",IF('Data Source'!X555&gt;=3,"B",IF('Data Source'!X555&gt;=2,"C",IF('Data Source'!X555&gt;=1,"D","F")))))),"")</f>
        <v/>
      </c>
      <c r="G555" s="3">
        <f>IF(AND('Data Source'!B555&lt;&gt;"",'Data Source'!S555="F"),IF('Data Source'!Y555&gt;=5,"A+",IF('Data Source'!Y555&gt;=4,"A",IF('Data Source'!Y555&gt;=3.5,"A-",IF('Data Source'!Y555&gt;=3,"B",IF('Data Source'!Y555&gt;=2,"C",IF('Data Source'!Y555&gt;=1,"D","F")))))),"")</f>
        <v/>
      </c>
      <c r="H555" s="3">
        <f>IF(AND('Data Source'!B555&lt;&gt;"",'Data Source'!S555="F"),IF('Data Source'!Z555&gt;=5,"A+",IF('Data Source'!Z555&gt;=4,"A",IF('Data Source'!Z555&gt;=3.5,"A-",IF('Data Source'!Z555&gt;=3,"B",IF('Data Source'!Z555&gt;=2,"C",IF('Data Source'!Z555&gt;=1,"D","F")))))),"")</f>
        <v/>
      </c>
      <c r="I555" s="3">
        <f>IF(AND('Data Source'!B555&lt;&gt;"",'Data Source'!S555="F"),IF('Data Source'!AA555&gt;=5,"A+",IF('Data Source'!AA555&gt;=4,"A",IF('Data Source'!AA555&gt;=3.5,"A-",IF('Data Source'!AA555&gt;=3,"B",IF('Data Source'!AA555&gt;=2,"C",IF('Data Source'!AA555&gt;=1,"D","F")))))),"")</f>
        <v/>
      </c>
      <c r="J555" s="3">
        <f>IF(AND('Data Source'!B555&lt;&gt;"",'Data Source'!S555="F"),IF('Data Source'!AB555&gt;=5,"A+",IF('Data Source'!AB555&gt;=4,"A",IF('Data Source'!AB555&gt;=3.5,"A-",IF('Data Source'!AB555&gt;=3,"B",IF('Data Source'!AB555&gt;=2,"C",IF('Data Source'!AB555&gt;=1,"D","F")))))),"")</f>
        <v/>
      </c>
      <c r="K555" s="3">
        <f>IF(AND('Data Source'!B555&lt;&gt;"",'Data Source'!S555="F"),IF('Data Source'!AC555&gt;=5,"A+",IF('Data Source'!AC555&gt;=4,"A",IF('Data Source'!AC555&gt;=3.5,"A-",IF('Data Source'!AC555&gt;=3,"B",IF('Data Source'!AC555&gt;=2,"C",IF('Data Source'!AC555&gt;=1,"D","F")))))),"")</f>
        <v/>
      </c>
      <c r="L555" s="3">
        <f>IF(AND('Data Source'!B555&lt;&gt;"",'Data Source'!S555="F"),IF('Data Source'!AD555&gt;=5,"A+",IF('Data Source'!AD555&gt;=4,"A",IF('Data Source'!AD555&gt;=3.5,"A-",IF('Data Source'!AD555&gt;=3,"B",IF('Data Source'!AD555&gt;=2,"C",IF('Data Source'!AD555&gt;=1,"D","F")))))),"")</f>
        <v/>
      </c>
      <c r="M555" s="3">
        <f>IF(AND('Data Source'!B555&lt;&gt;"",'Data Source'!S555="F"),IF('Data Source'!AE555&gt;=5,"A+",IF('Data Source'!AE555&gt;=4,"A",IF('Data Source'!AE555&gt;=3.5,"A-",IF('Data Source'!AE555&gt;=3,"B",IF('Data Source'!AE555&gt;=2,"C",IF('Data Source'!AE555&gt;=1,"D","F")))))),"")</f>
        <v/>
      </c>
      <c r="N555" s="3">
        <f>IF(AND('Data Source'!B555&lt;&gt;"",'Data Source'!S555="F"),IF('Data Source'!AF555&gt;=5,"A+",IF('Data Source'!AF555&gt;=4,"A",IF('Data Source'!AF555&gt;=3.5,"A-",IF('Data Source'!AF555&gt;=3,"B",IF('Data Source'!AF555&gt;=2,"C",IF('Data Source'!AF555&gt;=1,"D","F")))))),"")</f>
        <v/>
      </c>
      <c r="O555" s="3">
        <f>IF(AND('Data Source'!B555&lt;&gt;"",'Data Source'!S555="F"),IF('Data Source'!AG555&gt;=5,"A+",IF('Data Source'!AG555&gt;=4,"A",IF('Data Source'!AG555&gt;=3.5,"A-",IF('Data Source'!AG555&gt;=3,"B",IF('Data Source'!AG555&gt;=2,"C",IF('Data Source'!AG555&gt;=1,"D","F")))))),"")</f>
        <v/>
      </c>
      <c r="P555" s="5">
        <f>IF(AND('Data Source'!B555&lt;&gt;"",'Data Source'!S555="F"),'Data Source'!R555,"")</f>
        <v/>
      </c>
      <c r="Q555" s="3">
        <f>IF(AND('Data Source'!B555&lt;&gt;"",'Data Source'!S555="F"),'Data Source'!S555,"")</f>
        <v/>
      </c>
    </row>
    <row r="556">
      <c r="A556" s="3">
        <f>IF(AND('Data Source'!B556&lt;&gt;"",'Data Source'!S556="F"),COUNTIF('Data Source'!$S$3:S556,"F"),"")</f>
        <v/>
      </c>
      <c r="B556">
        <f>IF(AND('Data Source'!B556&lt;&gt;"",'Data Source'!S556="F"),'Data Source'!B556,"")</f>
        <v/>
      </c>
      <c r="C556" s="3">
        <f>IF(AND('Data Source'!B556&lt;&gt;"",'Data Source'!S556="F"),IF('Data Source'!U556&gt;=5,"A+",IF('Data Source'!U556&gt;=4,"A",IF('Data Source'!U556&gt;=3.5,"A-",IF('Data Source'!U556&gt;=3,"B",IF('Data Source'!U556&gt;=2,"C",IF('Data Source'!U556&gt;=1,"D","F")))))),"")</f>
        <v/>
      </c>
      <c r="D556" s="3">
        <f>IF(AND('Data Source'!B556&lt;&gt;"",'Data Source'!S556="F"),IF('Data Source'!V556&gt;=5,"A+",IF('Data Source'!V556&gt;=4,"A",IF('Data Source'!V556&gt;=3.5,"A-",IF('Data Source'!V556&gt;=3,"B",IF('Data Source'!V556&gt;=2,"C",IF('Data Source'!V556&gt;=1,"D","F")))))),"")</f>
        <v/>
      </c>
      <c r="E556" s="3">
        <f>IF(AND('Data Source'!B556&lt;&gt;"",'Data Source'!S556="F"),IF('Data Source'!W556&gt;=5,"A+",IF('Data Source'!W556&gt;=4,"A",IF('Data Source'!W556&gt;=3.5,"A-",IF('Data Source'!W556&gt;=3,"B",IF('Data Source'!W556&gt;=2,"C",IF('Data Source'!W556&gt;=1,"D","F")))))),"")</f>
        <v/>
      </c>
      <c r="F556" s="3">
        <f>IF(AND('Data Source'!B556&lt;&gt;"",'Data Source'!S556="F"),IF('Data Source'!X556&gt;=5,"A+",IF('Data Source'!X556&gt;=4,"A",IF('Data Source'!X556&gt;=3.5,"A-",IF('Data Source'!X556&gt;=3,"B",IF('Data Source'!X556&gt;=2,"C",IF('Data Source'!X556&gt;=1,"D","F")))))),"")</f>
        <v/>
      </c>
      <c r="G556" s="3">
        <f>IF(AND('Data Source'!B556&lt;&gt;"",'Data Source'!S556="F"),IF('Data Source'!Y556&gt;=5,"A+",IF('Data Source'!Y556&gt;=4,"A",IF('Data Source'!Y556&gt;=3.5,"A-",IF('Data Source'!Y556&gt;=3,"B",IF('Data Source'!Y556&gt;=2,"C",IF('Data Source'!Y556&gt;=1,"D","F")))))),"")</f>
        <v/>
      </c>
      <c r="H556" s="3">
        <f>IF(AND('Data Source'!B556&lt;&gt;"",'Data Source'!S556="F"),IF('Data Source'!Z556&gt;=5,"A+",IF('Data Source'!Z556&gt;=4,"A",IF('Data Source'!Z556&gt;=3.5,"A-",IF('Data Source'!Z556&gt;=3,"B",IF('Data Source'!Z556&gt;=2,"C",IF('Data Source'!Z556&gt;=1,"D","F")))))),"")</f>
        <v/>
      </c>
      <c r="I556" s="3">
        <f>IF(AND('Data Source'!B556&lt;&gt;"",'Data Source'!S556="F"),IF('Data Source'!AA556&gt;=5,"A+",IF('Data Source'!AA556&gt;=4,"A",IF('Data Source'!AA556&gt;=3.5,"A-",IF('Data Source'!AA556&gt;=3,"B",IF('Data Source'!AA556&gt;=2,"C",IF('Data Source'!AA556&gt;=1,"D","F")))))),"")</f>
        <v/>
      </c>
      <c r="J556" s="3">
        <f>IF(AND('Data Source'!B556&lt;&gt;"",'Data Source'!S556="F"),IF('Data Source'!AB556&gt;=5,"A+",IF('Data Source'!AB556&gt;=4,"A",IF('Data Source'!AB556&gt;=3.5,"A-",IF('Data Source'!AB556&gt;=3,"B",IF('Data Source'!AB556&gt;=2,"C",IF('Data Source'!AB556&gt;=1,"D","F")))))),"")</f>
        <v/>
      </c>
      <c r="K556" s="3">
        <f>IF(AND('Data Source'!B556&lt;&gt;"",'Data Source'!S556="F"),IF('Data Source'!AC556&gt;=5,"A+",IF('Data Source'!AC556&gt;=4,"A",IF('Data Source'!AC556&gt;=3.5,"A-",IF('Data Source'!AC556&gt;=3,"B",IF('Data Source'!AC556&gt;=2,"C",IF('Data Source'!AC556&gt;=1,"D","F")))))),"")</f>
        <v/>
      </c>
      <c r="L556" s="3">
        <f>IF(AND('Data Source'!B556&lt;&gt;"",'Data Source'!S556="F"),IF('Data Source'!AD556&gt;=5,"A+",IF('Data Source'!AD556&gt;=4,"A",IF('Data Source'!AD556&gt;=3.5,"A-",IF('Data Source'!AD556&gt;=3,"B",IF('Data Source'!AD556&gt;=2,"C",IF('Data Source'!AD556&gt;=1,"D","F")))))),"")</f>
        <v/>
      </c>
      <c r="M556" s="3">
        <f>IF(AND('Data Source'!B556&lt;&gt;"",'Data Source'!S556="F"),IF('Data Source'!AE556&gt;=5,"A+",IF('Data Source'!AE556&gt;=4,"A",IF('Data Source'!AE556&gt;=3.5,"A-",IF('Data Source'!AE556&gt;=3,"B",IF('Data Source'!AE556&gt;=2,"C",IF('Data Source'!AE556&gt;=1,"D","F")))))),"")</f>
        <v/>
      </c>
      <c r="N556" s="3">
        <f>IF(AND('Data Source'!B556&lt;&gt;"",'Data Source'!S556="F"),IF('Data Source'!AF556&gt;=5,"A+",IF('Data Source'!AF556&gt;=4,"A",IF('Data Source'!AF556&gt;=3.5,"A-",IF('Data Source'!AF556&gt;=3,"B",IF('Data Source'!AF556&gt;=2,"C",IF('Data Source'!AF556&gt;=1,"D","F")))))),"")</f>
        <v/>
      </c>
      <c r="O556" s="3">
        <f>IF(AND('Data Source'!B556&lt;&gt;"",'Data Source'!S556="F"),IF('Data Source'!AG556&gt;=5,"A+",IF('Data Source'!AG556&gt;=4,"A",IF('Data Source'!AG556&gt;=3.5,"A-",IF('Data Source'!AG556&gt;=3,"B",IF('Data Source'!AG556&gt;=2,"C",IF('Data Source'!AG556&gt;=1,"D","F")))))),"")</f>
        <v/>
      </c>
      <c r="P556" s="5">
        <f>IF(AND('Data Source'!B556&lt;&gt;"",'Data Source'!S556="F"),'Data Source'!R556,"")</f>
        <v/>
      </c>
      <c r="Q556" s="3">
        <f>IF(AND('Data Source'!B556&lt;&gt;"",'Data Source'!S556="F"),'Data Source'!S556,"")</f>
        <v/>
      </c>
    </row>
    <row r="557">
      <c r="A557" s="3">
        <f>IF(AND('Data Source'!B557&lt;&gt;"",'Data Source'!S557="F"),COUNTIF('Data Source'!$S$3:S557,"F"),"")</f>
        <v/>
      </c>
      <c r="B557">
        <f>IF(AND('Data Source'!B557&lt;&gt;"",'Data Source'!S557="F"),'Data Source'!B557,"")</f>
        <v/>
      </c>
      <c r="C557" s="3">
        <f>IF(AND('Data Source'!B557&lt;&gt;"",'Data Source'!S557="F"),IF('Data Source'!U557&gt;=5,"A+",IF('Data Source'!U557&gt;=4,"A",IF('Data Source'!U557&gt;=3.5,"A-",IF('Data Source'!U557&gt;=3,"B",IF('Data Source'!U557&gt;=2,"C",IF('Data Source'!U557&gt;=1,"D","F")))))),"")</f>
        <v/>
      </c>
      <c r="D557" s="3">
        <f>IF(AND('Data Source'!B557&lt;&gt;"",'Data Source'!S557="F"),IF('Data Source'!V557&gt;=5,"A+",IF('Data Source'!V557&gt;=4,"A",IF('Data Source'!V557&gt;=3.5,"A-",IF('Data Source'!V557&gt;=3,"B",IF('Data Source'!V557&gt;=2,"C",IF('Data Source'!V557&gt;=1,"D","F")))))),"")</f>
        <v/>
      </c>
      <c r="E557" s="3">
        <f>IF(AND('Data Source'!B557&lt;&gt;"",'Data Source'!S557="F"),IF('Data Source'!W557&gt;=5,"A+",IF('Data Source'!W557&gt;=4,"A",IF('Data Source'!W557&gt;=3.5,"A-",IF('Data Source'!W557&gt;=3,"B",IF('Data Source'!W557&gt;=2,"C",IF('Data Source'!W557&gt;=1,"D","F")))))),"")</f>
        <v/>
      </c>
      <c r="F557" s="3">
        <f>IF(AND('Data Source'!B557&lt;&gt;"",'Data Source'!S557="F"),IF('Data Source'!X557&gt;=5,"A+",IF('Data Source'!X557&gt;=4,"A",IF('Data Source'!X557&gt;=3.5,"A-",IF('Data Source'!X557&gt;=3,"B",IF('Data Source'!X557&gt;=2,"C",IF('Data Source'!X557&gt;=1,"D","F")))))),"")</f>
        <v/>
      </c>
      <c r="G557" s="3">
        <f>IF(AND('Data Source'!B557&lt;&gt;"",'Data Source'!S557="F"),IF('Data Source'!Y557&gt;=5,"A+",IF('Data Source'!Y557&gt;=4,"A",IF('Data Source'!Y557&gt;=3.5,"A-",IF('Data Source'!Y557&gt;=3,"B",IF('Data Source'!Y557&gt;=2,"C",IF('Data Source'!Y557&gt;=1,"D","F")))))),"")</f>
        <v/>
      </c>
      <c r="H557" s="3">
        <f>IF(AND('Data Source'!B557&lt;&gt;"",'Data Source'!S557="F"),IF('Data Source'!Z557&gt;=5,"A+",IF('Data Source'!Z557&gt;=4,"A",IF('Data Source'!Z557&gt;=3.5,"A-",IF('Data Source'!Z557&gt;=3,"B",IF('Data Source'!Z557&gt;=2,"C",IF('Data Source'!Z557&gt;=1,"D","F")))))),"")</f>
        <v/>
      </c>
      <c r="I557" s="3">
        <f>IF(AND('Data Source'!B557&lt;&gt;"",'Data Source'!S557="F"),IF('Data Source'!AA557&gt;=5,"A+",IF('Data Source'!AA557&gt;=4,"A",IF('Data Source'!AA557&gt;=3.5,"A-",IF('Data Source'!AA557&gt;=3,"B",IF('Data Source'!AA557&gt;=2,"C",IF('Data Source'!AA557&gt;=1,"D","F")))))),"")</f>
        <v/>
      </c>
      <c r="J557" s="3">
        <f>IF(AND('Data Source'!B557&lt;&gt;"",'Data Source'!S557="F"),IF('Data Source'!AB557&gt;=5,"A+",IF('Data Source'!AB557&gt;=4,"A",IF('Data Source'!AB557&gt;=3.5,"A-",IF('Data Source'!AB557&gt;=3,"B",IF('Data Source'!AB557&gt;=2,"C",IF('Data Source'!AB557&gt;=1,"D","F")))))),"")</f>
        <v/>
      </c>
      <c r="K557" s="3">
        <f>IF(AND('Data Source'!B557&lt;&gt;"",'Data Source'!S557="F"),IF('Data Source'!AC557&gt;=5,"A+",IF('Data Source'!AC557&gt;=4,"A",IF('Data Source'!AC557&gt;=3.5,"A-",IF('Data Source'!AC557&gt;=3,"B",IF('Data Source'!AC557&gt;=2,"C",IF('Data Source'!AC557&gt;=1,"D","F")))))),"")</f>
        <v/>
      </c>
      <c r="L557" s="3">
        <f>IF(AND('Data Source'!B557&lt;&gt;"",'Data Source'!S557="F"),IF('Data Source'!AD557&gt;=5,"A+",IF('Data Source'!AD557&gt;=4,"A",IF('Data Source'!AD557&gt;=3.5,"A-",IF('Data Source'!AD557&gt;=3,"B",IF('Data Source'!AD557&gt;=2,"C",IF('Data Source'!AD557&gt;=1,"D","F")))))),"")</f>
        <v/>
      </c>
      <c r="M557" s="3">
        <f>IF(AND('Data Source'!B557&lt;&gt;"",'Data Source'!S557="F"),IF('Data Source'!AE557&gt;=5,"A+",IF('Data Source'!AE557&gt;=4,"A",IF('Data Source'!AE557&gt;=3.5,"A-",IF('Data Source'!AE557&gt;=3,"B",IF('Data Source'!AE557&gt;=2,"C",IF('Data Source'!AE557&gt;=1,"D","F")))))),"")</f>
        <v/>
      </c>
      <c r="N557" s="3">
        <f>IF(AND('Data Source'!B557&lt;&gt;"",'Data Source'!S557="F"),IF('Data Source'!AF557&gt;=5,"A+",IF('Data Source'!AF557&gt;=4,"A",IF('Data Source'!AF557&gt;=3.5,"A-",IF('Data Source'!AF557&gt;=3,"B",IF('Data Source'!AF557&gt;=2,"C",IF('Data Source'!AF557&gt;=1,"D","F")))))),"")</f>
        <v/>
      </c>
      <c r="O557" s="3">
        <f>IF(AND('Data Source'!B557&lt;&gt;"",'Data Source'!S557="F"),IF('Data Source'!AG557&gt;=5,"A+",IF('Data Source'!AG557&gt;=4,"A",IF('Data Source'!AG557&gt;=3.5,"A-",IF('Data Source'!AG557&gt;=3,"B",IF('Data Source'!AG557&gt;=2,"C",IF('Data Source'!AG557&gt;=1,"D","F")))))),"")</f>
        <v/>
      </c>
      <c r="P557" s="5">
        <f>IF(AND('Data Source'!B557&lt;&gt;"",'Data Source'!S557="F"),'Data Source'!R557,"")</f>
        <v/>
      </c>
      <c r="Q557" s="3">
        <f>IF(AND('Data Source'!B557&lt;&gt;"",'Data Source'!S557="F"),'Data Source'!S557,"")</f>
        <v/>
      </c>
    </row>
    <row r="558">
      <c r="A558" s="3">
        <f>IF(AND('Data Source'!B558&lt;&gt;"",'Data Source'!S558="F"),COUNTIF('Data Source'!$S$3:S558,"F"),"")</f>
        <v/>
      </c>
      <c r="B558">
        <f>IF(AND('Data Source'!B558&lt;&gt;"",'Data Source'!S558="F"),'Data Source'!B558,"")</f>
        <v/>
      </c>
      <c r="C558" s="3">
        <f>IF(AND('Data Source'!B558&lt;&gt;"",'Data Source'!S558="F"),IF('Data Source'!U558&gt;=5,"A+",IF('Data Source'!U558&gt;=4,"A",IF('Data Source'!U558&gt;=3.5,"A-",IF('Data Source'!U558&gt;=3,"B",IF('Data Source'!U558&gt;=2,"C",IF('Data Source'!U558&gt;=1,"D","F")))))),"")</f>
        <v/>
      </c>
      <c r="D558" s="3">
        <f>IF(AND('Data Source'!B558&lt;&gt;"",'Data Source'!S558="F"),IF('Data Source'!V558&gt;=5,"A+",IF('Data Source'!V558&gt;=4,"A",IF('Data Source'!V558&gt;=3.5,"A-",IF('Data Source'!V558&gt;=3,"B",IF('Data Source'!V558&gt;=2,"C",IF('Data Source'!V558&gt;=1,"D","F")))))),"")</f>
        <v/>
      </c>
      <c r="E558" s="3">
        <f>IF(AND('Data Source'!B558&lt;&gt;"",'Data Source'!S558="F"),IF('Data Source'!W558&gt;=5,"A+",IF('Data Source'!W558&gt;=4,"A",IF('Data Source'!W558&gt;=3.5,"A-",IF('Data Source'!W558&gt;=3,"B",IF('Data Source'!W558&gt;=2,"C",IF('Data Source'!W558&gt;=1,"D","F")))))),"")</f>
        <v/>
      </c>
      <c r="F558" s="3">
        <f>IF(AND('Data Source'!B558&lt;&gt;"",'Data Source'!S558="F"),IF('Data Source'!X558&gt;=5,"A+",IF('Data Source'!X558&gt;=4,"A",IF('Data Source'!X558&gt;=3.5,"A-",IF('Data Source'!X558&gt;=3,"B",IF('Data Source'!X558&gt;=2,"C",IF('Data Source'!X558&gt;=1,"D","F")))))),"")</f>
        <v/>
      </c>
      <c r="G558" s="3">
        <f>IF(AND('Data Source'!B558&lt;&gt;"",'Data Source'!S558="F"),IF('Data Source'!Y558&gt;=5,"A+",IF('Data Source'!Y558&gt;=4,"A",IF('Data Source'!Y558&gt;=3.5,"A-",IF('Data Source'!Y558&gt;=3,"B",IF('Data Source'!Y558&gt;=2,"C",IF('Data Source'!Y558&gt;=1,"D","F")))))),"")</f>
        <v/>
      </c>
      <c r="H558" s="3">
        <f>IF(AND('Data Source'!B558&lt;&gt;"",'Data Source'!S558="F"),IF('Data Source'!Z558&gt;=5,"A+",IF('Data Source'!Z558&gt;=4,"A",IF('Data Source'!Z558&gt;=3.5,"A-",IF('Data Source'!Z558&gt;=3,"B",IF('Data Source'!Z558&gt;=2,"C",IF('Data Source'!Z558&gt;=1,"D","F")))))),"")</f>
        <v/>
      </c>
      <c r="I558" s="3">
        <f>IF(AND('Data Source'!B558&lt;&gt;"",'Data Source'!S558="F"),IF('Data Source'!AA558&gt;=5,"A+",IF('Data Source'!AA558&gt;=4,"A",IF('Data Source'!AA558&gt;=3.5,"A-",IF('Data Source'!AA558&gt;=3,"B",IF('Data Source'!AA558&gt;=2,"C",IF('Data Source'!AA558&gt;=1,"D","F")))))),"")</f>
        <v/>
      </c>
      <c r="J558" s="3">
        <f>IF(AND('Data Source'!B558&lt;&gt;"",'Data Source'!S558="F"),IF('Data Source'!AB558&gt;=5,"A+",IF('Data Source'!AB558&gt;=4,"A",IF('Data Source'!AB558&gt;=3.5,"A-",IF('Data Source'!AB558&gt;=3,"B",IF('Data Source'!AB558&gt;=2,"C",IF('Data Source'!AB558&gt;=1,"D","F")))))),"")</f>
        <v/>
      </c>
      <c r="K558" s="3">
        <f>IF(AND('Data Source'!B558&lt;&gt;"",'Data Source'!S558="F"),IF('Data Source'!AC558&gt;=5,"A+",IF('Data Source'!AC558&gt;=4,"A",IF('Data Source'!AC558&gt;=3.5,"A-",IF('Data Source'!AC558&gt;=3,"B",IF('Data Source'!AC558&gt;=2,"C",IF('Data Source'!AC558&gt;=1,"D","F")))))),"")</f>
        <v/>
      </c>
      <c r="L558" s="3">
        <f>IF(AND('Data Source'!B558&lt;&gt;"",'Data Source'!S558="F"),IF('Data Source'!AD558&gt;=5,"A+",IF('Data Source'!AD558&gt;=4,"A",IF('Data Source'!AD558&gt;=3.5,"A-",IF('Data Source'!AD558&gt;=3,"B",IF('Data Source'!AD558&gt;=2,"C",IF('Data Source'!AD558&gt;=1,"D","F")))))),"")</f>
        <v/>
      </c>
      <c r="M558" s="3">
        <f>IF(AND('Data Source'!B558&lt;&gt;"",'Data Source'!S558="F"),IF('Data Source'!AE558&gt;=5,"A+",IF('Data Source'!AE558&gt;=4,"A",IF('Data Source'!AE558&gt;=3.5,"A-",IF('Data Source'!AE558&gt;=3,"B",IF('Data Source'!AE558&gt;=2,"C",IF('Data Source'!AE558&gt;=1,"D","F")))))),"")</f>
        <v/>
      </c>
      <c r="N558" s="3">
        <f>IF(AND('Data Source'!B558&lt;&gt;"",'Data Source'!S558="F"),IF('Data Source'!AF558&gt;=5,"A+",IF('Data Source'!AF558&gt;=4,"A",IF('Data Source'!AF558&gt;=3.5,"A-",IF('Data Source'!AF558&gt;=3,"B",IF('Data Source'!AF558&gt;=2,"C",IF('Data Source'!AF558&gt;=1,"D","F")))))),"")</f>
        <v/>
      </c>
      <c r="O558" s="3">
        <f>IF(AND('Data Source'!B558&lt;&gt;"",'Data Source'!S558="F"),IF('Data Source'!AG558&gt;=5,"A+",IF('Data Source'!AG558&gt;=4,"A",IF('Data Source'!AG558&gt;=3.5,"A-",IF('Data Source'!AG558&gt;=3,"B",IF('Data Source'!AG558&gt;=2,"C",IF('Data Source'!AG558&gt;=1,"D","F")))))),"")</f>
        <v/>
      </c>
      <c r="P558" s="5">
        <f>IF(AND('Data Source'!B558&lt;&gt;"",'Data Source'!S558="F"),'Data Source'!R558,"")</f>
        <v/>
      </c>
      <c r="Q558" s="3">
        <f>IF(AND('Data Source'!B558&lt;&gt;"",'Data Source'!S558="F"),'Data Source'!S558,"")</f>
        <v/>
      </c>
    </row>
    <row r="559">
      <c r="A559" s="3">
        <f>IF(AND('Data Source'!B559&lt;&gt;"",'Data Source'!S559="F"),COUNTIF('Data Source'!$S$3:S559,"F"),"")</f>
        <v/>
      </c>
      <c r="B559">
        <f>IF(AND('Data Source'!B559&lt;&gt;"",'Data Source'!S559="F"),'Data Source'!B559,"")</f>
        <v/>
      </c>
      <c r="C559" s="3">
        <f>IF(AND('Data Source'!B559&lt;&gt;"",'Data Source'!S559="F"),IF('Data Source'!U559&gt;=5,"A+",IF('Data Source'!U559&gt;=4,"A",IF('Data Source'!U559&gt;=3.5,"A-",IF('Data Source'!U559&gt;=3,"B",IF('Data Source'!U559&gt;=2,"C",IF('Data Source'!U559&gt;=1,"D","F")))))),"")</f>
        <v/>
      </c>
      <c r="D559" s="3">
        <f>IF(AND('Data Source'!B559&lt;&gt;"",'Data Source'!S559="F"),IF('Data Source'!V559&gt;=5,"A+",IF('Data Source'!V559&gt;=4,"A",IF('Data Source'!V559&gt;=3.5,"A-",IF('Data Source'!V559&gt;=3,"B",IF('Data Source'!V559&gt;=2,"C",IF('Data Source'!V559&gt;=1,"D","F")))))),"")</f>
        <v/>
      </c>
      <c r="E559" s="3">
        <f>IF(AND('Data Source'!B559&lt;&gt;"",'Data Source'!S559="F"),IF('Data Source'!W559&gt;=5,"A+",IF('Data Source'!W559&gt;=4,"A",IF('Data Source'!W559&gt;=3.5,"A-",IF('Data Source'!W559&gt;=3,"B",IF('Data Source'!W559&gt;=2,"C",IF('Data Source'!W559&gt;=1,"D","F")))))),"")</f>
        <v/>
      </c>
      <c r="F559" s="3">
        <f>IF(AND('Data Source'!B559&lt;&gt;"",'Data Source'!S559="F"),IF('Data Source'!X559&gt;=5,"A+",IF('Data Source'!X559&gt;=4,"A",IF('Data Source'!X559&gt;=3.5,"A-",IF('Data Source'!X559&gt;=3,"B",IF('Data Source'!X559&gt;=2,"C",IF('Data Source'!X559&gt;=1,"D","F")))))),"")</f>
        <v/>
      </c>
      <c r="G559" s="3">
        <f>IF(AND('Data Source'!B559&lt;&gt;"",'Data Source'!S559="F"),IF('Data Source'!Y559&gt;=5,"A+",IF('Data Source'!Y559&gt;=4,"A",IF('Data Source'!Y559&gt;=3.5,"A-",IF('Data Source'!Y559&gt;=3,"B",IF('Data Source'!Y559&gt;=2,"C",IF('Data Source'!Y559&gt;=1,"D","F")))))),"")</f>
        <v/>
      </c>
      <c r="H559" s="3">
        <f>IF(AND('Data Source'!B559&lt;&gt;"",'Data Source'!S559="F"),IF('Data Source'!Z559&gt;=5,"A+",IF('Data Source'!Z559&gt;=4,"A",IF('Data Source'!Z559&gt;=3.5,"A-",IF('Data Source'!Z559&gt;=3,"B",IF('Data Source'!Z559&gt;=2,"C",IF('Data Source'!Z559&gt;=1,"D","F")))))),"")</f>
        <v/>
      </c>
      <c r="I559" s="3">
        <f>IF(AND('Data Source'!B559&lt;&gt;"",'Data Source'!S559="F"),IF('Data Source'!AA559&gt;=5,"A+",IF('Data Source'!AA559&gt;=4,"A",IF('Data Source'!AA559&gt;=3.5,"A-",IF('Data Source'!AA559&gt;=3,"B",IF('Data Source'!AA559&gt;=2,"C",IF('Data Source'!AA559&gt;=1,"D","F")))))),"")</f>
        <v/>
      </c>
      <c r="J559" s="3">
        <f>IF(AND('Data Source'!B559&lt;&gt;"",'Data Source'!S559="F"),IF('Data Source'!AB559&gt;=5,"A+",IF('Data Source'!AB559&gt;=4,"A",IF('Data Source'!AB559&gt;=3.5,"A-",IF('Data Source'!AB559&gt;=3,"B",IF('Data Source'!AB559&gt;=2,"C",IF('Data Source'!AB559&gt;=1,"D","F")))))),"")</f>
        <v/>
      </c>
      <c r="K559" s="3">
        <f>IF(AND('Data Source'!B559&lt;&gt;"",'Data Source'!S559="F"),IF('Data Source'!AC559&gt;=5,"A+",IF('Data Source'!AC559&gt;=4,"A",IF('Data Source'!AC559&gt;=3.5,"A-",IF('Data Source'!AC559&gt;=3,"B",IF('Data Source'!AC559&gt;=2,"C",IF('Data Source'!AC559&gt;=1,"D","F")))))),"")</f>
        <v/>
      </c>
      <c r="L559" s="3">
        <f>IF(AND('Data Source'!B559&lt;&gt;"",'Data Source'!S559="F"),IF('Data Source'!AD559&gt;=5,"A+",IF('Data Source'!AD559&gt;=4,"A",IF('Data Source'!AD559&gt;=3.5,"A-",IF('Data Source'!AD559&gt;=3,"B",IF('Data Source'!AD559&gt;=2,"C",IF('Data Source'!AD559&gt;=1,"D","F")))))),"")</f>
        <v/>
      </c>
      <c r="M559" s="3">
        <f>IF(AND('Data Source'!B559&lt;&gt;"",'Data Source'!S559="F"),IF('Data Source'!AE559&gt;=5,"A+",IF('Data Source'!AE559&gt;=4,"A",IF('Data Source'!AE559&gt;=3.5,"A-",IF('Data Source'!AE559&gt;=3,"B",IF('Data Source'!AE559&gt;=2,"C",IF('Data Source'!AE559&gt;=1,"D","F")))))),"")</f>
        <v/>
      </c>
      <c r="N559" s="3">
        <f>IF(AND('Data Source'!B559&lt;&gt;"",'Data Source'!S559="F"),IF('Data Source'!AF559&gt;=5,"A+",IF('Data Source'!AF559&gt;=4,"A",IF('Data Source'!AF559&gt;=3.5,"A-",IF('Data Source'!AF559&gt;=3,"B",IF('Data Source'!AF559&gt;=2,"C",IF('Data Source'!AF559&gt;=1,"D","F")))))),"")</f>
        <v/>
      </c>
      <c r="O559" s="3">
        <f>IF(AND('Data Source'!B559&lt;&gt;"",'Data Source'!S559="F"),IF('Data Source'!AG559&gt;=5,"A+",IF('Data Source'!AG559&gt;=4,"A",IF('Data Source'!AG559&gt;=3.5,"A-",IF('Data Source'!AG559&gt;=3,"B",IF('Data Source'!AG559&gt;=2,"C",IF('Data Source'!AG559&gt;=1,"D","F")))))),"")</f>
        <v/>
      </c>
      <c r="P559" s="5">
        <f>IF(AND('Data Source'!B559&lt;&gt;"",'Data Source'!S559="F"),'Data Source'!R559,"")</f>
        <v/>
      </c>
      <c r="Q559" s="3">
        <f>IF(AND('Data Source'!B559&lt;&gt;"",'Data Source'!S559="F"),'Data Source'!S559,"")</f>
        <v/>
      </c>
    </row>
    <row r="560">
      <c r="A560" s="3">
        <f>IF(AND('Data Source'!B560&lt;&gt;"",'Data Source'!S560="F"),COUNTIF('Data Source'!$S$3:S560,"F"),"")</f>
        <v/>
      </c>
      <c r="B560">
        <f>IF(AND('Data Source'!B560&lt;&gt;"",'Data Source'!S560="F"),'Data Source'!B560,"")</f>
        <v/>
      </c>
      <c r="C560" s="3">
        <f>IF(AND('Data Source'!B560&lt;&gt;"",'Data Source'!S560="F"),IF('Data Source'!U560&gt;=5,"A+",IF('Data Source'!U560&gt;=4,"A",IF('Data Source'!U560&gt;=3.5,"A-",IF('Data Source'!U560&gt;=3,"B",IF('Data Source'!U560&gt;=2,"C",IF('Data Source'!U560&gt;=1,"D","F")))))),"")</f>
        <v/>
      </c>
      <c r="D560" s="3">
        <f>IF(AND('Data Source'!B560&lt;&gt;"",'Data Source'!S560="F"),IF('Data Source'!V560&gt;=5,"A+",IF('Data Source'!V560&gt;=4,"A",IF('Data Source'!V560&gt;=3.5,"A-",IF('Data Source'!V560&gt;=3,"B",IF('Data Source'!V560&gt;=2,"C",IF('Data Source'!V560&gt;=1,"D","F")))))),"")</f>
        <v/>
      </c>
      <c r="E560" s="3">
        <f>IF(AND('Data Source'!B560&lt;&gt;"",'Data Source'!S560="F"),IF('Data Source'!W560&gt;=5,"A+",IF('Data Source'!W560&gt;=4,"A",IF('Data Source'!W560&gt;=3.5,"A-",IF('Data Source'!W560&gt;=3,"B",IF('Data Source'!W560&gt;=2,"C",IF('Data Source'!W560&gt;=1,"D","F")))))),"")</f>
        <v/>
      </c>
      <c r="F560" s="3">
        <f>IF(AND('Data Source'!B560&lt;&gt;"",'Data Source'!S560="F"),IF('Data Source'!X560&gt;=5,"A+",IF('Data Source'!X560&gt;=4,"A",IF('Data Source'!X560&gt;=3.5,"A-",IF('Data Source'!X560&gt;=3,"B",IF('Data Source'!X560&gt;=2,"C",IF('Data Source'!X560&gt;=1,"D","F")))))),"")</f>
        <v/>
      </c>
      <c r="G560" s="3">
        <f>IF(AND('Data Source'!B560&lt;&gt;"",'Data Source'!S560="F"),IF('Data Source'!Y560&gt;=5,"A+",IF('Data Source'!Y560&gt;=4,"A",IF('Data Source'!Y560&gt;=3.5,"A-",IF('Data Source'!Y560&gt;=3,"B",IF('Data Source'!Y560&gt;=2,"C",IF('Data Source'!Y560&gt;=1,"D","F")))))),"")</f>
        <v/>
      </c>
      <c r="H560" s="3">
        <f>IF(AND('Data Source'!B560&lt;&gt;"",'Data Source'!S560="F"),IF('Data Source'!Z560&gt;=5,"A+",IF('Data Source'!Z560&gt;=4,"A",IF('Data Source'!Z560&gt;=3.5,"A-",IF('Data Source'!Z560&gt;=3,"B",IF('Data Source'!Z560&gt;=2,"C",IF('Data Source'!Z560&gt;=1,"D","F")))))),"")</f>
        <v/>
      </c>
      <c r="I560" s="3">
        <f>IF(AND('Data Source'!B560&lt;&gt;"",'Data Source'!S560="F"),IF('Data Source'!AA560&gt;=5,"A+",IF('Data Source'!AA560&gt;=4,"A",IF('Data Source'!AA560&gt;=3.5,"A-",IF('Data Source'!AA560&gt;=3,"B",IF('Data Source'!AA560&gt;=2,"C",IF('Data Source'!AA560&gt;=1,"D","F")))))),"")</f>
        <v/>
      </c>
      <c r="J560" s="3">
        <f>IF(AND('Data Source'!B560&lt;&gt;"",'Data Source'!S560="F"),IF('Data Source'!AB560&gt;=5,"A+",IF('Data Source'!AB560&gt;=4,"A",IF('Data Source'!AB560&gt;=3.5,"A-",IF('Data Source'!AB560&gt;=3,"B",IF('Data Source'!AB560&gt;=2,"C",IF('Data Source'!AB560&gt;=1,"D","F")))))),"")</f>
        <v/>
      </c>
      <c r="K560" s="3">
        <f>IF(AND('Data Source'!B560&lt;&gt;"",'Data Source'!S560="F"),IF('Data Source'!AC560&gt;=5,"A+",IF('Data Source'!AC560&gt;=4,"A",IF('Data Source'!AC560&gt;=3.5,"A-",IF('Data Source'!AC560&gt;=3,"B",IF('Data Source'!AC560&gt;=2,"C",IF('Data Source'!AC560&gt;=1,"D","F")))))),"")</f>
        <v/>
      </c>
      <c r="L560" s="3">
        <f>IF(AND('Data Source'!B560&lt;&gt;"",'Data Source'!S560="F"),IF('Data Source'!AD560&gt;=5,"A+",IF('Data Source'!AD560&gt;=4,"A",IF('Data Source'!AD560&gt;=3.5,"A-",IF('Data Source'!AD560&gt;=3,"B",IF('Data Source'!AD560&gt;=2,"C",IF('Data Source'!AD560&gt;=1,"D","F")))))),"")</f>
        <v/>
      </c>
      <c r="M560" s="3">
        <f>IF(AND('Data Source'!B560&lt;&gt;"",'Data Source'!S560="F"),IF('Data Source'!AE560&gt;=5,"A+",IF('Data Source'!AE560&gt;=4,"A",IF('Data Source'!AE560&gt;=3.5,"A-",IF('Data Source'!AE560&gt;=3,"B",IF('Data Source'!AE560&gt;=2,"C",IF('Data Source'!AE560&gt;=1,"D","F")))))),"")</f>
        <v/>
      </c>
      <c r="N560" s="3">
        <f>IF(AND('Data Source'!B560&lt;&gt;"",'Data Source'!S560="F"),IF('Data Source'!AF560&gt;=5,"A+",IF('Data Source'!AF560&gt;=4,"A",IF('Data Source'!AF560&gt;=3.5,"A-",IF('Data Source'!AF560&gt;=3,"B",IF('Data Source'!AF560&gt;=2,"C",IF('Data Source'!AF560&gt;=1,"D","F")))))),"")</f>
        <v/>
      </c>
      <c r="O560" s="3">
        <f>IF(AND('Data Source'!B560&lt;&gt;"",'Data Source'!S560="F"),IF('Data Source'!AG560&gt;=5,"A+",IF('Data Source'!AG560&gt;=4,"A",IF('Data Source'!AG560&gt;=3.5,"A-",IF('Data Source'!AG560&gt;=3,"B",IF('Data Source'!AG560&gt;=2,"C",IF('Data Source'!AG560&gt;=1,"D","F")))))),"")</f>
        <v/>
      </c>
      <c r="P560" s="5">
        <f>IF(AND('Data Source'!B560&lt;&gt;"",'Data Source'!S560="F"),'Data Source'!R560,"")</f>
        <v/>
      </c>
      <c r="Q560" s="3">
        <f>IF(AND('Data Source'!B560&lt;&gt;"",'Data Source'!S560="F"),'Data Source'!S560,"")</f>
        <v/>
      </c>
    </row>
    <row r="561">
      <c r="A561" s="3">
        <f>IF(AND('Data Source'!B561&lt;&gt;"",'Data Source'!S561="F"),COUNTIF('Data Source'!$S$3:S561,"F"),"")</f>
        <v/>
      </c>
      <c r="B561">
        <f>IF(AND('Data Source'!B561&lt;&gt;"",'Data Source'!S561="F"),'Data Source'!B561,"")</f>
        <v/>
      </c>
      <c r="C561" s="3">
        <f>IF(AND('Data Source'!B561&lt;&gt;"",'Data Source'!S561="F"),IF('Data Source'!U561&gt;=5,"A+",IF('Data Source'!U561&gt;=4,"A",IF('Data Source'!U561&gt;=3.5,"A-",IF('Data Source'!U561&gt;=3,"B",IF('Data Source'!U561&gt;=2,"C",IF('Data Source'!U561&gt;=1,"D","F")))))),"")</f>
        <v/>
      </c>
      <c r="D561" s="3">
        <f>IF(AND('Data Source'!B561&lt;&gt;"",'Data Source'!S561="F"),IF('Data Source'!V561&gt;=5,"A+",IF('Data Source'!V561&gt;=4,"A",IF('Data Source'!V561&gt;=3.5,"A-",IF('Data Source'!V561&gt;=3,"B",IF('Data Source'!V561&gt;=2,"C",IF('Data Source'!V561&gt;=1,"D","F")))))),"")</f>
        <v/>
      </c>
      <c r="E561" s="3">
        <f>IF(AND('Data Source'!B561&lt;&gt;"",'Data Source'!S561="F"),IF('Data Source'!W561&gt;=5,"A+",IF('Data Source'!W561&gt;=4,"A",IF('Data Source'!W561&gt;=3.5,"A-",IF('Data Source'!W561&gt;=3,"B",IF('Data Source'!W561&gt;=2,"C",IF('Data Source'!W561&gt;=1,"D","F")))))),"")</f>
        <v/>
      </c>
      <c r="F561" s="3">
        <f>IF(AND('Data Source'!B561&lt;&gt;"",'Data Source'!S561="F"),IF('Data Source'!X561&gt;=5,"A+",IF('Data Source'!X561&gt;=4,"A",IF('Data Source'!X561&gt;=3.5,"A-",IF('Data Source'!X561&gt;=3,"B",IF('Data Source'!X561&gt;=2,"C",IF('Data Source'!X561&gt;=1,"D","F")))))),"")</f>
        <v/>
      </c>
      <c r="G561" s="3">
        <f>IF(AND('Data Source'!B561&lt;&gt;"",'Data Source'!S561="F"),IF('Data Source'!Y561&gt;=5,"A+",IF('Data Source'!Y561&gt;=4,"A",IF('Data Source'!Y561&gt;=3.5,"A-",IF('Data Source'!Y561&gt;=3,"B",IF('Data Source'!Y561&gt;=2,"C",IF('Data Source'!Y561&gt;=1,"D","F")))))),"")</f>
        <v/>
      </c>
      <c r="H561" s="3">
        <f>IF(AND('Data Source'!B561&lt;&gt;"",'Data Source'!S561="F"),IF('Data Source'!Z561&gt;=5,"A+",IF('Data Source'!Z561&gt;=4,"A",IF('Data Source'!Z561&gt;=3.5,"A-",IF('Data Source'!Z561&gt;=3,"B",IF('Data Source'!Z561&gt;=2,"C",IF('Data Source'!Z561&gt;=1,"D","F")))))),"")</f>
        <v/>
      </c>
      <c r="I561" s="3">
        <f>IF(AND('Data Source'!B561&lt;&gt;"",'Data Source'!S561="F"),IF('Data Source'!AA561&gt;=5,"A+",IF('Data Source'!AA561&gt;=4,"A",IF('Data Source'!AA561&gt;=3.5,"A-",IF('Data Source'!AA561&gt;=3,"B",IF('Data Source'!AA561&gt;=2,"C",IF('Data Source'!AA561&gt;=1,"D","F")))))),"")</f>
        <v/>
      </c>
      <c r="J561" s="3">
        <f>IF(AND('Data Source'!B561&lt;&gt;"",'Data Source'!S561="F"),IF('Data Source'!AB561&gt;=5,"A+",IF('Data Source'!AB561&gt;=4,"A",IF('Data Source'!AB561&gt;=3.5,"A-",IF('Data Source'!AB561&gt;=3,"B",IF('Data Source'!AB561&gt;=2,"C",IF('Data Source'!AB561&gt;=1,"D","F")))))),"")</f>
        <v/>
      </c>
      <c r="K561" s="3">
        <f>IF(AND('Data Source'!B561&lt;&gt;"",'Data Source'!S561="F"),IF('Data Source'!AC561&gt;=5,"A+",IF('Data Source'!AC561&gt;=4,"A",IF('Data Source'!AC561&gt;=3.5,"A-",IF('Data Source'!AC561&gt;=3,"B",IF('Data Source'!AC561&gt;=2,"C",IF('Data Source'!AC561&gt;=1,"D","F")))))),"")</f>
        <v/>
      </c>
      <c r="L561" s="3">
        <f>IF(AND('Data Source'!B561&lt;&gt;"",'Data Source'!S561="F"),IF('Data Source'!AD561&gt;=5,"A+",IF('Data Source'!AD561&gt;=4,"A",IF('Data Source'!AD561&gt;=3.5,"A-",IF('Data Source'!AD561&gt;=3,"B",IF('Data Source'!AD561&gt;=2,"C",IF('Data Source'!AD561&gt;=1,"D","F")))))),"")</f>
        <v/>
      </c>
      <c r="M561" s="3">
        <f>IF(AND('Data Source'!B561&lt;&gt;"",'Data Source'!S561="F"),IF('Data Source'!AE561&gt;=5,"A+",IF('Data Source'!AE561&gt;=4,"A",IF('Data Source'!AE561&gt;=3.5,"A-",IF('Data Source'!AE561&gt;=3,"B",IF('Data Source'!AE561&gt;=2,"C",IF('Data Source'!AE561&gt;=1,"D","F")))))),"")</f>
        <v/>
      </c>
      <c r="N561" s="3">
        <f>IF(AND('Data Source'!B561&lt;&gt;"",'Data Source'!S561="F"),IF('Data Source'!AF561&gt;=5,"A+",IF('Data Source'!AF561&gt;=4,"A",IF('Data Source'!AF561&gt;=3.5,"A-",IF('Data Source'!AF561&gt;=3,"B",IF('Data Source'!AF561&gt;=2,"C",IF('Data Source'!AF561&gt;=1,"D","F")))))),"")</f>
        <v/>
      </c>
      <c r="O561" s="3">
        <f>IF(AND('Data Source'!B561&lt;&gt;"",'Data Source'!S561="F"),IF('Data Source'!AG561&gt;=5,"A+",IF('Data Source'!AG561&gt;=4,"A",IF('Data Source'!AG561&gt;=3.5,"A-",IF('Data Source'!AG561&gt;=3,"B",IF('Data Source'!AG561&gt;=2,"C",IF('Data Source'!AG561&gt;=1,"D","F")))))),"")</f>
        <v/>
      </c>
      <c r="P561" s="5">
        <f>IF(AND('Data Source'!B561&lt;&gt;"",'Data Source'!S561="F"),'Data Source'!R561,"")</f>
        <v/>
      </c>
      <c r="Q561" s="3">
        <f>IF(AND('Data Source'!B561&lt;&gt;"",'Data Source'!S561="F"),'Data Source'!S561,"")</f>
        <v/>
      </c>
    </row>
    <row r="562">
      <c r="A562" s="3">
        <f>IF(AND('Data Source'!B562&lt;&gt;"",'Data Source'!S562="F"),COUNTIF('Data Source'!$S$3:S562,"F"),"")</f>
        <v/>
      </c>
      <c r="B562">
        <f>IF(AND('Data Source'!B562&lt;&gt;"",'Data Source'!S562="F"),'Data Source'!B562,"")</f>
        <v/>
      </c>
      <c r="C562" s="3">
        <f>IF(AND('Data Source'!B562&lt;&gt;"",'Data Source'!S562="F"),IF('Data Source'!U562&gt;=5,"A+",IF('Data Source'!U562&gt;=4,"A",IF('Data Source'!U562&gt;=3.5,"A-",IF('Data Source'!U562&gt;=3,"B",IF('Data Source'!U562&gt;=2,"C",IF('Data Source'!U562&gt;=1,"D","F")))))),"")</f>
        <v/>
      </c>
      <c r="D562" s="3">
        <f>IF(AND('Data Source'!B562&lt;&gt;"",'Data Source'!S562="F"),IF('Data Source'!V562&gt;=5,"A+",IF('Data Source'!V562&gt;=4,"A",IF('Data Source'!V562&gt;=3.5,"A-",IF('Data Source'!V562&gt;=3,"B",IF('Data Source'!V562&gt;=2,"C",IF('Data Source'!V562&gt;=1,"D","F")))))),"")</f>
        <v/>
      </c>
      <c r="E562" s="3">
        <f>IF(AND('Data Source'!B562&lt;&gt;"",'Data Source'!S562="F"),IF('Data Source'!W562&gt;=5,"A+",IF('Data Source'!W562&gt;=4,"A",IF('Data Source'!W562&gt;=3.5,"A-",IF('Data Source'!W562&gt;=3,"B",IF('Data Source'!W562&gt;=2,"C",IF('Data Source'!W562&gt;=1,"D","F")))))),"")</f>
        <v/>
      </c>
      <c r="F562" s="3">
        <f>IF(AND('Data Source'!B562&lt;&gt;"",'Data Source'!S562="F"),IF('Data Source'!X562&gt;=5,"A+",IF('Data Source'!X562&gt;=4,"A",IF('Data Source'!X562&gt;=3.5,"A-",IF('Data Source'!X562&gt;=3,"B",IF('Data Source'!X562&gt;=2,"C",IF('Data Source'!X562&gt;=1,"D","F")))))),"")</f>
        <v/>
      </c>
      <c r="G562" s="3">
        <f>IF(AND('Data Source'!B562&lt;&gt;"",'Data Source'!S562="F"),IF('Data Source'!Y562&gt;=5,"A+",IF('Data Source'!Y562&gt;=4,"A",IF('Data Source'!Y562&gt;=3.5,"A-",IF('Data Source'!Y562&gt;=3,"B",IF('Data Source'!Y562&gt;=2,"C",IF('Data Source'!Y562&gt;=1,"D","F")))))),"")</f>
        <v/>
      </c>
      <c r="H562" s="3">
        <f>IF(AND('Data Source'!B562&lt;&gt;"",'Data Source'!S562="F"),IF('Data Source'!Z562&gt;=5,"A+",IF('Data Source'!Z562&gt;=4,"A",IF('Data Source'!Z562&gt;=3.5,"A-",IF('Data Source'!Z562&gt;=3,"B",IF('Data Source'!Z562&gt;=2,"C",IF('Data Source'!Z562&gt;=1,"D","F")))))),"")</f>
        <v/>
      </c>
      <c r="I562" s="3">
        <f>IF(AND('Data Source'!B562&lt;&gt;"",'Data Source'!S562="F"),IF('Data Source'!AA562&gt;=5,"A+",IF('Data Source'!AA562&gt;=4,"A",IF('Data Source'!AA562&gt;=3.5,"A-",IF('Data Source'!AA562&gt;=3,"B",IF('Data Source'!AA562&gt;=2,"C",IF('Data Source'!AA562&gt;=1,"D","F")))))),"")</f>
        <v/>
      </c>
      <c r="J562" s="3">
        <f>IF(AND('Data Source'!B562&lt;&gt;"",'Data Source'!S562="F"),IF('Data Source'!AB562&gt;=5,"A+",IF('Data Source'!AB562&gt;=4,"A",IF('Data Source'!AB562&gt;=3.5,"A-",IF('Data Source'!AB562&gt;=3,"B",IF('Data Source'!AB562&gt;=2,"C",IF('Data Source'!AB562&gt;=1,"D","F")))))),"")</f>
        <v/>
      </c>
      <c r="K562" s="3">
        <f>IF(AND('Data Source'!B562&lt;&gt;"",'Data Source'!S562="F"),IF('Data Source'!AC562&gt;=5,"A+",IF('Data Source'!AC562&gt;=4,"A",IF('Data Source'!AC562&gt;=3.5,"A-",IF('Data Source'!AC562&gt;=3,"B",IF('Data Source'!AC562&gt;=2,"C",IF('Data Source'!AC562&gt;=1,"D","F")))))),"")</f>
        <v/>
      </c>
      <c r="L562" s="3">
        <f>IF(AND('Data Source'!B562&lt;&gt;"",'Data Source'!S562="F"),IF('Data Source'!AD562&gt;=5,"A+",IF('Data Source'!AD562&gt;=4,"A",IF('Data Source'!AD562&gt;=3.5,"A-",IF('Data Source'!AD562&gt;=3,"B",IF('Data Source'!AD562&gt;=2,"C",IF('Data Source'!AD562&gt;=1,"D","F")))))),"")</f>
        <v/>
      </c>
      <c r="M562" s="3">
        <f>IF(AND('Data Source'!B562&lt;&gt;"",'Data Source'!S562="F"),IF('Data Source'!AE562&gt;=5,"A+",IF('Data Source'!AE562&gt;=4,"A",IF('Data Source'!AE562&gt;=3.5,"A-",IF('Data Source'!AE562&gt;=3,"B",IF('Data Source'!AE562&gt;=2,"C",IF('Data Source'!AE562&gt;=1,"D","F")))))),"")</f>
        <v/>
      </c>
      <c r="N562" s="3">
        <f>IF(AND('Data Source'!B562&lt;&gt;"",'Data Source'!S562="F"),IF('Data Source'!AF562&gt;=5,"A+",IF('Data Source'!AF562&gt;=4,"A",IF('Data Source'!AF562&gt;=3.5,"A-",IF('Data Source'!AF562&gt;=3,"B",IF('Data Source'!AF562&gt;=2,"C",IF('Data Source'!AF562&gt;=1,"D","F")))))),"")</f>
        <v/>
      </c>
      <c r="O562" s="3">
        <f>IF(AND('Data Source'!B562&lt;&gt;"",'Data Source'!S562="F"),IF('Data Source'!AG562&gt;=5,"A+",IF('Data Source'!AG562&gt;=4,"A",IF('Data Source'!AG562&gt;=3.5,"A-",IF('Data Source'!AG562&gt;=3,"B",IF('Data Source'!AG562&gt;=2,"C",IF('Data Source'!AG562&gt;=1,"D","F")))))),"")</f>
        <v/>
      </c>
      <c r="P562" s="5">
        <f>IF(AND('Data Source'!B562&lt;&gt;"",'Data Source'!S562="F"),'Data Source'!R562,"")</f>
        <v/>
      </c>
      <c r="Q562" s="3">
        <f>IF(AND('Data Source'!B562&lt;&gt;"",'Data Source'!S562="F"),'Data Source'!S562,"")</f>
        <v/>
      </c>
    </row>
    <row r="563">
      <c r="A563" s="3">
        <f>IF(AND('Data Source'!B563&lt;&gt;"",'Data Source'!S563="F"),COUNTIF('Data Source'!$S$3:S563,"F"),"")</f>
        <v/>
      </c>
      <c r="B563">
        <f>IF(AND('Data Source'!B563&lt;&gt;"",'Data Source'!S563="F"),'Data Source'!B563,"")</f>
        <v/>
      </c>
      <c r="C563" s="3">
        <f>IF(AND('Data Source'!B563&lt;&gt;"",'Data Source'!S563="F"),IF('Data Source'!U563&gt;=5,"A+",IF('Data Source'!U563&gt;=4,"A",IF('Data Source'!U563&gt;=3.5,"A-",IF('Data Source'!U563&gt;=3,"B",IF('Data Source'!U563&gt;=2,"C",IF('Data Source'!U563&gt;=1,"D","F")))))),"")</f>
        <v/>
      </c>
      <c r="D563" s="3">
        <f>IF(AND('Data Source'!B563&lt;&gt;"",'Data Source'!S563="F"),IF('Data Source'!V563&gt;=5,"A+",IF('Data Source'!V563&gt;=4,"A",IF('Data Source'!V563&gt;=3.5,"A-",IF('Data Source'!V563&gt;=3,"B",IF('Data Source'!V563&gt;=2,"C",IF('Data Source'!V563&gt;=1,"D","F")))))),"")</f>
        <v/>
      </c>
      <c r="E563" s="3">
        <f>IF(AND('Data Source'!B563&lt;&gt;"",'Data Source'!S563="F"),IF('Data Source'!W563&gt;=5,"A+",IF('Data Source'!W563&gt;=4,"A",IF('Data Source'!W563&gt;=3.5,"A-",IF('Data Source'!W563&gt;=3,"B",IF('Data Source'!W563&gt;=2,"C",IF('Data Source'!W563&gt;=1,"D","F")))))),"")</f>
        <v/>
      </c>
      <c r="F563" s="3">
        <f>IF(AND('Data Source'!B563&lt;&gt;"",'Data Source'!S563="F"),IF('Data Source'!X563&gt;=5,"A+",IF('Data Source'!X563&gt;=4,"A",IF('Data Source'!X563&gt;=3.5,"A-",IF('Data Source'!X563&gt;=3,"B",IF('Data Source'!X563&gt;=2,"C",IF('Data Source'!X563&gt;=1,"D","F")))))),"")</f>
        <v/>
      </c>
      <c r="G563" s="3">
        <f>IF(AND('Data Source'!B563&lt;&gt;"",'Data Source'!S563="F"),IF('Data Source'!Y563&gt;=5,"A+",IF('Data Source'!Y563&gt;=4,"A",IF('Data Source'!Y563&gt;=3.5,"A-",IF('Data Source'!Y563&gt;=3,"B",IF('Data Source'!Y563&gt;=2,"C",IF('Data Source'!Y563&gt;=1,"D","F")))))),"")</f>
        <v/>
      </c>
      <c r="H563" s="3">
        <f>IF(AND('Data Source'!B563&lt;&gt;"",'Data Source'!S563="F"),IF('Data Source'!Z563&gt;=5,"A+",IF('Data Source'!Z563&gt;=4,"A",IF('Data Source'!Z563&gt;=3.5,"A-",IF('Data Source'!Z563&gt;=3,"B",IF('Data Source'!Z563&gt;=2,"C",IF('Data Source'!Z563&gt;=1,"D","F")))))),"")</f>
        <v/>
      </c>
      <c r="I563" s="3">
        <f>IF(AND('Data Source'!B563&lt;&gt;"",'Data Source'!S563="F"),IF('Data Source'!AA563&gt;=5,"A+",IF('Data Source'!AA563&gt;=4,"A",IF('Data Source'!AA563&gt;=3.5,"A-",IF('Data Source'!AA563&gt;=3,"B",IF('Data Source'!AA563&gt;=2,"C",IF('Data Source'!AA563&gt;=1,"D","F")))))),"")</f>
        <v/>
      </c>
      <c r="J563" s="3">
        <f>IF(AND('Data Source'!B563&lt;&gt;"",'Data Source'!S563="F"),IF('Data Source'!AB563&gt;=5,"A+",IF('Data Source'!AB563&gt;=4,"A",IF('Data Source'!AB563&gt;=3.5,"A-",IF('Data Source'!AB563&gt;=3,"B",IF('Data Source'!AB563&gt;=2,"C",IF('Data Source'!AB563&gt;=1,"D","F")))))),"")</f>
        <v/>
      </c>
      <c r="K563" s="3">
        <f>IF(AND('Data Source'!B563&lt;&gt;"",'Data Source'!S563="F"),IF('Data Source'!AC563&gt;=5,"A+",IF('Data Source'!AC563&gt;=4,"A",IF('Data Source'!AC563&gt;=3.5,"A-",IF('Data Source'!AC563&gt;=3,"B",IF('Data Source'!AC563&gt;=2,"C",IF('Data Source'!AC563&gt;=1,"D","F")))))),"")</f>
        <v/>
      </c>
      <c r="L563" s="3">
        <f>IF(AND('Data Source'!B563&lt;&gt;"",'Data Source'!S563="F"),IF('Data Source'!AD563&gt;=5,"A+",IF('Data Source'!AD563&gt;=4,"A",IF('Data Source'!AD563&gt;=3.5,"A-",IF('Data Source'!AD563&gt;=3,"B",IF('Data Source'!AD563&gt;=2,"C",IF('Data Source'!AD563&gt;=1,"D","F")))))),"")</f>
        <v/>
      </c>
      <c r="M563" s="3">
        <f>IF(AND('Data Source'!B563&lt;&gt;"",'Data Source'!S563="F"),IF('Data Source'!AE563&gt;=5,"A+",IF('Data Source'!AE563&gt;=4,"A",IF('Data Source'!AE563&gt;=3.5,"A-",IF('Data Source'!AE563&gt;=3,"B",IF('Data Source'!AE563&gt;=2,"C",IF('Data Source'!AE563&gt;=1,"D","F")))))),"")</f>
        <v/>
      </c>
      <c r="N563" s="3">
        <f>IF(AND('Data Source'!B563&lt;&gt;"",'Data Source'!S563="F"),IF('Data Source'!AF563&gt;=5,"A+",IF('Data Source'!AF563&gt;=4,"A",IF('Data Source'!AF563&gt;=3.5,"A-",IF('Data Source'!AF563&gt;=3,"B",IF('Data Source'!AF563&gt;=2,"C",IF('Data Source'!AF563&gt;=1,"D","F")))))),"")</f>
        <v/>
      </c>
      <c r="O563" s="3">
        <f>IF(AND('Data Source'!B563&lt;&gt;"",'Data Source'!S563="F"),IF('Data Source'!AG563&gt;=5,"A+",IF('Data Source'!AG563&gt;=4,"A",IF('Data Source'!AG563&gt;=3.5,"A-",IF('Data Source'!AG563&gt;=3,"B",IF('Data Source'!AG563&gt;=2,"C",IF('Data Source'!AG563&gt;=1,"D","F")))))),"")</f>
        <v/>
      </c>
      <c r="P563" s="5">
        <f>IF(AND('Data Source'!B563&lt;&gt;"",'Data Source'!S563="F"),'Data Source'!R563,"")</f>
        <v/>
      </c>
      <c r="Q563" s="3">
        <f>IF(AND('Data Source'!B563&lt;&gt;"",'Data Source'!S563="F"),'Data Source'!S563,"")</f>
        <v/>
      </c>
    </row>
    <row r="564">
      <c r="A564" s="3">
        <f>IF(AND('Data Source'!B564&lt;&gt;"",'Data Source'!S564="F"),COUNTIF('Data Source'!$S$3:S564,"F"),"")</f>
        <v/>
      </c>
      <c r="B564">
        <f>IF(AND('Data Source'!B564&lt;&gt;"",'Data Source'!S564="F"),'Data Source'!B564,"")</f>
        <v/>
      </c>
      <c r="C564" s="3">
        <f>IF(AND('Data Source'!B564&lt;&gt;"",'Data Source'!S564="F"),IF('Data Source'!U564&gt;=5,"A+",IF('Data Source'!U564&gt;=4,"A",IF('Data Source'!U564&gt;=3.5,"A-",IF('Data Source'!U564&gt;=3,"B",IF('Data Source'!U564&gt;=2,"C",IF('Data Source'!U564&gt;=1,"D","F")))))),"")</f>
        <v/>
      </c>
      <c r="D564" s="3">
        <f>IF(AND('Data Source'!B564&lt;&gt;"",'Data Source'!S564="F"),IF('Data Source'!V564&gt;=5,"A+",IF('Data Source'!V564&gt;=4,"A",IF('Data Source'!V564&gt;=3.5,"A-",IF('Data Source'!V564&gt;=3,"B",IF('Data Source'!V564&gt;=2,"C",IF('Data Source'!V564&gt;=1,"D","F")))))),"")</f>
        <v/>
      </c>
      <c r="E564" s="3">
        <f>IF(AND('Data Source'!B564&lt;&gt;"",'Data Source'!S564="F"),IF('Data Source'!W564&gt;=5,"A+",IF('Data Source'!W564&gt;=4,"A",IF('Data Source'!W564&gt;=3.5,"A-",IF('Data Source'!W564&gt;=3,"B",IF('Data Source'!W564&gt;=2,"C",IF('Data Source'!W564&gt;=1,"D","F")))))),"")</f>
        <v/>
      </c>
      <c r="F564" s="3">
        <f>IF(AND('Data Source'!B564&lt;&gt;"",'Data Source'!S564="F"),IF('Data Source'!X564&gt;=5,"A+",IF('Data Source'!X564&gt;=4,"A",IF('Data Source'!X564&gt;=3.5,"A-",IF('Data Source'!X564&gt;=3,"B",IF('Data Source'!X564&gt;=2,"C",IF('Data Source'!X564&gt;=1,"D","F")))))),"")</f>
        <v/>
      </c>
      <c r="G564" s="3">
        <f>IF(AND('Data Source'!B564&lt;&gt;"",'Data Source'!S564="F"),IF('Data Source'!Y564&gt;=5,"A+",IF('Data Source'!Y564&gt;=4,"A",IF('Data Source'!Y564&gt;=3.5,"A-",IF('Data Source'!Y564&gt;=3,"B",IF('Data Source'!Y564&gt;=2,"C",IF('Data Source'!Y564&gt;=1,"D","F")))))),"")</f>
        <v/>
      </c>
      <c r="H564" s="3">
        <f>IF(AND('Data Source'!B564&lt;&gt;"",'Data Source'!S564="F"),IF('Data Source'!Z564&gt;=5,"A+",IF('Data Source'!Z564&gt;=4,"A",IF('Data Source'!Z564&gt;=3.5,"A-",IF('Data Source'!Z564&gt;=3,"B",IF('Data Source'!Z564&gt;=2,"C",IF('Data Source'!Z564&gt;=1,"D","F")))))),"")</f>
        <v/>
      </c>
      <c r="I564" s="3">
        <f>IF(AND('Data Source'!B564&lt;&gt;"",'Data Source'!S564="F"),IF('Data Source'!AA564&gt;=5,"A+",IF('Data Source'!AA564&gt;=4,"A",IF('Data Source'!AA564&gt;=3.5,"A-",IF('Data Source'!AA564&gt;=3,"B",IF('Data Source'!AA564&gt;=2,"C",IF('Data Source'!AA564&gt;=1,"D","F")))))),"")</f>
        <v/>
      </c>
      <c r="J564" s="3">
        <f>IF(AND('Data Source'!B564&lt;&gt;"",'Data Source'!S564="F"),IF('Data Source'!AB564&gt;=5,"A+",IF('Data Source'!AB564&gt;=4,"A",IF('Data Source'!AB564&gt;=3.5,"A-",IF('Data Source'!AB564&gt;=3,"B",IF('Data Source'!AB564&gt;=2,"C",IF('Data Source'!AB564&gt;=1,"D","F")))))),"")</f>
        <v/>
      </c>
      <c r="K564" s="3">
        <f>IF(AND('Data Source'!B564&lt;&gt;"",'Data Source'!S564="F"),IF('Data Source'!AC564&gt;=5,"A+",IF('Data Source'!AC564&gt;=4,"A",IF('Data Source'!AC564&gt;=3.5,"A-",IF('Data Source'!AC564&gt;=3,"B",IF('Data Source'!AC564&gt;=2,"C",IF('Data Source'!AC564&gt;=1,"D","F")))))),"")</f>
        <v/>
      </c>
      <c r="L564" s="3">
        <f>IF(AND('Data Source'!B564&lt;&gt;"",'Data Source'!S564="F"),IF('Data Source'!AD564&gt;=5,"A+",IF('Data Source'!AD564&gt;=4,"A",IF('Data Source'!AD564&gt;=3.5,"A-",IF('Data Source'!AD564&gt;=3,"B",IF('Data Source'!AD564&gt;=2,"C",IF('Data Source'!AD564&gt;=1,"D","F")))))),"")</f>
        <v/>
      </c>
      <c r="M564" s="3">
        <f>IF(AND('Data Source'!B564&lt;&gt;"",'Data Source'!S564="F"),IF('Data Source'!AE564&gt;=5,"A+",IF('Data Source'!AE564&gt;=4,"A",IF('Data Source'!AE564&gt;=3.5,"A-",IF('Data Source'!AE564&gt;=3,"B",IF('Data Source'!AE564&gt;=2,"C",IF('Data Source'!AE564&gt;=1,"D","F")))))),"")</f>
        <v/>
      </c>
      <c r="N564" s="3">
        <f>IF(AND('Data Source'!B564&lt;&gt;"",'Data Source'!S564="F"),IF('Data Source'!AF564&gt;=5,"A+",IF('Data Source'!AF564&gt;=4,"A",IF('Data Source'!AF564&gt;=3.5,"A-",IF('Data Source'!AF564&gt;=3,"B",IF('Data Source'!AF564&gt;=2,"C",IF('Data Source'!AF564&gt;=1,"D","F")))))),"")</f>
        <v/>
      </c>
      <c r="O564" s="3">
        <f>IF(AND('Data Source'!B564&lt;&gt;"",'Data Source'!S564="F"),IF('Data Source'!AG564&gt;=5,"A+",IF('Data Source'!AG564&gt;=4,"A",IF('Data Source'!AG564&gt;=3.5,"A-",IF('Data Source'!AG564&gt;=3,"B",IF('Data Source'!AG564&gt;=2,"C",IF('Data Source'!AG564&gt;=1,"D","F")))))),"")</f>
        <v/>
      </c>
      <c r="P564" s="5">
        <f>IF(AND('Data Source'!B564&lt;&gt;"",'Data Source'!S564="F"),'Data Source'!R564,"")</f>
        <v/>
      </c>
      <c r="Q564" s="3">
        <f>IF(AND('Data Source'!B564&lt;&gt;"",'Data Source'!S564="F"),'Data Source'!S564,"")</f>
        <v/>
      </c>
    </row>
    <row r="565">
      <c r="A565" s="3">
        <f>IF(AND('Data Source'!B565&lt;&gt;"",'Data Source'!S565="F"),COUNTIF('Data Source'!$S$3:S565,"F"),"")</f>
        <v/>
      </c>
      <c r="B565">
        <f>IF(AND('Data Source'!B565&lt;&gt;"",'Data Source'!S565="F"),'Data Source'!B565,"")</f>
        <v/>
      </c>
      <c r="C565" s="3">
        <f>IF(AND('Data Source'!B565&lt;&gt;"",'Data Source'!S565="F"),IF('Data Source'!U565&gt;=5,"A+",IF('Data Source'!U565&gt;=4,"A",IF('Data Source'!U565&gt;=3.5,"A-",IF('Data Source'!U565&gt;=3,"B",IF('Data Source'!U565&gt;=2,"C",IF('Data Source'!U565&gt;=1,"D","F")))))),"")</f>
        <v/>
      </c>
      <c r="D565" s="3">
        <f>IF(AND('Data Source'!B565&lt;&gt;"",'Data Source'!S565="F"),IF('Data Source'!V565&gt;=5,"A+",IF('Data Source'!V565&gt;=4,"A",IF('Data Source'!V565&gt;=3.5,"A-",IF('Data Source'!V565&gt;=3,"B",IF('Data Source'!V565&gt;=2,"C",IF('Data Source'!V565&gt;=1,"D","F")))))),"")</f>
        <v/>
      </c>
      <c r="E565" s="3">
        <f>IF(AND('Data Source'!B565&lt;&gt;"",'Data Source'!S565="F"),IF('Data Source'!W565&gt;=5,"A+",IF('Data Source'!W565&gt;=4,"A",IF('Data Source'!W565&gt;=3.5,"A-",IF('Data Source'!W565&gt;=3,"B",IF('Data Source'!W565&gt;=2,"C",IF('Data Source'!W565&gt;=1,"D","F")))))),"")</f>
        <v/>
      </c>
      <c r="F565" s="3">
        <f>IF(AND('Data Source'!B565&lt;&gt;"",'Data Source'!S565="F"),IF('Data Source'!X565&gt;=5,"A+",IF('Data Source'!X565&gt;=4,"A",IF('Data Source'!X565&gt;=3.5,"A-",IF('Data Source'!X565&gt;=3,"B",IF('Data Source'!X565&gt;=2,"C",IF('Data Source'!X565&gt;=1,"D","F")))))),"")</f>
        <v/>
      </c>
      <c r="G565" s="3">
        <f>IF(AND('Data Source'!B565&lt;&gt;"",'Data Source'!S565="F"),IF('Data Source'!Y565&gt;=5,"A+",IF('Data Source'!Y565&gt;=4,"A",IF('Data Source'!Y565&gt;=3.5,"A-",IF('Data Source'!Y565&gt;=3,"B",IF('Data Source'!Y565&gt;=2,"C",IF('Data Source'!Y565&gt;=1,"D","F")))))),"")</f>
        <v/>
      </c>
      <c r="H565" s="3">
        <f>IF(AND('Data Source'!B565&lt;&gt;"",'Data Source'!S565="F"),IF('Data Source'!Z565&gt;=5,"A+",IF('Data Source'!Z565&gt;=4,"A",IF('Data Source'!Z565&gt;=3.5,"A-",IF('Data Source'!Z565&gt;=3,"B",IF('Data Source'!Z565&gt;=2,"C",IF('Data Source'!Z565&gt;=1,"D","F")))))),"")</f>
        <v/>
      </c>
      <c r="I565" s="3">
        <f>IF(AND('Data Source'!B565&lt;&gt;"",'Data Source'!S565="F"),IF('Data Source'!AA565&gt;=5,"A+",IF('Data Source'!AA565&gt;=4,"A",IF('Data Source'!AA565&gt;=3.5,"A-",IF('Data Source'!AA565&gt;=3,"B",IF('Data Source'!AA565&gt;=2,"C",IF('Data Source'!AA565&gt;=1,"D","F")))))),"")</f>
        <v/>
      </c>
      <c r="J565" s="3">
        <f>IF(AND('Data Source'!B565&lt;&gt;"",'Data Source'!S565="F"),IF('Data Source'!AB565&gt;=5,"A+",IF('Data Source'!AB565&gt;=4,"A",IF('Data Source'!AB565&gt;=3.5,"A-",IF('Data Source'!AB565&gt;=3,"B",IF('Data Source'!AB565&gt;=2,"C",IF('Data Source'!AB565&gt;=1,"D","F")))))),"")</f>
        <v/>
      </c>
      <c r="K565" s="3">
        <f>IF(AND('Data Source'!B565&lt;&gt;"",'Data Source'!S565="F"),IF('Data Source'!AC565&gt;=5,"A+",IF('Data Source'!AC565&gt;=4,"A",IF('Data Source'!AC565&gt;=3.5,"A-",IF('Data Source'!AC565&gt;=3,"B",IF('Data Source'!AC565&gt;=2,"C",IF('Data Source'!AC565&gt;=1,"D","F")))))),"")</f>
        <v/>
      </c>
      <c r="L565" s="3">
        <f>IF(AND('Data Source'!B565&lt;&gt;"",'Data Source'!S565="F"),IF('Data Source'!AD565&gt;=5,"A+",IF('Data Source'!AD565&gt;=4,"A",IF('Data Source'!AD565&gt;=3.5,"A-",IF('Data Source'!AD565&gt;=3,"B",IF('Data Source'!AD565&gt;=2,"C",IF('Data Source'!AD565&gt;=1,"D","F")))))),"")</f>
        <v/>
      </c>
      <c r="M565" s="3">
        <f>IF(AND('Data Source'!B565&lt;&gt;"",'Data Source'!S565="F"),IF('Data Source'!AE565&gt;=5,"A+",IF('Data Source'!AE565&gt;=4,"A",IF('Data Source'!AE565&gt;=3.5,"A-",IF('Data Source'!AE565&gt;=3,"B",IF('Data Source'!AE565&gt;=2,"C",IF('Data Source'!AE565&gt;=1,"D","F")))))),"")</f>
        <v/>
      </c>
      <c r="N565" s="3">
        <f>IF(AND('Data Source'!B565&lt;&gt;"",'Data Source'!S565="F"),IF('Data Source'!AF565&gt;=5,"A+",IF('Data Source'!AF565&gt;=4,"A",IF('Data Source'!AF565&gt;=3.5,"A-",IF('Data Source'!AF565&gt;=3,"B",IF('Data Source'!AF565&gt;=2,"C",IF('Data Source'!AF565&gt;=1,"D","F")))))),"")</f>
        <v/>
      </c>
      <c r="O565" s="3">
        <f>IF(AND('Data Source'!B565&lt;&gt;"",'Data Source'!S565="F"),IF('Data Source'!AG565&gt;=5,"A+",IF('Data Source'!AG565&gt;=4,"A",IF('Data Source'!AG565&gt;=3.5,"A-",IF('Data Source'!AG565&gt;=3,"B",IF('Data Source'!AG565&gt;=2,"C",IF('Data Source'!AG565&gt;=1,"D","F")))))),"")</f>
        <v/>
      </c>
      <c r="P565" s="5">
        <f>IF(AND('Data Source'!B565&lt;&gt;"",'Data Source'!S565="F"),'Data Source'!R565,"")</f>
        <v/>
      </c>
      <c r="Q565" s="3">
        <f>IF(AND('Data Source'!B565&lt;&gt;"",'Data Source'!S565="F"),'Data Source'!S565,"")</f>
        <v/>
      </c>
    </row>
    <row r="566">
      <c r="A566" s="3">
        <f>IF(AND('Data Source'!B566&lt;&gt;"",'Data Source'!S566="F"),COUNTIF('Data Source'!$S$3:S566,"F"),"")</f>
        <v/>
      </c>
      <c r="B566">
        <f>IF(AND('Data Source'!B566&lt;&gt;"",'Data Source'!S566="F"),'Data Source'!B566,"")</f>
        <v/>
      </c>
      <c r="C566" s="3">
        <f>IF(AND('Data Source'!B566&lt;&gt;"",'Data Source'!S566="F"),IF('Data Source'!U566&gt;=5,"A+",IF('Data Source'!U566&gt;=4,"A",IF('Data Source'!U566&gt;=3.5,"A-",IF('Data Source'!U566&gt;=3,"B",IF('Data Source'!U566&gt;=2,"C",IF('Data Source'!U566&gt;=1,"D","F")))))),"")</f>
        <v/>
      </c>
      <c r="D566" s="3">
        <f>IF(AND('Data Source'!B566&lt;&gt;"",'Data Source'!S566="F"),IF('Data Source'!V566&gt;=5,"A+",IF('Data Source'!V566&gt;=4,"A",IF('Data Source'!V566&gt;=3.5,"A-",IF('Data Source'!V566&gt;=3,"B",IF('Data Source'!V566&gt;=2,"C",IF('Data Source'!V566&gt;=1,"D","F")))))),"")</f>
        <v/>
      </c>
      <c r="E566" s="3">
        <f>IF(AND('Data Source'!B566&lt;&gt;"",'Data Source'!S566="F"),IF('Data Source'!W566&gt;=5,"A+",IF('Data Source'!W566&gt;=4,"A",IF('Data Source'!W566&gt;=3.5,"A-",IF('Data Source'!W566&gt;=3,"B",IF('Data Source'!W566&gt;=2,"C",IF('Data Source'!W566&gt;=1,"D","F")))))),"")</f>
        <v/>
      </c>
      <c r="F566" s="3">
        <f>IF(AND('Data Source'!B566&lt;&gt;"",'Data Source'!S566="F"),IF('Data Source'!X566&gt;=5,"A+",IF('Data Source'!X566&gt;=4,"A",IF('Data Source'!X566&gt;=3.5,"A-",IF('Data Source'!X566&gt;=3,"B",IF('Data Source'!X566&gt;=2,"C",IF('Data Source'!X566&gt;=1,"D","F")))))),"")</f>
        <v/>
      </c>
      <c r="G566" s="3">
        <f>IF(AND('Data Source'!B566&lt;&gt;"",'Data Source'!S566="F"),IF('Data Source'!Y566&gt;=5,"A+",IF('Data Source'!Y566&gt;=4,"A",IF('Data Source'!Y566&gt;=3.5,"A-",IF('Data Source'!Y566&gt;=3,"B",IF('Data Source'!Y566&gt;=2,"C",IF('Data Source'!Y566&gt;=1,"D","F")))))),"")</f>
        <v/>
      </c>
      <c r="H566" s="3">
        <f>IF(AND('Data Source'!B566&lt;&gt;"",'Data Source'!S566="F"),IF('Data Source'!Z566&gt;=5,"A+",IF('Data Source'!Z566&gt;=4,"A",IF('Data Source'!Z566&gt;=3.5,"A-",IF('Data Source'!Z566&gt;=3,"B",IF('Data Source'!Z566&gt;=2,"C",IF('Data Source'!Z566&gt;=1,"D","F")))))),"")</f>
        <v/>
      </c>
      <c r="I566" s="3">
        <f>IF(AND('Data Source'!B566&lt;&gt;"",'Data Source'!S566="F"),IF('Data Source'!AA566&gt;=5,"A+",IF('Data Source'!AA566&gt;=4,"A",IF('Data Source'!AA566&gt;=3.5,"A-",IF('Data Source'!AA566&gt;=3,"B",IF('Data Source'!AA566&gt;=2,"C",IF('Data Source'!AA566&gt;=1,"D","F")))))),"")</f>
        <v/>
      </c>
      <c r="J566" s="3">
        <f>IF(AND('Data Source'!B566&lt;&gt;"",'Data Source'!S566="F"),IF('Data Source'!AB566&gt;=5,"A+",IF('Data Source'!AB566&gt;=4,"A",IF('Data Source'!AB566&gt;=3.5,"A-",IF('Data Source'!AB566&gt;=3,"B",IF('Data Source'!AB566&gt;=2,"C",IF('Data Source'!AB566&gt;=1,"D","F")))))),"")</f>
        <v/>
      </c>
      <c r="K566" s="3">
        <f>IF(AND('Data Source'!B566&lt;&gt;"",'Data Source'!S566="F"),IF('Data Source'!AC566&gt;=5,"A+",IF('Data Source'!AC566&gt;=4,"A",IF('Data Source'!AC566&gt;=3.5,"A-",IF('Data Source'!AC566&gt;=3,"B",IF('Data Source'!AC566&gt;=2,"C",IF('Data Source'!AC566&gt;=1,"D","F")))))),"")</f>
        <v/>
      </c>
      <c r="L566" s="3">
        <f>IF(AND('Data Source'!B566&lt;&gt;"",'Data Source'!S566="F"),IF('Data Source'!AD566&gt;=5,"A+",IF('Data Source'!AD566&gt;=4,"A",IF('Data Source'!AD566&gt;=3.5,"A-",IF('Data Source'!AD566&gt;=3,"B",IF('Data Source'!AD566&gt;=2,"C",IF('Data Source'!AD566&gt;=1,"D","F")))))),"")</f>
        <v/>
      </c>
      <c r="M566" s="3">
        <f>IF(AND('Data Source'!B566&lt;&gt;"",'Data Source'!S566="F"),IF('Data Source'!AE566&gt;=5,"A+",IF('Data Source'!AE566&gt;=4,"A",IF('Data Source'!AE566&gt;=3.5,"A-",IF('Data Source'!AE566&gt;=3,"B",IF('Data Source'!AE566&gt;=2,"C",IF('Data Source'!AE566&gt;=1,"D","F")))))),"")</f>
        <v/>
      </c>
      <c r="N566" s="3">
        <f>IF(AND('Data Source'!B566&lt;&gt;"",'Data Source'!S566="F"),IF('Data Source'!AF566&gt;=5,"A+",IF('Data Source'!AF566&gt;=4,"A",IF('Data Source'!AF566&gt;=3.5,"A-",IF('Data Source'!AF566&gt;=3,"B",IF('Data Source'!AF566&gt;=2,"C",IF('Data Source'!AF566&gt;=1,"D","F")))))),"")</f>
        <v/>
      </c>
      <c r="O566" s="3">
        <f>IF(AND('Data Source'!B566&lt;&gt;"",'Data Source'!S566="F"),IF('Data Source'!AG566&gt;=5,"A+",IF('Data Source'!AG566&gt;=4,"A",IF('Data Source'!AG566&gt;=3.5,"A-",IF('Data Source'!AG566&gt;=3,"B",IF('Data Source'!AG566&gt;=2,"C",IF('Data Source'!AG566&gt;=1,"D","F")))))),"")</f>
        <v/>
      </c>
      <c r="P566" s="5">
        <f>IF(AND('Data Source'!B566&lt;&gt;"",'Data Source'!S566="F"),'Data Source'!R566,"")</f>
        <v/>
      </c>
      <c r="Q566" s="3">
        <f>IF(AND('Data Source'!B566&lt;&gt;"",'Data Source'!S566="F"),'Data Source'!S566,"")</f>
        <v/>
      </c>
    </row>
    <row r="567">
      <c r="A567" s="3">
        <f>IF(AND('Data Source'!B567&lt;&gt;"",'Data Source'!S567="F"),COUNTIF('Data Source'!$S$3:S567,"F"),"")</f>
        <v/>
      </c>
      <c r="B567">
        <f>IF(AND('Data Source'!B567&lt;&gt;"",'Data Source'!S567="F"),'Data Source'!B567,"")</f>
        <v/>
      </c>
      <c r="C567" s="3">
        <f>IF(AND('Data Source'!B567&lt;&gt;"",'Data Source'!S567="F"),IF('Data Source'!U567&gt;=5,"A+",IF('Data Source'!U567&gt;=4,"A",IF('Data Source'!U567&gt;=3.5,"A-",IF('Data Source'!U567&gt;=3,"B",IF('Data Source'!U567&gt;=2,"C",IF('Data Source'!U567&gt;=1,"D","F")))))),"")</f>
        <v/>
      </c>
      <c r="D567" s="3">
        <f>IF(AND('Data Source'!B567&lt;&gt;"",'Data Source'!S567="F"),IF('Data Source'!V567&gt;=5,"A+",IF('Data Source'!V567&gt;=4,"A",IF('Data Source'!V567&gt;=3.5,"A-",IF('Data Source'!V567&gt;=3,"B",IF('Data Source'!V567&gt;=2,"C",IF('Data Source'!V567&gt;=1,"D","F")))))),"")</f>
        <v/>
      </c>
      <c r="E567" s="3">
        <f>IF(AND('Data Source'!B567&lt;&gt;"",'Data Source'!S567="F"),IF('Data Source'!W567&gt;=5,"A+",IF('Data Source'!W567&gt;=4,"A",IF('Data Source'!W567&gt;=3.5,"A-",IF('Data Source'!W567&gt;=3,"B",IF('Data Source'!W567&gt;=2,"C",IF('Data Source'!W567&gt;=1,"D","F")))))),"")</f>
        <v/>
      </c>
      <c r="F567" s="3">
        <f>IF(AND('Data Source'!B567&lt;&gt;"",'Data Source'!S567="F"),IF('Data Source'!X567&gt;=5,"A+",IF('Data Source'!X567&gt;=4,"A",IF('Data Source'!X567&gt;=3.5,"A-",IF('Data Source'!X567&gt;=3,"B",IF('Data Source'!X567&gt;=2,"C",IF('Data Source'!X567&gt;=1,"D","F")))))),"")</f>
        <v/>
      </c>
      <c r="G567" s="3">
        <f>IF(AND('Data Source'!B567&lt;&gt;"",'Data Source'!S567="F"),IF('Data Source'!Y567&gt;=5,"A+",IF('Data Source'!Y567&gt;=4,"A",IF('Data Source'!Y567&gt;=3.5,"A-",IF('Data Source'!Y567&gt;=3,"B",IF('Data Source'!Y567&gt;=2,"C",IF('Data Source'!Y567&gt;=1,"D","F")))))),"")</f>
        <v/>
      </c>
      <c r="H567" s="3">
        <f>IF(AND('Data Source'!B567&lt;&gt;"",'Data Source'!S567="F"),IF('Data Source'!Z567&gt;=5,"A+",IF('Data Source'!Z567&gt;=4,"A",IF('Data Source'!Z567&gt;=3.5,"A-",IF('Data Source'!Z567&gt;=3,"B",IF('Data Source'!Z567&gt;=2,"C",IF('Data Source'!Z567&gt;=1,"D","F")))))),"")</f>
        <v/>
      </c>
      <c r="I567" s="3">
        <f>IF(AND('Data Source'!B567&lt;&gt;"",'Data Source'!S567="F"),IF('Data Source'!AA567&gt;=5,"A+",IF('Data Source'!AA567&gt;=4,"A",IF('Data Source'!AA567&gt;=3.5,"A-",IF('Data Source'!AA567&gt;=3,"B",IF('Data Source'!AA567&gt;=2,"C",IF('Data Source'!AA567&gt;=1,"D","F")))))),"")</f>
        <v/>
      </c>
      <c r="J567" s="3">
        <f>IF(AND('Data Source'!B567&lt;&gt;"",'Data Source'!S567="F"),IF('Data Source'!AB567&gt;=5,"A+",IF('Data Source'!AB567&gt;=4,"A",IF('Data Source'!AB567&gt;=3.5,"A-",IF('Data Source'!AB567&gt;=3,"B",IF('Data Source'!AB567&gt;=2,"C",IF('Data Source'!AB567&gt;=1,"D","F")))))),"")</f>
        <v/>
      </c>
      <c r="K567" s="3">
        <f>IF(AND('Data Source'!B567&lt;&gt;"",'Data Source'!S567="F"),IF('Data Source'!AC567&gt;=5,"A+",IF('Data Source'!AC567&gt;=4,"A",IF('Data Source'!AC567&gt;=3.5,"A-",IF('Data Source'!AC567&gt;=3,"B",IF('Data Source'!AC567&gt;=2,"C",IF('Data Source'!AC567&gt;=1,"D","F")))))),"")</f>
        <v/>
      </c>
      <c r="L567" s="3">
        <f>IF(AND('Data Source'!B567&lt;&gt;"",'Data Source'!S567="F"),IF('Data Source'!AD567&gt;=5,"A+",IF('Data Source'!AD567&gt;=4,"A",IF('Data Source'!AD567&gt;=3.5,"A-",IF('Data Source'!AD567&gt;=3,"B",IF('Data Source'!AD567&gt;=2,"C",IF('Data Source'!AD567&gt;=1,"D","F")))))),"")</f>
        <v/>
      </c>
      <c r="M567" s="3">
        <f>IF(AND('Data Source'!B567&lt;&gt;"",'Data Source'!S567="F"),IF('Data Source'!AE567&gt;=5,"A+",IF('Data Source'!AE567&gt;=4,"A",IF('Data Source'!AE567&gt;=3.5,"A-",IF('Data Source'!AE567&gt;=3,"B",IF('Data Source'!AE567&gt;=2,"C",IF('Data Source'!AE567&gt;=1,"D","F")))))),"")</f>
        <v/>
      </c>
      <c r="N567" s="3">
        <f>IF(AND('Data Source'!B567&lt;&gt;"",'Data Source'!S567="F"),IF('Data Source'!AF567&gt;=5,"A+",IF('Data Source'!AF567&gt;=4,"A",IF('Data Source'!AF567&gt;=3.5,"A-",IF('Data Source'!AF567&gt;=3,"B",IF('Data Source'!AF567&gt;=2,"C",IF('Data Source'!AF567&gt;=1,"D","F")))))),"")</f>
        <v/>
      </c>
      <c r="O567" s="3">
        <f>IF(AND('Data Source'!B567&lt;&gt;"",'Data Source'!S567="F"),IF('Data Source'!AG567&gt;=5,"A+",IF('Data Source'!AG567&gt;=4,"A",IF('Data Source'!AG567&gt;=3.5,"A-",IF('Data Source'!AG567&gt;=3,"B",IF('Data Source'!AG567&gt;=2,"C",IF('Data Source'!AG567&gt;=1,"D","F")))))),"")</f>
        <v/>
      </c>
      <c r="P567" s="5">
        <f>IF(AND('Data Source'!B567&lt;&gt;"",'Data Source'!S567="F"),'Data Source'!R567,"")</f>
        <v/>
      </c>
      <c r="Q567" s="3">
        <f>IF(AND('Data Source'!B567&lt;&gt;"",'Data Source'!S567="F"),'Data Source'!S567,"")</f>
        <v/>
      </c>
    </row>
    <row r="568">
      <c r="A568" s="3">
        <f>IF(AND('Data Source'!B568&lt;&gt;"",'Data Source'!S568="F"),COUNTIF('Data Source'!$S$3:S568,"F"),"")</f>
        <v/>
      </c>
      <c r="B568">
        <f>IF(AND('Data Source'!B568&lt;&gt;"",'Data Source'!S568="F"),'Data Source'!B568,"")</f>
        <v/>
      </c>
      <c r="C568" s="3">
        <f>IF(AND('Data Source'!B568&lt;&gt;"",'Data Source'!S568="F"),IF('Data Source'!U568&gt;=5,"A+",IF('Data Source'!U568&gt;=4,"A",IF('Data Source'!U568&gt;=3.5,"A-",IF('Data Source'!U568&gt;=3,"B",IF('Data Source'!U568&gt;=2,"C",IF('Data Source'!U568&gt;=1,"D","F")))))),"")</f>
        <v/>
      </c>
      <c r="D568" s="3">
        <f>IF(AND('Data Source'!B568&lt;&gt;"",'Data Source'!S568="F"),IF('Data Source'!V568&gt;=5,"A+",IF('Data Source'!V568&gt;=4,"A",IF('Data Source'!V568&gt;=3.5,"A-",IF('Data Source'!V568&gt;=3,"B",IF('Data Source'!V568&gt;=2,"C",IF('Data Source'!V568&gt;=1,"D","F")))))),"")</f>
        <v/>
      </c>
      <c r="E568" s="3">
        <f>IF(AND('Data Source'!B568&lt;&gt;"",'Data Source'!S568="F"),IF('Data Source'!W568&gt;=5,"A+",IF('Data Source'!W568&gt;=4,"A",IF('Data Source'!W568&gt;=3.5,"A-",IF('Data Source'!W568&gt;=3,"B",IF('Data Source'!W568&gt;=2,"C",IF('Data Source'!W568&gt;=1,"D","F")))))),"")</f>
        <v/>
      </c>
      <c r="F568" s="3">
        <f>IF(AND('Data Source'!B568&lt;&gt;"",'Data Source'!S568="F"),IF('Data Source'!X568&gt;=5,"A+",IF('Data Source'!X568&gt;=4,"A",IF('Data Source'!X568&gt;=3.5,"A-",IF('Data Source'!X568&gt;=3,"B",IF('Data Source'!X568&gt;=2,"C",IF('Data Source'!X568&gt;=1,"D","F")))))),"")</f>
        <v/>
      </c>
      <c r="G568" s="3">
        <f>IF(AND('Data Source'!B568&lt;&gt;"",'Data Source'!S568="F"),IF('Data Source'!Y568&gt;=5,"A+",IF('Data Source'!Y568&gt;=4,"A",IF('Data Source'!Y568&gt;=3.5,"A-",IF('Data Source'!Y568&gt;=3,"B",IF('Data Source'!Y568&gt;=2,"C",IF('Data Source'!Y568&gt;=1,"D","F")))))),"")</f>
        <v/>
      </c>
      <c r="H568" s="3">
        <f>IF(AND('Data Source'!B568&lt;&gt;"",'Data Source'!S568="F"),IF('Data Source'!Z568&gt;=5,"A+",IF('Data Source'!Z568&gt;=4,"A",IF('Data Source'!Z568&gt;=3.5,"A-",IF('Data Source'!Z568&gt;=3,"B",IF('Data Source'!Z568&gt;=2,"C",IF('Data Source'!Z568&gt;=1,"D","F")))))),"")</f>
        <v/>
      </c>
      <c r="I568" s="3">
        <f>IF(AND('Data Source'!B568&lt;&gt;"",'Data Source'!S568="F"),IF('Data Source'!AA568&gt;=5,"A+",IF('Data Source'!AA568&gt;=4,"A",IF('Data Source'!AA568&gt;=3.5,"A-",IF('Data Source'!AA568&gt;=3,"B",IF('Data Source'!AA568&gt;=2,"C",IF('Data Source'!AA568&gt;=1,"D","F")))))),"")</f>
        <v/>
      </c>
      <c r="J568" s="3">
        <f>IF(AND('Data Source'!B568&lt;&gt;"",'Data Source'!S568="F"),IF('Data Source'!AB568&gt;=5,"A+",IF('Data Source'!AB568&gt;=4,"A",IF('Data Source'!AB568&gt;=3.5,"A-",IF('Data Source'!AB568&gt;=3,"B",IF('Data Source'!AB568&gt;=2,"C",IF('Data Source'!AB568&gt;=1,"D","F")))))),"")</f>
        <v/>
      </c>
      <c r="K568" s="3">
        <f>IF(AND('Data Source'!B568&lt;&gt;"",'Data Source'!S568="F"),IF('Data Source'!AC568&gt;=5,"A+",IF('Data Source'!AC568&gt;=4,"A",IF('Data Source'!AC568&gt;=3.5,"A-",IF('Data Source'!AC568&gt;=3,"B",IF('Data Source'!AC568&gt;=2,"C",IF('Data Source'!AC568&gt;=1,"D","F")))))),"")</f>
        <v/>
      </c>
      <c r="L568" s="3">
        <f>IF(AND('Data Source'!B568&lt;&gt;"",'Data Source'!S568="F"),IF('Data Source'!AD568&gt;=5,"A+",IF('Data Source'!AD568&gt;=4,"A",IF('Data Source'!AD568&gt;=3.5,"A-",IF('Data Source'!AD568&gt;=3,"B",IF('Data Source'!AD568&gt;=2,"C",IF('Data Source'!AD568&gt;=1,"D","F")))))),"")</f>
        <v/>
      </c>
      <c r="M568" s="3">
        <f>IF(AND('Data Source'!B568&lt;&gt;"",'Data Source'!S568="F"),IF('Data Source'!AE568&gt;=5,"A+",IF('Data Source'!AE568&gt;=4,"A",IF('Data Source'!AE568&gt;=3.5,"A-",IF('Data Source'!AE568&gt;=3,"B",IF('Data Source'!AE568&gt;=2,"C",IF('Data Source'!AE568&gt;=1,"D","F")))))),"")</f>
        <v/>
      </c>
      <c r="N568" s="3">
        <f>IF(AND('Data Source'!B568&lt;&gt;"",'Data Source'!S568="F"),IF('Data Source'!AF568&gt;=5,"A+",IF('Data Source'!AF568&gt;=4,"A",IF('Data Source'!AF568&gt;=3.5,"A-",IF('Data Source'!AF568&gt;=3,"B",IF('Data Source'!AF568&gt;=2,"C",IF('Data Source'!AF568&gt;=1,"D","F")))))),"")</f>
        <v/>
      </c>
      <c r="O568" s="3">
        <f>IF(AND('Data Source'!B568&lt;&gt;"",'Data Source'!S568="F"),IF('Data Source'!AG568&gt;=5,"A+",IF('Data Source'!AG568&gt;=4,"A",IF('Data Source'!AG568&gt;=3.5,"A-",IF('Data Source'!AG568&gt;=3,"B",IF('Data Source'!AG568&gt;=2,"C",IF('Data Source'!AG568&gt;=1,"D","F")))))),"")</f>
        <v/>
      </c>
      <c r="P568" s="5">
        <f>IF(AND('Data Source'!B568&lt;&gt;"",'Data Source'!S568="F"),'Data Source'!R568,"")</f>
        <v/>
      </c>
      <c r="Q568" s="3">
        <f>IF(AND('Data Source'!B568&lt;&gt;"",'Data Source'!S568="F"),'Data Source'!S568,"")</f>
        <v/>
      </c>
    </row>
    <row r="569">
      <c r="A569" s="3">
        <f>IF(AND('Data Source'!B569&lt;&gt;"",'Data Source'!S569="F"),COUNTIF('Data Source'!$S$3:S569,"F"),"")</f>
        <v/>
      </c>
      <c r="B569">
        <f>IF(AND('Data Source'!B569&lt;&gt;"",'Data Source'!S569="F"),'Data Source'!B569,"")</f>
        <v/>
      </c>
      <c r="C569" s="3">
        <f>IF(AND('Data Source'!B569&lt;&gt;"",'Data Source'!S569="F"),IF('Data Source'!U569&gt;=5,"A+",IF('Data Source'!U569&gt;=4,"A",IF('Data Source'!U569&gt;=3.5,"A-",IF('Data Source'!U569&gt;=3,"B",IF('Data Source'!U569&gt;=2,"C",IF('Data Source'!U569&gt;=1,"D","F")))))),"")</f>
        <v/>
      </c>
      <c r="D569" s="3">
        <f>IF(AND('Data Source'!B569&lt;&gt;"",'Data Source'!S569="F"),IF('Data Source'!V569&gt;=5,"A+",IF('Data Source'!V569&gt;=4,"A",IF('Data Source'!V569&gt;=3.5,"A-",IF('Data Source'!V569&gt;=3,"B",IF('Data Source'!V569&gt;=2,"C",IF('Data Source'!V569&gt;=1,"D","F")))))),"")</f>
        <v/>
      </c>
      <c r="E569" s="3">
        <f>IF(AND('Data Source'!B569&lt;&gt;"",'Data Source'!S569="F"),IF('Data Source'!W569&gt;=5,"A+",IF('Data Source'!W569&gt;=4,"A",IF('Data Source'!W569&gt;=3.5,"A-",IF('Data Source'!W569&gt;=3,"B",IF('Data Source'!W569&gt;=2,"C",IF('Data Source'!W569&gt;=1,"D","F")))))),"")</f>
        <v/>
      </c>
      <c r="F569" s="3">
        <f>IF(AND('Data Source'!B569&lt;&gt;"",'Data Source'!S569="F"),IF('Data Source'!X569&gt;=5,"A+",IF('Data Source'!X569&gt;=4,"A",IF('Data Source'!X569&gt;=3.5,"A-",IF('Data Source'!X569&gt;=3,"B",IF('Data Source'!X569&gt;=2,"C",IF('Data Source'!X569&gt;=1,"D","F")))))),"")</f>
        <v/>
      </c>
      <c r="G569" s="3">
        <f>IF(AND('Data Source'!B569&lt;&gt;"",'Data Source'!S569="F"),IF('Data Source'!Y569&gt;=5,"A+",IF('Data Source'!Y569&gt;=4,"A",IF('Data Source'!Y569&gt;=3.5,"A-",IF('Data Source'!Y569&gt;=3,"B",IF('Data Source'!Y569&gt;=2,"C",IF('Data Source'!Y569&gt;=1,"D","F")))))),"")</f>
        <v/>
      </c>
      <c r="H569" s="3">
        <f>IF(AND('Data Source'!B569&lt;&gt;"",'Data Source'!S569="F"),IF('Data Source'!Z569&gt;=5,"A+",IF('Data Source'!Z569&gt;=4,"A",IF('Data Source'!Z569&gt;=3.5,"A-",IF('Data Source'!Z569&gt;=3,"B",IF('Data Source'!Z569&gt;=2,"C",IF('Data Source'!Z569&gt;=1,"D","F")))))),"")</f>
        <v/>
      </c>
      <c r="I569" s="3">
        <f>IF(AND('Data Source'!B569&lt;&gt;"",'Data Source'!S569="F"),IF('Data Source'!AA569&gt;=5,"A+",IF('Data Source'!AA569&gt;=4,"A",IF('Data Source'!AA569&gt;=3.5,"A-",IF('Data Source'!AA569&gt;=3,"B",IF('Data Source'!AA569&gt;=2,"C",IF('Data Source'!AA569&gt;=1,"D","F")))))),"")</f>
        <v/>
      </c>
      <c r="J569" s="3">
        <f>IF(AND('Data Source'!B569&lt;&gt;"",'Data Source'!S569="F"),IF('Data Source'!AB569&gt;=5,"A+",IF('Data Source'!AB569&gt;=4,"A",IF('Data Source'!AB569&gt;=3.5,"A-",IF('Data Source'!AB569&gt;=3,"B",IF('Data Source'!AB569&gt;=2,"C",IF('Data Source'!AB569&gt;=1,"D","F")))))),"")</f>
        <v/>
      </c>
      <c r="K569" s="3">
        <f>IF(AND('Data Source'!B569&lt;&gt;"",'Data Source'!S569="F"),IF('Data Source'!AC569&gt;=5,"A+",IF('Data Source'!AC569&gt;=4,"A",IF('Data Source'!AC569&gt;=3.5,"A-",IF('Data Source'!AC569&gt;=3,"B",IF('Data Source'!AC569&gt;=2,"C",IF('Data Source'!AC569&gt;=1,"D","F")))))),"")</f>
        <v/>
      </c>
      <c r="L569" s="3">
        <f>IF(AND('Data Source'!B569&lt;&gt;"",'Data Source'!S569="F"),IF('Data Source'!AD569&gt;=5,"A+",IF('Data Source'!AD569&gt;=4,"A",IF('Data Source'!AD569&gt;=3.5,"A-",IF('Data Source'!AD569&gt;=3,"B",IF('Data Source'!AD569&gt;=2,"C",IF('Data Source'!AD569&gt;=1,"D","F")))))),"")</f>
        <v/>
      </c>
      <c r="M569" s="3">
        <f>IF(AND('Data Source'!B569&lt;&gt;"",'Data Source'!S569="F"),IF('Data Source'!AE569&gt;=5,"A+",IF('Data Source'!AE569&gt;=4,"A",IF('Data Source'!AE569&gt;=3.5,"A-",IF('Data Source'!AE569&gt;=3,"B",IF('Data Source'!AE569&gt;=2,"C",IF('Data Source'!AE569&gt;=1,"D","F")))))),"")</f>
        <v/>
      </c>
      <c r="N569" s="3">
        <f>IF(AND('Data Source'!B569&lt;&gt;"",'Data Source'!S569="F"),IF('Data Source'!AF569&gt;=5,"A+",IF('Data Source'!AF569&gt;=4,"A",IF('Data Source'!AF569&gt;=3.5,"A-",IF('Data Source'!AF569&gt;=3,"B",IF('Data Source'!AF569&gt;=2,"C",IF('Data Source'!AF569&gt;=1,"D","F")))))),"")</f>
        <v/>
      </c>
      <c r="O569" s="3">
        <f>IF(AND('Data Source'!B569&lt;&gt;"",'Data Source'!S569="F"),IF('Data Source'!AG569&gt;=5,"A+",IF('Data Source'!AG569&gt;=4,"A",IF('Data Source'!AG569&gt;=3.5,"A-",IF('Data Source'!AG569&gt;=3,"B",IF('Data Source'!AG569&gt;=2,"C",IF('Data Source'!AG569&gt;=1,"D","F")))))),"")</f>
        <v/>
      </c>
      <c r="P569" s="5">
        <f>IF(AND('Data Source'!B569&lt;&gt;"",'Data Source'!S569="F"),'Data Source'!R569,"")</f>
        <v/>
      </c>
      <c r="Q569" s="3">
        <f>IF(AND('Data Source'!B569&lt;&gt;"",'Data Source'!S569="F"),'Data Source'!S569,"")</f>
        <v/>
      </c>
    </row>
    <row r="570">
      <c r="A570" s="3">
        <f>IF(AND('Data Source'!B570&lt;&gt;"",'Data Source'!S570="F"),COUNTIF('Data Source'!$S$3:S570,"F"),"")</f>
        <v/>
      </c>
      <c r="B570">
        <f>IF(AND('Data Source'!B570&lt;&gt;"",'Data Source'!S570="F"),'Data Source'!B570,"")</f>
        <v/>
      </c>
      <c r="C570" s="3">
        <f>IF(AND('Data Source'!B570&lt;&gt;"",'Data Source'!S570="F"),IF('Data Source'!U570&gt;=5,"A+",IF('Data Source'!U570&gt;=4,"A",IF('Data Source'!U570&gt;=3.5,"A-",IF('Data Source'!U570&gt;=3,"B",IF('Data Source'!U570&gt;=2,"C",IF('Data Source'!U570&gt;=1,"D","F")))))),"")</f>
        <v/>
      </c>
      <c r="D570" s="3">
        <f>IF(AND('Data Source'!B570&lt;&gt;"",'Data Source'!S570="F"),IF('Data Source'!V570&gt;=5,"A+",IF('Data Source'!V570&gt;=4,"A",IF('Data Source'!V570&gt;=3.5,"A-",IF('Data Source'!V570&gt;=3,"B",IF('Data Source'!V570&gt;=2,"C",IF('Data Source'!V570&gt;=1,"D","F")))))),"")</f>
        <v/>
      </c>
      <c r="E570" s="3">
        <f>IF(AND('Data Source'!B570&lt;&gt;"",'Data Source'!S570="F"),IF('Data Source'!W570&gt;=5,"A+",IF('Data Source'!W570&gt;=4,"A",IF('Data Source'!W570&gt;=3.5,"A-",IF('Data Source'!W570&gt;=3,"B",IF('Data Source'!W570&gt;=2,"C",IF('Data Source'!W570&gt;=1,"D","F")))))),"")</f>
        <v/>
      </c>
      <c r="F570" s="3">
        <f>IF(AND('Data Source'!B570&lt;&gt;"",'Data Source'!S570="F"),IF('Data Source'!X570&gt;=5,"A+",IF('Data Source'!X570&gt;=4,"A",IF('Data Source'!X570&gt;=3.5,"A-",IF('Data Source'!X570&gt;=3,"B",IF('Data Source'!X570&gt;=2,"C",IF('Data Source'!X570&gt;=1,"D","F")))))),"")</f>
        <v/>
      </c>
      <c r="G570" s="3">
        <f>IF(AND('Data Source'!B570&lt;&gt;"",'Data Source'!S570="F"),IF('Data Source'!Y570&gt;=5,"A+",IF('Data Source'!Y570&gt;=4,"A",IF('Data Source'!Y570&gt;=3.5,"A-",IF('Data Source'!Y570&gt;=3,"B",IF('Data Source'!Y570&gt;=2,"C",IF('Data Source'!Y570&gt;=1,"D","F")))))),"")</f>
        <v/>
      </c>
      <c r="H570" s="3">
        <f>IF(AND('Data Source'!B570&lt;&gt;"",'Data Source'!S570="F"),IF('Data Source'!Z570&gt;=5,"A+",IF('Data Source'!Z570&gt;=4,"A",IF('Data Source'!Z570&gt;=3.5,"A-",IF('Data Source'!Z570&gt;=3,"B",IF('Data Source'!Z570&gt;=2,"C",IF('Data Source'!Z570&gt;=1,"D","F")))))),"")</f>
        <v/>
      </c>
      <c r="I570" s="3">
        <f>IF(AND('Data Source'!B570&lt;&gt;"",'Data Source'!S570="F"),IF('Data Source'!AA570&gt;=5,"A+",IF('Data Source'!AA570&gt;=4,"A",IF('Data Source'!AA570&gt;=3.5,"A-",IF('Data Source'!AA570&gt;=3,"B",IF('Data Source'!AA570&gt;=2,"C",IF('Data Source'!AA570&gt;=1,"D","F")))))),"")</f>
        <v/>
      </c>
      <c r="J570" s="3">
        <f>IF(AND('Data Source'!B570&lt;&gt;"",'Data Source'!S570="F"),IF('Data Source'!AB570&gt;=5,"A+",IF('Data Source'!AB570&gt;=4,"A",IF('Data Source'!AB570&gt;=3.5,"A-",IF('Data Source'!AB570&gt;=3,"B",IF('Data Source'!AB570&gt;=2,"C",IF('Data Source'!AB570&gt;=1,"D","F")))))),"")</f>
        <v/>
      </c>
      <c r="K570" s="3">
        <f>IF(AND('Data Source'!B570&lt;&gt;"",'Data Source'!S570="F"),IF('Data Source'!AC570&gt;=5,"A+",IF('Data Source'!AC570&gt;=4,"A",IF('Data Source'!AC570&gt;=3.5,"A-",IF('Data Source'!AC570&gt;=3,"B",IF('Data Source'!AC570&gt;=2,"C",IF('Data Source'!AC570&gt;=1,"D","F")))))),"")</f>
        <v/>
      </c>
      <c r="L570" s="3">
        <f>IF(AND('Data Source'!B570&lt;&gt;"",'Data Source'!S570="F"),IF('Data Source'!AD570&gt;=5,"A+",IF('Data Source'!AD570&gt;=4,"A",IF('Data Source'!AD570&gt;=3.5,"A-",IF('Data Source'!AD570&gt;=3,"B",IF('Data Source'!AD570&gt;=2,"C",IF('Data Source'!AD570&gt;=1,"D","F")))))),"")</f>
        <v/>
      </c>
      <c r="M570" s="3">
        <f>IF(AND('Data Source'!B570&lt;&gt;"",'Data Source'!S570="F"),IF('Data Source'!AE570&gt;=5,"A+",IF('Data Source'!AE570&gt;=4,"A",IF('Data Source'!AE570&gt;=3.5,"A-",IF('Data Source'!AE570&gt;=3,"B",IF('Data Source'!AE570&gt;=2,"C",IF('Data Source'!AE570&gt;=1,"D","F")))))),"")</f>
        <v/>
      </c>
      <c r="N570" s="3">
        <f>IF(AND('Data Source'!B570&lt;&gt;"",'Data Source'!S570="F"),IF('Data Source'!AF570&gt;=5,"A+",IF('Data Source'!AF570&gt;=4,"A",IF('Data Source'!AF570&gt;=3.5,"A-",IF('Data Source'!AF570&gt;=3,"B",IF('Data Source'!AF570&gt;=2,"C",IF('Data Source'!AF570&gt;=1,"D","F")))))),"")</f>
        <v/>
      </c>
      <c r="O570" s="3">
        <f>IF(AND('Data Source'!B570&lt;&gt;"",'Data Source'!S570="F"),IF('Data Source'!AG570&gt;=5,"A+",IF('Data Source'!AG570&gt;=4,"A",IF('Data Source'!AG570&gt;=3.5,"A-",IF('Data Source'!AG570&gt;=3,"B",IF('Data Source'!AG570&gt;=2,"C",IF('Data Source'!AG570&gt;=1,"D","F")))))),"")</f>
        <v/>
      </c>
      <c r="P570" s="5">
        <f>IF(AND('Data Source'!B570&lt;&gt;"",'Data Source'!S570="F"),'Data Source'!R570,"")</f>
        <v/>
      </c>
      <c r="Q570" s="3">
        <f>IF(AND('Data Source'!B570&lt;&gt;"",'Data Source'!S570="F"),'Data Source'!S570,"")</f>
        <v/>
      </c>
    </row>
    <row r="571">
      <c r="A571" s="3">
        <f>IF(AND('Data Source'!B571&lt;&gt;"",'Data Source'!S571="F"),COUNTIF('Data Source'!$S$3:S571,"F"),"")</f>
        <v/>
      </c>
      <c r="B571">
        <f>IF(AND('Data Source'!B571&lt;&gt;"",'Data Source'!S571="F"),'Data Source'!B571,"")</f>
        <v/>
      </c>
      <c r="C571" s="3">
        <f>IF(AND('Data Source'!B571&lt;&gt;"",'Data Source'!S571="F"),IF('Data Source'!U571&gt;=5,"A+",IF('Data Source'!U571&gt;=4,"A",IF('Data Source'!U571&gt;=3.5,"A-",IF('Data Source'!U571&gt;=3,"B",IF('Data Source'!U571&gt;=2,"C",IF('Data Source'!U571&gt;=1,"D","F")))))),"")</f>
        <v/>
      </c>
      <c r="D571" s="3">
        <f>IF(AND('Data Source'!B571&lt;&gt;"",'Data Source'!S571="F"),IF('Data Source'!V571&gt;=5,"A+",IF('Data Source'!V571&gt;=4,"A",IF('Data Source'!V571&gt;=3.5,"A-",IF('Data Source'!V571&gt;=3,"B",IF('Data Source'!V571&gt;=2,"C",IF('Data Source'!V571&gt;=1,"D","F")))))),"")</f>
        <v/>
      </c>
      <c r="E571" s="3">
        <f>IF(AND('Data Source'!B571&lt;&gt;"",'Data Source'!S571="F"),IF('Data Source'!W571&gt;=5,"A+",IF('Data Source'!W571&gt;=4,"A",IF('Data Source'!W571&gt;=3.5,"A-",IF('Data Source'!W571&gt;=3,"B",IF('Data Source'!W571&gt;=2,"C",IF('Data Source'!W571&gt;=1,"D","F")))))),"")</f>
        <v/>
      </c>
      <c r="F571" s="3">
        <f>IF(AND('Data Source'!B571&lt;&gt;"",'Data Source'!S571="F"),IF('Data Source'!X571&gt;=5,"A+",IF('Data Source'!X571&gt;=4,"A",IF('Data Source'!X571&gt;=3.5,"A-",IF('Data Source'!X571&gt;=3,"B",IF('Data Source'!X571&gt;=2,"C",IF('Data Source'!X571&gt;=1,"D","F")))))),"")</f>
        <v/>
      </c>
      <c r="G571" s="3">
        <f>IF(AND('Data Source'!B571&lt;&gt;"",'Data Source'!S571="F"),IF('Data Source'!Y571&gt;=5,"A+",IF('Data Source'!Y571&gt;=4,"A",IF('Data Source'!Y571&gt;=3.5,"A-",IF('Data Source'!Y571&gt;=3,"B",IF('Data Source'!Y571&gt;=2,"C",IF('Data Source'!Y571&gt;=1,"D","F")))))),"")</f>
        <v/>
      </c>
      <c r="H571" s="3">
        <f>IF(AND('Data Source'!B571&lt;&gt;"",'Data Source'!S571="F"),IF('Data Source'!Z571&gt;=5,"A+",IF('Data Source'!Z571&gt;=4,"A",IF('Data Source'!Z571&gt;=3.5,"A-",IF('Data Source'!Z571&gt;=3,"B",IF('Data Source'!Z571&gt;=2,"C",IF('Data Source'!Z571&gt;=1,"D","F")))))),"")</f>
        <v/>
      </c>
      <c r="I571" s="3">
        <f>IF(AND('Data Source'!B571&lt;&gt;"",'Data Source'!S571="F"),IF('Data Source'!AA571&gt;=5,"A+",IF('Data Source'!AA571&gt;=4,"A",IF('Data Source'!AA571&gt;=3.5,"A-",IF('Data Source'!AA571&gt;=3,"B",IF('Data Source'!AA571&gt;=2,"C",IF('Data Source'!AA571&gt;=1,"D","F")))))),"")</f>
        <v/>
      </c>
      <c r="J571" s="3">
        <f>IF(AND('Data Source'!B571&lt;&gt;"",'Data Source'!S571="F"),IF('Data Source'!AB571&gt;=5,"A+",IF('Data Source'!AB571&gt;=4,"A",IF('Data Source'!AB571&gt;=3.5,"A-",IF('Data Source'!AB571&gt;=3,"B",IF('Data Source'!AB571&gt;=2,"C",IF('Data Source'!AB571&gt;=1,"D","F")))))),"")</f>
        <v/>
      </c>
      <c r="K571" s="3">
        <f>IF(AND('Data Source'!B571&lt;&gt;"",'Data Source'!S571="F"),IF('Data Source'!AC571&gt;=5,"A+",IF('Data Source'!AC571&gt;=4,"A",IF('Data Source'!AC571&gt;=3.5,"A-",IF('Data Source'!AC571&gt;=3,"B",IF('Data Source'!AC571&gt;=2,"C",IF('Data Source'!AC571&gt;=1,"D","F")))))),"")</f>
        <v/>
      </c>
      <c r="L571" s="3">
        <f>IF(AND('Data Source'!B571&lt;&gt;"",'Data Source'!S571="F"),IF('Data Source'!AD571&gt;=5,"A+",IF('Data Source'!AD571&gt;=4,"A",IF('Data Source'!AD571&gt;=3.5,"A-",IF('Data Source'!AD571&gt;=3,"B",IF('Data Source'!AD571&gt;=2,"C",IF('Data Source'!AD571&gt;=1,"D","F")))))),"")</f>
        <v/>
      </c>
      <c r="M571" s="3">
        <f>IF(AND('Data Source'!B571&lt;&gt;"",'Data Source'!S571="F"),IF('Data Source'!AE571&gt;=5,"A+",IF('Data Source'!AE571&gt;=4,"A",IF('Data Source'!AE571&gt;=3.5,"A-",IF('Data Source'!AE571&gt;=3,"B",IF('Data Source'!AE571&gt;=2,"C",IF('Data Source'!AE571&gt;=1,"D","F")))))),"")</f>
        <v/>
      </c>
      <c r="N571" s="3">
        <f>IF(AND('Data Source'!B571&lt;&gt;"",'Data Source'!S571="F"),IF('Data Source'!AF571&gt;=5,"A+",IF('Data Source'!AF571&gt;=4,"A",IF('Data Source'!AF571&gt;=3.5,"A-",IF('Data Source'!AF571&gt;=3,"B",IF('Data Source'!AF571&gt;=2,"C",IF('Data Source'!AF571&gt;=1,"D","F")))))),"")</f>
        <v/>
      </c>
      <c r="O571" s="3">
        <f>IF(AND('Data Source'!B571&lt;&gt;"",'Data Source'!S571="F"),IF('Data Source'!AG571&gt;=5,"A+",IF('Data Source'!AG571&gt;=4,"A",IF('Data Source'!AG571&gt;=3.5,"A-",IF('Data Source'!AG571&gt;=3,"B",IF('Data Source'!AG571&gt;=2,"C",IF('Data Source'!AG571&gt;=1,"D","F")))))),"")</f>
        <v/>
      </c>
      <c r="P571" s="5">
        <f>IF(AND('Data Source'!B571&lt;&gt;"",'Data Source'!S571="F"),'Data Source'!R571,"")</f>
        <v/>
      </c>
      <c r="Q571" s="3">
        <f>IF(AND('Data Source'!B571&lt;&gt;"",'Data Source'!S571="F"),'Data Source'!S571,"")</f>
        <v/>
      </c>
    </row>
    <row r="572">
      <c r="A572" s="3">
        <f>IF(AND('Data Source'!B572&lt;&gt;"",'Data Source'!S572="F"),COUNTIF('Data Source'!$S$3:S572,"F"),"")</f>
        <v/>
      </c>
      <c r="B572">
        <f>IF(AND('Data Source'!B572&lt;&gt;"",'Data Source'!S572="F"),'Data Source'!B572,"")</f>
        <v/>
      </c>
      <c r="C572" s="3">
        <f>IF(AND('Data Source'!B572&lt;&gt;"",'Data Source'!S572="F"),IF('Data Source'!U572&gt;=5,"A+",IF('Data Source'!U572&gt;=4,"A",IF('Data Source'!U572&gt;=3.5,"A-",IF('Data Source'!U572&gt;=3,"B",IF('Data Source'!U572&gt;=2,"C",IF('Data Source'!U572&gt;=1,"D","F")))))),"")</f>
        <v/>
      </c>
      <c r="D572" s="3">
        <f>IF(AND('Data Source'!B572&lt;&gt;"",'Data Source'!S572="F"),IF('Data Source'!V572&gt;=5,"A+",IF('Data Source'!V572&gt;=4,"A",IF('Data Source'!V572&gt;=3.5,"A-",IF('Data Source'!V572&gt;=3,"B",IF('Data Source'!V572&gt;=2,"C",IF('Data Source'!V572&gt;=1,"D","F")))))),"")</f>
        <v/>
      </c>
      <c r="E572" s="3">
        <f>IF(AND('Data Source'!B572&lt;&gt;"",'Data Source'!S572="F"),IF('Data Source'!W572&gt;=5,"A+",IF('Data Source'!W572&gt;=4,"A",IF('Data Source'!W572&gt;=3.5,"A-",IF('Data Source'!W572&gt;=3,"B",IF('Data Source'!W572&gt;=2,"C",IF('Data Source'!W572&gt;=1,"D","F")))))),"")</f>
        <v/>
      </c>
      <c r="F572" s="3">
        <f>IF(AND('Data Source'!B572&lt;&gt;"",'Data Source'!S572="F"),IF('Data Source'!X572&gt;=5,"A+",IF('Data Source'!X572&gt;=4,"A",IF('Data Source'!X572&gt;=3.5,"A-",IF('Data Source'!X572&gt;=3,"B",IF('Data Source'!X572&gt;=2,"C",IF('Data Source'!X572&gt;=1,"D","F")))))),"")</f>
        <v/>
      </c>
      <c r="G572" s="3">
        <f>IF(AND('Data Source'!B572&lt;&gt;"",'Data Source'!S572="F"),IF('Data Source'!Y572&gt;=5,"A+",IF('Data Source'!Y572&gt;=4,"A",IF('Data Source'!Y572&gt;=3.5,"A-",IF('Data Source'!Y572&gt;=3,"B",IF('Data Source'!Y572&gt;=2,"C",IF('Data Source'!Y572&gt;=1,"D","F")))))),"")</f>
        <v/>
      </c>
      <c r="H572" s="3">
        <f>IF(AND('Data Source'!B572&lt;&gt;"",'Data Source'!S572="F"),IF('Data Source'!Z572&gt;=5,"A+",IF('Data Source'!Z572&gt;=4,"A",IF('Data Source'!Z572&gt;=3.5,"A-",IF('Data Source'!Z572&gt;=3,"B",IF('Data Source'!Z572&gt;=2,"C",IF('Data Source'!Z572&gt;=1,"D","F")))))),"")</f>
        <v/>
      </c>
      <c r="I572" s="3">
        <f>IF(AND('Data Source'!B572&lt;&gt;"",'Data Source'!S572="F"),IF('Data Source'!AA572&gt;=5,"A+",IF('Data Source'!AA572&gt;=4,"A",IF('Data Source'!AA572&gt;=3.5,"A-",IF('Data Source'!AA572&gt;=3,"B",IF('Data Source'!AA572&gt;=2,"C",IF('Data Source'!AA572&gt;=1,"D","F")))))),"")</f>
        <v/>
      </c>
      <c r="J572" s="3">
        <f>IF(AND('Data Source'!B572&lt;&gt;"",'Data Source'!S572="F"),IF('Data Source'!AB572&gt;=5,"A+",IF('Data Source'!AB572&gt;=4,"A",IF('Data Source'!AB572&gt;=3.5,"A-",IF('Data Source'!AB572&gt;=3,"B",IF('Data Source'!AB572&gt;=2,"C",IF('Data Source'!AB572&gt;=1,"D","F")))))),"")</f>
        <v/>
      </c>
      <c r="K572" s="3">
        <f>IF(AND('Data Source'!B572&lt;&gt;"",'Data Source'!S572="F"),IF('Data Source'!AC572&gt;=5,"A+",IF('Data Source'!AC572&gt;=4,"A",IF('Data Source'!AC572&gt;=3.5,"A-",IF('Data Source'!AC572&gt;=3,"B",IF('Data Source'!AC572&gt;=2,"C",IF('Data Source'!AC572&gt;=1,"D","F")))))),"")</f>
        <v/>
      </c>
      <c r="L572" s="3">
        <f>IF(AND('Data Source'!B572&lt;&gt;"",'Data Source'!S572="F"),IF('Data Source'!AD572&gt;=5,"A+",IF('Data Source'!AD572&gt;=4,"A",IF('Data Source'!AD572&gt;=3.5,"A-",IF('Data Source'!AD572&gt;=3,"B",IF('Data Source'!AD572&gt;=2,"C",IF('Data Source'!AD572&gt;=1,"D","F")))))),"")</f>
        <v/>
      </c>
      <c r="M572" s="3">
        <f>IF(AND('Data Source'!B572&lt;&gt;"",'Data Source'!S572="F"),IF('Data Source'!AE572&gt;=5,"A+",IF('Data Source'!AE572&gt;=4,"A",IF('Data Source'!AE572&gt;=3.5,"A-",IF('Data Source'!AE572&gt;=3,"B",IF('Data Source'!AE572&gt;=2,"C",IF('Data Source'!AE572&gt;=1,"D","F")))))),"")</f>
        <v/>
      </c>
      <c r="N572" s="3">
        <f>IF(AND('Data Source'!B572&lt;&gt;"",'Data Source'!S572="F"),IF('Data Source'!AF572&gt;=5,"A+",IF('Data Source'!AF572&gt;=4,"A",IF('Data Source'!AF572&gt;=3.5,"A-",IF('Data Source'!AF572&gt;=3,"B",IF('Data Source'!AF572&gt;=2,"C",IF('Data Source'!AF572&gt;=1,"D","F")))))),"")</f>
        <v/>
      </c>
      <c r="O572" s="3">
        <f>IF(AND('Data Source'!B572&lt;&gt;"",'Data Source'!S572="F"),IF('Data Source'!AG572&gt;=5,"A+",IF('Data Source'!AG572&gt;=4,"A",IF('Data Source'!AG572&gt;=3.5,"A-",IF('Data Source'!AG572&gt;=3,"B",IF('Data Source'!AG572&gt;=2,"C",IF('Data Source'!AG572&gt;=1,"D","F")))))),"")</f>
        <v/>
      </c>
      <c r="P572" s="5">
        <f>IF(AND('Data Source'!B572&lt;&gt;"",'Data Source'!S572="F"),'Data Source'!R572,"")</f>
        <v/>
      </c>
      <c r="Q572" s="3">
        <f>IF(AND('Data Source'!B572&lt;&gt;"",'Data Source'!S572="F"),'Data Source'!S572,"")</f>
        <v/>
      </c>
    </row>
    <row r="573">
      <c r="A573" s="3">
        <f>IF(AND('Data Source'!B573&lt;&gt;"",'Data Source'!S573="F"),COUNTIF('Data Source'!$S$3:S573,"F"),"")</f>
        <v/>
      </c>
      <c r="B573">
        <f>IF(AND('Data Source'!B573&lt;&gt;"",'Data Source'!S573="F"),'Data Source'!B573,"")</f>
        <v/>
      </c>
      <c r="C573" s="3">
        <f>IF(AND('Data Source'!B573&lt;&gt;"",'Data Source'!S573="F"),IF('Data Source'!U573&gt;=5,"A+",IF('Data Source'!U573&gt;=4,"A",IF('Data Source'!U573&gt;=3.5,"A-",IF('Data Source'!U573&gt;=3,"B",IF('Data Source'!U573&gt;=2,"C",IF('Data Source'!U573&gt;=1,"D","F")))))),"")</f>
        <v/>
      </c>
      <c r="D573" s="3">
        <f>IF(AND('Data Source'!B573&lt;&gt;"",'Data Source'!S573="F"),IF('Data Source'!V573&gt;=5,"A+",IF('Data Source'!V573&gt;=4,"A",IF('Data Source'!V573&gt;=3.5,"A-",IF('Data Source'!V573&gt;=3,"B",IF('Data Source'!V573&gt;=2,"C",IF('Data Source'!V573&gt;=1,"D","F")))))),"")</f>
        <v/>
      </c>
      <c r="E573" s="3">
        <f>IF(AND('Data Source'!B573&lt;&gt;"",'Data Source'!S573="F"),IF('Data Source'!W573&gt;=5,"A+",IF('Data Source'!W573&gt;=4,"A",IF('Data Source'!W573&gt;=3.5,"A-",IF('Data Source'!W573&gt;=3,"B",IF('Data Source'!W573&gt;=2,"C",IF('Data Source'!W573&gt;=1,"D","F")))))),"")</f>
        <v/>
      </c>
      <c r="F573" s="3">
        <f>IF(AND('Data Source'!B573&lt;&gt;"",'Data Source'!S573="F"),IF('Data Source'!X573&gt;=5,"A+",IF('Data Source'!X573&gt;=4,"A",IF('Data Source'!X573&gt;=3.5,"A-",IF('Data Source'!X573&gt;=3,"B",IF('Data Source'!X573&gt;=2,"C",IF('Data Source'!X573&gt;=1,"D","F")))))),"")</f>
        <v/>
      </c>
      <c r="G573" s="3">
        <f>IF(AND('Data Source'!B573&lt;&gt;"",'Data Source'!S573="F"),IF('Data Source'!Y573&gt;=5,"A+",IF('Data Source'!Y573&gt;=4,"A",IF('Data Source'!Y573&gt;=3.5,"A-",IF('Data Source'!Y573&gt;=3,"B",IF('Data Source'!Y573&gt;=2,"C",IF('Data Source'!Y573&gt;=1,"D","F")))))),"")</f>
        <v/>
      </c>
      <c r="H573" s="3">
        <f>IF(AND('Data Source'!B573&lt;&gt;"",'Data Source'!S573="F"),IF('Data Source'!Z573&gt;=5,"A+",IF('Data Source'!Z573&gt;=4,"A",IF('Data Source'!Z573&gt;=3.5,"A-",IF('Data Source'!Z573&gt;=3,"B",IF('Data Source'!Z573&gt;=2,"C",IF('Data Source'!Z573&gt;=1,"D","F")))))),"")</f>
        <v/>
      </c>
      <c r="I573" s="3">
        <f>IF(AND('Data Source'!B573&lt;&gt;"",'Data Source'!S573="F"),IF('Data Source'!AA573&gt;=5,"A+",IF('Data Source'!AA573&gt;=4,"A",IF('Data Source'!AA573&gt;=3.5,"A-",IF('Data Source'!AA573&gt;=3,"B",IF('Data Source'!AA573&gt;=2,"C",IF('Data Source'!AA573&gt;=1,"D","F")))))),"")</f>
        <v/>
      </c>
      <c r="J573" s="3">
        <f>IF(AND('Data Source'!B573&lt;&gt;"",'Data Source'!S573="F"),IF('Data Source'!AB573&gt;=5,"A+",IF('Data Source'!AB573&gt;=4,"A",IF('Data Source'!AB573&gt;=3.5,"A-",IF('Data Source'!AB573&gt;=3,"B",IF('Data Source'!AB573&gt;=2,"C",IF('Data Source'!AB573&gt;=1,"D","F")))))),"")</f>
        <v/>
      </c>
      <c r="K573" s="3">
        <f>IF(AND('Data Source'!B573&lt;&gt;"",'Data Source'!S573="F"),IF('Data Source'!AC573&gt;=5,"A+",IF('Data Source'!AC573&gt;=4,"A",IF('Data Source'!AC573&gt;=3.5,"A-",IF('Data Source'!AC573&gt;=3,"B",IF('Data Source'!AC573&gt;=2,"C",IF('Data Source'!AC573&gt;=1,"D","F")))))),"")</f>
        <v/>
      </c>
      <c r="L573" s="3">
        <f>IF(AND('Data Source'!B573&lt;&gt;"",'Data Source'!S573="F"),IF('Data Source'!AD573&gt;=5,"A+",IF('Data Source'!AD573&gt;=4,"A",IF('Data Source'!AD573&gt;=3.5,"A-",IF('Data Source'!AD573&gt;=3,"B",IF('Data Source'!AD573&gt;=2,"C",IF('Data Source'!AD573&gt;=1,"D","F")))))),"")</f>
        <v/>
      </c>
      <c r="M573" s="3">
        <f>IF(AND('Data Source'!B573&lt;&gt;"",'Data Source'!S573="F"),IF('Data Source'!AE573&gt;=5,"A+",IF('Data Source'!AE573&gt;=4,"A",IF('Data Source'!AE573&gt;=3.5,"A-",IF('Data Source'!AE573&gt;=3,"B",IF('Data Source'!AE573&gt;=2,"C",IF('Data Source'!AE573&gt;=1,"D","F")))))),"")</f>
        <v/>
      </c>
      <c r="N573" s="3">
        <f>IF(AND('Data Source'!B573&lt;&gt;"",'Data Source'!S573="F"),IF('Data Source'!AF573&gt;=5,"A+",IF('Data Source'!AF573&gt;=4,"A",IF('Data Source'!AF573&gt;=3.5,"A-",IF('Data Source'!AF573&gt;=3,"B",IF('Data Source'!AF573&gt;=2,"C",IF('Data Source'!AF573&gt;=1,"D","F")))))),"")</f>
        <v/>
      </c>
      <c r="O573" s="3">
        <f>IF(AND('Data Source'!B573&lt;&gt;"",'Data Source'!S573="F"),IF('Data Source'!AG573&gt;=5,"A+",IF('Data Source'!AG573&gt;=4,"A",IF('Data Source'!AG573&gt;=3.5,"A-",IF('Data Source'!AG573&gt;=3,"B",IF('Data Source'!AG573&gt;=2,"C",IF('Data Source'!AG573&gt;=1,"D","F")))))),"")</f>
        <v/>
      </c>
      <c r="P573" s="5">
        <f>IF(AND('Data Source'!B573&lt;&gt;"",'Data Source'!S573="F"),'Data Source'!R573,"")</f>
        <v/>
      </c>
      <c r="Q573" s="3">
        <f>IF(AND('Data Source'!B573&lt;&gt;"",'Data Source'!S573="F"),'Data Source'!S573,"")</f>
        <v/>
      </c>
    </row>
    <row r="574">
      <c r="A574" s="3">
        <f>IF(AND('Data Source'!B574&lt;&gt;"",'Data Source'!S574="F"),COUNTIF('Data Source'!$S$3:S574,"F"),"")</f>
        <v/>
      </c>
      <c r="B574">
        <f>IF(AND('Data Source'!B574&lt;&gt;"",'Data Source'!S574="F"),'Data Source'!B574,"")</f>
        <v/>
      </c>
      <c r="C574" s="3">
        <f>IF(AND('Data Source'!B574&lt;&gt;"",'Data Source'!S574="F"),IF('Data Source'!U574&gt;=5,"A+",IF('Data Source'!U574&gt;=4,"A",IF('Data Source'!U574&gt;=3.5,"A-",IF('Data Source'!U574&gt;=3,"B",IF('Data Source'!U574&gt;=2,"C",IF('Data Source'!U574&gt;=1,"D","F")))))),"")</f>
        <v/>
      </c>
      <c r="D574" s="3">
        <f>IF(AND('Data Source'!B574&lt;&gt;"",'Data Source'!S574="F"),IF('Data Source'!V574&gt;=5,"A+",IF('Data Source'!V574&gt;=4,"A",IF('Data Source'!V574&gt;=3.5,"A-",IF('Data Source'!V574&gt;=3,"B",IF('Data Source'!V574&gt;=2,"C",IF('Data Source'!V574&gt;=1,"D","F")))))),"")</f>
        <v/>
      </c>
      <c r="E574" s="3">
        <f>IF(AND('Data Source'!B574&lt;&gt;"",'Data Source'!S574="F"),IF('Data Source'!W574&gt;=5,"A+",IF('Data Source'!W574&gt;=4,"A",IF('Data Source'!W574&gt;=3.5,"A-",IF('Data Source'!W574&gt;=3,"B",IF('Data Source'!W574&gt;=2,"C",IF('Data Source'!W574&gt;=1,"D","F")))))),"")</f>
        <v/>
      </c>
      <c r="F574" s="3">
        <f>IF(AND('Data Source'!B574&lt;&gt;"",'Data Source'!S574="F"),IF('Data Source'!X574&gt;=5,"A+",IF('Data Source'!X574&gt;=4,"A",IF('Data Source'!X574&gt;=3.5,"A-",IF('Data Source'!X574&gt;=3,"B",IF('Data Source'!X574&gt;=2,"C",IF('Data Source'!X574&gt;=1,"D","F")))))),"")</f>
        <v/>
      </c>
      <c r="G574" s="3">
        <f>IF(AND('Data Source'!B574&lt;&gt;"",'Data Source'!S574="F"),IF('Data Source'!Y574&gt;=5,"A+",IF('Data Source'!Y574&gt;=4,"A",IF('Data Source'!Y574&gt;=3.5,"A-",IF('Data Source'!Y574&gt;=3,"B",IF('Data Source'!Y574&gt;=2,"C",IF('Data Source'!Y574&gt;=1,"D","F")))))),"")</f>
        <v/>
      </c>
      <c r="H574" s="3">
        <f>IF(AND('Data Source'!B574&lt;&gt;"",'Data Source'!S574="F"),IF('Data Source'!Z574&gt;=5,"A+",IF('Data Source'!Z574&gt;=4,"A",IF('Data Source'!Z574&gt;=3.5,"A-",IF('Data Source'!Z574&gt;=3,"B",IF('Data Source'!Z574&gt;=2,"C",IF('Data Source'!Z574&gt;=1,"D","F")))))),"")</f>
        <v/>
      </c>
      <c r="I574" s="3">
        <f>IF(AND('Data Source'!B574&lt;&gt;"",'Data Source'!S574="F"),IF('Data Source'!AA574&gt;=5,"A+",IF('Data Source'!AA574&gt;=4,"A",IF('Data Source'!AA574&gt;=3.5,"A-",IF('Data Source'!AA574&gt;=3,"B",IF('Data Source'!AA574&gt;=2,"C",IF('Data Source'!AA574&gt;=1,"D","F")))))),"")</f>
        <v/>
      </c>
      <c r="J574" s="3">
        <f>IF(AND('Data Source'!B574&lt;&gt;"",'Data Source'!S574="F"),IF('Data Source'!AB574&gt;=5,"A+",IF('Data Source'!AB574&gt;=4,"A",IF('Data Source'!AB574&gt;=3.5,"A-",IF('Data Source'!AB574&gt;=3,"B",IF('Data Source'!AB574&gt;=2,"C",IF('Data Source'!AB574&gt;=1,"D","F")))))),"")</f>
        <v/>
      </c>
      <c r="K574" s="3">
        <f>IF(AND('Data Source'!B574&lt;&gt;"",'Data Source'!S574="F"),IF('Data Source'!AC574&gt;=5,"A+",IF('Data Source'!AC574&gt;=4,"A",IF('Data Source'!AC574&gt;=3.5,"A-",IF('Data Source'!AC574&gt;=3,"B",IF('Data Source'!AC574&gt;=2,"C",IF('Data Source'!AC574&gt;=1,"D","F")))))),"")</f>
        <v/>
      </c>
      <c r="L574" s="3">
        <f>IF(AND('Data Source'!B574&lt;&gt;"",'Data Source'!S574="F"),IF('Data Source'!AD574&gt;=5,"A+",IF('Data Source'!AD574&gt;=4,"A",IF('Data Source'!AD574&gt;=3.5,"A-",IF('Data Source'!AD574&gt;=3,"B",IF('Data Source'!AD574&gt;=2,"C",IF('Data Source'!AD574&gt;=1,"D","F")))))),"")</f>
        <v/>
      </c>
      <c r="M574" s="3">
        <f>IF(AND('Data Source'!B574&lt;&gt;"",'Data Source'!S574="F"),IF('Data Source'!AE574&gt;=5,"A+",IF('Data Source'!AE574&gt;=4,"A",IF('Data Source'!AE574&gt;=3.5,"A-",IF('Data Source'!AE574&gt;=3,"B",IF('Data Source'!AE574&gt;=2,"C",IF('Data Source'!AE574&gt;=1,"D","F")))))),"")</f>
        <v/>
      </c>
      <c r="N574" s="3">
        <f>IF(AND('Data Source'!B574&lt;&gt;"",'Data Source'!S574="F"),IF('Data Source'!AF574&gt;=5,"A+",IF('Data Source'!AF574&gt;=4,"A",IF('Data Source'!AF574&gt;=3.5,"A-",IF('Data Source'!AF574&gt;=3,"B",IF('Data Source'!AF574&gt;=2,"C",IF('Data Source'!AF574&gt;=1,"D","F")))))),"")</f>
        <v/>
      </c>
      <c r="O574" s="3">
        <f>IF(AND('Data Source'!B574&lt;&gt;"",'Data Source'!S574="F"),IF('Data Source'!AG574&gt;=5,"A+",IF('Data Source'!AG574&gt;=4,"A",IF('Data Source'!AG574&gt;=3.5,"A-",IF('Data Source'!AG574&gt;=3,"B",IF('Data Source'!AG574&gt;=2,"C",IF('Data Source'!AG574&gt;=1,"D","F")))))),"")</f>
        <v/>
      </c>
      <c r="P574" s="5">
        <f>IF(AND('Data Source'!B574&lt;&gt;"",'Data Source'!S574="F"),'Data Source'!R574,"")</f>
        <v/>
      </c>
      <c r="Q574" s="3">
        <f>IF(AND('Data Source'!B574&lt;&gt;"",'Data Source'!S574="F"),'Data Source'!S574,"")</f>
        <v/>
      </c>
    </row>
    <row r="575">
      <c r="A575" s="3">
        <f>IF(AND('Data Source'!B575&lt;&gt;"",'Data Source'!S575="F"),COUNTIF('Data Source'!$S$3:S575,"F"),"")</f>
        <v/>
      </c>
      <c r="B575">
        <f>IF(AND('Data Source'!B575&lt;&gt;"",'Data Source'!S575="F"),'Data Source'!B575,"")</f>
        <v/>
      </c>
      <c r="C575" s="3">
        <f>IF(AND('Data Source'!B575&lt;&gt;"",'Data Source'!S575="F"),IF('Data Source'!U575&gt;=5,"A+",IF('Data Source'!U575&gt;=4,"A",IF('Data Source'!U575&gt;=3.5,"A-",IF('Data Source'!U575&gt;=3,"B",IF('Data Source'!U575&gt;=2,"C",IF('Data Source'!U575&gt;=1,"D","F")))))),"")</f>
        <v/>
      </c>
      <c r="D575" s="3">
        <f>IF(AND('Data Source'!B575&lt;&gt;"",'Data Source'!S575="F"),IF('Data Source'!V575&gt;=5,"A+",IF('Data Source'!V575&gt;=4,"A",IF('Data Source'!V575&gt;=3.5,"A-",IF('Data Source'!V575&gt;=3,"B",IF('Data Source'!V575&gt;=2,"C",IF('Data Source'!V575&gt;=1,"D","F")))))),"")</f>
        <v/>
      </c>
      <c r="E575" s="3">
        <f>IF(AND('Data Source'!B575&lt;&gt;"",'Data Source'!S575="F"),IF('Data Source'!W575&gt;=5,"A+",IF('Data Source'!W575&gt;=4,"A",IF('Data Source'!W575&gt;=3.5,"A-",IF('Data Source'!W575&gt;=3,"B",IF('Data Source'!W575&gt;=2,"C",IF('Data Source'!W575&gt;=1,"D","F")))))),"")</f>
        <v/>
      </c>
      <c r="F575" s="3">
        <f>IF(AND('Data Source'!B575&lt;&gt;"",'Data Source'!S575="F"),IF('Data Source'!X575&gt;=5,"A+",IF('Data Source'!X575&gt;=4,"A",IF('Data Source'!X575&gt;=3.5,"A-",IF('Data Source'!X575&gt;=3,"B",IF('Data Source'!X575&gt;=2,"C",IF('Data Source'!X575&gt;=1,"D","F")))))),"")</f>
        <v/>
      </c>
      <c r="G575" s="3">
        <f>IF(AND('Data Source'!B575&lt;&gt;"",'Data Source'!S575="F"),IF('Data Source'!Y575&gt;=5,"A+",IF('Data Source'!Y575&gt;=4,"A",IF('Data Source'!Y575&gt;=3.5,"A-",IF('Data Source'!Y575&gt;=3,"B",IF('Data Source'!Y575&gt;=2,"C",IF('Data Source'!Y575&gt;=1,"D","F")))))),"")</f>
        <v/>
      </c>
      <c r="H575" s="3">
        <f>IF(AND('Data Source'!B575&lt;&gt;"",'Data Source'!S575="F"),IF('Data Source'!Z575&gt;=5,"A+",IF('Data Source'!Z575&gt;=4,"A",IF('Data Source'!Z575&gt;=3.5,"A-",IF('Data Source'!Z575&gt;=3,"B",IF('Data Source'!Z575&gt;=2,"C",IF('Data Source'!Z575&gt;=1,"D","F")))))),"")</f>
        <v/>
      </c>
      <c r="I575" s="3">
        <f>IF(AND('Data Source'!B575&lt;&gt;"",'Data Source'!S575="F"),IF('Data Source'!AA575&gt;=5,"A+",IF('Data Source'!AA575&gt;=4,"A",IF('Data Source'!AA575&gt;=3.5,"A-",IF('Data Source'!AA575&gt;=3,"B",IF('Data Source'!AA575&gt;=2,"C",IF('Data Source'!AA575&gt;=1,"D","F")))))),"")</f>
        <v/>
      </c>
      <c r="J575" s="3">
        <f>IF(AND('Data Source'!B575&lt;&gt;"",'Data Source'!S575="F"),IF('Data Source'!AB575&gt;=5,"A+",IF('Data Source'!AB575&gt;=4,"A",IF('Data Source'!AB575&gt;=3.5,"A-",IF('Data Source'!AB575&gt;=3,"B",IF('Data Source'!AB575&gt;=2,"C",IF('Data Source'!AB575&gt;=1,"D","F")))))),"")</f>
        <v/>
      </c>
      <c r="K575" s="3">
        <f>IF(AND('Data Source'!B575&lt;&gt;"",'Data Source'!S575="F"),IF('Data Source'!AC575&gt;=5,"A+",IF('Data Source'!AC575&gt;=4,"A",IF('Data Source'!AC575&gt;=3.5,"A-",IF('Data Source'!AC575&gt;=3,"B",IF('Data Source'!AC575&gt;=2,"C",IF('Data Source'!AC575&gt;=1,"D","F")))))),"")</f>
        <v/>
      </c>
      <c r="L575" s="3">
        <f>IF(AND('Data Source'!B575&lt;&gt;"",'Data Source'!S575="F"),IF('Data Source'!AD575&gt;=5,"A+",IF('Data Source'!AD575&gt;=4,"A",IF('Data Source'!AD575&gt;=3.5,"A-",IF('Data Source'!AD575&gt;=3,"B",IF('Data Source'!AD575&gt;=2,"C",IF('Data Source'!AD575&gt;=1,"D","F")))))),"")</f>
        <v/>
      </c>
      <c r="M575" s="3">
        <f>IF(AND('Data Source'!B575&lt;&gt;"",'Data Source'!S575="F"),IF('Data Source'!AE575&gt;=5,"A+",IF('Data Source'!AE575&gt;=4,"A",IF('Data Source'!AE575&gt;=3.5,"A-",IF('Data Source'!AE575&gt;=3,"B",IF('Data Source'!AE575&gt;=2,"C",IF('Data Source'!AE575&gt;=1,"D","F")))))),"")</f>
        <v/>
      </c>
      <c r="N575" s="3">
        <f>IF(AND('Data Source'!B575&lt;&gt;"",'Data Source'!S575="F"),IF('Data Source'!AF575&gt;=5,"A+",IF('Data Source'!AF575&gt;=4,"A",IF('Data Source'!AF575&gt;=3.5,"A-",IF('Data Source'!AF575&gt;=3,"B",IF('Data Source'!AF575&gt;=2,"C",IF('Data Source'!AF575&gt;=1,"D","F")))))),"")</f>
        <v/>
      </c>
      <c r="O575" s="3">
        <f>IF(AND('Data Source'!B575&lt;&gt;"",'Data Source'!S575="F"),IF('Data Source'!AG575&gt;=5,"A+",IF('Data Source'!AG575&gt;=4,"A",IF('Data Source'!AG575&gt;=3.5,"A-",IF('Data Source'!AG575&gt;=3,"B",IF('Data Source'!AG575&gt;=2,"C",IF('Data Source'!AG575&gt;=1,"D","F")))))),"")</f>
        <v/>
      </c>
      <c r="P575" s="5">
        <f>IF(AND('Data Source'!B575&lt;&gt;"",'Data Source'!S575="F"),'Data Source'!R575,"")</f>
        <v/>
      </c>
      <c r="Q575" s="3">
        <f>IF(AND('Data Source'!B575&lt;&gt;"",'Data Source'!S575="F"),'Data Source'!S575,"")</f>
        <v/>
      </c>
    </row>
    <row r="576">
      <c r="A576" s="3">
        <f>IF(AND('Data Source'!B576&lt;&gt;"",'Data Source'!S576="F"),COUNTIF('Data Source'!$S$3:S576,"F"),"")</f>
        <v/>
      </c>
      <c r="B576">
        <f>IF(AND('Data Source'!B576&lt;&gt;"",'Data Source'!S576="F"),'Data Source'!B576,"")</f>
        <v/>
      </c>
      <c r="C576" s="3">
        <f>IF(AND('Data Source'!B576&lt;&gt;"",'Data Source'!S576="F"),IF('Data Source'!U576&gt;=5,"A+",IF('Data Source'!U576&gt;=4,"A",IF('Data Source'!U576&gt;=3.5,"A-",IF('Data Source'!U576&gt;=3,"B",IF('Data Source'!U576&gt;=2,"C",IF('Data Source'!U576&gt;=1,"D","F")))))),"")</f>
        <v/>
      </c>
      <c r="D576" s="3">
        <f>IF(AND('Data Source'!B576&lt;&gt;"",'Data Source'!S576="F"),IF('Data Source'!V576&gt;=5,"A+",IF('Data Source'!V576&gt;=4,"A",IF('Data Source'!V576&gt;=3.5,"A-",IF('Data Source'!V576&gt;=3,"B",IF('Data Source'!V576&gt;=2,"C",IF('Data Source'!V576&gt;=1,"D","F")))))),"")</f>
        <v/>
      </c>
      <c r="E576" s="3">
        <f>IF(AND('Data Source'!B576&lt;&gt;"",'Data Source'!S576="F"),IF('Data Source'!W576&gt;=5,"A+",IF('Data Source'!W576&gt;=4,"A",IF('Data Source'!W576&gt;=3.5,"A-",IF('Data Source'!W576&gt;=3,"B",IF('Data Source'!W576&gt;=2,"C",IF('Data Source'!W576&gt;=1,"D","F")))))),"")</f>
        <v/>
      </c>
      <c r="F576" s="3">
        <f>IF(AND('Data Source'!B576&lt;&gt;"",'Data Source'!S576="F"),IF('Data Source'!X576&gt;=5,"A+",IF('Data Source'!X576&gt;=4,"A",IF('Data Source'!X576&gt;=3.5,"A-",IF('Data Source'!X576&gt;=3,"B",IF('Data Source'!X576&gt;=2,"C",IF('Data Source'!X576&gt;=1,"D","F")))))),"")</f>
        <v/>
      </c>
      <c r="G576" s="3">
        <f>IF(AND('Data Source'!B576&lt;&gt;"",'Data Source'!S576="F"),IF('Data Source'!Y576&gt;=5,"A+",IF('Data Source'!Y576&gt;=4,"A",IF('Data Source'!Y576&gt;=3.5,"A-",IF('Data Source'!Y576&gt;=3,"B",IF('Data Source'!Y576&gt;=2,"C",IF('Data Source'!Y576&gt;=1,"D","F")))))),"")</f>
        <v/>
      </c>
      <c r="H576" s="3">
        <f>IF(AND('Data Source'!B576&lt;&gt;"",'Data Source'!S576="F"),IF('Data Source'!Z576&gt;=5,"A+",IF('Data Source'!Z576&gt;=4,"A",IF('Data Source'!Z576&gt;=3.5,"A-",IF('Data Source'!Z576&gt;=3,"B",IF('Data Source'!Z576&gt;=2,"C",IF('Data Source'!Z576&gt;=1,"D","F")))))),"")</f>
        <v/>
      </c>
      <c r="I576" s="3">
        <f>IF(AND('Data Source'!B576&lt;&gt;"",'Data Source'!S576="F"),IF('Data Source'!AA576&gt;=5,"A+",IF('Data Source'!AA576&gt;=4,"A",IF('Data Source'!AA576&gt;=3.5,"A-",IF('Data Source'!AA576&gt;=3,"B",IF('Data Source'!AA576&gt;=2,"C",IF('Data Source'!AA576&gt;=1,"D","F")))))),"")</f>
        <v/>
      </c>
      <c r="J576" s="3">
        <f>IF(AND('Data Source'!B576&lt;&gt;"",'Data Source'!S576="F"),IF('Data Source'!AB576&gt;=5,"A+",IF('Data Source'!AB576&gt;=4,"A",IF('Data Source'!AB576&gt;=3.5,"A-",IF('Data Source'!AB576&gt;=3,"B",IF('Data Source'!AB576&gt;=2,"C",IF('Data Source'!AB576&gt;=1,"D","F")))))),"")</f>
        <v/>
      </c>
      <c r="K576" s="3">
        <f>IF(AND('Data Source'!B576&lt;&gt;"",'Data Source'!S576="F"),IF('Data Source'!AC576&gt;=5,"A+",IF('Data Source'!AC576&gt;=4,"A",IF('Data Source'!AC576&gt;=3.5,"A-",IF('Data Source'!AC576&gt;=3,"B",IF('Data Source'!AC576&gt;=2,"C",IF('Data Source'!AC576&gt;=1,"D","F")))))),"")</f>
        <v/>
      </c>
      <c r="L576" s="3">
        <f>IF(AND('Data Source'!B576&lt;&gt;"",'Data Source'!S576="F"),IF('Data Source'!AD576&gt;=5,"A+",IF('Data Source'!AD576&gt;=4,"A",IF('Data Source'!AD576&gt;=3.5,"A-",IF('Data Source'!AD576&gt;=3,"B",IF('Data Source'!AD576&gt;=2,"C",IF('Data Source'!AD576&gt;=1,"D","F")))))),"")</f>
        <v/>
      </c>
      <c r="M576" s="3">
        <f>IF(AND('Data Source'!B576&lt;&gt;"",'Data Source'!S576="F"),IF('Data Source'!AE576&gt;=5,"A+",IF('Data Source'!AE576&gt;=4,"A",IF('Data Source'!AE576&gt;=3.5,"A-",IF('Data Source'!AE576&gt;=3,"B",IF('Data Source'!AE576&gt;=2,"C",IF('Data Source'!AE576&gt;=1,"D","F")))))),"")</f>
        <v/>
      </c>
      <c r="N576" s="3">
        <f>IF(AND('Data Source'!B576&lt;&gt;"",'Data Source'!S576="F"),IF('Data Source'!AF576&gt;=5,"A+",IF('Data Source'!AF576&gt;=4,"A",IF('Data Source'!AF576&gt;=3.5,"A-",IF('Data Source'!AF576&gt;=3,"B",IF('Data Source'!AF576&gt;=2,"C",IF('Data Source'!AF576&gt;=1,"D","F")))))),"")</f>
        <v/>
      </c>
      <c r="O576" s="3">
        <f>IF(AND('Data Source'!B576&lt;&gt;"",'Data Source'!S576="F"),IF('Data Source'!AG576&gt;=5,"A+",IF('Data Source'!AG576&gt;=4,"A",IF('Data Source'!AG576&gt;=3.5,"A-",IF('Data Source'!AG576&gt;=3,"B",IF('Data Source'!AG576&gt;=2,"C",IF('Data Source'!AG576&gt;=1,"D","F")))))),"")</f>
        <v/>
      </c>
      <c r="P576" s="5">
        <f>IF(AND('Data Source'!B576&lt;&gt;"",'Data Source'!S576="F"),'Data Source'!R576,"")</f>
        <v/>
      </c>
      <c r="Q576" s="3">
        <f>IF(AND('Data Source'!B576&lt;&gt;"",'Data Source'!S576="F"),'Data Source'!S576,"")</f>
        <v/>
      </c>
    </row>
    <row r="577">
      <c r="A577" s="3">
        <f>IF(AND('Data Source'!B577&lt;&gt;"",'Data Source'!S577="F"),COUNTIF('Data Source'!$S$3:S577,"F"),"")</f>
        <v/>
      </c>
      <c r="B577">
        <f>IF(AND('Data Source'!B577&lt;&gt;"",'Data Source'!S577="F"),'Data Source'!B577,"")</f>
        <v/>
      </c>
      <c r="C577" s="3">
        <f>IF(AND('Data Source'!B577&lt;&gt;"",'Data Source'!S577="F"),IF('Data Source'!U577&gt;=5,"A+",IF('Data Source'!U577&gt;=4,"A",IF('Data Source'!U577&gt;=3.5,"A-",IF('Data Source'!U577&gt;=3,"B",IF('Data Source'!U577&gt;=2,"C",IF('Data Source'!U577&gt;=1,"D","F")))))),"")</f>
        <v/>
      </c>
      <c r="D577" s="3">
        <f>IF(AND('Data Source'!B577&lt;&gt;"",'Data Source'!S577="F"),IF('Data Source'!V577&gt;=5,"A+",IF('Data Source'!V577&gt;=4,"A",IF('Data Source'!V577&gt;=3.5,"A-",IF('Data Source'!V577&gt;=3,"B",IF('Data Source'!V577&gt;=2,"C",IF('Data Source'!V577&gt;=1,"D","F")))))),"")</f>
        <v/>
      </c>
      <c r="E577" s="3">
        <f>IF(AND('Data Source'!B577&lt;&gt;"",'Data Source'!S577="F"),IF('Data Source'!W577&gt;=5,"A+",IF('Data Source'!W577&gt;=4,"A",IF('Data Source'!W577&gt;=3.5,"A-",IF('Data Source'!W577&gt;=3,"B",IF('Data Source'!W577&gt;=2,"C",IF('Data Source'!W577&gt;=1,"D","F")))))),"")</f>
        <v/>
      </c>
      <c r="F577" s="3">
        <f>IF(AND('Data Source'!B577&lt;&gt;"",'Data Source'!S577="F"),IF('Data Source'!X577&gt;=5,"A+",IF('Data Source'!X577&gt;=4,"A",IF('Data Source'!X577&gt;=3.5,"A-",IF('Data Source'!X577&gt;=3,"B",IF('Data Source'!X577&gt;=2,"C",IF('Data Source'!X577&gt;=1,"D","F")))))),"")</f>
        <v/>
      </c>
      <c r="G577" s="3">
        <f>IF(AND('Data Source'!B577&lt;&gt;"",'Data Source'!S577="F"),IF('Data Source'!Y577&gt;=5,"A+",IF('Data Source'!Y577&gt;=4,"A",IF('Data Source'!Y577&gt;=3.5,"A-",IF('Data Source'!Y577&gt;=3,"B",IF('Data Source'!Y577&gt;=2,"C",IF('Data Source'!Y577&gt;=1,"D","F")))))),"")</f>
        <v/>
      </c>
      <c r="H577" s="3">
        <f>IF(AND('Data Source'!B577&lt;&gt;"",'Data Source'!S577="F"),IF('Data Source'!Z577&gt;=5,"A+",IF('Data Source'!Z577&gt;=4,"A",IF('Data Source'!Z577&gt;=3.5,"A-",IF('Data Source'!Z577&gt;=3,"B",IF('Data Source'!Z577&gt;=2,"C",IF('Data Source'!Z577&gt;=1,"D","F")))))),"")</f>
        <v/>
      </c>
      <c r="I577" s="3">
        <f>IF(AND('Data Source'!B577&lt;&gt;"",'Data Source'!S577="F"),IF('Data Source'!AA577&gt;=5,"A+",IF('Data Source'!AA577&gt;=4,"A",IF('Data Source'!AA577&gt;=3.5,"A-",IF('Data Source'!AA577&gt;=3,"B",IF('Data Source'!AA577&gt;=2,"C",IF('Data Source'!AA577&gt;=1,"D","F")))))),"")</f>
        <v/>
      </c>
      <c r="J577" s="3">
        <f>IF(AND('Data Source'!B577&lt;&gt;"",'Data Source'!S577="F"),IF('Data Source'!AB577&gt;=5,"A+",IF('Data Source'!AB577&gt;=4,"A",IF('Data Source'!AB577&gt;=3.5,"A-",IF('Data Source'!AB577&gt;=3,"B",IF('Data Source'!AB577&gt;=2,"C",IF('Data Source'!AB577&gt;=1,"D","F")))))),"")</f>
        <v/>
      </c>
      <c r="K577" s="3">
        <f>IF(AND('Data Source'!B577&lt;&gt;"",'Data Source'!S577="F"),IF('Data Source'!AC577&gt;=5,"A+",IF('Data Source'!AC577&gt;=4,"A",IF('Data Source'!AC577&gt;=3.5,"A-",IF('Data Source'!AC577&gt;=3,"B",IF('Data Source'!AC577&gt;=2,"C",IF('Data Source'!AC577&gt;=1,"D","F")))))),"")</f>
        <v/>
      </c>
      <c r="L577" s="3">
        <f>IF(AND('Data Source'!B577&lt;&gt;"",'Data Source'!S577="F"),IF('Data Source'!AD577&gt;=5,"A+",IF('Data Source'!AD577&gt;=4,"A",IF('Data Source'!AD577&gt;=3.5,"A-",IF('Data Source'!AD577&gt;=3,"B",IF('Data Source'!AD577&gt;=2,"C",IF('Data Source'!AD577&gt;=1,"D","F")))))),"")</f>
        <v/>
      </c>
      <c r="M577" s="3">
        <f>IF(AND('Data Source'!B577&lt;&gt;"",'Data Source'!S577="F"),IF('Data Source'!AE577&gt;=5,"A+",IF('Data Source'!AE577&gt;=4,"A",IF('Data Source'!AE577&gt;=3.5,"A-",IF('Data Source'!AE577&gt;=3,"B",IF('Data Source'!AE577&gt;=2,"C",IF('Data Source'!AE577&gt;=1,"D","F")))))),"")</f>
        <v/>
      </c>
      <c r="N577" s="3">
        <f>IF(AND('Data Source'!B577&lt;&gt;"",'Data Source'!S577="F"),IF('Data Source'!AF577&gt;=5,"A+",IF('Data Source'!AF577&gt;=4,"A",IF('Data Source'!AF577&gt;=3.5,"A-",IF('Data Source'!AF577&gt;=3,"B",IF('Data Source'!AF577&gt;=2,"C",IF('Data Source'!AF577&gt;=1,"D","F")))))),"")</f>
        <v/>
      </c>
      <c r="O577" s="3">
        <f>IF(AND('Data Source'!B577&lt;&gt;"",'Data Source'!S577="F"),IF('Data Source'!AG577&gt;=5,"A+",IF('Data Source'!AG577&gt;=4,"A",IF('Data Source'!AG577&gt;=3.5,"A-",IF('Data Source'!AG577&gt;=3,"B",IF('Data Source'!AG577&gt;=2,"C",IF('Data Source'!AG577&gt;=1,"D","F")))))),"")</f>
        <v/>
      </c>
      <c r="P577" s="5">
        <f>IF(AND('Data Source'!B577&lt;&gt;"",'Data Source'!S577="F"),'Data Source'!R577,"")</f>
        <v/>
      </c>
      <c r="Q577" s="3">
        <f>IF(AND('Data Source'!B577&lt;&gt;"",'Data Source'!S577="F"),'Data Source'!S577,"")</f>
        <v/>
      </c>
    </row>
    <row r="578">
      <c r="A578" s="3">
        <f>IF(AND('Data Source'!B578&lt;&gt;"",'Data Source'!S578="F"),COUNTIF('Data Source'!$S$3:S578,"F"),"")</f>
        <v/>
      </c>
      <c r="B578">
        <f>IF(AND('Data Source'!B578&lt;&gt;"",'Data Source'!S578="F"),'Data Source'!B578,"")</f>
        <v/>
      </c>
      <c r="C578" s="3">
        <f>IF(AND('Data Source'!B578&lt;&gt;"",'Data Source'!S578="F"),IF('Data Source'!U578&gt;=5,"A+",IF('Data Source'!U578&gt;=4,"A",IF('Data Source'!U578&gt;=3.5,"A-",IF('Data Source'!U578&gt;=3,"B",IF('Data Source'!U578&gt;=2,"C",IF('Data Source'!U578&gt;=1,"D","F")))))),"")</f>
        <v/>
      </c>
      <c r="D578" s="3">
        <f>IF(AND('Data Source'!B578&lt;&gt;"",'Data Source'!S578="F"),IF('Data Source'!V578&gt;=5,"A+",IF('Data Source'!V578&gt;=4,"A",IF('Data Source'!V578&gt;=3.5,"A-",IF('Data Source'!V578&gt;=3,"B",IF('Data Source'!V578&gt;=2,"C",IF('Data Source'!V578&gt;=1,"D","F")))))),"")</f>
        <v/>
      </c>
      <c r="E578" s="3">
        <f>IF(AND('Data Source'!B578&lt;&gt;"",'Data Source'!S578="F"),IF('Data Source'!W578&gt;=5,"A+",IF('Data Source'!W578&gt;=4,"A",IF('Data Source'!W578&gt;=3.5,"A-",IF('Data Source'!W578&gt;=3,"B",IF('Data Source'!W578&gt;=2,"C",IF('Data Source'!W578&gt;=1,"D","F")))))),"")</f>
        <v/>
      </c>
      <c r="F578" s="3">
        <f>IF(AND('Data Source'!B578&lt;&gt;"",'Data Source'!S578="F"),IF('Data Source'!X578&gt;=5,"A+",IF('Data Source'!X578&gt;=4,"A",IF('Data Source'!X578&gt;=3.5,"A-",IF('Data Source'!X578&gt;=3,"B",IF('Data Source'!X578&gt;=2,"C",IF('Data Source'!X578&gt;=1,"D","F")))))),"")</f>
        <v/>
      </c>
      <c r="G578" s="3">
        <f>IF(AND('Data Source'!B578&lt;&gt;"",'Data Source'!S578="F"),IF('Data Source'!Y578&gt;=5,"A+",IF('Data Source'!Y578&gt;=4,"A",IF('Data Source'!Y578&gt;=3.5,"A-",IF('Data Source'!Y578&gt;=3,"B",IF('Data Source'!Y578&gt;=2,"C",IF('Data Source'!Y578&gt;=1,"D","F")))))),"")</f>
        <v/>
      </c>
      <c r="H578" s="3">
        <f>IF(AND('Data Source'!B578&lt;&gt;"",'Data Source'!S578="F"),IF('Data Source'!Z578&gt;=5,"A+",IF('Data Source'!Z578&gt;=4,"A",IF('Data Source'!Z578&gt;=3.5,"A-",IF('Data Source'!Z578&gt;=3,"B",IF('Data Source'!Z578&gt;=2,"C",IF('Data Source'!Z578&gt;=1,"D","F")))))),"")</f>
        <v/>
      </c>
      <c r="I578" s="3">
        <f>IF(AND('Data Source'!B578&lt;&gt;"",'Data Source'!S578="F"),IF('Data Source'!AA578&gt;=5,"A+",IF('Data Source'!AA578&gt;=4,"A",IF('Data Source'!AA578&gt;=3.5,"A-",IF('Data Source'!AA578&gt;=3,"B",IF('Data Source'!AA578&gt;=2,"C",IF('Data Source'!AA578&gt;=1,"D","F")))))),"")</f>
        <v/>
      </c>
      <c r="J578" s="3">
        <f>IF(AND('Data Source'!B578&lt;&gt;"",'Data Source'!S578="F"),IF('Data Source'!AB578&gt;=5,"A+",IF('Data Source'!AB578&gt;=4,"A",IF('Data Source'!AB578&gt;=3.5,"A-",IF('Data Source'!AB578&gt;=3,"B",IF('Data Source'!AB578&gt;=2,"C",IF('Data Source'!AB578&gt;=1,"D","F")))))),"")</f>
        <v/>
      </c>
      <c r="K578" s="3">
        <f>IF(AND('Data Source'!B578&lt;&gt;"",'Data Source'!S578="F"),IF('Data Source'!AC578&gt;=5,"A+",IF('Data Source'!AC578&gt;=4,"A",IF('Data Source'!AC578&gt;=3.5,"A-",IF('Data Source'!AC578&gt;=3,"B",IF('Data Source'!AC578&gt;=2,"C",IF('Data Source'!AC578&gt;=1,"D","F")))))),"")</f>
        <v/>
      </c>
      <c r="L578" s="3">
        <f>IF(AND('Data Source'!B578&lt;&gt;"",'Data Source'!S578="F"),IF('Data Source'!AD578&gt;=5,"A+",IF('Data Source'!AD578&gt;=4,"A",IF('Data Source'!AD578&gt;=3.5,"A-",IF('Data Source'!AD578&gt;=3,"B",IF('Data Source'!AD578&gt;=2,"C",IF('Data Source'!AD578&gt;=1,"D","F")))))),"")</f>
        <v/>
      </c>
      <c r="M578" s="3">
        <f>IF(AND('Data Source'!B578&lt;&gt;"",'Data Source'!S578="F"),IF('Data Source'!AE578&gt;=5,"A+",IF('Data Source'!AE578&gt;=4,"A",IF('Data Source'!AE578&gt;=3.5,"A-",IF('Data Source'!AE578&gt;=3,"B",IF('Data Source'!AE578&gt;=2,"C",IF('Data Source'!AE578&gt;=1,"D","F")))))),"")</f>
        <v/>
      </c>
      <c r="N578" s="3">
        <f>IF(AND('Data Source'!B578&lt;&gt;"",'Data Source'!S578="F"),IF('Data Source'!AF578&gt;=5,"A+",IF('Data Source'!AF578&gt;=4,"A",IF('Data Source'!AF578&gt;=3.5,"A-",IF('Data Source'!AF578&gt;=3,"B",IF('Data Source'!AF578&gt;=2,"C",IF('Data Source'!AF578&gt;=1,"D","F")))))),"")</f>
        <v/>
      </c>
      <c r="O578" s="3">
        <f>IF(AND('Data Source'!B578&lt;&gt;"",'Data Source'!S578="F"),IF('Data Source'!AG578&gt;=5,"A+",IF('Data Source'!AG578&gt;=4,"A",IF('Data Source'!AG578&gt;=3.5,"A-",IF('Data Source'!AG578&gt;=3,"B",IF('Data Source'!AG578&gt;=2,"C",IF('Data Source'!AG578&gt;=1,"D","F")))))),"")</f>
        <v/>
      </c>
      <c r="P578" s="5">
        <f>IF(AND('Data Source'!B578&lt;&gt;"",'Data Source'!S578="F"),'Data Source'!R578,"")</f>
        <v/>
      </c>
      <c r="Q578" s="3">
        <f>IF(AND('Data Source'!B578&lt;&gt;"",'Data Source'!S578="F"),'Data Source'!S578,"")</f>
        <v/>
      </c>
    </row>
    <row r="579">
      <c r="A579" s="3">
        <f>IF(AND('Data Source'!B579&lt;&gt;"",'Data Source'!S579="F"),COUNTIF('Data Source'!$S$3:S579,"F"),"")</f>
        <v/>
      </c>
      <c r="B579">
        <f>IF(AND('Data Source'!B579&lt;&gt;"",'Data Source'!S579="F"),'Data Source'!B579,"")</f>
        <v/>
      </c>
      <c r="C579" s="3">
        <f>IF(AND('Data Source'!B579&lt;&gt;"",'Data Source'!S579="F"),IF('Data Source'!U579&gt;=5,"A+",IF('Data Source'!U579&gt;=4,"A",IF('Data Source'!U579&gt;=3.5,"A-",IF('Data Source'!U579&gt;=3,"B",IF('Data Source'!U579&gt;=2,"C",IF('Data Source'!U579&gt;=1,"D","F")))))),"")</f>
        <v/>
      </c>
      <c r="D579" s="3">
        <f>IF(AND('Data Source'!B579&lt;&gt;"",'Data Source'!S579="F"),IF('Data Source'!V579&gt;=5,"A+",IF('Data Source'!V579&gt;=4,"A",IF('Data Source'!V579&gt;=3.5,"A-",IF('Data Source'!V579&gt;=3,"B",IF('Data Source'!V579&gt;=2,"C",IF('Data Source'!V579&gt;=1,"D","F")))))),"")</f>
        <v/>
      </c>
      <c r="E579" s="3">
        <f>IF(AND('Data Source'!B579&lt;&gt;"",'Data Source'!S579="F"),IF('Data Source'!W579&gt;=5,"A+",IF('Data Source'!W579&gt;=4,"A",IF('Data Source'!W579&gt;=3.5,"A-",IF('Data Source'!W579&gt;=3,"B",IF('Data Source'!W579&gt;=2,"C",IF('Data Source'!W579&gt;=1,"D","F")))))),"")</f>
        <v/>
      </c>
      <c r="F579" s="3">
        <f>IF(AND('Data Source'!B579&lt;&gt;"",'Data Source'!S579="F"),IF('Data Source'!X579&gt;=5,"A+",IF('Data Source'!X579&gt;=4,"A",IF('Data Source'!X579&gt;=3.5,"A-",IF('Data Source'!X579&gt;=3,"B",IF('Data Source'!X579&gt;=2,"C",IF('Data Source'!X579&gt;=1,"D","F")))))),"")</f>
        <v/>
      </c>
      <c r="G579" s="3">
        <f>IF(AND('Data Source'!B579&lt;&gt;"",'Data Source'!S579="F"),IF('Data Source'!Y579&gt;=5,"A+",IF('Data Source'!Y579&gt;=4,"A",IF('Data Source'!Y579&gt;=3.5,"A-",IF('Data Source'!Y579&gt;=3,"B",IF('Data Source'!Y579&gt;=2,"C",IF('Data Source'!Y579&gt;=1,"D","F")))))),"")</f>
        <v/>
      </c>
      <c r="H579" s="3">
        <f>IF(AND('Data Source'!B579&lt;&gt;"",'Data Source'!S579="F"),IF('Data Source'!Z579&gt;=5,"A+",IF('Data Source'!Z579&gt;=4,"A",IF('Data Source'!Z579&gt;=3.5,"A-",IF('Data Source'!Z579&gt;=3,"B",IF('Data Source'!Z579&gt;=2,"C",IF('Data Source'!Z579&gt;=1,"D","F")))))),"")</f>
        <v/>
      </c>
      <c r="I579" s="3">
        <f>IF(AND('Data Source'!B579&lt;&gt;"",'Data Source'!S579="F"),IF('Data Source'!AA579&gt;=5,"A+",IF('Data Source'!AA579&gt;=4,"A",IF('Data Source'!AA579&gt;=3.5,"A-",IF('Data Source'!AA579&gt;=3,"B",IF('Data Source'!AA579&gt;=2,"C",IF('Data Source'!AA579&gt;=1,"D","F")))))),"")</f>
        <v/>
      </c>
      <c r="J579" s="3">
        <f>IF(AND('Data Source'!B579&lt;&gt;"",'Data Source'!S579="F"),IF('Data Source'!AB579&gt;=5,"A+",IF('Data Source'!AB579&gt;=4,"A",IF('Data Source'!AB579&gt;=3.5,"A-",IF('Data Source'!AB579&gt;=3,"B",IF('Data Source'!AB579&gt;=2,"C",IF('Data Source'!AB579&gt;=1,"D","F")))))),"")</f>
        <v/>
      </c>
      <c r="K579" s="3">
        <f>IF(AND('Data Source'!B579&lt;&gt;"",'Data Source'!S579="F"),IF('Data Source'!AC579&gt;=5,"A+",IF('Data Source'!AC579&gt;=4,"A",IF('Data Source'!AC579&gt;=3.5,"A-",IF('Data Source'!AC579&gt;=3,"B",IF('Data Source'!AC579&gt;=2,"C",IF('Data Source'!AC579&gt;=1,"D","F")))))),"")</f>
        <v/>
      </c>
      <c r="L579" s="3">
        <f>IF(AND('Data Source'!B579&lt;&gt;"",'Data Source'!S579="F"),IF('Data Source'!AD579&gt;=5,"A+",IF('Data Source'!AD579&gt;=4,"A",IF('Data Source'!AD579&gt;=3.5,"A-",IF('Data Source'!AD579&gt;=3,"B",IF('Data Source'!AD579&gt;=2,"C",IF('Data Source'!AD579&gt;=1,"D","F")))))),"")</f>
        <v/>
      </c>
      <c r="M579" s="3">
        <f>IF(AND('Data Source'!B579&lt;&gt;"",'Data Source'!S579="F"),IF('Data Source'!AE579&gt;=5,"A+",IF('Data Source'!AE579&gt;=4,"A",IF('Data Source'!AE579&gt;=3.5,"A-",IF('Data Source'!AE579&gt;=3,"B",IF('Data Source'!AE579&gt;=2,"C",IF('Data Source'!AE579&gt;=1,"D","F")))))),"")</f>
        <v/>
      </c>
      <c r="N579" s="3">
        <f>IF(AND('Data Source'!B579&lt;&gt;"",'Data Source'!S579="F"),IF('Data Source'!AF579&gt;=5,"A+",IF('Data Source'!AF579&gt;=4,"A",IF('Data Source'!AF579&gt;=3.5,"A-",IF('Data Source'!AF579&gt;=3,"B",IF('Data Source'!AF579&gt;=2,"C",IF('Data Source'!AF579&gt;=1,"D","F")))))),"")</f>
        <v/>
      </c>
      <c r="O579" s="3">
        <f>IF(AND('Data Source'!B579&lt;&gt;"",'Data Source'!S579="F"),IF('Data Source'!AG579&gt;=5,"A+",IF('Data Source'!AG579&gt;=4,"A",IF('Data Source'!AG579&gt;=3.5,"A-",IF('Data Source'!AG579&gt;=3,"B",IF('Data Source'!AG579&gt;=2,"C",IF('Data Source'!AG579&gt;=1,"D","F")))))),"")</f>
        <v/>
      </c>
      <c r="P579" s="5">
        <f>IF(AND('Data Source'!B579&lt;&gt;"",'Data Source'!S579="F"),'Data Source'!R579,"")</f>
        <v/>
      </c>
      <c r="Q579" s="3">
        <f>IF(AND('Data Source'!B579&lt;&gt;"",'Data Source'!S579="F"),'Data Source'!S579,"")</f>
        <v/>
      </c>
    </row>
    <row r="580">
      <c r="A580" s="3">
        <f>IF(AND('Data Source'!B580&lt;&gt;"",'Data Source'!S580="F"),COUNTIF('Data Source'!$S$3:S580,"F"),"")</f>
        <v/>
      </c>
      <c r="B580">
        <f>IF(AND('Data Source'!B580&lt;&gt;"",'Data Source'!S580="F"),'Data Source'!B580,"")</f>
        <v/>
      </c>
      <c r="C580" s="3">
        <f>IF(AND('Data Source'!B580&lt;&gt;"",'Data Source'!S580="F"),IF('Data Source'!U580&gt;=5,"A+",IF('Data Source'!U580&gt;=4,"A",IF('Data Source'!U580&gt;=3.5,"A-",IF('Data Source'!U580&gt;=3,"B",IF('Data Source'!U580&gt;=2,"C",IF('Data Source'!U580&gt;=1,"D","F")))))),"")</f>
        <v/>
      </c>
      <c r="D580" s="3">
        <f>IF(AND('Data Source'!B580&lt;&gt;"",'Data Source'!S580="F"),IF('Data Source'!V580&gt;=5,"A+",IF('Data Source'!V580&gt;=4,"A",IF('Data Source'!V580&gt;=3.5,"A-",IF('Data Source'!V580&gt;=3,"B",IF('Data Source'!V580&gt;=2,"C",IF('Data Source'!V580&gt;=1,"D","F")))))),"")</f>
        <v/>
      </c>
      <c r="E580" s="3">
        <f>IF(AND('Data Source'!B580&lt;&gt;"",'Data Source'!S580="F"),IF('Data Source'!W580&gt;=5,"A+",IF('Data Source'!W580&gt;=4,"A",IF('Data Source'!W580&gt;=3.5,"A-",IF('Data Source'!W580&gt;=3,"B",IF('Data Source'!W580&gt;=2,"C",IF('Data Source'!W580&gt;=1,"D","F")))))),"")</f>
        <v/>
      </c>
      <c r="F580" s="3">
        <f>IF(AND('Data Source'!B580&lt;&gt;"",'Data Source'!S580="F"),IF('Data Source'!X580&gt;=5,"A+",IF('Data Source'!X580&gt;=4,"A",IF('Data Source'!X580&gt;=3.5,"A-",IF('Data Source'!X580&gt;=3,"B",IF('Data Source'!X580&gt;=2,"C",IF('Data Source'!X580&gt;=1,"D","F")))))),"")</f>
        <v/>
      </c>
      <c r="G580" s="3">
        <f>IF(AND('Data Source'!B580&lt;&gt;"",'Data Source'!S580="F"),IF('Data Source'!Y580&gt;=5,"A+",IF('Data Source'!Y580&gt;=4,"A",IF('Data Source'!Y580&gt;=3.5,"A-",IF('Data Source'!Y580&gt;=3,"B",IF('Data Source'!Y580&gt;=2,"C",IF('Data Source'!Y580&gt;=1,"D","F")))))),"")</f>
        <v/>
      </c>
      <c r="H580" s="3">
        <f>IF(AND('Data Source'!B580&lt;&gt;"",'Data Source'!S580="F"),IF('Data Source'!Z580&gt;=5,"A+",IF('Data Source'!Z580&gt;=4,"A",IF('Data Source'!Z580&gt;=3.5,"A-",IF('Data Source'!Z580&gt;=3,"B",IF('Data Source'!Z580&gt;=2,"C",IF('Data Source'!Z580&gt;=1,"D","F")))))),"")</f>
        <v/>
      </c>
      <c r="I580" s="3">
        <f>IF(AND('Data Source'!B580&lt;&gt;"",'Data Source'!S580="F"),IF('Data Source'!AA580&gt;=5,"A+",IF('Data Source'!AA580&gt;=4,"A",IF('Data Source'!AA580&gt;=3.5,"A-",IF('Data Source'!AA580&gt;=3,"B",IF('Data Source'!AA580&gt;=2,"C",IF('Data Source'!AA580&gt;=1,"D","F")))))),"")</f>
        <v/>
      </c>
      <c r="J580" s="3">
        <f>IF(AND('Data Source'!B580&lt;&gt;"",'Data Source'!S580="F"),IF('Data Source'!AB580&gt;=5,"A+",IF('Data Source'!AB580&gt;=4,"A",IF('Data Source'!AB580&gt;=3.5,"A-",IF('Data Source'!AB580&gt;=3,"B",IF('Data Source'!AB580&gt;=2,"C",IF('Data Source'!AB580&gt;=1,"D","F")))))),"")</f>
        <v/>
      </c>
      <c r="K580" s="3">
        <f>IF(AND('Data Source'!B580&lt;&gt;"",'Data Source'!S580="F"),IF('Data Source'!AC580&gt;=5,"A+",IF('Data Source'!AC580&gt;=4,"A",IF('Data Source'!AC580&gt;=3.5,"A-",IF('Data Source'!AC580&gt;=3,"B",IF('Data Source'!AC580&gt;=2,"C",IF('Data Source'!AC580&gt;=1,"D","F")))))),"")</f>
        <v/>
      </c>
      <c r="L580" s="3">
        <f>IF(AND('Data Source'!B580&lt;&gt;"",'Data Source'!S580="F"),IF('Data Source'!AD580&gt;=5,"A+",IF('Data Source'!AD580&gt;=4,"A",IF('Data Source'!AD580&gt;=3.5,"A-",IF('Data Source'!AD580&gt;=3,"B",IF('Data Source'!AD580&gt;=2,"C",IF('Data Source'!AD580&gt;=1,"D","F")))))),"")</f>
        <v/>
      </c>
      <c r="M580" s="3">
        <f>IF(AND('Data Source'!B580&lt;&gt;"",'Data Source'!S580="F"),IF('Data Source'!AE580&gt;=5,"A+",IF('Data Source'!AE580&gt;=4,"A",IF('Data Source'!AE580&gt;=3.5,"A-",IF('Data Source'!AE580&gt;=3,"B",IF('Data Source'!AE580&gt;=2,"C",IF('Data Source'!AE580&gt;=1,"D","F")))))),"")</f>
        <v/>
      </c>
      <c r="N580" s="3">
        <f>IF(AND('Data Source'!B580&lt;&gt;"",'Data Source'!S580="F"),IF('Data Source'!AF580&gt;=5,"A+",IF('Data Source'!AF580&gt;=4,"A",IF('Data Source'!AF580&gt;=3.5,"A-",IF('Data Source'!AF580&gt;=3,"B",IF('Data Source'!AF580&gt;=2,"C",IF('Data Source'!AF580&gt;=1,"D","F")))))),"")</f>
        <v/>
      </c>
      <c r="O580" s="3">
        <f>IF(AND('Data Source'!B580&lt;&gt;"",'Data Source'!S580="F"),IF('Data Source'!AG580&gt;=5,"A+",IF('Data Source'!AG580&gt;=4,"A",IF('Data Source'!AG580&gt;=3.5,"A-",IF('Data Source'!AG580&gt;=3,"B",IF('Data Source'!AG580&gt;=2,"C",IF('Data Source'!AG580&gt;=1,"D","F")))))),"")</f>
        <v/>
      </c>
      <c r="P580" s="5">
        <f>IF(AND('Data Source'!B580&lt;&gt;"",'Data Source'!S580="F"),'Data Source'!R580,"")</f>
        <v/>
      </c>
      <c r="Q580" s="3">
        <f>IF(AND('Data Source'!B580&lt;&gt;"",'Data Source'!S580="F"),'Data Source'!S580,"")</f>
        <v/>
      </c>
    </row>
    <row r="581">
      <c r="A581" s="3">
        <f>IF(AND('Data Source'!B581&lt;&gt;"",'Data Source'!S581="F"),COUNTIF('Data Source'!$S$3:S581,"F"),"")</f>
        <v/>
      </c>
      <c r="B581">
        <f>IF(AND('Data Source'!B581&lt;&gt;"",'Data Source'!S581="F"),'Data Source'!B581,"")</f>
        <v/>
      </c>
      <c r="C581" s="3">
        <f>IF(AND('Data Source'!B581&lt;&gt;"",'Data Source'!S581="F"),IF('Data Source'!U581&gt;=5,"A+",IF('Data Source'!U581&gt;=4,"A",IF('Data Source'!U581&gt;=3.5,"A-",IF('Data Source'!U581&gt;=3,"B",IF('Data Source'!U581&gt;=2,"C",IF('Data Source'!U581&gt;=1,"D","F")))))),"")</f>
        <v/>
      </c>
      <c r="D581" s="3">
        <f>IF(AND('Data Source'!B581&lt;&gt;"",'Data Source'!S581="F"),IF('Data Source'!V581&gt;=5,"A+",IF('Data Source'!V581&gt;=4,"A",IF('Data Source'!V581&gt;=3.5,"A-",IF('Data Source'!V581&gt;=3,"B",IF('Data Source'!V581&gt;=2,"C",IF('Data Source'!V581&gt;=1,"D","F")))))),"")</f>
        <v/>
      </c>
      <c r="E581" s="3">
        <f>IF(AND('Data Source'!B581&lt;&gt;"",'Data Source'!S581="F"),IF('Data Source'!W581&gt;=5,"A+",IF('Data Source'!W581&gt;=4,"A",IF('Data Source'!W581&gt;=3.5,"A-",IF('Data Source'!W581&gt;=3,"B",IF('Data Source'!W581&gt;=2,"C",IF('Data Source'!W581&gt;=1,"D","F")))))),"")</f>
        <v/>
      </c>
      <c r="F581" s="3">
        <f>IF(AND('Data Source'!B581&lt;&gt;"",'Data Source'!S581="F"),IF('Data Source'!X581&gt;=5,"A+",IF('Data Source'!X581&gt;=4,"A",IF('Data Source'!X581&gt;=3.5,"A-",IF('Data Source'!X581&gt;=3,"B",IF('Data Source'!X581&gt;=2,"C",IF('Data Source'!X581&gt;=1,"D","F")))))),"")</f>
        <v/>
      </c>
      <c r="G581" s="3">
        <f>IF(AND('Data Source'!B581&lt;&gt;"",'Data Source'!S581="F"),IF('Data Source'!Y581&gt;=5,"A+",IF('Data Source'!Y581&gt;=4,"A",IF('Data Source'!Y581&gt;=3.5,"A-",IF('Data Source'!Y581&gt;=3,"B",IF('Data Source'!Y581&gt;=2,"C",IF('Data Source'!Y581&gt;=1,"D","F")))))),"")</f>
        <v/>
      </c>
      <c r="H581" s="3">
        <f>IF(AND('Data Source'!B581&lt;&gt;"",'Data Source'!S581="F"),IF('Data Source'!Z581&gt;=5,"A+",IF('Data Source'!Z581&gt;=4,"A",IF('Data Source'!Z581&gt;=3.5,"A-",IF('Data Source'!Z581&gt;=3,"B",IF('Data Source'!Z581&gt;=2,"C",IF('Data Source'!Z581&gt;=1,"D","F")))))),"")</f>
        <v/>
      </c>
      <c r="I581" s="3">
        <f>IF(AND('Data Source'!B581&lt;&gt;"",'Data Source'!S581="F"),IF('Data Source'!AA581&gt;=5,"A+",IF('Data Source'!AA581&gt;=4,"A",IF('Data Source'!AA581&gt;=3.5,"A-",IF('Data Source'!AA581&gt;=3,"B",IF('Data Source'!AA581&gt;=2,"C",IF('Data Source'!AA581&gt;=1,"D","F")))))),"")</f>
        <v/>
      </c>
      <c r="J581" s="3">
        <f>IF(AND('Data Source'!B581&lt;&gt;"",'Data Source'!S581="F"),IF('Data Source'!AB581&gt;=5,"A+",IF('Data Source'!AB581&gt;=4,"A",IF('Data Source'!AB581&gt;=3.5,"A-",IF('Data Source'!AB581&gt;=3,"B",IF('Data Source'!AB581&gt;=2,"C",IF('Data Source'!AB581&gt;=1,"D","F")))))),"")</f>
        <v/>
      </c>
      <c r="K581" s="3">
        <f>IF(AND('Data Source'!B581&lt;&gt;"",'Data Source'!S581="F"),IF('Data Source'!AC581&gt;=5,"A+",IF('Data Source'!AC581&gt;=4,"A",IF('Data Source'!AC581&gt;=3.5,"A-",IF('Data Source'!AC581&gt;=3,"B",IF('Data Source'!AC581&gt;=2,"C",IF('Data Source'!AC581&gt;=1,"D","F")))))),"")</f>
        <v/>
      </c>
      <c r="L581" s="3">
        <f>IF(AND('Data Source'!B581&lt;&gt;"",'Data Source'!S581="F"),IF('Data Source'!AD581&gt;=5,"A+",IF('Data Source'!AD581&gt;=4,"A",IF('Data Source'!AD581&gt;=3.5,"A-",IF('Data Source'!AD581&gt;=3,"B",IF('Data Source'!AD581&gt;=2,"C",IF('Data Source'!AD581&gt;=1,"D","F")))))),"")</f>
        <v/>
      </c>
      <c r="M581" s="3">
        <f>IF(AND('Data Source'!B581&lt;&gt;"",'Data Source'!S581="F"),IF('Data Source'!AE581&gt;=5,"A+",IF('Data Source'!AE581&gt;=4,"A",IF('Data Source'!AE581&gt;=3.5,"A-",IF('Data Source'!AE581&gt;=3,"B",IF('Data Source'!AE581&gt;=2,"C",IF('Data Source'!AE581&gt;=1,"D","F")))))),"")</f>
        <v/>
      </c>
      <c r="N581" s="3">
        <f>IF(AND('Data Source'!B581&lt;&gt;"",'Data Source'!S581="F"),IF('Data Source'!AF581&gt;=5,"A+",IF('Data Source'!AF581&gt;=4,"A",IF('Data Source'!AF581&gt;=3.5,"A-",IF('Data Source'!AF581&gt;=3,"B",IF('Data Source'!AF581&gt;=2,"C",IF('Data Source'!AF581&gt;=1,"D","F")))))),"")</f>
        <v/>
      </c>
      <c r="O581" s="3">
        <f>IF(AND('Data Source'!B581&lt;&gt;"",'Data Source'!S581="F"),IF('Data Source'!AG581&gt;=5,"A+",IF('Data Source'!AG581&gt;=4,"A",IF('Data Source'!AG581&gt;=3.5,"A-",IF('Data Source'!AG581&gt;=3,"B",IF('Data Source'!AG581&gt;=2,"C",IF('Data Source'!AG581&gt;=1,"D","F")))))),"")</f>
        <v/>
      </c>
      <c r="P581" s="5">
        <f>IF(AND('Data Source'!B581&lt;&gt;"",'Data Source'!S581="F"),'Data Source'!R581,"")</f>
        <v/>
      </c>
      <c r="Q581" s="3">
        <f>IF(AND('Data Source'!B581&lt;&gt;"",'Data Source'!S581="F"),'Data Source'!S581,"")</f>
        <v/>
      </c>
    </row>
    <row r="582">
      <c r="A582" s="3">
        <f>IF(AND('Data Source'!B582&lt;&gt;"",'Data Source'!S582="F"),COUNTIF('Data Source'!$S$3:S582,"F"),"")</f>
        <v/>
      </c>
      <c r="B582">
        <f>IF(AND('Data Source'!B582&lt;&gt;"",'Data Source'!S582="F"),'Data Source'!B582,"")</f>
        <v/>
      </c>
      <c r="C582" s="3">
        <f>IF(AND('Data Source'!B582&lt;&gt;"",'Data Source'!S582="F"),IF('Data Source'!U582&gt;=5,"A+",IF('Data Source'!U582&gt;=4,"A",IF('Data Source'!U582&gt;=3.5,"A-",IF('Data Source'!U582&gt;=3,"B",IF('Data Source'!U582&gt;=2,"C",IF('Data Source'!U582&gt;=1,"D","F")))))),"")</f>
        <v/>
      </c>
      <c r="D582" s="3">
        <f>IF(AND('Data Source'!B582&lt;&gt;"",'Data Source'!S582="F"),IF('Data Source'!V582&gt;=5,"A+",IF('Data Source'!V582&gt;=4,"A",IF('Data Source'!V582&gt;=3.5,"A-",IF('Data Source'!V582&gt;=3,"B",IF('Data Source'!V582&gt;=2,"C",IF('Data Source'!V582&gt;=1,"D","F")))))),"")</f>
        <v/>
      </c>
      <c r="E582" s="3">
        <f>IF(AND('Data Source'!B582&lt;&gt;"",'Data Source'!S582="F"),IF('Data Source'!W582&gt;=5,"A+",IF('Data Source'!W582&gt;=4,"A",IF('Data Source'!W582&gt;=3.5,"A-",IF('Data Source'!W582&gt;=3,"B",IF('Data Source'!W582&gt;=2,"C",IF('Data Source'!W582&gt;=1,"D","F")))))),"")</f>
        <v/>
      </c>
      <c r="F582" s="3">
        <f>IF(AND('Data Source'!B582&lt;&gt;"",'Data Source'!S582="F"),IF('Data Source'!X582&gt;=5,"A+",IF('Data Source'!X582&gt;=4,"A",IF('Data Source'!X582&gt;=3.5,"A-",IF('Data Source'!X582&gt;=3,"B",IF('Data Source'!X582&gt;=2,"C",IF('Data Source'!X582&gt;=1,"D","F")))))),"")</f>
        <v/>
      </c>
      <c r="G582" s="3">
        <f>IF(AND('Data Source'!B582&lt;&gt;"",'Data Source'!S582="F"),IF('Data Source'!Y582&gt;=5,"A+",IF('Data Source'!Y582&gt;=4,"A",IF('Data Source'!Y582&gt;=3.5,"A-",IF('Data Source'!Y582&gt;=3,"B",IF('Data Source'!Y582&gt;=2,"C",IF('Data Source'!Y582&gt;=1,"D","F")))))),"")</f>
        <v/>
      </c>
      <c r="H582" s="3">
        <f>IF(AND('Data Source'!B582&lt;&gt;"",'Data Source'!S582="F"),IF('Data Source'!Z582&gt;=5,"A+",IF('Data Source'!Z582&gt;=4,"A",IF('Data Source'!Z582&gt;=3.5,"A-",IF('Data Source'!Z582&gt;=3,"B",IF('Data Source'!Z582&gt;=2,"C",IF('Data Source'!Z582&gt;=1,"D","F")))))),"")</f>
        <v/>
      </c>
      <c r="I582" s="3">
        <f>IF(AND('Data Source'!B582&lt;&gt;"",'Data Source'!S582="F"),IF('Data Source'!AA582&gt;=5,"A+",IF('Data Source'!AA582&gt;=4,"A",IF('Data Source'!AA582&gt;=3.5,"A-",IF('Data Source'!AA582&gt;=3,"B",IF('Data Source'!AA582&gt;=2,"C",IF('Data Source'!AA582&gt;=1,"D","F")))))),"")</f>
        <v/>
      </c>
      <c r="J582" s="3">
        <f>IF(AND('Data Source'!B582&lt;&gt;"",'Data Source'!S582="F"),IF('Data Source'!AB582&gt;=5,"A+",IF('Data Source'!AB582&gt;=4,"A",IF('Data Source'!AB582&gt;=3.5,"A-",IF('Data Source'!AB582&gt;=3,"B",IF('Data Source'!AB582&gt;=2,"C",IF('Data Source'!AB582&gt;=1,"D","F")))))),"")</f>
        <v/>
      </c>
      <c r="K582" s="3">
        <f>IF(AND('Data Source'!B582&lt;&gt;"",'Data Source'!S582="F"),IF('Data Source'!AC582&gt;=5,"A+",IF('Data Source'!AC582&gt;=4,"A",IF('Data Source'!AC582&gt;=3.5,"A-",IF('Data Source'!AC582&gt;=3,"B",IF('Data Source'!AC582&gt;=2,"C",IF('Data Source'!AC582&gt;=1,"D","F")))))),"")</f>
        <v/>
      </c>
      <c r="L582" s="3">
        <f>IF(AND('Data Source'!B582&lt;&gt;"",'Data Source'!S582="F"),IF('Data Source'!AD582&gt;=5,"A+",IF('Data Source'!AD582&gt;=4,"A",IF('Data Source'!AD582&gt;=3.5,"A-",IF('Data Source'!AD582&gt;=3,"B",IF('Data Source'!AD582&gt;=2,"C",IF('Data Source'!AD582&gt;=1,"D","F")))))),"")</f>
        <v/>
      </c>
      <c r="M582" s="3">
        <f>IF(AND('Data Source'!B582&lt;&gt;"",'Data Source'!S582="F"),IF('Data Source'!AE582&gt;=5,"A+",IF('Data Source'!AE582&gt;=4,"A",IF('Data Source'!AE582&gt;=3.5,"A-",IF('Data Source'!AE582&gt;=3,"B",IF('Data Source'!AE582&gt;=2,"C",IF('Data Source'!AE582&gt;=1,"D","F")))))),"")</f>
        <v/>
      </c>
      <c r="N582" s="3">
        <f>IF(AND('Data Source'!B582&lt;&gt;"",'Data Source'!S582="F"),IF('Data Source'!AF582&gt;=5,"A+",IF('Data Source'!AF582&gt;=4,"A",IF('Data Source'!AF582&gt;=3.5,"A-",IF('Data Source'!AF582&gt;=3,"B",IF('Data Source'!AF582&gt;=2,"C",IF('Data Source'!AF582&gt;=1,"D","F")))))),"")</f>
        <v/>
      </c>
      <c r="O582" s="3">
        <f>IF(AND('Data Source'!B582&lt;&gt;"",'Data Source'!S582="F"),IF('Data Source'!AG582&gt;=5,"A+",IF('Data Source'!AG582&gt;=4,"A",IF('Data Source'!AG582&gt;=3.5,"A-",IF('Data Source'!AG582&gt;=3,"B",IF('Data Source'!AG582&gt;=2,"C",IF('Data Source'!AG582&gt;=1,"D","F")))))),"")</f>
        <v/>
      </c>
      <c r="P582" s="5">
        <f>IF(AND('Data Source'!B582&lt;&gt;"",'Data Source'!S582="F"),'Data Source'!R582,"")</f>
        <v/>
      </c>
      <c r="Q582" s="3">
        <f>IF(AND('Data Source'!B582&lt;&gt;"",'Data Source'!S582="F"),'Data Source'!S582,"")</f>
        <v/>
      </c>
    </row>
    <row r="583">
      <c r="A583" s="3">
        <f>IF(AND('Data Source'!B583&lt;&gt;"",'Data Source'!S583="F"),COUNTIF('Data Source'!$S$3:S583,"F"),"")</f>
        <v/>
      </c>
      <c r="B583">
        <f>IF(AND('Data Source'!B583&lt;&gt;"",'Data Source'!S583="F"),'Data Source'!B583,"")</f>
        <v/>
      </c>
      <c r="C583" s="3">
        <f>IF(AND('Data Source'!B583&lt;&gt;"",'Data Source'!S583="F"),IF('Data Source'!U583&gt;=5,"A+",IF('Data Source'!U583&gt;=4,"A",IF('Data Source'!U583&gt;=3.5,"A-",IF('Data Source'!U583&gt;=3,"B",IF('Data Source'!U583&gt;=2,"C",IF('Data Source'!U583&gt;=1,"D","F")))))),"")</f>
        <v/>
      </c>
      <c r="D583" s="3">
        <f>IF(AND('Data Source'!B583&lt;&gt;"",'Data Source'!S583="F"),IF('Data Source'!V583&gt;=5,"A+",IF('Data Source'!V583&gt;=4,"A",IF('Data Source'!V583&gt;=3.5,"A-",IF('Data Source'!V583&gt;=3,"B",IF('Data Source'!V583&gt;=2,"C",IF('Data Source'!V583&gt;=1,"D","F")))))),"")</f>
        <v/>
      </c>
      <c r="E583" s="3">
        <f>IF(AND('Data Source'!B583&lt;&gt;"",'Data Source'!S583="F"),IF('Data Source'!W583&gt;=5,"A+",IF('Data Source'!W583&gt;=4,"A",IF('Data Source'!W583&gt;=3.5,"A-",IF('Data Source'!W583&gt;=3,"B",IF('Data Source'!W583&gt;=2,"C",IF('Data Source'!W583&gt;=1,"D","F")))))),"")</f>
        <v/>
      </c>
      <c r="F583" s="3">
        <f>IF(AND('Data Source'!B583&lt;&gt;"",'Data Source'!S583="F"),IF('Data Source'!X583&gt;=5,"A+",IF('Data Source'!X583&gt;=4,"A",IF('Data Source'!X583&gt;=3.5,"A-",IF('Data Source'!X583&gt;=3,"B",IF('Data Source'!X583&gt;=2,"C",IF('Data Source'!X583&gt;=1,"D","F")))))),"")</f>
        <v/>
      </c>
      <c r="G583" s="3">
        <f>IF(AND('Data Source'!B583&lt;&gt;"",'Data Source'!S583="F"),IF('Data Source'!Y583&gt;=5,"A+",IF('Data Source'!Y583&gt;=4,"A",IF('Data Source'!Y583&gt;=3.5,"A-",IF('Data Source'!Y583&gt;=3,"B",IF('Data Source'!Y583&gt;=2,"C",IF('Data Source'!Y583&gt;=1,"D","F")))))),"")</f>
        <v/>
      </c>
      <c r="H583" s="3">
        <f>IF(AND('Data Source'!B583&lt;&gt;"",'Data Source'!S583="F"),IF('Data Source'!Z583&gt;=5,"A+",IF('Data Source'!Z583&gt;=4,"A",IF('Data Source'!Z583&gt;=3.5,"A-",IF('Data Source'!Z583&gt;=3,"B",IF('Data Source'!Z583&gt;=2,"C",IF('Data Source'!Z583&gt;=1,"D","F")))))),"")</f>
        <v/>
      </c>
      <c r="I583" s="3">
        <f>IF(AND('Data Source'!B583&lt;&gt;"",'Data Source'!S583="F"),IF('Data Source'!AA583&gt;=5,"A+",IF('Data Source'!AA583&gt;=4,"A",IF('Data Source'!AA583&gt;=3.5,"A-",IF('Data Source'!AA583&gt;=3,"B",IF('Data Source'!AA583&gt;=2,"C",IF('Data Source'!AA583&gt;=1,"D","F")))))),"")</f>
        <v/>
      </c>
      <c r="J583" s="3">
        <f>IF(AND('Data Source'!B583&lt;&gt;"",'Data Source'!S583="F"),IF('Data Source'!AB583&gt;=5,"A+",IF('Data Source'!AB583&gt;=4,"A",IF('Data Source'!AB583&gt;=3.5,"A-",IF('Data Source'!AB583&gt;=3,"B",IF('Data Source'!AB583&gt;=2,"C",IF('Data Source'!AB583&gt;=1,"D","F")))))),"")</f>
        <v/>
      </c>
      <c r="K583" s="3">
        <f>IF(AND('Data Source'!B583&lt;&gt;"",'Data Source'!S583="F"),IF('Data Source'!AC583&gt;=5,"A+",IF('Data Source'!AC583&gt;=4,"A",IF('Data Source'!AC583&gt;=3.5,"A-",IF('Data Source'!AC583&gt;=3,"B",IF('Data Source'!AC583&gt;=2,"C",IF('Data Source'!AC583&gt;=1,"D","F")))))),"")</f>
        <v/>
      </c>
      <c r="L583" s="3">
        <f>IF(AND('Data Source'!B583&lt;&gt;"",'Data Source'!S583="F"),IF('Data Source'!AD583&gt;=5,"A+",IF('Data Source'!AD583&gt;=4,"A",IF('Data Source'!AD583&gt;=3.5,"A-",IF('Data Source'!AD583&gt;=3,"B",IF('Data Source'!AD583&gt;=2,"C",IF('Data Source'!AD583&gt;=1,"D","F")))))),"")</f>
        <v/>
      </c>
      <c r="M583" s="3">
        <f>IF(AND('Data Source'!B583&lt;&gt;"",'Data Source'!S583="F"),IF('Data Source'!AE583&gt;=5,"A+",IF('Data Source'!AE583&gt;=4,"A",IF('Data Source'!AE583&gt;=3.5,"A-",IF('Data Source'!AE583&gt;=3,"B",IF('Data Source'!AE583&gt;=2,"C",IF('Data Source'!AE583&gt;=1,"D","F")))))),"")</f>
        <v/>
      </c>
      <c r="N583" s="3">
        <f>IF(AND('Data Source'!B583&lt;&gt;"",'Data Source'!S583="F"),IF('Data Source'!AF583&gt;=5,"A+",IF('Data Source'!AF583&gt;=4,"A",IF('Data Source'!AF583&gt;=3.5,"A-",IF('Data Source'!AF583&gt;=3,"B",IF('Data Source'!AF583&gt;=2,"C",IF('Data Source'!AF583&gt;=1,"D","F")))))),"")</f>
        <v/>
      </c>
      <c r="O583" s="3">
        <f>IF(AND('Data Source'!B583&lt;&gt;"",'Data Source'!S583="F"),IF('Data Source'!AG583&gt;=5,"A+",IF('Data Source'!AG583&gt;=4,"A",IF('Data Source'!AG583&gt;=3.5,"A-",IF('Data Source'!AG583&gt;=3,"B",IF('Data Source'!AG583&gt;=2,"C",IF('Data Source'!AG583&gt;=1,"D","F")))))),"")</f>
        <v/>
      </c>
      <c r="P583" s="5">
        <f>IF(AND('Data Source'!B583&lt;&gt;"",'Data Source'!S583="F"),'Data Source'!R583,"")</f>
        <v/>
      </c>
      <c r="Q583" s="3">
        <f>IF(AND('Data Source'!B583&lt;&gt;"",'Data Source'!S583="F"),'Data Source'!S583,"")</f>
        <v/>
      </c>
    </row>
    <row r="584">
      <c r="A584" s="3">
        <f>IF(AND('Data Source'!B584&lt;&gt;"",'Data Source'!S584="F"),COUNTIF('Data Source'!$S$3:S584,"F"),"")</f>
        <v/>
      </c>
      <c r="B584">
        <f>IF(AND('Data Source'!B584&lt;&gt;"",'Data Source'!S584="F"),'Data Source'!B584,"")</f>
        <v/>
      </c>
      <c r="C584" s="3">
        <f>IF(AND('Data Source'!B584&lt;&gt;"",'Data Source'!S584="F"),IF('Data Source'!U584&gt;=5,"A+",IF('Data Source'!U584&gt;=4,"A",IF('Data Source'!U584&gt;=3.5,"A-",IF('Data Source'!U584&gt;=3,"B",IF('Data Source'!U584&gt;=2,"C",IF('Data Source'!U584&gt;=1,"D","F")))))),"")</f>
        <v/>
      </c>
      <c r="D584" s="3">
        <f>IF(AND('Data Source'!B584&lt;&gt;"",'Data Source'!S584="F"),IF('Data Source'!V584&gt;=5,"A+",IF('Data Source'!V584&gt;=4,"A",IF('Data Source'!V584&gt;=3.5,"A-",IF('Data Source'!V584&gt;=3,"B",IF('Data Source'!V584&gt;=2,"C",IF('Data Source'!V584&gt;=1,"D","F")))))),"")</f>
        <v/>
      </c>
      <c r="E584" s="3">
        <f>IF(AND('Data Source'!B584&lt;&gt;"",'Data Source'!S584="F"),IF('Data Source'!W584&gt;=5,"A+",IF('Data Source'!W584&gt;=4,"A",IF('Data Source'!W584&gt;=3.5,"A-",IF('Data Source'!W584&gt;=3,"B",IF('Data Source'!W584&gt;=2,"C",IF('Data Source'!W584&gt;=1,"D","F")))))),"")</f>
        <v/>
      </c>
      <c r="F584" s="3">
        <f>IF(AND('Data Source'!B584&lt;&gt;"",'Data Source'!S584="F"),IF('Data Source'!X584&gt;=5,"A+",IF('Data Source'!X584&gt;=4,"A",IF('Data Source'!X584&gt;=3.5,"A-",IF('Data Source'!X584&gt;=3,"B",IF('Data Source'!X584&gt;=2,"C",IF('Data Source'!X584&gt;=1,"D","F")))))),"")</f>
        <v/>
      </c>
      <c r="G584" s="3">
        <f>IF(AND('Data Source'!B584&lt;&gt;"",'Data Source'!S584="F"),IF('Data Source'!Y584&gt;=5,"A+",IF('Data Source'!Y584&gt;=4,"A",IF('Data Source'!Y584&gt;=3.5,"A-",IF('Data Source'!Y584&gt;=3,"B",IF('Data Source'!Y584&gt;=2,"C",IF('Data Source'!Y584&gt;=1,"D","F")))))),"")</f>
        <v/>
      </c>
      <c r="H584" s="3">
        <f>IF(AND('Data Source'!B584&lt;&gt;"",'Data Source'!S584="F"),IF('Data Source'!Z584&gt;=5,"A+",IF('Data Source'!Z584&gt;=4,"A",IF('Data Source'!Z584&gt;=3.5,"A-",IF('Data Source'!Z584&gt;=3,"B",IF('Data Source'!Z584&gt;=2,"C",IF('Data Source'!Z584&gt;=1,"D","F")))))),"")</f>
        <v/>
      </c>
      <c r="I584" s="3">
        <f>IF(AND('Data Source'!B584&lt;&gt;"",'Data Source'!S584="F"),IF('Data Source'!AA584&gt;=5,"A+",IF('Data Source'!AA584&gt;=4,"A",IF('Data Source'!AA584&gt;=3.5,"A-",IF('Data Source'!AA584&gt;=3,"B",IF('Data Source'!AA584&gt;=2,"C",IF('Data Source'!AA584&gt;=1,"D","F")))))),"")</f>
        <v/>
      </c>
      <c r="J584" s="3">
        <f>IF(AND('Data Source'!B584&lt;&gt;"",'Data Source'!S584="F"),IF('Data Source'!AB584&gt;=5,"A+",IF('Data Source'!AB584&gt;=4,"A",IF('Data Source'!AB584&gt;=3.5,"A-",IF('Data Source'!AB584&gt;=3,"B",IF('Data Source'!AB584&gt;=2,"C",IF('Data Source'!AB584&gt;=1,"D","F")))))),"")</f>
        <v/>
      </c>
      <c r="K584" s="3">
        <f>IF(AND('Data Source'!B584&lt;&gt;"",'Data Source'!S584="F"),IF('Data Source'!AC584&gt;=5,"A+",IF('Data Source'!AC584&gt;=4,"A",IF('Data Source'!AC584&gt;=3.5,"A-",IF('Data Source'!AC584&gt;=3,"B",IF('Data Source'!AC584&gt;=2,"C",IF('Data Source'!AC584&gt;=1,"D","F")))))),"")</f>
        <v/>
      </c>
      <c r="L584" s="3">
        <f>IF(AND('Data Source'!B584&lt;&gt;"",'Data Source'!S584="F"),IF('Data Source'!AD584&gt;=5,"A+",IF('Data Source'!AD584&gt;=4,"A",IF('Data Source'!AD584&gt;=3.5,"A-",IF('Data Source'!AD584&gt;=3,"B",IF('Data Source'!AD584&gt;=2,"C",IF('Data Source'!AD584&gt;=1,"D","F")))))),"")</f>
        <v/>
      </c>
      <c r="M584" s="3">
        <f>IF(AND('Data Source'!B584&lt;&gt;"",'Data Source'!S584="F"),IF('Data Source'!AE584&gt;=5,"A+",IF('Data Source'!AE584&gt;=4,"A",IF('Data Source'!AE584&gt;=3.5,"A-",IF('Data Source'!AE584&gt;=3,"B",IF('Data Source'!AE584&gt;=2,"C",IF('Data Source'!AE584&gt;=1,"D","F")))))),"")</f>
        <v/>
      </c>
      <c r="N584" s="3">
        <f>IF(AND('Data Source'!B584&lt;&gt;"",'Data Source'!S584="F"),IF('Data Source'!AF584&gt;=5,"A+",IF('Data Source'!AF584&gt;=4,"A",IF('Data Source'!AF584&gt;=3.5,"A-",IF('Data Source'!AF584&gt;=3,"B",IF('Data Source'!AF584&gt;=2,"C",IF('Data Source'!AF584&gt;=1,"D","F")))))),"")</f>
        <v/>
      </c>
      <c r="O584" s="3">
        <f>IF(AND('Data Source'!B584&lt;&gt;"",'Data Source'!S584="F"),IF('Data Source'!AG584&gt;=5,"A+",IF('Data Source'!AG584&gt;=4,"A",IF('Data Source'!AG584&gt;=3.5,"A-",IF('Data Source'!AG584&gt;=3,"B",IF('Data Source'!AG584&gt;=2,"C",IF('Data Source'!AG584&gt;=1,"D","F")))))),"")</f>
        <v/>
      </c>
      <c r="P584" s="5">
        <f>IF(AND('Data Source'!B584&lt;&gt;"",'Data Source'!S584="F"),'Data Source'!R584,"")</f>
        <v/>
      </c>
      <c r="Q584" s="3">
        <f>IF(AND('Data Source'!B584&lt;&gt;"",'Data Source'!S584="F"),'Data Source'!S584,"")</f>
        <v/>
      </c>
    </row>
    <row r="585">
      <c r="A585" s="3">
        <f>IF(AND('Data Source'!B585&lt;&gt;"",'Data Source'!S585="F"),COUNTIF('Data Source'!$S$3:S585,"F"),"")</f>
        <v/>
      </c>
      <c r="B585">
        <f>IF(AND('Data Source'!B585&lt;&gt;"",'Data Source'!S585="F"),'Data Source'!B585,"")</f>
        <v/>
      </c>
      <c r="C585" s="3">
        <f>IF(AND('Data Source'!B585&lt;&gt;"",'Data Source'!S585="F"),IF('Data Source'!U585&gt;=5,"A+",IF('Data Source'!U585&gt;=4,"A",IF('Data Source'!U585&gt;=3.5,"A-",IF('Data Source'!U585&gt;=3,"B",IF('Data Source'!U585&gt;=2,"C",IF('Data Source'!U585&gt;=1,"D","F")))))),"")</f>
        <v/>
      </c>
      <c r="D585" s="3">
        <f>IF(AND('Data Source'!B585&lt;&gt;"",'Data Source'!S585="F"),IF('Data Source'!V585&gt;=5,"A+",IF('Data Source'!V585&gt;=4,"A",IF('Data Source'!V585&gt;=3.5,"A-",IF('Data Source'!V585&gt;=3,"B",IF('Data Source'!V585&gt;=2,"C",IF('Data Source'!V585&gt;=1,"D","F")))))),"")</f>
        <v/>
      </c>
      <c r="E585" s="3">
        <f>IF(AND('Data Source'!B585&lt;&gt;"",'Data Source'!S585="F"),IF('Data Source'!W585&gt;=5,"A+",IF('Data Source'!W585&gt;=4,"A",IF('Data Source'!W585&gt;=3.5,"A-",IF('Data Source'!W585&gt;=3,"B",IF('Data Source'!W585&gt;=2,"C",IF('Data Source'!W585&gt;=1,"D","F")))))),"")</f>
        <v/>
      </c>
      <c r="F585" s="3">
        <f>IF(AND('Data Source'!B585&lt;&gt;"",'Data Source'!S585="F"),IF('Data Source'!X585&gt;=5,"A+",IF('Data Source'!X585&gt;=4,"A",IF('Data Source'!X585&gt;=3.5,"A-",IF('Data Source'!X585&gt;=3,"B",IF('Data Source'!X585&gt;=2,"C",IF('Data Source'!X585&gt;=1,"D","F")))))),"")</f>
        <v/>
      </c>
      <c r="G585" s="3">
        <f>IF(AND('Data Source'!B585&lt;&gt;"",'Data Source'!S585="F"),IF('Data Source'!Y585&gt;=5,"A+",IF('Data Source'!Y585&gt;=4,"A",IF('Data Source'!Y585&gt;=3.5,"A-",IF('Data Source'!Y585&gt;=3,"B",IF('Data Source'!Y585&gt;=2,"C",IF('Data Source'!Y585&gt;=1,"D","F")))))),"")</f>
        <v/>
      </c>
      <c r="H585" s="3">
        <f>IF(AND('Data Source'!B585&lt;&gt;"",'Data Source'!S585="F"),IF('Data Source'!Z585&gt;=5,"A+",IF('Data Source'!Z585&gt;=4,"A",IF('Data Source'!Z585&gt;=3.5,"A-",IF('Data Source'!Z585&gt;=3,"B",IF('Data Source'!Z585&gt;=2,"C",IF('Data Source'!Z585&gt;=1,"D","F")))))),"")</f>
        <v/>
      </c>
      <c r="I585" s="3">
        <f>IF(AND('Data Source'!B585&lt;&gt;"",'Data Source'!S585="F"),IF('Data Source'!AA585&gt;=5,"A+",IF('Data Source'!AA585&gt;=4,"A",IF('Data Source'!AA585&gt;=3.5,"A-",IF('Data Source'!AA585&gt;=3,"B",IF('Data Source'!AA585&gt;=2,"C",IF('Data Source'!AA585&gt;=1,"D","F")))))),"")</f>
        <v/>
      </c>
      <c r="J585" s="3">
        <f>IF(AND('Data Source'!B585&lt;&gt;"",'Data Source'!S585="F"),IF('Data Source'!AB585&gt;=5,"A+",IF('Data Source'!AB585&gt;=4,"A",IF('Data Source'!AB585&gt;=3.5,"A-",IF('Data Source'!AB585&gt;=3,"B",IF('Data Source'!AB585&gt;=2,"C",IF('Data Source'!AB585&gt;=1,"D","F")))))),"")</f>
        <v/>
      </c>
      <c r="K585" s="3">
        <f>IF(AND('Data Source'!B585&lt;&gt;"",'Data Source'!S585="F"),IF('Data Source'!AC585&gt;=5,"A+",IF('Data Source'!AC585&gt;=4,"A",IF('Data Source'!AC585&gt;=3.5,"A-",IF('Data Source'!AC585&gt;=3,"B",IF('Data Source'!AC585&gt;=2,"C",IF('Data Source'!AC585&gt;=1,"D","F")))))),"")</f>
        <v/>
      </c>
      <c r="L585" s="3">
        <f>IF(AND('Data Source'!B585&lt;&gt;"",'Data Source'!S585="F"),IF('Data Source'!AD585&gt;=5,"A+",IF('Data Source'!AD585&gt;=4,"A",IF('Data Source'!AD585&gt;=3.5,"A-",IF('Data Source'!AD585&gt;=3,"B",IF('Data Source'!AD585&gt;=2,"C",IF('Data Source'!AD585&gt;=1,"D","F")))))),"")</f>
        <v/>
      </c>
      <c r="M585" s="3">
        <f>IF(AND('Data Source'!B585&lt;&gt;"",'Data Source'!S585="F"),IF('Data Source'!AE585&gt;=5,"A+",IF('Data Source'!AE585&gt;=4,"A",IF('Data Source'!AE585&gt;=3.5,"A-",IF('Data Source'!AE585&gt;=3,"B",IF('Data Source'!AE585&gt;=2,"C",IF('Data Source'!AE585&gt;=1,"D","F")))))),"")</f>
        <v/>
      </c>
      <c r="N585" s="3">
        <f>IF(AND('Data Source'!B585&lt;&gt;"",'Data Source'!S585="F"),IF('Data Source'!AF585&gt;=5,"A+",IF('Data Source'!AF585&gt;=4,"A",IF('Data Source'!AF585&gt;=3.5,"A-",IF('Data Source'!AF585&gt;=3,"B",IF('Data Source'!AF585&gt;=2,"C",IF('Data Source'!AF585&gt;=1,"D","F")))))),"")</f>
        <v/>
      </c>
      <c r="O585" s="3">
        <f>IF(AND('Data Source'!B585&lt;&gt;"",'Data Source'!S585="F"),IF('Data Source'!AG585&gt;=5,"A+",IF('Data Source'!AG585&gt;=4,"A",IF('Data Source'!AG585&gt;=3.5,"A-",IF('Data Source'!AG585&gt;=3,"B",IF('Data Source'!AG585&gt;=2,"C",IF('Data Source'!AG585&gt;=1,"D","F")))))),"")</f>
        <v/>
      </c>
      <c r="P585" s="5">
        <f>IF(AND('Data Source'!B585&lt;&gt;"",'Data Source'!S585="F"),'Data Source'!R585,"")</f>
        <v/>
      </c>
      <c r="Q585" s="3">
        <f>IF(AND('Data Source'!B585&lt;&gt;"",'Data Source'!S585="F"),'Data Source'!S585,"")</f>
        <v/>
      </c>
    </row>
    <row r="586">
      <c r="A586" s="3">
        <f>IF(AND('Data Source'!B586&lt;&gt;"",'Data Source'!S586="F"),COUNTIF('Data Source'!$S$3:S586,"F"),"")</f>
        <v/>
      </c>
      <c r="B586">
        <f>IF(AND('Data Source'!B586&lt;&gt;"",'Data Source'!S586="F"),'Data Source'!B586,"")</f>
        <v/>
      </c>
      <c r="C586" s="3">
        <f>IF(AND('Data Source'!B586&lt;&gt;"",'Data Source'!S586="F"),IF('Data Source'!U586&gt;=5,"A+",IF('Data Source'!U586&gt;=4,"A",IF('Data Source'!U586&gt;=3.5,"A-",IF('Data Source'!U586&gt;=3,"B",IF('Data Source'!U586&gt;=2,"C",IF('Data Source'!U586&gt;=1,"D","F")))))),"")</f>
        <v/>
      </c>
      <c r="D586" s="3">
        <f>IF(AND('Data Source'!B586&lt;&gt;"",'Data Source'!S586="F"),IF('Data Source'!V586&gt;=5,"A+",IF('Data Source'!V586&gt;=4,"A",IF('Data Source'!V586&gt;=3.5,"A-",IF('Data Source'!V586&gt;=3,"B",IF('Data Source'!V586&gt;=2,"C",IF('Data Source'!V586&gt;=1,"D","F")))))),"")</f>
        <v/>
      </c>
      <c r="E586" s="3">
        <f>IF(AND('Data Source'!B586&lt;&gt;"",'Data Source'!S586="F"),IF('Data Source'!W586&gt;=5,"A+",IF('Data Source'!W586&gt;=4,"A",IF('Data Source'!W586&gt;=3.5,"A-",IF('Data Source'!W586&gt;=3,"B",IF('Data Source'!W586&gt;=2,"C",IF('Data Source'!W586&gt;=1,"D","F")))))),"")</f>
        <v/>
      </c>
      <c r="F586" s="3">
        <f>IF(AND('Data Source'!B586&lt;&gt;"",'Data Source'!S586="F"),IF('Data Source'!X586&gt;=5,"A+",IF('Data Source'!X586&gt;=4,"A",IF('Data Source'!X586&gt;=3.5,"A-",IF('Data Source'!X586&gt;=3,"B",IF('Data Source'!X586&gt;=2,"C",IF('Data Source'!X586&gt;=1,"D","F")))))),"")</f>
        <v/>
      </c>
      <c r="G586" s="3">
        <f>IF(AND('Data Source'!B586&lt;&gt;"",'Data Source'!S586="F"),IF('Data Source'!Y586&gt;=5,"A+",IF('Data Source'!Y586&gt;=4,"A",IF('Data Source'!Y586&gt;=3.5,"A-",IF('Data Source'!Y586&gt;=3,"B",IF('Data Source'!Y586&gt;=2,"C",IF('Data Source'!Y586&gt;=1,"D","F")))))),"")</f>
        <v/>
      </c>
      <c r="H586" s="3">
        <f>IF(AND('Data Source'!B586&lt;&gt;"",'Data Source'!S586="F"),IF('Data Source'!Z586&gt;=5,"A+",IF('Data Source'!Z586&gt;=4,"A",IF('Data Source'!Z586&gt;=3.5,"A-",IF('Data Source'!Z586&gt;=3,"B",IF('Data Source'!Z586&gt;=2,"C",IF('Data Source'!Z586&gt;=1,"D","F")))))),"")</f>
        <v/>
      </c>
      <c r="I586" s="3">
        <f>IF(AND('Data Source'!B586&lt;&gt;"",'Data Source'!S586="F"),IF('Data Source'!AA586&gt;=5,"A+",IF('Data Source'!AA586&gt;=4,"A",IF('Data Source'!AA586&gt;=3.5,"A-",IF('Data Source'!AA586&gt;=3,"B",IF('Data Source'!AA586&gt;=2,"C",IF('Data Source'!AA586&gt;=1,"D","F")))))),"")</f>
        <v/>
      </c>
      <c r="J586" s="3">
        <f>IF(AND('Data Source'!B586&lt;&gt;"",'Data Source'!S586="F"),IF('Data Source'!AB586&gt;=5,"A+",IF('Data Source'!AB586&gt;=4,"A",IF('Data Source'!AB586&gt;=3.5,"A-",IF('Data Source'!AB586&gt;=3,"B",IF('Data Source'!AB586&gt;=2,"C",IF('Data Source'!AB586&gt;=1,"D","F")))))),"")</f>
        <v/>
      </c>
      <c r="K586" s="3">
        <f>IF(AND('Data Source'!B586&lt;&gt;"",'Data Source'!S586="F"),IF('Data Source'!AC586&gt;=5,"A+",IF('Data Source'!AC586&gt;=4,"A",IF('Data Source'!AC586&gt;=3.5,"A-",IF('Data Source'!AC586&gt;=3,"B",IF('Data Source'!AC586&gt;=2,"C",IF('Data Source'!AC586&gt;=1,"D","F")))))),"")</f>
        <v/>
      </c>
      <c r="L586" s="3">
        <f>IF(AND('Data Source'!B586&lt;&gt;"",'Data Source'!S586="F"),IF('Data Source'!AD586&gt;=5,"A+",IF('Data Source'!AD586&gt;=4,"A",IF('Data Source'!AD586&gt;=3.5,"A-",IF('Data Source'!AD586&gt;=3,"B",IF('Data Source'!AD586&gt;=2,"C",IF('Data Source'!AD586&gt;=1,"D","F")))))),"")</f>
        <v/>
      </c>
      <c r="M586" s="3">
        <f>IF(AND('Data Source'!B586&lt;&gt;"",'Data Source'!S586="F"),IF('Data Source'!AE586&gt;=5,"A+",IF('Data Source'!AE586&gt;=4,"A",IF('Data Source'!AE586&gt;=3.5,"A-",IF('Data Source'!AE586&gt;=3,"B",IF('Data Source'!AE586&gt;=2,"C",IF('Data Source'!AE586&gt;=1,"D","F")))))),"")</f>
        <v/>
      </c>
      <c r="N586" s="3">
        <f>IF(AND('Data Source'!B586&lt;&gt;"",'Data Source'!S586="F"),IF('Data Source'!AF586&gt;=5,"A+",IF('Data Source'!AF586&gt;=4,"A",IF('Data Source'!AF586&gt;=3.5,"A-",IF('Data Source'!AF586&gt;=3,"B",IF('Data Source'!AF586&gt;=2,"C",IF('Data Source'!AF586&gt;=1,"D","F")))))),"")</f>
        <v/>
      </c>
      <c r="O586" s="3">
        <f>IF(AND('Data Source'!B586&lt;&gt;"",'Data Source'!S586="F"),IF('Data Source'!AG586&gt;=5,"A+",IF('Data Source'!AG586&gt;=4,"A",IF('Data Source'!AG586&gt;=3.5,"A-",IF('Data Source'!AG586&gt;=3,"B",IF('Data Source'!AG586&gt;=2,"C",IF('Data Source'!AG586&gt;=1,"D","F")))))),"")</f>
        <v/>
      </c>
      <c r="P586" s="5">
        <f>IF(AND('Data Source'!B586&lt;&gt;"",'Data Source'!S586="F"),'Data Source'!R586,"")</f>
        <v/>
      </c>
      <c r="Q586" s="3">
        <f>IF(AND('Data Source'!B586&lt;&gt;"",'Data Source'!S586="F"),'Data Source'!S586,"")</f>
        <v/>
      </c>
    </row>
    <row r="587">
      <c r="A587" s="3">
        <f>IF(AND('Data Source'!B587&lt;&gt;"",'Data Source'!S587="F"),COUNTIF('Data Source'!$S$3:S587,"F"),"")</f>
        <v/>
      </c>
      <c r="B587">
        <f>IF(AND('Data Source'!B587&lt;&gt;"",'Data Source'!S587="F"),'Data Source'!B587,"")</f>
        <v/>
      </c>
      <c r="C587" s="3">
        <f>IF(AND('Data Source'!B587&lt;&gt;"",'Data Source'!S587="F"),IF('Data Source'!U587&gt;=5,"A+",IF('Data Source'!U587&gt;=4,"A",IF('Data Source'!U587&gt;=3.5,"A-",IF('Data Source'!U587&gt;=3,"B",IF('Data Source'!U587&gt;=2,"C",IF('Data Source'!U587&gt;=1,"D","F")))))),"")</f>
        <v/>
      </c>
      <c r="D587" s="3">
        <f>IF(AND('Data Source'!B587&lt;&gt;"",'Data Source'!S587="F"),IF('Data Source'!V587&gt;=5,"A+",IF('Data Source'!V587&gt;=4,"A",IF('Data Source'!V587&gt;=3.5,"A-",IF('Data Source'!V587&gt;=3,"B",IF('Data Source'!V587&gt;=2,"C",IF('Data Source'!V587&gt;=1,"D","F")))))),"")</f>
        <v/>
      </c>
      <c r="E587" s="3">
        <f>IF(AND('Data Source'!B587&lt;&gt;"",'Data Source'!S587="F"),IF('Data Source'!W587&gt;=5,"A+",IF('Data Source'!W587&gt;=4,"A",IF('Data Source'!W587&gt;=3.5,"A-",IF('Data Source'!W587&gt;=3,"B",IF('Data Source'!W587&gt;=2,"C",IF('Data Source'!W587&gt;=1,"D","F")))))),"")</f>
        <v/>
      </c>
      <c r="F587" s="3">
        <f>IF(AND('Data Source'!B587&lt;&gt;"",'Data Source'!S587="F"),IF('Data Source'!X587&gt;=5,"A+",IF('Data Source'!X587&gt;=4,"A",IF('Data Source'!X587&gt;=3.5,"A-",IF('Data Source'!X587&gt;=3,"B",IF('Data Source'!X587&gt;=2,"C",IF('Data Source'!X587&gt;=1,"D","F")))))),"")</f>
        <v/>
      </c>
      <c r="G587" s="3">
        <f>IF(AND('Data Source'!B587&lt;&gt;"",'Data Source'!S587="F"),IF('Data Source'!Y587&gt;=5,"A+",IF('Data Source'!Y587&gt;=4,"A",IF('Data Source'!Y587&gt;=3.5,"A-",IF('Data Source'!Y587&gt;=3,"B",IF('Data Source'!Y587&gt;=2,"C",IF('Data Source'!Y587&gt;=1,"D","F")))))),"")</f>
        <v/>
      </c>
      <c r="H587" s="3">
        <f>IF(AND('Data Source'!B587&lt;&gt;"",'Data Source'!S587="F"),IF('Data Source'!Z587&gt;=5,"A+",IF('Data Source'!Z587&gt;=4,"A",IF('Data Source'!Z587&gt;=3.5,"A-",IF('Data Source'!Z587&gt;=3,"B",IF('Data Source'!Z587&gt;=2,"C",IF('Data Source'!Z587&gt;=1,"D","F")))))),"")</f>
        <v/>
      </c>
      <c r="I587" s="3">
        <f>IF(AND('Data Source'!B587&lt;&gt;"",'Data Source'!S587="F"),IF('Data Source'!AA587&gt;=5,"A+",IF('Data Source'!AA587&gt;=4,"A",IF('Data Source'!AA587&gt;=3.5,"A-",IF('Data Source'!AA587&gt;=3,"B",IF('Data Source'!AA587&gt;=2,"C",IF('Data Source'!AA587&gt;=1,"D","F")))))),"")</f>
        <v/>
      </c>
      <c r="J587" s="3">
        <f>IF(AND('Data Source'!B587&lt;&gt;"",'Data Source'!S587="F"),IF('Data Source'!AB587&gt;=5,"A+",IF('Data Source'!AB587&gt;=4,"A",IF('Data Source'!AB587&gt;=3.5,"A-",IF('Data Source'!AB587&gt;=3,"B",IF('Data Source'!AB587&gt;=2,"C",IF('Data Source'!AB587&gt;=1,"D","F")))))),"")</f>
        <v/>
      </c>
      <c r="K587" s="3">
        <f>IF(AND('Data Source'!B587&lt;&gt;"",'Data Source'!S587="F"),IF('Data Source'!AC587&gt;=5,"A+",IF('Data Source'!AC587&gt;=4,"A",IF('Data Source'!AC587&gt;=3.5,"A-",IF('Data Source'!AC587&gt;=3,"B",IF('Data Source'!AC587&gt;=2,"C",IF('Data Source'!AC587&gt;=1,"D","F")))))),"")</f>
        <v/>
      </c>
      <c r="L587" s="3">
        <f>IF(AND('Data Source'!B587&lt;&gt;"",'Data Source'!S587="F"),IF('Data Source'!AD587&gt;=5,"A+",IF('Data Source'!AD587&gt;=4,"A",IF('Data Source'!AD587&gt;=3.5,"A-",IF('Data Source'!AD587&gt;=3,"B",IF('Data Source'!AD587&gt;=2,"C",IF('Data Source'!AD587&gt;=1,"D","F")))))),"")</f>
        <v/>
      </c>
      <c r="M587" s="3">
        <f>IF(AND('Data Source'!B587&lt;&gt;"",'Data Source'!S587="F"),IF('Data Source'!AE587&gt;=5,"A+",IF('Data Source'!AE587&gt;=4,"A",IF('Data Source'!AE587&gt;=3.5,"A-",IF('Data Source'!AE587&gt;=3,"B",IF('Data Source'!AE587&gt;=2,"C",IF('Data Source'!AE587&gt;=1,"D","F")))))),"")</f>
        <v/>
      </c>
      <c r="N587" s="3">
        <f>IF(AND('Data Source'!B587&lt;&gt;"",'Data Source'!S587="F"),IF('Data Source'!AF587&gt;=5,"A+",IF('Data Source'!AF587&gt;=4,"A",IF('Data Source'!AF587&gt;=3.5,"A-",IF('Data Source'!AF587&gt;=3,"B",IF('Data Source'!AF587&gt;=2,"C",IF('Data Source'!AF587&gt;=1,"D","F")))))),"")</f>
        <v/>
      </c>
      <c r="O587" s="3">
        <f>IF(AND('Data Source'!B587&lt;&gt;"",'Data Source'!S587="F"),IF('Data Source'!AG587&gt;=5,"A+",IF('Data Source'!AG587&gt;=4,"A",IF('Data Source'!AG587&gt;=3.5,"A-",IF('Data Source'!AG587&gt;=3,"B",IF('Data Source'!AG587&gt;=2,"C",IF('Data Source'!AG587&gt;=1,"D","F")))))),"")</f>
        <v/>
      </c>
      <c r="P587" s="5">
        <f>IF(AND('Data Source'!B587&lt;&gt;"",'Data Source'!S587="F"),'Data Source'!R587,"")</f>
        <v/>
      </c>
      <c r="Q587" s="3">
        <f>IF(AND('Data Source'!B587&lt;&gt;"",'Data Source'!S587="F"),'Data Source'!S587,"")</f>
        <v/>
      </c>
    </row>
    <row r="588">
      <c r="A588" s="3">
        <f>IF(AND('Data Source'!B588&lt;&gt;"",'Data Source'!S588="F"),COUNTIF('Data Source'!$S$3:S588,"F"),"")</f>
        <v/>
      </c>
      <c r="B588">
        <f>IF(AND('Data Source'!B588&lt;&gt;"",'Data Source'!S588="F"),'Data Source'!B588,"")</f>
        <v/>
      </c>
      <c r="C588" s="3">
        <f>IF(AND('Data Source'!B588&lt;&gt;"",'Data Source'!S588="F"),IF('Data Source'!U588&gt;=5,"A+",IF('Data Source'!U588&gt;=4,"A",IF('Data Source'!U588&gt;=3.5,"A-",IF('Data Source'!U588&gt;=3,"B",IF('Data Source'!U588&gt;=2,"C",IF('Data Source'!U588&gt;=1,"D","F")))))),"")</f>
        <v/>
      </c>
      <c r="D588" s="3">
        <f>IF(AND('Data Source'!B588&lt;&gt;"",'Data Source'!S588="F"),IF('Data Source'!V588&gt;=5,"A+",IF('Data Source'!V588&gt;=4,"A",IF('Data Source'!V588&gt;=3.5,"A-",IF('Data Source'!V588&gt;=3,"B",IF('Data Source'!V588&gt;=2,"C",IF('Data Source'!V588&gt;=1,"D","F")))))),"")</f>
        <v/>
      </c>
      <c r="E588" s="3">
        <f>IF(AND('Data Source'!B588&lt;&gt;"",'Data Source'!S588="F"),IF('Data Source'!W588&gt;=5,"A+",IF('Data Source'!W588&gt;=4,"A",IF('Data Source'!W588&gt;=3.5,"A-",IF('Data Source'!W588&gt;=3,"B",IF('Data Source'!W588&gt;=2,"C",IF('Data Source'!W588&gt;=1,"D","F")))))),"")</f>
        <v/>
      </c>
      <c r="F588" s="3">
        <f>IF(AND('Data Source'!B588&lt;&gt;"",'Data Source'!S588="F"),IF('Data Source'!X588&gt;=5,"A+",IF('Data Source'!X588&gt;=4,"A",IF('Data Source'!X588&gt;=3.5,"A-",IF('Data Source'!X588&gt;=3,"B",IF('Data Source'!X588&gt;=2,"C",IF('Data Source'!X588&gt;=1,"D","F")))))),"")</f>
        <v/>
      </c>
      <c r="G588" s="3">
        <f>IF(AND('Data Source'!B588&lt;&gt;"",'Data Source'!S588="F"),IF('Data Source'!Y588&gt;=5,"A+",IF('Data Source'!Y588&gt;=4,"A",IF('Data Source'!Y588&gt;=3.5,"A-",IF('Data Source'!Y588&gt;=3,"B",IF('Data Source'!Y588&gt;=2,"C",IF('Data Source'!Y588&gt;=1,"D","F")))))),"")</f>
        <v/>
      </c>
      <c r="H588" s="3">
        <f>IF(AND('Data Source'!B588&lt;&gt;"",'Data Source'!S588="F"),IF('Data Source'!Z588&gt;=5,"A+",IF('Data Source'!Z588&gt;=4,"A",IF('Data Source'!Z588&gt;=3.5,"A-",IF('Data Source'!Z588&gt;=3,"B",IF('Data Source'!Z588&gt;=2,"C",IF('Data Source'!Z588&gt;=1,"D","F")))))),"")</f>
        <v/>
      </c>
      <c r="I588" s="3">
        <f>IF(AND('Data Source'!B588&lt;&gt;"",'Data Source'!S588="F"),IF('Data Source'!AA588&gt;=5,"A+",IF('Data Source'!AA588&gt;=4,"A",IF('Data Source'!AA588&gt;=3.5,"A-",IF('Data Source'!AA588&gt;=3,"B",IF('Data Source'!AA588&gt;=2,"C",IF('Data Source'!AA588&gt;=1,"D","F")))))),"")</f>
        <v/>
      </c>
      <c r="J588" s="3">
        <f>IF(AND('Data Source'!B588&lt;&gt;"",'Data Source'!S588="F"),IF('Data Source'!AB588&gt;=5,"A+",IF('Data Source'!AB588&gt;=4,"A",IF('Data Source'!AB588&gt;=3.5,"A-",IF('Data Source'!AB588&gt;=3,"B",IF('Data Source'!AB588&gt;=2,"C",IF('Data Source'!AB588&gt;=1,"D","F")))))),"")</f>
        <v/>
      </c>
      <c r="K588" s="3">
        <f>IF(AND('Data Source'!B588&lt;&gt;"",'Data Source'!S588="F"),IF('Data Source'!AC588&gt;=5,"A+",IF('Data Source'!AC588&gt;=4,"A",IF('Data Source'!AC588&gt;=3.5,"A-",IF('Data Source'!AC588&gt;=3,"B",IF('Data Source'!AC588&gt;=2,"C",IF('Data Source'!AC588&gt;=1,"D","F")))))),"")</f>
        <v/>
      </c>
      <c r="L588" s="3">
        <f>IF(AND('Data Source'!B588&lt;&gt;"",'Data Source'!S588="F"),IF('Data Source'!AD588&gt;=5,"A+",IF('Data Source'!AD588&gt;=4,"A",IF('Data Source'!AD588&gt;=3.5,"A-",IF('Data Source'!AD588&gt;=3,"B",IF('Data Source'!AD588&gt;=2,"C",IF('Data Source'!AD588&gt;=1,"D","F")))))),"")</f>
        <v/>
      </c>
      <c r="M588" s="3">
        <f>IF(AND('Data Source'!B588&lt;&gt;"",'Data Source'!S588="F"),IF('Data Source'!AE588&gt;=5,"A+",IF('Data Source'!AE588&gt;=4,"A",IF('Data Source'!AE588&gt;=3.5,"A-",IF('Data Source'!AE588&gt;=3,"B",IF('Data Source'!AE588&gt;=2,"C",IF('Data Source'!AE588&gt;=1,"D","F")))))),"")</f>
        <v/>
      </c>
      <c r="N588" s="3">
        <f>IF(AND('Data Source'!B588&lt;&gt;"",'Data Source'!S588="F"),IF('Data Source'!AF588&gt;=5,"A+",IF('Data Source'!AF588&gt;=4,"A",IF('Data Source'!AF588&gt;=3.5,"A-",IF('Data Source'!AF588&gt;=3,"B",IF('Data Source'!AF588&gt;=2,"C",IF('Data Source'!AF588&gt;=1,"D","F")))))),"")</f>
        <v/>
      </c>
      <c r="O588" s="3">
        <f>IF(AND('Data Source'!B588&lt;&gt;"",'Data Source'!S588="F"),IF('Data Source'!AG588&gt;=5,"A+",IF('Data Source'!AG588&gt;=4,"A",IF('Data Source'!AG588&gt;=3.5,"A-",IF('Data Source'!AG588&gt;=3,"B",IF('Data Source'!AG588&gt;=2,"C",IF('Data Source'!AG588&gt;=1,"D","F")))))),"")</f>
        <v/>
      </c>
      <c r="P588" s="5">
        <f>IF(AND('Data Source'!B588&lt;&gt;"",'Data Source'!S588="F"),'Data Source'!R588,"")</f>
        <v/>
      </c>
      <c r="Q588" s="3">
        <f>IF(AND('Data Source'!B588&lt;&gt;"",'Data Source'!S588="F"),'Data Source'!S588,"")</f>
        <v/>
      </c>
    </row>
    <row r="589">
      <c r="A589" s="3">
        <f>IF(AND('Data Source'!B589&lt;&gt;"",'Data Source'!S589="F"),COUNTIF('Data Source'!$S$3:S589,"F"),"")</f>
        <v/>
      </c>
      <c r="B589">
        <f>IF(AND('Data Source'!B589&lt;&gt;"",'Data Source'!S589="F"),'Data Source'!B589,"")</f>
        <v/>
      </c>
      <c r="C589" s="3">
        <f>IF(AND('Data Source'!B589&lt;&gt;"",'Data Source'!S589="F"),IF('Data Source'!U589&gt;=5,"A+",IF('Data Source'!U589&gt;=4,"A",IF('Data Source'!U589&gt;=3.5,"A-",IF('Data Source'!U589&gt;=3,"B",IF('Data Source'!U589&gt;=2,"C",IF('Data Source'!U589&gt;=1,"D","F")))))),"")</f>
        <v/>
      </c>
      <c r="D589" s="3">
        <f>IF(AND('Data Source'!B589&lt;&gt;"",'Data Source'!S589="F"),IF('Data Source'!V589&gt;=5,"A+",IF('Data Source'!V589&gt;=4,"A",IF('Data Source'!V589&gt;=3.5,"A-",IF('Data Source'!V589&gt;=3,"B",IF('Data Source'!V589&gt;=2,"C",IF('Data Source'!V589&gt;=1,"D","F")))))),"")</f>
        <v/>
      </c>
      <c r="E589" s="3">
        <f>IF(AND('Data Source'!B589&lt;&gt;"",'Data Source'!S589="F"),IF('Data Source'!W589&gt;=5,"A+",IF('Data Source'!W589&gt;=4,"A",IF('Data Source'!W589&gt;=3.5,"A-",IF('Data Source'!W589&gt;=3,"B",IF('Data Source'!W589&gt;=2,"C",IF('Data Source'!W589&gt;=1,"D","F")))))),"")</f>
        <v/>
      </c>
      <c r="F589" s="3">
        <f>IF(AND('Data Source'!B589&lt;&gt;"",'Data Source'!S589="F"),IF('Data Source'!X589&gt;=5,"A+",IF('Data Source'!X589&gt;=4,"A",IF('Data Source'!X589&gt;=3.5,"A-",IF('Data Source'!X589&gt;=3,"B",IF('Data Source'!X589&gt;=2,"C",IF('Data Source'!X589&gt;=1,"D","F")))))),"")</f>
        <v/>
      </c>
      <c r="G589" s="3">
        <f>IF(AND('Data Source'!B589&lt;&gt;"",'Data Source'!S589="F"),IF('Data Source'!Y589&gt;=5,"A+",IF('Data Source'!Y589&gt;=4,"A",IF('Data Source'!Y589&gt;=3.5,"A-",IF('Data Source'!Y589&gt;=3,"B",IF('Data Source'!Y589&gt;=2,"C",IF('Data Source'!Y589&gt;=1,"D","F")))))),"")</f>
        <v/>
      </c>
      <c r="H589" s="3">
        <f>IF(AND('Data Source'!B589&lt;&gt;"",'Data Source'!S589="F"),IF('Data Source'!Z589&gt;=5,"A+",IF('Data Source'!Z589&gt;=4,"A",IF('Data Source'!Z589&gt;=3.5,"A-",IF('Data Source'!Z589&gt;=3,"B",IF('Data Source'!Z589&gt;=2,"C",IF('Data Source'!Z589&gt;=1,"D","F")))))),"")</f>
        <v/>
      </c>
      <c r="I589" s="3">
        <f>IF(AND('Data Source'!B589&lt;&gt;"",'Data Source'!S589="F"),IF('Data Source'!AA589&gt;=5,"A+",IF('Data Source'!AA589&gt;=4,"A",IF('Data Source'!AA589&gt;=3.5,"A-",IF('Data Source'!AA589&gt;=3,"B",IF('Data Source'!AA589&gt;=2,"C",IF('Data Source'!AA589&gt;=1,"D","F")))))),"")</f>
        <v/>
      </c>
      <c r="J589" s="3">
        <f>IF(AND('Data Source'!B589&lt;&gt;"",'Data Source'!S589="F"),IF('Data Source'!AB589&gt;=5,"A+",IF('Data Source'!AB589&gt;=4,"A",IF('Data Source'!AB589&gt;=3.5,"A-",IF('Data Source'!AB589&gt;=3,"B",IF('Data Source'!AB589&gt;=2,"C",IF('Data Source'!AB589&gt;=1,"D","F")))))),"")</f>
        <v/>
      </c>
      <c r="K589" s="3">
        <f>IF(AND('Data Source'!B589&lt;&gt;"",'Data Source'!S589="F"),IF('Data Source'!AC589&gt;=5,"A+",IF('Data Source'!AC589&gt;=4,"A",IF('Data Source'!AC589&gt;=3.5,"A-",IF('Data Source'!AC589&gt;=3,"B",IF('Data Source'!AC589&gt;=2,"C",IF('Data Source'!AC589&gt;=1,"D","F")))))),"")</f>
        <v/>
      </c>
      <c r="L589" s="3">
        <f>IF(AND('Data Source'!B589&lt;&gt;"",'Data Source'!S589="F"),IF('Data Source'!AD589&gt;=5,"A+",IF('Data Source'!AD589&gt;=4,"A",IF('Data Source'!AD589&gt;=3.5,"A-",IF('Data Source'!AD589&gt;=3,"B",IF('Data Source'!AD589&gt;=2,"C",IF('Data Source'!AD589&gt;=1,"D","F")))))),"")</f>
        <v/>
      </c>
      <c r="M589" s="3">
        <f>IF(AND('Data Source'!B589&lt;&gt;"",'Data Source'!S589="F"),IF('Data Source'!AE589&gt;=5,"A+",IF('Data Source'!AE589&gt;=4,"A",IF('Data Source'!AE589&gt;=3.5,"A-",IF('Data Source'!AE589&gt;=3,"B",IF('Data Source'!AE589&gt;=2,"C",IF('Data Source'!AE589&gt;=1,"D","F")))))),"")</f>
        <v/>
      </c>
      <c r="N589" s="3">
        <f>IF(AND('Data Source'!B589&lt;&gt;"",'Data Source'!S589="F"),IF('Data Source'!AF589&gt;=5,"A+",IF('Data Source'!AF589&gt;=4,"A",IF('Data Source'!AF589&gt;=3.5,"A-",IF('Data Source'!AF589&gt;=3,"B",IF('Data Source'!AF589&gt;=2,"C",IF('Data Source'!AF589&gt;=1,"D","F")))))),"")</f>
        <v/>
      </c>
      <c r="O589" s="3">
        <f>IF(AND('Data Source'!B589&lt;&gt;"",'Data Source'!S589="F"),IF('Data Source'!AG589&gt;=5,"A+",IF('Data Source'!AG589&gt;=4,"A",IF('Data Source'!AG589&gt;=3.5,"A-",IF('Data Source'!AG589&gt;=3,"B",IF('Data Source'!AG589&gt;=2,"C",IF('Data Source'!AG589&gt;=1,"D","F")))))),"")</f>
        <v/>
      </c>
      <c r="P589" s="5">
        <f>IF(AND('Data Source'!B589&lt;&gt;"",'Data Source'!S589="F"),'Data Source'!R589,"")</f>
        <v/>
      </c>
      <c r="Q589" s="3">
        <f>IF(AND('Data Source'!B589&lt;&gt;"",'Data Source'!S589="F"),'Data Source'!S589,"")</f>
        <v/>
      </c>
    </row>
    <row r="590">
      <c r="A590" s="3">
        <f>IF(AND('Data Source'!B590&lt;&gt;"",'Data Source'!S590="F"),COUNTIF('Data Source'!$S$3:S590,"F"),"")</f>
        <v/>
      </c>
      <c r="B590">
        <f>IF(AND('Data Source'!B590&lt;&gt;"",'Data Source'!S590="F"),'Data Source'!B590,"")</f>
        <v/>
      </c>
      <c r="C590" s="3">
        <f>IF(AND('Data Source'!B590&lt;&gt;"",'Data Source'!S590="F"),IF('Data Source'!U590&gt;=5,"A+",IF('Data Source'!U590&gt;=4,"A",IF('Data Source'!U590&gt;=3.5,"A-",IF('Data Source'!U590&gt;=3,"B",IF('Data Source'!U590&gt;=2,"C",IF('Data Source'!U590&gt;=1,"D","F")))))),"")</f>
        <v/>
      </c>
      <c r="D590" s="3">
        <f>IF(AND('Data Source'!B590&lt;&gt;"",'Data Source'!S590="F"),IF('Data Source'!V590&gt;=5,"A+",IF('Data Source'!V590&gt;=4,"A",IF('Data Source'!V590&gt;=3.5,"A-",IF('Data Source'!V590&gt;=3,"B",IF('Data Source'!V590&gt;=2,"C",IF('Data Source'!V590&gt;=1,"D","F")))))),"")</f>
        <v/>
      </c>
      <c r="E590" s="3">
        <f>IF(AND('Data Source'!B590&lt;&gt;"",'Data Source'!S590="F"),IF('Data Source'!W590&gt;=5,"A+",IF('Data Source'!W590&gt;=4,"A",IF('Data Source'!W590&gt;=3.5,"A-",IF('Data Source'!W590&gt;=3,"B",IF('Data Source'!W590&gt;=2,"C",IF('Data Source'!W590&gt;=1,"D","F")))))),"")</f>
        <v/>
      </c>
      <c r="F590" s="3">
        <f>IF(AND('Data Source'!B590&lt;&gt;"",'Data Source'!S590="F"),IF('Data Source'!X590&gt;=5,"A+",IF('Data Source'!X590&gt;=4,"A",IF('Data Source'!X590&gt;=3.5,"A-",IF('Data Source'!X590&gt;=3,"B",IF('Data Source'!X590&gt;=2,"C",IF('Data Source'!X590&gt;=1,"D","F")))))),"")</f>
        <v/>
      </c>
      <c r="G590" s="3">
        <f>IF(AND('Data Source'!B590&lt;&gt;"",'Data Source'!S590="F"),IF('Data Source'!Y590&gt;=5,"A+",IF('Data Source'!Y590&gt;=4,"A",IF('Data Source'!Y590&gt;=3.5,"A-",IF('Data Source'!Y590&gt;=3,"B",IF('Data Source'!Y590&gt;=2,"C",IF('Data Source'!Y590&gt;=1,"D","F")))))),"")</f>
        <v/>
      </c>
      <c r="H590" s="3">
        <f>IF(AND('Data Source'!B590&lt;&gt;"",'Data Source'!S590="F"),IF('Data Source'!Z590&gt;=5,"A+",IF('Data Source'!Z590&gt;=4,"A",IF('Data Source'!Z590&gt;=3.5,"A-",IF('Data Source'!Z590&gt;=3,"B",IF('Data Source'!Z590&gt;=2,"C",IF('Data Source'!Z590&gt;=1,"D","F")))))),"")</f>
        <v/>
      </c>
      <c r="I590" s="3">
        <f>IF(AND('Data Source'!B590&lt;&gt;"",'Data Source'!S590="F"),IF('Data Source'!AA590&gt;=5,"A+",IF('Data Source'!AA590&gt;=4,"A",IF('Data Source'!AA590&gt;=3.5,"A-",IF('Data Source'!AA590&gt;=3,"B",IF('Data Source'!AA590&gt;=2,"C",IF('Data Source'!AA590&gt;=1,"D","F")))))),"")</f>
        <v/>
      </c>
      <c r="J590" s="3">
        <f>IF(AND('Data Source'!B590&lt;&gt;"",'Data Source'!S590="F"),IF('Data Source'!AB590&gt;=5,"A+",IF('Data Source'!AB590&gt;=4,"A",IF('Data Source'!AB590&gt;=3.5,"A-",IF('Data Source'!AB590&gt;=3,"B",IF('Data Source'!AB590&gt;=2,"C",IF('Data Source'!AB590&gt;=1,"D","F")))))),"")</f>
        <v/>
      </c>
      <c r="K590" s="3">
        <f>IF(AND('Data Source'!B590&lt;&gt;"",'Data Source'!S590="F"),IF('Data Source'!AC590&gt;=5,"A+",IF('Data Source'!AC590&gt;=4,"A",IF('Data Source'!AC590&gt;=3.5,"A-",IF('Data Source'!AC590&gt;=3,"B",IF('Data Source'!AC590&gt;=2,"C",IF('Data Source'!AC590&gt;=1,"D","F")))))),"")</f>
        <v/>
      </c>
      <c r="L590" s="3">
        <f>IF(AND('Data Source'!B590&lt;&gt;"",'Data Source'!S590="F"),IF('Data Source'!AD590&gt;=5,"A+",IF('Data Source'!AD590&gt;=4,"A",IF('Data Source'!AD590&gt;=3.5,"A-",IF('Data Source'!AD590&gt;=3,"B",IF('Data Source'!AD590&gt;=2,"C",IF('Data Source'!AD590&gt;=1,"D","F")))))),"")</f>
        <v/>
      </c>
      <c r="M590" s="3">
        <f>IF(AND('Data Source'!B590&lt;&gt;"",'Data Source'!S590="F"),IF('Data Source'!AE590&gt;=5,"A+",IF('Data Source'!AE590&gt;=4,"A",IF('Data Source'!AE590&gt;=3.5,"A-",IF('Data Source'!AE590&gt;=3,"B",IF('Data Source'!AE590&gt;=2,"C",IF('Data Source'!AE590&gt;=1,"D","F")))))),"")</f>
        <v/>
      </c>
      <c r="N590" s="3">
        <f>IF(AND('Data Source'!B590&lt;&gt;"",'Data Source'!S590="F"),IF('Data Source'!AF590&gt;=5,"A+",IF('Data Source'!AF590&gt;=4,"A",IF('Data Source'!AF590&gt;=3.5,"A-",IF('Data Source'!AF590&gt;=3,"B",IF('Data Source'!AF590&gt;=2,"C",IF('Data Source'!AF590&gt;=1,"D","F")))))),"")</f>
        <v/>
      </c>
      <c r="O590" s="3">
        <f>IF(AND('Data Source'!B590&lt;&gt;"",'Data Source'!S590="F"),IF('Data Source'!AG590&gt;=5,"A+",IF('Data Source'!AG590&gt;=4,"A",IF('Data Source'!AG590&gt;=3.5,"A-",IF('Data Source'!AG590&gt;=3,"B",IF('Data Source'!AG590&gt;=2,"C",IF('Data Source'!AG590&gt;=1,"D","F")))))),"")</f>
        <v/>
      </c>
      <c r="P590" s="5">
        <f>IF(AND('Data Source'!B590&lt;&gt;"",'Data Source'!S590="F"),'Data Source'!R590,"")</f>
        <v/>
      </c>
      <c r="Q590" s="3">
        <f>IF(AND('Data Source'!B590&lt;&gt;"",'Data Source'!S590="F"),'Data Source'!S590,"")</f>
        <v/>
      </c>
    </row>
    <row r="591">
      <c r="A591" s="3">
        <f>IF(AND('Data Source'!B591&lt;&gt;"",'Data Source'!S591="F"),COUNTIF('Data Source'!$S$3:S591,"F"),"")</f>
        <v/>
      </c>
      <c r="B591">
        <f>IF(AND('Data Source'!B591&lt;&gt;"",'Data Source'!S591="F"),'Data Source'!B591,"")</f>
        <v/>
      </c>
      <c r="C591" s="3">
        <f>IF(AND('Data Source'!B591&lt;&gt;"",'Data Source'!S591="F"),IF('Data Source'!U591&gt;=5,"A+",IF('Data Source'!U591&gt;=4,"A",IF('Data Source'!U591&gt;=3.5,"A-",IF('Data Source'!U591&gt;=3,"B",IF('Data Source'!U591&gt;=2,"C",IF('Data Source'!U591&gt;=1,"D","F")))))),"")</f>
        <v/>
      </c>
      <c r="D591" s="3">
        <f>IF(AND('Data Source'!B591&lt;&gt;"",'Data Source'!S591="F"),IF('Data Source'!V591&gt;=5,"A+",IF('Data Source'!V591&gt;=4,"A",IF('Data Source'!V591&gt;=3.5,"A-",IF('Data Source'!V591&gt;=3,"B",IF('Data Source'!V591&gt;=2,"C",IF('Data Source'!V591&gt;=1,"D","F")))))),"")</f>
        <v/>
      </c>
      <c r="E591" s="3">
        <f>IF(AND('Data Source'!B591&lt;&gt;"",'Data Source'!S591="F"),IF('Data Source'!W591&gt;=5,"A+",IF('Data Source'!W591&gt;=4,"A",IF('Data Source'!W591&gt;=3.5,"A-",IF('Data Source'!W591&gt;=3,"B",IF('Data Source'!W591&gt;=2,"C",IF('Data Source'!W591&gt;=1,"D","F")))))),"")</f>
        <v/>
      </c>
      <c r="F591" s="3">
        <f>IF(AND('Data Source'!B591&lt;&gt;"",'Data Source'!S591="F"),IF('Data Source'!X591&gt;=5,"A+",IF('Data Source'!X591&gt;=4,"A",IF('Data Source'!X591&gt;=3.5,"A-",IF('Data Source'!X591&gt;=3,"B",IF('Data Source'!X591&gt;=2,"C",IF('Data Source'!X591&gt;=1,"D","F")))))),"")</f>
        <v/>
      </c>
      <c r="G591" s="3">
        <f>IF(AND('Data Source'!B591&lt;&gt;"",'Data Source'!S591="F"),IF('Data Source'!Y591&gt;=5,"A+",IF('Data Source'!Y591&gt;=4,"A",IF('Data Source'!Y591&gt;=3.5,"A-",IF('Data Source'!Y591&gt;=3,"B",IF('Data Source'!Y591&gt;=2,"C",IF('Data Source'!Y591&gt;=1,"D","F")))))),"")</f>
        <v/>
      </c>
      <c r="H591" s="3">
        <f>IF(AND('Data Source'!B591&lt;&gt;"",'Data Source'!S591="F"),IF('Data Source'!Z591&gt;=5,"A+",IF('Data Source'!Z591&gt;=4,"A",IF('Data Source'!Z591&gt;=3.5,"A-",IF('Data Source'!Z591&gt;=3,"B",IF('Data Source'!Z591&gt;=2,"C",IF('Data Source'!Z591&gt;=1,"D","F")))))),"")</f>
        <v/>
      </c>
      <c r="I591" s="3">
        <f>IF(AND('Data Source'!B591&lt;&gt;"",'Data Source'!S591="F"),IF('Data Source'!AA591&gt;=5,"A+",IF('Data Source'!AA591&gt;=4,"A",IF('Data Source'!AA591&gt;=3.5,"A-",IF('Data Source'!AA591&gt;=3,"B",IF('Data Source'!AA591&gt;=2,"C",IF('Data Source'!AA591&gt;=1,"D","F")))))),"")</f>
        <v/>
      </c>
      <c r="J591" s="3">
        <f>IF(AND('Data Source'!B591&lt;&gt;"",'Data Source'!S591="F"),IF('Data Source'!AB591&gt;=5,"A+",IF('Data Source'!AB591&gt;=4,"A",IF('Data Source'!AB591&gt;=3.5,"A-",IF('Data Source'!AB591&gt;=3,"B",IF('Data Source'!AB591&gt;=2,"C",IF('Data Source'!AB591&gt;=1,"D","F")))))),"")</f>
        <v/>
      </c>
      <c r="K591" s="3">
        <f>IF(AND('Data Source'!B591&lt;&gt;"",'Data Source'!S591="F"),IF('Data Source'!AC591&gt;=5,"A+",IF('Data Source'!AC591&gt;=4,"A",IF('Data Source'!AC591&gt;=3.5,"A-",IF('Data Source'!AC591&gt;=3,"B",IF('Data Source'!AC591&gt;=2,"C",IF('Data Source'!AC591&gt;=1,"D","F")))))),"")</f>
        <v/>
      </c>
      <c r="L591" s="3">
        <f>IF(AND('Data Source'!B591&lt;&gt;"",'Data Source'!S591="F"),IF('Data Source'!AD591&gt;=5,"A+",IF('Data Source'!AD591&gt;=4,"A",IF('Data Source'!AD591&gt;=3.5,"A-",IF('Data Source'!AD591&gt;=3,"B",IF('Data Source'!AD591&gt;=2,"C",IF('Data Source'!AD591&gt;=1,"D","F")))))),"")</f>
        <v/>
      </c>
      <c r="M591" s="3">
        <f>IF(AND('Data Source'!B591&lt;&gt;"",'Data Source'!S591="F"),IF('Data Source'!AE591&gt;=5,"A+",IF('Data Source'!AE591&gt;=4,"A",IF('Data Source'!AE591&gt;=3.5,"A-",IF('Data Source'!AE591&gt;=3,"B",IF('Data Source'!AE591&gt;=2,"C",IF('Data Source'!AE591&gt;=1,"D","F")))))),"")</f>
        <v/>
      </c>
      <c r="N591" s="3">
        <f>IF(AND('Data Source'!B591&lt;&gt;"",'Data Source'!S591="F"),IF('Data Source'!AF591&gt;=5,"A+",IF('Data Source'!AF591&gt;=4,"A",IF('Data Source'!AF591&gt;=3.5,"A-",IF('Data Source'!AF591&gt;=3,"B",IF('Data Source'!AF591&gt;=2,"C",IF('Data Source'!AF591&gt;=1,"D","F")))))),"")</f>
        <v/>
      </c>
      <c r="O591" s="3">
        <f>IF(AND('Data Source'!B591&lt;&gt;"",'Data Source'!S591="F"),IF('Data Source'!AG591&gt;=5,"A+",IF('Data Source'!AG591&gt;=4,"A",IF('Data Source'!AG591&gt;=3.5,"A-",IF('Data Source'!AG591&gt;=3,"B",IF('Data Source'!AG591&gt;=2,"C",IF('Data Source'!AG591&gt;=1,"D","F")))))),"")</f>
        <v/>
      </c>
      <c r="P591" s="5">
        <f>IF(AND('Data Source'!B591&lt;&gt;"",'Data Source'!S591="F"),'Data Source'!R591,"")</f>
        <v/>
      </c>
      <c r="Q591" s="3">
        <f>IF(AND('Data Source'!B591&lt;&gt;"",'Data Source'!S591="F"),'Data Source'!S591,"")</f>
        <v/>
      </c>
    </row>
    <row r="592">
      <c r="A592" s="3">
        <f>IF(AND('Data Source'!B592&lt;&gt;"",'Data Source'!S592="F"),COUNTIF('Data Source'!$S$3:S592,"F"),"")</f>
        <v/>
      </c>
      <c r="B592">
        <f>IF(AND('Data Source'!B592&lt;&gt;"",'Data Source'!S592="F"),'Data Source'!B592,"")</f>
        <v/>
      </c>
      <c r="C592" s="3">
        <f>IF(AND('Data Source'!B592&lt;&gt;"",'Data Source'!S592="F"),IF('Data Source'!U592&gt;=5,"A+",IF('Data Source'!U592&gt;=4,"A",IF('Data Source'!U592&gt;=3.5,"A-",IF('Data Source'!U592&gt;=3,"B",IF('Data Source'!U592&gt;=2,"C",IF('Data Source'!U592&gt;=1,"D","F")))))),"")</f>
        <v/>
      </c>
      <c r="D592" s="3">
        <f>IF(AND('Data Source'!B592&lt;&gt;"",'Data Source'!S592="F"),IF('Data Source'!V592&gt;=5,"A+",IF('Data Source'!V592&gt;=4,"A",IF('Data Source'!V592&gt;=3.5,"A-",IF('Data Source'!V592&gt;=3,"B",IF('Data Source'!V592&gt;=2,"C",IF('Data Source'!V592&gt;=1,"D","F")))))),"")</f>
        <v/>
      </c>
      <c r="E592" s="3">
        <f>IF(AND('Data Source'!B592&lt;&gt;"",'Data Source'!S592="F"),IF('Data Source'!W592&gt;=5,"A+",IF('Data Source'!W592&gt;=4,"A",IF('Data Source'!W592&gt;=3.5,"A-",IF('Data Source'!W592&gt;=3,"B",IF('Data Source'!W592&gt;=2,"C",IF('Data Source'!W592&gt;=1,"D","F")))))),"")</f>
        <v/>
      </c>
      <c r="F592" s="3">
        <f>IF(AND('Data Source'!B592&lt;&gt;"",'Data Source'!S592="F"),IF('Data Source'!X592&gt;=5,"A+",IF('Data Source'!X592&gt;=4,"A",IF('Data Source'!X592&gt;=3.5,"A-",IF('Data Source'!X592&gt;=3,"B",IF('Data Source'!X592&gt;=2,"C",IF('Data Source'!X592&gt;=1,"D","F")))))),"")</f>
        <v/>
      </c>
      <c r="G592" s="3">
        <f>IF(AND('Data Source'!B592&lt;&gt;"",'Data Source'!S592="F"),IF('Data Source'!Y592&gt;=5,"A+",IF('Data Source'!Y592&gt;=4,"A",IF('Data Source'!Y592&gt;=3.5,"A-",IF('Data Source'!Y592&gt;=3,"B",IF('Data Source'!Y592&gt;=2,"C",IF('Data Source'!Y592&gt;=1,"D","F")))))),"")</f>
        <v/>
      </c>
      <c r="H592" s="3">
        <f>IF(AND('Data Source'!B592&lt;&gt;"",'Data Source'!S592="F"),IF('Data Source'!Z592&gt;=5,"A+",IF('Data Source'!Z592&gt;=4,"A",IF('Data Source'!Z592&gt;=3.5,"A-",IF('Data Source'!Z592&gt;=3,"B",IF('Data Source'!Z592&gt;=2,"C",IF('Data Source'!Z592&gt;=1,"D","F")))))),"")</f>
        <v/>
      </c>
      <c r="I592" s="3">
        <f>IF(AND('Data Source'!B592&lt;&gt;"",'Data Source'!S592="F"),IF('Data Source'!AA592&gt;=5,"A+",IF('Data Source'!AA592&gt;=4,"A",IF('Data Source'!AA592&gt;=3.5,"A-",IF('Data Source'!AA592&gt;=3,"B",IF('Data Source'!AA592&gt;=2,"C",IF('Data Source'!AA592&gt;=1,"D","F")))))),"")</f>
        <v/>
      </c>
      <c r="J592" s="3">
        <f>IF(AND('Data Source'!B592&lt;&gt;"",'Data Source'!S592="F"),IF('Data Source'!AB592&gt;=5,"A+",IF('Data Source'!AB592&gt;=4,"A",IF('Data Source'!AB592&gt;=3.5,"A-",IF('Data Source'!AB592&gt;=3,"B",IF('Data Source'!AB592&gt;=2,"C",IF('Data Source'!AB592&gt;=1,"D","F")))))),"")</f>
        <v/>
      </c>
      <c r="K592" s="3">
        <f>IF(AND('Data Source'!B592&lt;&gt;"",'Data Source'!S592="F"),IF('Data Source'!AC592&gt;=5,"A+",IF('Data Source'!AC592&gt;=4,"A",IF('Data Source'!AC592&gt;=3.5,"A-",IF('Data Source'!AC592&gt;=3,"B",IF('Data Source'!AC592&gt;=2,"C",IF('Data Source'!AC592&gt;=1,"D","F")))))),"")</f>
        <v/>
      </c>
      <c r="L592" s="3">
        <f>IF(AND('Data Source'!B592&lt;&gt;"",'Data Source'!S592="F"),IF('Data Source'!AD592&gt;=5,"A+",IF('Data Source'!AD592&gt;=4,"A",IF('Data Source'!AD592&gt;=3.5,"A-",IF('Data Source'!AD592&gt;=3,"B",IF('Data Source'!AD592&gt;=2,"C",IF('Data Source'!AD592&gt;=1,"D","F")))))),"")</f>
        <v/>
      </c>
      <c r="M592" s="3">
        <f>IF(AND('Data Source'!B592&lt;&gt;"",'Data Source'!S592="F"),IF('Data Source'!AE592&gt;=5,"A+",IF('Data Source'!AE592&gt;=4,"A",IF('Data Source'!AE592&gt;=3.5,"A-",IF('Data Source'!AE592&gt;=3,"B",IF('Data Source'!AE592&gt;=2,"C",IF('Data Source'!AE592&gt;=1,"D","F")))))),"")</f>
        <v/>
      </c>
      <c r="N592" s="3">
        <f>IF(AND('Data Source'!B592&lt;&gt;"",'Data Source'!S592="F"),IF('Data Source'!AF592&gt;=5,"A+",IF('Data Source'!AF592&gt;=4,"A",IF('Data Source'!AF592&gt;=3.5,"A-",IF('Data Source'!AF592&gt;=3,"B",IF('Data Source'!AF592&gt;=2,"C",IF('Data Source'!AF592&gt;=1,"D","F")))))),"")</f>
        <v/>
      </c>
      <c r="O592" s="3">
        <f>IF(AND('Data Source'!B592&lt;&gt;"",'Data Source'!S592="F"),IF('Data Source'!AG592&gt;=5,"A+",IF('Data Source'!AG592&gt;=4,"A",IF('Data Source'!AG592&gt;=3.5,"A-",IF('Data Source'!AG592&gt;=3,"B",IF('Data Source'!AG592&gt;=2,"C",IF('Data Source'!AG592&gt;=1,"D","F")))))),"")</f>
        <v/>
      </c>
      <c r="P592" s="5">
        <f>IF(AND('Data Source'!B592&lt;&gt;"",'Data Source'!S592="F"),'Data Source'!R592,"")</f>
        <v/>
      </c>
      <c r="Q592" s="3">
        <f>IF(AND('Data Source'!B592&lt;&gt;"",'Data Source'!S592="F"),'Data Source'!S592,"")</f>
        <v/>
      </c>
    </row>
    <row r="593">
      <c r="A593" s="3">
        <f>IF(AND('Data Source'!B593&lt;&gt;"",'Data Source'!S593="F"),COUNTIF('Data Source'!$S$3:S593,"F"),"")</f>
        <v/>
      </c>
      <c r="B593">
        <f>IF(AND('Data Source'!B593&lt;&gt;"",'Data Source'!S593="F"),'Data Source'!B593,"")</f>
        <v/>
      </c>
      <c r="C593" s="3">
        <f>IF(AND('Data Source'!B593&lt;&gt;"",'Data Source'!S593="F"),IF('Data Source'!U593&gt;=5,"A+",IF('Data Source'!U593&gt;=4,"A",IF('Data Source'!U593&gt;=3.5,"A-",IF('Data Source'!U593&gt;=3,"B",IF('Data Source'!U593&gt;=2,"C",IF('Data Source'!U593&gt;=1,"D","F")))))),"")</f>
        <v/>
      </c>
      <c r="D593" s="3">
        <f>IF(AND('Data Source'!B593&lt;&gt;"",'Data Source'!S593="F"),IF('Data Source'!V593&gt;=5,"A+",IF('Data Source'!V593&gt;=4,"A",IF('Data Source'!V593&gt;=3.5,"A-",IF('Data Source'!V593&gt;=3,"B",IF('Data Source'!V593&gt;=2,"C",IF('Data Source'!V593&gt;=1,"D","F")))))),"")</f>
        <v/>
      </c>
      <c r="E593" s="3">
        <f>IF(AND('Data Source'!B593&lt;&gt;"",'Data Source'!S593="F"),IF('Data Source'!W593&gt;=5,"A+",IF('Data Source'!W593&gt;=4,"A",IF('Data Source'!W593&gt;=3.5,"A-",IF('Data Source'!W593&gt;=3,"B",IF('Data Source'!W593&gt;=2,"C",IF('Data Source'!W593&gt;=1,"D","F")))))),"")</f>
        <v/>
      </c>
      <c r="F593" s="3">
        <f>IF(AND('Data Source'!B593&lt;&gt;"",'Data Source'!S593="F"),IF('Data Source'!X593&gt;=5,"A+",IF('Data Source'!X593&gt;=4,"A",IF('Data Source'!X593&gt;=3.5,"A-",IF('Data Source'!X593&gt;=3,"B",IF('Data Source'!X593&gt;=2,"C",IF('Data Source'!X593&gt;=1,"D","F")))))),"")</f>
        <v/>
      </c>
      <c r="G593" s="3">
        <f>IF(AND('Data Source'!B593&lt;&gt;"",'Data Source'!S593="F"),IF('Data Source'!Y593&gt;=5,"A+",IF('Data Source'!Y593&gt;=4,"A",IF('Data Source'!Y593&gt;=3.5,"A-",IF('Data Source'!Y593&gt;=3,"B",IF('Data Source'!Y593&gt;=2,"C",IF('Data Source'!Y593&gt;=1,"D","F")))))),"")</f>
        <v/>
      </c>
      <c r="H593" s="3">
        <f>IF(AND('Data Source'!B593&lt;&gt;"",'Data Source'!S593="F"),IF('Data Source'!Z593&gt;=5,"A+",IF('Data Source'!Z593&gt;=4,"A",IF('Data Source'!Z593&gt;=3.5,"A-",IF('Data Source'!Z593&gt;=3,"B",IF('Data Source'!Z593&gt;=2,"C",IF('Data Source'!Z593&gt;=1,"D","F")))))),"")</f>
        <v/>
      </c>
      <c r="I593" s="3">
        <f>IF(AND('Data Source'!B593&lt;&gt;"",'Data Source'!S593="F"),IF('Data Source'!AA593&gt;=5,"A+",IF('Data Source'!AA593&gt;=4,"A",IF('Data Source'!AA593&gt;=3.5,"A-",IF('Data Source'!AA593&gt;=3,"B",IF('Data Source'!AA593&gt;=2,"C",IF('Data Source'!AA593&gt;=1,"D","F")))))),"")</f>
        <v/>
      </c>
      <c r="J593" s="3">
        <f>IF(AND('Data Source'!B593&lt;&gt;"",'Data Source'!S593="F"),IF('Data Source'!AB593&gt;=5,"A+",IF('Data Source'!AB593&gt;=4,"A",IF('Data Source'!AB593&gt;=3.5,"A-",IF('Data Source'!AB593&gt;=3,"B",IF('Data Source'!AB593&gt;=2,"C",IF('Data Source'!AB593&gt;=1,"D","F")))))),"")</f>
        <v/>
      </c>
      <c r="K593" s="3">
        <f>IF(AND('Data Source'!B593&lt;&gt;"",'Data Source'!S593="F"),IF('Data Source'!AC593&gt;=5,"A+",IF('Data Source'!AC593&gt;=4,"A",IF('Data Source'!AC593&gt;=3.5,"A-",IF('Data Source'!AC593&gt;=3,"B",IF('Data Source'!AC593&gt;=2,"C",IF('Data Source'!AC593&gt;=1,"D","F")))))),"")</f>
        <v/>
      </c>
      <c r="L593" s="3">
        <f>IF(AND('Data Source'!B593&lt;&gt;"",'Data Source'!S593="F"),IF('Data Source'!AD593&gt;=5,"A+",IF('Data Source'!AD593&gt;=4,"A",IF('Data Source'!AD593&gt;=3.5,"A-",IF('Data Source'!AD593&gt;=3,"B",IF('Data Source'!AD593&gt;=2,"C",IF('Data Source'!AD593&gt;=1,"D","F")))))),"")</f>
        <v/>
      </c>
      <c r="M593" s="3">
        <f>IF(AND('Data Source'!B593&lt;&gt;"",'Data Source'!S593="F"),IF('Data Source'!AE593&gt;=5,"A+",IF('Data Source'!AE593&gt;=4,"A",IF('Data Source'!AE593&gt;=3.5,"A-",IF('Data Source'!AE593&gt;=3,"B",IF('Data Source'!AE593&gt;=2,"C",IF('Data Source'!AE593&gt;=1,"D","F")))))),"")</f>
        <v/>
      </c>
      <c r="N593" s="3">
        <f>IF(AND('Data Source'!B593&lt;&gt;"",'Data Source'!S593="F"),IF('Data Source'!AF593&gt;=5,"A+",IF('Data Source'!AF593&gt;=4,"A",IF('Data Source'!AF593&gt;=3.5,"A-",IF('Data Source'!AF593&gt;=3,"B",IF('Data Source'!AF593&gt;=2,"C",IF('Data Source'!AF593&gt;=1,"D","F")))))),"")</f>
        <v/>
      </c>
      <c r="O593" s="3">
        <f>IF(AND('Data Source'!B593&lt;&gt;"",'Data Source'!S593="F"),IF('Data Source'!AG593&gt;=5,"A+",IF('Data Source'!AG593&gt;=4,"A",IF('Data Source'!AG593&gt;=3.5,"A-",IF('Data Source'!AG593&gt;=3,"B",IF('Data Source'!AG593&gt;=2,"C",IF('Data Source'!AG593&gt;=1,"D","F")))))),"")</f>
        <v/>
      </c>
      <c r="P593" s="5">
        <f>IF(AND('Data Source'!B593&lt;&gt;"",'Data Source'!S593="F"),'Data Source'!R593,"")</f>
        <v/>
      </c>
      <c r="Q593" s="3">
        <f>IF(AND('Data Source'!B593&lt;&gt;"",'Data Source'!S593="F"),'Data Source'!S593,"")</f>
        <v/>
      </c>
    </row>
    <row r="594">
      <c r="A594" s="3">
        <f>IF(AND('Data Source'!B594&lt;&gt;"",'Data Source'!S594="F"),COUNTIF('Data Source'!$S$3:S594,"F"),"")</f>
        <v/>
      </c>
      <c r="B594">
        <f>IF(AND('Data Source'!B594&lt;&gt;"",'Data Source'!S594="F"),'Data Source'!B594,"")</f>
        <v/>
      </c>
      <c r="C594" s="3">
        <f>IF(AND('Data Source'!B594&lt;&gt;"",'Data Source'!S594="F"),IF('Data Source'!U594&gt;=5,"A+",IF('Data Source'!U594&gt;=4,"A",IF('Data Source'!U594&gt;=3.5,"A-",IF('Data Source'!U594&gt;=3,"B",IF('Data Source'!U594&gt;=2,"C",IF('Data Source'!U594&gt;=1,"D","F")))))),"")</f>
        <v/>
      </c>
      <c r="D594" s="3">
        <f>IF(AND('Data Source'!B594&lt;&gt;"",'Data Source'!S594="F"),IF('Data Source'!V594&gt;=5,"A+",IF('Data Source'!V594&gt;=4,"A",IF('Data Source'!V594&gt;=3.5,"A-",IF('Data Source'!V594&gt;=3,"B",IF('Data Source'!V594&gt;=2,"C",IF('Data Source'!V594&gt;=1,"D","F")))))),"")</f>
        <v/>
      </c>
      <c r="E594" s="3">
        <f>IF(AND('Data Source'!B594&lt;&gt;"",'Data Source'!S594="F"),IF('Data Source'!W594&gt;=5,"A+",IF('Data Source'!W594&gt;=4,"A",IF('Data Source'!W594&gt;=3.5,"A-",IF('Data Source'!W594&gt;=3,"B",IF('Data Source'!W594&gt;=2,"C",IF('Data Source'!W594&gt;=1,"D","F")))))),"")</f>
        <v/>
      </c>
      <c r="F594" s="3">
        <f>IF(AND('Data Source'!B594&lt;&gt;"",'Data Source'!S594="F"),IF('Data Source'!X594&gt;=5,"A+",IF('Data Source'!X594&gt;=4,"A",IF('Data Source'!X594&gt;=3.5,"A-",IF('Data Source'!X594&gt;=3,"B",IF('Data Source'!X594&gt;=2,"C",IF('Data Source'!X594&gt;=1,"D","F")))))),"")</f>
        <v/>
      </c>
      <c r="G594" s="3">
        <f>IF(AND('Data Source'!B594&lt;&gt;"",'Data Source'!S594="F"),IF('Data Source'!Y594&gt;=5,"A+",IF('Data Source'!Y594&gt;=4,"A",IF('Data Source'!Y594&gt;=3.5,"A-",IF('Data Source'!Y594&gt;=3,"B",IF('Data Source'!Y594&gt;=2,"C",IF('Data Source'!Y594&gt;=1,"D","F")))))),"")</f>
        <v/>
      </c>
      <c r="H594" s="3">
        <f>IF(AND('Data Source'!B594&lt;&gt;"",'Data Source'!S594="F"),IF('Data Source'!Z594&gt;=5,"A+",IF('Data Source'!Z594&gt;=4,"A",IF('Data Source'!Z594&gt;=3.5,"A-",IF('Data Source'!Z594&gt;=3,"B",IF('Data Source'!Z594&gt;=2,"C",IF('Data Source'!Z594&gt;=1,"D","F")))))),"")</f>
        <v/>
      </c>
      <c r="I594" s="3">
        <f>IF(AND('Data Source'!B594&lt;&gt;"",'Data Source'!S594="F"),IF('Data Source'!AA594&gt;=5,"A+",IF('Data Source'!AA594&gt;=4,"A",IF('Data Source'!AA594&gt;=3.5,"A-",IF('Data Source'!AA594&gt;=3,"B",IF('Data Source'!AA594&gt;=2,"C",IF('Data Source'!AA594&gt;=1,"D","F")))))),"")</f>
        <v/>
      </c>
      <c r="J594" s="3">
        <f>IF(AND('Data Source'!B594&lt;&gt;"",'Data Source'!S594="F"),IF('Data Source'!AB594&gt;=5,"A+",IF('Data Source'!AB594&gt;=4,"A",IF('Data Source'!AB594&gt;=3.5,"A-",IF('Data Source'!AB594&gt;=3,"B",IF('Data Source'!AB594&gt;=2,"C",IF('Data Source'!AB594&gt;=1,"D","F")))))),"")</f>
        <v/>
      </c>
      <c r="K594" s="3">
        <f>IF(AND('Data Source'!B594&lt;&gt;"",'Data Source'!S594="F"),IF('Data Source'!AC594&gt;=5,"A+",IF('Data Source'!AC594&gt;=4,"A",IF('Data Source'!AC594&gt;=3.5,"A-",IF('Data Source'!AC594&gt;=3,"B",IF('Data Source'!AC594&gt;=2,"C",IF('Data Source'!AC594&gt;=1,"D","F")))))),"")</f>
        <v/>
      </c>
      <c r="L594" s="3">
        <f>IF(AND('Data Source'!B594&lt;&gt;"",'Data Source'!S594="F"),IF('Data Source'!AD594&gt;=5,"A+",IF('Data Source'!AD594&gt;=4,"A",IF('Data Source'!AD594&gt;=3.5,"A-",IF('Data Source'!AD594&gt;=3,"B",IF('Data Source'!AD594&gt;=2,"C",IF('Data Source'!AD594&gt;=1,"D","F")))))),"")</f>
        <v/>
      </c>
      <c r="M594" s="3">
        <f>IF(AND('Data Source'!B594&lt;&gt;"",'Data Source'!S594="F"),IF('Data Source'!AE594&gt;=5,"A+",IF('Data Source'!AE594&gt;=4,"A",IF('Data Source'!AE594&gt;=3.5,"A-",IF('Data Source'!AE594&gt;=3,"B",IF('Data Source'!AE594&gt;=2,"C",IF('Data Source'!AE594&gt;=1,"D","F")))))),"")</f>
        <v/>
      </c>
      <c r="N594" s="3">
        <f>IF(AND('Data Source'!B594&lt;&gt;"",'Data Source'!S594="F"),IF('Data Source'!AF594&gt;=5,"A+",IF('Data Source'!AF594&gt;=4,"A",IF('Data Source'!AF594&gt;=3.5,"A-",IF('Data Source'!AF594&gt;=3,"B",IF('Data Source'!AF594&gt;=2,"C",IF('Data Source'!AF594&gt;=1,"D","F")))))),"")</f>
        <v/>
      </c>
      <c r="O594" s="3">
        <f>IF(AND('Data Source'!B594&lt;&gt;"",'Data Source'!S594="F"),IF('Data Source'!AG594&gt;=5,"A+",IF('Data Source'!AG594&gt;=4,"A",IF('Data Source'!AG594&gt;=3.5,"A-",IF('Data Source'!AG594&gt;=3,"B",IF('Data Source'!AG594&gt;=2,"C",IF('Data Source'!AG594&gt;=1,"D","F")))))),"")</f>
        <v/>
      </c>
      <c r="P594" s="5">
        <f>IF(AND('Data Source'!B594&lt;&gt;"",'Data Source'!S594="F"),'Data Source'!R594,"")</f>
        <v/>
      </c>
      <c r="Q594" s="3">
        <f>IF(AND('Data Source'!B594&lt;&gt;"",'Data Source'!S594="F"),'Data Source'!S594,"")</f>
        <v/>
      </c>
    </row>
    <row r="595">
      <c r="A595" s="3">
        <f>IF(AND('Data Source'!B595&lt;&gt;"",'Data Source'!S595="F"),COUNTIF('Data Source'!$S$3:S595,"F"),"")</f>
        <v/>
      </c>
      <c r="B595">
        <f>IF(AND('Data Source'!B595&lt;&gt;"",'Data Source'!S595="F"),'Data Source'!B595,"")</f>
        <v/>
      </c>
      <c r="C595" s="3">
        <f>IF(AND('Data Source'!B595&lt;&gt;"",'Data Source'!S595="F"),IF('Data Source'!U595&gt;=5,"A+",IF('Data Source'!U595&gt;=4,"A",IF('Data Source'!U595&gt;=3.5,"A-",IF('Data Source'!U595&gt;=3,"B",IF('Data Source'!U595&gt;=2,"C",IF('Data Source'!U595&gt;=1,"D","F")))))),"")</f>
        <v/>
      </c>
      <c r="D595" s="3">
        <f>IF(AND('Data Source'!B595&lt;&gt;"",'Data Source'!S595="F"),IF('Data Source'!V595&gt;=5,"A+",IF('Data Source'!V595&gt;=4,"A",IF('Data Source'!V595&gt;=3.5,"A-",IF('Data Source'!V595&gt;=3,"B",IF('Data Source'!V595&gt;=2,"C",IF('Data Source'!V595&gt;=1,"D","F")))))),"")</f>
        <v/>
      </c>
      <c r="E595" s="3">
        <f>IF(AND('Data Source'!B595&lt;&gt;"",'Data Source'!S595="F"),IF('Data Source'!W595&gt;=5,"A+",IF('Data Source'!W595&gt;=4,"A",IF('Data Source'!W595&gt;=3.5,"A-",IF('Data Source'!W595&gt;=3,"B",IF('Data Source'!W595&gt;=2,"C",IF('Data Source'!W595&gt;=1,"D","F")))))),"")</f>
        <v/>
      </c>
      <c r="F595" s="3">
        <f>IF(AND('Data Source'!B595&lt;&gt;"",'Data Source'!S595="F"),IF('Data Source'!X595&gt;=5,"A+",IF('Data Source'!X595&gt;=4,"A",IF('Data Source'!X595&gt;=3.5,"A-",IF('Data Source'!X595&gt;=3,"B",IF('Data Source'!X595&gt;=2,"C",IF('Data Source'!X595&gt;=1,"D","F")))))),"")</f>
        <v/>
      </c>
      <c r="G595" s="3">
        <f>IF(AND('Data Source'!B595&lt;&gt;"",'Data Source'!S595="F"),IF('Data Source'!Y595&gt;=5,"A+",IF('Data Source'!Y595&gt;=4,"A",IF('Data Source'!Y595&gt;=3.5,"A-",IF('Data Source'!Y595&gt;=3,"B",IF('Data Source'!Y595&gt;=2,"C",IF('Data Source'!Y595&gt;=1,"D","F")))))),"")</f>
        <v/>
      </c>
      <c r="H595" s="3">
        <f>IF(AND('Data Source'!B595&lt;&gt;"",'Data Source'!S595="F"),IF('Data Source'!Z595&gt;=5,"A+",IF('Data Source'!Z595&gt;=4,"A",IF('Data Source'!Z595&gt;=3.5,"A-",IF('Data Source'!Z595&gt;=3,"B",IF('Data Source'!Z595&gt;=2,"C",IF('Data Source'!Z595&gt;=1,"D","F")))))),"")</f>
        <v/>
      </c>
      <c r="I595" s="3">
        <f>IF(AND('Data Source'!B595&lt;&gt;"",'Data Source'!S595="F"),IF('Data Source'!AA595&gt;=5,"A+",IF('Data Source'!AA595&gt;=4,"A",IF('Data Source'!AA595&gt;=3.5,"A-",IF('Data Source'!AA595&gt;=3,"B",IF('Data Source'!AA595&gt;=2,"C",IF('Data Source'!AA595&gt;=1,"D","F")))))),"")</f>
        <v/>
      </c>
      <c r="J595" s="3">
        <f>IF(AND('Data Source'!B595&lt;&gt;"",'Data Source'!S595="F"),IF('Data Source'!AB595&gt;=5,"A+",IF('Data Source'!AB595&gt;=4,"A",IF('Data Source'!AB595&gt;=3.5,"A-",IF('Data Source'!AB595&gt;=3,"B",IF('Data Source'!AB595&gt;=2,"C",IF('Data Source'!AB595&gt;=1,"D","F")))))),"")</f>
        <v/>
      </c>
      <c r="K595" s="3">
        <f>IF(AND('Data Source'!B595&lt;&gt;"",'Data Source'!S595="F"),IF('Data Source'!AC595&gt;=5,"A+",IF('Data Source'!AC595&gt;=4,"A",IF('Data Source'!AC595&gt;=3.5,"A-",IF('Data Source'!AC595&gt;=3,"B",IF('Data Source'!AC595&gt;=2,"C",IF('Data Source'!AC595&gt;=1,"D","F")))))),"")</f>
        <v/>
      </c>
      <c r="L595" s="3">
        <f>IF(AND('Data Source'!B595&lt;&gt;"",'Data Source'!S595="F"),IF('Data Source'!AD595&gt;=5,"A+",IF('Data Source'!AD595&gt;=4,"A",IF('Data Source'!AD595&gt;=3.5,"A-",IF('Data Source'!AD595&gt;=3,"B",IF('Data Source'!AD595&gt;=2,"C",IF('Data Source'!AD595&gt;=1,"D","F")))))),"")</f>
        <v/>
      </c>
      <c r="M595" s="3">
        <f>IF(AND('Data Source'!B595&lt;&gt;"",'Data Source'!S595="F"),IF('Data Source'!AE595&gt;=5,"A+",IF('Data Source'!AE595&gt;=4,"A",IF('Data Source'!AE595&gt;=3.5,"A-",IF('Data Source'!AE595&gt;=3,"B",IF('Data Source'!AE595&gt;=2,"C",IF('Data Source'!AE595&gt;=1,"D","F")))))),"")</f>
        <v/>
      </c>
      <c r="N595" s="3">
        <f>IF(AND('Data Source'!B595&lt;&gt;"",'Data Source'!S595="F"),IF('Data Source'!AF595&gt;=5,"A+",IF('Data Source'!AF595&gt;=4,"A",IF('Data Source'!AF595&gt;=3.5,"A-",IF('Data Source'!AF595&gt;=3,"B",IF('Data Source'!AF595&gt;=2,"C",IF('Data Source'!AF595&gt;=1,"D","F")))))),"")</f>
        <v/>
      </c>
      <c r="O595" s="3">
        <f>IF(AND('Data Source'!B595&lt;&gt;"",'Data Source'!S595="F"),IF('Data Source'!AG595&gt;=5,"A+",IF('Data Source'!AG595&gt;=4,"A",IF('Data Source'!AG595&gt;=3.5,"A-",IF('Data Source'!AG595&gt;=3,"B",IF('Data Source'!AG595&gt;=2,"C",IF('Data Source'!AG595&gt;=1,"D","F")))))),"")</f>
        <v/>
      </c>
      <c r="P595" s="5">
        <f>IF(AND('Data Source'!B595&lt;&gt;"",'Data Source'!S595="F"),'Data Source'!R595,"")</f>
        <v/>
      </c>
      <c r="Q595" s="3">
        <f>IF(AND('Data Source'!B595&lt;&gt;"",'Data Source'!S595="F"),'Data Source'!S595,"")</f>
        <v/>
      </c>
    </row>
    <row r="596">
      <c r="A596" s="3">
        <f>IF(AND('Data Source'!B596&lt;&gt;"",'Data Source'!S596="F"),COUNTIF('Data Source'!$S$3:S596,"F"),"")</f>
        <v/>
      </c>
      <c r="B596">
        <f>IF(AND('Data Source'!B596&lt;&gt;"",'Data Source'!S596="F"),'Data Source'!B596,"")</f>
        <v/>
      </c>
      <c r="C596" s="3">
        <f>IF(AND('Data Source'!B596&lt;&gt;"",'Data Source'!S596="F"),IF('Data Source'!U596&gt;=5,"A+",IF('Data Source'!U596&gt;=4,"A",IF('Data Source'!U596&gt;=3.5,"A-",IF('Data Source'!U596&gt;=3,"B",IF('Data Source'!U596&gt;=2,"C",IF('Data Source'!U596&gt;=1,"D","F")))))),"")</f>
        <v/>
      </c>
      <c r="D596" s="3">
        <f>IF(AND('Data Source'!B596&lt;&gt;"",'Data Source'!S596="F"),IF('Data Source'!V596&gt;=5,"A+",IF('Data Source'!V596&gt;=4,"A",IF('Data Source'!V596&gt;=3.5,"A-",IF('Data Source'!V596&gt;=3,"B",IF('Data Source'!V596&gt;=2,"C",IF('Data Source'!V596&gt;=1,"D","F")))))),"")</f>
        <v/>
      </c>
      <c r="E596" s="3">
        <f>IF(AND('Data Source'!B596&lt;&gt;"",'Data Source'!S596="F"),IF('Data Source'!W596&gt;=5,"A+",IF('Data Source'!W596&gt;=4,"A",IF('Data Source'!W596&gt;=3.5,"A-",IF('Data Source'!W596&gt;=3,"B",IF('Data Source'!W596&gt;=2,"C",IF('Data Source'!W596&gt;=1,"D","F")))))),"")</f>
        <v/>
      </c>
      <c r="F596" s="3">
        <f>IF(AND('Data Source'!B596&lt;&gt;"",'Data Source'!S596="F"),IF('Data Source'!X596&gt;=5,"A+",IF('Data Source'!X596&gt;=4,"A",IF('Data Source'!X596&gt;=3.5,"A-",IF('Data Source'!X596&gt;=3,"B",IF('Data Source'!X596&gt;=2,"C",IF('Data Source'!X596&gt;=1,"D","F")))))),"")</f>
        <v/>
      </c>
      <c r="G596" s="3">
        <f>IF(AND('Data Source'!B596&lt;&gt;"",'Data Source'!S596="F"),IF('Data Source'!Y596&gt;=5,"A+",IF('Data Source'!Y596&gt;=4,"A",IF('Data Source'!Y596&gt;=3.5,"A-",IF('Data Source'!Y596&gt;=3,"B",IF('Data Source'!Y596&gt;=2,"C",IF('Data Source'!Y596&gt;=1,"D","F")))))),"")</f>
        <v/>
      </c>
      <c r="H596" s="3">
        <f>IF(AND('Data Source'!B596&lt;&gt;"",'Data Source'!S596="F"),IF('Data Source'!Z596&gt;=5,"A+",IF('Data Source'!Z596&gt;=4,"A",IF('Data Source'!Z596&gt;=3.5,"A-",IF('Data Source'!Z596&gt;=3,"B",IF('Data Source'!Z596&gt;=2,"C",IF('Data Source'!Z596&gt;=1,"D","F")))))),"")</f>
        <v/>
      </c>
      <c r="I596" s="3">
        <f>IF(AND('Data Source'!B596&lt;&gt;"",'Data Source'!S596="F"),IF('Data Source'!AA596&gt;=5,"A+",IF('Data Source'!AA596&gt;=4,"A",IF('Data Source'!AA596&gt;=3.5,"A-",IF('Data Source'!AA596&gt;=3,"B",IF('Data Source'!AA596&gt;=2,"C",IF('Data Source'!AA596&gt;=1,"D","F")))))),"")</f>
        <v/>
      </c>
      <c r="J596" s="3">
        <f>IF(AND('Data Source'!B596&lt;&gt;"",'Data Source'!S596="F"),IF('Data Source'!AB596&gt;=5,"A+",IF('Data Source'!AB596&gt;=4,"A",IF('Data Source'!AB596&gt;=3.5,"A-",IF('Data Source'!AB596&gt;=3,"B",IF('Data Source'!AB596&gt;=2,"C",IF('Data Source'!AB596&gt;=1,"D","F")))))),"")</f>
        <v/>
      </c>
      <c r="K596" s="3">
        <f>IF(AND('Data Source'!B596&lt;&gt;"",'Data Source'!S596="F"),IF('Data Source'!AC596&gt;=5,"A+",IF('Data Source'!AC596&gt;=4,"A",IF('Data Source'!AC596&gt;=3.5,"A-",IF('Data Source'!AC596&gt;=3,"B",IF('Data Source'!AC596&gt;=2,"C",IF('Data Source'!AC596&gt;=1,"D","F")))))),"")</f>
        <v/>
      </c>
      <c r="L596" s="3">
        <f>IF(AND('Data Source'!B596&lt;&gt;"",'Data Source'!S596="F"),IF('Data Source'!AD596&gt;=5,"A+",IF('Data Source'!AD596&gt;=4,"A",IF('Data Source'!AD596&gt;=3.5,"A-",IF('Data Source'!AD596&gt;=3,"B",IF('Data Source'!AD596&gt;=2,"C",IF('Data Source'!AD596&gt;=1,"D","F")))))),"")</f>
        <v/>
      </c>
      <c r="M596" s="3">
        <f>IF(AND('Data Source'!B596&lt;&gt;"",'Data Source'!S596="F"),IF('Data Source'!AE596&gt;=5,"A+",IF('Data Source'!AE596&gt;=4,"A",IF('Data Source'!AE596&gt;=3.5,"A-",IF('Data Source'!AE596&gt;=3,"B",IF('Data Source'!AE596&gt;=2,"C",IF('Data Source'!AE596&gt;=1,"D","F")))))),"")</f>
        <v/>
      </c>
      <c r="N596" s="3">
        <f>IF(AND('Data Source'!B596&lt;&gt;"",'Data Source'!S596="F"),IF('Data Source'!AF596&gt;=5,"A+",IF('Data Source'!AF596&gt;=4,"A",IF('Data Source'!AF596&gt;=3.5,"A-",IF('Data Source'!AF596&gt;=3,"B",IF('Data Source'!AF596&gt;=2,"C",IF('Data Source'!AF596&gt;=1,"D","F")))))),"")</f>
        <v/>
      </c>
      <c r="O596" s="3">
        <f>IF(AND('Data Source'!B596&lt;&gt;"",'Data Source'!S596="F"),IF('Data Source'!AG596&gt;=5,"A+",IF('Data Source'!AG596&gt;=4,"A",IF('Data Source'!AG596&gt;=3.5,"A-",IF('Data Source'!AG596&gt;=3,"B",IF('Data Source'!AG596&gt;=2,"C",IF('Data Source'!AG596&gt;=1,"D","F")))))),"")</f>
        <v/>
      </c>
      <c r="P596" s="5">
        <f>IF(AND('Data Source'!B596&lt;&gt;"",'Data Source'!S596="F"),'Data Source'!R596,"")</f>
        <v/>
      </c>
      <c r="Q596" s="3">
        <f>IF(AND('Data Source'!B596&lt;&gt;"",'Data Source'!S596="F"),'Data Source'!S596,"")</f>
        <v/>
      </c>
    </row>
    <row r="597">
      <c r="A597" s="3">
        <f>IF(AND('Data Source'!B597&lt;&gt;"",'Data Source'!S597="F"),COUNTIF('Data Source'!$S$3:S597,"F"),"")</f>
        <v/>
      </c>
      <c r="B597">
        <f>IF(AND('Data Source'!B597&lt;&gt;"",'Data Source'!S597="F"),'Data Source'!B597,"")</f>
        <v/>
      </c>
      <c r="C597" s="3">
        <f>IF(AND('Data Source'!B597&lt;&gt;"",'Data Source'!S597="F"),IF('Data Source'!U597&gt;=5,"A+",IF('Data Source'!U597&gt;=4,"A",IF('Data Source'!U597&gt;=3.5,"A-",IF('Data Source'!U597&gt;=3,"B",IF('Data Source'!U597&gt;=2,"C",IF('Data Source'!U597&gt;=1,"D","F")))))),"")</f>
        <v/>
      </c>
      <c r="D597" s="3">
        <f>IF(AND('Data Source'!B597&lt;&gt;"",'Data Source'!S597="F"),IF('Data Source'!V597&gt;=5,"A+",IF('Data Source'!V597&gt;=4,"A",IF('Data Source'!V597&gt;=3.5,"A-",IF('Data Source'!V597&gt;=3,"B",IF('Data Source'!V597&gt;=2,"C",IF('Data Source'!V597&gt;=1,"D","F")))))),"")</f>
        <v/>
      </c>
      <c r="E597" s="3">
        <f>IF(AND('Data Source'!B597&lt;&gt;"",'Data Source'!S597="F"),IF('Data Source'!W597&gt;=5,"A+",IF('Data Source'!W597&gt;=4,"A",IF('Data Source'!W597&gt;=3.5,"A-",IF('Data Source'!W597&gt;=3,"B",IF('Data Source'!W597&gt;=2,"C",IF('Data Source'!W597&gt;=1,"D","F")))))),"")</f>
        <v/>
      </c>
      <c r="F597" s="3">
        <f>IF(AND('Data Source'!B597&lt;&gt;"",'Data Source'!S597="F"),IF('Data Source'!X597&gt;=5,"A+",IF('Data Source'!X597&gt;=4,"A",IF('Data Source'!X597&gt;=3.5,"A-",IF('Data Source'!X597&gt;=3,"B",IF('Data Source'!X597&gt;=2,"C",IF('Data Source'!X597&gt;=1,"D","F")))))),"")</f>
        <v/>
      </c>
      <c r="G597" s="3">
        <f>IF(AND('Data Source'!B597&lt;&gt;"",'Data Source'!S597="F"),IF('Data Source'!Y597&gt;=5,"A+",IF('Data Source'!Y597&gt;=4,"A",IF('Data Source'!Y597&gt;=3.5,"A-",IF('Data Source'!Y597&gt;=3,"B",IF('Data Source'!Y597&gt;=2,"C",IF('Data Source'!Y597&gt;=1,"D","F")))))),"")</f>
        <v/>
      </c>
      <c r="H597" s="3">
        <f>IF(AND('Data Source'!B597&lt;&gt;"",'Data Source'!S597="F"),IF('Data Source'!Z597&gt;=5,"A+",IF('Data Source'!Z597&gt;=4,"A",IF('Data Source'!Z597&gt;=3.5,"A-",IF('Data Source'!Z597&gt;=3,"B",IF('Data Source'!Z597&gt;=2,"C",IF('Data Source'!Z597&gt;=1,"D","F")))))),"")</f>
        <v/>
      </c>
      <c r="I597" s="3">
        <f>IF(AND('Data Source'!B597&lt;&gt;"",'Data Source'!S597="F"),IF('Data Source'!AA597&gt;=5,"A+",IF('Data Source'!AA597&gt;=4,"A",IF('Data Source'!AA597&gt;=3.5,"A-",IF('Data Source'!AA597&gt;=3,"B",IF('Data Source'!AA597&gt;=2,"C",IF('Data Source'!AA597&gt;=1,"D","F")))))),"")</f>
        <v/>
      </c>
      <c r="J597" s="3">
        <f>IF(AND('Data Source'!B597&lt;&gt;"",'Data Source'!S597="F"),IF('Data Source'!AB597&gt;=5,"A+",IF('Data Source'!AB597&gt;=4,"A",IF('Data Source'!AB597&gt;=3.5,"A-",IF('Data Source'!AB597&gt;=3,"B",IF('Data Source'!AB597&gt;=2,"C",IF('Data Source'!AB597&gt;=1,"D","F")))))),"")</f>
        <v/>
      </c>
      <c r="K597" s="3">
        <f>IF(AND('Data Source'!B597&lt;&gt;"",'Data Source'!S597="F"),IF('Data Source'!AC597&gt;=5,"A+",IF('Data Source'!AC597&gt;=4,"A",IF('Data Source'!AC597&gt;=3.5,"A-",IF('Data Source'!AC597&gt;=3,"B",IF('Data Source'!AC597&gt;=2,"C",IF('Data Source'!AC597&gt;=1,"D","F")))))),"")</f>
        <v/>
      </c>
      <c r="L597" s="3">
        <f>IF(AND('Data Source'!B597&lt;&gt;"",'Data Source'!S597="F"),IF('Data Source'!AD597&gt;=5,"A+",IF('Data Source'!AD597&gt;=4,"A",IF('Data Source'!AD597&gt;=3.5,"A-",IF('Data Source'!AD597&gt;=3,"B",IF('Data Source'!AD597&gt;=2,"C",IF('Data Source'!AD597&gt;=1,"D","F")))))),"")</f>
        <v/>
      </c>
      <c r="M597" s="3">
        <f>IF(AND('Data Source'!B597&lt;&gt;"",'Data Source'!S597="F"),IF('Data Source'!AE597&gt;=5,"A+",IF('Data Source'!AE597&gt;=4,"A",IF('Data Source'!AE597&gt;=3.5,"A-",IF('Data Source'!AE597&gt;=3,"B",IF('Data Source'!AE597&gt;=2,"C",IF('Data Source'!AE597&gt;=1,"D","F")))))),"")</f>
        <v/>
      </c>
      <c r="N597" s="3">
        <f>IF(AND('Data Source'!B597&lt;&gt;"",'Data Source'!S597="F"),IF('Data Source'!AF597&gt;=5,"A+",IF('Data Source'!AF597&gt;=4,"A",IF('Data Source'!AF597&gt;=3.5,"A-",IF('Data Source'!AF597&gt;=3,"B",IF('Data Source'!AF597&gt;=2,"C",IF('Data Source'!AF597&gt;=1,"D","F")))))),"")</f>
        <v/>
      </c>
      <c r="O597" s="3">
        <f>IF(AND('Data Source'!B597&lt;&gt;"",'Data Source'!S597="F"),IF('Data Source'!AG597&gt;=5,"A+",IF('Data Source'!AG597&gt;=4,"A",IF('Data Source'!AG597&gt;=3.5,"A-",IF('Data Source'!AG597&gt;=3,"B",IF('Data Source'!AG597&gt;=2,"C",IF('Data Source'!AG597&gt;=1,"D","F")))))),"")</f>
        <v/>
      </c>
      <c r="P597" s="5">
        <f>IF(AND('Data Source'!B597&lt;&gt;"",'Data Source'!S597="F"),'Data Source'!R597,"")</f>
        <v/>
      </c>
      <c r="Q597" s="3">
        <f>IF(AND('Data Source'!B597&lt;&gt;"",'Data Source'!S597="F"),'Data Source'!S597,"")</f>
        <v/>
      </c>
    </row>
    <row r="598">
      <c r="A598" s="3">
        <f>IF(AND('Data Source'!B598&lt;&gt;"",'Data Source'!S598="F"),COUNTIF('Data Source'!$S$3:S598,"F"),"")</f>
        <v/>
      </c>
      <c r="B598">
        <f>IF(AND('Data Source'!B598&lt;&gt;"",'Data Source'!S598="F"),'Data Source'!B598,"")</f>
        <v/>
      </c>
      <c r="C598" s="3">
        <f>IF(AND('Data Source'!B598&lt;&gt;"",'Data Source'!S598="F"),IF('Data Source'!U598&gt;=5,"A+",IF('Data Source'!U598&gt;=4,"A",IF('Data Source'!U598&gt;=3.5,"A-",IF('Data Source'!U598&gt;=3,"B",IF('Data Source'!U598&gt;=2,"C",IF('Data Source'!U598&gt;=1,"D","F")))))),"")</f>
        <v/>
      </c>
      <c r="D598" s="3">
        <f>IF(AND('Data Source'!B598&lt;&gt;"",'Data Source'!S598="F"),IF('Data Source'!V598&gt;=5,"A+",IF('Data Source'!V598&gt;=4,"A",IF('Data Source'!V598&gt;=3.5,"A-",IF('Data Source'!V598&gt;=3,"B",IF('Data Source'!V598&gt;=2,"C",IF('Data Source'!V598&gt;=1,"D","F")))))),"")</f>
        <v/>
      </c>
      <c r="E598" s="3">
        <f>IF(AND('Data Source'!B598&lt;&gt;"",'Data Source'!S598="F"),IF('Data Source'!W598&gt;=5,"A+",IF('Data Source'!W598&gt;=4,"A",IF('Data Source'!W598&gt;=3.5,"A-",IF('Data Source'!W598&gt;=3,"B",IF('Data Source'!W598&gt;=2,"C",IF('Data Source'!W598&gt;=1,"D","F")))))),"")</f>
        <v/>
      </c>
      <c r="F598" s="3">
        <f>IF(AND('Data Source'!B598&lt;&gt;"",'Data Source'!S598="F"),IF('Data Source'!X598&gt;=5,"A+",IF('Data Source'!X598&gt;=4,"A",IF('Data Source'!X598&gt;=3.5,"A-",IF('Data Source'!X598&gt;=3,"B",IF('Data Source'!X598&gt;=2,"C",IF('Data Source'!X598&gt;=1,"D","F")))))),"")</f>
        <v/>
      </c>
      <c r="G598" s="3">
        <f>IF(AND('Data Source'!B598&lt;&gt;"",'Data Source'!S598="F"),IF('Data Source'!Y598&gt;=5,"A+",IF('Data Source'!Y598&gt;=4,"A",IF('Data Source'!Y598&gt;=3.5,"A-",IF('Data Source'!Y598&gt;=3,"B",IF('Data Source'!Y598&gt;=2,"C",IF('Data Source'!Y598&gt;=1,"D","F")))))),"")</f>
        <v/>
      </c>
      <c r="H598" s="3">
        <f>IF(AND('Data Source'!B598&lt;&gt;"",'Data Source'!S598="F"),IF('Data Source'!Z598&gt;=5,"A+",IF('Data Source'!Z598&gt;=4,"A",IF('Data Source'!Z598&gt;=3.5,"A-",IF('Data Source'!Z598&gt;=3,"B",IF('Data Source'!Z598&gt;=2,"C",IF('Data Source'!Z598&gt;=1,"D","F")))))),"")</f>
        <v/>
      </c>
      <c r="I598" s="3">
        <f>IF(AND('Data Source'!B598&lt;&gt;"",'Data Source'!S598="F"),IF('Data Source'!AA598&gt;=5,"A+",IF('Data Source'!AA598&gt;=4,"A",IF('Data Source'!AA598&gt;=3.5,"A-",IF('Data Source'!AA598&gt;=3,"B",IF('Data Source'!AA598&gt;=2,"C",IF('Data Source'!AA598&gt;=1,"D","F")))))),"")</f>
        <v/>
      </c>
      <c r="J598" s="3">
        <f>IF(AND('Data Source'!B598&lt;&gt;"",'Data Source'!S598="F"),IF('Data Source'!AB598&gt;=5,"A+",IF('Data Source'!AB598&gt;=4,"A",IF('Data Source'!AB598&gt;=3.5,"A-",IF('Data Source'!AB598&gt;=3,"B",IF('Data Source'!AB598&gt;=2,"C",IF('Data Source'!AB598&gt;=1,"D","F")))))),"")</f>
        <v/>
      </c>
      <c r="K598" s="3">
        <f>IF(AND('Data Source'!B598&lt;&gt;"",'Data Source'!S598="F"),IF('Data Source'!AC598&gt;=5,"A+",IF('Data Source'!AC598&gt;=4,"A",IF('Data Source'!AC598&gt;=3.5,"A-",IF('Data Source'!AC598&gt;=3,"B",IF('Data Source'!AC598&gt;=2,"C",IF('Data Source'!AC598&gt;=1,"D","F")))))),"")</f>
        <v/>
      </c>
      <c r="L598" s="3">
        <f>IF(AND('Data Source'!B598&lt;&gt;"",'Data Source'!S598="F"),IF('Data Source'!AD598&gt;=5,"A+",IF('Data Source'!AD598&gt;=4,"A",IF('Data Source'!AD598&gt;=3.5,"A-",IF('Data Source'!AD598&gt;=3,"B",IF('Data Source'!AD598&gt;=2,"C",IF('Data Source'!AD598&gt;=1,"D","F")))))),"")</f>
        <v/>
      </c>
      <c r="M598" s="3">
        <f>IF(AND('Data Source'!B598&lt;&gt;"",'Data Source'!S598="F"),IF('Data Source'!AE598&gt;=5,"A+",IF('Data Source'!AE598&gt;=4,"A",IF('Data Source'!AE598&gt;=3.5,"A-",IF('Data Source'!AE598&gt;=3,"B",IF('Data Source'!AE598&gt;=2,"C",IF('Data Source'!AE598&gt;=1,"D","F")))))),"")</f>
        <v/>
      </c>
      <c r="N598" s="3">
        <f>IF(AND('Data Source'!B598&lt;&gt;"",'Data Source'!S598="F"),IF('Data Source'!AF598&gt;=5,"A+",IF('Data Source'!AF598&gt;=4,"A",IF('Data Source'!AF598&gt;=3.5,"A-",IF('Data Source'!AF598&gt;=3,"B",IF('Data Source'!AF598&gt;=2,"C",IF('Data Source'!AF598&gt;=1,"D","F")))))),"")</f>
        <v/>
      </c>
      <c r="O598" s="3">
        <f>IF(AND('Data Source'!B598&lt;&gt;"",'Data Source'!S598="F"),IF('Data Source'!AG598&gt;=5,"A+",IF('Data Source'!AG598&gt;=4,"A",IF('Data Source'!AG598&gt;=3.5,"A-",IF('Data Source'!AG598&gt;=3,"B",IF('Data Source'!AG598&gt;=2,"C",IF('Data Source'!AG598&gt;=1,"D","F")))))),"")</f>
        <v/>
      </c>
      <c r="P598" s="5">
        <f>IF(AND('Data Source'!B598&lt;&gt;"",'Data Source'!S598="F"),'Data Source'!R598,"")</f>
        <v/>
      </c>
      <c r="Q598" s="3">
        <f>IF(AND('Data Source'!B598&lt;&gt;"",'Data Source'!S598="F"),'Data Source'!S598,"")</f>
        <v/>
      </c>
    </row>
    <row r="599">
      <c r="A599" s="3">
        <f>IF(AND('Data Source'!B599&lt;&gt;"",'Data Source'!S599="F"),COUNTIF('Data Source'!$S$3:S599,"F"),"")</f>
        <v/>
      </c>
      <c r="B599">
        <f>IF(AND('Data Source'!B599&lt;&gt;"",'Data Source'!S599="F"),'Data Source'!B599,"")</f>
        <v/>
      </c>
      <c r="C599" s="3">
        <f>IF(AND('Data Source'!B599&lt;&gt;"",'Data Source'!S599="F"),IF('Data Source'!U599&gt;=5,"A+",IF('Data Source'!U599&gt;=4,"A",IF('Data Source'!U599&gt;=3.5,"A-",IF('Data Source'!U599&gt;=3,"B",IF('Data Source'!U599&gt;=2,"C",IF('Data Source'!U599&gt;=1,"D","F")))))),"")</f>
        <v/>
      </c>
      <c r="D599" s="3">
        <f>IF(AND('Data Source'!B599&lt;&gt;"",'Data Source'!S599="F"),IF('Data Source'!V599&gt;=5,"A+",IF('Data Source'!V599&gt;=4,"A",IF('Data Source'!V599&gt;=3.5,"A-",IF('Data Source'!V599&gt;=3,"B",IF('Data Source'!V599&gt;=2,"C",IF('Data Source'!V599&gt;=1,"D","F")))))),"")</f>
        <v/>
      </c>
      <c r="E599" s="3">
        <f>IF(AND('Data Source'!B599&lt;&gt;"",'Data Source'!S599="F"),IF('Data Source'!W599&gt;=5,"A+",IF('Data Source'!W599&gt;=4,"A",IF('Data Source'!W599&gt;=3.5,"A-",IF('Data Source'!W599&gt;=3,"B",IF('Data Source'!W599&gt;=2,"C",IF('Data Source'!W599&gt;=1,"D","F")))))),"")</f>
        <v/>
      </c>
      <c r="F599" s="3">
        <f>IF(AND('Data Source'!B599&lt;&gt;"",'Data Source'!S599="F"),IF('Data Source'!X599&gt;=5,"A+",IF('Data Source'!X599&gt;=4,"A",IF('Data Source'!X599&gt;=3.5,"A-",IF('Data Source'!X599&gt;=3,"B",IF('Data Source'!X599&gt;=2,"C",IF('Data Source'!X599&gt;=1,"D","F")))))),"")</f>
        <v/>
      </c>
      <c r="G599" s="3">
        <f>IF(AND('Data Source'!B599&lt;&gt;"",'Data Source'!S599="F"),IF('Data Source'!Y599&gt;=5,"A+",IF('Data Source'!Y599&gt;=4,"A",IF('Data Source'!Y599&gt;=3.5,"A-",IF('Data Source'!Y599&gt;=3,"B",IF('Data Source'!Y599&gt;=2,"C",IF('Data Source'!Y599&gt;=1,"D","F")))))),"")</f>
        <v/>
      </c>
      <c r="H599" s="3">
        <f>IF(AND('Data Source'!B599&lt;&gt;"",'Data Source'!S599="F"),IF('Data Source'!Z599&gt;=5,"A+",IF('Data Source'!Z599&gt;=4,"A",IF('Data Source'!Z599&gt;=3.5,"A-",IF('Data Source'!Z599&gt;=3,"B",IF('Data Source'!Z599&gt;=2,"C",IF('Data Source'!Z599&gt;=1,"D","F")))))),"")</f>
        <v/>
      </c>
      <c r="I599" s="3">
        <f>IF(AND('Data Source'!B599&lt;&gt;"",'Data Source'!S599="F"),IF('Data Source'!AA599&gt;=5,"A+",IF('Data Source'!AA599&gt;=4,"A",IF('Data Source'!AA599&gt;=3.5,"A-",IF('Data Source'!AA599&gt;=3,"B",IF('Data Source'!AA599&gt;=2,"C",IF('Data Source'!AA599&gt;=1,"D","F")))))),"")</f>
        <v/>
      </c>
      <c r="J599" s="3">
        <f>IF(AND('Data Source'!B599&lt;&gt;"",'Data Source'!S599="F"),IF('Data Source'!AB599&gt;=5,"A+",IF('Data Source'!AB599&gt;=4,"A",IF('Data Source'!AB599&gt;=3.5,"A-",IF('Data Source'!AB599&gt;=3,"B",IF('Data Source'!AB599&gt;=2,"C",IF('Data Source'!AB599&gt;=1,"D","F")))))),"")</f>
        <v/>
      </c>
      <c r="K599" s="3">
        <f>IF(AND('Data Source'!B599&lt;&gt;"",'Data Source'!S599="F"),IF('Data Source'!AC599&gt;=5,"A+",IF('Data Source'!AC599&gt;=4,"A",IF('Data Source'!AC599&gt;=3.5,"A-",IF('Data Source'!AC599&gt;=3,"B",IF('Data Source'!AC599&gt;=2,"C",IF('Data Source'!AC599&gt;=1,"D","F")))))),"")</f>
        <v/>
      </c>
      <c r="L599" s="3">
        <f>IF(AND('Data Source'!B599&lt;&gt;"",'Data Source'!S599="F"),IF('Data Source'!AD599&gt;=5,"A+",IF('Data Source'!AD599&gt;=4,"A",IF('Data Source'!AD599&gt;=3.5,"A-",IF('Data Source'!AD599&gt;=3,"B",IF('Data Source'!AD599&gt;=2,"C",IF('Data Source'!AD599&gt;=1,"D","F")))))),"")</f>
        <v/>
      </c>
      <c r="M599" s="3">
        <f>IF(AND('Data Source'!B599&lt;&gt;"",'Data Source'!S599="F"),IF('Data Source'!AE599&gt;=5,"A+",IF('Data Source'!AE599&gt;=4,"A",IF('Data Source'!AE599&gt;=3.5,"A-",IF('Data Source'!AE599&gt;=3,"B",IF('Data Source'!AE599&gt;=2,"C",IF('Data Source'!AE599&gt;=1,"D","F")))))),"")</f>
        <v/>
      </c>
      <c r="N599" s="3">
        <f>IF(AND('Data Source'!B599&lt;&gt;"",'Data Source'!S599="F"),IF('Data Source'!AF599&gt;=5,"A+",IF('Data Source'!AF599&gt;=4,"A",IF('Data Source'!AF599&gt;=3.5,"A-",IF('Data Source'!AF599&gt;=3,"B",IF('Data Source'!AF599&gt;=2,"C",IF('Data Source'!AF599&gt;=1,"D","F")))))),"")</f>
        <v/>
      </c>
      <c r="O599" s="3">
        <f>IF(AND('Data Source'!B599&lt;&gt;"",'Data Source'!S599="F"),IF('Data Source'!AG599&gt;=5,"A+",IF('Data Source'!AG599&gt;=4,"A",IF('Data Source'!AG599&gt;=3.5,"A-",IF('Data Source'!AG599&gt;=3,"B",IF('Data Source'!AG599&gt;=2,"C",IF('Data Source'!AG599&gt;=1,"D","F")))))),"")</f>
        <v/>
      </c>
      <c r="P599" s="5">
        <f>IF(AND('Data Source'!B599&lt;&gt;"",'Data Source'!S599="F"),'Data Source'!R599,"")</f>
        <v/>
      </c>
      <c r="Q599" s="3">
        <f>IF(AND('Data Source'!B599&lt;&gt;"",'Data Source'!S599="F"),'Data Source'!S599,"")</f>
        <v/>
      </c>
    </row>
    <row r="600">
      <c r="A600" s="3">
        <f>IF(AND('Data Source'!B600&lt;&gt;"",'Data Source'!S600="F"),COUNTIF('Data Source'!$S$3:S600,"F"),"")</f>
        <v/>
      </c>
      <c r="B600">
        <f>IF(AND('Data Source'!B600&lt;&gt;"",'Data Source'!S600="F"),'Data Source'!B600,"")</f>
        <v/>
      </c>
      <c r="C600" s="3">
        <f>IF(AND('Data Source'!B600&lt;&gt;"",'Data Source'!S600="F"),IF('Data Source'!U600&gt;=5,"A+",IF('Data Source'!U600&gt;=4,"A",IF('Data Source'!U600&gt;=3.5,"A-",IF('Data Source'!U600&gt;=3,"B",IF('Data Source'!U600&gt;=2,"C",IF('Data Source'!U600&gt;=1,"D","F")))))),"")</f>
        <v/>
      </c>
      <c r="D600" s="3">
        <f>IF(AND('Data Source'!B600&lt;&gt;"",'Data Source'!S600="F"),IF('Data Source'!V600&gt;=5,"A+",IF('Data Source'!V600&gt;=4,"A",IF('Data Source'!V600&gt;=3.5,"A-",IF('Data Source'!V600&gt;=3,"B",IF('Data Source'!V600&gt;=2,"C",IF('Data Source'!V600&gt;=1,"D","F")))))),"")</f>
        <v/>
      </c>
      <c r="E600" s="3">
        <f>IF(AND('Data Source'!B600&lt;&gt;"",'Data Source'!S600="F"),IF('Data Source'!W600&gt;=5,"A+",IF('Data Source'!W600&gt;=4,"A",IF('Data Source'!W600&gt;=3.5,"A-",IF('Data Source'!W600&gt;=3,"B",IF('Data Source'!W600&gt;=2,"C",IF('Data Source'!W600&gt;=1,"D","F")))))),"")</f>
        <v/>
      </c>
      <c r="F600" s="3">
        <f>IF(AND('Data Source'!B600&lt;&gt;"",'Data Source'!S600="F"),IF('Data Source'!X600&gt;=5,"A+",IF('Data Source'!X600&gt;=4,"A",IF('Data Source'!X600&gt;=3.5,"A-",IF('Data Source'!X600&gt;=3,"B",IF('Data Source'!X600&gt;=2,"C",IF('Data Source'!X600&gt;=1,"D","F")))))),"")</f>
        <v/>
      </c>
      <c r="G600" s="3">
        <f>IF(AND('Data Source'!B600&lt;&gt;"",'Data Source'!S600="F"),IF('Data Source'!Y600&gt;=5,"A+",IF('Data Source'!Y600&gt;=4,"A",IF('Data Source'!Y600&gt;=3.5,"A-",IF('Data Source'!Y600&gt;=3,"B",IF('Data Source'!Y600&gt;=2,"C",IF('Data Source'!Y600&gt;=1,"D","F")))))),"")</f>
        <v/>
      </c>
      <c r="H600" s="3">
        <f>IF(AND('Data Source'!B600&lt;&gt;"",'Data Source'!S600="F"),IF('Data Source'!Z600&gt;=5,"A+",IF('Data Source'!Z600&gt;=4,"A",IF('Data Source'!Z600&gt;=3.5,"A-",IF('Data Source'!Z600&gt;=3,"B",IF('Data Source'!Z600&gt;=2,"C",IF('Data Source'!Z600&gt;=1,"D","F")))))),"")</f>
        <v/>
      </c>
      <c r="I600" s="3">
        <f>IF(AND('Data Source'!B600&lt;&gt;"",'Data Source'!S600="F"),IF('Data Source'!AA600&gt;=5,"A+",IF('Data Source'!AA600&gt;=4,"A",IF('Data Source'!AA600&gt;=3.5,"A-",IF('Data Source'!AA600&gt;=3,"B",IF('Data Source'!AA600&gt;=2,"C",IF('Data Source'!AA600&gt;=1,"D","F")))))),"")</f>
        <v/>
      </c>
      <c r="J600" s="3">
        <f>IF(AND('Data Source'!B600&lt;&gt;"",'Data Source'!S600="F"),IF('Data Source'!AB600&gt;=5,"A+",IF('Data Source'!AB600&gt;=4,"A",IF('Data Source'!AB600&gt;=3.5,"A-",IF('Data Source'!AB600&gt;=3,"B",IF('Data Source'!AB600&gt;=2,"C",IF('Data Source'!AB600&gt;=1,"D","F")))))),"")</f>
        <v/>
      </c>
      <c r="K600" s="3">
        <f>IF(AND('Data Source'!B600&lt;&gt;"",'Data Source'!S600="F"),IF('Data Source'!AC600&gt;=5,"A+",IF('Data Source'!AC600&gt;=4,"A",IF('Data Source'!AC600&gt;=3.5,"A-",IF('Data Source'!AC600&gt;=3,"B",IF('Data Source'!AC600&gt;=2,"C",IF('Data Source'!AC600&gt;=1,"D","F")))))),"")</f>
        <v/>
      </c>
      <c r="L600" s="3">
        <f>IF(AND('Data Source'!B600&lt;&gt;"",'Data Source'!S600="F"),IF('Data Source'!AD600&gt;=5,"A+",IF('Data Source'!AD600&gt;=4,"A",IF('Data Source'!AD600&gt;=3.5,"A-",IF('Data Source'!AD600&gt;=3,"B",IF('Data Source'!AD600&gt;=2,"C",IF('Data Source'!AD600&gt;=1,"D","F")))))),"")</f>
        <v/>
      </c>
      <c r="M600" s="3">
        <f>IF(AND('Data Source'!B600&lt;&gt;"",'Data Source'!S600="F"),IF('Data Source'!AE600&gt;=5,"A+",IF('Data Source'!AE600&gt;=4,"A",IF('Data Source'!AE600&gt;=3.5,"A-",IF('Data Source'!AE600&gt;=3,"B",IF('Data Source'!AE600&gt;=2,"C",IF('Data Source'!AE600&gt;=1,"D","F")))))),"")</f>
        <v/>
      </c>
      <c r="N600" s="3">
        <f>IF(AND('Data Source'!B600&lt;&gt;"",'Data Source'!S600="F"),IF('Data Source'!AF600&gt;=5,"A+",IF('Data Source'!AF600&gt;=4,"A",IF('Data Source'!AF600&gt;=3.5,"A-",IF('Data Source'!AF600&gt;=3,"B",IF('Data Source'!AF600&gt;=2,"C",IF('Data Source'!AF600&gt;=1,"D","F")))))),"")</f>
        <v/>
      </c>
      <c r="O600" s="3">
        <f>IF(AND('Data Source'!B600&lt;&gt;"",'Data Source'!S600="F"),IF('Data Source'!AG600&gt;=5,"A+",IF('Data Source'!AG600&gt;=4,"A",IF('Data Source'!AG600&gt;=3.5,"A-",IF('Data Source'!AG600&gt;=3,"B",IF('Data Source'!AG600&gt;=2,"C",IF('Data Source'!AG600&gt;=1,"D","F")))))),"")</f>
        <v/>
      </c>
      <c r="P600" s="5">
        <f>IF(AND('Data Source'!B600&lt;&gt;"",'Data Source'!S600="F"),'Data Source'!R600,"")</f>
        <v/>
      </c>
      <c r="Q600" s="3">
        <f>IF(AND('Data Source'!B600&lt;&gt;"",'Data Source'!S600="F"),'Data Source'!S600,"")</f>
        <v/>
      </c>
    </row>
    <row r="601">
      <c r="A601" s="3">
        <f>IF(AND('Data Source'!B601&lt;&gt;"",'Data Source'!S601="F"),COUNTIF('Data Source'!$S$3:S601,"F"),"")</f>
        <v/>
      </c>
      <c r="B601">
        <f>IF(AND('Data Source'!B601&lt;&gt;"",'Data Source'!S601="F"),'Data Source'!B601,"")</f>
        <v/>
      </c>
      <c r="C601" s="3">
        <f>IF(AND('Data Source'!B601&lt;&gt;"",'Data Source'!S601="F"),IF('Data Source'!U601&gt;=5,"A+",IF('Data Source'!U601&gt;=4,"A",IF('Data Source'!U601&gt;=3.5,"A-",IF('Data Source'!U601&gt;=3,"B",IF('Data Source'!U601&gt;=2,"C",IF('Data Source'!U601&gt;=1,"D","F")))))),"")</f>
        <v/>
      </c>
      <c r="D601" s="3">
        <f>IF(AND('Data Source'!B601&lt;&gt;"",'Data Source'!S601="F"),IF('Data Source'!V601&gt;=5,"A+",IF('Data Source'!V601&gt;=4,"A",IF('Data Source'!V601&gt;=3.5,"A-",IF('Data Source'!V601&gt;=3,"B",IF('Data Source'!V601&gt;=2,"C",IF('Data Source'!V601&gt;=1,"D","F")))))),"")</f>
        <v/>
      </c>
      <c r="E601" s="3">
        <f>IF(AND('Data Source'!B601&lt;&gt;"",'Data Source'!S601="F"),IF('Data Source'!W601&gt;=5,"A+",IF('Data Source'!W601&gt;=4,"A",IF('Data Source'!W601&gt;=3.5,"A-",IF('Data Source'!W601&gt;=3,"B",IF('Data Source'!W601&gt;=2,"C",IF('Data Source'!W601&gt;=1,"D","F")))))),"")</f>
        <v/>
      </c>
      <c r="F601" s="3">
        <f>IF(AND('Data Source'!B601&lt;&gt;"",'Data Source'!S601="F"),IF('Data Source'!X601&gt;=5,"A+",IF('Data Source'!X601&gt;=4,"A",IF('Data Source'!X601&gt;=3.5,"A-",IF('Data Source'!X601&gt;=3,"B",IF('Data Source'!X601&gt;=2,"C",IF('Data Source'!X601&gt;=1,"D","F")))))),"")</f>
        <v/>
      </c>
      <c r="G601" s="3">
        <f>IF(AND('Data Source'!B601&lt;&gt;"",'Data Source'!S601="F"),IF('Data Source'!Y601&gt;=5,"A+",IF('Data Source'!Y601&gt;=4,"A",IF('Data Source'!Y601&gt;=3.5,"A-",IF('Data Source'!Y601&gt;=3,"B",IF('Data Source'!Y601&gt;=2,"C",IF('Data Source'!Y601&gt;=1,"D","F")))))),"")</f>
        <v/>
      </c>
      <c r="H601" s="3">
        <f>IF(AND('Data Source'!B601&lt;&gt;"",'Data Source'!S601="F"),IF('Data Source'!Z601&gt;=5,"A+",IF('Data Source'!Z601&gt;=4,"A",IF('Data Source'!Z601&gt;=3.5,"A-",IF('Data Source'!Z601&gt;=3,"B",IF('Data Source'!Z601&gt;=2,"C",IF('Data Source'!Z601&gt;=1,"D","F")))))),"")</f>
        <v/>
      </c>
      <c r="I601" s="3">
        <f>IF(AND('Data Source'!B601&lt;&gt;"",'Data Source'!S601="F"),IF('Data Source'!AA601&gt;=5,"A+",IF('Data Source'!AA601&gt;=4,"A",IF('Data Source'!AA601&gt;=3.5,"A-",IF('Data Source'!AA601&gt;=3,"B",IF('Data Source'!AA601&gt;=2,"C",IF('Data Source'!AA601&gt;=1,"D","F")))))),"")</f>
        <v/>
      </c>
      <c r="J601" s="3">
        <f>IF(AND('Data Source'!B601&lt;&gt;"",'Data Source'!S601="F"),IF('Data Source'!AB601&gt;=5,"A+",IF('Data Source'!AB601&gt;=4,"A",IF('Data Source'!AB601&gt;=3.5,"A-",IF('Data Source'!AB601&gt;=3,"B",IF('Data Source'!AB601&gt;=2,"C",IF('Data Source'!AB601&gt;=1,"D","F")))))),"")</f>
        <v/>
      </c>
      <c r="K601" s="3">
        <f>IF(AND('Data Source'!B601&lt;&gt;"",'Data Source'!S601="F"),IF('Data Source'!AC601&gt;=5,"A+",IF('Data Source'!AC601&gt;=4,"A",IF('Data Source'!AC601&gt;=3.5,"A-",IF('Data Source'!AC601&gt;=3,"B",IF('Data Source'!AC601&gt;=2,"C",IF('Data Source'!AC601&gt;=1,"D","F")))))),"")</f>
        <v/>
      </c>
      <c r="L601" s="3">
        <f>IF(AND('Data Source'!B601&lt;&gt;"",'Data Source'!S601="F"),IF('Data Source'!AD601&gt;=5,"A+",IF('Data Source'!AD601&gt;=4,"A",IF('Data Source'!AD601&gt;=3.5,"A-",IF('Data Source'!AD601&gt;=3,"B",IF('Data Source'!AD601&gt;=2,"C",IF('Data Source'!AD601&gt;=1,"D","F")))))),"")</f>
        <v/>
      </c>
      <c r="M601" s="3">
        <f>IF(AND('Data Source'!B601&lt;&gt;"",'Data Source'!S601="F"),IF('Data Source'!AE601&gt;=5,"A+",IF('Data Source'!AE601&gt;=4,"A",IF('Data Source'!AE601&gt;=3.5,"A-",IF('Data Source'!AE601&gt;=3,"B",IF('Data Source'!AE601&gt;=2,"C",IF('Data Source'!AE601&gt;=1,"D","F")))))),"")</f>
        <v/>
      </c>
      <c r="N601" s="3">
        <f>IF(AND('Data Source'!B601&lt;&gt;"",'Data Source'!S601="F"),IF('Data Source'!AF601&gt;=5,"A+",IF('Data Source'!AF601&gt;=4,"A",IF('Data Source'!AF601&gt;=3.5,"A-",IF('Data Source'!AF601&gt;=3,"B",IF('Data Source'!AF601&gt;=2,"C",IF('Data Source'!AF601&gt;=1,"D","F")))))),"")</f>
        <v/>
      </c>
      <c r="O601" s="3">
        <f>IF(AND('Data Source'!B601&lt;&gt;"",'Data Source'!S601="F"),IF('Data Source'!AG601&gt;=5,"A+",IF('Data Source'!AG601&gt;=4,"A",IF('Data Source'!AG601&gt;=3.5,"A-",IF('Data Source'!AG601&gt;=3,"B",IF('Data Source'!AG601&gt;=2,"C",IF('Data Source'!AG601&gt;=1,"D","F")))))),"")</f>
        <v/>
      </c>
      <c r="P601" s="5">
        <f>IF(AND('Data Source'!B601&lt;&gt;"",'Data Source'!S601="F"),'Data Source'!R601,"")</f>
        <v/>
      </c>
      <c r="Q601" s="3">
        <f>IF(AND('Data Source'!B601&lt;&gt;"",'Data Source'!S601="F"),'Data Source'!S601,"")</f>
        <v/>
      </c>
    </row>
    <row r="602">
      <c r="A602" s="3">
        <f>IF(AND('Data Source'!B602&lt;&gt;"",'Data Source'!S602="F"),COUNTIF('Data Source'!$S$3:S602,"F"),"")</f>
        <v/>
      </c>
      <c r="B602">
        <f>IF(AND('Data Source'!B602&lt;&gt;"",'Data Source'!S602="F"),'Data Source'!B602,"")</f>
        <v/>
      </c>
      <c r="C602" s="3">
        <f>IF(AND('Data Source'!B602&lt;&gt;"",'Data Source'!S602="F"),IF('Data Source'!U602&gt;=5,"A+",IF('Data Source'!U602&gt;=4,"A",IF('Data Source'!U602&gt;=3.5,"A-",IF('Data Source'!U602&gt;=3,"B",IF('Data Source'!U602&gt;=2,"C",IF('Data Source'!U602&gt;=1,"D","F")))))),"")</f>
        <v/>
      </c>
      <c r="D602" s="3">
        <f>IF(AND('Data Source'!B602&lt;&gt;"",'Data Source'!S602="F"),IF('Data Source'!V602&gt;=5,"A+",IF('Data Source'!V602&gt;=4,"A",IF('Data Source'!V602&gt;=3.5,"A-",IF('Data Source'!V602&gt;=3,"B",IF('Data Source'!V602&gt;=2,"C",IF('Data Source'!V602&gt;=1,"D","F")))))),"")</f>
        <v/>
      </c>
      <c r="E602" s="3">
        <f>IF(AND('Data Source'!B602&lt;&gt;"",'Data Source'!S602="F"),IF('Data Source'!W602&gt;=5,"A+",IF('Data Source'!W602&gt;=4,"A",IF('Data Source'!W602&gt;=3.5,"A-",IF('Data Source'!W602&gt;=3,"B",IF('Data Source'!W602&gt;=2,"C",IF('Data Source'!W602&gt;=1,"D","F")))))),"")</f>
        <v/>
      </c>
      <c r="F602" s="3">
        <f>IF(AND('Data Source'!B602&lt;&gt;"",'Data Source'!S602="F"),IF('Data Source'!X602&gt;=5,"A+",IF('Data Source'!X602&gt;=4,"A",IF('Data Source'!X602&gt;=3.5,"A-",IF('Data Source'!X602&gt;=3,"B",IF('Data Source'!X602&gt;=2,"C",IF('Data Source'!X602&gt;=1,"D","F")))))),"")</f>
        <v/>
      </c>
      <c r="G602" s="3">
        <f>IF(AND('Data Source'!B602&lt;&gt;"",'Data Source'!S602="F"),IF('Data Source'!Y602&gt;=5,"A+",IF('Data Source'!Y602&gt;=4,"A",IF('Data Source'!Y602&gt;=3.5,"A-",IF('Data Source'!Y602&gt;=3,"B",IF('Data Source'!Y602&gt;=2,"C",IF('Data Source'!Y602&gt;=1,"D","F")))))),"")</f>
        <v/>
      </c>
      <c r="H602" s="3">
        <f>IF(AND('Data Source'!B602&lt;&gt;"",'Data Source'!S602="F"),IF('Data Source'!Z602&gt;=5,"A+",IF('Data Source'!Z602&gt;=4,"A",IF('Data Source'!Z602&gt;=3.5,"A-",IF('Data Source'!Z602&gt;=3,"B",IF('Data Source'!Z602&gt;=2,"C",IF('Data Source'!Z602&gt;=1,"D","F")))))),"")</f>
        <v/>
      </c>
      <c r="I602" s="3">
        <f>IF(AND('Data Source'!B602&lt;&gt;"",'Data Source'!S602="F"),IF('Data Source'!AA602&gt;=5,"A+",IF('Data Source'!AA602&gt;=4,"A",IF('Data Source'!AA602&gt;=3.5,"A-",IF('Data Source'!AA602&gt;=3,"B",IF('Data Source'!AA602&gt;=2,"C",IF('Data Source'!AA602&gt;=1,"D","F")))))),"")</f>
        <v/>
      </c>
      <c r="J602" s="3">
        <f>IF(AND('Data Source'!B602&lt;&gt;"",'Data Source'!S602="F"),IF('Data Source'!AB602&gt;=5,"A+",IF('Data Source'!AB602&gt;=4,"A",IF('Data Source'!AB602&gt;=3.5,"A-",IF('Data Source'!AB602&gt;=3,"B",IF('Data Source'!AB602&gt;=2,"C",IF('Data Source'!AB602&gt;=1,"D","F")))))),"")</f>
        <v/>
      </c>
      <c r="K602" s="3">
        <f>IF(AND('Data Source'!B602&lt;&gt;"",'Data Source'!S602="F"),IF('Data Source'!AC602&gt;=5,"A+",IF('Data Source'!AC602&gt;=4,"A",IF('Data Source'!AC602&gt;=3.5,"A-",IF('Data Source'!AC602&gt;=3,"B",IF('Data Source'!AC602&gt;=2,"C",IF('Data Source'!AC602&gt;=1,"D","F")))))),"")</f>
        <v/>
      </c>
      <c r="L602" s="3">
        <f>IF(AND('Data Source'!B602&lt;&gt;"",'Data Source'!S602="F"),IF('Data Source'!AD602&gt;=5,"A+",IF('Data Source'!AD602&gt;=4,"A",IF('Data Source'!AD602&gt;=3.5,"A-",IF('Data Source'!AD602&gt;=3,"B",IF('Data Source'!AD602&gt;=2,"C",IF('Data Source'!AD602&gt;=1,"D","F")))))),"")</f>
        <v/>
      </c>
      <c r="M602" s="3">
        <f>IF(AND('Data Source'!B602&lt;&gt;"",'Data Source'!S602="F"),IF('Data Source'!AE602&gt;=5,"A+",IF('Data Source'!AE602&gt;=4,"A",IF('Data Source'!AE602&gt;=3.5,"A-",IF('Data Source'!AE602&gt;=3,"B",IF('Data Source'!AE602&gt;=2,"C",IF('Data Source'!AE602&gt;=1,"D","F")))))),"")</f>
        <v/>
      </c>
      <c r="N602" s="3">
        <f>IF(AND('Data Source'!B602&lt;&gt;"",'Data Source'!S602="F"),IF('Data Source'!AF602&gt;=5,"A+",IF('Data Source'!AF602&gt;=4,"A",IF('Data Source'!AF602&gt;=3.5,"A-",IF('Data Source'!AF602&gt;=3,"B",IF('Data Source'!AF602&gt;=2,"C",IF('Data Source'!AF602&gt;=1,"D","F")))))),"")</f>
        <v/>
      </c>
      <c r="O602" s="3">
        <f>IF(AND('Data Source'!B602&lt;&gt;"",'Data Source'!S602="F"),IF('Data Source'!AG602&gt;=5,"A+",IF('Data Source'!AG602&gt;=4,"A",IF('Data Source'!AG602&gt;=3.5,"A-",IF('Data Source'!AG602&gt;=3,"B",IF('Data Source'!AG602&gt;=2,"C",IF('Data Source'!AG602&gt;=1,"D","F")))))),"")</f>
        <v/>
      </c>
      <c r="P602" s="5">
        <f>IF(AND('Data Source'!B602&lt;&gt;"",'Data Source'!S602="F"),'Data Source'!R602,"")</f>
        <v/>
      </c>
      <c r="Q602" s="3">
        <f>IF(AND('Data Source'!B602&lt;&gt;"",'Data Source'!S602="F"),'Data Source'!S602,"")</f>
        <v/>
      </c>
    </row>
    <row r="603">
      <c r="A603" s="3">
        <f>IF(AND('Data Source'!B603&lt;&gt;"",'Data Source'!S603="F"),COUNTIF('Data Source'!$S$3:S603,"F"),"")</f>
        <v/>
      </c>
      <c r="B603">
        <f>IF(AND('Data Source'!B603&lt;&gt;"",'Data Source'!S603="F"),'Data Source'!B603,"")</f>
        <v/>
      </c>
      <c r="C603" s="3">
        <f>IF(AND('Data Source'!B603&lt;&gt;"",'Data Source'!S603="F"),IF('Data Source'!U603&gt;=5,"A+",IF('Data Source'!U603&gt;=4,"A",IF('Data Source'!U603&gt;=3.5,"A-",IF('Data Source'!U603&gt;=3,"B",IF('Data Source'!U603&gt;=2,"C",IF('Data Source'!U603&gt;=1,"D","F")))))),"")</f>
        <v/>
      </c>
      <c r="D603" s="3">
        <f>IF(AND('Data Source'!B603&lt;&gt;"",'Data Source'!S603="F"),IF('Data Source'!V603&gt;=5,"A+",IF('Data Source'!V603&gt;=4,"A",IF('Data Source'!V603&gt;=3.5,"A-",IF('Data Source'!V603&gt;=3,"B",IF('Data Source'!V603&gt;=2,"C",IF('Data Source'!V603&gt;=1,"D","F")))))),"")</f>
        <v/>
      </c>
      <c r="E603" s="3">
        <f>IF(AND('Data Source'!B603&lt;&gt;"",'Data Source'!S603="F"),IF('Data Source'!W603&gt;=5,"A+",IF('Data Source'!W603&gt;=4,"A",IF('Data Source'!W603&gt;=3.5,"A-",IF('Data Source'!W603&gt;=3,"B",IF('Data Source'!W603&gt;=2,"C",IF('Data Source'!W603&gt;=1,"D","F")))))),"")</f>
        <v/>
      </c>
      <c r="F603" s="3">
        <f>IF(AND('Data Source'!B603&lt;&gt;"",'Data Source'!S603="F"),IF('Data Source'!X603&gt;=5,"A+",IF('Data Source'!X603&gt;=4,"A",IF('Data Source'!X603&gt;=3.5,"A-",IF('Data Source'!X603&gt;=3,"B",IF('Data Source'!X603&gt;=2,"C",IF('Data Source'!X603&gt;=1,"D","F")))))),"")</f>
        <v/>
      </c>
      <c r="G603" s="3">
        <f>IF(AND('Data Source'!B603&lt;&gt;"",'Data Source'!S603="F"),IF('Data Source'!Y603&gt;=5,"A+",IF('Data Source'!Y603&gt;=4,"A",IF('Data Source'!Y603&gt;=3.5,"A-",IF('Data Source'!Y603&gt;=3,"B",IF('Data Source'!Y603&gt;=2,"C",IF('Data Source'!Y603&gt;=1,"D","F")))))),"")</f>
        <v/>
      </c>
      <c r="H603" s="3">
        <f>IF(AND('Data Source'!B603&lt;&gt;"",'Data Source'!S603="F"),IF('Data Source'!Z603&gt;=5,"A+",IF('Data Source'!Z603&gt;=4,"A",IF('Data Source'!Z603&gt;=3.5,"A-",IF('Data Source'!Z603&gt;=3,"B",IF('Data Source'!Z603&gt;=2,"C",IF('Data Source'!Z603&gt;=1,"D","F")))))),"")</f>
        <v/>
      </c>
      <c r="I603" s="3">
        <f>IF(AND('Data Source'!B603&lt;&gt;"",'Data Source'!S603="F"),IF('Data Source'!AA603&gt;=5,"A+",IF('Data Source'!AA603&gt;=4,"A",IF('Data Source'!AA603&gt;=3.5,"A-",IF('Data Source'!AA603&gt;=3,"B",IF('Data Source'!AA603&gt;=2,"C",IF('Data Source'!AA603&gt;=1,"D","F")))))),"")</f>
        <v/>
      </c>
      <c r="J603" s="3">
        <f>IF(AND('Data Source'!B603&lt;&gt;"",'Data Source'!S603="F"),IF('Data Source'!AB603&gt;=5,"A+",IF('Data Source'!AB603&gt;=4,"A",IF('Data Source'!AB603&gt;=3.5,"A-",IF('Data Source'!AB603&gt;=3,"B",IF('Data Source'!AB603&gt;=2,"C",IF('Data Source'!AB603&gt;=1,"D","F")))))),"")</f>
        <v/>
      </c>
      <c r="K603" s="3">
        <f>IF(AND('Data Source'!B603&lt;&gt;"",'Data Source'!S603="F"),IF('Data Source'!AC603&gt;=5,"A+",IF('Data Source'!AC603&gt;=4,"A",IF('Data Source'!AC603&gt;=3.5,"A-",IF('Data Source'!AC603&gt;=3,"B",IF('Data Source'!AC603&gt;=2,"C",IF('Data Source'!AC603&gt;=1,"D","F")))))),"")</f>
        <v/>
      </c>
      <c r="L603" s="3">
        <f>IF(AND('Data Source'!B603&lt;&gt;"",'Data Source'!S603="F"),IF('Data Source'!AD603&gt;=5,"A+",IF('Data Source'!AD603&gt;=4,"A",IF('Data Source'!AD603&gt;=3.5,"A-",IF('Data Source'!AD603&gt;=3,"B",IF('Data Source'!AD603&gt;=2,"C",IF('Data Source'!AD603&gt;=1,"D","F")))))),"")</f>
        <v/>
      </c>
      <c r="M603" s="3">
        <f>IF(AND('Data Source'!B603&lt;&gt;"",'Data Source'!S603="F"),IF('Data Source'!AE603&gt;=5,"A+",IF('Data Source'!AE603&gt;=4,"A",IF('Data Source'!AE603&gt;=3.5,"A-",IF('Data Source'!AE603&gt;=3,"B",IF('Data Source'!AE603&gt;=2,"C",IF('Data Source'!AE603&gt;=1,"D","F")))))),"")</f>
        <v/>
      </c>
      <c r="N603" s="3">
        <f>IF(AND('Data Source'!B603&lt;&gt;"",'Data Source'!S603="F"),IF('Data Source'!AF603&gt;=5,"A+",IF('Data Source'!AF603&gt;=4,"A",IF('Data Source'!AF603&gt;=3.5,"A-",IF('Data Source'!AF603&gt;=3,"B",IF('Data Source'!AF603&gt;=2,"C",IF('Data Source'!AF603&gt;=1,"D","F")))))),"")</f>
        <v/>
      </c>
      <c r="O603" s="3">
        <f>IF(AND('Data Source'!B603&lt;&gt;"",'Data Source'!S603="F"),IF('Data Source'!AG603&gt;=5,"A+",IF('Data Source'!AG603&gt;=4,"A",IF('Data Source'!AG603&gt;=3.5,"A-",IF('Data Source'!AG603&gt;=3,"B",IF('Data Source'!AG603&gt;=2,"C",IF('Data Source'!AG603&gt;=1,"D","F")))))),"")</f>
        <v/>
      </c>
      <c r="P603" s="5">
        <f>IF(AND('Data Source'!B603&lt;&gt;"",'Data Source'!S603="F"),'Data Source'!R603,"")</f>
        <v/>
      </c>
      <c r="Q603" s="3">
        <f>IF(AND('Data Source'!B603&lt;&gt;"",'Data Source'!S603="F"),'Data Source'!S603,"")</f>
        <v/>
      </c>
    </row>
    <row r="604">
      <c r="A604" s="3">
        <f>IF(AND('Data Source'!B604&lt;&gt;"",'Data Source'!S604="F"),COUNTIF('Data Source'!$S$3:S604,"F"),"")</f>
        <v/>
      </c>
      <c r="B604">
        <f>IF(AND('Data Source'!B604&lt;&gt;"",'Data Source'!S604="F"),'Data Source'!B604,"")</f>
        <v/>
      </c>
      <c r="C604" s="3">
        <f>IF(AND('Data Source'!B604&lt;&gt;"",'Data Source'!S604="F"),IF('Data Source'!U604&gt;=5,"A+",IF('Data Source'!U604&gt;=4,"A",IF('Data Source'!U604&gt;=3.5,"A-",IF('Data Source'!U604&gt;=3,"B",IF('Data Source'!U604&gt;=2,"C",IF('Data Source'!U604&gt;=1,"D","F")))))),"")</f>
        <v/>
      </c>
      <c r="D604" s="3">
        <f>IF(AND('Data Source'!B604&lt;&gt;"",'Data Source'!S604="F"),IF('Data Source'!V604&gt;=5,"A+",IF('Data Source'!V604&gt;=4,"A",IF('Data Source'!V604&gt;=3.5,"A-",IF('Data Source'!V604&gt;=3,"B",IF('Data Source'!V604&gt;=2,"C",IF('Data Source'!V604&gt;=1,"D","F")))))),"")</f>
        <v/>
      </c>
      <c r="E604" s="3">
        <f>IF(AND('Data Source'!B604&lt;&gt;"",'Data Source'!S604="F"),IF('Data Source'!W604&gt;=5,"A+",IF('Data Source'!W604&gt;=4,"A",IF('Data Source'!W604&gt;=3.5,"A-",IF('Data Source'!W604&gt;=3,"B",IF('Data Source'!W604&gt;=2,"C",IF('Data Source'!W604&gt;=1,"D","F")))))),"")</f>
        <v/>
      </c>
      <c r="F604" s="3">
        <f>IF(AND('Data Source'!B604&lt;&gt;"",'Data Source'!S604="F"),IF('Data Source'!X604&gt;=5,"A+",IF('Data Source'!X604&gt;=4,"A",IF('Data Source'!X604&gt;=3.5,"A-",IF('Data Source'!X604&gt;=3,"B",IF('Data Source'!X604&gt;=2,"C",IF('Data Source'!X604&gt;=1,"D","F")))))),"")</f>
        <v/>
      </c>
      <c r="G604" s="3">
        <f>IF(AND('Data Source'!B604&lt;&gt;"",'Data Source'!S604="F"),IF('Data Source'!Y604&gt;=5,"A+",IF('Data Source'!Y604&gt;=4,"A",IF('Data Source'!Y604&gt;=3.5,"A-",IF('Data Source'!Y604&gt;=3,"B",IF('Data Source'!Y604&gt;=2,"C",IF('Data Source'!Y604&gt;=1,"D","F")))))),"")</f>
        <v/>
      </c>
      <c r="H604" s="3">
        <f>IF(AND('Data Source'!B604&lt;&gt;"",'Data Source'!S604="F"),IF('Data Source'!Z604&gt;=5,"A+",IF('Data Source'!Z604&gt;=4,"A",IF('Data Source'!Z604&gt;=3.5,"A-",IF('Data Source'!Z604&gt;=3,"B",IF('Data Source'!Z604&gt;=2,"C",IF('Data Source'!Z604&gt;=1,"D","F")))))),"")</f>
        <v/>
      </c>
      <c r="I604" s="3">
        <f>IF(AND('Data Source'!B604&lt;&gt;"",'Data Source'!S604="F"),IF('Data Source'!AA604&gt;=5,"A+",IF('Data Source'!AA604&gt;=4,"A",IF('Data Source'!AA604&gt;=3.5,"A-",IF('Data Source'!AA604&gt;=3,"B",IF('Data Source'!AA604&gt;=2,"C",IF('Data Source'!AA604&gt;=1,"D","F")))))),"")</f>
        <v/>
      </c>
      <c r="J604" s="3">
        <f>IF(AND('Data Source'!B604&lt;&gt;"",'Data Source'!S604="F"),IF('Data Source'!AB604&gt;=5,"A+",IF('Data Source'!AB604&gt;=4,"A",IF('Data Source'!AB604&gt;=3.5,"A-",IF('Data Source'!AB604&gt;=3,"B",IF('Data Source'!AB604&gt;=2,"C",IF('Data Source'!AB604&gt;=1,"D","F")))))),"")</f>
        <v/>
      </c>
      <c r="K604" s="3">
        <f>IF(AND('Data Source'!B604&lt;&gt;"",'Data Source'!S604="F"),IF('Data Source'!AC604&gt;=5,"A+",IF('Data Source'!AC604&gt;=4,"A",IF('Data Source'!AC604&gt;=3.5,"A-",IF('Data Source'!AC604&gt;=3,"B",IF('Data Source'!AC604&gt;=2,"C",IF('Data Source'!AC604&gt;=1,"D","F")))))),"")</f>
        <v/>
      </c>
      <c r="L604" s="3">
        <f>IF(AND('Data Source'!B604&lt;&gt;"",'Data Source'!S604="F"),IF('Data Source'!AD604&gt;=5,"A+",IF('Data Source'!AD604&gt;=4,"A",IF('Data Source'!AD604&gt;=3.5,"A-",IF('Data Source'!AD604&gt;=3,"B",IF('Data Source'!AD604&gt;=2,"C",IF('Data Source'!AD604&gt;=1,"D","F")))))),"")</f>
        <v/>
      </c>
      <c r="M604" s="3">
        <f>IF(AND('Data Source'!B604&lt;&gt;"",'Data Source'!S604="F"),IF('Data Source'!AE604&gt;=5,"A+",IF('Data Source'!AE604&gt;=4,"A",IF('Data Source'!AE604&gt;=3.5,"A-",IF('Data Source'!AE604&gt;=3,"B",IF('Data Source'!AE604&gt;=2,"C",IF('Data Source'!AE604&gt;=1,"D","F")))))),"")</f>
        <v/>
      </c>
      <c r="N604" s="3">
        <f>IF(AND('Data Source'!B604&lt;&gt;"",'Data Source'!S604="F"),IF('Data Source'!AF604&gt;=5,"A+",IF('Data Source'!AF604&gt;=4,"A",IF('Data Source'!AF604&gt;=3.5,"A-",IF('Data Source'!AF604&gt;=3,"B",IF('Data Source'!AF604&gt;=2,"C",IF('Data Source'!AF604&gt;=1,"D","F")))))),"")</f>
        <v/>
      </c>
      <c r="O604" s="3">
        <f>IF(AND('Data Source'!B604&lt;&gt;"",'Data Source'!S604="F"),IF('Data Source'!AG604&gt;=5,"A+",IF('Data Source'!AG604&gt;=4,"A",IF('Data Source'!AG604&gt;=3.5,"A-",IF('Data Source'!AG604&gt;=3,"B",IF('Data Source'!AG604&gt;=2,"C",IF('Data Source'!AG604&gt;=1,"D","F")))))),"")</f>
        <v/>
      </c>
      <c r="P604" s="5">
        <f>IF(AND('Data Source'!B604&lt;&gt;"",'Data Source'!S604="F"),'Data Source'!R604,"")</f>
        <v/>
      </c>
      <c r="Q604" s="3">
        <f>IF(AND('Data Source'!B604&lt;&gt;"",'Data Source'!S604="F"),'Data Source'!S604,"")</f>
        <v/>
      </c>
    </row>
    <row r="605">
      <c r="A605" s="3">
        <f>IF(AND('Data Source'!B605&lt;&gt;"",'Data Source'!S605="F"),COUNTIF('Data Source'!$S$3:S605,"F"),"")</f>
        <v/>
      </c>
      <c r="B605">
        <f>IF(AND('Data Source'!B605&lt;&gt;"",'Data Source'!S605="F"),'Data Source'!B605,"")</f>
        <v/>
      </c>
      <c r="C605" s="3">
        <f>IF(AND('Data Source'!B605&lt;&gt;"",'Data Source'!S605="F"),IF('Data Source'!U605&gt;=5,"A+",IF('Data Source'!U605&gt;=4,"A",IF('Data Source'!U605&gt;=3.5,"A-",IF('Data Source'!U605&gt;=3,"B",IF('Data Source'!U605&gt;=2,"C",IF('Data Source'!U605&gt;=1,"D","F")))))),"")</f>
        <v/>
      </c>
      <c r="D605" s="3">
        <f>IF(AND('Data Source'!B605&lt;&gt;"",'Data Source'!S605="F"),IF('Data Source'!V605&gt;=5,"A+",IF('Data Source'!V605&gt;=4,"A",IF('Data Source'!V605&gt;=3.5,"A-",IF('Data Source'!V605&gt;=3,"B",IF('Data Source'!V605&gt;=2,"C",IF('Data Source'!V605&gt;=1,"D","F")))))),"")</f>
        <v/>
      </c>
      <c r="E605" s="3">
        <f>IF(AND('Data Source'!B605&lt;&gt;"",'Data Source'!S605="F"),IF('Data Source'!W605&gt;=5,"A+",IF('Data Source'!W605&gt;=4,"A",IF('Data Source'!W605&gt;=3.5,"A-",IF('Data Source'!W605&gt;=3,"B",IF('Data Source'!W605&gt;=2,"C",IF('Data Source'!W605&gt;=1,"D","F")))))),"")</f>
        <v/>
      </c>
      <c r="F605" s="3">
        <f>IF(AND('Data Source'!B605&lt;&gt;"",'Data Source'!S605="F"),IF('Data Source'!X605&gt;=5,"A+",IF('Data Source'!X605&gt;=4,"A",IF('Data Source'!X605&gt;=3.5,"A-",IF('Data Source'!X605&gt;=3,"B",IF('Data Source'!X605&gt;=2,"C",IF('Data Source'!X605&gt;=1,"D","F")))))),"")</f>
        <v/>
      </c>
      <c r="G605" s="3">
        <f>IF(AND('Data Source'!B605&lt;&gt;"",'Data Source'!S605="F"),IF('Data Source'!Y605&gt;=5,"A+",IF('Data Source'!Y605&gt;=4,"A",IF('Data Source'!Y605&gt;=3.5,"A-",IF('Data Source'!Y605&gt;=3,"B",IF('Data Source'!Y605&gt;=2,"C",IF('Data Source'!Y605&gt;=1,"D","F")))))),"")</f>
        <v/>
      </c>
      <c r="H605" s="3">
        <f>IF(AND('Data Source'!B605&lt;&gt;"",'Data Source'!S605="F"),IF('Data Source'!Z605&gt;=5,"A+",IF('Data Source'!Z605&gt;=4,"A",IF('Data Source'!Z605&gt;=3.5,"A-",IF('Data Source'!Z605&gt;=3,"B",IF('Data Source'!Z605&gt;=2,"C",IF('Data Source'!Z605&gt;=1,"D","F")))))),"")</f>
        <v/>
      </c>
      <c r="I605" s="3">
        <f>IF(AND('Data Source'!B605&lt;&gt;"",'Data Source'!S605="F"),IF('Data Source'!AA605&gt;=5,"A+",IF('Data Source'!AA605&gt;=4,"A",IF('Data Source'!AA605&gt;=3.5,"A-",IF('Data Source'!AA605&gt;=3,"B",IF('Data Source'!AA605&gt;=2,"C",IF('Data Source'!AA605&gt;=1,"D","F")))))),"")</f>
        <v/>
      </c>
      <c r="J605" s="3">
        <f>IF(AND('Data Source'!B605&lt;&gt;"",'Data Source'!S605="F"),IF('Data Source'!AB605&gt;=5,"A+",IF('Data Source'!AB605&gt;=4,"A",IF('Data Source'!AB605&gt;=3.5,"A-",IF('Data Source'!AB605&gt;=3,"B",IF('Data Source'!AB605&gt;=2,"C",IF('Data Source'!AB605&gt;=1,"D","F")))))),"")</f>
        <v/>
      </c>
      <c r="K605" s="3">
        <f>IF(AND('Data Source'!B605&lt;&gt;"",'Data Source'!S605="F"),IF('Data Source'!AC605&gt;=5,"A+",IF('Data Source'!AC605&gt;=4,"A",IF('Data Source'!AC605&gt;=3.5,"A-",IF('Data Source'!AC605&gt;=3,"B",IF('Data Source'!AC605&gt;=2,"C",IF('Data Source'!AC605&gt;=1,"D","F")))))),"")</f>
        <v/>
      </c>
      <c r="L605" s="3">
        <f>IF(AND('Data Source'!B605&lt;&gt;"",'Data Source'!S605="F"),IF('Data Source'!AD605&gt;=5,"A+",IF('Data Source'!AD605&gt;=4,"A",IF('Data Source'!AD605&gt;=3.5,"A-",IF('Data Source'!AD605&gt;=3,"B",IF('Data Source'!AD605&gt;=2,"C",IF('Data Source'!AD605&gt;=1,"D","F")))))),"")</f>
        <v/>
      </c>
      <c r="M605" s="3">
        <f>IF(AND('Data Source'!B605&lt;&gt;"",'Data Source'!S605="F"),IF('Data Source'!AE605&gt;=5,"A+",IF('Data Source'!AE605&gt;=4,"A",IF('Data Source'!AE605&gt;=3.5,"A-",IF('Data Source'!AE605&gt;=3,"B",IF('Data Source'!AE605&gt;=2,"C",IF('Data Source'!AE605&gt;=1,"D","F")))))),"")</f>
        <v/>
      </c>
      <c r="N605" s="3">
        <f>IF(AND('Data Source'!B605&lt;&gt;"",'Data Source'!S605="F"),IF('Data Source'!AF605&gt;=5,"A+",IF('Data Source'!AF605&gt;=4,"A",IF('Data Source'!AF605&gt;=3.5,"A-",IF('Data Source'!AF605&gt;=3,"B",IF('Data Source'!AF605&gt;=2,"C",IF('Data Source'!AF605&gt;=1,"D","F")))))),"")</f>
        <v/>
      </c>
      <c r="O605" s="3">
        <f>IF(AND('Data Source'!B605&lt;&gt;"",'Data Source'!S605="F"),IF('Data Source'!AG605&gt;=5,"A+",IF('Data Source'!AG605&gt;=4,"A",IF('Data Source'!AG605&gt;=3.5,"A-",IF('Data Source'!AG605&gt;=3,"B",IF('Data Source'!AG605&gt;=2,"C",IF('Data Source'!AG605&gt;=1,"D","F")))))),"")</f>
        <v/>
      </c>
      <c r="P605" s="5">
        <f>IF(AND('Data Source'!B605&lt;&gt;"",'Data Source'!S605="F"),'Data Source'!R605,"")</f>
        <v/>
      </c>
      <c r="Q605" s="3">
        <f>IF(AND('Data Source'!B605&lt;&gt;"",'Data Source'!S605="F"),'Data Source'!S605,"")</f>
        <v/>
      </c>
    </row>
    <row r="606">
      <c r="A606" s="3">
        <f>IF(AND('Data Source'!B606&lt;&gt;"",'Data Source'!S606="F"),COUNTIF('Data Source'!$S$3:S606,"F"),"")</f>
        <v/>
      </c>
      <c r="B606">
        <f>IF(AND('Data Source'!B606&lt;&gt;"",'Data Source'!S606="F"),'Data Source'!B606,"")</f>
        <v/>
      </c>
      <c r="C606" s="3">
        <f>IF(AND('Data Source'!B606&lt;&gt;"",'Data Source'!S606="F"),IF('Data Source'!U606&gt;=5,"A+",IF('Data Source'!U606&gt;=4,"A",IF('Data Source'!U606&gt;=3.5,"A-",IF('Data Source'!U606&gt;=3,"B",IF('Data Source'!U606&gt;=2,"C",IF('Data Source'!U606&gt;=1,"D","F")))))),"")</f>
        <v/>
      </c>
      <c r="D606" s="3">
        <f>IF(AND('Data Source'!B606&lt;&gt;"",'Data Source'!S606="F"),IF('Data Source'!V606&gt;=5,"A+",IF('Data Source'!V606&gt;=4,"A",IF('Data Source'!V606&gt;=3.5,"A-",IF('Data Source'!V606&gt;=3,"B",IF('Data Source'!V606&gt;=2,"C",IF('Data Source'!V606&gt;=1,"D","F")))))),"")</f>
        <v/>
      </c>
      <c r="E606" s="3">
        <f>IF(AND('Data Source'!B606&lt;&gt;"",'Data Source'!S606="F"),IF('Data Source'!W606&gt;=5,"A+",IF('Data Source'!W606&gt;=4,"A",IF('Data Source'!W606&gt;=3.5,"A-",IF('Data Source'!W606&gt;=3,"B",IF('Data Source'!W606&gt;=2,"C",IF('Data Source'!W606&gt;=1,"D","F")))))),"")</f>
        <v/>
      </c>
      <c r="F606" s="3">
        <f>IF(AND('Data Source'!B606&lt;&gt;"",'Data Source'!S606="F"),IF('Data Source'!X606&gt;=5,"A+",IF('Data Source'!X606&gt;=4,"A",IF('Data Source'!X606&gt;=3.5,"A-",IF('Data Source'!X606&gt;=3,"B",IF('Data Source'!X606&gt;=2,"C",IF('Data Source'!X606&gt;=1,"D","F")))))),"")</f>
        <v/>
      </c>
      <c r="G606" s="3">
        <f>IF(AND('Data Source'!B606&lt;&gt;"",'Data Source'!S606="F"),IF('Data Source'!Y606&gt;=5,"A+",IF('Data Source'!Y606&gt;=4,"A",IF('Data Source'!Y606&gt;=3.5,"A-",IF('Data Source'!Y606&gt;=3,"B",IF('Data Source'!Y606&gt;=2,"C",IF('Data Source'!Y606&gt;=1,"D","F")))))),"")</f>
        <v/>
      </c>
      <c r="H606" s="3">
        <f>IF(AND('Data Source'!B606&lt;&gt;"",'Data Source'!S606="F"),IF('Data Source'!Z606&gt;=5,"A+",IF('Data Source'!Z606&gt;=4,"A",IF('Data Source'!Z606&gt;=3.5,"A-",IF('Data Source'!Z606&gt;=3,"B",IF('Data Source'!Z606&gt;=2,"C",IF('Data Source'!Z606&gt;=1,"D","F")))))),"")</f>
        <v/>
      </c>
      <c r="I606" s="3">
        <f>IF(AND('Data Source'!B606&lt;&gt;"",'Data Source'!S606="F"),IF('Data Source'!AA606&gt;=5,"A+",IF('Data Source'!AA606&gt;=4,"A",IF('Data Source'!AA606&gt;=3.5,"A-",IF('Data Source'!AA606&gt;=3,"B",IF('Data Source'!AA606&gt;=2,"C",IF('Data Source'!AA606&gt;=1,"D","F")))))),"")</f>
        <v/>
      </c>
      <c r="J606" s="3">
        <f>IF(AND('Data Source'!B606&lt;&gt;"",'Data Source'!S606="F"),IF('Data Source'!AB606&gt;=5,"A+",IF('Data Source'!AB606&gt;=4,"A",IF('Data Source'!AB606&gt;=3.5,"A-",IF('Data Source'!AB606&gt;=3,"B",IF('Data Source'!AB606&gt;=2,"C",IF('Data Source'!AB606&gt;=1,"D","F")))))),"")</f>
        <v/>
      </c>
      <c r="K606" s="3">
        <f>IF(AND('Data Source'!B606&lt;&gt;"",'Data Source'!S606="F"),IF('Data Source'!AC606&gt;=5,"A+",IF('Data Source'!AC606&gt;=4,"A",IF('Data Source'!AC606&gt;=3.5,"A-",IF('Data Source'!AC606&gt;=3,"B",IF('Data Source'!AC606&gt;=2,"C",IF('Data Source'!AC606&gt;=1,"D","F")))))),"")</f>
        <v/>
      </c>
      <c r="L606" s="3">
        <f>IF(AND('Data Source'!B606&lt;&gt;"",'Data Source'!S606="F"),IF('Data Source'!AD606&gt;=5,"A+",IF('Data Source'!AD606&gt;=4,"A",IF('Data Source'!AD606&gt;=3.5,"A-",IF('Data Source'!AD606&gt;=3,"B",IF('Data Source'!AD606&gt;=2,"C",IF('Data Source'!AD606&gt;=1,"D","F")))))),"")</f>
        <v/>
      </c>
      <c r="M606" s="3">
        <f>IF(AND('Data Source'!B606&lt;&gt;"",'Data Source'!S606="F"),IF('Data Source'!AE606&gt;=5,"A+",IF('Data Source'!AE606&gt;=4,"A",IF('Data Source'!AE606&gt;=3.5,"A-",IF('Data Source'!AE606&gt;=3,"B",IF('Data Source'!AE606&gt;=2,"C",IF('Data Source'!AE606&gt;=1,"D","F")))))),"")</f>
        <v/>
      </c>
      <c r="N606" s="3">
        <f>IF(AND('Data Source'!B606&lt;&gt;"",'Data Source'!S606="F"),IF('Data Source'!AF606&gt;=5,"A+",IF('Data Source'!AF606&gt;=4,"A",IF('Data Source'!AF606&gt;=3.5,"A-",IF('Data Source'!AF606&gt;=3,"B",IF('Data Source'!AF606&gt;=2,"C",IF('Data Source'!AF606&gt;=1,"D","F")))))),"")</f>
        <v/>
      </c>
      <c r="O606" s="3">
        <f>IF(AND('Data Source'!B606&lt;&gt;"",'Data Source'!S606="F"),IF('Data Source'!AG606&gt;=5,"A+",IF('Data Source'!AG606&gt;=4,"A",IF('Data Source'!AG606&gt;=3.5,"A-",IF('Data Source'!AG606&gt;=3,"B",IF('Data Source'!AG606&gt;=2,"C",IF('Data Source'!AG606&gt;=1,"D","F")))))),"")</f>
        <v/>
      </c>
      <c r="P606" s="5">
        <f>IF(AND('Data Source'!B606&lt;&gt;"",'Data Source'!S606="F"),'Data Source'!R606,"")</f>
        <v/>
      </c>
      <c r="Q606" s="3">
        <f>IF(AND('Data Source'!B606&lt;&gt;"",'Data Source'!S606="F"),'Data Source'!S606,"")</f>
        <v/>
      </c>
    </row>
    <row r="607">
      <c r="A607" s="3">
        <f>IF(AND('Data Source'!B607&lt;&gt;"",'Data Source'!S607="F"),COUNTIF('Data Source'!$S$3:S607,"F"),"")</f>
        <v/>
      </c>
      <c r="B607">
        <f>IF(AND('Data Source'!B607&lt;&gt;"",'Data Source'!S607="F"),'Data Source'!B607,"")</f>
        <v/>
      </c>
      <c r="C607" s="3">
        <f>IF(AND('Data Source'!B607&lt;&gt;"",'Data Source'!S607="F"),IF('Data Source'!U607&gt;=5,"A+",IF('Data Source'!U607&gt;=4,"A",IF('Data Source'!U607&gt;=3.5,"A-",IF('Data Source'!U607&gt;=3,"B",IF('Data Source'!U607&gt;=2,"C",IF('Data Source'!U607&gt;=1,"D","F")))))),"")</f>
        <v/>
      </c>
      <c r="D607" s="3">
        <f>IF(AND('Data Source'!B607&lt;&gt;"",'Data Source'!S607="F"),IF('Data Source'!V607&gt;=5,"A+",IF('Data Source'!V607&gt;=4,"A",IF('Data Source'!V607&gt;=3.5,"A-",IF('Data Source'!V607&gt;=3,"B",IF('Data Source'!V607&gt;=2,"C",IF('Data Source'!V607&gt;=1,"D","F")))))),"")</f>
        <v/>
      </c>
      <c r="E607" s="3">
        <f>IF(AND('Data Source'!B607&lt;&gt;"",'Data Source'!S607="F"),IF('Data Source'!W607&gt;=5,"A+",IF('Data Source'!W607&gt;=4,"A",IF('Data Source'!W607&gt;=3.5,"A-",IF('Data Source'!W607&gt;=3,"B",IF('Data Source'!W607&gt;=2,"C",IF('Data Source'!W607&gt;=1,"D","F")))))),"")</f>
        <v/>
      </c>
      <c r="F607" s="3">
        <f>IF(AND('Data Source'!B607&lt;&gt;"",'Data Source'!S607="F"),IF('Data Source'!X607&gt;=5,"A+",IF('Data Source'!X607&gt;=4,"A",IF('Data Source'!X607&gt;=3.5,"A-",IF('Data Source'!X607&gt;=3,"B",IF('Data Source'!X607&gt;=2,"C",IF('Data Source'!X607&gt;=1,"D","F")))))),"")</f>
        <v/>
      </c>
      <c r="G607" s="3">
        <f>IF(AND('Data Source'!B607&lt;&gt;"",'Data Source'!S607="F"),IF('Data Source'!Y607&gt;=5,"A+",IF('Data Source'!Y607&gt;=4,"A",IF('Data Source'!Y607&gt;=3.5,"A-",IF('Data Source'!Y607&gt;=3,"B",IF('Data Source'!Y607&gt;=2,"C",IF('Data Source'!Y607&gt;=1,"D","F")))))),"")</f>
        <v/>
      </c>
      <c r="H607" s="3">
        <f>IF(AND('Data Source'!B607&lt;&gt;"",'Data Source'!S607="F"),IF('Data Source'!Z607&gt;=5,"A+",IF('Data Source'!Z607&gt;=4,"A",IF('Data Source'!Z607&gt;=3.5,"A-",IF('Data Source'!Z607&gt;=3,"B",IF('Data Source'!Z607&gt;=2,"C",IF('Data Source'!Z607&gt;=1,"D","F")))))),"")</f>
        <v/>
      </c>
      <c r="I607" s="3">
        <f>IF(AND('Data Source'!B607&lt;&gt;"",'Data Source'!S607="F"),IF('Data Source'!AA607&gt;=5,"A+",IF('Data Source'!AA607&gt;=4,"A",IF('Data Source'!AA607&gt;=3.5,"A-",IF('Data Source'!AA607&gt;=3,"B",IF('Data Source'!AA607&gt;=2,"C",IF('Data Source'!AA607&gt;=1,"D","F")))))),"")</f>
        <v/>
      </c>
      <c r="J607" s="3">
        <f>IF(AND('Data Source'!B607&lt;&gt;"",'Data Source'!S607="F"),IF('Data Source'!AB607&gt;=5,"A+",IF('Data Source'!AB607&gt;=4,"A",IF('Data Source'!AB607&gt;=3.5,"A-",IF('Data Source'!AB607&gt;=3,"B",IF('Data Source'!AB607&gt;=2,"C",IF('Data Source'!AB607&gt;=1,"D","F")))))),"")</f>
        <v/>
      </c>
      <c r="K607" s="3">
        <f>IF(AND('Data Source'!B607&lt;&gt;"",'Data Source'!S607="F"),IF('Data Source'!AC607&gt;=5,"A+",IF('Data Source'!AC607&gt;=4,"A",IF('Data Source'!AC607&gt;=3.5,"A-",IF('Data Source'!AC607&gt;=3,"B",IF('Data Source'!AC607&gt;=2,"C",IF('Data Source'!AC607&gt;=1,"D","F")))))),"")</f>
        <v/>
      </c>
      <c r="L607" s="3">
        <f>IF(AND('Data Source'!B607&lt;&gt;"",'Data Source'!S607="F"),IF('Data Source'!AD607&gt;=5,"A+",IF('Data Source'!AD607&gt;=4,"A",IF('Data Source'!AD607&gt;=3.5,"A-",IF('Data Source'!AD607&gt;=3,"B",IF('Data Source'!AD607&gt;=2,"C",IF('Data Source'!AD607&gt;=1,"D","F")))))),"")</f>
        <v/>
      </c>
      <c r="M607" s="3">
        <f>IF(AND('Data Source'!B607&lt;&gt;"",'Data Source'!S607="F"),IF('Data Source'!AE607&gt;=5,"A+",IF('Data Source'!AE607&gt;=4,"A",IF('Data Source'!AE607&gt;=3.5,"A-",IF('Data Source'!AE607&gt;=3,"B",IF('Data Source'!AE607&gt;=2,"C",IF('Data Source'!AE607&gt;=1,"D","F")))))),"")</f>
        <v/>
      </c>
      <c r="N607" s="3">
        <f>IF(AND('Data Source'!B607&lt;&gt;"",'Data Source'!S607="F"),IF('Data Source'!AF607&gt;=5,"A+",IF('Data Source'!AF607&gt;=4,"A",IF('Data Source'!AF607&gt;=3.5,"A-",IF('Data Source'!AF607&gt;=3,"B",IF('Data Source'!AF607&gt;=2,"C",IF('Data Source'!AF607&gt;=1,"D","F")))))),"")</f>
        <v/>
      </c>
      <c r="O607" s="3">
        <f>IF(AND('Data Source'!B607&lt;&gt;"",'Data Source'!S607="F"),IF('Data Source'!AG607&gt;=5,"A+",IF('Data Source'!AG607&gt;=4,"A",IF('Data Source'!AG607&gt;=3.5,"A-",IF('Data Source'!AG607&gt;=3,"B",IF('Data Source'!AG607&gt;=2,"C",IF('Data Source'!AG607&gt;=1,"D","F")))))),"")</f>
        <v/>
      </c>
      <c r="P607" s="5">
        <f>IF(AND('Data Source'!B607&lt;&gt;"",'Data Source'!S607="F"),'Data Source'!R607,"")</f>
        <v/>
      </c>
      <c r="Q607" s="3">
        <f>IF(AND('Data Source'!B607&lt;&gt;"",'Data Source'!S607="F"),'Data Source'!S607,"")</f>
        <v/>
      </c>
    </row>
    <row r="608">
      <c r="A608" s="3">
        <f>IF(AND('Data Source'!B608&lt;&gt;"",'Data Source'!S608="F"),COUNTIF('Data Source'!$S$3:S608,"F"),"")</f>
        <v/>
      </c>
      <c r="B608">
        <f>IF(AND('Data Source'!B608&lt;&gt;"",'Data Source'!S608="F"),'Data Source'!B608,"")</f>
        <v/>
      </c>
      <c r="C608" s="3">
        <f>IF(AND('Data Source'!B608&lt;&gt;"",'Data Source'!S608="F"),IF('Data Source'!U608&gt;=5,"A+",IF('Data Source'!U608&gt;=4,"A",IF('Data Source'!U608&gt;=3.5,"A-",IF('Data Source'!U608&gt;=3,"B",IF('Data Source'!U608&gt;=2,"C",IF('Data Source'!U608&gt;=1,"D","F")))))),"")</f>
        <v/>
      </c>
      <c r="D608" s="3">
        <f>IF(AND('Data Source'!B608&lt;&gt;"",'Data Source'!S608="F"),IF('Data Source'!V608&gt;=5,"A+",IF('Data Source'!V608&gt;=4,"A",IF('Data Source'!V608&gt;=3.5,"A-",IF('Data Source'!V608&gt;=3,"B",IF('Data Source'!V608&gt;=2,"C",IF('Data Source'!V608&gt;=1,"D","F")))))),"")</f>
        <v/>
      </c>
      <c r="E608" s="3">
        <f>IF(AND('Data Source'!B608&lt;&gt;"",'Data Source'!S608="F"),IF('Data Source'!W608&gt;=5,"A+",IF('Data Source'!W608&gt;=4,"A",IF('Data Source'!W608&gt;=3.5,"A-",IF('Data Source'!W608&gt;=3,"B",IF('Data Source'!W608&gt;=2,"C",IF('Data Source'!W608&gt;=1,"D","F")))))),"")</f>
        <v/>
      </c>
      <c r="F608" s="3">
        <f>IF(AND('Data Source'!B608&lt;&gt;"",'Data Source'!S608="F"),IF('Data Source'!X608&gt;=5,"A+",IF('Data Source'!X608&gt;=4,"A",IF('Data Source'!X608&gt;=3.5,"A-",IF('Data Source'!X608&gt;=3,"B",IF('Data Source'!X608&gt;=2,"C",IF('Data Source'!X608&gt;=1,"D","F")))))),"")</f>
        <v/>
      </c>
      <c r="G608" s="3">
        <f>IF(AND('Data Source'!B608&lt;&gt;"",'Data Source'!S608="F"),IF('Data Source'!Y608&gt;=5,"A+",IF('Data Source'!Y608&gt;=4,"A",IF('Data Source'!Y608&gt;=3.5,"A-",IF('Data Source'!Y608&gt;=3,"B",IF('Data Source'!Y608&gt;=2,"C",IF('Data Source'!Y608&gt;=1,"D","F")))))),"")</f>
        <v/>
      </c>
      <c r="H608" s="3">
        <f>IF(AND('Data Source'!B608&lt;&gt;"",'Data Source'!S608="F"),IF('Data Source'!Z608&gt;=5,"A+",IF('Data Source'!Z608&gt;=4,"A",IF('Data Source'!Z608&gt;=3.5,"A-",IF('Data Source'!Z608&gt;=3,"B",IF('Data Source'!Z608&gt;=2,"C",IF('Data Source'!Z608&gt;=1,"D","F")))))),"")</f>
        <v/>
      </c>
      <c r="I608" s="3">
        <f>IF(AND('Data Source'!B608&lt;&gt;"",'Data Source'!S608="F"),IF('Data Source'!AA608&gt;=5,"A+",IF('Data Source'!AA608&gt;=4,"A",IF('Data Source'!AA608&gt;=3.5,"A-",IF('Data Source'!AA608&gt;=3,"B",IF('Data Source'!AA608&gt;=2,"C",IF('Data Source'!AA608&gt;=1,"D","F")))))),"")</f>
        <v/>
      </c>
      <c r="J608" s="3">
        <f>IF(AND('Data Source'!B608&lt;&gt;"",'Data Source'!S608="F"),IF('Data Source'!AB608&gt;=5,"A+",IF('Data Source'!AB608&gt;=4,"A",IF('Data Source'!AB608&gt;=3.5,"A-",IF('Data Source'!AB608&gt;=3,"B",IF('Data Source'!AB608&gt;=2,"C",IF('Data Source'!AB608&gt;=1,"D","F")))))),"")</f>
        <v/>
      </c>
      <c r="K608" s="3">
        <f>IF(AND('Data Source'!B608&lt;&gt;"",'Data Source'!S608="F"),IF('Data Source'!AC608&gt;=5,"A+",IF('Data Source'!AC608&gt;=4,"A",IF('Data Source'!AC608&gt;=3.5,"A-",IF('Data Source'!AC608&gt;=3,"B",IF('Data Source'!AC608&gt;=2,"C",IF('Data Source'!AC608&gt;=1,"D","F")))))),"")</f>
        <v/>
      </c>
      <c r="L608" s="3">
        <f>IF(AND('Data Source'!B608&lt;&gt;"",'Data Source'!S608="F"),IF('Data Source'!AD608&gt;=5,"A+",IF('Data Source'!AD608&gt;=4,"A",IF('Data Source'!AD608&gt;=3.5,"A-",IF('Data Source'!AD608&gt;=3,"B",IF('Data Source'!AD608&gt;=2,"C",IF('Data Source'!AD608&gt;=1,"D","F")))))),"")</f>
        <v/>
      </c>
      <c r="M608" s="3">
        <f>IF(AND('Data Source'!B608&lt;&gt;"",'Data Source'!S608="F"),IF('Data Source'!AE608&gt;=5,"A+",IF('Data Source'!AE608&gt;=4,"A",IF('Data Source'!AE608&gt;=3.5,"A-",IF('Data Source'!AE608&gt;=3,"B",IF('Data Source'!AE608&gt;=2,"C",IF('Data Source'!AE608&gt;=1,"D","F")))))),"")</f>
        <v/>
      </c>
      <c r="N608" s="3">
        <f>IF(AND('Data Source'!B608&lt;&gt;"",'Data Source'!S608="F"),IF('Data Source'!AF608&gt;=5,"A+",IF('Data Source'!AF608&gt;=4,"A",IF('Data Source'!AF608&gt;=3.5,"A-",IF('Data Source'!AF608&gt;=3,"B",IF('Data Source'!AF608&gt;=2,"C",IF('Data Source'!AF608&gt;=1,"D","F")))))),"")</f>
        <v/>
      </c>
      <c r="O608" s="3">
        <f>IF(AND('Data Source'!B608&lt;&gt;"",'Data Source'!S608="F"),IF('Data Source'!AG608&gt;=5,"A+",IF('Data Source'!AG608&gt;=4,"A",IF('Data Source'!AG608&gt;=3.5,"A-",IF('Data Source'!AG608&gt;=3,"B",IF('Data Source'!AG608&gt;=2,"C",IF('Data Source'!AG608&gt;=1,"D","F")))))),"")</f>
        <v/>
      </c>
      <c r="P608" s="5">
        <f>IF(AND('Data Source'!B608&lt;&gt;"",'Data Source'!S608="F"),'Data Source'!R608,"")</f>
        <v/>
      </c>
      <c r="Q608" s="3">
        <f>IF(AND('Data Source'!B608&lt;&gt;"",'Data Source'!S608="F"),'Data Source'!S608,"")</f>
        <v/>
      </c>
    </row>
    <row r="609">
      <c r="A609" s="3">
        <f>IF(AND('Data Source'!B609&lt;&gt;"",'Data Source'!S609="F"),COUNTIF('Data Source'!$S$3:S609,"F"),"")</f>
        <v/>
      </c>
      <c r="B609">
        <f>IF(AND('Data Source'!B609&lt;&gt;"",'Data Source'!S609="F"),'Data Source'!B609,"")</f>
        <v/>
      </c>
      <c r="C609" s="3">
        <f>IF(AND('Data Source'!B609&lt;&gt;"",'Data Source'!S609="F"),IF('Data Source'!U609&gt;=5,"A+",IF('Data Source'!U609&gt;=4,"A",IF('Data Source'!U609&gt;=3.5,"A-",IF('Data Source'!U609&gt;=3,"B",IF('Data Source'!U609&gt;=2,"C",IF('Data Source'!U609&gt;=1,"D","F")))))),"")</f>
        <v/>
      </c>
      <c r="D609" s="3">
        <f>IF(AND('Data Source'!B609&lt;&gt;"",'Data Source'!S609="F"),IF('Data Source'!V609&gt;=5,"A+",IF('Data Source'!V609&gt;=4,"A",IF('Data Source'!V609&gt;=3.5,"A-",IF('Data Source'!V609&gt;=3,"B",IF('Data Source'!V609&gt;=2,"C",IF('Data Source'!V609&gt;=1,"D","F")))))),"")</f>
        <v/>
      </c>
      <c r="E609" s="3">
        <f>IF(AND('Data Source'!B609&lt;&gt;"",'Data Source'!S609="F"),IF('Data Source'!W609&gt;=5,"A+",IF('Data Source'!W609&gt;=4,"A",IF('Data Source'!W609&gt;=3.5,"A-",IF('Data Source'!W609&gt;=3,"B",IF('Data Source'!W609&gt;=2,"C",IF('Data Source'!W609&gt;=1,"D","F")))))),"")</f>
        <v/>
      </c>
      <c r="F609" s="3">
        <f>IF(AND('Data Source'!B609&lt;&gt;"",'Data Source'!S609="F"),IF('Data Source'!X609&gt;=5,"A+",IF('Data Source'!X609&gt;=4,"A",IF('Data Source'!X609&gt;=3.5,"A-",IF('Data Source'!X609&gt;=3,"B",IF('Data Source'!X609&gt;=2,"C",IF('Data Source'!X609&gt;=1,"D","F")))))),"")</f>
        <v/>
      </c>
      <c r="G609" s="3">
        <f>IF(AND('Data Source'!B609&lt;&gt;"",'Data Source'!S609="F"),IF('Data Source'!Y609&gt;=5,"A+",IF('Data Source'!Y609&gt;=4,"A",IF('Data Source'!Y609&gt;=3.5,"A-",IF('Data Source'!Y609&gt;=3,"B",IF('Data Source'!Y609&gt;=2,"C",IF('Data Source'!Y609&gt;=1,"D","F")))))),"")</f>
        <v/>
      </c>
      <c r="H609" s="3">
        <f>IF(AND('Data Source'!B609&lt;&gt;"",'Data Source'!S609="F"),IF('Data Source'!Z609&gt;=5,"A+",IF('Data Source'!Z609&gt;=4,"A",IF('Data Source'!Z609&gt;=3.5,"A-",IF('Data Source'!Z609&gt;=3,"B",IF('Data Source'!Z609&gt;=2,"C",IF('Data Source'!Z609&gt;=1,"D","F")))))),"")</f>
        <v/>
      </c>
      <c r="I609" s="3">
        <f>IF(AND('Data Source'!B609&lt;&gt;"",'Data Source'!S609="F"),IF('Data Source'!AA609&gt;=5,"A+",IF('Data Source'!AA609&gt;=4,"A",IF('Data Source'!AA609&gt;=3.5,"A-",IF('Data Source'!AA609&gt;=3,"B",IF('Data Source'!AA609&gt;=2,"C",IF('Data Source'!AA609&gt;=1,"D","F")))))),"")</f>
        <v/>
      </c>
      <c r="J609" s="3">
        <f>IF(AND('Data Source'!B609&lt;&gt;"",'Data Source'!S609="F"),IF('Data Source'!AB609&gt;=5,"A+",IF('Data Source'!AB609&gt;=4,"A",IF('Data Source'!AB609&gt;=3.5,"A-",IF('Data Source'!AB609&gt;=3,"B",IF('Data Source'!AB609&gt;=2,"C",IF('Data Source'!AB609&gt;=1,"D","F")))))),"")</f>
        <v/>
      </c>
      <c r="K609" s="3">
        <f>IF(AND('Data Source'!B609&lt;&gt;"",'Data Source'!S609="F"),IF('Data Source'!AC609&gt;=5,"A+",IF('Data Source'!AC609&gt;=4,"A",IF('Data Source'!AC609&gt;=3.5,"A-",IF('Data Source'!AC609&gt;=3,"B",IF('Data Source'!AC609&gt;=2,"C",IF('Data Source'!AC609&gt;=1,"D","F")))))),"")</f>
        <v/>
      </c>
      <c r="L609" s="3">
        <f>IF(AND('Data Source'!B609&lt;&gt;"",'Data Source'!S609="F"),IF('Data Source'!AD609&gt;=5,"A+",IF('Data Source'!AD609&gt;=4,"A",IF('Data Source'!AD609&gt;=3.5,"A-",IF('Data Source'!AD609&gt;=3,"B",IF('Data Source'!AD609&gt;=2,"C",IF('Data Source'!AD609&gt;=1,"D","F")))))),"")</f>
        <v/>
      </c>
      <c r="M609" s="3">
        <f>IF(AND('Data Source'!B609&lt;&gt;"",'Data Source'!S609="F"),IF('Data Source'!AE609&gt;=5,"A+",IF('Data Source'!AE609&gt;=4,"A",IF('Data Source'!AE609&gt;=3.5,"A-",IF('Data Source'!AE609&gt;=3,"B",IF('Data Source'!AE609&gt;=2,"C",IF('Data Source'!AE609&gt;=1,"D","F")))))),"")</f>
        <v/>
      </c>
      <c r="N609" s="3">
        <f>IF(AND('Data Source'!B609&lt;&gt;"",'Data Source'!S609="F"),IF('Data Source'!AF609&gt;=5,"A+",IF('Data Source'!AF609&gt;=4,"A",IF('Data Source'!AF609&gt;=3.5,"A-",IF('Data Source'!AF609&gt;=3,"B",IF('Data Source'!AF609&gt;=2,"C",IF('Data Source'!AF609&gt;=1,"D","F")))))),"")</f>
        <v/>
      </c>
      <c r="O609" s="3">
        <f>IF(AND('Data Source'!B609&lt;&gt;"",'Data Source'!S609="F"),IF('Data Source'!AG609&gt;=5,"A+",IF('Data Source'!AG609&gt;=4,"A",IF('Data Source'!AG609&gt;=3.5,"A-",IF('Data Source'!AG609&gt;=3,"B",IF('Data Source'!AG609&gt;=2,"C",IF('Data Source'!AG609&gt;=1,"D","F")))))),"")</f>
        <v/>
      </c>
      <c r="P609" s="5">
        <f>IF(AND('Data Source'!B609&lt;&gt;"",'Data Source'!S609="F"),'Data Source'!R609,"")</f>
        <v/>
      </c>
      <c r="Q609" s="3">
        <f>IF(AND('Data Source'!B609&lt;&gt;"",'Data Source'!S609="F"),'Data Source'!S609,"")</f>
        <v/>
      </c>
    </row>
    <row r="610">
      <c r="A610" s="3">
        <f>IF(AND('Data Source'!B610&lt;&gt;"",'Data Source'!S610="F"),COUNTIF('Data Source'!$S$3:S610,"F"),"")</f>
        <v/>
      </c>
      <c r="B610">
        <f>IF(AND('Data Source'!B610&lt;&gt;"",'Data Source'!S610="F"),'Data Source'!B610,"")</f>
        <v/>
      </c>
      <c r="C610" s="3">
        <f>IF(AND('Data Source'!B610&lt;&gt;"",'Data Source'!S610="F"),IF('Data Source'!U610&gt;=5,"A+",IF('Data Source'!U610&gt;=4,"A",IF('Data Source'!U610&gt;=3.5,"A-",IF('Data Source'!U610&gt;=3,"B",IF('Data Source'!U610&gt;=2,"C",IF('Data Source'!U610&gt;=1,"D","F")))))),"")</f>
        <v/>
      </c>
      <c r="D610" s="3">
        <f>IF(AND('Data Source'!B610&lt;&gt;"",'Data Source'!S610="F"),IF('Data Source'!V610&gt;=5,"A+",IF('Data Source'!V610&gt;=4,"A",IF('Data Source'!V610&gt;=3.5,"A-",IF('Data Source'!V610&gt;=3,"B",IF('Data Source'!V610&gt;=2,"C",IF('Data Source'!V610&gt;=1,"D","F")))))),"")</f>
        <v/>
      </c>
      <c r="E610" s="3">
        <f>IF(AND('Data Source'!B610&lt;&gt;"",'Data Source'!S610="F"),IF('Data Source'!W610&gt;=5,"A+",IF('Data Source'!W610&gt;=4,"A",IF('Data Source'!W610&gt;=3.5,"A-",IF('Data Source'!W610&gt;=3,"B",IF('Data Source'!W610&gt;=2,"C",IF('Data Source'!W610&gt;=1,"D","F")))))),"")</f>
        <v/>
      </c>
      <c r="F610" s="3">
        <f>IF(AND('Data Source'!B610&lt;&gt;"",'Data Source'!S610="F"),IF('Data Source'!X610&gt;=5,"A+",IF('Data Source'!X610&gt;=4,"A",IF('Data Source'!X610&gt;=3.5,"A-",IF('Data Source'!X610&gt;=3,"B",IF('Data Source'!X610&gt;=2,"C",IF('Data Source'!X610&gt;=1,"D","F")))))),"")</f>
        <v/>
      </c>
      <c r="G610" s="3">
        <f>IF(AND('Data Source'!B610&lt;&gt;"",'Data Source'!S610="F"),IF('Data Source'!Y610&gt;=5,"A+",IF('Data Source'!Y610&gt;=4,"A",IF('Data Source'!Y610&gt;=3.5,"A-",IF('Data Source'!Y610&gt;=3,"B",IF('Data Source'!Y610&gt;=2,"C",IF('Data Source'!Y610&gt;=1,"D","F")))))),"")</f>
        <v/>
      </c>
      <c r="H610" s="3">
        <f>IF(AND('Data Source'!B610&lt;&gt;"",'Data Source'!S610="F"),IF('Data Source'!Z610&gt;=5,"A+",IF('Data Source'!Z610&gt;=4,"A",IF('Data Source'!Z610&gt;=3.5,"A-",IF('Data Source'!Z610&gt;=3,"B",IF('Data Source'!Z610&gt;=2,"C",IF('Data Source'!Z610&gt;=1,"D","F")))))),"")</f>
        <v/>
      </c>
      <c r="I610" s="3">
        <f>IF(AND('Data Source'!B610&lt;&gt;"",'Data Source'!S610="F"),IF('Data Source'!AA610&gt;=5,"A+",IF('Data Source'!AA610&gt;=4,"A",IF('Data Source'!AA610&gt;=3.5,"A-",IF('Data Source'!AA610&gt;=3,"B",IF('Data Source'!AA610&gt;=2,"C",IF('Data Source'!AA610&gt;=1,"D","F")))))),"")</f>
        <v/>
      </c>
      <c r="J610" s="3">
        <f>IF(AND('Data Source'!B610&lt;&gt;"",'Data Source'!S610="F"),IF('Data Source'!AB610&gt;=5,"A+",IF('Data Source'!AB610&gt;=4,"A",IF('Data Source'!AB610&gt;=3.5,"A-",IF('Data Source'!AB610&gt;=3,"B",IF('Data Source'!AB610&gt;=2,"C",IF('Data Source'!AB610&gt;=1,"D","F")))))),"")</f>
        <v/>
      </c>
      <c r="K610" s="3">
        <f>IF(AND('Data Source'!B610&lt;&gt;"",'Data Source'!S610="F"),IF('Data Source'!AC610&gt;=5,"A+",IF('Data Source'!AC610&gt;=4,"A",IF('Data Source'!AC610&gt;=3.5,"A-",IF('Data Source'!AC610&gt;=3,"B",IF('Data Source'!AC610&gt;=2,"C",IF('Data Source'!AC610&gt;=1,"D","F")))))),"")</f>
        <v/>
      </c>
      <c r="L610" s="3">
        <f>IF(AND('Data Source'!B610&lt;&gt;"",'Data Source'!S610="F"),IF('Data Source'!AD610&gt;=5,"A+",IF('Data Source'!AD610&gt;=4,"A",IF('Data Source'!AD610&gt;=3.5,"A-",IF('Data Source'!AD610&gt;=3,"B",IF('Data Source'!AD610&gt;=2,"C",IF('Data Source'!AD610&gt;=1,"D","F")))))),"")</f>
        <v/>
      </c>
      <c r="M610" s="3">
        <f>IF(AND('Data Source'!B610&lt;&gt;"",'Data Source'!S610="F"),IF('Data Source'!AE610&gt;=5,"A+",IF('Data Source'!AE610&gt;=4,"A",IF('Data Source'!AE610&gt;=3.5,"A-",IF('Data Source'!AE610&gt;=3,"B",IF('Data Source'!AE610&gt;=2,"C",IF('Data Source'!AE610&gt;=1,"D","F")))))),"")</f>
        <v/>
      </c>
      <c r="N610" s="3">
        <f>IF(AND('Data Source'!B610&lt;&gt;"",'Data Source'!S610="F"),IF('Data Source'!AF610&gt;=5,"A+",IF('Data Source'!AF610&gt;=4,"A",IF('Data Source'!AF610&gt;=3.5,"A-",IF('Data Source'!AF610&gt;=3,"B",IF('Data Source'!AF610&gt;=2,"C",IF('Data Source'!AF610&gt;=1,"D","F")))))),"")</f>
        <v/>
      </c>
      <c r="O610" s="3">
        <f>IF(AND('Data Source'!B610&lt;&gt;"",'Data Source'!S610="F"),IF('Data Source'!AG610&gt;=5,"A+",IF('Data Source'!AG610&gt;=4,"A",IF('Data Source'!AG610&gt;=3.5,"A-",IF('Data Source'!AG610&gt;=3,"B",IF('Data Source'!AG610&gt;=2,"C",IF('Data Source'!AG610&gt;=1,"D","F")))))),"")</f>
        <v/>
      </c>
      <c r="P610" s="5">
        <f>IF(AND('Data Source'!B610&lt;&gt;"",'Data Source'!S610="F"),'Data Source'!R610,"")</f>
        <v/>
      </c>
      <c r="Q610" s="3">
        <f>IF(AND('Data Source'!B610&lt;&gt;"",'Data Source'!S610="F"),'Data Source'!S610,"")</f>
        <v/>
      </c>
    </row>
    <row r="611">
      <c r="A611" s="3">
        <f>IF(AND('Data Source'!B611&lt;&gt;"",'Data Source'!S611="F"),COUNTIF('Data Source'!$S$3:S611,"F"),"")</f>
        <v/>
      </c>
      <c r="B611">
        <f>IF(AND('Data Source'!B611&lt;&gt;"",'Data Source'!S611="F"),'Data Source'!B611,"")</f>
        <v/>
      </c>
      <c r="C611" s="3">
        <f>IF(AND('Data Source'!B611&lt;&gt;"",'Data Source'!S611="F"),IF('Data Source'!U611&gt;=5,"A+",IF('Data Source'!U611&gt;=4,"A",IF('Data Source'!U611&gt;=3.5,"A-",IF('Data Source'!U611&gt;=3,"B",IF('Data Source'!U611&gt;=2,"C",IF('Data Source'!U611&gt;=1,"D","F")))))),"")</f>
        <v/>
      </c>
      <c r="D611" s="3">
        <f>IF(AND('Data Source'!B611&lt;&gt;"",'Data Source'!S611="F"),IF('Data Source'!V611&gt;=5,"A+",IF('Data Source'!V611&gt;=4,"A",IF('Data Source'!V611&gt;=3.5,"A-",IF('Data Source'!V611&gt;=3,"B",IF('Data Source'!V611&gt;=2,"C",IF('Data Source'!V611&gt;=1,"D","F")))))),"")</f>
        <v/>
      </c>
      <c r="E611" s="3">
        <f>IF(AND('Data Source'!B611&lt;&gt;"",'Data Source'!S611="F"),IF('Data Source'!W611&gt;=5,"A+",IF('Data Source'!W611&gt;=4,"A",IF('Data Source'!W611&gt;=3.5,"A-",IF('Data Source'!W611&gt;=3,"B",IF('Data Source'!W611&gt;=2,"C",IF('Data Source'!W611&gt;=1,"D","F")))))),"")</f>
        <v/>
      </c>
      <c r="F611" s="3">
        <f>IF(AND('Data Source'!B611&lt;&gt;"",'Data Source'!S611="F"),IF('Data Source'!X611&gt;=5,"A+",IF('Data Source'!X611&gt;=4,"A",IF('Data Source'!X611&gt;=3.5,"A-",IF('Data Source'!X611&gt;=3,"B",IF('Data Source'!X611&gt;=2,"C",IF('Data Source'!X611&gt;=1,"D","F")))))),"")</f>
        <v/>
      </c>
      <c r="G611" s="3">
        <f>IF(AND('Data Source'!B611&lt;&gt;"",'Data Source'!S611="F"),IF('Data Source'!Y611&gt;=5,"A+",IF('Data Source'!Y611&gt;=4,"A",IF('Data Source'!Y611&gt;=3.5,"A-",IF('Data Source'!Y611&gt;=3,"B",IF('Data Source'!Y611&gt;=2,"C",IF('Data Source'!Y611&gt;=1,"D","F")))))),"")</f>
        <v/>
      </c>
      <c r="H611" s="3">
        <f>IF(AND('Data Source'!B611&lt;&gt;"",'Data Source'!S611="F"),IF('Data Source'!Z611&gt;=5,"A+",IF('Data Source'!Z611&gt;=4,"A",IF('Data Source'!Z611&gt;=3.5,"A-",IF('Data Source'!Z611&gt;=3,"B",IF('Data Source'!Z611&gt;=2,"C",IF('Data Source'!Z611&gt;=1,"D","F")))))),"")</f>
        <v/>
      </c>
      <c r="I611" s="3">
        <f>IF(AND('Data Source'!B611&lt;&gt;"",'Data Source'!S611="F"),IF('Data Source'!AA611&gt;=5,"A+",IF('Data Source'!AA611&gt;=4,"A",IF('Data Source'!AA611&gt;=3.5,"A-",IF('Data Source'!AA611&gt;=3,"B",IF('Data Source'!AA611&gt;=2,"C",IF('Data Source'!AA611&gt;=1,"D","F")))))),"")</f>
        <v/>
      </c>
      <c r="J611" s="3">
        <f>IF(AND('Data Source'!B611&lt;&gt;"",'Data Source'!S611="F"),IF('Data Source'!AB611&gt;=5,"A+",IF('Data Source'!AB611&gt;=4,"A",IF('Data Source'!AB611&gt;=3.5,"A-",IF('Data Source'!AB611&gt;=3,"B",IF('Data Source'!AB611&gt;=2,"C",IF('Data Source'!AB611&gt;=1,"D","F")))))),"")</f>
        <v/>
      </c>
      <c r="K611" s="3">
        <f>IF(AND('Data Source'!B611&lt;&gt;"",'Data Source'!S611="F"),IF('Data Source'!AC611&gt;=5,"A+",IF('Data Source'!AC611&gt;=4,"A",IF('Data Source'!AC611&gt;=3.5,"A-",IF('Data Source'!AC611&gt;=3,"B",IF('Data Source'!AC611&gt;=2,"C",IF('Data Source'!AC611&gt;=1,"D","F")))))),"")</f>
        <v/>
      </c>
      <c r="L611" s="3">
        <f>IF(AND('Data Source'!B611&lt;&gt;"",'Data Source'!S611="F"),IF('Data Source'!AD611&gt;=5,"A+",IF('Data Source'!AD611&gt;=4,"A",IF('Data Source'!AD611&gt;=3.5,"A-",IF('Data Source'!AD611&gt;=3,"B",IF('Data Source'!AD611&gt;=2,"C",IF('Data Source'!AD611&gt;=1,"D","F")))))),"")</f>
        <v/>
      </c>
      <c r="M611" s="3">
        <f>IF(AND('Data Source'!B611&lt;&gt;"",'Data Source'!S611="F"),IF('Data Source'!AE611&gt;=5,"A+",IF('Data Source'!AE611&gt;=4,"A",IF('Data Source'!AE611&gt;=3.5,"A-",IF('Data Source'!AE611&gt;=3,"B",IF('Data Source'!AE611&gt;=2,"C",IF('Data Source'!AE611&gt;=1,"D","F")))))),"")</f>
        <v/>
      </c>
      <c r="N611" s="3">
        <f>IF(AND('Data Source'!B611&lt;&gt;"",'Data Source'!S611="F"),IF('Data Source'!AF611&gt;=5,"A+",IF('Data Source'!AF611&gt;=4,"A",IF('Data Source'!AF611&gt;=3.5,"A-",IF('Data Source'!AF611&gt;=3,"B",IF('Data Source'!AF611&gt;=2,"C",IF('Data Source'!AF611&gt;=1,"D","F")))))),"")</f>
        <v/>
      </c>
      <c r="O611" s="3">
        <f>IF(AND('Data Source'!B611&lt;&gt;"",'Data Source'!S611="F"),IF('Data Source'!AG611&gt;=5,"A+",IF('Data Source'!AG611&gt;=4,"A",IF('Data Source'!AG611&gt;=3.5,"A-",IF('Data Source'!AG611&gt;=3,"B",IF('Data Source'!AG611&gt;=2,"C",IF('Data Source'!AG611&gt;=1,"D","F")))))),"")</f>
        <v/>
      </c>
      <c r="P611" s="5">
        <f>IF(AND('Data Source'!B611&lt;&gt;"",'Data Source'!S611="F"),'Data Source'!R611,"")</f>
        <v/>
      </c>
      <c r="Q611" s="3">
        <f>IF(AND('Data Source'!B611&lt;&gt;"",'Data Source'!S611="F"),'Data Source'!S611,"")</f>
        <v/>
      </c>
    </row>
    <row r="612">
      <c r="A612" s="3">
        <f>IF(AND('Data Source'!B612&lt;&gt;"",'Data Source'!S612="F"),COUNTIF('Data Source'!$S$3:S612,"F"),"")</f>
        <v/>
      </c>
      <c r="B612">
        <f>IF(AND('Data Source'!B612&lt;&gt;"",'Data Source'!S612="F"),'Data Source'!B612,"")</f>
        <v/>
      </c>
      <c r="C612" s="3">
        <f>IF(AND('Data Source'!B612&lt;&gt;"",'Data Source'!S612="F"),IF('Data Source'!U612&gt;=5,"A+",IF('Data Source'!U612&gt;=4,"A",IF('Data Source'!U612&gt;=3.5,"A-",IF('Data Source'!U612&gt;=3,"B",IF('Data Source'!U612&gt;=2,"C",IF('Data Source'!U612&gt;=1,"D","F")))))),"")</f>
        <v/>
      </c>
      <c r="D612" s="3">
        <f>IF(AND('Data Source'!B612&lt;&gt;"",'Data Source'!S612="F"),IF('Data Source'!V612&gt;=5,"A+",IF('Data Source'!V612&gt;=4,"A",IF('Data Source'!V612&gt;=3.5,"A-",IF('Data Source'!V612&gt;=3,"B",IF('Data Source'!V612&gt;=2,"C",IF('Data Source'!V612&gt;=1,"D","F")))))),"")</f>
        <v/>
      </c>
      <c r="E612" s="3">
        <f>IF(AND('Data Source'!B612&lt;&gt;"",'Data Source'!S612="F"),IF('Data Source'!W612&gt;=5,"A+",IF('Data Source'!W612&gt;=4,"A",IF('Data Source'!W612&gt;=3.5,"A-",IF('Data Source'!W612&gt;=3,"B",IF('Data Source'!W612&gt;=2,"C",IF('Data Source'!W612&gt;=1,"D","F")))))),"")</f>
        <v/>
      </c>
      <c r="F612" s="3">
        <f>IF(AND('Data Source'!B612&lt;&gt;"",'Data Source'!S612="F"),IF('Data Source'!X612&gt;=5,"A+",IF('Data Source'!X612&gt;=4,"A",IF('Data Source'!X612&gt;=3.5,"A-",IF('Data Source'!X612&gt;=3,"B",IF('Data Source'!X612&gt;=2,"C",IF('Data Source'!X612&gt;=1,"D","F")))))),"")</f>
        <v/>
      </c>
      <c r="G612" s="3">
        <f>IF(AND('Data Source'!B612&lt;&gt;"",'Data Source'!S612="F"),IF('Data Source'!Y612&gt;=5,"A+",IF('Data Source'!Y612&gt;=4,"A",IF('Data Source'!Y612&gt;=3.5,"A-",IF('Data Source'!Y612&gt;=3,"B",IF('Data Source'!Y612&gt;=2,"C",IF('Data Source'!Y612&gt;=1,"D","F")))))),"")</f>
        <v/>
      </c>
      <c r="H612" s="3">
        <f>IF(AND('Data Source'!B612&lt;&gt;"",'Data Source'!S612="F"),IF('Data Source'!Z612&gt;=5,"A+",IF('Data Source'!Z612&gt;=4,"A",IF('Data Source'!Z612&gt;=3.5,"A-",IF('Data Source'!Z612&gt;=3,"B",IF('Data Source'!Z612&gt;=2,"C",IF('Data Source'!Z612&gt;=1,"D","F")))))),"")</f>
        <v/>
      </c>
      <c r="I612" s="3">
        <f>IF(AND('Data Source'!B612&lt;&gt;"",'Data Source'!S612="F"),IF('Data Source'!AA612&gt;=5,"A+",IF('Data Source'!AA612&gt;=4,"A",IF('Data Source'!AA612&gt;=3.5,"A-",IF('Data Source'!AA612&gt;=3,"B",IF('Data Source'!AA612&gt;=2,"C",IF('Data Source'!AA612&gt;=1,"D","F")))))),"")</f>
        <v/>
      </c>
      <c r="J612" s="3">
        <f>IF(AND('Data Source'!B612&lt;&gt;"",'Data Source'!S612="F"),IF('Data Source'!AB612&gt;=5,"A+",IF('Data Source'!AB612&gt;=4,"A",IF('Data Source'!AB612&gt;=3.5,"A-",IF('Data Source'!AB612&gt;=3,"B",IF('Data Source'!AB612&gt;=2,"C",IF('Data Source'!AB612&gt;=1,"D","F")))))),"")</f>
        <v/>
      </c>
      <c r="K612" s="3">
        <f>IF(AND('Data Source'!B612&lt;&gt;"",'Data Source'!S612="F"),IF('Data Source'!AC612&gt;=5,"A+",IF('Data Source'!AC612&gt;=4,"A",IF('Data Source'!AC612&gt;=3.5,"A-",IF('Data Source'!AC612&gt;=3,"B",IF('Data Source'!AC612&gt;=2,"C",IF('Data Source'!AC612&gt;=1,"D","F")))))),"")</f>
        <v/>
      </c>
      <c r="L612" s="3">
        <f>IF(AND('Data Source'!B612&lt;&gt;"",'Data Source'!S612="F"),IF('Data Source'!AD612&gt;=5,"A+",IF('Data Source'!AD612&gt;=4,"A",IF('Data Source'!AD612&gt;=3.5,"A-",IF('Data Source'!AD612&gt;=3,"B",IF('Data Source'!AD612&gt;=2,"C",IF('Data Source'!AD612&gt;=1,"D","F")))))),"")</f>
        <v/>
      </c>
      <c r="M612" s="3">
        <f>IF(AND('Data Source'!B612&lt;&gt;"",'Data Source'!S612="F"),IF('Data Source'!AE612&gt;=5,"A+",IF('Data Source'!AE612&gt;=4,"A",IF('Data Source'!AE612&gt;=3.5,"A-",IF('Data Source'!AE612&gt;=3,"B",IF('Data Source'!AE612&gt;=2,"C",IF('Data Source'!AE612&gt;=1,"D","F")))))),"")</f>
        <v/>
      </c>
      <c r="N612" s="3">
        <f>IF(AND('Data Source'!B612&lt;&gt;"",'Data Source'!S612="F"),IF('Data Source'!AF612&gt;=5,"A+",IF('Data Source'!AF612&gt;=4,"A",IF('Data Source'!AF612&gt;=3.5,"A-",IF('Data Source'!AF612&gt;=3,"B",IF('Data Source'!AF612&gt;=2,"C",IF('Data Source'!AF612&gt;=1,"D","F")))))),"")</f>
        <v/>
      </c>
      <c r="O612" s="3">
        <f>IF(AND('Data Source'!B612&lt;&gt;"",'Data Source'!S612="F"),IF('Data Source'!AG612&gt;=5,"A+",IF('Data Source'!AG612&gt;=4,"A",IF('Data Source'!AG612&gt;=3.5,"A-",IF('Data Source'!AG612&gt;=3,"B",IF('Data Source'!AG612&gt;=2,"C",IF('Data Source'!AG612&gt;=1,"D","F")))))),"")</f>
        <v/>
      </c>
      <c r="P612" s="5">
        <f>IF(AND('Data Source'!B612&lt;&gt;"",'Data Source'!S612="F"),'Data Source'!R612,"")</f>
        <v/>
      </c>
      <c r="Q612" s="3">
        <f>IF(AND('Data Source'!B612&lt;&gt;"",'Data Source'!S612="F"),'Data Source'!S612,"")</f>
        <v/>
      </c>
    </row>
    <row r="613">
      <c r="A613" s="3">
        <f>IF(AND('Data Source'!B613&lt;&gt;"",'Data Source'!S613="F"),COUNTIF('Data Source'!$S$3:S613,"F"),"")</f>
        <v/>
      </c>
      <c r="B613">
        <f>IF(AND('Data Source'!B613&lt;&gt;"",'Data Source'!S613="F"),'Data Source'!B613,"")</f>
        <v/>
      </c>
      <c r="C613" s="3">
        <f>IF(AND('Data Source'!B613&lt;&gt;"",'Data Source'!S613="F"),IF('Data Source'!U613&gt;=5,"A+",IF('Data Source'!U613&gt;=4,"A",IF('Data Source'!U613&gt;=3.5,"A-",IF('Data Source'!U613&gt;=3,"B",IF('Data Source'!U613&gt;=2,"C",IF('Data Source'!U613&gt;=1,"D","F")))))),"")</f>
        <v/>
      </c>
      <c r="D613" s="3">
        <f>IF(AND('Data Source'!B613&lt;&gt;"",'Data Source'!S613="F"),IF('Data Source'!V613&gt;=5,"A+",IF('Data Source'!V613&gt;=4,"A",IF('Data Source'!V613&gt;=3.5,"A-",IF('Data Source'!V613&gt;=3,"B",IF('Data Source'!V613&gt;=2,"C",IF('Data Source'!V613&gt;=1,"D","F")))))),"")</f>
        <v/>
      </c>
      <c r="E613" s="3">
        <f>IF(AND('Data Source'!B613&lt;&gt;"",'Data Source'!S613="F"),IF('Data Source'!W613&gt;=5,"A+",IF('Data Source'!W613&gt;=4,"A",IF('Data Source'!W613&gt;=3.5,"A-",IF('Data Source'!W613&gt;=3,"B",IF('Data Source'!W613&gt;=2,"C",IF('Data Source'!W613&gt;=1,"D","F")))))),"")</f>
        <v/>
      </c>
      <c r="F613" s="3">
        <f>IF(AND('Data Source'!B613&lt;&gt;"",'Data Source'!S613="F"),IF('Data Source'!X613&gt;=5,"A+",IF('Data Source'!X613&gt;=4,"A",IF('Data Source'!X613&gt;=3.5,"A-",IF('Data Source'!X613&gt;=3,"B",IF('Data Source'!X613&gt;=2,"C",IF('Data Source'!X613&gt;=1,"D","F")))))),"")</f>
        <v/>
      </c>
      <c r="G613" s="3">
        <f>IF(AND('Data Source'!B613&lt;&gt;"",'Data Source'!S613="F"),IF('Data Source'!Y613&gt;=5,"A+",IF('Data Source'!Y613&gt;=4,"A",IF('Data Source'!Y613&gt;=3.5,"A-",IF('Data Source'!Y613&gt;=3,"B",IF('Data Source'!Y613&gt;=2,"C",IF('Data Source'!Y613&gt;=1,"D","F")))))),"")</f>
        <v/>
      </c>
      <c r="H613" s="3">
        <f>IF(AND('Data Source'!B613&lt;&gt;"",'Data Source'!S613="F"),IF('Data Source'!Z613&gt;=5,"A+",IF('Data Source'!Z613&gt;=4,"A",IF('Data Source'!Z613&gt;=3.5,"A-",IF('Data Source'!Z613&gt;=3,"B",IF('Data Source'!Z613&gt;=2,"C",IF('Data Source'!Z613&gt;=1,"D","F")))))),"")</f>
        <v/>
      </c>
      <c r="I613" s="3">
        <f>IF(AND('Data Source'!B613&lt;&gt;"",'Data Source'!S613="F"),IF('Data Source'!AA613&gt;=5,"A+",IF('Data Source'!AA613&gt;=4,"A",IF('Data Source'!AA613&gt;=3.5,"A-",IF('Data Source'!AA613&gt;=3,"B",IF('Data Source'!AA613&gt;=2,"C",IF('Data Source'!AA613&gt;=1,"D","F")))))),"")</f>
        <v/>
      </c>
      <c r="J613" s="3">
        <f>IF(AND('Data Source'!B613&lt;&gt;"",'Data Source'!S613="F"),IF('Data Source'!AB613&gt;=5,"A+",IF('Data Source'!AB613&gt;=4,"A",IF('Data Source'!AB613&gt;=3.5,"A-",IF('Data Source'!AB613&gt;=3,"B",IF('Data Source'!AB613&gt;=2,"C",IF('Data Source'!AB613&gt;=1,"D","F")))))),"")</f>
        <v/>
      </c>
      <c r="K613" s="3">
        <f>IF(AND('Data Source'!B613&lt;&gt;"",'Data Source'!S613="F"),IF('Data Source'!AC613&gt;=5,"A+",IF('Data Source'!AC613&gt;=4,"A",IF('Data Source'!AC613&gt;=3.5,"A-",IF('Data Source'!AC613&gt;=3,"B",IF('Data Source'!AC613&gt;=2,"C",IF('Data Source'!AC613&gt;=1,"D","F")))))),"")</f>
        <v/>
      </c>
      <c r="L613" s="3">
        <f>IF(AND('Data Source'!B613&lt;&gt;"",'Data Source'!S613="F"),IF('Data Source'!AD613&gt;=5,"A+",IF('Data Source'!AD613&gt;=4,"A",IF('Data Source'!AD613&gt;=3.5,"A-",IF('Data Source'!AD613&gt;=3,"B",IF('Data Source'!AD613&gt;=2,"C",IF('Data Source'!AD613&gt;=1,"D","F")))))),"")</f>
        <v/>
      </c>
      <c r="M613" s="3">
        <f>IF(AND('Data Source'!B613&lt;&gt;"",'Data Source'!S613="F"),IF('Data Source'!AE613&gt;=5,"A+",IF('Data Source'!AE613&gt;=4,"A",IF('Data Source'!AE613&gt;=3.5,"A-",IF('Data Source'!AE613&gt;=3,"B",IF('Data Source'!AE613&gt;=2,"C",IF('Data Source'!AE613&gt;=1,"D","F")))))),"")</f>
        <v/>
      </c>
      <c r="N613" s="3">
        <f>IF(AND('Data Source'!B613&lt;&gt;"",'Data Source'!S613="F"),IF('Data Source'!AF613&gt;=5,"A+",IF('Data Source'!AF613&gt;=4,"A",IF('Data Source'!AF613&gt;=3.5,"A-",IF('Data Source'!AF613&gt;=3,"B",IF('Data Source'!AF613&gt;=2,"C",IF('Data Source'!AF613&gt;=1,"D","F")))))),"")</f>
        <v/>
      </c>
      <c r="O613" s="3">
        <f>IF(AND('Data Source'!B613&lt;&gt;"",'Data Source'!S613="F"),IF('Data Source'!AG613&gt;=5,"A+",IF('Data Source'!AG613&gt;=4,"A",IF('Data Source'!AG613&gt;=3.5,"A-",IF('Data Source'!AG613&gt;=3,"B",IF('Data Source'!AG613&gt;=2,"C",IF('Data Source'!AG613&gt;=1,"D","F")))))),"")</f>
        <v/>
      </c>
      <c r="P613" s="5">
        <f>IF(AND('Data Source'!B613&lt;&gt;"",'Data Source'!S613="F"),'Data Source'!R613,"")</f>
        <v/>
      </c>
      <c r="Q613" s="3">
        <f>IF(AND('Data Source'!B613&lt;&gt;"",'Data Source'!S613="F"),'Data Source'!S613,"")</f>
        <v/>
      </c>
    </row>
    <row r="614">
      <c r="A614" s="3">
        <f>IF(AND('Data Source'!B614&lt;&gt;"",'Data Source'!S614="F"),COUNTIF('Data Source'!$S$3:S614,"F"),"")</f>
        <v/>
      </c>
      <c r="B614">
        <f>IF(AND('Data Source'!B614&lt;&gt;"",'Data Source'!S614="F"),'Data Source'!B614,"")</f>
        <v/>
      </c>
      <c r="C614" s="3">
        <f>IF(AND('Data Source'!B614&lt;&gt;"",'Data Source'!S614="F"),IF('Data Source'!U614&gt;=5,"A+",IF('Data Source'!U614&gt;=4,"A",IF('Data Source'!U614&gt;=3.5,"A-",IF('Data Source'!U614&gt;=3,"B",IF('Data Source'!U614&gt;=2,"C",IF('Data Source'!U614&gt;=1,"D","F")))))),"")</f>
        <v/>
      </c>
      <c r="D614" s="3">
        <f>IF(AND('Data Source'!B614&lt;&gt;"",'Data Source'!S614="F"),IF('Data Source'!V614&gt;=5,"A+",IF('Data Source'!V614&gt;=4,"A",IF('Data Source'!V614&gt;=3.5,"A-",IF('Data Source'!V614&gt;=3,"B",IF('Data Source'!V614&gt;=2,"C",IF('Data Source'!V614&gt;=1,"D","F")))))),"")</f>
        <v/>
      </c>
      <c r="E614" s="3">
        <f>IF(AND('Data Source'!B614&lt;&gt;"",'Data Source'!S614="F"),IF('Data Source'!W614&gt;=5,"A+",IF('Data Source'!W614&gt;=4,"A",IF('Data Source'!W614&gt;=3.5,"A-",IF('Data Source'!W614&gt;=3,"B",IF('Data Source'!W614&gt;=2,"C",IF('Data Source'!W614&gt;=1,"D","F")))))),"")</f>
        <v/>
      </c>
      <c r="F614" s="3">
        <f>IF(AND('Data Source'!B614&lt;&gt;"",'Data Source'!S614="F"),IF('Data Source'!X614&gt;=5,"A+",IF('Data Source'!X614&gt;=4,"A",IF('Data Source'!X614&gt;=3.5,"A-",IF('Data Source'!X614&gt;=3,"B",IF('Data Source'!X614&gt;=2,"C",IF('Data Source'!X614&gt;=1,"D","F")))))),"")</f>
        <v/>
      </c>
      <c r="G614" s="3">
        <f>IF(AND('Data Source'!B614&lt;&gt;"",'Data Source'!S614="F"),IF('Data Source'!Y614&gt;=5,"A+",IF('Data Source'!Y614&gt;=4,"A",IF('Data Source'!Y614&gt;=3.5,"A-",IF('Data Source'!Y614&gt;=3,"B",IF('Data Source'!Y614&gt;=2,"C",IF('Data Source'!Y614&gt;=1,"D","F")))))),"")</f>
        <v/>
      </c>
      <c r="H614" s="3">
        <f>IF(AND('Data Source'!B614&lt;&gt;"",'Data Source'!S614="F"),IF('Data Source'!Z614&gt;=5,"A+",IF('Data Source'!Z614&gt;=4,"A",IF('Data Source'!Z614&gt;=3.5,"A-",IF('Data Source'!Z614&gt;=3,"B",IF('Data Source'!Z614&gt;=2,"C",IF('Data Source'!Z614&gt;=1,"D","F")))))),"")</f>
        <v/>
      </c>
      <c r="I614" s="3">
        <f>IF(AND('Data Source'!B614&lt;&gt;"",'Data Source'!S614="F"),IF('Data Source'!AA614&gt;=5,"A+",IF('Data Source'!AA614&gt;=4,"A",IF('Data Source'!AA614&gt;=3.5,"A-",IF('Data Source'!AA614&gt;=3,"B",IF('Data Source'!AA614&gt;=2,"C",IF('Data Source'!AA614&gt;=1,"D","F")))))),"")</f>
        <v/>
      </c>
      <c r="J614" s="3">
        <f>IF(AND('Data Source'!B614&lt;&gt;"",'Data Source'!S614="F"),IF('Data Source'!AB614&gt;=5,"A+",IF('Data Source'!AB614&gt;=4,"A",IF('Data Source'!AB614&gt;=3.5,"A-",IF('Data Source'!AB614&gt;=3,"B",IF('Data Source'!AB614&gt;=2,"C",IF('Data Source'!AB614&gt;=1,"D","F")))))),"")</f>
        <v/>
      </c>
      <c r="K614" s="3">
        <f>IF(AND('Data Source'!B614&lt;&gt;"",'Data Source'!S614="F"),IF('Data Source'!AC614&gt;=5,"A+",IF('Data Source'!AC614&gt;=4,"A",IF('Data Source'!AC614&gt;=3.5,"A-",IF('Data Source'!AC614&gt;=3,"B",IF('Data Source'!AC614&gt;=2,"C",IF('Data Source'!AC614&gt;=1,"D","F")))))),"")</f>
        <v/>
      </c>
      <c r="L614" s="3">
        <f>IF(AND('Data Source'!B614&lt;&gt;"",'Data Source'!S614="F"),IF('Data Source'!AD614&gt;=5,"A+",IF('Data Source'!AD614&gt;=4,"A",IF('Data Source'!AD614&gt;=3.5,"A-",IF('Data Source'!AD614&gt;=3,"B",IF('Data Source'!AD614&gt;=2,"C",IF('Data Source'!AD614&gt;=1,"D","F")))))),"")</f>
        <v/>
      </c>
      <c r="M614" s="3">
        <f>IF(AND('Data Source'!B614&lt;&gt;"",'Data Source'!S614="F"),IF('Data Source'!AE614&gt;=5,"A+",IF('Data Source'!AE614&gt;=4,"A",IF('Data Source'!AE614&gt;=3.5,"A-",IF('Data Source'!AE614&gt;=3,"B",IF('Data Source'!AE614&gt;=2,"C",IF('Data Source'!AE614&gt;=1,"D","F")))))),"")</f>
        <v/>
      </c>
      <c r="N614" s="3">
        <f>IF(AND('Data Source'!B614&lt;&gt;"",'Data Source'!S614="F"),IF('Data Source'!AF614&gt;=5,"A+",IF('Data Source'!AF614&gt;=4,"A",IF('Data Source'!AF614&gt;=3.5,"A-",IF('Data Source'!AF614&gt;=3,"B",IF('Data Source'!AF614&gt;=2,"C",IF('Data Source'!AF614&gt;=1,"D","F")))))),"")</f>
        <v/>
      </c>
      <c r="O614" s="3">
        <f>IF(AND('Data Source'!B614&lt;&gt;"",'Data Source'!S614="F"),IF('Data Source'!AG614&gt;=5,"A+",IF('Data Source'!AG614&gt;=4,"A",IF('Data Source'!AG614&gt;=3.5,"A-",IF('Data Source'!AG614&gt;=3,"B",IF('Data Source'!AG614&gt;=2,"C",IF('Data Source'!AG614&gt;=1,"D","F")))))),"")</f>
        <v/>
      </c>
      <c r="P614" s="5">
        <f>IF(AND('Data Source'!B614&lt;&gt;"",'Data Source'!S614="F"),'Data Source'!R614,"")</f>
        <v/>
      </c>
      <c r="Q614" s="3">
        <f>IF(AND('Data Source'!B614&lt;&gt;"",'Data Source'!S614="F"),'Data Source'!S614,"")</f>
        <v/>
      </c>
    </row>
    <row r="615">
      <c r="A615" s="3">
        <f>IF(AND('Data Source'!B615&lt;&gt;"",'Data Source'!S615="F"),COUNTIF('Data Source'!$S$3:S615,"F"),"")</f>
        <v/>
      </c>
      <c r="B615">
        <f>IF(AND('Data Source'!B615&lt;&gt;"",'Data Source'!S615="F"),'Data Source'!B615,"")</f>
        <v/>
      </c>
      <c r="C615" s="3">
        <f>IF(AND('Data Source'!B615&lt;&gt;"",'Data Source'!S615="F"),IF('Data Source'!U615&gt;=5,"A+",IF('Data Source'!U615&gt;=4,"A",IF('Data Source'!U615&gt;=3.5,"A-",IF('Data Source'!U615&gt;=3,"B",IF('Data Source'!U615&gt;=2,"C",IF('Data Source'!U615&gt;=1,"D","F")))))),"")</f>
        <v/>
      </c>
      <c r="D615" s="3">
        <f>IF(AND('Data Source'!B615&lt;&gt;"",'Data Source'!S615="F"),IF('Data Source'!V615&gt;=5,"A+",IF('Data Source'!V615&gt;=4,"A",IF('Data Source'!V615&gt;=3.5,"A-",IF('Data Source'!V615&gt;=3,"B",IF('Data Source'!V615&gt;=2,"C",IF('Data Source'!V615&gt;=1,"D","F")))))),"")</f>
        <v/>
      </c>
      <c r="E615" s="3">
        <f>IF(AND('Data Source'!B615&lt;&gt;"",'Data Source'!S615="F"),IF('Data Source'!W615&gt;=5,"A+",IF('Data Source'!W615&gt;=4,"A",IF('Data Source'!W615&gt;=3.5,"A-",IF('Data Source'!W615&gt;=3,"B",IF('Data Source'!W615&gt;=2,"C",IF('Data Source'!W615&gt;=1,"D","F")))))),"")</f>
        <v/>
      </c>
      <c r="F615" s="3">
        <f>IF(AND('Data Source'!B615&lt;&gt;"",'Data Source'!S615="F"),IF('Data Source'!X615&gt;=5,"A+",IF('Data Source'!X615&gt;=4,"A",IF('Data Source'!X615&gt;=3.5,"A-",IF('Data Source'!X615&gt;=3,"B",IF('Data Source'!X615&gt;=2,"C",IF('Data Source'!X615&gt;=1,"D","F")))))),"")</f>
        <v/>
      </c>
      <c r="G615" s="3">
        <f>IF(AND('Data Source'!B615&lt;&gt;"",'Data Source'!S615="F"),IF('Data Source'!Y615&gt;=5,"A+",IF('Data Source'!Y615&gt;=4,"A",IF('Data Source'!Y615&gt;=3.5,"A-",IF('Data Source'!Y615&gt;=3,"B",IF('Data Source'!Y615&gt;=2,"C",IF('Data Source'!Y615&gt;=1,"D","F")))))),"")</f>
        <v/>
      </c>
      <c r="H615" s="3">
        <f>IF(AND('Data Source'!B615&lt;&gt;"",'Data Source'!S615="F"),IF('Data Source'!Z615&gt;=5,"A+",IF('Data Source'!Z615&gt;=4,"A",IF('Data Source'!Z615&gt;=3.5,"A-",IF('Data Source'!Z615&gt;=3,"B",IF('Data Source'!Z615&gt;=2,"C",IF('Data Source'!Z615&gt;=1,"D","F")))))),"")</f>
        <v/>
      </c>
      <c r="I615" s="3">
        <f>IF(AND('Data Source'!B615&lt;&gt;"",'Data Source'!S615="F"),IF('Data Source'!AA615&gt;=5,"A+",IF('Data Source'!AA615&gt;=4,"A",IF('Data Source'!AA615&gt;=3.5,"A-",IF('Data Source'!AA615&gt;=3,"B",IF('Data Source'!AA615&gt;=2,"C",IF('Data Source'!AA615&gt;=1,"D","F")))))),"")</f>
        <v/>
      </c>
      <c r="J615" s="3">
        <f>IF(AND('Data Source'!B615&lt;&gt;"",'Data Source'!S615="F"),IF('Data Source'!AB615&gt;=5,"A+",IF('Data Source'!AB615&gt;=4,"A",IF('Data Source'!AB615&gt;=3.5,"A-",IF('Data Source'!AB615&gt;=3,"B",IF('Data Source'!AB615&gt;=2,"C",IF('Data Source'!AB615&gt;=1,"D","F")))))),"")</f>
        <v/>
      </c>
      <c r="K615" s="3">
        <f>IF(AND('Data Source'!B615&lt;&gt;"",'Data Source'!S615="F"),IF('Data Source'!AC615&gt;=5,"A+",IF('Data Source'!AC615&gt;=4,"A",IF('Data Source'!AC615&gt;=3.5,"A-",IF('Data Source'!AC615&gt;=3,"B",IF('Data Source'!AC615&gt;=2,"C",IF('Data Source'!AC615&gt;=1,"D","F")))))),"")</f>
        <v/>
      </c>
      <c r="L615" s="3">
        <f>IF(AND('Data Source'!B615&lt;&gt;"",'Data Source'!S615="F"),IF('Data Source'!AD615&gt;=5,"A+",IF('Data Source'!AD615&gt;=4,"A",IF('Data Source'!AD615&gt;=3.5,"A-",IF('Data Source'!AD615&gt;=3,"B",IF('Data Source'!AD615&gt;=2,"C",IF('Data Source'!AD615&gt;=1,"D","F")))))),"")</f>
        <v/>
      </c>
      <c r="M615" s="3">
        <f>IF(AND('Data Source'!B615&lt;&gt;"",'Data Source'!S615="F"),IF('Data Source'!AE615&gt;=5,"A+",IF('Data Source'!AE615&gt;=4,"A",IF('Data Source'!AE615&gt;=3.5,"A-",IF('Data Source'!AE615&gt;=3,"B",IF('Data Source'!AE615&gt;=2,"C",IF('Data Source'!AE615&gt;=1,"D","F")))))),"")</f>
        <v/>
      </c>
      <c r="N615" s="3">
        <f>IF(AND('Data Source'!B615&lt;&gt;"",'Data Source'!S615="F"),IF('Data Source'!AF615&gt;=5,"A+",IF('Data Source'!AF615&gt;=4,"A",IF('Data Source'!AF615&gt;=3.5,"A-",IF('Data Source'!AF615&gt;=3,"B",IF('Data Source'!AF615&gt;=2,"C",IF('Data Source'!AF615&gt;=1,"D","F")))))),"")</f>
        <v/>
      </c>
      <c r="O615" s="3">
        <f>IF(AND('Data Source'!B615&lt;&gt;"",'Data Source'!S615="F"),IF('Data Source'!AG615&gt;=5,"A+",IF('Data Source'!AG615&gt;=4,"A",IF('Data Source'!AG615&gt;=3.5,"A-",IF('Data Source'!AG615&gt;=3,"B",IF('Data Source'!AG615&gt;=2,"C",IF('Data Source'!AG615&gt;=1,"D","F")))))),"")</f>
        <v/>
      </c>
      <c r="P615" s="5">
        <f>IF(AND('Data Source'!B615&lt;&gt;"",'Data Source'!S615="F"),'Data Source'!R615,"")</f>
        <v/>
      </c>
      <c r="Q615" s="3">
        <f>IF(AND('Data Source'!B615&lt;&gt;"",'Data Source'!S615="F"),'Data Source'!S615,"")</f>
        <v/>
      </c>
    </row>
    <row r="616">
      <c r="A616" s="3">
        <f>IF(AND('Data Source'!B616&lt;&gt;"",'Data Source'!S616="F"),COUNTIF('Data Source'!$S$3:S616,"F"),"")</f>
        <v/>
      </c>
      <c r="B616">
        <f>IF(AND('Data Source'!B616&lt;&gt;"",'Data Source'!S616="F"),'Data Source'!B616,"")</f>
        <v/>
      </c>
      <c r="C616" s="3">
        <f>IF(AND('Data Source'!B616&lt;&gt;"",'Data Source'!S616="F"),IF('Data Source'!U616&gt;=5,"A+",IF('Data Source'!U616&gt;=4,"A",IF('Data Source'!U616&gt;=3.5,"A-",IF('Data Source'!U616&gt;=3,"B",IF('Data Source'!U616&gt;=2,"C",IF('Data Source'!U616&gt;=1,"D","F")))))),"")</f>
        <v/>
      </c>
      <c r="D616" s="3">
        <f>IF(AND('Data Source'!B616&lt;&gt;"",'Data Source'!S616="F"),IF('Data Source'!V616&gt;=5,"A+",IF('Data Source'!V616&gt;=4,"A",IF('Data Source'!V616&gt;=3.5,"A-",IF('Data Source'!V616&gt;=3,"B",IF('Data Source'!V616&gt;=2,"C",IF('Data Source'!V616&gt;=1,"D","F")))))),"")</f>
        <v/>
      </c>
      <c r="E616" s="3">
        <f>IF(AND('Data Source'!B616&lt;&gt;"",'Data Source'!S616="F"),IF('Data Source'!W616&gt;=5,"A+",IF('Data Source'!W616&gt;=4,"A",IF('Data Source'!W616&gt;=3.5,"A-",IF('Data Source'!W616&gt;=3,"B",IF('Data Source'!W616&gt;=2,"C",IF('Data Source'!W616&gt;=1,"D","F")))))),"")</f>
        <v/>
      </c>
      <c r="F616" s="3">
        <f>IF(AND('Data Source'!B616&lt;&gt;"",'Data Source'!S616="F"),IF('Data Source'!X616&gt;=5,"A+",IF('Data Source'!X616&gt;=4,"A",IF('Data Source'!X616&gt;=3.5,"A-",IF('Data Source'!X616&gt;=3,"B",IF('Data Source'!X616&gt;=2,"C",IF('Data Source'!X616&gt;=1,"D","F")))))),"")</f>
        <v/>
      </c>
      <c r="G616" s="3">
        <f>IF(AND('Data Source'!B616&lt;&gt;"",'Data Source'!S616="F"),IF('Data Source'!Y616&gt;=5,"A+",IF('Data Source'!Y616&gt;=4,"A",IF('Data Source'!Y616&gt;=3.5,"A-",IF('Data Source'!Y616&gt;=3,"B",IF('Data Source'!Y616&gt;=2,"C",IF('Data Source'!Y616&gt;=1,"D","F")))))),"")</f>
        <v/>
      </c>
      <c r="H616" s="3">
        <f>IF(AND('Data Source'!B616&lt;&gt;"",'Data Source'!S616="F"),IF('Data Source'!Z616&gt;=5,"A+",IF('Data Source'!Z616&gt;=4,"A",IF('Data Source'!Z616&gt;=3.5,"A-",IF('Data Source'!Z616&gt;=3,"B",IF('Data Source'!Z616&gt;=2,"C",IF('Data Source'!Z616&gt;=1,"D","F")))))),"")</f>
        <v/>
      </c>
      <c r="I616" s="3">
        <f>IF(AND('Data Source'!B616&lt;&gt;"",'Data Source'!S616="F"),IF('Data Source'!AA616&gt;=5,"A+",IF('Data Source'!AA616&gt;=4,"A",IF('Data Source'!AA616&gt;=3.5,"A-",IF('Data Source'!AA616&gt;=3,"B",IF('Data Source'!AA616&gt;=2,"C",IF('Data Source'!AA616&gt;=1,"D","F")))))),"")</f>
        <v/>
      </c>
      <c r="J616" s="3">
        <f>IF(AND('Data Source'!B616&lt;&gt;"",'Data Source'!S616="F"),IF('Data Source'!AB616&gt;=5,"A+",IF('Data Source'!AB616&gt;=4,"A",IF('Data Source'!AB616&gt;=3.5,"A-",IF('Data Source'!AB616&gt;=3,"B",IF('Data Source'!AB616&gt;=2,"C",IF('Data Source'!AB616&gt;=1,"D","F")))))),"")</f>
        <v/>
      </c>
      <c r="K616" s="3">
        <f>IF(AND('Data Source'!B616&lt;&gt;"",'Data Source'!S616="F"),IF('Data Source'!AC616&gt;=5,"A+",IF('Data Source'!AC616&gt;=4,"A",IF('Data Source'!AC616&gt;=3.5,"A-",IF('Data Source'!AC616&gt;=3,"B",IF('Data Source'!AC616&gt;=2,"C",IF('Data Source'!AC616&gt;=1,"D","F")))))),"")</f>
        <v/>
      </c>
      <c r="L616" s="3">
        <f>IF(AND('Data Source'!B616&lt;&gt;"",'Data Source'!S616="F"),IF('Data Source'!AD616&gt;=5,"A+",IF('Data Source'!AD616&gt;=4,"A",IF('Data Source'!AD616&gt;=3.5,"A-",IF('Data Source'!AD616&gt;=3,"B",IF('Data Source'!AD616&gt;=2,"C",IF('Data Source'!AD616&gt;=1,"D","F")))))),"")</f>
        <v/>
      </c>
      <c r="M616" s="3">
        <f>IF(AND('Data Source'!B616&lt;&gt;"",'Data Source'!S616="F"),IF('Data Source'!AE616&gt;=5,"A+",IF('Data Source'!AE616&gt;=4,"A",IF('Data Source'!AE616&gt;=3.5,"A-",IF('Data Source'!AE616&gt;=3,"B",IF('Data Source'!AE616&gt;=2,"C",IF('Data Source'!AE616&gt;=1,"D","F")))))),"")</f>
        <v/>
      </c>
      <c r="N616" s="3">
        <f>IF(AND('Data Source'!B616&lt;&gt;"",'Data Source'!S616="F"),IF('Data Source'!AF616&gt;=5,"A+",IF('Data Source'!AF616&gt;=4,"A",IF('Data Source'!AF616&gt;=3.5,"A-",IF('Data Source'!AF616&gt;=3,"B",IF('Data Source'!AF616&gt;=2,"C",IF('Data Source'!AF616&gt;=1,"D","F")))))),"")</f>
        <v/>
      </c>
      <c r="O616" s="3">
        <f>IF(AND('Data Source'!B616&lt;&gt;"",'Data Source'!S616="F"),IF('Data Source'!AG616&gt;=5,"A+",IF('Data Source'!AG616&gt;=4,"A",IF('Data Source'!AG616&gt;=3.5,"A-",IF('Data Source'!AG616&gt;=3,"B",IF('Data Source'!AG616&gt;=2,"C",IF('Data Source'!AG616&gt;=1,"D","F")))))),"")</f>
        <v/>
      </c>
      <c r="P616" s="5">
        <f>IF(AND('Data Source'!B616&lt;&gt;"",'Data Source'!S616="F"),'Data Source'!R616,"")</f>
        <v/>
      </c>
      <c r="Q616" s="3">
        <f>IF(AND('Data Source'!B616&lt;&gt;"",'Data Source'!S616="F"),'Data Source'!S616,"")</f>
        <v/>
      </c>
    </row>
    <row r="617">
      <c r="A617" s="3">
        <f>IF(AND('Data Source'!B617&lt;&gt;"",'Data Source'!S617="F"),COUNTIF('Data Source'!$S$3:S617,"F"),"")</f>
        <v/>
      </c>
      <c r="B617">
        <f>IF(AND('Data Source'!B617&lt;&gt;"",'Data Source'!S617="F"),'Data Source'!B617,"")</f>
        <v/>
      </c>
      <c r="C617" s="3">
        <f>IF(AND('Data Source'!B617&lt;&gt;"",'Data Source'!S617="F"),IF('Data Source'!U617&gt;=5,"A+",IF('Data Source'!U617&gt;=4,"A",IF('Data Source'!U617&gt;=3.5,"A-",IF('Data Source'!U617&gt;=3,"B",IF('Data Source'!U617&gt;=2,"C",IF('Data Source'!U617&gt;=1,"D","F")))))),"")</f>
        <v/>
      </c>
      <c r="D617" s="3">
        <f>IF(AND('Data Source'!B617&lt;&gt;"",'Data Source'!S617="F"),IF('Data Source'!V617&gt;=5,"A+",IF('Data Source'!V617&gt;=4,"A",IF('Data Source'!V617&gt;=3.5,"A-",IF('Data Source'!V617&gt;=3,"B",IF('Data Source'!V617&gt;=2,"C",IF('Data Source'!V617&gt;=1,"D","F")))))),"")</f>
        <v/>
      </c>
      <c r="E617" s="3">
        <f>IF(AND('Data Source'!B617&lt;&gt;"",'Data Source'!S617="F"),IF('Data Source'!W617&gt;=5,"A+",IF('Data Source'!W617&gt;=4,"A",IF('Data Source'!W617&gt;=3.5,"A-",IF('Data Source'!W617&gt;=3,"B",IF('Data Source'!W617&gt;=2,"C",IF('Data Source'!W617&gt;=1,"D","F")))))),"")</f>
        <v/>
      </c>
      <c r="F617" s="3">
        <f>IF(AND('Data Source'!B617&lt;&gt;"",'Data Source'!S617="F"),IF('Data Source'!X617&gt;=5,"A+",IF('Data Source'!X617&gt;=4,"A",IF('Data Source'!X617&gt;=3.5,"A-",IF('Data Source'!X617&gt;=3,"B",IF('Data Source'!X617&gt;=2,"C",IF('Data Source'!X617&gt;=1,"D","F")))))),"")</f>
        <v/>
      </c>
      <c r="G617" s="3">
        <f>IF(AND('Data Source'!B617&lt;&gt;"",'Data Source'!S617="F"),IF('Data Source'!Y617&gt;=5,"A+",IF('Data Source'!Y617&gt;=4,"A",IF('Data Source'!Y617&gt;=3.5,"A-",IF('Data Source'!Y617&gt;=3,"B",IF('Data Source'!Y617&gt;=2,"C",IF('Data Source'!Y617&gt;=1,"D","F")))))),"")</f>
        <v/>
      </c>
      <c r="H617" s="3">
        <f>IF(AND('Data Source'!B617&lt;&gt;"",'Data Source'!S617="F"),IF('Data Source'!Z617&gt;=5,"A+",IF('Data Source'!Z617&gt;=4,"A",IF('Data Source'!Z617&gt;=3.5,"A-",IF('Data Source'!Z617&gt;=3,"B",IF('Data Source'!Z617&gt;=2,"C",IF('Data Source'!Z617&gt;=1,"D","F")))))),"")</f>
        <v/>
      </c>
      <c r="I617" s="3">
        <f>IF(AND('Data Source'!B617&lt;&gt;"",'Data Source'!S617="F"),IF('Data Source'!AA617&gt;=5,"A+",IF('Data Source'!AA617&gt;=4,"A",IF('Data Source'!AA617&gt;=3.5,"A-",IF('Data Source'!AA617&gt;=3,"B",IF('Data Source'!AA617&gt;=2,"C",IF('Data Source'!AA617&gt;=1,"D","F")))))),"")</f>
        <v/>
      </c>
      <c r="J617" s="3">
        <f>IF(AND('Data Source'!B617&lt;&gt;"",'Data Source'!S617="F"),IF('Data Source'!AB617&gt;=5,"A+",IF('Data Source'!AB617&gt;=4,"A",IF('Data Source'!AB617&gt;=3.5,"A-",IF('Data Source'!AB617&gt;=3,"B",IF('Data Source'!AB617&gt;=2,"C",IF('Data Source'!AB617&gt;=1,"D","F")))))),"")</f>
        <v/>
      </c>
      <c r="K617" s="3">
        <f>IF(AND('Data Source'!B617&lt;&gt;"",'Data Source'!S617="F"),IF('Data Source'!AC617&gt;=5,"A+",IF('Data Source'!AC617&gt;=4,"A",IF('Data Source'!AC617&gt;=3.5,"A-",IF('Data Source'!AC617&gt;=3,"B",IF('Data Source'!AC617&gt;=2,"C",IF('Data Source'!AC617&gt;=1,"D","F")))))),"")</f>
        <v/>
      </c>
      <c r="L617" s="3">
        <f>IF(AND('Data Source'!B617&lt;&gt;"",'Data Source'!S617="F"),IF('Data Source'!AD617&gt;=5,"A+",IF('Data Source'!AD617&gt;=4,"A",IF('Data Source'!AD617&gt;=3.5,"A-",IF('Data Source'!AD617&gt;=3,"B",IF('Data Source'!AD617&gt;=2,"C",IF('Data Source'!AD617&gt;=1,"D","F")))))),"")</f>
        <v/>
      </c>
      <c r="M617" s="3">
        <f>IF(AND('Data Source'!B617&lt;&gt;"",'Data Source'!S617="F"),IF('Data Source'!AE617&gt;=5,"A+",IF('Data Source'!AE617&gt;=4,"A",IF('Data Source'!AE617&gt;=3.5,"A-",IF('Data Source'!AE617&gt;=3,"B",IF('Data Source'!AE617&gt;=2,"C",IF('Data Source'!AE617&gt;=1,"D","F")))))),"")</f>
        <v/>
      </c>
      <c r="N617" s="3">
        <f>IF(AND('Data Source'!B617&lt;&gt;"",'Data Source'!S617="F"),IF('Data Source'!AF617&gt;=5,"A+",IF('Data Source'!AF617&gt;=4,"A",IF('Data Source'!AF617&gt;=3.5,"A-",IF('Data Source'!AF617&gt;=3,"B",IF('Data Source'!AF617&gt;=2,"C",IF('Data Source'!AF617&gt;=1,"D","F")))))),"")</f>
        <v/>
      </c>
      <c r="O617" s="3">
        <f>IF(AND('Data Source'!B617&lt;&gt;"",'Data Source'!S617="F"),IF('Data Source'!AG617&gt;=5,"A+",IF('Data Source'!AG617&gt;=4,"A",IF('Data Source'!AG617&gt;=3.5,"A-",IF('Data Source'!AG617&gt;=3,"B",IF('Data Source'!AG617&gt;=2,"C",IF('Data Source'!AG617&gt;=1,"D","F")))))),"")</f>
        <v/>
      </c>
      <c r="P617" s="5">
        <f>IF(AND('Data Source'!B617&lt;&gt;"",'Data Source'!S617="F"),'Data Source'!R617,"")</f>
        <v/>
      </c>
      <c r="Q617" s="3">
        <f>IF(AND('Data Source'!B617&lt;&gt;"",'Data Source'!S617="F"),'Data Source'!S617,"")</f>
        <v/>
      </c>
    </row>
    <row r="618">
      <c r="A618" s="3">
        <f>IF(AND('Data Source'!B618&lt;&gt;"",'Data Source'!S618="F"),COUNTIF('Data Source'!$S$3:S618,"F"),"")</f>
        <v/>
      </c>
      <c r="B618">
        <f>IF(AND('Data Source'!B618&lt;&gt;"",'Data Source'!S618="F"),'Data Source'!B618,"")</f>
        <v/>
      </c>
      <c r="C618" s="3">
        <f>IF(AND('Data Source'!B618&lt;&gt;"",'Data Source'!S618="F"),IF('Data Source'!U618&gt;=5,"A+",IF('Data Source'!U618&gt;=4,"A",IF('Data Source'!U618&gt;=3.5,"A-",IF('Data Source'!U618&gt;=3,"B",IF('Data Source'!U618&gt;=2,"C",IF('Data Source'!U618&gt;=1,"D","F")))))),"")</f>
        <v/>
      </c>
      <c r="D618" s="3">
        <f>IF(AND('Data Source'!B618&lt;&gt;"",'Data Source'!S618="F"),IF('Data Source'!V618&gt;=5,"A+",IF('Data Source'!V618&gt;=4,"A",IF('Data Source'!V618&gt;=3.5,"A-",IF('Data Source'!V618&gt;=3,"B",IF('Data Source'!V618&gt;=2,"C",IF('Data Source'!V618&gt;=1,"D","F")))))),"")</f>
        <v/>
      </c>
      <c r="E618" s="3">
        <f>IF(AND('Data Source'!B618&lt;&gt;"",'Data Source'!S618="F"),IF('Data Source'!W618&gt;=5,"A+",IF('Data Source'!W618&gt;=4,"A",IF('Data Source'!W618&gt;=3.5,"A-",IF('Data Source'!W618&gt;=3,"B",IF('Data Source'!W618&gt;=2,"C",IF('Data Source'!W618&gt;=1,"D","F")))))),"")</f>
        <v/>
      </c>
      <c r="F618" s="3">
        <f>IF(AND('Data Source'!B618&lt;&gt;"",'Data Source'!S618="F"),IF('Data Source'!X618&gt;=5,"A+",IF('Data Source'!X618&gt;=4,"A",IF('Data Source'!X618&gt;=3.5,"A-",IF('Data Source'!X618&gt;=3,"B",IF('Data Source'!X618&gt;=2,"C",IF('Data Source'!X618&gt;=1,"D","F")))))),"")</f>
        <v/>
      </c>
      <c r="G618" s="3">
        <f>IF(AND('Data Source'!B618&lt;&gt;"",'Data Source'!S618="F"),IF('Data Source'!Y618&gt;=5,"A+",IF('Data Source'!Y618&gt;=4,"A",IF('Data Source'!Y618&gt;=3.5,"A-",IF('Data Source'!Y618&gt;=3,"B",IF('Data Source'!Y618&gt;=2,"C",IF('Data Source'!Y618&gt;=1,"D","F")))))),"")</f>
        <v/>
      </c>
      <c r="H618" s="3">
        <f>IF(AND('Data Source'!B618&lt;&gt;"",'Data Source'!S618="F"),IF('Data Source'!Z618&gt;=5,"A+",IF('Data Source'!Z618&gt;=4,"A",IF('Data Source'!Z618&gt;=3.5,"A-",IF('Data Source'!Z618&gt;=3,"B",IF('Data Source'!Z618&gt;=2,"C",IF('Data Source'!Z618&gt;=1,"D","F")))))),"")</f>
        <v/>
      </c>
      <c r="I618" s="3">
        <f>IF(AND('Data Source'!B618&lt;&gt;"",'Data Source'!S618="F"),IF('Data Source'!AA618&gt;=5,"A+",IF('Data Source'!AA618&gt;=4,"A",IF('Data Source'!AA618&gt;=3.5,"A-",IF('Data Source'!AA618&gt;=3,"B",IF('Data Source'!AA618&gt;=2,"C",IF('Data Source'!AA618&gt;=1,"D","F")))))),"")</f>
        <v/>
      </c>
      <c r="J618" s="3">
        <f>IF(AND('Data Source'!B618&lt;&gt;"",'Data Source'!S618="F"),IF('Data Source'!AB618&gt;=5,"A+",IF('Data Source'!AB618&gt;=4,"A",IF('Data Source'!AB618&gt;=3.5,"A-",IF('Data Source'!AB618&gt;=3,"B",IF('Data Source'!AB618&gt;=2,"C",IF('Data Source'!AB618&gt;=1,"D","F")))))),"")</f>
        <v/>
      </c>
      <c r="K618" s="3">
        <f>IF(AND('Data Source'!B618&lt;&gt;"",'Data Source'!S618="F"),IF('Data Source'!AC618&gt;=5,"A+",IF('Data Source'!AC618&gt;=4,"A",IF('Data Source'!AC618&gt;=3.5,"A-",IF('Data Source'!AC618&gt;=3,"B",IF('Data Source'!AC618&gt;=2,"C",IF('Data Source'!AC618&gt;=1,"D","F")))))),"")</f>
        <v/>
      </c>
      <c r="L618" s="3">
        <f>IF(AND('Data Source'!B618&lt;&gt;"",'Data Source'!S618="F"),IF('Data Source'!AD618&gt;=5,"A+",IF('Data Source'!AD618&gt;=4,"A",IF('Data Source'!AD618&gt;=3.5,"A-",IF('Data Source'!AD618&gt;=3,"B",IF('Data Source'!AD618&gt;=2,"C",IF('Data Source'!AD618&gt;=1,"D","F")))))),"")</f>
        <v/>
      </c>
      <c r="M618" s="3">
        <f>IF(AND('Data Source'!B618&lt;&gt;"",'Data Source'!S618="F"),IF('Data Source'!AE618&gt;=5,"A+",IF('Data Source'!AE618&gt;=4,"A",IF('Data Source'!AE618&gt;=3.5,"A-",IF('Data Source'!AE618&gt;=3,"B",IF('Data Source'!AE618&gt;=2,"C",IF('Data Source'!AE618&gt;=1,"D","F")))))),"")</f>
        <v/>
      </c>
      <c r="N618" s="3">
        <f>IF(AND('Data Source'!B618&lt;&gt;"",'Data Source'!S618="F"),IF('Data Source'!AF618&gt;=5,"A+",IF('Data Source'!AF618&gt;=4,"A",IF('Data Source'!AF618&gt;=3.5,"A-",IF('Data Source'!AF618&gt;=3,"B",IF('Data Source'!AF618&gt;=2,"C",IF('Data Source'!AF618&gt;=1,"D","F")))))),"")</f>
        <v/>
      </c>
      <c r="O618" s="3">
        <f>IF(AND('Data Source'!B618&lt;&gt;"",'Data Source'!S618="F"),IF('Data Source'!AG618&gt;=5,"A+",IF('Data Source'!AG618&gt;=4,"A",IF('Data Source'!AG618&gt;=3.5,"A-",IF('Data Source'!AG618&gt;=3,"B",IF('Data Source'!AG618&gt;=2,"C",IF('Data Source'!AG618&gt;=1,"D","F")))))),"")</f>
        <v/>
      </c>
      <c r="P618" s="5">
        <f>IF(AND('Data Source'!B618&lt;&gt;"",'Data Source'!S618="F"),'Data Source'!R618,"")</f>
        <v/>
      </c>
      <c r="Q618" s="3">
        <f>IF(AND('Data Source'!B618&lt;&gt;"",'Data Source'!S618="F"),'Data Source'!S618,"")</f>
        <v/>
      </c>
    </row>
    <row r="619">
      <c r="A619" s="3">
        <f>IF(AND('Data Source'!B619&lt;&gt;"",'Data Source'!S619="F"),COUNTIF('Data Source'!$S$3:S619,"F"),"")</f>
        <v/>
      </c>
      <c r="B619">
        <f>IF(AND('Data Source'!B619&lt;&gt;"",'Data Source'!S619="F"),'Data Source'!B619,"")</f>
        <v/>
      </c>
      <c r="C619" s="3">
        <f>IF(AND('Data Source'!B619&lt;&gt;"",'Data Source'!S619="F"),IF('Data Source'!U619&gt;=5,"A+",IF('Data Source'!U619&gt;=4,"A",IF('Data Source'!U619&gt;=3.5,"A-",IF('Data Source'!U619&gt;=3,"B",IF('Data Source'!U619&gt;=2,"C",IF('Data Source'!U619&gt;=1,"D","F")))))),"")</f>
        <v/>
      </c>
      <c r="D619" s="3">
        <f>IF(AND('Data Source'!B619&lt;&gt;"",'Data Source'!S619="F"),IF('Data Source'!V619&gt;=5,"A+",IF('Data Source'!V619&gt;=4,"A",IF('Data Source'!V619&gt;=3.5,"A-",IF('Data Source'!V619&gt;=3,"B",IF('Data Source'!V619&gt;=2,"C",IF('Data Source'!V619&gt;=1,"D","F")))))),"")</f>
        <v/>
      </c>
      <c r="E619" s="3">
        <f>IF(AND('Data Source'!B619&lt;&gt;"",'Data Source'!S619="F"),IF('Data Source'!W619&gt;=5,"A+",IF('Data Source'!W619&gt;=4,"A",IF('Data Source'!W619&gt;=3.5,"A-",IF('Data Source'!W619&gt;=3,"B",IF('Data Source'!W619&gt;=2,"C",IF('Data Source'!W619&gt;=1,"D","F")))))),"")</f>
        <v/>
      </c>
      <c r="F619" s="3">
        <f>IF(AND('Data Source'!B619&lt;&gt;"",'Data Source'!S619="F"),IF('Data Source'!X619&gt;=5,"A+",IF('Data Source'!X619&gt;=4,"A",IF('Data Source'!X619&gt;=3.5,"A-",IF('Data Source'!X619&gt;=3,"B",IF('Data Source'!X619&gt;=2,"C",IF('Data Source'!X619&gt;=1,"D","F")))))),"")</f>
        <v/>
      </c>
      <c r="G619" s="3">
        <f>IF(AND('Data Source'!B619&lt;&gt;"",'Data Source'!S619="F"),IF('Data Source'!Y619&gt;=5,"A+",IF('Data Source'!Y619&gt;=4,"A",IF('Data Source'!Y619&gt;=3.5,"A-",IF('Data Source'!Y619&gt;=3,"B",IF('Data Source'!Y619&gt;=2,"C",IF('Data Source'!Y619&gt;=1,"D","F")))))),"")</f>
        <v/>
      </c>
      <c r="H619" s="3">
        <f>IF(AND('Data Source'!B619&lt;&gt;"",'Data Source'!S619="F"),IF('Data Source'!Z619&gt;=5,"A+",IF('Data Source'!Z619&gt;=4,"A",IF('Data Source'!Z619&gt;=3.5,"A-",IF('Data Source'!Z619&gt;=3,"B",IF('Data Source'!Z619&gt;=2,"C",IF('Data Source'!Z619&gt;=1,"D","F")))))),"")</f>
        <v/>
      </c>
      <c r="I619" s="3">
        <f>IF(AND('Data Source'!B619&lt;&gt;"",'Data Source'!S619="F"),IF('Data Source'!AA619&gt;=5,"A+",IF('Data Source'!AA619&gt;=4,"A",IF('Data Source'!AA619&gt;=3.5,"A-",IF('Data Source'!AA619&gt;=3,"B",IF('Data Source'!AA619&gt;=2,"C",IF('Data Source'!AA619&gt;=1,"D","F")))))),"")</f>
        <v/>
      </c>
      <c r="J619" s="3">
        <f>IF(AND('Data Source'!B619&lt;&gt;"",'Data Source'!S619="F"),IF('Data Source'!AB619&gt;=5,"A+",IF('Data Source'!AB619&gt;=4,"A",IF('Data Source'!AB619&gt;=3.5,"A-",IF('Data Source'!AB619&gt;=3,"B",IF('Data Source'!AB619&gt;=2,"C",IF('Data Source'!AB619&gt;=1,"D","F")))))),"")</f>
        <v/>
      </c>
      <c r="K619" s="3">
        <f>IF(AND('Data Source'!B619&lt;&gt;"",'Data Source'!S619="F"),IF('Data Source'!AC619&gt;=5,"A+",IF('Data Source'!AC619&gt;=4,"A",IF('Data Source'!AC619&gt;=3.5,"A-",IF('Data Source'!AC619&gt;=3,"B",IF('Data Source'!AC619&gt;=2,"C",IF('Data Source'!AC619&gt;=1,"D","F")))))),"")</f>
        <v/>
      </c>
      <c r="L619" s="3">
        <f>IF(AND('Data Source'!B619&lt;&gt;"",'Data Source'!S619="F"),IF('Data Source'!AD619&gt;=5,"A+",IF('Data Source'!AD619&gt;=4,"A",IF('Data Source'!AD619&gt;=3.5,"A-",IF('Data Source'!AD619&gt;=3,"B",IF('Data Source'!AD619&gt;=2,"C",IF('Data Source'!AD619&gt;=1,"D","F")))))),"")</f>
        <v/>
      </c>
      <c r="M619" s="3">
        <f>IF(AND('Data Source'!B619&lt;&gt;"",'Data Source'!S619="F"),IF('Data Source'!AE619&gt;=5,"A+",IF('Data Source'!AE619&gt;=4,"A",IF('Data Source'!AE619&gt;=3.5,"A-",IF('Data Source'!AE619&gt;=3,"B",IF('Data Source'!AE619&gt;=2,"C",IF('Data Source'!AE619&gt;=1,"D","F")))))),"")</f>
        <v/>
      </c>
      <c r="N619" s="3">
        <f>IF(AND('Data Source'!B619&lt;&gt;"",'Data Source'!S619="F"),IF('Data Source'!AF619&gt;=5,"A+",IF('Data Source'!AF619&gt;=4,"A",IF('Data Source'!AF619&gt;=3.5,"A-",IF('Data Source'!AF619&gt;=3,"B",IF('Data Source'!AF619&gt;=2,"C",IF('Data Source'!AF619&gt;=1,"D","F")))))),"")</f>
        <v/>
      </c>
      <c r="O619" s="3">
        <f>IF(AND('Data Source'!B619&lt;&gt;"",'Data Source'!S619="F"),IF('Data Source'!AG619&gt;=5,"A+",IF('Data Source'!AG619&gt;=4,"A",IF('Data Source'!AG619&gt;=3.5,"A-",IF('Data Source'!AG619&gt;=3,"B",IF('Data Source'!AG619&gt;=2,"C",IF('Data Source'!AG619&gt;=1,"D","F")))))),"")</f>
        <v/>
      </c>
      <c r="P619" s="5">
        <f>IF(AND('Data Source'!B619&lt;&gt;"",'Data Source'!S619="F"),'Data Source'!R619,"")</f>
        <v/>
      </c>
      <c r="Q619" s="3">
        <f>IF(AND('Data Source'!B619&lt;&gt;"",'Data Source'!S619="F"),'Data Source'!S619,"")</f>
        <v/>
      </c>
    </row>
    <row r="620">
      <c r="A620" s="3">
        <f>IF(AND('Data Source'!B620&lt;&gt;"",'Data Source'!S620="F"),COUNTIF('Data Source'!$S$3:S620,"F"),"")</f>
        <v/>
      </c>
      <c r="B620">
        <f>IF(AND('Data Source'!B620&lt;&gt;"",'Data Source'!S620="F"),'Data Source'!B620,"")</f>
        <v/>
      </c>
      <c r="C620" s="3">
        <f>IF(AND('Data Source'!B620&lt;&gt;"",'Data Source'!S620="F"),IF('Data Source'!U620&gt;=5,"A+",IF('Data Source'!U620&gt;=4,"A",IF('Data Source'!U620&gt;=3.5,"A-",IF('Data Source'!U620&gt;=3,"B",IF('Data Source'!U620&gt;=2,"C",IF('Data Source'!U620&gt;=1,"D","F")))))),"")</f>
        <v/>
      </c>
      <c r="D620" s="3">
        <f>IF(AND('Data Source'!B620&lt;&gt;"",'Data Source'!S620="F"),IF('Data Source'!V620&gt;=5,"A+",IF('Data Source'!V620&gt;=4,"A",IF('Data Source'!V620&gt;=3.5,"A-",IF('Data Source'!V620&gt;=3,"B",IF('Data Source'!V620&gt;=2,"C",IF('Data Source'!V620&gt;=1,"D","F")))))),"")</f>
        <v/>
      </c>
      <c r="E620" s="3">
        <f>IF(AND('Data Source'!B620&lt;&gt;"",'Data Source'!S620="F"),IF('Data Source'!W620&gt;=5,"A+",IF('Data Source'!W620&gt;=4,"A",IF('Data Source'!W620&gt;=3.5,"A-",IF('Data Source'!W620&gt;=3,"B",IF('Data Source'!W620&gt;=2,"C",IF('Data Source'!W620&gt;=1,"D","F")))))),"")</f>
        <v/>
      </c>
      <c r="F620" s="3">
        <f>IF(AND('Data Source'!B620&lt;&gt;"",'Data Source'!S620="F"),IF('Data Source'!X620&gt;=5,"A+",IF('Data Source'!X620&gt;=4,"A",IF('Data Source'!X620&gt;=3.5,"A-",IF('Data Source'!X620&gt;=3,"B",IF('Data Source'!X620&gt;=2,"C",IF('Data Source'!X620&gt;=1,"D","F")))))),"")</f>
        <v/>
      </c>
      <c r="G620" s="3">
        <f>IF(AND('Data Source'!B620&lt;&gt;"",'Data Source'!S620="F"),IF('Data Source'!Y620&gt;=5,"A+",IF('Data Source'!Y620&gt;=4,"A",IF('Data Source'!Y620&gt;=3.5,"A-",IF('Data Source'!Y620&gt;=3,"B",IF('Data Source'!Y620&gt;=2,"C",IF('Data Source'!Y620&gt;=1,"D","F")))))),"")</f>
        <v/>
      </c>
      <c r="H620" s="3">
        <f>IF(AND('Data Source'!B620&lt;&gt;"",'Data Source'!S620="F"),IF('Data Source'!Z620&gt;=5,"A+",IF('Data Source'!Z620&gt;=4,"A",IF('Data Source'!Z620&gt;=3.5,"A-",IF('Data Source'!Z620&gt;=3,"B",IF('Data Source'!Z620&gt;=2,"C",IF('Data Source'!Z620&gt;=1,"D","F")))))),"")</f>
        <v/>
      </c>
      <c r="I620" s="3">
        <f>IF(AND('Data Source'!B620&lt;&gt;"",'Data Source'!S620="F"),IF('Data Source'!AA620&gt;=5,"A+",IF('Data Source'!AA620&gt;=4,"A",IF('Data Source'!AA620&gt;=3.5,"A-",IF('Data Source'!AA620&gt;=3,"B",IF('Data Source'!AA620&gt;=2,"C",IF('Data Source'!AA620&gt;=1,"D","F")))))),"")</f>
        <v/>
      </c>
      <c r="J620" s="3">
        <f>IF(AND('Data Source'!B620&lt;&gt;"",'Data Source'!S620="F"),IF('Data Source'!AB620&gt;=5,"A+",IF('Data Source'!AB620&gt;=4,"A",IF('Data Source'!AB620&gt;=3.5,"A-",IF('Data Source'!AB620&gt;=3,"B",IF('Data Source'!AB620&gt;=2,"C",IF('Data Source'!AB620&gt;=1,"D","F")))))),"")</f>
        <v/>
      </c>
      <c r="K620" s="3">
        <f>IF(AND('Data Source'!B620&lt;&gt;"",'Data Source'!S620="F"),IF('Data Source'!AC620&gt;=5,"A+",IF('Data Source'!AC620&gt;=4,"A",IF('Data Source'!AC620&gt;=3.5,"A-",IF('Data Source'!AC620&gt;=3,"B",IF('Data Source'!AC620&gt;=2,"C",IF('Data Source'!AC620&gt;=1,"D","F")))))),"")</f>
        <v/>
      </c>
      <c r="L620" s="3">
        <f>IF(AND('Data Source'!B620&lt;&gt;"",'Data Source'!S620="F"),IF('Data Source'!AD620&gt;=5,"A+",IF('Data Source'!AD620&gt;=4,"A",IF('Data Source'!AD620&gt;=3.5,"A-",IF('Data Source'!AD620&gt;=3,"B",IF('Data Source'!AD620&gt;=2,"C",IF('Data Source'!AD620&gt;=1,"D","F")))))),"")</f>
        <v/>
      </c>
      <c r="M620" s="3">
        <f>IF(AND('Data Source'!B620&lt;&gt;"",'Data Source'!S620="F"),IF('Data Source'!AE620&gt;=5,"A+",IF('Data Source'!AE620&gt;=4,"A",IF('Data Source'!AE620&gt;=3.5,"A-",IF('Data Source'!AE620&gt;=3,"B",IF('Data Source'!AE620&gt;=2,"C",IF('Data Source'!AE620&gt;=1,"D","F")))))),"")</f>
        <v/>
      </c>
      <c r="N620" s="3">
        <f>IF(AND('Data Source'!B620&lt;&gt;"",'Data Source'!S620="F"),IF('Data Source'!AF620&gt;=5,"A+",IF('Data Source'!AF620&gt;=4,"A",IF('Data Source'!AF620&gt;=3.5,"A-",IF('Data Source'!AF620&gt;=3,"B",IF('Data Source'!AF620&gt;=2,"C",IF('Data Source'!AF620&gt;=1,"D","F")))))),"")</f>
        <v/>
      </c>
      <c r="O620" s="3">
        <f>IF(AND('Data Source'!B620&lt;&gt;"",'Data Source'!S620="F"),IF('Data Source'!AG620&gt;=5,"A+",IF('Data Source'!AG620&gt;=4,"A",IF('Data Source'!AG620&gt;=3.5,"A-",IF('Data Source'!AG620&gt;=3,"B",IF('Data Source'!AG620&gt;=2,"C",IF('Data Source'!AG620&gt;=1,"D","F")))))),"")</f>
        <v/>
      </c>
      <c r="P620" s="5">
        <f>IF(AND('Data Source'!B620&lt;&gt;"",'Data Source'!S620="F"),'Data Source'!R620,"")</f>
        <v/>
      </c>
      <c r="Q620" s="3">
        <f>IF(AND('Data Source'!B620&lt;&gt;"",'Data Source'!S620="F"),'Data Source'!S620,"")</f>
        <v/>
      </c>
    </row>
    <row r="621">
      <c r="A621" s="3">
        <f>IF(AND('Data Source'!B621&lt;&gt;"",'Data Source'!S621="F"),COUNTIF('Data Source'!$S$3:S621,"F"),"")</f>
        <v/>
      </c>
      <c r="B621">
        <f>IF(AND('Data Source'!B621&lt;&gt;"",'Data Source'!S621="F"),'Data Source'!B621,"")</f>
        <v/>
      </c>
      <c r="C621" s="3">
        <f>IF(AND('Data Source'!B621&lt;&gt;"",'Data Source'!S621="F"),IF('Data Source'!U621&gt;=5,"A+",IF('Data Source'!U621&gt;=4,"A",IF('Data Source'!U621&gt;=3.5,"A-",IF('Data Source'!U621&gt;=3,"B",IF('Data Source'!U621&gt;=2,"C",IF('Data Source'!U621&gt;=1,"D","F")))))),"")</f>
        <v/>
      </c>
      <c r="D621" s="3">
        <f>IF(AND('Data Source'!B621&lt;&gt;"",'Data Source'!S621="F"),IF('Data Source'!V621&gt;=5,"A+",IF('Data Source'!V621&gt;=4,"A",IF('Data Source'!V621&gt;=3.5,"A-",IF('Data Source'!V621&gt;=3,"B",IF('Data Source'!V621&gt;=2,"C",IF('Data Source'!V621&gt;=1,"D","F")))))),"")</f>
        <v/>
      </c>
      <c r="E621" s="3">
        <f>IF(AND('Data Source'!B621&lt;&gt;"",'Data Source'!S621="F"),IF('Data Source'!W621&gt;=5,"A+",IF('Data Source'!W621&gt;=4,"A",IF('Data Source'!W621&gt;=3.5,"A-",IF('Data Source'!W621&gt;=3,"B",IF('Data Source'!W621&gt;=2,"C",IF('Data Source'!W621&gt;=1,"D","F")))))),"")</f>
        <v/>
      </c>
      <c r="F621" s="3">
        <f>IF(AND('Data Source'!B621&lt;&gt;"",'Data Source'!S621="F"),IF('Data Source'!X621&gt;=5,"A+",IF('Data Source'!X621&gt;=4,"A",IF('Data Source'!X621&gt;=3.5,"A-",IF('Data Source'!X621&gt;=3,"B",IF('Data Source'!X621&gt;=2,"C",IF('Data Source'!X621&gt;=1,"D","F")))))),"")</f>
        <v/>
      </c>
      <c r="G621" s="3">
        <f>IF(AND('Data Source'!B621&lt;&gt;"",'Data Source'!S621="F"),IF('Data Source'!Y621&gt;=5,"A+",IF('Data Source'!Y621&gt;=4,"A",IF('Data Source'!Y621&gt;=3.5,"A-",IF('Data Source'!Y621&gt;=3,"B",IF('Data Source'!Y621&gt;=2,"C",IF('Data Source'!Y621&gt;=1,"D","F")))))),"")</f>
        <v/>
      </c>
      <c r="H621" s="3">
        <f>IF(AND('Data Source'!B621&lt;&gt;"",'Data Source'!S621="F"),IF('Data Source'!Z621&gt;=5,"A+",IF('Data Source'!Z621&gt;=4,"A",IF('Data Source'!Z621&gt;=3.5,"A-",IF('Data Source'!Z621&gt;=3,"B",IF('Data Source'!Z621&gt;=2,"C",IF('Data Source'!Z621&gt;=1,"D","F")))))),"")</f>
        <v/>
      </c>
      <c r="I621" s="3">
        <f>IF(AND('Data Source'!B621&lt;&gt;"",'Data Source'!S621="F"),IF('Data Source'!AA621&gt;=5,"A+",IF('Data Source'!AA621&gt;=4,"A",IF('Data Source'!AA621&gt;=3.5,"A-",IF('Data Source'!AA621&gt;=3,"B",IF('Data Source'!AA621&gt;=2,"C",IF('Data Source'!AA621&gt;=1,"D","F")))))),"")</f>
        <v/>
      </c>
      <c r="J621" s="3">
        <f>IF(AND('Data Source'!B621&lt;&gt;"",'Data Source'!S621="F"),IF('Data Source'!AB621&gt;=5,"A+",IF('Data Source'!AB621&gt;=4,"A",IF('Data Source'!AB621&gt;=3.5,"A-",IF('Data Source'!AB621&gt;=3,"B",IF('Data Source'!AB621&gt;=2,"C",IF('Data Source'!AB621&gt;=1,"D","F")))))),"")</f>
        <v/>
      </c>
      <c r="K621" s="3">
        <f>IF(AND('Data Source'!B621&lt;&gt;"",'Data Source'!S621="F"),IF('Data Source'!AC621&gt;=5,"A+",IF('Data Source'!AC621&gt;=4,"A",IF('Data Source'!AC621&gt;=3.5,"A-",IF('Data Source'!AC621&gt;=3,"B",IF('Data Source'!AC621&gt;=2,"C",IF('Data Source'!AC621&gt;=1,"D","F")))))),"")</f>
        <v/>
      </c>
      <c r="L621" s="3">
        <f>IF(AND('Data Source'!B621&lt;&gt;"",'Data Source'!S621="F"),IF('Data Source'!AD621&gt;=5,"A+",IF('Data Source'!AD621&gt;=4,"A",IF('Data Source'!AD621&gt;=3.5,"A-",IF('Data Source'!AD621&gt;=3,"B",IF('Data Source'!AD621&gt;=2,"C",IF('Data Source'!AD621&gt;=1,"D","F")))))),"")</f>
        <v/>
      </c>
      <c r="M621" s="3">
        <f>IF(AND('Data Source'!B621&lt;&gt;"",'Data Source'!S621="F"),IF('Data Source'!AE621&gt;=5,"A+",IF('Data Source'!AE621&gt;=4,"A",IF('Data Source'!AE621&gt;=3.5,"A-",IF('Data Source'!AE621&gt;=3,"B",IF('Data Source'!AE621&gt;=2,"C",IF('Data Source'!AE621&gt;=1,"D","F")))))),"")</f>
        <v/>
      </c>
      <c r="N621" s="3">
        <f>IF(AND('Data Source'!B621&lt;&gt;"",'Data Source'!S621="F"),IF('Data Source'!AF621&gt;=5,"A+",IF('Data Source'!AF621&gt;=4,"A",IF('Data Source'!AF621&gt;=3.5,"A-",IF('Data Source'!AF621&gt;=3,"B",IF('Data Source'!AF621&gt;=2,"C",IF('Data Source'!AF621&gt;=1,"D","F")))))),"")</f>
        <v/>
      </c>
      <c r="O621" s="3">
        <f>IF(AND('Data Source'!B621&lt;&gt;"",'Data Source'!S621="F"),IF('Data Source'!AG621&gt;=5,"A+",IF('Data Source'!AG621&gt;=4,"A",IF('Data Source'!AG621&gt;=3.5,"A-",IF('Data Source'!AG621&gt;=3,"B",IF('Data Source'!AG621&gt;=2,"C",IF('Data Source'!AG621&gt;=1,"D","F")))))),"")</f>
        <v/>
      </c>
      <c r="P621" s="5">
        <f>IF(AND('Data Source'!B621&lt;&gt;"",'Data Source'!S621="F"),'Data Source'!R621,"")</f>
        <v/>
      </c>
      <c r="Q621" s="3">
        <f>IF(AND('Data Source'!B621&lt;&gt;"",'Data Source'!S621="F"),'Data Source'!S621,"")</f>
        <v/>
      </c>
    </row>
    <row r="622">
      <c r="A622" s="3">
        <f>IF(AND('Data Source'!B622&lt;&gt;"",'Data Source'!S622="F"),COUNTIF('Data Source'!$S$3:S622,"F"),"")</f>
        <v/>
      </c>
      <c r="B622">
        <f>IF(AND('Data Source'!B622&lt;&gt;"",'Data Source'!S622="F"),'Data Source'!B622,"")</f>
        <v/>
      </c>
      <c r="C622" s="3">
        <f>IF(AND('Data Source'!B622&lt;&gt;"",'Data Source'!S622="F"),IF('Data Source'!U622&gt;=5,"A+",IF('Data Source'!U622&gt;=4,"A",IF('Data Source'!U622&gt;=3.5,"A-",IF('Data Source'!U622&gt;=3,"B",IF('Data Source'!U622&gt;=2,"C",IF('Data Source'!U622&gt;=1,"D","F")))))),"")</f>
        <v/>
      </c>
      <c r="D622" s="3">
        <f>IF(AND('Data Source'!B622&lt;&gt;"",'Data Source'!S622="F"),IF('Data Source'!V622&gt;=5,"A+",IF('Data Source'!V622&gt;=4,"A",IF('Data Source'!V622&gt;=3.5,"A-",IF('Data Source'!V622&gt;=3,"B",IF('Data Source'!V622&gt;=2,"C",IF('Data Source'!V622&gt;=1,"D","F")))))),"")</f>
        <v/>
      </c>
      <c r="E622" s="3">
        <f>IF(AND('Data Source'!B622&lt;&gt;"",'Data Source'!S622="F"),IF('Data Source'!W622&gt;=5,"A+",IF('Data Source'!W622&gt;=4,"A",IF('Data Source'!W622&gt;=3.5,"A-",IF('Data Source'!W622&gt;=3,"B",IF('Data Source'!W622&gt;=2,"C",IF('Data Source'!W622&gt;=1,"D","F")))))),"")</f>
        <v/>
      </c>
      <c r="F622" s="3">
        <f>IF(AND('Data Source'!B622&lt;&gt;"",'Data Source'!S622="F"),IF('Data Source'!X622&gt;=5,"A+",IF('Data Source'!X622&gt;=4,"A",IF('Data Source'!X622&gt;=3.5,"A-",IF('Data Source'!X622&gt;=3,"B",IF('Data Source'!X622&gt;=2,"C",IF('Data Source'!X622&gt;=1,"D","F")))))),"")</f>
        <v/>
      </c>
      <c r="G622" s="3">
        <f>IF(AND('Data Source'!B622&lt;&gt;"",'Data Source'!S622="F"),IF('Data Source'!Y622&gt;=5,"A+",IF('Data Source'!Y622&gt;=4,"A",IF('Data Source'!Y622&gt;=3.5,"A-",IF('Data Source'!Y622&gt;=3,"B",IF('Data Source'!Y622&gt;=2,"C",IF('Data Source'!Y622&gt;=1,"D","F")))))),"")</f>
        <v/>
      </c>
      <c r="H622" s="3">
        <f>IF(AND('Data Source'!B622&lt;&gt;"",'Data Source'!S622="F"),IF('Data Source'!Z622&gt;=5,"A+",IF('Data Source'!Z622&gt;=4,"A",IF('Data Source'!Z622&gt;=3.5,"A-",IF('Data Source'!Z622&gt;=3,"B",IF('Data Source'!Z622&gt;=2,"C",IF('Data Source'!Z622&gt;=1,"D","F")))))),"")</f>
        <v/>
      </c>
      <c r="I622" s="3">
        <f>IF(AND('Data Source'!B622&lt;&gt;"",'Data Source'!S622="F"),IF('Data Source'!AA622&gt;=5,"A+",IF('Data Source'!AA622&gt;=4,"A",IF('Data Source'!AA622&gt;=3.5,"A-",IF('Data Source'!AA622&gt;=3,"B",IF('Data Source'!AA622&gt;=2,"C",IF('Data Source'!AA622&gt;=1,"D","F")))))),"")</f>
        <v/>
      </c>
      <c r="J622" s="3">
        <f>IF(AND('Data Source'!B622&lt;&gt;"",'Data Source'!S622="F"),IF('Data Source'!AB622&gt;=5,"A+",IF('Data Source'!AB622&gt;=4,"A",IF('Data Source'!AB622&gt;=3.5,"A-",IF('Data Source'!AB622&gt;=3,"B",IF('Data Source'!AB622&gt;=2,"C",IF('Data Source'!AB622&gt;=1,"D","F")))))),"")</f>
        <v/>
      </c>
      <c r="K622" s="3">
        <f>IF(AND('Data Source'!B622&lt;&gt;"",'Data Source'!S622="F"),IF('Data Source'!AC622&gt;=5,"A+",IF('Data Source'!AC622&gt;=4,"A",IF('Data Source'!AC622&gt;=3.5,"A-",IF('Data Source'!AC622&gt;=3,"B",IF('Data Source'!AC622&gt;=2,"C",IF('Data Source'!AC622&gt;=1,"D","F")))))),"")</f>
        <v/>
      </c>
      <c r="L622" s="3">
        <f>IF(AND('Data Source'!B622&lt;&gt;"",'Data Source'!S622="F"),IF('Data Source'!AD622&gt;=5,"A+",IF('Data Source'!AD622&gt;=4,"A",IF('Data Source'!AD622&gt;=3.5,"A-",IF('Data Source'!AD622&gt;=3,"B",IF('Data Source'!AD622&gt;=2,"C",IF('Data Source'!AD622&gt;=1,"D","F")))))),"")</f>
        <v/>
      </c>
      <c r="M622" s="3">
        <f>IF(AND('Data Source'!B622&lt;&gt;"",'Data Source'!S622="F"),IF('Data Source'!AE622&gt;=5,"A+",IF('Data Source'!AE622&gt;=4,"A",IF('Data Source'!AE622&gt;=3.5,"A-",IF('Data Source'!AE622&gt;=3,"B",IF('Data Source'!AE622&gt;=2,"C",IF('Data Source'!AE622&gt;=1,"D","F")))))),"")</f>
        <v/>
      </c>
      <c r="N622" s="3">
        <f>IF(AND('Data Source'!B622&lt;&gt;"",'Data Source'!S622="F"),IF('Data Source'!AF622&gt;=5,"A+",IF('Data Source'!AF622&gt;=4,"A",IF('Data Source'!AF622&gt;=3.5,"A-",IF('Data Source'!AF622&gt;=3,"B",IF('Data Source'!AF622&gt;=2,"C",IF('Data Source'!AF622&gt;=1,"D","F")))))),"")</f>
        <v/>
      </c>
      <c r="O622" s="3">
        <f>IF(AND('Data Source'!B622&lt;&gt;"",'Data Source'!S622="F"),IF('Data Source'!AG622&gt;=5,"A+",IF('Data Source'!AG622&gt;=4,"A",IF('Data Source'!AG622&gt;=3.5,"A-",IF('Data Source'!AG622&gt;=3,"B",IF('Data Source'!AG622&gt;=2,"C",IF('Data Source'!AG622&gt;=1,"D","F")))))),"")</f>
        <v/>
      </c>
      <c r="P622" s="5">
        <f>IF(AND('Data Source'!B622&lt;&gt;"",'Data Source'!S622="F"),'Data Source'!R622,"")</f>
        <v/>
      </c>
      <c r="Q622" s="3">
        <f>IF(AND('Data Source'!B622&lt;&gt;"",'Data Source'!S622="F"),'Data Source'!S622,"")</f>
        <v/>
      </c>
    </row>
    <row r="623">
      <c r="A623" s="3">
        <f>IF(AND('Data Source'!B623&lt;&gt;"",'Data Source'!S623="F"),COUNTIF('Data Source'!$S$3:S623,"F"),"")</f>
        <v/>
      </c>
      <c r="B623">
        <f>IF(AND('Data Source'!B623&lt;&gt;"",'Data Source'!S623="F"),'Data Source'!B623,"")</f>
        <v/>
      </c>
      <c r="C623" s="3">
        <f>IF(AND('Data Source'!B623&lt;&gt;"",'Data Source'!S623="F"),IF('Data Source'!U623&gt;=5,"A+",IF('Data Source'!U623&gt;=4,"A",IF('Data Source'!U623&gt;=3.5,"A-",IF('Data Source'!U623&gt;=3,"B",IF('Data Source'!U623&gt;=2,"C",IF('Data Source'!U623&gt;=1,"D","F")))))),"")</f>
        <v/>
      </c>
      <c r="D623" s="3">
        <f>IF(AND('Data Source'!B623&lt;&gt;"",'Data Source'!S623="F"),IF('Data Source'!V623&gt;=5,"A+",IF('Data Source'!V623&gt;=4,"A",IF('Data Source'!V623&gt;=3.5,"A-",IF('Data Source'!V623&gt;=3,"B",IF('Data Source'!V623&gt;=2,"C",IF('Data Source'!V623&gt;=1,"D","F")))))),"")</f>
        <v/>
      </c>
      <c r="E623" s="3">
        <f>IF(AND('Data Source'!B623&lt;&gt;"",'Data Source'!S623="F"),IF('Data Source'!W623&gt;=5,"A+",IF('Data Source'!W623&gt;=4,"A",IF('Data Source'!W623&gt;=3.5,"A-",IF('Data Source'!W623&gt;=3,"B",IF('Data Source'!W623&gt;=2,"C",IF('Data Source'!W623&gt;=1,"D","F")))))),"")</f>
        <v/>
      </c>
      <c r="F623" s="3">
        <f>IF(AND('Data Source'!B623&lt;&gt;"",'Data Source'!S623="F"),IF('Data Source'!X623&gt;=5,"A+",IF('Data Source'!X623&gt;=4,"A",IF('Data Source'!X623&gt;=3.5,"A-",IF('Data Source'!X623&gt;=3,"B",IF('Data Source'!X623&gt;=2,"C",IF('Data Source'!X623&gt;=1,"D","F")))))),"")</f>
        <v/>
      </c>
      <c r="G623" s="3">
        <f>IF(AND('Data Source'!B623&lt;&gt;"",'Data Source'!S623="F"),IF('Data Source'!Y623&gt;=5,"A+",IF('Data Source'!Y623&gt;=4,"A",IF('Data Source'!Y623&gt;=3.5,"A-",IF('Data Source'!Y623&gt;=3,"B",IF('Data Source'!Y623&gt;=2,"C",IF('Data Source'!Y623&gt;=1,"D","F")))))),"")</f>
        <v/>
      </c>
      <c r="H623" s="3">
        <f>IF(AND('Data Source'!B623&lt;&gt;"",'Data Source'!S623="F"),IF('Data Source'!Z623&gt;=5,"A+",IF('Data Source'!Z623&gt;=4,"A",IF('Data Source'!Z623&gt;=3.5,"A-",IF('Data Source'!Z623&gt;=3,"B",IF('Data Source'!Z623&gt;=2,"C",IF('Data Source'!Z623&gt;=1,"D","F")))))),"")</f>
        <v/>
      </c>
      <c r="I623" s="3">
        <f>IF(AND('Data Source'!B623&lt;&gt;"",'Data Source'!S623="F"),IF('Data Source'!AA623&gt;=5,"A+",IF('Data Source'!AA623&gt;=4,"A",IF('Data Source'!AA623&gt;=3.5,"A-",IF('Data Source'!AA623&gt;=3,"B",IF('Data Source'!AA623&gt;=2,"C",IF('Data Source'!AA623&gt;=1,"D","F")))))),"")</f>
        <v/>
      </c>
      <c r="J623" s="3">
        <f>IF(AND('Data Source'!B623&lt;&gt;"",'Data Source'!S623="F"),IF('Data Source'!AB623&gt;=5,"A+",IF('Data Source'!AB623&gt;=4,"A",IF('Data Source'!AB623&gt;=3.5,"A-",IF('Data Source'!AB623&gt;=3,"B",IF('Data Source'!AB623&gt;=2,"C",IF('Data Source'!AB623&gt;=1,"D","F")))))),"")</f>
        <v/>
      </c>
      <c r="K623" s="3">
        <f>IF(AND('Data Source'!B623&lt;&gt;"",'Data Source'!S623="F"),IF('Data Source'!AC623&gt;=5,"A+",IF('Data Source'!AC623&gt;=4,"A",IF('Data Source'!AC623&gt;=3.5,"A-",IF('Data Source'!AC623&gt;=3,"B",IF('Data Source'!AC623&gt;=2,"C",IF('Data Source'!AC623&gt;=1,"D","F")))))),"")</f>
        <v/>
      </c>
      <c r="L623" s="3">
        <f>IF(AND('Data Source'!B623&lt;&gt;"",'Data Source'!S623="F"),IF('Data Source'!AD623&gt;=5,"A+",IF('Data Source'!AD623&gt;=4,"A",IF('Data Source'!AD623&gt;=3.5,"A-",IF('Data Source'!AD623&gt;=3,"B",IF('Data Source'!AD623&gt;=2,"C",IF('Data Source'!AD623&gt;=1,"D","F")))))),"")</f>
        <v/>
      </c>
      <c r="M623" s="3">
        <f>IF(AND('Data Source'!B623&lt;&gt;"",'Data Source'!S623="F"),IF('Data Source'!AE623&gt;=5,"A+",IF('Data Source'!AE623&gt;=4,"A",IF('Data Source'!AE623&gt;=3.5,"A-",IF('Data Source'!AE623&gt;=3,"B",IF('Data Source'!AE623&gt;=2,"C",IF('Data Source'!AE623&gt;=1,"D","F")))))),"")</f>
        <v/>
      </c>
      <c r="N623" s="3">
        <f>IF(AND('Data Source'!B623&lt;&gt;"",'Data Source'!S623="F"),IF('Data Source'!AF623&gt;=5,"A+",IF('Data Source'!AF623&gt;=4,"A",IF('Data Source'!AF623&gt;=3.5,"A-",IF('Data Source'!AF623&gt;=3,"B",IF('Data Source'!AF623&gt;=2,"C",IF('Data Source'!AF623&gt;=1,"D","F")))))),"")</f>
        <v/>
      </c>
      <c r="O623" s="3">
        <f>IF(AND('Data Source'!B623&lt;&gt;"",'Data Source'!S623="F"),IF('Data Source'!AG623&gt;=5,"A+",IF('Data Source'!AG623&gt;=4,"A",IF('Data Source'!AG623&gt;=3.5,"A-",IF('Data Source'!AG623&gt;=3,"B",IF('Data Source'!AG623&gt;=2,"C",IF('Data Source'!AG623&gt;=1,"D","F")))))),"")</f>
        <v/>
      </c>
      <c r="P623" s="5">
        <f>IF(AND('Data Source'!B623&lt;&gt;"",'Data Source'!S623="F"),'Data Source'!R623,"")</f>
        <v/>
      </c>
      <c r="Q623" s="3">
        <f>IF(AND('Data Source'!B623&lt;&gt;"",'Data Source'!S623="F"),'Data Source'!S623,"")</f>
        <v/>
      </c>
    </row>
    <row r="624">
      <c r="A624" s="3">
        <f>IF(AND('Data Source'!B624&lt;&gt;"",'Data Source'!S624="F"),COUNTIF('Data Source'!$S$3:S624,"F"),"")</f>
        <v/>
      </c>
      <c r="B624">
        <f>IF(AND('Data Source'!B624&lt;&gt;"",'Data Source'!S624="F"),'Data Source'!B624,"")</f>
        <v/>
      </c>
      <c r="C624" s="3">
        <f>IF(AND('Data Source'!B624&lt;&gt;"",'Data Source'!S624="F"),IF('Data Source'!U624&gt;=5,"A+",IF('Data Source'!U624&gt;=4,"A",IF('Data Source'!U624&gt;=3.5,"A-",IF('Data Source'!U624&gt;=3,"B",IF('Data Source'!U624&gt;=2,"C",IF('Data Source'!U624&gt;=1,"D","F")))))),"")</f>
        <v/>
      </c>
      <c r="D624" s="3">
        <f>IF(AND('Data Source'!B624&lt;&gt;"",'Data Source'!S624="F"),IF('Data Source'!V624&gt;=5,"A+",IF('Data Source'!V624&gt;=4,"A",IF('Data Source'!V624&gt;=3.5,"A-",IF('Data Source'!V624&gt;=3,"B",IF('Data Source'!V624&gt;=2,"C",IF('Data Source'!V624&gt;=1,"D","F")))))),"")</f>
        <v/>
      </c>
      <c r="E624" s="3">
        <f>IF(AND('Data Source'!B624&lt;&gt;"",'Data Source'!S624="F"),IF('Data Source'!W624&gt;=5,"A+",IF('Data Source'!W624&gt;=4,"A",IF('Data Source'!W624&gt;=3.5,"A-",IF('Data Source'!W624&gt;=3,"B",IF('Data Source'!W624&gt;=2,"C",IF('Data Source'!W624&gt;=1,"D","F")))))),"")</f>
        <v/>
      </c>
      <c r="F624" s="3">
        <f>IF(AND('Data Source'!B624&lt;&gt;"",'Data Source'!S624="F"),IF('Data Source'!X624&gt;=5,"A+",IF('Data Source'!X624&gt;=4,"A",IF('Data Source'!X624&gt;=3.5,"A-",IF('Data Source'!X624&gt;=3,"B",IF('Data Source'!X624&gt;=2,"C",IF('Data Source'!X624&gt;=1,"D","F")))))),"")</f>
        <v/>
      </c>
      <c r="G624" s="3">
        <f>IF(AND('Data Source'!B624&lt;&gt;"",'Data Source'!S624="F"),IF('Data Source'!Y624&gt;=5,"A+",IF('Data Source'!Y624&gt;=4,"A",IF('Data Source'!Y624&gt;=3.5,"A-",IF('Data Source'!Y624&gt;=3,"B",IF('Data Source'!Y624&gt;=2,"C",IF('Data Source'!Y624&gt;=1,"D","F")))))),"")</f>
        <v/>
      </c>
      <c r="H624" s="3">
        <f>IF(AND('Data Source'!B624&lt;&gt;"",'Data Source'!S624="F"),IF('Data Source'!Z624&gt;=5,"A+",IF('Data Source'!Z624&gt;=4,"A",IF('Data Source'!Z624&gt;=3.5,"A-",IF('Data Source'!Z624&gt;=3,"B",IF('Data Source'!Z624&gt;=2,"C",IF('Data Source'!Z624&gt;=1,"D","F")))))),"")</f>
        <v/>
      </c>
      <c r="I624" s="3">
        <f>IF(AND('Data Source'!B624&lt;&gt;"",'Data Source'!S624="F"),IF('Data Source'!AA624&gt;=5,"A+",IF('Data Source'!AA624&gt;=4,"A",IF('Data Source'!AA624&gt;=3.5,"A-",IF('Data Source'!AA624&gt;=3,"B",IF('Data Source'!AA624&gt;=2,"C",IF('Data Source'!AA624&gt;=1,"D","F")))))),"")</f>
        <v/>
      </c>
      <c r="J624" s="3">
        <f>IF(AND('Data Source'!B624&lt;&gt;"",'Data Source'!S624="F"),IF('Data Source'!AB624&gt;=5,"A+",IF('Data Source'!AB624&gt;=4,"A",IF('Data Source'!AB624&gt;=3.5,"A-",IF('Data Source'!AB624&gt;=3,"B",IF('Data Source'!AB624&gt;=2,"C",IF('Data Source'!AB624&gt;=1,"D","F")))))),"")</f>
        <v/>
      </c>
      <c r="K624" s="3">
        <f>IF(AND('Data Source'!B624&lt;&gt;"",'Data Source'!S624="F"),IF('Data Source'!AC624&gt;=5,"A+",IF('Data Source'!AC624&gt;=4,"A",IF('Data Source'!AC624&gt;=3.5,"A-",IF('Data Source'!AC624&gt;=3,"B",IF('Data Source'!AC624&gt;=2,"C",IF('Data Source'!AC624&gt;=1,"D","F")))))),"")</f>
        <v/>
      </c>
      <c r="L624" s="3">
        <f>IF(AND('Data Source'!B624&lt;&gt;"",'Data Source'!S624="F"),IF('Data Source'!AD624&gt;=5,"A+",IF('Data Source'!AD624&gt;=4,"A",IF('Data Source'!AD624&gt;=3.5,"A-",IF('Data Source'!AD624&gt;=3,"B",IF('Data Source'!AD624&gt;=2,"C",IF('Data Source'!AD624&gt;=1,"D","F")))))),"")</f>
        <v/>
      </c>
      <c r="M624" s="3">
        <f>IF(AND('Data Source'!B624&lt;&gt;"",'Data Source'!S624="F"),IF('Data Source'!AE624&gt;=5,"A+",IF('Data Source'!AE624&gt;=4,"A",IF('Data Source'!AE624&gt;=3.5,"A-",IF('Data Source'!AE624&gt;=3,"B",IF('Data Source'!AE624&gt;=2,"C",IF('Data Source'!AE624&gt;=1,"D","F")))))),"")</f>
        <v/>
      </c>
      <c r="N624" s="3">
        <f>IF(AND('Data Source'!B624&lt;&gt;"",'Data Source'!S624="F"),IF('Data Source'!AF624&gt;=5,"A+",IF('Data Source'!AF624&gt;=4,"A",IF('Data Source'!AF624&gt;=3.5,"A-",IF('Data Source'!AF624&gt;=3,"B",IF('Data Source'!AF624&gt;=2,"C",IF('Data Source'!AF624&gt;=1,"D","F")))))),"")</f>
        <v/>
      </c>
      <c r="O624" s="3">
        <f>IF(AND('Data Source'!B624&lt;&gt;"",'Data Source'!S624="F"),IF('Data Source'!AG624&gt;=5,"A+",IF('Data Source'!AG624&gt;=4,"A",IF('Data Source'!AG624&gt;=3.5,"A-",IF('Data Source'!AG624&gt;=3,"B",IF('Data Source'!AG624&gt;=2,"C",IF('Data Source'!AG624&gt;=1,"D","F")))))),"")</f>
        <v/>
      </c>
      <c r="P624" s="5">
        <f>IF(AND('Data Source'!B624&lt;&gt;"",'Data Source'!S624="F"),'Data Source'!R624,"")</f>
        <v/>
      </c>
      <c r="Q624" s="3">
        <f>IF(AND('Data Source'!B624&lt;&gt;"",'Data Source'!S624="F"),'Data Source'!S624,"")</f>
        <v/>
      </c>
    </row>
    <row r="625">
      <c r="A625" s="3">
        <f>IF(AND('Data Source'!B625&lt;&gt;"",'Data Source'!S625="F"),COUNTIF('Data Source'!$S$3:S625,"F"),"")</f>
        <v/>
      </c>
      <c r="B625">
        <f>IF(AND('Data Source'!B625&lt;&gt;"",'Data Source'!S625="F"),'Data Source'!B625,"")</f>
        <v/>
      </c>
      <c r="C625" s="3">
        <f>IF(AND('Data Source'!B625&lt;&gt;"",'Data Source'!S625="F"),IF('Data Source'!U625&gt;=5,"A+",IF('Data Source'!U625&gt;=4,"A",IF('Data Source'!U625&gt;=3.5,"A-",IF('Data Source'!U625&gt;=3,"B",IF('Data Source'!U625&gt;=2,"C",IF('Data Source'!U625&gt;=1,"D","F")))))),"")</f>
        <v/>
      </c>
      <c r="D625" s="3">
        <f>IF(AND('Data Source'!B625&lt;&gt;"",'Data Source'!S625="F"),IF('Data Source'!V625&gt;=5,"A+",IF('Data Source'!V625&gt;=4,"A",IF('Data Source'!V625&gt;=3.5,"A-",IF('Data Source'!V625&gt;=3,"B",IF('Data Source'!V625&gt;=2,"C",IF('Data Source'!V625&gt;=1,"D","F")))))),"")</f>
        <v/>
      </c>
      <c r="E625" s="3">
        <f>IF(AND('Data Source'!B625&lt;&gt;"",'Data Source'!S625="F"),IF('Data Source'!W625&gt;=5,"A+",IF('Data Source'!W625&gt;=4,"A",IF('Data Source'!W625&gt;=3.5,"A-",IF('Data Source'!W625&gt;=3,"B",IF('Data Source'!W625&gt;=2,"C",IF('Data Source'!W625&gt;=1,"D","F")))))),"")</f>
        <v/>
      </c>
      <c r="F625" s="3">
        <f>IF(AND('Data Source'!B625&lt;&gt;"",'Data Source'!S625="F"),IF('Data Source'!X625&gt;=5,"A+",IF('Data Source'!X625&gt;=4,"A",IF('Data Source'!X625&gt;=3.5,"A-",IF('Data Source'!X625&gt;=3,"B",IF('Data Source'!X625&gt;=2,"C",IF('Data Source'!X625&gt;=1,"D","F")))))),"")</f>
        <v/>
      </c>
      <c r="G625" s="3">
        <f>IF(AND('Data Source'!B625&lt;&gt;"",'Data Source'!S625="F"),IF('Data Source'!Y625&gt;=5,"A+",IF('Data Source'!Y625&gt;=4,"A",IF('Data Source'!Y625&gt;=3.5,"A-",IF('Data Source'!Y625&gt;=3,"B",IF('Data Source'!Y625&gt;=2,"C",IF('Data Source'!Y625&gt;=1,"D","F")))))),"")</f>
        <v/>
      </c>
      <c r="H625" s="3">
        <f>IF(AND('Data Source'!B625&lt;&gt;"",'Data Source'!S625="F"),IF('Data Source'!Z625&gt;=5,"A+",IF('Data Source'!Z625&gt;=4,"A",IF('Data Source'!Z625&gt;=3.5,"A-",IF('Data Source'!Z625&gt;=3,"B",IF('Data Source'!Z625&gt;=2,"C",IF('Data Source'!Z625&gt;=1,"D","F")))))),"")</f>
        <v/>
      </c>
      <c r="I625" s="3">
        <f>IF(AND('Data Source'!B625&lt;&gt;"",'Data Source'!S625="F"),IF('Data Source'!AA625&gt;=5,"A+",IF('Data Source'!AA625&gt;=4,"A",IF('Data Source'!AA625&gt;=3.5,"A-",IF('Data Source'!AA625&gt;=3,"B",IF('Data Source'!AA625&gt;=2,"C",IF('Data Source'!AA625&gt;=1,"D","F")))))),"")</f>
        <v/>
      </c>
      <c r="J625" s="3">
        <f>IF(AND('Data Source'!B625&lt;&gt;"",'Data Source'!S625="F"),IF('Data Source'!AB625&gt;=5,"A+",IF('Data Source'!AB625&gt;=4,"A",IF('Data Source'!AB625&gt;=3.5,"A-",IF('Data Source'!AB625&gt;=3,"B",IF('Data Source'!AB625&gt;=2,"C",IF('Data Source'!AB625&gt;=1,"D","F")))))),"")</f>
        <v/>
      </c>
      <c r="K625" s="3">
        <f>IF(AND('Data Source'!B625&lt;&gt;"",'Data Source'!S625="F"),IF('Data Source'!AC625&gt;=5,"A+",IF('Data Source'!AC625&gt;=4,"A",IF('Data Source'!AC625&gt;=3.5,"A-",IF('Data Source'!AC625&gt;=3,"B",IF('Data Source'!AC625&gt;=2,"C",IF('Data Source'!AC625&gt;=1,"D","F")))))),"")</f>
        <v/>
      </c>
      <c r="L625" s="3">
        <f>IF(AND('Data Source'!B625&lt;&gt;"",'Data Source'!S625="F"),IF('Data Source'!AD625&gt;=5,"A+",IF('Data Source'!AD625&gt;=4,"A",IF('Data Source'!AD625&gt;=3.5,"A-",IF('Data Source'!AD625&gt;=3,"B",IF('Data Source'!AD625&gt;=2,"C",IF('Data Source'!AD625&gt;=1,"D","F")))))),"")</f>
        <v/>
      </c>
      <c r="M625" s="3">
        <f>IF(AND('Data Source'!B625&lt;&gt;"",'Data Source'!S625="F"),IF('Data Source'!AE625&gt;=5,"A+",IF('Data Source'!AE625&gt;=4,"A",IF('Data Source'!AE625&gt;=3.5,"A-",IF('Data Source'!AE625&gt;=3,"B",IF('Data Source'!AE625&gt;=2,"C",IF('Data Source'!AE625&gt;=1,"D","F")))))),"")</f>
        <v/>
      </c>
      <c r="N625" s="3">
        <f>IF(AND('Data Source'!B625&lt;&gt;"",'Data Source'!S625="F"),IF('Data Source'!AF625&gt;=5,"A+",IF('Data Source'!AF625&gt;=4,"A",IF('Data Source'!AF625&gt;=3.5,"A-",IF('Data Source'!AF625&gt;=3,"B",IF('Data Source'!AF625&gt;=2,"C",IF('Data Source'!AF625&gt;=1,"D","F")))))),"")</f>
        <v/>
      </c>
      <c r="O625" s="3">
        <f>IF(AND('Data Source'!B625&lt;&gt;"",'Data Source'!S625="F"),IF('Data Source'!AG625&gt;=5,"A+",IF('Data Source'!AG625&gt;=4,"A",IF('Data Source'!AG625&gt;=3.5,"A-",IF('Data Source'!AG625&gt;=3,"B",IF('Data Source'!AG625&gt;=2,"C",IF('Data Source'!AG625&gt;=1,"D","F")))))),"")</f>
        <v/>
      </c>
      <c r="P625" s="5">
        <f>IF(AND('Data Source'!B625&lt;&gt;"",'Data Source'!S625="F"),'Data Source'!R625,"")</f>
        <v/>
      </c>
      <c r="Q625" s="3">
        <f>IF(AND('Data Source'!B625&lt;&gt;"",'Data Source'!S625="F"),'Data Source'!S625,"")</f>
        <v/>
      </c>
    </row>
    <row r="626">
      <c r="A626" s="3">
        <f>IF(AND('Data Source'!B626&lt;&gt;"",'Data Source'!S626="F"),COUNTIF('Data Source'!$S$3:S626,"F"),"")</f>
        <v/>
      </c>
      <c r="B626">
        <f>IF(AND('Data Source'!B626&lt;&gt;"",'Data Source'!S626="F"),'Data Source'!B626,"")</f>
        <v/>
      </c>
      <c r="C626" s="3">
        <f>IF(AND('Data Source'!B626&lt;&gt;"",'Data Source'!S626="F"),IF('Data Source'!U626&gt;=5,"A+",IF('Data Source'!U626&gt;=4,"A",IF('Data Source'!U626&gt;=3.5,"A-",IF('Data Source'!U626&gt;=3,"B",IF('Data Source'!U626&gt;=2,"C",IF('Data Source'!U626&gt;=1,"D","F")))))),"")</f>
        <v/>
      </c>
      <c r="D626" s="3">
        <f>IF(AND('Data Source'!B626&lt;&gt;"",'Data Source'!S626="F"),IF('Data Source'!V626&gt;=5,"A+",IF('Data Source'!V626&gt;=4,"A",IF('Data Source'!V626&gt;=3.5,"A-",IF('Data Source'!V626&gt;=3,"B",IF('Data Source'!V626&gt;=2,"C",IF('Data Source'!V626&gt;=1,"D","F")))))),"")</f>
        <v/>
      </c>
      <c r="E626" s="3">
        <f>IF(AND('Data Source'!B626&lt;&gt;"",'Data Source'!S626="F"),IF('Data Source'!W626&gt;=5,"A+",IF('Data Source'!W626&gt;=4,"A",IF('Data Source'!W626&gt;=3.5,"A-",IF('Data Source'!W626&gt;=3,"B",IF('Data Source'!W626&gt;=2,"C",IF('Data Source'!W626&gt;=1,"D","F")))))),"")</f>
        <v/>
      </c>
      <c r="F626" s="3">
        <f>IF(AND('Data Source'!B626&lt;&gt;"",'Data Source'!S626="F"),IF('Data Source'!X626&gt;=5,"A+",IF('Data Source'!X626&gt;=4,"A",IF('Data Source'!X626&gt;=3.5,"A-",IF('Data Source'!X626&gt;=3,"B",IF('Data Source'!X626&gt;=2,"C",IF('Data Source'!X626&gt;=1,"D","F")))))),"")</f>
        <v/>
      </c>
      <c r="G626" s="3">
        <f>IF(AND('Data Source'!B626&lt;&gt;"",'Data Source'!S626="F"),IF('Data Source'!Y626&gt;=5,"A+",IF('Data Source'!Y626&gt;=4,"A",IF('Data Source'!Y626&gt;=3.5,"A-",IF('Data Source'!Y626&gt;=3,"B",IF('Data Source'!Y626&gt;=2,"C",IF('Data Source'!Y626&gt;=1,"D","F")))))),"")</f>
        <v/>
      </c>
      <c r="H626" s="3">
        <f>IF(AND('Data Source'!B626&lt;&gt;"",'Data Source'!S626="F"),IF('Data Source'!Z626&gt;=5,"A+",IF('Data Source'!Z626&gt;=4,"A",IF('Data Source'!Z626&gt;=3.5,"A-",IF('Data Source'!Z626&gt;=3,"B",IF('Data Source'!Z626&gt;=2,"C",IF('Data Source'!Z626&gt;=1,"D","F")))))),"")</f>
        <v/>
      </c>
      <c r="I626" s="3">
        <f>IF(AND('Data Source'!B626&lt;&gt;"",'Data Source'!S626="F"),IF('Data Source'!AA626&gt;=5,"A+",IF('Data Source'!AA626&gt;=4,"A",IF('Data Source'!AA626&gt;=3.5,"A-",IF('Data Source'!AA626&gt;=3,"B",IF('Data Source'!AA626&gt;=2,"C",IF('Data Source'!AA626&gt;=1,"D","F")))))),"")</f>
        <v/>
      </c>
      <c r="J626" s="3">
        <f>IF(AND('Data Source'!B626&lt;&gt;"",'Data Source'!S626="F"),IF('Data Source'!AB626&gt;=5,"A+",IF('Data Source'!AB626&gt;=4,"A",IF('Data Source'!AB626&gt;=3.5,"A-",IF('Data Source'!AB626&gt;=3,"B",IF('Data Source'!AB626&gt;=2,"C",IF('Data Source'!AB626&gt;=1,"D","F")))))),"")</f>
        <v/>
      </c>
      <c r="K626" s="3">
        <f>IF(AND('Data Source'!B626&lt;&gt;"",'Data Source'!S626="F"),IF('Data Source'!AC626&gt;=5,"A+",IF('Data Source'!AC626&gt;=4,"A",IF('Data Source'!AC626&gt;=3.5,"A-",IF('Data Source'!AC626&gt;=3,"B",IF('Data Source'!AC626&gt;=2,"C",IF('Data Source'!AC626&gt;=1,"D","F")))))),"")</f>
        <v/>
      </c>
      <c r="L626" s="3">
        <f>IF(AND('Data Source'!B626&lt;&gt;"",'Data Source'!S626="F"),IF('Data Source'!AD626&gt;=5,"A+",IF('Data Source'!AD626&gt;=4,"A",IF('Data Source'!AD626&gt;=3.5,"A-",IF('Data Source'!AD626&gt;=3,"B",IF('Data Source'!AD626&gt;=2,"C",IF('Data Source'!AD626&gt;=1,"D","F")))))),"")</f>
        <v/>
      </c>
      <c r="M626" s="3">
        <f>IF(AND('Data Source'!B626&lt;&gt;"",'Data Source'!S626="F"),IF('Data Source'!AE626&gt;=5,"A+",IF('Data Source'!AE626&gt;=4,"A",IF('Data Source'!AE626&gt;=3.5,"A-",IF('Data Source'!AE626&gt;=3,"B",IF('Data Source'!AE626&gt;=2,"C",IF('Data Source'!AE626&gt;=1,"D","F")))))),"")</f>
        <v/>
      </c>
      <c r="N626" s="3">
        <f>IF(AND('Data Source'!B626&lt;&gt;"",'Data Source'!S626="F"),IF('Data Source'!AF626&gt;=5,"A+",IF('Data Source'!AF626&gt;=4,"A",IF('Data Source'!AF626&gt;=3.5,"A-",IF('Data Source'!AF626&gt;=3,"B",IF('Data Source'!AF626&gt;=2,"C",IF('Data Source'!AF626&gt;=1,"D","F")))))),"")</f>
        <v/>
      </c>
      <c r="O626" s="3">
        <f>IF(AND('Data Source'!B626&lt;&gt;"",'Data Source'!S626="F"),IF('Data Source'!AG626&gt;=5,"A+",IF('Data Source'!AG626&gt;=4,"A",IF('Data Source'!AG626&gt;=3.5,"A-",IF('Data Source'!AG626&gt;=3,"B",IF('Data Source'!AG626&gt;=2,"C",IF('Data Source'!AG626&gt;=1,"D","F")))))),"")</f>
        <v/>
      </c>
      <c r="P626" s="5">
        <f>IF(AND('Data Source'!B626&lt;&gt;"",'Data Source'!S626="F"),'Data Source'!R626,"")</f>
        <v/>
      </c>
      <c r="Q626" s="3">
        <f>IF(AND('Data Source'!B626&lt;&gt;"",'Data Source'!S626="F"),'Data Source'!S626,"")</f>
        <v/>
      </c>
    </row>
    <row r="627">
      <c r="A627" s="3">
        <f>IF(AND('Data Source'!B627&lt;&gt;"",'Data Source'!S627="F"),COUNTIF('Data Source'!$S$3:S627,"F"),"")</f>
        <v/>
      </c>
      <c r="B627">
        <f>IF(AND('Data Source'!B627&lt;&gt;"",'Data Source'!S627="F"),'Data Source'!B627,"")</f>
        <v/>
      </c>
      <c r="C627" s="3">
        <f>IF(AND('Data Source'!B627&lt;&gt;"",'Data Source'!S627="F"),IF('Data Source'!U627&gt;=5,"A+",IF('Data Source'!U627&gt;=4,"A",IF('Data Source'!U627&gt;=3.5,"A-",IF('Data Source'!U627&gt;=3,"B",IF('Data Source'!U627&gt;=2,"C",IF('Data Source'!U627&gt;=1,"D","F")))))),"")</f>
        <v/>
      </c>
      <c r="D627" s="3">
        <f>IF(AND('Data Source'!B627&lt;&gt;"",'Data Source'!S627="F"),IF('Data Source'!V627&gt;=5,"A+",IF('Data Source'!V627&gt;=4,"A",IF('Data Source'!V627&gt;=3.5,"A-",IF('Data Source'!V627&gt;=3,"B",IF('Data Source'!V627&gt;=2,"C",IF('Data Source'!V627&gt;=1,"D","F")))))),"")</f>
        <v/>
      </c>
      <c r="E627" s="3">
        <f>IF(AND('Data Source'!B627&lt;&gt;"",'Data Source'!S627="F"),IF('Data Source'!W627&gt;=5,"A+",IF('Data Source'!W627&gt;=4,"A",IF('Data Source'!W627&gt;=3.5,"A-",IF('Data Source'!W627&gt;=3,"B",IF('Data Source'!W627&gt;=2,"C",IF('Data Source'!W627&gt;=1,"D","F")))))),"")</f>
        <v/>
      </c>
      <c r="F627" s="3">
        <f>IF(AND('Data Source'!B627&lt;&gt;"",'Data Source'!S627="F"),IF('Data Source'!X627&gt;=5,"A+",IF('Data Source'!X627&gt;=4,"A",IF('Data Source'!X627&gt;=3.5,"A-",IF('Data Source'!X627&gt;=3,"B",IF('Data Source'!X627&gt;=2,"C",IF('Data Source'!X627&gt;=1,"D","F")))))),"")</f>
        <v/>
      </c>
      <c r="G627" s="3">
        <f>IF(AND('Data Source'!B627&lt;&gt;"",'Data Source'!S627="F"),IF('Data Source'!Y627&gt;=5,"A+",IF('Data Source'!Y627&gt;=4,"A",IF('Data Source'!Y627&gt;=3.5,"A-",IF('Data Source'!Y627&gt;=3,"B",IF('Data Source'!Y627&gt;=2,"C",IF('Data Source'!Y627&gt;=1,"D","F")))))),"")</f>
        <v/>
      </c>
      <c r="H627" s="3">
        <f>IF(AND('Data Source'!B627&lt;&gt;"",'Data Source'!S627="F"),IF('Data Source'!Z627&gt;=5,"A+",IF('Data Source'!Z627&gt;=4,"A",IF('Data Source'!Z627&gt;=3.5,"A-",IF('Data Source'!Z627&gt;=3,"B",IF('Data Source'!Z627&gt;=2,"C",IF('Data Source'!Z627&gt;=1,"D","F")))))),"")</f>
        <v/>
      </c>
      <c r="I627" s="3">
        <f>IF(AND('Data Source'!B627&lt;&gt;"",'Data Source'!S627="F"),IF('Data Source'!AA627&gt;=5,"A+",IF('Data Source'!AA627&gt;=4,"A",IF('Data Source'!AA627&gt;=3.5,"A-",IF('Data Source'!AA627&gt;=3,"B",IF('Data Source'!AA627&gt;=2,"C",IF('Data Source'!AA627&gt;=1,"D","F")))))),"")</f>
        <v/>
      </c>
      <c r="J627" s="3">
        <f>IF(AND('Data Source'!B627&lt;&gt;"",'Data Source'!S627="F"),IF('Data Source'!AB627&gt;=5,"A+",IF('Data Source'!AB627&gt;=4,"A",IF('Data Source'!AB627&gt;=3.5,"A-",IF('Data Source'!AB627&gt;=3,"B",IF('Data Source'!AB627&gt;=2,"C",IF('Data Source'!AB627&gt;=1,"D","F")))))),"")</f>
        <v/>
      </c>
      <c r="K627" s="3">
        <f>IF(AND('Data Source'!B627&lt;&gt;"",'Data Source'!S627="F"),IF('Data Source'!AC627&gt;=5,"A+",IF('Data Source'!AC627&gt;=4,"A",IF('Data Source'!AC627&gt;=3.5,"A-",IF('Data Source'!AC627&gt;=3,"B",IF('Data Source'!AC627&gt;=2,"C",IF('Data Source'!AC627&gt;=1,"D","F")))))),"")</f>
        <v/>
      </c>
      <c r="L627" s="3">
        <f>IF(AND('Data Source'!B627&lt;&gt;"",'Data Source'!S627="F"),IF('Data Source'!AD627&gt;=5,"A+",IF('Data Source'!AD627&gt;=4,"A",IF('Data Source'!AD627&gt;=3.5,"A-",IF('Data Source'!AD627&gt;=3,"B",IF('Data Source'!AD627&gt;=2,"C",IF('Data Source'!AD627&gt;=1,"D","F")))))),"")</f>
        <v/>
      </c>
      <c r="M627" s="3">
        <f>IF(AND('Data Source'!B627&lt;&gt;"",'Data Source'!S627="F"),IF('Data Source'!AE627&gt;=5,"A+",IF('Data Source'!AE627&gt;=4,"A",IF('Data Source'!AE627&gt;=3.5,"A-",IF('Data Source'!AE627&gt;=3,"B",IF('Data Source'!AE627&gt;=2,"C",IF('Data Source'!AE627&gt;=1,"D","F")))))),"")</f>
        <v/>
      </c>
      <c r="N627" s="3">
        <f>IF(AND('Data Source'!B627&lt;&gt;"",'Data Source'!S627="F"),IF('Data Source'!AF627&gt;=5,"A+",IF('Data Source'!AF627&gt;=4,"A",IF('Data Source'!AF627&gt;=3.5,"A-",IF('Data Source'!AF627&gt;=3,"B",IF('Data Source'!AF627&gt;=2,"C",IF('Data Source'!AF627&gt;=1,"D","F")))))),"")</f>
        <v/>
      </c>
      <c r="O627" s="3">
        <f>IF(AND('Data Source'!B627&lt;&gt;"",'Data Source'!S627="F"),IF('Data Source'!AG627&gt;=5,"A+",IF('Data Source'!AG627&gt;=4,"A",IF('Data Source'!AG627&gt;=3.5,"A-",IF('Data Source'!AG627&gt;=3,"B",IF('Data Source'!AG627&gt;=2,"C",IF('Data Source'!AG627&gt;=1,"D","F")))))),"")</f>
        <v/>
      </c>
      <c r="P627" s="5">
        <f>IF(AND('Data Source'!B627&lt;&gt;"",'Data Source'!S627="F"),'Data Source'!R627,"")</f>
        <v/>
      </c>
      <c r="Q627" s="3">
        <f>IF(AND('Data Source'!B627&lt;&gt;"",'Data Source'!S627="F"),'Data Source'!S627,"")</f>
        <v/>
      </c>
    </row>
    <row r="628">
      <c r="A628" s="3">
        <f>IF(AND('Data Source'!B628&lt;&gt;"",'Data Source'!S628="F"),COUNTIF('Data Source'!$S$3:S628,"F"),"")</f>
        <v/>
      </c>
      <c r="B628">
        <f>IF(AND('Data Source'!B628&lt;&gt;"",'Data Source'!S628="F"),'Data Source'!B628,"")</f>
        <v/>
      </c>
      <c r="C628" s="3">
        <f>IF(AND('Data Source'!B628&lt;&gt;"",'Data Source'!S628="F"),IF('Data Source'!U628&gt;=5,"A+",IF('Data Source'!U628&gt;=4,"A",IF('Data Source'!U628&gt;=3.5,"A-",IF('Data Source'!U628&gt;=3,"B",IF('Data Source'!U628&gt;=2,"C",IF('Data Source'!U628&gt;=1,"D","F")))))),"")</f>
        <v/>
      </c>
      <c r="D628" s="3">
        <f>IF(AND('Data Source'!B628&lt;&gt;"",'Data Source'!S628="F"),IF('Data Source'!V628&gt;=5,"A+",IF('Data Source'!V628&gt;=4,"A",IF('Data Source'!V628&gt;=3.5,"A-",IF('Data Source'!V628&gt;=3,"B",IF('Data Source'!V628&gt;=2,"C",IF('Data Source'!V628&gt;=1,"D","F")))))),"")</f>
        <v/>
      </c>
      <c r="E628" s="3">
        <f>IF(AND('Data Source'!B628&lt;&gt;"",'Data Source'!S628="F"),IF('Data Source'!W628&gt;=5,"A+",IF('Data Source'!W628&gt;=4,"A",IF('Data Source'!W628&gt;=3.5,"A-",IF('Data Source'!W628&gt;=3,"B",IF('Data Source'!W628&gt;=2,"C",IF('Data Source'!W628&gt;=1,"D","F")))))),"")</f>
        <v/>
      </c>
      <c r="F628" s="3">
        <f>IF(AND('Data Source'!B628&lt;&gt;"",'Data Source'!S628="F"),IF('Data Source'!X628&gt;=5,"A+",IF('Data Source'!X628&gt;=4,"A",IF('Data Source'!X628&gt;=3.5,"A-",IF('Data Source'!X628&gt;=3,"B",IF('Data Source'!X628&gt;=2,"C",IF('Data Source'!X628&gt;=1,"D","F")))))),"")</f>
        <v/>
      </c>
      <c r="G628" s="3">
        <f>IF(AND('Data Source'!B628&lt;&gt;"",'Data Source'!S628="F"),IF('Data Source'!Y628&gt;=5,"A+",IF('Data Source'!Y628&gt;=4,"A",IF('Data Source'!Y628&gt;=3.5,"A-",IF('Data Source'!Y628&gt;=3,"B",IF('Data Source'!Y628&gt;=2,"C",IF('Data Source'!Y628&gt;=1,"D","F")))))),"")</f>
        <v/>
      </c>
      <c r="H628" s="3">
        <f>IF(AND('Data Source'!B628&lt;&gt;"",'Data Source'!S628="F"),IF('Data Source'!Z628&gt;=5,"A+",IF('Data Source'!Z628&gt;=4,"A",IF('Data Source'!Z628&gt;=3.5,"A-",IF('Data Source'!Z628&gt;=3,"B",IF('Data Source'!Z628&gt;=2,"C",IF('Data Source'!Z628&gt;=1,"D","F")))))),"")</f>
        <v/>
      </c>
      <c r="I628" s="3">
        <f>IF(AND('Data Source'!B628&lt;&gt;"",'Data Source'!S628="F"),IF('Data Source'!AA628&gt;=5,"A+",IF('Data Source'!AA628&gt;=4,"A",IF('Data Source'!AA628&gt;=3.5,"A-",IF('Data Source'!AA628&gt;=3,"B",IF('Data Source'!AA628&gt;=2,"C",IF('Data Source'!AA628&gt;=1,"D","F")))))),"")</f>
        <v/>
      </c>
      <c r="J628" s="3">
        <f>IF(AND('Data Source'!B628&lt;&gt;"",'Data Source'!S628="F"),IF('Data Source'!AB628&gt;=5,"A+",IF('Data Source'!AB628&gt;=4,"A",IF('Data Source'!AB628&gt;=3.5,"A-",IF('Data Source'!AB628&gt;=3,"B",IF('Data Source'!AB628&gt;=2,"C",IF('Data Source'!AB628&gt;=1,"D","F")))))),"")</f>
        <v/>
      </c>
      <c r="K628" s="3">
        <f>IF(AND('Data Source'!B628&lt;&gt;"",'Data Source'!S628="F"),IF('Data Source'!AC628&gt;=5,"A+",IF('Data Source'!AC628&gt;=4,"A",IF('Data Source'!AC628&gt;=3.5,"A-",IF('Data Source'!AC628&gt;=3,"B",IF('Data Source'!AC628&gt;=2,"C",IF('Data Source'!AC628&gt;=1,"D","F")))))),"")</f>
        <v/>
      </c>
      <c r="L628" s="3">
        <f>IF(AND('Data Source'!B628&lt;&gt;"",'Data Source'!S628="F"),IF('Data Source'!AD628&gt;=5,"A+",IF('Data Source'!AD628&gt;=4,"A",IF('Data Source'!AD628&gt;=3.5,"A-",IF('Data Source'!AD628&gt;=3,"B",IF('Data Source'!AD628&gt;=2,"C",IF('Data Source'!AD628&gt;=1,"D","F")))))),"")</f>
        <v/>
      </c>
      <c r="M628" s="3">
        <f>IF(AND('Data Source'!B628&lt;&gt;"",'Data Source'!S628="F"),IF('Data Source'!AE628&gt;=5,"A+",IF('Data Source'!AE628&gt;=4,"A",IF('Data Source'!AE628&gt;=3.5,"A-",IF('Data Source'!AE628&gt;=3,"B",IF('Data Source'!AE628&gt;=2,"C",IF('Data Source'!AE628&gt;=1,"D","F")))))),"")</f>
        <v/>
      </c>
      <c r="N628" s="3">
        <f>IF(AND('Data Source'!B628&lt;&gt;"",'Data Source'!S628="F"),IF('Data Source'!AF628&gt;=5,"A+",IF('Data Source'!AF628&gt;=4,"A",IF('Data Source'!AF628&gt;=3.5,"A-",IF('Data Source'!AF628&gt;=3,"B",IF('Data Source'!AF628&gt;=2,"C",IF('Data Source'!AF628&gt;=1,"D","F")))))),"")</f>
        <v/>
      </c>
      <c r="O628" s="3">
        <f>IF(AND('Data Source'!B628&lt;&gt;"",'Data Source'!S628="F"),IF('Data Source'!AG628&gt;=5,"A+",IF('Data Source'!AG628&gt;=4,"A",IF('Data Source'!AG628&gt;=3.5,"A-",IF('Data Source'!AG628&gt;=3,"B",IF('Data Source'!AG628&gt;=2,"C",IF('Data Source'!AG628&gt;=1,"D","F")))))),"")</f>
        <v/>
      </c>
      <c r="P628" s="5">
        <f>IF(AND('Data Source'!B628&lt;&gt;"",'Data Source'!S628="F"),'Data Source'!R628,"")</f>
        <v/>
      </c>
      <c r="Q628" s="3">
        <f>IF(AND('Data Source'!B628&lt;&gt;"",'Data Source'!S628="F"),'Data Source'!S628,"")</f>
        <v/>
      </c>
    </row>
    <row r="629">
      <c r="A629" s="3">
        <f>IF(AND('Data Source'!B629&lt;&gt;"",'Data Source'!S629="F"),COUNTIF('Data Source'!$S$3:S629,"F"),"")</f>
        <v/>
      </c>
      <c r="B629">
        <f>IF(AND('Data Source'!B629&lt;&gt;"",'Data Source'!S629="F"),'Data Source'!B629,"")</f>
        <v/>
      </c>
      <c r="C629" s="3">
        <f>IF(AND('Data Source'!B629&lt;&gt;"",'Data Source'!S629="F"),IF('Data Source'!U629&gt;=5,"A+",IF('Data Source'!U629&gt;=4,"A",IF('Data Source'!U629&gt;=3.5,"A-",IF('Data Source'!U629&gt;=3,"B",IF('Data Source'!U629&gt;=2,"C",IF('Data Source'!U629&gt;=1,"D","F")))))),"")</f>
        <v/>
      </c>
      <c r="D629" s="3">
        <f>IF(AND('Data Source'!B629&lt;&gt;"",'Data Source'!S629="F"),IF('Data Source'!V629&gt;=5,"A+",IF('Data Source'!V629&gt;=4,"A",IF('Data Source'!V629&gt;=3.5,"A-",IF('Data Source'!V629&gt;=3,"B",IF('Data Source'!V629&gt;=2,"C",IF('Data Source'!V629&gt;=1,"D","F")))))),"")</f>
        <v/>
      </c>
      <c r="E629" s="3">
        <f>IF(AND('Data Source'!B629&lt;&gt;"",'Data Source'!S629="F"),IF('Data Source'!W629&gt;=5,"A+",IF('Data Source'!W629&gt;=4,"A",IF('Data Source'!W629&gt;=3.5,"A-",IF('Data Source'!W629&gt;=3,"B",IF('Data Source'!W629&gt;=2,"C",IF('Data Source'!W629&gt;=1,"D","F")))))),"")</f>
        <v/>
      </c>
      <c r="F629" s="3">
        <f>IF(AND('Data Source'!B629&lt;&gt;"",'Data Source'!S629="F"),IF('Data Source'!X629&gt;=5,"A+",IF('Data Source'!X629&gt;=4,"A",IF('Data Source'!X629&gt;=3.5,"A-",IF('Data Source'!X629&gt;=3,"B",IF('Data Source'!X629&gt;=2,"C",IF('Data Source'!X629&gt;=1,"D","F")))))),"")</f>
        <v/>
      </c>
      <c r="G629" s="3">
        <f>IF(AND('Data Source'!B629&lt;&gt;"",'Data Source'!S629="F"),IF('Data Source'!Y629&gt;=5,"A+",IF('Data Source'!Y629&gt;=4,"A",IF('Data Source'!Y629&gt;=3.5,"A-",IF('Data Source'!Y629&gt;=3,"B",IF('Data Source'!Y629&gt;=2,"C",IF('Data Source'!Y629&gt;=1,"D","F")))))),"")</f>
        <v/>
      </c>
      <c r="H629" s="3">
        <f>IF(AND('Data Source'!B629&lt;&gt;"",'Data Source'!S629="F"),IF('Data Source'!Z629&gt;=5,"A+",IF('Data Source'!Z629&gt;=4,"A",IF('Data Source'!Z629&gt;=3.5,"A-",IF('Data Source'!Z629&gt;=3,"B",IF('Data Source'!Z629&gt;=2,"C",IF('Data Source'!Z629&gt;=1,"D","F")))))),"")</f>
        <v/>
      </c>
      <c r="I629" s="3">
        <f>IF(AND('Data Source'!B629&lt;&gt;"",'Data Source'!S629="F"),IF('Data Source'!AA629&gt;=5,"A+",IF('Data Source'!AA629&gt;=4,"A",IF('Data Source'!AA629&gt;=3.5,"A-",IF('Data Source'!AA629&gt;=3,"B",IF('Data Source'!AA629&gt;=2,"C",IF('Data Source'!AA629&gt;=1,"D","F")))))),"")</f>
        <v/>
      </c>
      <c r="J629" s="3">
        <f>IF(AND('Data Source'!B629&lt;&gt;"",'Data Source'!S629="F"),IF('Data Source'!AB629&gt;=5,"A+",IF('Data Source'!AB629&gt;=4,"A",IF('Data Source'!AB629&gt;=3.5,"A-",IF('Data Source'!AB629&gt;=3,"B",IF('Data Source'!AB629&gt;=2,"C",IF('Data Source'!AB629&gt;=1,"D","F")))))),"")</f>
        <v/>
      </c>
      <c r="K629" s="3">
        <f>IF(AND('Data Source'!B629&lt;&gt;"",'Data Source'!S629="F"),IF('Data Source'!AC629&gt;=5,"A+",IF('Data Source'!AC629&gt;=4,"A",IF('Data Source'!AC629&gt;=3.5,"A-",IF('Data Source'!AC629&gt;=3,"B",IF('Data Source'!AC629&gt;=2,"C",IF('Data Source'!AC629&gt;=1,"D","F")))))),"")</f>
        <v/>
      </c>
      <c r="L629" s="3">
        <f>IF(AND('Data Source'!B629&lt;&gt;"",'Data Source'!S629="F"),IF('Data Source'!AD629&gt;=5,"A+",IF('Data Source'!AD629&gt;=4,"A",IF('Data Source'!AD629&gt;=3.5,"A-",IF('Data Source'!AD629&gt;=3,"B",IF('Data Source'!AD629&gt;=2,"C",IF('Data Source'!AD629&gt;=1,"D","F")))))),"")</f>
        <v/>
      </c>
      <c r="M629" s="3">
        <f>IF(AND('Data Source'!B629&lt;&gt;"",'Data Source'!S629="F"),IF('Data Source'!AE629&gt;=5,"A+",IF('Data Source'!AE629&gt;=4,"A",IF('Data Source'!AE629&gt;=3.5,"A-",IF('Data Source'!AE629&gt;=3,"B",IF('Data Source'!AE629&gt;=2,"C",IF('Data Source'!AE629&gt;=1,"D","F")))))),"")</f>
        <v/>
      </c>
      <c r="N629" s="3">
        <f>IF(AND('Data Source'!B629&lt;&gt;"",'Data Source'!S629="F"),IF('Data Source'!AF629&gt;=5,"A+",IF('Data Source'!AF629&gt;=4,"A",IF('Data Source'!AF629&gt;=3.5,"A-",IF('Data Source'!AF629&gt;=3,"B",IF('Data Source'!AF629&gt;=2,"C",IF('Data Source'!AF629&gt;=1,"D","F")))))),"")</f>
        <v/>
      </c>
      <c r="O629" s="3">
        <f>IF(AND('Data Source'!B629&lt;&gt;"",'Data Source'!S629="F"),IF('Data Source'!AG629&gt;=5,"A+",IF('Data Source'!AG629&gt;=4,"A",IF('Data Source'!AG629&gt;=3.5,"A-",IF('Data Source'!AG629&gt;=3,"B",IF('Data Source'!AG629&gt;=2,"C",IF('Data Source'!AG629&gt;=1,"D","F")))))),"")</f>
        <v/>
      </c>
      <c r="P629" s="5">
        <f>IF(AND('Data Source'!B629&lt;&gt;"",'Data Source'!S629="F"),'Data Source'!R629,"")</f>
        <v/>
      </c>
      <c r="Q629" s="3">
        <f>IF(AND('Data Source'!B629&lt;&gt;"",'Data Source'!S629="F"),'Data Source'!S629,"")</f>
        <v/>
      </c>
    </row>
    <row r="630">
      <c r="A630" s="3">
        <f>IF(AND('Data Source'!B630&lt;&gt;"",'Data Source'!S630="F"),COUNTIF('Data Source'!$S$3:S630,"F"),"")</f>
        <v/>
      </c>
      <c r="B630">
        <f>IF(AND('Data Source'!B630&lt;&gt;"",'Data Source'!S630="F"),'Data Source'!B630,"")</f>
        <v/>
      </c>
      <c r="C630" s="3">
        <f>IF(AND('Data Source'!B630&lt;&gt;"",'Data Source'!S630="F"),IF('Data Source'!U630&gt;=5,"A+",IF('Data Source'!U630&gt;=4,"A",IF('Data Source'!U630&gt;=3.5,"A-",IF('Data Source'!U630&gt;=3,"B",IF('Data Source'!U630&gt;=2,"C",IF('Data Source'!U630&gt;=1,"D","F")))))),"")</f>
        <v/>
      </c>
      <c r="D630" s="3">
        <f>IF(AND('Data Source'!B630&lt;&gt;"",'Data Source'!S630="F"),IF('Data Source'!V630&gt;=5,"A+",IF('Data Source'!V630&gt;=4,"A",IF('Data Source'!V630&gt;=3.5,"A-",IF('Data Source'!V630&gt;=3,"B",IF('Data Source'!V630&gt;=2,"C",IF('Data Source'!V630&gt;=1,"D","F")))))),"")</f>
        <v/>
      </c>
      <c r="E630" s="3">
        <f>IF(AND('Data Source'!B630&lt;&gt;"",'Data Source'!S630="F"),IF('Data Source'!W630&gt;=5,"A+",IF('Data Source'!W630&gt;=4,"A",IF('Data Source'!W630&gt;=3.5,"A-",IF('Data Source'!W630&gt;=3,"B",IF('Data Source'!W630&gt;=2,"C",IF('Data Source'!W630&gt;=1,"D","F")))))),"")</f>
        <v/>
      </c>
      <c r="F630" s="3">
        <f>IF(AND('Data Source'!B630&lt;&gt;"",'Data Source'!S630="F"),IF('Data Source'!X630&gt;=5,"A+",IF('Data Source'!X630&gt;=4,"A",IF('Data Source'!X630&gt;=3.5,"A-",IF('Data Source'!X630&gt;=3,"B",IF('Data Source'!X630&gt;=2,"C",IF('Data Source'!X630&gt;=1,"D","F")))))),"")</f>
        <v/>
      </c>
      <c r="G630" s="3">
        <f>IF(AND('Data Source'!B630&lt;&gt;"",'Data Source'!S630="F"),IF('Data Source'!Y630&gt;=5,"A+",IF('Data Source'!Y630&gt;=4,"A",IF('Data Source'!Y630&gt;=3.5,"A-",IF('Data Source'!Y630&gt;=3,"B",IF('Data Source'!Y630&gt;=2,"C",IF('Data Source'!Y630&gt;=1,"D","F")))))),"")</f>
        <v/>
      </c>
      <c r="H630" s="3">
        <f>IF(AND('Data Source'!B630&lt;&gt;"",'Data Source'!S630="F"),IF('Data Source'!Z630&gt;=5,"A+",IF('Data Source'!Z630&gt;=4,"A",IF('Data Source'!Z630&gt;=3.5,"A-",IF('Data Source'!Z630&gt;=3,"B",IF('Data Source'!Z630&gt;=2,"C",IF('Data Source'!Z630&gt;=1,"D","F")))))),"")</f>
        <v/>
      </c>
      <c r="I630" s="3">
        <f>IF(AND('Data Source'!B630&lt;&gt;"",'Data Source'!S630="F"),IF('Data Source'!AA630&gt;=5,"A+",IF('Data Source'!AA630&gt;=4,"A",IF('Data Source'!AA630&gt;=3.5,"A-",IF('Data Source'!AA630&gt;=3,"B",IF('Data Source'!AA630&gt;=2,"C",IF('Data Source'!AA630&gt;=1,"D","F")))))),"")</f>
        <v/>
      </c>
      <c r="J630" s="3">
        <f>IF(AND('Data Source'!B630&lt;&gt;"",'Data Source'!S630="F"),IF('Data Source'!AB630&gt;=5,"A+",IF('Data Source'!AB630&gt;=4,"A",IF('Data Source'!AB630&gt;=3.5,"A-",IF('Data Source'!AB630&gt;=3,"B",IF('Data Source'!AB630&gt;=2,"C",IF('Data Source'!AB630&gt;=1,"D","F")))))),"")</f>
        <v/>
      </c>
      <c r="K630" s="3">
        <f>IF(AND('Data Source'!B630&lt;&gt;"",'Data Source'!S630="F"),IF('Data Source'!AC630&gt;=5,"A+",IF('Data Source'!AC630&gt;=4,"A",IF('Data Source'!AC630&gt;=3.5,"A-",IF('Data Source'!AC630&gt;=3,"B",IF('Data Source'!AC630&gt;=2,"C",IF('Data Source'!AC630&gt;=1,"D","F")))))),"")</f>
        <v/>
      </c>
      <c r="L630" s="3">
        <f>IF(AND('Data Source'!B630&lt;&gt;"",'Data Source'!S630="F"),IF('Data Source'!AD630&gt;=5,"A+",IF('Data Source'!AD630&gt;=4,"A",IF('Data Source'!AD630&gt;=3.5,"A-",IF('Data Source'!AD630&gt;=3,"B",IF('Data Source'!AD630&gt;=2,"C",IF('Data Source'!AD630&gt;=1,"D","F")))))),"")</f>
        <v/>
      </c>
      <c r="M630" s="3">
        <f>IF(AND('Data Source'!B630&lt;&gt;"",'Data Source'!S630="F"),IF('Data Source'!AE630&gt;=5,"A+",IF('Data Source'!AE630&gt;=4,"A",IF('Data Source'!AE630&gt;=3.5,"A-",IF('Data Source'!AE630&gt;=3,"B",IF('Data Source'!AE630&gt;=2,"C",IF('Data Source'!AE630&gt;=1,"D","F")))))),"")</f>
        <v/>
      </c>
      <c r="N630" s="3">
        <f>IF(AND('Data Source'!B630&lt;&gt;"",'Data Source'!S630="F"),IF('Data Source'!AF630&gt;=5,"A+",IF('Data Source'!AF630&gt;=4,"A",IF('Data Source'!AF630&gt;=3.5,"A-",IF('Data Source'!AF630&gt;=3,"B",IF('Data Source'!AF630&gt;=2,"C",IF('Data Source'!AF630&gt;=1,"D","F")))))),"")</f>
        <v/>
      </c>
      <c r="O630" s="3">
        <f>IF(AND('Data Source'!B630&lt;&gt;"",'Data Source'!S630="F"),IF('Data Source'!AG630&gt;=5,"A+",IF('Data Source'!AG630&gt;=4,"A",IF('Data Source'!AG630&gt;=3.5,"A-",IF('Data Source'!AG630&gt;=3,"B",IF('Data Source'!AG630&gt;=2,"C",IF('Data Source'!AG630&gt;=1,"D","F")))))),"")</f>
        <v/>
      </c>
      <c r="P630" s="5">
        <f>IF(AND('Data Source'!B630&lt;&gt;"",'Data Source'!S630="F"),'Data Source'!R630,"")</f>
        <v/>
      </c>
      <c r="Q630" s="3">
        <f>IF(AND('Data Source'!B630&lt;&gt;"",'Data Source'!S630="F"),'Data Source'!S630,"")</f>
        <v/>
      </c>
    </row>
    <row r="631">
      <c r="A631" s="3">
        <f>IF(AND('Data Source'!B631&lt;&gt;"",'Data Source'!S631="F"),COUNTIF('Data Source'!$S$3:S631,"F"),"")</f>
        <v/>
      </c>
      <c r="B631">
        <f>IF(AND('Data Source'!B631&lt;&gt;"",'Data Source'!S631="F"),'Data Source'!B631,"")</f>
        <v/>
      </c>
      <c r="C631" s="3">
        <f>IF(AND('Data Source'!B631&lt;&gt;"",'Data Source'!S631="F"),IF('Data Source'!U631&gt;=5,"A+",IF('Data Source'!U631&gt;=4,"A",IF('Data Source'!U631&gt;=3.5,"A-",IF('Data Source'!U631&gt;=3,"B",IF('Data Source'!U631&gt;=2,"C",IF('Data Source'!U631&gt;=1,"D","F")))))),"")</f>
        <v/>
      </c>
      <c r="D631" s="3">
        <f>IF(AND('Data Source'!B631&lt;&gt;"",'Data Source'!S631="F"),IF('Data Source'!V631&gt;=5,"A+",IF('Data Source'!V631&gt;=4,"A",IF('Data Source'!V631&gt;=3.5,"A-",IF('Data Source'!V631&gt;=3,"B",IF('Data Source'!V631&gt;=2,"C",IF('Data Source'!V631&gt;=1,"D","F")))))),"")</f>
        <v/>
      </c>
      <c r="E631" s="3">
        <f>IF(AND('Data Source'!B631&lt;&gt;"",'Data Source'!S631="F"),IF('Data Source'!W631&gt;=5,"A+",IF('Data Source'!W631&gt;=4,"A",IF('Data Source'!W631&gt;=3.5,"A-",IF('Data Source'!W631&gt;=3,"B",IF('Data Source'!W631&gt;=2,"C",IF('Data Source'!W631&gt;=1,"D","F")))))),"")</f>
        <v/>
      </c>
      <c r="F631" s="3">
        <f>IF(AND('Data Source'!B631&lt;&gt;"",'Data Source'!S631="F"),IF('Data Source'!X631&gt;=5,"A+",IF('Data Source'!X631&gt;=4,"A",IF('Data Source'!X631&gt;=3.5,"A-",IF('Data Source'!X631&gt;=3,"B",IF('Data Source'!X631&gt;=2,"C",IF('Data Source'!X631&gt;=1,"D","F")))))),"")</f>
        <v/>
      </c>
      <c r="G631" s="3">
        <f>IF(AND('Data Source'!B631&lt;&gt;"",'Data Source'!S631="F"),IF('Data Source'!Y631&gt;=5,"A+",IF('Data Source'!Y631&gt;=4,"A",IF('Data Source'!Y631&gt;=3.5,"A-",IF('Data Source'!Y631&gt;=3,"B",IF('Data Source'!Y631&gt;=2,"C",IF('Data Source'!Y631&gt;=1,"D","F")))))),"")</f>
        <v/>
      </c>
      <c r="H631" s="3">
        <f>IF(AND('Data Source'!B631&lt;&gt;"",'Data Source'!S631="F"),IF('Data Source'!Z631&gt;=5,"A+",IF('Data Source'!Z631&gt;=4,"A",IF('Data Source'!Z631&gt;=3.5,"A-",IF('Data Source'!Z631&gt;=3,"B",IF('Data Source'!Z631&gt;=2,"C",IF('Data Source'!Z631&gt;=1,"D","F")))))),"")</f>
        <v/>
      </c>
      <c r="I631" s="3">
        <f>IF(AND('Data Source'!B631&lt;&gt;"",'Data Source'!S631="F"),IF('Data Source'!AA631&gt;=5,"A+",IF('Data Source'!AA631&gt;=4,"A",IF('Data Source'!AA631&gt;=3.5,"A-",IF('Data Source'!AA631&gt;=3,"B",IF('Data Source'!AA631&gt;=2,"C",IF('Data Source'!AA631&gt;=1,"D","F")))))),"")</f>
        <v/>
      </c>
      <c r="J631" s="3">
        <f>IF(AND('Data Source'!B631&lt;&gt;"",'Data Source'!S631="F"),IF('Data Source'!AB631&gt;=5,"A+",IF('Data Source'!AB631&gt;=4,"A",IF('Data Source'!AB631&gt;=3.5,"A-",IF('Data Source'!AB631&gt;=3,"B",IF('Data Source'!AB631&gt;=2,"C",IF('Data Source'!AB631&gt;=1,"D","F")))))),"")</f>
        <v/>
      </c>
      <c r="K631" s="3">
        <f>IF(AND('Data Source'!B631&lt;&gt;"",'Data Source'!S631="F"),IF('Data Source'!AC631&gt;=5,"A+",IF('Data Source'!AC631&gt;=4,"A",IF('Data Source'!AC631&gt;=3.5,"A-",IF('Data Source'!AC631&gt;=3,"B",IF('Data Source'!AC631&gt;=2,"C",IF('Data Source'!AC631&gt;=1,"D","F")))))),"")</f>
        <v/>
      </c>
      <c r="L631" s="3">
        <f>IF(AND('Data Source'!B631&lt;&gt;"",'Data Source'!S631="F"),IF('Data Source'!AD631&gt;=5,"A+",IF('Data Source'!AD631&gt;=4,"A",IF('Data Source'!AD631&gt;=3.5,"A-",IF('Data Source'!AD631&gt;=3,"B",IF('Data Source'!AD631&gt;=2,"C",IF('Data Source'!AD631&gt;=1,"D","F")))))),"")</f>
        <v/>
      </c>
      <c r="M631" s="3">
        <f>IF(AND('Data Source'!B631&lt;&gt;"",'Data Source'!S631="F"),IF('Data Source'!AE631&gt;=5,"A+",IF('Data Source'!AE631&gt;=4,"A",IF('Data Source'!AE631&gt;=3.5,"A-",IF('Data Source'!AE631&gt;=3,"B",IF('Data Source'!AE631&gt;=2,"C",IF('Data Source'!AE631&gt;=1,"D","F")))))),"")</f>
        <v/>
      </c>
      <c r="N631" s="3">
        <f>IF(AND('Data Source'!B631&lt;&gt;"",'Data Source'!S631="F"),IF('Data Source'!AF631&gt;=5,"A+",IF('Data Source'!AF631&gt;=4,"A",IF('Data Source'!AF631&gt;=3.5,"A-",IF('Data Source'!AF631&gt;=3,"B",IF('Data Source'!AF631&gt;=2,"C",IF('Data Source'!AF631&gt;=1,"D","F")))))),"")</f>
        <v/>
      </c>
      <c r="O631" s="3">
        <f>IF(AND('Data Source'!B631&lt;&gt;"",'Data Source'!S631="F"),IF('Data Source'!AG631&gt;=5,"A+",IF('Data Source'!AG631&gt;=4,"A",IF('Data Source'!AG631&gt;=3.5,"A-",IF('Data Source'!AG631&gt;=3,"B",IF('Data Source'!AG631&gt;=2,"C",IF('Data Source'!AG631&gt;=1,"D","F")))))),"")</f>
        <v/>
      </c>
      <c r="P631" s="5">
        <f>IF(AND('Data Source'!B631&lt;&gt;"",'Data Source'!S631="F"),'Data Source'!R631,"")</f>
        <v/>
      </c>
      <c r="Q631" s="3">
        <f>IF(AND('Data Source'!B631&lt;&gt;"",'Data Source'!S631="F"),'Data Source'!S631,"")</f>
        <v/>
      </c>
    </row>
    <row r="632">
      <c r="A632" s="3">
        <f>IF(AND('Data Source'!B632&lt;&gt;"",'Data Source'!S632="F"),COUNTIF('Data Source'!$S$3:S632,"F"),"")</f>
        <v/>
      </c>
      <c r="B632">
        <f>IF(AND('Data Source'!B632&lt;&gt;"",'Data Source'!S632="F"),'Data Source'!B632,"")</f>
        <v/>
      </c>
      <c r="C632" s="3">
        <f>IF(AND('Data Source'!B632&lt;&gt;"",'Data Source'!S632="F"),IF('Data Source'!U632&gt;=5,"A+",IF('Data Source'!U632&gt;=4,"A",IF('Data Source'!U632&gt;=3.5,"A-",IF('Data Source'!U632&gt;=3,"B",IF('Data Source'!U632&gt;=2,"C",IF('Data Source'!U632&gt;=1,"D","F")))))),"")</f>
        <v/>
      </c>
      <c r="D632" s="3">
        <f>IF(AND('Data Source'!B632&lt;&gt;"",'Data Source'!S632="F"),IF('Data Source'!V632&gt;=5,"A+",IF('Data Source'!V632&gt;=4,"A",IF('Data Source'!V632&gt;=3.5,"A-",IF('Data Source'!V632&gt;=3,"B",IF('Data Source'!V632&gt;=2,"C",IF('Data Source'!V632&gt;=1,"D","F")))))),"")</f>
        <v/>
      </c>
      <c r="E632" s="3">
        <f>IF(AND('Data Source'!B632&lt;&gt;"",'Data Source'!S632="F"),IF('Data Source'!W632&gt;=5,"A+",IF('Data Source'!W632&gt;=4,"A",IF('Data Source'!W632&gt;=3.5,"A-",IF('Data Source'!W632&gt;=3,"B",IF('Data Source'!W632&gt;=2,"C",IF('Data Source'!W632&gt;=1,"D","F")))))),"")</f>
        <v/>
      </c>
      <c r="F632" s="3">
        <f>IF(AND('Data Source'!B632&lt;&gt;"",'Data Source'!S632="F"),IF('Data Source'!X632&gt;=5,"A+",IF('Data Source'!X632&gt;=4,"A",IF('Data Source'!X632&gt;=3.5,"A-",IF('Data Source'!X632&gt;=3,"B",IF('Data Source'!X632&gt;=2,"C",IF('Data Source'!X632&gt;=1,"D","F")))))),"")</f>
        <v/>
      </c>
      <c r="G632" s="3">
        <f>IF(AND('Data Source'!B632&lt;&gt;"",'Data Source'!S632="F"),IF('Data Source'!Y632&gt;=5,"A+",IF('Data Source'!Y632&gt;=4,"A",IF('Data Source'!Y632&gt;=3.5,"A-",IF('Data Source'!Y632&gt;=3,"B",IF('Data Source'!Y632&gt;=2,"C",IF('Data Source'!Y632&gt;=1,"D","F")))))),"")</f>
        <v/>
      </c>
      <c r="H632" s="3">
        <f>IF(AND('Data Source'!B632&lt;&gt;"",'Data Source'!S632="F"),IF('Data Source'!Z632&gt;=5,"A+",IF('Data Source'!Z632&gt;=4,"A",IF('Data Source'!Z632&gt;=3.5,"A-",IF('Data Source'!Z632&gt;=3,"B",IF('Data Source'!Z632&gt;=2,"C",IF('Data Source'!Z632&gt;=1,"D","F")))))),"")</f>
        <v/>
      </c>
      <c r="I632" s="3">
        <f>IF(AND('Data Source'!B632&lt;&gt;"",'Data Source'!S632="F"),IF('Data Source'!AA632&gt;=5,"A+",IF('Data Source'!AA632&gt;=4,"A",IF('Data Source'!AA632&gt;=3.5,"A-",IF('Data Source'!AA632&gt;=3,"B",IF('Data Source'!AA632&gt;=2,"C",IF('Data Source'!AA632&gt;=1,"D","F")))))),"")</f>
        <v/>
      </c>
      <c r="J632" s="3">
        <f>IF(AND('Data Source'!B632&lt;&gt;"",'Data Source'!S632="F"),IF('Data Source'!AB632&gt;=5,"A+",IF('Data Source'!AB632&gt;=4,"A",IF('Data Source'!AB632&gt;=3.5,"A-",IF('Data Source'!AB632&gt;=3,"B",IF('Data Source'!AB632&gt;=2,"C",IF('Data Source'!AB632&gt;=1,"D","F")))))),"")</f>
        <v/>
      </c>
      <c r="K632" s="3">
        <f>IF(AND('Data Source'!B632&lt;&gt;"",'Data Source'!S632="F"),IF('Data Source'!AC632&gt;=5,"A+",IF('Data Source'!AC632&gt;=4,"A",IF('Data Source'!AC632&gt;=3.5,"A-",IF('Data Source'!AC632&gt;=3,"B",IF('Data Source'!AC632&gt;=2,"C",IF('Data Source'!AC632&gt;=1,"D","F")))))),"")</f>
        <v/>
      </c>
      <c r="L632" s="3">
        <f>IF(AND('Data Source'!B632&lt;&gt;"",'Data Source'!S632="F"),IF('Data Source'!AD632&gt;=5,"A+",IF('Data Source'!AD632&gt;=4,"A",IF('Data Source'!AD632&gt;=3.5,"A-",IF('Data Source'!AD632&gt;=3,"B",IF('Data Source'!AD632&gt;=2,"C",IF('Data Source'!AD632&gt;=1,"D","F")))))),"")</f>
        <v/>
      </c>
      <c r="M632" s="3">
        <f>IF(AND('Data Source'!B632&lt;&gt;"",'Data Source'!S632="F"),IF('Data Source'!AE632&gt;=5,"A+",IF('Data Source'!AE632&gt;=4,"A",IF('Data Source'!AE632&gt;=3.5,"A-",IF('Data Source'!AE632&gt;=3,"B",IF('Data Source'!AE632&gt;=2,"C",IF('Data Source'!AE632&gt;=1,"D","F")))))),"")</f>
        <v/>
      </c>
      <c r="N632" s="3">
        <f>IF(AND('Data Source'!B632&lt;&gt;"",'Data Source'!S632="F"),IF('Data Source'!AF632&gt;=5,"A+",IF('Data Source'!AF632&gt;=4,"A",IF('Data Source'!AF632&gt;=3.5,"A-",IF('Data Source'!AF632&gt;=3,"B",IF('Data Source'!AF632&gt;=2,"C",IF('Data Source'!AF632&gt;=1,"D","F")))))),"")</f>
        <v/>
      </c>
      <c r="O632" s="3">
        <f>IF(AND('Data Source'!B632&lt;&gt;"",'Data Source'!S632="F"),IF('Data Source'!AG632&gt;=5,"A+",IF('Data Source'!AG632&gt;=4,"A",IF('Data Source'!AG632&gt;=3.5,"A-",IF('Data Source'!AG632&gt;=3,"B",IF('Data Source'!AG632&gt;=2,"C",IF('Data Source'!AG632&gt;=1,"D","F")))))),"")</f>
        <v/>
      </c>
      <c r="P632" s="5">
        <f>IF(AND('Data Source'!B632&lt;&gt;"",'Data Source'!S632="F"),'Data Source'!R632,"")</f>
        <v/>
      </c>
      <c r="Q632" s="3">
        <f>IF(AND('Data Source'!B632&lt;&gt;"",'Data Source'!S632="F"),'Data Source'!S632,"")</f>
        <v/>
      </c>
    </row>
    <row r="633">
      <c r="A633" s="3">
        <f>IF(AND('Data Source'!B633&lt;&gt;"",'Data Source'!S633="F"),COUNTIF('Data Source'!$S$3:S633,"F"),"")</f>
        <v/>
      </c>
      <c r="B633">
        <f>IF(AND('Data Source'!B633&lt;&gt;"",'Data Source'!S633="F"),'Data Source'!B633,"")</f>
        <v/>
      </c>
      <c r="C633" s="3">
        <f>IF(AND('Data Source'!B633&lt;&gt;"",'Data Source'!S633="F"),IF('Data Source'!U633&gt;=5,"A+",IF('Data Source'!U633&gt;=4,"A",IF('Data Source'!U633&gt;=3.5,"A-",IF('Data Source'!U633&gt;=3,"B",IF('Data Source'!U633&gt;=2,"C",IF('Data Source'!U633&gt;=1,"D","F")))))),"")</f>
        <v/>
      </c>
      <c r="D633" s="3">
        <f>IF(AND('Data Source'!B633&lt;&gt;"",'Data Source'!S633="F"),IF('Data Source'!V633&gt;=5,"A+",IF('Data Source'!V633&gt;=4,"A",IF('Data Source'!V633&gt;=3.5,"A-",IF('Data Source'!V633&gt;=3,"B",IF('Data Source'!V633&gt;=2,"C",IF('Data Source'!V633&gt;=1,"D","F")))))),"")</f>
        <v/>
      </c>
      <c r="E633" s="3">
        <f>IF(AND('Data Source'!B633&lt;&gt;"",'Data Source'!S633="F"),IF('Data Source'!W633&gt;=5,"A+",IF('Data Source'!W633&gt;=4,"A",IF('Data Source'!W633&gt;=3.5,"A-",IF('Data Source'!W633&gt;=3,"B",IF('Data Source'!W633&gt;=2,"C",IF('Data Source'!W633&gt;=1,"D","F")))))),"")</f>
        <v/>
      </c>
      <c r="F633" s="3">
        <f>IF(AND('Data Source'!B633&lt;&gt;"",'Data Source'!S633="F"),IF('Data Source'!X633&gt;=5,"A+",IF('Data Source'!X633&gt;=4,"A",IF('Data Source'!X633&gt;=3.5,"A-",IF('Data Source'!X633&gt;=3,"B",IF('Data Source'!X633&gt;=2,"C",IF('Data Source'!X633&gt;=1,"D","F")))))),"")</f>
        <v/>
      </c>
      <c r="G633" s="3">
        <f>IF(AND('Data Source'!B633&lt;&gt;"",'Data Source'!S633="F"),IF('Data Source'!Y633&gt;=5,"A+",IF('Data Source'!Y633&gt;=4,"A",IF('Data Source'!Y633&gt;=3.5,"A-",IF('Data Source'!Y633&gt;=3,"B",IF('Data Source'!Y633&gt;=2,"C",IF('Data Source'!Y633&gt;=1,"D","F")))))),"")</f>
        <v/>
      </c>
      <c r="H633" s="3">
        <f>IF(AND('Data Source'!B633&lt;&gt;"",'Data Source'!S633="F"),IF('Data Source'!Z633&gt;=5,"A+",IF('Data Source'!Z633&gt;=4,"A",IF('Data Source'!Z633&gt;=3.5,"A-",IF('Data Source'!Z633&gt;=3,"B",IF('Data Source'!Z633&gt;=2,"C",IF('Data Source'!Z633&gt;=1,"D","F")))))),"")</f>
        <v/>
      </c>
      <c r="I633" s="3">
        <f>IF(AND('Data Source'!B633&lt;&gt;"",'Data Source'!S633="F"),IF('Data Source'!AA633&gt;=5,"A+",IF('Data Source'!AA633&gt;=4,"A",IF('Data Source'!AA633&gt;=3.5,"A-",IF('Data Source'!AA633&gt;=3,"B",IF('Data Source'!AA633&gt;=2,"C",IF('Data Source'!AA633&gt;=1,"D","F")))))),"")</f>
        <v/>
      </c>
      <c r="J633" s="3">
        <f>IF(AND('Data Source'!B633&lt;&gt;"",'Data Source'!S633="F"),IF('Data Source'!AB633&gt;=5,"A+",IF('Data Source'!AB633&gt;=4,"A",IF('Data Source'!AB633&gt;=3.5,"A-",IF('Data Source'!AB633&gt;=3,"B",IF('Data Source'!AB633&gt;=2,"C",IF('Data Source'!AB633&gt;=1,"D","F")))))),"")</f>
        <v/>
      </c>
      <c r="K633" s="3">
        <f>IF(AND('Data Source'!B633&lt;&gt;"",'Data Source'!S633="F"),IF('Data Source'!AC633&gt;=5,"A+",IF('Data Source'!AC633&gt;=4,"A",IF('Data Source'!AC633&gt;=3.5,"A-",IF('Data Source'!AC633&gt;=3,"B",IF('Data Source'!AC633&gt;=2,"C",IF('Data Source'!AC633&gt;=1,"D","F")))))),"")</f>
        <v/>
      </c>
      <c r="L633" s="3">
        <f>IF(AND('Data Source'!B633&lt;&gt;"",'Data Source'!S633="F"),IF('Data Source'!AD633&gt;=5,"A+",IF('Data Source'!AD633&gt;=4,"A",IF('Data Source'!AD633&gt;=3.5,"A-",IF('Data Source'!AD633&gt;=3,"B",IF('Data Source'!AD633&gt;=2,"C",IF('Data Source'!AD633&gt;=1,"D","F")))))),"")</f>
        <v/>
      </c>
      <c r="M633" s="3">
        <f>IF(AND('Data Source'!B633&lt;&gt;"",'Data Source'!S633="F"),IF('Data Source'!AE633&gt;=5,"A+",IF('Data Source'!AE633&gt;=4,"A",IF('Data Source'!AE633&gt;=3.5,"A-",IF('Data Source'!AE633&gt;=3,"B",IF('Data Source'!AE633&gt;=2,"C",IF('Data Source'!AE633&gt;=1,"D","F")))))),"")</f>
        <v/>
      </c>
      <c r="N633" s="3">
        <f>IF(AND('Data Source'!B633&lt;&gt;"",'Data Source'!S633="F"),IF('Data Source'!AF633&gt;=5,"A+",IF('Data Source'!AF633&gt;=4,"A",IF('Data Source'!AF633&gt;=3.5,"A-",IF('Data Source'!AF633&gt;=3,"B",IF('Data Source'!AF633&gt;=2,"C",IF('Data Source'!AF633&gt;=1,"D","F")))))),"")</f>
        <v/>
      </c>
      <c r="O633" s="3">
        <f>IF(AND('Data Source'!B633&lt;&gt;"",'Data Source'!S633="F"),IF('Data Source'!AG633&gt;=5,"A+",IF('Data Source'!AG633&gt;=4,"A",IF('Data Source'!AG633&gt;=3.5,"A-",IF('Data Source'!AG633&gt;=3,"B",IF('Data Source'!AG633&gt;=2,"C",IF('Data Source'!AG633&gt;=1,"D","F")))))),"")</f>
        <v/>
      </c>
      <c r="P633" s="5">
        <f>IF(AND('Data Source'!B633&lt;&gt;"",'Data Source'!S633="F"),'Data Source'!R633,"")</f>
        <v/>
      </c>
      <c r="Q633" s="3">
        <f>IF(AND('Data Source'!B633&lt;&gt;"",'Data Source'!S633="F"),'Data Source'!S633,"")</f>
        <v/>
      </c>
    </row>
    <row r="634">
      <c r="A634" s="3">
        <f>IF(AND('Data Source'!B634&lt;&gt;"",'Data Source'!S634="F"),COUNTIF('Data Source'!$S$3:S634,"F"),"")</f>
        <v/>
      </c>
      <c r="B634">
        <f>IF(AND('Data Source'!B634&lt;&gt;"",'Data Source'!S634="F"),'Data Source'!B634,"")</f>
        <v/>
      </c>
      <c r="C634" s="3">
        <f>IF(AND('Data Source'!B634&lt;&gt;"",'Data Source'!S634="F"),IF('Data Source'!U634&gt;=5,"A+",IF('Data Source'!U634&gt;=4,"A",IF('Data Source'!U634&gt;=3.5,"A-",IF('Data Source'!U634&gt;=3,"B",IF('Data Source'!U634&gt;=2,"C",IF('Data Source'!U634&gt;=1,"D","F")))))),"")</f>
        <v/>
      </c>
      <c r="D634" s="3">
        <f>IF(AND('Data Source'!B634&lt;&gt;"",'Data Source'!S634="F"),IF('Data Source'!V634&gt;=5,"A+",IF('Data Source'!V634&gt;=4,"A",IF('Data Source'!V634&gt;=3.5,"A-",IF('Data Source'!V634&gt;=3,"B",IF('Data Source'!V634&gt;=2,"C",IF('Data Source'!V634&gt;=1,"D","F")))))),"")</f>
        <v/>
      </c>
      <c r="E634" s="3">
        <f>IF(AND('Data Source'!B634&lt;&gt;"",'Data Source'!S634="F"),IF('Data Source'!W634&gt;=5,"A+",IF('Data Source'!W634&gt;=4,"A",IF('Data Source'!W634&gt;=3.5,"A-",IF('Data Source'!W634&gt;=3,"B",IF('Data Source'!W634&gt;=2,"C",IF('Data Source'!W634&gt;=1,"D","F")))))),"")</f>
        <v/>
      </c>
      <c r="F634" s="3">
        <f>IF(AND('Data Source'!B634&lt;&gt;"",'Data Source'!S634="F"),IF('Data Source'!X634&gt;=5,"A+",IF('Data Source'!X634&gt;=4,"A",IF('Data Source'!X634&gt;=3.5,"A-",IF('Data Source'!X634&gt;=3,"B",IF('Data Source'!X634&gt;=2,"C",IF('Data Source'!X634&gt;=1,"D","F")))))),"")</f>
        <v/>
      </c>
      <c r="G634" s="3">
        <f>IF(AND('Data Source'!B634&lt;&gt;"",'Data Source'!S634="F"),IF('Data Source'!Y634&gt;=5,"A+",IF('Data Source'!Y634&gt;=4,"A",IF('Data Source'!Y634&gt;=3.5,"A-",IF('Data Source'!Y634&gt;=3,"B",IF('Data Source'!Y634&gt;=2,"C",IF('Data Source'!Y634&gt;=1,"D","F")))))),"")</f>
        <v/>
      </c>
      <c r="H634" s="3">
        <f>IF(AND('Data Source'!B634&lt;&gt;"",'Data Source'!S634="F"),IF('Data Source'!Z634&gt;=5,"A+",IF('Data Source'!Z634&gt;=4,"A",IF('Data Source'!Z634&gt;=3.5,"A-",IF('Data Source'!Z634&gt;=3,"B",IF('Data Source'!Z634&gt;=2,"C",IF('Data Source'!Z634&gt;=1,"D","F")))))),"")</f>
        <v/>
      </c>
      <c r="I634" s="3">
        <f>IF(AND('Data Source'!B634&lt;&gt;"",'Data Source'!S634="F"),IF('Data Source'!AA634&gt;=5,"A+",IF('Data Source'!AA634&gt;=4,"A",IF('Data Source'!AA634&gt;=3.5,"A-",IF('Data Source'!AA634&gt;=3,"B",IF('Data Source'!AA634&gt;=2,"C",IF('Data Source'!AA634&gt;=1,"D","F")))))),"")</f>
        <v/>
      </c>
      <c r="J634" s="3">
        <f>IF(AND('Data Source'!B634&lt;&gt;"",'Data Source'!S634="F"),IF('Data Source'!AB634&gt;=5,"A+",IF('Data Source'!AB634&gt;=4,"A",IF('Data Source'!AB634&gt;=3.5,"A-",IF('Data Source'!AB634&gt;=3,"B",IF('Data Source'!AB634&gt;=2,"C",IF('Data Source'!AB634&gt;=1,"D","F")))))),"")</f>
        <v/>
      </c>
      <c r="K634" s="3">
        <f>IF(AND('Data Source'!B634&lt;&gt;"",'Data Source'!S634="F"),IF('Data Source'!AC634&gt;=5,"A+",IF('Data Source'!AC634&gt;=4,"A",IF('Data Source'!AC634&gt;=3.5,"A-",IF('Data Source'!AC634&gt;=3,"B",IF('Data Source'!AC634&gt;=2,"C",IF('Data Source'!AC634&gt;=1,"D","F")))))),"")</f>
        <v/>
      </c>
      <c r="L634" s="3">
        <f>IF(AND('Data Source'!B634&lt;&gt;"",'Data Source'!S634="F"),IF('Data Source'!AD634&gt;=5,"A+",IF('Data Source'!AD634&gt;=4,"A",IF('Data Source'!AD634&gt;=3.5,"A-",IF('Data Source'!AD634&gt;=3,"B",IF('Data Source'!AD634&gt;=2,"C",IF('Data Source'!AD634&gt;=1,"D","F")))))),"")</f>
        <v/>
      </c>
      <c r="M634" s="3">
        <f>IF(AND('Data Source'!B634&lt;&gt;"",'Data Source'!S634="F"),IF('Data Source'!AE634&gt;=5,"A+",IF('Data Source'!AE634&gt;=4,"A",IF('Data Source'!AE634&gt;=3.5,"A-",IF('Data Source'!AE634&gt;=3,"B",IF('Data Source'!AE634&gt;=2,"C",IF('Data Source'!AE634&gt;=1,"D","F")))))),"")</f>
        <v/>
      </c>
      <c r="N634" s="3">
        <f>IF(AND('Data Source'!B634&lt;&gt;"",'Data Source'!S634="F"),IF('Data Source'!AF634&gt;=5,"A+",IF('Data Source'!AF634&gt;=4,"A",IF('Data Source'!AF634&gt;=3.5,"A-",IF('Data Source'!AF634&gt;=3,"B",IF('Data Source'!AF634&gt;=2,"C",IF('Data Source'!AF634&gt;=1,"D","F")))))),"")</f>
        <v/>
      </c>
      <c r="O634" s="3">
        <f>IF(AND('Data Source'!B634&lt;&gt;"",'Data Source'!S634="F"),IF('Data Source'!AG634&gt;=5,"A+",IF('Data Source'!AG634&gt;=4,"A",IF('Data Source'!AG634&gt;=3.5,"A-",IF('Data Source'!AG634&gt;=3,"B",IF('Data Source'!AG634&gt;=2,"C",IF('Data Source'!AG634&gt;=1,"D","F")))))),"")</f>
        <v/>
      </c>
      <c r="P634" s="5">
        <f>IF(AND('Data Source'!B634&lt;&gt;"",'Data Source'!S634="F"),'Data Source'!R634,"")</f>
        <v/>
      </c>
      <c r="Q634" s="3">
        <f>IF(AND('Data Source'!B634&lt;&gt;"",'Data Source'!S634="F"),'Data Source'!S634,"")</f>
        <v/>
      </c>
    </row>
    <row r="635">
      <c r="A635" s="3">
        <f>IF(AND('Data Source'!B635&lt;&gt;"",'Data Source'!S635="F"),COUNTIF('Data Source'!$S$3:S635,"F"),"")</f>
        <v/>
      </c>
      <c r="B635">
        <f>IF(AND('Data Source'!B635&lt;&gt;"",'Data Source'!S635="F"),'Data Source'!B635,"")</f>
        <v/>
      </c>
      <c r="C635" s="3">
        <f>IF(AND('Data Source'!B635&lt;&gt;"",'Data Source'!S635="F"),IF('Data Source'!U635&gt;=5,"A+",IF('Data Source'!U635&gt;=4,"A",IF('Data Source'!U635&gt;=3.5,"A-",IF('Data Source'!U635&gt;=3,"B",IF('Data Source'!U635&gt;=2,"C",IF('Data Source'!U635&gt;=1,"D","F")))))),"")</f>
        <v/>
      </c>
      <c r="D635" s="3">
        <f>IF(AND('Data Source'!B635&lt;&gt;"",'Data Source'!S635="F"),IF('Data Source'!V635&gt;=5,"A+",IF('Data Source'!V635&gt;=4,"A",IF('Data Source'!V635&gt;=3.5,"A-",IF('Data Source'!V635&gt;=3,"B",IF('Data Source'!V635&gt;=2,"C",IF('Data Source'!V635&gt;=1,"D","F")))))),"")</f>
        <v/>
      </c>
      <c r="E635" s="3">
        <f>IF(AND('Data Source'!B635&lt;&gt;"",'Data Source'!S635="F"),IF('Data Source'!W635&gt;=5,"A+",IF('Data Source'!W635&gt;=4,"A",IF('Data Source'!W635&gt;=3.5,"A-",IF('Data Source'!W635&gt;=3,"B",IF('Data Source'!W635&gt;=2,"C",IF('Data Source'!W635&gt;=1,"D","F")))))),"")</f>
        <v/>
      </c>
      <c r="F635" s="3">
        <f>IF(AND('Data Source'!B635&lt;&gt;"",'Data Source'!S635="F"),IF('Data Source'!X635&gt;=5,"A+",IF('Data Source'!X635&gt;=4,"A",IF('Data Source'!X635&gt;=3.5,"A-",IF('Data Source'!X635&gt;=3,"B",IF('Data Source'!X635&gt;=2,"C",IF('Data Source'!X635&gt;=1,"D","F")))))),"")</f>
        <v/>
      </c>
      <c r="G635" s="3">
        <f>IF(AND('Data Source'!B635&lt;&gt;"",'Data Source'!S635="F"),IF('Data Source'!Y635&gt;=5,"A+",IF('Data Source'!Y635&gt;=4,"A",IF('Data Source'!Y635&gt;=3.5,"A-",IF('Data Source'!Y635&gt;=3,"B",IF('Data Source'!Y635&gt;=2,"C",IF('Data Source'!Y635&gt;=1,"D","F")))))),"")</f>
        <v/>
      </c>
      <c r="H635" s="3">
        <f>IF(AND('Data Source'!B635&lt;&gt;"",'Data Source'!S635="F"),IF('Data Source'!Z635&gt;=5,"A+",IF('Data Source'!Z635&gt;=4,"A",IF('Data Source'!Z635&gt;=3.5,"A-",IF('Data Source'!Z635&gt;=3,"B",IF('Data Source'!Z635&gt;=2,"C",IF('Data Source'!Z635&gt;=1,"D","F")))))),"")</f>
        <v/>
      </c>
      <c r="I635" s="3">
        <f>IF(AND('Data Source'!B635&lt;&gt;"",'Data Source'!S635="F"),IF('Data Source'!AA635&gt;=5,"A+",IF('Data Source'!AA635&gt;=4,"A",IF('Data Source'!AA635&gt;=3.5,"A-",IF('Data Source'!AA635&gt;=3,"B",IF('Data Source'!AA635&gt;=2,"C",IF('Data Source'!AA635&gt;=1,"D","F")))))),"")</f>
        <v/>
      </c>
      <c r="J635" s="3">
        <f>IF(AND('Data Source'!B635&lt;&gt;"",'Data Source'!S635="F"),IF('Data Source'!AB635&gt;=5,"A+",IF('Data Source'!AB635&gt;=4,"A",IF('Data Source'!AB635&gt;=3.5,"A-",IF('Data Source'!AB635&gt;=3,"B",IF('Data Source'!AB635&gt;=2,"C",IF('Data Source'!AB635&gt;=1,"D","F")))))),"")</f>
        <v/>
      </c>
      <c r="K635" s="3">
        <f>IF(AND('Data Source'!B635&lt;&gt;"",'Data Source'!S635="F"),IF('Data Source'!AC635&gt;=5,"A+",IF('Data Source'!AC635&gt;=4,"A",IF('Data Source'!AC635&gt;=3.5,"A-",IF('Data Source'!AC635&gt;=3,"B",IF('Data Source'!AC635&gt;=2,"C",IF('Data Source'!AC635&gt;=1,"D","F")))))),"")</f>
        <v/>
      </c>
      <c r="L635" s="3">
        <f>IF(AND('Data Source'!B635&lt;&gt;"",'Data Source'!S635="F"),IF('Data Source'!AD635&gt;=5,"A+",IF('Data Source'!AD635&gt;=4,"A",IF('Data Source'!AD635&gt;=3.5,"A-",IF('Data Source'!AD635&gt;=3,"B",IF('Data Source'!AD635&gt;=2,"C",IF('Data Source'!AD635&gt;=1,"D","F")))))),"")</f>
        <v/>
      </c>
      <c r="M635" s="3">
        <f>IF(AND('Data Source'!B635&lt;&gt;"",'Data Source'!S635="F"),IF('Data Source'!AE635&gt;=5,"A+",IF('Data Source'!AE635&gt;=4,"A",IF('Data Source'!AE635&gt;=3.5,"A-",IF('Data Source'!AE635&gt;=3,"B",IF('Data Source'!AE635&gt;=2,"C",IF('Data Source'!AE635&gt;=1,"D","F")))))),"")</f>
        <v/>
      </c>
      <c r="N635" s="3">
        <f>IF(AND('Data Source'!B635&lt;&gt;"",'Data Source'!S635="F"),IF('Data Source'!AF635&gt;=5,"A+",IF('Data Source'!AF635&gt;=4,"A",IF('Data Source'!AF635&gt;=3.5,"A-",IF('Data Source'!AF635&gt;=3,"B",IF('Data Source'!AF635&gt;=2,"C",IF('Data Source'!AF635&gt;=1,"D","F")))))),"")</f>
        <v/>
      </c>
      <c r="O635" s="3">
        <f>IF(AND('Data Source'!B635&lt;&gt;"",'Data Source'!S635="F"),IF('Data Source'!AG635&gt;=5,"A+",IF('Data Source'!AG635&gt;=4,"A",IF('Data Source'!AG635&gt;=3.5,"A-",IF('Data Source'!AG635&gt;=3,"B",IF('Data Source'!AG635&gt;=2,"C",IF('Data Source'!AG635&gt;=1,"D","F")))))),"")</f>
        <v/>
      </c>
      <c r="P635" s="5">
        <f>IF(AND('Data Source'!B635&lt;&gt;"",'Data Source'!S635="F"),'Data Source'!R635,"")</f>
        <v/>
      </c>
      <c r="Q635" s="3">
        <f>IF(AND('Data Source'!B635&lt;&gt;"",'Data Source'!S635="F"),'Data Source'!S635,"")</f>
        <v/>
      </c>
    </row>
    <row r="636">
      <c r="A636" s="3">
        <f>IF(AND('Data Source'!B636&lt;&gt;"",'Data Source'!S636="F"),COUNTIF('Data Source'!$S$3:S636,"F"),"")</f>
        <v/>
      </c>
      <c r="B636">
        <f>IF(AND('Data Source'!B636&lt;&gt;"",'Data Source'!S636="F"),'Data Source'!B636,"")</f>
        <v/>
      </c>
      <c r="C636" s="3">
        <f>IF(AND('Data Source'!B636&lt;&gt;"",'Data Source'!S636="F"),IF('Data Source'!U636&gt;=5,"A+",IF('Data Source'!U636&gt;=4,"A",IF('Data Source'!U636&gt;=3.5,"A-",IF('Data Source'!U636&gt;=3,"B",IF('Data Source'!U636&gt;=2,"C",IF('Data Source'!U636&gt;=1,"D","F")))))),"")</f>
        <v/>
      </c>
      <c r="D636" s="3">
        <f>IF(AND('Data Source'!B636&lt;&gt;"",'Data Source'!S636="F"),IF('Data Source'!V636&gt;=5,"A+",IF('Data Source'!V636&gt;=4,"A",IF('Data Source'!V636&gt;=3.5,"A-",IF('Data Source'!V636&gt;=3,"B",IF('Data Source'!V636&gt;=2,"C",IF('Data Source'!V636&gt;=1,"D","F")))))),"")</f>
        <v/>
      </c>
      <c r="E636" s="3">
        <f>IF(AND('Data Source'!B636&lt;&gt;"",'Data Source'!S636="F"),IF('Data Source'!W636&gt;=5,"A+",IF('Data Source'!W636&gt;=4,"A",IF('Data Source'!W636&gt;=3.5,"A-",IF('Data Source'!W636&gt;=3,"B",IF('Data Source'!W636&gt;=2,"C",IF('Data Source'!W636&gt;=1,"D","F")))))),"")</f>
        <v/>
      </c>
      <c r="F636" s="3">
        <f>IF(AND('Data Source'!B636&lt;&gt;"",'Data Source'!S636="F"),IF('Data Source'!X636&gt;=5,"A+",IF('Data Source'!X636&gt;=4,"A",IF('Data Source'!X636&gt;=3.5,"A-",IF('Data Source'!X636&gt;=3,"B",IF('Data Source'!X636&gt;=2,"C",IF('Data Source'!X636&gt;=1,"D","F")))))),"")</f>
        <v/>
      </c>
      <c r="G636" s="3">
        <f>IF(AND('Data Source'!B636&lt;&gt;"",'Data Source'!S636="F"),IF('Data Source'!Y636&gt;=5,"A+",IF('Data Source'!Y636&gt;=4,"A",IF('Data Source'!Y636&gt;=3.5,"A-",IF('Data Source'!Y636&gt;=3,"B",IF('Data Source'!Y636&gt;=2,"C",IF('Data Source'!Y636&gt;=1,"D","F")))))),"")</f>
        <v/>
      </c>
      <c r="H636" s="3">
        <f>IF(AND('Data Source'!B636&lt;&gt;"",'Data Source'!S636="F"),IF('Data Source'!Z636&gt;=5,"A+",IF('Data Source'!Z636&gt;=4,"A",IF('Data Source'!Z636&gt;=3.5,"A-",IF('Data Source'!Z636&gt;=3,"B",IF('Data Source'!Z636&gt;=2,"C",IF('Data Source'!Z636&gt;=1,"D","F")))))),"")</f>
        <v/>
      </c>
      <c r="I636" s="3">
        <f>IF(AND('Data Source'!B636&lt;&gt;"",'Data Source'!S636="F"),IF('Data Source'!AA636&gt;=5,"A+",IF('Data Source'!AA636&gt;=4,"A",IF('Data Source'!AA636&gt;=3.5,"A-",IF('Data Source'!AA636&gt;=3,"B",IF('Data Source'!AA636&gt;=2,"C",IF('Data Source'!AA636&gt;=1,"D","F")))))),"")</f>
        <v/>
      </c>
      <c r="J636" s="3">
        <f>IF(AND('Data Source'!B636&lt;&gt;"",'Data Source'!S636="F"),IF('Data Source'!AB636&gt;=5,"A+",IF('Data Source'!AB636&gt;=4,"A",IF('Data Source'!AB636&gt;=3.5,"A-",IF('Data Source'!AB636&gt;=3,"B",IF('Data Source'!AB636&gt;=2,"C",IF('Data Source'!AB636&gt;=1,"D","F")))))),"")</f>
        <v/>
      </c>
      <c r="K636" s="3">
        <f>IF(AND('Data Source'!B636&lt;&gt;"",'Data Source'!S636="F"),IF('Data Source'!AC636&gt;=5,"A+",IF('Data Source'!AC636&gt;=4,"A",IF('Data Source'!AC636&gt;=3.5,"A-",IF('Data Source'!AC636&gt;=3,"B",IF('Data Source'!AC636&gt;=2,"C",IF('Data Source'!AC636&gt;=1,"D","F")))))),"")</f>
        <v/>
      </c>
      <c r="L636" s="3">
        <f>IF(AND('Data Source'!B636&lt;&gt;"",'Data Source'!S636="F"),IF('Data Source'!AD636&gt;=5,"A+",IF('Data Source'!AD636&gt;=4,"A",IF('Data Source'!AD636&gt;=3.5,"A-",IF('Data Source'!AD636&gt;=3,"B",IF('Data Source'!AD636&gt;=2,"C",IF('Data Source'!AD636&gt;=1,"D","F")))))),"")</f>
        <v/>
      </c>
      <c r="M636" s="3">
        <f>IF(AND('Data Source'!B636&lt;&gt;"",'Data Source'!S636="F"),IF('Data Source'!AE636&gt;=5,"A+",IF('Data Source'!AE636&gt;=4,"A",IF('Data Source'!AE636&gt;=3.5,"A-",IF('Data Source'!AE636&gt;=3,"B",IF('Data Source'!AE636&gt;=2,"C",IF('Data Source'!AE636&gt;=1,"D","F")))))),"")</f>
        <v/>
      </c>
      <c r="N636" s="3">
        <f>IF(AND('Data Source'!B636&lt;&gt;"",'Data Source'!S636="F"),IF('Data Source'!AF636&gt;=5,"A+",IF('Data Source'!AF636&gt;=4,"A",IF('Data Source'!AF636&gt;=3.5,"A-",IF('Data Source'!AF636&gt;=3,"B",IF('Data Source'!AF636&gt;=2,"C",IF('Data Source'!AF636&gt;=1,"D","F")))))),"")</f>
        <v/>
      </c>
      <c r="O636" s="3">
        <f>IF(AND('Data Source'!B636&lt;&gt;"",'Data Source'!S636="F"),IF('Data Source'!AG636&gt;=5,"A+",IF('Data Source'!AG636&gt;=4,"A",IF('Data Source'!AG636&gt;=3.5,"A-",IF('Data Source'!AG636&gt;=3,"B",IF('Data Source'!AG636&gt;=2,"C",IF('Data Source'!AG636&gt;=1,"D","F")))))),"")</f>
        <v/>
      </c>
      <c r="P636" s="5">
        <f>IF(AND('Data Source'!B636&lt;&gt;"",'Data Source'!S636="F"),'Data Source'!R636,"")</f>
        <v/>
      </c>
      <c r="Q636" s="3">
        <f>IF(AND('Data Source'!B636&lt;&gt;"",'Data Source'!S636="F"),'Data Source'!S636,"")</f>
        <v/>
      </c>
    </row>
    <row r="637">
      <c r="A637" s="3">
        <f>IF(AND('Data Source'!B637&lt;&gt;"",'Data Source'!S637="F"),COUNTIF('Data Source'!$S$3:S637,"F"),"")</f>
        <v/>
      </c>
      <c r="B637">
        <f>IF(AND('Data Source'!B637&lt;&gt;"",'Data Source'!S637="F"),'Data Source'!B637,"")</f>
        <v/>
      </c>
      <c r="C637" s="3">
        <f>IF(AND('Data Source'!B637&lt;&gt;"",'Data Source'!S637="F"),IF('Data Source'!U637&gt;=5,"A+",IF('Data Source'!U637&gt;=4,"A",IF('Data Source'!U637&gt;=3.5,"A-",IF('Data Source'!U637&gt;=3,"B",IF('Data Source'!U637&gt;=2,"C",IF('Data Source'!U637&gt;=1,"D","F")))))),"")</f>
        <v/>
      </c>
      <c r="D637" s="3">
        <f>IF(AND('Data Source'!B637&lt;&gt;"",'Data Source'!S637="F"),IF('Data Source'!V637&gt;=5,"A+",IF('Data Source'!V637&gt;=4,"A",IF('Data Source'!V637&gt;=3.5,"A-",IF('Data Source'!V637&gt;=3,"B",IF('Data Source'!V637&gt;=2,"C",IF('Data Source'!V637&gt;=1,"D","F")))))),"")</f>
        <v/>
      </c>
      <c r="E637" s="3">
        <f>IF(AND('Data Source'!B637&lt;&gt;"",'Data Source'!S637="F"),IF('Data Source'!W637&gt;=5,"A+",IF('Data Source'!W637&gt;=4,"A",IF('Data Source'!W637&gt;=3.5,"A-",IF('Data Source'!W637&gt;=3,"B",IF('Data Source'!W637&gt;=2,"C",IF('Data Source'!W637&gt;=1,"D","F")))))),"")</f>
        <v/>
      </c>
      <c r="F637" s="3">
        <f>IF(AND('Data Source'!B637&lt;&gt;"",'Data Source'!S637="F"),IF('Data Source'!X637&gt;=5,"A+",IF('Data Source'!X637&gt;=4,"A",IF('Data Source'!X637&gt;=3.5,"A-",IF('Data Source'!X637&gt;=3,"B",IF('Data Source'!X637&gt;=2,"C",IF('Data Source'!X637&gt;=1,"D","F")))))),"")</f>
        <v/>
      </c>
      <c r="G637" s="3">
        <f>IF(AND('Data Source'!B637&lt;&gt;"",'Data Source'!S637="F"),IF('Data Source'!Y637&gt;=5,"A+",IF('Data Source'!Y637&gt;=4,"A",IF('Data Source'!Y637&gt;=3.5,"A-",IF('Data Source'!Y637&gt;=3,"B",IF('Data Source'!Y637&gt;=2,"C",IF('Data Source'!Y637&gt;=1,"D","F")))))),"")</f>
        <v/>
      </c>
      <c r="H637" s="3">
        <f>IF(AND('Data Source'!B637&lt;&gt;"",'Data Source'!S637="F"),IF('Data Source'!Z637&gt;=5,"A+",IF('Data Source'!Z637&gt;=4,"A",IF('Data Source'!Z637&gt;=3.5,"A-",IF('Data Source'!Z637&gt;=3,"B",IF('Data Source'!Z637&gt;=2,"C",IF('Data Source'!Z637&gt;=1,"D","F")))))),"")</f>
        <v/>
      </c>
      <c r="I637" s="3">
        <f>IF(AND('Data Source'!B637&lt;&gt;"",'Data Source'!S637="F"),IF('Data Source'!AA637&gt;=5,"A+",IF('Data Source'!AA637&gt;=4,"A",IF('Data Source'!AA637&gt;=3.5,"A-",IF('Data Source'!AA637&gt;=3,"B",IF('Data Source'!AA637&gt;=2,"C",IF('Data Source'!AA637&gt;=1,"D","F")))))),"")</f>
        <v/>
      </c>
      <c r="J637" s="3">
        <f>IF(AND('Data Source'!B637&lt;&gt;"",'Data Source'!S637="F"),IF('Data Source'!AB637&gt;=5,"A+",IF('Data Source'!AB637&gt;=4,"A",IF('Data Source'!AB637&gt;=3.5,"A-",IF('Data Source'!AB637&gt;=3,"B",IF('Data Source'!AB637&gt;=2,"C",IF('Data Source'!AB637&gt;=1,"D","F")))))),"")</f>
        <v/>
      </c>
      <c r="K637" s="3">
        <f>IF(AND('Data Source'!B637&lt;&gt;"",'Data Source'!S637="F"),IF('Data Source'!AC637&gt;=5,"A+",IF('Data Source'!AC637&gt;=4,"A",IF('Data Source'!AC637&gt;=3.5,"A-",IF('Data Source'!AC637&gt;=3,"B",IF('Data Source'!AC637&gt;=2,"C",IF('Data Source'!AC637&gt;=1,"D","F")))))),"")</f>
        <v/>
      </c>
      <c r="L637" s="3">
        <f>IF(AND('Data Source'!B637&lt;&gt;"",'Data Source'!S637="F"),IF('Data Source'!AD637&gt;=5,"A+",IF('Data Source'!AD637&gt;=4,"A",IF('Data Source'!AD637&gt;=3.5,"A-",IF('Data Source'!AD637&gt;=3,"B",IF('Data Source'!AD637&gt;=2,"C",IF('Data Source'!AD637&gt;=1,"D","F")))))),"")</f>
        <v/>
      </c>
      <c r="M637" s="3">
        <f>IF(AND('Data Source'!B637&lt;&gt;"",'Data Source'!S637="F"),IF('Data Source'!AE637&gt;=5,"A+",IF('Data Source'!AE637&gt;=4,"A",IF('Data Source'!AE637&gt;=3.5,"A-",IF('Data Source'!AE637&gt;=3,"B",IF('Data Source'!AE637&gt;=2,"C",IF('Data Source'!AE637&gt;=1,"D","F")))))),"")</f>
        <v/>
      </c>
      <c r="N637" s="3">
        <f>IF(AND('Data Source'!B637&lt;&gt;"",'Data Source'!S637="F"),IF('Data Source'!AF637&gt;=5,"A+",IF('Data Source'!AF637&gt;=4,"A",IF('Data Source'!AF637&gt;=3.5,"A-",IF('Data Source'!AF637&gt;=3,"B",IF('Data Source'!AF637&gt;=2,"C",IF('Data Source'!AF637&gt;=1,"D","F")))))),"")</f>
        <v/>
      </c>
      <c r="O637" s="3">
        <f>IF(AND('Data Source'!B637&lt;&gt;"",'Data Source'!S637="F"),IF('Data Source'!AG637&gt;=5,"A+",IF('Data Source'!AG637&gt;=4,"A",IF('Data Source'!AG637&gt;=3.5,"A-",IF('Data Source'!AG637&gt;=3,"B",IF('Data Source'!AG637&gt;=2,"C",IF('Data Source'!AG637&gt;=1,"D","F")))))),"")</f>
        <v/>
      </c>
      <c r="P637" s="5">
        <f>IF(AND('Data Source'!B637&lt;&gt;"",'Data Source'!S637="F"),'Data Source'!R637,"")</f>
        <v/>
      </c>
      <c r="Q637" s="3">
        <f>IF(AND('Data Source'!B637&lt;&gt;"",'Data Source'!S637="F"),'Data Source'!S637,"")</f>
        <v/>
      </c>
    </row>
    <row r="638">
      <c r="A638" s="3">
        <f>IF(AND('Data Source'!B638&lt;&gt;"",'Data Source'!S638="F"),COUNTIF('Data Source'!$S$3:S638,"F"),"")</f>
        <v/>
      </c>
      <c r="B638">
        <f>IF(AND('Data Source'!B638&lt;&gt;"",'Data Source'!S638="F"),'Data Source'!B638,"")</f>
        <v/>
      </c>
      <c r="C638" s="3">
        <f>IF(AND('Data Source'!B638&lt;&gt;"",'Data Source'!S638="F"),IF('Data Source'!U638&gt;=5,"A+",IF('Data Source'!U638&gt;=4,"A",IF('Data Source'!U638&gt;=3.5,"A-",IF('Data Source'!U638&gt;=3,"B",IF('Data Source'!U638&gt;=2,"C",IF('Data Source'!U638&gt;=1,"D","F")))))),"")</f>
        <v/>
      </c>
      <c r="D638" s="3">
        <f>IF(AND('Data Source'!B638&lt;&gt;"",'Data Source'!S638="F"),IF('Data Source'!V638&gt;=5,"A+",IF('Data Source'!V638&gt;=4,"A",IF('Data Source'!V638&gt;=3.5,"A-",IF('Data Source'!V638&gt;=3,"B",IF('Data Source'!V638&gt;=2,"C",IF('Data Source'!V638&gt;=1,"D","F")))))),"")</f>
        <v/>
      </c>
      <c r="E638" s="3">
        <f>IF(AND('Data Source'!B638&lt;&gt;"",'Data Source'!S638="F"),IF('Data Source'!W638&gt;=5,"A+",IF('Data Source'!W638&gt;=4,"A",IF('Data Source'!W638&gt;=3.5,"A-",IF('Data Source'!W638&gt;=3,"B",IF('Data Source'!W638&gt;=2,"C",IF('Data Source'!W638&gt;=1,"D","F")))))),"")</f>
        <v/>
      </c>
      <c r="F638" s="3">
        <f>IF(AND('Data Source'!B638&lt;&gt;"",'Data Source'!S638="F"),IF('Data Source'!X638&gt;=5,"A+",IF('Data Source'!X638&gt;=4,"A",IF('Data Source'!X638&gt;=3.5,"A-",IF('Data Source'!X638&gt;=3,"B",IF('Data Source'!X638&gt;=2,"C",IF('Data Source'!X638&gt;=1,"D","F")))))),"")</f>
        <v/>
      </c>
      <c r="G638" s="3">
        <f>IF(AND('Data Source'!B638&lt;&gt;"",'Data Source'!S638="F"),IF('Data Source'!Y638&gt;=5,"A+",IF('Data Source'!Y638&gt;=4,"A",IF('Data Source'!Y638&gt;=3.5,"A-",IF('Data Source'!Y638&gt;=3,"B",IF('Data Source'!Y638&gt;=2,"C",IF('Data Source'!Y638&gt;=1,"D","F")))))),"")</f>
        <v/>
      </c>
      <c r="H638" s="3">
        <f>IF(AND('Data Source'!B638&lt;&gt;"",'Data Source'!S638="F"),IF('Data Source'!Z638&gt;=5,"A+",IF('Data Source'!Z638&gt;=4,"A",IF('Data Source'!Z638&gt;=3.5,"A-",IF('Data Source'!Z638&gt;=3,"B",IF('Data Source'!Z638&gt;=2,"C",IF('Data Source'!Z638&gt;=1,"D","F")))))),"")</f>
        <v/>
      </c>
      <c r="I638" s="3">
        <f>IF(AND('Data Source'!B638&lt;&gt;"",'Data Source'!S638="F"),IF('Data Source'!AA638&gt;=5,"A+",IF('Data Source'!AA638&gt;=4,"A",IF('Data Source'!AA638&gt;=3.5,"A-",IF('Data Source'!AA638&gt;=3,"B",IF('Data Source'!AA638&gt;=2,"C",IF('Data Source'!AA638&gt;=1,"D","F")))))),"")</f>
        <v/>
      </c>
      <c r="J638" s="3">
        <f>IF(AND('Data Source'!B638&lt;&gt;"",'Data Source'!S638="F"),IF('Data Source'!AB638&gt;=5,"A+",IF('Data Source'!AB638&gt;=4,"A",IF('Data Source'!AB638&gt;=3.5,"A-",IF('Data Source'!AB638&gt;=3,"B",IF('Data Source'!AB638&gt;=2,"C",IF('Data Source'!AB638&gt;=1,"D","F")))))),"")</f>
        <v/>
      </c>
      <c r="K638" s="3">
        <f>IF(AND('Data Source'!B638&lt;&gt;"",'Data Source'!S638="F"),IF('Data Source'!AC638&gt;=5,"A+",IF('Data Source'!AC638&gt;=4,"A",IF('Data Source'!AC638&gt;=3.5,"A-",IF('Data Source'!AC638&gt;=3,"B",IF('Data Source'!AC638&gt;=2,"C",IF('Data Source'!AC638&gt;=1,"D","F")))))),"")</f>
        <v/>
      </c>
      <c r="L638" s="3">
        <f>IF(AND('Data Source'!B638&lt;&gt;"",'Data Source'!S638="F"),IF('Data Source'!AD638&gt;=5,"A+",IF('Data Source'!AD638&gt;=4,"A",IF('Data Source'!AD638&gt;=3.5,"A-",IF('Data Source'!AD638&gt;=3,"B",IF('Data Source'!AD638&gt;=2,"C",IF('Data Source'!AD638&gt;=1,"D","F")))))),"")</f>
        <v/>
      </c>
      <c r="M638" s="3">
        <f>IF(AND('Data Source'!B638&lt;&gt;"",'Data Source'!S638="F"),IF('Data Source'!AE638&gt;=5,"A+",IF('Data Source'!AE638&gt;=4,"A",IF('Data Source'!AE638&gt;=3.5,"A-",IF('Data Source'!AE638&gt;=3,"B",IF('Data Source'!AE638&gt;=2,"C",IF('Data Source'!AE638&gt;=1,"D","F")))))),"")</f>
        <v/>
      </c>
      <c r="N638" s="3">
        <f>IF(AND('Data Source'!B638&lt;&gt;"",'Data Source'!S638="F"),IF('Data Source'!AF638&gt;=5,"A+",IF('Data Source'!AF638&gt;=4,"A",IF('Data Source'!AF638&gt;=3.5,"A-",IF('Data Source'!AF638&gt;=3,"B",IF('Data Source'!AF638&gt;=2,"C",IF('Data Source'!AF638&gt;=1,"D","F")))))),"")</f>
        <v/>
      </c>
      <c r="O638" s="3">
        <f>IF(AND('Data Source'!B638&lt;&gt;"",'Data Source'!S638="F"),IF('Data Source'!AG638&gt;=5,"A+",IF('Data Source'!AG638&gt;=4,"A",IF('Data Source'!AG638&gt;=3.5,"A-",IF('Data Source'!AG638&gt;=3,"B",IF('Data Source'!AG638&gt;=2,"C",IF('Data Source'!AG638&gt;=1,"D","F")))))),"")</f>
        <v/>
      </c>
      <c r="P638" s="5">
        <f>IF(AND('Data Source'!B638&lt;&gt;"",'Data Source'!S638="F"),'Data Source'!R638,"")</f>
        <v/>
      </c>
      <c r="Q638" s="3">
        <f>IF(AND('Data Source'!B638&lt;&gt;"",'Data Source'!S638="F"),'Data Source'!S638,"")</f>
        <v/>
      </c>
    </row>
    <row r="639">
      <c r="A639" s="3">
        <f>IF(AND('Data Source'!B639&lt;&gt;"",'Data Source'!S639="F"),COUNTIF('Data Source'!$S$3:S639,"F"),"")</f>
        <v/>
      </c>
      <c r="B639">
        <f>IF(AND('Data Source'!B639&lt;&gt;"",'Data Source'!S639="F"),'Data Source'!B639,"")</f>
        <v/>
      </c>
      <c r="C639" s="3">
        <f>IF(AND('Data Source'!B639&lt;&gt;"",'Data Source'!S639="F"),IF('Data Source'!U639&gt;=5,"A+",IF('Data Source'!U639&gt;=4,"A",IF('Data Source'!U639&gt;=3.5,"A-",IF('Data Source'!U639&gt;=3,"B",IF('Data Source'!U639&gt;=2,"C",IF('Data Source'!U639&gt;=1,"D","F")))))),"")</f>
        <v/>
      </c>
      <c r="D639" s="3">
        <f>IF(AND('Data Source'!B639&lt;&gt;"",'Data Source'!S639="F"),IF('Data Source'!V639&gt;=5,"A+",IF('Data Source'!V639&gt;=4,"A",IF('Data Source'!V639&gt;=3.5,"A-",IF('Data Source'!V639&gt;=3,"B",IF('Data Source'!V639&gt;=2,"C",IF('Data Source'!V639&gt;=1,"D","F")))))),"")</f>
        <v/>
      </c>
      <c r="E639" s="3">
        <f>IF(AND('Data Source'!B639&lt;&gt;"",'Data Source'!S639="F"),IF('Data Source'!W639&gt;=5,"A+",IF('Data Source'!W639&gt;=4,"A",IF('Data Source'!W639&gt;=3.5,"A-",IF('Data Source'!W639&gt;=3,"B",IF('Data Source'!W639&gt;=2,"C",IF('Data Source'!W639&gt;=1,"D","F")))))),"")</f>
        <v/>
      </c>
      <c r="F639" s="3">
        <f>IF(AND('Data Source'!B639&lt;&gt;"",'Data Source'!S639="F"),IF('Data Source'!X639&gt;=5,"A+",IF('Data Source'!X639&gt;=4,"A",IF('Data Source'!X639&gt;=3.5,"A-",IF('Data Source'!X639&gt;=3,"B",IF('Data Source'!X639&gt;=2,"C",IF('Data Source'!X639&gt;=1,"D","F")))))),"")</f>
        <v/>
      </c>
      <c r="G639" s="3">
        <f>IF(AND('Data Source'!B639&lt;&gt;"",'Data Source'!S639="F"),IF('Data Source'!Y639&gt;=5,"A+",IF('Data Source'!Y639&gt;=4,"A",IF('Data Source'!Y639&gt;=3.5,"A-",IF('Data Source'!Y639&gt;=3,"B",IF('Data Source'!Y639&gt;=2,"C",IF('Data Source'!Y639&gt;=1,"D","F")))))),"")</f>
        <v/>
      </c>
      <c r="H639" s="3">
        <f>IF(AND('Data Source'!B639&lt;&gt;"",'Data Source'!S639="F"),IF('Data Source'!Z639&gt;=5,"A+",IF('Data Source'!Z639&gt;=4,"A",IF('Data Source'!Z639&gt;=3.5,"A-",IF('Data Source'!Z639&gt;=3,"B",IF('Data Source'!Z639&gt;=2,"C",IF('Data Source'!Z639&gt;=1,"D","F")))))),"")</f>
        <v/>
      </c>
      <c r="I639" s="3">
        <f>IF(AND('Data Source'!B639&lt;&gt;"",'Data Source'!S639="F"),IF('Data Source'!AA639&gt;=5,"A+",IF('Data Source'!AA639&gt;=4,"A",IF('Data Source'!AA639&gt;=3.5,"A-",IF('Data Source'!AA639&gt;=3,"B",IF('Data Source'!AA639&gt;=2,"C",IF('Data Source'!AA639&gt;=1,"D","F")))))),"")</f>
        <v/>
      </c>
      <c r="J639" s="3">
        <f>IF(AND('Data Source'!B639&lt;&gt;"",'Data Source'!S639="F"),IF('Data Source'!AB639&gt;=5,"A+",IF('Data Source'!AB639&gt;=4,"A",IF('Data Source'!AB639&gt;=3.5,"A-",IF('Data Source'!AB639&gt;=3,"B",IF('Data Source'!AB639&gt;=2,"C",IF('Data Source'!AB639&gt;=1,"D","F")))))),"")</f>
        <v/>
      </c>
      <c r="K639" s="3">
        <f>IF(AND('Data Source'!B639&lt;&gt;"",'Data Source'!S639="F"),IF('Data Source'!AC639&gt;=5,"A+",IF('Data Source'!AC639&gt;=4,"A",IF('Data Source'!AC639&gt;=3.5,"A-",IF('Data Source'!AC639&gt;=3,"B",IF('Data Source'!AC639&gt;=2,"C",IF('Data Source'!AC639&gt;=1,"D","F")))))),"")</f>
        <v/>
      </c>
      <c r="L639" s="3">
        <f>IF(AND('Data Source'!B639&lt;&gt;"",'Data Source'!S639="F"),IF('Data Source'!AD639&gt;=5,"A+",IF('Data Source'!AD639&gt;=4,"A",IF('Data Source'!AD639&gt;=3.5,"A-",IF('Data Source'!AD639&gt;=3,"B",IF('Data Source'!AD639&gt;=2,"C",IF('Data Source'!AD639&gt;=1,"D","F")))))),"")</f>
        <v/>
      </c>
      <c r="M639" s="3">
        <f>IF(AND('Data Source'!B639&lt;&gt;"",'Data Source'!S639="F"),IF('Data Source'!AE639&gt;=5,"A+",IF('Data Source'!AE639&gt;=4,"A",IF('Data Source'!AE639&gt;=3.5,"A-",IF('Data Source'!AE639&gt;=3,"B",IF('Data Source'!AE639&gt;=2,"C",IF('Data Source'!AE639&gt;=1,"D","F")))))),"")</f>
        <v/>
      </c>
      <c r="N639" s="3">
        <f>IF(AND('Data Source'!B639&lt;&gt;"",'Data Source'!S639="F"),IF('Data Source'!AF639&gt;=5,"A+",IF('Data Source'!AF639&gt;=4,"A",IF('Data Source'!AF639&gt;=3.5,"A-",IF('Data Source'!AF639&gt;=3,"B",IF('Data Source'!AF639&gt;=2,"C",IF('Data Source'!AF639&gt;=1,"D","F")))))),"")</f>
        <v/>
      </c>
      <c r="O639" s="3">
        <f>IF(AND('Data Source'!B639&lt;&gt;"",'Data Source'!S639="F"),IF('Data Source'!AG639&gt;=5,"A+",IF('Data Source'!AG639&gt;=4,"A",IF('Data Source'!AG639&gt;=3.5,"A-",IF('Data Source'!AG639&gt;=3,"B",IF('Data Source'!AG639&gt;=2,"C",IF('Data Source'!AG639&gt;=1,"D","F")))))),"")</f>
        <v/>
      </c>
      <c r="P639" s="5">
        <f>IF(AND('Data Source'!B639&lt;&gt;"",'Data Source'!S639="F"),'Data Source'!R639,"")</f>
        <v/>
      </c>
      <c r="Q639" s="3">
        <f>IF(AND('Data Source'!B639&lt;&gt;"",'Data Source'!S639="F"),'Data Source'!S639,"")</f>
        <v/>
      </c>
    </row>
    <row r="640">
      <c r="A640" s="3">
        <f>IF(AND('Data Source'!B640&lt;&gt;"",'Data Source'!S640="F"),COUNTIF('Data Source'!$S$3:S640,"F"),"")</f>
        <v/>
      </c>
      <c r="B640">
        <f>IF(AND('Data Source'!B640&lt;&gt;"",'Data Source'!S640="F"),'Data Source'!B640,"")</f>
        <v/>
      </c>
      <c r="C640" s="3">
        <f>IF(AND('Data Source'!B640&lt;&gt;"",'Data Source'!S640="F"),IF('Data Source'!U640&gt;=5,"A+",IF('Data Source'!U640&gt;=4,"A",IF('Data Source'!U640&gt;=3.5,"A-",IF('Data Source'!U640&gt;=3,"B",IF('Data Source'!U640&gt;=2,"C",IF('Data Source'!U640&gt;=1,"D","F")))))),"")</f>
        <v/>
      </c>
      <c r="D640" s="3">
        <f>IF(AND('Data Source'!B640&lt;&gt;"",'Data Source'!S640="F"),IF('Data Source'!V640&gt;=5,"A+",IF('Data Source'!V640&gt;=4,"A",IF('Data Source'!V640&gt;=3.5,"A-",IF('Data Source'!V640&gt;=3,"B",IF('Data Source'!V640&gt;=2,"C",IF('Data Source'!V640&gt;=1,"D","F")))))),"")</f>
        <v/>
      </c>
      <c r="E640" s="3">
        <f>IF(AND('Data Source'!B640&lt;&gt;"",'Data Source'!S640="F"),IF('Data Source'!W640&gt;=5,"A+",IF('Data Source'!W640&gt;=4,"A",IF('Data Source'!W640&gt;=3.5,"A-",IF('Data Source'!W640&gt;=3,"B",IF('Data Source'!W640&gt;=2,"C",IF('Data Source'!W640&gt;=1,"D","F")))))),"")</f>
        <v/>
      </c>
      <c r="F640" s="3">
        <f>IF(AND('Data Source'!B640&lt;&gt;"",'Data Source'!S640="F"),IF('Data Source'!X640&gt;=5,"A+",IF('Data Source'!X640&gt;=4,"A",IF('Data Source'!X640&gt;=3.5,"A-",IF('Data Source'!X640&gt;=3,"B",IF('Data Source'!X640&gt;=2,"C",IF('Data Source'!X640&gt;=1,"D","F")))))),"")</f>
        <v/>
      </c>
      <c r="G640" s="3">
        <f>IF(AND('Data Source'!B640&lt;&gt;"",'Data Source'!S640="F"),IF('Data Source'!Y640&gt;=5,"A+",IF('Data Source'!Y640&gt;=4,"A",IF('Data Source'!Y640&gt;=3.5,"A-",IF('Data Source'!Y640&gt;=3,"B",IF('Data Source'!Y640&gt;=2,"C",IF('Data Source'!Y640&gt;=1,"D","F")))))),"")</f>
        <v/>
      </c>
      <c r="H640" s="3">
        <f>IF(AND('Data Source'!B640&lt;&gt;"",'Data Source'!S640="F"),IF('Data Source'!Z640&gt;=5,"A+",IF('Data Source'!Z640&gt;=4,"A",IF('Data Source'!Z640&gt;=3.5,"A-",IF('Data Source'!Z640&gt;=3,"B",IF('Data Source'!Z640&gt;=2,"C",IF('Data Source'!Z640&gt;=1,"D","F")))))),"")</f>
        <v/>
      </c>
      <c r="I640" s="3">
        <f>IF(AND('Data Source'!B640&lt;&gt;"",'Data Source'!S640="F"),IF('Data Source'!AA640&gt;=5,"A+",IF('Data Source'!AA640&gt;=4,"A",IF('Data Source'!AA640&gt;=3.5,"A-",IF('Data Source'!AA640&gt;=3,"B",IF('Data Source'!AA640&gt;=2,"C",IF('Data Source'!AA640&gt;=1,"D","F")))))),"")</f>
        <v/>
      </c>
      <c r="J640" s="3">
        <f>IF(AND('Data Source'!B640&lt;&gt;"",'Data Source'!S640="F"),IF('Data Source'!AB640&gt;=5,"A+",IF('Data Source'!AB640&gt;=4,"A",IF('Data Source'!AB640&gt;=3.5,"A-",IF('Data Source'!AB640&gt;=3,"B",IF('Data Source'!AB640&gt;=2,"C",IF('Data Source'!AB640&gt;=1,"D","F")))))),"")</f>
        <v/>
      </c>
      <c r="K640" s="3">
        <f>IF(AND('Data Source'!B640&lt;&gt;"",'Data Source'!S640="F"),IF('Data Source'!AC640&gt;=5,"A+",IF('Data Source'!AC640&gt;=4,"A",IF('Data Source'!AC640&gt;=3.5,"A-",IF('Data Source'!AC640&gt;=3,"B",IF('Data Source'!AC640&gt;=2,"C",IF('Data Source'!AC640&gt;=1,"D","F")))))),"")</f>
        <v/>
      </c>
      <c r="L640" s="3">
        <f>IF(AND('Data Source'!B640&lt;&gt;"",'Data Source'!S640="F"),IF('Data Source'!AD640&gt;=5,"A+",IF('Data Source'!AD640&gt;=4,"A",IF('Data Source'!AD640&gt;=3.5,"A-",IF('Data Source'!AD640&gt;=3,"B",IF('Data Source'!AD640&gt;=2,"C",IF('Data Source'!AD640&gt;=1,"D","F")))))),"")</f>
        <v/>
      </c>
      <c r="M640" s="3">
        <f>IF(AND('Data Source'!B640&lt;&gt;"",'Data Source'!S640="F"),IF('Data Source'!AE640&gt;=5,"A+",IF('Data Source'!AE640&gt;=4,"A",IF('Data Source'!AE640&gt;=3.5,"A-",IF('Data Source'!AE640&gt;=3,"B",IF('Data Source'!AE640&gt;=2,"C",IF('Data Source'!AE640&gt;=1,"D","F")))))),"")</f>
        <v/>
      </c>
      <c r="N640" s="3">
        <f>IF(AND('Data Source'!B640&lt;&gt;"",'Data Source'!S640="F"),IF('Data Source'!AF640&gt;=5,"A+",IF('Data Source'!AF640&gt;=4,"A",IF('Data Source'!AF640&gt;=3.5,"A-",IF('Data Source'!AF640&gt;=3,"B",IF('Data Source'!AF640&gt;=2,"C",IF('Data Source'!AF640&gt;=1,"D","F")))))),"")</f>
        <v/>
      </c>
      <c r="O640" s="3">
        <f>IF(AND('Data Source'!B640&lt;&gt;"",'Data Source'!S640="F"),IF('Data Source'!AG640&gt;=5,"A+",IF('Data Source'!AG640&gt;=4,"A",IF('Data Source'!AG640&gt;=3.5,"A-",IF('Data Source'!AG640&gt;=3,"B",IF('Data Source'!AG640&gt;=2,"C",IF('Data Source'!AG640&gt;=1,"D","F")))))),"")</f>
        <v/>
      </c>
      <c r="P640" s="5">
        <f>IF(AND('Data Source'!B640&lt;&gt;"",'Data Source'!S640="F"),'Data Source'!R640,"")</f>
        <v/>
      </c>
      <c r="Q640" s="3">
        <f>IF(AND('Data Source'!B640&lt;&gt;"",'Data Source'!S640="F"),'Data Source'!S640,"")</f>
        <v/>
      </c>
    </row>
    <row r="641">
      <c r="A641" s="3">
        <f>IF(AND('Data Source'!B641&lt;&gt;"",'Data Source'!S641="F"),COUNTIF('Data Source'!$S$3:S641,"F"),"")</f>
        <v/>
      </c>
      <c r="B641">
        <f>IF(AND('Data Source'!B641&lt;&gt;"",'Data Source'!S641="F"),'Data Source'!B641,"")</f>
        <v/>
      </c>
      <c r="C641" s="3">
        <f>IF(AND('Data Source'!B641&lt;&gt;"",'Data Source'!S641="F"),IF('Data Source'!U641&gt;=5,"A+",IF('Data Source'!U641&gt;=4,"A",IF('Data Source'!U641&gt;=3.5,"A-",IF('Data Source'!U641&gt;=3,"B",IF('Data Source'!U641&gt;=2,"C",IF('Data Source'!U641&gt;=1,"D","F")))))),"")</f>
        <v/>
      </c>
      <c r="D641" s="3">
        <f>IF(AND('Data Source'!B641&lt;&gt;"",'Data Source'!S641="F"),IF('Data Source'!V641&gt;=5,"A+",IF('Data Source'!V641&gt;=4,"A",IF('Data Source'!V641&gt;=3.5,"A-",IF('Data Source'!V641&gt;=3,"B",IF('Data Source'!V641&gt;=2,"C",IF('Data Source'!V641&gt;=1,"D","F")))))),"")</f>
        <v/>
      </c>
      <c r="E641" s="3">
        <f>IF(AND('Data Source'!B641&lt;&gt;"",'Data Source'!S641="F"),IF('Data Source'!W641&gt;=5,"A+",IF('Data Source'!W641&gt;=4,"A",IF('Data Source'!W641&gt;=3.5,"A-",IF('Data Source'!W641&gt;=3,"B",IF('Data Source'!W641&gt;=2,"C",IF('Data Source'!W641&gt;=1,"D","F")))))),"")</f>
        <v/>
      </c>
      <c r="F641" s="3">
        <f>IF(AND('Data Source'!B641&lt;&gt;"",'Data Source'!S641="F"),IF('Data Source'!X641&gt;=5,"A+",IF('Data Source'!X641&gt;=4,"A",IF('Data Source'!X641&gt;=3.5,"A-",IF('Data Source'!X641&gt;=3,"B",IF('Data Source'!X641&gt;=2,"C",IF('Data Source'!X641&gt;=1,"D","F")))))),"")</f>
        <v/>
      </c>
      <c r="G641" s="3">
        <f>IF(AND('Data Source'!B641&lt;&gt;"",'Data Source'!S641="F"),IF('Data Source'!Y641&gt;=5,"A+",IF('Data Source'!Y641&gt;=4,"A",IF('Data Source'!Y641&gt;=3.5,"A-",IF('Data Source'!Y641&gt;=3,"B",IF('Data Source'!Y641&gt;=2,"C",IF('Data Source'!Y641&gt;=1,"D","F")))))),"")</f>
        <v/>
      </c>
      <c r="H641" s="3">
        <f>IF(AND('Data Source'!B641&lt;&gt;"",'Data Source'!S641="F"),IF('Data Source'!Z641&gt;=5,"A+",IF('Data Source'!Z641&gt;=4,"A",IF('Data Source'!Z641&gt;=3.5,"A-",IF('Data Source'!Z641&gt;=3,"B",IF('Data Source'!Z641&gt;=2,"C",IF('Data Source'!Z641&gt;=1,"D","F")))))),"")</f>
        <v/>
      </c>
      <c r="I641" s="3">
        <f>IF(AND('Data Source'!B641&lt;&gt;"",'Data Source'!S641="F"),IF('Data Source'!AA641&gt;=5,"A+",IF('Data Source'!AA641&gt;=4,"A",IF('Data Source'!AA641&gt;=3.5,"A-",IF('Data Source'!AA641&gt;=3,"B",IF('Data Source'!AA641&gt;=2,"C",IF('Data Source'!AA641&gt;=1,"D","F")))))),"")</f>
        <v/>
      </c>
      <c r="J641" s="3">
        <f>IF(AND('Data Source'!B641&lt;&gt;"",'Data Source'!S641="F"),IF('Data Source'!AB641&gt;=5,"A+",IF('Data Source'!AB641&gt;=4,"A",IF('Data Source'!AB641&gt;=3.5,"A-",IF('Data Source'!AB641&gt;=3,"B",IF('Data Source'!AB641&gt;=2,"C",IF('Data Source'!AB641&gt;=1,"D","F")))))),"")</f>
        <v/>
      </c>
      <c r="K641" s="3">
        <f>IF(AND('Data Source'!B641&lt;&gt;"",'Data Source'!S641="F"),IF('Data Source'!AC641&gt;=5,"A+",IF('Data Source'!AC641&gt;=4,"A",IF('Data Source'!AC641&gt;=3.5,"A-",IF('Data Source'!AC641&gt;=3,"B",IF('Data Source'!AC641&gt;=2,"C",IF('Data Source'!AC641&gt;=1,"D","F")))))),"")</f>
        <v/>
      </c>
      <c r="L641" s="3">
        <f>IF(AND('Data Source'!B641&lt;&gt;"",'Data Source'!S641="F"),IF('Data Source'!AD641&gt;=5,"A+",IF('Data Source'!AD641&gt;=4,"A",IF('Data Source'!AD641&gt;=3.5,"A-",IF('Data Source'!AD641&gt;=3,"B",IF('Data Source'!AD641&gt;=2,"C",IF('Data Source'!AD641&gt;=1,"D","F")))))),"")</f>
        <v/>
      </c>
      <c r="M641" s="3">
        <f>IF(AND('Data Source'!B641&lt;&gt;"",'Data Source'!S641="F"),IF('Data Source'!AE641&gt;=5,"A+",IF('Data Source'!AE641&gt;=4,"A",IF('Data Source'!AE641&gt;=3.5,"A-",IF('Data Source'!AE641&gt;=3,"B",IF('Data Source'!AE641&gt;=2,"C",IF('Data Source'!AE641&gt;=1,"D","F")))))),"")</f>
        <v/>
      </c>
      <c r="N641" s="3">
        <f>IF(AND('Data Source'!B641&lt;&gt;"",'Data Source'!S641="F"),IF('Data Source'!AF641&gt;=5,"A+",IF('Data Source'!AF641&gt;=4,"A",IF('Data Source'!AF641&gt;=3.5,"A-",IF('Data Source'!AF641&gt;=3,"B",IF('Data Source'!AF641&gt;=2,"C",IF('Data Source'!AF641&gt;=1,"D","F")))))),"")</f>
        <v/>
      </c>
      <c r="O641" s="3">
        <f>IF(AND('Data Source'!B641&lt;&gt;"",'Data Source'!S641="F"),IF('Data Source'!AG641&gt;=5,"A+",IF('Data Source'!AG641&gt;=4,"A",IF('Data Source'!AG641&gt;=3.5,"A-",IF('Data Source'!AG641&gt;=3,"B",IF('Data Source'!AG641&gt;=2,"C",IF('Data Source'!AG641&gt;=1,"D","F")))))),"")</f>
        <v/>
      </c>
      <c r="P641" s="5">
        <f>IF(AND('Data Source'!B641&lt;&gt;"",'Data Source'!S641="F"),'Data Source'!R641,"")</f>
        <v/>
      </c>
      <c r="Q641" s="3">
        <f>IF(AND('Data Source'!B641&lt;&gt;"",'Data Source'!S641="F"),'Data Source'!S641,"")</f>
        <v/>
      </c>
    </row>
    <row r="642">
      <c r="A642" s="3">
        <f>IF(AND('Data Source'!B642&lt;&gt;"",'Data Source'!S642="F"),COUNTIF('Data Source'!$S$3:S642,"F"),"")</f>
        <v/>
      </c>
      <c r="B642">
        <f>IF(AND('Data Source'!B642&lt;&gt;"",'Data Source'!S642="F"),'Data Source'!B642,"")</f>
        <v/>
      </c>
      <c r="C642" s="3">
        <f>IF(AND('Data Source'!B642&lt;&gt;"",'Data Source'!S642="F"),IF('Data Source'!U642&gt;=5,"A+",IF('Data Source'!U642&gt;=4,"A",IF('Data Source'!U642&gt;=3.5,"A-",IF('Data Source'!U642&gt;=3,"B",IF('Data Source'!U642&gt;=2,"C",IF('Data Source'!U642&gt;=1,"D","F")))))),"")</f>
        <v/>
      </c>
      <c r="D642" s="3">
        <f>IF(AND('Data Source'!B642&lt;&gt;"",'Data Source'!S642="F"),IF('Data Source'!V642&gt;=5,"A+",IF('Data Source'!V642&gt;=4,"A",IF('Data Source'!V642&gt;=3.5,"A-",IF('Data Source'!V642&gt;=3,"B",IF('Data Source'!V642&gt;=2,"C",IF('Data Source'!V642&gt;=1,"D","F")))))),"")</f>
        <v/>
      </c>
      <c r="E642" s="3">
        <f>IF(AND('Data Source'!B642&lt;&gt;"",'Data Source'!S642="F"),IF('Data Source'!W642&gt;=5,"A+",IF('Data Source'!W642&gt;=4,"A",IF('Data Source'!W642&gt;=3.5,"A-",IF('Data Source'!W642&gt;=3,"B",IF('Data Source'!W642&gt;=2,"C",IF('Data Source'!W642&gt;=1,"D","F")))))),"")</f>
        <v/>
      </c>
      <c r="F642" s="3">
        <f>IF(AND('Data Source'!B642&lt;&gt;"",'Data Source'!S642="F"),IF('Data Source'!X642&gt;=5,"A+",IF('Data Source'!X642&gt;=4,"A",IF('Data Source'!X642&gt;=3.5,"A-",IF('Data Source'!X642&gt;=3,"B",IF('Data Source'!X642&gt;=2,"C",IF('Data Source'!X642&gt;=1,"D","F")))))),"")</f>
        <v/>
      </c>
      <c r="G642" s="3">
        <f>IF(AND('Data Source'!B642&lt;&gt;"",'Data Source'!S642="F"),IF('Data Source'!Y642&gt;=5,"A+",IF('Data Source'!Y642&gt;=4,"A",IF('Data Source'!Y642&gt;=3.5,"A-",IF('Data Source'!Y642&gt;=3,"B",IF('Data Source'!Y642&gt;=2,"C",IF('Data Source'!Y642&gt;=1,"D","F")))))),"")</f>
        <v/>
      </c>
      <c r="H642" s="3">
        <f>IF(AND('Data Source'!B642&lt;&gt;"",'Data Source'!S642="F"),IF('Data Source'!Z642&gt;=5,"A+",IF('Data Source'!Z642&gt;=4,"A",IF('Data Source'!Z642&gt;=3.5,"A-",IF('Data Source'!Z642&gt;=3,"B",IF('Data Source'!Z642&gt;=2,"C",IF('Data Source'!Z642&gt;=1,"D","F")))))),"")</f>
        <v/>
      </c>
      <c r="I642" s="3">
        <f>IF(AND('Data Source'!B642&lt;&gt;"",'Data Source'!S642="F"),IF('Data Source'!AA642&gt;=5,"A+",IF('Data Source'!AA642&gt;=4,"A",IF('Data Source'!AA642&gt;=3.5,"A-",IF('Data Source'!AA642&gt;=3,"B",IF('Data Source'!AA642&gt;=2,"C",IF('Data Source'!AA642&gt;=1,"D","F")))))),"")</f>
        <v/>
      </c>
      <c r="J642" s="3">
        <f>IF(AND('Data Source'!B642&lt;&gt;"",'Data Source'!S642="F"),IF('Data Source'!AB642&gt;=5,"A+",IF('Data Source'!AB642&gt;=4,"A",IF('Data Source'!AB642&gt;=3.5,"A-",IF('Data Source'!AB642&gt;=3,"B",IF('Data Source'!AB642&gt;=2,"C",IF('Data Source'!AB642&gt;=1,"D","F")))))),"")</f>
        <v/>
      </c>
      <c r="K642" s="3">
        <f>IF(AND('Data Source'!B642&lt;&gt;"",'Data Source'!S642="F"),IF('Data Source'!AC642&gt;=5,"A+",IF('Data Source'!AC642&gt;=4,"A",IF('Data Source'!AC642&gt;=3.5,"A-",IF('Data Source'!AC642&gt;=3,"B",IF('Data Source'!AC642&gt;=2,"C",IF('Data Source'!AC642&gt;=1,"D","F")))))),"")</f>
        <v/>
      </c>
      <c r="L642" s="3">
        <f>IF(AND('Data Source'!B642&lt;&gt;"",'Data Source'!S642="F"),IF('Data Source'!AD642&gt;=5,"A+",IF('Data Source'!AD642&gt;=4,"A",IF('Data Source'!AD642&gt;=3.5,"A-",IF('Data Source'!AD642&gt;=3,"B",IF('Data Source'!AD642&gt;=2,"C",IF('Data Source'!AD642&gt;=1,"D","F")))))),"")</f>
        <v/>
      </c>
      <c r="M642" s="3">
        <f>IF(AND('Data Source'!B642&lt;&gt;"",'Data Source'!S642="F"),IF('Data Source'!AE642&gt;=5,"A+",IF('Data Source'!AE642&gt;=4,"A",IF('Data Source'!AE642&gt;=3.5,"A-",IF('Data Source'!AE642&gt;=3,"B",IF('Data Source'!AE642&gt;=2,"C",IF('Data Source'!AE642&gt;=1,"D","F")))))),"")</f>
        <v/>
      </c>
      <c r="N642" s="3">
        <f>IF(AND('Data Source'!B642&lt;&gt;"",'Data Source'!S642="F"),IF('Data Source'!AF642&gt;=5,"A+",IF('Data Source'!AF642&gt;=4,"A",IF('Data Source'!AF642&gt;=3.5,"A-",IF('Data Source'!AF642&gt;=3,"B",IF('Data Source'!AF642&gt;=2,"C",IF('Data Source'!AF642&gt;=1,"D","F")))))),"")</f>
        <v/>
      </c>
      <c r="O642" s="3">
        <f>IF(AND('Data Source'!B642&lt;&gt;"",'Data Source'!S642="F"),IF('Data Source'!AG642&gt;=5,"A+",IF('Data Source'!AG642&gt;=4,"A",IF('Data Source'!AG642&gt;=3.5,"A-",IF('Data Source'!AG642&gt;=3,"B",IF('Data Source'!AG642&gt;=2,"C",IF('Data Source'!AG642&gt;=1,"D","F")))))),"")</f>
        <v/>
      </c>
      <c r="P642" s="5">
        <f>IF(AND('Data Source'!B642&lt;&gt;"",'Data Source'!S642="F"),'Data Source'!R642,"")</f>
        <v/>
      </c>
      <c r="Q642" s="3">
        <f>IF(AND('Data Source'!B642&lt;&gt;"",'Data Source'!S642="F"),'Data Source'!S642,"")</f>
        <v/>
      </c>
    </row>
    <row r="643">
      <c r="A643" s="3">
        <f>IF(AND('Data Source'!B643&lt;&gt;"",'Data Source'!S643="F"),COUNTIF('Data Source'!$S$3:S643,"F"),"")</f>
        <v/>
      </c>
      <c r="B643">
        <f>IF(AND('Data Source'!B643&lt;&gt;"",'Data Source'!S643="F"),'Data Source'!B643,"")</f>
        <v/>
      </c>
      <c r="C643" s="3">
        <f>IF(AND('Data Source'!B643&lt;&gt;"",'Data Source'!S643="F"),IF('Data Source'!U643&gt;=5,"A+",IF('Data Source'!U643&gt;=4,"A",IF('Data Source'!U643&gt;=3.5,"A-",IF('Data Source'!U643&gt;=3,"B",IF('Data Source'!U643&gt;=2,"C",IF('Data Source'!U643&gt;=1,"D","F")))))),"")</f>
        <v/>
      </c>
      <c r="D643" s="3">
        <f>IF(AND('Data Source'!B643&lt;&gt;"",'Data Source'!S643="F"),IF('Data Source'!V643&gt;=5,"A+",IF('Data Source'!V643&gt;=4,"A",IF('Data Source'!V643&gt;=3.5,"A-",IF('Data Source'!V643&gt;=3,"B",IF('Data Source'!V643&gt;=2,"C",IF('Data Source'!V643&gt;=1,"D","F")))))),"")</f>
        <v/>
      </c>
      <c r="E643" s="3">
        <f>IF(AND('Data Source'!B643&lt;&gt;"",'Data Source'!S643="F"),IF('Data Source'!W643&gt;=5,"A+",IF('Data Source'!W643&gt;=4,"A",IF('Data Source'!W643&gt;=3.5,"A-",IF('Data Source'!W643&gt;=3,"B",IF('Data Source'!W643&gt;=2,"C",IF('Data Source'!W643&gt;=1,"D","F")))))),"")</f>
        <v/>
      </c>
      <c r="F643" s="3">
        <f>IF(AND('Data Source'!B643&lt;&gt;"",'Data Source'!S643="F"),IF('Data Source'!X643&gt;=5,"A+",IF('Data Source'!X643&gt;=4,"A",IF('Data Source'!X643&gt;=3.5,"A-",IF('Data Source'!X643&gt;=3,"B",IF('Data Source'!X643&gt;=2,"C",IF('Data Source'!X643&gt;=1,"D","F")))))),"")</f>
        <v/>
      </c>
      <c r="G643" s="3">
        <f>IF(AND('Data Source'!B643&lt;&gt;"",'Data Source'!S643="F"),IF('Data Source'!Y643&gt;=5,"A+",IF('Data Source'!Y643&gt;=4,"A",IF('Data Source'!Y643&gt;=3.5,"A-",IF('Data Source'!Y643&gt;=3,"B",IF('Data Source'!Y643&gt;=2,"C",IF('Data Source'!Y643&gt;=1,"D","F")))))),"")</f>
        <v/>
      </c>
      <c r="H643" s="3">
        <f>IF(AND('Data Source'!B643&lt;&gt;"",'Data Source'!S643="F"),IF('Data Source'!Z643&gt;=5,"A+",IF('Data Source'!Z643&gt;=4,"A",IF('Data Source'!Z643&gt;=3.5,"A-",IF('Data Source'!Z643&gt;=3,"B",IF('Data Source'!Z643&gt;=2,"C",IF('Data Source'!Z643&gt;=1,"D","F")))))),"")</f>
        <v/>
      </c>
      <c r="I643" s="3">
        <f>IF(AND('Data Source'!B643&lt;&gt;"",'Data Source'!S643="F"),IF('Data Source'!AA643&gt;=5,"A+",IF('Data Source'!AA643&gt;=4,"A",IF('Data Source'!AA643&gt;=3.5,"A-",IF('Data Source'!AA643&gt;=3,"B",IF('Data Source'!AA643&gt;=2,"C",IF('Data Source'!AA643&gt;=1,"D","F")))))),"")</f>
        <v/>
      </c>
      <c r="J643" s="3">
        <f>IF(AND('Data Source'!B643&lt;&gt;"",'Data Source'!S643="F"),IF('Data Source'!AB643&gt;=5,"A+",IF('Data Source'!AB643&gt;=4,"A",IF('Data Source'!AB643&gt;=3.5,"A-",IF('Data Source'!AB643&gt;=3,"B",IF('Data Source'!AB643&gt;=2,"C",IF('Data Source'!AB643&gt;=1,"D","F")))))),"")</f>
        <v/>
      </c>
      <c r="K643" s="3">
        <f>IF(AND('Data Source'!B643&lt;&gt;"",'Data Source'!S643="F"),IF('Data Source'!AC643&gt;=5,"A+",IF('Data Source'!AC643&gt;=4,"A",IF('Data Source'!AC643&gt;=3.5,"A-",IF('Data Source'!AC643&gt;=3,"B",IF('Data Source'!AC643&gt;=2,"C",IF('Data Source'!AC643&gt;=1,"D","F")))))),"")</f>
        <v/>
      </c>
      <c r="L643" s="3">
        <f>IF(AND('Data Source'!B643&lt;&gt;"",'Data Source'!S643="F"),IF('Data Source'!AD643&gt;=5,"A+",IF('Data Source'!AD643&gt;=4,"A",IF('Data Source'!AD643&gt;=3.5,"A-",IF('Data Source'!AD643&gt;=3,"B",IF('Data Source'!AD643&gt;=2,"C",IF('Data Source'!AD643&gt;=1,"D","F")))))),"")</f>
        <v/>
      </c>
      <c r="M643" s="3">
        <f>IF(AND('Data Source'!B643&lt;&gt;"",'Data Source'!S643="F"),IF('Data Source'!AE643&gt;=5,"A+",IF('Data Source'!AE643&gt;=4,"A",IF('Data Source'!AE643&gt;=3.5,"A-",IF('Data Source'!AE643&gt;=3,"B",IF('Data Source'!AE643&gt;=2,"C",IF('Data Source'!AE643&gt;=1,"D","F")))))),"")</f>
        <v/>
      </c>
      <c r="N643" s="3">
        <f>IF(AND('Data Source'!B643&lt;&gt;"",'Data Source'!S643="F"),IF('Data Source'!AF643&gt;=5,"A+",IF('Data Source'!AF643&gt;=4,"A",IF('Data Source'!AF643&gt;=3.5,"A-",IF('Data Source'!AF643&gt;=3,"B",IF('Data Source'!AF643&gt;=2,"C",IF('Data Source'!AF643&gt;=1,"D","F")))))),"")</f>
        <v/>
      </c>
      <c r="O643" s="3">
        <f>IF(AND('Data Source'!B643&lt;&gt;"",'Data Source'!S643="F"),IF('Data Source'!AG643&gt;=5,"A+",IF('Data Source'!AG643&gt;=4,"A",IF('Data Source'!AG643&gt;=3.5,"A-",IF('Data Source'!AG643&gt;=3,"B",IF('Data Source'!AG643&gt;=2,"C",IF('Data Source'!AG643&gt;=1,"D","F")))))),"")</f>
        <v/>
      </c>
      <c r="P643" s="5">
        <f>IF(AND('Data Source'!B643&lt;&gt;"",'Data Source'!S643="F"),'Data Source'!R643,"")</f>
        <v/>
      </c>
      <c r="Q643" s="3">
        <f>IF(AND('Data Source'!B643&lt;&gt;"",'Data Source'!S643="F"),'Data Source'!S643,"")</f>
        <v/>
      </c>
    </row>
    <row r="644">
      <c r="A644" s="3">
        <f>IF(AND('Data Source'!B644&lt;&gt;"",'Data Source'!S644="F"),COUNTIF('Data Source'!$S$3:S644,"F"),"")</f>
        <v/>
      </c>
      <c r="B644">
        <f>IF(AND('Data Source'!B644&lt;&gt;"",'Data Source'!S644="F"),'Data Source'!B644,"")</f>
        <v/>
      </c>
      <c r="C644" s="3">
        <f>IF(AND('Data Source'!B644&lt;&gt;"",'Data Source'!S644="F"),IF('Data Source'!U644&gt;=5,"A+",IF('Data Source'!U644&gt;=4,"A",IF('Data Source'!U644&gt;=3.5,"A-",IF('Data Source'!U644&gt;=3,"B",IF('Data Source'!U644&gt;=2,"C",IF('Data Source'!U644&gt;=1,"D","F")))))),"")</f>
        <v/>
      </c>
      <c r="D644" s="3">
        <f>IF(AND('Data Source'!B644&lt;&gt;"",'Data Source'!S644="F"),IF('Data Source'!V644&gt;=5,"A+",IF('Data Source'!V644&gt;=4,"A",IF('Data Source'!V644&gt;=3.5,"A-",IF('Data Source'!V644&gt;=3,"B",IF('Data Source'!V644&gt;=2,"C",IF('Data Source'!V644&gt;=1,"D","F")))))),"")</f>
        <v/>
      </c>
      <c r="E644" s="3">
        <f>IF(AND('Data Source'!B644&lt;&gt;"",'Data Source'!S644="F"),IF('Data Source'!W644&gt;=5,"A+",IF('Data Source'!W644&gt;=4,"A",IF('Data Source'!W644&gt;=3.5,"A-",IF('Data Source'!W644&gt;=3,"B",IF('Data Source'!W644&gt;=2,"C",IF('Data Source'!W644&gt;=1,"D","F")))))),"")</f>
        <v/>
      </c>
      <c r="F644" s="3">
        <f>IF(AND('Data Source'!B644&lt;&gt;"",'Data Source'!S644="F"),IF('Data Source'!X644&gt;=5,"A+",IF('Data Source'!X644&gt;=4,"A",IF('Data Source'!X644&gt;=3.5,"A-",IF('Data Source'!X644&gt;=3,"B",IF('Data Source'!X644&gt;=2,"C",IF('Data Source'!X644&gt;=1,"D","F")))))),"")</f>
        <v/>
      </c>
      <c r="G644" s="3">
        <f>IF(AND('Data Source'!B644&lt;&gt;"",'Data Source'!S644="F"),IF('Data Source'!Y644&gt;=5,"A+",IF('Data Source'!Y644&gt;=4,"A",IF('Data Source'!Y644&gt;=3.5,"A-",IF('Data Source'!Y644&gt;=3,"B",IF('Data Source'!Y644&gt;=2,"C",IF('Data Source'!Y644&gt;=1,"D","F")))))),"")</f>
        <v/>
      </c>
      <c r="H644" s="3">
        <f>IF(AND('Data Source'!B644&lt;&gt;"",'Data Source'!S644="F"),IF('Data Source'!Z644&gt;=5,"A+",IF('Data Source'!Z644&gt;=4,"A",IF('Data Source'!Z644&gt;=3.5,"A-",IF('Data Source'!Z644&gt;=3,"B",IF('Data Source'!Z644&gt;=2,"C",IF('Data Source'!Z644&gt;=1,"D","F")))))),"")</f>
        <v/>
      </c>
      <c r="I644" s="3">
        <f>IF(AND('Data Source'!B644&lt;&gt;"",'Data Source'!S644="F"),IF('Data Source'!AA644&gt;=5,"A+",IF('Data Source'!AA644&gt;=4,"A",IF('Data Source'!AA644&gt;=3.5,"A-",IF('Data Source'!AA644&gt;=3,"B",IF('Data Source'!AA644&gt;=2,"C",IF('Data Source'!AA644&gt;=1,"D","F")))))),"")</f>
        <v/>
      </c>
      <c r="J644" s="3">
        <f>IF(AND('Data Source'!B644&lt;&gt;"",'Data Source'!S644="F"),IF('Data Source'!AB644&gt;=5,"A+",IF('Data Source'!AB644&gt;=4,"A",IF('Data Source'!AB644&gt;=3.5,"A-",IF('Data Source'!AB644&gt;=3,"B",IF('Data Source'!AB644&gt;=2,"C",IF('Data Source'!AB644&gt;=1,"D","F")))))),"")</f>
        <v/>
      </c>
      <c r="K644" s="3">
        <f>IF(AND('Data Source'!B644&lt;&gt;"",'Data Source'!S644="F"),IF('Data Source'!AC644&gt;=5,"A+",IF('Data Source'!AC644&gt;=4,"A",IF('Data Source'!AC644&gt;=3.5,"A-",IF('Data Source'!AC644&gt;=3,"B",IF('Data Source'!AC644&gt;=2,"C",IF('Data Source'!AC644&gt;=1,"D","F")))))),"")</f>
        <v/>
      </c>
      <c r="L644" s="3">
        <f>IF(AND('Data Source'!B644&lt;&gt;"",'Data Source'!S644="F"),IF('Data Source'!AD644&gt;=5,"A+",IF('Data Source'!AD644&gt;=4,"A",IF('Data Source'!AD644&gt;=3.5,"A-",IF('Data Source'!AD644&gt;=3,"B",IF('Data Source'!AD644&gt;=2,"C",IF('Data Source'!AD644&gt;=1,"D","F")))))),"")</f>
        <v/>
      </c>
      <c r="M644" s="3">
        <f>IF(AND('Data Source'!B644&lt;&gt;"",'Data Source'!S644="F"),IF('Data Source'!AE644&gt;=5,"A+",IF('Data Source'!AE644&gt;=4,"A",IF('Data Source'!AE644&gt;=3.5,"A-",IF('Data Source'!AE644&gt;=3,"B",IF('Data Source'!AE644&gt;=2,"C",IF('Data Source'!AE644&gt;=1,"D","F")))))),"")</f>
        <v/>
      </c>
      <c r="N644" s="3">
        <f>IF(AND('Data Source'!B644&lt;&gt;"",'Data Source'!S644="F"),IF('Data Source'!AF644&gt;=5,"A+",IF('Data Source'!AF644&gt;=4,"A",IF('Data Source'!AF644&gt;=3.5,"A-",IF('Data Source'!AF644&gt;=3,"B",IF('Data Source'!AF644&gt;=2,"C",IF('Data Source'!AF644&gt;=1,"D","F")))))),"")</f>
        <v/>
      </c>
      <c r="O644" s="3">
        <f>IF(AND('Data Source'!B644&lt;&gt;"",'Data Source'!S644="F"),IF('Data Source'!AG644&gt;=5,"A+",IF('Data Source'!AG644&gt;=4,"A",IF('Data Source'!AG644&gt;=3.5,"A-",IF('Data Source'!AG644&gt;=3,"B",IF('Data Source'!AG644&gt;=2,"C",IF('Data Source'!AG644&gt;=1,"D","F")))))),"")</f>
        <v/>
      </c>
      <c r="P644" s="5">
        <f>IF(AND('Data Source'!B644&lt;&gt;"",'Data Source'!S644="F"),'Data Source'!R644,"")</f>
        <v/>
      </c>
      <c r="Q644" s="3">
        <f>IF(AND('Data Source'!B644&lt;&gt;"",'Data Source'!S644="F"),'Data Source'!S644,"")</f>
        <v/>
      </c>
    </row>
    <row r="645">
      <c r="A645" s="3">
        <f>IF(AND('Data Source'!B645&lt;&gt;"",'Data Source'!S645="F"),COUNTIF('Data Source'!$S$3:S645,"F"),"")</f>
        <v/>
      </c>
      <c r="B645">
        <f>IF(AND('Data Source'!B645&lt;&gt;"",'Data Source'!S645="F"),'Data Source'!B645,"")</f>
        <v/>
      </c>
      <c r="C645" s="3">
        <f>IF(AND('Data Source'!B645&lt;&gt;"",'Data Source'!S645="F"),IF('Data Source'!U645&gt;=5,"A+",IF('Data Source'!U645&gt;=4,"A",IF('Data Source'!U645&gt;=3.5,"A-",IF('Data Source'!U645&gt;=3,"B",IF('Data Source'!U645&gt;=2,"C",IF('Data Source'!U645&gt;=1,"D","F")))))),"")</f>
        <v/>
      </c>
      <c r="D645" s="3">
        <f>IF(AND('Data Source'!B645&lt;&gt;"",'Data Source'!S645="F"),IF('Data Source'!V645&gt;=5,"A+",IF('Data Source'!V645&gt;=4,"A",IF('Data Source'!V645&gt;=3.5,"A-",IF('Data Source'!V645&gt;=3,"B",IF('Data Source'!V645&gt;=2,"C",IF('Data Source'!V645&gt;=1,"D","F")))))),"")</f>
        <v/>
      </c>
      <c r="E645" s="3">
        <f>IF(AND('Data Source'!B645&lt;&gt;"",'Data Source'!S645="F"),IF('Data Source'!W645&gt;=5,"A+",IF('Data Source'!W645&gt;=4,"A",IF('Data Source'!W645&gt;=3.5,"A-",IF('Data Source'!W645&gt;=3,"B",IF('Data Source'!W645&gt;=2,"C",IF('Data Source'!W645&gt;=1,"D","F")))))),"")</f>
        <v/>
      </c>
      <c r="F645" s="3">
        <f>IF(AND('Data Source'!B645&lt;&gt;"",'Data Source'!S645="F"),IF('Data Source'!X645&gt;=5,"A+",IF('Data Source'!X645&gt;=4,"A",IF('Data Source'!X645&gt;=3.5,"A-",IF('Data Source'!X645&gt;=3,"B",IF('Data Source'!X645&gt;=2,"C",IF('Data Source'!X645&gt;=1,"D","F")))))),"")</f>
        <v/>
      </c>
      <c r="G645" s="3">
        <f>IF(AND('Data Source'!B645&lt;&gt;"",'Data Source'!S645="F"),IF('Data Source'!Y645&gt;=5,"A+",IF('Data Source'!Y645&gt;=4,"A",IF('Data Source'!Y645&gt;=3.5,"A-",IF('Data Source'!Y645&gt;=3,"B",IF('Data Source'!Y645&gt;=2,"C",IF('Data Source'!Y645&gt;=1,"D","F")))))),"")</f>
        <v/>
      </c>
      <c r="H645" s="3">
        <f>IF(AND('Data Source'!B645&lt;&gt;"",'Data Source'!S645="F"),IF('Data Source'!Z645&gt;=5,"A+",IF('Data Source'!Z645&gt;=4,"A",IF('Data Source'!Z645&gt;=3.5,"A-",IF('Data Source'!Z645&gt;=3,"B",IF('Data Source'!Z645&gt;=2,"C",IF('Data Source'!Z645&gt;=1,"D","F")))))),"")</f>
        <v/>
      </c>
      <c r="I645" s="3">
        <f>IF(AND('Data Source'!B645&lt;&gt;"",'Data Source'!S645="F"),IF('Data Source'!AA645&gt;=5,"A+",IF('Data Source'!AA645&gt;=4,"A",IF('Data Source'!AA645&gt;=3.5,"A-",IF('Data Source'!AA645&gt;=3,"B",IF('Data Source'!AA645&gt;=2,"C",IF('Data Source'!AA645&gt;=1,"D","F")))))),"")</f>
        <v/>
      </c>
      <c r="J645" s="3">
        <f>IF(AND('Data Source'!B645&lt;&gt;"",'Data Source'!S645="F"),IF('Data Source'!AB645&gt;=5,"A+",IF('Data Source'!AB645&gt;=4,"A",IF('Data Source'!AB645&gt;=3.5,"A-",IF('Data Source'!AB645&gt;=3,"B",IF('Data Source'!AB645&gt;=2,"C",IF('Data Source'!AB645&gt;=1,"D","F")))))),"")</f>
        <v/>
      </c>
      <c r="K645" s="3">
        <f>IF(AND('Data Source'!B645&lt;&gt;"",'Data Source'!S645="F"),IF('Data Source'!AC645&gt;=5,"A+",IF('Data Source'!AC645&gt;=4,"A",IF('Data Source'!AC645&gt;=3.5,"A-",IF('Data Source'!AC645&gt;=3,"B",IF('Data Source'!AC645&gt;=2,"C",IF('Data Source'!AC645&gt;=1,"D","F")))))),"")</f>
        <v/>
      </c>
      <c r="L645" s="3">
        <f>IF(AND('Data Source'!B645&lt;&gt;"",'Data Source'!S645="F"),IF('Data Source'!AD645&gt;=5,"A+",IF('Data Source'!AD645&gt;=4,"A",IF('Data Source'!AD645&gt;=3.5,"A-",IF('Data Source'!AD645&gt;=3,"B",IF('Data Source'!AD645&gt;=2,"C",IF('Data Source'!AD645&gt;=1,"D","F")))))),"")</f>
        <v/>
      </c>
      <c r="M645" s="3">
        <f>IF(AND('Data Source'!B645&lt;&gt;"",'Data Source'!S645="F"),IF('Data Source'!AE645&gt;=5,"A+",IF('Data Source'!AE645&gt;=4,"A",IF('Data Source'!AE645&gt;=3.5,"A-",IF('Data Source'!AE645&gt;=3,"B",IF('Data Source'!AE645&gt;=2,"C",IF('Data Source'!AE645&gt;=1,"D","F")))))),"")</f>
        <v/>
      </c>
      <c r="N645" s="3">
        <f>IF(AND('Data Source'!B645&lt;&gt;"",'Data Source'!S645="F"),IF('Data Source'!AF645&gt;=5,"A+",IF('Data Source'!AF645&gt;=4,"A",IF('Data Source'!AF645&gt;=3.5,"A-",IF('Data Source'!AF645&gt;=3,"B",IF('Data Source'!AF645&gt;=2,"C",IF('Data Source'!AF645&gt;=1,"D","F")))))),"")</f>
        <v/>
      </c>
      <c r="O645" s="3">
        <f>IF(AND('Data Source'!B645&lt;&gt;"",'Data Source'!S645="F"),IF('Data Source'!AG645&gt;=5,"A+",IF('Data Source'!AG645&gt;=4,"A",IF('Data Source'!AG645&gt;=3.5,"A-",IF('Data Source'!AG645&gt;=3,"B",IF('Data Source'!AG645&gt;=2,"C",IF('Data Source'!AG645&gt;=1,"D","F")))))),"")</f>
        <v/>
      </c>
      <c r="P645" s="5">
        <f>IF(AND('Data Source'!B645&lt;&gt;"",'Data Source'!S645="F"),'Data Source'!R645,"")</f>
        <v/>
      </c>
      <c r="Q645" s="3">
        <f>IF(AND('Data Source'!B645&lt;&gt;"",'Data Source'!S645="F"),'Data Source'!S645,"")</f>
        <v/>
      </c>
    </row>
    <row r="646">
      <c r="A646" s="3">
        <f>IF(AND('Data Source'!B646&lt;&gt;"",'Data Source'!S646="F"),COUNTIF('Data Source'!$S$3:S646,"F"),"")</f>
        <v/>
      </c>
      <c r="B646">
        <f>IF(AND('Data Source'!B646&lt;&gt;"",'Data Source'!S646="F"),'Data Source'!B646,"")</f>
        <v/>
      </c>
      <c r="C646" s="3">
        <f>IF(AND('Data Source'!B646&lt;&gt;"",'Data Source'!S646="F"),IF('Data Source'!U646&gt;=5,"A+",IF('Data Source'!U646&gt;=4,"A",IF('Data Source'!U646&gt;=3.5,"A-",IF('Data Source'!U646&gt;=3,"B",IF('Data Source'!U646&gt;=2,"C",IF('Data Source'!U646&gt;=1,"D","F")))))),"")</f>
        <v/>
      </c>
      <c r="D646" s="3">
        <f>IF(AND('Data Source'!B646&lt;&gt;"",'Data Source'!S646="F"),IF('Data Source'!V646&gt;=5,"A+",IF('Data Source'!V646&gt;=4,"A",IF('Data Source'!V646&gt;=3.5,"A-",IF('Data Source'!V646&gt;=3,"B",IF('Data Source'!V646&gt;=2,"C",IF('Data Source'!V646&gt;=1,"D","F")))))),"")</f>
        <v/>
      </c>
      <c r="E646" s="3">
        <f>IF(AND('Data Source'!B646&lt;&gt;"",'Data Source'!S646="F"),IF('Data Source'!W646&gt;=5,"A+",IF('Data Source'!W646&gt;=4,"A",IF('Data Source'!W646&gt;=3.5,"A-",IF('Data Source'!W646&gt;=3,"B",IF('Data Source'!W646&gt;=2,"C",IF('Data Source'!W646&gt;=1,"D","F")))))),"")</f>
        <v/>
      </c>
      <c r="F646" s="3">
        <f>IF(AND('Data Source'!B646&lt;&gt;"",'Data Source'!S646="F"),IF('Data Source'!X646&gt;=5,"A+",IF('Data Source'!X646&gt;=4,"A",IF('Data Source'!X646&gt;=3.5,"A-",IF('Data Source'!X646&gt;=3,"B",IF('Data Source'!X646&gt;=2,"C",IF('Data Source'!X646&gt;=1,"D","F")))))),"")</f>
        <v/>
      </c>
      <c r="G646" s="3">
        <f>IF(AND('Data Source'!B646&lt;&gt;"",'Data Source'!S646="F"),IF('Data Source'!Y646&gt;=5,"A+",IF('Data Source'!Y646&gt;=4,"A",IF('Data Source'!Y646&gt;=3.5,"A-",IF('Data Source'!Y646&gt;=3,"B",IF('Data Source'!Y646&gt;=2,"C",IF('Data Source'!Y646&gt;=1,"D","F")))))),"")</f>
        <v/>
      </c>
      <c r="H646" s="3">
        <f>IF(AND('Data Source'!B646&lt;&gt;"",'Data Source'!S646="F"),IF('Data Source'!Z646&gt;=5,"A+",IF('Data Source'!Z646&gt;=4,"A",IF('Data Source'!Z646&gt;=3.5,"A-",IF('Data Source'!Z646&gt;=3,"B",IF('Data Source'!Z646&gt;=2,"C",IF('Data Source'!Z646&gt;=1,"D","F")))))),"")</f>
        <v/>
      </c>
      <c r="I646" s="3">
        <f>IF(AND('Data Source'!B646&lt;&gt;"",'Data Source'!S646="F"),IF('Data Source'!AA646&gt;=5,"A+",IF('Data Source'!AA646&gt;=4,"A",IF('Data Source'!AA646&gt;=3.5,"A-",IF('Data Source'!AA646&gt;=3,"B",IF('Data Source'!AA646&gt;=2,"C",IF('Data Source'!AA646&gt;=1,"D","F")))))),"")</f>
        <v/>
      </c>
      <c r="J646" s="3">
        <f>IF(AND('Data Source'!B646&lt;&gt;"",'Data Source'!S646="F"),IF('Data Source'!AB646&gt;=5,"A+",IF('Data Source'!AB646&gt;=4,"A",IF('Data Source'!AB646&gt;=3.5,"A-",IF('Data Source'!AB646&gt;=3,"B",IF('Data Source'!AB646&gt;=2,"C",IF('Data Source'!AB646&gt;=1,"D","F")))))),"")</f>
        <v/>
      </c>
      <c r="K646" s="3">
        <f>IF(AND('Data Source'!B646&lt;&gt;"",'Data Source'!S646="F"),IF('Data Source'!AC646&gt;=5,"A+",IF('Data Source'!AC646&gt;=4,"A",IF('Data Source'!AC646&gt;=3.5,"A-",IF('Data Source'!AC646&gt;=3,"B",IF('Data Source'!AC646&gt;=2,"C",IF('Data Source'!AC646&gt;=1,"D","F")))))),"")</f>
        <v/>
      </c>
      <c r="L646" s="3">
        <f>IF(AND('Data Source'!B646&lt;&gt;"",'Data Source'!S646="F"),IF('Data Source'!AD646&gt;=5,"A+",IF('Data Source'!AD646&gt;=4,"A",IF('Data Source'!AD646&gt;=3.5,"A-",IF('Data Source'!AD646&gt;=3,"B",IF('Data Source'!AD646&gt;=2,"C",IF('Data Source'!AD646&gt;=1,"D","F")))))),"")</f>
        <v/>
      </c>
      <c r="M646" s="3">
        <f>IF(AND('Data Source'!B646&lt;&gt;"",'Data Source'!S646="F"),IF('Data Source'!AE646&gt;=5,"A+",IF('Data Source'!AE646&gt;=4,"A",IF('Data Source'!AE646&gt;=3.5,"A-",IF('Data Source'!AE646&gt;=3,"B",IF('Data Source'!AE646&gt;=2,"C",IF('Data Source'!AE646&gt;=1,"D","F")))))),"")</f>
        <v/>
      </c>
      <c r="N646" s="3">
        <f>IF(AND('Data Source'!B646&lt;&gt;"",'Data Source'!S646="F"),IF('Data Source'!AF646&gt;=5,"A+",IF('Data Source'!AF646&gt;=4,"A",IF('Data Source'!AF646&gt;=3.5,"A-",IF('Data Source'!AF646&gt;=3,"B",IF('Data Source'!AF646&gt;=2,"C",IF('Data Source'!AF646&gt;=1,"D","F")))))),"")</f>
        <v/>
      </c>
      <c r="O646" s="3">
        <f>IF(AND('Data Source'!B646&lt;&gt;"",'Data Source'!S646="F"),IF('Data Source'!AG646&gt;=5,"A+",IF('Data Source'!AG646&gt;=4,"A",IF('Data Source'!AG646&gt;=3.5,"A-",IF('Data Source'!AG646&gt;=3,"B",IF('Data Source'!AG646&gt;=2,"C",IF('Data Source'!AG646&gt;=1,"D","F")))))),"")</f>
        <v/>
      </c>
      <c r="P646" s="5">
        <f>IF(AND('Data Source'!B646&lt;&gt;"",'Data Source'!S646="F"),'Data Source'!R646,"")</f>
        <v/>
      </c>
      <c r="Q646" s="3">
        <f>IF(AND('Data Source'!B646&lt;&gt;"",'Data Source'!S646="F"),'Data Source'!S646,"")</f>
        <v/>
      </c>
    </row>
    <row r="647">
      <c r="A647" s="3">
        <f>IF(AND('Data Source'!B647&lt;&gt;"",'Data Source'!S647="F"),COUNTIF('Data Source'!$S$3:S647,"F"),"")</f>
        <v/>
      </c>
      <c r="B647">
        <f>IF(AND('Data Source'!B647&lt;&gt;"",'Data Source'!S647="F"),'Data Source'!B647,"")</f>
        <v/>
      </c>
      <c r="C647" s="3">
        <f>IF(AND('Data Source'!B647&lt;&gt;"",'Data Source'!S647="F"),IF('Data Source'!U647&gt;=5,"A+",IF('Data Source'!U647&gt;=4,"A",IF('Data Source'!U647&gt;=3.5,"A-",IF('Data Source'!U647&gt;=3,"B",IF('Data Source'!U647&gt;=2,"C",IF('Data Source'!U647&gt;=1,"D","F")))))),"")</f>
        <v/>
      </c>
      <c r="D647" s="3">
        <f>IF(AND('Data Source'!B647&lt;&gt;"",'Data Source'!S647="F"),IF('Data Source'!V647&gt;=5,"A+",IF('Data Source'!V647&gt;=4,"A",IF('Data Source'!V647&gt;=3.5,"A-",IF('Data Source'!V647&gt;=3,"B",IF('Data Source'!V647&gt;=2,"C",IF('Data Source'!V647&gt;=1,"D","F")))))),"")</f>
        <v/>
      </c>
      <c r="E647" s="3">
        <f>IF(AND('Data Source'!B647&lt;&gt;"",'Data Source'!S647="F"),IF('Data Source'!W647&gt;=5,"A+",IF('Data Source'!W647&gt;=4,"A",IF('Data Source'!W647&gt;=3.5,"A-",IF('Data Source'!W647&gt;=3,"B",IF('Data Source'!W647&gt;=2,"C",IF('Data Source'!W647&gt;=1,"D","F")))))),"")</f>
        <v/>
      </c>
      <c r="F647" s="3">
        <f>IF(AND('Data Source'!B647&lt;&gt;"",'Data Source'!S647="F"),IF('Data Source'!X647&gt;=5,"A+",IF('Data Source'!X647&gt;=4,"A",IF('Data Source'!X647&gt;=3.5,"A-",IF('Data Source'!X647&gt;=3,"B",IF('Data Source'!X647&gt;=2,"C",IF('Data Source'!X647&gt;=1,"D","F")))))),"")</f>
        <v/>
      </c>
      <c r="G647" s="3">
        <f>IF(AND('Data Source'!B647&lt;&gt;"",'Data Source'!S647="F"),IF('Data Source'!Y647&gt;=5,"A+",IF('Data Source'!Y647&gt;=4,"A",IF('Data Source'!Y647&gt;=3.5,"A-",IF('Data Source'!Y647&gt;=3,"B",IF('Data Source'!Y647&gt;=2,"C",IF('Data Source'!Y647&gt;=1,"D","F")))))),"")</f>
        <v/>
      </c>
      <c r="H647" s="3">
        <f>IF(AND('Data Source'!B647&lt;&gt;"",'Data Source'!S647="F"),IF('Data Source'!Z647&gt;=5,"A+",IF('Data Source'!Z647&gt;=4,"A",IF('Data Source'!Z647&gt;=3.5,"A-",IF('Data Source'!Z647&gt;=3,"B",IF('Data Source'!Z647&gt;=2,"C",IF('Data Source'!Z647&gt;=1,"D","F")))))),"")</f>
        <v/>
      </c>
      <c r="I647" s="3">
        <f>IF(AND('Data Source'!B647&lt;&gt;"",'Data Source'!S647="F"),IF('Data Source'!AA647&gt;=5,"A+",IF('Data Source'!AA647&gt;=4,"A",IF('Data Source'!AA647&gt;=3.5,"A-",IF('Data Source'!AA647&gt;=3,"B",IF('Data Source'!AA647&gt;=2,"C",IF('Data Source'!AA647&gt;=1,"D","F")))))),"")</f>
        <v/>
      </c>
      <c r="J647" s="3">
        <f>IF(AND('Data Source'!B647&lt;&gt;"",'Data Source'!S647="F"),IF('Data Source'!AB647&gt;=5,"A+",IF('Data Source'!AB647&gt;=4,"A",IF('Data Source'!AB647&gt;=3.5,"A-",IF('Data Source'!AB647&gt;=3,"B",IF('Data Source'!AB647&gt;=2,"C",IF('Data Source'!AB647&gt;=1,"D","F")))))),"")</f>
        <v/>
      </c>
      <c r="K647" s="3">
        <f>IF(AND('Data Source'!B647&lt;&gt;"",'Data Source'!S647="F"),IF('Data Source'!AC647&gt;=5,"A+",IF('Data Source'!AC647&gt;=4,"A",IF('Data Source'!AC647&gt;=3.5,"A-",IF('Data Source'!AC647&gt;=3,"B",IF('Data Source'!AC647&gt;=2,"C",IF('Data Source'!AC647&gt;=1,"D","F")))))),"")</f>
        <v/>
      </c>
      <c r="L647" s="3">
        <f>IF(AND('Data Source'!B647&lt;&gt;"",'Data Source'!S647="F"),IF('Data Source'!AD647&gt;=5,"A+",IF('Data Source'!AD647&gt;=4,"A",IF('Data Source'!AD647&gt;=3.5,"A-",IF('Data Source'!AD647&gt;=3,"B",IF('Data Source'!AD647&gt;=2,"C",IF('Data Source'!AD647&gt;=1,"D","F")))))),"")</f>
        <v/>
      </c>
      <c r="M647" s="3">
        <f>IF(AND('Data Source'!B647&lt;&gt;"",'Data Source'!S647="F"),IF('Data Source'!AE647&gt;=5,"A+",IF('Data Source'!AE647&gt;=4,"A",IF('Data Source'!AE647&gt;=3.5,"A-",IF('Data Source'!AE647&gt;=3,"B",IF('Data Source'!AE647&gt;=2,"C",IF('Data Source'!AE647&gt;=1,"D","F")))))),"")</f>
        <v/>
      </c>
      <c r="N647" s="3">
        <f>IF(AND('Data Source'!B647&lt;&gt;"",'Data Source'!S647="F"),IF('Data Source'!AF647&gt;=5,"A+",IF('Data Source'!AF647&gt;=4,"A",IF('Data Source'!AF647&gt;=3.5,"A-",IF('Data Source'!AF647&gt;=3,"B",IF('Data Source'!AF647&gt;=2,"C",IF('Data Source'!AF647&gt;=1,"D","F")))))),"")</f>
        <v/>
      </c>
      <c r="O647" s="3">
        <f>IF(AND('Data Source'!B647&lt;&gt;"",'Data Source'!S647="F"),IF('Data Source'!AG647&gt;=5,"A+",IF('Data Source'!AG647&gt;=4,"A",IF('Data Source'!AG647&gt;=3.5,"A-",IF('Data Source'!AG647&gt;=3,"B",IF('Data Source'!AG647&gt;=2,"C",IF('Data Source'!AG647&gt;=1,"D","F")))))),"")</f>
        <v/>
      </c>
      <c r="P647" s="5">
        <f>IF(AND('Data Source'!B647&lt;&gt;"",'Data Source'!S647="F"),'Data Source'!R647,"")</f>
        <v/>
      </c>
      <c r="Q647" s="3">
        <f>IF(AND('Data Source'!B647&lt;&gt;"",'Data Source'!S647="F"),'Data Source'!S647,"")</f>
        <v/>
      </c>
    </row>
    <row r="648">
      <c r="A648" s="3">
        <f>IF(AND('Data Source'!B648&lt;&gt;"",'Data Source'!S648="F"),COUNTIF('Data Source'!$S$3:S648,"F"),"")</f>
        <v/>
      </c>
      <c r="B648">
        <f>IF(AND('Data Source'!B648&lt;&gt;"",'Data Source'!S648="F"),'Data Source'!B648,"")</f>
        <v/>
      </c>
      <c r="C648" s="3">
        <f>IF(AND('Data Source'!B648&lt;&gt;"",'Data Source'!S648="F"),IF('Data Source'!U648&gt;=5,"A+",IF('Data Source'!U648&gt;=4,"A",IF('Data Source'!U648&gt;=3.5,"A-",IF('Data Source'!U648&gt;=3,"B",IF('Data Source'!U648&gt;=2,"C",IF('Data Source'!U648&gt;=1,"D","F")))))),"")</f>
        <v/>
      </c>
      <c r="D648" s="3">
        <f>IF(AND('Data Source'!B648&lt;&gt;"",'Data Source'!S648="F"),IF('Data Source'!V648&gt;=5,"A+",IF('Data Source'!V648&gt;=4,"A",IF('Data Source'!V648&gt;=3.5,"A-",IF('Data Source'!V648&gt;=3,"B",IF('Data Source'!V648&gt;=2,"C",IF('Data Source'!V648&gt;=1,"D","F")))))),"")</f>
        <v/>
      </c>
      <c r="E648" s="3">
        <f>IF(AND('Data Source'!B648&lt;&gt;"",'Data Source'!S648="F"),IF('Data Source'!W648&gt;=5,"A+",IF('Data Source'!W648&gt;=4,"A",IF('Data Source'!W648&gt;=3.5,"A-",IF('Data Source'!W648&gt;=3,"B",IF('Data Source'!W648&gt;=2,"C",IF('Data Source'!W648&gt;=1,"D","F")))))),"")</f>
        <v/>
      </c>
      <c r="F648" s="3">
        <f>IF(AND('Data Source'!B648&lt;&gt;"",'Data Source'!S648="F"),IF('Data Source'!X648&gt;=5,"A+",IF('Data Source'!X648&gt;=4,"A",IF('Data Source'!X648&gt;=3.5,"A-",IF('Data Source'!X648&gt;=3,"B",IF('Data Source'!X648&gt;=2,"C",IF('Data Source'!X648&gt;=1,"D","F")))))),"")</f>
        <v/>
      </c>
      <c r="G648" s="3">
        <f>IF(AND('Data Source'!B648&lt;&gt;"",'Data Source'!S648="F"),IF('Data Source'!Y648&gt;=5,"A+",IF('Data Source'!Y648&gt;=4,"A",IF('Data Source'!Y648&gt;=3.5,"A-",IF('Data Source'!Y648&gt;=3,"B",IF('Data Source'!Y648&gt;=2,"C",IF('Data Source'!Y648&gt;=1,"D","F")))))),"")</f>
        <v/>
      </c>
      <c r="H648" s="3">
        <f>IF(AND('Data Source'!B648&lt;&gt;"",'Data Source'!S648="F"),IF('Data Source'!Z648&gt;=5,"A+",IF('Data Source'!Z648&gt;=4,"A",IF('Data Source'!Z648&gt;=3.5,"A-",IF('Data Source'!Z648&gt;=3,"B",IF('Data Source'!Z648&gt;=2,"C",IF('Data Source'!Z648&gt;=1,"D","F")))))),"")</f>
        <v/>
      </c>
      <c r="I648" s="3">
        <f>IF(AND('Data Source'!B648&lt;&gt;"",'Data Source'!S648="F"),IF('Data Source'!AA648&gt;=5,"A+",IF('Data Source'!AA648&gt;=4,"A",IF('Data Source'!AA648&gt;=3.5,"A-",IF('Data Source'!AA648&gt;=3,"B",IF('Data Source'!AA648&gt;=2,"C",IF('Data Source'!AA648&gt;=1,"D","F")))))),"")</f>
        <v/>
      </c>
      <c r="J648" s="3">
        <f>IF(AND('Data Source'!B648&lt;&gt;"",'Data Source'!S648="F"),IF('Data Source'!AB648&gt;=5,"A+",IF('Data Source'!AB648&gt;=4,"A",IF('Data Source'!AB648&gt;=3.5,"A-",IF('Data Source'!AB648&gt;=3,"B",IF('Data Source'!AB648&gt;=2,"C",IF('Data Source'!AB648&gt;=1,"D","F")))))),"")</f>
        <v/>
      </c>
      <c r="K648" s="3">
        <f>IF(AND('Data Source'!B648&lt;&gt;"",'Data Source'!S648="F"),IF('Data Source'!AC648&gt;=5,"A+",IF('Data Source'!AC648&gt;=4,"A",IF('Data Source'!AC648&gt;=3.5,"A-",IF('Data Source'!AC648&gt;=3,"B",IF('Data Source'!AC648&gt;=2,"C",IF('Data Source'!AC648&gt;=1,"D","F")))))),"")</f>
        <v/>
      </c>
      <c r="L648" s="3">
        <f>IF(AND('Data Source'!B648&lt;&gt;"",'Data Source'!S648="F"),IF('Data Source'!AD648&gt;=5,"A+",IF('Data Source'!AD648&gt;=4,"A",IF('Data Source'!AD648&gt;=3.5,"A-",IF('Data Source'!AD648&gt;=3,"B",IF('Data Source'!AD648&gt;=2,"C",IF('Data Source'!AD648&gt;=1,"D","F")))))),"")</f>
        <v/>
      </c>
      <c r="M648" s="3">
        <f>IF(AND('Data Source'!B648&lt;&gt;"",'Data Source'!S648="F"),IF('Data Source'!AE648&gt;=5,"A+",IF('Data Source'!AE648&gt;=4,"A",IF('Data Source'!AE648&gt;=3.5,"A-",IF('Data Source'!AE648&gt;=3,"B",IF('Data Source'!AE648&gt;=2,"C",IF('Data Source'!AE648&gt;=1,"D","F")))))),"")</f>
        <v/>
      </c>
      <c r="N648" s="3">
        <f>IF(AND('Data Source'!B648&lt;&gt;"",'Data Source'!S648="F"),IF('Data Source'!AF648&gt;=5,"A+",IF('Data Source'!AF648&gt;=4,"A",IF('Data Source'!AF648&gt;=3.5,"A-",IF('Data Source'!AF648&gt;=3,"B",IF('Data Source'!AF648&gt;=2,"C",IF('Data Source'!AF648&gt;=1,"D","F")))))),"")</f>
        <v/>
      </c>
      <c r="O648" s="3">
        <f>IF(AND('Data Source'!B648&lt;&gt;"",'Data Source'!S648="F"),IF('Data Source'!AG648&gt;=5,"A+",IF('Data Source'!AG648&gt;=4,"A",IF('Data Source'!AG648&gt;=3.5,"A-",IF('Data Source'!AG648&gt;=3,"B",IF('Data Source'!AG648&gt;=2,"C",IF('Data Source'!AG648&gt;=1,"D","F")))))),"")</f>
        <v/>
      </c>
      <c r="P648" s="5">
        <f>IF(AND('Data Source'!B648&lt;&gt;"",'Data Source'!S648="F"),'Data Source'!R648,"")</f>
        <v/>
      </c>
      <c r="Q648" s="3">
        <f>IF(AND('Data Source'!B648&lt;&gt;"",'Data Source'!S648="F"),'Data Source'!S648,"")</f>
        <v/>
      </c>
    </row>
    <row r="649">
      <c r="A649" s="3">
        <f>IF(AND('Data Source'!B649&lt;&gt;"",'Data Source'!S649="F"),COUNTIF('Data Source'!$S$3:S649,"F"),"")</f>
        <v/>
      </c>
      <c r="B649">
        <f>IF(AND('Data Source'!B649&lt;&gt;"",'Data Source'!S649="F"),'Data Source'!B649,"")</f>
        <v/>
      </c>
      <c r="C649" s="3">
        <f>IF(AND('Data Source'!B649&lt;&gt;"",'Data Source'!S649="F"),IF('Data Source'!U649&gt;=5,"A+",IF('Data Source'!U649&gt;=4,"A",IF('Data Source'!U649&gt;=3.5,"A-",IF('Data Source'!U649&gt;=3,"B",IF('Data Source'!U649&gt;=2,"C",IF('Data Source'!U649&gt;=1,"D","F")))))),"")</f>
        <v/>
      </c>
      <c r="D649" s="3">
        <f>IF(AND('Data Source'!B649&lt;&gt;"",'Data Source'!S649="F"),IF('Data Source'!V649&gt;=5,"A+",IF('Data Source'!V649&gt;=4,"A",IF('Data Source'!V649&gt;=3.5,"A-",IF('Data Source'!V649&gt;=3,"B",IF('Data Source'!V649&gt;=2,"C",IF('Data Source'!V649&gt;=1,"D","F")))))),"")</f>
        <v/>
      </c>
      <c r="E649" s="3">
        <f>IF(AND('Data Source'!B649&lt;&gt;"",'Data Source'!S649="F"),IF('Data Source'!W649&gt;=5,"A+",IF('Data Source'!W649&gt;=4,"A",IF('Data Source'!W649&gt;=3.5,"A-",IF('Data Source'!W649&gt;=3,"B",IF('Data Source'!W649&gt;=2,"C",IF('Data Source'!W649&gt;=1,"D","F")))))),"")</f>
        <v/>
      </c>
      <c r="F649" s="3">
        <f>IF(AND('Data Source'!B649&lt;&gt;"",'Data Source'!S649="F"),IF('Data Source'!X649&gt;=5,"A+",IF('Data Source'!X649&gt;=4,"A",IF('Data Source'!X649&gt;=3.5,"A-",IF('Data Source'!X649&gt;=3,"B",IF('Data Source'!X649&gt;=2,"C",IF('Data Source'!X649&gt;=1,"D","F")))))),"")</f>
        <v/>
      </c>
      <c r="G649" s="3">
        <f>IF(AND('Data Source'!B649&lt;&gt;"",'Data Source'!S649="F"),IF('Data Source'!Y649&gt;=5,"A+",IF('Data Source'!Y649&gt;=4,"A",IF('Data Source'!Y649&gt;=3.5,"A-",IF('Data Source'!Y649&gt;=3,"B",IF('Data Source'!Y649&gt;=2,"C",IF('Data Source'!Y649&gt;=1,"D","F")))))),"")</f>
        <v/>
      </c>
      <c r="H649" s="3">
        <f>IF(AND('Data Source'!B649&lt;&gt;"",'Data Source'!S649="F"),IF('Data Source'!Z649&gt;=5,"A+",IF('Data Source'!Z649&gt;=4,"A",IF('Data Source'!Z649&gt;=3.5,"A-",IF('Data Source'!Z649&gt;=3,"B",IF('Data Source'!Z649&gt;=2,"C",IF('Data Source'!Z649&gt;=1,"D","F")))))),"")</f>
        <v/>
      </c>
      <c r="I649" s="3">
        <f>IF(AND('Data Source'!B649&lt;&gt;"",'Data Source'!S649="F"),IF('Data Source'!AA649&gt;=5,"A+",IF('Data Source'!AA649&gt;=4,"A",IF('Data Source'!AA649&gt;=3.5,"A-",IF('Data Source'!AA649&gt;=3,"B",IF('Data Source'!AA649&gt;=2,"C",IF('Data Source'!AA649&gt;=1,"D","F")))))),"")</f>
        <v/>
      </c>
      <c r="J649" s="3">
        <f>IF(AND('Data Source'!B649&lt;&gt;"",'Data Source'!S649="F"),IF('Data Source'!AB649&gt;=5,"A+",IF('Data Source'!AB649&gt;=4,"A",IF('Data Source'!AB649&gt;=3.5,"A-",IF('Data Source'!AB649&gt;=3,"B",IF('Data Source'!AB649&gt;=2,"C",IF('Data Source'!AB649&gt;=1,"D","F")))))),"")</f>
        <v/>
      </c>
      <c r="K649" s="3">
        <f>IF(AND('Data Source'!B649&lt;&gt;"",'Data Source'!S649="F"),IF('Data Source'!AC649&gt;=5,"A+",IF('Data Source'!AC649&gt;=4,"A",IF('Data Source'!AC649&gt;=3.5,"A-",IF('Data Source'!AC649&gt;=3,"B",IF('Data Source'!AC649&gt;=2,"C",IF('Data Source'!AC649&gt;=1,"D","F")))))),"")</f>
        <v/>
      </c>
      <c r="L649" s="3">
        <f>IF(AND('Data Source'!B649&lt;&gt;"",'Data Source'!S649="F"),IF('Data Source'!AD649&gt;=5,"A+",IF('Data Source'!AD649&gt;=4,"A",IF('Data Source'!AD649&gt;=3.5,"A-",IF('Data Source'!AD649&gt;=3,"B",IF('Data Source'!AD649&gt;=2,"C",IF('Data Source'!AD649&gt;=1,"D","F")))))),"")</f>
        <v/>
      </c>
      <c r="M649" s="3">
        <f>IF(AND('Data Source'!B649&lt;&gt;"",'Data Source'!S649="F"),IF('Data Source'!AE649&gt;=5,"A+",IF('Data Source'!AE649&gt;=4,"A",IF('Data Source'!AE649&gt;=3.5,"A-",IF('Data Source'!AE649&gt;=3,"B",IF('Data Source'!AE649&gt;=2,"C",IF('Data Source'!AE649&gt;=1,"D","F")))))),"")</f>
        <v/>
      </c>
      <c r="N649" s="3">
        <f>IF(AND('Data Source'!B649&lt;&gt;"",'Data Source'!S649="F"),IF('Data Source'!AF649&gt;=5,"A+",IF('Data Source'!AF649&gt;=4,"A",IF('Data Source'!AF649&gt;=3.5,"A-",IF('Data Source'!AF649&gt;=3,"B",IF('Data Source'!AF649&gt;=2,"C",IF('Data Source'!AF649&gt;=1,"D","F")))))),"")</f>
        <v/>
      </c>
      <c r="O649" s="3">
        <f>IF(AND('Data Source'!B649&lt;&gt;"",'Data Source'!S649="F"),IF('Data Source'!AG649&gt;=5,"A+",IF('Data Source'!AG649&gt;=4,"A",IF('Data Source'!AG649&gt;=3.5,"A-",IF('Data Source'!AG649&gt;=3,"B",IF('Data Source'!AG649&gt;=2,"C",IF('Data Source'!AG649&gt;=1,"D","F")))))),"")</f>
        <v/>
      </c>
      <c r="P649" s="5">
        <f>IF(AND('Data Source'!B649&lt;&gt;"",'Data Source'!S649="F"),'Data Source'!R649,"")</f>
        <v/>
      </c>
      <c r="Q649" s="3">
        <f>IF(AND('Data Source'!B649&lt;&gt;"",'Data Source'!S649="F"),'Data Source'!S649,"")</f>
        <v/>
      </c>
    </row>
    <row r="650">
      <c r="A650" s="3">
        <f>IF(AND('Data Source'!B650&lt;&gt;"",'Data Source'!S650="F"),COUNTIF('Data Source'!$S$3:S650,"F"),"")</f>
        <v/>
      </c>
      <c r="B650">
        <f>IF(AND('Data Source'!B650&lt;&gt;"",'Data Source'!S650="F"),'Data Source'!B650,"")</f>
        <v/>
      </c>
      <c r="C650" s="3">
        <f>IF(AND('Data Source'!B650&lt;&gt;"",'Data Source'!S650="F"),IF('Data Source'!U650&gt;=5,"A+",IF('Data Source'!U650&gt;=4,"A",IF('Data Source'!U650&gt;=3.5,"A-",IF('Data Source'!U650&gt;=3,"B",IF('Data Source'!U650&gt;=2,"C",IF('Data Source'!U650&gt;=1,"D","F")))))),"")</f>
        <v/>
      </c>
      <c r="D650" s="3">
        <f>IF(AND('Data Source'!B650&lt;&gt;"",'Data Source'!S650="F"),IF('Data Source'!V650&gt;=5,"A+",IF('Data Source'!V650&gt;=4,"A",IF('Data Source'!V650&gt;=3.5,"A-",IF('Data Source'!V650&gt;=3,"B",IF('Data Source'!V650&gt;=2,"C",IF('Data Source'!V650&gt;=1,"D","F")))))),"")</f>
        <v/>
      </c>
      <c r="E650" s="3">
        <f>IF(AND('Data Source'!B650&lt;&gt;"",'Data Source'!S650="F"),IF('Data Source'!W650&gt;=5,"A+",IF('Data Source'!W650&gt;=4,"A",IF('Data Source'!W650&gt;=3.5,"A-",IF('Data Source'!W650&gt;=3,"B",IF('Data Source'!W650&gt;=2,"C",IF('Data Source'!W650&gt;=1,"D","F")))))),"")</f>
        <v/>
      </c>
      <c r="F650" s="3">
        <f>IF(AND('Data Source'!B650&lt;&gt;"",'Data Source'!S650="F"),IF('Data Source'!X650&gt;=5,"A+",IF('Data Source'!X650&gt;=4,"A",IF('Data Source'!X650&gt;=3.5,"A-",IF('Data Source'!X650&gt;=3,"B",IF('Data Source'!X650&gt;=2,"C",IF('Data Source'!X650&gt;=1,"D","F")))))),"")</f>
        <v/>
      </c>
      <c r="G650" s="3">
        <f>IF(AND('Data Source'!B650&lt;&gt;"",'Data Source'!S650="F"),IF('Data Source'!Y650&gt;=5,"A+",IF('Data Source'!Y650&gt;=4,"A",IF('Data Source'!Y650&gt;=3.5,"A-",IF('Data Source'!Y650&gt;=3,"B",IF('Data Source'!Y650&gt;=2,"C",IF('Data Source'!Y650&gt;=1,"D","F")))))),"")</f>
        <v/>
      </c>
      <c r="H650" s="3">
        <f>IF(AND('Data Source'!B650&lt;&gt;"",'Data Source'!S650="F"),IF('Data Source'!Z650&gt;=5,"A+",IF('Data Source'!Z650&gt;=4,"A",IF('Data Source'!Z650&gt;=3.5,"A-",IF('Data Source'!Z650&gt;=3,"B",IF('Data Source'!Z650&gt;=2,"C",IF('Data Source'!Z650&gt;=1,"D","F")))))),"")</f>
        <v/>
      </c>
      <c r="I650" s="3">
        <f>IF(AND('Data Source'!B650&lt;&gt;"",'Data Source'!S650="F"),IF('Data Source'!AA650&gt;=5,"A+",IF('Data Source'!AA650&gt;=4,"A",IF('Data Source'!AA650&gt;=3.5,"A-",IF('Data Source'!AA650&gt;=3,"B",IF('Data Source'!AA650&gt;=2,"C",IF('Data Source'!AA650&gt;=1,"D","F")))))),"")</f>
        <v/>
      </c>
      <c r="J650" s="3">
        <f>IF(AND('Data Source'!B650&lt;&gt;"",'Data Source'!S650="F"),IF('Data Source'!AB650&gt;=5,"A+",IF('Data Source'!AB650&gt;=4,"A",IF('Data Source'!AB650&gt;=3.5,"A-",IF('Data Source'!AB650&gt;=3,"B",IF('Data Source'!AB650&gt;=2,"C",IF('Data Source'!AB650&gt;=1,"D","F")))))),"")</f>
        <v/>
      </c>
      <c r="K650" s="3">
        <f>IF(AND('Data Source'!B650&lt;&gt;"",'Data Source'!S650="F"),IF('Data Source'!AC650&gt;=5,"A+",IF('Data Source'!AC650&gt;=4,"A",IF('Data Source'!AC650&gt;=3.5,"A-",IF('Data Source'!AC650&gt;=3,"B",IF('Data Source'!AC650&gt;=2,"C",IF('Data Source'!AC650&gt;=1,"D","F")))))),"")</f>
        <v/>
      </c>
      <c r="L650" s="3">
        <f>IF(AND('Data Source'!B650&lt;&gt;"",'Data Source'!S650="F"),IF('Data Source'!AD650&gt;=5,"A+",IF('Data Source'!AD650&gt;=4,"A",IF('Data Source'!AD650&gt;=3.5,"A-",IF('Data Source'!AD650&gt;=3,"B",IF('Data Source'!AD650&gt;=2,"C",IF('Data Source'!AD650&gt;=1,"D","F")))))),"")</f>
        <v/>
      </c>
      <c r="M650" s="3">
        <f>IF(AND('Data Source'!B650&lt;&gt;"",'Data Source'!S650="F"),IF('Data Source'!AE650&gt;=5,"A+",IF('Data Source'!AE650&gt;=4,"A",IF('Data Source'!AE650&gt;=3.5,"A-",IF('Data Source'!AE650&gt;=3,"B",IF('Data Source'!AE650&gt;=2,"C",IF('Data Source'!AE650&gt;=1,"D","F")))))),"")</f>
        <v/>
      </c>
      <c r="N650" s="3">
        <f>IF(AND('Data Source'!B650&lt;&gt;"",'Data Source'!S650="F"),IF('Data Source'!AF650&gt;=5,"A+",IF('Data Source'!AF650&gt;=4,"A",IF('Data Source'!AF650&gt;=3.5,"A-",IF('Data Source'!AF650&gt;=3,"B",IF('Data Source'!AF650&gt;=2,"C",IF('Data Source'!AF650&gt;=1,"D","F")))))),"")</f>
        <v/>
      </c>
      <c r="O650" s="3">
        <f>IF(AND('Data Source'!B650&lt;&gt;"",'Data Source'!S650="F"),IF('Data Source'!AG650&gt;=5,"A+",IF('Data Source'!AG650&gt;=4,"A",IF('Data Source'!AG650&gt;=3.5,"A-",IF('Data Source'!AG650&gt;=3,"B",IF('Data Source'!AG650&gt;=2,"C",IF('Data Source'!AG650&gt;=1,"D","F")))))),"")</f>
        <v/>
      </c>
      <c r="P650" s="5">
        <f>IF(AND('Data Source'!B650&lt;&gt;"",'Data Source'!S650="F"),'Data Source'!R650,"")</f>
        <v/>
      </c>
      <c r="Q650" s="3">
        <f>IF(AND('Data Source'!B650&lt;&gt;"",'Data Source'!S650="F"),'Data Source'!S650,"")</f>
        <v/>
      </c>
    </row>
    <row r="651">
      <c r="A651" s="3">
        <f>IF(AND('Data Source'!B651&lt;&gt;"",'Data Source'!S651="F"),COUNTIF('Data Source'!$S$3:S651,"F"),"")</f>
        <v/>
      </c>
      <c r="B651">
        <f>IF(AND('Data Source'!B651&lt;&gt;"",'Data Source'!S651="F"),'Data Source'!B651,"")</f>
        <v/>
      </c>
      <c r="C651" s="3">
        <f>IF(AND('Data Source'!B651&lt;&gt;"",'Data Source'!S651="F"),IF('Data Source'!U651&gt;=5,"A+",IF('Data Source'!U651&gt;=4,"A",IF('Data Source'!U651&gt;=3.5,"A-",IF('Data Source'!U651&gt;=3,"B",IF('Data Source'!U651&gt;=2,"C",IF('Data Source'!U651&gt;=1,"D","F")))))),"")</f>
        <v/>
      </c>
      <c r="D651" s="3">
        <f>IF(AND('Data Source'!B651&lt;&gt;"",'Data Source'!S651="F"),IF('Data Source'!V651&gt;=5,"A+",IF('Data Source'!V651&gt;=4,"A",IF('Data Source'!V651&gt;=3.5,"A-",IF('Data Source'!V651&gt;=3,"B",IF('Data Source'!V651&gt;=2,"C",IF('Data Source'!V651&gt;=1,"D","F")))))),"")</f>
        <v/>
      </c>
      <c r="E651" s="3">
        <f>IF(AND('Data Source'!B651&lt;&gt;"",'Data Source'!S651="F"),IF('Data Source'!W651&gt;=5,"A+",IF('Data Source'!W651&gt;=4,"A",IF('Data Source'!W651&gt;=3.5,"A-",IF('Data Source'!W651&gt;=3,"B",IF('Data Source'!W651&gt;=2,"C",IF('Data Source'!W651&gt;=1,"D","F")))))),"")</f>
        <v/>
      </c>
      <c r="F651" s="3">
        <f>IF(AND('Data Source'!B651&lt;&gt;"",'Data Source'!S651="F"),IF('Data Source'!X651&gt;=5,"A+",IF('Data Source'!X651&gt;=4,"A",IF('Data Source'!X651&gt;=3.5,"A-",IF('Data Source'!X651&gt;=3,"B",IF('Data Source'!X651&gt;=2,"C",IF('Data Source'!X651&gt;=1,"D","F")))))),"")</f>
        <v/>
      </c>
      <c r="G651" s="3">
        <f>IF(AND('Data Source'!B651&lt;&gt;"",'Data Source'!S651="F"),IF('Data Source'!Y651&gt;=5,"A+",IF('Data Source'!Y651&gt;=4,"A",IF('Data Source'!Y651&gt;=3.5,"A-",IF('Data Source'!Y651&gt;=3,"B",IF('Data Source'!Y651&gt;=2,"C",IF('Data Source'!Y651&gt;=1,"D","F")))))),"")</f>
        <v/>
      </c>
      <c r="H651" s="3">
        <f>IF(AND('Data Source'!B651&lt;&gt;"",'Data Source'!S651="F"),IF('Data Source'!Z651&gt;=5,"A+",IF('Data Source'!Z651&gt;=4,"A",IF('Data Source'!Z651&gt;=3.5,"A-",IF('Data Source'!Z651&gt;=3,"B",IF('Data Source'!Z651&gt;=2,"C",IF('Data Source'!Z651&gt;=1,"D","F")))))),"")</f>
        <v/>
      </c>
      <c r="I651" s="3">
        <f>IF(AND('Data Source'!B651&lt;&gt;"",'Data Source'!S651="F"),IF('Data Source'!AA651&gt;=5,"A+",IF('Data Source'!AA651&gt;=4,"A",IF('Data Source'!AA651&gt;=3.5,"A-",IF('Data Source'!AA651&gt;=3,"B",IF('Data Source'!AA651&gt;=2,"C",IF('Data Source'!AA651&gt;=1,"D","F")))))),"")</f>
        <v/>
      </c>
      <c r="J651" s="3">
        <f>IF(AND('Data Source'!B651&lt;&gt;"",'Data Source'!S651="F"),IF('Data Source'!AB651&gt;=5,"A+",IF('Data Source'!AB651&gt;=4,"A",IF('Data Source'!AB651&gt;=3.5,"A-",IF('Data Source'!AB651&gt;=3,"B",IF('Data Source'!AB651&gt;=2,"C",IF('Data Source'!AB651&gt;=1,"D","F")))))),"")</f>
        <v/>
      </c>
      <c r="K651" s="3">
        <f>IF(AND('Data Source'!B651&lt;&gt;"",'Data Source'!S651="F"),IF('Data Source'!AC651&gt;=5,"A+",IF('Data Source'!AC651&gt;=4,"A",IF('Data Source'!AC651&gt;=3.5,"A-",IF('Data Source'!AC651&gt;=3,"B",IF('Data Source'!AC651&gt;=2,"C",IF('Data Source'!AC651&gt;=1,"D","F")))))),"")</f>
        <v/>
      </c>
      <c r="L651" s="3">
        <f>IF(AND('Data Source'!B651&lt;&gt;"",'Data Source'!S651="F"),IF('Data Source'!AD651&gt;=5,"A+",IF('Data Source'!AD651&gt;=4,"A",IF('Data Source'!AD651&gt;=3.5,"A-",IF('Data Source'!AD651&gt;=3,"B",IF('Data Source'!AD651&gt;=2,"C",IF('Data Source'!AD651&gt;=1,"D","F")))))),"")</f>
        <v/>
      </c>
      <c r="M651" s="3">
        <f>IF(AND('Data Source'!B651&lt;&gt;"",'Data Source'!S651="F"),IF('Data Source'!AE651&gt;=5,"A+",IF('Data Source'!AE651&gt;=4,"A",IF('Data Source'!AE651&gt;=3.5,"A-",IF('Data Source'!AE651&gt;=3,"B",IF('Data Source'!AE651&gt;=2,"C",IF('Data Source'!AE651&gt;=1,"D","F")))))),"")</f>
        <v/>
      </c>
      <c r="N651" s="3">
        <f>IF(AND('Data Source'!B651&lt;&gt;"",'Data Source'!S651="F"),IF('Data Source'!AF651&gt;=5,"A+",IF('Data Source'!AF651&gt;=4,"A",IF('Data Source'!AF651&gt;=3.5,"A-",IF('Data Source'!AF651&gt;=3,"B",IF('Data Source'!AF651&gt;=2,"C",IF('Data Source'!AF651&gt;=1,"D","F")))))),"")</f>
        <v/>
      </c>
      <c r="O651" s="3">
        <f>IF(AND('Data Source'!B651&lt;&gt;"",'Data Source'!S651="F"),IF('Data Source'!AG651&gt;=5,"A+",IF('Data Source'!AG651&gt;=4,"A",IF('Data Source'!AG651&gt;=3.5,"A-",IF('Data Source'!AG651&gt;=3,"B",IF('Data Source'!AG651&gt;=2,"C",IF('Data Source'!AG651&gt;=1,"D","F")))))),"")</f>
        <v/>
      </c>
      <c r="P651" s="5">
        <f>IF(AND('Data Source'!B651&lt;&gt;"",'Data Source'!S651="F"),'Data Source'!R651,"")</f>
        <v/>
      </c>
      <c r="Q651" s="3">
        <f>IF(AND('Data Source'!B651&lt;&gt;"",'Data Source'!S651="F"),'Data Source'!S651,"")</f>
        <v/>
      </c>
    </row>
    <row r="652">
      <c r="A652" s="3">
        <f>IF(AND('Data Source'!B652&lt;&gt;"",'Data Source'!S652="F"),COUNTIF('Data Source'!$S$3:S652,"F"),"")</f>
        <v/>
      </c>
      <c r="B652">
        <f>IF(AND('Data Source'!B652&lt;&gt;"",'Data Source'!S652="F"),'Data Source'!B652,"")</f>
        <v/>
      </c>
      <c r="C652" s="3">
        <f>IF(AND('Data Source'!B652&lt;&gt;"",'Data Source'!S652="F"),IF('Data Source'!U652&gt;=5,"A+",IF('Data Source'!U652&gt;=4,"A",IF('Data Source'!U652&gt;=3.5,"A-",IF('Data Source'!U652&gt;=3,"B",IF('Data Source'!U652&gt;=2,"C",IF('Data Source'!U652&gt;=1,"D","F")))))),"")</f>
        <v/>
      </c>
      <c r="D652" s="3">
        <f>IF(AND('Data Source'!B652&lt;&gt;"",'Data Source'!S652="F"),IF('Data Source'!V652&gt;=5,"A+",IF('Data Source'!V652&gt;=4,"A",IF('Data Source'!V652&gt;=3.5,"A-",IF('Data Source'!V652&gt;=3,"B",IF('Data Source'!V652&gt;=2,"C",IF('Data Source'!V652&gt;=1,"D","F")))))),"")</f>
        <v/>
      </c>
      <c r="E652" s="3">
        <f>IF(AND('Data Source'!B652&lt;&gt;"",'Data Source'!S652="F"),IF('Data Source'!W652&gt;=5,"A+",IF('Data Source'!W652&gt;=4,"A",IF('Data Source'!W652&gt;=3.5,"A-",IF('Data Source'!W652&gt;=3,"B",IF('Data Source'!W652&gt;=2,"C",IF('Data Source'!W652&gt;=1,"D","F")))))),"")</f>
        <v/>
      </c>
      <c r="F652" s="3">
        <f>IF(AND('Data Source'!B652&lt;&gt;"",'Data Source'!S652="F"),IF('Data Source'!X652&gt;=5,"A+",IF('Data Source'!X652&gt;=4,"A",IF('Data Source'!X652&gt;=3.5,"A-",IF('Data Source'!X652&gt;=3,"B",IF('Data Source'!X652&gt;=2,"C",IF('Data Source'!X652&gt;=1,"D","F")))))),"")</f>
        <v/>
      </c>
      <c r="G652" s="3">
        <f>IF(AND('Data Source'!B652&lt;&gt;"",'Data Source'!S652="F"),IF('Data Source'!Y652&gt;=5,"A+",IF('Data Source'!Y652&gt;=4,"A",IF('Data Source'!Y652&gt;=3.5,"A-",IF('Data Source'!Y652&gt;=3,"B",IF('Data Source'!Y652&gt;=2,"C",IF('Data Source'!Y652&gt;=1,"D","F")))))),"")</f>
        <v/>
      </c>
      <c r="H652" s="3">
        <f>IF(AND('Data Source'!B652&lt;&gt;"",'Data Source'!S652="F"),IF('Data Source'!Z652&gt;=5,"A+",IF('Data Source'!Z652&gt;=4,"A",IF('Data Source'!Z652&gt;=3.5,"A-",IF('Data Source'!Z652&gt;=3,"B",IF('Data Source'!Z652&gt;=2,"C",IF('Data Source'!Z652&gt;=1,"D","F")))))),"")</f>
        <v/>
      </c>
      <c r="I652" s="3">
        <f>IF(AND('Data Source'!B652&lt;&gt;"",'Data Source'!S652="F"),IF('Data Source'!AA652&gt;=5,"A+",IF('Data Source'!AA652&gt;=4,"A",IF('Data Source'!AA652&gt;=3.5,"A-",IF('Data Source'!AA652&gt;=3,"B",IF('Data Source'!AA652&gt;=2,"C",IF('Data Source'!AA652&gt;=1,"D","F")))))),"")</f>
        <v/>
      </c>
      <c r="J652" s="3">
        <f>IF(AND('Data Source'!B652&lt;&gt;"",'Data Source'!S652="F"),IF('Data Source'!AB652&gt;=5,"A+",IF('Data Source'!AB652&gt;=4,"A",IF('Data Source'!AB652&gt;=3.5,"A-",IF('Data Source'!AB652&gt;=3,"B",IF('Data Source'!AB652&gt;=2,"C",IF('Data Source'!AB652&gt;=1,"D","F")))))),"")</f>
        <v/>
      </c>
      <c r="K652" s="3">
        <f>IF(AND('Data Source'!B652&lt;&gt;"",'Data Source'!S652="F"),IF('Data Source'!AC652&gt;=5,"A+",IF('Data Source'!AC652&gt;=4,"A",IF('Data Source'!AC652&gt;=3.5,"A-",IF('Data Source'!AC652&gt;=3,"B",IF('Data Source'!AC652&gt;=2,"C",IF('Data Source'!AC652&gt;=1,"D","F")))))),"")</f>
        <v/>
      </c>
      <c r="L652" s="3">
        <f>IF(AND('Data Source'!B652&lt;&gt;"",'Data Source'!S652="F"),IF('Data Source'!AD652&gt;=5,"A+",IF('Data Source'!AD652&gt;=4,"A",IF('Data Source'!AD652&gt;=3.5,"A-",IF('Data Source'!AD652&gt;=3,"B",IF('Data Source'!AD652&gt;=2,"C",IF('Data Source'!AD652&gt;=1,"D","F")))))),"")</f>
        <v/>
      </c>
      <c r="M652" s="3">
        <f>IF(AND('Data Source'!B652&lt;&gt;"",'Data Source'!S652="F"),IF('Data Source'!AE652&gt;=5,"A+",IF('Data Source'!AE652&gt;=4,"A",IF('Data Source'!AE652&gt;=3.5,"A-",IF('Data Source'!AE652&gt;=3,"B",IF('Data Source'!AE652&gt;=2,"C",IF('Data Source'!AE652&gt;=1,"D","F")))))),"")</f>
        <v/>
      </c>
      <c r="N652" s="3">
        <f>IF(AND('Data Source'!B652&lt;&gt;"",'Data Source'!S652="F"),IF('Data Source'!AF652&gt;=5,"A+",IF('Data Source'!AF652&gt;=4,"A",IF('Data Source'!AF652&gt;=3.5,"A-",IF('Data Source'!AF652&gt;=3,"B",IF('Data Source'!AF652&gt;=2,"C",IF('Data Source'!AF652&gt;=1,"D","F")))))),"")</f>
        <v/>
      </c>
      <c r="O652" s="3">
        <f>IF(AND('Data Source'!B652&lt;&gt;"",'Data Source'!S652="F"),IF('Data Source'!AG652&gt;=5,"A+",IF('Data Source'!AG652&gt;=4,"A",IF('Data Source'!AG652&gt;=3.5,"A-",IF('Data Source'!AG652&gt;=3,"B",IF('Data Source'!AG652&gt;=2,"C",IF('Data Source'!AG652&gt;=1,"D","F")))))),"")</f>
        <v/>
      </c>
      <c r="P652" s="5">
        <f>IF(AND('Data Source'!B652&lt;&gt;"",'Data Source'!S652="F"),'Data Source'!R652,"")</f>
        <v/>
      </c>
      <c r="Q652" s="3">
        <f>IF(AND('Data Source'!B652&lt;&gt;"",'Data Source'!S652="F"),'Data Source'!S652,"")</f>
        <v/>
      </c>
    </row>
    <row r="653">
      <c r="A653" s="3">
        <f>IF(AND('Data Source'!B653&lt;&gt;"",'Data Source'!S653="F"),COUNTIF('Data Source'!$S$3:S653,"F"),"")</f>
        <v/>
      </c>
      <c r="B653">
        <f>IF(AND('Data Source'!B653&lt;&gt;"",'Data Source'!S653="F"),'Data Source'!B653,"")</f>
        <v/>
      </c>
      <c r="C653" s="3">
        <f>IF(AND('Data Source'!B653&lt;&gt;"",'Data Source'!S653="F"),IF('Data Source'!U653&gt;=5,"A+",IF('Data Source'!U653&gt;=4,"A",IF('Data Source'!U653&gt;=3.5,"A-",IF('Data Source'!U653&gt;=3,"B",IF('Data Source'!U653&gt;=2,"C",IF('Data Source'!U653&gt;=1,"D","F")))))),"")</f>
        <v/>
      </c>
      <c r="D653" s="3">
        <f>IF(AND('Data Source'!B653&lt;&gt;"",'Data Source'!S653="F"),IF('Data Source'!V653&gt;=5,"A+",IF('Data Source'!V653&gt;=4,"A",IF('Data Source'!V653&gt;=3.5,"A-",IF('Data Source'!V653&gt;=3,"B",IF('Data Source'!V653&gt;=2,"C",IF('Data Source'!V653&gt;=1,"D","F")))))),"")</f>
        <v/>
      </c>
      <c r="E653" s="3">
        <f>IF(AND('Data Source'!B653&lt;&gt;"",'Data Source'!S653="F"),IF('Data Source'!W653&gt;=5,"A+",IF('Data Source'!W653&gt;=4,"A",IF('Data Source'!W653&gt;=3.5,"A-",IF('Data Source'!W653&gt;=3,"B",IF('Data Source'!W653&gt;=2,"C",IF('Data Source'!W653&gt;=1,"D","F")))))),"")</f>
        <v/>
      </c>
      <c r="F653" s="3">
        <f>IF(AND('Data Source'!B653&lt;&gt;"",'Data Source'!S653="F"),IF('Data Source'!X653&gt;=5,"A+",IF('Data Source'!X653&gt;=4,"A",IF('Data Source'!X653&gt;=3.5,"A-",IF('Data Source'!X653&gt;=3,"B",IF('Data Source'!X653&gt;=2,"C",IF('Data Source'!X653&gt;=1,"D","F")))))),"")</f>
        <v/>
      </c>
      <c r="G653" s="3">
        <f>IF(AND('Data Source'!B653&lt;&gt;"",'Data Source'!S653="F"),IF('Data Source'!Y653&gt;=5,"A+",IF('Data Source'!Y653&gt;=4,"A",IF('Data Source'!Y653&gt;=3.5,"A-",IF('Data Source'!Y653&gt;=3,"B",IF('Data Source'!Y653&gt;=2,"C",IF('Data Source'!Y653&gt;=1,"D","F")))))),"")</f>
        <v/>
      </c>
      <c r="H653" s="3">
        <f>IF(AND('Data Source'!B653&lt;&gt;"",'Data Source'!S653="F"),IF('Data Source'!Z653&gt;=5,"A+",IF('Data Source'!Z653&gt;=4,"A",IF('Data Source'!Z653&gt;=3.5,"A-",IF('Data Source'!Z653&gt;=3,"B",IF('Data Source'!Z653&gt;=2,"C",IF('Data Source'!Z653&gt;=1,"D","F")))))),"")</f>
        <v/>
      </c>
      <c r="I653" s="3">
        <f>IF(AND('Data Source'!B653&lt;&gt;"",'Data Source'!S653="F"),IF('Data Source'!AA653&gt;=5,"A+",IF('Data Source'!AA653&gt;=4,"A",IF('Data Source'!AA653&gt;=3.5,"A-",IF('Data Source'!AA653&gt;=3,"B",IF('Data Source'!AA653&gt;=2,"C",IF('Data Source'!AA653&gt;=1,"D","F")))))),"")</f>
        <v/>
      </c>
      <c r="J653" s="3">
        <f>IF(AND('Data Source'!B653&lt;&gt;"",'Data Source'!S653="F"),IF('Data Source'!AB653&gt;=5,"A+",IF('Data Source'!AB653&gt;=4,"A",IF('Data Source'!AB653&gt;=3.5,"A-",IF('Data Source'!AB653&gt;=3,"B",IF('Data Source'!AB653&gt;=2,"C",IF('Data Source'!AB653&gt;=1,"D","F")))))),"")</f>
        <v/>
      </c>
      <c r="K653" s="3">
        <f>IF(AND('Data Source'!B653&lt;&gt;"",'Data Source'!S653="F"),IF('Data Source'!AC653&gt;=5,"A+",IF('Data Source'!AC653&gt;=4,"A",IF('Data Source'!AC653&gt;=3.5,"A-",IF('Data Source'!AC653&gt;=3,"B",IF('Data Source'!AC653&gt;=2,"C",IF('Data Source'!AC653&gt;=1,"D","F")))))),"")</f>
        <v/>
      </c>
      <c r="L653" s="3">
        <f>IF(AND('Data Source'!B653&lt;&gt;"",'Data Source'!S653="F"),IF('Data Source'!AD653&gt;=5,"A+",IF('Data Source'!AD653&gt;=4,"A",IF('Data Source'!AD653&gt;=3.5,"A-",IF('Data Source'!AD653&gt;=3,"B",IF('Data Source'!AD653&gt;=2,"C",IF('Data Source'!AD653&gt;=1,"D","F")))))),"")</f>
        <v/>
      </c>
      <c r="M653" s="3">
        <f>IF(AND('Data Source'!B653&lt;&gt;"",'Data Source'!S653="F"),IF('Data Source'!AE653&gt;=5,"A+",IF('Data Source'!AE653&gt;=4,"A",IF('Data Source'!AE653&gt;=3.5,"A-",IF('Data Source'!AE653&gt;=3,"B",IF('Data Source'!AE653&gt;=2,"C",IF('Data Source'!AE653&gt;=1,"D","F")))))),"")</f>
        <v/>
      </c>
      <c r="N653" s="3">
        <f>IF(AND('Data Source'!B653&lt;&gt;"",'Data Source'!S653="F"),IF('Data Source'!AF653&gt;=5,"A+",IF('Data Source'!AF653&gt;=4,"A",IF('Data Source'!AF653&gt;=3.5,"A-",IF('Data Source'!AF653&gt;=3,"B",IF('Data Source'!AF653&gt;=2,"C",IF('Data Source'!AF653&gt;=1,"D","F")))))),"")</f>
        <v/>
      </c>
      <c r="O653" s="3">
        <f>IF(AND('Data Source'!B653&lt;&gt;"",'Data Source'!S653="F"),IF('Data Source'!AG653&gt;=5,"A+",IF('Data Source'!AG653&gt;=4,"A",IF('Data Source'!AG653&gt;=3.5,"A-",IF('Data Source'!AG653&gt;=3,"B",IF('Data Source'!AG653&gt;=2,"C",IF('Data Source'!AG653&gt;=1,"D","F")))))),"")</f>
        <v/>
      </c>
      <c r="P653" s="5">
        <f>IF(AND('Data Source'!B653&lt;&gt;"",'Data Source'!S653="F"),'Data Source'!R653,"")</f>
        <v/>
      </c>
      <c r="Q653" s="3">
        <f>IF(AND('Data Source'!B653&lt;&gt;"",'Data Source'!S653="F"),'Data Source'!S653,"")</f>
        <v/>
      </c>
    </row>
    <row r="654">
      <c r="A654" s="3">
        <f>IF(AND('Data Source'!B654&lt;&gt;"",'Data Source'!S654="F"),COUNTIF('Data Source'!$S$3:S654,"F"),"")</f>
        <v/>
      </c>
      <c r="B654">
        <f>IF(AND('Data Source'!B654&lt;&gt;"",'Data Source'!S654="F"),'Data Source'!B654,"")</f>
        <v/>
      </c>
      <c r="C654" s="3">
        <f>IF(AND('Data Source'!B654&lt;&gt;"",'Data Source'!S654="F"),IF('Data Source'!U654&gt;=5,"A+",IF('Data Source'!U654&gt;=4,"A",IF('Data Source'!U654&gt;=3.5,"A-",IF('Data Source'!U654&gt;=3,"B",IF('Data Source'!U654&gt;=2,"C",IF('Data Source'!U654&gt;=1,"D","F")))))),"")</f>
        <v/>
      </c>
      <c r="D654" s="3">
        <f>IF(AND('Data Source'!B654&lt;&gt;"",'Data Source'!S654="F"),IF('Data Source'!V654&gt;=5,"A+",IF('Data Source'!V654&gt;=4,"A",IF('Data Source'!V654&gt;=3.5,"A-",IF('Data Source'!V654&gt;=3,"B",IF('Data Source'!V654&gt;=2,"C",IF('Data Source'!V654&gt;=1,"D","F")))))),"")</f>
        <v/>
      </c>
      <c r="E654" s="3">
        <f>IF(AND('Data Source'!B654&lt;&gt;"",'Data Source'!S654="F"),IF('Data Source'!W654&gt;=5,"A+",IF('Data Source'!W654&gt;=4,"A",IF('Data Source'!W654&gt;=3.5,"A-",IF('Data Source'!W654&gt;=3,"B",IF('Data Source'!W654&gt;=2,"C",IF('Data Source'!W654&gt;=1,"D","F")))))),"")</f>
        <v/>
      </c>
      <c r="F654" s="3">
        <f>IF(AND('Data Source'!B654&lt;&gt;"",'Data Source'!S654="F"),IF('Data Source'!X654&gt;=5,"A+",IF('Data Source'!X654&gt;=4,"A",IF('Data Source'!X654&gt;=3.5,"A-",IF('Data Source'!X654&gt;=3,"B",IF('Data Source'!X654&gt;=2,"C",IF('Data Source'!X654&gt;=1,"D","F")))))),"")</f>
        <v/>
      </c>
      <c r="G654" s="3">
        <f>IF(AND('Data Source'!B654&lt;&gt;"",'Data Source'!S654="F"),IF('Data Source'!Y654&gt;=5,"A+",IF('Data Source'!Y654&gt;=4,"A",IF('Data Source'!Y654&gt;=3.5,"A-",IF('Data Source'!Y654&gt;=3,"B",IF('Data Source'!Y654&gt;=2,"C",IF('Data Source'!Y654&gt;=1,"D","F")))))),"")</f>
        <v/>
      </c>
      <c r="H654" s="3">
        <f>IF(AND('Data Source'!B654&lt;&gt;"",'Data Source'!S654="F"),IF('Data Source'!Z654&gt;=5,"A+",IF('Data Source'!Z654&gt;=4,"A",IF('Data Source'!Z654&gt;=3.5,"A-",IF('Data Source'!Z654&gt;=3,"B",IF('Data Source'!Z654&gt;=2,"C",IF('Data Source'!Z654&gt;=1,"D","F")))))),"")</f>
        <v/>
      </c>
      <c r="I654" s="3">
        <f>IF(AND('Data Source'!B654&lt;&gt;"",'Data Source'!S654="F"),IF('Data Source'!AA654&gt;=5,"A+",IF('Data Source'!AA654&gt;=4,"A",IF('Data Source'!AA654&gt;=3.5,"A-",IF('Data Source'!AA654&gt;=3,"B",IF('Data Source'!AA654&gt;=2,"C",IF('Data Source'!AA654&gt;=1,"D","F")))))),"")</f>
        <v/>
      </c>
      <c r="J654" s="3">
        <f>IF(AND('Data Source'!B654&lt;&gt;"",'Data Source'!S654="F"),IF('Data Source'!AB654&gt;=5,"A+",IF('Data Source'!AB654&gt;=4,"A",IF('Data Source'!AB654&gt;=3.5,"A-",IF('Data Source'!AB654&gt;=3,"B",IF('Data Source'!AB654&gt;=2,"C",IF('Data Source'!AB654&gt;=1,"D","F")))))),"")</f>
        <v/>
      </c>
      <c r="K654" s="3">
        <f>IF(AND('Data Source'!B654&lt;&gt;"",'Data Source'!S654="F"),IF('Data Source'!AC654&gt;=5,"A+",IF('Data Source'!AC654&gt;=4,"A",IF('Data Source'!AC654&gt;=3.5,"A-",IF('Data Source'!AC654&gt;=3,"B",IF('Data Source'!AC654&gt;=2,"C",IF('Data Source'!AC654&gt;=1,"D","F")))))),"")</f>
        <v/>
      </c>
      <c r="L654" s="3">
        <f>IF(AND('Data Source'!B654&lt;&gt;"",'Data Source'!S654="F"),IF('Data Source'!AD654&gt;=5,"A+",IF('Data Source'!AD654&gt;=4,"A",IF('Data Source'!AD654&gt;=3.5,"A-",IF('Data Source'!AD654&gt;=3,"B",IF('Data Source'!AD654&gt;=2,"C",IF('Data Source'!AD654&gt;=1,"D","F")))))),"")</f>
        <v/>
      </c>
      <c r="M654" s="3">
        <f>IF(AND('Data Source'!B654&lt;&gt;"",'Data Source'!S654="F"),IF('Data Source'!AE654&gt;=5,"A+",IF('Data Source'!AE654&gt;=4,"A",IF('Data Source'!AE654&gt;=3.5,"A-",IF('Data Source'!AE654&gt;=3,"B",IF('Data Source'!AE654&gt;=2,"C",IF('Data Source'!AE654&gt;=1,"D","F")))))),"")</f>
        <v/>
      </c>
      <c r="N654" s="3">
        <f>IF(AND('Data Source'!B654&lt;&gt;"",'Data Source'!S654="F"),IF('Data Source'!AF654&gt;=5,"A+",IF('Data Source'!AF654&gt;=4,"A",IF('Data Source'!AF654&gt;=3.5,"A-",IF('Data Source'!AF654&gt;=3,"B",IF('Data Source'!AF654&gt;=2,"C",IF('Data Source'!AF654&gt;=1,"D","F")))))),"")</f>
        <v/>
      </c>
      <c r="O654" s="3">
        <f>IF(AND('Data Source'!B654&lt;&gt;"",'Data Source'!S654="F"),IF('Data Source'!AG654&gt;=5,"A+",IF('Data Source'!AG654&gt;=4,"A",IF('Data Source'!AG654&gt;=3.5,"A-",IF('Data Source'!AG654&gt;=3,"B",IF('Data Source'!AG654&gt;=2,"C",IF('Data Source'!AG654&gt;=1,"D","F")))))),"")</f>
        <v/>
      </c>
      <c r="P654" s="5">
        <f>IF(AND('Data Source'!B654&lt;&gt;"",'Data Source'!S654="F"),'Data Source'!R654,"")</f>
        <v/>
      </c>
      <c r="Q654" s="3">
        <f>IF(AND('Data Source'!B654&lt;&gt;"",'Data Source'!S654="F"),'Data Source'!S654,"")</f>
        <v/>
      </c>
    </row>
    <row r="655">
      <c r="A655" s="3">
        <f>IF(AND('Data Source'!B655&lt;&gt;"",'Data Source'!S655="F"),COUNTIF('Data Source'!$S$3:S655,"F"),"")</f>
        <v/>
      </c>
      <c r="B655">
        <f>IF(AND('Data Source'!B655&lt;&gt;"",'Data Source'!S655="F"),'Data Source'!B655,"")</f>
        <v/>
      </c>
      <c r="C655" s="3">
        <f>IF(AND('Data Source'!B655&lt;&gt;"",'Data Source'!S655="F"),IF('Data Source'!U655&gt;=5,"A+",IF('Data Source'!U655&gt;=4,"A",IF('Data Source'!U655&gt;=3.5,"A-",IF('Data Source'!U655&gt;=3,"B",IF('Data Source'!U655&gt;=2,"C",IF('Data Source'!U655&gt;=1,"D","F")))))),"")</f>
        <v/>
      </c>
      <c r="D655" s="3">
        <f>IF(AND('Data Source'!B655&lt;&gt;"",'Data Source'!S655="F"),IF('Data Source'!V655&gt;=5,"A+",IF('Data Source'!V655&gt;=4,"A",IF('Data Source'!V655&gt;=3.5,"A-",IF('Data Source'!V655&gt;=3,"B",IF('Data Source'!V655&gt;=2,"C",IF('Data Source'!V655&gt;=1,"D","F")))))),"")</f>
        <v/>
      </c>
      <c r="E655" s="3">
        <f>IF(AND('Data Source'!B655&lt;&gt;"",'Data Source'!S655="F"),IF('Data Source'!W655&gt;=5,"A+",IF('Data Source'!W655&gt;=4,"A",IF('Data Source'!W655&gt;=3.5,"A-",IF('Data Source'!W655&gt;=3,"B",IF('Data Source'!W655&gt;=2,"C",IF('Data Source'!W655&gt;=1,"D","F")))))),"")</f>
        <v/>
      </c>
      <c r="F655" s="3">
        <f>IF(AND('Data Source'!B655&lt;&gt;"",'Data Source'!S655="F"),IF('Data Source'!X655&gt;=5,"A+",IF('Data Source'!X655&gt;=4,"A",IF('Data Source'!X655&gt;=3.5,"A-",IF('Data Source'!X655&gt;=3,"B",IF('Data Source'!X655&gt;=2,"C",IF('Data Source'!X655&gt;=1,"D","F")))))),"")</f>
        <v/>
      </c>
      <c r="G655" s="3">
        <f>IF(AND('Data Source'!B655&lt;&gt;"",'Data Source'!S655="F"),IF('Data Source'!Y655&gt;=5,"A+",IF('Data Source'!Y655&gt;=4,"A",IF('Data Source'!Y655&gt;=3.5,"A-",IF('Data Source'!Y655&gt;=3,"B",IF('Data Source'!Y655&gt;=2,"C",IF('Data Source'!Y655&gt;=1,"D","F")))))),"")</f>
        <v/>
      </c>
      <c r="H655" s="3">
        <f>IF(AND('Data Source'!B655&lt;&gt;"",'Data Source'!S655="F"),IF('Data Source'!Z655&gt;=5,"A+",IF('Data Source'!Z655&gt;=4,"A",IF('Data Source'!Z655&gt;=3.5,"A-",IF('Data Source'!Z655&gt;=3,"B",IF('Data Source'!Z655&gt;=2,"C",IF('Data Source'!Z655&gt;=1,"D","F")))))),"")</f>
        <v/>
      </c>
      <c r="I655" s="3">
        <f>IF(AND('Data Source'!B655&lt;&gt;"",'Data Source'!S655="F"),IF('Data Source'!AA655&gt;=5,"A+",IF('Data Source'!AA655&gt;=4,"A",IF('Data Source'!AA655&gt;=3.5,"A-",IF('Data Source'!AA655&gt;=3,"B",IF('Data Source'!AA655&gt;=2,"C",IF('Data Source'!AA655&gt;=1,"D","F")))))),"")</f>
        <v/>
      </c>
      <c r="J655" s="3">
        <f>IF(AND('Data Source'!B655&lt;&gt;"",'Data Source'!S655="F"),IF('Data Source'!AB655&gt;=5,"A+",IF('Data Source'!AB655&gt;=4,"A",IF('Data Source'!AB655&gt;=3.5,"A-",IF('Data Source'!AB655&gt;=3,"B",IF('Data Source'!AB655&gt;=2,"C",IF('Data Source'!AB655&gt;=1,"D","F")))))),"")</f>
        <v/>
      </c>
      <c r="K655" s="3">
        <f>IF(AND('Data Source'!B655&lt;&gt;"",'Data Source'!S655="F"),IF('Data Source'!AC655&gt;=5,"A+",IF('Data Source'!AC655&gt;=4,"A",IF('Data Source'!AC655&gt;=3.5,"A-",IF('Data Source'!AC655&gt;=3,"B",IF('Data Source'!AC655&gt;=2,"C",IF('Data Source'!AC655&gt;=1,"D","F")))))),"")</f>
        <v/>
      </c>
      <c r="L655" s="3">
        <f>IF(AND('Data Source'!B655&lt;&gt;"",'Data Source'!S655="F"),IF('Data Source'!AD655&gt;=5,"A+",IF('Data Source'!AD655&gt;=4,"A",IF('Data Source'!AD655&gt;=3.5,"A-",IF('Data Source'!AD655&gt;=3,"B",IF('Data Source'!AD655&gt;=2,"C",IF('Data Source'!AD655&gt;=1,"D","F")))))),"")</f>
        <v/>
      </c>
      <c r="M655" s="3">
        <f>IF(AND('Data Source'!B655&lt;&gt;"",'Data Source'!S655="F"),IF('Data Source'!AE655&gt;=5,"A+",IF('Data Source'!AE655&gt;=4,"A",IF('Data Source'!AE655&gt;=3.5,"A-",IF('Data Source'!AE655&gt;=3,"B",IF('Data Source'!AE655&gt;=2,"C",IF('Data Source'!AE655&gt;=1,"D","F")))))),"")</f>
        <v/>
      </c>
      <c r="N655" s="3">
        <f>IF(AND('Data Source'!B655&lt;&gt;"",'Data Source'!S655="F"),IF('Data Source'!AF655&gt;=5,"A+",IF('Data Source'!AF655&gt;=4,"A",IF('Data Source'!AF655&gt;=3.5,"A-",IF('Data Source'!AF655&gt;=3,"B",IF('Data Source'!AF655&gt;=2,"C",IF('Data Source'!AF655&gt;=1,"D","F")))))),"")</f>
        <v/>
      </c>
      <c r="O655" s="3">
        <f>IF(AND('Data Source'!B655&lt;&gt;"",'Data Source'!S655="F"),IF('Data Source'!AG655&gt;=5,"A+",IF('Data Source'!AG655&gt;=4,"A",IF('Data Source'!AG655&gt;=3.5,"A-",IF('Data Source'!AG655&gt;=3,"B",IF('Data Source'!AG655&gt;=2,"C",IF('Data Source'!AG655&gt;=1,"D","F")))))),"")</f>
        <v/>
      </c>
      <c r="P655" s="5">
        <f>IF(AND('Data Source'!B655&lt;&gt;"",'Data Source'!S655="F"),'Data Source'!R655,"")</f>
        <v/>
      </c>
      <c r="Q655" s="3">
        <f>IF(AND('Data Source'!B655&lt;&gt;"",'Data Source'!S655="F"),'Data Source'!S655,"")</f>
        <v/>
      </c>
    </row>
    <row r="656">
      <c r="A656" s="3">
        <f>IF(AND('Data Source'!B656&lt;&gt;"",'Data Source'!S656="F"),COUNTIF('Data Source'!$S$3:S656,"F"),"")</f>
        <v/>
      </c>
      <c r="B656">
        <f>IF(AND('Data Source'!B656&lt;&gt;"",'Data Source'!S656="F"),'Data Source'!B656,"")</f>
        <v/>
      </c>
      <c r="C656" s="3">
        <f>IF(AND('Data Source'!B656&lt;&gt;"",'Data Source'!S656="F"),IF('Data Source'!U656&gt;=5,"A+",IF('Data Source'!U656&gt;=4,"A",IF('Data Source'!U656&gt;=3.5,"A-",IF('Data Source'!U656&gt;=3,"B",IF('Data Source'!U656&gt;=2,"C",IF('Data Source'!U656&gt;=1,"D","F")))))),"")</f>
        <v/>
      </c>
      <c r="D656" s="3">
        <f>IF(AND('Data Source'!B656&lt;&gt;"",'Data Source'!S656="F"),IF('Data Source'!V656&gt;=5,"A+",IF('Data Source'!V656&gt;=4,"A",IF('Data Source'!V656&gt;=3.5,"A-",IF('Data Source'!V656&gt;=3,"B",IF('Data Source'!V656&gt;=2,"C",IF('Data Source'!V656&gt;=1,"D","F")))))),"")</f>
        <v/>
      </c>
      <c r="E656" s="3">
        <f>IF(AND('Data Source'!B656&lt;&gt;"",'Data Source'!S656="F"),IF('Data Source'!W656&gt;=5,"A+",IF('Data Source'!W656&gt;=4,"A",IF('Data Source'!W656&gt;=3.5,"A-",IF('Data Source'!W656&gt;=3,"B",IF('Data Source'!W656&gt;=2,"C",IF('Data Source'!W656&gt;=1,"D","F")))))),"")</f>
        <v/>
      </c>
      <c r="F656" s="3">
        <f>IF(AND('Data Source'!B656&lt;&gt;"",'Data Source'!S656="F"),IF('Data Source'!X656&gt;=5,"A+",IF('Data Source'!X656&gt;=4,"A",IF('Data Source'!X656&gt;=3.5,"A-",IF('Data Source'!X656&gt;=3,"B",IF('Data Source'!X656&gt;=2,"C",IF('Data Source'!X656&gt;=1,"D","F")))))),"")</f>
        <v/>
      </c>
      <c r="G656" s="3">
        <f>IF(AND('Data Source'!B656&lt;&gt;"",'Data Source'!S656="F"),IF('Data Source'!Y656&gt;=5,"A+",IF('Data Source'!Y656&gt;=4,"A",IF('Data Source'!Y656&gt;=3.5,"A-",IF('Data Source'!Y656&gt;=3,"B",IF('Data Source'!Y656&gt;=2,"C",IF('Data Source'!Y656&gt;=1,"D","F")))))),"")</f>
        <v/>
      </c>
      <c r="H656" s="3">
        <f>IF(AND('Data Source'!B656&lt;&gt;"",'Data Source'!S656="F"),IF('Data Source'!Z656&gt;=5,"A+",IF('Data Source'!Z656&gt;=4,"A",IF('Data Source'!Z656&gt;=3.5,"A-",IF('Data Source'!Z656&gt;=3,"B",IF('Data Source'!Z656&gt;=2,"C",IF('Data Source'!Z656&gt;=1,"D","F")))))),"")</f>
        <v/>
      </c>
      <c r="I656" s="3">
        <f>IF(AND('Data Source'!B656&lt;&gt;"",'Data Source'!S656="F"),IF('Data Source'!AA656&gt;=5,"A+",IF('Data Source'!AA656&gt;=4,"A",IF('Data Source'!AA656&gt;=3.5,"A-",IF('Data Source'!AA656&gt;=3,"B",IF('Data Source'!AA656&gt;=2,"C",IF('Data Source'!AA656&gt;=1,"D","F")))))),"")</f>
        <v/>
      </c>
      <c r="J656" s="3">
        <f>IF(AND('Data Source'!B656&lt;&gt;"",'Data Source'!S656="F"),IF('Data Source'!AB656&gt;=5,"A+",IF('Data Source'!AB656&gt;=4,"A",IF('Data Source'!AB656&gt;=3.5,"A-",IF('Data Source'!AB656&gt;=3,"B",IF('Data Source'!AB656&gt;=2,"C",IF('Data Source'!AB656&gt;=1,"D","F")))))),"")</f>
        <v/>
      </c>
      <c r="K656" s="3">
        <f>IF(AND('Data Source'!B656&lt;&gt;"",'Data Source'!S656="F"),IF('Data Source'!AC656&gt;=5,"A+",IF('Data Source'!AC656&gt;=4,"A",IF('Data Source'!AC656&gt;=3.5,"A-",IF('Data Source'!AC656&gt;=3,"B",IF('Data Source'!AC656&gt;=2,"C",IF('Data Source'!AC656&gt;=1,"D","F")))))),"")</f>
        <v/>
      </c>
      <c r="L656" s="3">
        <f>IF(AND('Data Source'!B656&lt;&gt;"",'Data Source'!S656="F"),IF('Data Source'!AD656&gt;=5,"A+",IF('Data Source'!AD656&gt;=4,"A",IF('Data Source'!AD656&gt;=3.5,"A-",IF('Data Source'!AD656&gt;=3,"B",IF('Data Source'!AD656&gt;=2,"C",IF('Data Source'!AD656&gt;=1,"D","F")))))),"")</f>
        <v/>
      </c>
      <c r="M656" s="3">
        <f>IF(AND('Data Source'!B656&lt;&gt;"",'Data Source'!S656="F"),IF('Data Source'!AE656&gt;=5,"A+",IF('Data Source'!AE656&gt;=4,"A",IF('Data Source'!AE656&gt;=3.5,"A-",IF('Data Source'!AE656&gt;=3,"B",IF('Data Source'!AE656&gt;=2,"C",IF('Data Source'!AE656&gt;=1,"D","F")))))),"")</f>
        <v/>
      </c>
      <c r="N656" s="3">
        <f>IF(AND('Data Source'!B656&lt;&gt;"",'Data Source'!S656="F"),IF('Data Source'!AF656&gt;=5,"A+",IF('Data Source'!AF656&gt;=4,"A",IF('Data Source'!AF656&gt;=3.5,"A-",IF('Data Source'!AF656&gt;=3,"B",IF('Data Source'!AF656&gt;=2,"C",IF('Data Source'!AF656&gt;=1,"D","F")))))),"")</f>
        <v/>
      </c>
      <c r="O656" s="3">
        <f>IF(AND('Data Source'!B656&lt;&gt;"",'Data Source'!S656="F"),IF('Data Source'!AG656&gt;=5,"A+",IF('Data Source'!AG656&gt;=4,"A",IF('Data Source'!AG656&gt;=3.5,"A-",IF('Data Source'!AG656&gt;=3,"B",IF('Data Source'!AG656&gt;=2,"C",IF('Data Source'!AG656&gt;=1,"D","F")))))),"")</f>
        <v/>
      </c>
      <c r="P656" s="5">
        <f>IF(AND('Data Source'!B656&lt;&gt;"",'Data Source'!S656="F"),'Data Source'!R656,"")</f>
        <v/>
      </c>
      <c r="Q656" s="3">
        <f>IF(AND('Data Source'!B656&lt;&gt;"",'Data Source'!S656="F"),'Data Source'!S656,"")</f>
        <v/>
      </c>
    </row>
    <row r="657">
      <c r="A657" s="3">
        <f>IF(AND('Data Source'!B657&lt;&gt;"",'Data Source'!S657="F"),COUNTIF('Data Source'!$S$3:S657,"F"),"")</f>
        <v/>
      </c>
      <c r="B657">
        <f>IF(AND('Data Source'!B657&lt;&gt;"",'Data Source'!S657="F"),'Data Source'!B657,"")</f>
        <v/>
      </c>
      <c r="C657" s="3">
        <f>IF(AND('Data Source'!B657&lt;&gt;"",'Data Source'!S657="F"),IF('Data Source'!U657&gt;=5,"A+",IF('Data Source'!U657&gt;=4,"A",IF('Data Source'!U657&gt;=3.5,"A-",IF('Data Source'!U657&gt;=3,"B",IF('Data Source'!U657&gt;=2,"C",IF('Data Source'!U657&gt;=1,"D","F")))))),"")</f>
        <v/>
      </c>
      <c r="D657" s="3">
        <f>IF(AND('Data Source'!B657&lt;&gt;"",'Data Source'!S657="F"),IF('Data Source'!V657&gt;=5,"A+",IF('Data Source'!V657&gt;=4,"A",IF('Data Source'!V657&gt;=3.5,"A-",IF('Data Source'!V657&gt;=3,"B",IF('Data Source'!V657&gt;=2,"C",IF('Data Source'!V657&gt;=1,"D","F")))))),"")</f>
        <v/>
      </c>
      <c r="E657" s="3">
        <f>IF(AND('Data Source'!B657&lt;&gt;"",'Data Source'!S657="F"),IF('Data Source'!W657&gt;=5,"A+",IF('Data Source'!W657&gt;=4,"A",IF('Data Source'!W657&gt;=3.5,"A-",IF('Data Source'!W657&gt;=3,"B",IF('Data Source'!W657&gt;=2,"C",IF('Data Source'!W657&gt;=1,"D","F")))))),"")</f>
        <v/>
      </c>
      <c r="F657" s="3">
        <f>IF(AND('Data Source'!B657&lt;&gt;"",'Data Source'!S657="F"),IF('Data Source'!X657&gt;=5,"A+",IF('Data Source'!X657&gt;=4,"A",IF('Data Source'!X657&gt;=3.5,"A-",IF('Data Source'!X657&gt;=3,"B",IF('Data Source'!X657&gt;=2,"C",IF('Data Source'!X657&gt;=1,"D","F")))))),"")</f>
        <v/>
      </c>
      <c r="G657" s="3">
        <f>IF(AND('Data Source'!B657&lt;&gt;"",'Data Source'!S657="F"),IF('Data Source'!Y657&gt;=5,"A+",IF('Data Source'!Y657&gt;=4,"A",IF('Data Source'!Y657&gt;=3.5,"A-",IF('Data Source'!Y657&gt;=3,"B",IF('Data Source'!Y657&gt;=2,"C",IF('Data Source'!Y657&gt;=1,"D","F")))))),"")</f>
        <v/>
      </c>
      <c r="H657" s="3">
        <f>IF(AND('Data Source'!B657&lt;&gt;"",'Data Source'!S657="F"),IF('Data Source'!Z657&gt;=5,"A+",IF('Data Source'!Z657&gt;=4,"A",IF('Data Source'!Z657&gt;=3.5,"A-",IF('Data Source'!Z657&gt;=3,"B",IF('Data Source'!Z657&gt;=2,"C",IF('Data Source'!Z657&gt;=1,"D","F")))))),"")</f>
        <v/>
      </c>
      <c r="I657" s="3">
        <f>IF(AND('Data Source'!B657&lt;&gt;"",'Data Source'!S657="F"),IF('Data Source'!AA657&gt;=5,"A+",IF('Data Source'!AA657&gt;=4,"A",IF('Data Source'!AA657&gt;=3.5,"A-",IF('Data Source'!AA657&gt;=3,"B",IF('Data Source'!AA657&gt;=2,"C",IF('Data Source'!AA657&gt;=1,"D","F")))))),"")</f>
        <v/>
      </c>
      <c r="J657" s="3">
        <f>IF(AND('Data Source'!B657&lt;&gt;"",'Data Source'!S657="F"),IF('Data Source'!AB657&gt;=5,"A+",IF('Data Source'!AB657&gt;=4,"A",IF('Data Source'!AB657&gt;=3.5,"A-",IF('Data Source'!AB657&gt;=3,"B",IF('Data Source'!AB657&gt;=2,"C",IF('Data Source'!AB657&gt;=1,"D","F")))))),"")</f>
        <v/>
      </c>
      <c r="K657" s="3">
        <f>IF(AND('Data Source'!B657&lt;&gt;"",'Data Source'!S657="F"),IF('Data Source'!AC657&gt;=5,"A+",IF('Data Source'!AC657&gt;=4,"A",IF('Data Source'!AC657&gt;=3.5,"A-",IF('Data Source'!AC657&gt;=3,"B",IF('Data Source'!AC657&gt;=2,"C",IF('Data Source'!AC657&gt;=1,"D","F")))))),"")</f>
        <v/>
      </c>
      <c r="L657" s="3">
        <f>IF(AND('Data Source'!B657&lt;&gt;"",'Data Source'!S657="F"),IF('Data Source'!AD657&gt;=5,"A+",IF('Data Source'!AD657&gt;=4,"A",IF('Data Source'!AD657&gt;=3.5,"A-",IF('Data Source'!AD657&gt;=3,"B",IF('Data Source'!AD657&gt;=2,"C",IF('Data Source'!AD657&gt;=1,"D","F")))))),"")</f>
        <v/>
      </c>
      <c r="M657" s="3">
        <f>IF(AND('Data Source'!B657&lt;&gt;"",'Data Source'!S657="F"),IF('Data Source'!AE657&gt;=5,"A+",IF('Data Source'!AE657&gt;=4,"A",IF('Data Source'!AE657&gt;=3.5,"A-",IF('Data Source'!AE657&gt;=3,"B",IF('Data Source'!AE657&gt;=2,"C",IF('Data Source'!AE657&gt;=1,"D","F")))))),"")</f>
        <v/>
      </c>
      <c r="N657" s="3">
        <f>IF(AND('Data Source'!B657&lt;&gt;"",'Data Source'!S657="F"),IF('Data Source'!AF657&gt;=5,"A+",IF('Data Source'!AF657&gt;=4,"A",IF('Data Source'!AF657&gt;=3.5,"A-",IF('Data Source'!AF657&gt;=3,"B",IF('Data Source'!AF657&gt;=2,"C",IF('Data Source'!AF657&gt;=1,"D","F")))))),"")</f>
        <v/>
      </c>
      <c r="O657" s="3">
        <f>IF(AND('Data Source'!B657&lt;&gt;"",'Data Source'!S657="F"),IF('Data Source'!AG657&gt;=5,"A+",IF('Data Source'!AG657&gt;=4,"A",IF('Data Source'!AG657&gt;=3.5,"A-",IF('Data Source'!AG657&gt;=3,"B",IF('Data Source'!AG657&gt;=2,"C",IF('Data Source'!AG657&gt;=1,"D","F")))))),"")</f>
        <v/>
      </c>
      <c r="P657" s="5">
        <f>IF(AND('Data Source'!B657&lt;&gt;"",'Data Source'!S657="F"),'Data Source'!R657,"")</f>
        <v/>
      </c>
      <c r="Q657" s="3">
        <f>IF(AND('Data Source'!B657&lt;&gt;"",'Data Source'!S657="F"),'Data Source'!S657,"")</f>
        <v/>
      </c>
    </row>
    <row r="658">
      <c r="A658" s="3">
        <f>IF(AND('Data Source'!B658&lt;&gt;"",'Data Source'!S658="F"),COUNTIF('Data Source'!$S$3:S658,"F"),"")</f>
        <v/>
      </c>
      <c r="B658">
        <f>IF(AND('Data Source'!B658&lt;&gt;"",'Data Source'!S658="F"),'Data Source'!B658,"")</f>
        <v/>
      </c>
      <c r="C658" s="3">
        <f>IF(AND('Data Source'!B658&lt;&gt;"",'Data Source'!S658="F"),IF('Data Source'!U658&gt;=5,"A+",IF('Data Source'!U658&gt;=4,"A",IF('Data Source'!U658&gt;=3.5,"A-",IF('Data Source'!U658&gt;=3,"B",IF('Data Source'!U658&gt;=2,"C",IF('Data Source'!U658&gt;=1,"D","F")))))),"")</f>
        <v/>
      </c>
      <c r="D658" s="3">
        <f>IF(AND('Data Source'!B658&lt;&gt;"",'Data Source'!S658="F"),IF('Data Source'!V658&gt;=5,"A+",IF('Data Source'!V658&gt;=4,"A",IF('Data Source'!V658&gt;=3.5,"A-",IF('Data Source'!V658&gt;=3,"B",IF('Data Source'!V658&gt;=2,"C",IF('Data Source'!V658&gt;=1,"D","F")))))),"")</f>
        <v/>
      </c>
      <c r="E658" s="3">
        <f>IF(AND('Data Source'!B658&lt;&gt;"",'Data Source'!S658="F"),IF('Data Source'!W658&gt;=5,"A+",IF('Data Source'!W658&gt;=4,"A",IF('Data Source'!W658&gt;=3.5,"A-",IF('Data Source'!W658&gt;=3,"B",IF('Data Source'!W658&gt;=2,"C",IF('Data Source'!W658&gt;=1,"D","F")))))),"")</f>
        <v/>
      </c>
      <c r="F658" s="3">
        <f>IF(AND('Data Source'!B658&lt;&gt;"",'Data Source'!S658="F"),IF('Data Source'!X658&gt;=5,"A+",IF('Data Source'!X658&gt;=4,"A",IF('Data Source'!X658&gt;=3.5,"A-",IF('Data Source'!X658&gt;=3,"B",IF('Data Source'!X658&gt;=2,"C",IF('Data Source'!X658&gt;=1,"D","F")))))),"")</f>
        <v/>
      </c>
      <c r="G658" s="3">
        <f>IF(AND('Data Source'!B658&lt;&gt;"",'Data Source'!S658="F"),IF('Data Source'!Y658&gt;=5,"A+",IF('Data Source'!Y658&gt;=4,"A",IF('Data Source'!Y658&gt;=3.5,"A-",IF('Data Source'!Y658&gt;=3,"B",IF('Data Source'!Y658&gt;=2,"C",IF('Data Source'!Y658&gt;=1,"D","F")))))),"")</f>
        <v/>
      </c>
      <c r="H658" s="3">
        <f>IF(AND('Data Source'!B658&lt;&gt;"",'Data Source'!S658="F"),IF('Data Source'!Z658&gt;=5,"A+",IF('Data Source'!Z658&gt;=4,"A",IF('Data Source'!Z658&gt;=3.5,"A-",IF('Data Source'!Z658&gt;=3,"B",IF('Data Source'!Z658&gt;=2,"C",IF('Data Source'!Z658&gt;=1,"D","F")))))),"")</f>
        <v/>
      </c>
      <c r="I658" s="3">
        <f>IF(AND('Data Source'!B658&lt;&gt;"",'Data Source'!S658="F"),IF('Data Source'!AA658&gt;=5,"A+",IF('Data Source'!AA658&gt;=4,"A",IF('Data Source'!AA658&gt;=3.5,"A-",IF('Data Source'!AA658&gt;=3,"B",IF('Data Source'!AA658&gt;=2,"C",IF('Data Source'!AA658&gt;=1,"D","F")))))),"")</f>
        <v/>
      </c>
      <c r="J658" s="3">
        <f>IF(AND('Data Source'!B658&lt;&gt;"",'Data Source'!S658="F"),IF('Data Source'!AB658&gt;=5,"A+",IF('Data Source'!AB658&gt;=4,"A",IF('Data Source'!AB658&gt;=3.5,"A-",IF('Data Source'!AB658&gt;=3,"B",IF('Data Source'!AB658&gt;=2,"C",IF('Data Source'!AB658&gt;=1,"D","F")))))),"")</f>
        <v/>
      </c>
      <c r="K658" s="3">
        <f>IF(AND('Data Source'!B658&lt;&gt;"",'Data Source'!S658="F"),IF('Data Source'!AC658&gt;=5,"A+",IF('Data Source'!AC658&gt;=4,"A",IF('Data Source'!AC658&gt;=3.5,"A-",IF('Data Source'!AC658&gt;=3,"B",IF('Data Source'!AC658&gt;=2,"C",IF('Data Source'!AC658&gt;=1,"D","F")))))),"")</f>
        <v/>
      </c>
      <c r="L658" s="3">
        <f>IF(AND('Data Source'!B658&lt;&gt;"",'Data Source'!S658="F"),IF('Data Source'!AD658&gt;=5,"A+",IF('Data Source'!AD658&gt;=4,"A",IF('Data Source'!AD658&gt;=3.5,"A-",IF('Data Source'!AD658&gt;=3,"B",IF('Data Source'!AD658&gt;=2,"C",IF('Data Source'!AD658&gt;=1,"D","F")))))),"")</f>
        <v/>
      </c>
      <c r="M658" s="3">
        <f>IF(AND('Data Source'!B658&lt;&gt;"",'Data Source'!S658="F"),IF('Data Source'!AE658&gt;=5,"A+",IF('Data Source'!AE658&gt;=4,"A",IF('Data Source'!AE658&gt;=3.5,"A-",IF('Data Source'!AE658&gt;=3,"B",IF('Data Source'!AE658&gt;=2,"C",IF('Data Source'!AE658&gt;=1,"D","F")))))),"")</f>
        <v/>
      </c>
      <c r="N658" s="3">
        <f>IF(AND('Data Source'!B658&lt;&gt;"",'Data Source'!S658="F"),IF('Data Source'!AF658&gt;=5,"A+",IF('Data Source'!AF658&gt;=4,"A",IF('Data Source'!AF658&gt;=3.5,"A-",IF('Data Source'!AF658&gt;=3,"B",IF('Data Source'!AF658&gt;=2,"C",IF('Data Source'!AF658&gt;=1,"D","F")))))),"")</f>
        <v/>
      </c>
      <c r="O658" s="3">
        <f>IF(AND('Data Source'!B658&lt;&gt;"",'Data Source'!S658="F"),IF('Data Source'!AG658&gt;=5,"A+",IF('Data Source'!AG658&gt;=4,"A",IF('Data Source'!AG658&gt;=3.5,"A-",IF('Data Source'!AG658&gt;=3,"B",IF('Data Source'!AG658&gt;=2,"C",IF('Data Source'!AG658&gt;=1,"D","F")))))),"")</f>
        <v/>
      </c>
      <c r="P658" s="5">
        <f>IF(AND('Data Source'!B658&lt;&gt;"",'Data Source'!S658="F"),'Data Source'!R658,"")</f>
        <v/>
      </c>
      <c r="Q658" s="3">
        <f>IF(AND('Data Source'!B658&lt;&gt;"",'Data Source'!S658="F"),'Data Source'!S658,"")</f>
        <v/>
      </c>
    </row>
    <row r="659">
      <c r="A659" s="3">
        <f>IF(AND('Data Source'!B659&lt;&gt;"",'Data Source'!S659="F"),COUNTIF('Data Source'!$S$3:S659,"F"),"")</f>
        <v/>
      </c>
      <c r="B659">
        <f>IF(AND('Data Source'!B659&lt;&gt;"",'Data Source'!S659="F"),'Data Source'!B659,"")</f>
        <v/>
      </c>
      <c r="C659" s="3">
        <f>IF(AND('Data Source'!B659&lt;&gt;"",'Data Source'!S659="F"),IF('Data Source'!U659&gt;=5,"A+",IF('Data Source'!U659&gt;=4,"A",IF('Data Source'!U659&gt;=3.5,"A-",IF('Data Source'!U659&gt;=3,"B",IF('Data Source'!U659&gt;=2,"C",IF('Data Source'!U659&gt;=1,"D","F")))))),"")</f>
        <v/>
      </c>
      <c r="D659" s="3">
        <f>IF(AND('Data Source'!B659&lt;&gt;"",'Data Source'!S659="F"),IF('Data Source'!V659&gt;=5,"A+",IF('Data Source'!V659&gt;=4,"A",IF('Data Source'!V659&gt;=3.5,"A-",IF('Data Source'!V659&gt;=3,"B",IF('Data Source'!V659&gt;=2,"C",IF('Data Source'!V659&gt;=1,"D","F")))))),"")</f>
        <v/>
      </c>
      <c r="E659" s="3">
        <f>IF(AND('Data Source'!B659&lt;&gt;"",'Data Source'!S659="F"),IF('Data Source'!W659&gt;=5,"A+",IF('Data Source'!W659&gt;=4,"A",IF('Data Source'!W659&gt;=3.5,"A-",IF('Data Source'!W659&gt;=3,"B",IF('Data Source'!W659&gt;=2,"C",IF('Data Source'!W659&gt;=1,"D","F")))))),"")</f>
        <v/>
      </c>
      <c r="F659" s="3">
        <f>IF(AND('Data Source'!B659&lt;&gt;"",'Data Source'!S659="F"),IF('Data Source'!X659&gt;=5,"A+",IF('Data Source'!X659&gt;=4,"A",IF('Data Source'!X659&gt;=3.5,"A-",IF('Data Source'!X659&gt;=3,"B",IF('Data Source'!X659&gt;=2,"C",IF('Data Source'!X659&gt;=1,"D","F")))))),"")</f>
        <v/>
      </c>
      <c r="G659" s="3">
        <f>IF(AND('Data Source'!B659&lt;&gt;"",'Data Source'!S659="F"),IF('Data Source'!Y659&gt;=5,"A+",IF('Data Source'!Y659&gt;=4,"A",IF('Data Source'!Y659&gt;=3.5,"A-",IF('Data Source'!Y659&gt;=3,"B",IF('Data Source'!Y659&gt;=2,"C",IF('Data Source'!Y659&gt;=1,"D","F")))))),"")</f>
        <v/>
      </c>
      <c r="H659" s="3">
        <f>IF(AND('Data Source'!B659&lt;&gt;"",'Data Source'!S659="F"),IF('Data Source'!Z659&gt;=5,"A+",IF('Data Source'!Z659&gt;=4,"A",IF('Data Source'!Z659&gt;=3.5,"A-",IF('Data Source'!Z659&gt;=3,"B",IF('Data Source'!Z659&gt;=2,"C",IF('Data Source'!Z659&gt;=1,"D","F")))))),"")</f>
        <v/>
      </c>
      <c r="I659" s="3">
        <f>IF(AND('Data Source'!B659&lt;&gt;"",'Data Source'!S659="F"),IF('Data Source'!AA659&gt;=5,"A+",IF('Data Source'!AA659&gt;=4,"A",IF('Data Source'!AA659&gt;=3.5,"A-",IF('Data Source'!AA659&gt;=3,"B",IF('Data Source'!AA659&gt;=2,"C",IF('Data Source'!AA659&gt;=1,"D","F")))))),"")</f>
        <v/>
      </c>
      <c r="J659" s="3">
        <f>IF(AND('Data Source'!B659&lt;&gt;"",'Data Source'!S659="F"),IF('Data Source'!AB659&gt;=5,"A+",IF('Data Source'!AB659&gt;=4,"A",IF('Data Source'!AB659&gt;=3.5,"A-",IF('Data Source'!AB659&gt;=3,"B",IF('Data Source'!AB659&gt;=2,"C",IF('Data Source'!AB659&gt;=1,"D","F")))))),"")</f>
        <v/>
      </c>
      <c r="K659" s="3">
        <f>IF(AND('Data Source'!B659&lt;&gt;"",'Data Source'!S659="F"),IF('Data Source'!AC659&gt;=5,"A+",IF('Data Source'!AC659&gt;=4,"A",IF('Data Source'!AC659&gt;=3.5,"A-",IF('Data Source'!AC659&gt;=3,"B",IF('Data Source'!AC659&gt;=2,"C",IF('Data Source'!AC659&gt;=1,"D","F")))))),"")</f>
        <v/>
      </c>
      <c r="L659" s="3">
        <f>IF(AND('Data Source'!B659&lt;&gt;"",'Data Source'!S659="F"),IF('Data Source'!AD659&gt;=5,"A+",IF('Data Source'!AD659&gt;=4,"A",IF('Data Source'!AD659&gt;=3.5,"A-",IF('Data Source'!AD659&gt;=3,"B",IF('Data Source'!AD659&gt;=2,"C",IF('Data Source'!AD659&gt;=1,"D","F")))))),"")</f>
        <v/>
      </c>
      <c r="M659" s="3">
        <f>IF(AND('Data Source'!B659&lt;&gt;"",'Data Source'!S659="F"),IF('Data Source'!AE659&gt;=5,"A+",IF('Data Source'!AE659&gt;=4,"A",IF('Data Source'!AE659&gt;=3.5,"A-",IF('Data Source'!AE659&gt;=3,"B",IF('Data Source'!AE659&gt;=2,"C",IF('Data Source'!AE659&gt;=1,"D","F")))))),"")</f>
        <v/>
      </c>
      <c r="N659" s="3">
        <f>IF(AND('Data Source'!B659&lt;&gt;"",'Data Source'!S659="F"),IF('Data Source'!AF659&gt;=5,"A+",IF('Data Source'!AF659&gt;=4,"A",IF('Data Source'!AF659&gt;=3.5,"A-",IF('Data Source'!AF659&gt;=3,"B",IF('Data Source'!AF659&gt;=2,"C",IF('Data Source'!AF659&gt;=1,"D","F")))))),"")</f>
        <v/>
      </c>
      <c r="O659" s="3">
        <f>IF(AND('Data Source'!B659&lt;&gt;"",'Data Source'!S659="F"),IF('Data Source'!AG659&gt;=5,"A+",IF('Data Source'!AG659&gt;=4,"A",IF('Data Source'!AG659&gt;=3.5,"A-",IF('Data Source'!AG659&gt;=3,"B",IF('Data Source'!AG659&gt;=2,"C",IF('Data Source'!AG659&gt;=1,"D","F")))))),"")</f>
        <v/>
      </c>
      <c r="P659" s="5">
        <f>IF(AND('Data Source'!B659&lt;&gt;"",'Data Source'!S659="F"),'Data Source'!R659,"")</f>
        <v/>
      </c>
      <c r="Q659" s="3">
        <f>IF(AND('Data Source'!B659&lt;&gt;"",'Data Source'!S659="F"),'Data Source'!S659,"")</f>
        <v/>
      </c>
    </row>
    <row r="660">
      <c r="A660" s="3">
        <f>IF(AND('Data Source'!B660&lt;&gt;"",'Data Source'!S660="F"),COUNTIF('Data Source'!$S$3:S660,"F"),"")</f>
        <v/>
      </c>
      <c r="B660">
        <f>IF(AND('Data Source'!B660&lt;&gt;"",'Data Source'!S660="F"),'Data Source'!B660,"")</f>
        <v/>
      </c>
      <c r="C660" s="3">
        <f>IF(AND('Data Source'!B660&lt;&gt;"",'Data Source'!S660="F"),IF('Data Source'!U660&gt;=5,"A+",IF('Data Source'!U660&gt;=4,"A",IF('Data Source'!U660&gt;=3.5,"A-",IF('Data Source'!U660&gt;=3,"B",IF('Data Source'!U660&gt;=2,"C",IF('Data Source'!U660&gt;=1,"D","F")))))),"")</f>
        <v/>
      </c>
      <c r="D660" s="3">
        <f>IF(AND('Data Source'!B660&lt;&gt;"",'Data Source'!S660="F"),IF('Data Source'!V660&gt;=5,"A+",IF('Data Source'!V660&gt;=4,"A",IF('Data Source'!V660&gt;=3.5,"A-",IF('Data Source'!V660&gt;=3,"B",IF('Data Source'!V660&gt;=2,"C",IF('Data Source'!V660&gt;=1,"D","F")))))),"")</f>
        <v/>
      </c>
      <c r="E660" s="3">
        <f>IF(AND('Data Source'!B660&lt;&gt;"",'Data Source'!S660="F"),IF('Data Source'!W660&gt;=5,"A+",IF('Data Source'!W660&gt;=4,"A",IF('Data Source'!W660&gt;=3.5,"A-",IF('Data Source'!W660&gt;=3,"B",IF('Data Source'!W660&gt;=2,"C",IF('Data Source'!W660&gt;=1,"D","F")))))),"")</f>
        <v/>
      </c>
      <c r="F660" s="3">
        <f>IF(AND('Data Source'!B660&lt;&gt;"",'Data Source'!S660="F"),IF('Data Source'!X660&gt;=5,"A+",IF('Data Source'!X660&gt;=4,"A",IF('Data Source'!X660&gt;=3.5,"A-",IF('Data Source'!X660&gt;=3,"B",IF('Data Source'!X660&gt;=2,"C",IF('Data Source'!X660&gt;=1,"D","F")))))),"")</f>
        <v/>
      </c>
      <c r="G660" s="3">
        <f>IF(AND('Data Source'!B660&lt;&gt;"",'Data Source'!S660="F"),IF('Data Source'!Y660&gt;=5,"A+",IF('Data Source'!Y660&gt;=4,"A",IF('Data Source'!Y660&gt;=3.5,"A-",IF('Data Source'!Y660&gt;=3,"B",IF('Data Source'!Y660&gt;=2,"C",IF('Data Source'!Y660&gt;=1,"D","F")))))),"")</f>
        <v/>
      </c>
      <c r="H660" s="3">
        <f>IF(AND('Data Source'!B660&lt;&gt;"",'Data Source'!S660="F"),IF('Data Source'!Z660&gt;=5,"A+",IF('Data Source'!Z660&gt;=4,"A",IF('Data Source'!Z660&gt;=3.5,"A-",IF('Data Source'!Z660&gt;=3,"B",IF('Data Source'!Z660&gt;=2,"C",IF('Data Source'!Z660&gt;=1,"D","F")))))),"")</f>
        <v/>
      </c>
      <c r="I660" s="3">
        <f>IF(AND('Data Source'!B660&lt;&gt;"",'Data Source'!S660="F"),IF('Data Source'!AA660&gt;=5,"A+",IF('Data Source'!AA660&gt;=4,"A",IF('Data Source'!AA660&gt;=3.5,"A-",IF('Data Source'!AA660&gt;=3,"B",IF('Data Source'!AA660&gt;=2,"C",IF('Data Source'!AA660&gt;=1,"D","F")))))),"")</f>
        <v/>
      </c>
      <c r="J660" s="3">
        <f>IF(AND('Data Source'!B660&lt;&gt;"",'Data Source'!S660="F"),IF('Data Source'!AB660&gt;=5,"A+",IF('Data Source'!AB660&gt;=4,"A",IF('Data Source'!AB660&gt;=3.5,"A-",IF('Data Source'!AB660&gt;=3,"B",IF('Data Source'!AB660&gt;=2,"C",IF('Data Source'!AB660&gt;=1,"D","F")))))),"")</f>
        <v/>
      </c>
      <c r="K660" s="3">
        <f>IF(AND('Data Source'!B660&lt;&gt;"",'Data Source'!S660="F"),IF('Data Source'!AC660&gt;=5,"A+",IF('Data Source'!AC660&gt;=4,"A",IF('Data Source'!AC660&gt;=3.5,"A-",IF('Data Source'!AC660&gt;=3,"B",IF('Data Source'!AC660&gt;=2,"C",IF('Data Source'!AC660&gt;=1,"D","F")))))),"")</f>
        <v/>
      </c>
      <c r="L660" s="3">
        <f>IF(AND('Data Source'!B660&lt;&gt;"",'Data Source'!S660="F"),IF('Data Source'!AD660&gt;=5,"A+",IF('Data Source'!AD660&gt;=4,"A",IF('Data Source'!AD660&gt;=3.5,"A-",IF('Data Source'!AD660&gt;=3,"B",IF('Data Source'!AD660&gt;=2,"C",IF('Data Source'!AD660&gt;=1,"D","F")))))),"")</f>
        <v/>
      </c>
      <c r="M660" s="3">
        <f>IF(AND('Data Source'!B660&lt;&gt;"",'Data Source'!S660="F"),IF('Data Source'!AE660&gt;=5,"A+",IF('Data Source'!AE660&gt;=4,"A",IF('Data Source'!AE660&gt;=3.5,"A-",IF('Data Source'!AE660&gt;=3,"B",IF('Data Source'!AE660&gt;=2,"C",IF('Data Source'!AE660&gt;=1,"D","F")))))),"")</f>
        <v/>
      </c>
      <c r="N660" s="3">
        <f>IF(AND('Data Source'!B660&lt;&gt;"",'Data Source'!S660="F"),IF('Data Source'!AF660&gt;=5,"A+",IF('Data Source'!AF660&gt;=4,"A",IF('Data Source'!AF660&gt;=3.5,"A-",IF('Data Source'!AF660&gt;=3,"B",IF('Data Source'!AF660&gt;=2,"C",IF('Data Source'!AF660&gt;=1,"D","F")))))),"")</f>
        <v/>
      </c>
      <c r="O660" s="3">
        <f>IF(AND('Data Source'!B660&lt;&gt;"",'Data Source'!S660="F"),IF('Data Source'!AG660&gt;=5,"A+",IF('Data Source'!AG660&gt;=4,"A",IF('Data Source'!AG660&gt;=3.5,"A-",IF('Data Source'!AG660&gt;=3,"B",IF('Data Source'!AG660&gt;=2,"C",IF('Data Source'!AG660&gt;=1,"D","F")))))),"")</f>
        <v/>
      </c>
      <c r="P660" s="5">
        <f>IF(AND('Data Source'!B660&lt;&gt;"",'Data Source'!S660="F"),'Data Source'!R660,"")</f>
        <v/>
      </c>
      <c r="Q660" s="3">
        <f>IF(AND('Data Source'!B660&lt;&gt;"",'Data Source'!S660="F"),'Data Source'!S660,"")</f>
        <v/>
      </c>
    </row>
    <row r="661">
      <c r="A661" s="3">
        <f>IF(AND('Data Source'!B661&lt;&gt;"",'Data Source'!S661="F"),COUNTIF('Data Source'!$S$3:S661,"F"),"")</f>
        <v/>
      </c>
      <c r="B661">
        <f>IF(AND('Data Source'!B661&lt;&gt;"",'Data Source'!S661="F"),'Data Source'!B661,"")</f>
        <v/>
      </c>
      <c r="C661" s="3">
        <f>IF(AND('Data Source'!B661&lt;&gt;"",'Data Source'!S661="F"),IF('Data Source'!U661&gt;=5,"A+",IF('Data Source'!U661&gt;=4,"A",IF('Data Source'!U661&gt;=3.5,"A-",IF('Data Source'!U661&gt;=3,"B",IF('Data Source'!U661&gt;=2,"C",IF('Data Source'!U661&gt;=1,"D","F")))))),"")</f>
        <v/>
      </c>
      <c r="D661" s="3">
        <f>IF(AND('Data Source'!B661&lt;&gt;"",'Data Source'!S661="F"),IF('Data Source'!V661&gt;=5,"A+",IF('Data Source'!V661&gt;=4,"A",IF('Data Source'!V661&gt;=3.5,"A-",IF('Data Source'!V661&gt;=3,"B",IF('Data Source'!V661&gt;=2,"C",IF('Data Source'!V661&gt;=1,"D","F")))))),"")</f>
        <v/>
      </c>
      <c r="E661" s="3">
        <f>IF(AND('Data Source'!B661&lt;&gt;"",'Data Source'!S661="F"),IF('Data Source'!W661&gt;=5,"A+",IF('Data Source'!W661&gt;=4,"A",IF('Data Source'!W661&gt;=3.5,"A-",IF('Data Source'!W661&gt;=3,"B",IF('Data Source'!W661&gt;=2,"C",IF('Data Source'!W661&gt;=1,"D","F")))))),"")</f>
        <v/>
      </c>
      <c r="F661" s="3">
        <f>IF(AND('Data Source'!B661&lt;&gt;"",'Data Source'!S661="F"),IF('Data Source'!X661&gt;=5,"A+",IF('Data Source'!X661&gt;=4,"A",IF('Data Source'!X661&gt;=3.5,"A-",IF('Data Source'!X661&gt;=3,"B",IF('Data Source'!X661&gt;=2,"C",IF('Data Source'!X661&gt;=1,"D","F")))))),"")</f>
        <v/>
      </c>
      <c r="G661" s="3">
        <f>IF(AND('Data Source'!B661&lt;&gt;"",'Data Source'!S661="F"),IF('Data Source'!Y661&gt;=5,"A+",IF('Data Source'!Y661&gt;=4,"A",IF('Data Source'!Y661&gt;=3.5,"A-",IF('Data Source'!Y661&gt;=3,"B",IF('Data Source'!Y661&gt;=2,"C",IF('Data Source'!Y661&gt;=1,"D","F")))))),"")</f>
        <v/>
      </c>
      <c r="H661" s="3">
        <f>IF(AND('Data Source'!B661&lt;&gt;"",'Data Source'!S661="F"),IF('Data Source'!Z661&gt;=5,"A+",IF('Data Source'!Z661&gt;=4,"A",IF('Data Source'!Z661&gt;=3.5,"A-",IF('Data Source'!Z661&gt;=3,"B",IF('Data Source'!Z661&gt;=2,"C",IF('Data Source'!Z661&gt;=1,"D","F")))))),"")</f>
        <v/>
      </c>
      <c r="I661" s="3">
        <f>IF(AND('Data Source'!B661&lt;&gt;"",'Data Source'!S661="F"),IF('Data Source'!AA661&gt;=5,"A+",IF('Data Source'!AA661&gt;=4,"A",IF('Data Source'!AA661&gt;=3.5,"A-",IF('Data Source'!AA661&gt;=3,"B",IF('Data Source'!AA661&gt;=2,"C",IF('Data Source'!AA661&gt;=1,"D","F")))))),"")</f>
        <v/>
      </c>
      <c r="J661" s="3">
        <f>IF(AND('Data Source'!B661&lt;&gt;"",'Data Source'!S661="F"),IF('Data Source'!AB661&gt;=5,"A+",IF('Data Source'!AB661&gt;=4,"A",IF('Data Source'!AB661&gt;=3.5,"A-",IF('Data Source'!AB661&gt;=3,"B",IF('Data Source'!AB661&gt;=2,"C",IF('Data Source'!AB661&gt;=1,"D","F")))))),"")</f>
        <v/>
      </c>
      <c r="K661" s="3">
        <f>IF(AND('Data Source'!B661&lt;&gt;"",'Data Source'!S661="F"),IF('Data Source'!AC661&gt;=5,"A+",IF('Data Source'!AC661&gt;=4,"A",IF('Data Source'!AC661&gt;=3.5,"A-",IF('Data Source'!AC661&gt;=3,"B",IF('Data Source'!AC661&gt;=2,"C",IF('Data Source'!AC661&gt;=1,"D","F")))))),"")</f>
        <v/>
      </c>
      <c r="L661" s="3">
        <f>IF(AND('Data Source'!B661&lt;&gt;"",'Data Source'!S661="F"),IF('Data Source'!AD661&gt;=5,"A+",IF('Data Source'!AD661&gt;=4,"A",IF('Data Source'!AD661&gt;=3.5,"A-",IF('Data Source'!AD661&gt;=3,"B",IF('Data Source'!AD661&gt;=2,"C",IF('Data Source'!AD661&gt;=1,"D","F")))))),"")</f>
        <v/>
      </c>
      <c r="M661" s="3">
        <f>IF(AND('Data Source'!B661&lt;&gt;"",'Data Source'!S661="F"),IF('Data Source'!AE661&gt;=5,"A+",IF('Data Source'!AE661&gt;=4,"A",IF('Data Source'!AE661&gt;=3.5,"A-",IF('Data Source'!AE661&gt;=3,"B",IF('Data Source'!AE661&gt;=2,"C",IF('Data Source'!AE661&gt;=1,"D","F")))))),"")</f>
        <v/>
      </c>
      <c r="N661" s="3">
        <f>IF(AND('Data Source'!B661&lt;&gt;"",'Data Source'!S661="F"),IF('Data Source'!AF661&gt;=5,"A+",IF('Data Source'!AF661&gt;=4,"A",IF('Data Source'!AF661&gt;=3.5,"A-",IF('Data Source'!AF661&gt;=3,"B",IF('Data Source'!AF661&gt;=2,"C",IF('Data Source'!AF661&gt;=1,"D","F")))))),"")</f>
        <v/>
      </c>
      <c r="O661" s="3">
        <f>IF(AND('Data Source'!B661&lt;&gt;"",'Data Source'!S661="F"),IF('Data Source'!AG661&gt;=5,"A+",IF('Data Source'!AG661&gt;=4,"A",IF('Data Source'!AG661&gt;=3.5,"A-",IF('Data Source'!AG661&gt;=3,"B",IF('Data Source'!AG661&gt;=2,"C",IF('Data Source'!AG661&gt;=1,"D","F")))))),"")</f>
        <v/>
      </c>
      <c r="P661" s="5">
        <f>IF(AND('Data Source'!B661&lt;&gt;"",'Data Source'!S661="F"),'Data Source'!R661,"")</f>
        <v/>
      </c>
      <c r="Q661" s="3">
        <f>IF(AND('Data Source'!B661&lt;&gt;"",'Data Source'!S661="F"),'Data Source'!S661,"")</f>
        <v/>
      </c>
    </row>
    <row r="662">
      <c r="A662" s="3">
        <f>IF(AND('Data Source'!B662&lt;&gt;"",'Data Source'!S662="F"),COUNTIF('Data Source'!$S$3:S662,"F"),"")</f>
        <v/>
      </c>
      <c r="B662">
        <f>IF(AND('Data Source'!B662&lt;&gt;"",'Data Source'!S662="F"),'Data Source'!B662,"")</f>
        <v/>
      </c>
      <c r="C662" s="3">
        <f>IF(AND('Data Source'!B662&lt;&gt;"",'Data Source'!S662="F"),IF('Data Source'!U662&gt;=5,"A+",IF('Data Source'!U662&gt;=4,"A",IF('Data Source'!U662&gt;=3.5,"A-",IF('Data Source'!U662&gt;=3,"B",IF('Data Source'!U662&gt;=2,"C",IF('Data Source'!U662&gt;=1,"D","F")))))),"")</f>
        <v/>
      </c>
      <c r="D662" s="3">
        <f>IF(AND('Data Source'!B662&lt;&gt;"",'Data Source'!S662="F"),IF('Data Source'!V662&gt;=5,"A+",IF('Data Source'!V662&gt;=4,"A",IF('Data Source'!V662&gt;=3.5,"A-",IF('Data Source'!V662&gt;=3,"B",IF('Data Source'!V662&gt;=2,"C",IF('Data Source'!V662&gt;=1,"D","F")))))),"")</f>
        <v/>
      </c>
      <c r="E662" s="3">
        <f>IF(AND('Data Source'!B662&lt;&gt;"",'Data Source'!S662="F"),IF('Data Source'!W662&gt;=5,"A+",IF('Data Source'!W662&gt;=4,"A",IF('Data Source'!W662&gt;=3.5,"A-",IF('Data Source'!W662&gt;=3,"B",IF('Data Source'!W662&gt;=2,"C",IF('Data Source'!W662&gt;=1,"D","F")))))),"")</f>
        <v/>
      </c>
      <c r="F662" s="3">
        <f>IF(AND('Data Source'!B662&lt;&gt;"",'Data Source'!S662="F"),IF('Data Source'!X662&gt;=5,"A+",IF('Data Source'!X662&gt;=4,"A",IF('Data Source'!X662&gt;=3.5,"A-",IF('Data Source'!X662&gt;=3,"B",IF('Data Source'!X662&gt;=2,"C",IF('Data Source'!X662&gt;=1,"D","F")))))),"")</f>
        <v/>
      </c>
      <c r="G662" s="3">
        <f>IF(AND('Data Source'!B662&lt;&gt;"",'Data Source'!S662="F"),IF('Data Source'!Y662&gt;=5,"A+",IF('Data Source'!Y662&gt;=4,"A",IF('Data Source'!Y662&gt;=3.5,"A-",IF('Data Source'!Y662&gt;=3,"B",IF('Data Source'!Y662&gt;=2,"C",IF('Data Source'!Y662&gt;=1,"D","F")))))),"")</f>
        <v/>
      </c>
      <c r="H662" s="3">
        <f>IF(AND('Data Source'!B662&lt;&gt;"",'Data Source'!S662="F"),IF('Data Source'!Z662&gt;=5,"A+",IF('Data Source'!Z662&gt;=4,"A",IF('Data Source'!Z662&gt;=3.5,"A-",IF('Data Source'!Z662&gt;=3,"B",IF('Data Source'!Z662&gt;=2,"C",IF('Data Source'!Z662&gt;=1,"D","F")))))),"")</f>
        <v/>
      </c>
      <c r="I662" s="3">
        <f>IF(AND('Data Source'!B662&lt;&gt;"",'Data Source'!S662="F"),IF('Data Source'!AA662&gt;=5,"A+",IF('Data Source'!AA662&gt;=4,"A",IF('Data Source'!AA662&gt;=3.5,"A-",IF('Data Source'!AA662&gt;=3,"B",IF('Data Source'!AA662&gt;=2,"C",IF('Data Source'!AA662&gt;=1,"D","F")))))),"")</f>
        <v/>
      </c>
      <c r="J662" s="3">
        <f>IF(AND('Data Source'!B662&lt;&gt;"",'Data Source'!S662="F"),IF('Data Source'!AB662&gt;=5,"A+",IF('Data Source'!AB662&gt;=4,"A",IF('Data Source'!AB662&gt;=3.5,"A-",IF('Data Source'!AB662&gt;=3,"B",IF('Data Source'!AB662&gt;=2,"C",IF('Data Source'!AB662&gt;=1,"D","F")))))),"")</f>
        <v/>
      </c>
      <c r="K662" s="3">
        <f>IF(AND('Data Source'!B662&lt;&gt;"",'Data Source'!S662="F"),IF('Data Source'!AC662&gt;=5,"A+",IF('Data Source'!AC662&gt;=4,"A",IF('Data Source'!AC662&gt;=3.5,"A-",IF('Data Source'!AC662&gt;=3,"B",IF('Data Source'!AC662&gt;=2,"C",IF('Data Source'!AC662&gt;=1,"D","F")))))),"")</f>
        <v/>
      </c>
      <c r="L662" s="3">
        <f>IF(AND('Data Source'!B662&lt;&gt;"",'Data Source'!S662="F"),IF('Data Source'!AD662&gt;=5,"A+",IF('Data Source'!AD662&gt;=4,"A",IF('Data Source'!AD662&gt;=3.5,"A-",IF('Data Source'!AD662&gt;=3,"B",IF('Data Source'!AD662&gt;=2,"C",IF('Data Source'!AD662&gt;=1,"D","F")))))),"")</f>
        <v/>
      </c>
      <c r="M662" s="3">
        <f>IF(AND('Data Source'!B662&lt;&gt;"",'Data Source'!S662="F"),IF('Data Source'!AE662&gt;=5,"A+",IF('Data Source'!AE662&gt;=4,"A",IF('Data Source'!AE662&gt;=3.5,"A-",IF('Data Source'!AE662&gt;=3,"B",IF('Data Source'!AE662&gt;=2,"C",IF('Data Source'!AE662&gt;=1,"D","F")))))),"")</f>
        <v/>
      </c>
      <c r="N662" s="3">
        <f>IF(AND('Data Source'!B662&lt;&gt;"",'Data Source'!S662="F"),IF('Data Source'!AF662&gt;=5,"A+",IF('Data Source'!AF662&gt;=4,"A",IF('Data Source'!AF662&gt;=3.5,"A-",IF('Data Source'!AF662&gt;=3,"B",IF('Data Source'!AF662&gt;=2,"C",IF('Data Source'!AF662&gt;=1,"D","F")))))),"")</f>
        <v/>
      </c>
      <c r="O662" s="3">
        <f>IF(AND('Data Source'!B662&lt;&gt;"",'Data Source'!S662="F"),IF('Data Source'!AG662&gt;=5,"A+",IF('Data Source'!AG662&gt;=4,"A",IF('Data Source'!AG662&gt;=3.5,"A-",IF('Data Source'!AG662&gt;=3,"B",IF('Data Source'!AG662&gt;=2,"C",IF('Data Source'!AG662&gt;=1,"D","F")))))),"")</f>
        <v/>
      </c>
      <c r="P662" s="5">
        <f>IF(AND('Data Source'!B662&lt;&gt;"",'Data Source'!S662="F"),'Data Source'!R662,"")</f>
        <v/>
      </c>
      <c r="Q662" s="3">
        <f>IF(AND('Data Source'!B662&lt;&gt;"",'Data Source'!S662="F"),'Data Source'!S662,"")</f>
        <v/>
      </c>
    </row>
    <row r="663">
      <c r="A663" s="3">
        <f>IF(AND('Data Source'!B663&lt;&gt;"",'Data Source'!S663="F"),COUNTIF('Data Source'!$S$3:S663,"F"),"")</f>
        <v/>
      </c>
      <c r="B663">
        <f>IF(AND('Data Source'!B663&lt;&gt;"",'Data Source'!S663="F"),'Data Source'!B663,"")</f>
        <v/>
      </c>
      <c r="C663" s="3">
        <f>IF(AND('Data Source'!B663&lt;&gt;"",'Data Source'!S663="F"),IF('Data Source'!U663&gt;=5,"A+",IF('Data Source'!U663&gt;=4,"A",IF('Data Source'!U663&gt;=3.5,"A-",IF('Data Source'!U663&gt;=3,"B",IF('Data Source'!U663&gt;=2,"C",IF('Data Source'!U663&gt;=1,"D","F")))))),"")</f>
        <v/>
      </c>
      <c r="D663" s="3">
        <f>IF(AND('Data Source'!B663&lt;&gt;"",'Data Source'!S663="F"),IF('Data Source'!V663&gt;=5,"A+",IF('Data Source'!V663&gt;=4,"A",IF('Data Source'!V663&gt;=3.5,"A-",IF('Data Source'!V663&gt;=3,"B",IF('Data Source'!V663&gt;=2,"C",IF('Data Source'!V663&gt;=1,"D","F")))))),"")</f>
        <v/>
      </c>
      <c r="E663" s="3">
        <f>IF(AND('Data Source'!B663&lt;&gt;"",'Data Source'!S663="F"),IF('Data Source'!W663&gt;=5,"A+",IF('Data Source'!W663&gt;=4,"A",IF('Data Source'!W663&gt;=3.5,"A-",IF('Data Source'!W663&gt;=3,"B",IF('Data Source'!W663&gt;=2,"C",IF('Data Source'!W663&gt;=1,"D","F")))))),"")</f>
        <v/>
      </c>
      <c r="F663" s="3">
        <f>IF(AND('Data Source'!B663&lt;&gt;"",'Data Source'!S663="F"),IF('Data Source'!X663&gt;=5,"A+",IF('Data Source'!X663&gt;=4,"A",IF('Data Source'!X663&gt;=3.5,"A-",IF('Data Source'!X663&gt;=3,"B",IF('Data Source'!X663&gt;=2,"C",IF('Data Source'!X663&gt;=1,"D","F")))))),"")</f>
        <v/>
      </c>
      <c r="G663" s="3">
        <f>IF(AND('Data Source'!B663&lt;&gt;"",'Data Source'!S663="F"),IF('Data Source'!Y663&gt;=5,"A+",IF('Data Source'!Y663&gt;=4,"A",IF('Data Source'!Y663&gt;=3.5,"A-",IF('Data Source'!Y663&gt;=3,"B",IF('Data Source'!Y663&gt;=2,"C",IF('Data Source'!Y663&gt;=1,"D","F")))))),"")</f>
        <v/>
      </c>
      <c r="H663" s="3">
        <f>IF(AND('Data Source'!B663&lt;&gt;"",'Data Source'!S663="F"),IF('Data Source'!Z663&gt;=5,"A+",IF('Data Source'!Z663&gt;=4,"A",IF('Data Source'!Z663&gt;=3.5,"A-",IF('Data Source'!Z663&gt;=3,"B",IF('Data Source'!Z663&gt;=2,"C",IF('Data Source'!Z663&gt;=1,"D","F")))))),"")</f>
        <v/>
      </c>
      <c r="I663" s="3">
        <f>IF(AND('Data Source'!B663&lt;&gt;"",'Data Source'!S663="F"),IF('Data Source'!AA663&gt;=5,"A+",IF('Data Source'!AA663&gt;=4,"A",IF('Data Source'!AA663&gt;=3.5,"A-",IF('Data Source'!AA663&gt;=3,"B",IF('Data Source'!AA663&gt;=2,"C",IF('Data Source'!AA663&gt;=1,"D","F")))))),"")</f>
        <v/>
      </c>
      <c r="J663" s="3">
        <f>IF(AND('Data Source'!B663&lt;&gt;"",'Data Source'!S663="F"),IF('Data Source'!AB663&gt;=5,"A+",IF('Data Source'!AB663&gt;=4,"A",IF('Data Source'!AB663&gt;=3.5,"A-",IF('Data Source'!AB663&gt;=3,"B",IF('Data Source'!AB663&gt;=2,"C",IF('Data Source'!AB663&gt;=1,"D","F")))))),"")</f>
        <v/>
      </c>
      <c r="K663" s="3">
        <f>IF(AND('Data Source'!B663&lt;&gt;"",'Data Source'!S663="F"),IF('Data Source'!AC663&gt;=5,"A+",IF('Data Source'!AC663&gt;=4,"A",IF('Data Source'!AC663&gt;=3.5,"A-",IF('Data Source'!AC663&gt;=3,"B",IF('Data Source'!AC663&gt;=2,"C",IF('Data Source'!AC663&gt;=1,"D","F")))))),"")</f>
        <v/>
      </c>
      <c r="L663" s="3">
        <f>IF(AND('Data Source'!B663&lt;&gt;"",'Data Source'!S663="F"),IF('Data Source'!AD663&gt;=5,"A+",IF('Data Source'!AD663&gt;=4,"A",IF('Data Source'!AD663&gt;=3.5,"A-",IF('Data Source'!AD663&gt;=3,"B",IF('Data Source'!AD663&gt;=2,"C",IF('Data Source'!AD663&gt;=1,"D","F")))))),"")</f>
        <v/>
      </c>
      <c r="M663" s="3">
        <f>IF(AND('Data Source'!B663&lt;&gt;"",'Data Source'!S663="F"),IF('Data Source'!AE663&gt;=5,"A+",IF('Data Source'!AE663&gt;=4,"A",IF('Data Source'!AE663&gt;=3.5,"A-",IF('Data Source'!AE663&gt;=3,"B",IF('Data Source'!AE663&gt;=2,"C",IF('Data Source'!AE663&gt;=1,"D","F")))))),"")</f>
        <v/>
      </c>
      <c r="N663" s="3">
        <f>IF(AND('Data Source'!B663&lt;&gt;"",'Data Source'!S663="F"),IF('Data Source'!AF663&gt;=5,"A+",IF('Data Source'!AF663&gt;=4,"A",IF('Data Source'!AF663&gt;=3.5,"A-",IF('Data Source'!AF663&gt;=3,"B",IF('Data Source'!AF663&gt;=2,"C",IF('Data Source'!AF663&gt;=1,"D","F")))))),"")</f>
        <v/>
      </c>
      <c r="O663" s="3">
        <f>IF(AND('Data Source'!B663&lt;&gt;"",'Data Source'!S663="F"),IF('Data Source'!AG663&gt;=5,"A+",IF('Data Source'!AG663&gt;=4,"A",IF('Data Source'!AG663&gt;=3.5,"A-",IF('Data Source'!AG663&gt;=3,"B",IF('Data Source'!AG663&gt;=2,"C",IF('Data Source'!AG663&gt;=1,"D","F")))))),"")</f>
        <v/>
      </c>
      <c r="P663" s="5">
        <f>IF(AND('Data Source'!B663&lt;&gt;"",'Data Source'!S663="F"),'Data Source'!R663,"")</f>
        <v/>
      </c>
      <c r="Q663" s="3">
        <f>IF(AND('Data Source'!B663&lt;&gt;"",'Data Source'!S663="F"),'Data Source'!S663,"")</f>
        <v/>
      </c>
    </row>
    <row r="664">
      <c r="A664" s="3">
        <f>IF(AND('Data Source'!B664&lt;&gt;"",'Data Source'!S664="F"),COUNTIF('Data Source'!$S$3:S664,"F"),"")</f>
        <v/>
      </c>
      <c r="B664">
        <f>IF(AND('Data Source'!B664&lt;&gt;"",'Data Source'!S664="F"),'Data Source'!B664,"")</f>
        <v/>
      </c>
      <c r="C664" s="3">
        <f>IF(AND('Data Source'!B664&lt;&gt;"",'Data Source'!S664="F"),IF('Data Source'!U664&gt;=5,"A+",IF('Data Source'!U664&gt;=4,"A",IF('Data Source'!U664&gt;=3.5,"A-",IF('Data Source'!U664&gt;=3,"B",IF('Data Source'!U664&gt;=2,"C",IF('Data Source'!U664&gt;=1,"D","F")))))),"")</f>
        <v/>
      </c>
      <c r="D664" s="3">
        <f>IF(AND('Data Source'!B664&lt;&gt;"",'Data Source'!S664="F"),IF('Data Source'!V664&gt;=5,"A+",IF('Data Source'!V664&gt;=4,"A",IF('Data Source'!V664&gt;=3.5,"A-",IF('Data Source'!V664&gt;=3,"B",IF('Data Source'!V664&gt;=2,"C",IF('Data Source'!V664&gt;=1,"D","F")))))),"")</f>
        <v/>
      </c>
      <c r="E664" s="3">
        <f>IF(AND('Data Source'!B664&lt;&gt;"",'Data Source'!S664="F"),IF('Data Source'!W664&gt;=5,"A+",IF('Data Source'!W664&gt;=4,"A",IF('Data Source'!W664&gt;=3.5,"A-",IF('Data Source'!W664&gt;=3,"B",IF('Data Source'!W664&gt;=2,"C",IF('Data Source'!W664&gt;=1,"D","F")))))),"")</f>
        <v/>
      </c>
      <c r="F664" s="3">
        <f>IF(AND('Data Source'!B664&lt;&gt;"",'Data Source'!S664="F"),IF('Data Source'!X664&gt;=5,"A+",IF('Data Source'!X664&gt;=4,"A",IF('Data Source'!X664&gt;=3.5,"A-",IF('Data Source'!X664&gt;=3,"B",IF('Data Source'!X664&gt;=2,"C",IF('Data Source'!X664&gt;=1,"D","F")))))),"")</f>
        <v/>
      </c>
      <c r="G664" s="3">
        <f>IF(AND('Data Source'!B664&lt;&gt;"",'Data Source'!S664="F"),IF('Data Source'!Y664&gt;=5,"A+",IF('Data Source'!Y664&gt;=4,"A",IF('Data Source'!Y664&gt;=3.5,"A-",IF('Data Source'!Y664&gt;=3,"B",IF('Data Source'!Y664&gt;=2,"C",IF('Data Source'!Y664&gt;=1,"D","F")))))),"")</f>
        <v/>
      </c>
      <c r="H664" s="3">
        <f>IF(AND('Data Source'!B664&lt;&gt;"",'Data Source'!S664="F"),IF('Data Source'!Z664&gt;=5,"A+",IF('Data Source'!Z664&gt;=4,"A",IF('Data Source'!Z664&gt;=3.5,"A-",IF('Data Source'!Z664&gt;=3,"B",IF('Data Source'!Z664&gt;=2,"C",IF('Data Source'!Z664&gt;=1,"D","F")))))),"")</f>
        <v/>
      </c>
      <c r="I664" s="3">
        <f>IF(AND('Data Source'!B664&lt;&gt;"",'Data Source'!S664="F"),IF('Data Source'!AA664&gt;=5,"A+",IF('Data Source'!AA664&gt;=4,"A",IF('Data Source'!AA664&gt;=3.5,"A-",IF('Data Source'!AA664&gt;=3,"B",IF('Data Source'!AA664&gt;=2,"C",IF('Data Source'!AA664&gt;=1,"D","F")))))),"")</f>
        <v/>
      </c>
      <c r="J664" s="3">
        <f>IF(AND('Data Source'!B664&lt;&gt;"",'Data Source'!S664="F"),IF('Data Source'!AB664&gt;=5,"A+",IF('Data Source'!AB664&gt;=4,"A",IF('Data Source'!AB664&gt;=3.5,"A-",IF('Data Source'!AB664&gt;=3,"B",IF('Data Source'!AB664&gt;=2,"C",IF('Data Source'!AB664&gt;=1,"D","F")))))),"")</f>
        <v/>
      </c>
      <c r="K664" s="3">
        <f>IF(AND('Data Source'!B664&lt;&gt;"",'Data Source'!S664="F"),IF('Data Source'!AC664&gt;=5,"A+",IF('Data Source'!AC664&gt;=4,"A",IF('Data Source'!AC664&gt;=3.5,"A-",IF('Data Source'!AC664&gt;=3,"B",IF('Data Source'!AC664&gt;=2,"C",IF('Data Source'!AC664&gt;=1,"D","F")))))),"")</f>
        <v/>
      </c>
      <c r="L664" s="3">
        <f>IF(AND('Data Source'!B664&lt;&gt;"",'Data Source'!S664="F"),IF('Data Source'!AD664&gt;=5,"A+",IF('Data Source'!AD664&gt;=4,"A",IF('Data Source'!AD664&gt;=3.5,"A-",IF('Data Source'!AD664&gt;=3,"B",IF('Data Source'!AD664&gt;=2,"C",IF('Data Source'!AD664&gt;=1,"D","F")))))),"")</f>
        <v/>
      </c>
      <c r="M664" s="3">
        <f>IF(AND('Data Source'!B664&lt;&gt;"",'Data Source'!S664="F"),IF('Data Source'!AE664&gt;=5,"A+",IF('Data Source'!AE664&gt;=4,"A",IF('Data Source'!AE664&gt;=3.5,"A-",IF('Data Source'!AE664&gt;=3,"B",IF('Data Source'!AE664&gt;=2,"C",IF('Data Source'!AE664&gt;=1,"D","F")))))),"")</f>
        <v/>
      </c>
      <c r="N664" s="3">
        <f>IF(AND('Data Source'!B664&lt;&gt;"",'Data Source'!S664="F"),IF('Data Source'!AF664&gt;=5,"A+",IF('Data Source'!AF664&gt;=4,"A",IF('Data Source'!AF664&gt;=3.5,"A-",IF('Data Source'!AF664&gt;=3,"B",IF('Data Source'!AF664&gt;=2,"C",IF('Data Source'!AF664&gt;=1,"D","F")))))),"")</f>
        <v/>
      </c>
      <c r="O664" s="3">
        <f>IF(AND('Data Source'!B664&lt;&gt;"",'Data Source'!S664="F"),IF('Data Source'!AG664&gt;=5,"A+",IF('Data Source'!AG664&gt;=4,"A",IF('Data Source'!AG664&gt;=3.5,"A-",IF('Data Source'!AG664&gt;=3,"B",IF('Data Source'!AG664&gt;=2,"C",IF('Data Source'!AG664&gt;=1,"D","F")))))),"")</f>
        <v/>
      </c>
      <c r="P664" s="5">
        <f>IF(AND('Data Source'!B664&lt;&gt;"",'Data Source'!S664="F"),'Data Source'!R664,"")</f>
        <v/>
      </c>
      <c r="Q664" s="3">
        <f>IF(AND('Data Source'!B664&lt;&gt;"",'Data Source'!S664="F"),'Data Source'!S664,"")</f>
        <v/>
      </c>
    </row>
    <row r="665">
      <c r="A665" s="3">
        <f>IF(AND('Data Source'!B665&lt;&gt;"",'Data Source'!S665="F"),COUNTIF('Data Source'!$S$3:S665,"F"),"")</f>
        <v/>
      </c>
      <c r="B665">
        <f>IF(AND('Data Source'!B665&lt;&gt;"",'Data Source'!S665="F"),'Data Source'!B665,"")</f>
        <v/>
      </c>
      <c r="C665" s="3">
        <f>IF(AND('Data Source'!B665&lt;&gt;"",'Data Source'!S665="F"),IF('Data Source'!U665&gt;=5,"A+",IF('Data Source'!U665&gt;=4,"A",IF('Data Source'!U665&gt;=3.5,"A-",IF('Data Source'!U665&gt;=3,"B",IF('Data Source'!U665&gt;=2,"C",IF('Data Source'!U665&gt;=1,"D","F")))))),"")</f>
        <v/>
      </c>
      <c r="D665" s="3">
        <f>IF(AND('Data Source'!B665&lt;&gt;"",'Data Source'!S665="F"),IF('Data Source'!V665&gt;=5,"A+",IF('Data Source'!V665&gt;=4,"A",IF('Data Source'!V665&gt;=3.5,"A-",IF('Data Source'!V665&gt;=3,"B",IF('Data Source'!V665&gt;=2,"C",IF('Data Source'!V665&gt;=1,"D","F")))))),"")</f>
        <v/>
      </c>
      <c r="E665" s="3">
        <f>IF(AND('Data Source'!B665&lt;&gt;"",'Data Source'!S665="F"),IF('Data Source'!W665&gt;=5,"A+",IF('Data Source'!W665&gt;=4,"A",IF('Data Source'!W665&gt;=3.5,"A-",IF('Data Source'!W665&gt;=3,"B",IF('Data Source'!W665&gt;=2,"C",IF('Data Source'!W665&gt;=1,"D","F")))))),"")</f>
        <v/>
      </c>
      <c r="F665" s="3">
        <f>IF(AND('Data Source'!B665&lt;&gt;"",'Data Source'!S665="F"),IF('Data Source'!X665&gt;=5,"A+",IF('Data Source'!X665&gt;=4,"A",IF('Data Source'!X665&gt;=3.5,"A-",IF('Data Source'!X665&gt;=3,"B",IF('Data Source'!X665&gt;=2,"C",IF('Data Source'!X665&gt;=1,"D","F")))))),"")</f>
        <v/>
      </c>
      <c r="G665" s="3">
        <f>IF(AND('Data Source'!B665&lt;&gt;"",'Data Source'!S665="F"),IF('Data Source'!Y665&gt;=5,"A+",IF('Data Source'!Y665&gt;=4,"A",IF('Data Source'!Y665&gt;=3.5,"A-",IF('Data Source'!Y665&gt;=3,"B",IF('Data Source'!Y665&gt;=2,"C",IF('Data Source'!Y665&gt;=1,"D","F")))))),"")</f>
        <v/>
      </c>
      <c r="H665" s="3">
        <f>IF(AND('Data Source'!B665&lt;&gt;"",'Data Source'!S665="F"),IF('Data Source'!Z665&gt;=5,"A+",IF('Data Source'!Z665&gt;=4,"A",IF('Data Source'!Z665&gt;=3.5,"A-",IF('Data Source'!Z665&gt;=3,"B",IF('Data Source'!Z665&gt;=2,"C",IF('Data Source'!Z665&gt;=1,"D","F")))))),"")</f>
        <v/>
      </c>
      <c r="I665" s="3">
        <f>IF(AND('Data Source'!B665&lt;&gt;"",'Data Source'!S665="F"),IF('Data Source'!AA665&gt;=5,"A+",IF('Data Source'!AA665&gt;=4,"A",IF('Data Source'!AA665&gt;=3.5,"A-",IF('Data Source'!AA665&gt;=3,"B",IF('Data Source'!AA665&gt;=2,"C",IF('Data Source'!AA665&gt;=1,"D","F")))))),"")</f>
        <v/>
      </c>
      <c r="J665" s="3">
        <f>IF(AND('Data Source'!B665&lt;&gt;"",'Data Source'!S665="F"),IF('Data Source'!AB665&gt;=5,"A+",IF('Data Source'!AB665&gt;=4,"A",IF('Data Source'!AB665&gt;=3.5,"A-",IF('Data Source'!AB665&gt;=3,"B",IF('Data Source'!AB665&gt;=2,"C",IF('Data Source'!AB665&gt;=1,"D","F")))))),"")</f>
        <v/>
      </c>
      <c r="K665" s="3">
        <f>IF(AND('Data Source'!B665&lt;&gt;"",'Data Source'!S665="F"),IF('Data Source'!AC665&gt;=5,"A+",IF('Data Source'!AC665&gt;=4,"A",IF('Data Source'!AC665&gt;=3.5,"A-",IF('Data Source'!AC665&gt;=3,"B",IF('Data Source'!AC665&gt;=2,"C",IF('Data Source'!AC665&gt;=1,"D","F")))))),"")</f>
        <v/>
      </c>
      <c r="L665" s="3">
        <f>IF(AND('Data Source'!B665&lt;&gt;"",'Data Source'!S665="F"),IF('Data Source'!AD665&gt;=5,"A+",IF('Data Source'!AD665&gt;=4,"A",IF('Data Source'!AD665&gt;=3.5,"A-",IF('Data Source'!AD665&gt;=3,"B",IF('Data Source'!AD665&gt;=2,"C",IF('Data Source'!AD665&gt;=1,"D","F")))))),"")</f>
        <v/>
      </c>
      <c r="M665" s="3">
        <f>IF(AND('Data Source'!B665&lt;&gt;"",'Data Source'!S665="F"),IF('Data Source'!AE665&gt;=5,"A+",IF('Data Source'!AE665&gt;=4,"A",IF('Data Source'!AE665&gt;=3.5,"A-",IF('Data Source'!AE665&gt;=3,"B",IF('Data Source'!AE665&gt;=2,"C",IF('Data Source'!AE665&gt;=1,"D","F")))))),"")</f>
        <v/>
      </c>
      <c r="N665" s="3">
        <f>IF(AND('Data Source'!B665&lt;&gt;"",'Data Source'!S665="F"),IF('Data Source'!AF665&gt;=5,"A+",IF('Data Source'!AF665&gt;=4,"A",IF('Data Source'!AF665&gt;=3.5,"A-",IF('Data Source'!AF665&gt;=3,"B",IF('Data Source'!AF665&gt;=2,"C",IF('Data Source'!AF665&gt;=1,"D","F")))))),"")</f>
        <v/>
      </c>
      <c r="O665" s="3">
        <f>IF(AND('Data Source'!B665&lt;&gt;"",'Data Source'!S665="F"),IF('Data Source'!AG665&gt;=5,"A+",IF('Data Source'!AG665&gt;=4,"A",IF('Data Source'!AG665&gt;=3.5,"A-",IF('Data Source'!AG665&gt;=3,"B",IF('Data Source'!AG665&gt;=2,"C",IF('Data Source'!AG665&gt;=1,"D","F")))))),"")</f>
        <v/>
      </c>
      <c r="P665" s="5">
        <f>IF(AND('Data Source'!B665&lt;&gt;"",'Data Source'!S665="F"),'Data Source'!R665,"")</f>
        <v/>
      </c>
      <c r="Q665" s="3">
        <f>IF(AND('Data Source'!B665&lt;&gt;"",'Data Source'!S665="F"),'Data Source'!S665,"")</f>
        <v/>
      </c>
    </row>
    <row r="666">
      <c r="A666" s="3">
        <f>IF(AND('Data Source'!B666&lt;&gt;"",'Data Source'!S666="F"),COUNTIF('Data Source'!$S$3:S666,"F"),"")</f>
        <v/>
      </c>
      <c r="B666">
        <f>IF(AND('Data Source'!B666&lt;&gt;"",'Data Source'!S666="F"),'Data Source'!B666,"")</f>
        <v/>
      </c>
      <c r="C666" s="3">
        <f>IF(AND('Data Source'!B666&lt;&gt;"",'Data Source'!S666="F"),IF('Data Source'!U666&gt;=5,"A+",IF('Data Source'!U666&gt;=4,"A",IF('Data Source'!U666&gt;=3.5,"A-",IF('Data Source'!U666&gt;=3,"B",IF('Data Source'!U666&gt;=2,"C",IF('Data Source'!U666&gt;=1,"D","F")))))),"")</f>
        <v/>
      </c>
      <c r="D666" s="3">
        <f>IF(AND('Data Source'!B666&lt;&gt;"",'Data Source'!S666="F"),IF('Data Source'!V666&gt;=5,"A+",IF('Data Source'!V666&gt;=4,"A",IF('Data Source'!V666&gt;=3.5,"A-",IF('Data Source'!V666&gt;=3,"B",IF('Data Source'!V666&gt;=2,"C",IF('Data Source'!V666&gt;=1,"D","F")))))),"")</f>
        <v/>
      </c>
      <c r="E666" s="3">
        <f>IF(AND('Data Source'!B666&lt;&gt;"",'Data Source'!S666="F"),IF('Data Source'!W666&gt;=5,"A+",IF('Data Source'!W666&gt;=4,"A",IF('Data Source'!W666&gt;=3.5,"A-",IF('Data Source'!W666&gt;=3,"B",IF('Data Source'!W666&gt;=2,"C",IF('Data Source'!W666&gt;=1,"D","F")))))),"")</f>
        <v/>
      </c>
      <c r="F666" s="3">
        <f>IF(AND('Data Source'!B666&lt;&gt;"",'Data Source'!S666="F"),IF('Data Source'!X666&gt;=5,"A+",IF('Data Source'!X666&gt;=4,"A",IF('Data Source'!X666&gt;=3.5,"A-",IF('Data Source'!X666&gt;=3,"B",IF('Data Source'!X666&gt;=2,"C",IF('Data Source'!X666&gt;=1,"D","F")))))),"")</f>
        <v/>
      </c>
      <c r="G666" s="3">
        <f>IF(AND('Data Source'!B666&lt;&gt;"",'Data Source'!S666="F"),IF('Data Source'!Y666&gt;=5,"A+",IF('Data Source'!Y666&gt;=4,"A",IF('Data Source'!Y666&gt;=3.5,"A-",IF('Data Source'!Y666&gt;=3,"B",IF('Data Source'!Y666&gt;=2,"C",IF('Data Source'!Y666&gt;=1,"D","F")))))),"")</f>
        <v/>
      </c>
      <c r="H666" s="3">
        <f>IF(AND('Data Source'!B666&lt;&gt;"",'Data Source'!S666="F"),IF('Data Source'!Z666&gt;=5,"A+",IF('Data Source'!Z666&gt;=4,"A",IF('Data Source'!Z666&gt;=3.5,"A-",IF('Data Source'!Z666&gt;=3,"B",IF('Data Source'!Z666&gt;=2,"C",IF('Data Source'!Z666&gt;=1,"D","F")))))),"")</f>
        <v/>
      </c>
      <c r="I666" s="3">
        <f>IF(AND('Data Source'!B666&lt;&gt;"",'Data Source'!S666="F"),IF('Data Source'!AA666&gt;=5,"A+",IF('Data Source'!AA666&gt;=4,"A",IF('Data Source'!AA666&gt;=3.5,"A-",IF('Data Source'!AA666&gt;=3,"B",IF('Data Source'!AA666&gt;=2,"C",IF('Data Source'!AA666&gt;=1,"D","F")))))),"")</f>
        <v/>
      </c>
      <c r="J666" s="3">
        <f>IF(AND('Data Source'!B666&lt;&gt;"",'Data Source'!S666="F"),IF('Data Source'!AB666&gt;=5,"A+",IF('Data Source'!AB666&gt;=4,"A",IF('Data Source'!AB666&gt;=3.5,"A-",IF('Data Source'!AB666&gt;=3,"B",IF('Data Source'!AB666&gt;=2,"C",IF('Data Source'!AB666&gt;=1,"D","F")))))),"")</f>
        <v/>
      </c>
      <c r="K666" s="3">
        <f>IF(AND('Data Source'!B666&lt;&gt;"",'Data Source'!S666="F"),IF('Data Source'!AC666&gt;=5,"A+",IF('Data Source'!AC666&gt;=4,"A",IF('Data Source'!AC666&gt;=3.5,"A-",IF('Data Source'!AC666&gt;=3,"B",IF('Data Source'!AC666&gt;=2,"C",IF('Data Source'!AC666&gt;=1,"D","F")))))),"")</f>
        <v/>
      </c>
      <c r="L666" s="3">
        <f>IF(AND('Data Source'!B666&lt;&gt;"",'Data Source'!S666="F"),IF('Data Source'!AD666&gt;=5,"A+",IF('Data Source'!AD666&gt;=4,"A",IF('Data Source'!AD666&gt;=3.5,"A-",IF('Data Source'!AD666&gt;=3,"B",IF('Data Source'!AD666&gt;=2,"C",IF('Data Source'!AD666&gt;=1,"D","F")))))),"")</f>
        <v/>
      </c>
      <c r="M666" s="3">
        <f>IF(AND('Data Source'!B666&lt;&gt;"",'Data Source'!S666="F"),IF('Data Source'!AE666&gt;=5,"A+",IF('Data Source'!AE666&gt;=4,"A",IF('Data Source'!AE666&gt;=3.5,"A-",IF('Data Source'!AE666&gt;=3,"B",IF('Data Source'!AE666&gt;=2,"C",IF('Data Source'!AE666&gt;=1,"D","F")))))),"")</f>
        <v/>
      </c>
      <c r="N666" s="3">
        <f>IF(AND('Data Source'!B666&lt;&gt;"",'Data Source'!S666="F"),IF('Data Source'!AF666&gt;=5,"A+",IF('Data Source'!AF666&gt;=4,"A",IF('Data Source'!AF666&gt;=3.5,"A-",IF('Data Source'!AF666&gt;=3,"B",IF('Data Source'!AF666&gt;=2,"C",IF('Data Source'!AF666&gt;=1,"D","F")))))),"")</f>
        <v/>
      </c>
      <c r="O666" s="3">
        <f>IF(AND('Data Source'!B666&lt;&gt;"",'Data Source'!S666="F"),IF('Data Source'!AG666&gt;=5,"A+",IF('Data Source'!AG666&gt;=4,"A",IF('Data Source'!AG666&gt;=3.5,"A-",IF('Data Source'!AG666&gt;=3,"B",IF('Data Source'!AG666&gt;=2,"C",IF('Data Source'!AG666&gt;=1,"D","F")))))),"")</f>
        <v/>
      </c>
      <c r="P666" s="5">
        <f>IF(AND('Data Source'!B666&lt;&gt;"",'Data Source'!S666="F"),'Data Source'!R666,"")</f>
        <v/>
      </c>
      <c r="Q666" s="3">
        <f>IF(AND('Data Source'!B666&lt;&gt;"",'Data Source'!S666="F"),'Data Source'!S666,"")</f>
        <v/>
      </c>
    </row>
    <row r="667">
      <c r="A667" s="3">
        <f>IF(AND('Data Source'!B667&lt;&gt;"",'Data Source'!S667="F"),COUNTIF('Data Source'!$S$3:S667,"F"),"")</f>
        <v/>
      </c>
      <c r="B667">
        <f>IF(AND('Data Source'!B667&lt;&gt;"",'Data Source'!S667="F"),'Data Source'!B667,"")</f>
        <v/>
      </c>
      <c r="C667" s="3">
        <f>IF(AND('Data Source'!B667&lt;&gt;"",'Data Source'!S667="F"),IF('Data Source'!U667&gt;=5,"A+",IF('Data Source'!U667&gt;=4,"A",IF('Data Source'!U667&gt;=3.5,"A-",IF('Data Source'!U667&gt;=3,"B",IF('Data Source'!U667&gt;=2,"C",IF('Data Source'!U667&gt;=1,"D","F")))))),"")</f>
        <v/>
      </c>
      <c r="D667" s="3">
        <f>IF(AND('Data Source'!B667&lt;&gt;"",'Data Source'!S667="F"),IF('Data Source'!V667&gt;=5,"A+",IF('Data Source'!V667&gt;=4,"A",IF('Data Source'!V667&gt;=3.5,"A-",IF('Data Source'!V667&gt;=3,"B",IF('Data Source'!V667&gt;=2,"C",IF('Data Source'!V667&gt;=1,"D","F")))))),"")</f>
        <v/>
      </c>
      <c r="E667" s="3">
        <f>IF(AND('Data Source'!B667&lt;&gt;"",'Data Source'!S667="F"),IF('Data Source'!W667&gt;=5,"A+",IF('Data Source'!W667&gt;=4,"A",IF('Data Source'!W667&gt;=3.5,"A-",IF('Data Source'!W667&gt;=3,"B",IF('Data Source'!W667&gt;=2,"C",IF('Data Source'!W667&gt;=1,"D","F")))))),"")</f>
        <v/>
      </c>
      <c r="F667" s="3">
        <f>IF(AND('Data Source'!B667&lt;&gt;"",'Data Source'!S667="F"),IF('Data Source'!X667&gt;=5,"A+",IF('Data Source'!X667&gt;=4,"A",IF('Data Source'!X667&gt;=3.5,"A-",IF('Data Source'!X667&gt;=3,"B",IF('Data Source'!X667&gt;=2,"C",IF('Data Source'!X667&gt;=1,"D","F")))))),"")</f>
        <v/>
      </c>
      <c r="G667" s="3">
        <f>IF(AND('Data Source'!B667&lt;&gt;"",'Data Source'!S667="F"),IF('Data Source'!Y667&gt;=5,"A+",IF('Data Source'!Y667&gt;=4,"A",IF('Data Source'!Y667&gt;=3.5,"A-",IF('Data Source'!Y667&gt;=3,"B",IF('Data Source'!Y667&gt;=2,"C",IF('Data Source'!Y667&gt;=1,"D","F")))))),"")</f>
        <v/>
      </c>
      <c r="H667" s="3">
        <f>IF(AND('Data Source'!B667&lt;&gt;"",'Data Source'!S667="F"),IF('Data Source'!Z667&gt;=5,"A+",IF('Data Source'!Z667&gt;=4,"A",IF('Data Source'!Z667&gt;=3.5,"A-",IF('Data Source'!Z667&gt;=3,"B",IF('Data Source'!Z667&gt;=2,"C",IF('Data Source'!Z667&gt;=1,"D","F")))))),"")</f>
        <v/>
      </c>
      <c r="I667" s="3">
        <f>IF(AND('Data Source'!B667&lt;&gt;"",'Data Source'!S667="F"),IF('Data Source'!AA667&gt;=5,"A+",IF('Data Source'!AA667&gt;=4,"A",IF('Data Source'!AA667&gt;=3.5,"A-",IF('Data Source'!AA667&gt;=3,"B",IF('Data Source'!AA667&gt;=2,"C",IF('Data Source'!AA667&gt;=1,"D","F")))))),"")</f>
        <v/>
      </c>
      <c r="J667" s="3">
        <f>IF(AND('Data Source'!B667&lt;&gt;"",'Data Source'!S667="F"),IF('Data Source'!AB667&gt;=5,"A+",IF('Data Source'!AB667&gt;=4,"A",IF('Data Source'!AB667&gt;=3.5,"A-",IF('Data Source'!AB667&gt;=3,"B",IF('Data Source'!AB667&gt;=2,"C",IF('Data Source'!AB667&gt;=1,"D","F")))))),"")</f>
        <v/>
      </c>
      <c r="K667" s="3">
        <f>IF(AND('Data Source'!B667&lt;&gt;"",'Data Source'!S667="F"),IF('Data Source'!AC667&gt;=5,"A+",IF('Data Source'!AC667&gt;=4,"A",IF('Data Source'!AC667&gt;=3.5,"A-",IF('Data Source'!AC667&gt;=3,"B",IF('Data Source'!AC667&gt;=2,"C",IF('Data Source'!AC667&gt;=1,"D","F")))))),"")</f>
        <v/>
      </c>
      <c r="L667" s="3">
        <f>IF(AND('Data Source'!B667&lt;&gt;"",'Data Source'!S667="F"),IF('Data Source'!AD667&gt;=5,"A+",IF('Data Source'!AD667&gt;=4,"A",IF('Data Source'!AD667&gt;=3.5,"A-",IF('Data Source'!AD667&gt;=3,"B",IF('Data Source'!AD667&gt;=2,"C",IF('Data Source'!AD667&gt;=1,"D","F")))))),"")</f>
        <v/>
      </c>
      <c r="M667" s="3">
        <f>IF(AND('Data Source'!B667&lt;&gt;"",'Data Source'!S667="F"),IF('Data Source'!AE667&gt;=5,"A+",IF('Data Source'!AE667&gt;=4,"A",IF('Data Source'!AE667&gt;=3.5,"A-",IF('Data Source'!AE667&gt;=3,"B",IF('Data Source'!AE667&gt;=2,"C",IF('Data Source'!AE667&gt;=1,"D","F")))))),"")</f>
        <v/>
      </c>
      <c r="N667" s="3">
        <f>IF(AND('Data Source'!B667&lt;&gt;"",'Data Source'!S667="F"),IF('Data Source'!AF667&gt;=5,"A+",IF('Data Source'!AF667&gt;=4,"A",IF('Data Source'!AF667&gt;=3.5,"A-",IF('Data Source'!AF667&gt;=3,"B",IF('Data Source'!AF667&gt;=2,"C",IF('Data Source'!AF667&gt;=1,"D","F")))))),"")</f>
        <v/>
      </c>
      <c r="O667" s="3">
        <f>IF(AND('Data Source'!B667&lt;&gt;"",'Data Source'!S667="F"),IF('Data Source'!AG667&gt;=5,"A+",IF('Data Source'!AG667&gt;=4,"A",IF('Data Source'!AG667&gt;=3.5,"A-",IF('Data Source'!AG667&gt;=3,"B",IF('Data Source'!AG667&gt;=2,"C",IF('Data Source'!AG667&gt;=1,"D","F")))))),"")</f>
        <v/>
      </c>
      <c r="P667" s="5">
        <f>IF(AND('Data Source'!B667&lt;&gt;"",'Data Source'!S667="F"),'Data Source'!R667,"")</f>
        <v/>
      </c>
      <c r="Q667" s="3">
        <f>IF(AND('Data Source'!B667&lt;&gt;"",'Data Source'!S667="F"),'Data Source'!S667,"")</f>
        <v/>
      </c>
    </row>
    <row r="668">
      <c r="A668" s="3">
        <f>IF(AND('Data Source'!B668&lt;&gt;"",'Data Source'!S668="F"),COUNTIF('Data Source'!$S$3:S668,"F"),"")</f>
        <v/>
      </c>
      <c r="B668">
        <f>IF(AND('Data Source'!B668&lt;&gt;"",'Data Source'!S668="F"),'Data Source'!B668,"")</f>
        <v/>
      </c>
      <c r="C668" s="3">
        <f>IF(AND('Data Source'!B668&lt;&gt;"",'Data Source'!S668="F"),IF('Data Source'!U668&gt;=5,"A+",IF('Data Source'!U668&gt;=4,"A",IF('Data Source'!U668&gt;=3.5,"A-",IF('Data Source'!U668&gt;=3,"B",IF('Data Source'!U668&gt;=2,"C",IF('Data Source'!U668&gt;=1,"D","F")))))),"")</f>
        <v/>
      </c>
      <c r="D668" s="3">
        <f>IF(AND('Data Source'!B668&lt;&gt;"",'Data Source'!S668="F"),IF('Data Source'!V668&gt;=5,"A+",IF('Data Source'!V668&gt;=4,"A",IF('Data Source'!V668&gt;=3.5,"A-",IF('Data Source'!V668&gt;=3,"B",IF('Data Source'!V668&gt;=2,"C",IF('Data Source'!V668&gt;=1,"D","F")))))),"")</f>
        <v/>
      </c>
      <c r="E668" s="3">
        <f>IF(AND('Data Source'!B668&lt;&gt;"",'Data Source'!S668="F"),IF('Data Source'!W668&gt;=5,"A+",IF('Data Source'!W668&gt;=4,"A",IF('Data Source'!W668&gt;=3.5,"A-",IF('Data Source'!W668&gt;=3,"B",IF('Data Source'!W668&gt;=2,"C",IF('Data Source'!W668&gt;=1,"D","F")))))),"")</f>
        <v/>
      </c>
      <c r="F668" s="3">
        <f>IF(AND('Data Source'!B668&lt;&gt;"",'Data Source'!S668="F"),IF('Data Source'!X668&gt;=5,"A+",IF('Data Source'!X668&gt;=4,"A",IF('Data Source'!X668&gt;=3.5,"A-",IF('Data Source'!X668&gt;=3,"B",IF('Data Source'!X668&gt;=2,"C",IF('Data Source'!X668&gt;=1,"D","F")))))),"")</f>
        <v/>
      </c>
      <c r="G668" s="3">
        <f>IF(AND('Data Source'!B668&lt;&gt;"",'Data Source'!S668="F"),IF('Data Source'!Y668&gt;=5,"A+",IF('Data Source'!Y668&gt;=4,"A",IF('Data Source'!Y668&gt;=3.5,"A-",IF('Data Source'!Y668&gt;=3,"B",IF('Data Source'!Y668&gt;=2,"C",IF('Data Source'!Y668&gt;=1,"D","F")))))),"")</f>
        <v/>
      </c>
      <c r="H668" s="3">
        <f>IF(AND('Data Source'!B668&lt;&gt;"",'Data Source'!S668="F"),IF('Data Source'!Z668&gt;=5,"A+",IF('Data Source'!Z668&gt;=4,"A",IF('Data Source'!Z668&gt;=3.5,"A-",IF('Data Source'!Z668&gt;=3,"B",IF('Data Source'!Z668&gt;=2,"C",IF('Data Source'!Z668&gt;=1,"D","F")))))),"")</f>
        <v/>
      </c>
      <c r="I668" s="3">
        <f>IF(AND('Data Source'!B668&lt;&gt;"",'Data Source'!S668="F"),IF('Data Source'!AA668&gt;=5,"A+",IF('Data Source'!AA668&gt;=4,"A",IF('Data Source'!AA668&gt;=3.5,"A-",IF('Data Source'!AA668&gt;=3,"B",IF('Data Source'!AA668&gt;=2,"C",IF('Data Source'!AA668&gt;=1,"D","F")))))),"")</f>
        <v/>
      </c>
      <c r="J668" s="3">
        <f>IF(AND('Data Source'!B668&lt;&gt;"",'Data Source'!S668="F"),IF('Data Source'!AB668&gt;=5,"A+",IF('Data Source'!AB668&gt;=4,"A",IF('Data Source'!AB668&gt;=3.5,"A-",IF('Data Source'!AB668&gt;=3,"B",IF('Data Source'!AB668&gt;=2,"C",IF('Data Source'!AB668&gt;=1,"D","F")))))),"")</f>
        <v/>
      </c>
      <c r="K668" s="3">
        <f>IF(AND('Data Source'!B668&lt;&gt;"",'Data Source'!S668="F"),IF('Data Source'!AC668&gt;=5,"A+",IF('Data Source'!AC668&gt;=4,"A",IF('Data Source'!AC668&gt;=3.5,"A-",IF('Data Source'!AC668&gt;=3,"B",IF('Data Source'!AC668&gt;=2,"C",IF('Data Source'!AC668&gt;=1,"D","F")))))),"")</f>
        <v/>
      </c>
      <c r="L668" s="3">
        <f>IF(AND('Data Source'!B668&lt;&gt;"",'Data Source'!S668="F"),IF('Data Source'!AD668&gt;=5,"A+",IF('Data Source'!AD668&gt;=4,"A",IF('Data Source'!AD668&gt;=3.5,"A-",IF('Data Source'!AD668&gt;=3,"B",IF('Data Source'!AD668&gt;=2,"C",IF('Data Source'!AD668&gt;=1,"D","F")))))),"")</f>
        <v/>
      </c>
      <c r="M668" s="3">
        <f>IF(AND('Data Source'!B668&lt;&gt;"",'Data Source'!S668="F"),IF('Data Source'!AE668&gt;=5,"A+",IF('Data Source'!AE668&gt;=4,"A",IF('Data Source'!AE668&gt;=3.5,"A-",IF('Data Source'!AE668&gt;=3,"B",IF('Data Source'!AE668&gt;=2,"C",IF('Data Source'!AE668&gt;=1,"D","F")))))),"")</f>
        <v/>
      </c>
      <c r="N668" s="3">
        <f>IF(AND('Data Source'!B668&lt;&gt;"",'Data Source'!S668="F"),IF('Data Source'!AF668&gt;=5,"A+",IF('Data Source'!AF668&gt;=4,"A",IF('Data Source'!AF668&gt;=3.5,"A-",IF('Data Source'!AF668&gt;=3,"B",IF('Data Source'!AF668&gt;=2,"C",IF('Data Source'!AF668&gt;=1,"D","F")))))),"")</f>
        <v/>
      </c>
      <c r="O668" s="3">
        <f>IF(AND('Data Source'!B668&lt;&gt;"",'Data Source'!S668="F"),IF('Data Source'!AG668&gt;=5,"A+",IF('Data Source'!AG668&gt;=4,"A",IF('Data Source'!AG668&gt;=3.5,"A-",IF('Data Source'!AG668&gt;=3,"B",IF('Data Source'!AG668&gt;=2,"C",IF('Data Source'!AG668&gt;=1,"D","F")))))),"")</f>
        <v/>
      </c>
      <c r="P668" s="5">
        <f>IF(AND('Data Source'!B668&lt;&gt;"",'Data Source'!S668="F"),'Data Source'!R668,"")</f>
        <v/>
      </c>
      <c r="Q668" s="3">
        <f>IF(AND('Data Source'!B668&lt;&gt;"",'Data Source'!S668="F"),'Data Source'!S668,"")</f>
        <v/>
      </c>
    </row>
    <row r="669">
      <c r="A669" s="3">
        <f>IF(AND('Data Source'!B669&lt;&gt;"",'Data Source'!S669="F"),COUNTIF('Data Source'!$S$3:S669,"F"),"")</f>
        <v/>
      </c>
      <c r="B669">
        <f>IF(AND('Data Source'!B669&lt;&gt;"",'Data Source'!S669="F"),'Data Source'!B669,"")</f>
        <v/>
      </c>
      <c r="C669" s="3">
        <f>IF(AND('Data Source'!B669&lt;&gt;"",'Data Source'!S669="F"),IF('Data Source'!U669&gt;=5,"A+",IF('Data Source'!U669&gt;=4,"A",IF('Data Source'!U669&gt;=3.5,"A-",IF('Data Source'!U669&gt;=3,"B",IF('Data Source'!U669&gt;=2,"C",IF('Data Source'!U669&gt;=1,"D","F")))))),"")</f>
        <v/>
      </c>
      <c r="D669" s="3">
        <f>IF(AND('Data Source'!B669&lt;&gt;"",'Data Source'!S669="F"),IF('Data Source'!V669&gt;=5,"A+",IF('Data Source'!V669&gt;=4,"A",IF('Data Source'!V669&gt;=3.5,"A-",IF('Data Source'!V669&gt;=3,"B",IF('Data Source'!V669&gt;=2,"C",IF('Data Source'!V669&gt;=1,"D","F")))))),"")</f>
        <v/>
      </c>
      <c r="E669" s="3">
        <f>IF(AND('Data Source'!B669&lt;&gt;"",'Data Source'!S669="F"),IF('Data Source'!W669&gt;=5,"A+",IF('Data Source'!W669&gt;=4,"A",IF('Data Source'!W669&gt;=3.5,"A-",IF('Data Source'!W669&gt;=3,"B",IF('Data Source'!W669&gt;=2,"C",IF('Data Source'!W669&gt;=1,"D","F")))))),"")</f>
        <v/>
      </c>
      <c r="F669" s="3">
        <f>IF(AND('Data Source'!B669&lt;&gt;"",'Data Source'!S669="F"),IF('Data Source'!X669&gt;=5,"A+",IF('Data Source'!X669&gt;=4,"A",IF('Data Source'!X669&gt;=3.5,"A-",IF('Data Source'!X669&gt;=3,"B",IF('Data Source'!X669&gt;=2,"C",IF('Data Source'!X669&gt;=1,"D","F")))))),"")</f>
        <v/>
      </c>
      <c r="G669" s="3">
        <f>IF(AND('Data Source'!B669&lt;&gt;"",'Data Source'!S669="F"),IF('Data Source'!Y669&gt;=5,"A+",IF('Data Source'!Y669&gt;=4,"A",IF('Data Source'!Y669&gt;=3.5,"A-",IF('Data Source'!Y669&gt;=3,"B",IF('Data Source'!Y669&gt;=2,"C",IF('Data Source'!Y669&gt;=1,"D","F")))))),"")</f>
        <v/>
      </c>
      <c r="H669" s="3">
        <f>IF(AND('Data Source'!B669&lt;&gt;"",'Data Source'!S669="F"),IF('Data Source'!Z669&gt;=5,"A+",IF('Data Source'!Z669&gt;=4,"A",IF('Data Source'!Z669&gt;=3.5,"A-",IF('Data Source'!Z669&gt;=3,"B",IF('Data Source'!Z669&gt;=2,"C",IF('Data Source'!Z669&gt;=1,"D","F")))))),"")</f>
        <v/>
      </c>
      <c r="I669" s="3">
        <f>IF(AND('Data Source'!B669&lt;&gt;"",'Data Source'!S669="F"),IF('Data Source'!AA669&gt;=5,"A+",IF('Data Source'!AA669&gt;=4,"A",IF('Data Source'!AA669&gt;=3.5,"A-",IF('Data Source'!AA669&gt;=3,"B",IF('Data Source'!AA669&gt;=2,"C",IF('Data Source'!AA669&gt;=1,"D","F")))))),"")</f>
        <v/>
      </c>
      <c r="J669" s="3">
        <f>IF(AND('Data Source'!B669&lt;&gt;"",'Data Source'!S669="F"),IF('Data Source'!AB669&gt;=5,"A+",IF('Data Source'!AB669&gt;=4,"A",IF('Data Source'!AB669&gt;=3.5,"A-",IF('Data Source'!AB669&gt;=3,"B",IF('Data Source'!AB669&gt;=2,"C",IF('Data Source'!AB669&gt;=1,"D","F")))))),"")</f>
        <v/>
      </c>
      <c r="K669" s="3">
        <f>IF(AND('Data Source'!B669&lt;&gt;"",'Data Source'!S669="F"),IF('Data Source'!AC669&gt;=5,"A+",IF('Data Source'!AC669&gt;=4,"A",IF('Data Source'!AC669&gt;=3.5,"A-",IF('Data Source'!AC669&gt;=3,"B",IF('Data Source'!AC669&gt;=2,"C",IF('Data Source'!AC669&gt;=1,"D","F")))))),"")</f>
        <v/>
      </c>
      <c r="L669" s="3">
        <f>IF(AND('Data Source'!B669&lt;&gt;"",'Data Source'!S669="F"),IF('Data Source'!AD669&gt;=5,"A+",IF('Data Source'!AD669&gt;=4,"A",IF('Data Source'!AD669&gt;=3.5,"A-",IF('Data Source'!AD669&gt;=3,"B",IF('Data Source'!AD669&gt;=2,"C",IF('Data Source'!AD669&gt;=1,"D","F")))))),"")</f>
        <v/>
      </c>
      <c r="M669" s="3">
        <f>IF(AND('Data Source'!B669&lt;&gt;"",'Data Source'!S669="F"),IF('Data Source'!AE669&gt;=5,"A+",IF('Data Source'!AE669&gt;=4,"A",IF('Data Source'!AE669&gt;=3.5,"A-",IF('Data Source'!AE669&gt;=3,"B",IF('Data Source'!AE669&gt;=2,"C",IF('Data Source'!AE669&gt;=1,"D","F")))))),"")</f>
        <v/>
      </c>
      <c r="N669" s="3">
        <f>IF(AND('Data Source'!B669&lt;&gt;"",'Data Source'!S669="F"),IF('Data Source'!AF669&gt;=5,"A+",IF('Data Source'!AF669&gt;=4,"A",IF('Data Source'!AF669&gt;=3.5,"A-",IF('Data Source'!AF669&gt;=3,"B",IF('Data Source'!AF669&gt;=2,"C",IF('Data Source'!AF669&gt;=1,"D","F")))))),"")</f>
        <v/>
      </c>
      <c r="O669" s="3">
        <f>IF(AND('Data Source'!B669&lt;&gt;"",'Data Source'!S669="F"),IF('Data Source'!AG669&gt;=5,"A+",IF('Data Source'!AG669&gt;=4,"A",IF('Data Source'!AG669&gt;=3.5,"A-",IF('Data Source'!AG669&gt;=3,"B",IF('Data Source'!AG669&gt;=2,"C",IF('Data Source'!AG669&gt;=1,"D","F")))))),"")</f>
        <v/>
      </c>
      <c r="P669" s="5">
        <f>IF(AND('Data Source'!B669&lt;&gt;"",'Data Source'!S669="F"),'Data Source'!R669,"")</f>
        <v/>
      </c>
      <c r="Q669" s="3">
        <f>IF(AND('Data Source'!B669&lt;&gt;"",'Data Source'!S669="F"),'Data Source'!S669,"")</f>
        <v/>
      </c>
    </row>
    <row r="670">
      <c r="A670" s="3">
        <f>IF(AND('Data Source'!B670&lt;&gt;"",'Data Source'!S670="F"),COUNTIF('Data Source'!$S$3:S670,"F"),"")</f>
        <v/>
      </c>
      <c r="B670">
        <f>IF(AND('Data Source'!B670&lt;&gt;"",'Data Source'!S670="F"),'Data Source'!B670,"")</f>
        <v/>
      </c>
      <c r="C670" s="3">
        <f>IF(AND('Data Source'!B670&lt;&gt;"",'Data Source'!S670="F"),IF('Data Source'!U670&gt;=5,"A+",IF('Data Source'!U670&gt;=4,"A",IF('Data Source'!U670&gt;=3.5,"A-",IF('Data Source'!U670&gt;=3,"B",IF('Data Source'!U670&gt;=2,"C",IF('Data Source'!U670&gt;=1,"D","F")))))),"")</f>
        <v/>
      </c>
      <c r="D670" s="3">
        <f>IF(AND('Data Source'!B670&lt;&gt;"",'Data Source'!S670="F"),IF('Data Source'!V670&gt;=5,"A+",IF('Data Source'!V670&gt;=4,"A",IF('Data Source'!V670&gt;=3.5,"A-",IF('Data Source'!V670&gt;=3,"B",IF('Data Source'!V670&gt;=2,"C",IF('Data Source'!V670&gt;=1,"D","F")))))),"")</f>
        <v/>
      </c>
      <c r="E670" s="3">
        <f>IF(AND('Data Source'!B670&lt;&gt;"",'Data Source'!S670="F"),IF('Data Source'!W670&gt;=5,"A+",IF('Data Source'!W670&gt;=4,"A",IF('Data Source'!W670&gt;=3.5,"A-",IF('Data Source'!W670&gt;=3,"B",IF('Data Source'!W670&gt;=2,"C",IF('Data Source'!W670&gt;=1,"D","F")))))),"")</f>
        <v/>
      </c>
      <c r="F670" s="3">
        <f>IF(AND('Data Source'!B670&lt;&gt;"",'Data Source'!S670="F"),IF('Data Source'!X670&gt;=5,"A+",IF('Data Source'!X670&gt;=4,"A",IF('Data Source'!X670&gt;=3.5,"A-",IF('Data Source'!X670&gt;=3,"B",IF('Data Source'!X670&gt;=2,"C",IF('Data Source'!X670&gt;=1,"D","F")))))),"")</f>
        <v/>
      </c>
      <c r="G670" s="3">
        <f>IF(AND('Data Source'!B670&lt;&gt;"",'Data Source'!S670="F"),IF('Data Source'!Y670&gt;=5,"A+",IF('Data Source'!Y670&gt;=4,"A",IF('Data Source'!Y670&gt;=3.5,"A-",IF('Data Source'!Y670&gt;=3,"B",IF('Data Source'!Y670&gt;=2,"C",IF('Data Source'!Y670&gt;=1,"D","F")))))),"")</f>
        <v/>
      </c>
      <c r="H670" s="3">
        <f>IF(AND('Data Source'!B670&lt;&gt;"",'Data Source'!S670="F"),IF('Data Source'!Z670&gt;=5,"A+",IF('Data Source'!Z670&gt;=4,"A",IF('Data Source'!Z670&gt;=3.5,"A-",IF('Data Source'!Z670&gt;=3,"B",IF('Data Source'!Z670&gt;=2,"C",IF('Data Source'!Z670&gt;=1,"D","F")))))),"")</f>
        <v/>
      </c>
      <c r="I670" s="3">
        <f>IF(AND('Data Source'!B670&lt;&gt;"",'Data Source'!S670="F"),IF('Data Source'!AA670&gt;=5,"A+",IF('Data Source'!AA670&gt;=4,"A",IF('Data Source'!AA670&gt;=3.5,"A-",IF('Data Source'!AA670&gt;=3,"B",IF('Data Source'!AA670&gt;=2,"C",IF('Data Source'!AA670&gt;=1,"D","F")))))),"")</f>
        <v/>
      </c>
      <c r="J670" s="3">
        <f>IF(AND('Data Source'!B670&lt;&gt;"",'Data Source'!S670="F"),IF('Data Source'!AB670&gt;=5,"A+",IF('Data Source'!AB670&gt;=4,"A",IF('Data Source'!AB670&gt;=3.5,"A-",IF('Data Source'!AB670&gt;=3,"B",IF('Data Source'!AB670&gt;=2,"C",IF('Data Source'!AB670&gt;=1,"D","F")))))),"")</f>
        <v/>
      </c>
      <c r="K670" s="3">
        <f>IF(AND('Data Source'!B670&lt;&gt;"",'Data Source'!S670="F"),IF('Data Source'!AC670&gt;=5,"A+",IF('Data Source'!AC670&gt;=4,"A",IF('Data Source'!AC670&gt;=3.5,"A-",IF('Data Source'!AC670&gt;=3,"B",IF('Data Source'!AC670&gt;=2,"C",IF('Data Source'!AC670&gt;=1,"D","F")))))),"")</f>
        <v/>
      </c>
      <c r="L670" s="3">
        <f>IF(AND('Data Source'!B670&lt;&gt;"",'Data Source'!S670="F"),IF('Data Source'!AD670&gt;=5,"A+",IF('Data Source'!AD670&gt;=4,"A",IF('Data Source'!AD670&gt;=3.5,"A-",IF('Data Source'!AD670&gt;=3,"B",IF('Data Source'!AD670&gt;=2,"C",IF('Data Source'!AD670&gt;=1,"D","F")))))),"")</f>
        <v/>
      </c>
      <c r="M670" s="3">
        <f>IF(AND('Data Source'!B670&lt;&gt;"",'Data Source'!S670="F"),IF('Data Source'!AE670&gt;=5,"A+",IF('Data Source'!AE670&gt;=4,"A",IF('Data Source'!AE670&gt;=3.5,"A-",IF('Data Source'!AE670&gt;=3,"B",IF('Data Source'!AE670&gt;=2,"C",IF('Data Source'!AE670&gt;=1,"D","F")))))),"")</f>
        <v/>
      </c>
      <c r="N670" s="3">
        <f>IF(AND('Data Source'!B670&lt;&gt;"",'Data Source'!S670="F"),IF('Data Source'!AF670&gt;=5,"A+",IF('Data Source'!AF670&gt;=4,"A",IF('Data Source'!AF670&gt;=3.5,"A-",IF('Data Source'!AF670&gt;=3,"B",IF('Data Source'!AF670&gt;=2,"C",IF('Data Source'!AF670&gt;=1,"D","F")))))),"")</f>
        <v/>
      </c>
      <c r="O670" s="3">
        <f>IF(AND('Data Source'!B670&lt;&gt;"",'Data Source'!S670="F"),IF('Data Source'!AG670&gt;=5,"A+",IF('Data Source'!AG670&gt;=4,"A",IF('Data Source'!AG670&gt;=3.5,"A-",IF('Data Source'!AG670&gt;=3,"B",IF('Data Source'!AG670&gt;=2,"C",IF('Data Source'!AG670&gt;=1,"D","F")))))),"")</f>
        <v/>
      </c>
      <c r="P670" s="5">
        <f>IF(AND('Data Source'!B670&lt;&gt;"",'Data Source'!S670="F"),'Data Source'!R670,"")</f>
        <v/>
      </c>
      <c r="Q670" s="3">
        <f>IF(AND('Data Source'!B670&lt;&gt;"",'Data Source'!S670="F"),'Data Source'!S670,"")</f>
        <v/>
      </c>
    </row>
    <row r="671">
      <c r="A671" s="3">
        <f>IF(AND('Data Source'!B671&lt;&gt;"",'Data Source'!S671="F"),COUNTIF('Data Source'!$S$3:S671,"F"),"")</f>
        <v/>
      </c>
      <c r="B671">
        <f>IF(AND('Data Source'!B671&lt;&gt;"",'Data Source'!S671="F"),'Data Source'!B671,"")</f>
        <v/>
      </c>
      <c r="C671" s="3">
        <f>IF(AND('Data Source'!B671&lt;&gt;"",'Data Source'!S671="F"),IF('Data Source'!U671&gt;=5,"A+",IF('Data Source'!U671&gt;=4,"A",IF('Data Source'!U671&gt;=3.5,"A-",IF('Data Source'!U671&gt;=3,"B",IF('Data Source'!U671&gt;=2,"C",IF('Data Source'!U671&gt;=1,"D","F")))))),"")</f>
        <v/>
      </c>
      <c r="D671" s="3">
        <f>IF(AND('Data Source'!B671&lt;&gt;"",'Data Source'!S671="F"),IF('Data Source'!V671&gt;=5,"A+",IF('Data Source'!V671&gt;=4,"A",IF('Data Source'!V671&gt;=3.5,"A-",IF('Data Source'!V671&gt;=3,"B",IF('Data Source'!V671&gt;=2,"C",IF('Data Source'!V671&gt;=1,"D","F")))))),"")</f>
        <v/>
      </c>
      <c r="E671" s="3">
        <f>IF(AND('Data Source'!B671&lt;&gt;"",'Data Source'!S671="F"),IF('Data Source'!W671&gt;=5,"A+",IF('Data Source'!W671&gt;=4,"A",IF('Data Source'!W671&gt;=3.5,"A-",IF('Data Source'!W671&gt;=3,"B",IF('Data Source'!W671&gt;=2,"C",IF('Data Source'!W671&gt;=1,"D","F")))))),"")</f>
        <v/>
      </c>
      <c r="F671" s="3">
        <f>IF(AND('Data Source'!B671&lt;&gt;"",'Data Source'!S671="F"),IF('Data Source'!X671&gt;=5,"A+",IF('Data Source'!X671&gt;=4,"A",IF('Data Source'!X671&gt;=3.5,"A-",IF('Data Source'!X671&gt;=3,"B",IF('Data Source'!X671&gt;=2,"C",IF('Data Source'!X671&gt;=1,"D","F")))))),"")</f>
        <v/>
      </c>
      <c r="G671" s="3">
        <f>IF(AND('Data Source'!B671&lt;&gt;"",'Data Source'!S671="F"),IF('Data Source'!Y671&gt;=5,"A+",IF('Data Source'!Y671&gt;=4,"A",IF('Data Source'!Y671&gt;=3.5,"A-",IF('Data Source'!Y671&gt;=3,"B",IF('Data Source'!Y671&gt;=2,"C",IF('Data Source'!Y671&gt;=1,"D","F")))))),"")</f>
        <v/>
      </c>
      <c r="H671" s="3">
        <f>IF(AND('Data Source'!B671&lt;&gt;"",'Data Source'!S671="F"),IF('Data Source'!Z671&gt;=5,"A+",IF('Data Source'!Z671&gt;=4,"A",IF('Data Source'!Z671&gt;=3.5,"A-",IF('Data Source'!Z671&gt;=3,"B",IF('Data Source'!Z671&gt;=2,"C",IF('Data Source'!Z671&gt;=1,"D","F")))))),"")</f>
        <v/>
      </c>
      <c r="I671" s="3">
        <f>IF(AND('Data Source'!B671&lt;&gt;"",'Data Source'!S671="F"),IF('Data Source'!AA671&gt;=5,"A+",IF('Data Source'!AA671&gt;=4,"A",IF('Data Source'!AA671&gt;=3.5,"A-",IF('Data Source'!AA671&gt;=3,"B",IF('Data Source'!AA671&gt;=2,"C",IF('Data Source'!AA671&gt;=1,"D","F")))))),"")</f>
        <v/>
      </c>
      <c r="J671" s="3">
        <f>IF(AND('Data Source'!B671&lt;&gt;"",'Data Source'!S671="F"),IF('Data Source'!AB671&gt;=5,"A+",IF('Data Source'!AB671&gt;=4,"A",IF('Data Source'!AB671&gt;=3.5,"A-",IF('Data Source'!AB671&gt;=3,"B",IF('Data Source'!AB671&gt;=2,"C",IF('Data Source'!AB671&gt;=1,"D","F")))))),"")</f>
        <v/>
      </c>
      <c r="K671" s="3">
        <f>IF(AND('Data Source'!B671&lt;&gt;"",'Data Source'!S671="F"),IF('Data Source'!AC671&gt;=5,"A+",IF('Data Source'!AC671&gt;=4,"A",IF('Data Source'!AC671&gt;=3.5,"A-",IF('Data Source'!AC671&gt;=3,"B",IF('Data Source'!AC671&gt;=2,"C",IF('Data Source'!AC671&gt;=1,"D","F")))))),"")</f>
        <v/>
      </c>
      <c r="L671" s="3">
        <f>IF(AND('Data Source'!B671&lt;&gt;"",'Data Source'!S671="F"),IF('Data Source'!AD671&gt;=5,"A+",IF('Data Source'!AD671&gt;=4,"A",IF('Data Source'!AD671&gt;=3.5,"A-",IF('Data Source'!AD671&gt;=3,"B",IF('Data Source'!AD671&gt;=2,"C",IF('Data Source'!AD671&gt;=1,"D","F")))))),"")</f>
        <v/>
      </c>
      <c r="M671" s="3">
        <f>IF(AND('Data Source'!B671&lt;&gt;"",'Data Source'!S671="F"),IF('Data Source'!AE671&gt;=5,"A+",IF('Data Source'!AE671&gt;=4,"A",IF('Data Source'!AE671&gt;=3.5,"A-",IF('Data Source'!AE671&gt;=3,"B",IF('Data Source'!AE671&gt;=2,"C",IF('Data Source'!AE671&gt;=1,"D","F")))))),"")</f>
        <v/>
      </c>
      <c r="N671" s="3">
        <f>IF(AND('Data Source'!B671&lt;&gt;"",'Data Source'!S671="F"),IF('Data Source'!AF671&gt;=5,"A+",IF('Data Source'!AF671&gt;=4,"A",IF('Data Source'!AF671&gt;=3.5,"A-",IF('Data Source'!AF671&gt;=3,"B",IF('Data Source'!AF671&gt;=2,"C",IF('Data Source'!AF671&gt;=1,"D","F")))))),"")</f>
        <v/>
      </c>
      <c r="O671" s="3">
        <f>IF(AND('Data Source'!B671&lt;&gt;"",'Data Source'!S671="F"),IF('Data Source'!AG671&gt;=5,"A+",IF('Data Source'!AG671&gt;=4,"A",IF('Data Source'!AG671&gt;=3.5,"A-",IF('Data Source'!AG671&gt;=3,"B",IF('Data Source'!AG671&gt;=2,"C",IF('Data Source'!AG671&gt;=1,"D","F")))))),"")</f>
        <v/>
      </c>
      <c r="P671" s="5">
        <f>IF(AND('Data Source'!B671&lt;&gt;"",'Data Source'!S671="F"),'Data Source'!R671,"")</f>
        <v/>
      </c>
      <c r="Q671" s="3">
        <f>IF(AND('Data Source'!B671&lt;&gt;"",'Data Source'!S671="F"),'Data Source'!S671,"")</f>
        <v/>
      </c>
    </row>
    <row r="672">
      <c r="A672" s="3">
        <f>IF(AND('Data Source'!B672&lt;&gt;"",'Data Source'!S672="F"),COUNTIF('Data Source'!$S$3:S672,"F"),"")</f>
        <v/>
      </c>
      <c r="B672">
        <f>IF(AND('Data Source'!B672&lt;&gt;"",'Data Source'!S672="F"),'Data Source'!B672,"")</f>
        <v/>
      </c>
      <c r="C672" s="3">
        <f>IF(AND('Data Source'!B672&lt;&gt;"",'Data Source'!S672="F"),IF('Data Source'!U672&gt;=5,"A+",IF('Data Source'!U672&gt;=4,"A",IF('Data Source'!U672&gt;=3.5,"A-",IF('Data Source'!U672&gt;=3,"B",IF('Data Source'!U672&gt;=2,"C",IF('Data Source'!U672&gt;=1,"D","F")))))),"")</f>
        <v/>
      </c>
      <c r="D672" s="3">
        <f>IF(AND('Data Source'!B672&lt;&gt;"",'Data Source'!S672="F"),IF('Data Source'!V672&gt;=5,"A+",IF('Data Source'!V672&gt;=4,"A",IF('Data Source'!V672&gt;=3.5,"A-",IF('Data Source'!V672&gt;=3,"B",IF('Data Source'!V672&gt;=2,"C",IF('Data Source'!V672&gt;=1,"D","F")))))),"")</f>
        <v/>
      </c>
      <c r="E672" s="3">
        <f>IF(AND('Data Source'!B672&lt;&gt;"",'Data Source'!S672="F"),IF('Data Source'!W672&gt;=5,"A+",IF('Data Source'!W672&gt;=4,"A",IF('Data Source'!W672&gt;=3.5,"A-",IF('Data Source'!W672&gt;=3,"B",IF('Data Source'!W672&gt;=2,"C",IF('Data Source'!W672&gt;=1,"D","F")))))),"")</f>
        <v/>
      </c>
      <c r="F672" s="3">
        <f>IF(AND('Data Source'!B672&lt;&gt;"",'Data Source'!S672="F"),IF('Data Source'!X672&gt;=5,"A+",IF('Data Source'!X672&gt;=4,"A",IF('Data Source'!X672&gt;=3.5,"A-",IF('Data Source'!X672&gt;=3,"B",IF('Data Source'!X672&gt;=2,"C",IF('Data Source'!X672&gt;=1,"D","F")))))),"")</f>
        <v/>
      </c>
      <c r="G672" s="3">
        <f>IF(AND('Data Source'!B672&lt;&gt;"",'Data Source'!S672="F"),IF('Data Source'!Y672&gt;=5,"A+",IF('Data Source'!Y672&gt;=4,"A",IF('Data Source'!Y672&gt;=3.5,"A-",IF('Data Source'!Y672&gt;=3,"B",IF('Data Source'!Y672&gt;=2,"C",IF('Data Source'!Y672&gt;=1,"D","F")))))),"")</f>
        <v/>
      </c>
      <c r="H672" s="3">
        <f>IF(AND('Data Source'!B672&lt;&gt;"",'Data Source'!S672="F"),IF('Data Source'!Z672&gt;=5,"A+",IF('Data Source'!Z672&gt;=4,"A",IF('Data Source'!Z672&gt;=3.5,"A-",IF('Data Source'!Z672&gt;=3,"B",IF('Data Source'!Z672&gt;=2,"C",IF('Data Source'!Z672&gt;=1,"D","F")))))),"")</f>
        <v/>
      </c>
      <c r="I672" s="3">
        <f>IF(AND('Data Source'!B672&lt;&gt;"",'Data Source'!S672="F"),IF('Data Source'!AA672&gt;=5,"A+",IF('Data Source'!AA672&gt;=4,"A",IF('Data Source'!AA672&gt;=3.5,"A-",IF('Data Source'!AA672&gt;=3,"B",IF('Data Source'!AA672&gt;=2,"C",IF('Data Source'!AA672&gt;=1,"D","F")))))),"")</f>
        <v/>
      </c>
      <c r="J672" s="3">
        <f>IF(AND('Data Source'!B672&lt;&gt;"",'Data Source'!S672="F"),IF('Data Source'!AB672&gt;=5,"A+",IF('Data Source'!AB672&gt;=4,"A",IF('Data Source'!AB672&gt;=3.5,"A-",IF('Data Source'!AB672&gt;=3,"B",IF('Data Source'!AB672&gt;=2,"C",IF('Data Source'!AB672&gt;=1,"D","F")))))),"")</f>
        <v/>
      </c>
      <c r="K672" s="3">
        <f>IF(AND('Data Source'!B672&lt;&gt;"",'Data Source'!S672="F"),IF('Data Source'!AC672&gt;=5,"A+",IF('Data Source'!AC672&gt;=4,"A",IF('Data Source'!AC672&gt;=3.5,"A-",IF('Data Source'!AC672&gt;=3,"B",IF('Data Source'!AC672&gt;=2,"C",IF('Data Source'!AC672&gt;=1,"D","F")))))),"")</f>
        <v/>
      </c>
      <c r="L672" s="3">
        <f>IF(AND('Data Source'!B672&lt;&gt;"",'Data Source'!S672="F"),IF('Data Source'!AD672&gt;=5,"A+",IF('Data Source'!AD672&gt;=4,"A",IF('Data Source'!AD672&gt;=3.5,"A-",IF('Data Source'!AD672&gt;=3,"B",IF('Data Source'!AD672&gt;=2,"C",IF('Data Source'!AD672&gt;=1,"D","F")))))),"")</f>
        <v/>
      </c>
      <c r="M672" s="3">
        <f>IF(AND('Data Source'!B672&lt;&gt;"",'Data Source'!S672="F"),IF('Data Source'!AE672&gt;=5,"A+",IF('Data Source'!AE672&gt;=4,"A",IF('Data Source'!AE672&gt;=3.5,"A-",IF('Data Source'!AE672&gt;=3,"B",IF('Data Source'!AE672&gt;=2,"C",IF('Data Source'!AE672&gt;=1,"D","F")))))),"")</f>
        <v/>
      </c>
      <c r="N672" s="3">
        <f>IF(AND('Data Source'!B672&lt;&gt;"",'Data Source'!S672="F"),IF('Data Source'!AF672&gt;=5,"A+",IF('Data Source'!AF672&gt;=4,"A",IF('Data Source'!AF672&gt;=3.5,"A-",IF('Data Source'!AF672&gt;=3,"B",IF('Data Source'!AF672&gt;=2,"C",IF('Data Source'!AF672&gt;=1,"D","F")))))),"")</f>
        <v/>
      </c>
      <c r="O672" s="3">
        <f>IF(AND('Data Source'!B672&lt;&gt;"",'Data Source'!S672="F"),IF('Data Source'!AG672&gt;=5,"A+",IF('Data Source'!AG672&gt;=4,"A",IF('Data Source'!AG672&gt;=3.5,"A-",IF('Data Source'!AG672&gt;=3,"B",IF('Data Source'!AG672&gt;=2,"C",IF('Data Source'!AG672&gt;=1,"D","F")))))),"")</f>
        <v/>
      </c>
      <c r="P672" s="5">
        <f>IF(AND('Data Source'!B672&lt;&gt;"",'Data Source'!S672="F"),'Data Source'!R672,"")</f>
        <v/>
      </c>
      <c r="Q672" s="3">
        <f>IF(AND('Data Source'!B672&lt;&gt;"",'Data Source'!S672="F"),'Data Source'!S672,"")</f>
        <v/>
      </c>
    </row>
    <row r="673">
      <c r="A673" s="3">
        <f>IF(AND('Data Source'!B673&lt;&gt;"",'Data Source'!S673="F"),COUNTIF('Data Source'!$S$3:S673,"F"),"")</f>
        <v/>
      </c>
      <c r="B673">
        <f>IF(AND('Data Source'!B673&lt;&gt;"",'Data Source'!S673="F"),'Data Source'!B673,"")</f>
        <v/>
      </c>
      <c r="C673" s="3">
        <f>IF(AND('Data Source'!B673&lt;&gt;"",'Data Source'!S673="F"),IF('Data Source'!U673&gt;=5,"A+",IF('Data Source'!U673&gt;=4,"A",IF('Data Source'!U673&gt;=3.5,"A-",IF('Data Source'!U673&gt;=3,"B",IF('Data Source'!U673&gt;=2,"C",IF('Data Source'!U673&gt;=1,"D","F")))))),"")</f>
        <v/>
      </c>
      <c r="D673" s="3">
        <f>IF(AND('Data Source'!B673&lt;&gt;"",'Data Source'!S673="F"),IF('Data Source'!V673&gt;=5,"A+",IF('Data Source'!V673&gt;=4,"A",IF('Data Source'!V673&gt;=3.5,"A-",IF('Data Source'!V673&gt;=3,"B",IF('Data Source'!V673&gt;=2,"C",IF('Data Source'!V673&gt;=1,"D","F")))))),"")</f>
        <v/>
      </c>
      <c r="E673" s="3">
        <f>IF(AND('Data Source'!B673&lt;&gt;"",'Data Source'!S673="F"),IF('Data Source'!W673&gt;=5,"A+",IF('Data Source'!W673&gt;=4,"A",IF('Data Source'!W673&gt;=3.5,"A-",IF('Data Source'!W673&gt;=3,"B",IF('Data Source'!W673&gt;=2,"C",IF('Data Source'!W673&gt;=1,"D","F")))))),"")</f>
        <v/>
      </c>
      <c r="F673" s="3">
        <f>IF(AND('Data Source'!B673&lt;&gt;"",'Data Source'!S673="F"),IF('Data Source'!X673&gt;=5,"A+",IF('Data Source'!X673&gt;=4,"A",IF('Data Source'!X673&gt;=3.5,"A-",IF('Data Source'!X673&gt;=3,"B",IF('Data Source'!X673&gt;=2,"C",IF('Data Source'!X673&gt;=1,"D","F")))))),"")</f>
        <v/>
      </c>
      <c r="G673" s="3">
        <f>IF(AND('Data Source'!B673&lt;&gt;"",'Data Source'!S673="F"),IF('Data Source'!Y673&gt;=5,"A+",IF('Data Source'!Y673&gt;=4,"A",IF('Data Source'!Y673&gt;=3.5,"A-",IF('Data Source'!Y673&gt;=3,"B",IF('Data Source'!Y673&gt;=2,"C",IF('Data Source'!Y673&gt;=1,"D","F")))))),"")</f>
        <v/>
      </c>
      <c r="H673" s="3">
        <f>IF(AND('Data Source'!B673&lt;&gt;"",'Data Source'!S673="F"),IF('Data Source'!Z673&gt;=5,"A+",IF('Data Source'!Z673&gt;=4,"A",IF('Data Source'!Z673&gt;=3.5,"A-",IF('Data Source'!Z673&gt;=3,"B",IF('Data Source'!Z673&gt;=2,"C",IF('Data Source'!Z673&gt;=1,"D","F")))))),"")</f>
        <v/>
      </c>
      <c r="I673" s="3">
        <f>IF(AND('Data Source'!B673&lt;&gt;"",'Data Source'!S673="F"),IF('Data Source'!AA673&gt;=5,"A+",IF('Data Source'!AA673&gt;=4,"A",IF('Data Source'!AA673&gt;=3.5,"A-",IF('Data Source'!AA673&gt;=3,"B",IF('Data Source'!AA673&gt;=2,"C",IF('Data Source'!AA673&gt;=1,"D","F")))))),"")</f>
        <v/>
      </c>
      <c r="J673" s="3">
        <f>IF(AND('Data Source'!B673&lt;&gt;"",'Data Source'!S673="F"),IF('Data Source'!AB673&gt;=5,"A+",IF('Data Source'!AB673&gt;=4,"A",IF('Data Source'!AB673&gt;=3.5,"A-",IF('Data Source'!AB673&gt;=3,"B",IF('Data Source'!AB673&gt;=2,"C",IF('Data Source'!AB673&gt;=1,"D","F")))))),"")</f>
        <v/>
      </c>
      <c r="K673" s="3">
        <f>IF(AND('Data Source'!B673&lt;&gt;"",'Data Source'!S673="F"),IF('Data Source'!AC673&gt;=5,"A+",IF('Data Source'!AC673&gt;=4,"A",IF('Data Source'!AC673&gt;=3.5,"A-",IF('Data Source'!AC673&gt;=3,"B",IF('Data Source'!AC673&gt;=2,"C",IF('Data Source'!AC673&gt;=1,"D","F")))))),"")</f>
        <v/>
      </c>
      <c r="L673" s="3">
        <f>IF(AND('Data Source'!B673&lt;&gt;"",'Data Source'!S673="F"),IF('Data Source'!AD673&gt;=5,"A+",IF('Data Source'!AD673&gt;=4,"A",IF('Data Source'!AD673&gt;=3.5,"A-",IF('Data Source'!AD673&gt;=3,"B",IF('Data Source'!AD673&gt;=2,"C",IF('Data Source'!AD673&gt;=1,"D","F")))))),"")</f>
        <v/>
      </c>
      <c r="M673" s="3">
        <f>IF(AND('Data Source'!B673&lt;&gt;"",'Data Source'!S673="F"),IF('Data Source'!AE673&gt;=5,"A+",IF('Data Source'!AE673&gt;=4,"A",IF('Data Source'!AE673&gt;=3.5,"A-",IF('Data Source'!AE673&gt;=3,"B",IF('Data Source'!AE673&gt;=2,"C",IF('Data Source'!AE673&gt;=1,"D","F")))))),"")</f>
        <v/>
      </c>
      <c r="N673" s="3">
        <f>IF(AND('Data Source'!B673&lt;&gt;"",'Data Source'!S673="F"),IF('Data Source'!AF673&gt;=5,"A+",IF('Data Source'!AF673&gt;=4,"A",IF('Data Source'!AF673&gt;=3.5,"A-",IF('Data Source'!AF673&gt;=3,"B",IF('Data Source'!AF673&gt;=2,"C",IF('Data Source'!AF673&gt;=1,"D","F")))))),"")</f>
        <v/>
      </c>
      <c r="O673" s="3">
        <f>IF(AND('Data Source'!B673&lt;&gt;"",'Data Source'!S673="F"),IF('Data Source'!AG673&gt;=5,"A+",IF('Data Source'!AG673&gt;=4,"A",IF('Data Source'!AG673&gt;=3.5,"A-",IF('Data Source'!AG673&gt;=3,"B",IF('Data Source'!AG673&gt;=2,"C",IF('Data Source'!AG673&gt;=1,"D","F")))))),"")</f>
        <v/>
      </c>
      <c r="P673" s="5">
        <f>IF(AND('Data Source'!B673&lt;&gt;"",'Data Source'!S673="F"),'Data Source'!R673,"")</f>
        <v/>
      </c>
      <c r="Q673" s="3">
        <f>IF(AND('Data Source'!B673&lt;&gt;"",'Data Source'!S673="F"),'Data Source'!S673,"")</f>
        <v/>
      </c>
    </row>
    <row r="674">
      <c r="A674" s="3">
        <f>IF(AND('Data Source'!B674&lt;&gt;"",'Data Source'!S674="F"),COUNTIF('Data Source'!$S$3:S674,"F"),"")</f>
        <v/>
      </c>
      <c r="B674">
        <f>IF(AND('Data Source'!B674&lt;&gt;"",'Data Source'!S674="F"),'Data Source'!B674,"")</f>
        <v/>
      </c>
      <c r="C674" s="3">
        <f>IF(AND('Data Source'!B674&lt;&gt;"",'Data Source'!S674="F"),IF('Data Source'!U674&gt;=5,"A+",IF('Data Source'!U674&gt;=4,"A",IF('Data Source'!U674&gt;=3.5,"A-",IF('Data Source'!U674&gt;=3,"B",IF('Data Source'!U674&gt;=2,"C",IF('Data Source'!U674&gt;=1,"D","F")))))),"")</f>
        <v/>
      </c>
      <c r="D674" s="3">
        <f>IF(AND('Data Source'!B674&lt;&gt;"",'Data Source'!S674="F"),IF('Data Source'!V674&gt;=5,"A+",IF('Data Source'!V674&gt;=4,"A",IF('Data Source'!V674&gt;=3.5,"A-",IF('Data Source'!V674&gt;=3,"B",IF('Data Source'!V674&gt;=2,"C",IF('Data Source'!V674&gt;=1,"D","F")))))),"")</f>
        <v/>
      </c>
      <c r="E674" s="3">
        <f>IF(AND('Data Source'!B674&lt;&gt;"",'Data Source'!S674="F"),IF('Data Source'!W674&gt;=5,"A+",IF('Data Source'!W674&gt;=4,"A",IF('Data Source'!W674&gt;=3.5,"A-",IF('Data Source'!W674&gt;=3,"B",IF('Data Source'!W674&gt;=2,"C",IF('Data Source'!W674&gt;=1,"D","F")))))),"")</f>
        <v/>
      </c>
      <c r="F674" s="3">
        <f>IF(AND('Data Source'!B674&lt;&gt;"",'Data Source'!S674="F"),IF('Data Source'!X674&gt;=5,"A+",IF('Data Source'!X674&gt;=4,"A",IF('Data Source'!X674&gt;=3.5,"A-",IF('Data Source'!X674&gt;=3,"B",IF('Data Source'!X674&gt;=2,"C",IF('Data Source'!X674&gt;=1,"D","F")))))),"")</f>
        <v/>
      </c>
      <c r="G674" s="3">
        <f>IF(AND('Data Source'!B674&lt;&gt;"",'Data Source'!S674="F"),IF('Data Source'!Y674&gt;=5,"A+",IF('Data Source'!Y674&gt;=4,"A",IF('Data Source'!Y674&gt;=3.5,"A-",IF('Data Source'!Y674&gt;=3,"B",IF('Data Source'!Y674&gt;=2,"C",IF('Data Source'!Y674&gt;=1,"D","F")))))),"")</f>
        <v/>
      </c>
      <c r="H674" s="3">
        <f>IF(AND('Data Source'!B674&lt;&gt;"",'Data Source'!S674="F"),IF('Data Source'!Z674&gt;=5,"A+",IF('Data Source'!Z674&gt;=4,"A",IF('Data Source'!Z674&gt;=3.5,"A-",IF('Data Source'!Z674&gt;=3,"B",IF('Data Source'!Z674&gt;=2,"C",IF('Data Source'!Z674&gt;=1,"D","F")))))),"")</f>
        <v/>
      </c>
      <c r="I674" s="3">
        <f>IF(AND('Data Source'!B674&lt;&gt;"",'Data Source'!S674="F"),IF('Data Source'!AA674&gt;=5,"A+",IF('Data Source'!AA674&gt;=4,"A",IF('Data Source'!AA674&gt;=3.5,"A-",IF('Data Source'!AA674&gt;=3,"B",IF('Data Source'!AA674&gt;=2,"C",IF('Data Source'!AA674&gt;=1,"D","F")))))),"")</f>
        <v/>
      </c>
      <c r="J674" s="3">
        <f>IF(AND('Data Source'!B674&lt;&gt;"",'Data Source'!S674="F"),IF('Data Source'!AB674&gt;=5,"A+",IF('Data Source'!AB674&gt;=4,"A",IF('Data Source'!AB674&gt;=3.5,"A-",IF('Data Source'!AB674&gt;=3,"B",IF('Data Source'!AB674&gt;=2,"C",IF('Data Source'!AB674&gt;=1,"D","F")))))),"")</f>
        <v/>
      </c>
      <c r="K674" s="3">
        <f>IF(AND('Data Source'!B674&lt;&gt;"",'Data Source'!S674="F"),IF('Data Source'!AC674&gt;=5,"A+",IF('Data Source'!AC674&gt;=4,"A",IF('Data Source'!AC674&gt;=3.5,"A-",IF('Data Source'!AC674&gt;=3,"B",IF('Data Source'!AC674&gt;=2,"C",IF('Data Source'!AC674&gt;=1,"D","F")))))),"")</f>
        <v/>
      </c>
      <c r="L674" s="3">
        <f>IF(AND('Data Source'!B674&lt;&gt;"",'Data Source'!S674="F"),IF('Data Source'!AD674&gt;=5,"A+",IF('Data Source'!AD674&gt;=4,"A",IF('Data Source'!AD674&gt;=3.5,"A-",IF('Data Source'!AD674&gt;=3,"B",IF('Data Source'!AD674&gt;=2,"C",IF('Data Source'!AD674&gt;=1,"D","F")))))),"")</f>
        <v/>
      </c>
      <c r="M674" s="3">
        <f>IF(AND('Data Source'!B674&lt;&gt;"",'Data Source'!S674="F"),IF('Data Source'!AE674&gt;=5,"A+",IF('Data Source'!AE674&gt;=4,"A",IF('Data Source'!AE674&gt;=3.5,"A-",IF('Data Source'!AE674&gt;=3,"B",IF('Data Source'!AE674&gt;=2,"C",IF('Data Source'!AE674&gt;=1,"D","F")))))),"")</f>
        <v/>
      </c>
      <c r="N674" s="3">
        <f>IF(AND('Data Source'!B674&lt;&gt;"",'Data Source'!S674="F"),IF('Data Source'!AF674&gt;=5,"A+",IF('Data Source'!AF674&gt;=4,"A",IF('Data Source'!AF674&gt;=3.5,"A-",IF('Data Source'!AF674&gt;=3,"B",IF('Data Source'!AF674&gt;=2,"C",IF('Data Source'!AF674&gt;=1,"D","F")))))),"")</f>
        <v/>
      </c>
      <c r="O674" s="3">
        <f>IF(AND('Data Source'!B674&lt;&gt;"",'Data Source'!S674="F"),IF('Data Source'!AG674&gt;=5,"A+",IF('Data Source'!AG674&gt;=4,"A",IF('Data Source'!AG674&gt;=3.5,"A-",IF('Data Source'!AG674&gt;=3,"B",IF('Data Source'!AG674&gt;=2,"C",IF('Data Source'!AG674&gt;=1,"D","F")))))),"")</f>
        <v/>
      </c>
      <c r="P674" s="5">
        <f>IF(AND('Data Source'!B674&lt;&gt;"",'Data Source'!S674="F"),'Data Source'!R674,"")</f>
        <v/>
      </c>
      <c r="Q674" s="3">
        <f>IF(AND('Data Source'!B674&lt;&gt;"",'Data Source'!S674="F"),'Data Source'!S674,"")</f>
        <v/>
      </c>
    </row>
    <row r="675">
      <c r="A675" s="3">
        <f>IF(AND('Data Source'!B675&lt;&gt;"",'Data Source'!S675="F"),COUNTIF('Data Source'!$S$3:S675,"F"),"")</f>
        <v/>
      </c>
      <c r="B675">
        <f>IF(AND('Data Source'!B675&lt;&gt;"",'Data Source'!S675="F"),'Data Source'!B675,"")</f>
        <v/>
      </c>
      <c r="C675" s="3">
        <f>IF(AND('Data Source'!B675&lt;&gt;"",'Data Source'!S675="F"),IF('Data Source'!U675&gt;=5,"A+",IF('Data Source'!U675&gt;=4,"A",IF('Data Source'!U675&gt;=3.5,"A-",IF('Data Source'!U675&gt;=3,"B",IF('Data Source'!U675&gt;=2,"C",IF('Data Source'!U675&gt;=1,"D","F")))))),"")</f>
        <v/>
      </c>
      <c r="D675" s="3">
        <f>IF(AND('Data Source'!B675&lt;&gt;"",'Data Source'!S675="F"),IF('Data Source'!V675&gt;=5,"A+",IF('Data Source'!V675&gt;=4,"A",IF('Data Source'!V675&gt;=3.5,"A-",IF('Data Source'!V675&gt;=3,"B",IF('Data Source'!V675&gt;=2,"C",IF('Data Source'!V675&gt;=1,"D","F")))))),"")</f>
        <v/>
      </c>
      <c r="E675" s="3">
        <f>IF(AND('Data Source'!B675&lt;&gt;"",'Data Source'!S675="F"),IF('Data Source'!W675&gt;=5,"A+",IF('Data Source'!W675&gt;=4,"A",IF('Data Source'!W675&gt;=3.5,"A-",IF('Data Source'!W675&gt;=3,"B",IF('Data Source'!W675&gt;=2,"C",IF('Data Source'!W675&gt;=1,"D","F")))))),"")</f>
        <v/>
      </c>
      <c r="F675" s="3">
        <f>IF(AND('Data Source'!B675&lt;&gt;"",'Data Source'!S675="F"),IF('Data Source'!X675&gt;=5,"A+",IF('Data Source'!X675&gt;=4,"A",IF('Data Source'!X675&gt;=3.5,"A-",IF('Data Source'!X675&gt;=3,"B",IF('Data Source'!X675&gt;=2,"C",IF('Data Source'!X675&gt;=1,"D","F")))))),"")</f>
        <v/>
      </c>
      <c r="G675" s="3">
        <f>IF(AND('Data Source'!B675&lt;&gt;"",'Data Source'!S675="F"),IF('Data Source'!Y675&gt;=5,"A+",IF('Data Source'!Y675&gt;=4,"A",IF('Data Source'!Y675&gt;=3.5,"A-",IF('Data Source'!Y675&gt;=3,"B",IF('Data Source'!Y675&gt;=2,"C",IF('Data Source'!Y675&gt;=1,"D","F")))))),"")</f>
        <v/>
      </c>
      <c r="H675" s="3">
        <f>IF(AND('Data Source'!B675&lt;&gt;"",'Data Source'!S675="F"),IF('Data Source'!Z675&gt;=5,"A+",IF('Data Source'!Z675&gt;=4,"A",IF('Data Source'!Z675&gt;=3.5,"A-",IF('Data Source'!Z675&gt;=3,"B",IF('Data Source'!Z675&gt;=2,"C",IF('Data Source'!Z675&gt;=1,"D","F")))))),"")</f>
        <v/>
      </c>
      <c r="I675" s="3">
        <f>IF(AND('Data Source'!B675&lt;&gt;"",'Data Source'!S675="F"),IF('Data Source'!AA675&gt;=5,"A+",IF('Data Source'!AA675&gt;=4,"A",IF('Data Source'!AA675&gt;=3.5,"A-",IF('Data Source'!AA675&gt;=3,"B",IF('Data Source'!AA675&gt;=2,"C",IF('Data Source'!AA675&gt;=1,"D","F")))))),"")</f>
        <v/>
      </c>
      <c r="J675" s="3">
        <f>IF(AND('Data Source'!B675&lt;&gt;"",'Data Source'!S675="F"),IF('Data Source'!AB675&gt;=5,"A+",IF('Data Source'!AB675&gt;=4,"A",IF('Data Source'!AB675&gt;=3.5,"A-",IF('Data Source'!AB675&gt;=3,"B",IF('Data Source'!AB675&gt;=2,"C",IF('Data Source'!AB675&gt;=1,"D","F")))))),"")</f>
        <v/>
      </c>
      <c r="K675" s="3">
        <f>IF(AND('Data Source'!B675&lt;&gt;"",'Data Source'!S675="F"),IF('Data Source'!AC675&gt;=5,"A+",IF('Data Source'!AC675&gt;=4,"A",IF('Data Source'!AC675&gt;=3.5,"A-",IF('Data Source'!AC675&gt;=3,"B",IF('Data Source'!AC675&gt;=2,"C",IF('Data Source'!AC675&gt;=1,"D","F")))))),"")</f>
        <v/>
      </c>
      <c r="L675" s="3">
        <f>IF(AND('Data Source'!B675&lt;&gt;"",'Data Source'!S675="F"),IF('Data Source'!AD675&gt;=5,"A+",IF('Data Source'!AD675&gt;=4,"A",IF('Data Source'!AD675&gt;=3.5,"A-",IF('Data Source'!AD675&gt;=3,"B",IF('Data Source'!AD675&gt;=2,"C",IF('Data Source'!AD675&gt;=1,"D","F")))))),"")</f>
        <v/>
      </c>
      <c r="M675" s="3">
        <f>IF(AND('Data Source'!B675&lt;&gt;"",'Data Source'!S675="F"),IF('Data Source'!AE675&gt;=5,"A+",IF('Data Source'!AE675&gt;=4,"A",IF('Data Source'!AE675&gt;=3.5,"A-",IF('Data Source'!AE675&gt;=3,"B",IF('Data Source'!AE675&gt;=2,"C",IF('Data Source'!AE675&gt;=1,"D","F")))))),"")</f>
        <v/>
      </c>
      <c r="N675" s="3">
        <f>IF(AND('Data Source'!B675&lt;&gt;"",'Data Source'!S675="F"),IF('Data Source'!AF675&gt;=5,"A+",IF('Data Source'!AF675&gt;=4,"A",IF('Data Source'!AF675&gt;=3.5,"A-",IF('Data Source'!AF675&gt;=3,"B",IF('Data Source'!AF675&gt;=2,"C",IF('Data Source'!AF675&gt;=1,"D","F")))))),"")</f>
        <v/>
      </c>
      <c r="O675" s="3">
        <f>IF(AND('Data Source'!B675&lt;&gt;"",'Data Source'!S675="F"),IF('Data Source'!AG675&gt;=5,"A+",IF('Data Source'!AG675&gt;=4,"A",IF('Data Source'!AG675&gt;=3.5,"A-",IF('Data Source'!AG675&gt;=3,"B",IF('Data Source'!AG675&gt;=2,"C",IF('Data Source'!AG675&gt;=1,"D","F")))))),"")</f>
        <v/>
      </c>
      <c r="P675" s="5">
        <f>IF(AND('Data Source'!B675&lt;&gt;"",'Data Source'!S675="F"),'Data Source'!R675,"")</f>
        <v/>
      </c>
      <c r="Q675" s="3">
        <f>IF(AND('Data Source'!B675&lt;&gt;"",'Data Source'!S675="F"),'Data Source'!S675,"")</f>
        <v/>
      </c>
    </row>
    <row r="676">
      <c r="A676" s="3">
        <f>IF(AND('Data Source'!B676&lt;&gt;"",'Data Source'!S676="F"),COUNTIF('Data Source'!$S$3:S676,"F"),"")</f>
        <v/>
      </c>
      <c r="B676">
        <f>IF(AND('Data Source'!B676&lt;&gt;"",'Data Source'!S676="F"),'Data Source'!B676,"")</f>
        <v/>
      </c>
      <c r="C676" s="3">
        <f>IF(AND('Data Source'!B676&lt;&gt;"",'Data Source'!S676="F"),IF('Data Source'!U676&gt;=5,"A+",IF('Data Source'!U676&gt;=4,"A",IF('Data Source'!U676&gt;=3.5,"A-",IF('Data Source'!U676&gt;=3,"B",IF('Data Source'!U676&gt;=2,"C",IF('Data Source'!U676&gt;=1,"D","F")))))),"")</f>
        <v/>
      </c>
      <c r="D676" s="3">
        <f>IF(AND('Data Source'!B676&lt;&gt;"",'Data Source'!S676="F"),IF('Data Source'!V676&gt;=5,"A+",IF('Data Source'!V676&gt;=4,"A",IF('Data Source'!V676&gt;=3.5,"A-",IF('Data Source'!V676&gt;=3,"B",IF('Data Source'!V676&gt;=2,"C",IF('Data Source'!V676&gt;=1,"D","F")))))),"")</f>
        <v/>
      </c>
      <c r="E676" s="3">
        <f>IF(AND('Data Source'!B676&lt;&gt;"",'Data Source'!S676="F"),IF('Data Source'!W676&gt;=5,"A+",IF('Data Source'!W676&gt;=4,"A",IF('Data Source'!W676&gt;=3.5,"A-",IF('Data Source'!W676&gt;=3,"B",IF('Data Source'!W676&gt;=2,"C",IF('Data Source'!W676&gt;=1,"D","F")))))),"")</f>
        <v/>
      </c>
      <c r="F676" s="3">
        <f>IF(AND('Data Source'!B676&lt;&gt;"",'Data Source'!S676="F"),IF('Data Source'!X676&gt;=5,"A+",IF('Data Source'!X676&gt;=4,"A",IF('Data Source'!X676&gt;=3.5,"A-",IF('Data Source'!X676&gt;=3,"B",IF('Data Source'!X676&gt;=2,"C",IF('Data Source'!X676&gt;=1,"D","F")))))),"")</f>
        <v/>
      </c>
      <c r="G676" s="3">
        <f>IF(AND('Data Source'!B676&lt;&gt;"",'Data Source'!S676="F"),IF('Data Source'!Y676&gt;=5,"A+",IF('Data Source'!Y676&gt;=4,"A",IF('Data Source'!Y676&gt;=3.5,"A-",IF('Data Source'!Y676&gt;=3,"B",IF('Data Source'!Y676&gt;=2,"C",IF('Data Source'!Y676&gt;=1,"D","F")))))),"")</f>
        <v/>
      </c>
      <c r="H676" s="3">
        <f>IF(AND('Data Source'!B676&lt;&gt;"",'Data Source'!S676="F"),IF('Data Source'!Z676&gt;=5,"A+",IF('Data Source'!Z676&gt;=4,"A",IF('Data Source'!Z676&gt;=3.5,"A-",IF('Data Source'!Z676&gt;=3,"B",IF('Data Source'!Z676&gt;=2,"C",IF('Data Source'!Z676&gt;=1,"D","F")))))),"")</f>
        <v/>
      </c>
      <c r="I676" s="3">
        <f>IF(AND('Data Source'!B676&lt;&gt;"",'Data Source'!S676="F"),IF('Data Source'!AA676&gt;=5,"A+",IF('Data Source'!AA676&gt;=4,"A",IF('Data Source'!AA676&gt;=3.5,"A-",IF('Data Source'!AA676&gt;=3,"B",IF('Data Source'!AA676&gt;=2,"C",IF('Data Source'!AA676&gt;=1,"D","F")))))),"")</f>
        <v/>
      </c>
      <c r="J676" s="3">
        <f>IF(AND('Data Source'!B676&lt;&gt;"",'Data Source'!S676="F"),IF('Data Source'!AB676&gt;=5,"A+",IF('Data Source'!AB676&gt;=4,"A",IF('Data Source'!AB676&gt;=3.5,"A-",IF('Data Source'!AB676&gt;=3,"B",IF('Data Source'!AB676&gt;=2,"C",IF('Data Source'!AB676&gt;=1,"D","F")))))),"")</f>
        <v/>
      </c>
      <c r="K676" s="3">
        <f>IF(AND('Data Source'!B676&lt;&gt;"",'Data Source'!S676="F"),IF('Data Source'!AC676&gt;=5,"A+",IF('Data Source'!AC676&gt;=4,"A",IF('Data Source'!AC676&gt;=3.5,"A-",IF('Data Source'!AC676&gt;=3,"B",IF('Data Source'!AC676&gt;=2,"C",IF('Data Source'!AC676&gt;=1,"D","F")))))),"")</f>
        <v/>
      </c>
      <c r="L676" s="3">
        <f>IF(AND('Data Source'!B676&lt;&gt;"",'Data Source'!S676="F"),IF('Data Source'!AD676&gt;=5,"A+",IF('Data Source'!AD676&gt;=4,"A",IF('Data Source'!AD676&gt;=3.5,"A-",IF('Data Source'!AD676&gt;=3,"B",IF('Data Source'!AD676&gt;=2,"C",IF('Data Source'!AD676&gt;=1,"D","F")))))),"")</f>
        <v/>
      </c>
      <c r="M676" s="3">
        <f>IF(AND('Data Source'!B676&lt;&gt;"",'Data Source'!S676="F"),IF('Data Source'!AE676&gt;=5,"A+",IF('Data Source'!AE676&gt;=4,"A",IF('Data Source'!AE676&gt;=3.5,"A-",IF('Data Source'!AE676&gt;=3,"B",IF('Data Source'!AE676&gt;=2,"C",IF('Data Source'!AE676&gt;=1,"D","F")))))),"")</f>
        <v/>
      </c>
      <c r="N676" s="3">
        <f>IF(AND('Data Source'!B676&lt;&gt;"",'Data Source'!S676="F"),IF('Data Source'!AF676&gt;=5,"A+",IF('Data Source'!AF676&gt;=4,"A",IF('Data Source'!AF676&gt;=3.5,"A-",IF('Data Source'!AF676&gt;=3,"B",IF('Data Source'!AF676&gt;=2,"C",IF('Data Source'!AF676&gt;=1,"D","F")))))),"")</f>
        <v/>
      </c>
      <c r="O676" s="3">
        <f>IF(AND('Data Source'!B676&lt;&gt;"",'Data Source'!S676="F"),IF('Data Source'!AG676&gt;=5,"A+",IF('Data Source'!AG676&gt;=4,"A",IF('Data Source'!AG676&gt;=3.5,"A-",IF('Data Source'!AG676&gt;=3,"B",IF('Data Source'!AG676&gt;=2,"C",IF('Data Source'!AG676&gt;=1,"D","F")))))),"")</f>
        <v/>
      </c>
      <c r="P676" s="5">
        <f>IF(AND('Data Source'!B676&lt;&gt;"",'Data Source'!S676="F"),'Data Source'!R676,"")</f>
        <v/>
      </c>
      <c r="Q676" s="3">
        <f>IF(AND('Data Source'!B676&lt;&gt;"",'Data Source'!S676="F"),'Data Source'!S676,"")</f>
        <v/>
      </c>
    </row>
    <row r="677">
      <c r="A677" s="3">
        <f>IF(AND('Data Source'!B677&lt;&gt;"",'Data Source'!S677="F"),COUNTIF('Data Source'!$S$3:S677,"F"),"")</f>
        <v/>
      </c>
      <c r="B677">
        <f>IF(AND('Data Source'!B677&lt;&gt;"",'Data Source'!S677="F"),'Data Source'!B677,"")</f>
        <v/>
      </c>
      <c r="C677" s="3">
        <f>IF(AND('Data Source'!B677&lt;&gt;"",'Data Source'!S677="F"),IF('Data Source'!U677&gt;=5,"A+",IF('Data Source'!U677&gt;=4,"A",IF('Data Source'!U677&gt;=3.5,"A-",IF('Data Source'!U677&gt;=3,"B",IF('Data Source'!U677&gt;=2,"C",IF('Data Source'!U677&gt;=1,"D","F")))))),"")</f>
        <v/>
      </c>
      <c r="D677" s="3">
        <f>IF(AND('Data Source'!B677&lt;&gt;"",'Data Source'!S677="F"),IF('Data Source'!V677&gt;=5,"A+",IF('Data Source'!V677&gt;=4,"A",IF('Data Source'!V677&gt;=3.5,"A-",IF('Data Source'!V677&gt;=3,"B",IF('Data Source'!V677&gt;=2,"C",IF('Data Source'!V677&gt;=1,"D","F")))))),"")</f>
        <v/>
      </c>
      <c r="E677" s="3">
        <f>IF(AND('Data Source'!B677&lt;&gt;"",'Data Source'!S677="F"),IF('Data Source'!W677&gt;=5,"A+",IF('Data Source'!W677&gt;=4,"A",IF('Data Source'!W677&gt;=3.5,"A-",IF('Data Source'!W677&gt;=3,"B",IF('Data Source'!W677&gt;=2,"C",IF('Data Source'!W677&gt;=1,"D","F")))))),"")</f>
        <v/>
      </c>
      <c r="F677" s="3">
        <f>IF(AND('Data Source'!B677&lt;&gt;"",'Data Source'!S677="F"),IF('Data Source'!X677&gt;=5,"A+",IF('Data Source'!X677&gt;=4,"A",IF('Data Source'!X677&gt;=3.5,"A-",IF('Data Source'!X677&gt;=3,"B",IF('Data Source'!X677&gt;=2,"C",IF('Data Source'!X677&gt;=1,"D","F")))))),"")</f>
        <v/>
      </c>
      <c r="G677" s="3">
        <f>IF(AND('Data Source'!B677&lt;&gt;"",'Data Source'!S677="F"),IF('Data Source'!Y677&gt;=5,"A+",IF('Data Source'!Y677&gt;=4,"A",IF('Data Source'!Y677&gt;=3.5,"A-",IF('Data Source'!Y677&gt;=3,"B",IF('Data Source'!Y677&gt;=2,"C",IF('Data Source'!Y677&gt;=1,"D","F")))))),"")</f>
        <v/>
      </c>
      <c r="H677" s="3">
        <f>IF(AND('Data Source'!B677&lt;&gt;"",'Data Source'!S677="F"),IF('Data Source'!Z677&gt;=5,"A+",IF('Data Source'!Z677&gt;=4,"A",IF('Data Source'!Z677&gt;=3.5,"A-",IF('Data Source'!Z677&gt;=3,"B",IF('Data Source'!Z677&gt;=2,"C",IF('Data Source'!Z677&gt;=1,"D","F")))))),"")</f>
        <v/>
      </c>
      <c r="I677" s="3">
        <f>IF(AND('Data Source'!B677&lt;&gt;"",'Data Source'!S677="F"),IF('Data Source'!AA677&gt;=5,"A+",IF('Data Source'!AA677&gt;=4,"A",IF('Data Source'!AA677&gt;=3.5,"A-",IF('Data Source'!AA677&gt;=3,"B",IF('Data Source'!AA677&gt;=2,"C",IF('Data Source'!AA677&gt;=1,"D","F")))))),"")</f>
        <v/>
      </c>
      <c r="J677" s="3">
        <f>IF(AND('Data Source'!B677&lt;&gt;"",'Data Source'!S677="F"),IF('Data Source'!AB677&gt;=5,"A+",IF('Data Source'!AB677&gt;=4,"A",IF('Data Source'!AB677&gt;=3.5,"A-",IF('Data Source'!AB677&gt;=3,"B",IF('Data Source'!AB677&gt;=2,"C",IF('Data Source'!AB677&gt;=1,"D","F")))))),"")</f>
        <v/>
      </c>
      <c r="K677" s="3">
        <f>IF(AND('Data Source'!B677&lt;&gt;"",'Data Source'!S677="F"),IF('Data Source'!AC677&gt;=5,"A+",IF('Data Source'!AC677&gt;=4,"A",IF('Data Source'!AC677&gt;=3.5,"A-",IF('Data Source'!AC677&gt;=3,"B",IF('Data Source'!AC677&gt;=2,"C",IF('Data Source'!AC677&gt;=1,"D","F")))))),"")</f>
        <v/>
      </c>
      <c r="L677" s="3">
        <f>IF(AND('Data Source'!B677&lt;&gt;"",'Data Source'!S677="F"),IF('Data Source'!AD677&gt;=5,"A+",IF('Data Source'!AD677&gt;=4,"A",IF('Data Source'!AD677&gt;=3.5,"A-",IF('Data Source'!AD677&gt;=3,"B",IF('Data Source'!AD677&gt;=2,"C",IF('Data Source'!AD677&gt;=1,"D","F")))))),"")</f>
        <v/>
      </c>
      <c r="M677" s="3">
        <f>IF(AND('Data Source'!B677&lt;&gt;"",'Data Source'!S677="F"),IF('Data Source'!AE677&gt;=5,"A+",IF('Data Source'!AE677&gt;=4,"A",IF('Data Source'!AE677&gt;=3.5,"A-",IF('Data Source'!AE677&gt;=3,"B",IF('Data Source'!AE677&gt;=2,"C",IF('Data Source'!AE677&gt;=1,"D","F")))))),"")</f>
        <v/>
      </c>
      <c r="N677" s="3">
        <f>IF(AND('Data Source'!B677&lt;&gt;"",'Data Source'!S677="F"),IF('Data Source'!AF677&gt;=5,"A+",IF('Data Source'!AF677&gt;=4,"A",IF('Data Source'!AF677&gt;=3.5,"A-",IF('Data Source'!AF677&gt;=3,"B",IF('Data Source'!AF677&gt;=2,"C",IF('Data Source'!AF677&gt;=1,"D","F")))))),"")</f>
        <v/>
      </c>
      <c r="O677" s="3">
        <f>IF(AND('Data Source'!B677&lt;&gt;"",'Data Source'!S677="F"),IF('Data Source'!AG677&gt;=5,"A+",IF('Data Source'!AG677&gt;=4,"A",IF('Data Source'!AG677&gt;=3.5,"A-",IF('Data Source'!AG677&gt;=3,"B",IF('Data Source'!AG677&gt;=2,"C",IF('Data Source'!AG677&gt;=1,"D","F")))))),"")</f>
        <v/>
      </c>
      <c r="P677" s="5">
        <f>IF(AND('Data Source'!B677&lt;&gt;"",'Data Source'!S677="F"),'Data Source'!R677,"")</f>
        <v/>
      </c>
      <c r="Q677" s="3">
        <f>IF(AND('Data Source'!B677&lt;&gt;"",'Data Source'!S677="F"),'Data Source'!S677,"")</f>
        <v/>
      </c>
    </row>
    <row r="678">
      <c r="A678" s="3">
        <f>IF(AND('Data Source'!B678&lt;&gt;"",'Data Source'!S678="F"),COUNTIF('Data Source'!$S$3:S678,"F"),"")</f>
        <v/>
      </c>
      <c r="B678">
        <f>IF(AND('Data Source'!B678&lt;&gt;"",'Data Source'!S678="F"),'Data Source'!B678,"")</f>
        <v/>
      </c>
      <c r="C678" s="3">
        <f>IF(AND('Data Source'!B678&lt;&gt;"",'Data Source'!S678="F"),IF('Data Source'!U678&gt;=5,"A+",IF('Data Source'!U678&gt;=4,"A",IF('Data Source'!U678&gt;=3.5,"A-",IF('Data Source'!U678&gt;=3,"B",IF('Data Source'!U678&gt;=2,"C",IF('Data Source'!U678&gt;=1,"D","F")))))),"")</f>
        <v/>
      </c>
      <c r="D678" s="3">
        <f>IF(AND('Data Source'!B678&lt;&gt;"",'Data Source'!S678="F"),IF('Data Source'!V678&gt;=5,"A+",IF('Data Source'!V678&gt;=4,"A",IF('Data Source'!V678&gt;=3.5,"A-",IF('Data Source'!V678&gt;=3,"B",IF('Data Source'!V678&gt;=2,"C",IF('Data Source'!V678&gt;=1,"D","F")))))),"")</f>
        <v/>
      </c>
      <c r="E678" s="3">
        <f>IF(AND('Data Source'!B678&lt;&gt;"",'Data Source'!S678="F"),IF('Data Source'!W678&gt;=5,"A+",IF('Data Source'!W678&gt;=4,"A",IF('Data Source'!W678&gt;=3.5,"A-",IF('Data Source'!W678&gt;=3,"B",IF('Data Source'!W678&gt;=2,"C",IF('Data Source'!W678&gt;=1,"D","F")))))),"")</f>
        <v/>
      </c>
      <c r="F678" s="3">
        <f>IF(AND('Data Source'!B678&lt;&gt;"",'Data Source'!S678="F"),IF('Data Source'!X678&gt;=5,"A+",IF('Data Source'!X678&gt;=4,"A",IF('Data Source'!X678&gt;=3.5,"A-",IF('Data Source'!X678&gt;=3,"B",IF('Data Source'!X678&gt;=2,"C",IF('Data Source'!X678&gt;=1,"D","F")))))),"")</f>
        <v/>
      </c>
      <c r="G678" s="3">
        <f>IF(AND('Data Source'!B678&lt;&gt;"",'Data Source'!S678="F"),IF('Data Source'!Y678&gt;=5,"A+",IF('Data Source'!Y678&gt;=4,"A",IF('Data Source'!Y678&gt;=3.5,"A-",IF('Data Source'!Y678&gt;=3,"B",IF('Data Source'!Y678&gt;=2,"C",IF('Data Source'!Y678&gt;=1,"D","F")))))),"")</f>
        <v/>
      </c>
      <c r="H678" s="3">
        <f>IF(AND('Data Source'!B678&lt;&gt;"",'Data Source'!S678="F"),IF('Data Source'!Z678&gt;=5,"A+",IF('Data Source'!Z678&gt;=4,"A",IF('Data Source'!Z678&gt;=3.5,"A-",IF('Data Source'!Z678&gt;=3,"B",IF('Data Source'!Z678&gt;=2,"C",IF('Data Source'!Z678&gt;=1,"D","F")))))),"")</f>
        <v/>
      </c>
      <c r="I678" s="3">
        <f>IF(AND('Data Source'!B678&lt;&gt;"",'Data Source'!S678="F"),IF('Data Source'!AA678&gt;=5,"A+",IF('Data Source'!AA678&gt;=4,"A",IF('Data Source'!AA678&gt;=3.5,"A-",IF('Data Source'!AA678&gt;=3,"B",IF('Data Source'!AA678&gt;=2,"C",IF('Data Source'!AA678&gt;=1,"D","F")))))),"")</f>
        <v/>
      </c>
      <c r="J678" s="3">
        <f>IF(AND('Data Source'!B678&lt;&gt;"",'Data Source'!S678="F"),IF('Data Source'!AB678&gt;=5,"A+",IF('Data Source'!AB678&gt;=4,"A",IF('Data Source'!AB678&gt;=3.5,"A-",IF('Data Source'!AB678&gt;=3,"B",IF('Data Source'!AB678&gt;=2,"C",IF('Data Source'!AB678&gt;=1,"D","F")))))),"")</f>
        <v/>
      </c>
      <c r="K678" s="3">
        <f>IF(AND('Data Source'!B678&lt;&gt;"",'Data Source'!S678="F"),IF('Data Source'!AC678&gt;=5,"A+",IF('Data Source'!AC678&gt;=4,"A",IF('Data Source'!AC678&gt;=3.5,"A-",IF('Data Source'!AC678&gt;=3,"B",IF('Data Source'!AC678&gt;=2,"C",IF('Data Source'!AC678&gt;=1,"D","F")))))),"")</f>
        <v/>
      </c>
      <c r="L678" s="3">
        <f>IF(AND('Data Source'!B678&lt;&gt;"",'Data Source'!S678="F"),IF('Data Source'!AD678&gt;=5,"A+",IF('Data Source'!AD678&gt;=4,"A",IF('Data Source'!AD678&gt;=3.5,"A-",IF('Data Source'!AD678&gt;=3,"B",IF('Data Source'!AD678&gt;=2,"C",IF('Data Source'!AD678&gt;=1,"D","F")))))),"")</f>
        <v/>
      </c>
      <c r="M678" s="3">
        <f>IF(AND('Data Source'!B678&lt;&gt;"",'Data Source'!S678="F"),IF('Data Source'!AE678&gt;=5,"A+",IF('Data Source'!AE678&gt;=4,"A",IF('Data Source'!AE678&gt;=3.5,"A-",IF('Data Source'!AE678&gt;=3,"B",IF('Data Source'!AE678&gt;=2,"C",IF('Data Source'!AE678&gt;=1,"D","F")))))),"")</f>
        <v/>
      </c>
      <c r="N678" s="3">
        <f>IF(AND('Data Source'!B678&lt;&gt;"",'Data Source'!S678="F"),IF('Data Source'!AF678&gt;=5,"A+",IF('Data Source'!AF678&gt;=4,"A",IF('Data Source'!AF678&gt;=3.5,"A-",IF('Data Source'!AF678&gt;=3,"B",IF('Data Source'!AF678&gt;=2,"C",IF('Data Source'!AF678&gt;=1,"D","F")))))),"")</f>
        <v/>
      </c>
      <c r="O678" s="3">
        <f>IF(AND('Data Source'!B678&lt;&gt;"",'Data Source'!S678="F"),IF('Data Source'!AG678&gt;=5,"A+",IF('Data Source'!AG678&gt;=4,"A",IF('Data Source'!AG678&gt;=3.5,"A-",IF('Data Source'!AG678&gt;=3,"B",IF('Data Source'!AG678&gt;=2,"C",IF('Data Source'!AG678&gt;=1,"D","F")))))),"")</f>
        <v/>
      </c>
      <c r="P678" s="5">
        <f>IF(AND('Data Source'!B678&lt;&gt;"",'Data Source'!S678="F"),'Data Source'!R678,"")</f>
        <v/>
      </c>
      <c r="Q678" s="3">
        <f>IF(AND('Data Source'!B678&lt;&gt;"",'Data Source'!S678="F"),'Data Source'!S678,"")</f>
        <v/>
      </c>
    </row>
    <row r="679">
      <c r="A679" s="3">
        <f>IF(AND('Data Source'!B679&lt;&gt;"",'Data Source'!S679="F"),COUNTIF('Data Source'!$S$3:S679,"F"),"")</f>
        <v/>
      </c>
      <c r="B679">
        <f>IF(AND('Data Source'!B679&lt;&gt;"",'Data Source'!S679="F"),'Data Source'!B679,"")</f>
        <v/>
      </c>
      <c r="C679" s="3">
        <f>IF(AND('Data Source'!B679&lt;&gt;"",'Data Source'!S679="F"),IF('Data Source'!U679&gt;=5,"A+",IF('Data Source'!U679&gt;=4,"A",IF('Data Source'!U679&gt;=3.5,"A-",IF('Data Source'!U679&gt;=3,"B",IF('Data Source'!U679&gt;=2,"C",IF('Data Source'!U679&gt;=1,"D","F")))))),"")</f>
        <v/>
      </c>
      <c r="D679" s="3">
        <f>IF(AND('Data Source'!B679&lt;&gt;"",'Data Source'!S679="F"),IF('Data Source'!V679&gt;=5,"A+",IF('Data Source'!V679&gt;=4,"A",IF('Data Source'!V679&gt;=3.5,"A-",IF('Data Source'!V679&gt;=3,"B",IF('Data Source'!V679&gt;=2,"C",IF('Data Source'!V679&gt;=1,"D","F")))))),"")</f>
        <v/>
      </c>
      <c r="E679" s="3">
        <f>IF(AND('Data Source'!B679&lt;&gt;"",'Data Source'!S679="F"),IF('Data Source'!W679&gt;=5,"A+",IF('Data Source'!W679&gt;=4,"A",IF('Data Source'!W679&gt;=3.5,"A-",IF('Data Source'!W679&gt;=3,"B",IF('Data Source'!W679&gt;=2,"C",IF('Data Source'!W679&gt;=1,"D","F")))))),"")</f>
        <v/>
      </c>
      <c r="F679" s="3">
        <f>IF(AND('Data Source'!B679&lt;&gt;"",'Data Source'!S679="F"),IF('Data Source'!X679&gt;=5,"A+",IF('Data Source'!X679&gt;=4,"A",IF('Data Source'!X679&gt;=3.5,"A-",IF('Data Source'!X679&gt;=3,"B",IF('Data Source'!X679&gt;=2,"C",IF('Data Source'!X679&gt;=1,"D","F")))))),"")</f>
        <v/>
      </c>
      <c r="G679" s="3">
        <f>IF(AND('Data Source'!B679&lt;&gt;"",'Data Source'!S679="F"),IF('Data Source'!Y679&gt;=5,"A+",IF('Data Source'!Y679&gt;=4,"A",IF('Data Source'!Y679&gt;=3.5,"A-",IF('Data Source'!Y679&gt;=3,"B",IF('Data Source'!Y679&gt;=2,"C",IF('Data Source'!Y679&gt;=1,"D","F")))))),"")</f>
        <v/>
      </c>
      <c r="H679" s="3">
        <f>IF(AND('Data Source'!B679&lt;&gt;"",'Data Source'!S679="F"),IF('Data Source'!Z679&gt;=5,"A+",IF('Data Source'!Z679&gt;=4,"A",IF('Data Source'!Z679&gt;=3.5,"A-",IF('Data Source'!Z679&gt;=3,"B",IF('Data Source'!Z679&gt;=2,"C",IF('Data Source'!Z679&gt;=1,"D","F")))))),"")</f>
        <v/>
      </c>
      <c r="I679" s="3">
        <f>IF(AND('Data Source'!B679&lt;&gt;"",'Data Source'!S679="F"),IF('Data Source'!AA679&gt;=5,"A+",IF('Data Source'!AA679&gt;=4,"A",IF('Data Source'!AA679&gt;=3.5,"A-",IF('Data Source'!AA679&gt;=3,"B",IF('Data Source'!AA679&gt;=2,"C",IF('Data Source'!AA679&gt;=1,"D","F")))))),"")</f>
        <v/>
      </c>
      <c r="J679" s="3">
        <f>IF(AND('Data Source'!B679&lt;&gt;"",'Data Source'!S679="F"),IF('Data Source'!AB679&gt;=5,"A+",IF('Data Source'!AB679&gt;=4,"A",IF('Data Source'!AB679&gt;=3.5,"A-",IF('Data Source'!AB679&gt;=3,"B",IF('Data Source'!AB679&gt;=2,"C",IF('Data Source'!AB679&gt;=1,"D","F")))))),"")</f>
        <v/>
      </c>
      <c r="K679" s="3">
        <f>IF(AND('Data Source'!B679&lt;&gt;"",'Data Source'!S679="F"),IF('Data Source'!AC679&gt;=5,"A+",IF('Data Source'!AC679&gt;=4,"A",IF('Data Source'!AC679&gt;=3.5,"A-",IF('Data Source'!AC679&gt;=3,"B",IF('Data Source'!AC679&gt;=2,"C",IF('Data Source'!AC679&gt;=1,"D","F")))))),"")</f>
        <v/>
      </c>
      <c r="L679" s="3">
        <f>IF(AND('Data Source'!B679&lt;&gt;"",'Data Source'!S679="F"),IF('Data Source'!AD679&gt;=5,"A+",IF('Data Source'!AD679&gt;=4,"A",IF('Data Source'!AD679&gt;=3.5,"A-",IF('Data Source'!AD679&gt;=3,"B",IF('Data Source'!AD679&gt;=2,"C",IF('Data Source'!AD679&gt;=1,"D","F")))))),"")</f>
        <v/>
      </c>
      <c r="M679" s="3">
        <f>IF(AND('Data Source'!B679&lt;&gt;"",'Data Source'!S679="F"),IF('Data Source'!AE679&gt;=5,"A+",IF('Data Source'!AE679&gt;=4,"A",IF('Data Source'!AE679&gt;=3.5,"A-",IF('Data Source'!AE679&gt;=3,"B",IF('Data Source'!AE679&gt;=2,"C",IF('Data Source'!AE679&gt;=1,"D","F")))))),"")</f>
        <v/>
      </c>
      <c r="N679" s="3">
        <f>IF(AND('Data Source'!B679&lt;&gt;"",'Data Source'!S679="F"),IF('Data Source'!AF679&gt;=5,"A+",IF('Data Source'!AF679&gt;=4,"A",IF('Data Source'!AF679&gt;=3.5,"A-",IF('Data Source'!AF679&gt;=3,"B",IF('Data Source'!AF679&gt;=2,"C",IF('Data Source'!AF679&gt;=1,"D","F")))))),"")</f>
        <v/>
      </c>
      <c r="O679" s="3">
        <f>IF(AND('Data Source'!B679&lt;&gt;"",'Data Source'!S679="F"),IF('Data Source'!AG679&gt;=5,"A+",IF('Data Source'!AG679&gt;=4,"A",IF('Data Source'!AG679&gt;=3.5,"A-",IF('Data Source'!AG679&gt;=3,"B",IF('Data Source'!AG679&gt;=2,"C",IF('Data Source'!AG679&gt;=1,"D","F")))))),"")</f>
        <v/>
      </c>
      <c r="P679" s="5">
        <f>IF(AND('Data Source'!B679&lt;&gt;"",'Data Source'!S679="F"),'Data Source'!R679,"")</f>
        <v/>
      </c>
      <c r="Q679" s="3">
        <f>IF(AND('Data Source'!B679&lt;&gt;"",'Data Source'!S679="F"),'Data Source'!S679,"")</f>
        <v/>
      </c>
    </row>
    <row r="680">
      <c r="A680" s="3">
        <f>IF(AND('Data Source'!B680&lt;&gt;"",'Data Source'!S680="F"),COUNTIF('Data Source'!$S$3:S680,"F"),"")</f>
        <v/>
      </c>
      <c r="B680">
        <f>IF(AND('Data Source'!B680&lt;&gt;"",'Data Source'!S680="F"),'Data Source'!B680,"")</f>
        <v/>
      </c>
      <c r="C680" s="3">
        <f>IF(AND('Data Source'!B680&lt;&gt;"",'Data Source'!S680="F"),IF('Data Source'!U680&gt;=5,"A+",IF('Data Source'!U680&gt;=4,"A",IF('Data Source'!U680&gt;=3.5,"A-",IF('Data Source'!U680&gt;=3,"B",IF('Data Source'!U680&gt;=2,"C",IF('Data Source'!U680&gt;=1,"D","F")))))),"")</f>
        <v/>
      </c>
      <c r="D680" s="3">
        <f>IF(AND('Data Source'!B680&lt;&gt;"",'Data Source'!S680="F"),IF('Data Source'!V680&gt;=5,"A+",IF('Data Source'!V680&gt;=4,"A",IF('Data Source'!V680&gt;=3.5,"A-",IF('Data Source'!V680&gt;=3,"B",IF('Data Source'!V680&gt;=2,"C",IF('Data Source'!V680&gt;=1,"D","F")))))),"")</f>
        <v/>
      </c>
      <c r="E680" s="3">
        <f>IF(AND('Data Source'!B680&lt;&gt;"",'Data Source'!S680="F"),IF('Data Source'!W680&gt;=5,"A+",IF('Data Source'!W680&gt;=4,"A",IF('Data Source'!W680&gt;=3.5,"A-",IF('Data Source'!W680&gt;=3,"B",IF('Data Source'!W680&gt;=2,"C",IF('Data Source'!W680&gt;=1,"D","F")))))),"")</f>
        <v/>
      </c>
      <c r="F680" s="3">
        <f>IF(AND('Data Source'!B680&lt;&gt;"",'Data Source'!S680="F"),IF('Data Source'!X680&gt;=5,"A+",IF('Data Source'!X680&gt;=4,"A",IF('Data Source'!X680&gt;=3.5,"A-",IF('Data Source'!X680&gt;=3,"B",IF('Data Source'!X680&gt;=2,"C",IF('Data Source'!X680&gt;=1,"D","F")))))),"")</f>
        <v/>
      </c>
      <c r="G680" s="3">
        <f>IF(AND('Data Source'!B680&lt;&gt;"",'Data Source'!S680="F"),IF('Data Source'!Y680&gt;=5,"A+",IF('Data Source'!Y680&gt;=4,"A",IF('Data Source'!Y680&gt;=3.5,"A-",IF('Data Source'!Y680&gt;=3,"B",IF('Data Source'!Y680&gt;=2,"C",IF('Data Source'!Y680&gt;=1,"D","F")))))),"")</f>
        <v/>
      </c>
      <c r="H680" s="3">
        <f>IF(AND('Data Source'!B680&lt;&gt;"",'Data Source'!S680="F"),IF('Data Source'!Z680&gt;=5,"A+",IF('Data Source'!Z680&gt;=4,"A",IF('Data Source'!Z680&gt;=3.5,"A-",IF('Data Source'!Z680&gt;=3,"B",IF('Data Source'!Z680&gt;=2,"C",IF('Data Source'!Z680&gt;=1,"D","F")))))),"")</f>
        <v/>
      </c>
      <c r="I680" s="3">
        <f>IF(AND('Data Source'!B680&lt;&gt;"",'Data Source'!S680="F"),IF('Data Source'!AA680&gt;=5,"A+",IF('Data Source'!AA680&gt;=4,"A",IF('Data Source'!AA680&gt;=3.5,"A-",IF('Data Source'!AA680&gt;=3,"B",IF('Data Source'!AA680&gt;=2,"C",IF('Data Source'!AA680&gt;=1,"D","F")))))),"")</f>
        <v/>
      </c>
      <c r="J680" s="3">
        <f>IF(AND('Data Source'!B680&lt;&gt;"",'Data Source'!S680="F"),IF('Data Source'!AB680&gt;=5,"A+",IF('Data Source'!AB680&gt;=4,"A",IF('Data Source'!AB680&gt;=3.5,"A-",IF('Data Source'!AB680&gt;=3,"B",IF('Data Source'!AB680&gt;=2,"C",IF('Data Source'!AB680&gt;=1,"D","F")))))),"")</f>
        <v/>
      </c>
      <c r="K680" s="3">
        <f>IF(AND('Data Source'!B680&lt;&gt;"",'Data Source'!S680="F"),IF('Data Source'!AC680&gt;=5,"A+",IF('Data Source'!AC680&gt;=4,"A",IF('Data Source'!AC680&gt;=3.5,"A-",IF('Data Source'!AC680&gt;=3,"B",IF('Data Source'!AC680&gt;=2,"C",IF('Data Source'!AC680&gt;=1,"D","F")))))),"")</f>
        <v/>
      </c>
      <c r="L680" s="3">
        <f>IF(AND('Data Source'!B680&lt;&gt;"",'Data Source'!S680="F"),IF('Data Source'!AD680&gt;=5,"A+",IF('Data Source'!AD680&gt;=4,"A",IF('Data Source'!AD680&gt;=3.5,"A-",IF('Data Source'!AD680&gt;=3,"B",IF('Data Source'!AD680&gt;=2,"C",IF('Data Source'!AD680&gt;=1,"D","F")))))),"")</f>
        <v/>
      </c>
      <c r="M680" s="3">
        <f>IF(AND('Data Source'!B680&lt;&gt;"",'Data Source'!S680="F"),IF('Data Source'!AE680&gt;=5,"A+",IF('Data Source'!AE680&gt;=4,"A",IF('Data Source'!AE680&gt;=3.5,"A-",IF('Data Source'!AE680&gt;=3,"B",IF('Data Source'!AE680&gt;=2,"C",IF('Data Source'!AE680&gt;=1,"D","F")))))),"")</f>
        <v/>
      </c>
      <c r="N680" s="3">
        <f>IF(AND('Data Source'!B680&lt;&gt;"",'Data Source'!S680="F"),IF('Data Source'!AF680&gt;=5,"A+",IF('Data Source'!AF680&gt;=4,"A",IF('Data Source'!AF680&gt;=3.5,"A-",IF('Data Source'!AF680&gt;=3,"B",IF('Data Source'!AF680&gt;=2,"C",IF('Data Source'!AF680&gt;=1,"D","F")))))),"")</f>
        <v/>
      </c>
      <c r="O680" s="3">
        <f>IF(AND('Data Source'!B680&lt;&gt;"",'Data Source'!S680="F"),IF('Data Source'!AG680&gt;=5,"A+",IF('Data Source'!AG680&gt;=4,"A",IF('Data Source'!AG680&gt;=3.5,"A-",IF('Data Source'!AG680&gt;=3,"B",IF('Data Source'!AG680&gt;=2,"C",IF('Data Source'!AG680&gt;=1,"D","F")))))),"")</f>
        <v/>
      </c>
      <c r="P680" s="5">
        <f>IF(AND('Data Source'!B680&lt;&gt;"",'Data Source'!S680="F"),'Data Source'!R680,"")</f>
        <v/>
      </c>
      <c r="Q680" s="3">
        <f>IF(AND('Data Source'!B680&lt;&gt;"",'Data Source'!S680="F"),'Data Source'!S680,"")</f>
        <v/>
      </c>
    </row>
    <row r="681">
      <c r="A681" s="3">
        <f>IF(AND('Data Source'!B681&lt;&gt;"",'Data Source'!S681="F"),COUNTIF('Data Source'!$S$3:S681,"F"),"")</f>
        <v/>
      </c>
      <c r="B681">
        <f>IF(AND('Data Source'!B681&lt;&gt;"",'Data Source'!S681="F"),'Data Source'!B681,"")</f>
        <v/>
      </c>
      <c r="C681" s="3">
        <f>IF(AND('Data Source'!B681&lt;&gt;"",'Data Source'!S681="F"),IF('Data Source'!U681&gt;=5,"A+",IF('Data Source'!U681&gt;=4,"A",IF('Data Source'!U681&gt;=3.5,"A-",IF('Data Source'!U681&gt;=3,"B",IF('Data Source'!U681&gt;=2,"C",IF('Data Source'!U681&gt;=1,"D","F")))))),"")</f>
        <v/>
      </c>
      <c r="D681" s="3">
        <f>IF(AND('Data Source'!B681&lt;&gt;"",'Data Source'!S681="F"),IF('Data Source'!V681&gt;=5,"A+",IF('Data Source'!V681&gt;=4,"A",IF('Data Source'!V681&gt;=3.5,"A-",IF('Data Source'!V681&gt;=3,"B",IF('Data Source'!V681&gt;=2,"C",IF('Data Source'!V681&gt;=1,"D","F")))))),"")</f>
        <v/>
      </c>
      <c r="E681" s="3">
        <f>IF(AND('Data Source'!B681&lt;&gt;"",'Data Source'!S681="F"),IF('Data Source'!W681&gt;=5,"A+",IF('Data Source'!W681&gt;=4,"A",IF('Data Source'!W681&gt;=3.5,"A-",IF('Data Source'!W681&gt;=3,"B",IF('Data Source'!W681&gt;=2,"C",IF('Data Source'!W681&gt;=1,"D","F")))))),"")</f>
        <v/>
      </c>
      <c r="F681" s="3">
        <f>IF(AND('Data Source'!B681&lt;&gt;"",'Data Source'!S681="F"),IF('Data Source'!X681&gt;=5,"A+",IF('Data Source'!X681&gt;=4,"A",IF('Data Source'!X681&gt;=3.5,"A-",IF('Data Source'!X681&gt;=3,"B",IF('Data Source'!X681&gt;=2,"C",IF('Data Source'!X681&gt;=1,"D","F")))))),"")</f>
        <v/>
      </c>
      <c r="G681" s="3">
        <f>IF(AND('Data Source'!B681&lt;&gt;"",'Data Source'!S681="F"),IF('Data Source'!Y681&gt;=5,"A+",IF('Data Source'!Y681&gt;=4,"A",IF('Data Source'!Y681&gt;=3.5,"A-",IF('Data Source'!Y681&gt;=3,"B",IF('Data Source'!Y681&gt;=2,"C",IF('Data Source'!Y681&gt;=1,"D","F")))))),"")</f>
        <v/>
      </c>
      <c r="H681" s="3">
        <f>IF(AND('Data Source'!B681&lt;&gt;"",'Data Source'!S681="F"),IF('Data Source'!Z681&gt;=5,"A+",IF('Data Source'!Z681&gt;=4,"A",IF('Data Source'!Z681&gt;=3.5,"A-",IF('Data Source'!Z681&gt;=3,"B",IF('Data Source'!Z681&gt;=2,"C",IF('Data Source'!Z681&gt;=1,"D","F")))))),"")</f>
        <v/>
      </c>
      <c r="I681" s="3">
        <f>IF(AND('Data Source'!B681&lt;&gt;"",'Data Source'!S681="F"),IF('Data Source'!AA681&gt;=5,"A+",IF('Data Source'!AA681&gt;=4,"A",IF('Data Source'!AA681&gt;=3.5,"A-",IF('Data Source'!AA681&gt;=3,"B",IF('Data Source'!AA681&gt;=2,"C",IF('Data Source'!AA681&gt;=1,"D","F")))))),"")</f>
        <v/>
      </c>
      <c r="J681" s="3">
        <f>IF(AND('Data Source'!B681&lt;&gt;"",'Data Source'!S681="F"),IF('Data Source'!AB681&gt;=5,"A+",IF('Data Source'!AB681&gt;=4,"A",IF('Data Source'!AB681&gt;=3.5,"A-",IF('Data Source'!AB681&gt;=3,"B",IF('Data Source'!AB681&gt;=2,"C",IF('Data Source'!AB681&gt;=1,"D","F")))))),"")</f>
        <v/>
      </c>
      <c r="K681" s="3">
        <f>IF(AND('Data Source'!B681&lt;&gt;"",'Data Source'!S681="F"),IF('Data Source'!AC681&gt;=5,"A+",IF('Data Source'!AC681&gt;=4,"A",IF('Data Source'!AC681&gt;=3.5,"A-",IF('Data Source'!AC681&gt;=3,"B",IF('Data Source'!AC681&gt;=2,"C",IF('Data Source'!AC681&gt;=1,"D","F")))))),"")</f>
        <v/>
      </c>
      <c r="L681" s="3">
        <f>IF(AND('Data Source'!B681&lt;&gt;"",'Data Source'!S681="F"),IF('Data Source'!AD681&gt;=5,"A+",IF('Data Source'!AD681&gt;=4,"A",IF('Data Source'!AD681&gt;=3.5,"A-",IF('Data Source'!AD681&gt;=3,"B",IF('Data Source'!AD681&gt;=2,"C",IF('Data Source'!AD681&gt;=1,"D","F")))))),"")</f>
        <v/>
      </c>
      <c r="M681" s="3">
        <f>IF(AND('Data Source'!B681&lt;&gt;"",'Data Source'!S681="F"),IF('Data Source'!AE681&gt;=5,"A+",IF('Data Source'!AE681&gt;=4,"A",IF('Data Source'!AE681&gt;=3.5,"A-",IF('Data Source'!AE681&gt;=3,"B",IF('Data Source'!AE681&gt;=2,"C",IF('Data Source'!AE681&gt;=1,"D","F")))))),"")</f>
        <v/>
      </c>
      <c r="N681" s="3">
        <f>IF(AND('Data Source'!B681&lt;&gt;"",'Data Source'!S681="F"),IF('Data Source'!AF681&gt;=5,"A+",IF('Data Source'!AF681&gt;=4,"A",IF('Data Source'!AF681&gt;=3.5,"A-",IF('Data Source'!AF681&gt;=3,"B",IF('Data Source'!AF681&gt;=2,"C",IF('Data Source'!AF681&gt;=1,"D","F")))))),"")</f>
        <v/>
      </c>
      <c r="O681" s="3">
        <f>IF(AND('Data Source'!B681&lt;&gt;"",'Data Source'!S681="F"),IF('Data Source'!AG681&gt;=5,"A+",IF('Data Source'!AG681&gt;=4,"A",IF('Data Source'!AG681&gt;=3.5,"A-",IF('Data Source'!AG681&gt;=3,"B",IF('Data Source'!AG681&gt;=2,"C",IF('Data Source'!AG681&gt;=1,"D","F")))))),"")</f>
        <v/>
      </c>
      <c r="P681" s="5">
        <f>IF(AND('Data Source'!B681&lt;&gt;"",'Data Source'!S681="F"),'Data Source'!R681,"")</f>
        <v/>
      </c>
      <c r="Q681" s="3">
        <f>IF(AND('Data Source'!B681&lt;&gt;"",'Data Source'!S681="F"),'Data Source'!S681,"")</f>
        <v/>
      </c>
    </row>
    <row r="682">
      <c r="A682" s="3">
        <f>IF(AND('Data Source'!B682&lt;&gt;"",'Data Source'!S682="F"),COUNTIF('Data Source'!$S$3:S682,"F"),"")</f>
        <v/>
      </c>
      <c r="B682">
        <f>IF(AND('Data Source'!B682&lt;&gt;"",'Data Source'!S682="F"),'Data Source'!B682,"")</f>
        <v/>
      </c>
      <c r="C682" s="3">
        <f>IF(AND('Data Source'!B682&lt;&gt;"",'Data Source'!S682="F"),IF('Data Source'!U682&gt;=5,"A+",IF('Data Source'!U682&gt;=4,"A",IF('Data Source'!U682&gt;=3.5,"A-",IF('Data Source'!U682&gt;=3,"B",IF('Data Source'!U682&gt;=2,"C",IF('Data Source'!U682&gt;=1,"D","F")))))),"")</f>
        <v/>
      </c>
      <c r="D682" s="3">
        <f>IF(AND('Data Source'!B682&lt;&gt;"",'Data Source'!S682="F"),IF('Data Source'!V682&gt;=5,"A+",IF('Data Source'!V682&gt;=4,"A",IF('Data Source'!V682&gt;=3.5,"A-",IF('Data Source'!V682&gt;=3,"B",IF('Data Source'!V682&gt;=2,"C",IF('Data Source'!V682&gt;=1,"D","F")))))),"")</f>
        <v/>
      </c>
      <c r="E682" s="3">
        <f>IF(AND('Data Source'!B682&lt;&gt;"",'Data Source'!S682="F"),IF('Data Source'!W682&gt;=5,"A+",IF('Data Source'!W682&gt;=4,"A",IF('Data Source'!W682&gt;=3.5,"A-",IF('Data Source'!W682&gt;=3,"B",IF('Data Source'!W682&gt;=2,"C",IF('Data Source'!W682&gt;=1,"D","F")))))),"")</f>
        <v/>
      </c>
      <c r="F682" s="3">
        <f>IF(AND('Data Source'!B682&lt;&gt;"",'Data Source'!S682="F"),IF('Data Source'!X682&gt;=5,"A+",IF('Data Source'!X682&gt;=4,"A",IF('Data Source'!X682&gt;=3.5,"A-",IF('Data Source'!X682&gt;=3,"B",IF('Data Source'!X682&gt;=2,"C",IF('Data Source'!X682&gt;=1,"D","F")))))),"")</f>
        <v/>
      </c>
      <c r="G682" s="3">
        <f>IF(AND('Data Source'!B682&lt;&gt;"",'Data Source'!S682="F"),IF('Data Source'!Y682&gt;=5,"A+",IF('Data Source'!Y682&gt;=4,"A",IF('Data Source'!Y682&gt;=3.5,"A-",IF('Data Source'!Y682&gt;=3,"B",IF('Data Source'!Y682&gt;=2,"C",IF('Data Source'!Y682&gt;=1,"D","F")))))),"")</f>
        <v/>
      </c>
      <c r="H682" s="3">
        <f>IF(AND('Data Source'!B682&lt;&gt;"",'Data Source'!S682="F"),IF('Data Source'!Z682&gt;=5,"A+",IF('Data Source'!Z682&gt;=4,"A",IF('Data Source'!Z682&gt;=3.5,"A-",IF('Data Source'!Z682&gt;=3,"B",IF('Data Source'!Z682&gt;=2,"C",IF('Data Source'!Z682&gt;=1,"D","F")))))),"")</f>
        <v/>
      </c>
      <c r="I682" s="3">
        <f>IF(AND('Data Source'!B682&lt;&gt;"",'Data Source'!S682="F"),IF('Data Source'!AA682&gt;=5,"A+",IF('Data Source'!AA682&gt;=4,"A",IF('Data Source'!AA682&gt;=3.5,"A-",IF('Data Source'!AA682&gt;=3,"B",IF('Data Source'!AA682&gt;=2,"C",IF('Data Source'!AA682&gt;=1,"D","F")))))),"")</f>
        <v/>
      </c>
      <c r="J682" s="3">
        <f>IF(AND('Data Source'!B682&lt;&gt;"",'Data Source'!S682="F"),IF('Data Source'!AB682&gt;=5,"A+",IF('Data Source'!AB682&gt;=4,"A",IF('Data Source'!AB682&gt;=3.5,"A-",IF('Data Source'!AB682&gt;=3,"B",IF('Data Source'!AB682&gt;=2,"C",IF('Data Source'!AB682&gt;=1,"D","F")))))),"")</f>
        <v/>
      </c>
      <c r="K682" s="3">
        <f>IF(AND('Data Source'!B682&lt;&gt;"",'Data Source'!S682="F"),IF('Data Source'!AC682&gt;=5,"A+",IF('Data Source'!AC682&gt;=4,"A",IF('Data Source'!AC682&gt;=3.5,"A-",IF('Data Source'!AC682&gt;=3,"B",IF('Data Source'!AC682&gt;=2,"C",IF('Data Source'!AC682&gt;=1,"D","F")))))),"")</f>
        <v/>
      </c>
      <c r="L682" s="3">
        <f>IF(AND('Data Source'!B682&lt;&gt;"",'Data Source'!S682="F"),IF('Data Source'!AD682&gt;=5,"A+",IF('Data Source'!AD682&gt;=4,"A",IF('Data Source'!AD682&gt;=3.5,"A-",IF('Data Source'!AD682&gt;=3,"B",IF('Data Source'!AD682&gt;=2,"C",IF('Data Source'!AD682&gt;=1,"D","F")))))),"")</f>
        <v/>
      </c>
      <c r="M682" s="3">
        <f>IF(AND('Data Source'!B682&lt;&gt;"",'Data Source'!S682="F"),IF('Data Source'!AE682&gt;=5,"A+",IF('Data Source'!AE682&gt;=4,"A",IF('Data Source'!AE682&gt;=3.5,"A-",IF('Data Source'!AE682&gt;=3,"B",IF('Data Source'!AE682&gt;=2,"C",IF('Data Source'!AE682&gt;=1,"D","F")))))),"")</f>
        <v/>
      </c>
      <c r="N682" s="3">
        <f>IF(AND('Data Source'!B682&lt;&gt;"",'Data Source'!S682="F"),IF('Data Source'!AF682&gt;=5,"A+",IF('Data Source'!AF682&gt;=4,"A",IF('Data Source'!AF682&gt;=3.5,"A-",IF('Data Source'!AF682&gt;=3,"B",IF('Data Source'!AF682&gt;=2,"C",IF('Data Source'!AF682&gt;=1,"D","F")))))),"")</f>
        <v/>
      </c>
      <c r="O682" s="3">
        <f>IF(AND('Data Source'!B682&lt;&gt;"",'Data Source'!S682="F"),IF('Data Source'!AG682&gt;=5,"A+",IF('Data Source'!AG682&gt;=4,"A",IF('Data Source'!AG682&gt;=3.5,"A-",IF('Data Source'!AG682&gt;=3,"B",IF('Data Source'!AG682&gt;=2,"C",IF('Data Source'!AG682&gt;=1,"D","F")))))),"")</f>
        <v/>
      </c>
      <c r="P682" s="5">
        <f>IF(AND('Data Source'!B682&lt;&gt;"",'Data Source'!S682="F"),'Data Source'!R682,"")</f>
        <v/>
      </c>
      <c r="Q682" s="3">
        <f>IF(AND('Data Source'!B682&lt;&gt;"",'Data Source'!S682="F"),'Data Source'!S682,"")</f>
        <v/>
      </c>
    </row>
    <row r="683">
      <c r="A683" s="3">
        <f>IF(AND('Data Source'!B683&lt;&gt;"",'Data Source'!S683="F"),COUNTIF('Data Source'!$S$3:S683,"F"),"")</f>
        <v/>
      </c>
      <c r="B683">
        <f>IF(AND('Data Source'!B683&lt;&gt;"",'Data Source'!S683="F"),'Data Source'!B683,"")</f>
        <v/>
      </c>
      <c r="C683" s="3">
        <f>IF(AND('Data Source'!B683&lt;&gt;"",'Data Source'!S683="F"),IF('Data Source'!U683&gt;=5,"A+",IF('Data Source'!U683&gt;=4,"A",IF('Data Source'!U683&gt;=3.5,"A-",IF('Data Source'!U683&gt;=3,"B",IF('Data Source'!U683&gt;=2,"C",IF('Data Source'!U683&gt;=1,"D","F")))))),"")</f>
        <v/>
      </c>
      <c r="D683" s="3">
        <f>IF(AND('Data Source'!B683&lt;&gt;"",'Data Source'!S683="F"),IF('Data Source'!V683&gt;=5,"A+",IF('Data Source'!V683&gt;=4,"A",IF('Data Source'!V683&gt;=3.5,"A-",IF('Data Source'!V683&gt;=3,"B",IF('Data Source'!V683&gt;=2,"C",IF('Data Source'!V683&gt;=1,"D","F")))))),"")</f>
        <v/>
      </c>
      <c r="E683" s="3">
        <f>IF(AND('Data Source'!B683&lt;&gt;"",'Data Source'!S683="F"),IF('Data Source'!W683&gt;=5,"A+",IF('Data Source'!W683&gt;=4,"A",IF('Data Source'!W683&gt;=3.5,"A-",IF('Data Source'!W683&gt;=3,"B",IF('Data Source'!W683&gt;=2,"C",IF('Data Source'!W683&gt;=1,"D","F")))))),"")</f>
        <v/>
      </c>
      <c r="F683" s="3">
        <f>IF(AND('Data Source'!B683&lt;&gt;"",'Data Source'!S683="F"),IF('Data Source'!X683&gt;=5,"A+",IF('Data Source'!X683&gt;=4,"A",IF('Data Source'!X683&gt;=3.5,"A-",IF('Data Source'!X683&gt;=3,"B",IF('Data Source'!X683&gt;=2,"C",IF('Data Source'!X683&gt;=1,"D","F")))))),"")</f>
        <v/>
      </c>
      <c r="G683" s="3">
        <f>IF(AND('Data Source'!B683&lt;&gt;"",'Data Source'!S683="F"),IF('Data Source'!Y683&gt;=5,"A+",IF('Data Source'!Y683&gt;=4,"A",IF('Data Source'!Y683&gt;=3.5,"A-",IF('Data Source'!Y683&gt;=3,"B",IF('Data Source'!Y683&gt;=2,"C",IF('Data Source'!Y683&gt;=1,"D","F")))))),"")</f>
        <v/>
      </c>
      <c r="H683" s="3">
        <f>IF(AND('Data Source'!B683&lt;&gt;"",'Data Source'!S683="F"),IF('Data Source'!Z683&gt;=5,"A+",IF('Data Source'!Z683&gt;=4,"A",IF('Data Source'!Z683&gt;=3.5,"A-",IF('Data Source'!Z683&gt;=3,"B",IF('Data Source'!Z683&gt;=2,"C",IF('Data Source'!Z683&gt;=1,"D","F")))))),"")</f>
        <v/>
      </c>
      <c r="I683" s="3">
        <f>IF(AND('Data Source'!B683&lt;&gt;"",'Data Source'!S683="F"),IF('Data Source'!AA683&gt;=5,"A+",IF('Data Source'!AA683&gt;=4,"A",IF('Data Source'!AA683&gt;=3.5,"A-",IF('Data Source'!AA683&gt;=3,"B",IF('Data Source'!AA683&gt;=2,"C",IF('Data Source'!AA683&gt;=1,"D","F")))))),"")</f>
        <v/>
      </c>
      <c r="J683" s="3">
        <f>IF(AND('Data Source'!B683&lt;&gt;"",'Data Source'!S683="F"),IF('Data Source'!AB683&gt;=5,"A+",IF('Data Source'!AB683&gt;=4,"A",IF('Data Source'!AB683&gt;=3.5,"A-",IF('Data Source'!AB683&gt;=3,"B",IF('Data Source'!AB683&gt;=2,"C",IF('Data Source'!AB683&gt;=1,"D","F")))))),"")</f>
        <v/>
      </c>
      <c r="K683" s="3">
        <f>IF(AND('Data Source'!B683&lt;&gt;"",'Data Source'!S683="F"),IF('Data Source'!AC683&gt;=5,"A+",IF('Data Source'!AC683&gt;=4,"A",IF('Data Source'!AC683&gt;=3.5,"A-",IF('Data Source'!AC683&gt;=3,"B",IF('Data Source'!AC683&gt;=2,"C",IF('Data Source'!AC683&gt;=1,"D","F")))))),"")</f>
        <v/>
      </c>
      <c r="L683" s="3">
        <f>IF(AND('Data Source'!B683&lt;&gt;"",'Data Source'!S683="F"),IF('Data Source'!AD683&gt;=5,"A+",IF('Data Source'!AD683&gt;=4,"A",IF('Data Source'!AD683&gt;=3.5,"A-",IF('Data Source'!AD683&gt;=3,"B",IF('Data Source'!AD683&gt;=2,"C",IF('Data Source'!AD683&gt;=1,"D","F")))))),"")</f>
        <v/>
      </c>
      <c r="M683" s="3">
        <f>IF(AND('Data Source'!B683&lt;&gt;"",'Data Source'!S683="F"),IF('Data Source'!AE683&gt;=5,"A+",IF('Data Source'!AE683&gt;=4,"A",IF('Data Source'!AE683&gt;=3.5,"A-",IF('Data Source'!AE683&gt;=3,"B",IF('Data Source'!AE683&gt;=2,"C",IF('Data Source'!AE683&gt;=1,"D","F")))))),"")</f>
        <v/>
      </c>
      <c r="N683" s="3">
        <f>IF(AND('Data Source'!B683&lt;&gt;"",'Data Source'!S683="F"),IF('Data Source'!AF683&gt;=5,"A+",IF('Data Source'!AF683&gt;=4,"A",IF('Data Source'!AF683&gt;=3.5,"A-",IF('Data Source'!AF683&gt;=3,"B",IF('Data Source'!AF683&gt;=2,"C",IF('Data Source'!AF683&gt;=1,"D","F")))))),"")</f>
        <v/>
      </c>
      <c r="O683" s="3">
        <f>IF(AND('Data Source'!B683&lt;&gt;"",'Data Source'!S683="F"),IF('Data Source'!AG683&gt;=5,"A+",IF('Data Source'!AG683&gt;=4,"A",IF('Data Source'!AG683&gt;=3.5,"A-",IF('Data Source'!AG683&gt;=3,"B",IF('Data Source'!AG683&gt;=2,"C",IF('Data Source'!AG683&gt;=1,"D","F")))))),"")</f>
        <v/>
      </c>
      <c r="P683" s="5">
        <f>IF(AND('Data Source'!B683&lt;&gt;"",'Data Source'!S683="F"),'Data Source'!R683,"")</f>
        <v/>
      </c>
      <c r="Q683" s="3">
        <f>IF(AND('Data Source'!B683&lt;&gt;"",'Data Source'!S683="F"),'Data Source'!S683,"")</f>
        <v/>
      </c>
    </row>
    <row r="684">
      <c r="A684" s="3">
        <f>IF(AND('Data Source'!B684&lt;&gt;"",'Data Source'!S684="F"),COUNTIF('Data Source'!$S$3:S684,"F"),"")</f>
        <v/>
      </c>
      <c r="B684">
        <f>IF(AND('Data Source'!B684&lt;&gt;"",'Data Source'!S684="F"),'Data Source'!B684,"")</f>
        <v/>
      </c>
      <c r="C684" s="3">
        <f>IF(AND('Data Source'!B684&lt;&gt;"",'Data Source'!S684="F"),IF('Data Source'!U684&gt;=5,"A+",IF('Data Source'!U684&gt;=4,"A",IF('Data Source'!U684&gt;=3.5,"A-",IF('Data Source'!U684&gt;=3,"B",IF('Data Source'!U684&gt;=2,"C",IF('Data Source'!U684&gt;=1,"D","F")))))),"")</f>
        <v/>
      </c>
      <c r="D684" s="3">
        <f>IF(AND('Data Source'!B684&lt;&gt;"",'Data Source'!S684="F"),IF('Data Source'!V684&gt;=5,"A+",IF('Data Source'!V684&gt;=4,"A",IF('Data Source'!V684&gt;=3.5,"A-",IF('Data Source'!V684&gt;=3,"B",IF('Data Source'!V684&gt;=2,"C",IF('Data Source'!V684&gt;=1,"D","F")))))),"")</f>
        <v/>
      </c>
      <c r="E684" s="3">
        <f>IF(AND('Data Source'!B684&lt;&gt;"",'Data Source'!S684="F"),IF('Data Source'!W684&gt;=5,"A+",IF('Data Source'!W684&gt;=4,"A",IF('Data Source'!W684&gt;=3.5,"A-",IF('Data Source'!W684&gt;=3,"B",IF('Data Source'!W684&gt;=2,"C",IF('Data Source'!W684&gt;=1,"D","F")))))),"")</f>
        <v/>
      </c>
      <c r="F684" s="3">
        <f>IF(AND('Data Source'!B684&lt;&gt;"",'Data Source'!S684="F"),IF('Data Source'!X684&gt;=5,"A+",IF('Data Source'!X684&gt;=4,"A",IF('Data Source'!X684&gt;=3.5,"A-",IF('Data Source'!X684&gt;=3,"B",IF('Data Source'!X684&gt;=2,"C",IF('Data Source'!X684&gt;=1,"D","F")))))),"")</f>
        <v/>
      </c>
      <c r="G684" s="3">
        <f>IF(AND('Data Source'!B684&lt;&gt;"",'Data Source'!S684="F"),IF('Data Source'!Y684&gt;=5,"A+",IF('Data Source'!Y684&gt;=4,"A",IF('Data Source'!Y684&gt;=3.5,"A-",IF('Data Source'!Y684&gt;=3,"B",IF('Data Source'!Y684&gt;=2,"C",IF('Data Source'!Y684&gt;=1,"D","F")))))),"")</f>
        <v/>
      </c>
      <c r="H684" s="3">
        <f>IF(AND('Data Source'!B684&lt;&gt;"",'Data Source'!S684="F"),IF('Data Source'!Z684&gt;=5,"A+",IF('Data Source'!Z684&gt;=4,"A",IF('Data Source'!Z684&gt;=3.5,"A-",IF('Data Source'!Z684&gt;=3,"B",IF('Data Source'!Z684&gt;=2,"C",IF('Data Source'!Z684&gt;=1,"D","F")))))),"")</f>
        <v/>
      </c>
      <c r="I684" s="3">
        <f>IF(AND('Data Source'!B684&lt;&gt;"",'Data Source'!S684="F"),IF('Data Source'!AA684&gt;=5,"A+",IF('Data Source'!AA684&gt;=4,"A",IF('Data Source'!AA684&gt;=3.5,"A-",IF('Data Source'!AA684&gt;=3,"B",IF('Data Source'!AA684&gt;=2,"C",IF('Data Source'!AA684&gt;=1,"D","F")))))),"")</f>
        <v/>
      </c>
      <c r="J684" s="3">
        <f>IF(AND('Data Source'!B684&lt;&gt;"",'Data Source'!S684="F"),IF('Data Source'!AB684&gt;=5,"A+",IF('Data Source'!AB684&gt;=4,"A",IF('Data Source'!AB684&gt;=3.5,"A-",IF('Data Source'!AB684&gt;=3,"B",IF('Data Source'!AB684&gt;=2,"C",IF('Data Source'!AB684&gt;=1,"D","F")))))),"")</f>
        <v/>
      </c>
      <c r="K684" s="3">
        <f>IF(AND('Data Source'!B684&lt;&gt;"",'Data Source'!S684="F"),IF('Data Source'!AC684&gt;=5,"A+",IF('Data Source'!AC684&gt;=4,"A",IF('Data Source'!AC684&gt;=3.5,"A-",IF('Data Source'!AC684&gt;=3,"B",IF('Data Source'!AC684&gt;=2,"C",IF('Data Source'!AC684&gt;=1,"D","F")))))),"")</f>
        <v/>
      </c>
      <c r="L684" s="3">
        <f>IF(AND('Data Source'!B684&lt;&gt;"",'Data Source'!S684="F"),IF('Data Source'!AD684&gt;=5,"A+",IF('Data Source'!AD684&gt;=4,"A",IF('Data Source'!AD684&gt;=3.5,"A-",IF('Data Source'!AD684&gt;=3,"B",IF('Data Source'!AD684&gt;=2,"C",IF('Data Source'!AD684&gt;=1,"D","F")))))),"")</f>
        <v/>
      </c>
      <c r="M684" s="3">
        <f>IF(AND('Data Source'!B684&lt;&gt;"",'Data Source'!S684="F"),IF('Data Source'!AE684&gt;=5,"A+",IF('Data Source'!AE684&gt;=4,"A",IF('Data Source'!AE684&gt;=3.5,"A-",IF('Data Source'!AE684&gt;=3,"B",IF('Data Source'!AE684&gt;=2,"C",IF('Data Source'!AE684&gt;=1,"D","F")))))),"")</f>
        <v/>
      </c>
      <c r="N684" s="3">
        <f>IF(AND('Data Source'!B684&lt;&gt;"",'Data Source'!S684="F"),IF('Data Source'!AF684&gt;=5,"A+",IF('Data Source'!AF684&gt;=4,"A",IF('Data Source'!AF684&gt;=3.5,"A-",IF('Data Source'!AF684&gt;=3,"B",IF('Data Source'!AF684&gt;=2,"C",IF('Data Source'!AF684&gt;=1,"D","F")))))),"")</f>
        <v/>
      </c>
      <c r="O684" s="3">
        <f>IF(AND('Data Source'!B684&lt;&gt;"",'Data Source'!S684="F"),IF('Data Source'!AG684&gt;=5,"A+",IF('Data Source'!AG684&gt;=4,"A",IF('Data Source'!AG684&gt;=3.5,"A-",IF('Data Source'!AG684&gt;=3,"B",IF('Data Source'!AG684&gt;=2,"C",IF('Data Source'!AG684&gt;=1,"D","F")))))),"")</f>
        <v/>
      </c>
      <c r="P684" s="5">
        <f>IF(AND('Data Source'!B684&lt;&gt;"",'Data Source'!S684="F"),'Data Source'!R684,"")</f>
        <v/>
      </c>
      <c r="Q684" s="3">
        <f>IF(AND('Data Source'!B684&lt;&gt;"",'Data Source'!S684="F"),'Data Source'!S684,"")</f>
        <v/>
      </c>
    </row>
    <row r="685">
      <c r="A685" s="3">
        <f>IF(AND('Data Source'!B685&lt;&gt;"",'Data Source'!S685="F"),COUNTIF('Data Source'!$S$3:S685,"F"),"")</f>
        <v/>
      </c>
      <c r="B685">
        <f>IF(AND('Data Source'!B685&lt;&gt;"",'Data Source'!S685="F"),'Data Source'!B685,"")</f>
        <v/>
      </c>
      <c r="C685" s="3">
        <f>IF(AND('Data Source'!B685&lt;&gt;"",'Data Source'!S685="F"),IF('Data Source'!U685&gt;=5,"A+",IF('Data Source'!U685&gt;=4,"A",IF('Data Source'!U685&gt;=3.5,"A-",IF('Data Source'!U685&gt;=3,"B",IF('Data Source'!U685&gt;=2,"C",IF('Data Source'!U685&gt;=1,"D","F")))))),"")</f>
        <v/>
      </c>
      <c r="D685" s="3">
        <f>IF(AND('Data Source'!B685&lt;&gt;"",'Data Source'!S685="F"),IF('Data Source'!V685&gt;=5,"A+",IF('Data Source'!V685&gt;=4,"A",IF('Data Source'!V685&gt;=3.5,"A-",IF('Data Source'!V685&gt;=3,"B",IF('Data Source'!V685&gt;=2,"C",IF('Data Source'!V685&gt;=1,"D","F")))))),"")</f>
        <v/>
      </c>
      <c r="E685" s="3">
        <f>IF(AND('Data Source'!B685&lt;&gt;"",'Data Source'!S685="F"),IF('Data Source'!W685&gt;=5,"A+",IF('Data Source'!W685&gt;=4,"A",IF('Data Source'!W685&gt;=3.5,"A-",IF('Data Source'!W685&gt;=3,"B",IF('Data Source'!W685&gt;=2,"C",IF('Data Source'!W685&gt;=1,"D","F")))))),"")</f>
        <v/>
      </c>
      <c r="F685" s="3">
        <f>IF(AND('Data Source'!B685&lt;&gt;"",'Data Source'!S685="F"),IF('Data Source'!X685&gt;=5,"A+",IF('Data Source'!X685&gt;=4,"A",IF('Data Source'!X685&gt;=3.5,"A-",IF('Data Source'!X685&gt;=3,"B",IF('Data Source'!X685&gt;=2,"C",IF('Data Source'!X685&gt;=1,"D","F")))))),"")</f>
        <v/>
      </c>
      <c r="G685" s="3">
        <f>IF(AND('Data Source'!B685&lt;&gt;"",'Data Source'!S685="F"),IF('Data Source'!Y685&gt;=5,"A+",IF('Data Source'!Y685&gt;=4,"A",IF('Data Source'!Y685&gt;=3.5,"A-",IF('Data Source'!Y685&gt;=3,"B",IF('Data Source'!Y685&gt;=2,"C",IF('Data Source'!Y685&gt;=1,"D","F")))))),"")</f>
        <v/>
      </c>
      <c r="H685" s="3">
        <f>IF(AND('Data Source'!B685&lt;&gt;"",'Data Source'!S685="F"),IF('Data Source'!Z685&gt;=5,"A+",IF('Data Source'!Z685&gt;=4,"A",IF('Data Source'!Z685&gt;=3.5,"A-",IF('Data Source'!Z685&gt;=3,"B",IF('Data Source'!Z685&gt;=2,"C",IF('Data Source'!Z685&gt;=1,"D","F")))))),"")</f>
        <v/>
      </c>
      <c r="I685" s="3">
        <f>IF(AND('Data Source'!B685&lt;&gt;"",'Data Source'!S685="F"),IF('Data Source'!AA685&gt;=5,"A+",IF('Data Source'!AA685&gt;=4,"A",IF('Data Source'!AA685&gt;=3.5,"A-",IF('Data Source'!AA685&gt;=3,"B",IF('Data Source'!AA685&gt;=2,"C",IF('Data Source'!AA685&gt;=1,"D","F")))))),"")</f>
        <v/>
      </c>
      <c r="J685" s="3">
        <f>IF(AND('Data Source'!B685&lt;&gt;"",'Data Source'!S685="F"),IF('Data Source'!AB685&gt;=5,"A+",IF('Data Source'!AB685&gt;=4,"A",IF('Data Source'!AB685&gt;=3.5,"A-",IF('Data Source'!AB685&gt;=3,"B",IF('Data Source'!AB685&gt;=2,"C",IF('Data Source'!AB685&gt;=1,"D","F")))))),"")</f>
        <v/>
      </c>
      <c r="K685" s="3">
        <f>IF(AND('Data Source'!B685&lt;&gt;"",'Data Source'!S685="F"),IF('Data Source'!AC685&gt;=5,"A+",IF('Data Source'!AC685&gt;=4,"A",IF('Data Source'!AC685&gt;=3.5,"A-",IF('Data Source'!AC685&gt;=3,"B",IF('Data Source'!AC685&gt;=2,"C",IF('Data Source'!AC685&gt;=1,"D","F")))))),"")</f>
        <v/>
      </c>
      <c r="L685" s="3">
        <f>IF(AND('Data Source'!B685&lt;&gt;"",'Data Source'!S685="F"),IF('Data Source'!AD685&gt;=5,"A+",IF('Data Source'!AD685&gt;=4,"A",IF('Data Source'!AD685&gt;=3.5,"A-",IF('Data Source'!AD685&gt;=3,"B",IF('Data Source'!AD685&gt;=2,"C",IF('Data Source'!AD685&gt;=1,"D","F")))))),"")</f>
        <v/>
      </c>
      <c r="M685" s="3">
        <f>IF(AND('Data Source'!B685&lt;&gt;"",'Data Source'!S685="F"),IF('Data Source'!AE685&gt;=5,"A+",IF('Data Source'!AE685&gt;=4,"A",IF('Data Source'!AE685&gt;=3.5,"A-",IF('Data Source'!AE685&gt;=3,"B",IF('Data Source'!AE685&gt;=2,"C",IF('Data Source'!AE685&gt;=1,"D","F")))))),"")</f>
        <v/>
      </c>
      <c r="N685" s="3">
        <f>IF(AND('Data Source'!B685&lt;&gt;"",'Data Source'!S685="F"),IF('Data Source'!AF685&gt;=5,"A+",IF('Data Source'!AF685&gt;=4,"A",IF('Data Source'!AF685&gt;=3.5,"A-",IF('Data Source'!AF685&gt;=3,"B",IF('Data Source'!AF685&gt;=2,"C",IF('Data Source'!AF685&gt;=1,"D","F")))))),"")</f>
        <v/>
      </c>
      <c r="O685" s="3">
        <f>IF(AND('Data Source'!B685&lt;&gt;"",'Data Source'!S685="F"),IF('Data Source'!AG685&gt;=5,"A+",IF('Data Source'!AG685&gt;=4,"A",IF('Data Source'!AG685&gt;=3.5,"A-",IF('Data Source'!AG685&gt;=3,"B",IF('Data Source'!AG685&gt;=2,"C",IF('Data Source'!AG685&gt;=1,"D","F")))))),"")</f>
        <v/>
      </c>
      <c r="P685" s="5">
        <f>IF(AND('Data Source'!B685&lt;&gt;"",'Data Source'!S685="F"),'Data Source'!R685,"")</f>
        <v/>
      </c>
      <c r="Q685" s="3">
        <f>IF(AND('Data Source'!B685&lt;&gt;"",'Data Source'!S685="F"),'Data Source'!S685,"")</f>
        <v/>
      </c>
    </row>
    <row r="686">
      <c r="A686" s="3">
        <f>IF(AND('Data Source'!B686&lt;&gt;"",'Data Source'!S686="F"),COUNTIF('Data Source'!$S$3:S686,"F"),"")</f>
        <v/>
      </c>
      <c r="B686">
        <f>IF(AND('Data Source'!B686&lt;&gt;"",'Data Source'!S686="F"),'Data Source'!B686,"")</f>
        <v/>
      </c>
      <c r="C686" s="3">
        <f>IF(AND('Data Source'!B686&lt;&gt;"",'Data Source'!S686="F"),IF('Data Source'!U686&gt;=5,"A+",IF('Data Source'!U686&gt;=4,"A",IF('Data Source'!U686&gt;=3.5,"A-",IF('Data Source'!U686&gt;=3,"B",IF('Data Source'!U686&gt;=2,"C",IF('Data Source'!U686&gt;=1,"D","F")))))),"")</f>
        <v/>
      </c>
      <c r="D686" s="3">
        <f>IF(AND('Data Source'!B686&lt;&gt;"",'Data Source'!S686="F"),IF('Data Source'!V686&gt;=5,"A+",IF('Data Source'!V686&gt;=4,"A",IF('Data Source'!V686&gt;=3.5,"A-",IF('Data Source'!V686&gt;=3,"B",IF('Data Source'!V686&gt;=2,"C",IF('Data Source'!V686&gt;=1,"D","F")))))),"")</f>
        <v/>
      </c>
      <c r="E686" s="3">
        <f>IF(AND('Data Source'!B686&lt;&gt;"",'Data Source'!S686="F"),IF('Data Source'!W686&gt;=5,"A+",IF('Data Source'!W686&gt;=4,"A",IF('Data Source'!W686&gt;=3.5,"A-",IF('Data Source'!W686&gt;=3,"B",IF('Data Source'!W686&gt;=2,"C",IF('Data Source'!W686&gt;=1,"D","F")))))),"")</f>
        <v/>
      </c>
      <c r="F686" s="3">
        <f>IF(AND('Data Source'!B686&lt;&gt;"",'Data Source'!S686="F"),IF('Data Source'!X686&gt;=5,"A+",IF('Data Source'!X686&gt;=4,"A",IF('Data Source'!X686&gt;=3.5,"A-",IF('Data Source'!X686&gt;=3,"B",IF('Data Source'!X686&gt;=2,"C",IF('Data Source'!X686&gt;=1,"D","F")))))),"")</f>
        <v/>
      </c>
      <c r="G686" s="3">
        <f>IF(AND('Data Source'!B686&lt;&gt;"",'Data Source'!S686="F"),IF('Data Source'!Y686&gt;=5,"A+",IF('Data Source'!Y686&gt;=4,"A",IF('Data Source'!Y686&gt;=3.5,"A-",IF('Data Source'!Y686&gt;=3,"B",IF('Data Source'!Y686&gt;=2,"C",IF('Data Source'!Y686&gt;=1,"D","F")))))),"")</f>
        <v/>
      </c>
      <c r="H686" s="3">
        <f>IF(AND('Data Source'!B686&lt;&gt;"",'Data Source'!S686="F"),IF('Data Source'!Z686&gt;=5,"A+",IF('Data Source'!Z686&gt;=4,"A",IF('Data Source'!Z686&gt;=3.5,"A-",IF('Data Source'!Z686&gt;=3,"B",IF('Data Source'!Z686&gt;=2,"C",IF('Data Source'!Z686&gt;=1,"D","F")))))),"")</f>
        <v/>
      </c>
      <c r="I686" s="3">
        <f>IF(AND('Data Source'!B686&lt;&gt;"",'Data Source'!S686="F"),IF('Data Source'!AA686&gt;=5,"A+",IF('Data Source'!AA686&gt;=4,"A",IF('Data Source'!AA686&gt;=3.5,"A-",IF('Data Source'!AA686&gt;=3,"B",IF('Data Source'!AA686&gt;=2,"C",IF('Data Source'!AA686&gt;=1,"D","F")))))),"")</f>
        <v/>
      </c>
      <c r="J686" s="3">
        <f>IF(AND('Data Source'!B686&lt;&gt;"",'Data Source'!S686="F"),IF('Data Source'!AB686&gt;=5,"A+",IF('Data Source'!AB686&gt;=4,"A",IF('Data Source'!AB686&gt;=3.5,"A-",IF('Data Source'!AB686&gt;=3,"B",IF('Data Source'!AB686&gt;=2,"C",IF('Data Source'!AB686&gt;=1,"D","F")))))),"")</f>
        <v/>
      </c>
      <c r="K686" s="3">
        <f>IF(AND('Data Source'!B686&lt;&gt;"",'Data Source'!S686="F"),IF('Data Source'!AC686&gt;=5,"A+",IF('Data Source'!AC686&gt;=4,"A",IF('Data Source'!AC686&gt;=3.5,"A-",IF('Data Source'!AC686&gt;=3,"B",IF('Data Source'!AC686&gt;=2,"C",IF('Data Source'!AC686&gt;=1,"D","F")))))),"")</f>
        <v/>
      </c>
      <c r="L686" s="3">
        <f>IF(AND('Data Source'!B686&lt;&gt;"",'Data Source'!S686="F"),IF('Data Source'!AD686&gt;=5,"A+",IF('Data Source'!AD686&gt;=4,"A",IF('Data Source'!AD686&gt;=3.5,"A-",IF('Data Source'!AD686&gt;=3,"B",IF('Data Source'!AD686&gt;=2,"C",IF('Data Source'!AD686&gt;=1,"D","F")))))),"")</f>
        <v/>
      </c>
      <c r="M686" s="3">
        <f>IF(AND('Data Source'!B686&lt;&gt;"",'Data Source'!S686="F"),IF('Data Source'!AE686&gt;=5,"A+",IF('Data Source'!AE686&gt;=4,"A",IF('Data Source'!AE686&gt;=3.5,"A-",IF('Data Source'!AE686&gt;=3,"B",IF('Data Source'!AE686&gt;=2,"C",IF('Data Source'!AE686&gt;=1,"D","F")))))),"")</f>
        <v/>
      </c>
      <c r="N686" s="3">
        <f>IF(AND('Data Source'!B686&lt;&gt;"",'Data Source'!S686="F"),IF('Data Source'!AF686&gt;=5,"A+",IF('Data Source'!AF686&gt;=4,"A",IF('Data Source'!AF686&gt;=3.5,"A-",IF('Data Source'!AF686&gt;=3,"B",IF('Data Source'!AF686&gt;=2,"C",IF('Data Source'!AF686&gt;=1,"D","F")))))),"")</f>
        <v/>
      </c>
      <c r="O686" s="3">
        <f>IF(AND('Data Source'!B686&lt;&gt;"",'Data Source'!S686="F"),IF('Data Source'!AG686&gt;=5,"A+",IF('Data Source'!AG686&gt;=4,"A",IF('Data Source'!AG686&gt;=3.5,"A-",IF('Data Source'!AG686&gt;=3,"B",IF('Data Source'!AG686&gt;=2,"C",IF('Data Source'!AG686&gt;=1,"D","F")))))),"")</f>
        <v/>
      </c>
      <c r="P686" s="5">
        <f>IF(AND('Data Source'!B686&lt;&gt;"",'Data Source'!S686="F"),'Data Source'!R686,"")</f>
        <v/>
      </c>
      <c r="Q686" s="3">
        <f>IF(AND('Data Source'!B686&lt;&gt;"",'Data Source'!S686="F"),'Data Source'!S686,"")</f>
        <v/>
      </c>
    </row>
    <row r="687">
      <c r="A687" s="3">
        <f>IF(AND('Data Source'!B687&lt;&gt;"",'Data Source'!S687="F"),COUNTIF('Data Source'!$S$3:S687,"F"),"")</f>
        <v/>
      </c>
      <c r="B687">
        <f>IF(AND('Data Source'!B687&lt;&gt;"",'Data Source'!S687="F"),'Data Source'!B687,"")</f>
        <v/>
      </c>
      <c r="C687" s="3">
        <f>IF(AND('Data Source'!B687&lt;&gt;"",'Data Source'!S687="F"),IF('Data Source'!U687&gt;=5,"A+",IF('Data Source'!U687&gt;=4,"A",IF('Data Source'!U687&gt;=3.5,"A-",IF('Data Source'!U687&gt;=3,"B",IF('Data Source'!U687&gt;=2,"C",IF('Data Source'!U687&gt;=1,"D","F")))))),"")</f>
        <v/>
      </c>
      <c r="D687" s="3">
        <f>IF(AND('Data Source'!B687&lt;&gt;"",'Data Source'!S687="F"),IF('Data Source'!V687&gt;=5,"A+",IF('Data Source'!V687&gt;=4,"A",IF('Data Source'!V687&gt;=3.5,"A-",IF('Data Source'!V687&gt;=3,"B",IF('Data Source'!V687&gt;=2,"C",IF('Data Source'!V687&gt;=1,"D","F")))))),"")</f>
        <v/>
      </c>
      <c r="E687" s="3">
        <f>IF(AND('Data Source'!B687&lt;&gt;"",'Data Source'!S687="F"),IF('Data Source'!W687&gt;=5,"A+",IF('Data Source'!W687&gt;=4,"A",IF('Data Source'!W687&gt;=3.5,"A-",IF('Data Source'!W687&gt;=3,"B",IF('Data Source'!W687&gt;=2,"C",IF('Data Source'!W687&gt;=1,"D","F")))))),"")</f>
        <v/>
      </c>
      <c r="F687" s="3">
        <f>IF(AND('Data Source'!B687&lt;&gt;"",'Data Source'!S687="F"),IF('Data Source'!X687&gt;=5,"A+",IF('Data Source'!X687&gt;=4,"A",IF('Data Source'!X687&gt;=3.5,"A-",IF('Data Source'!X687&gt;=3,"B",IF('Data Source'!X687&gt;=2,"C",IF('Data Source'!X687&gt;=1,"D","F")))))),"")</f>
        <v/>
      </c>
      <c r="G687" s="3">
        <f>IF(AND('Data Source'!B687&lt;&gt;"",'Data Source'!S687="F"),IF('Data Source'!Y687&gt;=5,"A+",IF('Data Source'!Y687&gt;=4,"A",IF('Data Source'!Y687&gt;=3.5,"A-",IF('Data Source'!Y687&gt;=3,"B",IF('Data Source'!Y687&gt;=2,"C",IF('Data Source'!Y687&gt;=1,"D","F")))))),"")</f>
        <v/>
      </c>
      <c r="H687" s="3">
        <f>IF(AND('Data Source'!B687&lt;&gt;"",'Data Source'!S687="F"),IF('Data Source'!Z687&gt;=5,"A+",IF('Data Source'!Z687&gt;=4,"A",IF('Data Source'!Z687&gt;=3.5,"A-",IF('Data Source'!Z687&gt;=3,"B",IF('Data Source'!Z687&gt;=2,"C",IF('Data Source'!Z687&gt;=1,"D","F")))))),"")</f>
        <v/>
      </c>
      <c r="I687" s="3">
        <f>IF(AND('Data Source'!B687&lt;&gt;"",'Data Source'!S687="F"),IF('Data Source'!AA687&gt;=5,"A+",IF('Data Source'!AA687&gt;=4,"A",IF('Data Source'!AA687&gt;=3.5,"A-",IF('Data Source'!AA687&gt;=3,"B",IF('Data Source'!AA687&gt;=2,"C",IF('Data Source'!AA687&gt;=1,"D","F")))))),"")</f>
        <v/>
      </c>
      <c r="J687" s="3">
        <f>IF(AND('Data Source'!B687&lt;&gt;"",'Data Source'!S687="F"),IF('Data Source'!AB687&gt;=5,"A+",IF('Data Source'!AB687&gt;=4,"A",IF('Data Source'!AB687&gt;=3.5,"A-",IF('Data Source'!AB687&gt;=3,"B",IF('Data Source'!AB687&gt;=2,"C",IF('Data Source'!AB687&gt;=1,"D","F")))))),"")</f>
        <v/>
      </c>
      <c r="K687" s="3">
        <f>IF(AND('Data Source'!B687&lt;&gt;"",'Data Source'!S687="F"),IF('Data Source'!AC687&gt;=5,"A+",IF('Data Source'!AC687&gt;=4,"A",IF('Data Source'!AC687&gt;=3.5,"A-",IF('Data Source'!AC687&gt;=3,"B",IF('Data Source'!AC687&gt;=2,"C",IF('Data Source'!AC687&gt;=1,"D","F")))))),"")</f>
        <v/>
      </c>
      <c r="L687" s="3">
        <f>IF(AND('Data Source'!B687&lt;&gt;"",'Data Source'!S687="F"),IF('Data Source'!AD687&gt;=5,"A+",IF('Data Source'!AD687&gt;=4,"A",IF('Data Source'!AD687&gt;=3.5,"A-",IF('Data Source'!AD687&gt;=3,"B",IF('Data Source'!AD687&gt;=2,"C",IF('Data Source'!AD687&gt;=1,"D","F")))))),"")</f>
        <v/>
      </c>
      <c r="M687" s="3">
        <f>IF(AND('Data Source'!B687&lt;&gt;"",'Data Source'!S687="F"),IF('Data Source'!AE687&gt;=5,"A+",IF('Data Source'!AE687&gt;=4,"A",IF('Data Source'!AE687&gt;=3.5,"A-",IF('Data Source'!AE687&gt;=3,"B",IF('Data Source'!AE687&gt;=2,"C",IF('Data Source'!AE687&gt;=1,"D","F")))))),"")</f>
        <v/>
      </c>
      <c r="N687" s="3">
        <f>IF(AND('Data Source'!B687&lt;&gt;"",'Data Source'!S687="F"),IF('Data Source'!AF687&gt;=5,"A+",IF('Data Source'!AF687&gt;=4,"A",IF('Data Source'!AF687&gt;=3.5,"A-",IF('Data Source'!AF687&gt;=3,"B",IF('Data Source'!AF687&gt;=2,"C",IF('Data Source'!AF687&gt;=1,"D","F")))))),"")</f>
        <v/>
      </c>
      <c r="O687" s="3">
        <f>IF(AND('Data Source'!B687&lt;&gt;"",'Data Source'!S687="F"),IF('Data Source'!AG687&gt;=5,"A+",IF('Data Source'!AG687&gt;=4,"A",IF('Data Source'!AG687&gt;=3.5,"A-",IF('Data Source'!AG687&gt;=3,"B",IF('Data Source'!AG687&gt;=2,"C",IF('Data Source'!AG687&gt;=1,"D","F")))))),"")</f>
        <v/>
      </c>
      <c r="P687" s="5">
        <f>IF(AND('Data Source'!B687&lt;&gt;"",'Data Source'!S687="F"),'Data Source'!R687,"")</f>
        <v/>
      </c>
      <c r="Q687" s="3">
        <f>IF(AND('Data Source'!B687&lt;&gt;"",'Data Source'!S687="F"),'Data Source'!S687,"")</f>
        <v/>
      </c>
    </row>
    <row r="688">
      <c r="A688" s="3">
        <f>IF(AND('Data Source'!B688&lt;&gt;"",'Data Source'!S688="F"),COUNTIF('Data Source'!$S$3:S688,"F"),"")</f>
        <v/>
      </c>
      <c r="B688">
        <f>IF(AND('Data Source'!B688&lt;&gt;"",'Data Source'!S688="F"),'Data Source'!B688,"")</f>
        <v/>
      </c>
      <c r="C688" s="3">
        <f>IF(AND('Data Source'!B688&lt;&gt;"",'Data Source'!S688="F"),IF('Data Source'!U688&gt;=5,"A+",IF('Data Source'!U688&gt;=4,"A",IF('Data Source'!U688&gt;=3.5,"A-",IF('Data Source'!U688&gt;=3,"B",IF('Data Source'!U688&gt;=2,"C",IF('Data Source'!U688&gt;=1,"D","F")))))),"")</f>
        <v/>
      </c>
      <c r="D688" s="3">
        <f>IF(AND('Data Source'!B688&lt;&gt;"",'Data Source'!S688="F"),IF('Data Source'!V688&gt;=5,"A+",IF('Data Source'!V688&gt;=4,"A",IF('Data Source'!V688&gt;=3.5,"A-",IF('Data Source'!V688&gt;=3,"B",IF('Data Source'!V688&gt;=2,"C",IF('Data Source'!V688&gt;=1,"D","F")))))),"")</f>
        <v/>
      </c>
      <c r="E688" s="3">
        <f>IF(AND('Data Source'!B688&lt;&gt;"",'Data Source'!S688="F"),IF('Data Source'!W688&gt;=5,"A+",IF('Data Source'!W688&gt;=4,"A",IF('Data Source'!W688&gt;=3.5,"A-",IF('Data Source'!W688&gt;=3,"B",IF('Data Source'!W688&gt;=2,"C",IF('Data Source'!W688&gt;=1,"D","F")))))),"")</f>
        <v/>
      </c>
      <c r="F688" s="3">
        <f>IF(AND('Data Source'!B688&lt;&gt;"",'Data Source'!S688="F"),IF('Data Source'!X688&gt;=5,"A+",IF('Data Source'!X688&gt;=4,"A",IF('Data Source'!X688&gt;=3.5,"A-",IF('Data Source'!X688&gt;=3,"B",IF('Data Source'!X688&gt;=2,"C",IF('Data Source'!X688&gt;=1,"D","F")))))),"")</f>
        <v/>
      </c>
      <c r="G688" s="3">
        <f>IF(AND('Data Source'!B688&lt;&gt;"",'Data Source'!S688="F"),IF('Data Source'!Y688&gt;=5,"A+",IF('Data Source'!Y688&gt;=4,"A",IF('Data Source'!Y688&gt;=3.5,"A-",IF('Data Source'!Y688&gt;=3,"B",IF('Data Source'!Y688&gt;=2,"C",IF('Data Source'!Y688&gt;=1,"D","F")))))),"")</f>
        <v/>
      </c>
      <c r="H688" s="3">
        <f>IF(AND('Data Source'!B688&lt;&gt;"",'Data Source'!S688="F"),IF('Data Source'!Z688&gt;=5,"A+",IF('Data Source'!Z688&gt;=4,"A",IF('Data Source'!Z688&gt;=3.5,"A-",IF('Data Source'!Z688&gt;=3,"B",IF('Data Source'!Z688&gt;=2,"C",IF('Data Source'!Z688&gt;=1,"D","F")))))),"")</f>
        <v/>
      </c>
      <c r="I688" s="3">
        <f>IF(AND('Data Source'!B688&lt;&gt;"",'Data Source'!S688="F"),IF('Data Source'!AA688&gt;=5,"A+",IF('Data Source'!AA688&gt;=4,"A",IF('Data Source'!AA688&gt;=3.5,"A-",IF('Data Source'!AA688&gt;=3,"B",IF('Data Source'!AA688&gt;=2,"C",IF('Data Source'!AA688&gt;=1,"D","F")))))),"")</f>
        <v/>
      </c>
      <c r="J688" s="3">
        <f>IF(AND('Data Source'!B688&lt;&gt;"",'Data Source'!S688="F"),IF('Data Source'!AB688&gt;=5,"A+",IF('Data Source'!AB688&gt;=4,"A",IF('Data Source'!AB688&gt;=3.5,"A-",IF('Data Source'!AB688&gt;=3,"B",IF('Data Source'!AB688&gt;=2,"C",IF('Data Source'!AB688&gt;=1,"D","F")))))),"")</f>
        <v/>
      </c>
      <c r="K688" s="3">
        <f>IF(AND('Data Source'!B688&lt;&gt;"",'Data Source'!S688="F"),IF('Data Source'!AC688&gt;=5,"A+",IF('Data Source'!AC688&gt;=4,"A",IF('Data Source'!AC688&gt;=3.5,"A-",IF('Data Source'!AC688&gt;=3,"B",IF('Data Source'!AC688&gt;=2,"C",IF('Data Source'!AC688&gt;=1,"D","F")))))),"")</f>
        <v/>
      </c>
      <c r="L688" s="3">
        <f>IF(AND('Data Source'!B688&lt;&gt;"",'Data Source'!S688="F"),IF('Data Source'!AD688&gt;=5,"A+",IF('Data Source'!AD688&gt;=4,"A",IF('Data Source'!AD688&gt;=3.5,"A-",IF('Data Source'!AD688&gt;=3,"B",IF('Data Source'!AD688&gt;=2,"C",IF('Data Source'!AD688&gt;=1,"D","F")))))),"")</f>
        <v/>
      </c>
      <c r="M688" s="3">
        <f>IF(AND('Data Source'!B688&lt;&gt;"",'Data Source'!S688="F"),IF('Data Source'!AE688&gt;=5,"A+",IF('Data Source'!AE688&gt;=4,"A",IF('Data Source'!AE688&gt;=3.5,"A-",IF('Data Source'!AE688&gt;=3,"B",IF('Data Source'!AE688&gt;=2,"C",IF('Data Source'!AE688&gt;=1,"D","F")))))),"")</f>
        <v/>
      </c>
      <c r="N688" s="3">
        <f>IF(AND('Data Source'!B688&lt;&gt;"",'Data Source'!S688="F"),IF('Data Source'!AF688&gt;=5,"A+",IF('Data Source'!AF688&gt;=4,"A",IF('Data Source'!AF688&gt;=3.5,"A-",IF('Data Source'!AF688&gt;=3,"B",IF('Data Source'!AF688&gt;=2,"C",IF('Data Source'!AF688&gt;=1,"D","F")))))),"")</f>
        <v/>
      </c>
      <c r="O688" s="3">
        <f>IF(AND('Data Source'!B688&lt;&gt;"",'Data Source'!S688="F"),IF('Data Source'!AG688&gt;=5,"A+",IF('Data Source'!AG688&gt;=4,"A",IF('Data Source'!AG688&gt;=3.5,"A-",IF('Data Source'!AG688&gt;=3,"B",IF('Data Source'!AG688&gt;=2,"C",IF('Data Source'!AG688&gt;=1,"D","F")))))),"")</f>
        <v/>
      </c>
      <c r="P688" s="5">
        <f>IF(AND('Data Source'!B688&lt;&gt;"",'Data Source'!S688="F"),'Data Source'!R688,"")</f>
        <v/>
      </c>
      <c r="Q688" s="3">
        <f>IF(AND('Data Source'!B688&lt;&gt;"",'Data Source'!S688="F"),'Data Source'!S688,"")</f>
        <v/>
      </c>
    </row>
    <row r="689">
      <c r="A689" s="3">
        <f>IF(AND('Data Source'!B689&lt;&gt;"",'Data Source'!S689="F"),COUNTIF('Data Source'!$S$3:S689,"F"),"")</f>
        <v/>
      </c>
      <c r="B689">
        <f>IF(AND('Data Source'!B689&lt;&gt;"",'Data Source'!S689="F"),'Data Source'!B689,"")</f>
        <v/>
      </c>
      <c r="C689" s="3">
        <f>IF(AND('Data Source'!B689&lt;&gt;"",'Data Source'!S689="F"),IF('Data Source'!U689&gt;=5,"A+",IF('Data Source'!U689&gt;=4,"A",IF('Data Source'!U689&gt;=3.5,"A-",IF('Data Source'!U689&gt;=3,"B",IF('Data Source'!U689&gt;=2,"C",IF('Data Source'!U689&gt;=1,"D","F")))))),"")</f>
        <v/>
      </c>
      <c r="D689" s="3">
        <f>IF(AND('Data Source'!B689&lt;&gt;"",'Data Source'!S689="F"),IF('Data Source'!V689&gt;=5,"A+",IF('Data Source'!V689&gt;=4,"A",IF('Data Source'!V689&gt;=3.5,"A-",IF('Data Source'!V689&gt;=3,"B",IF('Data Source'!V689&gt;=2,"C",IF('Data Source'!V689&gt;=1,"D","F")))))),"")</f>
        <v/>
      </c>
      <c r="E689" s="3">
        <f>IF(AND('Data Source'!B689&lt;&gt;"",'Data Source'!S689="F"),IF('Data Source'!W689&gt;=5,"A+",IF('Data Source'!W689&gt;=4,"A",IF('Data Source'!W689&gt;=3.5,"A-",IF('Data Source'!W689&gt;=3,"B",IF('Data Source'!W689&gt;=2,"C",IF('Data Source'!W689&gt;=1,"D","F")))))),"")</f>
        <v/>
      </c>
      <c r="F689" s="3">
        <f>IF(AND('Data Source'!B689&lt;&gt;"",'Data Source'!S689="F"),IF('Data Source'!X689&gt;=5,"A+",IF('Data Source'!X689&gt;=4,"A",IF('Data Source'!X689&gt;=3.5,"A-",IF('Data Source'!X689&gt;=3,"B",IF('Data Source'!X689&gt;=2,"C",IF('Data Source'!X689&gt;=1,"D","F")))))),"")</f>
        <v/>
      </c>
      <c r="G689" s="3">
        <f>IF(AND('Data Source'!B689&lt;&gt;"",'Data Source'!S689="F"),IF('Data Source'!Y689&gt;=5,"A+",IF('Data Source'!Y689&gt;=4,"A",IF('Data Source'!Y689&gt;=3.5,"A-",IF('Data Source'!Y689&gt;=3,"B",IF('Data Source'!Y689&gt;=2,"C",IF('Data Source'!Y689&gt;=1,"D","F")))))),"")</f>
        <v/>
      </c>
      <c r="H689" s="3">
        <f>IF(AND('Data Source'!B689&lt;&gt;"",'Data Source'!S689="F"),IF('Data Source'!Z689&gt;=5,"A+",IF('Data Source'!Z689&gt;=4,"A",IF('Data Source'!Z689&gt;=3.5,"A-",IF('Data Source'!Z689&gt;=3,"B",IF('Data Source'!Z689&gt;=2,"C",IF('Data Source'!Z689&gt;=1,"D","F")))))),"")</f>
        <v/>
      </c>
      <c r="I689" s="3">
        <f>IF(AND('Data Source'!B689&lt;&gt;"",'Data Source'!S689="F"),IF('Data Source'!AA689&gt;=5,"A+",IF('Data Source'!AA689&gt;=4,"A",IF('Data Source'!AA689&gt;=3.5,"A-",IF('Data Source'!AA689&gt;=3,"B",IF('Data Source'!AA689&gt;=2,"C",IF('Data Source'!AA689&gt;=1,"D","F")))))),"")</f>
        <v/>
      </c>
      <c r="J689" s="3">
        <f>IF(AND('Data Source'!B689&lt;&gt;"",'Data Source'!S689="F"),IF('Data Source'!AB689&gt;=5,"A+",IF('Data Source'!AB689&gt;=4,"A",IF('Data Source'!AB689&gt;=3.5,"A-",IF('Data Source'!AB689&gt;=3,"B",IF('Data Source'!AB689&gt;=2,"C",IF('Data Source'!AB689&gt;=1,"D","F")))))),"")</f>
        <v/>
      </c>
      <c r="K689" s="3">
        <f>IF(AND('Data Source'!B689&lt;&gt;"",'Data Source'!S689="F"),IF('Data Source'!AC689&gt;=5,"A+",IF('Data Source'!AC689&gt;=4,"A",IF('Data Source'!AC689&gt;=3.5,"A-",IF('Data Source'!AC689&gt;=3,"B",IF('Data Source'!AC689&gt;=2,"C",IF('Data Source'!AC689&gt;=1,"D","F")))))),"")</f>
        <v/>
      </c>
      <c r="L689" s="3">
        <f>IF(AND('Data Source'!B689&lt;&gt;"",'Data Source'!S689="F"),IF('Data Source'!AD689&gt;=5,"A+",IF('Data Source'!AD689&gt;=4,"A",IF('Data Source'!AD689&gt;=3.5,"A-",IF('Data Source'!AD689&gt;=3,"B",IF('Data Source'!AD689&gt;=2,"C",IF('Data Source'!AD689&gt;=1,"D","F")))))),"")</f>
        <v/>
      </c>
      <c r="M689" s="3">
        <f>IF(AND('Data Source'!B689&lt;&gt;"",'Data Source'!S689="F"),IF('Data Source'!AE689&gt;=5,"A+",IF('Data Source'!AE689&gt;=4,"A",IF('Data Source'!AE689&gt;=3.5,"A-",IF('Data Source'!AE689&gt;=3,"B",IF('Data Source'!AE689&gt;=2,"C",IF('Data Source'!AE689&gt;=1,"D","F")))))),"")</f>
        <v/>
      </c>
      <c r="N689" s="3">
        <f>IF(AND('Data Source'!B689&lt;&gt;"",'Data Source'!S689="F"),IF('Data Source'!AF689&gt;=5,"A+",IF('Data Source'!AF689&gt;=4,"A",IF('Data Source'!AF689&gt;=3.5,"A-",IF('Data Source'!AF689&gt;=3,"B",IF('Data Source'!AF689&gt;=2,"C",IF('Data Source'!AF689&gt;=1,"D","F")))))),"")</f>
        <v/>
      </c>
      <c r="O689" s="3">
        <f>IF(AND('Data Source'!B689&lt;&gt;"",'Data Source'!S689="F"),IF('Data Source'!AG689&gt;=5,"A+",IF('Data Source'!AG689&gt;=4,"A",IF('Data Source'!AG689&gt;=3.5,"A-",IF('Data Source'!AG689&gt;=3,"B",IF('Data Source'!AG689&gt;=2,"C",IF('Data Source'!AG689&gt;=1,"D","F")))))),"")</f>
        <v/>
      </c>
      <c r="P689" s="5">
        <f>IF(AND('Data Source'!B689&lt;&gt;"",'Data Source'!S689="F"),'Data Source'!R689,"")</f>
        <v/>
      </c>
      <c r="Q689" s="3">
        <f>IF(AND('Data Source'!B689&lt;&gt;"",'Data Source'!S689="F"),'Data Source'!S689,"")</f>
        <v/>
      </c>
    </row>
    <row r="690">
      <c r="A690" s="3">
        <f>IF(AND('Data Source'!B690&lt;&gt;"",'Data Source'!S690="F"),COUNTIF('Data Source'!$S$3:S690,"F"),"")</f>
        <v/>
      </c>
      <c r="B690">
        <f>IF(AND('Data Source'!B690&lt;&gt;"",'Data Source'!S690="F"),'Data Source'!B690,"")</f>
        <v/>
      </c>
      <c r="C690" s="3">
        <f>IF(AND('Data Source'!B690&lt;&gt;"",'Data Source'!S690="F"),IF('Data Source'!U690&gt;=5,"A+",IF('Data Source'!U690&gt;=4,"A",IF('Data Source'!U690&gt;=3.5,"A-",IF('Data Source'!U690&gt;=3,"B",IF('Data Source'!U690&gt;=2,"C",IF('Data Source'!U690&gt;=1,"D","F")))))),"")</f>
        <v/>
      </c>
      <c r="D690" s="3">
        <f>IF(AND('Data Source'!B690&lt;&gt;"",'Data Source'!S690="F"),IF('Data Source'!V690&gt;=5,"A+",IF('Data Source'!V690&gt;=4,"A",IF('Data Source'!V690&gt;=3.5,"A-",IF('Data Source'!V690&gt;=3,"B",IF('Data Source'!V690&gt;=2,"C",IF('Data Source'!V690&gt;=1,"D","F")))))),"")</f>
        <v/>
      </c>
      <c r="E690" s="3">
        <f>IF(AND('Data Source'!B690&lt;&gt;"",'Data Source'!S690="F"),IF('Data Source'!W690&gt;=5,"A+",IF('Data Source'!W690&gt;=4,"A",IF('Data Source'!W690&gt;=3.5,"A-",IF('Data Source'!W690&gt;=3,"B",IF('Data Source'!W690&gt;=2,"C",IF('Data Source'!W690&gt;=1,"D","F")))))),"")</f>
        <v/>
      </c>
      <c r="F690" s="3">
        <f>IF(AND('Data Source'!B690&lt;&gt;"",'Data Source'!S690="F"),IF('Data Source'!X690&gt;=5,"A+",IF('Data Source'!X690&gt;=4,"A",IF('Data Source'!X690&gt;=3.5,"A-",IF('Data Source'!X690&gt;=3,"B",IF('Data Source'!X690&gt;=2,"C",IF('Data Source'!X690&gt;=1,"D","F")))))),"")</f>
        <v/>
      </c>
      <c r="G690" s="3">
        <f>IF(AND('Data Source'!B690&lt;&gt;"",'Data Source'!S690="F"),IF('Data Source'!Y690&gt;=5,"A+",IF('Data Source'!Y690&gt;=4,"A",IF('Data Source'!Y690&gt;=3.5,"A-",IF('Data Source'!Y690&gt;=3,"B",IF('Data Source'!Y690&gt;=2,"C",IF('Data Source'!Y690&gt;=1,"D","F")))))),"")</f>
        <v/>
      </c>
      <c r="H690" s="3">
        <f>IF(AND('Data Source'!B690&lt;&gt;"",'Data Source'!S690="F"),IF('Data Source'!Z690&gt;=5,"A+",IF('Data Source'!Z690&gt;=4,"A",IF('Data Source'!Z690&gt;=3.5,"A-",IF('Data Source'!Z690&gt;=3,"B",IF('Data Source'!Z690&gt;=2,"C",IF('Data Source'!Z690&gt;=1,"D","F")))))),"")</f>
        <v/>
      </c>
      <c r="I690" s="3">
        <f>IF(AND('Data Source'!B690&lt;&gt;"",'Data Source'!S690="F"),IF('Data Source'!AA690&gt;=5,"A+",IF('Data Source'!AA690&gt;=4,"A",IF('Data Source'!AA690&gt;=3.5,"A-",IF('Data Source'!AA690&gt;=3,"B",IF('Data Source'!AA690&gt;=2,"C",IF('Data Source'!AA690&gt;=1,"D","F")))))),"")</f>
        <v/>
      </c>
      <c r="J690" s="3">
        <f>IF(AND('Data Source'!B690&lt;&gt;"",'Data Source'!S690="F"),IF('Data Source'!AB690&gt;=5,"A+",IF('Data Source'!AB690&gt;=4,"A",IF('Data Source'!AB690&gt;=3.5,"A-",IF('Data Source'!AB690&gt;=3,"B",IF('Data Source'!AB690&gt;=2,"C",IF('Data Source'!AB690&gt;=1,"D","F")))))),"")</f>
        <v/>
      </c>
      <c r="K690" s="3">
        <f>IF(AND('Data Source'!B690&lt;&gt;"",'Data Source'!S690="F"),IF('Data Source'!AC690&gt;=5,"A+",IF('Data Source'!AC690&gt;=4,"A",IF('Data Source'!AC690&gt;=3.5,"A-",IF('Data Source'!AC690&gt;=3,"B",IF('Data Source'!AC690&gt;=2,"C",IF('Data Source'!AC690&gt;=1,"D","F")))))),"")</f>
        <v/>
      </c>
      <c r="L690" s="3">
        <f>IF(AND('Data Source'!B690&lt;&gt;"",'Data Source'!S690="F"),IF('Data Source'!AD690&gt;=5,"A+",IF('Data Source'!AD690&gt;=4,"A",IF('Data Source'!AD690&gt;=3.5,"A-",IF('Data Source'!AD690&gt;=3,"B",IF('Data Source'!AD690&gt;=2,"C",IF('Data Source'!AD690&gt;=1,"D","F")))))),"")</f>
        <v/>
      </c>
      <c r="M690" s="3">
        <f>IF(AND('Data Source'!B690&lt;&gt;"",'Data Source'!S690="F"),IF('Data Source'!AE690&gt;=5,"A+",IF('Data Source'!AE690&gt;=4,"A",IF('Data Source'!AE690&gt;=3.5,"A-",IF('Data Source'!AE690&gt;=3,"B",IF('Data Source'!AE690&gt;=2,"C",IF('Data Source'!AE690&gt;=1,"D","F")))))),"")</f>
        <v/>
      </c>
      <c r="N690" s="3">
        <f>IF(AND('Data Source'!B690&lt;&gt;"",'Data Source'!S690="F"),IF('Data Source'!AF690&gt;=5,"A+",IF('Data Source'!AF690&gt;=4,"A",IF('Data Source'!AF690&gt;=3.5,"A-",IF('Data Source'!AF690&gt;=3,"B",IF('Data Source'!AF690&gt;=2,"C",IF('Data Source'!AF690&gt;=1,"D","F")))))),"")</f>
        <v/>
      </c>
      <c r="O690" s="3">
        <f>IF(AND('Data Source'!B690&lt;&gt;"",'Data Source'!S690="F"),IF('Data Source'!AG690&gt;=5,"A+",IF('Data Source'!AG690&gt;=4,"A",IF('Data Source'!AG690&gt;=3.5,"A-",IF('Data Source'!AG690&gt;=3,"B",IF('Data Source'!AG690&gt;=2,"C",IF('Data Source'!AG690&gt;=1,"D","F")))))),"")</f>
        <v/>
      </c>
      <c r="P690" s="5">
        <f>IF(AND('Data Source'!B690&lt;&gt;"",'Data Source'!S690="F"),'Data Source'!R690,"")</f>
        <v/>
      </c>
      <c r="Q690" s="3">
        <f>IF(AND('Data Source'!B690&lt;&gt;"",'Data Source'!S690="F"),'Data Source'!S690,"")</f>
        <v/>
      </c>
    </row>
    <row r="691">
      <c r="A691" s="3">
        <f>IF(AND('Data Source'!B691&lt;&gt;"",'Data Source'!S691="F"),COUNTIF('Data Source'!$S$3:S691,"F"),"")</f>
        <v/>
      </c>
      <c r="B691">
        <f>IF(AND('Data Source'!B691&lt;&gt;"",'Data Source'!S691="F"),'Data Source'!B691,"")</f>
        <v/>
      </c>
      <c r="C691" s="3">
        <f>IF(AND('Data Source'!B691&lt;&gt;"",'Data Source'!S691="F"),IF('Data Source'!U691&gt;=5,"A+",IF('Data Source'!U691&gt;=4,"A",IF('Data Source'!U691&gt;=3.5,"A-",IF('Data Source'!U691&gt;=3,"B",IF('Data Source'!U691&gt;=2,"C",IF('Data Source'!U691&gt;=1,"D","F")))))),"")</f>
        <v/>
      </c>
      <c r="D691" s="3">
        <f>IF(AND('Data Source'!B691&lt;&gt;"",'Data Source'!S691="F"),IF('Data Source'!V691&gt;=5,"A+",IF('Data Source'!V691&gt;=4,"A",IF('Data Source'!V691&gt;=3.5,"A-",IF('Data Source'!V691&gt;=3,"B",IF('Data Source'!V691&gt;=2,"C",IF('Data Source'!V691&gt;=1,"D","F")))))),"")</f>
        <v/>
      </c>
      <c r="E691" s="3">
        <f>IF(AND('Data Source'!B691&lt;&gt;"",'Data Source'!S691="F"),IF('Data Source'!W691&gt;=5,"A+",IF('Data Source'!W691&gt;=4,"A",IF('Data Source'!W691&gt;=3.5,"A-",IF('Data Source'!W691&gt;=3,"B",IF('Data Source'!W691&gt;=2,"C",IF('Data Source'!W691&gt;=1,"D","F")))))),"")</f>
        <v/>
      </c>
      <c r="F691" s="3">
        <f>IF(AND('Data Source'!B691&lt;&gt;"",'Data Source'!S691="F"),IF('Data Source'!X691&gt;=5,"A+",IF('Data Source'!X691&gt;=4,"A",IF('Data Source'!X691&gt;=3.5,"A-",IF('Data Source'!X691&gt;=3,"B",IF('Data Source'!X691&gt;=2,"C",IF('Data Source'!X691&gt;=1,"D","F")))))),"")</f>
        <v/>
      </c>
      <c r="G691" s="3">
        <f>IF(AND('Data Source'!B691&lt;&gt;"",'Data Source'!S691="F"),IF('Data Source'!Y691&gt;=5,"A+",IF('Data Source'!Y691&gt;=4,"A",IF('Data Source'!Y691&gt;=3.5,"A-",IF('Data Source'!Y691&gt;=3,"B",IF('Data Source'!Y691&gt;=2,"C",IF('Data Source'!Y691&gt;=1,"D","F")))))),"")</f>
        <v/>
      </c>
      <c r="H691" s="3">
        <f>IF(AND('Data Source'!B691&lt;&gt;"",'Data Source'!S691="F"),IF('Data Source'!Z691&gt;=5,"A+",IF('Data Source'!Z691&gt;=4,"A",IF('Data Source'!Z691&gt;=3.5,"A-",IF('Data Source'!Z691&gt;=3,"B",IF('Data Source'!Z691&gt;=2,"C",IF('Data Source'!Z691&gt;=1,"D","F")))))),"")</f>
        <v/>
      </c>
      <c r="I691" s="3">
        <f>IF(AND('Data Source'!B691&lt;&gt;"",'Data Source'!S691="F"),IF('Data Source'!AA691&gt;=5,"A+",IF('Data Source'!AA691&gt;=4,"A",IF('Data Source'!AA691&gt;=3.5,"A-",IF('Data Source'!AA691&gt;=3,"B",IF('Data Source'!AA691&gt;=2,"C",IF('Data Source'!AA691&gt;=1,"D","F")))))),"")</f>
        <v/>
      </c>
      <c r="J691" s="3">
        <f>IF(AND('Data Source'!B691&lt;&gt;"",'Data Source'!S691="F"),IF('Data Source'!AB691&gt;=5,"A+",IF('Data Source'!AB691&gt;=4,"A",IF('Data Source'!AB691&gt;=3.5,"A-",IF('Data Source'!AB691&gt;=3,"B",IF('Data Source'!AB691&gt;=2,"C",IF('Data Source'!AB691&gt;=1,"D","F")))))),"")</f>
        <v/>
      </c>
      <c r="K691" s="3">
        <f>IF(AND('Data Source'!B691&lt;&gt;"",'Data Source'!S691="F"),IF('Data Source'!AC691&gt;=5,"A+",IF('Data Source'!AC691&gt;=4,"A",IF('Data Source'!AC691&gt;=3.5,"A-",IF('Data Source'!AC691&gt;=3,"B",IF('Data Source'!AC691&gt;=2,"C",IF('Data Source'!AC691&gt;=1,"D","F")))))),"")</f>
        <v/>
      </c>
      <c r="L691" s="3">
        <f>IF(AND('Data Source'!B691&lt;&gt;"",'Data Source'!S691="F"),IF('Data Source'!AD691&gt;=5,"A+",IF('Data Source'!AD691&gt;=4,"A",IF('Data Source'!AD691&gt;=3.5,"A-",IF('Data Source'!AD691&gt;=3,"B",IF('Data Source'!AD691&gt;=2,"C",IF('Data Source'!AD691&gt;=1,"D","F")))))),"")</f>
        <v/>
      </c>
      <c r="M691" s="3">
        <f>IF(AND('Data Source'!B691&lt;&gt;"",'Data Source'!S691="F"),IF('Data Source'!AE691&gt;=5,"A+",IF('Data Source'!AE691&gt;=4,"A",IF('Data Source'!AE691&gt;=3.5,"A-",IF('Data Source'!AE691&gt;=3,"B",IF('Data Source'!AE691&gt;=2,"C",IF('Data Source'!AE691&gt;=1,"D","F")))))),"")</f>
        <v/>
      </c>
      <c r="N691" s="3">
        <f>IF(AND('Data Source'!B691&lt;&gt;"",'Data Source'!S691="F"),IF('Data Source'!AF691&gt;=5,"A+",IF('Data Source'!AF691&gt;=4,"A",IF('Data Source'!AF691&gt;=3.5,"A-",IF('Data Source'!AF691&gt;=3,"B",IF('Data Source'!AF691&gt;=2,"C",IF('Data Source'!AF691&gt;=1,"D","F")))))),"")</f>
        <v/>
      </c>
      <c r="O691" s="3">
        <f>IF(AND('Data Source'!B691&lt;&gt;"",'Data Source'!S691="F"),IF('Data Source'!AG691&gt;=5,"A+",IF('Data Source'!AG691&gt;=4,"A",IF('Data Source'!AG691&gt;=3.5,"A-",IF('Data Source'!AG691&gt;=3,"B",IF('Data Source'!AG691&gt;=2,"C",IF('Data Source'!AG691&gt;=1,"D","F")))))),"")</f>
        <v/>
      </c>
      <c r="P691" s="5">
        <f>IF(AND('Data Source'!B691&lt;&gt;"",'Data Source'!S691="F"),'Data Source'!R691,"")</f>
        <v/>
      </c>
      <c r="Q691" s="3">
        <f>IF(AND('Data Source'!B691&lt;&gt;"",'Data Source'!S691="F"),'Data Source'!S691,"")</f>
        <v/>
      </c>
    </row>
    <row r="692">
      <c r="A692" s="3">
        <f>IF(AND('Data Source'!B692&lt;&gt;"",'Data Source'!S692="F"),COUNTIF('Data Source'!$S$3:S692,"F"),"")</f>
        <v/>
      </c>
      <c r="B692">
        <f>IF(AND('Data Source'!B692&lt;&gt;"",'Data Source'!S692="F"),'Data Source'!B692,"")</f>
        <v/>
      </c>
      <c r="C692" s="3">
        <f>IF(AND('Data Source'!B692&lt;&gt;"",'Data Source'!S692="F"),IF('Data Source'!U692&gt;=5,"A+",IF('Data Source'!U692&gt;=4,"A",IF('Data Source'!U692&gt;=3.5,"A-",IF('Data Source'!U692&gt;=3,"B",IF('Data Source'!U692&gt;=2,"C",IF('Data Source'!U692&gt;=1,"D","F")))))),"")</f>
        <v/>
      </c>
      <c r="D692" s="3">
        <f>IF(AND('Data Source'!B692&lt;&gt;"",'Data Source'!S692="F"),IF('Data Source'!V692&gt;=5,"A+",IF('Data Source'!V692&gt;=4,"A",IF('Data Source'!V692&gt;=3.5,"A-",IF('Data Source'!V692&gt;=3,"B",IF('Data Source'!V692&gt;=2,"C",IF('Data Source'!V692&gt;=1,"D","F")))))),"")</f>
        <v/>
      </c>
      <c r="E692" s="3">
        <f>IF(AND('Data Source'!B692&lt;&gt;"",'Data Source'!S692="F"),IF('Data Source'!W692&gt;=5,"A+",IF('Data Source'!W692&gt;=4,"A",IF('Data Source'!W692&gt;=3.5,"A-",IF('Data Source'!W692&gt;=3,"B",IF('Data Source'!W692&gt;=2,"C",IF('Data Source'!W692&gt;=1,"D","F")))))),"")</f>
        <v/>
      </c>
      <c r="F692" s="3">
        <f>IF(AND('Data Source'!B692&lt;&gt;"",'Data Source'!S692="F"),IF('Data Source'!X692&gt;=5,"A+",IF('Data Source'!X692&gt;=4,"A",IF('Data Source'!X692&gt;=3.5,"A-",IF('Data Source'!X692&gt;=3,"B",IF('Data Source'!X692&gt;=2,"C",IF('Data Source'!X692&gt;=1,"D","F")))))),"")</f>
        <v/>
      </c>
      <c r="G692" s="3">
        <f>IF(AND('Data Source'!B692&lt;&gt;"",'Data Source'!S692="F"),IF('Data Source'!Y692&gt;=5,"A+",IF('Data Source'!Y692&gt;=4,"A",IF('Data Source'!Y692&gt;=3.5,"A-",IF('Data Source'!Y692&gt;=3,"B",IF('Data Source'!Y692&gt;=2,"C",IF('Data Source'!Y692&gt;=1,"D","F")))))),"")</f>
        <v/>
      </c>
      <c r="H692" s="3">
        <f>IF(AND('Data Source'!B692&lt;&gt;"",'Data Source'!S692="F"),IF('Data Source'!Z692&gt;=5,"A+",IF('Data Source'!Z692&gt;=4,"A",IF('Data Source'!Z692&gt;=3.5,"A-",IF('Data Source'!Z692&gt;=3,"B",IF('Data Source'!Z692&gt;=2,"C",IF('Data Source'!Z692&gt;=1,"D","F")))))),"")</f>
        <v/>
      </c>
      <c r="I692" s="3">
        <f>IF(AND('Data Source'!B692&lt;&gt;"",'Data Source'!S692="F"),IF('Data Source'!AA692&gt;=5,"A+",IF('Data Source'!AA692&gt;=4,"A",IF('Data Source'!AA692&gt;=3.5,"A-",IF('Data Source'!AA692&gt;=3,"B",IF('Data Source'!AA692&gt;=2,"C",IF('Data Source'!AA692&gt;=1,"D","F")))))),"")</f>
        <v/>
      </c>
      <c r="J692" s="3">
        <f>IF(AND('Data Source'!B692&lt;&gt;"",'Data Source'!S692="F"),IF('Data Source'!AB692&gt;=5,"A+",IF('Data Source'!AB692&gt;=4,"A",IF('Data Source'!AB692&gt;=3.5,"A-",IF('Data Source'!AB692&gt;=3,"B",IF('Data Source'!AB692&gt;=2,"C",IF('Data Source'!AB692&gt;=1,"D","F")))))),"")</f>
        <v/>
      </c>
      <c r="K692" s="3">
        <f>IF(AND('Data Source'!B692&lt;&gt;"",'Data Source'!S692="F"),IF('Data Source'!AC692&gt;=5,"A+",IF('Data Source'!AC692&gt;=4,"A",IF('Data Source'!AC692&gt;=3.5,"A-",IF('Data Source'!AC692&gt;=3,"B",IF('Data Source'!AC692&gt;=2,"C",IF('Data Source'!AC692&gt;=1,"D","F")))))),"")</f>
        <v/>
      </c>
      <c r="L692" s="3">
        <f>IF(AND('Data Source'!B692&lt;&gt;"",'Data Source'!S692="F"),IF('Data Source'!AD692&gt;=5,"A+",IF('Data Source'!AD692&gt;=4,"A",IF('Data Source'!AD692&gt;=3.5,"A-",IF('Data Source'!AD692&gt;=3,"B",IF('Data Source'!AD692&gt;=2,"C",IF('Data Source'!AD692&gt;=1,"D","F")))))),"")</f>
        <v/>
      </c>
      <c r="M692" s="3">
        <f>IF(AND('Data Source'!B692&lt;&gt;"",'Data Source'!S692="F"),IF('Data Source'!AE692&gt;=5,"A+",IF('Data Source'!AE692&gt;=4,"A",IF('Data Source'!AE692&gt;=3.5,"A-",IF('Data Source'!AE692&gt;=3,"B",IF('Data Source'!AE692&gt;=2,"C",IF('Data Source'!AE692&gt;=1,"D","F")))))),"")</f>
        <v/>
      </c>
      <c r="N692" s="3">
        <f>IF(AND('Data Source'!B692&lt;&gt;"",'Data Source'!S692="F"),IF('Data Source'!AF692&gt;=5,"A+",IF('Data Source'!AF692&gt;=4,"A",IF('Data Source'!AF692&gt;=3.5,"A-",IF('Data Source'!AF692&gt;=3,"B",IF('Data Source'!AF692&gt;=2,"C",IF('Data Source'!AF692&gt;=1,"D","F")))))),"")</f>
        <v/>
      </c>
      <c r="O692" s="3">
        <f>IF(AND('Data Source'!B692&lt;&gt;"",'Data Source'!S692="F"),IF('Data Source'!AG692&gt;=5,"A+",IF('Data Source'!AG692&gt;=4,"A",IF('Data Source'!AG692&gt;=3.5,"A-",IF('Data Source'!AG692&gt;=3,"B",IF('Data Source'!AG692&gt;=2,"C",IF('Data Source'!AG692&gt;=1,"D","F")))))),"")</f>
        <v/>
      </c>
      <c r="P692" s="5">
        <f>IF(AND('Data Source'!B692&lt;&gt;"",'Data Source'!S692="F"),'Data Source'!R692,"")</f>
        <v/>
      </c>
      <c r="Q692" s="3">
        <f>IF(AND('Data Source'!B692&lt;&gt;"",'Data Source'!S692="F"),'Data Source'!S692,"")</f>
        <v/>
      </c>
    </row>
    <row r="693">
      <c r="A693" s="3">
        <f>IF(AND('Data Source'!B693&lt;&gt;"",'Data Source'!S693="F"),COUNTIF('Data Source'!$S$3:S693,"F"),"")</f>
        <v/>
      </c>
      <c r="B693">
        <f>IF(AND('Data Source'!B693&lt;&gt;"",'Data Source'!S693="F"),'Data Source'!B693,"")</f>
        <v/>
      </c>
      <c r="C693" s="3">
        <f>IF(AND('Data Source'!B693&lt;&gt;"",'Data Source'!S693="F"),IF('Data Source'!U693&gt;=5,"A+",IF('Data Source'!U693&gt;=4,"A",IF('Data Source'!U693&gt;=3.5,"A-",IF('Data Source'!U693&gt;=3,"B",IF('Data Source'!U693&gt;=2,"C",IF('Data Source'!U693&gt;=1,"D","F")))))),"")</f>
        <v/>
      </c>
      <c r="D693" s="3">
        <f>IF(AND('Data Source'!B693&lt;&gt;"",'Data Source'!S693="F"),IF('Data Source'!V693&gt;=5,"A+",IF('Data Source'!V693&gt;=4,"A",IF('Data Source'!V693&gt;=3.5,"A-",IF('Data Source'!V693&gt;=3,"B",IF('Data Source'!V693&gt;=2,"C",IF('Data Source'!V693&gt;=1,"D","F")))))),"")</f>
        <v/>
      </c>
      <c r="E693" s="3">
        <f>IF(AND('Data Source'!B693&lt;&gt;"",'Data Source'!S693="F"),IF('Data Source'!W693&gt;=5,"A+",IF('Data Source'!W693&gt;=4,"A",IF('Data Source'!W693&gt;=3.5,"A-",IF('Data Source'!W693&gt;=3,"B",IF('Data Source'!W693&gt;=2,"C",IF('Data Source'!W693&gt;=1,"D","F")))))),"")</f>
        <v/>
      </c>
      <c r="F693" s="3">
        <f>IF(AND('Data Source'!B693&lt;&gt;"",'Data Source'!S693="F"),IF('Data Source'!X693&gt;=5,"A+",IF('Data Source'!X693&gt;=4,"A",IF('Data Source'!X693&gt;=3.5,"A-",IF('Data Source'!X693&gt;=3,"B",IF('Data Source'!X693&gt;=2,"C",IF('Data Source'!X693&gt;=1,"D","F")))))),"")</f>
        <v/>
      </c>
      <c r="G693" s="3">
        <f>IF(AND('Data Source'!B693&lt;&gt;"",'Data Source'!S693="F"),IF('Data Source'!Y693&gt;=5,"A+",IF('Data Source'!Y693&gt;=4,"A",IF('Data Source'!Y693&gt;=3.5,"A-",IF('Data Source'!Y693&gt;=3,"B",IF('Data Source'!Y693&gt;=2,"C",IF('Data Source'!Y693&gt;=1,"D","F")))))),"")</f>
        <v/>
      </c>
      <c r="H693" s="3">
        <f>IF(AND('Data Source'!B693&lt;&gt;"",'Data Source'!S693="F"),IF('Data Source'!Z693&gt;=5,"A+",IF('Data Source'!Z693&gt;=4,"A",IF('Data Source'!Z693&gt;=3.5,"A-",IF('Data Source'!Z693&gt;=3,"B",IF('Data Source'!Z693&gt;=2,"C",IF('Data Source'!Z693&gt;=1,"D","F")))))),"")</f>
        <v/>
      </c>
      <c r="I693" s="3">
        <f>IF(AND('Data Source'!B693&lt;&gt;"",'Data Source'!S693="F"),IF('Data Source'!AA693&gt;=5,"A+",IF('Data Source'!AA693&gt;=4,"A",IF('Data Source'!AA693&gt;=3.5,"A-",IF('Data Source'!AA693&gt;=3,"B",IF('Data Source'!AA693&gt;=2,"C",IF('Data Source'!AA693&gt;=1,"D","F")))))),"")</f>
        <v/>
      </c>
      <c r="J693" s="3">
        <f>IF(AND('Data Source'!B693&lt;&gt;"",'Data Source'!S693="F"),IF('Data Source'!AB693&gt;=5,"A+",IF('Data Source'!AB693&gt;=4,"A",IF('Data Source'!AB693&gt;=3.5,"A-",IF('Data Source'!AB693&gt;=3,"B",IF('Data Source'!AB693&gt;=2,"C",IF('Data Source'!AB693&gt;=1,"D","F")))))),"")</f>
        <v/>
      </c>
      <c r="K693" s="3">
        <f>IF(AND('Data Source'!B693&lt;&gt;"",'Data Source'!S693="F"),IF('Data Source'!AC693&gt;=5,"A+",IF('Data Source'!AC693&gt;=4,"A",IF('Data Source'!AC693&gt;=3.5,"A-",IF('Data Source'!AC693&gt;=3,"B",IF('Data Source'!AC693&gt;=2,"C",IF('Data Source'!AC693&gt;=1,"D","F")))))),"")</f>
        <v/>
      </c>
      <c r="L693" s="3">
        <f>IF(AND('Data Source'!B693&lt;&gt;"",'Data Source'!S693="F"),IF('Data Source'!AD693&gt;=5,"A+",IF('Data Source'!AD693&gt;=4,"A",IF('Data Source'!AD693&gt;=3.5,"A-",IF('Data Source'!AD693&gt;=3,"B",IF('Data Source'!AD693&gt;=2,"C",IF('Data Source'!AD693&gt;=1,"D","F")))))),"")</f>
        <v/>
      </c>
      <c r="M693" s="3">
        <f>IF(AND('Data Source'!B693&lt;&gt;"",'Data Source'!S693="F"),IF('Data Source'!AE693&gt;=5,"A+",IF('Data Source'!AE693&gt;=4,"A",IF('Data Source'!AE693&gt;=3.5,"A-",IF('Data Source'!AE693&gt;=3,"B",IF('Data Source'!AE693&gt;=2,"C",IF('Data Source'!AE693&gt;=1,"D","F")))))),"")</f>
        <v/>
      </c>
      <c r="N693" s="3">
        <f>IF(AND('Data Source'!B693&lt;&gt;"",'Data Source'!S693="F"),IF('Data Source'!AF693&gt;=5,"A+",IF('Data Source'!AF693&gt;=4,"A",IF('Data Source'!AF693&gt;=3.5,"A-",IF('Data Source'!AF693&gt;=3,"B",IF('Data Source'!AF693&gt;=2,"C",IF('Data Source'!AF693&gt;=1,"D","F")))))),"")</f>
        <v/>
      </c>
      <c r="O693" s="3">
        <f>IF(AND('Data Source'!B693&lt;&gt;"",'Data Source'!S693="F"),IF('Data Source'!AG693&gt;=5,"A+",IF('Data Source'!AG693&gt;=4,"A",IF('Data Source'!AG693&gt;=3.5,"A-",IF('Data Source'!AG693&gt;=3,"B",IF('Data Source'!AG693&gt;=2,"C",IF('Data Source'!AG693&gt;=1,"D","F")))))),"")</f>
        <v/>
      </c>
      <c r="P693" s="5">
        <f>IF(AND('Data Source'!B693&lt;&gt;"",'Data Source'!S693="F"),'Data Source'!R693,"")</f>
        <v/>
      </c>
      <c r="Q693" s="3">
        <f>IF(AND('Data Source'!B693&lt;&gt;"",'Data Source'!S693="F"),'Data Source'!S693,"")</f>
        <v/>
      </c>
    </row>
    <row r="694">
      <c r="A694" s="3">
        <f>IF(AND('Data Source'!B694&lt;&gt;"",'Data Source'!S694="F"),COUNTIF('Data Source'!$S$3:S694,"F"),"")</f>
        <v/>
      </c>
      <c r="B694">
        <f>IF(AND('Data Source'!B694&lt;&gt;"",'Data Source'!S694="F"),'Data Source'!B694,"")</f>
        <v/>
      </c>
      <c r="C694" s="3">
        <f>IF(AND('Data Source'!B694&lt;&gt;"",'Data Source'!S694="F"),IF('Data Source'!U694&gt;=5,"A+",IF('Data Source'!U694&gt;=4,"A",IF('Data Source'!U694&gt;=3.5,"A-",IF('Data Source'!U694&gt;=3,"B",IF('Data Source'!U694&gt;=2,"C",IF('Data Source'!U694&gt;=1,"D","F")))))),"")</f>
        <v/>
      </c>
      <c r="D694" s="3">
        <f>IF(AND('Data Source'!B694&lt;&gt;"",'Data Source'!S694="F"),IF('Data Source'!V694&gt;=5,"A+",IF('Data Source'!V694&gt;=4,"A",IF('Data Source'!V694&gt;=3.5,"A-",IF('Data Source'!V694&gt;=3,"B",IF('Data Source'!V694&gt;=2,"C",IF('Data Source'!V694&gt;=1,"D","F")))))),"")</f>
        <v/>
      </c>
      <c r="E694" s="3">
        <f>IF(AND('Data Source'!B694&lt;&gt;"",'Data Source'!S694="F"),IF('Data Source'!W694&gt;=5,"A+",IF('Data Source'!W694&gt;=4,"A",IF('Data Source'!W694&gt;=3.5,"A-",IF('Data Source'!W694&gt;=3,"B",IF('Data Source'!W694&gt;=2,"C",IF('Data Source'!W694&gt;=1,"D","F")))))),"")</f>
        <v/>
      </c>
      <c r="F694" s="3">
        <f>IF(AND('Data Source'!B694&lt;&gt;"",'Data Source'!S694="F"),IF('Data Source'!X694&gt;=5,"A+",IF('Data Source'!X694&gt;=4,"A",IF('Data Source'!X694&gt;=3.5,"A-",IF('Data Source'!X694&gt;=3,"B",IF('Data Source'!X694&gt;=2,"C",IF('Data Source'!X694&gt;=1,"D","F")))))),"")</f>
        <v/>
      </c>
      <c r="G694" s="3">
        <f>IF(AND('Data Source'!B694&lt;&gt;"",'Data Source'!S694="F"),IF('Data Source'!Y694&gt;=5,"A+",IF('Data Source'!Y694&gt;=4,"A",IF('Data Source'!Y694&gt;=3.5,"A-",IF('Data Source'!Y694&gt;=3,"B",IF('Data Source'!Y694&gt;=2,"C",IF('Data Source'!Y694&gt;=1,"D","F")))))),"")</f>
        <v/>
      </c>
      <c r="H694" s="3">
        <f>IF(AND('Data Source'!B694&lt;&gt;"",'Data Source'!S694="F"),IF('Data Source'!Z694&gt;=5,"A+",IF('Data Source'!Z694&gt;=4,"A",IF('Data Source'!Z694&gt;=3.5,"A-",IF('Data Source'!Z694&gt;=3,"B",IF('Data Source'!Z694&gt;=2,"C",IF('Data Source'!Z694&gt;=1,"D","F")))))),"")</f>
        <v/>
      </c>
      <c r="I694" s="3">
        <f>IF(AND('Data Source'!B694&lt;&gt;"",'Data Source'!S694="F"),IF('Data Source'!AA694&gt;=5,"A+",IF('Data Source'!AA694&gt;=4,"A",IF('Data Source'!AA694&gt;=3.5,"A-",IF('Data Source'!AA694&gt;=3,"B",IF('Data Source'!AA694&gt;=2,"C",IF('Data Source'!AA694&gt;=1,"D","F")))))),"")</f>
        <v/>
      </c>
      <c r="J694" s="3">
        <f>IF(AND('Data Source'!B694&lt;&gt;"",'Data Source'!S694="F"),IF('Data Source'!AB694&gt;=5,"A+",IF('Data Source'!AB694&gt;=4,"A",IF('Data Source'!AB694&gt;=3.5,"A-",IF('Data Source'!AB694&gt;=3,"B",IF('Data Source'!AB694&gt;=2,"C",IF('Data Source'!AB694&gt;=1,"D","F")))))),"")</f>
        <v/>
      </c>
      <c r="K694" s="3">
        <f>IF(AND('Data Source'!B694&lt;&gt;"",'Data Source'!S694="F"),IF('Data Source'!AC694&gt;=5,"A+",IF('Data Source'!AC694&gt;=4,"A",IF('Data Source'!AC694&gt;=3.5,"A-",IF('Data Source'!AC694&gt;=3,"B",IF('Data Source'!AC694&gt;=2,"C",IF('Data Source'!AC694&gt;=1,"D","F")))))),"")</f>
        <v/>
      </c>
      <c r="L694" s="3">
        <f>IF(AND('Data Source'!B694&lt;&gt;"",'Data Source'!S694="F"),IF('Data Source'!AD694&gt;=5,"A+",IF('Data Source'!AD694&gt;=4,"A",IF('Data Source'!AD694&gt;=3.5,"A-",IF('Data Source'!AD694&gt;=3,"B",IF('Data Source'!AD694&gt;=2,"C",IF('Data Source'!AD694&gt;=1,"D","F")))))),"")</f>
        <v/>
      </c>
      <c r="M694" s="3">
        <f>IF(AND('Data Source'!B694&lt;&gt;"",'Data Source'!S694="F"),IF('Data Source'!AE694&gt;=5,"A+",IF('Data Source'!AE694&gt;=4,"A",IF('Data Source'!AE694&gt;=3.5,"A-",IF('Data Source'!AE694&gt;=3,"B",IF('Data Source'!AE694&gt;=2,"C",IF('Data Source'!AE694&gt;=1,"D","F")))))),"")</f>
        <v/>
      </c>
      <c r="N694" s="3">
        <f>IF(AND('Data Source'!B694&lt;&gt;"",'Data Source'!S694="F"),IF('Data Source'!AF694&gt;=5,"A+",IF('Data Source'!AF694&gt;=4,"A",IF('Data Source'!AF694&gt;=3.5,"A-",IF('Data Source'!AF694&gt;=3,"B",IF('Data Source'!AF694&gt;=2,"C",IF('Data Source'!AF694&gt;=1,"D","F")))))),"")</f>
        <v/>
      </c>
      <c r="O694" s="3">
        <f>IF(AND('Data Source'!B694&lt;&gt;"",'Data Source'!S694="F"),IF('Data Source'!AG694&gt;=5,"A+",IF('Data Source'!AG694&gt;=4,"A",IF('Data Source'!AG694&gt;=3.5,"A-",IF('Data Source'!AG694&gt;=3,"B",IF('Data Source'!AG694&gt;=2,"C",IF('Data Source'!AG694&gt;=1,"D","F")))))),"")</f>
        <v/>
      </c>
      <c r="P694" s="5">
        <f>IF(AND('Data Source'!B694&lt;&gt;"",'Data Source'!S694="F"),'Data Source'!R694,"")</f>
        <v/>
      </c>
      <c r="Q694" s="3">
        <f>IF(AND('Data Source'!B694&lt;&gt;"",'Data Source'!S694="F"),'Data Source'!S694,"")</f>
        <v/>
      </c>
    </row>
    <row r="695">
      <c r="A695" s="3">
        <f>IF(AND('Data Source'!B695&lt;&gt;"",'Data Source'!S695="F"),COUNTIF('Data Source'!$S$3:S695,"F"),"")</f>
        <v/>
      </c>
      <c r="B695">
        <f>IF(AND('Data Source'!B695&lt;&gt;"",'Data Source'!S695="F"),'Data Source'!B695,"")</f>
        <v/>
      </c>
      <c r="C695" s="3">
        <f>IF(AND('Data Source'!B695&lt;&gt;"",'Data Source'!S695="F"),IF('Data Source'!U695&gt;=5,"A+",IF('Data Source'!U695&gt;=4,"A",IF('Data Source'!U695&gt;=3.5,"A-",IF('Data Source'!U695&gt;=3,"B",IF('Data Source'!U695&gt;=2,"C",IF('Data Source'!U695&gt;=1,"D","F")))))),"")</f>
        <v/>
      </c>
      <c r="D695" s="3">
        <f>IF(AND('Data Source'!B695&lt;&gt;"",'Data Source'!S695="F"),IF('Data Source'!V695&gt;=5,"A+",IF('Data Source'!V695&gt;=4,"A",IF('Data Source'!V695&gt;=3.5,"A-",IF('Data Source'!V695&gt;=3,"B",IF('Data Source'!V695&gt;=2,"C",IF('Data Source'!V695&gt;=1,"D","F")))))),"")</f>
        <v/>
      </c>
      <c r="E695" s="3">
        <f>IF(AND('Data Source'!B695&lt;&gt;"",'Data Source'!S695="F"),IF('Data Source'!W695&gt;=5,"A+",IF('Data Source'!W695&gt;=4,"A",IF('Data Source'!W695&gt;=3.5,"A-",IF('Data Source'!W695&gt;=3,"B",IF('Data Source'!W695&gt;=2,"C",IF('Data Source'!W695&gt;=1,"D","F")))))),"")</f>
        <v/>
      </c>
      <c r="F695" s="3">
        <f>IF(AND('Data Source'!B695&lt;&gt;"",'Data Source'!S695="F"),IF('Data Source'!X695&gt;=5,"A+",IF('Data Source'!X695&gt;=4,"A",IF('Data Source'!X695&gt;=3.5,"A-",IF('Data Source'!X695&gt;=3,"B",IF('Data Source'!X695&gt;=2,"C",IF('Data Source'!X695&gt;=1,"D","F")))))),"")</f>
        <v/>
      </c>
      <c r="G695" s="3">
        <f>IF(AND('Data Source'!B695&lt;&gt;"",'Data Source'!S695="F"),IF('Data Source'!Y695&gt;=5,"A+",IF('Data Source'!Y695&gt;=4,"A",IF('Data Source'!Y695&gt;=3.5,"A-",IF('Data Source'!Y695&gt;=3,"B",IF('Data Source'!Y695&gt;=2,"C",IF('Data Source'!Y695&gt;=1,"D","F")))))),"")</f>
        <v/>
      </c>
      <c r="H695" s="3">
        <f>IF(AND('Data Source'!B695&lt;&gt;"",'Data Source'!S695="F"),IF('Data Source'!Z695&gt;=5,"A+",IF('Data Source'!Z695&gt;=4,"A",IF('Data Source'!Z695&gt;=3.5,"A-",IF('Data Source'!Z695&gt;=3,"B",IF('Data Source'!Z695&gt;=2,"C",IF('Data Source'!Z695&gt;=1,"D","F")))))),"")</f>
        <v/>
      </c>
      <c r="I695" s="3">
        <f>IF(AND('Data Source'!B695&lt;&gt;"",'Data Source'!S695="F"),IF('Data Source'!AA695&gt;=5,"A+",IF('Data Source'!AA695&gt;=4,"A",IF('Data Source'!AA695&gt;=3.5,"A-",IF('Data Source'!AA695&gt;=3,"B",IF('Data Source'!AA695&gt;=2,"C",IF('Data Source'!AA695&gt;=1,"D","F")))))),"")</f>
        <v/>
      </c>
      <c r="J695" s="3">
        <f>IF(AND('Data Source'!B695&lt;&gt;"",'Data Source'!S695="F"),IF('Data Source'!AB695&gt;=5,"A+",IF('Data Source'!AB695&gt;=4,"A",IF('Data Source'!AB695&gt;=3.5,"A-",IF('Data Source'!AB695&gt;=3,"B",IF('Data Source'!AB695&gt;=2,"C",IF('Data Source'!AB695&gt;=1,"D","F")))))),"")</f>
        <v/>
      </c>
      <c r="K695" s="3">
        <f>IF(AND('Data Source'!B695&lt;&gt;"",'Data Source'!S695="F"),IF('Data Source'!AC695&gt;=5,"A+",IF('Data Source'!AC695&gt;=4,"A",IF('Data Source'!AC695&gt;=3.5,"A-",IF('Data Source'!AC695&gt;=3,"B",IF('Data Source'!AC695&gt;=2,"C",IF('Data Source'!AC695&gt;=1,"D","F")))))),"")</f>
        <v/>
      </c>
      <c r="L695" s="3">
        <f>IF(AND('Data Source'!B695&lt;&gt;"",'Data Source'!S695="F"),IF('Data Source'!AD695&gt;=5,"A+",IF('Data Source'!AD695&gt;=4,"A",IF('Data Source'!AD695&gt;=3.5,"A-",IF('Data Source'!AD695&gt;=3,"B",IF('Data Source'!AD695&gt;=2,"C",IF('Data Source'!AD695&gt;=1,"D","F")))))),"")</f>
        <v/>
      </c>
      <c r="M695" s="3">
        <f>IF(AND('Data Source'!B695&lt;&gt;"",'Data Source'!S695="F"),IF('Data Source'!AE695&gt;=5,"A+",IF('Data Source'!AE695&gt;=4,"A",IF('Data Source'!AE695&gt;=3.5,"A-",IF('Data Source'!AE695&gt;=3,"B",IF('Data Source'!AE695&gt;=2,"C",IF('Data Source'!AE695&gt;=1,"D","F")))))),"")</f>
        <v/>
      </c>
      <c r="N695" s="3">
        <f>IF(AND('Data Source'!B695&lt;&gt;"",'Data Source'!S695="F"),IF('Data Source'!AF695&gt;=5,"A+",IF('Data Source'!AF695&gt;=4,"A",IF('Data Source'!AF695&gt;=3.5,"A-",IF('Data Source'!AF695&gt;=3,"B",IF('Data Source'!AF695&gt;=2,"C",IF('Data Source'!AF695&gt;=1,"D","F")))))),"")</f>
        <v/>
      </c>
      <c r="O695" s="3">
        <f>IF(AND('Data Source'!B695&lt;&gt;"",'Data Source'!S695="F"),IF('Data Source'!AG695&gt;=5,"A+",IF('Data Source'!AG695&gt;=4,"A",IF('Data Source'!AG695&gt;=3.5,"A-",IF('Data Source'!AG695&gt;=3,"B",IF('Data Source'!AG695&gt;=2,"C",IF('Data Source'!AG695&gt;=1,"D","F")))))),"")</f>
        <v/>
      </c>
      <c r="P695" s="5">
        <f>IF(AND('Data Source'!B695&lt;&gt;"",'Data Source'!S695="F"),'Data Source'!R695,"")</f>
        <v/>
      </c>
      <c r="Q695" s="3">
        <f>IF(AND('Data Source'!B695&lt;&gt;"",'Data Source'!S695="F"),'Data Source'!S695,"")</f>
        <v/>
      </c>
    </row>
    <row r="696">
      <c r="A696" s="3">
        <f>IF(AND('Data Source'!B696&lt;&gt;"",'Data Source'!S696="F"),COUNTIF('Data Source'!$S$3:S696,"F"),"")</f>
        <v/>
      </c>
      <c r="B696">
        <f>IF(AND('Data Source'!B696&lt;&gt;"",'Data Source'!S696="F"),'Data Source'!B696,"")</f>
        <v/>
      </c>
      <c r="C696" s="3">
        <f>IF(AND('Data Source'!B696&lt;&gt;"",'Data Source'!S696="F"),IF('Data Source'!U696&gt;=5,"A+",IF('Data Source'!U696&gt;=4,"A",IF('Data Source'!U696&gt;=3.5,"A-",IF('Data Source'!U696&gt;=3,"B",IF('Data Source'!U696&gt;=2,"C",IF('Data Source'!U696&gt;=1,"D","F")))))),"")</f>
        <v/>
      </c>
      <c r="D696" s="3">
        <f>IF(AND('Data Source'!B696&lt;&gt;"",'Data Source'!S696="F"),IF('Data Source'!V696&gt;=5,"A+",IF('Data Source'!V696&gt;=4,"A",IF('Data Source'!V696&gt;=3.5,"A-",IF('Data Source'!V696&gt;=3,"B",IF('Data Source'!V696&gt;=2,"C",IF('Data Source'!V696&gt;=1,"D","F")))))),"")</f>
        <v/>
      </c>
      <c r="E696" s="3">
        <f>IF(AND('Data Source'!B696&lt;&gt;"",'Data Source'!S696="F"),IF('Data Source'!W696&gt;=5,"A+",IF('Data Source'!W696&gt;=4,"A",IF('Data Source'!W696&gt;=3.5,"A-",IF('Data Source'!W696&gt;=3,"B",IF('Data Source'!W696&gt;=2,"C",IF('Data Source'!W696&gt;=1,"D","F")))))),"")</f>
        <v/>
      </c>
      <c r="F696" s="3">
        <f>IF(AND('Data Source'!B696&lt;&gt;"",'Data Source'!S696="F"),IF('Data Source'!X696&gt;=5,"A+",IF('Data Source'!X696&gt;=4,"A",IF('Data Source'!X696&gt;=3.5,"A-",IF('Data Source'!X696&gt;=3,"B",IF('Data Source'!X696&gt;=2,"C",IF('Data Source'!X696&gt;=1,"D","F")))))),"")</f>
        <v/>
      </c>
      <c r="G696" s="3">
        <f>IF(AND('Data Source'!B696&lt;&gt;"",'Data Source'!S696="F"),IF('Data Source'!Y696&gt;=5,"A+",IF('Data Source'!Y696&gt;=4,"A",IF('Data Source'!Y696&gt;=3.5,"A-",IF('Data Source'!Y696&gt;=3,"B",IF('Data Source'!Y696&gt;=2,"C",IF('Data Source'!Y696&gt;=1,"D","F")))))),"")</f>
        <v/>
      </c>
      <c r="H696" s="3">
        <f>IF(AND('Data Source'!B696&lt;&gt;"",'Data Source'!S696="F"),IF('Data Source'!Z696&gt;=5,"A+",IF('Data Source'!Z696&gt;=4,"A",IF('Data Source'!Z696&gt;=3.5,"A-",IF('Data Source'!Z696&gt;=3,"B",IF('Data Source'!Z696&gt;=2,"C",IF('Data Source'!Z696&gt;=1,"D","F")))))),"")</f>
        <v/>
      </c>
      <c r="I696" s="3">
        <f>IF(AND('Data Source'!B696&lt;&gt;"",'Data Source'!S696="F"),IF('Data Source'!AA696&gt;=5,"A+",IF('Data Source'!AA696&gt;=4,"A",IF('Data Source'!AA696&gt;=3.5,"A-",IF('Data Source'!AA696&gt;=3,"B",IF('Data Source'!AA696&gt;=2,"C",IF('Data Source'!AA696&gt;=1,"D","F")))))),"")</f>
        <v/>
      </c>
      <c r="J696" s="3">
        <f>IF(AND('Data Source'!B696&lt;&gt;"",'Data Source'!S696="F"),IF('Data Source'!AB696&gt;=5,"A+",IF('Data Source'!AB696&gt;=4,"A",IF('Data Source'!AB696&gt;=3.5,"A-",IF('Data Source'!AB696&gt;=3,"B",IF('Data Source'!AB696&gt;=2,"C",IF('Data Source'!AB696&gt;=1,"D","F")))))),"")</f>
        <v/>
      </c>
      <c r="K696" s="3">
        <f>IF(AND('Data Source'!B696&lt;&gt;"",'Data Source'!S696="F"),IF('Data Source'!AC696&gt;=5,"A+",IF('Data Source'!AC696&gt;=4,"A",IF('Data Source'!AC696&gt;=3.5,"A-",IF('Data Source'!AC696&gt;=3,"B",IF('Data Source'!AC696&gt;=2,"C",IF('Data Source'!AC696&gt;=1,"D","F")))))),"")</f>
        <v/>
      </c>
      <c r="L696" s="3">
        <f>IF(AND('Data Source'!B696&lt;&gt;"",'Data Source'!S696="F"),IF('Data Source'!AD696&gt;=5,"A+",IF('Data Source'!AD696&gt;=4,"A",IF('Data Source'!AD696&gt;=3.5,"A-",IF('Data Source'!AD696&gt;=3,"B",IF('Data Source'!AD696&gt;=2,"C",IF('Data Source'!AD696&gt;=1,"D","F")))))),"")</f>
        <v/>
      </c>
      <c r="M696" s="3">
        <f>IF(AND('Data Source'!B696&lt;&gt;"",'Data Source'!S696="F"),IF('Data Source'!AE696&gt;=5,"A+",IF('Data Source'!AE696&gt;=4,"A",IF('Data Source'!AE696&gt;=3.5,"A-",IF('Data Source'!AE696&gt;=3,"B",IF('Data Source'!AE696&gt;=2,"C",IF('Data Source'!AE696&gt;=1,"D","F")))))),"")</f>
        <v/>
      </c>
      <c r="N696" s="3">
        <f>IF(AND('Data Source'!B696&lt;&gt;"",'Data Source'!S696="F"),IF('Data Source'!AF696&gt;=5,"A+",IF('Data Source'!AF696&gt;=4,"A",IF('Data Source'!AF696&gt;=3.5,"A-",IF('Data Source'!AF696&gt;=3,"B",IF('Data Source'!AF696&gt;=2,"C",IF('Data Source'!AF696&gt;=1,"D","F")))))),"")</f>
        <v/>
      </c>
      <c r="O696" s="3">
        <f>IF(AND('Data Source'!B696&lt;&gt;"",'Data Source'!S696="F"),IF('Data Source'!AG696&gt;=5,"A+",IF('Data Source'!AG696&gt;=4,"A",IF('Data Source'!AG696&gt;=3.5,"A-",IF('Data Source'!AG696&gt;=3,"B",IF('Data Source'!AG696&gt;=2,"C",IF('Data Source'!AG696&gt;=1,"D","F")))))),"")</f>
        <v/>
      </c>
      <c r="P696" s="5">
        <f>IF(AND('Data Source'!B696&lt;&gt;"",'Data Source'!S696="F"),'Data Source'!R696,"")</f>
        <v/>
      </c>
      <c r="Q696" s="3">
        <f>IF(AND('Data Source'!B696&lt;&gt;"",'Data Source'!S696="F"),'Data Source'!S696,"")</f>
        <v/>
      </c>
    </row>
    <row r="697">
      <c r="A697" s="3">
        <f>IF(AND('Data Source'!B697&lt;&gt;"",'Data Source'!S697="F"),COUNTIF('Data Source'!$S$3:S697,"F"),"")</f>
        <v/>
      </c>
      <c r="B697">
        <f>IF(AND('Data Source'!B697&lt;&gt;"",'Data Source'!S697="F"),'Data Source'!B697,"")</f>
        <v/>
      </c>
      <c r="C697" s="3">
        <f>IF(AND('Data Source'!B697&lt;&gt;"",'Data Source'!S697="F"),IF('Data Source'!U697&gt;=5,"A+",IF('Data Source'!U697&gt;=4,"A",IF('Data Source'!U697&gt;=3.5,"A-",IF('Data Source'!U697&gt;=3,"B",IF('Data Source'!U697&gt;=2,"C",IF('Data Source'!U697&gt;=1,"D","F")))))),"")</f>
        <v/>
      </c>
      <c r="D697" s="3">
        <f>IF(AND('Data Source'!B697&lt;&gt;"",'Data Source'!S697="F"),IF('Data Source'!V697&gt;=5,"A+",IF('Data Source'!V697&gt;=4,"A",IF('Data Source'!V697&gt;=3.5,"A-",IF('Data Source'!V697&gt;=3,"B",IF('Data Source'!V697&gt;=2,"C",IF('Data Source'!V697&gt;=1,"D","F")))))),"")</f>
        <v/>
      </c>
      <c r="E697" s="3">
        <f>IF(AND('Data Source'!B697&lt;&gt;"",'Data Source'!S697="F"),IF('Data Source'!W697&gt;=5,"A+",IF('Data Source'!W697&gt;=4,"A",IF('Data Source'!W697&gt;=3.5,"A-",IF('Data Source'!W697&gt;=3,"B",IF('Data Source'!W697&gt;=2,"C",IF('Data Source'!W697&gt;=1,"D","F")))))),"")</f>
        <v/>
      </c>
      <c r="F697" s="3">
        <f>IF(AND('Data Source'!B697&lt;&gt;"",'Data Source'!S697="F"),IF('Data Source'!X697&gt;=5,"A+",IF('Data Source'!X697&gt;=4,"A",IF('Data Source'!X697&gt;=3.5,"A-",IF('Data Source'!X697&gt;=3,"B",IF('Data Source'!X697&gt;=2,"C",IF('Data Source'!X697&gt;=1,"D","F")))))),"")</f>
        <v/>
      </c>
      <c r="G697" s="3">
        <f>IF(AND('Data Source'!B697&lt;&gt;"",'Data Source'!S697="F"),IF('Data Source'!Y697&gt;=5,"A+",IF('Data Source'!Y697&gt;=4,"A",IF('Data Source'!Y697&gt;=3.5,"A-",IF('Data Source'!Y697&gt;=3,"B",IF('Data Source'!Y697&gt;=2,"C",IF('Data Source'!Y697&gt;=1,"D","F")))))),"")</f>
        <v/>
      </c>
      <c r="H697" s="3">
        <f>IF(AND('Data Source'!B697&lt;&gt;"",'Data Source'!S697="F"),IF('Data Source'!Z697&gt;=5,"A+",IF('Data Source'!Z697&gt;=4,"A",IF('Data Source'!Z697&gt;=3.5,"A-",IF('Data Source'!Z697&gt;=3,"B",IF('Data Source'!Z697&gt;=2,"C",IF('Data Source'!Z697&gt;=1,"D","F")))))),"")</f>
        <v/>
      </c>
      <c r="I697" s="3">
        <f>IF(AND('Data Source'!B697&lt;&gt;"",'Data Source'!S697="F"),IF('Data Source'!AA697&gt;=5,"A+",IF('Data Source'!AA697&gt;=4,"A",IF('Data Source'!AA697&gt;=3.5,"A-",IF('Data Source'!AA697&gt;=3,"B",IF('Data Source'!AA697&gt;=2,"C",IF('Data Source'!AA697&gt;=1,"D","F")))))),"")</f>
        <v/>
      </c>
      <c r="J697" s="3">
        <f>IF(AND('Data Source'!B697&lt;&gt;"",'Data Source'!S697="F"),IF('Data Source'!AB697&gt;=5,"A+",IF('Data Source'!AB697&gt;=4,"A",IF('Data Source'!AB697&gt;=3.5,"A-",IF('Data Source'!AB697&gt;=3,"B",IF('Data Source'!AB697&gt;=2,"C",IF('Data Source'!AB697&gt;=1,"D","F")))))),"")</f>
        <v/>
      </c>
      <c r="K697" s="3">
        <f>IF(AND('Data Source'!B697&lt;&gt;"",'Data Source'!S697="F"),IF('Data Source'!AC697&gt;=5,"A+",IF('Data Source'!AC697&gt;=4,"A",IF('Data Source'!AC697&gt;=3.5,"A-",IF('Data Source'!AC697&gt;=3,"B",IF('Data Source'!AC697&gt;=2,"C",IF('Data Source'!AC697&gt;=1,"D","F")))))),"")</f>
        <v/>
      </c>
      <c r="L697" s="3">
        <f>IF(AND('Data Source'!B697&lt;&gt;"",'Data Source'!S697="F"),IF('Data Source'!AD697&gt;=5,"A+",IF('Data Source'!AD697&gt;=4,"A",IF('Data Source'!AD697&gt;=3.5,"A-",IF('Data Source'!AD697&gt;=3,"B",IF('Data Source'!AD697&gt;=2,"C",IF('Data Source'!AD697&gt;=1,"D","F")))))),"")</f>
        <v/>
      </c>
      <c r="M697" s="3">
        <f>IF(AND('Data Source'!B697&lt;&gt;"",'Data Source'!S697="F"),IF('Data Source'!AE697&gt;=5,"A+",IF('Data Source'!AE697&gt;=4,"A",IF('Data Source'!AE697&gt;=3.5,"A-",IF('Data Source'!AE697&gt;=3,"B",IF('Data Source'!AE697&gt;=2,"C",IF('Data Source'!AE697&gt;=1,"D","F")))))),"")</f>
        <v/>
      </c>
      <c r="N697" s="3">
        <f>IF(AND('Data Source'!B697&lt;&gt;"",'Data Source'!S697="F"),IF('Data Source'!AF697&gt;=5,"A+",IF('Data Source'!AF697&gt;=4,"A",IF('Data Source'!AF697&gt;=3.5,"A-",IF('Data Source'!AF697&gt;=3,"B",IF('Data Source'!AF697&gt;=2,"C",IF('Data Source'!AF697&gt;=1,"D","F")))))),"")</f>
        <v/>
      </c>
      <c r="O697" s="3">
        <f>IF(AND('Data Source'!B697&lt;&gt;"",'Data Source'!S697="F"),IF('Data Source'!AG697&gt;=5,"A+",IF('Data Source'!AG697&gt;=4,"A",IF('Data Source'!AG697&gt;=3.5,"A-",IF('Data Source'!AG697&gt;=3,"B",IF('Data Source'!AG697&gt;=2,"C",IF('Data Source'!AG697&gt;=1,"D","F")))))),"")</f>
        <v/>
      </c>
      <c r="P697" s="5">
        <f>IF(AND('Data Source'!B697&lt;&gt;"",'Data Source'!S697="F"),'Data Source'!R697,"")</f>
        <v/>
      </c>
      <c r="Q697" s="3">
        <f>IF(AND('Data Source'!B697&lt;&gt;"",'Data Source'!S697="F"),'Data Source'!S697,"")</f>
        <v/>
      </c>
    </row>
    <row r="698">
      <c r="A698" s="3">
        <f>IF(AND('Data Source'!B698&lt;&gt;"",'Data Source'!S698="F"),COUNTIF('Data Source'!$S$3:S698,"F"),"")</f>
        <v/>
      </c>
      <c r="B698">
        <f>IF(AND('Data Source'!B698&lt;&gt;"",'Data Source'!S698="F"),'Data Source'!B698,"")</f>
        <v/>
      </c>
      <c r="C698" s="3">
        <f>IF(AND('Data Source'!B698&lt;&gt;"",'Data Source'!S698="F"),IF('Data Source'!U698&gt;=5,"A+",IF('Data Source'!U698&gt;=4,"A",IF('Data Source'!U698&gt;=3.5,"A-",IF('Data Source'!U698&gt;=3,"B",IF('Data Source'!U698&gt;=2,"C",IF('Data Source'!U698&gt;=1,"D","F")))))),"")</f>
        <v/>
      </c>
      <c r="D698" s="3">
        <f>IF(AND('Data Source'!B698&lt;&gt;"",'Data Source'!S698="F"),IF('Data Source'!V698&gt;=5,"A+",IF('Data Source'!V698&gt;=4,"A",IF('Data Source'!V698&gt;=3.5,"A-",IF('Data Source'!V698&gt;=3,"B",IF('Data Source'!V698&gt;=2,"C",IF('Data Source'!V698&gt;=1,"D","F")))))),"")</f>
        <v/>
      </c>
      <c r="E698" s="3">
        <f>IF(AND('Data Source'!B698&lt;&gt;"",'Data Source'!S698="F"),IF('Data Source'!W698&gt;=5,"A+",IF('Data Source'!W698&gt;=4,"A",IF('Data Source'!W698&gt;=3.5,"A-",IF('Data Source'!W698&gt;=3,"B",IF('Data Source'!W698&gt;=2,"C",IF('Data Source'!W698&gt;=1,"D","F")))))),"")</f>
        <v/>
      </c>
      <c r="F698" s="3">
        <f>IF(AND('Data Source'!B698&lt;&gt;"",'Data Source'!S698="F"),IF('Data Source'!X698&gt;=5,"A+",IF('Data Source'!X698&gt;=4,"A",IF('Data Source'!X698&gt;=3.5,"A-",IF('Data Source'!X698&gt;=3,"B",IF('Data Source'!X698&gt;=2,"C",IF('Data Source'!X698&gt;=1,"D","F")))))),"")</f>
        <v/>
      </c>
      <c r="G698" s="3">
        <f>IF(AND('Data Source'!B698&lt;&gt;"",'Data Source'!S698="F"),IF('Data Source'!Y698&gt;=5,"A+",IF('Data Source'!Y698&gt;=4,"A",IF('Data Source'!Y698&gt;=3.5,"A-",IF('Data Source'!Y698&gt;=3,"B",IF('Data Source'!Y698&gt;=2,"C",IF('Data Source'!Y698&gt;=1,"D","F")))))),"")</f>
        <v/>
      </c>
      <c r="H698" s="3">
        <f>IF(AND('Data Source'!B698&lt;&gt;"",'Data Source'!S698="F"),IF('Data Source'!Z698&gt;=5,"A+",IF('Data Source'!Z698&gt;=4,"A",IF('Data Source'!Z698&gt;=3.5,"A-",IF('Data Source'!Z698&gt;=3,"B",IF('Data Source'!Z698&gt;=2,"C",IF('Data Source'!Z698&gt;=1,"D","F")))))),"")</f>
        <v/>
      </c>
      <c r="I698" s="3">
        <f>IF(AND('Data Source'!B698&lt;&gt;"",'Data Source'!S698="F"),IF('Data Source'!AA698&gt;=5,"A+",IF('Data Source'!AA698&gt;=4,"A",IF('Data Source'!AA698&gt;=3.5,"A-",IF('Data Source'!AA698&gt;=3,"B",IF('Data Source'!AA698&gt;=2,"C",IF('Data Source'!AA698&gt;=1,"D","F")))))),"")</f>
        <v/>
      </c>
      <c r="J698" s="3">
        <f>IF(AND('Data Source'!B698&lt;&gt;"",'Data Source'!S698="F"),IF('Data Source'!AB698&gt;=5,"A+",IF('Data Source'!AB698&gt;=4,"A",IF('Data Source'!AB698&gt;=3.5,"A-",IF('Data Source'!AB698&gt;=3,"B",IF('Data Source'!AB698&gt;=2,"C",IF('Data Source'!AB698&gt;=1,"D","F")))))),"")</f>
        <v/>
      </c>
      <c r="K698" s="3">
        <f>IF(AND('Data Source'!B698&lt;&gt;"",'Data Source'!S698="F"),IF('Data Source'!AC698&gt;=5,"A+",IF('Data Source'!AC698&gt;=4,"A",IF('Data Source'!AC698&gt;=3.5,"A-",IF('Data Source'!AC698&gt;=3,"B",IF('Data Source'!AC698&gt;=2,"C",IF('Data Source'!AC698&gt;=1,"D","F")))))),"")</f>
        <v/>
      </c>
      <c r="L698" s="3">
        <f>IF(AND('Data Source'!B698&lt;&gt;"",'Data Source'!S698="F"),IF('Data Source'!AD698&gt;=5,"A+",IF('Data Source'!AD698&gt;=4,"A",IF('Data Source'!AD698&gt;=3.5,"A-",IF('Data Source'!AD698&gt;=3,"B",IF('Data Source'!AD698&gt;=2,"C",IF('Data Source'!AD698&gt;=1,"D","F")))))),"")</f>
        <v/>
      </c>
      <c r="M698" s="3">
        <f>IF(AND('Data Source'!B698&lt;&gt;"",'Data Source'!S698="F"),IF('Data Source'!AE698&gt;=5,"A+",IF('Data Source'!AE698&gt;=4,"A",IF('Data Source'!AE698&gt;=3.5,"A-",IF('Data Source'!AE698&gt;=3,"B",IF('Data Source'!AE698&gt;=2,"C",IF('Data Source'!AE698&gt;=1,"D","F")))))),"")</f>
        <v/>
      </c>
      <c r="N698" s="3">
        <f>IF(AND('Data Source'!B698&lt;&gt;"",'Data Source'!S698="F"),IF('Data Source'!AF698&gt;=5,"A+",IF('Data Source'!AF698&gt;=4,"A",IF('Data Source'!AF698&gt;=3.5,"A-",IF('Data Source'!AF698&gt;=3,"B",IF('Data Source'!AF698&gt;=2,"C",IF('Data Source'!AF698&gt;=1,"D","F")))))),"")</f>
        <v/>
      </c>
      <c r="O698" s="3">
        <f>IF(AND('Data Source'!B698&lt;&gt;"",'Data Source'!S698="F"),IF('Data Source'!AG698&gt;=5,"A+",IF('Data Source'!AG698&gt;=4,"A",IF('Data Source'!AG698&gt;=3.5,"A-",IF('Data Source'!AG698&gt;=3,"B",IF('Data Source'!AG698&gt;=2,"C",IF('Data Source'!AG698&gt;=1,"D","F")))))),"")</f>
        <v/>
      </c>
      <c r="P698" s="5">
        <f>IF(AND('Data Source'!B698&lt;&gt;"",'Data Source'!S698="F"),'Data Source'!R698,"")</f>
        <v/>
      </c>
      <c r="Q698" s="3">
        <f>IF(AND('Data Source'!B698&lt;&gt;"",'Data Source'!S698="F"),'Data Source'!S698,"")</f>
        <v/>
      </c>
    </row>
    <row r="699">
      <c r="A699" s="3">
        <f>IF(AND('Data Source'!B699&lt;&gt;"",'Data Source'!S699="F"),COUNTIF('Data Source'!$S$3:S699,"F"),"")</f>
        <v/>
      </c>
      <c r="B699">
        <f>IF(AND('Data Source'!B699&lt;&gt;"",'Data Source'!S699="F"),'Data Source'!B699,"")</f>
        <v/>
      </c>
      <c r="C699" s="3">
        <f>IF(AND('Data Source'!B699&lt;&gt;"",'Data Source'!S699="F"),IF('Data Source'!U699&gt;=5,"A+",IF('Data Source'!U699&gt;=4,"A",IF('Data Source'!U699&gt;=3.5,"A-",IF('Data Source'!U699&gt;=3,"B",IF('Data Source'!U699&gt;=2,"C",IF('Data Source'!U699&gt;=1,"D","F")))))),"")</f>
        <v/>
      </c>
      <c r="D699" s="3">
        <f>IF(AND('Data Source'!B699&lt;&gt;"",'Data Source'!S699="F"),IF('Data Source'!V699&gt;=5,"A+",IF('Data Source'!V699&gt;=4,"A",IF('Data Source'!V699&gt;=3.5,"A-",IF('Data Source'!V699&gt;=3,"B",IF('Data Source'!V699&gt;=2,"C",IF('Data Source'!V699&gt;=1,"D","F")))))),"")</f>
        <v/>
      </c>
      <c r="E699" s="3">
        <f>IF(AND('Data Source'!B699&lt;&gt;"",'Data Source'!S699="F"),IF('Data Source'!W699&gt;=5,"A+",IF('Data Source'!W699&gt;=4,"A",IF('Data Source'!W699&gt;=3.5,"A-",IF('Data Source'!W699&gt;=3,"B",IF('Data Source'!W699&gt;=2,"C",IF('Data Source'!W699&gt;=1,"D","F")))))),"")</f>
        <v/>
      </c>
      <c r="F699" s="3">
        <f>IF(AND('Data Source'!B699&lt;&gt;"",'Data Source'!S699="F"),IF('Data Source'!X699&gt;=5,"A+",IF('Data Source'!X699&gt;=4,"A",IF('Data Source'!X699&gt;=3.5,"A-",IF('Data Source'!X699&gt;=3,"B",IF('Data Source'!X699&gt;=2,"C",IF('Data Source'!X699&gt;=1,"D","F")))))),"")</f>
        <v/>
      </c>
      <c r="G699" s="3">
        <f>IF(AND('Data Source'!B699&lt;&gt;"",'Data Source'!S699="F"),IF('Data Source'!Y699&gt;=5,"A+",IF('Data Source'!Y699&gt;=4,"A",IF('Data Source'!Y699&gt;=3.5,"A-",IF('Data Source'!Y699&gt;=3,"B",IF('Data Source'!Y699&gt;=2,"C",IF('Data Source'!Y699&gt;=1,"D","F")))))),"")</f>
        <v/>
      </c>
      <c r="H699" s="3">
        <f>IF(AND('Data Source'!B699&lt;&gt;"",'Data Source'!S699="F"),IF('Data Source'!Z699&gt;=5,"A+",IF('Data Source'!Z699&gt;=4,"A",IF('Data Source'!Z699&gt;=3.5,"A-",IF('Data Source'!Z699&gt;=3,"B",IF('Data Source'!Z699&gt;=2,"C",IF('Data Source'!Z699&gt;=1,"D","F")))))),"")</f>
        <v/>
      </c>
      <c r="I699" s="3">
        <f>IF(AND('Data Source'!B699&lt;&gt;"",'Data Source'!S699="F"),IF('Data Source'!AA699&gt;=5,"A+",IF('Data Source'!AA699&gt;=4,"A",IF('Data Source'!AA699&gt;=3.5,"A-",IF('Data Source'!AA699&gt;=3,"B",IF('Data Source'!AA699&gt;=2,"C",IF('Data Source'!AA699&gt;=1,"D","F")))))),"")</f>
        <v/>
      </c>
      <c r="J699" s="3">
        <f>IF(AND('Data Source'!B699&lt;&gt;"",'Data Source'!S699="F"),IF('Data Source'!AB699&gt;=5,"A+",IF('Data Source'!AB699&gt;=4,"A",IF('Data Source'!AB699&gt;=3.5,"A-",IF('Data Source'!AB699&gt;=3,"B",IF('Data Source'!AB699&gt;=2,"C",IF('Data Source'!AB699&gt;=1,"D","F")))))),"")</f>
        <v/>
      </c>
      <c r="K699" s="3">
        <f>IF(AND('Data Source'!B699&lt;&gt;"",'Data Source'!S699="F"),IF('Data Source'!AC699&gt;=5,"A+",IF('Data Source'!AC699&gt;=4,"A",IF('Data Source'!AC699&gt;=3.5,"A-",IF('Data Source'!AC699&gt;=3,"B",IF('Data Source'!AC699&gt;=2,"C",IF('Data Source'!AC699&gt;=1,"D","F")))))),"")</f>
        <v/>
      </c>
      <c r="L699" s="3">
        <f>IF(AND('Data Source'!B699&lt;&gt;"",'Data Source'!S699="F"),IF('Data Source'!AD699&gt;=5,"A+",IF('Data Source'!AD699&gt;=4,"A",IF('Data Source'!AD699&gt;=3.5,"A-",IF('Data Source'!AD699&gt;=3,"B",IF('Data Source'!AD699&gt;=2,"C",IF('Data Source'!AD699&gt;=1,"D","F")))))),"")</f>
        <v/>
      </c>
      <c r="M699" s="3">
        <f>IF(AND('Data Source'!B699&lt;&gt;"",'Data Source'!S699="F"),IF('Data Source'!AE699&gt;=5,"A+",IF('Data Source'!AE699&gt;=4,"A",IF('Data Source'!AE699&gt;=3.5,"A-",IF('Data Source'!AE699&gt;=3,"B",IF('Data Source'!AE699&gt;=2,"C",IF('Data Source'!AE699&gt;=1,"D","F")))))),"")</f>
        <v/>
      </c>
      <c r="N699" s="3">
        <f>IF(AND('Data Source'!B699&lt;&gt;"",'Data Source'!S699="F"),IF('Data Source'!AF699&gt;=5,"A+",IF('Data Source'!AF699&gt;=4,"A",IF('Data Source'!AF699&gt;=3.5,"A-",IF('Data Source'!AF699&gt;=3,"B",IF('Data Source'!AF699&gt;=2,"C",IF('Data Source'!AF699&gt;=1,"D","F")))))),"")</f>
        <v/>
      </c>
      <c r="O699" s="3">
        <f>IF(AND('Data Source'!B699&lt;&gt;"",'Data Source'!S699="F"),IF('Data Source'!AG699&gt;=5,"A+",IF('Data Source'!AG699&gt;=4,"A",IF('Data Source'!AG699&gt;=3.5,"A-",IF('Data Source'!AG699&gt;=3,"B",IF('Data Source'!AG699&gt;=2,"C",IF('Data Source'!AG699&gt;=1,"D","F")))))),"")</f>
        <v/>
      </c>
      <c r="P699" s="5">
        <f>IF(AND('Data Source'!B699&lt;&gt;"",'Data Source'!S699="F"),'Data Source'!R699,"")</f>
        <v/>
      </c>
      <c r="Q699" s="3">
        <f>IF(AND('Data Source'!B699&lt;&gt;"",'Data Source'!S699="F"),'Data Source'!S699,"")</f>
        <v/>
      </c>
    </row>
    <row r="700">
      <c r="A700" s="3">
        <f>IF(AND('Data Source'!B700&lt;&gt;"",'Data Source'!S700="F"),COUNTIF('Data Source'!$S$3:S700,"F"),"")</f>
        <v/>
      </c>
      <c r="B700">
        <f>IF(AND('Data Source'!B700&lt;&gt;"",'Data Source'!S700="F"),'Data Source'!B700,"")</f>
        <v/>
      </c>
      <c r="C700" s="3">
        <f>IF(AND('Data Source'!B700&lt;&gt;"",'Data Source'!S700="F"),IF('Data Source'!U700&gt;=5,"A+",IF('Data Source'!U700&gt;=4,"A",IF('Data Source'!U700&gt;=3.5,"A-",IF('Data Source'!U700&gt;=3,"B",IF('Data Source'!U700&gt;=2,"C",IF('Data Source'!U700&gt;=1,"D","F")))))),"")</f>
        <v/>
      </c>
      <c r="D700" s="3">
        <f>IF(AND('Data Source'!B700&lt;&gt;"",'Data Source'!S700="F"),IF('Data Source'!V700&gt;=5,"A+",IF('Data Source'!V700&gt;=4,"A",IF('Data Source'!V700&gt;=3.5,"A-",IF('Data Source'!V700&gt;=3,"B",IF('Data Source'!V700&gt;=2,"C",IF('Data Source'!V700&gt;=1,"D","F")))))),"")</f>
        <v/>
      </c>
      <c r="E700" s="3">
        <f>IF(AND('Data Source'!B700&lt;&gt;"",'Data Source'!S700="F"),IF('Data Source'!W700&gt;=5,"A+",IF('Data Source'!W700&gt;=4,"A",IF('Data Source'!W700&gt;=3.5,"A-",IF('Data Source'!W700&gt;=3,"B",IF('Data Source'!W700&gt;=2,"C",IF('Data Source'!W700&gt;=1,"D","F")))))),"")</f>
        <v/>
      </c>
      <c r="F700" s="3">
        <f>IF(AND('Data Source'!B700&lt;&gt;"",'Data Source'!S700="F"),IF('Data Source'!X700&gt;=5,"A+",IF('Data Source'!X700&gt;=4,"A",IF('Data Source'!X700&gt;=3.5,"A-",IF('Data Source'!X700&gt;=3,"B",IF('Data Source'!X700&gt;=2,"C",IF('Data Source'!X700&gt;=1,"D","F")))))),"")</f>
        <v/>
      </c>
      <c r="G700" s="3">
        <f>IF(AND('Data Source'!B700&lt;&gt;"",'Data Source'!S700="F"),IF('Data Source'!Y700&gt;=5,"A+",IF('Data Source'!Y700&gt;=4,"A",IF('Data Source'!Y700&gt;=3.5,"A-",IF('Data Source'!Y700&gt;=3,"B",IF('Data Source'!Y700&gt;=2,"C",IF('Data Source'!Y700&gt;=1,"D","F")))))),"")</f>
        <v/>
      </c>
      <c r="H700" s="3">
        <f>IF(AND('Data Source'!B700&lt;&gt;"",'Data Source'!S700="F"),IF('Data Source'!Z700&gt;=5,"A+",IF('Data Source'!Z700&gt;=4,"A",IF('Data Source'!Z700&gt;=3.5,"A-",IF('Data Source'!Z700&gt;=3,"B",IF('Data Source'!Z700&gt;=2,"C",IF('Data Source'!Z700&gt;=1,"D","F")))))),"")</f>
        <v/>
      </c>
      <c r="I700" s="3">
        <f>IF(AND('Data Source'!B700&lt;&gt;"",'Data Source'!S700="F"),IF('Data Source'!AA700&gt;=5,"A+",IF('Data Source'!AA700&gt;=4,"A",IF('Data Source'!AA700&gt;=3.5,"A-",IF('Data Source'!AA700&gt;=3,"B",IF('Data Source'!AA700&gt;=2,"C",IF('Data Source'!AA700&gt;=1,"D","F")))))),"")</f>
        <v/>
      </c>
      <c r="J700" s="3">
        <f>IF(AND('Data Source'!B700&lt;&gt;"",'Data Source'!S700="F"),IF('Data Source'!AB700&gt;=5,"A+",IF('Data Source'!AB700&gt;=4,"A",IF('Data Source'!AB700&gt;=3.5,"A-",IF('Data Source'!AB700&gt;=3,"B",IF('Data Source'!AB700&gt;=2,"C",IF('Data Source'!AB700&gt;=1,"D","F")))))),"")</f>
        <v/>
      </c>
      <c r="K700" s="3">
        <f>IF(AND('Data Source'!B700&lt;&gt;"",'Data Source'!S700="F"),IF('Data Source'!AC700&gt;=5,"A+",IF('Data Source'!AC700&gt;=4,"A",IF('Data Source'!AC700&gt;=3.5,"A-",IF('Data Source'!AC700&gt;=3,"B",IF('Data Source'!AC700&gt;=2,"C",IF('Data Source'!AC700&gt;=1,"D","F")))))),"")</f>
        <v/>
      </c>
      <c r="L700" s="3">
        <f>IF(AND('Data Source'!B700&lt;&gt;"",'Data Source'!S700="F"),IF('Data Source'!AD700&gt;=5,"A+",IF('Data Source'!AD700&gt;=4,"A",IF('Data Source'!AD700&gt;=3.5,"A-",IF('Data Source'!AD700&gt;=3,"B",IF('Data Source'!AD700&gt;=2,"C",IF('Data Source'!AD700&gt;=1,"D","F")))))),"")</f>
        <v/>
      </c>
      <c r="M700" s="3">
        <f>IF(AND('Data Source'!B700&lt;&gt;"",'Data Source'!S700="F"),IF('Data Source'!AE700&gt;=5,"A+",IF('Data Source'!AE700&gt;=4,"A",IF('Data Source'!AE700&gt;=3.5,"A-",IF('Data Source'!AE700&gt;=3,"B",IF('Data Source'!AE700&gt;=2,"C",IF('Data Source'!AE700&gt;=1,"D","F")))))),"")</f>
        <v/>
      </c>
      <c r="N700" s="3">
        <f>IF(AND('Data Source'!B700&lt;&gt;"",'Data Source'!S700="F"),IF('Data Source'!AF700&gt;=5,"A+",IF('Data Source'!AF700&gt;=4,"A",IF('Data Source'!AF700&gt;=3.5,"A-",IF('Data Source'!AF700&gt;=3,"B",IF('Data Source'!AF700&gt;=2,"C",IF('Data Source'!AF700&gt;=1,"D","F")))))),"")</f>
        <v/>
      </c>
      <c r="O700" s="3">
        <f>IF(AND('Data Source'!B700&lt;&gt;"",'Data Source'!S700="F"),IF('Data Source'!AG700&gt;=5,"A+",IF('Data Source'!AG700&gt;=4,"A",IF('Data Source'!AG700&gt;=3.5,"A-",IF('Data Source'!AG700&gt;=3,"B",IF('Data Source'!AG700&gt;=2,"C",IF('Data Source'!AG700&gt;=1,"D","F")))))),"")</f>
        <v/>
      </c>
      <c r="P700" s="5">
        <f>IF(AND('Data Source'!B700&lt;&gt;"",'Data Source'!S700="F"),'Data Source'!R700,"")</f>
        <v/>
      </c>
      <c r="Q700" s="3">
        <f>IF(AND('Data Source'!B700&lt;&gt;"",'Data Source'!S700="F"),'Data Source'!S700,"")</f>
        <v/>
      </c>
    </row>
    <row r="701">
      <c r="A701" s="3">
        <f>IF(AND('Data Source'!B701&lt;&gt;"",'Data Source'!S701="F"),COUNTIF('Data Source'!$S$3:S701,"F"),"")</f>
        <v/>
      </c>
      <c r="B701">
        <f>IF(AND('Data Source'!B701&lt;&gt;"",'Data Source'!S701="F"),'Data Source'!B701,"")</f>
        <v/>
      </c>
      <c r="C701" s="3">
        <f>IF(AND('Data Source'!B701&lt;&gt;"",'Data Source'!S701="F"),IF('Data Source'!U701&gt;=5,"A+",IF('Data Source'!U701&gt;=4,"A",IF('Data Source'!U701&gt;=3.5,"A-",IF('Data Source'!U701&gt;=3,"B",IF('Data Source'!U701&gt;=2,"C",IF('Data Source'!U701&gt;=1,"D","F")))))),"")</f>
        <v/>
      </c>
      <c r="D701" s="3">
        <f>IF(AND('Data Source'!B701&lt;&gt;"",'Data Source'!S701="F"),IF('Data Source'!V701&gt;=5,"A+",IF('Data Source'!V701&gt;=4,"A",IF('Data Source'!V701&gt;=3.5,"A-",IF('Data Source'!V701&gt;=3,"B",IF('Data Source'!V701&gt;=2,"C",IF('Data Source'!V701&gt;=1,"D","F")))))),"")</f>
        <v/>
      </c>
      <c r="E701" s="3">
        <f>IF(AND('Data Source'!B701&lt;&gt;"",'Data Source'!S701="F"),IF('Data Source'!W701&gt;=5,"A+",IF('Data Source'!W701&gt;=4,"A",IF('Data Source'!W701&gt;=3.5,"A-",IF('Data Source'!W701&gt;=3,"B",IF('Data Source'!W701&gt;=2,"C",IF('Data Source'!W701&gt;=1,"D","F")))))),"")</f>
        <v/>
      </c>
      <c r="F701" s="3">
        <f>IF(AND('Data Source'!B701&lt;&gt;"",'Data Source'!S701="F"),IF('Data Source'!X701&gt;=5,"A+",IF('Data Source'!X701&gt;=4,"A",IF('Data Source'!X701&gt;=3.5,"A-",IF('Data Source'!X701&gt;=3,"B",IF('Data Source'!X701&gt;=2,"C",IF('Data Source'!X701&gt;=1,"D","F")))))),"")</f>
        <v/>
      </c>
      <c r="G701" s="3">
        <f>IF(AND('Data Source'!B701&lt;&gt;"",'Data Source'!S701="F"),IF('Data Source'!Y701&gt;=5,"A+",IF('Data Source'!Y701&gt;=4,"A",IF('Data Source'!Y701&gt;=3.5,"A-",IF('Data Source'!Y701&gt;=3,"B",IF('Data Source'!Y701&gt;=2,"C",IF('Data Source'!Y701&gt;=1,"D","F")))))),"")</f>
        <v/>
      </c>
      <c r="H701" s="3">
        <f>IF(AND('Data Source'!B701&lt;&gt;"",'Data Source'!S701="F"),IF('Data Source'!Z701&gt;=5,"A+",IF('Data Source'!Z701&gt;=4,"A",IF('Data Source'!Z701&gt;=3.5,"A-",IF('Data Source'!Z701&gt;=3,"B",IF('Data Source'!Z701&gt;=2,"C",IF('Data Source'!Z701&gt;=1,"D","F")))))),"")</f>
        <v/>
      </c>
      <c r="I701" s="3">
        <f>IF(AND('Data Source'!B701&lt;&gt;"",'Data Source'!S701="F"),IF('Data Source'!AA701&gt;=5,"A+",IF('Data Source'!AA701&gt;=4,"A",IF('Data Source'!AA701&gt;=3.5,"A-",IF('Data Source'!AA701&gt;=3,"B",IF('Data Source'!AA701&gt;=2,"C",IF('Data Source'!AA701&gt;=1,"D","F")))))),"")</f>
        <v/>
      </c>
      <c r="J701" s="3">
        <f>IF(AND('Data Source'!B701&lt;&gt;"",'Data Source'!S701="F"),IF('Data Source'!AB701&gt;=5,"A+",IF('Data Source'!AB701&gt;=4,"A",IF('Data Source'!AB701&gt;=3.5,"A-",IF('Data Source'!AB701&gt;=3,"B",IF('Data Source'!AB701&gt;=2,"C",IF('Data Source'!AB701&gt;=1,"D","F")))))),"")</f>
        <v/>
      </c>
      <c r="K701" s="3">
        <f>IF(AND('Data Source'!B701&lt;&gt;"",'Data Source'!S701="F"),IF('Data Source'!AC701&gt;=5,"A+",IF('Data Source'!AC701&gt;=4,"A",IF('Data Source'!AC701&gt;=3.5,"A-",IF('Data Source'!AC701&gt;=3,"B",IF('Data Source'!AC701&gt;=2,"C",IF('Data Source'!AC701&gt;=1,"D","F")))))),"")</f>
        <v/>
      </c>
      <c r="L701" s="3">
        <f>IF(AND('Data Source'!B701&lt;&gt;"",'Data Source'!S701="F"),IF('Data Source'!AD701&gt;=5,"A+",IF('Data Source'!AD701&gt;=4,"A",IF('Data Source'!AD701&gt;=3.5,"A-",IF('Data Source'!AD701&gt;=3,"B",IF('Data Source'!AD701&gt;=2,"C",IF('Data Source'!AD701&gt;=1,"D","F")))))),"")</f>
        <v/>
      </c>
      <c r="M701" s="3">
        <f>IF(AND('Data Source'!B701&lt;&gt;"",'Data Source'!S701="F"),IF('Data Source'!AE701&gt;=5,"A+",IF('Data Source'!AE701&gt;=4,"A",IF('Data Source'!AE701&gt;=3.5,"A-",IF('Data Source'!AE701&gt;=3,"B",IF('Data Source'!AE701&gt;=2,"C",IF('Data Source'!AE701&gt;=1,"D","F")))))),"")</f>
        <v/>
      </c>
      <c r="N701" s="3">
        <f>IF(AND('Data Source'!B701&lt;&gt;"",'Data Source'!S701="F"),IF('Data Source'!AF701&gt;=5,"A+",IF('Data Source'!AF701&gt;=4,"A",IF('Data Source'!AF701&gt;=3.5,"A-",IF('Data Source'!AF701&gt;=3,"B",IF('Data Source'!AF701&gt;=2,"C",IF('Data Source'!AF701&gt;=1,"D","F")))))),"")</f>
        <v/>
      </c>
      <c r="O701" s="3">
        <f>IF(AND('Data Source'!B701&lt;&gt;"",'Data Source'!S701="F"),IF('Data Source'!AG701&gt;=5,"A+",IF('Data Source'!AG701&gt;=4,"A",IF('Data Source'!AG701&gt;=3.5,"A-",IF('Data Source'!AG701&gt;=3,"B",IF('Data Source'!AG701&gt;=2,"C",IF('Data Source'!AG701&gt;=1,"D","F")))))),"")</f>
        <v/>
      </c>
      <c r="P701" s="5">
        <f>IF(AND('Data Source'!B701&lt;&gt;"",'Data Source'!S701="F"),'Data Source'!R701,"")</f>
        <v/>
      </c>
      <c r="Q701" s="3">
        <f>IF(AND('Data Source'!B701&lt;&gt;"",'Data Source'!S701="F"),'Data Source'!S701,"")</f>
        <v/>
      </c>
    </row>
    <row r="702">
      <c r="A702" s="3">
        <f>IF(AND('Data Source'!B702&lt;&gt;"",'Data Source'!S702="F"),COUNTIF('Data Source'!$S$3:S702,"F"),"")</f>
        <v/>
      </c>
      <c r="B702">
        <f>IF(AND('Data Source'!B702&lt;&gt;"",'Data Source'!S702="F"),'Data Source'!B702,"")</f>
        <v/>
      </c>
      <c r="C702" s="3">
        <f>IF(AND('Data Source'!B702&lt;&gt;"",'Data Source'!S702="F"),IF('Data Source'!U702&gt;=5,"A+",IF('Data Source'!U702&gt;=4,"A",IF('Data Source'!U702&gt;=3.5,"A-",IF('Data Source'!U702&gt;=3,"B",IF('Data Source'!U702&gt;=2,"C",IF('Data Source'!U702&gt;=1,"D","F")))))),"")</f>
        <v/>
      </c>
      <c r="D702" s="3">
        <f>IF(AND('Data Source'!B702&lt;&gt;"",'Data Source'!S702="F"),IF('Data Source'!V702&gt;=5,"A+",IF('Data Source'!V702&gt;=4,"A",IF('Data Source'!V702&gt;=3.5,"A-",IF('Data Source'!V702&gt;=3,"B",IF('Data Source'!V702&gt;=2,"C",IF('Data Source'!V702&gt;=1,"D","F")))))),"")</f>
        <v/>
      </c>
      <c r="E702" s="3">
        <f>IF(AND('Data Source'!B702&lt;&gt;"",'Data Source'!S702="F"),IF('Data Source'!W702&gt;=5,"A+",IF('Data Source'!W702&gt;=4,"A",IF('Data Source'!W702&gt;=3.5,"A-",IF('Data Source'!W702&gt;=3,"B",IF('Data Source'!W702&gt;=2,"C",IF('Data Source'!W702&gt;=1,"D","F")))))),"")</f>
        <v/>
      </c>
      <c r="F702" s="3">
        <f>IF(AND('Data Source'!B702&lt;&gt;"",'Data Source'!S702="F"),IF('Data Source'!X702&gt;=5,"A+",IF('Data Source'!X702&gt;=4,"A",IF('Data Source'!X702&gt;=3.5,"A-",IF('Data Source'!X702&gt;=3,"B",IF('Data Source'!X702&gt;=2,"C",IF('Data Source'!X702&gt;=1,"D","F")))))),"")</f>
        <v/>
      </c>
      <c r="G702" s="3">
        <f>IF(AND('Data Source'!B702&lt;&gt;"",'Data Source'!S702="F"),IF('Data Source'!Y702&gt;=5,"A+",IF('Data Source'!Y702&gt;=4,"A",IF('Data Source'!Y702&gt;=3.5,"A-",IF('Data Source'!Y702&gt;=3,"B",IF('Data Source'!Y702&gt;=2,"C",IF('Data Source'!Y702&gt;=1,"D","F")))))),"")</f>
        <v/>
      </c>
      <c r="H702" s="3">
        <f>IF(AND('Data Source'!B702&lt;&gt;"",'Data Source'!S702="F"),IF('Data Source'!Z702&gt;=5,"A+",IF('Data Source'!Z702&gt;=4,"A",IF('Data Source'!Z702&gt;=3.5,"A-",IF('Data Source'!Z702&gt;=3,"B",IF('Data Source'!Z702&gt;=2,"C",IF('Data Source'!Z702&gt;=1,"D","F")))))),"")</f>
        <v/>
      </c>
      <c r="I702" s="3">
        <f>IF(AND('Data Source'!B702&lt;&gt;"",'Data Source'!S702="F"),IF('Data Source'!AA702&gt;=5,"A+",IF('Data Source'!AA702&gt;=4,"A",IF('Data Source'!AA702&gt;=3.5,"A-",IF('Data Source'!AA702&gt;=3,"B",IF('Data Source'!AA702&gt;=2,"C",IF('Data Source'!AA702&gt;=1,"D","F")))))),"")</f>
        <v/>
      </c>
      <c r="J702" s="3">
        <f>IF(AND('Data Source'!B702&lt;&gt;"",'Data Source'!S702="F"),IF('Data Source'!AB702&gt;=5,"A+",IF('Data Source'!AB702&gt;=4,"A",IF('Data Source'!AB702&gt;=3.5,"A-",IF('Data Source'!AB702&gt;=3,"B",IF('Data Source'!AB702&gt;=2,"C",IF('Data Source'!AB702&gt;=1,"D","F")))))),"")</f>
        <v/>
      </c>
      <c r="K702" s="3">
        <f>IF(AND('Data Source'!B702&lt;&gt;"",'Data Source'!S702="F"),IF('Data Source'!AC702&gt;=5,"A+",IF('Data Source'!AC702&gt;=4,"A",IF('Data Source'!AC702&gt;=3.5,"A-",IF('Data Source'!AC702&gt;=3,"B",IF('Data Source'!AC702&gt;=2,"C",IF('Data Source'!AC702&gt;=1,"D","F")))))),"")</f>
        <v/>
      </c>
      <c r="L702" s="3">
        <f>IF(AND('Data Source'!B702&lt;&gt;"",'Data Source'!S702="F"),IF('Data Source'!AD702&gt;=5,"A+",IF('Data Source'!AD702&gt;=4,"A",IF('Data Source'!AD702&gt;=3.5,"A-",IF('Data Source'!AD702&gt;=3,"B",IF('Data Source'!AD702&gt;=2,"C",IF('Data Source'!AD702&gt;=1,"D","F")))))),"")</f>
        <v/>
      </c>
      <c r="M702" s="3">
        <f>IF(AND('Data Source'!B702&lt;&gt;"",'Data Source'!S702="F"),IF('Data Source'!AE702&gt;=5,"A+",IF('Data Source'!AE702&gt;=4,"A",IF('Data Source'!AE702&gt;=3.5,"A-",IF('Data Source'!AE702&gt;=3,"B",IF('Data Source'!AE702&gt;=2,"C",IF('Data Source'!AE702&gt;=1,"D","F")))))),"")</f>
        <v/>
      </c>
      <c r="N702" s="3">
        <f>IF(AND('Data Source'!B702&lt;&gt;"",'Data Source'!S702="F"),IF('Data Source'!AF702&gt;=5,"A+",IF('Data Source'!AF702&gt;=4,"A",IF('Data Source'!AF702&gt;=3.5,"A-",IF('Data Source'!AF702&gt;=3,"B",IF('Data Source'!AF702&gt;=2,"C",IF('Data Source'!AF702&gt;=1,"D","F")))))),"")</f>
        <v/>
      </c>
      <c r="O702" s="3">
        <f>IF(AND('Data Source'!B702&lt;&gt;"",'Data Source'!S702="F"),IF('Data Source'!AG702&gt;=5,"A+",IF('Data Source'!AG702&gt;=4,"A",IF('Data Source'!AG702&gt;=3.5,"A-",IF('Data Source'!AG702&gt;=3,"B",IF('Data Source'!AG702&gt;=2,"C",IF('Data Source'!AG702&gt;=1,"D","F")))))),"")</f>
        <v/>
      </c>
      <c r="P702" s="5">
        <f>IF(AND('Data Source'!B702&lt;&gt;"",'Data Source'!S702="F"),'Data Source'!R702,"")</f>
        <v/>
      </c>
      <c r="Q702" s="3">
        <f>IF(AND('Data Source'!B702&lt;&gt;"",'Data Source'!S702="F"),'Data Source'!S702,"")</f>
        <v/>
      </c>
    </row>
    <row r="703">
      <c r="A703" s="3">
        <f>IF(AND('Data Source'!B703&lt;&gt;"",'Data Source'!S703="F"),COUNTIF('Data Source'!$S$3:S703,"F"),"")</f>
        <v/>
      </c>
      <c r="B703">
        <f>IF(AND('Data Source'!B703&lt;&gt;"",'Data Source'!S703="F"),'Data Source'!B703,"")</f>
        <v/>
      </c>
      <c r="C703" s="3">
        <f>IF(AND('Data Source'!B703&lt;&gt;"",'Data Source'!S703="F"),IF('Data Source'!U703&gt;=5,"A+",IF('Data Source'!U703&gt;=4,"A",IF('Data Source'!U703&gt;=3.5,"A-",IF('Data Source'!U703&gt;=3,"B",IF('Data Source'!U703&gt;=2,"C",IF('Data Source'!U703&gt;=1,"D","F")))))),"")</f>
        <v/>
      </c>
      <c r="D703" s="3">
        <f>IF(AND('Data Source'!B703&lt;&gt;"",'Data Source'!S703="F"),IF('Data Source'!V703&gt;=5,"A+",IF('Data Source'!V703&gt;=4,"A",IF('Data Source'!V703&gt;=3.5,"A-",IF('Data Source'!V703&gt;=3,"B",IF('Data Source'!V703&gt;=2,"C",IF('Data Source'!V703&gt;=1,"D","F")))))),"")</f>
        <v/>
      </c>
      <c r="E703" s="3">
        <f>IF(AND('Data Source'!B703&lt;&gt;"",'Data Source'!S703="F"),IF('Data Source'!W703&gt;=5,"A+",IF('Data Source'!W703&gt;=4,"A",IF('Data Source'!W703&gt;=3.5,"A-",IF('Data Source'!W703&gt;=3,"B",IF('Data Source'!W703&gt;=2,"C",IF('Data Source'!W703&gt;=1,"D","F")))))),"")</f>
        <v/>
      </c>
      <c r="F703" s="3">
        <f>IF(AND('Data Source'!B703&lt;&gt;"",'Data Source'!S703="F"),IF('Data Source'!X703&gt;=5,"A+",IF('Data Source'!X703&gt;=4,"A",IF('Data Source'!X703&gt;=3.5,"A-",IF('Data Source'!X703&gt;=3,"B",IF('Data Source'!X703&gt;=2,"C",IF('Data Source'!X703&gt;=1,"D","F")))))),"")</f>
        <v/>
      </c>
      <c r="G703" s="3">
        <f>IF(AND('Data Source'!B703&lt;&gt;"",'Data Source'!S703="F"),IF('Data Source'!Y703&gt;=5,"A+",IF('Data Source'!Y703&gt;=4,"A",IF('Data Source'!Y703&gt;=3.5,"A-",IF('Data Source'!Y703&gt;=3,"B",IF('Data Source'!Y703&gt;=2,"C",IF('Data Source'!Y703&gt;=1,"D","F")))))),"")</f>
        <v/>
      </c>
      <c r="H703" s="3">
        <f>IF(AND('Data Source'!B703&lt;&gt;"",'Data Source'!S703="F"),IF('Data Source'!Z703&gt;=5,"A+",IF('Data Source'!Z703&gt;=4,"A",IF('Data Source'!Z703&gt;=3.5,"A-",IF('Data Source'!Z703&gt;=3,"B",IF('Data Source'!Z703&gt;=2,"C",IF('Data Source'!Z703&gt;=1,"D","F")))))),"")</f>
        <v/>
      </c>
      <c r="I703" s="3">
        <f>IF(AND('Data Source'!B703&lt;&gt;"",'Data Source'!S703="F"),IF('Data Source'!AA703&gt;=5,"A+",IF('Data Source'!AA703&gt;=4,"A",IF('Data Source'!AA703&gt;=3.5,"A-",IF('Data Source'!AA703&gt;=3,"B",IF('Data Source'!AA703&gt;=2,"C",IF('Data Source'!AA703&gt;=1,"D","F")))))),"")</f>
        <v/>
      </c>
      <c r="J703" s="3">
        <f>IF(AND('Data Source'!B703&lt;&gt;"",'Data Source'!S703="F"),IF('Data Source'!AB703&gt;=5,"A+",IF('Data Source'!AB703&gt;=4,"A",IF('Data Source'!AB703&gt;=3.5,"A-",IF('Data Source'!AB703&gt;=3,"B",IF('Data Source'!AB703&gt;=2,"C",IF('Data Source'!AB703&gt;=1,"D","F")))))),"")</f>
        <v/>
      </c>
      <c r="K703" s="3">
        <f>IF(AND('Data Source'!B703&lt;&gt;"",'Data Source'!S703="F"),IF('Data Source'!AC703&gt;=5,"A+",IF('Data Source'!AC703&gt;=4,"A",IF('Data Source'!AC703&gt;=3.5,"A-",IF('Data Source'!AC703&gt;=3,"B",IF('Data Source'!AC703&gt;=2,"C",IF('Data Source'!AC703&gt;=1,"D","F")))))),"")</f>
        <v/>
      </c>
      <c r="L703" s="3">
        <f>IF(AND('Data Source'!B703&lt;&gt;"",'Data Source'!S703="F"),IF('Data Source'!AD703&gt;=5,"A+",IF('Data Source'!AD703&gt;=4,"A",IF('Data Source'!AD703&gt;=3.5,"A-",IF('Data Source'!AD703&gt;=3,"B",IF('Data Source'!AD703&gt;=2,"C",IF('Data Source'!AD703&gt;=1,"D","F")))))),"")</f>
        <v/>
      </c>
      <c r="M703" s="3">
        <f>IF(AND('Data Source'!B703&lt;&gt;"",'Data Source'!S703="F"),IF('Data Source'!AE703&gt;=5,"A+",IF('Data Source'!AE703&gt;=4,"A",IF('Data Source'!AE703&gt;=3.5,"A-",IF('Data Source'!AE703&gt;=3,"B",IF('Data Source'!AE703&gt;=2,"C",IF('Data Source'!AE703&gt;=1,"D","F")))))),"")</f>
        <v/>
      </c>
      <c r="N703" s="3">
        <f>IF(AND('Data Source'!B703&lt;&gt;"",'Data Source'!S703="F"),IF('Data Source'!AF703&gt;=5,"A+",IF('Data Source'!AF703&gt;=4,"A",IF('Data Source'!AF703&gt;=3.5,"A-",IF('Data Source'!AF703&gt;=3,"B",IF('Data Source'!AF703&gt;=2,"C",IF('Data Source'!AF703&gt;=1,"D","F")))))),"")</f>
        <v/>
      </c>
      <c r="O703" s="3">
        <f>IF(AND('Data Source'!B703&lt;&gt;"",'Data Source'!S703="F"),IF('Data Source'!AG703&gt;=5,"A+",IF('Data Source'!AG703&gt;=4,"A",IF('Data Source'!AG703&gt;=3.5,"A-",IF('Data Source'!AG703&gt;=3,"B",IF('Data Source'!AG703&gt;=2,"C",IF('Data Source'!AG703&gt;=1,"D","F")))))),"")</f>
        <v/>
      </c>
      <c r="P703" s="5">
        <f>IF(AND('Data Source'!B703&lt;&gt;"",'Data Source'!S703="F"),'Data Source'!R703,"")</f>
        <v/>
      </c>
      <c r="Q703" s="3">
        <f>IF(AND('Data Source'!B703&lt;&gt;"",'Data Source'!S703="F"),'Data Source'!S703,"")</f>
        <v/>
      </c>
    </row>
    <row r="704">
      <c r="A704" s="3">
        <f>IF(AND('Data Source'!B704&lt;&gt;"",'Data Source'!S704="F"),COUNTIF('Data Source'!$S$3:S704,"F"),"")</f>
        <v/>
      </c>
      <c r="B704">
        <f>IF(AND('Data Source'!B704&lt;&gt;"",'Data Source'!S704="F"),'Data Source'!B704,"")</f>
        <v/>
      </c>
      <c r="C704" s="3">
        <f>IF(AND('Data Source'!B704&lt;&gt;"",'Data Source'!S704="F"),IF('Data Source'!U704&gt;=5,"A+",IF('Data Source'!U704&gt;=4,"A",IF('Data Source'!U704&gt;=3.5,"A-",IF('Data Source'!U704&gt;=3,"B",IF('Data Source'!U704&gt;=2,"C",IF('Data Source'!U704&gt;=1,"D","F")))))),"")</f>
        <v/>
      </c>
      <c r="D704" s="3">
        <f>IF(AND('Data Source'!B704&lt;&gt;"",'Data Source'!S704="F"),IF('Data Source'!V704&gt;=5,"A+",IF('Data Source'!V704&gt;=4,"A",IF('Data Source'!V704&gt;=3.5,"A-",IF('Data Source'!V704&gt;=3,"B",IF('Data Source'!V704&gt;=2,"C",IF('Data Source'!V704&gt;=1,"D","F")))))),"")</f>
        <v/>
      </c>
      <c r="E704" s="3">
        <f>IF(AND('Data Source'!B704&lt;&gt;"",'Data Source'!S704="F"),IF('Data Source'!W704&gt;=5,"A+",IF('Data Source'!W704&gt;=4,"A",IF('Data Source'!W704&gt;=3.5,"A-",IF('Data Source'!W704&gt;=3,"B",IF('Data Source'!W704&gt;=2,"C",IF('Data Source'!W704&gt;=1,"D","F")))))),"")</f>
        <v/>
      </c>
      <c r="F704" s="3">
        <f>IF(AND('Data Source'!B704&lt;&gt;"",'Data Source'!S704="F"),IF('Data Source'!X704&gt;=5,"A+",IF('Data Source'!X704&gt;=4,"A",IF('Data Source'!X704&gt;=3.5,"A-",IF('Data Source'!X704&gt;=3,"B",IF('Data Source'!X704&gt;=2,"C",IF('Data Source'!X704&gt;=1,"D","F")))))),"")</f>
        <v/>
      </c>
      <c r="G704" s="3">
        <f>IF(AND('Data Source'!B704&lt;&gt;"",'Data Source'!S704="F"),IF('Data Source'!Y704&gt;=5,"A+",IF('Data Source'!Y704&gt;=4,"A",IF('Data Source'!Y704&gt;=3.5,"A-",IF('Data Source'!Y704&gt;=3,"B",IF('Data Source'!Y704&gt;=2,"C",IF('Data Source'!Y704&gt;=1,"D","F")))))),"")</f>
        <v/>
      </c>
      <c r="H704" s="3">
        <f>IF(AND('Data Source'!B704&lt;&gt;"",'Data Source'!S704="F"),IF('Data Source'!Z704&gt;=5,"A+",IF('Data Source'!Z704&gt;=4,"A",IF('Data Source'!Z704&gt;=3.5,"A-",IF('Data Source'!Z704&gt;=3,"B",IF('Data Source'!Z704&gt;=2,"C",IF('Data Source'!Z704&gt;=1,"D","F")))))),"")</f>
        <v/>
      </c>
      <c r="I704" s="3">
        <f>IF(AND('Data Source'!B704&lt;&gt;"",'Data Source'!S704="F"),IF('Data Source'!AA704&gt;=5,"A+",IF('Data Source'!AA704&gt;=4,"A",IF('Data Source'!AA704&gt;=3.5,"A-",IF('Data Source'!AA704&gt;=3,"B",IF('Data Source'!AA704&gt;=2,"C",IF('Data Source'!AA704&gt;=1,"D","F")))))),"")</f>
        <v/>
      </c>
      <c r="J704" s="3">
        <f>IF(AND('Data Source'!B704&lt;&gt;"",'Data Source'!S704="F"),IF('Data Source'!AB704&gt;=5,"A+",IF('Data Source'!AB704&gt;=4,"A",IF('Data Source'!AB704&gt;=3.5,"A-",IF('Data Source'!AB704&gt;=3,"B",IF('Data Source'!AB704&gt;=2,"C",IF('Data Source'!AB704&gt;=1,"D","F")))))),"")</f>
        <v/>
      </c>
      <c r="K704" s="3">
        <f>IF(AND('Data Source'!B704&lt;&gt;"",'Data Source'!S704="F"),IF('Data Source'!AC704&gt;=5,"A+",IF('Data Source'!AC704&gt;=4,"A",IF('Data Source'!AC704&gt;=3.5,"A-",IF('Data Source'!AC704&gt;=3,"B",IF('Data Source'!AC704&gt;=2,"C",IF('Data Source'!AC704&gt;=1,"D","F")))))),"")</f>
        <v/>
      </c>
      <c r="L704" s="3">
        <f>IF(AND('Data Source'!B704&lt;&gt;"",'Data Source'!S704="F"),IF('Data Source'!AD704&gt;=5,"A+",IF('Data Source'!AD704&gt;=4,"A",IF('Data Source'!AD704&gt;=3.5,"A-",IF('Data Source'!AD704&gt;=3,"B",IF('Data Source'!AD704&gt;=2,"C",IF('Data Source'!AD704&gt;=1,"D","F")))))),"")</f>
        <v/>
      </c>
      <c r="M704" s="3">
        <f>IF(AND('Data Source'!B704&lt;&gt;"",'Data Source'!S704="F"),IF('Data Source'!AE704&gt;=5,"A+",IF('Data Source'!AE704&gt;=4,"A",IF('Data Source'!AE704&gt;=3.5,"A-",IF('Data Source'!AE704&gt;=3,"B",IF('Data Source'!AE704&gt;=2,"C",IF('Data Source'!AE704&gt;=1,"D","F")))))),"")</f>
        <v/>
      </c>
      <c r="N704" s="3">
        <f>IF(AND('Data Source'!B704&lt;&gt;"",'Data Source'!S704="F"),IF('Data Source'!AF704&gt;=5,"A+",IF('Data Source'!AF704&gt;=4,"A",IF('Data Source'!AF704&gt;=3.5,"A-",IF('Data Source'!AF704&gt;=3,"B",IF('Data Source'!AF704&gt;=2,"C",IF('Data Source'!AF704&gt;=1,"D","F")))))),"")</f>
        <v/>
      </c>
      <c r="O704" s="3">
        <f>IF(AND('Data Source'!B704&lt;&gt;"",'Data Source'!S704="F"),IF('Data Source'!AG704&gt;=5,"A+",IF('Data Source'!AG704&gt;=4,"A",IF('Data Source'!AG704&gt;=3.5,"A-",IF('Data Source'!AG704&gt;=3,"B",IF('Data Source'!AG704&gt;=2,"C",IF('Data Source'!AG704&gt;=1,"D","F")))))),"")</f>
        <v/>
      </c>
      <c r="P704" s="5">
        <f>IF(AND('Data Source'!B704&lt;&gt;"",'Data Source'!S704="F"),'Data Source'!R704,"")</f>
        <v/>
      </c>
      <c r="Q704" s="3">
        <f>IF(AND('Data Source'!B704&lt;&gt;"",'Data Source'!S704="F"),'Data Source'!S704,"")</f>
        <v/>
      </c>
    </row>
    <row r="705">
      <c r="A705" s="3">
        <f>IF(AND('Data Source'!B705&lt;&gt;"",'Data Source'!S705="F"),COUNTIF('Data Source'!$S$3:S705,"F"),"")</f>
        <v/>
      </c>
      <c r="B705">
        <f>IF(AND('Data Source'!B705&lt;&gt;"",'Data Source'!S705="F"),'Data Source'!B705,"")</f>
        <v/>
      </c>
      <c r="C705" s="3">
        <f>IF(AND('Data Source'!B705&lt;&gt;"",'Data Source'!S705="F"),IF('Data Source'!U705&gt;=5,"A+",IF('Data Source'!U705&gt;=4,"A",IF('Data Source'!U705&gt;=3.5,"A-",IF('Data Source'!U705&gt;=3,"B",IF('Data Source'!U705&gt;=2,"C",IF('Data Source'!U705&gt;=1,"D","F")))))),"")</f>
        <v/>
      </c>
      <c r="D705" s="3">
        <f>IF(AND('Data Source'!B705&lt;&gt;"",'Data Source'!S705="F"),IF('Data Source'!V705&gt;=5,"A+",IF('Data Source'!V705&gt;=4,"A",IF('Data Source'!V705&gt;=3.5,"A-",IF('Data Source'!V705&gt;=3,"B",IF('Data Source'!V705&gt;=2,"C",IF('Data Source'!V705&gt;=1,"D","F")))))),"")</f>
        <v/>
      </c>
      <c r="E705" s="3">
        <f>IF(AND('Data Source'!B705&lt;&gt;"",'Data Source'!S705="F"),IF('Data Source'!W705&gt;=5,"A+",IF('Data Source'!W705&gt;=4,"A",IF('Data Source'!W705&gt;=3.5,"A-",IF('Data Source'!W705&gt;=3,"B",IF('Data Source'!W705&gt;=2,"C",IF('Data Source'!W705&gt;=1,"D","F")))))),"")</f>
        <v/>
      </c>
      <c r="F705" s="3">
        <f>IF(AND('Data Source'!B705&lt;&gt;"",'Data Source'!S705="F"),IF('Data Source'!X705&gt;=5,"A+",IF('Data Source'!X705&gt;=4,"A",IF('Data Source'!X705&gt;=3.5,"A-",IF('Data Source'!X705&gt;=3,"B",IF('Data Source'!X705&gt;=2,"C",IF('Data Source'!X705&gt;=1,"D","F")))))),"")</f>
        <v/>
      </c>
      <c r="G705" s="3">
        <f>IF(AND('Data Source'!B705&lt;&gt;"",'Data Source'!S705="F"),IF('Data Source'!Y705&gt;=5,"A+",IF('Data Source'!Y705&gt;=4,"A",IF('Data Source'!Y705&gt;=3.5,"A-",IF('Data Source'!Y705&gt;=3,"B",IF('Data Source'!Y705&gt;=2,"C",IF('Data Source'!Y705&gt;=1,"D","F")))))),"")</f>
        <v/>
      </c>
      <c r="H705" s="3">
        <f>IF(AND('Data Source'!B705&lt;&gt;"",'Data Source'!S705="F"),IF('Data Source'!Z705&gt;=5,"A+",IF('Data Source'!Z705&gt;=4,"A",IF('Data Source'!Z705&gt;=3.5,"A-",IF('Data Source'!Z705&gt;=3,"B",IF('Data Source'!Z705&gt;=2,"C",IF('Data Source'!Z705&gt;=1,"D","F")))))),"")</f>
        <v/>
      </c>
      <c r="I705" s="3">
        <f>IF(AND('Data Source'!B705&lt;&gt;"",'Data Source'!S705="F"),IF('Data Source'!AA705&gt;=5,"A+",IF('Data Source'!AA705&gt;=4,"A",IF('Data Source'!AA705&gt;=3.5,"A-",IF('Data Source'!AA705&gt;=3,"B",IF('Data Source'!AA705&gt;=2,"C",IF('Data Source'!AA705&gt;=1,"D","F")))))),"")</f>
        <v/>
      </c>
      <c r="J705" s="3">
        <f>IF(AND('Data Source'!B705&lt;&gt;"",'Data Source'!S705="F"),IF('Data Source'!AB705&gt;=5,"A+",IF('Data Source'!AB705&gt;=4,"A",IF('Data Source'!AB705&gt;=3.5,"A-",IF('Data Source'!AB705&gt;=3,"B",IF('Data Source'!AB705&gt;=2,"C",IF('Data Source'!AB705&gt;=1,"D","F")))))),"")</f>
        <v/>
      </c>
      <c r="K705" s="3">
        <f>IF(AND('Data Source'!B705&lt;&gt;"",'Data Source'!S705="F"),IF('Data Source'!AC705&gt;=5,"A+",IF('Data Source'!AC705&gt;=4,"A",IF('Data Source'!AC705&gt;=3.5,"A-",IF('Data Source'!AC705&gt;=3,"B",IF('Data Source'!AC705&gt;=2,"C",IF('Data Source'!AC705&gt;=1,"D","F")))))),"")</f>
        <v/>
      </c>
      <c r="L705" s="3">
        <f>IF(AND('Data Source'!B705&lt;&gt;"",'Data Source'!S705="F"),IF('Data Source'!AD705&gt;=5,"A+",IF('Data Source'!AD705&gt;=4,"A",IF('Data Source'!AD705&gt;=3.5,"A-",IF('Data Source'!AD705&gt;=3,"B",IF('Data Source'!AD705&gt;=2,"C",IF('Data Source'!AD705&gt;=1,"D","F")))))),"")</f>
        <v/>
      </c>
      <c r="M705" s="3">
        <f>IF(AND('Data Source'!B705&lt;&gt;"",'Data Source'!S705="F"),IF('Data Source'!AE705&gt;=5,"A+",IF('Data Source'!AE705&gt;=4,"A",IF('Data Source'!AE705&gt;=3.5,"A-",IF('Data Source'!AE705&gt;=3,"B",IF('Data Source'!AE705&gt;=2,"C",IF('Data Source'!AE705&gt;=1,"D","F")))))),"")</f>
        <v/>
      </c>
      <c r="N705" s="3">
        <f>IF(AND('Data Source'!B705&lt;&gt;"",'Data Source'!S705="F"),IF('Data Source'!AF705&gt;=5,"A+",IF('Data Source'!AF705&gt;=4,"A",IF('Data Source'!AF705&gt;=3.5,"A-",IF('Data Source'!AF705&gt;=3,"B",IF('Data Source'!AF705&gt;=2,"C",IF('Data Source'!AF705&gt;=1,"D","F")))))),"")</f>
        <v/>
      </c>
      <c r="O705" s="3">
        <f>IF(AND('Data Source'!B705&lt;&gt;"",'Data Source'!S705="F"),IF('Data Source'!AG705&gt;=5,"A+",IF('Data Source'!AG705&gt;=4,"A",IF('Data Source'!AG705&gt;=3.5,"A-",IF('Data Source'!AG705&gt;=3,"B",IF('Data Source'!AG705&gt;=2,"C",IF('Data Source'!AG705&gt;=1,"D","F")))))),"")</f>
        <v/>
      </c>
      <c r="P705" s="5">
        <f>IF(AND('Data Source'!B705&lt;&gt;"",'Data Source'!S705="F"),'Data Source'!R705,"")</f>
        <v/>
      </c>
      <c r="Q705" s="3">
        <f>IF(AND('Data Source'!B705&lt;&gt;"",'Data Source'!S705="F"),'Data Source'!S705,"")</f>
        <v/>
      </c>
    </row>
    <row r="706">
      <c r="A706" s="3">
        <f>IF(AND('Data Source'!B706&lt;&gt;"",'Data Source'!S706="F"),COUNTIF('Data Source'!$S$3:S706,"F"),"")</f>
        <v/>
      </c>
      <c r="B706">
        <f>IF(AND('Data Source'!B706&lt;&gt;"",'Data Source'!S706="F"),'Data Source'!B706,"")</f>
        <v/>
      </c>
      <c r="C706" s="3">
        <f>IF(AND('Data Source'!B706&lt;&gt;"",'Data Source'!S706="F"),IF('Data Source'!U706&gt;=5,"A+",IF('Data Source'!U706&gt;=4,"A",IF('Data Source'!U706&gt;=3.5,"A-",IF('Data Source'!U706&gt;=3,"B",IF('Data Source'!U706&gt;=2,"C",IF('Data Source'!U706&gt;=1,"D","F")))))),"")</f>
        <v/>
      </c>
      <c r="D706" s="3">
        <f>IF(AND('Data Source'!B706&lt;&gt;"",'Data Source'!S706="F"),IF('Data Source'!V706&gt;=5,"A+",IF('Data Source'!V706&gt;=4,"A",IF('Data Source'!V706&gt;=3.5,"A-",IF('Data Source'!V706&gt;=3,"B",IF('Data Source'!V706&gt;=2,"C",IF('Data Source'!V706&gt;=1,"D","F")))))),"")</f>
        <v/>
      </c>
      <c r="E706" s="3">
        <f>IF(AND('Data Source'!B706&lt;&gt;"",'Data Source'!S706="F"),IF('Data Source'!W706&gt;=5,"A+",IF('Data Source'!W706&gt;=4,"A",IF('Data Source'!W706&gt;=3.5,"A-",IF('Data Source'!W706&gt;=3,"B",IF('Data Source'!W706&gt;=2,"C",IF('Data Source'!W706&gt;=1,"D","F")))))),"")</f>
        <v/>
      </c>
      <c r="F706" s="3">
        <f>IF(AND('Data Source'!B706&lt;&gt;"",'Data Source'!S706="F"),IF('Data Source'!X706&gt;=5,"A+",IF('Data Source'!X706&gt;=4,"A",IF('Data Source'!X706&gt;=3.5,"A-",IF('Data Source'!X706&gt;=3,"B",IF('Data Source'!X706&gt;=2,"C",IF('Data Source'!X706&gt;=1,"D","F")))))),"")</f>
        <v/>
      </c>
      <c r="G706" s="3">
        <f>IF(AND('Data Source'!B706&lt;&gt;"",'Data Source'!S706="F"),IF('Data Source'!Y706&gt;=5,"A+",IF('Data Source'!Y706&gt;=4,"A",IF('Data Source'!Y706&gt;=3.5,"A-",IF('Data Source'!Y706&gt;=3,"B",IF('Data Source'!Y706&gt;=2,"C",IF('Data Source'!Y706&gt;=1,"D","F")))))),"")</f>
        <v/>
      </c>
      <c r="H706" s="3">
        <f>IF(AND('Data Source'!B706&lt;&gt;"",'Data Source'!S706="F"),IF('Data Source'!Z706&gt;=5,"A+",IF('Data Source'!Z706&gt;=4,"A",IF('Data Source'!Z706&gt;=3.5,"A-",IF('Data Source'!Z706&gt;=3,"B",IF('Data Source'!Z706&gt;=2,"C",IF('Data Source'!Z706&gt;=1,"D","F")))))),"")</f>
        <v/>
      </c>
      <c r="I706" s="3">
        <f>IF(AND('Data Source'!B706&lt;&gt;"",'Data Source'!S706="F"),IF('Data Source'!AA706&gt;=5,"A+",IF('Data Source'!AA706&gt;=4,"A",IF('Data Source'!AA706&gt;=3.5,"A-",IF('Data Source'!AA706&gt;=3,"B",IF('Data Source'!AA706&gt;=2,"C",IF('Data Source'!AA706&gt;=1,"D","F")))))),"")</f>
        <v/>
      </c>
      <c r="J706" s="3">
        <f>IF(AND('Data Source'!B706&lt;&gt;"",'Data Source'!S706="F"),IF('Data Source'!AB706&gt;=5,"A+",IF('Data Source'!AB706&gt;=4,"A",IF('Data Source'!AB706&gt;=3.5,"A-",IF('Data Source'!AB706&gt;=3,"B",IF('Data Source'!AB706&gt;=2,"C",IF('Data Source'!AB706&gt;=1,"D","F")))))),"")</f>
        <v/>
      </c>
      <c r="K706" s="3">
        <f>IF(AND('Data Source'!B706&lt;&gt;"",'Data Source'!S706="F"),IF('Data Source'!AC706&gt;=5,"A+",IF('Data Source'!AC706&gt;=4,"A",IF('Data Source'!AC706&gt;=3.5,"A-",IF('Data Source'!AC706&gt;=3,"B",IF('Data Source'!AC706&gt;=2,"C",IF('Data Source'!AC706&gt;=1,"D","F")))))),"")</f>
        <v/>
      </c>
      <c r="L706" s="3">
        <f>IF(AND('Data Source'!B706&lt;&gt;"",'Data Source'!S706="F"),IF('Data Source'!AD706&gt;=5,"A+",IF('Data Source'!AD706&gt;=4,"A",IF('Data Source'!AD706&gt;=3.5,"A-",IF('Data Source'!AD706&gt;=3,"B",IF('Data Source'!AD706&gt;=2,"C",IF('Data Source'!AD706&gt;=1,"D","F")))))),"")</f>
        <v/>
      </c>
      <c r="M706" s="3">
        <f>IF(AND('Data Source'!B706&lt;&gt;"",'Data Source'!S706="F"),IF('Data Source'!AE706&gt;=5,"A+",IF('Data Source'!AE706&gt;=4,"A",IF('Data Source'!AE706&gt;=3.5,"A-",IF('Data Source'!AE706&gt;=3,"B",IF('Data Source'!AE706&gt;=2,"C",IF('Data Source'!AE706&gt;=1,"D","F")))))),"")</f>
        <v/>
      </c>
      <c r="N706" s="3">
        <f>IF(AND('Data Source'!B706&lt;&gt;"",'Data Source'!S706="F"),IF('Data Source'!AF706&gt;=5,"A+",IF('Data Source'!AF706&gt;=4,"A",IF('Data Source'!AF706&gt;=3.5,"A-",IF('Data Source'!AF706&gt;=3,"B",IF('Data Source'!AF706&gt;=2,"C",IF('Data Source'!AF706&gt;=1,"D","F")))))),"")</f>
        <v/>
      </c>
      <c r="O706" s="3">
        <f>IF(AND('Data Source'!B706&lt;&gt;"",'Data Source'!S706="F"),IF('Data Source'!AG706&gt;=5,"A+",IF('Data Source'!AG706&gt;=4,"A",IF('Data Source'!AG706&gt;=3.5,"A-",IF('Data Source'!AG706&gt;=3,"B",IF('Data Source'!AG706&gt;=2,"C",IF('Data Source'!AG706&gt;=1,"D","F")))))),"")</f>
        <v/>
      </c>
      <c r="P706" s="5">
        <f>IF(AND('Data Source'!B706&lt;&gt;"",'Data Source'!S706="F"),'Data Source'!R706,"")</f>
        <v/>
      </c>
      <c r="Q706" s="3">
        <f>IF(AND('Data Source'!B706&lt;&gt;"",'Data Source'!S706="F"),'Data Source'!S706,"")</f>
        <v/>
      </c>
    </row>
    <row r="707">
      <c r="A707" s="3">
        <f>IF(AND('Data Source'!B707&lt;&gt;"",'Data Source'!S707="F"),COUNTIF('Data Source'!$S$3:S707,"F"),"")</f>
        <v/>
      </c>
      <c r="B707">
        <f>IF(AND('Data Source'!B707&lt;&gt;"",'Data Source'!S707="F"),'Data Source'!B707,"")</f>
        <v/>
      </c>
      <c r="C707" s="3">
        <f>IF(AND('Data Source'!B707&lt;&gt;"",'Data Source'!S707="F"),IF('Data Source'!U707&gt;=5,"A+",IF('Data Source'!U707&gt;=4,"A",IF('Data Source'!U707&gt;=3.5,"A-",IF('Data Source'!U707&gt;=3,"B",IF('Data Source'!U707&gt;=2,"C",IF('Data Source'!U707&gt;=1,"D","F")))))),"")</f>
        <v/>
      </c>
      <c r="D707" s="3">
        <f>IF(AND('Data Source'!B707&lt;&gt;"",'Data Source'!S707="F"),IF('Data Source'!V707&gt;=5,"A+",IF('Data Source'!V707&gt;=4,"A",IF('Data Source'!V707&gt;=3.5,"A-",IF('Data Source'!V707&gt;=3,"B",IF('Data Source'!V707&gt;=2,"C",IF('Data Source'!V707&gt;=1,"D","F")))))),"")</f>
        <v/>
      </c>
      <c r="E707" s="3">
        <f>IF(AND('Data Source'!B707&lt;&gt;"",'Data Source'!S707="F"),IF('Data Source'!W707&gt;=5,"A+",IF('Data Source'!W707&gt;=4,"A",IF('Data Source'!W707&gt;=3.5,"A-",IF('Data Source'!W707&gt;=3,"B",IF('Data Source'!W707&gt;=2,"C",IF('Data Source'!W707&gt;=1,"D","F")))))),"")</f>
        <v/>
      </c>
      <c r="F707" s="3">
        <f>IF(AND('Data Source'!B707&lt;&gt;"",'Data Source'!S707="F"),IF('Data Source'!X707&gt;=5,"A+",IF('Data Source'!X707&gt;=4,"A",IF('Data Source'!X707&gt;=3.5,"A-",IF('Data Source'!X707&gt;=3,"B",IF('Data Source'!X707&gt;=2,"C",IF('Data Source'!X707&gt;=1,"D","F")))))),"")</f>
        <v/>
      </c>
      <c r="G707" s="3">
        <f>IF(AND('Data Source'!B707&lt;&gt;"",'Data Source'!S707="F"),IF('Data Source'!Y707&gt;=5,"A+",IF('Data Source'!Y707&gt;=4,"A",IF('Data Source'!Y707&gt;=3.5,"A-",IF('Data Source'!Y707&gt;=3,"B",IF('Data Source'!Y707&gt;=2,"C",IF('Data Source'!Y707&gt;=1,"D","F")))))),"")</f>
        <v/>
      </c>
      <c r="H707" s="3">
        <f>IF(AND('Data Source'!B707&lt;&gt;"",'Data Source'!S707="F"),IF('Data Source'!Z707&gt;=5,"A+",IF('Data Source'!Z707&gt;=4,"A",IF('Data Source'!Z707&gt;=3.5,"A-",IF('Data Source'!Z707&gt;=3,"B",IF('Data Source'!Z707&gt;=2,"C",IF('Data Source'!Z707&gt;=1,"D","F")))))),"")</f>
        <v/>
      </c>
      <c r="I707" s="3">
        <f>IF(AND('Data Source'!B707&lt;&gt;"",'Data Source'!S707="F"),IF('Data Source'!AA707&gt;=5,"A+",IF('Data Source'!AA707&gt;=4,"A",IF('Data Source'!AA707&gt;=3.5,"A-",IF('Data Source'!AA707&gt;=3,"B",IF('Data Source'!AA707&gt;=2,"C",IF('Data Source'!AA707&gt;=1,"D","F")))))),"")</f>
        <v/>
      </c>
      <c r="J707" s="3">
        <f>IF(AND('Data Source'!B707&lt;&gt;"",'Data Source'!S707="F"),IF('Data Source'!AB707&gt;=5,"A+",IF('Data Source'!AB707&gt;=4,"A",IF('Data Source'!AB707&gt;=3.5,"A-",IF('Data Source'!AB707&gt;=3,"B",IF('Data Source'!AB707&gt;=2,"C",IF('Data Source'!AB707&gt;=1,"D","F")))))),"")</f>
        <v/>
      </c>
      <c r="K707" s="3">
        <f>IF(AND('Data Source'!B707&lt;&gt;"",'Data Source'!S707="F"),IF('Data Source'!AC707&gt;=5,"A+",IF('Data Source'!AC707&gt;=4,"A",IF('Data Source'!AC707&gt;=3.5,"A-",IF('Data Source'!AC707&gt;=3,"B",IF('Data Source'!AC707&gt;=2,"C",IF('Data Source'!AC707&gt;=1,"D","F")))))),"")</f>
        <v/>
      </c>
      <c r="L707" s="3">
        <f>IF(AND('Data Source'!B707&lt;&gt;"",'Data Source'!S707="F"),IF('Data Source'!AD707&gt;=5,"A+",IF('Data Source'!AD707&gt;=4,"A",IF('Data Source'!AD707&gt;=3.5,"A-",IF('Data Source'!AD707&gt;=3,"B",IF('Data Source'!AD707&gt;=2,"C",IF('Data Source'!AD707&gt;=1,"D","F")))))),"")</f>
        <v/>
      </c>
      <c r="M707" s="3">
        <f>IF(AND('Data Source'!B707&lt;&gt;"",'Data Source'!S707="F"),IF('Data Source'!AE707&gt;=5,"A+",IF('Data Source'!AE707&gt;=4,"A",IF('Data Source'!AE707&gt;=3.5,"A-",IF('Data Source'!AE707&gt;=3,"B",IF('Data Source'!AE707&gt;=2,"C",IF('Data Source'!AE707&gt;=1,"D","F")))))),"")</f>
        <v/>
      </c>
      <c r="N707" s="3">
        <f>IF(AND('Data Source'!B707&lt;&gt;"",'Data Source'!S707="F"),IF('Data Source'!AF707&gt;=5,"A+",IF('Data Source'!AF707&gt;=4,"A",IF('Data Source'!AF707&gt;=3.5,"A-",IF('Data Source'!AF707&gt;=3,"B",IF('Data Source'!AF707&gt;=2,"C",IF('Data Source'!AF707&gt;=1,"D","F")))))),"")</f>
        <v/>
      </c>
      <c r="O707" s="3">
        <f>IF(AND('Data Source'!B707&lt;&gt;"",'Data Source'!S707="F"),IF('Data Source'!AG707&gt;=5,"A+",IF('Data Source'!AG707&gt;=4,"A",IF('Data Source'!AG707&gt;=3.5,"A-",IF('Data Source'!AG707&gt;=3,"B",IF('Data Source'!AG707&gt;=2,"C",IF('Data Source'!AG707&gt;=1,"D","F")))))),"")</f>
        <v/>
      </c>
      <c r="P707" s="5">
        <f>IF(AND('Data Source'!B707&lt;&gt;"",'Data Source'!S707="F"),'Data Source'!R707,"")</f>
        <v/>
      </c>
      <c r="Q707" s="3">
        <f>IF(AND('Data Source'!B707&lt;&gt;"",'Data Source'!S707="F"),'Data Source'!S707,"")</f>
        <v/>
      </c>
    </row>
    <row r="708">
      <c r="A708" s="3">
        <f>IF(AND('Data Source'!B708&lt;&gt;"",'Data Source'!S708="F"),COUNTIF('Data Source'!$S$3:S708,"F"),"")</f>
        <v/>
      </c>
      <c r="B708">
        <f>IF(AND('Data Source'!B708&lt;&gt;"",'Data Source'!S708="F"),'Data Source'!B708,"")</f>
        <v/>
      </c>
      <c r="C708" s="3">
        <f>IF(AND('Data Source'!B708&lt;&gt;"",'Data Source'!S708="F"),IF('Data Source'!U708&gt;=5,"A+",IF('Data Source'!U708&gt;=4,"A",IF('Data Source'!U708&gt;=3.5,"A-",IF('Data Source'!U708&gt;=3,"B",IF('Data Source'!U708&gt;=2,"C",IF('Data Source'!U708&gt;=1,"D","F")))))),"")</f>
        <v/>
      </c>
      <c r="D708" s="3">
        <f>IF(AND('Data Source'!B708&lt;&gt;"",'Data Source'!S708="F"),IF('Data Source'!V708&gt;=5,"A+",IF('Data Source'!V708&gt;=4,"A",IF('Data Source'!V708&gt;=3.5,"A-",IF('Data Source'!V708&gt;=3,"B",IF('Data Source'!V708&gt;=2,"C",IF('Data Source'!V708&gt;=1,"D","F")))))),"")</f>
        <v/>
      </c>
      <c r="E708" s="3">
        <f>IF(AND('Data Source'!B708&lt;&gt;"",'Data Source'!S708="F"),IF('Data Source'!W708&gt;=5,"A+",IF('Data Source'!W708&gt;=4,"A",IF('Data Source'!W708&gt;=3.5,"A-",IF('Data Source'!W708&gt;=3,"B",IF('Data Source'!W708&gt;=2,"C",IF('Data Source'!W708&gt;=1,"D","F")))))),"")</f>
        <v/>
      </c>
      <c r="F708" s="3">
        <f>IF(AND('Data Source'!B708&lt;&gt;"",'Data Source'!S708="F"),IF('Data Source'!X708&gt;=5,"A+",IF('Data Source'!X708&gt;=4,"A",IF('Data Source'!X708&gt;=3.5,"A-",IF('Data Source'!X708&gt;=3,"B",IF('Data Source'!X708&gt;=2,"C",IF('Data Source'!X708&gt;=1,"D","F")))))),"")</f>
        <v/>
      </c>
      <c r="G708" s="3">
        <f>IF(AND('Data Source'!B708&lt;&gt;"",'Data Source'!S708="F"),IF('Data Source'!Y708&gt;=5,"A+",IF('Data Source'!Y708&gt;=4,"A",IF('Data Source'!Y708&gt;=3.5,"A-",IF('Data Source'!Y708&gt;=3,"B",IF('Data Source'!Y708&gt;=2,"C",IF('Data Source'!Y708&gt;=1,"D","F")))))),"")</f>
        <v/>
      </c>
      <c r="H708" s="3">
        <f>IF(AND('Data Source'!B708&lt;&gt;"",'Data Source'!S708="F"),IF('Data Source'!Z708&gt;=5,"A+",IF('Data Source'!Z708&gt;=4,"A",IF('Data Source'!Z708&gt;=3.5,"A-",IF('Data Source'!Z708&gt;=3,"B",IF('Data Source'!Z708&gt;=2,"C",IF('Data Source'!Z708&gt;=1,"D","F")))))),"")</f>
        <v/>
      </c>
      <c r="I708" s="3">
        <f>IF(AND('Data Source'!B708&lt;&gt;"",'Data Source'!S708="F"),IF('Data Source'!AA708&gt;=5,"A+",IF('Data Source'!AA708&gt;=4,"A",IF('Data Source'!AA708&gt;=3.5,"A-",IF('Data Source'!AA708&gt;=3,"B",IF('Data Source'!AA708&gt;=2,"C",IF('Data Source'!AA708&gt;=1,"D","F")))))),"")</f>
        <v/>
      </c>
      <c r="J708" s="3">
        <f>IF(AND('Data Source'!B708&lt;&gt;"",'Data Source'!S708="F"),IF('Data Source'!AB708&gt;=5,"A+",IF('Data Source'!AB708&gt;=4,"A",IF('Data Source'!AB708&gt;=3.5,"A-",IF('Data Source'!AB708&gt;=3,"B",IF('Data Source'!AB708&gt;=2,"C",IF('Data Source'!AB708&gt;=1,"D","F")))))),"")</f>
        <v/>
      </c>
      <c r="K708" s="3">
        <f>IF(AND('Data Source'!B708&lt;&gt;"",'Data Source'!S708="F"),IF('Data Source'!AC708&gt;=5,"A+",IF('Data Source'!AC708&gt;=4,"A",IF('Data Source'!AC708&gt;=3.5,"A-",IF('Data Source'!AC708&gt;=3,"B",IF('Data Source'!AC708&gt;=2,"C",IF('Data Source'!AC708&gt;=1,"D","F")))))),"")</f>
        <v/>
      </c>
      <c r="L708" s="3">
        <f>IF(AND('Data Source'!B708&lt;&gt;"",'Data Source'!S708="F"),IF('Data Source'!AD708&gt;=5,"A+",IF('Data Source'!AD708&gt;=4,"A",IF('Data Source'!AD708&gt;=3.5,"A-",IF('Data Source'!AD708&gt;=3,"B",IF('Data Source'!AD708&gt;=2,"C",IF('Data Source'!AD708&gt;=1,"D","F")))))),"")</f>
        <v/>
      </c>
      <c r="M708" s="3">
        <f>IF(AND('Data Source'!B708&lt;&gt;"",'Data Source'!S708="F"),IF('Data Source'!AE708&gt;=5,"A+",IF('Data Source'!AE708&gt;=4,"A",IF('Data Source'!AE708&gt;=3.5,"A-",IF('Data Source'!AE708&gt;=3,"B",IF('Data Source'!AE708&gt;=2,"C",IF('Data Source'!AE708&gt;=1,"D","F")))))),"")</f>
        <v/>
      </c>
      <c r="N708" s="3">
        <f>IF(AND('Data Source'!B708&lt;&gt;"",'Data Source'!S708="F"),IF('Data Source'!AF708&gt;=5,"A+",IF('Data Source'!AF708&gt;=4,"A",IF('Data Source'!AF708&gt;=3.5,"A-",IF('Data Source'!AF708&gt;=3,"B",IF('Data Source'!AF708&gt;=2,"C",IF('Data Source'!AF708&gt;=1,"D","F")))))),"")</f>
        <v/>
      </c>
      <c r="O708" s="3">
        <f>IF(AND('Data Source'!B708&lt;&gt;"",'Data Source'!S708="F"),IF('Data Source'!AG708&gt;=5,"A+",IF('Data Source'!AG708&gt;=4,"A",IF('Data Source'!AG708&gt;=3.5,"A-",IF('Data Source'!AG708&gt;=3,"B",IF('Data Source'!AG708&gt;=2,"C",IF('Data Source'!AG708&gt;=1,"D","F")))))),"")</f>
        <v/>
      </c>
      <c r="P708" s="5">
        <f>IF(AND('Data Source'!B708&lt;&gt;"",'Data Source'!S708="F"),'Data Source'!R708,"")</f>
        <v/>
      </c>
      <c r="Q708" s="3">
        <f>IF(AND('Data Source'!B708&lt;&gt;"",'Data Source'!S708="F"),'Data Source'!S708,"")</f>
        <v/>
      </c>
    </row>
    <row r="709">
      <c r="A709" s="3">
        <f>IF(AND('Data Source'!B709&lt;&gt;"",'Data Source'!S709="F"),COUNTIF('Data Source'!$S$3:S709,"F"),"")</f>
        <v/>
      </c>
      <c r="B709">
        <f>IF(AND('Data Source'!B709&lt;&gt;"",'Data Source'!S709="F"),'Data Source'!B709,"")</f>
        <v/>
      </c>
      <c r="C709" s="3">
        <f>IF(AND('Data Source'!B709&lt;&gt;"",'Data Source'!S709="F"),IF('Data Source'!U709&gt;=5,"A+",IF('Data Source'!U709&gt;=4,"A",IF('Data Source'!U709&gt;=3.5,"A-",IF('Data Source'!U709&gt;=3,"B",IF('Data Source'!U709&gt;=2,"C",IF('Data Source'!U709&gt;=1,"D","F")))))),"")</f>
        <v/>
      </c>
      <c r="D709" s="3">
        <f>IF(AND('Data Source'!B709&lt;&gt;"",'Data Source'!S709="F"),IF('Data Source'!V709&gt;=5,"A+",IF('Data Source'!V709&gt;=4,"A",IF('Data Source'!V709&gt;=3.5,"A-",IF('Data Source'!V709&gt;=3,"B",IF('Data Source'!V709&gt;=2,"C",IF('Data Source'!V709&gt;=1,"D","F")))))),"")</f>
        <v/>
      </c>
      <c r="E709" s="3">
        <f>IF(AND('Data Source'!B709&lt;&gt;"",'Data Source'!S709="F"),IF('Data Source'!W709&gt;=5,"A+",IF('Data Source'!W709&gt;=4,"A",IF('Data Source'!W709&gt;=3.5,"A-",IF('Data Source'!W709&gt;=3,"B",IF('Data Source'!W709&gt;=2,"C",IF('Data Source'!W709&gt;=1,"D","F")))))),"")</f>
        <v/>
      </c>
      <c r="F709" s="3">
        <f>IF(AND('Data Source'!B709&lt;&gt;"",'Data Source'!S709="F"),IF('Data Source'!X709&gt;=5,"A+",IF('Data Source'!X709&gt;=4,"A",IF('Data Source'!X709&gt;=3.5,"A-",IF('Data Source'!X709&gt;=3,"B",IF('Data Source'!X709&gt;=2,"C",IF('Data Source'!X709&gt;=1,"D","F")))))),"")</f>
        <v/>
      </c>
      <c r="G709" s="3">
        <f>IF(AND('Data Source'!B709&lt;&gt;"",'Data Source'!S709="F"),IF('Data Source'!Y709&gt;=5,"A+",IF('Data Source'!Y709&gt;=4,"A",IF('Data Source'!Y709&gt;=3.5,"A-",IF('Data Source'!Y709&gt;=3,"B",IF('Data Source'!Y709&gt;=2,"C",IF('Data Source'!Y709&gt;=1,"D","F")))))),"")</f>
        <v/>
      </c>
      <c r="H709" s="3">
        <f>IF(AND('Data Source'!B709&lt;&gt;"",'Data Source'!S709="F"),IF('Data Source'!Z709&gt;=5,"A+",IF('Data Source'!Z709&gt;=4,"A",IF('Data Source'!Z709&gt;=3.5,"A-",IF('Data Source'!Z709&gt;=3,"B",IF('Data Source'!Z709&gt;=2,"C",IF('Data Source'!Z709&gt;=1,"D","F")))))),"")</f>
        <v/>
      </c>
      <c r="I709" s="3">
        <f>IF(AND('Data Source'!B709&lt;&gt;"",'Data Source'!S709="F"),IF('Data Source'!AA709&gt;=5,"A+",IF('Data Source'!AA709&gt;=4,"A",IF('Data Source'!AA709&gt;=3.5,"A-",IF('Data Source'!AA709&gt;=3,"B",IF('Data Source'!AA709&gt;=2,"C",IF('Data Source'!AA709&gt;=1,"D","F")))))),"")</f>
        <v/>
      </c>
      <c r="J709" s="3">
        <f>IF(AND('Data Source'!B709&lt;&gt;"",'Data Source'!S709="F"),IF('Data Source'!AB709&gt;=5,"A+",IF('Data Source'!AB709&gt;=4,"A",IF('Data Source'!AB709&gt;=3.5,"A-",IF('Data Source'!AB709&gt;=3,"B",IF('Data Source'!AB709&gt;=2,"C",IF('Data Source'!AB709&gt;=1,"D","F")))))),"")</f>
        <v/>
      </c>
      <c r="K709" s="3">
        <f>IF(AND('Data Source'!B709&lt;&gt;"",'Data Source'!S709="F"),IF('Data Source'!AC709&gt;=5,"A+",IF('Data Source'!AC709&gt;=4,"A",IF('Data Source'!AC709&gt;=3.5,"A-",IF('Data Source'!AC709&gt;=3,"B",IF('Data Source'!AC709&gt;=2,"C",IF('Data Source'!AC709&gt;=1,"D","F")))))),"")</f>
        <v/>
      </c>
      <c r="L709" s="3">
        <f>IF(AND('Data Source'!B709&lt;&gt;"",'Data Source'!S709="F"),IF('Data Source'!AD709&gt;=5,"A+",IF('Data Source'!AD709&gt;=4,"A",IF('Data Source'!AD709&gt;=3.5,"A-",IF('Data Source'!AD709&gt;=3,"B",IF('Data Source'!AD709&gt;=2,"C",IF('Data Source'!AD709&gt;=1,"D","F")))))),"")</f>
        <v/>
      </c>
      <c r="M709" s="3">
        <f>IF(AND('Data Source'!B709&lt;&gt;"",'Data Source'!S709="F"),IF('Data Source'!AE709&gt;=5,"A+",IF('Data Source'!AE709&gt;=4,"A",IF('Data Source'!AE709&gt;=3.5,"A-",IF('Data Source'!AE709&gt;=3,"B",IF('Data Source'!AE709&gt;=2,"C",IF('Data Source'!AE709&gt;=1,"D","F")))))),"")</f>
        <v/>
      </c>
      <c r="N709" s="3">
        <f>IF(AND('Data Source'!B709&lt;&gt;"",'Data Source'!S709="F"),IF('Data Source'!AF709&gt;=5,"A+",IF('Data Source'!AF709&gt;=4,"A",IF('Data Source'!AF709&gt;=3.5,"A-",IF('Data Source'!AF709&gt;=3,"B",IF('Data Source'!AF709&gt;=2,"C",IF('Data Source'!AF709&gt;=1,"D","F")))))),"")</f>
        <v/>
      </c>
      <c r="O709" s="3">
        <f>IF(AND('Data Source'!B709&lt;&gt;"",'Data Source'!S709="F"),IF('Data Source'!AG709&gt;=5,"A+",IF('Data Source'!AG709&gt;=4,"A",IF('Data Source'!AG709&gt;=3.5,"A-",IF('Data Source'!AG709&gt;=3,"B",IF('Data Source'!AG709&gt;=2,"C",IF('Data Source'!AG709&gt;=1,"D","F")))))),"")</f>
        <v/>
      </c>
      <c r="P709" s="5">
        <f>IF(AND('Data Source'!B709&lt;&gt;"",'Data Source'!S709="F"),'Data Source'!R709,"")</f>
        <v/>
      </c>
      <c r="Q709" s="3">
        <f>IF(AND('Data Source'!B709&lt;&gt;"",'Data Source'!S709="F"),'Data Source'!S709,"")</f>
        <v/>
      </c>
    </row>
    <row r="710">
      <c r="A710" s="3">
        <f>IF(AND('Data Source'!B710&lt;&gt;"",'Data Source'!S710="F"),COUNTIF('Data Source'!$S$3:S710,"F"),"")</f>
        <v/>
      </c>
      <c r="B710">
        <f>IF(AND('Data Source'!B710&lt;&gt;"",'Data Source'!S710="F"),'Data Source'!B710,"")</f>
        <v/>
      </c>
      <c r="C710" s="3">
        <f>IF(AND('Data Source'!B710&lt;&gt;"",'Data Source'!S710="F"),IF('Data Source'!U710&gt;=5,"A+",IF('Data Source'!U710&gt;=4,"A",IF('Data Source'!U710&gt;=3.5,"A-",IF('Data Source'!U710&gt;=3,"B",IF('Data Source'!U710&gt;=2,"C",IF('Data Source'!U710&gt;=1,"D","F")))))),"")</f>
        <v/>
      </c>
      <c r="D710" s="3">
        <f>IF(AND('Data Source'!B710&lt;&gt;"",'Data Source'!S710="F"),IF('Data Source'!V710&gt;=5,"A+",IF('Data Source'!V710&gt;=4,"A",IF('Data Source'!V710&gt;=3.5,"A-",IF('Data Source'!V710&gt;=3,"B",IF('Data Source'!V710&gt;=2,"C",IF('Data Source'!V710&gt;=1,"D","F")))))),"")</f>
        <v/>
      </c>
      <c r="E710" s="3">
        <f>IF(AND('Data Source'!B710&lt;&gt;"",'Data Source'!S710="F"),IF('Data Source'!W710&gt;=5,"A+",IF('Data Source'!W710&gt;=4,"A",IF('Data Source'!W710&gt;=3.5,"A-",IF('Data Source'!W710&gt;=3,"B",IF('Data Source'!W710&gt;=2,"C",IF('Data Source'!W710&gt;=1,"D","F")))))),"")</f>
        <v/>
      </c>
      <c r="F710" s="3">
        <f>IF(AND('Data Source'!B710&lt;&gt;"",'Data Source'!S710="F"),IF('Data Source'!X710&gt;=5,"A+",IF('Data Source'!X710&gt;=4,"A",IF('Data Source'!X710&gt;=3.5,"A-",IF('Data Source'!X710&gt;=3,"B",IF('Data Source'!X710&gt;=2,"C",IF('Data Source'!X710&gt;=1,"D","F")))))),"")</f>
        <v/>
      </c>
      <c r="G710" s="3">
        <f>IF(AND('Data Source'!B710&lt;&gt;"",'Data Source'!S710="F"),IF('Data Source'!Y710&gt;=5,"A+",IF('Data Source'!Y710&gt;=4,"A",IF('Data Source'!Y710&gt;=3.5,"A-",IF('Data Source'!Y710&gt;=3,"B",IF('Data Source'!Y710&gt;=2,"C",IF('Data Source'!Y710&gt;=1,"D","F")))))),"")</f>
        <v/>
      </c>
      <c r="H710" s="3">
        <f>IF(AND('Data Source'!B710&lt;&gt;"",'Data Source'!S710="F"),IF('Data Source'!Z710&gt;=5,"A+",IF('Data Source'!Z710&gt;=4,"A",IF('Data Source'!Z710&gt;=3.5,"A-",IF('Data Source'!Z710&gt;=3,"B",IF('Data Source'!Z710&gt;=2,"C",IF('Data Source'!Z710&gt;=1,"D","F")))))),"")</f>
        <v/>
      </c>
      <c r="I710" s="3">
        <f>IF(AND('Data Source'!B710&lt;&gt;"",'Data Source'!S710="F"),IF('Data Source'!AA710&gt;=5,"A+",IF('Data Source'!AA710&gt;=4,"A",IF('Data Source'!AA710&gt;=3.5,"A-",IF('Data Source'!AA710&gt;=3,"B",IF('Data Source'!AA710&gt;=2,"C",IF('Data Source'!AA710&gt;=1,"D","F")))))),"")</f>
        <v/>
      </c>
      <c r="J710" s="3">
        <f>IF(AND('Data Source'!B710&lt;&gt;"",'Data Source'!S710="F"),IF('Data Source'!AB710&gt;=5,"A+",IF('Data Source'!AB710&gt;=4,"A",IF('Data Source'!AB710&gt;=3.5,"A-",IF('Data Source'!AB710&gt;=3,"B",IF('Data Source'!AB710&gt;=2,"C",IF('Data Source'!AB710&gt;=1,"D","F")))))),"")</f>
        <v/>
      </c>
      <c r="K710" s="3">
        <f>IF(AND('Data Source'!B710&lt;&gt;"",'Data Source'!S710="F"),IF('Data Source'!AC710&gt;=5,"A+",IF('Data Source'!AC710&gt;=4,"A",IF('Data Source'!AC710&gt;=3.5,"A-",IF('Data Source'!AC710&gt;=3,"B",IF('Data Source'!AC710&gt;=2,"C",IF('Data Source'!AC710&gt;=1,"D","F")))))),"")</f>
        <v/>
      </c>
      <c r="L710" s="3">
        <f>IF(AND('Data Source'!B710&lt;&gt;"",'Data Source'!S710="F"),IF('Data Source'!AD710&gt;=5,"A+",IF('Data Source'!AD710&gt;=4,"A",IF('Data Source'!AD710&gt;=3.5,"A-",IF('Data Source'!AD710&gt;=3,"B",IF('Data Source'!AD710&gt;=2,"C",IF('Data Source'!AD710&gt;=1,"D","F")))))),"")</f>
        <v/>
      </c>
      <c r="M710" s="3">
        <f>IF(AND('Data Source'!B710&lt;&gt;"",'Data Source'!S710="F"),IF('Data Source'!AE710&gt;=5,"A+",IF('Data Source'!AE710&gt;=4,"A",IF('Data Source'!AE710&gt;=3.5,"A-",IF('Data Source'!AE710&gt;=3,"B",IF('Data Source'!AE710&gt;=2,"C",IF('Data Source'!AE710&gt;=1,"D","F")))))),"")</f>
        <v/>
      </c>
      <c r="N710" s="3">
        <f>IF(AND('Data Source'!B710&lt;&gt;"",'Data Source'!S710="F"),IF('Data Source'!AF710&gt;=5,"A+",IF('Data Source'!AF710&gt;=4,"A",IF('Data Source'!AF710&gt;=3.5,"A-",IF('Data Source'!AF710&gt;=3,"B",IF('Data Source'!AF710&gt;=2,"C",IF('Data Source'!AF710&gt;=1,"D","F")))))),"")</f>
        <v/>
      </c>
      <c r="O710" s="3">
        <f>IF(AND('Data Source'!B710&lt;&gt;"",'Data Source'!S710="F"),IF('Data Source'!AG710&gt;=5,"A+",IF('Data Source'!AG710&gt;=4,"A",IF('Data Source'!AG710&gt;=3.5,"A-",IF('Data Source'!AG710&gt;=3,"B",IF('Data Source'!AG710&gt;=2,"C",IF('Data Source'!AG710&gt;=1,"D","F")))))),"")</f>
        <v/>
      </c>
      <c r="P710" s="5">
        <f>IF(AND('Data Source'!B710&lt;&gt;"",'Data Source'!S710="F"),'Data Source'!R710,"")</f>
        <v/>
      </c>
      <c r="Q710" s="3">
        <f>IF(AND('Data Source'!B710&lt;&gt;"",'Data Source'!S710="F"),'Data Source'!S710,"")</f>
        <v/>
      </c>
    </row>
    <row r="711">
      <c r="A711" s="3">
        <f>IF(AND('Data Source'!B711&lt;&gt;"",'Data Source'!S711="F"),COUNTIF('Data Source'!$S$3:S711,"F"),"")</f>
        <v/>
      </c>
      <c r="B711">
        <f>IF(AND('Data Source'!B711&lt;&gt;"",'Data Source'!S711="F"),'Data Source'!B711,"")</f>
        <v/>
      </c>
      <c r="C711" s="3">
        <f>IF(AND('Data Source'!B711&lt;&gt;"",'Data Source'!S711="F"),IF('Data Source'!U711&gt;=5,"A+",IF('Data Source'!U711&gt;=4,"A",IF('Data Source'!U711&gt;=3.5,"A-",IF('Data Source'!U711&gt;=3,"B",IF('Data Source'!U711&gt;=2,"C",IF('Data Source'!U711&gt;=1,"D","F")))))),"")</f>
        <v/>
      </c>
      <c r="D711" s="3">
        <f>IF(AND('Data Source'!B711&lt;&gt;"",'Data Source'!S711="F"),IF('Data Source'!V711&gt;=5,"A+",IF('Data Source'!V711&gt;=4,"A",IF('Data Source'!V711&gt;=3.5,"A-",IF('Data Source'!V711&gt;=3,"B",IF('Data Source'!V711&gt;=2,"C",IF('Data Source'!V711&gt;=1,"D","F")))))),"")</f>
        <v/>
      </c>
      <c r="E711" s="3">
        <f>IF(AND('Data Source'!B711&lt;&gt;"",'Data Source'!S711="F"),IF('Data Source'!W711&gt;=5,"A+",IF('Data Source'!W711&gt;=4,"A",IF('Data Source'!W711&gt;=3.5,"A-",IF('Data Source'!W711&gt;=3,"B",IF('Data Source'!W711&gt;=2,"C",IF('Data Source'!W711&gt;=1,"D","F")))))),"")</f>
        <v/>
      </c>
      <c r="F711" s="3">
        <f>IF(AND('Data Source'!B711&lt;&gt;"",'Data Source'!S711="F"),IF('Data Source'!X711&gt;=5,"A+",IF('Data Source'!X711&gt;=4,"A",IF('Data Source'!X711&gt;=3.5,"A-",IF('Data Source'!X711&gt;=3,"B",IF('Data Source'!X711&gt;=2,"C",IF('Data Source'!X711&gt;=1,"D","F")))))),"")</f>
        <v/>
      </c>
      <c r="G711" s="3">
        <f>IF(AND('Data Source'!B711&lt;&gt;"",'Data Source'!S711="F"),IF('Data Source'!Y711&gt;=5,"A+",IF('Data Source'!Y711&gt;=4,"A",IF('Data Source'!Y711&gt;=3.5,"A-",IF('Data Source'!Y711&gt;=3,"B",IF('Data Source'!Y711&gt;=2,"C",IF('Data Source'!Y711&gt;=1,"D","F")))))),"")</f>
        <v/>
      </c>
      <c r="H711" s="3">
        <f>IF(AND('Data Source'!B711&lt;&gt;"",'Data Source'!S711="F"),IF('Data Source'!Z711&gt;=5,"A+",IF('Data Source'!Z711&gt;=4,"A",IF('Data Source'!Z711&gt;=3.5,"A-",IF('Data Source'!Z711&gt;=3,"B",IF('Data Source'!Z711&gt;=2,"C",IF('Data Source'!Z711&gt;=1,"D","F")))))),"")</f>
        <v/>
      </c>
      <c r="I711" s="3">
        <f>IF(AND('Data Source'!B711&lt;&gt;"",'Data Source'!S711="F"),IF('Data Source'!AA711&gt;=5,"A+",IF('Data Source'!AA711&gt;=4,"A",IF('Data Source'!AA711&gt;=3.5,"A-",IF('Data Source'!AA711&gt;=3,"B",IF('Data Source'!AA711&gt;=2,"C",IF('Data Source'!AA711&gt;=1,"D","F")))))),"")</f>
        <v/>
      </c>
      <c r="J711" s="3">
        <f>IF(AND('Data Source'!B711&lt;&gt;"",'Data Source'!S711="F"),IF('Data Source'!AB711&gt;=5,"A+",IF('Data Source'!AB711&gt;=4,"A",IF('Data Source'!AB711&gt;=3.5,"A-",IF('Data Source'!AB711&gt;=3,"B",IF('Data Source'!AB711&gt;=2,"C",IF('Data Source'!AB711&gt;=1,"D","F")))))),"")</f>
        <v/>
      </c>
      <c r="K711" s="3">
        <f>IF(AND('Data Source'!B711&lt;&gt;"",'Data Source'!S711="F"),IF('Data Source'!AC711&gt;=5,"A+",IF('Data Source'!AC711&gt;=4,"A",IF('Data Source'!AC711&gt;=3.5,"A-",IF('Data Source'!AC711&gt;=3,"B",IF('Data Source'!AC711&gt;=2,"C",IF('Data Source'!AC711&gt;=1,"D","F")))))),"")</f>
        <v/>
      </c>
      <c r="L711" s="3">
        <f>IF(AND('Data Source'!B711&lt;&gt;"",'Data Source'!S711="F"),IF('Data Source'!AD711&gt;=5,"A+",IF('Data Source'!AD711&gt;=4,"A",IF('Data Source'!AD711&gt;=3.5,"A-",IF('Data Source'!AD711&gt;=3,"B",IF('Data Source'!AD711&gt;=2,"C",IF('Data Source'!AD711&gt;=1,"D","F")))))),"")</f>
        <v/>
      </c>
      <c r="M711" s="3">
        <f>IF(AND('Data Source'!B711&lt;&gt;"",'Data Source'!S711="F"),IF('Data Source'!AE711&gt;=5,"A+",IF('Data Source'!AE711&gt;=4,"A",IF('Data Source'!AE711&gt;=3.5,"A-",IF('Data Source'!AE711&gt;=3,"B",IF('Data Source'!AE711&gt;=2,"C",IF('Data Source'!AE711&gt;=1,"D","F")))))),"")</f>
        <v/>
      </c>
      <c r="N711" s="3">
        <f>IF(AND('Data Source'!B711&lt;&gt;"",'Data Source'!S711="F"),IF('Data Source'!AF711&gt;=5,"A+",IF('Data Source'!AF711&gt;=4,"A",IF('Data Source'!AF711&gt;=3.5,"A-",IF('Data Source'!AF711&gt;=3,"B",IF('Data Source'!AF711&gt;=2,"C",IF('Data Source'!AF711&gt;=1,"D","F")))))),"")</f>
        <v/>
      </c>
      <c r="O711" s="3">
        <f>IF(AND('Data Source'!B711&lt;&gt;"",'Data Source'!S711="F"),IF('Data Source'!AG711&gt;=5,"A+",IF('Data Source'!AG711&gt;=4,"A",IF('Data Source'!AG711&gt;=3.5,"A-",IF('Data Source'!AG711&gt;=3,"B",IF('Data Source'!AG711&gt;=2,"C",IF('Data Source'!AG711&gt;=1,"D","F")))))),"")</f>
        <v/>
      </c>
      <c r="P711" s="5">
        <f>IF(AND('Data Source'!B711&lt;&gt;"",'Data Source'!S711="F"),'Data Source'!R711,"")</f>
        <v/>
      </c>
      <c r="Q711" s="3">
        <f>IF(AND('Data Source'!B711&lt;&gt;"",'Data Source'!S711="F"),'Data Source'!S711,"")</f>
        <v/>
      </c>
    </row>
    <row r="712">
      <c r="A712" s="3">
        <f>IF(AND('Data Source'!B712&lt;&gt;"",'Data Source'!S712="F"),COUNTIF('Data Source'!$S$3:S712,"F"),"")</f>
        <v/>
      </c>
      <c r="B712">
        <f>IF(AND('Data Source'!B712&lt;&gt;"",'Data Source'!S712="F"),'Data Source'!B712,"")</f>
        <v/>
      </c>
      <c r="C712" s="3">
        <f>IF(AND('Data Source'!B712&lt;&gt;"",'Data Source'!S712="F"),IF('Data Source'!U712&gt;=5,"A+",IF('Data Source'!U712&gt;=4,"A",IF('Data Source'!U712&gt;=3.5,"A-",IF('Data Source'!U712&gt;=3,"B",IF('Data Source'!U712&gt;=2,"C",IF('Data Source'!U712&gt;=1,"D","F")))))),"")</f>
        <v/>
      </c>
      <c r="D712" s="3">
        <f>IF(AND('Data Source'!B712&lt;&gt;"",'Data Source'!S712="F"),IF('Data Source'!V712&gt;=5,"A+",IF('Data Source'!V712&gt;=4,"A",IF('Data Source'!V712&gt;=3.5,"A-",IF('Data Source'!V712&gt;=3,"B",IF('Data Source'!V712&gt;=2,"C",IF('Data Source'!V712&gt;=1,"D","F")))))),"")</f>
        <v/>
      </c>
      <c r="E712" s="3">
        <f>IF(AND('Data Source'!B712&lt;&gt;"",'Data Source'!S712="F"),IF('Data Source'!W712&gt;=5,"A+",IF('Data Source'!W712&gt;=4,"A",IF('Data Source'!W712&gt;=3.5,"A-",IF('Data Source'!W712&gt;=3,"B",IF('Data Source'!W712&gt;=2,"C",IF('Data Source'!W712&gt;=1,"D","F")))))),"")</f>
        <v/>
      </c>
      <c r="F712" s="3">
        <f>IF(AND('Data Source'!B712&lt;&gt;"",'Data Source'!S712="F"),IF('Data Source'!X712&gt;=5,"A+",IF('Data Source'!X712&gt;=4,"A",IF('Data Source'!X712&gt;=3.5,"A-",IF('Data Source'!X712&gt;=3,"B",IF('Data Source'!X712&gt;=2,"C",IF('Data Source'!X712&gt;=1,"D","F")))))),"")</f>
        <v/>
      </c>
      <c r="G712" s="3">
        <f>IF(AND('Data Source'!B712&lt;&gt;"",'Data Source'!S712="F"),IF('Data Source'!Y712&gt;=5,"A+",IF('Data Source'!Y712&gt;=4,"A",IF('Data Source'!Y712&gt;=3.5,"A-",IF('Data Source'!Y712&gt;=3,"B",IF('Data Source'!Y712&gt;=2,"C",IF('Data Source'!Y712&gt;=1,"D","F")))))),"")</f>
        <v/>
      </c>
      <c r="H712" s="3">
        <f>IF(AND('Data Source'!B712&lt;&gt;"",'Data Source'!S712="F"),IF('Data Source'!Z712&gt;=5,"A+",IF('Data Source'!Z712&gt;=4,"A",IF('Data Source'!Z712&gt;=3.5,"A-",IF('Data Source'!Z712&gt;=3,"B",IF('Data Source'!Z712&gt;=2,"C",IF('Data Source'!Z712&gt;=1,"D","F")))))),"")</f>
        <v/>
      </c>
      <c r="I712" s="3">
        <f>IF(AND('Data Source'!B712&lt;&gt;"",'Data Source'!S712="F"),IF('Data Source'!AA712&gt;=5,"A+",IF('Data Source'!AA712&gt;=4,"A",IF('Data Source'!AA712&gt;=3.5,"A-",IF('Data Source'!AA712&gt;=3,"B",IF('Data Source'!AA712&gt;=2,"C",IF('Data Source'!AA712&gt;=1,"D","F")))))),"")</f>
        <v/>
      </c>
      <c r="J712" s="3">
        <f>IF(AND('Data Source'!B712&lt;&gt;"",'Data Source'!S712="F"),IF('Data Source'!AB712&gt;=5,"A+",IF('Data Source'!AB712&gt;=4,"A",IF('Data Source'!AB712&gt;=3.5,"A-",IF('Data Source'!AB712&gt;=3,"B",IF('Data Source'!AB712&gt;=2,"C",IF('Data Source'!AB712&gt;=1,"D","F")))))),"")</f>
        <v/>
      </c>
      <c r="K712" s="3">
        <f>IF(AND('Data Source'!B712&lt;&gt;"",'Data Source'!S712="F"),IF('Data Source'!AC712&gt;=5,"A+",IF('Data Source'!AC712&gt;=4,"A",IF('Data Source'!AC712&gt;=3.5,"A-",IF('Data Source'!AC712&gt;=3,"B",IF('Data Source'!AC712&gt;=2,"C",IF('Data Source'!AC712&gt;=1,"D","F")))))),"")</f>
        <v/>
      </c>
      <c r="L712" s="3">
        <f>IF(AND('Data Source'!B712&lt;&gt;"",'Data Source'!S712="F"),IF('Data Source'!AD712&gt;=5,"A+",IF('Data Source'!AD712&gt;=4,"A",IF('Data Source'!AD712&gt;=3.5,"A-",IF('Data Source'!AD712&gt;=3,"B",IF('Data Source'!AD712&gt;=2,"C",IF('Data Source'!AD712&gt;=1,"D","F")))))),"")</f>
        <v/>
      </c>
      <c r="M712" s="3">
        <f>IF(AND('Data Source'!B712&lt;&gt;"",'Data Source'!S712="F"),IF('Data Source'!AE712&gt;=5,"A+",IF('Data Source'!AE712&gt;=4,"A",IF('Data Source'!AE712&gt;=3.5,"A-",IF('Data Source'!AE712&gt;=3,"B",IF('Data Source'!AE712&gt;=2,"C",IF('Data Source'!AE712&gt;=1,"D","F")))))),"")</f>
        <v/>
      </c>
      <c r="N712" s="3">
        <f>IF(AND('Data Source'!B712&lt;&gt;"",'Data Source'!S712="F"),IF('Data Source'!AF712&gt;=5,"A+",IF('Data Source'!AF712&gt;=4,"A",IF('Data Source'!AF712&gt;=3.5,"A-",IF('Data Source'!AF712&gt;=3,"B",IF('Data Source'!AF712&gt;=2,"C",IF('Data Source'!AF712&gt;=1,"D","F")))))),"")</f>
        <v/>
      </c>
      <c r="O712" s="3">
        <f>IF(AND('Data Source'!B712&lt;&gt;"",'Data Source'!S712="F"),IF('Data Source'!AG712&gt;=5,"A+",IF('Data Source'!AG712&gt;=4,"A",IF('Data Source'!AG712&gt;=3.5,"A-",IF('Data Source'!AG712&gt;=3,"B",IF('Data Source'!AG712&gt;=2,"C",IF('Data Source'!AG712&gt;=1,"D","F")))))),"")</f>
        <v/>
      </c>
      <c r="P712" s="5">
        <f>IF(AND('Data Source'!B712&lt;&gt;"",'Data Source'!S712="F"),'Data Source'!R712,"")</f>
        <v/>
      </c>
      <c r="Q712" s="3">
        <f>IF(AND('Data Source'!B712&lt;&gt;"",'Data Source'!S712="F"),'Data Source'!S712,"")</f>
        <v/>
      </c>
    </row>
    <row r="713">
      <c r="A713" s="3">
        <f>IF(AND('Data Source'!B713&lt;&gt;"",'Data Source'!S713="F"),COUNTIF('Data Source'!$S$3:S713,"F"),"")</f>
        <v/>
      </c>
      <c r="B713">
        <f>IF(AND('Data Source'!B713&lt;&gt;"",'Data Source'!S713="F"),'Data Source'!B713,"")</f>
        <v/>
      </c>
      <c r="C713" s="3">
        <f>IF(AND('Data Source'!B713&lt;&gt;"",'Data Source'!S713="F"),IF('Data Source'!U713&gt;=5,"A+",IF('Data Source'!U713&gt;=4,"A",IF('Data Source'!U713&gt;=3.5,"A-",IF('Data Source'!U713&gt;=3,"B",IF('Data Source'!U713&gt;=2,"C",IF('Data Source'!U713&gt;=1,"D","F")))))),"")</f>
        <v/>
      </c>
      <c r="D713" s="3">
        <f>IF(AND('Data Source'!B713&lt;&gt;"",'Data Source'!S713="F"),IF('Data Source'!V713&gt;=5,"A+",IF('Data Source'!V713&gt;=4,"A",IF('Data Source'!V713&gt;=3.5,"A-",IF('Data Source'!V713&gt;=3,"B",IF('Data Source'!V713&gt;=2,"C",IF('Data Source'!V713&gt;=1,"D","F")))))),"")</f>
        <v/>
      </c>
      <c r="E713" s="3">
        <f>IF(AND('Data Source'!B713&lt;&gt;"",'Data Source'!S713="F"),IF('Data Source'!W713&gt;=5,"A+",IF('Data Source'!W713&gt;=4,"A",IF('Data Source'!W713&gt;=3.5,"A-",IF('Data Source'!W713&gt;=3,"B",IF('Data Source'!W713&gt;=2,"C",IF('Data Source'!W713&gt;=1,"D","F")))))),"")</f>
        <v/>
      </c>
      <c r="F713" s="3">
        <f>IF(AND('Data Source'!B713&lt;&gt;"",'Data Source'!S713="F"),IF('Data Source'!X713&gt;=5,"A+",IF('Data Source'!X713&gt;=4,"A",IF('Data Source'!X713&gt;=3.5,"A-",IF('Data Source'!X713&gt;=3,"B",IF('Data Source'!X713&gt;=2,"C",IF('Data Source'!X713&gt;=1,"D","F")))))),"")</f>
        <v/>
      </c>
      <c r="G713" s="3">
        <f>IF(AND('Data Source'!B713&lt;&gt;"",'Data Source'!S713="F"),IF('Data Source'!Y713&gt;=5,"A+",IF('Data Source'!Y713&gt;=4,"A",IF('Data Source'!Y713&gt;=3.5,"A-",IF('Data Source'!Y713&gt;=3,"B",IF('Data Source'!Y713&gt;=2,"C",IF('Data Source'!Y713&gt;=1,"D","F")))))),"")</f>
        <v/>
      </c>
      <c r="H713" s="3">
        <f>IF(AND('Data Source'!B713&lt;&gt;"",'Data Source'!S713="F"),IF('Data Source'!Z713&gt;=5,"A+",IF('Data Source'!Z713&gt;=4,"A",IF('Data Source'!Z713&gt;=3.5,"A-",IF('Data Source'!Z713&gt;=3,"B",IF('Data Source'!Z713&gt;=2,"C",IF('Data Source'!Z713&gt;=1,"D","F")))))),"")</f>
        <v/>
      </c>
      <c r="I713" s="3">
        <f>IF(AND('Data Source'!B713&lt;&gt;"",'Data Source'!S713="F"),IF('Data Source'!AA713&gt;=5,"A+",IF('Data Source'!AA713&gt;=4,"A",IF('Data Source'!AA713&gt;=3.5,"A-",IF('Data Source'!AA713&gt;=3,"B",IF('Data Source'!AA713&gt;=2,"C",IF('Data Source'!AA713&gt;=1,"D","F")))))),"")</f>
        <v/>
      </c>
      <c r="J713" s="3">
        <f>IF(AND('Data Source'!B713&lt;&gt;"",'Data Source'!S713="F"),IF('Data Source'!AB713&gt;=5,"A+",IF('Data Source'!AB713&gt;=4,"A",IF('Data Source'!AB713&gt;=3.5,"A-",IF('Data Source'!AB713&gt;=3,"B",IF('Data Source'!AB713&gt;=2,"C",IF('Data Source'!AB713&gt;=1,"D","F")))))),"")</f>
        <v/>
      </c>
      <c r="K713" s="3">
        <f>IF(AND('Data Source'!B713&lt;&gt;"",'Data Source'!S713="F"),IF('Data Source'!AC713&gt;=5,"A+",IF('Data Source'!AC713&gt;=4,"A",IF('Data Source'!AC713&gt;=3.5,"A-",IF('Data Source'!AC713&gt;=3,"B",IF('Data Source'!AC713&gt;=2,"C",IF('Data Source'!AC713&gt;=1,"D","F")))))),"")</f>
        <v/>
      </c>
      <c r="L713" s="3">
        <f>IF(AND('Data Source'!B713&lt;&gt;"",'Data Source'!S713="F"),IF('Data Source'!AD713&gt;=5,"A+",IF('Data Source'!AD713&gt;=4,"A",IF('Data Source'!AD713&gt;=3.5,"A-",IF('Data Source'!AD713&gt;=3,"B",IF('Data Source'!AD713&gt;=2,"C",IF('Data Source'!AD713&gt;=1,"D","F")))))),"")</f>
        <v/>
      </c>
      <c r="M713" s="3">
        <f>IF(AND('Data Source'!B713&lt;&gt;"",'Data Source'!S713="F"),IF('Data Source'!AE713&gt;=5,"A+",IF('Data Source'!AE713&gt;=4,"A",IF('Data Source'!AE713&gt;=3.5,"A-",IF('Data Source'!AE713&gt;=3,"B",IF('Data Source'!AE713&gt;=2,"C",IF('Data Source'!AE713&gt;=1,"D","F")))))),"")</f>
        <v/>
      </c>
      <c r="N713" s="3">
        <f>IF(AND('Data Source'!B713&lt;&gt;"",'Data Source'!S713="F"),IF('Data Source'!AF713&gt;=5,"A+",IF('Data Source'!AF713&gt;=4,"A",IF('Data Source'!AF713&gt;=3.5,"A-",IF('Data Source'!AF713&gt;=3,"B",IF('Data Source'!AF713&gt;=2,"C",IF('Data Source'!AF713&gt;=1,"D","F")))))),"")</f>
        <v/>
      </c>
      <c r="O713" s="3">
        <f>IF(AND('Data Source'!B713&lt;&gt;"",'Data Source'!S713="F"),IF('Data Source'!AG713&gt;=5,"A+",IF('Data Source'!AG713&gt;=4,"A",IF('Data Source'!AG713&gt;=3.5,"A-",IF('Data Source'!AG713&gt;=3,"B",IF('Data Source'!AG713&gt;=2,"C",IF('Data Source'!AG713&gt;=1,"D","F")))))),"")</f>
        <v/>
      </c>
      <c r="P713" s="5">
        <f>IF(AND('Data Source'!B713&lt;&gt;"",'Data Source'!S713="F"),'Data Source'!R713,"")</f>
        <v/>
      </c>
      <c r="Q713" s="3">
        <f>IF(AND('Data Source'!B713&lt;&gt;"",'Data Source'!S713="F"),'Data Source'!S713,"")</f>
        <v/>
      </c>
    </row>
    <row r="714">
      <c r="A714" s="3">
        <f>IF(AND('Data Source'!B714&lt;&gt;"",'Data Source'!S714="F"),COUNTIF('Data Source'!$S$3:S714,"F"),"")</f>
        <v/>
      </c>
      <c r="B714">
        <f>IF(AND('Data Source'!B714&lt;&gt;"",'Data Source'!S714="F"),'Data Source'!B714,"")</f>
        <v/>
      </c>
      <c r="C714" s="3">
        <f>IF(AND('Data Source'!B714&lt;&gt;"",'Data Source'!S714="F"),IF('Data Source'!U714&gt;=5,"A+",IF('Data Source'!U714&gt;=4,"A",IF('Data Source'!U714&gt;=3.5,"A-",IF('Data Source'!U714&gt;=3,"B",IF('Data Source'!U714&gt;=2,"C",IF('Data Source'!U714&gt;=1,"D","F")))))),"")</f>
        <v/>
      </c>
      <c r="D714" s="3">
        <f>IF(AND('Data Source'!B714&lt;&gt;"",'Data Source'!S714="F"),IF('Data Source'!V714&gt;=5,"A+",IF('Data Source'!V714&gt;=4,"A",IF('Data Source'!V714&gt;=3.5,"A-",IF('Data Source'!V714&gt;=3,"B",IF('Data Source'!V714&gt;=2,"C",IF('Data Source'!V714&gt;=1,"D","F")))))),"")</f>
        <v/>
      </c>
      <c r="E714" s="3">
        <f>IF(AND('Data Source'!B714&lt;&gt;"",'Data Source'!S714="F"),IF('Data Source'!W714&gt;=5,"A+",IF('Data Source'!W714&gt;=4,"A",IF('Data Source'!W714&gt;=3.5,"A-",IF('Data Source'!W714&gt;=3,"B",IF('Data Source'!W714&gt;=2,"C",IF('Data Source'!W714&gt;=1,"D","F")))))),"")</f>
        <v/>
      </c>
      <c r="F714" s="3">
        <f>IF(AND('Data Source'!B714&lt;&gt;"",'Data Source'!S714="F"),IF('Data Source'!X714&gt;=5,"A+",IF('Data Source'!X714&gt;=4,"A",IF('Data Source'!X714&gt;=3.5,"A-",IF('Data Source'!X714&gt;=3,"B",IF('Data Source'!X714&gt;=2,"C",IF('Data Source'!X714&gt;=1,"D","F")))))),"")</f>
        <v/>
      </c>
      <c r="G714" s="3">
        <f>IF(AND('Data Source'!B714&lt;&gt;"",'Data Source'!S714="F"),IF('Data Source'!Y714&gt;=5,"A+",IF('Data Source'!Y714&gt;=4,"A",IF('Data Source'!Y714&gt;=3.5,"A-",IF('Data Source'!Y714&gt;=3,"B",IF('Data Source'!Y714&gt;=2,"C",IF('Data Source'!Y714&gt;=1,"D","F")))))),"")</f>
        <v/>
      </c>
      <c r="H714" s="3">
        <f>IF(AND('Data Source'!B714&lt;&gt;"",'Data Source'!S714="F"),IF('Data Source'!Z714&gt;=5,"A+",IF('Data Source'!Z714&gt;=4,"A",IF('Data Source'!Z714&gt;=3.5,"A-",IF('Data Source'!Z714&gt;=3,"B",IF('Data Source'!Z714&gt;=2,"C",IF('Data Source'!Z714&gt;=1,"D","F")))))),"")</f>
        <v/>
      </c>
      <c r="I714" s="3">
        <f>IF(AND('Data Source'!B714&lt;&gt;"",'Data Source'!S714="F"),IF('Data Source'!AA714&gt;=5,"A+",IF('Data Source'!AA714&gt;=4,"A",IF('Data Source'!AA714&gt;=3.5,"A-",IF('Data Source'!AA714&gt;=3,"B",IF('Data Source'!AA714&gt;=2,"C",IF('Data Source'!AA714&gt;=1,"D","F")))))),"")</f>
        <v/>
      </c>
      <c r="J714" s="3">
        <f>IF(AND('Data Source'!B714&lt;&gt;"",'Data Source'!S714="F"),IF('Data Source'!AB714&gt;=5,"A+",IF('Data Source'!AB714&gt;=4,"A",IF('Data Source'!AB714&gt;=3.5,"A-",IF('Data Source'!AB714&gt;=3,"B",IF('Data Source'!AB714&gt;=2,"C",IF('Data Source'!AB714&gt;=1,"D","F")))))),"")</f>
        <v/>
      </c>
      <c r="K714" s="3">
        <f>IF(AND('Data Source'!B714&lt;&gt;"",'Data Source'!S714="F"),IF('Data Source'!AC714&gt;=5,"A+",IF('Data Source'!AC714&gt;=4,"A",IF('Data Source'!AC714&gt;=3.5,"A-",IF('Data Source'!AC714&gt;=3,"B",IF('Data Source'!AC714&gt;=2,"C",IF('Data Source'!AC714&gt;=1,"D","F")))))),"")</f>
        <v/>
      </c>
      <c r="L714" s="3">
        <f>IF(AND('Data Source'!B714&lt;&gt;"",'Data Source'!S714="F"),IF('Data Source'!AD714&gt;=5,"A+",IF('Data Source'!AD714&gt;=4,"A",IF('Data Source'!AD714&gt;=3.5,"A-",IF('Data Source'!AD714&gt;=3,"B",IF('Data Source'!AD714&gt;=2,"C",IF('Data Source'!AD714&gt;=1,"D","F")))))),"")</f>
        <v/>
      </c>
      <c r="M714" s="3">
        <f>IF(AND('Data Source'!B714&lt;&gt;"",'Data Source'!S714="F"),IF('Data Source'!AE714&gt;=5,"A+",IF('Data Source'!AE714&gt;=4,"A",IF('Data Source'!AE714&gt;=3.5,"A-",IF('Data Source'!AE714&gt;=3,"B",IF('Data Source'!AE714&gt;=2,"C",IF('Data Source'!AE714&gt;=1,"D","F")))))),"")</f>
        <v/>
      </c>
      <c r="N714" s="3">
        <f>IF(AND('Data Source'!B714&lt;&gt;"",'Data Source'!S714="F"),IF('Data Source'!AF714&gt;=5,"A+",IF('Data Source'!AF714&gt;=4,"A",IF('Data Source'!AF714&gt;=3.5,"A-",IF('Data Source'!AF714&gt;=3,"B",IF('Data Source'!AF714&gt;=2,"C",IF('Data Source'!AF714&gt;=1,"D","F")))))),"")</f>
        <v/>
      </c>
      <c r="O714" s="3">
        <f>IF(AND('Data Source'!B714&lt;&gt;"",'Data Source'!S714="F"),IF('Data Source'!AG714&gt;=5,"A+",IF('Data Source'!AG714&gt;=4,"A",IF('Data Source'!AG714&gt;=3.5,"A-",IF('Data Source'!AG714&gt;=3,"B",IF('Data Source'!AG714&gt;=2,"C",IF('Data Source'!AG714&gt;=1,"D","F")))))),"")</f>
        <v/>
      </c>
      <c r="P714" s="5">
        <f>IF(AND('Data Source'!B714&lt;&gt;"",'Data Source'!S714="F"),'Data Source'!R714,"")</f>
        <v/>
      </c>
      <c r="Q714" s="3">
        <f>IF(AND('Data Source'!B714&lt;&gt;"",'Data Source'!S714="F"),'Data Source'!S714,"")</f>
        <v/>
      </c>
    </row>
    <row r="715">
      <c r="A715" s="3">
        <f>IF(AND('Data Source'!B715&lt;&gt;"",'Data Source'!S715="F"),COUNTIF('Data Source'!$S$3:S715,"F"),"")</f>
        <v/>
      </c>
      <c r="B715">
        <f>IF(AND('Data Source'!B715&lt;&gt;"",'Data Source'!S715="F"),'Data Source'!B715,"")</f>
        <v/>
      </c>
      <c r="C715" s="3">
        <f>IF(AND('Data Source'!B715&lt;&gt;"",'Data Source'!S715="F"),IF('Data Source'!U715&gt;=5,"A+",IF('Data Source'!U715&gt;=4,"A",IF('Data Source'!U715&gt;=3.5,"A-",IF('Data Source'!U715&gt;=3,"B",IF('Data Source'!U715&gt;=2,"C",IF('Data Source'!U715&gt;=1,"D","F")))))),"")</f>
        <v/>
      </c>
      <c r="D715" s="3">
        <f>IF(AND('Data Source'!B715&lt;&gt;"",'Data Source'!S715="F"),IF('Data Source'!V715&gt;=5,"A+",IF('Data Source'!V715&gt;=4,"A",IF('Data Source'!V715&gt;=3.5,"A-",IF('Data Source'!V715&gt;=3,"B",IF('Data Source'!V715&gt;=2,"C",IF('Data Source'!V715&gt;=1,"D","F")))))),"")</f>
        <v/>
      </c>
      <c r="E715" s="3">
        <f>IF(AND('Data Source'!B715&lt;&gt;"",'Data Source'!S715="F"),IF('Data Source'!W715&gt;=5,"A+",IF('Data Source'!W715&gt;=4,"A",IF('Data Source'!W715&gt;=3.5,"A-",IF('Data Source'!W715&gt;=3,"B",IF('Data Source'!W715&gt;=2,"C",IF('Data Source'!W715&gt;=1,"D","F")))))),"")</f>
        <v/>
      </c>
      <c r="F715" s="3">
        <f>IF(AND('Data Source'!B715&lt;&gt;"",'Data Source'!S715="F"),IF('Data Source'!X715&gt;=5,"A+",IF('Data Source'!X715&gt;=4,"A",IF('Data Source'!X715&gt;=3.5,"A-",IF('Data Source'!X715&gt;=3,"B",IF('Data Source'!X715&gt;=2,"C",IF('Data Source'!X715&gt;=1,"D","F")))))),"")</f>
        <v/>
      </c>
      <c r="G715" s="3">
        <f>IF(AND('Data Source'!B715&lt;&gt;"",'Data Source'!S715="F"),IF('Data Source'!Y715&gt;=5,"A+",IF('Data Source'!Y715&gt;=4,"A",IF('Data Source'!Y715&gt;=3.5,"A-",IF('Data Source'!Y715&gt;=3,"B",IF('Data Source'!Y715&gt;=2,"C",IF('Data Source'!Y715&gt;=1,"D","F")))))),"")</f>
        <v/>
      </c>
      <c r="H715" s="3">
        <f>IF(AND('Data Source'!B715&lt;&gt;"",'Data Source'!S715="F"),IF('Data Source'!Z715&gt;=5,"A+",IF('Data Source'!Z715&gt;=4,"A",IF('Data Source'!Z715&gt;=3.5,"A-",IF('Data Source'!Z715&gt;=3,"B",IF('Data Source'!Z715&gt;=2,"C",IF('Data Source'!Z715&gt;=1,"D","F")))))),"")</f>
        <v/>
      </c>
      <c r="I715" s="3">
        <f>IF(AND('Data Source'!B715&lt;&gt;"",'Data Source'!S715="F"),IF('Data Source'!AA715&gt;=5,"A+",IF('Data Source'!AA715&gt;=4,"A",IF('Data Source'!AA715&gt;=3.5,"A-",IF('Data Source'!AA715&gt;=3,"B",IF('Data Source'!AA715&gt;=2,"C",IF('Data Source'!AA715&gt;=1,"D","F")))))),"")</f>
        <v/>
      </c>
      <c r="J715" s="3">
        <f>IF(AND('Data Source'!B715&lt;&gt;"",'Data Source'!S715="F"),IF('Data Source'!AB715&gt;=5,"A+",IF('Data Source'!AB715&gt;=4,"A",IF('Data Source'!AB715&gt;=3.5,"A-",IF('Data Source'!AB715&gt;=3,"B",IF('Data Source'!AB715&gt;=2,"C",IF('Data Source'!AB715&gt;=1,"D","F")))))),"")</f>
        <v/>
      </c>
      <c r="K715" s="3">
        <f>IF(AND('Data Source'!B715&lt;&gt;"",'Data Source'!S715="F"),IF('Data Source'!AC715&gt;=5,"A+",IF('Data Source'!AC715&gt;=4,"A",IF('Data Source'!AC715&gt;=3.5,"A-",IF('Data Source'!AC715&gt;=3,"B",IF('Data Source'!AC715&gt;=2,"C",IF('Data Source'!AC715&gt;=1,"D","F")))))),"")</f>
        <v/>
      </c>
      <c r="L715" s="3">
        <f>IF(AND('Data Source'!B715&lt;&gt;"",'Data Source'!S715="F"),IF('Data Source'!AD715&gt;=5,"A+",IF('Data Source'!AD715&gt;=4,"A",IF('Data Source'!AD715&gt;=3.5,"A-",IF('Data Source'!AD715&gt;=3,"B",IF('Data Source'!AD715&gt;=2,"C",IF('Data Source'!AD715&gt;=1,"D","F")))))),"")</f>
        <v/>
      </c>
      <c r="M715" s="3">
        <f>IF(AND('Data Source'!B715&lt;&gt;"",'Data Source'!S715="F"),IF('Data Source'!AE715&gt;=5,"A+",IF('Data Source'!AE715&gt;=4,"A",IF('Data Source'!AE715&gt;=3.5,"A-",IF('Data Source'!AE715&gt;=3,"B",IF('Data Source'!AE715&gt;=2,"C",IF('Data Source'!AE715&gt;=1,"D","F")))))),"")</f>
        <v/>
      </c>
      <c r="N715" s="3">
        <f>IF(AND('Data Source'!B715&lt;&gt;"",'Data Source'!S715="F"),IF('Data Source'!AF715&gt;=5,"A+",IF('Data Source'!AF715&gt;=4,"A",IF('Data Source'!AF715&gt;=3.5,"A-",IF('Data Source'!AF715&gt;=3,"B",IF('Data Source'!AF715&gt;=2,"C",IF('Data Source'!AF715&gt;=1,"D","F")))))),"")</f>
        <v/>
      </c>
      <c r="O715" s="3">
        <f>IF(AND('Data Source'!B715&lt;&gt;"",'Data Source'!S715="F"),IF('Data Source'!AG715&gt;=5,"A+",IF('Data Source'!AG715&gt;=4,"A",IF('Data Source'!AG715&gt;=3.5,"A-",IF('Data Source'!AG715&gt;=3,"B",IF('Data Source'!AG715&gt;=2,"C",IF('Data Source'!AG715&gt;=1,"D","F")))))),"")</f>
        <v/>
      </c>
      <c r="P715" s="5">
        <f>IF(AND('Data Source'!B715&lt;&gt;"",'Data Source'!S715="F"),'Data Source'!R715,"")</f>
        <v/>
      </c>
      <c r="Q715" s="3">
        <f>IF(AND('Data Source'!B715&lt;&gt;"",'Data Source'!S715="F"),'Data Source'!S715,"")</f>
        <v/>
      </c>
    </row>
    <row r="716">
      <c r="A716" s="3">
        <f>IF(AND('Data Source'!B716&lt;&gt;"",'Data Source'!S716="F"),COUNTIF('Data Source'!$S$3:S716,"F"),"")</f>
        <v/>
      </c>
      <c r="B716">
        <f>IF(AND('Data Source'!B716&lt;&gt;"",'Data Source'!S716="F"),'Data Source'!B716,"")</f>
        <v/>
      </c>
      <c r="C716" s="3">
        <f>IF(AND('Data Source'!B716&lt;&gt;"",'Data Source'!S716="F"),IF('Data Source'!U716&gt;=5,"A+",IF('Data Source'!U716&gt;=4,"A",IF('Data Source'!U716&gt;=3.5,"A-",IF('Data Source'!U716&gt;=3,"B",IF('Data Source'!U716&gt;=2,"C",IF('Data Source'!U716&gt;=1,"D","F")))))),"")</f>
        <v/>
      </c>
      <c r="D716" s="3">
        <f>IF(AND('Data Source'!B716&lt;&gt;"",'Data Source'!S716="F"),IF('Data Source'!V716&gt;=5,"A+",IF('Data Source'!V716&gt;=4,"A",IF('Data Source'!V716&gt;=3.5,"A-",IF('Data Source'!V716&gt;=3,"B",IF('Data Source'!V716&gt;=2,"C",IF('Data Source'!V716&gt;=1,"D","F")))))),"")</f>
        <v/>
      </c>
      <c r="E716" s="3">
        <f>IF(AND('Data Source'!B716&lt;&gt;"",'Data Source'!S716="F"),IF('Data Source'!W716&gt;=5,"A+",IF('Data Source'!W716&gt;=4,"A",IF('Data Source'!W716&gt;=3.5,"A-",IF('Data Source'!W716&gt;=3,"B",IF('Data Source'!W716&gt;=2,"C",IF('Data Source'!W716&gt;=1,"D","F")))))),"")</f>
        <v/>
      </c>
      <c r="F716" s="3">
        <f>IF(AND('Data Source'!B716&lt;&gt;"",'Data Source'!S716="F"),IF('Data Source'!X716&gt;=5,"A+",IF('Data Source'!X716&gt;=4,"A",IF('Data Source'!X716&gt;=3.5,"A-",IF('Data Source'!X716&gt;=3,"B",IF('Data Source'!X716&gt;=2,"C",IF('Data Source'!X716&gt;=1,"D","F")))))),"")</f>
        <v/>
      </c>
      <c r="G716" s="3">
        <f>IF(AND('Data Source'!B716&lt;&gt;"",'Data Source'!S716="F"),IF('Data Source'!Y716&gt;=5,"A+",IF('Data Source'!Y716&gt;=4,"A",IF('Data Source'!Y716&gt;=3.5,"A-",IF('Data Source'!Y716&gt;=3,"B",IF('Data Source'!Y716&gt;=2,"C",IF('Data Source'!Y716&gt;=1,"D","F")))))),"")</f>
        <v/>
      </c>
      <c r="H716" s="3">
        <f>IF(AND('Data Source'!B716&lt;&gt;"",'Data Source'!S716="F"),IF('Data Source'!Z716&gt;=5,"A+",IF('Data Source'!Z716&gt;=4,"A",IF('Data Source'!Z716&gt;=3.5,"A-",IF('Data Source'!Z716&gt;=3,"B",IF('Data Source'!Z716&gt;=2,"C",IF('Data Source'!Z716&gt;=1,"D","F")))))),"")</f>
        <v/>
      </c>
      <c r="I716" s="3">
        <f>IF(AND('Data Source'!B716&lt;&gt;"",'Data Source'!S716="F"),IF('Data Source'!AA716&gt;=5,"A+",IF('Data Source'!AA716&gt;=4,"A",IF('Data Source'!AA716&gt;=3.5,"A-",IF('Data Source'!AA716&gt;=3,"B",IF('Data Source'!AA716&gt;=2,"C",IF('Data Source'!AA716&gt;=1,"D","F")))))),"")</f>
        <v/>
      </c>
      <c r="J716" s="3">
        <f>IF(AND('Data Source'!B716&lt;&gt;"",'Data Source'!S716="F"),IF('Data Source'!AB716&gt;=5,"A+",IF('Data Source'!AB716&gt;=4,"A",IF('Data Source'!AB716&gt;=3.5,"A-",IF('Data Source'!AB716&gt;=3,"B",IF('Data Source'!AB716&gt;=2,"C",IF('Data Source'!AB716&gt;=1,"D","F")))))),"")</f>
        <v/>
      </c>
      <c r="K716" s="3">
        <f>IF(AND('Data Source'!B716&lt;&gt;"",'Data Source'!S716="F"),IF('Data Source'!AC716&gt;=5,"A+",IF('Data Source'!AC716&gt;=4,"A",IF('Data Source'!AC716&gt;=3.5,"A-",IF('Data Source'!AC716&gt;=3,"B",IF('Data Source'!AC716&gt;=2,"C",IF('Data Source'!AC716&gt;=1,"D","F")))))),"")</f>
        <v/>
      </c>
      <c r="L716" s="3">
        <f>IF(AND('Data Source'!B716&lt;&gt;"",'Data Source'!S716="F"),IF('Data Source'!AD716&gt;=5,"A+",IF('Data Source'!AD716&gt;=4,"A",IF('Data Source'!AD716&gt;=3.5,"A-",IF('Data Source'!AD716&gt;=3,"B",IF('Data Source'!AD716&gt;=2,"C",IF('Data Source'!AD716&gt;=1,"D","F")))))),"")</f>
        <v/>
      </c>
      <c r="M716" s="3">
        <f>IF(AND('Data Source'!B716&lt;&gt;"",'Data Source'!S716="F"),IF('Data Source'!AE716&gt;=5,"A+",IF('Data Source'!AE716&gt;=4,"A",IF('Data Source'!AE716&gt;=3.5,"A-",IF('Data Source'!AE716&gt;=3,"B",IF('Data Source'!AE716&gt;=2,"C",IF('Data Source'!AE716&gt;=1,"D","F")))))),"")</f>
        <v/>
      </c>
      <c r="N716" s="3">
        <f>IF(AND('Data Source'!B716&lt;&gt;"",'Data Source'!S716="F"),IF('Data Source'!AF716&gt;=5,"A+",IF('Data Source'!AF716&gt;=4,"A",IF('Data Source'!AF716&gt;=3.5,"A-",IF('Data Source'!AF716&gt;=3,"B",IF('Data Source'!AF716&gt;=2,"C",IF('Data Source'!AF716&gt;=1,"D","F")))))),"")</f>
        <v/>
      </c>
      <c r="O716" s="3">
        <f>IF(AND('Data Source'!B716&lt;&gt;"",'Data Source'!S716="F"),IF('Data Source'!AG716&gt;=5,"A+",IF('Data Source'!AG716&gt;=4,"A",IF('Data Source'!AG716&gt;=3.5,"A-",IF('Data Source'!AG716&gt;=3,"B",IF('Data Source'!AG716&gt;=2,"C",IF('Data Source'!AG716&gt;=1,"D","F")))))),"")</f>
        <v/>
      </c>
      <c r="P716" s="5">
        <f>IF(AND('Data Source'!B716&lt;&gt;"",'Data Source'!S716="F"),'Data Source'!R716,"")</f>
        <v/>
      </c>
      <c r="Q716" s="3">
        <f>IF(AND('Data Source'!B716&lt;&gt;"",'Data Source'!S716="F"),'Data Source'!S716,"")</f>
        <v/>
      </c>
    </row>
    <row r="717">
      <c r="A717" s="3">
        <f>IF(AND('Data Source'!B717&lt;&gt;"",'Data Source'!S717="F"),COUNTIF('Data Source'!$S$3:S717,"F"),"")</f>
        <v/>
      </c>
      <c r="B717">
        <f>IF(AND('Data Source'!B717&lt;&gt;"",'Data Source'!S717="F"),'Data Source'!B717,"")</f>
        <v/>
      </c>
      <c r="C717" s="3">
        <f>IF(AND('Data Source'!B717&lt;&gt;"",'Data Source'!S717="F"),IF('Data Source'!U717&gt;=5,"A+",IF('Data Source'!U717&gt;=4,"A",IF('Data Source'!U717&gt;=3.5,"A-",IF('Data Source'!U717&gt;=3,"B",IF('Data Source'!U717&gt;=2,"C",IF('Data Source'!U717&gt;=1,"D","F")))))),"")</f>
        <v/>
      </c>
      <c r="D717" s="3">
        <f>IF(AND('Data Source'!B717&lt;&gt;"",'Data Source'!S717="F"),IF('Data Source'!V717&gt;=5,"A+",IF('Data Source'!V717&gt;=4,"A",IF('Data Source'!V717&gt;=3.5,"A-",IF('Data Source'!V717&gt;=3,"B",IF('Data Source'!V717&gt;=2,"C",IF('Data Source'!V717&gt;=1,"D","F")))))),"")</f>
        <v/>
      </c>
      <c r="E717" s="3">
        <f>IF(AND('Data Source'!B717&lt;&gt;"",'Data Source'!S717="F"),IF('Data Source'!W717&gt;=5,"A+",IF('Data Source'!W717&gt;=4,"A",IF('Data Source'!W717&gt;=3.5,"A-",IF('Data Source'!W717&gt;=3,"B",IF('Data Source'!W717&gt;=2,"C",IF('Data Source'!W717&gt;=1,"D","F")))))),"")</f>
        <v/>
      </c>
      <c r="F717" s="3">
        <f>IF(AND('Data Source'!B717&lt;&gt;"",'Data Source'!S717="F"),IF('Data Source'!X717&gt;=5,"A+",IF('Data Source'!X717&gt;=4,"A",IF('Data Source'!X717&gt;=3.5,"A-",IF('Data Source'!X717&gt;=3,"B",IF('Data Source'!X717&gt;=2,"C",IF('Data Source'!X717&gt;=1,"D","F")))))),"")</f>
        <v/>
      </c>
      <c r="G717" s="3">
        <f>IF(AND('Data Source'!B717&lt;&gt;"",'Data Source'!S717="F"),IF('Data Source'!Y717&gt;=5,"A+",IF('Data Source'!Y717&gt;=4,"A",IF('Data Source'!Y717&gt;=3.5,"A-",IF('Data Source'!Y717&gt;=3,"B",IF('Data Source'!Y717&gt;=2,"C",IF('Data Source'!Y717&gt;=1,"D","F")))))),"")</f>
        <v/>
      </c>
      <c r="H717" s="3">
        <f>IF(AND('Data Source'!B717&lt;&gt;"",'Data Source'!S717="F"),IF('Data Source'!Z717&gt;=5,"A+",IF('Data Source'!Z717&gt;=4,"A",IF('Data Source'!Z717&gt;=3.5,"A-",IF('Data Source'!Z717&gt;=3,"B",IF('Data Source'!Z717&gt;=2,"C",IF('Data Source'!Z717&gt;=1,"D","F")))))),"")</f>
        <v/>
      </c>
      <c r="I717" s="3">
        <f>IF(AND('Data Source'!B717&lt;&gt;"",'Data Source'!S717="F"),IF('Data Source'!AA717&gt;=5,"A+",IF('Data Source'!AA717&gt;=4,"A",IF('Data Source'!AA717&gt;=3.5,"A-",IF('Data Source'!AA717&gt;=3,"B",IF('Data Source'!AA717&gt;=2,"C",IF('Data Source'!AA717&gt;=1,"D","F")))))),"")</f>
        <v/>
      </c>
      <c r="J717" s="3">
        <f>IF(AND('Data Source'!B717&lt;&gt;"",'Data Source'!S717="F"),IF('Data Source'!AB717&gt;=5,"A+",IF('Data Source'!AB717&gt;=4,"A",IF('Data Source'!AB717&gt;=3.5,"A-",IF('Data Source'!AB717&gt;=3,"B",IF('Data Source'!AB717&gt;=2,"C",IF('Data Source'!AB717&gt;=1,"D","F")))))),"")</f>
        <v/>
      </c>
      <c r="K717" s="3">
        <f>IF(AND('Data Source'!B717&lt;&gt;"",'Data Source'!S717="F"),IF('Data Source'!AC717&gt;=5,"A+",IF('Data Source'!AC717&gt;=4,"A",IF('Data Source'!AC717&gt;=3.5,"A-",IF('Data Source'!AC717&gt;=3,"B",IF('Data Source'!AC717&gt;=2,"C",IF('Data Source'!AC717&gt;=1,"D","F")))))),"")</f>
        <v/>
      </c>
      <c r="L717" s="3">
        <f>IF(AND('Data Source'!B717&lt;&gt;"",'Data Source'!S717="F"),IF('Data Source'!AD717&gt;=5,"A+",IF('Data Source'!AD717&gt;=4,"A",IF('Data Source'!AD717&gt;=3.5,"A-",IF('Data Source'!AD717&gt;=3,"B",IF('Data Source'!AD717&gt;=2,"C",IF('Data Source'!AD717&gt;=1,"D","F")))))),"")</f>
        <v/>
      </c>
      <c r="M717" s="3">
        <f>IF(AND('Data Source'!B717&lt;&gt;"",'Data Source'!S717="F"),IF('Data Source'!AE717&gt;=5,"A+",IF('Data Source'!AE717&gt;=4,"A",IF('Data Source'!AE717&gt;=3.5,"A-",IF('Data Source'!AE717&gt;=3,"B",IF('Data Source'!AE717&gt;=2,"C",IF('Data Source'!AE717&gt;=1,"D","F")))))),"")</f>
        <v/>
      </c>
      <c r="N717" s="3">
        <f>IF(AND('Data Source'!B717&lt;&gt;"",'Data Source'!S717="F"),IF('Data Source'!AF717&gt;=5,"A+",IF('Data Source'!AF717&gt;=4,"A",IF('Data Source'!AF717&gt;=3.5,"A-",IF('Data Source'!AF717&gt;=3,"B",IF('Data Source'!AF717&gt;=2,"C",IF('Data Source'!AF717&gt;=1,"D","F")))))),"")</f>
        <v/>
      </c>
      <c r="O717" s="3">
        <f>IF(AND('Data Source'!B717&lt;&gt;"",'Data Source'!S717="F"),IF('Data Source'!AG717&gt;=5,"A+",IF('Data Source'!AG717&gt;=4,"A",IF('Data Source'!AG717&gt;=3.5,"A-",IF('Data Source'!AG717&gt;=3,"B",IF('Data Source'!AG717&gt;=2,"C",IF('Data Source'!AG717&gt;=1,"D","F")))))),"")</f>
        <v/>
      </c>
      <c r="P717" s="5">
        <f>IF(AND('Data Source'!B717&lt;&gt;"",'Data Source'!S717="F"),'Data Source'!R717,"")</f>
        <v/>
      </c>
      <c r="Q717" s="3">
        <f>IF(AND('Data Source'!B717&lt;&gt;"",'Data Source'!S717="F"),'Data Source'!S717,"")</f>
        <v/>
      </c>
    </row>
    <row r="718">
      <c r="A718" s="3">
        <f>IF(AND('Data Source'!B718&lt;&gt;"",'Data Source'!S718="F"),COUNTIF('Data Source'!$S$3:S718,"F"),"")</f>
        <v/>
      </c>
      <c r="B718">
        <f>IF(AND('Data Source'!B718&lt;&gt;"",'Data Source'!S718="F"),'Data Source'!B718,"")</f>
        <v/>
      </c>
      <c r="C718" s="3">
        <f>IF(AND('Data Source'!B718&lt;&gt;"",'Data Source'!S718="F"),IF('Data Source'!U718&gt;=5,"A+",IF('Data Source'!U718&gt;=4,"A",IF('Data Source'!U718&gt;=3.5,"A-",IF('Data Source'!U718&gt;=3,"B",IF('Data Source'!U718&gt;=2,"C",IF('Data Source'!U718&gt;=1,"D","F")))))),"")</f>
        <v/>
      </c>
      <c r="D718" s="3">
        <f>IF(AND('Data Source'!B718&lt;&gt;"",'Data Source'!S718="F"),IF('Data Source'!V718&gt;=5,"A+",IF('Data Source'!V718&gt;=4,"A",IF('Data Source'!V718&gt;=3.5,"A-",IF('Data Source'!V718&gt;=3,"B",IF('Data Source'!V718&gt;=2,"C",IF('Data Source'!V718&gt;=1,"D","F")))))),"")</f>
        <v/>
      </c>
      <c r="E718" s="3">
        <f>IF(AND('Data Source'!B718&lt;&gt;"",'Data Source'!S718="F"),IF('Data Source'!W718&gt;=5,"A+",IF('Data Source'!W718&gt;=4,"A",IF('Data Source'!W718&gt;=3.5,"A-",IF('Data Source'!W718&gt;=3,"B",IF('Data Source'!W718&gt;=2,"C",IF('Data Source'!W718&gt;=1,"D","F")))))),"")</f>
        <v/>
      </c>
      <c r="F718" s="3">
        <f>IF(AND('Data Source'!B718&lt;&gt;"",'Data Source'!S718="F"),IF('Data Source'!X718&gt;=5,"A+",IF('Data Source'!X718&gt;=4,"A",IF('Data Source'!X718&gt;=3.5,"A-",IF('Data Source'!X718&gt;=3,"B",IF('Data Source'!X718&gt;=2,"C",IF('Data Source'!X718&gt;=1,"D","F")))))),"")</f>
        <v/>
      </c>
      <c r="G718" s="3">
        <f>IF(AND('Data Source'!B718&lt;&gt;"",'Data Source'!S718="F"),IF('Data Source'!Y718&gt;=5,"A+",IF('Data Source'!Y718&gt;=4,"A",IF('Data Source'!Y718&gt;=3.5,"A-",IF('Data Source'!Y718&gt;=3,"B",IF('Data Source'!Y718&gt;=2,"C",IF('Data Source'!Y718&gt;=1,"D","F")))))),"")</f>
        <v/>
      </c>
      <c r="H718" s="3">
        <f>IF(AND('Data Source'!B718&lt;&gt;"",'Data Source'!S718="F"),IF('Data Source'!Z718&gt;=5,"A+",IF('Data Source'!Z718&gt;=4,"A",IF('Data Source'!Z718&gt;=3.5,"A-",IF('Data Source'!Z718&gt;=3,"B",IF('Data Source'!Z718&gt;=2,"C",IF('Data Source'!Z718&gt;=1,"D","F")))))),"")</f>
        <v/>
      </c>
      <c r="I718" s="3">
        <f>IF(AND('Data Source'!B718&lt;&gt;"",'Data Source'!S718="F"),IF('Data Source'!AA718&gt;=5,"A+",IF('Data Source'!AA718&gt;=4,"A",IF('Data Source'!AA718&gt;=3.5,"A-",IF('Data Source'!AA718&gt;=3,"B",IF('Data Source'!AA718&gt;=2,"C",IF('Data Source'!AA718&gt;=1,"D","F")))))),"")</f>
        <v/>
      </c>
      <c r="J718" s="3">
        <f>IF(AND('Data Source'!B718&lt;&gt;"",'Data Source'!S718="F"),IF('Data Source'!AB718&gt;=5,"A+",IF('Data Source'!AB718&gt;=4,"A",IF('Data Source'!AB718&gt;=3.5,"A-",IF('Data Source'!AB718&gt;=3,"B",IF('Data Source'!AB718&gt;=2,"C",IF('Data Source'!AB718&gt;=1,"D","F")))))),"")</f>
        <v/>
      </c>
      <c r="K718" s="3">
        <f>IF(AND('Data Source'!B718&lt;&gt;"",'Data Source'!S718="F"),IF('Data Source'!AC718&gt;=5,"A+",IF('Data Source'!AC718&gt;=4,"A",IF('Data Source'!AC718&gt;=3.5,"A-",IF('Data Source'!AC718&gt;=3,"B",IF('Data Source'!AC718&gt;=2,"C",IF('Data Source'!AC718&gt;=1,"D","F")))))),"")</f>
        <v/>
      </c>
      <c r="L718" s="3">
        <f>IF(AND('Data Source'!B718&lt;&gt;"",'Data Source'!S718="F"),IF('Data Source'!AD718&gt;=5,"A+",IF('Data Source'!AD718&gt;=4,"A",IF('Data Source'!AD718&gt;=3.5,"A-",IF('Data Source'!AD718&gt;=3,"B",IF('Data Source'!AD718&gt;=2,"C",IF('Data Source'!AD718&gt;=1,"D","F")))))),"")</f>
        <v/>
      </c>
      <c r="M718" s="3">
        <f>IF(AND('Data Source'!B718&lt;&gt;"",'Data Source'!S718="F"),IF('Data Source'!AE718&gt;=5,"A+",IF('Data Source'!AE718&gt;=4,"A",IF('Data Source'!AE718&gt;=3.5,"A-",IF('Data Source'!AE718&gt;=3,"B",IF('Data Source'!AE718&gt;=2,"C",IF('Data Source'!AE718&gt;=1,"D","F")))))),"")</f>
        <v/>
      </c>
      <c r="N718" s="3">
        <f>IF(AND('Data Source'!B718&lt;&gt;"",'Data Source'!S718="F"),IF('Data Source'!AF718&gt;=5,"A+",IF('Data Source'!AF718&gt;=4,"A",IF('Data Source'!AF718&gt;=3.5,"A-",IF('Data Source'!AF718&gt;=3,"B",IF('Data Source'!AF718&gt;=2,"C",IF('Data Source'!AF718&gt;=1,"D","F")))))),"")</f>
        <v/>
      </c>
      <c r="O718" s="3">
        <f>IF(AND('Data Source'!B718&lt;&gt;"",'Data Source'!S718="F"),IF('Data Source'!AG718&gt;=5,"A+",IF('Data Source'!AG718&gt;=4,"A",IF('Data Source'!AG718&gt;=3.5,"A-",IF('Data Source'!AG718&gt;=3,"B",IF('Data Source'!AG718&gt;=2,"C",IF('Data Source'!AG718&gt;=1,"D","F")))))),"")</f>
        <v/>
      </c>
      <c r="P718" s="5">
        <f>IF(AND('Data Source'!B718&lt;&gt;"",'Data Source'!S718="F"),'Data Source'!R718,"")</f>
        <v/>
      </c>
      <c r="Q718" s="3">
        <f>IF(AND('Data Source'!B718&lt;&gt;"",'Data Source'!S718="F"),'Data Source'!S718,"")</f>
        <v/>
      </c>
    </row>
    <row r="719">
      <c r="A719" s="3">
        <f>IF(AND('Data Source'!B719&lt;&gt;"",'Data Source'!S719="F"),COUNTIF('Data Source'!$S$3:S719,"F"),"")</f>
        <v/>
      </c>
      <c r="B719">
        <f>IF(AND('Data Source'!B719&lt;&gt;"",'Data Source'!S719="F"),'Data Source'!B719,"")</f>
        <v/>
      </c>
      <c r="C719" s="3">
        <f>IF(AND('Data Source'!B719&lt;&gt;"",'Data Source'!S719="F"),IF('Data Source'!U719&gt;=5,"A+",IF('Data Source'!U719&gt;=4,"A",IF('Data Source'!U719&gt;=3.5,"A-",IF('Data Source'!U719&gt;=3,"B",IF('Data Source'!U719&gt;=2,"C",IF('Data Source'!U719&gt;=1,"D","F")))))),"")</f>
        <v/>
      </c>
      <c r="D719" s="3">
        <f>IF(AND('Data Source'!B719&lt;&gt;"",'Data Source'!S719="F"),IF('Data Source'!V719&gt;=5,"A+",IF('Data Source'!V719&gt;=4,"A",IF('Data Source'!V719&gt;=3.5,"A-",IF('Data Source'!V719&gt;=3,"B",IF('Data Source'!V719&gt;=2,"C",IF('Data Source'!V719&gt;=1,"D","F")))))),"")</f>
        <v/>
      </c>
      <c r="E719" s="3">
        <f>IF(AND('Data Source'!B719&lt;&gt;"",'Data Source'!S719="F"),IF('Data Source'!W719&gt;=5,"A+",IF('Data Source'!W719&gt;=4,"A",IF('Data Source'!W719&gt;=3.5,"A-",IF('Data Source'!W719&gt;=3,"B",IF('Data Source'!W719&gt;=2,"C",IF('Data Source'!W719&gt;=1,"D","F")))))),"")</f>
        <v/>
      </c>
      <c r="F719" s="3">
        <f>IF(AND('Data Source'!B719&lt;&gt;"",'Data Source'!S719="F"),IF('Data Source'!X719&gt;=5,"A+",IF('Data Source'!X719&gt;=4,"A",IF('Data Source'!X719&gt;=3.5,"A-",IF('Data Source'!X719&gt;=3,"B",IF('Data Source'!X719&gt;=2,"C",IF('Data Source'!X719&gt;=1,"D","F")))))),"")</f>
        <v/>
      </c>
      <c r="G719" s="3">
        <f>IF(AND('Data Source'!B719&lt;&gt;"",'Data Source'!S719="F"),IF('Data Source'!Y719&gt;=5,"A+",IF('Data Source'!Y719&gt;=4,"A",IF('Data Source'!Y719&gt;=3.5,"A-",IF('Data Source'!Y719&gt;=3,"B",IF('Data Source'!Y719&gt;=2,"C",IF('Data Source'!Y719&gt;=1,"D","F")))))),"")</f>
        <v/>
      </c>
      <c r="H719" s="3">
        <f>IF(AND('Data Source'!B719&lt;&gt;"",'Data Source'!S719="F"),IF('Data Source'!Z719&gt;=5,"A+",IF('Data Source'!Z719&gt;=4,"A",IF('Data Source'!Z719&gt;=3.5,"A-",IF('Data Source'!Z719&gt;=3,"B",IF('Data Source'!Z719&gt;=2,"C",IF('Data Source'!Z719&gt;=1,"D","F")))))),"")</f>
        <v/>
      </c>
      <c r="I719" s="3">
        <f>IF(AND('Data Source'!B719&lt;&gt;"",'Data Source'!S719="F"),IF('Data Source'!AA719&gt;=5,"A+",IF('Data Source'!AA719&gt;=4,"A",IF('Data Source'!AA719&gt;=3.5,"A-",IF('Data Source'!AA719&gt;=3,"B",IF('Data Source'!AA719&gt;=2,"C",IF('Data Source'!AA719&gt;=1,"D","F")))))),"")</f>
        <v/>
      </c>
      <c r="J719" s="3">
        <f>IF(AND('Data Source'!B719&lt;&gt;"",'Data Source'!S719="F"),IF('Data Source'!AB719&gt;=5,"A+",IF('Data Source'!AB719&gt;=4,"A",IF('Data Source'!AB719&gt;=3.5,"A-",IF('Data Source'!AB719&gt;=3,"B",IF('Data Source'!AB719&gt;=2,"C",IF('Data Source'!AB719&gt;=1,"D","F")))))),"")</f>
        <v/>
      </c>
      <c r="K719" s="3">
        <f>IF(AND('Data Source'!B719&lt;&gt;"",'Data Source'!S719="F"),IF('Data Source'!AC719&gt;=5,"A+",IF('Data Source'!AC719&gt;=4,"A",IF('Data Source'!AC719&gt;=3.5,"A-",IF('Data Source'!AC719&gt;=3,"B",IF('Data Source'!AC719&gt;=2,"C",IF('Data Source'!AC719&gt;=1,"D","F")))))),"")</f>
        <v/>
      </c>
      <c r="L719" s="3">
        <f>IF(AND('Data Source'!B719&lt;&gt;"",'Data Source'!S719="F"),IF('Data Source'!AD719&gt;=5,"A+",IF('Data Source'!AD719&gt;=4,"A",IF('Data Source'!AD719&gt;=3.5,"A-",IF('Data Source'!AD719&gt;=3,"B",IF('Data Source'!AD719&gt;=2,"C",IF('Data Source'!AD719&gt;=1,"D","F")))))),"")</f>
        <v/>
      </c>
      <c r="M719" s="3">
        <f>IF(AND('Data Source'!B719&lt;&gt;"",'Data Source'!S719="F"),IF('Data Source'!AE719&gt;=5,"A+",IF('Data Source'!AE719&gt;=4,"A",IF('Data Source'!AE719&gt;=3.5,"A-",IF('Data Source'!AE719&gt;=3,"B",IF('Data Source'!AE719&gt;=2,"C",IF('Data Source'!AE719&gt;=1,"D","F")))))),"")</f>
        <v/>
      </c>
      <c r="N719" s="3">
        <f>IF(AND('Data Source'!B719&lt;&gt;"",'Data Source'!S719="F"),IF('Data Source'!AF719&gt;=5,"A+",IF('Data Source'!AF719&gt;=4,"A",IF('Data Source'!AF719&gt;=3.5,"A-",IF('Data Source'!AF719&gt;=3,"B",IF('Data Source'!AF719&gt;=2,"C",IF('Data Source'!AF719&gt;=1,"D","F")))))),"")</f>
        <v/>
      </c>
      <c r="O719" s="3">
        <f>IF(AND('Data Source'!B719&lt;&gt;"",'Data Source'!S719="F"),IF('Data Source'!AG719&gt;=5,"A+",IF('Data Source'!AG719&gt;=4,"A",IF('Data Source'!AG719&gt;=3.5,"A-",IF('Data Source'!AG719&gt;=3,"B",IF('Data Source'!AG719&gt;=2,"C",IF('Data Source'!AG719&gt;=1,"D","F")))))),"")</f>
        <v/>
      </c>
      <c r="P719" s="5">
        <f>IF(AND('Data Source'!B719&lt;&gt;"",'Data Source'!S719="F"),'Data Source'!R719,"")</f>
        <v/>
      </c>
      <c r="Q719" s="3">
        <f>IF(AND('Data Source'!B719&lt;&gt;"",'Data Source'!S719="F"),'Data Source'!S719,"")</f>
        <v/>
      </c>
    </row>
    <row r="720">
      <c r="A720" s="3">
        <f>IF(AND('Data Source'!B720&lt;&gt;"",'Data Source'!S720="F"),COUNTIF('Data Source'!$S$3:S720,"F"),"")</f>
        <v/>
      </c>
      <c r="B720">
        <f>IF(AND('Data Source'!B720&lt;&gt;"",'Data Source'!S720="F"),'Data Source'!B720,"")</f>
        <v/>
      </c>
      <c r="C720" s="3">
        <f>IF(AND('Data Source'!B720&lt;&gt;"",'Data Source'!S720="F"),IF('Data Source'!U720&gt;=5,"A+",IF('Data Source'!U720&gt;=4,"A",IF('Data Source'!U720&gt;=3.5,"A-",IF('Data Source'!U720&gt;=3,"B",IF('Data Source'!U720&gt;=2,"C",IF('Data Source'!U720&gt;=1,"D","F")))))),"")</f>
        <v/>
      </c>
      <c r="D720" s="3">
        <f>IF(AND('Data Source'!B720&lt;&gt;"",'Data Source'!S720="F"),IF('Data Source'!V720&gt;=5,"A+",IF('Data Source'!V720&gt;=4,"A",IF('Data Source'!V720&gt;=3.5,"A-",IF('Data Source'!V720&gt;=3,"B",IF('Data Source'!V720&gt;=2,"C",IF('Data Source'!V720&gt;=1,"D","F")))))),"")</f>
        <v/>
      </c>
      <c r="E720" s="3">
        <f>IF(AND('Data Source'!B720&lt;&gt;"",'Data Source'!S720="F"),IF('Data Source'!W720&gt;=5,"A+",IF('Data Source'!W720&gt;=4,"A",IF('Data Source'!W720&gt;=3.5,"A-",IF('Data Source'!W720&gt;=3,"B",IF('Data Source'!W720&gt;=2,"C",IF('Data Source'!W720&gt;=1,"D","F")))))),"")</f>
        <v/>
      </c>
      <c r="F720" s="3">
        <f>IF(AND('Data Source'!B720&lt;&gt;"",'Data Source'!S720="F"),IF('Data Source'!X720&gt;=5,"A+",IF('Data Source'!X720&gt;=4,"A",IF('Data Source'!X720&gt;=3.5,"A-",IF('Data Source'!X720&gt;=3,"B",IF('Data Source'!X720&gt;=2,"C",IF('Data Source'!X720&gt;=1,"D","F")))))),"")</f>
        <v/>
      </c>
      <c r="G720" s="3">
        <f>IF(AND('Data Source'!B720&lt;&gt;"",'Data Source'!S720="F"),IF('Data Source'!Y720&gt;=5,"A+",IF('Data Source'!Y720&gt;=4,"A",IF('Data Source'!Y720&gt;=3.5,"A-",IF('Data Source'!Y720&gt;=3,"B",IF('Data Source'!Y720&gt;=2,"C",IF('Data Source'!Y720&gt;=1,"D","F")))))),"")</f>
        <v/>
      </c>
      <c r="H720" s="3">
        <f>IF(AND('Data Source'!B720&lt;&gt;"",'Data Source'!S720="F"),IF('Data Source'!Z720&gt;=5,"A+",IF('Data Source'!Z720&gt;=4,"A",IF('Data Source'!Z720&gt;=3.5,"A-",IF('Data Source'!Z720&gt;=3,"B",IF('Data Source'!Z720&gt;=2,"C",IF('Data Source'!Z720&gt;=1,"D","F")))))),"")</f>
        <v/>
      </c>
      <c r="I720" s="3">
        <f>IF(AND('Data Source'!B720&lt;&gt;"",'Data Source'!S720="F"),IF('Data Source'!AA720&gt;=5,"A+",IF('Data Source'!AA720&gt;=4,"A",IF('Data Source'!AA720&gt;=3.5,"A-",IF('Data Source'!AA720&gt;=3,"B",IF('Data Source'!AA720&gt;=2,"C",IF('Data Source'!AA720&gt;=1,"D","F")))))),"")</f>
        <v/>
      </c>
      <c r="J720" s="3">
        <f>IF(AND('Data Source'!B720&lt;&gt;"",'Data Source'!S720="F"),IF('Data Source'!AB720&gt;=5,"A+",IF('Data Source'!AB720&gt;=4,"A",IF('Data Source'!AB720&gt;=3.5,"A-",IF('Data Source'!AB720&gt;=3,"B",IF('Data Source'!AB720&gt;=2,"C",IF('Data Source'!AB720&gt;=1,"D","F")))))),"")</f>
        <v/>
      </c>
      <c r="K720" s="3">
        <f>IF(AND('Data Source'!B720&lt;&gt;"",'Data Source'!S720="F"),IF('Data Source'!AC720&gt;=5,"A+",IF('Data Source'!AC720&gt;=4,"A",IF('Data Source'!AC720&gt;=3.5,"A-",IF('Data Source'!AC720&gt;=3,"B",IF('Data Source'!AC720&gt;=2,"C",IF('Data Source'!AC720&gt;=1,"D","F")))))),"")</f>
        <v/>
      </c>
      <c r="L720" s="3">
        <f>IF(AND('Data Source'!B720&lt;&gt;"",'Data Source'!S720="F"),IF('Data Source'!AD720&gt;=5,"A+",IF('Data Source'!AD720&gt;=4,"A",IF('Data Source'!AD720&gt;=3.5,"A-",IF('Data Source'!AD720&gt;=3,"B",IF('Data Source'!AD720&gt;=2,"C",IF('Data Source'!AD720&gt;=1,"D","F")))))),"")</f>
        <v/>
      </c>
      <c r="M720" s="3">
        <f>IF(AND('Data Source'!B720&lt;&gt;"",'Data Source'!S720="F"),IF('Data Source'!AE720&gt;=5,"A+",IF('Data Source'!AE720&gt;=4,"A",IF('Data Source'!AE720&gt;=3.5,"A-",IF('Data Source'!AE720&gt;=3,"B",IF('Data Source'!AE720&gt;=2,"C",IF('Data Source'!AE720&gt;=1,"D","F")))))),"")</f>
        <v/>
      </c>
      <c r="N720" s="3">
        <f>IF(AND('Data Source'!B720&lt;&gt;"",'Data Source'!S720="F"),IF('Data Source'!AF720&gt;=5,"A+",IF('Data Source'!AF720&gt;=4,"A",IF('Data Source'!AF720&gt;=3.5,"A-",IF('Data Source'!AF720&gt;=3,"B",IF('Data Source'!AF720&gt;=2,"C",IF('Data Source'!AF720&gt;=1,"D","F")))))),"")</f>
        <v/>
      </c>
      <c r="O720" s="3">
        <f>IF(AND('Data Source'!B720&lt;&gt;"",'Data Source'!S720="F"),IF('Data Source'!AG720&gt;=5,"A+",IF('Data Source'!AG720&gt;=4,"A",IF('Data Source'!AG720&gt;=3.5,"A-",IF('Data Source'!AG720&gt;=3,"B",IF('Data Source'!AG720&gt;=2,"C",IF('Data Source'!AG720&gt;=1,"D","F")))))),"")</f>
        <v/>
      </c>
      <c r="P720" s="5">
        <f>IF(AND('Data Source'!B720&lt;&gt;"",'Data Source'!S720="F"),'Data Source'!R720,"")</f>
        <v/>
      </c>
      <c r="Q720" s="3">
        <f>IF(AND('Data Source'!B720&lt;&gt;"",'Data Source'!S720="F"),'Data Source'!S720,"")</f>
        <v/>
      </c>
    </row>
    <row r="721">
      <c r="A721" s="3">
        <f>IF(AND('Data Source'!B721&lt;&gt;"",'Data Source'!S721="F"),COUNTIF('Data Source'!$S$3:S721,"F"),"")</f>
        <v/>
      </c>
      <c r="B721">
        <f>IF(AND('Data Source'!B721&lt;&gt;"",'Data Source'!S721="F"),'Data Source'!B721,"")</f>
        <v/>
      </c>
      <c r="C721" s="3">
        <f>IF(AND('Data Source'!B721&lt;&gt;"",'Data Source'!S721="F"),IF('Data Source'!U721&gt;=5,"A+",IF('Data Source'!U721&gt;=4,"A",IF('Data Source'!U721&gt;=3.5,"A-",IF('Data Source'!U721&gt;=3,"B",IF('Data Source'!U721&gt;=2,"C",IF('Data Source'!U721&gt;=1,"D","F")))))),"")</f>
        <v/>
      </c>
      <c r="D721" s="3">
        <f>IF(AND('Data Source'!B721&lt;&gt;"",'Data Source'!S721="F"),IF('Data Source'!V721&gt;=5,"A+",IF('Data Source'!V721&gt;=4,"A",IF('Data Source'!V721&gt;=3.5,"A-",IF('Data Source'!V721&gt;=3,"B",IF('Data Source'!V721&gt;=2,"C",IF('Data Source'!V721&gt;=1,"D","F")))))),"")</f>
        <v/>
      </c>
      <c r="E721" s="3">
        <f>IF(AND('Data Source'!B721&lt;&gt;"",'Data Source'!S721="F"),IF('Data Source'!W721&gt;=5,"A+",IF('Data Source'!W721&gt;=4,"A",IF('Data Source'!W721&gt;=3.5,"A-",IF('Data Source'!W721&gt;=3,"B",IF('Data Source'!W721&gt;=2,"C",IF('Data Source'!W721&gt;=1,"D","F")))))),"")</f>
        <v/>
      </c>
      <c r="F721" s="3">
        <f>IF(AND('Data Source'!B721&lt;&gt;"",'Data Source'!S721="F"),IF('Data Source'!X721&gt;=5,"A+",IF('Data Source'!X721&gt;=4,"A",IF('Data Source'!X721&gt;=3.5,"A-",IF('Data Source'!X721&gt;=3,"B",IF('Data Source'!X721&gt;=2,"C",IF('Data Source'!X721&gt;=1,"D","F")))))),"")</f>
        <v/>
      </c>
      <c r="G721" s="3">
        <f>IF(AND('Data Source'!B721&lt;&gt;"",'Data Source'!S721="F"),IF('Data Source'!Y721&gt;=5,"A+",IF('Data Source'!Y721&gt;=4,"A",IF('Data Source'!Y721&gt;=3.5,"A-",IF('Data Source'!Y721&gt;=3,"B",IF('Data Source'!Y721&gt;=2,"C",IF('Data Source'!Y721&gt;=1,"D","F")))))),"")</f>
        <v/>
      </c>
      <c r="H721" s="3">
        <f>IF(AND('Data Source'!B721&lt;&gt;"",'Data Source'!S721="F"),IF('Data Source'!Z721&gt;=5,"A+",IF('Data Source'!Z721&gt;=4,"A",IF('Data Source'!Z721&gt;=3.5,"A-",IF('Data Source'!Z721&gt;=3,"B",IF('Data Source'!Z721&gt;=2,"C",IF('Data Source'!Z721&gt;=1,"D","F")))))),"")</f>
        <v/>
      </c>
      <c r="I721" s="3">
        <f>IF(AND('Data Source'!B721&lt;&gt;"",'Data Source'!S721="F"),IF('Data Source'!AA721&gt;=5,"A+",IF('Data Source'!AA721&gt;=4,"A",IF('Data Source'!AA721&gt;=3.5,"A-",IF('Data Source'!AA721&gt;=3,"B",IF('Data Source'!AA721&gt;=2,"C",IF('Data Source'!AA721&gt;=1,"D","F")))))),"")</f>
        <v/>
      </c>
      <c r="J721" s="3">
        <f>IF(AND('Data Source'!B721&lt;&gt;"",'Data Source'!S721="F"),IF('Data Source'!AB721&gt;=5,"A+",IF('Data Source'!AB721&gt;=4,"A",IF('Data Source'!AB721&gt;=3.5,"A-",IF('Data Source'!AB721&gt;=3,"B",IF('Data Source'!AB721&gt;=2,"C",IF('Data Source'!AB721&gt;=1,"D","F")))))),"")</f>
        <v/>
      </c>
      <c r="K721" s="3">
        <f>IF(AND('Data Source'!B721&lt;&gt;"",'Data Source'!S721="F"),IF('Data Source'!AC721&gt;=5,"A+",IF('Data Source'!AC721&gt;=4,"A",IF('Data Source'!AC721&gt;=3.5,"A-",IF('Data Source'!AC721&gt;=3,"B",IF('Data Source'!AC721&gt;=2,"C",IF('Data Source'!AC721&gt;=1,"D","F")))))),"")</f>
        <v/>
      </c>
      <c r="L721" s="3">
        <f>IF(AND('Data Source'!B721&lt;&gt;"",'Data Source'!S721="F"),IF('Data Source'!AD721&gt;=5,"A+",IF('Data Source'!AD721&gt;=4,"A",IF('Data Source'!AD721&gt;=3.5,"A-",IF('Data Source'!AD721&gt;=3,"B",IF('Data Source'!AD721&gt;=2,"C",IF('Data Source'!AD721&gt;=1,"D","F")))))),"")</f>
        <v/>
      </c>
      <c r="M721" s="3">
        <f>IF(AND('Data Source'!B721&lt;&gt;"",'Data Source'!S721="F"),IF('Data Source'!AE721&gt;=5,"A+",IF('Data Source'!AE721&gt;=4,"A",IF('Data Source'!AE721&gt;=3.5,"A-",IF('Data Source'!AE721&gt;=3,"B",IF('Data Source'!AE721&gt;=2,"C",IF('Data Source'!AE721&gt;=1,"D","F")))))),"")</f>
        <v/>
      </c>
      <c r="N721" s="3">
        <f>IF(AND('Data Source'!B721&lt;&gt;"",'Data Source'!S721="F"),IF('Data Source'!AF721&gt;=5,"A+",IF('Data Source'!AF721&gt;=4,"A",IF('Data Source'!AF721&gt;=3.5,"A-",IF('Data Source'!AF721&gt;=3,"B",IF('Data Source'!AF721&gt;=2,"C",IF('Data Source'!AF721&gt;=1,"D","F")))))),"")</f>
        <v/>
      </c>
      <c r="O721" s="3">
        <f>IF(AND('Data Source'!B721&lt;&gt;"",'Data Source'!S721="F"),IF('Data Source'!AG721&gt;=5,"A+",IF('Data Source'!AG721&gt;=4,"A",IF('Data Source'!AG721&gt;=3.5,"A-",IF('Data Source'!AG721&gt;=3,"B",IF('Data Source'!AG721&gt;=2,"C",IF('Data Source'!AG721&gt;=1,"D","F")))))),"")</f>
        <v/>
      </c>
      <c r="P721" s="5">
        <f>IF(AND('Data Source'!B721&lt;&gt;"",'Data Source'!S721="F"),'Data Source'!R721,"")</f>
        <v/>
      </c>
      <c r="Q721" s="3">
        <f>IF(AND('Data Source'!B721&lt;&gt;"",'Data Source'!S721="F"),'Data Source'!S721,"")</f>
        <v/>
      </c>
    </row>
    <row r="722">
      <c r="A722" s="3">
        <f>IF(AND('Data Source'!B722&lt;&gt;"",'Data Source'!S722="F"),COUNTIF('Data Source'!$S$3:S722,"F"),"")</f>
        <v/>
      </c>
      <c r="B722">
        <f>IF(AND('Data Source'!B722&lt;&gt;"",'Data Source'!S722="F"),'Data Source'!B722,"")</f>
        <v/>
      </c>
      <c r="C722" s="3">
        <f>IF(AND('Data Source'!B722&lt;&gt;"",'Data Source'!S722="F"),IF('Data Source'!U722&gt;=5,"A+",IF('Data Source'!U722&gt;=4,"A",IF('Data Source'!U722&gt;=3.5,"A-",IF('Data Source'!U722&gt;=3,"B",IF('Data Source'!U722&gt;=2,"C",IF('Data Source'!U722&gt;=1,"D","F")))))),"")</f>
        <v/>
      </c>
      <c r="D722" s="3">
        <f>IF(AND('Data Source'!B722&lt;&gt;"",'Data Source'!S722="F"),IF('Data Source'!V722&gt;=5,"A+",IF('Data Source'!V722&gt;=4,"A",IF('Data Source'!V722&gt;=3.5,"A-",IF('Data Source'!V722&gt;=3,"B",IF('Data Source'!V722&gt;=2,"C",IF('Data Source'!V722&gt;=1,"D","F")))))),"")</f>
        <v/>
      </c>
      <c r="E722" s="3">
        <f>IF(AND('Data Source'!B722&lt;&gt;"",'Data Source'!S722="F"),IF('Data Source'!W722&gt;=5,"A+",IF('Data Source'!W722&gt;=4,"A",IF('Data Source'!W722&gt;=3.5,"A-",IF('Data Source'!W722&gt;=3,"B",IF('Data Source'!W722&gt;=2,"C",IF('Data Source'!W722&gt;=1,"D","F")))))),"")</f>
        <v/>
      </c>
      <c r="F722" s="3">
        <f>IF(AND('Data Source'!B722&lt;&gt;"",'Data Source'!S722="F"),IF('Data Source'!X722&gt;=5,"A+",IF('Data Source'!X722&gt;=4,"A",IF('Data Source'!X722&gt;=3.5,"A-",IF('Data Source'!X722&gt;=3,"B",IF('Data Source'!X722&gt;=2,"C",IF('Data Source'!X722&gt;=1,"D","F")))))),"")</f>
        <v/>
      </c>
      <c r="G722" s="3">
        <f>IF(AND('Data Source'!B722&lt;&gt;"",'Data Source'!S722="F"),IF('Data Source'!Y722&gt;=5,"A+",IF('Data Source'!Y722&gt;=4,"A",IF('Data Source'!Y722&gt;=3.5,"A-",IF('Data Source'!Y722&gt;=3,"B",IF('Data Source'!Y722&gt;=2,"C",IF('Data Source'!Y722&gt;=1,"D","F")))))),"")</f>
        <v/>
      </c>
      <c r="H722" s="3">
        <f>IF(AND('Data Source'!B722&lt;&gt;"",'Data Source'!S722="F"),IF('Data Source'!Z722&gt;=5,"A+",IF('Data Source'!Z722&gt;=4,"A",IF('Data Source'!Z722&gt;=3.5,"A-",IF('Data Source'!Z722&gt;=3,"B",IF('Data Source'!Z722&gt;=2,"C",IF('Data Source'!Z722&gt;=1,"D","F")))))),"")</f>
        <v/>
      </c>
      <c r="I722" s="3">
        <f>IF(AND('Data Source'!B722&lt;&gt;"",'Data Source'!S722="F"),IF('Data Source'!AA722&gt;=5,"A+",IF('Data Source'!AA722&gt;=4,"A",IF('Data Source'!AA722&gt;=3.5,"A-",IF('Data Source'!AA722&gt;=3,"B",IF('Data Source'!AA722&gt;=2,"C",IF('Data Source'!AA722&gt;=1,"D","F")))))),"")</f>
        <v/>
      </c>
      <c r="J722" s="3">
        <f>IF(AND('Data Source'!B722&lt;&gt;"",'Data Source'!S722="F"),IF('Data Source'!AB722&gt;=5,"A+",IF('Data Source'!AB722&gt;=4,"A",IF('Data Source'!AB722&gt;=3.5,"A-",IF('Data Source'!AB722&gt;=3,"B",IF('Data Source'!AB722&gt;=2,"C",IF('Data Source'!AB722&gt;=1,"D","F")))))),"")</f>
        <v/>
      </c>
      <c r="K722" s="3">
        <f>IF(AND('Data Source'!B722&lt;&gt;"",'Data Source'!S722="F"),IF('Data Source'!AC722&gt;=5,"A+",IF('Data Source'!AC722&gt;=4,"A",IF('Data Source'!AC722&gt;=3.5,"A-",IF('Data Source'!AC722&gt;=3,"B",IF('Data Source'!AC722&gt;=2,"C",IF('Data Source'!AC722&gt;=1,"D","F")))))),"")</f>
        <v/>
      </c>
      <c r="L722" s="3">
        <f>IF(AND('Data Source'!B722&lt;&gt;"",'Data Source'!S722="F"),IF('Data Source'!AD722&gt;=5,"A+",IF('Data Source'!AD722&gt;=4,"A",IF('Data Source'!AD722&gt;=3.5,"A-",IF('Data Source'!AD722&gt;=3,"B",IF('Data Source'!AD722&gt;=2,"C",IF('Data Source'!AD722&gt;=1,"D","F")))))),"")</f>
        <v/>
      </c>
      <c r="M722" s="3">
        <f>IF(AND('Data Source'!B722&lt;&gt;"",'Data Source'!S722="F"),IF('Data Source'!AE722&gt;=5,"A+",IF('Data Source'!AE722&gt;=4,"A",IF('Data Source'!AE722&gt;=3.5,"A-",IF('Data Source'!AE722&gt;=3,"B",IF('Data Source'!AE722&gt;=2,"C",IF('Data Source'!AE722&gt;=1,"D","F")))))),"")</f>
        <v/>
      </c>
      <c r="N722" s="3">
        <f>IF(AND('Data Source'!B722&lt;&gt;"",'Data Source'!S722="F"),IF('Data Source'!AF722&gt;=5,"A+",IF('Data Source'!AF722&gt;=4,"A",IF('Data Source'!AF722&gt;=3.5,"A-",IF('Data Source'!AF722&gt;=3,"B",IF('Data Source'!AF722&gt;=2,"C",IF('Data Source'!AF722&gt;=1,"D","F")))))),"")</f>
        <v/>
      </c>
      <c r="O722" s="3">
        <f>IF(AND('Data Source'!B722&lt;&gt;"",'Data Source'!S722="F"),IF('Data Source'!AG722&gt;=5,"A+",IF('Data Source'!AG722&gt;=4,"A",IF('Data Source'!AG722&gt;=3.5,"A-",IF('Data Source'!AG722&gt;=3,"B",IF('Data Source'!AG722&gt;=2,"C",IF('Data Source'!AG722&gt;=1,"D","F")))))),"")</f>
        <v/>
      </c>
      <c r="P722" s="5">
        <f>IF(AND('Data Source'!B722&lt;&gt;"",'Data Source'!S722="F"),'Data Source'!R722,"")</f>
        <v/>
      </c>
      <c r="Q722" s="3">
        <f>IF(AND('Data Source'!B722&lt;&gt;"",'Data Source'!S722="F"),'Data Source'!S722,"")</f>
        <v/>
      </c>
    </row>
    <row r="723">
      <c r="A723" s="3">
        <f>IF(AND('Data Source'!B723&lt;&gt;"",'Data Source'!S723="F"),COUNTIF('Data Source'!$S$3:S723,"F"),"")</f>
        <v/>
      </c>
      <c r="B723">
        <f>IF(AND('Data Source'!B723&lt;&gt;"",'Data Source'!S723="F"),'Data Source'!B723,"")</f>
        <v/>
      </c>
      <c r="C723" s="3">
        <f>IF(AND('Data Source'!B723&lt;&gt;"",'Data Source'!S723="F"),IF('Data Source'!U723&gt;=5,"A+",IF('Data Source'!U723&gt;=4,"A",IF('Data Source'!U723&gt;=3.5,"A-",IF('Data Source'!U723&gt;=3,"B",IF('Data Source'!U723&gt;=2,"C",IF('Data Source'!U723&gt;=1,"D","F")))))),"")</f>
        <v/>
      </c>
      <c r="D723" s="3">
        <f>IF(AND('Data Source'!B723&lt;&gt;"",'Data Source'!S723="F"),IF('Data Source'!V723&gt;=5,"A+",IF('Data Source'!V723&gt;=4,"A",IF('Data Source'!V723&gt;=3.5,"A-",IF('Data Source'!V723&gt;=3,"B",IF('Data Source'!V723&gt;=2,"C",IF('Data Source'!V723&gt;=1,"D","F")))))),"")</f>
        <v/>
      </c>
      <c r="E723" s="3">
        <f>IF(AND('Data Source'!B723&lt;&gt;"",'Data Source'!S723="F"),IF('Data Source'!W723&gt;=5,"A+",IF('Data Source'!W723&gt;=4,"A",IF('Data Source'!W723&gt;=3.5,"A-",IF('Data Source'!W723&gt;=3,"B",IF('Data Source'!W723&gt;=2,"C",IF('Data Source'!W723&gt;=1,"D","F")))))),"")</f>
        <v/>
      </c>
      <c r="F723" s="3">
        <f>IF(AND('Data Source'!B723&lt;&gt;"",'Data Source'!S723="F"),IF('Data Source'!X723&gt;=5,"A+",IF('Data Source'!X723&gt;=4,"A",IF('Data Source'!X723&gt;=3.5,"A-",IF('Data Source'!X723&gt;=3,"B",IF('Data Source'!X723&gt;=2,"C",IF('Data Source'!X723&gt;=1,"D","F")))))),"")</f>
        <v/>
      </c>
      <c r="G723" s="3">
        <f>IF(AND('Data Source'!B723&lt;&gt;"",'Data Source'!S723="F"),IF('Data Source'!Y723&gt;=5,"A+",IF('Data Source'!Y723&gt;=4,"A",IF('Data Source'!Y723&gt;=3.5,"A-",IF('Data Source'!Y723&gt;=3,"B",IF('Data Source'!Y723&gt;=2,"C",IF('Data Source'!Y723&gt;=1,"D","F")))))),"")</f>
        <v/>
      </c>
      <c r="H723" s="3">
        <f>IF(AND('Data Source'!B723&lt;&gt;"",'Data Source'!S723="F"),IF('Data Source'!Z723&gt;=5,"A+",IF('Data Source'!Z723&gt;=4,"A",IF('Data Source'!Z723&gt;=3.5,"A-",IF('Data Source'!Z723&gt;=3,"B",IF('Data Source'!Z723&gt;=2,"C",IF('Data Source'!Z723&gt;=1,"D","F")))))),"")</f>
        <v/>
      </c>
      <c r="I723" s="3">
        <f>IF(AND('Data Source'!B723&lt;&gt;"",'Data Source'!S723="F"),IF('Data Source'!AA723&gt;=5,"A+",IF('Data Source'!AA723&gt;=4,"A",IF('Data Source'!AA723&gt;=3.5,"A-",IF('Data Source'!AA723&gt;=3,"B",IF('Data Source'!AA723&gt;=2,"C",IF('Data Source'!AA723&gt;=1,"D","F")))))),"")</f>
        <v/>
      </c>
      <c r="J723" s="3">
        <f>IF(AND('Data Source'!B723&lt;&gt;"",'Data Source'!S723="F"),IF('Data Source'!AB723&gt;=5,"A+",IF('Data Source'!AB723&gt;=4,"A",IF('Data Source'!AB723&gt;=3.5,"A-",IF('Data Source'!AB723&gt;=3,"B",IF('Data Source'!AB723&gt;=2,"C",IF('Data Source'!AB723&gt;=1,"D","F")))))),"")</f>
        <v/>
      </c>
      <c r="K723" s="3">
        <f>IF(AND('Data Source'!B723&lt;&gt;"",'Data Source'!S723="F"),IF('Data Source'!AC723&gt;=5,"A+",IF('Data Source'!AC723&gt;=4,"A",IF('Data Source'!AC723&gt;=3.5,"A-",IF('Data Source'!AC723&gt;=3,"B",IF('Data Source'!AC723&gt;=2,"C",IF('Data Source'!AC723&gt;=1,"D","F")))))),"")</f>
        <v/>
      </c>
      <c r="L723" s="3">
        <f>IF(AND('Data Source'!B723&lt;&gt;"",'Data Source'!S723="F"),IF('Data Source'!AD723&gt;=5,"A+",IF('Data Source'!AD723&gt;=4,"A",IF('Data Source'!AD723&gt;=3.5,"A-",IF('Data Source'!AD723&gt;=3,"B",IF('Data Source'!AD723&gt;=2,"C",IF('Data Source'!AD723&gt;=1,"D","F")))))),"")</f>
        <v/>
      </c>
      <c r="M723" s="3">
        <f>IF(AND('Data Source'!B723&lt;&gt;"",'Data Source'!S723="F"),IF('Data Source'!AE723&gt;=5,"A+",IF('Data Source'!AE723&gt;=4,"A",IF('Data Source'!AE723&gt;=3.5,"A-",IF('Data Source'!AE723&gt;=3,"B",IF('Data Source'!AE723&gt;=2,"C",IF('Data Source'!AE723&gt;=1,"D","F")))))),"")</f>
        <v/>
      </c>
      <c r="N723" s="3">
        <f>IF(AND('Data Source'!B723&lt;&gt;"",'Data Source'!S723="F"),IF('Data Source'!AF723&gt;=5,"A+",IF('Data Source'!AF723&gt;=4,"A",IF('Data Source'!AF723&gt;=3.5,"A-",IF('Data Source'!AF723&gt;=3,"B",IF('Data Source'!AF723&gt;=2,"C",IF('Data Source'!AF723&gt;=1,"D","F")))))),"")</f>
        <v/>
      </c>
      <c r="O723" s="3">
        <f>IF(AND('Data Source'!B723&lt;&gt;"",'Data Source'!S723="F"),IF('Data Source'!AG723&gt;=5,"A+",IF('Data Source'!AG723&gt;=4,"A",IF('Data Source'!AG723&gt;=3.5,"A-",IF('Data Source'!AG723&gt;=3,"B",IF('Data Source'!AG723&gt;=2,"C",IF('Data Source'!AG723&gt;=1,"D","F")))))),"")</f>
        <v/>
      </c>
      <c r="P723" s="5">
        <f>IF(AND('Data Source'!B723&lt;&gt;"",'Data Source'!S723="F"),'Data Source'!R723,"")</f>
        <v/>
      </c>
      <c r="Q723" s="3">
        <f>IF(AND('Data Source'!B723&lt;&gt;"",'Data Source'!S723="F"),'Data Source'!S723,"")</f>
        <v/>
      </c>
    </row>
    <row r="724">
      <c r="A724" s="3">
        <f>IF(AND('Data Source'!B724&lt;&gt;"",'Data Source'!S724="F"),COUNTIF('Data Source'!$S$3:S724,"F"),"")</f>
        <v/>
      </c>
      <c r="B724">
        <f>IF(AND('Data Source'!B724&lt;&gt;"",'Data Source'!S724="F"),'Data Source'!B724,"")</f>
        <v/>
      </c>
      <c r="C724" s="3">
        <f>IF(AND('Data Source'!B724&lt;&gt;"",'Data Source'!S724="F"),IF('Data Source'!U724&gt;=5,"A+",IF('Data Source'!U724&gt;=4,"A",IF('Data Source'!U724&gt;=3.5,"A-",IF('Data Source'!U724&gt;=3,"B",IF('Data Source'!U724&gt;=2,"C",IF('Data Source'!U724&gt;=1,"D","F")))))),"")</f>
        <v/>
      </c>
      <c r="D724" s="3">
        <f>IF(AND('Data Source'!B724&lt;&gt;"",'Data Source'!S724="F"),IF('Data Source'!V724&gt;=5,"A+",IF('Data Source'!V724&gt;=4,"A",IF('Data Source'!V724&gt;=3.5,"A-",IF('Data Source'!V724&gt;=3,"B",IF('Data Source'!V724&gt;=2,"C",IF('Data Source'!V724&gt;=1,"D","F")))))),"")</f>
        <v/>
      </c>
      <c r="E724" s="3">
        <f>IF(AND('Data Source'!B724&lt;&gt;"",'Data Source'!S724="F"),IF('Data Source'!W724&gt;=5,"A+",IF('Data Source'!W724&gt;=4,"A",IF('Data Source'!W724&gt;=3.5,"A-",IF('Data Source'!W724&gt;=3,"B",IF('Data Source'!W724&gt;=2,"C",IF('Data Source'!W724&gt;=1,"D","F")))))),"")</f>
        <v/>
      </c>
      <c r="F724" s="3">
        <f>IF(AND('Data Source'!B724&lt;&gt;"",'Data Source'!S724="F"),IF('Data Source'!X724&gt;=5,"A+",IF('Data Source'!X724&gt;=4,"A",IF('Data Source'!X724&gt;=3.5,"A-",IF('Data Source'!X724&gt;=3,"B",IF('Data Source'!X724&gt;=2,"C",IF('Data Source'!X724&gt;=1,"D","F")))))),"")</f>
        <v/>
      </c>
      <c r="G724" s="3">
        <f>IF(AND('Data Source'!B724&lt;&gt;"",'Data Source'!S724="F"),IF('Data Source'!Y724&gt;=5,"A+",IF('Data Source'!Y724&gt;=4,"A",IF('Data Source'!Y724&gt;=3.5,"A-",IF('Data Source'!Y724&gt;=3,"B",IF('Data Source'!Y724&gt;=2,"C",IF('Data Source'!Y724&gt;=1,"D","F")))))),"")</f>
        <v/>
      </c>
      <c r="H724" s="3">
        <f>IF(AND('Data Source'!B724&lt;&gt;"",'Data Source'!S724="F"),IF('Data Source'!Z724&gt;=5,"A+",IF('Data Source'!Z724&gt;=4,"A",IF('Data Source'!Z724&gt;=3.5,"A-",IF('Data Source'!Z724&gt;=3,"B",IF('Data Source'!Z724&gt;=2,"C",IF('Data Source'!Z724&gt;=1,"D","F")))))),"")</f>
        <v/>
      </c>
      <c r="I724" s="3">
        <f>IF(AND('Data Source'!B724&lt;&gt;"",'Data Source'!S724="F"),IF('Data Source'!AA724&gt;=5,"A+",IF('Data Source'!AA724&gt;=4,"A",IF('Data Source'!AA724&gt;=3.5,"A-",IF('Data Source'!AA724&gt;=3,"B",IF('Data Source'!AA724&gt;=2,"C",IF('Data Source'!AA724&gt;=1,"D","F")))))),"")</f>
        <v/>
      </c>
      <c r="J724" s="3">
        <f>IF(AND('Data Source'!B724&lt;&gt;"",'Data Source'!S724="F"),IF('Data Source'!AB724&gt;=5,"A+",IF('Data Source'!AB724&gt;=4,"A",IF('Data Source'!AB724&gt;=3.5,"A-",IF('Data Source'!AB724&gt;=3,"B",IF('Data Source'!AB724&gt;=2,"C",IF('Data Source'!AB724&gt;=1,"D","F")))))),"")</f>
        <v/>
      </c>
      <c r="K724" s="3">
        <f>IF(AND('Data Source'!B724&lt;&gt;"",'Data Source'!S724="F"),IF('Data Source'!AC724&gt;=5,"A+",IF('Data Source'!AC724&gt;=4,"A",IF('Data Source'!AC724&gt;=3.5,"A-",IF('Data Source'!AC724&gt;=3,"B",IF('Data Source'!AC724&gt;=2,"C",IF('Data Source'!AC724&gt;=1,"D","F")))))),"")</f>
        <v/>
      </c>
      <c r="L724" s="3">
        <f>IF(AND('Data Source'!B724&lt;&gt;"",'Data Source'!S724="F"),IF('Data Source'!AD724&gt;=5,"A+",IF('Data Source'!AD724&gt;=4,"A",IF('Data Source'!AD724&gt;=3.5,"A-",IF('Data Source'!AD724&gt;=3,"B",IF('Data Source'!AD724&gt;=2,"C",IF('Data Source'!AD724&gt;=1,"D","F")))))),"")</f>
        <v/>
      </c>
      <c r="M724" s="3">
        <f>IF(AND('Data Source'!B724&lt;&gt;"",'Data Source'!S724="F"),IF('Data Source'!AE724&gt;=5,"A+",IF('Data Source'!AE724&gt;=4,"A",IF('Data Source'!AE724&gt;=3.5,"A-",IF('Data Source'!AE724&gt;=3,"B",IF('Data Source'!AE724&gt;=2,"C",IF('Data Source'!AE724&gt;=1,"D","F")))))),"")</f>
        <v/>
      </c>
      <c r="N724" s="3">
        <f>IF(AND('Data Source'!B724&lt;&gt;"",'Data Source'!S724="F"),IF('Data Source'!AF724&gt;=5,"A+",IF('Data Source'!AF724&gt;=4,"A",IF('Data Source'!AF724&gt;=3.5,"A-",IF('Data Source'!AF724&gt;=3,"B",IF('Data Source'!AF724&gt;=2,"C",IF('Data Source'!AF724&gt;=1,"D","F")))))),"")</f>
        <v/>
      </c>
      <c r="O724" s="3">
        <f>IF(AND('Data Source'!B724&lt;&gt;"",'Data Source'!S724="F"),IF('Data Source'!AG724&gt;=5,"A+",IF('Data Source'!AG724&gt;=4,"A",IF('Data Source'!AG724&gt;=3.5,"A-",IF('Data Source'!AG724&gt;=3,"B",IF('Data Source'!AG724&gt;=2,"C",IF('Data Source'!AG724&gt;=1,"D","F")))))),"")</f>
        <v/>
      </c>
      <c r="P724" s="5">
        <f>IF(AND('Data Source'!B724&lt;&gt;"",'Data Source'!S724="F"),'Data Source'!R724,"")</f>
        <v/>
      </c>
      <c r="Q724" s="3">
        <f>IF(AND('Data Source'!B724&lt;&gt;"",'Data Source'!S724="F"),'Data Source'!S724,"")</f>
        <v/>
      </c>
    </row>
    <row r="725">
      <c r="A725" s="3">
        <f>IF(AND('Data Source'!B725&lt;&gt;"",'Data Source'!S725="F"),COUNTIF('Data Source'!$S$3:S725,"F"),"")</f>
        <v/>
      </c>
      <c r="B725">
        <f>IF(AND('Data Source'!B725&lt;&gt;"",'Data Source'!S725="F"),'Data Source'!B725,"")</f>
        <v/>
      </c>
      <c r="C725" s="3">
        <f>IF(AND('Data Source'!B725&lt;&gt;"",'Data Source'!S725="F"),IF('Data Source'!U725&gt;=5,"A+",IF('Data Source'!U725&gt;=4,"A",IF('Data Source'!U725&gt;=3.5,"A-",IF('Data Source'!U725&gt;=3,"B",IF('Data Source'!U725&gt;=2,"C",IF('Data Source'!U725&gt;=1,"D","F")))))),"")</f>
        <v/>
      </c>
      <c r="D725" s="3">
        <f>IF(AND('Data Source'!B725&lt;&gt;"",'Data Source'!S725="F"),IF('Data Source'!V725&gt;=5,"A+",IF('Data Source'!V725&gt;=4,"A",IF('Data Source'!V725&gt;=3.5,"A-",IF('Data Source'!V725&gt;=3,"B",IF('Data Source'!V725&gt;=2,"C",IF('Data Source'!V725&gt;=1,"D","F")))))),"")</f>
        <v/>
      </c>
      <c r="E725" s="3">
        <f>IF(AND('Data Source'!B725&lt;&gt;"",'Data Source'!S725="F"),IF('Data Source'!W725&gt;=5,"A+",IF('Data Source'!W725&gt;=4,"A",IF('Data Source'!W725&gt;=3.5,"A-",IF('Data Source'!W725&gt;=3,"B",IF('Data Source'!W725&gt;=2,"C",IF('Data Source'!W725&gt;=1,"D","F")))))),"")</f>
        <v/>
      </c>
      <c r="F725" s="3">
        <f>IF(AND('Data Source'!B725&lt;&gt;"",'Data Source'!S725="F"),IF('Data Source'!X725&gt;=5,"A+",IF('Data Source'!X725&gt;=4,"A",IF('Data Source'!X725&gt;=3.5,"A-",IF('Data Source'!X725&gt;=3,"B",IF('Data Source'!X725&gt;=2,"C",IF('Data Source'!X725&gt;=1,"D","F")))))),"")</f>
        <v/>
      </c>
      <c r="G725" s="3">
        <f>IF(AND('Data Source'!B725&lt;&gt;"",'Data Source'!S725="F"),IF('Data Source'!Y725&gt;=5,"A+",IF('Data Source'!Y725&gt;=4,"A",IF('Data Source'!Y725&gt;=3.5,"A-",IF('Data Source'!Y725&gt;=3,"B",IF('Data Source'!Y725&gt;=2,"C",IF('Data Source'!Y725&gt;=1,"D","F")))))),"")</f>
        <v/>
      </c>
      <c r="H725" s="3">
        <f>IF(AND('Data Source'!B725&lt;&gt;"",'Data Source'!S725="F"),IF('Data Source'!Z725&gt;=5,"A+",IF('Data Source'!Z725&gt;=4,"A",IF('Data Source'!Z725&gt;=3.5,"A-",IF('Data Source'!Z725&gt;=3,"B",IF('Data Source'!Z725&gt;=2,"C",IF('Data Source'!Z725&gt;=1,"D","F")))))),"")</f>
        <v/>
      </c>
      <c r="I725" s="3">
        <f>IF(AND('Data Source'!B725&lt;&gt;"",'Data Source'!S725="F"),IF('Data Source'!AA725&gt;=5,"A+",IF('Data Source'!AA725&gt;=4,"A",IF('Data Source'!AA725&gt;=3.5,"A-",IF('Data Source'!AA725&gt;=3,"B",IF('Data Source'!AA725&gt;=2,"C",IF('Data Source'!AA725&gt;=1,"D","F")))))),"")</f>
        <v/>
      </c>
      <c r="J725" s="3">
        <f>IF(AND('Data Source'!B725&lt;&gt;"",'Data Source'!S725="F"),IF('Data Source'!AB725&gt;=5,"A+",IF('Data Source'!AB725&gt;=4,"A",IF('Data Source'!AB725&gt;=3.5,"A-",IF('Data Source'!AB725&gt;=3,"B",IF('Data Source'!AB725&gt;=2,"C",IF('Data Source'!AB725&gt;=1,"D","F")))))),"")</f>
        <v/>
      </c>
      <c r="K725" s="3">
        <f>IF(AND('Data Source'!B725&lt;&gt;"",'Data Source'!S725="F"),IF('Data Source'!AC725&gt;=5,"A+",IF('Data Source'!AC725&gt;=4,"A",IF('Data Source'!AC725&gt;=3.5,"A-",IF('Data Source'!AC725&gt;=3,"B",IF('Data Source'!AC725&gt;=2,"C",IF('Data Source'!AC725&gt;=1,"D","F")))))),"")</f>
        <v/>
      </c>
      <c r="L725" s="3">
        <f>IF(AND('Data Source'!B725&lt;&gt;"",'Data Source'!S725="F"),IF('Data Source'!AD725&gt;=5,"A+",IF('Data Source'!AD725&gt;=4,"A",IF('Data Source'!AD725&gt;=3.5,"A-",IF('Data Source'!AD725&gt;=3,"B",IF('Data Source'!AD725&gt;=2,"C",IF('Data Source'!AD725&gt;=1,"D","F")))))),"")</f>
        <v/>
      </c>
      <c r="M725" s="3">
        <f>IF(AND('Data Source'!B725&lt;&gt;"",'Data Source'!S725="F"),IF('Data Source'!AE725&gt;=5,"A+",IF('Data Source'!AE725&gt;=4,"A",IF('Data Source'!AE725&gt;=3.5,"A-",IF('Data Source'!AE725&gt;=3,"B",IF('Data Source'!AE725&gt;=2,"C",IF('Data Source'!AE725&gt;=1,"D","F")))))),"")</f>
        <v/>
      </c>
      <c r="N725" s="3">
        <f>IF(AND('Data Source'!B725&lt;&gt;"",'Data Source'!S725="F"),IF('Data Source'!AF725&gt;=5,"A+",IF('Data Source'!AF725&gt;=4,"A",IF('Data Source'!AF725&gt;=3.5,"A-",IF('Data Source'!AF725&gt;=3,"B",IF('Data Source'!AF725&gt;=2,"C",IF('Data Source'!AF725&gt;=1,"D","F")))))),"")</f>
        <v/>
      </c>
      <c r="O725" s="3">
        <f>IF(AND('Data Source'!B725&lt;&gt;"",'Data Source'!S725="F"),IF('Data Source'!AG725&gt;=5,"A+",IF('Data Source'!AG725&gt;=4,"A",IF('Data Source'!AG725&gt;=3.5,"A-",IF('Data Source'!AG725&gt;=3,"B",IF('Data Source'!AG725&gt;=2,"C",IF('Data Source'!AG725&gt;=1,"D","F")))))),"")</f>
        <v/>
      </c>
      <c r="P725" s="5">
        <f>IF(AND('Data Source'!B725&lt;&gt;"",'Data Source'!S725="F"),'Data Source'!R725,"")</f>
        <v/>
      </c>
      <c r="Q725" s="3">
        <f>IF(AND('Data Source'!B725&lt;&gt;"",'Data Source'!S725="F"),'Data Source'!S725,"")</f>
        <v/>
      </c>
    </row>
    <row r="726">
      <c r="A726" s="3">
        <f>IF(AND('Data Source'!B726&lt;&gt;"",'Data Source'!S726="F"),COUNTIF('Data Source'!$S$3:S726,"F"),"")</f>
        <v/>
      </c>
      <c r="B726">
        <f>IF(AND('Data Source'!B726&lt;&gt;"",'Data Source'!S726="F"),'Data Source'!B726,"")</f>
        <v/>
      </c>
      <c r="C726" s="3">
        <f>IF(AND('Data Source'!B726&lt;&gt;"",'Data Source'!S726="F"),IF('Data Source'!U726&gt;=5,"A+",IF('Data Source'!U726&gt;=4,"A",IF('Data Source'!U726&gt;=3.5,"A-",IF('Data Source'!U726&gt;=3,"B",IF('Data Source'!U726&gt;=2,"C",IF('Data Source'!U726&gt;=1,"D","F")))))),"")</f>
        <v/>
      </c>
      <c r="D726" s="3">
        <f>IF(AND('Data Source'!B726&lt;&gt;"",'Data Source'!S726="F"),IF('Data Source'!V726&gt;=5,"A+",IF('Data Source'!V726&gt;=4,"A",IF('Data Source'!V726&gt;=3.5,"A-",IF('Data Source'!V726&gt;=3,"B",IF('Data Source'!V726&gt;=2,"C",IF('Data Source'!V726&gt;=1,"D","F")))))),"")</f>
        <v/>
      </c>
      <c r="E726" s="3">
        <f>IF(AND('Data Source'!B726&lt;&gt;"",'Data Source'!S726="F"),IF('Data Source'!W726&gt;=5,"A+",IF('Data Source'!W726&gt;=4,"A",IF('Data Source'!W726&gt;=3.5,"A-",IF('Data Source'!W726&gt;=3,"B",IF('Data Source'!W726&gt;=2,"C",IF('Data Source'!W726&gt;=1,"D","F")))))),"")</f>
        <v/>
      </c>
      <c r="F726" s="3">
        <f>IF(AND('Data Source'!B726&lt;&gt;"",'Data Source'!S726="F"),IF('Data Source'!X726&gt;=5,"A+",IF('Data Source'!X726&gt;=4,"A",IF('Data Source'!X726&gt;=3.5,"A-",IF('Data Source'!X726&gt;=3,"B",IF('Data Source'!X726&gt;=2,"C",IF('Data Source'!X726&gt;=1,"D","F")))))),"")</f>
        <v/>
      </c>
      <c r="G726" s="3">
        <f>IF(AND('Data Source'!B726&lt;&gt;"",'Data Source'!S726="F"),IF('Data Source'!Y726&gt;=5,"A+",IF('Data Source'!Y726&gt;=4,"A",IF('Data Source'!Y726&gt;=3.5,"A-",IF('Data Source'!Y726&gt;=3,"B",IF('Data Source'!Y726&gt;=2,"C",IF('Data Source'!Y726&gt;=1,"D","F")))))),"")</f>
        <v/>
      </c>
      <c r="H726" s="3">
        <f>IF(AND('Data Source'!B726&lt;&gt;"",'Data Source'!S726="F"),IF('Data Source'!Z726&gt;=5,"A+",IF('Data Source'!Z726&gt;=4,"A",IF('Data Source'!Z726&gt;=3.5,"A-",IF('Data Source'!Z726&gt;=3,"B",IF('Data Source'!Z726&gt;=2,"C",IF('Data Source'!Z726&gt;=1,"D","F")))))),"")</f>
        <v/>
      </c>
      <c r="I726" s="3">
        <f>IF(AND('Data Source'!B726&lt;&gt;"",'Data Source'!S726="F"),IF('Data Source'!AA726&gt;=5,"A+",IF('Data Source'!AA726&gt;=4,"A",IF('Data Source'!AA726&gt;=3.5,"A-",IF('Data Source'!AA726&gt;=3,"B",IF('Data Source'!AA726&gt;=2,"C",IF('Data Source'!AA726&gt;=1,"D","F")))))),"")</f>
        <v/>
      </c>
      <c r="J726" s="3">
        <f>IF(AND('Data Source'!B726&lt;&gt;"",'Data Source'!S726="F"),IF('Data Source'!AB726&gt;=5,"A+",IF('Data Source'!AB726&gt;=4,"A",IF('Data Source'!AB726&gt;=3.5,"A-",IF('Data Source'!AB726&gt;=3,"B",IF('Data Source'!AB726&gt;=2,"C",IF('Data Source'!AB726&gt;=1,"D","F")))))),"")</f>
        <v/>
      </c>
      <c r="K726" s="3">
        <f>IF(AND('Data Source'!B726&lt;&gt;"",'Data Source'!S726="F"),IF('Data Source'!AC726&gt;=5,"A+",IF('Data Source'!AC726&gt;=4,"A",IF('Data Source'!AC726&gt;=3.5,"A-",IF('Data Source'!AC726&gt;=3,"B",IF('Data Source'!AC726&gt;=2,"C",IF('Data Source'!AC726&gt;=1,"D","F")))))),"")</f>
        <v/>
      </c>
      <c r="L726" s="3">
        <f>IF(AND('Data Source'!B726&lt;&gt;"",'Data Source'!S726="F"),IF('Data Source'!AD726&gt;=5,"A+",IF('Data Source'!AD726&gt;=4,"A",IF('Data Source'!AD726&gt;=3.5,"A-",IF('Data Source'!AD726&gt;=3,"B",IF('Data Source'!AD726&gt;=2,"C",IF('Data Source'!AD726&gt;=1,"D","F")))))),"")</f>
        <v/>
      </c>
      <c r="M726" s="3">
        <f>IF(AND('Data Source'!B726&lt;&gt;"",'Data Source'!S726="F"),IF('Data Source'!AE726&gt;=5,"A+",IF('Data Source'!AE726&gt;=4,"A",IF('Data Source'!AE726&gt;=3.5,"A-",IF('Data Source'!AE726&gt;=3,"B",IF('Data Source'!AE726&gt;=2,"C",IF('Data Source'!AE726&gt;=1,"D","F")))))),"")</f>
        <v/>
      </c>
      <c r="N726" s="3">
        <f>IF(AND('Data Source'!B726&lt;&gt;"",'Data Source'!S726="F"),IF('Data Source'!AF726&gt;=5,"A+",IF('Data Source'!AF726&gt;=4,"A",IF('Data Source'!AF726&gt;=3.5,"A-",IF('Data Source'!AF726&gt;=3,"B",IF('Data Source'!AF726&gt;=2,"C",IF('Data Source'!AF726&gt;=1,"D","F")))))),"")</f>
        <v/>
      </c>
      <c r="O726" s="3">
        <f>IF(AND('Data Source'!B726&lt;&gt;"",'Data Source'!S726="F"),IF('Data Source'!AG726&gt;=5,"A+",IF('Data Source'!AG726&gt;=4,"A",IF('Data Source'!AG726&gt;=3.5,"A-",IF('Data Source'!AG726&gt;=3,"B",IF('Data Source'!AG726&gt;=2,"C",IF('Data Source'!AG726&gt;=1,"D","F")))))),"")</f>
        <v/>
      </c>
      <c r="P726" s="5">
        <f>IF(AND('Data Source'!B726&lt;&gt;"",'Data Source'!S726="F"),'Data Source'!R726,"")</f>
        <v/>
      </c>
      <c r="Q726" s="3">
        <f>IF(AND('Data Source'!B726&lt;&gt;"",'Data Source'!S726="F"),'Data Source'!S726,"")</f>
        <v/>
      </c>
    </row>
    <row r="727">
      <c r="A727" s="3">
        <f>IF(AND('Data Source'!B727&lt;&gt;"",'Data Source'!S727="F"),COUNTIF('Data Source'!$S$3:S727,"F"),"")</f>
        <v/>
      </c>
      <c r="B727">
        <f>IF(AND('Data Source'!B727&lt;&gt;"",'Data Source'!S727="F"),'Data Source'!B727,"")</f>
        <v/>
      </c>
      <c r="C727" s="3">
        <f>IF(AND('Data Source'!B727&lt;&gt;"",'Data Source'!S727="F"),IF('Data Source'!U727&gt;=5,"A+",IF('Data Source'!U727&gt;=4,"A",IF('Data Source'!U727&gt;=3.5,"A-",IF('Data Source'!U727&gt;=3,"B",IF('Data Source'!U727&gt;=2,"C",IF('Data Source'!U727&gt;=1,"D","F")))))),"")</f>
        <v/>
      </c>
      <c r="D727" s="3">
        <f>IF(AND('Data Source'!B727&lt;&gt;"",'Data Source'!S727="F"),IF('Data Source'!V727&gt;=5,"A+",IF('Data Source'!V727&gt;=4,"A",IF('Data Source'!V727&gt;=3.5,"A-",IF('Data Source'!V727&gt;=3,"B",IF('Data Source'!V727&gt;=2,"C",IF('Data Source'!V727&gt;=1,"D","F")))))),"")</f>
        <v/>
      </c>
      <c r="E727" s="3">
        <f>IF(AND('Data Source'!B727&lt;&gt;"",'Data Source'!S727="F"),IF('Data Source'!W727&gt;=5,"A+",IF('Data Source'!W727&gt;=4,"A",IF('Data Source'!W727&gt;=3.5,"A-",IF('Data Source'!W727&gt;=3,"B",IF('Data Source'!W727&gt;=2,"C",IF('Data Source'!W727&gt;=1,"D","F")))))),"")</f>
        <v/>
      </c>
      <c r="F727" s="3">
        <f>IF(AND('Data Source'!B727&lt;&gt;"",'Data Source'!S727="F"),IF('Data Source'!X727&gt;=5,"A+",IF('Data Source'!X727&gt;=4,"A",IF('Data Source'!X727&gt;=3.5,"A-",IF('Data Source'!X727&gt;=3,"B",IF('Data Source'!X727&gt;=2,"C",IF('Data Source'!X727&gt;=1,"D","F")))))),"")</f>
        <v/>
      </c>
      <c r="G727" s="3">
        <f>IF(AND('Data Source'!B727&lt;&gt;"",'Data Source'!S727="F"),IF('Data Source'!Y727&gt;=5,"A+",IF('Data Source'!Y727&gt;=4,"A",IF('Data Source'!Y727&gt;=3.5,"A-",IF('Data Source'!Y727&gt;=3,"B",IF('Data Source'!Y727&gt;=2,"C",IF('Data Source'!Y727&gt;=1,"D","F")))))),"")</f>
        <v/>
      </c>
      <c r="H727" s="3">
        <f>IF(AND('Data Source'!B727&lt;&gt;"",'Data Source'!S727="F"),IF('Data Source'!Z727&gt;=5,"A+",IF('Data Source'!Z727&gt;=4,"A",IF('Data Source'!Z727&gt;=3.5,"A-",IF('Data Source'!Z727&gt;=3,"B",IF('Data Source'!Z727&gt;=2,"C",IF('Data Source'!Z727&gt;=1,"D","F")))))),"")</f>
        <v/>
      </c>
      <c r="I727" s="3">
        <f>IF(AND('Data Source'!B727&lt;&gt;"",'Data Source'!S727="F"),IF('Data Source'!AA727&gt;=5,"A+",IF('Data Source'!AA727&gt;=4,"A",IF('Data Source'!AA727&gt;=3.5,"A-",IF('Data Source'!AA727&gt;=3,"B",IF('Data Source'!AA727&gt;=2,"C",IF('Data Source'!AA727&gt;=1,"D","F")))))),"")</f>
        <v/>
      </c>
      <c r="J727" s="3">
        <f>IF(AND('Data Source'!B727&lt;&gt;"",'Data Source'!S727="F"),IF('Data Source'!AB727&gt;=5,"A+",IF('Data Source'!AB727&gt;=4,"A",IF('Data Source'!AB727&gt;=3.5,"A-",IF('Data Source'!AB727&gt;=3,"B",IF('Data Source'!AB727&gt;=2,"C",IF('Data Source'!AB727&gt;=1,"D","F")))))),"")</f>
        <v/>
      </c>
      <c r="K727" s="3">
        <f>IF(AND('Data Source'!B727&lt;&gt;"",'Data Source'!S727="F"),IF('Data Source'!AC727&gt;=5,"A+",IF('Data Source'!AC727&gt;=4,"A",IF('Data Source'!AC727&gt;=3.5,"A-",IF('Data Source'!AC727&gt;=3,"B",IF('Data Source'!AC727&gt;=2,"C",IF('Data Source'!AC727&gt;=1,"D","F")))))),"")</f>
        <v/>
      </c>
      <c r="L727" s="3">
        <f>IF(AND('Data Source'!B727&lt;&gt;"",'Data Source'!S727="F"),IF('Data Source'!AD727&gt;=5,"A+",IF('Data Source'!AD727&gt;=4,"A",IF('Data Source'!AD727&gt;=3.5,"A-",IF('Data Source'!AD727&gt;=3,"B",IF('Data Source'!AD727&gt;=2,"C",IF('Data Source'!AD727&gt;=1,"D","F")))))),"")</f>
        <v/>
      </c>
      <c r="M727" s="3">
        <f>IF(AND('Data Source'!B727&lt;&gt;"",'Data Source'!S727="F"),IF('Data Source'!AE727&gt;=5,"A+",IF('Data Source'!AE727&gt;=4,"A",IF('Data Source'!AE727&gt;=3.5,"A-",IF('Data Source'!AE727&gt;=3,"B",IF('Data Source'!AE727&gt;=2,"C",IF('Data Source'!AE727&gt;=1,"D","F")))))),"")</f>
        <v/>
      </c>
      <c r="N727" s="3">
        <f>IF(AND('Data Source'!B727&lt;&gt;"",'Data Source'!S727="F"),IF('Data Source'!AF727&gt;=5,"A+",IF('Data Source'!AF727&gt;=4,"A",IF('Data Source'!AF727&gt;=3.5,"A-",IF('Data Source'!AF727&gt;=3,"B",IF('Data Source'!AF727&gt;=2,"C",IF('Data Source'!AF727&gt;=1,"D","F")))))),"")</f>
        <v/>
      </c>
      <c r="O727" s="3">
        <f>IF(AND('Data Source'!B727&lt;&gt;"",'Data Source'!S727="F"),IF('Data Source'!AG727&gt;=5,"A+",IF('Data Source'!AG727&gt;=4,"A",IF('Data Source'!AG727&gt;=3.5,"A-",IF('Data Source'!AG727&gt;=3,"B",IF('Data Source'!AG727&gt;=2,"C",IF('Data Source'!AG727&gt;=1,"D","F")))))),"")</f>
        <v/>
      </c>
      <c r="P727" s="5">
        <f>IF(AND('Data Source'!B727&lt;&gt;"",'Data Source'!S727="F"),'Data Source'!R727,"")</f>
        <v/>
      </c>
      <c r="Q727" s="3">
        <f>IF(AND('Data Source'!B727&lt;&gt;"",'Data Source'!S727="F"),'Data Source'!S727,"")</f>
        <v/>
      </c>
    </row>
    <row r="728">
      <c r="A728" s="3">
        <f>IF(AND('Data Source'!B728&lt;&gt;"",'Data Source'!S728="F"),COUNTIF('Data Source'!$S$3:S728,"F"),"")</f>
        <v/>
      </c>
      <c r="B728">
        <f>IF(AND('Data Source'!B728&lt;&gt;"",'Data Source'!S728="F"),'Data Source'!B728,"")</f>
        <v/>
      </c>
      <c r="C728" s="3">
        <f>IF(AND('Data Source'!B728&lt;&gt;"",'Data Source'!S728="F"),IF('Data Source'!U728&gt;=5,"A+",IF('Data Source'!U728&gt;=4,"A",IF('Data Source'!U728&gt;=3.5,"A-",IF('Data Source'!U728&gt;=3,"B",IF('Data Source'!U728&gt;=2,"C",IF('Data Source'!U728&gt;=1,"D","F")))))),"")</f>
        <v/>
      </c>
      <c r="D728" s="3">
        <f>IF(AND('Data Source'!B728&lt;&gt;"",'Data Source'!S728="F"),IF('Data Source'!V728&gt;=5,"A+",IF('Data Source'!V728&gt;=4,"A",IF('Data Source'!V728&gt;=3.5,"A-",IF('Data Source'!V728&gt;=3,"B",IF('Data Source'!V728&gt;=2,"C",IF('Data Source'!V728&gt;=1,"D","F")))))),"")</f>
        <v/>
      </c>
      <c r="E728" s="3">
        <f>IF(AND('Data Source'!B728&lt;&gt;"",'Data Source'!S728="F"),IF('Data Source'!W728&gt;=5,"A+",IF('Data Source'!W728&gt;=4,"A",IF('Data Source'!W728&gt;=3.5,"A-",IF('Data Source'!W728&gt;=3,"B",IF('Data Source'!W728&gt;=2,"C",IF('Data Source'!W728&gt;=1,"D","F")))))),"")</f>
        <v/>
      </c>
      <c r="F728" s="3">
        <f>IF(AND('Data Source'!B728&lt;&gt;"",'Data Source'!S728="F"),IF('Data Source'!X728&gt;=5,"A+",IF('Data Source'!X728&gt;=4,"A",IF('Data Source'!X728&gt;=3.5,"A-",IF('Data Source'!X728&gt;=3,"B",IF('Data Source'!X728&gt;=2,"C",IF('Data Source'!X728&gt;=1,"D","F")))))),"")</f>
        <v/>
      </c>
      <c r="G728" s="3">
        <f>IF(AND('Data Source'!B728&lt;&gt;"",'Data Source'!S728="F"),IF('Data Source'!Y728&gt;=5,"A+",IF('Data Source'!Y728&gt;=4,"A",IF('Data Source'!Y728&gt;=3.5,"A-",IF('Data Source'!Y728&gt;=3,"B",IF('Data Source'!Y728&gt;=2,"C",IF('Data Source'!Y728&gt;=1,"D","F")))))),"")</f>
        <v/>
      </c>
      <c r="H728" s="3">
        <f>IF(AND('Data Source'!B728&lt;&gt;"",'Data Source'!S728="F"),IF('Data Source'!Z728&gt;=5,"A+",IF('Data Source'!Z728&gt;=4,"A",IF('Data Source'!Z728&gt;=3.5,"A-",IF('Data Source'!Z728&gt;=3,"B",IF('Data Source'!Z728&gt;=2,"C",IF('Data Source'!Z728&gt;=1,"D","F")))))),"")</f>
        <v/>
      </c>
      <c r="I728" s="3">
        <f>IF(AND('Data Source'!B728&lt;&gt;"",'Data Source'!S728="F"),IF('Data Source'!AA728&gt;=5,"A+",IF('Data Source'!AA728&gt;=4,"A",IF('Data Source'!AA728&gt;=3.5,"A-",IF('Data Source'!AA728&gt;=3,"B",IF('Data Source'!AA728&gt;=2,"C",IF('Data Source'!AA728&gt;=1,"D","F")))))),"")</f>
        <v/>
      </c>
      <c r="J728" s="3">
        <f>IF(AND('Data Source'!B728&lt;&gt;"",'Data Source'!S728="F"),IF('Data Source'!AB728&gt;=5,"A+",IF('Data Source'!AB728&gt;=4,"A",IF('Data Source'!AB728&gt;=3.5,"A-",IF('Data Source'!AB728&gt;=3,"B",IF('Data Source'!AB728&gt;=2,"C",IF('Data Source'!AB728&gt;=1,"D","F")))))),"")</f>
        <v/>
      </c>
      <c r="K728" s="3">
        <f>IF(AND('Data Source'!B728&lt;&gt;"",'Data Source'!S728="F"),IF('Data Source'!AC728&gt;=5,"A+",IF('Data Source'!AC728&gt;=4,"A",IF('Data Source'!AC728&gt;=3.5,"A-",IF('Data Source'!AC728&gt;=3,"B",IF('Data Source'!AC728&gt;=2,"C",IF('Data Source'!AC728&gt;=1,"D","F")))))),"")</f>
        <v/>
      </c>
      <c r="L728" s="3">
        <f>IF(AND('Data Source'!B728&lt;&gt;"",'Data Source'!S728="F"),IF('Data Source'!AD728&gt;=5,"A+",IF('Data Source'!AD728&gt;=4,"A",IF('Data Source'!AD728&gt;=3.5,"A-",IF('Data Source'!AD728&gt;=3,"B",IF('Data Source'!AD728&gt;=2,"C",IF('Data Source'!AD728&gt;=1,"D","F")))))),"")</f>
        <v/>
      </c>
      <c r="M728" s="3">
        <f>IF(AND('Data Source'!B728&lt;&gt;"",'Data Source'!S728="F"),IF('Data Source'!AE728&gt;=5,"A+",IF('Data Source'!AE728&gt;=4,"A",IF('Data Source'!AE728&gt;=3.5,"A-",IF('Data Source'!AE728&gt;=3,"B",IF('Data Source'!AE728&gt;=2,"C",IF('Data Source'!AE728&gt;=1,"D","F")))))),"")</f>
        <v/>
      </c>
      <c r="N728" s="3">
        <f>IF(AND('Data Source'!B728&lt;&gt;"",'Data Source'!S728="F"),IF('Data Source'!AF728&gt;=5,"A+",IF('Data Source'!AF728&gt;=4,"A",IF('Data Source'!AF728&gt;=3.5,"A-",IF('Data Source'!AF728&gt;=3,"B",IF('Data Source'!AF728&gt;=2,"C",IF('Data Source'!AF728&gt;=1,"D","F")))))),"")</f>
        <v/>
      </c>
      <c r="O728" s="3">
        <f>IF(AND('Data Source'!B728&lt;&gt;"",'Data Source'!S728="F"),IF('Data Source'!AG728&gt;=5,"A+",IF('Data Source'!AG728&gt;=4,"A",IF('Data Source'!AG728&gt;=3.5,"A-",IF('Data Source'!AG728&gt;=3,"B",IF('Data Source'!AG728&gt;=2,"C",IF('Data Source'!AG728&gt;=1,"D","F")))))),"")</f>
        <v/>
      </c>
      <c r="P728" s="5">
        <f>IF(AND('Data Source'!B728&lt;&gt;"",'Data Source'!S728="F"),'Data Source'!R728,"")</f>
        <v/>
      </c>
      <c r="Q728" s="3">
        <f>IF(AND('Data Source'!B728&lt;&gt;"",'Data Source'!S728="F"),'Data Source'!S728,"")</f>
        <v/>
      </c>
    </row>
    <row r="729">
      <c r="A729" s="3">
        <f>IF(AND('Data Source'!B729&lt;&gt;"",'Data Source'!S729="F"),COUNTIF('Data Source'!$S$3:S729,"F"),"")</f>
        <v/>
      </c>
      <c r="B729">
        <f>IF(AND('Data Source'!B729&lt;&gt;"",'Data Source'!S729="F"),'Data Source'!B729,"")</f>
        <v/>
      </c>
      <c r="C729" s="3">
        <f>IF(AND('Data Source'!B729&lt;&gt;"",'Data Source'!S729="F"),IF('Data Source'!U729&gt;=5,"A+",IF('Data Source'!U729&gt;=4,"A",IF('Data Source'!U729&gt;=3.5,"A-",IF('Data Source'!U729&gt;=3,"B",IF('Data Source'!U729&gt;=2,"C",IF('Data Source'!U729&gt;=1,"D","F")))))),"")</f>
        <v/>
      </c>
      <c r="D729" s="3">
        <f>IF(AND('Data Source'!B729&lt;&gt;"",'Data Source'!S729="F"),IF('Data Source'!V729&gt;=5,"A+",IF('Data Source'!V729&gt;=4,"A",IF('Data Source'!V729&gt;=3.5,"A-",IF('Data Source'!V729&gt;=3,"B",IF('Data Source'!V729&gt;=2,"C",IF('Data Source'!V729&gt;=1,"D","F")))))),"")</f>
        <v/>
      </c>
      <c r="E729" s="3">
        <f>IF(AND('Data Source'!B729&lt;&gt;"",'Data Source'!S729="F"),IF('Data Source'!W729&gt;=5,"A+",IF('Data Source'!W729&gt;=4,"A",IF('Data Source'!W729&gt;=3.5,"A-",IF('Data Source'!W729&gt;=3,"B",IF('Data Source'!W729&gt;=2,"C",IF('Data Source'!W729&gt;=1,"D","F")))))),"")</f>
        <v/>
      </c>
      <c r="F729" s="3">
        <f>IF(AND('Data Source'!B729&lt;&gt;"",'Data Source'!S729="F"),IF('Data Source'!X729&gt;=5,"A+",IF('Data Source'!X729&gt;=4,"A",IF('Data Source'!X729&gt;=3.5,"A-",IF('Data Source'!X729&gt;=3,"B",IF('Data Source'!X729&gt;=2,"C",IF('Data Source'!X729&gt;=1,"D","F")))))),"")</f>
        <v/>
      </c>
      <c r="G729" s="3">
        <f>IF(AND('Data Source'!B729&lt;&gt;"",'Data Source'!S729="F"),IF('Data Source'!Y729&gt;=5,"A+",IF('Data Source'!Y729&gt;=4,"A",IF('Data Source'!Y729&gt;=3.5,"A-",IF('Data Source'!Y729&gt;=3,"B",IF('Data Source'!Y729&gt;=2,"C",IF('Data Source'!Y729&gt;=1,"D","F")))))),"")</f>
        <v/>
      </c>
      <c r="H729" s="3">
        <f>IF(AND('Data Source'!B729&lt;&gt;"",'Data Source'!S729="F"),IF('Data Source'!Z729&gt;=5,"A+",IF('Data Source'!Z729&gt;=4,"A",IF('Data Source'!Z729&gt;=3.5,"A-",IF('Data Source'!Z729&gt;=3,"B",IF('Data Source'!Z729&gt;=2,"C",IF('Data Source'!Z729&gt;=1,"D","F")))))),"")</f>
        <v/>
      </c>
      <c r="I729" s="3">
        <f>IF(AND('Data Source'!B729&lt;&gt;"",'Data Source'!S729="F"),IF('Data Source'!AA729&gt;=5,"A+",IF('Data Source'!AA729&gt;=4,"A",IF('Data Source'!AA729&gt;=3.5,"A-",IF('Data Source'!AA729&gt;=3,"B",IF('Data Source'!AA729&gt;=2,"C",IF('Data Source'!AA729&gt;=1,"D","F")))))),"")</f>
        <v/>
      </c>
      <c r="J729" s="3">
        <f>IF(AND('Data Source'!B729&lt;&gt;"",'Data Source'!S729="F"),IF('Data Source'!AB729&gt;=5,"A+",IF('Data Source'!AB729&gt;=4,"A",IF('Data Source'!AB729&gt;=3.5,"A-",IF('Data Source'!AB729&gt;=3,"B",IF('Data Source'!AB729&gt;=2,"C",IF('Data Source'!AB729&gt;=1,"D","F")))))),"")</f>
        <v/>
      </c>
      <c r="K729" s="3">
        <f>IF(AND('Data Source'!B729&lt;&gt;"",'Data Source'!S729="F"),IF('Data Source'!AC729&gt;=5,"A+",IF('Data Source'!AC729&gt;=4,"A",IF('Data Source'!AC729&gt;=3.5,"A-",IF('Data Source'!AC729&gt;=3,"B",IF('Data Source'!AC729&gt;=2,"C",IF('Data Source'!AC729&gt;=1,"D","F")))))),"")</f>
        <v/>
      </c>
      <c r="L729" s="3">
        <f>IF(AND('Data Source'!B729&lt;&gt;"",'Data Source'!S729="F"),IF('Data Source'!AD729&gt;=5,"A+",IF('Data Source'!AD729&gt;=4,"A",IF('Data Source'!AD729&gt;=3.5,"A-",IF('Data Source'!AD729&gt;=3,"B",IF('Data Source'!AD729&gt;=2,"C",IF('Data Source'!AD729&gt;=1,"D","F")))))),"")</f>
        <v/>
      </c>
      <c r="M729" s="3">
        <f>IF(AND('Data Source'!B729&lt;&gt;"",'Data Source'!S729="F"),IF('Data Source'!AE729&gt;=5,"A+",IF('Data Source'!AE729&gt;=4,"A",IF('Data Source'!AE729&gt;=3.5,"A-",IF('Data Source'!AE729&gt;=3,"B",IF('Data Source'!AE729&gt;=2,"C",IF('Data Source'!AE729&gt;=1,"D","F")))))),"")</f>
        <v/>
      </c>
      <c r="N729" s="3">
        <f>IF(AND('Data Source'!B729&lt;&gt;"",'Data Source'!S729="F"),IF('Data Source'!AF729&gt;=5,"A+",IF('Data Source'!AF729&gt;=4,"A",IF('Data Source'!AF729&gt;=3.5,"A-",IF('Data Source'!AF729&gt;=3,"B",IF('Data Source'!AF729&gt;=2,"C",IF('Data Source'!AF729&gt;=1,"D","F")))))),"")</f>
        <v/>
      </c>
      <c r="O729" s="3">
        <f>IF(AND('Data Source'!B729&lt;&gt;"",'Data Source'!S729="F"),IF('Data Source'!AG729&gt;=5,"A+",IF('Data Source'!AG729&gt;=4,"A",IF('Data Source'!AG729&gt;=3.5,"A-",IF('Data Source'!AG729&gt;=3,"B",IF('Data Source'!AG729&gt;=2,"C",IF('Data Source'!AG729&gt;=1,"D","F")))))),"")</f>
        <v/>
      </c>
      <c r="P729" s="5">
        <f>IF(AND('Data Source'!B729&lt;&gt;"",'Data Source'!S729="F"),'Data Source'!R729,"")</f>
        <v/>
      </c>
      <c r="Q729" s="3">
        <f>IF(AND('Data Source'!B729&lt;&gt;"",'Data Source'!S729="F"),'Data Source'!S729,"")</f>
        <v/>
      </c>
    </row>
    <row r="730">
      <c r="A730" s="3">
        <f>IF(AND('Data Source'!B730&lt;&gt;"",'Data Source'!S730="F"),COUNTIF('Data Source'!$S$3:S730,"F"),"")</f>
        <v/>
      </c>
      <c r="B730">
        <f>IF(AND('Data Source'!B730&lt;&gt;"",'Data Source'!S730="F"),'Data Source'!B730,"")</f>
        <v/>
      </c>
      <c r="C730" s="3">
        <f>IF(AND('Data Source'!B730&lt;&gt;"",'Data Source'!S730="F"),IF('Data Source'!U730&gt;=5,"A+",IF('Data Source'!U730&gt;=4,"A",IF('Data Source'!U730&gt;=3.5,"A-",IF('Data Source'!U730&gt;=3,"B",IF('Data Source'!U730&gt;=2,"C",IF('Data Source'!U730&gt;=1,"D","F")))))),"")</f>
        <v/>
      </c>
      <c r="D730" s="3">
        <f>IF(AND('Data Source'!B730&lt;&gt;"",'Data Source'!S730="F"),IF('Data Source'!V730&gt;=5,"A+",IF('Data Source'!V730&gt;=4,"A",IF('Data Source'!V730&gt;=3.5,"A-",IF('Data Source'!V730&gt;=3,"B",IF('Data Source'!V730&gt;=2,"C",IF('Data Source'!V730&gt;=1,"D","F")))))),"")</f>
        <v/>
      </c>
      <c r="E730" s="3">
        <f>IF(AND('Data Source'!B730&lt;&gt;"",'Data Source'!S730="F"),IF('Data Source'!W730&gt;=5,"A+",IF('Data Source'!W730&gt;=4,"A",IF('Data Source'!W730&gt;=3.5,"A-",IF('Data Source'!W730&gt;=3,"B",IF('Data Source'!W730&gt;=2,"C",IF('Data Source'!W730&gt;=1,"D","F")))))),"")</f>
        <v/>
      </c>
      <c r="F730" s="3">
        <f>IF(AND('Data Source'!B730&lt;&gt;"",'Data Source'!S730="F"),IF('Data Source'!X730&gt;=5,"A+",IF('Data Source'!X730&gt;=4,"A",IF('Data Source'!X730&gt;=3.5,"A-",IF('Data Source'!X730&gt;=3,"B",IF('Data Source'!X730&gt;=2,"C",IF('Data Source'!X730&gt;=1,"D","F")))))),"")</f>
        <v/>
      </c>
      <c r="G730" s="3">
        <f>IF(AND('Data Source'!B730&lt;&gt;"",'Data Source'!S730="F"),IF('Data Source'!Y730&gt;=5,"A+",IF('Data Source'!Y730&gt;=4,"A",IF('Data Source'!Y730&gt;=3.5,"A-",IF('Data Source'!Y730&gt;=3,"B",IF('Data Source'!Y730&gt;=2,"C",IF('Data Source'!Y730&gt;=1,"D","F")))))),"")</f>
        <v/>
      </c>
      <c r="H730" s="3">
        <f>IF(AND('Data Source'!B730&lt;&gt;"",'Data Source'!S730="F"),IF('Data Source'!Z730&gt;=5,"A+",IF('Data Source'!Z730&gt;=4,"A",IF('Data Source'!Z730&gt;=3.5,"A-",IF('Data Source'!Z730&gt;=3,"B",IF('Data Source'!Z730&gt;=2,"C",IF('Data Source'!Z730&gt;=1,"D","F")))))),"")</f>
        <v/>
      </c>
      <c r="I730" s="3">
        <f>IF(AND('Data Source'!B730&lt;&gt;"",'Data Source'!S730="F"),IF('Data Source'!AA730&gt;=5,"A+",IF('Data Source'!AA730&gt;=4,"A",IF('Data Source'!AA730&gt;=3.5,"A-",IF('Data Source'!AA730&gt;=3,"B",IF('Data Source'!AA730&gt;=2,"C",IF('Data Source'!AA730&gt;=1,"D","F")))))),"")</f>
        <v/>
      </c>
      <c r="J730" s="3">
        <f>IF(AND('Data Source'!B730&lt;&gt;"",'Data Source'!S730="F"),IF('Data Source'!AB730&gt;=5,"A+",IF('Data Source'!AB730&gt;=4,"A",IF('Data Source'!AB730&gt;=3.5,"A-",IF('Data Source'!AB730&gt;=3,"B",IF('Data Source'!AB730&gt;=2,"C",IF('Data Source'!AB730&gt;=1,"D","F")))))),"")</f>
        <v/>
      </c>
      <c r="K730" s="3">
        <f>IF(AND('Data Source'!B730&lt;&gt;"",'Data Source'!S730="F"),IF('Data Source'!AC730&gt;=5,"A+",IF('Data Source'!AC730&gt;=4,"A",IF('Data Source'!AC730&gt;=3.5,"A-",IF('Data Source'!AC730&gt;=3,"B",IF('Data Source'!AC730&gt;=2,"C",IF('Data Source'!AC730&gt;=1,"D","F")))))),"")</f>
        <v/>
      </c>
      <c r="L730" s="3">
        <f>IF(AND('Data Source'!B730&lt;&gt;"",'Data Source'!S730="F"),IF('Data Source'!AD730&gt;=5,"A+",IF('Data Source'!AD730&gt;=4,"A",IF('Data Source'!AD730&gt;=3.5,"A-",IF('Data Source'!AD730&gt;=3,"B",IF('Data Source'!AD730&gt;=2,"C",IF('Data Source'!AD730&gt;=1,"D","F")))))),"")</f>
        <v/>
      </c>
      <c r="M730" s="3">
        <f>IF(AND('Data Source'!B730&lt;&gt;"",'Data Source'!S730="F"),IF('Data Source'!AE730&gt;=5,"A+",IF('Data Source'!AE730&gt;=4,"A",IF('Data Source'!AE730&gt;=3.5,"A-",IF('Data Source'!AE730&gt;=3,"B",IF('Data Source'!AE730&gt;=2,"C",IF('Data Source'!AE730&gt;=1,"D","F")))))),"")</f>
        <v/>
      </c>
      <c r="N730" s="3">
        <f>IF(AND('Data Source'!B730&lt;&gt;"",'Data Source'!S730="F"),IF('Data Source'!AF730&gt;=5,"A+",IF('Data Source'!AF730&gt;=4,"A",IF('Data Source'!AF730&gt;=3.5,"A-",IF('Data Source'!AF730&gt;=3,"B",IF('Data Source'!AF730&gt;=2,"C",IF('Data Source'!AF730&gt;=1,"D","F")))))),"")</f>
        <v/>
      </c>
      <c r="O730" s="3">
        <f>IF(AND('Data Source'!B730&lt;&gt;"",'Data Source'!S730="F"),IF('Data Source'!AG730&gt;=5,"A+",IF('Data Source'!AG730&gt;=4,"A",IF('Data Source'!AG730&gt;=3.5,"A-",IF('Data Source'!AG730&gt;=3,"B",IF('Data Source'!AG730&gt;=2,"C",IF('Data Source'!AG730&gt;=1,"D","F")))))),"")</f>
        <v/>
      </c>
      <c r="P730" s="5">
        <f>IF(AND('Data Source'!B730&lt;&gt;"",'Data Source'!S730="F"),'Data Source'!R730,"")</f>
        <v/>
      </c>
      <c r="Q730" s="3">
        <f>IF(AND('Data Source'!B730&lt;&gt;"",'Data Source'!S730="F"),'Data Source'!S730,"")</f>
        <v/>
      </c>
    </row>
    <row r="731">
      <c r="A731" s="3">
        <f>IF(AND('Data Source'!B731&lt;&gt;"",'Data Source'!S731="F"),COUNTIF('Data Source'!$S$3:S731,"F"),"")</f>
        <v/>
      </c>
      <c r="B731">
        <f>IF(AND('Data Source'!B731&lt;&gt;"",'Data Source'!S731="F"),'Data Source'!B731,"")</f>
        <v/>
      </c>
      <c r="C731" s="3">
        <f>IF(AND('Data Source'!B731&lt;&gt;"",'Data Source'!S731="F"),IF('Data Source'!U731&gt;=5,"A+",IF('Data Source'!U731&gt;=4,"A",IF('Data Source'!U731&gt;=3.5,"A-",IF('Data Source'!U731&gt;=3,"B",IF('Data Source'!U731&gt;=2,"C",IF('Data Source'!U731&gt;=1,"D","F")))))),"")</f>
        <v/>
      </c>
      <c r="D731" s="3">
        <f>IF(AND('Data Source'!B731&lt;&gt;"",'Data Source'!S731="F"),IF('Data Source'!V731&gt;=5,"A+",IF('Data Source'!V731&gt;=4,"A",IF('Data Source'!V731&gt;=3.5,"A-",IF('Data Source'!V731&gt;=3,"B",IF('Data Source'!V731&gt;=2,"C",IF('Data Source'!V731&gt;=1,"D","F")))))),"")</f>
        <v/>
      </c>
      <c r="E731" s="3">
        <f>IF(AND('Data Source'!B731&lt;&gt;"",'Data Source'!S731="F"),IF('Data Source'!W731&gt;=5,"A+",IF('Data Source'!W731&gt;=4,"A",IF('Data Source'!W731&gt;=3.5,"A-",IF('Data Source'!W731&gt;=3,"B",IF('Data Source'!W731&gt;=2,"C",IF('Data Source'!W731&gt;=1,"D","F")))))),"")</f>
        <v/>
      </c>
      <c r="F731" s="3">
        <f>IF(AND('Data Source'!B731&lt;&gt;"",'Data Source'!S731="F"),IF('Data Source'!X731&gt;=5,"A+",IF('Data Source'!X731&gt;=4,"A",IF('Data Source'!X731&gt;=3.5,"A-",IF('Data Source'!X731&gt;=3,"B",IF('Data Source'!X731&gt;=2,"C",IF('Data Source'!X731&gt;=1,"D","F")))))),"")</f>
        <v/>
      </c>
      <c r="G731" s="3">
        <f>IF(AND('Data Source'!B731&lt;&gt;"",'Data Source'!S731="F"),IF('Data Source'!Y731&gt;=5,"A+",IF('Data Source'!Y731&gt;=4,"A",IF('Data Source'!Y731&gt;=3.5,"A-",IF('Data Source'!Y731&gt;=3,"B",IF('Data Source'!Y731&gt;=2,"C",IF('Data Source'!Y731&gt;=1,"D","F")))))),"")</f>
        <v/>
      </c>
      <c r="H731" s="3">
        <f>IF(AND('Data Source'!B731&lt;&gt;"",'Data Source'!S731="F"),IF('Data Source'!Z731&gt;=5,"A+",IF('Data Source'!Z731&gt;=4,"A",IF('Data Source'!Z731&gt;=3.5,"A-",IF('Data Source'!Z731&gt;=3,"B",IF('Data Source'!Z731&gt;=2,"C",IF('Data Source'!Z731&gt;=1,"D","F")))))),"")</f>
        <v/>
      </c>
      <c r="I731" s="3">
        <f>IF(AND('Data Source'!B731&lt;&gt;"",'Data Source'!S731="F"),IF('Data Source'!AA731&gt;=5,"A+",IF('Data Source'!AA731&gt;=4,"A",IF('Data Source'!AA731&gt;=3.5,"A-",IF('Data Source'!AA731&gt;=3,"B",IF('Data Source'!AA731&gt;=2,"C",IF('Data Source'!AA731&gt;=1,"D","F")))))),"")</f>
        <v/>
      </c>
      <c r="J731" s="3">
        <f>IF(AND('Data Source'!B731&lt;&gt;"",'Data Source'!S731="F"),IF('Data Source'!AB731&gt;=5,"A+",IF('Data Source'!AB731&gt;=4,"A",IF('Data Source'!AB731&gt;=3.5,"A-",IF('Data Source'!AB731&gt;=3,"B",IF('Data Source'!AB731&gt;=2,"C",IF('Data Source'!AB731&gt;=1,"D","F")))))),"")</f>
        <v/>
      </c>
      <c r="K731" s="3">
        <f>IF(AND('Data Source'!B731&lt;&gt;"",'Data Source'!S731="F"),IF('Data Source'!AC731&gt;=5,"A+",IF('Data Source'!AC731&gt;=4,"A",IF('Data Source'!AC731&gt;=3.5,"A-",IF('Data Source'!AC731&gt;=3,"B",IF('Data Source'!AC731&gt;=2,"C",IF('Data Source'!AC731&gt;=1,"D","F")))))),"")</f>
        <v/>
      </c>
      <c r="L731" s="3">
        <f>IF(AND('Data Source'!B731&lt;&gt;"",'Data Source'!S731="F"),IF('Data Source'!AD731&gt;=5,"A+",IF('Data Source'!AD731&gt;=4,"A",IF('Data Source'!AD731&gt;=3.5,"A-",IF('Data Source'!AD731&gt;=3,"B",IF('Data Source'!AD731&gt;=2,"C",IF('Data Source'!AD731&gt;=1,"D","F")))))),"")</f>
        <v/>
      </c>
      <c r="M731" s="3">
        <f>IF(AND('Data Source'!B731&lt;&gt;"",'Data Source'!S731="F"),IF('Data Source'!AE731&gt;=5,"A+",IF('Data Source'!AE731&gt;=4,"A",IF('Data Source'!AE731&gt;=3.5,"A-",IF('Data Source'!AE731&gt;=3,"B",IF('Data Source'!AE731&gt;=2,"C",IF('Data Source'!AE731&gt;=1,"D","F")))))),"")</f>
        <v/>
      </c>
      <c r="N731" s="3">
        <f>IF(AND('Data Source'!B731&lt;&gt;"",'Data Source'!S731="F"),IF('Data Source'!AF731&gt;=5,"A+",IF('Data Source'!AF731&gt;=4,"A",IF('Data Source'!AF731&gt;=3.5,"A-",IF('Data Source'!AF731&gt;=3,"B",IF('Data Source'!AF731&gt;=2,"C",IF('Data Source'!AF731&gt;=1,"D","F")))))),"")</f>
        <v/>
      </c>
      <c r="O731" s="3">
        <f>IF(AND('Data Source'!B731&lt;&gt;"",'Data Source'!S731="F"),IF('Data Source'!AG731&gt;=5,"A+",IF('Data Source'!AG731&gt;=4,"A",IF('Data Source'!AG731&gt;=3.5,"A-",IF('Data Source'!AG731&gt;=3,"B",IF('Data Source'!AG731&gt;=2,"C",IF('Data Source'!AG731&gt;=1,"D","F")))))),"")</f>
        <v/>
      </c>
      <c r="P731" s="5">
        <f>IF(AND('Data Source'!B731&lt;&gt;"",'Data Source'!S731="F"),'Data Source'!R731,"")</f>
        <v/>
      </c>
      <c r="Q731" s="3">
        <f>IF(AND('Data Source'!B731&lt;&gt;"",'Data Source'!S731="F"),'Data Source'!S731,"")</f>
        <v/>
      </c>
    </row>
    <row r="732">
      <c r="A732" s="3">
        <f>IF(AND('Data Source'!B732&lt;&gt;"",'Data Source'!S732="F"),COUNTIF('Data Source'!$S$3:S732,"F"),"")</f>
        <v/>
      </c>
      <c r="B732">
        <f>IF(AND('Data Source'!B732&lt;&gt;"",'Data Source'!S732="F"),'Data Source'!B732,"")</f>
        <v/>
      </c>
      <c r="C732" s="3">
        <f>IF(AND('Data Source'!B732&lt;&gt;"",'Data Source'!S732="F"),IF('Data Source'!U732&gt;=5,"A+",IF('Data Source'!U732&gt;=4,"A",IF('Data Source'!U732&gt;=3.5,"A-",IF('Data Source'!U732&gt;=3,"B",IF('Data Source'!U732&gt;=2,"C",IF('Data Source'!U732&gt;=1,"D","F")))))),"")</f>
        <v/>
      </c>
      <c r="D732" s="3">
        <f>IF(AND('Data Source'!B732&lt;&gt;"",'Data Source'!S732="F"),IF('Data Source'!V732&gt;=5,"A+",IF('Data Source'!V732&gt;=4,"A",IF('Data Source'!V732&gt;=3.5,"A-",IF('Data Source'!V732&gt;=3,"B",IF('Data Source'!V732&gt;=2,"C",IF('Data Source'!V732&gt;=1,"D","F")))))),"")</f>
        <v/>
      </c>
      <c r="E732" s="3">
        <f>IF(AND('Data Source'!B732&lt;&gt;"",'Data Source'!S732="F"),IF('Data Source'!W732&gt;=5,"A+",IF('Data Source'!W732&gt;=4,"A",IF('Data Source'!W732&gt;=3.5,"A-",IF('Data Source'!W732&gt;=3,"B",IF('Data Source'!W732&gt;=2,"C",IF('Data Source'!W732&gt;=1,"D","F")))))),"")</f>
        <v/>
      </c>
      <c r="F732" s="3">
        <f>IF(AND('Data Source'!B732&lt;&gt;"",'Data Source'!S732="F"),IF('Data Source'!X732&gt;=5,"A+",IF('Data Source'!X732&gt;=4,"A",IF('Data Source'!X732&gt;=3.5,"A-",IF('Data Source'!X732&gt;=3,"B",IF('Data Source'!X732&gt;=2,"C",IF('Data Source'!X732&gt;=1,"D","F")))))),"")</f>
        <v/>
      </c>
      <c r="G732" s="3">
        <f>IF(AND('Data Source'!B732&lt;&gt;"",'Data Source'!S732="F"),IF('Data Source'!Y732&gt;=5,"A+",IF('Data Source'!Y732&gt;=4,"A",IF('Data Source'!Y732&gt;=3.5,"A-",IF('Data Source'!Y732&gt;=3,"B",IF('Data Source'!Y732&gt;=2,"C",IF('Data Source'!Y732&gt;=1,"D","F")))))),"")</f>
        <v/>
      </c>
      <c r="H732" s="3">
        <f>IF(AND('Data Source'!B732&lt;&gt;"",'Data Source'!S732="F"),IF('Data Source'!Z732&gt;=5,"A+",IF('Data Source'!Z732&gt;=4,"A",IF('Data Source'!Z732&gt;=3.5,"A-",IF('Data Source'!Z732&gt;=3,"B",IF('Data Source'!Z732&gt;=2,"C",IF('Data Source'!Z732&gt;=1,"D","F")))))),"")</f>
        <v/>
      </c>
      <c r="I732" s="3">
        <f>IF(AND('Data Source'!B732&lt;&gt;"",'Data Source'!S732="F"),IF('Data Source'!AA732&gt;=5,"A+",IF('Data Source'!AA732&gt;=4,"A",IF('Data Source'!AA732&gt;=3.5,"A-",IF('Data Source'!AA732&gt;=3,"B",IF('Data Source'!AA732&gt;=2,"C",IF('Data Source'!AA732&gt;=1,"D","F")))))),"")</f>
        <v/>
      </c>
      <c r="J732" s="3">
        <f>IF(AND('Data Source'!B732&lt;&gt;"",'Data Source'!S732="F"),IF('Data Source'!AB732&gt;=5,"A+",IF('Data Source'!AB732&gt;=4,"A",IF('Data Source'!AB732&gt;=3.5,"A-",IF('Data Source'!AB732&gt;=3,"B",IF('Data Source'!AB732&gt;=2,"C",IF('Data Source'!AB732&gt;=1,"D","F")))))),"")</f>
        <v/>
      </c>
      <c r="K732" s="3">
        <f>IF(AND('Data Source'!B732&lt;&gt;"",'Data Source'!S732="F"),IF('Data Source'!AC732&gt;=5,"A+",IF('Data Source'!AC732&gt;=4,"A",IF('Data Source'!AC732&gt;=3.5,"A-",IF('Data Source'!AC732&gt;=3,"B",IF('Data Source'!AC732&gt;=2,"C",IF('Data Source'!AC732&gt;=1,"D","F")))))),"")</f>
        <v/>
      </c>
      <c r="L732" s="3">
        <f>IF(AND('Data Source'!B732&lt;&gt;"",'Data Source'!S732="F"),IF('Data Source'!AD732&gt;=5,"A+",IF('Data Source'!AD732&gt;=4,"A",IF('Data Source'!AD732&gt;=3.5,"A-",IF('Data Source'!AD732&gt;=3,"B",IF('Data Source'!AD732&gt;=2,"C",IF('Data Source'!AD732&gt;=1,"D","F")))))),"")</f>
        <v/>
      </c>
      <c r="M732" s="3">
        <f>IF(AND('Data Source'!B732&lt;&gt;"",'Data Source'!S732="F"),IF('Data Source'!AE732&gt;=5,"A+",IF('Data Source'!AE732&gt;=4,"A",IF('Data Source'!AE732&gt;=3.5,"A-",IF('Data Source'!AE732&gt;=3,"B",IF('Data Source'!AE732&gt;=2,"C",IF('Data Source'!AE732&gt;=1,"D","F")))))),"")</f>
        <v/>
      </c>
      <c r="N732" s="3">
        <f>IF(AND('Data Source'!B732&lt;&gt;"",'Data Source'!S732="F"),IF('Data Source'!AF732&gt;=5,"A+",IF('Data Source'!AF732&gt;=4,"A",IF('Data Source'!AF732&gt;=3.5,"A-",IF('Data Source'!AF732&gt;=3,"B",IF('Data Source'!AF732&gt;=2,"C",IF('Data Source'!AF732&gt;=1,"D","F")))))),"")</f>
        <v/>
      </c>
      <c r="O732" s="3">
        <f>IF(AND('Data Source'!B732&lt;&gt;"",'Data Source'!S732="F"),IF('Data Source'!AG732&gt;=5,"A+",IF('Data Source'!AG732&gt;=4,"A",IF('Data Source'!AG732&gt;=3.5,"A-",IF('Data Source'!AG732&gt;=3,"B",IF('Data Source'!AG732&gt;=2,"C",IF('Data Source'!AG732&gt;=1,"D","F")))))),"")</f>
        <v/>
      </c>
      <c r="P732" s="5">
        <f>IF(AND('Data Source'!B732&lt;&gt;"",'Data Source'!S732="F"),'Data Source'!R732,"")</f>
        <v/>
      </c>
      <c r="Q732" s="3">
        <f>IF(AND('Data Source'!B732&lt;&gt;"",'Data Source'!S732="F"),'Data Source'!S732,"")</f>
        <v/>
      </c>
    </row>
    <row r="733">
      <c r="A733" s="3">
        <f>IF(AND('Data Source'!B733&lt;&gt;"",'Data Source'!S733="F"),COUNTIF('Data Source'!$S$3:S733,"F"),"")</f>
        <v/>
      </c>
      <c r="B733">
        <f>IF(AND('Data Source'!B733&lt;&gt;"",'Data Source'!S733="F"),'Data Source'!B733,"")</f>
        <v/>
      </c>
      <c r="C733" s="3">
        <f>IF(AND('Data Source'!B733&lt;&gt;"",'Data Source'!S733="F"),IF('Data Source'!U733&gt;=5,"A+",IF('Data Source'!U733&gt;=4,"A",IF('Data Source'!U733&gt;=3.5,"A-",IF('Data Source'!U733&gt;=3,"B",IF('Data Source'!U733&gt;=2,"C",IF('Data Source'!U733&gt;=1,"D","F")))))),"")</f>
        <v/>
      </c>
      <c r="D733" s="3">
        <f>IF(AND('Data Source'!B733&lt;&gt;"",'Data Source'!S733="F"),IF('Data Source'!V733&gt;=5,"A+",IF('Data Source'!V733&gt;=4,"A",IF('Data Source'!V733&gt;=3.5,"A-",IF('Data Source'!V733&gt;=3,"B",IF('Data Source'!V733&gt;=2,"C",IF('Data Source'!V733&gt;=1,"D","F")))))),"")</f>
        <v/>
      </c>
      <c r="E733" s="3">
        <f>IF(AND('Data Source'!B733&lt;&gt;"",'Data Source'!S733="F"),IF('Data Source'!W733&gt;=5,"A+",IF('Data Source'!W733&gt;=4,"A",IF('Data Source'!W733&gt;=3.5,"A-",IF('Data Source'!W733&gt;=3,"B",IF('Data Source'!W733&gt;=2,"C",IF('Data Source'!W733&gt;=1,"D","F")))))),"")</f>
        <v/>
      </c>
      <c r="F733" s="3">
        <f>IF(AND('Data Source'!B733&lt;&gt;"",'Data Source'!S733="F"),IF('Data Source'!X733&gt;=5,"A+",IF('Data Source'!X733&gt;=4,"A",IF('Data Source'!X733&gt;=3.5,"A-",IF('Data Source'!X733&gt;=3,"B",IF('Data Source'!X733&gt;=2,"C",IF('Data Source'!X733&gt;=1,"D","F")))))),"")</f>
        <v/>
      </c>
      <c r="G733" s="3">
        <f>IF(AND('Data Source'!B733&lt;&gt;"",'Data Source'!S733="F"),IF('Data Source'!Y733&gt;=5,"A+",IF('Data Source'!Y733&gt;=4,"A",IF('Data Source'!Y733&gt;=3.5,"A-",IF('Data Source'!Y733&gt;=3,"B",IF('Data Source'!Y733&gt;=2,"C",IF('Data Source'!Y733&gt;=1,"D","F")))))),"")</f>
        <v/>
      </c>
      <c r="H733" s="3">
        <f>IF(AND('Data Source'!B733&lt;&gt;"",'Data Source'!S733="F"),IF('Data Source'!Z733&gt;=5,"A+",IF('Data Source'!Z733&gt;=4,"A",IF('Data Source'!Z733&gt;=3.5,"A-",IF('Data Source'!Z733&gt;=3,"B",IF('Data Source'!Z733&gt;=2,"C",IF('Data Source'!Z733&gt;=1,"D","F")))))),"")</f>
        <v/>
      </c>
      <c r="I733" s="3">
        <f>IF(AND('Data Source'!B733&lt;&gt;"",'Data Source'!S733="F"),IF('Data Source'!AA733&gt;=5,"A+",IF('Data Source'!AA733&gt;=4,"A",IF('Data Source'!AA733&gt;=3.5,"A-",IF('Data Source'!AA733&gt;=3,"B",IF('Data Source'!AA733&gt;=2,"C",IF('Data Source'!AA733&gt;=1,"D","F")))))),"")</f>
        <v/>
      </c>
      <c r="J733" s="3">
        <f>IF(AND('Data Source'!B733&lt;&gt;"",'Data Source'!S733="F"),IF('Data Source'!AB733&gt;=5,"A+",IF('Data Source'!AB733&gt;=4,"A",IF('Data Source'!AB733&gt;=3.5,"A-",IF('Data Source'!AB733&gt;=3,"B",IF('Data Source'!AB733&gt;=2,"C",IF('Data Source'!AB733&gt;=1,"D","F")))))),"")</f>
        <v/>
      </c>
      <c r="K733" s="3">
        <f>IF(AND('Data Source'!B733&lt;&gt;"",'Data Source'!S733="F"),IF('Data Source'!AC733&gt;=5,"A+",IF('Data Source'!AC733&gt;=4,"A",IF('Data Source'!AC733&gt;=3.5,"A-",IF('Data Source'!AC733&gt;=3,"B",IF('Data Source'!AC733&gt;=2,"C",IF('Data Source'!AC733&gt;=1,"D","F")))))),"")</f>
        <v/>
      </c>
      <c r="L733" s="3">
        <f>IF(AND('Data Source'!B733&lt;&gt;"",'Data Source'!S733="F"),IF('Data Source'!AD733&gt;=5,"A+",IF('Data Source'!AD733&gt;=4,"A",IF('Data Source'!AD733&gt;=3.5,"A-",IF('Data Source'!AD733&gt;=3,"B",IF('Data Source'!AD733&gt;=2,"C",IF('Data Source'!AD733&gt;=1,"D","F")))))),"")</f>
        <v/>
      </c>
      <c r="M733" s="3">
        <f>IF(AND('Data Source'!B733&lt;&gt;"",'Data Source'!S733="F"),IF('Data Source'!AE733&gt;=5,"A+",IF('Data Source'!AE733&gt;=4,"A",IF('Data Source'!AE733&gt;=3.5,"A-",IF('Data Source'!AE733&gt;=3,"B",IF('Data Source'!AE733&gt;=2,"C",IF('Data Source'!AE733&gt;=1,"D","F")))))),"")</f>
        <v/>
      </c>
      <c r="N733" s="3">
        <f>IF(AND('Data Source'!B733&lt;&gt;"",'Data Source'!S733="F"),IF('Data Source'!AF733&gt;=5,"A+",IF('Data Source'!AF733&gt;=4,"A",IF('Data Source'!AF733&gt;=3.5,"A-",IF('Data Source'!AF733&gt;=3,"B",IF('Data Source'!AF733&gt;=2,"C",IF('Data Source'!AF733&gt;=1,"D","F")))))),"")</f>
        <v/>
      </c>
      <c r="O733" s="3">
        <f>IF(AND('Data Source'!B733&lt;&gt;"",'Data Source'!S733="F"),IF('Data Source'!AG733&gt;=5,"A+",IF('Data Source'!AG733&gt;=4,"A",IF('Data Source'!AG733&gt;=3.5,"A-",IF('Data Source'!AG733&gt;=3,"B",IF('Data Source'!AG733&gt;=2,"C",IF('Data Source'!AG733&gt;=1,"D","F")))))),"")</f>
        <v/>
      </c>
      <c r="P733" s="5">
        <f>IF(AND('Data Source'!B733&lt;&gt;"",'Data Source'!S733="F"),'Data Source'!R733,"")</f>
        <v/>
      </c>
      <c r="Q733" s="3">
        <f>IF(AND('Data Source'!B733&lt;&gt;"",'Data Source'!S733="F"),'Data Source'!S733,"")</f>
        <v/>
      </c>
    </row>
    <row r="734">
      <c r="A734" s="3">
        <f>IF(AND('Data Source'!B734&lt;&gt;"",'Data Source'!S734="F"),COUNTIF('Data Source'!$S$3:S734,"F"),"")</f>
        <v/>
      </c>
      <c r="B734">
        <f>IF(AND('Data Source'!B734&lt;&gt;"",'Data Source'!S734="F"),'Data Source'!B734,"")</f>
        <v/>
      </c>
      <c r="C734" s="3">
        <f>IF(AND('Data Source'!B734&lt;&gt;"",'Data Source'!S734="F"),IF('Data Source'!U734&gt;=5,"A+",IF('Data Source'!U734&gt;=4,"A",IF('Data Source'!U734&gt;=3.5,"A-",IF('Data Source'!U734&gt;=3,"B",IF('Data Source'!U734&gt;=2,"C",IF('Data Source'!U734&gt;=1,"D","F")))))),"")</f>
        <v/>
      </c>
      <c r="D734" s="3">
        <f>IF(AND('Data Source'!B734&lt;&gt;"",'Data Source'!S734="F"),IF('Data Source'!V734&gt;=5,"A+",IF('Data Source'!V734&gt;=4,"A",IF('Data Source'!V734&gt;=3.5,"A-",IF('Data Source'!V734&gt;=3,"B",IF('Data Source'!V734&gt;=2,"C",IF('Data Source'!V734&gt;=1,"D","F")))))),"")</f>
        <v/>
      </c>
      <c r="E734" s="3">
        <f>IF(AND('Data Source'!B734&lt;&gt;"",'Data Source'!S734="F"),IF('Data Source'!W734&gt;=5,"A+",IF('Data Source'!W734&gt;=4,"A",IF('Data Source'!W734&gt;=3.5,"A-",IF('Data Source'!W734&gt;=3,"B",IF('Data Source'!W734&gt;=2,"C",IF('Data Source'!W734&gt;=1,"D","F")))))),"")</f>
        <v/>
      </c>
      <c r="F734" s="3">
        <f>IF(AND('Data Source'!B734&lt;&gt;"",'Data Source'!S734="F"),IF('Data Source'!X734&gt;=5,"A+",IF('Data Source'!X734&gt;=4,"A",IF('Data Source'!X734&gt;=3.5,"A-",IF('Data Source'!X734&gt;=3,"B",IF('Data Source'!X734&gt;=2,"C",IF('Data Source'!X734&gt;=1,"D","F")))))),"")</f>
        <v/>
      </c>
      <c r="G734" s="3">
        <f>IF(AND('Data Source'!B734&lt;&gt;"",'Data Source'!S734="F"),IF('Data Source'!Y734&gt;=5,"A+",IF('Data Source'!Y734&gt;=4,"A",IF('Data Source'!Y734&gt;=3.5,"A-",IF('Data Source'!Y734&gt;=3,"B",IF('Data Source'!Y734&gt;=2,"C",IF('Data Source'!Y734&gt;=1,"D","F")))))),"")</f>
        <v/>
      </c>
      <c r="H734" s="3">
        <f>IF(AND('Data Source'!B734&lt;&gt;"",'Data Source'!S734="F"),IF('Data Source'!Z734&gt;=5,"A+",IF('Data Source'!Z734&gt;=4,"A",IF('Data Source'!Z734&gt;=3.5,"A-",IF('Data Source'!Z734&gt;=3,"B",IF('Data Source'!Z734&gt;=2,"C",IF('Data Source'!Z734&gt;=1,"D","F")))))),"")</f>
        <v/>
      </c>
      <c r="I734" s="3">
        <f>IF(AND('Data Source'!B734&lt;&gt;"",'Data Source'!S734="F"),IF('Data Source'!AA734&gt;=5,"A+",IF('Data Source'!AA734&gt;=4,"A",IF('Data Source'!AA734&gt;=3.5,"A-",IF('Data Source'!AA734&gt;=3,"B",IF('Data Source'!AA734&gt;=2,"C",IF('Data Source'!AA734&gt;=1,"D","F")))))),"")</f>
        <v/>
      </c>
      <c r="J734" s="3">
        <f>IF(AND('Data Source'!B734&lt;&gt;"",'Data Source'!S734="F"),IF('Data Source'!AB734&gt;=5,"A+",IF('Data Source'!AB734&gt;=4,"A",IF('Data Source'!AB734&gt;=3.5,"A-",IF('Data Source'!AB734&gt;=3,"B",IF('Data Source'!AB734&gt;=2,"C",IF('Data Source'!AB734&gt;=1,"D","F")))))),"")</f>
        <v/>
      </c>
      <c r="K734" s="3">
        <f>IF(AND('Data Source'!B734&lt;&gt;"",'Data Source'!S734="F"),IF('Data Source'!AC734&gt;=5,"A+",IF('Data Source'!AC734&gt;=4,"A",IF('Data Source'!AC734&gt;=3.5,"A-",IF('Data Source'!AC734&gt;=3,"B",IF('Data Source'!AC734&gt;=2,"C",IF('Data Source'!AC734&gt;=1,"D","F")))))),"")</f>
        <v/>
      </c>
      <c r="L734" s="3">
        <f>IF(AND('Data Source'!B734&lt;&gt;"",'Data Source'!S734="F"),IF('Data Source'!AD734&gt;=5,"A+",IF('Data Source'!AD734&gt;=4,"A",IF('Data Source'!AD734&gt;=3.5,"A-",IF('Data Source'!AD734&gt;=3,"B",IF('Data Source'!AD734&gt;=2,"C",IF('Data Source'!AD734&gt;=1,"D","F")))))),"")</f>
        <v/>
      </c>
      <c r="M734" s="3">
        <f>IF(AND('Data Source'!B734&lt;&gt;"",'Data Source'!S734="F"),IF('Data Source'!AE734&gt;=5,"A+",IF('Data Source'!AE734&gt;=4,"A",IF('Data Source'!AE734&gt;=3.5,"A-",IF('Data Source'!AE734&gt;=3,"B",IF('Data Source'!AE734&gt;=2,"C",IF('Data Source'!AE734&gt;=1,"D","F")))))),"")</f>
        <v/>
      </c>
      <c r="N734" s="3">
        <f>IF(AND('Data Source'!B734&lt;&gt;"",'Data Source'!S734="F"),IF('Data Source'!AF734&gt;=5,"A+",IF('Data Source'!AF734&gt;=4,"A",IF('Data Source'!AF734&gt;=3.5,"A-",IF('Data Source'!AF734&gt;=3,"B",IF('Data Source'!AF734&gt;=2,"C",IF('Data Source'!AF734&gt;=1,"D","F")))))),"")</f>
        <v/>
      </c>
      <c r="O734" s="3">
        <f>IF(AND('Data Source'!B734&lt;&gt;"",'Data Source'!S734="F"),IF('Data Source'!AG734&gt;=5,"A+",IF('Data Source'!AG734&gt;=4,"A",IF('Data Source'!AG734&gt;=3.5,"A-",IF('Data Source'!AG734&gt;=3,"B",IF('Data Source'!AG734&gt;=2,"C",IF('Data Source'!AG734&gt;=1,"D","F")))))),"")</f>
        <v/>
      </c>
      <c r="P734" s="5">
        <f>IF(AND('Data Source'!B734&lt;&gt;"",'Data Source'!S734="F"),'Data Source'!R734,"")</f>
        <v/>
      </c>
      <c r="Q734" s="3">
        <f>IF(AND('Data Source'!B734&lt;&gt;"",'Data Source'!S734="F"),'Data Source'!S734,"")</f>
        <v/>
      </c>
    </row>
    <row r="735">
      <c r="A735" s="3">
        <f>IF(AND('Data Source'!B735&lt;&gt;"",'Data Source'!S735="F"),COUNTIF('Data Source'!$S$3:S735,"F"),"")</f>
        <v/>
      </c>
      <c r="B735">
        <f>IF(AND('Data Source'!B735&lt;&gt;"",'Data Source'!S735="F"),'Data Source'!B735,"")</f>
        <v/>
      </c>
      <c r="C735" s="3">
        <f>IF(AND('Data Source'!B735&lt;&gt;"",'Data Source'!S735="F"),IF('Data Source'!U735&gt;=5,"A+",IF('Data Source'!U735&gt;=4,"A",IF('Data Source'!U735&gt;=3.5,"A-",IF('Data Source'!U735&gt;=3,"B",IF('Data Source'!U735&gt;=2,"C",IF('Data Source'!U735&gt;=1,"D","F")))))),"")</f>
        <v/>
      </c>
      <c r="D735" s="3">
        <f>IF(AND('Data Source'!B735&lt;&gt;"",'Data Source'!S735="F"),IF('Data Source'!V735&gt;=5,"A+",IF('Data Source'!V735&gt;=4,"A",IF('Data Source'!V735&gt;=3.5,"A-",IF('Data Source'!V735&gt;=3,"B",IF('Data Source'!V735&gt;=2,"C",IF('Data Source'!V735&gt;=1,"D","F")))))),"")</f>
        <v/>
      </c>
      <c r="E735" s="3">
        <f>IF(AND('Data Source'!B735&lt;&gt;"",'Data Source'!S735="F"),IF('Data Source'!W735&gt;=5,"A+",IF('Data Source'!W735&gt;=4,"A",IF('Data Source'!W735&gt;=3.5,"A-",IF('Data Source'!W735&gt;=3,"B",IF('Data Source'!W735&gt;=2,"C",IF('Data Source'!W735&gt;=1,"D","F")))))),"")</f>
        <v/>
      </c>
      <c r="F735" s="3">
        <f>IF(AND('Data Source'!B735&lt;&gt;"",'Data Source'!S735="F"),IF('Data Source'!X735&gt;=5,"A+",IF('Data Source'!X735&gt;=4,"A",IF('Data Source'!X735&gt;=3.5,"A-",IF('Data Source'!X735&gt;=3,"B",IF('Data Source'!X735&gt;=2,"C",IF('Data Source'!X735&gt;=1,"D","F")))))),"")</f>
        <v/>
      </c>
      <c r="G735" s="3">
        <f>IF(AND('Data Source'!B735&lt;&gt;"",'Data Source'!S735="F"),IF('Data Source'!Y735&gt;=5,"A+",IF('Data Source'!Y735&gt;=4,"A",IF('Data Source'!Y735&gt;=3.5,"A-",IF('Data Source'!Y735&gt;=3,"B",IF('Data Source'!Y735&gt;=2,"C",IF('Data Source'!Y735&gt;=1,"D","F")))))),"")</f>
        <v/>
      </c>
      <c r="H735" s="3">
        <f>IF(AND('Data Source'!B735&lt;&gt;"",'Data Source'!S735="F"),IF('Data Source'!Z735&gt;=5,"A+",IF('Data Source'!Z735&gt;=4,"A",IF('Data Source'!Z735&gt;=3.5,"A-",IF('Data Source'!Z735&gt;=3,"B",IF('Data Source'!Z735&gt;=2,"C",IF('Data Source'!Z735&gt;=1,"D","F")))))),"")</f>
        <v/>
      </c>
      <c r="I735" s="3">
        <f>IF(AND('Data Source'!B735&lt;&gt;"",'Data Source'!S735="F"),IF('Data Source'!AA735&gt;=5,"A+",IF('Data Source'!AA735&gt;=4,"A",IF('Data Source'!AA735&gt;=3.5,"A-",IF('Data Source'!AA735&gt;=3,"B",IF('Data Source'!AA735&gt;=2,"C",IF('Data Source'!AA735&gt;=1,"D","F")))))),"")</f>
        <v/>
      </c>
      <c r="J735" s="3">
        <f>IF(AND('Data Source'!B735&lt;&gt;"",'Data Source'!S735="F"),IF('Data Source'!AB735&gt;=5,"A+",IF('Data Source'!AB735&gt;=4,"A",IF('Data Source'!AB735&gt;=3.5,"A-",IF('Data Source'!AB735&gt;=3,"B",IF('Data Source'!AB735&gt;=2,"C",IF('Data Source'!AB735&gt;=1,"D","F")))))),"")</f>
        <v/>
      </c>
      <c r="K735" s="3">
        <f>IF(AND('Data Source'!B735&lt;&gt;"",'Data Source'!S735="F"),IF('Data Source'!AC735&gt;=5,"A+",IF('Data Source'!AC735&gt;=4,"A",IF('Data Source'!AC735&gt;=3.5,"A-",IF('Data Source'!AC735&gt;=3,"B",IF('Data Source'!AC735&gt;=2,"C",IF('Data Source'!AC735&gt;=1,"D","F")))))),"")</f>
        <v/>
      </c>
      <c r="L735" s="3">
        <f>IF(AND('Data Source'!B735&lt;&gt;"",'Data Source'!S735="F"),IF('Data Source'!AD735&gt;=5,"A+",IF('Data Source'!AD735&gt;=4,"A",IF('Data Source'!AD735&gt;=3.5,"A-",IF('Data Source'!AD735&gt;=3,"B",IF('Data Source'!AD735&gt;=2,"C",IF('Data Source'!AD735&gt;=1,"D","F")))))),"")</f>
        <v/>
      </c>
      <c r="M735" s="3">
        <f>IF(AND('Data Source'!B735&lt;&gt;"",'Data Source'!S735="F"),IF('Data Source'!AE735&gt;=5,"A+",IF('Data Source'!AE735&gt;=4,"A",IF('Data Source'!AE735&gt;=3.5,"A-",IF('Data Source'!AE735&gt;=3,"B",IF('Data Source'!AE735&gt;=2,"C",IF('Data Source'!AE735&gt;=1,"D","F")))))),"")</f>
        <v/>
      </c>
      <c r="N735" s="3">
        <f>IF(AND('Data Source'!B735&lt;&gt;"",'Data Source'!S735="F"),IF('Data Source'!AF735&gt;=5,"A+",IF('Data Source'!AF735&gt;=4,"A",IF('Data Source'!AF735&gt;=3.5,"A-",IF('Data Source'!AF735&gt;=3,"B",IF('Data Source'!AF735&gt;=2,"C",IF('Data Source'!AF735&gt;=1,"D","F")))))),"")</f>
        <v/>
      </c>
      <c r="O735" s="3">
        <f>IF(AND('Data Source'!B735&lt;&gt;"",'Data Source'!S735="F"),IF('Data Source'!AG735&gt;=5,"A+",IF('Data Source'!AG735&gt;=4,"A",IF('Data Source'!AG735&gt;=3.5,"A-",IF('Data Source'!AG735&gt;=3,"B",IF('Data Source'!AG735&gt;=2,"C",IF('Data Source'!AG735&gt;=1,"D","F")))))),"")</f>
        <v/>
      </c>
      <c r="P735" s="5">
        <f>IF(AND('Data Source'!B735&lt;&gt;"",'Data Source'!S735="F"),'Data Source'!R735,"")</f>
        <v/>
      </c>
      <c r="Q735" s="3">
        <f>IF(AND('Data Source'!B735&lt;&gt;"",'Data Source'!S735="F"),'Data Source'!S735,"")</f>
        <v/>
      </c>
    </row>
    <row r="736">
      <c r="A736" s="3">
        <f>IF(AND('Data Source'!B736&lt;&gt;"",'Data Source'!S736="F"),COUNTIF('Data Source'!$S$3:S736,"F"),"")</f>
        <v/>
      </c>
      <c r="B736">
        <f>IF(AND('Data Source'!B736&lt;&gt;"",'Data Source'!S736="F"),'Data Source'!B736,"")</f>
        <v/>
      </c>
      <c r="C736" s="3">
        <f>IF(AND('Data Source'!B736&lt;&gt;"",'Data Source'!S736="F"),IF('Data Source'!U736&gt;=5,"A+",IF('Data Source'!U736&gt;=4,"A",IF('Data Source'!U736&gt;=3.5,"A-",IF('Data Source'!U736&gt;=3,"B",IF('Data Source'!U736&gt;=2,"C",IF('Data Source'!U736&gt;=1,"D","F")))))),"")</f>
        <v/>
      </c>
      <c r="D736" s="3">
        <f>IF(AND('Data Source'!B736&lt;&gt;"",'Data Source'!S736="F"),IF('Data Source'!V736&gt;=5,"A+",IF('Data Source'!V736&gt;=4,"A",IF('Data Source'!V736&gt;=3.5,"A-",IF('Data Source'!V736&gt;=3,"B",IF('Data Source'!V736&gt;=2,"C",IF('Data Source'!V736&gt;=1,"D","F")))))),"")</f>
        <v/>
      </c>
      <c r="E736" s="3">
        <f>IF(AND('Data Source'!B736&lt;&gt;"",'Data Source'!S736="F"),IF('Data Source'!W736&gt;=5,"A+",IF('Data Source'!W736&gt;=4,"A",IF('Data Source'!W736&gt;=3.5,"A-",IF('Data Source'!W736&gt;=3,"B",IF('Data Source'!W736&gt;=2,"C",IF('Data Source'!W736&gt;=1,"D","F")))))),"")</f>
        <v/>
      </c>
      <c r="F736" s="3">
        <f>IF(AND('Data Source'!B736&lt;&gt;"",'Data Source'!S736="F"),IF('Data Source'!X736&gt;=5,"A+",IF('Data Source'!X736&gt;=4,"A",IF('Data Source'!X736&gt;=3.5,"A-",IF('Data Source'!X736&gt;=3,"B",IF('Data Source'!X736&gt;=2,"C",IF('Data Source'!X736&gt;=1,"D","F")))))),"")</f>
        <v/>
      </c>
      <c r="G736" s="3">
        <f>IF(AND('Data Source'!B736&lt;&gt;"",'Data Source'!S736="F"),IF('Data Source'!Y736&gt;=5,"A+",IF('Data Source'!Y736&gt;=4,"A",IF('Data Source'!Y736&gt;=3.5,"A-",IF('Data Source'!Y736&gt;=3,"B",IF('Data Source'!Y736&gt;=2,"C",IF('Data Source'!Y736&gt;=1,"D","F")))))),"")</f>
        <v/>
      </c>
      <c r="H736" s="3">
        <f>IF(AND('Data Source'!B736&lt;&gt;"",'Data Source'!S736="F"),IF('Data Source'!Z736&gt;=5,"A+",IF('Data Source'!Z736&gt;=4,"A",IF('Data Source'!Z736&gt;=3.5,"A-",IF('Data Source'!Z736&gt;=3,"B",IF('Data Source'!Z736&gt;=2,"C",IF('Data Source'!Z736&gt;=1,"D","F")))))),"")</f>
        <v/>
      </c>
      <c r="I736" s="3">
        <f>IF(AND('Data Source'!B736&lt;&gt;"",'Data Source'!S736="F"),IF('Data Source'!AA736&gt;=5,"A+",IF('Data Source'!AA736&gt;=4,"A",IF('Data Source'!AA736&gt;=3.5,"A-",IF('Data Source'!AA736&gt;=3,"B",IF('Data Source'!AA736&gt;=2,"C",IF('Data Source'!AA736&gt;=1,"D","F")))))),"")</f>
        <v/>
      </c>
      <c r="J736" s="3">
        <f>IF(AND('Data Source'!B736&lt;&gt;"",'Data Source'!S736="F"),IF('Data Source'!AB736&gt;=5,"A+",IF('Data Source'!AB736&gt;=4,"A",IF('Data Source'!AB736&gt;=3.5,"A-",IF('Data Source'!AB736&gt;=3,"B",IF('Data Source'!AB736&gt;=2,"C",IF('Data Source'!AB736&gt;=1,"D","F")))))),"")</f>
        <v/>
      </c>
      <c r="K736" s="3">
        <f>IF(AND('Data Source'!B736&lt;&gt;"",'Data Source'!S736="F"),IF('Data Source'!AC736&gt;=5,"A+",IF('Data Source'!AC736&gt;=4,"A",IF('Data Source'!AC736&gt;=3.5,"A-",IF('Data Source'!AC736&gt;=3,"B",IF('Data Source'!AC736&gt;=2,"C",IF('Data Source'!AC736&gt;=1,"D","F")))))),"")</f>
        <v/>
      </c>
      <c r="L736" s="3">
        <f>IF(AND('Data Source'!B736&lt;&gt;"",'Data Source'!S736="F"),IF('Data Source'!AD736&gt;=5,"A+",IF('Data Source'!AD736&gt;=4,"A",IF('Data Source'!AD736&gt;=3.5,"A-",IF('Data Source'!AD736&gt;=3,"B",IF('Data Source'!AD736&gt;=2,"C",IF('Data Source'!AD736&gt;=1,"D","F")))))),"")</f>
        <v/>
      </c>
      <c r="M736" s="3">
        <f>IF(AND('Data Source'!B736&lt;&gt;"",'Data Source'!S736="F"),IF('Data Source'!AE736&gt;=5,"A+",IF('Data Source'!AE736&gt;=4,"A",IF('Data Source'!AE736&gt;=3.5,"A-",IF('Data Source'!AE736&gt;=3,"B",IF('Data Source'!AE736&gt;=2,"C",IF('Data Source'!AE736&gt;=1,"D","F")))))),"")</f>
        <v/>
      </c>
      <c r="N736" s="3">
        <f>IF(AND('Data Source'!B736&lt;&gt;"",'Data Source'!S736="F"),IF('Data Source'!AF736&gt;=5,"A+",IF('Data Source'!AF736&gt;=4,"A",IF('Data Source'!AF736&gt;=3.5,"A-",IF('Data Source'!AF736&gt;=3,"B",IF('Data Source'!AF736&gt;=2,"C",IF('Data Source'!AF736&gt;=1,"D","F")))))),"")</f>
        <v/>
      </c>
      <c r="O736" s="3">
        <f>IF(AND('Data Source'!B736&lt;&gt;"",'Data Source'!S736="F"),IF('Data Source'!AG736&gt;=5,"A+",IF('Data Source'!AG736&gt;=4,"A",IF('Data Source'!AG736&gt;=3.5,"A-",IF('Data Source'!AG736&gt;=3,"B",IF('Data Source'!AG736&gt;=2,"C",IF('Data Source'!AG736&gt;=1,"D","F")))))),"")</f>
        <v/>
      </c>
      <c r="P736" s="5">
        <f>IF(AND('Data Source'!B736&lt;&gt;"",'Data Source'!S736="F"),'Data Source'!R736,"")</f>
        <v/>
      </c>
      <c r="Q736" s="3">
        <f>IF(AND('Data Source'!B736&lt;&gt;"",'Data Source'!S736="F"),'Data Source'!S736,"")</f>
        <v/>
      </c>
    </row>
    <row r="737">
      <c r="A737" s="3">
        <f>IF(AND('Data Source'!B737&lt;&gt;"",'Data Source'!S737="F"),COUNTIF('Data Source'!$S$3:S737,"F"),"")</f>
        <v/>
      </c>
      <c r="B737">
        <f>IF(AND('Data Source'!B737&lt;&gt;"",'Data Source'!S737="F"),'Data Source'!B737,"")</f>
        <v/>
      </c>
      <c r="C737" s="3">
        <f>IF(AND('Data Source'!B737&lt;&gt;"",'Data Source'!S737="F"),IF('Data Source'!U737&gt;=5,"A+",IF('Data Source'!U737&gt;=4,"A",IF('Data Source'!U737&gt;=3.5,"A-",IF('Data Source'!U737&gt;=3,"B",IF('Data Source'!U737&gt;=2,"C",IF('Data Source'!U737&gt;=1,"D","F")))))),"")</f>
        <v/>
      </c>
      <c r="D737" s="3">
        <f>IF(AND('Data Source'!B737&lt;&gt;"",'Data Source'!S737="F"),IF('Data Source'!V737&gt;=5,"A+",IF('Data Source'!V737&gt;=4,"A",IF('Data Source'!V737&gt;=3.5,"A-",IF('Data Source'!V737&gt;=3,"B",IF('Data Source'!V737&gt;=2,"C",IF('Data Source'!V737&gt;=1,"D","F")))))),"")</f>
        <v/>
      </c>
      <c r="E737" s="3">
        <f>IF(AND('Data Source'!B737&lt;&gt;"",'Data Source'!S737="F"),IF('Data Source'!W737&gt;=5,"A+",IF('Data Source'!W737&gt;=4,"A",IF('Data Source'!W737&gt;=3.5,"A-",IF('Data Source'!W737&gt;=3,"B",IF('Data Source'!W737&gt;=2,"C",IF('Data Source'!W737&gt;=1,"D","F")))))),"")</f>
        <v/>
      </c>
      <c r="F737" s="3">
        <f>IF(AND('Data Source'!B737&lt;&gt;"",'Data Source'!S737="F"),IF('Data Source'!X737&gt;=5,"A+",IF('Data Source'!X737&gt;=4,"A",IF('Data Source'!X737&gt;=3.5,"A-",IF('Data Source'!X737&gt;=3,"B",IF('Data Source'!X737&gt;=2,"C",IF('Data Source'!X737&gt;=1,"D","F")))))),"")</f>
        <v/>
      </c>
      <c r="G737" s="3">
        <f>IF(AND('Data Source'!B737&lt;&gt;"",'Data Source'!S737="F"),IF('Data Source'!Y737&gt;=5,"A+",IF('Data Source'!Y737&gt;=4,"A",IF('Data Source'!Y737&gt;=3.5,"A-",IF('Data Source'!Y737&gt;=3,"B",IF('Data Source'!Y737&gt;=2,"C",IF('Data Source'!Y737&gt;=1,"D","F")))))),"")</f>
        <v/>
      </c>
      <c r="H737" s="3">
        <f>IF(AND('Data Source'!B737&lt;&gt;"",'Data Source'!S737="F"),IF('Data Source'!Z737&gt;=5,"A+",IF('Data Source'!Z737&gt;=4,"A",IF('Data Source'!Z737&gt;=3.5,"A-",IF('Data Source'!Z737&gt;=3,"B",IF('Data Source'!Z737&gt;=2,"C",IF('Data Source'!Z737&gt;=1,"D","F")))))),"")</f>
        <v/>
      </c>
      <c r="I737" s="3">
        <f>IF(AND('Data Source'!B737&lt;&gt;"",'Data Source'!S737="F"),IF('Data Source'!AA737&gt;=5,"A+",IF('Data Source'!AA737&gt;=4,"A",IF('Data Source'!AA737&gt;=3.5,"A-",IF('Data Source'!AA737&gt;=3,"B",IF('Data Source'!AA737&gt;=2,"C",IF('Data Source'!AA737&gt;=1,"D","F")))))),"")</f>
        <v/>
      </c>
      <c r="J737" s="3">
        <f>IF(AND('Data Source'!B737&lt;&gt;"",'Data Source'!S737="F"),IF('Data Source'!AB737&gt;=5,"A+",IF('Data Source'!AB737&gt;=4,"A",IF('Data Source'!AB737&gt;=3.5,"A-",IF('Data Source'!AB737&gt;=3,"B",IF('Data Source'!AB737&gt;=2,"C",IF('Data Source'!AB737&gt;=1,"D","F")))))),"")</f>
        <v/>
      </c>
      <c r="K737" s="3">
        <f>IF(AND('Data Source'!B737&lt;&gt;"",'Data Source'!S737="F"),IF('Data Source'!AC737&gt;=5,"A+",IF('Data Source'!AC737&gt;=4,"A",IF('Data Source'!AC737&gt;=3.5,"A-",IF('Data Source'!AC737&gt;=3,"B",IF('Data Source'!AC737&gt;=2,"C",IF('Data Source'!AC737&gt;=1,"D","F")))))),"")</f>
        <v/>
      </c>
      <c r="L737" s="3">
        <f>IF(AND('Data Source'!B737&lt;&gt;"",'Data Source'!S737="F"),IF('Data Source'!AD737&gt;=5,"A+",IF('Data Source'!AD737&gt;=4,"A",IF('Data Source'!AD737&gt;=3.5,"A-",IF('Data Source'!AD737&gt;=3,"B",IF('Data Source'!AD737&gt;=2,"C",IF('Data Source'!AD737&gt;=1,"D","F")))))),"")</f>
        <v/>
      </c>
      <c r="M737" s="3">
        <f>IF(AND('Data Source'!B737&lt;&gt;"",'Data Source'!S737="F"),IF('Data Source'!AE737&gt;=5,"A+",IF('Data Source'!AE737&gt;=4,"A",IF('Data Source'!AE737&gt;=3.5,"A-",IF('Data Source'!AE737&gt;=3,"B",IF('Data Source'!AE737&gt;=2,"C",IF('Data Source'!AE737&gt;=1,"D","F")))))),"")</f>
        <v/>
      </c>
      <c r="N737" s="3">
        <f>IF(AND('Data Source'!B737&lt;&gt;"",'Data Source'!S737="F"),IF('Data Source'!AF737&gt;=5,"A+",IF('Data Source'!AF737&gt;=4,"A",IF('Data Source'!AF737&gt;=3.5,"A-",IF('Data Source'!AF737&gt;=3,"B",IF('Data Source'!AF737&gt;=2,"C",IF('Data Source'!AF737&gt;=1,"D","F")))))),"")</f>
        <v/>
      </c>
      <c r="O737" s="3">
        <f>IF(AND('Data Source'!B737&lt;&gt;"",'Data Source'!S737="F"),IF('Data Source'!AG737&gt;=5,"A+",IF('Data Source'!AG737&gt;=4,"A",IF('Data Source'!AG737&gt;=3.5,"A-",IF('Data Source'!AG737&gt;=3,"B",IF('Data Source'!AG737&gt;=2,"C",IF('Data Source'!AG737&gt;=1,"D","F")))))),"")</f>
        <v/>
      </c>
      <c r="P737" s="5">
        <f>IF(AND('Data Source'!B737&lt;&gt;"",'Data Source'!S737="F"),'Data Source'!R737,"")</f>
        <v/>
      </c>
      <c r="Q737" s="3">
        <f>IF(AND('Data Source'!B737&lt;&gt;"",'Data Source'!S737="F"),'Data Source'!S737,"")</f>
        <v/>
      </c>
    </row>
    <row r="738">
      <c r="A738" s="3">
        <f>IF(AND('Data Source'!B738&lt;&gt;"",'Data Source'!S738="F"),COUNTIF('Data Source'!$S$3:S738,"F"),"")</f>
        <v/>
      </c>
      <c r="B738">
        <f>IF(AND('Data Source'!B738&lt;&gt;"",'Data Source'!S738="F"),'Data Source'!B738,"")</f>
        <v/>
      </c>
      <c r="C738" s="3">
        <f>IF(AND('Data Source'!B738&lt;&gt;"",'Data Source'!S738="F"),IF('Data Source'!U738&gt;=5,"A+",IF('Data Source'!U738&gt;=4,"A",IF('Data Source'!U738&gt;=3.5,"A-",IF('Data Source'!U738&gt;=3,"B",IF('Data Source'!U738&gt;=2,"C",IF('Data Source'!U738&gt;=1,"D","F")))))),"")</f>
        <v/>
      </c>
      <c r="D738" s="3">
        <f>IF(AND('Data Source'!B738&lt;&gt;"",'Data Source'!S738="F"),IF('Data Source'!V738&gt;=5,"A+",IF('Data Source'!V738&gt;=4,"A",IF('Data Source'!V738&gt;=3.5,"A-",IF('Data Source'!V738&gt;=3,"B",IF('Data Source'!V738&gt;=2,"C",IF('Data Source'!V738&gt;=1,"D","F")))))),"")</f>
        <v/>
      </c>
      <c r="E738" s="3">
        <f>IF(AND('Data Source'!B738&lt;&gt;"",'Data Source'!S738="F"),IF('Data Source'!W738&gt;=5,"A+",IF('Data Source'!W738&gt;=4,"A",IF('Data Source'!W738&gt;=3.5,"A-",IF('Data Source'!W738&gt;=3,"B",IF('Data Source'!W738&gt;=2,"C",IF('Data Source'!W738&gt;=1,"D","F")))))),"")</f>
        <v/>
      </c>
      <c r="F738" s="3">
        <f>IF(AND('Data Source'!B738&lt;&gt;"",'Data Source'!S738="F"),IF('Data Source'!X738&gt;=5,"A+",IF('Data Source'!X738&gt;=4,"A",IF('Data Source'!X738&gt;=3.5,"A-",IF('Data Source'!X738&gt;=3,"B",IF('Data Source'!X738&gt;=2,"C",IF('Data Source'!X738&gt;=1,"D","F")))))),"")</f>
        <v/>
      </c>
      <c r="G738" s="3">
        <f>IF(AND('Data Source'!B738&lt;&gt;"",'Data Source'!S738="F"),IF('Data Source'!Y738&gt;=5,"A+",IF('Data Source'!Y738&gt;=4,"A",IF('Data Source'!Y738&gt;=3.5,"A-",IF('Data Source'!Y738&gt;=3,"B",IF('Data Source'!Y738&gt;=2,"C",IF('Data Source'!Y738&gt;=1,"D","F")))))),"")</f>
        <v/>
      </c>
      <c r="H738" s="3">
        <f>IF(AND('Data Source'!B738&lt;&gt;"",'Data Source'!S738="F"),IF('Data Source'!Z738&gt;=5,"A+",IF('Data Source'!Z738&gt;=4,"A",IF('Data Source'!Z738&gt;=3.5,"A-",IF('Data Source'!Z738&gt;=3,"B",IF('Data Source'!Z738&gt;=2,"C",IF('Data Source'!Z738&gt;=1,"D","F")))))),"")</f>
        <v/>
      </c>
      <c r="I738" s="3">
        <f>IF(AND('Data Source'!B738&lt;&gt;"",'Data Source'!S738="F"),IF('Data Source'!AA738&gt;=5,"A+",IF('Data Source'!AA738&gt;=4,"A",IF('Data Source'!AA738&gt;=3.5,"A-",IF('Data Source'!AA738&gt;=3,"B",IF('Data Source'!AA738&gt;=2,"C",IF('Data Source'!AA738&gt;=1,"D","F")))))),"")</f>
        <v/>
      </c>
      <c r="J738" s="3">
        <f>IF(AND('Data Source'!B738&lt;&gt;"",'Data Source'!S738="F"),IF('Data Source'!AB738&gt;=5,"A+",IF('Data Source'!AB738&gt;=4,"A",IF('Data Source'!AB738&gt;=3.5,"A-",IF('Data Source'!AB738&gt;=3,"B",IF('Data Source'!AB738&gt;=2,"C",IF('Data Source'!AB738&gt;=1,"D","F")))))),"")</f>
        <v/>
      </c>
      <c r="K738" s="3">
        <f>IF(AND('Data Source'!B738&lt;&gt;"",'Data Source'!S738="F"),IF('Data Source'!AC738&gt;=5,"A+",IF('Data Source'!AC738&gt;=4,"A",IF('Data Source'!AC738&gt;=3.5,"A-",IF('Data Source'!AC738&gt;=3,"B",IF('Data Source'!AC738&gt;=2,"C",IF('Data Source'!AC738&gt;=1,"D","F")))))),"")</f>
        <v/>
      </c>
      <c r="L738" s="3">
        <f>IF(AND('Data Source'!B738&lt;&gt;"",'Data Source'!S738="F"),IF('Data Source'!AD738&gt;=5,"A+",IF('Data Source'!AD738&gt;=4,"A",IF('Data Source'!AD738&gt;=3.5,"A-",IF('Data Source'!AD738&gt;=3,"B",IF('Data Source'!AD738&gt;=2,"C",IF('Data Source'!AD738&gt;=1,"D","F")))))),"")</f>
        <v/>
      </c>
      <c r="M738" s="3">
        <f>IF(AND('Data Source'!B738&lt;&gt;"",'Data Source'!S738="F"),IF('Data Source'!AE738&gt;=5,"A+",IF('Data Source'!AE738&gt;=4,"A",IF('Data Source'!AE738&gt;=3.5,"A-",IF('Data Source'!AE738&gt;=3,"B",IF('Data Source'!AE738&gt;=2,"C",IF('Data Source'!AE738&gt;=1,"D","F")))))),"")</f>
        <v/>
      </c>
      <c r="N738" s="3">
        <f>IF(AND('Data Source'!B738&lt;&gt;"",'Data Source'!S738="F"),IF('Data Source'!AF738&gt;=5,"A+",IF('Data Source'!AF738&gt;=4,"A",IF('Data Source'!AF738&gt;=3.5,"A-",IF('Data Source'!AF738&gt;=3,"B",IF('Data Source'!AF738&gt;=2,"C",IF('Data Source'!AF738&gt;=1,"D","F")))))),"")</f>
        <v/>
      </c>
      <c r="O738" s="3">
        <f>IF(AND('Data Source'!B738&lt;&gt;"",'Data Source'!S738="F"),IF('Data Source'!AG738&gt;=5,"A+",IF('Data Source'!AG738&gt;=4,"A",IF('Data Source'!AG738&gt;=3.5,"A-",IF('Data Source'!AG738&gt;=3,"B",IF('Data Source'!AG738&gt;=2,"C",IF('Data Source'!AG738&gt;=1,"D","F")))))),"")</f>
        <v/>
      </c>
      <c r="P738" s="5">
        <f>IF(AND('Data Source'!B738&lt;&gt;"",'Data Source'!S738="F"),'Data Source'!R738,"")</f>
        <v/>
      </c>
      <c r="Q738" s="3">
        <f>IF(AND('Data Source'!B738&lt;&gt;"",'Data Source'!S738="F"),'Data Source'!S738,"")</f>
        <v/>
      </c>
    </row>
    <row r="739">
      <c r="A739" s="3">
        <f>IF(AND('Data Source'!B739&lt;&gt;"",'Data Source'!S739="F"),COUNTIF('Data Source'!$S$3:S739,"F"),"")</f>
        <v/>
      </c>
      <c r="B739">
        <f>IF(AND('Data Source'!B739&lt;&gt;"",'Data Source'!S739="F"),'Data Source'!B739,"")</f>
        <v/>
      </c>
      <c r="C739" s="3">
        <f>IF(AND('Data Source'!B739&lt;&gt;"",'Data Source'!S739="F"),IF('Data Source'!U739&gt;=5,"A+",IF('Data Source'!U739&gt;=4,"A",IF('Data Source'!U739&gt;=3.5,"A-",IF('Data Source'!U739&gt;=3,"B",IF('Data Source'!U739&gt;=2,"C",IF('Data Source'!U739&gt;=1,"D","F")))))),"")</f>
        <v/>
      </c>
      <c r="D739" s="3">
        <f>IF(AND('Data Source'!B739&lt;&gt;"",'Data Source'!S739="F"),IF('Data Source'!V739&gt;=5,"A+",IF('Data Source'!V739&gt;=4,"A",IF('Data Source'!V739&gt;=3.5,"A-",IF('Data Source'!V739&gt;=3,"B",IF('Data Source'!V739&gt;=2,"C",IF('Data Source'!V739&gt;=1,"D","F")))))),"")</f>
        <v/>
      </c>
      <c r="E739" s="3">
        <f>IF(AND('Data Source'!B739&lt;&gt;"",'Data Source'!S739="F"),IF('Data Source'!W739&gt;=5,"A+",IF('Data Source'!W739&gt;=4,"A",IF('Data Source'!W739&gt;=3.5,"A-",IF('Data Source'!W739&gt;=3,"B",IF('Data Source'!W739&gt;=2,"C",IF('Data Source'!W739&gt;=1,"D","F")))))),"")</f>
        <v/>
      </c>
      <c r="F739" s="3">
        <f>IF(AND('Data Source'!B739&lt;&gt;"",'Data Source'!S739="F"),IF('Data Source'!X739&gt;=5,"A+",IF('Data Source'!X739&gt;=4,"A",IF('Data Source'!X739&gt;=3.5,"A-",IF('Data Source'!X739&gt;=3,"B",IF('Data Source'!X739&gt;=2,"C",IF('Data Source'!X739&gt;=1,"D","F")))))),"")</f>
        <v/>
      </c>
      <c r="G739" s="3">
        <f>IF(AND('Data Source'!B739&lt;&gt;"",'Data Source'!S739="F"),IF('Data Source'!Y739&gt;=5,"A+",IF('Data Source'!Y739&gt;=4,"A",IF('Data Source'!Y739&gt;=3.5,"A-",IF('Data Source'!Y739&gt;=3,"B",IF('Data Source'!Y739&gt;=2,"C",IF('Data Source'!Y739&gt;=1,"D","F")))))),"")</f>
        <v/>
      </c>
      <c r="H739" s="3">
        <f>IF(AND('Data Source'!B739&lt;&gt;"",'Data Source'!S739="F"),IF('Data Source'!Z739&gt;=5,"A+",IF('Data Source'!Z739&gt;=4,"A",IF('Data Source'!Z739&gt;=3.5,"A-",IF('Data Source'!Z739&gt;=3,"B",IF('Data Source'!Z739&gt;=2,"C",IF('Data Source'!Z739&gt;=1,"D","F")))))),"")</f>
        <v/>
      </c>
      <c r="I739" s="3">
        <f>IF(AND('Data Source'!B739&lt;&gt;"",'Data Source'!S739="F"),IF('Data Source'!AA739&gt;=5,"A+",IF('Data Source'!AA739&gt;=4,"A",IF('Data Source'!AA739&gt;=3.5,"A-",IF('Data Source'!AA739&gt;=3,"B",IF('Data Source'!AA739&gt;=2,"C",IF('Data Source'!AA739&gt;=1,"D","F")))))),"")</f>
        <v/>
      </c>
      <c r="J739" s="3">
        <f>IF(AND('Data Source'!B739&lt;&gt;"",'Data Source'!S739="F"),IF('Data Source'!AB739&gt;=5,"A+",IF('Data Source'!AB739&gt;=4,"A",IF('Data Source'!AB739&gt;=3.5,"A-",IF('Data Source'!AB739&gt;=3,"B",IF('Data Source'!AB739&gt;=2,"C",IF('Data Source'!AB739&gt;=1,"D","F")))))),"")</f>
        <v/>
      </c>
      <c r="K739" s="3">
        <f>IF(AND('Data Source'!B739&lt;&gt;"",'Data Source'!S739="F"),IF('Data Source'!AC739&gt;=5,"A+",IF('Data Source'!AC739&gt;=4,"A",IF('Data Source'!AC739&gt;=3.5,"A-",IF('Data Source'!AC739&gt;=3,"B",IF('Data Source'!AC739&gt;=2,"C",IF('Data Source'!AC739&gt;=1,"D","F")))))),"")</f>
        <v/>
      </c>
      <c r="L739" s="3">
        <f>IF(AND('Data Source'!B739&lt;&gt;"",'Data Source'!S739="F"),IF('Data Source'!AD739&gt;=5,"A+",IF('Data Source'!AD739&gt;=4,"A",IF('Data Source'!AD739&gt;=3.5,"A-",IF('Data Source'!AD739&gt;=3,"B",IF('Data Source'!AD739&gt;=2,"C",IF('Data Source'!AD739&gt;=1,"D","F")))))),"")</f>
        <v/>
      </c>
      <c r="M739" s="3">
        <f>IF(AND('Data Source'!B739&lt;&gt;"",'Data Source'!S739="F"),IF('Data Source'!AE739&gt;=5,"A+",IF('Data Source'!AE739&gt;=4,"A",IF('Data Source'!AE739&gt;=3.5,"A-",IF('Data Source'!AE739&gt;=3,"B",IF('Data Source'!AE739&gt;=2,"C",IF('Data Source'!AE739&gt;=1,"D","F")))))),"")</f>
        <v/>
      </c>
      <c r="N739" s="3">
        <f>IF(AND('Data Source'!B739&lt;&gt;"",'Data Source'!S739="F"),IF('Data Source'!AF739&gt;=5,"A+",IF('Data Source'!AF739&gt;=4,"A",IF('Data Source'!AF739&gt;=3.5,"A-",IF('Data Source'!AF739&gt;=3,"B",IF('Data Source'!AF739&gt;=2,"C",IF('Data Source'!AF739&gt;=1,"D","F")))))),"")</f>
        <v/>
      </c>
      <c r="O739" s="3">
        <f>IF(AND('Data Source'!B739&lt;&gt;"",'Data Source'!S739="F"),IF('Data Source'!AG739&gt;=5,"A+",IF('Data Source'!AG739&gt;=4,"A",IF('Data Source'!AG739&gt;=3.5,"A-",IF('Data Source'!AG739&gt;=3,"B",IF('Data Source'!AG739&gt;=2,"C",IF('Data Source'!AG739&gt;=1,"D","F")))))),"")</f>
        <v/>
      </c>
      <c r="P739" s="5">
        <f>IF(AND('Data Source'!B739&lt;&gt;"",'Data Source'!S739="F"),'Data Source'!R739,"")</f>
        <v/>
      </c>
      <c r="Q739" s="3">
        <f>IF(AND('Data Source'!B739&lt;&gt;"",'Data Source'!S739="F"),'Data Source'!S739,"")</f>
        <v/>
      </c>
    </row>
    <row r="740">
      <c r="A740" s="3">
        <f>IF(AND('Data Source'!B740&lt;&gt;"",'Data Source'!S740="F"),COUNTIF('Data Source'!$S$3:S740,"F"),"")</f>
        <v/>
      </c>
      <c r="B740">
        <f>IF(AND('Data Source'!B740&lt;&gt;"",'Data Source'!S740="F"),'Data Source'!B740,"")</f>
        <v/>
      </c>
      <c r="C740" s="3">
        <f>IF(AND('Data Source'!B740&lt;&gt;"",'Data Source'!S740="F"),IF('Data Source'!U740&gt;=5,"A+",IF('Data Source'!U740&gt;=4,"A",IF('Data Source'!U740&gt;=3.5,"A-",IF('Data Source'!U740&gt;=3,"B",IF('Data Source'!U740&gt;=2,"C",IF('Data Source'!U740&gt;=1,"D","F")))))),"")</f>
        <v/>
      </c>
      <c r="D740" s="3">
        <f>IF(AND('Data Source'!B740&lt;&gt;"",'Data Source'!S740="F"),IF('Data Source'!V740&gt;=5,"A+",IF('Data Source'!V740&gt;=4,"A",IF('Data Source'!V740&gt;=3.5,"A-",IF('Data Source'!V740&gt;=3,"B",IF('Data Source'!V740&gt;=2,"C",IF('Data Source'!V740&gt;=1,"D","F")))))),"")</f>
        <v/>
      </c>
      <c r="E740" s="3">
        <f>IF(AND('Data Source'!B740&lt;&gt;"",'Data Source'!S740="F"),IF('Data Source'!W740&gt;=5,"A+",IF('Data Source'!W740&gt;=4,"A",IF('Data Source'!W740&gt;=3.5,"A-",IF('Data Source'!W740&gt;=3,"B",IF('Data Source'!W740&gt;=2,"C",IF('Data Source'!W740&gt;=1,"D","F")))))),"")</f>
        <v/>
      </c>
      <c r="F740" s="3">
        <f>IF(AND('Data Source'!B740&lt;&gt;"",'Data Source'!S740="F"),IF('Data Source'!X740&gt;=5,"A+",IF('Data Source'!X740&gt;=4,"A",IF('Data Source'!X740&gt;=3.5,"A-",IF('Data Source'!X740&gt;=3,"B",IF('Data Source'!X740&gt;=2,"C",IF('Data Source'!X740&gt;=1,"D","F")))))),"")</f>
        <v/>
      </c>
      <c r="G740" s="3">
        <f>IF(AND('Data Source'!B740&lt;&gt;"",'Data Source'!S740="F"),IF('Data Source'!Y740&gt;=5,"A+",IF('Data Source'!Y740&gt;=4,"A",IF('Data Source'!Y740&gt;=3.5,"A-",IF('Data Source'!Y740&gt;=3,"B",IF('Data Source'!Y740&gt;=2,"C",IF('Data Source'!Y740&gt;=1,"D","F")))))),"")</f>
        <v/>
      </c>
      <c r="H740" s="3">
        <f>IF(AND('Data Source'!B740&lt;&gt;"",'Data Source'!S740="F"),IF('Data Source'!Z740&gt;=5,"A+",IF('Data Source'!Z740&gt;=4,"A",IF('Data Source'!Z740&gt;=3.5,"A-",IF('Data Source'!Z740&gt;=3,"B",IF('Data Source'!Z740&gt;=2,"C",IF('Data Source'!Z740&gt;=1,"D","F")))))),"")</f>
        <v/>
      </c>
      <c r="I740" s="3">
        <f>IF(AND('Data Source'!B740&lt;&gt;"",'Data Source'!S740="F"),IF('Data Source'!AA740&gt;=5,"A+",IF('Data Source'!AA740&gt;=4,"A",IF('Data Source'!AA740&gt;=3.5,"A-",IF('Data Source'!AA740&gt;=3,"B",IF('Data Source'!AA740&gt;=2,"C",IF('Data Source'!AA740&gt;=1,"D","F")))))),"")</f>
        <v/>
      </c>
      <c r="J740" s="3">
        <f>IF(AND('Data Source'!B740&lt;&gt;"",'Data Source'!S740="F"),IF('Data Source'!AB740&gt;=5,"A+",IF('Data Source'!AB740&gt;=4,"A",IF('Data Source'!AB740&gt;=3.5,"A-",IF('Data Source'!AB740&gt;=3,"B",IF('Data Source'!AB740&gt;=2,"C",IF('Data Source'!AB740&gt;=1,"D","F")))))),"")</f>
        <v/>
      </c>
      <c r="K740" s="3">
        <f>IF(AND('Data Source'!B740&lt;&gt;"",'Data Source'!S740="F"),IF('Data Source'!AC740&gt;=5,"A+",IF('Data Source'!AC740&gt;=4,"A",IF('Data Source'!AC740&gt;=3.5,"A-",IF('Data Source'!AC740&gt;=3,"B",IF('Data Source'!AC740&gt;=2,"C",IF('Data Source'!AC740&gt;=1,"D","F")))))),"")</f>
        <v/>
      </c>
      <c r="L740" s="3">
        <f>IF(AND('Data Source'!B740&lt;&gt;"",'Data Source'!S740="F"),IF('Data Source'!AD740&gt;=5,"A+",IF('Data Source'!AD740&gt;=4,"A",IF('Data Source'!AD740&gt;=3.5,"A-",IF('Data Source'!AD740&gt;=3,"B",IF('Data Source'!AD740&gt;=2,"C",IF('Data Source'!AD740&gt;=1,"D","F")))))),"")</f>
        <v/>
      </c>
      <c r="M740" s="3">
        <f>IF(AND('Data Source'!B740&lt;&gt;"",'Data Source'!S740="F"),IF('Data Source'!AE740&gt;=5,"A+",IF('Data Source'!AE740&gt;=4,"A",IF('Data Source'!AE740&gt;=3.5,"A-",IF('Data Source'!AE740&gt;=3,"B",IF('Data Source'!AE740&gt;=2,"C",IF('Data Source'!AE740&gt;=1,"D","F")))))),"")</f>
        <v/>
      </c>
      <c r="N740" s="3">
        <f>IF(AND('Data Source'!B740&lt;&gt;"",'Data Source'!S740="F"),IF('Data Source'!AF740&gt;=5,"A+",IF('Data Source'!AF740&gt;=4,"A",IF('Data Source'!AF740&gt;=3.5,"A-",IF('Data Source'!AF740&gt;=3,"B",IF('Data Source'!AF740&gt;=2,"C",IF('Data Source'!AF740&gt;=1,"D","F")))))),"")</f>
        <v/>
      </c>
      <c r="O740" s="3">
        <f>IF(AND('Data Source'!B740&lt;&gt;"",'Data Source'!S740="F"),IF('Data Source'!AG740&gt;=5,"A+",IF('Data Source'!AG740&gt;=4,"A",IF('Data Source'!AG740&gt;=3.5,"A-",IF('Data Source'!AG740&gt;=3,"B",IF('Data Source'!AG740&gt;=2,"C",IF('Data Source'!AG740&gt;=1,"D","F")))))),"")</f>
        <v/>
      </c>
      <c r="P740" s="5">
        <f>IF(AND('Data Source'!B740&lt;&gt;"",'Data Source'!S740="F"),'Data Source'!R740,"")</f>
        <v/>
      </c>
      <c r="Q740" s="3">
        <f>IF(AND('Data Source'!B740&lt;&gt;"",'Data Source'!S740="F"),'Data Source'!S740,"")</f>
        <v/>
      </c>
    </row>
    <row r="741">
      <c r="A741" s="3">
        <f>IF(AND('Data Source'!B741&lt;&gt;"",'Data Source'!S741="F"),COUNTIF('Data Source'!$S$3:S741,"F"),"")</f>
        <v/>
      </c>
      <c r="B741">
        <f>IF(AND('Data Source'!B741&lt;&gt;"",'Data Source'!S741="F"),'Data Source'!B741,"")</f>
        <v/>
      </c>
      <c r="C741" s="3">
        <f>IF(AND('Data Source'!B741&lt;&gt;"",'Data Source'!S741="F"),IF('Data Source'!U741&gt;=5,"A+",IF('Data Source'!U741&gt;=4,"A",IF('Data Source'!U741&gt;=3.5,"A-",IF('Data Source'!U741&gt;=3,"B",IF('Data Source'!U741&gt;=2,"C",IF('Data Source'!U741&gt;=1,"D","F")))))),"")</f>
        <v/>
      </c>
      <c r="D741" s="3">
        <f>IF(AND('Data Source'!B741&lt;&gt;"",'Data Source'!S741="F"),IF('Data Source'!V741&gt;=5,"A+",IF('Data Source'!V741&gt;=4,"A",IF('Data Source'!V741&gt;=3.5,"A-",IF('Data Source'!V741&gt;=3,"B",IF('Data Source'!V741&gt;=2,"C",IF('Data Source'!V741&gt;=1,"D","F")))))),"")</f>
        <v/>
      </c>
      <c r="E741" s="3">
        <f>IF(AND('Data Source'!B741&lt;&gt;"",'Data Source'!S741="F"),IF('Data Source'!W741&gt;=5,"A+",IF('Data Source'!W741&gt;=4,"A",IF('Data Source'!W741&gt;=3.5,"A-",IF('Data Source'!W741&gt;=3,"B",IF('Data Source'!W741&gt;=2,"C",IF('Data Source'!W741&gt;=1,"D","F")))))),"")</f>
        <v/>
      </c>
      <c r="F741" s="3">
        <f>IF(AND('Data Source'!B741&lt;&gt;"",'Data Source'!S741="F"),IF('Data Source'!X741&gt;=5,"A+",IF('Data Source'!X741&gt;=4,"A",IF('Data Source'!X741&gt;=3.5,"A-",IF('Data Source'!X741&gt;=3,"B",IF('Data Source'!X741&gt;=2,"C",IF('Data Source'!X741&gt;=1,"D","F")))))),"")</f>
        <v/>
      </c>
      <c r="G741" s="3">
        <f>IF(AND('Data Source'!B741&lt;&gt;"",'Data Source'!S741="F"),IF('Data Source'!Y741&gt;=5,"A+",IF('Data Source'!Y741&gt;=4,"A",IF('Data Source'!Y741&gt;=3.5,"A-",IF('Data Source'!Y741&gt;=3,"B",IF('Data Source'!Y741&gt;=2,"C",IF('Data Source'!Y741&gt;=1,"D","F")))))),"")</f>
        <v/>
      </c>
      <c r="H741" s="3">
        <f>IF(AND('Data Source'!B741&lt;&gt;"",'Data Source'!S741="F"),IF('Data Source'!Z741&gt;=5,"A+",IF('Data Source'!Z741&gt;=4,"A",IF('Data Source'!Z741&gt;=3.5,"A-",IF('Data Source'!Z741&gt;=3,"B",IF('Data Source'!Z741&gt;=2,"C",IF('Data Source'!Z741&gt;=1,"D","F")))))),"")</f>
        <v/>
      </c>
      <c r="I741" s="3">
        <f>IF(AND('Data Source'!B741&lt;&gt;"",'Data Source'!S741="F"),IF('Data Source'!AA741&gt;=5,"A+",IF('Data Source'!AA741&gt;=4,"A",IF('Data Source'!AA741&gt;=3.5,"A-",IF('Data Source'!AA741&gt;=3,"B",IF('Data Source'!AA741&gt;=2,"C",IF('Data Source'!AA741&gt;=1,"D","F")))))),"")</f>
        <v/>
      </c>
      <c r="J741" s="3">
        <f>IF(AND('Data Source'!B741&lt;&gt;"",'Data Source'!S741="F"),IF('Data Source'!AB741&gt;=5,"A+",IF('Data Source'!AB741&gt;=4,"A",IF('Data Source'!AB741&gt;=3.5,"A-",IF('Data Source'!AB741&gt;=3,"B",IF('Data Source'!AB741&gt;=2,"C",IF('Data Source'!AB741&gt;=1,"D","F")))))),"")</f>
        <v/>
      </c>
      <c r="K741" s="3">
        <f>IF(AND('Data Source'!B741&lt;&gt;"",'Data Source'!S741="F"),IF('Data Source'!AC741&gt;=5,"A+",IF('Data Source'!AC741&gt;=4,"A",IF('Data Source'!AC741&gt;=3.5,"A-",IF('Data Source'!AC741&gt;=3,"B",IF('Data Source'!AC741&gt;=2,"C",IF('Data Source'!AC741&gt;=1,"D","F")))))),"")</f>
        <v/>
      </c>
      <c r="L741" s="3">
        <f>IF(AND('Data Source'!B741&lt;&gt;"",'Data Source'!S741="F"),IF('Data Source'!AD741&gt;=5,"A+",IF('Data Source'!AD741&gt;=4,"A",IF('Data Source'!AD741&gt;=3.5,"A-",IF('Data Source'!AD741&gt;=3,"B",IF('Data Source'!AD741&gt;=2,"C",IF('Data Source'!AD741&gt;=1,"D","F")))))),"")</f>
        <v/>
      </c>
      <c r="M741" s="3">
        <f>IF(AND('Data Source'!B741&lt;&gt;"",'Data Source'!S741="F"),IF('Data Source'!AE741&gt;=5,"A+",IF('Data Source'!AE741&gt;=4,"A",IF('Data Source'!AE741&gt;=3.5,"A-",IF('Data Source'!AE741&gt;=3,"B",IF('Data Source'!AE741&gt;=2,"C",IF('Data Source'!AE741&gt;=1,"D","F")))))),"")</f>
        <v/>
      </c>
      <c r="N741" s="3">
        <f>IF(AND('Data Source'!B741&lt;&gt;"",'Data Source'!S741="F"),IF('Data Source'!AF741&gt;=5,"A+",IF('Data Source'!AF741&gt;=4,"A",IF('Data Source'!AF741&gt;=3.5,"A-",IF('Data Source'!AF741&gt;=3,"B",IF('Data Source'!AF741&gt;=2,"C",IF('Data Source'!AF741&gt;=1,"D","F")))))),"")</f>
        <v/>
      </c>
      <c r="O741" s="3">
        <f>IF(AND('Data Source'!B741&lt;&gt;"",'Data Source'!S741="F"),IF('Data Source'!AG741&gt;=5,"A+",IF('Data Source'!AG741&gt;=4,"A",IF('Data Source'!AG741&gt;=3.5,"A-",IF('Data Source'!AG741&gt;=3,"B",IF('Data Source'!AG741&gt;=2,"C",IF('Data Source'!AG741&gt;=1,"D","F")))))),"")</f>
        <v/>
      </c>
      <c r="P741" s="5">
        <f>IF(AND('Data Source'!B741&lt;&gt;"",'Data Source'!S741="F"),'Data Source'!R741,"")</f>
        <v/>
      </c>
      <c r="Q741" s="3">
        <f>IF(AND('Data Source'!B741&lt;&gt;"",'Data Source'!S741="F"),'Data Source'!S741,"")</f>
        <v/>
      </c>
    </row>
    <row r="742">
      <c r="A742" s="3">
        <f>IF(AND('Data Source'!B742&lt;&gt;"",'Data Source'!S742="F"),COUNTIF('Data Source'!$S$3:S742,"F"),"")</f>
        <v/>
      </c>
      <c r="B742">
        <f>IF(AND('Data Source'!B742&lt;&gt;"",'Data Source'!S742="F"),'Data Source'!B742,"")</f>
        <v/>
      </c>
      <c r="C742" s="3">
        <f>IF(AND('Data Source'!B742&lt;&gt;"",'Data Source'!S742="F"),IF('Data Source'!U742&gt;=5,"A+",IF('Data Source'!U742&gt;=4,"A",IF('Data Source'!U742&gt;=3.5,"A-",IF('Data Source'!U742&gt;=3,"B",IF('Data Source'!U742&gt;=2,"C",IF('Data Source'!U742&gt;=1,"D","F")))))),"")</f>
        <v/>
      </c>
      <c r="D742" s="3">
        <f>IF(AND('Data Source'!B742&lt;&gt;"",'Data Source'!S742="F"),IF('Data Source'!V742&gt;=5,"A+",IF('Data Source'!V742&gt;=4,"A",IF('Data Source'!V742&gt;=3.5,"A-",IF('Data Source'!V742&gt;=3,"B",IF('Data Source'!V742&gt;=2,"C",IF('Data Source'!V742&gt;=1,"D","F")))))),"")</f>
        <v/>
      </c>
      <c r="E742" s="3">
        <f>IF(AND('Data Source'!B742&lt;&gt;"",'Data Source'!S742="F"),IF('Data Source'!W742&gt;=5,"A+",IF('Data Source'!W742&gt;=4,"A",IF('Data Source'!W742&gt;=3.5,"A-",IF('Data Source'!W742&gt;=3,"B",IF('Data Source'!W742&gt;=2,"C",IF('Data Source'!W742&gt;=1,"D","F")))))),"")</f>
        <v/>
      </c>
      <c r="F742" s="3">
        <f>IF(AND('Data Source'!B742&lt;&gt;"",'Data Source'!S742="F"),IF('Data Source'!X742&gt;=5,"A+",IF('Data Source'!X742&gt;=4,"A",IF('Data Source'!X742&gt;=3.5,"A-",IF('Data Source'!X742&gt;=3,"B",IF('Data Source'!X742&gt;=2,"C",IF('Data Source'!X742&gt;=1,"D","F")))))),"")</f>
        <v/>
      </c>
      <c r="G742" s="3">
        <f>IF(AND('Data Source'!B742&lt;&gt;"",'Data Source'!S742="F"),IF('Data Source'!Y742&gt;=5,"A+",IF('Data Source'!Y742&gt;=4,"A",IF('Data Source'!Y742&gt;=3.5,"A-",IF('Data Source'!Y742&gt;=3,"B",IF('Data Source'!Y742&gt;=2,"C",IF('Data Source'!Y742&gt;=1,"D","F")))))),"")</f>
        <v/>
      </c>
      <c r="H742" s="3">
        <f>IF(AND('Data Source'!B742&lt;&gt;"",'Data Source'!S742="F"),IF('Data Source'!Z742&gt;=5,"A+",IF('Data Source'!Z742&gt;=4,"A",IF('Data Source'!Z742&gt;=3.5,"A-",IF('Data Source'!Z742&gt;=3,"B",IF('Data Source'!Z742&gt;=2,"C",IF('Data Source'!Z742&gt;=1,"D","F")))))),"")</f>
        <v/>
      </c>
      <c r="I742" s="3">
        <f>IF(AND('Data Source'!B742&lt;&gt;"",'Data Source'!S742="F"),IF('Data Source'!AA742&gt;=5,"A+",IF('Data Source'!AA742&gt;=4,"A",IF('Data Source'!AA742&gt;=3.5,"A-",IF('Data Source'!AA742&gt;=3,"B",IF('Data Source'!AA742&gt;=2,"C",IF('Data Source'!AA742&gt;=1,"D","F")))))),"")</f>
        <v/>
      </c>
      <c r="J742" s="3">
        <f>IF(AND('Data Source'!B742&lt;&gt;"",'Data Source'!S742="F"),IF('Data Source'!AB742&gt;=5,"A+",IF('Data Source'!AB742&gt;=4,"A",IF('Data Source'!AB742&gt;=3.5,"A-",IF('Data Source'!AB742&gt;=3,"B",IF('Data Source'!AB742&gt;=2,"C",IF('Data Source'!AB742&gt;=1,"D","F")))))),"")</f>
        <v/>
      </c>
      <c r="K742" s="3">
        <f>IF(AND('Data Source'!B742&lt;&gt;"",'Data Source'!S742="F"),IF('Data Source'!AC742&gt;=5,"A+",IF('Data Source'!AC742&gt;=4,"A",IF('Data Source'!AC742&gt;=3.5,"A-",IF('Data Source'!AC742&gt;=3,"B",IF('Data Source'!AC742&gt;=2,"C",IF('Data Source'!AC742&gt;=1,"D","F")))))),"")</f>
        <v/>
      </c>
      <c r="L742" s="3">
        <f>IF(AND('Data Source'!B742&lt;&gt;"",'Data Source'!S742="F"),IF('Data Source'!AD742&gt;=5,"A+",IF('Data Source'!AD742&gt;=4,"A",IF('Data Source'!AD742&gt;=3.5,"A-",IF('Data Source'!AD742&gt;=3,"B",IF('Data Source'!AD742&gt;=2,"C",IF('Data Source'!AD742&gt;=1,"D","F")))))),"")</f>
        <v/>
      </c>
      <c r="M742" s="3">
        <f>IF(AND('Data Source'!B742&lt;&gt;"",'Data Source'!S742="F"),IF('Data Source'!AE742&gt;=5,"A+",IF('Data Source'!AE742&gt;=4,"A",IF('Data Source'!AE742&gt;=3.5,"A-",IF('Data Source'!AE742&gt;=3,"B",IF('Data Source'!AE742&gt;=2,"C",IF('Data Source'!AE742&gt;=1,"D","F")))))),"")</f>
        <v/>
      </c>
      <c r="N742" s="3">
        <f>IF(AND('Data Source'!B742&lt;&gt;"",'Data Source'!S742="F"),IF('Data Source'!AF742&gt;=5,"A+",IF('Data Source'!AF742&gt;=4,"A",IF('Data Source'!AF742&gt;=3.5,"A-",IF('Data Source'!AF742&gt;=3,"B",IF('Data Source'!AF742&gt;=2,"C",IF('Data Source'!AF742&gt;=1,"D","F")))))),"")</f>
        <v/>
      </c>
      <c r="O742" s="3">
        <f>IF(AND('Data Source'!B742&lt;&gt;"",'Data Source'!S742="F"),IF('Data Source'!AG742&gt;=5,"A+",IF('Data Source'!AG742&gt;=4,"A",IF('Data Source'!AG742&gt;=3.5,"A-",IF('Data Source'!AG742&gt;=3,"B",IF('Data Source'!AG742&gt;=2,"C",IF('Data Source'!AG742&gt;=1,"D","F")))))),"")</f>
        <v/>
      </c>
      <c r="P742" s="5">
        <f>IF(AND('Data Source'!B742&lt;&gt;"",'Data Source'!S742="F"),'Data Source'!R742,"")</f>
        <v/>
      </c>
      <c r="Q742" s="3">
        <f>IF(AND('Data Source'!B742&lt;&gt;"",'Data Source'!S742="F"),'Data Source'!S742,"")</f>
        <v/>
      </c>
    </row>
    <row r="743">
      <c r="A743" s="3">
        <f>IF(AND('Data Source'!B743&lt;&gt;"",'Data Source'!S743="F"),COUNTIF('Data Source'!$S$3:S743,"F"),"")</f>
        <v/>
      </c>
      <c r="B743">
        <f>IF(AND('Data Source'!B743&lt;&gt;"",'Data Source'!S743="F"),'Data Source'!B743,"")</f>
        <v/>
      </c>
      <c r="C743" s="3">
        <f>IF(AND('Data Source'!B743&lt;&gt;"",'Data Source'!S743="F"),IF('Data Source'!U743&gt;=5,"A+",IF('Data Source'!U743&gt;=4,"A",IF('Data Source'!U743&gt;=3.5,"A-",IF('Data Source'!U743&gt;=3,"B",IF('Data Source'!U743&gt;=2,"C",IF('Data Source'!U743&gt;=1,"D","F")))))),"")</f>
        <v/>
      </c>
      <c r="D743" s="3">
        <f>IF(AND('Data Source'!B743&lt;&gt;"",'Data Source'!S743="F"),IF('Data Source'!V743&gt;=5,"A+",IF('Data Source'!V743&gt;=4,"A",IF('Data Source'!V743&gt;=3.5,"A-",IF('Data Source'!V743&gt;=3,"B",IF('Data Source'!V743&gt;=2,"C",IF('Data Source'!V743&gt;=1,"D","F")))))),"")</f>
        <v/>
      </c>
      <c r="E743" s="3">
        <f>IF(AND('Data Source'!B743&lt;&gt;"",'Data Source'!S743="F"),IF('Data Source'!W743&gt;=5,"A+",IF('Data Source'!W743&gt;=4,"A",IF('Data Source'!W743&gt;=3.5,"A-",IF('Data Source'!W743&gt;=3,"B",IF('Data Source'!W743&gt;=2,"C",IF('Data Source'!W743&gt;=1,"D","F")))))),"")</f>
        <v/>
      </c>
      <c r="F743" s="3">
        <f>IF(AND('Data Source'!B743&lt;&gt;"",'Data Source'!S743="F"),IF('Data Source'!X743&gt;=5,"A+",IF('Data Source'!X743&gt;=4,"A",IF('Data Source'!X743&gt;=3.5,"A-",IF('Data Source'!X743&gt;=3,"B",IF('Data Source'!X743&gt;=2,"C",IF('Data Source'!X743&gt;=1,"D","F")))))),"")</f>
        <v/>
      </c>
      <c r="G743" s="3">
        <f>IF(AND('Data Source'!B743&lt;&gt;"",'Data Source'!S743="F"),IF('Data Source'!Y743&gt;=5,"A+",IF('Data Source'!Y743&gt;=4,"A",IF('Data Source'!Y743&gt;=3.5,"A-",IF('Data Source'!Y743&gt;=3,"B",IF('Data Source'!Y743&gt;=2,"C",IF('Data Source'!Y743&gt;=1,"D","F")))))),"")</f>
        <v/>
      </c>
      <c r="H743" s="3">
        <f>IF(AND('Data Source'!B743&lt;&gt;"",'Data Source'!S743="F"),IF('Data Source'!Z743&gt;=5,"A+",IF('Data Source'!Z743&gt;=4,"A",IF('Data Source'!Z743&gt;=3.5,"A-",IF('Data Source'!Z743&gt;=3,"B",IF('Data Source'!Z743&gt;=2,"C",IF('Data Source'!Z743&gt;=1,"D","F")))))),"")</f>
        <v/>
      </c>
      <c r="I743" s="3">
        <f>IF(AND('Data Source'!B743&lt;&gt;"",'Data Source'!S743="F"),IF('Data Source'!AA743&gt;=5,"A+",IF('Data Source'!AA743&gt;=4,"A",IF('Data Source'!AA743&gt;=3.5,"A-",IF('Data Source'!AA743&gt;=3,"B",IF('Data Source'!AA743&gt;=2,"C",IF('Data Source'!AA743&gt;=1,"D","F")))))),"")</f>
        <v/>
      </c>
      <c r="J743" s="3">
        <f>IF(AND('Data Source'!B743&lt;&gt;"",'Data Source'!S743="F"),IF('Data Source'!AB743&gt;=5,"A+",IF('Data Source'!AB743&gt;=4,"A",IF('Data Source'!AB743&gt;=3.5,"A-",IF('Data Source'!AB743&gt;=3,"B",IF('Data Source'!AB743&gt;=2,"C",IF('Data Source'!AB743&gt;=1,"D","F")))))),"")</f>
        <v/>
      </c>
      <c r="K743" s="3">
        <f>IF(AND('Data Source'!B743&lt;&gt;"",'Data Source'!S743="F"),IF('Data Source'!AC743&gt;=5,"A+",IF('Data Source'!AC743&gt;=4,"A",IF('Data Source'!AC743&gt;=3.5,"A-",IF('Data Source'!AC743&gt;=3,"B",IF('Data Source'!AC743&gt;=2,"C",IF('Data Source'!AC743&gt;=1,"D","F")))))),"")</f>
        <v/>
      </c>
      <c r="L743" s="3">
        <f>IF(AND('Data Source'!B743&lt;&gt;"",'Data Source'!S743="F"),IF('Data Source'!AD743&gt;=5,"A+",IF('Data Source'!AD743&gt;=4,"A",IF('Data Source'!AD743&gt;=3.5,"A-",IF('Data Source'!AD743&gt;=3,"B",IF('Data Source'!AD743&gt;=2,"C",IF('Data Source'!AD743&gt;=1,"D","F")))))),"")</f>
        <v/>
      </c>
      <c r="M743" s="3">
        <f>IF(AND('Data Source'!B743&lt;&gt;"",'Data Source'!S743="F"),IF('Data Source'!AE743&gt;=5,"A+",IF('Data Source'!AE743&gt;=4,"A",IF('Data Source'!AE743&gt;=3.5,"A-",IF('Data Source'!AE743&gt;=3,"B",IF('Data Source'!AE743&gt;=2,"C",IF('Data Source'!AE743&gt;=1,"D","F")))))),"")</f>
        <v/>
      </c>
      <c r="N743" s="3">
        <f>IF(AND('Data Source'!B743&lt;&gt;"",'Data Source'!S743="F"),IF('Data Source'!AF743&gt;=5,"A+",IF('Data Source'!AF743&gt;=4,"A",IF('Data Source'!AF743&gt;=3.5,"A-",IF('Data Source'!AF743&gt;=3,"B",IF('Data Source'!AF743&gt;=2,"C",IF('Data Source'!AF743&gt;=1,"D","F")))))),"")</f>
        <v/>
      </c>
      <c r="O743" s="3">
        <f>IF(AND('Data Source'!B743&lt;&gt;"",'Data Source'!S743="F"),IF('Data Source'!AG743&gt;=5,"A+",IF('Data Source'!AG743&gt;=4,"A",IF('Data Source'!AG743&gt;=3.5,"A-",IF('Data Source'!AG743&gt;=3,"B",IF('Data Source'!AG743&gt;=2,"C",IF('Data Source'!AG743&gt;=1,"D","F")))))),"")</f>
        <v/>
      </c>
      <c r="P743" s="5">
        <f>IF(AND('Data Source'!B743&lt;&gt;"",'Data Source'!S743="F"),'Data Source'!R743,"")</f>
        <v/>
      </c>
      <c r="Q743" s="3">
        <f>IF(AND('Data Source'!B743&lt;&gt;"",'Data Source'!S743="F"),'Data Source'!S743,"")</f>
        <v/>
      </c>
    </row>
    <row r="744">
      <c r="A744" s="3">
        <f>IF(AND('Data Source'!B744&lt;&gt;"",'Data Source'!S744="F"),COUNTIF('Data Source'!$S$3:S744,"F"),"")</f>
        <v/>
      </c>
      <c r="B744">
        <f>IF(AND('Data Source'!B744&lt;&gt;"",'Data Source'!S744="F"),'Data Source'!B744,"")</f>
        <v/>
      </c>
      <c r="C744" s="3">
        <f>IF(AND('Data Source'!B744&lt;&gt;"",'Data Source'!S744="F"),IF('Data Source'!U744&gt;=5,"A+",IF('Data Source'!U744&gt;=4,"A",IF('Data Source'!U744&gt;=3.5,"A-",IF('Data Source'!U744&gt;=3,"B",IF('Data Source'!U744&gt;=2,"C",IF('Data Source'!U744&gt;=1,"D","F")))))),"")</f>
        <v/>
      </c>
      <c r="D744" s="3">
        <f>IF(AND('Data Source'!B744&lt;&gt;"",'Data Source'!S744="F"),IF('Data Source'!V744&gt;=5,"A+",IF('Data Source'!V744&gt;=4,"A",IF('Data Source'!V744&gt;=3.5,"A-",IF('Data Source'!V744&gt;=3,"B",IF('Data Source'!V744&gt;=2,"C",IF('Data Source'!V744&gt;=1,"D","F")))))),"")</f>
        <v/>
      </c>
      <c r="E744" s="3">
        <f>IF(AND('Data Source'!B744&lt;&gt;"",'Data Source'!S744="F"),IF('Data Source'!W744&gt;=5,"A+",IF('Data Source'!W744&gt;=4,"A",IF('Data Source'!W744&gt;=3.5,"A-",IF('Data Source'!W744&gt;=3,"B",IF('Data Source'!W744&gt;=2,"C",IF('Data Source'!W744&gt;=1,"D","F")))))),"")</f>
        <v/>
      </c>
      <c r="F744" s="3">
        <f>IF(AND('Data Source'!B744&lt;&gt;"",'Data Source'!S744="F"),IF('Data Source'!X744&gt;=5,"A+",IF('Data Source'!X744&gt;=4,"A",IF('Data Source'!X744&gt;=3.5,"A-",IF('Data Source'!X744&gt;=3,"B",IF('Data Source'!X744&gt;=2,"C",IF('Data Source'!X744&gt;=1,"D","F")))))),"")</f>
        <v/>
      </c>
      <c r="G744" s="3">
        <f>IF(AND('Data Source'!B744&lt;&gt;"",'Data Source'!S744="F"),IF('Data Source'!Y744&gt;=5,"A+",IF('Data Source'!Y744&gt;=4,"A",IF('Data Source'!Y744&gt;=3.5,"A-",IF('Data Source'!Y744&gt;=3,"B",IF('Data Source'!Y744&gt;=2,"C",IF('Data Source'!Y744&gt;=1,"D","F")))))),"")</f>
        <v/>
      </c>
      <c r="H744" s="3">
        <f>IF(AND('Data Source'!B744&lt;&gt;"",'Data Source'!S744="F"),IF('Data Source'!Z744&gt;=5,"A+",IF('Data Source'!Z744&gt;=4,"A",IF('Data Source'!Z744&gt;=3.5,"A-",IF('Data Source'!Z744&gt;=3,"B",IF('Data Source'!Z744&gt;=2,"C",IF('Data Source'!Z744&gt;=1,"D","F")))))),"")</f>
        <v/>
      </c>
      <c r="I744" s="3">
        <f>IF(AND('Data Source'!B744&lt;&gt;"",'Data Source'!S744="F"),IF('Data Source'!AA744&gt;=5,"A+",IF('Data Source'!AA744&gt;=4,"A",IF('Data Source'!AA744&gt;=3.5,"A-",IF('Data Source'!AA744&gt;=3,"B",IF('Data Source'!AA744&gt;=2,"C",IF('Data Source'!AA744&gt;=1,"D","F")))))),"")</f>
        <v/>
      </c>
      <c r="J744" s="3">
        <f>IF(AND('Data Source'!B744&lt;&gt;"",'Data Source'!S744="F"),IF('Data Source'!AB744&gt;=5,"A+",IF('Data Source'!AB744&gt;=4,"A",IF('Data Source'!AB744&gt;=3.5,"A-",IF('Data Source'!AB744&gt;=3,"B",IF('Data Source'!AB744&gt;=2,"C",IF('Data Source'!AB744&gt;=1,"D","F")))))),"")</f>
        <v/>
      </c>
      <c r="K744" s="3">
        <f>IF(AND('Data Source'!B744&lt;&gt;"",'Data Source'!S744="F"),IF('Data Source'!AC744&gt;=5,"A+",IF('Data Source'!AC744&gt;=4,"A",IF('Data Source'!AC744&gt;=3.5,"A-",IF('Data Source'!AC744&gt;=3,"B",IF('Data Source'!AC744&gt;=2,"C",IF('Data Source'!AC744&gt;=1,"D","F")))))),"")</f>
        <v/>
      </c>
      <c r="L744" s="3">
        <f>IF(AND('Data Source'!B744&lt;&gt;"",'Data Source'!S744="F"),IF('Data Source'!AD744&gt;=5,"A+",IF('Data Source'!AD744&gt;=4,"A",IF('Data Source'!AD744&gt;=3.5,"A-",IF('Data Source'!AD744&gt;=3,"B",IF('Data Source'!AD744&gt;=2,"C",IF('Data Source'!AD744&gt;=1,"D","F")))))),"")</f>
        <v/>
      </c>
      <c r="M744" s="3">
        <f>IF(AND('Data Source'!B744&lt;&gt;"",'Data Source'!S744="F"),IF('Data Source'!AE744&gt;=5,"A+",IF('Data Source'!AE744&gt;=4,"A",IF('Data Source'!AE744&gt;=3.5,"A-",IF('Data Source'!AE744&gt;=3,"B",IF('Data Source'!AE744&gt;=2,"C",IF('Data Source'!AE744&gt;=1,"D","F")))))),"")</f>
        <v/>
      </c>
      <c r="N744" s="3">
        <f>IF(AND('Data Source'!B744&lt;&gt;"",'Data Source'!S744="F"),IF('Data Source'!AF744&gt;=5,"A+",IF('Data Source'!AF744&gt;=4,"A",IF('Data Source'!AF744&gt;=3.5,"A-",IF('Data Source'!AF744&gt;=3,"B",IF('Data Source'!AF744&gt;=2,"C",IF('Data Source'!AF744&gt;=1,"D","F")))))),"")</f>
        <v/>
      </c>
      <c r="O744" s="3">
        <f>IF(AND('Data Source'!B744&lt;&gt;"",'Data Source'!S744="F"),IF('Data Source'!AG744&gt;=5,"A+",IF('Data Source'!AG744&gt;=4,"A",IF('Data Source'!AG744&gt;=3.5,"A-",IF('Data Source'!AG744&gt;=3,"B",IF('Data Source'!AG744&gt;=2,"C",IF('Data Source'!AG744&gt;=1,"D","F")))))),"")</f>
        <v/>
      </c>
      <c r="P744" s="5">
        <f>IF(AND('Data Source'!B744&lt;&gt;"",'Data Source'!S744="F"),'Data Source'!R744,"")</f>
        <v/>
      </c>
      <c r="Q744" s="3">
        <f>IF(AND('Data Source'!B744&lt;&gt;"",'Data Source'!S744="F"),'Data Source'!S744,"")</f>
        <v/>
      </c>
    </row>
    <row r="745">
      <c r="A745" s="3">
        <f>IF(AND('Data Source'!B745&lt;&gt;"",'Data Source'!S745="F"),COUNTIF('Data Source'!$S$3:S745,"F"),"")</f>
        <v/>
      </c>
      <c r="B745">
        <f>IF(AND('Data Source'!B745&lt;&gt;"",'Data Source'!S745="F"),'Data Source'!B745,"")</f>
        <v/>
      </c>
      <c r="C745" s="3">
        <f>IF(AND('Data Source'!B745&lt;&gt;"",'Data Source'!S745="F"),IF('Data Source'!U745&gt;=5,"A+",IF('Data Source'!U745&gt;=4,"A",IF('Data Source'!U745&gt;=3.5,"A-",IF('Data Source'!U745&gt;=3,"B",IF('Data Source'!U745&gt;=2,"C",IF('Data Source'!U745&gt;=1,"D","F")))))),"")</f>
        <v/>
      </c>
      <c r="D745" s="3">
        <f>IF(AND('Data Source'!B745&lt;&gt;"",'Data Source'!S745="F"),IF('Data Source'!V745&gt;=5,"A+",IF('Data Source'!V745&gt;=4,"A",IF('Data Source'!V745&gt;=3.5,"A-",IF('Data Source'!V745&gt;=3,"B",IF('Data Source'!V745&gt;=2,"C",IF('Data Source'!V745&gt;=1,"D","F")))))),"")</f>
        <v/>
      </c>
      <c r="E745" s="3">
        <f>IF(AND('Data Source'!B745&lt;&gt;"",'Data Source'!S745="F"),IF('Data Source'!W745&gt;=5,"A+",IF('Data Source'!W745&gt;=4,"A",IF('Data Source'!W745&gt;=3.5,"A-",IF('Data Source'!W745&gt;=3,"B",IF('Data Source'!W745&gt;=2,"C",IF('Data Source'!W745&gt;=1,"D","F")))))),"")</f>
        <v/>
      </c>
      <c r="F745" s="3">
        <f>IF(AND('Data Source'!B745&lt;&gt;"",'Data Source'!S745="F"),IF('Data Source'!X745&gt;=5,"A+",IF('Data Source'!X745&gt;=4,"A",IF('Data Source'!X745&gt;=3.5,"A-",IF('Data Source'!X745&gt;=3,"B",IF('Data Source'!X745&gt;=2,"C",IF('Data Source'!X745&gt;=1,"D","F")))))),"")</f>
        <v/>
      </c>
      <c r="G745" s="3">
        <f>IF(AND('Data Source'!B745&lt;&gt;"",'Data Source'!S745="F"),IF('Data Source'!Y745&gt;=5,"A+",IF('Data Source'!Y745&gt;=4,"A",IF('Data Source'!Y745&gt;=3.5,"A-",IF('Data Source'!Y745&gt;=3,"B",IF('Data Source'!Y745&gt;=2,"C",IF('Data Source'!Y745&gt;=1,"D","F")))))),"")</f>
        <v/>
      </c>
      <c r="H745" s="3">
        <f>IF(AND('Data Source'!B745&lt;&gt;"",'Data Source'!S745="F"),IF('Data Source'!Z745&gt;=5,"A+",IF('Data Source'!Z745&gt;=4,"A",IF('Data Source'!Z745&gt;=3.5,"A-",IF('Data Source'!Z745&gt;=3,"B",IF('Data Source'!Z745&gt;=2,"C",IF('Data Source'!Z745&gt;=1,"D","F")))))),"")</f>
        <v/>
      </c>
      <c r="I745" s="3">
        <f>IF(AND('Data Source'!B745&lt;&gt;"",'Data Source'!S745="F"),IF('Data Source'!AA745&gt;=5,"A+",IF('Data Source'!AA745&gt;=4,"A",IF('Data Source'!AA745&gt;=3.5,"A-",IF('Data Source'!AA745&gt;=3,"B",IF('Data Source'!AA745&gt;=2,"C",IF('Data Source'!AA745&gt;=1,"D","F")))))),"")</f>
        <v/>
      </c>
      <c r="J745" s="3">
        <f>IF(AND('Data Source'!B745&lt;&gt;"",'Data Source'!S745="F"),IF('Data Source'!AB745&gt;=5,"A+",IF('Data Source'!AB745&gt;=4,"A",IF('Data Source'!AB745&gt;=3.5,"A-",IF('Data Source'!AB745&gt;=3,"B",IF('Data Source'!AB745&gt;=2,"C",IF('Data Source'!AB745&gt;=1,"D","F")))))),"")</f>
        <v/>
      </c>
      <c r="K745" s="3">
        <f>IF(AND('Data Source'!B745&lt;&gt;"",'Data Source'!S745="F"),IF('Data Source'!AC745&gt;=5,"A+",IF('Data Source'!AC745&gt;=4,"A",IF('Data Source'!AC745&gt;=3.5,"A-",IF('Data Source'!AC745&gt;=3,"B",IF('Data Source'!AC745&gt;=2,"C",IF('Data Source'!AC745&gt;=1,"D","F")))))),"")</f>
        <v/>
      </c>
      <c r="L745" s="3">
        <f>IF(AND('Data Source'!B745&lt;&gt;"",'Data Source'!S745="F"),IF('Data Source'!AD745&gt;=5,"A+",IF('Data Source'!AD745&gt;=4,"A",IF('Data Source'!AD745&gt;=3.5,"A-",IF('Data Source'!AD745&gt;=3,"B",IF('Data Source'!AD745&gt;=2,"C",IF('Data Source'!AD745&gt;=1,"D","F")))))),"")</f>
        <v/>
      </c>
      <c r="M745" s="3">
        <f>IF(AND('Data Source'!B745&lt;&gt;"",'Data Source'!S745="F"),IF('Data Source'!AE745&gt;=5,"A+",IF('Data Source'!AE745&gt;=4,"A",IF('Data Source'!AE745&gt;=3.5,"A-",IF('Data Source'!AE745&gt;=3,"B",IF('Data Source'!AE745&gt;=2,"C",IF('Data Source'!AE745&gt;=1,"D","F")))))),"")</f>
        <v/>
      </c>
      <c r="N745" s="3">
        <f>IF(AND('Data Source'!B745&lt;&gt;"",'Data Source'!S745="F"),IF('Data Source'!AF745&gt;=5,"A+",IF('Data Source'!AF745&gt;=4,"A",IF('Data Source'!AF745&gt;=3.5,"A-",IF('Data Source'!AF745&gt;=3,"B",IF('Data Source'!AF745&gt;=2,"C",IF('Data Source'!AF745&gt;=1,"D","F")))))),"")</f>
        <v/>
      </c>
      <c r="O745" s="3">
        <f>IF(AND('Data Source'!B745&lt;&gt;"",'Data Source'!S745="F"),IF('Data Source'!AG745&gt;=5,"A+",IF('Data Source'!AG745&gt;=4,"A",IF('Data Source'!AG745&gt;=3.5,"A-",IF('Data Source'!AG745&gt;=3,"B",IF('Data Source'!AG745&gt;=2,"C",IF('Data Source'!AG745&gt;=1,"D","F")))))),"")</f>
        <v/>
      </c>
      <c r="P745" s="5">
        <f>IF(AND('Data Source'!B745&lt;&gt;"",'Data Source'!S745="F"),'Data Source'!R745,"")</f>
        <v/>
      </c>
      <c r="Q745" s="3">
        <f>IF(AND('Data Source'!B745&lt;&gt;"",'Data Source'!S745="F"),'Data Source'!S745,"")</f>
        <v/>
      </c>
    </row>
    <row r="746">
      <c r="A746" s="3">
        <f>IF(AND('Data Source'!B746&lt;&gt;"",'Data Source'!S746="F"),COUNTIF('Data Source'!$S$3:S746,"F"),"")</f>
        <v/>
      </c>
      <c r="B746">
        <f>IF(AND('Data Source'!B746&lt;&gt;"",'Data Source'!S746="F"),'Data Source'!B746,"")</f>
        <v/>
      </c>
      <c r="C746" s="3">
        <f>IF(AND('Data Source'!B746&lt;&gt;"",'Data Source'!S746="F"),IF('Data Source'!U746&gt;=5,"A+",IF('Data Source'!U746&gt;=4,"A",IF('Data Source'!U746&gt;=3.5,"A-",IF('Data Source'!U746&gt;=3,"B",IF('Data Source'!U746&gt;=2,"C",IF('Data Source'!U746&gt;=1,"D","F")))))),"")</f>
        <v/>
      </c>
      <c r="D746" s="3">
        <f>IF(AND('Data Source'!B746&lt;&gt;"",'Data Source'!S746="F"),IF('Data Source'!V746&gt;=5,"A+",IF('Data Source'!V746&gt;=4,"A",IF('Data Source'!V746&gt;=3.5,"A-",IF('Data Source'!V746&gt;=3,"B",IF('Data Source'!V746&gt;=2,"C",IF('Data Source'!V746&gt;=1,"D","F")))))),"")</f>
        <v/>
      </c>
      <c r="E746" s="3">
        <f>IF(AND('Data Source'!B746&lt;&gt;"",'Data Source'!S746="F"),IF('Data Source'!W746&gt;=5,"A+",IF('Data Source'!W746&gt;=4,"A",IF('Data Source'!W746&gt;=3.5,"A-",IF('Data Source'!W746&gt;=3,"B",IF('Data Source'!W746&gt;=2,"C",IF('Data Source'!W746&gt;=1,"D","F")))))),"")</f>
        <v/>
      </c>
      <c r="F746" s="3">
        <f>IF(AND('Data Source'!B746&lt;&gt;"",'Data Source'!S746="F"),IF('Data Source'!X746&gt;=5,"A+",IF('Data Source'!X746&gt;=4,"A",IF('Data Source'!X746&gt;=3.5,"A-",IF('Data Source'!X746&gt;=3,"B",IF('Data Source'!X746&gt;=2,"C",IF('Data Source'!X746&gt;=1,"D","F")))))),"")</f>
        <v/>
      </c>
      <c r="G746" s="3">
        <f>IF(AND('Data Source'!B746&lt;&gt;"",'Data Source'!S746="F"),IF('Data Source'!Y746&gt;=5,"A+",IF('Data Source'!Y746&gt;=4,"A",IF('Data Source'!Y746&gt;=3.5,"A-",IF('Data Source'!Y746&gt;=3,"B",IF('Data Source'!Y746&gt;=2,"C",IF('Data Source'!Y746&gt;=1,"D","F")))))),"")</f>
        <v/>
      </c>
      <c r="H746" s="3">
        <f>IF(AND('Data Source'!B746&lt;&gt;"",'Data Source'!S746="F"),IF('Data Source'!Z746&gt;=5,"A+",IF('Data Source'!Z746&gt;=4,"A",IF('Data Source'!Z746&gt;=3.5,"A-",IF('Data Source'!Z746&gt;=3,"B",IF('Data Source'!Z746&gt;=2,"C",IF('Data Source'!Z746&gt;=1,"D","F")))))),"")</f>
        <v/>
      </c>
      <c r="I746" s="3">
        <f>IF(AND('Data Source'!B746&lt;&gt;"",'Data Source'!S746="F"),IF('Data Source'!AA746&gt;=5,"A+",IF('Data Source'!AA746&gt;=4,"A",IF('Data Source'!AA746&gt;=3.5,"A-",IF('Data Source'!AA746&gt;=3,"B",IF('Data Source'!AA746&gt;=2,"C",IF('Data Source'!AA746&gt;=1,"D","F")))))),"")</f>
        <v/>
      </c>
      <c r="J746" s="3">
        <f>IF(AND('Data Source'!B746&lt;&gt;"",'Data Source'!S746="F"),IF('Data Source'!AB746&gt;=5,"A+",IF('Data Source'!AB746&gt;=4,"A",IF('Data Source'!AB746&gt;=3.5,"A-",IF('Data Source'!AB746&gt;=3,"B",IF('Data Source'!AB746&gt;=2,"C",IF('Data Source'!AB746&gt;=1,"D","F")))))),"")</f>
        <v/>
      </c>
      <c r="K746" s="3">
        <f>IF(AND('Data Source'!B746&lt;&gt;"",'Data Source'!S746="F"),IF('Data Source'!AC746&gt;=5,"A+",IF('Data Source'!AC746&gt;=4,"A",IF('Data Source'!AC746&gt;=3.5,"A-",IF('Data Source'!AC746&gt;=3,"B",IF('Data Source'!AC746&gt;=2,"C",IF('Data Source'!AC746&gt;=1,"D","F")))))),"")</f>
        <v/>
      </c>
      <c r="L746" s="3">
        <f>IF(AND('Data Source'!B746&lt;&gt;"",'Data Source'!S746="F"),IF('Data Source'!AD746&gt;=5,"A+",IF('Data Source'!AD746&gt;=4,"A",IF('Data Source'!AD746&gt;=3.5,"A-",IF('Data Source'!AD746&gt;=3,"B",IF('Data Source'!AD746&gt;=2,"C",IF('Data Source'!AD746&gt;=1,"D","F")))))),"")</f>
        <v/>
      </c>
      <c r="M746" s="3">
        <f>IF(AND('Data Source'!B746&lt;&gt;"",'Data Source'!S746="F"),IF('Data Source'!AE746&gt;=5,"A+",IF('Data Source'!AE746&gt;=4,"A",IF('Data Source'!AE746&gt;=3.5,"A-",IF('Data Source'!AE746&gt;=3,"B",IF('Data Source'!AE746&gt;=2,"C",IF('Data Source'!AE746&gt;=1,"D","F")))))),"")</f>
        <v/>
      </c>
      <c r="N746" s="3">
        <f>IF(AND('Data Source'!B746&lt;&gt;"",'Data Source'!S746="F"),IF('Data Source'!AF746&gt;=5,"A+",IF('Data Source'!AF746&gt;=4,"A",IF('Data Source'!AF746&gt;=3.5,"A-",IF('Data Source'!AF746&gt;=3,"B",IF('Data Source'!AF746&gt;=2,"C",IF('Data Source'!AF746&gt;=1,"D","F")))))),"")</f>
        <v/>
      </c>
      <c r="O746" s="3">
        <f>IF(AND('Data Source'!B746&lt;&gt;"",'Data Source'!S746="F"),IF('Data Source'!AG746&gt;=5,"A+",IF('Data Source'!AG746&gt;=4,"A",IF('Data Source'!AG746&gt;=3.5,"A-",IF('Data Source'!AG746&gt;=3,"B",IF('Data Source'!AG746&gt;=2,"C",IF('Data Source'!AG746&gt;=1,"D","F")))))),"")</f>
        <v/>
      </c>
      <c r="P746" s="5">
        <f>IF(AND('Data Source'!B746&lt;&gt;"",'Data Source'!S746="F"),'Data Source'!R746,"")</f>
        <v/>
      </c>
      <c r="Q746" s="3">
        <f>IF(AND('Data Source'!B746&lt;&gt;"",'Data Source'!S746="F"),'Data Source'!S746,"")</f>
        <v/>
      </c>
    </row>
    <row r="747">
      <c r="A747" s="3">
        <f>IF(AND('Data Source'!B747&lt;&gt;"",'Data Source'!S747="F"),COUNTIF('Data Source'!$S$3:S747,"F"),"")</f>
        <v/>
      </c>
      <c r="B747">
        <f>IF(AND('Data Source'!B747&lt;&gt;"",'Data Source'!S747="F"),'Data Source'!B747,"")</f>
        <v/>
      </c>
      <c r="C747" s="3">
        <f>IF(AND('Data Source'!B747&lt;&gt;"",'Data Source'!S747="F"),IF('Data Source'!U747&gt;=5,"A+",IF('Data Source'!U747&gt;=4,"A",IF('Data Source'!U747&gt;=3.5,"A-",IF('Data Source'!U747&gt;=3,"B",IF('Data Source'!U747&gt;=2,"C",IF('Data Source'!U747&gt;=1,"D","F")))))),"")</f>
        <v/>
      </c>
      <c r="D747" s="3">
        <f>IF(AND('Data Source'!B747&lt;&gt;"",'Data Source'!S747="F"),IF('Data Source'!V747&gt;=5,"A+",IF('Data Source'!V747&gt;=4,"A",IF('Data Source'!V747&gt;=3.5,"A-",IF('Data Source'!V747&gt;=3,"B",IF('Data Source'!V747&gt;=2,"C",IF('Data Source'!V747&gt;=1,"D","F")))))),"")</f>
        <v/>
      </c>
      <c r="E747" s="3">
        <f>IF(AND('Data Source'!B747&lt;&gt;"",'Data Source'!S747="F"),IF('Data Source'!W747&gt;=5,"A+",IF('Data Source'!W747&gt;=4,"A",IF('Data Source'!W747&gt;=3.5,"A-",IF('Data Source'!W747&gt;=3,"B",IF('Data Source'!W747&gt;=2,"C",IF('Data Source'!W747&gt;=1,"D","F")))))),"")</f>
        <v/>
      </c>
      <c r="F747" s="3">
        <f>IF(AND('Data Source'!B747&lt;&gt;"",'Data Source'!S747="F"),IF('Data Source'!X747&gt;=5,"A+",IF('Data Source'!X747&gt;=4,"A",IF('Data Source'!X747&gt;=3.5,"A-",IF('Data Source'!X747&gt;=3,"B",IF('Data Source'!X747&gt;=2,"C",IF('Data Source'!X747&gt;=1,"D","F")))))),"")</f>
        <v/>
      </c>
      <c r="G747" s="3">
        <f>IF(AND('Data Source'!B747&lt;&gt;"",'Data Source'!S747="F"),IF('Data Source'!Y747&gt;=5,"A+",IF('Data Source'!Y747&gt;=4,"A",IF('Data Source'!Y747&gt;=3.5,"A-",IF('Data Source'!Y747&gt;=3,"B",IF('Data Source'!Y747&gt;=2,"C",IF('Data Source'!Y747&gt;=1,"D","F")))))),"")</f>
        <v/>
      </c>
      <c r="H747" s="3">
        <f>IF(AND('Data Source'!B747&lt;&gt;"",'Data Source'!S747="F"),IF('Data Source'!Z747&gt;=5,"A+",IF('Data Source'!Z747&gt;=4,"A",IF('Data Source'!Z747&gt;=3.5,"A-",IF('Data Source'!Z747&gt;=3,"B",IF('Data Source'!Z747&gt;=2,"C",IF('Data Source'!Z747&gt;=1,"D","F")))))),"")</f>
        <v/>
      </c>
      <c r="I747" s="3">
        <f>IF(AND('Data Source'!B747&lt;&gt;"",'Data Source'!S747="F"),IF('Data Source'!AA747&gt;=5,"A+",IF('Data Source'!AA747&gt;=4,"A",IF('Data Source'!AA747&gt;=3.5,"A-",IF('Data Source'!AA747&gt;=3,"B",IF('Data Source'!AA747&gt;=2,"C",IF('Data Source'!AA747&gt;=1,"D","F")))))),"")</f>
        <v/>
      </c>
      <c r="J747" s="3">
        <f>IF(AND('Data Source'!B747&lt;&gt;"",'Data Source'!S747="F"),IF('Data Source'!AB747&gt;=5,"A+",IF('Data Source'!AB747&gt;=4,"A",IF('Data Source'!AB747&gt;=3.5,"A-",IF('Data Source'!AB747&gt;=3,"B",IF('Data Source'!AB747&gt;=2,"C",IF('Data Source'!AB747&gt;=1,"D","F")))))),"")</f>
        <v/>
      </c>
      <c r="K747" s="3">
        <f>IF(AND('Data Source'!B747&lt;&gt;"",'Data Source'!S747="F"),IF('Data Source'!AC747&gt;=5,"A+",IF('Data Source'!AC747&gt;=4,"A",IF('Data Source'!AC747&gt;=3.5,"A-",IF('Data Source'!AC747&gt;=3,"B",IF('Data Source'!AC747&gt;=2,"C",IF('Data Source'!AC747&gt;=1,"D","F")))))),"")</f>
        <v/>
      </c>
      <c r="L747" s="3">
        <f>IF(AND('Data Source'!B747&lt;&gt;"",'Data Source'!S747="F"),IF('Data Source'!AD747&gt;=5,"A+",IF('Data Source'!AD747&gt;=4,"A",IF('Data Source'!AD747&gt;=3.5,"A-",IF('Data Source'!AD747&gt;=3,"B",IF('Data Source'!AD747&gt;=2,"C",IF('Data Source'!AD747&gt;=1,"D","F")))))),"")</f>
        <v/>
      </c>
      <c r="M747" s="3">
        <f>IF(AND('Data Source'!B747&lt;&gt;"",'Data Source'!S747="F"),IF('Data Source'!AE747&gt;=5,"A+",IF('Data Source'!AE747&gt;=4,"A",IF('Data Source'!AE747&gt;=3.5,"A-",IF('Data Source'!AE747&gt;=3,"B",IF('Data Source'!AE747&gt;=2,"C",IF('Data Source'!AE747&gt;=1,"D","F")))))),"")</f>
        <v/>
      </c>
      <c r="N747" s="3">
        <f>IF(AND('Data Source'!B747&lt;&gt;"",'Data Source'!S747="F"),IF('Data Source'!AF747&gt;=5,"A+",IF('Data Source'!AF747&gt;=4,"A",IF('Data Source'!AF747&gt;=3.5,"A-",IF('Data Source'!AF747&gt;=3,"B",IF('Data Source'!AF747&gt;=2,"C",IF('Data Source'!AF747&gt;=1,"D","F")))))),"")</f>
        <v/>
      </c>
      <c r="O747" s="3">
        <f>IF(AND('Data Source'!B747&lt;&gt;"",'Data Source'!S747="F"),IF('Data Source'!AG747&gt;=5,"A+",IF('Data Source'!AG747&gt;=4,"A",IF('Data Source'!AG747&gt;=3.5,"A-",IF('Data Source'!AG747&gt;=3,"B",IF('Data Source'!AG747&gt;=2,"C",IF('Data Source'!AG747&gt;=1,"D","F")))))),"")</f>
        <v/>
      </c>
      <c r="P747" s="5">
        <f>IF(AND('Data Source'!B747&lt;&gt;"",'Data Source'!S747="F"),'Data Source'!R747,"")</f>
        <v/>
      </c>
      <c r="Q747" s="3">
        <f>IF(AND('Data Source'!B747&lt;&gt;"",'Data Source'!S747="F"),'Data Source'!S747,"")</f>
        <v/>
      </c>
    </row>
    <row r="748">
      <c r="A748" s="3">
        <f>IF(AND('Data Source'!B748&lt;&gt;"",'Data Source'!S748="F"),COUNTIF('Data Source'!$S$3:S748,"F"),"")</f>
        <v/>
      </c>
      <c r="B748">
        <f>IF(AND('Data Source'!B748&lt;&gt;"",'Data Source'!S748="F"),'Data Source'!B748,"")</f>
        <v/>
      </c>
      <c r="C748" s="3">
        <f>IF(AND('Data Source'!B748&lt;&gt;"",'Data Source'!S748="F"),IF('Data Source'!U748&gt;=5,"A+",IF('Data Source'!U748&gt;=4,"A",IF('Data Source'!U748&gt;=3.5,"A-",IF('Data Source'!U748&gt;=3,"B",IF('Data Source'!U748&gt;=2,"C",IF('Data Source'!U748&gt;=1,"D","F")))))),"")</f>
        <v/>
      </c>
      <c r="D748" s="3">
        <f>IF(AND('Data Source'!B748&lt;&gt;"",'Data Source'!S748="F"),IF('Data Source'!V748&gt;=5,"A+",IF('Data Source'!V748&gt;=4,"A",IF('Data Source'!V748&gt;=3.5,"A-",IF('Data Source'!V748&gt;=3,"B",IF('Data Source'!V748&gt;=2,"C",IF('Data Source'!V748&gt;=1,"D","F")))))),"")</f>
        <v/>
      </c>
      <c r="E748" s="3">
        <f>IF(AND('Data Source'!B748&lt;&gt;"",'Data Source'!S748="F"),IF('Data Source'!W748&gt;=5,"A+",IF('Data Source'!W748&gt;=4,"A",IF('Data Source'!W748&gt;=3.5,"A-",IF('Data Source'!W748&gt;=3,"B",IF('Data Source'!W748&gt;=2,"C",IF('Data Source'!W748&gt;=1,"D","F")))))),"")</f>
        <v/>
      </c>
      <c r="F748" s="3">
        <f>IF(AND('Data Source'!B748&lt;&gt;"",'Data Source'!S748="F"),IF('Data Source'!X748&gt;=5,"A+",IF('Data Source'!X748&gt;=4,"A",IF('Data Source'!X748&gt;=3.5,"A-",IF('Data Source'!X748&gt;=3,"B",IF('Data Source'!X748&gt;=2,"C",IF('Data Source'!X748&gt;=1,"D","F")))))),"")</f>
        <v/>
      </c>
      <c r="G748" s="3">
        <f>IF(AND('Data Source'!B748&lt;&gt;"",'Data Source'!S748="F"),IF('Data Source'!Y748&gt;=5,"A+",IF('Data Source'!Y748&gt;=4,"A",IF('Data Source'!Y748&gt;=3.5,"A-",IF('Data Source'!Y748&gt;=3,"B",IF('Data Source'!Y748&gt;=2,"C",IF('Data Source'!Y748&gt;=1,"D","F")))))),"")</f>
        <v/>
      </c>
      <c r="H748" s="3">
        <f>IF(AND('Data Source'!B748&lt;&gt;"",'Data Source'!S748="F"),IF('Data Source'!Z748&gt;=5,"A+",IF('Data Source'!Z748&gt;=4,"A",IF('Data Source'!Z748&gt;=3.5,"A-",IF('Data Source'!Z748&gt;=3,"B",IF('Data Source'!Z748&gt;=2,"C",IF('Data Source'!Z748&gt;=1,"D","F")))))),"")</f>
        <v/>
      </c>
      <c r="I748" s="3">
        <f>IF(AND('Data Source'!B748&lt;&gt;"",'Data Source'!S748="F"),IF('Data Source'!AA748&gt;=5,"A+",IF('Data Source'!AA748&gt;=4,"A",IF('Data Source'!AA748&gt;=3.5,"A-",IF('Data Source'!AA748&gt;=3,"B",IF('Data Source'!AA748&gt;=2,"C",IF('Data Source'!AA748&gt;=1,"D","F")))))),"")</f>
        <v/>
      </c>
      <c r="J748" s="3">
        <f>IF(AND('Data Source'!B748&lt;&gt;"",'Data Source'!S748="F"),IF('Data Source'!AB748&gt;=5,"A+",IF('Data Source'!AB748&gt;=4,"A",IF('Data Source'!AB748&gt;=3.5,"A-",IF('Data Source'!AB748&gt;=3,"B",IF('Data Source'!AB748&gt;=2,"C",IF('Data Source'!AB748&gt;=1,"D","F")))))),"")</f>
        <v/>
      </c>
      <c r="K748" s="3">
        <f>IF(AND('Data Source'!B748&lt;&gt;"",'Data Source'!S748="F"),IF('Data Source'!AC748&gt;=5,"A+",IF('Data Source'!AC748&gt;=4,"A",IF('Data Source'!AC748&gt;=3.5,"A-",IF('Data Source'!AC748&gt;=3,"B",IF('Data Source'!AC748&gt;=2,"C",IF('Data Source'!AC748&gt;=1,"D","F")))))),"")</f>
        <v/>
      </c>
      <c r="L748" s="3">
        <f>IF(AND('Data Source'!B748&lt;&gt;"",'Data Source'!S748="F"),IF('Data Source'!AD748&gt;=5,"A+",IF('Data Source'!AD748&gt;=4,"A",IF('Data Source'!AD748&gt;=3.5,"A-",IF('Data Source'!AD748&gt;=3,"B",IF('Data Source'!AD748&gt;=2,"C",IF('Data Source'!AD748&gt;=1,"D","F")))))),"")</f>
        <v/>
      </c>
      <c r="M748" s="3">
        <f>IF(AND('Data Source'!B748&lt;&gt;"",'Data Source'!S748="F"),IF('Data Source'!AE748&gt;=5,"A+",IF('Data Source'!AE748&gt;=4,"A",IF('Data Source'!AE748&gt;=3.5,"A-",IF('Data Source'!AE748&gt;=3,"B",IF('Data Source'!AE748&gt;=2,"C",IF('Data Source'!AE748&gt;=1,"D","F")))))),"")</f>
        <v/>
      </c>
      <c r="N748" s="3">
        <f>IF(AND('Data Source'!B748&lt;&gt;"",'Data Source'!S748="F"),IF('Data Source'!AF748&gt;=5,"A+",IF('Data Source'!AF748&gt;=4,"A",IF('Data Source'!AF748&gt;=3.5,"A-",IF('Data Source'!AF748&gt;=3,"B",IF('Data Source'!AF748&gt;=2,"C",IF('Data Source'!AF748&gt;=1,"D","F")))))),"")</f>
        <v/>
      </c>
      <c r="O748" s="3">
        <f>IF(AND('Data Source'!B748&lt;&gt;"",'Data Source'!S748="F"),IF('Data Source'!AG748&gt;=5,"A+",IF('Data Source'!AG748&gt;=4,"A",IF('Data Source'!AG748&gt;=3.5,"A-",IF('Data Source'!AG748&gt;=3,"B",IF('Data Source'!AG748&gt;=2,"C",IF('Data Source'!AG748&gt;=1,"D","F")))))),"")</f>
        <v/>
      </c>
      <c r="P748" s="5">
        <f>IF(AND('Data Source'!B748&lt;&gt;"",'Data Source'!S748="F"),'Data Source'!R748,"")</f>
        <v/>
      </c>
      <c r="Q748" s="3">
        <f>IF(AND('Data Source'!B748&lt;&gt;"",'Data Source'!S748="F"),'Data Source'!S748,"")</f>
        <v/>
      </c>
    </row>
    <row r="749">
      <c r="A749" s="3">
        <f>IF(AND('Data Source'!B749&lt;&gt;"",'Data Source'!S749="F"),COUNTIF('Data Source'!$S$3:S749,"F"),"")</f>
        <v/>
      </c>
      <c r="B749">
        <f>IF(AND('Data Source'!B749&lt;&gt;"",'Data Source'!S749="F"),'Data Source'!B749,"")</f>
        <v/>
      </c>
      <c r="C749" s="3">
        <f>IF(AND('Data Source'!B749&lt;&gt;"",'Data Source'!S749="F"),IF('Data Source'!U749&gt;=5,"A+",IF('Data Source'!U749&gt;=4,"A",IF('Data Source'!U749&gt;=3.5,"A-",IF('Data Source'!U749&gt;=3,"B",IF('Data Source'!U749&gt;=2,"C",IF('Data Source'!U749&gt;=1,"D","F")))))),"")</f>
        <v/>
      </c>
      <c r="D749" s="3">
        <f>IF(AND('Data Source'!B749&lt;&gt;"",'Data Source'!S749="F"),IF('Data Source'!V749&gt;=5,"A+",IF('Data Source'!V749&gt;=4,"A",IF('Data Source'!V749&gt;=3.5,"A-",IF('Data Source'!V749&gt;=3,"B",IF('Data Source'!V749&gt;=2,"C",IF('Data Source'!V749&gt;=1,"D","F")))))),"")</f>
        <v/>
      </c>
      <c r="E749" s="3">
        <f>IF(AND('Data Source'!B749&lt;&gt;"",'Data Source'!S749="F"),IF('Data Source'!W749&gt;=5,"A+",IF('Data Source'!W749&gt;=4,"A",IF('Data Source'!W749&gt;=3.5,"A-",IF('Data Source'!W749&gt;=3,"B",IF('Data Source'!W749&gt;=2,"C",IF('Data Source'!W749&gt;=1,"D","F")))))),"")</f>
        <v/>
      </c>
      <c r="F749" s="3">
        <f>IF(AND('Data Source'!B749&lt;&gt;"",'Data Source'!S749="F"),IF('Data Source'!X749&gt;=5,"A+",IF('Data Source'!X749&gt;=4,"A",IF('Data Source'!X749&gt;=3.5,"A-",IF('Data Source'!X749&gt;=3,"B",IF('Data Source'!X749&gt;=2,"C",IF('Data Source'!X749&gt;=1,"D","F")))))),"")</f>
        <v/>
      </c>
      <c r="G749" s="3">
        <f>IF(AND('Data Source'!B749&lt;&gt;"",'Data Source'!S749="F"),IF('Data Source'!Y749&gt;=5,"A+",IF('Data Source'!Y749&gt;=4,"A",IF('Data Source'!Y749&gt;=3.5,"A-",IF('Data Source'!Y749&gt;=3,"B",IF('Data Source'!Y749&gt;=2,"C",IF('Data Source'!Y749&gt;=1,"D","F")))))),"")</f>
        <v/>
      </c>
      <c r="H749" s="3">
        <f>IF(AND('Data Source'!B749&lt;&gt;"",'Data Source'!S749="F"),IF('Data Source'!Z749&gt;=5,"A+",IF('Data Source'!Z749&gt;=4,"A",IF('Data Source'!Z749&gt;=3.5,"A-",IF('Data Source'!Z749&gt;=3,"B",IF('Data Source'!Z749&gt;=2,"C",IF('Data Source'!Z749&gt;=1,"D","F")))))),"")</f>
        <v/>
      </c>
      <c r="I749" s="3">
        <f>IF(AND('Data Source'!B749&lt;&gt;"",'Data Source'!S749="F"),IF('Data Source'!AA749&gt;=5,"A+",IF('Data Source'!AA749&gt;=4,"A",IF('Data Source'!AA749&gt;=3.5,"A-",IF('Data Source'!AA749&gt;=3,"B",IF('Data Source'!AA749&gt;=2,"C",IF('Data Source'!AA749&gt;=1,"D","F")))))),"")</f>
        <v/>
      </c>
      <c r="J749" s="3">
        <f>IF(AND('Data Source'!B749&lt;&gt;"",'Data Source'!S749="F"),IF('Data Source'!AB749&gt;=5,"A+",IF('Data Source'!AB749&gt;=4,"A",IF('Data Source'!AB749&gt;=3.5,"A-",IF('Data Source'!AB749&gt;=3,"B",IF('Data Source'!AB749&gt;=2,"C",IF('Data Source'!AB749&gt;=1,"D","F")))))),"")</f>
        <v/>
      </c>
      <c r="K749" s="3">
        <f>IF(AND('Data Source'!B749&lt;&gt;"",'Data Source'!S749="F"),IF('Data Source'!AC749&gt;=5,"A+",IF('Data Source'!AC749&gt;=4,"A",IF('Data Source'!AC749&gt;=3.5,"A-",IF('Data Source'!AC749&gt;=3,"B",IF('Data Source'!AC749&gt;=2,"C",IF('Data Source'!AC749&gt;=1,"D","F")))))),"")</f>
        <v/>
      </c>
      <c r="L749" s="3">
        <f>IF(AND('Data Source'!B749&lt;&gt;"",'Data Source'!S749="F"),IF('Data Source'!AD749&gt;=5,"A+",IF('Data Source'!AD749&gt;=4,"A",IF('Data Source'!AD749&gt;=3.5,"A-",IF('Data Source'!AD749&gt;=3,"B",IF('Data Source'!AD749&gt;=2,"C",IF('Data Source'!AD749&gt;=1,"D","F")))))),"")</f>
        <v/>
      </c>
      <c r="M749" s="3">
        <f>IF(AND('Data Source'!B749&lt;&gt;"",'Data Source'!S749="F"),IF('Data Source'!AE749&gt;=5,"A+",IF('Data Source'!AE749&gt;=4,"A",IF('Data Source'!AE749&gt;=3.5,"A-",IF('Data Source'!AE749&gt;=3,"B",IF('Data Source'!AE749&gt;=2,"C",IF('Data Source'!AE749&gt;=1,"D","F")))))),"")</f>
        <v/>
      </c>
      <c r="N749" s="3">
        <f>IF(AND('Data Source'!B749&lt;&gt;"",'Data Source'!S749="F"),IF('Data Source'!AF749&gt;=5,"A+",IF('Data Source'!AF749&gt;=4,"A",IF('Data Source'!AF749&gt;=3.5,"A-",IF('Data Source'!AF749&gt;=3,"B",IF('Data Source'!AF749&gt;=2,"C",IF('Data Source'!AF749&gt;=1,"D","F")))))),"")</f>
        <v/>
      </c>
      <c r="O749" s="3">
        <f>IF(AND('Data Source'!B749&lt;&gt;"",'Data Source'!S749="F"),IF('Data Source'!AG749&gt;=5,"A+",IF('Data Source'!AG749&gt;=4,"A",IF('Data Source'!AG749&gt;=3.5,"A-",IF('Data Source'!AG749&gt;=3,"B",IF('Data Source'!AG749&gt;=2,"C",IF('Data Source'!AG749&gt;=1,"D","F")))))),"")</f>
        <v/>
      </c>
      <c r="P749" s="5">
        <f>IF(AND('Data Source'!B749&lt;&gt;"",'Data Source'!S749="F"),'Data Source'!R749,"")</f>
        <v/>
      </c>
      <c r="Q749" s="3">
        <f>IF(AND('Data Source'!B749&lt;&gt;"",'Data Source'!S749="F"),'Data Source'!S749,"")</f>
        <v/>
      </c>
    </row>
    <row r="750">
      <c r="A750" s="3">
        <f>IF(AND('Data Source'!B750&lt;&gt;"",'Data Source'!S750="F"),COUNTIF('Data Source'!$S$3:S750,"F"),"")</f>
        <v/>
      </c>
      <c r="B750">
        <f>IF(AND('Data Source'!B750&lt;&gt;"",'Data Source'!S750="F"),'Data Source'!B750,"")</f>
        <v/>
      </c>
      <c r="C750" s="3">
        <f>IF(AND('Data Source'!B750&lt;&gt;"",'Data Source'!S750="F"),IF('Data Source'!U750&gt;=5,"A+",IF('Data Source'!U750&gt;=4,"A",IF('Data Source'!U750&gt;=3.5,"A-",IF('Data Source'!U750&gt;=3,"B",IF('Data Source'!U750&gt;=2,"C",IF('Data Source'!U750&gt;=1,"D","F")))))),"")</f>
        <v/>
      </c>
      <c r="D750" s="3">
        <f>IF(AND('Data Source'!B750&lt;&gt;"",'Data Source'!S750="F"),IF('Data Source'!V750&gt;=5,"A+",IF('Data Source'!V750&gt;=4,"A",IF('Data Source'!V750&gt;=3.5,"A-",IF('Data Source'!V750&gt;=3,"B",IF('Data Source'!V750&gt;=2,"C",IF('Data Source'!V750&gt;=1,"D","F")))))),"")</f>
        <v/>
      </c>
      <c r="E750" s="3">
        <f>IF(AND('Data Source'!B750&lt;&gt;"",'Data Source'!S750="F"),IF('Data Source'!W750&gt;=5,"A+",IF('Data Source'!W750&gt;=4,"A",IF('Data Source'!W750&gt;=3.5,"A-",IF('Data Source'!W750&gt;=3,"B",IF('Data Source'!W750&gt;=2,"C",IF('Data Source'!W750&gt;=1,"D","F")))))),"")</f>
        <v/>
      </c>
      <c r="F750" s="3">
        <f>IF(AND('Data Source'!B750&lt;&gt;"",'Data Source'!S750="F"),IF('Data Source'!X750&gt;=5,"A+",IF('Data Source'!X750&gt;=4,"A",IF('Data Source'!X750&gt;=3.5,"A-",IF('Data Source'!X750&gt;=3,"B",IF('Data Source'!X750&gt;=2,"C",IF('Data Source'!X750&gt;=1,"D","F")))))),"")</f>
        <v/>
      </c>
      <c r="G750" s="3">
        <f>IF(AND('Data Source'!B750&lt;&gt;"",'Data Source'!S750="F"),IF('Data Source'!Y750&gt;=5,"A+",IF('Data Source'!Y750&gt;=4,"A",IF('Data Source'!Y750&gt;=3.5,"A-",IF('Data Source'!Y750&gt;=3,"B",IF('Data Source'!Y750&gt;=2,"C",IF('Data Source'!Y750&gt;=1,"D","F")))))),"")</f>
        <v/>
      </c>
      <c r="H750" s="3">
        <f>IF(AND('Data Source'!B750&lt;&gt;"",'Data Source'!S750="F"),IF('Data Source'!Z750&gt;=5,"A+",IF('Data Source'!Z750&gt;=4,"A",IF('Data Source'!Z750&gt;=3.5,"A-",IF('Data Source'!Z750&gt;=3,"B",IF('Data Source'!Z750&gt;=2,"C",IF('Data Source'!Z750&gt;=1,"D","F")))))),"")</f>
        <v/>
      </c>
      <c r="I750" s="3">
        <f>IF(AND('Data Source'!B750&lt;&gt;"",'Data Source'!S750="F"),IF('Data Source'!AA750&gt;=5,"A+",IF('Data Source'!AA750&gt;=4,"A",IF('Data Source'!AA750&gt;=3.5,"A-",IF('Data Source'!AA750&gt;=3,"B",IF('Data Source'!AA750&gt;=2,"C",IF('Data Source'!AA750&gt;=1,"D","F")))))),"")</f>
        <v/>
      </c>
      <c r="J750" s="3">
        <f>IF(AND('Data Source'!B750&lt;&gt;"",'Data Source'!S750="F"),IF('Data Source'!AB750&gt;=5,"A+",IF('Data Source'!AB750&gt;=4,"A",IF('Data Source'!AB750&gt;=3.5,"A-",IF('Data Source'!AB750&gt;=3,"B",IF('Data Source'!AB750&gt;=2,"C",IF('Data Source'!AB750&gt;=1,"D","F")))))),"")</f>
        <v/>
      </c>
      <c r="K750" s="3">
        <f>IF(AND('Data Source'!B750&lt;&gt;"",'Data Source'!S750="F"),IF('Data Source'!AC750&gt;=5,"A+",IF('Data Source'!AC750&gt;=4,"A",IF('Data Source'!AC750&gt;=3.5,"A-",IF('Data Source'!AC750&gt;=3,"B",IF('Data Source'!AC750&gt;=2,"C",IF('Data Source'!AC750&gt;=1,"D","F")))))),"")</f>
        <v/>
      </c>
      <c r="L750" s="3">
        <f>IF(AND('Data Source'!B750&lt;&gt;"",'Data Source'!S750="F"),IF('Data Source'!AD750&gt;=5,"A+",IF('Data Source'!AD750&gt;=4,"A",IF('Data Source'!AD750&gt;=3.5,"A-",IF('Data Source'!AD750&gt;=3,"B",IF('Data Source'!AD750&gt;=2,"C",IF('Data Source'!AD750&gt;=1,"D","F")))))),"")</f>
        <v/>
      </c>
      <c r="M750" s="3">
        <f>IF(AND('Data Source'!B750&lt;&gt;"",'Data Source'!S750="F"),IF('Data Source'!AE750&gt;=5,"A+",IF('Data Source'!AE750&gt;=4,"A",IF('Data Source'!AE750&gt;=3.5,"A-",IF('Data Source'!AE750&gt;=3,"B",IF('Data Source'!AE750&gt;=2,"C",IF('Data Source'!AE750&gt;=1,"D","F")))))),"")</f>
        <v/>
      </c>
      <c r="N750" s="3">
        <f>IF(AND('Data Source'!B750&lt;&gt;"",'Data Source'!S750="F"),IF('Data Source'!AF750&gt;=5,"A+",IF('Data Source'!AF750&gt;=4,"A",IF('Data Source'!AF750&gt;=3.5,"A-",IF('Data Source'!AF750&gt;=3,"B",IF('Data Source'!AF750&gt;=2,"C",IF('Data Source'!AF750&gt;=1,"D","F")))))),"")</f>
        <v/>
      </c>
      <c r="O750" s="3">
        <f>IF(AND('Data Source'!B750&lt;&gt;"",'Data Source'!S750="F"),IF('Data Source'!AG750&gt;=5,"A+",IF('Data Source'!AG750&gt;=4,"A",IF('Data Source'!AG750&gt;=3.5,"A-",IF('Data Source'!AG750&gt;=3,"B",IF('Data Source'!AG750&gt;=2,"C",IF('Data Source'!AG750&gt;=1,"D","F")))))),"")</f>
        <v/>
      </c>
      <c r="P750" s="5">
        <f>IF(AND('Data Source'!B750&lt;&gt;"",'Data Source'!S750="F"),'Data Source'!R750,"")</f>
        <v/>
      </c>
      <c r="Q750" s="3">
        <f>IF(AND('Data Source'!B750&lt;&gt;"",'Data Source'!S750="F"),'Data Source'!S750,"")</f>
        <v/>
      </c>
    </row>
    <row r="751">
      <c r="A751" s="3">
        <f>IF(AND('Data Source'!B751&lt;&gt;"",'Data Source'!S751="F"),COUNTIF('Data Source'!$S$3:S751,"F"),"")</f>
        <v/>
      </c>
      <c r="B751">
        <f>IF(AND('Data Source'!B751&lt;&gt;"",'Data Source'!S751="F"),'Data Source'!B751,"")</f>
        <v/>
      </c>
      <c r="C751" s="3">
        <f>IF(AND('Data Source'!B751&lt;&gt;"",'Data Source'!S751="F"),IF('Data Source'!U751&gt;=5,"A+",IF('Data Source'!U751&gt;=4,"A",IF('Data Source'!U751&gt;=3.5,"A-",IF('Data Source'!U751&gt;=3,"B",IF('Data Source'!U751&gt;=2,"C",IF('Data Source'!U751&gt;=1,"D","F")))))),"")</f>
        <v/>
      </c>
      <c r="D751" s="3">
        <f>IF(AND('Data Source'!B751&lt;&gt;"",'Data Source'!S751="F"),IF('Data Source'!V751&gt;=5,"A+",IF('Data Source'!V751&gt;=4,"A",IF('Data Source'!V751&gt;=3.5,"A-",IF('Data Source'!V751&gt;=3,"B",IF('Data Source'!V751&gt;=2,"C",IF('Data Source'!V751&gt;=1,"D","F")))))),"")</f>
        <v/>
      </c>
      <c r="E751" s="3">
        <f>IF(AND('Data Source'!B751&lt;&gt;"",'Data Source'!S751="F"),IF('Data Source'!W751&gt;=5,"A+",IF('Data Source'!W751&gt;=4,"A",IF('Data Source'!W751&gt;=3.5,"A-",IF('Data Source'!W751&gt;=3,"B",IF('Data Source'!W751&gt;=2,"C",IF('Data Source'!W751&gt;=1,"D","F")))))),"")</f>
        <v/>
      </c>
      <c r="F751" s="3">
        <f>IF(AND('Data Source'!B751&lt;&gt;"",'Data Source'!S751="F"),IF('Data Source'!X751&gt;=5,"A+",IF('Data Source'!X751&gt;=4,"A",IF('Data Source'!X751&gt;=3.5,"A-",IF('Data Source'!X751&gt;=3,"B",IF('Data Source'!X751&gt;=2,"C",IF('Data Source'!X751&gt;=1,"D","F")))))),"")</f>
        <v/>
      </c>
      <c r="G751" s="3">
        <f>IF(AND('Data Source'!B751&lt;&gt;"",'Data Source'!S751="F"),IF('Data Source'!Y751&gt;=5,"A+",IF('Data Source'!Y751&gt;=4,"A",IF('Data Source'!Y751&gt;=3.5,"A-",IF('Data Source'!Y751&gt;=3,"B",IF('Data Source'!Y751&gt;=2,"C",IF('Data Source'!Y751&gt;=1,"D","F")))))),"")</f>
        <v/>
      </c>
      <c r="H751" s="3">
        <f>IF(AND('Data Source'!B751&lt;&gt;"",'Data Source'!S751="F"),IF('Data Source'!Z751&gt;=5,"A+",IF('Data Source'!Z751&gt;=4,"A",IF('Data Source'!Z751&gt;=3.5,"A-",IF('Data Source'!Z751&gt;=3,"B",IF('Data Source'!Z751&gt;=2,"C",IF('Data Source'!Z751&gt;=1,"D","F")))))),"")</f>
        <v/>
      </c>
      <c r="I751" s="3">
        <f>IF(AND('Data Source'!B751&lt;&gt;"",'Data Source'!S751="F"),IF('Data Source'!AA751&gt;=5,"A+",IF('Data Source'!AA751&gt;=4,"A",IF('Data Source'!AA751&gt;=3.5,"A-",IF('Data Source'!AA751&gt;=3,"B",IF('Data Source'!AA751&gt;=2,"C",IF('Data Source'!AA751&gt;=1,"D","F")))))),"")</f>
        <v/>
      </c>
      <c r="J751" s="3">
        <f>IF(AND('Data Source'!B751&lt;&gt;"",'Data Source'!S751="F"),IF('Data Source'!AB751&gt;=5,"A+",IF('Data Source'!AB751&gt;=4,"A",IF('Data Source'!AB751&gt;=3.5,"A-",IF('Data Source'!AB751&gt;=3,"B",IF('Data Source'!AB751&gt;=2,"C",IF('Data Source'!AB751&gt;=1,"D","F")))))),"")</f>
        <v/>
      </c>
      <c r="K751" s="3">
        <f>IF(AND('Data Source'!B751&lt;&gt;"",'Data Source'!S751="F"),IF('Data Source'!AC751&gt;=5,"A+",IF('Data Source'!AC751&gt;=4,"A",IF('Data Source'!AC751&gt;=3.5,"A-",IF('Data Source'!AC751&gt;=3,"B",IF('Data Source'!AC751&gt;=2,"C",IF('Data Source'!AC751&gt;=1,"D","F")))))),"")</f>
        <v/>
      </c>
      <c r="L751" s="3">
        <f>IF(AND('Data Source'!B751&lt;&gt;"",'Data Source'!S751="F"),IF('Data Source'!AD751&gt;=5,"A+",IF('Data Source'!AD751&gt;=4,"A",IF('Data Source'!AD751&gt;=3.5,"A-",IF('Data Source'!AD751&gt;=3,"B",IF('Data Source'!AD751&gt;=2,"C",IF('Data Source'!AD751&gt;=1,"D","F")))))),"")</f>
        <v/>
      </c>
      <c r="M751" s="3">
        <f>IF(AND('Data Source'!B751&lt;&gt;"",'Data Source'!S751="F"),IF('Data Source'!AE751&gt;=5,"A+",IF('Data Source'!AE751&gt;=4,"A",IF('Data Source'!AE751&gt;=3.5,"A-",IF('Data Source'!AE751&gt;=3,"B",IF('Data Source'!AE751&gt;=2,"C",IF('Data Source'!AE751&gt;=1,"D","F")))))),"")</f>
        <v/>
      </c>
      <c r="N751" s="3">
        <f>IF(AND('Data Source'!B751&lt;&gt;"",'Data Source'!S751="F"),IF('Data Source'!AF751&gt;=5,"A+",IF('Data Source'!AF751&gt;=4,"A",IF('Data Source'!AF751&gt;=3.5,"A-",IF('Data Source'!AF751&gt;=3,"B",IF('Data Source'!AF751&gt;=2,"C",IF('Data Source'!AF751&gt;=1,"D","F")))))),"")</f>
        <v/>
      </c>
      <c r="O751" s="3">
        <f>IF(AND('Data Source'!B751&lt;&gt;"",'Data Source'!S751="F"),IF('Data Source'!AG751&gt;=5,"A+",IF('Data Source'!AG751&gt;=4,"A",IF('Data Source'!AG751&gt;=3.5,"A-",IF('Data Source'!AG751&gt;=3,"B",IF('Data Source'!AG751&gt;=2,"C",IF('Data Source'!AG751&gt;=1,"D","F")))))),"")</f>
        <v/>
      </c>
      <c r="P751" s="5">
        <f>IF(AND('Data Source'!B751&lt;&gt;"",'Data Source'!S751="F"),'Data Source'!R751,"")</f>
        <v/>
      </c>
      <c r="Q751" s="3">
        <f>IF(AND('Data Source'!B751&lt;&gt;"",'Data Source'!S751="F"),'Data Source'!S751,"")</f>
        <v/>
      </c>
    </row>
    <row r="752">
      <c r="A752" s="3">
        <f>IF(AND('Data Source'!B752&lt;&gt;"",'Data Source'!S752="F"),COUNTIF('Data Source'!$S$3:S752,"F"),"")</f>
        <v/>
      </c>
      <c r="B752">
        <f>IF(AND('Data Source'!B752&lt;&gt;"",'Data Source'!S752="F"),'Data Source'!B752,"")</f>
        <v/>
      </c>
      <c r="C752" s="3">
        <f>IF(AND('Data Source'!B752&lt;&gt;"",'Data Source'!S752="F"),IF('Data Source'!U752&gt;=5,"A+",IF('Data Source'!U752&gt;=4,"A",IF('Data Source'!U752&gt;=3.5,"A-",IF('Data Source'!U752&gt;=3,"B",IF('Data Source'!U752&gt;=2,"C",IF('Data Source'!U752&gt;=1,"D","F")))))),"")</f>
        <v/>
      </c>
      <c r="D752" s="3">
        <f>IF(AND('Data Source'!B752&lt;&gt;"",'Data Source'!S752="F"),IF('Data Source'!V752&gt;=5,"A+",IF('Data Source'!V752&gt;=4,"A",IF('Data Source'!V752&gt;=3.5,"A-",IF('Data Source'!V752&gt;=3,"B",IF('Data Source'!V752&gt;=2,"C",IF('Data Source'!V752&gt;=1,"D","F")))))),"")</f>
        <v/>
      </c>
      <c r="E752" s="3">
        <f>IF(AND('Data Source'!B752&lt;&gt;"",'Data Source'!S752="F"),IF('Data Source'!W752&gt;=5,"A+",IF('Data Source'!W752&gt;=4,"A",IF('Data Source'!W752&gt;=3.5,"A-",IF('Data Source'!W752&gt;=3,"B",IF('Data Source'!W752&gt;=2,"C",IF('Data Source'!W752&gt;=1,"D","F")))))),"")</f>
        <v/>
      </c>
      <c r="F752" s="3">
        <f>IF(AND('Data Source'!B752&lt;&gt;"",'Data Source'!S752="F"),IF('Data Source'!X752&gt;=5,"A+",IF('Data Source'!X752&gt;=4,"A",IF('Data Source'!X752&gt;=3.5,"A-",IF('Data Source'!X752&gt;=3,"B",IF('Data Source'!X752&gt;=2,"C",IF('Data Source'!X752&gt;=1,"D","F")))))),"")</f>
        <v/>
      </c>
      <c r="G752" s="3">
        <f>IF(AND('Data Source'!B752&lt;&gt;"",'Data Source'!S752="F"),IF('Data Source'!Y752&gt;=5,"A+",IF('Data Source'!Y752&gt;=4,"A",IF('Data Source'!Y752&gt;=3.5,"A-",IF('Data Source'!Y752&gt;=3,"B",IF('Data Source'!Y752&gt;=2,"C",IF('Data Source'!Y752&gt;=1,"D","F")))))),"")</f>
        <v/>
      </c>
      <c r="H752" s="3">
        <f>IF(AND('Data Source'!B752&lt;&gt;"",'Data Source'!S752="F"),IF('Data Source'!Z752&gt;=5,"A+",IF('Data Source'!Z752&gt;=4,"A",IF('Data Source'!Z752&gt;=3.5,"A-",IF('Data Source'!Z752&gt;=3,"B",IF('Data Source'!Z752&gt;=2,"C",IF('Data Source'!Z752&gt;=1,"D","F")))))),"")</f>
        <v/>
      </c>
      <c r="I752" s="3">
        <f>IF(AND('Data Source'!B752&lt;&gt;"",'Data Source'!S752="F"),IF('Data Source'!AA752&gt;=5,"A+",IF('Data Source'!AA752&gt;=4,"A",IF('Data Source'!AA752&gt;=3.5,"A-",IF('Data Source'!AA752&gt;=3,"B",IF('Data Source'!AA752&gt;=2,"C",IF('Data Source'!AA752&gt;=1,"D","F")))))),"")</f>
        <v/>
      </c>
      <c r="J752" s="3">
        <f>IF(AND('Data Source'!B752&lt;&gt;"",'Data Source'!S752="F"),IF('Data Source'!AB752&gt;=5,"A+",IF('Data Source'!AB752&gt;=4,"A",IF('Data Source'!AB752&gt;=3.5,"A-",IF('Data Source'!AB752&gt;=3,"B",IF('Data Source'!AB752&gt;=2,"C",IF('Data Source'!AB752&gt;=1,"D","F")))))),"")</f>
        <v/>
      </c>
      <c r="K752" s="3">
        <f>IF(AND('Data Source'!B752&lt;&gt;"",'Data Source'!S752="F"),IF('Data Source'!AC752&gt;=5,"A+",IF('Data Source'!AC752&gt;=4,"A",IF('Data Source'!AC752&gt;=3.5,"A-",IF('Data Source'!AC752&gt;=3,"B",IF('Data Source'!AC752&gt;=2,"C",IF('Data Source'!AC752&gt;=1,"D","F")))))),"")</f>
        <v/>
      </c>
      <c r="L752" s="3">
        <f>IF(AND('Data Source'!B752&lt;&gt;"",'Data Source'!S752="F"),IF('Data Source'!AD752&gt;=5,"A+",IF('Data Source'!AD752&gt;=4,"A",IF('Data Source'!AD752&gt;=3.5,"A-",IF('Data Source'!AD752&gt;=3,"B",IF('Data Source'!AD752&gt;=2,"C",IF('Data Source'!AD752&gt;=1,"D","F")))))),"")</f>
        <v/>
      </c>
      <c r="M752" s="3">
        <f>IF(AND('Data Source'!B752&lt;&gt;"",'Data Source'!S752="F"),IF('Data Source'!AE752&gt;=5,"A+",IF('Data Source'!AE752&gt;=4,"A",IF('Data Source'!AE752&gt;=3.5,"A-",IF('Data Source'!AE752&gt;=3,"B",IF('Data Source'!AE752&gt;=2,"C",IF('Data Source'!AE752&gt;=1,"D","F")))))),"")</f>
        <v/>
      </c>
      <c r="N752" s="3">
        <f>IF(AND('Data Source'!B752&lt;&gt;"",'Data Source'!S752="F"),IF('Data Source'!AF752&gt;=5,"A+",IF('Data Source'!AF752&gt;=4,"A",IF('Data Source'!AF752&gt;=3.5,"A-",IF('Data Source'!AF752&gt;=3,"B",IF('Data Source'!AF752&gt;=2,"C",IF('Data Source'!AF752&gt;=1,"D","F")))))),"")</f>
        <v/>
      </c>
      <c r="O752" s="3">
        <f>IF(AND('Data Source'!B752&lt;&gt;"",'Data Source'!S752="F"),IF('Data Source'!AG752&gt;=5,"A+",IF('Data Source'!AG752&gt;=4,"A",IF('Data Source'!AG752&gt;=3.5,"A-",IF('Data Source'!AG752&gt;=3,"B",IF('Data Source'!AG752&gt;=2,"C",IF('Data Source'!AG752&gt;=1,"D","F")))))),"")</f>
        <v/>
      </c>
      <c r="P752" s="5">
        <f>IF(AND('Data Source'!B752&lt;&gt;"",'Data Source'!S752="F"),'Data Source'!R752,"")</f>
        <v/>
      </c>
      <c r="Q752" s="3">
        <f>IF(AND('Data Source'!B752&lt;&gt;"",'Data Source'!S752="F"),'Data Source'!S752,"")</f>
        <v/>
      </c>
    </row>
    <row r="753">
      <c r="A753" s="3">
        <f>IF(AND('Data Source'!B753&lt;&gt;"",'Data Source'!S753="F"),COUNTIF('Data Source'!$S$3:S753,"F"),"")</f>
        <v/>
      </c>
      <c r="B753">
        <f>IF(AND('Data Source'!B753&lt;&gt;"",'Data Source'!S753="F"),'Data Source'!B753,"")</f>
        <v/>
      </c>
      <c r="C753" s="3">
        <f>IF(AND('Data Source'!B753&lt;&gt;"",'Data Source'!S753="F"),IF('Data Source'!U753&gt;=5,"A+",IF('Data Source'!U753&gt;=4,"A",IF('Data Source'!U753&gt;=3.5,"A-",IF('Data Source'!U753&gt;=3,"B",IF('Data Source'!U753&gt;=2,"C",IF('Data Source'!U753&gt;=1,"D","F")))))),"")</f>
        <v/>
      </c>
      <c r="D753" s="3">
        <f>IF(AND('Data Source'!B753&lt;&gt;"",'Data Source'!S753="F"),IF('Data Source'!V753&gt;=5,"A+",IF('Data Source'!V753&gt;=4,"A",IF('Data Source'!V753&gt;=3.5,"A-",IF('Data Source'!V753&gt;=3,"B",IF('Data Source'!V753&gt;=2,"C",IF('Data Source'!V753&gt;=1,"D","F")))))),"")</f>
        <v/>
      </c>
      <c r="E753" s="3">
        <f>IF(AND('Data Source'!B753&lt;&gt;"",'Data Source'!S753="F"),IF('Data Source'!W753&gt;=5,"A+",IF('Data Source'!W753&gt;=4,"A",IF('Data Source'!W753&gt;=3.5,"A-",IF('Data Source'!W753&gt;=3,"B",IF('Data Source'!W753&gt;=2,"C",IF('Data Source'!W753&gt;=1,"D","F")))))),"")</f>
        <v/>
      </c>
      <c r="F753" s="3">
        <f>IF(AND('Data Source'!B753&lt;&gt;"",'Data Source'!S753="F"),IF('Data Source'!X753&gt;=5,"A+",IF('Data Source'!X753&gt;=4,"A",IF('Data Source'!X753&gt;=3.5,"A-",IF('Data Source'!X753&gt;=3,"B",IF('Data Source'!X753&gt;=2,"C",IF('Data Source'!X753&gt;=1,"D","F")))))),"")</f>
        <v/>
      </c>
      <c r="G753" s="3">
        <f>IF(AND('Data Source'!B753&lt;&gt;"",'Data Source'!S753="F"),IF('Data Source'!Y753&gt;=5,"A+",IF('Data Source'!Y753&gt;=4,"A",IF('Data Source'!Y753&gt;=3.5,"A-",IF('Data Source'!Y753&gt;=3,"B",IF('Data Source'!Y753&gt;=2,"C",IF('Data Source'!Y753&gt;=1,"D","F")))))),"")</f>
        <v/>
      </c>
      <c r="H753" s="3">
        <f>IF(AND('Data Source'!B753&lt;&gt;"",'Data Source'!S753="F"),IF('Data Source'!Z753&gt;=5,"A+",IF('Data Source'!Z753&gt;=4,"A",IF('Data Source'!Z753&gt;=3.5,"A-",IF('Data Source'!Z753&gt;=3,"B",IF('Data Source'!Z753&gt;=2,"C",IF('Data Source'!Z753&gt;=1,"D","F")))))),"")</f>
        <v/>
      </c>
      <c r="I753" s="3">
        <f>IF(AND('Data Source'!B753&lt;&gt;"",'Data Source'!S753="F"),IF('Data Source'!AA753&gt;=5,"A+",IF('Data Source'!AA753&gt;=4,"A",IF('Data Source'!AA753&gt;=3.5,"A-",IF('Data Source'!AA753&gt;=3,"B",IF('Data Source'!AA753&gt;=2,"C",IF('Data Source'!AA753&gt;=1,"D","F")))))),"")</f>
        <v/>
      </c>
      <c r="J753" s="3">
        <f>IF(AND('Data Source'!B753&lt;&gt;"",'Data Source'!S753="F"),IF('Data Source'!AB753&gt;=5,"A+",IF('Data Source'!AB753&gt;=4,"A",IF('Data Source'!AB753&gt;=3.5,"A-",IF('Data Source'!AB753&gt;=3,"B",IF('Data Source'!AB753&gt;=2,"C",IF('Data Source'!AB753&gt;=1,"D","F")))))),"")</f>
        <v/>
      </c>
      <c r="K753" s="3">
        <f>IF(AND('Data Source'!B753&lt;&gt;"",'Data Source'!S753="F"),IF('Data Source'!AC753&gt;=5,"A+",IF('Data Source'!AC753&gt;=4,"A",IF('Data Source'!AC753&gt;=3.5,"A-",IF('Data Source'!AC753&gt;=3,"B",IF('Data Source'!AC753&gt;=2,"C",IF('Data Source'!AC753&gt;=1,"D","F")))))),"")</f>
        <v/>
      </c>
      <c r="L753" s="3">
        <f>IF(AND('Data Source'!B753&lt;&gt;"",'Data Source'!S753="F"),IF('Data Source'!AD753&gt;=5,"A+",IF('Data Source'!AD753&gt;=4,"A",IF('Data Source'!AD753&gt;=3.5,"A-",IF('Data Source'!AD753&gt;=3,"B",IF('Data Source'!AD753&gt;=2,"C",IF('Data Source'!AD753&gt;=1,"D","F")))))),"")</f>
        <v/>
      </c>
      <c r="M753" s="3">
        <f>IF(AND('Data Source'!B753&lt;&gt;"",'Data Source'!S753="F"),IF('Data Source'!AE753&gt;=5,"A+",IF('Data Source'!AE753&gt;=4,"A",IF('Data Source'!AE753&gt;=3.5,"A-",IF('Data Source'!AE753&gt;=3,"B",IF('Data Source'!AE753&gt;=2,"C",IF('Data Source'!AE753&gt;=1,"D","F")))))),"")</f>
        <v/>
      </c>
      <c r="N753" s="3">
        <f>IF(AND('Data Source'!B753&lt;&gt;"",'Data Source'!S753="F"),IF('Data Source'!AF753&gt;=5,"A+",IF('Data Source'!AF753&gt;=4,"A",IF('Data Source'!AF753&gt;=3.5,"A-",IF('Data Source'!AF753&gt;=3,"B",IF('Data Source'!AF753&gt;=2,"C",IF('Data Source'!AF753&gt;=1,"D","F")))))),"")</f>
        <v/>
      </c>
      <c r="O753" s="3">
        <f>IF(AND('Data Source'!B753&lt;&gt;"",'Data Source'!S753="F"),IF('Data Source'!AG753&gt;=5,"A+",IF('Data Source'!AG753&gt;=4,"A",IF('Data Source'!AG753&gt;=3.5,"A-",IF('Data Source'!AG753&gt;=3,"B",IF('Data Source'!AG753&gt;=2,"C",IF('Data Source'!AG753&gt;=1,"D","F")))))),"")</f>
        <v/>
      </c>
      <c r="P753" s="5">
        <f>IF(AND('Data Source'!B753&lt;&gt;"",'Data Source'!S753="F"),'Data Source'!R753,"")</f>
        <v/>
      </c>
      <c r="Q753" s="3">
        <f>IF(AND('Data Source'!B753&lt;&gt;"",'Data Source'!S753="F"),'Data Source'!S753,"")</f>
        <v/>
      </c>
    </row>
    <row r="754">
      <c r="A754" s="3">
        <f>IF(AND('Data Source'!B754&lt;&gt;"",'Data Source'!S754="F"),COUNTIF('Data Source'!$S$3:S754,"F"),"")</f>
        <v/>
      </c>
      <c r="B754">
        <f>IF(AND('Data Source'!B754&lt;&gt;"",'Data Source'!S754="F"),'Data Source'!B754,"")</f>
        <v/>
      </c>
      <c r="C754" s="3">
        <f>IF(AND('Data Source'!B754&lt;&gt;"",'Data Source'!S754="F"),IF('Data Source'!U754&gt;=5,"A+",IF('Data Source'!U754&gt;=4,"A",IF('Data Source'!U754&gt;=3.5,"A-",IF('Data Source'!U754&gt;=3,"B",IF('Data Source'!U754&gt;=2,"C",IF('Data Source'!U754&gt;=1,"D","F")))))),"")</f>
        <v/>
      </c>
      <c r="D754" s="3">
        <f>IF(AND('Data Source'!B754&lt;&gt;"",'Data Source'!S754="F"),IF('Data Source'!V754&gt;=5,"A+",IF('Data Source'!V754&gt;=4,"A",IF('Data Source'!V754&gt;=3.5,"A-",IF('Data Source'!V754&gt;=3,"B",IF('Data Source'!V754&gt;=2,"C",IF('Data Source'!V754&gt;=1,"D","F")))))),"")</f>
        <v/>
      </c>
      <c r="E754" s="3">
        <f>IF(AND('Data Source'!B754&lt;&gt;"",'Data Source'!S754="F"),IF('Data Source'!W754&gt;=5,"A+",IF('Data Source'!W754&gt;=4,"A",IF('Data Source'!W754&gt;=3.5,"A-",IF('Data Source'!W754&gt;=3,"B",IF('Data Source'!W754&gt;=2,"C",IF('Data Source'!W754&gt;=1,"D","F")))))),"")</f>
        <v/>
      </c>
      <c r="F754" s="3">
        <f>IF(AND('Data Source'!B754&lt;&gt;"",'Data Source'!S754="F"),IF('Data Source'!X754&gt;=5,"A+",IF('Data Source'!X754&gt;=4,"A",IF('Data Source'!X754&gt;=3.5,"A-",IF('Data Source'!X754&gt;=3,"B",IF('Data Source'!X754&gt;=2,"C",IF('Data Source'!X754&gt;=1,"D","F")))))),"")</f>
        <v/>
      </c>
      <c r="G754" s="3">
        <f>IF(AND('Data Source'!B754&lt;&gt;"",'Data Source'!S754="F"),IF('Data Source'!Y754&gt;=5,"A+",IF('Data Source'!Y754&gt;=4,"A",IF('Data Source'!Y754&gt;=3.5,"A-",IF('Data Source'!Y754&gt;=3,"B",IF('Data Source'!Y754&gt;=2,"C",IF('Data Source'!Y754&gt;=1,"D","F")))))),"")</f>
        <v/>
      </c>
      <c r="H754" s="3">
        <f>IF(AND('Data Source'!B754&lt;&gt;"",'Data Source'!S754="F"),IF('Data Source'!Z754&gt;=5,"A+",IF('Data Source'!Z754&gt;=4,"A",IF('Data Source'!Z754&gt;=3.5,"A-",IF('Data Source'!Z754&gt;=3,"B",IF('Data Source'!Z754&gt;=2,"C",IF('Data Source'!Z754&gt;=1,"D","F")))))),"")</f>
        <v/>
      </c>
      <c r="I754" s="3">
        <f>IF(AND('Data Source'!B754&lt;&gt;"",'Data Source'!S754="F"),IF('Data Source'!AA754&gt;=5,"A+",IF('Data Source'!AA754&gt;=4,"A",IF('Data Source'!AA754&gt;=3.5,"A-",IF('Data Source'!AA754&gt;=3,"B",IF('Data Source'!AA754&gt;=2,"C",IF('Data Source'!AA754&gt;=1,"D","F")))))),"")</f>
        <v/>
      </c>
      <c r="J754" s="3">
        <f>IF(AND('Data Source'!B754&lt;&gt;"",'Data Source'!S754="F"),IF('Data Source'!AB754&gt;=5,"A+",IF('Data Source'!AB754&gt;=4,"A",IF('Data Source'!AB754&gt;=3.5,"A-",IF('Data Source'!AB754&gt;=3,"B",IF('Data Source'!AB754&gt;=2,"C",IF('Data Source'!AB754&gt;=1,"D","F")))))),"")</f>
        <v/>
      </c>
      <c r="K754" s="3">
        <f>IF(AND('Data Source'!B754&lt;&gt;"",'Data Source'!S754="F"),IF('Data Source'!AC754&gt;=5,"A+",IF('Data Source'!AC754&gt;=4,"A",IF('Data Source'!AC754&gt;=3.5,"A-",IF('Data Source'!AC754&gt;=3,"B",IF('Data Source'!AC754&gt;=2,"C",IF('Data Source'!AC754&gt;=1,"D","F")))))),"")</f>
        <v/>
      </c>
      <c r="L754" s="3">
        <f>IF(AND('Data Source'!B754&lt;&gt;"",'Data Source'!S754="F"),IF('Data Source'!AD754&gt;=5,"A+",IF('Data Source'!AD754&gt;=4,"A",IF('Data Source'!AD754&gt;=3.5,"A-",IF('Data Source'!AD754&gt;=3,"B",IF('Data Source'!AD754&gt;=2,"C",IF('Data Source'!AD754&gt;=1,"D","F")))))),"")</f>
        <v/>
      </c>
      <c r="M754" s="3">
        <f>IF(AND('Data Source'!B754&lt;&gt;"",'Data Source'!S754="F"),IF('Data Source'!AE754&gt;=5,"A+",IF('Data Source'!AE754&gt;=4,"A",IF('Data Source'!AE754&gt;=3.5,"A-",IF('Data Source'!AE754&gt;=3,"B",IF('Data Source'!AE754&gt;=2,"C",IF('Data Source'!AE754&gt;=1,"D","F")))))),"")</f>
        <v/>
      </c>
      <c r="N754" s="3">
        <f>IF(AND('Data Source'!B754&lt;&gt;"",'Data Source'!S754="F"),IF('Data Source'!AF754&gt;=5,"A+",IF('Data Source'!AF754&gt;=4,"A",IF('Data Source'!AF754&gt;=3.5,"A-",IF('Data Source'!AF754&gt;=3,"B",IF('Data Source'!AF754&gt;=2,"C",IF('Data Source'!AF754&gt;=1,"D","F")))))),"")</f>
        <v/>
      </c>
      <c r="O754" s="3">
        <f>IF(AND('Data Source'!B754&lt;&gt;"",'Data Source'!S754="F"),IF('Data Source'!AG754&gt;=5,"A+",IF('Data Source'!AG754&gt;=4,"A",IF('Data Source'!AG754&gt;=3.5,"A-",IF('Data Source'!AG754&gt;=3,"B",IF('Data Source'!AG754&gt;=2,"C",IF('Data Source'!AG754&gt;=1,"D","F")))))),"")</f>
        <v/>
      </c>
      <c r="P754" s="5">
        <f>IF(AND('Data Source'!B754&lt;&gt;"",'Data Source'!S754="F"),'Data Source'!R754,"")</f>
        <v/>
      </c>
      <c r="Q754" s="3">
        <f>IF(AND('Data Source'!B754&lt;&gt;"",'Data Source'!S754="F"),'Data Source'!S754,"")</f>
        <v/>
      </c>
    </row>
    <row r="755">
      <c r="A755" s="3">
        <f>IF(AND('Data Source'!B755&lt;&gt;"",'Data Source'!S755="F"),COUNTIF('Data Source'!$S$3:S755,"F"),"")</f>
        <v/>
      </c>
      <c r="B755">
        <f>IF(AND('Data Source'!B755&lt;&gt;"",'Data Source'!S755="F"),'Data Source'!B755,"")</f>
        <v/>
      </c>
      <c r="C755" s="3">
        <f>IF(AND('Data Source'!B755&lt;&gt;"",'Data Source'!S755="F"),IF('Data Source'!U755&gt;=5,"A+",IF('Data Source'!U755&gt;=4,"A",IF('Data Source'!U755&gt;=3.5,"A-",IF('Data Source'!U755&gt;=3,"B",IF('Data Source'!U755&gt;=2,"C",IF('Data Source'!U755&gt;=1,"D","F")))))),"")</f>
        <v/>
      </c>
      <c r="D755" s="3">
        <f>IF(AND('Data Source'!B755&lt;&gt;"",'Data Source'!S755="F"),IF('Data Source'!V755&gt;=5,"A+",IF('Data Source'!V755&gt;=4,"A",IF('Data Source'!V755&gt;=3.5,"A-",IF('Data Source'!V755&gt;=3,"B",IF('Data Source'!V755&gt;=2,"C",IF('Data Source'!V755&gt;=1,"D","F")))))),"")</f>
        <v/>
      </c>
      <c r="E755" s="3">
        <f>IF(AND('Data Source'!B755&lt;&gt;"",'Data Source'!S755="F"),IF('Data Source'!W755&gt;=5,"A+",IF('Data Source'!W755&gt;=4,"A",IF('Data Source'!W755&gt;=3.5,"A-",IF('Data Source'!W755&gt;=3,"B",IF('Data Source'!W755&gt;=2,"C",IF('Data Source'!W755&gt;=1,"D","F")))))),"")</f>
        <v/>
      </c>
      <c r="F755" s="3">
        <f>IF(AND('Data Source'!B755&lt;&gt;"",'Data Source'!S755="F"),IF('Data Source'!X755&gt;=5,"A+",IF('Data Source'!X755&gt;=4,"A",IF('Data Source'!X755&gt;=3.5,"A-",IF('Data Source'!X755&gt;=3,"B",IF('Data Source'!X755&gt;=2,"C",IF('Data Source'!X755&gt;=1,"D","F")))))),"")</f>
        <v/>
      </c>
      <c r="G755" s="3">
        <f>IF(AND('Data Source'!B755&lt;&gt;"",'Data Source'!S755="F"),IF('Data Source'!Y755&gt;=5,"A+",IF('Data Source'!Y755&gt;=4,"A",IF('Data Source'!Y755&gt;=3.5,"A-",IF('Data Source'!Y755&gt;=3,"B",IF('Data Source'!Y755&gt;=2,"C",IF('Data Source'!Y755&gt;=1,"D","F")))))),"")</f>
        <v/>
      </c>
      <c r="H755" s="3">
        <f>IF(AND('Data Source'!B755&lt;&gt;"",'Data Source'!S755="F"),IF('Data Source'!Z755&gt;=5,"A+",IF('Data Source'!Z755&gt;=4,"A",IF('Data Source'!Z755&gt;=3.5,"A-",IF('Data Source'!Z755&gt;=3,"B",IF('Data Source'!Z755&gt;=2,"C",IF('Data Source'!Z755&gt;=1,"D","F")))))),"")</f>
        <v/>
      </c>
      <c r="I755" s="3">
        <f>IF(AND('Data Source'!B755&lt;&gt;"",'Data Source'!S755="F"),IF('Data Source'!AA755&gt;=5,"A+",IF('Data Source'!AA755&gt;=4,"A",IF('Data Source'!AA755&gt;=3.5,"A-",IF('Data Source'!AA755&gt;=3,"B",IF('Data Source'!AA755&gt;=2,"C",IF('Data Source'!AA755&gt;=1,"D","F")))))),"")</f>
        <v/>
      </c>
      <c r="J755" s="3">
        <f>IF(AND('Data Source'!B755&lt;&gt;"",'Data Source'!S755="F"),IF('Data Source'!AB755&gt;=5,"A+",IF('Data Source'!AB755&gt;=4,"A",IF('Data Source'!AB755&gt;=3.5,"A-",IF('Data Source'!AB755&gt;=3,"B",IF('Data Source'!AB755&gt;=2,"C",IF('Data Source'!AB755&gt;=1,"D","F")))))),"")</f>
        <v/>
      </c>
      <c r="K755" s="3">
        <f>IF(AND('Data Source'!B755&lt;&gt;"",'Data Source'!S755="F"),IF('Data Source'!AC755&gt;=5,"A+",IF('Data Source'!AC755&gt;=4,"A",IF('Data Source'!AC755&gt;=3.5,"A-",IF('Data Source'!AC755&gt;=3,"B",IF('Data Source'!AC755&gt;=2,"C",IF('Data Source'!AC755&gt;=1,"D","F")))))),"")</f>
        <v/>
      </c>
      <c r="L755" s="3">
        <f>IF(AND('Data Source'!B755&lt;&gt;"",'Data Source'!S755="F"),IF('Data Source'!AD755&gt;=5,"A+",IF('Data Source'!AD755&gt;=4,"A",IF('Data Source'!AD755&gt;=3.5,"A-",IF('Data Source'!AD755&gt;=3,"B",IF('Data Source'!AD755&gt;=2,"C",IF('Data Source'!AD755&gt;=1,"D","F")))))),"")</f>
        <v/>
      </c>
      <c r="M755" s="3">
        <f>IF(AND('Data Source'!B755&lt;&gt;"",'Data Source'!S755="F"),IF('Data Source'!AE755&gt;=5,"A+",IF('Data Source'!AE755&gt;=4,"A",IF('Data Source'!AE755&gt;=3.5,"A-",IF('Data Source'!AE755&gt;=3,"B",IF('Data Source'!AE755&gt;=2,"C",IF('Data Source'!AE755&gt;=1,"D","F")))))),"")</f>
        <v/>
      </c>
      <c r="N755" s="3">
        <f>IF(AND('Data Source'!B755&lt;&gt;"",'Data Source'!S755="F"),IF('Data Source'!AF755&gt;=5,"A+",IF('Data Source'!AF755&gt;=4,"A",IF('Data Source'!AF755&gt;=3.5,"A-",IF('Data Source'!AF755&gt;=3,"B",IF('Data Source'!AF755&gt;=2,"C",IF('Data Source'!AF755&gt;=1,"D","F")))))),"")</f>
        <v/>
      </c>
      <c r="O755" s="3">
        <f>IF(AND('Data Source'!B755&lt;&gt;"",'Data Source'!S755="F"),IF('Data Source'!AG755&gt;=5,"A+",IF('Data Source'!AG755&gt;=4,"A",IF('Data Source'!AG755&gt;=3.5,"A-",IF('Data Source'!AG755&gt;=3,"B",IF('Data Source'!AG755&gt;=2,"C",IF('Data Source'!AG755&gt;=1,"D","F")))))),"")</f>
        <v/>
      </c>
      <c r="P755" s="5">
        <f>IF(AND('Data Source'!B755&lt;&gt;"",'Data Source'!S755="F"),'Data Source'!R755,"")</f>
        <v/>
      </c>
      <c r="Q755" s="3">
        <f>IF(AND('Data Source'!B755&lt;&gt;"",'Data Source'!S755="F"),'Data Source'!S755,"")</f>
        <v/>
      </c>
    </row>
    <row r="756">
      <c r="A756" s="3">
        <f>IF(AND('Data Source'!B756&lt;&gt;"",'Data Source'!S756="F"),COUNTIF('Data Source'!$S$3:S756,"F"),"")</f>
        <v/>
      </c>
      <c r="B756">
        <f>IF(AND('Data Source'!B756&lt;&gt;"",'Data Source'!S756="F"),'Data Source'!B756,"")</f>
        <v/>
      </c>
      <c r="C756" s="3">
        <f>IF(AND('Data Source'!B756&lt;&gt;"",'Data Source'!S756="F"),IF('Data Source'!U756&gt;=5,"A+",IF('Data Source'!U756&gt;=4,"A",IF('Data Source'!U756&gt;=3.5,"A-",IF('Data Source'!U756&gt;=3,"B",IF('Data Source'!U756&gt;=2,"C",IF('Data Source'!U756&gt;=1,"D","F")))))),"")</f>
        <v/>
      </c>
      <c r="D756" s="3">
        <f>IF(AND('Data Source'!B756&lt;&gt;"",'Data Source'!S756="F"),IF('Data Source'!V756&gt;=5,"A+",IF('Data Source'!V756&gt;=4,"A",IF('Data Source'!V756&gt;=3.5,"A-",IF('Data Source'!V756&gt;=3,"B",IF('Data Source'!V756&gt;=2,"C",IF('Data Source'!V756&gt;=1,"D","F")))))),"")</f>
        <v/>
      </c>
      <c r="E756" s="3">
        <f>IF(AND('Data Source'!B756&lt;&gt;"",'Data Source'!S756="F"),IF('Data Source'!W756&gt;=5,"A+",IF('Data Source'!W756&gt;=4,"A",IF('Data Source'!W756&gt;=3.5,"A-",IF('Data Source'!W756&gt;=3,"B",IF('Data Source'!W756&gt;=2,"C",IF('Data Source'!W756&gt;=1,"D","F")))))),"")</f>
        <v/>
      </c>
      <c r="F756" s="3">
        <f>IF(AND('Data Source'!B756&lt;&gt;"",'Data Source'!S756="F"),IF('Data Source'!X756&gt;=5,"A+",IF('Data Source'!X756&gt;=4,"A",IF('Data Source'!X756&gt;=3.5,"A-",IF('Data Source'!X756&gt;=3,"B",IF('Data Source'!X756&gt;=2,"C",IF('Data Source'!X756&gt;=1,"D","F")))))),"")</f>
        <v/>
      </c>
      <c r="G756" s="3">
        <f>IF(AND('Data Source'!B756&lt;&gt;"",'Data Source'!S756="F"),IF('Data Source'!Y756&gt;=5,"A+",IF('Data Source'!Y756&gt;=4,"A",IF('Data Source'!Y756&gt;=3.5,"A-",IF('Data Source'!Y756&gt;=3,"B",IF('Data Source'!Y756&gt;=2,"C",IF('Data Source'!Y756&gt;=1,"D","F")))))),"")</f>
        <v/>
      </c>
      <c r="H756" s="3">
        <f>IF(AND('Data Source'!B756&lt;&gt;"",'Data Source'!S756="F"),IF('Data Source'!Z756&gt;=5,"A+",IF('Data Source'!Z756&gt;=4,"A",IF('Data Source'!Z756&gt;=3.5,"A-",IF('Data Source'!Z756&gt;=3,"B",IF('Data Source'!Z756&gt;=2,"C",IF('Data Source'!Z756&gt;=1,"D","F")))))),"")</f>
        <v/>
      </c>
      <c r="I756" s="3">
        <f>IF(AND('Data Source'!B756&lt;&gt;"",'Data Source'!S756="F"),IF('Data Source'!AA756&gt;=5,"A+",IF('Data Source'!AA756&gt;=4,"A",IF('Data Source'!AA756&gt;=3.5,"A-",IF('Data Source'!AA756&gt;=3,"B",IF('Data Source'!AA756&gt;=2,"C",IF('Data Source'!AA756&gt;=1,"D","F")))))),"")</f>
        <v/>
      </c>
      <c r="J756" s="3">
        <f>IF(AND('Data Source'!B756&lt;&gt;"",'Data Source'!S756="F"),IF('Data Source'!AB756&gt;=5,"A+",IF('Data Source'!AB756&gt;=4,"A",IF('Data Source'!AB756&gt;=3.5,"A-",IF('Data Source'!AB756&gt;=3,"B",IF('Data Source'!AB756&gt;=2,"C",IF('Data Source'!AB756&gt;=1,"D","F")))))),"")</f>
        <v/>
      </c>
      <c r="K756" s="3">
        <f>IF(AND('Data Source'!B756&lt;&gt;"",'Data Source'!S756="F"),IF('Data Source'!AC756&gt;=5,"A+",IF('Data Source'!AC756&gt;=4,"A",IF('Data Source'!AC756&gt;=3.5,"A-",IF('Data Source'!AC756&gt;=3,"B",IF('Data Source'!AC756&gt;=2,"C",IF('Data Source'!AC756&gt;=1,"D","F")))))),"")</f>
        <v/>
      </c>
      <c r="L756" s="3">
        <f>IF(AND('Data Source'!B756&lt;&gt;"",'Data Source'!S756="F"),IF('Data Source'!AD756&gt;=5,"A+",IF('Data Source'!AD756&gt;=4,"A",IF('Data Source'!AD756&gt;=3.5,"A-",IF('Data Source'!AD756&gt;=3,"B",IF('Data Source'!AD756&gt;=2,"C",IF('Data Source'!AD756&gt;=1,"D","F")))))),"")</f>
        <v/>
      </c>
      <c r="M756" s="3">
        <f>IF(AND('Data Source'!B756&lt;&gt;"",'Data Source'!S756="F"),IF('Data Source'!AE756&gt;=5,"A+",IF('Data Source'!AE756&gt;=4,"A",IF('Data Source'!AE756&gt;=3.5,"A-",IF('Data Source'!AE756&gt;=3,"B",IF('Data Source'!AE756&gt;=2,"C",IF('Data Source'!AE756&gt;=1,"D","F")))))),"")</f>
        <v/>
      </c>
      <c r="N756" s="3">
        <f>IF(AND('Data Source'!B756&lt;&gt;"",'Data Source'!S756="F"),IF('Data Source'!AF756&gt;=5,"A+",IF('Data Source'!AF756&gt;=4,"A",IF('Data Source'!AF756&gt;=3.5,"A-",IF('Data Source'!AF756&gt;=3,"B",IF('Data Source'!AF756&gt;=2,"C",IF('Data Source'!AF756&gt;=1,"D","F")))))),"")</f>
        <v/>
      </c>
      <c r="O756" s="3">
        <f>IF(AND('Data Source'!B756&lt;&gt;"",'Data Source'!S756="F"),IF('Data Source'!AG756&gt;=5,"A+",IF('Data Source'!AG756&gt;=4,"A",IF('Data Source'!AG756&gt;=3.5,"A-",IF('Data Source'!AG756&gt;=3,"B",IF('Data Source'!AG756&gt;=2,"C",IF('Data Source'!AG756&gt;=1,"D","F")))))),"")</f>
        <v/>
      </c>
      <c r="P756" s="5">
        <f>IF(AND('Data Source'!B756&lt;&gt;"",'Data Source'!S756="F"),'Data Source'!R756,"")</f>
        <v/>
      </c>
      <c r="Q756" s="3">
        <f>IF(AND('Data Source'!B756&lt;&gt;"",'Data Source'!S756="F"),'Data Source'!S756,"")</f>
        <v/>
      </c>
    </row>
    <row r="757">
      <c r="A757" s="3">
        <f>IF(AND('Data Source'!B757&lt;&gt;"",'Data Source'!S757="F"),COUNTIF('Data Source'!$S$3:S757,"F"),"")</f>
        <v/>
      </c>
      <c r="B757">
        <f>IF(AND('Data Source'!B757&lt;&gt;"",'Data Source'!S757="F"),'Data Source'!B757,"")</f>
        <v/>
      </c>
      <c r="C757" s="3">
        <f>IF(AND('Data Source'!B757&lt;&gt;"",'Data Source'!S757="F"),IF('Data Source'!U757&gt;=5,"A+",IF('Data Source'!U757&gt;=4,"A",IF('Data Source'!U757&gt;=3.5,"A-",IF('Data Source'!U757&gt;=3,"B",IF('Data Source'!U757&gt;=2,"C",IF('Data Source'!U757&gt;=1,"D","F")))))),"")</f>
        <v/>
      </c>
      <c r="D757" s="3">
        <f>IF(AND('Data Source'!B757&lt;&gt;"",'Data Source'!S757="F"),IF('Data Source'!V757&gt;=5,"A+",IF('Data Source'!V757&gt;=4,"A",IF('Data Source'!V757&gt;=3.5,"A-",IF('Data Source'!V757&gt;=3,"B",IF('Data Source'!V757&gt;=2,"C",IF('Data Source'!V757&gt;=1,"D","F")))))),"")</f>
        <v/>
      </c>
      <c r="E757" s="3">
        <f>IF(AND('Data Source'!B757&lt;&gt;"",'Data Source'!S757="F"),IF('Data Source'!W757&gt;=5,"A+",IF('Data Source'!W757&gt;=4,"A",IF('Data Source'!W757&gt;=3.5,"A-",IF('Data Source'!W757&gt;=3,"B",IF('Data Source'!W757&gt;=2,"C",IF('Data Source'!W757&gt;=1,"D","F")))))),"")</f>
        <v/>
      </c>
      <c r="F757" s="3">
        <f>IF(AND('Data Source'!B757&lt;&gt;"",'Data Source'!S757="F"),IF('Data Source'!X757&gt;=5,"A+",IF('Data Source'!X757&gt;=4,"A",IF('Data Source'!X757&gt;=3.5,"A-",IF('Data Source'!X757&gt;=3,"B",IF('Data Source'!X757&gt;=2,"C",IF('Data Source'!X757&gt;=1,"D","F")))))),"")</f>
        <v/>
      </c>
      <c r="G757" s="3">
        <f>IF(AND('Data Source'!B757&lt;&gt;"",'Data Source'!S757="F"),IF('Data Source'!Y757&gt;=5,"A+",IF('Data Source'!Y757&gt;=4,"A",IF('Data Source'!Y757&gt;=3.5,"A-",IF('Data Source'!Y757&gt;=3,"B",IF('Data Source'!Y757&gt;=2,"C",IF('Data Source'!Y757&gt;=1,"D","F")))))),"")</f>
        <v/>
      </c>
      <c r="H757" s="3">
        <f>IF(AND('Data Source'!B757&lt;&gt;"",'Data Source'!S757="F"),IF('Data Source'!Z757&gt;=5,"A+",IF('Data Source'!Z757&gt;=4,"A",IF('Data Source'!Z757&gt;=3.5,"A-",IF('Data Source'!Z757&gt;=3,"B",IF('Data Source'!Z757&gt;=2,"C",IF('Data Source'!Z757&gt;=1,"D","F")))))),"")</f>
        <v/>
      </c>
      <c r="I757" s="3">
        <f>IF(AND('Data Source'!B757&lt;&gt;"",'Data Source'!S757="F"),IF('Data Source'!AA757&gt;=5,"A+",IF('Data Source'!AA757&gt;=4,"A",IF('Data Source'!AA757&gt;=3.5,"A-",IF('Data Source'!AA757&gt;=3,"B",IF('Data Source'!AA757&gt;=2,"C",IF('Data Source'!AA757&gt;=1,"D","F")))))),"")</f>
        <v/>
      </c>
      <c r="J757" s="3">
        <f>IF(AND('Data Source'!B757&lt;&gt;"",'Data Source'!S757="F"),IF('Data Source'!AB757&gt;=5,"A+",IF('Data Source'!AB757&gt;=4,"A",IF('Data Source'!AB757&gt;=3.5,"A-",IF('Data Source'!AB757&gt;=3,"B",IF('Data Source'!AB757&gt;=2,"C",IF('Data Source'!AB757&gt;=1,"D","F")))))),"")</f>
        <v/>
      </c>
      <c r="K757" s="3">
        <f>IF(AND('Data Source'!B757&lt;&gt;"",'Data Source'!S757="F"),IF('Data Source'!AC757&gt;=5,"A+",IF('Data Source'!AC757&gt;=4,"A",IF('Data Source'!AC757&gt;=3.5,"A-",IF('Data Source'!AC757&gt;=3,"B",IF('Data Source'!AC757&gt;=2,"C",IF('Data Source'!AC757&gt;=1,"D","F")))))),"")</f>
        <v/>
      </c>
      <c r="L757" s="3">
        <f>IF(AND('Data Source'!B757&lt;&gt;"",'Data Source'!S757="F"),IF('Data Source'!AD757&gt;=5,"A+",IF('Data Source'!AD757&gt;=4,"A",IF('Data Source'!AD757&gt;=3.5,"A-",IF('Data Source'!AD757&gt;=3,"B",IF('Data Source'!AD757&gt;=2,"C",IF('Data Source'!AD757&gt;=1,"D","F")))))),"")</f>
        <v/>
      </c>
      <c r="M757" s="3">
        <f>IF(AND('Data Source'!B757&lt;&gt;"",'Data Source'!S757="F"),IF('Data Source'!AE757&gt;=5,"A+",IF('Data Source'!AE757&gt;=4,"A",IF('Data Source'!AE757&gt;=3.5,"A-",IF('Data Source'!AE757&gt;=3,"B",IF('Data Source'!AE757&gt;=2,"C",IF('Data Source'!AE757&gt;=1,"D","F")))))),"")</f>
        <v/>
      </c>
      <c r="N757" s="3">
        <f>IF(AND('Data Source'!B757&lt;&gt;"",'Data Source'!S757="F"),IF('Data Source'!AF757&gt;=5,"A+",IF('Data Source'!AF757&gt;=4,"A",IF('Data Source'!AF757&gt;=3.5,"A-",IF('Data Source'!AF757&gt;=3,"B",IF('Data Source'!AF757&gt;=2,"C",IF('Data Source'!AF757&gt;=1,"D","F")))))),"")</f>
        <v/>
      </c>
      <c r="O757" s="3">
        <f>IF(AND('Data Source'!B757&lt;&gt;"",'Data Source'!S757="F"),IF('Data Source'!AG757&gt;=5,"A+",IF('Data Source'!AG757&gt;=4,"A",IF('Data Source'!AG757&gt;=3.5,"A-",IF('Data Source'!AG757&gt;=3,"B",IF('Data Source'!AG757&gt;=2,"C",IF('Data Source'!AG757&gt;=1,"D","F")))))),"")</f>
        <v/>
      </c>
      <c r="P757" s="5">
        <f>IF(AND('Data Source'!B757&lt;&gt;"",'Data Source'!S757="F"),'Data Source'!R757,"")</f>
        <v/>
      </c>
      <c r="Q757" s="3">
        <f>IF(AND('Data Source'!B757&lt;&gt;"",'Data Source'!S757="F"),'Data Source'!S757,"")</f>
        <v/>
      </c>
    </row>
    <row r="758">
      <c r="A758" s="3">
        <f>IF(AND('Data Source'!B758&lt;&gt;"",'Data Source'!S758="F"),COUNTIF('Data Source'!$S$3:S758,"F"),"")</f>
        <v/>
      </c>
      <c r="B758">
        <f>IF(AND('Data Source'!B758&lt;&gt;"",'Data Source'!S758="F"),'Data Source'!B758,"")</f>
        <v/>
      </c>
      <c r="C758" s="3">
        <f>IF(AND('Data Source'!B758&lt;&gt;"",'Data Source'!S758="F"),IF('Data Source'!U758&gt;=5,"A+",IF('Data Source'!U758&gt;=4,"A",IF('Data Source'!U758&gt;=3.5,"A-",IF('Data Source'!U758&gt;=3,"B",IF('Data Source'!U758&gt;=2,"C",IF('Data Source'!U758&gt;=1,"D","F")))))),"")</f>
        <v/>
      </c>
      <c r="D758" s="3">
        <f>IF(AND('Data Source'!B758&lt;&gt;"",'Data Source'!S758="F"),IF('Data Source'!V758&gt;=5,"A+",IF('Data Source'!V758&gt;=4,"A",IF('Data Source'!V758&gt;=3.5,"A-",IF('Data Source'!V758&gt;=3,"B",IF('Data Source'!V758&gt;=2,"C",IF('Data Source'!V758&gt;=1,"D","F")))))),"")</f>
        <v/>
      </c>
      <c r="E758" s="3">
        <f>IF(AND('Data Source'!B758&lt;&gt;"",'Data Source'!S758="F"),IF('Data Source'!W758&gt;=5,"A+",IF('Data Source'!W758&gt;=4,"A",IF('Data Source'!W758&gt;=3.5,"A-",IF('Data Source'!W758&gt;=3,"B",IF('Data Source'!W758&gt;=2,"C",IF('Data Source'!W758&gt;=1,"D","F")))))),"")</f>
        <v/>
      </c>
      <c r="F758" s="3">
        <f>IF(AND('Data Source'!B758&lt;&gt;"",'Data Source'!S758="F"),IF('Data Source'!X758&gt;=5,"A+",IF('Data Source'!X758&gt;=4,"A",IF('Data Source'!X758&gt;=3.5,"A-",IF('Data Source'!X758&gt;=3,"B",IF('Data Source'!X758&gt;=2,"C",IF('Data Source'!X758&gt;=1,"D","F")))))),"")</f>
        <v/>
      </c>
      <c r="G758" s="3">
        <f>IF(AND('Data Source'!B758&lt;&gt;"",'Data Source'!S758="F"),IF('Data Source'!Y758&gt;=5,"A+",IF('Data Source'!Y758&gt;=4,"A",IF('Data Source'!Y758&gt;=3.5,"A-",IF('Data Source'!Y758&gt;=3,"B",IF('Data Source'!Y758&gt;=2,"C",IF('Data Source'!Y758&gt;=1,"D","F")))))),"")</f>
        <v/>
      </c>
      <c r="H758" s="3">
        <f>IF(AND('Data Source'!B758&lt;&gt;"",'Data Source'!S758="F"),IF('Data Source'!Z758&gt;=5,"A+",IF('Data Source'!Z758&gt;=4,"A",IF('Data Source'!Z758&gt;=3.5,"A-",IF('Data Source'!Z758&gt;=3,"B",IF('Data Source'!Z758&gt;=2,"C",IF('Data Source'!Z758&gt;=1,"D","F")))))),"")</f>
        <v/>
      </c>
      <c r="I758" s="3">
        <f>IF(AND('Data Source'!B758&lt;&gt;"",'Data Source'!S758="F"),IF('Data Source'!AA758&gt;=5,"A+",IF('Data Source'!AA758&gt;=4,"A",IF('Data Source'!AA758&gt;=3.5,"A-",IF('Data Source'!AA758&gt;=3,"B",IF('Data Source'!AA758&gt;=2,"C",IF('Data Source'!AA758&gt;=1,"D","F")))))),"")</f>
        <v/>
      </c>
      <c r="J758" s="3">
        <f>IF(AND('Data Source'!B758&lt;&gt;"",'Data Source'!S758="F"),IF('Data Source'!AB758&gt;=5,"A+",IF('Data Source'!AB758&gt;=4,"A",IF('Data Source'!AB758&gt;=3.5,"A-",IF('Data Source'!AB758&gt;=3,"B",IF('Data Source'!AB758&gt;=2,"C",IF('Data Source'!AB758&gt;=1,"D","F")))))),"")</f>
        <v/>
      </c>
      <c r="K758" s="3">
        <f>IF(AND('Data Source'!B758&lt;&gt;"",'Data Source'!S758="F"),IF('Data Source'!AC758&gt;=5,"A+",IF('Data Source'!AC758&gt;=4,"A",IF('Data Source'!AC758&gt;=3.5,"A-",IF('Data Source'!AC758&gt;=3,"B",IF('Data Source'!AC758&gt;=2,"C",IF('Data Source'!AC758&gt;=1,"D","F")))))),"")</f>
        <v/>
      </c>
      <c r="L758" s="3">
        <f>IF(AND('Data Source'!B758&lt;&gt;"",'Data Source'!S758="F"),IF('Data Source'!AD758&gt;=5,"A+",IF('Data Source'!AD758&gt;=4,"A",IF('Data Source'!AD758&gt;=3.5,"A-",IF('Data Source'!AD758&gt;=3,"B",IF('Data Source'!AD758&gt;=2,"C",IF('Data Source'!AD758&gt;=1,"D","F")))))),"")</f>
        <v/>
      </c>
      <c r="M758" s="3">
        <f>IF(AND('Data Source'!B758&lt;&gt;"",'Data Source'!S758="F"),IF('Data Source'!AE758&gt;=5,"A+",IF('Data Source'!AE758&gt;=4,"A",IF('Data Source'!AE758&gt;=3.5,"A-",IF('Data Source'!AE758&gt;=3,"B",IF('Data Source'!AE758&gt;=2,"C",IF('Data Source'!AE758&gt;=1,"D","F")))))),"")</f>
        <v/>
      </c>
      <c r="N758" s="3">
        <f>IF(AND('Data Source'!B758&lt;&gt;"",'Data Source'!S758="F"),IF('Data Source'!AF758&gt;=5,"A+",IF('Data Source'!AF758&gt;=4,"A",IF('Data Source'!AF758&gt;=3.5,"A-",IF('Data Source'!AF758&gt;=3,"B",IF('Data Source'!AF758&gt;=2,"C",IF('Data Source'!AF758&gt;=1,"D","F")))))),"")</f>
        <v/>
      </c>
      <c r="O758" s="3">
        <f>IF(AND('Data Source'!B758&lt;&gt;"",'Data Source'!S758="F"),IF('Data Source'!AG758&gt;=5,"A+",IF('Data Source'!AG758&gt;=4,"A",IF('Data Source'!AG758&gt;=3.5,"A-",IF('Data Source'!AG758&gt;=3,"B",IF('Data Source'!AG758&gt;=2,"C",IF('Data Source'!AG758&gt;=1,"D","F")))))),"")</f>
        <v/>
      </c>
      <c r="P758" s="5">
        <f>IF(AND('Data Source'!B758&lt;&gt;"",'Data Source'!S758="F"),'Data Source'!R758,"")</f>
        <v/>
      </c>
      <c r="Q758" s="3">
        <f>IF(AND('Data Source'!B758&lt;&gt;"",'Data Source'!S758="F"),'Data Source'!S758,"")</f>
        <v/>
      </c>
    </row>
    <row r="759">
      <c r="A759" s="3">
        <f>IF(AND('Data Source'!B759&lt;&gt;"",'Data Source'!S759="F"),COUNTIF('Data Source'!$S$3:S759,"F"),"")</f>
        <v/>
      </c>
      <c r="B759">
        <f>IF(AND('Data Source'!B759&lt;&gt;"",'Data Source'!S759="F"),'Data Source'!B759,"")</f>
        <v/>
      </c>
      <c r="C759" s="3">
        <f>IF(AND('Data Source'!B759&lt;&gt;"",'Data Source'!S759="F"),IF('Data Source'!U759&gt;=5,"A+",IF('Data Source'!U759&gt;=4,"A",IF('Data Source'!U759&gt;=3.5,"A-",IF('Data Source'!U759&gt;=3,"B",IF('Data Source'!U759&gt;=2,"C",IF('Data Source'!U759&gt;=1,"D","F")))))),"")</f>
        <v/>
      </c>
      <c r="D759" s="3">
        <f>IF(AND('Data Source'!B759&lt;&gt;"",'Data Source'!S759="F"),IF('Data Source'!V759&gt;=5,"A+",IF('Data Source'!V759&gt;=4,"A",IF('Data Source'!V759&gt;=3.5,"A-",IF('Data Source'!V759&gt;=3,"B",IF('Data Source'!V759&gt;=2,"C",IF('Data Source'!V759&gt;=1,"D","F")))))),"")</f>
        <v/>
      </c>
      <c r="E759" s="3">
        <f>IF(AND('Data Source'!B759&lt;&gt;"",'Data Source'!S759="F"),IF('Data Source'!W759&gt;=5,"A+",IF('Data Source'!W759&gt;=4,"A",IF('Data Source'!W759&gt;=3.5,"A-",IF('Data Source'!W759&gt;=3,"B",IF('Data Source'!W759&gt;=2,"C",IF('Data Source'!W759&gt;=1,"D","F")))))),"")</f>
        <v/>
      </c>
      <c r="F759" s="3">
        <f>IF(AND('Data Source'!B759&lt;&gt;"",'Data Source'!S759="F"),IF('Data Source'!X759&gt;=5,"A+",IF('Data Source'!X759&gt;=4,"A",IF('Data Source'!X759&gt;=3.5,"A-",IF('Data Source'!X759&gt;=3,"B",IF('Data Source'!X759&gt;=2,"C",IF('Data Source'!X759&gt;=1,"D","F")))))),"")</f>
        <v/>
      </c>
      <c r="G759" s="3">
        <f>IF(AND('Data Source'!B759&lt;&gt;"",'Data Source'!S759="F"),IF('Data Source'!Y759&gt;=5,"A+",IF('Data Source'!Y759&gt;=4,"A",IF('Data Source'!Y759&gt;=3.5,"A-",IF('Data Source'!Y759&gt;=3,"B",IF('Data Source'!Y759&gt;=2,"C",IF('Data Source'!Y759&gt;=1,"D","F")))))),"")</f>
        <v/>
      </c>
      <c r="H759" s="3">
        <f>IF(AND('Data Source'!B759&lt;&gt;"",'Data Source'!S759="F"),IF('Data Source'!Z759&gt;=5,"A+",IF('Data Source'!Z759&gt;=4,"A",IF('Data Source'!Z759&gt;=3.5,"A-",IF('Data Source'!Z759&gt;=3,"B",IF('Data Source'!Z759&gt;=2,"C",IF('Data Source'!Z759&gt;=1,"D","F")))))),"")</f>
        <v/>
      </c>
      <c r="I759" s="3">
        <f>IF(AND('Data Source'!B759&lt;&gt;"",'Data Source'!S759="F"),IF('Data Source'!AA759&gt;=5,"A+",IF('Data Source'!AA759&gt;=4,"A",IF('Data Source'!AA759&gt;=3.5,"A-",IF('Data Source'!AA759&gt;=3,"B",IF('Data Source'!AA759&gt;=2,"C",IF('Data Source'!AA759&gt;=1,"D","F")))))),"")</f>
        <v/>
      </c>
      <c r="J759" s="3">
        <f>IF(AND('Data Source'!B759&lt;&gt;"",'Data Source'!S759="F"),IF('Data Source'!AB759&gt;=5,"A+",IF('Data Source'!AB759&gt;=4,"A",IF('Data Source'!AB759&gt;=3.5,"A-",IF('Data Source'!AB759&gt;=3,"B",IF('Data Source'!AB759&gt;=2,"C",IF('Data Source'!AB759&gt;=1,"D","F")))))),"")</f>
        <v/>
      </c>
      <c r="K759" s="3">
        <f>IF(AND('Data Source'!B759&lt;&gt;"",'Data Source'!S759="F"),IF('Data Source'!AC759&gt;=5,"A+",IF('Data Source'!AC759&gt;=4,"A",IF('Data Source'!AC759&gt;=3.5,"A-",IF('Data Source'!AC759&gt;=3,"B",IF('Data Source'!AC759&gt;=2,"C",IF('Data Source'!AC759&gt;=1,"D","F")))))),"")</f>
        <v/>
      </c>
      <c r="L759" s="3">
        <f>IF(AND('Data Source'!B759&lt;&gt;"",'Data Source'!S759="F"),IF('Data Source'!AD759&gt;=5,"A+",IF('Data Source'!AD759&gt;=4,"A",IF('Data Source'!AD759&gt;=3.5,"A-",IF('Data Source'!AD759&gt;=3,"B",IF('Data Source'!AD759&gt;=2,"C",IF('Data Source'!AD759&gt;=1,"D","F")))))),"")</f>
        <v/>
      </c>
      <c r="M759" s="3">
        <f>IF(AND('Data Source'!B759&lt;&gt;"",'Data Source'!S759="F"),IF('Data Source'!AE759&gt;=5,"A+",IF('Data Source'!AE759&gt;=4,"A",IF('Data Source'!AE759&gt;=3.5,"A-",IF('Data Source'!AE759&gt;=3,"B",IF('Data Source'!AE759&gt;=2,"C",IF('Data Source'!AE759&gt;=1,"D","F")))))),"")</f>
        <v/>
      </c>
      <c r="N759" s="3">
        <f>IF(AND('Data Source'!B759&lt;&gt;"",'Data Source'!S759="F"),IF('Data Source'!AF759&gt;=5,"A+",IF('Data Source'!AF759&gt;=4,"A",IF('Data Source'!AF759&gt;=3.5,"A-",IF('Data Source'!AF759&gt;=3,"B",IF('Data Source'!AF759&gt;=2,"C",IF('Data Source'!AF759&gt;=1,"D","F")))))),"")</f>
        <v/>
      </c>
      <c r="O759" s="3">
        <f>IF(AND('Data Source'!B759&lt;&gt;"",'Data Source'!S759="F"),IF('Data Source'!AG759&gt;=5,"A+",IF('Data Source'!AG759&gt;=4,"A",IF('Data Source'!AG759&gt;=3.5,"A-",IF('Data Source'!AG759&gt;=3,"B",IF('Data Source'!AG759&gt;=2,"C",IF('Data Source'!AG759&gt;=1,"D","F")))))),"")</f>
        <v/>
      </c>
      <c r="P759" s="5">
        <f>IF(AND('Data Source'!B759&lt;&gt;"",'Data Source'!S759="F"),'Data Source'!R759,"")</f>
        <v/>
      </c>
      <c r="Q759" s="3">
        <f>IF(AND('Data Source'!B759&lt;&gt;"",'Data Source'!S759="F"),'Data Source'!S759,"")</f>
        <v/>
      </c>
    </row>
    <row r="760">
      <c r="A760" s="3">
        <f>IF(AND('Data Source'!B760&lt;&gt;"",'Data Source'!S760="F"),COUNTIF('Data Source'!$S$3:S760,"F"),"")</f>
        <v/>
      </c>
      <c r="B760">
        <f>IF(AND('Data Source'!B760&lt;&gt;"",'Data Source'!S760="F"),'Data Source'!B760,"")</f>
        <v/>
      </c>
      <c r="C760" s="3">
        <f>IF(AND('Data Source'!B760&lt;&gt;"",'Data Source'!S760="F"),IF('Data Source'!U760&gt;=5,"A+",IF('Data Source'!U760&gt;=4,"A",IF('Data Source'!U760&gt;=3.5,"A-",IF('Data Source'!U760&gt;=3,"B",IF('Data Source'!U760&gt;=2,"C",IF('Data Source'!U760&gt;=1,"D","F")))))),"")</f>
        <v/>
      </c>
      <c r="D760" s="3">
        <f>IF(AND('Data Source'!B760&lt;&gt;"",'Data Source'!S760="F"),IF('Data Source'!V760&gt;=5,"A+",IF('Data Source'!V760&gt;=4,"A",IF('Data Source'!V760&gt;=3.5,"A-",IF('Data Source'!V760&gt;=3,"B",IF('Data Source'!V760&gt;=2,"C",IF('Data Source'!V760&gt;=1,"D","F")))))),"")</f>
        <v/>
      </c>
      <c r="E760" s="3">
        <f>IF(AND('Data Source'!B760&lt;&gt;"",'Data Source'!S760="F"),IF('Data Source'!W760&gt;=5,"A+",IF('Data Source'!W760&gt;=4,"A",IF('Data Source'!W760&gt;=3.5,"A-",IF('Data Source'!W760&gt;=3,"B",IF('Data Source'!W760&gt;=2,"C",IF('Data Source'!W760&gt;=1,"D","F")))))),"")</f>
        <v/>
      </c>
      <c r="F760" s="3">
        <f>IF(AND('Data Source'!B760&lt;&gt;"",'Data Source'!S760="F"),IF('Data Source'!X760&gt;=5,"A+",IF('Data Source'!X760&gt;=4,"A",IF('Data Source'!X760&gt;=3.5,"A-",IF('Data Source'!X760&gt;=3,"B",IF('Data Source'!X760&gt;=2,"C",IF('Data Source'!X760&gt;=1,"D","F")))))),"")</f>
        <v/>
      </c>
      <c r="G760" s="3">
        <f>IF(AND('Data Source'!B760&lt;&gt;"",'Data Source'!S760="F"),IF('Data Source'!Y760&gt;=5,"A+",IF('Data Source'!Y760&gt;=4,"A",IF('Data Source'!Y760&gt;=3.5,"A-",IF('Data Source'!Y760&gt;=3,"B",IF('Data Source'!Y760&gt;=2,"C",IF('Data Source'!Y760&gt;=1,"D","F")))))),"")</f>
        <v/>
      </c>
      <c r="H760" s="3">
        <f>IF(AND('Data Source'!B760&lt;&gt;"",'Data Source'!S760="F"),IF('Data Source'!Z760&gt;=5,"A+",IF('Data Source'!Z760&gt;=4,"A",IF('Data Source'!Z760&gt;=3.5,"A-",IF('Data Source'!Z760&gt;=3,"B",IF('Data Source'!Z760&gt;=2,"C",IF('Data Source'!Z760&gt;=1,"D","F")))))),"")</f>
        <v/>
      </c>
      <c r="I760" s="3">
        <f>IF(AND('Data Source'!B760&lt;&gt;"",'Data Source'!S760="F"),IF('Data Source'!AA760&gt;=5,"A+",IF('Data Source'!AA760&gt;=4,"A",IF('Data Source'!AA760&gt;=3.5,"A-",IF('Data Source'!AA760&gt;=3,"B",IF('Data Source'!AA760&gt;=2,"C",IF('Data Source'!AA760&gt;=1,"D","F")))))),"")</f>
        <v/>
      </c>
      <c r="J760" s="3">
        <f>IF(AND('Data Source'!B760&lt;&gt;"",'Data Source'!S760="F"),IF('Data Source'!AB760&gt;=5,"A+",IF('Data Source'!AB760&gt;=4,"A",IF('Data Source'!AB760&gt;=3.5,"A-",IF('Data Source'!AB760&gt;=3,"B",IF('Data Source'!AB760&gt;=2,"C",IF('Data Source'!AB760&gt;=1,"D","F")))))),"")</f>
        <v/>
      </c>
      <c r="K760" s="3">
        <f>IF(AND('Data Source'!B760&lt;&gt;"",'Data Source'!S760="F"),IF('Data Source'!AC760&gt;=5,"A+",IF('Data Source'!AC760&gt;=4,"A",IF('Data Source'!AC760&gt;=3.5,"A-",IF('Data Source'!AC760&gt;=3,"B",IF('Data Source'!AC760&gt;=2,"C",IF('Data Source'!AC760&gt;=1,"D","F")))))),"")</f>
        <v/>
      </c>
      <c r="L760" s="3">
        <f>IF(AND('Data Source'!B760&lt;&gt;"",'Data Source'!S760="F"),IF('Data Source'!AD760&gt;=5,"A+",IF('Data Source'!AD760&gt;=4,"A",IF('Data Source'!AD760&gt;=3.5,"A-",IF('Data Source'!AD760&gt;=3,"B",IF('Data Source'!AD760&gt;=2,"C",IF('Data Source'!AD760&gt;=1,"D","F")))))),"")</f>
        <v/>
      </c>
      <c r="M760" s="3">
        <f>IF(AND('Data Source'!B760&lt;&gt;"",'Data Source'!S760="F"),IF('Data Source'!AE760&gt;=5,"A+",IF('Data Source'!AE760&gt;=4,"A",IF('Data Source'!AE760&gt;=3.5,"A-",IF('Data Source'!AE760&gt;=3,"B",IF('Data Source'!AE760&gt;=2,"C",IF('Data Source'!AE760&gt;=1,"D","F")))))),"")</f>
        <v/>
      </c>
      <c r="N760" s="3">
        <f>IF(AND('Data Source'!B760&lt;&gt;"",'Data Source'!S760="F"),IF('Data Source'!AF760&gt;=5,"A+",IF('Data Source'!AF760&gt;=4,"A",IF('Data Source'!AF760&gt;=3.5,"A-",IF('Data Source'!AF760&gt;=3,"B",IF('Data Source'!AF760&gt;=2,"C",IF('Data Source'!AF760&gt;=1,"D","F")))))),"")</f>
        <v/>
      </c>
      <c r="O760" s="3">
        <f>IF(AND('Data Source'!B760&lt;&gt;"",'Data Source'!S760="F"),IF('Data Source'!AG760&gt;=5,"A+",IF('Data Source'!AG760&gt;=4,"A",IF('Data Source'!AG760&gt;=3.5,"A-",IF('Data Source'!AG760&gt;=3,"B",IF('Data Source'!AG760&gt;=2,"C",IF('Data Source'!AG760&gt;=1,"D","F")))))),"")</f>
        <v/>
      </c>
      <c r="P760" s="5">
        <f>IF(AND('Data Source'!B760&lt;&gt;"",'Data Source'!S760="F"),'Data Source'!R760,"")</f>
        <v/>
      </c>
      <c r="Q760" s="3">
        <f>IF(AND('Data Source'!B760&lt;&gt;"",'Data Source'!S760="F"),'Data Source'!S760,"")</f>
        <v/>
      </c>
    </row>
    <row r="761">
      <c r="A761" s="3">
        <f>IF(AND('Data Source'!B761&lt;&gt;"",'Data Source'!S761="F"),COUNTIF('Data Source'!$S$3:S761,"F"),"")</f>
        <v/>
      </c>
      <c r="B761">
        <f>IF(AND('Data Source'!B761&lt;&gt;"",'Data Source'!S761="F"),'Data Source'!B761,"")</f>
        <v/>
      </c>
      <c r="C761" s="3">
        <f>IF(AND('Data Source'!B761&lt;&gt;"",'Data Source'!S761="F"),IF('Data Source'!U761&gt;=5,"A+",IF('Data Source'!U761&gt;=4,"A",IF('Data Source'!U761&gt;=3.5,"A-",IF('Data Source'!U761&gt;=3,"B",IF('Data Source'!U761&gt;=2,"C",IF('Data Source'!U761&gt;=1,"D","F")))))),"")</f>
        <v/>
      </c>
      <c r="D761" s="3">
        <f>IF(AND('Data Source'!B761&lt;&gt;"",'Data Source'!S761="F"),IF('Data Source'!V761&gt;=5,"A+",IF('Data Source'!V761&gt;=4,"A",IF('Data Source'!V761&gt;=3.5,"A-",IF('Data Source'!V761&gt;=3,"B",IF('Data Source'!V761&gt;=2,"C",IF('Data Source'!V761&gt;=1,"D","F")))))),"")</f>
        <v/>
      </c>
      <c r="E761" s="3">
        <f>IF(AND('Data Source'!B761&lt;&gt;"",'Data Source'!S761="F"),IF('Data Source'!W761&gt;=5,"A+",IF('Data Source'!W761&gt;=4,"A",IF('Data Source'!W761&gt;=3.5,"A-",IF('Data Source'!W761&gt;=3,"B",IF('Data Source'!W761&gt;=2,"C",IF('Data Source'!W761&gt;=1,"D","F")))))),"")</f>
        <v/>
      </c>
      <c r="F761" s="3">
        <f>IF(AND('Data Source'!B761&lt;&gt;"",'Data Source'!S761="F"),IF('Data Source'!X761&gt;=5,"A+",IF('Data Source'!X761&gt;=4,"A",IF('Data Source'!X761&gt;=3.5,"A-",IF('Data Source'!X761&gt;=3,"B",IF('Data Source'!X761&gt;=2,"C",IF('Data Source'!X761&gt;=1,"D","F")))))),"")</f>
        <v/>
      </c>
      <c r="G761" s="3">
        <f>IF(AND('Data Source'!B761&lt;&gt;"",'Data Source'!S761="F"),IF('Data Source'!Y761&gt;=5,"A+",IF('Data Source'!Y761&gt;=4,"A",IF('Data Source'!Y761&gt;=3.5,"A-",IF('Data Source'!Y761&gt;=3,"B",IF('Data Source'!Y761&gt;=2,"C",IF('Data Source'!Y761&gt;=1,"D","F")))))),"")</f>
        <v/>
      </c>
      <c r="H761" s="3">
        <f>IF(AND('Data Source'!B761&lt;&gt;"",'Data Source'!S761="F"),IF('Data Source'!Z761&gt;=5,"A+",IF('Data Source'!Z761&gt;=4,"A",IF('Data Source'!Z761&gt;=3.5,"A-",IF('Data Source'!Z761&gt;=3,"B",IF('Data Source'!Z761&gt;=2,"C",IF('Data Source'!Z761&gt;=1,"D","F")))))),"")</f>
        <v/>
      </c>
      <c r="I761" s="3">
        <f>IF(AND('Data Source'!B761&lt;&gt;"",'Data Source'!S761="F"),IF('Data Source'!AA761&gt;=5,"A+",IF('Data Source'!AA761&gt;=4,"A",IF('Data Source'!AA761&gt;=3.5,"A-",IF('Data Source'!AA761&gt;=3,"B",IF('Data Source'!AA761&gt;=2,"C",IF('Data Source'!AA761&gt;=1,"D","F")))))),"")</f>
        <v/>
      </c>
      <c r="J761" s="3">
        <f>IF(AND('Data Source'!B761&lt;&gt;"",'Data Source'!S761="F"),IF('Data Source'!AB761&gt;=5,"A+",IF('Data Source'!AB761&gt;=4,"A",IF('Data Source'!AB761&gt;=3.5,"A-",IF('Data Source'!AB761&gt;=3,"B",IF('Data Source'!AB761&gt;=2,"C",IF('Data Source'!AB761&gt;=1,"D","F")))))),"")</f>
        <v/>
      </c>
      <c r="K761" s="3">
        <f>IF(AND('Data Source'!B761&lt;&gt;"",'Data Source'!S761="F"),IF('Data Source'!AC761&gt;=5,"A+",IF('Data Source'!AC761&gt;=4,"A",IF('Data Source'!AC761&gt;=3.5,"A-",IF('Data Source'!AC761&gt;=3,"B",IF('Data Source'!AC761&gt;=2,"C",IF('Data Source'!AC761&gt;=1,"D","F")))))),"")</f>
        <v/>
      </c>
      <c r="L761" s="3">
        <f>IF(AND('Data Source'!B761&lt;&gt;"",'Data Source'!S761="F"),IF('Data Source'!AD761&gt;=5,"A+",IF('Data Source'!AD761&gt;=4,"A",IF('Data Source'!AD761&gt;=3.5,"A-",IF('Data Source'!AD761&gt;=3,"B",IF('Data Source'!AD761&gt;=2,"C",IF('Data Source'!AD761&gt;=1,"D","F")))))),"")</f>
        <v/>
      </c>
      <c r="M761" s="3">
        <f>IF(AND('Data Source'!B761&lt;&gt;"",'Data Source'!S761="F"),IF('Data Source'!AE761&gt;=5,"A+",IF('Data Source'!AE761&gt;=4,"A",IF('Data Source'!AE761&gt;=3.5,"A-",IF('Data Source'!AE761&gt;=3,"B",IF('Data Source'!AE761&gt;=2,"C",IF('Data Source'!AE761&gt;=1,"D","F")))))),"")</f>
        <v/>
      </c>
      <c r="N761" s="3">
        <f>IF(AND('Data Source'!B761&lt;&gt;"",'Data Source'!S761="F"),IF('Data Source'!AF761&gt;=5,"A+",IF('Data Source'!AF761&gt;=4,"A",IF('Data Source'!AF761&gt;=3.5,"A-",IF('Data Source'!AF761&gt;=3,"B",IF('Data Source'!AF761&gt;=2,"C",IF('Data Source'!AF761&gt;=1,"D","F")))))),"")</f>
        <v/>
      </c>
      <c r="O761" s="3">
        <f>IF(AND('Data Source'!B761&lt;&gt;"",'Data Source'!S761="F"),IF('Data Source'!AG761&gt;=5,"A+",IF('Data Source'!AG761&gt;=4,"A",IF('Data Source'!AG761&gt;=3.5,"A-",IF('Data Source'!AG761&gt;=3,"B",IF('Data Source'!AG761&gt;=2,"C",IF('Data Source'!AG761&gt;=1,"D","F")))))),"")</f>
        <v/>
      </c>
      <c r="P761" s="5">
        <f>IF(AND('Data Source'!B761&lt;&gt;"",'Data Source'!S761="F"),'Data Source'!R761,"")</f>
        <v/>
      </c>
      <c r="Q761" s="3">
        <f>IF(AND('Data Source'!B761&lt;&gt;"",'Data Source'!S761="F"),'Data Source'!S761,"")</f>
        <v/>
      </c>
    </row>
    <row r="762">
      <c r="A762" s="3">
        <f>IF(AND('Data Source'!B762&lt;&gt;"",'Data Source'!S762="F"),COUNTIF('Data Source'!$S$3:S762,"F"),"")</f>
        <v/>
      </c>
      <c r="B762">
        <f>IF(AND('Data Source'!B762&lt;&gt;"",'Data Source'!S762="F"),'Data Source'!B762,"")</f>
        <v/>
      </c>
      <c r="C762" s="3">
        <f>IF(AND('Data Source'!B762&lt;&gt;"",'Data Source'!S762="F"),IF('Data Source'!U762&gt;=5,"A+",IF('Data Source'!U762&gt;=4,"A",IF('Data Source'!U762&gt;=3.5,"A-",IF('Data Source'!U762&gt;=3,"B",IF('Data Source'!U762&gt;=2,"C",IF('Data Source'!U762&gt;=1,"D","F")))))),"")</f>
        <v/>
      </c>
      <c r="D762" s="3">
        <f>IF(AND('Data Source'!B762&lt;&gt;"",'Data Source'!S762="F"),IF('Data Source'!V762&gt;=5,"A+",IF('Data Source'!V762&gt;=4,"A",IF('Data Source'!V762&gt;=3.5,"A-",IF('Data Source'!V762&gt;=3,"B",IF('Data Source'!V762&gt;=2,"C",IF('Data Source'!V762&gt;=1,"D","F")))))),"")</f>
        <v/>
      </c>
      <c r="E762" s="3">
        <f>IF(AND('Data Source'!B762&lt;&gt;"",'Data Source'!S762="F"),IF('Data Source'!W762&gt;=5,"A+",IF('Data Source'!W762&gt;=4,"A",IF('Data Source'!W762&gt;=3.5,"A-",IF('Data Source'!W762&gt;=3,"B",IF('Data Source'!W762&gt;=2,"C",IF('Data Source'!W762&gt;=1,"D","F")))))),"")</f>
        <v/>
      </c>
      <c r="F762" s="3">
        <f>IF(AND('Data Source'!B762&lt;&gt;"",'Data Source'!S762="F"),IF('Data Source'!X762&gt;=5,"A+",IF('Data Source'!X762&gt;=4,"A",IF('Data Source'!X762&gt;=3.5,"A-",IF('Data Source'!X762&gt;=3,"B",IF('Data Source'!X762&gt;=2,"C",IF('Data Source'!X762&gt;=1,"D","F")))))),"")</f>
        <v/>
      </c>
      <c r="G762" s="3">
        <f>IF(AND('Data Source'!B762&lt;&gt;"",'Data Source'!S762="F"),IF('Data Source'!Y762&gt;=5,"A+",IF('Data Source'!Y762&gt;=4,"A",IF('Data Source'!Y762&gt;=3.5,"A-",IF('Data Source'!Y762&gt;=3,"B",IF('Data Source'!Y762&gt;=2,"C",IF('Data Source'!Y762&gt;=1,"D","F")))))),"")</f>
        <v/>
      </c>
      <c r="H762" s="3">
        <f>IF(AND('Data Source'!B762&lt;&gt;"",'Data Source'!S762="F"),IF('Data Source'!Z762&gt;=5,"A+",IF('Data Source'!Z762&gt;=4,"A",IF('Data Source'!Z762&gt;=3.5,"A-",IF('Data Source'!Z762&gt;=3,"B",IF('Data Source'!Z762&gt;=2,"C",IF('Data Source'!Z762&gt;=1,"D","F")))))),"")</f>
        <v/>
      </c>
      <c r="I762" s="3">
        <f>IF(AND('Data Source'!B762&lt;&gt;"",'Data Source'!S762="F"),IF('Data Source'!AA762&gt;=5,"A+",IF('Data Source'!AA762&gt;=4,"A",IF('Data Source'!AA762&gt;=3.5,"A-",IF('Data Source'!AA762&gt;=3,"B",IF('Data Source'!AA762&gt;=2,"C",IF('Data Source'!AA762&gt;=1,"D","F")))))),"")</f>
        <v/>
      </c>
      <c r="J762" s="3">
        <f>IF(AND('Data Source'!B762&lt;&gt;"",'Data Source'!S762="F"),IF('Data Source'!AB762&gt;=5,"A+",IF('Data Source'!AB762&gt;=4,"A",IF('Data Source'!AB762&gt;=3.5,"A-",IF('Data Source'!AB762&gt;=3,"B",IF('Data Source'!AB762&gt;=2,"C",IF('Data Source'!AB762&gt;=1,"D","F")))))),"")</f>
        <v/>
      </c>
      <c r="K762" s="3">
        <f>IF(AND('Data Source'!B762&lt;&gt;"",'Data Source'!S762="F"),IF('Data Source'!AC762&gt;=5,"A+",IF('Data Source'!AC762&gt;=4,"A",IF('Data Source'!AC762&gt;=3.5,"A-",IF('Data Source'!AC762&gt;=3,"B",IF('Data Source'!AC762&gt;=2,"C",IF('Data Source'!AC762&gt;=1,"D","F")))))),"")</f>
        <v/>
      </c>
      <c r="L762" s="3">
        <f>IF(AND('Data Source'!B762&lt;&gt;"",'Data Source'!S762="F"),IF('Data Source'!AD762&gt;=5,"A+",IF('Data Source'!AD762&gt;=4,"A",IF('Data Source'!AD762&gt;=3.5,"A-",IF('Data Source'!AD762&gt;=3,"B",IF('Data Source'!AD762&gt;=2,"C",IF('Data Source'!AD762&gt;=1,"D","F")))))),"")</f>
        <v/>
      </c>
      <c r="M762" s="3">
        <f>IF(AND('Data Source'!B762&lt;&gt;"",'Data Source'!S762="F"),IF('Data Source'!AE762&gt;=5,"A+",IF('Data Source'!AE762&gt;=4,"A",IF('Data Source'!AE762&gt;=3.5,"A-",IF('Data Source'!AE762&gt;=3,"B",IF('Data Source'!AE762&gt;=2,"C",IF('Data Source'!AE762&gt;=1,"D","F")))))),"")</f>
        <v/>
      </c>
      <c r="N762" s="3">
        <f>IF(AND('Data Source'!B762&lt;&gt;"",'Data Source'!S762="F"),IF('Data Source'!AF762&gt;=5,"A+",IF('Data Source'!AF762&gt;=4,"A",IF('Data Source'!AF762&gt;=3.5,"A-",IF('Data Source'!AF762&gt;=3,"B",IF('Data Source'!AF762&gt;=2,"C",IF('Data Source'!AF762&gt;=1,"D","F")))))),"")</f>
        <v/>
      </c>
      <c r="O762" s="3">
        <f>IF(AND('Data Source'!B762&lt;&gt;"",'Data Source'!S762="F"),IF('Data Source'!AG762&gt;=5,"A+",IF('Data Source'!AG762&gt;=4,"A",IF('Data Source'!AG762&gt;=3.5,"A-",IF('Data Source'!AG762&gt;=3,"B",IF('Data Source'!AG762&gt;=2,"C",IF('Data Source'!AG762&gt;=1,"D","F")))))),"")</f>
        <v/>
      </c>
      <c r="P762" s="5">
        <f>IF(AND('Data Source'!B762&lt;&gt;"",'Data Source'!S762="F"),'Data Source'!R762,"")</f>
        <v/>
      </c>
      <c r="Q762" s="3">
        <f>IF(AND('Data Source'!B762&lt;&gt;"",'Data Source'!S762="F"),'Data Source'!S762,"")</f>
        <v/>
      </c>
    </row>
    <row r="763">
      <c r="A763" s="3">
        <f>IF(AND('Data Source'!B763&lt;&gt;"",'Data Source'!S763="F"),COUNTIF('Data Source'!$S$3:S763,"F"),"")</f>
        <v/>
      </c>
      <c r="B763">
        <f>IF(AND('Data Source'!B763&lt;&gt;"",'Data Source'!S763="F"),'Data Source'!B763,"")</f>
        <v/>
      </c>
      <c r="C763" s="3">
        <f>IF(AND('Data Source'!B763&lt;&gt;"",'Data Source'!S763="F"),IF('Data Source'!U763&gt;=5,"A+",IF('Data Source'!U763&gt;=4,"A",IF('Data Source'!U763&gt;=3.5,"A-",IF('Data Source'!U763&gt;=3,"B",IF('Data Source'!U763&gt;=2,"C",IF('Data Source'!U763&gt;=1,"D","F")))))),"")</f>
        <v/>
      </c>
      <c r="D763" s="3">
        <f>IF(AND('Data Source'!B763&lt;&gt;"",'Data Source'!S763="F"),IF('Data Source'!V763&gt;=5,"A+",IF('Data Source'!V763&gt;=4,"A",IF('Data Source'!V763&gt;=3.5,"A-",IF('Data Source'!V763&gt;=3,"B",IF('Data Source'!V763&gt;=2,"C",IF('Data Source'!V763&gt;=1,"D","F")))))),"")</f>
        <v/>
      </c>
      <c r="E763" s="3">
        <f>IF(AND('Data Source'!B763&lt;&gt;"",'Data Source'!S763="F"),IF('Data Source'!W763&gt;=5,"A+",IF('Data Source'!W763&gt;=4,"A",IF('Data Source'!W763&gt;=3.5,"A-",IF('Data Source'!W763&gt;=3,"B",IF('Data Source'!W763&gt;=2,"C",IF('Data Source'!W763&gt;=1,"D","F")))))),"")</f>
        <v/>
      </c>
      <c r="F763" s="3">
        <f>IF(AND('Data Source'!B763&lt;&gt;"",'Data Source'!S763="F"),IF('Data Source'!X763&gt;=5,"A+",IF('Data Source'!X763&gt;=4,"A",IF('Data Source'!X763&gt;=3.5,"A-",IF('Data Source'!X763&gt;=3,"B",IF('Data Source'!X763&gt;=2,"C",IF('Data Source'!X763&gt;=1,"D","F")))))),"")</f>
        <v/>
      </c>
      <c r="G763" s="3">
        <f>IF(AND('Data Source'!B763&lt;&gt;"",'Data Source'!S763="F"),IF('Data Source'!Y763&gt;=5,"A+",IF('Data Source'!Y763&gt;=4,"A",IF('Data Source'!Y763&gt;=3.5,"A-",IF('Data Source'!Y763&gt;=3,"B",IF('Data Source'!Y763&gt;=2,"C",IF('Data Source'!Y763&gt;=1,"D","F")))))),"")</f>
        <v/>
      </c>
      <c r="H763" s="3">
        <f>IF(AND('Data Source'!B763&lt;&gt;"",'Data Source'!S763="F"),IF('Data Source'!Z763&gt;=5,"A+",IF('Data Source'!Z763&gt;=4,"A",IF('Data Source'!Z763&gt;=3.5,"A-",IF('Data Source'!Z763&gt;=3,"B",IF('Data Source'!Z763&gt;=2,"C",IF('Data Source'!Z763&gt;=1,"D","F")))))),"")</f>
        <v/>
      </c>
      <c r="I763" s="3">
        <f>IF(AND('Data Source'!B763&lt;&gt;"",'Data Source'!S763="F"),IF('Data Source'!AA763&gt;=5,"A+",IF('Data Source'!AA763&gt;=4,"A",IF('Data Source'!AA763&gt;=3.5,"A-",IF('Data Source'!AA763&gt;=3,"B",IF('Data Source'!AA763&gt;=2,"C",IF('Data Source'!AA763&gt;=1,"D","F")))))),"")</f>
        <v/>
      </c>
      <c r="J763" s="3">
        <f>IF(AND('Data Source'!B763&lt;&gt;"",'Data Source'!S763="F"),IF('Data Source'!AB763&gt;=5,"A+",IF('Data Source'!AB763&gt;=4,"A",IF('Data Source'!AB763&gt;=3.5,"A-",IF('Data Source'!AB763&gt;=3,"B",IF('Data Source'!AB763&gt;=2,"C",IF('Data Source'!AB763&gt;=1,"D","F")))))),"")</f>
        <v/>
      </c>
      <c r="K763" s="3">
        <f>IF(AND('Data Source'!B763&lt;&gt;"",'Data Source'!S763="F"),IF('Data Source'!AC763&gt;=5,"A+",IF('Data Source'!AC763&gt;=4,"A",IF('Data Source'!AC763&gt;=3.5,"A-",IF('Data Source'!AC763&gt;=3,"B",IF('Data Source'!AC763&gt;=2,"C",IF('Data Source'!AC763&gt;=1,"D","F")))))),"")</f>
        <v/>
      </c>
      <c r="L763" s="3">
        <f>IF(AND('Data Source'!B763&lt;&gt;"",'Data Source'!S763="F"),IF('Data Source'!AD763&gt;=5,"A+",IF('Data Source'!AD763&gt;=4,"A",IF('Data Source'!AD763&gt;=3.5,"A-",IF('Data Source'!AD763&gt;=3,"B",IF('Data Source'!AD763&gt;=2,"C",IF('Data Source'!AD763&gt;=1,"D","F")))))),"")</f>
        <v/>
      </c>
      <c r="M763" s="3">
        <f>IF(AND('Data Source'!B763&lt;&gt;"",'Data Source'!S763="F"),IF('Data Source'!AE763&gt;=5,"A+",IF('Data Source'!AE763&gt;=4,"A",IF('Data Source'!AE763&gt;=3.5,"A-",IF('Data Source'!AE763&gt;=3,"B",IF('Data Source'!AE763&gt;=2,"C",IF('Data Source'!AE763&gt;=1,"D","F")))))),"")</f>
        <v/>
      </c>
      <c r="N763" s="3">
        <f>IF(AND('Data Source'!B763&lt;&gt;"",'Data Source'!S763="F"),IF('Data Source'!AF763&gt;=5,"A+",IF('Data Source'!AF763&gt;=4,"A",IF('Data Source'!AF763&gt;=3.5,"A-",IF('Data Source'!AF763&gt;=3,"B",IF('Data Source'!AF763&gt;=2,"C",IF('Data Source'!AF763&gt;=1,"D","F")))))),"")</f>
        <v/>
      </c>
      <c r="O763" s="3">
        <f>IF(AND('Data Source'!B763&lt;&gt;"",'Data Source'!S763="F"),IF('Data Source'!AG763&gt;=5,"A+",IF('Data Source'!AG763&gt;=4,"A",IF('Data Source'!AG763&gt;=3.5,"A-",IF('Data Source'!AG763&gt;=3,"B",IF('Data Source'!AG763&gt;=2,"C",IF('Data Source'!AG763&gt;=1,"D","F")))))),"")</f>
        <v/>
      </c>
      <c r="P763" s="5">
        <f>IF(AND('Data Source'!B763&lt;&gt;"",'Data Source'!S763="F"),'Data Source'!R763,"")</f>
        <v/>
      </c>
      <c r="Q763" s="3">
        <f>IF(AND('Data Source'!B763&lt;&gt;"",'Data Source'!S763="F"),'Data Source'!S763,"")</f>
        <v/>
      </c>
    </row>
    <row r="764">
      <c r="A764" s="3">
        <f>IF(AND('Data Source'!B764&lt;&gt;"",'Data Source'!S764="F"),COUNTIF('Data Source'!$S$3:S764,"F"),"")</f>
        <v/>
      </c>
      <c r="B764">
        <f>IF(AND('Data Source'!B764&lt;&gt;"",'Data Source'!S764="F"),'Data Source'!B764,"")</f>
        <v/>
      </c>
      <c r="C764" s="3">
        <f>IF(AND('Data Source'!B764&lt;&gt;"",'Data Source'!S764="F"),IF('Data Source'!U764&gt;=5,"A+",IF('Data Source'!U764&gt;=4,"A",IF('Data Source'!U764&gt;=3.5,"A-",IF('Data Source'!U764&gt;=3,"B",IF('Data Source'!U764&gt;=2,"C",IF('Data Source'!U764&gt;=1,"D","F")))))),"")</f>
        <v/>
      </c>
      <c r="D764" s="3">
        <f>IF(AND('Data Source'!B764&lt;&gt;"",'Data Source'!S764="F"),IF('Data Source'!V764&gt;=5,"A+",IF('Data Source'!V764&gt;=4,"A",IF('Data Source'!V764&gt;=3.5,"A-",IF('Data Source'!V764&gt;=3,"B",IF('Data Source'!V764&gt;=2,"C",IF('Data Source'!V764&gt;=1,"D","F")))))),"")</f>
        <v/>
      </c>
      <c r="E764" s="3">
        <f>IF(AND('Data Source'!B764&lt;&gt;"",'Data Source'!S764="F"),IF('Data Source'!W764&gt;=5,"A+",IF('Data Source'!W764&gt;=4,"A",IF('Data Source'!W764&gt;=3.5,"A-",IF('Data Source'!W764&gt;=3,"B",IF('Data Source'!W764&gt;=2,"C",IF('Data Source'!W764&gt;=1,"D","F")))))),"")</f>
        <v/>
      </c>
      <c r="F764" s="3">
        <f>IF(AND('Data Source'!B764&lt;&gt;"",'Data Source'!S764="F"),IF('Data Source'!X764&gt;=5,"A+",IF('Data Source'!X764&gt;=4,"A",IF('Data Source'!X764&gt;=3.5,"A-",IF('Data Source'!X764&gt;=3,"B",IF('Data Source'!X764&gt;=2,"C",IF('Data Source'!X764&gt;=1,"D","F")))))),"")</f>
        <v/>
      </c>
      <c r="G764" s="3">
        <f>IF(AND('Data Source'!B764&lt;&gt;"",'Data Source'!S764="F"),IF('Data Source'!Y764&gt;=5,"A+",IF('Data Source'!Y764&gt;=4,"A",IF('Data Source'!Y764&gt;=3.5,"A-",IF('Data Source'!Y764&gt;=3,"B",IF('Data Source'!Y764&gt;=2,"C",IF('Data Source'!Y764&gt;=1,"D","F")))))),"")</f>
        <v/>
      </c>
      <c r="H764" s="3">
        <f>IF(AND('Data Source'!B764&lt;&gt;"",'Data Source'!S764="F"),IF('Data Source'!Z764&gt;=5,"A+",IF('Data Source'!Z764&gt;=4,"A",IF('Data Source'!Z764&gt;=3.5,"A-",IF('Data Source'!Z764&gt;=3,"B",IF('Data Source'!Z764&gt;=2,"C",IF('Data Source'!Z764&gt;=1,"D","F")))))),"")</f>
        <v/>
      </c>
      <c r="I764" s="3">
        <f>IF(AND('Data Source'!B764&lt;&gt;"",'Data Source'!S764="F"),IF('Data Source'!AA764&gt;=5,"A+",IF('Data Source'!AA764&gt;=4,"A",IF('Data Source'!AA764&gt;=3.5,"A-",IF('Data Source'!AA764&gt;=3,"B",IF('Data Source'!AA764&gt;=2,"C",IF('Data Source'!AA764&gt;=1,"D","F")))))),"")</f>
        <v/>
      </c>
      <c r="J764" s="3">
        <f>IF(AND('Data Source'!B764&lt;&gt;"",'Data Source'!S764="F"),IF('Data Source'!AB764&gt;=5,"A+",IF('Data Source'!AB764&gt;=4,"A",IF('Data Source'!AB764&gt;=3.5,"A-",IF('Data Source'!AB764&gt;=3,"B",IF('Data Source'!AB764&gt;=2,"C",IF('Data Source'!AB764&gt;=1,"D","F")))))),"")</f>
        <v/>
      </c>
      <c r="K764" s="3">
        <f>IF(AND('Data Source'!B764&lt;&gt;"",'Data Source'!S764="F"),IF('Data Source'!AC764&gt;=5,"A+",IF('Data Source'!AC764&gt;=4,"A",IF('Data Source'!AC764&gt;=3.5,"A-",IF('Data Source'!AC764&gt;=3,"B",IF('Data Source'!AC764&gt;=2,"C",IF('Data Source'!AC764&gt;=1,"D","F")))))),"")</f>
        <v/>
      </c>
      <c r="L764" s="3">
        <f>IF(AND('Data Source'!B764&lt;&gt;"",'Data Source'!S764="F"),IF('Data Source'!AD764&gt;=5,"A+",IF('Data Source'!AD764&gt;=4,"A",IF('Data Source'!AD764&gt;=3.5,"A-",IF('Data Source'!AD764&gt;=3,"B",IF('Data Source'!AD764&gt;=2,"C",IF('Data Source'!AD764&gt;=1,"D","F")))))),"")</f>
        <v/>
      </c>
      <c r="M764" s="3">
        <f>IF(AND('Data Source'!B764&lt;&gt;"",'Data Source'!S764="F"),IF('Data Source'!AE764&gt;=5,"A+",IF('Data Source'!AE764&gt;=4,"A",IF('Data Source'!AE764&gt;=3.5,"A-",IF('Data Source'!AE764&gt;=3,"B",IF('Data Source'!AE764&gt;=2,"C",IF('Data Source'!AE764&gt;=1,"D","F")))))),"")</f>
        <v/>
      </c>
      <c r="N764" s="3">
        <f>IF(AND('Data Source'!B764&lt;&gt;"",'Data Source'!S764="F"),IF('Data Source'!AF764&gt;=5,"A+",IF('Data Source'!AF764&gt;=4,"A",IF('Data Source'!AF764&gt;=3.5,"A-",IF('Data Source'!AF764&gt;=3,"B",IF('Data Source'!AF764&gt;=2,"C",IF('Data Source'!AF764&gt;=1,"D","F")))))),"")</f>
        <v/>
      </c>
      <c r="O764" s="3">
        <f>IF(AND('Data Source'!B764&lt;&gt;"",'Data Source'!S764="F"),IF('Data Source'!AG764&gt;=5,"A+",IF('Data Source'!AG764&gt;=4,"A",IF('Data Source'!AG764&gt;=3.5,"A-",IF('Data Source'!AG764&gt;=3,"B",IF('Data Source'!AG764&gt;=2,"C",IF('Data Source'!AG764&gt;=1,"D","F")))))),"")</f>
        <v/>
      </c>
      <c r="P764" s="5">
        <f>IF(AND('Data Source'!B764&lt;&gt;"",'Data Source'!S764="F"),'Data Source'!R764,"")</f>
        <v/>
      </c>
      <c r="Q764" s="3">
        <f>IF(AND('Data Source'!B764&lt;&gt;"",'Data Source'!S764="F"),'Data Source'!S764,"")</f>
        <v/>
      </c>
    </row>
    <row r="765">
      <c r="A765" s="3">
        <f>IF(AND('Data Source'!B765&lt;&gt;"",'Data Source'!S765="F"),COUNTIF('Data Source'!$S$3:S765,"F"),"")</f>
        <v/>
      </c>
      <c r="B765">
        <f>IF(AND('Data Source'!B765&lt;&gt;"",'Data Source'!S765="F"),'Data Source'!B765,"")</f>
        <v/>
      </c>
      <c r="C765" s="3">
        <f>IF(AND('Data Source'!B765&lt;&gt;"",'Data Source'!S765="F"),IF('Data Source'!U765&gt;=5,"A+",IF('Data Source'!U765&gt;=4,"A",IF('Data Source'!U765&gt;=3.5,"A-",IF('Data Source'!U765&gt;=3,"B",IF('Data Source'!U765&gt;=2,"C",IF('Data Source'!U765&gt;=1,"D","F")))))),"")</f>
        <v/>
      </c>
      <c r="D765" s="3">
        <f>IF(AND('Data Source'!B765&lt;&gt;"",'Data Source'!S765="F"),IF('Data Source'!V765&gt;=5,"A+",IF('Data Source'!V765&gt;=4,"A",IF('Data Source'!V765&gt;=3.5,"A-",IF('Data Source'!V765&gt;=3,"B",IF('Data Source'!V765&gt;=2,"C",IF('Data Source'!V765&gt;=1,"D","F")))))),"")</f>
        <v/>
      </c>
      <c r="E765" s="3">
        <f>IF(AND('Data Source'!B765&lt;&gt;"",'Data Source'!S765="F"),IF('Data Source'!W765&gt;=5,"A+",IF('Data Source'!W765&gt;=4,"A",IF('Data Source'!W765&gt;=3.5,"A-",IF('Data Source'!W765&gt;=3,"B",IF('Data Source'!W765&gt;=2,"C",IF('Data Source'!W765&gt;=1,"D","F")))))),"")</f>
        <v/>
      </c>
      <c r="F765" s="3">
        <f>IF(AND('Data Source'!B765&lt;&gt;"",'Data Source'!S765="F"),IF('Data Source'!X765&gt;=5,"A+",IF('Data Source'!X765&gt;=4,"A",IF('Data Source'!X765&gt;=3.5,"A-",IF('Data Source'!X765&gt;=3,"B",IF('Data Source'!X765&gt;=2,"C",IF('Data Source'!X765&gt;=1,"D","F")))))),"")</f>
        <v/>
      </c>
      <c r="G765" s="3">
        <f>IF(AND('Data Source'!B765&lt;&gt;"",'Data Source'!S765="F"),IF('Data Source'!Y765&gt;=5,"A+",IF('Data Source'!Y765&gt;=4,"A",IF('Data Source'!Y765&gt;=3.5,"A-",IF('Data Source'!Y765&gt;=3,"B",IF('Data Source'!Y765&gt;=2,"C",IF('Data Source'!Y765&gt;=1,"D","F")))))),"")</f>
        <v/>
      </c>
      <c r="H765" s="3">
        <f>IF(AND('Data Source'!B765&lt;&gt;"",'Data Source'!S765="F"),IF('Data Source'!Z765&gt;=5,"A+",IF('Data Source'!Z765&gt;=4,"A",IF('Data Source'!Z765&gt;=3.5,"A-",IF('Data Source'!Z765&gt;=3,"B",IF('Data Source'!Z765&gt;=2,"C",IF('Data Source'!Z765&gt;=1,"D","F")))))),"")</f>
        <v/>
      </c>
      <c r="I765" s="3">
        <f>IF(AND('Data Source'!B765&lt;&gt;"",'Data Source'!S765="F"),IF('Data Source'!AA765&gt;=5,"A+",IF('Data Source'!AA765&gt;=4,"A",IF('Data Source'!AA765&gt;=3.5,"A-",IF('Data Source'!AA765&gt;=3,"B",IF('Data Source'!AA765&gt;=2,"C",IF('Data Source'!AA765&gt;=1,"D","F")))))),"")</f>
        <v/>
      </c>
      <c r="J765" s="3">
        <f>IF(AND('Data Source'!B765&lt;&gt;"",'Data Source'!S765="F"),IF('Data Source'!AB765&gt;=5,"A+",IF('Data Source'!AB765&gt;=4,"A",IF('Data Source'!AB765&gt;=3.5,"A-",IF('Data Source'!AB765&gt;=3,"B",IF('Data Source'!AB765&gt;=2,"C",IF('Data Source'!AB765&gt;=1,"D","F")))))),"")</f>
        <v/>
      </c>
      <c r="K765" s="3">
        <f>IF(AND('Data Source'!B765&lt;&gt;"",'Data Source'!S765="F"),IF('Data Source'!AC765&gt;=5,"A+",IF('Data Source'!AC765&gt;=4,"A",IF('Data Source'!AC765&gt;=3.5,"A-",IF('Data Source'!AC765&gt;=3,"B",IF('Data Source'!AC765&gt;=2,"C",IF('Data Source'!AC765&gt;=1,"D","F")))))),"")</f>
        <v/>
      </c>
      <c r="L765" s="3">
        <f>IF(AND('Data Source'!B765&lt;&gt;"",'Data Source'!S765="F"),IF('Data Source'!AD765&gt;=5,"A+",IF('Data Source'!AD765&gt;=4,"A",IF('Data Source'!AD765&gt;=3.5,"A-",IF('Data Source'!AD765&gt;=3,"B",IF('Data Source'!AD765&gt;=2,"C",IF('Data Source'!AD765&gt;=1,"D","F")))))),"")</f>
        <v/>
      </c>
      <c r="M765" s="3">
        <f>IF(AND('Data Source'!B765&lt;&gt;"",'Data Source'!S765="F"),IF('Data Source'!AE765&gt;=5,"A+",IF('Data Source'!AE765&gt;=4,"A",IF('Data Source'!AE765&gt;=3.5,"A-",IF('Data Source'!AE765&gt;=3,"B",IF('Data Source'!AE765&gt;=2,"C",IF('Data Source'!AE765&gt;=1,"D","F")))))),"")</f>
        <v/>
      </c>
      <c r="N765" s="3">
        <f>IF(AND('Data Source'!B765&lt;&gt;"",'Data Source'!S765="F"),IF('Data Source'!AF765&gt;=5,"A+",IF('Data Source'!AF765&gt;=4,"A",IF('Data Source'!AF765&gt;=3.5,"A-",IF('Data Source'!AF765&gt;=3,"B",IF('Data Source'!AF765&gt;=2,"C",IF('Data Source'!AF765&gt;=1,"D","F")))))),"")</f>
        <v/>
      </c>
      <c r="O765" s="3">
        <f>IF(AND('Data Source'!B765&lt;&gt;"",'Data Source'!S765="F"),IF('Data Source'!AG765&gt;=5,"A+",IF('Data Source'!AG765&gt;=4,"A",IF('Data Source'!AG765&gt;=3.5,"A-",IF('Data Source'!AG765&gt;=3,"B",IF('Data Source'!AG765&gt;=2,"C",IF('Data Source'!AG765&gt;=1,"D","F")))))),"")</f>
        <v/>
      </c>
      <c r="P765" s="5">
        <f>IF(AND('Data Source'!B765&lt;&gt;"",'Data Source'!S765="F"),'Data Source'!R765,"")</f>
        <v/>
      </c>
      <c r="Q765" s="3">
        <f>IF(AND('Data Source'!B765&lt;&gt;"",'Data Source'!S765="F"),'Data Source'!S765,"")</f>
        <v/>
      </c>
    </row>
    <row r="766">
      <c r="A766" s="3">
        <f>IF(AND('Data Source'!B766&lt;&gt;"",'Data Source'!S766="F"),COUNTIF('Data Source'!$S$3:S766,"F"),"")</f>
        <v/>
      </c>
      <c r="B766">
        <f>IF(AND('Data Source'!B766&lt;&gt;"",'Data Source'!S766="F"),'Data Source'!B766,"")</f>
        <v/>
      </c>
      <c r="C766" s="3">
        <f>IF(AND('Data Source'!B766&lt;&gt;"",'Data Source'!S766="F"),IF('Data Source'!U766&gt;=5,"A+",IF('Data Source'!U766&gt;=4,"A",IF('Data Source'!U766&gt;=3.5,"A-",IF('Data Source'!U766&gt;=3,"B",IF('Data Source'!U766&gt;=2,"C",IF('Data Source'!U766&gt;=1,"D","F")))))),"")</f>
        <v/>
      </c>
      <c r="D766" s="3">
        <f>IF(AND('Data Source'!B766&lt;&gt;"",'Data Source'!S766="F"),IF('Data Source'!V766&gt;=5,"A+",IF('Data Source'!V766&gt;=4,"A",IF('Data Source'!V766&gt;=3.5,"A-",IF('Data Source'!V766&gt;=3,"B",IF('Data Source'!V766&gt;=2,"C",IF('Data Source'!V766&gt;=1,"D","F")))))),"")</f>
        <v/>
      </c>
      <c r="E766" s="3">
        <f>IF(AND('Data Source'!B766&lt;&gt;"",'Data Source'!S766="F"),IF('Data Source'!W766&gt;=5,"A+",IF('Data Source'!W766&gt;=4,"A",IF('Data Source'!W766&gt;=3.5,"A-",IF('Data Source'!W766&gt;=3,"B",IF('Data Source'!W766&gt;=2,"C",IF('Data Source'!W766&gt;=1,"D","F")))))),"")</f>
        <v/>
      </c>
      <c r="F766" s="3">
        <f>IF(AND('Data Source'!B766&lt;&gt;"",'Data Source'!S766="F"),IF('Data Source'!X766&gt;=5,"A+",IF('Data Source'!X766&gt;=4,"A",IF('Data Source'!X766&gt;=3.5,"A-",IF('Data Source'!X766&gt;=3,"B",IF('Data Source'!X766&gt;=2,"C",IF('Data Source'!X766&gt;=1,"D","F")))))),"")</f>
        <v/>
      </c>
      <c r="G766" s="3">
        <f>IF(AND('Data Source'!B766&lt;&gt;"",'Data Source'!S766="F"),IF('Data Source'!Y766&gt;=5,"A+",IF('Data Source'!Y766&gt;=4,"A",IF('Data Source'!Y766&gt;=3.5,"A-",IF('Data Source'!Y766&gt;=3,"B",IF('Data Source'!Y766&gt;=2,"C",IF('Data Source'!Y766&gt;=1,"D","F")))))),"")</f>
        <v/>
      </c>
      <c r="H766" s="3">
        <f>IF(AND('Data Source'!B766&lt;&gt;"",'Data Source'!S766="F"),IF('Data Source'!Z766&gt;=5,"A+",IF('Data Source'!Z766&gt;=4,"A",IF('Data Source'!Z766&gt;=3.5,"A-",IF('Data Source'!Z766&gt;=3,"B",IF('Data Source'!Z766&gt;=2,"C",IF('Data Source'!Z766&gt;=1,"D","F")))))),"")</f>
        <v/>
      </c>
      <c r="I766" s="3">
        <f>IF(AND('Data Source'!B766&lt;&gt;"",'Data Source'!S766="F"),IF('Data Source'!AA766&gt;=5,"A+",IF('Data Source'!AA766&gt;=4,"A",IF('Data Source'!AA766&gt;=3.5,"A-",IF('Data Source'!AA766&gt;=3,"B",IF('Data Source'!AA766&gt;=2,"C",IF('Data Source'!AA766&gt;=1,"D","F")))))),"")</f>
        <v/>
      </c>
      <c r="J766" s="3">
        <f>IF(AND('Data Source'!B766&lt;&gt;"",'Data Source'!S766="F"),IF('Data Source'!AB766&gt;=5,"A+",IF('Data Source'!AB766&gt;=4,"A",IF('Data Source'!AB766&gt;=3.5,"A-",IF('Data Source'!AB766&gt;=3,"B",IF('Data Source'!AB766&gt;=2,"C",IF('Data Source'!AB766&gt;=1,"D","F")))))),"")</f>
        <v/>
      </c>
      <c r="K766" s="3">
        <f>IF(AND('Data Source'!B766&lt;&gt;"",'Data Source'!S766="F"),IF('Data Source'!AC766&gt;=5,"A+",IF('Data Source'!AC766&gt;=4,"A",IF('Data Source'!AC766&gt;=3.5,"A-",IF('Data Source'!AC766&gt;=3,"B",IF('Data Source'!AC766&gt;=2,"C",IF('Data Source'!AC766&gt;=1,"D","F")))))),"")</f>
        <v/>
      </c>
      <c r="L766" s="3">
        <f>IF(AND('Data Source'!B766&lt;&gt;"",'Data Source'!S766="F"),IF('Data Source'!AD766&gt;=5,"A+",IF('Data Source'!AD766&gt;=4,"A",IF('Data Source'!AD766&gt;=3.5,"A-",IF('Data Source'!AD766&gt;=3,"B",IF('Data Source'!AD766&gt;=2,"C",IF('Data Source'!AD766&gt;=1,"D","F")))))),"")</f>
        <v/>
      </c>
      <c r="M766" s="3">
        <f>IF(AND('Data Source'!B766&lt;&gt;"",'Data Source'!S766="F"),IF('Data Source'!AE766&gt;=5,"A+",IF('Data Source'!AE766&gt;=4,"A",IF('Data Source'!AE766&gt;=3.5,"A-",IF('Data Source'!AE766&gt;=3,"B",IF('Data Source'!AE766&gt;=2,"C",IF('Data Source'!AE766&gt;=1,"D","F")))))),"")</f>
        <v/>
      </c>
      <c r="N766" s="3">
        <f>IF(AND('Data Source'!B766&lt;&gt;"",'Data Source'!S766="F"),IF('Data Source'!AF766&gt;=5,"A+",IF('Data Source'!AF766&gt;=4,"A",IF('Data Source'!AF766&gt;=3.5,"A-",IF('Data Source'!AF766&gt;=3,"B",IF('Data Source'!AF766&gt;=2,"C",IF('Data Source'!AF766&gt;=1,"D","F")))))),"")</f>
        <v/>
      </c>
      <c r="O766" s="3">
        <f>IF(AND('Data Source'!B766&lt;&gt;"",'Data Source'!S766="F"),IF('Data Source'!AG766&gt;=5,"A+",IF('Data Source'!AG766&gt;=4,"A",IF('Data Source'!AG766&gt;=3.5,"A-",IF('Data Source'!AG766&gt;=3,"B",IF('Data Source'!AG766&gt;=2,"C",IF('Data Source'!AG766&gt;=1,"D","F")))))),"")</f>
        <v/>
      </c>
      <c r="P766" s="5">
        <f>IF(AND('Data Source'!B766&lt;&gt;"",'Data Source'!S766="F"),'Data Source'!R766,"")</f>
        <v/>
      </c>
      <c r="Q766" s="3">
        <f>IF(AND('Data Source'!B766&lt;&gt;"",'Data Source'!S766="F"),'Data Source'!S766,"")</f>
        <v/>
      </c>
    </row>
    <row r="767">
      <c r="A767" s="3">
        <f>IF(AND('Data Source'!B767&lt;&gt;"",'Data Source'!S767="F"),COUNTIF('Data Source'!$S$3:S767,"F"),"")</f>
        <v/>
      </c>
      <c r="B767">
        <f>IF(AND('Data Source'!B767&lt;&gt;"",'Data Source'!S767="F"),'Data Source'!B767,"")</f>
        <v/>
      </c>
      <c r="C767" s="3">
        <f>IF(AND('Data Source'!B767&lt;&gt;"",'Data Source'!S767="F"),IF('Data Source'!U767&gt;=5,"A+",IF('Data Source'!U767&gt;=4,"A",IF('Data Source'!U767&gt;=3.5,"A-",IF('Data Source'!U767&gt;=3,"B",IF('Data Source'!U767&gt;=2,"C",IF('Data Source'!U767&gt;=1,"D","F")))))),"")</f>
        <v/>
      </c>
      <c r="D767" s="3">
        <f>IF(AND('Data Source'!B767&lt;&gt;"",'Data Source'!S767="F"),IF('Data Source'!V767&gt;=5,"A+",IF('Data Source'!V767&gt;=4,"A",IF('Data Source'!V767&gt;=3.5,"A-",IF('Data Source'!V767&gt;=3,"B",IF('Data Source'!V767&gt;=2,"C",IF('Data Source'!V767&gt;=1,"D","F")))))),"")</f>
        <v/>
      </c>
      <c r="E767" s="3">
        <f>IF(AND('Data Source'!B767&lt;&gt;"",'Data Source'!S767="F"),IF('Data Source'!W767&gt;=5,"A+",IF('Data Source'!W767&gt;=4,"A",IF('Data Source'!W767&gt;=3.5,"A-",IF('Data Source'!W767&gt;=3,"B",IF('Data Source'!W767&gt;=2,"C",IF('Data Source'!W767&gt;=1,"D","F")))))),"")</f>
        <v/>
      </c>
      <c r="F767" s="3">
        <f>IF(AND('Data Source'!B767&lt;&gt;"",'Data Source'!S767="F"),IF('Data Source'!X767&gt;=5,"A+",IF('Data Source'!X767&gt;=4,"A",IF('Data Source'!X767&gt;=3.5,"A-",IF('Data Source'!X767&gt;=3,"B",IF('Data Source'!X767&gt;=2,"C",IF('Data Source'!X767&gt;=1,"D","F")))))),"")</f>
        <v/>
      </c>
      <c r="G767" s="3">
        <f>IF(AND('Data Source'!B767&lt;&gt;"",'Data Source'!S767="F"),IF('Data Source'!Y767&gt;=5,"A+",IF('Data Source'!Y767&gt;=4,"A",IF('Data Source'!Y767&gt;=3.5,"A-",IF('Data Source'!Y767&gt;=3,"B",IF('Data Source'!Y767&gt;=2,"C",IF('Data Source'!Y767&gt;=1,"D","F")))))),"")</f>
        <v/>
      </c>
      <c r="H767" s="3">
        <f>IF(AND('Data Source'!B767&lt;&gt;"",'Data Source'!S767="F"),IF('Data Source'!Z767&gt;=5,"A+",IF('Data Source'!Z767&gt;=4,"A",IF('Data Source'!Z767&gt;=3.5,"A-",IF('Data Source'!Z767&gt;=3,"B",IF('Data Source'!Z767&gt;=2,"C",IF('Data Source'!Z767&gt;=1,"D","F")))))),"")</f>
        <v/>
      </c>
      <c r="I767" s="3">
        <f>IF(AND('Data Source'!B767&lt;&gt;"",'Data Source'!S767="F"),IF('Data Source'!AA767&gt;=5,"A+",IF('Data Source'!AA767&gt;=4,"A",IF('Data Source'!AA767&gt;=3.5,"A-",IF('Data Source'!AA767&gt;=3,"B",IF('Data Source'!AA767&gt;=2,"C",IF('Data Source'!AA767&gt;=1,"D","F")))))),"")</f>
        <v/>
      </c>
      <c r="J767" s="3">
        <f>IF(AND('Data Source'!B767&lt;&gt;"",'Data Source'!S767="F"),IF('Data Source'!AB767&gt;=5,"A+",IF('Data Source'!AB767&gt;=4,"A",IF('Data Source'!AB767&gt;=3.5,"A-",IF('Data Source'!AB767&gt;=3,"B",IF('Data Source'!AB767&gt;=2,"C",IF('Data Source'!AB767&gt;=1,"D","F")))))),"")</f>
        <v/>
      </c>
      <c r="K767" s="3">
        <f>IF(AND('Data Source'!B767&lt;&gt;"",'Data Source'!S767="F"),IF('Data Source'!AC767&gt;=5,"A+",IF('Data Source'!AC767&gt;=4,"A",IF('Data Source'!AC767&gt;=3.5,"A-",IF('Data Source'!AC767&gt;=3,"B",IF('Data Source'!AC767&gt;=2,"C",IF('Data Source'!AC767&gt;=1,"D","F")))))),"")</f>
        <v/>
      </c>
      <c r="L767" s="3">
        <f>IF(AND('Data Source'!B767&lt;&gt;"",'Data Source'!S767="F"),IF('Data Source'!AD767&gt;=5,"A+",IF('Data Source'!AD767&gt;=4,"A",IF('Data Source'!AD767&gt;=3.5,"A-",IF('Data Source'!AD767&gt;=3,"B",IF('Data Source'!AD767&gt;=2,"C",IF('Data Source'!AD767&gt;=1,"D","F")))))),"")</f>
        <v/>
      </c>
      <c r="M767" s="3">
        <f>IF(AND('Data Source'!B767&lt;&gt;"",'Data Source'!S767="F"),IF('Data Source'!AE767&gt;=5,"A+",IF('Data Source'!AE767&gt;=4,"A",IF('Data Source'!AE767&gt;=3.5,"A-",IF('Data Source'!AE767&gt;=3,"B",IF('Data Source'!AE767&gt;=2,"C",IF('Data Source'!AE767&gt;=1,"D","F")))))),"")</f>
        <v/>
      </c>
      <c r="N767" s="3">
        <f>IF(AND('Data Source'!B767&lt;&gt;"",'Data Source'!S767="F"),IF('Data Source'!AF767&gt;=5,"A+",IF('Data Source'!AF767&gt;=4,"A",IF('Data Source'!AF767&gt;=3.5,"A-",IF('Data Source'!AF767&gt;=3,"B",IF('Data Source'!AF767&gt;=2,"C",IF('Data Source'!AF767&gt;=1,"D","F")))))),"")</f>
        <v/>
      </c>
      <c r="O767" s="3">
        <f>IF(AND('Data Source'!B767&lt;&gt;"",'Data Source'!S767="F"),IF('Data Source'!AG767&gt;=5,"A+",IF('Data Source'!AG767&gt;=4,"A",IF('Data Source'!AG767&gt;=3.5,"A-",IF('Data Source'!AG767&gt;=3,"B",IF('Data Source'!AG767&gt;=2,"C",IF('Data Source'!AG767&gt;=1,"D","F")))))),"")</f>
        <v/>
      </c>
      <c r="P767" s="5">
        <f>IF(AND('Data Source'!B767&lt;&gt;"",'Data Source'!S767="F"),'Data Source'!R767,"")</f>
        <v/>
      </c>
      <c r="Q767" s="3">
        <f>IF(AND('Data Source'!B767&lt;&gt;"",'Data Source'!S767="F"),'Data Source'!S767,"")</f>
        <v/>
      </c>
    </row>
    <row r="768">
      <c r="A768" s="3">
        <f>IF(AND('Data Source'!B768&lt;&gt;"",'Data Source'!S768="F"),COUNTIF('Data Source'!$S$3:S768,"F"),"")</f>
        <v/>
      </c>
      <c r="B768">
        <f>IF(AND('Data Source'!B768&lt;&gt;"",'Data Source'!S768="F"),'Data Source'!B768,"")</f>
        <v/>
      </c>
      <c r="C768" s="3">
        <f>IF(AND('Data Source'!B768&lt;&gt;"",'Data Source'!S768="F"),IF('Data Source'!U768&gt;=5,"A+",IF('Data Source'!U768&gt;=4,"A",IF('Data Source'!U768&gt;=3.5,"A-",IF('Data Source'!U768&gt;=3,"B",IF('Data Source'!U768&gt;=2,"C",IF('Data Source'!U768&gt;=1,"D","F")))))),"")</f>
        <v/>
      </c>
      <c r="D768" s="3">
        <f>IF(AND('Data Source'!B768&lt;&gt;"",'Data Source'!S768="F"),IF('Data Source'!V768&gt;=5,"A+",IF('Data Source'!V768&gt;=4,"A",IF('Data Source'!V768&gt;=3.5,"A-",IF('Data Source'!V768&gt;=3,"B",IF('Data Source'!V768&gt;=2,"C",IF('Data Source'!V768&gt;=1,"D","F")))))),"")</f>
        <v/>
      </c>
      <c r="E768" s="3">
        <f>IF(AND('Data Source'!B768&lt;&gt;"",'Data Source'!S768="F"),IF('Data Source'!W768&gt;=5,"A+",IF('Data Source'!W768&gt;=4,"A",IF('Data Source'!W768&gt;=3.5,"A-",IF('Data Source'!W768&gt;=3,"B",IF('Data Source'!W768&gt;=2,"C",IF('Data Source'!W768&gt;=1,"D","F")))))),"")</f>
        <v/>
      </c>
      <c r="F768" s="3">
        <f>IF(AND('Data Source'!B768&lt;&gt;"",'Data Source'!S768="F"),IF('Data Source'!X768&gt;=5,"A+",IF('Data Source'!X768&gt;=4,"A",IF('Data Source'!X768&gt;=3.5,"A-",IF('Data Source'!X768&gt;=3,"B",IF('Data Source'!X768&gt;=2,"C",IF('Data Source'!X768&gt;=1,"D","F")))))),"")</f>
        <v/>
      </c>
      <c r="G768" s="3">
        <f>IF(AND('Data Source'!B768&lt;&gt;"",'Data Source'!S768="F"),IF('Data Source'!Y768&gt;=5,"A+",IF('Data Source'!Y768&gt;=4,"A",IF('Data Source'!Y768&gt;=3.5,"A-",IF('Data Source'!Y768&gt;=3,"B",IF('Data Source'!Y768&gt;=2,"C",IF('Data Source'!Y768&gt;=1,"D","F")))))),"")</f>
        <v/>
      </c>
      <c r="H768" s="3">
        <f>IF(AND('Data Source'!B768&lt;&gt;"",'Data Source'!S768="F"),IF('Data Source'!Z768&gt;=5,"A+",IF('Data Source'!Z768&gt;=4,"A",IF('Data Source'!Z768&gt;=3.5,"A-",IF('Data Source'!Z768&gt;=3,"B",IF('Data Source'!Z768&gt;=2,"C",IF('Data Source'!Z768&gt;=1,"D","F")))))),"")</f>
        <v/>
      </c>
      <c r="I768" s="3">
        <f>IF(AND('Data Source'!B768&lt;&gt;"",'Data Source'!S768="F"),IF('Data Source'!AA768&gt;=5,"A+",IF('Data Source'!AA768&gt;=4,"A",IF('Data Source'!AA768&gt;=3.5,"A-",IF('Data Source'!AA768&gt;=3,"B",IF('Data Source'!AA768&gt;=2,"C",IF('Data Source'!AA768&gt;=1,"D","F")))))),"")</f>
        <v/>
      </c>
      <c r="J768" s="3">
        <f>IF(AND('Data Source'!B768&lt;&gt;"",'Data Source'!S768="F"),IF('Data Source'!AB768&gt;=5,"A+",IF('Data Source'!AB768&gt;=4,"A",IF('Data Source'!AB768&gt;=3.5,"A-",IF('Data Source'!AB768&gt;=3,"B",IF('Data Source'!AB768&gt;=2,"C",IF('Data Source'!AB768&gt;=1,"D","F")))))),"")</f>
        <v/>
      </c>
      <c r="K768" s="3">
        <f>IF(AND('Data Source'!B768&lt;&gt;"",'Data Source'!S768="F"),IF('Data Source'!AC768&gt;=5,"A+",IF('Data Source'!AC768&gt;=4,"A",IF('Data Source'!AC768&gt;=3.5,"A-",IF('Data Source'!AC768&gt;=3,"B",IF('Data Source'!AC768&gt;=2,"C",IF('Data Source'!AC768&gt;=1,"D","F")))))),"")</f>
        <v/>
      </c>
      <c r="L768" s="3">
        <f>IF(AND('Data Source'!B768&lt;&gt;"",'Data Source'!S768="F"),IF('Data Source'!AD768&gt;=5,"A+",IF('Data Source'!AD768&gt;=4,"A",IF('Data Source'!AD768&gt;=3.5,"A-",IF('Data Source'!AD768&gt;=3,"B",IF('Data Source'!AD768&gt;=2,"C",IF('Data Source'!AD768&gt;=1,"D","F")))))),"")</f>
        <v/>
      </c>
      <c r="M768" s="3">
        <f>IF(AND('Data Source'!B768&lt;&gt;"",'Data Source'!S768="F"),IF('Data Source'!AE768&gt;=5,"A+",IF('Data Source'!AE768&gt;=4,"A",IF('Data Source'!AE768&gt;=3.5,"A-",IF('Data Source'!AE768&gt;=3,"B",IF('Data Source'!AE768&gt;=2,"C",IF('Data Source'!AE768&gt;=1,"D","F")))))),"")</f>
        <v/>
      </c>
      <c r="N768" s="3">
        <f>IF(AND('Data Source'!B768&lt;&gt;"",'Data Source'!S768="F"),IF('Data Source'!AF768&gt;=5,"A+",IF('Data Source'!AF768&gt;=4,"A",IF('Data Source'!AF768&gt;=3.5,"A-",IF('Data Source'!AF768&gt;=3,"B",IF('Data Source'!AF768&gt;=2,"C",IF('Data Source'!AF768&gt;=1,"D","F")))))),"")</f>
        <v/>
      </c>
      <c r="O768" s="3">
        <f>IF(AND('Data Source'!B768&lt;&gt;"",'Data Source'!S768="F"),IF('Data Source'!AG768&gt;=5,"A+",IF('Data Source'!AG768&gt;=4,"A",IF('Data Source'!AG768&gt;=3.5,"A-",IF('Data Source'!AG768&gt;=3,"B",IF('Data Source'!AG768&gt;=2,"C",IF('Data Source'!AG768&gt;=1,"D","F")))))),"")</f>
        <v/>
      </c>
      <c r="P768" s="5">
        <f>IF(AND('Data Source'!B768&lt;&gt;"",'Data Source'!S768="F"),'Data Source'!R768,"")</f>
        <v/>
      </c>
      <c r="Q768" s="3">
        <f>IF(AND('Data Source'!B768&lt;&gt;"",'Data Source'!S768="F"),'Data Source'!S768,"")</f>
        <v/>
      </c>
    </row>
    <row r="769">
      <c r="A769" s="3">
        <f>IF(AND('Data Source'!B769&lt;&gt;"",'Data Source'!S769="F"),COUNTIF('Data Source'!$S$3:S769,"F"),"")</f>
        <v/>
      </c>
      <c r="B769">
        <f>IF(AND('Data Source'!B769&lt;&gt;"",'Data Source'!S769="F"),'Data Source'!B769,"")</f>
        <v/>
      </c>
      <c r="C769" s="3">
        <f>IF(AND('Data Source'!B769&lt;&gt;"",'Data Source'!S769="F"),IF('Data Source'!U769&gt;=5,"A+",IF('Data Source'!U769&gt;=4,"A",IF('Data Source'!U769&gt;=3.5,"A-",IF('Data Source'!U769&gt;=3,"B",IF('Data Source'!U769&gt;=2,"C",IF('Data Source'!U769&gt;=1,"D","F")))))),"")</f>
        <v/>
      </c>
      <c r="D769" s="3">
        <f>IF(AND('Data Source'!B769&lt;&gt;"",'Data Source'!S769="F"),IF('Data Source'!V769&gt;=5,"A+",IF('Data Source'!V769&gt;=4,"A",IF('Data Source'!V769&gt;=3.5,"A-",IF('Data Source'!V769&gt;=3,"B",IF('Data Source'!V769&gt;=2,"C",IF('Data Source'!V769&gt;=1,"D","F")))))),"")</f>
        <v/>
      </c>
      <c r="E769" s="3">
        <f>IF(AND('Data Source'!B769&lt;&gt;"",'Data Source'!S769="F"),IF('Data Source'!W769&gt;=5,"A+",IF('Data Source'!W769&gt;=4,"A",IF('Data Source'!W769&gt;=3.5,"A-",IF('Data Source'!W769&gt;=3,"B",IF('Data Source'!W769&gt;=2,"C",IF('Data Source'!W769&gt;=1,"D","F")))))),"")</f>
        <v/>
      </c>
      <c r="F769" s="3">
        <f>IF(AND('Data Source'!B769&lt;&gt;"",'Data Source'!S769="F"),IF('Data Source'!X769&gt;=5,"A+",IF('Data Source'!X769&gt;=4,"A",IF('Data Source'!X769&gt;=3.5,"A-",IF('Data Source'!X769&gt;=3,"B",IF('Data Source'!X769&gt;=2,"C",IF('Data Source'!X769&gt;=1,"D","F")))))),"")</f>
        <v/>
      </c>
      <c r="G769" s="3">
        <f>IF(AND('Data Source'!B769&lt;&gt;"",'Data Source'!S769="F"),IF('Data Source'!Y769&gt;=5,"A+",IF('Data Source'!Y769&gt;=4,"A",IF('Data Source'!Y769&gt;=3.5,"A-",IF('Data Source'!Y769&gt;=3,"B",IF('Data Source'!Y769&gt;=2,"C",IF('Data Source'!Y769&gt;=1,"D","F")))))),"")</f>
        <v/>
      </c>
      <c r="H769" s="3">
        <f>IF(AND('Data Source'!B769&lt;&gt;"",'Data Source'!S769="F"),IF('Data Source'!Z769&gt;=5,"A+",IF('Data Source'!Z769&gt;=4,"A",IF('Data Source'!Z769&gt;=3.5,"A-",IF('Data Source'!Z769&gt;=3,"B",IF('Data Source'!Z769&gt;=2,"C",IF('Data Source'!Z769&gt;=1,"D","F")))))),"")</f>
        <v/>
      </c>
      <c r="I769" s="3">
        <f>IF(AND('Data Source'!B769&lt;&gt;"",'Data Source'!S769="F"),IF('Data Source'!AA769&gt;=5,"A+",IF('Data Source'!AA769&gt;=4,"A",IF('Data Source'!AA769&gt;=3.5,"A-",IF('Data Source'!AA769&gt;=3,"B",IF('Data Source'!AA769&gt;=2,"C",IF('Data Source'!AA769&gt;=1,"D","F")))))),"")</f>
        <v/>
      </c>
      <c r="J769" s="3">
        <f>IF(AND('Data Source'!B769&lt;&gt;"",'Data Source'!S769="F"),IF('Data Source'!AB769&gt;=5,"A+",IF('Data Source'!AB769&gt;=4,"A",IF('Data Source'!AB769&gt;=3.5,"A-",IF('Data Source'!AB769&gt;=3,"B",IF('Data Source'!AB769&gt;=2,"C",IF('Data Source'!AB769&gt;=1,"D","F")))))),"")</f>
        <v/>
      </c>
      <c r="K769" s="3">
        <f>IF(AND('Data Source'!B769&lt;&gt;"",'Data Source'!S769="F"),IF('Data Source'!AC769&gt;=5,"A+",IF('Data Source'!AC769&gt;=4,"A",IF('Data Source'!AC769&gt;=3.5,"A-",IF('Data Source'!AC769&gt;=3,"B",IF('Data Source'!AC769&gt;=2,"C",IF('Data Source'!AC769&gt;=1,"D","F")))))),"")</f>
        <v/>
      </c>
      <c r="L769" s="3">
        <f>IF(AND('Data Source'!B769&lt;&gt;"",'Data Source'!S769="F"),IF('Data Source'!AD769&gt;=5,"A+",IF('Data Source'!AD769&gt;=4,"A",IF('Data Source'!AD769&gt;=3.5,"A-",IF('Data Source'!AD769&gt;=3,"B",IF('Data Source'!AD769&gt;=2,"C",IF('Data Source'!AD769&gt;=1,"D","F")))))),"")</f>
        <v/>
      </c>
      <c r="M769" s="3">
        <f>IF(AND('Data Source'!B769&lt;&gt;"",'Data Source'!S769="F"),IF('Data Source'!AE769&gt;=5,"A+",IF('Data Source'!AE769&gt;=4,"A",IF('Data Source'!AE769&gt;=3.5,"A-",IF('Data Source'!AE769&gt;=3,"B",IF('Data Source'!AE769&gt;=2,"C",IF('Data Source'!AE769&gt;=1,"D","F")))))),"")</f>
        <v/>
      </c>
      <c r="N769" s="3">
        <f>IF(AND('Data Source'!B769&lt;&gt;"",'Data Source'!S769="F"),IF('Data Source'!AF769&gt;=5,"A+",IF('Data Source'!AF769&gt;=4,"A",IF('Data Source'!AF769&gt;=3.5,"A-",IF('Data Source'!AF769&gt;=3,"B",IF('Data Source'!AF769&gt;=2,"C",IF('Data Source'!AF769&gt;=1,"D","F")))))),"")</f>
        <v/>
      </c>
      <c r="O769" s="3">
        <f>IF(AND('Data Source'!B769&lt;&gt;"",'Data Source'!S769="F"),IF('Data Source'!AG769&gt;=5,"A+",IF('Data Source'!AG769&gt;=4,"A",IF('Data Source'!AG769&gt;=3.5,"A-",IF('Data Source'!AG769&gt;=3,"B",IF('Data Source'!AG769&gt;=2,"C",IF('Data Source'!AG769&gt;=1,"D","F")))))),"")</f>
        <v/>
      </c>
      <c r="P769" s="5">
        <f>IF(AND('Data Source'!B769&lt;&gt;"",'Data Source'!S769="F"),'Data Source'!R769,"")</f>
        <v/>
      </c>
      <c r="Q769" s="3">
        <f>IF(AND('Data Source'!B769&lt;&gt;"",'Data Source'!S769="F"),'Data Source'!S769,"")</f>
        <v/>
      </c>
    </row>
    <row r="770">
      <c r="A770" s="3">
        <f>IF(AND('Data Source'!B770&lt;&gt;"",'Data Source'!S770="F"),COUNTIF('Data Source'!$S$3:S770,"F"),"")</f>
        <v/>
      </c>
      <c r="B770">
        <f>IF(AND('Data Source'!B770&lt;&gt;"",'Data Source'!S770="F"),'Data Source'!B770,"")</f>
        <v/>
      </c>
      <c r="C770" s="3">
        <f>IF(AND('Data Source'!B770&lt;&gt;"",'Data Source'!S770="F"),IF('Data Source'!U770&gt;=5,"A+",IF('Data Source'!U770&gt;=4,"A",IF('Data Source'!U770&gt;=3.5,"A-",IF('Data Source'!U770&gt;=3,"B",IF('Data Source'!U770&gt;=2,"C",IF('Data Source'!U770&gt;=1,"D","F")))))),"")</f>
        <v/>
      </c>
      <c r="D770" s="3">
        <f>IF(AND('Data Source'!B770&lt;&gt;"",'Data Source'!S770="F"),IF('Data Source'!V770&gt;=5,"A+",IF('Data Source'!V770&gt;=4,"A",IF('Data Source'!V770&gt;=3.5,"A-",IF('Data Source'!V770&gt;=3,"B",IF('Data Source'!V770&gt;=2,"C",IF('Data Source'!V770&gt;=1,"D","F")))))),"")</f>
        <v/>
      </c>
      <c r="E770" s="3">
        <f>IF(AND('Data Source'!B770&lt;&gt;"",'Data Source'!S770="F"),IF('Data Source'!W770&gt;=5,"A+",IF('Data Source'!W770&gt;=4,"A",IF('Data Source'!W770&gt;=3.5,"A-",IF('Data Source'!W770&gt;=3,"B",IF('Data Source'!W770&gt;=2,"C",IF('Data Source'!W770&gt;=1,"D","F")))))),"")</f>
        <v/>
      </c>
      <c r="F770" s="3">
        <f>IF(AND('Data Source'!B770&lt;&gt;"",'Data Source'!S770="F"),IF('Data Source'!X770&gt;=5,"A+",IF('Data Source'!X770&gt;=4,"A",IF('Data Source'!X770&gt;=3.5,"A-",IF('Data Source'!X770&gt;=3,"B",IF('Data Source'!X770&gt;=2,"C",IF('Data Source'!X770&gt;=1,"D","F")))))),"")</f>
        <v/>
      </c>
      <c r="G770" s="3">
        <f>IF(AND('Data Source'!B770&lt;&gt;"",'Data Source'!S770="F"),IF('Data Source'!Y770&gt;=5,"A+",IF('Data Source'!Y770&gt;=4,"A",IF('Data Source'!Y770&gt;=3.5,"A-",IF('Data Source'!Y770&gt;=3,"B",IF('Data Source'!Y770&gt;=2,"C",IF('Data Source'!Y770&gt;=1,"D","F")))))),"")</f>
        <v/>
      </c>
      <c r="H770" s="3">
        <f>IF(AND('Data Source'!B770&lt;&gt;"",'Data Source'!S770="F"),IF('Data Source'!Z770&gt;=5,"A+",IF('Data Source'!Z770&gt;=4,"A",IF('Data Source'!Z770&gt;=3.5,"A-",IF('Data Source'!Z770&gt;=3,"B",IF('Data Source'!Z770&gt;=2,"C",IF('Data Source'!Z770&gt;=1,"D","F")))))),"")</f>
        <v/>
      </c>
      <c r="I770" s="3">
        <f>IF(AND('Data Source'!B770&lt;&gt;"",'Data Source'!S770="F"),IF('Data Source'!AA770&gt;=5,"A+",IF('Data Source'!AA770&gt;=4,"A",IF('Data Source'!AA770&gt;=3.5,"A-",IF('Data Source'!AA770&gt;=3,"B",IF('Data Source'!AA770&gt;=2,"C",IF('Data Source'!AA770&gt;=1,"D","F")))))),"")</f>
        <v/>
      </c>
      <c r="J770" s="3">
        <f>IF(AND('Data Source'!B770&lt;&gt;"",'Data Source'!S770="F"),IF('Data Source'!AB770&gt;=5,"A+",IF('Data Source'!AB770&gt;=4,"A",IF('Data Source'!AB770&gt;=3.5,"A-",IF('Data Source'!AB770&gt;=3,"B",IF('Data Source'!AB770&gt;=2,"C",IF('Data Source'!AB770&gt;=1,"D","F")))))),"")</f>
        <v/>
      </c>
      <c r="K770" s="3">
        <f>IF(AND('Data Source'!B770&lt;&gt;"",'Data Source'!S770="F"),IF('Data Source'!AC770&gt;=5,"A+",IF('Data Source'!AC770&gt;=4,"A",IF('Data Source'!AC770&gt;=3.5,"A-",IF('Data Source'!AC770&gt;=3,"B",IF('Data Source'!AC770&gt;=2,"C",IF('Data Source'!AC770&gt;=1,"D","F")))))),"")</f>
        <v/>
      </c>
      <c r="L770" s="3">
        <f>IF(AND('Data Source'!B770&lt;&gt;"",'Data Source'!S770="F"),IF('Data Source'!AD770&gt;=5,"A+",IF('Data Source'!AD770&gt;=4,"A",IF('Data Source'!AD770&gt;=3.5,"A-",IF('Data Source'!AD770&gt;=3,"B",IF('Data Source'!AD770&gt;=2,"C",IF('Data Source'!AD770&gt;=1,"D","F")))))),"")</f>
        <v/>
      </c>
      <c r="M770" s="3">
        <f>IF(AND('Data Source'!B770&lt;&gt;"",'Data Source'!S770="F"),IF('Data Source'!AE770&gt;=5,"A+",IF('Data Source'!AE770&gt;=4,"A",IF('Data Source'!AE770&gt;=3.5,"A-",IF('Data Source'!AE770&gt;=3,"B",IF('Data Source'!AE770&gt;=2,"C",IF('Data Source'!AE770&gt;=1,"D","F")))))),"")</f>
        <v/>
      </c>
      <c r="N770" s="3">
        <f>IF(AND('Data Source'!B770&lt;&gt;"",'Data Source'!S770="F"),IF('Data Source'!AF770&gt;=5,"A+",IF('Data Source'!AF770&gt;=4,"A",IF('Data Source'!AF770&gt;=3.5,"A-",IF('Data Source'!AF770&gt;=3,"B",IF('Data Source'!AF770&gt;=2,"C",IF('Data Source'!AF770&gt;=1,"D","F")))))),"")</f>
        <v/>
      </c>
      <c r="O770" s="3">
        <f>IF(AND('Data Source'!B770&lt;&gt;"",'Data Source'!S770="F"),IF('Data Source'!AG770&gt;=5,"A+",IF('Data Source'!AG770&gt;=4,"A",IF('Data Source'!AG770&gt;=3.5,"A-",IF('Data Source'!AG770&gt;=3,"B",IF('Data Source'!AG770&gt;=2,"C",IF('Data Source'!AG770&gt;=1,"D","F")))))),"")</f>
        <v/>
      </c>
      <c r="P770" s="5">
        <f>IF(AND('Data Source'!B770&lt;&gt;"",'Data Source'!S770="F"),'Data Source'!R770,"")</f>
        <v/>
      </c>
      <c r="Q770" s="3">
        <f>IF(AND('Data Source'!B770&lt;&gt;"",'Data Source'!S770="F"),'Data Source'!S770,"")</f>
        <v/>
      </c>
    </row>
    <row r="771">
      <c r="A771" s="3">
        <f>IF(AND('Data Source'!B771&lt;&gt;"",'Data Source'!S771="F"),COUNTIF('Data Source'!$S$3:S771,"F"),"")</f>
        <v/>
      </c>
      <c r="B771">
        <f>IF(AND('Data Source'!B771&lt;&gt;"",'Data Source'!S771="F"),'Data Source'!B771,"")</f>
        <v/>
      </c>
      <c r="C771" s="3">
        <f>IF(AND('Data Source'!B771&lt;&gt;"",'Data Source'!S771="F"),IF('Data Source'!U771&gt;=5,"A+",IF('Data Source'!U771&gt;=4,"A",IF('Data Source'!U771&gt;=3.5,"A-",IF('Data Source'!U771&gt;=3,"B",IF('Data Source'!U771&gt;=2,"C",IF('Data Source'!U771&gt;=1,"D","F")))))),"")</f>
        <v/>
      </c>
      <c r="D771" s="3">
        <f>IF(AND('Data Source'!B771&lt;&gt;"",'Data Source'!S771="F"),IF('Data Source'!V771&gt;=5,"A+",IF('Data Source'!V771&gt;=4,"A",IF('Data Source'!V771&gt;=3.5,"A-",IF('Data Source'!V771&gt;=3,"B",IF('Data Source'!V771&gt;=2,"C",IF('Data Source'!V771&gt;=1,"D","F")))))),"")</f>
        <v/>
      </c>
      <c r="E771" s="3">
        <f>IF(AND('Data Source'!B771&lt;&gt;"",'Data Source'!S771="F"),IF('Data Source'!W771&gt;=5,"A+",IF('Data Source'!W771&gt;=4,"A",IF('Data Source'!W771&gt;=3.5,"A-",IF('Data Source'!W771&gt;=3,"B",IF('Data Source'!W771&gt;=2,"C",IF('Data Source'!W771&gt;=1,"D","F")))))),"")</f>
        <v/>
      </c>
      <c r="F771" s="3">
        <f>IF(AND('Data Source'!B771&lt;&gt;"",'Data Source'!S771="F"),IF('Data Source'!X771&gt;=5,"A+",IF('Data Source'!X771&gt;=4,"A",IF('Data Source'!X771&gt;=3.5,"A-",IF('Data Source'!X771&gt;=3,"B",IF('Data Source'!X771&gt;=2,"C",IF('Data Source'!X771&gt;=1,"D","F")))))),"")</f>
        <v/>
      </c>
      <c r="G771" s="3">
        <f>IF(AND('Data Source'!B771&lt;&gt;"",'Data Source'!S771="F"),IF('Data Source'!Y771&gt;=5,"A+",IF('Data Source'!Y771&gt;=4,"A",IF('Data Source'!Y771&gt;=3.5,"A-",IF('Data Source'!Y771&gt;=3,"B",IF('Data Source'!Y771&gt;=2,"C",IF('Data Source'!Y771&gt;=1,"D","F")))))),"")</f>
        <v/>
      </c>
      <c r="H771" s="3">
        <f>IF(AND('Data Source'!B771&lt;&gt;"",'Data Source'!S771="F"),IF('Data Source'!Z771&gt;=5,"A+",IF('Data Source'!Z771&gt;=4,"A",IF('Data Source'!Z771&gt;=3.5,"A-",IF('Data Source'!Z771&gt;=3,"B",IF('Data Source'!Z771&gt;=2,"C",IF('Data Source'!Z771&gt;=1,"D","F")))))),"")</f>
        <v/>
      </c>
      <c r="I771" s="3">
        <f>IF(AND('Data Source'!B771&lt;&gt;"",'Data Source'!S771="F"),IF('Data Source'!AA771&gt;=5,"A+",IF('Data Source'!AA771&gt;=4,"A",IF('Data Source'!AA771&gt;=3.5,"A-",IF('Data Source'!AA771&gt;=3,"B",IF('Data Source'!AA771&gt;=2,"C",IF('Data Source'!AA771&gt;=1,"D","F")))))),"")</f>
        <v/>
      </c>
      <c r="J771" s="3">
        <f>IF(AND('Data Source'!B771&lt;&gt;"",'Data Source'!S771="F"),IF('Data Source'!AB771&gt;=5,"A+",IF('Data Source'!AB771&gt;=4,"A",IF('Data Source'!AB771&gt;=3.5,"A-",IF('Data Source'!AB771&gt;=3,"B",IF('Data Source'!AB771&gt;=2,"C",IF('Data Source'!AB771&gt;=1,"D","F")))))),"")</f>
        <v/>
      </c>
      <c r="K771" s="3">
        <f>IF(AND('Data Source'!B771&lt;&gt;"",'Data Source'!S771="F"),IF('Data Source'!AC771&gt;=5,"A+",IF('Data Source'!AC771&gt;=4,"A",IF('Data Source'!AC771&gt;=3.5,"A-",IF('Data Source'!AC771&gt;=3,"B",IF('Data Source'!AC771&gt;=2,"C",IF('Data Source'!AC771&gt;=1,"D","F")))))),"")</f>
        <v/>
      </c>
      <c r="L771" s="3">
        <f>IF(AND('Data Source'!B771&lt;&gt;"",'Data Source'!S771="F"),IF('Data Source'!AD771&gt;=5,"A+",IF('Data Source'!AD771&gt;=4,"A",IF('Data Source'!AD771&gt;=3.5,"A-",IF('Data Source'!AD771&gt;=3,"B",IF('Data Source'!AD771&gt;=2,"C",IF('Data Source'!AD771&gt;=1,"D","F")))))),"")</f>
        <v/>
      </c>
      <c r="M771" s="3">
        <f>IF(AND('Data Source'!B771&lt;&gt;"",'Data Source'!S771="F"),IF('Data Source'!AE771&gt;=5,"A+",IF('Data Source'!AE771&gt;=4,"A",IF('Data Source'!AE771&gt;=3.5,"A-",IF('Data Source'!AE771&gt;=3,"B",IF('Data Source'!AE771&gt;=2,"C",IF('Data Source'!AE771&gt;=1,"D","F")))))),"")</f>
        <v/>
      </c>
      <c r="N771" s="3">
        <f>IF(AND('Data Source'!B771&lt;&gt;"",'Data Source'!S771="F"),IF('Data Source'!AF771&gt;=5,"A+",IF('Data Source'!AF771&gt;=4,"A",IF('Data Source'!AF771&gt;=3.5,"A-",IF('Data Source'!AF771&gt;=3,"B",IF('Data Source'!AF771&gt;=2,"C",IF('Data Source'!AF771&gt;=1,"D","F")))))),"")</f>
        <v/>
      </c>
      <c r="O771" s="3">
        <f>IF(AND('Data Source'!B771&lt;&gt;"",'Data Source'!S771="F"),IF('Data Source'!AG771&gt;=5,"A+",IF('Data Source'!AG771&gt;=4,"A",IF('Data Source'!AG771&gt;=3.5,"A-",IF('Data Source'!AG771&gt;=3,"B",IF('Data Source'!AG771&gt;=2,"C",IF('Data Source'!AG771&gt;=1,"D","F")))))),"")</f>
        <v/>
      </c>
      <c r="P771" s="5">
        <f>IF(AND('Data Source'!B771&lt;&gt;"",'Data Source'!S771="F"),'Data Source'!R771,"")</f>
        <v/>
      </c>
      <c r="Q771" s="3">
        <f>IF(AND('Data Source'!B771&lt;&gt;"",'Data Source'!S771="F"),'Data Source'!S771,"")</f>
        <v/>
      </c>
    </row>
    <row r="772">
      <c r="A772" s="3">
        <f>IF(AND('Data Source'!B772&lt;&gt;"",'Data Source'!S772="F"),COUNTIF('Data Source'!$S$3:S772,"F"),"")</f>
        <v/>
      </c>
      <c r="B772">
        <f>IF(AND('Data Source'!B772&lt;&gt;"",'Data Source'!S772="F"),'Data Source'!B772,"")</f>
        <v/>
      </c>
      <c r="C772" s="3">
        <f>IF(AND('Data Source'!B772&lt;&gt;"",'Data Source'!S772="F"),IF('Data Source'!U772&gt;=5,"A+",IF('Data Source'!U772&gt;=4,"A",IF('Data Source'!U772&gt;=3.5,"A-",IF('Data Source'!U772&gt;=3,"B",IF('Data Source'!U772&gt;=2,"C",IF('Data Source'!U772&gt;=1,"D","F")))))),"")</f>
        <v/>
      </c>
      <c r="D772" s="3">
        <f>IF(AND('Data Source'!B772&lt;&gt;"",'Data Source'!S772="F"),IF('Data Source'!V772&gt;=5,"A+",IF('Data Source'!V772&gt;=4,"A",IF('Data Source'!V772&gt;=3.5,"A-",IF('Data Source'!V772&gt;=3,"B",IF('Data Source'!V772&gt;=2,"C",IF('Data Source'!V772&gt;=1,"D","F")))))),"")</f>
        <v/>
      </c>
      <c r="E772" s="3">
        <f>IF(AND('Data Source'!B772&lt;&gt;"",'Data Source'!S772="F"),IF('Data Source'!W772&gt;=5,"A+",IF('Data Source'!W772&gt;=4,"A",IF('Data Source'!W772&gt;=3.5,"A-",IF('Data Source'!W772&gt;=3,"B",IF('Data Source'!W772&gt;=2,"C",IF('Data Source'!W772&gt;=1,"D","F")))))),"")</f>
        <v/>
      </c>
      <c r="F772" s="3">
        <f>IF(AND('Data Source'!B772&lt;&gt;"",'Data Source'!S772="F"),IF('Data Source'!X772&gt;=5,"A+",IF('Data Source'!X772&gt;=4,"A",IF('Data Source'!X772&gt;=3.5,"A-",IF('Data Source'!X772&gt;=3,"B",IF('Data Source'!X772&gt;=2,"C",IF('Data Source'!X772&gt;=1,"D","F")))))),"")</f>
        <v/>
      </c>
      <c r="G772" s="3">
        <f>IF(AND('Data Source'!B772&lt;&gt;"",'Data Source'!S772="F"),IF('Data Source'!Y772&gt;=5,"A+",IF('Data Source'!Y772&gt;=4,"A",IF('Data Source'!Y772&gt;=3.5,"A-",IF('Data Source'!Y772&gt;=3,"B",IF('Data Source'!Y772&gt;=2,"C",IF('Data Source'!Y772&gt;=1,"D","F")))))),"")</f>
        <v/>
      </c>
      <c r="H772" s="3">
        <f>IF(AND('Data Source'!B772&lt;&gt;"",'Data Source'!S772="F"),IF('Data Source'!Z772&gt;=5,"A+",IF('Data Source'!Z772&gt;=4,"A",IF('Data Source'!Z772&gt;=3.5,"A-",IF('Data Source'!Z772&gt;=3,"B",IF('Data Source'!Z772&gt;=2,"C",IF('Data Source'!Z772&gt;=1,"D","F")))))),"")</f>
        <v/>
      </c>
      <c r="I772" s="3">
        <f>IF(AND('Data Source'!B772&lt;&gt;"",'Data Source'!S772="F"),IF('Data Source'!AA772&gt;=5,"A+",IF('Data Source'!AA772&gt;=4,"A",IF('Data Source'!AA772&gt;=3.5,"A-",IF('Data Source'!AA772&gt;=3,"B",IF('Data Source'!AA772&gt;=2,"C",IF('Data Source'!AA772&gt;=1,"D","F")))))),"")</f>
        <v/>
      </c>
      <c r="J772" s="3">
        <f>IF(AND('Data Source'!B772&lt;&gt;"",'Data Source'!S772="F"),IF('Data Source'!AB772&gt;=5,"A+",IF('Data Source'!AB772&gt;=4,"A",IF('Data Source'!AB772&gt;=3.5,"A-",IF('Data Source'!AB772&gt;=3,"B",IF('Data Source'!AB772&gt;=2,"C",IF('Data Source'!AB772&gt;=1,"D","F")))))),"")</f>
        <v/>
      </c>
      <c r="K772" s="3">
        <f>IF(AND('Data Source'!B772&lt;&gt;"",'Data Source'!S772="F"),IF('Data Source'!AC772&gt;=5,"A+",IF('Data Source'!AC772&gt;=4,"A",IF('Data Source'!AC772&gt;=3.5,"A-",IF('Data Source'!AC772&gt;=3,"B",IF('Data Source'!AC772&gt;=2,"C",IF('Data Source'!AC772&gt;=1,"D","F")))))),"")</f>
        <v/>
      </c>
      <c r="L772" s="3">
        <f>IF(AND('Data Source'!B772&lt;&gt;"",'Data Source'!S772="F"),IF('Data Source'!AD772&gt;=5,"A+",IF('Data Source'!AD772&gt;=4,"A",IF('Data Source'!AD772&gt;=3.5,"A-",IF('Data Source'!AD772&gt;=3,"B",IF('Data Source'!AD772&gt;=2,"C",IF('Data Source'!AD772&gt;=1,"D","F")))))),"")</f>
        <v/>
      </c>
      <c r="M772" s="3">
        <f>IF(AND('Data Source'!B772&lt;&gt;"",'Data Source'!S772="F"),IF('Data Source'!AE772&gt;=5,"A+",IF('Data Source'!AE772&gt;=4,"A",IF('Data Source'!AE772&gt;=3.5,"A-",IF('Data Source'!AE772&gt;=3,"B",IF('Data Source'!AE772&gt;=2,"C",IF('Data Source'!AE772&gt;=1,"D","F")))))),"")</f>
        <v/>
      </c>
      <c r="N772" s="3">
        <f>IF(AND('Data Source'!B772&lt;&gt;"",'Data Source'!S772="F"),IF('Data Source'!AF772&gt;=5,"A+",IF('Data Source'!AF772&gt;=4,"A",IF('Data Source'!AF772&gt;=3.5,"A-",IF('Data Source'!AF772&gt;=3,"B",IF('Data Source'!AF772&gt;=2,"C",IF('Data Source'!AF772&gt;=1,"D","F")))))),"")</f>
        <v/>
      </c>
      <c r="O772" s="3">
        <f>IF(AND('Data Source'!B772&lt;&gt;"",'Data Source'!S772="F"),IF('Data Source'!AG772&gt;=5,"A+",IF('Data Source'!AG772&gt;=4,"A",IF('Data Source'!AG772&gt;=3.5,"A-",IF('Data Source'!AG772&gt;=3,"B",IF('Data Source'!AG772&gt;=2,"C",IF('Data Source'!AG772&gt;=1,"D","F")))))),"")</f>
        <v/>
      </c>
      <c r="P772" s="5">
        <f>IF(AND('Data Source'!B772&lt;&gt;"",'Data Source'!S772="F"),'Data Source'!R772,"")</f>
        <v/>
      </c>
      <c r="Q772" s="3">
        <f>IF(AND('Data Source'!B772&lt;&gt;"",'Data Source'!S772="F"),'Data Source'!S772,"")</f>
        <v/>
      </c>
    </row>
    <row r="773">
      <c r="A773" s="3">
        <f>IF(AND('Data Source'!B773&lt;&gt;"",'Data Source'!S773="F"),COUNTIF('Data Source'!$S$3:S773,"F"),"")</f>
        <v/>
      </c>
      <c r="B773">
        <f>IF(AND('Data Source'!B773&lt;&gt;"",'Data Source'!S773="F"),'Data Source'!B773,"")</f>
        <v/>
      </c>
      <c r="C773" s="3">
        <f>IF(AND('Data Source'!B773&lt;&gt;"",'Data Source'!S773="F"),IF('Data Source'!U773&gt;=5,"A+",IF('Data Source'!U773&gt;=4,"A",IF('Data Source'!U773&gt;=3.5,"A-",IF('Data Source'!U773&gt;=3,"B",IF('Data Source'!U773&gt;=2,"C",IF('Data Source'!U773&gt;=1,"D","F")))))),"")</f>
        <v/>
      </c>
      <c r="D773" s="3">
        <f>IF(AND('Data Source'!B773&lt;&gt;"",'Data Source'!S773="F"),IF('Data Source'!V773&gt;=5,"A+",IF('Data Source'!V773&gt;=4,"A",IF('Data Source'!V773&gt;=3.5,"A-",IF('Data Source'!V773&gt;=3,"B",IF('Data Source'!V773&gt;=2,"C",IF('Data Source'!V773&gt;=1,"D","F")))))),"")</f>
        <v/>
      </c>
      <c r="E773" s="3">
        <f>IF(AND('Data Source'!B773&lt;&gt;"",'Data Source'!S773="F"),IF('Data Source'!W773&gt;=5,"A+",IF('Data Source'!W773&gt;=4,"A",IF('Data Source'!W773&gt;=3.5,"A-",IF('Data Source'!W773&gt;=3,"B",IF('Data Source'!W773&gt;=2,"C",IF('Data Source'!W773&gt;=1,"D","F")))))),"")</f>
        <v/>
      </c>
      <c r="F773" s="3">
        <f>IF(AND('Data Source'!B773&lt;&gt;"",'Data Source'!S773="F"),IF('Data Source'!X773&gt;=5,"A+",IF('Data Source'!X773&gt;=4,"A",IF('Data Source'!X773&gt;=3.5,"A-",IF('Data Source'!X773&gt;=3,"B",IF('Data Source'!X773&gt;=2,"C",IF('Data Source'!X773&gt;=1,"D","F")))))),"")</f>
        <v/>
      </c>
      <c r="G773" s="3">
        <f>IF(AND('Data Source'!B773&lt;&gt;"",'Data Source'!S773="F"),IF('Data Source'!Y773&gt;=5,"A+",IF('Data Source'!Y773&gt;=4,"A",IF('Data Source'!Y773&gt;=3.5,"A-",IF('Data Source'!Y773&gt;=3,"B",IF('Data Source'!Y773&gt;=2,"C",IF('Data Source'!Y773&gt;=1,"D","F")))))),"")</f>
        <v/>
      </c>
      <c r="H773" s="3">
        <f>IF(AND('Data Source'!B773&lt;&gt;"",'Data Source'!S773="F"),IF('Data Source'!Z773&gt;=5,"A+",IF('Data Source'!Z773&gt;=4,"A",IF('Data Source'!Z773&gt;=3.5,"A-",IF('Data Source'!Z773&gt;=3,"B",IF('Data Source'!Z773&gt;=2,"C",IF('Data Source'!Z773&gt;=1,"D","F")))))),"")</f>
        <v/>
      </c>
      <c r="I773" s="3">
        <f>IF(AND('Data Source'!B773&lt;&gt;"",'Data Source'!S773="F"),IF('Data Source'!AA773&gt;=5,"A+",IF('Data Source'!AA773&gt;=4,"A",IF('Data Source'!AA773&gt;=3.5,"A-",IF('Data Source'!AA773&gt;=3,"B",IF('Data Source'!AA773&gt;=2,"C",IF('Data Source'!AA773&gt;=1,"D","F")))))),"")</f>
        <v/>
      </c>
      <c r="J773" s="3">
        <f>IF(AND('Data Source'!B773&lt;&gt;"",'Data Source'!S773="F"),IF('Data Source'!AB773&gt;=5,"A+",IF('Data Source'!AB773&gt;=4,"A",IF('Data Source'!AB773&gt;=3.5,"A-",IF('Data Source'!AB773&gt;=3,"B",IF('Data Source'!AB773&gt;=2,"C",IF('Data Source'!AB773&gt;=1,"D","F")))))),"")</f>
        <v/>
      </c>
      <c r="K773" s="3">
        <f>IF(AND('Data Source'!B773&lt;&gt;"",'Data Source'!S773="F"),IF('Data Source'!AC773&gt;=5,"A+",IF('Data Source'!AC773&gt;=4,"A",IF('Data Source'!AC773&gt;=3.5,"A-",IF('Data Source'!AC773&gt;=3,"B",IF('Data Source'!AC773&gt;=2,"C",IF('Data Source'!AC773&gt;=1,"D","F")))))),"")</f>
        <v/>
      </c>
      <c r="L773" s="3">
        <f>IF(AND('Data Source'!B773&lt;&gt;"",'Data Source'!S773="F"),IF('Data Source'!AD773&gt;=5,"A+",IF('Data Source'!AD773&gt;=4,"A",IF('Data Source'!AD773&gt;=3.5,"A-",IF('Data Source'!AD773&gt;=3,"B",IF('Data Source'!AD773&gt;=2,"C",IF('Data Source'!AD773&gt;=1,"D","F")))))),"")</f>
        <v/>
      </c>
      <c r="M773" s="3">
        <f>IF(AND('Data Source'!B773&lt;&gt;"",'Data Source'!S773="F"),IF('Data Source'!AE773&gt;=5,"A+",IF('Data Source'!AE773&gt;=4,"A",IF('Data Source'!AE773&gt;=3.5,"A-",IF('Data Source'!AE773&gt;=3,"B",IF('Data Source'!AE773&gt;=2,"C",IF('Data Source'!AE773&gt;=1,"D","F")))))),"")</f>
        <v/>
      </c>
      <c r="N773" s="3">
        <f>IF(AND('Data Source'!B773&lt;&gt;"",'Data Source'!S773="F"),IF('Data Source'!AF773&gt;=5,"A+",IF('Data Source'!AF773&gt;=4,"A",IF('Data Source'!AF773&gt;=3.5,"A-",IF('Data Source'!AF773&gt;=3,"B",IF('Data Source'!AF773&gt;=2,"C",IF('Data Source'!AF773&gt;=1,"D","F")))))),"")</f>
        <v/>
      </c>
      <c r="O773" s="3">
        <f>IF(AND('Data Source'!B773&lt;&gt;"",'Data Source'!S773="F"),IF('Data Source'!AG773&gt;=5,"A+",IF('Data Source'!AG773&gt;=4,"A",IF('Data Source'!AG773&gt;=3.5,"A-",IF('Data Source'!AG773&gt;=3,"B",IF('Data Source'!AG773&gt;=2,"C",IF('Data Source'!AG773&gt;=1,"D","F")))))),"")</f>
        <v/>
      </c>
      <c r="P773" s="5">
        <f>IF(AND('Data Source'!B773&lt;&gt;"",'Data Source'!S773="F"),'Data Source'!R773,"")</f>
        <v/>
      </c>
      <c r="Q773" s="3">
        <f>IF(AND('Data Source'!B773&lt;&gt;"",'Data Source'!S773="F"),'Data Source'!S773,"")</f>
        <v/>
      </c>
    </row>
    <row r="774">
      <c r="A774" s="3">
        <f>IF(AND('Data Source'!B774&lt;&gt;"",'Data Source'!S774="F"),COUNTIF('Data Source'!$S$3:S774,"F"),"")</f>
        <v/>
      </c>
      <c r="B774">
        <f>IF(AND('Data Source'!B774&lt;&gt;"",'Data Source'!S774="F"),'Data Source'!B774,"")</f>
        <v/>
      </c>
      <c r="C774" s="3">
        <f>IF(AND('Data Source'!B774&lt;&gt;"",'Data Source'!S774="F"),IF('Data Source'!U774&gt;=5,"A+",IF('Data Source'!U774&gt;=4,"A",IF('Data Source'!U774&gt;=3.5,"A-",IF('Data Source'!U774&gt;=3,"B",IF('Data Source'!U774&gt;=2,"C",IF('Data Source'!U774&gt;=1,"D","F")))))),"")</f>
        <v/>
      </c>
      <c r="D774" s="3">
        <f>IF(AND('Data Source'!B774&lt;&gt;"",'Data Source'!S774="F"),IF('Data Source'!V774&gt;=5,"A+",IF('Data Source'!V774&gt;=4,"A",IF('Data Source'!V774&gt;=3.5,"A-",IF('Data Source'!V774&gt;=3,"B",IF('Data Source'!V774&gt;=2,"C",IF('Data Source'!V774&gt;=1,"D","F")))))),"")</f>
        <v/>
      </c>
      <c r="E774" s="3">
        <f>IF(AND('Data Source'!B774&lt;&gt;"",'Data Source'!S774="F"),IF('Data Source'!W774&gt;=5,"A+",IF('Data Source'!W774&gt;=4,"A",IF('Data Source'!W774&gt;=3.5,"A-",IF('Data Source'!W774&gt;=3,"B",IF('Data Source'!W774&gt;=2,"C",IF('Data Source'!W774&gt;=1,"D","F")))))),"")</f>
        <v/>
      </c>
      <c r="F774" s="3">
        <f>IF(AND('Data Source'!B774&lt;&gt;"",'Data Source'!S774="F"),IF('Data Source'!X774&gt;=5,"A+",IF('Data Source'!X774&gt;=4,"A",IF('Data Source'!X774&gt;=3.5,"A-",IF('Data Source'!X774&gt;=3,"B",IF('Data Source'!X774&gt;=2,"C",IF('Data Source'!X774&gt;=1,"D","F")))))),"")</f>
        <v/>
      </c>
      <c r="G774" s="3">
        <f>IF(AND('Data Source'!B774&lt;&gt;"",'Data Source'!S774="F"),IF('Data Source'!Y774&gt;=5,"A+",IF('Data Source'!Y774&gt;=4,"A",IF('Data Source'!Y774&gt;=3.5,"A-",IF('Data Source'!Y774&gt;=3,"B",IF('Data Source'!Y774&gt;=2,"C",IF('Data Source'!Y774&gt;=1,"D","F")))))),"")</f>
        <v/>
      </c>
      <c r="H774" s="3">
        <f>IF(AND('Data Source'!B774&lt;&gt;"",'Data Source'!S774="F"),IF('Data Source'!Z774&gt;=5,"A+",IF('Data Source'!Z774&gt;=4,"A",IF('Data Source'!Z774&gt;=3.5,"A-",IF('Data Source'!Z774&gt;=3,"B",IF('Data Source'!Z774&gt;=2,"C",IF('Data Source'!Z774&gt;=1,"D","F")))))),"")</f>
        <v/>
      </c>
      <c r="I774" s="3">
        <f>IF(AND('Data Source'!B774&lt;&gt;"",'Data Source'!S774="F"),IF('Data Source'!AA774&gt;=5,"A+",IF('Data Source'!AA774&gt;=4,"A",IF('Data Source'!AA774&gt;=3.5,"A-",IF('Data Source'!AA774&gt;=3,"B",IF('Data Source'!AA774&gt;=2,"C",IF('Data Source'!AA774&gt;=1,"D","F")))))),"")</f>
        <v/>
      </c>
      <c r="J774" s="3">
        <f>IF(AND('Data Source'!B774&lt;&gt;"",'Data Source'!S774="F"),IF('Data Source'!AB774&gt;=5,"A+",IF('Data Source'!AB774&gt;=4,"A",IF('Data Source'!AB774&gt;=3.5,"A-",IF('Data Source'!AB774&gt;=3,"B",IF('Data Source'!AB774&gt;=2,"C",IF('Data Source'!AB774&gt;=1,"D","F")))))),"")</f>
        <v/>
      </c>
      <c r="K774" s="3">
        <f>IF(AND('Data Source'!B774&lt;&gt;"",'Data Source'!S774="F"),IF('Data Source'!AC774&gt;=5,"A+",IF('Data Source'!AC774&gt;=4,"A",IF('Data Source'!AC774&gt;=3.5,"A-",IF('Data Source'!AC774&gt;=3,"B",IF('Data Source'!AC774&gt;=2,"C",IF('Data Source'!AC774&gt;=1,"D","F")))))),"")</f>
        <v/>
      </c>
      <c r="L774" s="3">
        <f>IF(AND('Data Source'!B774&lt;&gt;"",'Data Source'!S774="F"),IF('Data Source'!AD774&gt;=5,"A+",IF('Data Source'!AD774&gt;=4,"A",IF('Data Source'!AD774&gt;=3.5,"A-",IF('Data Source'!AD774&gt;=3,"B",IF('Data Source'!AD774&gt;=2,"C",IF('Data Source'!AD774&gt;=1,"D","F")))))),"")</f>
        <v/>
      </c>
      <c r="M774" s="3">
        <f>IF(AND('Data Source'!B774&lt;&gt;"",'Data Source'!S774="F"),IF('Data Source'!AE774&gt;=5,"A+",IF('Data Source'!AE774&gt;=4,"A",IF('Data Source'!AE774&gt;=3.5,"A-",IF('Data Source'!AE774&gt;=3,"B",IF('Data Source'!AE774&gt;=2,"C",IF('Data Source'!AE774&gt;=1,"D","F")))))),"")</f>
        <v/>
      </c>
      <c r="N774" s="3">
        <f>IF(AND('Data Source'!B774&lt;&gt;"",'Data Source'!S774="F"),IF('Data Source'!AF774&gt;=5,"A+",IF('Data Source'!AF774&gt;=4,"A",IF('Data Source'!AF774&gt;=3.5,"A-",IF('Data Source'!AF774&gt;=3,"B",IF('Data Source'!AF774&gt;=2,"C",IF('Data Source'!AF774&gt;=1,"D","F")))))),"")</f>
        <v/>
      </c>
      <c r="O774" s="3">
        <f>IF(AND('Data Source'!B774&lt;&gt;"",'Data Source'!S774="F"),IF('Data Source'!AG774&gt;=5,"A+",IF('Data Source'!AG774&gt;=4,"A",IF('Data Source'!AG774&gt;=3.5,"A-",IF('Data Source'!AG774&gt;=3,"B",IF('Data Source'!AG774&gt;=2,"C",IF('Data Source'!AG774&gt;=1,"D","F")))))),"")</f>
        <v/>
      </c>
      <c r="P774" s="5">
        <f>IF(AND('Data Source'!B774&lt;&gt;"",'Data Source'!S774="F"),'Data Source'!R774,"")</f>
        <v/>
      </c>
      <c r="Q774" s="3">
        <f>IF(AND('Data Source'!B774&lt;&gt;"",'Data Source'!S774="F"),'Data Source'!S774,"")</f>
        <v/>
      </c>
    </row>
    <row r="775">
      <c r="A775" s="3">
        <f>IF(AND('Data Source'!B775&lt;&gt;"",'Data Source'!S775="F"),COUNTIF('Data Source'!$S$3:S775,"F"),"")</f>
        <v/>
      </c>
      <c r="B775">
        <f>IF(AND('Data Source'!B775&lt;&gt;"",'Data Source'!S775="F"),'Data Source'!B775,"")</f>
        <v/>
      </c>
      <c r="C775" s="3">
        <f>IF(AND('Data Source'!B775&lt;&gt;"",'Data Source'!S775="F"),IF('Data Source'!U775&gt;=5,"A+",IF('Data Source'!U775&gt;=4,"A",IF('Data Source'!U775&gt;=3.5,"A-",IF('Data Source'!U775&gt;=3,"B",IF('Data Source'!U775&gt;=2,"C",IF('Data Source'!U775&gt;=1,"D","F")))))),"")</f>
        <v/>
      </c>
      <c r="D775" s="3">
        <f>IF(AND('Data Source'!B775&lt;&gt;"",'Data Source'!S775="F"),IF('Data Source'!V775&gt;=5,"A+",IF('Data Source'!V775&gt;=4,"A",IF('Data Source'!V775&gt;=3.5,"A-",IF('Data Source'!V775&gt;=3,"B",IF('Data Source'!V775&gt;=2,"C",IF('Data Source'!V775&gt;=1,"D","F")))))),"")</f>
        <v/>
      </c>
      <c r="E775" s="3">
        <f>IF(AND('Data Source'!B775&lt;&gt;"",'Data Source'!S775="F"),IF('Data Source'!W775&gt;=5,"A+",IF('Data Source'!W775&gt;=4,"A",IF('Data Source'!W775&gt;=3.5,"A-",IF('Data Source'!W775&gt;=3,"B",IF('Data Source'!W775&gt;=2,"C",IF('Data Source'!W775&gt;=1,"D","F")))))),"")</f>
        <v/>
      </c>
      <c r="F775" s="3">
        <f>IF(AND('Data Source'!B775&lt;&gt;"",'Data Source'!S775="F"),IF('Data Source'!X775&gt;=5,"A+",IF('Data Source'!X775&gt;=4,"A",IF('Data Source'!X775&gt;=3.5,"A-",IF('Data Source'!X775&gt;=3,"B",IF('Data Source'!X775&gt;=2,"C",IF('Data Source'!X775&gt;=1,"D","F")))))),"")</f>
        <v/>
      </c>
      <c r="G775" s="3">
        <f>IF(AND('Data Source'!B775&lt;&gt;"",'Data Source'!S775="F"),IF('Data Source'!Y775&gt;=5,"A+",IF('Data Source'!Y775&gt;=4,"A",IF('Data Source'!Y775&gt;=3.5,"A-",IF('Data Source'!Y775&gt;=3,"B",IF('Data Source'!Y775&gt;=2,"C",IF('Data Source'!Y775&gt;=1,"D","F")))))),"")</f>
        <v/>
      </c>
      <c r="H775" s="3">
        <f>IF(AND('Data Source'!B775&lt;&gt;"",'Data Source'!S775="F"),IF('Data Source'!Z775&gt;=5,"A+",IF('Data Source'!Z775&gt;=4,"A",IF('Data Source'!Z775&gt;=3.5,"A-",IF('Data Source'!Z775&gt;=3,"B",IF('Data Source'!Z775&gt;=2,"C",IF('Data Source'!Z775&gt;=1,"D","F")))))),"")</f>
        <v/>
      </c>
      <c r="I775" s="3">
        <f>IF(AND('Data Source'!B775&lt;&gt;"",'Data Source'!S775="F"),IF('Data Source'!AA775&gt;=5,"A+",IF('Data Source'!AA775&gt;=4,"A",IF('Data Source'!AA775&gt;=3.5,"A-",IF('Data Source'!AA775&gt;=3,"B",IF('Data Source'!AA775&gt;=2,"C",IF('Data Source'!AA775&gt;=1,"D","F")))))),"")</f>
        <v/>
      </c>
      <c r="J775" s="3">
        <f>IF(AND('Data Source'!B775&lt;&gt;"",'Data Source'!S775="F"),IF('Data Source'!AB775&gt;=5,"A+",IF('Data Source'!AB775&gt;=4,"A",IF('Data Source'!AB775&gt;=3.5,"A-",IF('Data Source'!AB775&gt;=3,"B",IF('Data Source'!AB775&gt;=2,"C",IF('Data Source'!AB775&gt;=1,"D","F")))))),"")</f>
        <v/>
      </c>
      <c r="K775" s="3">
        <f>IF(AND('Data Source'!B775&lt;&gt;"",'Data Source'!S775="F"),IF('Data Source'!AC775&gt;=5,"A+",IF('Data Source'!AC775&gt;=4,"A",IF('Data Source'!AC775&gt;=3.5,"A-",IF('Data Source'!AC775&gt;=3,"B",IF('Data Source'!AC775&gt;=2,"C",IF('Data Source'!AC775&gt;=1,"D","F")))))),"")</f>
        <v/>
      </c>
      <c r="L775" s="3">
        <f>IF(AND('Data Source'!B775&lt;&gt;"",'Data Source'!S775="F"),IF('Data Source'!AD775&gt;=5,"A+",IF('Data Source'!AD775&gt;=4,"A",IF('Data Source'!AD775&gt;=3.5,"A-",IF('Data Source'!AD775&gt;=3,"B",IF('Data Source'!AD775&gt;=2,"C",IF('Data Source'!AD775&gt;=1,"D","F")))))),"")</f>
        <v/>
      </c>
      <c r="M775" s="3">
        <f>IF(AND('Data Source'!B775&lt;&gt;"",'Data Source'!S775="F"),IF('Data Source'!AE775&gt;=5,"A+",IF('Data Source'!AE775&gt;=4,"A",IF('Data Source'!AE775&gt;=3.5,"A-",IF('Data Source'!AE775&gt;=3,"B",IF('Data Source'!AE775&gt;=2,"C",IF('Data Source'!AE775&gt;=1,"D","F")))))),"")</f>
        <v/>
      </c>
      <c r="N775" s="3">
        <f>IF(AND('Data Source'!B775&lt;&gt;"",'Data Source'!S775="F"),IF('Data Source'!AF775&gt;=5,"A+",IF('Data Source'!AF775&gt;=4,"A",IF('Data Source'!AF775&gt;=3.5,"A-",IF('Data Source'!AF775&gt;=3,"B",IF('Data Source'!AF775&gt;=2,"C",IF('Data Source'!AF775&gt;=1,"D","F")))))),"")</f>
        <v/>
      </c>
      <c r="O775" s="3">
        <f>IF(AND('Data Source'!B775&lt;&gt;"",'Data Source'!S775="F"),IF('Data Source'!AG775&gt;=5,"A+",IF('Data Source'!AG775&gt;=4,"A",IF('Data Source'!AG775&gt;=3.5,"A-",IF('Data Source'!AG775&gt;=3,"B",IF('Data Source'!AG775&gt;=2,"C",IF('Data Source'!AG775&gt;=1,"D","F")))))),"")</f>
        <v/>
      </c>
      <c r="P775" s="5">
        <f>IF(AND('Data Source'!B775&lt;&gt;"",'Data Source'!S775="F"),'Data Source'!R775,"")</f>
        <v/>
      </c>
      <c r="Q775" s="3">
        <f>IF(AND('Data Source'!B775&lt;&gt;"",'Data Source'!S775="F"),'Data Source'!S775,"")</f>
        <v/>
      </c>
    </row>
    <row r="776">
      <c r="A776" s="3">
        <f>IF(AND('Data Source'!B776&lt;&gt;"",'Data Source'!S776="F"),COUNTIF('Data Source'!$S$3:S776,"F"),"")</f>
        <v/>
      </c>
      <c r="B776">
        <f>IF(AND('Data Source'!B776&lt;&gt;"",'Data Source'!S776="F"),'Data Source'!B776,"")</f>
        <v/>
      </c>
      <c r="C776" s="3">
        <f>IF(AND('Data Source'!B776&lt;&gt;"",'Data Source'!S776="F"),IF('Data Source'!U776&gt;=5,"A+",IF('Data Source'!U776&gt;=4,"A",IF('Data Source'!U776&gt;=3.5,"A-",IF('Data Source'!U776&gt;=3,"B",IF('Data Source'!U776&gt;=2,"C",IF('Data Source'!U776&gt;=1,"D","F")))))),"")</f>
        <v/>
      </c>
      <c r="D776" s="3">
        <f>IF(AND('Data Source'!B776&lt;&gt;"",'Data Source'!S776="F"),IF('Data Source'!V776&gt;=5,"A+",IF('Data Source'!V776&gt;=4,"A",IF('Data Source'!V776&gt;=3.5,"A-",IF('Data Source'!V776&gt;=3,"B",IF('Data Source'!V776&gt;=2,"C",IF('Data Source'!V776&gt;=1,"D","F")))))),"")</f>
        <v/>
      </c>
      <c r="E776" s="3">
        <f>IF(AND('Data Source'!B776&lt;&gt;"",'Data Source'!S776="F"),IF('Data Source'!W776&gt;=5,"A+",IF('Data Source'!W776&gt;=4,"A",IF('Data Source'!W776&gt;=3.5,"A-",IF('Data Source'!W776&gt;=3,"B",IF('Data Source'!W776&gt;=2,"C",IF('Data Source'!W776&gt;=1,"D","F")))))),"")</f>
        <v/>
      </c>
      <c r="F776" s="3">
        <f>IF(AND('Data Source'!B776&lt;&gt;"",'Data Source'!S776="F"),IF('Data Source'!X776&gt;=5,"A+",IF('Data Source'!X776&gt;=4,"A",IF('Data Source'!X776&gt;=3.5,"A-",IF('Data Source'!X776&gt;=3,"B",IF('Data Source'!X776&gt;=2,"C",IF('Data Source'!X776&gt;=1,"D","F")))))),"")</f>
        <v/>
      </c>
      <c r="G776" s="3">
        <f>IF(AND('Data Source'!B776&lt;&gt;"",'Data Source'!S776="F"),IF('Data Source'!Y776&gt;=5,"A+",IF('Data Source'!Y776&gt;=4,"A",IF('Data Source'!Y776&gt;=3.5,"A-",IF('Data Source'!Y776&gt;=3,"B",IF('Data Source'!Y776&gt;=2,"C",IF('Data Source'!Y776&gt;=1,"D","F")))))),"")</f>
        <v/>
      </c>
      <c r="H776" s="3">
        <f>IF(AND('Data Source'!B776&lt;&gt;"",'Data Source'!S776="F"),IF('Data Source'!Z776&gt;=5,"A+",IF('Data Source'!Z776&gt;=4,"A",IF('Data Source'!Z776&gt;=3.5,"A-",IF('Data Source'!Z776&gt;=3,"B",IF('Data Source'!Z776&gt;=2,"C",IF('Data Source'!Z776&gt;=1,"D","F")))))),"")</f>
        <v/>
      </c>
      <c r="I776" s="3">
        <f>IF(AND('Data Source'!B776&lt;&gt;"",'Data Source'!S776="F"),IF('Data Source'!AA776&gt;=5,"A+",IF('Data Source'!AA776&gt;=4,"A",IF('Data Source'!AA776&gt;=3.5,"A-",IF('Data Source'!AA776&gt;=3,"B",IF('Data Source'!AA776&gt;=2,"C",IF('Data Source'!AA776&gt;=1,"D","F")))))),"")</f>
        <v/>
      </c>
      <c r="J776" s="3">
        <f>IF(AND('Data Source'!B776&lt;&gt;"",'Data Source'!S776="F"),IF('Data Source'!AB776&gt;=5,"A+",IF('Data Source'!AB776&gt;=4,"A",IF('Data Source'!AB776&gt;=3.5,"A-",IF('Data Source'!AB776&gt;=3,"B",IF('Data Source'!AB776&gt;=2,"C",IF('Data Source'!AB776&gt;=1,"D","F")))))),"")</f>
        <v/>
      </c>
      <c r="K776" s="3">
        <f>IF(AND('Data Source'!B776&lt;&gt;"",'Data Source'!S776="F"),IF('Data Source'!AC776&gt;=5,"A+",IF('Data Source'!AC776&gt;=4,"A",IF('Data Source'!AC776&gt;=3.5,"A-",IF('Data Source'!AC776&gt;=3,"B",IF('Data Source'!AC776&gt;=2,"C",IF('Data Source'!AC776&gt;=1,"D","F")))))),"")</f>
        <v/>
      </c>
      <c r="L776" s="3">
        <f>IF(AND('Data Source'!B776&lt;&gt;"",'Data Source'!S776="F"),IF('Data Source'!AD776&gt;=5,"A+",IF('Data Source'!AD776&gt;=4,"A",IF('Data Source'!AD776&gt;=3.5,"A-",IF('Data Source'!AD776&gt;=3,"B",IF('Data Source'!AD776&gt;=2,"C",IF('Data Source'!AD776&gt;=1,"D","F")))))),"")</f>
        <v/>
      </c>
      <c r="M776" s="3">
        <f>IF(AND('Data Source'!B776&lt;&gt;"",'Data Source'!S776="F"),IF('Data Source'!AE776&gt;=5,"A+",IF('Data Source'!AE776&gt;=4,"A",IF('Data Source'!AE776&gt;=3.5,"A-",IF('Data Source'!AE776&gt;=3,"B",IF('Data Source'!AE776&gt;=2,"C",IF('Data Source'!AE776&gt;=1,"D","F")))))),"")</f>
        <v/>
      </c>
      <c r="N776" s="3">
        <f>IF(AND('Data Source'!B776&lt;&gt;"",'Data Source'!S776="F"),IF('Data Source'!AF776&gt;=5,"A+",IF('Data Source'!AF776&gt;=4,"A",IF('Data Source'!AF776&gt;=3.5,"A-",IF('Data Source'!AF776&gt;=3,"B",IF('Data Source'!AF776&gt;=2,"C",IF('Data Source'!AF776&gt;=1,"D","F")))))),"")</f>
        <v/>
      </c>
      <c r="O776" s="3">
        <f>IF(AND('Data Source'!B776&lt;&gt;"",'Data Source'!S776="F"),IF('Data Source'!AG776&gt;=5,"A+",IF('Data Source'!AG776&gt;=4,"A",IF('Data Source'!AG776&gt;=3.5,"A-",IF('Data Source'!AG776&gt;=3,"B",IF('Data Source'!AG776&gt;=2,"C",IF('Data Source'!AG776&gt;=1,"D","F")))))),"")</f>
        <v/>
      </c>
      <c r="P776" s="5">
        <f>IF(AND('Data Source'!B776&lt;&gt;"",'Data Source'!S776="F"),'Data Source'!R776,"")</f>
        <v/>
      </c>
      <c r="Q776" s="3">
        <f>IF(AND('Data Source'!B776&lt;&gt;"",'Data Source'!S776="F"),'Data Source'!S776,"")</f>
        <v/>
      </c>
    </row>
    <row r="777">
      <c r="A777" s="3">
        <f>IF(AND('Data Source'!B777&lt;&gt;"",'Data Source'!S777="F"),COUNTIF('Data Source'!$S$3:S777,"F"),"")</f>
        <v/>
      </c>
      <c r="B777">
        <f>IF(AND('Data Source'!B777&lt;&gt;"",'Data Source'!S777="F"),'Data Source'!B777,"")</f>
        <v/>
      </c>
      <c r="C777" s="3">
        <f>IF(AND('Data Source'!B777&lt;&gt;"",'Data Source'!S777="F"),IF('Data Source'!U777&gt;=5,"A+",IF('Data Source'!U777&gt;=4,"A",IF('Data Source'!U777&gt;=3.5,"A-",IF('Data Source'!U777&gt;=3,"B",IF('Data Source'!U777&gt;=2,"C",IF('Data Source'!U777&gt;=1,"D","F")))))),"")</f>
        <v/>
      </c>
      <c r="D777" s="3">
        <f>IF(AND('Data Source'!B777&lt;&gt;"",'Data Source'!S777="F"),IF('Data Source'!V777&gt;=5,"A+",IF('Data Source'!V777&gt;=4,"A",IF('Data Source'!V777&gt;=3.5,"A-",IF('Data Source'!V777&gt;=3,"B",IF('Data Source'!V777&gt;=2,"C",IF('Data Source'!V777&gt;=1,"D","F")))))),"")</f>
        <v/>
      </c>
      <c r="E777" s="3">
        <f>IF(AND('Data Source'!B777&lt;&gt;"",'Data Source'!S777="F"),IF('Data Source'!W777&gt;=5,"A+",IF('Data Source'!W777&gt;=4,"A",IF('Data Source'!W777&gt;=3.5,"A-",IF('Data Source'!W777&gt;=3,"B",IF('Data Source'!W777&gt;=2,"C",IF('Data Source'!W777&gt;=1,"D","F")))))),"")</f>
        <v/>
      </c>
      <c r="F777" s="3">
        <f>IF(AND('Data Source'!B777&lt;&gt;"",'Data Source'!S777="F"),IF('Data Source'!X777&gt;=5,"A+",IF('Data Source'!X777&gt;=4,"A",IF('Data Source'!X777&gt;=3.5,"A-",IF('Data Source'!X777&gt;=3,"B",IF('Data Source'!X777&gt;=2,"C",IF('Data Source'!X777&gt;=1,"D","F")))))),"")</f>
        <v/>
      </c>
      <c r="G777" s="3">
        <f>IF(AND('Data Source'!B777&lt;&gt;"",'Data Source'!S777="F"),IF('Data Source'!Y777&gt;=5,"A+",IF('Data Source'!Y777&gt;=4,"A",IF('Data Source'!Y777&gt;=3.5,"A-",IF('Data Source'!Y777&gt;=3,"B",IF('Data Source'!Y777&gt;=2,"C",IF('Data Source'!Y777&gt;=1,"D","F")))))),"")</f>
        <v/>
      </c>
      <c r="H777" s="3">
        <f>IF(AND('Data Source'!B777&lt;&gt;"",'Data Source'!S777="F"),IF('Data Source'!Z777&gt;=5,"A+",IF('Data Source'!Z777&gt;=4,"A",IF('Data Source'!Z777&gt;=3.5,"A-",IF('Data Source'!Z777&gt;=3,"B",IF('Data Source'!Z777&gt;=2,"C",IF('Data Source'!Z777&gt;=1,"D","F")))))),"")</f>
        <v/>
      </c>
      <c r="I777" s="3">
        <f>IF(AND('Data Source'!B777&lt;&gt;"",'Data Source'!S777="F"),IF('Data Source'!AA777&gt;=5,"A+",IF('Data Source'!AA777&gt;=4,"A",IF('Data Source'!AA777&gt;=3.5,"A-",IF('Data Source'!AA777&gt;=3,"B",IF('Data Source'!AA777&gt;=2,"C",IF('Data Source'!AA777&gt;=1,"D","F")))))),"")</f>
        <v/>
      </c>
      <c r="J777" s="3">
        <f>IF(AND('Data Source'!B777&lt;&gt;"",'Data Source'!S777="F"),IF('Data Source'!AB777&gt;=5,"A+",IF('Data Source'!AB777&gt;=4,"A",IF('Data Source'!AB777&gt;=3.5,"A-",IF('Data Source'!AB777&gt;=3,"B",IF('Data Source'!AB777&gt;=2,"C",IF('Data Source'!AB777&gt;=1,"D","F")))))),"")</f>
        <v/>
      </c>
      <c r="K777" s="3">
        <f>IF(AND('Data Source'!B777&lt;&gt;"",'Data Source'!S777="F"),IF('Data Source'!AC777&gt;=5,"A+",IF('Data Source'!AC777&gt;=4,"A",IF('Data Source'!AC777&gt;=3.5,"A-",IF('Data Source'!AC777&gt;=3,"B",IF('Data Source'!AC777&gt;=2,"C",IF('Data Source'!AC777&gt;=1,"D","F")))))),"")</f>
        <v/>
      </c>
      <c r="L777" s="3">
        <f>IF(AND('Data Source'!B777&lt;&gt;"",'Data Source'!S777="F"),IF('Data Source'!AD777&gt;=5,"A+",IF('Data Source'!AD777&gt;=4,"A",IF('Data Source'!AD777&gt;=3.5,"A-",IF('Data Source'!AD777&gt;=3,"B",IF('Data Source'!AD777&gt;=2,"C",IF('Data Source'!AD777&gt;=1,"D","F")))))),"")</f>
        <v/>
      </c>
      <c r="M777" s="3">
        <f>IF(AND('Data Source'!B777&lt;&gt;"",'Data Source'!S777="F"),IF('Data Source'!AE777&gt;=5,"A+",IF('Data Source'!AE777&gt;=4,"A",IF('Data Source'!AE777&gt;=3.5,"A-",IF('Data Source'!AE777&gt;=3,"B",IF('Data Source'!AE777&gt;=2,"C",IF('Data Source'!AE777&gt;=1,"D","F")))))),"")</f>
        <v/>
      </c>
      <c r="N777" s="3">
        <f>IF(AND('Data Source'!B777&lt;&gt;"",'Data Source'!S777="F"),IF('Data Source'!AF777&gt;=5,"A+",IF('Data Source'!AF777&gt;=4,"A",IF('Data Source'!AF777&gt;=3.5,"A-",IF('Data Source'!AF777&gt;=3,"B",IF('Data Source'!AF777&gt;=2,"C",IF('Data Source'!AF777&gt;=1,"D","F")))))),"")</f>
        <v/>
      </c>
      <c r="O777" s="3">
        <f>IF(AND('Data Source'!B777&lt;&gt;"",'Data Source'!S777="F"),IF('Data Source'!AG777&gt;=5,"A+",IF('Data Source'!AG777&gt;=4,"A",IF('Data Source'!AG777&gt;=3.5,"A-",IF('Data Source'!AG777&gt;=3,"B",IF('Data Source'!AG777&gt;=2,"C",IF('Data Source'!AG777&gt;=1,"D","F")))))),"")</f>
        <v/>
      </c>
      <c r="P777" s="5">
        <f>IF(AND('Data Source'!B777&lt;&gt;"",'Data Source'!S777="F"),'Data Source'!R777,"")</f>
        <v/>
      </c>
      <c r="Q777" s="3">
        <f>IF(AND('Data Source'!B777&lt;&gt;"",'Data Source'!S777="F"),'Data Source'!S777,"")</f>
        <v/>
      </c>
    </row>
    <row r="778">
      <c r="A778" s="3">
        <f>IF(AND('Data Source'!B778&lt;&gt;"",'Data Source'!S778="F"),COUNTIF('Data Source'!$S$3:S778,"F"),"")</f>
        <v/>
      </c>
      <c r="B778">
        <f>IF(AND('Data Source'!B778&lt;&gt;"",'Data Source'!S778="F"),'Data Source'!B778,"")</f>
        <v/>
      </c>
      <c r="C778" s="3">
        <f>IF(AND('Data Source'!B778&lt;&gt;"",'Data Source'!S778="F"),IF('Data Source'!U778&gt;=5,"A+",IF('Data Source'!U778&gt;=4,"A",IF('Data Source'!U778&gt;=3.5,"A-",IF('Data Source'!U778&gt;=3,"B",IF('Data Source'!U778&gt;=2,"C",IF('Data Source'!U778&gt;=1,"D","F")))))),"")</f>
        <v/>
      </c>
      <c r="D778" s="3">
        <f>IF(AND('Data Source'!B778&lt;&gt;"",'Data Source'!S778="F"),IF('Data Source'!V778&gt;=5,"A+",IF('Data Source'!V778&gt;=4,"A",IF('Data Source'!V778&gt;=3.5,"A-",IF('Data Source'!V778&gt;=3,"B",IF('Data Source'!V778&gt;=2,"C",IF('Data Source'!V778&gt;=1,"D","F")))))),"")</f>
        <v/>
      </c>
      <c r="E778" s="3">
        <f>IF(AND('Data Source'!B778&lt;&gt;"",'Data Source'!S778="F"),IF('Data Source'!W778&gt;=5,"A+",IF('Data Source'!W778&gt;=4,"A",IF('Data Source'!W778&gt;=3.5,"A-",IF('Data Source'!W778&gt;=3,"B",IF('Data Source'!W778&gt;=2,"C",IF('Data Source'!W778&gt;=1,"D","F")))))),"")</f>
        <v/>
      </c>
      <c r="F778" s="3">
        <f>IF(AND('Data Source'!B778&lt;&gt;"",'Data Source'!S778="F"),IF('Data Source'!X778&gt;=5,"A+",IF('Data Source'!X778&gt;=4,"A",IF('Data Source'!X778&gt;=3.5,"A-",IF('Data Source'!X778&gt;=3,"B",IF('Data Source'!X778&gt;=2,"C",IF('Data Source'!X778&gt;=1,"D","F")))))),"")</f>
        <v/>
      </c>
      <c r="G778" s="3">
        <f>IF(AND('Data Source'!B778&lt;&gt;"",'Data Source'!S778="F"),IF('Data Source'!Y778&gt;=5,"A+",IF('Data Source'!Y778&gt;=4,"A",IF('Data Source'!Y778&gt;=3.5,"A-",IF('Data Source'!Y778&gt;=3,"B",IF('Data Source'!Y778&gt;=2,"C",IF('Data Source'!Y778&gt;=1,"D","F")))))),"")</f>
        <v/>
      </c>
      <c r="H778" s="3">
        <f>IF(AND('Data Source'!B778&lt;&gt;"",'Data Source'!S778="F"),IF('Data Source'!Z778&gt;=5,"A+",IF('Data Source'!Z778&gt;=4,"A",IF('Data Source'!Z778&gt;=3.5,"A-",IF('Data Source'!Z778&gt;=3,"B",IF('Data Source'!Z778&gt;=2,"C",IF('Data Source'!Z778&gt;=1,"D","F")))))),"")</f>
        <v/>
      </c>
      <c r="I778" s="3">
        <f>IF(AND('Data Source'!B778&lt;&gt;"",'Data Source'!S778="F"),IF('Data Source'!AA778&gt;=5,"A+",IF('Data Source'!AA778&gt;=4,"A",IF('Data Source'!AA778&gt;=3.5,"A-",IF('Data Source'!AA778&gt;=3,"B",IF('Data Source'!AA778&gt;=2,"C",IF('Data Source'!AA778&gt;=1,"D","F")))))),"")</f>
        <v/>
      </c>
      <c r="J778" s="3">
        <f>IF(AND('Data Source'!B778&lt;&gt;"",'Data Source'!S778="F"),IF('Data Source'!AB778&gt;=5,"A+",IF('Data Source'!AB778&gt;=4,"A",IF('Data Source'!AB778&gt;=3.5,"A-",IF('Data Source'!AB778&gt;=3,"B",IF('Data Source'!AB778&gt;=2,"C",IF('Data Source'!AB778&gt;=1,"D","F")))))),"")</f>
        <v/>
      </c>
      <c r="K778" s="3">
        <f>IF(AND('Data Source'!B778&lt;&gt;"",'Data Source'!S778="F"),IF('Data Source'!AC778&gt;=5,"A+",IF('Data Source'!AC778&gt;=4,"A",IF('Data Source'!AC778&gt;=3.5,"A-",IF('Data Source'!AC778&gt;=3,"B",IF('Data Source'!AC778&gt;=2,"C",IF('Data Source'!AC778&gt;=1,"D","F")))))),"")</f>
        <v/>
      </c>
      <c r="L778" s="3">
        <f>IF(AND('Data Source'!B778&lt;&gt;"",'Data Source'!S778="F"),IF('Data Source'!AD778&gt;=5,"A+",IF('Data Source'!AD778&gt;=4,"A",IF('Data Source'!AD778&gt;=3.5,"A-",IF('Data Source'!AD778&gt;=3,"B",IF('Data Source'!AD778&gt;=2,"C",IF('Data Source'!AD778&gt;=1,"D","F")))))),"")</f>
        <v/>
      </c>
      <c r="M778" s="3">
        <f>IF(AND('Data Source'!B778&lt;&gt;"",'Data Source'!S778="F"),IF('Data Source'!AE778&gt;=5,"A+",IF('Data Source'!AE778&gt;=4,"A",IF('Data Source'!AE778&gt;=3.5,"A-",IF('Data Source'!AE778&gt;=3,"B",IF('Data Source'!AE778&gt;=2,"C",IF('Data Source'!AE778&gt;=1,"D","F")))))),"")</f>
        <v/>
      </c>
      <c r="N778" s="3">
        <f>IF(AND('Data Source'!B778&lt;&gt;"",'Data Source'!S778="F"),IF('Data Source'!AF778&gt;=5,"A+",IF('Data Source'!AF778&gt;=4,"A",IF('Data Source'!AF778&gt;=3.5,"A-",IF('Data Source'!AF778&gt;=3,"B",IF('Data Source'!AF778&gt;=2,"C",IF('Data Source'!AF778&gt;=1,"D","F")))))),"")</f>
        <v/>
      </c>
      <c r="O778" s="3">
        <f>IF(AND('Data Source'!B778&lt;&gt;"",'Data Source'!S778="F"),IF('Data Source'!AG778&gt;=5,"A+",IF('Data Source'!AG778&gt;=4,"A",IF('Data Source'!AG778&gt;=3.5,"A-",IF('Data Source'!AG778&gt;=3,"B",IF('Data Source'!AG778&gt;=2,"C",IF('Data Source'!AG778&gt;=1,"D","F")))))),"")</f>
        <v/>
      </c>
      <c r="P778" s="5">
        <f>IF(AND('Data Source'!B778&lt;&gt;"",'Data Source'!S778="F"),'Data Source'!R778,"")</f>
        <v/>
      </c>
      <c r="Q778" s="3">
        <f>IF(AND('Data Source'!B778&lt;&gt;"",'Data Source'!S778="F"),'Data Source'!S778,"")</f>
        <v/>
      </c>
    </row>
    <row r="779">
      <c r="A779" s="3">
        <f>IF(AND('Data Source'!B779&lt;&gt;"",'Data Source'!S779="F"),COUNTIF('Data Source'!$S$3:S779,"F"),"")</f>
        <v/>
      </c>
      <c r="B779">
        <f>IF(AND('Data Source'!B779&lt;&gt;"",'Data Source'!S779="F"),'Data Source'!B779,"")</f>
        <v/>
      </c>
      <c r="C779" s="3">
        <f>IF(AND('Data Source'!B779&lt;&gt;"",'Data Source'!S779="F"),IF('Data Source'!U779&gt;=5,"A+",IF('Data Source'!U779&gt;=4,"A",IF('Data Source'!U779&gt;=3.5,"A-",IF('Data Source'!U779&gt;=3,"B",IF('Data Source'!U779&gt;=2,"C",IF('Data Source'!U779&gt;=1,"D","F")))))),"")</f>
        <v/>
      </c>
      <c r="D779" s="3">
        <f>IF(AND('Data Source'!B779&lt;&gt;"",'Data Source'!S779="F"),IF('Data Source'!V779&gt;=5,"A+",IF('Data Source'!V779&gt;=4,"A",IF('Data Source'!V779&gt;=3.5,"A-",IF('Data Source'!V779&gt;=3,"B",IF('Data Source'!V779&gt;=2,"C",IF('Data Source'!V779&gt;=1,"D","F")))))),"")</f>
        <v/>
      </c>
      <c r="E779" s="3">
        <f>IF(AND('Data Source'!B779&lt;&gt;"",'Data Source'!S779="F"),IF('Data Source'!W779&gt;=5,"A+",IF('Data Source'!W779&gt;=4,"A",IF('Data Source'!W779&gt;=3.5,"A-",IF('Data Source'!W779&gt;=3,"B",IF('Data Source'!W779&gt;=2,"C",IF('Data Source'!W779&gt;=1,"D","F")))))),"")</f>
        <v/>
      </c>
      <c r="F779" s="3">
        <f>IF(AND('Data Source'!B779&lt;&gt;"",'Data Source'!S779="F"),IF('Data Source'!X779&gt;=5,"A+",IF('Data Source'!X779&gt;=4,"A",IF('Data Source'!X779&gt;=3.5,"A-",IF('Data Source'!X779&gt;=3,"B",IF('Data Source'!X779&gt;=2,"C",IF('Data Source'!X779&gt;=1,"D","F")))))),"")</f>
        <v/>
      </c>
      <c r="G779" s="3">
        <f>IF(AND('Data Source'!B779&lt;&gt;"",'Data Source'!S779="F"),IF('Data Source'!Y779&gt;=5,"A+",IF('Data Source'!Y779&gt;=4,"A",IF('Data Source'!Y779&gt;=3.5,"A-",IF('Data Source'!Y779&gt;=3,"B",IF('Data Source'!Y779&gt;=2,"C",IF('Data Source'!Y779&gt;=1,"D","F")))))),"")</f>
        <v/>
      </c>
      <c r="H779" s="3">
        <f>IF(AND('Data Source'!B779&lt;&gt;"",'Data Source'!S779="F"),IF('Data Source'!Z779&gt;=5,"A+",IF('Data Source'!Z779&gt;=4,"A",IF('Data Source'!Z779&gt;=3.5,"A-",IF('Data Source'!Z779&gt;=3,"B",IF('Data Source'!Z779&gt;=2,"C",IF('Data Source'!Z779&gt;=1,"D","F")))))),"")</f>
        <v/>
      </c>
      <c r="I779" s="3">
        <f>IF(AND('Data Source'!B779&lt;&gt;"",'Data Source'!S779="F"),IF('Data Source'!AA779&gt;=5,"A+",IF('Data Source'!AA779&gt;=4,"A",IF('Data Source'!AA779&gt;=3.5,"A-",IF('Data Source'!AA779&gt;=3,"B",IF('Data Source'!AA779&gt;=2,"C",IF('Data Source'!AA779&gt;=1,"D","F")))))),"")</f>
        <v/>
      </c>
      <c r="J779" s="3">
        <f>IF(AND('Data Source'!B779&lt;&gt;"",'Data Source'!S779="F"),IF('Data Source'!AB779&gt;=5,"A+",IF('Data Source'!AB779&gt;=4,"A",IF('Data Source'!AB779&gt;=3.5,"A-",IF('Data Source'!AB779&gt;=3,"B",IF('Data Source'!AB779&gt;=2,"C",IF('Data Source'!AB779&gt;=1,"D","F")))))),"")</f>
        <v/>
      </c>
      <c r="K779" s="3">
        <f>IF(AND('Data Source'!B779&lt;&gt;"",'Data Source'!S779="F"),IF('Data Source'!AC779&gt;=5,"A+",IF('Data Source'!AC779&gt;=4,"A",IF('Data Source'!AC779&gt;=3.5,"A-",IF('Data Source'!AC779&gt;=3,"B",IF('Data Source'!AC779&gt;=2,"C",IF('Data Source'!AC779&gt;=1,"D","F")))))),"")</f>
        <v/>
      </c>
      <c r="L779" s="3">
        <f>IF(AND('Data Source'!B779&lt;&gt;"",'Data Source'!S779="F"),IF('Data Source'!AD779&gt;=5,"A+",IF('Data Source'!AD779&gt;=4,"A",IF('Data Source'!AD779&gt;=3.5,"A-",IF('Data Source'!AD779&gt;=3,"B",IF('Data Source'!AD779&gt;=2,"C",IF('Data Source'!AD779&gt;=1,"D","F")))))),"")</f>
        <v/>
      </c>
      <c r="M779" s="3">
        <f>IF(AND('Data Source'!B779&lt;&gt;"",'Data Source'!S779="F"),IF('Data Source'!AE779&gt;=5,"A+",IF('Data Source'!AE779&gt;=4,"A",IF('Data Source'!AE779&gt;=3.5,"A-",IF('Data Source'!AE779&gt;=3,"B",IF('Data Source'!AE779&gt;=2,"C",IF('Data Source'!AE779&gt;=1,"D","F")))))),"")</f>
        <v/>
      </c>
      <c r="N779" s="3">
        <f>IF(AND('Data Source'!B779&lt;&gt;"",'Data Source'!S779="F"),IF('Data Source'!AF779&gt;=5,"A+",IF('Data Source'!AF779&gt;=4,"A",IF('Data Source'!AF779&gt;=3.5,"A-",IF('Data Source'!AF779&gt;=3,"B",IF('Data Source'!AF779&gt;=2,"C",IF('Data Source'!AF779&gt;=1,"D","F")))))),"")</f>
        <v/>
      </c>
      <c r="O779" s="3">
        <f>IF(AND('Data Source'!B779&lt;&gt;"",'Data Source'!S779="F"),IF('Data Source'!AG779&gt;=5,"A+",IF('Data Source'!AG779&gt;=4,"A",IF('Data Source'!AG779&gt;=3.5,"A-",IF('Data Source'!AG779&gt;=3,"B",IF('Data Source'!AG779&gt;=2,"C",IF('Data Source'!AG779&gt;=1,"D","F")))))),"")</f>
        <v/>
      </c>
      <c r="P779" s="5">
        <f>IF(AND('Data Source'!B779&lt;&gt;"",'Data Source'!S779="F"),'Data Source'!R779,"")</f>
        <v/>
      </c>
      <c r="Q779" s="3">
        <f>IF(AND('Data Source'!B779&lt;&gt;"",'Data Source'!S779="F"),'Data Source'!S779,"")</f>
        <v/>
      </c>
    </row>
    <row r="780">
      <c r="A780" s="3">
        <f>IF(AND('Data Source'!B780&lt;&gt;"",'Data Source'!S780="F"),COUNTIF('Data Source'!$S$3:S780,"F"),"")</f>
        <v/>
      </c>
      <c r="B780">
        <f>IF(AND('Data Source'!B780&lt;&gt;"",'Data Source'!S780="F"),'Data Source'!B780,"")</f>
        <v/>
      </c>
      <c r="C780" s="3">
        <f>IF(AND('Data Source'!B780&lt;&gt;"",'Data Source'!S780="F"),IF('Data Source'!U780&gt;=5,"A+",IF('Data Source'!U780&gt;=4,"A",IF('Data Source'!U780&gt;=3.5,"A-",IF('Data Source'!U780&gt;=3,"B",IF('Data Source'!U780&gt;=2,"C",IF('Data Source'!U780&gt;=1,"D","F")))))),"")</f>
        <v/>
      </c>
      <c r="D780" s="3">
        <f>IF(AND('Data Source'!B780&lt;&gt;"",'Data Source'!S780="F"),IF('Data Source'!V780&gt;=5,"A+",IF('Data Source'!V780&gt;=4,"A",IF('Data Source'!V780&gt;=3.5,"A-",IF('Data Source'!V780&gt;=3,"B",IF('Data Source'!V780&gt;=2,"C",IF('Data Source'!V780&gt;=1,"D","F")))))),"")</f>
        <v/>
      </c>
      <c r="E780" s="3">
        <f>IF(AND('Data Source'!B780&lt;&gt;"",'Data Source'!S780="F"),IF('Data Source'!W780&gt;=5,"A+",IF('Data Source'!W780&gt;=4,"A",IF('Data Source'!W780&gt;=3.5,"A-",IF('Data Source'!W780&gt;=3,"B",IF('Data Source'!W780&gt;=2,"C",IF('Data Source'!W780&gt;=1,"D","F")))))),"")</f>
        <v/>
      </c>
      <c r="F780" s="3">
        <f>IF(AND('Data Source'!B780&lt;&gt;"",'Data Source'!S780="F"),IF('Data Source'!X780&gt;=5,"A+",IF('Data Source'!X780&gt;=4,"A",IF('Data Source'!X780&gt;=3.5,"A-",IF('Data Source'!X780&gt;=3,"B",IF('Data Source'!X780&gt;=2,"C",IF('Data Source'!X780&gt;=1,"D","F")))))),"")</f>
        <v/>
      </c>
      <c r="G780" s="3">
        <f>IF(AND('Data Source'!B780&lt;&gt;"",'Data Source'!S780="F"),IF('Data Source'!Y780&gt;=5,"A+",IF('Data Source'!Y780&gt;=4,"A",IF('Data Source'!Y780&gt;=3.5,"A-",IF('Data Source'!Y780&gt;=3,"B",IF('Data Source'!Y780&gt;=2,"C",IF('Data Source'!Y780&gt;=1,"D","F")))))),"")</f>
        <v/>
      </c>
      <c r="H780" s="3">
        <f>IF(AND('Data Source'!B780&lt;&gt;"",'Data Source'!S780="F"),IF('Data Source'!Z780&gt;=5,"A+",IF('Data Source'!Z780&gt;=4,"A",IF('Data Source'!Z780&gt;=3.5,"A-",IF('Data Source'!Z780&gt;=3,"B",IF('Data Source'!Z780&gt;=2,"C",IF('Data Source'!Z780&gt;=1,"D","F")))))),"")</f>
        <v/>
      </c>
      <c r="I780" s="3">
        <f>IF(AND('Data Source'!B780&lt;&gt;"",'Data Source'!S780="F"),IF('Data Source'!AA780&gt;=5,"A+",IF('Data Source'!AA780&gt;=4,"A",IF('Data Source'!AA780&gt;=3.5,"A-",IF('Data Source'!AA780&gt;=3,"B",IF('Data Source'!AA780&gt;=2,"C",IF('Data Source'!AA780&gt;=1,"D","F")))))),"")</f>
        <v/>
      </c>
      <c r="J780" s="3">
        <f>IF(AND('Data Source'!B780&lt;&gt;"",'Data Source'!S780="F"),IF('Data Source'!AB780&gt;=5,"A+",IF('Data Source'!AB780&gt;=4,"A",IF('Data Source'!AB780&gt;=3.5,"A-",IF('Data Source'!AB780&gt;=3,"B",IF('Data Source'!AB780&gt;=2,"C",IF('Data Source'!AB780&gt;=1,"D","F")))))),"")</f>
        <v/>
      </c>
      <c r="K780" s="3">
        <f>IF(AND('Data Source'!B780&lt;&gt;"",'Data Source'!S780="F"),IF('Data Source'!AC780&gt;=5,"A+",IF('Data Source'!AC780&gt;=4,"A",IF('Data Source'!AC780&gt;=3.5,"A-",IF('Data Source'!AC780&gt;=3,"B",IF('Data Source'!AC780&gt;=2,"C",IF('Data Source'!AC780&gt;=1,"D","F")))))),"")</f>
        <v/>
      </c>
      <c r="L780" s="3">
        <f>IF(AND('Data Source'!B780&lt;&gt;"",'Data Source'!S780="F"),IF('Data Source'!AD780&gt;=5,"A+",IF('Data Source'!AD780&gt;=4,"A",IF('Data Source'!AD780&gt;=3.5,"A-",IF('Data Source'!AD780&gt;=3,"B",IF('Data Source'!AD780&gt;=2,"C",IF('Data Source'!AD780&gt;=1,"D","F")))))),"")</f>
        <v/>
      </c>
      <c r="M780" s="3">
        <f>IF(AND('Data Source'!B780&lt;&gt;"",'Data Source'!S780="F"),IF('Data Source'!AE780&gt;=5,"A+",IF('Data Source'!AE780&gt;=4,"A",IF('Data Source'!AE780&gt;=3.5,"A-",IF('Data Source'!AE780&gt;=3,"B",IF('Data Source'!AE780&gt;=2,"C",IF('Data Source'!AE780&gt;=1,"D","F")))))),"")</f>
        <v/>
      </c>
      <c r="N780" s="3">
        <f>IF(AND('Data Source'!B780&lt;&gt;"",'Data Source'!S780="F"),IF('Data Source'!AF780&gt;=5,"A+",IF('Data Source'!AF780&gt;=4,"A",IF('Data Source'!AF780&gt;=3.5,"A-",IF('Data Source'!AF780&gt;=3,"B",IF('Data Source'!AF780&gt;=2,"C",IF('Data Source'!AF780&gt;=1,"D","F")))))),"")</f>
        <v/>
      </c>
      <c r="O780" s="3">
        <f>IF(AND('Data Source'!B780&lt;&gt;"",'Data Source'!S780="F"),IF('Data Source'!AG780&gt;=5,"A+",IF('Data Source'!AG780&gt;=4,"A",IF('Data Source'!AG780&gt;=3.5,"A-",IF('Data Source'!AG780&gt;=3,"B",IF('Data Source'!AG780&gt;=2,"C",IF('Data Source'!AG780&gt;=1,"D","F")))))),"")</f>
        <v/>
      </c>
      <c r="P780" s="5">
        <f>IF(AND('Data Source'!B780&lt;&gt;"",'Data Source'!S780="F"),'Data Source'!R780,"")</f>
        <v/>
      </c>
      <c r="Q780" s="3">
        <f>IF(AND('Data Source'!B780&lt;&gt;"",'Data Source'!S780="F"),'Data Source'!S780,"")</f>
        <v/>
      </c>
    </row>
    <row r="781">
      <c r="A781" s="3">
        <f>IF(AND('Data Source'!B781&lt;&gt;"",'Data Source'!S781="F"),COUNTIF('Data Source'!$S$3:S781,"F"),"")</f>
        <v/>
      </c>
      <c r="B781">
        <f>IF(AND('Data Source'!B781&lt;&gt;"",'Data Source'!S781="F"),'Data Source'!B781,"")</f>
        <v/>
      </c>
      <c r="C781" s="3">
        <f>IF(AND('Data Source'!B781&lt;&gt;"",'Data Source'!S781="F"),IF('Data Source'!U781&gt;=5,"A+",IF('Data Source'!U781&gt;=4,"A",IF('Data Source'!U781&gt;=3.5,"A-",IF('Data Source'!U781&gt;=3,"B",IF('Data Source'!U781&gt;=2,"C",IF('Data Source'!U781&gt;=1,"D","F")))))),"")</f>
        <v/>
      </c>
      <c r="D781" s="3">
        <f>IF(AND('Data Source'!B781&lt;&gt;"",'Data Source'!S781="F"),IF('Data Source'!V781&gt;=5,"A+",IF('Data Source'!V781&gt;=4,"A",IF('Data Source'!V781&gt;=3.5,"A-",IF('Data Source'!V781&gt;=3,"B",IF('Data Source'!V781&gt;=2,"C",IF('Data Source'!V781&gt;=1,"D","F")))))),"")</f>
        <v/>
      </c>
      <c r="E781" s="3">
        <f>IF(AND('Data Source'!B781&lt;&gt;"",'Data Source'!S781="F"),IF('Data Source'!W781&gt;=5,"A+",IF('Data Source'!W781&gt;=4,"A",IF('Data Source'!W781&gt;=3.5,"A-",IF('Data Source'!W781&gt;=3,"B",IF('Data Source'!W781&gt;=2,"C",IF('Data Source'!W781&gt;=1,"D","F")))))),"")</f>
        <v/>
      </c>
      <c r="F781" s="3">
        <f>IF(AND('Data Source'!B781&lt;&gt;"",'Data Source'!S781="F"),IF('Data Source'!X781&gt;=5,"A+",IF('Data Source'!X781&gt;=4,"A",IF('Data Source'!X781&gt;=3.5,"A-",IF('Data Source'!X781&gt;=3,"B",IF('Data Source'!X781&gt;=2,"C",IF('Data Source'!X781&gt;=1,"D","F")))))),"")</f>
        <v/>
      </c>
      <c r="G781" s="3">
        <f>IF(AND('Data Source'!B781&lt;&gt;"",'Data Source'!S781="F"),IF('Data Source'!Y781&gt;=5,"A+",IF('Data Source'!Y781&gt;=4,"A",IF('Data Source'!Y781&gt;=3.5,"A-",IF('Data Source'!Y781&gt;=3,"B",IF('Data Source'!Y781&gt;=2,"C",IF('Data Source'!Y781&gt;=1,"D","F")))))),"")</f>
        <v/>
      </c>
      <c r="H781" s="3">
        <f>IF(AND('Data Source'!B781&lt;&gt;"",'Data Source'!S781="F"),IF('Data Source'!Z781&gt;=5,"A+",IF('Data Source'!Z781&gt;=4,"A",IF('Data Source'!Z781&gt;=3.5,"A-",IF('Data Source'!Z781&gt;=3,"B",IF('Data Source'!Z781&gt;=2,"C",IF('Data Source'!Z781&gt;=1,"D","F")))))),"")</f>
        <v/>
      </c>
      <c r="I781" s="3">
        <f>IF(AND('Data Source'!B781&lt;&gt;"",'Data Source'!S781="F"),IF('Data Source'!AA781&gt;=5,"A+",IF('Data Source'!AA781&gt;=4,"A",IF('Data Source'!AA781&gt;=3.5,"A-",IF('Data Source'!AA781&gt;=3,"B",IF('Data Source'!AA781&gt;=2,"C",IF('Data Source'!AA781&gt;=1,"D","F")))))),"")</f>
        <v/>
      </c>
      <c r="J781" s="3">
        <f>IF(AND('Data Source'!B781&lt;&gt;"",'Data Source'!S781="F"),IF('Data Source'!AB781&gt;=5,"A+",IF('Data Source'!AB781&gt;=4,"A",IF('Data Source'!AB781&gt;=3.5,"A-",IF('Data Source'!AB781&gt;=3,"B",IF('Data Source'!AB781&gt;=2,"C",IF('Data Source'!AB781&gt;=1,"D","F")))))),"")</f>
        <v/>
      </c>
      <c r="K781" s="3">
        <f>IF(AND('Data Source'!B781&lt;&gt;"",'Data Source'!S781="F"),IF('Data Source'!AC781&gt;=5,"A+",IF('Data Source'!AC781&gt;=4,"A",IF('Data Source'!AC781&gt;=3.5,"A-",IF('Data Source'!AC781&gt;=3,"B",IF('Data Source'!AC781&gt;=2,"C",IF('Data Source'!AC781&gt;=1,"D","F")))))),"")</f>
        <v/>
      </c>
      <c r="L781" s="3">
        <f>IF(AND('Data Source'!B781&lt;&gt;"",'Data Source'!S781="F"),IF('Data Source'!AD781&gt;=5,"A+",IF('Data Source'!AD781&gt;=4,"A",IF('Data Source'!AD781&gt;=3.5,"A-",IF('Data Source'!AD781&gt;=3,"B",IF('Data Source'!AD781&gt;=2,"C",IF('Data Source'!AD781&gt;=1,"D","F")))))),"")</f>
        <v/>
      </c>
      <c r="M781" s="3">
        <f>IF(AND('Data Source'!B781&lt;&gt;"",'Data Source'!S781="F"),IF('Data Source'!AE781&gt;=5,"A+",IF('Data Source'!AE781&gt;=4,"A",IF('Data Source'!AE781&gt;=3.5,"A-",IF('Data Source'!AE781&gt;=3,"B",IF('Data Source'!AE781&gt;=2,"C",IF('Data Source'!AE781&gt;=1,"D","F")))))),"")</f>
        <v/>
      </c>
      <c r="N781" s="3">
        <f>IF(AND('Data Source'!B781&lt;&gt;"",'Data Source'!S781="F"),IF('Data Source'!AF781&gt;=5,"A+",IF('Data Source'!AF781&gt;=4,"A",IF('Data Source'!AF781&gt;=3.5,"A-",IF('Data Source'!AF781&gt;=3,"B",IF('Data Source'!AF781&gt;=2,"C",IF('Data Source'!AF781&gt;=1,"D","F")))))),"")</f>
        <v/>
      </c>
      <c r="O781" s="3">
        <f>IF(AND('Data Source'!B781&lt;&gt;"",'Data Source'!S781="F"),IF('Data Source'!AG781&gt;=5,"A+",IF('Data Source'!AG781&gt;=4,"A",IF('Data Source'!AG781&gt;=3.5,"A-",IF('Data Source'!AG781&gt;=3,"B",IF('Data Source'!AG781&gt;=2,"C",IF('Data Source'!AG781&gt;=1,"D","F")))))),"")</f>
        <v/>
      </c>
      <c r="P781" s="5">
        <f>IF(AND('Data Source'!B781&lt;&gt;"",'Data Source'!S781="F"),'Data Source'!R781,"")</f>
        <v/>
      </c>
      <c r="Q781" s="3">
        <f>IF(AND('Data Source'!B781&lt;&gt;"",'Data Source'!S781="F"),'Data Source'!S781,"")</f>
        <v/>
      </c>
    </row>
    <row r="782">
      <c r="A782" s="3">
        <f>IF(AND('Data Source'!B782&lt;&gt;"",'Data Source'!S782="F"),COUNTIF('Data Source'!$S$3:S782,"F"),"")</f>
        <v/>
      </c>
      <c r="B782">
        <f>IF(AND('Data Source'!B782&lt;&gt;"",'Data Source'!S782="F"),'Data Source'!B782,"")</f>
        <v/>
      </c>
      <c r="C782" s="3">
        <f>IF(AND('Data Source'!B782&lt;&gt;"",'Data Source'!S782="F"),IF('Data Source'!U782&gt;=5,"A+",IF('Data Source'!U782&gt;=4,"A",IF('Data Source'!U782&gt;=3.5,"A-",IF('Data Source'!U782&gt;=3,"B",IF('Data Source'!U782&gt;=2,"C",IF('Data Source'!U782&gt;=1,"D","F")))))),"")</f>
        <v/>
      </c>
      <c r="D782" s="3">
        <f>IF(AND('Data Source'!B782&lt;&gt;"",'Data Source'!S782="F"),IF('Data Source'!V782&gt;=5,"A+",IF('Data Source'!V782&gt;=4,"A",IF('Data Source'!V782&gt;=3.5,"A-",IF('Data Source'!V782&gt;=3,"B",IF('Data Source'!V782&gt;=2,"C",IF('Data Source'!V782&gt;=1,"D","F")))))),"")</f>
        <v/>
      </c>
      <c r="E782" s="3">
        <f>IF(AND('Data Source'!B782&lt;&gt;"",'Data Source'!S782="F"),IF('Data Source'!W782&gt;=5,"A+",IF('Data Source'!W782&gt;=4,"A",IF('Data Source'!W782&gt;=3.5,"A-",IF('Data Source'!W782&gt;=3,"B",IF('Data Source'!W782&gt;=2,"C",IF('Data Source'!W782&gt;=1,"D","F")))))),"")</f>
        <v/>
      </c>
      <c r="F782" s="3">
        <f>IF(AND('Data Source'!B782&lt;&gt;"",'Data Source'!S782="F"),IF('Data Source'!X782&gt;=5,"A+",IF('Data Source'!X782&gt;=4,"A",IF('Data Source'!X782&gt;=3.5,"A-",IF('Data Source'!X782&gt;=3,"B",IF('Data Source'!X782&gt;=2,"C",IF('Data Source'!X782&gt;=1,"D","F")))))),"")</f>
        <v/>
      </c>
      <c r="G782" s="3">
        <f>IF(AND('Data Source'!B782&lt;&gt;"",'Data Source'!S782="F"),IF('Data Source'!Y782&gt;=5,"A+",IF('Data Source'!Y782&gt;=4,"A",IF('Data Source'!Y782&gt;=3.5,"A-",IF('Data Source'!Y782&gt;=3,"B",IF('Data Source'!Y782&gt;=2,"C",IF('Data Source'!Y782&gt;=1,"D","F")))))),"")</f>
        <v/>
      </c>
      <c r="H782" s="3">
        <f>IF(AND('Data Source'!B782&lt;&gt;"",'Data Source'!S782="F"),IF('Data Source'!Z782&gt;=5,"A+",IF('Data Source'!Z782&gt;=4,"A",IF('Data Source'!Z782&gt;=3.5,"A-",IF('Data Source'!Z782&gt;=3,"B",IF('Data Source'!Z782&gt;=2,"C",IF('Data Source'!Z782&gt;=1,"D","F")))))),"")</f>
        <v/>
      </c>
      <c r="I782" s="3">
        <f>IF(AND('Data Source'!B782&lt;&gt;"",'Data Source'!S782="F"),IF('Data Source'!AA782&gt;=5,"A+",IF('Data Source'!AA782&gt;=4,"A",IF('Data Source'!AA782&gt;=3.5,"A-",IF('Data Source'!AA782&gt;=3,"B",IF('Data Source'!AA782&gt;=2,"C",IF('Data Source'!AA782&gt;=1,"D","F")))))),"")</f>
        <v/>
      </c>
      <c r="J782" s="3">
        <f>IF(AND('Data Source'!B782&lt;&gt;"",'Data Source'!S782="F"),IF('Data Source'!AB782&gt;=5,"A+",IF('Data Source'!AB782&gt;=4,"A",IF('Data Source'!AB782&gt;=3.5,"A-",IF('Data Source'!AB782&gt;=3,"B",IF('Data Source'!AB782&gt;=2,"C",IF('Data Source'!AB782&gt;=1,"D","F")))))),"")</f>
        <v/>
      </c>
      <c r="K782" s="3">
        <f>IF(AND('Data Source'!B782&lt;&gt;"",'Data Source'!S782="F"),IF('Data Source'!AC782&gt;=5,"A+",IF('Data Source'!AC782&gt;=4,"A",IF('Data Source'!AC782&gt;=3.5,"A-",IF('Data Source'!AC782&gt;=3,"B",IF('Data Source'!AC782&gt;=2,"C",IF('Data Source'!AC782&gt;=1,"D","F")))))),"")</f>
        <v/>
      </c>
      <c r="L782" s="3">
        <f>IF(AND('Data Source'!B782&lt;&gt;"",'Data Source'!S782="F"),IF('Data Source'!AD782&gt;=5,"A+",IF('Data Source'!AD782&gt;=4,"A",IF('Data Source'!AD782&gt;=3.5,"A-",IF('Data Source'!AD782&gt;=3,"B",IF('Data Source'!AD782&gt;=2,"C",IF('Data Source'!AD782&gt;=1,"D","F")))))),"")</f>
        <v/>
      </c>
      <c r="M782" s="3">
        <f>IF(AND('Data Source'!B782&lt;&gt;"",'Data Source'!S782="F"),IF('Data Source'!AE782&gt;=5,"A+",IF('Data Source'!AE782&gt;=4,"A",IF('Data Source'!AE782&gt;=3.5,"A-",IF('Data Source'!AE782&gt;=3,"B",IF('Data Source'!AE782&gt;=2,"C",IF('Data Source'!AE782&gt;=1,"D","F")))))),"")</f>
        <v/>
      </c>
      <c r="N782" s="3">
        <f>IF(AND('Data Source'!B782&lt;&gt;"",'Data Source'!S782="F"),IF('Data Source'!AF782&gt;=5,"A+",IF('Data Source'!AF782&gt;=4,"A",IF('Data Source'!AF782&gt;=3.5,"A-",IF('Data Source'!AF782&gt;=3,"B",IF('Data Source'!AF782&gt;=2,"C",IF('Data Source'!AF782&gt;=1,"D","F")))))),"")</f>
        <v/>
      </c>
      <c r="O782" s="3">
        <f>IF(AND('Data Source'!B782&lt;&gt;"",'Data Source'!S782="F"),IF('Data Source'!AG782&gt;=5,"A+",IF('Data Source'!AG782&gt;=4,"A",IF('Data Source'!AG782&gt;=3.5,"A-",IF('Data Source'!AG782&gt;=3,"B",IF('Data Source'!AG782&gt;=2,"C",IF('Data Source'!AG782&gt;=1,"D","F")))))),"")</f>
        <v/>
      </c>
      <c r="P782" s="5">
        <f>IF(AND('Data Source'!B782&lt;&gt;"",'Data Source'!S782="F"),'Data Source'!R782,"")</f>
        <v/>
      </c>
      <c r="Q782" s="3">
        <f>IF(AND('Data Source'!B782&lt;&gt;"",'Data Source'!S782="F"),'Data Source'!S782,"")</f>
        <v/>
      </c>
    </row>
    <row r="783">
      <c r="A783" s="3">
        <f>IF(AND('Data Source'!B783&lt;&gt;"",'Data Source'!S783="F"),COUNTIF('Data Source'!$S$3:S783,"F"),"")</f>
        <v/>
      </c>
      <c r="B783">
        <f>IF(AND('Data Source'!B783&lt;&gt;"",'Data Source'!S783="F"),'Data Source'!B783,"")</f>
        <v/>
      </c>
      <c r="C783" s="3">
        <f>IF(AND('Data Source'!B783&lt;&gt;"",'Data Source'!S783="F"),IF('Data Source'!U783&gt;=5,"A+",IF('Data Source'!U783&gt;=4,"A",IF('Data Source'!U783&gt;=3.5,"A-",IF('Data Source'!U783&gt;=3,"B",IF('Data Source'!U783&gt;=2,"C",IF('Data Source'!U783&gt;=1,"D","F")))))),"")</f>
        <v/>
      </c>
      <c r="D783" s="3">
        <f>IF(AND('Data Source'!B783&lt;&gt;"",'Data Source'!S783="F"),IF('Data Source'!V783&gt;=5,"A+",IF('Data Source'!V783&gt;=4,"A",IF('Data Source'!V783&gt;=3.5,"A-",IF('Data Source'!V783&gt;=3,"B",IF('Data Source'!V783&gt;=2,"C",IF('Data Source'!V783&gt;=1,"D","F")))))),"")</f>
        <v/>
      </c>
      <c r="E783" s="3">
        <f>IF(AND('Data Source'!B783&lt;&gt;"",'Data Source'!S783="F"),IF('Data Source'!W783&gt;=5,"A+",IF('Data Source'!W783&gt;=4,"A",IF('Data Source'!W783&gt;=3.5,"A-",IF('Data Source'!W783&gt;=3,"B",IF('Data Source'!W783&gt;=2,"C",IF('Data Source'!W783&gt;=1,"D","F")))))),"")</f>
        <v/>
      </c>
      <c r="F783" s="3">
        <f>IF(AND('Data Source'!B783&lt;&gt;"",'Data Source'!S783="F"),IF('Data Source'!X783&gt;=5,"A+",IF('Data Source'!X783&gt;=4,"A",IF('Data Source'!X783&gt;=3.5,"A-",IF('Data Source'!X783&gt;=3,"B",IF('Data Source'!X783&gt;=2,"C",IF('Data Source'!X783&gt;=1,"D","F")))))),"")</f>
        <v/>
      </c>
      <c r="G783" s="3">
        <f>IF(AND('Data Source'!B783&lt;&gt;"",'Data Source'!S783="F"),IF('Data Source'!Y783&gt;=5,"A+",IF('Data Source'!Y783&gt;=4,"A",IF('Data Source'!Y783&gt;=3.5,"A-",IF('Data Source'!Y783&gt;=3,"B",IF('Data Source'!Y783&gt;=2,"C",IF('Data Source'!Y783&gt;=1,"D","F")))))),"")</f>
        <v/>
      </c>
      <c r="H783" s="3">
        <f>IF(AND('Data Source'!B783&lt;&gt;"",'Data Source'!S783="F"),IF('Data Source'!Z783&gt;=5,"A+",IF('Data Source'!Z783&gt;=4,"A",IF('Data Source'!Z783&gt;=3.5,"A-",IF('Data Source'!Z783&gt;=3,"B",IF('Data Source'!Z783&gt;=2,"C",IF('Data Source'!Z783&gt;=1,"D","F")))))),"")</f>
        <v/>
      </c>
      <c r="I783" s="3">
        <f>IF(AND('Data Source'!B783&lt;&gt;"",'Data Source'!S783="F"),IF('Data Source'!AA783&gt;=5,"A+",IF('Data Source'!AA783&gt;=4,"A",IF('Data Source'!AA783&gt;=3.5,"A-",IF('Data Source'!AA783&gt;=3,"B",IF('Data Source'!AA783&gt;=2,"C",IF('Data Source'!AA783&gt;=1,"D","F")))))),"")</f>
        <v/>
      </c>
      <c r="J783" s="3">
        <f>IF(AND('Data Source'!B783&lt;&gt;"",'Data Source'!S783="F"),IF('Data Source'!AB783&gt;=5,"A+",IF('Data Source'!AB783&gt;=4,"A",IF('Data Source'!AB783&gt;=3.5,"A-",IF('Data Source'!AB783&gt;=3,"B",IF('Data Source'!AB783&gt;=2,"C",IF('Data Source'!AB783&gt;=1,"D","F")))))),"")</f>
        <v/>
      </c>
      <c r="K783" s="3">
        <f>IF(AND('Data Source'!B783&lt;&gt;"",'Data Source'!S783="F"),IF('Data Source'!AC783&gt;=5,"A+",IF('Data Source'!AC783&gt;=4,"A",IF('Data Source'!AC783&gt;=3.5,"A-",IF('Data Source'!AC783&gt;=3,"B",IF('Data Source'!AC783&gt;=2,"C",IF('Data Source'!AC783&gt;=1,"D","F")))))),"")</f>
        <v/>
      </c>
      <c r="L783" s="3">
        <f>IF(AND('Data Source'!B783&lt;&gt;"",'Data Source'!S783="F"),IF('Data Source'!AD783&gt;=5,"A+",IF('Data Source'!AD783&gt;=4,"A",IF('Data Source'!AD783&gt;=3.5,"A-",IF('Data Source'!AD783&gt;=3,"B",IF('Data Source'!AD783&gt;=2,"C",IF('Data Source'!AD783&gt;=1,"D","F")))))),"")</f>
        <v/>
      </c>
      <c r="M783" s="3">
        <f>IF(AND('Data Source'!B783&lt;&gt;"",'Data Source'!S783="F"),IF('Data Source'!AE783&gt;=5,"A+",IF('Data Source'!AE783&gt;=4,"A",IF('Data Source'!AE783&gt;=3.5,"A-",IF('Data Source'!AE783&gt;=3,"B",IF('Data Source'!AE783&gt;=2,"C",IF('Data Source'!AE783&gt;=1,"D","F")))))),"")</f>
        <v/>
      </c>
      <c r="N783" s="3">
        <f>IF(AND('Data Source'!B783&lt;&gt;"",'Data Source'!S783="F"),IF('Data Source'!AF783&gt;=5,"A+",IF('Data Source'!AF783&gt;=4,"A",IF('Data Source'!AF783&gt;=3.5,"A-",IF('Data Source'!AF783&gt;=3,"B",IF('Data Source'!AF783&gt;=2,"C",IF('Data Source'!AF783&gt;=1,"D","F")))))),"")</f>
        <v/>
      </c>
      <c r="O783" s="3">
        <f>IF(AND('Data Source'!B783&lt;&gt;"",'Data Source'!S783="F"),IF('Data Source'!AG783&gt;=5,"A+",IF('Data Source'!AG783&gt;=4,"A",IF('Data Source'!AG783&gt;=3.5,"A-",IF('Data Source'!AG783&gt;=3,"B",IF('Data Source'!AG783&gt;=2,"C",IF('Data Source'!AG783&gt;=1,"D","F")))))),"")</f>
        <v/>
      </c>
      <c r="P783" s="5">
        <f>IF(AND('Data Source'!B783&lt;&gt;"",'Data Source'!S783="F"),'Data Source'!R783,"")</f>
        <v/>
      </c>
      <c r="Q783" s="3">
        <f>IF(AND('Data Source'!B783&lt;&gt;"",'Data Source'!S783="F"),'Data Source'!S783,"")</f>
        <v/>
      </c>
    </row>
    <row r="784">
      <c r="A784" s="3">
        <f>IF(AND('Data Source'!B784&lt;&gt;"",'Data Source'!S784="F"),COUNTIF('Data Source'!$S$3:S784,"F"),"")</f>
        <v/>
      </c>
      <c r="B784">
        <f>IF(AND('Data Source'!B784&lt;&gt;"",'Data Source'!S784="F"),'Data Source'!B784,"")</f>
        <v/>
      </c>
      <c r="C784" s="3">
        <f>IF(AND('Data Source'!B784&lt;&gt;"",'Data Source'!S784="F"),IF('Data Source'!U784&gt;=5,"A+",IF('Data Source'!U784&gt;=4,"A",IF('Data Source'!U784&gt;=3.5,"A-",IF('Data Source'!U784&gt;=3,"B",IF('Data Source'!U784&gt;=2,"C",IF('Data Source'!U784&gt;=1,"D","F")))))),"")</f>
        <v/>
      </c>
      <c r="D784" s="3">
        <f>IF(AND('Data Source'!B784&lt;&gt;"",'Data Source'!S784="F"),IF('Data Source'!V784&gt;=5,"A+",IF('Data Source'!V784&gt;=4,"A",IF('Data Source'!V784&gt;=3.5,"A-",IF('Data Source'!V784&gt;=3,"B",IF('Data Source'!V784&gt;=2,"C",IF('Data Source'!V784&gt;=1,"D","F")))))),"")</f>
        <v/>
      </c>
      <c r="E784" s="3">
        <f>IF(AND('Data Source'!B784&lt;&gt;"",'Data Source'!S784="F"),IF('Data Source'!W784&gt;=5,"A+",IF('Data Source'!W784&gt;=4,"A",IF('Data Source'!W784&gt;=3.5,"A-",IF('Data Source'!W784&gt;=3,"B",IF('Data Source'!W784&gt;=2,"C",IF('Data Source'!W784&gt;=1,"D","F")))))),"")</f>
        <v/>
      </c>
      <c r="F784" s="3">
        <f>IF(AND('Data Source'!B784&lt;&gt;"",'Data Source'!S784="F"),IF('Data Source'!X784&gt;=5,"A+",IF('Data Source'!X784&gt;=4,"A",IF('Data Source'!X784&gt;=3.5,"A-",IF('Data Source'!X784&gt;=3,"B",IF('Data Source'!X784&gt;=2,"C",IF('Data Source'!X784&gt;=1,"D","F")))))),"")</f>
        <v/>
      </c>
      <c r="G784" s="3">
        <f>IF(AND('Data Source'!B784&lt;&gt;"",'Data Source'!S784="F"),IF('Data Source'!Y784&gt;=5,"A+",IF('Data Source'!Y784&gt;=4,"A",IF('Data Source'!Y784&gt;=3.5,"A-",IF('Data Source'!Y784&gt;=3,"B",IF('Data Source'!Y784&gt;=2,"C",IF('Data Source'!Y784&gt;=1,"D","F")))))),"")</f>
        <v/>
      </c>
      <c r="H784" s="3">
        <f>IF(AND('Data Source'!B784&lt;&gt;"",'Data Source'!S784="F"),IF('Data Source'!Z784&gt;=5,"A+",IF('Data Source'!Z784&gt;=4,"A",IF('Data Source'!Z784&gt;=3.5,"A-",IF('Data Source'!Z784&gt;=3,"B",IF('Data Source'!Z784&gt;=2,"C",IF('Data Source'!Z784&gt;=1,"D","F")))))),"")</f>
        <v/>
      </c>
      <c r="I784" s="3">
        <f>IF(AND('Data Source'!B784&lt;&gt;"",'Data Source'!S784="F"),IF('Data Source'!AA784&gt;=5,"A+",IF('Data Source'!AA784&gt;=4,"A",IF('Data Source'!AA784&gt;=3.5,"A-",IF('Data Source'!AA784&gt;=3,"B",IF('Data Source'!AA784&gt;=2,"C",IF('Data Source'!AA784&gt;=1,"D","F")))))),"")</f>
        <v/>
      </c>
      <c r="J784" s="3">
        <f>IF(AND('Data Source'!B784&lt;&gt;"",'Data Source'!S784="F"),IF('Data Source'!AB784&gt;=5,"A+",IF('Data Source'!AB784&gt;=4,"A",IF('Data Source'!AB784&gt;=3.5,"A-",IF('Data Source'!AB784&gt;=3,"B",IF('Data Source'!AB784&gt;=2,"C",IF('Data Source'!AB784&gt;=1,"D","F")))))),"")</f>
        <v/>
      </c>
      <c r="K784" s="3">
        <f>IF(AND('Data Source'!B784&lt;&gt;"",'Data Source'!S784="F"),IF('Data Source'!AC784&gt;=5,"A+",IF('Data Source'!AC784&gt;=4,"A",IF('Data Source'!AC784&gt;=3.5,"A-",IF('Data Source'!AC784&gt;=3,"B",IF('Data Source'!AC784&gt;=2,"C",IF('Data Source'!AC784&gt;=1,"D","F")))))),"")</f>
        <v/>
      </c>
      <c r="L784" s="3">
        <f>IF(AND('Data Source'!B784&lt;&gt;"",'Data Source'!S784="F"),IF('Data Source'!AD784&gt;=5,"A+",IF('Data Source'!AD784&gt;=4,"A",IF('Data Source'!AD784&gt;=3.5,"A-",IF('Data Source'!AD784&gt;=3,"B",IF('Data Source'!AD784&gt;=2,"C",IF('Data Source'!AD784&gt;=1,"D","F")))))),"")</f>
        <v/>
      </c>
      <c r="M784" s="3">
        <f>IF(AND('Data Source'!B784&lt;&gt;"",'Data Source'!S784="F"),IF('Data Source'!AE784&gt;=5,"A+",IF('Data Source'!AE784&gt;=4,"A",IF('Data Source'!AE784&gt;=3.5,"A-",IF('Data Source'!AE784&gt;=3,"B",IF('Data Source'!AE784&gt;=2,"C",IF('Data Source'!AE784&gt;=1,"D","F")))))),"")</f>
        <v/>
      </c>
      <c r="N784" s="3">
        <f>IF(AND('Data Source'!B784&lt;&gt;"",'Data Source'!S784="F"),IF('Data Source'!AF784&gt;=5,"A+",IF('Data Source'!AF784&gt;=4,"A",IF('Data Source'!AF784&gt;=3.5,"A-",IF('Data Source'!AF784&gt;=3,"B",IF('Data Source'!AF784&gt;=2,"C",IF('Data Source'!AF784&gt;=1,"D","F")))))),"")</f>
        <v/>
      </c>
      <c r="O784" s="3">
        <f>IF(AND('Data Source'!B784&lt;&gt;"",'Data Source'!S784="F"),IF('Data Source'!AG784&gt;=5,"A+",IF('Data Source'!AG784&gt;=4,"A",IF('Data Source'!AG784&gt;=3.5,"A-",IF('Data Source'!AG784&gt;=3,"B",IF('Data Source'!AG784&gt;=2,"C",IF('Data Source'!AG784&gt;=1,"D","F")))))),"")</f>
        <v/>
      </c>
      <c r="P784" s="5">
        <f>IF(AND('Data Source'!B784&lt;&gt;"",'Data Source'!S784="F"),'Data Source'!R784,"")</f>
        <v/>
      </c>
      <c r="Q784" s="3">
        <f>IF(AND('Data Source'!B784&lt;&gt;"",'Data Source'!S784="F"),'Data Source'!S784,"")</f>
        <v/>
      </c>
    </row>
    <row r="785">
      <c r="A785" s="3">
        <f>IF(AND('Data Source'!B785&lt;&gt;"",'Data Source'!S785="F"),COUNTIF('Data Source'!$S$3:S785,"F"),"")</f>
        <v/>
      </c>
      <c r="B785">
        <f>IF(AND('Data Source'!B785&lt;&gt;"",'Data Source'!S785="F"),'Data Source'!B785,"")</f>
        <v/>
      </c>
      <c r="C785" s="3">
        <f>IF(AND('Data Source'!B785&lt;&gt;"",'Data Source'!S785="F"),IF('Data Source'!U785&gt;=5,"A+",IF('Data Source'!U785&gt;=4,"A",IF('Data Source'!U785&gt;=3.5,"A-",IF('Data Source'!U785&gt;=3,"B",IF('Data Source'!U785&gt;=2,"C",IF('Data Source'!U785&gt;=1,"D","F")))))),"")</f>
        <v/>
      </c>
      <c r="D785" s="3">
        <f>IF(AND('Data Source'!B785&lt;&gt;"",'Data Source'!S785="F"),IF('Data Source'!V785&gt;=5,"A+",IF('Data Source'!V785&gt;=4,"A",IF('Data Source'!V785&gt;=3.5,"A-",IF('Data Source'!V785&gt;=3,"B",IF('Data Source'!V785&gt;=2,"C",IF('Data Source'!V785&gt;=1,"D","F")))))),"")</f>
        <v/>
      </c>
      <c r="E785" s="3">
        <f>IF(AND('Data Source'!B785&lt;&gt;"",'Data Source'!S785="F"),IF('Data Source'!W785&gt;=5,"A+",IF('Data Source'!W785&gt;=4,"A",IF('Data Source'!W785&gt;=3.5,"A-",IF('Data Source'!W785&gt;=3,"B",IF('Data Source'!W785&gt;=2,"C",IF('Data Source'!W785&gt;=1,"D","F")))))),"")</f>
        <v/>
      </c>
      <c r="F785" s="3">
        <f>IF(AND('Data Source'!B785&lt;&gt;"",'Data Source'!S785="F"),IF('Data Source'!X785&gt;=5,"A+",IF('Data Source'!X785&gt;=4,"A",IF('Data Source'!X785&gt;=3.5,"A-",IF('Data Source'!X785&gt;=3,"B",IF('Data Source'!X785&gt;=2,"C",IF('Data Source'!X785&gt;=1,"D","F")))))),"")</f>
        <v/>
      </c>
      <c r="G785" s="3">
        <f>IF(AND('Data Source'!B785&lt;&gt;"",'Data Source'!S785="F"),IF('Data Source'!Y785&gt;=5,"A+",IF('Data Source'!Y785&gt;=4,"A",IF('Data Source'!Y785&gt;=3.5,"A-",IF('Data Source'!Y785&gt;=3,"B",IF('Data Source'!Y785&gt;=2,"C",IF('Data Source'!Y785&gt;=1,"D","F")))))),"")</f>
        <v/>
      </c>
      <c r="H785" s="3">
        <f>IF(AND('Data Source'!B785&lt;&gt;"",'Data Source'!S785="F"),IF('Data Source'!Z785&gt;=5,"A+",IF('Data Source'!Z785&gt;=4,"A",IF('Data Source'!Z785&gt;=3.5,"A-",IF('Data Source'!Z785&gt;=3,"B",IF('Data Source'!Z785&gt;=2,"C",IF('Data Source'!Z785&gt;=1,"D","F")))))),"")</f>
        <v/>
      </c>
      <c r="I785" s="3">
        <f>IF(AND('Data Source'!B785&lt;&gt;"",'Data Source'!S785="F"),IF('Data Source'!AA785&gt;=5,"A+",IF('Data Source'!AA785&gt;=4,"A",IF('Data Source'!AA785&gt;=3.5,"A-",IF('Data Source'!AA785&gt;=3,"B",IF('Data Source'!AA785&gt;=2,"C",IF('Data Source'!AA785&gt;=1,"D","F")))))),"")</f>
        <v/>
      </c>
      <c r="J785" s="3">
        <f>IF(AND('Data Source'!B785&lt;&gt;"",'Data Source'!S785="F"),IF('Data Source'!AB785&gt;=5,"A+",IF('Data Source'!AB785&gt;=4,"A",IF('Data Source'!AB785&gt;=3.5,"A-",IF('Data Source'!AB785&gt;=3,"B",IF('Data Source'!AB785&gt;=2,"C",IF('Data Source'!AB785&gt;=1,"D","F")))))),"")</f>
        <v/>
      </c>
      <c r="K785" s="3">
        <f>IF(AND('Data Source'!B785&lt;&gt;"",'Data Source'!S785="F"),IF('Data Source'!AC785&gt;=5,"A+",IF('Data Source'!AC785&gt;=4,"A",IF('Data Source'!AC785&gt;=3.5,"A-",IF('Data Source'!AC785&gt;=3,"B",IF('Data Source'!AC785&gt;=2,"C",IF('Data Source'!AC785&gt;=1,"D","F")))))),"")</f>
        <v/>
      </c>
      <c r="L785" s="3">
        <f>IF(AND('Data Source'!B785&lt;&gt;"",'Data Source'!S785="F"),IF('Data Source'!AD785&gt;=5,"A+",IF('Data Source'!AD785&gt;=4,"A",IF('Data Source'!AD785&gt;=3.5,"A-",IF('Data Source'!AD785&gt;=3,"B",IF('Data Source'!AD785&gt;=2,"C",IF('Data Source'!AD785&gt;=1,"D","F")))))),"")</f>
        <v/>
      </c>
      <c r="M785" s="3">
        <f>IF(AND('Data Source'!B785&lt;&gt;"",'Data Source'!S785="F"),IF('Data Source'!AE785&gt;=5,"A+",IF('Data Source'!AE785&gt;=4,"A",IF('Data Source'!AE785&gt;=3.5,"A-",IF('Data Source'!AE785&gt;=3,"B",IF('Data Source'!AE785&gt;=2,"C",IF('Data Source'!AE785&gt;=1,"D","F")))))),"")</f>
        <v/>
      </c>
      <c r="N785" s="3">
        <f>IF(AND('Data Source'!B785&lt;&gt;"",'Data Source'!S785="F"),IF('Data Source'!AF785&gt;=5,"A+",IF('Data Source'!AF785&gt;=4,"A",IF('Data Source'!AF785&gt;=3.5,"A-",IF('Data Source'!AF785&gt;=3,"B",IF('Data Source'!AF785&gt;=2,"C",IF('Data Source'!AF785&gt;=1,"D","F")))))),"")</f>
        <v/>
      </c>
      <c r="O785" s="3">
        <f>IF(AND('Data Source'!B785&lt;&gt;"",'Data Source'!S785="F"),IF('Data Source'!AG785&gt;=5,"A+",IF('Data Source'!AG785&gt;=4,"A",IF('Data Source'!AG785&gt;=3.5,"A-",IF('Data Source'!AG785&gt;=3,"B",IF('Data Source'!AG785&gt;=2,"C",IF('Data Source'!AG785&gt;=1,"D","F")))))),"")</f>
        <v/>
      </c>
      <c r="P785" s="5">
        <f>IF(AND('Data Source'!B785&lt;&gt;"",'Data Source'!S785="F"),'Data Source'!R785,"")</f>
        <v/>
      </c>
      <c r="Q785" s="3">
        <f>IF(AND('Data Source'!B785&lt;&gt;"",'Data Source'!S785="F"),'Data Source'!S785,"")</f>
        <v/>
      </c>
    </row>
    <row r="786">
      <c r="A786" s="3">
        <f>IF(AND('Data Source'!B786&lt;&gt;"",'Data Source'!S786="F"),COUNTIF('Data Source'!$S$3:S786,"F"),"")</f>
        <v/>
      </c>
      <c r="B786">
        <f>IF(AND('Data Source'!B786&lt;&gt;"",'Data Source'!S786="F"),'Data Source'!B786,"")</f>
        <v/>
      </c>
      <c r="C786" s="3">
        <f>IF(AND('Data Source'!B786&lt;&gt;"",'Data Source'!S786="F"),IF('Data Source'!U786&gt;=5,"A+",IF('Data Source'!U786&gt;=4,"A",IF('Data Source'!U786&gt;=3.5,"A-",IF('Data Source'!U786&gt;=3,"B",IF('Data Source'!U786&gt;=2,"C",IF('Data Source'!U786&gt;=1,"D","F")))))),"")</f>
        <v/>
      </c>
      <c r="D786" s="3">
        <f>IF(AND('Data Source'!B786&lt;&gt;"",'Data Source'!S786="F"),IF('Data Source'!V786&gt;=5,"A+",IF('Data Source'!V786&gt;=4,"A",IF('Data Source'!V786&gt;=3.5,"A-",IF('Data Source'!V786&gt;=3,"B",IF('Data Source'!V786&gt;=2,"C",IF('Data Source'!V786&gt;=1,"D","F")))))),"")</f>
        <v/>
      </c>
      <c r="E786" s="3">
        <f>IF(AND('Data Source'!B786&lt;&gt;"",'Data Source'!S786="F"),IF('Data Source'!W786&gt;=5,"A+",IF('Data Source'!W786&gt;=4,"A",IF('Data Source'!W786&gt;=3.5,"A-",IF('Data Source'!W786&gt;=3,"B",IF('Data Source'!W786&gt;=2,"C",IF('Data Source'!W786&gt;=1,"D","F")))))),"")</f>
        <v/>
      </c>
      <c r="F786" s="3">
        <f>IF(AND('Data Source'!B786&lt;&gt;"",'Data Source'!S786="F"),IF('Data Source'!X786&gt;=5,"A+",IF('Data Source'!X786&gt;=4,"A",IF('Data Source'!X786&gt;=3.5,"A-",IF('Data Source'!X786&gt;=3,"B",IF('Data Source'!X786&gt;=2,"C",IF('Data Source'!X786&gt;=1,"D","F")))))),"")</f>
        <v/>
      </c>
      <c r="G786" s="3">
        <f>IF(AND('Data Source'!B786&lt;&gt;"",'Data Source'!S786="F"),IF('Data Source'!Y786&gt;=5,"A+",IF('Data Source'!Y786&gt;=4,"A",IF('Data Source'!Y786&gt;=3.5,"A-",IF('Data Source'!Y786&gt;=3,"B",IF('Data Source'!Y786&gt;=2,"C",IF('Data Source'!Y786&gt;=1,"D","F")))))),"")</f>
        <v/>
      </c>
      <c r="H786" s="3">
        <f>IF(AND('Data Source'!B786&lt;&gt;"",'Data Source'!S786="F"),IF('Data Source'!Z786&gt;=5,"A+",IF('Data Source'!Z786&gt;=4,"A",IF('Data Source'!Z786&gt;=3.5,"A-",IF('Data Source'!Z786&gt;=3,"B",IF('Data Source'!Z786&gt;=2,"C",IF('Data Source'!Z786&gt;=1,"D","F")))))),"")</f>
        <v/>
      </c>
      <c r="I786" s="3">
        <f>IF(AND('Data Source'!B786&lt;&gt;"",'Data Source'!S786="F"),IF('Data Source'!AA786&gt;=5,"A+",IF('Data Source'!AA786&gt;=4,"A",IF('Data Source'!AA786&gt;=3.5,"A-",IF('Data Source'!AA786&gt;=3,"B",IF('Data Source'!AA786&gt;=2,"C",IF('Data Source'!AA786&gt;=1,"D","F")))))),"")</f>
        <v/>
      </c>
      <c r="J786" s="3">
        <f>IF(AND('Data Source'!B786&lt;&gt;"",'Data Source'!S786="F"),IF('Data Source'!AB786&gt;=5,"A+",IF('Data Source'!AB786&gt;=4,"A",IF('Data Source'!AB786&gt;=3.5,"A-",IF('Data Source'!AB786&gt;=3,"B",IF('Data Source'!AB786&gt;=2,"C",IF('Data Source'!AB786&gt;=1,"D","F")))))),"")</f>
        <v/>
      </c>
      <c r="K786" s="3">
        <f>IF(AND('Data Source'!B786&lt;&gt;"",'Data Source'!S786="F"),IF('Data Source'!AC786&gt;=5,"A+",IF('Data Source'!AC786&gt;=4,"A",IF('Data Source'!AC786&gt;=3.5,"A-",IF('Data Source'!AC786&gt;=3,"B",IF('Data Source'!AC786&gt;=2,"C",IF('Data Source'!AC786&gt;=1,"D","F")))))),"")</f>
        <v/>
      </c>
      <c r="L786" s="3">
        <f>IF(AND('Data Source'!B786&lt;&gt;"",'Data Source'!S786="F"),IF('Data Source'!AD786&gt;=5,"A+",IF('Data Source'!AD786&gt;=4,"A",IF('Data Source'!AD786&gt;=3.5,"A-",IF('Data Source'!AD786&gt;=3,"B",IF('Data Source'!AD786&gt;=2,"C",IF('Data Source'!AD786&gt;=1,"D","F")))))),"")</f>
        <v/>
      </c>
      <c r="M786" s="3">
        <f>IF(AND('Data Source'!B786&lt;&gt;"",'Data Source'!S786="F"),IF('Data Source'!AE786&gt;=5,"A+",IF('Data Source'!AE786&gt;=4,"A",IF('Data Source'!AE786&gt;=3.5,"A-",IF('Data Source'!AE786&gt;=3,"B",IF('Data Source'!AE786&gt;=2,"C",IF('Data Source'!AE786&gt;=1,"D","F")))))),"")</f>
        <v/>
      </c>
      <c r="N786" s="3">
        <f>IF(AND('Data Source'!B786&lt;&gt;"",'Data Source'!S786="F"),IF('Data Source'!AF786&gt;=5,"A+",IF('Data Source'!AF786&gt;=4,"A",IF('Data Source'!AF786&gt;=3.5,"A-",IF('Data Source'!AF786&gt;=3,"B",IF('Data Source'!AF786&gt;=2,"C",IF('Data Source'!AF786&gt;=1,"D","F")))))),"")</f>
        <v/>
      </c>
      <c r="O786" s="3">
        <f>IF(AND('Data Source'!B786&lt;&gt;"",'Data Source'!S786="F"),IF('Data Source'!AG786&gt;=5,"A+",IF('Data Source'!AG786&gt;=4,"A",IF('Data Source'!AG786&gt;=3.5,"A-",IF('Data Source'!AG786&gt;=3,"B",IF('Data Source'!AG786&gt;=2,"C",IF('Data Source'!AG786&gt;=1,"D","F")))))),"")</f>
        <v/>
      </c>
      <c r="P786" s="5">
        <f>IF(AND('Data Source'!B786&lt;&gt;"",'Data Source'!S786="F"),'Data Source'!R786,"")</f>
        <v/>
      </c>
      <c r="Q786" s="3">
        <f>IF(AND('Data Source'!B786&lt;&gt;"",'Data Source'!S786="F"),'Data Source'!S786,"")</f>
        <v/>
      </c>
    </row>
    <row r="787">
      <c r="A787" s="3">
        <f>IF(AND('Data Source'!B787&lt;&gt;"",'Data Source'!S787="F"),COUNTIF('Data Source'!$S$3:S787,"F"),"")</f>
        <v/>
      </c>
      <c r="B787">
        <f>IF(AND('Data Source'!B787&lt;&gt;"",'Data Source'!S787="F"),'Data Source'!B787,"")</f>
        <v/>
      </c>
      <c r="C787" s="3">
        <f>IF(AND('Data Source'!B787&lt;&gt;"",'Data Source'!S787="F"),IF('Data Source'!U787&gt;=5,"A+",IF('Data Source'!U787&gt;=4,"A",IF('Data Source'!U787&gt;=3.5,"A-",IF('Data Source'!U787&gt;=3,"B",IF('Data Source'!U787&gt;=2,"C",IF('Data Source'!U787&gt;=1,"D","F")))))),"")</f>
        <v/>
      </c>
      <c r="D787" s="3">
        <f>IF(AND('Data Source'!B787&lt;&gt;"",'Data Source'!S787="F"),IF('Data Source'!V787&gt;=5,"A+",IF('Data Source'!V787&gt;=4,"A",IF('Data Source'!V787&gt;=3.5,"A-",IF('Data Source'!V787&gt;=3,"B",IF('Data Source'!V787&gt;=2,"C",IF('Data Source'!V787&gt;=1,"D","F")))))),"")</f>
        <v/>
      </c>
      <c r="E787" s="3">
        <f>IF(AND('Data Source'!B787&lt;&gt;"",'Data Source'!S787="F"),IF('Data Source'!W787&gt;=5,"A+",IF('Data Source'!W787&gt;=4,"A",IF('Data Source'!W787&gt;=3.5,"A-",IF('Data Source'!W787&gt;=3,"B",IF('Data Source'!W787&gt;=2,"C",IF('Data Source'!W787&gt;=1,"D","F")))))),"")</f>
        <v/>
      </c>
      <c r="F787" s="3">
        <f>IF(AND('Data Source'!B787&lt;&gt;"",'Data Source'!S787="F"),IF('Data Source'!X787&gt;=5,"A+",IF('Data Source'!X787&gt;=4,"A",IF('Data Source'!X787&gt;=3.5,"A-",IF('Data Source'!X787&gt;=3,"B",IF('Data Source'!X787&gt;=2,"C",IF('Data Source'!X787&gt;=1,"D","F")))))),"")</f>
        <v/>
      </c>
      <c r="G787" s="3">
        <f>IF(AND('Data Source'!B787&lt;&gt;"",'Data Source'!S787="F"),IF('Data Source'!Y787&gt;=5,"A+",IF('Data Source'!Y787&gt;=4,"A",IF('Data Source'!Y787&gt;=3.5,"A-",IF('Data Source'!Y787&gt;=3,"B",IF('Data Source'!Y787&gt;=2,"C",IF('Data Source'!Y787&gt;=1,"D","F")))))),"")</f>
        <v/>
      </c>
      <c r="H787" s="3">
        <f>IF(AND('Data Source'!B787&lt;&gt;"",'Data Source'!S787="F"),IF('Data Source'!Z787&gt;=5,"A+",IF('Data Source'!Z787&gt;=4,"A",IF('Data Source'!Z787&gt;=3.5,"A-",IF('Data Source'!Z787&gt;=3,"B",IF('Data Source'!Z787&gt;=2,"C",IF('Data Source'!Z787&gt;=1,"D","F")))))),"")</f>
        <v/>
      </c>
      <c r="I787" s="3">
        <f>IF(AND('Data Source'!B787&lt;&gt;"",'Data Source'!S787="F"),IF('Data Source'!AA787&gt;=5,"A+",IF('Data Source'!AA787&gt;=4,"A",IF('Data Source'!AA787&gt;=3.5,"A-",IF('Data Source'!AA787&gt;=3,"B",IF('Data Source'!AA787&gt;=2,"C",IF('Data Source'!AA787&gt;=1,"D","F")))))),"")</f>
        <v/>
      </c>
      <c r="J787" s="3">
        <f>IF(AND('Data Source'!B787&lt;&gt;"",'Data Source'!S787="F"),IF('Data Source'!AB787&gt;=5,"A+",IF('Data Source'!AB787&gt;=4,"A",IF('Data Source'!AB787&gt;=3.5,"A-",IF('Data Source'!AB787&gt;=3,"B",IF('Data Source'!AB787&gt;=2,"C",IF('Data Source'!AB787&gt;=1,"D","F")))))),"")</f>
        <v/>
      </c>
      <c r="K787" s="3">
        <f>IF(AND('Data Source'!B787&lt;&gt;"",'Data Source'!S787="F"),IF('Data Source'!AC787&gt;=5,"A+",IF('Data Source'!AC787&gt;=4,"A",IF('Data Source'!AC787&gt;=3.5,"A-",IF('Data Source'!AC787&gt;=3,"B",IF('Data Source'!AC787&gt;=2,"C",IF('Data Source'!AC787&gt;=1,"D","F")))))),"")</f>
        <v/>
      </c>
      <c r="L787" s="3">
        <f>IF(AND('Data Source'!B787&lt;&gt;"",'Data Source'!S787="F"),IF('Data Source'!AD787&gt;=5,"A+",IF('Data Source'!AD787&gt;=4,"A",IF('Data Source'!AD787&gt;=3.5,"A-",IF('Data Source'!AD787&gt;=3,"B",IF('Data Source'!AD787&gt;=2,"C",IF('Data Source'!AD787&gt;=1,"D","F")))))),"")</f>
        <v/>
      </c>
      <c r="M787" s="3">
        <f>IF(AND('Data Source'!B787&lt;&gt;"",'Data Source'!S787="F"),IF('Data Source'!AE787&gt;=5,"A+",IF('Data Source'!AE787&gt;=4,"A",IF('Data Source'!AE787&gt;=3.5,"A-",IF('Data Source'!AE787&gt;=3,"B",IF('Data Source'!AE787&gt;=2,"C",IF('Data Source'!AE787&gt;=1,"D","F")))))),"")</f>
        <v/>
      </c>
      <c r="N787" s="3">
        <f>IF(AND('Data Source'!B787&lt;&gt;"",'Data Source'!S787="F"),IF('Data Source'!AF787&gt;=5,"A+",IF('Data Source'!AF787&gt;=4,"A",IF('Data Source'!AF787&gt;=3.5,"A-",IF('Data Source'!AF787&gt;=3,"B",IF('Data Source'!AF787&gt;=2,"C",IF('Data Source'!AF787&gt;=1,"D","F")))))),"")</f>
        <v/>
      </c>
      <c r="O787" s="3">
        <f>IF(AND('Data Source'!B787&lt;&gt;"",'Data Source'!S787="F"),IF('Data Source'!AG787&gt;=5,"A+",IF('Data Source'!AG787&gt;=4,"A",IF('Data Source'!AG787&gt;=3.5,"A-",IF('Data Source'!AG787&gt;=3,"B",IF('Data Source'!AG787&gt;=2,"C",IF('Data Source'!AG787&gt;=1,"D","F")))))),"")</f>
        <v/>
      </c>
      <c r="P787" s="5">
        <f>IF(AND('Data Source'!B787&lt;&gt;"",'Data Source'!S787="F"),'Data Source'!R787,"")</f>
        <v/>
      </c>
      <c r="Q787" s="3">
        <f>IF(AND('Data Source'!B787&lt;&gt;"",'Data Source'!S787="F"),'Data Source'!S787,"")</f>
        <v/>
      </c>
    </row>
    <row r="788">
      <c r="A788" s="3">
        <f>IF(AND('Data Source'!B788&lt;&gt;"",'Data Source'!S788="F"),COUNTIF('Data Source'!$S$3:S788,"F"),"")</f>
        <v/>
      </c>
      <c r="B788">
        <f>IF(AND('Data Source'!B788&lt;&gt;"",'Data Source'!S788="F"),'Data Source'!B788,"")</f>
        <v/>
      </c>
      <c r="C788" s="3">
        <f>IF(AND('Data Source'!B788&lt;&gt;"",'Data Source'!S788="F"),IF('Data Source'!U788&gt;=5,"A+",IF('Data Source'!U788&gt;=4,"A",IF('Data Source'!U788&gt;=3.5,"A-",IF('Data Source'!U788&gt;=3,"B",IF('Data Source'!U788&gt;=2,"C",IF('Data Source'!U788&gt;=1,"D","F")))))),"")</f>
        <v/>
      </c>
      <c r="D788" s="3">
        <f>IF(AND('Data Source'!B788&lt;&gt;"",'Data Source'!S788="F"),IF('Data Source'!V788&gt;=5,"A+",IF('Data Source'!V788&gt;=4,"A",IF('Data Source'!V788&gt;=3.5,"A-",IF('Data Source'!V788&gt;=3,"B",IF('Data Source'!V788&gt;=2,"C",IF('Data Source'!V788&gt;=1,"D","F")))))),"")</f>
        <v/>
      </c>
      <c r="E788" s="3">
        <f>IF(AND('Data Source'!B788&lt;&gt;"",'Data Source'!S788="F"),IF('Data Source'!W788&gt;=5,"A+",IF('Data Source'!W788&gt;=4,"A",IF('Data Source'!W788&gt;=3.5,"A-",IF('Data Source'!W788&gt;=3,"B",IF('Data Source'!W788&gt;=2,"C",IF('Data Source'!W788&gt;=1,"D","F")))))),"")</f>
        <v/>
      </c>
      <c r="F788" s="3">
        <f>IF(AND('Data Source'!B788&lt;&gt;"",'Data Source'!S788="F"),IF('Data Source'!X788&gt;=5,"A+",IF('Data Source'!X788&gt;=4,"A",IF('Data Source'!X788&gt;=3.5,"A-",IF('Data Source'!X788&gt;=3,"B",IF('Data Source'!X788&gt;=2,"C",IF('Data Source'!X788&gt;=1,"D","F")))))),"")</f>
        <v/>
      </c>
      <c r="G788" s="3">
        <f>IF(AND('Data Source'!B788&lt;&gt;"",'Data Source'!S788="F"),IF('Data Source'!Y788&gt;=5,"A+",IF('Data Source'!Y788&gt;=4,"A",IF('Data Source'!Y788&gt;=3.5,"A-",IF('Data Source'!Y788&gt;=3,"B",IF('Data Source'!Y788&gt;=2,"C",IF('Data Source'!Y788&gt;=1,"D","F")))))),"")</f>
        <v/>
      </c>
      <c r="H788" s="3">
        <f>IF(AND('Data Source'!B788&lt;&gt;"",'Data Source'!S788="F"),IF('Data Source'!Z788&gt;=5,"A+",IF('Data Source'!Z788&gt;=4,"A",IF('Data Source'!Z788&gt;=3.5,"A-",IF('Data Source'!Z788&gt;=3,"B",IF('Data Source'!Z788&gt;=2,"C",IF('Data Source'!Z788&gt;=1,"D","F")))))),"")</f>
        <v/>
      </c>
      <c r="I788" s="3">
        <f>IF(AND('Data Source'!B788&lt;&gt;"",'Data Source'!S788="F"),IF('Data Source'!AA788&gt;=5,"A+",IF('Data Source'!AA788&gt;=4,"A",IF('Data Source'!AA788&gt;=3.5,"A-",IF('Data Source'!AA788&gt;=3,"B",IF('Data Source'!AA788&gt;=2,"C",IF('Data Source'!AA788&gt;=1,"D","F")))))),"")</f>
        <v/>
      </c>
      <c r="J788" s="3">
        <f>IF(AND('Data Source'!B788&lt;&gt;"",'Data Source'!S788="F"),IF('Data Source'!AB788&gt;=5,"A+",IF('Data Source'!AB788&gt;=4,"A",IF('Data Source'!AB788&gt;=3.5,"A-",IF('Data Source'!AB788&gt;=3,"B",IF('Data Source'!AB788&gt;=2,"C",IF('Data Source'!AB788&gt;=1,"D","F")))))),"")</f>
        <v/>
      </c>
      <c r="K788" s="3">
        <f>IF(AND('Data Source'!B788&lt;&gt;"",'Data Source'!S788="F"),IF('Data Source'!AC788&gt;=5,"A+",IF('Data Source'!AC788&gt;=4,"A",IF('Data Source'!AC788&gt;=3.5,"A-",IF('Data Source'!AC788&gt;=3,"B",IF('Data Source'!AC788&gt;=2,"C",IF('Data Source'!AC788&gt;=1,"D","F")))))),"")</f>
        <v/>
      </c>
      <c r="L788" s="3">
        <f>IF(AND('Data Source'!B788&lt;&gt;"",'Data Source'!S788="F"),IF('Data Source'!AD788&gt;=5,"A+",IF('Data Source'!AD788&gt;=4,"A",IF('Data Source'!AD788&gt;=3.5,"A-",IF('Data Source'!AD788&gt;=3,"B",IF('Data Source'!AD788&gt;=2,"C",IF('Data Source'!AD788&gt;=1,"D","F")))))),"")</f>
        <v/>
      </c>
      <c r="M788" s="3">
        <f>IF(AND('Data Source'!B788&lt;&gt;"",'Data Source'!S788="F"),IF('Data Source'!AE788&gt;=5,"A+",IF('Data Source'!AE788&gt;=4,"A",IF('Data Source'!AE788&gt;=3.5,"A-",IF('Data Source'!AE788&gt;=3,"B",IF('Data Source'!AE788&gt;=2,"C",IF('Data Source'!AE788&gt;=1,"D","F")))))),"")</f>
        <v/>
      </c>
      <c r="N788" s="3">
        <f>IF(AND('Data Source'!B788&lt;&gt;"",'Data Source'!S788="F"),IF('Data Source'!AF788&gt;=5,"A+",IF('Data Source'!AF788&gt;=4,"A",IF('Data Source'!AF788&gt;=3.5,"A-",IF('Data Source'!AF788&gt;=3,"B",IF('Data Source'!AF788&gt;=2,"C",IF('Data Source'!AF788&gt;=1,"D","F")))))),"")</f>
        <v/>
      </c>
      <c r="O788" s="3">
        <f>IF(AND('Data Source'!B788&lt;&gt;"",'Data Source'!S788="F"),IF('Data Source'!AG788&gt;=5,"A+",IF('Data Source'!AG788&gt;=4,"A",IF('Data Source'!AG788&gt;=3.5,"A-",IF('Data Source'!AG788&gt;=3,"B",IF('Data Source'!AG788&gt;=2,"C",IF('Data Source'!AG788&gt;=1,"D","F")))))),"")</f>
        <v/>
      </c>
      <c r="P788" s="5">
        <f>IF(AND('Data Source'!B788&lt;&gt;"",'Data Source'!S788="F"),'Data Source'!R788,"")</f>
        <v/>
      </c>
      <c r="Q788" s="3">
        <f>IF(AND('Data Source'!B788&lt;&gt;"",'Data Source'!S788="F"),'Data Source'!S788,"")</f>
        <v/>
      </c>
    </row>
    <row r="789">
      <c r="A789" s="3">
        <f>IF(AND('Data Source'!B789&lt;&gt;"",'Data Source'!S789="F"),COUNTIF('Data Source'!$S$3:S789,"F"),"")</f>
        <v/>
      </c>
      <c r="B789">
        <f>IF(AND('Data Source'!B789&lt;&gt;"",'Data Source'!S789="F"),'Data Source'!B789,"")</f>
        <v/>
      </c>
      <c r="C789" s="3">
        <f>IF(AND('Data Source'!B789&lt;&gt;"",'Data Source'!S789="F"),IF('Data Source'!U789&gt;=5,"A+",IF('Data Source'!U789&gt;=4,"A",IF('Data Source'!U789&gt;=3.5,"A-",IF('Data Source'!U789&gt;=3,"B",IF('Data Source'!U789&gt;=2,"C",IF('Data Source'!U789&gt;=1,"D","F")))))),"")</f>
        <v/>
      </c>
      <c r="D789" s="3">
        <f>IF(AND('Data Source'!B789&lt;&gt;"",'Data Source'!S789="F"),IF('Data Source'!V789&gt;=5,"A+",IF('Data Source'!V789&gt;=4,"A",IF('Data Source'!V789&gt;=3.5,"A-",IF('Data Source'!V789&gt;=3,"B",IF('Data Source'!V789&gt;=2,"C",IF('Data Source'!V789&gt;=1,"D","F")))))),"")</f>
        <v/>
      </c>
      <c r="E789" s="3">
        <f>IF(AND('Data Source'!B789&lt;&gt;"",'Data Source'!S789="F"),IF('Data Source'!W789&gt;=5,"A+",IF('Data Source'!W789&gt;=4,"A",IF('Data Source'!W789&gt;=3.5,"A-",IF('Data Source'!W789&gt;=3,"B",IF('Data Source'!W789&gt;=2,"C",IF('Data Source'!W789&gt;=1,"D","F")))))),"")</f>
        <v/>
      </c>
      <c r="F789" s="3">
        <f>IF(AND('Data Source'!B789&lt;&gt;"",'Data Source'!S789="F"),IF('Data Source'!X789&gt;=5,"A+",IF('Data Source'!X789&gt;=4,"A",IF('Data Source'!X789&gt;=3.5,"A-",IF('Data Source'!X789&gt;=3,"B",IF('Data Source'!X789&gt;=2,"C",IF('Data Source'!X789&gt;=1,"D","F")))))),"")</f>
        <v/>
      </c>
      <c r="G789" s="3">
        <f>IF(AND('Data Source'!B789&lt;&gt;"",'Data Source'!S789="F"),IF('Data Source'!Y789&gt;=5,"A+",IF('Data Source'!Y789&gt;=4,"A",IF('Data Source'!Y789&gt;=3.5,"A-",IF('Data Source'!Y789&gt;=3,"B",IF('Data Source'!Y789&gt;=2,"C",IF('Data Source'!Y789&gt;=1,"D","F")))))),"")</f>
        <v/>
      </c>
      <c r="H789" s="3">
        <f>IF(AND('Data Source'!B789&lt;&gt;"",'Data Source'!S789="F"),IF('Data Source'!Z789&gt;=5,"A+",IF('Data Source'!Z789&gt;=4,"A",IF('Data Source'!Z789&gt;=3.5,"A-",IF('Data Source'!Z789&gt;=3,"B",IF('Data Source'!Z789&gt;=2,"C",IF('Data Source'!Z789&gt;=1,"D","F")))))),"")</f>
        <v/>
      </c>
      <c r="I789" s="3">
        <f>IF(AND('Data Source'!B789&lt;&gt;"",'Data Source'!S789="F"),IF('Data Source'!AA789&gt;=5,"A+",IF('Data Source'!AA789&gt;=4,"A",IF('Data Source'!AA789&gt;=3.5,"A-",IF('Data Source'!AA789&gt;=3,"B",IF('Data Source'!AA789&gt;=2,"C",IF('Data Source'!AA789&gt;=1,"D","F")))))),"")</f>
        <v/>
      </c>
      <c r="J789" s="3">
        <f>IF(AND('Data Source'!B789&lt;&gt;"",'Data Source'!S789="F"),IF('Data Source'!AB789&gt;=5,"A+",IF('Data Source'!AB789&gt;=4,"A",IF('Data Source'!AB789&gt;=3.5,"A-",IF('Data Source'!AB789&gt;=3,"B",IF('Data Source'!AB789&gt;=2,"C",IF('Data Source'!AB789&gt;=1,"D","F")))))),"")</f>
        <v/>
      </c>
      <c r="K789" s="3">
        <f>IF(AND('Data Source'!B789&lt;&gt;"",'Data Source'!S789="F"),IF('Data Source'!AC789&gt;=5,"A+",IF('Data Source'!AC789&gt;=4,"A",IF('Data Source'!AC789&gt;=3.5,"A-",IF('Data Source'!AC789&gt;=3,"B",IF('Data Source'!AC789&gt;=2,"C",IF('Data Source'!AC789&gt;=1,"D","F")))))),"")</f>
        <v/>
      </c>
      <c r="L789" s="3">
        <f>IF(AND('Data Source'!B789&lt;&gt;"",'Data Source'!S789="F"),IF('Data Source'!AD789&gt;=5,"A+",IF('Data Source'!AD789&gt;=4,"A",IF('Data Source'!AD789&gt;=3.5,"A-",IF('Data Source'!AD789&gt;=3,"B",IF('Data Source'!AD789&gt;=2,"C",IF('Data Source'!AD789&gt;=1,"D","F")))))),"")</f>
        <v/>
      </c>
      <c r="M789" s="3">
        <f>IF(AND('Data Source'!B789&lt;&gt;"",'Data Source'!S789="F"),IF('Data Source'!AE789&gt;=5,"A+",IF('Data Source'!AE789&gt;=4,"A",IF('Data Source'!AE789&gt;=3.5,"A-",IF('Data Source'!AE789&gt;=3,"B",IF('Data Source'!AE789&gt;=2,"C",IF('Data Source'!AE789&gt;=1,"D","F")))))),"")</f>
        <v/>
      </c>
      <c r="N789" s="3">
        <f>IF(AND('Data Source'!B789&lt;&gt;"",'Data Source'!S789="F"),IF('Data Source'!AF789&gt;=5,"A+",IF('Data Source'!AF789&gt;=4,"A",IF('Data Source'!AF789&gt;=3.5,"A-",IF('Data Source'!AF789&gt;=3,"B",IF('Data Source'!AF789&gt;=2,"C",IF('Data Source'!AF789&gt;=1,"D","F")))))),"")</f>
        <v/>
      </c>
      <c r="O789" s="3">
        <f>IF(AND('Data Source'!B789&lt;&gt;"",'Data Source'!S789="F"),IF('Data Source'!AG789&gt;=5,"A+",IF('Data Source'!AG789&gt;=4,"A",IF('Data Source'!AG789&gt;=3.5,"A-",IF('Data Source'!AG789&gt;=3,"B",IF('Data Source'!AG789&gt;=2,"C",IF('Data Source'!AG789&gt;=1,"D","F")))))),"")</f>
        <v/>
      </c>
      <c r="P789" s="5">
        <f>IF(AND('Data Source'!B789&lt;&gt;"",'Data Source'!S789="F"),'Data Source'!R789,"")</f>
        <v/>
      </c>
      <c r="Q789" s="3">
        <f>IF(AND('Data Source'!B789&lt;&gt;"",'Data Source'!S789="F"),'Data Source'!S789,"")</f>
        <v/>
      </c>
    </row>
    <row r="790">
      <c r="A790" s="3">
        <f>IF(AND('Data Source'!B790&lt;&gt;"",'Data Source'!S790="F"),COUNTIF('Data Source'!$S$3:S790,"F"),"")</f>
        <v/>
      </c>
      <c r="B790">
        <f>IF(AND('Data Source'!B790&lt;&gt;"",'Data Source'!S790="F"),'Data Source'!B790,"")</f>
        <v/>
      </c>
      <c r="C790" s="3">
        <f>IF(AND('Data Source'!B790&lt;&gt;"",'Data Source'!S790="F"),IF('Data Source'!U790&gt;=5,"A+",IF('Data Source'!U790&gt;=4,"A",IF('Data Source'!U790&gt;=3.5,"A-",IF('Data Source'!U790&gt;=3,"B",IF('Data Source'!U790&gt;=2,"C",IF('Data Source'!U790&gt;=1,"D","F")))))),"")</f>
        <v/>
      </c>
      <c r="D790" s="3">
        <f>IF(AND('Data Source'!B790&lt;&gt;"",'Data Source'!S790="F"),IF('Data Source'!V790&gt;=5,"A+",IF('Data Source'!V790&gt;=4,"A",IF('Data Source'!V790&gt;=3.5,"A-",IF('Data Source'!V790&gt;=3,"B",IF('Data Source'!V790&gt;=2,"C",IF('Data Source'!V790&gt;=1,"D","F")))))),"")</f>
        <v/>
      </c>
      <c r="E790" s="3">
        <f>IF(AND('Data Source'!B790&lt;&gt;"",'Data Source'!S790="F"),IF('Data Source'!W790&gt;=5,"A+",IF('Data Source'!W790&gt;=4,"A",IF('Data Source'!W790&gt;=3.5,"A-",IF('Data Source'!W790&gt;=3,"B",IF('Data Source'!W790&gt;=2,"C",IF('Data Source'!W790&gt;=1,"D","F")))))),"")</f>
        <v/>
      </c>
      <c r="F790" s="3">
        <f>IF(AND('Data Source'!B790&lt;&gt;"",'Data Source'!S790="F"),IF('Data Source'!X790&gt;=5,"A+",IF('Data Source'!X790&gt;=4,"A",IF('Data Source'!X790&gt;=3.5,"A-",IF('Data Source'!X790&gt;=3,"B",IF('Data Source'!X790&gt;=2,"C",IF('Data Source'!X790&gt;=1,"D","F")))))),"")</f>
        <v/>
      </c>
      <c r="G790" s="3">
        <f>IF(AND('Data Source'!B790&lt;&gt;"",'Data Source'!S790="F"),IF('Data Source'!Y790&gt;=5,"A+",IF('Data Source'!Y790&gt;=4,"A",IF('Data Source'!Y790&gt;=3.5,"A-",IF('Data Source'!Y790&gt;=3,"B",IF('Data Source'!Y790&gt;=2,"C",IF('Data Source'!Y790&gt;=1,"D","F")))))),"")</f>
        <v/>
      </c>
      <c r="H790" s="3">
        <f>IF(AND('Data Source'!B790&lt;&gt;"",'Data Source'!S790="F"),IF('Data Source'!Z790&gt;=5,"A+",IF('Data Source'!Z790&gt;=4,"A",IF('Data Source'!Z790&gt;=3.5,"A-",IF('Data Source'!Z790&gt;=3,"B",IF('Data Source'!Z790&gt;=2,"C",IF('Data Source'!Z790&gt;=1,"D","F")))))),"")</f>
        <v/>
      </c>
      <c r="I790" s="3">
        <f>IF(AND('Data Source'!B790&lt;&gt;"",'Data Source'!S790="F"),IF('Data Source'!AA790&gt;=5,"A+",IF('Data Source'!AA790&gt;=4,"A",IF('Data Source'!AA790&gt;=3.5,"A-",IF('Data Source'!AA790&gt;=3,"B",IF('Data Source'!AA790&gt;=2,"C",IF('Data Source'!AA790&gt;=1,"D","F")))))),"")</f>
        <v/>
      </c>
      <c r="J790" s="3">
        <f>IF(AND('Data Source'!B790&lt;&gt;"",'Data Source'!S790="F"),IF('Data Source'!AB790&gt;=5,"A+",IF('Data Source'!AB790&gt;=4,"A",IF('Data Source'!AB790&gt;=3.5,"A-",IF('Data Source'!AB790&gt;=3,"B",IF('Data Source'!AB790&gt;=2,"C",IF('Data Source'!AB790&gt;=1,"D","F")))))),"")</f>
        <v/>
      </c>
      <c r="K790" s="3">
        <f>IF(AND('Data Source'!B790&lt;&gt;"",'Data Source'!S790="F"),IF('Data Source'!AC790&gt;=5,"A+",IF('Data Source'!AC790&gt;=4,"A",IF('Data Source'!AC790&gt;=3.5,"A-",IF('Data Source'!AC790&gt;=3,"B",IF('Data Source'!AC790&gt;=2,"C",IF('Data Source'!AC790&gt;=1,"D","F")))))),"")</f>
        <v/>
      </c>
      <c r="L790" s="3">
        <f>IF(AND('Data Source'!B790&lt;&gt;"",'Data Source'!S790="F"),IF('Data Source'!AD790&gt;=5,"A+",IF('Data Source'!AD790&gt;=4,"A",IF('Data Source'!AD790&gt;=3.5,"A-",IF('Data Source'!AD790&gt;=3,"B",IF('Data Source'!AD790&gt;=2,"C",IF('Data Source'!AD790&gt;=1,"D","F")))))),"")</f>
        <v/>
      </c>
      <c r="M790" s="3">
        <f>IF(AND('Data Source'!B790&lt;&gt;"",'Data Source'!S790="F"),IF('Data Source'!AE790&gt;=5,"A+",IF('Data Source'!AE790&gt;=4,"A",IF('Data Source'!AE790&gt;=3.5,"A-",IF('Data Source'!AE790&gt;=3,"B",IF('Data Source'!AE790&gt;=2,"C",IF('Data Source'!AE790&gt;=1,"D","F")))))),"")</f>
        <v/>
      </c>
      <c r="N790" s="3">
        <f>IF(AND('Data Source'!B790&lt;&gt;"",'Data Source'!S790="F"),IF('Data Source'!AF790&gt;=5,"A+",IF('Data Source'!AF790&gt;=4,"A",IF('Data Source'!AF790&gt;=3.5,"A-",IF('Data Source'!AF790&gt;=3,"B",IF('Data Source'!AF790&gt;=2,"C",IF('Data Source'!AF790&gt;=1,"D","F")))))),"")</f>
        <v/>
      </c>
      <c r="O790" s="3">
        <f>IF(AND('Data Source'!B790&lt;&gt;"",'Data Source'!S790="F"),IF('Data Source'!AG790&gt;=5,"A+",IF('Data Source'!AG790&gt;=4,"A",IF('Data Source'!AG790&gt;=3.5,"A-",IF('Data Source'!AG790&gt;=3,"B",IF('Data Source'!AG790&gt;=2,"C",IF('Data Source'!AG790&gt;=1,"D","F")))))),"")</f>
        <v/>
      </c>
      <c r="P790" s="5">
        <f>IF(AND('Data Source'!B790&lt;&gt;"",'Data Source'!S790="F"),'Data Source'!R790,"")</f>
        <v/>
      </c>
      <c r="Q790" s="3">
        <f>IF(AND('Data Source'!B790&lt;&gt;"",'Data Source'!S790="F"),'Data Source'!S790,"")</f>
        <v/>
      </c>
    </row>
    <row r="791">
      <c r="A791" s="3">
        <f>IF(AND('Data Source'!B791&lt;&gt;"",'Data Source'!S791="F"),COUNTIF('Data Source'!$S$3:S791,"F"),"")</f>
        <v/>
      </c>
      <c r="B791">
        <f>IF(AND('Data Source'!B791&lt;&gt;"",'Data Source'!S791="F"),'Data Source'!B791,"")</f>
        <v/>
      </c>
      <c r="C791" s="3">
        <f>IF(AND('Data Source'!B791&lt;&gt;"",'Data Source'!S791="F"),IF('Data Source'!U791&gt;=5,"A+",IF('Data Source'!U791&gt;=4,"A",IF('Data Source'!U791&gt;=3.5,"A-",IF('Data Source'!U791&gt;=3,"B",IF('Data Source'!U791&gt;=2,"C",IF('Data Source'!U791&gt;=1,"D","F")))))),"")</f>
        <v/>
      </c>
      <c r="D791" s="3">
        <f>IF(AND('Data Source'!B791&lt;&gt;"",'Data Source'!S791="F"),IF('Data Source'!V791&gt;=5,"A+",IF('Data Source'!V791&gt;=4,"A",IF('Data Source'!V791&gt;=3.5,"A-",IF('Data Source'!V791&gt;=3,"B",IF('Data Source'!V791&gt;=2,"C",IF('Data Source'!V791&gt;=1,"D","F")))))),"")</f>
        <v/>
      </c>
      <c r="E791" s="3">
        <f>IF(AND('Data Source'!B791&lt;&gt;"",'Data Source'!S791="F"),IF('Data Source'!W791&gt;=5,"A+",IF('Data Source'!W791&gt;=4,"A",IF('Data Source'!W791&gt;=3.5,"A-",IF('Data Source'!W791&gt;=3,"B",IF('Data Source'!W791&gt;=2,"C",IF('Data Source'!W791&gt;=1,"D","F")))))),"")</f>
        <v/>
      </c>
      <c r="F791" s="3">
        <f>IF(AND('Data Source'!B791&lt;&gt;"",'Data Source'!S791="F"),IF('Data Source'!X791&gt;=5,"A+",IF('Data Source'!X791&gt;=4,"A",IF('Data Source'!X791&gt;=3.5,"A-",IF('Data Source'!X791&gt;=3,"B",IF('Data Source'!X791&gt;=2,"C",IF('Data Source'!X791&gt;=1,"D","F")))))),"")</f>
        <v/>
      </c>
      <c r="G791" s="3">
        <f>IF(AND('Data Source'!B791&lt;&gt;"",'Data Source'!S791="F"),IF('Data Source'!Y791&gt;=5,"A+",IF('Data Source'!Y791&gt;=4,"A",IF('Data Source'!Y791&gt;=3.5,"A-",IF('Data Source'!Y791&gt;=3,"B",IF('Data Source'!Y791&gt;=2,"C",IF('Data Source'!Y791&gt;=1,"D","F")))))),"")</f>
        <v/>
      </c>
      <c r="H791" s="3">
        <f>IF(AND('Data Source'!B791&lt;&gt;"",'Data Source'!S791="F"),IF('Data Source'!Z791&gt;=5,"A+",IF('Data Source'!Z791&gt;=4,"A",IF('Data Source'!Z791&gt;=3.5,"A-",IF('Data Source'!Z791&gt;=3,"B",IF('Data Source'!Z791&gt;=2,"C",IF('Data Source'!Z791&gt;=1,"D","F")))))),"")</f>
        <v/>
      </c>
      <c r="I791" s="3">
        <f>IF(AND('Data Source'!B791&lt;&gt;"",'Data Source'!S791="F"),IF('Data Source'!AA791&gt;=5,"A+",IF('Data Source'!AA791&gt;=4,"A",IF('Data Source'!AA791&gt;=3.5,"A-",IF('Data Source'!AA791&gt;=3,"B",IF('Data Source'!AA791&gt;=2,"C",IF('Data Source'!AA791&gt;=1,"D","F")))))),"")</f>
        <v/>
      </c>
      <c r="J791" s="3">
        <f>IF(AND('Data Source'!B791&lt;&gt;"",'Data Source'!S791="F"),IF('Data Source'!AB791&gt;=5,"A+",IF('Data Source'!AB791&gt;=4,"A",IF('Data Source'!AB791&gt;=3.5,"A-",IF('Data Source'!AB791&gt;=3,"B",IF('Data Source'!AB791&gt;=2,"C",IF('Data Source'!AB791&gt;=1,"D","F")))))),"")</f>
        <v/>
      </c>
      <c r="K791" s="3">
        <f>IF(AND('Data Source'!B791&lt;&gt;"",'Data Source'!S791="F"),IF('Data Source'!AC791&gt;=5,"A+",IF('Data Source'!AC791&gt;=4,"A",IF('Data Source'!AC791&gt;=3.5,"A-",IF('Data Source'!AC791&gt;=3,"B",IF('Data Source'!AC791&gt;=2,"C",IF('Data Source'!AC791&gt;=1,"D","F")))))),"")</f>
        <v/>
      </c>
      <c r="L791" s="3">
        <f>IF(AND('Data Source'!B791&lt;&gt;"",'Data Source'!S791="F"),IF('Data Source'!AD791&gt;=5,"A+",IF('Data Source'!AD791&gt;=4,"A",IF('Data Source'!AD791&gt;=3.5,"A-",IF('Data Source'!AD791&gt;=3,"B",IF('Data Source'!AD791&gt;=2,"C",IF('Data Source'!AD791&gt;=1,"D","F")))))),"")</f>
        <v/>
      </c>
      <c r="M791" s="3">
        <f>IF(AND('Data Source'!B791&lt;&gt;"",'Data Source'!S791="F"),IF('Data Source'!AE791&gt;=5,"A+",IF('Data Source'!AE791&gt;=4,"A",IF('Data Source'!AE791&gt;=3.5,"A-",IF('Data Source'!AE791&gt;=3,"B",IF('Data Source'!AE791&gt;=2,"C",IF('Data Source'!AE791&gt;=1,"D","F")))))),"")</f>
        <v/>
      </c>
      <c r="N791" s="3">
        <f>IF(AND('Data Source'!B791&lt;&gt;"",'Data Source'!S791="F"),IF('Data Source'!AF791&gt;=5,"A+",IF('Data Source'!AF791&gt;=4,"A",IF('Data Source'!AF791&gt;=3.5,"A-",IF('Data Source'!AF791&gt;=3,"B",IF('Data Source'!AF791&gt;=2,"C",IF('Data Source'!AF791&gt;=1,"D","F")))))),"")</f>
        <v/>
      </c>
      <c r="O791" s="3">
        <f>IF(AND('Data Source'!B791&lt;&gt;"",'Data Source'!S791="F"),IF('Data Source'!AG791&gt;=5,"A+",IF('Data Source'!AG791&gt;=4,"A",IF('Data Source'!AG791&gt;=3.5,"A-",IF('Data Source'!AG791&gt;=3,"B",IF('Data Source'!AG791&gt;=2,"C",IF('Data Source'!AG791&gt;=1,"D","F")))))),"")</f>
        <v/>
      </c>
      <c r="P791" s="5">
        <f>IF(AND('Data Source'!B791&lt;&gt;"",'Data Source'!S791="F"),'Data Source'!R791,"")</f>
        <v/>
      </c>
      <c r="Q791" s="3">
        <f>IF(AND('Data Source'!B791&lt;&gt;"",'Data Source'!S791="F"),'Data Source'!S791,"")</f>
        <v/>
      </c>
    </row>
    <row r="792">
      <c r="A792" s="3">
        <f>IF(AND('Data Source'!B792&lt;&gt;"",'Data Source'!S792="F"),COUNTIF('Data Source'!$S$3:S792,"F"),"")</f>
        <v/>
      </c>
      <c r="B792">
        <f>IF(AND('Data Source'!B792&lt;&gt;"",'Data Source'!S792="F"),'Data Source'!B792,"")</f>
        <v/>
      </c>
      <c r="C792" s="3">
        <f>IF(AND('Data Source'!B792&lt;&gt;"",'Data Source'!S792="F"),IF('Data Source'!U792&gt;=5,"A+",IF('Data Source'!U792&gt;=4,"A",IF('Data Source'!U792&gt;=3.5,"A-",IF('Data Source'!U792&gt;=3,"B",IF('Data Source'!U792&gt;=2,"C",IF('Data Source'!U792&gt;=1,"D","F")))))),"")</f>
        <v/>
      </c>
      <c r="D792" s="3">
        <f>IF(AND('Data Source'!B792&lt;&gt;"",'Data Source'!S792="F"),IF('Data Source'!V792&gt;=5,"A+",IF('Data Source'!V792&gt;=4,"A",IF('Data Source'!V792&gt;=3.5,"A-",IF('Data Source'!V792&gt;=3,"B",IF('Data Source'!V792&gt;=2,"C",IF('Data Source'!V792&gt;=1,"D","F")))))),"")</f>
        <v/>
      </c>
      <c r="E792" s="3">
        <f>IF(AND('Data Source'!B792&lt;&gt;"",'Data Source'!S792="F"),IF('Data Source'!W792&gt;=5,"A+",IF('Data Source'!W792&gt;=4,"A",IF('Data Source'!W792&gt;=3.5,"A-",IF('Data Source'!W792&gt;=3,"B",IF('Data Source'!W792&gt;=2,"C",IF('Data Source'!W792&gt;=1,"D","F")))))),"")</f>
        <v/>
      </c>
      <c r="F792" s="3">
        <f>IF(AND('Data Source'!B792&lt;&gt;"",'Data Source'!S792="F"),IF('Data Source'!X792&gt;=5,"A+",IF('Data Source'!X792&gt;=4,"A",IF('Data Source'!X792&gt;=3.5,"A-",IF('Data Source'!X792&gt;=3,"B",IF('Data Source'!X792&gt;=2,"C",IF('Data Source'!X792&gt;=1,"D","F")))))),"")</f>
        <v/>
      </c>
      <c r="G792" s="3">
        <f>IF(AND('Data Source'!B792&lt;&gt;"",'Data Source'!S792="F"),IF('Data Source'!Y792&gt;=5,"A+",IF('Data Source'!Y792&gt;=4,"A",IF('Data Source'!Y792&gt;=3.5,"A-",IF('Data Source'!Y792&gt;=3,"B",IF('Data Source'!Y792&gt;=2,"C",IF('Data Source'!Y792&gt;=1,"D","F")))))),"")</f>
        <v/>
      </c>
      <c r="H792" s="3">
        <f>IF(AND('Data Source'!B792&lt;&gt;"",'Data Source'!S792="F"),IF('Data Source'!Z792&gt;=5,"A+",IF('Data Source'!Z792&gt;=4,"A",IF('Data Source'!Z792&gt;=3.5,"A-",IF('Data Source'!Z792&gt;=3,"B",IF('Data Source'!Z792&gt;=2,"C",IF('Data Source'!Z792&gt;=1,"D","F")))))),"")</f>
        <v/>
      </c>
      <c r="I792" s="3">
        <f>IF(AND('Data Source'!B792&lt;&gt;"",'Data Source'!S792="F"),IF('Data Source'!AA792&gt;=5,"A+",IF('Data Source'!AA792&gt;=4,"A",IF('Data Source'!AA792&gt;=3.5,"A-",IF('Data Source'!AA792&gt;=3,"B",IF('Data Source'!AA792&gt;=2,"C",IF('Data Source'!AA792&gt;=1,"D","F")))))),"")</f>
        <v/>
      </c>
      <c r="J792" s="3">
        <f>IF(AND('Data Source'!B792&lt;&gt;"",'Data Source'!S792="F"),IF('Data Source'!AB792&gt;=5,"A+",IF('Data Source'!AB792&gt;=4,"A",IF('Data Source'!AB792&gt;=3.5,"A-",IF('Data Source'!AB792&gt;=3,"B",IF('Data Source'!AB792&gt;=2,"C",IF('Data Source'!AB792&gt;=1,"D","F")))))),"")</f>
        <v/>
      </c>
      <c r="K792" s="3">
        <f>IF(AND('Data Source'!B792&lt;&gt;"",'Data Source'!S792="F"),IF('Data Source'!AC792&gt;=5,"A+",IF('Data Source'!AC792&gt;=4,"A",IF('Data Source'!AC792&gt;=3.5,"A-",IF('Data Source'!AC792&gt;=3,"B",IF('Data Source'!AC792&gt;=2,"C",IF('Data Source'!AC792&gt;=1,"D","F")))))),"")</f>
        <v/>
      </c>
      <c r="L792" s="3">
        <f>IF(AND('Data Source'!B792&lt;&gt;"",'Data Source'!S792="F"),IF('Data Source'!AD792&gt;=5,"A+",IF('Data Source'!AD792&gt;=4,"A",IF('Data Source'!AD792&gt;=3.5,"A-",IF('Data Source'!AD792&gt;=3,"B",IF('Data Source'!AD792&gt;=2,"C",IF('Data Source'!AD792&gt;=1,"D","F")))))),"")</f>
        <v/>
      </c>
      <c r="M792" s="3">
        <f>IF(AND('Data Source'!B792&lt;&gt;"",'Data Source'!S792="F"),IF('Data Source'!AE792&gt;=5,"A+",IF('Data Source'!AE792&gt;=4,"A",IF('Data Source'!AE792&gt;=3.5,"A-",IF('Data Source'!AE792&gt;=3,"B",IF('Data Source'!AE792&gt;=2,"C",IF('Data Source'!AE792&gt;=1,"D","F")))))),"")</f>
        <v/>
      </c>
      <c r="N792" s="3">
        <f>IF(AND('Data Source'!B792&lt;&gt;"",'Data Source'!S792="F"),IF('Data Source'!AF792&gt;=5,"A+",IF('Data Source'!AF792&gt;=4,"A",IF('Data Source'!AF792&gt;=3.5,"A-",IF('Data Source'!AF792&gt;=3,"B",IF('Data Source'!AF792&gt;=2,"C",IF('Data Source'!AF792&gt;=1,"D","F")))))),"")</f>
        <v/>
      </c>
      <c r="O792" s="3">
        <f>IF(AND('Data Source'!B792&lt;&gt;"",'Data Source'!S792="F"),IF('Data Source'!AG792&gt;=5,"A+",IF('Data Source'!AG792&gt;=4,"A",IF('Data Source'!AG792&gt;=3.5,"A-",IF('Data Source'!AG792&gt;=3,"B",IF('Data Source'!AG792&gt;=2,"C",IF('Data Source'!AG792&gt;=1,"D","F")))))),"")</f>
        <v/>
      </c>
      <c r="P792" s="5">
        <f>IF(AND('Data Source'!B792&lt;&gt;"",'Data Source'!S792="F"),'Data Source'!R792,"")</f>
        <v/>
      </c>
      <c r="Q792" s="3">
        <f>IF(AND('Data Source'!B792&lt;&gt;"",'Data Source'!S792="F"),'Data Source'!S792,"")</f>
        <v/>
      </c>
    </row>
    <row r="793">
      <c r="A793" s="3">
        <f>IF(AND('Data Source'!B793&lt;&gt;"",'Data Source'!S793="F"),COUNTIF('Data Source'!$S$3:S793,"F"),"")</f>
        <v/>
      </c>
      <c r="B793">
        <f>IF(AND('Data Source'!B793&lt;&gt;"",'Data Source'!S793="F"),'Data Source'!B793,"")</f>
        <v/>
      </c>
      <c r="C793" s="3">
        <f>IF(AND('Data Source'!B793&lt;&gt;"",'Data Source'!S793="F"),IF('Data Source'!U793&gt;=5,"A+",IF('Data Source'!U793&gt;=4,"A",IF('Data Source'!U793&gt;=3.5,"A-",IF('Data Source'!U793&gt;=3,"B",IF('Data Source'!U793&gt;=2,"C",IF('Data Source'!U793&gt;=1,"D","F")))))),"")</f>
        <v/>
      </c>
      <c r="D793" s="3">
        <f>IF(AND('Data Source'!B793&lt;&gt;"",'Data Source'!S793="F"),IF('Data Source'!V793&gt;=5,"A+",IF('Data Source'!V793&gt;=4,"A",IF('Data Source'!V793&gt;=3.5,"A-",IF('Data Source'!V793&gt;=3,"B",IF('Data Source'!V793&gt;=2,"C",IF('Data Source'!V793&gt;=1,"D","F")))))),"")</f>
        <v/>
      </c>
      <c r="E793" s="3">
        <f>IF(AND('Data Source'!B793&lt;&gt;"",'Data Source'!S793="F"),IF('Data Source'!W793&gt;=5,"A+",IF('Data Source'!W793&gt;=4,"A",IF('Data Source'!W793&gt;=3.5,"A-",IF('Data Source'!W793&gt;=3,"B",IF('Data Source'!W793&gt;=2,"C",IF('Data Source'!W793&gt;=1,"D","F")))))),"")</f>
        <v/>
      </c>
      <c r="F793" s="3">
        <f>IF(AND('Data Source'!B793&lt;&gt;"",'Data Source'!S793="F"),IF('Data Source'!X793&gt;=5,"A+",IF('Data Source'!X793&gt;=4,"A",IF('Data Source'!X793&gt;=3.5,"A-",IF('Data Source'!X793&gt;=3,"B",IF('Data Source'!X793&gt;=2,"C",IF('Data Source'!X793&gt;=1,"D","F")))))),"")</f>
        <v/>
      </c>
      <c r="G793" s="3">
        <f>IF(AND('Data Source'!B793&lt;&gt;"",'Data Source'!S793="F"),IF('Data Source'!Y793&gt;=5,"A+",IF('Data Source'!Y793&gt;=4,"A",IF('Data Source'!Y793&gt;=3.5,"A-",IF('Data Source'!Y793&gt;=3,"B",IF('Data Source'!Y793&gt;=2,"C",IF('Data Source'!Y793&gt;=1,"D","F")))))),"")</f>
        <v/>
      </c>
      <c r="H793" s="3">
        <f>IF(AND('Data Source'!B793&lt;&gt;"",'Data Source'!S793="F"),IF('Data Source'!Z793&gt;=5,"A+",IF('Data Source'!Z793&gt;=4,"A",IF('Data Source'!Z793&gt;=3.5,"A-",IF('Data Source'!Z793&gt;=3,"B",IF('Data Source'!Z793&gt;=2,"C",IF('Data Source'!Z793&gt;=1,"D","F")))))),"")</f>
        <v/>
      </c>
      <c r="I793" s="3">
        <f>IF(AND('Data Source'!B793&lt;&gt;"",'Data Source'!S793="F"),IF('Data Source'!AA793&gt;=5,"A+",IF('Data Source'!AA793&gt;=4,"A",IF('Data Source'!AA793&gt;=3.5,"A-",IF('Data Source'!AA793&gt;=3,"B",IF('Data Source'!AA793&gt;=2,"C",IF('Data Source'!AA793&gt;=1,"D","F")))))),"")</f>
        <v/>
      </c>
      <c r="J793" s="3">
        <f>IF(AND('Data Source'!B793&lt;&gt;"",'Data Source'!S793="F"),IF('Data Source'!AB793&gt;=5,"A+",IF('Data Source'!AB793&gt;=4,"A",IF('Data Source'!AB793&gt;=3.5,"A-",IF('Data Source'!AB793&gt;=3,"B",IF('Data Source'!AB793&gt;=2,"C",IF('Data Source'!AB793&gt;=1,"D","F")))))),"")</f>
        <v/>
      </c>
      <c r="K793" s="3">
        <f>IF(AND('Data Source'!B793&lt;&gt;"",'Data Source'!S793="F"),IF('Data Source'!AC793&gt;=5,"A+",IF('Data Source'!AC793&gt;=4,"A",IF('Data Source'!AC793&gt;=3.5,"A-",IF('Data Source'!AC793&gt;=3,"B",IF('Data Source'!AC793&gt;=2,"C",IF('Data Source'!AC793&gt;=1,"D","F")))))),"")</f>
        <v/>
      </c>
      <c r="L793" s="3">
        <f>IF(AND('Data Source'!B793&lt;&gt;"",'Data Source'!S793="F"),IF('Data Source'!AD793&gt;=5,"A+",IF('Data Source'!AD793&gt;=4,"A",IF('Data Source'!AD793&gt;=3.5,"A-",IF('Data Source'!AD793&gt;=3,"B",IF('Data Source'!AD793&gt;=2,"C",IF('Data Source'!AD793&gt;=1,"D","F")))))),"")</f>
        <v/>
      </c>
      <c r="M793" s="3">
        <f>IF(AND('Data Source'!B793&lt;&gt;"",'Data Source'!S793="F"),IF('Data Source'!AE793&gt;=5,"A+",IF('Data Source'!AE793&gt;=4,"A",IF('Data Source'!AE793&gt;=3.5,"A-",IF('Data Source'!AE793&gt;=3,"B",IF('Data Source'!AE793&gt;=2,"C",IF('Data Source'!AE793&gt;=1,"D","F")))))),"")</f>
        <v/>
      </c>
      <c r="N793" s="3">
        <f>IF(AND('Data Source'!B793&lt;&gt;"",'Data Source'!S793="F"),IF('Data Source'!AF793&gt;=5,"A+",IF('Data Source'!AF793&gt;=4,"A",IF('Data Source'!AF793&gt;=3.5,"A-",IF('Data Source'!AF793&gt;=3,"B",IF('Data Source'!AF793&gt;=2,"C",IF('Data Source'!AF793&gt;=1,"D","F")))))),"")</f>
        <v/>
      </c>
      <c r="O793" s="3">
        <f>IF(AND('Data Source'!B793&lt;&gt;"",'Data Source'!S793="F"),IF('Data Source'!AG793&gt;=5,"A+",IF('Data Source'!AG793&gt;=4,"A",IF('Data Source'!AG793&gt;=3.5,"A-",IF('Data Source'!AG793&gt;=3,"B",IF('Data Source'!AG793&gt;=2,"C",IF('Data Source'!AG793&gt;=1,"D","F")))))),"")</f>
        <v/>
      </c>
      <c r="P793" s="5">
        <f>IF(AND('Data Source'!B793&lt;&gt;"",'Data Source'!S793="F"),'Data Source'!R793,"")</f>
        <v/>
      </c>
      <c r="Q793" s="3">
        <f>IF(AND('Data Source'!B793&lt;&gt;"",'Data Source'!S793="F"),'Data Source'!S793,"")</f>
        <v/>
      </c>
    </row>
    <row r="794">
      <c r="A794" s="3">
        <f>IF(AND('Data Source'!B794&lt;&gt;"",'Data Source'!S794="F"),COUNTIF('Data Source'!$S$3:S794,"F"),"")</f>
        <v/>
      </c>
      <c r="B794">
        <f>IF(AND('Data Source'!B794&lt;&gt;"",'Data Source'!S794="F"),'Data Source'!B794,"")</f>
        <v/>
      </c>
      <c r="C794" s="3">
        <f>IF(AND('Data Source'!B794&lt;&gt;"",'Data Source'!S794="F"),IF('Data Source'!U794&gt;=5,"A+",IF('Data Source'!U794&gt;=4,"A",IF('Data Source'!U794&gt;=3.5,"A-",IF('Data Source'!U794&gt;=3,"B",IF('Data Source'!U794&gt;=2,"C",IF('Data Source'!U794&gt;=1,"D","F")))))),"")</f>
        <v/>
      </c>
      <c r="D794" s="3">
        <f>IF(AND('Data Source'!B794&lt;&gt;"",'Data Source'!S794="F"),IF('Data Source'!V794&gt;=5,"A+",IF('Data Source'!V794&gt;=4,"A",IF('Data Source'!V794&gt;=3.5,"A-",IF('Data Source'!V794&gt;=3,"B",IF('Data Source'!V794&gt;=2,"C",IF('Data Source'!V794&gt;=1,"D","F")))))),"")</f>
        <v/>
      </c>
      <c r="E794" s="3">
        <f>IF(AND('Data Source'!B794&lt;&gt;"",'Data Source'!S794="F"),IF('Data Source'!W794&gt;=5,"A+",IF('Data Source'!W794&gt;=4,"A",IF('Data Source'!W794&gt;=3.5,"A-",IF('Data Source'!W794&gt;=3,"B",IF('Data Source'!W794&gt;=2,"C",IF('Data Source'!W794&gt;=1,"D","F")))))),"")</f>
        <v/>
      </c>
      <c r="F794" s="3">
        <f>IF(AND('Data Source'!B794&lt;&gt;"",'Data Source'!S794="F"),IF('Data Source'!X794&gt;=5,"A+",IF('Data Source'!X794&gt;=4,"A",IF('Data Source'!X794&gt;=3.5,"A-",IF('Data Source'!X794&gt;=3,"B",IF('Data Source'!X794&gt;=2,"C",IF('Data Source'!X794&gt;=1,"D","F")))))),"")</f>
        <v/>
      </c>
      <c r="G794" s="3">
        <f>IF(AND('Data Source'!B794&lt;&gt;"",'Data Source'!S794="F"),IF('Data Source'!Y794&gt;=5,"A+",IF('Data Source'!Y794&gt;=4,"A",IF('Data Source'!Y794&gt;=3.5,"A-",IF('Data Source'!Y794&gt;=3,"B",IF('Data Source'!Y794&gt;=2,"C",IF('Data Source'!Y794&gt;=1,"D","F")))))),"")</f>
        <v/>
      </c>
      <c r="H794" s="3">
        <f>IF(AND('Data Source'!B794&lt;&gt;"",'Data Source'!S794="F"),IF('Data Source'!Z794&gt;=5,"A+",IF('Data Source'!Z794&gt;=4,"A",IF('Data Source'!Z794&gt;=3.5,"A-",IF('Data Source'!Z794&gt;=3,"B",IF('Data Source'!Z794&gt;=2,"C",IF('Data Source'!Z794&gt;=1,"D","F")))))),"")</f>
        <v/>
      </c>
      <c r="I794" s="3">
        <f>IF(AND('Data Source'!B794&lt;&gt;"",'Data Source'!S794="F"),IF('Data Source'!AA794&gt;=5,"A+",IF('Data Source'!AA794&gt;=4,"A",IF('Data Source'!AA794&gt;=3.5,"A-",IF('Data Source'!AA794&gt;=3,"B",IF('Data Source'!AA794&gt;=2,"C",IF('Data Source'!AA794&gt;=1,"D","F")))))),"")</f>
        <v/>
      </c>
      <c r="J794" s="3">
        <f>IF(AND('Data Source'!B794&lt;&gt;"",'Data Source'!S794="F"),IF('Data Source'!AB794&gt;=5,"A+",IF('Data Source'!AB794&gt;=4,"A",IF('Data Source'!AB794&gt;=3.5,"A-",IF('Data Source'!AB794&gt;=3,"B",IF('Data Source'!AB794&gt;=2,"C",IF('Data Source'!AB794&gt;=1,"D","F")))))),"")</f>
        <v/>
      </c>
      <c r="K794" s="3">
        <f>IF(AND('Data Source'!B794&lt;&gt;"",'Data Source'!S794="F"),IF('Data Source'!AC794&gt;=5,"A+",IF('Data Source'!AC794&gt;=4,"A",IF('Data Source'!AC794&gt;=3.5,"A-",IF('Data Source'!AC794&gt;=3,"B",IF('Data Source'!AC794&gt;=2,"C",IF('Data Source'!AC794&gt;=1,"D","F")))))),"")</f>
        <v/>
      </c>
      <c r="L794" s="3">
        <f>IF(AND('Data Source'!B794&lt;&gt;"",'Data Source'!S794="F"),IF('Data Source'!AD794&gt;=5,"A+",IF('Data Source'!AD794&gt;=4,"A",IF('Data Source'!AD794&gt;=3.5,"A-",IF('Data Source'!AD794&gt;=3,"B",IF('Data Source'!AD794&gt;=2,"C",IF('Data Source'!AD794&gt;=1,"D","F")))))),"")</f>
        <v/>
      </c>
      <c r="M794" s="3">
        <f>IF(AND('Data Source'!B794&lt;&gt;"",'Data Source'!S794="F"),IF('Data Source'!AE794&gt;=5,"A+",IF('Data Source'!AE794&gt;=4,"A",IF('Data Source'!AE794&gt;=3.5,"A-",IF('Data Source'!AE794&gt;=3,"B",IF('Data Source'!AE794&gt;=2,"C",IF('Data Source'!AE794&gt;=1,"D","F")))))),"")</f>
        <v/>
      </c>
      <c r="N794" s="3">
        <f>IF(AND('Data Source'!B794&lt;&gt;"",'Data Source'!S794="F"),IF('Data Source'!AF794&gt;=5,"A+",IF('Data Source'!AF794&gt;=4,"A",IF('Data Source'!AF794&gt;=3.5,"A-",IF('Data Source'!AF794&gt;=3,"B",IF('Data Source'!AF794&gt;=2,"C",IF('Data Source'!AF794&gt;=1,"D","F")))))),"")</f>
        <v/>
      </c>
      <c r="O794" s="3">
        <f>IF(AND('Data Source'!B794&lt;&gt;"",'Data Source'!S794="F"),IF('Data Source'!AG794&gt;=5,"A+",IF('Data Source'!AG794&gt;=4,"A",IF('Data Source'!AG794&gt;=3.5,"A-",IF('Data Source'!AG794&gt;=3,"B",IF('Data Source'!AG794&gt;=2,"C",IF('Data Source'!AG794&gt;=1,"D","F")))))),"")</f>
        <v/>
      </c>
      <c r="P794" s="5">
        <f>IF(AND('Data Source'!B794&lt;&gt;"",'Data Source'!S794="F"),'Data Source'!R794,"")</f>
        <v/>
      </c>
      <c r="Q794" s="3">
        <f>IF(AND('Data Source'!B794&lt;&gt;"",'Data Source'!S794="F"),'Data Source'!S794,"")</f>
        <v/>
      </c>
    </row>
    <row r="795">
      <c r="A795" s="3">
        <f>IF(AND('Data Source'!B795&lt;&gt;"",'Data Source'!S795="F"),COUNTIF('Data Source'!$S$3:S795,"F"),"")</f>
        <v/>
      </c>
      <c r="B795">
        <f>IF(AND('Data Source'!B795&lt;&gt;"",'Data Source'!S795="F"),'Data Source'!B795,"")</f>
        <v/>
      </c>
      <c r="C795" s="3">
        <f>IF(AND('Data Source'!B795&lt;&gt;"",'Data Source'!S795="F"),IF('Data Source'!U795&gt;=5,"A+",IF('Data Source'!U795&gt;=4,"A",IF('Data Source'!U795&gt;=3.5,"A-",IF('Data Source'!U795&gt;=3,"B",IF('Data Source'!U795&gt;=2,"C",IF('Data Source'!U795&gt;=1,"D","F")))))),"")</f>
        <v/>
      </c>
      <c r="D795" s="3">
        <f>IF(AND('Data Source'!B795&lt;&gt;"",'Data Source'!S795="F"),IF('Data Source'!V795&gt;=5,"A+",IF('Data Source'!V795&gt;=4,"A",IF('Data Source'!V795&gt;=3.5,"A-",IF('Data Source'!V795&gt;=3,"B",IF('Data Source'!V795&gt;=2,"C",IF('Data Source'!V795&gt;=1,"D","F")))))),"")</f>
        <v/>
      </c>
      <c r="E795" s="3">
        <f>IF(AND('Data Source'!B795&lt;&gt;"",'Data Source'!S795="F"),IF('Data Source'!W795&gt;=5,"A+",IF('Data Source'!W795&gt;=4,"A",IF('Data Source'!W795&gt;=3.5,"A-",IF('Data Source'!W795&gt;=3,"B",IF('Data Source'!W795&gt;=2,"C",IF('Data Source'!W795&gt;=1,"D","F")))))),"")</f>
        <v/>
      </c>
      <c r="F795" s="3">
        <f>IF(AND('Data Source'!B795&lt;&gt;"",'Data Source'!S795="F"),IF('Data Source'!X795&gt;=5,"A+",IF('Data Source'!X795&gt;=4,"A",IF('Data Source'!X795&gt;=3.5,"A-",IF('Data Source'!X795&gt;=3,"B",IF('Data Source'!X795&gt;=2,"C",IF('Data Source'!X795&gt;=1,"D","F")))))),"")</f>
        <v/>
      </c>
      <c r="G795" s="3">
        <f>IF(AND('Data Source'!B795&lt;&gt;"",'Data Source'!S795="F"),IF('Data Source'!Y795&gt;=5,"A+",IF('Data Source'!Y795&gt;=4,"A",IF('Data Source'!Y795&gt;=3.5,"A-",IF('Data Source'!Y795&gt;=3,"B",IF('Data Source'!Y795&gt;=2,"C",IF('Data Source'!Y795&gt;=1,"D","F")))))),"")</f>
        <v/>
      </c>
      <c r="H795" s="3">
        <f>IF(AND('Data Source'!B795&lt;&gt;"",'Data Source'!S795="F"),IF('Data Source'!Z795&gt;=5,"A+",IF('Data Source'!Z795&gt;=4,"A",IF('Data Source'!Z795&gt;=3.5,"A-",IF('Data Source'!Z795&gt;=3,"B",IF('Data Source'!Z795&gt;=2,"C",IF('Data Source'!Z795&gt;=1,"D","F")))))),"")</f>
        <v/>
      </c>
      <c r="I795" s="3">
        <f>IF(AND('Data Source'!B795&lt;&gt;"",'Data Source'!S795="F"),IF('Data Source'!AA795&gt;=5,"A+",IF('Data Source'!AA795&gt;=4,"A",IF('Data Source'!AA795&gt;=3.5,"A-",IF('Data Source'!AA795&gt;=3,"B",IF('Data Source'!AA795&gt;=2,"C",IF('Data Source'!AA795&gt;=1,"D","F")))))),"")</f>
        <v/>
      </c>
      <c r="J795" s="3">
        <f>IF(AND('Data Source'!B795&lt;&gt;"",'Data Source'!S795="F"),IF('Data Source'!AB795&gt;=5,"A+",IF('Data Source'!AB795&gt;=4,"A",IF('Data Source'!AB795&gt;=3.5,"A-",IF('Data Source'!AB795&gt;=3,"B",IF('Data Source'!AB795&gt;=2,"C",IF('Data Source'!AB795&gt;=1,"D","F")))))),"")</f>
        <v/>
      </c>
      <c r="K795" s="3">
        <f>IF(AND('Data Source'!B795&lt;&gt;"",'Data Source'!S795="F"),IF('Data Source'!AC795&gt;=5,"A+",IF('Data Source'!AC795&gt;=4,"A",IF('Data Source'!AC795&gt;=3.5,"A-",IF('Data Source'!AC795&gt;=3,"B",IF('Data Source'!AC795&gt;=2,"C",IF('Data Source'!AC795&gt;=1,"D","F")))))),"")</f>
        <v/>
      </c>
      <c r="L795" s="3">
        <f>IF(AND('Data Source'!B795&lt;&gt;"",'Data Source'!S795="F"),IF('Data Source'!AD795&gt;=5,"A+",IF('Data Source'!AD795&gt;=4,"A",IF('Data Source'!AD795&gt;=3.5,"A-",IF('Data Source'!AD795&gt;=3,"B",IF('Data Source'!AD795&gt;=2,"C",IF('Data Source'!AD795&gt;=1,"D","F")))))),"")</f>
        <v/>
      </c>
      <c r="M795" s="3">
        <f>IF(AND('Data Source'!B795&lt;&gt;"",'Data Source'!S795="F"),IF('Data Source'!AE795&gt;=5,"A+",IF('Data Source'!AE795&gt;=4,"A",IF('Data Source'!AE795&gt;=3.5,"A-",IF('Data Source'!AE795&gt;=3,"B",IF('Data Source'!AE795&gt;=2,"C",IF('Data Source'!AE795&gt;=1,"D","F")))))),"")</f>
        <v/>
      </c>
      <c r="N795" s="3">
        <f>IF(AND('Data Source'!B795&lt;&gt;"",'Data Source'!S795="F"),IF('Data Source'!AF795&gt;=5,"A+",IF('Data Source'!AF795&gt;=4,"A",IF('Data Source'!AF795&gt;=3.5,"A-",IF('Data Source'!AF795&gt;=3,"B",IF('Data Source'!AF795&gt;=2,"C",IF('Data Source'!AF795&gt;=1,"D","F")))))),"")</f>
        <v/>
      </c>
      <c r="O795" s="3">
        <f>IF(AND('Data Source'!B795&lt;&gt;"",'Data Source'!S795="F"),IF('Data Source'!AG795&gt;=5,"A+",IF('Data Source'!AG795&gt;=4,"A",IF('Data Source'!AG795&gt;=3.5,"A-",IF('Data Source'!AG795&gt;=3,"B",IF('Data Source'!AG795&gt;=2,"C",IF('Data Source'!AG795&gt;=1,"D","F")))))),"")</f>
        <v/>
      </c>
      <c r="P795" s="5">
        <f>IF(AND('Data Source'!B795&lt;&gt;"",'Data Source'!S795="F"),'Data Source'!R795,"")</f>
        <v/>
      </c>
      <c r="Q795" s="3">
        <f>IF(AND('Data Source'!B795&lt;&gt;"",'Data Source'!S795="F"),'Data Source'!S795,"")</f>
        <v/>
      </c>
    </row>
    <row r="796">
      <c r="A796" s="3">
        <f>IF(AND('Data Source'!B796&lt;&gt;"",'Data Source'!S796="F"),COUNTIF('Data Source'!$S$3:S796,"F"),"")</f>
        <v/>
      </c>
      <c r="B796">
        <f>IF(AND('Data Source'!B796&lt;&gt;"",'Data Source'!S796="F"),'Data Source'!B796,"")</f>
        <v/>
      </c>
      <c r="C796" s="3">
        <f>IF(AND('Data Source'!B796&lt;&gt;"",'Data Source'!S796="F"),IF('Data Source'!U796&gt;=5,"A+",IF('Data Source'!U796&gt;=4,"A",IF('Data Source'!U796&gt;=3.5,"A-",IF('Data Source'!U796&gt;=3,"B",IF('Data Source'!U796&gt;=2,"C",IF('Data Source'!U796&gt;=1,"D","F")))))),"")</f>
        <v/>
      </c>
      <c r="D796" s="3">
        <f>IF(AND('Data Source'!B796&lt;&gt;"",'Data Source'!S796="F"),IF('Data Source'!V796&gt;=5,"A+",IF('Data Source'!V796&gt;=4,"A",IF('Data Source'!V796&gt;=3.5,"A-",IF('Data Source'!V796&gt;=3,"B",IF('Data Source'!V796&gt;=2,"C",IF('Data Source'!V796&gt;=1,"D","F")))))),"")</f>
        <v/>
      </c>
      <c r="E796" s="3">
        <f>IF(AND('Data Source'!B796&lt;&gt;"",'Data Source'!S796="F"),IF('Data Source'!W796&gt;=5,"A+",IF('Data Source'!W796&gt;=4,"A",IF('Data Source'!W796&gt;=3.5,"A-",IF('Data Source'!W796&gt;=3,"B",IF('Data Source'!W796&gt;=2,"C",IF('Data Source'!W796&gt;=1,"D","F")))))),"")</f>
        <v/>
      </c>
      <c r="F796" s="3">
        <f>IF(AND('Data Source'!B796&lt;&gt;"",'Data Source'!S796="F"),IF('Data Source'!X796&gt;=5,"A+",IF('Data Source'!X796&gt;=4,"A",IF('Data Source'!X796&gt;=3.5,"A-",IF('Data Source'!X796&gt;=3,"B",IF('Data Source'!X796&gt;=2,"C",IF('Data Source'!X796&gt;=1,"D","F")))))),"")</f>
        <v/>
      </c>
      <c r="G796" s="3">
        <f>IF(AND('Data Source'!B796&lt;&gt;"",'Data Source'!S796="F"),IF('Data Source'!Y796&gt;=5,"A+",IF('Data Source'!Y796&gt;=4,"A",IF('Data Source'!Y796&gt;=3.5,"A-",IF('Data Source'!Y796&gt;=3,"B",IF('Data Source'!Y796&gt;=2,"C",IF('Data Source'!Y796&gt;=1,"D","F")))))),"")</f>
        <v/>
      </c>
      <c r="H796" s="3">
        <f>IF(AND('Data Source'!B796&lt;&gt;"",'Data Source'!S796="F"),IF('Data Source'!Z796&gt;=5,"A+",IF('Data Source'!Z796&gt;=4,"A",IF('Data Source'!Z796&gt;=3.5,"A-",IF('Data Source'!Z796&gt;=3,"B",IF('Data Source'!Z796&gt;=2,"C",IF('Data Source'!Z796&gt;=1,"D","F")))))),"")</f>
        <v/>
      </c>
      <c r="I796" s="3">
        <f>IF(AND('Data Source'!B796&lt;&gt;"",'Data Source'!S796="F"),IF('Data Source'!AA796&gt;=5,"A+",IF('Data Source'!AA796&gt;=4,"A",IF('Data Source'!AA796&gt;=3.5,"A-",IF('Data Source'!AA796&gt;=3,"B",IF('Data Source'!AA796&gt;=2,"C",IF('Data Source'!AA796&gt;=1,"D","F")))))),"")</f>
        <v/>
      </c>
      <c r="J796" s="3">
        <f>IF(AND('Data Source'!B796&lt;&gt;"",'Data Source'!S796="F"),IF('Data Source'!AB796&gt;=5,"A+",IF('Data Source'!AB796&gt;=4,"A",IF('Data Source'!AB796&gt;=3.5,"A-",IF('Data Source'!AB796&gt;=3,"B",IF('Data Source'!AB796&gt;=2,"C",IF('Data Source'!AB796&gt;=1,"D","F")))))),"")</f>
        <v/>
      </c>
      <c r="K796" s="3">
        <f>IF(AND('Data Source'!B796&lt;&gt;"",'Data Source'!S796="F"),IF('Data Source'!AC796&gt;=5,"A+",IF('Data Source'!AC796&gt;=4,"A",IF('Data Source'!AC796&gt;=3.5,"A-",IF('Data Source'!AC796&gt;=3,"B",IF('Data Source'!AC796&gt;=2,"C",IF('Data Source'!AC796&gt;=1,"D","F")))))),"")</f>
        <v/>
      </c>
      <c r="L796" s="3">
        <f>IF(AND('Data Source'!B796&lt;&gt;"",'Data Source'!S796="F"),IF('Data Source'!AD796&gt;=5,"A+",IF('Data Source'!AD796&gt;=4,"A",IF('Data Source'!AD796&gt;=3.5,"A-",IF('Data Source'!AD796&gt;=3,"B",IF('Data Source'!AD796&gt;=2,"C",IF('Data Source'!AD796&gt;=1,"D","F")))))),"")</f>
        <v/>
      </c>
      <c r="M796" s="3">
        <f>IF(AND('Data Source'!B796&lt;&gt;"",'Data Source'!S796="F"),IF('Data Source'!AE796&gt;=5,"A+",IF('Data Source'!AE796&gt;=4,"A",IF('Data Source'!AE796&gt;=3.5,"A-",IF('Data Source'!AE796&gt;=3,"B",IF('Data Source'!AE796&gt;=2,"C",IF('Data Source'!AE796&gt;=1,"D","F")))))),"")</f>
        <v/>
      </c>
      <c r="N796" s="3">
        <f>IF(AND('Data Source'!B796&lt;&gt;"",'Data Source'!S796="F"),IF('Data Source'!AF796&gt;=5,"A+",IF('Data Source'!AF796&gt;=4,"A",IF('Data Source'!AF796&gt;=3.5,"A-",IF('Data Source'!AF796&gt;=3,"B",IF('Data Source'!AF796&gt;=2,"C",IF('Data Source'!AF796&gt;=1,"D","F")))))),"")</f>
        <v/>
      </c>
      <c r="O796" s="3">
        <f>IF(AND('Data Source'!B796&lt;&gt;"",'Data Source'!S796="F"),IF('Data Source'!AG796&gt;=5,"A+",IF('Data Source'!AG796&gt;=4,"A",IF('Data Source'!AG796&gt;=3.5,"A-",IF('Data Source'!AG796&gt;=3,"B",IF('Data Source'!AG796&gt;=2,"C",IF('Data Source'!AG796&gt;=1,"D","F")))))),"")</f>
        <v/>
      </c>
      <c r="P796" s="5">
        <f>IF(AND('Data Source'!B796&lt;&gt;"",'Data Source'!S796="F"),'Data Source'!R796,"")</f>
        <v/>
      </c>
      <c r="Q796" s="3">
        <f>IF(AND('Data Source'!B796&lt;&gt;"",'Data Source'!S796="F"),'Data Source'!S796,"")</f>
        <v/>
      </c>
    </row>
    <row r="797">
      <c r="A797" s="3">
        <f>IF(AND('Data Source'!B797&lt;&gt;"",'Data Source'!S797="F"),COUNTIF('Data Source'!$S$3:S797,"F"),"")</f>
        <v/>
      </c>
      <c r="B797">
        <f>IF(AND('Data Source'!B797&lt;&gt;"",'Data Source'!S797="F"),'Data Source'!B797,"")</f>
        <v/>
      </c>
      <c r="C797" s="3">
        <f>IF(AND('Data Source'!B797&lt;&gt;"",'Data Source'!S797="F"),IF('Data Source'!U797&gt;=5,"A+",IF('Data Source'!U797&gt;=4,"A",IF('Data Source'!U797&gt;=3.5,"A-",IF('Data Source'!U797&gt;=3,"B",IF('Data Source'!U797&gt;=2,"C",IF('Data Source'!U797&gt;=1,"D","F")))))),"")</f>
        <v/>
      </c>
      <c r="D797" s="3">
        <f>IF(AND('Data Source'!B797&lt;&gt;"",'Data Source'!S797="F"),IF('Data Source'!V797&gt;=5,"A+",IF('Data Source'!V797&gt;=4,"A",IF('Data Source'!V797&gt;=3.5,"A-",IF('Data Source'!V797&gt;=3,"B",IF('Data Source'!V797&gt;=2,"C",IF('Data Source'!V797&gt;=1,"D","F")))))),"")</f>
        <v/>
      </c>
      <c r="E797" s="3">
        <f>IF(AND('Data Source'!B797&lt;&gt;"",'Data Source'!S797="F"),IF('Data Source'!W797&gt;=5,"A+",IF('Data Source'!W797&gt;=4,"A",IF('Data Source'!W797&gt;=3.5,"A-",IF('Data Source'!W797&gt;=3,"B",IF('Data Source'!W797&gt;=2,"C",IF('Data Source'!W797&gt;=1,"D","F")))))),"")</f>
        <v/>
      </c>
      <c r="F797" s="3">
        <f>IF(AND('Data Source'!B797&lt;&gt;"",'Data Source'!S797="F"),IF('Data Source'!X797&gt;=5,"A+",IF('Data Source'!X797&gt;=4,"A",IF('Data Source'!X797&gt;=3.5,"A-",IF('Data Source'!X797&gt;=3,"B",IF('Data Source'!X797&gt;=2,"C",IF('Data Source'!X797&gt;=1,"D","F")))))),"")</f>
        <v/>
      </c>
      <c r="G797" s="3">
        <f>IF(AND('Data Source'!B797&lt;&gt;"",'Data Source'!S797="F"),IF('Data Source'!Y797&gt;=5,"A+",IF('Data Source'!Y797&gt;=4,"A",IF('Data Source'!Y797&gt;=3.5,"A-",IF('Data Source'!Y797&gt;=3,"B",IF('Data Source'!Y797&gt;=2,"C",IF('Data Source'!Y797&gt;=1,"D","F")))))),"")</f>
        <v/>
      </c>
      <c r="H797" s="3">
        <f>IF(AND('Data Source'!B797&lt;&gt;"",'Data Source'!S797="F"),IF('Data Source'!Z797&gt;=5,"A+",IF('Data Source'!Z797&gt;=4,"A",IF('Data Source'!Z797&gt;=3.5,"A-",IF('Data Source'!Z797&gt;=3,"B",IF('Data Source'!Z797&gt;=2,"C",IF('Data Source'!Z797&gt;=1,"D","F")))))),"")</f>
        <v/>
      </c>
      <c r="I797" s="3">
        <f>IF(AND('Data Source'!B797&lt;&gt;"",'Data Source'!S797="F"),IF('Data Source'!AA797&gt;=5,"A+",IF('Data Source'!AA797&gt;=4,"A",IF('Data Source'!AA797&gt;=3.5,"A-",IF('Data Source'!AA797&gt;=3,"B",IF('Data Source'!AA797&gt;=2,"C",IF('Data Source'!AA797&gt;=1,"D","F")))))),"")</f>
        <v/>
      </c>
      <c r="J797" s="3">
        <f>IF(AND('Data Source'!B797&lt;&gt;"",'Data Source'!S797="F"),IF('Data Source'!AB797&gt;=5,"A+",IF('Data Source'!AB797&gt;=4,"A",IF('Data Source'!AB797&gt;=3.5,"A-",IF('Data Source'!AB797&gt;=3,"B",IF('Data Source'!AB797&gt;=2,"C",IF('Data Source'!AB797&gt;=1,"D","F")))))),"")</f>
        <v/>
      </c>
      <c r="K797" s="3">
        <f>IF(AND('Data Source'!B797&lt;&gt;"",'Data Source'!S797="F"),IF('Data Source'!AC797&gt;=5,"A+",IF('Data Source'!AC797&gt;=4,"A",IF('Data Source'!AC797&gt;=3.5,"A-",IF('Data Source'!AC797&gt;=3,"B",IF('Data Source'!AC797&gt;=2,"C",IF('Data Source'!AC797&gt;=1,"D","F")))))),"")</f>
        <v/>
      </c>
      <c r="L797" s="3">
        <f>IF(AND('Data Source'!B797&lt;&gt;"",'Data Source'!S797="F"),IF('Data Source'!AD797&gt;=5,"A+",IF('Data Source'!AD797&gt;=4,"A",IF('Data Source'!AD797&gt;=3.5,"A-",IF('Data Source'!AD797&gt;=3,"B",IF('Data Source'!AD797&gt;=2,"C",IF('Data Source'!AD797&gt;=1,"D","F")))))),"")</f>
        <v/>
      </c>
      <c r="M797" s="3">
        <f>IF(AND('Data Source'!B797&lt;&gt;"",'Data Source'!S797="F"),IF('Data Source'!AE797&gt;=5,"A+",IF('Data Source'!AE797&gt;=4,"A",IF('Data Source'!AE797&gt;=3.5,"A-",IF('Data Source'!AE797&gt;=3,"B",IF('Data Source'!AE797&gt;=2,"C",IF('Data Source'!AE797&gt;=1,"D","F")))))),"")</f>
        <v/>
      </c>
      <c r="N797" s="3">
        <f>IF(AND('Data Source'!B797&lt;&gt;"",'Data Source'!S797="F"),IF('Data Source'!AF797&gt;=5,"A+",IF('Data Source'!AF797&gt;=4,"A",IF('Data Source'!AF797&gt;=3.5,"A-",IF('Data Source'!AF797&gt;=3,"B",IF('Data Source'!AF797&gt;=2,"C",IF('Data Source'!AF797&gt;=1,"D","F")))))),"")</f>
        <v/>
      </c>
      <c r="O797" s="3">
        <f>IF(AND('Data Source'!B797&lt;&gt;"",'Data Source'!S797="F"),IF('Data Source'!AG797&gt;=5,"A+",IF('Data Source'!AG797&gt;=4,"A",IF('Data Source'!AG797&gt;=3.5,"A-",IF('Data Source'!AG797&gt;=3,"B",IF('Data Source'!AG797&gt;=2,"C",IF('Data Source'!AG797&gt;=1,"D","F")))))),"")</f>
        <v/>
      </c>
      <c r="P797" s="5">
        <f>IF(AND('Data Source'!B797&lt;&gt;"",'Data Source'!S797="F"),'Data Source'!R797,"")</f>
        <v/>
      </c>
      <c r="Q797" s="3">
        <f>IF(AND('Data Source'!B797&lt;&gt;"",'Data Source'!S797="F"),'Data Source'!S797,"")</f>
        <v/>
      </c>
    </row>
    <row r="798">
      <c r="A798" s="3">
        <f>IF(AND('Data Source'!B798&lt;&gt;"",'Data Source'!S798="F"),COUNTIF('Data Source'!$S$3:S798,"F"),"")</f>
        <v/>
      </c>
      <c r="B798">
        <f>IF(AND('Data Source'!B798&lt;&gt;"",'Data Source'!S798="F"),'Data Source'!B798,"")</f>
        <v/>
      </c>
      <c r="C798" s="3">
        <f>IF(AND('Data Source'!B798&lt;&gt;"",'Data Source'!S798="F"),IF('Data Source'!U798&gt;=5,"A+",IF('Data Source'!U798&gt;=4,"A",IF('Data Source'!U798&gt;=3.5,"A-",IF('Data Source'!U798&gt;=3,"B",IF('Data Source'!U798&gt;=2,"C",IF('Data Source'!U798&gt;=1,"D","F")))))),"")</f>
        <v/>
      </c>
      <c r="D798" s="3">
        <f>IF(AND('Data Source'!B798&lt;&gt;"",'Data Source'!S798="F"),IF('Data Source'!V798&gt;=5,"A+",IF('Data Source'!V798&gt;=4,"A",IF('Data Source'!V798&gt;=3.5,"A-",IF('Data Source'!V798&gt;=3,"B",IF('Data Source'!V798&gt;=2,"C",IF('Data Source'!V798&gt;=1,"D","F")))))),"")</f>
        <v/>
      </c>
      <c r="E798" s="3">
        <f>IF(AND('Data Source'!B798&lt;&gt;"",'Data Source'!S798="F"),IF('Data Source'!W798&gt;=5,"A+",IF('Data Source'!W798&gt;=4,"A",IF('Data Source'!W798&gt;=3.5,"A-",IF('Data Source'!W798&gt;=3,"B",IF('Data Source'!W798&gt;=2,"C",IF('Data Source'!W798&gt;=1,"D","F")))))),"")</f>
        <v/>
      </c>
      <c r="F798" s="3">
        <f>IF(AND('Data Source'!B798&lt;&gt;"",'Data Source'!S798="F"),IF('Data Source'!X798&gt;=5,"A+",IF('Data Source'!X798&gt;=4,"A",IF('Data Source'!X798&gt;=3.5,"A-",IF('Data Source'!X798&gt;=3,"B",IF('Data Source'!X798&gt;=2,"C",IF('Data Source'!X798&gt;=1,"D","F")))))),"")</f>
        <v/>
      </c>
      <c r="G798" s="3">
        <f>IF(AND('Data Source'!B798&lt;&gt;"",'Data Source'!S798="F"),IF('Data Source'!Y798&gt;=5,"A+",IF('Data Source'!Y798&gt;=4,"A",IF('Data Source'!Y798&gt;=3.5,"A-",IF('Data Source'!Y798&gt;=3,"B",IF('Data Source'!Y798&gt;=2,"C",IF('Data Source'!Y798&gt;=1,"D","F")))))),"")</f>
        <v/>
      </c>
      <c r="H798" s="3">
        <f>IF(AND('Data Source'!B798&lt;&gt;"",'Data Source'!S798="F"),IF('Data Source'!Z798&gt;=5,"A+",IF('Data Source'!Z798&gt;=4,"A",IF('Data Source'!Z798&gt;=3.5,"A-",IF('Data Source'!Z798&gt;=3,"B",IF('Data Source'!Z798&gt;=2,"C",IF('Data Source'!Z798&gt;=1,"D","F")))))),"")</f>
        <v/>
      </c>
      <c r="I798" s="3">
        <f>IF(AND('Data Source'!B798&lt;&gt;"",'Data Source'!S798="F"),IF('Data Source'!AA798&gt;=5,"A+",IF('Data Source'!AA798&gt;=4,"A",IF('Data Source'!AA798&gt;=3.5,"A-",IF('Data Source'!AA798&gt;=3,"B",IF('Data Source'!AA798&gt;=2,"C",IF('Data Source'!AA798&gt;=1,"D","F")))))),"")</f>
        <v/>
      </c>
      <c r="J798" s="3">
        <f>IF(AND('Data Source'!B798&lt;&gt;"",'Data Source'!S798="F"),IF('Data Source'!AB798&gt;=5,"A+",IF('Data Source'!AB798&gt;=4,"A",IF('Data Source'!AB798&gt;=3.5,"A-",IF('Data Source'!AB798&gt;=3,"B",IF('Data Source'!AB798&gt;=2,"C",IF('Data Source'!AB798&gt;=1,"D","F")))))),"")</f>
        <v/>
      </c>
      <c r="K798" s="3">
        <f>IF(AND('Data Source'!B798&lt;&gt;"",'Data Source'!S798="F"),IF('Data Source'!AC798&gt;=5,"A+",IF('Data Source'!AC798&gt;=4,"A",IF('Data Source'!AC798&gt;=3.5,"A-",IF('Data Source'!AC798&gt;=3,"B",IF('Data Source'!AC798&gt;=2,"C",IF('Data Source'!AC798&gt;=1,"D","F")))))),"")</f>
        <v/>
      </c>
      <c r="L798" s="3">
        <f>IF(AND('Data Source'!B798&lt;&gt;"",'Data Source'!S798="F"),IF('Data Source'!AD798&gt;=5,"A+",IF('Data Source'!AD798&gt;=4,"A",IF('Data Source'!AD798&gt;=3.5,"A-",IF('Data Source'!AD798&gt;=3,"B",IF('Data Source'!AD798&gt;=2,"C",IF('Data Source'!AD798&gt;=1,"D","F")))))),"")</f>
        <v/>
      </c>
      <c r="M798" s="3">
        <f>IF(AND('Data Source'!B798&lt;&gt;"",'Data Source'!S798="F"),IF('Data Source'!AE798&gt;=5,"A+",IF('Data Source'!AE798&gt;=4,"A",IF('Data Source'!AE798&gt;=3.5,"A-",IF('Data Source'!AE798&gt;=3,"B",IF('Data Source'!AE798&gt;=2,"C",IF('Data Source'!AE798&gt;=1,"D","F")))))),"")</f>
        <v/>
      </c>
      <c r="N798" s="3">
        <f>IF(AND('Data Source'!B798&lt;&gt;"",'Data Source'!S798="F"),IF('Data Source'!AF798&gt;=5,"A+",IF('Data Source'!AF798&gt;=4,"A",IF('Data Source'!AF798&gt;=3.5,"A-",IF('Data Source'!AF798&gt;=3,"B",IF('Data Source'!AF798&gt;=2,"C",IF('Data Source'!AF798&gt;=1,"D","F")))))),"")</f>
        <v/>
      </c>
      <c r="O798" s="3">
        <f>IF(AND('Data Source'!B798&lt;&gt;"",'Data Source'!S798="F"),IF('Data Source'!AG798&gt;=5,"A+",IF('Data Source'!AG798&gt;=4,"A",IF('Data Source'!AG798&gt;=3.5,"A-",IF('Data Source'!AG798&gt;=3,"B",IF('Data Source'!AG798&gt;=2,"C",IF('Data Source'!AG798&gt;=1,"D","F")))))),"")</f>
        <v/>
      </c>
      <c r="P798" s="5">
        <f>IF(AND('Data Source'!B798&lt;&gt;"",'Data Source'!S798="F"),'Data Source'!R798,"")</f>
        <v/>
      </c>
      <c r="Q798" s="3">
        <f>IF(AND('Data Source'!B798&lt;&gt;"",'Data Source'!S798="F"),'Data Source'!S798,"")</f>
        <v/>
      </c>
    </row>
    <row r="799">
      <c r="A799" s="3">
        <f>IF(AND('Data Source'!B799&lt;&gt;"",'Data Source'!S799="F"),COUNTIF('Data Source'!$S$3:S799,"F"),"")</f>
        <v/>
      </c>
      <c r="B799">
        <f>IF(AND('Data Source'!B799&lt;&gt;"",'Data Source'!S799="F"),'Data Source'!B799,"")</f>
        <v/>
      </c>
      <c r="C799" s="3">
        <f>IF(AND('Data Source'!B799&lt;&gt;"",'Data Source'!S799="F"),IF('Data Source'!U799&gt;=5,"A+",IF('Data Source'!U799&gt;=4,"A",IF('Data Source'!U799&gt;=3.5,"A-",IF('Data Source'!U799&gt;=3,"B",IF('Data Source'!U799&gt;=2,"C",IF('Data Source'!U799&gt;=1,"D","F")))))),"")</f>
        <v/>
      </c>
      <c r="D799" s="3">
        <f>IF(AND('Data Source'!B799&lt;&gt;"",'Data Source'!S799="F"),IF('Data Source'!V799&gt;=5,"A+",IF('Data Source'!V799&gt;=4,"A",IF('Data Source'!V799&gt;=3.5,"A-",IF('Data Source'!V799&gt;=3,"B",IF('Data Source'!V799&gt;=2,"C",IF('Data Source'!V799&gt;=1,"D","F")))))),"")</f>
        <v/>
      </c>
      <c r="E799" s="3">
        <f>IF(AND('Data Source'!B799&lt;&gt;"",'Data Source'!S799="F"),IF('Data Source'!W799&gt;=5,"A+",IF('Data Source'!W799&gt;=4,"A",IF('Data Source'!W799&gt;=3.5,"A-",IF('Data Source'!W799&gt;=3,"B",IF('Data Source'!W799&gt;=2,"C",IF('Data Source'!W799&gt;=1,"D","F")))))),"")</f>
        <v/>
      </c>
      <c r="F799" s="3">
        <f>IF(AND('Data Source'!B799&lt;&gt;"",'Data Source'!S799="F"),IF('Data Source'!X799&gt;=5,"A+",IF('Data Source'!X799&gt;=4,"A",IF('Data Source'!X799&gt;=3.5,"A-",IF('Data Source'!X799&gt;=3,"B",IF('Data Source'!X799&gt;=2,"C",IF('Data Source'!X799&gt;=1,"D","F")))))),"")</f>
        <v/>
      </c>
      <c r="G799" s="3">
        <f>IF(AND('Data Source'!B799&lt;&gt;"",'Data Source'!S799="F"),IF('Data Source'!Y799&gt;=5,"A+",IF('Data Source'!Y799&gt;=4,"A",IF('Data Source'!Y799&gt;=3.5,"A-",IF('Data Source'!Y799&gt;=3,"B",IF('Data Source'!Y799&gt;=2,"C",IF('Data Source'!Y799&gt;=1,"D","F")))))),"")</f>
        <v/>
      </c>
      <c r="H799" s="3">
        <f>IF(AND('Data Source'!B799&lt;&gt;"",'Data Source'!S799="F"),IF('Data Source'!Z799&gt;=5,"A+",IF('Data Source'!Z799&gt;=4,"A",IF('Data Source'!Z799&gt;=3.5,"A-",IF('Data Source'!Z799&gt;=3,"B",IF('Data Source'!Z799&gt;=2,"C",IF('Data Source'!Z799&gt;=1,"D","F")))))),"")</f>
        <v/>
      </c>
      <c r="I799" s="3">
        <f>IF(AND('Data Source'!B799&lt;&gt;"",'Data Source'!S799="F"),IF('Data Source'!AA799&gt;=5,"A+",IF('Data Source'!AA799&gt;=4,"A",IF('Data Source'!AA799&gt;=3.5,"A-",IF('Data Source'!AA799&gt;=3,"B",IF('Data Source'!AA799&gt;=2,"C",IF('Data Source'!AA799&gt;=1,"D","F")))))),"")</f>
        <v/>
      </c>
      <c r="J799" s="3">
        <f>IF(AND('Data Source'!B799&lt;&gt;"",'Data Source'!S799="F"),IF('Data Source'!AB799&gt;=5,"A+",IF('Data Source'!AB799&gt;=4,"A",IF('Data Source'!AB799&gt;=3.5,"A-",IF('Data Source'!AB799&gt;=3,"B",IF('Data Source'!AB799&gt;=2,"C",IF('Data Source'!AB799&gt;=1,"D","F")))))),"")</f>
        <v/>
      </c>
      <c r="K799" s="3">
        <f>IF(AND('Data Source'!B799&lt;&gt;"",'Data Source'!S799="F"),IF('Data Source'!AC799&gt;=5,"A+",IF('Data Source'!AC799&gt;=4,"A",IF('Data Source'!AC799&gt;=3.5,"A-",IF('Data Source'!AC799&gt;=3,"B",IF('Data Source'!AC799&gt;=2,"C",IF('Data Source'!AC799&gt;=1,"D","F")))))),"")</f>
        <v/>
      </c>
      <c r="L799" s="3">
        <f>IF(AND('Data Source'!B799&lt;&gt;"",'Data Source'!S799="F"),IF('Data Source'!AD799&gt;=5,"A+",IF('Data Source'!AD799&gt;=4,"A",IF('Data Source'!AD799&gt;=3.5,"A-",IF('Data Source'!AD799&gt;=3,"B",IF('Data Source'!AD799&gt;=2,"C",IF('Data Source'!AD799&gt;=1,"D","F")))))),"")</f>
        <v/>
      </c>
      <c r="M799" s="3">
        <f>IF(AND('Data Source'!B799&lt;&gt;"",'Data Source'!S799="F"),IF('Data Source'!AE799&gt;=5,"A+",IF('Data Source'!AE799&gt;=4,"A",IF('Data Source'!AE799&gt;=3.5,"A-",IF('Data Source'!AE799&gt;=3,"B",IF('Data Source'!AE799&gt;=2,"C",IF('Data Source'!AE799&gt;=1,"D","F")))))),"")</f>
        <v/>
      </c>
      <c r="N799" s="3">
        <f>IF(AND('Data Source'!B799&lt;&gt;"",'Data Source'!S799="F"),IF('Data Source'!AF799&gt;=5,"A+",IF('Data Source'!AF799&gt;=4,"A",IF('Data Source'!AF799&gt;=3.5,"A-",IF('Data Source'!AF799&gt;=3,"B",IF('Data Source'!AF799&gt;=2,"C",IF('Data Source'!AF799&gt;=1,"D","F")))))),"")</f>
        <v/>
      </c>
      <c r="O799" s="3">
        <f>IF(AND('Data Source'!B799&lt;&gt;"",'Data Source'!S799="F"),IF('Data Source'!AG799&gt;=5,"A+",IF('Data Source'!AG799&gt;=4,"A",IF('Data Source'!AG799&gt;=3.5,"A-",IF('Data Source'!AG799&gt;=3,"B",IF('Data Source'!AG799&gt;=2,"C",IF('Data Source'!AG799&gt;=1,"D","F")))))),"")</f>
        <v/>
      </c>
      <c r="P799" s="5">
        <f>IF(AND('Data Source'!B799&lt;&gt;"",'Data Source'!S799="F"),'Data Source'!R799,"")</f>
        <v/>
      </c>
      <c r="Q799" s="3">
        <f>IF(AND('Data Source'!B799&lt;&gt;"",'Data Source'!S799="F"),'Data Source'!S799,"")</f>
        <v/>
      </c>
    </row>
    <row r="800">
      <c r="A800" s="3">
        <f>IF(AND('Data Source'!B800&lt;&gt;"",'Data Source'!S800="F"),COUNTIF('Data Source'!$S$3:S800,"F"),"")</f>
        <v/>
      </c>
      <c r="B800">
        <f>IF(AND('Data Source'!B800&lt;&gt;"",'Data Source'!S800="F"),'Data Source'!B800,"")</f>
        <v/>
      </c>
      <c r="C800" s="3">
        <f>IF(AND('Data Source'!B800&lt;&gt;"",'Data Source'!S800="F"),IF('Data Source'!U800&gt;=5,"A+",IF('Data Source'!U800&gt;=4,"A",IF('Data Source'!U800&gt;=3.5,"A-",IF('Data Source'!U800&gt;=3,"B",IF('Data Source'!U800&gt;=2,"C",IF('Data Source'!U800&gt;=1,"D","F")))))),"")</f>
        <v/>
      </c>
      <c r="D800" s="3">
        <f>IF(AND('Data Source'!B800&lt;&gt;"",'Data Source'!S800="F"),IF('Data Source'!V800&gt;=5,"A+",IF('Data Source'!V800&gt;=4,"A",IF('Data Source'!V800&gt;=3.5,"A-",IF('Data Source'!V800&gt;=3,"B",IF('Data Source'!V800&gt;=2,"C",IF('Data Source'!V800&gt;=1,"D","F")))))),"")</f>
        <v/>
      </c>
      <c r="E800" s="3">
        <f>IF(AND('Data Source'!B800&lt;&gt;"",'Data Source'!S800="F"),IF('Data Source'!W800&gt;=5,"A+",IF('Data Source'!W800&gt;=4,"A",IF('Data Source'!W800&gt;=3.5,"A-",IF('Data Source'!W800&gt;=3,"B",IF('Data Source'!W800&gt;=2,"C",IF('Data Source'!W800&gt;=1,"D","F")))))),"")</f>
        <v/>
      </c>
      <c r="F800" s="3">
        <f>IF(AND('Data Source'!B800&lt;&gt;"",'Data Source'!S800="F"),IF('Data Source'!X800&gt;=5,"A+",IF('Data Source'!X800&gt;=4,"A",IF('Data Source'!X800&gt;=3.5,"A-",IF('Data Source'!X800&gt;=3,"B",IF('Data Source'!X800&gt;=2,"C",IF('Data Source'!X800&gt;=1,"D","F")))))),"")</f>
        <v/>
      </c>
      <c r="G800" s="3">
        <f>IF(AND('Data Source'!B800&lt;&gt;"",'Data Source'!S800="F"),IF('Data Source'!Y800&gt;=5,"A+",IF('Data Source'!Y800&gt;=4,"A",IF('Data Source'!Y800&gt;=3.5,"A-",IF('Data Source'!Y800&gt;=3,"B",IF('Data Source'!Y800&gt;=2,"C",IF('Data Source'!Y800&gt;=1,"D","F")))))),"")</f>
        <v/>
      </c>
      <c r="H800" s="3">
        <f>IF(AND('Data Source'!B800&lt;&gt;"",'Data Source'!S800="F"),IF('Data Source'!Z800&gt;=5,"A+",IF('Data Source'!Z800&gt;=4,"A",IF('Data Source'!Z800&gt;=3.5,"A-",IF('Data Source'!Z800&gt;=3,"B",IF('Data Source'!Z800&gt;=2,"C",IF('Data Source'!Z800&gt;=1,"D","F")))))),"")</f>
        <v/>
      </c>
      <c r="I800" s="3">
        <f>IF(AND('Data Source'!B800&lt;&gt;"",'Data Source'!S800="F"),IF('Data Source'!AA800&gt;=5,"A+",IF('Data Source'!AA800&gt;=4,"A",IF('Data Source'!AA800&gt;=3.5,"A-",IF('Data Source'!AA800&gt;=3,"B",IF('Data Source'!AA800&gt;=2,"C",IF('Data Source'!AA800&gt;=1,"D","F")))))),"")</f>
        <v/>
      </c>
      <c r="J800" s="3">
        <f>IF(AND('Data Source'!B800&lt;&gt;"",'Data Source'!S800="F"),IF('Data Source'!AB800&gt;=5,"A+",IF('Data Source'!AB800&gt;=4,"A",IF('Data Source'!AB800&gt;=3.5,"A-",IF('Data Source'!AB800&gt;=3,"B",IF('Data Source'!AB800&gt;=2,"C",IF('Data Source'!AB800&gt;=1,"D","F")))))),"")</f>
        <v/>
      </c>
      <c r="K800" s="3">
        <f>IF(AND('Data Source'!B800&lt;&gt;"",'Data Source'!S800="F"),IF('Data Source'!AC800&gt;=5,"A+",IF('Data Source'!AC800&gt;=4,"A",IF('Data Source'!AC800&gt;=3.5,"A-",IF('Data Source'!AC800&gt;=3,"B",IF('Data Source'!AC800&gt;=2,"C",IF('Data Source'!AC800&gt;=1,"D","F")))))),"")</f>
        <v/>
      </c>
      <c r="L800" s="3">
        <f>IF(AND('Data Source'!B800&lt;&gt;"",'Data Source'!S800="F"),IF('Data Source'!AD800&gt;=5,"A+",IF('Data Source'!AD800&gt;=4,"A",IF('Data Source'!AD800&gt;=3.5,"A-",IF('Data Source'!AD800&gt;=3,"B",IF('Data Source'!AD800&gt;=2,"C",IF('Data Source'!AD800&gt;=1,"D","F")))))),"")</f>
        <v/>
      </c>
      <c r="M800" s="3">
        <f>IF(AND('Data Source'!B800&lt;&gt;"",'Data Source'!S800="F"),IF('Data Source'!AE800&gt;=5,"A+",IF('Data Source'!AE800&gt;=4,"A",IF('Data Source'!AE800&gt;=3.5,"A-",IF('Data Source'!AE800&gt;=3,"B",IF('Data Source'!AE800&gt;=2,"C",IF('Data Source'!AE800&gt;=1,"D","F")))))),"")</f>
        <v/>
      </c>
      <c r="N800" s="3">
        <f>IF(AND('Data Source'!B800&lt;&gt;"",'Data Source'!S800="F"),IF('Data Source'!AF800&gt;=5,"A+",IF('Data Source'!AF800&gt;=4,"A",IF('Data Source'!AF800&gt;=3.5,"A-",IF('Data Source'!AF800&gt;=3,"B",IF('Data Source'!AF800&gt;=2,"C",IF('Data Source'!AF800&gt;=1,"D","F")))))),"")</f>
        <v/>
      </c>
      <c r="O800" s="3">
        <f>IF(AND('Data Source'!B800&lt;&gt;"",'Data Source'!S800="F"),IF('Data Source'!AG800&gt;=5,"A+",IF('Data Source'!AG800&gt;=4,"A",IF('Data Source'!AG800&gt;=3.5,"A-",IF('Data Source'!AG800&gt;=3,"B",IF('Data Source'!AG800&gt;=2,"C",IF('Data Source'!AG800&gt;=1,"D","F")))))),"")</f>
        <v/>
      </c>
      <c r="P800" s="5">
        <f>IF(AND('Data Source'!B800&lt;&gt;"",'Data Source'!S800="F"),'Data Source'!R800,"")</f>
        <v/>
      </c>
      <c r="Q800" s="3">
        <f>IF(AND('Data Source'!B800&lt;&gt;"",'Data Source'!S800="F"),'Data Source'!S800,"")</f>
        <v/>
      </c>
    </row>
    <row r="801">
      <c r="A801" s="3">
        <f>IF(AND('Data Source'!B801&lt;&gt;"",'Data Source'!S801="F"),COUNTIF('Data Source'!$S$3:S801,"F"),"")</f>
        <v/>
      </c>
      <c r="B801">
        <f>IF(AND('Data Source'!B801&lt;&gt;"",'Data Source'!S801="F"),'Data Source'!B801,"")</f>
        <v/>
      </c>
      <c r="C801" s="3">
        <f>IF(AND('Data Source'!B801&lt;&gt;"",'Data Source'!S801="F"),IF('Data Source'!U801&gt;=5,"A+",IF('Data Source'!U801&gt;=4,"A",IF('Data Source'!U801&gt;=3.5,"A-",IF('Data Source'!U801&gt;=3,"B",IF('Data Source'!U801&gt;=2,"C",IF('Data Source'!U801&gt;=1,"D","F")))))),"")</f>
        <v/>
      </c>
      <c r="D801" s="3">
        <f>IF(AND('Data Source'!B801&lt;&gt;"",'Data Source'!S801="F"),IF('Data Source'!V801&gt;=5,"A+",IF('Data Source'!V801&gt;=4,"A",IF('Data Source'!V801&gt;=3.5,"A-",IF('Data Source'!V801&gt;=3,"B",IF('Data Source'!V801&gt;=2,"C",IF('Data Source'!V801&gt;=1,"D","F")))))),"")</f>
        <v/>
      </c>
      <c r="E801" s="3">
        <f>IF(AND('Data Source'!B801&lt;&gt;"",'Data Source'!S801="F"),IF('Data Source'!W801&gt;=5,"A+",IF('Data Source'!W801&gt;=4,"A",IF('Data Source'!W801&gt;=3.5,"A-",IF('Data Source'!W801&gt;=3,"B",IF('Data Source'!W801&gt;=2,"C",IF('Data Source'!W801&gt;=1,"D","F")))))),"")</f>
        <v/>
      </c>
      <c r="F801" s="3">
        <f>IF(AND('Data Source'!B801&lt;&gt;"",'Data Source'!S801="F"),IF('Data Source'!X801&gt;=5,"A+",IF('Data Source'!X801&gt;=4,"A",IF('Data Source'!X801&gt;=3.5,"A-",IF('Data Source'!X801&gt;=3,"B",IF('Data Source'!X801&gt;=2,"C",IF('Data Source'!X801&gt;=1,"D","F")))))),"")</f>
        <v/>
      </c>
      <c r="G801" s="3">
        <f>IF(AND('Data Source'!B801&lt;&gt;"",'Data Source'!S801="F"),IF('Data Source'!Y801&gt;=5,"A+",IF('Data Source'!Y801&gt;=4,"A",IF('Data Source'!Y801&gt;=3.5,"A-",IF('Data Source'!Y801&gt;=3,"B",IF('Data Source'!Y801&gt;=2,"C",IF('Data Source'!Y801&gt;=1,"D","F")))))),"")</f>
        <v/>
      </c>
      <c r="H801" s="3">
        <f>IF(AND('Data Source'!B801&lt;&gt;"",'Data Source'!S801="F"),IF('Data Source'!Z801&gt;=5,"A+",IF('Data Source'!Z801&gt;=4,"A",IF('Data Source'!Z801&gt;=3.5,"A-",IF('Data Source'!Z801&gt;=3,"B",IF('Data Source'!Z801&gt;=2,"C",IF('Data Source'!Z801&gt;=1,"D","F")))))),"")</f>
        <v/>
      </c>
      <c r="I801" s="3">
        <f>IF(AND('Data Source'!B801&lt;&gt;"",'Data Source'!S801="F"),IF('Data Source'!AA801&gt;=5,"A+",IF('Data Source'!AA801&gt;=4,"A",IF('Data Source'!AA801&gt;=3.5,"A-",IF('Data Source'!AA801&gt;=3,"B",IF('Data Source'!AA801&gt;=2,"C",IF('Data Source'!AA801&gt;=1,"D","F")))))),"")</f>
        <v/>
      </c>
      <c r="J801" s="3">
        <f>IF(AND('Data Source'!B801&lt;&gt;"",'Data Source'!S801="F"),IF('Data Source'!AB801&gt;=5,"A+",IF('Data Source'!AB801&gt;=4,"A",IF('Data Source'!AB801&gt;=3.5,"A-",IF('Data Source'!AB801&gt;=3,"B",IF('Data Source'!AB801&gt;=2,"C",IF('Data Source'!AB801&gt;=1,"D","F")))))),"")</f>
        <v/>
      </c>
      <c r="K801" s="3">
        <f>IF(AND('Data Source'!B801&lt;&gt;"",'Data Source'!S801="F"),IF('Data Source'!AC801&gt;=5,"A+",IF('Data Source'!AC801&gt;=4,"A",IF('Data Source'!AC801&gt;=3.5,"A-",IF('Data Source'!AC801&gt;=3,"B",IF('Data Source'!AC801&gt;=2,"C",IF('Data Source'!AC801&gt;=1,"D","F")))))),"")</f>
        <v/>
      </c>
      <c r="L801" s="3">
        <f>IF(AND('Data Source'!B801&lt;&gt;"",'Data Source'!S801="F"),IF('Data Source'!AD801&gt;=5,"A+",IF('Data Source'!AD801&gt;=4,"A",IF('Data Source'!AD801&gt;=3.5,"A-",IF('Data Source'!AD801&gt;=3,"B",IF('Data Source'!AD801&gt;=2,"C",IF('Data Source'!AD801&gt;=1,"D","F")))))),"")</f>
        <v/>
      </c>
      <c r="M801" s="3">
        <f>IF(AND('Data Source'!B801&lt;&gt;"",'Data Source'!S801="F"),IF('Data Source'!AE801&gt;=5,"A+",IF('Data Source'!AE801&gt;=4,"A",IF('Data Source'!AE801&gt;=3.5,"A-",IF('Data Source'!AE801&gt;=3,"B",IF('Data Source'!AE801&gt;=2,"C",IF('Data Source'!AE801&gt;=1,"D","F")))))),"")</f>
        <v/>
      </c>
      <c r="N801" s="3">
        <f>IF(AND('Data Source'!B801&lt;&gt;"",'Data Source'!S801="F"),IF('Data Source'!AF801&gt;=5,"A+",IF('Data Source'!AF801&gt;=4,"A",IF('Data Source'!AF801&gt;=3.5,"A-",IF('Data Source'!AF801&gt;=3,"B",IF('Data Source'!AF801&gt;=2,"C",IF('Data Source'!AF801&gt;=1,"D","F")))))),"")</f>
        <v/>
      </c>
      <c r="O801" s="3">
        <f>IF(AND('Data Source'!B801&lt;&gt;"",'Data Source'!S801="F"),IF('Data Source'!AG801&gt;=5,"A+",IF('Data Source'!AG801&gt;=4,"A",IF('Data Source'!AG801&gt;=3.5,"A-",IF('Data Source'!AG801&gt;=3,"B",IF('Data Source'!AG801&gt;=2,"C",IF('Data Source'!AG801&gt;=1,"D","F")))))),"")</f>
        <v/>
      </c>
      <c r="P801" s="5">
        <f>IF(AND('Data Source'!B801&lt;&gt;"",'Data Source'!S801="F"),'Data Source'!R801,"")</f>
        <v/>
      </c>
      <c r="Q801" s="3">
        <f>IF(AND('Data Source'!B801&lt;&gt;"",'Data Source'!S801="F"),'Data Source'!S801,"")</f>
        <v/>
      </c>
    </row>
    <row r="802">
      <c r="A802" s="3">
        <f>IF(AND('Data Source'!B802&lt;&gt;"",'Data Source'!S802="F"),COUNTIF('Data Source'!$S$3:S802,"F"),"")</f>
        <v/>
      </c>
      <c r="B802">
        <f>IF(AND('Data Source'!B802&lt;&gt;"",'Data Source'!S802="F"),'Data Source'!B802,"")</f>
        <v/>
      </c>
      <c r="C802" s="3">
        <f>IF(AND('Data Source'!B802&lt;&gt;"",'Data Source'!S802="F"),IF('Data Source'!U802&gt;=5,"A+",IF('Data Source'!U802&gt;=4,"A",IF('Data Source'!U802&gt;=3.5,"A-",IF('Data Source'!U802&gt;=3,"B",IF('Data Source'!U802&gt;=2,"C",IF('Data Source'!U802&gt;=1,"D","F")))))),"")</f>
        <v/>
      </c>
      <c r="D802" s="3">
        <f>IF(AND('Data Source'!B802&lt;&gt;"",'Data Source'!S802="F"),IF('Data Source'!V802&gt;=5,"A+",IF('Data Source'!V802&gt;=4,"A",IF('Data Source'!V802&gt;=3.5,"A-",IF('Data Source'!V802&gt;=3,"B",IF('Data Source'!V802&gt;=2,"C",IF('Data Source'!V802&gt;=1,"D","F")))))),"")</f>
        <v/>
      </c>
      <c r="E802" s="3">
        <f>IF(AND('Data Source'!B802&lt;&gt;"",'Data Source'!S802="F"),IF('Data Source'!W802&gt;=5,"A+",IF('Data Source'!W802&gt;=4,"A",IF('Data Source'!W802&gt;=3.5,"A-",IF('Data Source'!W802&gt;=3,"B",IF('Data Source'!W802&gt;=2,"C",IF('Data Source'!W802&gt;=1,"D","F")))))),"")</f>
        <v/>
      </c>
      <c r="F802" s="3">
        <f>IF(AND('Data Source'!B802&lt;&gt;"",'Data Source'!S802="F"),IF('Data Source'!X802&gt;=5,"A+",IF('Data Source'!X802&gt;=4,"A",IF('Data Source'!X802&gt;=3.5,"A-",IF('Data Source'!X802&gt;=3,"B",IF('Data Source'!X802&gt;=2,"C",IF('Data Source'!X802&gt;=1,"D","F")))))),"")</f>
        <v/>
      </c>
      <c r="G802" s="3">
        <f>IF(AND('Data Source'!B802&lt;&gt;"",'Data Source'!S802="F"),IF('Data Source'!Y802&gt;=5,"A+",IF('Data Source'!Y802&gt;=4,"A",IF('Data Source'!Y802&gt;=3.5,"A-",IF('Data Source'!Y802&gt;=3,"B",IF('Data Source'!Y802&gt;=2,"C",IF('Data Source'!Y802&gt;=1,"D","F")))))),"")</f>
        <v/>
      </c>
      <c r="H802" s="3">
        <f>IF(AND('Data Source'!B802&lt;&gt;"",'Data Source'!S802="F"),IF('Data Source'!Z802&gt;=5,"A+",IF('Data Source'!Z802&gt;=4,"A",IF('Data Source'!Z802&gt;=3.5,"A-",IF('Data Source'!Z802&gt;=3,"B",IF('Data Source'!Z802&gt;=2,"C",IF('Data Source'!Z802&gt;=1,"D","F")))))),"")</f>
        <v/>
      </c>
      <c r="I802" s="3">
        <f>IF(AND('Data Source'!B802&lt;&gt;"",'Data Source'!S802="F"),IF('Data Source'!AA802&gt;=5,"A+",IF('Data Source'!AA802&gt;=4,"A",IF('Data Source'!AA802&gt;=3.5,"A-",IF('Data Source'!AA802&gt;=3,"B",IF('Data Source'!AA802&gt;=2,"C",IF('Data Source'!AA802&gt;=1,"D","F")))))),"")</f>
        <v/>
      </c>
      <c r="J802" s="3">
        <f>IF(AND('Data Source'!B802&lt;&gt;"",'Data Source'!S802="F"),IF('Data Source'!AB802&gt;=5,"A+",IF('Data Source'!AB802&gt;=4,"A",IF('Data Source'!AB802&gt;=3.5,"A-",IF('Data Source'!AB802&gt;=3,"B",IF('Data Source'!AB802&gt;=2,"C",IF('Data Source'!AB802&gt;=1,"D","F")))))),"")</f>
        <v/>
      </c>
      <c r="K802" s="3">
        <f>IF(AND('Data Source'!B802&lt;&gt;"",'Data Source'!S802="F"),IF('Data Source'!AC802&gt;=5,"A+",IF('Data Source'!AC802&gt;=4,"A",IF('Data Source'!AC802&gt;=3.5,"A-",IF('Data Source'!AC802&gt;=3,"B",IF('Data Source'!AC802&gt;=2,"C",IF('Data Source'!AC802&gt;=1,"D","F")))))),"")</f>
        <v/>
      </c>
      <c r="L802" s="3">
        <f>IF(AND('Data Source'!B802&lt;&gt;"",'Data Source'!S802="F"),IF('Data Source'!AD802&gt;=5,"A+",IF('Data Source'!AD802&gt;=4,"A",IF('Data Source'!AD802&gt;=3.5,"A-",IF('Data Source'!AD802&gt;=3,"B",IF('Data Source'!AD802&gt;=2,"C",IF('Data Source'!AD802&gt;=1,"D","F")))))),"")</f>
        <v/>
      </c>
      <c r="M802" s="3">
        <f>IF(AND('Data Source'!B802&lt;&gt;"",'Data Source'!S802="F"),IF('Data Source'!AE802&gt;=5,"A+",IF('Data Source'!AE802&gt;=4,"A",IF('Data Source'!AE802&gt;=3.5,"A-",IF('Data Source'!AE802&gt;=3,"B",IF('Data Source'!AE802&gt;=2,"C",IF('Data Source'!AE802&gt;=1,"D","F")))))),"")</f>
        <v/>
      </c>
      <c r="N802" s="3">
        <f>IF(AND('Data Source'!B802&lt;&gt;"",'Data Source'!S802="F"),IF('Data Source'!AF802&gt;=5,"A+",IF('Data Source'!AF802&gt;=4,"A",IF('Data Source'!AF802&gt;=3.5,"A-",IF('Data Source'!AF802&gt;=3,"B",IF('Data Source'!AF802&gt;=2,"C",IF('Data Source'!AF802&gt;=1,"D","F")))))),"")</f>
        <v/>
      </c>
      <c r="O802" s="3">
        <f>IF(AND('Data Source'!B802&lt;&gt;"",'Data Source'!S802="F"),IF('Data Source'!AG802&gt;=5,"A+",IF('Data Source'!AG802&gt;=4,"A",IF('Data Source'!AG802&gt;=3.5,"A-",IF('Data Source'!AG802&gt;=3,"B",IF('Data Source'!AG802&gt;=2,"C",IF('Data Source'!AG802&gt;=1,"D","F")))))),"")</f>
        <v/>
      </c>
      <c r="P802" s="5">
        <f>IF(AND('Data Source'!B802&lt;&gt;"",'Data Source'!S802="F"),'Data Source'!R802,"")</f>
        <v/>
      </c>
      <c r="Q802" s="3">
        <f>IF(AND('Data Source'!B802&lt;&gt;"",'Data Source'!S802="F"),'Data Source'!S802,"")</f>
        <v/>
      </c>
    </row>
    <row r="803">
      <c r="A803" s="3">
        <f>IF(AND('Data Source'!B803&lt;&gt;"",'Data Source'!S803="F"),COUNTIF('Data Source'!$S$3:S803,"F"),"")</f>
        <v/>
      </c>
      <c r="B803">
        <f>IF(AND('Data Source'!B803&lt;&gt;"",'Data Source'!S803="F"),'Data Source'!B803,"")</f>
        <v/>
      </c>
      <c r="C803" s="3">
        <f>IF(AND('Data Source'!B803&lt;&gt;"",'Data Source'!S803="F"),IF('Data Source'!U803&gt;=5,"A+",IF('Data Source'!U803&gt;=4,"A",IF('Data Source'!U803&gt;=3.5,"A-",IF('Data Source'!U803&gt;=3,"B",IF('Data Source'!U803&gt;=2,"C",IF('Data Source'!U803&gt;=1,"D","F")))))),"")</f>
        <v/>
      </c>
      <c r="D803" s="3">
        <f>IF(AND('Data Source'!B803&lt;&gt;"",'Data Source'!S803="F"),IF('Data Source'!V803&gt;=5,"A+",IF('Data Source'!V803&gt;=4,"A",IF('Data Source'!V803&gt;=3.5,"A-",IF('Data Source'!V803&gt;=3,"B",IF('Data Source'!V803&gt;=2,"C",IF('Data Source'!V803&gt;=1,"D","F")))))),"")</f>
        <v/>
      </c>
      <c r="E803" s="3">
        <f>IF(AND('Data Source'!B803&lt;&gt;"",'Data Source'!S803="F"),IF('Data Source'!W803&gt;=5,"A+",IF('Data Source'!W803&gt;=4,"A",IF('Data Source'!W803&gt;=3.5,"A-",IF('Data Source'!W803&gt;=3,"B",IF('Data Source'!W803&gt;=2,"C",IF('Data Source'!W803&gt;=1,"D","F")))))),"")</f>
        <v/>
      </c>
      <c r="F803" s="3">
        <f>IF(AND('Data Source'!B803&lt;&gt;"",'Data Source'!S803="F"),IF('Data Source'!X803&gt;=5,"A+",IF('Data Source'!X803&gt;=4,"A",IF('Data Source'!X803&gt;=3.5,"A-",IF('Data Source'!X803&gt;=3,"B",IF('Data Source'!X803&gt;=2,"C",IF('Data Source'!X803&gt;=1,"D","F")))))),"")</f>
        <v/>
      </c>
      <c r="G803" s="3">
        <f>IF(AND('Data Source'!B803&lt;&gt;"",'Data Source'!S803="F"),IF('Data Source'!Y803&gt;=5,"A+",IF('Data Source'!Y803&gt;=4,"A",IF('Data Source'!Y803&gt;=3.5,"A-",IF('Data Source'!Y803&gt;=3,"B",IF('Data Source'!Y803&gt;=2,"C",IF('Data Source'!Y803&gt;=1,"D","F")))))),"")</f>
        <v/>
      </c>
      <c r="H803" s="3">
        <f>IF(AND('Data Source'!B803&lt;&gt;"",'Data Source'!S803="F"),IF('Data Source'!Z803&gt;=5,"A+",IF('Data Source'!Z803&gt;=4,"A",IF('Data Source'!Z803&gt;=3.5,"A-",IF('Data Source'!Z803&gt;=3,"B",IF('Data Source'!Z803&gt;=2,"C",IF('Data Source'!Z803&gt;=1,"D","F")))))),"")</f>
        <v/>
      </c>
      <c r="I803" s="3">
        <f>IF(AND('Data Source'!B803&lt;&gt;"",'Data Source'!S803="F"),IF('Data Source'!AA803&gt;=5,"A+",IF('Data Source'!AA803&gt;=4,"A",IF('Data Source'!AA803&gt;=3.5,"A-",IF('Data Source'!AA803&gt;=3,"B",IF('Data Source'!AA803&gt;=2,"C",IF('Data Source'!AA803&gt;=1,"D","F")))))),"")</f>
        <v/>
      </c>
      <c r="J803" s="3">
        <f>IF(AND('Data Source'!B803&lt;&gt;"",'Data Source'!S803="F"),IF('Data Source'!AB803&gt;=5,"A+",IF('Data Source'!AB803&gt;=4,"A",IF('Data Source'!AB803&gt;=3.5,"A-",IF('Data Source'!AB803&gt;=3,"B",IF('Data Source'!AB803&gt;=2,"C",IF('Data Source'!AB803&gt;=1,"D","F")))))),"")</f>
        <v/>
      </c>
      <c r="K803" s="3">
        <f>IF(AND('Data Source'!B803&lt;&gt;"",'Data Source'!S803="F"),IF('Data Source'!AC803&gt;=5,"A+",IF('Data Source'!AC803&gt;=4,"A",IF('Data Source'!AC803&gt;=3.5,"A-",IF('Data Source'!AC803&gt;=3,"B",IF('Data Source'!AC803&gt;=2,"C",IF('Data Source'!AC803&gt;=1,"D","F")))))),"")</f>
        <v/>
      </c>
      <c r="L803" s="3">
        <f>IF(AND('Data Source'!B803&lt;&gt;"",'Data Source'!S803="F"),IF('Data Source'!AD803&gt;=5,"A+",IF('Data Source'!AD803&gt;=4,"A",IF('Data Source'!AD803&gt;=3.5,"A-",IF('Data Source'!AD803&gt;=3,"B",IF('Data Source'!AD803&gt;=2,"C",IF('Data Source'!AD803&gt;=1,"D","F")))))),"")</f>
        <v/>
      </c>
      <c r="M803" s="3">
        <f>IF(AND('Data Source'!B803&lt;&gt;"",'Data Source'!S803="F"),IF('Data Source'!AE803&gt;=5,"A+",IF('Data Source'!AE803&gt;=4,"A",IF('Data Source'!AE803&gt;=3.5,"A-",IF('Data Source'!AE803&gt;=3,"B",IF('Data Source'!AE803&gt;=2,"C",IF('Data Source'!AE803&gt;=1,"D","F")))))),"")</f>
        <v/>
      </c>
      <c r="N803" s="3">
        <f>IF(AND('Data Source'!B803&lt;&gt;"",'Data Source'!S803="F"),IF('Data Source'!AF803&gt;=5,"A+",IF('Data Source'!AF803&gt;=4,"A",IF('Data Source'!AF803&gt;=3.5,"A-",IF('Data Source'!AF803&gt;=3,"B",IF('Data Source'!AF803&gt;=2,"C",IF('Data Source'!AF803&gt;=1,"D","F")))))),"")</f>
        <v/>
      </c>
      <c r="O803" s="3">
        <f>IF(AND('Data Source'!B803&lt;&gt;"",'Data Source'!S803="F"),IF('Data Source'!AG803&gt;=5,"A+",IF('Data Source'!AG803&gt;=4,"A",IF('Data Source'!AG803&gt;=3.5,"A-",IF('Data Source'!AG803&gt;=3,"B",IF('Data Source'!AG803&gt;=2,"C",IF('Data Source'!AG803&gt;=1,"D","F")))))),"")</f>
        <v/>
      </c>
      <c r="P803" s="5">
        <f>IF(AND('Data Source'!B803&lt;&gt;"",'Data Source'!S803="F"),'Data Source'!R803,"")</f>
        <v/>
      </c>
      <c r="Q803" s="3">
        <f>IF(AND('Data Source'!B803&lt;&gt;"",'Data Source'!S803="F"),'Data Source'!S803,"")</f>
        <v/>
      </c>
    </row>
    <row r="804">
      <c r="A804" s="3">
        <f>IF(AND('Data Source'!B804&lt;&gt;"",'Data Source'!S804="F"),COUNTIF('Data Source'!$S$3:S804,"F"),"")</f>
        <v/>
      </c>
      <c r="B804">
        <f>IF(AND('Data Source'!B804&lt;&gt;"",'Data Source'!S804="F"),'Data Source'!B804,"")</f>
        <v/>
      </c>
      <c r="C804" s="3">
        <f>IF(AND('Data Source'!B804&lt;&gt;"",'Data Source'!S804="F"),IF('Data Source'!U804&gt;=5,"A+",IF('Data Source'!U804&gt;=4,"A",IF('Data Source'!U804&gt;=3.5,"A-",IF('Data Source'!U804&gt;=3,"B",IF('Data Source'!U804&gt;=2,"C",IF('Data Source'!U804&gt;=1,"D","F")))))),"")</f>
        <v/>
      </c>
      <c r="D804" s="3">
        <f>IF(AND('Data Source'!B804&lt;&gt;"",'Data Source'!S804="F"),IF('Data Source'!V804&gt;=5,"A+",IF('Data Source'!V804&gt;=4,"A",IF('Data Source'!V804&gt;=3.5,"A-",IF('Data Source'!V804&gt;=3,"B",IF('Data Source'!V804&gt;=2,"C",IF('Data Source'!V804&gt;=1,"D","F")))))),"")</f>
        <v/>
      </c>
      <c r="E804" s="3">
        <f>IF(AND('Data Source'!B804&lt;&gt;"",'Data Source'!S804="F"),IF('Data Source'!W804&gt;=5,"A+",IF('Data Source'!W804&gt;=4,"A",IF('Data Source'!W804&gt;=3.5,"A-",IF('Data Source'!W804&gt;=3,"B",IF('Data Source'!W804&gt;=2,"C",IF('Data Source'!W804&gt;=1,"D","F")))))),"")</f>
        <v/>
      </c>
      <c r="F804" s="3">
        <f>IF(AND('Data Source'!B804&lt;&gt;"",'Data Source'!S804="F"),IF('Data Source'!X804&gt;=5,"A+",IF('Data Source'!X804&gt;=4,"A",IF('Data Source'!X804&gt;=3.5,"A-",IF('Data Source'!X804&gt;=3,"B",IF('Data Source'!X804&gt;=2,"C",IF('Data Source'!X804&gt;=1,"D","F")))))),"")</f>
        <v/>
      </c>
      <c r="G804" s="3">
        <f>IF(AND('Data Source'!B804&lt;&gt;"",'Data Source'!S804="F"),IF('Data Source'!Y804&gt;=5,"A+",IF('Data Source'!Y804&gt;=4,"A",IF('Data Source'!Y804&gt;=3.5,"A-",IF('Data Source'!Y804&gt;=3,"B",IF('Data Source'!Y804&gt;=2,"C",IF('Data Source'!Y804&gt;=1,"D","F")))))),"")</f>
        <v/>
      </c>
      <c r="H804" s="3">
        <f>IF(AND('Data Source'!B804&lt;&gt;"",'Data Source'!S804="F"),IF('Data Source'!Z804&gt;=5,"A+",IF('Data Source'!Z804&gt;=4,"A",IF('Data Source'!Z804&gt;=3.5,"A-",IF('Data Source'!Z804&gt;=3,"B",IF('Data Source'!Z804&gt;=2,"C",IF('Data Source'!Z804&gt;=1,"D","F")))))),"")</f>
        <v/>
      </c>
      <c r="I804" s="3">
        <f>IF(AND('Data Source'!B804&lt;&gt;"",'Data Source'!S804="F"),IF('Data Source'!AA804&gt;=5,"A+",IF('Data Source'!AA804&gt;=4,"A",IF('Data Source'!AA804&gt;=3.5,"A-",IF('Data Source'!AA804&gt;=3,"B",IF('Data Source'!AA804&gt;=2,"C",IF('Data Source'!AA804&gt;=1,"D","F")))))),"")</f>
        <v/>
      </c>
      <c r="J804" s="3">
        <f>IF(AND('Data Source'!B804&lt;&gt;"",'Data Source'!S804="F"),IF('Data Source'!AB804&gt;=5,"A+",IF('Data Source'!AB804&gt;=4,"A",IF('Data Source'!AB804&gt;=3.5,"A-",IF('Data Source'!AB804&gt;=3,"B",IF('Data Source'!AB804&gt;=2,"C",IF('Data Source'!AB804&gt;=1,"D","F")))))),"")</f>
        <v/>
      </c>
      <c r="K804" s="3">
        <f>IF(AND('Data Source'!B804&lt;&gt;"",'Data Source'!S804="F"),IF('Data Source'!AC804&gt;=5,"A+",IF('Data Source'!AC804&gt;=4,"A",IF('Data Source'!AC804&gt;=3.5,"A-",IF('Data Source'!AC804&gt;=3,"B",IF('Data Source'!AC804&gt;=2,"C",IF('Data Source'!AC804&gt;=1,"D","F")))))),"")</f>
        <v/>
      </c>
      <c r="L804" s="3">
        <f>IF(AND('Data Source'!B804&lt;&gt;"",'Data Source'!S804="F"),IF('Data Source'!AD804&gt;=5,"A+",IF('Data Source'!AD804&gt;=4,"A",IF('Data Source'!AD804&gt;=3.5,"A-",IF('Data Source'!AD804&gt;=3,"B",IF('Data Source'!AD804&gt;=2,"C",IF('Data Source'!AD804&gt;=1,"D","F")))))),"")</f>
        <v/>
      </c>
      <c r="M804" s="3">
        <f>IF(AND('Data Source'!B804&lt;&gt;"",'Data Source'!S804="F"),IF('Data Source'!AE804&gt;=5,"A+",IF('Data Source'!AE804&gt;=4,"A",IF('Data Source'!AE804&gt;=3.5,"A-",IF('Data Source'!AE804&gt;=3,"B",IF('Data Source'!AE804&gt;=2,"C",IF('Data Source'!AE804&gt;=1,"D","F")))))),"")</f>
        <v/>
      </c>
      <c r="N804" s="3">
        <f>IF(AND('Data Source'!B804&lt;&gt;"",'Data Source'!S804="F"),IF('Data Source'!AF804&gt;=5,"A+",IF('Data Source'!AF804&gt;=4,"A",IF('Data Source'!AF804&gt;=3.5,"A-",IF('Data Source'!AF804&gt;=3,"B",IF('Data Source'!AF804&gt;=2,"C",IF('Data Source'!AF804&gt;=1,"D","F")))))),"")</f>
        <v/>
      </c>
      <c r="O804" s="3">
        <f>IF(AND('Data Source'!B804&lt;&gt;"",'Data Source'!S804="F"),IF('Data Source'!AG804&gt;=5,"A+",IF('Data Source'!AG804&gt;=4,"A",IF('Data Source'!AG804&gt;=3.5,"A-",IF('Data Source'!AG804&gt;=3,"B",IF('Data Source'!AG804&gt;=2,"C",IF('Data Source'!AG804&gt;=1,"D","F")))))),"")</f>
        <v/>
      </c>
      <c r="P804" s="5">
        <f>IF(AND('Data Source'!B804&lt;&gt;"",'Data Source'!S804="F"),'Data Source'!R804,"")</f>
        <v/>
      </c>
      <c r="Q804" s="3">
        <f>IF(AND('Data Source'!B804&lt;&gt;"",'Data Source'!S804="F"),'Data Source'!S804,"")</f>
        <v/>
      </c>
    </row>
    <row r="805">
      <c r="A805" s="3">
        <f>IF(AND('Data Source'!B805&lt;&gt;"",'Data Source'!S805="F"),COUNTIF('Data Source'!$S$3:S805,"F"),"")</f>
        <v/>
      </c>
      <c r="B805">
        <f>IF(AND('Data Source'!B805&lt;&gt;"",'Data Source'!S805="F"),'Data Source'!B805,"")</f>
        <v/>
      </c>
      <c r="C805" s="3">
        <f>IF(AND('Data Source'!B805&lt;&gt;"",'Data Source'!S805="F"),IF('Data Source'!U805&gt;=5,"A+",IF('Data Source'!U805&gt;=4,"A",IF('Data Source'!U805&gt;=3.5,"A-",IF('Data Source'!U805&gt;=3,"B",IF('Data Source'!U805&gt;=2,"C",IF('Data Source'!U805&gt;=1,"D","F")))))),"")</f>
        <v/>
      </c>
      <c r="D805" s="3">
        <f>IF(AND('Data Source'!B805&lt;&gt;"",'Data Source'!S805="F"),IF('Data Source'!V805&gt;=5,"A+",IF('Data Source'!V805&gt;=4,"A",IF('Data Source'!V805&gt;=3.5,"A-",IF('Data Source'!V805&gt;=3,"B",IF('Data Source'!V805&gt;=2,"C",IF('Data Source'!V805&gt;=1,"D","F")))))),"")</f>
        <v/>
      </c>
      <c r="E805" s="3">
        <f>IF(AND('Data Source'!B805&lt;&gt;"",'Data Source'!S805="F"),IF('Data Source'!W805&gt;=5,"A+",IF('Data Source'!W805&gt;=4,"A",IF('Data Source'!W805&gt;=3.5,"A-",IF('Data Source'!W805&gt;=3,"B",IF('Data Source'!W805&gt;=2,"C",IF('Data Source'!W805&gt;=1,"D","F")))))),"")</f>
        <v/>
      </c>
      <c r="F805" s="3">
        <f>IF(AND('Data Source'!B805&lt;&gt;"",'Data Source'!S805="F"),IF('Data Source'!X805&gt;=5,"A+",IF('Data Source'!X805&gt;=4,"A",IF('Data Source'!X805&gt;=3.5,"A-",IF('Data Source'!X805&gt;=3,"B",IF('Data Source'!X805&gt;=2,"C",IF('Data Source'!X805&gt;=1,"D","F")))))),"")</f>
        <v/>
      </c>
      <c r="G805" s="3">
        <f>IF(AND('Data Source'!B805&lt;&gt;"",'Data Source'!S805="F"),IF('Data Source'!Y805&gt;=5,"A+",IF('Data Source'!Y805&gt;=4,"A",IF('Data Source'!Y805&gt;=3.5,"A-",IF('Data Source'!Y805&gt;=3,"B",IF('Data Source'!Y805&gt;=2,"C",IF('Data Source'!Y805&gt;=1,"D","F")))))),"")</f>
        <v/>
      </c>
      <c r="H805" s="3">
        <f>IF(AND('Data Source'!B805&lt;&gt;"",'Data Source'!S805="F"),IF('Data Source'!Z805&gt;=5,"A+",IF('Data Source'!Z805&gt;=4,"A",IF('Data Source'!Z805&gt;=3.5,"A-",IF('Data Source'!Z805&gt;=3,"B",IF('Data Source'!Z805&gt;=2,"C",IF('Data Source'!Z805&gt;=1,"D","F")))))),"")</f>
        <v/>
      </c>
      <c r="I805" s="3">
        <f>IF(AND('Data Source'!B805&lt;&gt;"",'Data Source'!S805="F"),IF('Data Source'!AA805&gt;=5,"A+",IF('Data Source'!AA805&gt;=4,"A",IF('Data Source'!AA805&gt;=3.5,"A-",IF('Data Source'!AA805&gt;=3,"B",IF('Data Source'!AA805&gt;=2,"C",IF('Data Source'!AA805&gt;=1,"D","F")))))),"")</f>
        <v/>
      </c>
      <c r="J805" s="3">
        <f>IF(AND('Data Source'!B805&lt;&gt;"",'Data Source'!S805="F"),IF('Data Source'!AB805&gt;=5,"A+",IF('Data Source'!AB805&gt;=4,"A",IF('Data Source'!AB805&gt;=3.5,"A-",IF('Data Source'!AB805&gt;=3,"B",IF('Data Source'!AB805&gt;=2,"C",IF('Data Source'!AB805&gt;=1,"D","F")))))),"")</f>
        <v/>
      </c>
      <c r="K805" s="3">
        <f>IF(AND('Data Source'!B805&lt;&gt;"",'Data Source'!S805="F"),IF('Data Source'!AC805&gt;=5,"A+",IF('Data Source'!AC805&gt;=4,"A",IF('Data Source'!AC805&gt;=3.5,"A-",IF('Data Source'!AC805&gt;=3,"B",IF('Data Source'!AC805&gt;=2,"C",IF('Data Source'!AC805&gt;=1,"D","F")))))),"")</f>
        <v/>
      </c>
      <c r="L805" s="3">
        <f>IF(AND('Data Source'!B805&lt;&gt;"",'Data Source'!S805="F"),IF('Data Source'!AD805&gt;=5,"A+",IF('Data Source'!AD805&gt;=4,"A",IF('Data Source'!AD805&gt;=3.5,"A-",IF('Data Source'!AD805&gt;=3,"B",IF('Data Source'!AD805&gt;=2,"C",IF('Data Source'!AD805&gt;=1,"D","F")))))),"")</f>
        <v/>
      </c>
      <c r="M805" s="3">
        <f>IF(AND('Data Source'!B805&lt;&gt;"",'Data Source'!S805="F"),IF('Data Source'!AE805&gt;=5,"A+",IF('Data Source'!AE805&gt;=4,"A",IF('Data Source'!AE805&gt;=3.5,"A-",IF('Data Source'!AE805&gt;=3,"B",IF('Data Source'!AE805&gt;=2,"C",IF('Data Source'!AE805&gt;=1,"D","F")))))),"")</f>
        <v/>
      </c>
      <c r="N805" s="3">
        <f>IF(AND('Data Source'!B805&lt;&gt;"",'Data Source'!S805="F"),IF('Data Source'!AF805&gt;=5,"A+",IF('Data Source'!AF805&gt;=4,"A",IF('Data Source'!AF805&gt;=3.5,"A-",IF('Data Source'!AF805&gt;=3,"B",IF('Data Source'!AF805&gt;=2,"C",IF('Data Source'!AF805&gt;=1,"D","F")))))),"")</f>
        <v/>
      </c>
      <c r="O805" s="3">
        <f>IF(AND('Data Source'!B805&lt;&gt;"",'Data Source'!S805="F"),IF('Data Source'!AG805&gt;=5,"A+",IF('Data Source'!AG805&gt;=4,"A",IF('Data Source'!AG805&gt;=3.5,"A-",IF('Data Source'!AG805&gt;=3,"B",IF('Data Source'!AG805&gt;=2,"C",IF('Data Source'!AG805&gt;=1,"D","F")))))),"")</f>
        <v/>
      </c>
      <c r="P805" s="5">
        <f>IF(AND('Data Source'!B805&lt;&gt;"",'Data Source'!S805="F"),'Data Source'!R805,"")</f>
        <v/>
      </c>
      <c r="Q805" s="3">
        <f>IF(AND('Data Source'!B805&lt;&gt;"",'Data Source'!S805="F"),'Data Source'!S805,"")</f>
        <v/>
      </c>
    </row>
    <row r="806">
      <c r="A806" s="3">
        <f>IF(AND('Data Source'!B806&lt;&gt;"",'Data Source'!S806="F"),COUNTIF('Data Source'!$S$3:S806,"F"),"")</f>
        <v/>
      </c>
      <c r="B806">
        <f>IF(AND('Data Source'!B806&lt;&gt;"",'Data Source'!S806="F"),'Data Source'!B806,"")</f>
        <v/>
      </c>
      <c r="C806" s="3">
        <f>IF(AND('Data Source'!B806&lt;&gt;"",'Data Source'!S806="F"),IF('Data Source'!U806&gt;=5,"A+",IF('Data Source'!U806&gt;=4,"A",IF('Data Source'!U806&gt;=3.5,"A-",IF('Data Source'!U806&gt;=3,"B",IF('Data Source'!U806&gt;=2,"C",IF('Data Source'!U806&gt;=1,"D","F")))))),"")</f>
        <v/>
      </c>
      <c r="D806" s="3">
        <f>IF(AND('Data Source'!B806&lt;&gt;"",'Data Source'!S806="F"),IF('Data Source'!V806&gt;=5,"A+",IF('Data Source'!V806&gt;=4,"A",IF('Data Source'!V806&gt;=3.5,"A-",IF('Data Source'!V806&gt;=3,"B",IF('Data Source'!V806&gt;=2,"C",IF('Data Source'!V806&gt;=1,"D","F")))))),"")</f>
        <v/>
      </c>
      <c r="E806" s="3">
        <f>IF(AND('Data Source'!B806&lt;&gt;"",'Data Source'!S806="F"),IF('Data Source'!W806&gt;=5,"A+",IF('Data Source'!W806&gt;=4,"A",IF('Data Source'!W806&gt;=3.5,"A-",IF('Data Source'!W806&gt;=3,"B",IF('Data Source'!W806&gt;=2,"C",IF('Data Source'!W806&gt;=1,"D","F")))))),"")</f>
        <v/>
      </c>
      <c r="F806" s="3">
        <f>IF(AND('Data Source'!B806&lt;&gt;"",'Data Source'!S806="F"),IF('Data Source'!X806&gt;=5,"A+",IF('Data Source'!X806&gt;=4,"A",IF('Data Source'!X806&gt;=3.5,"A-",IF('Data Source'!X806&gt;=3,"B",IF('Data Source'!X806&gt;=2,"C",IF('Data Source'!X806&gt;=1,"D","F")))))),"")</f>
        <v/>
      </c>
      <c r="G806" s="3">
        <f>IF(AND('Data Source'!B806&lt;&gt;"",'Data Source'!S806="F"),IF('Data Source'!Y806&gt;=5,"A+",IF('Data Source'!Y806&gt;=4,"A",IF('Data Source'!Y806&gt;=3.5,"A-",IF('Data Source'!Y806&gt;=3,"B",IF('Data Source'!Y806&gt;=2,"C",IF('Data Source'!Y806&gt;=1,"D","F")))))),"")</f>
        <v/>
      </c>
      <c r="H806" s="3">
        <f>IF(AND('Data Source'!B806&lt;&gt;"",'Data Source'!S806="F"),IF('Data Source'!Z806&gt;=5,"A+",IF('Data Source'!Z806&gt;=4,"A",IF('Data Source'!Z806&gt;=3.5,"A-",IF('Data Source'!Z806&gt;=3,"B",IF('Data Source'!Z806&gt;=2,"C",IF('Data Source'!Z806&gt;=1,"D","F")))))),"")</f>
        <v/>
      </c>
      <c r="I806" s="3">
        <f>IF(AND('Data Source'!B806&lt;&gt;"",'Data Source'!S806="F"),IF('Data Source'!AA806&gt;=5,"A+",IF('Data Source'!AA806&gt;=4,"A",IF('Data Source'!AA806&gt;=3.5,"A-",IF('Data Source'!AA806&gt;=3,"B",IF('Data Source'!AA806&gt;=2,"C",IF('Data Source'!AA806&gt;=1,"D","F")))))),"")</f>
        <v/>
      </c>
      <c r="J806" s="3">
        <f>IF(AND('Data Source'!B806&lt;&gt;"",'Data Source'!S806="F"),IF('Data Source'!AB806&gt;=5,"A+",IF('Data Source'!AB806&gt;=4,"A",IF('Data Source'!AB806&gt;=3.5,"A-",IF('Data Source'!AB806&gt;=3,"B",IF('Data Source'!AB806&gt;=2,"C",IF('Data Source'!AB806&gt;=1,"D","F")))))),"")</f>
        <v/>
      </c>
      <c r="K806" s="3">
        <f>IF(AND('Data Source'!B806&lt;&gt;"",'Data Source'!S806="F"),IF('Data Source'!AC806&gt;=5,"A+",IF('Data Source'!AC806&gt;=4,"A",IF('Data Source'!AC806&gt;=3.5,"A-",IF('Data Source'!AC806&gt;=3,"B",IF('Data Source'!AC806&gt;=2,"C",IF('Data Source'!AC806&gt;=1,"D","F")))))),"")</f>
        <v/>
      </c>
      <c r="L806" s="3">
        <f>IF(AND('Data Source'!B806&lt;&gt;"",'Data Source'!S806="F"),IF('Data Source'!AD806&gt;=5,"A+",IF('Data Source'!AD806&gt;=4,"A",IF('Data Source'!AD806&gt;=3.5,"A-",IF('Data Source'!AD806&gt;=3,"B",IF('Data Source'!AD806&gt;=2,"C",IF('Data Source'!AD806&gt;=1,"D","F")))))),"")</f>
        <v/>
      </c>
      <c r="M806" s="3">
        <f>IF(AND('Data Source'!B806&lt;&gt;"",'Data Source'!S806="F"),IF('Data Source'!AE806&gt;=5,"A+",IF('Data Source'!AE806&gt;=4,"A",IF('Data Source'!AE806&gt;=3.5,"A-",IF('Data Source'!AE806&gt;=3,"B",IF('Data Source'!AE806&gt;=2,"C",IF('Data Source'!AE806&gt;=1,"D","F")))))),"")</f>
        <v/>
      </c>
      <c r="N806" s="3">
        <f>IF(AND('Data Source'!B806&lt;&gt;"",'Data Source'!S806="F"),IF('Data Source'!AF806&gt;=5,"A+",IF('Data Source'!AF806&gt;=4,"A",IF('Data Source'!AF806&gt;=3.5,"A-",IF('Data Source'!AF806&gt;=3,"B",IF('Data Source'!AF806&gt;=2,"C",IF('Data Source'!AF806&gt;=1,"D","F")))))),"")</f>
        <v/>
      </c>
      <c r="O806" s="3">
        <f>IF(AND('Data Source'!B806&lt;&gt;"",'Data Source'!S806="F"),IF('Data Source'!AG806&gt;=5,"A+",IF('Data Source'!AG806&gt;=4,"A",IF('Data Source'!AG806&gt;=3.5,"A-",IF('Data Source'!AG806&gt;=3,"B",IF('Data Source'!AG806&gt;=2,"C",IF('Data Source'!AG806&gt;=1,"D","F")))))),"")</f>
        <v/>
      </c>
      <c r="P806" s="5">
        <f>IF(AND('Data Source'!B806&lt;&gt;"",'Data Source'!S806="F"),'Data Source'!R806,"")</f>
        <v/>
      </c>
      <c r="Q806" s="3">
        <f>IF(AND('Data Source'!B806&lt;&gt;"",'Data Source'!S806="F"),'Data Source'!S806,"")</f>
        <v/>
      </c>
    </row>
    <row r="807">
      <c r="A807" s="3">
        <f>IF(AND('Data Source'!B807&lt;&gt;"",'Data Source'!S807="F"),COUNTIF('Data Source'!$S$3:S807,"F"),"")</f>
        <v/>
      </c>
      <c r="B807">
        <f>IF(AND('Data Source'!B807&lt;&gt;"",'Data Source'!S807="F"),'Data Source'!B807,"")</f>
        <v/>
      </c>
      <c r="C807" s="3">
        <f>IF(AND('Data Source'!B807&lt;&gt;"",'Data Source'!S807="F"),IF('Data Source'!U807&gt;=5,"A+",IF('Data Source'!U807&gt;=4,"A",IF('Data Source'!U807&gt;=3.5,"A-",IF('Data Source'!U807&gt;=3,"B",IF('Data Source'!U807&gt;=2,"C",IF('Data Source'!U807&gt;=1,"D","F")))))),"")</f>
        <v/>
      </c>
      <c r="D807" s="3">
        <f>IF(AND('Data Source'!B807&lt;&gt;"",'Data Source'!S807="F"),IF('Data Source'!V807&gt;=5,"A+",IF('Data Source'!V807&gt;=4,"A",IF('Data Source'!V807&gt;=3.5,"A-",IF('Data Source'!V807&gt;=3,"B",IF('Data Source'!V807&gt;=2,"C",IF('Data Source'!V807&gt;=1,"D","F")))))),"")</f>
        <v/>
      </c>
      <c r="E807" s="3">
        <f>IF(AND('Data Source'!B807&lt;&gt;"",'Data Source'!S807="F"),IF('Data Source'!W807&gt;=5,"A+",IF('Data Source'!W807&gt;=4,"A",IF('Data Source'!W807&gt;=3.5,"A-",IF('Data Source'!W807&gt;=3,"B",IF('Data Source'!W807&gt;=2,"C",IF('Data Source'!W807&gt;=1,"D","F")))))),"")</f>
        <v/>
      </c>
      <c r="F807" s="3">
        <f>IF(AND('Data Source'!B807&lt;&gt;"",'Data Source'!S807="F"),IF('Data Source'!X807&gt;=5,"A+",IF('Data Source'!X807&gt;=4,"A",IF('Data Source'!X807&gt;=3.5,"A-",IF('Data Source'!X807&gt;=3,"B",IF('Data Source'!X807&gt;=2,"C",IF('Data Source'!X807&gt;=1,"D","F")))))),"")</f>
        <v/>
      </c>
      <c r="G807" s="3">
        <f>IF(AND('Data Source'!B807&lt;&gt;"",'Data Source'!S807="F"),IF('Data Source'!Y807&gt;=5,"A+",IF('Data Source'!Y807&gt;=4,"A",IF('Data Source'!Y807&gt;=3.5,"A-",IF('Data Source'!Y807&gt;=3,"B",IF('Data Source'!Y807&gt;=2,"C",IF('Data Source'!Y807&gt;=1,"D","F")))))),"")</f>
        <v/>
      </c>
      <c r="H807" s="3">
        <f>IF(AND('Data Source'!B807&lt;&gt;"",'Data Source'!S807="F"),IF('Data Source'!Z807&gt;=5,"A+",IF('Data Source'!Z807&gt;=4,"A",IF('Data Source'!Z807&gt;=3.5,"A-",IF('Data Source'!Z807&gt;=3,"B",IF('Data Source'!Z807&gt;=2,"C",IF('Data Source'!Z807&gt;=1,"D","F")))))),"")</f>
        <v/>
      </c>
      <c r="I807" s="3">
        <f>IF(AND('Data Source'!B807&lt;&gt;"",'Data Source'!S807="F"),IF('Data Source'!AA807&gt;=5,"A+",IF('Data Source'!AA807&gt;=4,"A",IF('Data Source'!AA807&gt;=3.5,"A-",IF('Data Source'!AA807&gt;=3,"B",IF('Data Source'!AA807&gt;=2,"C",IF('Data Source'!AA807&gt;=1,"D","F")))))),"")</f>
        <v/>
      </c>
      <c r="J807" s="3">
        <f>IF(AND('Data Source'!B807&lt;&gt;"",'Data Source'!S807="F"),IF('Data Source'!AB807&gt;=5,"A+",IF('Data Source'!AB807&gt;=4,"A",IF('Data Source'!AB807&gt;=3.5,"A-",IF('Data Source'!AB807&gt;=3,"B",IF('Data Source'!AB807&gt;=2,"C",IF('Data Source'!AB807&gt;=1,"D","F")))))),"")</f>
        <v/>
      </c>
      <c r="K807" s="3">
        <f>IF(AND('Data Source'!B807&lt;&gt;"",'Data Source'!S807="F"),IF('Data Source'!AC807&gt;=5,"A+",IF('Data Source'!AC807&gt;=4,"A",IF('Data Source'!AC807&gt;=3.5,"A-",IF('Data Source'!AC807&gt;=3,"B",IF('Data Source'!AC807&gt;=2,"C",IF('Data Source'!AC807&gt;=1,"D","F")))))),"")</f>
        <v/>
      </c>
      <c r="L807" s="3">
        <f>IF(AND('Data Source'!B807&lt;&gt;"",'Data Source'!S807="F"),IF('Data Source'!AD807&gt;=5,"A+",IF('Data Source'!AD807&gt;=4,"A",IF('Data Source'!AD807&gt;=3.5,"A-",IF('Data Source'!AD807&gt;=3,"B",IF('Data Source'!AD807&gt;=2,"C",IF('Data Source'!AD807&gt;=1,"D","F")))))),"")</f>
        <v/>
      </c>
      <c r="M807" s="3">
        <f>IF(AND('Data Source'!B807&lt;&gt;"",'Data Source'!S807="F"),IF('Data Source'!AE807&gt;=5,"A+",IF('Data Source'!AE807&gt;=4,"A",IF('Data Source'!AE807&gt;=3.5,"A-",IF('Data Source'!AE807&gt;=3,"B",IF('Data Source'!AE807&gt;=2,"C",IF('Data Source'!AE807&gt;=1,"D","F")))))),"")</f>
        <v/>
      </c>
      <c r="N807" s="3">
        <f>IF(AND('Data Source'!B807&lt;&gt;"",'Data Source'!S807="F"),IF('Data Source'!AF807&gt;=5,"A+",IF('Data Source'!AF807&gt;=4,"A",IF('Data Source'!AF807&gt;=3.5,"A-",IF('Data Source'!AF807&gt;=3,"B",IF('Data Source'!AF807&gt;=2,"C",IF('Data Source'!AF807&gt;=1,"D","F")))))),"")</f>
        <v/>
      </c>
      <c r="O807" s="3">
        <f>IF(AND('Data Source'!B807&lt;&gt;"",'Data Source'!S807="F"),IF('Data Source'!AG807&gt;=5,"A+",IF('Data Source'!AG807&gt;=4,"A",IF('Data Source'!AG807&gt;=3.5,"A-",IF('Data Source'!AG807&gt;=3,"B",IF('Data Source'!AG807&gt;=2,"C",IF('Data Source'!AG807&gt;=1,"D","F")))))),"")</f>
        <v/>
      </c>
      <c r="P807" s="5">
        <f>IF(AND('Data Source'!B807&lt;&gt;"",'Data Source'!S807="F"),'Data Source'!R807,"")</f>
        <v/>
      </c>
      <c r="Q807" s="3">
        <f>IF(AND('Data Source'!B807&lt;&gt;"",'Data Source'!S807="F"),'Data Source'!S807,"")</f>
        <v/>
      </c>
    </row>
    <row r="808">
      <c r="A808" s="3">
        <f>IF(AND('Data Source'!B808&lt;&gt;"",'Data Source'!S808="F"),COUNTIF('Data Source'!$S$3:S808,"F"),"")</f>
        <v/>
      </c>
      <c r="B808">
        <f>IF(AND('Data Source'!B808&lt;&gt;"",'Data Source'!S808="F"),'Data Source'!B808,"")</f>
        <v/>
      </c>
      <c r="C808" s="3">
        <f>IF(AND('Data Source'!B808&lt;&gt;"",'Data Source'!S808="F"),IF('Data Source'!U808&gt;=5,"A+",IF('Data Source'!U808&gt;=4,"A",IF('Data Source'!U808&gt;=3.5,"A-",IF('Data Source'!U808&gt;=3,"B",IF('Data Source'!U808&gt;=2,"C",IF('Data Source'!U808&gt;=1,"D","F")))))),"")</f>
        <v/>
      </c>
      <c r="D808" s="3">
        <f>IF(AND('Data Source'!B808&lt;&gt;"",'Data Source'!S808="F"),IF('Data Source'!V808&gt;=5,"A+",IF('Data Source'!V808&gt;=4,"A",IF('Data Source'!V808&gt;=3.5,"A-",IF('Data Source'!V808&gt;=3,"B",IF('Data Source'!V808&gt;=2,"C",IF('Data Source'!V808&gt;=1,"D","F")))))),"")</f>
        <v/>
      </c>
      <c r="E808" s="3">
        <f>IF(AND('Data Source'!B808&lt;&gt;"",'Data Source'!S808="F"),IF('Data Source'!W808&gt;=5,"A+",IF('Data Source'!W808&gt;=4,"A",IF('Data Source'!W808&gt;=3.5,"A-",IF('Data Source'!W808&gt;=3,"B",IF('Data Source'!W808&gt;=2,"C",IF('Data Source'!W808&gt;=1,"D","F")))))),"")</f>
        <v/>
      </c>
      <c r="F808" s="3">
        <f>IF(AND('Data Source'!B808&lt;&gt;"",'Data Source'!S808="F"),IF('Data Source'!X808&gt;=5,"A+",IF('Data Source'!X808&gt;=4,"A",IF('Data Source'!X808&gt;=3.5,"A-",IF('Data Source'!X808&gt;=3,"B",IF('Data Source'!X808&gt;=2,"C",IF('Data Source'!X808&gt;=1,"D","F")))))),"")</f>
        <v/>
      </c>
      <c r="G808" s="3">
        <f>IF(AND('Data Source'!B808&lt;&gt;"",'Data Source'!S808="F"),IF('Data Source'!Y808&gt;=5,"A+",IF('Data Source'!Y808&gt;=4,"A",IF('Data Source'!Y808&gt;=3.5,"A-",IF('Data Source'!Y808&gt;=3,"B",IF('Data Source'!Y808&gt;=2,"C",IF('Data Source'!Y808&gt;=1,"D","F")))))),"")</f>
        <v/>
      </c>
      <c r="H808" s="3">
        <f>IF(AND('Data Source'!B808&lt;&gt;"",'Data Source'!S808="F"),IF('Data Source'!Z808&gt;=5,"A+",IF('Data Source'!Z808&gt;=4,"A",IF('Data Source'!Z808&gt;=3.5,"A-",IF('Data Source'!Z808&gt;=3,"B",IF('Data Source'!Z808&gt;=2,"C",IF('Data Source'!Z808&gt;=1,"D","F")))))),"")</f>
        <v/>
      </c>
      <c r="I808" s="3">
        <f>IF(AND('Data Source'!B808&lt;&gt;"",'Data Source'!S808="F"),IF('Data Source'!AA808&gt;=5,"A+",IF('Data Source'!AA808&gt;=4,"A",IF('Data Source'!AA808&gt;=3.5,"A-",IF('Data Source'!AA808&gt;=3,"B",IF('Data Source'!AA808&gt;=2,"C",IF('Data Source'!AA808&gt;=1,"D","F")))))),"")</f>
        <v/>
      </c>
      <c r="J808" s="3">
        <f>IF(AND('Data Source'!B808&lt;&gt;"",'Data Source'!S808="F"),IF('Data Source'!AB808&gt;=5,"A+",IF('Data Source'!AB808&gt;=4,"A",IF('Data Source'!AB808&gt;=3.5,"A-",IF('Data Source'!AB808&gt;=3,"B",IF('Data Source'!AB808&gt;=2,"C",IF('Data Source'!AB808&gt;=1,"D","F")))))),"")</f>
        <v/>
      </c>
      <c r="K808" s="3">
        <f>IF(AND('Data Source'!B808&lt;&gt;"",'Data Source'!S808="F"),IF('Data Source'!AC808&gt;=5,"A+",IF('Data Source'!AC808&gt;=4,"A",IF('Data Source'!AC808&gt;=3.5,"A-",IF('Data Source'!AC808&gt;=3,"B",IF('Data Source'!AC808&gt;=2,"C",IF('Data Source'!AC808&gt;=1,"D","F")))))),"")</f>
        <v/>
      </c>
      <c r="L808" s="3">
        <f>IF(AND('Data Source'!B808&lt;&gt;"",'Data Source'!S808="F"),IF('Data Source'!AD808&gt;=5,"A+",IF('Data Source'!AD808&gt;=4,"A",IF('Data Source'!AD808&gt;=3.5,"A-",IF('Data Source'!AD808&gt;=3,"B",IF('Data Source'!AD808&gt;=2,"C",IF('Data Source'!AD808&gt;=1,"D","F")))))),"")</f>
        <v/>
      </c>
      <c r="M808" s="3">
        <f>IF(AND('Data Source'!B808&lt;&gt;"",'Data Source'!S808="F"),IF('Data Source'!AE808&gt;=5,"A+",IF('Data Source'!AE808&gt;=4,"A",IF('Data Source'!AE808&gt;=3.5,"A-",IF('Data Source'!AE808&gt;=3,"B",IF('Data Source'!AE808&gt;=2,"C",IF('Data Source'!AE808&gt;=1,"D","F")))))),"")</f>
        <v/>
      </c>
      <c r="N808" s="3">
        <f>IF(AND('Data Source'!B808&lt;&gt;"",'Data Source'!S808="F"),IF('Data Source'!AF808&gt;=5,"A+",IF('Data Source'!AF808&gt;=4,"A",IF('Data Source'!AF808&gt;=3.5,"A-",IF('Data Source'!AF808&gt;=3,"B",IF('Data Source'!AF808&gt;=2,"C",IF('Data Source'!AF808&gt;=1,"D","F")))))),"")</f>
        <v/>
      </c>
      <c r="O808" s="3">
        <f>IF(AND('Data Source'!B808&lt;&gt;"",'Data Source'!S808="F"),IF('Data Source'!AG808&gt;=5,"A+",IF('Data Source'!AG808&gt;=4,"A",IF('Data Source'!AG808&gt;=3.5,"A-",IF('Data Source'!AG808&gt;=3,"B",IF('Data Source'!AG808&gt;=2,"C",IF('Data Source'!AG808&gt;=1,"D","F")))))),"")</f>
        <v/>
      </c>
      <c r="P808" s="5">
        <f>IF(AND('Data Source'!B808&lt;&gt;"",'Data Source'!S808="F"),'Data Source'!R808,"")</f>
        <v/>
      </c>
      <c r="Q808" s="3">
        <f>IF(AND('Data Source'!B808&lt;&gt;"",'Data Source'!S808="F"),'Data Source'!S808,"")</f>
        <v/>
      </c>
    </row>
    <row r="809">
      <c r="A809" s="3">
        <f>IF(AND('Data Source'!B809&lt;&gt;"",'Data Source'!S809="F"),COUNTIF('Data Source'!$S$3:S809,"F"),"")</f>
        <v/>
      </c>
      <c r="B809">
        <f>IF(AND('Data Source'!B809&lt;&gt;"",'Data Source'!S809="F"),'Data Source'!B809,"")</f>
        <v/>
      </c>
      <c r="C809" s="3">
        <f>IF(AND('Data Source'!B809&lt;&gt;"",'Data Source'!S809="F"),IF('Data Source'!U809&gt;=5,"A+",IF('Data Source'!U809&gt;=4,"A",IF('Data Source'!U809&gt;=3.5,"A-",IF('Data Source'!U809&gt;=3,"B",IF('Data Source'!U809&gt;=2,"C",IF('Data Source'!U809&gt;=1,"D","F")))))),"")</f>
        <v/>
      </c>
      <c r="D809" s="3">
        <f>IF(AND('Data Source'!B809&lt;&gt;"",'Data Source'!S809="F"),IF('Data Source'!V809&gt;=5,"A+",IF('Data Source'!V809&gt;=4,"A",IF('Data Source'!V809&gt;=3.5,"A-",IF('Data Source'!V809&gt;=3,"B",IF('Data Source'!V809&gt;=2,"C",IF('Data Source'!V809&gt;=1,"D","F")))))),"")</f>
        <v/>
      </c>
      <c r="E809" s="3">
        <f>IF(AND('Data Source'!B809&lt;&gt;"",'Data Source'!S809="F"),IF('Data Source'!W809&gt;=5,"A+",IF('Data Source'!W809&gt;=4,"A",IF('Data Source'!W809&gt;=3.5,"A-",IF('Data Source'!W809&gt;=3,"B",IF('Data Source'!W809&gt;=2,"C",IF('Data Source'!W809&gt;=1,"D","F")))))),"")</f>
        <v/>
      </c>
      <c r="F809" s="3">
        <f>IF(AND('Data Source'!B809&lt;&gt;"",'Data Source'!S809="F"),IF('Data Source'!X809&gt;=5,"A+",IF('Data Source'!X809&gt;=4,"A",IF('Data Source'!X809&gt;=3.5,"A-",IF('Data Source'!X809&gt;=3,"B",IF('Data Source'!X809&gt;=2,"C",IF('Data Source'!X809&gt;=1,"D","F")))))),"")</f>
        <v/>
      </c>
      <c r="G809" s="3">
        <f>IF(AND('Data Source'!B809&lt;&gt;"",'Data Source'!S809="F"),IF('Data Source'!Y809&gt;=5,"A+",IF('Data Source'!Y809&gt;=4,"A",IF('Data Source'!Y809&gt;=3.5,"A-",IF('Data Source'!Y809&gt;=3,"B",IF('Data Source'!Y809&gt;=2,"C",IF('Data Source'!Y809&gt;=1,"D","F")))))),"")</f>
        <v/>
      </c>
      <c r="H809" s="3">
        <f>IF(AND('Data Source'!B809&lt;&gt;"",'Data Source'!S809="F"),IF('Data Source'!Z809&gt;=5,"A+",IF('Data Source'!Z809&gt;=4,"A",IF('Data Source'!Z809&gt;=3.5,"A-",IF('Data Source'!Z809&gt;=3,"B",IF('Data Source'!Z809&gt;=2,"C",IF('Data Source'!Z809&gt;=1,"D","F")))))),"")</f>
        <v/>
      </c>
      <c r="I809" s="3">
        <f>IF(AND('Data Source'!B809&lt;&gt;"",'Data Source'!S809="F"),IF('Data Source'!AA809&gt;=5,"A+",IF('Data Source'!AA809&gt;=4,"A",IF('Data Source'!AA809&gt;=3.5,"A-",IF('Data Source'!AA809&gt;=3,"B",IF('Data Source'!AA809&gt;=2,"C",IF('Data Source'!AA809&gt;=1,"D","F")))))),"")</f>
        <v/>
      </c>
      <c r="J809" s="3">
        <f>IF(AND('Data Source'!B809&lt;&gt;"",'Data Source'!S809="F"),IF('Data Source'!AB809&gt;=5,"A+",IF('Data Source'!AB809&gt;=4,"A",IF('Data Source'!AB809&gt;=3.5,"A-",IF('Data Source'!AB809&gt;=3,"B",IF('Data Source'!AB809&gt;=2,"C",IF('Data Source'!AB809&gt;=1,"D","F")))))),"")</f>
        <v/>
      </c>
      <c r="K809" s="3">
        <f>IF(AND('Data Source'!B809&lt;&gt;"",'Data Source'!S809="F"),IF('Data Source'!AC809&gt;=5,"A+",IF('Data Source'!AC809&gt;=4,"A",IF('Data Source'!AC809&gt;=3.5,"A-",IF('Data Source'!AC809&gt;=3,"B",IF('Data Source'!AC809&gt;=2,"C",IF('Data Source'!AC809&gt;=1,"D","F")))))),"")</f>
        <v/>
      </c>
      <c r="L809" s="3">
        <f>IF(AND('Data Source'!B809&lt;&gt;"",'Data Source'!S809="F"),IF('Data Source'!AD809&gt;=5,"A+",IF('Data Source'!AD809&gt;=4,"A",IF('Data Source'!AD809&gt;=3.5,"A-",IF('Data Source'!AD809&gt;=3,"B",IF('Data Source'!AD809&gt;=2,"C",IF('Data Source'!AD809&gt;=1,"D","F")))))),"")</f>
        <v/>
      </c>
      <c r="M809" s="3">
        <f>IF(AND('Data Source'!B809&lt;&gt;"",'Data Source'!S809="F"),IF('Data Source'!AE809&gt;=5,"A+",IF('Data Source'!AE809&gt;=4,"A",IF('Data Source'!AE809&gt;=3.5,"A-",IF('Data Source'!AE809&gt;=3,"B",IF('Data Source'!AE809&gt;=2,"C",IF('Data Source'!AE809&gt;=1,"D","F")))))),"")</f>
        <v/>
      </c>
      <c r="N809" s="3">
        <f>IF(AND('Data Source'!B809&lt;&gt;"",'Data Source'!S809="F"),IF('Data Source'!AF809&gt;=5,"A+",IF('Data Source'!AF809&gt;=4,"A",IF('Data Source'!AF809&gt;=3.5,"A-",IF('Data Source'!AF809&gt;=3,"B",IF('Data Source'!AF809&gt;=2,"C",IF('Data Source'!AF809&gt;=1,"D","F")))))),"")</f>
        <v/>
      </c>
      <c r="O809" s="3">
        <f>IF(AND('Data Source'!B809&lt;&gt;"",'Data Source'!S809="F"),IF('Data Source'!AG809&gt;=5,"A+",IF('Data Source'!AG809&gt;=4,"A",IF('Data Source'!AG809&gt;=3.5,"A-",IF('Data Source'!AG809&gt;=3,"B",IF('Data Source'!AG809&gt;=2,"C",IF('Data Source'!AG809&gt;=1,"D","F")))))),"")</f>
        <v/>
      </c>
      <c r="P809" s="5">
        <f>IF(AND('Data Source'!B809&lt;&gt;"",'Data Source'!S809="F"),'Data Source'!R809,"")</f>
        <v/>
      </c>
      <c r="Q809" s="3">
        <f>IF(AND('Data Source'!B809&lt;&gt;"",'Data Source'!S809="F"),'Data Source'!S809,"")</f>
        <v/>
      </c>
    </row>
    <row r="810">
      <c r="A810" s="3">
        <f>IF(AND('Data Source'!B810&lt;&gt;"",'Data Source'!S810="F"),COUNTIF('Data Source'!$S$3:S810,"F"),"")</f>
        <v/>
      </c>
      <c r="B810">
        <f>IF(AND('Data Source'!B810&lt;&gt;"",'Data Source'!S810="F"),'Data Source'!B810,"")</f>
        <v/>
      </c>
      <c r="C810" s="3">
        <f>IF(AND('Data Source'!B810&lt;&gt;"",'Data Source'!S810="F"),IF('Data Source'!U810&gt;=5,"A+",IF('Data Source'!U810&gt;=4,"A",IF('Data Source'!U810&gt;=3.5,"A-",IF('Data Source'!U810&gt;=3,"B",IF('Data Source'!U810&gt;=2,"C",IF('Data Source'!U810&gt;=1,"D","F")))))),"")</f>
        <v/>
      </c>
      <c r="D810" s="3">
        <f>IF(AND('Data Source'!B810&lt;&gt;"",'Data Source'!S810="F"),IF('Data Source'!V810&gt;=5,"A+",IF('Data Source'!V810&gt;=4,"A",IF('Data Source'!V810&gt;=3.5,"A-",IF('Data Source'!V810&gt;=3,"B",IF('Data Source'!V810&gt;=2,"C",IF('Data Source'!V810&gt;=1,"D","F")))))),"")</f>
        <v/>
      </c>
      <c r="E810" s="3">
        <f>IF(AND('Data Source'!B810&lt;&gt;"",'Data Source'!S810="F"),IF('Data Source'!W810&gt;=5,"A+",IF('Data Source'!W810&gt;=4,"A",IF('Data Source'!W810&gt;=3.5,"A-",IF('Data Source'!W810&gt;=3,"B",IF('Data Source'!W810&gt;=2,"C",IF('Data Source'!W810&gt;=1,"D","F")))))),"")</f>
        <v/>
      </c>
      <c r="F810" s="3">
        <f>IF(AND('Data Source'!B810&lt;&gt;"",'Data Source'!S810="F"),IF('Data Source'!X810&gt;=5,"A+",IF('Data Source'!X810&gt;=4,"A",IF('Data Source'!X810&gt;=3.5,"A-",IF('Data Source'!X810&gt;=3,"B",IF('Data Source'!X810&gt;=2,"C",IF('Data Source'!X810&gt;=1,"D","F")))))),"")</f>
        <v/>
      </c>
      <c r="G810" s="3">
        <f>IF(AND('Data Source'!B810&lt;&gt;"",'Data Source'!S810="F"),IF('Data Source'!Y810&gt;=5,"A+",IF('Data Source'!Y810&gt;=4,"A",IF('Data Source'!Y810&gt;=3.5,"A-",IF('Data Source'!Y810&gt;=3,"B",IF('Data Source'!Y810&gt;=2,"C",IF('Data Source'!Y810&gt;=1,"D","F")))))),"")</f>
        <v/>
      </c>
      <c r="H810" s="3">
        <f>IF(AND('Data Source'!B810&lt;&gt;"",'Data Source'!S810="F"),IF('Data Source'!Z810&gt;=5,"A+",IF('Data Source'!Z810&gt;=4,"A",IF('Data Source'!Z810&gt;=3.5,"A-",IF('Data Source'!Z810&gt;=3,"B",IF('Data Source'!Z810&gt;=2,"C",IF('Data Source'!Z810&gt;=1,"D","F")))))),"")</f>
        <v/>
      </c>
      <c r="I810" s="3">
        <f>IF(AND('Data Source'!B810&lt;&gt;"",'Data Source'!S810="F"),IF('Data Source'!AA810&gt;=5,"A+",IF('Data Source'!AA810&gt;=4,"A",IF('Data Source'!AA810&gt;=3.5,"A-",IF('Data Source'!AA810&gt;=3,"B",IF('Data Source'!AA810&gt;=2,"C",IF('Data Source'!AA810&gt;=1,"D","F")))))),"")</f>
        <v/>
      </c>
      <c r="J810" s="3">
        <f>IF(AND('Data Source'!B810&lt;&gt;"",'Data Source'!S810="F"),IF('Data Source'!AB810&gt;=5,"A+",IF('Data Source'!AB810&gt;=4,"A",IF('Data Source'!AB810&gt;=3.5,"A-",IF('Data Source'!AB810&gt;=3,"B",IF('Data Source'!AB810&gt;=2,"C",IF('Data Source'!AB810&gt;=1,"D","F")))))),"")</f>
        <v/>
      </c>
      <c r="K810" s="3">
        <f>IF(AND('Data Source'!B810&lt;&gt;"",'Data Source'!S810="F"),IF('Data Source'!AC810&gt;=5,"A+",IF('Data Source'!AC810&gt;=4,"A",IF('Data Source'!AC810&gt;=3.5,"A-",IF('Data Source'!AC810&gt;=3,"B",IF('Data Source'!AC810&gt;=2,"C",IF('Data Source'!AC810&gt;=1,"D","F")))))),"")</f>
        <v/>
      </c>
      <c r="L810" s="3">
        <f>IF(AND('Data Source'!B810&lt;&gt;"",'Data Source'!S810="F"),IF('Data Source'!AD810&gt;=5,"A+",IF('Data Source'!AD810&gt;=4,"A",IF('Data Source'!AD810&gt;=3.5,"A-",IF('Data Source'!AD810&gt;=3,"B",IF('Data Source'!AD810&gt;=2,"C",IF('Data Source'!AD810&gt;=1,"D","F")))))),"")</f>
        <v/>
      </c>
      <c r="M810" s="3">
        <f>IF(AND('Data Source'!B810&lt;&gt;"",'Data Source'!S810="F"),IF('Data Source'!AE810&gt;=5,"A+",IF('Data Source'!AE810&gt;=4,"A",IF('Data Source'!AE810&gt;=3.5,"A-",IF('Data Source'!AE810&gt;=3,"B",IF('Data Source'!AE810&gt;=2,"C",IF('Data Source'!AE810&gt;=1,"D","F")))))),"")</f>
        <v/>
      </c>
      <c r="N810" s="3">
        <f>IF(AND('Data Source'!B810&lt;&gt;"",'Data Source'!S810="F"),IF('Data Source'!AF810&gt;=5,"A+",IF('Data Source'!AF810&gt;=4,"A",IF('Data Source'!AF810&gt;=3.5,"A-",IF('Data Source'!AF810&gt;=3,"B",IF('Data Source'!AF810&gt;=2,"C",IF('Data Source'!AF810&gt;=1,"D","F")))))),"")</f>
        <v/>
      </c>
      <c r="O810" s="3">
        <f>IF(AND('Data Source'!B810&lt;&gt;"",'Data Source'!S810="F"),IF('Data Source'!AG810&gt;=5,"A+",IF('Data Source'!AG810&gt;=4,"A",IF('Data Source'!AG810&gt;=3.5,"A-",IF('Data Source'!AG810&gt;=3,"B",IF('Data Source'!AG810&gt;=2,"C",IF('Data Source'!AG810&gt;=1,"D","F")))))),"")</f>
        <v/>
      </c>
      <c r="P810" s="5">
        <f>IF(AND('Data Source'!B810&lt;&gt;"",'Data Source'!S810="F"),'Data Source'!R810,"")</f>
        <v/>
      </c>
      <c r="Q810" s="3">
        <f>IF(AND('Data Source'!B810&lt;&gt;"",'Data Source'!S810="F"),'Data Source'!S810,"")</f>
        <v/>
      </c>
    </row>
    <row r="811">
      <c r="A811" s="3">
        <f>IF(AND('Data Source'!B811&lt;&gt;"",'Data Source'!S811="F"),COUNTIF('Data Source'!$S$3:S811,"F"),"")</f>
        <v/>
      </c>
      <c r="B811">
        <f>IF(AND('Data Source'!B811&lt;&gt;"",'Data Source'!S811="F"),'Data Source'!B811,"")</f>
        <v/>
      </c>
      <c r="C811" s="3">
        <f>IF(AND('Data Source'!B811&lt;&gt;"",'Data Source'!S811="F"),IF('Data Source'!U811&gt;=5,"A+",IF('Data Source'!U811&gt;=4,"A",IF('Data Source'!U811&gt;=3.5,"A-",IF('Data Source'!U811&gt;=3,"B",IF('Data Source'!U811&gt;=2,"C",IF('Data Source'!U811&gt;=1,"D","F")))))),"")</f>
        <v/>
      </c>
      <c r="D811" s="3">
        <f>IF(AND('Data Source'!B811&lt;&gt;"",'Data Source'!S811="F"),IF('Data Source'!V811&gt;=5,"A+",IF('Data Source'!V811&gt;=4,"A",IF('Data Source'!V811&gt;=3.5,"A-",IF('Data Source'!V811&gt;=3,"B",IF('Data Source'!V811&gt;=2,"C",IF('Data Source'!V811&gt;=1,"D","F")))))),"")</f>
        <v/>
      </c>
      <c r="E811" s="3">
        <f>IF(AND('Data Source'!B811&lt;&gt;"",'Data Source'!S811="F"),IF('Data Source'!W811&gt;=5,"A+",IF('Data Source'!W811&gt;=4,"A",IF('Data Source'!W811&gt;=3.5,"A-",IF('Data Source'!W811&gt;=3,"B",IF('Data Source'!W811&gt;=2,"C",IF('Data Source'!W811&gt;=1,"D","F")))))),"")</f>
        <v/>
      </c>
      <c r="F811" s="3">
        <f>IF(AND('Data Source'!B811&lt;&gt;"",'Data Source'!S811="F"),IF('Data Source'!X811&gt;=5,"A+",IF('Data Source'!X811&gt;=4,"A",IF('Data Source'!X811&gt;=3.5,"A-",IF('Data Source'!X811&gt;=3,"B",IF('Data Source'!X811&gt;=2,"C",IF('Data Source'!X811&gt;=1,"D","F")))))),"")</f>
        <v/>
      </c>
      <c r="G811" s="3">
        <f>IF(AND('Data Source'!B811&lt;&gt;"",'Data Source'!S811="F"),IF('Data Source'!Y811&gt;=5,"A+",IF('Data Source'!Y811&gt;=4,"A",IF('Data Source'!Y811&gt;=3.5,"A-",IF('Data Source'!Y811&gt;=3,"B",IF('Data Source'!Y811&gt;=2,"C",IF('Data Source'!Y811&gt;=1,"D","F")))))),"")</f>
        <v/>
      </c>
      <c r="H811" s="3">
        <f>IF(AND('Data Source'!B811&lt;&gt;"",'Data Source'!S811="F"),IF('Data Source'!Z811&gt;=5,"A+",IF('Data Source'!Z811&gt;=4,"A",IF('Data Source'!Z811&gt;=3.5,"A-",IF('Data Source'!Z811&gt;=3,"B",IF('Data Source'!Z811&gt;=2,"C",IF('Data Source'!Z811&gt;=1,"D","F")))))),"")</f>
        <v/>
      </c>
      <c r="I811" s="3">
        <f>IF(AND('Data Source'!B811&lt;&gt;"",'Data Source'!S811="F"),IF('Data Source'!AA811&gt;=5,"A+",IF('Data Source'!AA811&gt;=4,"A",IF('Data Source'!AA811&gt;=3.5,"A-",IF('Data Source'!AA811&gt;=3,"B",IF('Data Source'!AA811&gt;=2,"C",IF('Data Source'!AA811&gt;=1,"D","F")))))),"")</f>
        <v/>
      </c>
      <c r="J811" s="3">
        <f>IF(AND('Data Source'!B811&lt;&gt;"",'Data Source'!S811="F"),IF('Data Source'!AB811&gt;=5,"A+",IF('Data Source'!AB811&gt;=4,"A",IF('Data Source'!AB811&gt;=3.5,"A-",IF('Data Source'!AB811&gt;=3,"B",IF('Data Source'!AB811&gt;=2,"C",IF('Data Source'!AB811&gt;=1,"D","F")))))),"")</f>
        <v/>
      </c>
      <c r="K811" s="3">
        <f>IF(AND('Data Source'!B811&lt;&gt;"",'Data Source'!S811="F"),IF('Data Source'!AC811&gt;=5,"A+",IF('Data Source'!AC811&gt;=4,"A",IF('Data Source'!AC811&gt;=3.5,"A-",IF('Data Source'!AC811&gt;=3,"B",IF('Data Source'!AC811&gt;=2,"C",IF('Data Source'!AC811&gt;=1,"D","F")))))),"")</f>
        <v/>
      </c>
      <c r="L811" s="3">
        <f>IF(AND('Data Source'!B811&lt;&gt;"",'Data Source'!S811="F"),IF('Data Source'!AD811&gt;=5,"A+",IF('Data Source'!AD811&gt;=4,"A",IF('Data Source'!AD811&gt;=3.5,"A-",IF('Data Source'!AD811&gt;=3,"B",IF('Data Source'!AD811&gt;=2,"C",IF('Data Source'!AD811&gt;=1,"D","F")))))),"")</f>
        <v/>
      </c>
      <c r="M811" s="3">
        <f>IF(AND('Data Source'!B811&lt;&gt;"",'Data Source'!S811="F"),IF('Data Source'!AE811&gt;=5,"A+",IF('Data Source'!AE811&gt;=4,"A",IF('Data Source'!AE811&gt;=3.5,"A-",IF('Data Source'!AE811&gt;=3,"B",IF('Data Source'!AE811&gt;=2,"C",IF('Data Source'!AE811&gt;=1,"D","F")))))),"")</f>
        <v/>
      </c>
      <c r="N811" s="3">
        <f>IF(AND('Data Source'!B811&lt;&gt;"",'Data Source'!S811="F"),IF('Data Source'!AF811&gt;=5,"A+",IF('Data Source'!AF811&gt;=4,"A",IF('Data Source'!AF811&gt;=3.5,"A-",IF('Data Source'!AF811&gt;=3,"B",IF('Data Source'!AF811&gt;=2,"C",IF('Data Source'!AF811&gt;=1,"D","F")))))),"")</f>
        <v/>
      </c>
      <c r="O811" s="3">
        <f>IF(AND('Data Source'!B811&lt;&gt;"",'Data Source'!S811="F"),IF('Data Source'!AG811&gt;=5,"A+",IF('Data Source'!AG811&gt;=4,"A",IF('Data Source'!AG811&gt;=3.5,"A-",IF('Data Source'!AG811&gt;=3,"B",IF('Data Source'!AG811&gt;=2,"C",IF('Data Source'!AG811&gt;=1,"D","F")))))),"")</f>
        <v/>
      </c>
      <c r="P811" s="5">
        <f>IF(AND('Data Source'!B811&lt;&gt;"",'Data Source'!S811="F"),'Data Source'!R811,"")</f>
        <v/>
      </c>
      <c r="Q811" s="3">
        <f>IF(AND('Data Source'!B811&lt;&gt;"",'Data Source'!S811="F"),'Data Source'!S811,"")</f>
        <v/>
      </c>
    </row>
    <row r="812">
      <c r="A812" s="3">
        <f>IF(AND('Data Source'!B812&lt;&gt;"",'Data Source'!S812="F"),COUNTIF('Data Source'!$S$3:S812,"F"),"")</f>
        <v/>
      </c>
      <c r="B812">
        <f>IF(AND('Data Source'!B812&lt;&gt;"",'Data Source'!S812="F"),'Data Source'!B812,"")</f>
        <v/>
      </c>
      <c r="C812" s="3">
        <f>IF(AND('Data Source'!B812&lt;&gt;"",'Data Source'!S812="F"),IF('Data Source'!U812&gt;=5,"A+",IF('Data Source'!U812&gt;=4,"A",IF('Data Source'!U812&gt;=3.5,"A-",IF('Data Source'!U812&gt;=3,"B",IF('Data Source'!U812&gt;=2,"C",IF('Data Source'!U812&gt;=1,"D","F")))))),"")</f>
        <v/>
      </c>
      <c r="D812" s="3">
        <f>IF(AND('Data Source'!B812&lt;&gt;"",'Data Source'!S812="F"),IF('Data Source'!V812&gt;=5,"A+",IF('Data Source'!V812&gt;=4,"A",IF('Data Source'!V812&gt;=3.5,"A-",IF('Data Source'!V812&gt;=3,"B",IF('Data Source'!V812&gt;=2,"C",IF('Data Source'!V812&gt;=1,"D","F")))))),"")</f>
        <v/>
      </c>
      <c r="E812" s="3">
        <f>IF(AND('Data Source'!B812&lt;&gt;"",'Data Source'!S812="F"),IF('Data Source'!W812&gt;=5,"A+",IF('Data Source'!W812&gt;=4,"A",IF('Data Source'!W812&gt;=3.5,"A-",IF('Data Source'!W812&gt;=3,"B",IF('Data Source'!W812&gt;=2,"C",IF('Data Source'!W812&gt;=1,"D","F")))))),"")</f>
        <v/>
      </c>
      <c r="F812" s="3">
        <f>IF(AND('Data Source'!B812&lt;&gt;"",'Data Source'!S812="F"),IF('Data Source'!X812&gt;=5,"A+",IF('Data Source'!X812&gt;=4,"A",IF('Data Source'!X812&gt;=3.5,"A-",IF('Data Source'!X812&gt;=3,"B",IF('Data Source'!X812&gt;=2,"C",IF('Data Source'!X812&gt;=1,"D","F")))))),"")</f>
        <v/>
      </c>
      <c r="G812" s="3">
        <f>IF(AND('Data Source'!B812&lt;&gt;"",'Data Source'!S812="F"),IF('Data Source'!Y812&gt;=5,"A+",IF('Data Source'!Y812&gt;=4,"A",IF('Data Source'!Y812&gt;=3.5,"A-",IF('Data Source'!Y812&gt;=3,"B",IF('Data Source'!Y812&gt;=2,"C",IF('Data Source'!Y812&gt;=1,"D","F")))))),"")</f>
        <v/>
      </c>
      <c r="H812" s="3">
        <f>IF(AND('Data Source'!B812&lt;&gt;"",'Data Source'!S812="F"),IF('Data Source'!Z812&gt;=5,"A+",IF('Data Source'!Z812&gt;=4,"A",IF('Data Source'!Z812&gt;=3.5,"A-",IF('Data Source'!Z812&gt;=3,"B",IF('Data Source'!Z812&gt;=2,"C",IF('Data Source'!Z812&gt;=1,"D","F")))))),"")</f>
        <v/>
      </c>
      <c r="I812" s="3">
        <f>IF(AND('Data Source'!B812&lt;&gt;"",'Data Source'!S812="F"),IF('Data Source'!AA812&gt;=5,"A+",IF('Data Source'!AA812&gt;=4,"A",IF('Data Source'!AA812&gt;=3.5,"A-",IF('Data Source'!AA812&gt;=3,"B",IF('Data Source'!AA812&gt;=2,"C",IF('Data Source'!AA812&gt;=1,"D","F")))))),"")</f>
        <v/>
      </c>
      <c r="J812" s="3">
        <f>IF(AND('Data Source'!B812&lt;&gt;"",'Data Source'!S812="F"),IF('Data Source'!AB812&gt;=5,"A+",IF('Data Source'!AB812&gt;=4,"A",IF('Data Source'!AB812&gt;=3.5,"A-",IF('Data Source'!AB812&gt;=3,"B",IF('Data Source'!AB812&gt;=2,"C",IF('Data Source'!AB812&gt;=1,"D","F")))))),"")</f>
        <v/>
      </c>
      <c r="K812" s="3">
        <f>IF(AND('Data Source'!B812&lt;&gt;"",'Data Source'!S812="F"),IF('Data Source'!AC812&gt;=5,"A+",IF('Data Source'!AC812&gt;=4,"A",IF('Data Source'!AC812&gt;=3.5,"A-",IF('Data Source'!AC812&gt;=3,"B",IF('Data Source'!AC812&gt;=2,"C",IF('Data Source'!AC812&gt;=1,"D","F")))))),"")</f>
        <v/>
      </c>
      <c r="L812" s="3">
        <f>IF(AND('Data Source'!B812&lt;&gt;"",'Data Source'!S812="F"),IF('Data Source'!AD812&gt;=5,"A+",IF('Data Source'!AD812&gt;=4,"A",IF('Data Source'!AD812&gt;=3.5,"A-",IF('Data Source'!AD812&gt;=3,"B",IF('Data Source'!AD812&gt;=2,"C",IF('Data Source'!AD812&gt;=1,"D","F")))))),"")</f>
        <v/>
      </c>
      <c r="M812" s="3">
        <f>IF(AND('Data Source'!B812&lt;&gt;"",'Data Source'!S812="F"),IF('Data Source'!AE812&gt;=5,"A+",IF('Data Source'!AE812&gt;=4,"A",IF('Data Source'!AE812&gt;=3.5,"A-",IF('Data Source'!AE812&gt;=3,"B",IF('Data Source'!AE812&gt;=2,"C",IF('Data Source'!AE812&gt;=1,"D","F")))))),"")</f>
        <v/>
      </c>
      <c r="N812" s="3">
        <f>IF(AND('Data Source'!B812&lt;&gt;"",'Data Source'!S812="F"),IF('Data Source'!AF812&gt;=5,"A+",IF('Data Source'!AF812&gt;=4,"A",IF('Data Source'!AF812&gt;=3.5,"A-",IF('Data Source'!AF812&gt;=3,"B",IF('Data Source'!AF812&gt;=2,"C",IF('Data Source'!AF812&gt;=1,"D","F")))))),"")</f>
        <v/>
      </c>
      <c r="O812" s="3">
        <f>IF(AND('Data Source'!B812&lt;&gt;"",'Data Source'!S812="F"),IF('Data Source'!AG812&gt;=5,"A+",IF('Data Source'!AG812&gt;=4,"A",IF('Data Source'!AG812&gt;=3.5,"A-",IF('Data Source'!AG812&gt;=3,"B",IF('Data Source'!AG812&gt;=2,"C",IF('Data Source'!AG812&gt;=1,"D","F")))))),"")</f>
        <v/>
      </c>
      <c r="P812" s="5">
        <f>IF(AND('Data Source'!B812&lt;&gt;"",'Data Source'!S812="F"),'Data Source'!R812,"")</f>
        <v/>
      </c>
      <c r="Q812" s="3">
        <f>IF(AND('Data Source'!B812&lt;&gt;"",'Data Source'!S812="F"),'Data Source'!S812,"")</f>
        <v/>
      </c>
    </row>
    <row r="813">
      <c r="A813" s="3">
        <f>IF(AND('Data Source'!B813&lt;&gt;"",'Data Source'!S813="F"),COUNTIF('Data Source'!$S$3:S813,"F"),"")</f>
        <v/>
      </c>
      <c r="B813">
        <f>IF(AND('Data Source'!B813&lt;&gt;"",'Data Source'!S813="F"),'Data Source'!B813,"")</f>
        <v/>
      </c>
      <c r="C813" s="3">
        <f>IF(AND('Data Source'!B813&lt;&gt;"",'Data Source'!S813="F"),IF('Data Source'!U813&gt;=5,"A+",IF('Data Source'!U813&gt;=4,"A",IF('Data Source'!U813&gt;=3.5,"A-",IF('Data Source'!U813&gt;=3,"B",IF('Data Source'!U813&gt;=2,"C",IF('Data Source'!U813&gt;=1,"D","F")))))),"")</f>
        <v/>
      </c>
      <c r="D813" s="3">
        <f>IF(AND('Data Source'!B813&lt;&gt;"",'Data Source'!S813="F"),IF('Data Source'!V813&gt;=5,"A+",IF('Data Source'!V813&gt;=4,"A",IF('Data Source'!V813&gt;=3.5,"A-",IF('Data Source'!V813&gt;=3,"B",IF('Data Source'!V813&gt;=2,"C",IF('Data Source'!V813&gt;=1,"D","F")))))),"")</f>
        <v/>
      </c>
      <c r="E813" s="3">
        <f>IF(AND('Data Source'!B813&lt;&gt;"",'Data Source'!S813="F"),IF('Data Source'!W813&gt;=5,"A+",IF('Data Source'!W813&gt;=4,"A",IF('Data Source'!W813&gt;=3.5,"A-",IF('Data Source'!W813&gt;=3,"B",IF('Data Source'!W813&gt;=2,"C",IF('Data Source'!W813&gt;=1,"D","F")))))),"")</f>
        <v/>
      </c>
      <c r="F813" s="3">
        <f>IF(AND('Data Source'!B813&lt;&gt;"",'Data Source'!S813="F"),IF('Data Source'!X813&gt;=5,"A+",IF('Data Source'!X813&gt;=4,"A",IF('Data Source'!X813&gt;=3.5,"A-",IF('Data Source'!X813&gt;=3,"B",IF('Data Source'!X813&gt;=2,"C",IF('Data Source'!X813&gt;=1,"D","F")))))),"")</f>
        <v/>
      </c>
      <c r="G813" s="3">
        <f>IF(AND('Data Source'!B813&lt;&gt;"",'Data Source'!S813="F"),IF('Data Source'!Y813&gt;=5,"A+",IF('Data Source'!Y813&gt;=4,"A",IF('Data Source'!Y813&gt;=3.5,"A-",IF('Data Source'!Y813&gt;=3,"B",IF('Data Source'!Y813&gt;=2,"C",IF('Data Source'!Y813&gt;=1,"D","F")))))),"")</f>
        <v/>
      </c>
      <c r="H813" s="3">
        <f>IF(AND('Data Source'!B813&lt;&gt;"",'Data Source'!S813="F"),IF('Data Source'!Z813&gt;=5,"A+",IF('Data Source'!Z813&gt;=4,"A",IF('Data Source'!Z813&gt;=3.5,"A-",IF('Data Source'!Z813&gt;=3,"B",IF('Data Source'!Z813&gt;=2,"C",IF('Data Source'!Z813&gt;=1,"D","F")))))),"")</f>
        <v/>
      </c>
      <c r="I813" s="3">
        <f>IF(AND('Data Source'!B813&lt;&gt;"",'Data Source'!S813="F"),IF('Data Source'!AA813&gt;=5,"A+",IF('Data Source'!AA813&gt;=4,"A",IF('Data Source'!AA813&gt;=3.5,"A-",IF('Data Source'!AA813&gt;=3,"B",IF('Data Source'!AA813&gt;=2,"C",IF('Data Source'!AA813&gt;=1,"D","F")))))),"")</f>
        <v/>
      </c>
      <c r="J813" s="3">
        <f>IF(AND('Data Source'!B813&lt;&gt;"",'Data Source'!S813="F"),IF('Data Source'!AB813&gt;=5,"A+",IF('Data Source'!AB813&gt;=4,"A",IF('Data Source'!AB813&gt;=3.5,"A-",IF('Data Source'!AB813&gt;=3,"B",IF('Data Source'!AB813&gt;=2,"C",IF('Data Source'!AB813&gt;=1,"D","F")))))),"")</f>
        <v/>
      </c>
      <c r="K813" s="3">
        <f>IF(AND('Data Source'!B813&lt;&gt;"",'Data Source'!S813="F"),IF('Data Source'!AC813&gt;=5,"A+",IF('Data Source'!AC813&gt;=4,"A",IF('Data Source'!AC813&gt;=3.5,"A-",IF('Data Source'!AC813&gt;=3,"B",IF('Data Source'!AC813&gt;=2,"C",IF('Data Source'!AC813&gt;=1,"D","F")))))),"")</f>
        <v/>
      </c>
      <c r="L813" s="3">
        <f>IF(AND('Data Source'!B813&lt;&gt;"",'Data Source'!S813="F"),IF('Data Source'!AD813&gt;=5,"A+",IF('Data Source'!AD813&gt;=4,"A",IF('Data Source'!AD813&gt;=3.5,"A-",IF('Data Source'!AD813&gt;=3,"B",IF('Data Source'!AD813&gt;=2,"C",IF('Data Source'!AD813&gt;=1,"D","F")))))),"")</f>
        <v/>
      </c>
      <c r="M813" s="3">
        <f>IF(AND('Data Source'!B813&lt;&gt;"",'Data Source'!S813="F"),IF('Data Source'!AE813&gt;=5,"A+",IF('Data Source'!AE813&gt;=4,"A",IF('Data Source'!AE813&gt;=3.5,"A-",IF('Data Source'!AE813&gt;=3,"B",IF('Data Source'!AE813&gt;=2,"C",IF('Data Source'!AE813&gt;=1,"D","F")))))),"")</f>
        <v/>
      </c>
      <c r="N813" s="3">
        <f>IF(AND('Data Source'!B813&lt;&gt;"",'Data Source'!S813="F"),IF('Data Source'!AF813&gt;=5,"A+",IF('Data Source'!AF813&gt;=4,"A",IF('Data Source'!AF813&gt;=3.5,"A-",IF('Data Source'!AF813&gt;=3,"B",IF('Data Source'!AF813&gt;=2,"C",IF('Data Source'!AF813&gt;=1,"D","F")))))),"")</f>
        <v/>
      </c>
      <c r="O813" s="3">
        <f>IF(AND('Data Source'!B813&lt;&gt;"",'Data Source'!S813="F"),IF('Data Source'!AG813&gt;=5,"A+",IF('Data Source'!AG813&gt;=4,"A",IF('Data Source'!AG813&gt;=3.5,"A-",IF('Data Source'!AG813&gt;=3,"B",IF('Data Source'!AG813&gt;=2,"C",IF('Data Source'!AG813&gt;=1,"D","F")))))),"")</f>
        <v/>
      </c>
      <c r="P813" s="5">
        <f>IF(AND('Data Source'!B813&lt;&gt;"",'Data Source'!S813="F"),'Data Source'!R813,"")</f>
        <v/>
      </c>
      <c r="Q813" s="3">
        <f>IF(AND('Data Source'!B813&lt;&gt;"",'Data Source'!S813="F"),'Data Source'!S813,"")</f>
        <v/>
      </c>
    </row>
    <row r="814">
      <c r="A814" s="3">
        <f>IF(AND('Data Source'!B814&lt;&gt;"",'Data Source'!S814="F"),COUNTIF('Data Source'!$S$3:S814,"F"),"")</f>
        <v/>
      </c>
      <c r="B814">
        <f>IF(AND('Data Source'!B814&lt;&gt;"",'Data Source'!S814="F"),'Data Source'!B814,"")</f>
        <v/>
      </c>
      <c r="C814" s="3">
        <f>IF(AND('Data Source'!B814&lt;&gt;"",'Data Source'!S814="F"),IF('Data Source'!U814&gt;=5,"A+",IF('Data Source'!U814&gt;=4,"A",IF('Data Source'!U814&gt;=3.5,"A-",IF('Data Source'!U814&gt;=3,"B",IF('Data Source'!U814&gt;=2,"C",IF('Data Source'!U814&gt;=1,"D","F")))))),"")</f>
        <v/>
      </c>
      <c r="D814" s="3">
        <f>IF(AND('Data Source'!B814&lt;&gt;"",'Data Source'!S814="F"),IF('Data Source'!V814&gt;=5,"A+",IF('Data Source'!V814&gt;=4,"A",IF('Data Source'!V814&gt;=3.5,"A-",IF('Data Source'!V814&gt;=3,"B",IF('Data Source'!V814&gt;=2,"C",IF('Data Source'!V814&gt;=1,"D","F")))))),"")</f>
        <v/>
      </c>
      <c r="E814" s="3">
        <f>IF(AND('Data Source'!B814&lt;&gt;"",'Data Source'!S814="F"),IF('Data Source'!W814&gt;=5,"A+",IF('Data Source'!W814&gt;=4,"A",IF('Data Source'!W814&gt;=3.5,"A-",IF('Data Source'!W814&gt;=3,"B",IF('Data Source'!W814&gt;=2,"C",IF('Data Source'!W814&gt;=1,"D","F")))))),"")</f>
        <v/>
      </c>
      <c r="F814" s="3">
        <f>IF(AND('Data Source'!B814&lt;&gt;"",'Data Source'!S814="F"),IF('Data Source'!X814&gt;=5,"A+",IF('Data Source'!X814&gt;=4,"A",IF('Data Source'!X814&gt;=3.5,"A-",IF('Data Source'!X814&gt;=3,"B",IF('Data Source'!X814&gt;=2,"C",IF('Data Source'!X814&gt;=1,"D","F")))))),"")</f>
        <v/>
      </c>
      <c r="G814" s="3">
        <f>IF(AND('Data Source'!B814&lt;&gt;"",'Data Source'!S814="F"),IF('Data Source'!Y814&gt;=5,"A+",IF('Data Source'!Y814&gt;=4,"A",IF('Data Source'!Y814&gt;=3.5,"A-",IF('Data Source'!Y814&gt;=3,"B",IF('Data Source'!Y814&gt;=2,"C",IF('Data Source'!Y814&gt;=1,"D","F")))))),"")</f>
        <v/>
      </c>
      <c r="H814" s="3">
        <f>IF(AND('Data Source'!B814&lt;&gt;"",'Data Source'!S814="F"),IF('Data Source'!Z814&gt;=5,"A+",IF('Data Source'!Z814&gt;=4,"A",IF('Data Source'!Z814&gt;=3.5,"A-",IF('Data Source'!Z814&gt;=3,"B",IF('Data Source'!Z814&gt;=2,"C",IF('Data Source'!Z814&gt;=1,"D","F")))))),"")</f>
        <v/>
      </c>
      <c r="I814" s="3">
        <f>IF(AND('Data Source'!B814&lt;&gt;"",'Data Source'!S814="F"),IF('Data Source'!AA814&gt;=5,"A+",IF('Data Source'!AA814&gt;=4,"A",IF('Data Source'!AA814&gt;=3.5,"A-",IF('Data Source'!AA814&gt;=3,"B",IF('Data Source'!AA814&gt;=2,"C",IF('Data Source'!AA814&gt;=1,"D","F")))))),"")</f>
        <v/>
      </c>
      <c r="J814" s="3">
        <f>IF(AND('Data Source'!B814&lt;&gt;"",'Data Source'!S814="F"),IF('Data Source'!AB814&gt;=5,"A+",IF('Data Source'!AB814&gt;=4,"A",IF('Data Source'!AB814&gt;=3.5,"A-",IF('Data Source'!AB814&gt;=3,"B",IF('Data Source'!AB814&gt;=2,"C",IF('Data Source'!AB814&gt;=1,"D","F")))))),"")</f>
        <v/>
      </c>
      <c r="K814" s="3">
        <f>IF(AND('Data Source'!B814&lt;&gt;"",'Data Source'!S814="F"),IF('Data Source'!AC814&gt;=5,"A+",IF('Data Source'!AC814&gt;=4,"A",IF('Data Source'!AC814&gt;=3.5,"A-",IF('Data Source'!AC814&gt;=3,"B",IF('Data Source'!AC814&gt;=2,"C",IF('Data Source'!AC814&gt;=1,"D","F")))))),"")</f>
        <v/>
      </c>
      <c r="L814" s="3">
        <f>IF(AND('Data Source'!B814&lt;&gt;"",'Data Source'!S814="F"),IF('Data Source'!AD814&gt;=5,"A+",IF('Data Source'!AD814&gt;=4,"A",IF('Data Source'!AD814&gt;=3.5,"A-",IF('Data Source'!AD814&gt;=3,"B",IF('Data Source'!AD814&gt;=2,"C",IF('Data Source'!AD814&gt;=1,"D","F")))))),"")</f>
        <v/>
      </c>
      <c r="M814" s="3">
        <f>IF(AND('Data Source'!B814&lt;&gt;"",'Data Source'!S814="F"),IF('Data Source'!AE814&gt;=5,"A+",IF('Data Source'!AE814&gt;=4,"A",IF('Data Source'!AE814&gt;=3.5,"A-",IF('Data Source'!AE814&gt;=3,"B",IF('Data Source'!AE814&gt;=2,"C",IF('Data Source'!AE814&gt;=1,"D","F")))))),"")</f>
        <v/>
      </c>
      <c r="N814" s="3">
        <f>IF(AND('Data Source'!B814&lt;&gt;"",'Data Source'!S814="F"),IF('Data Source'!AF814&gt;=5,"A+",IF('Data Source'!AF814&gt;=4,"A",IF('Data Source'!AF814&gt;=3.5,"A-",IF('Data Source'!AF814&gt;=3,"B",IF('Data Source'!AF814&gt;=2,"C",IF('Data Source'!AF814&gt;=1,"D","F")))))),"")</f>
        <v/>
      </c>
      <c r="O814" s="3">
        <f>IF(AND('Data Source'!B814&lt;&gt;"",'Data Source'!S814="F"),IF('Data Source'!AG814&gt;=5,"A+",IF('Data Source'!AG814&gt;=4,"A",IF('Data Source'!AG814&gt;=3.5,"A-",IF('Data Source'!AG814&gt;=3,"B",IF('Data Source'!AG814&gt;=2,"C",IF('Data Source'!AG814&gt;=1,"D","F")))))),"")</f>
        <v/>
      </c>
      <c r="P814" s="5">
        <f>IF(AND('Data Source'!B814&lt;&gt;"",'Data Source'!S814="F"),'Data Source'!R814,"")</f>
        <v/>
      </c>
      <c r="Q814" s="3">
        <f>IF(AND('Data Source'!B814&lt;&gt;"",'Data Source'!S814="F"),'Data Source'!S814,"")</f>
        <v/>
      </c>
    </row>
    <row r="815">
      <c r="A815" s="3">
        <f>IF(AND('Data Source'!B815&lt;&gt;"",'Data Source'!S815="F"),COUNTIF('Data Source'!$S$3:S815,"F"),"")</f>
        <v/>
      </c>
      <c r="B815">
        <f>IF(AND('Data Source'!B815&lt;&gt;"",'Data Source'!S815="F"),'Data Source'!B815,"")</f>
        <v/>
      </c>
      <c r="C815" s="3">
        <f>IF(AND('Data Source'!B815&lt;&gt;"",'Data Source'!S815="F"),IF('Data Source'!U815&gt;=5,"A+",IF('Data Source'!U815&gt;=4,"A",IF('Data Source'!U815&gt;=3.5,"A-",IF('Data Source'!U815&gt;=3,"B",IF('Data Source'!U815&gt;=2,"C",IF('Data Source'!U815&gt;=1,"D","F")))))),"")</f>
        <v/>
      </c>
      <c r="D815" s="3">
        <f>IF(AND('Data Source'!B815&lt;&gt;"",'Data Source'!S815="F"),IF('Data Source'!V815&gt;=5,"A+",IF('Data Source'!V815&gt;=4,"A",IF('Data Source'!V815&gt;=3.5,"A-",IF('Data Source'!V815&gt;=3,"B",IF('Data Source'!V815&gt;=2,"C",IF('Data Source'!V815&gt;=1,"D","F")))))),"")</f>
        <v/>
      </c>
      <c r="E815" s="3">
        <f>IF(AND('Data Source'!B815&lt;&gt;"",'Data Source'!S815="F"),IF('Data Source'!W815&gt;=5,"A+",IF('Data Source'!W815&gt;=4,"A",IF('Data Source'!W815&gt;=3.5,"A-",IF('Data Source'!W815&gt;=3,"B",IF('Data Source'!W815&gt;=2,"C",IF('Data Source'!W815&gt;=1,"D","F")))))),"")</f>
        <v/>
      </c>
      <c r="F815" s="3">
        <f>IF(AND('Data Source'!B815&lt;&gt;"",'Data Source'!S815="F"),IF('Data Source'!X815&gt;=5,"A+",IF('Data Source'!X815&gt;=4,"A",IF('Data Source'!X815&gt;=3.5,"A-",IF('Data Source'!X815&gt;=3,"B",IF('Data Source'!X815&gt;=2,"C",IF('Data Source'!X815&gt;=1,"D","F")))))),"")</f>
        <v/>
      </c>
      <c r="G815" s="3">
        <f>IF(AND('Data Source'!B815&lt;&gt;"",'Data Source'!S815="F"),IF('Data Source'!Y815&gt;=5,"A+",IF('Data Source'!Y815&gt;=4,"A",IF('Data Source'!Y815&gt;=3.5,"A-",IF('Data Source'!Y815&gt;=3,"B",IF('Data Source'!Y815&gt;=2,"C",IF('Data Source'!Y815&gt;=1,"D","F")))))),"")</f>
        <v/>
      </c>
      <c r="H815" s="3">
        <f>IF(AND('Data Source'!B815&lt;&gt;"",'Data Source'!S815="F"),IF('Data Source'!Z815&gt;=5,"A+",IF('Data Source'!Z815&gt;=4,"A",IF('Data Source'!Z815&gt;=3.5,"A-",IF('Data Source'!Z815&gt;=3,"B",IF('Data Source'!Z815&gt;=2,"C",IF('Data Source'!Z815&gt;=1,"D","F")))))),"")</f>
        <v/>
      </c>
      <c r="I815" s="3">
        <f>IF(AND('Data Source'!B815&lt;&gt;"",'Data Source'!S815="F"),IF('Data Source'!AA815&gt;=5,"A+",IF('Data Source'!AA815&gt;=4,"A",IF('Data Source'!AA815&gt;=3.5,"A-",IF('Data Source'!AA815&gt;=3,"B",IF('Data Source'!AA815&gt;=2,"C",IF('Data Source'!AA815&gt;=1,"D","F")))))),"")</f>
        <v/>
      </c>
      <c r="J815" s="3">
        <f>IF(AND('Data Source'!B815&lt;&gt;"",'Data Source'!S815="F"),IF('Data Source'!AB815&gt;=5,"A+",IF('Data Source'!AB815&gt;=4,"A",IF('Data Source'!AB815&gt;=3.5,"A-",IF('Data Source'!AB815&gt;=3,"B",IF('Data Source'!AB815&gt;=2,"C",IF('Data Source'!AB815&gt;=1,"D","F")))))),"")</f>
        <v/>
      </c>
      <c r="K815" s="3">
        <f>IF(AND('Data Source'!B815&lt;&gt;"",'Data Source'!S815="F"),IF('Data Source'!AC815&gt;=5,"A+",IF('Data Source'!AC815&gt;=4,"A",IF('Data Source'!AC815&gt;=3.5,"A-",IF('Data Source'!AC815&gt;=3,"B",IF('Data Source'!AC815&gt;=2,"C",IF('Data Source'!AC815&gt;=1,"D","F")))))),"")</f>
        <v/>
      </c>
      <c r="L815" s="3">
        <f>IF(AND('Data Source'!B815&lt;&gt;"",'Data Source'!S815="F"),IF('Data Source'!AD815&gt;=5,"A+",IF('Data Source'!AD815&gt;=4,"A",IF('Data Source'!AD815&gt;=3.5,"A-",IF('Data Source'!AD815&gt;=3,"B",IF('Data Source'!AD815&gt;=2,"C",IF('Data Source'!AD815&gt;=1,"D","F")))))),"")</f>
        <v/>
      </c>
      <c r="M815" s="3">
        <f>IF(AND('Data Source'!B815&lt;&gt;"",'Data Source'!S815="F"),IF('Data Source'!AE815&gt;=5,"A+",IF('Data Source'!AE815&gt;=4,"A",IF('Data Source'!AE815&gt;=3.5,"A-",IF('Data Source'!AE815&gt;=3,"B",IF('Data Source'!AE815&gt;=2,"C",IF('Data Source'!AE815&gt;=1,"D","F")))))),"")</f>
        <v/>
      </c>
      <c r="N815" s="3">
        <f>IF(AND('Data Source'!B815&lt;&gt;"",'Data Source'!S815="F"),IF('Data Source'!AF815&gt;=5,"A+",IF('Data Source'!AF815&gt;=4,"A",IF('Data Source'!AF815&gt;=3.5,"A-",IF('Data Source'!AF815&gt;=3,"B",IF('Data Source'!AF815&gt;=2,"C",IF('Data Source'!AF815&gt;=1,"D","F")))))),"")</f>
        <v/>
      </c>
      <c r="O815" s="3">
        <f>IF(AND('Data Source'!B815&lt;&gt;"",'Data Source'!S815="F"),IF('Data Source'!AG815&gt;=5,"A+",IF('Data Source'!AG815&gt;=4,"A",IF('Data Source'!AG815&gt;=3.5,"A-",IF('Data Source'!AG815&gt;=3,"B",IF('Data Source'!AG815&gt;=2,"C",IF('Data Source'!AG815&gt;=1,"D","F")))))),"")</f>
        <v/>
      </c>
      <c r="P815" s="5">
        <f>IF(AND('Data Source'!B815&lt;&gt;"",'Data Source'!S815="F"),'Data Source'!R815,"")</f>
        <v/>
      </c>
      <c r="Q815" s="3">
        <f>IF(AND('Data Source'!B815&lt;&gt;"",'Data Source'!S815="F"),'Data Source'!S815,"")</f>
        <v/>
      </c>
    </row>
    <row r="816">
      <c r="A816" s="3">
        <f>IF(AND('Data Source'!B816&lt;&gt;"",'Data Source'!S816="F"),COUNTIF('Data Source'!$S$3:S816,"F"),"")</f>
        <v/>
      </c>
      <c r="B816">
        <f>IF(AND('Data Source'!B816&lt;&gt;"",'Data Source'!S816="F"),'Data Source'!B816,"")</f>
        <v/>
      </c>
      <c r="C816" s="3">
        <f>IF(AND('Data Source'!B816&lt;&gt;"",'Data Source'!S816="F"),IF('Data Source'!U816&gt;=5,"A+",IF('Data Source'!U816&gt;=4,"A",IF('Data Source'!U816&gt;=3.5,"A-",IF('Data Source'!U816&gt;=3,"B",IF('Data Source'!U816&gt;=2,"C",IF('Data Source'!U816&gt;=1,"D","F")))))),"")</f>
        <v/>
      </c>
      <c r="D816" s="3">
        <f>IF(AND('Data Source'!B816&lt;&gt;"",'Data Source'!S816="F"),IF('Data Source'!V816&gt;=5,"A+",IF('Data Source'!V816&gt;=4,"A",IF('Data Source'!V816&gt;=3.5,"A-",IF('Data Source'!V816&gt;=3,"B",IF('Data Source'!V816&gt;=2,"C",IF('Data Source'!V816&gt;=1,"D","F")))))),"")</f>
        <v/>
      </c>
      <c r="E816" s="3">
        <f>IF(AND('Data Source'!B816&lt;&gt;"",'Data Source'!S816="F"),IF('Data Source'!W816&gt;=5,"A+",IF('Data Source'!W816&gt;=4,"A",IF('Data Source'!W816&gt;=3.5,"A-",IF('Data Source'!W816&gt;=3,"B",IF('Data Source'!W816&gt;=2,"C",IF('Data Source'!W816&gt;=1,"D","F")))))),"")</f>
        <v/>
      </c>
      <c r="F816" s="3">
        <f>IF(AND('Data Source'!B816&lt;&gt;"",'Data Source'!S816="F"),IF('Data Source'!X816&gt;=5,"A+",IF('Data Source'!X816&gt;=4,"A",IF('Data Source'!X816&gt;=3.5,"A-",IF('Data Source'!X816&gt;=3,"B",IF('Data Source'!X816&gt;=2,"C",IF('Data Source'!X816&gt;=1,"D","F")))))),"")</f>
        <v/>
      </c>
      <c r="G816" s="3">
        <f>IF(AND('Data Source'!B816&lt;&gt;"",'Data Source'!S816="F"),IF('Data Source'!Y816&gt;=5,"A+",IF('Data Source'!Y816&gt;=4,"A",IF('Data Source'!Y816&gt;=3.5,"A-",IF('Data Source'!Y816&gt;=3,"B",IF('Data Source'!Y816&gt;=2,"C",IF('Data Source'!Y816&gt;=1,"D","F")))))),"")</f>
        <v/>
      </c>
      <c r="H816" s="3">
        <f>IF(AND('Data Source'!B816&lt;&gt;"",'Data Source'!S816="F"),IF('Data Source'!Z816&gt;=5,"A+",IF('Data Source'!Z816&gt;=4,"A",IF('Data Source'!Z816&gt;=3.5,"A-",IF('Data Source'!Z816&gt;=3,"B",IF('Data Source'!Z816&gt;=2,"C",IF('Data Source'!Z816&gt;=1,"D","F")))))),"")</f>
        <v/>
      </c>
      <c r="I816" s="3">
        <f>IF(AND('Data Source'!B816&lt;&gt;"",'Data Source'!S816="F"),IF('Data Source'!AA816&gt;=5,"A+",IF('Data Source'!AA816&gt;=4,"A",IF('Data Source'!AA816&gt;=3.5,"A-",IF('Data Source'!AA816&gt;=3,"B",IF('Data Source'!AA816&gt;=2,"C",IF('Data Source'!AA816&gt;=1,"D","F")))))),"")</f>
        <v/>
      </c>
      <c r="J816" s="3">
        <f>IF(AND('Data Source'!B816&lt;&gt;"",'Data Source'!S816="F"),IF('Data Source'!AB816&gt;=5,"A+",IF('Data Source'!AB816&gt;=4,"A",IF('Data Source'!AB816&gt;=3.5,"A-",IF('Data Source'!AB816&gt;=3,"B",IF('Data Source'!AB816&gt;=2,"C",IF('Data Source'!AB816&gt;=1,"D","F")))))),"")</f>
        <v/>
      </c>
      <c r="K816" s="3">
        <f>IF(AND('Data Source'!B816&lt;&gt;"",'Data Source'!S816="F"),IF('Data Source'!AC816&gt;=5,"A+",IF('Data Source'!AC816&gt;=4,"A",IF('Data Source'!AC816&gt;=3.5,"A-",IF('Data Source'!AC816&gt;=3,"B",IF('Data Source'!AC816&gt;=2,"C",IF('Data Source'!AC816&gt;=1,"D","F")))))),"")</f>
        <v/>
      </c>
      <c r="L816" s="3">
        <f>IF(AND('Data Source'!B816&lt;&gt;"",'Data Source'!S816="F"),IF('Data Source'!AD816&gt;=5,"A+",IF('Data Source'!AD816&gt;=4,"A",IF('Data Source'!AD816&gt;=3.5,"A-",IF('Data Source'!AD816&gt;=3,"B",IF('Data Source'!AD816&gt;=2,"C",IF('Data Source'!AD816&gt;=1,"D","F")))))),"")</f>
        <v/>
      </c>
      <c r="M816" s="3">
        <f>IF(AND('Data Source'!B816&lt;&gt;"",'Data Source'!S816="F"),IF('Data Source'!AE816&gt;=5,"A+",IF('Data Source'!AE816&gt;=4,"A",IF('Data Source'!AE816&gt;=3.5,"A-",IF('Data Source'!AE816&gt;=3,"B",IF('Data Source'!AE816&gt;=2,"C",IF('Data Source'!AE816&gt;=1,"D","F")))))),"")</f>
        <v/>
      </c>
      <c r="N816" s="3">
        <f>IF(AND('Data Source'!B816&lt;&gt;"",'Data Source'!S816="F"),IF('Data Source'!AF816&gt;=5,"A+",IF('Data Source'!AF816&gt;=4,"A",IF('Data Source'!AF816&gt;=3.5,"A-",IF('Data Source'!AF816&gt;=3,"B",IF('Data Source'!AF816&gt;=2,"C",IF('Data Source'!AF816&gt;=1,"D","F")))))),"")</f>
        <v/>
      </c>
      <c r="O816" s="3">
        <f>IF(AND('Data Source'!B816&lt;&gt;"",'Data Source'!S816="F"),IF('Data Source'!AG816&gt;=5,"A+",IF('Data Source'!AG816&gt;=4,"A",IF('Data Source'!AG816&gt;=3.5,"A-",IF('Data Source'!AG816&gt;=3,"B",IF('Data Source'!AG816&gt;=2,"C",IF('Data Source'!AG816&gt;=1,"D","F")))))),"")</f>
        <v/>
      </c>
      <c r="P816" s="5">
        <f>IF(AND('Data Source'!B816&lt;&gt;"",'Data Source'!S816="F"),'Data Source'!R816,"")</f>
        <v/>
      </c>
      <c r="Q816" s="3">
        <f>IF(AND('Data Source'!B816&lt;&gt;"",'Data Source'!S816="F"),'Data Source'!S816,"")</f>
        <v/>
      </c>
    </row>
    <row r="817">
      <c r="A817" s="3">
        <f>IF(AND('Data Source'!B817&lt;&gt;"",'Data Source'!S817="F"),COUNTIF('Data Source'!$S$3:S817,"F"),"")</f>
        <v/>
      </c>
      <c r="B817">
        <f>IF(AND('Data Source'!B817&lt;&gt;"",'Data Source'!S817="F"),'Data Source'!B817,"")</f>
        <v/>
      </c>
      <c r="C817" s="3">
        <f>IF(AND('Data Source'!B817&lt;&gt;"",'Data Source'!S817="F"),IF('Data Source'!U817&gt;=5,"A+",IF('Data Source'!U817&gt;=4,"A",IF('Data Source'!U817&gt;=3.5,"A-",IF('Data Source'!U817&gt;=3,"B",IF('Data Source'!U817&gt;=2,"C",IF('Data Source'!U817&gt;=1,"D","F")))))),"")</f>
        <v/>
      </c>
      <c r="D817" s="3">
        <f>IF(AND('Data Source'!B817&lt;&gt;"",'Data Source'!S817="F"),IF('Data Source'!V817&gt;=5,"A+",IF('Data Source'!V817&gt;=4,"A",IF('Data Source'!V817&gt;=3.5,"A-",IF('Data Source'!V817&gt;=3,"B",IF('Data Source'!V817&gt;=2,"C",IF('Data Source'!V817&gt;=1,"D","F")))))),"")</f>
        <v/>
      </c>
      <c r="E817" s="3">
        <f>IF(AND('Data Source'!B817&lt;&gt;"",'Data Source'!S817="F"),IF('Data Source'!W817&gt;=5,"A+",IF('Data Source'!W817&gt;=4,"A",IF('Data Source'!W817&gt;=3.5,"A-",IF('Data Source'!W817&gt;=3,"B",IF('Data Source'!W817&gt;=2,"C",IF('Data Source'!W817&gt;=1,"D","F")))))),"")</f>
        <v/>
      </c>
      <c r="F817" s="3">
        <f>IF(AND('Data Source'!B817&lt;&gt;"",'Data Source'!S817="F"),IF('Data Source'!X817&gt;=5,"A+",IF('Data Source'!X817&gt;=4,"A",IF('Data Source'!X817&gt;=3.5,"A-",IF('Data Source'!X817&gt;=3,"B",IF('Data Source'!X817&gt;=2,"C",IF('Data Source'!X817&gt;=1,"D","F")))))),"")</f>
        <v/>
      </c>
      <c r="G817" s="3">
        <f>IF(AND('Data Source'!B817&lt;&gt;"",'Data Source'!S817="F"),IF('Data Source'!Y817&gt;=5,"A+",IF('Data Source'!Y817&gt;=4,"A",IF('Data Source'!Y817&gt;=3.5,"A-",IF('Data Source'!Y817&gt;=3,"B",IF('Data Source'!Y817&gt;=2,"C",IF('Data Source'!Y817&gt;=1,"D","F")))))),"")</f>
        <v/>
      </c>
      <c r="H817" s="3">
        <f>IF(AND('Data Source'!B817&lt;&gt;"",'Data Source'!S817="F"),IF('Data Source'!Z817&gt;=5,"A+",IF('Data Source'!Z817&gt;=4,"A",IF('Data Source'!Z817&gt;=3.5,"A-",IF('Data Source'!Z817&gt;=3,"B",IF('Data Source'!Z817&gt;=2,"C",IF('Data Source'!Z817&gt;=1,"D","F")))))),"")</f>
        <v/>
      </c>
      <c r="I817" s="3">
        <f>IF(AND('Data Source'!B817&lt;&gt;"",'Data Source'!S817="F"),IF('Data Source'!AA817&gt;=5,"A+",IF('Data Source'!AA817&gt;=4,"A",IF('Data Source'!AA817&gt;=3.5,"A-",IF('Data Source'!AA817&gt;=3,"B",IF('Data Source'!AA817&gt;=2,"C",IF('Data Source'!AA817&gt;=1,"D","F")))))),"")</f>
        <v/>
      </c>
      <c r="J817" s="3">
        <f>IF(AND('Data Source'!B817&lt;&gt;"",'Data Source'!S817="F"),IF('Data Source'!AB817&gt;=5,"A+",IF('Data Source'!AB817&gt;=4,"A",IF('Data Source'!AB817&gt;=3.5,"A-",IF('Data Source'!AB817&gt;=3,"B",IF('Data Source'!AB817&gt;=2,"C",IF('Data Source'!AB817&gt;=1,"D","F")))))),"")</f>
        <v/>
      </c>
      <c r="K817" s="3">
        <f>IF(AND('Data Source'!B817&lt;&gt;"",'Data Source'!S817="F"),IF('Data Source'!AC817&gt;=5,"A+",IF('Data Source'!AC817&gt;=4,"A",IF('Data Source'!AC817&gt;=3.5,"A-",IF('Data Source'!AC817&gt;=3,"B",IF('Data Source'!AC817&gt;=2,"C",IF('Data Source'!AC817&gt;=1,"D","F")))))),"")</f>
        <v/>
      </c>
      <c r="L817" s="3">
        <f>IF(AND('Data Source'!B817&lt;&gt;"",'Data Source'!S817="F"),IF('Data Source'!AD817&gt;=5,"A+",IF('Data Source'!AD817&gt;=4,"A",IF('Data Source'!AD817&gt;=3.5,"A-",IF('Data Source'!AD817&gt;=3,"B",IF('Data Source'!AD817&gt;=2,"C",IF('Data Source'!AD817&gt;=1,"D","F")))))),"")</f>
        <v/>
      </c>
      <c r="M817" s="3">
        <f>IF(AND('Data Source'!B817&lt;&gt;"",'Data Source'!S817="F"),IF('Data Source'!AE817&gt;=5,"A+",IF('Data Source'!AE817&gt;=4,"A",IF('Data Source'!AE817&gt;=3.5,"A-",IF('Data Source'!AE817&gt;=3,"B",IF('Data Source'!AE817&gt;=2,"C",IF('Data Source'!AE817&gt;=1,"D","F")))))),"")</f>
        <v/>
      </c>
      <c r="N817" s="3">
        <f>IF(AND('Data Source'!B817&lt;&gt;"",'Data Source'!S817="F"),IF('Data Source'!AF817&gt;=5,"A+",IF('Data Source'!AF817&gt;=4,"A",IF('Data Source'!AF817&gt;=3.5,"A-",IF('Data Source'!AF817&gt;=3,"B",IF('Data Source'!AF817&gt;=2,"C",IF('Data Source'!AF817&gt;=1,"D","F")))))),"")</f>
        <v/>
      </c>
      <c r="O817" s="3">
        <f>IF(AND('Data Source'!B817&lt;&gt;"",'Data Source'!S817="F"),IF('Data Source'!AG817&gt;=5,"A+",IF('Data Source'!AG817&gt;=4,"A",IF('Data Source'!AG817&gt;=3.5,"A-",IF('Data Source'!AG817&gt;=3,"B",IF('Data Source'!AG817&gt;=2,"C",IF('Data Source'!AG817&gt;=1,"D","F")))))),"")</f>
        <v/>
      </c>
      <c r="P817" s="5">
        <f>IF(AND('Data Source'!B817&lt;&gt;"",'Data Source'!S817="F"),'Data Source'!R817,"")</f>
        <v/>
      </c>
      <c r="Q817" s="3">
        <f>IF(AND('Data Source'!B817&lt;&gt;"",'Data Source'!S817="F"),'Data Source'!S817,"")</f>
        <v/>
      </c>
    </row>
    <row r="818">
      <c r="A818" s="3">
        <f>IF(AND('Data Source'!B818&lt;&gt;"",'Data Source'!S818="F"),COUNTIF('Data Source'!$S$3:S818,"F"),"")</f>
        <v/>
      </c>
      <c r="B818">
        <f>IF(AND('Data Source'!B818&lt;&gt;"",'Data Source'!S818="F"),'Data Source'!B818,"")</f>
        <v/>
      </c>
      <c r="C818" s="3">
        <f>IF(AND('Data Source'!B818&lt;&gt;"",'Data Source'!S818="F"),IF('Data Source'!U818&gt;=5,"A+",IF('Data Source'!U818&gt;=4,"A",IF('Data Source'!U818&gt;=3.5,"A-",IF('Data Source'!U818&gt;=3,"B",IF('Data Source'!U818&gt;=2,"C",IF('Data Source'!U818&gt;=1,"D","F")))))),"")</f>
        <v/>
      </c>
      <c r="D818" s="3">
        <f>IF(AND('Data Source'!B818&lt;&gt;"",'Data Source'!S818="F"),IF('Data Source'!V818&gt;=5,"A+",IF('Data Source'!V818&gt;=4,"A",IF('Data Source'!V818&gt;=3.5,"A-",IF('Data Source'!V818&gt;=3,"B",IF('Data Source'!V818&gt;=2,"C",IF('Data Source'!V818&gt;=1,"D","F")))))),"")</f>
        <v/>
      </c>
      <c r="E818" s="3">
        <f>IF(AND('Data Source'!B818&lt;&gt;"",'Data Source'!S818="F"),IF('Data Source'!W818&gt;=5,"A+",IF('Data Source'!W818&gt;=4,"A",IF('Data Source'!W818&gt;=3.5,"A-",IF('Data Source'!W818&gt;=3,"B",IF('Data Source'!W818&gt;=2,"C",IF('Data Source'!W818&gt;=1,"D","F")))))),"")</f>
        <v/>
      </c>
      <c r="F818" s="3">
        <f>IF(AND('Data Source'!B818&lt;&gt;"",'Data Source'!S818="F"),IF('Data Source'!X818&gt;=5,"A+",IF('Data Source'!X818&gt;=4,"A",IF('Data Source'!X818&gt;=3.5,"A-",IF('Data Source'!X818&gt;=3,"B",IF('Data Source'!X818&gt;=2,"C",IF('Data Source'!X818&gt;=1,"D","F")))))),"")</f>
        <v/>
      </c>
      <c r="G818" s="3">
        <f>IF(AND('Data Source'!B818&lt;&gt;"",'Data Source'!S818="F"),IF('Data Source'!Y818&gt;=5,"A+",IF('Data Source'!Y818&gt;=4,"A",IF('Data Source'!Y818&gt;=3.5,"A-",IF('Data Source'!Y818&gt;=3,"B",IF('Data Source'!Y818&gt;=2,"C",IF('Data Source'!Y818&gt;=1,"D","F")))))),"")</f>
        <v/>
      </c>
      <c r="H818" s="3">
        <f>IF(AND('Data Source'!B818&lt;&gt;"",'Data Source'!S818="F"),IF('Data Source'!Z818&gt;=5,"A+",IF('Data Source'!Z818&gt;=4,"A",IF('Data Source'!Z818&gt;=3.5,"A-",IF('Data Source'!Z818&gt;=3,"B",IF('Data Source'!Z818&gt;=2,"C",IF('Data Source'!Z818&gt;=1,"D","F")))))),"")</f>
        <v/>
      </c>
      <c r="I818" s="3">
        <f>IF(AND('Data Source'!B818&lt;&gt;"",'Data Source'!S818="F"),IF('Data Source'!AA818&gt;=5,"A+",IF('Data Source'!AA818&gt;=4,"A",IF('Data Source'!AA818&gt;=3.5,"A-",IF('Data Source'!AA818&gt;=3,"B",IF('Data Source'!AA818&gt;=2,"C",IF('Data Source'!AA818&gt;=1,"D","F")))))),"")</f>
        <v/>
      </c>
      <c r="J818" s="3">
        <f>IF(AND('Data Source'!B818&lt;&gt;"",'Data Source'!S818="F"),IF('Data Source'!AB818&gt;=5,"A+",IF('Data Source'!AB818&gt;=4,"A",IF('Data Source'!AB818&gt;=3.5,"A-",IF('Data Source'!AB818&gt;=3,"B",IF('Data Source'!AB818&gt;=2,"C",IF('Data Source'!AB818&gt;=1,"D","F")))))),"")</f>
        <v/>
      </c>
      <c r="K818" s="3">
        <f>IF(AND('Data Source'!B818&lt;&gt;"",'Data Source'!S818="F"),IF('Data Source'!AC818&gt;=5,"A+",IF('Data Source'!AC818&gt;=4,"A",IF('Data Source'!AC818&gt;=3.5,"A-",IF('Data Source'!AC818&gt;=3,"B",IF('Data Source'!AC818&gt;=2,"C",IF('Data Source'!AC818&gt;=1,"D","F")))))),"")</f>
        <v/>
      </c>
      <c r="L818" s="3">
        <f>IF(AND('Data Source'!B818&lt;&gt;"",'Data Source'!S818="F"),IF('Data Source'!AD818&gt;=5,"A+",IF('Data Source'!AD818&gt;=4,"A",IF('Data Source'!AD818&gt;=3.5,"A-",IF('Data Source'!AD818&gt;=3,"B",IF('Data Source'!AD818&gt;=2,"C",IF('Data Source'!AD818&gt;=1,"D","F")))))),"")</f>
        <v/>
      </c>
      <c r="M818" s="3">
        <f>IF(AND('Data Source'!B818&lt;&gt;"",'Data Source'!S818="F"),IF('Data Source'!AE818&gt;=5,"A+",IF('Data Source'!AE818&gt;=4,"A",IF('Data Source'!AE818&gt;=3.5,"A-",IF('Data Source'!AE818&gt;=3,"B",IF('Data Source'!AE818&gt;=2,"C",IF('Data Source'!AE818&gt;=1,"D","F")))))),"")</f>
        <v/>
      </c>
      <c r="N818" s="3">
        <f>IF(AND('Data Source'!B818&lt;&gt;"",'Data Source'!S818="F"),IF('Data Source'!AF818&gt;=5,"A+",IF('Data Source'!AF818&gt;=4,"A",IF('Data Source'!AF818&gt;=3.5,"A-",IF('Data Source'!AF818&gt;=3,"B",IF('Data Source'!AF818&gt;=2,"C",IF('Data Source'!AF818&gt;=1,"D","F")))))),"")</f>
        <v/>
      </c>
      <c r="O818" s="3">
        <f>IF(AND('Data Source'!B818&lt;&gt;"",'Data Source'!S818="F"),IF('Data Source'!AG818&gt;=5,"A+",IF('Data Source'!AG818&gt;=4,"A",IF('Data Source'!AG818&gt;=3.5,"A-",IF('Data Source'!AG818&gt;=3,"B",IF('Data Source'!AG818&gt;=2,"C",IF('Data Source'!AG818&gt;=1,"D","F")))))),"")</f>
        <v/>
      </c>
      <c r="P818" s="5">
        <f>IF(AND('Data Source'!B818&lt;&gt;"",'Data Source'!S818="F"),'Data Source'!R818,"")</f>
        <v/>
      </c>
      <c r="Q818" s="3">
        <f>IF(AND('Data Source'!B818&lt;&gt;"",'Data Source'!S818="F"),'Data Source'!S818,"")</f>
        <v/>
      </c>
    </row>
    <row r="819">
      <c r="A819" s="3">
        <f>IF(AND('Data Source'!B819&lt;&gt;"",'Data Source'!S819="F"),COUNTIF('Data Source'!$S$3:S819,"F"),"")</f>
        <v/>
      </c>
      <c r="B819">
        <f>IF(AND('Data Source'!B819&lt;&gt;"",'Data Source'!S819="F"),'Data Source'!B819,"")</f>
        <v/>
      </c>
      <c r="C819" s="3">
        <f>IF(AND('Data Source'!B819&lt;&gt;"",'Data Source'!S819="F"),IF('Data Source'!U819&gt;=5,"A+",IF('Data Source'!U819&gt;=4,"A",IF('Data Source'!U819&gt;=3.5,"A-",IF('Data Source'!U819&gt;=3,"B",IF('Data Source'!U819&gt;=2,"C",IF('Data Source'!U819&gt;=1,"D","F")))))),"")</f>
        <v/>
      </c>
      <c r="D819" s="3">
        <f>IF(AND('Data Source'!B819&lt;&gt;"",'Data Source'!S819="F"),IF('Data Source'!V819&gt;=5,"A+",IF('Data Source'!V819&gt;=4,"A",IF('Data Source'!V819&gt;=3.5,"A-",IF('Data Source'!V819&gt;=3,"B",IF('Data Source'!V819&gt;=2,"C",IF('Data Source'!V819&gt;=1,"D","F")))))),"")</f>
        <v/>
      </c>
      <c r="E819" s="3">
        <f>IF(AND('Data Source'!B819&lt;&gt;"",'Data Source'!S819="F"),IF('Data Source'!W819&gt;=5,"A+",IF('Data Source'!W819&gt;=4,"A",IF('Data Source'!W819&gt;=3.5,"A-",IF('Data Source'!W819&gt;=3,"B",IF('Data Source'!W819&gt;=2,"C",IF('Data Source'!W819&gt;=1,"D","F")))))),"")</f>
        <v/>
      </c>
      <c r="F819" s="3">
        <f>IF(AND('Data Source'!B819&lt;&gt;"",'Data Source'!S819="F"),IF('Data Source'!X819&gt;=5,"A+",IF('Data Source'!X819&gt;=4,"A",IF('Data Source'!X819&gt;=3.5,"A-",IF('Data Source'!X819&gt;=3,"B",IF('Data Source'!X819&gt;=2,"C",IF('Data Source'!X819&gt;=1,"D","F")))))),"")</f>
        <v/>
      </c>
      <c r="G819" s="3">
        <f>IF(AND('Data Source'!B819&lt;&gt;"",'Data Source'!S819="F"),IF('Data Source'!Y819&gt;=5,"A+",IF('Data Source'!Y819&gt;=4,"A",IF('Data Source'!Y819&gt;=3.5,"A-",IF('Data Source'!Y819&gt;=3,"B",IF('Data Source'!Y819&gt;=2,"C",IF('Data Source'!Y819&gt;=1,"D","F")))))),"")</f>
        <v/>
      </c>
      <c r="H819" s="3">
        <f>IF(AND('Data Source'!B819&lt;&gt;"",'Data Source'!S819="F"),IF('Data Source'!Z819&gt;=5,"A+",IF('Data Source'!Z819&gt;=4,"A",IF('Data Source'!Z819&gt;=3.5,"A-",IF('Data Source'!Z819&gt;=3,"B",IF('Data Source'!Z819&gt;=2,"C",IF('Data Source'!Z819&gt;=1,"D","F")))))),"")</f>
        <v/>
      </c>
      <c r="I819" s="3">
        <f>IF(AND('Data Source'!B819&lt;&gt;"",'Data Source'!S819="F"),IF('Data Source'!AA819&gt;=5,"A+",IF('Data Source'!AA819&gt;=4,"A",IF('Data Source'!AA819&gt;=3.5,"A-",IF('Data Source'!AA819&gt;=3,"B",IF('Data Source'!AA819&gt;=2,"C",IF('Data Source'!AA819&gt;=1,"D","F")))))),"")</f>
        <v/>
      </c>
      <c r="J819" s="3">
        <f>IF(AND('Data Source'!B819&lt;&gt;"",'Data Source'!S819="F"),IF('Data Source'!AB819&gt;=5,"A+",IF('Data Source'!AB819&gt;=4,"A",IF('Data Source'!AB819&gt;=3.5,"A-",IF('Data Source'!AB819&gt;=3,"B",IF('Data Source'!AB819&gt;=2,"C",IF('Data Source'!AB819&gt;=1,"D","F")))))),"")</f>
        <v/>
      </c>
      <c r="K819" s="3">
        <f>IF(AND('Data Source'!B819&lt;&gt;"",'Data Source'!S819="F"),IF('Data Source'!AC819&gt;=5,"A+",IF('Data Source'!AC819&gt;=4,"A",IF('Data Source'!AC819&gt;=3.5,"A-",IF('Data Source'!AC819&gt;=3,"B",IF('Data Source'!AC819&gt;=2,"C",IF('Data Source'!AC819&gt;=1,"D","F")))))),"")</f>
        <v/>
      </c>
      <c r="L819" s="3">
        <f>IF(AND('Data Source'!B819&lt;&gt;"",'Data Source'!S819="F"),IF('Data Source'!AD819&gt;=5,"A+",IF('Data Source'!AD819&gt;=4,"A",IF('Data Source'!AD819&gt;=3.5,"A-",IF('Data Source'!AD819&gt;=3,"B",IF('Data Source'!AD819&gt;=2,"C",IF('Data Source'!AD819&gt;=1,"D","F")))))),"")</f>
        <v/>
      </c>
      <c r="M819" s="3">
        <f>IF(AND('Data Source'!B819&lt;&gt;"",'Data Source'!S819="F"),IF('Data Source'!AE819&gt;=5,"A+",IF('Data Source'!AE819&gt;=4,"A",IF('Data Source'!AE819&gt;=3.5,"A-",IF('Data Source'!AE819&gt;=3,"B",IF('Data Source'!AE819&gt;=2,"C",IF('Data Source'!AE819&gt;=1,"D","F")))))),"")</f>
        <v/>
      </c>
      <c r="N819" s="3">
        <f>IF(AND('Data Source'!B819&lt;&gt;"",'Data Source'!S819="F"),IF('Data Source'!AF819&gt;=5,"A+",IF('Data Source'!AF819&gt;=4,"A",IF('Data Source'!AF819&gt;=3.5,"A-",IF('Data Source'!AF819&gt;=3,"B",IF('Data Source'!AF819&gt;=2,"C",IF('Data Source'!AF819&gt;=1,"D","F")))))),"")</f>
        <v/>
      </c>
      <c r="O819" s="3">
        <f>IF(AND('Data Source'!B819&lt;&gt;"",'Data Source'!S819="F"),IF('Data Source'!AG819&gt;=5,"A+",IF('Data Source'!AG819&gt;=4,"A",IF('Data Source'!AG819&gt;=3.5,"A-",IF('Data Source'!AG819&gt;=3,"B",IF('Data Source'!AG819&gt;=2,"C",IF('Data Source'!AG819&gt;=1,"D","F")))))),"")</f>
        <v/>
      </c>
      <c r="P819" s="5">
        <f>IF(AND('Data Source'!B819&lt;&gt;"",'Data Source'!S819="F"),'Data Source'!R819,"")</f>
        <v/>
      </c>
      <c r="Q819" s="3">
        <f>IF(AND('Data Source'!B819&lt;&gt;"",'Data Source'!S819="F"),'Data Source'!S819,"")</f>
        <v/>
      </c>
    </row>
    <row r="820">
      <c r="A820" s="3">
        <f>IF(AND('Data Source'!B820&lt;&gt;"",'Data Source'!S820="F"),COUNTIF('Data Source'!$S$3:S820,"F"),"")</f>
        <v/>
      </c>
      <c r="B820">
        <f>IF(AND('Data Source'!B820&lt;&gt;"",'Data Source'!S820="F"),'Data Source'!B820,"")</f>
        <v/>
      </c>
      <c r="C820" s="3">
        <f>IF(AND('Data Source'!B820&lt;&gt;"",'Data Source'!S820="F"),IF('Data Source'!U820&gt;=5,"A+",IF('Data Source'!U820&gt;=4,"A",IF('Data Source'!U820&gt;=3.5,"A-",IF('Data Source'!U820&gt;=3,"B",IF('Data Source'!U820&gt;=2,"C",IF('Data Source'!U820&gt;=1,"D","F")))))),"")</f>
        <v/>
      </c>
      <c r="D820" s="3">
        <f>IF(AND('Data Source'!B820&lt;&gt;"",'Data Source'!S820="F"),IF('Data Source'!V820&gt;=5,"A+",IF('Data Source'!V820&gt;=4,"A",IF('Data Source'!V820&gt;=3.5,"A-",IF('Data Source'!V820&gt;=3,"B",IF('Data Source'!V820&gt;=2,"C",IF('Data Source'!V820&gt;=1,"D","F")))))),"")</f>
        <v/>
      </c>
      <c r="E820" s="3">
        <f>IF(AND('Data Source'!B820&lt;&gt;"",'Data Source'!S820="F"),IF('Data Source'!W820&gt;=5,"A+",IF('Data Source'!W820&gt;=4,"A",IF('Data Source'!W820&gt;=3.5,"A-",IF('Data Source'!W820&gt;=3,"B",IF('Data Source'!W820&gt;=2,"C",IF('Data Source'!W820&gt;=1,"D","F")))))),"")</f>
        <v/>
      </c>
      <c r="F820" s="3">
        <f>IF(AND('Data Source'!B820&lt;&gt;"",'Data Source'!S820="F"),IF('Data Source'!X820&gt;=5,"A+",IF('Data Source'!X820&gt;=4,"A",IF('Data Source'!X820&gt;=3.5,"A-",IF('Data Source'!X820&gt;=3,"B",IF('Data Source'!X820&gt;=2,"C",IF('Data Source'!X820&gt;=1,"D","F")))))),"")</f>
        <v/>
      </c>
      <c r="G820" s="3">
        <f>IF(AND('Data Source'!B820&lt;&gt;"",'Data Source'!S820="F"),IF('Data Source'!Y820&gt;=5,"A+",IF('Data Source'!Y820&gt;=4,"A",IF('Data Source'!Y820&gt;=3.5,"A-",IF('Data Source'!Y820&gt;=3,"B",IF('Data Source'!Y820&gt;=2,"C",IF('Data Source'!Y820&gt;=1,"D","F")))))),"")</f>
        <v/>
      </c>
      <c r="H820" s="3">
        <f>IF(AND('Data Source'!B820&lt;&gt;"",'Data Source'!S820="F"),IF('Data Source'!Z820&gt;=5,"A+",IF('Data Source'!Z820&gt;=4,"A",IF('Data Source'!Z820&gt;=3.5,"A-",IF('Data Source'!Z820&gt;=3,"B",IF('Data Source'!Z820&gt;=2,"C",IF('Data Source'!Z820&gt;=1,"D","F")))))),"")</f>
        <v/>
      </c>
      <c r="I820" s="3">
        <f>IF(AND('Data Source'!B820&lt;&gt;"",'Data Source'!S820="F"),IF('Data Source'!AA820&gt;=5,"A+",IF('Data Source'!AA820&gt;=4,"A",IF('Data Source'!AA820&gt;=3.5,"A-",IF('Data Source'!AA820&gt;=3,"B",IF('Data Source'!AA820&gt;=2,"C",IF('Data Source'!AA820&gt;=1,"D","F")))))),"")</f>
        <v/>
      </c>
      <c r="J820" s="3">
        <f>IF(AND('Data Source'!B820&lt;&gt;"",'Data Source'!S820="F"),IF('Data Source'!AB820&gt;=5,"A+",IF('Data Source'!AB820&gt;=4,"A",IF('Data Source'!AB820&gt;=3.5,"A-",IF('Data Source'!AB820&gt;=3,"B",IF('Data Source'!AB820&gt;=2,"C",IF('Data Source'!AB820&gt;=1,"D","F")))))),"")</f>
        <v/>
      </c>
      <c r="K820" s="3">
        <f>IF(AND('Data Source'!B820&lt;&gt;"",'Data Source'!S820="F"),IF('Data Source'!AC820&gt;=5,"A+",IF('Data Source'!AC820&gt;=4,"A",IF('Data Source'!AC820&gt;=3.5,"A-",IF('Data Source'!AC820&gt;=3,"B",IF('Data Source'!AC820&gt;=2,"C",IF('Data Source'!AC820&gt;=1,"D","F")))))),"")</f>
        <v/>
      </c>
      <c r="L820" s="3">
        <f>IF(AND('Data Source'!B820&lt;&gt;"",'Data Source'!S820="F"),IF('Data Source'!AD820&gt;=5,"A+",IF('Data Source'!AD820&gt;=4,"A",IF('Data Source'!AD820&gt;=3.5,"A-",IF('Data Source'!AD820&gt;=3,"B",IF('Data Source'!AD820&gt;=2,"C",IF('Data Source'!AD820&gt;=1,"D","F")))))),"")</f>
        <v/>
      </c>
      <c r="M820" s="3">
        <f>IF(AND('Data Source'!B820&lt;&gt;"",'Data Source'!S820="F"),IF('Data Source'!AE820&gt;=5,"A+",IF('Data Source'!AE820&gt;=4,"A",IF('Data Source'!AE820&gt;=3.5,"A-",IF('Data Source'!AE820&gt;=3,"B",IF('Data Source'!AE820&gt;=2,"C",IF('Data Source'!AE820&gt;=1,"D","F")))))),"")</f>
        <v/>
      </c>
      <c r="N820" s="3">
        <f>IF(AND('Data Source'!B820&lt;&gt;"",'Data Source'!S820="F"),IF('Data Source'!AF820&gt;=5,"A+",IF('Data Source'!AF820&gt;=4,"A",IF('Data Source'!AF820&gt;=3.5,"A-",IF('Data Source'!AF820&gt;=3,"B",IF('Data Source'!AF820&gt;=2,"C",IF('Data Source'!AF820&gt;=1,"D","F")))))),"")</f>
        <v/>
      </c>
      <c r="O820" s="3">
        <f>IF(AND('Data Source'!B820&lt;&gt;"",'Data Source'!S820="F"),IF('Data Source'!AG820&gt;=5,"A+",IF('Data Source'!AG820&gt;=4,"A",IF('Data Source'!AG820&gt;=3.5,"A-",IF('Data Source'!AG820&gt;=3,"B",IF('Data Source'!AG820&gt;=2,"C",IF('Data Source'!AG820&gt;=1,"D","F")))))),"")</f>
        <v/>
      </c>
      <c r="P820" s="5">
        <f>IF(AND('Data Source'!B820&lt;&gt;"",'Data Source'!S820="F"),'Data Source'!R820,"")</f>
        <v/>
      </c>
      <c r="Q820" s="3">
        <f>IF(AND('Data Source'!B820&lt;&gt;"",'Data Source'!S820="F"),'Data Source'!S820,"")</f>
        <v/>
      </c>
    </row>
    <row r="821">
      <c r="A821" s="3">
        <f>IF(AND('Data Source'!B821&lt;&gt;"",'Data Source'!S821="F"),COUNTIF('Data Source'!$S$3:S821,"F"),"")</f>
        <v/>
      </c>
      <c r="B821">
        <f>IF(AND('Data Source'!B821&lt;&gt;"",'Data Source'!S821="F"),'Data Source'!B821,"")</f>
        <v/>
      </c>
      <c r="C821" s="3">
        <f>IF(AND('Data Source'!B821&lt;&gt;"",'Data Source'!S821="F"),IF('Data Source'!U821&gt;=5,"A+",IF('Data Source'!U821&gt;=4,"A",IF('Data Source'!U821&gt;=3.5,"A-",IF('Data Source'!U821&gt;=3,"B",IF('Data Source'!U821&gt;=2,"C",IF('Data Source'!U821&gt;=1,"D","F")))))),"")</f>
        <v/>
      </c>
      <c r="D821" s="3">
        <f>IF(AND('Data Source'!B821&lt;&gt;"",'Data Source'!S821="F"),IF('Data Source'!V821&gt;=5,"A+",IF('Data Source'!V821&gt;=4,"A",IF('Data Source'!V821&gt;=3.5,"A-",IF('Data Source'!V821&gt;=3,"B",IF('Data Source'!V821&gt;=2,"C",IF('Data Source'!V821&gt;=1,"D","F")))))),"")</f>
        <v/>
      </c>
      <c r="E821" s="3">
        <f>IF(AND('Data Source'!B821&lt;&gt;"",'Data Source'!S821="F"),IF('Data Source'!W821&gt;=5,"A+",IF('Data Source'!W821&gt;=4,"A",IF('Data Source'!W821&gt;=3.5,"A-",IF('Data Source'!W821&gt;=3,"B",IF('Data Source'!W821&gt;=2,"C",IF('Data Source'!W821&gt;=1,"D","F")))))),"")</f>
        <v/>
      </c>
      <c r="F821" s="3">
        <f>IF(AND('Data Source'!B821&lt;&gt;"",'Data Source'!S821="F"),IF('Data Source'!X821&gt;=5,"A+",IF('Data Source'!X821&gt;=4,"A",IF('Data Source'!X821&gt;=3.5,"A-",IF('Data Source'!X821&gt;=3,"B",IF('Data Source'!X821&gt;=2,"C",IF('Data Source'!X821&gt;=1,"D","F")))))),"")</f>
        <v/>
      </c>
      <c r="G821" s="3">
        <f>IF(AND('Data Source'!B821&lt;&gt;"",'Data Source'!S821="F"),IF('Data Source'!Y821&gt;=5,"A+",IF('Data Source'!Y821&gt;=4,"A",IF('Data Source'!Y821&gt;=3.5,"A-",IF('Data Source'!Y821&gt;=3,"B",IF('Data Source'!Y821&gt;=2,"C",IF('Data Source'!Y821&gt;=1,"D","F")))))),"")</f>
        <v/>
      </c>
      <c r="H821" s="3">
        <f>IF(AND('Data Source'!B821&lt;&gt;"",'Data Source'!S821="F"),IF('Data Source'!Z821&gt;=5,"A+",IF('Data Source'!Z821&gt;=4,"A",IF('Data Source'!Z821&gt;=3.5,"A-",IF('Data Source'!Z821&gt;=3,"B",IF('Data Source'!Z821&gt;=2,"C",IF('Data Source'!Z821&gt;=1,"D","F")))))),"")</f>
        <v/>
      </c>
      <c r="I821" s="3">
        <f>IF(AND('Data Source'!B821&lt;&gt;"",'Data Source'!S821="F"),IF('Data Source'!AA821&gt;=5,"A+",IF('Data Source'!AA821&gt;=4,"A",IF('Data Source'!AA821&gt;=3.5,"A-",IF('Data Source'!AA821&gt;=3,"B",IF('Data Source'!AA821&gt;=2,"C",IF('Data Source'!AA821&gt;=1,"D","F")))))),"")</f>
        <v/>
      </c>
      <c r="J821" s="3">
        <f>IF(AND('Data Source'!B821&lt;&gt;"",'Data Source'!S821="F"),IF('Data Source'!AB821&gt;=5,"A+",IF('Data Source'!AB821&gt;=4,"A",IF('Data Source'!AB821&gt;=3.5,"A-",IF('Data Source'!AB821&gt;=3,"B",IF('Data Source'!AB821&gt;=2,"C",IF('Data Source'!AB821&gt;=1,"D","F")))))),"")</f>
        <v/>
      </c>
      <c r="K821" s="3">
        <f>IF(AND('Data Source'!B821&lt;&gt;"",'Data Source'!S821="F"),IF('Data Source'!AC821&gt;=5,"A+",IF('Data Source'!AC821&gt;=4,"A",IF('Data Source'!AC821&gt;=3.5,"A-",IF('Data Source'!AC821&gt;=3,"B",IF('Data Source'!AC821&gt;=2,"C",IF('Data Source'!AC821&gt;=1,"D","F")))))),"")</f>
        <v/>
      </c>
      <c r="L821" s="3">
        <f>IF(AND('Data Source'!B821&lt;&gt;"",'Data Source'!S821="F"),IF('Data Source'!AD821&gt;=5,"A+",IF('Data Source'!AD821&gt;=4,"A",IF('Data Source'!AD821&gt;=3.5,"A-",IF('Data Source'!AD821&gt;=3,"B",IF('Data Source'!AD821&gt;=2,"C",IF('Data Source'!AD821&gt;=1,"D","F")))))),"")</f>
        <v/>
      </c>
      <c r="M821" s="3">
        <f>IF(AND('Data Source'!B821&lt;&gt;"",'Data Source'!S821="F"),IF('Data Source'!AE821&gt;=5,"A+",IF('Data Source'!AE821&gt;=4,"A",IF('Data Source'!AE821&gt;=3.5,"A-",IF('Data Source'!AE821&gt;=3,"B",IF('Data Source'!AE821&gt;=2,"C",IF('Data Source'!AE821&gt;=1,"D","F")))))),"")</f>
        <v/>
      </c>
      <c r="N821" s="3">
        <f>IF(AND('Data Source'!B821&lt;&gt;"",'Data Source'!S821="F"),IF('Data Source'!AF821&gt;=5,"A+",IF('Data Source'!AF821&gt;=4,"A",IF('Data Source'!AF821&gt;=3.5,"A-",IF('Data Source'!AF821&gt;=3,"B",IF('Data Source'!AF821&gt;=2,"C",IF('Data Source'!AF821&gt;=1,"D","F")))))),"")</f>
        <v/>
      </c>
      <c r="O821" s="3">
        <f>IF(AND('Data Source'!B821&lt;&gt;"",'Data Source'!S821="F"),IF('Data Source'!AG821&gt;=5,"A+",IF('Data Source'!AG821&gt;=4,"A",IF('Data Source'!AG821&gt;=3.5,"A-",IF('Data Source'!AG821&gt;=3,"B",IF('Data Source'!AG821&gt;=2,"C",IF('Data Source'!AG821&gt;=1,"D","F")))))),"")</f>
        <v/>
      </c>
      <c r="P821" s="5">
        <f>IF(AND('Data Source'!B821&lt;&gt;"",'Data Source'!S821="F"),'Data Source'!R821,"")</f>
        <v/>
      </c>
      <c r="Q821" s="3">
        <f>IF(AND('Data Source'!B821&lt;&gt;"",'Data Source'!S821="F"),'Data Source'!S821,"")</f>
        <v/>
      </c>
    </row>
    <row r="822">
      <c r="A822" s="3">
        <f>IF(AND('Data Source'!B822&lt;&gt;"",'Data Source'!S822="F"),COUNTIF('Data Source'!$S$3:S822,"F"),"")</f>
        <v/>
      </c>
      <c r="B822">
        <f>IF(AND('Data Source'!B822&lt;&gt;"",'Data Source'!S822="F"),'Data Source'!B822,"")</f>
        <v/>
      </c>
      <c r="C822" s="3">
        <f>IF(AND('Data Source'!B822&lt;&gt;"",'Data Source'!S822="F"),IF('Data Source'!U822&gt;=5,"A+",IF('Data Source'!U822&gt;=4,"A",IF('Data Source'!U822&gt;=3.5,"A-",IF('Data Source'!U822&gt;=3,"B",IF('Data Source'!U822&gt;=2,"C",IF('Data Source'!U822&gt;=1,"D","F")))))),"")</f>
        <v/>
      </c>
      <c r="D822" s="3">
        <f>IF(AND('Data Source'!B822&lt;&gt;"",'Data Source'!S822="F"),IF('Data Source'!V822&gt;=5,"A+",IF('Data Source'!V822&gt;=4,"A",IF('Data Source'!V822&gt;=3.5,"A-",IF('Data Source'!V822&gt;=3,"B",IF('Data Source'!V822&gt;=2,"C",IF('Data Source'!V822&gt;=1,"D","F")))))),"")</f>
        <v/>
      </c>
      <c r="E822" s="3">
        <f>IF(AND('Data Source'!B822&lt;&gt;"",'Data Source'!S822="F"),IF('Data Source'!W822&gt;=5,"A+",IF('Data Source'!W822&gt;=4,"A",IF('Data Source'!W822&gt;=3.5,"A-",IF('Data Source'!W822&gt;=3,"B",IF('Data Source'!W822&gt;=2,"C",IF('Data Source'!W822&gt;=1,"D","F")))))),"")</f>
        <v/>
      </c>
      <c r="F822" s="3">
        <f>IF(AND('Data Source'!B822&lt;&gt;"",'Data Source'!S822="F"),IF('Data Source'!X822&gt;=5,"A+",IF('Data Source'!X822&gt;=4,"A",IF('Data Source'!X822&gt;=3.5,"A-",IF('Data Source'!X822&gt;=3,"B",IF('Data Source'!X822&gt;=2,"C",IF('Data Source'!X822&gt;=1,"D","F")))))),"")</f>
        <v/>
      </c>
      <c r="G822" s="3">
        <f>IF(AND('Data Source'!B822&lt;&gt;"",'Data Source'!S822="F"),IF('Data Source'!Y822&gt;=5,"A+",IF('Data Source'!Y822&gt;=4,"A",IF('Data Source'!Y822&gt;=3.5,"A-",IF('Data Source'!Y822&gt;=3,"B",IF('Data Source'!Y822&gt;=2,"C",IF('Data Source'!Y822&gt;=1,"D","F")))))),"")</f>
        <v/>
      </c>
      <c r="H822" s="3">
        <f>IF(AND('Data Source'!B822&lt;&gt;"",'Data Source'!S822="F"),IF('Data Source'!Z822&gt;=5,"A+",IF('Data Source'!Z822&gt;=4,"A",IF('Data Source'!Z822&gt;=3.5,"A-",IF('Data Source'!Z822&gt;=3,"B",IF('Data Source'!Z822&gt;=2,"C",IF('Data Source'!Z822&gt;=1,"D","F")))))),"")</f>
        <v/>
      </c>
      <c r="I822" s="3">
        <f>IF(AND('Data Source'!B822&lt;&gt;"",'Data Source'!S822="F"),IF('Data Source'!AA822&gt;=5,"A+",IF('Data Source'!AA822&gt;=4,"A",IF('Data Source'!AA822&gt;=3.5,"A-",IF('Data Source'!AA822&gt;=3,"B",IF('Data Source'!AA822&gt;=2,"C",IF('Data Source'!AA822&gt;=1,"D","F")))))),"")</f>
        <v/>
      </c>
      <c r="J822" s="3">
        <f>IF(AND('Data Source'!B822&lt;&gt;"",'Data Source'!S822="F"),IF('Data Source'!AB822&gt;=5,"A+",IF('Data Source'!AB822&gt;=4,"A",IF('Data Source'!AB822&gt;=3.5,"A-",IF('Data Source'!AB822&gt;=3,"B",IF('Data Source'!AB822&gt;=2,"C",IF('Data Source'!AB822&gt;=1,"D","F")))))),"")</f>
        <v/>
      </c>
      <c r="K822" s="3">
        <f>IF(AND('Data Source'!B822&lt;&gt;"",'Data Source'!S822="F"),IF('Data Source'!AC822&gt;=5,"A+",IF('Data Source'!AC822&gt;=4,"A",IF('Data Source'!AC822&gt;=3.5,"A-",IF('Data Source'!AC822&gt;=3,"B",IF('Data Source'!AC822&gt;=2,"C",IF('Data Source'!AC822&gt;=1,"D","F")))))),"")</f>
        <v/>
      </c>
      <c r="L822" s="3">
        <f>IF(AND('Data Source'!B822&lt;&gt;"",'Data Source'!S822="F"),IF('Data Source'!AD822&gt;=5,"A+",IF('Data Source'!AD822&gt;=4,"A",IF('Data Source'!AD822&gt;=3.5,"A-",IF('Data Source'!AD822&gt;=3,"B",IF('Data Source'!AD822&gt;=2,"C",IF('Data Source'!AD822&gt;=1,"D","F")))))),"")</f>
        <v/>
      </c>
      <c r="M822" s="3">
        <f>IF(AND('Data Source'!B822&lt;&gt;"",'Data Source'!S822="F"),IF('Data Source'!AE822&gt;=5,"A+",IF('Data Source'!AE822&gt;=4,"A",IF('Data Source'!AE822&gt;=3.5,"A-",IF('Data Source'!AE822&gt;=3,"B",IF('Data Source'!AE822&gt;=2,"C",IF('Data Source'!AE822&gt;=1,"D","F")))))),"")</f>
        <v/>
      </c>
      <c r="N822" s="3">
        <f>IF(AND('Data Source'!B822&lt;&gt;"",'Data Source'!S822="F"),IF('Data Source'!AF822&gt;=5,"A+",IF('Data Source'!AF822&gt;=4,"A",IF('Data Source'!AF822&gt;=3.5,"A-",IF('Data Source'!AF822&gt;=3,"B",IF('Data Source'!AF822&gt;=2,"C",IF('Data Source'!AF822&gt;=1,"D","F")))))),"")</f>
        <v/>
      </c>
      <c r="O822" s="3">
        <f>IF(AND('Data Source'!B822&lt;&gt;"",'Data Source'!S822="F"),IF('Data Source'!AG822&gt;=5,"A+",IF('Data Source'!AG822&gt;=4,"A",IF('Data Source'!AG822&gt;=3.5,"A-",IF('Data Source'!AG822&gt;=3,"B",IF('Data Source'!AG822&gt;=2,"C",IF('Data Source'!AG822&gt;=1,"D","F")))))),"")</f>
        <v/>
      </c>
      <c r="P822" s="5">
        <f>IF(AND('Data Source'!B822&lt;&gt;"",'Data Source'!S822="F"),'Data Source'!R822,"")</f>
        <v/>
      </c>
      <c r="Q822" s="3">
        <f>IF(AND('Data Source'!B822&lt;&gt;"",'Data Source'!S822="F"),'Data Source'!S822,"")</f>
        <v/>
      </c>
    </row>
    <row r="823">
      <c r="A823" s="3">
        <f>IF(AND('Data Source'!B823&lt;&gt;"",'Data Source'!S823="F"),COUNTIF('Data Source'!$S$3:S823,"F"),"")</f>
        <v/>
      </c>
      <c r="B823">
        <f>IF(AND('Data Source'!B823&lt;&gt;"",'Data Source'!S823="F"),'Data Source'!B823,"")</f>
        <v/>
      </c>
      <c r="C823" s="3">
        <f>IF(AND('Data Source'!B823&lt;&gt;"",'Data Source'!S823="F"),IF('Data Source'!U823&gt;=5,"A+",IF('Data Source'!U823&gt;=4,"A",IF('Data Source'!U823&gt;=3.5,"A-",IF('Data Source'!U823&gt;=3,"B",IF('Data Source'!U823&gt;=2,"C",IF('Data Source'!U823&gt;=1,"D","F")))))),"")</f>
        <v/>
      </c>
      <c r="D823" s="3">
        <f>IF(AND('Data Source'!B823&lt;&gt;"",'Data Source'!S823="F"),IF('Data Source'!V823&gt;=5,"A+",IF('Data Source'!V823&gt;=4,"A",IF('Data Source'!V823&gt;=3.5,"A-",IF('Data Source'!V823&gt;=3,"B",IF('Data Source'!V823&gt;=2,"C",IF('Data Source'!V823&gt;=1,"D","F")))))),"")</f>
        <v/>
      </c>
      <c r="E823" s="3">
        <f>IF(AND('Data Source'!B823&lt;&gt;"",'Data Source'!S823="F"),IF('Data Source'!W823&gt;=5,"A+",IF('Data Source'!W823&gt;=4,"A",IF('Data Source'!W823&gt;=3.5,"A-",IF('Data Source'!W823&gt;=3,"B",IF('Data Source'!W823&gt;=2,"C",IF('Data Source'!W823&gt;=1,"D","F")))))),"")</f>
        <v/>
      </c>
      <c r="F823" s="3">
        <f>IF(AND('Data Source'!B823&lt;&gt;"",'Data Source'!S823="F"),IF('Data Source'!X823&gt;=5,"A+",IF('Data Source'!X823&gt;=4,"A",IF('Data Source'!X823&gt;=3.5,"A-",IF('Data Source'!X823&gt;=3,"B",IF('Data Source'!X823&gt;=2,"C",IF('Data Source'!X823&gt;=1,"D","F")))))),"")</f>
        <v/>
      </c>
      <c r="G823" s="3">
        <f>IF(AND('Data Source'!B823&lt;&gt;"",'Data Source'!S823="F"),IF('Data Source'!Y823&gt;=5,"A+",IF('Data Source'!Y823&gt;=4,"A",IF('Data Source'!Y823&gt;=3.5,"A-",IF('Data Source'!Y823&gt;=3,"B",IF('Data Source'!Y823&gt;=2,"C",IF('Data Source'!Y823&gt;=1,"D","F")))))),"")</f>
        <v/>
      </c>
      <c r="H823" s="3">
        <f>IF(AND('Data Source'!B823&lt;&gt;"",'Data Source'!S823="F"),IF('Data Source'!Z823&gt;=5,"A+",IF('Data Source'!Z823&gt;=4,"A",IF('Data Source'!Z823&gt;=3.5,"A-",IF('Data Source'!Z823&gt;=3,"B",IF('Data Source'!Z823&gt;=2,"C",IF('Data Source'!Z823&gt;=1,"D","F")))))),"")</f>
        <v/>
      </c>
      <c r="I823" s="3">
        <f>IF(AND('Data Source'!B823&lt;&gt;"",'Data Source'!S823="F"),IF('Data Source'!AA823&gt;=5,"A+",IF('Data Source'!AA823&gt;=4,"A",IF('Data Source'!AA823&gt;=3.5,"A-",IF('Data Source'!AA823&gt;=3,"B",IF('Data Source'!AA823&gt;=2,"C",IF('Data Source'!AA823&gt;=1,"D","F")))))),"")</f>
        <v/>
      </c>
      <c r="J823" s="3">
        <f>IF(AND('Data Source'!B823&lt;&gt;"",'Data Source'!S823="F"),IF('Data Source'!AB823&gt;=5,"A+",IF('Data Source'!AB823&gt;=4,"A",IF('Data Source'!AB823&gt;=3.5,"A-",IF('Data Source'!AB823&gt;=3,"B",IF('Data Source'!AB823&gt;=2,"C",IF('Data Source'!AB823&gt;=1,"D","F")))))),"")</f>
        <v/>
      </c>
      <c r="K823" s="3">
        <f>IF(AND('Data Source'!B823&lt;&gt;"",'Data Source'!S823="F"),IF('Data Source'!AC823&gt;=5,"A+",IF('Data Source'!AC823&gt;=4,"A",IF('Data Source'!AC823&gt;=3.5,"A-",IF('Data Source'!AC823&gt;=3,"B",IF('Data Source'!AC823&gt;=2,"C",IF('Data Source'!AC823&gt;=1,"D","F")))))),"")</f>
        <v/>
      </c>
      <c r="L823" s="3">
        <f>IF(AND('Data Source'!B823&lt;&gt;"",'Data Source'!S823="F"),IF('Data Source'!AD823&gt;=5,"A+",IF('Data Source'!AD823&gt;=4,"A",IF('Data Source'!AD823&gt;=3.5,"A-",IF('Data Source'!AD823&gt;=3,"B",IF('Data Source'!AD823&gt;=2,"C",IF('Data Source'!AD823&gt;=1,"D","F")))))),"")</f>
        <v/>
      </c>
      <c r="M823" s="3">
        <f>IF(AND('Data Source'!B823&lt;&gt;"",'Data Source'!S823="F"),IF('Data Source'!AE823&gt;=5,"A+",IF('Data Source'!AE823&gt;=4,"A",IF('Data Source'!AE823&gt;=3.5,"A-",IF('Data Source'!AE823&gt;=3,"B",IF('Data Source'!AE823&gt;=2,"C",IF('Data Source'!AE823&gt;=1,"D","F")))))),"")</f>
        <v/>
      </c>
      <c r="N823" s="3">
        <f>IF(AND('Data Source'!B823&lt;&gt;"",'Data Source'!S823="F"),IF('Data Source'!AF823&gt;=5,"A+",IF('Data Source'!AF823&gt;=4,"A",IF('Data Source'!AF823&gt;=3.5,"A-",IF('Data Source'!AF823&gt;=3,"B",IF('Data Source'!AF823&gt;=2,"C",IF('Data Source'!AF823&gt;=1,"D","F")))))),"")</f>
        <v/>
      </c>
      <c r="O823" s="3">
        <f>IF(AND('Data Source'!B823&lt;&gt;"",'Data Source'!S823="F"),IF('Data Source'!AG823&gt;=5,"A+",IF('Data Source'!AG823&gt;=4,"A",IF('Data Source'!AG823&gt;=3.5,"A-",IF('Data Source'!AG823&gt;=3,"B",IF('Data Source'!AG823&gt;=2,"C",IF('Data Source'!AG823&gt;=1,"D","F")))))),"")</f>
        <v/>
      </c>
      <c r="P823" s="5">
        <f>IF(AND('Data Source'!B823&lt;&gt;"",'Data Source'!S823="F"),'Data Source'!R823,"")</f>
        <v/>
      </c>
      <c r="Q823" s="3">
        <f>IF(AND('Data Source'!B823&lt;&gt;"",'Data Source'!S823="F"),'Data Source'!S823,"")</f>
        <v/>
      </c>
    </row>
    <row r="824">
      <c r="A824" s="3">
        <f>IF(AND('Data Source'!B824&lt;&gt;"",'Data Source'!S824="F"),COUNTIF('Data Source'!$S$3:S824,"F"),"")</f>
        <v/>
      </c>
      <c r="B824">
        <f>IF(AND('Data Source'!B824&lt;&gt;"",'Data Source'!S824="F"),'Data Source'!B824,"")</f>
        <v/>
      </c>
      <c r="C824" s="3">
        <f>IF(AND('Data Source'!B824&lt;&gt;"",'Data Source'!S824="F"),IF('Data Source'!U824&gt;=5,"A+",IF('Data Source'!U824&gt;=4,"A",IF('Data Source'!U824&gt;=3.5,"A-",IF('Data Source'!U824&gt;=3,"B",IF('Data Source'!U824&gt;=2,"C",IF('Data Source'!U824&gt;=1,"D","F")))))),"")</f>
        <v/>
      </c>
      <c r="D824" s="3">
        <f>IF(AND('Data Source'!B824&lt;&gt;"",'Data Source'!S824="F"),IF('Data Source'!V824&gt;=5,"A+",IF('Data Source'!V824&gt;=4,"A",IF('Data Source'!V824&gt;=3.5,"A-",IF('Data Source'!V824&gt;=3,"B",IF('Data Source'!V824&gt;=2,"C",IF('Data Source'!V824&gt;=1,"D","F")))))),"")</f>
        <v/>
      </c>
      <c r="E824" s="3">
        <f>IF(AND('Data Source'!B824&lt;&gt;"",'Data Source'!S824="F"),IF('Data Source'!W824&gt;=5,"A+",IF('Data Source'!W824&gt;=4,"A",IF('Data Source'!W824&gt;=3.5,"A-",IF('Data Source'!W824&gt;=3,"B",IF('Data Source'!W824&gt;=2,"C",IF('Data Source'!W824&gt;=1,"D","F")))))),"")</f>
        <v/>
      </c>
      <c r="F824" s="3">
        <f>IF(AND('Data Source'!B824&lt;&gt;"",'Data Source'!S824="F"),IF('Data Source'!X824&gt;=5,"A+",IF('Data Source'!X824&gt;=4,"A",IF('Data Source'!X824&gt;=3.5,"A-",IF('Data Source'!X824&gt;=3,"B",IF('Data Source'!X824&gt;=2,"C",IF('Data Source'!X824&gt;=1,"D","F")))))),"")</f>
        <v/>
      </c>
      <c r="G824" s="3">
        <f>IF(AND('Data Source'!B824&lt;&gt;"",'Data Source'!S824="F"),IF('Data Source'!Y824&gt;=5,"A+",IF('Data Source'!Y824&gt;=4,"A",IF('Data Source'!Y824&gt;=3.5,"A-",IF('Data Source'!Y824&gt;=3,"B",IF('Data Source'!Y824&gt;=2,"C",IF('Data Source'!Y824&gt;=1,"D","F")))))),"")</f>
        <v/>
      </c>
      <c r="H824" s="3">
        <f>IF(AND('Data Source'!B824&lt;&gt;"",'Data Source'!S824="F"),IF('Data Source'!Z824&gt;=5,"A+",IF('Data Source'!Z824&gt;=4,"A",IF('Data Source'!Z824&gt;=3.5,"A-",IF('Data Source'!Z824&gt;=3,"B",IF('Data Source'!Z824&gt;=2,"C",IF('Data Source'!Z824&gt;=1,"D","F")))))),"")</f>
        <v/>
      </c>
      <c r="I824" s="3">
        <f>IF(AND('Data Source'!B824&lt;&gt;"",'Data Source'!S824="F"),IF('Data Source'!AA824&gt;=5,"A+",IF('Data Source'!AA824&gt;=4,"A",IF('Data Source'!AA824&gt;=3.5,"A-",IF('Data Source'!AA824&gt;=3,"B",IF('Data Source'!AA824&gt;=2,"C",IF('Data Source'!AA824&gt;=1,"D","F")))))),"")</f>
        <v/>
      </c>
      <c r="J824" s="3">
        <f>IF(AND('Data Source'!B824&lt;&gt;"",'Data Source'!S824="F"),IF('Data Source'!AB824&gt;=5,"A+",IF('Data Source'!AB824&gt;=4,"A",IF('Data Source'!AB824&gt;=3.5,"A-",IF('Data Source'!AB824&gt;=3,"B",IF('Data Source'!AB824&gt;=2,"C",IF('Data Source'!AB824&gt;=1,"D","F")))))),"")</f>
        <v/>
      </c>
      <c r="K824" s="3">
        <f>IF(AND('Data Source'!B824&lt;&gt;"",'Data Source'!S824="F"),IF('Data Source'!AC824&gt;=5,"A+",IF('Data Source'!AC824&gt;=4,"A",IF('Data Source'!AC824&gt;=3.5,"A-",IF('Data Source'!AC824&gt;=3,"B",IF('Data Source'!AC824&gt;=2,"C",IF('Data Source'!AC824&gt;=1,"D","F")))))),"")</f>
        <v/>
      </c>
      <c r="L824" s="3">
        <f>IF(AND('Data Source'!B824&lt;&gt;"",'Data Source'!S824="F"),IF('Data Source'!AD824&gt;=5,"A+",IF('Data Source'!AD824&gt;=4,"A",IF('Data Source'!AD824&gt;=3.5,"A-",IF('Data Source'!AD824&gt;=3,"B",IF('Data Source'!AD824&gt;=2,"C",IF('Data Source'!AD824&gt;=1,"D","F")))))),"")</f>
        <v/>
      </c>
      <c r="M824" s="3">
        <f>IF(AND('Data Source'!B824&lt;&gt;"",'Data Source'!S824="F"),IF('Data Source'!AE824&gt;=5,"A+",IF('Data Source'!AE824&gt;=4,"A",IF('Data Source'!AE824&gt;=3.5,"A-",IF('Data Source'!AE824&gt;=3,"B",IF('Data Source'!AE824&gt;=2,"C",IF('Data Source'!AE824&gt;=1,"D","F")))))),"")</f>
        <v/>
      </c>
      <c r="N824" s="3">
        <f>IF(AND('Data Source'!B824&lt;&gt;"",'Data Source'!S824="F"),IF('Data Source'!AF824&gt;=5,"A+",IF('Data Source'!AF824&gt;=4,"A",IF('Data Source'!AF824&gt;=3.5,"A-",IF('Data Source'!AF824&gt;=3,"B",IF('Data Source'!AF824&gt;=2,"C",IF('Data Source'!AF824&gt;=1,"D","F")))))),"")</f>
        <v/>
      </c>
      <c r="O824" s="3">
        <f>IF(AND('Data Source'!B824&lt;&gt;"",'Data Source'!S824="F"),IF('Data Source'!AG824&gt;=5,"A+",IF('Data Source'!AG824&gt;=4,"A",IF('Data Source'!AG824&gt;=3.5,"A-",IF('Data Source'!AG824&gt;=3,"B",IF('Data Source'!AG824&gt;=2,"C",IF('Data Source'!AG824&gt;=1,"D","F")))))),"")</f>
        <v/>
      </c>
      <c r="P824" s="5">
        <f>IF(AND('Data Source'!B824&lt;&gt;"",'Data Source'!S824="F"),'Data Source'!R824,"")</f>
        <v/>
      </c>
      <c r="Q824" s="3">
        <f>IF(AND('Data Source'!B824&lt;&gt;"",'Data Source'!S824="F"),'Data Source'!S824,"")</f>
        <v/>
      </c>
    </row>
    <row r="825">
      <c r="A825" s="3">
        <f>IF(AND('Data Source'!B825&lt;&gt;"",'Data Source'!S825="F"),COUNTIF('Data Source'!$S$3:S825,"F"),"")</f>
        <v/>
      </c>
      <c r="B825">
        <f>IF(AND('Data Source'!B825&lt;&gt;"",'Data Source'!S825="F"),'Data Source'!B825,"")</f>
        <v/>
      </c>
      <c r="C825" s="3">
        <f>IF(AND('Data Source'!B825&lt;&gt;"",'Data Source'!S825="F"),IF('Data Source'!U825&gt;=5,"A+",IF('Data Source'!U825&gt;=4,"A",IF('Data Source'!U825&gt;=3.5,"A-",IF('Data Source'!U825&gt;=3,"B",IF('Data Source'!U825&gt;=2,"C",IF('Data Source'!U825&gt;=1,"D","F")))))),"")</f>
        <v/>
      </c>
      <c r="D825" s="3">
        <f>IF(AND('Data Source'!B825&lt;&gt;"",'Data Source'!S825="F"),IF('Data Source'!V825&gt;=5,"A+",IF('Data Source'!V825&gt;=4,"A",IF('Data Source'!V825&gt;=3.5,"A-",IF('Data Source'!V825&gt;=3,"B",IF('Data Source'!V825&gt;=2,"C",IF('Data Source'!V825&gt;=1,"D","F")))))),"")</f>
        <v/>
      </c>
      <c r="E825" s="3">
        <f>IF(AND('Data Source'!B825&lt;&gt;"",'Data Source'!S825="F"),IF('Data Source'!W825&gt;=5,"A+",IF('Data Source'!W825&gt;=4,"A",IF('Data Source'!W825&gt;=3.5,"A-",IF('Data Source'!W825&gt;=3,"B",IF('Data Source'!W825&gt;=2,"C",IF('Data Source'!W825&gt;=1,"D","F")))))),"")</f>
        <v/>
      </c>
      <c r="F825" s="3">
        <f>IF(AND('Data Source'!B825&lt;&gt;"",'Data Source'!S825="F"),IF('Data Source'!X825&gt;=5,"A+",IF('Data Source'!X825&gt;=4,"A",IF('Data Source'!X825&gt;=3.5,"A-",IF('Data Source'!X825&gt;=3,"B",IF('Data Source'!X825&gt;=2,"C",IF('Data Source'!X825&gt;=1,"D","F")))))),"")</f>
        <v/>
      </c>
      <c r="G825" s="3">
        <f>IF(AND('Data Source'!B825&lt;&gt;"",'Data Source'!S825="F"),IF('Data Source'!Y825&gt;=5,"A+",IF('Data Source'!Y825&gt;=4,"A",IF('Data Source'!Y825&gt;=3.5,"A-",IF('Data Source'!Y825&gt;=3,"B",IF('Data Source'!Y825&gt;=2,"C",IF('Data Source'!Y825&gt;=1,"D","F")))))),"")</f>
        <v/>
      </c>
      <c r="H825" s="3">
        <f>IF(AND('Data Source'!B825&lt;&gt;"",'Data Source'!S825="F"),IF('Data Source'!Z825&gt;=5,"A+",IF('Data Source'!Z825&gt;=4,"A",IF('Data Source'!Z825&gt;=3.5,"A-",IF('Data Source'!Z825&gt;=3,"B",IF('Data Source'!Z825&gt;=2,"C",IF('Data Source'!Z825&gt;=1,"D","F")))))),"")</f>
        <v/>
      </c>
      <c r="I825" s="3">
        <f>IF(AND('Data Source'!B825&lt;&gt;"",'Data Source'!S825="F"),IF('Data Source'!AA825&gt;=5,"A+",IF('Data Source'!AA825&gt;=4,"A",IF('Data Source'!AA825&gt;=3.5,"A-",IF('Data Source'!AA825&gt;=3,"B",IF('Data Source'!AA825&gt;=2,"C",IF('Data Source'!AA825&gt;=1,"D","F")))))),"")</f>
        <v/>
      </c>
      <c r="J825" s="3">
        <f>IF(AND('Data Source'!B825&lt;&gt;"",'Data Source'!S825="F"),IF('Data Source'!AB825&gt;=5,"A+",IF('Data Source'!AB825&gt;=4,"A",IF('Data Source'!AB825&gt;=3.5,"A-",IF('Data Source'!AB825&gt;=3,"B",IF('Data Source'!AB825&gt;=2,"C",IF('Data Source'!AB825&gt;=1,"D","F")))))),"")</f>
        <v/>
      </c>
      <c r="K825" s="3">
        <f>IF(AND('Data Source'!B825&lt;&gt;"",'Data Source'!S825="F"),IF('Data Source'!AC825&gt;=5,"A+",IF('Data Source'!AC825&gt;=4,"A",IF('Data Source'!AC825&gt;=3.5,"A-",IF('Data Source'!AC825&gt;=3,"B",IF('Data Source'!AC825&gt;=2,"C",IF('Data Source'!AC825&gt;=1,"D","F")))))),"")</f>
        <v/>
      </c>
      <c r="L825" s="3">
        <f>IF(AND('Data Source'!B825&lt;&gt;"",'Data Source'!S825="F"),IF('Data Source'!AD825&gt;=5,"A+",IF('Data Source'!AD825&gt;=4,"A",IF('Data Source'!AD825&gt;=3.5,"A-",IF('Data Source'!AD825&gt;=3,"B",IF('Data Source'!AD825&gt;=2,"C",IF('Data Source'!AD825&gt;=1,"D","F")))))),"")</f>
        <v/>
      </c>
      <c r="M825" s="3">
        <f>IF(AND('Data Source'!B825&lt;&gt;"",'Data Source'!S825="F"),IF('Data Source'!AE825&gt;=5,"A+",IF('Data Source'!AE825&gt;=4,"A",IF('Data Source'!AE825&gt;=3.5,"A-",IF('Data Source'!AE825&gt;=3,"B",IF('Data Source'!AE825&gt;=2,"C",IF('Data Source'!AE825&gt;=1,"D","F")))))),"")</f>
        <v/>
      </c>
      <c r="N825" s="3">
        <f>IF(AND('Data Source'!B825&lt;&gt;"",'Data Source'!S825="F"),IF('Data Source'!AF825&gt;=5,"A+",IF('Data Source'!AF825&gt;=4,"A",IF('Data Source'!AF825&gt;=3.5,"A-",IF('Data Source'!AF825&gt;=3,"B",IF('Data Source'!AF825&gt;=2,"C",IF('Data Source'!AF825&gt;=1,"D","F")))))),"")</f>
        <v/>
      </c>
      <c r="O825" s="3">
        <f>IF(AND('Data Source'!B825&lt;&gt;"",'Data Source'!S825="F"),IF('Data Source'!AG825&gt;=5,"A+",IF('Data Source'!AG825&gt;=4,"A",IF('Data Source'!AG825&gt;=3.5,"A-",IF('Data Source'!AG825&gt;=3,"B",IF('Data Source'!AG825&gt;=2,"C",IF('Data Source'!AG825&gt;=1,"D","F")))))),"")</f>
        <v/>
      </c>
      <c r="P825" s="5">
        <f>IF(AND('Data Source'!B825&lt;&gt;"",'Data Source'!S825="F"),'Data Source'!R825,"")</f>
        <v/>
      </c>
      <c r="Q825" s="3">
        <f>IF(AND('Data Source'!B825&lt;&gt;"",'Data Source'!S825="F"),'Data Source'!S825,"")</f>
        <v/>
      </c>
    </row>
    <row r="826">
      <c r="A826" s="3">
        <f>IF(AND('Data Source'!B826&lt;&gt;"",'Data Source'!S826="F"),COUNTIF('Data Source'!$S$3:S826,"F"),"")</f>
        <v/>
      </c>
      <c r="B826">
        <f>IF(AND('Data Source'!B826&lt;&gt;"",'Data Source'!S826="F"),'Data Source'!B826,"")</f>
        <v/>
      </c>
      <c r="C826" s="3">
        <f>IF(AND('Data Source'!B826&lt;&gt;"",'Data Source'!S826="F"),IF('Data Source'!U826&gt;=5,"A+",IF('Data Source'!U826&gt;=4,"A",IF('Data Source'!U826&gt;=3.5,"A-",IF('Data Source'!U826&gt;=3,"B",IF('Data Source'!U826&gt;=2,"C",IF('Data Source'!U826&gt;=1,"D","F")))))),"")</f>
        <v/>
      </c>
      <c r="D826" s="3">
        <f>IF(AND('Data Source'!B826&lt;&gt;"",'Data Source'!S826="F"),IF('Data Source'!V826&gt;=5,"A+",IF('Data Source'!V826&gt;=4,"A",IF('Data Source'!V826&gt;=3.5,"A-",IF('Data Source'!V826&gt;=3,"B",IF('Data Source'!V826&gt;=2,"C",IF('Data Source'!V826&gt;=1,"D","F")))))),"")</f>
        <v/>
      </c>
      <c r="E826" s="3">
        <f>IF(AND('Data Source'!B826&lt;&gt;"",'Data Source'!S826="F"),IF('Data Source'!W826&gt;=5,"A+",IF('Data Source'!W826&gt;=4,"A",IF('Data Source'!W826&gt;=3.5,"A-",IF('Data Source'!W826&gt;=3,"B",IF('Data Source'!W826&gt;=2,"C",IF('Data Source'!W826&gt;=1,"D","F")))))),"")</f>
        <v/>
      </c>
      <c r="F826" s="3">
        <f>IF(AND('Data Source'!B826&lt;&gt;"",'Data Source'!S826="F"),IF('Data Source'!X826&gt;=5,"A+",IF('Data Source'!X826&gt;=4,"A",IF('Data Source'!X826&gt;=3.5,"A-",IF('Data Source'!X826&gt;=3,"B",IF('Data Source'!X826&gt;=2,"C",IF('Data Source'!X826&gt;=1,"D","F")))))),"")</f>
        <v/>
      </c>
      <c r="G826" s="3">
        <f>IF(AND('Data Source'!B826&lt;&gt;"",'Data Source'!S826="F"),IF('Data Source'!Y826&gt;=5,"A+",IF('Data Source'!Y826&gt;=4,"A",IF('Data Source'!Y826&gt;=3.5,"A-",IF('Data Source'!Y826&gt;=3,"B",IF('Data Source'!Y826&gt;=2,"C",IF('Data Source'!Y826&gt;=1,"D","F")))))),"")</f>
        <v/>
      </c>
      <c r="H826" s="3">
        <f>IF(AND('Data Source'!B826&lt;&gt;"",'Data Source'!S826="F"),IF('Data Source'!Z826&gt;=5,"A+",IF('Data Source'!Z826&gt;=4,"A",IF('Data Source'!Z826&gt;=3.5,"A-",IF('Data Source'!Z826&gt;=3,"B",IF('Data Source'!Z826&gt;=2,"C",IF('Data Source'!Z826&gt;=1,"D","F")))))),"")</f>
        <v/>
      </c>
      <c r="I826" s="3">
        <f>IF(AND('Data Source'!B826&lt;&gt;"",'Data Source'!S826="F"),IF('Data Source'!AA826&gt;=5,"A+",IF('Data Source'!AA826&gt;=4,"A",IF('Data Source'!AA826&gt;=3.5,"A-",IF('Data Source'!AA826&gt;=3,"B",IF('Data Source'!AA826&gt;=2,"C",IF('Data Source'!AA826&gt;=1,"D","F")))))),"")</f>
        <v/>
      </c>
      <c r="J826" s="3">
        <f>IF(AND('Data Source'!B826&lt;&gt;"",'Data Source'!S826="F"),IF('Data Source'!AB826&gt;=5,"A+",IF('Data Source'!AB826&gt;=4,"A",IF('Data Source'!AB826&gt;=3.5,"A-",IF('Data Source'!AB826&gt;=3,"B",IF('Data Source'!AB826&gt;=2,"C",IF('Data Source'!AB826&gt;=1,"D","F")))))),"")</f>
        <v/>
      </c>
      <c r="K826" s="3">
        <f>IF(AND('Data Source'!B826&lt;&gt;"",'Data Source'!S826="F"),IF('Data Source'!AC826&gt;=5,"A+",IF('Data Source'!AC826&gt;=4,"A",IF('Data Source'!AC826&gt;=3.5,"A-",IF('Data Source'!AC826&gt;=3,"B",IF('Data Source'!AC826&gt;=2,"C",IF('Data Source'!AC826&gt;=1,"D","F")))))),"")</f>
        <v/>
      </c>
      <c r="L826" s="3">
        <f>IF(AND('Data Source'!B826&lt;&gt;"",'Data Source'!S826="F"),IF('Data Source'!AD826&gt;=5,"A+",IF('Data Source'!AD826&gt;=4,"A",IF('Data Source'!AD826&gt;=3.5,"A-",IF('Data Source'!AD826&gt;=3,"B",IF('Data Source'!AD826&gt;=2,"C",IF('Data Source'!AD826&gt;=1,"D","F")))))),"")</f>
        <v/>
      </c>
      <c r="M826" s="3">
        <f>IF(AND('Data Source'!B826&lt;&gt;"",'Data Source'!S826="F"),IF('Data Source'!AE826&gt;=5,"A+",IF('Data Source'!AE826&gt;=4,"A",IF('Data Source'!AE826&gt;=3.5,"A-",IF('Data Source'!AE826&gt;=3,"B",IF('Data Source'!AE826&gt;=2,"C",IF('Data Source'!AE826&gt;=1,"D","F")))))),"")</f>
        <v/>
      </c>
      <c r="N826" s="3">
        <f>IF(AND('Data Source'!B826&lt;&gt;"",'Data Source'!S826="F"),IF('Data Source'!AF826&gt;=5,"A+",IF('Data Source'!AF826&gt;=4,"A",IF('Data Source'!AF826&gt;=3.5,"A-",IF('Data Source'!AF826&gt;=3,"B",IF('Data Source'!AF826&gt;=2,"C",IF('Data Source'!AF826&gt;=1,"D","F")))))),"")</f>
        <v/>
      </c>
      <c r="O826" s="3">
        <f>IF(AND('Data Source'!B826&lt;&gt;"",'Data Source'!S826="F"),IF('Data Source'!AG826&gt;=5,"A+",IF('Data Source'!AG826&gt;=4,"A",IF('Data Source'!AG826&gt;=3.5,"A-",IF('Data Source'!AG826&gt;=3,"B",IF('Data Source'!AG826&gt;=2,"C",IF('Data Source'!AG826&gt;=1,"D","F")))))),"")</f>
        <v/>
      </c>
      <c r="P826" s="5">
        <f>IF(AND('Data Source'!B826&lt;&gt;"",'Data Source'!S826="F"),'Data Source'!R826,"")</f>
        <v/>
      </c>
      <c r="Q826" s="3">
        <f>IF(AND('Data Source'!B826&lt;&gt;"",'Data Source'!S826="F"),'Data Source'!S826,"")</f>
        <v/>
      </c>
    </row>
    <row r="827">
      <c r="A827" s="3">
        <f>IF(AND('Data Source'!B827&lt;&gt;"",'Data Source'!S827="F"),COUNTIF('Data Source'!$S$3:S827,"F"),"")</f>
        <v/>
      </c>
      <c r="B827">
        <f>IF(AND('Data Source'!B827&lt;&gt;"",'Data Source'!S827="F"),'Data Source'!B827,"")</f>
        <v/>
      </c>
      <c r="C827" s="3">
        <f>IF(AND('Data Source'!B827&lt;&gt;"",'Data Source'!S827="F"),IF('Data Source'!U827&gt;=5,"A+",IF('Data Source'!U827&gt;=4,"A",IF('Data Source'!U827&gt;=3.5,"A-",IF('Data Source'!U827&gt;=3,"B",IF('Data Source'!U827&gt;=2,"C",IF('Data Source'!U827&gt;=1,"D","F")))))),"")</f>
        <v/>
      </c>
      <c r="D827" s="3">
        <f>IF(AND('Data Source'!B827&lt;&gt;"",'Data Source'!S827="F"),IF('Data Source'!V827&gt;=5,"A+",IF('Data Source'!V827&gt;=4,"A",IF('Data Source'!V827&gt;=3.5,"A-",IF('Data Source'!V827&gt;=3,"B",IF('Data Source'!V827&gt;=2,"C",IF('Data Source'!V827&gt;=1,"D","F")))))),"")</f>
        <v/>
      </c>
      <c r="E827" s="3">
        <f>IF(AND('Data Source'!B827&lt;&gt;"",'Data Source'!S827="F"),IF('Data Source'!W827&gt;=5,"A+",IF('Data Source'!W827&gt;=4,"A",IF('Data Source'!W827&gt;=3.5,"A-",IF('Data Source'!W827&gt;=3,"B",IF('Data Source'!W827&gt;=2,"C",IF('Data Source'!W827&gt;=1,"D","F")))))),"")</f>
        <v/>
      </c>
      <c r="F827" s="3">
        <f>IF(AND('Data Source'!B827&lt;&gt;"",'Data Source'!S827="F"),IF('Data Source'!X827&gt;=5,"A+",IF('Data Source'!X827&gt;=4,"A",IF('Data Source'!X827&gt;=3.5,"A-",IF('Data Source'!X827&gt;=3,"B",IF('Data Source'!X827&gt;=2,"C",IF('Data Source'!X827&gt;=1,"D","F")))))),"")</f>
        <v/>
      </c>
      <c r="G827" s="3">
        <f>IF(AND('Data Source'!B827&lt;&gt;"",'Data Source'!S827="F"),IF('Data Source'!Y827&gt;=5,"A+",IF('Data Source'!Y827&gt;=4,"A",IF('Data Source'!Y827&gt;=3.5,"A-",IF('Data Source'!Y827&gt;=3,"B",IF('Data Source'!Y827&gt;=2,"C",IF('Data Source'!Y827&gt;=1,"D","F")))))),"")</f>
        <v/>
      </c>
      <c r="H827" s="3">
        <f>IF(AND('Data Source'!B827&lt;&gt;"",'Data Source'!S827="F"),IF('Data Source'!Z827&gt;=5,"A+",IF('Data Source'!Z827&gt;=4,"A",IF('Data Source'!Z827&gt;=3.5,"A-",IF('Data Source'!Z827&gt;=3,"B",IF('Data Source'!Z827&gt;=2,"C",IF('Data Source'!Z827&gt;=1,"D","F")))))),"")</f>
        <v/>
      </c>
      <c r="I827" s="3">
        <f>IF(AND('Data Source'!B827&lt;&gt;"",'Data Source'!S827="F"),IF('Data Source'!AA827&gt;=5,"A+",IF('Data Source'!AA827&gt;=4,"A",IF('Data Source'!AA827&gt;=3.5,"A-",IF('Data Source'!AA827&gt;=3,"B",IF('Data Source'!AA827&gt;=2,"C",IF('Data Source'!AA827&gt;=1,"D","F")))))),"")</f>
        <v/>
      </c>
      <c r="J827" s="3">
        <f>IF(AND('Data Source'!B827&lt;&gt;"",'Data Source'!S827="F"),IF('Data Source'!AB827&gt;=5,"A+",IF('Data Source'!AB827&gt;=4,"A",IF('Data Source'!AB827&gt;=3.5,"A-",IF('Data Source'!AB827&gt;=3,"B",IF('Data Source'!AB827&gt;=2,"C",IF('Data Source'!AB827&gt;=1,"D","F")))))),"")</f>
        <v/>
      </c>
      <c r="K827" s="3">
        <f>IF(AND('Data Source'!B827&lt;&gt;"",'Data Source'!S827="F"),IF('Data Source'!AC827&gt;=5,"A+",IF('Data Source'!AC827&gt;=4,"A",IF('Data Source'!AC827&gt;=3.5,"A-",IF('Data Source'!AC827&gt;=3,"B",IF('Data Source'!AC827&gt;=2,"C",IF('Data Source'!AC827&gt;=1,"D","F")))))),"")</f>
        <v/>
      </c>
      <c r="L827" s="3">
        <f>IF(AND('Data Source'!B827&lt;&gt;"",'Data Source'!S827="F"),IF('Data Source'!AD827&gt;=5,"A+",IF('Data Source'!AD827&gt;=4,"A",IF('Data Source'!AD827&gt;=3.5,"A-",IF('Data Source'!AD827&gt;=3,"B",IF('Data Source'!AD827&gt;=2,"C",IF('Data Source'!AD827&gt;=1,"D","F")))))),"")</f>
        <v/>
      </c>
      <c r="M827" s="3">
        <f>IF(AND('Data Source'!B827&lt;&gt;"",'Data Source'!S827="F"),IF('Data Source'!AE827&gt;=5,"A+",IF('Data Source'!AE827&gt;=4,"A",IF('Data Source'!AE827&gt;=3.5,"A-",IF('Data Source'!AE827&gt;=3,"B",IF('Data Source'!AE827&gt;=2,"C",IF('Data Source'!AE827&gt;=1,"D","F")))))),"")</f>
        <v/>
      </c>
      <c r="N827" s="3">
        <f>IF(AND('Data Source'!B827&lt;&gt;"",'Data Source'!S827="F"),IF('Data Source'!AF827&gt;=5,"A+",IF('Data Source'!AF827&gt;=4,"A",IF('Data Source'!AF827&gt;=3.5,"A-",IF('Data Source'!AF827&gt;=3,"B",IF('Data Source'!AF827&gt;=2,"C",IF('Data Source'!AF827&gt;=1,"D","F")))))),"")</f>
        <v/>
      </c>
      <c r="O827" s="3">
        <f>IF(AND('Data Source'!B827&lt;&gt;"",'Data Source'!S827="F"),IF('Data Source'!AG827&gt;=5,"A+",IF('Data Source'!AG827&gt;=4,"A",IF('Data Source'!AG827&gt;=3.5,"A-",IF('Data Source'!AG827&gt;=3,"B",IF('Data Source'!AG827&gt;=2,"C",IF('Data Source'!AG827&gt;=1,"D","F")))))),"")</f>
        <v/>
      </c>
      <c r="P827" s="5">
        <f>IF(AND('Data Source'!B827&lt;&gt;"",'Data Source'!S827="F"),'Data Source'!R827,"")</f>
        <v/>
      </c>
      <c r="Q827" s="3">
        <f>IF(AND('Data Source'!B827&lt;&gt;"",'Data Source'!S827="F"),'Data Source'!S827,"")</f>
        <v/>
      </c>
    </row>
    <row r="828">
      <c r="A828" s="3">
        <f>IF(AND('Data Source'!B828&lt;&gt;"",'Data Source'!S828="F"),COUNTIF('Data Source'!$S$3:S828,"F"),"")</f>
        <v/>
      </c>
      <c r="B828">
        <f>IF(AND('Data Source'!B828&lt;&gt;"",'Data Source'!S828="F"),'Data Source'!B828,"")</f>
        <v/>
      </c>
      <c r="C828" s="3">
        <f>IF(AND('Data Source'!B828&lt;&gt;"",'Data Source'!S828="F"),IF('Data Source'!U828&gt;=5,"A+",IF('Data Source'!U828&gt;=4,"A",IF('Data Source'!U828&gt;=3.5,"A-",IF('Data Source'!U828&gt;=3,"B",IF('Data Source'!U828&gt;=2,"C",IF('Data Source'!U828&gt;=1,"D","F")))))),"")</f>
        <v/>
      </c>
      <c r="D828" s="3">
        <f>IF(AND('Data Source'!B828&lt;&gt;"",'Data Source'!S828="F"),IF('Data Source'!V828&gt;=5,"A+",IF('Data Source'!V828&gt;=4,"A",IF('Data Source'!V828&gt;=3.5,"A-",IF('Data Source'!V828&gt;=3,"B",IF('Data Source'!V828&gt;=2,"C",IF('Data Source'!V828&gt;=1,"D","F")))))),"")</f>
        <v/>
      </c>
      <c r="E828" s="3">
        <f>IF(AND('Data Source'!B828&lt;&gt;"",'Data Source'!S828="F"),IF('Data Source'!W828&gt;=5,"A+",IF('Data Source'!W828&gt;=4,"A",IF('Data Source'!W828&gt;=3.5,"A-",IF('Data Source'!W828&gt;=3,"B",IF('Data Source'!W828&gt;=2,"C",IF('Data Source'!W828&gt;=1,"D","F")))))),"")</f>
        <v/>
      </c>
      <c r="F828" s="3">
        <f>IF(AND('Data Source'!B828&lt;&gt;"",'Data Source'!S828="F"),IF('Data Source'!X828&gt;=5,"A+",IF('Data Source'!X828&gt;=4,"A",IF('Data Source'!X828&gt;=3.5,"A-",IF('Data Source'!X828&gt;=3,"B",IF('Data Source'!X828&gt;=2,"C",IF('Data Source'!X828&gt;=1,"D","F")))))),"")</f>
        <v/>
      </c>
      <c r="G828" s="3">
        <f>IF(AND('Data Source'!B828&lt;&gt;"",'Data Source'!S828="F"),IF('Data Source'!Y828&gt;=5,"A+",IF('Data Source'!Y828&gt;=4,"A",IF('Data Source'!Y828&gt;=3.5,"A-",IF('Data Source'!Y828&gt;=3,"B",IF('Data Source'!Y828&gt;=2,"C",IF('Data Source'!Y828&gt;=1,"D","F")))))),"")</f>
        <v/>
      </c>
      <c r="H828" s="3">
        <f>IF(AND('Data Source'!B828&lt;&gt;"",'Data Source'!S828="F"),IF('Data Source'!Z828&gt;=5,"A+",IF('Data Source'!Z828&gt;=4,"A",IF('Data Source'!Z828&gt;=3.5,"A-",IF('Data Source'!Z828&gt;=3,"B",IF('Data Source'!Z828&gt;=2,"C",IF('Data Source'!Z828&gt;=1,"D","F")))))),"")</f>
        <v/>
      </c>
      <c r="I828" s="3">
        <f>IF(AND('Data Source'!B828&lt;&gt;"",'Data Source'!S828="F"),IF('Data Source'!AA828&gt;=5,"A+",IF('Data Source'!AA828&gt;=4,"A",IF('Data Source'!AA828&gt;=3.5,"A-",IF('Data Source'!AA828&gt;=3,"B",IF('Data Source'!AA828&gt;=2,"C",IF('Data Source'!AA828&gt;=1,"D","F")))))),"")</f>
        <v/>
      </c>
      <c r="J828" s="3">
        <f>IF(AND('Data Source'!B828&lt;&gt;"",'Data Source'!S828="F"),IF('Data Source'!AB828&gt;=5,"A+",IF('Data Source'!AB828&gt;=4,"A",IF('Data Source'!AB828&gt;=3.5,"A-",IF('Data Source'!AB828&gt;=3,"B",IF('Data Source'!AB828&gt;=2,"C",IF('Data Source'!AB828&gt;=1,"D","F")))))),"")</f>
        <v/>
      </c>
      <c r="K828" s="3">
        <f>IF(AND('Data Source'!B828&lt;&gt;"",'Data Source'!S828="F"),IF('Data Source'!AC828&gt;=5,"A+",IF('Data Source'!AC828&gt;=4,"A",IF('Data Source'!AC828&gt;=3.5,"A-",IF('Data Source'!AC828&gt;=3,"B",IF('Data Source'!AC828&gt;=2,"C",IF('Data Source'!AC828&gt;=1,"D","F")))))),"")</f>
        <v/>
      </c>
      <c r="L828" s="3">
        <f>IF(AND('Data Source'!B828&lt;&gt;"",'Data Source'!S828="F"),IF('Data Source'!AD828&gt;=5,"A+",IF('Data Source'!AD828&gt;=4,"A",IF('Data Source'!AD828&gt;=3.5,"A-",IF('Data Source'!AD828&gt;=3,"B",IF('Data Source'!AD828&gt;=2,"C",IF('Data Source'!AD828&gt;=1,"D","F")))))),"")</f>
        <v/>
      </c>
      <c r="M828" s="3">
        <f>IF(AND('Data Source'!B828&lt;&gt;"",'Data Source'!S828="F"),IF('Data Source'!AE828&gt;=5,"A+",IF('Data Source'!AE828&gt;=4,"A",IF('Data Source'!AE828&gt;=3.5,"A-",IF('Data Source'!AE828&gt;=3,"B",IF('Data Source'!AE828&gt;=2,"C",IF('Data Source'!AE828&gt;=1,"D","F")))))),"")</f>
        <v/>
      </c>
      <c r="N828" s="3">
        <f>IF(AND('Data Source'!B828&lt;&gt;"",'Data Source'!S828="F"),IF('Data Source'!AF828&gt;=5,"A+",IF('Data Source'!AF828&gt;=4,"A",IF('Data Source'!AF828&gt;=3.5,"A-",IF('Data Source'!AF828&gt;=3,"B",IF('Data Source'!AF828&gt;=2,"C",IF('Data Source'!AF828&gt;=1,"D","F")))))),"")</f>
        <v/>
      </c>
      <c r="O828" s="3">
        <f>IF(AND('Data Source'!B828&lt;&gt;"",'Data Source'!S828="F"),IF('Data Source'!AG828&gt;=5,"A+",IF('Data Source'!AG828&gt;=4,"A",IF('Data Source'!AG828&gt;=3.5,"A-",IF('Data Source'!AG828&gt;=3,"B",IF('Data Source'!AG828&gt;=2,"C",IF('Data Source'!AG828&gt;=1,"D","F")))))),"")</f>
        <v/>
      </c>
      <c r="P828" s="5">
        <f>IF(AND('Data Source'!B828&lt;&gt;"",'Data Source'!S828="F"),'Data Source'!R828,"")</f>
        <v/>
      </c>
      <c r="Q828" s="3">
        <f>IF(AND('Data Source'!B828&lt;&gt;"",'Data Source'!S828="F"),'Data Source'!S828,"")</f>
        <v/>
      </c>
    </row>
    <row r="829">
      <c r="A829" s="3">
        <f>IF(AND('Data Source'!B829&lt;&gt;"",'Data Source'!S829="F"),COUNTIF('Data Source'!$S$3:S829,"F"),"")</f>
        <v/>
      </c>
      <c r="B829">
        <f>IF(AND('Data Source'!B829&lt;&gt;"",'Data Source'!S829="F"),'Data Source'!B829,"")</f>
        <v/>
      </c>
      <c r="C829" s="3">
        <f>IF(AND('Data Source'!B829&lt;&gt;"",'Data Source'!S829="F"),IF('Data Source'!U829&gt;=5,"A+",IF('Data Source'!U829&gt;=4,"A",IF('Data Source'!U829&gt;=3.5,"A-",IF('Data Source'!U829&gt;=3,"B",IF('Data Source'!U829&gt;=2,"C",IF('Data Source'!U829&gt;=1,"D","F")))))),"")</f>
        <v/>
      </c>
      <c r="D829" s="3">
        <f>IF(AND('Data Source'!B829&lt;&gt;"",'Data Source'!S829="F"),IF('Data Source'!V829&gt;=5,"A+",IF('Data Source'!V829&gt;=4,"A",IF('Data Source'!V829&gt;=3.5,"A-",IF('Data Source'!V829&gt;=3,"B",IF('Data Source'!V829&gt;=2,"C",IF('Data Source'!V829&gt;=1,"D","F")))))),"")</f>
        <v/>
      </c>
      <c r="E829" s="3">
        <f>IF(AND('Data Source'!B829&lt;&gt;"",'Data Source'!S829="F"),IF('Data Source'!W829&gt;=5,"A+",IF('Data Source'!W829&gt;=4,"A",IF('Data Source'!W829&gt;=3.5,"A-",IF('Data Source'!W829&gt;=3,"B",IF('Data Source'!W829&gt;=2,"C",IF('Data Source'!W829&gt;=1,"D","F")))))),"")</f>
        <v/>
      </c>
      <c r="F829" s="3">
        <f>IF(AND('Data Source'!B829&lt;&gt;"",'Data Source'!S829="F"),IF('Data Source'!X829&gt;=5,"A+",IF('Data Source'!X829&gt;=4,"A",IF('Data Source'!X829&gt;=3.5,"A-",IF('Data Source'!X829&gt;=3,"B",IF('Data Source'!X829&gt;=2,"C",IF('Data Source'!X829&gt;=1,"D","F")))))),"")</f>
        <v/>
      </c>
      <c r="G829" s="3">
        <f>IF(AND('Data Source'!B829&lt;&gt;"",'Data Source'!S829="F"),IF('Data Source'!Y829&gt;=5,"A+",IF('Data Source'!Y829&gt;=4,"A",IF('Data Source'!Y829&gt;=3.5,"A-",IF('Data Source'!Y829&gt;=3,"B",IF('Data Source'!Y829&gt;=2,"C",IF('Data Source'!Y829&gt;=1,"D","F")))))),"")</f>
        <v/>
      </c>
      <c r="H829" s="3">
        <f>IF(AND('Data Source'!B829&lt;&gt;"",'Data Source'!S829="F"),IF('Data Source'!Z829&gt;=5,"A+",IF('Data Source'!Z829&gt;=4,"A",IF('Data Source'!Z829&gt;=3.5,"A-",IF('Data Source'!Z829&gt;=3,"B",IF('Data Source'!Z829&gt;=2,"C",IF('Data Source'!Z829&gt;=1,"D","F")))))),"")</f>
        <v/>
      </c>
      <c r="I829" s="3">
        <f>IF(AND('Data Source'!B829&lt;&gt;"",'Data Source'!S829="F"),IF('Data Source'!AA829&gt;=5,"A+",IF('Data Source'!AA829&gt;=4,"A",IF('Data Source'!AA829&gt;=3.5,"A-",IF('Data Source'!AA829&gt;=3,"B",IF('Data Source'!AA829&gt;=2,"C",IF('Data Source'!AA829&gt;=1,"D","F")))))),"")</f>
        <v/>
      </c>
      <c r="J829" s="3">
        <f>IF(AND('Data Source'!B829&lt;&gt;"",'Data Source'!S829="F"),IF('Data Source'!AB829&gt;=5,"A+",IF('Data Source'!AB829&gt;=4,"A",IF('Data Source'!AB829&gt;=3.5,"A-",IF('Data Source'!AB829&gt;=3,"B",IF('Data Source'!AB829&gt;=2,"C",IF('Data Source'!AB829&gt;=1,"D","F")))))),"")</f>
        <v/>
      </c>
      <c r="K829" s="3">
        <f>IF(AND('Data Source'!B829&lt;&gt;"",'Data Source'!S829="F"),IF('Data Source'!AC829&gt;=5,"A+",IF('Data Source'!AC829&gt;=4,"A",IF('Data Source'!AC829&gt;=3.5,"A-",IF('Data Source'!AC829&gt;=3,"B",IF('Data Source'!AC829&gt;=2,"C",IF('Data Source'!AC829&gt;=1,"D","F")))))),"")</f>
        <v/>
      </c>
      <c r="L829" s="3">
        <f>IF(AND('Data Source'!B829&lt;&gt;"",'Data Source'!S829="F"),IF('Data Source'!AD829&gt;=5,"A+",IF('Data Source'!AD829&gt;=4,"A",IF('Data Source'!AD829&gt;=3.5,"A-",IF('Data Source'!AD829&gt;=3,"B",IF('Data Source'!AD829&gt;=2,"C",IF('Data Source'!AD829&gt;=1,"D","F")))))),"")</f>
        <v/>
      </c>
      <c r="M829" s="3">
        <f>IF(AND('Data Source'!B829&lt;&gt;"",'Data Source'!S829="F"),IF('Data Source'!AE829&gt;=5,"A+",IF('Data Source'!AE829&gt;=4,"A",IF('Data Source'!AE829&gt;=3.5,"A-",IF('Data Source'!AE829&gt;=3,"B",IF('Data Source'!AE829&gt;=2,"C",IF('Data Source'!AE829&gt;=1,"D","F")))))),"")</f>
        <v/>
      </c>
      <c r="N829" s="3">
        <f>IF(AND('Data Source'!B829&lt;&gt;"",'Data Source'!S829="F"),IF('Data Source'!AF829&gt;=5,"A+",IF('Data Source'!AF829&gt;=4,"A",IF('Data Source'!AF829&gt;=3.5,"A-",IF('Data Source'!AF829&gt;=3,"B",IF('Data Source'!AF829&gt;=2,"C",IF('Data Source'!AF829&gt;=1,"D","F")))))),"")</f>
        <v/>
      </c>
      <c r="O829" s="3">
        <f>IF(AND('Data Source'!B829&lt;&gt;"",'Data Source'!S829="F"),IF('Data Source'!AG829&gt;=5,"A+",IF('Data Source'!AG829&gt;=4,"A",IF('Data Source'!AG829&gt;=3.5,"A-",IF('Data Source'!AG829&gt;=3,"B",IF('Data Source'!AG829&gt;=2,"C",IF('Data Source'!AG829&gt;=1,"D","F")))))),"")</f>
        <v/>
      </c>
      <c r="P829" s="5">
        <f>IF(AND('Data Source'!B829&lt;&gt;"",'Data Source'!S829="F"),'Data Source'!R829,"")</f>
        <v/>
      </c>
      <c r="Q829" s="3">
        <f>IF(AND('Data Source'!B829&lt;&gt;"",'Data Source'!S829="F"),'Data Source'!S829,"")</f>
        <v/>
      </c>
    </row>
    <row r="830">
      <c r="A830" s="3">
        <f>IF(AND('Data Source'!B830&lt;&gt;"",'Data Source'!S830="F"),COUNTIF('Data Source'!$S$3:S830,"F"),"")</f>
        <v/>
      </c>
      <c r="B830">
        <f>IF(AND('Data Source'!B830&lt;&gt;"",'Data Source'!S830="F"),'Data Source'!B830,"")</f>
        <v/>
      </c>
      <c r="C830" s="3">
        <f>IF(AND('Data Source'!B830&lt;&gt;"",'Data Source'!S830="F"),IF('Data Source'!U830&gt;=5,"A+",IF('Data Source'!U830&gt;=4,"A",IF('Data Source'!U830&gt;=3.5,"A-",IF('Data Source'!U830&gt;=3,"B",IF('Data Source'!U830&gt;=2,"C",IF('Data Source'!U830&gt;=1,"D","F")))))),"")</f>
        <v/>
      </c>
      <c r="D830" s="3">
        <f>IF(AND('Data Source'!B830&lt;&gt;"",'Data Source'!S830="F"),IF('Data Source'!V830&gt;=5,"A+",IF('Data Source'!V830&gt;=4,"A",IF('Data Source'!V830&gt;=3.5,"A-",IF('Data Source'!V830&gt;=3,"B",IF('Data Source'!V830&gt;=2,"C",IF('Data Source'!V830&gt;=1,"D","F")))))),"")</f>
        <v/>
      </c>
      <c r="E830" s="3">
        <f>IF(AND('Data Source'!B830&lt;&gt;"",'Data Source'!S830="F"),IF('Data Source'!W830&gt;=5,"A+",IF('Data Source'!W830&gt;=4,"A",IF('Data Source'!W830&gt;=3.5,"A-",IF('Data Source'!W830&gt;=3,"B",IF('Data Source'!W830&gt;=2,"C",IF('Data Source'!W830&gt;=1,"D","F")))))),"")</f>
        <v/>
      </c>
      <c r="F830" s="3">
        <f>IF(AND('Data Source'!B830&lt;&gt;"",'Data Source'!S830="F"),IF('Data Source'!X830&gt;=5,"A+",IF('Data Source'!X830&gt;=4,"A",IF('Data Source'!X830&gt;=3.5,"A-",IF('Data Source'!X830&gt;=3,"B",IF('Data Source'!X830&gt;=2,"C",IF('Data Source'!X830&gt;=1,"D","F")))))),"")</f>
        <v/>
      </c>
      <c r="G830" s="3">
        <f>IF(AND('Data Source'!B830&lt;&gt;"",'Data Source'!S830="F"),IF('Data Source'!Y830&gt;=5,"A+",IF('Data Source'!Y830&gt;=4,"A",IF('Data Source'!Y830&gt;=3.5,"A-",IF('Data Source'!Y830&gt;=3,"B",IF('Data Source'!Y830&gt;=2,"C",IF('Data Source'!Y830&gt;=1,"D","F")))))),"")</f>
        <v/>
      </c>
      <c r="H830" s="3">
        <f>IF(AND('Data Source'!B830&lt;&gt;"",'Data Source'!S830="F"),IF('Data Source'!Z830&gt;=5,"A+",IF('Data Source'!Z830&gt;=4,"A",IF('Data Source'!Z830&gt;=3.5,"A-",IF('Data Source'!Z830&gt;=3,"B",IF('Data Source'!Z830&gt;=2,"C",IF('Data Source'!Z830&gt;=1,"D","F")))))),"")</f>
        <v/>
      </c>
      <c r="I830" s="3">
        <f>IF(AND('Data Source'!B830&lt;&gt;"",'Data Source'!S830="F"),IF('Data Source'!AA830&gt;=5,"A+",IF('Data Source'!AA830&gt;=4,"A",IF('Data Source'!AA830&gt;=3.5,"A-",IF('Data Source'!AA830&gt;=3,"B",IF('Data Source'!AA830&gt;=2,"C",IF('Data Source'!AA830&gt;=1,"D","F")))))),"")</f>
        <v/>
      </c>
      <c r="J830" s="3">
        <f>IF(AND('Data Source'!B830&lt;&gt;"",'Data Source'!S830="F"),IF('Data Source'!AB830&gt;=5,"A+",IF('Data Source'!AB830&gt;=4,"A",IF('Data Source'!AB830&gt;=3.5,"A-",IF('Data Source'!AB830&gt;=3,"B",IF('Data Source'!AB830&gt;=2,"C",IF('Data Source'!AB830&gt;=1,"D","F")))))),"")</f>
        <v/>
      </c>
      <c r="K830" s="3">
        <f>IF(AND('Data Source'!B830&lt;&gt;"",'Data Source'!S830="F"),IF('Data Source'!AC830&gt;=5,"A+",IF('Data Source'!AC830&gt;=4,"A",IF('Data Source'!AC830&gt;=3.5,"A-",IF('Data Source'!AC830&gt;=3,"B",IF('Data Source'!AC830&gt;=2,"C",IF('Data Source'!AC830&gt;=1,"D","F")))))),"")</f>
        <v/>
      </c>
      <c r="L830" s="3">
        <f>IF(AND('Data Source'!B830&lt;&gt;"",'Data Source'!S830="F"),IF('Data Source'!AD830&gt;=5,"A+",IF('Data Source'!AD830&gt;=4,"A",IF('Data Source'!AD830&gt;=3.5,"A-",IF('Data Source'!AD830&gt;=3,"B",IF('Data Source'!AD830&gt;=2,"C",IF('Data Source'!AD830&gt;=1,"D","F")))))),"")</f>
        <v/>
      </c>
      <c r="M830" s="3">
        <f>IF(AND('Data Source'!B830&lt;&gt;"",'Data Source'!S830="F"),IF('Data Source'!AE830&gt;=5,"A+",IF('Data Source'!AE830&gt;=4,"A",IF('Data Source'!AE830&gt;=3.5,"A-",IF('Data Source'!AE830&gt;=3,"B",IF('Data Source'!AE830&gt;=2,"C",IF('Data Source'!AE830&gt;=1,"D","F")))))),"")</f>
        <v/>
      </c>
      <c r="N830" s="3">
        <f>IF(AND('Data Source'!B830&lt;&gt;"",'Data Source'!S830="F"),IF('Data Source'!AF830&gt;=5,"A+",IF('Data Source'!AF830&gt;=4,"A",IF('Data Source'!AF830&gt;=3.5,"A-",IF('Data Source'!AF830&gt;=3,"B",IF('Data Source'!AF830&gt;=2,"C",IF('Data Source'!AF830&gt;=1,"D","F")))))),"")</f>
        <v/>
      </c>
      <c r="O830" s="3">
        <f>IF(AND('Data Source'!B830&lt;&gt;"",'Data Source'!S830="F"),IF('Data Source'!AG830&gt;=5,"A+",IF('Data Source'!AG830&gt;=4,"A",IF('Data Source'!AG830&gt;=3.5,"A-",IF('Data Source'!AG830&gt;=3,"B",IF('Data Source'!AG830&gt;=2,"C",IF('Data Source'!AG830&gt;=1,"D","F")))))),"")</f>
        <v/>
      </c>
      <c r="P830" s="5">
        <f>IF(AND('Data Source'!B830&lt;&gt;"",'Data Source'!S830="F"),'Data Source'!R830,"")</f>
        <v/>
      </c>
      <c r="Q830" s="3">
        <f>IF(AND('Data Source'!B830&lt;&gt;"",'Data Source'!S830="F"),'Data Source'!S830,"")</f>
        <v/>
      </c>
    </row>
    <row r="831">
      <c r="A831" s="3">
        <f>IF(AND('Data Source'!B831&lt;&gt;"",'Data Source'!S831="F"),COUNTIF('Data Source'!$S$3:S831,"F"),"")</f>
        <v/>
      </c>
      <c r="B831">
        <f>IF(AND('Data Source'!B831&lt;&gt;"",'Data Source'!S831="F"),'Data Source'!B831,"")</f>
        <v/>
      </c>
      <c r="C831" s="3">
        <f>IF(AND('Data Source'!B831&lt;&gt;"",'Data Source'!S831="F"),IF('Data Source'!U831&gt;=5,"A+",IF('Data Source'!U831&gt;=4,"A",IF('Data Source'!U831&gt;=3.5,"A-",IF('Data Source'!U831&gt;=3,"B",IF('Data Source'!U831&gt;=2,"C",IF('Data Source'!U831&gt;=1,"D","F")))))),"")</f>
        <v/>
      </c>
      <c r="D831" s="3">
        <f>IF(AND('Data Source'!B831&lt;&gt;"",'Data Source'!S831="F"),IF('Data Source'!V831&gt;=5,"A+",IF('Data Source'!V831&gt;=4,"A",IF('Data Source'!V831&gt;=3.5,"A-",IF('Data Source'!V831&gt;=3,"B",IF('Data Source'!V831&gt;=2,"C",IF('Data Source'!V831&gt;=1,"D","F")))))),"")</f>
        <v/>
      </c>
      <c r="E831" s="3">
        <f>IF(AND('Data Source'!B831&lt;&gt;"",'Data Source'!S831="F"),IF('Data Source'!W831&gt;=5,"A+",IF('Data Source'!W831&gt;=4,"A",IF('Data Source'!W831&gt;=3.5,"A-",IF('Data Source'!W831&gt;=3,"B",IF('Data Source'!W831&gt;=2,"C",IF('Data Source'!W831&gt;=1,"D","F")))))),"")</f>
        <v/>
      </c>
      <c r="F831" s="3">
        <f>IF(AND('Data Source'!B831&lt;&gt;"",'Data Source'!S831="F"),IF('Data Source'!X831&gt;=5,"A+",IF('Data Source'!X831&gt;=4,"A",IF('Data Source'!X831&gt;=3.5,"A-",IF('Data Source'!X831&gt;=3,"B",IF('Data Source'!X831&gt;=2,"C",IF('Data Source'!X831&gt;=1,"D","F")))))),"")</f>
        <v/>
      </c>
      <c r="G831" s="3">
        <f>IF(AND('Data Source'!B831&lt;&gt;"",'Data Source'!S831="F"),IF('Data Source'!Y831&gt;=5,"A+",IF('Data Source'!Y831&gt;=4,"A",IF('Data Source'!Y831&gt;=3.5,"A-",IF('Data Source'!Y831&gt;=3,"B",IF('Data Source'!Y831&gt;=2,"C",IF('Data Source'!Y831&gt;=1,"D","F")))))),"")</f>
        <v/>
      </c>
      <c r="H831" s="3">
        <f>IF(AND('Data Source'!B831&lt;&gt;"",'Data Source'!S831="F"),IF('Data Source'!Z831&gt;=5,"A+",IF('Data Source'!Z831&gt;=4,"A",IF('Data Source'!Z831&gt;=3.5,"A-",IF('Data Source'!Z831&gt;=3,"B",IF('Data Source'!Z831&gt;=2,"C",IF('Data Source'!Z831&gt;=1,"D","F")))))),"")</f>
        <v/>
      </c>
      <c r="I831" s="3">
        <f>IF(AND('Data Source'!B831&lt;&gt;"",'Data Source'!S831="F"),IF('Data Source'!AA831&gt;=5,"A+",IF('Data Source'!AA831&gt;=4,"A",IF('Data Source'!AA831&gt;=3.5,"A-",IF('Data Source'!AA831&gt;=3,"B",IF('Data Source'!AA831&gt;=2,"C",IF('Data Source'!AA831&gt;=1,"D","F")))))),"")</f>
        <v/>
      </c>
      <c r="J831" s="3">
        <f>IF(AND('Data Source'!B831&lt;&gt;"",'Data Source'!S831="F"),IF('Data Source'!AB831&gt;=5,"A+",IF('Data Source'!AB831&gt;=4,"A",IF('Data Source'!AB831&gt;=3.5,"A-",IF('Data Source'!AB831&gt;=3,"B",IF('Data Source'!AB831&gt;=2,"C",IF('Data Source'!AB831&gt;=1,"D","F")))))),"")</f>
        <v/>
      </c>
      <c r="K831" s="3">
        <f>IF(AND('Data Source'!B831&lt;&gt;"",'Data Source'!S831="F"),IF('Data Source'!AC831&gt;=5,"A+",IF('Data Source'!AC831&gt;=4,"A",IF('Data Source'!AC831&gt;=3.5,"A-",IF('Data Source'!AC831&gt;=3,"B",IF('Data Source'!AC831&gt;=2,"C",IF('Data Source'!AC831&gt;=1,"D","F")))))),"")</f>
        <v/>
      </c>
      <c r="L831" s="3">
        <f>IF(AND('Data Source'!B831&lt;&gt;"",'Data Source'!S831="F"),IF('Data Source'!AD831&gt;=5,"A+",IF('Data Source'!AD831&gt;=4,"A",IF('Data Source'!AD831&gt;=3.5,"A-",IF('Data Source'!AD831&gt;=3,"B",IF('Data Source'!AD831&gt;=2,"C",IF('Data Source'!AD831&gt;=1,"D","F")))))),"")</f>
        <v/>
      </c>
      <c r="M831" s="3">
        <f>IF(AND('Data Source'!B831&lt;&gt;"",'Data Source'!S831="F"),IF('Data Source'!AE831&gt;=5,"A+",IF('Data Source'!AE831&gt;=4,"A",IF('Data Source'!AE831&gt;=3.5,"A-",IF('Data Source'!AE831&gt;=3,"B",IF('Data Source'!AE831&gt;=2,"C",IF('Data Source'!AE831&gt;=1,"D","F")))))),"")</f>
        <v/>
      </c>
      <c r="N831" s="3">
        <f>IF(AND('Data Source'!B831&lt;&gt;"",'Data Source'!S831="F"),IF('Data Source'!AF831&gt;=5,"A+",IF('Data Source'!AF831&gt;=4,"A",IF('Data Source'!AF831&gt;=3.5,"A-",IF('Data Source'!AF831&gt;=3,"B",IF('Data Source'!AF831&gt;=2,"C",IF('Data Source'!AF831&gt;=1,"D","F")))))),"")</f>
        <v/>
      </c>
      <c r="O831" s="3">
        <f>IF(AND('Data Source'!B831&lt;&gt;"",'Data Source'!S831="F"),IF('Data Source'!AG831&gt;=5,"A+",IF('Data Source'!AG831&gt;=4,"A",IF('Data Source'!AG831&gt;=3.5,"A-",IF('Data Source'!AG831&gt;=3,"B",IF('Data Source'!AG831&gt;=2,"C",IF('Data Source'!AG831&gt;=1,"D","F")))))),"")</f>
        <v/>
      </c>
      <c r="P831" s="5">
        <f>IF(AND('Data Source'!B831&lt;&gt;"",'Data Source'!S831="F"),'Data Source'!R831,"")</f>
        <v/>
      </c>
      <c r="Q831" s="3">
        <f>IF(AND('Data Source'!B831&lt;&gt;"",'Data Source'!S831="F"),'Data Source'!S831,"")</f>
        <v/>
      </c>
    </row>
    <row r="832">
      <c r="A832" s="3">
        <f>IF(AND('Data Source'!B832&lt;&gt;"",'Data Source'!S832="F"),COUNTIF('Data Source'!$S$3:S832,"F"),"")</f>
        <v/>
      </c>
      <c r="B832">
        <f>IF(AND('Data Source'!B832&lt;&gt;"",'Data Source'!S832="F"),'Data Source'!B832,"")</f>
        <v/>
      </c>
      <c r="C832" s="3">
        <f>IF(AND('Data Source'!B832&lt;&gt;"",'Data Source'!S832="F"),IF('Data Source'!U832&gt;=5,"A+",IF('Data Source'!U832&gt;=4,"A",IF('Data Source'!U832&gt;=3.5,"A-",IF('Data Source'!U832&gt;=3,"B",IF('Data Source'!U832&gt;=2,"C",IF('Data Source'!U832&gt;=1,"D","F")))))),"")</f>
        <v/>
      </c>
      <c r="D832" s="3">
        <f>IF(AND('Data Source'!B832&lt;&gt;"",'Data Source'!S832="F"),IF('Data Source'!V832&gt;=5,"A+",IF('Data Source'!V832&gt;=4,"A",IF('Data Source'!V832&gt;=3.5,"A-",IF('Data Source'!V832&gt;=3,"B",IF('Data Source'!V832&gt;=2,"C",IF('Data Source'!V832&gt;=1,"D","F")))))),"")</f>
        <v/>
      </c>
      <c r="E832" s="3">
        <f>IF(AND('Data Source'!B832&lt;&gt;"",'Data Source'!S832="F"),IF('Data Source'!W832&gt;=5,"A+",IF('Data Source'!W832&gt;=4,"A",IF('Data Source'!W832&gt;=3.5,"A-",IF('Data Source'!W832&gt;=3,"B",IF('Data Source'!W832&gt;=2,"C",IF('Data Source'!W832&gt;=1,"D","F")))))),"")</f>
        <v/>
      </c>
      <c r="F832" s="3">
        <f>IF(AND('Data Source'!B832&lt;&gt;"",'Data Source'!S832="F"),IF('Data Source'!X832&gt;=5,"A+",IF('Data Source'!X832&gt;=4,"A",IF('Data Source'!X832&gt;=3.5,"A-",IF('Data Source'!X832&gt;=3,"B",IF('Data Source'!X832&gt;=2,"C",IF('Data Source'!X832&gt;=1,"D","F")))))),"")</f>
        <v/>
      </c>
      <c r="G832" s="3">
        <f>IF(AND('Data Source'!B832&lt;&gt;"",'Data Source'!S832="F"),IF('Data Source'!Y832&gt;=5,"A+",IF('Data Source'!Y832&gt;=4,"A",IF('Data Source'!Y832&gt;=3.5,"A-",IF('Data Source'!Y832&gt;=3,"B",IF('Data Source'!Y832&gt;=2,"C",IF('Data Source'!Y832&gt;=1,"D","F")))))),"")</f>
        <v/>
      </c>
      <c r="H832" s="3">
        <f>IF(AND('Data Source'!B832&lt;&gt;"",'Data Source'!S832="F"),IF('Data Source'!Z832&gt;=5,"A+",IF('Data Source'!Z832&gt;=4,"A",IF('Data Source'!Z832&gt;=3.5,"A-",IF('Data Source'!Z832&gt;=3,"B",IF('Data Source'!Z832&gt;=2,"C",IF('Data Source'!Z832&gt;=1,"D","F")))))),"")</f>
        <v/>
      </c>
      <c r="I832" s="3">
        <f>IF(AND('Data Source'!B832&lt;&gt;"",'Data Source'!S832="F"),IF('Data Source'!AA832&gt;=5,"A+",IF('Data Source'!AA832&gt;=4,"A",IF('Data Source'!AA832&gt;=3.5,"A-",IF('Data Source'!AA832&gt;=3,"B",IF('Data Source'!AA832&gt;=2,"C",IF('Data Source'!AA832&gt;=1,"D","F")))))),"")</f>
        <v/>
      </c>
      <c r="J832" s="3">
        <f>IF(AND('Data Source'!B832&lt;&gt;"",'Data Source'!S832="F"),IF('Data Source'!AB832&gt;=5,"A+",IF('Data Source'!AB832&gt;=4,"A",IF('Data Source'!AB832&gt;=3.5,"A-",IF('Data Source'!AB832&gt;=3,"B",IF('Data Source'!AB832&gt;=2,"C",IF('Data Source'!AB832&gt;=1,"D","F")))))),"")</f>
        <v/>
      </c>
      <c r="K832" s="3">
        <f>IF(AND('Data Source'!B832&lt;&gt;"",'Data Source'!S832="F"),IF('Data Source'!AC832&gt;=5,"A+",IF('Data Source'!AC832&gt;=4,"A",IF('Data Source'!AC832&gt;=3.5,"A-",IF('Data Source'!AC832&gt;=3,"B",IF('Data Source'!AC832&gt;=2,"C",IF('Data Source'!AC832&gt;=1,"D","F")))))),"")</f>
        <v/>
      </c>
      <c r="L832" s="3">
        <f>IF(AND('Data Source'!B832&lt;&gt;"",'Data Source'!S832="F"),IF('Data Source'!AD832&gt;=5,"A+",IF('Data Source'!AD832&gt;=4,"A",IF('Data Source'!AD832&gt;=3.5,"A-",IF('Data Source'!AD832&gt;=3,"B",IF('Data Source'!AD832&gt;=2,"C",IF('Data Source'!AD832&gt;=1,"D","F")))))),"")</f>
        <v/>
      </c>
      <c r="M832" s="3">
        <f>IF(AND('Data Source'!B832&lt;&gt;"",'Data Source'!S832="F"),IF('Data Source'!AE832&gt;=5,"A+",IF('Data Source'!AE832&gt;=4,"A",IF('Data Source'!AE832&gt;=3.5,"A-",IF('Data Source'!AE832&gt;=3,"B",IF('Data Source'!AE832&gt;=2,"C",IF('Data Source'!AE832&gt;=1,"D","F")))))),"")</f>
        <v/>
      </c>
      <c r="N832" s="3">
        <f>IF(AND('Data Source'!B832&lt;&gt;"",'Data Source'!S832="F"),IF('Data Source'!AF832&gt;=5,"A+",IF('Data Source'!AF832&gt;=4,"A",IF('Data Source'!AF832&gt;=3.5,"A-",IF('Data Source'!AF832&gt;=3,"B",IF('Data Source'!AF832&gt;=2,"C",IF('Data Source'!AF832&gt;=1,"D","F")))))),"")</f>
        <v/>
      </c>
      <c r="O832" s="3">
        <f>IF(AND('Data Source'!B832&lt;&gt;"",'Data Source'!S832="F"),IF('Data Source'!AG832&gt;=5,"A+",IF('Data Source'!AG832&gt;=4,"A",IF('Data Source'!AG832&gt;=3.5,"A-",IF('Data Source'!AG832&gt;=3,"B",IF('Data Source'!AG832&gt;=2,"C",IF('Data Source'!AG832&gt;=1,"D","F")))))),"")</f>
        <v/>
      </c>
      <c r="P832" s="5">
        <f>IF(AND('Data Source'!B832&lt;&gt;"",'Data Source'!S832="F"),'Data Source'!R832,"")</f>
        <v/>
      </c>
      <c r="Q832" s="3">
        <f>IF(AND('Data Source'!B832&lt;&gt;"",'Data Source'!S832="F"),'Data Source'!S832,"")</f>
        <v/>
      </c>
    </row>
    <row r="833">
      <c r="A833" s="3">
        <f>IF(AND('Data Source'!B833&lt;&gt;"",'Data Source'!S833="F"),COUNTIF('Data Source'!$S$3:S833,"F"),"")</f>
        <v/>
      </c>
      <c r="B833">
        <f>IF(AND('Data Source'!B833&lt;&gt;"",'Data Source'!S833="F"),'Data Source'!B833,"")</f>
        <v/>
      </c>
      <c r="C833" s="3">
        <f>IF(AND('Data Source'!B833&lt;&gt;"",'Data Source'!S833="F"),IF('Data Source'!U833&gt;=5,"A+",IF('Data Source'!U833&gt;=4,"A",IF('Data Source'!U833&gt;=3.5,"A-",IF('Data Source'!U833&gt;=3,"B",IF('Data Source'!U833&gt;=2,"C",IF('Data Source'!U833&gt;=1,"D","F")))))),"")</f>
        <v/>
      </c>
      <c r="D833" s="3">
        <f>IF(AND('Data Source'!B833&lt;&gt;"",'Data Source'!S833="F"),IF('Data Source'!V833&gt;=5,"A+",IF('Data Source'!V833&gt;=4,"A",IF('Data Source'!V833&gt;=3.5,"A-",IF('Data Source'!V833&gt;=3,"B",IF('Data Source'!V833&gt;=2,"C",IF('Data Source'!V833&gt;=1,"D","F")))))),"")</f>
        <v/>
      </c>
      <c r="E833" s="3">
        <f>IF(AND('Data Source'!B833&lt;&gt;"",'Data Source'!S833="F"),IF('Data Source'!W833&gt;=5,"A+",IF('Data Source'!W833&gt;=4,"A",IF('Data Source'!W833&gt;=3.5,"A-",IF('Data Source'!W833&gt;=3,"B",IF('Data Source'!W833&gt;=2,"C",IF('Data Source'!W833&gt;=1,"D","F")))))),"")</f>
        <v/>
      </c>
      <c r="F833" s="3">
        <f>IF(AND('Data Source'!B833&lt;&gt;"",'Data Source'!S833="F"),IF('Data Source'!X833&gt;=5,"A+",IF('Data Source'!X833&gt;=4,"A",IF('Data Source'!X833&gt;=3.5,"A-",IF('Data Source'!X833&gt;=3,"B",IF('Data Source'!X833&gt;=2,"C",IF('Data Source'!X833&gt;=1,"D","F")))))),"")</f>
        <v/>
      </c>
      <c r="G833" s="3">
        <f>IF(AND('Data Source'!B833&lt;&gt;"",'Data Source'!S833="F"),IF('Data Source'!Y833&gt;=5,"A+",IF('Data Source'!Y833&gt;=4,"A",IF('Data Source'!Y833&gt;=3.5,"A-",IF('Data Source'!Y833&gt;=3,"B",IF('Data Source'!Y833&gt;=2,"C",IF('Data Source'!Y833&gt;=1,"D","F")))))),"")</f>
        <v/>
      </c>
      <c r="H833" s="3">
        <f>IF(AND('Data Source'!B833&lt;&gt;"",'Data Source'!S833="F"),IF('Data Source'!Z833&gt;=5,"A+",IF('Data Source'!Z833&gt;=4,"A",IF('Data Source'!Z833&gt;=3.5,"A-",IF('Data Source'!Z833&gt;=3,"B",IF('Data Source'!Z833&gt;=2,"C",IF('Data Source'!Z833&gt;=1,"D","F")))))),"")</f>
        <v/>
      </c>
      <c r="I833" s="3">
        <f>IF(AND('Data Source'!B833&lt;&gt;"",'Data Source'!S833="F"),IF('Data Source'!AA833&gt;=5,"A+",IF('Data Source'!AA833&gt;=4,"A",IF('Data Source'!AA833&gt;=3.5,"A-",IF('Data Source'!AA833&gt;=3,"B",IF('Data Source'!AA833&gt;=2,"C",IF('Data Source'!AA833&gt;=1,"D","F")))))),"")</f>
        <v/>
      </c>
      <c r="J833" s="3">
        <f>IF(AND('Data Source'!B833&lt;&gt;"",'Data Source'!S833="F"),IF('Data Source'!AB833&gt;=5,"A+",IF('Data Source'!AB833&gt;=4,"A",IF('Data Source'!AB833&gt;=3.5,"A-",IF('Data Source'!AB833&gt;=3,"B",IF('Data Source'!AB833&gt;=2,"C",IF('Data Source'!AB833&gt;=1,"D","F")))))),"")</f>
        <v/>
      </c>
      <c r="K833" s="3">
        <f>IF(AND('Data Source'!B833&lt;&gt;"",'Data Source'!S833="F"),IF('Data Source'!AC833&gt;=5,"A+",IF('Data Source'!AC833&gt;=4,"A",IF('Data Source'!AC833&gt;=3.5,"A-",IF('Data Source'!AC833&gt;=3,"B",IF('Data Source'!AC833&gt;=2,"C",IF('Data Source'!AC833&gt;=1,"D","F")))))),"")</f>
        <v/>
      </c>
      <c r="L833" s="3">
        <f>IF(AND('Data Source'!B833&lt;&gt;"",'Data Source'!S833="F"),IF('Data Source'!AD833&gt;=5,"A+",IF('Data Source'!AD833&gt;=4,"A",IF('Data Source'!AD833&gt;=3.5,"A-",IF('Data Source'!AD833&gt;=3,"B",IF('Data Source'!AD833&gt;=2,"C",IF('Data Source'!AD833&gt;=1,"D","F")))))),"")</f>
        <v/>
      </c>
      <c r="M833" s="3">
        <f>IF(AND('Data Source'!B833&lt;&gt;"",'Data Source'!S833="F"),IF('Data Source'!AE833&gt;=5,"A+",IF('Data Source'!AE833&gt;=4,"A",IF('Data Source'!AE833&gt;=3.5,"A-",IF('Data Source'!AE833&gt;=3,"B",IF('Data Source'!AE833&gt;=2,"C",IF('Data Source'!AE833&gt;=1,"D","F")))))),"")</f>
        <v/>
      </c>
      <c r="N833" s="3">
        <f>IF(AND('Data Source'!B833&lt;&gt;"",'Data Source'!S833="F"),IF('Data Source'!AF833&gt;=5,"A+",IF('Data Source'!AF833&gt;=4,"A",IF('Data Source'!AF833&gt;=3.5,"A-",IF('Data Source'!AF833&gt;=3,"B",IF('Data Source'!AF833&gt;=2,"C",IF('Data Source'!AF833&gt;=1,"D","F")))))),"")</f>
        <v/>
      </c>
      <c r="O833" s="3">
        <f>IF(AND('Data Source'!B833&lt;&gt;"",'Data Source'!S833="F"),IF('Data Source'!AG833&gt;=5,"A+",IF('Data Source'!AG833&gt;=4,"A",IF('Data Source'!AG833&gt;=3.5,"A-",IF('Data Source'!AG833&gt;=3,"B",IF('Data Source'!AG833&gt;=2,"C",IF('Data Source'!AG833&gt;=1,"D","F")))))),"")</f>
        <v/>
      </c>
      <c r="P833" s="5">
        <f>IF(AND('Data Source'!B833&lt;&gt;"",'Data Source'!S833="F"),'Data Source'!R833,"")</f>
        <v/>
      </c>
      <c r="Q833" s="3">
        <f>IF(AND('Data Source'!B833&lt;&gt;"",'Data Source'!S833="F"),'Data Source'!S833,"")</f>
        <v/>
      </c>
    </row>
    <row r="834">
      <c r="A834" s="3">
        <f>IF(AND('Data Source'!B834&lt;&gt;"",'Data Source'!S834="F"),COUNTIF('Data Source'!$S$3:S834,"F"),"")</f>
        <v/>
      </c>
      <c r="B834">
        <f>IF(AND('Data Source'!B834&lt;&gt;"",'Data Source'!S834="F"),'Data Source'!B834,"")</f>
        <v/>
      </c>
      <c r="C834" s="3">
        <f>IF(AND('Data Source'!B834&lt;&gt;"",'Data Source'!S834="F"),IF('Data Source'!U834&gt;=5,"A+",IF('Data Source'!U834&gt;=4,"A",IF('Data Source'!U834&gt;=3.5,"A-",IF('Data Source'!U834&gt;=3,"B",IF('Data Source'!U834&gt;=2,"C",IF('Data Source'!U834&gt;=1,"D","F")))))),"")</f>
        <v/>
      </c>
      <c r="D834" s="3">
        <f>IF(AND('Data Source'!B834&lt;&gt;"",'Data Source'!S834="F"),IF('Data Source'!V834&gt;=5,"A+",IF('Data Source'!V834&gt;=4,"A",IF('Data Source'!V834&gt;=3.5,"A-",IF('Data Source'!V834&gt;=3,"B",IF('Data Source'!V834&gt;=2,"C",IF('Data Source'!V834&gt;=1,"D","F")))))),"")</f>
        <v/>
      </c>
      <c r="E834" s="3">
        <f>IF(AND('Data Source'!B834&lt;&gt;"",'Data Source'!S834="F"),IF('Data Source'!W834&gt;=5,"A+",IF('Data Source'!W834&gt;=4,"A",IF('Data Source'!W834&gt;=3.5,"A-",IF('Data Source'!W834&gt;=3,"B",IF('Data Source'!W834&gt;=2,"C",IF('Data Source'!W834&gt;=1,"D","F")))))),"")</f>
        <v/>
      </c>
      <c r="F834" s="3">
        <f>IF(AND('Data Source'!B834&lt;&gt;"",'Data Source'!S834="F"),IF('Data Source'!X834&gt;=5,"A+",IF('Data Source'!X834&gt;=4,"A",IF('Data Source'!X834&gt;=3.5,"A-",IF('Data Source'!X834&gt;=3,"B",IF('Data Source'!X834&gt;=2,"C",IF('Data Source'!X834&gt;=1,"D","F")))))),"")</f>
        <v/>
      </c>
      <c r="G834" s="3">
        <f>IF(AND('Data Source'!B834&lt;&gt;"",'Data Source'!S834="F"),IF('Data Source'!Y834&gt;=5,"A+",IF('Data Source'!Y834&gt;=4,"A",IF('Data Source'!Y834&gt;=3.5,"A-",IF('Data Source'!Y834&gt;=3,"B",IF('Data Source'!Y834&gt;=2,"C",IF('Data Source'!Y834&gt;=1,"D","F")))))),"")</f>
        <v/>
      </c>
      <c r="H834" s="3">
        <f>IF(AND('Data Source'!B834&lt;&gt;"",'Data Source'!S834="F"),IF('Data Source'!Z834&gt;=5,"A+",IF('Data Source'!Z834&gt;=4,"A",IF('Data Source'!Z834&gt;=3.5,"A-",IF('Data Source'!Z834&gt;=3,"B",IF('Data Source'!Z834&gt;=2,"C",IF('Data Source'!Z834&gt;=1,"D","F")))))),"")</f>
        <v/>
      </c>
      <c r="I834" s="3">
        <f>IF(AND('Data Source'!B834&lt;&gt;"",'Data Source'!S834="F"),IF('Data Source'!AA834&gt;=5,"A+",IF('Data Source'!AA834&gt;=4,"A",IF('Data Source'!AA834&gt;=3.5,"A-",IF('Data Source'!AA834&gt;=3,"B",IF('Data Source'!AA834&gt;=2,"C",IF('Data Source'!AA834&gt;=1,"D","F")))))),"")</f>
        <v/>
      </c>
      <c r="J834" s="3">
        <f>IF(AND('Data Source'!B834&lt;&gt;"",'Data Source'!S834="F"),IF('Data Source'!AB834&gt;=5,"A+",IF('Data Source'!AB834&gt;=4,"A",IF('Data Source'!AB834&gt;=3.5,"A-",IF('Data Source'!AB834&gt;=3,"B",IF('Data Source'!AB834&gt;=2,"C",IF('Data Source'!AB834&gt;=1,"D","F")))))),"")</f>
        <v/>
      </c>
      <c r="K834" s="3">
        <f>IF(AND('Data Source'!B834&lt;&gt;"",'Data Source'!S834="F"),IF('Data Source'!AC834&gt;=5,"A+",IF('Data Source'!AC834&gt;=4,"A",IF('Data Source'!AC834&gt;=3.5,"A-",IF('Data Source'!AC834&gt;=3,"B",IF('Data Source'!AC834&gt;=2,"C",IF('Data Source'!AC834&gt;=1,"D","F")))))),"")</f>
        <v/>
      </c>
      <c r="L834" s="3">
        <f>IF(AND('Data Source'!B834&lt;&gt;"",'Data Source'!S834="F"),IF('Data Source'!AD834&gt;=5,"A+",IF('Data Source'!AD834&gt;=4,"A",IF('Data Source'!AD834&gt;=3.5,"A-",IF('Data Source'!AD834&gt;=3,"B",IF('Data Source'!AD834&gt;=2,"C",IF('Data Source'!AD834&gt;=1,"D","F")))))),"")</f>
        <v/>
      </c>
      <c r="M834" s="3">
        <f>IF(AND('Data Source'!B834&lt;&gt;"",'Data Source'!S834="F"),IF('Data Source'!AE834&gt;=5,"A+",IF('Data Source'!AE834&gt;=4,"A",IF('Data Source'!AE834&gt;=3.5,"A-",IF('Data Source'!AE834&gt;=3,"B",IF('Data Source'!AE834&gt;=2,"C",IF('Data Source'!AE834&gt;=1,"D","F")))))),"")</f>
        <v/>
      </c>
      <c r="N834" s="3">
        <f>IF(AND('Data Source'!B834&lt;&gt;"",'Data Source'!S834="F"),IF('Data Source'!AF834&gt;=5,"A+",IF('Data Source'!AF834&gt;=4,"A",IF('Data Source'!AF834&gt;=3.5,"A-",IF('Data Source'!AF834&gt;=3,"B",IF('Data Source'!AF834&gt;=2,"C",IF('Data Source'!AF834&gt;=1,"D","F")))))),"")</f>
        <v/>
      </c>
      <c r="O834" s="3">
        <f>IF(AND('Data Source'!B834&lt;&gt;"",'Data Source'!S834="F"),IF('Data Source'!AG834&gt;=5,"A+",IF('Data Source'!AG834&gt;=4,"A",IF('Data Source'!AG834&gt;=3.5,"A-",IF('Data Source'!AG834&gt;=3,"B",IF('Data Source'!AG834&gt;=2,"C",IF('Data Source'!AG834&gt;=1,"D","F")))))),"")</f>
        <v/>
      </c>
      <c r="P834" s="5">
        <f>IF(AND('Data Source'!B834&lt;&gt;"",'Data Source'!S834="F"),'Data Source'!R834,"")</f>
        <v/>
      </c>
      <c r="Q834" s="3">
        <f>IF(AND('Data Source'!B834&lt;&gt;"",'Data Source'!S834="F"),'Data Source'!S834,"")</f>
        <v/>
      </c>
    </row>
    <row r="835">
      <c r="A835" s="3">
        <f>IF(AND('Data Source'!B835&lt;&gt;"",'Data Source'!S835="F"),COUNTIF('Data Source'!$S$3:S835,"F"),"")</f>
        <v/>
      </c>
      <c r="B835">
        <f>IF(AND('Data Source'!B835&lt;&gt;"",'Data Source'!S835="F"),'Data Source'!B835,"")</f>
        <v/>
      </c>
      <c r="C835" s="3">
        <f>IF(AND('Data Source'!B835&lt;&gt;"",'Data Source'!S835="F"),IF('Data Source'!U835&gt;=5,"A+",IF('Data Source'!U835&gt;=4,"A",IF('Data Source'!U835&gt;=3.5,"A-",IF('Data Source'!U835&gt;=3,"B",IF('Data Source'!U835&gt;=2,"C",IF('Data Source'!U835&gt;=1,"D","F")))))),"")</f>
        <v/>
      </c>
      <c r="D835" s="3">
        <f>IF(AND('Data Source'!B835&lt;&gt;"",'Data Source'!S835="F"),IF('Data Source'!V835&gt;=5,"A+",IF('Data Source'!V835&gt;=4,"A",IF('Data Source'!V835&gt;=3.5,"A-",IF('Data Source'!V835&gt;=3,"B",IF('Data Source'!V835&gt;=2,"C",IF('Data Source'!V835&gt;=1,"D","F")))))),"")</f>
        <v/>
      </c>
      <c r="E835" s="3">
        <f>IF(AND('Data Source'!B835&lt;&gt;"",'Data Source'!S835="F"),IF('Data Source'!W835&gt;=5,"A+",IF('Data Source'!W835&gt;=4,"A",IF('Data Source'!W835&gt;=3.5,"A-",IF('Data Source'!W835&gt;=3,"B",IF('Data Source'!W835&gt;=2,"C",IF('Data Source'!W835&gt;=1,"D","F")))))),"")</f>
        <v/>
      </c>
      <c r="F835" s="3">
        <f>IF(AND('Data Source'!B835&lt;&gt;"",'Data Source'!S835="F"),IF('Data Source'!X835&gt;=5,"A+",IF('Data Source'!X835&gt;=4,"A",IF('Data Source'!X835&gt;=3.5,"A-",IF('Data Source'!X835&gt;=3,"B",IF('Data Source'!X835&gt;=2,"C",IF('Data Source'!X835&gt;=1,"D","F")))))),"")</f>
        <v/>
      </c>
      <c r="G835" s="3">
        <f>IF(AND('Data Source'!B835&lt;&gt;"",'Data Source'!S835="F"),IF('Data Source'!Y835&gt;=5,"A+",IF('Data Source'!Y835&gt;=4,"A",IF('Data Source'!Y835&gt;=3.5,"A-",IF('Data Source'!Y835&gt;=3,"B",IF('Data Source'!Y835&gt;=2,"C",IF('Data Source'!Y835&gt;=1,"D","F")))))),"")</f>
        <v/>
      </c>
      <c r="H835" s="3">
        <f>IF(AND('Data Source'!B835&lt;&gt;"",'Data Source'!S835="F"),IF('Data Source'!Z835&gt;=5,"A+",IF('Data Source'!Z835&gt;=4,"A",IF('Data Source'!Z835&gt;=3.5,"A-",IF('Data Source'!Z835&gt;=3,"B",IF('Data Source'!Z835&gt;=2,"C",IF('Data Source'!Z835&gt;=1,"D","F")))))),"")</f>
        <v/>
      </c>
      <c r="I835" s="3">
        <f>IF(AND('Data Source'!B835&lt;&gt;"",'Data Source'!S835="F"),IF('Data Source'!AA835&gt;=5,"A+",IF('Data Source'!AA835&gt;=4,"A",IF('Data Source'!AA835&gt;=3.5,"A-",IF('Data Source'!AA835&gt;=3,"B",IF('Data Source'!AA835&gt;=2,"C",IF('Data Source'!AA835&gt;=1,"D","F")))))),"")</f>
        <v/>
      </c>
      <c r="J835" s="3">
        <f>IF(AND('Data Source'!B835&lt;&gt;"",'Data Source'!S835="F"),IF('Data Source'!AB835&gt;=5,"A+",IF('Data Source'!AB835&gt;=4,"A",IF('Data Source'!AB835&gt;=3.5,"A-",IF('Data Source'!AB835&gt;=3,"B",IF('Data Source'!AB835&gt;=2,"C",IF('Data Source'!AB835&gt;=1,"D","F")))))),"")</f>
        <v/>
      </c>
      <c r="K835" s="3">
        <f>IF(AND('Data Source'!B835&lt;&gt;"",'Data Source'!S835="F"),IF('Data Source'!AC835&gt;=5,"A+",IF('Data Source'!AC835&gt;=4,"A",IF('Data Source'!AC835&gt;=3.5,"A-",IF('Data Source'!AC835&gt;=3,"B",IF('Data Source'!AC835&gt;=2,"C",IF('Data Source'!AC835&gt;=1,"D","F")))))),"")</f>
        <v/>
      </c>
      <c r="L835" s="3">
        <f>IF(AND('Data Source'!B835&lt;&gt;"",'Data Source'!S835="F"),IF('Data Source'!AD835&gt;=5,"A+",IF('Data Source'!AD835&gt;=4,"A",IF('Data Source'!AD835&gt;=3.5,"A-",IF('Data Source'!AD835&gt;=3,"B",IF('Data Source'!AD835&gt;=2,"C",IF('Data Source'!AD835&gt;=1,"D","F")))))),"")</f>
        <v/>
      </c>
      <c r="M835" s="3">
        <f>IF(AND('Data Source'!B835&lt;&gt;"",'Data Source'!S835="F"),IF('Data Source'!AE835&gt;=5,"A+",IF('Data Source'!AE835&gt;=4,"A",IF('Data Source'!AE835&gt;=3.5,"A-",IF('Data Source'!AE835&gt;=3,"B",IF('Data Source'!AE835&gt;=2,"C",IF('Data Source'!AE835&gt;=1,"D","F")))))),"")</f>
        <v/>
      </c>
      <c r="N835" s="3">
        <f>IF(AND('Data Source'!B835&lt;&gt;"",'Data Source'!S835="F"),IF('Data Source'!AF835&gt;=5,"A+",IF('Data Source'!AF835&gt;=4,"A",IF('Data Source'!AF835&gt;=3.5,"A-",IF('Data Source'!AF835&gt;=3,"B",IF('Data Source'!AF835&gt;=2,"C",IF('Data Source'!AF835&gt;=1,"D","F")))))),"")</f>
        <v/>
      </c>
      <c r="O835" s="3">
        <f>IF(AND('Data Source'!B835&lt;&gt;"",'Data Source'!S835="F"),IF('Data Source'!AG835&gt;=5,"A+",IF('Data Source'!AG835&gt;=4,"A",IF('Data Source'!AG835&gt;=3.5,"A-",IF('Data Source'!AG835&gt;=3,"B",IF('Data Source'!AG835&gt;=2,"C",IF('Data Source'!AG835&gt;=1,"D","F")))))),"")</f>
        <v/>
      </c>
      <c r="P835" s="5">
        <f>IF(AND('Data Source'!B835&lt;&gt;"",'Data Source'!S835="F"),'Data Source'!R835,"")</f>
        <v/>
      </c>
      <c r="Q835" s="3">
        <f>IF(AND('Data Source'!B835&lt;&gt;"",'Data Source'!S835="F"),'Data Source'!S835,"")</f>
        <v/>
      </c>
    </row>
    <row r="836">
      <c r="A836" s="3">
        <f>IF(AND('Data Source'!B836&lt;&gt;"",'Data Source'!S836="F"),COUNTIF('Data Source'!$S$3:S836,"F"),"")</f>
        <v/>
      </c>
      <c r="B836">
        <f>IF(AND('Data Source'!B836&lt;&gt;"",'Data Source'!S836="F"),'Data Source'!B836,"")</f>
        <v/>
      </c>
      <c r="C836" s="3">
        <f>IF(AND('Data Source'!B836&lt;&gt;"",'Data Source'!S836="F"),IF('Data Source'!U836&gt;=5,"A+",IF('Data Source'!U836&gt;=4,"A",IF('Data Source'!U836&gt;=3.5,"A-",IF('Data Source'!U836&gt;=3,"B",IF('Data Source'!U836&gt;=2,"C",IF('Data Source'!U836&gt;=1,"D","F")))))),"")</f>
        <v/>
      </c>
      <c r="D836" s="3">
        <f>IF(AND('Data Source'!B836&lt;&gt;"",'Data Source'!S836="F"),IF('Data Source'!V836&gt;=5,"A+",IF('Data Source'!V836&gt;=4,"A",IF('Data Source'!V836&gt;=3.5,"A-",IF('Data Source'!V836&gt;=3,"B",IF('Data Source'!V836&gt;=2,"C",IF('Data Source'!V836&gt;=1,"D","F")))))),"")</f>
        <v/>
      </c>
      <c r="E836" s="3">
        <f>IF(AND('Data Source'!B836&lt;&gt;"",'Data Source'!S836="F"),IF('Data Source'!W836&gt;=5,"A+",IF('Data Source'!W836&gt;=4,"A",IF('Data Source'!W836&gt;=3.5,"A-",IF('Data Source'!W836&gt;=3,"B",IF('Data Source'!W836&gt;=2,"C",IF('Data Source'!W836&gt;=1,"D","F")))))),"")</f>
        <v/>
      </c>
      <c r="F836" s="3">
        <f>IF(AND('Data Source'!B836&lt;&gt;"",'Data Source'!S836="F"),IF('Data Source'!X836&gt;=5,"A+",IF('Data Source'!X836&gt;=4,"A",IF('Data Source'!X836&gt;=3.5,"A-",IF('Data Source'!X836&gt;=3,"B",IF('Data Source'!X836&gt;=2,"C",IF('Data Source'!X836&gt;=1,"D","F")))))),"")</f>
        <v/>
      </c>
      <c r="G836" s="3">
        <f>IF(AND('Data Source'!B836&lt;&gt;"",'Data Source'!S836="F"),IF('Data Source'!Y836&gt;=5,"A+",IF('Data Source'!Y836&gt;=4,"A",IF('Data Source'!Y836&gt;=3.5,"A-",IF('Data Source'!Y836&gt;=3,"B",IF('Data Source'!Y836&gt;=2,"C",IF('Data Source'!Y836&gt;=1,"D","F")))))),"")</f>
        <v/>
      </c>
      <c r="H836" s="3">
        <f>IF(AND('Data Source'!B836&lt;&gt;"",'Data Source'!S836="F"),IF('Data Source'!Z836&gt;=5,"A+",IF('Data Source'!Z836&gt;=4,"A",IF('Data Source'!Z836&gt;=3.5,"A-",IF('Data Source'!Z836&gt;=3,"B",IF('Data Source'!Z836&gt;=2,"C",IF('Data Source'!Z836&gt;=1,"D","F")))))),"")</f>
        <v/>
      </c>
      <c r="I836" s="3">
        <f>IF(AND('Data Source'!B836&lt;&gt;"",'Data Source'!S836="F"),IF('Data Source'!AA836&gt;=5,"A+",IF('Data Source'!AA836&gt;=4,"A",IF('Data Source'!AA836&gt;=3.5,"A-",IF('Data Source'!AA836&gt;=3,"B",IF('Data Source'!AA836&gt;=2,"C",IF('Data Source'!AA836&gt;=1,"D","F")))))),"")</f>
        <v/>
      </c>
      <c r="J836" s="3">
        <f>IF(AND('Data Source'!B836&lt;&gt;"",'Data Source'!S836="F"),IF('Data Source'!AB836&gt;=5,"A+",IF('Data Source'!AB836&gt;=4,"A",IF('Data Source'!AB836&gt;=3.5,"A-",IF('Data Source'!AB836&gt;=3,"B",IF('Data Source'!AB836&gt;=2,"C",IF('Data Source'!AB836&gt;=1,"D","F")))))),"")</f>
        <v/>
      </c>
      <c r="K836" s="3">
        <f>IF(AND('Data Source'!B836&lt;&gt;"",'Data Source'!S836="F"),IF('Data Source'!AC836&gt;=5,"A+",IF('Data Source'!AC836&gt;=4,"A",IF('Data Source'!AC836&gt;=3.5,"A-",IF('Data Source'!AC836&gt;=3,"B",IF('Data Source'!AC836&gt;=2,"C",IF('Data Source'!AC836&gt;=1,"D","F")))))),"")</f>
        <v/>
      </c>
      <c r="L836" s="3">
        <f>IF(AND('Data Source'!B836&lt;&gt;"",'Data Source'!S836="F"),IF('Data Source'!AD836&gt;=5,"A+",IF('Data Source'!AD836&gt;=4,"A",IF('Data Source'!AD836&gt;=3.5,"A-",IF('Data Source'!AD836&gt;=3,"B",IF('Data Source'!AD836&gt;=2,"C",IF('Data Source'!AD836&gt;=1,"D","F")))))),"")</f>
        <v/>
      </c>
      <c r="M836" s="3">
        <f>IF(AND('Data Source'!B836&lt;&gt;"",'Data Source'!S836="F"),IF('Data Source'!AE836&gt;=5,"A+",IF('Data Source'!AE836&gt;=4,"A",IF('Data Source'!AE836&gt;=3.5,"A-",IF('Data Source'!AE836&gt;=3,"B",IF('Data Source'!AE836&gt;=2,"C",IF('Data Source'!AE836&gt;=1,"D","F")))))),"")</f>
        <v/>
      </c>
      <c r="N836" s="3">
        <f>IF(AND('Data Source'!B836&lt;&gt;"",'Data Source'!S836="F"),IF('Data Source'!AF836&gt;=5,"A+",IF('Data Source'!AF836&gt;=4,"A",IF('Data Source'!AF836&gt;=3.5,"A-",IF('Data Source'!AF836&gt;=3,"B",IF('Data Source'!AF836&gt;=2,"C",IF('Data Source'!AF836&gt;=1,"D","F")))))),"")</f>
        <v/>
      </c>
      <c r="O836" s="3">
        <f>IF(AND('Data Source'!B836&lt;&gt;"",'Data Source'!S836="F"),IF('Data Source'!AG836&gt;=5,"A+",IF('Data Source'!AG836&gt;=4,"A",IF('Data Source'!AG836&gt;=3.5,"A-",IF('Data Source'!AG836&gt;=3,"B",IF('Data Source'!AG836&gt;=2,"C",IF('Data Source'!AG836&gt;=1,"D","F")))))),"")</f>
        <v/>
      </c>
      <c r="P836" s="5">
        <f>IF(AND('Data Source'!B836&lt;&gt;"",'Data Source'!S836="F"),'Data Source'!R836,"")</f>
        <v/>
      </c>
      <c r="Q836" s="3">
        <f>IF(AND('Data Source'!B836&lt;&gt;"",'Data Source'!S836="F"),'Data Source'!S836,"")</f>
        <v/>
      </c>
    </row>
    <row r="837">
      <c r="A837" s="3">
        <f>IF(AND('Data Source'!B837&lt;&gt;"",'Data Source'!S837="F"),COUNTIF('Data Source'!$S$3:S837,"F"),"")</f>
        <v/>
      </c>
      <c r="B837">
        <f>IF(AND('Data Source'!B837&lt;&gt;"",'Data Source'!S837="F"),'Data Source'!B837,"")</f>
        <v/>
      </c>
      <c r="C837" s="3">
        <f>IF(AND('Data Source'!B837&lt;&gt;"",'Data Source'!S837="F"),IF('Data Source'!U837&gt;=5,"A+",IF('Data Source'!U837&gt;=4,"A",IF('Data Source'!U837&gt;=3.5,"A-",IF('Data Source'!U837&gt;=3,"B",IF('Data Source'!U837&gt;=2,"C",IF('Data Source'!U837&gt;=1,"D","F")))))),"")</f>
        <v/>
      </c>
      <c r="D837" s="3">
        <f>IF(AND('Data Source'!B837&lt;&gt;"",'Data Source'!S837="F"),IF('Data Source'!V837&gt;=5,"A+",IF('Data Source'!V837&gt;=4,"A",IF('Data Source'!V837&gt;=3.5,"A-",IF('Data Source'!V837&gt;=3,"B",IF('Data Source'!V837&gt;=2,"C",IF('Data Source'!V837&gt;=1,"D","F")))))),"")</f>
        <v/>
      </c>
      <c r="E837" s="3">
        <f>IF(AND('Data Source'!B837&lt;&gt;"",'Data Source'!S837="F"),IF('Data Source'!W837&gt;=5,"A+",IF('Data Source'!W837&gt;=4,"A",IF('Data Source'!W837&gt;=3.5,"A-",IF('Data Source'!W837&gt;=3,"B",IF('Data Source'!W837&gt;=2,"C",IF('Data Source'!W837&gt;=1,"D","F")))))),"")</f>
        <v/>
      </c>
      <c r="F837" s="3">
        <f>IF(AND('Data Source'!B837&lt;&gt;"",'Data Source'!S837="F"),IF('Data Source'!X837&gt;=5,"A+",IF('Data Source'!X837&gt;=4,"A",IF('Data Source'!X837&gt;=3.5,"A-",IF('Data Source'!X837&gt;=3,"B",IF('Data Source'!X837&gt;=2,"C",IF('Data Source'!X837&gt;=1,"D","F")))))),"")</f>
        <v/>
      </c>
      <c r="G837" s="3">
        <f>IF(AND('Data Source'!B837&lt;&gt;"",'Data Source'!S837="F"),IF('Data Source'!Y837&gt;=5,"A+",IF('Data Source'!Y837&gt;=4,"A",IF('Data Source'!Y837&gt;=3.5,"A-",IF('Data Source'!Y837&gt;=3,"B",IF('Data Source'!Y837&gt;=2,"C",IF('Data Source'!Y837&gt;=1,"D","F")))))),"")</f>
        <v/>
      </c>
      <c r="H837" s="3">
        <f>IF(AND('Data Source'!B837&lt;&gt;"",'Data Source'!S837="F"),IF('Data Source'!Z837&gt;=5,"A+",IF('Data Source'!Z837&gt;=4,"A",IF('Data Source'!Z837&gt;=3.5,"A-",IF('Data Source'!Z837&gt;=3,"B",IF('Data Source'!Z837&gt;=2,"C",IF('Data Source'!Z837&gt;=1,"D","F")))))),"")</f>
        <v/>
      </c>
      <c r="I837" s="3">
        <f>IF(AND('Data Source'!B837&lt;&gt;"",'Data Source'!S837="F"),IF('Data Source'!AA837&gt;=5,"A+",IF('Data Source'!AA837&gt;=4,"A",IF('Data Source'!AA837&gt;=3.5,"A-",IF('Data Source'!AA837&gt;=3,"B",IF('Data Source'!AA837&gt;=2,"C",IF('Data Source'!AA837&gt;=1,"D","F")))))),"")</f>
        <v/>
      </c>
      <c r="J837" s="3">
        <f>IF(AND('Data Source'!B837&lt;&gt;"",'Data Source'!S837="F"),IF('Data Source'!AB837&gt;=5,"A+",IF('Data Source'!AB837&gt;=4,"A",IF('Data Source'!AB837&gt;=3.5,"A-",IF('Data Source'!AB837&gt;=3,"B",IF('Data Source'!AB837&gt;=2,"C",IF('Data Source'!AB837&gt;=1,"D","F")))))),"")</f>
        <v/>
      </c>
      <c r="K837" s="3">
        <f>IF(AND('Data Source'!B837&lt;&gt;"",'Data Source'!S837="F"),IF('Data Source'!AC837&gt;=5,"A+",IF('Data Source'!AC837&gt;=4,"A",IF('Data Source'!AC837&gt;=3.5,"A-",IF('Data Source'!AC837&gt;=3,"B",IF('Data Source'!AC837&gt;=2,"C",IF('Data Source'!AC837&gt;=1,"D","F")))))),"")</f>
        <v/>
      </c>
      <c r="L837" s="3">
        <f>IF(AND('Data Source'!B837&lt;&gt;"",'Data Source'!S837="F"),IF('Data Source'!AD837&gt;=5,"A+",IF('Data Source'!AD837&gt;=4,"A",IF('Data Source'!AD837&gt;=3.5,"A-",IF('Data Source'!AD837&gt;=3,"B",IF('Data Source'!AD837&gt;=2,"C",IF('Data Source'!AD837&gt;=1,"D","F")))))),"")</f>
        <v/>
      </c>
      <c r="M837" s="3">
        <f>IF(AND('Data Source'!B837&lt;&gt;"",'Data Source'!S837="F"),IF('Data Source'!AE837&gt;=5,"A+",IF('Data Source'!AE837&gt;=4,"A",IF('Data Source'!AE837&gt;=3.5,"A-",IF('Data Source'!AE837&gt;=3,"B",IF('Data Source'!AE837&gt;=2,"C",IF('Data Source'!AE837&gt;=1,"D","F")))))),"")</f>
        <v/>
      </c>
      <c r="N837" s="3">
        <f>IF(AND('Data Source'!B837&lt;&gt;"",'Data Source'!S837="F"),IF('Data Source'!AF837&gt;=5,"A+",IF('Data Source'!AF837&gt;=4,"A",IF('Data Source'!AF837&gt;=3.5,"A-",IF('Data Source'!AF837&gt;=3,"B",IF('Data Source'!AF837&gt;=2,"C",IF('Data Source'!AF837&gt;=1,"D","F")))))),"")</f>
        <v/>
      </c>
      <c r="O837" s="3">
        <f>IF(AND('Data Source'!B837&lt;&gt;"",'Data Source'!S837="F"),IF('Data Source'!AG837&gt;=5,"A+",IF('Data Source'!AG837&gt;=4,"A",IF('Data Source'!AG837&gt;=3.5,"A-",IF('Data Source'!AG837&gt;=3,"B",IF('Data Source'!AG837&gt;=2,"C",IF('Data Source'!AG837&gt;=1,"D","F")))))),"")</f>
        <v/>
      </c>
      <c r="P837" s="5">
        <f>IF(AND('Data Source'!B837&lt;&gt;"",'Data Source'!S837="F"),'Data Source'!R837,"")</f>
        <v/>
      </c>
      <c r="Q837" s="3">
        <f>IF(AND('Data Source'!B837&lt;&gt;"",'Data Source'!S837="F"),'Data Source'!S837,"")</f>
        <v/>
      </c>
    </row>
    <row r="838">
      <c r="A838" s="3">
        <f>IF(AND('Data Source'!B838&lt;&gt;"",'Data Source'!S838="F"),COUNTIF('Data Source'!$S$3:S838,"F"),"")</f>
        <v/>
      </c>
      <c r="B838">
        <f>IF(AND('Data Source'!B838&lt;&gt;"",'Data Source'!S838="F"),'Data Source'!B838,"")</f>
        <v/>
      </c>
      <c r="C838" s="3">
        <f>IF(AND('Data Source'!B838&lt;&gt;"",'Data Source'!S838="F"),IF('Data Source'!U838&gt;=5,"A+",IF('Data Source'!U838&gt;=4,"A",IF('Data Source'!U838&gt;=3.5,"A-",IF('Data Source'!U838&gt;=3,"B",IF('Data Source'!U838&gt;=2,"C",IF('Data Source'!U838&gt;=1,"D","F")))))),"")</f>
        <v/>
      </c>
      <c r="D838" s="3">
        <f>IF(AND('Data Source'!B838&lt;&gt;"",'Data Source'!S838="F"),IF('Data Source'!V838&gt;=5,"A+",IF('Data Source'!V838&gt;=4,"A",IF('Data Source'!V838&gt;=3.5,"A-",IF('Data Source'!V838&gt;=3,"B",IF('Data Source'!V838&gt;=2,"C",IF('Data Source'!V838&gt;=1,"D","F")))))),"")</f>
        <v/>
      </c>
      <c r="E838" s="3">
        <f>IF(AND('Data Source'!B838&lt;&gt;"",'Data Source'!S838="F"),IF('Data Source'!W838&gt;=5,"A+",IF('Data Source'!W838&gt;=4,"A",IF('Data Source'!W838&gt;=3.5,"A-",IF('Data Source'!W838&gt;=3,"B",IF('Data Source'!W838&gt;=2,"C",IF('Data Source'!W838&gt;=1,"D","F")))))),"")</f>
        <v/>
      </c>
      <c r="F838" s="3">
        <f>IF(AND('Data Source'!B838&lt;&gt;"",'Data Source'!S838="F"),IF('Data Source'!X838&gt;=5,"A+",IF('Data Source'!X838&gt;=4,"A",IF('Data Source'!X838&gt;=3.5,"A-",IF('Data Source'!X838&gt;=3,"B",IF('Data Source'!X838&gt;=2,"C",IF('Data Source'!X838&gt;=1,"D","F")))))),"")</f>
        <v/>
      </c>
      <c r="G838" s="3">
        <f>IF(AND('Data Source'!B838&lt;&gt;"",'Data Source'!S838="F"),IF('Data Source'!Y838&gt;=5,"A+",IF('Data Source'!Y838&gt;=4,"A",IF('Data Source'!Y838&gt;=3.5,"A-",IF('Data Source'!Y838&gt;=3,"B",IF('Data Source'!Y838&gt;=2,"C",IF('Data Source'!Y838&gt;=1,"D","F")))))),"")</f>
        <v/>
      </c>
      <c r="H838" s="3">
        <f>IF(AND('Data Source'!B838&lt;&gt;"",'Data Source'!S838="F"),IF('Data Source'!Z838&gt;=5,"A+",IF('Data Source'!Z838&gt;=4,"A",IF('Data Source'!Z838&gt;=3.5,"A-",IF('Data Source'!Z838&gt;=3,"B",IF('Data Source'!Z838&gt;=2,"C",IF('Data Source'!Z838&gt;=1,"D","F")))))),"")</f>
        <v/>
      </c>
      <c r="I838" s="3">
        <f>IF(AND('Data Source'!B838&lt;&gt;"",'Data Source'!S838="F"),IF('Data Source'!AA838&gt;=5,"A+",IF('Data Source'!AA838&gt;=4,"A",IF('Data Source'!AA838&gt;=3.5,"A-",IF('Data Source'!AA838&gt;=3,"B",IF('Data Source'!AA838&gt;=2,"C",IF('Data Source'!AA838&gt;=1,"D","F")))))),"")</f>
        <v/>
      </c>
      <c r="J838" s="3">
        <f>IF(AND('Data Source'!B838&lt;&gt;"",'Data Source'!S838="F"),IF('Data Source'!AB838&gt;=5,"A+",IF('Data Source'!AB838&gt;=4,"A",IF('Data Source'!AB838&gt;=3.5,"A-",IF('Data Source'!AB838&gt;=3,"B",IF('Data Source'!AB838&gt;=2,"C",IF('Data Source'!AB838&gt;=1,"D","F")))))),"")</f>
        <v/>
      </c>
      <c r="K838" s="3">
        <f>IF(AND('Data Source'!B838&lt;&gt;"",'Data Source'!S838="F"),IF('Data Source'!AC838&gt;=5,"A+",IF('Data Source'!AC838&gt;=4,"A",IF('Data Source'!AC838&gt;=3.5,"A-",IF('Data Source'!AC838&gt;=3,"B",IF('Data Source'!AC838&gt;=2,"C",IF('Data Source'!AC838&gt;=1,"D","F")))))),"")</f>
        <v/>
      </c>
      <c r="L838" s="3">
        <f>IF(AND('Data Source'!B838&lt;&gt;"",'Data Source'!S838="F"),IF('Data Source'!AD838&gt;=5,"A+",IF('Data Source'!AD838&gt;=4,"A",IF('Data Source'!AD838&gt;=3.5,"A-",IF('Data Source'!AD838&gt;=3,"B",IF('Data Source'!AD838&gt;=2,"C",IF('Data Source'!AD838&gt;=1,"D","F")))))),"")</f>
        <v/>
      </c>
      <c r="M838" s="3">
        <f>IF(AND('Data Source'!B838&lt;&gt;"",'Data Source'!S838="F"),IF('Data Source'!AE838&gt;=5,"A+",IF('Data Source'!AE838&gt;=4,"A",IF('Data Source'!AE838&gt;=3.5,"A-",IF('Data Source'!AE838&gt;=3,"B",IF('Data Source'!AE838&gt;=2,"C",IF('Data Source'!AE838&gt;=1,"D","F")))))),"")</f>
        <v/>
      </c>
      <c r="N838" s="3">
        <f>IF(AND('Data Source'!B838&lt;&gt;"",'Data Source'!S838="F"),IF('Data Source'!AF838&gt;=5,"A+",IF('Data Source'!AF838&gt;=4,"A",IF('Data Source'!AF838&gt;=3.5,"A-",IF('Data Source'!AF838&gt;=3,"B",IF('Data Source'!AF838&gt;=2,"C",IF('Data Source'!AF838&gt;=1,"D","F")))))),"")</f>
        <v/>
      </c>
      <c r="O838" s="3">
        <f>IF(AND('Data Source'!B838&lt;&gt;"",'Data Source'!S838="F"),IF('Data Source'!AG838&gt;=5,"A+",IF('Data Source'!AG838&gt;=4,"A",IF('Data Source'!AG838&gt;=3.5,"A-",IF('Data Source'!AG838&gt;=3,"B",IF('Data Source'!AG838&gt;=2,"C",IF('Data Source'!AG838&gt;=1,"D","F")))))),"")</f>
        <v/>
      </c>
      <c r="P838" s="5">
        <f>IF(AND('Data Source'!B838&lt;&gt;"",'Data Source'!S838="F"),'Data Source'!R838,"")</f>
        <v/>
      </c>
      <c r="Q838" s="3">
        <f>IF(AND('Data Source'!B838&lt;&gt;"",'Data Source'!S838="F"),'Data Source'!S838,"")</f>
        <v/>
      </c>
    </row>
    <row r="839">
      <c r="A839" s="3">
        <f>IF(AND('Data Source'!B839&lt;&gt;"",'Data Source'!S839="F"),COUNTIF('Data Source'!$S$3:S839,"F"),"")</f>
        <v/>
      </c>
      <c r="B839">
        <f>IF(AND('Data Source'!B839&lt;&gt;"",'Data Source'!S839="F"),'Data Source'!B839,"")</f>
        <v/>
      </c>
      <c r="C839" s="3">
        <f>IF(AND('Data Source'!B839&lt;&gt;"",'Data Source'!S839="F"),IF('Data Source'!U839&gt;=5,"A+",IF('Data Source'!U839&gt;=4,"A",IF('Data Source'!U839&gt;=3.5,"A-",IF('Data Source'!U839&gt;=3,"B",IF('Data Source'!U839&gt;=2,"C",IF('Data Source'!U839&gt;=1,"D","F")))))),"")</f>
        <v/>
      </c>
      <c r="D839" s="3">
        <f>IF(AND('Data Source'!B839&lt;&gt;"",'Data Source'!S839="F"),IF('Data Source'!V839&gt;=5,"A+",IF('Data Source'!V839&gt;=4,"A",IF('Data Source'!V839&gt;=3.5,"A-",IF('Data Source'!V839&gt;=3,"B",IF('Data Source'!V839&gt;=2,"C",IF('Data Source'!V839&gt;=1,"D","F")))))),"")</f>
        <v/>
      </c>
      <c r="E839" s="3">
        <f>IF(AND('Data Source'!B839&lt;&gt;"",'Data Source'!S839="F"),IF('Data Source'!W839&gt;=5,"A+",IF('Data Source'!W839&gt;=4,"A",IF('Data Source'!W839&gt;=3.5,"A-",IF('Data Source'!W839&gt;=3,"B",IF('Data Source'!W839&gt;=2,"C",IF('Data Source'!W839&gt;=1,"D","F")))))),"")</f>
        <v/>
      </c>
      <c r="F839" s="3">
        <f>IF(AND('Data Source'!B839&lt;&gt;"",'Data Source'!S839="F"),IF('Data Source'!X839&gt;=5,"A+",IF('Data Source'!X839&gt;=4,"A",IF('Data Source'!X839&gt;=3.5,"A-",IF('Data Source'!X839&gt;=3,"B",IF('Data Source'!X839&gt;=2,"C",IF('Data Source'!X839&gt;=1,"D","F")))))),"")</f>
        <v/>
      </c>
      <c r="G839" s="3">
        <f>IF(AND('Data Source'!B839&lt;&gt;"",'Data Source'!S839="F"),IF('Data Source'!Y839&gt;=5,"A+",IF('Data Source'!Y839&gt;=4,"A",IF('Data Source'!Y839&gt;=3.5,"A-",IF('Data Source'!Y839&gt;=3,"B",IF('Data Source'!Y839&gt;=2,"C",IF('Data Source'!Y839&gt;=1,"D","F")))))),"")</f>
        <v/>
      </c>
      <c r="H839" s="3">
        <f>IF(AND('Data Source'!B839&lt;&gt;"",'Data Source'!S839="F"),IF('Data Source'!Z839&gt;=5,"A+",IF('Data Source'!Z839&gt;=4,"A",IF('Data Source'!Z839&gt;=3.5,"A-",IF('Data Source'!Z839&gt;=3,"B",IF('Data Source'!Z839&gt;=2,"C",IF('Data Source'!Z839&gt;=1,"D","F")))))),"")</f>
        <v/>
      </c>
      <c r="I839" s="3">
        <f>IF(AND('Data Source'!B839&lt;&gt;"",'Data Source'!S839="F"),IF('Data Source'!AA839&gt;=5,"A+",IF('Data Source'!AA839&gt;=4,"A",IF('Data Source'!AA839&gt;=3.5,"A-",IF('Data Source'!AA839&gt;=3,"B",IF('Data Source'!AA839&gt;=2,"C",IF('Data Source'!AA839&gt;=1,"D","F")))))),"")</f>
        <v/>
      </c>
      <c r="J839" s="3">
        <f>IF(AND('Data Source'!B839&lt;&gt;"",'Data Source'!S839="F"),IF('Data Source'!AB839&gt;=5,"A+",IF('Data Source'!AB839&gt;=4,"A",IF('Data Source'!AB839&gt;=3.5,"A-",IF('Data Source'!AB839&gt;=3,"B",IF('Data Source'!AB839&gt;=2,"C",IF('Data Source'!AB839&gt;=1,"D","F")))))),"")</f>
        <v/>
      </c>
      <c r="K839" s="3">
        <f>IF(AND('Data Source'!B839&lt;&gt;"",'Data Source'!S839="F"),IF('Data Source'!AC839&gt;=5,"A+",IF('Data Source'!AC839&gt;=4,"A",IF('Data Source'!AC839&gt;=3.5,"A-",IF('Data Source'!AC839&gt;=3,"B",IF('Data Source'!AC839&gt;=2,"C",IF('Data Source'!AC839&gt;=1,"D","F")))))),"")</f>
        <v/>
      </c>
      <c r="L839" s="3">
        <f>IF(AND('Data Source'!B839&lt;&gt;"",'Data Source'!S839="F"),IF('Data Source'!AD839&gt;=5,"A+",IF('Data Source'!AD839&gt;=4,"A",IF('Data Source'!AD839&gt;=3.5,"A-",IF('Data Source'!AD839&gt;=3,"B",IF('Data Source'!AD839&gt;=2,"C",IF('Data Source'!AD839&gt;=1,"D","F")))))),"")</f>
        <v/>
      </c>
      <c r="M839" s="3">
        <f>IF(AND('Data Source'!B839&lt;&gt;"",'Data Source'!S839="F"),IF('Data Source'!AE839&gt;=5,"A+",IF('Data Source'!AE839&gt;=4,"A",IF('Data Source'!AE839&gt;=3.5,"A-",IF('Data Source'!AE839&gt;=3,"B",IF('Data Source'!AE839&gt;=2,"C",IF('Data Source'!AE839&gt;=1,"D","F")))))),"")</f>
        <v/>
      </c>
      <c r="N839" s="3">
        <f>IF(AND('Data Source'!B839&lt;&gt;"",'Data Source'!S839="F"),IF('Data Source'!AF839&gt;=5,"A+",IF('Data Source'!AF839&gt;=4,"A",IF('Data Source'!AF839&gt;=3.5,"A-",IF('Data Source'!AF839&gt;=3,"B",IF('Data Source'!AF839&gt;=2,"C",IF('Data Source'!AF839&gt;=1,"D","F")))))),"")</f>
        <v/>
      </c>
      <c r="O839" s="3">
        <f>IF(AND('Data Source'!B839&lt;&gt;"",'Data Source'!S839="F"),IF('Data Source'!AG839&gt;=5,"A+",IF('Data Source'!AG839&gt;=4,"A",IF('Data Source'!AG839&gt;=3.5,"A-",IF('Data Source'!AG839&gt;=3,"B",IF('Data Source'!AG839&gt;=2,"C",IF('Data Source'!AG839&gt;=1,"D","F")))))),"")</f>
        <v/>
      </c>
      <c r="P839" s="5">
        <f>IF(AND('Data Source'!B839&lt;&gt;"",'Data Source'!S839="F"),'Data Source'!R839,"")</f>
        <v/>
      </c>
      <c r="Q839" s="3">
        <f>IF(AND('Data Source'!B839&lt;&gt;"",'Data Source'!S839="F"),'Data Source'!S839,"")</f>
        <v/>
      </c>
    </row>
    <row r="840">
      <c r="A840" s="3">
        <f>IF(AND('Data Source'!B840&lt;&gt;"",'Data Source'!S840="F"),COUNTIF('Data Source'!$S$3:S840,"F"),"")</f>
        <v/>
      </c>
      <c r="B840">
        <f>IF(AND('Data Source'!B840&lt;&gt;"",'Data Source'!S840="F"),'Data Source'!B840,"")</f>
        <v/>
      </c>
      <c r="C840" s="3">
        <f>IF(AND('Data Source'!B840&lt;&gt;"",'Data Source'!S840="F"),IF('Data Source'!U840&gt;=5,"A+",IF('Data Source'!U840&gt;=4,"A",IF('Data Source'!U840&gt;=3.5,"A-",IF('Data Source'!U840&gt;=3,"B",IF('Data Source'!U840&gt;=2,"C",IF('Data Source'!U840&gt;=1,"D","F")))))),"")</f>
        <v/>
      </c>
      <c r="D840" s="3">
        <f>IF(AND('Data Source'!B840&lt;&gt;"",'Data Source'!S840="F"),IF('Data Source'!V840&gt;=5,"A+",IF('Data Source'!V840&gt;=4,"A",IF('Data Source'!V840&gt;=3.5,"A-",IF('Data Source'!V840&gt;=3,"B",IF('Data Source'!V840&gt;=2,"C",IF('Data Source'!V840&gt;=1,"D","F")))))),"")</f>
        <v/>
      </c>
      <c r="E840" s="3">
        <f>IF(AND('Data Source'!B840&lt;&gt;"",'Data Source'!S840="F"),IF('Data Source'!W840&gt;=5,"A+",IF('Data Source'!W840&gt;=4,"A",IF('Data Source'!W840&gt;=3.5,"A-",IF('Data Source'!W840&gt;=3,"B",IF('Data Source'!W840&gt;=2,"C",IF('Data Source'!W840&gt;=1,"D","F")))))),"")</f>
        <v/>
      </c>
      <c r="F840" s="3">
        <f>IF(AND('Data Source'!B840&lt;&gt;"",'Data Source'!S840="F"),IF('Data Source'!X840&gt;=5,"A+",IF('Data Source'!X840&gt;=4,"A",IF('Data Source'!X840&gt;=3.5,"A-",IF('Data Source'!X840&gt;=3,"B",IF('Data Source'!X840&gt;=2,"C",IF('Data Source'!X840&gt;=1,"D","F")))))),"")</f>
        <v/>
      </c>
      <c r="G840" s="3">
        <f>IF(AND('Data Source'!B840&lt;&gt;"",'Data Source'!S840="F"),IF('Data Source'!Y840&gt;=5,"A+",IF('Data Source'!Y840&gt;=4,"A",IF('Data Source'!Y840&gt;=3.5,"A-",IF('Data Source'!Y840&gt;=3,"B",IF('Data Source'!Y840&gt;=2,"C",IF('Data Source'!Y840&gt;=1,"D","F")))))),"")</f>
        <v/>
      </c>
      <c r="H840" s="3">
        <f>IF(AND('Data Source'!B840&lt;&gt;"",'Data Source'!S840="F"),IF('Data Source'!Z840&gt;=5,"A+",IF('Data Source'!Z840&gt;=4,"A",IF('Data Source'!Z840&gt;=3.5,"A-",IF('Data Source'!Z840&gt;=3,"B",IF('Data Source'!Z840&gt;=2,"C",IF('Data Source'!Z840&gt;=1,"D","F")))))),"")</f>
        <v/>
      </c>
      <c r="I840" s="3">
        <f>IF(AND('Data Source'!B840&lt;&gt;"",'Data Source'!S840="F"),IF('Data Source'!AA840&gt;=5,"A+",IF('Data Source'!AA840&gt;=4,"A",IF('Data Source'!AA840&gt;=3.5,"A-",IF('Data Source'!AA840&gt;=3,"B",IF('Data Source'!AA840&gt;=2,"C",IF('Data Source'!AA840&gt;=1,"D","F")))))),"")</f>
        <v/>
      </c>
      <c r="J840" s="3">
        <f>IF(AND('Data Source'!B840&lt;&gt;"",'Data Source'!S840="F"),IF('Data Source'!AB840&gt;=5,"A+",IF('Data Source'!AB840&gt;=4,"A",IF('Data Source'!AB840&gt;=3.5,"A-",IF('Data Source'!AB840&gt;=3,"B",IF('Data Source'!AB840&gt;=2,"C",IF('Data Source'!AB840&gt;=1,"D","F")))))),"")</f>
        <v/>
      </c>
      <c r="K840" s="3">
        <f>IF(AND('Data Source'!B840&lt;&gt;"",'Data Source'!S840="F"),IF('Data Source'!AC840&gt;=5,"A+",IF('Data Source'!AC840&gt;=4,"A",IF('Data Source'!AC840&gt;=3.5,"A-",IF('Data Source'!AC840&gt;=3,"B",IF('Data Source'!AC840&gt;=2,"C",IF('Data Source'!AC840&gt;=1,"D","F")))))),"")</f>
        <v/>
      </c>
      <c r="L840" s="3">
        <f>IF(AND('Data Source'!B840&lt;&gt;"",'Data Source'!S840="F"),IF('Data Source'!AD840&gt;=5,"A+",IF('Data Source'!AD840&gt;=4,"A",IF('Data Source'!AD840&gt;=3.5,"A-",IF('Data Source'!AD840&gt;=3,"B",IF('Data Source'!AD840&gt;=2,"C",IF('Data Source'!AD840&gt;=1,"D","F")))))),"")</f>
        <v/>
      </c>
      <c r="M840" s="3">
        <f>IF(AND('Data Source'!B840&lt;&gt;"",'Data Source'!S840="F"),IF('Data Source'!AE840&gt;=5,"A+",IF('Data Source'!AE840&gt;=4,"A",IF('Data Source'!AE840&gt;=3.5,"A-",IF('Data Source'!AE840&gt;=3,"B",IF('Data Source'!AE840&gt;=2,"C",IF('Data Source'!AE840&gt;=1,"D","F")))))),"")</f>
        <v/>
      </c>
      <c r="N840" s="3">
        <f>IF(AND('Data Source'!B840&lt;&gt;"",'Data Source'!S840="F"),IF('Data Source'!AF840&gt;=5,"A+",IF('Data Source'!AF840&gt;=4,"A",IF('Data Source'!AF840&gt;=3.5,"A-",IF('Data Source'!AF840&gt;=3,"B",IF('Data Source'!AF840&gt;=2,"C",IF('Data Source'!AF840&gt;=1,"D","F")))))),"")</f>
        <v/>
      </c>
      <c r="O840" s="3">
        <f>IF(AND('Data Source'!B840&lt;&gt;"",'Data Source'!S840="F"),IF('Data Source'!AG840&gt;=5,"A+",IF('Data Source'!AG840&gt;=4,"A",IF('Data Source'!AG840&gt;=3.5,"A-",IF('Data Source'!AG840&gt;=3,"B",IF('Data Source'!AG840&gt;=2,"C",IF('Data Source'!AG840&gt;=1,"D","F")))))),"")</f>
        <v/>
      </c>
      <c r="P840" s="5">
        <f>IF(AND('Data Source'!B840&lt;&gt;"",'Data Source'!S840="F"),'Data Source'!R840,"")</f>
        <v/>
      </c>
      <c r="Q840" s="3">
        <f>IF(AND('Data Source'!B840&lt;&gt;"",'Data Source'!S840="F"),'Data Source'!S840,"")</f>
        <v/>
      </c>
    </row>
    <row r="841">
      <c r="A841" s="3">
        <f>IF(AND('Data Source'!B841&lt;&gt;"",'Data Source'!S841="F"),COUNTIF('Data Source'!$S$3:S841,"F"),"")</f>
        <v/>
      </c>
      <c r="B841">
        <f>IF(AND('Data Source'!B841&lt;&gt;"",'Data Source'!S841="F"),'Data Source'!B841,"")</f>
        <v/>
      </c>
      <c r="C841" s="3">
        <f>IF(AND('Data Source'!B841&lt;&gt;"",'Data Source'!S841="F"),IF('Data Source'!U841&gt;=5,"A+",IF('Data Source'!U841&gt;=4,"A",IF('Data Source'!U841&gt;=3.5,"A-",IF('Data Source'!U841&gt;=3,"B",IF('Data Source'!U841&gt;=2,"C",IF('Data Source'!U841&gt;=1,"D","F")))))),"")</f>
        <v/>
      </c>
      <c r="D841" s="3">
        <f>IF(AND('Data Source'!B841&lt;&gt;"",'Data Source'!S841="F"),IF('Data Source'!V841&gt;=5,"A+",IF('Data Source'!V841&gt;=4,"A",IF('Data Source'!V841&gt;=3.5,"A-",IF('Data Source'!V841&gt;=3,"B",IF('Data Source'!V841&gt;=2,"C",IF('Data Source'!V841&gt;=1,"D","F")))))),"")</f>
        <v/>
      </c>
      <c r="E841" s="3">
        <f>IF(AND('Data Source'!B841&lt;&gt;"",'Data Source'!S841="F"),IF('Data Source'!W841&gt;=5,"A+",IF('Data Source'!W841&gt;=4,"A",IF('Data Source'!W841&gt;=3.5,"A-",IF('Data Source'!W841&gt;=3,"B",IF('Data Source'!W841&gt;=2,"C",IF('Data Source'!W841&gt;=1,"D","F")))))),"")</f>
        <v/>
      </c>
      <c r="F841" s="3">
        <f>IF(AND('Data Source'!B841&lt;&gt;"",'Data Source'!S841="F"),IF('Data Source'!X841&gt;=5,"A+",IF('Data Source'!X841&gt;=4,"A",IF('Data Source'!X841&gt;=3.5,"A-",IF('Data Source'!X841&gt;=3,"B",IF('Data Source'!X841&gt;=2,"C",IF('Data Source'!X841&gt;=1,"D","F")))))),"")</f>
        <v/>
      </c>
      <c r="G841" s="3">
        <f>IF(AND('Data Source'!B841&lt;&gt;"",'Data Source'!S841="F"),IF('Data Source'!Y841&gt;=5,"A+",IF('Data Source'!Y841&gt;=4,"A",IF('Data Source'!Y841&gt;=3.5,"A-",IF('Data Source'!Y841&gt;=3,"B",IF('Data Source'!Y841&gt;=2,"C",IF('Data Source'!Y841&gt;=1,"D","F")))))),"")</f>
        <v/>
      </c>
      <c r="H841" s="3">
        <f>IF(AND('Data Source'!B841&lt;&gt;"",'Data Source'!S841="F"),IF('Data Source'!Z841&gt;=5,"A+",IF('Data Source'!Z841&gt;=4,"A",IF('Data Source'!Z841&gt;=3.5,"A-",IF('Data Source'!Z841&gt;=3,"B",IF('Data Source'!Z841&gt;=2,"C",IF('Data Source'!Z841&gt;=1,"D","F")))))),"")</f>
        <v/>
      </c>
      <c r="I841" s="3">
        <f>IF(AND('Data Source'!B841&lt;&gt;"",'Data Source'!S841="F"),IF('Data Source'!AA841&gt;=5,"A+",IF('Data Source'!AA841&gt;=4,"A",IF('Data Source'!AA841&gt;=3.5,"A-",IF('Data Source'!AA841&gt;=3,"B",IF('Data Source'!AA841&gt;=2,"C",IF('Data Source'!AA841&gt;=1,"D","F")))))),"")</f>
        <v/>
      </c>
      <c r="J841" s="3">
        <f>IF(AND('Data Source'!B841&lt;&gt;"",'Data Source'!S841="F"),IF('Data Source'!AB841&gt;=5,"A+",IF('Data Source'!AB841&gt;=4,"A",IF('Data Source'!AB841&gt;=3.5,"A-",IF('Data Source'!AB841&gt;=3,"B",IF('Data Source'!AB841&gt;=2,"C",IF('Data Source'!AB841&gt;=1,"D","F")))))),"")</f>
        <v/>
      </c>
      <c r="K841" s="3">
        <f>IF(AND('Data Source'!B841&lt;&gt;"",'Data Source'!S841="F"),IF('Data Source'!AC841&gt;=5,"A+",IF('Data Source'!AC841&gt;=4,"A",IF('Data Source'!AC841&gt;=3.5,"A-",IF('Data Source'!AC841&gt;=3,"B",IF('Data Source'!AC841&gt;=2,"C",IF('Data Source'!AC841&gt;=1,"D","F")))))),"")</f>
        <v/>
      </c>
      <c r="L841" s="3">
        <f>IF(AND('Data Source'!B841&lt;&gt;"",'Data Source'!S841="F"),IF('Data Source'!AD841&gt;=5,"A+",IF('Data Source'!AD841&gt;=4,"A",IF('Data Source'!AD841&gt;=3.5,"A-",IF('Data Source'!AD841&gt;=3,"B",IF('Data Source'!AD841&gt;=2,"C",IF('Data Source'!AD841&gt;=1,"D","F")))))),"")</f>
        <v/>
      </c>
      <c r="M841" s="3">
        <f>IF(AND('Data Source'!B841&lt;&gt;"",'Data Source'!S841="F"),IF('Data Source'!AE841&gt;=5,"A+",IF('Data Source'!AE841&gt;=4,"A",IF('Data Source'!AE841&gt;=3.5,"A-",IF('Data Source'!AE841&gt;=3,"B",IF('Data Source'!AE841&gt;=2,"C",IF('Data Source'!AE841&gt;=1,"D","F")))))),"")</f>
        <v/>
      </c>
      <c r="N841" s="3">
        <f>IF(AND('Data Source'!B841&lt;&gt;"",'Data Source'!S841="F"),IF('Data Source'!AF841&gt;=5,"A+",IF('Data Source'!AF841&gt;=4,"A",IF('Data Source'!AF841&gt;=3.5,"A-",IF('Data Source'!AF841&gt;=3,"B",IF('Data Source'!AF841&gt;=2,"C",IF('Data Source'!AF841&gt;=1,"D","F")))))),"")</f>
        <v/>
      </c>
      <c r="O841" s="3">
        <f>IF(AND('Data Source'!B841&lt;&gt;"",'Data Source'!S841="F"),IF('Data Source'!AG841&gt;=5,"A+",IF('Data Source'!AG841&gt;=4,"A",IF('Data Source'!AG841&gt;=3.5,"A-",IF('Data Source'!AG841&gt;=3,"B",IF('Data Source'!AG841&gt;=2,"C",IF('Data Source'!AG841&gt;=1,"D","F")))))),"")</f>
        <v/>
      </c>
      <c r="P841" s="5">
        <f>IF(AND('Data Source'!B841&lt;&gt;"",'Data Source'!S841="F"),'Data Source'!R841,"")</f>
        <v/>
      </c>
      <c r="Q841" s="3">
        <f>IF(AND('Data Source'!B841&lt;&gt;"",'Data Source'!S841="F"),'Data Source'!S841,"")</f>
        <v/>
      </c>
    </row>
    <row r="842">
      <c r="A842" s="3">
        <f>IF(AND('Data Source'!B842&lt;&gt;"",'Data Source'!S842="F"),COUNTIF('Data Source'!$S$3:S842,"F"),"")</f>
        <v/>
      </c>
      <c r="B842">
        <f>IF(AND('Data Source'!B842&lt;&gt;"",'Data Source'!S842="F"),'Data Source'!B842,"")</f>
        <v/>
      </c>
      <c r="C842" s="3">
        <f>IF(AND('Data Source'!B842&lt;&gt;"",'Data Source'!S842="F"),IF('Data Source'!U842&gt;=5,"A+",IF('Data Source'!U842&gt;=4,"A",IF('Data Source'!U842&gt;=3.5,"A-",IF('Data Source'!U842&gt;=3,"B",IF('Data Source'!U842&gt;=2,"C",IF('Data Source'!U842&gt;=1,"D","F")))))),"")</f>
        <v/>
      </c>
      <c r="D842" s="3">
        <f>IF(AND('Data Source'!B842&lt;&gt;"",'Data Source'!S842="F"),IF('Data Source'!V842&gt;=5,"A+",IF('Data Source'!V842&gt;=4,"A",IF('Data Source'!V842&gt;=3.5,"A-",IF('Data Source'!V842&gt;=3,"B",IF('Data Source'!V842&gt;=2,"C",IF('Data Source'!V842&gt;=1,"D","F")))))),"")</f>
        <v/>
      </c>
      <c r="E842" s="3">
        <f>IF(AND('Data Source'!B842&lt;&gt;"",'Data Source'!S842="F"),IF('Data Source'!W842&gt;=5,"A+",IF('Data Source'!W842&gt;=4,"A",IF('Data Source'!W842&gt;=3.5,"A-",IF('Data Source'!W842&gt;=3,"B",IF('Data Source'!W842&gt;=2,"C",IF('Data Source'!W842&gt;=1,"D","F")))))),"")</f>
        <v/>
      </c>
      <c r="F842" s="3">
        <f>IF(AND('Data Source'!B842&lt;&gt;"",'Data Source'!S842="F"),IF('Data Source'!X842&gt;=5,"A+",IF('Data Source'!X842&gt;=4,"A",IF('Data Source'!X842&gt;=3.5,"A-",IF('Data Source'!X842&gt;=3,"B",IF('Data Source'!X842&gt;=2,"C",IF('Data Source'!X842&gt;=1,"D","F")))))),"")</f>
        <v/>
      </c>
      <c r="G842" s="3">
        <f>IF(AND('Data Source'!B842&lt;&gt;"",'Data Source'!S842="F"),IF('Data Source'!Y842&gt;=5,"A+",IF('Data Source'!Y842&gt;=4,"A",IF('Data Source'!Y842&gt;=3.5,"A-",IF('Data Source'!Y842&gt;=3,"B",IF('Data Source'!Y842&gt;=2,"C",IF('Data Source'!Y842&gt;=1,"D","F")))))),"")</f>
        <v/>
      </c>
      <c r="H842" s="3">
        <f>IF(AND('Data Source'!B842&lt;&gt;"",'Data Source'!S842="F"),IF('Data Source'!Z842&gt;=5,"A+",IF('Data Source'!Z842&gt;=4,"A",IF('Data Source'!Z842&gt;=3.5,"A-",IF('Data Source'!Z842&gt;=3,"B",IF('Data Source'!Z842&gt;=2,"C",IF('Data Source'!Z842&gt;=1,"D","F")))))),"")</f>
        <v/>
      </c>
      <c r="I842" s="3">
        <f>IF(AND('Data Source'!B842&lt;&gt;"",'Data Source'!S842="F"),IF('Data Source'!AA842&gt;=5,"A+",IF('Data Source'!AA842&gt;=4,"A",IF('Data Source'!AA842&gt;=3.5,"A-",IF('Data Source'!AA842&gt;=3,"B",IF('Data Source'!AA842&gt;=2,"C",IF('Data Source'!AA842&gt;=1,"D","F")))))),"")</f>
        <v/>
      </c>
      <c r="J842" s="3">
        <f>IF(AND('Data Source'!B842&lt;&gt;"",'Data Source'!S842="F"),IF('Data Source'!AB842&gt;=5,"A+",IF('Data Source'!AB842&gt;=4,"A",IF('Data Source'!AB842&gt;=3.5,"A-",IF('Data Source'!AB842&gt;=3,"B",IF('Data Source'!AB842&gt;=2,"C",IF('Data Source'!AB842&gt;=1,"D","F")))))),"")</f>
        <v/>
      </c>
      <c r="K842" s="3">
        <f>IF(AND('Data Source'!B842&lt;&gt;"",'Data Source'!S842="F"),IF('Data Source'!AC842&gt;=5,"A+",IF('Data Source'!AC842&gt;=4,"A",IF('Data Source'!AC842&gt;=3.5,"A-",IF('Data Source'!AC842&gt;=3,"B",IF('Data Source'!AC842&gt;=2,"C",IF('Data Source'!AC842&gt;=1,"D","F")))))),"")</f>
        <v/>
      </c>
      <c r="L842" s="3">
        <f>IF(AND('Data Source'!B842&lt;&gt;"",'Data Source'!S842="F"),IF('Data Source'!AD842&gt;=5,"A+",IF('Data Source'!AD842&gt;=4,"A",IF('Data Source'!AD842&gt;=3.5,"A-",IF('Data Source'!AD842&gt;=3,"B",IF('Data Source'!AD842&gt;=2,"C",IF('Data Source'!AD842&gt;=1,"D","F")))))),"")</f>
        <v/>
      </c>
      <c r="M842" s="3">
        <f>IF(AND('Data Source'!B842&lt;&gt;"",'Data Source'!S842="F"),IF('Data Source'!AE842&gt;=5,"A+",IF('Data Source'!AE842&gt;=4,"A",IF('Data Source'!AE842&gt;=3.5,"A-",IF('Data Source'!AE842&gt;=3,"B",IF('Data Source'!AE842&gt;=2,"C",IF('Data Source'!AE842&gt;=1,"D","F")))))),"")</f>
        <v/>
      </c>
      <c r="N842" s="3">
        <f>IF(AND('Data Source'!B842&lt;&gt;"",'Data Source'!S842="F"),IF('Data Source'!AF842&gt;=5,"A+",IF('Data Source'!AF842&gt;=4,"A",IF('Data Source'!AF842&gt;=3.5,"A-",IF('Data Source'!AF842&gt;=3,"B",IF('Data Source'!AF842&gt;=2,"C",IF('Data Source'!AF842&gt;=1,"D","F")))))),"")</f>
        <v/>
      </c>
      <c r="O842" s="3">
        <f>IF(AND('Data Source'!B842&lt;&gt;"",'Data Source'!S842="F"),IF('Data Source'!AG842&gt;=5,"A+",IF('Data Source'!AG842&gt;=4,"A",IF('Data Source'!AG842&gt;=3.5,"A-",IF('Data Source'!AG842&gt;=3,"B",IF('Data Source'!AG842&gt;=2,"C",IF('Data Source'!AG842&gt;=1,"D","F")))))),"")</f>
        <v/>
      </c>
      <c r="P842" s="5">
        <f>IF(AND('Data Source'!B842&lt;&gt;"",'Data Source'!S842="F"),'Data Source'!R842,"")</f>
        <v/>
      </c>
      <c r="Q842" s="3">
        <f>IF(AND('Data Source'!B842&lt;&gt;"",'Data Source'!S842="F"),'Data Source'!S842,"")</f>
        <v/>
      </c>
    </row>
    <row r="843">
      <c r="A843" s="3">
        <f>IF(AND('Data Source'!B843&lt;&gt;"",'Data Source'!S843="F"),COUNTIF('Data Source'!$S$3:S843,"F"),"")</f>
        <v/>
      </c>
      <c r="B843">
        <f>IF(AND('Data Source'!B843&lt;&gt;"",'Data Source'!S843="F"),'Data Source'!B843,"")</f>
        <v/>
      </c>
      <c r="C843" s="3">
        <f>IF(AND('Data Source'!B843&lt;&gt;"",'Data Source'!S843="F"),IF('Data Source'!U843&gt;=5,"A+",IF('Data Source'!U843&gt;=4,"A",IF('Data Source'!U843&gt;=3.5,"A-",IF('Data Source'!U843&gt;=3,"B",IF('Data Source'!U843&gt;=2,"C",IF('Data Source'!U843&gt;=1,"D","F")))))),"")</f>
        <v/>
      </c>
      <c r="D843" s="3">
        <f>IF(AND('Data Source'!B843&lt;&gt;"",'Data Source'!S843="F"),IF('Data Source'!V843&gt;=5,"A+",IF('Data Source'!V843&gt;=4,"A",IF('Data Source'!V843&gt;=3.5,"A-",IF('Data Source'!V843&gt;=3,"B",IF('Data Source'!V843&gt;=2,"C",IF('Data Source'!V843&gt;=1,"D","F")))))),"")</f>
        <v/>
      </c>
      <c r="E843" s="3">
        <f>IF(AND('Data Source'!B843&lt;&gt;"",'Data Source'!S843="F"),IF('Data Source'!W843&gt;=5,"A+",IF('Data Source'!W843&gt;=4,"A",IF('Data Source'!W843&gt;=3.5,"A-",IF('Data Source'!W843&gt;=3,"B",IF('Data Source'!W843&gt;=2,"C",IF('Data Source'!W843&gt;=1,"D","F")))))),"")</f>
        <v/>
      </c>
      <c r="F843" s="3">
        <f>IF(AND('Data Source'!B843&lt;&gt;"",'Data Source'!S843="F"),IF('Data Source'!X843&gt;=5,"A+",IF('Data Source'!X843&gt;=4,"A",IF('Data Source'!X843&gt;=3.5,"A-",IF('Data Source'!X843&gt;=3,"B",IF('Data Source'!X843&gt;=2,"C",IF('Data Source'!X843&gt;=1,"D","F")))))),"")</f>
        <v/>
      </c>
      <c r="G843" s="3">
        <f>IF(AND('Data Source'!B843&lt;&gt;"",'Data Source'!S843="F"),IF('Data Source'!Y843&gt;=5,"A+",IF('Data Source'!Y843&gt;=4,"A",IF('Data Source'!Y843&gt;=3.5,"A-",IF('Data Source'!Y843&gt;=3,"B",IF('Data Source'!Y843&gt;=2,"C",IF('Data Source'!Y843&gt;=1,"D","F")))))),"")</f>
        <v/>
      </c>
      <c r="H843" s="3">
        <f>IF(AND('Data Source'!B843&lt;&gt;"",'Data Source'!S843="F"),IF('Data Source'!Z843&gt;=5,"A+",IF('Data Source'!Z843&gt;=4,"A",IF('Data Source'!Z843&gt;=3.5,"A-",IF('Data Source'!Z843&gt;=3,"B",IF('Data Source'!Z843&gt;=2,"C",IF('Data Source'!Z843&gt;=1,"D","F")))))),"")</f>
        <v/>
      </c>
      <c r="I843" s="3">
        <f>IF(AND('Data Source'!B843&lt;&gt;"",'Data Source'!S843="F"),IF('Data Source'!AA843&gt;=5,"A+",IF('Data Source'!AA843&gt;=4,"A",IF('Data Source'!AA843&gt;=3.5,"A-",IF('Data Source'!AA843&gt;=3,"B",IF('Data Source'!AA843&gt;=2,"C",IF('Data Source'!AA843&gt;=1,"D","F")))))),"")</f>
        <v/>
      </c>
      <c r="J843" s="3">
        <f>IF(AND('Data Source'!B843&lt;&gt;"",'Data Source'!S843="F"),IF('Data Source'!AB843&gt;=5,"A+",IF('Data Source'!AB843&gt;=4,"A",IF('Data Source'!AB843&gt;=3.5,"A-",IF('Data Source'!AB843&gt;=3,"B",IF('Data Source'!AB843&gt;=2,"C",IF('Data Source'!AB843&gt;=1,"D","F")))))),"")</f>
        <v/>
      </c>
      <c r="K843" s="3">
        <f>IF(AND('Data Source'!B843&lt;&gt;"",'Data Source'!S843="F"),IF('Data Source'!AC843&gt;=5,"A+",IF('Data Source'!AC843&gt;=4,"A",IF('Data Source'!AC843&gt;=3.5,"A-",IF('Data Source'!AC843&gt;=3,"B",IF('Data Source'!AC843&gt;=2,"C",IF('Data Source'!AC843&gt;=1,"D","F")))))),"")</f>
        <v/>
      </c>
      <c r="L843" s="3">
        <f>IF(AND('Data Source'!B843&lt;&gt;"",'Data Source'!S843="F"),IF('Data Source'!AD843&gt;=5,"A+",IF('Data Source'!AD843&gt;=4,"A",IF('Data Source'!AD843&gt;=3.5,"A-",IF('Data Source'!AD843&gt;=3,"B",IF('Data Source'!AD843&gt;=2,"C",IF('Data Source'!AD843&gt;=1,"D","F")))))),"")</f>
        <v/>
      </c>
      <c r="M843" s="3">
        <f>IF(AND('Data Source'!B843&lt;&gt;"",'Data Source'!S843="F"),IF('Data Source'!AE843&gt;=5,"A+",IF('Data Source'!AE843&gt;=4,"A",IF('Data Source'!AE843&gt;=3.5,"A-",IF('Data Source'!AE843&gt;=3,"B",IF('Data Source'!AE843&gt;=2,"C",IF('Data Source'!AE843&gt;=1,"D","F")))))),"")</f>
        <v/>
      </c>
      <c r="N843" s="3">
        <f>IF(AND('Data Source'!B843&lt;&gt;"",'Data Source'!S843="F"),IF('Data Source'!AF843&gt;=5,"A+",IF('Data Source'!AF843&gt;=4,"A",IF('Data Source'!AF843&gt;=3.5,"A-",IF('Data Source'!AF843&gt;=3,"B",IF('Data Source'!AF843&gt;=2,"C",IF('Data Source'!AF843&gt;=1,"D","F")))))),"")</f>
        <v/>
      </c>
      <c r="O843" s="3">
        <f>IF(AND('Data Source'!B843&lt;&gt;"",'Data Source'!S843="F"),IF('Data Source'!AG843&gt;=5,"A+",IF('Data Source'!AG843&gt;=4,"A",IF('Data Source'!AG843&gt;=3.5,"A-",IF('Data Source'!AG843&gt;=3,"B",IF('Data Source'!AG843&gt;=2,"C",IF('Data Source'!AG843&gt;=1,"D","F")))))),"")</f>
        <v/>
      </c>
      <c r="P843" s="5">
        <f>IF(AND('Data Source'!B843&lt;&gt;"",'Data Source'!S843="F"),'Data Source'!R843,"")</f>
        <v/>
      </c>
      <c r="Q843" s="3">
        <f>IF(AND('Data Source'!B843&lt;&gt;"",'Data Source'!S843="F"),'Data Source'!S843,"")</f>
        <v/>
      </c>
    </row>
    <row r="844">
      <c r="A844" s="3">
        <f>IF(AND('Data Source'!B844&lt;&gt;"",'Data Source'!S844="F"),COUNTIF('Data Source'!$S$3:S844,"F"),"")</f>
        <v/>
      </c>
      <c r="B844">
        <f>IF(AND('Data Source'!B844&lt;&gt;"",'Data Source'!S844="F"),'Data Source'!B844,"")</f>
        <v/>
      </c>
      <c r="C844" s="3">
        <f>IF(AND('Data Source'!B844&lt;&gt;"",'Data Source'!S844="F"),IF('Data Source'!U844&gt;=5,"A+",IF('Data Source'!U844&gt;=4,"A",IF('Data Source'!U844&gt;=3.5,"A-",IF('Data Source'!U844&gt;=3,"B",IF('Data Source'!U844&gt;=2,"C",IF('Data Source'!U844&gt;=1,"D","F")))))),"")</f>
        <v/>
      </c>
      <c r="D844" s="3">
        <f>IF(AND('Data Source'!B844&lt;&gt;"",'Data Source'!S844="F"),IF('Data Source'!V844&gt;=5,"A+",IF('Data Source'!V844&gt;=4,"A",IF('Data Source'!V844&gt;=3.5,"A-",IF('Data Source'!V844&gt;=3,"B",IF('Data Source'!V844&gt;=2,"C",IF('Data Source'!V844&gt;=1,"D","F")))))),"")</f>
        <v/>
      </c>
      <c r="E844" s="3">
        <f>IF(AND('Data Source'!B844&lt;&gt;"",'Data Source'!S844="F"),IF('Data Source'!W844&gt;=5,"A+",IF('Data Source'!W844&gt;=4,"A",IF('Data Source'!W844&gt;=3.5,"A-",IF('Data Source'!W844&gt;=3,"B",IF('Data Source'!W844&gt;=2,"C",IF('Data Source'!W844&gt;=1,"D","F")))))),"")</f>
        <v/>
      </c>
      <c r="F844" s="3">
        <f>IF(AND('Data Source'!B844&lt;&gt;"",'Data Source'!S844="F"),IF('Data Source'!X844&gt;=5,"A+",IF('Data Source'!X844&gt;=4,"A",IF('Data Source'!X844&gt;=3.5,"A-",IF('Data Source'!X844&gt;=3,"B",IF('Data Source'!X844&gt;=2,"C",IF('Data Source'!X844&gt;=1,"D","F")))))),"")</f>
        <v/>
      </c>
      <c r="G844" s="3">
        <f>IF(AND('Data Source'!B844&lt;&gt;"",'Data Source'!S844="F"),IF('Data Source'!Y844&gt;=5,"A+",IF('Data Source'!Y844&gt;=4,"A",IF('Data Source'!Y844&gt;=3.5,"A-",IF('Data Source'!Y844&gt;=3,"B",IF('Data Source'!Y844&gt;=2,"C",IF('Data Source'!Y844&gt;=1,"D","F")))))),"")</f>
        <v/>
      </c>
      <c r="H844" s="3">
        <f>IF(AND('Data Source'!B844&lt;&gt;"",'Data Source'!S844="F"),IF('Data Source'!Z844&gt;=5,"A+",IF('Data Source'!Z844&gt;=4,"A",IF('Data Source'!Z844&gt;=3.5,"A-",IF('Data Source'!Z844&gt;=3,"B",IF('Data Source'!Z844&gt;=2,"C",IF('Data Source'!Z844&gt;=1,"D","F")))))),"")</f>
        <v/>
      </c>
      <c r="I844" s="3">
        <f>IF(AND('Data Source'!B844&lt;&gt;"",'Data Source'!S844="F"),IF('Data Source'!AA844&gt;=5,"A+",IF('Data Source'!AA844&gt;=4,"A",IF('Data Source'!AA844&gt;=3.5,"A-",IF('Data Source'!AA844&gt;=3,"B",IF('Data Source'!AA844&gt;=2,"C",IF('Data Source'!AA844&gt;=1,"D","F")))))),"")</f>
        <v/>
      </c>
      <c r="J844" s="3">
        <f>IF(AND('Data Source'!B844&lt;&gt;"",'Data Source'!S844="F"),IF('Data Source'!AB844&gt;=5,"A+",IF('Data Source'!AB844&gt;=4,"A",IF('Data Source'!AB844&gt;=3.5,"A-",IF('Data Source'!AB844&gt;=3,"B",IF('Data Source'!AB844&gt;=2,"C",IF('Data Source'!AB844&gt;=1,"D","F")))))),"")</f>
        <v/>
      </c>
      <c r="K844" s="3">
        <f>IF(AND('Data Source'!B844&lt;&gt;"",'Data Source'!S844="F"),IF('Data Source'!AC844&gt;=5,"A+",IF('Data Source'!AC844&gt;=4,"A",IF('Data Source'!AC844&gt;=3.5,"A-",IF('Data Source'!AC844&gt;=3,"B",IF('Data Source'!AC844&gt;=2,"C",IF('Data Source'!AC844&gt;=1,"D","F")))))),"")</f>
        <v/>
      </c>
      <c r="L844" s="3">
        <f>IF(AND('Data Source'!B844&lt;&gt;"",'Data Source'!S844="F"),IF('Data Source'!AD844&gt;=5,"A+",IF('Data Source'!AD844&gt;=4,"A",IF('Data Source'!AD844&gt;=3.5,"A-",IF('Data Source'!AD844&gt;=3,"B",IF('Data Source'!AD844&gt;=2,"C",IF('Data Source'!AD844&gt;=1,"D","F")))))),"")</f>
        <v/>
      </c>
      <c r="M844" s="3">
        <f>IF(AND('Data Source'!B844&lt;&gt;"",'Data Source'!S844="F"),IF('Data Source'!AE844&gt;=5,"A+",IF('Data Source'!AE844&gt;=4,"A",IF('Data Source'!AE844&gt;=3.5,"A-",IF('Data Source'!AE844&gt;=3,"B",IF('Data Source'!AE844&gt;=2,"C",IF('Data Source'!AE844&gt;=1,"D","F")))))),"")</f>
        <v/>
      </c>
      <c r="N844" s="3">
        <f>IF(AND('Data Source'!B844&lt;&gt;"",'Data Source'!S844="F"),IF('Data Source'!AF844&gt;=5,"A+",IF('Data Source'!AF844&gt;=4,"A",IF('Data Source'!AF844&gt;=3.5,"A-",IF('Data Source'!AF844&gt;=3,"B",IF('Data Source'!AF844&gt;=2,"C",IF('Data Source'!AF844&gt;=1,"D","F")))))),"")</f>
        <v/>
      </c>
      <c r="O844" s="3">
        <f>IF(AND('Data Source'!B844&lt;&gt;"",'Data Source'!S844="F"),IF('Data Source'!AG844&gt;=5,"A+",IF('Data Source'!AG844&gt;=4,"A",IF('Data Source'!AG844&gt;=3.5,"A-",IF('Data Source'!AG844&gt;=3,"B",IF('Data Source'!AG844&gt;=2,"C",IF('Data Source'!AG844&gt;=1,"D","F")))))),"")</f>
        <v/>
      </c>
      <c r="P844" s="5">
        <f>IF(AND('Data Source'!B844&lt;&gt;"",'Data Source'!S844="F"),'Data Source'!R844,"")</f>
        <v/>
      </c>
      <c r="Q844" s="3">
        <f>IF(AND('Data Source'!B844&lt;&gt;"",'Data Source'!S844="F"),'Data Source'!S844,"")</f>
        <v/>
      </c>
    </row>
    <row r="845">
      <c r="A845" s="3">
        <f>IF(AND('Data Source'!B845&lt;&gt;"",'Data Source'!S845="F"),COUNTIF('Data Source'!$S$3:S845,"F"),"")</f>
        <v/>
      </c>
      <c r="B845">
        <f>IF(AND('Data Source'!B845&lt;&gt;"",'Data Source'!S845="F"),'Data Source'!B845,"")</f>
        <v/>
      </c>
      <c r="C845" s="3">
        <f>IF(AND('Data Source'!B845&lt;&gt;"",'Data Source'!S845="F"),IF('Data Source'!U845&gt;=5,"A+",IF('Data Source'!U845&gt;=4,"A",IF('Data Source'!U845&gt;=3.5,"A-",IF('Data Source'!U845&gt;=3,"B",IF('Data Source'!U845&gt;=2,"C",IF('Data Source'!U845&gt;=1,"D","F")))))),"")</f>
        <v/>
      </c>
      <c r="D845" s="3">
        <f>IF(AND('Data Source'!B845&lt;&gt;"",'Data Source'!S845="F"),IF('Data Source'!V845&gt;=5,"A+",IF('Data Source'!V845&gt;=4,"A",IF('Data Source'!V845&gt;=3.5,"A-",IF('Data Source'!V845&gt;=3,"B",IF('Data Source'!V845&gt;=2,"C",IF('Data Source'!V845&gt;=1,"D","F")))))),"")</f>
        <v/>
      </c>
      <c r="E845" s="3">
        <f>IF(AND('Data Source'!B845&lt;&gt;"",'Data Source'!S845="F"),IF('Data Source'!W845&gt;=5,"A+",IF('Data Source'!W845&gt;=4,"A",IF('Data Source'!W845&gt;=3.5,"A-",IF('Data Source'!W845&gt;=3,"B",IF('Data Source'!W845&gt;=2,"C",IF('Data Source'!W845&gt;=1,"D","F")))))),"")</f>
        <v/>
      </c>
      <c r="F845" s="3">
        <f>IF(AND('Data Source'!B845&lt;&gt;"",'Data Source'!S845="F"),IF('Data Source'!X845&gt;=5,"A+",IF('Data Source'!X845&gt;=4,"A",IF('Data Source'!X845&gt;=3.5,"A-",IF('Data Source'!X845&gt;=3,"B",IF('Data Source'!X845&gt;=2,"C",IF('Data Source'!X845&gt;=1,"D","F")))))),"")</f>
        <v/>
      </c>
      <c r="G845" s="3">
        <f>IF(AND('Data Source'!B845&lt;&gt;"",'Data Source'!S845="F"),IF('Data Source'!Y845&gt;=5,"A+",IF('Data Source'!Y845&gt;=4,"A",IF('Data Source'!Y845&gt;=3.5,"A-",IF('Data Source'!Y845&gt;=3,"B",IF('Data Source'!Y845&gt;=2,"C",IF('Data Source'!Y845&gt;=1,"D","F")))))),"")</f>
        <v/>
      </c>
      <c r="H845" s="3">
        <f>IF(AND('Data Source'!B845&lt;&gt;"",'Data Source'!S845="F"),IF('Data Source'!Z845&gt;=5,"A+",IF('Data Source'!Z845&gt;=4,"A",IF('Data Source'!Z845&gt;=3.5,"A-",IF('Data Source'!Z845&gt;=3,"B",IF('Data Source'!Z845&gt;=2,"C",IF('Data Source'!Z845&gt;=1,"D","F")))))),"")</f>
        <v/>
      </c>
      <c r="I845" s="3">
        <f>IF(AND('Data Source'!B845&lt;&gt;"",'Data Source'!S845="F"),IF('Data Source'!AA845&gt;=5,"A+",IF('Data Source'!AA845&gt;=4,"A",IF('Data Source'!AA845&gt;=3.5,"A-",IF('Data Source'!AA845&gt;=3,"B",IF('Data Source'!AA845&gt;=2,"C",IF('Data Source'!AA845&gt;=1,"D","F")))))),"")</f>
        <v/>
      </c>
      <c r="J845" s="3">
        <f>IF(AND('Data Source'!B845&lt;&gt;"",'Data Source'!S845="F"),IF('Data Source'!AB845&gt;=5,"A+",IF('Data Source'!AB845&gt;=4,"A",IF('Data Source'!AB845&gt;=3.5,"A-",IF('Data Source'!AB845&gt;=3,"B",IF('Data Source'!AB845&gt;=2,"C",IF('Data Source'!AB845&gt;=1,"D","F")))))),"")</f>
        <v/>
      </c>
      <c r="K845" s="3">
        <f>IF(AND('Data Source'!B845&lt;&gt;"",'Data Source'!S845="F"),IF('Data Source'!AC845&gt;=5,"A+",IF('Data Source'!AC845&gt;=4,"A",IF('Data Source'!AC845&gt;=3.5,"A-",IF('Data Source'!AC845&gt;=3,"B",IF('Data Source'!AC845&gt;=2,"C",IF('Data Source'!AC845&gt;=1,"D","F")))))),"")</f>
        <v/>
      </c>
      <c r="L845" s="3">
        <f>IF(AND('Data Source'!B845&lt;&gt;"",'Data Source'!S845="F"),IF('Data Source'!AD845&gt;=5,"A+",IF('Data Source'!AD845&gt;=4,"A",IF('Data Source'!AD845&gt;=3.5,"A-",IF('Data Source'!AD845&gt;=3,"B",IF('Data Source'!AD845&gt;=2,"C",IF('Data Source'!AD845&gt;=1,"D","F")))))),"")</f>
        <v/>
      </c>
      <c r="M845" s="3">
        <f>IF(AND('Data Source'!B845&lt;&gt;"",'Data Source'!S845="F"),IF('Data Source'!AE845&gt;=5,"A+",IF('Data Source'!AE845&gt;=4,"A",IF('Data Source'!AE845&gt;=3.5,"A-",IF('Data Source'!AE845&gt;=3,"B",IF('Data Source'!AE845&gt;=2,"C",IF('Data Source'!AE845&gt;=1,"D","F")))))),"")</f>
        <v/>
      </c>
      <c r="N845" s="3">
        <f>IF(AND('Data Source'!B845&lt;&gt;"",'Data Source'!S845="F"),IF('Data Source'!AF845&gt;=5,"A+",IF('Data Source'!AF845&gt;=4,"A",IF('Data Source'!AF845&gt;=3.5,"A-",IF('Data Source'!AF845&gt;=3,"B",IF('Data Source'!AF845&gt;=2,"C",IF('Data Source'!AF845&gt;=1,"D","F")))))),"")</f>
        <v/>
      </c>
      <c r="O845" s="3">
        <f>IF(AND('Data Source'!B845&lt;&gt;"",'Data Source'!S845="F"),IF('Data Source'!AG845&gt;=5,"A+",IF('Data Source'!AG845&gt;=4,"A",IF('Data Source'!AG845&gt;=3.5,"A-",IF('Data Source'!AG845&gt;=3,"B",IF('Data Source'!AG845&gt;=2,"C",IF('Data Source'!AG845&gt;=1,"D","F")))))),"")</f>
        <v/>
      </c>
      <c r="P845" s="5">
        <f>IF(AND('Data Source'!B845&lt;&gt;"",'Data Source'!S845="F"),'Data Source'!R845,"")</f>
        <v/>
      </c>
      <c r="Q845" s="3">
        <f>IF(AND('Data Source'!B845&lt;&gt;"",'Data Source'!S845="F"),'Data Source'!S845,"")</f>
        <v/>
      </c>
    </row>
    <row r="846">
      <c r="A846" s="3">
        <f>IF(AND('Data Source'!B846&lt;&gt;"",'Data Source'!S846="F"),COUNTIF('Data Source'!$S$3:S846,"F"),"")</f>
        <v/>
      </c>
      <c r="B846">
        <f>IF(AND('Data Source'!B846&lt;&gt;"",'Data Source'!S846="F"),'Data Source'!B846,"")</f>
        <v/>
      </c>
      <c r="C846" s="3">
        <f>IF(AND('Data Source'!B846&lt;&gt;"",'Data Source'!S846="F"),IF('Data Source'!U846&gt;=5,"A+",IF('Data Source'!U846&gt;=4,"A",IF('Data Source'!U846&gt;=3.5,"A-",IF('Data Source'!U846&gt;=3,"B",IF('Data Source'!U846&gt;=2,"C",IF('Data Source'!U846&gt;=1,"D","F")))))),"")</f>
        <v/>
      </c>
      <c r="D846" s="3">
        <f>IF(AND('Data Source'!B846&lt;&gt;"",'Data Source'!S846="F"),IF('Data Source'!V846&gt;=5,"A+",IF('Data Source'!V846&gt;=4,"A",IF('Data Source'!V846&gt;=3.5,"A-",IF('Data Source'!V846&gt;=3,"B",IF('Data Source'!V846&gt;=2,"C",IF('Data Source'!V846&gt;=1,"D","F")))))),"")</f>
        <v/>
      </c>
      <c r="E846" s="3">
        <f>IF(AND('Data Source'!B846&lt;&gt;"",'Data Source'!S846="F"),IF('Data Source'!W846&gt;=5,"A+",IF('Data Source'!W846&gt;=4,"A",IF('Data Source'!W846&gt;=3.5,"A-",IF('Data Source'!W846&gt;=3,"B",IF('Data Source'!W846&gt;=2,"C",IF('Data Source'!W846&gt;=1,"D","F")))))),"")</f>
        <v/>
      </c>
      <c r="F846" s="3">
        <f>IF(AND('Data Source'!B846&lt;&gt;"",'Data Source'!S846="F"),IF('Data Source'!X846&gt;=5,"A+",IF('Data Source'!X846&gt;=4,"A",IF('Data Source'!X846&gt;=3.5,"A-",IF('Data Source'!X846&gt;=3,"B",IF('Data Source'!X846&gt;=2,"C",IF('Data Source'!X846&gt;=1,"D","F")))))),"")</f>
        <v/>
      </c>
      <c r="G846" s="3">
        <f>IF(AND('Data Source'!B846&lt;&gt;"",'Data Source'!S846="F"),IF('Data Source'!Y846&gt;=5,"A+",IF('Data Source'!Y846&gt;=4,"A",IF('Data Source'!Y846&gt;=3.5,"A-",IF('Data Source'!Y846&gt;=3,"B",IF('Data Source'!Y846&gt;=2,"C",IF('Data Source'!Y846&gt;=1,"D","F")))))),"")</f>
        <v/>
      </c>
      <c r="H846" s="3">
        <f>IF(AND('Data Source'!B846&lt;&gt;"",'Data Source'!S846="F"),IF('Data Source'!Z846&gt;=5,"A+",IF('Data Source'!Z846&gt;=4,"A",IF('Data Source'!Z846&gt;=3.5,"A-",IF('Data Source'!Z846&gt;=3,"B",IF('Data Source'!Z846&gt;=2,"C",IF('Data Source'!Z846&gt;=1,"D","F")))))),"")</f>
        <v/>
      </c>
      <c r="I846" s="3">
        <f>IF(AND('Data Source'!B846&lt;&gt;"",'Data Source'!S846="F"),IF('Data Source'!AA846&gt;=5,"A+",IF('Data Source'!AA846&gt;=4,"A",IF('Data Source'!AA846&gt;=3.5,"A-",IF('Data Source'!AA846&gt;=3,"B",IF('Data Source'!AA846&gt;=2,"C",IF('Data Source'!AA846&gt;=1,"D","F")))))),"")</f>
        <v/>
      </c>
      <c r="J846" s="3">
        <f>IF(AND('Data Source'!B846&lt;&gt;"",'Data Source'!S846="F"),IF('Data Source'!AB846&gt;=5,"A+",IF('Data Source'!AB846&gt;=4,"A",IF('Data Source'!AB846&gt;=3.5,"A-",IF('Data Source'!AB846&gt;=3,"B",IF('Data Source'!AB846&gt;=2,"C",IF('Data Source'!AB846&gt;=1,"D","F")))))),"")</f>
        <v/>
      </c>
      <c r="K846" s="3">
        <f>IF(AND('Data Source'!B846&lt;&gt;"",'Data Source'!S846="F"),IF('Data Source'!AC846&gt;=5,"A+",IF('Data Source'!AC846&gt;=4,"A",IF('Data Source'!AC846&gt;=3.5,"A-",IF('Data Source'!AC846&gt;=3,"B",IF('Data Source'!AC846&gt;=2,"C",IF('Data Source'!AC846&gt;=1,"D","F")))))),"")</f>
        <v/>
      </c>
      <c r="L846" s="3">
        <f>IF(AND('Data Source'!B846&lt;&gt;"",'Data Source'!S846="F"),IF('Data Source'!AD846&gt;=5,"A+",IF('Data Source'!AD846&gt;=4,"A",IF('Data Source'!AD846&gt;=3.5,"A-",IF('Data Source'!AD846&gt;=3,"B",IF('Data Source'!AD846&gt;=2,"C",IF('Data Source'!AD846&gt;=1,"D","F")))))),"")</f>
        <v/>
      </c>
      <c r="M846" s="3">
        <f>IF(AND('Data Source'!B846&lt;&gt;"",'Data Source'!S846="F"),IF('Data Source'!AE846&gt;=5,"A+",IF('Data Source'!AE846&gt;=4,"A",IF('Data Source'!AE846&gt;=3.5,"A-",IF('Data Source'!AE846&gt;=3,"B",IF('Data Source'!AE846&gt;=2,"C",IF('Data Source'!AE846&gt;=1,"D","F")))))),"")</f>
        <v/>
      </c>
      <c r="N846" s="3">
        <f>IF(AND('Data Source'!B846&lt;&gt;"",'Data Source'!S846="F"),IF('Data Source'!AF846&gt;=5,"A+",IF('Data Source'!AF846&gt;=4,"A",IF('Data Source'!AF846&gt;=3.5,"A-",IF('Data Source'!AF846&gt;=3,"B",IF('Data Source'!AF846&gt;=2,"C",IF('Data Source'!AF846&gt;=1,"D","F")))))),"")</f>
        <v/>
      </c>
      <c r="O846" s="3">
        <f>IF(AND('Data Source'!B846&lt;&gt;"",'Data Source'!S846="F"),IF('Data Source'!AG846&gt;=5,"A+",IF('Data Source'!AG846&gt;=4,"A",IF('Data Source'!AG846&gt;=3.5,"A-",IF('Data Source'!AG846&gt;=3,"B",IF('Data Source'!AG846&gt;=2,"C",IF('Data Source'!AG846&gt;=1,"D","F")))))),"")</f>
        <v/>
      </c>
      <c r="P846" s="5">
        <f>IF(AND('Data Source'!B846&lt;&gt;"",'Data Source'!S846="F"),'Data Source'!R846,"")</f>
        <v/>
      </c>
      <c r="Q846" s="3">
        <f>IF(AND('Data Source'!B846&lt;&gt;"",'Data Source'!S846="F"),'Data Source'!S846,"")</f>
        <v/>
      </c>
    </row>
    <row r="847">
      <c r="A847" s="3">
        <f>IF(AND('Data Source'!B847&lt;&gt;"",'Data Source'!S847="F"),COUNTIF('Data Source'!$S$3:S847,"F"),"")</f>
        <v/>
      </c>
      <c r="B847">
        <f>IF(AND('Data Source'!B847&lt;&gt;"",'Data Source'!S847="F"),'Data Source'!B847,"")</f>
        <v/>
      </c>
      <c r="C847" s="3">
        <f>IF(AND('Data Source'!B847&lt;&gt;"",'Data Source'!S847="F"),IF('Data Source'!U847&gt;=5,"A+",IF('Data Source'!U847&gt;=4,"A",IF('Data Source'!U847&gt;=3.5,"A-",IF('Data Source'!U847&gt;=3,"B",IF('Data Source'!U847&gt;=2,"C",IF('Data Source'!U847&gt;=1,"D","F")))))),"")</f>
        <v/>
      </c>
      <c r="D847" s="3">
        <f>IF(AND('Data Source'!B847&lt;&gt;"",'Data Source'!S847="F"),IF('Data Source'!V847&gt;=5,"A+",IF('Data Source'!V847&gt;=4,"A",IF('Data Source'!V847&gt;=3.5,"A-",IF('Data Source'!V847&gt;=3,"B",IF('Data Source'!V847&gt;=2,"C",IF('Data Source'!V847&gt;=1,"D","F")))))),"")</f>
        <v/>
      </c>
      <c r="E847" s="3">
        <f>IF(AND('Data Source'!B847&lt;&gt;"",'Data Source'!S847="F"),IF('Data Source'!W847&gt;=5,"A+",IF('Data Source'!W847&gt;=4,"A",IF('Data Source'!W847&gt;=3.5,"A-",IF('Data Source'!W847&gt;=3,"B",IF('Data Source'!W847&gt;=2,"C",IF('Data Source'!W847&gt;=1,"D","F")))))),"")</f>
        <v/>
      </c>
      <c r="F847" s="3">
        <f>IF(AND('Data Source'!B847&lt;&gt;"",'Data Source'!S847="F"),IF('Data Source'!X847&gt;=5,"A+",IF('Data Source'!X847&gt;=4,"A",IF('Data Source'!X847&gt;=3.5,"A-",IF('Data Source'!X847&gt;=3,"B",IF('Data Source'!X847&gt;=2,"C",IF('Data Source'!X847&gt;=1,"D","F")))))),"")</f>
        <v/>
      </c>
      <c r="G847" s="3">
        <f>IF(AND('Data Source'!B847&lt;&gt;"",'Data Source'!S847="F"),IF('Data Source'!Y847&gt;=5,"A+",IF('Data Source'!Y847&gt;=4,"A",IF('Data Source'!Y847&gt;=3.5,"A-",IF('Data Source'!Y847&gt;=3,"B",IF('Data Source'!Y847&gt;=2,"C",IF('Data Source'!Y847&gt;=1,"D","F")))))),"")</f>
        <v/>
      </c>
      <c r="H847" s="3">
        <f>IF(AND('Data Source'!B847&lt;&gt;"",'Data Source'!S847="F"),IF('Data Source'!Z847&gt;=5,"A+",IF('Data Source'!Z847&gt;=4,"A",IF('Data Source'!Z847&gt;=3.5,"A-",IF('Data Source'!Z847&gt;=3,"B",IF('Data Source'!Z847&gt;=2,"C",IF('Data Source'!Z847&gt;=1,"D","F")))))),"")</f>
        <v/>
      </c>
      <c r="I847" s="3">
        <f>IF(AND('Data Source'!B847&lt;&gt;"",'Data Source'!S847="F"),IF('Data Source'!AA847&gt;=5,"A+",IF('Data Source'!AA847&gt;=4,"A",IF('Data Source'!AA847&gt;=3.5,"A-",IF('Data Source'!AA847&gt;=3,"B",IF('Data Source'!AA847&gt;=2,"C",IF('Data Source'!AA847&gt;=1,"D","F")))))),"")</f>
        <v/>
      </c>
      <c r="J847" s="3">
        <f>IF(AND('Data Source'!B847&lt;&gt;"",'Data Source'!S847="F"),IF('Data Source'!AB847&gt;=5,"A+",IF('Data Source'!AB847&gt;=4,"A",IF('Data Source'!AB847&gt;=3.5,"A-",IF('Data Source'!AB847&gt;=3,"B",IF('Data Source'!AB847&gt;=2,"C",IF('Data Source'!AB847&gt;=1,"D","F")))))),"")</f>
        <v/>
      </c>
      <c r="K847" s="3">
        <f>IF(AND('Data Source'!B847&lt;&gt;"",'Data Source'!S847="F"),IF('Data Source'!AC847&gt;=5,"A+",IF('Data Source'!AC847&gt;=4,"A",IF('Data Source'!AC847&gt;=3.5,"A-",IF('Data Source'!AC847&gt;=3,"B",IF('Data Source'!AC847&gt;=2,"C",IF('Data Source'!AC847&gt;=1,"D","F")))))),"")</f>
        <v/>
      </c>
      <c r="L847" s="3">
        <f>IF(AND('Data Source'!B847&lt;&gt;"",'Data Source'!S847="F"),IF('Data Source'!AD847&gt;=5,"A+",IF('Data Source'!AD847&gt;=4,"A",IF('Data Source'!AD847&gt;=3.5,"A-",IF('Data Source'!AD847&gt;=3,"B",IF('Data Source'!AD847&gt;=2,"C",IF('Data Source'!AD847&gt;=1,"D","F")))))),"")</f>
        <v/>
      </c>
      <c r="M847" s="3">
        <f>IF(AND('Data Source'!B847&lt;&gt;"",'Data Source'!S847="F"),IF('Data Source'!AE847&gt;=5,"A+",IF('Data Source'!AE847&gt;=4,"A",IF('Data Source'!AE847&gt;=3.5,"A-",IF('Data Source'!AE847&gt;=3,"B",IF('Data Source'!AE847&gt;=2,"C",IF('Data Source'!AE847&gt;=1,"D","F")))))),"")</f>
        <v/>
      </c>
      <c r="N847" s="3">
        <f>IF(AND('Data Source'!B847&lt;&gt;"",'Data Source'!S847="F"),IF('Data Source'!AF847&gt;=5,"A+",IF('Data Source'!AF847&gt;=4,"A",IF('Data Source'!AF847&gt;=3.5,"A-",IF('Data Source'!AF847&gt;=3,"B",IF('Data Source'!AF847&gt;=2,"C",IF('Data Source'!AF847&gt;=1,"D","F")))))),"")</f>
        <v/>
      </c>
      <c r="O847" s="3">
        <f>IF(AND('Data Source'!B847&lt;&gt;"",'Data Source'!S847="F"),IF('Data Source'!AG847&gt;=5,"A+",IF('Data Source'!AG847&gt;=4,"A",IF('Data Source'!AG847&gt;=3.5,"A-",IF('Data Source'!AG847&gt;=3,"B",IF('Data Source'!AG847&gt;=2,"C",IF('Data Source'!AG847&gt;=1,"D","F")))))),"")</f>
        <v/>
      </c>
      <c r="P847" s="5">
        <f>IF(AND('Data Source'!B847&lt;&gt;"",'Data Source'!S847="F"),'Data Source'!R847,"")</f>
        <v/>
      </c>
      <c r="Q847" s="3">
        <f>IF(AND('Data Source'!B847&lt;&gt;"",'Data Source'!S847="F"),'Data Source'!S847,"")</f>
        <v/>
      </c>
    </row>
    <row r="848">
      <c r="A848" s="3">
        <f>IF(AND('Data Source'!B848&lt;&gt;"",'Data Source'!S848="F"),COUNTIF('Data Source'!$S$3:S848,"F"),"")</f>
        <v/>
      </c>
      <c r="B848">
        <f>IF(AND('Data Source'!B848&lt;&gt;"",'Data Source'!S848="F"),'Data Source'!B848,"")</f>
        <v/>
      </c>
      <c r="C848" s="3">
        <f>IF(AND('Data Source'!B848&lt;&gt;"",'Data Source'!S848="F"),IF('Data Source'!U848&gt;=5,"A+",IF('Data Source'!U848&gt;=4,"A",IF('Data Source'!U848&gt;=3.5,"A-",IF('Data Source'!U848&gt;=3,"B",IF('Data Source'!U848&gt;=2,"C",IF('Data Source'!U848&gt;=1,"D","F")))))),"")</f>
        <v/>
      </c>
      <c r="D848" s="3">
        <f>IF(AND('Data Source'!B848&lt;&gt;"",'Data Source'!S848="F"),IF('Data Source'!V848&gt;=5,"A+",IF('Data Source'!V848&gt;=4,"A",IF('Data Source'!V848&gt;=3.5,"A-",IF('Data Source'!V848&gt;=3,"B",IF('Data Source'!V848&gt;=2,"C",IF('Data Source'!V848&gt;=1,"D","F")))))),"")</f>
        <v/>
      </c>
      <c r="E848" s="3">
        <f>IF(AND('Data Source'!B848&lt;&gt;"",'Data Source'!S848="F"),IF('Data Source'!W848&gt;=5,"A+",IF('Data Source'!W848&gt;=4,"A",IF('Data Source'!W848&gt;=3.5,"A-",IF('Data Source'!W848&gt;=3,"B",IF('Data Source'!W848&gt;=2,"C",IF('Data Source'!W848&gt;=1,"D","F")))))),"")</f>
        <v/>
      </c>
      <c r="F848" s="3">
        <f>IF(AND('Data Source'!B848&lt;&gt;"",'Data Source'!S848="F"),IF('Data Source'!X848&gt;=5,"A+",IF('Data Source'!X848&gt;=4,"A",IF('Data Source'!X848&gt;=3.5,"A-",IF('Data Source'!X848&gt;=3,"B",IF('Data Source'!X848&gt;=2,"C",IF('Data Source'!X848&gt;=1,"D","F")))))),"")</f>
        <v/>
      </c>
      <c r="G848" s="3">
        <f>IF(AND('Data Source'!B848&lt;&gt;"",'Data Source'!S848="F"),IF('Data Source'!Y848&gt;=5,"A+",IF('Data Source'!Y848&gt;=4,"A",IF('Data Source'!Y848&gt;=3.5,"A-",IF('Data Source'!Y848&gt;=3,"B",IF('Data Source'!Y848&gt;=2,"C",IF('Data Source'!Y848&gt;=1,"D","F")))))),"")</f>
        <v/>
      </c>
      <c r="H848" s="3">
        <f>IF(AND('Data Source'!B848&lt;&gt;"",'Data Source'!S848="F"),IF('Data Source'!Z848&gt;=5,"A+",IF('Data Source'!Z848&gt;=4,"A",IF('Data Source'!Z848&gt;=3.5,"A-",IF('Data Source'!Z848&gt;=3,"B",IF('Data Source'!Z848&gt;=2,"C",IF('Data Source'!Z848&gt;=1,"D","F")))))),"")</f>
        <v/>
      </c>
      <c r="I848" s="3">
        <f>IF(AND('Data Source'!B848&lt;&gt;"",'Data Source'!S848="F"),IF('Data Source'!AA848&gt;=5,"A+",IF('Data Source'!AA848&gt;=4,"A",IF('Data Source'!AA848&gt;=3.5,"A-",IF('Data Source'!AA848&gt;=3,"B",IF('Data Source'!AA848&gt;=2,"C",IF('Data Source'!AA848&gt;=1,"D","F")))))),"")</f>
        <v/>
      </c>
      <c r="J848" s="3">
        <f>IF(AND('Data Source'!B848&lt;&gt;"",'Data Source'!S848="F"),IF('Data Source'!AB848&gt;=5,"A+",IF('Data Source'!AB848&gt;=4,"A",IF('Data Source'!AB848&gt;=3.5,"A-",IF('Data Source'!AB848&gt;=3,"B",IF('Data Source'!AB848&gt;=2,"C",IF('Data Source'!AB848&gt;=1,"D","F")))))),"")</f>
        <v/>
      </c>
      <c r="K848" s="3">
        <f>IF(AND('Data Source'!B848&lt;&gt;"",'Data Source'!S848="F"),IF('Data Source'!AC848&gt;=5,"A+",IF('Data Source'!AC848&gt;=4,"A",IF('Data Source'!AC848&gt;=3.5,"A-",IF('Data Source'!AC848&gt;=3,"B",IF('Data Source'!AC848&gt;=2,"C",IF('Data Source'!AC848&gt;=1,"D","F")))))),"")</f>
        <v/>
      </c>
      <c r="L848" s="3">
        <f>IF(AND('Data Source'!B848&lt;&gt;"",'Data Source'!S848="F"),IF('Data Source'!AD848&gt;=5,"A+",IF('Data Source'!AD848&gt;=4,"A",IF('Data Source'!AD848&gt;=3.5,"A-",IF('Data Source'!AD848&gt;=3,"B",IF('Data Source'!AD848&gt;=2,"C",IF('Data Source'!AD848&gt;=1,"D","F")))))),"")</f>
        <v/>
      </c>
      <c r="M848" s="3">
        <f>IF(AND('Data Source'!B848&lt;&gt;"",'Data Source'!S848="F"),IF('Data Source'!AE848&gt;=5,"A+",IF('Data Source'!AE848&gt;=4,"A",IF('Data Source'!AE848&gt;=3.5,"A-",IF('Data Source'!AE848&gt;=3,"B",IF('Data Source'!AE848&gt;=2,"C",IF('Data Source'!AE848&gt;=1,"D","F")))))),"")</f>
        <v/>
      </c>
      <c r="N848" s="3">
        <f>IF(AND('Data Source'!B848&lt;&gt;"",'Data Source'!S848="F"),IF('Data Source'!AF848&gt;=5,"A+",IF('Data Source'!AF848&gt;=4,"A",IF('Data Source'!AF848&gt;=3.5,"A-",IF('Data Source'!AF848&gt;=3,"B",IF('Data Source'!AF848&gt;=2,"C",IF('Data Source'!AF848&gt;=1,"D","F")))))),"")</f>
        <v/>
      </c>
      <c r="O848" s="3">
        <f>IF(AND('Data Source'!B848&lt;&gt;"",'Data Source'!S848="F"),IF('Data Source'!AG848&gt;=5,"A+",IF('Data Source'!AG848&gt;=4,"A",IF('Data Source'!AG848&gt;=3.5,"A-",IF('Data Source'!AG848&gt;=3,"B",IF('Data Source'!AG848&gt;=2,"C",IF('Data Source'!AG848&gt;=1,"D","F")))))),"")</f>
        <v/>
      </c>
      <c r="P848" s="5">
        <f>IF(AND('Data Source'!B848&lt;&gt;"",'Data Source'!S848="F"),'Data Source'!R848,"")</f>
        <v/>
      </c>
      <c r="Q848" s="3">
        <f>IF(AND('Data Source'!B848&lt;&gt;"",'Data Source'!S848="F"),'Data Source'!S848,"")</f>
        <v/>
      </c>
    </row>
    <row r="849">
      <c r="A849" s="3">
        <f>IF(AND('Data Source'!B849&lt;&gt;"",'Data Source'!S849="F"),COUNTIF('Data Source'!$S$3:S849,"F"),"")</f>
        <v/>
      </c>
      <c r="B849">
        <f>IF(AND('Data Source'!B849&lt;&gt;"",'Data Source'!S849="F"),'Data Source'!B849,"")</f>
        <v/>
      </c>
      <c r="C849" s="3">
        <f>IF(AND('Data Source'!B849&lt;&gt;"",'Data Source'!S849="F"),IF('Data Source'!U849&gt;=5,"A+",IF('Data Source'!U849&gt;=4,"A",IF('Data Source'!U849&gt;=3.5,"A-",IF('Data Source'!U849&gt;=3,"B",IF('Data Source'!U849&gt;=2,"C",IF('Data Source'!U849&gt;=1,"D","F")))))),"")</f>
        <v/>
      </c>
      <c r="D849" s="3">
        <f>IF(AND('Data Source'!B849&lt;&gt;"",'Data Source'!S849="F"),IF('Data Source'!V849&gt;=5,"A+",IF('Data Source'!V849&gt;=4,"A",IF('Data Source'!V849&gt;=3.5,"A-",IF('Data Source'!V849&gt;=3,"B",IF('Data Source'!V849&gt;=2,"C",IF('Data Source'!V849&gt;=1,"D","F")))))),"")</f>
        <v/>
      </c>
      <c r="E849" s="3">
        <f>IF(AND('Data Source'!B849&lt;&gt;"",'Data Source'!S849="F"),IF('Data Source'!W849&gt;=5,"A+",IF('Data Source'!W849&gt;=4,"A",IF('Data Source'!W849&gt;=3.5,"A-",IF('Data Source'!W849&gt;=3,"B",IF('Data Source'!W849&gt;=2,"C",IF('Data Source'!W849&gt;=1,"D","F")))))),"")</f>
        <v/>
      </c>
      <c r="F849" s="3">
        <f>IF(AND('Data Source'!B849&lt;&gt;"",'Data Source'!S849="F"),IF('Data Source'!X849&gt;=5,"A+",IF('Data Source'!X849&gt;=4,"A",IF('Data Source'!X849&gt;=3.5,"A-",IF('Data Source'!X849&gt;=3,"B",IF('Data Source'!X849&gt;=2,"C",IF('Data Source'!X849&gt;=1,"D","F")))))),"")</f>
        <v/>
      </c>
      <c r="G849" s="3">
        <f>IF(AND('Data Source'!B849&lt;&gt;"",'Data Source'!S849="F"),IF('Data Source'!Y849&gt;=5,"A+",IF('Data Source'!Y849&gt;=4,"A",IF('Data Source'!Y849&gt;=3.5,"A-",IF('Data Source'!Y849&gt;=3,"B",IF('Data Source'!Y849&gt;=2,"C",IF('Data Source'!Y849&gt;=1,"D","F")))))),"")</f>
        <v/>
      </c>
      <c r="H849" s="3">
        <f>IF(AND('Data Source'!B849&lt;&gt;"",'Data Source'!S849="F"),IF('Data Source'!Z849&gt;=5,"A+",IF('Data Source'!Z849&gt;=4,"A",IF('Data Source'!Z849&gt;=3.5,"A-",IF('Data Source'!Z849&gt;=3,"B",IF('Data Source'!Z849&gt;=2,"C",IF('Data Source'!Z849&gt;=1,"D","F")))))),"")</f>
        <v/>
      </c>
      <c r="I849" s="3">
        <f>IF(AND('Data Source'!B849&lt;&gt;"",'Data Source'!S849="F"),IF('Data Source'!AA849&gt;=5,"A+",IF('Data Source'!AA849&gt;=4,"A",IF('Data Source'!AA849&gt;=3.5,"A-",IF('Data Source'!AA849&gt;=3,"B",IF('Data Source'!AA849&gt;=2,"C",IF('Data Source'!AA849&gt;=1,"D","F")))))),"")</f>
        <v/>
      </c>
      <c r="J849" s="3">
        <f>IF(AND('Data Source'!B849&lt;&gt;"",'Data Source'!S849="F"),IF('Data Source'!AB849&gt;=5,"A+",IF('Data Source'!AB849&gt;=4,"A",IF('Data Source'!AB849&gt;=3.5,"A-",IF('Data Source'!AB849&gt;=3,"B",IF('Data Source'!AB849&gt;=2,"C",IF('Data Source'!AB849&gt;=1,"D","F")))))),"")</f>
        <v/>
      </c>
      <c r="K849" s="3">
        <f>IF(AND('Data Source'!B849&lt;&gt;"",'Data Source'!S849="F"),IF('Data Source'!AC849&gt;=5,"A+",IF('Data Source'!AC849&gt;=4,"A",IF('Data Source'!AC849&gt;=3.5,"A-",IF('Data Source'!AC849&gt;=3,"B",IF('Data Source'!AC849&gt;=2,"C",IF('Data Source'!AC849&gt;=1,"D","F")))))),"")</f>
        <v/>
      </c>
      <c r="L849" s="3">
        <f>IF(AND('Data Source'!B849&lt;&gt;"",'Data Source'!S849="F"),IF('Data Source'!AD849&gt;=5,"A+",IF('Data Source'!AD849&gt;=4,"A",IF('Data Source'!AD849&gt;=3.5,"A-",IF('Data Source'!AD849&gt;=3,"B",IF('Data Source'!AD849&gt;=2,"C",IF('Data Source'!AD849&gt;=1,"D","F")))))),"")</f>
        <v/>
      </c>
      <c r="M849" s="3">
        <f>IF(AND('Data Source'!B849&lt;&gt;"",'Data Source'!S849="F"),IF('Data Source'!AE849&gt;=5,"A+",IF('Data Source'!AE849&gt;=4,"A",IF('Data Source'!AE849&gt;=3.5,"A-",IF('Data Source'!AE849&gt;=3,"B",IF('Data Source'!AE849&gt;=2,"C",IF('Data Source'!AE849&gt;=1,"D","F")))))),"")</f>
        <v/>
      </c>
      <c r="N849" s="3">
        <f>IF(AND('Data Source'!B849&lt;&gt;"",'Data Source'!S849="F"),IF('Data Source'!AF849&gt;=5,"A+",IF('Data Source'!AF849&gt;=4,"A",IF('Data Source'!AF849&gt;=3.5,"A-",IF('Data Source'!AF849&gt;=3,"B",IF('Data Source'!AF849&gt;=2,"C",IF('Data Source'!AF849&gt;=1,"D","F")))))),"")</f>
        <v/>
      </c>
      <c r="O849" s="3">
        <f>IF(AND('Data Source'!B849&lt;&gt;"",'Data Source'!S849="F"),IF('Data Source'!AG849&gt;=5,"A+",IF('Data Source'!AG849&gt;=4,"A",IF('Data Source'!AG849&gt;=3.5,"A-",IF('Data Source'!AG849&gt;=3,"B",IF('Data Source'!AG849&gt;=2,"C",IF('Data Source'!AG849&gt;=1,"D","F")))))),"")</f>
        <v/>
      </c>
      <c r="P849" s="5">
        <f>IF(AND('Data Source'!B849&lt;&gt;"",'Data Source'!S849="F"),'Data Source'!R849,"")</f>
        <v/>
      </c>
      <c r="Q849" s="3">
        <f>IF(AND('Data Source'!B849&lt;&gt;"",'Data Source'!S849="F"),'Data Source'!S849,"")</f>
        <v/>
      </c>
    </row>
    <row r="850">
      <c r="A850" s="3">
        <f>IF(AND('Data Source'!B850&lt;&gt;"",'Data Source'!S850="F"),COUNTIF('Data Source'!$S$3:S850,"F"),"")</f>
        <v/>
      </c>
      <c r="B850">
        <f>IF(AND('Data Source'!B850&lt;&gt;"",'Data Source'!S850="F"),'Data Source'!B850,"")</f>
        <v/>
      </c>
      <c r="C850" s="3">
        <f>IF(AND('Data Source'!B850&lt;&gt;"",'Data Source'!S850="F"),IF('Data Source'!U850&gt;=5,"A+",IF('Data Source'!U850&gt;=4,"A",IF('Data Source'!U850&gt;=3.5,"A-",IF('Data Source'!U850&gt;=3,"B",IF('Data Source'!U850&gt;=2,"C",IF('Data Source'!U850&gt;=1,"D","F")))))),"")</f>
        <v/>
      </c>
      <c r="D850" s="3">
        <f>IF(AND('Data Source'!B850&lt;&gt;"",'Data Source'!S850="F"),IF('Data Source'!V850&gt;=5,"A+",IF('Data Source'!V850&gt;=4,"A",IF('Data Source'!V850&gt;=3.5,"A-",IF('Data Source'!V850&gt;=3,"B",IF('Data Source'!V850&gt;=2,"C",IF('Data Source'!V850&gt;=1,"D","F")))))),"")</f>
        <v/>
      </c>
      <c r="E850" s="3">
        <f>IF(AND('Data Source'!B850&lt;&gt;"",'Data Source'!S850="F"),IF('Data Source'!W850&gt;=5,"A+",IF('Data Source'!W850&gt;=4,"A",IF('Data Source'!W850&gt;=3.5,"A-",IF('Data Source'!W850&gt;=3,"B",IF('Data Source'!W850&gt;=2,"C",IF('Data Source'!W850&gt;=1,"D","F")))))),"")</f>
        <v/>
      </c>
      <c r="F850" s="3">
        <f>IF(AND('Data Source'!B850&lt;&gt;"",'Data Source'!S850="F"),IF('Data Source'!X850&gt;=5,"A+",IF('Data Source'!X850&gt;=4,"A",IF('Data Source'!X850&gt;=3.5,"A-",IF('Data Source'!X850&gt;=3,"B",IF('Data Source'!X850&gt;=2,"C",IF('Data Source'!X850&gt;=1,"D","F")))))),"")</f>
        <v/>
      </c>
      <c r="G850" s="3">
        <f>IF(AND('Data Source'!B850&lt;&gt;"",'Data Source'!S850="F"),IF('Data Source'!Y850&gt;=5,"A+",IF('Data Source'!Y850&gt;=4,"A",IF('Data Source'!Y850&gt;=3.5,"A-",IF('Data Source'!Y850&gt;=3,"B",IF('Data Source'!Y850&gt;=2,"C",IF('Data Source'!Y850&gt;=1,"D","F")))))),"")</f>
        <v/>
      </c>
      <c r="H850" s="3">
        <f>IF(AND('Data Source'!B850&lt;&gt;"",'Data Source'!S850="F"),IF('Data Source'!Z850&gt;=5,"A+",IF('Data Source'!Z850&gt;=4,"A",IF('Data Source'!Z850&gt;=3.5,"A-",IF('Data Source'!Z850&gt;=3,"B",IF('Data Source'!Z850&gt;=2,"C",IF('Data Source'!Z850&gt;=1,"D","F")))))),"")</f>
        <v/>
      </c>
      <c r="I850" s="3">
        <f>IF(AND('Data Source'!B850&lt;&gt;"",'Data Source'!S850="F"),IF('Data Source'!AA850&gt;=5,"A+",IF('Data Source'!AA850&gt;=4,"A",IF('Data Source'!AA850&gt;=3.5,"A-",IF('Data Source'!AA850&gt;=3,"B",IF('Data Source'!AA850&gt;=2,"C",IF('Data Source'!AA850&gt;=1,"D","F")))))),"")</f>
        <v/>
      </c>
      <c r="J850" s="3">
        <f>IF(AND('Data Source'!B850&lt;&gt;"",'Data Source'!S850="F"),IF('Data Source'!AB850&gt;=5,"A+",IF('Data Source'!AB850&gt;=4,"A",IF('Data Source'!AB850&gt;=3.5,"A-",IF('Data Source'!AB850&gt;=3,"B",IF('Data Source'!AB850&gt;=2,"C",IF('Data Source'!AB850&gt;=1,"D","F")))))),"")</f>
        <v/>
      </c>
      <c r="K850" s="3">
        <f>IF(AND('Data Source'!B850&lt;&gt;"",'Data Source'!S850="F"),IF('Data Source'!AC850&gt;=5,"A+",IF('Data Source'!AC850&gt;=4,"A",IF('Data Source'!AC850&gt;=3.5,"A-",IF('Data Source'!AC850&gt;=3,"B",IF('Data Source'!AC850&gt;=2,"C",IF('Data Source'!AC850&gt;=1,"D","F")))))),"")</f>
        <v/>
      </c>
      <c r="L850" s="3">
        <f>IF(AND('Data Source'!B850&lt;&gt;"",'Data Source'!S850="F"),IF('Data Source'!AD850&gt;=5,"A+",IF('Data Source'!AD850&gt;=4,"A",IF('Data Source'!AD850&gt;=3.5,"A-",IF('Data Source'!AD850&gt;=3,"B",IF('Data Source'!AD850&gt;=2,"C",IF('Data Source'!AD850&gt;=1,"D","F")))))),"")</f>
        <v/>
      </c>
      <c r="M850" s="3">
        <f>IF(AND('Data Source'!B850&lt;&gt;"",'Data Source'!S850="F"),IF('Data Source'!AE850&gt;=5,"A+",IF('Data Source'!AE850&gt;=4,"A",IF('Data Source'!AE850&gt;=3.5,"A-",IF('Data Source'!AE850&gt;=3,"B",IF('Data Source'!AE850&gt;=2,"C",IF('Data Source'!AE850&gt;=1,"D","F")))))),"")</f>
        <v/>
      </c>
      <c r="N850" s="3">
        <f>IF(AND('Data Source'!B850&lt;&gt;"",'Data Source'!S850="F"),IF('Data Source'!AF850&gt;=5,"A+",IF('Data Source'!AF850&gt;=4,"A",IF('Data Source'!AF850&gt;=3.5,"A-",IF('Data Source'!AF850&gt;=3,"B",IF('Data Source'!AF850&gt;=2,"C",IF('Data Source'!AF850&gt;=1,"D","F")))))),"")</f>
        <v/>
      </c>
      <c r="O850" s="3">
        <f>IF(AND('Data Source'!B850&lt;&gt;"",'Data Source'!S850="F"),IF('Data Source'!AG850&gt;=5,"A+",IF('Data Source'!AG850&gt;=4,"A",IF('Data Source'!AG850&gt;=3.5,"A-",IF('Data Source'!AG850&gt;=3,"B",IF('Data Source'!AG850&gt;=2,"C",IF('Data Source'!AG850&gt;=1,"D","F")))))),"")</f>
        <v/>
      </c>
      <c r="P850" s="5">
        <f>IF(AND('Data Source'!B850&lt;&gt;"",'Data Source'!S850="F"),'Data Source'!R850,"")</f>
        <v/>
      </c>
      <c r="Q850" s="3">
        <f>IF(AND('Data Source'!B850&lt;&gt;"",'Data Source'!S850="F"),'Data Source'!S850,"")</f>
        <v/>
      </c>
    </row>
    <row r="851">
      <c r="A851" s="3">
        <f>IF(AND('Data Source'!B851&lt;&gt;"",'Data Source'!S851="F"),COUNTIF('Data Source'!$S$3:S851,"F"),"")</f>
        <v/>
      </c>
      <c r="B851">
        <f>IF(AND('Data Source'!B851&lt;&gt;"",'Data Source'!S851="F"),'Data Source'!B851,"")</f>
        <v/>
      </c>
      <c r="C851" s="3">
        <f>IF(AND('Data Source'!B851&lt;&gt;"",'Data Source'!S851="F"),IF('Data Source'!U851&gt;=5,"A+",IF('Data Source'!U851&gt;=4,"A",IF('Data Source'!U851&gt;=3.5,"A-",IF('Data Source'!U851&gt;=3,"B",IF('Data Source'!U851&gt;=2,"C",IF('Data Source'!U851&gt;=1,"D","F")))))),"")</f>
        <v/>
      </c>
      <c r="D851" s="3">
        <f>IF(AND('Data Source'!B851&lt;&gt;"",'Data Source'!S851="F"),IF('Data Source'!V851&gt;=5,"A+",IF('Data Source'!V851&gt;=4,"A",IF('Data Source'!V851&gt;=3.5,"A-",IF('Data Source'!V851&gt;=3,"B",IF('Data Source'!V851&gt;=2,"C",IF('Data Source'!V851&gt;=1,"D","F")))))),"")</f>
        <v/>
      </c>
      <c r="E851" s="3">
        <f>IF(AND('Data Source'!B851&lt;&gt;"",'Data Source'!S851="F"),IF('Data Source'!W851&gt;=5,"A+",IF('Data Source'!W851&gt;=4,"A",IF('Data Source'!W851&gt;=3.5,"A-",IF('Data Source'!W851&gt;=3,"B",IF('Data Source'!W851&gt;=2,"C",IF('Data Source'!W851&gt;=1,"D","F")))))),"")</f>
        <v/>
      </c>
      <c r="F851" s="3">
        <f>IF(AND('Data Source'!B851&lt;&gt;"",'Data Source'!S851="F"),IF('Data Source'!X851&gt;=5,"A+",IF('Data Source'!X851&gt;=4,"A",IF('Data Source'!X851&gt;=3.5,"A-",IF('Data Source'!X851&gt;=3,"B",IF('Data Source'!X851&gt;=2,"C",IF('Data Source'!X851&gt;=1,"D","F")))))),"")</f>
        <v/>
      </c>
      <c r="G851" s="3">
        <f>IF(AND('Data Source'!B851&lt;&gt;"",'Data Source'!S851="F"),IF('Data Source'!Y851&gt;=5,"A+",IF('Data Source'!Y851&gt;=4,"A",IF('Data Source'!Y851&gt;=3.5,"A-",IF('Data Source'!Y851&gt;=3,"B",IF('Data Source'!Y851&gt;=2,"C",IF('Data Source'!Y851&gt;=1,"D","F")))))),"")</f>
        <v/>
      </c>
      <c r="H851" s="3">
        <f>IF(AND('Data Source'!B851&lt;&gt;"",'Data Source'!S851="F"),IF('Data Source'!Z851&gt;=5,"A+",IF('Data Source'!Z851&gt;=4,"A",IF('Data Source'!Z851&gt;=3.5,"A-",IF('Data Source'!Z851&gt;=3,"B",IF('Data Source'!Z851&gt;=2,"C",IF('Data Source'!Z851&gt;=1,"D","F")))))),"")</f>
        <v/>
      </c>
      <c r="I851" s="3">
        <f>IF(AND('Data Source'!B851&lt;&gt;"",'Data Source'!S851="F"),IF('Data Source'!AA851&gt;=5,"A+",IF('Data Source'!AA851&gt;=4,"A",IF('Data Source'!AA851&gt;=3.5,"A-",IF('Data Source'!AA851&gt;=3,"B",IF('Data Source'!AA851&gt;=2,"C",IF('Data Source'!AA851&gt;=1,"D","F")))))),"")</f>
        <v/>
      </c>
      <c r="J851" s="3">
        <f>IF(AND('Data Source'!B851&lt;&gt;"",'Data Source'!S851="F"),IF('Data Source'!AB851&gt;=5,"A+",IF('Data Source'!AB851&gt;=4,"A",IF('Data Source'!AB851&gt;=3.5,"A-",IF('Data Source'!AB851&gt;=3,"B",IF('Data Source'!AB851&gt;=2,"C",IF('Data Source'!AB851&gt;=1,"D","F")))))),"")</f>
        <v/>
      </c>
      <c r="K851" s="3">
        <f>IF(AND('Data Source'!B851&lt;&gt;"",'Data Source'!S851="F"),IF('Data Source'!AC851&gt;=5,"A+",IF('Data Source'!AC851&gt;=4,"A",IF('Data Source'!AC851&gt;=3.5,"A-",IF('Data Source'!AC851&gt;=3,"B",IF('Data Source'!AC851&gt;=2,"C",IF('Data Source'!AC851&gt;=1,"D","F")))))),"")</f>
        <v/>
      </c>
      <c r="L851" s="3">
        <f>IF(AND('Data Source'!B851&lt;&gt;"",'Data Source'!S851="F"),IF('Data Source'!AD851&gt;=5,"A+",IF('Data Source'!AD851&gt;=4,"A",IF('Data Source'!AD851&gt;=3.5,"A-",IF('Data Source'!AD851&gt;=3,"B",IF('Data Source'!AD851&gt;=2,"C",IF('Data Source'!AD851&gt;=1,"D","F")))))),"")</f>
        <v/>
      </c>
      <c r="M851" s="3">
        <f>IF(AND('Data Source'!B851&lt;&gt;"",'Data Source'!S851="F"),IF('Data Source'!AE851&gt;=5,"A+",IF('Data Source'!AE851&gt;=4,"A",IF('Data Source'!AE851&gt;=3.5,"A-",IF('Data Source'!AE851&gt;=3,"B",IF('Data Source'!AE851&gt;=2,"C",IF('Data Source'!AE851&gt;=1,"D","F")))))),"")</f>
        <v/>
      </c>
      <c r="N851" s="3">
        <f>IF(AND('Data Source'!B851&lt;&gt;"",'Data Source'!S851="F"),IF('Data Source'!AF851&gt;=5,"A+",IF('Data Source'!AF851&gt;=4,"A",IF('Data Source'!AF851&gt;=3.5,"A-",IF('Data Source'!AF851&gt;=3,"B",IF('Data Source'!AF851&gt;=2,"C",IF('Data Source'!AF851&gt;=1,"D","F")))))),"")</f>
        <v/>
      </c>
      <c r="O851" s="3">
        <f>IF(AND('Data Source'!B851&lt;&gt;"",'Data Source'!S851="F"),IF('Data Source'!AG851&gt;=5,"A+",IF('Data Source'!AG851&gt;=4,"A",IF('Data Source'!AG851&gt;=3.5,"A-",IF('Data Source'!AG851&gt;=3,"B",IF('Data Source'!AG851&gt;=2,"C",IF('Data Source'!AG851&gt;=1,"D","F")))))),"")</f>
        <v/>
      </c>
      <c r="P851" s="5">
        <f>IF(AND('Data Source'!B851&lt;&gt;"",'Data Source'!S851="F"),'Data Source'!R851,"")</f>
        <v/>
      </c>
      <c r="Q851" s="3">
        <f>IF(AND('Data Source'!B851&lt;&gt;"",'Data Source'!S851="F"),'Data Source'!S851,"")</f>
        <v/>
      </c>
    </row>
    <row r="852">
      <c r="A852" s="3">
        <f>IF(AND('Data Source'!B852&lt;&gt;"",'Data Source'!S852="F"),COUNTIF('Data Source'!$S$3:S852,"F"),"")</f>
        <v/>
      </c>
      <c r="B852">
        <f>IF(AND('Data Source'!B852&lt;&gt;"",'Data Source'!S852="F"),'Data Source'!B852,"")</f>
        <v/>
      </c>
      <c r="C852" s="3">
        <f>IF(AND('Data Source'!B852&lt;&gt;"",'Data Source'!S852="F"),IF('Data Source'!U852&gt;=5,"A+",IF('Data Source'!U852&gt;=4,"A",IF('Data Source'!U852&gt;=3.5,"A-",IF('Data Source'!U852&gt;=3,"B",IF('Data Source'!U852&gt;=2,"C",IF('Data Source'!U852&gt;=1,"D","F")))))),"")</f>
        <v/>
      </c>
      <c r="D852" s="3">
        <f>IF(AND('Data Source'!B852&lt;&gt;"",'Data Source'!S852="F"),IF('Data Source'!V852&gt;=5,"A+",IF('Data Source'!V852&gt;=4,"A",IF('Data Source'!V852&gt;=3.5,"A-",IF('Data Source'!V852&gt;=3,"B",IF('Data Source'!V852&gt;=2,"C",IF('Data Source'!V852&gt;=1,"D","F")))))),"")</f>
        <v/>
      </c>
      <c r="E852" s="3">
        <f>IF(AND('Data Source'!B852&lt;&gt;"",'Data Source'!S852="F"),IF('Data Source'!W852&gt;=5,"A+",IF('Data Source'!W852&gt;=4,"A",IF('Data Source'!W852&gt;=3.5,"A-",IF('Data Source'!W852&gt;=3,"B",IF('Data Source'!W852&gt;=2,"C",IF('Data Source'!W852&gt;=1,"D","F")))))),"")</f>
        <v/>
      </c>
      <c r="F852" s="3">
        <f>IF(AND('Data Source'!B852&lt;&gt;"",'Data Source'!S852="F"),IF('Data Source'!X852&gt;=5,"A+",IF('Data Source'!X852&gt;=4,"A",IF('Data Source'!X852&gt;=3.5,"A-",IF('Data Source'!X852&gt;=3,"B",IF('Data Source'!X852&gt;=2,"C",IF('Data Source'!X852&gt;=1,"D","F")))))),"")</f>
        <v/>
      </c>
      <c r="G852" s="3">
        <f>IF(AND('Data Source'!B852&lt;&gt;"",'Data Source'!S852="F"),IF('Data Source'!Y852&gt;=5,"A+",IF('Data Source'!Y852&gt;=4,"A",IF('Data Source'!Y852&gt;=3.5,"A-",IF('Data Source'!Y852&gt;=3,"B",IF('Data Source'!Y852&gt;=2,"C",IF('Data Source'!Y852&gt;=1,"D","F")))))),"")</f>
        <v/>
      </c>
      <c r="H852" s="3">
        <f>IF(AND('Data Source'!B852&lt;&gt;"",'Data Source'!S852="F"),IF('Data Source'!Z852&gt;=5,"A+",IF('Data Source'!Z852&gt;=4,"A",IF('Data Source'!Z852&gt;=3.5,"A-",IF('Data Source'!Z852&gt;=3,"B",IF('Data Source'!Z852&gt;=2,"C",IF('Data Source'!Z852&gt;=1,"D","F")))))),"")</f>
        <v/>
      </c>
      <c r="I852" s="3">
        <f>IF(AND('Data Source'!B852&lt;&gt;"",'Data Source'!S852="F"),IF('Data Source'!AA852&gt;=5,"A+",IF('Data Source'!AA852&gt;=4,"A",IF('Data Source'!AA852&gt;=3.5,"A-",IF('Data Source'!AA852&gt;=3,"B",IF('Data Source'!AA852&gt;=2,"C",IF('Data Source'!AA852&gt;=1,"D","F")))))),"")</f>
        <v/>
      </c>
      <c r="J852" s="3">
        <f>IF(AND('Data Source'!B852&lt;&gt;"",'Data Source'!S852="F"),IF('Data Source'!AB852&gt;=5,"A+",IF('Data Source'!AB852&gt;=4,"A",IF('Data Source'!AB852&gt;=3.5,"A-",IF('Data Source'!AB852&gt;=3,"B",IF('Data Source'!AB852&gt;=2,"C",IF('Data Source'!AB852&gt;=1,"D","F")))))),"")</f>
        <v/>
      </c>
      <c r="K852" s="3">
        <f>IF(AND('Data Source'!B852&lt;&gt;"",'Data Source'!S852="F"),IF('Data Source'!AC852&gt;=5,"A+",IF('Data Source'!AC852&gt;=4,"A",IF('Data Source'!AC852&gt;=3.5,"A-",IF('Data Source'!AC852&gt;=3,"B",IF('Data Source'!AC852&gt;=2,"C",IF('Data Source'!AC852&gt;=1,"D","F")))))),"")</f>
        <v/>
      </c>
      <c r="L852" s="3">
        <f>IF(AND('Data Source'!B852&lt;&gt;"",'Data Source'!S852="F"),IF('Data Source'!AD852&gt;=5,"A+",IF('Data Source'!AD852&gt;=4,"A",IF('Data Source'!AD852&gt;=3.5,"A-",IF('Data Source'!AD852&gt;=3,"B",IF('Data Source'!AD852&gt;=2,"C",IF('Data Source'!AD852&gt;=1,"D","F")))))),"")</f>
        <v/>
      </c>
      <c r="M852" s="3">
        <f>IF(AND('Data Source'!B852&lt;&gt;"",'Data Source'!S852="F"),IF('Data Source'!AE852&gt;=5,"A+",IF('Data Source'!AE852&gt;=4,"A",IF('Data Source'!AE852&gt;=3.5,"A-",IF('Data Source'!AE852&gt;=3,"B",IF('Data Source'!AE852&gt;=2,"C",IF('Data Source'!AE852&gt;=1,"D","F")))))),"")</f>
        <v/>
      </c>
      <c r="N852" s="3">
        <f>IF(AND('Data Source'!B852&lt;&gt;"",'Data Source'!S852="F"),IF('Data Source'!AF852&gt;=5,"A+",IF('Data Source'!AF852&gt;=4,"A",IF('Data Source'!AF852&gt;=3.5,"A-",IF('Data Source'!AF852&gt;=3,"B",IF('Data Source'!AF852&gt;=2,"C",IF('Data Source'!AF852&gt;=1,"D","F")))))),"")</f>
        <v/>
      </c>
      <c r="O852" s="3">
        <f>IF(AND('Data Source'!B852&lt;&gt;"",'Data Source'!S852="F"),IF('Data Source'!AG852&gt;=5,"A+",IF('Data Source'!AG852&gt;=4,"A",IF('Data Source'!AG852&gt;=3.5,"A-",IF('Data Source'!AG852&gt;=3,"B",IF('Data Source'!AG852&gt;=2,"C",IF('Data Source'!AG852&gt;=1,"D","F")))))),"")</f>
        <v/>
      </c>
      <c r="P852" s="5">
        <f>IF(AND('Data Source'!B852&lt;&gt;"",'Data Source'!S852="F"),'Data Source'!R852,"")</f>
        <v/>
      </c>
      <c r="Q852" s="3">
        <f>IF(AND('Data Source'!B852&lt;&gt;"",'Data Source'!S852="F"),'Data Source'!S852,"")</f>
        <v/>
      </c>
    </row>
    <row r="853">
      <c r="A853" s="3">
        <f>IF(AND('Data Source'!B853&lt;&gt;"",'Data Source'!S853="F"),COUNTIF('Data Source'!$S$3:S853,"F"),"")</f>
        <v/>
      </c>
      <c r="B853">
        <f>IF(AND('Data Source'!B853&lt;&gt;"",'Data Source'!S853="F"),'Data Source'!B853,"")</f>
        <v/>
      </c>
      <c r="C853" s="3">
        <f>IF(AND('Data Source'!B853&lt;&gt;"",'Data Source'!S853="F"),IF('Data Source'!U853&gt;=5,"A+",IF('Data Source'!U853&gt;=4,"A",IF('Data Source'!U853&gt;=3.5,"A-",IF('Data Source'!U853&gt;=3,"B",IF('Data Source'!U853&gt;=2,"C",IF('Data Source'!U853&gt;=1,"D","F")))))),"")</f>
        <v/>
      </c>
      <c r="D853" s="3">
        <f>IF(AND('Data Source'!B853&lt;&gt;"",'Data Source'!S853="F"),IF('Data Source'!V853&gt;=5,"A+",IF('Data Source'!V853&gt;=4,"A",IF('Data Source'!V853&gt;=3.5,"A-",IF('Data Source'!V853&gt;=3,"B",IF('Data Source'!V853&gt;=2,"C",IF('Data Source'!V853&gt;=1,"D","F")))))),"")</f>
        <v/>
      </c>
      <c r="E853" s="3">
        <f>IF(AND('Data Source'!B853&lt;&gt;"",'Data Source'!S853="F"),IF('Data Source'!W853&gt;=5,"A+",IF('Data Source'!W853&gt;=4,"A",IF('Data Source'!W853&gt;=3.5,"A-",IF('Data Source'!W853&gt;=3,"B",IF('Data Source'!W853&gt;=2,"C",IF('Data Source'!W853&gt;=1,"D","F")))))),"")</f>
        <v/>
      </c>
      <c r="F853" s="3">
        <f>IF(AND('Data Source'!B853&lt;&gt;"",'Data Source'!S853="F"),IF('Data Source'!X853&gt;=5,"A+",IF('Data Source'!X853&gt;=4,"A",IF('Data Source'!X853&gt;=3.5,"A-",IF('Data Source'!X853&gt;=3,"B",IF('Data Source'!X853&gt;=2,"C",IF('Data Source'!X853&gt;=1,"D","F")))))),"")</f>
        <v/>
      </c>
      <c r="G853" s="3">
        <f>IF(AND('Data Source'!B853&lt;&gt;"",'Data Source'!S853="F"),IF('Data Source'!Y853&gt;=5,"A+",IF('Data Source'!Y853&gt;=4,"A",IF('Data Source'!Y853&gt;=3.5,"A-",IF('Data Source'!Y853&gt;=3,"B",IF('Data Source'!Y853&gt;=2,"C",IF('Data Source'!Y853&gt;=1,"D","F")))))),"")</f>
        <v/>
      </c>
      <c r="H853" s="3">
        <f>IF(AND('Data Source'!B853&lt;&gt;"",'Data Source'!S853="F"),IF('Data Source'!Z853&gt;=5,"A+",IF('Data Source'!Z853&gt;=4,"A",IF('Data Source'!Z853&gt;=3.5,"A-",IF('Data Source'!Z853&gt;=3,"B",IF('Data Source'!Z853&gt;=2,"C",IF('Data Source'!Z853&gt;=1,"D","F")))))),"")</f>
        <v/>
      </c>
      <c r="I853" s="3">
        <f>IF(AND('Data Source'!B853&lt;&gt;"",'Data Source'!S853="F"),IF('Data Source'!AA853&gt;=5,"A+",IF('Data Source'!AA853&gt;=4,"A",IF('Data Source'!AA853&gt;=3.5,"A-",IF('Data Source'!AA853&gt;=3,"B",IF('Data Source'!AA853&gt;=2,"C",IF('Data Source'!AA853&gt;=1,"D","F")))))),"")</f>
        <v/>
      </c>
      <c r="J853" s="3">
        <f>IF(AND('Data Source'!B853&lt;&gt;"",'Data Source'!S853="F"),IF('Data Source'!AB853&gt;=5,"A+",IF('Data Source'!AB853&gt;=4,"A",IF('Data Source'!AB853&gt;=3.5,"A-",IF('Data Source'!AB853&gt;=3,"B",IF('Data Source'!AB853&gt;=2,"C",IF('Data Source'!AB853&gt;=1,"D","F")))))),"")</f>
        <v/>
      </c>
      <c r="K853" s="3">
        <f>IF(AND('Data Source'!B853&lt;&gt;"",'Data Source'!S853="F"),IF('Data Source'!AC853&gt;=5,"A+",IF('Data Source'!AC853&gt;=4,"A",IF('Data Source'!AC853&gt;=3.5,"A-",IF('Data Source'!AC853&gt;=3,"B",IF('Data Source'!AC853&gt;=2,"C",IF('Data Source'!AC853&gt;=1,"D","F")))))),"")</f>
        <v/>
      </c>
      <c r="L853" s="3">
        <f>IF(AND('Data Source'!B853&lt;&gt;"",'Data Source'!S853="F"),IF('Data Source'!AD853&gt;=5,"A+",IF('Data Source'!AD853&gt;=4,"A",IF('Data Source'!AD853&gt;=3.5,"A-",IF('Data Source'!AD853&gt;=3,"B",IF('Data Source'!AD853&gt;=2,"C",IF('Data Source'!AD853&gt;=1,"D","F")))))),"")</f>
        <v/>
      </c>
      <c r="M853" s="3">
        <f>IF(AND('Data Source'!B853&lt;&gt;"",'Data Source'!S853="F"),IF('Data Source'!AE853&gt;=5,"A+",IF('Data Source'!AE853&gt;=4,"A",IF('Data Source'!AE853&gt;=3.5,"A-",IF('Data Source'!AE853&gt;=3,"B",IF('Data Source'!AE853&gt;=2,"C",IF('Data Source'!AE853&gt;=1,"D","F")))))),"")</f>
        <v/>
      </c>
      <c r="N853" s="3">
        <f>IF(AND('Data Source'!B853&lt;&gt;"",'Data Source'!S853="F"),IF('Data Source'!AF853&gt;=5,"A+",IF('Data Source'!AF853&gt;=4,"A",IF('Data Source'!AF853&gt;=3.5,"A-",IF('Data Source'!AF853&gt;=3,"B",IF('Data Source'!AF853&gt;=2,"C",IF('Data Source'!AF853&gt;=1,"D","F")))))),"")</f>
        <v/>
      </c>
      <c r="O853" s="3">
        <f>IF(AND('Data Source'!B853&lt;&gt;"",'Data Source'!S853="F"),IF('Data Source'!AG853&gt;=5,"A+",IF('Data Source'!AG853&gt;=4,"A",IF('Data Source'!AG853&gt;=3.5,"A-",IF('Data Source'!AG853&gt;=3,"B",IF('Data Source'!AG853&gt;=2,"C",IF('Data Source'!AG853&gt;=1,"D","F")))))),"")</f>
        <v/>
      </c>
      <c r="P853" s="5">
        <f>IF(AND('Data Source'!B853&lt;&gt;"",'Data Source'!S853="F"),'Data Source'!R853,"")</f>
        <v/>
      </c>
      <c r="Q853" s="3">
        <f>IF(AND('Data Source'!B853&lt;&gt;"",'Data Source'!S853="F"),'Data Source'!S853,"")</f>
        <v/>
      </c>
    </row>
    <row r="854">
      <c r="A854" s="3">
        <f>IF(AND('Data Source'!B854&lt;&gt;"",'Data Source'!S854="F"),COUNTIF('Data Source'!$S$3:S854,"F"),"")</f>
        <v/>
      </c>
      <c r="B854">
        <f>IF(AND('Data Source'!B854&lt;&gt;"",'Data Source'!S854="F"),'Data Source'!B854,"")</f>
        <v/>
      </c>
      <c r="C854" s="3">
        <f>IF(AND('Data Source'!B854&lt;&gt;"",'Data Source'!S854="F"),IF('Data Source'!U854&gt;=5,"A+",IF('Data Source'!U854&gt;=4,"A",IF('Data Source'!U854&gt;=3.5,"A-",IF('Data Source'!U854&gt;=3,"B",IF('Data Source'!U854&gt;=2,"C",IF('Data Source'!U854&gt;=1,"D","F")))))),"")</f>
        <v/>
      </c>
      <c r="D854" s="3">
        <f>IF(AND('Data Source'!B854&lt;&gt;"",'Data Source'!S854="F"),IF('Data Source'!V854&gt;=5,"A+",IF('Data Source'!V854&gt;=4,"A",IF('Data Source'!V854&gt;=3.5,"A-",IF('Data Source'!V854&gt;=3,"B",IF('Data Source'!V854&gt;=2,"C",IF('Data Source'!V854&gt;=1,"D","F")))))),"")</f>
        <v/>
      </c>
      <c r="E854" s="3">
        <f>IF(AND('Data Source'!B854&lt;&gt;"",'Data Source'!S854="F"),IF('Data Source'!W854&gt;=5,"A+",IF('Data Source'!W854&gt;=4,"A",IF('Data Source'!W854&gt;=3.5,"A-",IF('Data Source'!W854&gt;=3,"B",IF('Data Source'!W854&gt;=2,"C",IF('Data Source'!W854&gt;=1,"D","F")))))),"")</f>
        <v/>
      </c>
      <c r="F854" s="3">
        <f>IF(AND('Data Source'!B854&lt;&gt;"",'Data Source'!S854="F"),IF('Data Source'!X854&gt;=5,"A+",IF('Data Source'!X854&gt;=4,"A",IF('Data Source'!X854&gt;=3.5,"A-",IF('Data Source'!X854&gt;=3,"B",IF('Data Source'!X854&gt;=2,"C",IF('Data Source'!X854&gt;=1,"D","F")))))),"")</f>
        <v/>
      </c>
      <c r="G854" s="3">
        <f>IF(AND('Data Source'!B854&lt;&gt;"",'Data Source'!S854="F"),IF('Data Source'!Y854&gt;=5,"A+",IF('Data Source'!Y854&gt;=4,"A",IF('Data Source'!Y854&gt;=3.5,"A-",IF('Data Source'!Y854&gt;=3,"B",IF('Data Source'!Y854&gt;=2,"C",IF('Data Source'!Y854&gt;=1,"D","F")))))),"")</f>
        <v/>
      </c>
      <c r="H854" s="3">
        <f>IF(AND('Data Source'!B854&lt;&gt;"",'Data Source'!S854="F"),IF('Data Source'!Z854&gt;=5,"A+",IF('Data Source'!Z854&gt;=4,"A",IF('Data Source'!Z854&gt;=3.5,"A-",IF('Data Source'!Z854&gt;=3,"B",IF('Data Source'!Z854&gt;=2,"C",IF('Data Source'!Z854&gt;=1,"D","F")))))),"")</f>
        <v/>
      </c>
      <c r="I854" s="3">
        <f>IF(AND('Data Source'!B854&lt;&gt;"",'Data Source'!S854="F"),IF('Data Source'!AA854&gt;=5,"A+",IF('Data Source'!AA854&gt;=4,"A",IF('Data Source'!AA854&gt;=3.5,"A-",IF('Data Source'!AA854&gt;=3,"B",IF('Data Source'!AA854&gt;=2,"C",IF('Data Source'!AA854&gt;=1,"D","F")))))),"")</f>
        <v/>
      </c>
      <c r="J854" s="3">
        <f>IF(AND('Data Source'!B854&lt;&gt;"",'Data Source'!S854="F"),IF('Data Source'!AB854&gt;=5,"A+",IF('Data Source'!AB854&gt;=4,"A",IF('Data Source'!AB854&gt;=3.5,"A-",IF('Data Source'!AB854&gt;=3,"B",IF('Data Source'!AB854&gt;=2,"C",IF('Data Source'!AB854&gt;=1,"D","F")))))),"")</f>
        <v/>
      </c>
      <c r="K854" s="3">
        <f>IF(AND('Data Source'!B854&lt;&gt;"",'Data Source'!S854="F"),IF('Data Source'!AC854&gt;=5,"A+",IF('Data Source'!AC854&gt;=4,"A",IF('Data Source'!AC854&gt;=3.5,"A-",IF('Data Source'!AC854&gt;=3,"B",IF('Data Source'!AC854&gt;=2,"C",IF('Data Source'!AC854&gt;=1,"D","F")))))),"")</f>
        <v/>
      </c>
      <c r="L854" s="3">
        <f>IF(AND('Data Source'!B854&lt;&gt;"",'Data Source'!S854="F"),IF('Data Source'!AD854&gt;=5,"A+",IF('Data Source'!AD854&gt;=4,"A",IF('Data Source'!AD854&gt;=3.5,"A-",IF('Data Source'!AD854&gt;=3,"B",IF('Data Source'!AD854&gt;=2,"C",IF('Data Source'!AD854&gt;=1,"D","F")))))),"")</f>
        <v/>
      </c>
      <c r="M854" s="3">
        <f>IF(AND('Data Source'!B854&lt;&gt;"",'Data Source'!S854="F"),IF('Data Source'!AE854&gt;=5,"A+",IF('Data Source'!AE854&gt;=4,"A",IF('Data Source'!AE854&gt;=3.5,"A-",IF('Data Source'!AE854&gt;=3,"B",IF('Data Source'!AE854&gt;=2,"C",IF('Data Source'!AE854&gt;=1,"D","F")))))),"")</f>
        <v/>
      </c>
      <c r="N854" s="3">
        <f>IF(AND('Data Source'!B854&lt;&gt;"",'Data Source'!S854="F"),IF('Data Source'!AF854&gt;=5,"A+",IF('Data Source'!AF854&gt;=4,"A",IF('Data Source'!AF854&gt;=3.5,"A-",IF('Data Source'!AF854&gt;=3,"B",IF('Data Source'!AF854&gt;=2,"C",IF('Data Source'!AF854&gt;=1,"D","F")))))),"")</f>
        <v/>
      </c>
      <c r="O854" s="3">
        <f>IF(AND('Data Source'!B854&lt;&gt;"",'Data Source'!S854="F"),IF('Data Source'!AG854&gt;=5,"A+",IF('Data Source'!AG854&gt;=4,"A",IF('Data Source'!AG854&gt;=3.5,"A-",IF('Data Source'!AG854&gt;=3,"B",IF('Data Source'!AG854&gt;=2,"C",IF('Data Source'!AG854&gt;=1,"D","F")))))),"")</f>
        <v/>
      </c>
      <c r="P854" s="5">
        <f>IF(AND('Data Source'!B854&lt;&gt;"",'Data Source'!S854="F"),'Data Source'!R854,"")</f>
        <v/>
      </c>
      <c r="Q854" s="3">
        <f>IF(AND('Data Source'!B854&lt;&gt;"",'Data Source'!S854="F"),'Data Source'!S854,"")</f>
        <v/>
      </c>
    </row>
    <row r="855">
      <c r="A855" s="3">
        <f>IF(AND('Data Source'!B855&lt;&gt;"",'Data Source'!S855="F"),COUNTIF('Data Source'!$S$3:S855,"F"),"")</f>
        <v/>
      </c>
      <c r="B855">
        <f>IF(AND('Data Source'!B855&lt;&gt;"",'Data Source'!S855="F"),'Data Source'!B855,"")</f>
        <v/>
      </c>
      <c r="C855" s="3">
        <f>IF(AND('Data Source'!B855&lt;&gt;"",'Data Source'!S855="F"),IF('Data Source'!U855&gt;=5,"A+",IF('Data Source'!U855&gt;=4,"A",IF('Data Source'!U855&gt;=3.5,"A-",IF('Data Source'!U855&gt;=3,"B",IF('Data Source'!U855&gt;=2,"C",IF('Data Source'!U855&gt;=1,"D","F")))))),"")</f>
        <v/>
      </c>
      <c r="D855" s="3">
        <f>IF(AND('Data Source'!B855&lt;&gt;"",'Data Source'!S855="F"),IF('Data Source'!V855&gt;=5,"A+",IF('Data Source'!V855&gt;=4,"A",IF('Data Source'!V855&gt;=3.5,"A-",IF('Data Source'!V855&gt;=3,"B",IF('Data Source'!V855&gt;=2,"C",IF('Data Source'!V855&gt;=1,"D","F")))))),"")</f>
        <v/>
      </c>
      <c r="E855" s="3">
        <f>IF(AND('Data Source'!B855&lt;&gt;"",'Data Source'!S855="F"),IF('Data Source'!W855&gt;=5,"A+",IF('Data Source'!W855&gt;=4,"A",IF('Data Source'!W855&gt;=3.5,"A-",IF('Data Source'!W855&gt;=3,"B",IF('Data Source'!W855&gt;=2,"C",IF('Data Source'!W855&gt;=1,"D","F")))))),"")</f>
        <v/>
      </c>
      <c r="F855" s="3">
        <f>IF(AND('Data Source'!B855&lt;&gt;"",'Data Source'!S855="F"),IF('Data Source'!X855&gt;=5,"A+",IF('Data Source'!X855&gt;=4,"A",IF('Data Source'!X855&gt;=3.5,"A-",IF('Data Source'!X855&gt;=3,"B",IF('Data Source'!X855&gt;=2,"C",IF('Data Source'!X855&gt;=1,"D","F")))))),"")</f>
        <v/>
      </c>
      <c r="G855" s="3">
        <f>IF(AND('Data Source'!B855&lt;&gt;"",'Data Source'!S855="F"),IF('Data Source'!Y855&gt;=5,"A+",IF('Data Source'!Y855&gt;=4,"A",IF('Data Source'!Y855&gt;=3.5,"A-",IF('Data Source'!Y855&gt;=3,"B",IF('Data Source'!Y855&gt;=2,"C",IF('Data Source'!Y855&gt;=1,"D","F")))))),"")</f>
        <v/>
      </c>
      <c r="H855" s="3">
        <f>IF(AND('Data Source'!B855&lt;&gt;"",'Data Source'!S855="F"),IF('Data Source'!Z855&gt;=5,"A+",IF('Data Source'!Z855&gt;=4,"A",IF('Data Source'!Z855&gt;=3.5,"A-",IF('Data Source'!Z855&gt;=3,"B",IF('Data Source'!Z855&gt;=2,"C",IF('Data Source'!Z855&gt;=1,"D","F")))))),"")</f>
        <v/>
      </c>
      <c r="I855" s="3">
        <f>IF(AND('Data Source'!B855&lt;&gt;"",'Data Source'!S855="F"),IF('Data Source'!AA855&gt;=5,"A+",IF('Data Source'!AA855&gt;=4,"A",IF('Data Source'!AA855&gt;=3.5,"A-",IF('Data Source'!AA855&gt;=3,"B",IF('Data Source'!AA855&gt;=2,"C",IF('Data Source'!AA855&gt;=1,"D","F")))))),"")</f>
        <v/>
      </c>
      <c r="J855" s="3">
        <f>IF(AND('Data Source'!B855&lt;&gt;"",'Data Source'!S855="F"),IF('Data Source'!AB855&gt;=5,"A+",IF('Data Source'!AB855&gt;=4,"A",IF('Data Source'!AB855&gt;=3.5,"A-",IF('Data Source'!AB855&gt;=3,"B",IF('Data Source'!AB855&gt;=2,"C",IF('Data Source'!AB855&gt;=1,"D","F")))))),"")</f>
        <v/>
      </c>
      <c r="K855" s="3">
        <f>IF(AND('Data Source'!B855&lt;&gt;"",'Data Source'!S855="F"),IF('Data Source'!AC855&gt;=5,"A+",IF('Data Source'!AC855&gt;=4,"A",IF('Data Source'!AC855&gt;=3.5,"A-",IF('Data Source'!AC855&gt;=3,"B",IF('Data Source'!AC855&gt;=2,"C",IF('Data Source'!AC855&gt;=1,"D","F")))))),"")</f>
        <v/>
      </c>
      <c r="L855" s="3">
        <f>IF(AND('Data Source'!B855&lt;&gt;"",'Data Source'!S855="F"),IF('Data Source'!AD855&gt;=5,"A+",IF('Data Source'!AD855&gt;=4,"A",IF('Data Source'!AD855&gt;=3.5,"A-",IF('Data Source'!AD855&gt;=3,"B",IF('Data Source'!AD855&gt;=2,"C",IF('Data Source'!AD855&gt;=1,"D","F")))))),"")</f>
        <v/>
      </c>
      <c r="M855" s="3">
        <f>IF(AND('Data Source'!B855&lt;&gt;"",'Data Source'!S855="F"),IF('Data Source'!AE855&gt;=5,"A+",IF('Data Source'!AE855&gt;=4,"A",IF('Data Source'!AE855&gt;=3.5,"A-",IF('Data Source'!AE855&gt;=3,"B",IF('Data Source'!AE855&gt;=2,"C",IF('Data Source'!AE855&gt;=1,"D","F")))))),"")</f>
        <v/>
      </c>
      <c r="N855" s="3">
        <f>IF(AND('Data Source'!B855&lt;&gt;"",'Data Source'!S855="F"),IF('Data Source'!AF855&gt;=5,"A+",IF('Data Source'!AF855&gt;=4,"A",IF('Data Source'!AF855&gt;=3.5,"A-",IF('Data Source'!AF855&gt;=3,"B",IF('Data Source'!AF855&gt;=2,"C",IF('Data Source'!AF855&gt;=1,"D","F")))))),"")</f>
        <v/>
      </c>
      <c r="O855" s="3">
        <f>IF(AND('Data Source'!B855&lt;&gt;"",'Data Source'!S855="F"),IF('Data Source'!AG855&gt;=5,"A+",IF('Data Source'!AG855&gt;=4,"A",IF('Data Source'!AG855&gt;=3.5,"A-",IF('Data Source'!AG855&gt;=3,"B",IF('Data Source'!AG855&gt;=2,"C",IF('Data Source'!AG855&gt;=1,"D","F")))))),"")</f>
        <v/>
      </c>
      <c r="P855" s="5">
        <f>IF(AND('Data Source'!B855&lt;&gt;"",'Data Source'!S855="F"),'Data Source'!R855,"")</f>
        <v/>
      </c>
      <c r="Q855" s="3">
        <f>IF(AND('Data Source'!B855&lt;&gt;"",'Data Source'!S855="F"),'Data Source'!S855,"")</f>
        <v/>
      </c>
    </row>
    <row r="856">
      <c r="A856" s="3">
        <f>IF(AND('Data Source'!B856&lt;&gt;"",'Data Source'!S856="F"),COUNTIF('Data Source'!$S$3:S856,"F"),"")</f>
        <v/>
      </c>
      <c r="B856">
        <f>IF(AND('Data Source'!B856&lt;&gt;"",'Data Source'!S856="F"),'Data Source'!B856,"")</f>
        <v/>
      </c>
      <c r="C856" s="3">
        <f>IF(AND('Data Source'!B856&lt;&gt;"",'Data Source'!S856="F"),IF('Data Source'!U856&gt;=5,"A+",IF('Data Source'!U856&gt;=4,"A",IF('Data Source'!U856&gt;=3.5,"A-",IF('Data Source'!U856&gt;=3,"B",IF('Data Source'!U856&gt;=2,"C",IF('Data Source'!U856&gt;=1,"D","F")))))),"")</f>
        <v/>
      </c>
      <c r="D856" s="3">
        <f>IF(AND('Data Source'!B856&lt;&gt;"",'Data Source'!S856="F"),IF('Data Source'!V856&gt;=5,"A+",IF('Data Source'!V856&gt;=4,"A",IF('Data Source'!V856&gt;=3.5,"A-",IF('Data Source'!V856&gt;=3,"B",IF('Data Source'!V856&gt;=2,"C",IF('Data Source'!V856&gt;=1,"D","F")))))),"")</f>
        <v/>
      </c>
      <c r="E856" s="3">
        <f>IF(AND('Data Source'!B856&lt;&gt;"",'Data Source'!S856="F"),IF('Data Source'!W856&gt;=5,"A+",IF('Data Source'!W856&gt;=4,"A",IF('Data Source'!W856&gt;=3.5,"A-",IF('Data Source'!W856&gt;=3,"B",IF('Data Source'!W856&gt;=2,"C",IF('Data Source'!W856&gt;=1,"D","F")))))),"")</f>
        <v/>
      </c>
      <c r="F856" s="3">
        <f>IF(AND('Data Source'!B856&lt;&gt;"",'Data Source'!S856="F"),IF('Data Source'!X856&gt;=5,"A+",IF('Data Source'!X856&gt;=4,"A",IF('Data Source'!X856&gt;=3.5,"A-",IF('Data Source'!X856&gt;=3,"B",IF('Data Source'!X856&gt;=2,"C",IF('Data Source'!X856&gt;=1,"D","F")))))),"")</f>
        <v/>
      </c>
      <c r="G856" s="3">
        <f>IF(AND('Data Source'!B856&lt;&gt;"",'Data Source'!S856="F"),IF('Data Source'!Y856&gt;=5,"A+",IF('Data Source'!Y856&gt;=4,"A",IF('Data Source'!Y856&gt;=3.5,"A-",IF('Data Source'!Y856&gt;=3,"B",IF('Data Source'!Y856&gt;=2,"C",IF('Data Source'!Y856&gt;=1,"D","F")))))),"")</f>
        <v/>
      </c>
      <c r="H856" s="3">
        <f>IF(AND('Data Source'!B856&lt;&gt;"",'Data Source'!S856="F"),IF('Data Source'!Z856&gt;=5,"A+",IF('Data Source'!Z856&gt;=4,"A",IF('Data Source'!Z856&gt;=3.5,"A-",IF('Data Source'!Z856&gt;=3,"B",IF('Data Source'!Z856&gt;=2,"C",IF('Data Source'!Z856&gt;=1,"D","F")))))),"")</f>
        <v/>
      </c>
      <c r="I856" s="3">
        <f>IF(AND('Data Source'!B856&lt;&gt;"",'Data Source'!S856="F"),IF('Data Source'!AA856&gt;=5,"A+",IF('Data Source'!AA856&gt;=4,"A",IF('Data Source'!AA856&gt;=3.5,"A-",IF('Data Source'!AA856&gt;=3,"B",IF('Data Source'!AA856&gt;=2,"C",IF('Data Source'!AA856&gt;=1,"D","F")))))),"")</f>
        <v/>
      </c>
      <c r="J856" s="3">
        <f>IF(AND('Data Source'!B856&lt;&gt;"",'Data Source'!S856="F"),IF('Data Source'!AB856&gt;=5,"A+",IF('Data Source'!AB856&gt;=4,"A",IF('Data Source'!AB856&gt;=3.5,"A-",IF('Data Source'!AB856&gt;=3,"B",IF('Data Source'!AB856&gt;=2,"C",IF('Data Source'!AB856&gt;=1,"D","F")))))),"")</f>
        <v/>
      </c>
      <c r="K856" s="3">
        <f>IF(AND('Data Source'!B856&lt;&gt;"",'Data Source'!S856="F"),IF('Data Source'!AC856&gt;=5,"A+",IF('Data Source'!AC856&gt;=4,"A",IF('Data Source'!AC856&gt;=3.5,"A-",IF('Data Source'!AC856&gt;=3,"B",IF('Data Source'!AC856&gt;=2,"C",IF('Data Source'!AC856&gt;=1,"D","F")))))),"")</f>
        <v/>
      </c>
      <c r="L856" s="3">
        <f>IF(AND('Data Source'!B856&lt;&gt;"",'Data Source'!S856="F"),IF('Data Source'!AD856&gt;=5,"A+",IF('Data Source'!AD856&gt;=4,"A",IF('Data Source'!AD856&gt;=3.5,"A-",IF('Data Source'!AD856&gt;=3,"B",IF('Data Source'!AD856&gt;=2,"C",IF('Data Source'!AD856&gt;=1,"D","F")))))),"")</f>
        <v/>
      </c>
      <c r="M856" s="3">
        <f>IF(AND('Data Source'!B856&lt;&gt;"",'Data Source'!S856="F"),IF('Data Source'!AE856&gt;=5,"A+",IF('Data Source'!AE856&gt;=4,"A",IF('Data Source'!AE856&gt;=3.5,"A-",IF('Data Source'!AE856&gt;=3,"B",IF('Data Source'!AE856&gt;=2,"C",IF('Data Source'!AE856&gt;=1,"D","F")))))),"")</f>
        <v/>
      </c>
      <c r="N856" s="3">
        <f>IF(AND('Data Source'!B856&lt;&gt;"",'Data Source'!S856="F"),IF('Data Source'!AF856&gt;=5,"A+",IF('Data Source'!AF856&gt;=4,"A",IF('Data Source'!AF856&gt;=3.5,"A-",IF('Data Source'!AF856&gt;=3,"B",IF('Data Source'!AF856&gt;=2,"C",IF('Data Source'!AF856&gt;=1,"D","F")))))),"")</f>
        <v/>
      </c>
      <c r="O856" s="3">
        <f>IF(AND('Data Source'!B856&lt;&gt;"",'Data Source'!S856="F"),IF('Data Source'!AG856&gt;=5,"A+",IF('Data Source'!AG856&gt;=4,"A",IF('Data Source'!AG856&gt;=3.5,"A-",IF('Data Source'!AG856&gt;=3,"B",IF('Data Source'!AG856&gt;=2,"C",IF('Data Source'!AG856&gt;=1,"D","F")))))),"")</f>
        <v/>
      </c>
      <c r="P856" s="5">
        <f>IF(AND('Data Source'!B856&lt;&gt;"",'Data Source'!S856="F"),'Data Source'!R856,"")</f>
        <v/>
      </c>
      <c r="Q856" s="3">
        <f>IF(AND('Data Source'!B856&lt;&gt;"",'Data Source'!S856="F"),'Data Source'!S856,"")</f>
        <v/>
      </c>
    </row>
    <row r="857">
      <c r="A857" s="3">
        <f>IF(AND('Data Source'!B857&lt;&gt;"",'Data Source'!S857="F"),COUNTIF('Data Source'!$S$3:S857,"F"),"")</f>
        <v/>
      </c>
      <c r="B857">
        <f>IF(AND('Data Source'!B857&lt;&gt;"",'Data Source'!S857="F"),'Data Source'!B857,"")</f>
        <v/>
      </c>
      <c r="C857" s="3">
        <f>IF(AND('Data Source'!B857&lt;&gt;"",'Data Source'!S857="F"),IF('Data Source'!U857&gt;=5,"A+",IF('Data Source'!U857&gt;=4,"A",IF('Data Source'!U857&gt;=3.5,"A-",IF('Data Source'!U857&gt;=3,"B",IF('Data Source'!U857&gt;=2,"C",IF('Data Source'!U857&gt;=1,"D","F")))))),"")</f>
        <v/>
      </c>
      <c r="D857" s="3">
        <f>IF(AND('Data Source'!B857&lt;&gt;"",'Data Source'!S857="F"),IF('Data Source'!V857&gt;=5,"A+",IF('Data Source'!V857&gt;=4,"A",IF('Data Source'!V857&gt;=3.5,"A-",IF('Data Source'!V857&gt;=3,"B",IF('Data Source'!V857&gt;=2,"C",IF('Data Source'!V857&gt;=1,"D","F")))))),"")</f>
        <v/>
      </c>
      <c r="E857" s="3">
        <f>IF(AND('Data Source'!B857&lt;&gt;"",'Data Source'!S857="F"),IF('Data Source'!W857&gt;=5,"A+",IF('Data Source'!W857&gt;=4,"A",IF('Data Source'!W857&gt;=3.5,"A-",IF('Data Source'!W857&gt;=3,"B",IF('Data Source'!W857&gt;=2,"C",IF('Data Source'!W857&gt;=1,"D","F")))))),"")</f>
        <v/>
      </c>
      <c r="F857" s="3">
        <f>IF(AND('Data Source'!B857&lt;&gt;"",'Data Source'!S857="F"),IF('Data Source'!X857&gt;=5,"A+",IF('Data Source'!X857&gt;=4,"A",IF('Data Source'!X857&gt;=3.5,"A-",IF('Data Source'!X857&gt;=3,"B",IF('Data Source'!X857&gt;=2,"C",IF('Data Source'!X857&gt;=1,"D","F")))))),"")</f>
        <v/>
      </c>
      <c r="G857" s="3">
        <f>IF(AND('Data Source'!B857&lt;&gt;"",'Data Source'!S857="F"),IF('Data Source'!Y857&gt;=5,"A+",IF('Data Source'!Y857&gt;=4,"A",IF('Data Source'!Y857&gt;=3.5,"A-",IF('Data Source'!Y857&gt;=3,"B",IF('Data Source'!Y857&gt;=2,"C",IF('Data Source'!Y857&gt;=1,"D","F")))))),"")</f>
        <v/>
      </c>
      <c r="H857" s="3">
        <f>IF(AND('Data Source'!B857&lt;&gt;"",'Data Source'!S857="F"),IF('Data Source'!Z857&gt;=5,"A+",IF('Data Source'!Z857&gt;=4,"A",IF('Data Source'!Z857&gt;=3.5,"A-",IF('Data Source'!Z857&gt;=3,"B",IF('Data Source'!Z857&gt;=2,"C",IF('Data Source'!Z857&gt;=1,"D","F")))))),"")</f>
        <v/>
      </c>
      <c r="I857" s="3">
        <f>IF(AND('Data Source'!B857&lt;&gt;"",'Data Source'!S857="F"),IF('Data Source'!AA857&gt;=5,"A+",IF('Data Source'!AA857&gt;=4,"A",IF('Data Source'!AA857&gt;=3.5,"A-",IF('Data Source'!AA857&gt;=3,"B",IF('Data Source'!AA857&gt;=2,"C",IF('Data Source'!AA857&gt;=1,"D","F")))))),"")</f>
        <v/>
      </c>
      <c r="J857" s="3">
        <f>IF(AND('Data Source'!B857&lt;&gt;"",'Data Source'!S857="F"),IF('Data Source'!AB857&gt;=5,"A+",IF('Data Source'!AB857&gt;=4,"A",IF('Data Source'!AB857&gt;=3.5,"A-",IF('Data Source'!AB857&gt;=3,"B",IF('Data Source'!AB857&gt;=2,"C",IF('Data Source'!AB857&gt;=1,"D","F")))))),"")</f>
        <v/>
      </c>
      <c r="K857" s="3">
        <f>IF(AND('Data Source'!B857&lt;&gt;"",'Data Source'!S857="F"),IF('Data Source'!AC857&gt;=5,"A+",IF('Data Source'!AC857&gt;=4,"A",IF('Data Source'!AC857&gt;=3.5,"A-",IF('Data Source'!AC857&gt;=3,"B",IF('Data Source'!AC857&gt;=2,"C",IF('Data Source'!AC857&gt;=1,"D","F")))))),"")</f>
        <v/>
      </c>
      <c r="L857" s="3">
        <f>IF(AND('Data Source'!B857&lt;&gt;"",'Data Source'!S857="F"),IF('Data Source'!AD857&gt;=5,"A+",IF('Data Source'!AD857&gt;=4,"A",IF('Data Source'!AD857&gt;=3.5,"A-",IF('Data Source'!AD857&gt;=3,"B",IF('Data Source'!AD857&gt;=2,"C",IF('Data Source'!AD857&gt;=1,"D","F")))))),"")</f>
        <v/>
      </c>
      <c r="M857" s="3">
        <f>IF(AND('Data Source'!B857&lt;&gt;"",'Data Source'!S857="F"),IF('Data Source'!AE857&gt;=5,"A+",IF('Data Source'!AE857&gt;=4,"A",IF('Data Source'!AE857&gt;=3.5,"A-",IF('Data Source'!AE857&gt;=3,"B",IF('Data Source'!AE857&gt;=2,"C",IF('Data Source'!AE857&gt;=1,"D","F")))))),"")</f>
        <v/>
      </c>
      <c r="N857" s="3">
        <f>IF(AND('Data Source'!B857&lt;&gt;"",'Data Source'!S857="F"),IF('Data Source'!AF857&gt;=5,"A+",IF('Data Source'!AF857&gt;=4,"A",IF('Data Source'!AF857&gt;=3.5,"A-",IF('Data Source'!AF857&gt;=3,"B",IF('Data Source'!AF857&gt;=2,"C",IF('Data Source'!AF857&gt;=1,"D","F")))))),"")</f>
        <v/>
      </c>
      <c r="O857" s="3">
        <f>IF(AND('Data Source'!B857&lt;&gt;"",'Data Source'!S857="F"),IF('Data Source'!AG857&gt;=5,"A+",IF('Data Source'!AG857&gt;=4,"A",IF('Data Source'!AG857&gt;=3.5,"A-",IF('Data Source'!AG857&gt;=3,"B",IF('Data Source'!AG857&gt;=2,"C",IF('Data Source'!AG857&gt;=1,"D","F")))))),"")</f>
        <v/>
      </c>
      <c r="P857" s="5">
        <f>IF(AND('Data Source'!B857&lt;&gt;"",'Data Source'!S857="F"),'Data Source'!R857,"")</f>
        <v/>
      </c>
      <c r="Q857" s="3">
        <f>IF(AND('Data Source'!B857&lt;&gt;"",'Data Source'!S857="F"),'Data Source'!S857,"")</f>
        <v/>
      </c>
    </row>
    <row r="858">
      <c r="A858" s="3">
        <f>IF(AND('Data Source'!B858&lt;&gt;"",'Data Source'!S858="F"),COUNTIF('Data Source'!$S$3:S858,"F"),"")</f>
        <v/>
      </c>
      <c r="B858">
        <f>IF(AND('Data Source'!B858&lt;&gt;"",'Data Source'!S858="F"),'Data Source'!B858,"")</f>
        <v/>
      </c>
      <c r="C858" s="3">
        <f>IF(AND('Data Source'!B858&lt;&gt;"",'Data Source'!S858="F"),IF('Data Source'!U858&gt;=5,"A+",IF('Data Source'!U858&gt;=4,"A",IF('Data Source'!U858&gt;=3.5,"A-",IF('Data Source'!U858&gt;=3,"B",IF('Data Source'!U858&gt;=2,"C",IF('Data Source'!U858&gt;=1,"D","F")))))),"")</f>
        <v/>
      </c>
      <c r="D858" s="3">
        <f>IF(AND('Data Source'!B858&lt;&gt;"",'Data Source'!S858="F"),IF('Data Source'!V858&gt;=5,"A+",IF('Data Source'!V858&gt;=4,"A",IF('Data Source'!V858&gt;=3.5,"A-",IF('Data Source'!V858&gt;=3,"B",IF('Data Source'!V858&gt;=2,"C",IF('Data Source'!V858&gt;=1,"D","F")))))),"")</f>
        <v/>
      </c>
      <c r="E858" s="3">
        <f>IF(AND('Data Source'!B858&lt;&gt;"",'Data Source'!S858="F"),IF('Data Source'!W858&gt;=5,"A+",IF('Data Source'!W858&gt;=4,"A",IF('Data Source'!W858&gt;=3.5,"A-",IF('Data Source'!W858&gt;=3,"B",IF('Data Source'!W858&gt;=2,"C",IF('Data Source'!W858&gt;=1,"D","F")))))),"")</f>
        <v/>
      </c>
      <c r="F858" s="3">
        <f>IF(AND('Data Source'!B858&lt;&gt;"",'Data Source'!S858="F"),IF('Data Source'!X858&gt;=5,"A+",IF('Data Source'!X858&gt;=4,"A",IF('Data Source'!X858&gt;=3.5,"A-",IF('Data Source'!X858&gt;=3,"B",IF('Data Source'!X858&gt;=2,"C",IF('Data Source'!X858&gt;=1,"D","F")))))),"")</f>
        <v/>
      </c>
      <c r="G858" s="3">
        <f>IF(AND('Data Source'!B858&lt;&gt;"",'Data Source'!S858="F"),IF('Data Source'!Y858&gt;=5,"A+",IF('Data Source'!Y858&gt;=4,"A",IF('Data Source'!Y858&gt;=3.5,"A-",IF('Data Source'!Y858&gt;=3,"B",IF('Data Source'!Y858&gt;=2,"C",IF('Data Source'!Y858&gt;=1,"D","F")))))),"")</f>
        <v/>
      </c>
      <c r="H858" s="3">
        <f>IF(AND('Data Source'!B858&lt;&gt;"",'Data Source'!S858="F"),IF('Data Source'!Z858&gt;=5,"A+",IF('Data Source'!Z858&gt;=4,"A",IF('Data Source'!Z858&gt;=3.5,"A-",IF('Data Source'!Z858&gt;=3,"B",IF('Data Source'!Z858&gt;=2,"C",IF('Data Source'!Z858&gt;=1,"D","F")))))),"")</f>
        <v/>
      </c>
      <c r="I858" s="3">
        <f>IF(AND('Data Source'!B858&lt;&gt;"",'Data Source'!S858="F"),IF('Data Source'!AA858&gt;=5,"A+",IF('Data Source'!AA858&gt;=4,"A",IF('Data Source'!AA858&gt;=3.5,"A-",IF('Data Source'!AA858&gt;=3,"B",IF('Data Source'!AA858&gt;=2,"C",IF('Data Source'!AA858&gt;=1,"D","F")))))),"")</f>
        <v/>
      </c>
      <c r="J858" s="3">
        <f>IF(AND('Data Source'!B858&lt;&gt;"",'Data Source'!S858="F"),IF('Data Source'!AB858&gt;=5,"A+",IF('Data Source'!AB858&gt;=4,"A",IF('Data Source'!AB858&gt;=3.5,"A-",IF('Data Source'!AB858&gt;=3,"B",IF('Data Source'!AB858&gt;=2,"C",IF('Data Source'!AB858&gt;=1,"D","F")))))),"")</f>
        <v/>
      </c>
      <c r="K858" s="3">
        <f>IF(AND('Data Source'!B858&lt;&gt;"",'Data Source'!S858="F"),IF('Data Source'!AC858&gt;=5,"A+",IF('Data Source'!AC858&gt;=4,"A",IF('Data Source'!AC858&gt;=3.5,"A-",IF('Data Source'!AC858&gt;=3,"B",IF('Data Source'!AC858&gt;=2,"C",IF('Data Source'!AC858&gt;=1,"D","F")))))),"")</f>
        <v/>
      </c>
      <c r="L858" s="3">
        <f>IF(AND('Data Source'!B858&lt;&gt;"",'Data Source'!S858="F"),IF('Data Source'!AD858&gt;=5,"A+",IF('Data Source'!AD858&gt;=4,"A",IF('Data Source'!AD858&gt;=3.5,"A-",IF('Data Source'!AD858&gt;=3,"B",IF('Data Source'!AD858&gt;=2,"C",IF('Data Source'!AD858&gt;=1,"D","F")))))),"")</f>
        <v/>
      </c>
      <c r="M858" s="3">
        <f>IF(AND('Data Source'!B858&lt;&gt;"",'Data Source'!S858="F"),IF('Data Source'!AE858&gt;=5,"A+",IF('Data Source'!AE858&gt;=4,"A",IF('Data Source'!AE858&gt;=3.5,"A-",IF('Data Source'!AE858&gt;=3,"B",IF('Data Source'!AE858&gt;=2,"C",IF('Data Source'!AE858&gt;=1,"D","F")))))),"")</f>
        <v/>
      </c>
      <c r="N858" s="3">
        <f>IF(AND('Data Source'!B858&lt;&gt;"",'Data Source'!S858="F"),IF('Data Source'!AF858&gt;=5,"A+",IF('Data Source'!AF858&gt;=4,"A",IF('Data Source'!AF858&gt;=3.5,"A-",IF('Data Source'!AF858&gt;=3,"B",IF('Data Source'!AF858&gt;=2,"C",IF('Data Source'!AF858&gt;=1,"D","F")))))),"")</f>
        <v/>
      </c>
      <c r="O858" s="3">
        <f>IF(AND('Data Source'!B858&lt;&gt;"",'Data Source'!S858="F"),IF('Data Source'!AG858&gt;=5,"A+",IF('Data Source'!AG858&gt;=4,"A",IF('Data Source'!AG858&gt;=3.5,"A-",IF('Data Source'!AG858&gt;=3,"B",IF('Data Source'!AG858&gt;=2,"C",IF('Data Source'!AG858&gt;=1,"D","F")))))),"")</f>
        <v/>
      </c>
      <c r="P858" s="5">
        <f>IF(AND('Data Source'!B858&lt;&gt;"",'Data Source'!S858="F"),'Data Source'!R858,"")</f>
        <v/>
      </c>
      <c r="Q858" s="3">
        <f>IF(AND('Data Source'!B858&lt;&gt;"",'Data Source'!S858="F"),'Data Source'!S858,"")</f>
        <v/>
      </c>
    </row>
    <row r="859">
      <c r="A859" s="3">
        <f>IF(AND('Data Source'!B859&lt;&gt;"",'Data Source'!S859="F"),COUNTIF('Data Source'!$S$3:S859,"F"),"")</f>
        <v/>
      </c>
      <c r="B859">
        <f>IF(AND('Data Source'!B859&lt;&gt;"",'Data Source'!S859="F"),'Data Source'!B859,"")</f>
        <v/>
      </c>
      <c r="C859" s="3">
        <f>IF(AND('Data Source'!B859&lt;&gt;"",'Data Source'!S859="F"),IF('Data Source'!U859&gt;=5,"A+",IF('Data Source'!U859&gt;=4,"A",IF('Data Source'!U859&gt;=3.5,"A-",IF('Data Source'!U859&gt;=3,"B",IF('Data Source'!U859&gt;=2,"C",IF('Data Source'!U859&gt;=1,"D","F")))))),"")</f>
        <v/>
      </c>
      <c r="D859" s="3">
        <f>IF(AND('Data Source'!B859&lt;&gt;"",'Data Source'!S859="F"),IF('Data Source'!V859&gt;=5,"A+",IF('Data Source'!V859&gt;=4,"A",IF('Data Source'!V859&gt;=3.5,"A-",IF('Data Source'!V859&gt;=3,"B",IF('Data Source'!V859&gt;=2,"C",IF('Data Source'!V859&gt;=1,"D","F")))))),"")</f>
        <v/>
      </c>
      <c r="E859" s="3">
        <f>IF(AND('Data Source'!B859&lt;&gt;"",'Data Source'!S859="F"),IF('Data Source'!W859&gt;=5,"A+",IF('Data Source'!W859&gt;=4,"A",IF('Data Source'!W859&gt;=3.5,"A-",IF('Data Source'!W859&gt;=3,"B",IF('Data Source'!W859&gt;=2,"C",IF('Data Source'!W859&gt;=1,"D","F")))))),"")</f>
        <v/>
      </c>
      <c r="F859" s="3">
        <f>IF(AND('Data Source'!B859&lt;&gt;"",'Data Source'!S859="F"),IF('Data Source'!X859&gt;=5,"A+",IF('Data Source'!X859&gt;=4,"A",IF('Data Source'!X859&gt;=3.5,"A-",IF('Data Source'!X859&gt;=3,"B",IF('Data Source'!X859&gt;=2,"C",IF('Data Source'!X859&gt;=1,"D","F")))))),"")</f>
        <v/>
      </c>
      <c r="G859" s="3">
        <f>IF(AND('Data Source'!B859&lt;&gt;"",'Data Source'!S859="F"),IF('Data Source'!Y859&gt;=5,"A+",IF('Data Source'!Y859&gt;=4,"A",IF('Data Source'!Y859&gt;=3.5,"A-",IF('Data Source'!Y859&gt;=3,"B",IF('Data Source'!Y859&gt;=2,"C",IF('Data Source'!Y859&gt;=1,"D","F")))))),"")</f>
        <v/>
      </c>
      <c r="H859" s="3">
        <f>IF(AND('Data Source'!B859&lt;&gt;"",'Data Source'!S859="F"),IF('Data Source'!Z859&gt;=5,"A+",IF('Data Source'!Z859&gt;=4,"A",IF('Data Source'!Z859&gt;=3.5,"A-",IF('Data Source'!Z859&gt;=3,"B",IF('Data Source'!Z859&gt;=2,"C",IF('Data Source'!Z859&gt;=1,"D","F")))))),"")</f>
        <v/>
      </c>
      <c r="I859" s="3">
        <f>IF(AND('Data Source'!B859&lt;&gt;"",'Data Source'!S859="F"),IF('Data Source'!AA859&gt;=5,"A+",IF('Data Source'!AA859&gt;=4,"A",IF('Data Source'!AA859&gt;=3.5,"A-",IF('Data Source'!AA859&gt;=3,"B",IF('Data Source'!AA859&gt;=2,"C",IF('Data Source'!AA859&gt;=1,"D","F")))))),"")</f>
        <v/>
      </c>
      <c r="J859" s="3">
        <f>IF(AND('Data Source'!B859&lt;&gt;"",'Data Source'!S859="F"),IF('Data Source'!AB859&gt;=5,"A+",IF('Data Source'!AB859&gt;=4,"A",IF('Data Source'!AB859&gt;=3.5,"A-",IF('Data Source'!AB859&gt;=3,"B",IF('Data Source'!AB859&gt;=2,"C",IF('Data Source'!AB859&gt;=1,"D","F")))))),"")</f>
        <v/>
      </c>
      <c r="K859" s="3">
        <f>IF(AND('Data Source'!B859&lt;&gt;"",'Data Source'!S859="F"),IF('Data Source'!AC859&gt;=5,"A+",IF('Data Source'!AC859&gt;=4,"A",IF('Data Source'!AC859&gt;=3.5,"A-",IF('Data Source'!AC859&gt;=3,"B",IF('Data Source'!AC859&gt;=2,"C",IF('Data Source'!AC859&gt;=1,"D","F")))))),"")</f>
        <v/>
      </c>
      <c r="L859" s="3">
        <f>IF(AND('Data Source'!B859&lt;&gt;"",'Data Source'!S859="F"),IF('Data Source'!AD859&gt;=5,"A+",IF('Data Source'!AD859&gt;=4,"A",IF('Data Source'!AD859&gt;=3.5,"A-",IF('Data Source'!AD859&gt;=3,"B",IF('Data Source'!AD859&gt;=2,"C",IF('Data Source'!AD859&gt;=1,"D","F")))))),"")</f>
        <v/>
      </c>
      <c r="M859" s="3">
        <f>IF(AND('Data Source'!B859&lt;&gt;"",'Data Source'!S859="F"),IF('Data Source'!AE859&gt;=5,"A+",IF('Data Source'!AE859&gt;=4,"A",IF('Data Source'!AE859&gt;=3.5,"A-",IF('Data Source'!AE859&gt;=3,"B",IF('Data Source'!AE859&gt;=2,"C",IF('Data Source'!AE859&gt;=1,"D","F")))))),"")</f>
        <v/>
      </c>
      <c r="N859" s="3">
        <f>IF(AND('Data Source'!B859&lt;&gt;"",'Data Source'!S859="F"),IF('Data Source'!AF859&gt;=5,"A+",IF('Data Source'!AF859&gt;=4,"A",IF('Data Source'!AF859&gt;=3.5,"A-",IF('Data Source'!AF859&gt;=3,"B",IF('Data Source'!AF859&gt;=2,"C",IF('Data Source'!AF859&gt;=1,"D","F")))))),"")</f>
        <v/>
      </c>
      <c r="O859" s="3">
        <f>IF(AND('Data Source'!B859&lt;&gt;"",'Data Source'!S859="F"),IF('Data Source'!AG859&gt;=5,"A+",IF('Data Source'!AG859&gt;=4,"A",IF('Data Source'!AG859&gt;=3.5,"A-",IF('Data Source'!AG859&gt;=3,"B",IF('Data Source'!AG859&gt;=2,"C",IF('Data Source'!AG859&gt;=1,"D","F")))))),"")</f>
        <v/>
      </c>
      <c r="P859" s="5">
        <f>IF(AND('Data Source'!B859&lt;&gt;"",'Data Source'!S859="F"),'Data Source'!R859,"")</f>
        <v/>
      </c>
      <c r="Q859" s="3">
        <f>IF(AND('Data Source'!B859&lt;&gt;"",'Data Source'!S859="F"),'Data Source'!S859,"")</f>
        <v/>
      </c>
    </row>
    <row r="860">
      <c r="A860" s="3">
        <f>IF(AND('Data Source'!B860&lt;&gt;"",'Data Source'!S860="F"),COUNTIF('Data Source'!$S$3:S860,"F"),"")</f>
        <v/>
      </c>
      <c r="B860">
        <f>IF(AND('Data Source'!B860&lt;&gt;"",'Data Source'!S860="F"),'Data Source'!B860,"")</f>
        <v/>
      </c>
      <c r="C860" s="3">
        <f>IF(AND('Data Source'!B860&lt;&gt;"",'Data Source'!S860="F"),IF('Data Source'!U860&gt;=5,"A+",IF('Data Source'!U860&gt;=4,"A",IF('Data Source'!U860&gt;=3.5,"A-",IF('Data Source'!U860&gt;=3,"B",IF('Data Source'!U860&gt;=2,"C",IF('Data Source'!U860&gt;=1,"D","F")))))),"")</f>
        <v/>
      </c>
      <c r="D860" s="3">
        <f>IF(AND('Data Source'!B860&lt;&gt;"",'Data Source'!S860="F"),IF('Data Source'!V860&gt;=5,"A+",IF('Data Source'!V860&gt;=4,"A",IF('Data Source'!V860&gt;=3.5,"A-",IF('Data Source'!V860&gt;=3,"B",IF('Data Source'!V860&gt;=2,"C",IF('Data Source'!V860&gt;=1,"D","F")))))),"")</f>
        <v/>
      </c>
      <c r="E860" s="3">
        <f>IF(AND('Data Source'!B860&lt;&gt;"",'Data Source'!S860="F"),IF('Data Source'!W860&gt;=5,"A+",IF('Data Source'!W860&gt;=4,"A",IF('Data Source'!W860&gt;=3.5,"A-",IF('Data Source'!W860&gt;=3,"B",IF('Data Source'!W860&gt;=2,"C",IF('Data Source'!W860&gt;=1,"D","F")))))),"")</f>
        <v/>
      </c>
      <c r="F860" s="3">
        <f>IF(AND('Data Source'!B860&lt;&gt;"",'Data Source'!S860="F"),IF('Data Source'!X860&gt;=5,"A+",IF('Data Source'!X860&gt;=4,"A",IF('Data Source'!X860&gt;=3.5,"A-",IF('Data Source'!X860&gt;=3,"B",IF('Data Source'!X860&gt;=2,"C",IF('Data Source'!X860&gt;=1,"D","F")))))),"")</f>
        <v/>
      </c>
      <c r="G860" s="3">
        <f>IF(AND('Data Source'!B860&lt;&gt;"",'Data Source'!S860="F"),IF('Data Source'!Y860&gt;=5,"A+",IF('Data Source'!Y860&gt;=4,"A",IF('Data Source'!Y860&gt;=3.5,"A-",IF('Data Source'!Y860&gt;=3,"B",IF('Data Source'!Y860&gt;=2,"C",IF('Data Source'!Y860&gt;=1,"D","F")))))),"")</f>
        <v/>
      </c>
      <c r="H860" s="3">
        <f>IF(AND('Data Source'!B860&lt;&gt;"",'Data Source'!S860="F"),IF('Data Source'!Z860&gt;=5,"A+",IF('Data Source'!Z860&gt;=4,"A",IF('Data Source'!Z860&gt;=3.5,"A-",IF('Data Source'!Z860&gt;=3,"B",IF('Data Source'!Z860&gt;=2,"C",IF('Data Source'!Z860&gt;=1,"D","F")))))),"")</f>
        <v/>
      </c>
      <c r="I860" s="3">
        <f>IF(AND('Data Source'!B860&lt;&gt;"",'Data Source'!S860="F"),IF('Data Source'!AA860&gt;=5,"A+",IF('Data Source'!AA860&gt;=4,"A",IF('Data Source'!AA860&gt;=3.5,"A-",IF('Data Source'!AA860&gt;=3,"B",IF('Data Source'!AA860&gt;=2,"C",IF('Data Source'!AA860&gt;=1,"D","F")))))),"")</f>
        <v/>
      </c>
      <c r="J860" s="3">
        <f>IF(AND('Data Source'!B860&lt;&gt;"",'Data Source'!S860="F"),IF('Data Source'!AB860&gt;=5,"A+",IF('Data Source'!AB860&gt;=4,"A",IF('Data Source'!AB860&gt;=3.5,"A-",IF('Data Source'!AB860&gt;=3,"B",IF('Data Source'!AB860&gt;=2,"C",IF('Data Source'!AB860&gt;=1,"D","F")))))),"")</f>
        <v/>
      </c>
      <c r="K860" s="3">
        <f>IF(AND('Data Source'!B860&lt;&gt;"",'Data Source'!S860="F"),IF('Data Source'!AC860&gt;=5,"A+",IF('Data Source'!AC860&gt;=4,"A",IF('Data Source'!AC860&gt;=3.5,"A-",IF('Data Source'!AC860&gt;=3,"B",IF('Data Source'!AC860&gt;=2,"C",IF('Data Source'!AC860&gt;=1,"D","F")))))),"")</f>
        <v/>
      </c>
      <c r="L860" s="3">
        <f>IF(AND('Data Source'!B860&lt;&gt;"",'Data Source'!S860="F"),IF('Data Source'!AD860&gt;=5,"A+",IF('Data Source'!AD860&gt;=4,"A",IF('Data Source'!AD860&gt;=3.5,"A-",IF('Data Source'!AD860&gt;=3,"B",IF('Data Source'!AD860&gt;=2,"C",IF('Data Source'!AD860&gt;=1,"D","F")))))),"")</f>
        <v/>
      </c>
      <c r="M860" s="3">
        <f>IF(AND('Data Source'!B860&lt;&gt;"",'Data Source'!S860="F"),IF('Data Source'!AE860&gt;=5,"A+",IF('Data Source'!AE860&gt;=4,"A",IF('Data Source'!AE860&gt;=3.5,"A-",IF('Data Source'!AE860&gt;=3,"B",IF('Data Source'!AE860&gt;=2,"C",IF('Data Source'!AE860&gt;=1,"D","F")))))),"")</f>
        <v/>
      </c>
      <c r="N860" s="3">
        <f>IF(AND('Data Source'!B860&lt;&gt;"",'Data Source'!S860="F"),IF('Data Source'!AF860&gt;=5,"A+",IF('Data Source'!AF860&gt;=4,"A",IF('Data Source'!AF860&gt;=3.5,"A-",IF('Data Source'!AF860&gt;=3,"B",IF('Data Source'!AF860&gt;=2,"C",IF('Data Source'!AF860&gt;=1,"D","F")))))),"")</f>
        <v/>
      </c>
      <c r="O860" s="3">
        <f>IF(AND('Data Source'!B860&lt;&gt;"",'Data Source'!S860="F"),IF('Data Source'!AG860&gt;=5,"A+",IF('Data Source'!AG860&gt;=4,"A",IF('Data Source'!AG860&gt;=3.5,"A-",IF('Data Source'!AG860&gt;=3,"B",IF('Data Source'!AG860&gt;=2,"C",IF('Data Source'!AG860&gt;=1,"D","F")))))),"")</f>
        <v/>
      </c>
      <c r="P860" s="5">
        <f>IF(AND('Data Source'!B860&lt;&gt;"",'Data Source'!S860="F"),'Data Source'!R860,"")</f>
        <v/>
      </c>
      <c r="Q860" s="3">
        <f>IF(AND('Data Source'!B860&lt;&gt;"",'Data Source'!S860="F"),'Data Source'!S860,"")</f>
        <v/>
      </c>
    </row>
    <row r="861">
      <c r="A861" s="3">
        <f>IF(AND('Data Source'!B861&lt;&gt;"",'Data Source'!S861="F"),COUNTIF('Data Source'!$S$3:S861,"F"),"")</f>
        <v/>
      </c>
      <c r="B861">
        <f>IF(AND('Data Source'!B861&lt;&gt;"",'Data Source'!S861="F"),'Data Source'!B861,"")</f>
        <v/>
      </c>
      <c r="C861" s="3">
        <f>IF(AND('Data Source'!B861&lt;&gt;"",'Data Source'!S861="F"),IF('Data Source'!U861&gt;=5,"A+",IF('Data Source'!U861&gt;=4,"A",IF('Data Source'!U861&gt;=3.5,"A-",IF('Data Source'!U861&gt;=3,"B",IF('Data Source'!U861&gt;=2,"C",IF('Data Source'!U861&gt;=1,"D","F")))))),"")</f>
        <v/>
      </c>
      <c r="D861" s="3">
        <f>IF(AND('Data Source'!B861&lt;&gt;"",'Data Source'!S861="F"),IF('Data Source'!V861&gt;=5,"A+",IF('Data Source'!V861&gt;=4,"A",IF('Data Source'!V861&gt;=3.5,"A-",IF('Data Source'!V861&gt;=3,"B",IF('Data Source'!V861&gt;=2,"C",IF('Data Source'!V861&gt;=1,"D","F")))))),"")</f>
        <v/>
      </c>
      <c r="E861" s="3">
        <f>IF(AND('Data Source'!B861&lt;&gt;"",'Data Source'!S861="F"),IF('Data Source'!W861&gt;=5,"A+",IF('Data Source'!W861&gt;=4,"A",IF('Data Source'!W861&gt;=3.5,"A-",IF('Data Source'!W861&gt;=3,"B",IF('Data Source'!W861&gt;=2,"C",IF('Data Source'!W861&gt;=1,"D","F")))))),"")</f>
        <v/>
      </c>
      <c r="F861" s="3">
        <f>IF(AND('Data Source'!B861&lt;&gt;"",'Data Source'!S861="F"),IF('Data Source'!X861&gt;=5,"A+",IF('Data Source'!X861&gt;=4,"A",IF('Data Source'!X861&gt;=3.5,"A-",IF('Data Source'!X861&gt;=3,"B",IF('Data Source'!X861&gt;=2,"C",IF('Data Source'!X861&gt;=1,"D","F")))))),"")</f>
        <v/>
      </c>
      <c r="G861" s="3">
        <f>IF(AND('Data Source'!B861&lt;&gt;"",'Data Source'!S861="F"),IF('Data Source'!Y861&gt;=5,"A+",IF('Data Source'!Y861&gt;=4,"A",IF('Data Source'!Y861&gt;=3.5,"A-",IF('Data Source'!Y861&gt;=3,"B",IF('Data Source'!Y861&gt;=2,"C",IF('Data Source'!Y861&gt;=1,"D","F")))))),"")</f>
        <v/>
      </c>
      <c r="H861" s="3">
        <f>IF(AND('Data Source'!B861&lt;&gt;"",'Data Source'!S861="F"),IF('Data Source'!Z861&gt;=5,"A+",IF('Data Source'!Z861&gt;=4,"A",IF('Data Source'!Z861&gt;=3.5,"A-",IF('Data Source'!Z861&gt;=3,"B",IF('Data Source'!Z861&gt;=2,"C",IF('Data Source'!Z861&gt;=1,"D","F")))))),"")</f>
        <v/>
      </c>
      <c r="I861" s="3">
        <f>IF(AND('Data Source'!B861&lt;&gt;"",'Data Source'!S861="F"),IF('Data Source'!AA861&gt;=5,"A+",IF('Data Source'!AA861&gt;=4,"A",IF('Data Source'!AA861&gt;=3.5,"A-",IF('Data Source'!AA861&gt;=3,"B",IF('Data Source'!AA861&gt;=2,"C",IF('Data Source'!AA861&gt;=1,"D","F")))))),"")</f>
        <v/>
      </c>
      <c r="J861" s="3">
        <f>IF(AND('Data Source'!B861&lt;&gt;"",'Data Source'!S861="F"),IF('Data Source'!AB861&gt;=5,"A+",IF('Data Source'!AB861&gt;=4,"A",IF('Data Source'!AB861&gt;=3.5,"A-",IF('Data Source'!AB861&gt;=3,"B",IF('Data Source'!AB861&gt;=2,"C",IF('Data Source'!AB861&gt;=1,"D","F")))))),"")</f>
        <v/>
      </c>
      <c r="K861" s="3">
        <f>IF(AND('Data Source'!B861&lt;&gt;"",'Data Source'!S861="F"),IF('Data Source'!AC861&gt;=5,"A+",IF('Data Source'!AC861&gt;=4,"A",IF('Data Source'!AC861&gt;=3.5,"A-",IF('Data Source'!AC861&gt;=3,"B",IF('Data Source'!AC861&gt;=2,"C",IF('Data Source'!AC861&gt;=1,"D","F")))))),"")</f>
        <v/>
      </c>
      <c r="L861" s="3">
        <f>IF(AND('Data Source'!B861&lt;&gt;"",'Data Source'!S861="F"),IF('Data Source'!AD861&gt;=5,"A+",IF('Data Source'!AD861&gt;=4,"A",IF('Data Source'!AD861&gt;=3.5,"A-",IF('Data Source'!AD861&gt;=3,"B",IF('Data Source'!AD861&gt;=2,"C",IF('Data Source'!AD861&gt;=1,"D","F")))))),"")</f>
        <v/>
      </c>
      <c r="M861" s="3">
        <f>IF(AND('Data Source'!B861&lt;&gt;"",'Data Source'!S861="F"),IF('Data Source'!AE861&gt;=5,"A+",IF('Data Source'!AE861&gt;=4,"A",IF('Data Source'!AE861&gt;=3.5,"A-",IF('Data Source'!AE861&gt;=3,"B",IF('Data Source'!AE861&gt;=2,"C",IF('Data Source'!AE861&gt;=1,"D","F")))))),"")</f>
        <v/>
      </c>
      <c r="N861" s="3">
        <f>IF(AND('Data Source'!B861&lt;&gt;"",'Data Source'!S861="F"),IF('Data Source'!AF861&gt;=5,"A+",IF('Data Source'!AF861&gt;=4,"A",IF('Data Source'!AF861&gt;=3.5,"A-",IF('Data Source'!AF861&gt;=3,"B",IF('Data Source'!AF861&gt;=2,"C",IF('Data Source'!AF861&gt;=1,"D","F")))))),"")</f>
        <v/>
      </c>
      <c r="O861" s="3">
        <f>IF(AND('Data Source'!B861&lt;&gt;"",'Data Source'!S861="F"),IF('Data Source'!AG861&gt;=5,"A+",IF('Data Source'!AG861&gt;=4,"A",IF('Data Source'!AG861&gt;=3.5,"A-",IF('Data Source'!AG861&gt;=3,"B",IF('Data Source'!AG861&gt;=2,"C",IF('Data Source'!AG861&gt;=1,"D","F")))))),"")</f>
        <v/>
      </c>
      <c r="P861" s="5">
        <f>IF(AND('Data Source'!B861&lt;&gt;"",'Data Source'!S861="F"),'Data Source'!R861,"")</f>
        <v/>
      </c>
      <c r="Q861" s="3">
        <f>IF(AND('Data Source'!B861&lt;&gt;"",'Data Source'!S861="F"),'Data Source'!S861,"")</f>
        <v/>
      </c>
    </row>
    <row r="862">
      <c r="A862" s="3">
        <f>IF(AND('Data Source'!B862&lt;&gt;"",'Data Source'!S862="F"),COUNTIF('Data Source'!$S$3:S862,"F"),"")</f>
        <v/>
      </c>
      <c r="B862">
        <f>IF(AND('Data Source'!B862&lt;&gt;"",'Data Source'!S862="F"),'Data Source'!B862,"")</f>
        <v/>
      </c>
      <c r="C862" s="3">
        <f>IF(AND('Data Source'!B862&lt;&gt;"",'Data Source'!S862="F"),IF('Data Source'!U862&gt;=5,"A+",IF('Data Source'!U862&gt;=4,"A",IF('Data Source'!U862&gt;=3.5,"A-",IF('Data Source'!U862&gt;=3,"B",IF('Data Source'!U862&gt;=2,"C",IF('Data Source'!U862&gt;=1,"D","F")))))),"")</f>
        <v/>
      </c>
      <c r="D862" s="3">
        <f>IF(AND('Data Source'!B862&lt;&gt;"",'Data Source'!S862="F"),IF('Data Source'!V862&gt;=5,"A+",IF('Data Source'!V862&gt;=4,"A",IF('Data Source'!V862&gt;=3.5,"A-",IF('Data Source'!V862&gt;=3,"B",IF('Data Source'!V862&gt;=2,"C",IF('Data Source'!V862&gt;=1,"D","F")))))),"")</f>
        <v/>
      </c>
      <c r="E862" s="3">
        <f>IF(AND('Data Source'!B862&lt;&gt;"",'Data Source'!S862="F"),IF('Data Source'!W862&gt;=5,"A+",IF('Data Source'!W862&gt;=4,"A",IF('Data Source'!W862&gt;=3.5,"A-",IF('Data Source'!W862&gt;=3,"B",IF('Data Source'!W862&gt;=2,"C",IF('Data Source'!W862&gt;=1,"D","F")))))),"")</f>
        <v/>
      </c>
      <c r="F862" s="3">
        <f>IF(AND('Data Source'!B862&lt;&gt;"",'Data Source'!S862="F"),IF('Data Source'!X862&gt;=5,"A+",IF('Data Source'!X862&gt;=4,"A",IF('Data Source'!X862&gt;=3.5,"A-",IF('Data Source'!X862&gt;=3,"B",IF('Data Source'!X862&gt;=2,"C",IF('Data Source'!X862&gt;=1,"D","F")))))),"")</f>
        <v/>
      </c>
      <c r="G862" s="3">
        <f>IF(AND('Data Source'!B862&lt;&gt;"",'Data Source'!S862="F"),IF('Data Source'!Y862&gt;=5,"A+",IF('Data Source'!Y862&gt;=4,"A",IF('Data Source'!Y862&gt;=3.5,"A-",IF('Data Source'!Y862&gt;=3,"B",IF('Data Source'!Y862&gt;=2,"C",IF('Data Source'!Y862&gt;=1,"D","F")))))),"")</f>
        <v/>
      </c>
      <c r="H862" s="3">
        <f>IF(AND('Data Source'!B862&lt;&gt;"",'Data Source'!S862="F"),IF('Data Source'!Z862&gt;=5,"A+",IF('Data Source'!Z862&gt;=4,"A",IF('Data Source'!Z862&gt;=3.5,"A-",IF('Data Source'!Z862&gt;=3,"B",IF('Data Source'!Z862&gt;=2,"C",IF('Data Source'!Z862&gt;=1,"D","F")))))),"")</f>
        <v/>
      </c>
      <c r="I862" s="3">
        <f>IF(AND('Data Source'!B862&lt;&gt;"",'Data Source'!S862="F"),IF('Data Source'!AA862&gt;=5,"A+",IF('Data Source'!AA862&gt;=4,"A",IF('Data Source'!AA862&gt;=3.5,"A-",IF('Data Source'!AA862&gt;=3,"B",IF('Data Source'!AA862&gt;=2,"C",IF('Data Source'!AA862&gt;=1,"D","F")))))),"")</f>
        <v/>
      </c>
      <c r="J862" s="3">
        <f>IF(AND('Data Source'!B862&lt;&gt;"",'Data Source'!S862="F"),IF('Data Source'!AB862&gt;=5,"A+",IF('Data Source'!AB862&gt;=4,"A",IF('Data Source'!AB862&gt;=3.5,"A-",IF('Data Source'!AB862&gt;=3,"B",IF('Data Source'!AB862&gt;=2,"C",IF('Data Source'!AB862&gt;=1,"D","F")))))),"")</f>
        <v/>
      </c>
      <c r="K862" s="3">
        <f>IF(AND('Data Source'!B862&lt;&gt;"",'Data Source'!S862="F"),IF('Data Source'!AC862&gt;=5,"A+",IF('Data Source'!AC862&gt;=4,"A",IF('Data Source'!AC862&gt;=3.5,"A-",IF('Data Source'!AC862&gt;=3,"B",IF('Data Source'!AC862&gt;=2,"C",IF('Data Source'!AC862&gt;=1,"D","F")))))),"")</f>
        <v/>
      </c>
      <c r="L862" s="3">
        <f>IF(AND('Data Source'!B862&lt;&gt;"",'Data Source'!S862="F"),IF('Data Source'!AD862&gt;=5,"A+",IF('Data Source'!AD862&gt;=4,"A",IF('Data Source'!AD862&gt;=3.5,"A-",IF('Data Source'!AD862&gt;=3,"B",IF('Data Source'!AD862&gt;=2,"C",IF('Data Source'!AD862&gt;=1,"D","F")))))),"")</f>
        <v/>
      </c>
      <c r="M862" s="3">
        <f>IF(AND('Data Source'!B862&lt;&gt;"",'Data Source'!S862="F"),IF('Data Source'!AE862&gt;=5,"A+",IF('Data Source'!AE862&gt;=4,"A",IF('Data Source'!AE862&gt;=3.5,"A-",IF('Data Source'!AE862&gt;=3,"B",IF('Data Source'!AE862&gt;=2,"C",IF('Data Source'!AE862&gt;=1,"D","F")))))),"")</f>
        <v/>
      </c>
      <c r="N862" s="3">
        <f>IF(AND('Data Source'!B862&lt;&gt;"",'Data Source'!S862="F"),IF('Data Source'!AF862&gt;=5,"A+",IF('Data Source'!AF862&gt;=4,"A",IF('Data Source'!AF862&gt;=3.5,"A-",IF('Data Source'!AF862&gt;=3,"B",IF('Data Source'!AF862&gt;=2,"C",IF('Data Source'!AF862&gt;=1,"D","F")))))),"")</f>
        <v/>
      </c>
      <c r="O862" s="3">
        <f>IF(AND('Data Source'!B862&lt;&gt;"",'Data Source'!S862="F"),IF('Data Source'!AG862&gt;=5,"A+",IF('Data Source'!AG862&gt;=4,"A",IF('Data Source'!AG862&gt;=3.5,"A-",IF('Data Source'!AG862&gt;=3,"B",IF('Data Source'!AG862&gt;=2,"C",IF('Data Source'!AG862&gt;=1,"D","F")))))),"")</f>
        <v/>
      </c>
      <c r="P862" s="5">
        <f>IF(AND('Data Source'!B862&lt;&gt;"",'Data Source'!S862="F"),'Data Source'!R862,"")</f>
        <v/>
      </c>
      <c r="Q862" s="3">
        <f>IF(AND('Data Source'!B862&lt;&gt;"",'Data Source'!S862="F"),'Data Source'!S862,"")</f>
        <v/>
      </c>
    </row>
    <row r="863">
      <c r="A863" s="3">
        <f>IF(AND('Data Source'!B863&lt;&gt;"",'Data Source'!S863="F"),COUNTIF('Data Source'!$S$3:S863,"F"),"")</f>
        <v/>
      </c>
      <c r="B863">
        <f>IF(AND('Data Source'!B863&lt;&gt;"",'Data Source'!S863="F"),'Data Source'!B863,"")</f>
        <v/>
      </c>
      <c r="C863" s="3">
        <f>IF(AND('Data Source'!B863&lt;&gt;"",'Data Source'!S863="F"),IF('Data Source'!U863&gt;=5,"A+",IF('Data Source'!U863&gt;=4,"A",IF('Data Source'!U863&gt;=3.5,"A-",IF('Data Source'!U863&gt;=3,"B",IF('Data Source'!U863&gt;=2,"C",IF('Data Source'!U863&gt;=1,"D","F")))))),"")</f>
        <v/>
      </c>
      <c r="D863" s="3">
        <f>IF(AND('Data Source'!B863&lt;&gt;"",'Data Source'!S863="F"),IF('Data Source'!V863&gt;=5,"A+",IF('Data Source'!V863&gt;=4,"A",IF('Data Source'!V863&gt;=3.5,"A-",IF('Data Source'!V863&gt;=3,"B",IF('Data Source'!V863&gt;=2,"C",IF('Data Source'!V863&gt;=1,"D","F")))))),"")</f>
        <v/>
      </c>
      <c r="E863" s="3">
        <f>IF(AND('Data Source'!B863&lt;&gt;"",'Data Source'!S863="F"),IF('Data Source'!W863&gt;=5,"A+",IF('Data Source'!W863&gt;=4,"A",IF('Data Source'!W863&gt;=3.5,"A-",IF('Data Source'!W863&gt;=3,"B",IF('Data Source'!W863&gt;=2,"C",IF('Data Source'!W863&gt;=1,"D","F")))))),"")</f>
        <v/>
      </c>
      <c r="F863" s="3">
        <f>IF(AND('Data Source'!B863&lt;&gt;"",'Data Source'!S863="F"),IF('Data Source'!X863&gt;=5,"A+",IF('Data Source'!X863&gt;=4,"A",IF('Data Source'!X863&gt;=3.5,"A-",IF('Data Source'!X863&gt;=3,"B",IF('Data Source'!X863&gt;=2,"C",IF('Data Source'!X863&gt;=1,"D","F")))))),"")</f>
        <v/>
      </c>
      <c r="G863" s="3">
        <f>IF(AND('Data Source'!B863&lt;&gt;"",'Data Source'!S863="F"),IF('Data Source'!Y863&gt;=5,"A+",IF('Data Source'!Y863&gt;=4,"A",IF('Data Source'!Y863&gt;=3.5,"A-",IF('Data Source'!Y863&gt;=3,"B",IF('Data Source'!Y863&gt;=2,"C",IF('Data Source'!Y863&gt;=1,"D","F")))))),"")</f>
        <v/>
      </c>
      <c r="H863" s="3">
        <f>IF(AND('Data Source'!B863&lt;&gt;"",'Data Source'!S863="F"),IF('Data Source'!Z863&gt;=5,"A+",IF('Data Source'!Z863&gt;=4,"A",IF('Data Source'!Z863&gt;=3.5,"A-",IF('Data Source'!Z863&gt;=3,"B",IF('Data Source'!Z863&gt;=2,"C",IF('Data Source'!Z863&gt;=1,"D","F")))))),"")</f>
        <v/>
      </c>
      <c r="I863" s="3">
        <f>IF(AND('Data Source'!B863&lt;&gt;"",'Data Source'!S863="F"),IF('Data Source'!AA863&gt;=5,"A+",IF('Data Source'!AA863&gt;=4,"A",IF('Data Source'!AA863&gt;=3.5,"A-",IF('Data Source'!AA863&gt;=3,"B",IF('Data Source'!AA863&gt;=2,"C",IF('Data Source'!AA863&gt;=1,"D","F")))))),"")</f>
        <v/>
      </c>
      <c r="J863" s="3">
        <f>IF(AND('Data Source'!B863&lt;&gt;"",'Data Source'!S863="F"),IF('Data Source'!AB863&gt;=5,"A+",IF('Data Source'!AB863&gt;=4,"A",IF('Data Source'!AB863&gt;=3.5,"A-",IF('Data Source'!AB863&gt;=3,"B",IF('Data Source'!AB863&gt;=2,"C",IF('Data Source'!AB863&gt;=1,"D","F")))))),"")</f>
        <v/>
      </c>
      <c r="K863" s="3">
        <f>IF(AND('Data Source'!B863&lt;&gt;"",'Data Source'!S863="F"),IF('Data Source'!AC863&gt;=5,"A+",IF('Data Source'!AC863&gt;=4,"A",IF('Data Source'!AC863&gt;=3.5,"A-",IF('Data Source'!AC863&gt;=3,"B",IF('Data Source'!AC863&gt;=2,"C",IF('Data Source'!AC863&gt;=1,"D","F")))))),"")</f>
        <v/>
      </c>
      <c r="L863" s="3">
        <f>IF(AND('Data Source'!B863&lt;&gt;"",'Data Source'!S863="F"),IF('Data Source'!AD863&gt;=5,"A+",IF('Data Source'!AD863&gt;=4,"A",IF('Data Source'!AD863&gt;=3.5,"A-",IF('Data Source'!AD863&gt;=3,"B",IF('Data Source'!AD863&gt;=2,"C",IF('Data Source'!AD863&gt;=1,"D","F")))))),"")</f>
        <v/>
      </c>
      <c r="M863" s="3">
        <f>IF(AND('Data Source'!B863&lt;&gt;"",'Data Source'!S863="F"),IF('Data Source'!AE863&gt;=5,"A+",IF('Data Source'!AE863&gt;=4,"A",IF('Data Source'!AE863&gt;=3.5,"A-",IF('Data Source'!AE863&gt;=3,"B",IF('Data Source'!AE863&gt;=2,"C",IF('Data Source'!AE863&gt;=1,"D","F")))))),"")</f>
        <v/>
      </c>
      <c r="N863" s="3">
        <f>IF(AND('Data Source'!B863&lt;&gt;"",'Data Source'!S863="F"),IF('Data Source'!AF863&gt;=5,"A+",IF('Data Source'!AF863&gt;=4,"A",IF('Data Source'!AF863&gt;=3.5,"A-",IF('Data Source'!AF863&gt;=3,"B",IF('Data Source'!AF863&gt;=2,"C",IF('Data Source'!AF863&gt;=1,"D","F")))))),"")</f>
        <v/>
      </c>
      <c r="O863" s="3">
        <f>IF(AND('Data Source'!B863&lt;&gt;"",'Data Source'!S863="F"),IF('Data Source'!AG863&gt;=5,"A+",IF('Data Source'!AG863&gt;=4,"A",IF('Data Source'!AG863&gt;=3.5,"A-",IF('Data Source'!AG863&gt;=3,"B",IF('Data Source'!AG863&gt;=2,"C",IF('Data Source'!AG863&gt;=1,"D","F")))))),"")</f>
        <v/>
      </c>
      <c r="P863" s="5">
        <f>IF(AND('Data Source'!B863&lt;&gt;"",'Data Source'!S863="F"),'Data Source'!R863,"")</f>
        <v/>
      </c>
      <c r="Q863" s="3">
        <f>IF(AND('Data Source'!B863&lt;&gt;"",'Data Source'!S863="F"),'Data Source'!S863,"")</f>
        <v/>
      </c>
    </row>
    <row r="864">
      <c r="A864" s="3">
        <f>IF(AND('Data Source'!B864&lt;&gt;"",'Data Source'!S864="F"),COUNTIF('Data Source'!$S$3:S864,"F"),"")</f>
        <v/>
      </c>
      <c r="B864">
        <f>IF(AND('Data Source'!B864&lt;&gt;"",'Data Source'!S864="F"),'Data Source'!B864,"")</f>
        <v/>
      </c>
      <c r="C864" s="3">
        <f>IF(AND('Data Source'!B864&lt;&gt;"",'Data Source'!S864="F"),IF('Data Source'!U864&gt;=5,"A+",IF('Data Source'!U864&gt;=4,"A",IF('Data Source'!U864&gt;=3.5,"A-",IF('Data Source'!U864&gt;=3,"B",IF('Data Source'!U864&gt;=2,"C",IF('Data Source'!U864&gt;=1,"D","F")))))),"")</f>
        <v/>
      </c>
      <c r="D864" s="3">
        <f>IF(AND('Data Source'!B864&lt;&gt;"",'Data Source'!S864="F"),IF('Data Source'!V864&gt;=5,"A+",IF('Data Source'!V864&gt;=4,"A",IF('Data Source'!V864&gt;=3.5,"A-",IF('Data Source'!V864&gt;=3,"B",IF('Data Source'!V864&gt;=2,"C",IF('Data Source'!V864&gt;=1,"D","F")))))),"")</f>
        <v/>
      </c>
      <c r="E864" s="3">
        <f>IF(AND('Data Source'!B864&lt;&gt;"",'Data Source'!S864="F"),IF('Data Source'!W864&gt;=5,"A+",IF('Data Source'!W864&gt;=4,"A",IF('Data Source'!W864&gt;=3.5,"A-",IF('Data Source'!W864&gt;=3,"B",IF('Data Source'!W864&gt;=2,"C",IF('Data Source'!W864&gt;=1,"D","F")))))),"")</f>
        <v/>
      </c>
      <c r="F864" s="3">
        <f>IF(AND('Data Source'!B864&lt;&gt;"",'Data Source'!S864="F"),IF('Data Source'!X864&gt;=5,"A+",IF('Data Source'!X864&gt;=4,"A",IF('Data Source'!X864&gt;=3.5,"A-",IF('Data Source'!X864&gt;=3,"B",IF('Data Source'!X864&gt;=2,"C",IF('Data Source'!X864&gt;=1,"D","F")))))),"")</f>
        <v/>
      </c>
      <c r="G864" s="3">
        <f>IF(AND('Data Source'!B864&lt;&gt;"",'Data Source'!S864="F"),IF('Data Source'!Y864&gt;=5,"A+",IF('Data Source'!Y864&gt;=4,"A",IF('Data Source'!Y864&gt;=3.5,"A-",IF('Data Source'!Y864&gt;=3,"B",IF('Data Source'!Y864&gt;=2,"C",IF('Data Source'!Y864&gt;=1,"D","F")))))),"")</f>
        <v/>
      </c>
      <c r="H864" s="3">
        <f>IF(AND('Data Source'!B864&lt;&gt;"",'Data Source'!S864="F"),IF('Data Source'!Z864&gt;=5,"A+",IF('Data Source'!Z864&gt;=4,"A",IF('Data Source'!Z864&gt;=3.5,"A-",IF('Data Source'!Z864&gt;=3,"B",IF('Data Source'!Z864&gt;=2,"C",IF('Data Source'!Z864&gt;=1,"D","F")))))),"")</f>
        <v/>
      </c>
      <c r="I864" s="3">
        <f>IF(AND('Data Source'!B864&lt;&gt;"",'Data Source'!S864="F"),IF('Data Source'!AA864&gt;=5,"A+",IF('Data Source'!AA864&gt;=4,"A",IF('Data Source'!AA864&gt;=3.5,"A-",IF('Data Source'!AA864&gt;=3,"B",IF('Data Source'!AA864&gt;=2,"C",IF('Data Source'!AA864&gt;=1,"D","F")))))),"")</f>
        <v/>
      </c>
      <c r="J864" s="3">
        <f>IF(AND('Data Source'!B864&lt;&gt;"",'Data Source'!S864="F"),IF('Data Source'!AB864&gt;=5,"A+",IF('Data Source'!AB864&gt;=4,"A",IF('Data Source'!AB864&gt;=3.5,"A-",IF('Data Source'!AB864&gt;=3,"B",IF('Data Source'!AB864&gt;=2,"C",IF('Data Source'!AB864&gt;=1,"D","F")))))),"")</f>
        <v/>
      </c>
      <c r="K864" s="3">
        <f>IF(AND('Data Source'!B864&lt;&gt;"",'Data Source'!S864="F"),IF('Data Source'!AC864&gt;=5,"A+",IF('Data Source'!AC864&gt;=4,"A",IF('Data Source'!AC864&gt;=3.5,"A-",IF('Data Source'!AC864&gt;=3,"B",IF('Data Source'!AC864&gt;=2,"C",IF('Data Source'!AC864&gt;=1,"D","F")))))),"")</f>
        <v/>
      </c>
      <c r="L864" s="3">
        <f>IF(AND('Data Source'!B864&lt;&gt;"",'Data Source'!S864="F"),IF('Data Source'!AD864&gt;=5,"A+",IF('Data Source'!AD864&gt;=4,"A",IF('Data Source'!AD864&gt;=3.5,"A-",IF('Data Source'!AD864&gt;=3,"B",IF('Data Source'!AD864&gt;=2,"C",IF('Data Source'!AD864&gt;=1,"D","F")))))),"")</f>
        <v/>
      </c>
      <c r="M864" s="3">
        <f>IF(AND('Data Source'!B864&lt;&gt;"",'Data Source'!S864="F"),IF('Data Source'!AE864&gt;=5,"A+",IF('Data Source'!AE864&gt;=4,"A",IF('Data Source'!AE864&gt;=3.5,"A-",IF('Data Source'!AE864&gt;=3,"B",IF('Data Source'!AE864&gt;=2,"C",IF('Data Source'!AE864&gt;=1,"D","F")))))),"")</f>
        <v/>
      </c>
      <c r="N864" s="3">
        <f>IF(AND('Data Source'!B864&lt;&gt;"",'Data Source'!S864="F"),IF('Data Source'!AF864&gt;=5,"A+",IF('Data Source'!AF864&gt;=4,"A",IF('Data Source'!AF864&gt;=3.5,"A-",IF('Data Source'!AF864&gt;=3,"B",IF('Data Source'!AF864&gt;=2,"C",IF('Data Source'!AF864&gt;=1,"D","F")))))),"")</f>
        <v/>
      </c>
      <c r="O864" s="3">
        <f>IF(AND('Data Source'!B864&lt;&gt;"",'Data Source'!S864="F"),IF('Data Source'!AG864&gt;=5,"A+",IF('Data Source'!AG864&gt;=4,"A",IF('Data Source'!AG864&gt;=3.5,"A-",IF('Data Source'!AG864&gt;=3,"B",IF('Data Source'!AG864&gt;=2,"C",IF('Data Source'!AG864&gt;=1,"D","F")))))),"")</f>
        <v/>
      </c>
      <c r="P864" s="5">
        <f>IF(AND('Data Source'!B864&lt;&gt;"",'Data Source'!S864="F"),'Data Source'!R864,"")</f>
        <v/>
      </c>
      <c r="Q864" s="3">
        <f>IF(AND('Data Source'!B864&lt;&gt;"",'Data Source'!S864="F"),'Data Source'!S864,"")</f>
        <v/>
      </c>
    </row>
    <row r="865">
      <c r="A865" s="3">
        <f>IF(AND('Data Source'!B865&lt;&gt;"",'Data Source'!S865="F"),COUNTIF('Data Source'!$S$3:S865,"F"),"")</f>
        <v/>
      </c>
      <c r="B865">
        <f>IF(AND('Data Source'!B865&lt;&gt;"",'Data Source'!S865="F"),'Data Source'!B865,"")</f>
        <v/>
      </c>
      <c r="C865" s="3">
        <f>IF(AND('Data Source'!B865&lt;&gt;"",'Data Source'!S865="F"),IF('Data Source'!U865&gt;=5,"A+",IF('Data Source'!U865&gt;=4,"A",IF('Data Source'!U865&gt;=3.5,"A-",IF('Data Source'!U865&gt;=3,"B",IF('Data Source'!U865&gt;=2,"C",IF('Data Source'!U865&gt;=1,"D","F")))))),"")</f>
        <v/>
      </c>
      <c r="D865" s="3">
        <f>IF(AND('Data Source'!B865&lt;&gt;"",'Data Source'!S865="F"),IF('Data Source'!V865&gt;=5,"A+",IF('Data Source'!V865&gt;=4,"A",IF('Data Source'!V865&gt;=3.5,"A-",IF('Data Source'!V865&gt;=3,"B",IF('Data Source'!V865&gt;=2,"C",IF('Data Source'!V865&gt;=1,"D","F")))))),"")</f>
        <v/>
      </c>
      <c r="E865" s="3">
        <f>IF(AND('Data Source'!B865&lt;&gt;"",'Data Source'!S865="F"),IF('Data Source'!W865&gt;=5,"A+",IF('Data Source'!W865&gt;=4,"A",IF('Data Source'!W865&gt;=3.5,"A-",IF('Data Source'!W865&gt;=3,"B",IF('Data Source'!W865&gt;=2,"C",IF('Data Source'!W865&gt;=1,"D","F")))))),"")</f>
        <v/>
      </c>
      <c r="F865" s="3">
        <f>IF(AND('Data Source'!B865&lt;&gt;"",'Data Source'!S865="F"),IF('Data Source'!X865&gt;=5,"A+",IF('Data Source'!X865&gt;=4,"A",IF('Data Source'!X865&gt;=3.5,"A-",IF('Data Source'!X865&gt;=3,"B",IF('Data Source'!X865&gt;=2,"C",IF('Data Source'!X865&gt;=1,"D","F")))))),"")</f>
        <v/>
      </c>
      <c r="G865" s="3">
        <f>IF(AND('Data Source'!B865&lt;&gt;"",'Data Source'!S865="F"),IF('Data Source'!Y865&gt;=5,"A+",IF('Data Source'!Y865&gt;=4,"A",IF('Data Source'!Y865&gt;=3.5,"A-",IF('Data Source'!Y865&gt;=3,"B",IF('Data Source'!Y865&gt;=2,"C",IF('Data Source'!Y865&gt;=1,"D","F")))))),"")</f>
        <v/>
      </c>
      <c r="H865" s="3">
        <f>IF(AND('Data Source'!B865&lt;&gt;"",'Data Source'!S865="F"),IF('Data Source'!Z865&gt;=5,"A+",IF('Data Source'!Z865&gt;=4,"A",IF('Data Source'!Z865&gt;=3.5,"A-",IF('Data Source'!Z865&gt;=3,"B",IF('Data Source'!Z865&gt;=2,"C",IF('Data Source'!Z865&gt;=1,"D","F")))))),"")</f>
        <v/>
      </c>
      <c r="I865" s="3">
        <f>IF(AND('Data Source'!B865&lt;&gt;"",'Data Source'!S865="F"),IF('Data Source'!AA865&gt;=5,"A+",IF('Data Source'!AA865&gt;=4,"A",IF('Data Source'!AA865&gt;=3.5,"A-",IF('Data Source'!AA865&gt;=3,"B",IF('Data Source'!AA865&gt;=2,"C",IF('Data Source'!AA865&gt;=1,"D","F")))))),"")</f>
        <v/>
      </c>
      <c r="J865" s="3">
        <f>IF(AND('Data Source'!B865&lt;&gt;"",'Data Source'!S865="F"),IF('Data Source'!AB865&gt;=5,"A+",IF('Data Source'!AB865&gt;=4,"A",IF('Data Source'!AB865&gt;=3.5,"A-",IF('Data Source'!AB865&gt;=3,"B",IF('Data Source'!AB865&gt;=2,"C",IF('Data Source'!AB865&gt;=1,"D","F")))))),"")</f>
        <v/>
      </c>
      <c r="K865" s="3">
        <f>IF(AND('Data Source'!B865&lt;&gt;"",'Data Source'!S865="F"),IF('Data Source'!AC865&gt;=5,"A+",IF('Data Source'!AC865&gt;=4,"A",IF('Data Source'!AC865&gt;=3.5,"A-",IF('Data Source'!AC865&gt;=3,"B",IF('Data Source'!AC865&gt;=2,"C",IF('Data Source'!AC865&gt;=1,"D","F")))))),"")</f>
        <v/>
      </c>
      <c r="L865" s="3">
        <f>IF(AND('Data Source'!B865&lt;&gt;"",'Data Source'!S865="F"),IF('Data Source'!AD865&gt;=5,"A+",IF('Data Source'!AD865&gt;=4,"A",IF('Data Source'!AD865&gt;=3.5,"A-",IF('Data Source'!AD865&gt;=3,"B",IF('Data Source'!AD865&gt;=2,"C",IF('Data Source'!AD865&gt;=1,"D","F")))))),"")</f>
        <v/>
      </c>
      <c r="M865" s="3">
        <f>IF(AND('Data Source'!B865&lt;&gt;"",'Data Source'!S865="F"),IF('Data Source'!AE865&gt;=5,"A+",IF('Data Source'!AE865&gt;=4,"A",IF('Data Source'!AE865&gt;=3.5,"A-",IF('Data Source'!AE865&gt;=3,"B",IF('Data Source'!AE865&gt;=2,"C",IF('Data Source'!AE865&gt;=1,"D","F")))))),"")</f>
        <v/>
      </c>
      <c r="N865" s="3">
        <f>IF(AND('Data Source'!B865&lt;&gt;"",'Data Source'!S865="F"),IF('Data Source'!AF865&gt;=5,"A+",IF('Data Source'!AF865&gt;=4,"A",IF('Data Source'!AF865&gt;=3.5,"A-",IF('Data Source'!AF865&gt;=3,"B",IF('Data Source'!AF865&gt;=2,"C",IF('Data Source'!AF865&gt;=1,"D","F")))))),"")</f>
        <v/>
      </c>
      <c r="O865" s="3">
        <f>IF(AND('Data Source'!B865&lt;&gt;"",'Data Source'!S865="F"),IF('Data Source'!AG865&gt;=5,"A+",IF('Data Source'!AG865&gt;=4,"A",IF('Data Source'!AG865&gt;=3.5,"A-",IF('Data Source'!AG865&gt;=3,"B",IF('Data Source'!AG865&gt;=2,"C",IF('Data Source'!AG865&gt;=1,"D","F")))))),"")</f>
        <v/>
      </c>
      <c r="P865" s="5">
        <f>IF(AND('Data Source'!B865&lt;&gt;"",'Data Source'!S865="F"),'Data Source'!R865,"")</f>
        <v/>
      </c>
      <c r="Q865" s="3">
        <f>IF(AND('Data Source'!B865&lt;&gt;"",'Data Source'!S865="F"),'Data Source'!S865,"")</f>
        <v/>
      </c>
    </row>
    <row r="866">
      <c r="A866" s="3">
        <f>IF(AND('Data Source'!B866&lt;&gt;"",'Data Source'!S866="F"),COUNTIF('Data Source'!$S$3:S866,"F"),"")</f>
        <v/>
      </c>
      <c r="B866">
        <f>IF(AND('Data Source'!B866&lt;&gt;"",'Data Source'!S866="F"),'Data Source'!B866,"")</f>
        <v/>
      </c>
      <c r="C866" s="3">
        <f>IF(AND('Data Source'!B866&lt;&gt;"",'Data Source'!S866="F"),IF('Data Source'!U866&gt;=5,"A+",IF('Data Source'!U866&gt;=4,"A",IF('Data Source'!U866&gt;=3.5,"A-",IF('Data Source'!U866&gt;=3,"B",IF('Data Source'!U866&gt;=2,"C",IF('Data Source'!U866&gt;=1,"D","F")))))),"")</f>
        <v/>
      </c>
      <c r="D866" s="3">
        <f>IF(AND('Data Source'!B866&lt;&gt;"",'Data Source'!S866="F"),IF('Data Source'!V866&gt;=5,"A+",IF('Data Source'!V866&gt;=4,"A",IF('Data Source'!V866&gt;=3.5,"A-",IF('Data Source'!V866&gt;=3,"B",IF('Data Source'!V866&gt;=2,"C",IF('Data Source'!V866&gt;=1,"D","F")))))),"")</f>
        <v/>
      </c>
      <c r="E866" s="3">
        <f>IF(AND('Data Source'!B866&lt;&gt;"",'Data Source'!S866="F"),IF('Data Source'!W866&gt;=5,"A+",IF('Data Source'!W866&gt;=4,"A",IF('Data Source'!W866&gt;=3.5,"A-",IF('Data Source'!W866&gt;=3,"B",IF('Data Source'!W866&gt;=2,"C",IF('Data Source'!W866&gt;=1,"D","F")))))),"")</f>
        <v/>
      </c>
      <c r="F866" s="3">
        <f>IF(AND('Data Source'!B866&lt;&gt;"",'Data Source'!S866="F"),IF('Data Source'!X866&gt;=5,"A+",IF('Data Source'!X866&gt;=4,"A",IF('Data Source'!X866&gt;=3.5,"A-",IF('Data Source'!X866&gt;=3,"B",IF('Data Source'!X866&gt;=2,"C",IF('Data Source'!X866&gt;=1,"D","F")))))),"")</f>
        <v/>
      </c>
      <c r="G866" s="3">
        <f>IF(AND('Data Source'!B866&lt;&gt;"",'Data Source'!S866="F"),IF('Data Source'!Y866&gt;=5,"A+",IF('Data Source'!Y866&gt;=4,"A",IF('Data Source'!Y866&gt;=3.5,"A-",IF('Data Source'!Y866&gt;=3,"B",IF('Data Source'!Y866&gt;=2,"C",IF('Data Source'!Y866&gt;=1,"D","F")))))),"")</f>
        <v/>
      </c>
      <c r="H866" s="3">
        <f>IF(AND('Data Source'!B866&lt;&gt;"",'Data Source'!S866="F"),IF('Data Source'!Z866&gt;=5,"A+",IF('Data Source'!Z866&gt;=4,"A",IF('Data Source'!Z866&gt;=3.5,"A-",IF('Data Source'!Z866&gt;=3,"B",IF('Data Source'!Z866&gt;=2,"C",IF('Data Source'!Z866&gt;=1,"D","F")))))),"")</f>
        <v/>
      </c>
      <c r="I866" s="3">
        <f>IF(AND('Data Source'!B866&lt;&gt;"",'Data Source'!S866="F"),IF('Data Source'!AA866&gt;=5,"A+",IF('Data Source'!AA866&gt;=4,"A",IF('Data Source'!AA866&gt;=3.5,"A-",IF('Data Source'!AA866&gt;=3,"B",IF('Data Source'!AA866&gt;=2,"C",IF('Data Source'!AA866&gt;=1,"D","F")))))),"")</f>
        <v/>
      </c>
      <c r="J866" s="3">
        <f>IF(AND('Data Source'!B866&lt;&gt;"",'Data Source'!S866="F"),IF('Data Source'!AB866&gt;=5,"A+",IF('Data Source'!AB866&gt;=4,"A",IF('Data Source'!AB866&gt;=3.5,"A-",IF('Data Source'!AB866&gt;=3,"B",IF('Data Source'!AB866&gt;=2,"C",IF('Data Source'!AB866&gt;=1,"D","F")))))),"")</f>
        <v/>
      </c>
      <c r="K866" s="3">
        <f>IF(AND('Data Source'!B866&lt;&gt;"",'Data Source'!S866="F"),IF('Data Source'!AC866&gt;=5,"A+",IF('Data Source'!AC866&gt;=4,"A",IF('Data Source'!AC866&gt;=3.5,"A-",IF('Data Source'!AC866&gt;=3,"B",IF('Data Source'!AC866&gt;=2,"C",IF('Data Source'!AC866&gt;=1,"D","F")))))),"")</f>
        <v/>
      </c>
      <c r="L866" s="3">
        <f>IF(AND('Data Source'!B866&lt;&gt;"",'Data Source'!S866="F"),IF('Data Source'!AD866&gt;=5,"A+",IF('Data Source'!AD866&gt;=4,"A",IF('Data Source'!AD866&gt;=3.5,"A-",IF('Data Source'!AD866&gt;=3,"B",IF('Data Source'!AD866&gt;=2,"C",IF('Data Source'!AD866&gt;=1,"D","F")))))),"")</f>
        <v/>
      </c>
      <c r="M866" s="3">
        <f>IF(AND('Data Source'!B866&lt;&gt;"",'Data Source'!S866="F"),IF('Data Source'!AE866&gt;=5,"A+",IF('Data Source'!AE866&gt;=4,"A",IF('Data Source'!AE866&gt;=3.5,"A-",IF('Data Source'!AE866&gt;=3,"B",IF('Data Source'!AE866&gt;=2,"C",IF('Data Source'!AE866&gt;=1,"D","F")))))),"")</f>
        <v/>
      </c>
      <c r="N866" s="3">
        <f>IF(AND('Data Source'!B866&lt;&gt;"",'Data Source'!S866="F"),IF('Data Source'!AF866&gt;=5,"A+",IF('Data Source'!AF866&gt;=4,"A",IF('Data Source'!AF866&gt;=3.5,"A-",IF('Data Source'!AF866&gt;=3,"B",IF('Data Source'!AF866&gt;=2,"C",IF('Data Source'!AF866&gt;=1,"D","F")))))),"")</f>
        <v/>
      </c>
      <c r="O866" s="3">
        <f>IF(AND('Data Source'!B866&lt;&gt;"",'Data Source'!S866="F"),IF('Data Source'!AG866&gt;=5,"A+",IF('Data Source'!AG866&gt;=4,"A",IF('Data Source'!AG866&gt;=3.5,"A-",IF('Data Source'!AG866&gt;=3,"B",IF('Data Source'!AG866&gt;=2,"C",IF('Data Source'!AG866&gt;=1,"D","F")))))),"")</f>
        <v/>
      </c>
      <c r="P866" s="5">
        <f>IF(AND('Data Source'!B866&lt;&gt;"",'Data Source'!S866="F"),'Data Source'!R866,"")</f>
        <v/>
      </c>
      <c r="Q866" s="3">
        <f>IF(AND('Data Source'!B866&lt;&gt;"",'Data Source'!S866="F"),'Data Source'!S866,"")</f>
        <v/>
      </c>
    </row>
    <row r="867">
      <c r="A867" s="3">
        <f>IF(AND('Data Source'!B867&lt;&gt;"",'Data Source'!S867="F"),COUNTIF('Data Source'!$S$3:S867,"F"),"")</f>
        <v/>
      </c>
      <c r="B867">
        <f>IF(AND('Data Source'!B867&lt;&gt;"",'Data Source'!S867="F"),'Data Source'!B867,"")</f>
        <v/>
      </c>
      <c r="C867" s="3">
        <f>IF(AND('Data Source'!B867&lt;&gt;"",'Data Source'!S867="F"),IF('Data Source'!U867&gt;=5,"A+",IF('Data Source'!U867&gt;=4,"A",IF('Data Source'!U867&gt;=3.5,"A-",IF('Data Source'!U867&gt;=3,"B",IF('Data Source'!U867&gt;=2,"C",IF('Data Source'!U867&gt;=1,"D","F")))))),"")</f>
        <v/>
      </c>
      <c r="D867" s="3">
        <f>IF(AND('Data Source'!B867&lt;&gt;"",'Data Source'!S867="F"),IF('Data Source'!V867&gt;=5,"A+",IF('Data Source'!V867&gt;=4,"A",IF('Data Source'!V867&gt;=3.5,"A-",IF('Data Source'!V867&gt;=3,"B",IF('Data Source'!V867&gt;=2,"C",IF('Data Source'!V867&gt;=1,"D","F")))))),"")</f>
        <v/>
      </c>
      <c r="E867" s="3">
        <f>IF(AND('Data Source'!B867&lt;&gt;"",'Data Source'!S867="F"),IF('Data Source'!W867&gt;=5,"A+",IF('Data Source'!W867&gt;=4,"A",IF('Data Source'!W867&gt;=3.5,"A-",IF('Data Source'!W867&gt;=3,"B",IF('Data Source'!W867&gt;=2,"C",IF('Data Source'!W867&gt;=1,"D","F")))))),"")</f>
        <v/>
      </c>
      <c r="F867" s="3">
        <f>IF(AND('Data Source'!B867&lt;&gt;"",'Data Source'!S867="F"),IF('Data Source'!X867&gt;=5,"A+",IF('Data Source'!X867&gt;=4,"A",IF('Data Source'!X867&gt;=3.5,"A-",IF('Data Source'!X867&gt;=3,"B",IF('Data Source'!X867&gt;=2,"C",IF('Data Source'!X867&gt;=1,"D","F")))))),"")</f>
        <v/>
      </c>
      <c r="G867" s="3">
        <f>IF(AND('Data Source'!B867&lt;&gt;"",'Data Source'!S867="F"),IF('Data Source'!Y867&gt;=5,"A+",IF('Data Source'!Y867&gt;=4,"A",IF('Data Source'!Y867&gt;=3.5,"A-",IF('Data Source'!Y867&gt;=3,"B",IF('Data Source'!Y867&gt;=2,"C",IF('Data Source'!Y867&gt;=1,"D","F")))))),"")</f>
        <v/>
      </c>
      <c r="H867" s="3">
        <f>IF(AND('Data Source'!B867&lt;&gt;"",'Data Source'!S867="F"),IF('Data Source'!Z867&gt;=5,"A+",IF('Data Source'!Z867&gt;=4,"A",IF('Data Source'!Z867&gt;=3.5,"A-",IF('Data Source'!Z867&gt;=3,"B",IF('Data Source'!Z867&gt;=2,"C",IF('Data Source'!Z867&gt;=1,"D","F")))))),"")</f>
        <v/>
      </c>
      <c r="I867" s="3">
        <f>IF(AND('Data Source'!B867&lt;&gt;"",'Data Source'!S867="F"),IF('Data Source'!AA867&gt;=5,"A+",IF('Data Source'!AA867&gt;=4,"A",IF('Data Source'!AA867&gt;=3.5,"A-",IF('Data Source'!AA867&gt;=3,"B",IF('Data Source'!AA867&gt;=2,"C",IF('Data Source'!AA867&gt;=1,"D","F")))))),"")</f>
        <v/>
      </c>
      <c r="J867" s="3">
        <f>IF(AND('Data Source'!B867&lt;&gt;"",'Data Source'!S867="F"),IF('Data Source'!AB867&gt;=5,"A+",IF('Data Source'!AB867&gt;=4,"A",IF('Data Source'!AB867&gt;=3.5,"A-",IF('Data Source'!AB867&gt;=3,"B",IF('Data Source'!AB867&gt;=2,"C",IF('Data Source'!AB867&gt;=1,"D","F")))))),"")</f>
        <v/>
      </c>
      <c r="K867" s="3">
        <f>IF(AND('Data Source'!B867&lt;&gt;"",'Data Source'!S867="F"),IF('Data Source'!AC867&gt;=5,"A+",IF('Data Source'!AC867&gt;=4,"A",IF('Data Source'!AC867&gt;=3.5,"A-",IF('Data Source'!AC867&gt;=3,"B",IF('Data Source'!AC867&gt;=2,"C",IF('Data Source'!AC867&gt;=1,"D","F")))))),"")</f>
        <v/>
      </c>
      <c r="L867" s="3">
        <f>IF(AND('Data Source'!B867&lt;&gt;"",'Data Source'!S867="F"),IF('Data Source'!AD867&gt;=5,"A+",IF('Data Source'!AD867&gt;=4,"A",IF('Data Source'!AD867&gt;=3.5,"A-",IF('Data Source'!AD867&gt;=3,"B",IF('Data Source'!AD867&gt;=2,"C",IF('Data Source'!AD867&gt;=1,"D","F")))))),"")</f>
        <v/>
      </c>
      <c r="M867" s="3">
        <f>IF(AND('Data Source'!B867&lt;&gt;"",'Data Source'!S867="F"),IF('Data Source'!AE867&gt;=5,"A+",IF('Data Source'!AE867&gt;=4,"A",IF('Data Source'!AE867&gt;=3.5,"A-",IF('Data Source'!AE867&gt;=3,"B",IF('Data Source'!AE867&gt;=2,"C",IF('Data Source'!AE867&gt;=1,"D","F")))))),"")</f>
        <v/>
      </c>
      <c r="N867" s="3">
        <f>IF(AND('Data Source'!B867&lt;&gt;"",'Data Source'!S867="F"),IF('Data Source'!AF867&gt;=5,"A+",IF('Data Source'!AF867&gt;=4,"A",IF('Data Source'!AF867&gt;=3.5,"A-",IF('Data Source'!AF867&gt;=3,"B",IF('Data Source'!AF867&gt;=2,"C",IF('Data Source'!AF867&gt;=1,"D","F")))))),"")</f>
        <v/>
      </c>
      <c r="O867" s="3">
        <f>IF(AND('Data Source'!B867&lt;&gt;"",'Data Source'!S867="F"),IF('Data Source'!AG867&gt;=5,"A+",IF('Data Source'!AG867&gt;=4,"A",IF('Data Source'!AG867&gt;=3.5,"A-",IF('Data Source'!AG867&gt;=3,"B",IF('Data Source'!AG867&gt;=2,"C",IF('Data Source'!AG867&gt;=1,"D","F")))))),"")</f>
        <v/>
      </c>
      <c r="P867" s="5">
        <f>IF(AND('Data Source'!B867&lt;&gt;"",'Data Source'!S867="F"),'Data Source'!R867,"")</f>
        <v/>
      </c>
      <c r="Q867" s="3">
        <f>IF(AND('Data Source'!B867&lt;&gt;"",'Data Source'!S867="F"),'Data Source'!S867,"")</f>
        <v/>
      </c>
    </row>
    <row r="868">
      <c r="A868" s="3">
        <f>IF(AND('Data Source'!B868&lt;&gt;"",'Data Source'!S868="F"),COUNTIF('Data Source'!$S$3:S868,"F"),"")</f>
        <v/>
      </c>
      <c r="B868">
        <f>IF(AND('Data Source'!B868&lt;&gt;"",'Data Source'!S868="F"),'Data Source'!B868,"")</f>
        <v/>
      </c>
      <c r="C868" s="3">
        <f>IF(AND('Data Source'!B868&lt;&gt;"",'Data Source'!S868="F"),IF('Data Source'!U868&gt;=5,"A+",IF('Data Source'!U868&gt;=4,"A",IF('Data Source'!U868&gt;=3.5,"A-",IF('Data Source'!U868&gt;=3,"B",IF('Data Source'!U868&gt;=2,"C",IF('Data Source'!U868&gt;=1,"D","F")))))),"")</f>
        <v/>
      </c>
      <c r="D868" s="3">
        <f>IF(AND('Data Source'!B868&lt;&gt;"",'Data Source'!S868="F"),IF('Data Source'!V868&gt;=5,"A+",IF('Data Source'!V868&gt;=4,"A",IF('Data Source'!V868&gt;=3.5,"A-",IF('Data Source'!V868&gt;=3,"B",IF('Data Source'!V868&gt;=2,"C",IF('Data Source'!V868&gt;=1,"D","F")))))),"")</f>
        <v/>
      </c>
      <c r="E868" s="3">
        <f>IF(AND('Data Source'!B868&lt;&gt;"",'Data Source'!S868="F"),IF('Data Source'!W868&gt;=5,"A+",IF('Data Source'!W868&gt;=4,"A",IF('Data Source'!W868&gt;=3.5,"A-",IF('Data Source'!W868&gt;=3,"B",IF('Data Source'!W868&gt;=2,"C",IF('Data Source'!W868&gt;=1,"D","F")))))),"")</f>
        <v/>
      </c>
      <c r="F868" s="3">
        <f>IF(AND('Data Source'!B868&lt;&gt;"",'Data Source'!S868="F"),IF('Data Source'!X868&gt;=5,"A+",IF('Data Source'!X868&gt;=4,"A",IF('Data Source'!X868&gt;=3.5,"A-",IF('Data Source'!X868&gt;=3,"B",IF('Data Source'!X868&gt;=2,"C",IF('Data Source'!X868&gt;=1,"D","F")))))),"")</f>
        <v/>
      </c>
      <c r="G868" s="3">
        <f>IF(AND('Data Source'!B868&lt;&gt;"",'Data Source'!S868="F"),IF('Data Source'!Y868&gt;=5,"A+",IF('Data Source'!Y868&gt;=4,"A",IF('Data Source'!Y868&gt;=3.5,"A-",IF('Data Source'!Y868&gt;=3,"B",IF('Data Source'!Y868&gt;=2,"C",IF('Data Source'!Y868&gt;=1,"D","F")))))),"")</f>
        <v/>
      </c>
      <c r="H868" s="3">
        <f>IF(AND('Data Source'!B868&lt;&gt;"",'Data Source'!S868="F"),IF('Data Source'!Z868&gt;=5,"A+",IF('Data Source'!Z868&gt;=4,"A",IF('Data Source'!Z868&gt;=3.5,"A-",IF('Data Source'!Z868&gt;=3,"B",IF('Data Source'!Z868&gt;=2,"C",IF('Data Source'!Z868&gt;=1,"D","F")))))),"")</f>
        <v/>
      </c>
      <c r="I868" s="3">
        <f>IF(AND('Data Source'!B868&lt;&gt;"",'Data Source'!S868="F"),IF('Data Source'!AA868&gt;=5,"A+",IF('Data Source'!AA868&gt;=4,"A",IF('Data Source'!AA868&gt;=3.5,"A-",IF('Data Source'!AA868&gt;=3,"B",IF('Data Source'!AA868&gt;=2,"C",IF('Data Source'!AA868&gt;=1,"D","F")))))),"")</f>
        <v/>
      </c>
      <c r="J868" s="3">
        <f>IF(AND('Data Source'!B868&lt;&gt;"",'Data Source'!S868="F"),IF('Data Source'!AB868&gt;=5,"A+",IF('Data Source'!AB868&gt;=4,"A",IF('Data Source'!AB868&gt;=3.5,"A-",IF('Data Source'!AB868&gt;=3,"B",IF('Data Source'!AB868&gt;=2,"C",IF('Data Source'!AB868&gt;=1,"D","F")))))),"")</f>
        <v/>
      </c>
      <c r="K868" s="3">
        <f>IF(AND('Data Source'!B868&lt;&gt;"",'Data Source'!S868="F"),IF('Data Source'!AC868&gt;=5,"A+",IF('Data Source'!AC868&gt;=4,"A",IF('Data Source'!AC868&gt;=3.5,"A-",IF('Data Source'!AC868&gt;=3,"B",IF('Data Source'!AC868&gt;=2,"C",IF('Data Source'!AC868&gt;=1,"D","F")))))),"")</f>
        <v/>
      </c>
      <c r="L868" s="3">
        <f>IF(AND('Data Source'!B868&lt;&gt;"",'Data Source'!S868="F"),IF('Data Source'!AD868&gt;=5,"A+",IF('Data Source'!AD868&gt;=4,"A",IF('Data Source'!AD868&gt;=3.5,"A-",IF('Data Source'!AD868&gt;=3,"B",IF('Data Source'!AD868&gt;=2,"C",IF('Data Source'!AD868&gt;=1,"D","F")))))),"")</f>
        <v/>
      </c>
      <c r="M868" s="3">
        <f>IF(AND('Data Source'!B868&lt;&gt;"",'Data Source'!S868="F"),IF('Data Source'!AE868&gt;=5,"A+",IF('Data Source'!AE868&gt;=4,"A",IF('Data Source'!AE868&gt;=3.5,"A-",IF('Data Source'!AE868&gt;=3,"B",IF('Data Source'!AE868&gt;=2,"C",IF('Data Source'!AE868&gt;=1,"D","F")))))),"")</f>
        <v/>
      </c>
      <c r="N868" s="3">
        <f>IF(AND('Data Source'!B868&lt;&gt;"",'Data Source'!S868="F"),IF('Data Source'!AF868&gt;=5,"A+",IF('Data Source'!AF868&gt;=4,"A",IF('Data Source'!AF868&gt;=3.5,"A-",IF('Data Source'!AF868&gt;=3,"B",IF('Data Source'!AF868&gt;=2,"C",IF('Data Source'!AF868&gt;=1,"D","F")))))),"")</f>
        <v/>
      </c>
      <c r="O868" s="3">
        <f>IF(AND('Data Source'!B868&lt;&gt;"",'Data Source'!S868="F"),IF('Data Source'!AG868&gt;=5,"A+",IF('Data Source'!AG868&gt;=4,"A",IF('Data Source'!AG868&gt;=3.5,"A-",IF('Data Source'!AG868&gt;=3,"B",IF('Data Source'!AG868&gt;=2,"C",IF('Data Source'!AG868&gt;=1,"D","F")))))),"")</f>
        <v/>
      </c>
      <c r="P868" s="5">
        <f>IF(AND('Data Source'!B868&lt;&gt;"",'Data Source'!S868="F"),'Data Source'!R868,"")</f>
        <v/>
      </c>
      <c r="Q868" s="3">
        <f>IF(AND('Data Source'!B868&lt;&gt;"",'Data Source'!S868="F"),'Data Source'!S868,"")</f>
        <v/>
      </c>
    </row>
    <row r="869">
      <c r="A869" s="3">
        <f>IF(AND('Data Source'!B869&lt;&gt;"",'Data Source'!S869="F"),COUNTIF('Data Source'!$S$3:S869,"F"),"")</f>
        <v/>
      </c>
      <c r="B869">
        <f>IF(AND('Data Source'!B869&lt;&gt;"",'Data Source'!S869="F"),'Data Source'!B869,"")</f>
        <v/>
      </c>
      <c r="C869" s="3">
        <f>IF(AND('Data Source'!B869&lt;&gt;"",'Data Source'!S869="F"),IF('Data Source'!U869&gt;=5,"A+",IF('Data Source'!U869&gt;=4,"A",IF('Data Source'!U869&gt;=3.5,"A-",IF('Data Source'!U869&gt;=3,"B",IF('Data Source'!U869&gt;=2,"C",IF('Data Source'!U869&gt;=1,"D","F")))))),"")</f>
        <v/>
      </c>
      <c r="D869" s="3">
        <f>IF(AND('Data Source'!B869&lt;&gt;"",'Data Source'!S869="F"),IF('Data Source'!V869&gt;=5,"A+",IF('Data Source'!V869&gt;=4,"A",IF('Data Source'!V869&gt;=3.5,"A-",IF('Data Source'!V869&gt;=3,"B",IF('Data Source'!V869&gt;=2,"C",IF('Data Source'!V869&gt;=1,"D","F")))))),"")</f>
        <v/>
      </c>
      <c r="E869" s="3">
        <f>IF(AND('Data Source'!B869&lt;&gt;"",'Data Source'!S869="F"),IF('Data Source'!W869&gt;=5,"A+",IF('Data Source'!W869&gt;=4,"A",IF('Data Source'!W869&gt;=3.5,"A-",IF('Data Source'!W869&gt;=3,"B",IF('Data Source'!W869&gt;=2,"C",IF('Data Source'!W869&gt;=1,"D","F")))))),"")</f>
        <v/>
      </c>
      <c r="F869" s="3">
        <f>IF(AND('Data Source'!B869&lt;&gt;"",'Data Source'!S869="F"),IF('Data Source'!X869&gt;=5,"A+",IF('Data Source'!X869&gt;=4,"A",IF('Data Source'!X869&gt;=3.5,"A-",IF('Data Source'!X869&gt;=3,"B",IF('Data Source'!X869&gt;=2,"C",IF('Data Source'!X869&gt;=1,"D","F")))))),"")</f>
        <v/>
      </c>
      <c r="G869" s="3">
        <f>IF(AND('Data Source'!B869&lt;&gt;"",'Data Source'!S869="F"),IF('Data Source'!Y869&gt;=5,"A+",IF('Data Source'!Y869&gt;=4,"A",IF('Data Source'!Y869&gt;=3.5,"A-",IF('Data Source'!Y869&gt;=3,"B",IF('Data Source'!Y869&gt;=2,"C",IF('Data Source'!Y869&gt;=1,"D","F")))))),"")</f>
        <v/>
      </c>
      <c r="H869" s="3">
        <f>IF(AND('Data Source'!B869&lt;&gt;"",'Data Source'!S869="F"),IF('Data Source'!Z869&gt;=5,"A+",IF('Data Source'!Z869&gt;=4,"A",IF('Data Source'!Z869&gt;=3.5,"A-",IF('Data Source'!Z869&gt;=3,"B",IF('Data Source'!Z869&gt;=2,"C",IF('Data Source'!Z869&gt;=1,"D","F")))))),"")</f>
        <v/>
      </c>
      <c r="I869" s="3">
        <f>IF(AND('Data Source'!B869&lt;&gt;"",'Data Source'!S869="F"),IF('Data Source'!AA869&gt;=5,"A+",IF('Data Source'!AA869&gt;=4,"A",IF('Data Source'!AA869&gt;=3.5,"A-",IF('Data Source'!AA869&gt;=3,"B",IF('Data Source'!AA869&gt;=2,"C",IF('Data Source'!AA869&gt;=1,"D","F")))))),"")</f>
        <v/>
      </c>
      <c r="J869" s="3">
        <f>IF(AND('Data Source'!B869&lt;&gt;"",'Data Source'!S869="F"),IF('Data Source'!AB869&gt;=5,"A+",IF('Data Source'!AB869&gt;=4,"A",IF('Data Source'!AB869&gt;=3.5,"A-",IF('Data Source'!AB869&gt;=3,"B",IF('Data Source'!AB869&gt;=2,"C",IF('Data Source'!AB869&gt;=1,"D","F")))))),"")</f>
        <v/>
      </c>
      <c r="K869" s="3">
        <f>IF(AND('Data Source'!B869&lt;&gt;"",'Data Source'!S869="F"),IF('Data Source'!AC869&gt;=5,"A+",IF('Data Source'!AC869&gt;=4,"A",IF('Data Source'!AC869&gt;=3.5,"A-",IF('Data Source'!AC869&gt;=3,"B",IF('Data Source'!AC869&gt;=2,"C",IF('Data Source'!AC869&gt;=1,"D","F")))))),"")</f>
        <v/>
      </c>
      <c r="L869" s="3">
        <f>IF(AND('Data Source'!B869&lt;&gt;"",'Data Source'!S869="F"),IF('Data Source'!AD869&gt;=5,"A+",IF('Data Source'!AD869&gt;=4,"A",IF('Data Source'!AD869&gt;=3.5,"A-",IF('Data Source'!AD869&gt;=3,"B",IF('Data Source'!AD869&gt;=2,"C",IF('Data Source'!AD869&gt;=1,"D","F")))))),"")</f>
        <v/>
      </c>
      <c r="M869" s="3">
        <f>IF(AND('Data Source'!B869&lt;&gt;"",'Data Source'!S869="F"),IF('Data Source'!AE869&gt;=5,"A+",IF('Data Source'!AE869&gt;=4,"A",IF('Data Source'!AE869&gt;=3.5,"A-",IF('Data Source'!AE869&gt;=3,"B",IF('Data Source'!AE869&gt;=2,"C",IF('Data Source'!AE869&gt;=1,"D","F")))))),"")</f>
        <v/>
      </c>
      <c r="N869" s="3">
        <f>IF(AND('Data Source'!B869&lt;&gt;"",'Data Source'!S869="F"),IF('Data Source'!AF869&gt;=5,"A+",IF('Data Source'!AF869&gt;=4,"A",IF('Data Source'!AF869&gt;=3.5,"A-",IF('Data Source'!AF869&gt;=3,"B",IF('Data Source'!AF869&gt;=2,"C",IF('Data Source'!AF869&gt;=1,"D","F")))))),"")</f>
        <v/>
      </c>
      <c r="O869" s="3">
        <f>IF(AND('Data Source'!B869&lt;&gt;"",'Data Source'!S869="F"),IF('Data Source'!AG869&gt;=5,"A+",IF('Data Source'!AG869&gt;=4,"A",IF('Data Source'!AG869&gt;=3.5,"A-",IF('Data Source'!AG869&gt;=3,"B",IF('Data Source'!AG869&gt;=2,"C",IF('Data Source'!AG869&gt;=1,"D","F")))))),"")</f>
        <v/>
      </c>
      <c r="P869" s="5">
        <f>IF(AND('Data Source'!B869&lt;&gt;"",'Data Source'!S869="F"),'Data Source'!R869,"")</f>
        <v/>
      </c>
      <c r="Q869" s="3">
        <f>IF(AND('Data Source'!B869&lt;&gt;"",'Data Source'!S869="F"),'Data Source'!S869,"")</f>
        <v/>
      </c>
    </row>
    <row r="870">
      <c r="A870" s="3">
        <f>IF(AND('Data Source'!B870&lt;&gt;"",'Data Source'!S870="F"),COUNTIF('Data Source'!$S$3:S870,"F"),"")</f>
        <v/>
      </c>
      <c r="B870">
        <f>IF(AND('Data Source'!B870&lt;&gt;"",'Data Source'!S870="F"),'Data Source'!B870,"")</f>
        <v/>
      </c>
      <c r="C870" s="3">
        <f>IF(AND('Data Source'!B870&lt;&gt;"",'Data Source'!S870="F"),IF('Data Source'!U870&gt;=5,"A+",IF('Data Source'!U870&gt;=4,"A",IF('Data Source'!U870&gt;=3.5,"A-",IF('Data Source'!U870&gt;=3,"B",IF('Data Source'!U870&gt;=2,"C",IF('Data Source'!U870&gt;=1,"D","F")))))),"")</f>
        <v/>
      </c>
      <c r="D870" s="3">
        <f>IF(AND('Data Source'!B870&lt;&gt;"",'Data Source'!S870="F"),IF('Data Source'!V870&gt;=5,"A+",IF('Data Source'!V870&gt;=4,"A",IF('Data Source'!V870&gt;=3.5,"A-",IF('Data Source'!V870&gt;=3,"B",IF('Data Source'!V870&gt;=2,"C",IF('Data Source'!V870&gt;=1,"D","F")))))),"")</f>
        <v/>
      </c>
      <c r="E870" s="3">
        <f>IF(AND('Data Source'!B870&lt;&gt;"",'Data Source'!S870="F"),IF('Data Source'!W870&gt;=5,"A+",IF('Data Source'!W870&gt;=4,"A",IF('Data Source'!W870&gt;=3.5,"A-",IF('Data Source'!W870&gt;=3,"B",IF('Data Source'!W870&gt;=2,"C",IF('Data Source'!W870&gt;=1,"D","F")))))),"")</f>
        <v/>
      </c>
      <c r="F870" s="3">
        <f>IF(AND('Data Source'!B870&lt;&gt;"",'Data Source'!S870="F"),IF('Data Source'!X870&gt;=5,"A+",IF('Data Source'!X870&gt;=4,"A",IF('Data Source'!X870&gt;=3.5,"A-",IF('Data Source'!X870&gt;=3,"B",IF('Data Source'!X870&gt;=2,"C",IF('Data Source'!X870&gt;=1,"D","F")))))),"")</f>
        <v/>
      </c>
      <c r="G870" s="3">
        <f>IF(AND('Data Source'!B870&lt;&gt;"",'Data Source'!S870="F"),IF('Data Source'!Y870&gt;=5,"A+",IF('Data Source'!Y870&gt;=4,"A",IF('Data Source'!Y870&gt;=3.5,"A-",IF('Data Source'!Y870&gt;=3,"B",IF('Data Source'!Y870&gt;=2,"C",IF('Data Source'!Y870&gt;=1,"D","F")))))),"")</f>
        <v/>
      </c>
      <c r="H870" s="3">
        <f>IF(AND('Data Source'!B870&lt;&gt;"",'Data Source'!S870="F"),IF('Data Source'!Z870&gt;=5,"A+",IF('Data Source'!Z870&gt;=4,"A",IF('Data Source'!Z870&gt;=3.5,"A-",IF('Data Source'!Z870&gt;=3,"B",IF('Data Source'!Z870&gt;=2,"C",IF('Data Source'!Z870&gt;=1,"D","F")))))),"")</f>
        <v/>
      </c>
      <c r="I870" s="3">
        <f>IF(AND('Data Source'!B870&lt;&gt;"",'Data Source'!S870="F"),IF('Data Source'!AA870&gt;=5,"A+",IF('Data Source'!AA870&gt;=4,"A",IF('Data Source'!AA870&gt;=3.5,"A-",IF('Data Source'!AA870&gt;=3,"B",IF('Data Source'!AA870&gt;=2,"C",IF('Data Source'!AA870&gt;=1,"D","F")))))),"")</f>
        <v/>
      </c>
      <c r="J870" s="3">
        <f>IF(AND('Data Source'!B870&lt;&gt;"",'Data Source'!S870="F"),IF('Data Source'!AB870&gt;=5,"A+",IF('Data Source'!AB870&gt;=4,"A",IF('Data Source'!AB870&gt;=3.5,"A-",IF('Data Source'!AB870&gt;=3,"B",IF('Data Source'!AB870&gt;=2,"C",IF('Data Source'!AB870&gt;=1,"D","F")))))),"")</f>
        <v/>
      </c>
      <c r="K870" s="3">
        <f>IF(AND('Data Source'!B870&lt;&gt;"",'Data Source'!S870="F"),IF('Data Source'!AC870&gt;=5,"A+",IF('Data Source'!AC870&gt;=4,"A",IF('Data Source'!AC870&gt;=3.5,"A-",IF('Data Source'!AC870&gt;=3,"B",IF('Data Source'!AC870&gt;=2,"C",IF('Data Source'!AC870&gt;=1,"D","F")))))),"")</f>
        <v/>
      </c>
      <c r="L870" s="3">
        <f>IF(AND('Data Source'!B870&lt;&gt;"",'Data Source'!S870="F"),IF('Data Source'!AD870&gt;=5,"A+",IF('Data Source'!AD870&gt;=4,"A",IF('Data Source'!AD870&gt;=3.5,"A-",IF('Data Source'!AD870&gt;=3,"B",IF('Data Source'!AD870&gt;=2,"C",IF('Data Source'!AD870&gt;=1,"D","F")))))),"")</f>
        <v/>
      </c>
      <c r="M870" s="3">
        <f>IF(AND('Data Source'!B870&lt;&gt;"",'Data Source'!S870="F"),IF('Data Source'!AE870&gt;=5,"A+",IF('Data Source'!AE870&gt;=4,"A",IF('Data Source'!AE870&gt;=3.5,"A-",IF('Data Source'!AE870&gt;=3,"B",IF('Data Source'!AE870&gt;=2,"C",IF('Data Source'!AE870&gt;=1,"D","F")))))),"")</f>
        <v/>
      </c>
      <c r="N870" s="3">
        <f>IF(AND('Data Source'!B870&lt;&gt;"",'Data Source'!S870="F"),IF('Data Source'!AF870&gt;=5,"A+",IF('Data Source'!AF870&gt;=4,"A",IF('Data Source'!AF870&gt;=3.5,"A-",IF('Data Source'!AF870&gt;=3,"B",IF('Data Source'!AF870&gt;=2,"C",IF('Data Source'!AF870&gt;=1,"D","F")))))),"")</f>
        <v/>
      </c>
      <c r="O870" s="3">
        <f>IF(AND('Data Source'!B870&lt;&gt;"",'Data Source'!S870="F"),IF('Data Source'!AG870&gt;=5,"A+",IF('Data Source'!AG870&gt;=4,"A",IF('Data Source'!AG870&gt;=3.5,"A-",IF('Data Source'!AG870&gt;=3,"B",IF('Data Source'!AG870&gt;=2,"C",IF('Data Source'!AG870&gt;=1,"D","F")))))),"")</f>
        <v/>
      </c>
      <c r="P870" s="5">
        <f>IF(AND('Data Source'!B870&lt;&gt;"",'Data Source'!S870="F"),'Data Source'!R870,"")</f>
        <v/>
      </c>
      <c r="Q870" s="3">
        <f>IF(AND('Data Source'!B870&lt;&gt;"",'Data Source'!S870="F"),'Data Source'!S870,"")</f>
        <v/>
      </c>
    </row>
    <row r="871">
      <c r="A871" s="3">
        <f>IF(AND('Data Source'!B871&lt;&gt;"",'Data Source'!S871="F"),COUNTIF('Data Source'!$S$3:S871,"F"),"")</f>
        <v/>
      </c>
      <c r="B871">
        <f>IF(AND('Data Source'!B871&lt;&gt;"",'Data Source'!S871="F"),'Data Source'!B871,"")</f>
        <v/>
      </c>
      <c r="C871" s="3">
        <f>IF(AND('Data Source'!B871&lt;&gt;"",'Data Source'!S871="F"),IF('Data Source'!U871&gt;=5,"A+",IF('Data Source'!U871&gt;=4,"A",IF('Data Source'!U871&gt;=3.5,"A-",IF('Data Source'!U871&gt;=3,"B",IF('Data Source'!U871&gt;=2,"C",IF('Data Source'!U871&gt;=1,"D","F")))))),"")</f>
        <v/>
      </c>
      <c r="D871" s="3">
        <f>IF(AND('Data Source'!B871&lt;&gt;"",'Data Source'!S871="F"),IF('Data Source'!V871&gt;=5,"A+",IF('Data Source'!V871&gt;=4,"A",IF('Data Source'!V871&gt;=3.5,"A-",IF('Data Source'!V871&gt;=3,"B",IF('Data Source'!V871&gt;=2,"C",IF('Data Source'!V871&gt;=1,"D","F")))))),"")</f>
        <v/>
      </c>
      <c r="E871" s="3">
        <f>IF(AND('Data Source'!B871&lt;&gt;"",'Data Source'!S871="F"),IF('Data Source'!W871&gt;=5,"A+",IF('Data Source'!W871&gt;=4,"A",IF('Data Source'!W871&gt;=3.5,"A-",IF('Data Source'!W871&gt;=3,"B",IF('Data Source'!W871&gt;=2,"C",IF('Data Source'!W871&gt;=1,"D","F")))))),"")</f>
        <v/>
      </c>
      <c r="F871" s="3">
        <f>IF(AND('Data Source'!B871&lt;&gt;"",'Data Source'!S871="F"),IF('Data Source'!X871&gt;=5,"A+",IF('Data Source'!X871&gt;=4,"A",IF('Data Source'!X871&gt;=3.5,"A-",IF('Data Source'!X871&gt;=3,"B",IF('Data Source'!X871&gt;=2,"C",IF('Data Source'!X871&gt;=1,"D","F")))))),"")</f>
        <v/>
      </c>
      <c r="G871" s="3">
        <f>IF(AND('Data Source'!B871&lt;&gt;"",'Data Source'!S871="F"),IF('Data Source'!Y871&gt;=5,"A+",IF('Data Source'!Y871&gt;=4,"A",IF('Data Source'!Y871&gt;=3.5,"A-",IF('Data Source'!Y871&gt;=3,"B",IF('Data Source'!Y871&gt;=2,"C",IF('Data Source'!Y871&gt;=1,"D","F")))))),"")</f>
        <v/>
      </c>
      <c r="H871" s="3">
        <f>IF(AND('Data Source'!B871&lt;&gt;"",'Data Source'!S871="F"),IF('Data Source'!Z871&gt;=5,"A+",IF('Data Source'!Z871&gt;=4,"A",IF('Data Source'!Z871&gt;=3.5,"A-",IF('Data Source'!Z871&gt;=3,"B",IF('Data Source'!Z871&gt;=2,"C",IF('Data Source'!Z871&gt;=1,"D","F")))))),"")</f>
        <v/>
      </c>
      <c r="I871" s="3">
        <f>IF(AND('Data Source'!B871&lt;&gt;"",'Data Source'!S871="F"),IF('Data Source'!AA871&gt;=5,"A+",IF('Data Source'!AA871&gt;=4,"A",IF('Data Source'!AA871&gt;=3.5,"A-",IF('Data Source'!AA871&gt;=3,"B",IF('Data Source'!AA871&gt;=2,"C",IF('Data Source'!AA871&gt;=1,"D","F")))))),"")</f>
        <v/>
      </c>
      <c r="J871" s="3">
        <f>IF(AND('Data Source'!B871&lt;&gt;"",'Data Source'!S871="F"),IF('Data Source'!AB871&gt;=5,"A+",IF('Data Source'!AB871&gt;=4,"A",IF('Data Source'!AB871&gt;=3.5,"A-",IF('Data Source'!AB871&gt;=3,"B",IF('Data Source'!AB871&gt;=2,"C",IF('Data Source'!AB871&gt;=1,"D","F")))))),"")</f>
        <v/>
      </c>
      <c r="K871" s="3">
        <f>IF(AND('Data Source'!B871&lt;&gt;"",'Data Source'!S871="F"),IF('Data Source'!AC871&gt;=5,"A+",IF('Data Source'!AC871&gt;=4,"A",IF('Data Source'!AC871&gt;=3.5,"A-",IF('Data Source'!AC871&gt;=3,"B",IF('Data Source'!AC871&gt;=2,"C",IF('Data Source'!AC871&gt;=1,"D","F")))))),"")</f>
        <v/>
      </c>
      <c r="L871" s="3">
        <f>IF(AND('Data Source'!B871&lt;&gt;"",'Data Source'!S871="F"),IF('Data Source'!AD871&gt;=5,"A+",IF('Data Source'!AD871&gt;=4,"A",IF('Data Source'!AD871&gt;=3.5,"A-",IF('Data Source'!AD871&gt;=3,"B",IF('Data Source'!AD871&gt;=2,"C",IF('Data Source'!AD871&gt;=1,"D","F")))))),"")</f>
        <v/>
      </c>
      <c r="M871" s="3">
        <f>IF(AND('Data Source'!B871&lt;&gt;"",'Data Source'!S871="F"),IF('Data Source'!AE871&gt;=5,"A+",IF('Data Source'!AE871&gt;=4,"A",IF('Data Source'!AE871&gt;=3.5,"A-",IF('Data Source'!AE871&gt;=3,"B",IF('Data Source'!AE871&gt;=2,"C",IF('Data Source'!AE871&gt;=1,"D","F")))))),"")</f>
        <v/>
      </c>
      <c r="N871" s="3">
        <f>IF(AND('Data Source'!B871&lt;&gt;"",'Data Source'!S871="F"),IF('Data Source'!AF871&gt;=5,"A+",IF('Data Source'!AF871&gt;=4,"A",IF('Data Source'!AF871&gt;=3.5,"A-",IF('Data Source'!AF871&gt;=3,"B",IF('Data Source'!AF871&gt;=2,"C",IF('Data Source'!AF871&gt;=1,"D","F")))))),"")</f>
        <v/>
      </c>
      <c r="O871" s="3">
        <f>IF(AND('Data Source'!B871&lt;&gt;"",'Data Source'!S871="F"),IF('Data Source'!AG871&gt;=5,"A+",IF('Data Source'!AG871&gt;=4,"A",IF('Data Source'!AG871&gt;=3.5,"A-",IF('Data Source'!AG871&gt;=3,"B",IF('Data Source'!AG871&gt;=2,"C",IF('Data Source'!AG871&gt;=1,"D","F")))))),"")</f>
        <v/>
      </c>
      <c r="P871" s="5">
        <f>IF(AND('Data Source'!B871&lt;&gt;"",'Data Source'!S871="F"),'Data Source'!R871,"")</f>
        <v/>
      </c>
      <c r="Q871" s="3">
        <f>IF(AND('Data Source'!B871&lt;&gt;"",'Data Source'!S871="F"),'Data Source'!S871,"")</f>
        <v/>
      </c>
    </row>
    <row r="872">
      <c r="A872" s="3">
        <f>IF(AND('Data Source'!B872&lt;&gt;"",'Data Source'!S872="F"),COUNTIF('Data Source'!$S$3:S872,"F"),"")</f>
        <v/>
      </c>
      <c r="B872">
        <f>IF(AND('Data Source'!B872&lt;&gt;"",'Data Source'!S872="F"),'Data Source'!B872,"")</f>
        <v/>
      </c>
      <c r="C872" s="3">
        <f>IF(AND('Data Source'!B872&lt;&gt;"",'Data Source'!S872="F"),IF('Data Source'!U872&gt;=5,"A+",IF('Data Source'!U872&gt;=4,"A",IF('Data Source'!U872&gt;=3.5,"A-",IF('Data Source'!U872&gt;=3,"B",IF('Data Source'!U872&gt;=2,"C",IF('Data Source'!U872&gt;=1,"D","F")))))),"")</f>
        <v/>
      </c>
      <c r="D872" s="3">
        <f>IF(AND('Data Source'!B872&lt;&gt;"",'Data Source'!S872="F"),IF('Data Source'!V872&gt;=5,"A+",IF('Data Source'!V872&gt;=4,"A",IF('Data Source'!V872&gt;=3.5,"A-",IF('Data Source'!V872&gt;=3,"B",IF('Data Source'!V872&gt;=2,"C",IF('Data Source'!V872&gt;=1,"D","F")))))),"")</f>
        <v/>
      </c>
      <c r="E872" s="3">
        <f>IF(AND('Data Source'!B872&lt;&gt;"",'Data Source'!S872="F"),IF('Data Source'!W872&gt;=5,"A+",IF('Data Source'!W872&gt;=4,"A",IF('Data Source'!W872&gt;=3.5,"A-",IF('Data Source'!W872&gt;=3,"B",IF('Data Source'!W872&gt;=2,"C",IF('Data Source'!W872&gt;=1,"D","F")))))),"")</f>
        <v/>
      </c>
      <c r="F872" s="3">
        <f>IF(AND('Data Source'!B872&lt;&gt;"",'Data Source'!S872="F"),IF('Data Source'!X872&gt;=5,"A+",IF('Data Source'!X872&gt;=4,"A",IF('Data Source'!X872&gt;=3.5,"A-",IF('Data Source'!X872&gt;=3,"B",IF('Data Source'!X872&gt;=2,"C",IF('Data Source'!X872&gt;=1,"D","F")))))),"")</f>
        <v/>
      </c>
      <c r="G872" s="3">
        <f>IF(AND('Data Source'!B872&lt;&gt;"",'Data Source'!S872="F"),IF('Data Source'!Y872&gt;=5,"A+",IF('Data Source'!Y872&gt;=4,"A",IF('Data Source'!Y872&gt;=3.5,"A-",IF('Data Source'!Y872&gt;=3,"B",IF('Data Source'!Y872&gt;=2,"C",IF('Data Source'!Y872&gt;=1,"D","F")))))),"")</f>
        <v/>
      </c>
      <c r="H872" s="3">
        <f>IF(AND('Data Source'!B872&lt;&gt;"",'Data Source'!S872="F"),IF('Data Source'!Z872&gt;=5,"A+",IF('Data Source'!Z872&gt;=4,"A",IF('Data Source'!Z872&gt;=3.5,"A-",IF('Data Source'!Z872&gt;=3,"B",IF('Data Source'!Z872&gt;=2,"C",IF('Data Source'!Z872&gt;=1,"D","F")))))),"")</f>
        <v/>
      </c>
      <c r="I872" s="3">
        <f>IF(AND('Data Source'!B872&lt;&gt;"",'Data Source'!S872="F"),IF('Data Source'!AA872&gt;=5,"A+",IF('Data Source'!AA872&gt;=4,"A",IF('Data Source'!AA872&gt;=3.5,"A-",IF('Data Source'!AA872&gt;=3,"B",IF('Data Source'!AA872&gt;=2,"C",IF('Data Source'!AA872&gt;=1,"D","F")))))),"")</f>
        <v/>
      </c>
      <c r="J872" s="3">
        <f>IF(AND('Data Source'!B872&lt;&gt;"",'Data Source'!S872="F"),IF('Data Source'!AB872&gt;=5,"A+",IF('Data Source'!AB872&gt;=4,"A",IF('Data Source'!AB872&gt;=3.5,"A-",IF('Data Source'!AB872&gt;=3,"B",IF('Data Source'!AB872&gt;=2,"C",IF('Data Source'!AB872&gt;=1,"D","F")))))),"")</f>
        <v/>
      </c>
      <c r="K872" s="3">
        <f>IF(AND('Data Source'!B872&lt;&gt;"",'Data Source'!S872="F"),IF('Data Source'!AC872&gt;=5,"A+",IF('Data Source'!AC872&gt;=4,"A",IF('Data Source'!AC872&gt;=3.5,"A-",IF('Data Source'!AC872&gt;=3,"B",IF('Data Source'!AC872&gt;=2,"C",IF('Data Source'!AC872&gt;=1,"D","F")))))),"")</f>
        <v/>
      </c>
      <c r="L872" s="3">
        <f>IF(AND('Data Source'!B872&lt;&gt;"",'Data Source'!S872="F"),IF('Data Source'!AD872&gt;=5,"A+",IF('Data Source'!AD872&gt;=4,"A",IF('Data Source'!AD872&gt;=3.5,"A-",IF('Data Source'!AD872&gt;=3,"B",IF('Data Source'!AD872&gt;=2,"C",IF('Data Source'!AD872&gt;=1,"D","F")))))),"")</f>
        <v/>
      </c>
      <c r="M872" s="3">
        <f>IF(AND('Data Source'!B872&lt;&gt;"",'Data Source'!S872="F"),IF('Data Source'!AE872&gt;=5,"A+",IF('Data Source'!AE872&gt;=4,"A",IF('Data Source'!AE872&gt;=3.5,"A-",IF('Data Source'!AE872&gt;=3,"B",IF('Data Source'!AE872&gt;=2,"C",IF('Data Source'!AE872&gt;=1,"D","F")))))),"")</f>
        <v/>
      </c>
      <c r="N872" s="3">
        <f>IF(AND('Data Source'!B872&lt;&gt;"",'Data Source'!S872="F"),IF('Data Source'!AF872&gt;=5,"A+",IF('Data Source'!AF872&gt;=4,"A",IF('Data Source'!AF872&gt;=3.5,"A-",IF('Data Source'!AF872&gt;=3,"B",IF('Data Source'!AF872&gt;=2,"C",IF('Data Source'!AF872&gt;=1,"D","F")))))),"")</f>
        <v/>
      </c>
      <c r="O872" s="3">
        <f>IF(AND('Data Source'!B872&lt;&gt;"",'Data Source'!S872="F"),IF('Data Source'!AG872&gt;=5,"A+",IF('Data Source'!AG872&gt;=4,"A",IF('Data Source'!AG872&gt;=3.5,"A-",IF('Data Source'!AG872&gt;=3,"B",IF('Data Source'!AG872&gt;=2,"C",IF('Data Source'!AG872&gt;=1,"D","F")))))),"")</f>
        <v/>
      </c>
      <c r="P872" s="5">
        <f>IF(AND('Data Source'!B872&lt;&gt;"",'Data Source'!S872="F"),'Data Source'!R872,"")</f>
        <v/>
      </c>
      <c r="Q872" s="3">
        <f>IF(AND('Data Source'!B872&lt;&gt;"",'Data Source'!S872="F"),'Data Source'!S872,"")</f>
        <v/>
      </c>
    </row>
    <row r="873">
      <c r="A873" s="3">
        <f>IF(AND('Data Source'!B873&lt;&gt;"",'Data Source'!S873="F"),COUNTIF('Data Source'!$S$3:S873,"F"),"")</f>
        <v/>
      </c>
      <c r="B873">
        <f>IF(AND('Data Source'!B873&lt;&gt;"",'Data Source'!S873="F"),'Data Source'!B873,"")</f>
        <v/>
      </c>
      <c r="C873" s="3">
        <f>IF(AND('Data Source'!B873&lt;&gt;"",'Data Source'!S873="F"),IF('Data Source'!U873&gt;=5,"A+",IF('Data Source'!U873&gt;=4,"A",IF('Data Source'!U873&gt;=3.5,"A-",IF('Data Source'!U873&gt;=3,"B",IF('Data Source'!U873&gt;=2,"C",IF('Data Source'!U873&gt;=1,"D","F")))))),"")</f>
        <v/>
      </c>
      <c r="D873" s="3">
        <f>IF(AND('Data Source'!B873&lt;&gt;"",'Data Source'!S873="F"),IF('Data Source'!V873&gt;=5,"A+",IF('Data Source'!V873&gt;=4,"A",IF('Data Source'!V873&gt;=3.5,"A-",IF('Data Source'!V873&gt;=3,"B",IF('Data Source'!V873&gt;=2,"C",IF('Data Source'!V873&gt;=1,"D","F")))))),"")</f>
        <v/>
      </c>
      <c r="E873" s="3">
        <f>IF(AND('Data Source'!B873&lt;&gt;"",'Data Source'!S873="F"),IF('Data Source'!W873&gt;=5,"A+",IF('Data Source'!W873&gt;=4,"A",IF('Data Source'!W873&gt;=3.5,"A-",IF('Data Source'!W873&gt;=3,"B",IF('Data Source'!W873&gt;=2,"C",IF('Data Source'!W873&gt;=1,"D","F")))))),"")</f>
        <v/>
      </c>
      <c r="F873" s="3">
        <f>IF(AND('Data Source'!B873&lt;&gt;"",'Data Source'!S873="F"),IF('Data Source'!X873&gt;=5,"A+",IF('Data Source'!X873&gt;=4,"A",IF('Data Source'!X873&gt;=3.5,"A-",IF('Data Source'!X873&gt;=3,"B",IF('Data Source'!X873&gt;=2,"C",IF('Data Source'!X873&gt;=1,"D","F")))))),"")</f>
        <v/>
      </c>
      <c r="G873" s="3">
        <f>IF(AND('Data Source'!B873&lt;&gt;"",'Data Source'!S873="F"),IF('Data Source'!Y873&gt;=5,"A+",IF('Data Source'!Y873&gt;=4,"A",IF('Data Source'!Y873&gt;=3.5,"A-",IF('Data Source'!Y873&gt;=3,"B",IF('Data Source'!Y873&gt;=2,"C",IF('Data Source'!Y873&gt;=1,"D","F")))))),"")</f>
        <v/>
      </c>
      <c r="H873" s="3">
        <f>IF(AND('Data Source'!B873&lt;&gt;"",'Data Source'!S873="F"),IF('Data Source'!Z873&gt;=5,"A+",IF('Data Source'!Z873&gt;=4,"A",IF('Data Source'!Z873&gt;=3.5,"A-",IF('Data Source'!Z873&gt;=3,"B",IF('Data Source'!Z873&gt;=2,"C",IF('Data Source'!Z873&gt;=1,"D","F")))))),"")</f>
        <v/>
      </c>
      <c r="I873" s="3">
        <f>IF(AND('Data Source'!B873&lt;&gt;"",'Data Source'!S873="F"),IF('Data Source'!AA873&gt;=5,"A+",IF('Data Source'!AA873&gt;=4,"A",IF('Data Source'!AA873&gt;=3.5,"A-",IF('Data Source'!AA873&gt;=3,"B",IF('Data Source'!AA873&gt;=2,"C",IF('Data Source'!AA873&gt;=1,"D","F")))))),"")</f>
        <v/>
      </c>
      <c r="J873" s="3">
        <f>IF(AND('Data Source'!B873&lt;&gt;"",'Data Source'!S873="F"),IF('Data Source'!AB873&gt;=5,"A+",IF('Data Source'!AB873&gt;=4,"A",IF('Data Source'!AB873&gt;=3.5,"A-",IF('Data Source'!AB873&gt;=3,"B",IF('Data Source'!AB873&gt;=2,"C",IF('Data Source'!AB873&gt;=1,"D","F")))))),"")</f>
        <v/>
      </c>
      <c r="K873" s="3">
        <f>IF(AND('Data Source'!B873&lt;&gt;"",'Data Source'!S873="F"),IF('Data Source'!AC873&gt;=5,"A+",IF('Data Source'!AC873&gt;=4,"A",IF('Data Source'!AC873&gt;=3.5,"A-",IF('Data Source'!AC873&gt;=3,"B",IF('Data Source'!AC873&gt;=2,"C",IF('Data Source'!AC873&gt;=1,"D","F")))))),"")</f>
        <v/>
      </c>
      <c r="L873" s="3">
        <f>IF(AND('Data Source'!B873&lt;&gt;"",'Data Source'!S873="F"),IF('Data Source'!AD873&gt;=5,"A+",IF('Data Source'!AD873&gt;=4,"A",IF('Data Source'!AD873&gt;=3.5,"A-",IF('Data Source'!AD873&gt;=3,"B",IF('Data Source'!AD873&gt;=2,"C",IF('Data Source'!AD873&gt;=1,"D","F")))))),"")</f>
        <v/>
      </c>
      <c r="M873" s="3">
        <f>IF(AND('Data Source'!B873&lt;&gt;"",'Data Source'!S873="F"),IF('Data Source'!AE873&gt;=5,"A+",IF('Data Source'!AE873&gt;=4,"A",IF('Data Source'!AE873&gt;=3.5,"A-",IF('Data Source'!AE873&gt;=3,"B",IF('Data Source'!AE873&gt;=2,"C",IF('Data Source'!AE873&gt;=1,"D","F")))))),"")</f>
        <v/>
      </c>
      <c r="N873" s="3">
        <f>IF(AND('Data Source'!B873&lt;&gt;"",'Data Source'!S873="F"),IF('Data Source'!AF873&gt;=5,"A+",IF('Data Source'!AF873&gt;=4,"A",IF('Data Source'!AF873&gt;=3.5,"A-",IF('Data Source'!AF873&gt;=3,"B",IF('Data Source'!AF873&gt;=2,"C",IF('Data Source'!AF873&gt;=1,"D","F")))))),"")</f>
        <v/>
      </c>
      <c r="O873" s="3">
        <f>IF(AND('Data Source'!B873&lt;&gt;"",'Data Source'!S873="F"),IF('Data Source'!AG873&gt;=5,"A+",IF('Data Source'!AG873&gt;=4,"A",IF('Data Source'!AG873&gt;=3.5,"A-",IF('Data Source'!AG873&gt;=3,"B",IF('Data Source'!AG873&gt;=2,"C",IF('Data Source'!AG873&gt;=1,"D","F")))))),"")</f>
        <v/>
      </c>
      <c r="P873" s="5">
        <f>IF(AND('Data Source'!B873&lt;&gt;"",'Data Source'!S873="F"),'Data Source'!R873,"")</f>
        <v/>
      </c>
      <c r="Q873" s="3">
        <f>IF(AND('Data Source'!B873&lt;&gt;"",'Data Source'!S873="F"),'Data Source'!S873,"")</f>
        <v/>
      </c>
    </row>
    <row r="874">
      <c r="A874" s="3">
        <f>IF(AND('Data Source'!B874&lt;&gt;"",'Data Source'!S874="F"),COUNTIF('Data Source'!$S$3:S874,"F"),"")</f>
        <v/>
      </c>
      <c r="B874">
        <f>IF(AND('Data Source'!B874&lt;&gt;"",'Data Source'!S874="F"),'Data Source'!B874,"")</f>
        <v/>
      </c>
      <c r="C874" s="3">
        <f>IF(AND('Data Source'!B874&lt;&gt;"",'Data Source'!S874="F"),IF('Data Source'!U874&gt;=5,"A+",IF('Data Source'!U874&gt;=4,"A",IF('Data Source'!U874&gt;=3.5,"A-",IF('Data Source'!U874&gt;=3,"B",IF('Data Source'!U874&gt;=2,"C",IF('Data Source'!U874&gt;=1,"D","F")))))),"")</f>
        <v/>
      </c>
      <c r="D874" s="3">
        <f>IF(AND('Data Source'!B874&lt;&gt;"",'Data Source'!S874="F"),IF('Data Source'!V874&gt;=5,"A+",IF('Data Source'!V874&gt;=4,"A",IF('Data Source'!V874&gt;=3.5,"A-",IF('Data Source'!V874&gt;=3,"B",IF('Data Source'!V874&gt;=2,"C",IF('Data Source'!V874&gt;=1,"D","F")))))),"")</f>
        <v/>
      </c>
      <c r="E874" s="3">
        <f>IF(AND('Data Source'!B874&lt;&gt;"",'Data Source'!S874="F"),IF('Data Source'!W874&gt;=5,"A+",IF('Data Source'!W874&gt;=4,"A",IF('Data Source'!W874&gt;=3.5,"A-",IF('Data Source'!W874&gt;=3,"B",IF('Data Source'!W874&gt;=2,"C",IF('Data Source'!W874&gt;=1,"D","F")))))),"")</f>
        <v/>
      </c>
      <c r="F874" s="3">
        <f>IF(AND('Data Source'!B874&lt;&gt;"",'Data Source'!S874="F"),IF('Data Source'!X874&gt;=5,"A+",IF('Data Source'!X874&gt;=4,"A",IF('Data Source'!X874&gt;=3.5,"A-",IF('Data Source'!X874&gt;=3,"B",IF('Data Source'!X874&gt;=2,"C",IF('Data Source'!X874&gt;=1,"D","F")))))),"")</f>
        <v/>
      </c>
      <c r="G874" s="3">
        <f>IF(AND('Data Source'!B874&lt;&gt;"",'Data Source'!S874="F"),IF('Data Source'!Y874&gt;=5,"A+",IF('Data Source'!Y874&gt;=4,"A",IF('Data Source'!Y874&gt;=3.5,"A-",IF('Data Source'!Y874&gt;=3,"B",IF('Data Source'!Y874&gt;=2,"C",IF('Data Source'!Y874&gt;=1,"D","F")))))),"")</f>
        <v/>
      </c>
      <c r="H874" s="3">
        <f>IF(AND('Data Source'!B874&lt;&gt;"",'Data Source'!S874="F"),IF('Data Source'!Z874&gt;=5,"A+",IF('Data Source'!Z874&gt;=4,"A",IF('Data Source'!Z874&gt;=3.5,"A-",IF('Data Source'!Z874&gt;=3,"B",IF('Data Source'!Z874&gt;=2,"C",IF('Data Source'!Z874&gt;=1,"D","F")))))),"")</f>
        <v/>
      </c>
      <c r="I874" s="3">
        <f>IF(AND('Data Source'!B874&lt;&gt;"",'Data Source'!S874="F"),IF('Data Source'!AA874&gt;=5,"A+",IF('Data Source'!AA874&gt;=4,"A",IF('Data Source'!AA874&gt;=3.5,"A-",IF('Data Source'!AA874&gt;=3,"B",IF('Data Source'!AA874&gt;=2,"C",IF('Data Source'!AA874&gt;=1,"D","F")))))),"")</f>
        <v/>
      </c>
      <c r="J874" s="3">
        <f>IF(AND('Data Source'!B874&lt;&gt;"",'Data Source'!S874="F"),IF('Data Source'!AB874&gt;=5,"A+",IF('Data Source'!AB874&gt;=4,"A",IF('Data Source'!AB874&gt;=3.5,"A-",IF('Data Source'!AB874&gt;=3,"B",IF('Data Source'!AB874&gt;=2,"C",IF('Data Source'!AB874&gt;=1,"D","F")))))),"")</f>
        <v/>
      </c>
      <c r="K874" s="3">
        <f>IF(AND('Data Source'!B874&lt;&gt;"",'Data Source'!S874="F"),IF('Data Source'!AC874&gt;=5,"A+",IF('Data Source'!AC874&gt;=4,"A",IF('Data Source'!AC874&gt;=3.5,"A-",IF('Data Source'!AC874&gt;=3,"B",IF('Data Source'!AC874&gt;=2,"C",IF('Data Source'!AC874&gt;=1,"D","F")))))),"")</f>
        <v/>
      </c>
      <c r="L874" s="3">
        <f>IF(AND('Data Source'!B874&lt;&gt;"",'Data Source'!S874="F"),IF('Data Source'!AD874&gt;=5,"A+",IF('Data Source'!AD874&gt;=4,"A",IF('Data Source'!AD874&gt;=3.5,"A-",IF('Data Source'!AD874&gt;=3,"B",IF('Data Source'!AD874&gt;=2,"C",IF('Data Source'!AD874&gt;=1,"D","F")))))),"")</f>
        <v/>
      </c>
      <c r="M874" s="3">
        <f>IF(AND('Data Source'!B874&lt;&gt;"",'Data Source'!S874="F"),IF('Data Source'!AE874&gt;=5,"A+",IF('Data Source'!AE874&gt;=4,"A",IF('Data Source'!AE874&gt;=3.5,"A-",IF('Data Source'!AE874&gt;=3,"B",IF('Data Source'!AE874&gt;=2,"C",IF('Data Source'!AE874&gt;=1,"D","F")))))),"")</f>
        <v/>
      </c>
      <c r="N874" s="3">
        <f>IF(AND('Data Source'!B874&lt;&gt;"",'Data Source'!S874="F"),IF('Data Source'!AF874&gt;=5,"A+",IF('Data Source'!AF874&gt;=4,"A",IF('Data Source'!AF874&gt;=3.5,"A-",IF('Data Source'!AF874&gt;=3,"B",IF('Data Source'!AF874&gt;=2,"C",IF('Data Source'!AF874&gt;=1,"D","F")))))),"")</f>
        <v/>
      </c>
      <c r="O874" s="3">
        <f>IF(AND('Data Source'!B874&lt;&gt;"",'Data Source'!S874="F"),IF('Data Source'!AG874&gt;=5,"A+",IF('Data Source'!AG874&gt;=4,"A",IF('Data Source'!AG874&gt;=3.5,"A-",IF('Data Source'!AG874&gt;=3,"B",IF('Data Source'!AG874&gt;=2,"C",IF('Data Source'!AG874&gt;=1,"D","F")))))),"")</f>
        <v/>
      </c>
      <c r="P874" s="5">
        <f>IF(AND('Data Source'!B874&lt;&gt;"",'Data Source'!S874="F"),'Data Source'!R874,"")</f>
        <v/>
      </c>
      <c r="Q874" s="3">
        <f>IF(AND('Data Source'!B874&lt;&gt;"",'Data Source'!S874="F"),'Data Source'!S874,"")</f>
        <v/>
      </c>
    </row>
    <row r="875">
      <c r="A875" s="3">
        <f>IF(AND('Data Source'!B875&lt;&gt;"",'Data Source'!S875="F"),COUNTIF('Data Source'!$S$3:S875,"F"),"")</f>
        <v/>
      </c>
      <c r="B875">
        <f>IF(AND('Data Source'!B875&lt;&gt;"",'Data Source'!S875="F"),'Data Source'!B875,"")</f>
        <v/>
      </c>
      <c r="C875" s="3">
        <f>IF(AND('Data Source'!B875&lt;&gt;"",'Data Source'!S875="F"),IF('Data Source'!U875&gt;=5,"A+",IF('Data Source'!U875&gt;=4,"A",IF('Data Source'!U875&gt;=3.5,"A-",IF('Data Source'!U875&gt;=3,"B",IF('Data Source'!U875&gt;=2,"C",IF('Data Source'!U875&gt;=1,"D","F")))))),"")</f>
        <v/>
      </c>
      <c r="D875" s="3">
        <f>IF(AND('Data Source'!B875&lt;&gt;"",'Data Source'!S875="F"),IF('Data Source'!V875&gt;=5,"A+",IF('Data Source'!V875&gt;=4,"A",IF('Data Source'!V875&gt;=3.5,"A-",IF('Data Source'!V875&gt;=3,"B",IF('Data Source'!V875&gt;=2,"C",IF('Data Source'!V875&gt;=1,"D","F")))))),"")</f>
        <v/>
      </c>
      <c r="E875" s="3">
        <f>IF(AND('Data Source'!B875&lt;&gt;"",'Data Source'!S875="F"),IF('Data Source'!W875&gt;=5,"A+",IF('Data Source'!W875&gt;=4,"A",IF('Data Source'!W875&gt;=3.5,"A-",IF('Data Source'!W875&gt;=3,"B",IF('Data Source'!W875&gt;=2,"C",IF('Data Source'!W875&gt;=1,"D","F")))))),"")</f>
        <v/>
      </c>
      <c r="F875" s="3">
        <f>IF(AND('Data Source'!B875&lt;&gt;"",'Data Source'!S875="F"),IF('Data Source'!X875&gt;=5,"A+",IF('Data Source'!X875&gt;=4,"A",IF('Data Source'!X875&gt;=3.5,"A-",IF('Data Source'!X875&gt;=3,"B",IF('Data Source'!X875&gt;=2,"C",IF('Data Source'!X875&gt;=1,"D","F")))))),"")</f>
        <v/>
      </c>
      <c r="G875" s="3">
        <f>IF(AND('Data Source'!B875&lt;&gt;"",'Data Source'!S875="F"),IF('Data Source'!Y875&gt;=5,"A+",IF('Data Source'!Y875&gt;=4,"A",IF('Data Source'!Y875&gt;=3.5,"A-",IF('Data Source'!Y875&gt;=3,"B",IF('Data Source'!Y875&gt;=2,"C",IF('Data Source'!Y875&gt;=1,"D","F")))))),"")</f>
        <v/>
      </c>
      <c r="H875" s="3">
        <f>IF(AND('Data Source'!B875&lt;&gt;"",'Data Source'!S875="F"),IF('Data Source'!Z875&gt;=5,"A+",IF('Data Source'!Z875&gt;=4,"A",IF('Data Source'!Z875&gt;=3.5,"A-",IF('Data Source'!Z875&gt;=3,"B",IF('Data Source'!Z875&gt;=2,"C",IF('Data Source'!Z875&gt;=1,"D","F")))))),"")</f>
        <v/>
      </c>
      <c r="I875" s="3">
        <f>IF(AND('Data Source'!B875&lt;&gt;"",'Data Source'!S875="F"),IF('Data Source'!AA875&gt;=5,"A+",IF('Data Source'!AA875&gt;=4,"A",IF('Data Source'!AA875&gt;=3.5,"A-",IF('Data Source'!AA875&gt;=3,"B",IF('Data Source'!AA875&gt;=2,"C",IF('Data Source'!AA875&gt;=1,"D","F")))))),"")</f>
        <v/>
      </c>
      <c r="J875" s="3">
        <f>IF(AND('Data Source'!B875&lt;&gt;"",'Data Source'!S875="F"),IF('Data Source'!AB875&gt;=5,"A+",IF('Data Source'!AB875&gt;=4,"A",IF('Data Source'!AB875&gt;=3.5,"A-",IF('Data Source'!AB875&gt;=3,"B",IF('Data Source'!AB875&gt;=2,"C",IF('Data Source'!AB875&gt;=1,"D","F")))))),"")</f>
        <v/>
      </c>
      <c r="K875" s="3">
        <f>IF(AND('Data Source'!B875&lt;&gt;"",'Data Source'!S875="F"),IF('Data Source'!AC875&gt;=5,"A+",IF('Data Source'!AC875&gt;=4,"A",IF('Data Source'!AC875&gt;=3.5,"A-",IF('Data Source'!AC875&gt;=3,"B",IF('Data Source'!AC875&gt;=2,"C",IF('Data Source'!AC875&gt;=1,"D","F")))))),"")</f>
        <v/>
      </c>
      <c r="L875" s="3">
        <f>IF(AND('Data Source'!B875&lt;&gt;"",'Data Source'!S875="F"),IF('Data Source'!AD875&gt;=5,"A+",IF('Data Source'!AD875&gt;=4,"A",IF('Data Source'!AD875&gt;=3.5,"A-",IF('Data Source'!AD875&gt;=3,"B",IF('Data Source'!AD875&gt;=2,"C",IF('Data Source'!AD875&gt;=1,"D","F")))))),"")</f>
        <v/>
      </c>
      <c r="M875" s="3">
        <f>IF(AND('Data Source'!B875&lt;&gt;"",'Data Source'!S875="F"),IF('Data Source'!AE875&gt;=5,"A+",IF('Data Source'!AE875&gt;=4,"A",IF('Data Source'!AE875&gt;=3.5,"A-",IF('Data Source'!AE875&gt;=3,"B",IF('Data Source'!AE875&gt;=2,"C",IF('Data Source'!AE875&gt;=1,"D","F")))))),"")</f>
        <v/>
      </c>
      <c r="N875" s="3">
        <f>IF(AND('Data Source'!B875&lt;&gt;"",'Data Source'!S875="F"),IF('Data Source'!AF875&gt;=5,"A+",IF('Data Source'!AF875&gt;=4,"A",IF('Data Source'!AF875&gt;=3.5,"A-",IF('Data Source'!AF875&gt;=3,"B",IF('Data Source'!AF875&gt;=2,"C",IF('Data Source'!AF875&gt;=1,"D","F")))))),"")</f>
        <v/>
      </c>
      <c r="O875" s="3">
        <f>IF(AND('Data Source'!B875&lt;&gt;"",'Data Source'!S875="F"),IF('Data Source'!AG875&gt;=5,"A+",IF('Data Source'!AG875&gt;=4,"A",IF('Data Source'!AG875&gt;=3.5,"A-",IF('Data Source'!AG875&gt;=3,"B",IF('Data Source'!AG875&gt;=2,"C",IF('Data Source'!AG875&gt;=1,"D","F")))))),"")</f>
        <v/>
      </c>
      <c r="P875" s="5">
        <f>IF(AND('Data Source'!B875&lt;&gt;"",'Data Source'!S875="F"),'Data Source'!R875,"")</f>
        <v/>
      </c>
      <c r="Q875" s="3">
        <f>IF(AND('Data Source'!B875&lt;&gt;"",'Data Source'!S875="F"),'Data Source'!S875,"")</f>
        <v/>
      </c>
    </row>
    <row r="876">
      <c r="A876" s="3">
        <f>IF(AND('Data Source'!B876&lt;&gt;"",'Data Source'!S876="F"),COUNTIF('Data Source'!$S$3:S876,"F"),"")</f>
        <v/>
      </c>
      <c r="B876">
        <f>IF(AND('Data Source'!B876&lt;&gt;"",'Data Source'!S876="F"),'Data Source'!B876,"")</f>
        <v/>
      </c>
      <c r="C876" s="3">
        <f>IF(AND('Data Source'!B876&lt;&gt;"",'Data Source'!S876="F"),IF('Data Source'!U876&gt;=5,"A+",IF('Data Source'!U876&gt;=4,"A",IF('Data Source'!U876&gt;=3.5,"A-",IF('Data Source'!U876&gt;=3,"B",IF('Data Source'!U876&gt;=2,"C",IF('Data Source'!U876&gt;=1,"D","F")))))),"")</f>
        <v/>
      </c>
      <c r="D876" s="3">
        <f>IF(AND('Data Source'!B876&lt;&gt;"",'Data Source'!S876="F"),IF('Data Source'!V876&gt;=5,"A+",IF('Data Source'!V876&gt;=4,"A",IF('Data Source'!V876&gt;=3.5,"A-",IF('Data Source'!V876&gt;=3,"B",IF('Data Source'!V876&gt;=2,"C",IF('Data Source'!V876&gt;=1,"D","F")))))),"")</f>
        <v/>
      </c>
      <c r="E876" s="3">
        <f>IF(AND('Data Source'!B876&lt;&gt;"",'Data Source'!S876="F"),IF('Data Source'!W876&gt;=5,"A+",IF('Data Source'!W876&gt;=4,"A",IF('Data Source'!W876&gt;=3.5,"A-",IF('Data Source'!W876&gt;=3,"B",IF('Data Source'!W876&gt;=2,"C",IF('Data Source'!W876&gt;=1,"D","F")))))),"")</f>
        <v/>
      </c>
      <c r="F876" s="3">
        <f>IF(AND('Data Source'!B876&lt;&gt;"",'Data Source'!S876="F"),IF('Data Source'!X876&gt;=5,"A+",IF('Data Source'!X876&gt;=4,"A",IF('Data Source'!X876&gt;=3.5,"A-",IF('Data Source'!X876&gt;=3,"B",IF('Data Source'!X876&gt;=2,"C",IF('Data Source'!X876&gt;=1,"D","F")))))),"")</f>
        <v/>
      </c>
      <c r="G876" s="3">
        <f>IF(AND('Data Source'!B876&lt;&gt;"",'Data Source'!S876="F"),IF('Data Source'!Y876&gt;=5,"A+",IF('Data Source'!Y876&gt;=4,"A",IF('Data Source'!Y876&gt;=3.5,"A-",IF('Data Source'!Y876&gt;=3,"B",IF('Data Source'!Y876&gt;=2,"C",IF('Data Source'!Y876&gt;=1,"D","F")))))),"")</f>
        <v/>
      </c>
      <c r="H876" s="3">
        <f>IF(AND('Data Source'!B876&lt;&gt;"",'Data Source'!S876="F"),IF('Data Source'!Z876&gt;=5,"A+",IF('Data Source'!Z876&gt;=4,"A",IF('Data Source'!Z876&gt;=3.5,"A-",IF('Data Source'!Z876&gt;=3,"B",IF('Data Source'!Z876&gt;=2,"C",IF('Data Source'!Z876&gt;=1,"D","F")))))),"")</f>
        <v/>
      </c>
      <c r="I876" s="3">
        <f>IF(AND('Data Source'!B876&lt;&gt;"",'Data Source'!S876="F"),IF('Data Source'!AA876&gt;=5,"A+",IF('Data Source'!AA876&gt;=4,"A",IF('Data Source'!AA876&gt;=3.5,"A-",IF('Data Source'!AA876&gt;=3,"B",IF('Data Source'!AA876&gt;=2,"C",IF('Data Source'!AA876&gt;=1,"D","F")))))),"")</f>
        <v/>
      </c>
      <c r="J876" s="3">
        <f>IF(AND('Data Source'!B876&lt;&gt;"",'Data Source'!S876="F"),IF('Data Source'!AB876&gt;=5,"A+",IF('Data Source'!AB876&gt;=4,"A",IF('Data Source'!AB876&gt;=3.5,"A-",IF('Data Source'!AB876&gt;=3,"B",IF('Data Source'!AB876&gt;=2,"C",IF('Data Source'!AB876&gt;=1,"D","F")))))),"")</f>
        <v/>
      </c>
      <c r="K876" s="3">
        <f>IF(AND('Data Source'!B876&lt;&gt;"",'Data Source'!S876="F"),IF('Data Source'!AC876&gt;=5,"A+",IF('Data Source'!AC876&gt;=4,"A",IF('Data Source'!AC876&gt;=3.5,"A-",IF('Data Source'!AC876&gt;=3,"B",IF('Data Source'!AC876&gt;=2,"C",IF('Data Source'!AC876&gt;=1,"D","F")))))),"")</f>
        <v/>
      </c>
      <c r="L876" s="3">
        <f>IF(AND('Data Source'!B876&lt;&gt;"",'Data Source'!S876="F"),IF('Data Source'!AD876&gt;=5,"A+",IF('Data Source'!AD876&gt;=4,"A",IF('Data Source'!AD876&gt;=3.5,"A-",IF('Data Source'!AD876&gt;=3,"B",IF('Data Source'!AD876&gt;=2,"C",IF('Data Source'!AD876&gt;=1,"D","F")))))),"")</f>
        <v/>
      </c>
      <c r="M876" s="3">
        <f>IF(AND('Data Source'!B876&lt;&gt;"",'Data Source'!S876="F"),IF('Data Source'!AE876&gt;=5,"A+",IF('Data Source'!AE876&gt;=4,"A",IF('Data Source'!AE876&gt;=3.5,"A-",IF('Data Source'!AE876&gt;=3,"B",IF('Data Source'!AE876&gt;=2,"C",IF('Data Source'!AE876&gt;=1,"D","F")))))),"")</f>
        <v/>
      </c>
      <c r="N876" s="3">
        <f>IF(AND('Data Source'!B876&lt;&gt;"",'Data Source'!S876="F"),IF('Data Source'!AF876&gt;=5,"A+",IF('Data Source'!AF876&gt;=4,"A",IF('Data Source'!AF876&gt;=3.5,"A-",IF('Data Source'!AF876&gt;=3,"B",IF('Data Source'!AF876&gt;=2,"C",IF('Data Source'!AF876&gt;=1,"D","F")))))),"")</f>
        <v/>
      </c>
      <c r="O876" s="3">
        <f>IF(AND('Data Source'!B876&lt;&gt;"",'Data Source'!S876="F"),IF('Data Source'!AG876&gt;=5,"A+",IF('Data Source'!AG876&gt;=4,"A",IF('Data Source'!AG876&gt;=3.5,"A-",IF('Data Source'!AG876&gt;=3,"B",IF('Data Source'!AG876&gt;=2,"C",IF('Data Source'!AG876&gt;=1,"D","F")))))),"")</f>
        <v/>
      </c>
      <c r="P876" s="5">
        <f>IF(AND('Data Source'!B876&lt;&gt;"",'Data Source'!S876="F"),'Data Source'!R876,"")</f>
        <v/>
      </c>
      <c r="Q876" s="3">
        <f>IF(AND('Data Source'!B876&lt;&gt;"",'Data Source'!S876="F"),'Data Source'!S876,"")</f>
        <v/>
      </c>
    </row>
    <row r="877">
      <c r="A877" s="3">
        <f>IF(AND('Data Source'!B877&lt;&gt;"",'Data Source'!S877="F"),COUNTIF('Data Source'!$S$3:S877,"F"),"")</f>
        <v/>
      </c>
      <c r="B877">
        <f>IF(AND('Data Source'!B877&lt;&gt;"",'Data Source'!S877="F"),'Data Source'!B877,"")</f>
        <v/>
      </c>
      <c r="C877" s="3">
        <f>IF(AND('Data Source'!B877&lt;&gt;"",'Data Source'!S877="F"),IF('Data Source'!U877&gt;=5,"A+",IF('Data Source'!U877&gt;=4,"A",IF('Data Source'!U877&gt;=3.5,"A-",IF('Data Source'!U877&gt;=3,"B",IF('Data Source'!U877&gt;=2,"C",IF('Data Source'!U877&gt;=1,"D","F")))))),"")</f>
        <v/>
      </c>
      <c r="D877" s="3">
        <f>IF(AND('Data Source'!B877&lt;&gt;"",'Data Source'!S877="F"),IF('Data Source'!V877&gt;=5,"A+",IF('Data Source'!V877&gt;=4,"A",IF('Data Source'!V877&gt;=3.5,"A-",IF('Data Source'!V877&gt;=3,"B",IF('Data Source'!V877&gt;=2,"C",IF('Data Source'!V877&gt;=1,"D","F")))))),"")</f>
        <v/>
      </c>
      <c r="E877" s="3">
        <f>IF(AND('Data Source'!B877&lt;&gt;"",'Data Source'!S877="F"),IF('Data Source'!W877&gt;=5,"A+",IF('Data Source'!W877&gt;=4,"A",IF('Data Source'!W877&gt;=3.5,"A-",IF('Data Source'!W877&gt;=3,"B",IF('Data Source'!W877&gt;=2,"C",IF('Data Source'!W877&gt;=1,"D","F")))))),"")</f>
        <v/>
      </c>
      <c r="F877" s="3">
        <f>IF(AND('Data Source'!B877&lt;&gt;"",'Data Source'!S877="F"),IF('Data Source'!X877&gt;=5,"A+",IF('Data Source'!X877&gt;=4,"A",IF('Data Source'!X877&gt;=3.5,"A-",IF('Data Source'!X877&gt;=3,"B",IF('Data Source'!X877&gt;=2,"C",IF('Data Source'!X877&gt;=1,"D","F")))))),"")</f>
        <v/>
      </c>
      <c r="G877" s="3">
        <f>IF(AND('Data Source'!B877&lt;&gt;"",'Data Source'!S877="F"),IF('Data Source'!Y877&gt;=5,"A+",IF('Data Source'!Y877&gt;=4,"A",IF('Data Source'!Y877&gt;=3.5,"A-",IF('Data Source'!Y877&gt;=3,"B",IF('Data Source'!Y877&gt;=2,"C",IF('Data Source'!Y877&gt;=1,"D","F")))))),"")</f>
        <v/>
      </c>
      <c r="H877" s="3">
        <f>IF(AND('Data Source'!B877&lt;&gt;"",'Data Source'!S877="F"),IF('Data Source'!Z877&gt;=5,"A+",IF('Data Source'!Z877&gt;=4,"A",IF('Data Source'!Z877&gt;=3.5,"A-",IF('Data Source'!Z877&gt;=3,"B",IF('Data Source'!Z877&gt;=2,"C",IF('Data Source'!Z877&gt;=1,"D","F")))))),"")</f>
        <v/>
      </c>
      <c r="I877" s="3">
        <f>IF(AND('Data Source'!B877&lt;&gt;"",'Data Source'!S877="F"),IF('Data Source'!AA877&gt;=5,"A+",IF('Data Source'!AA877&gt;=4,"A",IF('Data Source'!AA877&gt;=3.5,"A-",IF('Data Source'!AA877&gt;=3,"B",IF('Data Source'!AA877&gt;=2,"C",IF('Data Source'!AA877&gt;=1,"D","F")))))),"")</f>
        <v/>
      </c>
      <c r="J877" s="3">
        <f>IF(AND('Data Source'!B877&lt;&gt;"",'Data Source'!S877="F"),IF('Data Source'!AB877&gt;=5,"A+",IF('Data Source'!AB877&gt;=4,"A",IF('Data Source'!AB877&gt;=3.5,"A-",IF('Data Source'!AB877&gt;=3,"B",IF('Data Source'!AB877&gt;=2,"C",IF('Data Source'!AB877&gt;=1,"D","F")))))),"")</f>
        <v/>
      </c>
      <c r="K877" s="3">
        <f>IF(AND('Data Source'!B877&lt;&gt;"",'Data Source'!S877="F"),IF('Data Source'!AC877&gt;=5,"A+",IF('Data Source'!AC877&gt;=4,"A",IF('Data Source'!AC877&gt;=3.5,"A-",IF('Data Source'!AC877&gt;=3,"B",IF('Data Source'!AC877&gt;=2,"C",IF('Data Source'!AC877&gt;=1,"D","F")))))),"")</f>
        <v/>
      </c>
      <c r="L877" s="3">
        <f>IF(AND('Data Source'!B877&lt;&gt;"",'Data Source'!S877="F"),IF('Data Source'!AD877&gt;=5,"A+",IF('Data Source'!AD877&gt;=4,"A",IF('Data Source'!AD877&gt;=3.5,"A-",IF('Data Source'!AD877&gt;=3,"B",IF('Data Source'!AD877&gt;=2,"C",IF('Data Source'!AD877&gt;=1,"D","F")))))),"")</f>
        <v/>
      </c>
      <c r="M877" s="3">
        <f>IF(AND('Data Source'!B877&lt;&gt;"",'Data Source'!S877="F"),IF('Data Source'!AE877&gt;=5,"A+",IF('Data Source'!AE877&gt;=4,"A",IF('Data Source'!AE877&gt;=3.5,"A-",IF('Data Source'!AE877&gt;=3,"B",IF('Data Source'!AE877&gt;=2,"C",IF('Data Source'!AE877&gt;=1,"D","F")))))),"")</f>
        <v/>
      </c>
      <c r="N877" s="3">
        <f>IF(AND('Data Source'!B877&lt;&gt;"",'Data Source'!S877="F"),IF('Data Source'!AF877&gt;=5,"A+",IF('Data Source'!AF877&gt;=4,"A",IF('Data Source'!AF877&gt;=3.5,"A-",IF('Data Source'!AF877&gt;=3,"B",IF('Data Source'!AF877&gt;=2,"C",IF('Data Source'!AF877&gt;=1,"D","F")))))),"")</f>
        <v/>
      </c>
      <c r="O877" s="3">
        <f>IF(AND('Data Source'!B877&lt;&gt;"",'Data Source'!S877="F"),IF('Data Source'!AG877&gt;=5,"A+",IF('Data Source'!AG877&gt;=4,"A",IF('Data Source'!AG877&gt;=3.5,"A-",IF('Data Source'!AG877&gt;=3,"B",IF('Data Source'!AG877&gt;=2,"C",IF('Data Source'!AG877&gt;=1,"D","F")))))),"")</f>
        <v/>
      </c>
      <c r="P877" s="5">
        <f>IF(AND('Data Source'!B877&lt;&gt;"",'Data Source'!S877="F"),'Data Source'!R877,"")</f>
        <v/>
      </c>
      <c r="Q877" s="3">
        <f>IF(AND('Data Source'!B877&lt;&gt;"",'Data Source'!S877="F"),'Data Source'!S877,"")</f>
        <v/>
      </c>
    </row>
    <row r="878">
      <c r="A878" s="3">
        <f>IF(AND('Data Source'!B878&lt;&gt;"",'Data Source'!S878="F"),COUNTIF('Data Source'!$S$3:S878,"F"),"")</f>
        <v/>
      </c>
      <c r="B878">
        <f>IF(AND('Data Source'!B878&lt;&gt;"",'Data Source'!S878="F"),'Data Source'!B878,"")</f>
        <v/>
      </c>
      <c r="C878" s="3">
        <f>IF(AND('Data Source'!B878&lt;&gt;"",'Data Source'!S878="F"),IF('Data Source'!U878&gt;=5,"A+",IF('Data Source'!U878&gt;=4,"A",IF('Data Source'!U878&gt;=3.5,"A-",IF('Data Source'!U878&gt;=3,"B",IF('Data Source'!U878&gt;=2,"C",IF('Data Source'!U878&gt;=1,"D","F")))))),"")</f>
        <v/>
      </c>
      <c r="D878" s="3">
        <f>IF(AND('Data Source'!B878&lt;&gt;"",'Data Source'!S878="F"),IF('Data Source'!V878&gt;=5,"A+",IF('Data Source'!V878&gt;=4,"A",IF('Data Source'!V878&gt;=3.5,"A-",IF('Data Source'!V878&gt;=3,"B",IF('Data Source'!V878&gt;=2,"C",IF('Data Source'!V878&gt;=1,"D","F")))))),"")</f>
        <v/>
      </c>
      <c r="E878" s="3">
        <f>IF(AND('Data Source'!B878&lt;&gt;"",'Data Source'!S878="F"),IF('Data Source'!W878&gt;=5,"A+",IF('Data Source'!W878&gt;=4,"A",IF('Data Source'!W878&gt;=3.5,"A-",IF('Data Source'!W878&gt;=3,"B",IF('Data Source'!W878&gt;=2,"C",IF('Data Source'!W878&gt;=1,"D","F")))))),"")</f>
        <v/>
      </c>
      <c r="F878" s="3">
        <f>IF(AND('Data Source'!B878&lt;&gt;"",'Data Source'!S878="F"),IF('Data Source'!X878&gt;=5,"A+",IF('Data Source'!X878&gt;=4,"A",IF('Data Source'!X878&gt;=3.5,"A-",IF('Data Source'!X878&gt;=3,"B",IF('Data Source'!X878&gt;=2,"C",IF('Data Source'!X878&gt;=1,"D","F")))))),"")</f>
        <v/>
      </c>
      <c r="G878" s="3">
        <f>IF(AND('Data Source'!B878&lt;&gt;"",'Data Source'!S878="F"),IF('Data Source'!Y878&gt;=5,"A+",IF('Data Source'!Y878&gt;=4,"A",IF('Data Source'!Y878&gt;=3.5,"A-",IF('Data Source'!Y878&gt;=3,"B",IF('Data Source'!Y878&gt;=2,"C",IF('Data Source'!Y878&gt;=1,"D","F")))))),"")</f>
        <v/>
      </c>
      <c r="H878" s="3">
        <f>IF(AND('Data Source'!B878&lt;&gt;"",'Data Source'!S878="F"),IF('Data Source'!Z878&gt;=5,"A+",IF('Data Source'!Z878&gt;=4,"A",IF('Data Source'!Z878&gt;=3.5,"A-",IF('Data Source'!Z878&gt;=3,"B",IF('Data Source'!Z878&gt;=2,"C",IF('Data Source'!Z878&gt;=1,"D","F")))))),"")</f>
        <v/>
      </c>
      <c r="I878" s="3">
        <f>IF(AND('Data Source'!B878&lt;&gt;"",'Data Source'!S878="F"),IF('Data Source'!AA878&gt;=5,"A+",IF('Data Source'!AA878&gt;=4,"A",IF('Data Source'!AA878&gt;=3.5,"A-",IF('Data Source'!AA878&gt;=3,"B",IF('Data Source'!AA878&gt;=2,"C",IF('Data Source'!AA878&gt;=1,"D","F")))))),"")</f>
        <v/>
      </c>
      <c r="J878" s="3">
        <f>IF(AND('Data Source'!B878&lt;&gt;"",'Data Source'!S878="F"),IF('Data Source'!AB878&gt;=5,"A+",IF('Data Source'!AB878&gt;=4,"A",IF('Data Source'!AB878&gt;=3.5,"A-",IF('Data Source'!AB878&gt;=3,"B",IF('Data Source'!AB878&gt;=2,"C",IF('Data Source'!AB878&gt;=1,"D","F")))))),"")</f>
        <v/>
      </c>
      <c r="K878" s="3">
        <f>IF(AND('Data Source'!B878&lt;&gt;"",'Data Source'!S878="F"),IF('Data Source'!AC878&gt;=5,"A+",IF('Data Source'!AC878&gt;=4,"A",IF('Data Source'!AC878&gt;=3.5,"A-",IF('Data Source'!AC878&gt;=3,"B",IF('Data Source'!AC878&gt;=2,"C",IF('Data Source'!AC878&gt;=1,"D","F")))))),"")</f>
        <v/>
      </c>
      <c r="L878" s="3">
        <f>IF(AND('Data Source'!B878&lt;&gt;"",'Data Source'!S878="F"),IF('Data Source'!AD878&gt;=5,"A+",IF('Data Source'!AD878&gt;=4,"A",IF('Data Source'!AD878&gt;=3.5,"A-",IF('Data Source'!AD878&gt;=3,"B",IF('Data Source'!AD878&gt;=2,"C",IF('Data Source'!AD878&gt;=1,"D","F")))))),"")</f>
        <v/>
      </c>
      <c r="M878" s="3">
        <f>IF(AND('Data Source'!B878&lt;&gt;"",'Data Source'!S878="F"),IF('Data Source'!AE878&gt;=5,"A+",IF('Data Source'!AE878&gt;=4,"A",IF('Data Source'!AE878&gt;=3.5,"A-",IF('Data Source'!AE878&gt;=3,"B",IF('Data Source'!AE878&gt;=2,"C",IF('Data Source'!AE878&gt;=1,"D","F")))))),"")</f>
        <v/>
      </c>
      <c r="N878" s="3">
        <f>IF(AND('Data Source'!B878&lt;&gt;"",'Data Source'!S878="F"),IF('Data Source'!AF878&gt;=5,"A+",IF('Data Source'!AF878&gt;=4,"A",IF('Data Source'!AF878&gt;=3.5,"A-",IF('Data Source'!AF878&gt;=3,"B",IF('Data Source'!AF878&gt;=2,"C",IF('Data Source'!AF878&gt;=1,"D","F")))))),"")</f>
        <v/>
      </c>
      <c r="O878" s="3">
        <f>IF(AND('Data Source'!B878&lt;&gt;"",'Data Source'!S878="F"),IF('Data Source'!AG878&gt;=5,"A+",IF('Data Source'!AG878&gt;=4,"A",IF('Data Source'!AG878&gt;=3.5,"A-",IF('Data Source'!AG878&gt;=3,"B",IF('Data Source'!AG878&gt;=2,"C",IF('Data Source'!AG878&gt;=1,"D","F")))))),"")</f>
        <v/>
      </c>
      <c r="P878" s="5">
        <f>IF(AND('Data Source'!B878&lt;&gt;"",'Data Source'!S878="F"),'Data Source'!R878,"")</f>
        <v/>
      </c>
      <c r="Q878" s="3">
        <f>IF(AND('Data Source'!B878&lt;&gt;"",'Data Source'!S878="F"),'Data Source'!S878,"")</f>
        <v/>
      </c>
    </row>
    <row r="879">
      <c r="A879" s="3">
        <f>IF(AND('Data Source'!B879&lt;&gt;"",'Data Source'!S879="F"),COUNTIF('Data Source'!$S$3:S879,"F"),"")</f>
        <v/>
      </c>
      <c r="B879">
        <f>IF(AND('Data Source'!B879&lt;&gt;"",'Data Source'!S879="F"),'Data Source'!B879,"")</f>
        <v/>
      </c>
      <c r="C879" s="3">
        <f>IF(AND('Data Source'!B879&lt;&gt;"",'Data Source'!S879="F"),IF('Data Source'!U879&gt;=5,"A+",IF('Data Source'!U879&gt;=4,"A",IF('Data Source'!U879&gt;=3.5,"A-",IF('Data Source'!U879&gt;=3,"B",IF('Data Source'!U879&gt;=2,"C",IF('Data Source'!U879&gt;=1,"D","F")))))),"")</f>
        <v/>
      </c>
      <c r="D879" s="3">
        <f>IF(AND('Data Source'!B879&lt;&gt;"",'Data Source'!S879="F"),IF('Data Source'!V879&gt;=5,"A+",IF('Data Source'!V879&gt;=4,"A",IF('Data Source'!V879&gt;=3.5,"A-",IF('Data Source'!V879&gt;=3,"B",IF('Data Source'!V879&gt;=2,"C",IF('Data Source'!V879&gt;=1,"D","F")))))),"")</f>
        <v/>
      </c>
      <c r="E879" s="3">
        <f>IF(AND('Data Source'!B879&lt;&gt;"",'Data Source'!S879="F"),IF('Data Source'!W879&gt;=5,"A+",IF('Data Source'!W879&gt;=4,"A",IF('Data Source'!W879&gt;=3.5,"A-",IF('Data Source'!W879&gt;=3,"B",IF('Data Source'!W879&gt;=2,"C",IF('Data Source'!W879&gt;=1,"D","F")))))),"")</f>
        <v/>
      </c>
      <c r="F879" s="3">
        <f>IF(AND('Data Source'!B879&lt;&gt;"",'Data Source'!S879="F"),IF('Data Source'!X879&gt;=5,"A+",IF('Data Source'!X879&gt;=4,"A",IF('Data Source'!X879&gt;=3.5,"A-",IF('Data Source'!X879&gt;=3,"B",IF('Data Source'!X879&gt;=2,"C",IF('Data Source'!X879&gt;=1,"D","F")))))),"")</f>
        <v/>
      </c>
      <c r="G879" s="3">
        <f>IF(AND('Data Source'!B879&lt;&gt;"",'Data Source'!S879="F"),IF('Data Source'!Y879&gt;=5,"A+",IF('Data Source'!Y879&gt;=4,"A",IF('Data Source'!Y879&gt;=3.5,"A-",IF('Data Source'!Y879&gt;=3,"B",IF('Data Source'!Y879&gt;=2,"C",IF('Data Source'!Y879&gt;=1,"D","F")))))),"")</f>
        <v/>
      </c>
      <c r="H879" s="3">
        <f>IF(AND('Data Source'!B879&lt;&gt;"",'Data Source'!S879="F"),IF('Data Source'!Z879&gt;=5,"A+",IF('Data Source'!Z879&gt;=4,"A",IF('Data Source'!Z879&gt;=3.5,"A-",IF('Data Source'!Z879&gt;=3,"B",IF('Data Source'!Z879&gt;=2,"C",IF('Data Source'!Z879&gt;=1,"D","F")))))),"")</f>
        <v/>
      </c>
      <c r="I879" s="3">
        <f>IF(AND('Data Source'!B879&lt;&gt;"",'Data Source'!S879="F"),IF('Data Source'!AA879&gt;=5,"A+",IF('Data Source'!AA879&gt;=4,"A",IF('Data Source'!AA879&gt;=3.5,"A-",IF('Data Source'!AA879&gt;=3,"B",IF('Data Source'!AA879&gt;=2,"C",IF('Data Source'!AA879&gt;=1,"D","F")))))),"")</f>
        <v/>
      </c>
      <c r="J879" s="3">
        <f>IF(AND('Data Source'!B879&lt;&gt;"",'Data Source'!S879="F"),IF('Data Source'!AB879&gt;=5,"A+",IF('Data Source'!AB879&gt;=4,"A",IF('Data Source'!AB879&gt;=3.5,"A-",IF('Data Source'!AB879&gt;=3,"B",IF('Data Source'!AB879&gt;=2,"C",IF('Data Source'!AB879&gt;=1,"D","F")))))),"")</f>
        <v/>
      </c>
      <c r="K879" s="3">
        <f>IF(AND('Data Source'!B879&lt;&gt;"",'Data Source'!S879="F"),IF('Data Source'!AC879&gt;=5,"A+",IF('Data Source'!AC879&gt;=4,"A",IF('Data Source'!AC879&gt;=3.5,"A-",IF('Data Source'!AC879&gt;=3,"B",IF('Data Source'!AC879&gt;=2,"C",IF('Data Source'!AC879&gt;=1,"D","F")))))),"")</f>
        <v/>
      </c>
      <c r="L879" s="3">
        <f>IF(AND('Data Source'!B879&lt;&gt;"",'Data Source'!S879="F"),IF('Data Source'!AD879&gt;=5,"A+",IF('Data Source'!AD879&gt;=4,"A",IF('Data Source'!AD879&gt;=3.5,"A-",IF('Data Source'!AD879&gt;=3,"B",IF('Data Source'!AD879&gt;=2,"C",IF('Data Source'!AD879&gt;=1,"D","F")))))),"")</f>
        <v/>
      </c>
      <c r="M879" s="3">
        <f>IF(AND('Data Source'!B879&lt;&gt;"",'Data Source'!S879="F"),IF('Data Source'!AE879&gt;=5,"A+",IF('Data Source'!AE879&gt;=4,"A",IF('Data Source'!AE879&gt;=3.5,"A-",IF('Data Source'!AE879&gt;=3,"B",IF('Data Source'!AE879&gt;=2,"C",IF('Data Source'!AE879&gt;=1,"D","F")))))),"")</f>
        <v/>
      </c>
      <c r="N879" s="3">
        <f>IF(AND('Data Source'!B879&lt;&gt;"",'Data Source'!S879="F"),IF('Data Source'!AF879&gt;=5,"A+",IF('Data Source'!AF879&gt;=4,"A",IF('Data Source'!AF879&gt;=3.5,"A-",IF('Data Source'!AF879&gt;=3,"B",IF('Data Source'!AF879&gt;=2,"C",IF('Data Source'!AF879&gt;=1,"D","F")))))),"")</f>
        <v/>
      </c>
      <c r="O879" s="3">
        <f>IF(AND('Data Source'!B879&lt;&gt;"",'Data Source'!S879="F"),IF('Data Source'!AG879&gt;=5,"A+",IF('Data Source'!AG879&gt;=4,"A",IF('Data Source'!AG879&gt;=3.5,"A-",IF('Data Source'!AG879&gt;=3,"B",IF('Data Source'!AG879&gt;=2,"C",IF('Data Source'!AG879&gt;=1,"D","F")))))),"")</f>
        <v/>
      </c>
      <c r="P879" s="5">
        <f>IF(AND('Data Source'!B879&lt;&gt;"",'Data Source'!S879="F"),'Data Source'!R879,"")</f>
        <v/>
      </c>
      <c r="Q879" s="3">
        <f>IF(AND('Data Source'!B879&lt;&gt;"",'Data Source'!S879="F"),'Data Source'!S879,"")</f>
        <v/>
      </c>
    </row>
    <row r="880">
      <c r="A880" s="3">
        <f>IF(AND('Data Source'!B880&lt;&gt;"",'Data Source'!S880="F"),COUNTIF('Data Source'!$S$3:S880,"F"),"")</f>
        <v/>
      </c>
      <c r="B880">
        <f>IF(AND('Data Source'!B880&lt;&gt;"",'Data Source'!S880="F"),'Data Source'!B880,"")</f>
        <v/>
      </c>
      <c r="C880" s="3">
        <f>IF(AND('Data Source'!B880&lt;&gt;"",'Data Source'!S880="F"),IF('Data Source'!U880&gt;=5,"A+",IF('Data Source'!U880&gt;=4,"A",IF('Data Source'!U880&gt;=3.5,"A-",IF('Data Source'!U880&gt;=3,"B",IF('Data Source'!U880&gt;=2,"C",IF('Data Source'!U880&gt;=1,"D","F")))))),"")</f>
        <v/>
      </c>
      <c r="D880" s="3">
        <f>IF(AND('Data Source'!B880&lt;&gt;"",'Data Source'!S880="F"),IF('Data Source'!V880&gt;=5,"A+",IF('Data Source'!V880&gt;=4,"A",IF('Data Source'!V880&gt;=3.5,"A-",IF('Data Source'!V880&gt;=3,"B",IF('Data Source'!V880&gt;=2,"C",IF('Data Source'!V880&gt;=1,"D","F")))))),"")</f>
        <v/>
      </c>
      <c r="E880" s="3">
        <f>IF(AND('Data Source'!B880&lt;&gt;"",'Data Source'!S880="F"),IF('Data Source'!W880&gt;=5,"A+",IF('Data Source'!W880&gt;=4,"A",IF('Data Source'!W880&gt;=3.5,"A-",IF('Data Source'!W880&gt;=3,"B",IF('Data Source'!W880&gt;=2,"C",IF('Data Source'!W880&gt;=1,"D","F")))))),"")</f>
        <v/>
      </c>
      <c r="F880" s="3">
        <f>IF(AND('Data Source'!B880&lt;&gt;"",'Data Source'!S880="F"),IF('Data Source'!X880&gt;=5,"A+",IF('Data Source'!X880&gt;=4,"A",IF('Data Source'!X880&gt;=3.5,"A-",IF('Data Source'!X880&gt;=3,"B",IF('Data Source'!X880&gt;=2,"C",IF('Data Source'!X880&gt;=1,"D","F")))))),"")</f>
        <v/>
      </c>
      <c r="G880" s="3">
        <f>IF(AND('Data Source'!B880&lt;&gt;"",'Data Source'!S880="F"),IF('Data Source'!Y880&gt;=5,"A+",IF('Data Source'!Y880&gt;=4,"A",IF('Data Source'!Y880&gt;=3.5,"A-",IF('Data Source'!Y880&gt;=3,"B",IF('Data Source'!Y880&gt;=2,"C",IF('Data Source'!Y880&gt;=1,"D","F")))))),"")</f>
        <v/>
      </c>
      <c r="H880" s="3">
        <f>IF(AND('Data Source'!B880&lt;&gt;"",'Data Source'!S880="F"),IF('Data Source'!Z880&gt;=5,"A+",IF('Data Source'!Z880&gt;=4,"A",IF('Data Source'!Z880&gt;=3.5,"A-",IF('Data Source'!Z880&gt;=3,"B",IF('Data Source'!Z880&gt;=2,"C",IF('Data Source'!Z880&gt;=1,"D","F")))))),"")</f>
        <v/>
      </c>
      <c r="I880" s="3">
        <f>IF(AND('Data Source'!B880&lt;&gt;"",'Data Source'!S880="F"),IF('Data Source'!AA880&gt;=5,"A+",IF('Data Source'!AA880&gt;=4,"A",IF('Data Source'!AA880&gt;=3.5,"A-",IF('Data Source'!AA880&gt;=3,"B",IF('Data Source'!AA880&gt;=2,"C",IF('Data Source'!AA880&gt;=1,"D","F")))))),"")</f>
        <v/>
      </c>
      <c r="J880" s="3">
        <f>IF(AND('Data Source'!B880&lt;&gt;"",'Data Source'!S880="F"),IF('Data Source'!AB880&gt;=5,"A+",IF('Data Source'!AB880&gt;=4,"A",IF('Data Source'!AB880&gt;=3.5,"A-",IF('Data Source'!AB880&gt;=3,"B",IF('Data Source'!AB880&gt;=2,"C",IF('Data Source'!AB880&gt;=1,"D","F")))))),"")</f>
        <v/>
      </c>
      <c r="K880" s="3">
        <f>IF(AND('Data Source'!B880&lt;&gt;"",'Data Source'!S880="F"),IF('Data Source'!AC880&gt;=5,"A+",IF('Data Source'!AC880&gt;=4,"A",IF('Data Source'!AC880&gt;=3.5,"A-",IF('Data Source'!AC880&gt;=3,"B",IF('Data Source'!AC880&gt;=2,"C",IF('Data Source'!AC880&gt;=1,"D","F")))))),"")</f>
        <v/>
      </c>
      <c r="L880" s="3">
        <f>IF(AND('Data Source'!B880&lt;&gt;"",'Data Source'!S880="F"),IF('Data Source'!AD880&gt;=5,"A+",IF('Data Source'!AD880&gt;=4,"A",IF('Data Source'!AD880&gt;=3.5,"A-",IF('Data Source'!AD880&gt;=3,"B",IF('Data Source'!AD880&gt;=2,"C",IF('Data Source'!AD880&gt;=1,"D","F")))))),"")</f>
        <v/>
      </c>
      <c r="M880" s="3">
        <f>IF(AND('Data Source'!B880&lt;&gt;"",'Data Source'!S880="F"),IF('Data Source'!AE880&gt;=5,"A+",IF('Data Source'!AE880&gt;=4,"A",IF('Data Source'!AE880&gt;=3.5,"A-",IF('Data Source'!AE880&gt;=3,"B",IF('Data Source'!AE880&gt;=2,"C",IF('Data Source'!AE880&gt;=1,"D","F")))))),"")</f>
        <v/>
      </c>
      <c r="N880" s="3">
        <f>IF(AND('Data Source'!B880&lt;&gt;"",'Data Source'!S880="F"),IF('Data Source'!AF880&gt;=5,"A+",IF('Data Source'!AF880&gt;=4,"A",IF('Data Source'!AF880&gt;=3.5,"A-",IF('Data Source'!AF880&gt;=3,"B",IF('Data Source'!AF880&gt;=2,"C",IF('Data Source'!AF880&gt;=1,"D","F")))))),"")</f>
        <v/>
      </c>
      <c r="O880" s="3">
        <f>IF(AND('Data Source'!B880&lt;&gt;"",'Data Source'!S880="F"),IF('Data Source'!AG880&gt;=5,"A+",IF('Data Source'!AG880&gt;=4,"A",IF('Data Source'!AG880&gt;=3.5,"A-",IF('Data Source'!AG880&gt;=3,"B",IF('Data Source'!AG880&gt;=2,"C",IF('Data Source'!AG880&gt;=1,"D","F")))))),"")</f>
        <v/>
      </c>
      <c r="P880" s="5">
        <f>IF(AND('Data Source'!B880&lt;&gt;"",'Data Source'!S880="F"),'Data Source'!R880,"")</f>
        <v/>
      </c>
      <c r="Q880" s="3">
        <f>IF(AND('Data Source'!B880&lt;&gt;"",'Data Source'!S880="F"),'Data Source'!S880,"")</f>
        <v/>
      </c>
    </row>
    <row r="881">
      <c r="A881" s="3">
        <f>IF(AND('Data Source'!B881&lt;&gt;"",'Data Source'!S881="F"),COUNTIF('Data Source'!$S$3:S881,"F"),"")</f>
        <v/>
      </c>
      <c r="B881">
        <f>IF(AND('Data Source'!B881&lt;&gt;"",'Data Source'!S881="F"),'Data Source'!B881,"")</f>
        <v/>
      </c>
      <c r="C881" s="3">
        <f>IF(AND('Data Source'!B881&lt;&gt;"",'Data Source'!S881="F"),IF('Data Source'!U881&gt;=5,"A+",IF('Data Source'!U881&gt;=4,"A",IF('Data Source'!U881&gt;=3.5,"A-",IF('Data Source'!U881&gt;=3,"B",IF('Data Source'!U881&gt;=2,"C",IF('Data Source'!U881&gt;=1,"D","F")))))),"")</f>
        <v/>
      </c>
      <c r="D881" s="3">
        <f>IF(AND('Data Source'!B881&lt;&gt;"",'Data Source'!S881="F"),IF('Data Source'!V881&gt;=5,"A+",IF('Data Source'!V881&gt;=4,"A",IF('Data Source'!V881&gt;=3.5,"A-",IF('Data Source'!V881&gt;=3,"B",IF('Data Source'!V881&gt;=2,"C",IF('Data Source'!V881&gt;=1,"D","F")))))),"")</f>
        <v/>
      </c>
      <c r="E881" s="3">
        <f>IF(AND('Data Source'!B881&lt;&gt;"",'Data Source'!S881="F"),IF('Data Source'!W881&gt;=5,"A+",IF('Data Source'!W881&gt;=4,"A",IF('Data Source'!W881&gt;=3.5,"A-",IF('Data Source'!W881&gt;=3,"B",IF('Data Source'!W881&gt;=2,"C",IF('Data Source'!W881&gt;=1,"D","F")))))),"")</f>
        <v/>
      </c>
      <c r="F881" s="3">
        <f>IF(AND('Data Source'!B881&lt;&gt;"",'Data Source'!S881="F"),IF('Data Source'!X881&gt;=5,"A+",IF('Data Source'!X881&gt;=4,"A",IF('Data Source'!X881&gt;=3.5,"A-",IF('Data Source'!X881&gt;=3,"B",IF('Data Source'!X881&gt;=2,"C",IF('Data Source'!X881&gt;=1,"D","F")))))),"")</f>
        <v/>
      </c>
      <c r="G881" s="3">
        <f>IF(AND('Data Source'!B881&lt;&gt;"",'Data Source'!S881="F"),IF('Data Source'!Y881&gt;=5,"A+",IF('Data Source'!Y881&gt;=4,"A",IF('Data Source'!Y881&gt;=3.5,"A-",IF('Data Source'!Y881&gt;=3,"B",IF('Data Source'!Y881&gt;=2,"C",IF('Data Source'!Y881&gt;=1,"D","F")))))),"")</f>
        <v/>
      </c>
      <c r="H881" s="3">
        <f>IF(AND('Data Source'!B881&lt;&gt;"",'Data Source'!S881="F"),IF('Data Source'!Z881&gt;=5,"A+",IF('Data Source'!Z881&gt;=4,"A",IF('Data Source'!Z881&gt;=3.5,"A-",IF('Data Source'!Z881&gt;=3,"B",IF('Data Source'!Z881&gt;=2,"C",IF('Data Source'!Z881&gt;=1,"D","F")))))),"")</f>
        <v/>
      </c>
      <c r="I881" s="3">
        <f>IF(AND('Data Source'!B881&lt;&gt;"",'Data Source'!S881="F"),IF('Data Source'!AA881&gt;=5,"A+",IF('Data Source'!AA881&gt;=4,"A",IF('Data Source'!AA881&gt;=3.5,"A-",IF('Data Source'!AA881&gt;=3,"B",IF('Data Source'!AA881&gt;=2,"C",IF('Data Source'!AA881&gt;=1,"D","F")))))),"")</f>
        <v/>
      </c>
      <c r="J881" s="3">
        <f>IF(AND('Data Source'!B881&lt;&gt;"",'Data Source'!S881="F"),IF('Data Source'!AB881&gt;=5,"A+",IF('Data Source'!AB881&gt;=4,"A",IF('Data Source'!AB881&gt;=3.5,"A-",IF('Data Source'!AB881&gt;=3,"B",IF('Data Source'!AB881&gt;=2,"C",IF('Data Source'!AB881&gt;=1,"D","F")))))),"")</f>
        <v/>
      </c>
      <c r="K881" s="3">
        <f>IF(AND('Data Source'!B881&lt;&gt;"",'Data Source'!S881="F"),IF('Data Source'!AC881&gt;=5,"A+",IF('Data Source'!AC881&gt;=4,"A",IF('Data Source'!AC881&gt;=3.5,"A-",IF('Data Source'!AC881&gt;=3,"B",IF('Data Source'!AC881&gt;=2,"C",IF('Data Source'!AC881&gt;=1,"D","F")))))),"")</f>
        <v/>
      </c>
      <c r="L881" s="3">
        <f>IF(AND('Data Source'!B881&lt;&gt;"",'Data Source'!S881="F"),IF('Data Source'!AD881&gt;=5,"A+",IF('Data Source'!AD881&gt;=4,"A",IF('Data Source'!AD881&gt;=3.5,"A-",IF('Data Source'!AD881&gt;=3,"B",IF('Data Source'!AD881&gt;=2,"C",IF('Data Source'!AD881&gt;=1,"D","F")))))),"")</f>
        <v/>
      </c>
      <c r="M881" s="3">
        <f>IF(AND('Data Source'!B881&lt;&gt;"",'Data Source'!S881="F"),IF('Data Source'!AE881&gt;=5,"A+",IF('Data Source'!AE881&gt;=4,"A",IF('Data Source'!AE881&gt;=3.5,"A-",IF('Data Source'!AE881&gt;=3,"B",IF('Data Source'!AE881&gt;=2,"C",IF('Data Source'!AE881&gt;=1,"D","F")))))),"")</f>
        <v/>
      </c>
      <c r="N881" s="3">
        <f>IF(AND('Data Source'!B881&lt;&gt;"",'Data Source'!S881="F"),IF('Data Source'!AF881&gt;=5,"A+",IF('Data Source'!AF881&gt;=4,"A",IF('Data Source'!AF881&gt;=3.5,"A-",IF('Data Source'!AF881&gt;=3,"B",IF('Data Source'!AF881&gt;=2,"C",IF('Data Source'!AF881&gt;=1,"D","F")))))),"")</f>
        <v/>
      </c>
      <c r="O881" s="3">
        <f>IF(AND('Data Source'!B881&lt;&gt;"",'Data Source'!S881="F"),IF('Data Source'!AG881&gt;=5,"A+",IF('Data Source'!AG881&gt;=4,"A",IF('Data Source'!AG881&gt;=3.5,"A-",IF('Data Source'!AG881&gt;=3,"B",IF('Data Source'!AG881&gt;=2,"C",IF('Data Source'!AG881&gt;=1,"D","F")))))),"")</f>
        <v/>
      </c>
      <c r="P881" s="5">
        <f>IF(AND('Data Source'!B881&lt;&gt;"",'Data Source'!S881="F"),'Data Source'!R881,"")</f>
        <v/>
      </c>
      <c r="Q881" s="3">
        <f>IF(AND('Data Source'!B881&lt;&gt;"",'Data Source'!S881="F"),'Data Source'!S881,"")</f>
        <v/>
      </c>
    </row>
    <row r="882">
      <c r="A882" s="3">
        <f>IF(AND('Data Source'!B882&lt;&gt;"",'Data Source'!S882="F"),COUNTIF('Data Source'!$S$3:S882,"F"),"")</f>
        <v/>
      </c>
      <c r="B882">
        <f>IF(AND('Data Source'!B882&lt;&gt;"",'Data Source'!S882="F"),'Data Source'!B882,"")</f>
        <v/>
      </c>
      <c r="C882" s="3">
        <f>IF(AND('Data Source'!B882&lt;&gt;"",'Data Source'!S882="F"),IF('Data Source'!U882&gt;=5,"A+",IF('Data Source'!U882&gt;=4,"A",IF('Data Source'!U882&gt;=3.5,"A-",IF('Data Source'!U882&gt;=3,"B",IF('Data Source'!U882&gt;=2,"C",IF('Data Source'!U882&gt;=1,"D","F")))))),"")</f>
        <v/>
      </c>
      <c r="D882" s="3">
        <f>IF(AND('Data Source'!B882&lt;&gt;"",'Data Source'!S882="F"),IF('Data Source'!V882&gt;=5,"A+",IF('Data Source'!V882&gt;=4,"A",IF('Data Source'!V882&gt;=3.5,"A-",IF('Data Source'!V882&gt;=3,"B",IF('Data Source'!V882&gt;=2,"C",IF('Data Source'!V882&gt;=1,"D","F")))))),"")</f>
        <v/>
      </c>
      <c r="E882" s="3">
        <f>IF(AND('Data Source'!B882&lt;&gt;"",'Data Source'!S882="F"),IF('Data Source'!W882&gt;=5,"A+",IF('Data Source'!W882&gt;=4,"A",IF('Data Source'!W882&gt;=3.5,"A-",IF('Data Source'!W882&gt;=3,"B",IF('Data Source'!W882&gt;=2,"C",IF('Data Source'!W882&gt;=1,"D","F")))))),"")</f>
        <v/>
      </c>
      <c r="F882" s="3">
        <f>IF(AND('Data Source'!B882&lt;&gt;"",'Data Source'!S882="F"),IF('Data Source'!X882&gt;=5,"A+",IF('Data Source'!X882&gt;=4,"A",IF('Data Source'!X882&gt;=3.5,"A-",IF('Data Source'!X882&gt;=3,"B",IF('Data Source'!X882&gt;=2,"C",IF('Data Source'!X882&gt;=1,"D","F")))))),"")</f>
        <v/>
      </c>
      <c r="G882" s="3">
        <f>IF(AND('Data Source'!B882&lt;&gt;"",'Data Source'!S882="F"),IF('Data Source'!Y882&gt;=5,"A+",IF('Data Source'!Y882&gt;=4,"A",IF('Data Source'!Y882&gt;=3.5,"A-",IF('Data Source'!Y882&gt;=3,"B",IF('Data Source'!Y882&gt;=2,"C",IF('Data Source'!Y882&gt;=1,"D","F")))))),"")</f>
        <v/>
      </c>
      <c r="H882" s="3">
        <f>IF(AND('Data Source'!B882&lt;&gt;"",'Data Source'!S882="F"),IF('Data Source'!Z882&gt;=5,"A+",IF('Data Source'!Z882&gt;=4,"A",IF('Data Source'!Z882&gt;=3.5,"A-",IF('Data Source'!Z882&gt;=3,"B",IF('Data Source'!Z882&gt;=2,"C",IF('Data Source'!Z882&gt;=1,"D","F")))))),"")</f>
        <v/>
      </c>
      <c r="I882" s="3">
        <f>IF(AND('Data Source'!B882&lt;&gt;"",'Data Source'!S882="F"),IF('Data Source'!AA882&gt;=5,"A+",IF('Data Source'!AA882&gt;=4,"A",IF('Data Source'!AA882&gt;=3.5,"A-",IF('Data Source'!AA882&gt;=3,"B",IF('Data Source'!AA882&gt;=2,"C",IF('Data Source'!AA882&gt;=1,"D","F")))))),"")</f>
        <v/>
      </c>
      <c r="J882" s="3">
        <f>IF(AND('Data Source'!B882&lt;&gt;"",'Data Source'!S882="F"),IF('Data Source'!AB882&gt;=5,"A+",IF('Data Source'!AB882&gt;=4,"A",IF('Data Source'!AB882&gt;=3.5,"A-",IF('Data Source'!AB882&gt;=3,"B",IF('Data Source'!AB882&gt;=2,"C",IF('Data Source'!AB882&gt;=1,"D","F")))))),"")</f>
        <v/>
      </c>
      <c r="K882" s="3">
        <f>IF(AND('Data Source'!B882&lt;&gt;"",'Data Source'!S882="F"),IF('Data Source'!AC882&gt;=5,"A+",IF('Data Source'!AC882&gt;=4,"A",IF('Data Source'!AC882&gt;=3.5,"A-",IF('Data Source'!AC882&gt;=3,"B",IF('Data Source'!AC882&gt;=2,"C",IF('Data Source'!AC882&gt;=1,"D","F")))))),"")</f>
        <v/>
      </c>
      <c r="L882" s="3">
        <f>IF(AND('Data Source'!B882&lt;&gt;"",'Data Source'!S882="F"),IF('Data Source'!AD882&gt;=5,"A+",IF('Data Source'!AD882&gt;=4,"A",IF('Data Source'!AD882&gt;=3.5,"A-",IF('Data Source'!AD882&gt;=3,"B",IF('Data Source'!AD882&gt;=2,"C",IF('Data Source'!AD882&gt;=1,"D","F")))))),"")</f>
        <v/>
      </c>
      <c r="M882" s="3">
        <f>IF(AND('Data Source'!B882&lt;&gt;"",'Data Source'!S882="F"),IF('Data Source'!AE882&gt;=5,"A+",IF('Data Source'!AE882&gt;=4,"A",IF('Data Source'!AE882&gt;=3.5,"A-",IF('Data Source'!AE882&gt;=3,"B",IF('Data Source'!AE882&gt;=2,"C",IF('Data Source'!AE882&gt;=1,"D","F")))))),"")</f>
        <v/>
      </c>
      <c r="N882" s="3">
        <f>IF(AND('Data Source'!B882&lt;&gt;"",'Data Source'!S882="F"),IF('Data Source'!AF882&gt;=5,"A+",IF('Data Source'!AF882&gt;=4,"A",IF('Data Source'!AF882&gt;=3.5,"A-",IF('Data Source'!AF882&gt;=3,"B",IF('Data Source'!AF882&gt;=2,"C",IF('Data Source'!AF882&gt;=1,"D","F")))))),"")</f>
        <v/>
      </c>
      <c r="O882" s="3">
        <f>IF(AND('Data Source'!B882&lt;&gt;"",'Data Source'!S882="F"),IF('Data Source'!AG882&gt;=5,"A+",IF('Data Source'!AG882&gt;=4,"A",IF('Data Source'!AG882&gt;=3.5,"A-",IF('Data Source'!AG882&gt;=3,"B",IF('Data Source'!AG882&gt;=2,"C",IF('Data Source'!AG882&gt;=1,"D","F")))))),"")</f>
        <v/>
      </c>
      <c r="P882" s="5">
        <f>IF(AND('Data Source'!B882&lt;&gt;"",'Data Source'!S882="F"),'Data Source'!R882,"")</f>
        <v/>
      </c>
      <c r="Q882" s="3">
        <f>IF(AND('Data Source'!B882&lt;&gt;"",'Data Source'!S882="F"),'Data Source'!S882,"")</f>
        <v/>
      </c>
    </row>
    <row r="883">
      <c r="A883" s="3">
        <f>IF(AND('Data Source'!B883&lt;&gt;"",'Data Source'!S883="F"),COUNTIF('Data Source'!$S$3:S883,"F"),"")</f>
        <v/>
      </c>
      <c r="B883">
        <f>IF(AND('Data Source'!B883&lt;&gt;"",'Data Source'!S883="F"),'Data Source'!B883,"")</f>
        <v/>
      </c>
      <c r="C883" s="3">
        <f>IF(AND('Data Source'!B883&lt;&gt;"",'Data Source'!S883="F"),IF('Data Source'!U883&gt;=5,"A+",IF('Data Source'!U883&gt;=4,"A",IF('Data Source'!U883&gt;=3.5,"A-",IF('Data Source'!U883&gt;=3,"B",IF('Data Source'!U883&gt;=2,"C",IF('Data Source'!U883&gt;=1,"D","F")))))),"")</f>
        <v/>
      </c>
      <c r="D883" s="3">
        <f>IF(AND('Data Source'!B883&lt;&gt;"",'Data Source'!S883="F"),IF('Data Source'!V883&gt;=5,"A+",IF('Data Source'!V883&gt;=4,"A",IF('Data Source'!V883&gt;=3.5,"A-",IF('Data Source'!V883&gt;=3,"B",IF('Data Source'!V883&gt;=2,"C",IF('Data Source'!V883&gt;=1,"D","F")))))),"")</f>
        <v/>
      </c>
      <c r="E883" s="3">
        <f>IF(AND('Data Source'!B883&lt;&gt;"",'Data Source'!S883="F"),IF('Data Source'!W883&gt;=5,"A+",IF('Data Source'!W883&gt;=4,"A",IF('Data Source'!W883&gt;=3.5,"A-",IF('Data Source'!W883&gt;=3,"B",IF('Data Source'!W883&gt;=2,"C",IF('Data Source'!W883&gt;=1,"D","F")))))),"")</f>
        <v/>
      </c>
      <c r="F883" s="3">
        <f>IF(AND('Data Source'!B883&lt;&gt;"",'Data Source'!S883="F"),IF('Data Source'!X883&gt;=5,"A+",IF('Data Source'!X883&gt;=4,"A",IF('Data Source'!X883&gt;=3.5,"A-",IF('Data Source'!X883&gt;=3,"B",IF('Data Source'!X883&gt;=2,"C",IF('Data Source'!X883&gt;=1,"D","F")))))),"")</f>
        <v/>
      </c>
      <c r="G883" s="3">
        <f>IF(AND('Data Source'!B883&lt;&gt;"",'Data Source'!S883="F"),IF('Data Source'!Y883&gt;=5,"A+",IF('Data Source'!Y883&gt;=4,"A",IF('Data Source'!Y883&gt;=3.5,"A-",IF('Data Source'!Y883&gt;=3,"B",IF('Data Source'!Y883&gt;=2,"C",IF('Data Source'!Y883&gt;=1,"D","F")))))),"")</f>
        <v/>
      </c>
      <c r="H883" s="3">
        <f>IF(AND('Data Source'!B883&lt;&gt;"",'Data Source'!S883="F"),IF('Data Source'!Z883&gt;=5,"A+",IF('Data Source'!Z883&gt;=4,"A",IF('Data Source'!Z883&gt;=3.5,"A-",IF('Data Source'!Z883&gt;=3,"B",IF('Data Source'!Z883&gt;=2,"C",IF('Data Source'!Z883&gt;=1,"D","F")))))),"")</f>
        <v/>
      </c>
      <c r="I883" s="3">
        <f>IF(AND('Data Source'!B883&lt;&gt;"",'Data Source'!S883="F"),IF('Data Source'!AA883&gt;=5,"A+",IF('Data Source'!AA883&gt;=4,"A",IF('Data Source'!AA883&gt;=3.5,"A-",IF('Data Source'!AA883&gt;=3,"B",IF('Data Source'!AA883&gt;=2,"C",IF('Data Source'!AA883&gt;=1,"D","F")))))),"")</f>
        <v/>
      </c>
      <c r="J883" s="3">
        <f>IF(AND('Data Source'!B883&lt;&gt;"",'Data Source'!S883="F"),IF('Data Source'!AB883&gt;=5,"A+",IF('Data Source'!AB883&gt;=4,"A",IF('Data Source'!AB883&gt;=3.5,"A-",IF('Data Source'!AB883&gt;=3,"B",IF('Data Source'!AB883&gt;=2,"C",IF('Data Source'!AB883&gt;=1,"D","F")))))),"")</f>
        <v/>
      </c>
      <c r="K883" s="3">
        <f>IF(AND('Data Source'!B883&lt;&gt;"",'Data Source'!S883="F"),IF('Data Source'!AC883&gt;=5,"A+",IF('Data Source'!AC883&gt;=4,"A",IF('Data Source'!AC883&gt;=3.5,"A-",IF('Data Source'!AC883&gt;=3,"B",IF('Data Source'!AC883&gt;=2,"C",IF('Data Source'!AC883&gt;=1,"D","F")))))),"")</f>
        <v/>
      </c>
      <c r="L883" s="3">
        <f>IF(AND('Data Source'!B883&lt;&gt;"",'Data Source'!S883="F"),IF('Data Source'!AD883&gt;=5,"A+",IF('Data Source'!AD883&gt;=4,"A",IF('Data Source'!AD883&gt;=3.5,"A-",IF('Data Source'!AD883&gt;=3,"B",IF('Data Source'!AD883&gt;=2,"C",IF('Data Source'!AD883&gt;=1,"D","F")))))),"")</f>
        <v/>
      </c>
      <c r="M883" s="3">
        <f>IF(AND('Data Source'!B883&lt;&gt;"",'Data Source'!S883="F"),IF('Data Source'!AE883&gt;=5,"A+",IF('Data Source'!AE883&gt;=4,"A",IF('Data Source'!AE883&gt;=3.5,"A-",IF('Data Source'!AE883&gt;=3,"B",IF('Data Source'!AE883&gt;=2,"C",IF('Data Source'!AE883&gt;=1,"D","F")))))),"")</f>
        <v/>
      </c>
      <c r="N883" s="3">
        <f>IF(AND('Data Source'!B883&lt;&gt;"",'Data Source'!S883="F"),IF('Data Source'!AF883&gt;=5,"A+",IF('Data Source'!AF883&gt;=4,"A",IF('Data Source'!AF883&gt;=3.5,"A-",IF('Data Source'!AF883&gt;=3,"B",IF('Data Source'!AF883&gt;=2,"C",IF('Data Source'!AF883&gt;=1,"D","F")))))),"")</f>
        <v/>
      </c>
      <c r="O883" s="3">
        <f>IF(AND('Data Source'!B883&lt;&gt;"",'Data Source'!S883="F"),IF('Data Source'!AG883&gt;=5,"A+",IF('Data Source'!AG883&gt;=4,"A",IF('Data Source'!AG883&gt;=3.5,"A-",IF('Data Source'!AG883&gt;=3,"B",IF('Data Source'!AG883&gt;=2,"C",IF('Data Source'!AG883&gt;=1,"D","F")))))),"")</f>
        <v/>
      </c>
      <c r="P883" s="5">
        <f>IF(AND('Data Source'!B883&lt;&gt;"",'Data Source'!S883="F"),'Data Source'!R883,"")</f>
        <v/>
      </c>
      <c r="Q883" s="3">
        <f>IF(AND('Data Source'!B883&lt;&gt;"",'Data Source'!S883="F"),'Data Source'!S883,"")</f>
        <v/>
      </c>
    </row>
    <row r="884">
      <c r="A884" s="3">
        <f>IF(AND('Data Source'!B884&lt;&gt;"",'Data Source'!S884="F"),COUNTIF('Data Source'!$S$3:S884,"F"),"")</f>
        <v/>
      </c>
      <c r="B884">
        <f>IF(AND('Data Source'!B884&lt;&gt;"",'Data Source'!S884="F"),'Data Source'!B884,"")</f>
        <v/>
      </c>
      <c r="C884" s="3">
        <f>IF(AND('Data Source'!B884&lt;&gt;"",'Data Source'!S884="F"),IF('Data Source'!U884&gt;=5,"A+",IF('Data Source'!U884&gt;=4,"A",IF('Data Source'!U884&gt;=3.5,"A-",IF('Data Source'!U884&gt;=3,"B",IF('Data Source'!U884&gt;=2,"C",IF('Data Source'!U884&gt;=1,"D","F")))))),"")</f>
        <v/>
      </c>
      <c r="D884" s="3">
        <f>IF(AND('Data Source'!B884&lt;&gt;"",'Data Source'!S884="F"),IF('Data Source'!V884&gt;=5,"A+",IF('Data Source'!V884&gt;=4,"A",IF('Data Source'!V884&gt;=3.5,"A-",IF('Data Source'!V884&gt;=3,"B",IF('Data Source'!V884&gt;=2,"C",IF('Data Source'!V884&gt;=1,"D","F")))))),"")</f>
        <v/>
      </c>
      <c r="E884" s="3">
        <f>IF(AND('Data Source'!B884&lt;&gt;"",'Data Source'!S884="F"),IF('Data Source'!W884&gt;=5,"A+",IF('Data Source'!W884&gt;=4,"A",IF('Data Source'!W884&gt;=3.5,"A-",IF('Data Source'!W884&gt;=3,"B",IF('Data Source'!W884&gt;=2,"C",IF('Data Source'!W884&gt;=1,"D","F")))))),"")</f>
        <v/>
      </c>
      <c r="F884" s="3">
        <f>IF(AND('Data Source'!B884&lt;&gt;"",'Data Source'!S884="F"),IF('Data Source'!X884&gt;=5,"A+",IF('Data Source'!X884&gt;=4,"A",IF('Data Source'!X884&gt;=3.5,"A-",IF('Data Source'!X884&gt;=3,"B",IF('Data Source'!X884&gt;=2,"C",IF('Data Source'!X884&gt;=1,"D","F")))))),"")</f>
        <v/>
      </c>
      <c r="G884" s="3">
        <f>IF(AND('Data Source'!B884&lt;&gt;"",'Data Source'!S884="F"),IF('Data Source'!Y884&gt;=5,"A+",IF('Data Source'!Y884&gt;=4,"A",IF('Data Source'!Y884&gt;=3.5,"A-",IF('Data Source'!Y884&gt;=3,"B",IF('Data Source'!Y884&gt;=2,"C",IF('Data Source'!Y884&gt;=1,"D","F")))))),"")</f>
        <v/>
      </c>
      <c r="H884" s="3">
        <f>IF(AND('Data Source'!B884&lt;&gt;"",'Data Source'!S884="F"),IF('Data Source'!Z884&gt;=5,"A+",IF('Data Source'!Z884&gt;=4,"A",IF('Data Source'!Z884&gt;=3.5,"A-",IF('Data Source'!Z884&gt;=3,"B",IF('Data Source'!Z884&gt;=2,"C",IF('Data Source'!Z884&gt;=1,"D","F")))))),"")</f>
        <v/>
      </c>
      <c r="I884" s="3">
        <f>IF(AND('Data Source'!B884&lt;&gt;"",'Data Source'!S884="F"),IF('Data Source'!AA884&gt;=5,"A+",IF('Data Source'!AA884&gt;=4,"A",IF('Data Source'!AA884&gt;=3.5,"A-",IF('Data Source'!AA884&gt;=3,"B",IF('Data Source'!AA884&gt;=2,"C",IF('Data Source'!AA884&gt;=1,"D","F")))))),"")</f>
        <v/>
      </c>
      <c r="J884" s="3">
        <f>IF(AND('Data Source'!B884&lt;&gt;"",'Data Source'!S884="F"),IF('Data Source'!AB884&gt;=5,"A+",IF('Data Source'!AB884&gt;=4,"A",IF('Data Source'!AB884&gt;=3.5,"A-",IF('Data Source'!AB884&gt;=3,"B",IF('Data Source'!AB884&gt;=2,"C",IF('Data Source'!AB884&gt;=1,"D","F")))))),"")</f>
        <v/>
      </c>
      <c r="K884" s="3">
        <f>IF(AND('Data Source'!B884&lt;&gt;"",'Data Source'!S884="F"),IF('Data Source'!AC884&gt;=5,"A+",IF('Data Source'!AC884&gt;=4,"A",IF('Data Source'!AC884&gt;=3.5,"A-",IF('Data Source'!AC884&gt;=3,"B",IF('Data Source'!AC884&gt;=2,"C",IF('Data Source'!AC884&gt;=1,"D","F")))))),"")</f>
        <v/>
      </c>
      <c r="L884" s="3">
        <f>IF(AND('Data Source'!B884&lt;&gt;"",'Data Source'!S884="F"),IF('Data Source'!AD884&gt;=5,"A+",IF('Data Source'!AD884&gt;=4,"A",IF('Data Source'!AD884&gt;=3.5,"A-",IF('Data Source'!AD884&gt;=3,"B",IF('Data Source'!AD884&gt;=2,"C",IF('Data Source'!AD884&gt;=1,"D","F")))))),"")</f>
        <v/>
      </c>
      <c r="M884" s="3">
        <f>IF(AND('Data Source'!B884&lt;&gt;"",'Data Source'!S884="F"),IF('Data Source'!AE884&gt;=5,"A+",IF('Data Source'!AE884&gt;=4,"A",IF('Data Source'!AE884&gt;=3.5,"A-",IF('Data Source'!AE884&gt;=3,"B",IF('Data Source'!AE884&gt;=2,"C",IF('Data Source'!AE884&gt;=1,"D","F")))))),"")</f>
        <v/>
      </c>
      <c r="N884" s="3">
        <f>IF(AND('Data Source'!B884&lt;&gt;"",'Data Source'!S884="F"),IF('Data Source'!AF884&gt;=5,"A+",IF('Data Source'!AF884&gt;=4,"A",IF('Data Source'!AF884&gt;=3.5,"A-",IF('Data Source'!AF884&gt;=3,"B",IF('Data Source'!AF884&gt;=2,"C",IF('Data Source'!AF884&gt;=1,"D","F")))))),"")</f>
        <v/>
      </c>
      <c r="O884" s="3">
        <f>IF(AND('Data Source'!B884&lt;&gt;"",'Data Source'!S884="F"),IF('Data Source'!AG884&gt;=5,"A+",IF('Data Source'!AG884&gt;=4,"A",IF('Data Source'!AG884&gt;=3.5,"A-",IF('Data Source'!AG884&gt;=3,"B",IF('Data Source'!AG884&gt;=2,"C",IF('Data Source'!AG884&gt;=1,"D","F")))))),"")</f>
        <v/>
      </c>
      <c r="P884" s="5">
        <f>IF(AND('Data Source'!B884&lt;&gt;"",'Data Source'!S884="F"),'Data Source'!R884,"")</f>
        <v/>
      </c>
      <c r="Q884" s="3">
        <f>IF(AND('Data Source'!B884&lt;&gt;"",'Data Source'!S884="F"),'Data Source'!S884,"")</f>
        <v/>
      </c>
    </row>
    <row r="885">
      <c r="A885" s="3">
        <f>IF(AND('Data Source'!B885&lt;&gt;"",'Data Source'!S885="F"),COUNTIF('Data Source'!$S$3:S885,"F"),"")</f>
        <v/>
      </c>
      <c r="B885">
        <f>IF(AND('Data Source'!B885&lt;&gt;"",'Data Source'!S885="F"),'Data Source'!B885,"")</f>
        <v/>
      </c>
      <c r="C885" s="3">
        <f>IF(AND('Data Source'!B885&lt;&gt;"",'Data Source'!S885="F"),IF('Data Source'!U885&gt;=5,"A+",IF('Data Source'!U885&gt;=4,"A",IF('Data Source'!U885&gt;=3.5,"A-",IF('Data Source'!U885&gt;=3,"B",IF('Data Source'!U885&gt;=2,"C",IF('Data Source'!U885&gt;=1,"D","F")))))),"")</f>
        <v/>
      </c>
      <c r="D885" s="3">
        <f>IF(AND('Data Source'!B885&lt;&gt;"",'Data Source'!S885="F"),IF('Data Source'!V885&gt;=5,"A+",IF('Data Source'!V885&gt;=4,"A",IF('Data Source'!V885&gt;=3.5,"A-",IF('Data Source'!V885&gt;=3,"B",IF('Data Source'!V885&gt;=2,"C",IF('Data Source'!V885&gt;=1,"D","F")))))),"")</f>
        <v/>
      </c>
      <c r="E885" s="3">
        <f>IF(AND('Data Source'!B885&lt;&gt;"",'Data Source'!S885="F"),IF('Data Source'!W885&gt;=5,"A+",IF('Data Source'!W885&gt;=4,"A",IF('Data Source'!W885&gt;=3.5,"A-",IF('Data Source'!W885&gt;=3,"B",IF('Data Source'!W885&gt;=2,"C",IF('Data Source'!W885&gt;=1,"D","F")))))),"")</f>
        <v/>
      </c>
      <c r="F885" s="3">
        <f>IF(AND('Data Source'!B885&lt;&gt;"",'Data Source'!S885="F"),IF('Data Source'!X885&gt;=5,"A+",IF('Data Source'!X885&gt;=4,"A",IF('Data Source'!X885&gt;=3.5,"A-",IF('Data Source'!X885&gt;=3,"B",IF('Data Source'!X885&gt;=2,"C",IF('Data Source'!X885&gt;=1,"D","F")))))),"")</f>
        <v/>
      </c>
      <c r="G885" s="3">
        <f>IF(AND('Data Source'!B885&lt;&gt;"",'Data Source'!S885="F"),IF('Data Source'!Y885&gt;=5,"A+",IF('Data Source'!Y885&gt;=4,"A",IF('Data Source'!Y885&gt;=3.5,"A-",IF('Data Source'!Y885&gt;=3,"B",IF('Data Source'!Y885&gt;=2,"C",IF('Data Source'!Y885&gt;=1,"D","F")))))),"")</f>
        <v/>
      </c>
      <c r="H885" s="3">
        <f>IF(AND('Data Source'!B885&lt;&gt;"",'Data Source'!S885="F"),IF('Data Source'!Z885&gt;=5,"A+",IF('Data Source'!Z885&gt;=4,"A",IF('Data Source'!Z885&gt;=3.5,"A-",IF('Data Source'!Z885&gt;=3,"B",IF('Data Source'!Z885&gt;=2,"C",IF('Data Source'!Z885&gt;=1,"D","F")))))),"")</f>
        <v/>
      </c>
      <c r="I885" s="3">
        <f>IF(AND('Data Source'!B885&lt;&gt;"",'Data Source'!S885="F"),IF('Data Source'!AA885&gt;=5,"A+",IF('Data Source'!AA885&gt;=4,"A",IF('Data Source'!AA885&gt;=3.5,"A-",IF('Data Source'!AA885&gt;=3,"B",IF('Data Source'!AA885&gt;=2,"C",IF('Data Source'!AA885&gt;=1,"D","F")))))),"")</f>
        <v/>
      </c>
      <c r="J885" s="3">
        <f>IF(AND('Data Source'!B885&lt;&gt;"",'Data Source'!S885="F"),IF('Data Source'!AB885&gt;=5,"A+",IF('Data Source'!AB885&gt;=4,"A",IF('Data Source'!AB885&gt;=3.5,"A-",IF('Data Source'!AB885&gt;=3,"B",IF('Data Source'!AB885&gt;=2,"C",IF('Data Source'!AB885&gt;=1,"D","F")))))),"")</f>
        <v/>
      </c>
      <c r="K885" s="3">
        <f>IF(AND('Data Source'!B885&lt;&gt;"",'Data Source'!S885="F"),IF('Data Source'!AC885&gt;=5,"A+",IF('Data Source'!AC885&gt;=4,"A",IF('Data Source'!AC885&gt;=3.5,"A-",IF('Data Source'!AC885&gt;=3,"B",IF('Data Source'!AC885&gt;=2,"C",IF('Data Source'!AC885&gt;=1,"D","F")))))),"")</f>
        <v/>
      </c>
      <c r="L885" s="3">
        <f>IF(AND('Data Source'!B885&lt;&gt;"",'Data Source'!S885="F"),IF('Data Source'!AD885&gt;=5,"A+",IF('Data Source'!AD885&gt;=4,"A",IF('Data Source'!AD885&gt;=3.5,"A-",IF('Data Source'!AD885&gt;=3,"B",IF('Data Source'!AD885&gt;=2,"C",IF('Data Source'!AD885&gt;=1,"D","F")))))),"")</f>
        <v/>
      </c>
      <c r="M885" s="3">
        <f>IF(AND('Data Source'!B885&lt;&gt;"",'Data Source'!S885="F"),IF('Data Source'!AE885&gt;=5,"A+",IF('Data Source'!AE885&gt;=4,"A",IF('Data Source'!AE885&gt;=3.5,"A-",IF('Data Source'!AE885&gt;=3,"B",IF('Data Source'!AE885&gt;=2,"C",IF('Data Source'!AE885&gt;=1,"D","F")))))),"")</f>
        <v/>
      </c>
      <c r="N885" s="3">
        <f>IF(AND('Data Source'!B885&lt;&gt;"",'Data Source'!S885="F"),IF('Data Source'!AF885&gt;=5,"A+",IF('Data Source'!AF885&gt;=4,"A",IF('Data Source'!AF885&gt;=3.5,"A-",IF('Data Source'!AF885&gt;=3,"B",IF('Data Source'!AF885&gt;=2,"C",IF('Data Source'!AF885&gt;=1,"D","F")))))),"")</f>
        <v/>
      </c>
      <c r="O885" s="3">
        <f>IF(AND('Data Source'!B885&lt;&gt;"",'Data Source'!S885="F"),IF('Data Source'!AG885&gt;=5,"A+",IF('Data Source'!AG885&gt;=4,"A",IF('Data Source'!AG885&gt;=3.5,"A-",IF('Data Source'!AG885&gt;=3,"B",IF('Data Source'!AG885&gt;=2,"C",IF('Data Source'!AG885&gt;=1,"D","F")))))),"")</f>
        <v/>
      </c>
      <c r="P885" s="5">
        <f>IF(AND('Data Source'!B885&lt;&gt;"",'Data Source'!S885="F"),'Data Source'!R885,"")</f>
        <v/>
      </c>
      <c r="Q885" s="3">
        <f>IF(AND('Data Source'!B885&lt;&gt;"",'Data Source'!S885="F"),'Data Source'!S885,"")</f>
        <v/>
      </c>
    </row>
    <row r="886">
      <c r="A886" s="3">
        <f>IF(AND('Data Source'!B886&lt;&gt;"",'Data Source'!S886="F"),COUNTIF('Data Source'!$S$3:S886,"F"),"")</f>
        <v/>
      </c>
      <c r="B886">
        <f>IF(AND('Data Source'!B886&lt;&gt;"",'Data Source'!S886="F"),'Data Source'!B886,"")</f>
        <v/>
      </c>
      <c r="C886" s="3">
        <f>IF(AND('Data Source'!B886&lt;&gt;"",'Data Source'!S886="F"),IF('Data Source'!U886&gt;=5,"A+",IF('Data Source'!U886&gt;=4,"A",IF('Data Source'!U886&gt;=3.5,"A-",IF('Data Source'!U886&gt;=3,"B",IF('Data Source'!U886&gt;=2,"C",IF('Data Source'!U886&gt;=1,"D","F")))))),"")</f>
        <v/>
      </c>
      <c r="D886" s="3">
        <f>IF(AND('Data Source'!B886&lt;&gt;"",'Data Source'!S886="F"),IF('Data Source'!V886&gt;=5,"A+",IF('Data Source'!V886&gt;=4,"A",IF('Data Source'!V886&gt;=3.5,"A-",IF('Data Source'!V886&gt;=3,"B",IF('Data Source'!V886&gt;=2,"C",IF('Data Source'!V886&gt;=1,"D","F")))))),"")</f>
        <v/>
      </c>
      <c r="E886" s="3">
        <f>IF(AND('Data Source'!B886&lt;&gt;"",'Data Source'!S886="F"),IF('Data Source'!W886&gt;=5,"A+",IF('Data Source'!W886&gt;=4,"A",IF('Data Source'!W886&gt;=3.5,"A-",IF('Data Source'!W886&gt;=3,"B",IF('Data Source'!W886&gt;=2,"C",IF('Data Source'!W886&gt;=1,"D","F")))))),"")</f>
        <v/>
      </c>
      <c r="F886" s="3">
        <f>IF(AND('Data Source'!B886&lt;&gt;"",'Data Source'!S886="F"),IF('Data Source'!X886&gt;=5,"A+",IF('Data Source'!X886&gt;=4,"A",IF('Data Source'!X886&gt;=3.5,"A-",IF('Data Source'!X886&gt;=3,"B",IF('Data Source'!X886&gt;=2,"C",IF('Data Source'!X886&gt;=1,"D","F")))))),"")</f>
        <v/>
      </c>
      <c r="G886" s="3">
        <f>IF(AND('Data Source'!B886&lt;&gt;"",'Data Source'!S886="F"),IF('Data Source'!Y886&gt;=5,"A+",IF('Data Source'!Y886&gt;=4,"A",IF('Data Source'!Y886&gt;=3.5,"A-",IF('Data Source'!Y886&gt;=3,"B",IF('Data Source'!Y886&gt;=2,"C",IF('Data Source'!Y886&gt;=1,"D","F")))))),"")</f>
        <v/>
      </c>
      <c r="H886" s="3">
        <f>IF(AND('Data Source'!B886&lt;&gt;"",'Data Source'!S886="F"),IF('Data Source'!Z886&gt;=5,"A+",IF('Data Source'!Z886&gt;=4,"A",IF('Data Source'!Z886&gt;=3.5,"A-",IF('Data Source'!Z886&gt;=3,"B",IF('Data Source'!Z886&gt;=2,"C",IF('Data Source'!Z886&gt;=1,"D","F")))))),"")</f>
        <v/>
      </c>
      <c r="I886" s="3">
        <f>IF(AND('Data Source'!B886&lt;&gt;"",'Data Source'!S886="F"),IF('Data Source'!AA886&gt;=5,"A+",IF('Data Source'!AA886&gt;=4,"A",IF('Data Source'!AA886&gt;=3.5,"A-",IF('Data Source'!AA886&gt;=3,"B",IF('Data Source'!AA886&gt;=2,"C",IF('Data Source'!AA886&gt;=1,"D","F")))))),"")</f>
        <v/>
      </c>
      <c r="J886" s="3">
        <f>IF(AND('Data Source'!B886&lt;&gt;"",'Data Source'!S886="F"),IF('Data Source'!AB886&gt;=5,"A+",IF('Data Source'!AB886&gt;=4,"A",IF('Data Source'!AB886&gt;=3.5,"A-",IF('Data Source'!AB886&gt;=3,"B",IF('Data Source'!AB886&gt;=2,"C",IF('Data Source'!AB886&gt;=1,"D","F")))))),"")</f>
        <v/>
      </c>
      <c r="K886" s="3">
        <f>IF(AND('Data Source'!B886&lt;&gt;"",'Data Source'!S886="F"),IF('Data Source'!AC886&gt;=5,"A+",IF('Data Source'!AC886&gt;=4,"A",IF('Data Source'!AC886&gt;=3.5,"A-",IF('Data Source'!AC886&gt;=3,"B",IF('Data Source'!AC886&gt;=2,"C",IF('Data Source'!AC886&gt;=1,"D","F")))))),"")</f>
        <v/>
      </c>
      <c r="L886" s="3">
        <f>IF(AND('Data Source'!B886&lt;&gt;"",'Data Source'!S886="F"),IF('Data Source'!AD886&gt;=5,"A+",IF('Data Source'!AD886&gt;=4,"A",IF('Data Source'!AD886&gt;=3.5,"A-",IF('Data Source'!AD886&gt;=3,"B",IF('Data Source'!AD886&gt;=2,"C",IF('Data Source'!AD886&gt;=1,"D","F")))))),"")</f>
        <v/>
      </c>
      <c r="M886" s="3">
        <f>IF(AND('Data Source'!B886&lt;&gt;"",'Data Source'!S886="F"),IF('Data Source'!AE886&gt;=5,"A+",IF('Data Source'!AE886&gt;=4,"A",IF('Data Source'!AE886&gt;=3.5,"A-",IF('Data Source'!AE886&gt;=3,"B",IF('Data Source'!AE886&gt;=2,"C",IF('Data Source'!AE886&gt;=1,"D","F")))))),"")</f>
        <v/>
      </c>
      <c r="N886" s="3">
        <f>IF(AND('Data Source'!B886&lt;&gt;"",'Data Source'!S886="F"),IF('Data Source'!AF886&gt;=5,"A+",IF('Data Source'!AF886&gt;=4,"A",IF('Data Source'!AF886&gt;=3.5,"A-",IF('Data Source'!AF886&gt;=3,"B",IF('Data Source'!AF886&gt;=2,"C",IF('Data Source'!AF886&gt;=1,"D","F")))))),"")</f>
        <v/>
      </c>
      <c r="O886" s="3">
        <f>IF(AND('Data Source'!B886&lt;&gt;"",'Data Source'!S886="F"),IF('Data Source'!AG886&gt;=5,"A+",IF('Data Source'!AG886&gt;=4,"A",IF('Data Source'!AG886&gt;=3.5,"A-",IF('Data Source'!AG886&gt;=3,"B",IF('Data Source'!AG886&gt;=2,"C",IF('Data Source'!AG886&gt;=1,"D","F")))))),"")</f>
        <v/>
      </c>
      <c r="P886" s="5">
        <f>IF(AND('Data Source'!B886&lt;&gt;"",'Data Source'!S886="F"),'Data Source'!R886,"")</f>
        <v/>
      </c>
      <c r="Q886" s="3">
        <f>IF(AND('Data Source'!B886&lt;&gt;"",'Data Source'!S886="F"),'Data Source'!S886,"")</f>
        <v/>
      </c>
    </row>
    <row r="887">
      <c r="A887" s="3">
        <f>IF(AND('Data Source'!B887&lt;&gt;"",'Data Source'!S887="F"),COUNTIF('Data Source'!$S$3:S887,"F"),"")</f>
        <v/>
      </c>
      <c r="B887">
        <f>IF(AND('Data Source'!B887&lt;&gt;"",'Data Source'!S887="F"),'Data Source'!B887,"")</f>
        <v/>
      </c>
      <c r="C887" s="3">
        <f>IF(AND('Data Source'!B887&lt;&gt;"",'Data Source'!S887="F"),IF('Data Source'!U887&gt;=5,"A+",IF('Data Source'!U887&gt;=4,"A",IF('Data Source'!U887&gt;=3.5,"A-",IF('Data Source'!U887&gt;=3,"B",IF('Data Source'!U887&gt;=2,"C",IF('Data Source'!U887&gt;=1,"D","F")))))),"")</f>
        <v/>
      </c>
      <c r="D887" s="3">
        <f>IF(AND('Data Source'!B887&lt;&gt;"",'Data Source'!S887="F"),IF('Data Source'!V887&gt;=5,"A+",IF('Data Source'!V887&gt;=4,"A",IF('Data Source'!V887&gt;=3.5,"A-",IF('Data Source'!V887&gt;=3,"B",IF('Data Source'!V887&gt;=2,"C",IF('Data Source'!V887&gt;=1,"D","F")))))),"")</f>
        <v/>
      </c>
      <c r="E887" s="3">
        <f>IF(AND('Data Source'!B887&lt;&gt;"",'Data Source'!S887="F"),IF('Data Source'!W887&gt;=5,"A+",IF('Data Source'!W887&gt;=4,"A",IF('Data Source'!W887&gt;=3.5,"A-",IF('Data Source'!W887&gt;=3,"B",IF('Data Source'!W887&gt;=2,"C",IF('Data Source'!W887&gt;=1,"D","F")))))),"")</f>
        <v/>
      </c>
      <c r="F887" s="3">
        <f>IF(AND('Data Source'!B887&lt;&gt;"",'Data Source'!S887="F"),IF('Data Source'!X887&gt;=5,"A+",IF('Data Source'!X887&gt;=4,"A",IF('Data Source'!X887&gt;=3.5,"A-",IF('Data Source'!X887&gt;=3,"B",IF('Data Source'!X887&gt;=2,"C",IF('Data Source'!X887&gt;=1,"D","F")))))),"")</f>
        <v/>
      </c>
      <c r="G887" s="3">
        <f>IF(AND('Data Source'!B887&lt;&gt;"",'Data Source'!S887="F"),IF('Data Source'!Y887&gt;=5,"A+",IF('Data Source'!Y887&gt;=4,"A",IF('Data Source'!Y887&gt;=3.5,"A-",IF('Data Source'!Y887&gt;=3,"B",IF('Data Source'!Y887&gt;=2,"C",IF('Data Source'!Y887&gt;=1,"D","F")))))),"")</f>
        <v/>
      </c>
      <c r="H887" s="3">
        <f>IF(AND('Data Source'!B887&lt;&gt;"",'Data Source'!S887="F"),IF('Data Source'!Z887&gt;=5,"A+",IF('Data Source'!Z887&gt;=4,"A",IF('Data Source'!Z887&gt;=3.5,"A-",IF('Data Source'!Z887&gt;=3,"B",IF('Data Source'!Z887&gt;=2,"C",IF('Data Source'!Z887&gt;=1,"D","F")))))),"")</f>
        <v/>
      </c>
      <c r="I887" s="3">
        <f>IF(AND('Data Source'!B887&lt;&gt;"",'Data Source'!S887="F"),IF('Data Source'!AA887&gt;=5,"A+",IF('Data Source'!AA887&gt;=4,"A",IF('Data Source'!AA887&gt;=3.5,"A-",IF('Data Source'!AA887&gt;=3,"B",IF('Data Source'!AA887&gt;=2,"C",IF('Data Source'!AA887&gt;=1,"D","F")))))),"")</f>
        <v/>
      </c>
      <c r="J887" s="3">
        <f>IF(AND('Data Source'!B887&lt;&gt;"",'Data Source'!S887="F"),IF('Data Source'!AB887&gt;=5,"A+",IF('Data Source'!AB887&gt;=4,"A",IF('Data Source'!AB887&gt;=3.5,"A-",IF('Data Source'!AB887&gt;=3,"B",IF('Data Source'!AB887&gt;=2,"C",IF('Data Source'!AB887&gt;=1,"D","F")))))),"")</f>
        <v/>
      </c>
      <c r="K887" s="3">
        <f>IF(AND('Data Source'!B887&lt;&gt;"",'Data Source'!S887="F"),IF('Data Source'!AC887&gt;=5,"A+",IF('Data Source'!AC887&gt;=4,"A",IF('Data Source'!AC887&gt;=3.5,"A-",IF('Data Source'!AC887&gt;=3,"B",IF('Data Source'!AC887&gt;=2,"C",IF('Data Source'!AC887&gt;=1,"D","F")))))),"")</f>
        <v/>
      </c>
      <c r="L887" s="3">
        <f>IF(AND('Data Source'!B887&lt;&gt;"",'Data Source'!S887="F"),IF('Data Source'!AD887&gt;=5,"A+",IF('Data Source'!AD887&gt;=4,"A",IF('Data Source'!AD887&gt;=3.5,"A-",IF('Data Source'!AD887&gt;=3,"B",IF('Data Source'!AD887&gt;=2,"C",IF('Data Source'!AD887&gt;=1,"D","F")))))),"")</f>
        <v/>
      </c>
      <c r="M887" s="3">
        <f>IF(AND('Data Source'!B887&lt;&gt;"",'Data Source'!S887="F"),IF('Data Source'!AE887&gt;=5,"A+",IF('Data Source'!AE887&gt;=4,"A",IF('Data Source'!AE887&gt;=3.5,"A-",IF('Data Source'!AE887&gt;=3,"B",IF('Data Source'!AE887&gt;=2,"C",IF('Data Source'!AE887&gt;=1,"D","F")))))),"")</f>
        <v/>
      </c>
      <c r="N887" s="3">
        <f>IF(AND('Data Source'!B887&lt;&gt;"",'Data Source'!S887="F"),IF('Data Source'!AF887&gt;=5,"A+",IF('Data Source'!AF887&gt;=4,"A",IF('Data Source'!AF887&gt;=3.5,"A-",IF('Data Source'!AF887&gt;=3,"B",IF('Data Source'!AF887&gt;=2,"C",IF('Data Source'!AF887&gt;=1,"D","F")))))),"")</f>
        <v/>
      </c>
      <c r="O887" s="3">
        <f>IF(AND('Data Source'!B887&lt;&gt;"",'Data Source'!S887="F"),IF('Data Source'!AG887&gt;=5,"A+",IF('Data Source'!AG887&gt;=4,"A",IF('Data Source'!AG887&gt;=3.5,"A-",IF('Data Source'!AG887&gt;=3,"B",IF('Data Source'!AG887&gt;=2,"C",IF('Data Source'!AG887&gt;=1,"D","F")))))),"")</f>
        <v/>
      </c>
      <c r="P887" s="5">
        <f>IF(AND('Data Source'!B887&lt;&gt;"",'Data Source'!S887="F"),'Data Source'!R887,"")</f>
        <v/>
      </c>
      <c r="Q887" s="3">
        <f>IF(AND('Data Source'!B887&lt;&gt;"",'Data Source'!S887="F"),'Data Source'!S887,"")</f>
        <v/>
      </c>
    </row>
    <row r="888">
      <c r="A888" s="3">
        <f>IF(AND('Data Source'!B888&lt;&gt;"",'Data Source'!S888="F"),COUNTIF('Data Source'!$S$3:S888,"F"),"")</f>
        <v/>
      </c>
      <c r="B888">
        <f>IF(AND('Data Source'!B888&lt;&gt;"",'Data Source'!S888="F"),'Data Source'!B888,"")</f>
        <v/>
      </c>
      <c r="C888" s="3">
        <f>IF(AND('Data Source'!B888&lt;&gt;"",'Data Source'!S888="F"),IF('Data Source'!U888&gt;=5,"A+",IF('Data Source'!U888&gt;=4,"A",IF('Data Source'!U888&gt;=3.5,"A-",IF('Data Source'!U888&gt;=3,"B",IF('Data Source'!U888&gt;=2,"C",IF('Data Source'!U888&gt;=1,"D","F")))))),"")</f>
        <v/>
      </c>
      <c r="D888" s="3">
        <f>IF(AND('Data Source'!B888&lt;&gt;"",'Data Source'!S888="F"),IF('Data Source'!V888&gt;=5,"A+",IF('Data Source'!V888&gt;=4,"A",IF('Data Source'!V888&gt;=3.5,"A-",IF('Data Source'!V888&gt;=3,"B",IF('Data Source'!V888&gt;=2,"C",IF('Data Source'!V888&gt;=1,"D","F")))))),"")</f>
        <v/>
      </c>
      <c r="E888" s="3">
        <f>IF(AND('Data Source'!B888&lt;&gt;"",'Data Source'!S888="F"),IF('Data Source'!W888&gt;=5,"A+",IF('Data Source'!W888&gt;=4,"A",IF('Data Source'!W888&gt;=3.5,"A-",IF('Data Source'!W888&gt;=3,"B",IF('Data Source'!W888&gt;=2,"C",IF('Data Source'!W888&gt;=1,"D","F")))))),"")</f>
        <v/>
      </c>
      <c r="F888" s="3">
        <f>IF(AND('Data Source'!B888&lt;&gt;"",'Data Source'!S888="F"),IF('Data Source'!X888&gt;=5,"A+",IF('Data Source'!X888&gt;=4,"A",IF('Data Source'!X888&gt;=3.5,"A-",IF('Data Source'!X888&gt;=3,"B",IF('Data Source'!X888&gt;=2,"C",IF('Data Source'!X888&gt;=1,"D","F")))))),"")</f>
        <v/>
      </c>
      <c r="G888" s="3">
        <f>IF(AND('Data Source'!B888&lt;&gt;"",'Data Source'!S888="F"),IF('Data Source'!Y888&gt;=5,"A+",IF('Data Source'!Y888&gt;=4,"A",IF('Data Source'!Y888&gt;=3.5,"A-",IF('Data Source'!Y888&gt;=3,"B",IF('Data Source'!Y888&gt;=2,"C",IF('Data Source'!Y888&gt;=1,"D","F")))))),"")</f>
        <v/>
      </c>
      <c r="H888" s="3">
        <f>IF(AND('Data Source'!B888&lt;&gt;"",'Data Source'!S888="F"),IF('Data Source'!Z888&gt;=5,"A+",IF('Data Source'!Z888&gt;=4,"A",IF('Data Source'!Z888&gt;=3.5,"A-",IF('Data Source'!Z888&gt;=3,"B",IF('Data Source'!Z888&gt;=2,"C",IF('Data Source'!Z888&gt;=1,"D","F")))))),"")</f>
        <v/>
      </c>
      <c r="I888" s="3">
        <f>IF(AND('Data Source'!B888&lt;&gt;"",'Data Source'!S888="F"),IF('Data Source'!AA888&gt;=5,"A+",IF('Data Source'!AA888&gt;=4,"A",IF('Data Source'!AA888&gt;=3.5,"A-",IF('Data Source'!AA888&gt;=3,"B",IF('Data Source'!AA888&gt;=2,"C",IF('Data Source'!AA888&gt;=1,"D","F")))))),"")</f>
        <v/>
      </c>
      <c r="J888" s="3">
        <f>IF(AND('Data Source'!B888&lt;&gt;"",'Data Source'!S888="F"),IF('Data Source'!AB888&gt;=5,"A+",IF('Data Source'!AB888&gt;=4,"A",IF('Data Source'!AB888&gt;=3.5,"A-",IF('Data Source'!AB888&gt;=3,"B",IF('Data Source'!AB888&gt;=2,"C",IF('Data Source'!AB888&gt;=1,"D","F")))))),"")</f>
        <v/>
      </c>
      <c r="K888" s="3">
        <f>IF(AND('Data Source'!B888&lt;&gt;"",'Data Source'!S888="F"),IF('Data Source'!AC888&gt;=5,"A+",IF('Data Source'!AC888&gt;=4,"A",IF('Data Source'!AC888&gt;=3.5,"A-",IF('Data Source'!AC888&gt;=3,"B",IF('Data Source'!AC888&gt;=2,"C",IF('Data Source'!AC888&gt;=1,"D","F")))))),"")</f>
        <v/>
      </c>
      <c r="L888" s="3">
        <f>IF(AND('Data Source'!B888&lt;&gt;"",'Data Source'!S888="F"),IF('Data Source'!AD888&gt;=5,"A+",IF('Data Source'!AD888&gt;=4,"A",IF('Data Source'!AD888&gt;=3.5,"A-",IF('Data Source'!AD888&gt;=3,"B",IF('Data Source'!AD888&gt;=2,"C",IF('Data Source'!AD888&gt;=1,"D","F")))))),"")</f>
        <v/>
      </c>
      <c r="M888" s="3">
        <f>IF(AND('Data Source'!B888&lt;&gt;"",'Data Source'!S888="F"),IF('Data Source'!AE888&gt;=5,"A+",IF('Data Source'!AE888&gt;=4,"A",IF('Data Source'!AE888&gt;=3.5,"A-",IF('Data Source'!AE888&gt;=3,"B",IF('Data Source'!AE888&gt;=2,"C",IF('Data Source'!AE888&gt;=1,"D","F")))))),"")</f>
        <v/>
      </c>
      <c r="N888" s="3">
        <f>IF(AND('Data Source'!B888&lt;&gt;"",'Data Source'!S888="F"),IF('Data Source'!AF888&gt;=5,"A+",IF('Data Source'!AF888&gt;=4,"A",IF('Data Source'!AF888&gt;=3.5,"A-",IF('Data Source'!AF888&gt;=3,"B",IF('Data Source'!AF888&gt;=2,"C",IF('Data Source'!AF888&gt;=1,"D","F")))))),"")</f>
        <v/>
      </c>
      <c r="O888" s="3">
        <f>IF(AND('Data Source'!B888&lt;&gt;"",'Data Source'!S888="F"),IF('Data Source'!AG888&gt;=5,"A+",IF('Data Source'!AG888&gt;=4,"A",IF('Data Source'!AG888&gt;=3.5,"A-",IF('Data Source'!AG888&gt;=3,"B",IF('Data Source'!AG888&gt;=2,"C",IF('Data Source'!AG888&gt;=1,"D","F")))))),"")</f>
        <v/>
      </c>
      <c r="P888" s="5">
        <f>IF(AND('Data Source'!B888&lt;&gt;"",'Data Source'!S888="F"),'Data Source'!R888,"")</f>
        <v/>
      </c>
      <c r="Q888" s="3">
        <f>IF(AND('Data Source'!B888&lt;&gt;"",'Data Source'!S888="F"),'Data Source'!S888,"")</f>
        <v/>
      </c>
    </row>
    <row r="889">
      <c r="A889" s="3">
        <f>IF(AND('Data Source'!B889&lt;&gt;"",'Data Source'!S889="F"),COUNTIF('Data Source'!$S$3:S889,"F"),"")</f>
        <v/>
      </c>
      <c r="B889">
        <f>IF(AND('Data Source'!B889&lt;&gt;"",'Data Source'!S889="F"),'Data Source'!B889,"")</f>
        <v/>
      </c>
      <c r="C889" s="3">
        <f>IF(AND('Data Source'!B889&lt;&gt;"",'Data Source'!S889="F"),IF('Data Source'!U889&gt;=5,"A+",IF('Data Source'!U889&gt;=4,"A",IF('Data Source'!U889&gt;=3.5,"A-",IF('Data Source'!U889&gt;=3,"B",IF('Data Source'!U889&gt;=2,"C",IF('Data Source'!U889&gt;=1,"D","F")))))),"")</f>
        <v/>
      </c>
      <c r="D889" s="3">
        <f>IF(AND('Data Source'!B889&lt;&gt;"",'Data Source'!S889="F"),IF('Data Source'!V889&gt;=5,"A+",IF('Data Source'!V889&gt;=4,"A",IF('Data Source'!V889&gt;=3.5,"A-",IF('Data Source'!V889&gt;=3,"B",IF('Data Source'!V889&gt;=2,"C",IF('Data Source'!V889&gt;=1,"D","F")))))),"")</f>
        <v/>
      </c>
      <c r="E889" s="3">
        <f>IF(AND('Data Source'!B889&lt;&gt;"",'Data Source'!S889="F"),IF('Data Source'!W889&gt;=5,"A+",IF('Data Source'!W889&gt;=4,"A",IF('Data Source'!W889&gt;=3.5,"A-",IF('Data Source'!W889&gt;=3,"B",IF('Data Source'!W889&gt;=2,"C",IF('Data Source'!W889&gt;=1,"D","F")))))),"")</f>
        <v/>
      </c>
      <c r="F889" s="3">
        <f>IF(AND('Data Source'!B889&lt;&gt;"",'Data Source'!S889="F"),IF('Data Source'!X889&gt;=5,"A+",IF('Data Source'!X889&gt;=4,"A",IF('Data Source'!X889&gt;=3.5,"A-",IF('Data Source'!X889&gt;=3,"B",IF('Data Source'!X889&gt;=2,"C",IF('Data Source'!X889&gt;=1,"D","F")))))),"")</f>
        <v/>
      </c>
      <c r="G889" s="3">
        <f>IF(AND('Data Source'!B889&lt;&gt;"",'Data Source'!S889="F"),IF('Data Source'!Y889&gt;=5,"A+",IF('Data Source'!Y889&gt;=4,"A",IF('Data Source'!Y889&gt;=3.5,"A-",IF('Data Source'!Y889&gt;=3,"B",IF('Data Source'!Y889&gt;=2,"C",IF('Data Source'!Y889&gt;=1,"D","F")))))),"")</f>
        <v/>
      </c>
      <c r="H889" s="3">
        <f>IF(AND('Data Source'!B889&lt;&gt;"",'Data Source'!S889="F"),IF('Data Source'!Z889&gt;=5,"A+",IF('Data Source'!Z889&gt;=4,"A",IF('Data Source'!Z889&gt;=3.5,"A-",IF('Data Source'!Z889&gt;=3,"B",IF('Data Source'!Z889&gt;=2,"C",IF('Data Source'!Z889&gt;=1,"D","F")))))),"")</f>
        <v/>
      </c>
      <c r="I889" s="3">
        <f>IF(AND('Data Source'!B889&lt;&gt;"",'Data Source'!S889="F"),IF('Data Source'!AA889&gt;=5,"A+",IF('Data Source'!AA889&gt;=4,"A",IF('Data Source'!AA889&gt;=3.5,"A-",IF('Data Source'!AA889&gt;=3,"B",IF('Data Source'!AA889&gt;=2,"C",IF('Data Source'!AA889&gt;=1,"D","F")))))),"")</f>
        <v/>
      </c>
      <c r="J889" s="3">
        <f>IF(AND('Data Source'!B889&lt;&gt;"",'Data Source'!S889="F"),IF('Data Source'!AB889&gt;=5,"A+",IF('Data Source'!AB889&gt;=4,"A",IF('Data Source'!AB889&gt;=3.5,"A-",IF('Data Source'!AB889&gt;=3,"B",IF('Data Source'!AB889&gt;=2,"C",IF('Data Source'!AB889&gt;=1,"D","F")))))),"")</f>
        <v/>
      </c>
      <c r="K889" s="3">
        <f>IF(AND('Data Source'!B889&lt;&gt;"",'Data Source'!S889="F"),IF('Data Source'!AC889&gt;=5,"A+",IF('Data Source'!AC889&gt;=4,"A",IF('Data Source'!AC889&gt;=3.5,"A-",IF('Data Source'!AC889&gt;=3,"B",IF('Data Source'!AC889&gt;=2,"C",IF('Data Source'!AC889&gt;=1,"D","F")))))),"")</f>
        <v/>
      </c>
      <c r="L889" s="3">
        <f>IF(AND('Data Source'!B889&lt;&gt;"",'Data Source'!S889="F"),IF('Data Source'!AD889&gt;=5,"A+",IF('Data Source'!AD889&gt;=4,"A",IF('Data Source'!AD889&gt;=3.5,"A-",IF('Data Source'!AD889&gt;=3,"B",IF('Data Source'!AD889&gt;=2,"C",IF('Data Source'!AD889&gt;=1,"D","F")))))),"")</f>
        <v/>
      </c>
      <c r="M889" s="3">
        <f>IF(AND('Data Source'!B889&lt;&gt;"",'Data Source'!S889="F"),IF('Data Source'!AE889&gt;=5,"A+",IF('Data Source'!AE889&gt;=4,"A",IF('Data Source'!AE889&gt;=3.5,"A-",IF('Data Source'!AE889&gt;=3,"B",IF('Data Source'!AE889&gt;=2,"C",IF('Data Source'!AE889&gt;=1,"D","F")))))),"")</f>
        <v/>
      </c>
      <c r="N889" s="3">
        <f>IF(AND('Data Source'!B889&lt;&gt;"",'Data Source'!S889="F"),IF('Data Source'!AF889&gt;=5,"A+",IF('Data Source'!AF889&gt;=4,"A",IF('Data Source'!AF889&gt;=3.5,"A-",IF('Data Source'!AF889&gt;=3,"B",IF('Data Source'!AF889&gt;=2,"C",IF('Data Source'!AF889&gt;=1,"D","F")))))),"")</f>
        <v/>
      </c>
      <c r="O889" s="3">
        <f>IF(AND('Data Source'!B889&lt;&gt;"",'Data Source'!S889="F"),IF('Data Source'!AG889&gt;=5,"A+",IF('Data Source'!AG889&gt;=4,"A",IF('Data Source'!AG889&gt;=3.5,"A-",IF('Data Source'!AG889&gt;=3,"B",IF('Data Source'!AG889&gt;=2,"C",IF('Data Source'!AG889&gt;=1,"D","F")))))),"")</f>
        <v/>
      </c>
      <c r="P889" s="5">
        <f>IF(AND('Data Source'!B889&lt;&gt;"",'Data Source'!S889="F"),'Data Source'!R889,"")</f>
        <v/>
      </c>
      <c r="Q889" s="3">
        <f>IF(AND('Data Source'!B889&lt;&gt;"",'Data Source'!S889="F"),'Data Source'!S889,"")</f>
        <v/>
      </c>
    </row>
    <row r="890">
      <c r="A890" s="3">
        <f>IF(AND('Data Source'!B890&lt;&gt;"",'Data Source'!S890="F"),COUNTIF('Data Source'!$S$3:S890,"F"),"")</f>
        <v/>
      </c>
      <c r="B890">
        <f>IF(AND('Data Source'!B890&lt;&gt;"",'Data Source'!S890="F"),'Data Source'!B890,"")</f>
        <v/>
      </c>
      <c r="C890" s="3">
        <f>IF(AND('Data Source'!B890&lt;&gt;"",'Data Source'!S890="F"),IF('Data Source'!U890&gt;=5,"A+",IF('Data Source'!U890&gt;=4,"A",IF('Data Source'!U890&gt;=3.5,"A-",IF('Data Source'!U890&gt;=3,"B",IF('Data Source'!U890&gt;=2,"C",IF('Data Source'!U890&gt;=1,"D","F")))))),"")</f>
        <v/>
      </c>
      <c r="D890" s="3">
        <f>IF(AND('Data Source'!B890&lt;&gt;"",'Data Source'!S890="F"),IF('Data Source'!V890&gt;=5,"A+",IF('Data Source'!V890&gt;=4,"A",IF('Data Source'!V890&gt;=3.5,"A-",IF('Data Source'!V890&gt;=3,"B",IF('Data Source'!V890&gt;=2,"C",IF('Data Source'!V890&gt;=1,"D","F")))))),"")</f>
        <v/>
      </c>
      <c r="E890" s="3">
        <f>IF(AND('Data Source'!B890&lt;&gt;"",'Data Source'!S890="F"),IF('Data Source'!W890&gt;=5,"A+",IF('Data Source'!W890&gt;=4,"A",IF('Data Source'!W890&gt;=3.5,"A-",IF('Data Source'!W890&gt;=3,"B",IF('Data Source'!W890&gt;=2,"C",IF('Data Source'!W890&gt;=1,"D","F")))))),"")</f>
        <v/>
      </c>
      <c r="F890" s="3">
        <f>IF(AND('Data Source'!B890&lt;&gt;"",'Data Source'!S890="F"),IF('Data Source'!X890&gt;=5,"A+",IF('Data Source'!X890&gt;=4,"A",IF('Data Source'!X890&gt;=3.5,"A-",IF('Data Source'!X890&gt;=3,"B",IF('Data Source'!X890&gt;=2,"C",IF('Data Source'!X890&gt;=1,"D","F")))))),"")</f>
        <v/>
      </c>
      <c r="G890" s="3">
        <f>IF(AND('Data Source'!B890&lt;&gt;"",'Data Source'!S890="F"),IF('Data Source'!Y890&gt;=5,"A+",IF('Data Source'!Y890&gt;=4,"A",IF('Data Source'!Y890&gt;=3.5,"A-",IF('Data Source'!Y890&gt;=3,"B",IF('Data Source'!Y890&gt;=2,"C",IF('Data Source'!Y890&gt;=1,"D","F")))))),"")</f>
        <v/>
      </c>
      <c r="H890" s="3">
        <f>IF(AND('Data Source'!B890&lt;&gt;"",'Data Source'!S890="F"),IF('Data Source'!Z890&gt;=5,"A+",IF('Data Source'!Z890&gt;=4,"A",IF('Data Source'!Z890&gt;=3.5,"A-",IF('Data Source'!Z890&gt;=3,"B",IF('Data Source'!Z890&gt;=2,"C",IF('Data Source'!Z890&gt;=1,"D","F")))))),"")</f>
        <v/>
      </c>
      <c r="I890" s="3">
        <f>IF(AND('Data Source'!B890&lt;&gt;"",'Data Source'!S890="F"),IF('Data Source'!AA890&gt;=5,"A+",IF('Data Source'!AA890&gt;=4,"A",IF('Data Source'!AA890&gt;=3.5,"A-",IF('Data Source'!AA890&gt;=3,"B",IF('Data Source'!AA890&gt;=2,"C",IF('Data Source'!AA890&gt;=1,"D","F")))))),"")</f>
        <v/>
      </c>
      <c r="J890" s="3">
        <f>IF(AND('Data Source'!B890&lt;&gt;"",'Data Source'!S890="F"),IF('Data Source'!AB890&gt;=5,"A+",IF('Data Source'!AB890&gt;=4,"A",IF('Data Source'!AB890&gt;=3.5,"A-",IF('Data Source'!AB890&gt;=3,"B",IF('Data Source'!AB890&gt;=2,"C",IF('Data Source'!AB890&gt;=1,"D","F")))))),"")</f>
        <v/>
      </c>
      <c r="K890" s="3">
        <f>IF(AND('Data Source'!B890&lt;&gt;"",'Data Source'!S890="F"),IF('Data Source'!AC890&gt;=5,"A+",IF('Data Source'!AC890&gt;=4,"A",IF('Data Source'!AC890&gt;=3.5,"A-",IF('Data Source'!AC890&gt;=3,"B",IF('Data Source'!AC890&gt;=2,"C",IF('Data Source'!AC890&gt;=1,"D","F")))))),"")</f>
        <v/>
      </c>
      <c r="L890" s="3">
        <f>IF(AND('Data Source'!B890&lt;&gt;"",'Data Source'!S890="F"),IF('Data Source'!AD890&gt;=5,"A+",IF('Data Source'!AD890&gt;=4,"A",IF('Data Source'!AD890&gt;=3.5,"A-",IF('Data Source'!AD890&gt;=3,"B",IF('Data Source'!AD890&gt;=2,"C",IF('Data Source'!AD890&gt;=1,"D","F")))))),"")</f>
        <v/>
      </c>
      <c r="M890" s="3">
        <f>IF(AND('Data Source'!B890&lt;&gt;"",'Data Source'!S890="F"),IF('Data Source'!AE890&gt;=5,"A+",IF('Data Source'!AE890&gt;=4,"A",IF('Data Source'!AE890&gt;=3.5,"A-",IF('Data Source'!AE890&gt;=3,"B",IF('Data Source'!AE890&gt;=2,"C",IF('Data Source'!AE890&gt;=1,"D","F")))))),"")</f>
        <v/>
      </c>
      <c r="N890" s="3">
        <f>IF(AND('Data Source'!B890&lt;&gt;"",'Data Source'!S890="F"),IF('Data Source'!AF890&gt;=5,"A+",IF('Data Source'!AF890&gt;=4,"A",IF('Data Source'!AF890&gt;=3.5,"A-",IF('Data Source'!AF890&gt;=3,"B",IF('Data Source'!AF890&gt;=2,"C",IF('Data Source'!AF890&gt;=1,"D","F")))))),"")</f>
        <v/>
      </c>
      <c r="O890" s="3">
        <f>IF(AND('Data Source'!B890&lt;&gt;"",'Data Source'!S890="F"),IF('Data Source'!AG890&gt;=5,"A+",IF('Data Source'!AG890&gt;=4,"A",IF('Data Source'!AG890&gt;=3.5,"A-",IF('Data Source'!AG890&gt;=3,"B",IF('Data Source'!AG890&gt;=2,"C",IF('Data Source'!AG890&gt;=1,"D","F")))))),"")</f>
        <v/>
      </c>
      <c r="P890" s="5">
        <f>IF(AND('Data Source'!B890&lt;&gt;"",'Data Source'!S890="F"),'Data Source'!R890,"")</f>
        <v/>
      </c>
      <c r="Q890" s="3">
        <f>IF(AND('Data Source'!B890&lt;&gt;"",'Data Source'!S890="F"),'Data Source'!S890,"")</f>
        <v/>
      </c>
    </row>
    <row r="891">
      <c r="A891" s="3">
        <f>IF(AND('Data Source'!B891&lt;&gt;"",'Data Source'!S891="F"),COUNTIF('Data Source'!$S$3:S891,"F"),"")</f>
        <v/>
      </c>
      <c r="B891">
        <f>IF(AND('Data Source'!B891&lt;&gt;"",'Data Source'!S891="F"),'Data Source'!B891,"")</f>
        <v/>
      </c>
      <c r="C891" s="3">
        <f>IF(AND('Data Source'!B891&lt;&gt;"",'Data Source'!S891="F"),IF('Data Source'!U891&gt;=5,"A+",IF('Data Source'!U891&gt;=4,"A",IF('Data Source'!U891&gt;=3.5,"A-",IF('Data Source'!U891&gt;=3,"B",IF('Data Source'!U891&gt;=2,"C",IF('Data Source'!U891&gt;=1,"D","F")))))),"")</f>
        <v/>
      </c>
      <c r="D891" s="3">
        <f>IF(AND('Data Source'!B891&lt;&gt;"",'Data Source'!S891="F"),IF('Data Source'!V891&gt;=5,"A+",IF('Data Source'!V891&gt;=4,"A",IF('Data Source'!V891&gt;=3.5,"A-",IF('Data Source'!V891&gt;=3,"B",IF('Data Source'!V891&gt;=2,"C",IF('Data Source'!V891&gt;=1,"D","F")))))),"")</f>
        <v/>
      </c>
      <c r="E891" s="3">
        <f>IF(AND('Data Source'!B891&lt;&gt;"",'Data Source'!S891="F"),IF('Data Source'!W891&gt;=5,"A+",IF('Data Source'!W891&gt;=4,"A",IF('Data Source'!W891&gt;=3.5,"A-",IF('Data Source'!W891&gt;=3,"B",IF('Data Source'!W891&gt;=2,"C",IF('Data Source'!W891&gt;=1,"D","F")))))),"")</f>
        <v/>
      </c>
      <c r="F891" s="3">
        <f>IF(AND('Data Source'!B891&lt;&gt;"",'Data Source'!S891="F"),IF('Data Source'!X891&gt;=5,"A+",IF('Data Source'!X891&gt;=4,"A",IF('Data Source'!X891&gt;=3.5,"A-",IF('Data Source'!X891&gt;=3,"B",IF('Data Source'!X891&gt;=2,"C",IF('Data Source'!X891&gt;=1,"D","F")))))),"")</f>
        <v/>
      </c>
      <c r="G891" s="3">
        <f>IF(AND('Data Source'!B891&lt;&gt;"",'Data Source'!S891="F"),IF('Data Source'!Y891&gt;=5,"A+",IF('Data Source'!Y891&gt;=4,"A",IF('Data Source'!Y891&gt;=3.5,"A-",IF('Data Source'!Y891&gt;=3,"B",IF('Data Source'!Y891&gt;=2,"C",IF('Data Source'!Y891&gt;=1,"D","F")))))),"")</f>
        <v/>
      </c>
      <c r="H891" s="3">
        <f>IF(AND('Data Source'!B891&lt;&gt;"",'Data Source'!S891="F"),IF('Data Source'!Z891&gt;=5,"A+",IF('Data Source'!Z891&gt;=4,"A",IF('Data Source'!Z891&gt;=3.5,"A-",IF('Data Source'!Z891&gt;=3,"B",IF('Data Source'!Z891&gt;=2,"C",IF('Data Source'!Z891&gt;=1,"D","F")))))),"")</f>
        <v/>
      </c>
      <c r="I891" s="3">
        <f>IF(AND('Data Source'!B891&lt;&gt;"",'Data Source'!S891="F"),IF('Data Source'!AA891&gt;=5,"A+",IF('Data Source'!AA891&gt;=4,"A",IF('Data Source'!AA891&gt;=3.5,"A-",IF('Data Source'!AA891&gt;=3,"B",IF('Data Source'!AA891&gt;=2,"C",IF('Data Source'!AA891&gt;=1,"D","F")))))),"")</f>
        <v/>
      </c>
      <c r="J891" s="3">
        <f>IF(AND('Data Source'!B891&lt;&gt;"",'Data Source'!S891="F"),IF('Data Source'!AB891&gt;=5,"A+",IF('Data Source'!AB891&gt;=4,"A",IF('Data Source'!AB891&gt;=3.5,"A-",IF('Data Source'!AB891&gt;=3,"B",IF('Data Source'!AB891&gt;=2,"C",IF('Data Source'!AB891&gt;=1,"D","F")))))),"")</f>
        <v/>
      </c>
      <c r="K891" s="3">
        <f>IF(AND('Data Source'!B891&lt;&gt;"",'Data Source'!S891="F"),IF('Data Source'!AC891&gt;=5,"A+",IF('Data Source'!AC891&gt;=4,"A",IF('Data Source'!AC891&gt;=3.5,"A-",IF('Data Source'!AC891&gt;=3,"B",IF('Data Source'!AC891&gt;=2,"C",IF('Data Source'!AC891&gt;=1,"D","F")))))),"")</f>
        <v/>
      </c>
      <c r="L891" s="3">
        <f>IF(AND('Data Source'!B891&lt;&gt;"",'Data Source'!S891="F"),IF('Data Source'!AD891&gt;=5,"A+",IF('Data Source'!AD891&gt;=4,"A",IF('Data Source'!AD891&gt;=3.5,"A-",IF('Data Source'!AD891&gt;=3,"B",IF('Data Source'!AD891&gt;=2,"C",IF('Data Source'!AD891&gt;=1,"D","F")))))),"")</f>
        <v/>
      </c>
      <c r="M891" s="3">
        <f>IF(AND('Data Source'!B891&lt;&gt;"",'Data Source'!S891="F"),IF('Data Source'!AE891&gt;=5,"A+",IF('Data Source'!AE891&gt;=4,"A",IF('Data Source'!AE891&gt;=3.5,"A-",IF('Data Source'!AE891&gt;=3,"B",IF('Data Source'!AE891&gt;=2,"C",IF('Data Source'!AE891&gt;=1,"D","F")))))),"")</f>
        <v/>
      </c>
      <c r="N891" s="3">
        <f>IF(AND('Data Source'!B891&lt;&gt;"",'Data Source'!S891="F"),IF('Data Source'!AF891&gt;=5,"A+",IF('Data Source'!AF891&gt;=4,"A",IF('Data Source'!AF891&gt;=3.5,"A-",IF('Data Source'!AF891&gt;=3,"B",IF('Data Source'!AF891&gt;=2,"C",IF('Data Source'!AF891&gt;=1,"D","F")))))),"")</f>
        <v/>
      </c>
      <c r="O891" s="3">
        <f>IF(AND('Data Source'!B891&lt;&gt;"",'Data Source'!S891="F"),IF('Data Source'!AG891&gt;=5,"A+",IF('Data Source'!AG891&gt;=4,"A",IF('Data Source'!AG891&gt;=3.5,"A-",IF('Data Source'!AG891&gt;=3,"B",IF('Data Source'!AG891&gt;=2,"C",IF('Data Source'!AG891&gt;=1,"D","F")))))),"")</f>
        <v/>
      </c>
      <c r="P891" s="5">
        <f>IF(AND('Data Source'!B891&lt;&gt;"",'Data Source'!S891="F"),'Data Source'!R891,"")</f>
        <v/>
      </c>
      <c r="Q891" s="3">
        <f>IF(AND('Data Source'!B891&lt;&gt;"",'Data Source'!S891="F"),'Data Source'!S891,"")</f>
        <v/>
      </c>
    </row>
    <row r="892">
      <c r="A892" s="3">
        <f>IF(AND('Data Source'!B892&lt;&gt;"",'Data Source'!S892="F"),COUNTIF('Data Source'!$S$3:S892,"F"),"")</f>
        <v/>
      </c>
      <c r="B892">
        <f>IF(AND('Data Source'!B892&lt;&gt;"",'Data Source'!S892="F"),'Data Source'!B892,"")</f>
        <v/>
      </c>
      <c r="C892" s="3">
        <f>IF(AND('Data Source'!B892&lt;&gt;"",'Data Source'!S892="F"),IF('Data Source'!U892&gt;=5,"A+",IF('Data Source'!U892&gt;=4,"A",IF('Data Source'!U892&gt;=3.5,"A-",IF('Data Source'!U892&gt;=3,"B",IF('Data Source'!U892&gt;=2,"C",IF('Data Source'!U892&gt;=1,"D","F")))))),"")</f>
        <v/>
      </c>
      <c r="D892" s="3">
        <f>IF(AND('Data Source'!B892&lt;&gt;"",'Data Source'!S892="F"),IF('Data Source'!V892&gt;=5,"A+",IF('Data Source'!V892&gt;=4,"A",IF('Data Source'!V892&gt;=3.5,"A-",IF('Data Source'!V892&gt;=3,"B",IF('Data Source'!V892&gt;=2,"C",IF('Data Source'!V892&gt;=1,"D","F")))))),"")</f>
        <v/>
      </c>
      <c r="E892" s="3">
        <f>IF(AND('Data Source'!B892&lt;&gt;"",'Data Source'!S892="F"),IF('Data Source'!W892&gt;=5,"A+",IF('Data Source'!W892&gt;=4,"A",IF('Data Source'!W892&gt;=3.5,"A-",IF('Data Source'!W892&gt;=3,"B",IF('Data Source'!W892&gt;=2,"C",IF('Data Source'!W892&gt;=1,"D","F")))))),"")</f>
        <v/>
      </c>
      <c r="F892" s="3">
        <f>IF(AND('Data Source'!B892&lt;&gt;"",'Data Source'!S892="F"),IF('Data Source'!X892&gt;=5,"A+",IF('Data Source'!X892&gt;=4,"A",IF('Data Source'!X892&gt;=3.5,"A-",IF('Data Source'!X892&gt;=3,"B",IF('Data Source'!X892&gt;=2,"C",IF('Data Source'!X892&gt;=1,"D","F")))))),"")</f>
        <v/>
      </c>
      <c r="G892" s="3">
        <f>IF(AND('Data Source'!B892&lt;&gt;"",'Data Source'!S892="F"),IF('Data Source'!Y892&gt;=5,"A+",IF('Data Source'!Y892&gt;=4,"A",IF('Data Source'!Y892&gt;=3.5,"A-",IF('Data Source'!Y892&gt;=3,"B",IF('Data Source'!Y892&gt;=2,"C",IF('Data Source'!Y892&gt;=1,"D","F")))))),"")</f>
        <v/>
      </c>
      <c r="H892" s="3">
        <f>IF(AND('Data Source'!B892&lt;&gt;"",'Data Source'!S892="F"),IF('Data Source'!Z892&gt;=5,"A+",IF('Data Source'!Z892&gt;=4,"A",IF('Data Source'!Z892&gt;=3.5,"A-",IF('Data Source'!Z892&gt;=3,"B",IF('Data Source'!Z892&gt;=2,"C",IF('Data Source'!Z892&gt;=1,"D","F")))))),"")</f>
        <v/>
      </c>
      <c r="I892" s="3">
        <f>IF(AND('Data Source'!B892&lt;&gt;"",'Data Source'!S892="F"),IF('Data Source'!AA892&gt;=5,"A+",IF('Data Source'!AA892&gt;=4,"A",IF('Data Source'!AA892&gt;=3.5,"A-",IF('Data Source'!AA892&gt;=3,"B",IF('Data Source'!AA892&gt;=2,"C",IF('Data Source'!AA892&gt;=1,"D","F")))))),"")</f>
        <v/>
      </c>
      <c r="J892" s="3">
        <f>IF(AND('Data Source'!B892&lt;&gt;"",'Data Source'!S892="F"),IF('Data Source'!AB892&gt;=5,"A+",IF('Data Source'!AB892&gt;=4,"A",IF('Data Source'!AB892&gt;=3.5,"A-",IF('Data Source'!AB892&gt;=3,"B",IF('Data Source'!AB892&gt;=2,"C",IF('Data Source'!AB892&gt;=1,"D","F")))))),"")</f>
        <v/>
      </c>
      <c r="K892" s="3">
        <f>IF(AND('Data Source'!B892&lt;&gt;"",'Data Source'!S892="F"),IF('Data Source'!AC892&gt;=5,"A+",IF('Data Source'!AC892&gt;=4,"A",IF('Data Source'!AC892&gt;=3.5,"A-",IF('Data Source'!AC892&gt;=3,"B",IF('Data Source'!AC892&gt;=2,"C",IF('Data Source'!AC892&gt;=1,"D","F")))))),"")</f>
        <v/>
      </c>
      <c r="L892" s="3">
        <f>IF(AND('Data Source'!B892&lt;&gt;"",'Data Source'!S892="F"),IF('Data Source'!AD892&gt;=5,"A+",IF('Data Source'!AD892&gt;=4,"A",IF('Data Source'!AD892&gt;=3.5,"A-",IF('Data Source'!AD892&gt;=3,"B",IF('Data Source'!AD892&gt;=2,"C",IF('Data Source'!AD892&gt;=1,"D","F")))))),"")</f>
        <v/>
      </c>
      <c r="M892" s="3">
        <f>IF(AND('Data Source'!B892&lt;&gt;"",'Data Source'!S892="F"),IF('Data Source'!AE892&gt;=5,"A+",IF('Data Source'!AE892&gt;=4,"A",IF('Data Source'!AE892&gt;=3.5,"A-",IF('Data Source'!AE892&gt;=3,"B",IF('Data Source'!AE892&gt;=2,"C",IF('Data Source'!AE892&gt;=1,"D","F")))))),"")</f>
        <v/>
      </c>
      <c r="N892" s="3">
        <f>IF(AND('Data Source'!B892&lt;&gt;"",'Data Source'!S892="F"),IF('Data Source'!AF892&gt;=5,"A+",IF('Data Source'!AF892&gt;=4,"A",IF('Data Source'!AF892&gt;=3.5,"A-",IF('Data Source'!AF892&gt;=3,"B",IF('Data Source'!AF892&gt;=2,"C",IF('Data Source'!AF892&gt;=1,"D","F")))))),"")</f>
        <v/>
      </c>
      <c r="O892" s="3">
        <f>IF(AND('Data Source'!B892&lt;&gt;"",'Data Source'!S892="F"),IF('Data Source'!AG892&gt;=5,"A+",IF('Data Source'!AG892&gt;=4,"A",IF('Data Source'!AG892&gt;=3.5,"A-",IF('Data Source'!AG892&gt;=3,"B",IF('Data Source'!AG892&gt;=2,"C",IF('Data Source'!AG892&gt;=1,"D","F")))))),"")</f>
        <v/>
      </c>
      <c r="P892" s="5">
        <f>IF(AND('Data Source'!B892&lt;&gt;"",'Data Source'!S892="F"),'Data Source'!R892,"")</f>
        <v/>
      </c>
      <c r="Q892" s="3">
        <f>IF(AND('Data Source'!B892&lt;&gt;"",'Data Source'!S892="F"),'Data Source'!S892,"")</f>
        <v/>
      </c>
    </row>
    <row r="893">
      <c r="A893" s="3">
        <f>IF(AND('Data Source'!B893&lt;&gt;"",'Data Source'!S893="F"),COUNTIF('Data Source'!$S$3:S893,"F"),"")</f>
        <v/>
      </c>
      <c r="B893">
        <f>IF(AND('Data Source'!B893&lt;&gt;"",'Data Source'!S893="F"),'Data Source'!B893,"")</f>
        <v/>
      </c>
      <c r="C893" s="3">
        <f>IF(AND('Data Source'!B893&lt;&gt;"",'Data Source'!S893="F"),IF('Data Source'!U893&gt;=5,"A+",IF('Data Source'!U893&gt;=4,"A",IF('Data Source'!U893&gt;=3.5,"A-",IF('Data Source'!U893&gt;=3,"B",IF('Data Source'!U893&gt;=2,"C",IF('Data Source'!U893&gt;=1,"D","F")))))),"")</f>
        <v/>
      </c>
      <c r="D893" s="3">
        <f>IF(AND('Data Source'!B893&lt;&gt;"",'Data Source'!S893="F"),IF('Data Source'!V893&gt;=5,"A+",IF('Data Source'!V893&gt;=4,"A",IF('Data Source'!V893&gt;=3.5,"A-",IF('Data Source'!V893&gt;=3,"B",IF('Data Source'!V893&gt;=2,"C",IF('Data Source'!V893&gt;=1,"D","F")))))),"")</f>
        <v/>
      </c>
      <c r="E893" s="3">
        <f>IF(AND('Data Source'!B893&lt;&gt;"",'Data Source'!S893="F"),IF('Data Source'!W893&gt;=5,"A+",IF('Data Source'!W893&gt;=4,"A",IF('Data Source'!W893&gt;=3.5,"A-",IF('Data Source'!W893&gt;=3,"B",IF('Data Source'!W893&gt;=2,"C",IF('Data Source'!W893&gt;=1,"D","F")))))),"")</f>
        <v/>
      </c>
      <c r="F893" s="3">
        <f>IF(AND('Data Source'!B893&lt;&gt;"",'Data Source'!S893="F"),IF('Data Source'!X893&gt;=5,"A+",IF('Data Source'!X893&gt;=4,"A",IF('Data Source'!X893&gt;=3.5,"A-",IF('Data Source'!X893&gt;=3,"B",IF('Data Source'!X893&gt;=2,"C",IF('Data Source'!X893&gt;=1,"D","F")))))),"")</f>
        <v/>
      </c>
      <c r="G893" s="3">
        <f>IF(AND('Data Source'!B893&lt;&gt;"",'Data Source'!S893="F"),IF('Data Source'!Y893&gt;=5,"A+",IF('Data Source'!Y893&gt;=4,"A",IF('Data Source'!Y893&gt;=3.5,"A-",IF('Data Source'!Y893&gt;=3,"B",IF('Data Source'!Y893&gt;=2,"C",IF('Data Source'!Y893&gt;=1,"D","F")))))),"")</f>
        <v/>
      </c>
      <c r="H893" s="3">
        <f>IF(AND('Data Source'!B893&lt;&gt;"",'Data Source'!S893="F"),IF('Data Source'!Z893&gt;=5,"A+",IF('Data Source'!Z893&gt;=4,"A",IF('Data Source'!Z893&gt;=3.5,"A-",IF('Data Source'!Z893&gt;=3,"B",IF('Data Source'!Z893&gt;=2,"C",IF('Data Source'!Z893&gt;=1,"D","F")))))),"")</f>
        <v/>
      </c>
      <c r="I893" s="3">
        <f>IF(AND('Data Source'!B893&lt;&gt;"",'Data Source'!S893="F"),IF('Data Source'!AA893&gt;=5,"A+",IF('Data Source'!AA893&gt;=4,"A",IF('Data Source'!AA893&gt;=3.5,"A-",IF('Data Source'!AA893&gt;=3,"B",IF('Data Source'!AA893&gt;=2,"C",IF('Data Source'!AA893&gt;=1,"D","F")))))),"")</f>
        <v/>
      </c>
      <c r="J893" s="3">
        <f>IF(AND('Data Source'!B893&lt;&gt;"",'Data Source'!S893="F"),IF('Data Source'!AB893&gt;=5,"A+",IF('Data Source'!AB893&gt;=4,"A",IF('Data Source'!AB893&gt;=3.5,"A-",IF('Data Source'!AB893&gt;=3,"B",IF('Data Source'!AB893&gt;=2,"C",IF('Data Source'!AB893&gt;=1,"D","F")))))),"")</f>
        <v/>
      </c>
      <c r="K893" s="3">
        <f>IF(AND('Data Source'!B893&lt;&gt;"",'Data Source'!S893="F"),IF('Data Source'!AC893&gt;=5,"A+",IF('Data Source'!AC893&gt;=4,"A",IF('Data Source'!AC893&gt;=3.5,"A-",IF('Data Source'!AC893&gt;=3,"B",IF('Data Source'!AC893&gt;=2,"C",IF('Data Source'!AC893&gt;=1,"D","F")))))),"")</f>
        <v/>
      </c>
      <c r="L893" s="3">
        <f>IF(AND('Data Source'!B893&lt;&gt;"",'Data Source'!S893="F"),IF('Data Source'!AD893&gt;=5,"A+",IF('Data Source'!AD893&gt;=4,"A",IF('Data Source'!AD893&gt;=3.5,"A-",IF('Data Source'!AD893&gt;=3,"B",IF('Data Source'!AD893&gt;=2,"C",IF('Data Source'!AD893&gt;=1,"D","F")))))),"")</f>
        <v/>
      </c>
      <c r="M893" s="3">
        <f>IF(AND('Data Source'!B893&lt;&gt;"",'Data Source'!S893="F"),IF('Data Source'!AE893&gt;=5,"A+",IF('Data Source'!AE893&gt;=4,"A",IF('Data Source'!AE893&gt;=3.5,"A-",IF('Data Source'!AE893&gt;=3,"B",IF('Data Source'!AE893&gt;=2,"C",IF('Data Source'!AE893&gt;=1,"D","F")))))),"")</f>
        <v/>
      </c>
      <c r="N893" s="3">
        <f>IF(AND('Data Source'!B893&lt;&gt;"",'Data Source'!S893="F"),IF('Data Source'!AF893&gt;=5,"A+",IF('Data Source'!AF893&gt;=4,"A",IF('Data Source'!AF893&gt;=3.5,"A-",IF('Data Source'!AF893&gt;=3,"B",IF('Data Source'!AF893&gt;=2,"C",IF('Data Source'!AF893&gt;=1,"D","F")))))),"")</f>
        <v/>
      </c>
      <c r="O893" s="3">
        <f>IF(AND('Data Source'!B893&lt;&gt;"",'Data Source'!S893="F"),IF('Data Source'!AG893&gt;=5,"A+",IF('Data Source'!AG893&gt;=4,"A",IF('Data Source'!AG893&gt;=3.5,"A-",IF('Data Source'!AG893&gt;=3,"B",IF('Data Source'!AG893&gt;=2,"C",IF('Data Source'!AG893&gt;=1,"D","F")))))),"")</f>
        <v/>
      </c>
      <c r="P893" s="5">
        <f>IF(AND('Data Source'!B893&lt;&gt;"",'Data Source'!S893="F"),'Data Source'!R893,"")</f>
        <v/>
      </c>
      <c r="Q893" s="3">
        <f>IF(AND('Data Source'!B893&lt;&gt;"",'Data Source'!S893="F"),'Data Source'!S893,"")</f>
        <v/>
      </c>
    </row>
    <row r="894">
      <c r="A894" s="3">
        <f>IF(AND('Data Source'!B894&lt;&gt;"",'Data Source'!S894="F"),COUNTIF('Data Source'!$S$3:S894,"F"),"")</f>
        <v/>
      </c>
      <c r="B894">
        <f>IF(AND('Data Source'!B894&lt;&gt;"",'Data Source'!S894="F"),'Data Source'!B894,"")</f>
        <v/>
      </c>
      <c r="C894" s="3">
        <f>IF(AND('Data Source'!B894&lt;&gt;"",'Data Source'!S894="F"),IF('Data Source'!U894&gt;=5,"A+",IF('Data Source'!U894&gt;=4,"A",IF('Data Source'!U894&gt;=3.5,"A-",IF('Data Source'!U894&gt;=3,"B",IF('Data Source'!U894&gt;=2,"C",IF('Data Source'!U894&gt;=1,"D","F")))))),"")</f>
        <v/>
      </c>
      <c r="D894" s="3">
        <f>IF(AND('Data Source'!B894&lt;&gt;"",'Data Source'!S894="F"),IF('Data Source'!V894&gt;=5,"A+",IF('Data Source'!V894&gt;=4,"A",IF('Data Source'!V894&gt;=3.5,"A-",IF('Data Source'!V894&gt;=3,"B",IF('Data Source'!V894&gt;=2,"C",IF('Data Source'!V894&gt;=1,"D","F")))))),"")</f>
        <v/>
      </c>
      <c r="E894" s="3">
        <f>IF(AND('Data Source'!B894&lt;&gt;"",'Data Source'!S894="F"),IF('Data Source'!W894&gt;=5,"A+",IF('Data Source'!W894&gt;=4,"A",IF('Data Source'!W894&gt;=3.5,"A-",IF('Data Source'!W894&gt;=3,"B",IF('Data Source'!W894&gt;=2,"C",IF('Data Source'!W894&gt;=1,"D","F")))))),"")</f>
        <v/>
      </c>
      <c r="F894" s="3">
        <f>IF(AND('Data Source'!B894&lt;&gt;"",'Data Source'!S894="F"),IF('Data Source'!X894&gt;=5,"A+",IF('Data Source'!X894&gt;=4,"A",IF('Data Source'!X894&gt;=3.5,"A-",IF('Data Source'!X894&gt;=3,"B",IF('Data Source'!X894&gt;=2,"C",IF('Data Source'!X894&gt;=1,"D","F")))))),"")</f>
        <v/>
      </c>
      <c r="G894" s="3">
        <f>IF(AND('Data Source'!B894&lt;&gt;"",'Data Source'!S894="F"),IF('Data Source'!Y894&gt;=5,"A+",IF('Data Source'!Y894&gt;=4,"A",IF('Data Source'!Y894&gt;=3.5,"A-",IF('Data Source'!Y894&gt;=3,"B",IF('Data Source'!Y894&gt;=2,"C",IF('Data Source'!Y894&gt;=1,"D","F")))))),"")</f>
        <v/>
      </c>
      <c r="H894" s="3">
        <f>IF(AND('Data Source'!B894&lt;&gt;"",'Data Source'!S894="F"),IF('Data Source'!Z894&gt;=5,"A+",IF('Data Source'!Z894&gt;=4,"A",IF('Data Source'!Z894&gt;=3.5,"A-",IF('Data Source'!Z894&gt;=3,"B",IF('Data Source'!Z894&gt;=2,"C",IF('Data Source'!Z894&gt;=1,"D","F")))))),"")</f>
        <v/>
      </c>
      <c r="I894" s="3">
        <f>IF(AND('Data Source'!B894&lt;&gt;"",'Data Source'!S894="F"),IF('Data Source'!AA894&gt;=5,"A+",IF('Data Source'!AA894&gt;=4,"A",IF('Data Source'!AA894&gt;=3.5,"A-",IF('Data Source'!AA894&gt;=3,"B",IF('Data Source'!AA894&gt;=2,"C",IF('Data Source'!AA894&gt;=1,"D","F")))))),"")</f>
        <v/>
      </c>
      <c r="J894" s="3">
        <f>IF(AND('Data Source'!B894&lt;&gt;"",'Data Source'!S894="F"),IF('Data Source'!AB894&gt;=5,"A+",IF('Data Source'!AB894&gt;=4,"A",IF('Data Source'!AB894&gt;=3.5,"A-",IF('Data Source'!AB894&gt;=3,"B",IF('Data Source'!AB894&gt;=2,"C",IF('Data Source'!AB894&gt;=1,"D","F")))))),"")</f>
        <v/>
      </c>
      <c r="K894" s="3">
        <f>IF(AND('Data Source'!B894&lt;&gt;"",'Data Source'!S894="F"),IF('Data Source'!AC894&gt;=5,"A+",IF('Data Source'!AC894&gt;=4,"A",IF('Data Source'!AC894&gt;=3.5,"A-",IF('Data Source'!AC894&gt;=3,"B",IF('Data Source'!AC894&gt;=2,"C",IF('Data Source'!AC894&gt;=1,"D","F")))))),"")</f>
        <v/>
      </c>
      <c r="L894" s="3">
        <f>IF(AND('Data Source'!B894&lt;&gt;"",'Data Source'!S894="F"),IF('Data Source'!AD894&gt;=5,"A+",IF('Data Source'!AD894&gt;=4,"A",IF('Data Source'!AD894&gt;=3.5,"A-",IF('Data Source'!AD894&gt;=3,"B",IF('Data Source'!AD894&gt;=2,"C",IF('Data Source'!AD894&gt;=1,"D","F")))))),"")</f>
        <v/>
      </c>
      <c r="M894" s="3">
        <f>IF(AND('Data Source'!B894&lt;&gt;"",'Data Source'!S894="F"),IF('Data Source'!AE894&gt;=5,"A+",IF('Data Source'!AE894&gt;=4,"A",IF('Data Source'!AE894&gt;=3.5,"A-",IF('Data Source'!AE894&gt;=3,"B",IF('Data Source'!AE894&gt;=2,"C",IF('Data Source'!AE894&gt;=1,"D","F")))))),"")</f>
        <v/>
      </c>
      <c r="N894" s="3">
        <f>IF(AND('Data Source'!B894&lt;&gt;"",'Data Source'!S894="F"),IF('Data Source'!AF894&gt;=5,"A+",IF('Data Source'!AF894&gt;=4,"A",IF('Data Source'!AF894&gt;=3.5,"A-",IF('Data Source'!AF894&gt;=3,"B",IF('Data Source'!AF894&gt;=2,"C",IF('Data Source'!AF894&gt;=1,"D","F")))))),"")</f>
        <v/>
      </c>
      <c r="O894" s="3">
        <f>IF(AND('Data Source'!B894&lt;&gt;"",'Data Source'!S894="F"),IF('Data Source'!AG894&gt;=5,"A+",IF('Data Source'!AG894&gt;=4,"A",IF('Data Source'!AG894&gt;=3.5,"A-",IF('Data Source'!AG894&gt;=3,"B",IF('Data Source'!AG894&gt;=2,"C",IF('Data Source'!AG894&gt;=1,"D","F")))))),"")</f>
        <v/>
      </c>
      <c r="P894" s="5">
        <f>IF(AND('Data Source'!B894&lt;&gt;"",'Data Source'!S894="F"),'Data Source'!R894,"")</f>
        <v/>
      </c>
      <c r="Q894" s="3">
        <f>IF(AND('Data Source'!B894&lt;&gt;"",'Data Source'!S894="F"),'Data Source'!S894,"")</f>
        <v/>
      </c>
    </row>
    <row r="895">
      <c r="A895" s="3">
        <f>IF(AND('Data Source'!B895&lt;&gt;"",'Data Source'!S895="F"),COUNTIF('Data Source'!$S$3:S895,"F"),"")</f>
        <v/>
      </c>
      <c r="B895">
        <f>IF(AND('Data Source'!B895&lt;&gt;"",'Data Source'!S895="F"),'Data Source'!B895,"")</f>
        <v/>
      </c>
      <c r="C895" s="3">
        <f>IF(AND('Data Source'!B895&lt;&gt;"",'Data Source'!S895="F"),IF('Data Source'!U895&gt;=5,"A+",IF('Data Source'!U895&gt;=4,"A",IF('Data Source'!U895&gt;=3.5,"A-",IF('Data Source'!U895&gt;=3,"B",IF('Data Source'!U895&gt;=2,"C",IF('Data Source'!U895&gt;=1,"D","F")))))),"")</f>
        <v/>
      </c>
      <c r="D895" s="3">
        <f>IF(AND('Data Source'!B895&lt;&gt;"",'Data Source'!S895="F"),IF('Data Source'!V895&gt;=5,"A+",IF('Data Source'!V895&gt;=4,"A",IF('Data Source'!V895&gt;=3.5,"A-",IF('Data Source'!V895&gt;=3,"B",IF('Data Source'!V895&gt;=2,"C",IF('Data Source'!V895&gt;=1,"D","F")))))),"")</f>
        <v/>
      </c>
      <c r="E895" s="3">
        <f>IF(AND('Data Source'!B895&lt;&gt;"",'Data Source'!S895="F"),IF('Data Source'!W895&gt;=5,"A+",IF('Data Source'!W895&gt;=4,"A",IF('Data Source'!W895&gt;=3.5,"A-",IF('Data Source'!W895&gt;=3,"B",IF('Data Source'!W895&gt;=2,"C",IF('Data Source'!W895&gt;=1,"D","F")))))),"")</f>
        <v/>
      </c>
      <c r="F895" s="3">
        <f>IF(AND('Data Source'!B895&lt;&gt;"",'Data Source'!S895="F"),IF('Data Source'!X895&gt;=5,"A+",IF('Data Source'!X895&gt;=4,"A",IF('Data Source'!X895&gt;=3.5,"A-",IF('Data Source'!X895&gt;=3,"B",IF('Data Source'!X895&gt;=2,"C",IF('Data Source'!X895&gt;=1,"D","F")))))),"")</f>
        <v/>
      </c>
      <c r="G895" s="3">
        <f>IF(AND('Data Source'!B895&lt;&gt;"",'Data Source'!S895="F"),IF('Data Source'!Y895&gt;=5,"A+",IF('Data Source'!Y895&gt;=4,"A",IF('Data Source'!Y895&gt;=3.5,"A-",IF('Data Source'!Y895&gt;=3,"B",IF('Data Source'!Y895&gt;=2,"C",IF('Data Source'!Y895&gt;=1,"D","F")))))),"")</f>
        <v/>
      </c>
      <c r="H895" s="3">
        <f>IF(AND('Data Source'!B895&lt;&gt;"",'Data Source'!S895="F"),IF('Data Source'!Z895&gt;=5,"A+",IF('Data Source'!Z895&gt;=4,"A",IF('Data Source'!Z895&gt;=3.5,"A-",IF('Data Source'!Z895&gt;=3,"B",IF('Data Source'!Z895&gt;=2,"C",IF('Data Source'!Z895&gt;=1,"D","F")))))),"")</f>
        <v/>
      </c>
      <c r="I895" s="3">
        <f>IF(AND('Data Source'!B895&lt;&gt;"",'Data Source'!S895="F"),IF('Data Source'!AA895&gt;=5,"A+",IF('Data Source'!AA895&gt;=4,"A",IF('Data Source'!AA895&gt;=3.5,"A-",IF('Data Source'!AA895&gt;=3,"B",IF('Data Source'!AA895&gt;=2,"C",IF('Data Source'!AA895&gt;=1,"D","F")))))),"")</f>
        <v/>
      </c>
      <c r="J895" s="3">
        <f>IF(AND('Data Source'!B895&lt;&gt;"",'Data Source'!S895="F"),IF('Data Source'!AB895&gt;=5,"A+",IF('Data Source'!AB895&gt;=4,"A",IF('Data Source'!AB895&gt;=3.5,"A-",IF('Data Source'!AB895&gt;=3,"B",IF('Data Source'!AB895&gt;=2,"C",IF('Data Source'!AB895&gt;=1,"D","F")))))),"")</f>
        <v/>
      </c>
      <c r="K895" s="3">
        <f>IF(AND('Data Source'!B895&lt;&gt;"",'Data Source'!S895="F"),IF('Data Source'!AC895&gt;=5,"A+",IF('Data Source'!AC895&gt;=4,"A",IF('Data Source'!AC895&gt;=3.5,"A-",IF('Data Source'!AC895&gt;=3,"B",IF('Data Source'!AC895&gt;=2,"C",IF('Data Source'!AC895&gt;=1,"D","F")))))),"")</f>
        <v/>
      </c>
      <c r="L895" s="3">
        <f>IF(AND('Data Source'!B895&lt;&gt;"",'Data Source'!S895="F"),IF('Data Source'!AD895&gt;=5,"A+",IF('Data Source'!AD895&gt;=4,"A",IF('Data Source'!AD895&gt;=3.5,"A-",IF('Data Source'!AD895&gt;=3,"B",IF('Data Source'!AD895&gt;=2,"C",IF('Data Source'!AD895&gt;=1,"D","F")))))),"")</f>
        <v/>
      </c>
      <c r="M895" s="3">
        <f>IF(AND('Data Source'!B895&lt;&gt;"",'Data Source'!S895="F"),IF('Data Source'!AE895&gt;=5,"A+",IF('Data Source'!AE895&gt;=4,"A",IF('Data Source'!AE895&gt;=3.5,"A-",IF('Data Source'!AE895&gt;=3,"B",IF('Data Source'!AE895&gt;=2,"C",IF('Data Source'!AE895&gt;=1,"D","F")))))),"")</f>
        <v/>
      </c>
      <c r="N895" s="3">
        <f>IF(AND('Data Source'!B895&lt;&gt;"",'Data Source'!S895="F"),IF('Data Source'!AF895&gt;=5,"A+",IF('Data Source'!AF895&gt;=4,"A",IF('Data Source'!AF895&gt;=3.5,"A-",IF('Data Source'!AF895&gt;=3,"B",IF('Data Source'!AF895&gt;=2,"C",IF('Data Source'!AF895&gt;=1,"D","F")))))),"")</f>
        <v/>
      </c>
      <c r="O895" s="3">
        <f>IF(AND('Data Source'!B895&lt;&gt;"",'Data Source'!S895="F"),IF('Data Source'!AG895&gt;=5,"A+",IF('Data Source'!AG895&gt;=4,"A",IF('Data Source'!AG895&gt;=3.5,"A-",IF('Data Source'!AG895&gt;=3,"B",IF('Data Source'!AG895&gt;=2,"C",IF('Data Source'!AG895&gt;=1,"D","F")))))),"")</f>
        <v/>
      </c>
      <c r="P895" s="5">
        <f>IF(AND('Data Source'!B895&lt;&gt;"",'Data Source'!S895="F"),'Data Source'!R895,"")</f>
        <v/>
      </c>
      <c r="Q895" s="3">
        <f>IF(AND('Data Source'!B895&lt;&gt;"",'Data Source'!S895="F"),'Data Source'!S895,"")</f>
        <v/>
      </c>
    </row>
    <row r="896">
      <c r="A896" s="3">
        <f>IF(AND('Data Source'!B896&lt;&gt;"",'Data Source'!S896="F"),COUNTIF('Data Source'!$S$3:S896,"F"),"")</f>
        <v/>
      </c>
      <c r="B896">
        <f>IF(AND('Data Source'!B896&lt;&gt;"",'Data Source'!S896="F"),'Data Source'!B896,"")</f>
        <v/>
      </c>
      <c r="C896" s="3">
        <f>IF(AND('Data Source'!B896&lt;&gt;"",'Data Source'!S896="F"),IF('Data Source'!U896&gt;=5,"A+",IF('Data Source'!U896&gt;=4,"A",IF('Data Source'!U896&gt;=3.5,"A-",IF('Data Source'!U896&gt;=3,"B",IF('Data Source'!U896&gt;=2,"C",IF('Data Source'!U896&gt;=1,"D","F")))))),"")</f>
        <v/>
      </c>
      <c r="D896" s="3">
        <f>IF(AND('Data Source'!B896&lt;&gt;"",'Data Source'!S896="F"),IF('Data Source'!V896&gt;=5,"A+",IF('Data Source'!V896&gt;=4,"A",IF('Data Source'!V896&gt;=3.5,"A-",IF('Data Source'!V896&gt;=3,"B",IF('Data Source'!V896&gt;=2,"C",IF('Data Source'!V896&gt;=1,"D","F")))))),"")</f>
        <v/>
      </c>
      <c r="E896" s="3">
        <f>IF(AND('Data Source'!B896&lt;&gt;"",'Data Source'!S896="F"),IF('Data Source'!W896&gt;=5,"A+",IF('Data Source'!W896&gt;=4,"A",IF('Data Source'!W896&gt;=3.5,"A-",IF('Data Source'!W896&gt;=3,"B",IF('Data Source'!W896&gt;=2,"C",IF('Data Source'!W896&gt;=1,"D","F")))))),"")</f>
        <v/>
      </c>
      <c r="F896" s="3">
        <f>IF(AND('Data Source'!B896&lt;&gt;"",'Data Source'!S896="F"),IF('Data Source'!X896&gt;=5,"A+",IF('Data Source'!X896&gt;=4,"A",IF('Data Source'!X896&gt;=3.5,"A-",IF('Data Source'!X896&gt;=3,"B",IF('Data Source'!X896&gt;=2,"C",IF('Data Source'!X896&gt;=1,"D","F")))))),"")</f>
        <v/>
      </c>
      <c r="G896" s="3">
        <f>IF(AND('Data Source'!B896&lt;&gt;"",'Data Source'!S896="F"),IF('Data Source'!Y896&gt;=5,"A+",IF('Data Source'!Y896&gt;=4,"A",IF('Data Source'!Y896&gt;=3.5,"A-",IF('Data Source'!Y896&gt;=3,"B",IF('Data Source'!Y896&gt;=2,"C",IF('Data Source'!Y896&gt;=1,"D","F")))))),"")</f>
        <v/>
      </c>
      <c r="H896" s="3">
        <f>IF(AND('Data Source'!B896&lt;&gt;"",'Data Source'!S896="F"),IF('Data Source'!Z896&gt;=5,"A+",IF('Data Source'!Z896&gt;=4,"A",IF('Data Source'!Z896&gt;=3.5,"A-",IF('Data Source'!Z896&gt;=3,"B",IF('Data Source'!Z896&gt;=2,"C",IF('Data Source'!Z896&gt;=1,"D","F")))))),"")</f>
        <v/>
      </c>
      <c r="I896" s="3">
        <f>IF(AND('Data Source'!B896&lt;&gt;"",'Data Source'!S896="F"),IF('Data Source'!AA896&gt;=5,"A+",IF('Data Source'!AA896&gt;=4,"A",IF('Data Source'!AA896&gt;=3.5,"A-",IF('Data Source'!AA896&gt;=3,"B",IF('Data Source'!AA896&gt;=2,"C",IF('Data Source'!AA896&gt;=1,"D","F")))))),"")</f>
        <v/>
      </c>
      <c r="J896" s="3">
        <f>IF(AND('Data Source'!B896&lt;&gt;"",'Data Source'!S896="F"),IF('Data Source'!AB896&gt;=5,"A+",IF('Data Source'!AB896&gt;=4,"A",IF('Data Source'!AB896&gt;=3.5,"A-",IF('Data Source'!AB896&gt;=3,"B",IF('Data Source'!AB896&gt;=2,"C",IF('Data Source'!AB896&gt;=1,"D","F")))))),"")</f>
        <v/>
      </c>
      <c r="K896" s="3">
        <f>IF(AND('Data Source'!B896&lt;&gt;"",'Data Source'!S896="F"),IF('Data Source'!AC896&gt;=5,"A+",IF('Data Source'!AC896&gt;=4,"A",IF('Data Source'!AC896&gt;=3.5,"A-",IF('Data Source'!AC896&gt;=3,"B",IF('Data Source'!AC896&gt;=2,"C",IF('Data Source'!AC896&gt;=1,"D","F")))))),"")</f>
        <v/>
      </c>
      <c r="L896" s="3">
        <f>IF(AND('Data Source'!B896&lt;&gt;"",'Data Source'!S896="F"),IF('Data Source'!AD896&gt;=5,"A+",IF('Data Source'!AD896&gt;=4,"A",IF('Data Source'!AD896&gt;=3.5,"A-",IF('Data Source'!AD896&gt;=3,"B",IF('Data Source'!AD896&gt;=2,"C",IF('Data Source'!AD896&gt;=1,"D","F")))))),"")</f>
        <v/>
      </c>
      <c r="M896" s="3">
        <f>IF(AND('Data Source'!B896&lt;&gt;"",'Data Source'!S896="F"),IF('Data Source'!AE896&gt;=5,"A+",IF('Data Source'!AE896&gt;=4,"A",IF('Data Source'!AE896&gt;=3.5,"A-",IF('Data Source'!AE896&gt;=3,"B",IF('Data Source'!AE896&gt;=2,"C",IF('Data Source'!AE896&gt;=1,"D","F")))))),"")</f>
        <v/>
      </c>
      <c r="N896" s="3">
        <f>IF(AND('Data Source'!B896&lt;&gt;"",'Data Source'!S896="F"),IF('Data Source'!AF896&gt;=5,"A+",IF('Data Source'!AF896&gt;=4,"A",IF('Data Source'!AF896&gt;=3.5,"A-",IF('Data Source'!AF896&gt;=3,"B",IF('Data Source'!AF896&gt;=2,"C",IF('Data Source'!AF896&gt;=1,"D","F")))))),"")</f>
        <v/>
      </c>
      <c r="O896" s="3">
        <f>IF(AND('Data Source'!B896&lt;&gt;"",'Data Source'!S896="F"),IF('Data Source'!AG896&gt;=5,"A+",IF('Data Source'!AG896&gt;=4,"A",IF('Data Source'!AG896&gt;=3.5,"A-",IF('Data Source'!AG896&gt;=3,"B",IF('Data Source'!AG896&gt;=2,"C",IF('Data Source'!AG896&gt;=1,"D","F")))))),"")</f>
        <v/>
      </c>
      <c r="P896" s="5">
        <f>IF(AND('Data Source'!B896&lt;&gt;"",'Data Source'!S896="F"),'Data Source'!R896,"")</f>
        <v/>
      </c>
      <c r="Q896" s="3">
        <f>IF(AND('Data Source'!B896&lt;&gt;"",'Data Source'!S896="F"),'Data Source'!S896,"")</f>
        <v/>
      </c>
    </row>
    <row r="897">
      <c r="A897" s="3">
        <f>IF(AND('Data Source'!B897&lt;&gt;"",'Data Source'!S897="F"),COUNTIF('Data Source'!$S$3:S897,"F"),"")</f>
        <v/>
      </c>
      <c r="B897">
        <f>IF(AND('Data Source'!B897&lt;&gt;"",'Data Source'!S897="F"),'Data Source'!B897,"")</f>
        <v/>
      </c>
      <c r="C897" s="3">
        <f>IF(AND('Data Source'!B897&lt;&gt;"",'Data Source'!S897="F"),IF('Data Source'!U897&gt;=5,"A+",IF('Data Source'!U897&gt;=4,"A",IF('Data Source'!U897&gt;=3.5,"A-",IF('Data Source'!U897&gt;=3,"B",IF('Data Source'!U897&gt;=2,"C",IF('Data Source'!U897&gt;=1,"D","F")))))),"")</f>
        <v/>
      </c>
      <c r="D897" s="3">
        <f>IF(AND('Data Source'!B897&lt;&gt;"",'Data Source'!S897="F"),IF('Data Source'!V897&gt;=5,"A+",IF('Data Source'!V897&gt;=4,"A",IF('Data Source'!V897&gt;=3.5,"A-",IF('Data Source'!V897&gt;=3,"B",IF('Data Source'!V897&gt;=2,"C",IF('Data Source'!V897&gt;=1,"D","F")))))),"")</f>
        <v/>
      </c>
      <c r="E897" s="3">
        <f>IF(AND('Data Source'!B897&lt;&gt;"",'Data Source'!S897="F"),IF('Data Source'!W897&gt;=5,"A+",IF('Data Source'!W897&gt;=4,"A",IF('Data Source'!W897&gt;=3.5,"A-",IF('Data Source'!W897&gt;=3,"B",IF('Data Source'!W897&gt;=2,"C",IF('Data Source'!W897&gt;=1,"D","F")))))),"")</f>
        <v/>
      </c>
      <c r="F897" s="3">
        <f>IF(AND('Data Source'!B897&lt;&gt;"",'Data Source'!S897="F"),IF('Data Source'!X897&gt;=5,"A+",IF('Data Source'!X897&gt;=4,"A",IF('Data Source'!X897&gt;=3.5,"A-",IF('Data Source'!X897&gt;=3,"B",IF('Data Source'!X897&gt;=2,"C",IF('Data Source'!X897&gt;=1,"D","F")))))),"")</f>
        <v/>
      </c>
      <c r="G897" s="3">
        <f>IF(AND('Data Source'!B897&lt;&gt;"",'Data Source'!S897="F"),IF('Data Source'!Y897&gt;=5,"A+",IF('Data Source'!Y897&gt;=4,"A",IF('Data Source'!Y897&gt;=3.5,"A-",IF('Data Source'!Y897&gt;=3,"B",IF('Data Source'!Y897&gt;=2,"C",IF('Data Source'!Y897&gt;=1,"D","F")))))),"")</f>
        <v/>
      </c>
      <c r="H897" s="3">
        <f>IF(AND('Data Source'!B897&lt;&gt;"",'Data Source'!S897="F"),IF('Data Source'!Z897&gt;=5,"A+",IF('Data Source'!Z897&gt;=4,"A",IF('Data Source'!Z897&gt;=3.5,"A-",IF('Data Source'!Z897&gt;=3,"B",IF('Data Source'!Z897&gt;=2,"C",IF('Data Source'!Z897&gt;=1,"D","F")))))),"")</f>
        <v/>
      </c>
      <c r="I897" s="3">
        <f>IF(AND('Data Source'!B897&lt;&gt;"",'Data Source'!S897="F"),IF('Data Source'!AA897&gt;=5,"A+",IF('Data Source'!AA897&gt;=4,"A",IF('Data Source'!AA897&gt;=3.5,"A-",IF('Data Source'!AA897&gt;=3,"B",IF('Data Source'!AA897&gt;=2,"C",IF('Data Source'!AA897&gt;=1,"D","F")))))),"")</f>
        <v/>
      </c>
      <c r="J897" s="3">
        <f>IF(AND('Data Source'!B897&lt;&gt;"",'Data Source'!S897="F"),IF('Data Source'!AB897&gt;=5,"A+",IF('Data Source'!AB897&gt;=4,"A",IF('Data Source'!AB897&gt;=3.5,"A-",IF('Data Source'!AB897&gt;=3,"B",IF('Data Source'!AB897&gt;=2,"C",IF('Data Source'!AB897&gt;=1,"D","F")))))),"")</f>
        <v/>
      </c>
      <c r="K897" s="3">
        <f>IF(AND('Data Source'!B897&lt;&gt;"",'Data Source'!S897="F"),IF('Data Source'!AC897&gt;=5,"A+",IF('Data Source'!AC897&gt;=4,"A",IF('Data Source'!AC897&gt;=3.5,"A-",IF('Data Source'!AC897&gt;=3,"B",IF('Data Source'!AC897&gt;=2,"C",IF('Data Source'!AC897&gt;=1,"D","F")))))),"")</f>
        <v/>
      </c>
      <c r="L897" s="3">
        <f>IF(AND('Data Source'!B897&lt;&gt;"",'Data Source'!S897="F"),IF('Data Source'!AD897&gt;=5,"A+",IF('Data Source'!AD897&gt;=4,"A",IF('Data Source'!AD897&gt;=3.5,"A-",IF('Data Source'!AD897&gt;=3,"B",IF('Data Source'!AD897&gt;=2,"C",IF('Data Source'!AD897&gt;=1,"D","F")))))),"")</f>
        <v/>
      </c>
      <c r="M897" s="3">
        <f>IF(AND('Data Source'!B897&lt;&gt;"",'Data Source'!S897="F"),IF('Data Source'!AE897&gt;=5,"A+",IF('Data Source'!AE897&gt;=4,"A",IF('Data Source'!AE897&gt;=3.5,"A-",IF('Data Source'!AE897&gt;=3,"B",IF('Data Source'!AE897&gt;=2,"C",IF('Data Source'!AE897&gt;=1,"D","F")))))),"")</f>
        <v/>
      </c>
      <c r="N897" s="3">
        <f>IF(AND('Data Source'!B897&lt;&gt;"",'Data Source'!S897="F"),IF('Data Source'!AF897&gt;=5,"A+",IF('Data Source'!AF897&gt;=4,"A",IF('Data Source'!AF897&gt;=3.5,"A-",IF('Data Source'!AF897&gt;=3,"B",IF('Data Source'!AF897&gt;=2,"C",IF('Data Source'!AF897&gt;=1,"D","F")))))),"")</f>
        <v/>
      </c>
      <c r="O897" s="3">
        <f>IF(AND('Data Source'!B897&lt;&gt;"",'Data Source'!S897="F"),IF('Data Source'!AG897&gt;=5,"A+",IF('Data Source'!AG897&gt;=4,"A",IF('Data Source'!AG897&gt;=3.5,"A-",IF('Data Source'!AG897&gt;=3,"B",IF('Data Source'!AG897&gt;=2,"C",IF('Data Source'!AG897&gt;=1,"D","F")))))),"")</f>
        <v/>
      </c>
      <c r="P897" s="5">
        <f>IF(AND('Data Source'!B897&lt;&gt;"",'Data Source'!S897="F"),'Data Source'!R897,"")</f>
        <v/>
      </c>
      <c r="Q897" s="3">
        <f>IF(AND('Data Source'!B897&lt;&gt;"",'Data Source'!S897="F"),'Data Source'!S897,"")</f>
        <v/>
      </c>
    </row>
    <row r="898">
      <c r="A898" s="3">
        <f>IF(AND('Data Source'!B898&lt;&gt;"",'Data Source'!S898="F"),COUNTIF('Data Source'!$S$3:S898,"F"),"")</f>
        <v/>
      </c>
      <c r="B898">
        <f>IF(AND('Data Source'!B898&lt;&gt;"",'Data Source'!S898="F"),'Data Source'!B898,"")</f>
        <v/>
      </c>
      <c r="C898" s="3">
        <f>IF(AND('Data Source'!B898&lt;&gt;"",'Data Source'!S898="F"),IF('Data Source'!U898&gt;=5,"A+",IF('Data Source'!U898&gt;=4,"A",IF('Data Source'!U898&gt;=3.5,"A-",IF('Data Source'!U898&gt;=3,"B",IF('Data Source'!U898&gt;=2,"C",IF('Data Source'!U898&gt;=1,"D","F")))))),"")</f>
        <v/>
      </c>
      <c r="D898" s="3">
        <f>IF(AND('Data Source'!B898&lt;&gt;"",'Data Source'!S898="F"),IF('Data Source'!V898&gt;=5,"A+",IF('Data Source'!V898&gt;=4,"A",IF('Data Source'!V898&gt;=3.5,"A-",IF('Data Source'!V898&gt;=3,"B",IF('Data Source'!V898&gt;=2,"C",IF('Data Source'!V898&gt;=1,"D","F")))))),"")</f>
        <v/>
      </c>
      <c r="E898" s="3">
        <f>IF(AND('Data Source'!B898&lt;&gt;"",'Data Source'!S898="F"),IF('Data Source'!W898&gt;=5,"A+",IF('Data Source'!W898&gt;=4,"A",IF('Data Source'!W898&gt;=3.5,"A-",IF('Data Source'!W898&gt;=3,"B",IF('Data Source'!W898&gt;=2,"C",IF('Data Source'!W898&gt;=1,"D","F")))))),"")</f>
        <v/>
      </c>
      <c r="F898" s="3">
        <f>IF(AND('Data Source'!B898&lt;&gt;"",'Data Source'!S898="F"),IF('Data Source'!X898&gt;=5,"A+",IF('Data Source'!X898&gt;=4,"A",IF('Data Source'!X898&gt;=3.5,"A-",IF('Data Source'!X898&gt;=3,"B",IF('Data Source'!X898&gt;=2,"C",IF('Data Source'!X898&gt;=1,"D","F")))))),"")</f>
        <v/>
      </c>
      <c r="G898" s="3">
        <f>IF(AND('Data Source'!B898&lt;&gt;"",'Data Source'!S898="F"),IF('Data Source'!Y898&gt;=5,"A+",IF('Data Source'!Y898&gt;=4,"A",IF('Data Source'!Y898&gt;=3.5,"A-",IF('Data Source'!Y898&gt;=3,"B",IF('Data Source'!Y898&gt;=2,"C",IF('Data Source'!Y898&gt;=1,"D","F")))))),"")</f>
        <v/>
      </c>
      <c r="H898" s="3">
        <f>IF(AND('Data Source'!B898&lt;&gt;"",'Data Source'!S898="F"),IF('Data Source'!Z898&gt;=5,"A+",IF('Data Source'!Z898&gt;=4,"A",IF('Data Source'!Z898&gt;=3.5,"A-",IF('Data Source'!Z898&gt;=3,"B",IF('Data Source'!Z898&gt;=2,"C",IF('Data Source'!Z898&gt;=1,"D","F")))))),"")</f>
        <v/>
      </c>
      <c r="I898" s="3">
        <f>IF(AND('Data Source'!B898&lt;&gt;"",'Data Source'!S898="F"),IF('Data Source'!AA898&gt;=5,"A+",IF('Data Source'!AA898&gt;=4,"A",IF('Data Source'!AA898&gt;=3.5,"A-",IF('Data Source'!AA898&gt;=3,"B",IF('Data Source'!AA898&gt;=2,"C",IF('Data Source'!AA898&gt;=1,"D","F")))))),"")</f>
        <v/>
      </c>
      <c r="J898" s="3">
        <f>IF(AND('Data Source'!B898&lt;&gt;"",'Data Source'!S898="F"),IF('Data Source'!AB898&gt;=5,"A+",IF('Data Source'!AB898&gt;=4,"A",IF('Data Source'!AB898&gt;=3.5,"A-",IF('Data Source'!AB898&gt;=3,"B",IF('Data Source'!AB898&gt;=2,"C",IF('Data Source'!AB898&gt;=1,"D","F")))))),"")</f>
        <v/>
      </c>
      <c r="K898" s="3">
        <f>IF(AND('Data Source'!B898&lt;&gt;"",'Data Source'!S898="F"),IF('Data Source'!AC898&gt;=5,"A+",IF('Data Source'!AC898&gt;=4,"A",IF('Data Source'!AC898&gt;=3.5,"A-",IF('Data Source'!AC898&gt;=3,"B",IF('Data Source'!AC898&gt;=2,"C",IF('Data Source'!AC898&gt;=1,"D","F")))))),"")</f>
        <v/>
      </c>
      <c r="L898" s="3">
        <f>IF(AND('Data Source'!B898&lt;&gt;"",'Data Source'!S898="F"),IF('Data Source'!AD898&gt;=5,"A+",IF('Data Source'!AD898&gt;=4,"A",IF('Data Source'!AD898&gt;=3.5,"A-",IF('Data Source'!AD898&gt;=3,"B",IF('Data Source'!AD898&gt;=2,"C",IF('Data Source'!AD898&gt;=1,"D","F")))))),"")</f>
        <v/>
      </c>
      <c r="M898" s="3">
        <f>IF(AND('Data Source'!B898&lt;&gt;"",'Data Source'!S898="F"),IF('Data Source'!AE898&gt;=5,"A+",IF('Data Source'!AE898&gt;=4,"A",IF('Data Source'!AE898&gt;=3.5,"A-",IF('Data Source'!AE898&gt;=3,"B",IF('Data Source'!AE898&gt;=2,"C",IF('Data Source'!AE898&gt;=1,"D","F")))))),"")</f>
        <v/>
      </c>
      <c r="N898" s="3">
        <f>IF(AND('Data Source'!B898&lt;&gt;"",'Data Source'!S898="F"),IF('Data Source'!AF898&gt;=5,"A+",IF('Data Source'!AF898&gt;=4,"A",IF('Data Source'!AF898&gt;=3.5,"A-",IF('Data Source'!AF898&gt;=3,"B",IF('Data Source'!AF898&gt;=2,"C",IF('Data Source'!AF898&gt;=1,"D","F")))))),"")</f>
        <v/>
      </c>
      <c r="O898" s="3">
        <f>IF(AND('Data Source'!B898&lt;&gt;"",'Data Source'!S898="F"),IF('Data Source'!AG898&gt;=5,"A+",IF('Data Source'!AG898&gt;=4,"A",IF('Data Source'!AG898&gt;=3.5,"A-",IF('Data Source'!AG898&gt;=3,"B",IF('Data Source'!AG898&gt;=2,"C",IF('Data Source'!AG898&gt;=1,"D","F")))))),"")</f>
        <v/>
      </c>
      <c r="P898" s="5">
        <f>IF(AND('Data Source'!B898&lt;&gt;"",'Data Source'!S898="F"),'Data Source'!R898,"")</f>
        <v/>
      </c>
      <c r="Q898" s="3">
        <f>IF(AND('Data Source'!B898&lt;&gt;"",'Data Source'!S898="F"),'Data Source'!S898,"")</f>
        <v/>
      </c>
    </row>
    <row r="899">
      <c r="A899" s="3">
        <f>IF(AND('Data Source'!B899&lt;&gt;"",'Data Source'!S899="F"),COUNTIF('Data Source'!$S$3:S899,"F"),"")</f>
        <v/>
      </c>
      <c r="B899">
        <f>IF(AND('Data Source'!B899&lt;&gt;"",'Data Source'!S899="F"),'Data Source'!B899,"")</f>
        <v/>
      </c>
      <c r="C899" s="3">
        <f>IF(AND('Data Source'!B899&lt;&gt;"",'Data Source'!S899="F"),IF('Data Source'!U899&gt;=5,"A+",IF('Data Source'!U899&gt;=4,"A",IF('Data Source'!U899&gt;=3.5,"A-",IF('Data Source'!U899&gt;=3,"B",IF('Data Source'!U899&gt;=2,"C",IF('Data Source'!U899&gt;=1,"D","F")))))),"")</f>
        <v/>
      </c>
      <c r="D899" s="3">
        <f>IF(AND('Data Source'!B899&lt;&gt;"",'Data Source'!S899="F"),IF('Data Source'!V899&gt;=5,"A+",IF('Data Source'!V899&gt;=4,"A",IF('Data Source'!V899&gt;=3.5,"A-",IF('Data Source'!V899&gt;=3,"B",IF('Data Source'!V899&gt;=2,"C",IF('Data Source'!V899&gt;=1,"D","F")))))),"")</f>
        <v/>
      </c>
      <c r="E899" s="3">
        <f>IF(AND('Data Source'!B899&lt;&gt;"",'Data Source'!S899="F"),IF('Data Source'!W899&gt;=5,"A+",IF('Data Source'!W899&gt;=4,"A",IF('Data Source'!W899&gt;=3.5,"A-",IF('Data Source'!W899&gt;=3,"B",IF('Data Source'!W899&gt;=2,"C",IF('Data Source'!W899&gt;=1,"D","F")))))),"")</f>
        <v/>
      </c>
      <c r="F899" s="3">
        <f>IF(AND('Data Source'!B899&lt;&gt;"",'Data Source'!S899="F"),IF('Data Source'!X899&gt;=5,"A+",IF('Data Source'!X899&gt;=4,"A",IF('Data Source'!X899&gt;=3.5,"A-",IF('Data Source'!X899&gt;=3,"B",IF('Data Source'!X899&gt;=2,"C",IF('Data Source'!X899&gt;=1,"D","F")))))),"")</f>
        <v/>
      </c>
      <c r="G899" s="3">
        <f>IF(AND('Data Source'!B899&lt;&gt;"",'Data Source'!S899="F"),IF('Data Source'!Y899&gt;=5,"A+",IF('Data Source'!Y899&gt;=4,"A",IF('Data Source'!Y899&gt;=3.5,"A-",IF('Data Source'!Y899&gt;=3,"B",IF('Data Source'!Y899&gt;=2,"C",IF('Data Source'!Y899&gt;=1,"D","F")))))),"")</f>
        <v/>
      </c>
      <c r="H899" s="3">
        <f>IF(AND('Data Source'!B899&lt;&gt;"",'Data Source'!S899="F"),IF('Data Source'!Z899&gt;=5,"A+",IF('Data Source'!Z899&gt;=4,"A",IF('Data Source'!Z899&gt;=3.5,"A-",IF('Data Source'!Z899&gt;=3,"B",IF('Data Source'!Z899&gt;=2,"C",IF('Data Source'!Z899&gt;=1,"D","F")))))),"")</f>
        <v/>
      </c>
      <c r="I899" s="3">
        <f>IF(AND('Data Source'!B899&lt;&gt;"",'Data Source'!S899="F"),IF('Data Source'!AA899&gt;=5,"A+",IF('Data Source'!AA899&gt;=4,"A",IF('Data Source'!AA899&gt;=3.5,"A-",IF('Data Source'!AA899&gt;=3,"B",IF('Data Source'!AA899&gt;=2,"C",IF('Data Source'!AA899&gt;=1,"D","F")))))),"")</f>
        <v/>
      </c>
      <c r="J899" s="3">
        <f>IF(AND('Data Source'!B899&lt;&gt;"",'Data Source'!S899="F"),IF('Data Source'!AB899&gt;=5,"A+",IF('Data Source'!AB899&gt;=4,"A",IF('Data Source'!AB899&gt;=3.5,"A-",IF('Data Source'!AB899&gt;=3,"B",IF('Data Source'!AB899&gt;=2,"C",IF('Data Source'!AB899&gt;=1,"D","F")))))),"")</f>
        <v/>
      </c>
      <c r="K899" s="3">
        <f>IF(AND('Data Source'!B899&lt;&gt;"",'Data Source'!S899="F"),IF('Data Source'!AC899&gt;=5,"A+",IF('Data Source'!AC899&gt;=4,"A",IF('Data Source'!AC899&gt;=3.5,"A-",IF('Data Source'!AC899&gt;=3,"B",IF('Data Source'!AC899&gt;=2,"C",IF('Data Source'!AC899&gt;=1,"D","F")))))),"")</f>
        <v/>
      </c>
      <c r="L899" s="3">
        <f>IF(AND('Data Source'!B899&lt;&gt;"",'Data Source'!S899="F"),IF('Data Source'!AD899&gt;=5,"A+",IF('Data Source'!AD899&gt;=4,"A",IF('Data Source'!AD899&gt;=3.5,"A-",IF('Data Source'!AD899&gt;=3,"B",IF('Data Source'!AD899&gt;=2,"C",IF('Data Source'!AD899&gt;=1,"D","F")))))),"")</f>
        <v/>
      </c>
      <c r="M899" s="3">
        <f>IF(AND('Data Source'!B899&lt;&gt;"",'Data Source'!S899="F"),IF('Data Source'!AE899&gt;=5,"A+",IF('Data Source'!AE899&gt;=4,"A",IF('Data Source'!AE899&gt;=3.5,"A-",IF('Data Source'!AE899&gt;=3,"B",IF('Data Source'!AE899&gt;=2,"C",IF('Data Source'!AE899&gt;=1,"D","F")))))),"")</f>
        <v/>
      </c>
      <c r="N899" s="3">
        <f>IF(AND('Data Source'!B899&lt;&gt;"",'Data Source'!S899="F"),IF('Data Source'!AF899&gt;=5,"A+",IF('Data Source'!AF899&gt;=4,"A",IF('Data Source'!AF899&gt;=3.5,"A-",IF('Data Source'!AF899&gt;=3,"B",IF('Data Source'!AF899&gt;=2,"C",IF('Data Source'!AF899&gt;=1,"D","F")))))),"")</f>
        <v/>
      </c>
      <c r="O899" s="3">
        <f>IF(AND('Data Source'!B899&lt;&gt;"",'Data Source'!S899="F"),IF('Data Source'!AG899&gt;=5,"A+",IF('Data Source'!AG899&gt;=4,"A",IF('Data Source'!AG899&gt;=3.5,"A-",IF('Data Source'!AG899&gt;=3,"B",IF('Data Source'!AG899&gt;=2,"C",IF('Data Source'!AG899&gt;=1,"D","F")))))),"")</f>
        <v/>
      </c>
      <c r="P899" s="5">
        <f>IF(AND('Data Source'!B899&lt;&gt;"",'Data Source'!S899="F"),'Data Source'!R899,"")</f>
        <v/>
      </c>
      <c r="Q899" s="3">
        <f>IF(AND('Data Source'!B899&lt;&gt;"",'Data Source'!S899="F"),'Data Source'!S899,"")</f>
        <v/>
      </c>
    </row>
    <row r="900">
      <c r="A900" s="3">
        <f>IF(AND('Data Source'!B900&lt;&gt;"",'Data Source'!S900="F"),COUNTIF('Data Source'!$S$3:S900,"F"),"")</f>
        <v/>
      </c>
      <c r="B900">
        <f>IF(AND('Data Source'!B900&lt;&gt;"",'Data Source'!S900="F"),'Data Source'!B900,"")</f>
        <v/>
      </c>
      <c r="C900" s="3">
        <f>IF(AND('Data Source'!B900&lt;&gt;"",'Data Source'!S900="F"),IF('Data Source'!U900&gt;=5,"A+",IF('Data Source'!U900&gt;=4,"A",IF('Data Source'!U900&gt;=3.5,"A-",IF('Data Source'!U900&gt;=3,"B",IF('Data Source'!U900&gt;=2,"C",IF('Data Source'!U900&gt;=1,"D","F")))))),"")</f>
        <v/>
      </c>
      <c r="D900" s="3">
        <f>IF(AND('Data Source'!B900&lt;&gt;"",'Data Source'!S900="F"),IF('Data Source'!V900&gt;=5,"A+",IF('Data Source'!V900&gt;=4,"A",IF('Data Source'!V900&gt;=3.5,"A-",IF('Data Source'!V900&gt;=3,"B",IF('Data Source'!V900&gt;=2,"C",IF('Data Source'!V900&gt;=1,"D","F")))))),"")</f>
        <v/>
      </c>
      <c r="E900" s="3">
        <f>IF(AND('Data Source'!B900&lt;&gt;"",'Data Source'!S900="F"),IF('Data Source'!W900&gt;=5,"A+",IF('Data Source'!W900&gt;=4,"A",IF('Data Source'!W900&gt;=3.5,"A-",IF('Data Source'!W900&gt;=3,"B",IF('Data Source'!W900&gt;=2,"C",IF('Data Source'!W900&gt;=1,"D","F")))))),"")</f>
        <v/>
      </c>
      <c r="F900" s="3">
        <f>IF(AND('Data Source'!B900&lt;&gt;"",'Data Source'!S900="F"),IF('Data Source'!X900&gt;=5,"A+",IF('Data Source'!X900&gt;=4,"A",IF('Data Source'!X900&gt;=3.5,"A-",IF('Data Source'!X900&gt;=3,"B",IF('Data Source'!X900&gt;=2,"C",IF('Data Source'!X900&gt;=1,"D","F")))))),"")</f>
        <v/>
      </c>
      <c r="G900" s="3">
        <f>IF(AND('Data Source'!B900&lt;&gt;"",'Data Source'!S900="F"),IF('Data Source'!Y900&gt;=5,"A+",IF('Data Source'!Y900&gt;=4,"A",IF('Data Source'!Y900&gt;=3.5,"A-",IF('Data Source'!Y900&gt;=3,"B",IF('Data Source'!Y900&gt;=2,"C",IF('Data Source'!Y900&gt;=1,"D","F")))))),"")</f>
        <v/>
      </c>
      <c r="H900" s="3">
        <f>IF(AND('Data Source'!B900&lt;&gt;"",'Data Source'!S900="F"),IF('Data Source'!Z900&gt;=5,"A+",IF('Data Source'!Z900&gt;=4,"A",IF('Data Source'!Z900&gt;=3.5,"A-",IF('Data Source'!Z900&gt;=3,"B",IF('Data Source'!Z900&gt;=2,"C",IF('Data Source'!Z900&gt;=1,"D","F")))))),"")</f>
        <v/>
      </c>
      <c r="I900" s="3">
        <f>IF(AND('Data Source'!B900&lt;&gt;"",'Data Source'!S900="F"),IF('Data Source'!AA900&gt;=5,"A+",IF('Data Source'!AA900&gt;=4,"A",IF('Data Source'!AA900&gt;=3.5,"A-",IF('Data Source'!AA900&gt;=3,"B",IF('Data Source'!AA900&gt;=2,"C",IF('Data Source'!AA900&gt;=1,"D","F")))))),"")</f>
        <v/>
      </c>
      <c r="J900" s="3">
        <f>IF(AND('Data Source'!B900&lt;&gt;"",'Data Source'!S900="F"),IF('Data Source'!AB900&gt;=5,"A+",IF('Data Source'!AB900&gt;=4,"A",IF('Data Source'!AB900&gt;=3.5,"A-",IF('Data Source'!AB900&gt;=3,"B",IF('Data Source'!AB900&gt;=2,"C",IF('Data Source'!AB900&gt;=1,"D","F")))))),"")</f>
        <v/>
      </c>
      <c r="K900" s="3">
        <f>IF(AND('Data Source'!B900&lt;&gt;"",'Data Source'!S900="F"),IF('Data Source'!AC900&gt;=5,"A+",IF('Data Source'!AC900&gt;=4,"A",IF('Data Source'!AC900&gt;=3.5,"A-",IF('Data Source'!AC900&gt;=3,"B",IF('Data Source'!AC900&gt;=2,"C",IF('Data Source'!AC900&gt;=1,"D","F")))))),"")</f>
        <v/>
      </c>
      <c r="L900" s="3">
        <f>IF(AND('Data Source'!B900&lt;&gt;"",'Data Source'!S900="F"),IF('Data Source'!AD900&gt;=5,"A+",IF('Data Source'!AD900&gt;=4,"A",IF('Data Source'!AD900&gt;=3.5,"A-",IF('Data Source'!AD900&gt;=3,"B",IF('Data Source'!AD900&gt;=2,"C",IF('Data Source'!AD900&gt;=1,"D","F")))))),"")</f>
        <v/>
      </c>
      <c r="M900" s="3">
        <f>IF(AND('Data Source'!B900&lt;&gt;"",'Data Source'!S900="F"),IF('Data Source'!AE900&gt;=5,"A+",IF('Data Source'!AE900&gt;=4,"A",IF('Data Source'!AE900&gt;=3.5,"A-",IF('Data Source'!AE900&gt;=3,"B",IF('Data Source'!AE900&gt;=2,"C",IF('Data Source'!AE900&gt;=1,"D","F")))))),"")</f>
        <v/>
      </c>
      <c r="N900" s="3">
        <f>IF(AND('Data Source'!B900&lt;&gt;"",'Data Source'!S900="F"),IF('Data Source'!AF900&gt;=5,"A+",IF('Data Source'!AF900&gt;=4,"A",IF('Data Source'!AF900&gt;=3.5,"A-",IF('Data Source'!AF900&gt;=3,"B",IF('Data Source'!AF900&gt;=2,"C",IF('Data Source'!AF900&gt;=1,"D","F")))))),"")</f>
        <v/>
      </c>
      <c r="O900" s="3">
        <f>IF(AND('Data Source'!B900&lt;&gt;"",'Data Source'!S900="F"),IF('Data Source'!AG900&gt;=5,"A+",IF('Data Source'!AG900&gt;=4,"A",IF('Data Source'!AG900&gt;=3.5,"A-",IF('Data Source'!AG900&gt;=3,"B",IF('Data Source'!AG900&gt;=2,"C",IF('Data Source'!AG900&gt;=1,"D","F")))))),"")</f>
        <v/>
      </c>
      <c r="P900" s="5">
        <f>IF(AND('Data Source'!B900&lt;&gt;"",'Data Source'!S900="F"),'Data Source'!R900,"")</f>
        <v/>
      </c>
      <c r="Q900" s="3">
        <f>IF(AND('Data Source'!B900&lt;&gt;"",'Data Source'!S900="F"),'Data Source'!S900,"")</f>
        <v/>
      </c>
    </row>
    <row r="901">
      <c r="A901" s="3">
        <f>IF(AND('Data Source'!B901&lt;&gt;"",'Data Source'!S901="F"),COUNTIF('Data Source'!$S$3:S901,"F"),"")</f>
        <v/>
      </c>
      <c r="B901">
        <f>IF(AND('Data Source'!B901&lt;&gt;"",'Data Source'!S901="F"),'Data Source'!B901,"")</f>
        <v/>
      </c>
      <c r="C901" s="3">
        <f>IF(AND('Data Source'!B901&lt;&gt;"",'Data Source'!S901="F"),IF('Data Source'!U901&gt;=5,"A+",IF('Data Source'!U901&gt;=4,"A",IF('Data Source'!U901&gt;=3.5,"A-",IF('Data Source'!U901&gt;=3,"B",IF('Data Source'!U901&gt;=2,"C",IF('Data Source'!U901&gt;=1,"D","F")))))),"")</f>
        <v/>
      </c>
      <c r="D901" s="3">
        <f>IF(AND('Data Source'!B901&lt;&gt;"",'Data Source'!S901="F"),IF('Data Source'!V901&gt;=5,"A+",IF('Data Source'!V901&gt;=4,"A",IF('Data Source'!V901&gt;=3.5,"A-",IF('Data Source'!V901&gt;=3,"B",IF('Data Source'!V901&gt;=2,"C",IF('Data Source'!V901&gt;=1,"D","F")))))),"")</f>
        <v/>
      </c>
      <c r="E901" s="3">
        <f>IF(AND('Data Source'!B901&lt;&gt;"",'Data Source'!S901="F"),IF('Data Source'!W901&gt;=5,"A+",IF('Data Source'!W901&gt;=4,"A",IF('Data Source'!W901&gt;=3.5,"A-",IF('Data Source'!W901&gt;=3,"B",IF('Data Source'!W901&gt;=2,"C",IF('Data Source'!W901&gt;=1,"D","F")))))),"")</f>
        <v/>
      </c>
      <c r="F901" s="3">
        <f>IF(AND('Data Source'!B901&lt;&gt;"",'Data Source'!S901="F"),IF('Data Source'!X901&gt;=5,"A+",IF('Data Source'!X901&gt;=4,"A",IF('Data Source'!X901&gt;=3.5,"A-",IF('Data Source'!X901&gt;=3,"B",IF('Data Source'!X901&gt;=2,"C",IF('Data Source'!X901&gt;=1,"D","F")))))),"")</f>
        <v/>
      </c>
      <c r="G901" s="3">
        <f>IF(AND('Data Source'!B901&lt;&gt;"",'Data Source'!S901="F"),IF('Data Source'!Y901&gt;=5,"A+",IF('Data Source'!Y901&gt;=4,"A",IF('Data Source'!Y901&gt;=3.5,"A-",IF('Data Source'!Y901&gt;=3,"B",IF('Data Source'!Y901&gt;=2,"C",IF('Data Source'!Y901&gt;=1,"D","F")))))),"")</f>
        <v/>
      </c>
      <c r="H901" s="3">
        <f>IF(AND('Data Source'!B901&lt;&gt;"",'Data Source'!S901="F"),IF('Data Source'!Z901&gt;=5,"A+",IF('Data Source'!Z901&gt;=4,"A",IF('Data Source'!Z901&gt;=3.5,"A-",IF('Data Source'!Z901&gt;=3,"B",IF('Data Source'!Z901&gt;=2,"C",IF('Data Source'!Z901&gt;=1,"D","F")))))),"")</f>
        <v/>
      </c>
      <c r="I901" s="3">
        <f>IF(AND('Data Source'!B901&lt;&gt;"",'Data Source'!S901="F"),IF('Data Source'!AA901&gt;=5,"A+",IF('Data Source'!AA901&gt;=4,"A",IF('Data Source'!AA901&gt;=3.5,"A-",IF('Data Source'!AA901&gt;=3,"B",IF('Data Source'!AA901&gt;=2,"C",IF('Data Source'!AA901&gt;=1,"D","F")))))),"")</f>
        <v/>
      </c>
      <c r="J901" s="3">
        <f>IF(AND('Data Source'!B901&lt;&gt;"",'Data Source'!S901="F"),IF('Data Source'!AB901&gt;=5,"A+",IF('Data Source'!AB901&gt;=4,"A",IF('Data Source'!AB901&gt;=3.5,"A-",IF('Data Source'!AB901&gt;=3,"B",IF('Data Source'!AB901&gt;=2,"C",IF('Data Source'!AB901&gt;=1,"D","F")))))),"")</f>
        <v/>
      </c>
      <c r="K901" s="3">
        <f>IF(AND('Data Source'!B901&lt;&gt;"",'Data Source'!S901="F"),IF('Data Source'!AC901&gt;=5,"A+",IF('Data Source'!AC901&gt;=4,"A",IF('Data Source'!AC901&gt;=3.5,"A-",IF('Data Source'!AC901&gt;=3,"B",IF('Data Source'!AC901&gt;=2,"C",IF('Data Source'!AC901&gt;=1,"D","F")))))),"")</f>
        <v/>
      </c>
      <c r="L901" s="3">
        <f>IF(AND('Data Source'!B901&lt;&gt;"",'Data Source'!S901="F"),IF('Data Source'!AD901&gt;=5,"A+",IF('Data Source'!AD901&gt;=4,"A",IF('Data Source'!AD901&gt;=3.5,"A-",IF('Data Source'!AD901&gt;=3,"B",IF('Data Source'!AD901&gt;=2,"C",IF('Data Source'!AD901&gt;=1,"D","F")))))),"")</f>
        <v/>
      </c>
      <c r="M901" s="3">
        <f>IF(AND('Data Source'!B901&lt;&gt;"",'Data Source'!S901="F"),IF('Data Source'!AE901&gt;=5,"A+",IF('Data Source'!AE901&gt;=4,"A",IF('Data Source'!AE901&gt;=3.5,"A-",IF('Data Source'!AE901&gt;=3,"B",IF('Data Source'!AE901&gt;=2,"C",IF('Data Source'!AE901&gt;=1,"D","F")))))),"")</f>
        <v/>
      </c>
      <c r="N901" s="3">
        <f>IF(AND('Data Source'!B901&lt;&gt;"",'Data Source'!S901="F"),IF('Data Source'!AF901&gt;=5,"A+",IF('Data Source'!AF901&gt;=4,"A",IF('Data Source'!AF901&gt;=3.5,"A-",IF('Data Source'!AF901&gt;=3,"B",IF('Data Source'!AF901&gt;=2,"C",IF('Data Source'!AF901&gt;=1,"D","F")))))),"")</f>
        <v/>
      </c>
      <c r="O901" s="3">
        <f>IF(AND('Data Source'!B901&lt;&gt;"",'Data Source'!S901="F"),IF('Data Source'!AG901&gt;=5,"A+",IF('Data Source'!AG901&gt;=4,"A",IF('Data Source'!AG901&gt;=3.5,"A-",IF('Data Source'!AG901&gt;=3,"B",IF('Data Source'!AG901&gt;=2,"C",IF('Data Source'!AG901&gt;=1,"D","F")))))),"")</f>
        <v/>
      </c>
      <c r="P901" s="5">
        <f>IF(AND('Data Source'!B901&lt;&gt;"",'Data Source'!S901="F"),'Data Source'!R901,"")</f>
        <v/>
      </c>
      <c r="Q901" s="3">
        <f>IF(AND('Data Source'!B901&lt;&gt;"",'Data Source'!S901="F"),'Data Source'!S901,"")</f>
        <v/>
      </c>
    </row>
    <row r="902">
      <c r="A902" s="3">
        <f>IF(AND('Data Source'!B902&lt;&gt;"",'Data Source'!S902="F"),COUNTIF('Data Source'!$S$3:S902,"F"),"")</f>
        <v/>
      </c>
      <c r="B902">
        <f>IF(AND('Data Source'!B902&lt;&gt;"",'Data Source'!S902="F"),'Data Source'!B902,"")</f>
        <v/>
      </c>
      <c r="C902" s="3">
        <f>IF(AND('Data Source'!B902&lt;&gt;"",'Data Source'!S902="F"),IF('Data Source'!U902&gt;=5,"A+",IF('Data Source'!U902&gt;=4,"A",IF('Data Source'!U902&gt;=3.5,"A-",IF('Data Source'!U902&gt;=3,"B",IF('Data Source'!U902&gt;=2,"C",IF('Data Source'!U902&gt;=1,"D","F")))))),"")</f>
        <v/>
      </c>
      <c r="D902" s="3">
        <f>IF(AND('Data Source'!B902&lt;&gt;"",'Data Source'!S902="F"),IF('Data Source'!V902&gt;=5,"A+",IF('Data Source'!V902&gt;=4,"A",IF('Data Source'!V902&gt;=3.5,"A-",IF('Data Source'!V902&gt;=3,"B",IF('Data Source'!V902&gt;=2,"C",IF('Data Source'!V902&gt;=1,"D","F")))))),"")</f>
        <v/>
      </c>
      <c r="E902" s="3">
        <f>IF(AND('Data Source'!B902&lt;&gt;"",'Data Source'!S902="F"),IF('Data Source'!W902&gt;=5,"A+",IF('Data Source'!W902&gt;=4,"A",IF('Data Source'!W902&gt;=3.5,"A-",IF('Data Source'!W902&gt;=3,"B",IF('Data Source'!W902&gt;=2,"C",IF('Data Source'!W902&gt;=1,"D","F")))))),"")</f>
        <v/>
      </c>
      <c r="F902" s="3">
        <f>IF(AND('Data Source'!B902&lt;&gt;"",'Data Source'!S902="F"),IF('Data Source'!X902&gt;=5,"A+",IF('Data Source'!X902&gt;=4,"A",IF('Data Source'!X902&gt;=3.5,"A-",IF('Data Source'!X902&gt;=3,"B",IF('Data Source'!X902&gt;=2,"C",IF('Data Source'!X902&gt;=1,"D","F")))))),"")</f>
        <v/>
      </c>
      <c r="G902" s="3">
        <f>IF(AND('Data Source'!B902&lt;&gt;"",'Data Source'!S902="F"),IF('Data Source'!Y902&gt;=5,"A+",IF('Data Source'!Y902&gt;=4,"A",IF('Data Source'!Y902&gt;=3.5,"A-",IF('Data Source'!Y902&gt;=3,"B",IF('Data Source'!Y902&gt;=2,"C",IF('Data Source'!Y902&gt;=1,"D","F")))))),"")</f>
        <v/>
      </c>
      <c r="H902" s="3">
        <f>IF(AND('Data Source'!B902&lt;&gt;"",'Data Source'!S902="F"),IF('Data Source'!Z902&gt;=5,"A+",IF('Data Source'!Z902&gt;=4,"A",IF('Data Source'!Z902&gt;=3.5,"A-",IF('Data Source'!Z902&gt;=3,"B",IF('Data Source'!Z902&gt;=2,"C",IF('Data Source'!Z902&gt;=1,"D","F")))))),"")</f>
        <v/>
      </c>
      <c r="I902" s="3">
        <f>IF(AND('Data Source'!B902&lt;&gt;"",'Data Source'!S902="F"),IF('Data Source'!AA902&gt;=5,"A+",IF('Data Source'!AA902&gt;=4,"A",IF('Data Source'!AA902&gt;=3.5,"A-",IF('Data Source'!AA902&gt;=3,"B",IF('Data Source'!AA902&gt;=2,"C",IF('Data Source'!AA902&gt;=1,"D","F")))))),"")</f>
        <v/>
      </c>
      <c r="J902" s="3">
        <f>IF(AND('Data Source'!B902&lt;&gt;"",'Data Source'!S902="F"),IF('Data Source'!AB902&gt;=5,"A+",IF('Data Source'!AB902&gt;=4,"A",IF('Data Source'!AB902&gt;=3.5,"A-",IF('Data Source'!AB902&gt;=3,"B",IF('Data Source'!AB902&gt;=2,"C",IF('Data Source'!AB902&gt;=1,"D","F")))))),"")</f>
        <v/>
      </c>
      <c r="K902" s="3">
        <f>IF(AND('Data Source'!B902&lt;&gt;"",'Data Source'!S902="F"),IF('Data Source'!AC902&gt;=5,"A+",IF('Data Source'!AC902&gt;=4,"A",IF('Data Source'!AC902&gt;=3.5,"A-",IF('Data Source'!AC902&gt;=3,"B",IF('Data Source'!AC902&gt;=2,"C",IF('Data Source'!AC902&gt;=1,"D","F")))))),"")</f>
        <v/>
      </c>
      <c r="L902" s="3">
        <f>IF(AND('Data Source'!B902&lt;&gt;"",'Data Source'!S902="F"),IF('Data Source'!AD902&gt;=5,"A+",IF('Data Source'!AD902&gt;=4,"A",IF('Data Source'!AD902&gt;=3.5,"A-",IF('Data Source'!AD902&gt;=3,"B",IF('Data Source'!AD902&gt;=2,"C",IF('Data Source'!AD902&gt;=1,"D","F")))))),"")</f>
        <v/>
      </c>
      <c r="M902" s="3">
        <f>IF(AND('Data Source'!B902&lt;&gt;"",'Data Source'!S902="F"),IF('Data Source'!AE902&gt;=5,"A+",IF('Data Source'!AE902&gt;=4,"A",IF('Data Source'!AE902&gt;=3.5,"A-",IF('Data Source'!AE902&gt;=3,"B",IF('Data Source'!AE902&gt;=2,"C",IF('Data Source'!AE902&gt;=1,"D","F")))))),"")</f>
        <v/>
      </c>
      <c r="N902" s="3">
        <f>IF(AND('Data Source'!B902&lt;&gt;"",'Data Source'!S902="F"),IF('Data Source'!AF902&gt;=5,"A+",IF('Data Source'!AF902&gt;=4,"A",IF('Data Source'!AF902&gt;=3.5,"A-",IF('Data Source'!AF902&gt;=3,"B",IF('Data Source'!AF902&gt;=2,"C",IF('Data Source'!AF902&gt;=1,"D","F")))))),"")</f>
        <v/>
      </c>
      <c r="O902" s="3">
        <f>IF(AND('Data Source'!B902&lt;&gt;"",'Data Source'!S902="F"),IF('Data Source'!AG902&gt;=5,"A+",IF('Data Source'!AG902&gt;=4,"A",IF('Data Source'!AG902&gt;=3.5,"A-",IF('Data Source'!AG902&gt;=3,"B",IF('Data Source'!AG902&gt;=2,"C",IF('Data Source'!AG902&gt;=1,"D","F")))))),"")</f>
        <v/>
      </c>
      <c r="P902" s="5">
        <f>IF(AND('Data Source'!B902&lt;&gt;"",'Data Source'!S902="F"),'Data Source'!R902,"")</f>
        <v/>
      </c>
      <c r="Q902" s="3">
        <f>IF(AND('Data Source'!B902&lt;&gt;"",'Data Source'!S902="F"),'Data Source'!S902,"")</f>
        <v/>
      </c>
    </row>
    <row r="903">
      <c r="A903" s="3">
        <f>IF(AND('Data Source'!B903&lt;&gt;"",'Data Source'!S903="F"),COUNTIF('Data Source'!$S$3:S903,"F"),"")</f>
        <v/>
      </c>
      <c r="B903">
        <f>IF(AND('Data Source'!B903&lt;&gt;"",'Data Source'!S903="F"),'Data Source'!B903,"")</f>
        <v/>
      </c>
      <c r="C903" s="3">
        <f>IF(AND('Data Source'!B903&lt;&gt;"",'Data Source'!S903="F"),IF('Data Source'!U903&gt;=5,"A+",IF('Data Source'!U903&gt;=4,"A",IF('Data Source'!U903&gt;=3.5,"A-",IF('Data Source'!U903&gt;=3,"B",IF('Data Source'!U903&gt;=2,"C",IF('Data Source'!U903&gt;=1,"D","F")))))),"")</f>
        <v/>
      </c>
      <c r="D903" s="3">
        <f>IF(AND('Data Source'!B903&lt;&gt;"",'Data Source'!S903="F"),IF('Data Source'!V903&gt;=5,"A+",IF('Data Source'!V903&gt;=4,"A",IF('Data Source'!V903&gt;=3.5,"A-",IF('Data Source'!V903&gt;=3,"B",IF('Data Source'!V903&gt;=2,"C",IF('Data Source'!V903&gt;=1,"D","F")))))),"")</f>
        <v/>
      </c>
      <c r="E903" s="3">
        <f>IF(AND('Data Source'!B903&lt;&gt;"",'Data Source'!S903="F"),IF('Data Source'!W903&gt;=5,"A+",IF('Data Source'!W903&gt;=4,"A",IF('Data Source'!W903&gt;=3.5,"A-",IF('Data Source'!W903&gt;=3,"B",IF('Data Source'!W903&gt;=2,"C",IF('Data Source'!W903&gt;=1,"D","F")))))),"")</f>
        <v/>
      </c>
      <c r="F903" s="3">
        <f>IF(AND('Data Source'!B903&lt;&gt;"",'Data Source'!S903="F"),IF('Data Source'!X903&gt;=5,"A+",IF('Data Source'!X903&gt;=4,"A",IF('Data Source'!X903&gt;=3.5,"A-",IF('Data Source'!X903&gt;=3,"B",IF('Data Source'!X903&gt;=2,"C",IF('Data Source'!X903&gt;=1,"D","F")))))),"")</f>
        <v/>
      </c>
      <c r="G903" s="3">
        <f>IF(AND('Data Source'!B903&lt;&gt;"",'Data Source'!S903="F"),IF('Data Source'!Y903&gt;=5,"A+",IF('Data Source'!Y903&gt;=4,"A",IF('Data Source'!Y903&gt;=3.5,"A-",IF('Data Source'!Y903&gt;=3,"B",IF('Data Source'!Y903&gt;=2,"C",IF('Data Source'!Y903&gt;=1,"D","F")))))),"")</f>
        <v/>
      </c>
      <c r="H903" s="3">
        <f>IF(AND('Data Source'!B903&lt;&gt;"",'Data Source'!S903="F"),IF('Data Source'!Z903&gt;=5,"A+",IF('Data Source'!Z903&gt;=4,"A",IF('Data Source'!Z903&gt;=3.5,"A-",IF('Data Source'!Z903&gt;=3,"B",IF('Data Source'!Z903&gt;=2,"C",IF('Data Source'!Z903&gt;=1,"D","F")))))),"")</f>
        <v/>
      </c>
      <c r="I903" s="3">
        <f>IF(AND('Data Source'!B903&lt;&gt;"",'Data Source'!S903="F"),IF('Data Source'!AA903&gt;=5,"A+",IF('Data Source'!AA903&gt;=4,"A",IF('Data Source'!AA903&gt;=3.5,"A-",IF('Data Source'!AA903&gt;=3,"B",IF('Data Source'!AA903&gt;=2,"C",IF('Data Source'!AA903&gt;=1,"D","F")))))),"")</f>
        <v/>
      </c>
      <c r="J903" s="3">
        <f>IF(AND('Data Source'!B903&lt;&gt;"",'Data Source'!S903="F"),IF('Data Source'!AB903&gt;=5,"A+",IF('Data Source'!AB903&gt;=4,"A",IF('Data Source'!AB903&gt;=3.5,"A-",IF('Data Source'!AB903&gt;=3,"B",IF('Data Source'!AB903&gt;=2,"C",IF('Data Source'!AB903&gt;=1,"D","F")))))),"")</f>
        <v/>
      </c>
      <c r="K903" s="3">
        <f>IF(AND('Data Source'!B903&lt;&gt;"",'Data Source'!S903="F"),IF('Data Source'!AC903&gt;=5,"A+",IF('Data Source'!AC903&gt;=4,"A",IF('Data Source'!AC903&gt;=3.5,"A-",IF('Data Source'!AC903&gt;=3,"B",IF('Data Source'!AC903&gt;=2,"C",IF('Data Source'!AC903&gt;=1,"D","F")))))),"")</f>
        <v/>
      </c>
      <c r="L903" s="3">
        <f>IF(AND('Data Source'!B903&lt;&gt;"",'Data Source'!S903="F"),IF('Data Source'!AD903&gt;=5,"A+",IF('Data Source'!AD903&gt;=4,"A",IF('Data Source'!AD903&gt;=3.5,"A-",IF('Data Source'!AD903&gt;=3,"B",IF('Data Source'!AD903&gt;=2,"C",IF('Data Source'!AD903&gt;=1,"D","F")))))),"")</f>
        <v/>
      </c>
      <c r="M903" s="3">
        <f>IF(AND('Data Source'!B903&lt;&gt;"",'Data Source'!S903="F"),IF('Data Source'!AE903&gt;=5,"A+",IF('Data Source'!AE903&gt;=4,"A",IF('Data Source'!AE903&gt;=3.5,"A-",IF('Data Source'!AE903&gt;=3,"B",IF('Data Source'!AE903&gt;=2,"C",IF('Data Source'!AE903&gt;=1,"D","F")))))),"")</f>
        <v/>
      </c>
      <c r="N903" s="3">
        <f>IF(AND('Data Source'!B903&lt;&gt;"",'Data Source'!S903="F"),IF('Data Source'!AF903&gt;=5,"A+",IF('Data Source'!AF903&gt;=4,"A",IF('Data Source'!AF903&gt;=3.5,"A-",IF('Data Source'!AF903&gt;=3,"B",IF('Data Source'!AF903&gt;=2,"C",IF('Data Source'!AF903&gt;=1,"D","F")))))),"")</f>
        <v/>
      </c>
      <c r="O903" s="3">
        <f>IF(AND('Data Source'!B903&lt;&gt;"",'Data Source'!S903="F"),IF('Data Source'!AG903&gt;=5,"A+",IF('Data Source'!AG903&gt;=4,"A",IF('Data Source'!AG903&gt;=3.5,"A-",IF('Data Source'!AG903&gt;=3,"B",IF('Data Source'!AG903&gt;=2,"C",IF('Data Source'!AG903&gt;=1,"D","F")))))),"")</f>
        <v/>
      </c>
      <c r="P903" s="5">
        <f>IF(AND('Data Source'!B903&lt;&gt;"",'Data Source'!S903="F"),'Data Source'!R903,"")</f>
        <v/>
      </c>
      <c r="Q903" s="3">
        <f>IF(AND('Data Source'!B903&lt;&gt;"",'Data Source'!S903="F"),'Data Source'!S903,"")</f>
        <v/>
      </c>
    </row>
    <row r="904">
      <c r="A904" s="3">
        <f>IF(AND('Data Source'!B904&lt;&gt;"",'Data Source'!S904="F"),COUNTIF('Data Source'!$S$3:S904,"F"),"")</f>
        <v/>
      </c>
      <c r="B904">
        <f>IF(AND('Data Source'!B904&lt;&gt;"",'Data Source'!S904="F"),'Data Source'!B904,"")</f>
        <v/>
      </c>
      <c r="C904" s="3">
        <f>IF(AND('Data Source'!B904&lt;&gt;"",'Data Source'!S904="F"),IF('Data Source'!U904&gt;=5,"A+",IF('Data Source'!U904&gt;=4,"A",IF('Data Source'!U904&gt;=3.5,"A-",IF('Data Source'!U904&gt;=3,"B",IF('Data Source'!U904&gt;=2,"C",IF('Data Source'!U904&gt;=1,"D","F")))))),"")</f>
        <v/>
      </c>
      <c r="D904" s="3">
        <f>IF(AND('Data Source'!B904&lt;&gt;"",'Data Source'!S904="F"),IF('Data Source'!V904&gt;=5,"A+",IF('Data Source'!V904&gt;=4,"A",IF('Data Source'!V904&gt;=3.5,"A-",IF('Data Source'!V904&gt;=3,"B",IF('Data Source'!V904&gt;=2,"C",IF('Data Source'!V904&gt;=1,"D","F")))))),"")</f>
        <v/>
      </c>
      <c r="E904" s="3">
        <f>IF(AND('Data Source'!B904&lt;&gt;"",'Data Source'!S904="F"),IF('Data Source'!W904&gt;=5,"A+",IF('Data Source'!W904&gt;=4,"A",IF('Data Source'!W904&gt;=3.5,"A-",IF('Data Source'!W904&gt;=3,"B",IF('Data Source'!W904&gt;=2,"C",IF('Data Source'!W904&gt;=1,"D","F")))))),"")</f>
        <v/>
      </c>
      <c r="F904" s="3">
        <f>IF(AND('Data Source'!B904&lt;&gt;"",'Data Source'!S904="F"),IF('Data Source'!X904&gt;=5,"A+",IF('Data Source'!X904&gt;=4,"A",IF('Data Source'!X904&gt;=3.5,"A-",IF('Data Source'!X904&gt;=3,"B",IF('Data Source'!X904&gt;=2,"C",IF('Data Source'!X904&gt;=1,"D","F")))))),"")</f>
        <v/>
      </c>
      <c r="G904" s="3">
        <f>IF(AND('Data Source'!B904&lt;&gt;"",'Data Source'!S904="F"),IF('Data Source'!Y904&gt;=5,"A+",IF('Data Source'!Y904&gt;=4,"A",IF('Data Source'!Y904&gt;=3.5,"A-",IF('Data Source'!Y904&gt;=3,"B",IF('Data Source'!Y904&gt;=2,"C",IF('Data Source'!Y904&gt;=1,"D","F")))))),"")</f>
        <v/>
      </c>
      <c r="H904" s="3">
        <f>IF(AND('Data Source'!B904&lt;&gt;"",'Data Source'!S904="F"),IF('Data Source'!Z904&gt;=5,"A+",IF('Data Source'!Z904&gt;=4,"A",IF('Data Source'!Z904&gt;=3.5,"A-",IF('Data Source'!Z904&gt;=3,"B",IF('Data Source'!Z904&gt;=2,"C",IF('Data Source'!Z904&gt;=1,"D","F")))))),"")</f>
        <v/>
      </c>
      <c r="I904" s="3">
        <f>IF(AND('Data Source'!B904&lt;&gt;"",'Data Source'!S904="F"),IF('Data Source'!AA904&gt;=5,"A+",IF('Data Source'!AA904&gt;=4,"A",IF('Data Source'!AA904&gt;=3.5,"A-",IF('Data Source'!AA904&gt;=3,"B",IF('Data Source'!AA904&gt;=2,"C",IF('Data Source'!AA904&gt;=1,"D","F")))))),"")</f>
        <v/>
      </c>
      <c r="J904" s="3">
        <f>IF(AND('Data Source'!B904&lt;&gt;"",'Data Source'!S904="F"),IF('Data Source'!AB904&gt;=5,"A+",IF('Data Source'!AB904&gt;=4,"A",IF('Data Source'!AB904&gt;=3.5,"A-",IF('Data Source'!AB904&gt;=3,"B",IF('Data Source'!AB904&gt;=2,"C",IF('Data Source'!AB904&gt;=1,"D","F")))))),"")</f>
        <v/>
      </c>
      <c r="K904" s="3">
        <f>IF(AND('Data Source'!B904&lt;&gt;"",'Data Source'!S904="F"),IF('Data Source'!AC904&gt;=5,"A+",IF('Data Source'!AC904&gt;=4,"A",IF('Data Source'!AC904&gt;=3.5,"A-",IF('Data Source'!AC904&gt;=3,"B",IF('Data Source'!AC904&gt;=2,"C",IF('Data Source'!AC904&gt;=1,"D","F")))))),"")</f>
        <v/>
      </c>
      <c r="L904" s="3">
        <f>IF(AND('Data Source'!B904&lt;&gt;"",'Data Source'!S904="F"),IF('Data Source'!AD904&gt;=5,"A+",IF('Data Source'!AD904&gt;=4,"A",IF('Data Source'!AD904&gt;=3.5,"A-",IF('Data Source'!AD904&gt;=3,"B",IF('Data Source'!AD904&gt;=2,"C",IF('Data Source'!AD904&gt;=1,"D","F")))))),"")</f>
        <v/>
      </c>
      <c r="M904" s="3">
        <f>IF(AND('Data Source'!B904&lt;&gt;"",'Data Source'!S904="F"),IF('Data Source'!AE904&gt;=5,"A+",IF('Data Source'!AE904&gt;=4,"A",IF('Data Source'!AE904&gt;=3.5,"A-",IF('Data Source'!AE904&gt;=3,"B",IF('Data Source'!AE904&gt;=2,"C",IF('Data Source'!AE904&gt;=1,"D","F")))))),"")</f>
        <v/>
      </c>
      <c r="N904" s="3">
        <f>IF(AND('Data Source'!B904&lt;&gt;"",'Data Source'!S904="F"),IF('Data Source'!AF904&gt;=5,"A+",IF('Data Source'!AF904&gt;=4,"A",IF('Data Source'!AF904&gt;=3.5,"A-",IF('Data Source'!AF904&gt;=3,"B",IF('Data Source'!AF904&gt;=2,"C",IF('Data Source'!AF904&gt;=1,"D","F")))))),"")</f>
        <v/>
      </c>
      <c r="O904" s="3">
        <f>IF(AND('Data Source'!B904&lt;&gt;"",'Data Source'!S904="F"),IF('Data Source'!AG904&gt;=5,"A+",IF('Data Source'!AG904&gt;=4,"A",IF('Data Source'!AG904&gt;=3.5,"A-",IF('Data Source'!AG904&gt;=3,"B",IF('Data Source'!AG904&gt;=2,"C",IF('Data Source'!AG904&gt;=1,"D","F")))))),"")</f>
        <v/>
      </c>
      <c r="P904" s="5">
        <f>IF(AND('Data Source'!B904&lt;&gt;"",'Data Source'!S904="F"),'Data Source'!R904,"")</f>
        <v/>
      </c>
      <c r="Q904" s="3">
        <f>IF(AND('Data Source'!B904&lt;&gt;"",'Data Source'!S904="F"),'Data Source'!S904,"")</f>
        <v/>
      </c>
    </row>
    <row r="905">
      <c r="A905" s="3">
        <f>IF(AND('Data Source'!B905&lt;&gt;"",'Data Source'!S905="F"),COUNTIF('Data Source'!$S$3:S905,"F"),"")</f>
        <v/>
      </c>
      <c r="B905">
        <f>IF(AND('Data Source'!B905&lt;&gt;"",'Data Source'!S905="F"),'Data Source'!B905,"")</f>
        <v/>
      </c>
      <c r="C905" s="3">
        <f>IF(AND('Data Source'!B905&lt;&gt;"",'Data Source'!S905="F"),IF('Data Source'!U905&gt;=5,"A+",IF('Data Source'!U905&gt;=4,"A",IF('Data Source'!U905&gt;=3.5,"A-",IF('Data Source'!U905&gt;=3,"B",IF('Data Source'!U905&gt;=2,"C",IF('Data Source'!U905&gt;=1,"D","F")))))),"")</f>
        <v/>
      </c>
      <c r="D905" s="3">
        <f>IF(AND('Data Source'!B905&lt;&gt;"",'Data Source'!S905="F"),IF('Data Source'!V905&gt;=5,"A+",IF('Data Source'!V905&gt;=4,"A",IF('Data Source'!V905&gt;=3.5,"A-",IF('Data Source'!V905&gt;=3,"B",IF('Data Source'!V905&gt;=2,"C",IF('Data Source'!V905&gt;=1,"D","F")))))),"")</f>
        <v/>
      </c>
      <c r="E905" s="3">
        <f>IF(AND('Data Source'!B905&lt;&gt;"",'Data Source'!S905="F"),IF('Data Source'!W905&gt;=5,"A+",IF('Data Source'!W905&gt;=4,"A",IF('Data Source'!W905&gt;=3.5,"A-",IF('Data Source'!W905&gt;=3,"B",IF('Data Source'!W905&gt;=2,"C",IF('Data Source'!W905&gt;=1,"D","F")))))),"")</f>
        <v/>
      </c>
      <c r="F905" s="3">
        <f>IF(AND('Data Source'!B905&lt;&gt;"",'Data Source'!S905="F"),IF('Data Source'!X905&gt;=5,"A+",IF('Data Source'!X905&gt;=4,"A",IF('Data Source'!X905&gt;=3.5,"A-",IF('Data Source'!X905&gt;=3,"B",IF('Data Source'!X905&gt;=2,"C",IF('Data Source'!X905&gt;=1,"D","F")))))),"")</f>
        <v/>
      </c>
      <c r="G905" s="3">
        <f>IF(AND('Data Source'!B905&lt;&gt;"",'Data Source'!S905="F"),IF('Data Source'!Y905&gt;=5,"A+",IF('Data Source'!Y905&gt;=4,"A",IF('Data Source'!Y905&gt;=3.5,"A-",IF('Data Source'!Y905&gt;=3,"B",IF('Data Source'!Y905&gt;=2,"C",IF('Data Source'!Y905&gt;=1,"D","F")))))),"")</f>
        <v/>
      </c>
      <c r="H905" s="3">
        <f>IF(AND('Data Source'!B905&lt;&gt;"",'Data Source'!S905="F"),IF('Data Source'!Z905&gt;=5,"A+",IF('Data Source'!Z905&gt;=4,"A",IF('Data Source'!Z905&gt;=3.5,"A-",IF('Data Source'!Z905&gt;=3,"B",IF('Data Source'!Z905&gt;=2,"C",IF('Data Source'!Z905&gt;=1,"D","F")))))),"")</f>
        <v/>
      </c>
      <c r="I905" s="3">
        <f>IF(AND('Data Source'!B905&lt;&gt;"",'Data Source'!S905="F"),IF('Data Source'!AA905&gt;=5,"A+",IF('Data Source'!AA905&gt;=4,"A",IF('Data Source'!AA905&gt;=3.5,"A-",IF('Data Source'!AA905&gt;=3,"B",IF('Data Source'!AA905&gt;=2,"C",IF('Data Source'!AA905&gt;=1,"D","F")))))),"")</f>
        <v/>
      </c>
      <c r="J905" s="3">
        <f>IF(AND('Data Source'!B905&lt;&gt;"",'Data Source'!S905="F"),IF('Data Source'!AB905&gt;=5,"A+",IF('Data Source'!AB905&gt;=4,"A",IF('Data Source'!AB905&gt;=3.5,"A-",IF('Data Source'!AB905&gt;=3,"B",IF('Data Source'!AB905&gt;=2,"C",IF('Data Source'!AB905&gt;=1,"D","F")))))),"")</f>
        <v/>
      </c>
      <c r="K905" s="3">
        <f>IF(AND('Data Source'!B905&lt;&gt;"",'Data Source'!S905="F"),IF('Data Source'!AC905&gt;=5,"A+",IF('Data Source'!AC905&gt;=4,"A",IF('Data Source'!AC905&gt;=3.5,"A-",IF('Data Source'!AC905&gt;=3,"B",IF('Data Source'!AC905&gt;=2,"C",IF('Data Source'!AC905&gt;=1,"D","F")))))),"")</f>
        <v/>
      </c>
      <c r="L905" s="3">
        <f>IF(AND('Data Source'!B905&lt;&gt;"",'Data Source'!S905="F"),IF('Data Source'!AD905&gt;=5,"A+",IF('Data Source'!AD905&gt;=4,"A",IF('Data Source'!AD905&gt;=3.5,"A-",IF('Data Source'!AD905&gt;=3,"B",IF('Data Source'!AD905&gt;=2,"C",IF('Data Source'!AD905&gt;=1,"D","F")))))),"")</f>
        <v/>
      </c>
      <c r="M905" s="3">
        <f>IF(AND('Data Source'!B905&lt;&gt;"",'Data Source'!S905="F"),IF('Data Source'!AE905&gt;=5,"A+",IF('Data Source'!AE905&gt;=4,"A",IF('Data Source'!AE905&gt;=3.5,"A-",IF('Data Source'!AE905&gt;=3,"B",IF('Data Source'!AE905&gt;=2,"C",IF('Data Source'!AE905&gt;=1,"D","F")))))),"")</f>
        <v/>
      </c>
      <c r="N905" s="3">
        <f>IF(AND('Data Source'!B905&lt;&gt;"",'Data Source'!S905="F"),IF('Data Source'!AF905&gt;=5,"A+",IF('Data Source'!AF905&gt;=4,"A",IF('Data Source'!AF905&gt;=3.5,"A-",IF('Data Source'!AF905&gt;=3,"B",IF('Data Source'!AF905&gt;=2,"C",IF('Data Source'!AF905&gt;=1,"D","F")))))),"")</f>
        <v/>
      </c>
      <c r="O905" s="3">
        <f>IF(AND('Data Source'!B905&lt;&gt;"",'Data Source'!S905="F"),IF('Data Source'!AG905&gt;=5,"A+",IF('Data Source'!AG905&gt;=4,"A",IF('Data Source'!AG905&gt;=3.5,"A-",IF('Data Source'!AG905&gt;=3,"B",IF('Data Source'!AG905&gt;=2,"C",IF('Data Source'!AG905&gt;=1,"D","F")))))),"")</f>
        <v/>
      </c>
      <c r="P905" s="5">
        <f>IF(AND('Data Source'!B905&lt;&gt;"",'Data Source'!S905="F"),'Data Source'!R905,"")</f>
        <v/>
      </c>
      <c r="Q905" s="3">
        <f>IF(AND('Data Source'!B905&lt;&gt;"",'Data Source'!S905="F"),'Data Source'!S905,"")</f>
        <v/>
      </c>
    </row>
    <row r="906">
      <c r="A906" s="3">
        <f>IF(AND('Data Source'!B906&lt;&gt;"",'Data Source'!S906="F"),COUNTIF('Data Source'!$S$3:S906,"F"),"")</f>
        <v/>
      </c>
      <c r="B906">
        <f>IF(AND('Data Source'!B906&lt;&gt;"",'Data Source'!S906="F"),'Data Source'!B906,"")</f>
        <v/>
      </c>
      <c r="C906" s="3">
        <f>IF(AND('Data Source'!B906&lt;&gt;"",'Data Source'!S906="F"),IF('Data Source'!U906&gt;=5,"A+",IF('Data Source'!U906&gt;=4,"A",IF('Data Source'!U906&gt;=3.5,"A-",IF('Data Source'!U906&gt;=3,"B",IF('Data Source'!U906&gt;=2,"C",IF('Data Source'!U906&gt;=1,"D","F")))))),"")</f>
        <v/>
      </c>
      <c r="D906" s="3">
        <f>IF(AND('Data Source'!B906&lt;&gt;"",'Data Source'!S906="F"),IF('Data Source'!V906&gt;=5,"A+",IF('Data Source'!V906&gt;=4,"A",IF('Data Source'!V906&gt;=3.5,"A-",IF('Data Source'!V906&gt;=3,"B",IF('Data Source'!V906&gt;=2,"C",IF('Data Source'!V906&gt;=1,"D","F")))))),"")</f>
        <v/>
      </c>
      <c r="E906" s="3">
        <f>IF(AND('Data Source'!B906&lt;&gt;"",'Data Source'!S906="F"),IF('Data Source'!W906&gt;=5,"A+",IF('Data Source'!W906&gt;=4,"A",IF('Data Source'!W906&gt;=3.5,"A-",IF('Data Source'!W906&gt;=3,"B",IF('Data Source'!W906&gt;=2,"C",IF('Data Source'!W906&gt;=1,"D","F")))))),"")</f>
        <v/>
      </c>
      <c r="F906" s="3">
        <f>IF(AND('Data Source'!B906&lt;&gt;"",'Data Source'!S906="F"),IF('Data Source'!X906&gt;=5,"A+",IF('Data Source'!X906&gt;=4,"A",IF('Data Source'!X906&gt;=3.5,"A-",IF('Data Source'!X906&gt;=3,"B",IF('Data Source'!X906&gt;=2,"C",IF('Data Source'!X906&gt;=1,"D","F")))))),"")</f>
        <v/>
      </c>
      <c r="G906" s="3">
        <f>IF(AND('Data Source'!B906&lt;&gt;"",'Data Source'!S906="F"),IF('Data Source'!Y906&gt;=5,"A+",IF('Data Source'!Y906&gt;=4,"A",IF('Data Source'!Y906&gt;=3.5,"A-",IF('Data Source'!Y906&gt;=3,"B",IF('Data Source'!Y906&gt;=2,"C",IF('Data Source'!Y906&gt;=1,"D","F")))))),"")</f>
        <v/>
      </c>
      <c r="H906" s="3">
        <f>IF(AND('Data Source'!B906&lt;&gt;"",'Data Source'!S906="F"),IF('Data Source'!Z906&gt;=5,"A+",IF('Data Source'!Z906&gt;=4,"A",IF('Data Source'!Z906&gt;=3.5,"A-",IF('Data Source'!Z906&gt;=3,"B",IF('Data Source'!Z906&gt;=2,"C",IF('Data Source'!Z906&gt;=1,"D","F")))))),"")</f>
        <v/>
      </c>
      <c r="I906" s="3">
        <f>IF(AND('Data Source'!B906&lt;&gt;"",'Data Source'!S906="F"),IF('Data Source'!AA906&gt;=5,"A+",IF('Data Source'!AA906&gt;=4,"A",IF('Data Source'!AA906&gt;=3.5,"A-",IF('Data Source'!AA906&gt;=3,"B",IF('Data Source'!AA906&gt;=2,"C",IF('Data Source'!AA906&gt;=1,"D","F")))))),"")</f>
        <v/>
      </c>
      <c r="J906" s="3">
        <f>IF(AND('Data Source'!B906&lt;&gt;"",'Data Source'!S906="F"),IF('Data Source'!AB906&gt;=5,"A+",IF('Data Source'!AB906&gt;=4,"A",IF('Data Source'!AB906&gt;=3.5,"A-",IF('Data Source'!AB906&gt;=3,"B",IF('Data Source'!AB906&gt;=2,"C",IF('Data Source'!AB906&gt;=1,"D","F")))))),"")</f>
        <v/>
      </c>
      <c r="K906" s="3">
        <f>IF(AND('Data Source'!B906&lt;&gt;"",'Data Source'!S906="F"),IF('Data Source'!AC906&gt;=5,"A+",IF('Data Source'!AC906&gt;=4,"A",IF('Data Source'!AC906&gt;=3.5,"A-",IF('Data Source'!AC906&gt;=3,"B",IF('Data Source'!AC906&gt;=2,"C",IF('Data Source'!AC906&gt;=1,"D","F")))))),"")</f>
        <v/>
      </c>
      <c r="L906" s="3">
        <f>IF(AND('Data Source'!B906&lt;&gt;"",'Data Source'!S906="F"),IF('Data Source'!AD906&gt;=5,"A+",IF('Data Source'!AD906&gt;=4,"A",IF('Data Source'!AD906&gt;=3.5,"A-",IF('Data Source'!AD906&gt;=3,"B",IF('Data Source'!AD906&gt;=2,"C",IF('Data Source'!AD906&gt;=1,"D","F")))))),"")</f>
        <v/>
      </c>
      <c r="M906" s="3">
        <f>IF(AND('Data Source'!B906&lt;&gt;"",'Data Source'!S906="F"),IF('Data Source'!AE906&gt;=5,"A+",IF('Data Source'!AE906&gt;=4,"A",IF('Data Source'!AE906&gt;=3.5,"A-",IF('Data Source'!AE906&gt;=3,"B",IF('Data Source'!AE906&gt;=2,"C",IF('Data Source'!AE906&gt;=1,"D","F")))))),"")</f>
        <v/>
      </c>
      <c r="N906" s="3">
        <f>IF(AND('Data Source'!B906&lt;&gt;"",'Data Source'!S906="F"),IF('Data Source'!AF906&gt;=5,"A+",IF('Data Source'!AF906&gt;=4,"A",IF('Data Source'!AF906&gt;=3.5,"A-",IF('Data Source'!AF906&gt;=3,"B",IF('Data Source'!AF906&gt;=2,"C",IF('Data Source'!AF906&gt;=1,"D","F")))))),"")</f>
        <v/>
      </c>
      <c r="O906" s="3">
        <f>IF(AND('Data Source'!B906&lt;&gt;"",'Data Source'!S906="F"),IF('Data Source'!AG906&gt;=5,"A+",IF('Data Source'!AG906&gt;=4,"A",IF('Data Source'!AG906&gt;=3.5,"A-",IF('Data Source'!AG906&gt;=3,"B",IF('Data Source'!AG906&gt;=2,"C",IF('Data Source'!AG906&gt;=1,"D","F")))))),"")</f>
        <v/>
      </c>
      <c r="P906" s="5">
        <f>IF(AND('Data Source'!B906&lt;&gt;"",'Data Source'!S906="F"),'Data Source'!R906,"")</f>
        <v/>
      </c>
      <c r="Q906" s="3">
        <f>IF(AND('Data Source'!B906&lt;&gt;"",'Data Source'!S906="F"),'Data Source'!S906,"")</f>
        <v/>
      </c>
    </row>
    <row r="907">
      <c r="A907" s="3">
        <f>IF(AND('Data Source'!B907&lt;&gt;"",'Data Source'!S907="F"),COUNTIF('Data Source'!$S$3:S907,"F"),"")</f>
        <v/>
      </c>
      <c r="B907">
        <f>IF(AND('Data Source'!B907&lt;&gt;"",'Data Source'!S907="F"),'Data Source'!B907,"")</f>
        <v/>
      </c>
      <c r="C907" s="3">
        <f>IF(AND('Data Source'!B907&lt;&gt;"",'Data Source'!S907="F"),IF('Data Source'!U907&gt;=5,"A+",IF('Data Source'!U907&gt;=4,"A",IF('Data Source'!U907&gt;=3.5,"A-",IF('Data Source'!U907&gt;=3,"B",IF('Data Source'!U907&gt;=2,"C",IF('Data Source'!U907&gt;=1,"D","F")))))),"")</f>
        <v/>
      </c>
      <c r="D907" s="3">
        <f>IF(AND('Data Source'!B907&lt;&gt;"",'Data Source'!S907="F"),IF('Data Source'!V907&gt;=5,"A+",IF('Data Source'!V907&gt;=4,"A",IF('Data Source'!V907&gt;=3.5,"A-",IF('Data Source'!V907&gt;=3,"B",IF('Data Source'!V907&gt;=2,"C",IF('Data Source'!V907&gt;=1,"D","F")))))),"")</f>
        <v/>
      </c>
      <c r="E907" s="3">
        <f>IF(AND('Data Source'!B907&lt;&gt;"",'Data Source'!S907="F"),IF('Data Source'!W907&gt;=5,"A+",IF('Data Source'!W907&gt;=4,"A",IF('Data Source'!W907&gt;=3.5,"A-",IF('Data Source'!W907&gt;=3,"B",IF('Data Source'!W907&gt;=2,"C",IF('Data Source'!W907&gt;=1,"D","F")))))),"")</f>
        <v/>
      </c>
      <c r="F907" s="3">
        <f>IF(AND('Data Source'!B907&lt;&gt;"",'Data Source'!S907="F"),IF('Data Source'!X907&gt;=5,"A+",IF('Data Source'!X907&gt;=4,"A",IF('Data Source'!X907&gt;=3.5,"A-",IF('Data Source'!X907&gt;=3,"B",IF('Data Source'!X907&gt;=2,"C",IF('Data Source'!X907&gt;=1,"D","F")))))),"")</f>
        <v/>
      </c>
      <c r="G907" s="3">
        <f>IF(AND('Data Source'!B907&lt;&gt;"",'Data Source'!S907="F"),IF('Data Source'!Y907&gt;=5,"A+",IF('Data Source'!Y907&gt;=4,"A",IF('Data Source'!Y907&gt;=3.5,"A-",IF('Data Source'!Y907&gt;=3,"B",IF('Data Source'!Y907&gt;=2,"C",IF('Data Source'!Y907&gt;=1,"D","F")))))),"")</f>
        <v/>
      </c>
      <c r="H907" s="3">
        <f>IF(AND('Data Source'!B907&lt;&gt;"",'Data Source'!S907="F"),IF('Data Source'!Z907&gt;=5,"A+",IF('Data Source'!Z907&gt;=4,"A",IF('Data Source'!Z907&gt;=3.5,"A-",IF('Data Source'!Z907&gt;=3,"B",IF('Data Source'!Z907&gt;=2,"C",IF('Data Source'!Z907&gt;=1,"D","F")))))),"")</f>
        <v/>
      </c>
      <c r="I907" s="3">
        <f>IF(AND('Data Source'!B907&lt;&gt;"",'Data Source'!S907="F"),IF('Data Source'!AA907&gt;=5,"A+",IF('Data Source'!AA907&gt;=4,"A",IF('Data Source'!AA907&gt;=3.5,"A-",IF('Data Source'!AA907&gt;=3,"B",IF('Data Source'!AA907&gt;=2,"C",IF('Data Source'!AA907&gt;=1,"D","F")))))),"")</f>
        <v/>
      </c>
      <c r="J907" s="3">
        <f>IF(AND('Data Source'!B907&lt;&gt;"",'Data Source'!S907="F"),IF('Data Source'!AB907&gt;=5,"A+",IF('Data Source'!AB907&gt;=4,"A",IF('Data Source'!AB907&gt;=3.5,"A-",IF('Data Source'!AB907&gt;=3,"B",IF('Data Source'!AB907&gt;=2,"C",IF('Data Source'!AB907&gt;=1,"D","F")))))),"")</f>
        <v/>
      </c>
      <c r="K907" s="3">
        <f>IF(AND('Data Source'!B907&lt;&gt;"",'Data Source'!S907="F"),IF('Data Source'!AC907&gt;=5,"A+",IF('Data Source'!AC907&gt;=4,"A",IF('Data Source'!AC907&gt;=3.5,"A-",IF('Data Source'!AC907&gt;=3,"B",IF('Data Source'!AC907&gt;=2,"C",IF('Data Source'!AC907&gt;=1,"D","F")))))),"")</f>
        <v/>
      </c>
      <c r="L907" s="3">
        <f>IF(AND('Data Source'!B907&lt;&gt;"",'Data Source'!S907="F"),IF('Data Source'!AD907&gt;=5,"A+",IF('Data Source'!AD907&gt;=4,"A",IF('Data Source'!AD907&gt;=3.5,"A-",IF('Data Source'!AD907&gt;=3,"B",IF('Data Source'!AD907&gt;=2,"C",IF('Data Source'!AD907&gt;=1,"D","F")))))),"")</f>
        <v/>
      </c>
      <c r="M907" s="3">
        <f>IF(AND('Data Source'!B907&lt;&gt;"",'Data Source'!S907="F"),IF('Data Source'!AE907&gt;=5,"A+",IF('Data Source'!AE907&gt;=4,"A",IF('Data Source'!AE907&gt;=3.5,"A-",IF('Data Source'!AE907&gt;=3,"B",IF('Data Source'!AE907&gt;=2,"C",IF('Data Source'!AE907&gt;=1,"D","F")))))),"")</f>
        <v/>
      </c>
      <c r="N907" s="3">
        <f>IF(AND('Data Source'!B907&lt;&gt;"",'Data Source'!S907="F"),IF('Data Source'!AF907&gt;=5,"A+",IF('Data Source'!AF907&gt;=4,"A",IF('Data Source'!AF907&gt;=3.5,"A-",IF('Data Source'!AF907&gt;=3,"B",IF('Data Source'!AF907&gt;=2,"C",IF('Data Source'!AF907&gt;=1,"D","F")))))),"")</f>
        <v/>
      </c>
      <c r="O907" s="3">
        <f>IF(AND('Data Source'!B907&lt;&gt;"",'Data Source'!S907="F"),IF('Data Source'!AG907&gt;=5,"A+",IF('Data Source'!AG907&gt;=4,"A",IF('Data Source'!AG907&gt;=3.5,"A-",IF('Data Source'!AG907&gt;=3,"B",IF('Data Source'!AG907&gt;=2,"C",IF('Data Source'!AG907&gt;=1,"D","F")))))),"")</f>
        <v/>
      </c>
      <c r="P907" s="5">
        <f>IF(AND('Data Source'!B907&lt;&gt;"",'Data Source'!S907="F"),'Data Source'!R907,"")</f>
        <v/>
      </c>
      <c r="Q907" s="3">
        <f>IF(AND('Data Source'!B907&lt;&gt;"",'Data Source'!S907="F"),'Data Source'!S907,"")</f>
        <v/>
      </c>
    </row>
    <row r="908">
      <c r="A908" s="3">
        <f>IF(AND('Data Source'!B908&lt;&gt;"",'Data Source'!S908="F"),COUNTIF('Data Source'!$S$3:S908,"F"),"")</f>
        <v/>
      </c>
      <c r="B908">
        <f>IF(AND('Data Source'!B908&lt;&gt;"",'Data Source'!S908="F"),'Data Source'!B908,"")</f>
        <v/>
      </c>
      <c r="C908" s="3">
        <f>IF(AND('Data Source'!B908&lt;&gt;"",'Data Source'!S908="F"),IF('Data Source'!U908&gt;=5,"A+",IF('Data Source'!U908&gt;=4,"A",IF('Data Source'!U908&gt;=3.5,"A-",IF('Data Source'!U908&gt;=3,"B",IF('Data Source'!U908&gt;=2,"C",IF('Data Source'!U908&gt;=1,"D","F")))))),"")</f>
        <v/>
      </c>
      <c r="D908" s="3">
        <f>IF(AND('Data Source'!B908&lt;&gt;"",'Data Source'!S908="F"),IF('Data Source'!V908&gt;=5,"A+",IF('Data Source'!V908&gt;=4,"A",IF('Data Source'!V908&gt;=3.5,"A-",IF('Data Source'!V908&gt;=3,"B",IF('Data Source'!V908&gt;=2,"C",IF('Data Source'!V908&gt;=1,"D","F")))))),"")</f>
        <v/>
      </c>
      <c r="E908" s="3">
        <f>IF(AND('Data Source'!B908&lt;&gt;"",'Data Source'!S908="F"),IF('Data Source'!W908&gt;=5,"A+",IF('Data Source'!W908&gt;=4,"A",IF('Data Source'!W908&gt;=3.5,"A-",IF('Data Source'!W908&gt;=3,"B",IF('Data Source'!W908&gt;=2,"C",IF('Data Source'!W908&gt;=1,"D","F")))))),"")</f>
        <v/>
      </c>
      <c r="F908" s="3">
        <f>IF(AND('Data Source'!B908&lt;&gt;"",'Data Source'!S908="F"),IF('Data Source'!X908&gt;=5,"A+",IF('Data Source'!X908&gt;=4,"A",IF('Data Source'!X908&gt;=3.5,"A-",IF('Data Source'!X908&gt;=3,"B",IF('Data Source'!X908&gt;=2,"C",IF('Data Source'!X908&gt;=1,"D","F")))))),"")</f>
        <v/>
      </c>
      <c r="G908" s="3">
        <f>IF(AND('Data Source'!B908&lt;&gt;"",'Data Source'!S908="F"),IF('Data Source'!Y908&gt;=5,"A+",IF('Data Source'!Y908&gt;=4,"A",IF('Data Source'!Y908&gt;=3.5,"A-",IF('Data Source'!Y908&gt;=3,"B",IF('Data Source'!Y908&gt;=2,"C",IF('Data Source'!Y908&gt;=1,"D","F")))))),"")</f>
        <v/>
      </c>
      <c r="H908" s="3">
        <f>IF(AND('Data Source'!B908&lt;&gt;"",'Data Source'!S908="F"),IF('Data Source'!Z908&gt;=5,"A+",IF('Data Source'!Z908&gt;=4,"A",IF('Data Source'!Z908&gt;=3.5,"A-",IF('Data Source'!Z908&gt;=3,"B",IF('Data Source'!Z908&gt;=2,"C",IF('Data Source'!Z908&gt;=1,"D","F")))))),"")</f>
        <v/>
      </c>
      <c r="I908" s="3">
        <f>IF(AND('Data Source'!B908&lt;&gt;"",'Data Source'!S908="F"),IF('Data Source'!AA908&gt;=5,"A+",IF('Data Source'!AA908&gt;=4,"A",IF('Data Source'!AA908&gt;=3.5,"A-",IF('Data Source'!AA908&gt;=3,"B",IF('Data Source'!AA908&gt;=2,"C",IF('Data Source'!AA908&gt;=1,"D","F")))))),"")</f>
        <v/>
      </c>
      <c r="J908" s="3">
        <f>IF(AND('Data Source'!B908&lt;&gt;"",'Data Source'!S908="F"),IF('Data Source'!AB908&gt;=5,"A+",IF('Data Source'!AB908&gt;=4,"A",IF('Data Source'!AB908&gt;=3.5,"A-",IF('Data Source'!AB908&gt;=3,"B",IF('Data Source'!AB908&gt;=2,"C",IF('Data Source'!AB908&gt;=1,"D","F")))))),"")</f>
        <v/>
      </c>
      <c r="K908" s="3">
        <f>IF(AND('Data Source'!B908&lt;&gt;"",'Data Source'!S908="F"),IF('Data Source'!AC908&gt;=5,"A+",IF('Data Source'!AC908&gt;=4,"A",IF('Data Source'!AC908&gt;=3.5,"A-",IF('Data Source'!AC908&gt;=3,"B",IF('Data Source'!AC908&gt;=2,"C",IF('Data Source'!AC908&gt;=1,"D","F")))))),"")</f>
        <v/>
      </c>
      <c r="L908" s="3">
        <f>IF(AND('Data Source'!B908&lt;&gt;"",'Data Source'!S908="F"),IF('Data Source'!AD908&gt;=5,"A+",IF('Data Source'!AD908&gt;=4,"A",IF('Data Source'!AD908&gt;=3.5,"A-",IF('Data Source'!AD908&gt;=3,"B",IF('Data Source'!AD908&gt;=2,"C",IF('Data Source'!AD908&gt;=1,"D","F")))))),"")</f>
        <v/>
      </c>
      <c r="M908" s="3">
        <f>IF(AND('Data Source'!B908&lt;&gt;"",'Data Source'!S908="F"),IF('Data Source'!AE908&gt;=5,"A+",IF('Data Source'!AE908&gt;=4,"A",IF('Data Source'!AE908&gt;=3.5,"A-",IF('Data Source'!AE908&gt;=3,"B",IF('Data Source'!AE908&gt;=2,"C",IF('Data Source'!AE908&gt;=1,"D","F")))))),"")</f>
        <v/>
      </c>
      <c r="N908" s="3">
        <f>IF(AND('Data Source'!B908&lt;&gt;"",'Data Source'!S908="F"),IF('Data Source'!AF908&gt;=5,"A+",IF('Data Source'!AF908&gt;=4,"A",IF('Data Source'!AF908&gt;=3.5,"A-",IF('Data Source'!AF908&gt;=3,"B",IF('Data Source'!AF908&gt;=2,"C",IF('Data Source'!AF908&gt;=1,"D","F")))))),"")</f>
        <v/>
      </c>
      <c r="O908" s="3">
        <f>IF(AND('Data Source'!B908&lt;&gt;"",'Data Source'!S908="F"),IF('Data Source'!AG908&gt;=5,"A+",IF('Data Source'!AG908&gt;=4,"A",IF('Data Source'!AG908&gt;=3.5,"A-",IF('Data Source'!AG908&gt;=3,"B",IF('Data Source'!AG908&gt;=2,"C",IF('Data Source'!AG908&gt;=1,"D","F")))))),"")</f>
        <v/>
      </c>
      <c r="P908" s="5">
        <f>IF(AND('Data Source'!B908&lt;&gt;"",'Data Source'!S908="F"),'Data Source'!R908,"")</f>
        <v/>
      </c>
      <c r="Q908" s="3">
        <f>IF(AND('Data Source'!B908&lt;&gt;"",'Data Source'!S908="F"),'Data Source'!S908,"")</f>
        <v/>
      </c>
    </row>
    <row r="909">
      <c r="A909" s="3">
        <f>IF(AND('Data Source'!B909&lt;&gt;"",'Data Source'!S909="F"),COUNTIF('Data Source'!$S$3:S909,"F"),"")</f>
        <v/>
      </c>
      <c r="B909">
        <f>IF(AND('Data Source'!B909&lt;&gt;"",'Data Source'!S909="F"),'Data Source'!B909,"")</f>
        <v/>
      </c>
      <c r="C909" s="3">
        <f>IF(AND('Data Source'!B909&lt;&gt;"",'Data Source'!S909="F"),IF('Data Source'!U909&gt;=5,"A+",IF('Data Source'!U909&gt;=4,"A",IF('Data Source'!U909&gt;=3.5,"A-",IF('Data Source'!U909&gt;=3,"B",IF('Data Source'!U909&gt;=2,"C",IF('Data Source'!U909&gt;=1,"D","F")))))),"")</f>
        <v/>
      </c>
      <c r="D909" s="3">
        <f>IF(AND('Data Source'!B909&lt;&gt;"",'Data Source'!S909="F"),IF('Data Source'!V909&gt;=5,"A+",IF('Data Source'!V909&gt;=4,"A",IF('Data Source'!V909&gt;=3.5,"A-",IF('Data Source'!V909&gt;=3,"B",IF('Data Source'!V909&gt;=2,"C",IF('Data Source'!V909&gt;=1,"D","F")))))),"")</f>
        <v/>
      </c>
      <c r="E909" s="3">
        <f>IF(AND('Data Source'!B909&lt;&gt;"",'Data Source'!S909="F"),IF('Data Source'!W909&gt;=5,"A+",IF('Data Source'!W909&gt;=4,"A",IF('Data Source'!W909&gt;=3.5,"A-",IF('Data Source'!W909&gt;=3,"B",IF('Data Source'!W909&gt;=2,"C",IF('Data Source'!W909&gt;=1,"D","F")))))),"")</f>
        <v/>
      </c>
      <c r="F909" s="3">
        <f>IF(AND('Data Source'!B909&lt;&gt;"",'Data Source'!S909="F"),IF('Data Source'!X909&gt;=5,"A+",IF('Data Source'!X909&gt;=4,"A",IF('Data Source'!X909&gt;=3.5,"A-",IF('Data Source'!X909&gt;=3,"B",IF('Data Source'!X909&gt;=2,"C",IF('Data Source'!X909&gt;=1,"D","F")))))),"")</f>
        <v/>
      </c>
      <c r="G909" s="3">
        <f>IF(AND('Data Source'!B909&lt;&gt;"",'Data Source'!S909="F"),IF('Data Source'!Y909&gt;=5,"A+",IF('Data Source'!Y909&gt;=4,"A",IF('Data Source'!Y909&gt;=3.5,"A-",IF('Data Source'!Y909&gt;=3,"B",IF('Data Source'!Y909&gt;=2,"C",IF('Data Source'!Y909&gt;=1,"D","F")))))),"")</f>
        <v/>
      </c>
      <c r="H909" s="3">
        <f>IF(AND('Data Source'!B909&lt;&gt;"",'Data Source'!S909="F"),IF('Data Source'!Z909&gt;=5,"A+",IF('Data Source'!Z909&gt;=4,"A",IF('Data Source'!Z909&gt;=3.5,"A-",IF('Data Source'!Z909&gt;=3,"B",IF('Data Source'!Z909&gt;=2,"C",IF('Data Source'!Z909&gt;=1,"D","F")))))),"")</f>
        <v/>
      </c>
      <c r="I909" s="3">
        <f>IF(AND('Data Source'!B909&lt;&gt;"",'Data Source'!S909="F"),IF('Data Source'!AA909&gt;=5,"A+",IF('Data Source'!AA909&gt;=4,"A",IF('Data Source'!AA909&gt;=3.5,"A-",IF('Data Source'!AA909&gt;=3,"B",IF('Data Source'!AA909&gt;=2,"C",IF('Data Source'!AA909&gt;=1,"D","F")))))),"")</f>
        <v/>
      </c>
      <c r="J909" s="3">
        <f>IF(AND('Data Source'!B909&lt;&gt;"",'Data Source'!S909="F"),IF('Data Source'!AB909&gt;=5,"A+",IF('Data Source'!AB909&gt;=4,"A",IF('Data Source'!AB909&gt;=3.5,"A-",IF('Data Source'!AB909&gt;=3,"B",IF('Data Source'!AB909&gt;=2,"C",IF('Data Source'!AB909&gt;=1,"D","F")))))),"")</f>
        <v/>
      </c>
      <c r="K909" s="3">
        <f>IF(AND('Data Source'!B909&lt;&gt;"",'Data Source'!S909="F"),IF('Data Source'!AC909&gt;=5,"A+",IF('Data Source'!AC909&gt;=4,"A",IF('Data Source'!AC909&gt;=3.5,"A-",IF('Data Source'!AC909&gt;=3,"B",IF('Data Source'!AC909&gt;=2,"C",IF('Data Source'!AC909&gt;=1,"D","F")))))),"")</f>
        <v/>
      </c>
      <c r="L909" s="3">
        <f>IF(AND('Data Source'!B909&lt;&gt;"",'Data Source'!S909="F"),IF('Data Source'!AD909&gt;=5,"A+",IF('Data Source'!AD909&gt;=4,"A",IF('Data Source'!AD909&gt;=3.5,"A-",IF('Data Source'!AD909&gt;=3,"B",IF('Data Source'!AD909&gt;=2,"C",IF('Data Source'!AD909&gt;=1,"D","F")))))),"")</f>
        <v/>
      </c>
      <c r="M909" s="3">
        <f>IF(AND('Data Source'!B909&lt;&gt;"",'Data Source'!S909="F"),IF('Data Source'!AE909&gt;=5,"A+",IF('Data Source'!AE909&gt;=4,"A",IF('Data Source'!AE909&gt;=3.5,"A-",IF('Data Source'!AE909&gt;=3,"B",IF('Data Source'!AE909&gt;=2,"C",IF('Data Source'!AE909&gt;=1,"D","F")))))),"")</f>
        <v/>
      </c>
      <c r="N909" s="3">
        <f>IF(AND('Data Source'!B909&lt;&gt;"",'Data Source'!S909="F"),IF('Data Source'!AF909&gt;=5,"A+",IF('Data Source'!AF909&gt;=4,"A",IF('Data Source'!AF909&gt;=3.5,"A-",IF('Data Source'!AF909&gt;=3,"B",IF('Data Source'!AF909&gt;=2,"C",IF('Data Source'!AF909&gt;=1,"D","F")))))),"")</f>
        <v/>
      </c>
      <c r="O909" s="3">
        <f>IF(AND('Data Source'!B909&lt;&gt;"",'Data Source'!S909="F"),IF('Data Source'!AG909&gt;=5,"A+",IF('Data Source'!AG909&gt;=4,"A",IF('Data Source'!AG909&gt;=3.5,"A-",IF('Data Source'!AG909&gt;=3,"B",IF('Data Source'!AG909&gt;=2,"C",IF('Data Source'!AG909&gt;=1,"D","F")))))),"")</f>
        <v/>
      </c>
      <c r="P909" s="5">
        <f>IF(AND('Data Source'!B909&lt;&gt;"",'Data Source'!S909="F"),'Data Source'!R909,"")</f>
        <v/>
      </c>
      <c r="Q909" s="3">
        <f>IF(AND('Data Source'!B909&lt;&gt;"",'Data Source'!S909="F"),'Data Source'!S909,"")</f>
        <v/>
      </c>
    </row>
    <row r="910">
      <c r="A910" s="3">
        <f>IF(AND('Data Source'!B910&lt;&gt;"",'Data Source'!S910="F"),COUNTIF('Data Source'!$S$3:S910,"F"),"")</f>
        <v/>
      </c>
      <c r="B910">
        <f>IF(AND('Data Source'!B910&lt;&gt;"",'Data Source'!S910="F"),'Data Source'!B910,"")</f>
        <v/>
      </c>
      <c r="C910" s="3">
        <f>IF(AND('Data Source'!B910&lt;&gt;"",'Data Source'!S910="F"),IF('Data Source'!U910&gt;=5,"A+",IF('Data Source'!U910&gt;=4,"A",IF('Data Source'!U910&gt;=3.5,"A-",IF('Data Source'!U910&gt;=3,"B",IF('Data Source'!U910&gt;=2,"C",IF('Data Source'!U910&gt;=1,"D","F")))))),"")</f>
        <v/>
      </c>
      <c r="D910" s="3">
        <f>IF(AND('Data Source'!B910&lt;&gt;"",'Data Source'!S910="F"),IF('Data Source'!V910&gt;=5,"A+",IF('Data Source'!V910&gt;=4,"A",IF('Data Source'!V910&gt;=3.5,"A-",IF('Data Source'!V910&gt;=3,"B",IF('Data Source'!V910&gt;=2,"C",IF('Data Source'!V910&gt;=1,"D","F")))))),"")</f>
        <v/>
      </c>
      <c r="E910" s="3">
        <f>IF(AND('Data Source'!B910&lt;&gt;"",'Data Source'!S910="F"),IF('Data Source'!W910&gt;=5,"A+",IF('Data Source'!W910&gt;=4,"A",IF('Data Source'!W910&gt;=3.5,"A-",IF('Data Source'!W910&gt;=3,"B",IF('Data Source'!W910&gt;=2,"C",IF('Data Source'!W910&gt;=1,"D","F")))))),"")</f>
        <v/>
      </c>
      <c r="F910" s="3">
        <f>IF(AND('Data Source'!B910&lt;&gt;"",'Data Source'!S910="F"),IF('Data Source'!X910&gt;=5,"A+",IF('Data Source'!X910&gt;=4,"A",IF('Data Source'!X910&gt;=3.5,"A-",IF('Data Source'!X910&gt;=3,"B",IF('Data Source'!X910&gt;=2,"C",IF('Data Source'!X910&gt;=1,"D","F")))))),"")</f>
        <v/>
      </c>
      <c r="G910" s="3">
        <f>IF(AND('Data Source'!B910&lt;&gt;"",'Data Source'!S910="F"),IF('Data Source'!Y910&gt;=5,"A+",IF('Data Source'!Y910&gt;=4,"A",IF('Data Source'!Y910&gt;=3.5,"A-",IF('Data Source'!Y910&gt;=3,"B",IF('Data Source'!Y910&gt;=2,"C",IF('Data Source'!Y910&gt;=1,"D","F")))))),"")</f>
        <v/>
      </c>
      <c r="H910" s="3">
        <f>IF(AND('Data Source'!B910&lt;&gt;"",'Data Source'!S910="F"),IF('Data Source'!Z910&gt;=5,"A+",IF('Data Source'!Z910&gt;=4,"A",IF('Data Source'!Z910&gt;=3.5,"A-",IF('Data Source'!Z910&gt;=3,"B",IF('Data Source'!Z910&gt;=2,"C",IF('Data Source'!Z910&gt;=1,"D","F")))))),"")</f>
        <v/>
      </c>
      <c r="I910" s="3">
        <f>IF(AND('Data Source'!B910&lt;&gt;"",'Data Source'!S910="F"),IF('Data Source'!AA910&gt;=5,"A+",IF('Data Source'!AA910&gt;=4,"A",IF('Data Source'!AA910&gt;=3.5,"A-",IF('Data Source'!AA910&gt;=3,"B",IF('Data Source'!AA910&gt;=2,"C",IF('Data Source'!AA910&gt;=1,"D","F")))))),"")</f>
        <v/>
      </c>
      <c r="J910" s="3">
        <f>IF(AND('Data Source'!B910&lt;&gt;"",'Data Source'!S910="F"),IF('Data Source'!AB910&gt;=5,"A+",IF('Data Source'!AB910&gt;=4,"A",IF('Data Source'!AB910&gt;=3.5,"A-",IF('Data Source'!AB910&gt;=3,"B",IF('Data Source'!AB910&gt;=2,"C",IF('Data Source'!AB910&gt;=1,"D","F")))))),"")</f>
        <v/>
      </c>
      <c r="K910" s="3">
        <f>IF(AND('Data Source'!B910&lt;&gt;"",'Data Source'!S910="F"),IF('Data Source'!AC910&gt;=5,"A+",IF('Data Source'!AC910&gt;=4,"A",IF('Data Source'!AC910&gt;=3.5,"A-",IF('Data Source'!AC910&gt;=3,"B",IF('Data Source'!AC910&gt;=2,"C",IF('Data Source'!AC910&gt;=1,"D","F")))))),"")</f>
        <v/>
      </c>
      <c r="L910" s="3">
        <f>IF(AND('Data Source'!B910&lt;&gt;"",'Data Source'!S910="F"),IF('Data Source'!AD910&gt;=5,"A+",IF('Data Source'!AD910&gt;=4,"A",IF('Data Source'!AD910&gt;=3.5,"A-",IF('Data Source'!AD910&gt;=3,"B",IF('Data Source'!AD910&gt;=2,"C",IF('Data Source'!AD910&gt;=1,"D","F")))))),"")</f>
        <v/>
      </c>
      <c r="M910" s="3">
        <f>IF(AND('Data Source'!B910&lt;&gt;"",'Data Source'!S910="F"),IF('Data Source'!AE910&gt;=5,"A+",IF('Data Source'!AE910&gt;=4,"A",IF('Data Source'!AE910&gt;=3.5,"A-",IF('Data Source'!AE910&gt;=3,"B",IF('Data Source'!AE910&gt;=2,"C",IF('Data Source'!AE910&gt;=1,"D","F")))))),"")</f>
        <v/>
      </c>
      <c r="N910" s="3">
        <f>IF(AND('Data Source'!B910&lt;&gt;"",'Data Source'!S910="F"),IF('Data Source'!AF910&gt;=5,"A+",IF('Data Source'!AF910&gt;=4,"A",IF('Data Source'!AF910&gt;=3.5,"A-",IF('Data Source'!AF910&gt;=3,"B",IF('Data Source'!AF910&gt;=2,"C",IF('Data Source'!AF910&gt;=1,"D","F")))))),"")</f>
        <v/>
      </c>
      <c r="O910" s="3">
        <f>IF(AND('Data Source'!B910&lt;&gt;"",'Data Source'!S910="F"),IF('Data Source'!AG910&gt;=5,"A+",IF('Data Source'!AG910&gt;=4,"A",IF('Data Source'!AG910&gt;=3.5,"A-",IF('Data Source'!AG910&gt;=3,"B",IF('Data Source'!AG910&gt;=2,"C",IF('Data Source'!AG910&gt;=1,"D","F")))))),"")</f>
        <v/>
      </c>
      <c r="P910" s="5">
        <f>IF(AND('Data Source'!B910&lt;&gt;"",'Data Source'!S910="F"),'Data Source'!R910,"")</f>
        <v/>
      </c>
      <c r="Q910" s="3">
        <f>IF(AND('Data Source'!B910&lt;&gt;"",'Data Source'!S910="F"),'Data Source'!S910,"")</f>
        <v/>
      </c>
    </row>
    <row r="911">
      <c r="A911" s="3">
        <f>IF(AND('Data Source'!B911&lt;&gt;"",'Data Source'!S911="F"),COUNTIF('Data Source'!$S$3:S911,"F"),"")</f>
        <v/>
      </c>
      <c r="B911">
        <f>IF(AND('Data Source'!B911&lt;&gt;"",'Data Source'!S911="F"),'Data Source'!B911,"")</f>
        <v/>
      </c>
      <c r="C911" s="3">
        <f>IF(AND('Data Source'!B911&lt;&gt;"",'Data Source'!S911="F"),IF('Data Source'!U911&gt;=5,"A+",IF('Data Source'!U911&gt;=4,"A",IF('Data Source'!U911&gt;=3.5,"A-",IF('Data Source'!U911&gt;=3,"B",IF('Data Source'!U911&gt;=2,"C",IF('Data Source'!U911&gt;=1,"D","F")))))),"")</f>
        <v/>
      </c>
      <c r="D911" s="3">
        <f>IF(AND('Data Source'!B911&lt;&gt;"",'Data Source'!S911="F"),IF('Data Source'!V911&gt;=5,"A+",IF('Data Source'!V911&gt;=4,"A",IF('Data Source'!V911&gt;=3.5,"A-",IF('Data Source'!V911&gt;=3,"B",IF('Data Source'!V911&gt;=2,"C",IF('Data Source'!V911&gt;=1,"D","F")))))),"")</f>
        <v/>
      </c>
      <c r="E911" s="3">
        <f>IF(AND('Data Source'!B911&lt;&gt;"",'Data Source'!S911="F"),IF('Data Source'!W911&gt;=5,"A+",IF('Data Source'!W911&gt;=4,"A",IF('Data Source'!W911&gt;=3.5,"A-",IF('Data Source'!W911&gt;=3,"B",IF('Data Source'!W911&gt;=2,"C",IF('Data Source'!W911&gt;=1,"D","F")))))),"")</f>
        <v/>
      </c>
      <c r="F911" s="3">
        <f>IF(AND('Data Source'!B911&lt;&gt;"",'Data Source'!S911="F"),IF('Data Source'!X911&gt;=5,"A+",IF('Data Source'!X911&gt;=4,"A",IF('Data Source'!X911&gt;=3.5,"A-",IF('Data Source'!X911&gt;=3,"B",IF('Data Source'!X911&gt;=2,"C",IF('Data Source'!X911&gt;=1,"D","F")))))),"")</f>
        <v/>
      </c>
      <c r="G911" s="3">
        <f>IF(AND('Data Source'!B911&lt;&gt;"",'Data Source'!S911="F"),IF('Data Source'!Y911&gt;=5,"A+",IF('Data Source'!Y911&gt;=4,"A",IF('Data Source'!Y911&gt;=3.5,"A-",IF('Data Source'!Y911&gt;=3,"B",IF('Data Source'!Y911&gt;=2,"C",IF('Data Source'!Y911&gt;=1,"D","F")))))),"")</f>
        <v/>
      </c>
      <c r="H911" s="3">
        <f>IF(AND('Data Source'!B911&lt;&gt;"",'Data Source'!S911="F"),IF('Data Source'!Z911&gt;=5,"A+",IF('Data Source'!Z911&gt;=4,"A",IF('Data Source'!Z911&gt;=3.5,"A-",IF('Data Source'!Z911&gt;=3,"B",IF('Data Source'!Z911&gt;=2,"C",IF('Data Source'!Z911&gt;=1,"D","F")))))),"")</f>
        <v/>
      </c>
      <c r="I911" s="3">
        <f>IF(AND('Data Source'!B911&lt;&gt;"",'Data Source'!S911="F"),IF('Data Source'!AA911&gt;=5,"A+",IF('Data Source'!AA911&gt;=4,"A",IF('Data Source'!AA911&gt;=3.5,"A-",IF('Data Source'!AA911&gt;=3,"B",IF('Data Source'!AA911&gt;=2,"C",IF('Data Source'!AA911&gt;=1,"D","F")))))),"")</f>
        <v/>
      </c>
      <c r="J911" s="3">
        <f>IF(AND('Data Source'!B911&lt;&gt;"",'Data Source'!S911="F"),IF('Data Source'!AB911&gt;=5,"A+",IF('Data Source'!AB911&gt;=4,"A",IF('Data Source'!AB911&gt;=3.5,"A-",IF('Data Source'!AB911&gt;=3,"B",IF('Data Source'!AB911&gt;=2,"C",IF('Data Source'!AB911&gt;=1,"D","F")))))),"")</f>
        <v/>
      </c>
      <c r="K911" s="3">
        <f>IF(AND('Data Source'!B911&lt;&gt;"",'Data Source'!S911="F"),IF('Data Source'!AC911&gt;=5,"A+",IF('Data Source'!AC911&gt;=4,"A",IF('Data Source'!AC911&gt;=3.5,"A-",IF('Data Source'!AC911&gt;=3,"B",IF('Data Source'!AC911&gt;=2,"C",IF('Data Source'!AC911&gt;=1,"D","F")))))),"")</f>
        <v/>
      </c>
      <c r="L911" s="3">
        <f>IF(AND('Data Source'!B911&lt;&gt;"",'Data Source'!S911="F"),IF('Data Source'!AD911&gt;=5,"A+",IF('Data Source'!AD911&gt;=4,"A",IF('Data Source'!AD911&gt;=3.5,"A-",IF('Data Source'!AD911&gt;=3,"B",IF('Data Source'!AD911&gt;=2,"C",IF('Data Source'!AD911&gt;=1,"D","F")))))),"")</f>
        <v/>
      </c>
      <c r="M911" s="3">
        <f>IF(AND('Data Source'!B911&lt;&gt;"",'Data Source'!S911="F"),IF('Data Source'!AE911&gt;=5,"A+",IF('Data Source'!AE911&gt;=4,"A",IF('Data Source'!AE911&gt;=3.5,"A-",IF('Data Source'!AE911&gt;=3,"B",IF('Data Source'!AE911&gt;=2,"C",IF('Data Source'!AE911&gt;=1,"D","F")))))),"")</f>
        <v/>
      </c>
      <c r="N911" s="3">
        <f>IF(AND('Data Source'!B911&lt;&gt;"",'Data Source'!S911="F"),IF('Data Source'!AF911&gt;=5,"A+",IF('Data Source'!AF911&gt;=4,"A",IF('Data Source'!AF911&gt;=3.5,"A-",IF('Data Source'!AF911&gt;=3,"B",IF('Data Source'!AF911&gt;=2,"C",IF('Data Source'!AF911&gt;=1,"D","F")))))),"")</f>
        <v/>
      </c>
      <c r="O911" s="3">
        <f>IF(AND('Data Source'!B911&lt;&gt;"",'Data Source'!S911="F"),IF('Data Source'!AG911&gt;=5,"A+",IF('Data Source'!AG911&gt;=4,"A",IF('Data Source'!AG911&gt;=3.5,"A-",IF('Data Source'!AG911&gt;=3,"B",IF('Data Source'!AG911&gt;=2,"C",IF('Data Source'!AG911&gt;=1,"D","F")))))),"")</f>
        <v/>
      </c>
      <c r="P911" s="5">
        <f>IF(AND('Data Source'!B911&lt;&gt;"",'Data Source'!S911="F"),'Data Source'!R911,"")</f>
        <v/>
      </c>
      <c r="Q911" s="3">
        <f>IF(AND('Data Source'!B911&lt;&gt;"",'Data Source'!S911="F"),'Data Source'!S911,"")</f>
        <v/>
      </c>
    </row>
    <row r="912">
      <c r="A912" s="3">
        <f>IF(AND('Data Source'!B912&lt;&gt;"",'Data Source'!S912="F"),COUNTIF('Data Source'!$S$3:S912,"F"),"")</f>
        <v/>
      </c>
      <c r="B912">
        <f>IF(AND('Data Source'!B912&lt;&gt;"",'Data Source'!S912="F"),'Data Source'!B912,"")</f>
        <v/>
      </c>
      <c r="C912" s="3">
        <f>IF(AND('Data Source'!B912&lt;&gt;"",'Data Source'!S912="F"),IF('Data Source'!U912&gt;=5,"A+",IF('Data Source'!U912&gt;=4,"A",IF('Data Source'!U912&gt;=3.5,"A-",IF('Data Source'!U912&gt;=3,"B",IF('Data Source'!U912&gt;=2,"C",IF('Data Source'!U912&gt;=1,"D","F")))))),"")</f>
        <v/>
      </c>
      <c r="D912" s="3">
        <f>IF(AND('Data Source'!B912&lt;&gt;"",'Data Source'!S912="F"),IF('Data Source'!V912&gt;=5,"A+",IF('Data Source'!V912&gt;=4,"A",IF('Data Source'!V912&gt;=3.5,"A-",IF('Data Source'!V912&gt;=3,"B",IF('Data Source'!V912&gt;=2,"C",IF('Data Source'!V912&gt;=1,"D","F")))))),"")</f>
        <v/>
      </c>
      <c r="E912" s="3">
        <f>IF(AND('Data Source'!B912&lt;&gt;"",'Data Source'!S912="F"),IF('Data Source'!W912&gt;=5,"A+",IF('Data Source'!W912&gt;=4,"A",IF('Data Source'!W912&gt;=3.5,"A-",IF('Data Source'!W912&gt;=3,"B",IF('Data Source'!W912&gt;=2,"C",IF('Data Source'!W912&gt;=1,"D","F")))))),"")</f>
        <v/>
      </c>
      <c r="F912" s="3">
        <f>IF(AND('Data Source'!B912&lt;&gt;"",'Data Source'!S912="F"),IF('Data Source'!X912&gt;=5,"A+",IF('Data Source'!X912&gt;=4,"A",IF('Data Source'!X912&gt;=3.5,"A-",IF('Data Source'!X912&gt;=3,"B",IF('Data Source'!X912&gt;=2,"C",IF('Data Source'!X912&gt;=1,"D","F")))))),"")</f>
        <v/>
      </c>
      <c r="G912" s="3">
        <f>IF(AND('Data Source'!B912&lt;&gt;"",'Data Source'!S912="F"),IF('Data Source'!Y912&gt;=5,"A+",IF('Data Source'!Y912&gt;=4,"A",IF('Data Source'!Y912&gt;=3.5,"A-",IF('Data Source'!Y912&gt;=3,"B",IF('Data Source'!Y912&gt;=2,"C",IF('Data Source'!Y912&gt;=1,"D","F")))))),"")</f>
        <v/>
      </c>
      <c r="H912" s="3">
        <f>IF(AND('Data Source'!B912&lt;&gt;"",'Data Source'!S912="F"),IF('Data Source'!Z912&gt;=5,"A+",IF('Data Source'!Z912&gt;=4,"A",IF('Data Source'!Z912&gt;=3.5,"A-",IF('Data Source'!Z912&gt;=3,"B",IF('Data Source'!Z912&gt;=2,"C",IF('Data Source'!Z912&gt;=1,"D","F")))))),"")</f>
        <v/>
      </c>
      <c r="I912" s="3">
        <f>IF(AND('Data Source'!B912&lt;&gt;"",'Data Source'!S912="F"),IF('Data Source'!AA912&gt;=5,"A+",IF('Data Source'!AA912&gt;=4,"A",IF('Data Source'!AA912&gt;=3.5,"A-",IF('Data Source'!AA912&gt;=3,"B",IF('Data Source'!AA912&gt;=2,"C",IF('Data Source'!AA912&gt;=1,"D","F")))))),"")</f>
        <v/>
      </c>
      <c r="J912" s="3">
        <f>IF(AND('Data Source'!B912&lt;&gt;"",'Data Source'!S912="F"),IF('Data Source'!AB912&gt;=5,"A+",IF('Data Source'!AB912&gt;=4,"A",IF('Data Source'!AB912&gt;=3.5,"A-",IF('Data Source'!AB912&gt;=3,"B",IF('Data Source'!AB912&gt;=2,"C",IF('Data Source'!AB912&gt;=1,"D","F")))))),"")</f>
        <v/>
      </c>
      <c r="K912" s="3">
        <f>IF(AND('Data Source'!B912&lt;&gt;"",'Data Source'!S912="F"),IF('Data Source'!AC912&gt;=5,"A+",IF('Data Source'!AC912&gt;=4,"A",IF('Data Source'!AC912&gt;=3.5,"A-",IF('Data Source'!AC912&gt;=3,"B",IF('Data Source'!AC912&gt;=2,"C",IF('Data Source'!AC912&gt;=1,"D","F")))))),"")</f>
        <v/>
      </c>
      <c r="L912" s="3">
        <f>IF(AND('Data Source'!B912&lt;&gt;"",'Data Source'!S912="F"),IF('Data Source'!AD912&gt;=5,"A+",IF('Data Source'!AD912&gt;=4,"A",IF('Data Source'!AD912&gt;=3.5,"A-",IF('Data Source'!AD912&gt;=3,"B",IF('Data Source'!AD912&gt;=2,"C",IF('Data Source'!AD912&gt;=1,"D","F")))))),"")</f>
        <v/>
      </c>
      <c r="M912" s="3">
        <f>IF(AND('Data Source'!B912&lt;&gt;"",'Data Source'!S912="F"),IF('Data Source'!AE912&gt;=5,"A+",IF('Data Source'!AE912&gt;=4,"A",IF('Data Source'!AE912&gt;=3.5,"A-",IF('Data Source'!AE912&gt;=3,"B",IF('Data Source'!AE912&gt;=2,"C",IF('Data Source'!AE912&gt;=1,"D","F")))))),"")</f>
        <v/>
      </c>
      <c r="N912" s="3">
        <f>IF(AND('Data Source'!B912&lt;&gt;"",'Data Source'!S912="F"),IF('Data Source'!AF912&gt;=5,"A+",IF('Data Source'!AF912&gt;=4,"A",IF('Data Source'!AF912&gt;=3.5,"A-",IF('Data Source'!AF912&gt;=3,"B",IF('Data Source'!AF912&gt;=2,"C",IF('Data Source'!AF912&gt;=1,"D","F")))))),"")</f>
        <v/>
      </c>
      <c r="O912" s="3">
        <f>IF(AND('Data Source'!B912&lt;&gt;"",'Data Source'!S912="F"),IF('Data Source'!AG912&gt;=5,"A+",IF('Data Source'!AG912&gt;=4,"A",IF('Data Source'!AG912&gt;=3.5,"A-",IF('Data Source'!AG912&gt;=3,"B",IF('Data Source'!AG912&gt;=2,"C",IF('Data Source'!AG912&gt;=1,"D","F")))))),"")</f>
        <v/>
      </c>
      <c r="P912" s="5">
        <f>IF(AND('Data Source'!B912&lt;&gt;"",'Data Source'!S912="F"),'Data Source'!R912,"")</f>
        <v/>
      </c>
      <c r="Q912" s="3">
        <f>IF(AND('Data Source'!B912&lt;&gt;"",'Data Source'!S912="F"),'Data Source'!S912,"")</f>
        <v/>
      </c>
    </row>
    <row r="913">
      <c r="A913" s="3">
        <f>IF(AND('Data Source'!B913&lt;&gt;"",'Data Source'!S913="F"),COUNTIF('Data Source'!$S$3:S913,"F"),"")</f>
        <v/>
      </c>
      <c r="B913">
        <f>IF(AND('Data Source'!B913&lt;&gt;"",'Data Source'!S913="F"),'Data Source'!B913,"")</f>
        <v/>
      </c>
      <c r="C913" s="3">
        <f>IF(AND('Data Source'!B913&lt;&gt;"",'Data Source'!S913="F"),IF('Data Source'!U913&gt;=5,"A+",IF('Data Source'!U913&gt;=4,"A",IF('Data Source'!U913&gt;=3.5,"A-",IF('Data Source'!U913&gt;=3,"B",IF('Data Source'!U913&gt;=2,"C",IF('Data Source'!U913&gt;=1,"D","F")))))),"")</f>
        <v/>
      </c>
      <c r="D913" s="3">
        <f>IF(AND('Data Source'!B913&lt;&gt;"",'Data Source'!S913="F"),IF('Data Source'!V913&gt;=5,"A+",IF('Data Source'!V913&gt;=4,"A",IF('Data Source'!V913&gt;=3.5,"A-",IF('Data Source'!V913&gt;=3,"B",IF('Data Source'!V913&gt;=2,"C",IF('Data Source'!V913&gt;=1,"D","F")))))),"")</f>
        <v/>
      </c>
      <c r="E913" s="3">
        <f>IF(AND('Data Source'!B913&lt;&gt;"",'Data Source'!S913="F"),IF('Data Source'!W913&gt;=5,"A+",IF('Data Source'!W913&gt;=4,"A",IF('Data Source'!W913&gt;=3.5,"A-",IF('Data Source'!W913&gt;=3,"B",IF('Data Source'!W913&gt;=2,"C",IF('Data Source'!W913&gt;=1,"D","F")))))),"")</f>
        <v/>
      </c>
      <c r="F913" s="3">
        <f>IF(AND('Data Source'!B913&lt;&gt;"",'Data Source'!S913="F"),IF('Data Source'!X913&gt;=5,"A+",IF('Data Source'!X913&gt;=4,"A",IF('Data Source'!X913&gt;=3.5,"A-",IF('Data Source'!X913&gt;=3,"B",IF('Data Source'!X913&gt;=2,"C",IF('Data Source'!X913&gt;=1,"D","F")))))),"")</f>
        <v/>
      </c>
      <c r="G913" s="3">
        <f>IF(AND('Data Source'!B913&lt;&gt;"",'Data Source'!S913="F"),IF('Data Source'!Y913&gt;=5,"A+",IF('Data Source'!Y913&gt;=4,"A",IF('Data Source'!Y913&gt;=3.5,"A-",IF('Data Source'!Y913&gt;=3,"B",IF('Data Source'!Y913&gt;=2,"C",IF('Data Source'!Y913&gt;=1,"D","F")))))),"")</f>
        <v/>
      </c>
      <c r="H913" s="3">
        <f>IF(AND('Data Source'!B913&lt;&gt;"",'Data Source'!S913="F"),IF('Data Source'!Z913&gt;=5,"A+",IF('Data Source'!Z913&gt;=4,"A",IF('Data Source'!Z913&gt;=3.5,"A-",IF('Data Source'!Z913&gt;=3,"B",IF('Data Source'!Z913&gt;=2,"C",IF('Data Source'!Z913&gt;=1,"D","F")))))),"")</f>
        <v/>
      </c>
      <c r="I913" s="3">
        <f>IF(AND('Data Source'!B913&lt;&gt;"",'Data Source'!S913="F"),IF('Data Source'!AA913&gt;=5,"A+",IF('Data Source'!AA913&gt;=4,"A",IF('Data Source'!AA913&gt;=3.5,"A-",IF('Data Source'!AA913&gt;=3,"B",IF('Data Source'!AA913&gt;=2,"C",IF('Data Source'!AA913&gt;=1,"D","F")))))),"")</f>
        <v/>
      </c>
      <c r="J913" s="3">
        <f>IF(AND('Data Source'!B913&lt;&gt;"",'Data Source'!S913="F"),IF('Data Source'!AB913&gt;=5,"A+",IF('Data Source'!AB913&gt;=4,"A",IF('Data Source'!AB913&gt;=3.5,"A-",IF('Data Source'!AB913&gt;=3,"B",IF('Data Source'!AB913&gt;=2,"C",IF('Data Source'!AB913&gt;=1,"D","F")))))),"")</f>
        <v/>
      </c>
      <c r="K913" s="3">
        <f>IF(AND('Data Source'!B913&lt;&gt;"",'Data Source'!S913="F"),IF('Data Source'!AC913&gt;=5,"A+",IF('Data Source'!AC913&gt;=4,"A",IF('Data Source'!AC913&gt;=3.5,"A-",IF('Data Source'!AC913&gt;=3,"B",IF('Data Source'!AC913&gt;=2,"C",IF('Data Source'!AC913&gt;=1,"D","F")))))),"")</f>
        <v/>
      </c>
      <c r="L913" s="3">
        <f>IF(AND('Data Source'!B913&lt;&gt;"",'Data Source'!S913="F"),IF('Data Source'!AD913&gt;=5,"A+",IF('Data Source'!AD913&gt;=4,"A",IF('Data Source'!AD913&gt;=3.5,"A-",IF('Data Source'!AD913&gt;=3,"B",IF('Data Source'!AD913&gt;=2,"C",IF('Data Source'!AD913&gt;=1,"D","F")))))),"")</f>
        <v/>
      </c>
      <c r="M913" s="3">
        <f>IF(AND('Data Source'!B913&lt;&gt;"",'Data Source'!S913="F"),IF('Data Source'!AE913&gt;=5,"A+",IF('Data Source'!AE913&gt;=4,"A",IF('Data Source'!AE913&gt;=3.5,"A-",IF('Data Source'!AE913&gt;=3,"B",IF('Data Source'!AE913&gt;=2,"C",IF('Data Source'!AE913&gt;=1,"D","F")))))),"")</f>
        <v/>
      </c>
      <c r="N913" s="3">
        <f>IF(AND('Data Source'!B913&lt;&gt;"",'Data Source'!S913="F"),IF('Data Source'!AF913&gt;=5,"A+",IF('Data Source'!AF913&gt;=4,"A",IF('Data Source'!AF913&gt;=3.5,"A-",IF('Data Source'!AF913&gt;=3,"B",IF('Data Source'!AF913&gt;=2,"C",IF('Data Source'!AF913&gt;=1,"D","F")))))),"")</f>
        <v/>
      </c>
      <c r="O913" s="3">
        <f>IF(AND('Data Source'!B913&lt;&gt;"",'Data Source'!S913="F"),IF('Data Source'!AG913&gt;=5,"A+",IF('Data Source'!AG913&gt;=4,"A",IF('Data Source'!AG913&gt;=3.5,"A-",IF('Data Source'!AG913&gt;=3,"B",IF('Data Source'!AG913&gt;=2,"C",IF('Data Source'!AG913&gt;=1,"D","F")))))),"")</f>
        <v/>
      </c>
      <c r="P913" s="5">
        <f>IF(AND('Data Source'!B913&lt;&gt;"",'Data Source'!S913="F"),'Data Source'!R913,"")</f>
        <v/>
      </c>
      <c r="Q913" s="3">
        <f>IF(AND('Data Source'!B913&lt;&gt;"",'Data Source'!S913="F"),'Data Source'!S913,"")</f>
        <v/>
      </c>
    </row>
    <row r="914">
      <c r="A914" s="3">
        <f>IF(AND('Data Source'!B914&lt;&gt;"",'Data Source'!S914="F"),COUNTIF('Data Source'!$S$3:S914,"F"),"")</f>
        <v/>
      </c>
      <c r="B914">
        <f>IF(AND('Data Source'!B914&lt;&gt;"",'Data Source'!S914="F"),'Data Source'!B914,"")</f>
        <v/>
      </c>
      <c r="C914" s="3">
        <f>IF(AND('Data Source'!B914&lt;&gt;"",'Data Source'!S914="F"),IF('Data Source'!U914&gt;=5,"A+",IF('Data Source'!U914&gt;=4,"A",IF('Data Source'!U914&gt;=3.5,"A-",IF('Data Source'!U914&gt;=3,"B",IF('Data Source'!U914&gt;=2,"C",IF('Data Source'!U914&gt;=1,"D","F")))))),"")</f>
        <v/>
      </c>
      <c r="D914" s="3">
        <f>IF(AND('Data Source'!B914&lt;&gt;"",'Data Source'!S914="F"),IF('Data Source'!V914&gt;=5,"A+",IF('Data Source'!V914&gt;=4,"A",IF('Data Source'!V914&gt;=3.5,"A-",IF('Data Source'!V914&gt;=3,"B",IF('Data Source'!V914&gt;=2,"C",IF('Data Source'!V914&gt;=1,"D","F")))))),"")</f>
        <v/>
      </c>
      <c r="E914" s="3">
        <f>IF(AND('Data Source'!B914&lt;&gt;"",'Data Source'!S914="F"),IF('Data Source'!W914&gt;=5,"A+",IF('Data Source'!W914&gt;=4,"A",IF('Data Source'!W914&gt;=3.5,"A-",IF('Data Source'!W914&gt;=3,"B",IF('Data Source'!W914&gt;=2,"C",IF('Data Source'!W914&gt;=1,"D","F")))))),"")</f>
        <v/>
      </c>
      <c r="F914" s="3">
        <f>IF(AND('Data Source'!B914&lt;&gt;"",'Data Source'!S914="F"),IF('Data Source'!X914&gt;=5,"A+",IF('Data Source'!X914&gt;=4,"A",IF('Data Source'!X914&gt;=3.5,"A-",IF('Data Source'!X914&gt;=3,"B",IF('Data Source'!X914&gt;=2,"C",IF('Data Source'!X914&gt;=1,"D","F")))))),"")</f>
        <v/>
      </c>
      <c r="G914" s="3">
        <f>IF(AND('Data Source'!B914&lt;&gt;"",'Data Source'!S914="F"),IF('Data Source'!Y914&gt;=5,"A+",IF('Data Source'!Y914&gt;=4,"A",IF('Data Source'!Y914&gt;=3.5,"A-",IF('Data Source'!Y914&gt;=3,"B",IF('Data Source'!Y914&gt;=2,"C",IF('Data Source'!Y914&gt;=1,"D","F")))))),"")</f>
        <v/>
      </c>
      <c r="H914" s="3">
        <f>IF(AND('Data Source'!B914&lt;&gt;"",'Data Source'!S914="F"),IF('Data Source'!Z914&gt;=5,"A+",IF('Data Source'!Z914&gt;=4,"A",IF('Data Source'!Z914&gt;=3.5,"A-",IF('Data Source'!Z914&gt;=3,"B",IF('Data Source'!Z914&gt;=2,"C",IF('Data Source'!Z914&gt;=1,"D","F")))))),"")</f>
        <v/>
      </c>
      <c r="I914" s="3">
        <f>IF(AND('Data Source'!B914&lt;&gt;"",'Data Source'!S914="F"),IF('Data Source'!AA914&gt;=5,"A+",IF('Data Source'!AA914&gt;=4,"A",IF('Data Source'!AA914&gt;=3.5,"A-",IF('Data Source'!AA914&gt;=3,"B",IF('Data Source'!AA914&gt;=2,"C",IF('Data Source'!AA914&gt;=1,"D","F")))))),"")</f>
        <v/>
      </c>
      <c r="J914" s="3">
        <f>IF(AND('Data Source'!B914&lt;&gt;"",'Data Source'!S914="F"),IF('Data Source'!AB914&gt;=5,"A+",IF('Data Source'!AB914&gt;=4,"A",IF('Data Source'!AB914&gt;=3.5,"A-",IF('Data Source'!AB914&gt;=3,"B",IF('Data Source'!AB914&gt;=2,"C",IF('Data Source'!AB914&gt;=1,"D","F")))))),"")</f>
        <v/>
      </c>
      <c r="K914" s="3">
        <f>IF(AND('Data Source'!B914&lt;&gt;"",'Data Source'!S914="F"),IF('Data Source'!AC914&gt;=5,"A+",IF('Data Source'!AC914&gt;=4,"A",IF('Data Source'!AC914&gt;=3.5,"A-",IF('Data Source'!AC914&gt;=3,"B",IF('Data Source'!AC914&gt;=2,"C",IF('Data Source'!AC914&gt;=1,"D","F")))))),"")</f>
        <v/>
      </c>
      <c r="L914" s="3">
        <f>IF(AND('Data Source'!B914&lt;&gt;"",'Data Source'!S914="F"),IF('Data Source'!AD914&gt;=5,"A+",IF('Data Source'!AD914&gt;=4,"A",IF('Data Source'!AD914&gt;=3.5,"A-",IF('Data Source'!AD914&gt;=3,"B",IF('Data Source'!AD914&gt;=2,"C",IF('Data Source'!AD914&gt;=1,"D","F")))))),"")</f>
        <v/>
      </c>
      <c r="M914" s="3">
        <f>IF(AND('Data Source'!B914&lt;&gt;"",'Data Source'!S914="F"),IF('Data Source'!AE914&gt;=5,"A+",IF('Data Source'!AE914&gt;=4,"A",IF('Data Source'!AE914&gt;=3.5,"A-",IF('Data Source'!AE914&gt;=3,"B",IF('Data Source'!AE914&gt;=2,"C",IF('Data Source'!AE914&gt;=1,"D","F")))))),"")</f>
        <v/>
      </c>
      <c r="N914" s="3">
        <f>IF(AND('Data Source'!B914&lt;&gt;"",'Data Source'!S914="F"),IF('Data Source'!AF914&gt;=5,"A+",IF('Data Source'!AF914&gt;=4,"A",IF('Data Source'!AF914&gt;=3.5,"A-",IF('Data Source'!AF914&gt;=3,"B",IF('Data Source'!AF914&gt;=2,"C",IF('Data Source'!AF914&gt;=1,"D","F")))))),"")</f>
        <v/>
      </c>
      <c r="O914" s="3">
        <f>IF(AND('Data Source'!B914&lt;&gt;"",'Data Source'!S914="F"),IF('Data Source'!AG914&gt;=5,"A+",IF('Data Source'!AG914&gt;=4,"A",IF('Data Source'!AG914&gt;=3.5,"A-",IF('Data Source'!AG914&gt;=3,"B",IF('Data Source'!AG914&gt;=2,"C",IF('Data Source'!AG914&gt;=1,"D","F")))))),"")</f>
        <v/>
      </c>
      <c r="P914" s="5">
        <f>IF(AND('Data Source'!B914&lt;&gt;"",'Data Source'!S914="F"),'Data Source'!R914,"")</f>
        <v/>
      </c>
      <c r="Q914" s="3">
        <f>IF(AND('Data Source'!B914&lt;&gt;"",'Data Source'!S914="F"),'Data Source'!S914,"")</f>
        <v/>
      </c>
    </row>
    <row r="915">
      <c r="A915" s="3">
        <f>IF(AND('Data Source'!B915&lt;&gt;"",'Data Source'!S915="F"),COUNTIF('Data Source'!$S$3:S915,"F"),"")</f>
        <v/>
      </c>
      <c r="B915">
        <f>IF(AND('Data Source'!B915&lt;&gt;"",'Data Source'!S915="F"),'Data Source'!B915,"")</f>
        <v/>
      </c>
      <c r="C915" s="3">
        <f>IF(AND('Data Source'!B915&lt;&gt;"",'Data Source'!S915="F"),IF('Data Source'!U915&gt;=5,"A+",IF('Data Source'!U915&gt;=4,"A",IF('Data Source'!U915&gt;=3.5,"A-",IF('Data Source'!U915&gt;=3,"B",IF('Data Source'!U915&gt;=2,"C",IF('Data Source'!U915&gt;=1,"D","F")))))),"")</f>
        <v/>
      </c>
      <c r="D915" s="3">
        <f>IF(AND('Data Source'!B915&lt;&gt;"",'Data Source'!S915="F"),IF('Data Source'!V915&gt;=5,"A+",IF('Data Source'!V915&gt;=4,"A",IF('Data Source'!V915&gt;=3.5,"A-",IF('Data Source'!V915&gt;=3,"B",IF('Data Source'!V915&gt;=2,"C",IF('Data Source'!V915&gt;=1,"D","F")))))),"")</f>
        <v/>
      </c>
      <c r="E915" s="3">
        <f>IF(AND('Data Source'!B915&lt;&gt;"",'Data Source'!S915="F"),IF('Data Source'!W915&gt;=5,"A+",IF('Data Source'!W915&gt;=4,"A",IF('Data Source'!W915&gt;=3.5,"A-",IF('Data Source'!W915&gt;=3,"B",IF('Data Source'!W915&gt;=2,"C",IF('Data Source'!W915&gt;=1,"D","F")))))),"")</f>
        <v/>
      </c>
      <c r="F915" s="3">
        <f>IF(AND('Data Source'!B915&lt;&gt;"",'Data Source'!S915="F"),IF('Data Source'!X915&gt;=5,"A+",IF('Data Source'!X915&gt;=4,"A",IF('Data Source'!X915&gt;=3.5,"A-",IF('Data Source'!X915&gt;=3,"B",IF('Data Source'!X915&gt;=2,"C",IF('Data Source'!X915&gt;=1,"D","F")))))),"")</f>
        <v/>
      </c>
      <c r="G915" s="3">
        <f>IF(AND('Data Source'!B915&lt;&gt;"",'Data Source'!S915="F"),IF('Data Source'!Y915&gt;=5,"A+",IF('Data Source'!Y915&gt;=4,"A",IF('Data Source'!Y915&gt;=3.5,"A-",IF('Data Source'!Y915&gt;=3,"B",IF('Data Source'!Y915&gt;=2,"C",IF('Data Source'!Y915&gt;=1,"D","F")))))),"")</f>
        <v/>
      </c>
      <c r="H915" s="3">
        <f>IF(AND('Data Source'!B915&lt;&gt;"",'Data Source'!S915="F"),IF('Data Source'!Z915&gt;=5,"A+",IF('Data Source'!Z915&gt;=4,"A",IF('Data Source'!Z915&gt;=3.5,"A-",IF('Data Source'!Z915&gt;=3,"B",IF('Data Source'!Z915&gt;=2,"C",IF('Data Source'!Z915&gt;=1,"D","F")))))),"")</f>
        <v/>
      </c>
      <c r="I915" s="3">
        <f>IF(AND('Data Source'!B915&lt;&gt;"",'Data Source'!S915="F"),IF('Data Source'!AA915&gt;=5,"A+",IF('Data Source'!AA915&gt;=4,"A",IF('Data Source'!AA915&gt;=3.5,"A-",IF('Data Source'!AA915&gt;=3,"B",IF('Data Source'!AA915&gt;=2,"C",IF('Data Source'!AA915&gt;=1,"D","F")))))),"")</f>
        <v/>
      </c>
      <c r="J915" s="3">
        <f>IF(AND('Data Source'!B915&lt;&gt;"",'Data Source'!S915="F"),IF('Data Source'!AB915&gt;=5,"A+",IF('Data Source'!AB915&gt;=4,"A",IF('Data Source'!AB915&gt;=3.5,"A-",IF('Data Source'!AB915&gt;=3,"B",IF('Data Source'!AB915&gt;=2,"C",IF('Data Source'!AB915&gt;=1,"D","F")))))),"")</f>
        <v/>
      </c>
      <c r="K915" s="3">
        <f>IF(AND('Data Source'!B915&lt;&gt;"",'Data Source'!S915="F"),IF('Data Source'!AC915&gt;=5,"A+",IF('Data Source'!AC915&gt;=4,"A",IF('Data Source'!AC915&gt;=3.5,"A-",IF('Data Source'!AC915&gt;=3,"B",IF('Data Source'!AC915&gt;=2,"C",IF('Data Source'!AC915&gt;=1,"D","F")))))),"")</f>
        <v/>
      </c>
      <c r="L915" s="3">
        <f>IF(AND('Data Source'!B915&lt;&gt;"",'Data Source'!S915="F"),IF('Data Source'!AD915&gt;=5,"A+",IF('Data Source'!AD915&gt;=4,"A",IF('Data Source'!AD915&gt;=3.5,"A-",IF('Data Source'!AD915&gt;=3,"B",IF('Data Source'!AD915&gt;=2,"C",IF('Data Source'!AD915&gt;=1,"D","F")))))),"")</f>
        <v/>
      </c>
      <c r="M915" s="3">
        <f>IF(AND('Data Source'!B915&lt;&gt;"",'Data Source'!S915="F"),IF('Data Source'!AE915&gt;=5,"A+",IF('Data Source'!AE915&gt;=4,"A",IF('Data Source'!AE915&gt;=3.5,"A-",IF('Data Source'!AE915&gt;=3,"B",IF('Data Source'!AE915&gt;=2,"C",IF('Data Source'!AE915&gt;=1,"D","F")))))),"")</f>
        <v/>
      </c>
      <c r="N915" s="3">
        <f>IF(AND('Data Source'!B915&lt;&gt;"",'Data Source'!S915="F"),IF('Data Source'!AF915&gt;=5,"A+",IF('Data Source'!AF915&gt;=4,"A",IF('Data Source'!AF915&gt;=3.5,"A-",IF('Data Source'!AF915&gt;=3,"B",IF('Data Source'!AF915&gt;=2,"C",IF('Data Source'!AF915&gt;=1,"D","F")))))),"")</f>
        <v/>
      </c>
      <c r="O915" s="3">
        <f>IF(AND('Data Source'!B915&lt;&gt;"",'Data Source'!S915="F"),IF('Data Source'!AG915&gt;=5,"A+",IF('Data Source'!AG915&gt;=4,"A",IF('Data Source'!AG915&gt;=3.5,"A-",IF('Data Source'!AG915&gt;=3,"B",IF('Data Source'!AG915&gt;=2,"C",IF('Data Source'!AG915&gt;=1,"D","F")))))),"")</f>
        <v/>
      </c>
      <c r="P915" s="5">
        <f>IF(AND('Data Source'!B915&lt;&gt;"",'Data Source'!S915="F"),'Data Source'!R915,"")</f>
        <v/>
      </c>
      <c r="Q915" s="3">
        <f>IF(AND('Data Source'!B915&lt;&gt;"",'Data Source'!S915="F"),'Data Source'!S915,"")</f>
        <v/>
      </c>
    </row>
    <row r="916">
      <c r="A916" s="3">
        <f>IF(AND('Data Source'!B916&lt;&gt;"",'Data Source'!S916="F"),COUNTIF('Data Source'!$S$3:S916,"F"),"")</f>
        <v/>
      </c>
      <c r="B916">
        <f>IF(AND('Data Source'!B916&lt;&gt;"",'Data Source'!S916="F"),'Data Source'!B916,"")</f>
        <v/>
      </c>
      <c r="C916" s="3">
        <f>IF(AND('Data Source'!B916&lt;&gt;"",'Data Source'!S916="F"),IF('Data Source'!U916&gt;=5,"A+",IF('Data Source'!U916&gt;=4,"A",IF('Data Source'!U916&gt;=3.5,"A-",IF('Data Source'!U916&gt;=3,"B",IF('Data Source'!U916&gt;=2,"C",IF('Data Source'!U916&gt;=1,"D","F")))))),"")</f>
        <v/>
      </c>
      <c r="D916" s="3">
        <f>IF(AND('Data Source'!B916&lt;&gt;"",'Data Source'!S916="F"),IF('Data Source'!V916&gt;=5,"A+",IF('Data Source'!V916&gt;=4,"A",IF('Data Source'!V916&gt;=3.5,"A-",IF('Data Source'!V916&gt;=3,"B",IF('Data Source'!V916&gt;=2,"C",IF('Data Source'!V916&gt;=1,"D","F")))))),"")</f>
        <v/>
      </c>
      <c r="E916" s="3">
        <f>IF(AND('Data Source'!B916&lt;&gt;"",'Data Source'!S916="F"),IF('Data Source'!W916&gt;=5,"A+",IF('Data Source'!W916&gt;=4,"A",IF('Data Source'!W916&gt;=3.5,"A-",IF('Data Source'!W916&gt;=3,"B",IF('Data Source'!W916&gt;=2,"C",IF('Data Source'!W916&gt;=1,"D","F")))))),"")</f>
        <v/>
      </c>
      <c r="F916" s="3">
        <f>IF(AND('Data Source'!B916&lt;&gt;"",'Data Source'!S916="F"),IF('Data Source'!X916&gt;=5,"A+",IF('Data Source'!X916&gt;=4,"A",IF('Data Source'!X916&gt;=3.5,"A-",IF('Data Source'!X916&gt;=3,"B",IF('Data Source'!X916&gt;=2,"C",IF('Data Source'!X916&gt;=1,"D","F")))))),"")</f>
        <v/>
      </c>
      <c r="G916" s="3">
        <f>IF(AND('Data Source'!B916&lt;&gt;"",'Data Source'!S916="F"),IF('Data Source'!Y916&gt;=5,"A+",IF('Data Source'!Y916&gt;=4,"A",IF('Data Source'!Y916&gt;=3.5,"A-",IF('Data Source'!Y916&gt;=3,"B",IF('Data Source'!Y916&gt;=2,"C",IF('Data Source'!Y916&gt;=1,"D","F")))))),"")</f>
        <v/>
      </c>
      <c r="H916" s="3">
        <f>IF(AND('Data Source'!B916&lt;&gt;"",'Data Source'!S916="F"),IF('Data Source'!Z916&gt;=5,"A+",IF('Data Source'!Z916&gt;=4,"A",IF('Data Source'!Z916&gt;=3.5,"A-",IF('Data Source'!Z916&gt;=3,"B",IF('Data Source'!Z916&gt;=2,"C",IF('Data Source'!Z916&gt;=1,"D","F")))))),"")</f>
        <v/>
      </c>
      <c r="I916" s="3">
        <f>IF(AND('Data Source'!B916&lt;&gt;"",'Data Source'!S916="F"),IF('Data Source'!AA916&gt;=5,"A+",IF('Data Source'!AA916&gt;=4,"A",IF('Data Source'!AA916&gt;=3.5,"A-",IF('Data Source'!AA916&gt;=3,"B",IF('Data Source'!AA916&gt;=2,"C",IF('Data Source'!AA916&gt;=1,"D","F")))))),"")</f>
        <v/>
      </c>
      <c r="J916" s="3">
        <f>IF(AND('Data Source'!B916&lt;&gt;"",'Data Source'!S916="F"),IF('Data Source'!AB916&gt;=5,"A+",IF('Data Source'!AB916&gt;=4,"A",IF('Data Source'!AB916&gt;=3.5,"A-",IF('Data Source'!AB916&gt;=3,"B",IF('Data Source'!AB916&gt;=2,"C",IF('Data Source'!AB916&gt;=1,"D","F")))))),"")</f>
        <v/>
      </c>
      <c r="K916" s="3">
        <f>IF(AND('Data Source'!B916&lt;&gt;"",'Data Source'!S916="F"),IF('Data Source'!AC916&gt;=5,"A+",IF('Data Source'!AC916&gt;=4,"A",IF('Data Source'!AC916&gt;=3.5,"A-",IF('Data Source'!AC916&gt;=3,"B",IF('Data Source'!AC916&gt;=2,"C",IF('Data Source'!AC916&gt;=1,"D","F")))))),"")</f>
        <v/>
      </c>
      <c r="L916" s="3">
        <f>IF(AND('Data Source'!B916&lt;&gt;"",'Data Source'!S916="F"),IF('Data Source'!AD916&gt;=5,"A+",IF('Data Source'!AD916&gt;=4,"A",IF('Data Source'!AD916&gt;=3.5,"A-",IF('Data Source'!AD916&gt;=3,"B",IF('Data Source'!AD916&gt;=2,"C",IF('Data Source'!AD916&gt;=1,"D","F")))))),"")</f>
        <v/>
      </c>
      <c r="M916" s="3">
        <f>IF(AND('Data Source'!B916&lt;&gt;"",'Data Source'!S916="F"),IF('Data Source'!AE916&gt;=5,"A+",IF('Data Source'!AE916&gt;=4,"A",IF('Data Source'!AE916&gt;=3.5,"A-",IF('Data Source'!AE916&gt;=3,"B",IF('Data Source'!AE916&gt;=2,"C",IF('Data Source'!AE916&gt;=1,"D","F")))))),"")</f>
        <v/>
      </c>
      <c r="N916" s="3">
        <f>IF(AND('Data Source'!B916&lt;&gt;"",'Data Source'!S916="F"),IF('Data Source'!AF916&gt;=5,"A+",IF('Data Source'!AF916&gt;=4,"A",IF('Data Source'!AF916&gt;=3.5,"A-",IF('Data Source'!AF916&gt;=3,"B",IF('Data Source'!AF916&gt;=2,"C",IF('Data Source'!AF916&gt;=1,"D","F")))))),"")</f>
        <v/>
      </c>
      <c r="O916" s="3">
        <f>IF(AND('Data Source'!B916&lt;&gt;"",'Data Source'!S916="F"),IF('Data Source'!AG916&gt;=5,"A+",IF('Data Source'!AG916&gt;=4,"A",IF('Data Source'!AG916&gt;=3.5,"A-",IF('Data Source'!AG916&gt;=3,"B",IF('Data Source'!AG916&gt;=2,"C",IF('Data Source'!AG916&gt;=1,"D","F")))))),"")</f>
        <v/>
      </c>
      <c r="P916" s="5">
        <f>IF(AND('Data Source'!B916&lt;&gt;"",'Data Source'!S916="F"),'Data Source'!R916,"")</f>
        <v/>
      </c>
      <c r="Q916" s="3">
        <f>IF(AND('Data Source'!B916&lt;&gt;"",'Data Source'!S916="F"),'Data Source'!S916,"")</f>
        <v/>
      </c>
    </row>
    <row r="917">
      <c r="A917" s="3">
        <f>IF(AND('Data Source'!B917&lt;&gt;"",'Data Source'!S917="F"),COUNTIF('Data Source'!$S$3:S917,"F"),"")</f>
        <v/>
      </c>
      <c r="B917">
        <f>IF(AND('Data Source'!B917&lt;&gt;"",'Data Source'!S917="F"),'Data Source'!B917,"")</f>
        <v/>
      </c>
      <c r="C917" s="3">
        <f>IF(AND('Data Source'!B917&lt;&gt;"",'Data Source'!S917="F"),IF('Data Source'!U917&gt;=5,"A+",IF('Data Source'!U917&gt;=4,"A",IF('Data Source'!U917&gt;=3.5,"A-",IF('Data Source'!U917&gt;=3,"B",IF('Data Source'!U917&gt;=2,"C",IF('Data Source'!U917&gt;=1,"D","F")))))),"")</f>
        <v/>
      </c>
      <c r="D917" s="3">
        <f>IF(AND('Data Source'!B917&lt;&gt;"",'Data Source'!S917="F"),IF('Data Source'!V917&gt;=5,"A+",IF('Data Source'!V917&gt;=4,"A",IF('Data Source'!V917&gt;=3.5,"A-",IF('Data Source'!V917&gt;=3,"B",IF('Data Source'!V917&gt;=2,"C",IF('Data Source'!V917&gt;=1,"D","F")))))),"")</f>
        <v/>
      </c>
      <c r="E917" s="3">
        <f>IF(AND('Data Source'!B917&lt;&gt;"",'Data Source'!S917="F"),IF('Data Source'!W917&gt;=5,"A+",IF('Data Source'!W917&gt;=4,"A",IF('Data Source'!W917&gt;=3.5,"A-",IF('Data Source'!W917&gt;=3,"B",IF('Data Source'!W917&gt;=2,"C",IF('Data Source'!W917&gt;=1,"D","F")))))),"")</f>
        <v/>
      </c>
      <c r="F917" s="3">
        <f>IF(AND('Data Source'!B917&lt;&gt;"",'Data Source'!S917="F"),IF('Data Source'!X917&gt;=5,"A+",IF('Data Source'!X917&gt;=4,"A",IF('Data Source'!X917&gt;=3.5,"A-",IF('Data Source'!X917&gt;=3,"B",IF('Data Source'!X917&gt;=2,"C",IF('Data Source'!X917&gt;=1,"D","F")))))),"")</f>
        <v/>
      </c>
      <c r="G917" s="3">
        <f>IF(AND('Data Source'!B917&lt;&gt;"",'Data Source'!S917="F"),IF('Data Source'!Y917&gt;=5,"A+",IF('Data Source'!Y917&gt;=4,"A",IF('Data Source'!Y917&gt;=3.5,"A-",IF('Data Source'!Y917&gt;=3,"B",IF('Data Source'!Y917&gt;=2,"C",IF('Data Source'!Y917&gt;=1,"D","F")))))),"")</f>
        <v/>
      </c>
      <c r="H917" s="3">
        <f>IF(AND('Data Source'!B917&lt;&gt;"",'Data Source'!S917="F"),IF('Data Source'!Z917&gt;=5,"A+",IF('Data Source'!Z917&gt;=4,"A",IF('Data Source'!Z917&gt;=3.5,"A-",IF('Data Source'!Z917&gt;=3,"B",IF('Data Source'!Z917&gt;=2,"C",IF('Data Source'!Z917&gt;=1,"D","F")))))),"")</f>
        <v/>
      </c>
      <c r="I917" s="3">
        <f>IF(AND('Data Source'!B917&lt;&gt;"",'Data Source'!S917="F"),IF('Data Source'!AA917&gt;=5,"A+",IF('Data Source'!AA917&gt;=4,"A",IF('Data Source'!AA917&gt;=3.5,"A-",IF('Data Source'!AA917&gt;=3,"B",IF('Data Source'!AA917&gt;=2,"C",IF('Data Source'!AA917&gt;=1,"D","F")))))),"")</f>
        <v/>
      </c>
      <c r="J917" s="3">
        <f>IF(AND('Data Source'!B917&lt;&gt;"",'Data Source'!S917="F"),IF('Data Source'!AB917&gt;=5,"A+",IF('Data Source'!AB917&gt;=4,"A",IF('Data Source'!AB917&gt;=3.5,"A-",IF('Data Source'!AB917&gt;=3,"B",IF('Data Source'!AB917&gt;=2,"C",IF('Data Source'!AB917&gt;=1,"D","F")))))),"")</f>
        <v/>
      </c>
      <c r="K917" s="3">
        <f>IF(AND('Data Source'!B917&lt;&gt;"",'Data Source'!S917="F"),IF('Data Source'!AC917&gt;=5,"A+",IF('Data Source'!AC917&gt;=4,"A",IF('Data Source'!AC917&gt;=3.5,"A-",IF('Data Source'!AC917&gt;=3,"B",IF('Data Source'!AC917&gt;=2,"C",IF('Data Source'!AC917&gt;=1,"D","F")))))),"")</f>
        <v/>
      </c>
      <c r="L917" s="3">
        <f>IF(AND('Data Source'!B917&lt;&gt;"",'Data Source'!S917="F"),IF('Data Source'!AD917&gt;=5,"A+",IF('Data Source'!AD917&gt;=4,"A",IF('Data Source'!AD917&gt;=3.5,"A-",IF('Data Source'!AD917&gt;=3,"B",IF('Data Source'!AD917&gt;=2,"C",IF('Data Source'!AD917&gt;=1,"D","F")))))),"")</f>
        <v/>
      </c>
      <c r="M917" s="3">
        <f>IF(AND('Data Source'!B917&lt;&gt;"",'Data Source'!S917="F"),IF('Data Source'!AE917&gt;=5,"A+",IF('Data Source'!AE917&gt;=4,"A",IF('Data Source'!AE917&gt;=3.5,"A-",IF('Data Source'!AE917&gt;=3,"B",IF('Data Source'!AE917&gt;=2,"C",IF('Data Source'!AE917&gt;=1,"D","F")))))),"")</f>
        <v/>
      </c>
      <c r="N917" s="3">
        <f>IF(AND('Data Source'!B917&lt;&gt;"",'Data Source'!S917="F"),IF('Data Source'!AF917&gt;=5,"A+",IF('Data Source'!AF917&gt;=4,"A",IF('Data Source'!AF917&gt;=3.5,"A-",IF('Data Source'!AF917&gt;=3,"B",IF('Data Source'!AF917&gt;=2,"C",IF('Data Source'!AF917&gt;=1,"D","F")))))),"")</f>
        <v/>
      </c>
      <c r="O917" s="3">
        <f>IF(AND('Data Source'!B917&lt;&gt;"",'Data Source'!S917="F"),IF('Data Source'!AG917&gt;=5,"A+",IF('Data Source'!AG917&gt;=4,"A",IF('Data Source'!AG917&gt;=3.5,"A-",IF('Data Source'!AG917&gt;=3,"B",IF('Data Source'!AG917&gt;=2,"C",IF('Data Source'!AG917&gt;=1,"D","F")))))),"")</f>
        <v/>
      </c>
      <c r="P917" s="5">
        <f>IF(AND('Data Source'!B917&lt;&gt;"",'Data Source'!S917="F"),'Data Source'!R917,"")</f>
        <v/>
      </c>
      <c r="Q917" s="3">
        <f>IF(AND('Data Source'!B917&lt;&gt;"",'Data Source'!S917="F"),'Data Source'!S917,"")</f>
        <v/>
      </c>
    </row>
    <row r="918">
      <c r="A918" s="3">
        <f>IF(AND('Data Source'!B918&lt;&gt;"",'Data Source'!S918="F"),COUNTIF('Data Source'!$S$3:S918,"F"),"")</f>
        <v/>
      </c>
      <c r="B918">
        <f>IF(AND('Data Source'!B918&lt;&gt;"",'Data Source'!S918="F"),'Data Source'!B918,"")</f>
        <v/>
      </c>
      <c r="C918" s="3">
        <f>IF(AND('Data Source'!B918&lt;&gt;"",'Data Source'!S918="F"),IF('Data Source'!U918&gt;=5,"A+",IF('Data Source'!U918&gt;=4,"A",IF('Data Source'!U918&gt;=3.5,"A-",IF('Data Source'!U918&gt;=3,"B",IF('Data Source'!U918&gt;=2,"C",IF('Data Source'!U918&gt;=1,"D","F")))))),"")</f>
        <v/>
      </c>
      <c r="D918" s="3">
        <f>IF(AND('Data Source'!B918&lt;&gt;"",'Data Source'!S918="F"),IF('Data Source'!V918&gt;=5,"A+",IF('Data Source'!V918&gt;=4,"A",IF('Data Source'!V918&gt;=3.5,"A-",IF('Data Source'!V918&gt;=3,"B",IF('Data Source'!V918&gt;=2,"C",IF('Data Source'!V918&gt;=1,"D","F")))))),"")</f>
        <v/>
      </c>
      <c r="E918" s="3">
        <f>IF(AND('Data Source'!B918&lt;&gt;"",'Data Source'!S918="F"),IF('Data Source'!W918&gt;=5,"A+",IF('Data Source'!W918&gt;=4,"A",IF('Data Source'!W918&gt;=3.5,"A-",IF('Data Source'!W918&gt;=3,"B",IF('Data Source'!W918&gt;=2,"C",IF('Data Source'!W918&gt;=1,"D","F")))))),"")</f>
        <v/>
      </c>
      <c r="F918" s="3">
        <f>IF(AND('Data Source'!B918&lt;&gt;"",'Data Source'!S918="F"),IF('Data Source'!X918&gt;=5,"A+",IF('Data Source'!X918&gt;=4,"A",IF('Data Source'!X918&gt;=3.5,"A-",IF('Data Source'!X918&gt;=3,"B",IF('Data Source'!X918&gt;=2,"C",IF('Data Source'!X918&gt;=1,"D","F")))))),"")</f>
        <v/>
      </c>
      <c r="G918" s="3">
        <f>IF(AND('Data Source'!B918&lt;&gt;"",'Data Source'!S918="F"),IF('Data Source'!Y918&gt;=5,"A+",IF('Data Source'!Y918&gt;=4,"A",IF('Data Source'!Y918&gt;=3.5,"A-",IF('Data Source'!Y918&gt;=3,"B",IF('Data Source'!Y918&gt;=2,"C",IF('Data Source'!Y918&gt;=1,"D","F")))))),"")</f>
        <v/>
      </c>
      <c r="H918" s="3">
        <f>IF(AND('Data Source'!B918&lt;&gt;"",'Data Source'!S918="F"),IF('Data Source'!Z918&gt;=5,"A+",IF('Data Source'!Z918&gt;=4,"A",IF('Data Source'!Z918&gt;=3.5,"A-",IF('Data Source'!Z918&gt;=3,"B",IF('Data Source'!Z918&gt;=2,"C",IF('Data Source'!Z918&gt;=1,"D","F")))))),"")</f>
        <v/>
      </c>
      <c r="I918" s="3">
        <f>IF(AND('Data Source'!B918&lt;&gt;"",'Data Source'!S918="F"),IF('Data Source'!AA918&gt;=5,"A+",IF('Data Source'!AA918&gt;=4,"A",IF('Data Source'!AA918&gt;=3.5,"A-",IF('Data Source'!AA918&gt;=3,"B",IF('Data Source'!AA918&gt;=2,"C",IF('Data Source'!AA918&gt;=1,"D","F")))))),"")</f>
        <v/>
      </c>
      <c r="J918" s="3">
        <f>IF(AND('Data Source'!B918&lt;&gt;"",'Data Source'!S918="F"),IF('Data Source'!AB918&gt;=5,"A+",IF('Data Source'!AB918&gt;=4,"A",IF('Data Source'!AB918&gt;=3.5,"A-",IF('Data Source'!AB918&gt;=3,"B",IF('Data Source'!AB918&gt;=2,"C",IF('Data Source'!AB918&gt;=1,"D","F")))))),"")</f>
        <v/>
      </c>
      <c r="K918" s="3">
        <f>IF(AND('Data Source'!B918&lt;&gt;"",'Data Source'!S918="F"),IF('Data Source'!AC918&gt;=5,"A+",IF('Data Source'!AC918&gt;=4,"A",IF('Data Source'!AC918&gt;=3.5,"A-",IF('Data Source'!AC918&gt;=3,"B",IF('Data Source'!AC918&gt;=2,"C",IF('Data Source'!AC918&gt;=1,"D","F")))))),"")</f>
        <v/>
      </c>
      <c r="L918" s="3">
        <f>IF(AND('Data Source'!B918&lt;&gt;"",'Data Source'!S918="F"),IF('Data Source'!AD918&gt;=5,"A+",IF('Data Source'!AD918&gt;=4,"A",IF('Data Source'!AD918&gt;=3.5,"A-",IF('Data Source'!AD918&gt;=3,"B",IF('Data Source'!AD918&gt;=2,"C",IF('Data Source'!AD918&gt;=1,"D","F")))))),"")</f>
        <v/>
      </c>
      <c r="M918" s="3">
        <f>IF(AND('Data Source'!B918&lt;&gt;"",'Data Source'!S918="F"),IF('Data Source'!AE918&gt;=5,"A+",IF('Data Source'!AE918&gt;=4,"A",IF('Data Source'!AE918&gt;=3.5,"A-",IF('Data Source'!AE918&gt;=3,"B",IF('Data Source'!AE918&gt;=2,"C",IF('Data Source'!AE918&gt;=1,"D","F")))))),"")</f>
        <v/>
      </c>
      <c r="N918" s="3">
        <f>IF(AND('Data Source'!B918&lt;&gt;"",'Data Source'!S918="F"),IF('Data Source'!AF918&gt;=5,"A+",IF('Data Source'!AF918&gt;=4,"A",IF('Data Source'!AF918&gt;=3.5,"A-",IF('Data Source'!AF918&gt;=3,"B",IF('Data Source'!AF918&gt;=2,"C",IF('Data Source'!AF918&gt;=1,"D","F")))))),"")</f>
        <v/>
      </c>
      <c r="O918" s="3">
        <f>IF(AND('Data Source'!B918&lt;&gt;"",'Data Source'!S918="F"),IF('Data Source'!AG918&gt;=5,"A+",IF('Data Source'!AG918&gt;=4,"A",IF('Data Source'!AG918&gt;=3.5,"A-",IF('Data Source'!AG918&gt;=3,"B",IF('Data Source'!AG918&gt;=2,"C",IF('Data Source'!AG918&gt;=1,"D","F")))))),"")</f>
        <v/>
      </c>
      <c r="P918" s="5">
        <f>IF(AND('Data Source'!B918&lt;&gt;"",'Data Source'!S918="F"),'Data Source'!R918,"")</f>
        <v/>
      </c>
      <c r="Q918" s="3">
        <f>IF(AND('Data Source'!B918&lt;&gt;"",'Data Source'!S918="F"),'Data Source'!S918,"")</f>
        <v/>
      </c>
    </row>
    <row r="919">
      <c r="A919" s="3">
        <f>IF(AND('Data Source'!B919&lt;&gt;"",'Data Source'!S919="F"),COUNTIF('Data Source'!$S$3:S919,"F"),"")</f>
        <v/>
      </c>
      <c r="B919">
        <f>IF(AND('Data Source'!B919&lt;&gt;"",'Data Source'!S919="F"),'Data Source'!B919,"")</f>
        <v/>
      </c>
      <c r="C919" s="3">
        <f>IF(AND('Data Source'!B919&lt;&gt;"",'Data Source'!S919="F"),IF('Data Source'!U919&gt;=5,"A+",IF('Data Source'!U919&gt;=4,"A",IF('Data Source'!U919&gt;=3.5,"A-",IF('Data Source'!U919&gt;=3,"B",IF('Data Source'!U919&gt;=2,"C",IF('Data Source'!U919&gt;=1,"D","F")))))),"")</f>
        <v/>
      </c>
      <c r="D919" s="3">
        <f>IF(AND('Data Source'!B919&lt;&gt;"",'Data Source'!S919="F"),IF('Data Source'!V919&gt;=5,"A+",IF('Data Source'!V919&gt;=4,"A",IF('Data Source'!V919&gt;=3.5,"A-",IF('Data Source'!V919&gt;=3,"B",IF('Data Source'!V919&gt;=2,"C",IF('Data Source'!V919&gt;=1,"D","F")))))),"")</f>
        <v/>
      </c>
      <c r="E919" s="3">
        <f>IF(AND('Data Source'!B919&lt;&gt;"",'Data Source'!S919="F"),IF('Data Source'!W919&gt;=5,"A+",IF('Data Source'!W919&gt;=4,"A",IF('Data Source'!W919&gt;=3.5,"A-",IF('Data Source'!W919&gt;=3,"B",IF('Data Source'!W919&gt;=2,"C",IF('Data Source'!W919&gt;=1,"D","F")))))),"")</f>
        <v/>
      </c>
      <c r="F919" s="3">
        <f>IF(AND('Data Source'!B919&lt;&gt;"",'Data Source'!S919="F"),IF('Data Source'!X919&gt;=5,"A+",IF('Data Source'!X919&gt;=4,"A",IF('Data Source'!X919&gt;=3.5,"A-",IF('Data Source'!X919&gt;=3,"B",IF('Data Source'!X919&gt;=2,"C",IF('Data Source'!X919&gt;=1,"D","F")))))),"")</f>
        <v/>
      </c>
      <c r="G919" s="3">
        <f>IF(AND('Data Source'!B919&lt;&gt;"",'Data Source'!S919="F"),IF('Data Source'!Y919&gt;=5,"A+",IF('Data Source'!Y919&gt;=4,"A",IF('Data Source'!Y919&gt;=3.5,"A-",IF('Data Source'!Y919&gt;=3,"B",IF('Data Source'!Y919&gt;=2,"C",IF('Data Source'!Y919&gt;=1,"D","F")))))),"")</f>
        <v/>
      </c>
      <c r="H919" s="3">
        <f>IF(AND('Data Source'!B919&lt;&gt;"",'Data Source'!S919="F"),IF('Data Source'!Z919&gt;=5,"A+",IF('Data Source'!Z919&gt;=4,"A",IF('Data Source'!Z919&gt;=3.5,"A-",IF('Data Source'!Z919&gt;=3,"B",IF('Data Source'!Z919&gt;=2,"C",IF('Data Source'!Z919&gt;=1,"D","F")))))),"")</f>
        <v/>
      </c>
      <c r="I919" s="3">
        <f>IF(AND('Data Source'!B919&lt;&gt;"",'Data Source'!S919="F"),IF('Data Source'!AA919&gt;=5,"A+",IF('Data Source'!AA919&gt;=4,"A",IF('Data Source'!AA919&gt;=3.5,"A-",IF('Data Source'!AA919&gt;=3,"B",IF('Data Source'!AA919&gt;=2,"C",IF('Data Source'!AA919&gt;=1,"D","F")))))),"")</f>
        <v/>
      </c>
      <c r="J919" s="3">
        <f>IF(AND('Data Source'!B919&lt;&gt;"",'Data Source'!S919="F"),IF('Data Source'!AB919&gt;=5,"A+",IF('Data Source'!AB919&gt;=4,"A",IF('Data Source'!AB919&gt;=3.5,"A-",IF('Data Source'!AB919&gt;=3,"B",IF('Data Source'!AB919&gt;=2,"C",IF('Data Source'!AB919&gt;=1,"D","F")))))),"")</f>
        <v/>
      </c>
      <c r="K919" s="3">
        <f>IF(AND('Data Source'!B919&lt;&gt;"",'Data Source'!S919="F"),IF('Data Source'!AC919&gt;=5,"A+",IF('Data Source'!AC919&gt;=4,"A",IF('Data Source'!AC919&gt;=3.5,"A-",IF('Data Source'!AC919&gt;=3,"B",IF('Data Source'!AC919&gt;=2,"C",IF('Data Source'!AC919&gt;=1,"D","F")))))),"")</f>
        <v/>
      </c>
      <c r="L919" s="3">
        <f>IF(AND('Data Source'!B919&lt;&gt;"",'Data Source'!S919="F"),IF('Data Source'!AD919&gt;=5,"A+",IF('Data Source'!AD919&gt;=4,"A",IF('Data Source'!AD919&gt;=3.5,"A-",IF('Data Source'!AD919&gt;=3,"B",IF('Data Source'!AD919&gt;=2,"C",IF('Data Source'!AD919&gt;=1,"D","F")))))),"")</f>
        <v/>
      </c>
      <c r="M919" s="3">
        <f>IF(AND('Data Source'!B919&lt;&gt;"",'Data Source'!S919="F"),IF('Data Source'!AE919&gt;=5,"A+",IF('Data Source'!AE919&gt;=4,"A",IF('Data Source'!AE919&gt;=3.5,"A-",IF('Data Source'!AE919&gt;=3,"B",IF('Data Source'!AE919&gt;=2,"C",IF('Data Source'!AE919&gt;=1,"D","F")))))),"")</f>
        <v/>
      </c>
      <c r="N919" s="3">
        <f>IF(AND('Data Source'!B919&lt;&gt;"",'Data Source'!S919="F"),IF('Data Source'!AF919&gt;=5,"A+",IF('Data Source'!AF919&gt;=4,"A",IF('Data Source'!AF919&gt;=3.5,"A-",IF('Data Source'!AF919&gt;=3,"B",IF('Data Source'!AF919&gt;=2,"C",IF('Data Source'!AF919&gt;=1,"D","F")))))),"")</f>
        <v/>
      </c>
      <c r="O919" s="3">
        <f>IF(AND('Data Source'!B919&lt;&gt;"",'Data Source'!S919="F"),IF('Data Source'!AG919&gt;=5,"A+",IF('Data Source'!AG919&gt;=4,"A",IF('Data Source'!AG919&gt;=3.5,"A-",IF('Data Source'!AG919&gt;=3,"B",IF('Data Source'!AG919&gt;=2,"C",IF('Data Source'!AG919&gt;=1,"D","F")))))),"")</f>
        <v/>
      </c>
      <c r="P919" s="5">
        <f>IF(AND('Data Source'!B919&lt;&gt;"",'Data Source'!S919="F"),'Data Source'!R919,"")</f>
        <v/>
      </c>
      <c r="Q919" s="3">
        <f>IF(AND('Data Source'!B919&lt;&gt;"",'Data Source'!S919="F"),'Data Source'!S919,"")</f>
        <v/>
      </c>
    </row>
    <row r="920">
      <c r="A920" s="3">
        <f>IF(AND('Data Source'!B920&lt;&gt;"",'Data Source'!S920="F"),COUNTIF('Data Source'!$S$3:S920,"F"),"")</f>
        <v/>
      </c>
      <c r="B920">
        <f>IF(AND('Data Source'!B920&lt;&gt;"",'Data Source'!S920="F"),'Data Source'!B920,"")</f>
        <v/>
      </c>
      <c r="C920" s="3">
        <f>IF(AND('Data Source'!B920&lt;&gt;"",'Data Source'!S920="F"),IF('Data Source'!U920&gt;=5,"A+",IF('Data Source'!U920&gt;=4,"A",IF('Data Source'!U920&gt;=3.5,"A-",IF('Data Source'!U920&gt;=3,"B",IF('Data Source'!U920&gt;=2,"C",IF('Data Source'!U920&gt;=1,"D","F")))))),"")</f>
        <v/>
      </c>
      <c r="D920" s="3">
        <f>IF(AND('Data Source'!B920&lt;&gt;"",'Data Source'!S920="F"),IF('Data Source'!V920&gt;=5,"A+",IF('Data Source'!V920&gt;=4,"A",IF('Data Source'!V920&gt;=3.5,"A-",IF('Data Source'!V920&gt;=3,"B",IF('Data Source'!V920&gt;=2,"C",IF('Data Source'!V920&gt;=1,"D","F")))))),"")</f>
        <v/>
      </c>
      <c r="E920" s="3">
        <f>IF(AND('Data Source'!B920&lt;&gt;"",'Data Source'!S920="F"),IF('Data Source'!W920&gt;=5,"A+",IF('Data Source'!W920&gt;=4,"A",IF('Data Source'!W920&gt;=3.5,"A-",IF('Data Source'!W920&gt;=3,"B",IF('Data Source'!W920&gt;=2,"C",IF('Data Source'!W920&gt;=1,"D","F")))))),"")</f>
        <v/>
      </c>
      <c r="F920" s="3">
        <f>IF(AND('Data Source'!B920&lt;&gt;"",'Data Source'!S920="F"),IF('Data Source'!X920&gt;=5,"A+",IF('Data Source'!X920&gt;=4,"A",IF('Data Source'!X920&gt;=3.5,"A-",IF('Data Source'!X920&gt;=3,"B",IF('Data Source'!X920&gt;=2,"C",IF('Data Source'!X920&gt;=1,"D","F")))))),"")</f>
        <v/>
      </c>
      <c r="G920" s="3">
        <f>IF(AND('Data Source'!B920&lt;&gt;"",'Data Source'!S920="F"),IF('Data Source'!Y920&gt;=5,"A+",IF('Data Source'!Y920&gt;=4,"A",IF('Data Source'!Y920&gt;=3.5,"A-",IF('Data Source'!Y920&gt;=3,"B",IF('Data Source'!Y920&gt;=2,"C",IF('Data Source'!Y920&gt;=1,"D","F")))))),"")</f>
        <v/>
      </c>
      <c r="H920" s="3">
        <f>IF(AND('Data Source'!B920&lt;&gt;"",'Data Source'!S920="F"),IF('Data Source'!Z920&gt;=5,"A+",IF('Data Source'!Z920&gt;=4,"A",IF('Data Source'!Z920&gt;=3.5,"A-",IF('Data Source'!Z920&gt;=3,"B",IF('Data Source'!Z920&gt;=2,"C",IF('Data Source'!Z920&gt;=1,"D","F")))))),"")</f>
        <v/>
      </c>
      <c r="I920" s="3">
        <f>IF(AND('Data Source'!B920&lt;&gt;"",'Data Source'!S920="F"),IF('Data Source'!AA920&gt;=5,"A+",IF('Data Source'!AA920&gt;=4,"A",IF('Data Source'!AA920&gt;=3.5,"A-",IF('Data Source'!AA920&gt;=3,"B",IF('Data Source'!AA920&gt;=2,"C",IF('Data Source'!AA920&gt;=1,"D","F")))))),"")</f>
        <v/>
      </c>
      <c r="J920" s="3">
        <f>IF(AND('Data Source'!B920&lt;&gt;"",'Data Source'!S920="F"),IF('Data Source'!AB920&gt;=5,"A+",IF('Data Source'!AB920&gt;=4,"A",IF('Data Source'!AB920&gt;=3.5,"A-",IF('Data Source'!AB920&gt;=3,"B",IF('Data Source'!AB920&gt;=2,"C",IF('Data Source'!AB920&gt;=1,"D","F")))))),"")</f>
        <v/>
      </c>
      <c r="K920" s="3">
        <f>IF(AND('Data Source'!B920&lt;&gt;"",'Data Source'!S920="F"),IF('Data Source'!AC920&gt;=5,"A+",IF('Data Source'!AC920&gt;=4,"A",IF('Data Source'!AC920&gt;=3.5,"A-",IF('Data Source'!AC920&gt;=3,"B",IF('Data Source'!AC920&gt;=2,"C",IF('Data Source'!AC920&gt;=1,"D","F")))))),"")</f>
        <v/>
      </c>
      <c r="L920" s="3">
        <f>IF(AND('Data Source'!B920&lt;&gt;"",'Data Source'!S920="F"),IF('Data Source'!AD920&gt;=5,"A+",IF('Data Source'!AD920&gt;=4,"A",IF('Data Source'!AD920&gt;=3.5,"A-",IF('Data Source'!AD920&gt;=3,"B",IF('Data Source'!AD920&gt;=2,"C",IF('Data Source'!AD920&gt;=1,"D","F")))))),"")</f>
        <v/>
      </c>
      <c r="M920" s="3">
        <f>IF(AND('Data Source'!B920&lt;&gt;"",'Data Source'!S920="F"),IF('Data Source'!AE920&gt;=5,"A+",IF('Data Source'!AE920&gt;=4,"A",IF('Data Source'!AE920&gt;=3.5,"A-",IF('Data Source'!AE920&gt;=3,"B",IF('Data Source'!AE920&gt;=2,"C",IF('Data Source'!AE920&gt;=1,"D","F")))))),"")</f>
        <v/>
      </c>
      <c r="N920" s="3">
        <f>IF(AND('Data Source'!B920&lt;&gt;"",'Data Source'!S920="F"),IF('Data Source'!AF920&gt;=5,"A+",IF('Data Source'!AF920&gt;=4,"A",IF('Data Source'!AF920&gt;=3.5,"A-",IF('Data Source'!AF920&gt;=3,"B",IF('Data Source'!AF920&gt;=2,"C",IF('Data Source'!AF920&gt;=1,"D","F")))))),"")</f>
        <v/>
      </c>
      <c r="O920" s="3">
        <f>IF(AND('Data Source'!B920&lt;&gt;"",'Data Source'!S920="F"),IF('Data Source'!AG920&gt;=5,"A+",IF('Data Source'!AG920&gt;=4,"A",IF('Data Source'!AG920&gt;=3.5,"A-",IF('Data Source'!AG920&gt;=3,"B",IF('Data Source'!AG920&gt;=2,"C",IF('Data Source'!AG920&gt;=1,"D","F")))))),"")</f>
        <v/>
      </c>
      <c r="P920" s="5">
        <f>IF(AND('Data Source'!B920&lt;&gt;"",'Data Source'!S920="F"),'Data Source'!R920,"")</f>
        <v/>
      </c>
      <c r="Q920" s="3">
        <f>IF(AND('Data Source'!B920&lt;&gt;"",'Data Source'!S920="F"),'Data Source'!S920,"")</f>
        <v/>
      </c>
    </row>
    <row r="921">
      <c r="A921" s="3">
        <f>IF(AND('Data Source'!B921&lt;&gt;"",'Data Source'!S921="F"),COUNTIF('Data Source'!$S$3:S921,"F"),"")</f>
        <v/>
      </c>
      <c r="B921">
        <f>IF(AND('Data Source'!B921&lt;&gt;"",'Data Source'!S921="F"),'Data Source'!B921,"")</f>
        <v/>
      </c>
      <c r="C921" s="3">
        <f>IF(AND('Data Source'!B921&lt;&gt;"",'Data Source'!S921="F"),IF('Data Source'!U921&gt;=5,"A+",IF('Data Source'!U921&gt;=4,"A",IF('Data Source'!U921&gt;=3.5,"A-",IF('Data Source'!U921&gt;=3,"B",IF('Data Source'!U921&gt;=2,"C",IF('Data Source'!U921&gt;=1,"D","F")))))),"")</f>
        <v/>
      </c>
      <c r="D921" s="3">
        <f>IF(AND('Data Source'!B921&lt;&gt;"",'Data Source'!S921="F"),IF('Data Source'!V921&gt;=5,"A+",IF('Data Source'!V921&gt;=4,"A",IF('Data Source'!V921&gt;=3.5,"A-",IF('Data Source'!V921&gt;=3,"B",IF('Data Source'!V921&gt;=2,"C",IF('Data Source'!V921&gt;=1,"D","F")))))),"")</f>
        <v/>
      </c>
      <c r="E921" s="3">
        <f>IF(AND('Data Source'!B921&lt;&gt;"",'Data Source'!S921="F"),IF('Data Source'!W921&gt;=5,"A+",IF('Data Source'!W921&gt;=4,"A",IF('Data Source'!W921&gt;=3.5,"A-",IF('Data Source'!W921&gt;=3,"B",IF('Data Source'!W921&gt;=2,"C",IF('Data Source'!W921&gt;=1,"D","F")))))),"")</f>
        <v/>
      </c>
      <c r="F921" s="3">
        <f>IF(AND('Data Source'!B921&lt;&gt;"",'Data Source'!S921="F"),IF('Data Source'!X921&gt;=5,"A+",IF('Data Source'!X921&gt;=4,"A",IF('Data Source'!X921&gt;=3.5,"A-",IF('Data Source'!X921&gt;=3,"B",IF('Data Source'!X921&gt;=2,"C",IF('Data Source'!X921&gt;=1,"D","F")))))),"")</f>
        <v/>
      </c>
      <c r="G921" s="3">
        <f>IF(AND('Data Source'!B921&lt;&gt;"",'Data Source'!S921="F"),IF('Data Source'!Y921&gt;=5,"A+",IF('Data Source'!Y921&gt;=4,"A",IF('Data Source'!Y921&gt;=3.5,"A-",IF('Data Source'!Y921&gt;=3,"B",IF('Data Source'!Y921&gt;=2,"C",IF('Data Source'!Y921&gt;=1,"D","F")))))),"")</f>
        <v/>
      </c>
      <c r="H921" s="3">
        <f>IF(AND('Data Source'!B921&lt;&gt;"",'Data Source'!S921="F"),IF('Data Source'!Z921&gt;=5,"A+",IF('Data Source'!Z921&gt;=4,"A",IF('Data Source'!Z921&gt;=3.5,"A-",IF('Data Source'!Z921&gt;=3,"B",IF('Data Source'!Z921&gt;=2,"C",IF('Data Source'!Z921&gt;=1,"D","F")))))),"")</f>
        <v/>
      </c>
      <c r="I921" s="3">
        <f>IF(AND('Data Source'!B921&lt;&gt;"",'Data Source'!S921="F"),IF('Data Source'!AA921&gt;=5,"A+",IF('Data Source'!AA921&gt;=4,"A",IF('Data Source'!AA921&gt;=3.5,"A-",IF('Data Source'!AA921&gt;=3,"B",IF('Data Source'!AA921&gt;=2,"C",IF('Data Source'!AA921&gt;=1,"D","F")))))),"")</f>
        <v/>
      </c>
      <c r="J921" s="3">
        <f>IF(AND('Data Source'!B921&lt;&gt;"",'Data Source'!S921="F"),IF('Data Source'!AB921&gt;=5,"A+",IF('Data Source'!AB921&gt;=4,"A",IF('Data Source'!AB921&gt;=3.5,"A-",IF('Data Source'!AB921&gt;=3,"B",IF('Data Source'!AB921&gt;=2,"C",IF('Data Source'!AB921&gt;=1,"D","F")))))),"")</f>
        <v/>
      </c>
      <c r="K921" s="3">
        <f>IF(AND('Data Source'!B921&lt;&gt;"",'Data Source'!S921="F"),IF('Data Source'!AC921&gt;=5,"A+",IF('Data Source'!AC921&gt;=4,"A",IF('Data Source'!AC921&gt;=3.5,"A-",IF('Data Source'!AC921&gt;=3,"B",IF('Data Source'!AC921&gt;=2,"C",IF('Data Source'!AC921&gt;=1,"D","F")))))),"")</f>
        <v/>
      </c>
      <c r="L921" s="3">
        <f>IF(AND('Data Source'!B921&lt;&gt;"",'Data Source'!S921="F"),IF('Data Source'!AD921&gt;=5,"A+",IF('Data Source'!AD921&gt;=4,"A",IF('Data Source'!AD921&gt;=3.5,"A-",IF('Data Source'!AD921&gt;=3,"B",IF('Data Source'!AD921&gt;=2,"C",IF('Data Source'!AD921&gt;=1,"D","F")))))),"")</f>
        <v/>
      </c>
      <c r="M921" s="3">
        <f>IF(AND('Data Source'!B921&lt;&gt;"",'Data Source'!S921="F"),IF('Data Source'!AE921&gt;=5,"A+",IF('Data Source'!AE921&gt;=4,"A",IF('Data Source'!AE921&gt;=3.5,"A-",IF('Data Source'!AE921&gt;=3,"B",IF('Data Source'!AE921&gt;=2,"C",IF('Data Source'!AE921&gt;=1,"D","F")))))),"")</f>
        <v/>
      </c>
      <c r="N921" s="3">
        <f>IF(AND('Data Source'!B921&lt;&gt;"",'Data Source'!S921="F"),IF('Data Source'!AF921&gt;=5,"A+",IF('Data Source'!AF921&gt;=4,"A",IF('Data Source'!AF921&gt;=3.5,"A-",IF('Data Source'!AF921&gt;=3,"B",IF('Data Source'!AF921&gt;=2,"C",IF('Data Source'!AF921&gt;=1,"D","F")))))),"")</f>
        <v/>
      </c>
      <c r="O921" s="3">
        <f>IF(AND('Data Source'!B921&lt;&gt;"",'Data Source'!S921="F"),IF('Data Source'!AG921&gt;=5,"A+",IF('Data Source'!AG921&gt;=4,"A",IF('Data Source'!AG921&gt;=3.5,"A-",IF('Data Source'!AG921&gt;=3,"B",IF('Data Source'!AG921&gt;=2,"C",IF('Data Source'!AG921&gt;=1,"D","F")))))),"")</f>
        <v/>
      </c>
      <c r="P921" s="5">
        <f>IF(AND('Data Source'!B921&lt;&gt;"",'Data Source'!S921="F"),'Data Source'!R921,"")</f>
        <v/>
      </c>
      <c r="Q921" s="3">
        <f>IF(AND('Data Source'!B921&lt;&gt;"",'Data Source'!S921="F"),'Data Source'!S921,"")</f>
        <v/>
      </c>
    </row>
    <row r="922">
      <c r="A922" s="3">
        <f>IF(AND('Data Source'!B922&lt;&gt;"",'Data Source'!S922="F"),COUNTIF('Data Source'!$S$3:S922,"F"),"")</f>
        <v/>
      </c>
      <c r="B922">
        <f>IF(AND('Data Source'!B922&lt;&gt;"",'Data Source'!S922="F"),'Data Source'!B922,"")</f>
        <v/>
      </c>
      <c r="C922" s="3">
        <f>IF(AND('Data Source'!B922&lt;&gt;"",'Data Source'!S922="F"),IF('Data Source'!U922&gt;=5,"A+",IF('Data Source'!U922&gt;=4,"A",IF('Data Source'!U922&gt;=3.5,"A-",IF('Data Source'!U922&gt;=3,"B",IF('Data Source'!U922&gt;=2,"C",IF('Data Source'!U922&gt;=1,"D","F")))))),"")</f>
        <v/>
      </c>
      <c r="D922" s="3">
        <f>IF(AND('Data Source'!B922&lt;&gt;"",'Data Source'!S922="F"),IF('Data Source'!V922&gt;=5,"A+",IF('Data Source'!V922&gt;=4,"A",IF('Data Source'!V922&gt;=3.5,"A-",IF('Data Source'!V922&gt;=3,"B",IF('Data Source'!V922&gt;=2,"C",IF('Data Source'!V922&gt;=1,"D","F")))))),"")</f>
        <v/>
      </c>
      <c r="E922" s="3">
        <f>IF(AND('Data Source'!B922&lt;&gt;"",'Data Source'!S922="F"),IF('Data Source'!W922&gt;=5,"A+",IF('Data Source'!W922&gt;=4,"A",IF('Data Source'!W922&gt;=3.5,"A-",IF('Data Source'!W922&gt;=3,"B",IF('Data Source'!W922&gt;=2,"C",IF('Data Source'!W922&gt;=1,"D","F")))))),"")</f>
        <v/>
      </c>
      <c r="F922" s="3">
        <f>IF(AND('Data Source'!B922&lt;&gt;"",'Data Source'!S922="F"),IF('Data Source'!X922&gt;=5,"A+",IF('Data Source'!X922&gt;=4,"A",IF('Data Source'!X922&gt;=3.5,"A-",IF('Data Source'!X922&gt;=3,"B",IF('Data Source'!X922&gt;=2,"C",IF('Data Source'!X922&gt;=1,"D","F")))))),"")</f>
        <v/>
      </c>
      <c r="G922" s="3">
        <f>IF(AND('Data Source'!B922&lt;&gt;"",'Data Source'!S922="F"),IF('Data Source'!Y922&gt;=5,"A+",IF('Data Source'!Y922&gt;=4,"A",IF('Data Source'!Y922&gt;=3.5,"A-",IF('Data Source'!Y922&gt;=3,"B",IF('Data Source'!Y922&gt;=2,"C",IF('Data Source'!Y922&gt;=1,"D","F")))))),"")</f>
        <v/>
      </c>
      <c r="H922" s="3">
        <f>IF(AND('Data Source'!B922&lt;&gt;"",'Data Source'!S922="F"),IF('Data Source'!Z922&gt;=5,"A+",IF('Data Source'!Z922&gt;=4,"A",IF('Data Source'!Z922&gt;=3.5,"A-",IF('Data Source'!Z922&gt;=3,"B",IF('Data Source'!Z922&gt;=2,"C",IF('Data Source'!Z922&gt;=1,"D","F")))))),"")</f>
        <v/>
      </c>
      <c r="I922" s="3">
        <f>IF(AND('Data Source'!B922&lt;&gt;"",'Data Source'!S922="F"),IF('Data Source'!AA922&gt;=5,"A+",IF('Data Source'!AA922&gt;=4,"A",IF('Data Source'!AA922&gt;=3.5,"A-",IF('Data Source'!AA922&gt;=3,"B",IF('Data Source'!AA922&gt;=2,"C",IF('Data Source'!AA922&gt;=1,"D","F")))))),"")</f>
        <v/>
      </c>
      <c r="J922" s="3">
        <f>IF(AND('Data Source'!B922&lt;&gt;"",'Data Source'!S922="F"),IF('Data Source'!AB922&gt;=5,"A+",IF('Data Source'!AB922&gt;=4,"A",IF('Data Source'!AB922&gt;=3.5,"A-",IF('Data Source'!AB922&gt;=3,"B",IF('Data Source'!AB922&gt;=2,"C",IF('Data Source'!AB922&gt;=1,"D","F")))))),"")</f>
        <v/>
      </c>
      <c r="K922" s="3">
        <f>IF(AND('Data Source'!B922&lt;&gt;"",'Data Source'!S922="F"),IF('Data Source'!AC922&gt;=5,"A+",IF('Data Source'!AC922&gt;=4,"A",IF('Data Source'!AC922&gt;=3.5,"A-",IF('Data Source'!AC922&gt;=3,"B",IF('Data Source'!AC922&gt;=2,"C",IF('Data Source'!AC922&gt;=1,"D","F")))))),"")</f>
        <v/>
      </c>
      <c r="L922" s="3">
        <f>IF(AND('Data Source'!B922&lt;&gt;"",'Data Source'!S922="F"),IF('Data Source'!AD922&gt;=5,"A+",IF('Data Source'!AD922&gt;=4,"A",IF('Data Source'!AD922&gt;=3.5,"A-",IF('Data Source'!AD922&gt;=3,"B",IF('Data Source'!AD922&gt;=2,"C",IF('Data Source'!AD922&gt;=1,"D","F")))))),"")</f>
        <v/>
      </c>
      <c r="M922" s="3">
        <f>IF(AND('Data Source'!B922&lt;&gt;"",'Data Source'!S922="F"),IF('Data Source'!AE922&gt;=5,"A+",IF('Data Source'!AE922&gt;=4,"A",IF('Data Source'!AE922&gt;=3.5,"A-",IF('Data Source'!AE922&gt;=3,"B",IF('Data Source'!AE922&gt;=2,"C",IF('Data Source'!AE922&gt;=1,"D","F")))))),"")</f>
        <v/>
      </c>
      <c r="N922" s="3">
        <f>IF(AND('Data Source'!B922&lt;&gt;"",'Data Source'!S922="F"),IF('Data Source'!AF922&gt;=5,"A+",IF('Data Source'!AF922&gt;=4,"A",IF('Data Source'!AF922&gt;=3.5,"A-",IF('Data Source'!AF922&gt;=3,"B",IF('Data Source'!AF922&gt;=2,"C",IF('Data Source'!AF922&gt;=1,"D","F")))))),"")</f>
        <v/>
      </c>
      <c r="O922" s="3">
        <f>IF(AND('Data Source'!B922&lt;&gt;"",'Data Source'!S922="F"),IF('Data Source'!AG922&gt;=5,"A+",IF('Data Source'!AG922&gt;=4,"A",IF('Data Source'!AG922&gt;=3.5,"A-",IF('Data Source'!AG922&gt;=3,"B",IF('Data Source'!AG922&gt;=2,"C",IF('Data Source'!AG922&gt;=1,"D","F")))))),"")</f>
        <v/>
      </c>
      <c r="P922" s="5">
        <f>IF(AND('Data Source'!B922&lt;&gt;"",'Data Source'!S922="F"),'Data Source'!R922,"")</f>
        <v/>
      </c>
      <c r="Q922" s="3">
        <f>IF(AND('Data Source'!B922&lt;&gt;"",'Data Source'!S922="F"),'Data Source'!S922,"")</f>
        <v/>
      </c>
    </row>
    <row r="923">
      <c r="A923" s="3">
        <f>IF(AND('Data Source'!B923&lt;&gt;"",'Data Source'!S923="F"),COUNTIF('Data Source'!$S$3:S923,"F"),"")</f>
        <v/>
      </c>
      <c r="B923">
        <f>IF(AND('Data Source'!B923&lt;&gt;"",'Data Source'!S923="F"),'Data Source'!B923,"")</f>
        <v/>
      </c>
      <c r="C923" s="3">
        <f>IF(AND('Data Source'!B923&lt;&gt;"",'Data Source'!S923="F"),IF('Data Source'!U923&gt;=5,"A+",IF('Data Source'!U923&gt;=4,"A",IF('Data Source'!U923&gt;=3.5,"A-",IF('Data Source'!U923&gt;=3,"B",IF('Data Source'!U923&gt;=2,"C",IF('Data Source'!U923&gt;=1,"D","F")))))),"")</f>
        <v/>
      </c>
      <c r="D923" s="3">
        <f>IF(AND('Data Source'!B923&lt;&gt;"",'Data Source'!S923="F"),IF('Data Source'!V923&gt;=5,"A+",IF('Data Source'!V923&gt;=4,"A",IF('Data Source'!V923&gt;=3.5,"A-",IF('Data Source'!V923&gt;=3,"B",IF('Data Source'!V923&gt;=2,"C",IF('Data Source'!V923&gt;=1,"D","F")))))),"")</f>
        <v/>
      </c>
      <c r="E923" s="3">
        <f>IF(AND('Data Source'!B923&lt;&gt;"",'Data Source'!S923="F"),IF('Data Source'!W923&gt;=5,"A+",IF('Data Source'!W923&gt;=4,"A",IF('Data Source'!W923&gt;=3.5,"A-",IF('Data Source'!W923&gt;=3,"B",IF('Data Source'!W923&gt;=2,"C",IF('Data Source'!W923&gt;=1,"D","F")))))),"")</f>
        <v/>
      </c>
      <c r="F923" s="3">
        <f>IF(AND('Data Source'!B923&lt;&gt;"",'Data Source'!S923="F"),IF('Data Source'!X923&gt;=5,"A+",IF('Data Source'!X923&gt;=4,"A",IF('Data Source'!X923&gt;=3.5,"A-",IF('Data Source'!X923&gt;=3,"B",IF('Data Source'!X923&gt;=2,"C",IF('Data Source'!X923&gt;=1,"D","F")))))),"")</f>
        <v/>
      </c>
      <c r="G923" s="3">
        <f>IF(AND('Data Source'!B923&lt;&gt;"",'Data Source'!S923="F"),IF('Data Source'!Y923&gt;=5,"A+",IF('Data Source'!Y923&gt;=4,"A",IF('Data Source'!Y923&gt;=3.5,"A-",IF('Data Source'!Y923&gt;=3,"B",IF('Data Source'!Y923&gt;=2,"C",IF('Data Source'!Y923&gt;=1,"D","F")))))),"")</f>
        <v/>
      </c>
      <c r="H923" s="3">
        <f>IF(AND('Data Source'!B923&lt;&gt;"",'Data Source'!S923="F"),IF('Data Source'!Z923&gt;=5,"A+",IF('Data Source'!Z923&gt;=4,"A",IF('Data Source'!Z923&gt;=3.5,"A-",IF('Data Source'!Z923&gt;=3,"B",IF('Data Source'!Z923&gt;=2,"C",IF('Data Source'!Z923&gt;=1,"D","F")))))),"")</f>
        <v/>
      </c>
      <c r="I923" s="3">
        <f>IF(AND('Data Source'!B923&lt;&gt;"",'Data Source'!S923="F"),IF('Data Source'!AA923&gt;=5,"A+",IF('Data Source'!AA923&gt;=4,"A",IF('Data Source'!AA923&gt;=3.5,"A-",IF('Data Source'!AA923&gt;=3,"B",IF('Data Source'!AA923&gt;=2,"C",IF('Data Source'!AA923&gt;=1,"D","F")))))),"")</f>
        <v/>
      </c>
      <c r="J923" s="3">
        <f>IF(AND('Data Source'!B923&lt;&gt;"",'Data Source'!S923="F"),IF('Data Source'!AB923&gt;=5,"A+",IF('Data Source'!AB923&gt;=4,"A",IF('Data Source'!AB923&gt;=3.5,"A-",IF('Data Source'!AB923&gt;=3,"B",IF('Data Source'!AB923&gt;=2,"C",IF('Data Source'!AB923&gt;=1,"D","F")))))),"")</f>
        <v/>
      </c>
      <c r="K923" s="3">
        <f>IF(AND('Data Source'!B923&lt;&gt;"",'Data Source'!S923="F"),IF('Data Source'!AC923&gt;=5,"A+",IF('Data Source'!AC923&gt;=4,"A",IF('Data Source'!AC923&gt;=3.5,"A-",IF('Data Source'!AC923&gt;=3,"B",IF('Data Source'!AC923&gt;=2,"C",IF('Data Source'!AC923&gt;=1,"D","F")))))),"")</f>
        <v/>
      </c>
      <c r="L923" s="3">
        <f>IF(AND('Data Source'!B923&lt;&gt;"",'Data Source'!S923="F"),IF('Data Source'!AD923&gt;=5,"A+",IF('Data Source'!AD923&gt;=4,"A",IF('Data Source'!AD923&gt;=3.5,"A-",IF('Data Source'!AD923&gt;=3,"B",IF('Data Source'!AD923&gt;=2,"C",IF('Data Source'!AD923&gt;=1,"D","F")))))),"")</f>
        <v/>
      </c>
      <c r="M923" s="3">
        <f>IF(AND('Data Source'!B923&lt;&gt;"",'Data Source'!S923="F"),IF('Data Source'!AE923&gt;=5,"A+",IF('Data Source'!AE923&gt;=4,"A",IF('Data Source'!AE923&gt;=3.5,"A-",IF('Data Source'!AE923&gt;=3,"B",IF('Data Source'!AE923&gt;=2,"C",IF('Data Source'!AE923&gt;=1,"D","F")))))),"")</f>
        <v/>
      </c>
      <c r="N923" s="3">
        <f>IF(AND('Data Source'!B923&lt;&gt;"",'Data Source'!S923="F"),IF('Data Source'!AF923&gt;=5,"A+",IF('Data Source'!AF923&gt;=4,"A",IF('Data Source'!AF923&gt;=3.5,"A-",IF('Data Source'!AF923&gt;=3,"B",IF('Data Source'!AF923&gt;=2,"C",IF('Data Source'!AF923&gt;=1,"D","F")))))),"")</f>
        <v/>
      </c>
      <c r="O923" s="3">
        <f>IF(AND('Data Source'!B923&lt;&gt;"",'Data Source'!S923="F"),IF('Data Source'!AG923&gt;=5,"A+",IF('Data Source'!AG923&gt;=4,"A",IF('Data Source'!AG923&gt;=3.5,"A-",IF('Data Source'!AG923&gt;=3,"B",IF('Data Source'!AG923&gt;=2,"C",IF('Data Source'!AG923&gt;=1,"D","F")))))),"")</f>
        <v/>
      </c>
      <c r="P923" s="5">
        <f>IF(AND('Data Source'!B923&lt;&gt;"",'Data Source'!S923="F"),'Data Source'!R923,"")</f>
        <v/>
      </c>
      <c r="Q923" s="3">
        <f>IF(AND('Data Source'!B923&lt;&gt;"",'Data Source'!S923="F"),'Data Source'!S923,"")</f>
        <v/>
      </c>
    </row>
    <row r="924">
      <c r="A924" s="3">
        <f>IF(AND('Data Source'!B924&lt;&gt;"",'Data Source'!S924="F"),COUNTIF('Data Source'!$S$3:S924,"F"),"")</f>
        <v/>
      </c>
      <c r="B924">
        <f>IF(AND('Data Source'!B924&lt;&gt;"",'Data Source'!S924="F"),'Data Source'!B924,"")</f>
        <v/>
      </c>
      <c r="C924" s="3">
        <f>IF(AND('Data Source'!B924&lt;&gt;"",'Data Source'!S924="F"),IF('Data Source'!U924&gt;=5,"A+",IF('Data Source'!U924&gt;=4,"A",IF('Data Source'!U924&gt;=3.5,"A-",IF('Data Source'!U924&gt;=3,"B",IF('Data Source'!U924&gt;=2,"C",IF('Data Source'!U924&gt;=1,"D","F")))))),"")</f>
        <v/>
      </c>
      <c r="D924" s="3">
        <f>IF(AND('Data Source'!B924&lt;&gt;"",'Data Source'!S924="F"),IF('Data Source'!V924&gt;=5,"A+",IF('Data Source'!V924&gt;=4,"A",IF('Data Source'!V924&gt;=3.5,"A-",IF('Data Source'!V924&gt;=3,"B",IF('Data Source'!V924&gt;=2,"C",IF('Data Source'!V924&gt;=1,"D","F")))))),"")</f>
        <v/>
      </c>
      <c r="E924" s="3">
        <f>IF(AND('Data Source'!B924&lt;&gt;"",'Data Source'!S924="F"),IF('Data Source'!W924&gt;=5,"A+",IF('Data Source'!W924&gt;=4,"A",IF('Data Source'!W924&gt;=3.5,"A-",IF('Data Source'!W924&gt;=3,"B",IF('Data Source'!W924&gt;=2,"C",IF('Data Source'!W924&gt;=1,"D","F")))))),"")</f>
        <v/>
      </c>
      <c r="F924" s="3">
        <f>IF(AND('Data Source'!B924&lt;&gt;"",'Data Source'!S924="F"),IF('Data Source'!X924&gt;=5,"A+",IF('Data Source'!X924&gt;=4,"A",IF('Data Source'!X924&gt;=3.5,"A-",IF('Data Source'!X924&gt;=3,"B",IF('Data Source'!X924&gt;=2,"C",IF('Data Source'!X924&gt;=1,"D","F")))))),"")</f>
        <v/>
      </c>
      <c r="G924" s="3">
        <f>IF(AND('Data Source'!B924&lt;&gt;"",'Data Source'!S924="F"),IF('Data Source'!Y924&gt;=5,"A+",IF('Data Source'!Y924&gt;=4,"A",IF('Data Source'!Y924&gt;=3.5,"A-",IF('Data Source'!Y924&gt;=3,"B",IF('Data Source'!Y924&gt;=2,"C",IF('Data Source'!Y924&gt;=1,"D","F")))))),"")</f>
        <v/>
      </c>
      <c r="H924" s="3">
        <f>IF(AND('Data Source'!B924&lt;&gt;"",'Data Source'!S924="F"),IF('Data Source'!Z924&gt;=5,"A+",IF('Data Source'!Z924&gt;=4,"A",IF('Data Source'!Z924&gt;=3.5,"A-",IF('Data Source'!Z924&gt;=3,"B",IF('Data Source'!Z924&gt;=2,"C",IF('Data Source'!Z924&gt;=1,"D","F")))))),"")</f>
        <v/>
      </c>
      <c r="I924" s="3">
        <f>IF(AND('Data Source'!B924&lt;&gt;"",'Data Source'!S924="F"),IF('Data Source'!AA924&gt;=5,"A+",IF('Data Source'!AA924&gt;=4,"A",IF('Data Source'!AA924&gt;=3.5,"A-",IF('Data Source'!AA924&gt;=3,"B",IF('Data Source'!AA924&gt;=2,"C",IF('Data Source'!AA924&gt;=1,"D","F")))))),"")</f>
        <v/>
      </c>
      <c r="J924" s="3">
        <f>IF(AND('Data Source'!B924&lt;&gt;"",'Data Source'!S924="F"),IF('Data Source'!AB924&gt;=5,"A+",IF('Data Source'!AB924&gt;=4,"A",IF('Data Source'!AB924&gt;=3.5,"A-",IF('Data Source'!AB924&gt;=3,"B",IF('Data Source'!AB924&gt;=2,"C",IF('Data Source'!AB924&gt;=1,"D","F")))))),"")</f>
        <v/>
      </c>
      <c r="K924" s="3">
        <f>IF(AND('Data Source'!B924&lt;&gt;"",'Data Source'!S924="F"),IF('Data Source'!AC924&gt;=5,"A+",IF('Data Source'!AC924&gt;=4,"A",IF('Data Source'!AC924&gt;=3.5,"A-",IF('Data Source'!AC924&gt;=3,"B",IF('Data Source'!AC924&gt;=2,"C",IF('Data Source'!AC924&gt;=1,"D","F")))))),"")</f>
        <v/>
      </c>
      <c r="L924" s="3">
        <f>IF(AND('Data Source'!B924&lt;&gt;"",'Data Source'!S924="F"),IF('Data Source'!AD924&gt;=5,"A+",IF('Data Source'!AD924&gt;=4,"A",IF('Data Source'!AD924&gt;=3.5,"A-",IF('Data Source'!AD924&gt;=3,"B",IF('Data Source'!AD924&gt;=2,"C",IF('Data Source'!AD924&gt;=1,"D","F")))))),"")</f>
        <v/>
      </c>
      <c r="M924" s="3">
        <f>IF(AND('Data Source'!B924&lt;&gt;"",'Data Source'!S924="F"),IF('Data Source'!AE924&gt;=5,"A+",IF('Data Source'!AE924&gt;=4,"A",IF('Data Source'!AE924&gt;=3.5,"A-",IF('Data Source'!AE924&gt;=3,"B",IF('Data Source'!AE924&gt;=2,"C",IF('Data Source'!AE924&gt;=1,"D","F")))))),"")</f>
        <v/>
      </c>
      <c r="N924" s="3">
        <f>IF(AND('Data Source'!B924&lt;&gt;"",'Data Source'!S924="F"),IF('Data Source'!AF924&gt;=5,"A+",IF('Data Source'!AF924&gt;=4,"A",IF('Data Source'!AF924&gt;=3.5,"A-",IF('Data Source'!AF924&gt;=3,"B",IF('Data Source'!AF924&gt;=2,"C",IF('Data Source'!AF924&gt;=1,"D","F")))))),"")</f>
        <v/>
      </c>
      <c r="O924" s="3">
        <f>IF(AND('Data Source'!B924&lt;&gt;"",'Data Source'!S924="F"),IF('Data Source'!AG924&gt;=5,"A+",IF('Data Source'!AG924&gt;=4,"A",IF('Data Source'!AG924&gt;=3.5,"A-",IF('Data Source'!AG924&gt;=3,"B",IF('Data Source'!AG924&gt;=2,"C",IF('Data Source'!AG924&gt;=1,"D","F")))))),"")</f>
        <v/>
      </c>
      <c r="P924" s="5">
        <f>IF(AND('Data Source'!B924&lt;&gt;"",'Data Source'!S924="F"),'Data Source'!R924,"")</f>
        <v/>
      </c>
      <c r="Q924" s="3">
        <f>IF(AND('Data Source'!B924&lt;&gt;"",'Data Source'!S924="F"),'Data Source'!S924,"")</f>
        <v/>
      </c>
    </row>
    <row r="925">
      <c r="A925" s="3">
        <f>IF(AND('Data Source'!B925&lt;&gt;"",'Data Source'!S925="F"),COUNTIF('Data Source'!$S$3:S925,"F"),"")</f>
        <v/>
      </c>
      <c r="B925">
        <f>IF(AND('Data Source'!B925&lt;&gt;"",'Data Source'!S925="F"),'Data Source'!B925,"")</f>
        <v/>
      </c>
      <c r="C925" s="3">
        <f>IF(AND('Data Source'!B925&lt;&gt;"",'Data Source'!S925="F"),IF('Data Source'!U925&gt;=5,"A+",IF('Data Source'!U925&gt;=4,"A",IF('Data Source'!U925&gt;=3.5,"A-",IF('Data Source'!U925&gt;=3,"B",IF('Data Source'!U925&gt;=2,"C",IF('Data Source'!U925&gt;=1,"D","F")))))),"")</f>
        <v/>
      </c>
      <c r="D925" s="3">
        <f>IF(AND('Data Source'!B925&lt;&gt;"",'Data Source'!S925="F"),IF('Data Source'!V925&gt;=5,"A+",IF('Data Source'!V925&gt;=4,"A",IF('Data Source'!V925&gt;=3.5,"A-",IF('Data Source'!V925&gt;=3,"B",IF('Data Source'!V925&gt;=2,"C",IF('Data Source'!V925&gt;=1,"D","F")))))),"")</f>
        <v/>
      </c>
      <c r="E925" s="3">
        <f>IF(AND('Data Source'!B925&lt;&gt;"",'Data Source'!S925="F"),IF('Data Source'!W925&gt;=5,"A+",IF('Data Source'!W925&gt;=4,"A",IF('Data Source'!W925&gt;=3.5,"A-",IF('Data Source'!W925&gt;=3,"B",IF('Data Source'!W925&gt;=2,"C",IF('Data Source'!W925&gt;=1,"D","F")))))),"")</f>
        <v/>
      </c>
      <c r="F925" s="3">
        <f>IF(AND('Data Source'!B925&lt;&gt;"",'Data Source'!S925="F"),IF('Data Source'!X925&gt;=5,"A+",IF('Data Source'!X925&gt;=4,"A",IF('Data Source'!X925&gt;=3.5,"A-",IF('Data Source'!X925&gt;=3,"B",IF('Data Source'!X925&gt;=2,"C",IF('Data Source'!X925&gt;=1,"D","F")))))),"")</f>
        <v/>
      </c>
      <c r="G925" s="3">
        <f>IF(AND('Data Source'!B925&lt;&gt;"",'Data Source'!S925="F"),IF('Data Source'!Y925&gt;=5,"A+",IF('Data Source'!Y925&gt;=4,"A",IF('Data Source'!Y925&gt;=3.5,"A-",IF('Data Source'!Y925&gt;=3,"B",IF('Data Source'!Y925&gt;=2,"C",IF('Data Source'!Y925&gt;=1,"D","F")))))),"")</f>
        <v/>
      </c>
      <c r="H925" s="3">
        <f>IF(AND('Data Source'!B925&lt;&gt;"",'Data Source'!S925="F"),IF('Data Source'!Z925&gt;=5,"A+",IF('Data Source'!Z925&gt;=4,"A",IF('Data Source'!Z925&gt;=3.5,"A-",IF('Data Source'!Z925&gt;=3,"B",IF('Data Source'!Z925&gt;=2,"C",IF('Data Source'!Z925&gt;=1,"D","F")))))),"")</f>
        <v/>
      </c>
      <c r="I925" s="3">
        <f>IF(AND('Data Source'!B925&lt;&gt;"",'Data Source'!S925="F"),IF('Data Source'!AA925&gt;=5,"A+",IF('Data Source'!AA925&gt;=4,"A",IF('Data Source'!AA925&gt;=3.5,"A-",IF('Data Source'!AA925&gt;=3,"B",IF('Data Source'!AA925&gt;=2,"C",IF('Data Source'!AA925&gt;=1,"D","F")))))),"")</f>
        <v/>
      </c>
      <c r="J925" s="3">
        <f>IF(AND('Data Source'!B925&lt;&gt;"",'Data Source'!S925="F"),IF('Data Source'!AB925&gt;=5,"A+",IF('Data Source'!AB925&gt;=4,"A",IF('Data Source'!AB925&gt;=3.5,"A-",IF('Data Source'!AB925&gt;=3,"B",IF('Data Source'!AB925&gt;=2,"C",IF('Data Source'!AB925&gt;=1,"D","F")))))),"")</f>
        <v/>
      </c>
      <c r="K925" s="3">
        <f>IF(AND('Data Source'!B925&lt;&gt;"",'Data Source'!S925="F"),IF('Data Source'!AC925&gt;=5,"A+",IF('Data Source'!AC925&gt;=4,"A",IF('Data Source'!AC925&gt;=3.5,"A-",IF('Data Source'!AC925&gt;=3,"B",IF('Data Source'!AC925&gt;=2,"C",IF('Data Source'!AC925&gt;=1,"D","F")))))),"")</f>
        <v/>
      </c>
      <c r="L925" s="3">
        <f>IF(AND('Data Source'!B925&lt;&gt;"",'Data Source'!S925="F"),IF('Data Source'!AD925&gt;=5,"A+",IF('Data Source'!AD925&gt;=4,"A",IF('Data Source'!AD925&gt;=3.5,"A-",IF('Data Source'!AD925&gt;=3,"B",IF('Data Source'!AD925&gt;=2,"C",IF('Data Source'!AD925&gt;=1,"D","F")))))),"")</f>
        <v/>
      </c>
      <c r="M925" s="3">
        <f>IF(AND('Data Source'!B925&lt;&gt;"",'Data Source'!S925="F"),IF('Data Source'!AE925&gt;=5,"A+",IF('Data Source'!AE925&gt;=4,"A",IF('Data Source'!AE925&gt;=3.5,"A-",IF('Data Source'!AE925&gt;=3,"B",IF('Data Source'!AE925&gt;=2,"C",IF('Data Source'!AE925&gt;=1,"D","F")))))),"")</f>
        <v/>
      </c>
      <c r="N925" s="3">
        <f>IF(AND('Data Source'!B925&lt;&gt;"",'Data Source'!S925="F"),IF('Data Source'!AF925&gt;=5,"A+",IF('Data Source'!AF925&gt;=4,"A",IF('Data Source'!AF925&gt;=3.5,"A-",IF('Data Source'!AF925&gt;=3,"B",IF('Data Source'!AF925&gt;=2,"C",IF('Data Source'!AF925&gt;=1,"D","F")))))),"")</f>
        <v/>
      </c>
      <c r="O925" s="3">
        <f>IF(AND('Data Source'!B925&lt;&gt;"",'Data Source'!S925="F"),IF('Data Source'!AG925&gt;=5,"A+",IF('Data Source'!AG925&gt;=4,"A",IF('Data Source'!AG925&gt;=3.5,"A-",IF('Data Source'!AG925&gt;=3,"B",IF('Data Source'!AG925&gt;=2,"C",IF('Data Source'!AG925&gt;=1,"D","F")))))),"")</f>
        <v/>
      </c>
      <c r="P925" s="5">
        <f>IF(AND('Data Source'!B925&lt;&gt;"",'Data Source'!S925="F"),'Data Source'!R925,"")</f>
        <v/>
      </c>
      <c r="Q925" s="3">
        <f>IF(AND('Data Source'!B925&lt;&gt;"",'Data Source'!S925="F"),'Data Source'!S925,"")</f>
        <v/>
      </c>
    </row>
    <row r="926">
      <c r="A926" s="3">
        <f>IF(AND('Data Source'!B926&lt;&gt;"",'Data Source'!S926="F"),COUNTIF('Data Source'!$S$3:S926,"F"),"")</f>
        <v/>
      </c>
      <c r="B926">
        <f>IF(AND('Data Source'!B926&lt;&gt;"",'Data Source'!S926="F"),'Data Source'!B926,"")</f>
        <v/>
      </c>
      <c r="C926" s="3">
        <f>IF(AND('Data Source'!B926&lt;&gt;"",'Data Source'!S926="F"),IF('Data Source'!U926&gt;=5,"A+",IF('Data Source'!U926&gt;=4,"A",IF('Data Source'!U926&gt;=3.5,"A-",IF('Data Source'!U926&gt;=3,"B",IF('Data Source'!U926&gt;=2,"C",IF('Data Source'!U926&gt;=1,"D","F")))))),"")</f>
        <v/>
      </c>
      <c r="D926" s="3">
        <f>IF(AND('Data Source'!B926&lt;&gt;"",'Data Source'!S926="F"),IF('Data Source'!V926&gt;=5,"A+",IF('Data Source'!V926&gt;=4,"A",IF('Data Source'!V926&gt;=3.5,"A-",IF('Data Source'!V926&gt;=3,"B",IF('Data Source'!V926&gt;=2,"C",IF('Data Source'!V926&gt;=1,"D","F")))))),"")</f>
        <v/>
      </c>
      <c r="E926" s="3">
        <f>IF(AND('Data Source'!B926&lt;&gt;"",'Data Source'!S926="F"),IF('Data Source'!W926&gt;=5,"A+",IF('Data Source'!W926&gt;=4,"A",IF('Data Source'!W926&gt;=3.5,"A-",IF('Data Source'!W926&gt;=3,"B",IF('Data Source'!W926&gt;=2,"C",IF('Data Source'!W926&gt;=1,"D","F")))))),"")</f>
        <v/>
      </c>
      <c r="F926" s="3">
        <f>IF(AND('Data Source'!B926&lt;&gt;"",'Data Source'!S926="F"),IF('Data Source'!X926&gt;=5,"A+",IF('Data Source'!X926&gt;=4,"A",IF('Data Source'!X926&gt;=3.5,"A-",IF('Data Source'!X926&gt;=3,"B",IF('Data Source'!X926&gt;=2,"C",IF('Data Source'!X926&gt;=1,"D","F")))))),"")</f>
        <v/>
      </c>
      <c r="G926" s="3">
        <f>IF(AND('Data Source'!B926&lt;&gt;"",'Data Source'!S926="F"),IF('Data Source'!Y926&gt;=5,"A+",IF('Data Source'!Y926&gt;=4,"A",IF('Data Source'!Y926&gt;=3.5,"A-",IF('Data Source'!Y926&gt;=3,"B",IF('Data Source'!Y926&gt;=2,"C",IF('Data Source'!Y926&gt;=1,"D","F")))))),"")</f>
        <v/>
      </c>
      <c r="H926" s="3">
        <f>IF(AND('Data Source'!B926&lt;&gt;"",'Data Source'!S926="F"),IF('Data Source'!Z926&gt;=5,"A+",IF('Data Source'!Z926&gt;=4,"A",IF('Data Source'!Z926&gt;=3.5,"A-",IF('Data Source'!Z926&gt;=3,"B",IF('Data Source'!Z926&gt;=2,"C",IF('Data Source'!Z926&gt;=1,"D","F")))))),"")</f>
        <v/>
      </c>
      <c r="I926" s="3">
        <f>IF(AND('Data Source'!B926&lt;&gt;"",'Data Source'!S926="F"),IF('Data Source'!AA926&gt;=5,"A+",IF('Data Source'!AA926&gt;=4,"A",IF('Data Source'!AA926&gt;=3.5,"A-",IF('Data Source'!AA926&gt;=3,"B",IF('Data Source'!AA926&gt;=2,"C",IF('Data Source'!AA926&gt;=1,"D","F")))))),"")</f>
        <v/>
      </c>
      <c r="J926" s="3">
        <f>IF(AND('Data Source'!B926&lt;&gt;"",'Data Source'!S926="F"),IF('Data Source'!AB926&gt;=5,"A+",IF('Data Source'!AB926&gt;=4,"A",IF('Data Source'!AB926&gt;=3.5,"A-",IF('Data Source'!AB926&gt;=3,"B",IF('Data Source'!AB926&gt;=2,"C",IF('Data Source'!AB926&gt;=1,"D","F")))))),"")</f>
        <v/>
      </c>
      <c r="K926" s="3">
        <f>IF(AND('Data Source'!B926&lt;&gt;"",'Data Source'!S926="F"),IF('Data Source'!AC926&gt;=5,"A+",IF('Data Source'!AC926&gt;=4,"A",IF('Data Source'!AC926&gt;=3.5,"A-",IF('Data Source'!AC926&gt;=3,"B",IF('Data Source'!AC926&gt;=2,"C",IF('Data Source'!AC926&gt;=1,"D","F")))))),"")</f>
        <v/>
      </c>
      <c r="L926" s="3">
        <f>IF(AND('Data Source'!B926&lt;&gt;"",'Data Source'!S926="F"),IF('Data Source'!AD926&gt;=5,"A+",IF('Data Source'!AD926&gt;=4,"A",IF('Data Source'!AD926&gt;=3.5,"A-",IF('Data Source'!AD926&gt;=3,"B",IF('Data Source'!AD926&gt;=2,"C",IF('Data Source'!AD926&gt;=1,"D","F")))))),"")</f>
        <v/>
      </c>
      <c r="M926" s="3">
        <f>IF(AND('Data Source'!B926&lt;&gt;"",'Data Source'!S926="F"),IF('Data Source'!AE926&gt;=5,"A+",IF('Data Source'!AE926&gt;=4,"A",IF('Data Source'!AE926&gt;=3.5,"A-",IF('Data Source'!AE926&gt;=3,"B",IF('Data Source'!AE926&gt;=2,"C",IF('Data Source'!AE926&gt;=1,"D","F")))))),"")</f>
        <v/>
      </c>
      <c r="N926" s="3">
        <f>IF(AND('Data Source'!B926&lt;&gt;"",'Data Source'!S926="F"),IF('Data Source'!AF926&gt;=5,"A+",IF('Data Source'!AF926&gt;=4,"A",IF('Data Source'!AF926&gt;=3.5,"A-",IF('Data Source'!AF926&gt;=3,"B",IF('Data Source'!AF926&gt;=2,"C",IF('Data Source'!AF926&gt;=1,"D","F")))))),"")</f>
        <v/>
      </c>
      <c r="O926" s="3">
        <f>IF(AND('Data Source'!B926&lt;&gt;"",'Data Source'!S926="F"),IF('Data Source'!AG926&gt;=5,"A+",IF('Data Source'!AG926&gt;=4,"A",IF('Data Source'!AG926&gt;=3.5,"A-",IF('Data Source'!AG926&gt;=3,"B",IF('Data Source'!AG926&gt;=2,"C",IF('Data Source'!AG926&gt;=1,"D","F")))))),"")</f>
        <v/>
      </c>
      <c r="P926" s="5">
        <f>IF(AND('Data Source'!B926&lt;&gt;"",'Data Source'!S926="F"),'Data Source'!R926,"")</f>
        <v/>
      </c>
      <c r="Q926" s="3">
        <f>IF(AND('Data Source'!B926&lt;&gt;"",'Data Source'!S926="F"),'Data Source'!S926,"")</f>
        <v/>
      </c>
    </row>
    <row r="927">
      <c r="A927" s="3">
        <f>IF(AND('Data Source'!B927&lt;&gt;"",'Data Source'!S927="F"),COUNTIF('Data Source'!$S$3:S927,"F"),"")</f>
        <v/>
      </c>
      <c r="B927">
        <f>IF(AND('Data Source'!B927&lt;&gt;"",'Data Source'!S927="F"),'Data Source'!B927,"")</f>
        <v/>
      </c>
      <c r="C927" s="3">
        <f>IF(AND('Data Source'!B927&lt;&gt;"",'Data Source'!S927="F"),IF('Data Source'!U927&gt;=5,"A+",IF('Data Source'!U927&gt;=4,"A",IF('Data Source'!U927&gt;=3.5,"A-",IF('Data Source'!U927&gt;=3,"B",IF('Data Source'!U927&gt;=2,"C",IF('Data Source'!U927&gt;=1,"D","F")))))),"")</f>
        <v/>
      </c>
      <c r="D927" s="3">
        <f>IF(AND('Data Source'!B927&lt;&gt;"",'Data Source'!S927="F"),IF('Data Source'!V927&gt;=5,"A+",IF('Data Source'!V927&gt;=4,"A",IF('Data Source'!V927&gt;=3.5,"A-",IF('Data Source'!V927&gt;=3,"B",IF('Data Source'!V927&gt;=2,"C",IF('Data Source'!V927&gt;=1,"D","F")))))),"")</f>
        <v/>
      </c>
      <c r="E927" s="3">
        <f>IF(AND('Data Source'!B927&lt;&gt;"",'Data Source'!S927="F"),IF('Data Source'!W927&gt;=5,"A+",IF('Data Source'!W927&gt;=4,"A",IF('Data Source'!W927&gt;=3.5,"A-",IF('Data Source'!W927&gt;=3,"B",IF('Data Source'!W927&gt;=2,"C",IF('Data Source'!W927&gt;=1,"D","F")))))),"")</f>
        <v/>
      </c>
      <c r="F927" s="3">
        <f>IF(AND('Data Source'!B927&lt;&gt;"",'Data Source'!S927="F"),IF('Data Source'!X927&gt;=5,"A+",IF('Data Source'!X927&gt;=4,"A",IF('Data Source'!X927&gt;=3.5,"A-",IF('Data Source'!X927&gt;=3,"B",IF('Data Source'!X927&gt;=2,"C",IF('Data Source'!X927&gt;=1,"D","F")))))),"")</f>
        <v/>
      </c>
      <c r="G927" s="3">
        <f>IF(AND('Data Source'!B927&lt;&gt;"",'Data Source'!S927="F"),IF('Data Source'!Y927&gt;=5,"A+",IF('Data Source'!Y927&gt;=4,"A",IF('Data Source'!Y927&gt;=3.5,"A-",IF('Data Source'!Y927&gt;=3,"B",IF('Data Source'!Y927&gt;=2,"C",IF('Data Source'!Y927&gt;=1,"D","F")))))),"")</f>
        <v/>
      </c>
      <c r="H927" s="3">
        <f>IF(AND('Data Source'!B927&lt;&gt;"",'Data Source'!S927="F"),IF('Data Source'!Z927&gt;=5,"A+",IF('Data Source'!Z927&gt;=4,"A",IF('Data Source'!Z927&gt;=3.5,"A-",IF('Data Source'!Z927&gt;=3,"B",IF('Data Source'!Z927&gt;=2,"C",IF('Data Source'!Z927&gt;=1,"D","F")))))),"")</f>
        <v/>
      </c>
      <c r="I927" s="3">
        <f>IF(AND('Data Source'!B927&lt;&gt;"",'Data Source'!S927="F"),IF('Data Source'!AA927&gt;=5,"A+",IF('Data Source'!AA927&gt;=4,"A",IF('Data Source'!AA927&gt;=3.5,"A-",IF('Data Source'!AA927&gt;=3,"B",IF('Data Source'!AA927&gt;=2,"C",IF('Data Source'!AA927&gt;=1,"D","F")))))),"")</f>
        <v/>
      </c>
      <c r="J927" s="3">
        <f>IF(AND('Data Source'!B927&lt;&gt;"",'Data Source'!S927="F"),IF('Data Source'!AB927&gt;=5,"A+",IF('Data Source'!AB927&gt;=4,"A",IF('Data Source'!AB927&gt;=3.5,"A-",IF('Data Source'!AB927&gt;=3,"B",IF('Data Source'!AB927&gt;=2,"C",IF('Data Source'!AB927&gt;=1,"D","F")))))),"")</f>
        <v/>
      </c>
      <c r="K927" s="3">
        <f>IF(AND('Data Source'!B927&lt;&gt;"",'Data Source'!S927="F"),IF('Data Source'!AC927&gt;=5,"A+",IF('Data Source'!AC927&gt;=4,"A",IF('Data Source'!AC927&gt;=3.5,"A-",IF('Data Source'!AC927&gt;=3,"B",IF('Data Source'!AC927&gt;=2,"C",IF('Data Source'!AC927&gt;=1,"D","F")))))),"")</f>
        <v/>
      </c>
      <c r="L927" s="3">
        <f>IF(AND('Data Source'!B927&lt;&gt;"",'Data Source'!S927="F"),IF('Data Source'!AD927&gt;=5,"A+",IF('Data Source'!AD927&gt;=4,"A",IF('Data Source'!AD927&gt;=3.5,"A-",IF('Data Source'!AD927&gt;=3,"B",IF('Data Source'!AD927&gt;=2,"C",IF('Data Source'!AD927&gt;=1,"D","F")))))),"")</f>
        <v/>
      </c>
      <c r="M927" s="3">
        <f>IF(AND('Data Source'!B927&lt;&gt;"",'Data Source'!S927="F"),IF('Data Source'!AE927&gt;=5,"A+",IF('Data Source'!AE927&gt;=4,"A",IF('Data Source'!AE927&gt;=3.5,"A-",IF('Data Source'!AE927&gt;=3,"B",IF('Data Source'!AE927&gt;=2,"C",IF('Data Source'!AE927&gt;=1,"D","F")))))),"")</f>
        <v/>
      </c>
      <c r="N927" s="3">
        <f>IF(AND('Data Source'!B927&lt;&gt;"",'Data Source'!S927="F"),IF('Data Source'!AF927&gt;=5,"A+",IF('Data Source'!AF927&gt;=4,"A",IF('Data Source'!AF927&gt;=3.5,"A-",IF('Data Source'!AF927&gt;=3,"B",IF('Data Source'!AF927&gt;=2,"C",IF('Data Source'!AF927&gt;=1,"D","F")))))),"")</f>
        <v/>
      </c>
      <c r="O927" s="3">
        <f>IF(AND('Data Source'!B927&lt;&gt;"",'Data Source'!S927="F"),IF('Data Source'!AG927&gt;=5,"A+",IF('Data Source'!AG927&gt;=4,"A",IF('Data Source'!AG927&gt;=3.5,"A-",IF('Data Source'!AG927&gt;=3,"B",IF('Data Source'!AG927&gt;=2,"C",IF('Data Source'!AG927&gt;=1,"D","F")))))),"")</f>
        <v/>
      </c>
      <c r="P927" s="5">
        <f>IF(AND('Data Source'!B927&lt;&gt;"",'Data Source'!S927="F"),'Data Source'!R927,"")</f>
        <v/>
      </c>
      <c r="Q927" s="3">
        <f>IF(AND('Data Source'!B927&lt;&gt;"",'Data Source'!S927="F"),'Data Source'!S927,"")</f>
        <v/>
      </c>
    </row>
    <row r="928">
      <c r="A928" s="3">
        <f>IF(AND('Data Source'!B928&lt;&gt;"",'Data Source'!S928="F"),COUNTIF('Data Source'!$S$3:S928,"F"),"")</f>
        <v/>
      </c>
      <c r="B928">
        <f>IF(AND('Data Source'!B928&lt;&gt;"",'Data Source'!S928="F"),'Data Source'!B928,"")</f>
        <v/>
      </c>
      <c r="C928" s="3">
        <f>IF(AND('Data Source'!B928&lt;&gt;"",'Data Source'!S928="F"),IF('Data Source'!U928&gt;=5,"A+",IF('Data Source'!U928&gt;=4,"A",IF('Data Source'!U928&gt;=3.5,"A-",IF('Data Source'!U928&gt;=3,"B",IF('Data Source'!U928&gt;=2,"C",IF('Data Source'!U928&gt;=1,"D","F")))))),"")</f>
        <v/>
      </c>
      <c r="D928" s="3">
        <f>IF(AND('Data Source'!B928&lt;&gt;"",'Data Source'!S928="F"),IF('Data Source'!V928&gt;=5,"A+",IF('Data Source'!V928&gt;=4,"A",IF('Data Source'!V928&gt;=3.5,"A-",IF('Data Source'!V928&gt;=3,"B",IF('Data Source'!V928&gt;=2,"C",IF('Data Source'!V928&gt;=1,"D","F")))))),"")</f>
        <v/>
      </c>
      <c r="E928" s="3">
        <f>IF(AND('Data Source'!B928&lt;&gt;"",'Data Source'!S928="F"),IF('Data Source'!W928&gt;=5,"A+",IF('Data Source'!W928&gt;=4,"A",IF('Data Source'!W928&gt;=3.5,"A-",IF('Data Source'!W928&gt;=3,"B",IF('Data Source'!W928&gt;=2,"C",IF('Data Source'!W928&gt;=1,"D","F")))))),"")</f>
        <v/>
      </c>
      <c r="F928" s="3">
        <f>IF(AND('Data Source'!B928&lt;&gt;"",'Data Source'!S928="F"),IF('Data Source'!X928&gt;=5,"A+",IF('Data Source'!X928&gt;=4,"A",IF('Data Source'!X928&gt;=3.5,"A-",IF('Data Source'!X928&gt;=3,"B",IF('Data Source'!X928&gt;=2,"C",IF('Data Source'!X928&gt;=1,"D","F")))))),"")</f>
        <v/>
      </c>
      <c r="G928" s="3">
        <f>IF(AND('Data Source'!B928&lt;&gt;"",'Data Source'!S928="F"),IF('Data Source'!Y928&gt;=5,"A+",IF('Data Source'!Y928&gt;=4,"A",IF('Data Source'!Y928&gt;=3.5,"A-",IF('Data Source'!Y928&gt;=3,"B",IF('Data Source'!Y928&gt;=2,"C",IF('Data Source'!Y928&gt;=1,"D","F")))))),"")</f>
        <v/>
      </c>
      <c r="H928" s="3">
        <f>IF(AND('Data Source'!B928&lt;&gt;"",'Data Source'!S928="F"),IF('Data Source'!Z928&gt;=5,"A+",IF('Data Source'!Z928&gt;=4,"A",IF('Data Source'!Z928&gt;=3.5,"A-",IF('Data Source'!Z928&gt;=3,"B",IF('Data Source'!Z928&gt;=2,"C",IF('Data Source'!Z928&gt;=1,"D","F")))))),"")</f>
        <v/>
      </c>
      <c r="I928" s="3">
        <f>IF(AND('Data Source'!B928&lt;&gt;"",'Data Source'!S928="F"),IF('Data Source'!AA928&gt;=5,"A+",IF('Data Source'!AA928&gt;=4,"A",IF('Data Source'!AA928&gt;=3.5,"A-",IF('Data Source'!AA928&gt;=3,"B",IF('Data Source'!AA928&gt;=2,"C",IF('Data Source'!AA928&gt;=1,"D","F")))))),"")</f>
        <v/>
      </c>
      <c r="J928" s="3">
        <f>IF(AND('Data Source'!B928&lt;&gt;"",'Data Source'!S928="F"),IF('Data Source'!AB928&gt;=5,"A+",IF('Data Source'!AB928&gt;=4,"A",IF('Data Source'!AB928&gt;=3.5,"A-",IF('Data Source'!AB928&gt;=3,"B",IF('Data Source'!AB928&gt;=2,"C",IF('Data Source'!AB928&gt;=1,"D","F")))))),"")</f>
        <v/>
      </c>
      <c r="K928" s="3">
        <f>IF(AND('Data Source'!B928&lt;&gt;"",'Data Source'!S928="F"),IF('Data Source'!AC928&gt;=5,"A+",IF('Data Source'!AC928&gt;=4,"A",IF('Data Source'!AC928&gt;=3.5,"A-",IF('Data Source'!AC928&gt;=3,"B",IF('Data Source'!AC928&gt;=2,"C",IF('Data Source'!AC928&gt;=1,"D","F")))))),"")</f>
        <v/>
      </c>
      <c r="L928" s="3">
        <f>IF(AND('Data Source'!B928&lt;&gt;"",'Data Source'!S928="F"),IF('Data Source'!AD928&gt;=5,"A+",IF('Data Source'!AD928&gt;=4,"A",IF('Data Source'!AD928&gt;=3.5,"A-",IF('Data Source'!AD928&gt;=3,"B",IF('Data Source'!AD928&gt;=2,"C",IF('Data Source'!AD928&gt;=1,"D","F")))))),"")</f>
        <v/>
      </c>
      <c r="M928" s="3">
        <f>IF(AND('Data Source'!B928&lt;&gt;"",'Data Source'!S928="F"),IF('Data Source'!AE928&gt;=5,"A+",IF('Data Source'!AE928&gt;=4,"A",IF('Data Source'!AE928&gt;=3.5,"A-",IF('Data Source'!AE928&gt;=3,"B",IF('Data Source'!AE928&gt;=2,"C",IF('Data Source'!AE928&gt;=1,"D","F")))))),"")</f>
        <v/>
      </c>
      <c r="N928" s="3">
        <f>IF(AND('Data Source'!B928&lt;&gt;"",'Data Source'!S928="F"),IF('Data Source'!AF928&gt;=5,"A+",IF('Data Source'!AF928&gt;=4,"A",IF('Data Source'!AF928&gt;=3.5,"A-",IF('Data Source'!AF928&gt;=3,"B",IF('Data Source'!AF928&gt;=2,"C",IF('Data Source'!AF928&gt;=1,"D","F")))))),"")</f>
        <v/>
      </c>
      <c r="O928" s="3">
        <f>IF(AND('Data Source'!B928&lt;&gt;"",'Data Source'!S928="F"),IF('Data Source'!AG928&gt;=5,"A+",IF('Data Source'!AG928&gt;=4,"A",IF('Data Source'!AG928&gt;=3.5,"A-",IF('Data Source'!AG928&gt;=3,"B",IF('Data Source'!AG928&gt;=2,"C",IF('Data Source'!AG928&gt;=1,"D","F")))))),"")</f>
        <v/>
      </c>
      <c r="P928" s="5">
        <f>IF(AND('Data Source'!B928&lt;&gt;"",'Data Source'!S928="F"),'Data Source'!R928,"")</f>
        <v/>
      </c>
      <c r="Q928" s="3">
        <f>IF(AND('Data Source'!B928&lt;&gt;"",'Data Source'!S928="F"),'Data Source'!S928,"")</f>
        <v/>
      </c>
    </row>
    <row r="929">
      <c r="A929" s="3">
        <f>IF(AND('Data Source'!B929&lt;&gt;"",'Data Source'!S929="F"),COUNTIF('Data Source'!$S$3:S929,"F"),"")</f>
        <v/>
      </c>
      <c r="B929">
        <f>IF(AND('Data Source'!B929&lt;&gt;"",'Data Source'!S929="F"),'Data Source'!B929,"")</f>
        <v/>
      </c>
      <c r="C929" s="3">
        <f>IF(AND('Data Source'!B929&lt;&gt;"",'Data Source'!S929="F"),IF('Data Source'!U929&gt;=5,"A+",IF('Data Source'!U929&gt;=4,"A",IF('Data Source'!U929&gt;=3.5,"A-",IF('Data Source'!U929&gt;=3,"B",IF('Data Source'!U929&gt;=2,"C",IF('Data Source'!U929&gt;=1,"D","F")))))),"")</f>
        <v/>
      </c>
      <c r="D929" s="3">
        <f>IF(AND('Data Source'!B929&lt;&gt;"",'Data Source'!S929="F"),IF('Data Source'!V929&gt;=5,"A+",IF('Data Source'!V929&gt;=4,"A",IF('Data Source'!V929&gt;=3.5,"A-",IF('Data Source'!V929&gt;=3,"B",IF('Data Source'!V929&gt;=2,"C",IF('Data Source'!V929&gt;=1,"D","F")))))),"")</f>
        <v/>
      </c>
      <c r="E929" s="3">
        <f>IF(AND('Data Source'!B929&lt;&gt;"",'Data Source'!S929="F"),IF('Data Source'!W929&gt;=5,"A+",IF('Data Source'!W929&gt;=4,"A",IF('Data Source'!W929&gt;=3.5,"A-",IF('Data Source'!W929&gt;=3,"B",IF('Data Source'!W929&gt;=2,"C",IF('Data Source'!W929&gt;=1,"D","F")))))),"")</f>
        <v/>
      </c>
      <c r="F929" s="3">
        <f>IF(AND('Data Source'!B929&lt;&gt;"",'Data Source'!S929="F"),IF('Data Source'!X929&gt;=5,"A+",IF('Data Source'!X929&gt;=4,"A",IF('Data Source'!X929&gt;=3.5,"A-",IF('Data Source'!X929&gt;=3,"B",IF('Data Source'!X929&gt;=2,"C",IF('Data Source'!X929&gt;=1,"D","F")))))),"")</f>
        <v/>
      </c>
      <c r="G929" s="3">
        <f>IF(AND('Data Source'!B929&lt;&gt;"",'Data Source'!S929="F"),IF('Data Source'!Y929&gt;=5,"A+",IF('Data Source'!Y929&gt;=4,"A",IF('Data Source'!Y929&gt;=3.5,"A-",IF('Data Source'!Y929&gt;=3,"B",IF('Data Source'!Y929&gt;=2,"C",IF('Data Source'!Y929&gt;=1,"D","F")))))),"")</f>
        <v/>
      </c>
      <c r="H929" s="3">
        <f>IF(AND('Data Source'!B929&lt;&gt;"",'Data Source'!S929="F"),IF('Data Source'!Z929&gt;=5,"A+",IF('Data Source'!Z929&gt;=4,"A",IF('Data Source'!Z929&gt;=3.5,"A-",IF('Data Source'!Z929&gt;=3,"B",IF('Data Source'!Z929&gt;=2,"C",IF('Data Source'!Z929&gt;=1,"D","F")))))),"")</f>
        <v/>
      </c>
      <c r="I929" s="3">
        <f>IF(AND('Data Source'!B929&lt;&gt;"",'Data Source'!S929="F"),IF('Data Source'!AA929&gt;=5,"A+",IF('Data Source'!AA929&gt;=4,"A",IF('Data Source'!AA929&gt;=3.5,"A-",IF('Data Source'!AA929&gt;=3,"B",IF('Data Source'!AA929&gt;=2,"C",IF('Data Source'!AA929&gt;=1,"D","F")))))),"")</f>
        <v/>
      </c>
      <c r="J929" s="3">
        <f>IF(AND('Data Source'!B929&lt;&gt;"",'Data Source'!S929="F"),IF('Data Source'!AB929&gt;=5,"A+",IF('Data Source'!AB929&gt;=4,"A",IF('Data Source'!AB929&gt;=3.5,"A-",IF('Data Source'!AB929&gt;=3,"B",IF('Data Source'!AB929&gt;=2,"C",IF('Data Source'!AB929&gt;=1,"D","F")))))),"")</f>
        <v/>
      </c>
      <c r="K929" s="3">
        <f>IF(AND('Data Source'!B929&lt;&gt;"",'Data Source'!S929="F"),IF('Data Source'!AC929&gt;=5,"A+",IF('Data Source'!AC929&gt;=4,"A",IF('Data Source'!AC929&gt;=3.5,"A-",IF('Data Source'!AC929&gt;=3,"B",IF('Data Source'!AC929&gt;=2,"C",IF('Data Source'!AC929&gt;=1,"D","F")))))),"")</f>
        <v/>
      </c>
      <c r="L929" s="3">
        <f>IF(AND('Data Source'!B929&lt;&gt;"",'Data Source'!S929="F"),IF('Data Source'!AD929&gt;=5,"A+",IF('Data Source'!AD929&gt;=4,"A",IF('Data Source'!AD929&gt;=3.5,"A-",IF('Data Source'!AD929&gt;=3,"B",IF('Data Source'!AD929&gt;=2,"C",IF('Data Source'!AD929&gt;=1,"D","F")))))),"")</f>
        <v/>
      </c>
      <c r="M929" s="3">
        <f>IF(AND('Data Source'!B929&lt;&gt;"",'Data Source'!S929="F"),IF('Data Source'!AE929&gt;=5,"A+",IF('Data Source'!AE929&gt;=4,"A",IF('Data Source'!AE929&gt;=3.5,"A-",IF('Data Source'!AE929&gt;=3,"B",IF('Data Source'!AE929&gt;=2,"C",IF('Data Source'!AE929&gt;=1,"D","F")))))),"")</f>
        <v/>
      </c>
      <c r="N929" s="3">
        <f>IF(AND('Data Source'!B929&lt;&gt;"",'Data Source'!S929="F"),IF('Data Source'!AF929&gt;=5,"A+",IF('Data Source'!AF929&gt;=4,"A",IF('Data Source'!AF929&gt;=3.5,"A-",IF('Data Source'!AF929&gt;=3,"B",IF('Data Source'!AF929&gt;=2,"C",IF('Data Source'!AF929&gt;=1,"D","F")))))),"")</f>
        <v/>
      </c>
      <c r="O929" s="3">
        <f>IF(AND('Data Source'!B929&lt;&gt;"",'Data Source'!S929="F"),IF('Data Source'!AG929&gt;=5,"A+",IF('Data Source'!AG929&gt;=4,"A",IF('Data Source'!AG929&gt;=3.5,"A-",IF('Data Source'!AG929&gt;=3,"B",IF('Data Source'!AG929&gt;=2,"C",IF('Data Source'!AG929&gt;=1,"D","F")))))),"")</f>
        <v/>
      </c>
      <c r="P929" s="5">
        <f>IF(AND('Data Source'!B929&lt;&gt;"",'Data Source'!S929="F"),'Data Source'!R929,"")</f>
        <v/>
      </c>
      <c r="Q929" s="3">
        <f>IF(AND('Data Source'!B929&lt;&gt;"",'Data Source'!S929="F"),'Data Source'!S929,"")</f>
        <v/>
      </c>
    </row>
    <row r="930">
      <c r="A930" s="3">
        <f>IF(AND('Data Source'!B930&lt;&gt;"",'Data Source'!S930="F"),COUNTIF('Data Source'!$S$3:S930,"F"),"")</f>
        <v/>
      </c>
      <c r="B930">
        <f>IF(AND('Data Source'!B930&lt;&gt;"",'Data Source'!S930="F"),'Data Source'!B930,"")</f>
        <v/>
      </c>
      <c r="C930" s="3">
        <f>IF(AND('Data Source'!B930&lt;&gt;"",'Data Source'!S930="F"),IF('Data Source'!U930&gt;=5,"A+",IF('Data Source'!U930&gt;=4,"A",IF('Data Source'!U930&gt;=3.5,"A-",IF('Data Source'!U930&gt;=3,"B",IF('Data Source'!U930&gt;=2,"C",IF('Data Source'!U930&gt;=1,"D","F")))))),"")</f>
        <v/>
      </c>
      <c r="D930" s="3">
        <f>IF(AND('Data Source'!B930&lt;&gt;"",'Data Source'!S930="F"),IF('Data Source'!V930&gt;=5,"A+",IF('Data Source'!V930&gt;=4,"A",IF('Data Source'!V930&gt;=3.5,"A-",IF('Data Source'!V930&gt;=3,"B",IF('Data Source'!V930&gt;=2,"C",IF('Data Source'!V930&gt;=1,"D","F")))))),"")</f>
        <v/>
      </c>
      <c r="E930" s="3">
        <f>IF(AND('Data Source'!B930&lt;&gt;"",'Data Source'!S930="F"),IF('Data Source'!W930&gt;=5,"A+",IF('Data Source'!W930&gt;=4,"A",IF('Data Source'!W930&gt;=3.5,"A-",IF('Data Source'!W930&gt;=3,"B",IF('Data Source'!W930&gt;=2,"C",IF('Data Source'!W930&gt;=1,"D","F")))))),"")</f>
        <v/>
      </c>
      <c r="F930" s="3">
        <f>IF(AND('Data Source'!B930&lt;&gt;"",'Data Source'!S930="F"),IF('Data Source'!X930&gt;=5,"A+",IF('Data Source'!X930&gt;=4,"A",IF('Data Source'!X930&gt;=3.5,"A-",IF('Data Source'!X930&gt;=3,"B",IF('Data Source'!X930&gt;=2,"C",IF('Data Source'!X930&gt;=1,"D","F")))))),"")</f>
        <v/>
      </c>
      <c r="G930" s="3">
        <f>IF(AND('Data Source'!B930&lt;&gt;"",'Data Source'!S930="F"),IF('Data Source'!Y930&gt;=5,"A+",IF('Data Source'!Y930&gt;=4,"A",IF('Data Source'!Y930&gt;=3.5,"A-",IF('Data Source'!Y930&gt;=3,"B",IF('Data Source'!Y930&gt;=2,"C",IF('Data Source'!Y930&gt;=1,"D","F")))))),"")</f>
        <v/>
      </c>
      <c r="H930" s="3">
        <f>IF(AND('Data Source'!B930&lt;&gt;"",'Data Source'!S930="F"),IF('Data Source'!Z930&gt;=5,"A+",IF('Data Source'!Z930&gt;=4,"A",IF('Data Source'!Z930&gt;=3.5,"A-",IF('Data Source'!Z930&gt;=3,"B",IF('Data Source'!Z930&gt;=2,"C",IF('Data Source'!Z930&gt;=1,"D","F")))))),"")</f>
        <v/>
      </c>
      <c r="I930" s="3">
        <f>IF(AND('Data Source'!B930&lt;&gt;"",'Data Source'!S930="F"),IF('Data Source'!AA930&gt;=5,"A+",IF('Data Source'!AA930&gt;=4,"A",IF('Data Source'!AA930&gt;=3.5,"A-",IF('Data Source'!AA930&gt;=3,"B",IF('Data Source'!AA930&gt;=2,"C",IF('Data Source'!AA930&gt;=1,"D","F")))))),"")</f>
        <v/>
      </c>
      <c r="J930" s="3">
        <f>IF(AND('Data Source'!B930&lt;&gt;"",'Data Source'!S930="F"),IF('Data Source'!AB930&gt;=5,"A+",IF('Data Source'!AB930&gt;=4,"A",IF('Data Source'!AB930&gt;=3.5,"A-",IF('Data Source'!AB930&gt;=3,"B",IF('Data Source'!AB930&gt;=2,"C",IF('Data Source'!AB930&gt;=1,"D","F")))))),"")</f>
        <v/>
      </c>
      <c r="K930" s="3">
        <f>IF(AND('Data Source'!B930&lt;&gt;"",'Data Source'!S930="F"),IF('Data Source'!AC930&gt;=5,"A+",IF('Data Source'!AC930&gt;=4,"A",IF('Data Source'!AC930&gt;=3.5,"A-",IF('Data Source'!AC930&gt;=3,"B",IF('Data Source'!AC930&gt;=2,"C",IF('Data Source'!AC930&gt;=1,"D","F")))))),"")</f>
        <v/>
      </c>
      <c r="L930" s="3">
        <f>IF(AND('Data Source'!B930&lt;&gt;"",'Data Source'!S930="F"),IF('Data Source'!AD930&gt;=5,"A+",IF('Data Source'!AD930&gt;=4,"A",IF('Data Source'!AD930&gt;=3.5,"A-",IF('Data Source'!AD930&gt;=3,"B",IF('Data Source'!AD930&gt;=2,"C",IF('Data Source'!AD930&gt;=1,"D","F")))))),"")</f>
        <v/>
      </c>
      <c r="M930" s="3">
        <f>IF(AND('Data Source'!B930&lt;&gt;"",'Data Source'!S930="F"),IF('Data Source'!AE930&gt;=5,"A+",IF('Data Source'!AE930&gt;=4,"A",IF('Data Source'!AE930&gt;=3.5,"A-",IF('Data Source'!AE930&gt;=3,"B",IF('Data Source'!AE930&gt;=2,"C",IF('Data Source'!AE930&gt;=1,"D","F")))))),"")</f>
        <v/>
      </c>
      <c r="N930" s="3">
        <f>IF(AND('Data Source'!B930&lt;&gt;"",'Data Source'!S930="F"),IF('Data Source'!AF930&gt;=5,"A+",IF('Data Source'!AF930&gt;=4,"A",IF('Data Source'!AF930&gt;=3.5,"A-",IF('Data Source'!AF930&gt;=3,"B",IF('Data Source'!AF930&gt;=2,"C",IF('Data Source'!AF930&gt;=1,"D","F")))))),"")</f>
        <v/>
      </c>
      <c r="O930" s="3">
        <f>IF(AND('Data Source'!B930&lt;&gt;"",'Data Source'!S930="F"),IF('Data Source'!AG930&gt;=5,"A+",IF('Data Source'!AG930&gt;=4,"A",IF('Data Source'!AG930&gt;=3.5,"A-",IF('Data Source'!AG930&gt;=3,"B",IF('Data Source'!AG930&gt;=2,"C",IF('Data Source'!AG930&gt;=1,"D","F")))))),"")</f>
        <v/>
      </c>
      <c r="P930" s="5">
        <f>IF(AND('Data Source'!B930&lt;&gt;"",'Data Source'!S930="F"),'Data Source'!R930,"")</f>
        <v/>
      </c>
      <c r="Q930" s="3">
        <f>IF(AND('Data Source'!B930&lt;&gt;"",'Data Source'!S930="F"),'Data Source'!S930,"")</f>
        <v/>
      </c>
    </row>
    <row r="931">
      <c r="A931" s="3">
        <f>IF(AND('Data Source'!B931&lt;&gt;"",'Data Source'!S931="F"),COUNTIF('Data Source'!$S$3:S931,"F"),"")</f>
        <v/>
      </c>
      <c r="B931">
        <f>IF(AND('Data Source'!B931&lt;&gt;"",'Data Source'!S931="F"),'Data Source'!B931,"")</f>
        <v/>
      </c>
      <c r="C931" s="3">
        <f>IF(AND('Data Source'!B931&lt;&gt;"",'Data Source'!S931="F"),IF('Data Source'!U931&gt;=5,"A+",IF('Data Source'!U931&gt;=4,"A",IF('Data Source'!U931&gt;=3.5,"A-",IF('Data Source'!U931&gt;=3,"B",IF('Data Source'!U931&gt;=2,"C",IF('Data Source'!U931&gt;=1,"D","F")))))),"")</f>
        <v/>
      </c>
      <c r="D931" s="3">
        <f>IF(AND('Data Source'!B931&lt;&gt;"",'Data Source'!S931="F"),IF('Data Source'!V931&gt;=5,"A+",IF('Data Source'!V931&gt;=4,"A",IF('Data Source'!V931&gt;=3.5,"A-",IF('Data Source'!V931&gt;=3,"B",IF('Data Source'!V931&gt;=2,"C",IF('Data Source'!V931&gt;=1,"D","F")))))),"")</f>
        <v/>
      </c>
      <c r="E931" s="3">
        <f>IF(AND('Data Source'!B931&lt;&gt;"",'Data Source'!S931="F"),IF('Data Source'!W931&gt;=5,"A+",IF('Data Source'!W931&gt;=4,"A",IF('Data Source'!W931&gt;=3.5,"A-",IF('Data Source'!W931&gt;=3,"B",IF('Data Source'!W931&gt;=2,"C",IF('Data Source'!W931&gt;=1,"D","F")))))),"")</f>
        <v/>
      </c>
      <c r="F931" s="3">
        <f>IF(AND('Data Source'!B931&lt;&gt;"",'Data Source'!S931="F"),IF('Data Source'!X931&gt;=5,"A+",IF('Data Source'!X931&gt;=4,"A",IF('Data Source'!X931&gt;=3.5,"A-",IF('Data Source'!X931&gt;=3,"B",IF('Data Source'!X931&gt;=2,"C",IF('Data Source'!X931&gt;=1,"D","F")))))),"")</f>
        <v/>
      </c>
      <c r="G931" s="3">
        <f>IF(AND('Data Source'!B931&lt;&gt;"",'Data Source'!S931="F"),IF('Data Source'!Y931&gt;=5,"A+",IF('Data Source'!Y931&gt;=4,"A",IF('Data Source'!Y931&gt;=3.5,"A-",IF('Data Source'!Y931&gt;=3,"B",IF('Data Source'!Y931&gt;=2,"C",IF('Data Source'!Y931&gt;=1,"D","F")))))),"")</f>
        <v/>
      </c>
      <c r="H931" s="3">
        <f>IF(AND('Data Source'!B931&lt;&gt;"",'Data Source'!S931="F"),IF('Data Source'!Z931&gt;=5,"A+",IF('Data Source'!Z931&gt;=4,"A",IF('Data Source'!Z931&gt;=3.5,"A-",IF('Data Source'!Z931&gt;=3,"B",IF('Data Source'!Z931&gt;=2,"C",IF('Data Source'!Z931&gt;=1,"D","F")))))),"")</f>
        <v/>
      </c>
      <c r="I931" s="3">
        <f>IF(AND('Data Source'!B931&lt;&gt;"",'Data Source'!S931="F"),IF('Data Source'!AA931&gt;=5,"A+",IF('Data Source'!AA931&gt;=4,"A",IF('Data Source'!AA931&gt;=3.5,"A-",IF('Data Source'!AA931&gt;=3,"B",IF('Data Source'!AA931&gt;=2,"C",IF('Data Source'!AA931&gt;=1,"D","F")))))),"")</f>
        <v/>
      </c>
      <c r="J931" s="3">
        <f>IF(AND('Data Source'!B931&lt;&gt;"",'Data Source'!S931="F"),IF('Data Source'!AB931&gt;=5,"A+",IF('Data Source'!AB931&gt;=4,"A",IF('Data Source'!AB931&gt;=3.5,"A-",IF('Data Source'!AB931&gt;=3,"B",IF('Data Source'!AB931&gt;=2,"C",IF('Data Source'!AB931&gt;=1,"D","F")))))),"")</f>
        <v/>
      </c>
      <c r="K931" s="3">
        <f>IF(AND('Data Source'!B931&lt;&gt;"",'Data Source'!S931="F"),IF('Data Source'!AC931&gt;=5,"A+",IF('Data Source'!AC931&gt;=4,"A",IF('Data Source'!AC931&gt;=3.5,"A-",IF('Data Source'!AC931&gt;=3,"B",IF('Data Source'!AC931&gt;=2,"C",IF('Data Source'!AC931&gt;=1,"D","F")))))),"")</f>
        <v/>
      </c>
      <c r="L931" s="3">
        <f>IF(AND('Data Source'!B931&lt;&gt;"",'Data Source'!S931="F"),IF('Data Source'!AD931&gt;=5,"A+",IF('Data Source'!AD931&gt;=4,"A",IF('Data Source'!AD931&gt;=3.5,"A-",IF('Data Source'!AD931&gt;=3,"B",IF('Data Source'!AD931&gt;=2,"C",IF('Data Source'!AD931&gt;=1,"D","F")))))),"")</f>
        <v/>
      </c>
      <c r="M931" s="3">
        <f>IF(AND('Data Source'!B931&lt;&gt;"",'Data Source'!S931="F"),IF('Data Source'!AE931&gt;=5,"A+",IF('Data Source'!AE931&gt;=4,"A",IF('Data Source'!AE931&gt;=3.5,"A-",IF('Data Source'!AE931&gt;=3,"B",IF('Data Source'!AE931&gt;=2,"C",IF('Data Source'!AE931&gt;=1,"D","F")))))),"")</f>
        <v/>
      </c>
      <c r="N931" s="3">
        <f>IF(AND('Data Source'!B931&lt;&gt;"",'Data Source'!S931="F"),IF('Data Source'!AF931&gt;=5,"A+",IF('Data Source'!AF931&gt;=4,"A",IF('Data Source'!AF931&gt;=3.5,"A-",IF('Data Source'!AF931&gt;=3,"B",IF('Data Source'!AF931&gt;=2,"C",IF('Data Source'!AF931&gt;=1,"D","F")))))),"")</f>
        <v/>
      </c>
      <c r="O931" s="3">
        <f>IF(AND('Data Source'!B931&lt;&gt;"",'Data Source'!S931="F"),IF('Data Source'!AG931&gt;=5,"A+",IF('Data Source'!AG931&gt;=4,"A",IF('Data Source'!AG931&gt;=3.5,"A-",IF('Data Source'!AG931&gt;=3,"B",IF('Data Source'!AG931&gt;=2,"C",IF('Data Source'!AG931&gt;=1,"D","F")))))),"")</f>
        <v/>
      </c>
      <c r="P931" s="5">
        <f>IF(AND('Data Source'!B931&lt;&gt;"",'Data Source'!S931="F"),'Data Source'!R931,"")</f>
        <v/>
      </c>
      <c r="Q931" s="3">
        <f>IF(AND('Data Source'!B931&lt;&gt;"",'Data Source'!S931="F"),'Data Source'!S931,"")</f>
        <v/>
      </c>
    </row>
    <row r="932">
      <c r="A932" s="3">
        <f>IF(AND('Data Source'!B932&lt;&gt;"",'Data Source'!S932="F"),COUNTIF('Data Source'!$S$3:S932,"F"),"")</f>
        <v/>
      </c>
      <c r="B932">
        <f>IF(AND('Data Source'!B932&lt;&gt;"",'Data Source'!S932="F"),'Data Source'!B932,"")</f>
        <v/>
      </c>
      <c r="C932" s="3">
        <f>IF(AND('Data Source'!B932&lt;&gt;"",'Data Source'!S932="F"),IF('Data Source'!U932&gt;=5,"A+",IF('Data Source'!U932&gt;=4,"A",IF('Data Source'!U932&gt;=3.5,"A-",IF('Data Source'!U932&gt;=3,"B",IF('Data Source'!U932&gt;=2,"C",IF('Data Source'!U932&gt;=1,"D","F")))))),"")</f>
        <v/>
      </c>
      <c r="D932" s="3">
        <f>IF(AND('Data Source'!B932&lt;&gt;"",'Data Source'!S932="F"),IF('Data Source'!V932&gt;=5,"A+",IF('Data Source'!V932&gt;=4,"A",IF('Data Source'!V932&gt;=3.5,"A-",IF('Data Source'!V932&gt;=3,"B",IF('Data Source'!V932&gt;=2,"C",IF('Data Source'!V932&gt;=1,"D","F")))))),"")</f>
        <v/>
      </c>
      <c r="E932" s="3">
        <f>IF(AND('Data Source'!B932&lt;&gt;"",'Data Source'!S932="F"),IF('Data Source'!W932&gt;=5,"A+",IF('Data Source'!W932&gt;=4,"A",IF('Data Source'!W932&gt;=3.5,"A-",IF('Data Source'!W932&gt;=3,"B",IF('Data Source'!W932&gt;=2,"C",IF('Data Source'!W932&gt;=1,"D","F")))))),"")</f>
        <v/>
      </c>
      <c r="F932" s="3">
        <f>IF(AND('Data Source'!B932&lt;&gt;"",'Data Source'!S932="F"),IF('Data Source'!X932&gt;=5,"A+",IF('Data Source'!X932&gt;=4,"A",IF('Data Source'!X932&gt;=3.5,"A-",IF('Data Source'!X932&gt;=3,"B",IF('Data Source'!X932&gt;=2,"C",IF('Data Source'!X932&gt;=1,"D","F")))))),"")</f>
        <v/>
      </c>
      <c r="G932" s="3">
        <f>IF(AND('Data Source'!B932&lt;&gt;"",'Data Source'!S932="F"),IF('Data Source'!Y932&gt;=5,"A+",IF('Data Source'!Y932&gt;=4,"A",IF('Data Source'!Y932&gt;=3.5,"A-",IF('Data Source'!Y932&gt;=3,"B",IF('Data Source'!Y932&gt;=2,"C",IF('Data Source'!Y932&gt;=1,"D","F")))))),"")</f>
        <v/>
      </c>
      <c r="H932" s="3">
        <f>IF(AND('Data Source'!B932&lt;&gt;"",'Data Source'!S932="F"),IF('Data Source'!Z932&gt;=5,"A+",IF('Data Source'!Z932&gt;=4,"A",IF('Data Source'!Z932&gt;=3.5,"A-",IF('Data Source'!Z932&gt;=3,"B",IF('Data Source'!Z932&gt;=2,"C",IF('Data Source'!Z932&gt;=1,"D","F")))))),"")</f>
        <v/>
      </c>
      <c r="I932" s="3">
        <f>IF(AND('Data Source'!B932&lt;&gt;"",'Data Source'!S932="F"),IF('Data Source'!AA932&gt;=5,"A+",IF('Data Source'!AA932&gt;=4,"A",IF('Data Source'!AA932&gt;=3.5,"A-",IF('Data Source'!AA932&gt;=3,"B",IF('Data Source'!AA932&gt;=2,"C",IF('Data Source'!AA932&gt;=1,"D","F")))))),"")</f>
        <v/>
      </c>
      <c r="J932" s="3">
        <f>IF(AND('Data Source'!B932&lt;&gt;"",'Data Source'!S932="F"),IF('Data Source'!AB932&gt;=5,"A+",IF('Data Source'!AB932&gt;=4,"A",IF('Data Source'!AB932&gt;=3.5,"A-",IF('Data Source'!AB932&gt;=3,"B",IF('Data Source'!AB932&gt;=2,"C",IF('Data Source'!AB932&gt;=1,"D","F")))))),"")</f>
        <v/>
      </c>
      <c r="K932" s="3">
        <f>IF(AND('Data Source'!B932&lt;&gt;"",'Data Source'!S932="F"),IF('Data Source'!AC932&gt;=5,"A+",IF('Data Source'!AC932&gt;=4,"A",IF('Data Source'!AC932&gt;=3.5,"A-",IF('Data Source'!AC932&gt;=3,"B",IF('Data Source'!AC932&gt;=2,"C",IF('Data Source'!AC932&gt;=1,"D","F")))))),"")</f>
        <v/>
      </c>
      <c r="L932" s="3">
        <f>IF(AND('Data Source'!B932&lt;&gt;"",'Data Source'!S932="F"),IF('Data Source'!AD932&gt;=5,"A+",IF('Data Source'!AD932&gt;=4,"A",IF('Data Source'!AD932&gt;=3.5,"A-",IF('Data Source'!AD932&gt;=3,"B",IF('Data Source'!AD932&gt;=2,"C",IF('Data Source'!AD932&gt;=1,"D","F")))))),"")</f>
        <v/>
      </c>
      <c r="M932" s="3">
        <f>IF(AND('Data Source'!B932&lt;&gt;"",'Data Source'!S932="F"),IF('Data Source'!AE932&gt;=5,"A+",IF('Data Source'!AE932&gt;=4,"A",IF('Data Source'!AE932&gt;=3.5,"A-",IF('Data Source'!AE932&gt;=3,"B",IF('Data Source'!AE932&gt;=2,"C",IF('Data Source'!AE932&gt;=1,"D","F")))))),"")</f>
        <v/>
      </c>
      <c r="N932" s="3">
        <f>IF(AND('Data Source'!B932&lt;&gt;"",'Data Source'!S932="F"),IF('Data Source'!AF932&gt;=5,"A+",IF('Data Source'!AF932&gt;=4,"A",IF('Data Source'!AF932&gt;=3.5,"A-",IF('Data Source'!AF932&gt;=3,"B",IF('Data Source'!AF932&gt;=2,"C",IF('Data Source'!AF932&gt;=1,"D","F")))))),"")</f>
        <v/>
      </c>
      <c r="O932" s="3">
        <f>IF(AND('Data Source'!B932&lt;&gt;"",'Data Source'!S932="F"),IF('Data Source'!AG932&gt;=5,"A+",IF('Data Source'!AG932&gt;=4,"A",IF('Data Source'!AG932&gt;=3.5,"A-",IF('Data Source'!AG932&gt;=3,"B",IF('Data Source'!AG932&gt;=2,"C",IF('Data Source'!AG932&gt;=1,"D","F")))))),"")</f>
        <v/>
      </c>
      <c r="P932" s="5">
        <f>IF(AND('Data Source'!B932&lt;&gt;"",'Data Source'!S932="F"),'Data Source'!R932,"")</f>
        <v/>
      </c>
      <c r="Q932" s="3">
        <f>IF(AND('Data Source'!B932&lt;&gt;"",'Data Source'!S932="F"),'Data Source'!S932,"")</f>
        <v/>
      </c>
    </row>
    <row r="933">
      <c r="A933" s="3">
        <f>IF(AND('Data Source'!B933&lt;&gt;"",'Data Source'!S933="F"),COUNTIF('Data Source'!$S$3:S933,"F"),"")</f>
        <v/>
      </c>
      <c r="B933">
        <f>IF(AND('Data Source'!B933&lt;&gt;"",'Data Source'!S933="F"),'Data Source'!B933,"")</f>
        <v/>
      </c>
      <c r="C933" s="3">
        <f>IF(AND('Data Source'!B933&lt;&gt;"",'Data Source'!S933="F"),IF('Data Source'!U933&gt;=5,"A+",IF('Data Source'!U933&gt;=4,"A",IF('Data Source'!U933&gt;=3.5,"A-",IF('Data Source'!U933&gt;=3,"B",IF('Data Source'!U933&gt;=2,"C",IF('Data Source'!U933&gt;=1,"D","F")))))),"")</f>
        <v/>
      </c>
      <c r="D933" s="3">
        <f>IF(AND('Data Source'!B933&lt;&gt;"",'Data Source'!S933="F"),IF('Data Source'!V933&gt;=5,"A+",IF('Data Source'!V933&gt;=4,"A",IF('Data Source'!V933&gt;=3.5,"A-",IF('Data Source'!V933&gt;=3,"B",IF('Data Source'!V933&gt;=2,"C",IF('Data Source'!V933&gt;=1,"D","F")))))),"")</f>
        <v/>
      </c>
      <c r="E933" s="3">
        <f>IF(AND('Data Source'!B933&lt;&gt;"",'Data Source'!S933="F"),IF('Data Source'!W933&gt;=5,"A+",IF('Data Source'!W933&gt;=4,"A",IF('Data Source'!W933&gt;=3.5,"A-",IF('Data Source'!W933&gt;=3,"B",IF('Data Source'!W933&gt;=2,"C",IF('Data Source'!W933&gt;=1,"D","F")))))),"")</f>
        <v/>
      </c>
      <c r="F933" s="3">
        <f>IF(AND('Data Source'!B933&lt;&gt;"",'Data Source'!S933="F"),IF('Data Source'!X933&gt;=5,"A+",IF('Data Source'!X933&gt;=4,"A",IF('Data Source'!X933&gt;=3.5,"A-",IF('Data Source'!X933&gt;=3,"B",IF('Data Source'!X933&gt;=2,"C",IF('Data Source'!X933&gt;=1,"D","F")))))),"")</f>
        <v/>
      </c>
      <c r="G933" s="3">
        <f>IF(AND('Data Source'!B933&lt;&gt;"",'Data Source'!S933="F"),IF('Data Source'!Y933&gt;=5,"A+",IF('Data Source'!Y933&gt;=4,"A",IF('Data Source'!Y933&gt;=3.5,"A-",IF('Data Source'!Y933&gt;=3,"B",IF('Data Source'!Y933&gt;=2,"C",IF('Data Source'!Y933&gt;=1,"D","F")))))),"")</f>
        <v/>
      </c>
      <c r="H933" s="3">
        <f>IF(AND('Data Source'!B933&lt;&gt;"",'Data Source'!S933="F"),IF('Data Source'!Z933&gt;=5,"A+",IF('Data Source'!Z933&gt;=4,"A",IF('Data Source'!Z933&gt;=3.5,"A-",IF('Data Source'!Z933&gt;=3,"B",IF('Data Source'!Z933&gt;=2,"C",IF('Data Source'!Z933&gt;=1,"D","F")))))),"")</f>
        <v/>
      </c>
      <c r="I933" s="3">
        <f>IF(AND('Data Source'!B933&lt;&gt;"",'Data Source'!S933="F"),IF('Data Source'!AA933&gt;=5,"A+",IF('Data Source'!AA933&gt;=4,"A",IF('Data Source'!AA933&gt;=3.5,"A-",IF('Data Source'!AA933&gt;=3,"B",IF('Data Source'!AA933&gt;=2,"C",IF('Data Source'!AA933&gt;=1,"D","F")))))),"")</f>
        <v/>
      </c>
      <c r="J933" s="3">
        <f>IF(AND('Data Source'!B933&lt;&gt;"",'Data Source'!S933="F"),IF('Data Source'!AB933&gt;=5,"A+",IF('Data Source'!AB933&gt;=4,"A",IF('Data Source'!AB933&gt;=3.5,"A-",IF('Data Source'!AB933&gt;=3,"B",IF('Data Source'!AB933&gt;=2,"C",IF('Data Source'!AB933&gt;=1,"D","F")))))),"")</f>
        <v/>
      </c>
      <c r="K933" s="3">
        <f>IF(AND('Data Source'!B933&lt;&gt;"",'Data Source'!S933="F"),IF('Data Source'!AC933&gt;=5,"A+",IF('Data Source'!AC933&gt;=4,"A",IF('Data Source'!AC933&gt;=3.5,"A-",IF('Data Source'!AC933&gt;=3,"B",IF('Data Source'!AC933&gt;=2,"C",IF('Data Source'!AC933&gt;=1,"D","F")))))),"")</f>
        <v/>
      </c>
      <c r="L933" s="3">
        <f>IF(AND('Data Source'!B933&lt;&gt;"",'Data Source'!S933="F"),IF('Data Source'!AD933&gt;=5,"A+",IF('Data Source'!AD933&gt;=4,"A",IF('Data Source'!AD933&gt;=3.5,"A-",IF('Data Source'!AD933&gt;=3,"B",IF('Data Source'!AD933&gt;=2,"C",IF('Data Source'!AD933&gt;=1,"D","F")))))),"")</f>
        <v/>
      </c>
      <c r="M933" s="3">
        <f>IF(AND('Data Source'!B933&lt;&gt;"",'Data Source'!S933="F"),IF('Data Source'!AE933&gt;=5,"A+",IF('Data Source'!AE933&gt;=4,"A",IF('Data Source'!AE933&gt;=3.5,"A-",IF('Data Source'!AE933&gt;=3,"B",IF('Data Source'!AE933&gt;=2,"C",IF('Data Source'!AE933&gt;=1,"D","F")))))),"")</f>
        <v/>
      </c>
      <c r="N933" s="3">
        <f>IF(AND('Data Source'!B933&lt;&gt;"",'Data Source'!S933="F"),IF('Data Source'!AF933&gt;=5,"A+",IF('Data Source'!AF933&gt;=4,"A",IF('Data Source'!AF933&gt;=3.5,"A-",IF('Data Source'!AF933&gt;=3,"B",IF('Data Source'!AF933&gt;=2,"C",IF('Data Source'!AF933&gt;=1,"D","F")))))),"")</f>
        <v/>
      </c>
      <c r="O933" s="3">
        <f>IF(AND('Data Source'!B933&lt;&gt;"",'Data Source'!S933="F"),IF('Data Source'!AG933&gt;=5,"A+",IF('Data Source'!AG933&gt;=4,"A",IF('Data Source'!AG933&gt;=3.5,"A-",IF('Data Source'!AG933&gt;=3,"B",IF('Data Source'!AG933&gt;=2,"C",IF('Data Source'!AG933&gt;=1,"D","F")))))),"")</f>
        <v/>
      </c>
      <c r="P933" s="5">
        <f>IF(AND('Data Source'!B933&lt;&gt;"",'Data Source'!S933="F"),'Data Source'!R933,"")</f>
        <v/>
      </c>
      <c r="Q933" s="3">
        <f>IF(AND('Data Source'!B933&lt;&gt;"",'Data Source'!S933="F"),'Data Source'!S933,"")</f>
        <v/>
      </c>
    </row>
    <row r="934">
      <c r="A934" s="3">
        <f>IF(AND('Data Source'!B934&lt;&gt;"",'Data Source'!S934="F"),COUNTIF('Data Source'!$S$3:S934,"F"),"")</f>
        <v/>
      </c>
      <c r="B934">
        <f>IF(AND('Data Source'!B934&lt;&gt;"",'Data Source'!S934="F"),'Data Source'!B934,"")</f>
        <v/>
      </c>
      <c r="C934" s="3">
        <f>IF(AND('Data Source'!B934&lt;&gt;"",'Data Source'!S934="F"),IF('Data Source'!U934&gt;=5,"A+",IF('Data Source'!U934&gt;=4,"A",IF('Data Source'!U934&gt;=3.5,"A-",IF('Data Source'!U934&gt;=3,"B",IF('Data Source'!U934&gt;=2,"C",IF('Data Source'!U934&gt;=1,"D","F")))))),"")</f>
        <v/>
      </c>
      <c r="D934" s="3">
        <f>IF(AND('Data Source'!B934&lt;&gt;"",'Data Source'!S934="F"),IF('Data Source'!V934&gt;=5,"A+",IF('Data Source'!V934&gt;=4,"A",IF('Data Source'!V934&gt;=3.5,"A-",IF('Data Source'!V934&gt;=3,"B",IF('Data Source'!V934&gt;=2,"C",IF('Data Source'!V934&gt;=1,"D","F")))))),"")</f>
        <v/>
      </c>
      <c r="E934" s="3">
        <f>IF(AND('Data Source'!B934&lt;&gt;"",'Data Source'!S934="F"),IF('Data Source'!W934&gt;=5,"A+",IF('Data Source'!W934&gt;=4,"A",IF('Data Source'!W934&gt;=3.5,"A-",IF('Data Source'!W934&gt;=3,"B",IF('Data Source'!W934&gt;=2,"C",IF('Data Source'!W934&gt;=1,"D","F")))))),"")</f>
        <v/>
      </c>
      <c r="F934" s="3">
        <f>IF(AND('Data Source'!B934&lt;&gt;"",'Data Source'!S934="F"),IF('Data Source'!X934&gt;=5,"A+",IF('Data Source'!X934&gt;=4,"A",IF('Data Source'!X934&gt;=3.5,"A-",IF('Data Source'!X934&gt;=3,"B",IF('Data Source'!X934&gt;=2,"C",IF('Data Source'!X934&gt;=1,"D","F")))))),"")</f>
        <v/>
      </c>
      <c r="G934" s="3">
        <f>IF(AND('Data Source'!B934&lt;&gt;"",'Data Source'!S934="F"),IF('Data Source'!Y934&gt;=5,"A+",IF('Data Source'!Y934&gt;=4,"A",IF('Data Source'!Y934&gt;=3.5,"A-",IF('Data Source'!Y934&gt;=3,"B",IF('Data Source'!Y934&gt;=2,"C",IF('Data Source'!Y934&gt;=1,"D","F")))))),"")</f>
        <v/>
      </c>
      <c r="H934" s="3">
        <f>IF(AND('Data Source'!B934&lt;&gt;"",'Data Source'!S934="F"),IF('Data Source'!Z934&gt;=5,"A+",IF('Data Source'!Z934&gt;=4,"A",IF('Data Source'!Z934&gt;=3.5,"A-",IF('Data Source'!Z934&gt;=3,"B",IF('Data Source'!Z934&gt;=2,"C",IF('Data Source'!Z934&gt;=1,"D","F")))))),"")</f>
        <v/>
      </c>
      <c r="I934" s="3">
        <f>IF(AND('Data Source'!B934&lt;&gt;"",'Data Source'!S934="F"),IF('Data Source'!AA934&gt;=5,"A+",IF('Data Source'!AA934&gt;=4,"A",IF('Data Source'!AA934&gt;=3.5,"A-",IF('Data Source'!AA934&gt;=3,"B",IF('Data Source'!AA934&gt;=2,"C",IF('Data Source'!AA934&gt;=1,"D","F")))))),"")</f>
        <v/>
      </c>
      <c r="J934" s="3">
        <f>IF(AND('Data Source'!B934&lt;&gt;"",'Data Source'!S934="F"),IF('Data Source'!AB934&gt;=5,"A+",IF('Data Source'!AB934&gt;=4,"A",IF('Data Source'!AB934&gt;=3.5,"A-",IF('Data Source'!AB934&gt;=3,"B",IF('Data Source'!AB934&gt;=2,"C",IF('Data Source'!AB934&gt;=1,"D","F")))))),"")</f>
        <v/>
      </c>
      <c r="K934" s="3">
        <f>IF(AND('Data Source'!B934&lt;&gt;"",'Data Source'!S934="F"),IF('Data Source'!AC934&gt;=5,"A+",IF('Data Source'!AC934&gt;=4,"A",IF('Data Source'!AC934&gt;=3.5,"A-",IF('Data Source'!AC934&gt;=3,"B",IF('Data Source'!AC934&gt;=2,"C",IF('Data Source'!AC934&gt;=1,"D","F")))))),"")</f>
        <v/>
      </c>
      <c r="L934" s="3">
        <f>IF(AND('Data Source'!B934&lt;&gt;"",'Data Source'!S934="F"),IF('Data Source'!AD934&gt;=5,"A+",IF('Data Source'!AD934&gt;=4,"A",IF('Data Source'!AD934&gt;=3.5,"A-",IF('Data Source'!AD934&gt;=3,"B",IF('Data Source'!AD934&gt;=2,"C",IF('Data Source'!AD934&gt;=1,"D","F")))))),"")</f>
        <v/>
      </c>
      <c r="M934" s="3">
        <f>IF(AND('Data Source'!B934&lt;&gt;"",'Data Source'!S934="F"),IF('Data Source'!AE934&gt;=5,"A+",IF('Data Source'!AE934&gt;=4,"A",IF('Data Source'!AE934&gt;=3.5,"A-",IF('Data Source'!AE934&gt;=3,"B",IF('Data Source'!AE934&gt;=2,"C",IF('Data Source'!AE934&gt;=1,"D","F")))))),"")</f>
        <v/>
      </c>
      <c r="N934" s="3">
        <f>IF(AND('Data Source'!B934&lt;&gt;"",'Data Source'!S934="F"),IF('Data Source'!AF934&gt;=5,"A+",IF('Data Source'!AF934&gt;=4,"A",IF('Data Source'!AF934&gt;=3.5,"A-",IF('Data Source'!AF934&gt;=3,"B",IF('Data Source'!AF934&gt;=2,"C",IF('Data Source'!AF934&gt;=1,"D","F")))))),"")</f>
        <v/>
      </c>
      <c r="O934" s="3">
        <f>IF(AND('Data Source'!B934&lt;&gt;"",'Data Source'!S934="F"),IF('Data Source'!AG934&gt;=5,"A+",IF('Data Source'!AG934&gt;=4,"A",IF('Data Source'!AG934&gt;=3.5,"A-",IF('Data Source'!AG934&gt;=3,"B",IF('Data Source'!AG934&gt;=2,"C",IF('Data Source'!AG934&gt;=1,"D","F")))))),"")</f>
        <v/>
      </c>
      <c r="P934" s="5">
        <f>IF(AND('Data Source'!B934&lt;&gt;"",'Data Source'!S934="F"),'Data Source'!R934,"")</f>
        <v/>
      </c>
      <c r="Q934" s="3">
        <f>IF(AND('Data Source'!B934&lt;&gt;"",'Data Source'!S934="F"),'Data Source'!S934,"")</f>
        <v/>
      </c>
    </row>
    <row r="935">
      <c r="A935" s="3">
        <f>IF(AND('Data Source'!B935&lt;&gt;"",'Data Source'!S935="F"),COUNTIF('Data Source'!$S$3:S935,"F"),"")</f>
        <v/>
      </c>
      <c r="B935">
        <f>IF(AND('Data Source'!B935&lt;&gt;"",'Data Source'!S935="F"),'Data Source'!B935,"")</f>
        <v/>
      </c>
      <c r="C935" s="3">
        <f>IF(AND('Data Source'!B935&lt;&gt;"",'Data Source'!S935="F"),IF('Data Source'!U935&gt;=5,"A+",IF('Data Source'!U935&gt;=4,"A",IF('Data Source'!U935&gt;=3.5,"A-",IF('Data Source'!U935&gt;=3,"B",IF('Data Source'!U935&gt;=2,"C",IF('Data Source'!U935&gt;=1,"D","F")))))),"")</f>
        <v/>
      </c>
      <c r="D935" s="3">
        <f>IF(AND('Data Source'!B935&lt;&gt;"",'Data Source'!S935="F"),IF('Data Source'!V935&gt;=5,"A+",IF('Data Source'!V935&gt;=4,"A",IF('Data Source'!V935&gt;=3.5,"A-",IF('Data Source'!V935&gt;=3,"B",IF('Data Source'!V935&gt;=2,"C",IF('Data Source'!V935&gt;=1,"D","F")))))),"")</f>
        <v/>
      </c>
      <c r="E935" s="3">
        <f>IF(AND('Data Source'!B935&lt;&gt;"",'Data Source'!S935="F"),IF('Data Source'!W935&gt;=5,"A+",IF('Data Source'!W935&gt;=4,"A",IF('Data Source'!W935&gt;=3.5,"A-",IF('Data Source'!W935&gt;=3,"B",IF('Data Source'!W935&gt;=2,"C",IF('Data Source'!W935&gt;=1,"D","F")))))),"")</f>
        <v/>
      </c>
      <c r="F935" s="3">
        <f>IF(AND('Data Source'!B935&lt;&gt;"",'Data Source'!S935="F"),IF('Data Source'!X935&gt;=5,"A+",IF('Data Source'!X935&gt;=4,"A",IF('Data Source'!X935&gt;=3.5,"A-",IF('Data Source'!X935&gt;=3,"B",IF('Data Source'!X935&gt;=2,"C",IF('Data Source'!X935&gt;=1,"D","F")))))),"")</f>
        <v/>
      </c>
      <c r="G935" s="3">
        <f>IF(AND('Data Source'!B935&lt;&gt;"",'Data Source'!S935="F"),IF('Data Source'!Y935&gt;=5,"A+",IF('Data Source'!Y935&gt;=4,"A",IF('Data Source'!Y935&gt;=3.5,"A-",IF('Data Source'!Y935&gt;=3,"B",IF('Data Source'!Y935&gt;=2,"C",IF('Data Source'!Y935&gt;=1,"D","F")))))),"")</f>
        <v/>
      </c>
      <c r="H935" s="3">
        <f>IF(AND('Data Source'!B935&lt;&gt;"",'Data Source'!S935="F"),IF('Data Source'!Z935&gt;=5,"A+",IF('Data Source'!Z935&gt;=4,"A",IF('Data Source'!Z935&gt;=3.5,"A-",IF('Data Source'!Z935&gt;=3,"B",IF('Data Source'!Z935&gt;=2,"C",IF('Data Source'!Z935&gt;=1,"D","F")))))),"")</f>
        <v/>
      </c>
      <c r="I935" s="3">
        <f>IF(AND('Data Source'!B935&lt;&gt;"",'Data Source'!S935="F"),IF('Data Source'!AA935&gt;=5,"A+",IF('Data Source'!AA935&gt;=4,"A",IF('Data Source'!AA935&gt;=3.5,"A-",IF('Data Source'!AA935&gt;=3,"B",IF('Data Source'!AA935&gt;=2,"C",IF('Data Source'!AA935&gt;=1,"D","F")))))),"")</f>
        <v/>
      </c>
      <c r="J935" s="3">
        <f>IF(AND('Data Source'!B935&lt;&gt;"",'Data Source'!S935="F"),IF('Data Source'!AB935&gt;=5,"A+",IF('Data Source'!AB935&gt;=4,"A",IF('Data Source'!AB935&gt;=3.5,"A-",IF('Data Source'!AB935&gt;=3,"B",IF('Data Source'!AB935&gt;=2,"C",IF('Data Source'!AB935&gt;=1,"D","F")))))),"")</f>
        <v/>
      </c>
      <c r="K935" s="3">
        <f>IF(AND('Data Source'!B935&lt;&gt;"",'Data Source'!S935="F"),IF('Data Source'!AC935&gt;=5,"A+",IF('Data Source'!AC935&gt;=4,"A",IF('Data Source'!AC935&gt;=3.5,"A-",IF('Data Source'!AC935&gt;=3,"B",IF('Data Source'!AC935&gt;=2,"C",IF('Data Source'!AC935&gt;=1,"D","F")))))),"")</f>
        <v/>
      </c>
      <c r="L935" s="3">
        <f>IF(AND('Data Source'!B935&lt;&gt;"",'Data Source'!S935="F"),IF('Data Source'!AD935&gt;=5,"A+",IF('Data Source'!AD935&gt;=4,"A",IF('Data Source'!AD935&gt;=3.5,"A-",IF('Data Source'!AD935&gt;=3,"B",IF('Data Source'!AD935&gt;=2,"C",IF('Data Source'!AD935&gt;=1,"D","F")))))),"")</f>
        <v/>
      </c>
      <c r="M935" s="3">
        <f>IF(AND('Data Source'!B935&lt;&gt;"",'Data Source'!S935="F"),IF('Data Source'!AE935&gt;=5,"A+",IF('Data Source'!AE935&gt;=4,"A",IF('Data Source'!AE935&gt;=3.5,"A-",IF('Data Source'!AE935&gt;=3,"B",IF('Data Source'!AE935&gt;=2,"C",IF('Data Source'!AE935&gt;=1,"D","F")))))),"")</f>
        <v/>
      </c>
      <c r="N935" s="3">
        <f>IF(AND('Data Source'!B935&lt;&gt;"",'Data Source'!S935="F"),IF('Data Source'!AF935&gt;=5,"A+",IF('Data Source'!AF935&gt;=4,"A",IF('Data Source'!AF935&gt;=3.5,"A-",IF('Data Source'!AF935&gt;=3,"B",IF('Data Source'!AF935&gt;=2,"C",IF('Data Source'!AF935&gt;=1,"D","F")))))),"")</f>
        <v/>
      </c>
      <c r="O935" s="3">
        <f>IF(AND('Data Source'!B935&lt;&gt;"",'Data Source'!S935="F"),IF('Data Source'!AG935&gt;=5,"A+",IF('Data Source'!AG935&gt;=4,"A",IF('Data Source'!AG935&gt;=3.5,"A-",IF('Data Source'!AG935&gt;=3,"B",IF('Data Source'!AG935&gt;=2,"C",IF('Data Source'!AG935&gt;=1,"D","F")))))),"")</f>
        <v/>
      </c>
      <c r="P935" s="5">
        <f>IF(AND('Data Source'!B935&lt;&gt;"",'Data Source'!S935="F"),'Data Source'!R935,"")</f>
        <v/>
      </c>
      <c r="Q935" s="3">
        <f>IF(AND('Data Source'!B935&lt;&gt;"",'Data Source'!S935="F"),'Data Source'!S935,"")</f>
        <v/>
      </c>
    </row>
    <row r="936">
      <c r="A936" s="3">
        <f>IF(AND('Data Source'!B936&lt;&gt;"",'Data Source'!S936="F"),COUNTIF('Data Source'!$S$3:S936,"F"),"")</f>
        <v/>
      </c>
      <c r="B936">
        <f>IF(AND('Data Source'!B936&lt;&gt;"",'Data Source'!S936="F"),'Data Source'!B936,"")</f>
        <v/>
      </c>
      <c r="C936" s="3">
        <f>IF(AND('Data Source'!B936&lt;&gt;"",'Data Source'!S936="F"),IF('Data Source'!U936&gt;=5,"A+",IF('Data Source'!U936&gt;=4,"A",IF('Data Source'!U936&gt;=3.5,"A-",IF('Data Source'!U936&gt;=3,"B",IF('Data Source'!U936&gt;=2,"C",IF('Data Source'!U936&gt;=1,"D","F")))))),"")</f>
        <v/>
      </c>
      <c r="D936" s="3">
        <f>IF(AND('Data Source'!B936&lt;&gt;"",'Data Source'!S936="F"),IF('Data Source'!V936&gt;=5,"A+",IF('Data Source'!V936&gt;=4,"A",IF('Data Source'!V936&gt;=3.5,"A-",IF('Data Source'!V936&gt;=3,"B",IF('Data Source'!V936&gt;=2,"C",IF('Data Source'!V936&gt;=1,"D","F")))))),"")</f>
        <v/>
      </c>
      <c r="E936" s="3">
        <f>IF(AND('Data Source'!B936&lt;&gt;"",'Data Source'!S936="F"),IF('Data Source'!W936&gt;=5,"A+",IF('Data Source'!W936&gt;=4,"A",IF('Data Source'!W936&gt;=3.5,"A-",IF('Data Source'!W936&gt;=3,"B",IF('Data Source'!W936&gt;=2,"C",IF('Data Source'!W936&gt;=1,"D","F")))))),"")</f>
        <v/>
      </c>
      <c r="F936" s="3">
        <f>IF(AND('Data Source'!B936&lt;&gt;"",'Data Source'!S936="F"),IF('Data Source'!X936&gt;=5,"A+",IF('Data Source'!X936&gt;=4,"A",IF('Data Source'!X936&gt;=3.5,"A-",IF('Data Source'!X936&gt;=3,"B",IF('Data Source'!X936&gt;=2,"C",IF('Data Source'!X936&gt;=1,"D","F")))))),"")</f>
        <v/>
      </c>
      <c r="G936" s="3">
        <f>IF(AND('Data Source'!B936&lt;&gt;"",'Data Source'!S936="F"),IF('Data Source'!Y936&gt;=5,"A+",IF('Data Source'!Y936&gt;=4,"A",IF('Data Source'!Y936&gt;=3.5,"A-",IF('Data Source'!Y936&gt;=3,"B",IF('Data Source'!Y936&gt;=2,"C",IF('Data Source'!Y936&gt;=1,"D","F")))))),"")</f>
        <v/>
      </c>
      <c r="H936" s="3">
        <f>IF(AND('Data Source'!B936&lt;&gt;"",'Data Source'!S936="F"),IF('Data Source'!Z936&gt;=5,"A+",IF('Data Source'!Z936&gt;=4,"A",IF('Data Source'!Z936&gt;=3.5,"A-",IF('Data Source'!Z936&gt;=3,"B",IF('Data Source'!Z936&gt;=2,"C",IF('Data Source'!Z936&gt;=1,"D","F")))))),"")</f>
        <v/>
      </c>
      <c r="I936" s="3">
        <f>IF(AND('Data Source'!B936&lt;&gt;"",'Data Source'!S936="F"),IF('Data Source'!AA936&gt;=5,"A+",IF('Data Source'!AA936&gt;=4,"A",IF('Data Source'!AA936&gt;=3.5,"A-",IF('Data Source'!AA936&gt;=3,"B",IF('Data Source'!AA936&gt;=2,"C",IF('Data Source'!AA936&gt;=1,"D","F")))))),"")</f>
        <v/>
      </c>
      <c r="J936" s="3">
        <f>IF(AND('Data Source'!B936&lt;&gt;"",'Data Source'!S936="F"),IF('Data Source'!AB936&gt;=5,"A+",IF('Data Source'!AB936&gt;=4,"A",IF('Data Source'!AB936&gt;=3.5,"A-",IF('Data Source'!AB936&gt;=3,"B",IF('Data Source'!AB936&gt;=2,"C",IF('Data Source'!AB936&gt;=1,"D","F")))))),"")</f>
        <v/>
      </c>
      <c r="K936" s="3">
        <f>IF(AND('Data Source'!B936&lt;&gt;"",'Data Source'!S936="F"),IF('Data Source'!AC936&gt;=5,"A+",IF('Data Source'!AC936&gt;=4,"A",IF('Data Source'!AC936&gt;=3.5,"A-",IF('Data Source'!AC936&gt;=3,"B",IF('Data Source'!AC936&gt;=2,"C",IF('Data Source'!AC936&gt;=1,"D","F")))))),"")</f>
        <v/>
      </c>
      <c r="L936" s="3">
        <f>IF(AND('Data Source'!B936&lt;&gt;"",'Data Source'!S936="F"),IF('Data Source'!AD936&gt;=5,"A+",IF('Data Source'!AD936&gt;=4,"A",IF('Data Source'!AD936&gt;=3.5,"A-",IF('Data Source'!AD936&gt;=3,"B",IF('Data Source'!AD936&gt;=2,"C",IF('Data Source'!AD936&gt;=1,"D","F")))))),"")</f>
        <v/>
      </c>
      <c r="M936" s="3">
        <f>IF(AND('Data Source'!B936&lt;&gt;"",'Data Source'!S936="F"),IF('Data Source'!AE936&gt;=5,"A+",IF('Data Source'!AE936&gt;=4,"A",IF('Data Source'!AE936&gt;=3.5,"A-",IF('Data Source'!AE936&gt;=3,"B",IF('Data Source'!AE936&gt;=2,"C",IF('Data Source'!AE936&gt;=1,"D","F")))))),"")</f>
        <v/>
      </c>
      <c r="N936" s="3">
        <f>IF(AND('Data Source'!B936&lt;&gt;"",'Data Source'!S936="F"),IF('Data Source'!AF936&gt;=5,"A+",IF('Data Source'!AF936&gt;=4,"A",IF('Data Source'!AF936&gt;=3.5,"A-",IF('Data Source'!AF936&gt;=3,"B",IF('Data Source'!AF936&gt;=2,"C",IF('Data Source'!AF936&gt;=1,"D","F")))))),"")</f>
        <v/>
      </c>
      <c r="O936" s="3">
        <f>IF(AND('Data Source'!B936&lt;&gt;"",'Data Source'!S936="F"),IF('Data Source'!AG936&gt;=5,"A+",IF('Data Source'!AG936&gt;=4,"A",IF('Data Source'!AG936&gt;=3.5,"A-",IF('Data Source'!AG936&gt;=3,"B",IF('Data Source'!AG936&gt;=2,"C",IF('Data Source'!AG936&gt;=1,"D","F")))))),"")</f>
        <v/>
      </c>
      <c r="P936" s="5">
        <f>IF(AND('Data Source'!B936&lt;&gt;"",'Data Source'!S936="F"),'Data Source'!R936,"")</f>
        <v/>
      </c>
      <c r="Q936" s="3">
        <f>IF(AND('Data Source'!B936&lt;&gt;"",'Data Source'!S936="F"),'Data Source'!S936,"")</f>
        <v/>
      </c>
    </row>
    <row r="937">
      <c r="A937" s="3">
        <f>IF(AND('Data Source'!B937&lt;&gt;"",'Data Source'!S937="F"),COUNTIF('Data Source'!$S$3:S937,"F"),"")</f>
        <v/>
      </c>
      <c r="B937">
        <f>IF(AND('Data Source'!B937&lt;&gt;"",'Data Source'!S937="F"),'Data Source'!B937,"")</f>
        <v/>
      </c>
      <c r="C937" s="3">
        <f>IF(AND('Data Source'!B937&lt;&gt;"",'Data Source'!S937="F"),IF('Data Source'!U937&gt;=5,"A+",IF('Data Source'!U937&gt;=4,"A",IF('Data Source'!U937&gt;=3.5,"A-",IF('Data Source'!U937&gt;=3,"B",IF('Data Source'!U937&gt;=2,"C",IF('Data Source'!U937&gt;=1,"D","F")))))),"")</f>
        <v/>
      </c>
      <c r="D937" s="3">
        <f>IF(AND('Data Source'!B937&lt;&gt;"",'Data Source'!S937="F"),IF('Data Source'!V937&gt;=5,"A+",IF('Data Source'!V937&gt;=4,"A",IF('Data Source'!V937&gt;=3.5,"A-",IF('Data Source'!V937&gt;=3,"B",IF('Data Source'!V937&gt;=2,"C",IF('Data Source'!V937&gt;=1,"D","F")))))),"")</f>
        <v/>
      </c>
      <c r="E937" s="3">
        <f>IF(AND('Data Source'!B937&lt;&gt;"",'Data Source'!S937="F"),IF('Data Source'!W937&gt;=5,"A+",IF('Data Source'!W937&gt;=4,"A",IF('Data Source'!W937&gt;=3.5,"A-",IF('Data Source'!W937&gt;=3,"B",IF('Data Source'!W937&gt;=2,"C",IF('Data Source'!W937&gt;=1,"D","F")))))),"")</f>
        <v/>
      </c>
      <c r="F937" s="3">
        <f>IF(AND('Data Source'!B937&lt;&gt;"",'Data Source'!S937="F"),IF('Data Source'!X937&gt;=5,"A+",IF('Data Source'!X937&gt;=4,"A",IF('Data Source'!X937&gt;=3.5,"A-",IF('Data Source'!X937&gt;=3,"B",IF('Data Source'!X937&gt;=2,"C",IF('Data Source'!X937&gt;=1,"D","F")))))),"")</f>
        <v/>
      </c>
      <c r="G937" s="3">
        <f>IF(AND('Data Source'!B937&lt;&gt;"",'Data Source'!S937="F"),IF('Data Source'!Y937&gt;=5,"A+",IF('Data Source'!Y937&gt;=4,"A",IF('Data Source'!Y937&gt;=3.5,"A-",IF('Data Source'!Y937&gt;=3,"B",IF('Data Source'!Y937&gt;=2,"C",IF('Data Source'!Y937&gt;=1,"D","F")))))),"")</f>
        <v/>
      </c>
      <c r="H937" s="3">
        <f>IF(AND('Data Source'!B937&lt;&gt;"",'Data Source'!S937="F"),IF('Data Source'!Z937&gt;=5,"A+",IF('Data Source'!Z937&gt;=4,"A",IF('Data Source'!Z937&gt;=3.5,"A-",IF('Data Source'!Z937&gt;=3,"B",IF('Data Source'!Z937&gt;=2,"C",IF('Data Source'!Z937&gt;=1,"D","F")))))),"")</f>
        <v/>
      </c>
      <c r="I937" s="3">
        <f>IF(AND('Data Source'!B937&lt;&gt;"",'Data Source'!S937="F"),IF('Data Source'!AA937&gt;=5,"A+",IF('Data Source'!AA937&gt;=4,"A",IF('Data Source'!AA937&gt;=3.5,"A-",IF('Data Source'!AA937&gt;=3,"B",IF('Data Source'!AA937&gt;=2,"C",IF('Data Source'!AA937&gt;=1,"D","F")))))),"")</f>
        <v/>
      </c>
      <c r="J937" s="3">
        <f>IF(AND('Data Source'!B937&lt;&gt;"",'Data Source'!S937="F"),IF('Data Source'!AB937&gt;=5,"A+",IF('Data Source'!AB937&gt;=4,"A",IF('Data Source'!AB937&gt;=3.5,"A-",IF('Data Source'!AB937&gt;=3,"B",IF('Data Source'!AB937&gt;=2,"C",IF('Data Source'!AB937&gt;=1,"D","F")))))),"")</f>
        <v/>
      </c>
      <c r="K937" s="3">
        <f>IF(AND('Data Source'!B937&lt;&gt;"",'Data Source'!S937="F"),IF('Data Source'!AC937&gt;=5,"A+",IF('Data Source'!AC937&gt;=4,"A",IF('Data Source'!AC937&gt;=3.5,"A-",IF('Data Source'!AC937&gt;=3,"B",IF('Data Source'!AC937&gt;=2,"C",IF('Data Source'!AC937&gt;=1,"D","F")))))),"")</f>
        <v/>
      </c>
      <c r="L937" s="3">
        <f>IF(AND('Data Source'!B937&lt;&gt;"",'Data Source'!S937="F"),IF('Data Source'!AD937&gt;=5,"A+",IF('Data Source'!AD937&gt;=4,"A",IF('Data Source'!AD937&gt;=3.5,"A-",IF('Data Source'!AD937&gt;=3,"B",IF('Data Source'!AD937&gt;=2,"C",IF('Data Source'!AD937&gt;=1,"D","F")))))),"")</f>
        <v/>
      </c>
      <c r="M937" s="3">
        <f>IF(AND('Data Source'!B937&lt;&gt;"",'Data Source'!S937="F"),IF('Data Source'!AE937&gt;=5,"A+",IF('Data Source'!AE937&gt;=4,"A",IF('Data Source'!AE937&gt;=3.5,"A-",IF('Data Source'!AE937&gt;=3,"B",IF('Data Source'!AE937&gt;=2,"C",IF('Data Source'!AE937&gt;=1,"D","F")))))),"")</f>
        <v/>
      </c>
      <c r="N937" s="3">
        <f>IF(AND('Data Source'!B937&lt;&gt;"",'Data Source'!S937="F"),IF('Data Source'!AF937&gt;=5,"A+",IF('Data Source'!AF937&gt;=4,"A",IF('Data Source'!AF937&gt;=3.5,"A-",IF('Data Source'!AF937&gt;=3,"B",IF('Data Source'!AF937&gt;=2,"C",IF('Data Source'!AF937&gt;=1,"D","F")))))),"")</f>
        <v/>
      </c>
      <c r="O937" s="3">
        <f>IF(AND('Data Source'!B937&lt;&gt;"",'Data Source'!S937="F"),IF('Data Source'!AG937&gt;=5,"A+",IF('Data Source'!AG937&gt;=4,"A",IF('Data Source'!AG937&gt;=3.5,"A-",IF('Data Source'!AG937&gt;=3,"B",IF('Data Source'!AG937&gt;=2,"C",IF('Data Source'!AG937&gt;=1,"D","F")))))),"")</f>
        <v/>
      </c>
      <c r="P937" s="5">
        <f>IF(AND('Data Source'!B937&lt;&gt;"",'Data Source'!S937="F"),'Data Source'!R937,"")</f>
        <v/>
      </c>
      <c r="Q937" s="3">
        <f>IF(AND('Data Source'!B937&lt;&gt;"",'Data Source'!S937="F"),'Data Source'!S937,"")</f>
        <v/>
      </c>
    </row>
    <row r="938">
      <c r="A938" s="3">
        <f>IF(AND('Data Source'!B938&lt;&gt;"",'Data Source'!S938="F"),COUNTIF('Data Source'!$S$3:S938,"F"),"")</f>
        <v/>
      </c>
      <c r="B938">
        <f>IF(AND('Data Source'!B938&lt;&gt;"",'Data Source'!S938="F"),'Data Source'!B938,"")</f>
        <v/>
      </c>
      <c r="C938" s="3">
        <f>IF(AND('Data Source'!B938&lt;&gt;"",'Data Source'!S938="F"),IF('Data Source'!U938&gt;=5,"A+",IF('Data Source'!U938&gt;=4,"A",IF('Data Source'!U938&gt;=3.5,"A-",IF('Data Source'!U938&gt;=3,"B",IF('Data Source'!U938&gt;=2,"C",IF('Data Source'!U938&gt;=1,"D","F")))))),"")</f>
        <v/>
      </c>
      <c r="D938" s="3">
        <f>IF(AND('Data Source'!B938&lt;&gt;"",'Data Source'!S938="F"),IF('Data Source'!V938&gt;=5,"A+",IF('Data Source'!V938&gt;=4,"A",IF('Data Source'!V938&gt;=3.5,"A-",IF('Data Source'!V938&gt;=3,"B",IF('Data Source'!V938&gt;=2,"C",IF('Data Source'!V938&gt;=1,"D","F")))))),"")</f>
        <v/>
      </c>
      <c r="E938" s="3">
        <f>IF(AND('Data Source'!B938&lt;&gt;"",'Data Source'!S938="F"),IF('Data Source'!W938&gt;=5,"A+",IF('Data Source'!W938&gt;=4,"A",IF('Data Source'!W938&gt;=3.5,"A-",IF('Data Source'!W938&gt;=3,"B",IF('Data Source'!W938&gt;=2,"C",IF('Data Source'!W938&gt;=1,"D","F")))))),"")</f>
        <v/>
      </c>
      <c r="F938" s="3">
        <f>IF(AND('Data Source'!B938&lt;&gt;"",'Data Source'!S938="F"),IF('Data Source'!X938&gt;=5,"A+",IF('Data Source'!X938&gt;=4,"A",IF('Data Source'!X938&gt;=3.5,"A-",IF('Data Source'!X938&gt;=3,"B",IF('Data Source'!X938&gt;=2,"C",IF('Data Source'!X938&gt;=1,"D","F")))))),"")</f>
        <v/>
      </c>
      <c r="G938" s="3">
        <f>IF(AND('Data Source'!B938&lt;&gt;"",'Data Source'!S938="F"),IF('Data Source'!Y938&gt;=5,"A+",IF('Data Source'!Y938&gt;=4,"A",IF('Data Source'!Y938&gt;=3.5,"A-",IF('Data Source'!Y938&gt;=3,"B",IF('Data Source'!Y938&gt;=2,"C",IF('Data Source'!Y938&gt;=1,"D","F")))))),"")</f>
        <v/>
      </c>
      <c r="H938" s="3">
        <f>IF(AND('Data Source'!B938&lt;&gt;"",'Data Source'!S938="F"),IF('Data Source'!Z938&gt;=5,"A+",IF('Data Source'!Z938&gt;=4,"A",IF('Data Source'!Z938&gt;=3.5,"A-",IF('Data Source'!Z938&gt;=3,"B",IF('Data Source'!Z938&gt;=2,"C",IF('Data Source'!Z938&gt;=1,"D","F")))))),"")</f>
        <v/>
      </c>
      <c r="I938" s="3">
        <f>IF(AND('Data Source'!B938&lt;&gt;"",'Data Source'!S938="F"),IF('Data Source'!AA938&gt;=5,"A+",IF('Data Source'!AA938&gt;=4,"A",IF('Data Source'!AA938&gt;=3.5,"A-",IF('Data Source'!AA938&gt;=3,"B",IF('Data Source'!AA938&gt;=2,"C",IF('Data Source'!AA938&gt;=1,"D","F")))))),"")</f>
        <v/>
      </c>
      <c r="J938" s="3">
        <f>IF(AND('Data Source'!B938&lt;&gt;"",'Data Source'!S938="F"),IF('Data Source'!AB938&gt;=5,"A+",IF('Data Source'!AB938&gt;=4,"A",IF('Data Source'!AB938&gt;=3.5,"A-",IF('Data Source'!AB938&gt;=3,"B",IF('Data Source'!AB938&gt;=2,"C",IF('Data Source'!AB938&gt;=1,"D","F")))))),"")</f>
        <v/>
      </c>
      <c r="K938" s="3">
        <f>IF(AND('Data Source'!B938&lt;&gt;"",'Data Source'!S938="F"),IF('Data Source'!AC938&gt;=5,"A+",IF('Data Source'!AC938&gt;=4,"A",IF('Data Source'!AC938&gt;=3.5,"A-",IF('Data Source'!AC938&gt;=3,"B",IF('Data Source'!AC938&gt;=2,"C",IF('Data Source'!AC938&gt;=1,"D","F")))))),"")</f>
        <v/>
      </c>
      <c r="L938" s="3">
        <f>IF(AND('Data Source'!B938&lt;&gt;"",'Data Source'!S938="F"),IF('Data Source'!AD938&gt;=5,"A+",IF('Data Source'!AD938&gt;=4,"A",IF('Data Source'!AD938&gt;=3.5,"A-",IF('Data Source'!AD938&gt;=3,"B",IF('Data Source'!AD938&gt;=2,"C",IF('Data Source'!AD938&gt;=1,"D","F")))))),"")</f>
        <v/>
      </c>
      <c r="M938" s="3">
        <f>IF(AND('Data Source'!B938&lt;&gt;"",'Data Source'!S938="F"),IF('Data Source'!AE938&gt;=5,"A+",IF('Data Source'!AE938&gt;=4,"A",IF('Data Source'!AE938&gt;=3.5,"A-",IF('Data Source'!AE938&gt;=3,"B",IF('Data Source'!AE938&gt;=2,"C",IF('Data Source'!AE938&gt;=1,"D","F")))))),"")</f>
        <v/>
      </c>
      <c r="N938" s="3">
        <f>IF(AND('Data Source'!B938&lt;&gt;"",'Data Source'!S938="F"),IF('Data Source'!AF938&gt;=5,"A+",IF('Data Source'!AF938&gt;=4,"A",IF('Data Source'!AF938&gt;=3.5,"A-",IF('Data Source'!AF938&gt;=3,"B",IF('Data Source'!AF938&gt;=2,"C",IF('Data Source'!AF938&gt;=1,"D","F")))))),"")</f>
        <v/>
      </c>
      <c r="O938" s="3">
        <f>IF(AND('Data Source'!B938&lt;&gt;"",'Data Source'!S938="F"),IF('Data Source'!AG938&gt;=5,"A+",IF('Data Source'!AG938&gt;=4,"A",IF('Data Source'!AG938&gt;=3.5,"A-",IF('Data Source'!AG938&gt;=3,"B",IF('Data Source'!AG938&gt;=2,"C",IF('Data Source'!AG938&gt;=1,"D","F")))))),"")</f>
        <v/>
      </c>
      <c r="P938" s="5">
        <f>IF(AND('Data Source'!B938&lt;&gt;"",'Data Source'!S938="F"),'Data Source'!R938,"")</f>
        <v/>
      </c>
      <c r="Q938" s="3">
        <f>IF(AND('Data Source'!B938&lt;&gt;"",'Data Source'!S938="F"),'Data Source'!S938,"")</f>
        <v/>
      </c>
    </row>
    <row r="939">
      <c r="A939" s="3">
        <f>IF(AND('Data Source'!B939&lt;&gt;"",'Data Source'!S939="F"),COUNTIF('Data Source'!$S$3:S939,"F"),"")</f>
        <v/>
      </c>
      <c r="B939">
        <f>IF(AND('Data Source'!B939&lt;&gt;"",'Data Source'!S939="F"),'Data Source'!B939,"")</f>
        <v/>
      </c>
      <c r="C939" s="3">
        <f>IF(AND('Data Source'!B939&lt;&gt;"",'Data Source'!S939="F"),IF('Data Source'!U939&gt;=5,"A+",IF('Data Source'!U939&gt;=4,"A",IF('Data Source'!U939&gt;=3.5,"A-",IF('Data Source'!U939&gt;=3,"B",IF('Data Source'!U939&gt;=2,"C",IF('Data Source'!U939&gt;=1,"D","F")))))),"")</f>
        <v/>
      </c>
      <c r="D939" s="3">
        <f>IF(AND('Data Source'!B939&lt;&gt;"",'Data Source'!S939="F"),IF('Data Source'!V939&gt;=5,"A+",IF('Data Source'!V939&gt;=4,"A",IF('Data Source'!V939&gt;=3.5,"A-",IF('Data Source'!V939&gt;=3,"B",IF('Data Source'!V939&gt;=2,"C",IF('Data Source'!V939&gt;=1,"D","F")))))),"")</f>
        <v/>
      </c>
      <c r="E939" s="3">
        <f>IF(AND('Data Source'!B939&lt;&gt;"",'Data Source'!S939="F"),IF('Data Source'!W939&gt;=5,"A+",IF('Data Source'!W939&gt;=4,"A",IF('Data Source'!W939&gt;=3.5,"A-",IF('Data Source'!W939&gt;=3,"B",IF('Data Source'!W939&gt;=2,"C",IF('Data Source'!W939&gt;=1,"D","F")))))),"")</f>
        <v/>
      </c>
      <c r="F939" s="3">
        <f>IF(AND('Data Source'!B939&lt;&gt;"",'Data Source'!S939="F"),IF('Data Source'!X939&gt;=5,"A+",IF('Data Source'!X939&gt;=4,"A",IF('Data Source'!X939&gt;=3.5,"A-",IF('Data Source'!X939&gt;=3,"B",IF('Data Source'!X939&gt;=2,"C",IF('Data Source'!X939&gt;=1,"D","F")))))),"")</f>
        <v/>
      </c>
      <c r="G939" s="3">
        <f>IF(AND('Data Source'!B939&lt;&gt;"",'Data Source'!S939="F"),IF('Data Source'!Y939&gt;=5,"A+",IF('Data Source'!Y939&gt;=4,"A",IF('Data Source'!Y939&gt;=3.5,"A-",IF('Data Source'!Y939&gt;=3,"B",IF('Data Source'!Y939&gt;=2,"C",IF('Data Source'!Y939&gt;=1,"D","F")))))),"")</f>
        <v/>
      </c>
      <c r="H939" s="3">
        <f>IF(AND('Data Source'!B939&lt;&gt;"",'Data Source'!S939="F"),IF('Data Source'!Z939&gt;=5,"A+",IF('Data Source'!Z939&gt;=4,"A",IF('Data Source'!Z939&gt;=3.5,"A-",IF('Data Source'!Z939&gt;=3,"B",IF('Data Source'!Z939&gt;=2,"C",IF('Data Source'!Z939&gt;=1,"D","F")))))),"")</f>
        <v/>
      </c>
      <c r="I939" s="3">
        <f>IF(AND('Data Source'!B939&lt;&gt;"",'Data Source'!S939="F"),IF('Data Source'!AA939&gt;=5,"A+",IF('Data Source'!AA939&gt;=4,"A",IF('Data Source'!AA939&gt;=3.5,"A-",IF('Data Source'!AA939&gt;=3,"B",IF('Data Source'!AA939&gt;=2,"C",IF('Data Source'!AA939&gt;=1,"D","F")))))),"")</f>
        <v/>
      </c>
      <c r="J939" s="3">
        <f>IF(AND('Data Source'!B939&lt;&gt;"",'Data Source'!S939="F"),IF('Data Source'!AB939&gt;=5,"A+",IF('Data Source'!AB939&gt;=4,"A",IF('Data Source'!AB939&gt;=3.5,"A-",IF('Data Source'!AB939&gt;=3,"B",IF('Data Source'!AB939&gt;=2,"C",IF('Data Source'!AB939&gt;=1,"D","F")))))),"")</f>
        <v/>
      </c>
      <c r="K939" s="3">
        <f>IF(AND('Data Source'!B939&lt;&gt;"",'Data Source'!S939="F"),IF('Data Source'!AC939&gt;=5,"A+",IF('Data Source'!AC939&gt;=4,"A",IF('Data Source'!AC939&gt;=3.5,"A-",IF('Data Source'!AC939&gt;=3,"B",IF('Data Source'!AC939&gt;=2,"C",IF('Data Source'!AC939&gt;=1,"D","F")))))),"")</f>
        <v/>
      </c>
      <c r="L939" s="3">
        <f>IF(AND('Data Source'!B939&lt;&gt;"",'Data Source'!S939="F"),IF('Data Source'!AD939&gt;=5,"A+",IF('Data Source'!AD939&gt;=4,"A",IF('Data Source'!AD939&gt;=3.5,"A-",IF('Data Source'!AD939&gt;=3,"B",IF('Data Source'!AD939&gt;=2,"C",IF('Data Source'!AD939&gt;=1,"D","F")))))),"")</f>
        <v/>
      </c>
      <c r="M939" s="3">
        <f>IF(AND('Data Source'!B939&lt;&gt;"",'Data Source'!S939="F"),IF('Data Source'!AE939&gt;=5,"A+",IF('Data Source'!AE939&gt;=4,"A",IF('Data Source'!AE939&gt;=3.5,"A-",IF('Data Source'!AE939&gt;=3,"B",IF('Data Source'!AE939&gt;=2,"C",IF('Data Source'!AE939&gt;=1,"D","F")))))),"")</f>
        <v/>
      </c>
      <c r="N939" s="3">
        <f>IF(AND('Data Source'!B939&lt;&gt;"",'Data Source'!S939="F"),IF('Data Source'!AF939&gt;=5,"A+",IF('Data Source'!AF939&gt;=4,"A",IF('Data Source'!AF939&gt;=3.5,"A-",IF('Data Source'!AF939&gt;=3,"B",IF('Data Source'!AF939&gt;=2,"C",IF('Data Source'!AF939&gt;=1,"D","F")))))),"")</f>
        <v/>
      </c>
      <c r="O939" s="3">
        <f>IF(AND('Data Source'!B939&lt;&gt;"",'Data Source'!S939="F"),IF('Data Source'!AG939&gt;=5,"A+",IF('Data Source'!AG939&gt;=4,"A",IF('Data Source'!AG939&gt;=3.5,"A-",IF('Data Source'!AG939&gt;=3,"B",IF('Data Source'!AG939&gt;=2,"C",IF('Data Source'!AG939&gt;=1,"D","F")))))),"")</f>
        <v/>
      </c>
      <c r="P939" s="5">
        <f>IF(AND('Data Source'!B939&lt;&gt;"",'Data Source'!S939="F"),'Data Source'!R939,"")</f>
        <v/>
      </c>
      <c r="Q939" s="3">
        <f>IF(AND('Data Source'!B939&lt;&gt;"",'Data Source'!S939="F"),'Data Source'!S939,"")</f>
        <v/>
      </c>
    </row>
    <row r="940">
      <c r="A940" s="3">
        <f>IF(AND('Data Source'!B940&lt;&gt;"",'Data Source'!S940="F"),COUNTIF('Data Source'!$S$3:S940,"F"),"")</f>
        <v/>
      </c>
      <c r="B940">
        <f>IF(AND('Data Source'!B940&lt;&gt;"",'Data Source'!S940="F"),'Data Source'!B940,"")</f>
        <v/>
      </c>
      <c r="C940" s="3">
        <f>IF(AND('Data Source'!B940&lt;&gt;"",'Data Source'!S940="F"),IF('Data Source'!U940&gt;=5,"A+",IF('Data Source'!U940&gt;=4,"A",IF('Data Source'!U940&gt;=3.5,"A-",IF('Data Source'!U940&gt;=3,"B",IF('Data Source'!U940&gt;=2,"C",IF('Data Source'!U940&gt;=1,"D","F")))))),"")</f>
        <v/>
      </c>
      <c r="D940" s="3">
        <f>IF(AND('Data Source'!B940&lt;&gt;"",'Data Source'!S940="F"),IF('Data Source'!V940&gt;=5,"A+",IF('Data Source'!V940&gt;=4,"A",IF('Data Source'!V940&gt;=3.5,"A-",IF('Data Source'!V940&gt;=3,"B",IF('Data Source'!V940&gt;=2,"C",IF('Data Source'!V940&gt;=1,"D","F")))))),"")</f>
        <v/>
      </c>
      <c r="E940" s="3">
        <f>IF(AND('Data Source'!B940&lt;&gt;"",'Data Source'!S940="F"),IF('Data Source'!W940&gt;=5,"A+",IF('Data Source'!W940&gt;=4,"A",IF('Data Source'!W940&gt;=3.5,"A-",IF('Data Source'!W940&gt;=3,"B",IF('Data Source'!W940&gt;=2,"C",IF('Data Source'!W940&gt;=1,"D","F")))))),"")</f>
        <v/>
      </c>
      <c r="F940" s="3">
        <f>IF(AND('Data Source'!B940&lt;&gt;"",'Data Source'!S940="F"),IF('Data Source'!X940&gt;=5,"A+",IF('Data Source'!X940&gt;=4,"A",IF('Data Source'!X940&gt;=3.5,"A-",IF('Data Source'!X940&gt;=3,"B",IF('Data Source'!X940&gt;=2,"C",IF('Data Source'!X940&gt;=1,"D","F")))))),"")</f>
        <v/>
      </c>
      <c r="G940" s="3">
        <f>IF(AND('Data Source'!B940&lt;&gt;"",'Data Source'!S940="F"),IF('Data Source'!Y940&gt;=5,"A+",IF('Data Source'!Y940&gt;=4,"A",IF('Data Source'!Y940&gt;=3.5,"A-",IF('Data Source'!Y940&gt;=3,"B",IF('Data Source'!Y940&gt;=2,"C",IF('Data Source'!Y940&gt;=1,"D","F")))))),"")</f>
        <v/>
      </c>
      <c r="H940" s="3">
        <f>IF(AND('Data Source'!B940&lt;&gt;"",'Data Source'!S940="F"),IF('Data Source'!Z940&gt;=5,"A+",IF('Data Source'!Z940&gt;=4,"A",IF('Data Source'!Z940&gt;=3.5,"A-",IF('Data Source'!Z940&gt;=3,"B",IF('Data Source'!Z940&gt;=2,"C",IF('Data Source'!Z940&gt;=1,"D","F")))))),"")</f>
        <v/>
      </c>
      <c r="I940" s="3">
        <f>IF(AND('Data Source'!B940&lt;&gt;"",'Data Source'!S940="F"),IF('Data Source'!AA940&gt;=5,"A+",IF('Data Source'!AA940&gt;=4,"A",IF('Data Source'!AA940&gt;=3.5,"A-",IF('Data Source'!AA940&gt;=3,"B",IF('Data Source'!AA940&gt;=2,"C",IF('Data Source'!AA940&gt;=1,"D","F")))))),"")</f>
        <v/>
      </c>
      <c r="J940" s="3">
        <f>IF(AND('Data Source'!B940&lt;&gt;"",'Data Source'!S940="F"),IF('Data Source'!AB940&gt;=5,"A+",IF('Data Source'!AB940&gt;=4,"A",IF('Data Source'!AB940&gt;=3.5,"A-",IF('Data Source'!AB940&gt;=3,"B",IF('Data Source'!AB940&gt;=2,"C",IF('Data Source'!AB940&gt;=1,"D","F")))))),"")</f>
        <v/>
      </c>
      <c r="K940" s="3">
        <f>IF(AND('Data Source'!B940&lt;&gt;"",'Data Source'!S940="F"),IF('Data Source'!AC940&gt;=5,"A+",IF('Data Source'!AC940&gt;=4,"A",IF('Data Source'!AC940&gt;=3.5,"A-",IF('Data Source'!AC940&gt;=3,"B",IF('Data Source'!AC940&gt;=2,"C",IF('Data Source'!AC940&gt;=1,"D","F")))))),"")</f>
        <v/>
      </c>
      <c r="L940" s="3">
        <f>IF(AND('Data Source'!B940&lt;&gt;"",'Data Source'!S940="F"),IF('Data Source'!AD940&gt;=5,"A+",IF('Data Source'!AD940&gt;=4,"A",IF('Data Source'!AD940&gt;=3.5,"A-",IF('Data Source'!AD940&gt;=3,"B",IF('Data Source'!AD940&gt;=2,"C",IF('Data Source'!AD940&gt;=1,"D","F")))))),"")</f>
        <v/>
      </c>
      <c r="M940" s="3">
        <f>IF(AND('Data Source'!B940&lt;&gt;"",'Data Source'!S940="F"),IF('Data Source'!AE940&gt;=5,"A+",IF('Data Source'!AE940&gt;=4,"A",IF('Data Source'!AE940&gt;=3.5,"A-",IF('Data Source'!AE940&gt;=3,"B",IF('Data Source'!AE940&gt;=2,"C",IF('Data Source'!AE940&gt;=1,"D","F")))))),"")</f>
        <v/>
      </c>
      <c r="N940" s="3">
        <f>IF(AND('Data Source'!B940&lt;&gt;"",'Data Source'!S940="F"),IF('Data Source'!AF940&gt;=5,"A+",IF('Data Source'!AF940&gt;=4,"A",IF('Data Source'!AF940&gt;=3.5,"A-",IF('Data Source'!AF940&gt;=3,"B",IF('Data Source'!AF940&gt;=2,"C",IF('Data Source'!AF940&gt;=1,"D","F")))))),"")</f>
        <v/>
      </c>
      <c r="O940" s="3">
        <f>IF(AND('Data Source'!B940&lt;&gt;"",'Data Source'!S940="F"),IF('Data Source'!AG940&gt;=5,"A+",IF('Data Source'!AG940&gt;=4,"A",IF('Data Source'!AG940&gt;=3.5,"A-",IF('Data Source'!AG940&gt;=3,"B",IF('Data Source'!AG940&gt;=2,"C",IF('Data Source'!AG940&gt;=1,"D","F")))))),"")</f>
        <v/>
      </c>
      <c r="P940" s="5">
        <f>IF(AND('Data Source'!B940&lt;&gt;"",'Data Source'!S940="F"),'Data Source'!R940,"")</f>
        <v/>
      </c>
      <c r="Q940" s="3">
        <f>IF(AND('Data Source'!B940&lt;&gt;"",'Data Source'!S940="F"),'Data Source'!S940,"")</f>
        <v/>
      </c>
    </row>
    <row r="941">
      <c r="A941" s="3">
        <f>IF(AND('Data Source'!B941&lt;&gt;"",'Data Source'!S941="F"),COUNTIF('Data Source'!$S$3:S941,"F"),"")</f>
        <v/>
      </c>
      <c r="B941">
        <f>IF(AND('Data Source'!B941&lt;&gt;"",'Data Source'!S941="F"),'Data Source'!B941,"")</f>
        <v/>
      </c>
      <c r="C941" s="3">
        <f>IF(AND('Data Source'!B941&lt;&gt;"",'Data Source'!S941="F"),IF('Data Source'!U941&gt;=5,"A+",IF('Data Source'!U941&gt;=4,"A",IF('Data Source'!U941&gt;=3.5,"A-",IF('Data Source'!U941&gt;=3,"B",IF('Data Source'!U941&gt;=2,"C",IF('Data Source'!U941&gt;=1,"D","F")))))),"")</f>
        <v/>
      </c>
      <c r="D941" s="3">
        <f>IF(AND('Data Source'!B941&lt;&gt;"",'Data Source'!S941="F"),IF('Data Source'!V941&gt;=5,"A+",IF('Data Source'!V941&gt;=4,"A",IF('Data Source'!V941&gt;=3.5,"A-",IF('Data Source'!V941&gt;=3,"B",IF('Data Source'!V941&gt;=2,"C",IF('Data Source'!V941&gt;=1,"D","F")))))),"")</f>
        <v/>
      </c>
      <c r="E941" s="3">
        <f>IF(AND('Data Source'!B941&lt;&gt;"",'Data Source'!S941="F"),IF('Data Source'!W941&gt;=5,"A+",IF('Data Source'!W941&gt;=4,"A",IF('Data Source'!W941&gt;=3.5,"A-",IF('Data Source'!W941&gt;=3,"B",IF('Data Source'!W941&gt;=2,"C",IF('Data Source'!W941&gt;=1,"D","F")))))),"")</f>
        <v/>
      </c>
      <c r="F941" s="3">
        <f>IF(AND('Data Source'!B941&lt;&gt;"",'Data Source'!S941="F"),IF('Data Source'!X941&gt;=5,"A+",IF('Data Source'!X941&gt;=4,"A",IF('Data Source'!X941&gt;=3.5,"A-",IF('Data Source'!X941&gt;=3,"B",IF('Data Source'!X941&gt;=2,"C",IF('Data Source'!X941&gt;=1,"D","F")))))),"")</f>
        <v/>
      </c>
      <c r="G941" s="3">
        <f>IF(AND('Data Source'!B941&lt;&gt;"",'Data Source'!S941="F"),IF('Data Source'!Y941&gt;=5,"A+",IF('Data Source'!Y941&gt;=4,"A",IF('Data Source'!Y941&gt;=3.5,"A-",IF('Data Source'!Y941&gt;=3,"B",IF('Data Source'!Y941&gt;=2,"C",IF('Data Source'!Y941&gt;=1,"D","F")))))),"")</f>
        <v/>
      </c>
      <c r="H941" s="3">
        <f>IF(AND('Data Source'!B941&lt;&gt;"",'Data Source'!S941="F"),IF('Data Source'!Z941&gt;=5,"A+",IF('Data Source'!Z941&gt;=4,"A",IF('Data Source'!Z941&gt;=3.5,"A-",IF('Data Source'!Z941&gt;=3,"B",IF('Data Source'!Z941&gt;=2,"C",IF('Data Source'!Z941&gt;=1,"D","F")))))),"")</f>
        <v/>
      </c>
      <c r="I941" s="3">
        <f>IF(AND('Data Source'!B941&lt;&gt;"",'Data Source'!S941="F"),IF('Data Source'!AA941&gt;=5,"A+",IF('Data Source'!AA941&gt;=4,"A",IF('Data Source'!AA941&gt;=3.5,"A-",IF('Data Source'!AA941&gt;=3,"B",IF('Data Source'!AA941&gt;=2,"C",IF('Data Source'!AA941&gt;=1,"D","F")))))),"")</f>
        <v/>
      </c>
      <c r="J941" s="3">
        <f>IF(AND('Data Source'!B941&lt;&gt;"",'Data Source'!S941="F"),IF('Data Source'!AB941&gt;=5,"A+",IF('Data Source'!AB941&gt;=4,"A",IF('Data Source'!AB941&gt;=3.5,"A-",IF('Data Source'!AB941&gt;=3,"B",IF('Data Source'!AB941&gt;=2,"C",IF('Data Source'!AB941&gt;=1,"D","F")))))),"")</f>
        <v/>
      </c>
      <c r="K941" s="3">
        <f>IF(AND('Data Source'!B941&lt;&gt;"",'Data Source'!S941="F"),IF('Data Source'!AC941&gt;=5,"A+",IF('Data Source'!AC941&gt;=4,"A",IF('Data Source'!AC941&gt;=3.5,"A-",IF('Data Source'!AC941&gt;=3,"B",IF('Data Source'!AC941&gt;=2,"C",IF('Data Source'!AC941&gt;=1,"D","F")))))),"")</f>
        <v/>
      </c>
      <c r="L941" s="3">
        <f>IF(AND('Data Source'!B941&lt;&gt;"",'Data Source'!S941="F"),IF('Data Source'!AD941&gt;=5,"A+",IF('Data Source'!AD941&gt;=4,"A",IF('Data Source'!AD941&gt;=3.5,"A-",IF('Data Source'!AD941&gt;=3,"B",IF('Data Source'!AD941&gt;=2,"C",IF('Data Source'!AD941&gt;=1,"D","F")))))),"")</f>
        <v/>
      </c>
      <c r="M941" s="3">
        <f>IF(AND('Data Source'!B941&lt;&gt;"",'Data Source'!S941="F"),IF('Data Source'!AE941&gt;=5,"A+",IF('Data Source'!AE941&gt;=4,"A",IF('Data Source'!AE941&gt;=3.5,"A-",IF('Data Source'!AE941&gt;=3,"B",IF('Data Source'!AE941&gt;=2,"C",IF('Data Source'!AE941&gt;=1,"D","F")))))),"")</f>
        <v/>
      </c>
      <c r="N941" s="3">
        <f>IF(AND('Data Source'!B941&lt;&gt;"",'Data Source'!S941="F"),IF('Data Source'!AF941&gt;=5,"A+",IF('Data Source'!AF941&gt;=4,"A",IF('Data Source'!AF941&gt;=3.5,"A-",IF('Data Source'!AF941&gt;=3,"B",IF('Data Source'!AF941&gt;=2,"C",IF('Data Source'!AF941&gt;=1,"D","F")))))),"")</f>
        <v/>
      </c>
      <c r="O941" s="3">
        <f>IF(AND('Data Source'!B941&lt;&gt;"",'Data Source'!S941="F"),IF('Data Source'!AG941&gt;=5,"A+",IF('Data Source'!AG941&gt;=4,"A",IF('Data Source'!AG941&gt;=3.5,"A-",IF('Data Source'!AG941&gt;=3,"B",IF('Data Source'!AG941&gt;=2,"C",IF('Data Source'!AG941&gt;=1,"D","F")))))),"")</f>
        <v/>
      </c>
      <c r="P941" s="5">
        <f>IF(AND('Data Source'!B941&lt;&gt;"",'Data Source'!S941="F"),'Data Source'!R941,"")</f>
        <v/>
      </c>
      <c r="Q941" s="3">
        <f>IF(AND('Data Source'!B941&lt;&gt;"",'Data Source'!S941="F"),'Data Source'!S941,"")</f>
        <v/>
      </c>
    </row>
    <row r="942">
      <c r="A942" s="3">
        <f>IF(AND('Data Source'!B942&lt;&gt;"",'Data Source'!S942="F"),COUNTIF('Data Source'!$S$3:S942,"F"),"")</f>
        <v/>
      </c>
      <c r="B942">
        <f>IF(AND('Data Source'!B942&lt;&gt;"",'Data Source'!S942="F"),'Data Source'!B942,"")</f>
        <v/>
      </c>
      <c r="C942" s="3">
        <f>IF(AND('Data Source'!B942&lt;&gt;"",'Data Source'!S942="F"),IF('Data Source'!U942&gt;=5,"A+",IF('Data Source'!U942&gt;=4,"A",IF('Data Source'!U942&gt;=3.5,"A-",IF('Data Source'!U942&gt;=3,"B",IF('Data Source'!U942&gt;=2,"C",IF('Data Source'!U942&gt;=1,"D","F")))))),"")</f>
        <v/>
      </c>
      <c r="D942" s="3">
        <f>IF(AND('Data Source'!B942&lt;&gt;"",'Data Source'!S942="F"),IF('Data Source'!V942&gt;=5,"A+",IF('Data Source'!V942&gt;=4,"A",IF('Data Source'!V942&gt;=3.5,"A-",IF('Data Source'!V942&gt;=3,"B",IF('Data Source'!V942&gt;=2,"C",IF('Data Source'!V942&gt;=1,"D","F")))))),"")</f>
        <v/>
      </c>
      <c r="E942" s="3">
        <f>IF(AND('Data Source'!B942&lt;&gt;"",'Data Source'!S942="F"),IF('Data Source'!W942&gt;=5,"A+",IF('Data Source'!W942&gt;=4,"A",IF('Data Source'!W942&gt;=3.5,"A-",IF('Data Source'!W942&gt;=3,"B",IF('Data Source'!W942&gt;=2,"C",IF('Data Source'!W942&gt;=1,"D","F")))))),"")</f>
        <v/>
      </c>
      <c r="F942" s="3">
        <f>IF(AND('Data Source'!B942&lt;&gt;"",'Data Source'!S942="F"),IF('Data Source'!X942&gt;=5,"A+",IF('Data Source'!X942&gt;=4,"A",IF('Data Source'!X942&gt;=3.5,"A-",IF('Data Source'!X942&gt;=3,"B",IF('Data Source'!X942&gt;=2,"C",IF('Data Source'!X942&gt;=1,"D","F")))))),"")</f>
        <v/>
      </c>
      <c r="G942" s="3">
        <f>IF(AND('Data Source'!B942&lt;&gt;"",'Data Source'!S942="F"),IF('Data Source'!Y942&gt;=5,"A+",IF('Data Source'!Y942&gt;=4,"A",IF('Data Source'!Y942&gt;=3.5,"A-",IF('Data Source'!Y942&gt;=3,"B",IF('Data Source'!Y942&gt;=2,"C",IF('Data Source'!Y942&gt;=1,"D","F")))))),"")</f>
        <v/>
      </c>
      <c r="H942" s="3">
        <f>IF(AND('Data Source'!B942&lt;&gt;"",'Data Source'!S942="F"),IF('Data Source'!Z942&gt;=5,"A+",IF('Data Source'!Z942&gt;=4,"A",IF('Data Source'!Z942&gt;=3.5,"A-",IF('Data Source'!Z942&gt;=3,"B",IF('Data Source'!Z942&gt;=2,"C",IF('Data Source'!Z942&gt;=1,"D","F")))))),"")</f>
        <v/>
      </c>
      <c r="I942" s="3">
        <f>IF(AND('Data Source'!B942&lt;&gt;"",'Data Source'!S942="F"),IF('Data Source'!AA942&gt;=5,"A+",IF('Data Source'!AA942&gt;=4,"A",IF('Data Source'!AA942&gt;=3.5,"A-",IF('Data Source'!AA942&gt;=3,"B",IF('Data Source'!AA942&gt;=2,"C",IF('Data Source'!AA942&gt;=1,"D","F")))))),"")</f>
        <v/>
      </c>
      <c r="J942" s="3">
        <f>IF(AND('Data Source'!B942&lt;&gt;"",'Data Source'!S942="F"),IF('Data Source'!AB942&gt;=5,"A+",IF('Data Source'!AB942&gt;=4,"A",IF('Data Source'!AB942&gt;=3.5,"A-",IF('Data Source'!AB942&gt;=3,"B",IF('Data Source'!AB942&gt;=2,"C",IF('Data Source'!AB942&gt;=1,"D","F")))))),"")</f>
        <v/>
      </c>
      <c r="K942" s="3">
        <f>IF(AND('Data Source'!B942&lt;&gt;"",'Data Source'!S942="F"),IF('Data Source'!AC942&gt;=5,"A+",IF('Data Source'!AC942&gt;=4,"A",IF('Data Source'!AC942&gt;=3.5,"A-",IF('Data Source'!AC942&gt;=3,"B",IF('Data Source'!AC942&gt;=2,"C",IF('Data Source'!AC942&gt;=1,"D","F")))))),"")</f>
        <v/>
      </c>
      <c r="L942" s="3">
        <f>IF(AND('Data Source'!B942&lt;&gt;"",'Data Source'!S942="F"),IF('Data Source'!AD942&gt;=5,"A+",IF('Data Source'!AD942&gt;=4,"A",IF('Data Source'!AD942&gt;=3.5,"A-",IF('Data Source'!AD942&gt;=3,"B",IF('Data Source'!AD942&gt;=2,"C",IF('Data Source'!AD942&gt;=1,"D","F")))))),"")</f>
        <v/>
      </c>
      <c r="M942" s="3">
        <f>IF(AND('Data Source'!B942&lt;&gt;"",'Data Source'!S942="F"),IF('Data Source'!AE942&gt;=5,"A+",IF('Data Source'!AE942&gt;=4,"A",IF('Data Source'!AE942&gt;=3.5,"A-",IF('Data Source'!AE942&gt;=3,"B",IF('Data Source'!AE942&gt;=2,"C",IF('Data Source'!AE942&gt;=1,"D","F")))))),"")</f>
        <v/>
      </c>
      <c r="N942" s="3">
        <f>IF(AND('Data Source'!B942&lt;&gt;"",'Data Source'!S942="F"),IF('Data Source'!AF942&gt;=5,"A+",IF('Data Source'!AF942&gt;=4,"A",IF('Data Source'!AF942&gt;=3.5,"A-",IF('Data Source'!AF942&gt;=3,"B",IF('Data Source'!AF942&gt;=2,"C",IF('Data Source'!AF942&gt;=1,"D","F")))))),"")</f>
        <v/>
      </c>
      <c r="O942" s="3">
        <f>IF(AND('Data Source'!B942&lt;&gt;"",'Data Source'!S942="F"),IF('Data Source'!AG942&gt;=5,"A+",IF('Data Source'!AG942&gt;=4,"A",IF('Data Source'!AG942&gt;=3.5,"A-",IF('Data Source'!AG942&gt;=3,"B",IF('Data Source'!AG942&gt;=2,"C",IF('Data Source'!AG942&gt;=1,"D","F")))))),"")</f>
        <v/>
      </c>
      <c r="P942" s="5">
        <f>IF(AND('Data Source'!B942&lt;&gt;"",'Data Source'!S942="F"),'Data Source'!R942,"")</f>
        <v/>
      </c>
      <c r="Q942" s="3">
        <f>IF(AND('Data Source'!B942&lt;&gt;"",'Data Source'!S942="F"),'Data Source'!S942,"")</f>
        <v/>
      </c>
    </row>
    <row r="943">
      <c r="A943" s="3">
        <f>IF(AND('Data Source'!B943&lt;&gt;"",'Data Source'!S943="F"),COUNTIF('Data Source'!$S$3:S943,"F"),"")</f>
        <v/>
      </c>
      <c r="B943">
        <f>IF(AND('Data Source'!B943&lt;&gt;"",'Data Source'!S943="F"),'Data Source'!B943,"")</f>
        <v/>
      </c>
      <c r="C943" s="3">
        <f>IF(AND('Data Source'!B943&lt;&gt;"",'Data Source'!S943="F"),IF('Data Source'!U943&gt;=5,"A+",IF('Data Source'!U943&gt;=4,"A",IF('Data Source'!U943&gt;=3.5,"A-",IF('Data Source'!U943&gt;=3,"B",IF('Data Source'!U943&gt;=2,"C",IF('Data Source'!U943&gt;=1,"D","F")))))),"")</f>
        <v/>
      </c>
      <c r="D943" s="3">
        <f>IF(AND('Data Source'!B943&lt;&gt;"",'Data Source'!S943="F"),IF('Data Source'!V943&gt;=5,"A+",IF('Data Source'!V943&gt;=4,"A",IF('Data Source'!V943&gt;=3.5,"A-",IF('Data Source'!V943&gt;=3,"B",IF('Data Source'!V943&gt;=2,"C",IF('Data Source'!V943&gt;=1,"D","F")))))),"")</f>
        <v/>
      </c>
      <c r="E943" s="3">
        <f>IF(AND('Data Source'!B943&lt;&gt;"",'Data Source'!S943="F"),IF('Data Source'!W943&gt;=5,"A+",IF('Data Source'!W943&gt;=4,"A",IF('Data Source'!W943&gt;=3.5,"A-",IF('Data Source'!W943&gt;=3,"B",IF('Data Source'!W943&gt;=2,"C",IF('Data Source'!W943&gt;=1,"D","F")))))),"")</f>
        <v/>
      </c>
      <c r="F943" s="3">
        <f>IF(AND('Data Source'!B943&lt;&gt;"",'Data Source'!S943="F"),IF('Data Source'!X943&gt;=5,"A+",IF('Data Source'!X943&gt;=4,"A",IF('Data Source'!X943&gt;=3.5,"A-",IF('Data Source'!X943&gt;=3,"B",IF('Data Source'!X943&gt;=2,"C",IF('Data Source'!X943&gt;=1,"D","F")))))),"")</f>
        <v/>
      </c>
      <c r="G943" s="3">
        <f>IF(AND('Data Source'!B943&lt;&gt;"",'Data Source'!S943="F"),IF('Data Source'!Y943&gt;=5,"A+",IF('Data Source'!Y943&gt;=4,"A",IF('Data Source'!Y943&gt;=3.5,"A-",IF('Data Source'!Y943&gt;=3,"B",IF('Data Source'!Y943&gt;=2,"C",IF('Data Source'!Y943&gt;=1,"D","F")))))),"")</f>
        <v/>
      </c>
      <c r="H943" s="3">
        <f>IF(AND('Data Source'!B943&lt;&gt;"",'Data Source'!S943="F"),IF('Data Source'!Z943&gt;=5,"A+",IF('Data Source'!Z943&gt;=4,"A",IF('Data Source'!Z943&gt;=3.5,"A-",IF('Data Source'!Z943&gt;=3,"B",IF('Data Source'!Z943&gt;=2,"C",IF('Data Source'!Z943&gt;=1,"D","F")))))),"")</f>
        <v/>
      </c>
      <c r="I943" s="3">
        <f>IF(AND('Data Source'!B943&lt;&gt;"",'Data Source'!S943="F"),IF('Data Source'!AA943&gt;=5,"A+",IF('Data Source'!AA943&gt;=4,"A",IF('Data Source'!AA943&gt;=3.5,"A-",IF('Data Source'!AA943&gt;=3,"B",IF('Data Source'!AA943&gt;=2,"C",IF('Data Source'!AA943&gt;=1,"D","F")))))),"")</f>
        <v/>
      </c>
      <c r="J943" s="3">
        <f>IF(AND('Data Source'!B943&lt;&gt;"",'Data Source'!S943="F"),IF('Data Source'!AB943&gt;=5,"A+",IF('Data Source'!AB943&gt;=4,"A",IF('Data Source'!AB943&gt;=3.5,"A-",IF('Data Source'!AB943&gt;=3,"B",IF('Data Source'!AB943&gt;=2,"C",IF('Data Source'!AB943&gt;=1,"D","F")))))),"")</f>
        <v/>
      </c>
      <c r="K943" s="3">
        <f>IF(AND('Data Source'!B943&lt;&gt;"",'Data Source'!S943="F"),IF('Data Source'!AC943&gt;=5,"A+",IF('Data Source'!AC943&gt;=4,"A",IF('Data Source'!AC943&gt;=3.5,"A-",IF('Data Source'!AC943&gt;=3,"B",IF('Data Source'!AC943&gt;=2,"C",IF('Data Source'!AC943&gt;=1,"D","F")))))),"")</f>
        <v/>
      </c>
      <c r="L943" s="3">
        <f>IF(AND('Data Source'!B943&lt;&gt;"",'Data Source'!S943="F"),IF('Data Source'!AD943&gt;=5,"A+",IF('Data Source'!AD943&gt;=4,"A",IF('Data Source'!AD943&gt;=3.5,"A-",IF('Data Source'!AD943&gt;=3,"B",IF('Data Source'!AD943&gt;=2,"C",IF('Data Source'!AD943&gt;=1,"D","F")))))),"")</f>
        <v/>
      </c>
      <c r="M943" s="3">
        <f>IF(AND('Data Source'!B943&lt;&gt;"",'Data Source'!S943="F"),IF('Data Source'!AE943&gt;=5,"A+",IF('Data Source'!AE943&gt;=4,"A",IF('Data Source'!AE943&gt;=3.5,"A-",IF('Data Source'!AE943&gt;=3,"B",IF('Data Source'!AE943&gt;=2,"C",IF('Data Source'!AE943&gt;=1,"D","F")))))),"")</f>
        <v/>
      </c>
      <c r="N943" s="3">
        <f>IF(AND('Data Source'!B943&lt;&gt;"",'Data Source'!S943="F"),IF('Data Source'!AF943&gt;=5,"A+",IF('Data Source'!AF943&gt;=4,"A",IF('Data Source'!AF943&gt;=3.5,"A-",IF('Data Source'!AF943&gt;=3,"B",IF('Data Source'!AF943&gt;=2,"C",IF('Data Source'!AF943&gt;=1,"D","F")))))),"")</f>
        <v/>
      </c>
      <c r="O943" s="3">
        <f>IF(AND('Data Source'!B943&lt;&gt;"",'Data Source'!S943="F"),IF('Data Source'!AG943&gt;=5,"A+",IF('Data Source'!AG943&gt;=4,"A",IF('Data Source'!AG943&gt;=3.5,"A-",IF('Data Source'!AG943&gt;=3,"B",IF('Data Source'!AG943&gt;=2,"C",IF('Data Source'!AG943&gt;=1,"D","F")))))),"")</f>
        <v/>
      </c>
      <c r="P943" s="5">
        <f>IF(AND('Data Source'!B943&lt;&gt;"",'Data Source'!S943="F"),'Data Source'!R943,"")</f>
        <v/>
      </c>
      <c r="Q943" s="3">
        <f>IF(AND('Data Source'!B943&lt;&gt;"",'Data Source'!S943="F"),'Data Source'!S943,"")</f>
        <v/>
      </c>
    </row>
    <row r="944">
      <c r="A944" s="3">
        <f>IF(AND('Data Source'!B944&lt;&gt;"",'Data Source'!S944="F"),COUNTIF('Data Source'!$S$3:S944,"F"),"")</f>
        <v/>
      </c>
      <c r="B944">
        <f>IF(AND('Data Source'!B944&lt;&gt;"",'Data Source'!S944="F"),'Data Source'!B944,"")</f>
        <v/>
      </c>
      <c r="C944" s="3">
        <f>IF(AND('Data Source'!B944&lt;&gt;"",'Data Source'!S944="F"),IF('Data Source'!U944&gt;=5,"A+",IF('Data Source'!U944&gt;=4,"A",IF('Data Source'!U944&gt;=3.5,"A-",IF('Data Source'!U944&gt;=3,"B",IF('Data Source'!U944&gt;=2,"C",IF('Data Source'!U944&gt;=1,"D","F")))))),"")</f>
        <v/>
      </c>
      <c r="D944" s="3">
        <f>IF(AND('Data Source'!B944&lt;&gt;"",'Data Source'!S944="F"),IF('Data Source'!V944&gt;=5,"A+",IF('Data Source'!V944&gt;=4,"A",IF('Data Source'!V944&gt;=3.5,"A-",IF('Data Source'!V944&gt;=3,"B",IF('Data Source'!V944&gt;=2,"C",IF('Data Source'!V944&gt;=1,"D","F")))))),"")</f>
        <v/>
      </c>
      <c r="E944" s="3">
        <f>IF(AND('Data Source'!B944&lt;&gt;"",'Data Source'!S944="F"),IF('Data Source'!W944&gt;=5,"A+",IF('Data Source'!W944&gt;=4,"A",IF('Data Source'!W944&gt;=3.5,"A-",IF('Data Source'!W944&gt;=3,"B",IF('Data Source'!W944&gt;=2,"C",IF('Data Source'!W944&gt;=1,"D","F")))))),"")</f>
        <v/>
      </c>
      <c r="F944" s="3">
        <f>IF(AND('Data Source'!B944&lt;&gt;"",'Data Source'!S944="F"),IF('Data Source'!X944&gt;=5,"A+",IF('Data Source'!X944&gt;=4,"A",IF('Data Source'!X944&gt;=3.5,"A-",IF('Data Source'!X944&gt;=3,"B",IF('Data Source'!X944&gt;=2,"C",IF('Data Source'!X944&gt;=1,"D","F")))))),"")</f>
        <v/>
      </c>
      <c r="G944" s="3">
        <f>IF(AND('Data Source'!B944&lt;&gt;"",'Data Source'!S944="F"),IF('Data Source'!Y944&gt;=5,"A+",IF('Data Source'!Y944&gt;=4,"A",IF('Data Source'!Y944&gt;=3.5,"A-",IF('Data Source'!Y944&gt;=3,"B",IF('Data Source'!Y944&gt;=2,"C",IF('Data Source'!Y944&gt;=1,"D","F")))))),"")</f>
        <v/>
      </c>
      <c r="H944" s="3">
        <f>IF(AND('Data Source'!B944&lt;&gt;"",'Data Source'!S944="F"),IF('Data Source'!Z944&gt;=5,"A+",IF('Data Source'!Z944&gt;=4,"A",IF('Data Source'!Z944&gt;=3.5,"A-",IF('Data Source'!Z944&gt;=3,"B",IF('Data Source'!Z944&gt;=2,"C",IF('Data Source'!Z944&gt;=1,"D","F")))))),"")</f>
        <v/>
      </c>
      <c r="I944" s="3">
        <f>IF(AND('Data Source'!B944&lt;&gt;"",'Data Source'!S944="F"),IF('Data Source'!AA944&gt;=5,"A+",IF('Data Source'!AA944&gt;=4,"A",IF('Data Source'!AA944&gt;=3.5,"A-",IF('Data Source'!AA944&gt;=3,"B",IF('Data Source'!AA944&gt;=2,"C",IF('Data Source'!AA944&gt;=1,"D","F")))))),"")</f>
        <v/>
      </c>
      <c r="J944" s="3">
        <f>IF(AND('Data Source'!B944&lt;&gt;"",'Data Source'!S944="F"),IF('Data Source'!AB944&gt;=5,"A+",IF('Data Source'!AB944&gt;=4,"A",IF('Data Source'!AB944&gt;=3.5,"A-",IF('Data Source'!AB944&gt;=3,"B",IF('Data Source'!AB944&gt;=2,"C",IF('Data Source'!AB944&gt;=1,"D","F")))))),"")</f>
        <v/>
      </c>
      <c r="K944" s="3">
        <f>IF(AND('Data Source'!B944&lt;&gt;"",'Data Source'!S944="F"),IF('Data Source'!AC944&gt;=5,"A+",IF('Data Source'!AC944&gt;=4,"A",IF('Data Source'!AC944&gt;=3.5,"A-",IF('Data Source'!AC944&gt;=3,"B",IF('Data Source'!AC944&gt;=2,"C",IF('Data Source'!AC944&gt;=1,"D","F")))))),"")</f>
        <v/>
      </c>
      <c r="L944" s="3">
        <f>IF(AND('Data Source'!B944&lt;&gt;"",'Data Source'!S944="F"),IF('Data Source'!AD944&gt;=5,"A+",IF('Data Source'!AD944&gt;=4,"A",IF('Data Source'!AD944&gt;=3.5,"A-",IF('Data Source'!AD944&gt;=3,"B",IF('Data Source'!AD944&gt;=2,"C",IF('Data Source'!AD944&gt;=1,"D","F")))))),"")</f>
        <v/>
      </c>
      <c r="M944" s="3">
        <f>IF(AND('Data Source'!B944&lt;&gt;"",'Data Source'!S944="F"),IF('Data Source'!AE944&gt;=5,"A+",IF('Data Source'!AE944&gt;=4,"A",IF('Data Source'!AE944&gt;=3.5,"A-",IF('Data Source'!AE944&gt;=3,"B",IF('Data Source'!AE944&gt;=2,"C",IF('Data Source'!AE944&gt;=1,"D","F")))))),"")</f>
        <v/>
      </c>
      <c r="N944" s="3">
        <f>IF(AND('Data Source'!B944&lt;&gt;"",'Data Source'!S944="F"),IF('Data Source'!AF944&gt;=5,"A+",IF('Data Source'!AF944&gt;=4,"A",IF('Data Source'!AF944&gt;=3.5,"A-",IF('Data Source'!AF944&gt;=3,"B",IF('Data Source'!AF944&gt;=2,"C",IF('Data Source'!AF944&gt;=1,"D","F")))))),"")</f>
        <v/>
      </c>
      <c r="O944" s="3">
        <f>IF(AND('Data Source'!B944&lt;&gt;"",'Data Source'!S944="F"),IF('Data Source'!AG944&gt;=5,"A+",IF('Data Source'!AG944&gt;=4,"A",IF('Data Source'!AG944&gt;=3.5,"A-",IF('Data Source'!AG944&gt;=3,"B",IF('Data Source'!AG944&gt;=2,"C",IF('Data Source'!AG944&gt;=1,"D","F")))))),"")</f>
        <v/>
      </c>
      <c r="P944" s="5">
        <f>IF(AND('Data Source'!B944&lt;&gt;"",'Data Source'!S944="F"),'Data Source'!R944,"")</f>
        <v/>
      </c>
      <c r="Q944" s="3">
        <f>IF(AND('Data Source'!B944&lt;&gt;"",'Data Source'!S944="F"),'Data Source'!S944,"")</f>
        <v/>
      </c>
    </row>
    <row r="945">
      <c r="A945" s="3">
        <f>IF(AND('Data Source'!B945&lt;&gt;"",'Data Source'!S945="F"),COUNTIF('Data Source'!$S$3:S945,"F"),"")</f>
        <v/>
      </c>
      <c r="B945">
        <f>IF(AND('Data Source'!B945&lt;&gt;"",'Data Source'!S945="F"),'Data Source'!B945,"")</f>
        <v/>
      </c>
      <c r="C945" s="3">
        <f>IF(AND('Data Source'!B945&lt;&gt;"",'Data Source'!S945="F"),IF('Data Source'!U945&gt;=5,"A+",IF('Data Source'!U945&gt;=4,"A",IF('Data Source'!U945&gt;=3.5,"A-",IF('Data Source'!U945&gt;=3,"B",IF('Data Source'!U945&gt;=2,"C",IF('Data Source'!U945&gt;=1,"D","F")))))),"")</f>
        <v/>
      </c>
      <c r="D945" s="3">
        <f>IF(AND('Data Source'!B945&lt;&gt;"",'Data Source'!S945="F"),IF('Data Source'!V945&gt;=5,"A+",IF('Data Source'!V945&gt;=4,"A",IF('Data Source'!V945&gt;=3.5,"A-",IF('Data Source'!V945&gt;=3,"B",IF('Data Source'!V945&gt;=2,"C",IF('Data Source'!V945&gt;=1,"D","F")))))),"")</f>
        <v/>
      </c>
      <c r="E945" s="3">
        <f>IF(AND('Data Source'!B945&lt;&gt;"",'Data Source'!S945="F"),IF('Data Source'!W945&gt;=5,"A+",IF('Data Source'!W945&gt;=4,"A",IF('Data Source'!W945&gt;=3.5,"A-",IF('Data Source'!W945&gt;=3,"B",IF('Data Source'!W945&gt;=2,"C",IF('Data Source'!W945&gt;=1,"D","F")))))),"")</f>
        <v/>
      </c>
      <c r="F945" s="3">
        <f>IF(AND('Data Source'!B945&lt;&gt;"",'Data Source'!S945="F"),IF('Data Source'!X945&gt;=5,"A+",IF('Data Source'!X945&gt;=4,"A",IF('Data Source'!X945&gt;=3.5,"A-",IF('Data Source'!X945&gt;=3,"B",IF('Data Source'!X945&gt;=2,"C",IF('Data Source'!X945&gt;=1,"D","F")))))),"")</f>
        <v/>
      </c>
      <c r="G945" s="3">
        <f>IF(AND('Data Source'!B945&lt;&gt;"",'Data Source'!S945="F"),IF('Data Source'!Y945&gt;=5,"A+",IF('Data Source'!Y945&gt;=4,"A",IF('Data Source'!Y945&gt;=3.5,"A-",IF('Data Source'!Y945&gt;=3,"B",IF('Data Source'!Y945&gt;=2,"C",IF('Data Source'!Y945&gt;=1,"D","F")))))),"")</f>
        <v/>
      </c>
      <c r="H945" s="3">
        <f>IF(AND('Data Source'!B945&lt;&gt;"",'Data Source'!S945="F"),IF('Data Source'!Z945&gt;=5,"A+",IF('Data Source'!Z945&gt;=4,"A",IF('Data Source'!Z945&gt;=3.5,"A-",IF('Data Source'!Z945&gt;=3,"B",IF('Data Source'!Z945&gt;=2,"C",IF('Data Source'!Z945&gt;=1,"D","F")))))),"")</f>
        <v/>
      </c>
      <c r="I945" s="3">
        <f>IF(AND('Data Source'!B945&lt;&gt;"",'Data Source'!S945="F"),IF('Data Source'!AA945&gt;=5,"A+",IF('Data Source'!AA945&gt;=4,"A",IF('Data Source'!AA945&gt;=3.5,"A-",IF('Data Source'!AA945&gt;=3,"B",IF('Data Source'!AA945&gt;=2,"C",IF('Data Source'!AA945&gt;=1,"D","F")))))),"")</f>
        <v/>
      </c>
      <c r="J945" s="3">
        <f>IF(AND('Data Source'!B945&lt;&gt;"",'Data Source'!S945="F"),IF('Data Source'!AB945&gt;=5,"A+",IF('Data Source'!AB945&gt;=4,"A",IF('Data Source'!AB945&gt;=3.5,"A-",IF('Data Source'!AB945&gt;=3,"B",IF('Data Source'!AB945&gt;=2,"C",IF('Data Source'!AB945&gt;=1,"D","F")))))),"")</f>
        <v/>
      </c>
      <c r="K945" s="3">
        <f>IF(AND('Data Source'!B945&lt;&gt;"",'Data Source'!S945="F"),IF('Data Source'!AC945&gt;=5,"A+",IF('Data Source'!AC945&gt;=4,"A",IF('Data Source'!AC945&gt;=3.5,"A-",IF('Data Source'!AC945&gt;=3,"B",IF('Data Source'!AC945&gt;=2,"C",IF('Data Source'!AC945&gt;=1,"D","F")))))),"")</f>
        <v/>
      </c>
      <c r="L945" s="3">
        <f>IF(AND('Data Source'!B945&lt;&gt;"",'Data Source'!S945="F"),IF('Data Source'!AD945&gt;=5,"A+",IF('Data Source'!AD945&gt;=4,"A",IF('Data Source'!AD945&gt;=3.5,"A-",IF('Data Source'!AD945&gt;=3,"B",IF('Data Source'!AD945&gt;=2,"C",IF('Data Source'!AD945&gt;=1,"D","F")))))),"")</f>
        <v/>
      </c>
      <c r="M945" s="3">
        <f>IF(AND('Data Source'!B945&lt;&gt;"",'Data Source'!S945="F"),IF('Data Source'!AE945&gt;=5,"A+",IF('Data Source'!AE945&gt;=4,"A",IF('Data Source'!AE945&gt;=3.5,"A-",IF('Data Source'!AE945&gt;=3,"B",IF('Data Source'!AE945&gt;=2,"C",IF('Data Source'!AE945&gt;=1,"D","F")))))),"")</f>
        <v/>
      </c>
      <c r="N945" s="3">
        <f>IF(AND('Data Source'!B945&lt;&gt;"",'Data Source'!S945="F"),IF('Data Source'!AF945&gt;=5,"A+",IF('Data Source'!AF945&gt;=4,"A",IF('Data Source'!AF945&gt;=3.5,"A-",IF('Data Source'!AF945&gt;=3,"B",IF('Data Source'!AF945&gt;=2,"C",IF('Data Source'!AF945&gt;=1,"D","F")))))),"")</f>
        <v/>
      </c>
      <c r="O945" s="3">
        <f>IF(AND('Data Source'!B945&lt;&gt;"",'Data Source'!S945="F"),IF('Data Source'!AG945&gt;=5,"A+",IF('Data Source'!AG945&gt;=4,"A",IF('Data Source'!AG945&gt;=3.5,"A-",IF('Data Source'!AG945&gt;=3,"B",IF('Data Source'!AG945&gt;=2,"C",IF('Data Source'!AG945&gt;=1,"D","F")))))),"")</f>
        <v/>
      </c>
      <c r="P945" s="5">
        <f>IF(AND('Data Source'!B945&lt;&gt;"",'Data Source'!S945="F"),'Data Source'!R945,"")</f>
        <v/>
      </c>
      <c r="Q945" s="3">
        <f>IF(AND('Data Source'!B945&lt;&gt;"",'Data Source'!S945="F"),'Data Source'!S945,"")</f>
        <v/>
      </c>
    </row>
    <row r="946">
      <c r="A946" s="3">
        <f>IF(AND('Data Source'!B946&lt;&gt;"",'Data Source'!S946="F"),COUNTIF('Data Source'!$S$3:S946,"F"),"")</f>
        <v/>
      </c>
      <c r="B946">
        <f>IF(AND('Data Source'!B946&lt;&gt;"",'Data Source'!S946="F"),'Data Source'!B946,"")</f>
        <v/>
      </c>
      <c r="C946" s="3">
        <f>IF(AND('Data Source'!B946&lt;&gt;"",'Data Source'!S946="F"),IF('Data Source'!U946&gt;=5,"A+",IF('Data Source'!U946&gt;=4,"A",IF('Data Source'!U946&gt;=3.5,"A-",IF('Data Source'!U946&gt;=3,"B",IF('Data Source'!U946&gt;=2,"C",IF('Data Source'!U946&gt;=1,"D","F")))))),"")</f>
        <v/>
      </c>
      <c r="D946" s="3">
        <f>IF(AND('Data Source'!B946&lt;&gt;"",'Data Source'!S946="F"),IF('Data Source'!V946&gt;=5,"A+",IF('Data Source'!V946&gt;=4,"A",IF('Data Source'!V946&gt;=3.5,"A-",IF('Data Source'!V946&gt;=3,"B",IF('Data Source'!V946&gt;=2,"C",IF('Data Source'!V946&gt;=1,"D","F")))))),"")</f>
        <v/>
      </c>
      <c r="E946" s="3">
        <f>IF(AND('Data Source'!B946&lt;&gt;"",'Data Source'!S946="F"),IF('Data Source'!W946&gt;=5,"A+",IF('Data Source'!W946&gt;=4,"A",IF('Data Source'!W946&gt;=3.5,"A-",IF('Data Source'!W946&gt;=3,"B",IF('Data Source'!W946&gt;=2,"C",IF('Data Source'!W946&gt;=1,"D","F")))))),"")</f>
        <v/>
      </c>
      <c r="F946" s="3">
        <f>IF(AND('Data Source'!B946&lt;&gt;"",'Data Source'!S946="F"),IF('Data Source'!X946&gt;=5,"A+",IF('Data Source'!X946&gt;=4,"A",IF('Data Source'!X946&gt;=3.5,"A-",IF('Data Source'!X946&gt;=3,"B",IF('Data Source'!X946&gt;=2,"C",IF('Data Source'!X946&gt;=1,"D","F")))))),"")</f>
        <v/>
      </c>
      <c r="G946" s="3">
        <f>IF(AND('Data Source'!B946&lt;&gt;"",'Data Source'!S946="F"),IF('Data Source'!Y946&gt;=5,"A+",IF('Data Source'!Y946&gt;=4,"A",IF('Data Source'!Y946&gt;=3.5,"A-",IF('Data Source'!Y946&gt;=3,"B",IF('Data Source'!Y946&gt;=2,"C",IF('Data Source'!Y946&gt;=1,"D","F")))))),"")</f>
        <v/>
      </c>
      <c r="H946" s="3">
        <f>IF(AND('Data Source'!B946&lt;&gt;"",'Data Source'!S946="F"),IF('Data Source'!Z946&gt;=5,"A+",IF('Data Source'!Z946&gt;=4,"A",IF('Data Source'!Z946&gt;=3.5,"A-",IF('Data Source'!Z946&gt;=3,"B",IF('Data Source'!Z946&gt;=2,"C",IF('Data Source'!Z946&gt;=1,"D","F")))))),"")</f>
        <v/>
      </c>
      <c r="I946" s="3">
        <f>IF(AND('Data Source'!B946&lt;&gt;"",'Data Source'!S946="F"),IF('Data Source'!AA946&gt;=5,"A+",IF('Data Source'!AA946&gt;=4,"A",IF('Data Source'!AA946&gt;=3.5,"A-",IF('Data Source'!AA946&gt;=3,"B",IF('Data Source'!AA946&gt;=2,"C",IF('Data Source'!AA946&gt;=1,"D","F")))))),"")</f>
        <v/>
      </c>
      <c r="J946" s="3">
        <f>IF(AND('Data Source'!B946&lt;&gt;"",'Data Source'!S946="F"),IF('Data Source'!AB946&gt;=5,"A+",IF('Data Source'!AB946&gt;=4,"A",IF('Data Source'!AB946&gt;=3.5,"A-",IF('Data Source'!AB946&gt;=3,"B",IF('Data Source'!AB946&gt;=2,"C",IF('Data Source'!AB946&gt;=1,"D","F")))))),"")</f>
        <v/>
      </c>
      <c r="K946" s="3">
        <f>IF(AND('Data Source'!B946&lt;&gt;"",'Data Source'!S946="F"),IF('Data Source'!AC946&gt;=5,"A+",IF('Data Source'!AC946&gt;=4,"A",IF('Data Source'!AC946&gt;=3.5,"A-",IF('Data Source'!AC946&gt;=3,"B",IF('Data Source'!AC946&gt;=2,"C",IF('Data Source'!AC946&gt;=1,"D","F")))))),"")</f>
        <v/>
      </c>
      <c r="L946" s="3">
        <f>IF(AND('Data Source'!B946&lt;&gt;"",'Data Source'!S946="F"),IF('Data Source'!AD946&gt;=5,"A+",IF('Data Source'!AD946&gt;=4,"A",IF('Data Source'!AD946&gt;=3.5,"A-",IF('Data Source'!AD946&gt;=3,"B",IF('Data Source'!AD946&gt;=2,"C",IF('Data Source'!AD946&gt;=1,"D","F")))))),"")</f>
        <v/>
      </c>
      <c r="M946" s="3">
        <f>IF(AND('Data Source'!B946&lt;&gt;"",'Data Source'!S946="F"),IF('Data Source'!AE946&gt;=5,"A+",IF('Data Source'!AE946&gt;=4,"A",IF('Data Source'!AE946&gt;=3.5,"A-",IF('Data Source'!AE946&gt;=3,"B",IF('Data Source'!AE946&gt;=2,"C",IF('Data Source'!AE946&gt;=1,"D","F")))))),"")</f>
        <v/>
      </c>
      <c r="N946" s="3">
        <f>IF(AND('Data Source'!B946&lt;&gt;"",'Data Source'!S946="F"),IF('Data Source'!AF946&gt;=5,"A+",IF('Data Source'!AF946&gt;=4,"A",IF('Data Source'!AF946&gt;=3.5,"A-",IF('Data Source'!AF946&gt;=3,"B",IF('Data Source'!AF946&gt;=2,"C",IF('Data Source'!AF946&gt;=1,"D","F")))))),"")</f>
        <v/>
      </c>
      <c r="O946" s="3">
        <f>IF(AND('Data Source'!B946&lt;&gt;"",'Data Source'!S946="F"),IF('Data Source'!AG946&gt;=5,"A+",IF('Data Source'!AG946&gt;=4,"A",IF('Data Source'!AG946&gt;=3.5,"A-",IF('Data Source'!AG946&gt;=3,"B",IF('Data Source'!AG946&gt;=2,"C",IF('Data Source'!AG946&gt;=1,"D","F")))))),"")</f>
        <v/>
      </c>
      <c r="P946" s="5">
        <f>IF(AND('Data Source'!B946&lt;&gt;"",'Data Source'!S946="F"),'Data Source'!R946,"")</f>
        <v/>
      </c>
      <c r="Q946" s="3">
        <f>IF(AND('Data Source'!B946&lt;&gt;"",'Data Source'!S946="F"),'Data Source'!S946,"")</f>
        <v/>
      </c>
    </row>
    <row r="947">
      <c r="A947" s="3">
        <f>IF(AND('Data Source'!B947&lt;&gt;"",'Data Source'!S947="F"),COUNTIF('Data Source'!$S$3:S947,"F"),"")</f>
        <v/>
      </c>
      <c r="B947">
        <f>IF(AND('Data Source'!B947&lt;&gt;"",'Data Source'!S947="F"),'Data Source'!B947,"")</f>
        <v/>
      </c>
      <c r="C947" s="3">
        <f>IF(AND('Data Source'!B947&lt;&gt;"",'Data Source'!S947="F"),IF('Data Source'!U947&gt;=5,"A+",IF('Data Source'!U947&gt;=4,"A",IF('Data Source'!U947&gt;=3.5,"A-",IF('Data Source'!U947&gt;=3,"B",IF('Data Source'!U947&gt;=2,"C",IF('Data Source'!U947&gt;=1,"D","F")))))),"")</f>
        <v/>
      </c>
      <c r="D947" s="3">
        <f>IF(AND('Data Source'!B947&lt;&gt;"",'Data Source'!S947="F"),IF('Data Source'!V947&gt;=5,"A+",IF('Data Source'!V947&gt;=4,"A",IF('Data Source'!V947&gt;=3.5,"A-",IF('Data Source'!V947&gt;=3,"B",IF('Data Source'!V947&gt;=2,"C",IF('Data Source'!V947&gt;=1,"D","F")))))),"")</f>
        <v/>
      </c>
      <c r="E947" s="3">
        <f>IF(AND('Data Source'!B947&lt;&gt;"",'Data Source'!S947="F"),IF('Data Source'!W947&gt;=5,"A+",IF('Data Source'!W947&gt;=4,"A",IF('Data Source'!W947&gt;=3.5,"A-",IF('Data Source'!W947&gt;=3,"B",IF('Data Source'!W947&gt;=2,"C",IF('Data Source'!W947&gt;=1,"D","F")))))),"")</f>
        <v/>
      </c>
      <c r="F947" s="3">
        <f>IF(AND('Data Source'!B947&lt;&gt;"",'Data Source'!S947="F"),IF('Data Source'!X947&gt;=5,"A+",IF('Data Source'!X947&gt;=4,"A",IF('Data Source'!X947&gt;=3.5,"A-",IF('Data Source'!X947&gt;=3,"B",IF('Data Source'!X947&gt;=2,"C",IF('Data Source'!X947&gt;=1,"D","F")))))),"")</f>
        <v/>
      </c>
      <c r="G947" s="3">
        <f>IF(AND('Data Source'!B947&lt;&gt;"",'Data Source'!S947="F"),IF('Data Source'!Y947&gt;=5,"A+",IF('Data Source'!Y947&gt;=4,"A",IF('Data Source'!Y947&gt;=3.5,"A-",IF('Data Source'!Y947&gt;=3,"B",IF('Data Source'!Y947&gt;=2,"C",IF('Data Source'!Y947&gt;=1,"D","F")))))),"")</f>
        <v/>
      </c>
      <c r="H947" s="3">
        <f>IF(AND('Data Source'!B947&lt;&gt;"",'Data Source'!S947="F"),IF('Data Source'!Z947&gt;=5,"A+",IF('Data Source'!Z947&gt;=4,"A",IF('Data Source'!Z947&gt;=3.5,"A-",IF('Data Source'!Z947&gt;=3,"B",IF('Data Source'!Z947&gt;=2,"C",IF('Data Source'!Z947&gt;=1,"D","F")))))),"")</f>
        <v/>
      </c>
      <c r="I947" s="3">
        <f>IF(AND('Data Source'!B947&lt;&gt;"",'Data Source'!S947="F"),IF('Data Source'!AA947&gt;=5,"A+",IF('Data Source'!AA947&gt;=4,"A",IF('Data Source'!AA947&gt;=3.5,"A-",IF('Data Source'!AA947&gt;=3,"B",IF('Data Source'!AA947&gt;=2,"C",IF('Data Source'!AA947&gt;=1,"D","F")))))),"")</f>
        <v/>
      </c>
      <c r="J947" s="3">
        <f>IF(AND('Data Source'!B947&lt;&gt;"",'Data Source'!S947="F"),IF('Data Source'!AB947&gt;=5,"A+",IF('Data Source'!AB947&gt;=4,"A",IF('Data Source'!AB947&gt;=3.5,"A-",IF('Data Source'!AB947&gt;=3,"B",IF('Data Source'!AB947&gt;=2,"C",IF('Data Source'!AB947&gt;=1,"D","F")))))),"")</f>
        <v/>
      </c>
      <c r="K947" s="3">
        <f>IF(AND('Data Source'!B947&lt;&gt;"",'Data Source'!S947="F"),IF('Data Source'!AC947&gt;=5,"A+",IF('Data Source'!AC947&gt;=4,"A",IF('Data Source'!AC947&gt;=3.5,"A-",IF('Data Source'!AC947&gt;=3,"B",IF('Data Source'!AC947&gt;=2,"C",IF('Data Source'!AC947&gt;=1,"D","F")))))),"")</f>
        <v/>
      </c>
      <c r="L947" s="3">
        <f>IF(AND('Data Source'!B947&lt;&gt;"",'Data Source'!S947="F"),IF('Data Source'!AD947&gt;=5,"A+",IF('Data Source'!AD947&gt;=4,"A",IF('Data Source'!AD947&gt;=3.5,"A-",IF('Data Source'!AD947&gt;=3,"B",IF('Data Source'!AD947&gt;=2,"C",IF('Data Source'!AD947&gt;=1,"D","F")))))),"")</f>
        <v/>
      </c>
      <c r="M947" s="3">
        <f>IF(AND('Data Source'!B947&lt;&gt;"",'Data Source'!S947="F"),IF('Data Source'!AE947&gt;=5,"A+",IF('Data Source'!AE947&gt;=4,"A",IF('Data Source'!AE947&gt;=3.5,"A-",IF('Data Source'!AE947&gt;=3,"B",IF('Data Source'!AE947&gt;=2,"C",IF('Data Source'!AE947&gt;=1,"D","F")))))),"")</f>
        <v/>
      </c>
      <c r="N947" s="3">
        <f>IF(AND('Data Source'!B947&lt;&gt;"",'Data Source'!S947="F"),IF('Data Source'!AF947&gt;=5,"A+",IF('Data Source'!AF947&gt;=4,"A",IF('Data Source'!AF947&gt;=3.5,"A-",IF('Data Source'!AF947&gt;=3,"B",IF('Data Source'!AF947&gt;=2,"C",IF('Data Source'!AF947&gt;=1,"D","F")))))),"")</f>
        <v/>
      </c>
      <c r="O947" s="3">
        <f>IF(AND('Data Source'!B947&lt;&gt;"",'Data Source'!S947="F"),IF('Data Source'!AG947&gt;=5,"A+",IF('Data Source'!AG947&gt;=4,"A",IF('Data Source'!AG947&gt;=3.5,"A-",IF('Data Source'!AG947&gt;=3,"B",IF('Data Source'!AG947&gt;=2,"C",IF('Data Source'!AG947&gt;=1,"D","F")))))),"")</f>
        <v/>
      </c>
      <c r="P947" s="5">
        <f>IF(AND('Data Source'!B947&lt;&gt;"",'Data Source'!S947="F"),'Data Source'!R947,"")</f>
        <v/>
      </c>
      <c r="Q947" s="3">
        <f>IF(AND('Data Source'!B947&lt;&gt;"",'Data Source'!S947="F"),'Data Source'!S947,"")</f>
        <v/>
      </c>
    </row>
    <row r="948">
      <c r="A948" s="3">
        <f>IF(AND('Data Source'!B948&lt;&gt;"",'Data Source'!S948="F"),COUNTIF('Data Source'!$S$3:S948,"F"),"")</f>
        <v/>
      </c>
      <c r="B948">
        <f>IF(AND('Data Source'!B948&lt;&gt;"",'Data Source'!S948="F"),'Data Source'!B948,"")</f>
        <v/>
      </c>
      <c r="C948" s="3">
        <f>IF(AND('Data Source'!B948&lt;&gt;"",'Data Source'!S948="F"),IF('Data Source'!U948&gt;=5,"A+",IF('Data Source'!U948&gt;=4,"A",IF('Data Source'!U948&gt;=3.5,"A-",IF('Data Source'!U948&gt;=3,"B",IF('Data Source'!U948&gt;=2,"C",IF('Data Source'!U948&gt;=1,"D","F")))))),"")</f>
        <v/>
      </c>
      <c r="D948" s="3">
        <f>IF(AND('Data Source'!B948&lt;&gt;"",'Data Source'!S948="F"),IF('Data Source'!V948&gt;=5,"A+",IF('Data Source'!V948&gt;=4,"A",IF('Data Source'!V948&gt;=3.5,"A-",IF('Data Source'!V948&gt;=3,"B",IF('Data Source'!V948&gt;=2,"C",IF('Data Source'!V948&gt;=1,"D","F")))))),"")</f>
        <v/>
      </c>
      <c r="E948" s="3">
        <f>IF(AND('Data Source'!B948&lt;&gt;"",'Data Source'!S948="F"),IF('Data Source'!W948&gt;=5,"A+",IF('Data Source'!W948&gt;=4,"A",IF('Data Source'!W948&gt;=3.5,"A-",IF('Data Source'!W948&gt;=3,"B",IF('Data Source'!W948&gt;=2,"C",IF('Data Source'!W948&gt;=1,"D","F")))))),"")</f>
        <v/>
      </c>
      <c r="F948" s="3">
        <f>IF(AND('Data Source'!B948&lt;&gt;"",'Data Source'!S948="F"),IF('Data Source'!X948&gt;=5,"A+",IF('Data Source'!X948&gt;=4,"A",IF('Data Source'!X948&gt;=3.5,"A-",IF('Data Source'!X948&gt;=3,"B",IF('Data Source'!X948&gt;=2,"C",IF('Data Source'!X948&gt;=1,"D","F")))))),"")</f>
        <v/>
      </c>
      <c r="G948" s="3">
        <f>IF(AND('Data Source'!B948&lt;&gt;"",'Data Source'!S948="F"),IF('Data Source'!Y948&gt;=5,"A+",IF('Data Source'!Y948&gt;=4,"A",IF('Data Source'!Y948&gt;=3.5,"A-",IF('Data Source'!Y948&gt;=3,"B",IF('Data Source'!Y948&gt;=2,"C",IF('Data Source'!Y948&gt;=1,"D","F")))))),"")</f>
        <v/>
      </c>
      <c r="H948" s="3">
        <f>IF(AND('Data Source'!B948&lt;&gt;"",'Data Source'!S948="F"),IF('Data Source'!Z948&gt;=5,"A+",IF('Data Source'!Z948&gt;=4,"A",IF('Data Source'!Z948&gt;=3.5,"A-",IF('Data Source'!Z948&gt;=3,"B",IF('Data Source'!Z948&gt;=2,"C",IF('Data Source'!Z948&gt;=1,"D","F")))))),"")</f>
        <v/>
      </c>
      <c r="I948" s="3">
        <f>IF(AND('Data Source'!B948&lt;&gt;"",'Data Source'!S948="F"),IF('Data Source'!AA948&gt;=5,"A+",IF('Data Source'!AA948&gt;=4,"A",IF('Data Source'!AA948&gt;=3.5,"A-",IF('Data Source'!AA948&gt;=3,"B",IF('Data Source'!AA948&gt;=2,"C",IF('Data Source'!AA948&gt;=1,"D","F")))))),"")</f>
        <v/>
      </c>
      <c r="J948" s="3">
        <f>IF(AND('Data Source'!B948&lt;&gt;"",'Data Source'!S948="F"),IF('Data Source'!AB948&gt;=5,"A+",IF('Data Source'!AB948&gt;=4,"A",IF('Data Source'!AB948&gt;=3.5,"A-",IF('Data Source'!AB948&gt;=3,"B",IF('Data Source'!AB948&gt;=2,"C",IF('Data Source'!AB948&gt;=1,"D","F")))))),"")</f>
        <v/>
      </c>
      <c r="K948" s="3">
        <f>IF(AND('Data Source'!B948&lt;&gt;"",'Data Source'!S948="F"),IF('Data Source'!AC948&gt;=5,"A+",IF('Data Source'!AC948&gt;=4,"A",IF('Data Source'!AC948&gt;=3.5,"A-",IF('Data Source'!AC948&gt;=3,"B",IF('Data Source'!AC948&gt;=2,"C",IF('Data Source'!AC948&gt;=1,"D","F")))))),"")</f>
        <v/>
      </c>
      <c r="L948" s="3">
        <f>IF(AND('Data Source'!B948&lt;&gt;"",'Data Source'!S948="F"),IF('Data Source'!AD948&gt;=5,"A+",IF('Data Source'!AD948&gt;=4,"A",IF('Data Source'!AD948&gt;=3.5,"A-",IF('Data Source'!AD948&gt;=3,"B",IF('Data Source'!AD948&gt;=2,"C",IF('Data Source'!AD948&gt;=1,"D","F")))))),"")</f>
        <v/>
      </c>
      <c r="M948" s="3">
        <f>IF(AND('Data Source'!B948&lt;&gt;"",'Data Source'!S948="F"),IF('Data Source'!AE948&gt;=5,"A+",IF('Data Source'!AE948&gt;=4,"A",IF('Data Source'!AE948&gt;=3.5,"A-",IF('Data Source'!AE948&gt;=3,"B",IF('Data Source'!AE948&gt;=2,"C",IF('Data Source'!AE948&gt;=1,"D","F")))))),"")</f>
        <v/>
      </c>
      <c r="N948" s="3">
        <f>IF(AND('Data Source'!B948&lt;&gt;"",'Data Source'!S948="F"),IF('Data Source'!AF948&gt;=5,"A+",IF('Data Source'!AF948&gt;=4,"A",IF('Data Source'!AF948&gt;=3.5,"A-",IF('Data Source'!AF948&gt;=3,"B",IF('Data Source'!AF948&gt;=2,"C",IF('Data Source'!AF948&gt;=1,"D","F")))))),"")</f>
        <v/>
      </c>
      <c r="O948" s="3">
        <f>IF(AND('Data Source'!B948&lt;&gt;"",'Data Source'!S948="F"),IF('Data Source'!AG948&gt;=5,"A+",IF('Data Source'!AG948&gt;=4,"A",IF('Data Source'!AG948&gt;=3.5,"A-",IF('Data Source'!AG948&gt;=3,"B",IF('Data Source'!AG948&gt;=2,"C",IF('Data Source'!AG948&gt;=1,"D","F")))))),"")</f>
        <v/>
      </c>
      <c r="P948" s="5">
        <f>IF(AND('Data Source'!B948&lt;&gt;"",'Data Source'!S948="F"),'Data Source'!R948,"")</f>
        <v/>
      </c>
      <c r="Q948" s="3">
        <f>IF(AND('Data Source'!B948&lt;&gt;"",'Data Source'!S948="F"),'Data Source'!S948,"")</f>
        <v/>
      </c>
    </row>
    <row r="949">
      <c r="A949" s="3">
        <f>IF(AND('Data Source'!B949&lt;&gt;"",'Data Source'!S949="F"),COUNTIF('Data Source'!$S$3:S949,"F"),"")</f>
        <v/>
      </c>
      <c r="B949">
        <f>IF(AND('Data Source'!B949&lt;&gt;"",'Data Source'!S949="F"),'Data Source'!B949,"")</f>
        <v/>
      </c>
      <c r="C949" s="3">
        <f>IF(AND('Data Source'!B949&lt;&gt;"",'Data Source'!S949="F"),IF('Data Source'!U949&gt;=5,"A+",IF('Data Source'!U949&gt;=4,"A",IF('Data Source'!U949&gt;=3.5,"A-",IF('Data Source'!U949&gt;=3,"B",IF('Data Source'!U949&gt;=2,"C",IF('Data Source'!U949&gt;=1,"D","F")))))),"")</f>
        <v/>
      </c>
      <c r="D949" s="3">
        <f>IF(AND('Data Source'!B949&lt;&gt;"",'Data Source'!S949="F"),IF('Data Source'!V949&gt;=5,"A+",IF('Data Source'!V949&gt;=4,"A",IF('Data Source'!V949&gt;=3.5,"A-",IF('Data Source'!V949&gt;=3,"B",IF('Data Source'!V949&gt;=2,"C",IF('Data Source'!V949&gt;=1,"D","F")))))),"")</f>
        <v/>
      </c>
      <c r="E949" s="3">
        <f>IF(AND('Data Source'!B949&lt;&gt;"",'Data Source'!S949="F"),IF('Data Source'!W949&gt;=5,"A+",IF('Data Source'!W949&gt;=4,"A",IF('Data Source'!W949&gt;=3.5,"A-",IF('Data Source'!W949&gt;=3,"B",IF('Data Source'!W949&gt;=2,"C",IF('Data Source'!W949&gt;=1,"D","F")))))),"")</f>
        <v/>
      </c>
      <c r="F949" s="3">
        <f>IF(AND('Data Source'!B949&lt;&gt;"",'Data Source'!S949="F"),IF('Data Source'!X949&gt;=5,"A+",IF('Data Source'!X949&gt;=4,"A",IF('Data Source'!X949&gt;=3.5,"A-",IF('Data Source'!X949&gt;=3,"B",IF('Data Source'!X949&gt;=2,"C",IF('Data Source'!X949&gt;=1,"D","F")))))),"")</f>
        <v/>
      </c>
      <c r="G949" s="3">
        <f>IF(AND('Data Source'!B949&lt;&gt;"",'Data Source'!S949="F"),IF('Data Source'!Y949&gt;=5,"A+",IF('Data Source'!Y949&gt;=4,"A",IF('Data Source'!Y949&gt;=3.5,"A-",IF('Data Source'!Y949&gt;=3,"B",IF('Data Source'!Y949&gt;=2,"C",IF('Data Source'!Y949&gt;=1,"D","F")))))),"")</f>
        <v/>
      </c>
      <c r="H949" s="3">
        <f>IF(AND('Data Source'!B949&lt;&gt;"",'Data Source'!S949="F"),IF('Data Source'!Z949&gt;=5,"A+",IF('Data Source'!Z949&gt;=4,"A",IF('Data Source'!Z949&gt;=3.5,"A-",IF('Data Source'!Z949&gt;=3,"B",IF('Data Source'!Z949&gt;=2,"C",IF('Data Source'!Z949&gt;=1,"D","F")))))),"")</f>
        <v/>
      </c>
      <c r="I949" s="3">
        <f>IF(AND('Data Source'!B949&lt;&gt;"",'Data Source'!S949="F"),IF('Data Source'!AA949&gt;=5,"A+",IF('Data Source'!AA949&gt;=4,"A",IF('Data Source'!AA949&gt;=3.5,"A-",IF('Data Source'!AA949&gt;=3,"B",IF('Data Source'!AA949&gt;=2,"C",IF('Data Source'!AA949&gt;=1,"D","F")))))),"")</f>
        <v/>
      </c>
      <c r="J949" s="3">
        <f>IF(AND('Data Source'!B949&lt;&gt;"",'Data Source'!S949="F"),IF('Data Source'!AB949&gt;=5,"A+",IF('Data Source'!AB949&gt;=4,"A",IF('Data Source'!AB949&gt;=3.5,"A-",IF('Data Source'!AB949&gt;=3,"B",IF('Data Source'!AB949&gt;=2,"C",IF('Data Source'!AB949&gt;=1,"D","F")))))),"")</f>
        <v/>
      </c>
      <c r="K949" s="3">
        <f>IF(AND('Data Source'!B949&lt;&gt;"",'Data Source'!S949="F"),IF('Data Source'!AC949&gt;=5,"A+",IF('Data Source'!AC949&gt;=4,"A",IF('Data Source'!AC949&gt;=3.5,"A-",IF('Data Source'!AC949&gt;=3,"B",IF('Data Source'!AC949&gt;=2,"C",IF('Data Source'!AC949&gt;=1,"D","F")))))),"")</f>
        <v/>
      </c>
      <c r="L949" s="3">
        <f>IF(AND('Data Source'!B949&lt;&gt;"",'Data Source'!S949="F"),IF('Data Source'!AD949&gt;=5,"A+",IF('Data Source'!AD949&gt;=4,"A",IF('Data Source'!AD949&gt;=3.5,"A-",IF('Data Source'!AD949&gt;=3,"B",IF('Data Source'!AD949&gt;=2,"C",IF('Data Source'!AD949&gt;=1,"D","F")))))),"")</f>
        <v/>
      </c>
      <c r="M949" s="3">
        <f>IF(AND('Data Source'!B949&lt;&gt;"",'Data Source'!S949="F"),IF('Data Source'!AE949&gt;=5,"A+",IF('Data Source'!AE949&gt;=4,"A",IF('Data Source'!AE949&gt;=3.5,"A-",IF('Data Source'!AE949&gt;=3,"B",IF('Data Source'!AE949&gt;=2,"C",IF('Data Source'!AE949&gt;=1,"D","F")))))),"")</f>
        <v/>
      </c>
      <c r="N949" s="3">
        <f>IF(AND('Data Source'!B949&lt;&gt;"",'Data Source'!S949="F"),IF('Data Source'!AF949&gt;=5,"A+",IF('Data Source'!AF949&gt;=4,"A",IF('Data Source'!AF949&gt;=3.5,"A-",IF('Data Source'!AF949&gt;=3,"B",IF('Data Source'!AF949&gt;=2,"C",IF('Data Source'!AF949&gt;=1,"D","F")))))),"")</f>
        <v/>
      </c>
      <c r="O949" s="3">
        <f>IF(AND('Data Source'!B949&lt;&gt;"",'Data Source'!S949="F"),IF('Data Source'!AG949&gt;=5,"A+",IF('Data Source'!AG949&gt;=4,"A",IF('Data Source'!AG949&gt;=3.5,"A-",IF('Data Source'!AG949&gt;=3,"B",IF('Data Source'!AG949&gt;=2,"C",IF('Data Source'!AG949&gt;=1,"D","F")))))),"")</f>
        <v/>
      </c>
      <c r="P949" s="5">
        <f>IF(AND('Data Source'!B949&lt;&gt;"",'Data Source'!S949="F"),'Data Source'!R949,"")</f>
        <v/>
      </c>
      <c r="Q949" s="3">
        <f>IF(AND('Data Source'!B949&lt;&gt;"",'Data Source'!S949="F"),'Data Source'!S949,"")</f>
        <v/>
      </c>
    </row>
    <row r="950">
      <c r="A950" s="3">
        <f>IF(AND('Data Source'!B950&lt;&gt;"",'Data Source'!S950="F"),COUNTIF('Data Source'!$S$3:S950,"F"),"")</f>
        <v/>
      </c>
      <c r="B950">
        <f>IF(AND('Data Source'!B950&lt;&gt;"",'Data Source'!S950="F"),'Data Source'!B950,"")</f>
        <v/>
      </c>
      <c r="C950" s="3">
        <f>IF(AND('Data Source'!B950&lt;&gt;"",'Data Source'!S950="F"),IF('Data Source'!U950&gt;=5,"A+",IF('Data Source'!U950&gt;=4,"A",IF('Data Source'!U950&gt;=3.5,"A-",IF('Data Source'!U950&gt;=3,"B",IF('Data Source'!U950&gt;=2,"C",IF('Data Source'!U950&gt;=1,"D","F")))))),"")</f>
        <v/>
      </c>
      <c r="D950" s="3">
        <f>IF(AND('Data Source'!B950&lt;&gt;"",'Data Source'!S950="F"),IF('Data Source'!V950&gt;=5,"A+",IF('Data Source'!V950&gt;=4,"A",IF('Data Source'!V950&gt;=3.5,"A-",IF('Data Source'!V950&gt;=3,"B",IF('Data Source'!V950&gt;=2,"C",IF('Data Source'!V950&gt;=1,"D","F")))))),"")</f>
        <v/>
      </c>
      <c r="E950" s="3">
        <f>IF(AND('Data Source'!B950&lt;&gt;"",'Data Source'!S950="F"),IF('Data Source'!W950&gt;=5,"A+",IF('Data Source'!W950&gt;=4,"A",IF('Data Source'!W950&gt;=3.5,"A-",IF('Data Source'!W950&gt;=3,"B",IF('Data Source'!W950&gt;=2,"C",IF('Data Source'!W950&gt;=1,"D","F")))))),"")</f>
        <v/>
      </c>
      <c r="F950" s="3">
        <f>IF(AND('Data Source'!B950&lt;&gt;"",'Data Source'!S950="F"),IF('Data Source'!X950&gt;=5,"A+",IF('Data Source'!X950&gt;=4,"A",IF('Data Source'!X950&gt;=3.5,"A-",IF('Data Source'!X950&gt;=3,"B",IF('Data Source'!X950&gt;=2,"C",IF('Data Source'!X950&gt;=1,"D","F")))))),"")</f>
        <v/>
      </c>
      <c r="G950" s="3">
        <f>IF(AND('Data Source'!B950&lt;&gt;"",'Data Source'!S950="F"),IF('Data Source'!Y950&gt;=5,"A+",IF('Data Source'!Y950&gt;=4,"A",IF('Data Source'!Y950&gt;=3.5,"A-",IF('Data Source'!Y950&gt;=3,"B",IF('Data Source'!Y950&gt;=2,"C",IF('Data Source'!Y950&gt;=1,"D","F")))))),"")</f>
        <v/>
      </c>
      <c r="H950" s="3">
        <f>IF(AND('Data Source'!B950&lt;&gt;"",'Data Source'!S950="F"),IF('Data Source'!Z950&gt;=5,"A+",IF('Data Source'!Z950&gt;=4,"A",IF('Data Source'!Z950&gt;=3.5,"A-",IF('Data Source'!Z950&gt;=3,"B",IF('Data Source'!Z950&gt;=2,"C",IF('Data Source'!Z950&gt;=1,"D","F")))))),"")</f>
        <v/>
      </c>
      <c r="I950" s="3">
        <f>IF(AND('Data Source'!B950&lt;&gt;"",'Data Source'!S950="F"),IF('Data Source'!AA950&gt;=5,"A+",IF('Data Source'!AA950&gt;=4,"A",IF('Data Source'!AA950&gt;=3.5,"A-",IF('Data Source'!AA950&gt;=3,"B",IF('Data Source'!AA950&gt;=2,"C",IF('Data Source'!AA950&gt;=1,"D","F")))))),"")</f>
        <v/>
      </c>
      <c r="J950" s="3">
        <f>IF(AND('Data Source'!B950&lt;&gt;"",'Data Source'!S950="F"),IF('Data Source'!AB950&gt;=5,"A+",IF('Data Source'!AB950&gt;=4,"A",IF('Data Source'!AB950&gt;=3.5,"A-",IF('Data Source'!AB950&gt;=3,"B",IF('Data Source'!AB950&gt;=2,"C",IF('Data Source'!AB950&gt;=1,"D","F")))))),"")</f>
        <v/>
      </c>
      <c r="K950" s="3">
        <f>IF(AND('Data Source'!B950&lt;&gt;"",'Data Source'!S950="F"),IF('Data Source'!AC950&gt;=5,"A+",IF('Data Source'!AC950&gt;=4,"A",IF('Data Source'!AC950&gt;=3.5,"A-",IF('Data Source'!AC950&gt;=3,"B",IF('Data Source'!AC950&gt;=2,"C",IF('Data Source'!AC950&gt;=1,"D","F")))))),"")</f>
        <v/>
      </c>
      <c r="L950" s="3">
        <f>IF(AND('Data Source'!B950&lt;&gt;"",'Data Source'!S950="F"),IF('Data Source'!AD950&gt;=5,"A+",IF('Data Source'!AD950&gt;=4,"A",IF('Data Source'!AD950&gt;=3.5,"A-",IF('Data Source'!AD950&gt;=3,"B",IF('Data Source'!AD950&gt;=2,"C",IF('Data Source'!AD950&gt;=1,"D","F")))))),"")</f>
        <v/>
      </c>
      <c r="M950" s="3">
        <f>IF(AND('Data Source'!B950&lt;&gt;"",'Data Source'!S950="F"),IF('Data Source'!AE950&gt;=5,"A+",IF('Data Source'!AE950&gt;=4,"A",IF('Data Source'!AE950&gt;=3.5,"A-",IF('Data Source'!AE950&gt;=3,"B",IF('Data Source'!AE950&gt;=2,"C",IF('Data Source'!AE950&gt;=1,"D","F")))))),"")</f>
        <v/>
      </c>
      <c r="N950" s="3">
        <f>IF(AND('Data Source'!B950&lt;&gt;"",'Data Source'!S950="F"),IF('Data Source'!AF950&gt;=5,"A+",IF('Data Source'!AF950&gt;=4,"A",IF('Data Source'!AF950&gt;=3.5,"A-",IF('Data Source'!AF950&gt;=3,"B",IF('Data Source'!AF950&gt;=2,"C",IF('Data Source'!AF950&gt;=1,"D","F")))))),"")</f>
        <v/>
      </c>
      <c r="O950" s="3">
        <f>IF(AND('Data Source'!B950&lt;&gt;"",'Data Source'!S950="F"),IF('Data Source'!AG950&gt;=5,"A+",IF('Data Source'!AG950&gt;=4,"A",IF('Data Source'!AG950&gt;=3.5,"A-",IF('Data Source'!AG950&gt;=3,"B",IF('Data Source'!AG950&gt;=2,"C",IF('Data Source'!AG950&gt;=1,"D","F")))))),"")</f>
        <v/>
      </c>
      <c r="P950" s="5">
        <f>IF(AND('Data Source'!B950&lt;&gt;"",'Data Source'!S950="F"),'Data Source'!R950,"")</f>
        <v/>
      </c>
      <c r="Q950" s="3">
        <f>IF(AND('Data Source'!B950&lt;&gt;"",'Data Source'!S950="F"),'Data Source'!S950,"")</f>
        <v/>
      </c>
    </row>
    <row r="951">
      <c r="A951" s="3">
        <f>IF(AND('Data Source'!B951&lt;&gt;"",'Data Source'!S951="F"),COUNTIF('Data Source'!$S$3:S951,"F"),"")</f>
        <v/>
      </c>
      <c r="B951">
        <f>IF(AND('Data Source'!B951&lt;&gt;"",'Data Source'!S951="F"),'Data Source'!B951,"")</f>
        <v/>
      </c>
      <c r="C951" s="3">
        <f>IF(AND('Data Source'!B951&lt;&gt;"",'Data Source'!S951="F"),IF('Data Source'!U951&gt;=5,"A+",IF('Data Source'!U951&gt;=4,"A",IF('Data Source'!U951&gt;=3.5,"A-",IF('Data Source'!U951&gt;=3,"B",IF('Data Source'!U951&gt;=2,"C",IF('Data Source'!U951&gt;=1,"D","F")))))),"")</f>
        <v/>
      </c>
      <c r="D951" s="3">
        <f>IF(AND('Data Source'!B951&lt;&gt;"",'Data Source'!S951="F"),IF('Data Source'!V951&gt;=5,"A+",IF('Data Source'!V951&gt;=4,"A",IF('Data Source'!V951&gt;=3.5,"A-",IF('Data Source'!V951&gt;=3,"B",IF('Data Source'!V951&gt;=2,"C",IF('Data Source'!V951&gt;=1,"D","F")))))),"")</f>
        <v/>
      </c>
      <c r="E951" s="3">
        <f>IF(AND('Data Source'!B951&lt;&gt;"",'Data Source'!S951="F"),IF('Data Source'!W951&gt;=5,"A+",IF('Data Source'!W951&gt;=4,"A",IF('Data Source'!W951&gt;=3.5,"A-",IF('Data Source'!W951&gt;=3,"B",IF('Data Source'!W951&gt;=2,"C",IF('Data Source'!W951&gt;=1,"D","F")))))),"")</f>
        <v/>
      </c>
      <c r="F951" s="3">
        <f>IF(AND('Data Source'!B951&lt;&gt;"",'Data Source'!S951="F"),IF('Data Source'!X951&gt;=5,"A+",IF('Data Source'!X951&gt;=4,"A",IF('Data Source'!X951&gt;=3.5,"A-",IF('Data Source'!X951&gt;=3,"B",IF('Data Source'!X951&gt;=2,"C",IF('Data Source'!X951&gt;=1,"D","F")))))),"")</f>
        <v/>
      </c>
      <c r="G951" s="3">
        <f>IF(AND('Data Source'!B951&lt;&gt;"",'Data Source'!S951="F"),IF('Data Source'!Y951&gt;=5,"A+",IF('Data Source'!Y951&gt;=4,"A",IF('Data Source'!Y951&gt;=3.5,"A-",IF('Data Source'!Y951&gt;=3,"B",IF('Data Source'!Y951&gt;=2,"C",IF('Data Source'!Y951&gt;=1,"D","F")))))),"")</f>
        <v/>
      </c>
      <c r="H951" s="3">
        <f>IF(AND('Data Source'!B951&lt;&gt;"",'Data Source'!S951="F"),IF('Data Source'!Z951&gt;=5,"A+",IF('Data Source'!Z951&gt;=4,"A",IF('Data Source'!Z951&gt;=3.5,"A-",IF('Data Source'!Z951&gt;=3,"B",IF('Data Source'!Z951&gt;=2,"C",IF('Data Source'!Z951&gt;=1,"D","F")))))),"")</f>
        <v/>
      </c>
      <c r="I951" s="3">
        <f>IF(AND('Data Source'!B951&lt;&gt;"",'Data Source'!S951="F"),IF('Data Source'!AA951&gt;=5,"A+",IF('Data Source'!AA951&gt;=4,"A",IF('Data Source'!AA951&gt;=3.5,"A-",IF('Data Source'!AA951&gt;=3,"B",IF('Data Source'!AA951&gt;=2,"C",IF('Data Source'!AA951&gt;=1,"D","F")))))),"")</f>
        <v/>
      </c>
      <c r="J951" s="3">
        <f>IF(AND('Data Source'!B951&lt;&gt;"",'Data Source'!S951="F"),IF('Data Source'!AB951&gt;=5,"A+",IF('Data Source'!AB951&gt;=4,"A",IF('Data Source'!AB951&gt;=3.5,"A-",IF('Data Source'!AB951&gt;=3,"B",IF('Data Source'!AB951&gt;=2,"C",IF('Data Source'!AB951&gt;=1,"D","F")))))),"")</f>
        <v/>
      </c>
      <c r="K951" s="3">
        <f>IF(AND('Data Source'!B951&lt;&gt;"",'Data Source'!S951="F"),IF('Data Source'!AC951&gt;=5,"A+",IF('Data Source'!AC951&gt;=4,"A",IF('Data Source'!AC951&gt;=3.5,"A-",IF('Data Source'!AC951&gt;=3,"B",IF('Data Source'!AC951&gt;=2,"C",IF('Data Source'!AC951&gt;=1,"D","F")))))),"")</f>
        <v/>
      </c>
      <c r="L951" s="3">
        <f>IF(AND('Data Source'!B951&lt;&gt;"",'Data Source'!S951="F"),IF('Data Source'!AD951&gt;=5,"A+",IF('Data Source'!AD951&gt;=4,"A",IF('Data Source'!AD951&gt;=3.5,"A-",IF('Data Source'!AD951&gt;=3,"B",IF('Data Source'!AD951&gt;=2,"C",IF('Data Source'!AD951&gt;=1,"D","F")))))),"")</f>
        <v/>
      </c>
      <c r="M951" s="3">
        <f>IF(AND('Data Source'!B951&lt;&gt;"",'Data Source'!S951="F"),IF('Data Source'!AE951&gt;=5,"A+",IF('Data Source'!AE951&gt;=4,"A",IF('Data Source'!AE951&gt;=3.5,"A-",IF('Data Source'!AE951&gt;=3,"B",IF('Data Source'!AE951&gt;=2,"C",IF('Data Source'!AE951&gt;=1,"D","F")))))),"")</f>
        <v/>
      </c>
      <c r="N951" s="3">
        <f>IF(AND('Data Source'!B951&lt;&gt;"",'Data Source'!S951="F"),IF('Data Source'!AF951&gt;=5,"A+",IF('Data Source'!AF951&gt;=4,"A",IF('Data Source'!AF951&gt;=3.5,"A-",IF('Data Source'!AF951&gt;=3,"B",IF('Data Source'!AF951&gt;=2,"C",IF('Data Source'!AF951&gt;=1,"D","F")))))),"")</f>
        <v/>
      </c>
      <c r="O951" s="3">
        <f>IF(AND('Data Source'!B951&lt;&gt;"",'Data Source'!S951="F"),IF('Data Source'!AG951&gt;=5,"A+",IF('Data Source'!AG951&gt;=4,"A",IF('Data Source'!AG951&gt;=3.5,"A-",IF('Data Source'!AG951&gt;=3,"B",IF('Data Source'!AG951&gt;=2,"C",IF('Data Source'!AG951&gt;=1,"D","F")))))),"")</f>
        <v/>
      </c>
      <c r="P951" s="5">
        <f>IF(AND('Data Source'!B951&lt;&gt;"",'Data Source'!S951="F"),'Data Source'!R951,"")</f>
        <v/>
      </c>
      <c r="Q951" s="3">
        <f>IF(AND('Data Source'!B951&lt;&gt;"",'Data Source'!S951="F"),'Data Source'!S951,"")</f>
        <v/>
      </c>
    </row>
    <row r="952">
      <c r="A952" s="3">
        <f>IF(AND('Data Source'!B952&lt;&gt;"",'Data Source'!S952="F"),COUNTIF('Data Source'!$S$3:S952,"F"),"")</f>
        <v/>
      </c>
      <c r="B952">
        <f>IF(AND('Data Source'!B952&lt;&gt;"",'Data Source'!S952="F"),'Data Source'!B952,"")</f>
        <v/>
      </c>
      <c r="C952" s="3">
        <f>IF(AND('Data Source'!B952&lt;&gt;"",'Data Source'!S952="F"),IF('Data Source'!U952&gt;=5,"A+",IF('Data Source'!U952&gt;=4,"A",IF('Data Source'!U952&gt;=3.5,"A-",IF('Data Source'!U952&gt;=3,"B",IF('Data Source'!U952&gt;=2,"C",IF('Data Source'!U952&gt;=1,"D","F")))))),"")</f>
        <v/>
      </c>
      <c r="D952" s="3">
        <f>IF(AND('Data Source'!B952&lt;&gt;"",'Data Source'!S952="F"),IF('Data Source'!V952&gt;=5,"A+",IF('Data Source'!V952&gt;=4,"A",IF('Data Source'!V952&gt;=3.5,"A-",IF('Data Source'!V952&gt;=3,"B",IF('Data Source'!V952&gt;=2,"C",IF('Data Source'!V952&gt;=1,"D","F")))))),"")</f>
        <v/>
      </c>
      <c r="E952" s="3">
        <f>IF(AND('Data Source'!B952&lt;&gt;"",'Data Source'!S952="F"),IF('Data Source'!W952&gt;=5,"A+",IF('Data Source'!W952&gt;=4,"A",IF('Data Source'!W952&gt;=3.5,"A-",IF('Data Source'!W952&gt;=3,"B",IF('Data Source'!W952&gt;=2,"C",IF('Data Source'!W952&gt;=1,"D","F")))))),"")</f>
        <v/>
      </c>
      <c r="F952" s="3">
        <f>IF(AND('Data Source'!B952&lt;&gt;"",'Data Source'!S952="F"),IF('Data Source'!X952&gt;=5,"A+",IF('Data Source'!X952&gt;=4,"A",IF('Data Source'!X952&gt;=3.5,"A-",IF('Data Source'!X952&gt;=3,"B",IF('Data Source'!X952&gt;=2,"C",IF('Data Source'!X952&gt;=1,"D","F")))))),"")</f>
        <v/>
      </c>
      <c r="G952" s="3">
        <f>IF(AND('Data Source'!B952&lt;&gt;"",'Data Source'!S952="F"),IF('Data Source'!Y952&gt;=5,"A+",IF('Data Source'!Y952&gt;=4,"A",IF('Data Source'!Y952&gt;=3.5,"A-",IF('Data Source'!Y952&gt;=3,"B",IF('Data Source'!Y952&gt;=2,"C",IF('Data Source'!Y952&gt;=1,"D","F")))))),"")</f>
        <v/>
      </c>
      <c r="H952" s="3">
        <f>IF(AND('Data Source'!B952&lt;&gt;"",'Data Source'!S952="F"),IF('Data Source'!Z952&gt;=5,"A+",IF('Data Source'!Z952&gt;=4,"A",IF('Data Source'!Z952&gt;=3.5,"A-",IF('Data Source'!Z952&gt;=3,"B",IF('Data Source'!Z952&gt;=2,"C",IF('Data Source'!Z952&gt;=1,"D","F")))))),"")</f>
        <v/>
      </c>
      <c r="I952" s="3">
        <f>IF(AND('Data Source'!B952&lt;&gt;"",'Data Source'!S952="F"),IF('Data Source'!AA952&gt;=5,"A+",IF('Data Source'!AA952&gt;=4,"A",IF('Data Source'!AA952&gt;=3.5,"A-",IF('Data Source'!AA952&gt;=3,"B",IF('Data Source'!AA952&gt;=2,"C",IF('Data Source'!AA952&gt;=1,"D","F")))))),"")</f>
        <v/>
      </c>
      <c r="J952" s="3">
        <f>IF(AND('Data Source'!B952&lt;&gt;"",'Data Source'!S952="F"),IF('Data Source'!AB952&gt;=5,"A+",IF('Data Source'!AB952&gt;=4,"A",IF('Data Source'!AB952&gt;=3.5,"A-",IF('Data Source'!AB952&gt;=3,"B",IF('Data Source'!AB952&gt;=2,"C",IF('Data Source'!AB952&gt;=1,"D","F")))))),"")</f>
        <v/>
      </c>
      <c r="K952" s="3">
        <f>IF(AND('Data Source'!B952&lt;&gt;"",'Data Source'!S952="F"),IF('Data Source'!AC952&gt;=5,"A+",IF('Data Source'!AC952&gt;=4,"A",IF('Data Source'!AC952&gt;=3.5,"A-",IF('Data Source'!AC952&gt;=3,"B",IF('Data Source'!AC952&gt;=2,"C",IF('Data Source'!AC952&gt;=1,"D","F")))))),"")</f>
        <v/>
      </c>
      <c r="L952" s="3">
        <f>IF(AND('Data Source'!B952&lt;&gt;"",'Data Source'!S952="F"),IF('Data Source'!AD952&gt;=5,"A+",IF('Data Source'!AD952&gt;=4,"A",IF('Data Source'!AD952&gt;=3.5,"A-",IF('Data Source'!AD952&gt;=3,"B",IF('Data Source'!AD952&gt;=2,"C",IF('Data Source'!AD952&gt;=1,"D","F")))))),"")</f>
        <v/>
      </c>
      <c r="M952" s="3">
        <f>IF(AND('Data Source'!B952&lt;&gt;"",'Data Source'!S952="F"),IF('Data Source'!AE952&gt;=5,"A+",IF('Data Source'!AE952&gt;=4,"A",IF('Data Source'!AE952&gt;=3.5,"A-",IF('Data Source'!AE952&gt;=3,"B",IF('Data Source'!AE952&gt;=2,"C",IF('Data Source'!AE952&gt;=1,"D","F")))))),"")</f>
        <v/>
      </c>
      <c r="N952" s="3">
        <f>IF(AND('Data Source'!B952&lt;&gt;"",'Data Source'!S952="F"),IF('Data Source'!AF952&gt;=5,"A+",IF('Data Source'!AF952&gt;=4,"A",IF('Data Source'!AF952&gt;=3.5,"A-",IF('Data Source'!AF952&gt;=3,"B",IF('Data Source'!AF952&gt;=2,"C",IF('Data Source'!AF952&gt;=1,"D","F")))))),"")</f>
        <v/>
      </c>
      <c r="O952" s="3">
        <f>IF(AND('Data Source'!B952&lt;&gt;"",'Data Source'!S952="F"),IF('Data Source'!AG952&gt;=5,"A+",IF('Data Source'!AG952&gt;=4,"A",IF('Data Source'!AG952&gt;=3.5,"A-",IF('Data Source'!AG952&gt;=3,"B",IF('Data Source'!AG952&gt;=2,"C",IF('Data Source'!AG952&gt;=1,"D","F")))))),"")</f>
        <v/>
      </c>
      <c r="P952" s="5">
        <f>IF(AND('Data Source'!B952&lt;&gt;"",'Data Source'!S952="F"),'Data Source'!R952,"")</f>
        <v/>
      </c>
      <c r="Q952" s="3">
        <f>IF(AND('Data Source'!B952&lt;&gt;"",'Data Source'!S952="F"),'Data Source'!S952,"")</f>
        <v/>
      </c>
    </row>
    <row r="953">
      <c r="A953" s="3">
        <f>IF(AND('Data Source'!B953&lt;&gt;"",'Data Source'!S953="F"),COUNTIF('Data Source'!$S$3:S953,"F"),"")</f>
        <v/>
      </c>
      <c r="B953">
        <f>IF(AND('Data Source'!B953&lt;&gt;"",'Data Source'!S953="F"),'Data Source'!B953,"")</f>
        <v/>
      </c>
      <c r="C953" s="3">
        <f>IF(AND('Data Source'!B953&lt;&gt;"",'Data Source'!S953="F"),IF('Data Source'!U953&gt;=5,"A+",IF('Data Source'!U953&gt;=4,"A",IF('Data Source'!U953&gt;=3.5,"A-",IF('Data Source'!U953&gt;=3,"B",IF('Data Source'!U953&gt;=2,"C",IF('Data Source'!U953&gt;=1,"D","F")))))),"")</f>
        <v/>
      </c>
      <c r="D953" s="3">
        <f>IF(AND('Data Source'!B953&lt;&gt;"",'Data Source'!S953="F"),IF('Data Source'!V953&gt;=5,"A+",IF('Data Source'!V953&gt;=4,"A",IF('Data Source'!V953&gt;=3.5,"A-",IF('Data Source'!V953&gt;=3,"B",IF('Data Source'!V953&gt;=2,"C",IF('Data Source'!V953&gt;=1,"D","F")))))),"")</f>
        <v/>
      </c>
      <c r="E953" s="3">
        <f>IF(AND('Data Source'!B953&lt;&gt;"",'Data Source'!S953="F"),IF('Data Source'!W953&gt;=5,"A+",IF('Data Source'!W953&gt;=4,"A",IF('Data Source'!W953&gt;=3.5,"A-",IF('Data Source'!W953&gt;=3,"B",IF('Data Source'!W953&gt;=2,"C",IF('Data Source'!W953&gt;=1,"D","F")))))),"")</f>
        <v/>
      </c>
      <c r="F953" s="3">
        <f>IF(AND('Data Source'!B953&lt;&gt;"",'Data Source'!S953="F"),IF('Data Source'!X953&gt;=5,"A+",IF('Data Source'!X953&gt;=4,"A",IF('Data Source'!X953&gt;=3.5,"A-",IF('Data Source'!X953&gt;=3,"B",IF('Data Source'!X953&gt;=2,"C",IF('Data Source'!X953&gt;=1,"D","F")))))),"")</f>
        <v/>
      </c>
      <c r="G953" s="3">
        <f>IF(AND('Data Source'!B953&lt;&gt;"",'Data Source'!S953="F"),IF('Data Source'!Y953&gt;=5,"A+",IF('Data Source'!Y953&gt;=4,"A",IF('Data Source'!Y953&gt;=3.5,"A-",IF('Data Source'!Y953&gt;=3,"B",IF('Data Source'!Y953&gt;=2,"C",IF('Data Source'!Y953&gt;=1,"D","F")))))),"")</f>
        <v/>
      </c>
      <c r="H953" s="3">
        <f>IF(AND('Data Source'!B953&lt;&gt;"",'Data Source'!S953="F"),IF('Data Source'!Z953&gt;=5,"A+",IF('Data Source'!Z953&gt;=4,"A",IF('Data Source'!Z953&gt;=3.5,"A-",IF('Data Source'!Z953&gt;=3,"B",IF('Data Source'!Z953&gt;=2,"C",IF('Data Source'!Z953&gt;=1,"D","F")))))),"")</f>
        <v/>
      </c>
      <c r="I953" s="3">
        <f>IF(AND('Data Source'!B953&lt;&gt;"",'Data Source'!S953="F"),IF('Data Source'!AA953&gt;=5,"A+",IF('Data Source'!AA953&gt;=4,"A",IF('Data Source'!AA953&gt;=3.5,"A-",IF('Data Source'!AA953&gt;=3,"B",IF('Data Source'!AA953&gt;=2,"C",IF('Data Source'!AA953&gt;=1,"D","F")))))),"")</f>
        <v/>
      </c>
      <c r="J953" s="3">
        <f>IF(AND('Data Source'!B953&lt;&gt;"",'Data Source'!S953="F"),IF('Data Source'!AB953&gt;=5,"A+",IF('Data Source'!AB953&gt;=4,"A",IF('Data Source'!AB953&gt;=3.5,"A-",IF('Data Source'!AB953&gt;=3,"B",IF('Data Source'!AB953&gt;=2,"C",IF('Data Source'!AB953&gt;=1,"D","F")))))),"")</f>
        <v/>
      </c>
      <c r="K953" s="3">
        <f>IF(AND('Data Source'!B953&lt;&gt;"",'Data Source'!S953="F"),IF('Data Source'!AC953&gt;=5,"A+",IF('Data Source'!AC953&gt;=4,"A",IF('Data Source'!AC953&gt;=3.5,"A-",IF('Data Source'!AC953&gt;=3,"B",IF('Data Source'!AC953&gt;=2,"C",IF('Data Source'!AC953&gt;=1,"D","F")))))),"")</f>
        <v/>
      </c>
      <c r="L953" s="3">
        <f>IF(AND('Data Source'!B953&lt;&gt;"",'Data Source'!S953="F"),IF('Data Source'!AD953&gt;=5,"A+",IF('Data Source'!AD953&gt;=4,"A",IF('Data Source'!AD953&gt;=3.5,"A-",IF('Data Source'!AD953&gt;=3,"B",IF('Data Source'!AD953&gt;=2,"C",IF('Data Source'!AD953&gt;=1,"D","F")))))),"")</f>
        <v/>
      </c>
      <c r="M953" s="3">
        <f>IF(AND('Data Source'!B953&lt;&gt;"",'Data Source'!S953="F"),IF('Data Source'!AE953&gt;=5,"A+",IF('Data Source'!AE953&gt;=4,"A",IF('Data Source'!AE953&gt;=3.5,"A-",IF('Data Source'!AE953&gt;=3,"B",IF('Data Source'!AE953&gt;=2,"C",IF('Data Source'!AE953&gt;=1,"D","F")))))),"")</f>
        <v/>
      </c>
      <c r="N953" s="3">
        <f>IF(AND('Data Source'!B953&lt;&gt;"",'Data Source'!S953="F"),IF('Data Source'!AF953&gt;=5,"A+",IF('Data Source'!AF953&gt;=4,"A",IF('Data Source'!AF953&gt;=3.5,"A-",IF('Data Source'!AF953&gt;=3,"B",IF('Data Source'!AF953&gt;=2,"C",IF('Data Source'!AF953&gt;=1,"D","F")))))),"")</f>
        <v/>
      </c>
      <c r="O953" s="3">
        <f>IF(AND('Data Source'!B953&lt;&gt;"",'Data Source'!S953="F"),IF('Data Source'!AG953&gt;=5,"A+",IF('Data Source'!AG953&gt;=4,"A",IF('Data Source'!AG953&gt;=3.5,"A-",IF('Data Source'!AG953&gt;=3,"B",IF('Data Source'!AG953&gt;=2,"C",IF('Data Source'!AG953&gt;=1,"D","F")))))),"")</f>
        <v/>
      </c>
      <c r="P953" s="5">
        <f>IF(AND('Data Source'!B953&lt;&gt;"",'Data Source'!S953="F"),'Data Source'!R953,"")</f>
        <v/>
      </c>
      <c r="Q953" s="3">
        <f>IF(AND('Data Source'!B953&lt;&gt;"",'Data Source'!S953="F"),'Data Source'!S953,"")</f>
        <v/>
      </c>
    </row>
    <row r="954">
      <c r="A954" s="3">
        <f>IF(AND('Data Source'!B954&lt;&gt;"",'Data Source'!S954="F"),COUNTIF('Data Source'!$S$3:S954,"F"),"")</f>
        <v/>
      </c>
      <c r="B954">
        <f>IF(AND('Data Source'!B954&lt;&gt;"",'Data Source'!S954="F"),'Data Source'!B954,"")</f>
        <v/>
      </c>
      <c r="C954" s="3">
        <f>IF(AND('Data Source'!B954&lt;&gt;"",'Data Source'!S954="F"),IF('Data Source'!U954&gt;=5,"A+",IF('Data Source'!U954&gt;=4,"A",IF('Data Source'!U954&gt;=3.5,"A-",IF('Data Source'!U954&gt;=3,"B",IF('Data Source'!U954&gt;=2,"C",IF('Data Source'!U954&gt;=1,"D","F")))))),"")</f>
        <v/>
      </c>
      <c r="D954" s="3">
        <f>IF(AND('Data Source'!B954&lt;&gt;"",'Data Source'!S954="F"),IF('Data Source'!V954&gt;=5,"A+",IF('Data Source'!V954&gt;=4,"A",IF('Data Source'!V954&gt;=3.5,"A-",IF('Data Source'!V954&gt;=3,"B",IF('Data Source'!V954&gt;=2,"C",IF('Data Source'!V954&gt;=1,"D","F")))))),"")</f>
        <v/>
      </c>
      <c r="E954" s="3">
        <f>IF(AND('Data Source'!B954&lt;&gt;"",'Data Source'!S954="F"),IF('Data Source'!W954&gt;=5,"A+",IF('Data Source'!W954&gt;=4,"A",IF('Data Source'!W954&gt;=3.5,"A-",IF('Data Source'!W954&gt;=3,"B",IF('Data Source'!W954&gt;=2,"C",IF('Data Source'!W954&gt;=1,"D","F")))))),"")</f>
        <v/>
      </c>
      <c r="F954" s="3">
        <f>IF(AND('Data Source'!B954&lt;&gt;"",'Data Source'!S954="F"),IF('Data Source'!X954&gt;=5,"A+",IF('Data Source'!X954&gt;=4,"A",IF('Data Source'!X954&gt;=3.5,"A-",IF('Data Source'!X954&gt;=3,"B",IF('Data Source'!X954&gt;=2,"C",IF('Data Source'!X954&gt;=1,"D","F")))))),"")</f>
        <v/>
      </c>
      <c r="G954" s="3">
        <f>IF(AND('Data Source'!B954&lt;&gt;"",'Data Source'!S954="F"),IF('Data Source'!Y954&gt;=5,"A+",IF('Data Source'!Y954&gt;=4,"A",IF('Data Source'!Y954&gt;=3.5,"A-",IF('Data Source'!Y954&gt;=3,"B",IF('Data Source'!Y954&gt;=2,"C",IF('Data Source'!Y954&gt;=1,"D","F")))))),"")</f>
        <v/>
      </c>
      <c r="H954" s="3">
        <f>IF(AND('Data Source'!B954&lt;&gt;"",'Data Source'!S954="F"),IF('Data Source'!Z954&gt;=5,"A+",IF('Data Source'!Z954&gt;=4,"A",IF('Data Source'!Z954&gt;=3.5,"A-",IF('Data Source'!Z954&gt;=3,"B",IF('Data Source'!Z954&gt;=2,"C",IF('Data Source'!Z954&gt;=1,"D","F")))))),"")</f>
        <v/>
      </c>
      <c r="I954" s="3">
        <f>IF(AND('Data Source'!B954&lt;&gt;"",'Data Source'!S954="F"),IF('Data Source'!AA954&gt;=5,"A+",IF('Data Source'!AA954&gt;=4,"A",IF('Data Source'!AA954&gt;=3.5,"A-",IF('Data Source'!AA954&gt;=3,"B",IF('Data Source'!AA954&gt;=2,"C",IF('Data Source'!AA954&gt;=1,"D","F")))))),"")</f>
        <v/>
      </c>
      <c r="J954" s="3">
        <f>IF(AND('Data Source'!B954&lt;&gt;"",'Data Source'!S954="F"),IF('Data Source'!AB954&gt;=5,"A+",IF('Data Source'!AB954&gt;=4,"A",IF('Data Source'!AB954&gt;=3.5,"A-",IF('Data Source'!AB954&gt;=3,"B",IF('Data Source'!AB954&gt;=2,"C",IF('Data Source'!AB954&gt;=1,"D","F")))))),"")</f>
        <v/>
      </c>
      <c r="K954" s="3">
        <f>IF(AND('Data Source'!B954&lt;&gt;"",'Data Source'!S954="F"),IF('Data Source'!AC954&gt;=5,"A+",IF('Data Source'!AC954&gt;=4,"A",IF('Data Source'!AC954&gt;=3.5,"A-",IF('Data Source'!AC954&gt;=3,"B",IF('Data Source'!AC954&gt;=2,"C",IF('Data Source'!AC954&gt;=1,"D","F")))))),"")</f>
        <v/>
      </c>
      <c r="L954" s="3">
        <f>IF(AND('Data Source'!B954&lt;&gt;"",'Data Source'!S954="F"),IF('Data Source'!AD954&gt;=5,"A+",IF('Data Source'!AD954&gt;=4,"A",IF('Data Source'!AD954&gt;=3.5,"A-",IF('Data Source'!AD954&gt;=3,"B",IF('Data Source'!AD954&gt;=2,"C",IF('Data Source'!AD954&gt;=1,"D","F")))))),"")</f>
        <v/>
      </c>
      <c r="M954" s="3">
        <f>IF(AND('Data Source'!B954&lt;&gt;"",'Data Source'!S954="F"),IF('Data Source'!AE954&gt;=5,"A+",IF('Data Source'!AE954&gt;=4,"A",IF('Data Source'!AE954&gt;=3.5,"A-",IF('Data Source'!AE954&gt;=3,"B",IF('Data Source'!AE954&gt;=2,"C",IF('Data Source'!AE954&gt;=1,"D","F")))))),"")</f>
        <v/>
      </c>
      <c r="N954" s="3">
        <f>IF(AND('Data Source'!B954&lt;&gt;"",'Data Source'!S954="F"),IF('Data Source'!AF954&gt;=5,"A+",IF('Data Source'!AF954&gt;=4,"A",IF('Data Source'!AF954&gt;=3.5,"A-",IF('Data Source'!AF954&gt;=3,"B",IF('Data Source'!AF954&gt;=2,"C",IF('Data Source'!AF954&gt;=1,"D","F")))))),"")</f>
        <v/>
      </c>
      <c r="O954" s="3">
        <f>IF(AND('Data Source'!B954&lt;&gt;"",'Data Source'!S954="F"),IF('Data Source'!AG954&gt;=5,"A+",IF('Data Source'!AG954&gt;=4,"A",IF('Data Source'!AG954&gt;=3.5,"A-",IF('Data Source'!AG954&gt;=3,"B",IF('Data Source'!AG954&gt;=2,"C",IF('Data Source'!AG954&gt;=1,"D","F")))))),"")</f>
        <v/>
      </c>
      <c r="P954" s="5">
        <f>IF(AND('Data Source'!B954&lt;&gt;"",'Data Source'!S954="F"),'Data Source'!R954,"")</f>
        <v/>
      </c>
      <c r="Q954" s="3">
        <f>IF(AND('Data Source'!B954&lt;&gt;"",'Data Source'!S954="F"),'Data Source'!S954,"")</f>
        <v/>
      </c>
    </row>
    <row r="955">
      <c r="A955" s="3">
        <f>IF(AND('Data Source'!B955&lt;&gt;"",'Data Source'!S955="F"),COUNTIF('Data Source'!$S$3:S955,"F"),"")</f>
        <v/>
      </c>
      <c r="B955">
        <f>IF(AND('Data Source'!B955&lt;&gt;"",'Data Source'!S955="F"),'Data Source'!B955,"")</f>
        <v/>
      </c>
      <c r="C955" s="3">
        <f>IF(AND('Data Source'!B955&lt;&gt;"",'Data Source'!S955="F"),IF('Data Source'!U955&gt;=5,"A+",IF('Data Source'!U955&gt;=4,"A",IF('Data Source'!U955&gt;=3.5,"A-",IF('Data Source'!U955&gt;=3,"B",IF('Data Source'!U955&gt;=2,"C",IF('Data Source'!U955&gt;=1,"D","F")))))),"")</f>
        <v/>
      </c>
      <c r="D955" s="3">
        <f>IF(AND('Data Source'!B955&lt;&gt;"",'Data Source'!S955="F"),IF('Data Source'!V955&gt;=5,"A+",IF('Data Source'!V955&gt;=4,"A",IF('Data Source'!V955&gt;=3.5,"A-",IF('Data Source'!V955&gt;=3,"B",IF('Data Source'!V955&gt;=2,"C",IF('Data Source'!V955&gt;=1,"D","F")))))),"")</f>
        <v/>
      </c>
      <c r="E955" s="3">
        <f>IF(AND('Data Source'!B955&lt;&gt;"",'Data Source'!S955="F"),IF('Data Source'!W955&gt;=5,"A+",IF('Data Source'!W955&gt;=4,"A",IF('Data Source'!W955&gt;=3.5,"A-",IF('Data Source'!W955&gt;=3,"B",IF('Data Source'!W955&gt;=2,"C",IF('Data Source'!W955&gt;=1,"D","F")))))),"")</f>
        <v/>
      </c>
      <c r="F955" s="3">
        <f>IF(AND('Data Source'!B955&lt;&gt;"",'Data Source'!S955="F"),IF('Data Source'!X955&gt;=5,"A+",IF('Data Source'!X955&gt;=4,"A",IF('Data Source'!X955&gt;=3.5,"A-",IF('Data Source'!X955&gt;=3,"B",IF('Data Source'!X955&gt;=2,"C",IF('Data Source'!X955&gt;=1,"D","F")))))),"")</f>
        <v/>
      </c>
      <c r="G955" s="3">
        <f>IF(AND('Data Source'!B955&lt;&gt;"",'Data Source'!S955="F"),IF('Data Source'!Y955&gt;=5,"A+",IF('Data Source'!Y955&gt;=4,"A",IF('Data Source'!Y955&gt;=3.5,"A-",IF('Data Source'!Y955&gt;=3,"B",IF('Data Source'!Y955&gt;=2,"C",IF('Data Source'!Y955&gt;=1,"D","F")))))),"")</f>
        <v/>
      </c>
      <c r="H955" s="3">
        <f>IF(AND('Data Source'!B955&lt;&gt;"",'Data Source'!S955="F"),IF('Data Source'!Z955&gt;=5,"A+",IF('Data Source'!Z955&gt;=4,"A",IF('Data Source'!Z955&gt;=3.5,"A-",IF('Data Source'!Z955&gt;=3,"B",IF('Data Source'!Z955&gt;=2,"C",IF('Data Source'!Z955&gt;=1,"D","F")))))),"")</f>
        <v/>
      </c>
      <c r="I955" s="3">
        <f>IF(AND('Data Source'!B955&lt;&gt;"",'Data Source'!S955="F"),IF('Data Source'!AA955&gt;=5,"A+",IF('Data Source'!AA955&gt;=4,"A",IF('Data Source'!AA955&gt;=3.5,"A-",IF('Data Source'!AA955&gt;=3,"B",IF('Data Source'!AA955&gt;=2,"C",IF('Data Source'!AA955&gt;=1,"D","F")))))),"")</f>
        <v/>
      </c>
      <c r="J955" s="3">
        <f>IF(AND('Data Source'!B955&lt;&gt;"",'Data Source'!S955="F"),IF('Data Source'!AB955&gt;=5,"A+",IF('Data Source'!AB955&gt;=4,"A",IF('Data Source'!AB955&gt;=3.5,"A-",IF('Data Source'!AB955&gt;=3,"B",IF('Data Source'!AB955&gt;=2,"C",IF('Data Source'!AB955&gt;=1,"D","F")))))),"")</f>
        <v/>
      </c>
      <c r="K955" s="3">
        <f>IF(AND('Data Source'!B955&lt;&gt;"",'Data Source'!S955="F"),IF('Data Source'!AC955&gt;=5,"A+",IF('Data Source'!AC955&gt;=4,"A",IF('Data Source'!AC955&gt;=3.5,"A-",IF('Data Source'!AC955&gt;=3,"B",IF('Data Source'!AC955&gt;=2,"C",IF('Data Source'!AC955&gt;=1,"D","F")))))),"")</f>
        <v/>
      </c>
      <c r="L955" s="3">
        <f>IF(AND('Data Source'!B955&lt;&gt;"",'Data Source'!S955="F"),IF('Data Source'!AD955&gt;=5,"A+",IF('Data Source'!AD955&gt;=4,"A",IF('Data Source'!AD955&gt;=3.5,"A-",IF('Data Source'!AD955&gt;=3,"B",IF('Data Source'!AD955&gt;=2,"C",IF('Data Source'!AD955&gt;=1,"D","F")))))),"")</f>
        <v/>
      </c>
      <c r="M955" s="3">
        <f>IF(AND('Data Source'!B955&lt;&gt;"",'Data Source'!S955="F"),IF('Data Source'!AE955&gt;=5,"A+",IF('Data Source'!AE955&gt;=4,"A",IF('Data Source'!AE955&gt;=3.5,"A-",IF('Data Source'!AE955&gt;=3,"B",IF('Data Source'!AE955&gt;=2,"C",IF('Data Source'!AE955&gt;=1,"D","F")))))),"")</f>
        <v/>
      </c>
      <c r="N955" s="3">
        <f>IF(AND('Data Source'!B955&lt;&gt;"",'Data Source'!S955="F"),IF('Data Source'!AF955&gt;=5,"A+",IF('Data Source'!AF955&gt;=4,"A",IF('Data Source'!AF955&gt;=3.5,"A-",IF('Data Source'!AF955&gt;=3,"B",IF('Data Source'!AF955&gt;=2,"C",IF('Data Source'!AF955&gt;=1,"D","F")))))),"")</f>
        <v/>
      </c>
      <c r="O955" s="3">
        <f>IF(AND('Data Source'!B955&lt;&gt;"",'Data Source'!S955="F"),IF('Data Source'!AG955&gt;=5,"A+",IF('Data Source'!AG955&gt;=4,"A",IF('Data Source'!AG955&gt;=3.5,"A-",IF('Data Source'!AG955&gt;=3,"B",IF('Data Source'!AG955&gt;=2,"C",IF('Data Source'!AG955&gt;=1,"D","F")))))),"")</f>
        <v/>
      </c>
      <c r="P955" s="5">
        <f>IF(AND('Data Source'!B955&lt;&gt;"",'Data Source'!S955="F"),'Data Source'!R955,"")</f>
        <v/>
      </c>
      <c r="Q955" s="3">
        <f>IF(AND('Data Source'!B955&lt;&gt;"",'Data Source'!S955="F"),'Data Source'!S955,"")</f>
        <v/>
      </c>
    </row>
    <row r="956">
      <c r="A956" s="3">
        <f>IF(AND('Data Source'!B956&lt;&gt;"",'Data Source'!S956="F"),COUNTIF('Data Source'!$S$3:S956,"F"),"")</f>
        <v/>
      </c>
      <c r="B956">
        <f>IF(AND('Data Source'!B956&lt;&gt;"",'Data Source'!S956="F"),'Data Source'!B956,"")</f>
        <v/>
      </c>
      <c r="C956" s="3">
        <f>IF(AND('Data Source'!B956&lt;&gt;"",'Data Source'!S956="F"),IF('Data Source'!U956&gt;=5,"A+",IF('Data Source'!U956&gt;=4,"A",IF('Data Source'!U956&gt;=3.5,"A-",IF('Data Source'!U956&gt;=3,"B",IF('Data Source'!U956&gt;=2,"C",IF('Data Source'!U956&gt;=1,"D","F")))))),"")</f>
        <v/>
      </c>
      <c r="D956" s="3">
        <f>IF(AND('Data Source'!B956&lt;&gt;"",'Data Source'!S956="F"),IF('Data Source'!V956&gt;=5,"A+",IF('Data Source'!V956&gt;=4,"A",IF('Data Source'!V956&gt;=3.5,"A-",IF('Data Source'!V956&gt;=3,"B",IF('Data Source'!V956&gt;=2,"C",IF('Data Source'!V956&gt;=1,"D","F")))))),"")</f>
        <v/>
      </c>
      <c r="E956" s="3">
        <f>IF(AND('Data Source'!B956&lt;&gt;"",'Data Source'!S956="F"),IF('Data Source'!W956&gt;=5,"A+",IF('Data Source'!W956&gt;=4,"A",IF('Data Source'!W956&gt;=3.5,"A-",IF('Data Source'!W956&gt;=3,"B",IF('Data Source'!W956&gt;=2,"C",IF('Data Source'!W956&gt;=1,"D","F")))))),"")</f>
        <v/>
      </c>
      <c r="F956" s="3">
        <f>IF(AND('Data Source'!B956&lt;&gt;"",'Data Source'!S956="F"),IF('Data Source'!X956&gt;=5,"A+",IF('Data Source'!X956&gt;=4,"A",IF('Data Source'!X956&gt;=3.5,"A-",IF('Data Source'!X956&gt;=3,"B",IF('Data Source'!X956&gt;=2,"C",IF('Data Source'!X956&gt;=1,"D","F")))))),"")</f>
        <v/>
      </c>
      <c r="G956" s="3">
        <f>IF(AND('Data Source'!B956&lt;&gt;"",'Data Source'!S956="F"),IF('Data Source'!Y956&gt;=5,"A+",IF('Data Source'!Y956&gt;=4,"A",IF('Data Source'!Y956&gt;=3.5,"A-",IF('Data Source'!Y956&gt;=3,"B",IF('Data Source'!Y956&gt;=2,"C",IF('Data Source'!Y956&gt;=1,"D","F")))))),"")</f>
        <v/>
      </c>
      <c r="H956" s="3">
        <f>IF(AND('Data Source'!B956&lt;&gt;"",'Data Source'!S956="F"),IF('Data Source'!Z956&gt;=5,"A+",IF('Data Source'!Z956&gt;=4,"A",IF('Data Source'!Z956&gt;=3.5,"A-",IF('Data Source'!Z956&gt;=3,"B",IF('Data Source'!Z956&gt;=2,"C",IF('Data Source'!Z956&gt;=1,"D","F")))))),"")</f>
        <v/>
      </c>
      <c r="I956" s="3">
        <f>IF(AND('Data Source'!B956&lt;&gt;"",'Data Source'!S956="F"),IF('Data Source'!AA956&gt;=5,"A+",IF('Data Source'!AA956&gt;=4,"A",IF('Data Source'!AA956&gt;=3.5,"A-",IF('Data Source'!AA956&gt;=3,"B",IF('Data Source'!AA956&gt;=2,"C",IF('Data Source'!AA956&gt;=1,"D","F")))))),"")</f>
        <v/>
      </c>
      <c r="J956" s="3">
        <f>IF(AND('Data Source'!B956&lt;&gt;"",'Data Source'!S956="F"),IF('Data Source'!AB956&gt;=5,"A+",IF('Data Source'!AB956&gt;=4,"A",IF('Data Source'!AB956&gt;=3.5,"A-",IF('Data Source'!AB956&gt;=3,"B",IF('Data Source'!AB956&gt;=2,"C",IF('Data Source'!AB956&gt;=1,"D","F")))))),"")</f>
        <v/>
      </c>
      <c r="K956" s="3">
        <f>IF(AND('Data Source'!B956&lt;&gt;"",'Data Source'!S956="F"),IF('Data Source'!AC956&gt;=5,"A+",IF('Data Source'!AC956&gt;=4,"A",IF('Data Source'!AC956&gt;=3.5,"A-",IF('Data Source'!AC956&gt;=3,"B",IF('Data Source'!AC956&gt;=2,"C",IF('Data Source'!AC956&gt;=1,"D","F")))))),"")</f>
        <v/>
      </c>
      <c r="L956" s="3">
        <f>IF(AND('Data Source'!B956&lt;&gt;"",'Data Source'!S956="F"),IF('Data Source'!AD956&gt;=5,"A+",IF('Data Source'!AD956&gt;=4,"A",IF('Data Source'!AD956&gt;=3.5,"A-",IF('Data Source'!AD956&gt;=3,"B",IF('Data Source'!AD956&gt;=2,"C",IF('Data Source'!AD956&gt;=1,"D","F")))))),"")</f>
        <v/>
      </c>
      <c r="M956" s="3">
        <f>IF(AND('Data Source'!B956&lt;&gt;"",'Data Source'!S956="F"),IF('Data Source'!AE956&gt;=5,"A+",IF('Data Source'!AE956&gt;=4,"A",IF('Data Source'!AE956&gt;=3.5,"A-",IF('Data Source'!AE956&gt;=3,"B",IF('Data Source'!AE956&gt;=2,"C",IF('Data Source'!AE956&gt;=1,"D","F")))))),"")</f>
        <v/>
      </c>
      <c r="N956" s="3">
        <f>IF(AND('Data Source'!B956&lt;&gt;"",'Data Source'!S956="F"),IF('Data Source'!AF956&gt;=5,"A+",IF('Data Source'!AF956&gt;=4,"A",IF('Data Source'!AF956&gt;=3.5,"A-",IF('Data Source'!AF956&gt;=3,"B",IF('Data Source'!AF956&gt;=2,"C",IF('Data Source'!AF956&gt;=1,"D","F")))))),"")</f>
        <v/>
      </c>
      <c r="O956" s="3">
        <f>IF(AND('Data Source'!B956&lt;&gt;"",'Data Source'!S956="F"),IF('Data Source'!AG956&gt;=5,"A+",IF('Data Source'!AG956&gt;=4,"A",IF('Data Source'!AG956&gt;=3.5,"A-",IF('Data Source'!AG956&gt;=3,"B",IF('Data Source'!AG956&gt;=2,"C",IF('Data Source'!AG956&gt;=1,"D","F")))))),"")</f>
        <v/>
      </c>
      <c r="P956" s="5">
        <f>IF(AND('Data Source'!B956&lt;&gt;"",'Data Source'!S956="F"),'Data Source'!R956,"")</f>
        <v/>
      </c>
      <c r="Q956" s="3">
        <f>IF(AND('Data Source'!B956&lt;&gt;"",'Data Source'!S956="F"),'Data Source'!S956,"")</f>
        <v/>
      </c>
    </row>
    <row r="957">
      <c r="A957" s="3">
        <f>IF(AND('Data Source'!B957&lt;&gt;"",'Data Source'!S957="F"),COUNTIF('Data Source'!$S$3:S957,"F"),"")</f>
        <v/>
      </c>
      <c r="B957">
        <f>IF(AND('Data Source'!B957&lt;&gt;"",'Data Source'!S957="F"),'Data Source'!B957,"")</f>
        <v/>
      </c>
      <c r="C957" s="3">
        <f>IF(AND('Data Source'!B957&lt;&gt;"",'Data Source'!S957="F"),IF('Data Source'!U957&gt;=5,"A+",IF('Data Source'!U957&gt;=4,"A",IF('Data Source'!U957&gt;=3.5,"A-",IF('Data Source'!U957&gt;=3,"B",IF('Data Source'!U957&gt;=2,"C",IF('Data Source'!U957&gt;=1,"D","F")))))),"")</f>
        <v/>
      </c>
      <c r="D957" s="3">
        <f>IF(AND('Data Source'!B957&lt;&gt;"",'Data Source'!S957="F"),IF('Data Source'!V957&gt;=5,"A+",IF('Data Source'!V957&gt;=4,"A",IF('Data Source'!V957&gt;=3.5,"A-",IF('Data Source'!V957&gt;=3,"B",IF('Data Source'!V957&gt;=2,"C",IF('Data Source'!V957&gt;=1,"D","F")))))),"")</f>
        <v/>
      </c>
      <c r="E957" s="3">
        <f>IF(AND('Data Source'!B957&lt;&gt;"",'Data Source'!S957="F"),IF('Data Source'!W957&gt;=5,"A+",IF('Data Source'!W957&gt;=4,"A",IF('Data Source'!W957&gt;=3.5,"A-",IF('Data Source'!W957&gt;=3,"B",IF('Data Source'!W957&gt;=2,"C",IF('Data Source'!W957&gt;=1,"D","F")))))),"")</f>
        <v/>
      </c>
      <c r="F957" s="3">
        <f>IF(AND('Data Source'!B957&lt;&gt;"",'Data Source'!S957="F"),IF('Data Source'!X957&gt;=5,"A+",IF('Data Source'!X957&gt;=4,"A",IF('Data Source'!X957&gt;=3.5,"A-",IF('Data Source'!X957&gt;=3,"B",IF('Data Source'!X957&gt;=2,"C",IF('Data Source'!X957&gt;=1,"D","F")))))),"")</f>
        <v/>
      </c>
      <c r="G957" s="3">
        <f>IF(AND('Data Source'!B957&lt;&gt;"",'Data Source'!S957="F"),IF('Data Source'!Y957&gt;=5,"A+",IF('Data Source'!Y957&gt;=4,"A",IF('Data Source'!Y957&gt;=3.5,"A-",IF('Data Source'!Y957&gt;=3,"B",IF('Data Source'!Y957&gt;=2,"C",IF('Data Source'!Y957&gt;=1,"D","F")))))),"")</f>
        <v/>
      </c>
      <c r="H957" s="3">
        <f>IF(AND('Data Source'!B957&lt;&gt;"",'Data Source'!S957="F"),IF('Data Source'!Z957&gt;=5,"A+",IF('Data Source'!Z957&gt;=4,"A",IF('Data Source'!Z957&gt;=3.5,"A-",IF('Data Source'!Z957&gt;=3,"B",IF('Data Source'!Z957&gt;=2,"C",IF('Data Source'!Z957&gt;=1,"D","F")))))),"")</f>
        <v/>
      </c>
      <c r="I957" s="3">
        <f>IF(AND('Data Source'!B957&lt;&gt;"",'Data Source'!S957="F"),IF('Data Source'!AA957&gt;=5,"A+",IF('Data Source'!AA957&gt;=4,"A",IF('Data Source'!AA957&gt;=3.5,"A-",IF('Data Source'!AA957&gt;=3,"B",IF('Data Source'!AA957&gt;=2,"C",IF('Data Source'!AA957&gt;=1,"D","F")))))),"")</f>
        <v/>
      </c>
      <c r="J957" s="3">
        <f>IF(AND('Data Source'!B957&lt;&gt;"",'Data Source'!S957="F"),IF('Data Source'!AB957&gt;=5,"A+",IF('Data Source'!AB957&gt;=4,"A",IF('Data Source'!AB957&gt;=3.5,"A-",IF('Data Source'!AB957&gt;=3,"B",IF('Data Source'!AB957&gt;=2,"C",IF('Data Source'!AB957&gt;=1,"D","F")))))),"")</f>
        <v/>
      </c>
      <c r="K957" s="3">
        <f>IF(AND('Data Source'!B957&lt;&gt;"",'Data Source'!S957="F"),IF('Data Source'!AC957&gt;=5,"A+",IF('Data Source'!AC957&gt;=4,"A",IF('Data Source'!AC957&gt;=3.5,"A-",IF('Data Source'!AC957&gt;=3,"B",IF('Data Source'!AC957&gt;=2,"C",IF('Data Source'!AC957&gt;=1,"D","F")))))),"")</f>
        <v/>
      </c>
      <c r="L957" s="3">
        <f>IF(AND('Data Source'!B957&lt;&gt;"",'Data Source'!S957="F"),IF('Data Source'!AD957&gt;=5,"A+",IF('Data Source'!AD957&gt;=4,"A",IF('Data Source'!AD957&gt;=3.5,"A-",IF('Data Source'!AD957&gt;=3,"B",IF('Data Source'!AD957&gt;=2,"C",IF('Data Source'!AD957&gt;=1,"D","F")))))),"")</f>
        <v/>
      </c>
      <c r="M957" s="3">
        <f>IF(AND('Data Source'!B957&lt;&gt;"",'Data Source'!S957="F"),IF('Data Source'!AE957&gt;=5,"A+",IF('Data Source'!AE957&gt;=4,"A",IF('Data Source'!AE957&gt;=3.5,"A-",IF('Data Source'!AE957&gt;=3,"B",IF('Data Source'!AE957&gt;=2,"C",IF('Data Source'!AE957&gt;=1,"D","F")))))),"")</f>
        <v/>
      </c>
      <c r="N957" s="3">
        <f>IF(AND('Data Source'!B957&lt;&gt;"",'Data Source'!S957="F"),IF('Data Source'!AF957&gt;=5,"A+",IF('Data Source'!AF957&gt;=4,"A",IF('Data Source'!AF957&gt;=3.5,"A-",IF('Data Source'!AF957&gt;=3,"B",IF('Data Source'!AF957&gt;=2,"C",IF('Data Source'!AF957&gt;=1,"D","F")))))),"")</f>
        <v/>
      </c>
      <c r="O957" s="3">
        <f>IF(AND('Data Source'!B957&lt;&gt;"",'Data Source'!S957="F"),IF('Data Source'!AG957&gt;=5,"A+",IF('Data Source'!AG957&gt;=4,"A",IF('Data Source'!AG957&gt;=3.5,"A-",IF('Data Source'!AG957&gt;=3,"B",IF('Data Source'!AG957&gt;=2,"C",IF('Data Source'!AG957&gt;=1,"D","F")))))),"")</f>
        <v/>
      </c>
      <c r="P957" s="5">
        <f>IF(AND('Data Source'!B957&lt;&gt;"",'Data Source'!S957="F"),'Data Source'!R957,"")</f>
        <v/>
      </c>
      <c r="Q957" s="3">
        <f>IF(AND('Data Source'!B957&lt;&gt;"",'Data Source'!S957="F"),'Data Source'!S957,"")</f>
        <v/>
      </c>
    </row>
    <row r="958">
      <c r="A958" s="3">
        <f>IF(AND('Data Source'!B958&lt;&gt;"",'Data Source'!S958="F"),COUNTIF('Data Source'!$S$3:S958,"F"),"")</f>
        <v/>
      </c>
      <c r="B958">
        <f>IF(AND('Data Source'!B958&lt;&gt;"",'Data Source'!S958="F"),'Data Source'!B958,"")</f>
        <v/>
      </c>
      <c r="C958" s="3">
        <f>IF(AND('Data Source'!B958&lt;&gt;"",'Data Source'!S958="F"),IF('Data Source'!U958&gt;=5,"A+",IF('Data Source'!U958&gt;=4,"A",IF('Data Source'!U958&gt;=3.5,"A-",IF('Data Source'!U958&gt;=3,"B",IF('Data Source'!U958&gt;=2,"C",IF('Data Source'!U958&gt;=1,"D","F")))))),"")</f>
        <v/>
      </c>
      <c r="D958" s="3">
        <f>IF(AND('Data Source'!B958&lt;&gt;"",'Data Source'!S958="F"),IF('Data Source'!V958&gt;=5,"A+",IF('Data Source'!V958&gt;=4,"A",IF('Data Source'!V958&gt;=3.5,"A-",IF('Data Source'!V958&gt;=3,"B",IF('Data Source'!V958&gt;=2,"C",IF('Data Source'!V958&gt;=1,"D","F")))))),"")</f>
        <v/>
      </c>
      <c r="E958" s="3">
        <f>IF(AND('Data Source'!B958&lt;&gt;"",'Data Source'!S958="F"),IF('Data Source'!W958&gt;=5,"A+",IF('Data Source'!W958&gt;=4,"A",IF('Data Source'!W958&gt;=3.5,"A-",IF('Data Source'!W958&gt;=3,"B",IF('Data Source'!W958&gt;=2,"C",IF('Data Source'!W958&gt;=1,"D","F")))))),"")</f>
        <v/>
      </c>
      <c r="F958" s="3">
        <f>IF(AND('Data Source'!B958&lt;&gt;"",'Data Source'!S958="F"),IF('Data Source'!X958&gt;=5,"A+",IF('Data Source'!X958&gt;=4,"A",IF('Data Source'!X958&gt;=3.5,"A-",IF('Data Source'!X958&gt;=3,"B",IF('Data Source'!X958&gt;=2,"C",IF('Data Source'!X958&gt;=1,"D","F")))))),"")</f>
        <v/>
      </c>
      <c r="G958" s="3">
        <f>IF(AND('Data Source'!B958&lt;&gt;"",'Data Source'!S958="F"),IF('Data Source'!Y958&gt;=5,"A+",IF('Data Source'!Y958&gt;=4,"A",IF('Data Source'!Y958&gt;=3.5,"A-",IF('Data Source'!Y958&gt;=3,"B",IF('Data Source'!Y958&gt;=2,"C",IF('Data Source'!Y958&gt;=1,"D","F")))))),"")</f>
        <v/>
      </c>
      <c r="H958" s="3">
        <f>IF(AND('Data Source'!B958&lt;&gt;"",'Data Source'!S958="F"),IF('Data Source'!Z958&gt;=5,"A+",IF('Data Source'!Z958&gt;=4,"A",IF('Data Source'!Z958&gt;=3.5,"A-",IF('Data Source'!Z958&gt;=3,"B",IF('Data Source'!Z958&gt;=2,"C",IF('Data Source'!Z958&gt;=1,"D","F")))))),"")</f>
        <v/>
      </c>
      <c r="I958" s="3">
        <f>IF(AND('Data Source'!B958&lt;&gt;"",'Data Source'!S958="F"),IF('Data Source'!AA958&gt;=5,"A+",IF('Data Source'!AA958&gt;=4,"A",IF('Data Source'!AA958&gt;=3.5,"A-",IF('Data Source'!AA958&gt;=3,"B",IF('Data Source'!AA958&gt;=2,"C",IF('Data Source'!AA958&gt;=1,"D","F")))))),"")</f>
        <v/>
      </c>
      <c r="J958" s="3">
        <f>IF(AND('Data Source'!B958&lt;&gt;"",'Data Source'!S958="F"),IF('Data Source'!AB958&gt;=5,"A+",IF('Data Source'!AB958&gt;=4,"A",IF('Data Source'!AB958&gt;=3.5,"A-",IF('Data Source'!AB958&gt;=3,"B",IF('Data Source'!AB958&gt;=2,"C",IF('Data Source'!AB958&gt;=1,"D","F")))))),"")</f>
        <v/>
      </c>
      <c r="K958" s="3">
        <f>IF(AND('Data Source'!B958&lt;&gt;"",'Data Source'!S958="F"),IF('Data Source'!AC958&gt;=5,"A+",IF('Data Source'!AC958&gt;=4,"A",IF('Data Source'!AC958&gt;=3.5,"A-",IF('Data Source'!AC958&gt;=3,"B",IF('Data Source'!AC958&gt;=2,"C",IF('Data Source'!AC958&gt;=1,"D","F")))))),"")</f>
        <v/>
      </c>
      <c r="L958" s="3">
        <f>IF(AND('Data Source'!B958&lt;&gt;"",'Data Source'!S958="F"),IF('Data Source'!AD958&gt;=5,"A+",IF('Data Source'!AD958&gt;=4,"A",IF('Data Source'!AD958&gt;=3.5,"A-",IF('Data Source'!AD958&gt;=3,"B",IF('Data Source'!AD958&gt;=2,"C",IF('Data Source'!AD958&gt;=1,"D","F")))))),"")</f>
        <v/>
      </c>
      <c r="M958" s="3">
        <f>IF(AND('Data Source'!B958&lt;&gt;"",'Data Source'!S958="F"),IF('Data Source'!AE958&gt;=5,"A+",IF('Data Source'!AE958&gt;=4,"A",IF('Data Source'!AE958&gt;=3.5,"A-",IF('Data Source'!AE958&gt;=3,"B",IF('Data Source'!AE958&gt;=2,"C",IF('Data Source'!AE958&gt;=1,"D","F")))))),"")</f>
        <v/>
      </c>
      <c r="N958" s="3">
        <f>IF(AND('Data Source'!B958&lt;&gt;"",'Data Source'!S958="F"),IF('Data Source'!AF958&gt;=5,"A+",IF('Data Source'!AF958&gt;=4,"A",IF('Data Source'!AF958&gt;=3.5,"A-",IF('Data Source'!AF958&gt;=3,"B",IF('Data Source'!AF958&gt;=2,"C",IF('Data Source'!AF958&gt;=1,"D","F")))))),"")</f>
        <v/>
      </c>
      <c r="O958" s="3">
        <f>IF(AND('Data Source'!B958&lt;&gt;"",'Data Source'!S958="F"),IF('Data Source'!AG958&gt;=5,"A+",IF('Data Source'!AG958&gt;=4,"A",IF('Data Source'!AG958&gt;=3.5,"A-",IF('Data Source'!AG958&gt;=3,"B",IF('Data Source'!AG958&gt;=2,"C",IF('Data Source'!AG958&gt;=1,"D","F")))))),"")</f>
        <v/>
      </c>
      <c r="P958" s="5">
        <f>IF(AND('Data Source'!B958&lt;&gt;"",'Data Source'!S958="F"),'Data Source'!R958,"")</f>
        <v/>
      </c>
      <c r="Q958" s="3">
        <f>IF(AND('Data Source'!B958&lt;&gt;"",'Data Source'!S958="F"),'Data Source'!S958,"")</f>
        <v/>
      </c>
    </row>
    <row r="959">
      <c r="A959" s="3">
        <f>IF(AND('Data Source'!B959&lt;&gt;"",'Data Source'!S959="F"),COUNTIF('Data Source'!$S$3:S959,"F"),"")</f>
        <v/>
      </c>
      <c r="B959">
        <f>IF(AND('Data Source'!B959&lt;&gt;"",'Data Source'!S959="F"),'Data Source'!B959,"")</f>
        <v/>
      </c>
      <c r="C959" s="3">
        <f>IF(AND('Data Source'!B959&lt;&gt;"",'Data Source'!S959="F"),IF('Data Source'!U959&gt;=5,"A+",IF('Data Source'!U959&gt;=4,"A",IF('Data Source'!U959&gt;=3.5,"A-",IF('Data Source'!U959&gt;=3,"B",IF('Data Source'!U959&gt;=2,"C",IF('Data Source'!U959&gt;=1,"D","F")))))),"")</f>
        <v/>
      </c>
      <c r="D959" s="3">
        <f>IF(AND('Data Source'!B959&lt;&gt;"",'Data Source'!S959="F"),IF('Data Source'!V959&gt;=5,"A+",IF('Data Source'!V959&gt;=4,"A",IF('Data Source'!V959&gt;=3.5,"A-",IF('Data Source'!V959&gt;=3,"B",IF('Data Source'!V959&gt;=2,"C",IF('Data Source'!V959&gt;=1,"D","F")))))),"")</f>
        <v/>
      </c>
      <c r="E959" s="3">
        <f>IF(AND('Data Source'!B959&lt;&gt;"",'Data Source'!S959="F"),IF('Data Source'!W959&gt;=5,"A+",IF('Data Source'!W959&gt;=4,"A",IF('Data Source'!W959&gt;=3.5,"A-",IF('Data Source'!W959&gt;=3,"B",IF('Data Source'!W959&gt;=2,"C",IF('Data Source'!W959&gt;=1,"D","F")))))),"")</f>
        <v/>
      </c>
      <c r="F959" s="3">
        <f>IF(AND('Data Source'!B959&lt;&gt;"",'Data Source'!S959="F"),IF('Data Source'!X959&gt;=5,"A+",IF('Data Source'!X959&gt;=4,"A",IF('Data Source'!X959&gt;=3.5,"A-",IF('Data Source'!X959&gt;=3,"B",IF('Data Source'!X959&gt;=2,"C",IF('Data Source'!X959&gt;=1,"D","F")))))),"")</f>
        <v/>
      </c>
      <c r="G959" s="3">
        <f>IF(AND('Data Source'!B959&lt;&gt;"",'Data Source'!S959="F"),IF('Data Source'!Y959&gt;=5,"A+",IF('Data Source'!Y959&gt;=4,"A",IF('Data Source'!Y959&gt;=3.5,"A-",IF('Data Source'!Y959&gt;=3,"B",IF('Data Source'!Y959&gt;=2,"C",IF('Data Source'!Y959&gt;=1,"D","F")))))),"")</f>
        <v/>
      </c>
      <c r="H959" s="3">
        <f>IF(AND('Data Source'!B959&lt;&gt;"",'Data Source'!S959="F"),IF('Data Source'!Z959&gt;=5,"A+",IF('Data Source'!Z959&gt;=4,"A",IF('Data Source'!Z959&gt;=3.5,"A-",IF('Data Source'!Z959&gt;=3,"B",IF('Data Source'!Z959&gt;=2,"C",IF('Data Source'!Z959&gt;=1,"D","F")))))),"")</f>
        <v/>
      </c>
      <c r="I959" s="3">
        <f>IF(AND('Data Source'!B959&lt;&gt;"",'Data Source'!S959="F"),IF('Data Source'!AA959&gt;=5,"A+",IF('Data Source'!AA959&gt;=4,"A",IF('Data Source'!AA959&gt;=3.5,"A-",IF('Data Source'!AA959&gt;=3,"B",IF('Data Source'!AA959&gt;=2,"C",IF('Data Source'!AA959&gt;=1,"D","F")))))),"")</f>
        <v/>
      </c>
      <c r="J959" s="3">
        <f>IF(AND('Data Source'!B959&lt;&gt;"",'Data Source'!S959="F"),IF('Data Source'!AB959&gt;=5,"A+",IF('Data Source'!AB959&gt;=4,"A",IF('Data Source'!AB959&gt;=3.5,"A-",IF('Data Source'!AB959&gt;=3,"B",IF('Data Source'!AB959&gt;=2,"C",IF('Data Source'!AB959&gt;=1,"D","F")))))),"")</f>
        <v/>
      </c>
      <c r="K959" s="3">
        <f>IF(AND('Data Source'!B959&lt;&gt;"",'Data Source'!S959="F"),IF('Data Source'!AC959&gt;=5,"A+",IF('Data Source'!AC959&gt;=4,"A",IF('Data Source'!AC959&gt;=3.5,"A-",IF('Data Source'!AC959&gt;=3,"B",IF('Data Source'!AC959&gt;=2,"C",IF('Data Source'!AC959&gt;=1,"D","F")))))),"")</f>
        <v/>
      </c>
      <c r="L959" s="3">
        <f>IF(AND('Data Source'!B959&lt;&gt;"",'Data Source'!S959="F"),IF('Data Source'!AD959&gt;=5,"A+",IF('Data Source'!AD959&gt;=4,"A",IF('Data Source'!AD959&gt;=3.5,"A-",IF('Data Source'!AD959&gt;=3,"B",IF('Data Source'!AD959&gt;=2,"C",IF('Data Source'!AD959&gt;=1,"D","F")))))),"")</f>
        <v/>
      </c>
      <c r="M959" s="3">
        <f>IF(AND('Data Source'!B959&lt;&gt;"",'Data Source'!S959="F"),IF('Data Source'!AE959&gt;=5,"A+",IF('Data Source'!AE959&gt;=4,"A",IF('Data Source'!AE959&gt;=3.5,"A-",IF('Data Source'!AE959&gt;=3,"B",IF('Data Source'!AE959&gt;=2,"C",IF('Data Source'!AE959&gt;=1,"D","F")))))),"")</f>
        <v/>
      </c>
      <c r="N959" s="3">
        <f>IF(AND('Data Source'!B959&lt;&gt;"",'Data Source'!S959="F"),IF('Data Source'!AF959&gt;=5,"A+",IF('Data Source'!AF959&gt;=4,"A",IF('Data Source'!AF959&gt;=3.5,"A-",IF('Data Source'!AF959&gt;=3,"B",IF('Data Source'!AF959&gt;=2,"C",IF('Data Source'!AF959&gt;=1,"D","F")))))),"")</f>
        <v/>
      </c>
      <c r="O959" s="3">
        <f>IF(AND('Data Source'!B959&lt;&gt;"",'Data Source'!S959="F"),IF('Data Source'!AG959&gt;=5,"A+",IF('Data Source'!AG959&gt;=4,"A",IF('Data Source'!AG959&gt;=3.5,"A-",IF('Data Source'!AG959&gt;=3,"B",IF('Data Source'!AG959&gt;=2,"C",IF('Data Source'!AG959&gt;=1,"D","F")))))),"")</f>
        <v/>
      </c>
      <c r="P959" s="5">
        <f>IF(AND('Data Source'!B959&lt;&gt;"",'Data Source'!S959="F"),'Data Source'!R959,"")</f>
        <v/>
      </c>
      <c r="Q959" s="3">
        <f>IF(AND('Data Source'!B959&lt;&gt;"",'Data Source'!S959="F"),'Data Source'!S959,"")</f>
        <v/>
      </c>
    </row>
    <row r="960">
      <c r="A960" s="3">
        <f>IF(AND('Data Source'!B960&lt;&gt;"",'Data Source'!S960="F"),COUNTIF('Data Source'!$S$3:S960,"F"),"")</f>
        <v/>
      </c>
      <c r="B960">
        <f>IF(AND('Data Source'!B960&lt;&gt;"",'Data Source'!S960="F"),'Data Source'!B960,"")</f>
        <v/>
      </c>
      <c r="C960" s="3">
        <f>IF(AND('Data Source'!B960&lt;&gt;"",'Data Source'!S960="F"),IF('Data Source'!U960&gt;=5,"A+",IF('Data Source'!U960&gt;=4,"A",IF('Data Source'!U960&gt;=3.5,"A-",IF('Data Source'!U960&gt;=3,"B",IF('Data Source'!U960&gt;=2,"C",IF('Data Source'!U960&gt;=1,"D","F")))))),"")</f>
        <v/>
      </c>
      <c r="D960" s="3">
        <f>IF(AND('Data Source'!B960&lt;&gt;"",'Data Source'!S960="F"),IF('Data Source'!V960&gt;=5,"A+",IF('Data Source'!V960&gt;=4,"A",IF('Data Source'!V960&gt;=3.5,"A-",IF('Data Source'!V960&gt;=3,"B",IF('Data Source'!V960&gt;=2,"C",IF('Data Source'!V960&gt;=1,"D","F")))))),"")</f>
        <v/>
      </c>
      <c r="E960" s="3">
        <f>IF(AND('Data Source'!B960&lt;&gt;"",'Data Source'!S960="F"),IF('Data Source'!W960&gt;=5,"A+",IF('Data Source'!W960&gt;=4,"A",IF('Data Source'!W960&gt;=3.5,"A-",IF('Data Source'!W960&gt;=3,"B",IF('Data Source'!W960&gt;=2,"C",IF('Data Source'!W960&gt;=1,"D","F")))))),"")</f>
        <v/>
      </c>
      <c r="F960" s="3">
        <f>IF(AND('Data Source'!B960&lt;&gt;"",'Data Source'!S960="F"),IF('Data Source'!X960&gt;=5,"A+",IF('Data Source'!X960&gt;=4,"A",IF('Data Source'!X960&gt;=3.5,"A-",IF('Data Source'!X960&gt;=3,"B",IF('Data Source'!X960&gt;=2,"C",IF('Data Source'!X960&gt;=1,"D","F")))))),"")</f>
        <v/>
      </c>
      <c r="G960" s="3">
        <f>IF(AND('Data Source'!B960&lt;&gt;"",'Data Source'!S960="F"),IF('Data Source'!Y960&gt;=5,"A+",IF('Data Source'!Y960&gt;=4,"A",IF('Data Source'!Y960&gt;=3.5,"A-",IF('Data Source'!Y960&gt;=3,"B",IF('Data Source'!Y960&gt;=2,"C",IF('Data Source'!Y960&gt;=1,"D","F")))))),"")</f>
        <v/>
      </c>
      <c r="H960" s="3">
        <f>IF(AND('Data Source'!B960&lt;&gt;"",'Data Source'!S960="F"),IF('Data Source'!Z960&gt;=5,"A+",IF('Data Source'!Z960&gt;=4,"A",IF('Data Source'!Z960&gt;=3.5,"A-",IF('Data Source'!Z960&gt;=3,"B",IF('Data Source'!Z960&gt;=2,"C",IF('Data Source'!Z960&gt;=1,"D","F")))))),"")</f>
        <v/>
      </c>
      <c r="I960" s="3">
        <f>IF(AND('Data Source'!B960&lt;&gt;"",'Data Source'!S960="F"),IF('Data Source'!AA960&gt;=5,"A+",IF('Data Source'!AA960&gt;=4,"A",IF('Data Source'!AA960&gt;=3.5,"A-",IF('Data Source'!AA960&gt;=3,"B",IF('Data Source'!AA960&gt;=2,"C",IF('Data Source'!AA960&gt;=1,"D","F")))))),"")</f>
        <v/>
      </c>
      <c r="J960" s="3">
        <f>IF(AND('Data Source'!B960&lt;&gt;"",'Data Source'!S960="F"),IF('Data Source'!AB960&gt;=5,"A+",IF('Data Source'!AB960&gt;=4,"A",IF('Data Source'!AB960&gt;=3.5,"A-",IF('Data Source'!AB960&gt;=3,"B",IF('Data Source'!AB960&gt;=2,"C",IF('Data Source'!AB960&gt;=1,"D","F")))))),"")</f>
        <v/>
      </c>
      <c r="K960" s="3">
        <f>IF(AND('Data Source'!B960&lt;&gt;"",'Data Source'!S960="F"),IF('Data Source'!AC960&gt;=5,"A+",IF('Data Source'!AC960&gt;=4,"A",IF('Data Source'!AC960&gt;=3.5,"A-",IF('Data Source'!AC960&gt;=3,"B",IF('Data Source'!AC960&gt;=2,"C",IF('Data Source'!AC960&gt;=1,"D","F")))))),"")</f>
        <v/>
      </c>
      <c r="L960" s="3">
        <f>IF(AND('Data Source'!B960&lt;&gt;"",'Data Source'!S960="F"),IF('Data Source'!AD960&gt;=5,"A+",IF('Data Source'!AD960&gt;=4,"A",IF('Data Source'!AD960&gt;=3.5,"A-",IF('Data Source'!AD960&gt;=3,"B",IF('Data Source'!AD960&gt;=2,"C",IF('Data Source'!AD960&gt;=1,"D","F")))))),"")</f>
        <v/>
      </c>
      <c r="M960" s="3">
        <f>IF(AND('Data Source'!B960&lt;&gt;"",'Data Source'!S960="F"),IF('Data Source'!AE960&gt;=5,"A+",IF('Data Source'!AE960&gt;=4,"A",IF('Data Source'!AE960&gt;=3.5,"A-",IF('Data Source'!AE960&gt;=3,"B",IF('Data Source'!AE960&gt;=2,"C",IF('Data Source'!AE960&gt;=1,"D","F")))))),"")</f>
        <v/>
      </c>
      <c r="N960" s="3">
        <f>IF(AND('Data Source'!B960&lt;&gt;"",'Data Source'!S960="F"),IF('Data Source'!AF960&gt;=5,"A+",IF('Data Source'!AF960&gt;=4,"A",IF('Data Source'!AF960&gt;=3.5,"A-",IF('Data Source'!AF960&gt;=3,"B",IF('Data Source'!AF960&gt;=2,"C",IF('Data Source'!AF960&gt;=1,"D","F")))))),"")</f>
        <v/>
      </c>
      <c r="O960" s="3">
        <f>IF(AND('Data Source'!B960&lt;&gt;"",'Data Source'!S960="F"),IF('Data Source'!AG960&gt;=5,"A+",IF('Data Source'!AG960&gt;=4,"A",IF('Data Source'!AG960&gt;=3.5,"A-",IF('Data Source'!AG960&gt;=3,"B",IF('Data Source'!AG960&gt;=2,"C",IF('Data Source'!AG960&gt;=1,"D","F")))))),"")</f>
        <v/>
      </c>
      <c r="P960" s="5">
        <f>IF(AND('Data Source'!B960&lt;&gt;"",'Data Source'!S960="F"),'Data Source'!R960,"")</f>
        <v/>
      </c>
      <c r="Q960" s="3">
        <f>IF(AND('Data Source'!B960&lt;&gt;"",'Data Source'!S960="F"),'Data Source'!S960,"")</f>
        <v/>
      </c>
    </row>
    <row r="961">
      <c r="A961" s="3">
        <f>IF(AND('Data Source'!B961&lt;&gt;"",'Data Source'!S961="F"),COUNTIF('Data Source'!$S$3:S961,"F"),"")</f>
        <v/>
      </c>
      <c r="B961">
        <f>IF(AND('Data Source'!B961&lt;&gt;"",'Data Source'!S961="F"),'Data Source'!B961,"")</f>
        <v/>
      </c>
      <c r="C961" s="3">
        <f>IF(AND('Data Source'!B961&lt;&gt;"",'Data Source'!S961="F"),IF('Data Source'!U961&gt;=5,"A+",IF('Data Source'!U961&gt;=4,"A",IF('Data Source'!U961&gt;=3.5,"A-",IF('Data Source'!U961&gt;=3,"B",IF('Data Source'!U961&gt;=2,"C",IF('Data Source'!U961&gt;=1,"D","F")))))),"")</f>
        <v/>
      </c>
      <c r="D961" s="3">
        <f>IF(AND('Data Source'!B961&lt;&gt;"",'Data Source'!S961="F"),IF('Data Source'!V961&gt;=5,"A+",IF('Data Source'!V961&gt;=4,"A",IF('Data Source'!V961&gt;=3.5,"A-",IF('Data Source'!V961&gt;=3,"B",IF('Data Source'!V961&gt;=2,"C",IF('Data Source'!V961&gt;=1,"D","F")))))),"")</f>
        <v/>
      </c>
      <c r="E961" s="3">
        <f>IF(AND('Data Source'!B961&lt;&gt;"",'Data Source'!S961="F"),IF('Data Source'!W961&gt;=5,"A+",IF('Data Source'!W961&gt;=4,"A",IF('Data Source'!W961&gt;=3.5,"A-",IF('Data Source'!W961&gt;=3,"B",IF('Data Source'!W961&gt;=2,"C",IF('Data Source'!W961&gt;=1,"D","F")))))),"")</f>
        <v/>
      </c>
      <c r="F961" s="3">
        <f>IF(AND('Data Source'!B961&lt;&gt;"",'Data Source'!S961="F"),IF('Data Source'!X961&gt;=5,"A+",IF('Data Source'!X961&gt;=4,"A",IF('Data Source'!X961&gt;=3.5,"A-",IF('Data Source'!X961&gt;=3,"B",IF('Data Source'!X961&gt;=2,"C",IF('Data Source'!X961&gt;=1,"D","F")))))),"")</f>
        <v/>
      </c>
      <c r="G961" s="3">
        <f>IF(AND('Data Source'!B961&lt;&gt;"",'Data Source'!S961="F"),IF('Data Source'!Y961&gt;=5,"A+",IF('Data Source'!Y961&gt;=4,"A",IF('Data Source'!Y961&gt;=3.5,"A-",IF('Data Source'!Y961&gt;=3,"B",IF('Data Source'!Y961&gt;=2,"C",IF('Data Source'!Y961&gt;=1,"D","F")))))),"")</f>
        <v/>
      </c>
      <c r="H961" s="3">
        <f>IF(AND('Data Source'!B961&lt;&gt;"",'Data Source'!S961="F"),IF('Data Source'!Z961&gt;=5,"A+",IF('Data Source'!Z961&gt;=4,"A",IF('Data Source'!Z961&gt;=3.5,"A-",IF('Data Source'!Z961&gt;=3,"B",IF('Data Source'!Z961&gt;=2,"C",IF('Data Source'!Z961&gt;=1,"D","F")))))),"")</f>
        <v/>
      </c>
      <c r="I961" s="3">
        <f>IF(AND('Data Source'!B961&lt;&gt;"",'Data Source'!S961="F"),IF('Data Source'!AA961&gt;=5,"A+",IF('Data Source'!AA961&gt;=4,"A",IF('Data Source'!AA961&gt;=3.5,"A-",IF('Data Source'!AA961&gt;=3,"B",IF('Data Source'!AA961&gt;=2,"C",IF('Data Source'!AA961&gt;=1,"D","F")))))),"")</f>
        <v/>
      </c>
      <c r="J961" s="3">
        <f>IF(AND('Data Source'!B961&lt;&gt;"",'Data Source'!S961="F"),IF('Data Source'!AB961&gt;=5,"A+",IF('Data Source'!AB961&gt;=4,"A",IF('Data Source'!AB961&gt;=3.5,"A-",IF('Data Source'!AB961&gt;=3,"B",IF('Data Source'!AB961&gt;=2,"C",IF('Data Source'!AB961&gt;=1,"D","F")))))),"")</f>
        <v/>
      </c>
      <c r="K961" s="3">
        <f>IF(AND('Data Source'!B961&lt;&gt;"",'Data Source'!S961="F"),IF('Data Source'!AC961&gt;=5,"A+",IF('Data Source'!AC961&gt;=4,"A",IF('Data Source'!AC961&gt;=3.5,"A-",IF('Data Source'!AC961&gt;=3,"B",IF('Data Source'!AC961&gt;=2,"C",IF('Data Source'!AC961&gt;=1,"D","F")))))),"")</f>
        <v/>
      </c>
      <c r="L961" s="3">
        <f>IF(AND('Data Source'!B961&lt;&gt;"",'Data Source'!S961="F"),IF('Data Source'!AD961&gt;=5,"A+",IF('Data Source'!AD961&gt;=4,"A",IF('Data Source'!AD961&gt;=3.5,"A-",IF('Data Source'!AD961&gt;=3,"B",IF('Data Source'!AD961&gt;=2,"C",IF('Data Source'!AD961&gt;=1,"D","F")))))),"")</f>
        <v/>
      </c>
      <c r="M961" s="3">
        <f>IF(AND('Data Source'!B961&lt;&gt;"",'Data Source'!S961="F"),IF('Data Source'!AE961&gt;=5,"A+",IF('Data Source'!AE961&gt;=4,"A",IF('Data Source'!AE961&gt;=3.5,"A-",IF('Data Source'!AE961&gt;=3,"B",IF('Data Source'!AE961&gt;=2,"C",IF('Data Source'!AE961&gt;=1,"D","F")))))),"")</f>
        <v/>
      </c>
      <c r="N961" s="3">
        <f>IF(AND('Data Source'!B961&lt;&gt;"",'Data Source'!S961="F"),IF('Data Source'!AF961&gt;=5,"A+",IF('Data Source'!AF961&gt;=4,"A",IF('Data Source'!AF961&gt;=3.5,"A-",IF('Data Source'!AF961&gt;=3,"B",IF('Data Source'!AF961&gt;=2,"C",IF('Data Source'!AF961&gt;=1,"D","F")))))),"")</f>
        <v/>
      </c>
      <c r="O961" s="3">
        <f>IF(AND('Data Source'!B961&lt;&gt;"",'Data Source'!S961="F"),IF('Data Source'!AG961&gt;=5,"A+",IF('Data Source'!AG961&gt;=4,"A",IF('Data Source'!AG961&gt;=3.5,"A-",IF('Data Source'!AG961&gt;=3,"B",IF('Data Source'!AG961&gt;=2,"C",IF('Data Source'!AG961&gt;=1,"D","F")))))),"")</f>
        <v/>
      </c>
      <c r="P961" s="5">
        <f>IF(AND('Data Source'!B961&lt;&gt;"",'Data Source'!S961="F"),'Data Source'!R961,"")</f>
        <v/>
      </c>
      <c r="Q961" s="3">
        <f>IF(AND('Data Source'!B961&lt;&gt;"",'Data Source'!S961="F"),'Data Source'!S961,"")</f>
        <v/>
      </c>
    </row>
    <row r="962">
      <c r="A962" s="3">
        <f>IF(AND('Data Source'!B962&lt;&gt;"",'Data Source'!S962="F"),COUNTIF('Data Source'!$S$3:S962,"F"),"")</f>
        <v/>
      </c>
      <c r="B962">
        <f>IF(AND('Data Source'!B962&lt;&gt;"",'Data Source'!S962="F"),'Data Source'!B962,"")</f>
        <v/>
      </c>
      <c r="C962" s="3">
        <f>IF(AND('Data Source'!B962&lt;&gt;"",'Data Source'!S962="F"),IF('Data Source'!U962&gt;=5,"A+",IF('Data Source'!U962&gt;=4,"A",IF('Data Source'!U962&gt;=3.5,"A-",IF('Data Source'!U962&gt;=3,"B",IF('Data Source'!U962&gt;=2,"C",IF('Data Source'!U962&gt;=1,"D","F")))))),"")</f>
        <v/>
      </c>
      <c r="D962" s="3">
        <f>IF(AND('Data Source'!B962&lt;&gt;"",'Data Source'!S962="F"),IF('Data Source'!V962&gt;=5,"A+",IF('Data Source'!V962&gt;=4,"A",IF('Data Source'!V962&gt;=3.5,"A-",IF('Data Source'!V962&gt;=3,"B",IF('Data Source'!V962&gt;=2,"C",IF('Data Source'!V962&gt;=1,"D","F")))))),"")</f>
        <v/>
      </c>
      <c r="E962" s="3">
        <f>IF(AND('Data Source'!B962&lt;&gt;"",'Data Source'!S962="F"),IF('Data Source'!W962&gt;=5,"A+",IF('Data Source'!W962&gt;=4,"A",IF('Data Source'!W962&gt;=3.5,"A-",IF('Data Source'!W962&gt;=3,"B",IF('Data Source'!W962&gt;=2,"C",IF('Data Source'!W962&gt;=1,"D","F")))))),"")</f>
        <v/>
      </c>
      <c r="F962" s="3">
        <f>IF(AND('Data Source'!B962&lt;&gt;"",'Data Source'!S962="F"),IF('Data Source'!X962&gt;=5,"A+",IF('Data Source'!X962&gt;=4,"A",IF('Data Source'!X962&gt;=3.5,"A-",IF('Data Source'!X962&gt;=3,"B",IF('Data Source'!X962&gt;=2,"C",IF('Data Source'!X962&gt;=1,"D","F")))))),"")</f>
        <v/>
      </c>
      <c r="G962" s="3">
        <f>IF(AND('Data Source'!B962&lt;&gt;"",'Data Source'!S962="F"),IF('Data Source'!Y962&gt;=5,"A+",IF('Data Source'!Y962&gt;=4,"A",IF('Data Source'!Y962&gt;=3.5,"A-",IF('Data Source'!Y962&gt;=3,"B",IF('Data Source'!Y962&gt;=2,"C",IF('Data Source'!Y962&gt;=1,"D","F")))))),"")</f>
        <v/>
      </c>
      <c r="H962" s="3">
        <f>IF(AND('Data Source'!B962&lt;&gt;"",'Data Source'!S962="F"),IF('Data Source'!Z962&gt;=5,"A+",IF('Data Source'!Z962&gt;=4,"A",IF('Data Source'!Z962&gt;=3.5,"A-",IF('Data Source'!Z962&gt;=3,"B",IF('Data Source'!Z962&gt;=2,"C",IF('Data Source'!Z962&gt;=1,"D","F")))))),"")</f>
        <v/>
      </c>
      <c r="I962" s="3">
        <f>IF(AND('Data Source'!B962&lt;&gt;"",'Data Source'!S962="F"),IF('Data Source'!AA962&gt;=5,"A+",IF('Data Source'!AA962&gt;=4,"A",IF('Data Source'!AA962&gt;=3.5,"A-",IF('Data Source'!AA962&gt;=3,"B",IF('Data Source'!AA962&gt;=2,"C",IF('Data Source'!AA962&gt;=1,"D","F")))))),"")</f>
        <v/>
      </c>
      <c r="J962" s="3">
        <f>IF(AND('Data Source'!B962&lt;&gt;"",'Data Source'!S962="F"),IF('Data Source'!AB962&gt;=5,"A+",IF('Data Source'!AB962&gt;=4,"A",IF('Data Source'!AB962&gt;=3.5,"A-",IF('Data Source'!AB962&gt;=3,"B",IF('Data Source'!AB962&gt;=2,"C",IF('Data Source'!AB962&gt;=1,"D","F")))))),"")</f>
        <v/>
      </c>
      <c r="K962" s="3">
        <f>IF(AND('Data Source'!B962&lt;&gt;"",'Data Source'!S962="F"),IF('Data Source'!AC962&gt;=5,"A+",IF('Data Source'!AC962&gt;=4,"A",IF('Data Source'!AC962&gt;=3.5,"A-",IF('Data Source'!AC962&gt;=3,"B",IF('Data Source'!AC962&gt;=2,"C",IF('Data Source'!AC962&gt;=1,"D","F")))))),"")</f>
        <v/>
      </c>
      <c r="L962" s="3">
        <f>IF(AND('Data Source'!B962&lt;&gt;"",'Data Source'!S962="F"),IF('Data Source'!AD962&gt;=5,"A+",IF('Data Source'!AD962&gt;=4,"A",IF('Data Source'!AD962&gt;=3.5,"A-",IF('Data Source'!AD962&gt;=3,"B",IF('Data Source'!AD962&gt;=2,"C",IF('Data Source'!AD962&gt;=1,"D","F")))))),"")</f>
        <v/>
      </c>
      <c r="M962" s="3">
        <f>IF(AND('Data Source'!B962&lt;&gt;"",'Data Source'!S962="F"),IF('Data Source'!AE962&gt;=5,"A+",IF('Data Source'!AE962&gt;=4,"A",IF('Data Source'!AE962&gt;=3.5,"A-",IF('Data Source'!AE962&gt;=3,"B",IF('Data Source'!AE962&gt;=2,"C",IF('Data Source'!AE962&gt;=1,"D","F")))))),"")</f>
        <v/>
      </c>
      <c r="N962" s="3">
        <f>IF(AND('Data Source'!B962&lt;&gt;"",'Data Source'!S962="F"),IF('Data Source'!AF962&gt;=5,"A+",IF('Data Source'!AF962&gt;=4,"A",IF('Data Source'!AF962&gt;=3.5,"A-",IF('Data Source'!AF962&gt;=3,"B",IF('Data Source'!AF962&gt;=2,"C",IF('Data Source'!AF962&gt;=1,"D","F")))))),"")</f>
        <v/>
      </c>
      <c r="O962" s="3">
        <f>IF(AND('Data Source'!B962&lt;&gt;"",'Data Source'!S962="F"),IF('Data Source'!AG962&gt;=5,"A+",IF('Data Source'!AG962&gt;=4,"A",IF('Data Source'!AG962&gt;=3.5,"A-",IF('Data Source'!AG962&gt;=3,"B",IF('Data Source'!AG962&gt;=2,"C",IF('Data Source'!AG962&gt;=1,"D","F")))))),"")</f>
        <v/>
      </c>
      <c r="P962" s="5">
        <f>IF(AND('Data Source'!B962&lt;&gt;"",'Data Source'!S962="F"),'Data Source'!R962,"")</f>
        <v/>
      </c>
      <c r="Q962" s="3">
        <f>IF(AND('Data Source'!B962&lt;&gt;"",'Data Source'!S962="F"),'Data Source'!S962,"")</f>
        <v/>
      </c>
    </row>
    <row r="963">
      <c r="A963" s="3">
        <f>IF(AND('Data Source'!B963&lt;&gt;"",'Data Source'!S963="F"),COUNTIF('Data Source'!$S$3:S963,"F"),"")</f>
        <v/>
      </c>
      <c r="B963">
        <f>IF(AND('Data Source'!B963&lt;&gt;"",'Data Source'!S963="F"),'Data Source'!B963,"")</f>
        <v/>
      </c>
      <c r="C963" s="3">
        <f>IF(AND('Data Source'!B963&lt;&gt;"",'Data Source'!S963="F"),IF('Data Source'!U963&gt;=5,"A+",IF('Data Source'!U963&gt;=4,"A",IF('Data Source'!U963&gt;=3.5,"A-",IF('Data Source'!U963&gt;=3,"B",IF('Data Source'!U963&gt;=2,"C",IF('Data Source'!U963&gt;=1,"D","F")))))),"")</f>
        <v/>
      </c>
      <c r="D963" s="3">
        <f>IF(AND('Data Source'!B963&lt;&gt;"",'Data Source'!S963="F"),IF('Data Source'!V963&gt;=5,"A+",IF('Data Source'!V963&gt;=4,"A",IF('Data Source'!V963&gt;=3.5,"A-",IF('Data Source'!V963&gt;=3,"B",IF('Data Source'!V963&gt;=2,"C",IF('Data Source'!V963&gt;=1,"D","F")))))),"")</f>
        <v/>
      </c>
      <c r="E963" s="3">
        <f>IF(AND('Data Source'!B963&lt;&gt;"",'Data Source'!S963="F"),IF('Data Source'!W963&gt;=5,"A+",IF('Data Source'!W963&gt;=4,"A",IF('Data Source'!W963&gt;=3.5,"A-",IF('Data Source'!W963&gt;=3,"B",IF('Data Source'!W963&gt;=2,"C",IF('Data Source'!W963&gt;=1,"D","F")))))),"")</f>
        <v/>
      </c>
      <c r="F963" s="3">
        <f>IF(AND('Data Source'!B963&lt;&gt;"",'Data Source'!S963="F"),IF('Data Source'!X963&gt;=5,"A+",IF('Data Source'!X963&gt;=4,"A",IF('Data Source'!X963&gt;=3.5,"A-",IF('Data Source'!X963&gt;=3,"B",IF('Data Source'!X963&gt;=2,"C",IF('Data Source'!X963&gt;=1,"D","F")))))),"")</f>
        <v/>
      </c>
      <c r="G963" s="3">
        <f>IF(AND('Data Source'!B963&lt;&gt;"",'Data Source'!S963="F"),IF('Data Source'!Y963&gt;=5,"A+",IF('Data Source'!Y963&gt;=4,"A",IF('Data Source'!Y963&gt;=3.5,"A-",IF('Data Source'!Y963&gt;=3,"B",IF('Data Source'!Y963&gt;=2,"C",IF('Data Source'!Y963&gt;=1,"D","F")))))),"")</f>
        <v/>
      </c>
      <c r="H963" s="3">
        <f>IF(AND('Data Source'!B963&lt;&gt;"",'Data Source'!S963="F"),IF('Data Source'!Z963&gt;=5,"A+",IF('Data Source'!Z963&gt;=4,"A",IF('Data Source'!Z963&gt;=3.5,"A-",IF('Data Source'!Z963&gt;=3,"B",IF('Data Source'!Z963&gt;=2,"C",IF('Data Source'!Z963&gt;=1,"D","F")))))),"")</f>
        <v/>
      </c>
      <c r="I963" s="3">
        <f>IF(AND('Data Source'!B963&lt;&gt;"",'Data Source'!S963="F"),IF('Data Source'!AA963&gt;=5,"A+",IF('Data Source'!AA963&gt;=4,"A",IF('Data Source'!AA963&gt;=3.5,"A-",IF('Data Source'!AA963&gt;=3,"B",IF('Data Source'!AA963&gt;=2,"C",IF('Data Source'!AA963&gt;=1,"D","F")))))),"")</f>
        <v/>
      </c>
      <c r="J963" s="3">
        <f>IF(AND('Data Source'!B963&lt;&gt;"",'Data Source'!S963="F"),IF('Data Source'!AB963&gt;=5,"A+",IF('Data Source'!AB963&gt;=4,"A",IF('Data Source'!AB963&gt;=3.5,"A-",IF('Data Source'!AB963&gt;=3,"B",IF('Data Source'!AB963&gt;=2,"C",IF('Data Source'!AB963&gt;=1,"D","F")))))),"")</f>
        <v/>
      </c>
      <c r="K963" s="3">
        <f>IF(AND('Data Source'!B963&lt;&gt;"",'Data Source'!S963="F"),IF('Data Source'!AC963&gt;=5,"A+",IF('Data Source'!AC963&gt;=4,"A",IF('Data Source'!AC963&gt;=3.5,"A-",IF('Data Source'!AC963&gt;=3,"B",IF('Data Source'!AC963&gt;=2,"C",IF('Data Source'!AC963&gt;=1,"D","F")))))),"")</f>
        <v/>
      </c>
      <c r="L963" s="3">
        <f>IF(AND('Data Source'!B963&lt;&gt;"",'Data Source'!S963="F"),IF('Data Source'!AD963&gt;=5,"A+",IF('Data Source'!AD963&gt;=4,"A",IF('Data Source'!AD963&gt;=3.5,"A-",IF('Data Source'!AD963&gt;=3,"B",IF('Data Source'!AD963&gt;=2,"C",IF('Data Source'!AD963&gt;=1,"D","F")))))),"")</f>
        <v/>
      </c>
      <c r="M963" s="3">
        <f>IF(AND('Data Source'!B963&lt;&gt;"",'Data Source'!S963="F"),IF('Data Source'!AE963&gt;=5,"A+",IF('Data Source'!AE963&gt;=4,"A",IF('Data Source'!AE963&gt;=3.5,"A-",IF('Data Source'!AE963&gt;=3,"B",IF('Data Source'!AE963&gt;=2,"C",IF('Data Source'!AE963&gt;=1,"D","F")))))),"")</f>
        <v/>
      </c>
      <c r="N963" s="3">
        <f>IF(AND('Data Source'!B963&lt;&gt;"",'Data Source'!S963="F"),IF('Data Source'!AF963&gt;=5,"A+",IF('Data Source'!AF963&gt;=4,"A",IF('Data Source'!AF963&gt;=3.5,"A-",IF('Data Source'!AF963&gt;=3,"B",IF('Data Source'!AF963&gt;=2,"C",IF('Data Source'!AF963&gt;=1,"D","F")))))),"")</f>
        <v/>
      </c>
      <c r="O963" s="3">
        <f>IF(AND('Data Source'!B963&lt;&gt;"",'Data Source'!S963="F"),IF('Data Source'!AG963&gt;=5,"A+",IF('Data Source'!AG963&gt;=4,"A",IF('Data Source'!AG963&gt;=3.5,"A-",IF('Data Source'!AG963&gt;=3,"B",IF('Data Source'!AG963&gt;=2,"C",IF('Data Source'!AG963&gt;=1,"D","F")))))),"")</f>
        <v/>
      </c>
      <c r="P963" s="5">
        <f>IF(AND('Data Source'!B963&lt;&gt;"",'Data Source'!S963="F"),'Data Source'!R963,"")</f>
        <v/>
      </c>
      <c r="Q963" s="3">
        <f>IF(AND('Data Source'!B963&lt;&gt;"",'Data Source'!S963="F"),'Data Source'!S963,"")</f>
        <v/>
      </c>
    </row>
    <row r="964">
      <c r="A964" s="3">
        <f>IF(AND('Data Source'!B964&lt;&gt;"",'Data Source'!S964="F"),COUNTIF('Data Source'!$S$3:S964,"F"),"")</f>
        <v/>
      </c>
      <c r="B964">
        <f>IF(AND('Data Source'!B964&lt;&gt;"",'Data Source'!S964="F"),'Data Source'!B964,"")</f>
        <v/>
      </c>
      <c r="C964" s="3">
        <f>IF(AND('Data Source'!B964&lt;&gt;"",'Data Source'!S964="F"),IF('Data Source'!U964&gt;=5,"A+",IF('Data Source'!U964&gt;=4,"A",IF('Data Source'!U964&gt;=3.5,"A-",IF('Data Source'!U964&gt;=3,"B",IF('Data Source'!U964&gt;=2,"C",IF('Data Source'!U964&gt;=1,"D","F")))))),"")</f>
        <v/>
      </c>
      <c r="D964" s="3">
        <f>IF(AND('Data Source'!B964&lt;&gt;"",'Data Source'!S964="F"),IF('Data Source'!V964&gt;=5,"A+",IF('Data Source'!V964&gt;=4,"A",IF('Data Source'!V964&gt;=3.5,"A-",IF('Data Source'!V964&gt;=3,"B",IF('Data Source'!V964&gt;=2,"C",IF('Data Source'!V964&gt;=1,"D","F")))))),"")</f>
        <v/>
      </c>
      <c r="E964" s="3">
        <f>IF(AND('Data Source'!B964&lt;&gt;"",'Data Source'!S964="F"),IF('Data Source'!W964&gt;=5,"A+",IF('Data Source'!W964&gt;=4,"A",IF('Data Source'!W964&gt;=3.5,"A-",IF('Data Source'!W964&gt;=3,"B",IF('Data Source'!W964&gt;=2,"C",IF('Data Source'!W964&gt;=1,"D","F")))))),"")</f>
        <v/>
      </c>
      <c r="F964" s="3">
        <f>IF(AND('Data Source'!B964&lt;&gt;"",'Data Source'!S964="F"),IF('Data Source'!X964&gt;=5,"A+",IF('Data Source'!X964&gt;=4,"A",IF('Data Source'!X964&gt;=3.5,"A-",IF('Data Source'!X964&gt;=3,"B",IF('Data Source'!X964&gt;=2,"C",IF('Data Source'!X964&gt;=1,"D","F")))))),"")</f>
        <v/>
      </c>
      <c r="G964" s="3">
        <f>IF(AND('Data Source'!B964&lt;&gt;"",'Data Source'!S964="F"),IF('Data Source'!Y964&gt;=5,"A+",IF('Data Source'!Y964&gt;=4,"A",IF('Data Source'!Y964&gt;=3.5,"A-",IF('Data Source'!Y964&gt;=3,"B",IF('Data Source'!Y964&gt;=2,"C",IF('Data Source'!Y964&gt;=1,"D","F")))))),"")</f>
        <v/>
      </c>
      <c r="H964" s="3">
        <f>IF(AND('Data Source'!B964&lt;&gt;"",'Data Source'!S964="F"),IF('Data Source'!Z964&gt;=5,"A+",IF('Data Source'!Z964&gt;=4,"A",IF('Data Source'!Z964&gt;=3.5,"A-",IF('Data Source'!Z964&gt;=3,"B",IF('Data Source'!Z964&gt;=2,"C",IF('Data Source'!Z964&gt;=1,"D","F")))))),"")</f>
        <v/>
      </c>
      <c r="I964" s="3">
        <f>IF(AND('Data Source'!B964&lt;&gt;"",'Data Source'!S964="F"),IF('Data Source'!AA964&gt;=5,"A+",IF('Data Source'!AA964&gt;=4,"A",IF('Data Source'!AA964&gt;=3.5,"A-",IF('Data Source'!AA964&gt;=3,"B",IF('Data Source'!AA964&gt;=2,"C",IF('Data Source'!AA964&gt;=1,"D","F")))))),"")</f>
        <v/>
      </c>
      <c r="J964" s="3">
        <f>IF(AND('Data Source'!B964&lt;&gt;"",'Data Source'!S964="F"),IF('Data Source'!AB964&gt;=5,"A+",IF('Data Source'!AB964&gt;=4,"A",IF('Data Source'!AB964&gt;=3.5,"A-",IF('Data Source'!AB964&gt;=3,"B",IF('Data Source'!AB964&gt;=2,"C",IF('Data Source'!AB964&gt;=1,"D","F")))))),"")</f>
        <v/>
      </c>
      <c r="K964" s="3">
        <f>IF(AND('Data Source'!B964&lt;&gt;"",'Data Source'!S964="F"),IF('Data Source'!AC964&gt;=5,"A+",IF('Data Source'!AC964&gt;=4,"A",IF('Data Source'!AC964&gt;=3.5,"A-",IF('Data Source'!AC964&gt;=3,"B",IF('Data Source'!AC964&gt;=2,"C",IF('Data Source'!AC964&gt;=1,"D","F")))))),"")</f>
        <v/>
      </c>
      <c r="L964" s="3">
        <f>IF(AND('Data Source'!B964&lt;&gt;"",'Data Source'!S964="F"),IF('Data Source'!AD964&gt;=5,"A+",IF('Data Source'!AD964&gt;=4,"A",IF('Data Source'!AD964&gt;=3.5,"A-",IF('Data Source'!AD964&gt;=3,"B",IF('Data Source'!AD964&gt;=2,"C",IF('Data Source'!AD964&gt;=1,"D","F")))))),"")</f>
        <v/>
      </c>
      <c r="M964" s="3">
        <f>IF(AND('Data Source'!B964&lt;&gt;"",'Data Source'!S964="F"),IF('Data Source'!AE964&gt;=5,"A+",IF('Data Source'!AE964&gt;=4,"A",IF('Data Source'!AE964&gt;=3.5,"A-",IF('Data Source'!AE964&gt;=3,"B",IF('Data Source'!AE964&gt;=2,"C",IF('Data Source'!AE964&gt;=1,"D","F")))))),"")</f>
        <v/>
      </c>
      <c r="N964" s="3">
        <f>IF(AND('Data Source'!B964&lt;&gt;"",'Data Source'!S964="F"),IF('Data Source'!AF964&gt;=5,"A+",IF('Data Source'!AF964&gt;=4,"A",IF('Data Source'!AF964&gt;=3.5,"A-",IF('Data Source'!AF964&gt;=3,"B",IF('Data Source'!AF964&gt;=2,"C",IF('Data Source'!AF964&gt;=1,"D","F")))))),"")</f>
        <v/>
      </c>
      <c r="O964" s="3">
        <f>IF(AND('Data Source'!B964&lt;&gt;"",'Data Source'!S964="F"),IF('Data Source'!AG964&gt;=5,"A+",IF('Data Source'!AG964&gt;=4,"A",IF('Data Source'!AG964&gt;=3.5,"A-",IF('Data Source'!AG964&gt;=3,"B",IF('Data Source'!AG964&gt;=2,"C",IF('Data Source'!AG964&gt;=1,"D","F")))))),"")</f>
        <v/>
      </c>
      <c r="P964" s="5">
        <f>IF(AND('Data Source'!B964&lt;&gt;"",'Data Source'!S964="F"),'Data Source'!R964,"")</f>
        <v/>
      </c>
      <c r="Q964" s="3">
        <f>IF(AND('Data Source'!B964&lt;&gt;"",'Data Source'!S964="F"),'Data Source'!S964,"")</f>
        <v/>
      </c>
    </row>
    <row r="965">
      <c r="A965" s="3">
        <f>IF(AND('Data Source'!B965&lt;&gt;"",'Data Source'!S965="F"),COUNTIF('Data Source'!$S$3:S965,"F"),"")</f>
        <v/>
      </c>
      <c r="B965">
        <f>IF(AND('Data Source'!B965&lt;&gt;"",'Data Source'!S965="F"),'Data Source'!B965,"")</f>
        <v/>
      </c>
      <c r="C965" s="3">
        <f>IF(AND('Data Source'!B965&lt;&gt;"",'Data Source'!S965="F"),IF('Data Source'!U965&gt;=5,"A+",IF('Data Source'!U965&gt;=4,"A",IF('Data Source'!U965&gt;=3.5,"A-",IF('Data Source'!U965&gt;=3,"B",IF('Data Source'!U965&gt;=2,"C",IF('Data Source'!U965&gt;=1,"D","F")))))),"")</f>
        <v/>
      </c>
      <c r="D965" s="3">
        <f>IF(AND('Data Source'!B965&lt;&gt;"",'Data Source'!S965="F"),IF('Data Source'!V965&gt;=5,"A+",IF('Data Source'!V965&gt;=4,"A",IF('Data Source'!V965&gt;=3.5,"A-",IF('Data Source'!V965&gt;=3,"B",IF('Data Source'!V965&gt;=2,"C",IF('Data Source'!V965&gt;=1,"D","F")))))),"")</f>
        <v/>
      </c>
      <c r="E965" s="3">
        <f>IF(AND('Data Source'!B965&lt;&gt;"",'Data Source'!S965="F"),IF('Data Source'!W965&gt;=5,"A+",IF('Data Source'!W965&gt;=4,"A",IF('Data Source'!W965&gt;=3.5,"A-",IF('Data Source'!W965&gt;=3,"B",IF('Data Source'!W965&gt;=2,"C",IF('Data Source'!W965&gt;=1,"D","F")))))),"")</f>
        <v/>
      </c>
      <c r="F965" s="3">
        <f>IF(AND('Data Source'!B965&lt;&gt;"",'Data Source'!S965="F"),IF('Data Source'!X965&gt;=5,"A+",IF('Data Source'!X965&gt;=4,"A",IF('Data Source'!X965&gt;=3.5,"A-",IF('Data Source'!X965&gt;=3,"B",IF('Data Source'!X965&gt;=2,"C",IF('Data Source'!X965&gt;=1,"D","F")))))),"")</f>
        <v/>
      </c>
      <c r="G965" s="3">
        <f>IF(AND('Data Source'!B965&lt;&gt;"",'Data Source'!S965="F"),IF('Data Source'!Y965&gt;=5,"A+",IF('Data Source'!Y965&gt;=4,"A",IF('Data Source'!Y965&gt;=3.5,"A-",IF('Data Source'!Y965&gt;=3,"B",IF('Data Source'!Y965&gt;=2,"C",IF('Data Source'!Y965&gt;=1,"D","F")))))),"")</f>
        <v/>
      </c>
      <c r="H965" s="3">
        <f>IF(AND('Data Source'!B965&lt;&gt;"",'Data Source'!S965="F"),IF('Data Source'!Z965&gt;=5,"A+",IF('Data Source'!Z965&gt;=4,"A",IF('Data Source'!Z965&gt;=3.5,"A-",IF('Data Source'!Z965&gt;=3,"B",IF('Data Source'!Z965&gt;=2,"C",IF('Data Source'!Z965&gt;=1,"D","F")))))),"")</f>
        <v/>
      </c>
      <c r="I965" s="3">
        <f>IF(AND('Data Source'!B965&lt;&gt;"",'Data Source'!S965="F"),IF('Data Source'!AA965&gt;=5,"A+",IF('Data Source'!AA965&gt;=4,"A",IF('Data Source'!AA965&gt;=3.5,"A-",IF('Data Source'!AA965&gt;=3,"B",IF('Data Source'!AA965&gt;=2,"C",IF('Data Source'!AA965&gt;=1,"D","F")))))),"")</f>
        <v/>
      </c>
      <c r="J965" s="3">
        <f>IF(AND('Data Source'!B965&lt;&gt;"",'Data Source'!S965="F"),IF('Data Source'!AB965&gt;=5,"A+",IF('Data Source'!AB965&gt;=4,"A",IF('Data Source'!AB965&gt;=3.5,"A-",IF('Data Source'!AB965&gt;=3,"B",IF('Data Source'!AB965&gt;=2,"C",IF('Data Source'!AB965&gt;=1,"D","F")))))),"")</f>
        <v/>
      </c>
      <c r="K965" s="3">
        <f>IF(AND('Data Source'!B965&lt;&gt;"",'Data Source'!S965="F"),IF('Data Source'!AC965&gt;=5,"A+",IF('Data Source'!AC965&gt;=4,"A",IF('Data Source'!AC965&gt;=3.5,"A-",IF('Data Source'!AC965&gt;=3,"B",IF('Data Source'!AC965&gt;=2,"C",IF('Data Source'!AC965&gt;=1,"D","F")))))),"")</f>
        <v/>
      </c>
      <c r="L965" s="3">
        <f>IF(AND('Data Source'!B965&lt;&gt;"",'Data Source'!S965="F"),IF('Data Source'!AD965&gt;=5,"A+",IF('Data Source'!AD965&gt;=4,"A",IF('Data Source'!AD965&gt;=3.5,"A-",IF('Data Source'!AD965&gt;=3,"B",IF('Data Source'!AD965&gt;=2,"C",IF('Data Source'!AD965&gt;=1,"D","F")))))),"")</f>
        <v/>
      </c>
      <c r="M965" s="3">
        <f>IF(AND('Data Source'!B965&lt;&gt;"",'Data Source'!S965="F"),IF('Data Source'!AE965&gt;=5,"A+",IF('Data Source'!AE965&gt;=4,"A",IF('Data Source'!AE965&gt;=3.5,"A-",IF('Data Source'!AE965&gt;=3,"B",IF('Data Source'!AE965&gt;=2,"C",IF('Data Source'!AE965&gt;=1,"D","F")))))),"")</f>
        <v/>
      </c>
      <c r="N965" s="3">
        <f>IF(AND('Data Source'!B965&lt;&gt;"",'Data Source'!S965="F"),IF('Data Source'!AF965&gt;=5,"A+",IF('Data Source'!AF965&gt;=4,"A",IF('Data Source'!AF965&gt;=3.5,"A-",IF('Data Source'!AF965&gt;=3,"B",IF('Data Source'!AF965&gt;=2,"C",IF('Data Source'!AF965&gt;=1,"D","F")))))),"")</f>
        <v/>
      </c>
      <c r="O965" s="3">
        <f>IF(AND('Data Source'!B965&lt;&gt;"",'Data Source'!S965="F"),IF('Data Source'!AG965&gt;=5,"A+",IF('Data Source'!AG965&gt;=4,"A",IF('Data Source'!AG965&gt;=3.5,"A-",IF('Data Source'!AG965&gt;=3,"B",IF('Data Source'!AG965&gt;=2,"C",IF('Data Source'!AG965&gt;=1,"D","F")))))),"")</f>
        <v/>
      </c>
      <c r="P965" s="5">
        <f>IF(AND('Data Source'!B965&lt;&gt;"",'Data Source'!S965="F"),'Data Source'!R965,"")</f>
        <v/>
      </c>
      <c r="Q965" s="3">
        <f>IF(AND('Data Source'!B965&lt;&gt;"",'Data Source'!S965="F"),'Data Source'!S965,"")</f>
        <v/>
      </c>
    </row>
    <row r="966">
      <c r="A966" s="3">
        <f>IF(AND('Data Source'!B966&lt;&gt;"",'Data Source'!S966="F"),COUNTIF('Data Source'!$S$3:S966,"F"),"")</f>
        <v/>
      </c>
      <c r="B966">
        <f>IF(AND('Data Source'!B966&lt;&gt;"",'Data Source'!S966="F"),'Data Source'!B966,"")</f>
        <v/>
      </c>
      <c r="C966" s="3">
        <f>IF(AND('Data Source'!B966&lt;&gt;"",'Data Source'!S966="F"),IF('Data Source'!U966&gt;=5,"A+",IF('Data Source'!U966&gt;=4,"A",IF('Data Source'!U966&gt;=3.5,"A-",IF('Data Source'!U966&gt;=3,"B",IF('Data Source'!U966&gt;=2,"C",IF('Data Source'!U966&gt;=1,"D","F")))))),"")</f>
        <v/>
      </c>
      <c r="D966" s="3">
        <f>IF(AND('Data Source'!B966&lt;&gt;"",'Data Source'!S966="F"),IF('Data Source'!V966&gt;=5,"A+",IF('Data Source'!V966&gt;=4,"A",IF('Data Source'!V966&gt;=3.5,"A-",IF('Data Source'!V966&gt;=3,"B",IF('Data Source'!V966&gt;=2,"C",IF('Data Source'!V966&gt;=1,"D","F")))))),"")</f>
        <v/>
      </c>
      <c r="E966" s="3">
        <f>IF(AND('Data Source'!B966&lt;&gt;"",'Data Source'!S966="F"),IF('Data Source'!W966&gt;=5,"A+",IF('Data Source'!W966&gt;=4,"A",IF('Data Source'!W966&gt;=3.5,"A-",IF('Data Source'!W966&gt;=3,"B",IF('Data Source'!W966&gt;=2,"C",IF('Data Source'!W966&gt;=1,"D","F")))))),"")</f>
        <v/>
      </c>
      <c r="F966" s="3">
        <f>IF(AND('Data Source'!B966&lt;&gt;"",'Data Source'!S966="F"),IF('Data Source'!X966&gt;=5,"A+",IF('Data Source'!X966&gt;=4,"A",IF('Data Source'!X966&gt;=3.5,"A-",IF('Data Source'!X966&gt;=3,"B",IF('Data Source'!X966&gt;=2,"C",IF('Data Source'!X966&gt;=1,"D","F")))))),"")</f>
        <v/>
      </c>
      <c r="G966" s="3">
        <f>IF(AND('Data Source'!B966&lt;&gt;"",'Data Source'!S966="F"),IF('Data Source'!Y966&gt;=5,"A+",IF('Data Source'!Y966&gt;=4,"A",IF('Data Source'!Y966&gt;=3.5,"A-",IF('Data Source'!Y966&gt;=3,"B",IF('Data Source'!Y966&gt;=2,"C",IF('Data Source'!Y966&gt;=1,"D","F")))))),"")</f>
        <v/>
      </c>
      <c r="H966" s="3">
        <f>IF(AND('Data Source'!B966&lt;&gt;"",'Data Source'!S966="F"),IF('Data Source'!Z966&gt;=5,"A+",IF('Data Source'!Z966&gt;=4,"A",IF('Data Source'!Z966&gt;=3.5,"A-",IF('Data Source'!Z966&gt;=3,"B",IF('Data Source'!Z966&gt;=2,"C",IF('Data Source'!Z966&gt;=1,"D","F")))))),"")</f>
        <v/>
      </c>
      <c r="I966" s="3">
        <f>IF(AND('Data Source'!B966&lt;&gt;"",'Data Source'!S966="F"),IF('Data Source'!AA966&gt;=5,"A+",IF('Data Source'!AA966&gt;=4,"A",IF('Data Source'!AA966&gt;=3.5,"A-",IF('Data Source'!AA966&gt;=3,"B",IF('Data Source'!AA966&gt;=2,"C",IF('Data Source'!AA966&gt;=1,"D","F")))))),"")</f>
        <v/>
      </c>
      <c r="J966" s="3">
        <f>IF(AND('Data Source'!B966&lt;&gt;"",'Data Source'!S966="F"),IF('Data Source'!AB966&gt;=5,"A+",IF('Data Source'!AB966&gt;=4,"A",IF('Data Source'!AB966&gt;=3.5,"A-",IF('Data Source'!AB966&gt;=3,"B",IF('Data Source'!AB966&gt;=2,"C",IF('Data Source'!AB966&gt;=1,"D","F")))))),"")</f>
        <v/>
      </c>
      <c r="K966" s="3">
        <f>IF(AND('Data Source'!B966&lt;&gt;"",'Data Source'!S966="F"),IF('Data Source'!AC966&gt;=5,"A+",IF('Data Source'!AC966&gt;=4,"A",IF('Data Source'!AC966&gt;=3.5,"A-",IF('Data Source'!AC966&gt;=3,"B",IF('Data Source'!AC966&gt;=2,"C",IF('Data Source'!AC966&gt;=1,"D","F")))))),"")</f>
        <v/>
      </c>
      <c r="L966" s="3">
        <f>IF(AND('Data Source'!B966&lt;&gt;"",'Data Source'!S966="F"),IF('Data Source'!AD966&gt;=5,"A+",IF('Data Source'!AD966&gt;=4,"A",IF('Data Source'!AD966&gt;=3.5,"A-",IF('Data Source'!AD966&gt;=3,"B",IF('Data Source'!AD966&gt;=2,"C",IF('Data Source'!AD966&gt;=1,"D","F")))))),"")</f>
        <v/>
      </c>
      <c r="M966" s="3">
        <f>IF(AND('Data Source'!B966&lt;&gt;"",'Data Source'!S966="F"),IF('Data Source'!AE966&gt;=5,"A+",IF('Data Source'!AE966&gt;=4,"A",IF('Data Source'!AE966&gt;=3.5,"A-",IF('Data Source'!AE966&gt;=3,"B",IF('Data Source'!AE966&gt;=2,"C",IF('Data Source'!AE966&gt;=1,"D","F")))))),"")</f>
        <v/>
      </c>
      <c r="N966" s="3">
        <f>IF(AND('Data Source'!B966&lt;&gt;"",'Data Source'!S966="F"),IF('Data Source'!AF966&gt;=5,"A+",IF('Data Source'!AF966&gt;=4,"A",IF('Data Source'!AF966&gt;=3.5,"A-",IF('Data Source'!AF966&gt;=3,"B",IF('Data Source'!AF966&gt;=2,"C",IF('Data Source'!AF966&gt;=1,"D","F")))))),"")</f>
        <v/>
      </c>
      <c r="O966" s="3">
        <f>IF(AND('Data Source'!B966&lt;&gt;"",'Data Source'!S966="F"),IF('Data Source'!AG966&gt;=5,"A+",IF('Data Source'!AG966&gt;=4,"A",IF('Data Source'!AG966&gt;=3.5,"A-",IF('Data Source'!AG966&gt;=3,"B",IF('Data Source'!AG966&gt;=2,"C",IF('Data Source'!AG966&gt;=1,"D","F")))))),"")</f>
        <v/>
      </c>
      <c r="P966" s="5">
        <f>IF(AND('Data Source'!B966&lt;&gt;"",'Data Source'!S966="F"),'Data Source'!R966,"")</f>
        <v/>
      </c>
      <c r="Q966" s="3">
        <f>IF(AND('Data Source'!B966&lt;&gt;"",'Data Source'!S966="F"),'Data Source'!S966,"")</f>
        <v/>
      </c>
    </row>
    <row r="967">
      <c r="A967" s="3">
        <f>IF(AND('Data Source'!B967&lt;&gt;"",'Data Source'!S967="F"),COUNTIF('Data Source'!$S$3:S967,"F"),"")</f>
        <v/>
      </c>
      <c r="B967">
        <f>IF(AND('Data Source'!B967&lt;&gt;"",'Data Source'!S967="F"),'Data Source'!B967,"")</f>
        <v/>
      </c>
      <c r="C967" s="3">
        <f>IF(AND('Data Source'!B967&lt;&gt;"",'Data Source'!S967="F"),IF('Data Source'!U967&gt;=5,"A+",IF('Data Source'!U967&gt;=4,"A",IF('Data Source'!U967&gt;=3.5,"A-",IF('Data Source'!U967&gt;=3,"B",IF('Data Source'!U967&gt;=2,"C",IF('Data Source'!U967&gt;=1,"D","F")))))),"")</f>
        <v/>
      </c>
      <c r="D967" s="3">
        <f>IF(AND('Data Source'!B967&lt;&gt;"",'Data Source'!S967="F"),IF('Data Source'!V967&gt;=5,"A+",IF('Data Source'!V967&gt;=4,"A",IF('Data Source'!V967&gt;=3.5,"A-",IF('Data Source'!V967&gt;=3,"B",IF('Data Source'!V967&gt;=2,"C",IF('Data Source'!V967&gt;=1,"D","F")))))),"")</f>
        <v/>
      </c>
      <c r="E967" s="3">
        <f>IF(AND('Data Source'!B967&lt;&gt;"",'Data Source'!S967="F"),IF('Data Source'!W967&gt;=5,"A+",IF('Data Source'!W967&gt;=4,"A",IF('Data Source'!W967&gt;=3.5,"A-",IF('Data Source'!W967&gt;=3,"B",IF('Data Source'!W967&gt;=2,"C",IF('Data Source'!W967&gt;=1,"D","F")))))),"")</f>
        <v/>
      </c>
      <c r="F967" s="3">
        <f>IF(AND('Data Source'!B967&lt;&gt;"",'Data Source'!S967="F"),IF('Data Source'!X967&gt;=5,"A+",IF('Data Source'!X967&gt;=4,"A",IF('Data Source'!X967&gt;=3.5,"A-",IF('Data Source'!X967&gt;=3,"B",IF('Data Source'!X967&gt;=2,"C",IF('Data Source'!X967&gt;=1,"D","F")))))),"")</f>
        <v/>
      </c>
      <c r="G967" s="3">
        <f>IF(AND('Data Source'!B967&lt;&gt;"",'Data Source'!S967="F"),IF('Data Source'!Y967&gt;=5,"A+",IF('Data Source'!Y967&gt;=4,"A",IF('Data Source'!Y967&gt;=3.5,"A-",IF('Data Source'!Y967&gt;=3,"B",IF('Data Source'!Y967&gt;=2,"C",IF('Data Source'!Y967&gt;=1,"D","F")))))),"")</f>
        <v/>
      </c>
      <c r="H967" s="3">
        <f>IF(AND('Data Source'!B967&lt;&gt;"",'Data Source'!S967="F"),IF('Data Source'!Z967&gt;=5,"A+",IF('Data Source'!Z967&gt;=4,"A",IF('Data Source'!Z967&gt;=3.5,"A-",IF('Data Source'!Z967&gt;=3,"B",IF('Data Source'!Z967&gt;=2,"C",IF('Data Source'!Z967&gt;=1,"D","F")))))),"")</f>
        <v/>
      </c>
      <c r="I967" s="3">
        <f>IF(AND('Data Source'!B967&lt;&gt;"",'Data Source'!S967="F"),IF('Data Source'!AA967&gt;=5,"A+",IF('Data Source'!AA967&gt;=4,"A",IF('Data Source'!AA967&gt;=3.5,"A-",IF('Data Source'!AA967&gt;=3,"B",IF('Data Source'!AA967&gt;=2,"C",IF('Data Source'!AA967&gt;=1,"D","F")))))),"")</f>
        <v/>
      </c>
      <c r="J967" s="3">
        <f>IF(AND('Data Source'!B967&lt;&gt;"",'Data Source'!S967="F"),IF('Data Source'!AB967&gt;=5,"A+",IF('Data Source'!AB967&gt;=4,"A",IF('Data Source'!AB967&gt;=3.5,"A-",IF('Data Source'!AB967&gt;=3,"B",IF('Data Source'!AB967&gt;=2,"C",IF('Data Source'!AB967&gt;=1,"D","F")))))),"")</f>
        <v/>
      </c>
      <c r="K967" s="3">
        <f>IF(AND('Data Source'!B967&lt;&gt;"",'Data Source'!S967="F"),IF('Data Source'!AC967&gt;=5,"A+",IF('Data Source'!AC967&gt;=4,"A",IF('Data Source'!AC967&gt;=3.5,"A-",IF('Data Source'!AC967&gt;=3,"B",IF('Data Source'!AC967&gt;=2,"C",IF('Data Source'!AC967&gt;=1,"D","F")))))),"")</f>
        <v/>
      </c>
      <c r="L967" s="3">
        <f>IF(AND('Data Source'!B967&lt;&gt;"",'Data Source'!S967="F"),IF('Data Source'!AD967&gt;=5,"A+",IF('Data Source'!AD967&gt;=4,"A",IF('Data Source'!AD967&gt;=3.5,"A-",IF('Data Source'!AD967&gt;=3,"B",IF('Data Source'!AD967&gt;=2,"C",IF('Data Source'!AD967&gt;=1,"D","F")))))),"")</f>
        <v/>
      </c>
      <c r="M967" s="3">
        <f>IF(AND('Data Source'!B967&lt;&gt;"",'Data Source'!S967="F"),IF('Data Source'!AE967&gt;=5,"A+",IF('Data Source'!AE967&gt;=4,"A",IF('Data Source'!AE967&gt;=3.5,"A-",IF('Data Source'!AE967&gt;=3,"B",IF('Data Source'!AE967&gt;=2,"C",IF('Data Source'!AE967&gt;=1,"D","F")))))),"")</f>
        <v/>
      </c>
      <c r="N967" s="3">
        <f>IF(AND('Data Source'!B967&lt;&gt;"",'Data Source'!S967="F"),IF('Data Source'!AF967&gt;=5,"A+",IF('Data Source'!AF967&gt;=4,"A",IF('Data Source'!AF967&gt;=3.5,"A-",IF('Data Source'!AF967&gt;=3,"B",IF('Data Source'!AF967&gt;=2,"C",IF('Data Source'!AF967&gt;=1,"D","F")))))),"")</f>
        <v/>
      </c>
      <c r="O967" s="3">
        <f>IF(AND('Data Source'!B967&lt;&gt;"",'Data Source'!S967="F"),IF('Data Source'!AG967&gt;=5,"A+",IF('Data Source'!AG967&gt;=4,"A",IF('Data Source'!AG967&gt;=3.5,"A-",IF('Data Source'!AG967&gt;=3,"B",IF('Data Source'!AG967&gt;=2,"C",IF('Data Source'!AG967&gt;=1,"D","F")))))),"")</f>
        <v/>
      </c>
      <c r="P967" s="5">
        <f>IF(AND('Data Source'!B967&lt;&gt;"",'Data Source'!S967="F"),'Data Source'!R967,"")</f>
        <v/>
      </c>
      <c r="Q967" s="3">
        <f>IF(AND('Data Source'!B967&lt;&gt;"",'Data Source'!S967="F"),'Data Source'!S967,"")</f>
        <v/>
      </c>
    </row>
    <row r="968">
      <c r="A968" s="3">
        <f>IF(AND('Data Source'!B968&lt;&gt;"",'Data Source'!S968="F"),COUNTIF('Data Source'!$S$3:S968,"F"),"")</f>
        <v/>
      </c>
      <c r="B968">
        <f>IF(AND('Data Source'!B968&lt;&gt;"",'Data Source'!S968="F"),'Data Source'!B968,"")</f>
        <v/>
      </c>
      <c r="C968" s="3">
        <f>IF(AND('Data Source'!B968&lt;&gt;"",'Data Source'!S968="F"),IF('Data Source'!U968&gt;=5,"A+",IF('Data Source'!U968&gt;=4,"A",IF('Data Source'!U968&gt;=3.5,"A-",IF('Data Source'!U968&gt;=3,"B",IF('Data Source'!U968&gt;=2,"C",IF('Data Source'!U968&gt;=1,"D","F")))))),"")</f>
        <v/>
      </c>
      <c r="D968" s="3">
        <f>IF(AND('Data Source'!B968&lt;&gt;"",'Data Source'!S968="F"),IF('Data Source'!V968&gt;=5,"A+",IF('Data Source'!V968&gt;=4,"A",IF('Data Source'!V968&gt;=3.5,"A-",IF('Data Source'!V968&gt;=3,"B",IF('Data Source'!V968&gt;=2,"C",IF('Data Source'!V968&gt;=1,"D","F")))))),"")</f>
        <v/>
      </c>
      <c r="E968" s="3">
        <f>IF(AND('Data Source'!B968&lt;&gt;"",'Data Source'!S968="F"),IF('Data Source'!W968&gt;=5,"A+",IF('Data Source'!W968&gt;=4,"A",IF('Data Source'!W968&gt;=3.5,"A-",IF('Data Source'!W968&gt;=3,"B",IF('Data Source'!W968&gt;=2,"C",IF('Data Source'!W968&gt;=1,"D","F")))))),"")</f>
        <v/>
      </c>
      <c r="F968" s="3">
        <f>IF(AND('Data Source'!B968&lt;&gt;"",'Data Source'!S968="F"),IF('Data Source'!X968&gt;=5,"A+",IF('Data Source'!X968&gt;=4,"A",IF('Data Source'!X968&gt;=3.5,"A-",IF('Data Source'!X968&gt;=3,"B",IF('Data Source'!X968&gt;=2,"C",IF('Data Source'!X968&gt;=1,"D","F")))))),"")</f>
        <v/>
      </c>
      <c r="G968" s="3">
        <f>IF(AND('Data Source'!B968&lt;&gt;"",'Data Source'!S968="F"),IF('Data Source'!Y968&gt;=5,"A+",IF('Data Source'!Y968&gt;=4,"A",IF('Data Source'!Y968&gt;=3.5,"A-",IF('Data Source'!Y968&gt;=3,"B",IF('Data Source'!Y968&gt;=2,"C",IF('Data Source'!Y968&gt;=1,"D","F")))))),"")</f>
        <v/>
      </c>
      <c r="H968" s="3">
        <f>IF(AND('Data Source'!B968&lt;&gt;"",'Data Source'!S968="F"),IF('Data Source'!Z968&gt;=5,"A+",IF('Data Source'!Z968&gt;=4,"A",IF('Data Source'!Z968&gt;=3.5,"A-",IF('Data Source'!Z968&gt;=3,"B",IF('Data Source'!Z968&gt;=2,"C",IF('Data Source'!Z968&gt;=1,"D","F")))))),"")</f>
        <v/>
      </c>
      <c r="I968" s="3">
        <f>IF(AND('Data Source'!B968&lt;&gt;"",'Data Source'!S968="F"),IF('Data Source'!AA968&gt;=5,"A+",IF('Data Source'!AA968&gt;=4,"A",IF('Data Source'!AA968&gt;=3.5,"A-",IF('Data Source'!AA968&gt;=3,"B",IF('Data Source'!AA968&gt;=2,"C",IF('Data Source'!AA968&gt;=1,"D","F")))))),"")</f>
        <v/>
      </c>
      <c r="J968" s="3">
        <f>IF(AND('Data Source'!B968&lt;&gt;"",'Data Source'!S968="F"),IF('Data Source'!AB968&gt;=5,"A+",IF('Data Source'!AB968&gt;=4,"A",IF('Data Source'!AB968&gt;=3.5,"A-",IF('Data Source'!AB968&gt;=3,"B",IF('Data Source'!AB968&gt;=2,"C",IF('Data Source'!AB968&gt;=1,"D","F")))))),"")</f>
        <v/>
      </c>
      <c r="K968" s="3">
        <f>IF(AND('Data Source'!B968&lt;&gt;"",'Data Source'!S968="F"),IF('Data Source'!AC968&gt;=5,"A+",IF('Data Source'!AC968&gt;=4,"A",IF('Data Source'!AC968&gt;=3.5,"A-",IF('Data Source'!AC968&gt;=3,"B",IF('Data Source'!AC968&gt;=2,"C",IF('Data Source'!AC968&gt;=1,"D","F")))))),"")</f>
        <v/>
      </c>
      <c r="L968" s="3">
        <f>IF(AND('Data Source'!B968&lt;&gt;"",'Data Source'!S968="F"),IF('Data Source'!AD968&gt;=5,"A+",IF('Data Source'!AD968&gt;=4,"A",IF('Data Source'!AD968&gt;=3.5,"A-",IF('Data Source'!AD968&gt;=3,"B",IF('Data Source'!AD968&gt;=2,"C",IF('Data Source'!AD968&gt;=1,"D","F")))))),"")</f>
        <v/>
      </c>
      <c r="M968" s="3">
        <f>IF(AND('Data Source'!B968&lt;&gt;"",'Data Source'!S968="F"),IF('Data Source'!AE968&gt;=5,"A+",IF('Data Source'!AE968&gt;=4,"A",IF('Data Source'!AE968&gt;=3.5,"A-",IF('Data Source'!AE968&gt;=3,"B",IF('Data Source'!AE968&gt;=2,"C",IF('Data Source'!AE968&gt;=1,"D","F")))))),"")</f>
        <v/>
      </c>
      <c r="N968" s="3">
        <f>IF(AND('Data Source'!B968&lt;&gt;"",'Data Source'!S968="F"),IF('Data Source'!AF968&gt;=5,"A+",IF('Data Source'!AF968&gt;=4,"A",IF('Data Source'!AF968&gt;=3.5,"A-",IF('Data Source'!AF968&gt;=3,"B",IF('Data Source'!AF968&gt;=2,"C",IF('Data Source'!AF968&gt;=1,"D","F")))))),"")</f>
        <v/>
      </c>
      <c r="O968" s="3">
        <f>IF(AND('Data Source'!B968&lt;&gt;"",'Data Source'!S968="F"),IF('Data Source'!AG968&gt;=5,"A+",IF('Data Source'!AG968&gt;=4,"A",IF('Data Source'!AG968&gt;=3.5,"A-",IF('Data Source'!AG968&gt;=3,"B",IF('Data Source'!AG968&gt;=2,"C",IF('Data Source'!AG968&gt;=1,"D","F")))))),"")</f>
        <v/>
      </c>
      <c r="P968" s="5">
        <f>IF(AND('Data Source'!B968&lt;&gt;"",'Data Source'!S968="F"),'Data Source'!R968,"")</f>
        <v/>
      </c>
      <c r="Q968" s="3">
        <f>IF(AND('Data Source'!B968&lt;&gt;"",'Data Source'!S968="F"),'Data Source'!S968,"")</f>
        <v/>
      </c>
    </row>
    <row r="969">
      <c r="A969" s="3">
        <f>IF(AND('Data Source'!B969&lt;&gt;"",'Data Source'!S969="F"),COUNTIF('Data Source'!$S$3:S969,"F"),"")</f>
        <v/>
      </c>
      <c r="B969">
        <f>IF(AND('Data Source'!B969&lt;&gt;"",'Data Source'!S969="F"),'Data Source'!B969,"")</f>
        <v/>
      </c>
      <c r="C969" s="3">
        <f>IF(AND('Data Source'!B969&lt;&gt;"",'Data Source'!S969="F"),IF('Data Source'!U969&gt;=5,"A+",IF('Data Source'!U969&gt;=4,"A",IF('Data Source'!U969&gt;=3.5,"A-",IF('Data Source'!U969&gt;=3,"B",IF('Data Source'!U969&gt;=2,"C",IF('Data Source'!U969&gt;=1,"D","F")))))),"")</f>
        <v/>
      </c>
      <c r="D969" s="3">
        <f>IF(AND('Data Source'!B969&lt;&gt;"",'Data Source'!S969="F"),IF('Data Source'!V969&gt;=5,"A+",IF('Data Source'!V969&gt;=4,"A",IF('Data Source'!V969&gt;=3.5,"A-",IF('Data Source'!V969&gt;=3,"B",IF('Data Source'!V969&gt;=2,"C",IF('Data Source'!V969&gt;=1,"D","F")))))),"")</f>
        <v/>
      </c>
      <c r="E969" s="3">
        <f>IF(AND('Data Source'!B969&lt;&gt;"",'Data Source'!S969="F"),IF('Data Source'!W969&gt;=5,"A+",IF('Data Source'!W969&gt;=4,"A",IF('Data Source'!W969&gt;=3.5,"A-",IF('Data Source'!W969&gt;=3,"B",IF('Data Source'!W969&gt;=2,"C",IF('Data Source'!W969&gt;=1,"D","F")))))),"")</f>
        <v/>
      </c>
      <c r="F969" s="3">
        <f>IF(AND('Data Source'!B969&lt;&gt;"",'Data Source'!S969="F"),IF('Data Source'!X969&gt;=5,"A+",IF('Data Source'!X969&gt;=4,"A",IF('Data Source'!X969&gt;=3.5,"A-",IF('Data Source'!X969&gt;=3,"B",IF('Data Source'!X969&gt;=2,"C",IF('Data Source'!X969&gt;=1,"D","F")))))),"")</f>
        <v/>
      </c>
      <c r="G969" s="3">
        <f>IF(AND('Data Source'!B969&lt;&gt;"",'Data Source'!S969="F"),IF('Data Source'!Y969&gt;=5,"A+",IF('Data Source'!Y969&gt;=4,"A",IF('Data Source'!Y969&gt;=3.5,"A-",IF('Data Source'!Y969&gt;=3,"B",IF('Data Source'!Y969&gt;=2,"C",IF('Data Source'!Y969&gt;=1,"D","F")))))),"")</f>
        <v/>
      </c>
      <c r="H969" s="3">
        <f>IF(AND('Data Source'!B969&lt;&gt;"",'Data Source'!S969="F"),IF('Data Source'!Z969&gt;=5,"A+",IF('Data Source'!Z969&gt;=4,"A",IF('Data Source'!Z969&gt;=3.5,"A-",IF('Data Source'!Z969&gt;=3,"B",IF('Data Source'!Z969&gt;=2,"C",IF('Data Source'!Z969&gt;=1,"D","F")))))),"")</f>
        <v/>
      </c>
      <c r="I969" s="3">
        <f>IF(AND('Data Source'!B969&lt;&gt;"",'Data Source'!S969="F"),IF('Data Source'!AA969&gt;=5,"A+",IF('Data Source'!AA969&gt;=4,"A",IF('Data Source'!AA969&gt;=3.5,"A-",IF('Data Source'!AA969&gt;=3,"B",IF('Data Source'!AA969&gt;=2,"C",IF('Data Source'!AA969&gt;=1,"D","F")))))),"")</f>
        <v/>
      </c>
      <c r="J969" s="3">
        <f>IF(AND('Data Source'!B969&lt;&gt;"",'Data Source'!S969="F"),IF('Data Source'!AB969&gt;=5,"A+",IF('Data Source'!AB969&gt;=4,"A",IF('Data Source'!AB969&gt;=3.5,"A-",IF('Data Source'!AB969&gt;=3,"B",IF('Data Source'!AB969&gt;=2,"C",IF('Data Source'!AB969&gt;=1,"D","F")))))),"")</f>
        <v/>
      </c>
      <c r="K969" s="3">
        <f>IF(AND('Data Source'!B969&lt;&gt;"",'Data Source'!S969="F"),IF('Data Source'!AC969&gt;=5,"A+",IF('Data Source'!AC969&gt;=4,"A",IF('Data Source'!AC969&gt;=3.5,"A-",IF('Data Source'!AC969&gt;=3,"B",IF('Data Source'!AC969&gt;=2,"C",IF('Data Source'!AC969&gt;=1,"D","F")))))),"")</f>
        <v/>
      </c>
      <c r="L969" s="3">
        <f>IF(AND('Data Source'!B969&lt;&gt;"",'Data Source'!S969="F"),IF('Data Source'!AD969&gt;=5,"A+",IF('Data Source'!AD969&gt;=4,"A",IF('Data Source'!AD969&gt;=3.5,"A-",IF('Data Source'!AD969&gt;=3,"B",IF('Data Source'!AD969&gt;=2,"C",IF('Data Source'!AD969&gt;=1,"D","F")))))),"")</f>
        <v/>
      </c>
      <c r="M969" s="3">
        <f>IF(AND('Data Source'!B969&lt;&gt;"",'Data Source'!S969="F"),IF('Data Source'!AE969&gt;=5,"A+",IF('Data Source'!AE969&gt;=4,"A",IF('Data Source'!AE969&gt;=3.5,"A-",IF('Data Source'!AE969&gt;=3,"B",IF('Data Source'!AE969&gt;=2,"C",IF('Data Source'!AE969&gt;=1,"D","F")))))),"")</f>
        <v/>
      </c>
      <c r="N969" s="3">
        <f>IF(AND('Data Source'!B969&lt;&gt;"",'Data Source'!S969="F"),IF('Data Source'!AF969&gt;=5,"A+",IF('Data Source'!AF969&gt;=4,"A",IF('Data Source'!AF969&gt;=3.5,"A-",IF('Data Source'!AF969&gt;=3,"B",IF('Data Source'!AF969&gt;=2,"C",IF('Data Source'!AF969&gt;=1,"D","F")))))),"")</f>
        <v/>
      </c>
      <c r="O969" s="3">
        <f>IF(AND('Data Source'!B969&lt;&gt;"",'Data Source'!S969="F"),IF('Data Source'!AG969&gt;=5,"A+",IF('Data Source'!AG969&gt;=4,"A",IF('Data Source'!AG969&gt;=3.5,"A-",IF('Data Source'!AG969&gt;=3,"B",IF('Data Source'!AG969&gt;=2,"C",IF('Data Source'!AG969&gt;=1,"D","F")))))),"")</f>
        <v/>
      </c>
      <c r="P969" s="5">
        <f>IF(AND('Data Source'!B969&lt;&gt;"",'Data Source'!S969="F"),'Data Source'!R969,"")</f>
        <v/>
      </c>
      <c r="Q969" s="3">
        <f>IF(AND('Data Source'!B969&lt;&gt;"",'Data Source'!S969="F"),'Data Source'!S969,"")</f>
        <v/>
      </c>
    </row>
    <row r="970">
      <c r="A970" s="3">
        <f>IF(AND('Data Source'!B970&lt;&gt;"",'Data Source'!S970="F"),COUNTIF('Data Source'!$S$3:S970,"F"),"")</f>
        <v/>
      </c>
      <c r="B970">
        <f>IF(AND('Data Source'!B970&lt;&gt;"",'Data Source'!S970="F"),'Data Source'!B970,"")</f>
        <v/>
      </c>
      <c r="C970" s="3">
        <f>IF(AND('Data Source'!B970&lt;&gt;"",'Data Source'!S970="F"),IF('Data Source'!U970&gt;=5,"A+",IF('Data Source'!U970&gt;=4,"A",IF('Data Source'!U970&gt;=3.5,"A-",IF('Data Source'!U970&gt;=3,"B",IF('Data Source'!U970&gt;=2,"C",IF('Data Source'!U970&gt;=1,"D","F")))))),"")</f>
        <v/>
      </c>
      <c r="D970" s="3">
        <f>IF(AND('Data Source'!B970&lt;&gt;"",'Data Source'!S970="F"),IF('Data Source'!V970&gt;=5,"A+",IF('Data Source'!V970&gt;=4,"A",IF('Data Source'!V970&gt;=3.5,"A-",IF('Data Source'!V970&gt;=3,"B",IF('Data Source'!V970&gt;=2,"C",IF('Data Source'!V970&gt;=1,"D","F")))))),"")</f>
        <v/>
      </c>
      <c r="E970" s="3">
        <f>IF(AND('Data Source'!B970&lt;&gt;"",'Data Source'!S970="F"),IF('Data Source'!W970&gt;=5,"A+",IF('Data Source'!W970&gt;=4,"A",IF('Data Source'!W970&gt;=3.5,"A-",IF('Data Source'!W970&gt;=3,"B",IF('Data Source'!W970&gt;=2,"C",IF('Data Source'!W970&gt;=1,"D","F")))))),"")</f>
        <v/>
      </c>
      <c r="F970" s="3">
        <f>IF(AND('Data Source'!B970&lt;&gt;"",'Data Source'!S970="F"),IF('Data Source'!X970&gt;=5,"A+",IF('Data Source'!X970&gt;=4,"A",IF('Data Source'!X970&gt;=3.5,"A-",IF('Data Source'!X970&gt;=3,"B",IF('Data Source'!X970&gt;=2,"C",IF('Data Source'!X970&gt;=1,"D","F")))))),"")</f>
        <v/>
      </c>
      <c r="G970" s="3">
        <f>IF(AND('Data Source'!B970&lt;&gt;"",'Data Source'!S970="F"),IF('Data Source'!Y970&gt;=5,"A+",IF('Data Source'!Y970&gt;=4,"A",IF('Data Source'!Y970&gt;=3.5,"A-",IF('Data Source'!Y970&gt;=3,"B",IF('Data Source'!Y970&gt;=2,"C",IF('Data Source'!Y970&gt;=1,"D","F")))))),"")</f>
        <v/>
      </c>
      <c r="H970" s="3">
        <f>IF(AND('Data Source'!B970&lt;&gt;"",'Data Source'!S970="F"),IF('Data Source'!Z970&gt;=5,"A+",IF('Data Source'!Z970&gt;=4,"A",IF('Data Source'!Z970&gt;=3.5,"A-",IF('Data Source'!Z970&gt;=3,"B",IF('Data Source'!Z970&gt;=2,"C",IF('Data Source'!Z970&gt;=1,"D","F")))))),"")</f>
        <v/>
      </c>
      <c r="I970" s="3">
        <f>IF(AND('Data Source'!B970&lt;&gt;"",'Data Source'!S970="F"),IF('Data Source'!AA970&gt;=5,"A+",IF('Data Source'!AA970&gt;=4,"A",IF('Data Source'!AA970&gt;=3.5,"A-",IF('Data Source'!AA970&gt;=3,"B",IF('Data Source'!AA970&gt;=2,"C",IF('Data Source'!AA970&gt;=1,"D","F")))))),"")</f>
        <v/>
      </c>
      <c r="J970" s="3">
        <f>IF(AND('Data Source'!B970&lt;&gt;"",'Data Source'!S970="F"),IF('Data Source'!AB970&gt;=5,"A+",IF('Data Source'!AB970&gt;=4,"A",IF('Data Source'!AB970&gt;=3.5,"A-",IF('Data Source'!AB970&gt;=3,"B",IF('Data Source'!AB970&gt;=2,"C",IF('Data Source'!AB970&gt;=1,"D","F")))))),"")</f>
        <v/>
      </c>
      <c r="K970" s="3">
        <f>IF(AND('Data Source'!B970&lt;&gt;"",'Data Source'!S970="F"),IF('Data Source'!AC970&gt;=5,"A+",IF('Data Source'!AC970&gt;=4,"A",IF('Data Source'!AC970&gt;=3.5,"A-",IF('Data Source'!AC970&gt;=3,"B",IF('Data Source'!AC970&gt;=2,"C",IF('Data Source'!AC970&gt;=1,"D","F")))))),"")</f>
        <v/>
      </c>
      <c r="L970" s="3">
        <f>IF(AND('Data Source'!B970&lt;&gt;"",'Data Source'!S970="F"),IF('Data Source'!AD970&gt;=5,"A+",IF('Data Source'!AD970&gt;=4,"A",IF('Data Source'!AD970&gt;=3.5,"A-",IF('Data Source'!AD970&gt;=3,"B",IF('Data Source'!AD970&gt;=2,"C",IF('Data Source'!AD970&gt;=1,"D","F")))))),"")</f>
        <v/>
      </c>
      <c r="M970" s="3">
        <f>IF(AND('Data Source'!B970&lt;&gt;"",'Data Source'!S970="F"),IF('Data Source'!AE970&gt;=5,"A+",IF('Data Source'!AE970&gt;=4,"A",IF('Data Source'!AE970&gt;=3.5,"A-",IF('Data Source'!AE970&gt;=3,"B",IF('Data Source'!AE970&gt;=2,"C",IF('Data Source'!AE970&gt;=1,"D","F")))))),"")</f>
        <v/>
      </c>
      <c r="N970" s="3">
        <f>IF(AND('Data Source'!B970&lt;&gt;"",'Data Source'!S970="F"),IF('Data Source'!AF970&gt;=5,"A+",IF('Data Source'!AF970&gt;=4,"A",IF('Data Source'!AF970&gt;=3.5,"A-",IF('Data Source'!AF970&gt;=3,"B",IF('Data Source'!AF970&gt;=2,"C",IF('Data Source'!AF970&gt;=1,"D","F")))))),"")</f>
        <v/>
      </c>
      <c r="O970" s="3">
        <f>IF(AND('Data Source'!B970&lt;&gt;"",'Data Source'!S970="F"),IF('Data Source'!AG970&gt;=5,"A+",IF('Data Source'!AG970&gt;=4,"A",IF('Data Source'!AG970&gt;=3.5,"A-",IF('Data Source'!AG970&gt;=3,"B",IF('Data Source'!AG970&gt;=2,"C",IF('Data Source'!AG970&gt;=1,"D","F")))))),"")</f>
        <v/>
      </c>
      <c r="P970" s="5">
        <f>IF(AND('Data Source'!B970&lt;&gt;"",'Data Source'!S970="F"),'Data Source'!R970,"")</f>
        <v/>
      </c>
      <c r="Q970" s="3">
        <f>IF(AND('Data Source'!B970&lt;&gt;"",'Data Source'!S970="F"),'Data Source'!S970,"")</f>
        <v/>
      </c>
    </row>
    <row r="971">
      <c r="A971" s="3">
        <f>IF(AND('Data Source'!B971&lt;&gt;"",'Data Source'!S971="F"),COUNTIF('Data Source'!$S$3:S971,"F"),"")</f>
        <v/>
      </c>
      <c r="B971">
        <f>IF(AND('Data Source'!B971&lt;&gt;"",'Data Source'!S971="F"),'Data Source'!B971,"")</f>
        <v/>
      </c>
      <c r="C971" s="3">
        <f>IF(AND('Data Source'!B971&lt;&gt;"",'Data Source'!S971="F"),IF('Data Source'!U971&gt;=5,"A+",IF('Data Source'!U971&gt;=4,"A",IF('Data Source'!U971&gt;=3.5,"A-",IF('Data Source'!U971&gt;=3,"B",IF('Data Source'!U971&gt;=2,"C",IF('Data Source'!U971&gt;=1,"D","F")))))),"")</f>
        <v/>
      </c>
      <c r="D971" s="3">
        <f>IF(AND('Data Source'!B971&lt;&gt;"",'Data Source'!S971="F"),IF('Data Source'!V971&gt;=5,"A+",IF('Data Source'!V971&gt;=4,"A",IF('Data Source'!V971&gt;=3.5,"A-",IF('Data Source'!V971&gt;=3,"B",IF('Data Source'!V971&gt;=2,"C",IF('Data Source'!V971&gt;=1,"D","F")))))),"")</f>
        <v/>
      </c>
      <c r="E971" s="3">
        <f>IF(AND('Data Source'!B971&lt;&gt;"",'Data Source'!S971="F"),IF('Data Source'!W971&gt;=5,"A+",IF('Data Source'!W971&gt;=4,"A",IF('Data Source'!W971&gt;=3.5,"A-",IF('Data Source'!W971&gt;=3,"B",IF('Data Source'!W971&gt;=2,"C",IF('Data Source'!W971&gt;=1,"D","F")))))),"")</f>
        <v/>
      </c>
      <c r="F971" s="3">
        <f>IF(AND('Data Source'!B971&lt;&gt;"",'Data Source'!S971="F"),IF('Data Source'!X971&gt;=5,"A+",IF('Data Source'!X971&gt;=4,"A",IF('Data Source'!X971&gt;=3.5,"A-",IF('Data Source'!X971&gt;=3,"B",IF('Data Source'!X971&gt;=2,"C",IF('Data Source'!X971&gt;=1,"D","F")))))),"")</f>
        <v/>
      </c>
      <c r="G971" s="3">
        <f>IF(AND('Data Source'!B971&lt;&gt;"",'Data Source'!S971="F"),IF('Data Source'!Y971&gt;=5,"A+",IF('Data Source'!Y971&gt;=4,"A",IF('Data Source'!Y971&gt;=3.5,"A-",IF('Data Source'!Y971&gt;=3,"B",IF('Data Source'!Y971&gt;=2,"C",IF('Data Source'!Y971&gt;=1,"D","F")))))),"")</f>
        <v/>
      </c>
      <c r="H971" s="3">
        <f>IF(AND('Data Source'!B971&lt;&gt;"",'Data Source'!S971="F"),IF('Data Source'!Z971&gt;=5,"A+",IF('Data Source'!Z971&gt;=4,"A",IF('Data Source'!Z971&gt;=3.5,"A-",IF('Data Source'!Z971&gt;=3,"B",IF('Data Source'!Z971&gt;=2,"C",IF('Data Source'!Z971&gt;=1,"D","F")))))),"")</f>
        <v/>
      </c>
      <c r="I971" s="3">
        <f>IF(AND('Data Source'!B971&lt;&gt;"",'Data Source'!S971="F"),IF('Data Source'!AA971&gt;=5,"A+",IF('Data Source'!AA971&gt;=4,"A",IF('Data Source'!AA971&gt;=3.5,"A-",IF('Data Source'!AA971&gt;=3,"B",IF('Data Source'!AA971&gt;=2,"C",IF('Data Source'!AA971&gt;=1,"D","F")))))),"")</f>
        <v/>
      </c>
      <c r="J971" s="3">
        <f>IF(AND('Data Source'!B971&lt;&gt;"",'Data Source'!S971="F"),IF('Data Source'!AB971&gt;=5,"A+",IF('Data Source'!AB971&gt;=4,"A",IF('Data Source'!AB971&gt;=3.5,"A-",IF('Data Source'!AB971&gt;=3,"B",IF('Data Source'!AB971&gt;=2,"C",IF('Data Source'!AB971&gt;=1,"D","F")))))),"")</f>
        <v/>
      </c>
      <c r="K971" s="3">
        <f>IF(AND('Data Source'!B971&lt;&gt;"",'Data Source'!S971="F"),IF('Data Source'!AC971&gt;=5,"A+",IF('Data Source'!AC971&gt;=4,"A",IF('Data Source'!AC971&gt;=3.5,"A-",IF('Data Source'!AC971&gt;=3,"B",IF('Data Source'!AC971&gt;=2,"C",IF('Data Source'!AC971&gt;=1,"D","F")))))),"")</f>
        <v/>
      </c>
      <c r="L971" s="3">
        <f>IF(AND('Data Source'!B971&lt;&gt;"",'Data Source'!S971="F"),IF('Data Source'!AD971&gt;=5,"A+",IF('Data Source'!AD971&gt;=4,"A",IF('Data Source'!AD971&gt;=3.5,"A-",IF('Data Source'!AD971&gt;=3,"B",IF('Data Source'!AD971&gt;=2,"C",IF('Data Source'!AD971&gt;=1,"D","F")))))),"")</f>
        <v/>
      </c>
      <c r="M971" s="3">
        <f>IF(AND('Data Source'!B971&lt;&gt;"",'Data Source'!S971="F"),IF('Data Source'!AE971&gt;=5,"A+",IF('Data Source'!AE971&gt;=4,"A",IF('Data Source'!AE971&gt;=3.5,"A-",IF('Data Source'!AE971&gt;=3,"B",IF('Data Source'!AE971&gt;=2,"C",IF('Data Source'!AE971&gt;=1,"D","F")))))),"")</f>
        <v/>
      </c>
      <c r="N971" s="3">
        <f>IF(AND('Data Source'!B971&lt;&gt;"",'Data Source'!S971="F"),IF('Data Source'!AF971&gt;=5,"A+",IF('Data Source'!AF971&gt;=4,"A",IF('Data Source'!AF971&gt;=3.5,"A-",IF('Data Source'!AF971&gt;=3,"B",IF('Data Source'!AF971&gt;=2,"C",IF('Data Source'!AF971&gt;=1,"D","F")))))),"")</f>
        <v/>
      </c>
      <c r="O971" s="3">
        <f>IF(AND('Data Source'!B971&lt;&gt;"",'Data Source'!S971="F"),IF('Data Source'!AG971&gt;=5,"A+",IF('Data Source'!AG971&gt;=4,"A",IF('Data Source'!AG971&gt;=3.5,"A-",IF('Data Source'!AG971&gt;=3,"B",IF('Data Source'!AG971&gt;=2,"C",IF('Data Source'!AG971&gt;=1,"D","F")))))),"")</f>
        <v/>
      </c>
      <c r="P971" s="5">
        <f>IF(AND('Data Source'!B971&lt;&gt;"",'Data Source'!S971="F"),'Data Source'!R971,"")</f>
        <v/>
      </c>
      <c r="Q971" s="3">
        <f>IF(AND('Data Source'!B971&lt;&gt;"",'Data Source'!S971="F"),'Data Source'!S971,"")</f>
        <v/>
      </c>
    </row>
    <row r="972">
      <c r="A972" s="3">
        <f>IF(AND('Data Source'!B972&lt;&gt;"",'Data Source'!S972="F"),COUNTIF('Data Source'!$S$3:S972,"F"),"")</f>
        <v/>
      </c>
      <c r="B972">
        <f>IF(AND('Data Source'!B972&lt;&gt;"",'Data Source'!S972="F"),'Data Source'!B972,"")</f>
        <v/>
      </c>
      <c r="C972" s="3">
        <f>IF(AND('Data Source'!B972&lt;&gt;"",'Data Source'!S972="F"),IF('Data Source'!U972&gt;=5,"A+",IF('Data Source'!U972&gt;=4,"A",IF('Data Source'!U972&gt;=3.5,"A-",IF('Data Source'!U972&gt;=3,"B",IF('Data Source'!U972&gt;=2,"C",IF('Data Source'!U972&gt;=1,"D","F")))))),"")</f>
        <v/>
      </c>
      <c r="D972" s="3">
        <f>IF(AND('Data Source'!B972&lt;&gt;"",'Data Source'!S972="F"),IF('Data Source'!V972&gt;=5,"A+",IF('Data Source'!V972&gt;=4,"A",IF('Data Source'!V972&gt;=3.5,"A-",IF('Data Source'!V972&gt;=3,"B",IF('Data Source'!V972&gt;=2,"C",IF('Data Source'!V972&gt;=1,"D","F")))))),"")</f>
        <v/>
      </c>
      <c r="E972" s="3">
        <f>IF(AND('Data Source'!B972&lt;&gt;"",'Data Source'!S972="F"),IF('Data Source'!W972&gt;=5,"A+",IF('Data Source'!W972&gt;=4,"A",IF('Data Source'!W972&gt;=3.5,"A-",IF('Data Source'!W972&gt;=3,"B",IF('Data Source'!W972&gt;=2,"C",IF('Data Source'!W972&gt;=1,"D","F")))))),"")</f>
        <v/>
      </c>
      <c r="F972" s="3">
        <f>IF(AND('Data Source'!B972&lt;&gt;"",'Data Source'!S972="F"),IF('Data Source'!X972&gt;=5,"A+",IF('Data Source'!X972&gt;=4,"A",IF('Data Source'!X972&gt;=3.5,"A-",IF('Data Source'!X972&gt;=3,"B",IF('Data Source'!X972&gt;=2,"C",IF('Data Source'!X972&gt;=1,"D","F")))))),"")</f>
        <v/>
      </c>
      <c r="G972" s="3">
        <f>IF(AND('Data Source'!B972&lt;&gt;"",'Data Source'!S972="F"),IF('Data Source'!Y972&gt;=5,"A+",IF('Data Source'!Y972&gt;=4,"A",IF('Data Source'!Y972&gt;=3.5,"A-",IF('Data Source'!Y972&gt;=3,"B",IF('Data Source'!Y972&gt;=2,"C",IF('Data Source'!Y972&gt;=1,"D","F")))))),"")</f>
        <v/>
      </c>
      <c r="H972" s="3">
        <f>IF(AND('Data Source'!B972&lt;&gt;"",'Data Source'!S972="F"),IF('Data Source'!Z972&gt;=5,"A+",IF('Data Source'!Z972&gt;=4,"A",IF('Data Source'!Z972&gt;=3.5,"A-",IF('Data Source'!Z972&gt;=3,"B",IF('Data Source'!Z972&gt;=2,"C",IF('Data Source'!Z972&gt;=1,"D","F")))))),"")</f>
        <v/>
      </c>
      <c r="I972" s="3">
        <f>IF(AND('Data Source'!B972&lt;&gt;"",'Data Source'!S972="F"),IF('Data Source'!AA972&gt;=5,"A+",IF('Data Source'!AA972&gt;=4,"A",IF('Data Source'!AA972&gt;=3.5,"A-",IF('Data Source'!AA972&gt;=3,"B",IF('Data Source'!AA972&gt;=2,"C",IF('Data Source'!AA972&gt;=1,"D","F")))))),"")</f>
        <v/>
      </c>
      <c r="J972" s="3">
        <f>IF(AND('Data Source'!B972&lt;&gt;"",'Data Source'!S972="F"),IF('Data Source'!AB972&gt;=5,"A+",IF('Data Source'!AB972&gt;=4,"A",IF('Data Source'!AB972&gt;=3.5,"A-",IF('Data Source'!AB972&gt;=3,"B",IF('Data Source'!AB972&gt;=2,"C",IF('Data Source'!AB972&gt;=1,"D","F")))))),"")</f>
        <v/>
      </c>
      <c r="K972" s="3">
        <f>IF(AND('Data Source'!B972&lt;&gt;"",'Data Source'!S972="F"),IF('Data Source'!AC972&gt;=5,"A+",IF('Data Source'!AC972&gt;=4,"A",IF('Data Source'!AC972&gt;=3.5,"A-",IF('Data Source'!AC972&gt;=3,"B",IF('Data Source'!AC972&gt;=2,"C",IF('Data Source'!AC972&gt;=1,"D","F")))))),"")</f>
        <v/>
      </c>
      <c r="L972" s="3">
        <f>IF(AND('Data Source'!B972&lt;&gt;"",'Data Source'!S972="F"),IF('Data Source'!AD972&gt;=5,"A+",IF('Data Source'!AD972&gt;=4,"A",IF('Data Source'!AD972&gt;=3.5,"A-",IF('Data Source'!AD972&gt;=3,"B",IF('Data Source'!AD972&gt;=2,"C",IF('Data Source'!AD972&gt;=1,"D","F")))))),"")</f>
        <v/>
      </c>
      <c r="M972" s="3">
        <f>IF(AND('Data Source'!B972&lt;&gt;"",'Data Source'!S972="F"),IF('Data Source'!AE972&gt;=5,"A+",IF('Data Source'!AE972&gt;=4,"A",IF('Data Source'!AE972&gt;=3.5,"A-",IF('Data Source'!AE972&gt;=3,"B",IF('Data Source'!AE972&gt;=2,"C",IF('Data Source'!AE972&gt;=1,"D","F")))))),"")</f>
        <v/>
      </c>
      <c r="N972" s="3">
        <f>IF(AND('Data Source'!B972&lt;&gt;"",'Data Source'!S972="F"),IF('Data Source'!AF972&gt;=5,"A+",IF('Data Source'!AF972&gt;=4,"A",IF('Data Source'!AF972&gt;=3.5,"A-",IF('Data Source'!AF972&gt;=3,"B",IF('Data Source'!AF972&gt;=2,"C",IF('Data Source'!AF972&gt;=1,"D","F")))))),"")</f>
        <v/>
      </c>
      <c r="O972" s="3">
        <f>IF(AND('Data Source'!B972&lt;&gt;"",'Data Source'!S972="F"),IF('Data Source'!AG972&gt;=5,"A+",IF('Data Source'!AG972&gt;=4,"A",IF('Data Source'!AG972&gt;=3.5,"A-",IF('Data Source'!AG972&gt;=3,"B",IF('Data Source'!AG972&gt;=2,"C",IF('Data Source'!AG972&gt;=1,"D","F")))))),"")</f>
        <v/>
      </c>
      <c r="P972" s="5">
        <f>IF(AND('Data Source'!B972&lt;&gt;"",'Data Source'!S972="F"),'Data Source'!R972,"")</f>
        <v/>
      </c>
      <c r="Q972" s="3">
        <f>IF(AND('Data Source'!B972&lt;&gt;"",'Data Source'!S972="F"),'Data Source'!S972,"")</f>
        <v/>
      </c>
    </row>
    <row r="973">
      <c r="A973" s="3">
        <f>IF(AND('Data Source'!B973&lt;&gt;"",'Data Source'!S973="F"),COUNTIF('Data Source'!$S$3:S973,"F"),"")</f>
        <v/>
      </c>
      <c r="B973">
        <f>IF(AND('Data Source'!B973&lt;&gt;"",'Data Source'!S973="F"),'Data Source'!B973,"")</f>
        <v/>
      </c>
      <c r="C973" s="3">
        <f>IF(AND('Data Source'!B973&lt;&gt;"",'Data Source'!S973="F"),IF('Data Source'!U973&gt;=5,"A+",IF('Data Source'!U973&gt;=4,"A",IF('Data Source'!U973&gt;=3.5,"A-",IF('Data Source'!U973&gt;=3,"B",IF('Data Source'!U973&gt;=2,"C",IF('Data Source'!U973&gt;=1,"D","F")))))),"")</f>
        <v/>
      </c>
      <c r="D973" s="3">
        <f>IF(AND('Data Source'!B973&lt;&gt;"",'Data Source'!S973="F"),IF('Data Source'!V973&gt;=5,"A+",IF('Data Source'!V973&gt;=4,"A",IF('Data Source'!V973&gt;=3.5,"A-",IF('Data Source'!V973&gt;=3,"B",IF('Data Source'!V973&gt;=2,"C",IF('Data Source'!V973&gt;=1,"D","F")))))),"")</f>
        <v/>
      </c>
      <c r="E973" s="3">
        <f>IF(AND('Data Source'!B973&lt;&gt;"",'Data Source'!S973="F"),IF('Data Source'!W973&gt;=5,"A+",IF('Data Source'!W973&gt;=4,"A",IF('Data Source'!W973&gt;=3.5,"A-",IF('Data Source'!W973&gt;=3,"B",IF('Data Source'!W973&gt;=2,"C",IF('Data Source'!W973&gt;=1,"D","F")))))),"")</f>
        <v/>
      </c>
      <c r="F973" s="3">
        <f>IF(AND('Data Source'!B973&lt;&gt;"",'Data Source'!S973="F"),IF('Data Source'!X973&gt;=5,"A+",IF('Data Source'!X973&gt;=4,"A",IF('Data Source'!X973&gt;=3.5,"A-",IF('Data Source'!X973&gt;=3,"B",IF('Data Source'!X973&gt;=2,"C",IF('Data Source'!X973&gt;=1,"D","F")))))),"")</f>
        <v/>
      </c>
      <c r="G973" s="3">
        <f>IF(AND('Data Source'!B973&lt;&gt;"",'Data Source'!S973="F"),IF('Data Source'!Y973&gt;=5,"A+",IF('Data Source'!Y973&gt;=4,"A",IF('Data Source'!Y973&gt;=3.5,"A-",IF('Data Source'!Y973&gt;=3,"B",IF('Data Source'!Y973&gt;=2,"C",IF('Data Source'!Y973&gt;=1,"D","F")))))),"")</f>
        <v/>
      </c>
      <c r="H973" s="3">
        <f>IF(AND('Data Source'!B973&lt;&gt;"",'Data Source'!S973="F"),IF('Data Source'!Z973&gt;=5,"A+",IF('Data Source'!Z973&gt;=4,"A",IF('Data Source'!Z973&gt;=3.5,"A-",IF('Data Source'!Z973&gt;=3,"B",IF('Data Source'!Z973&gt;=2,"C",IF('Data Source'!Z973&gt;=1,"D","F")))))),"")</f>
        <v/>
      </c>
      <c r="I973" s="3">
        <f>IF(AND('Data Source'!B973&lt;&gt;"",'Data Source'!S973="F"),IF('Data Source'!AA973&gt;=5,"A+",IF('Data Source'!AA973&gt;=4,"A",IF('Data Source'!AA973&gt;=3.5,"A-",IF('Data Source'!AA973&gt;=3,"B",IF('Data Source'!AA973&gt;=2,"C",IF('Data Source'!AA973&gt;=1,"D","F")))))),"")</f>
        <v/>
      </c>
      <c r="J973" s="3">
        <f>IF(AND('Data Source'!B973&lt;&gt;"",'Data Source'!S973="F"),IF('Data Source'!AB973&gt;=5,"A+",IF('Data Source'!AB973&gt;=4,"A",IF('Data Source'!AB973&gt;=3.5,"A-",IF('Data Source'!AB973&gt;=3,"B",IF('Data Source'!AB973&gt;=2,"C",IF('Data Source'!AB973&gt;=1,"D","F")))))),"")</f>
        <v/>
      </c>
      <c r="K973" s="3">
        <f>IF(AND('Data Source'!B973&lt;&gt;"",'Data Source'!S973="F"),IF('Data Source'!AC973&gt;=5,"A+",IF('Data Source'!AC973&gt;=4,"A",IF('Data Source'!AC973&gt;=3.5,"A-",IF('Data Source'!AC973&gt;=3,"B",IF('Data Source'!AC973&gt;=2,"C",IF('Data Source'!AC973&gt;=1,"D","F")))))),"")</f>
        <v/>
      </c>
      <c r="L973" s="3">
        <f>IF(AND('Data Source'!B973&lt;&gt;"",'Data Source'!S973="F"),IF('Data Source'!AD973&gt;=5,"A+",IF('Data Source'!AD973&gt;=4,"A",IF('Data Source'!AD973&gt;=3.5,"A-",IF('Data Source'!AD973&gt;=3,"B",IF('Data Source'!AD973&gt;=2,"C",IF('Data Source'!AD973&gt;=1,"D","F")))))),"")</f>
        <v/>
      </c>
      <c r="M973" s="3">
        <f>IF(AND('Data Source'!B973&lt;&gt;"",'Data Source'!S973="F"),IF('Data Source'!AE973&gt;=5,"A+",IF('Data Source'!AE973&gt;=4,"A",IF('Data Source'!AE973&gt;=3.5,"A-",IF('Data Source'!AE973&gt;=3,"B",IF('Data Source'!AE973&gt;=2,"C",IF('Data Source'!AE973&gt;=1,"D","F")))))),"")</f>
        <v/>
      </c>
      <c r="N973" s="3">
        <f>IF(AND('Data Source'!B973&lt;&gt;"",'Data Source'!S973="F"),IF('Data Source'!AF973&gt;=5,"A+",IF('Data Source'!AF973&gt;=4,"A",IF('Data Source'!AF973&gt;=3.5,"A-",IF('Data Source'!AF973&gt;=3,"B",IF('Data Source'!AF973&gt;=2,"C",IF('Data Source'!AF973&gt;=1,"D","F")))))),"")</f>
        <v/>
      </c>
      <c r="O973" s="3">
        <f>IF(AND('Data Source'!B973&lt;&gt;"",'Data Source'!S973="F"),IF('Data Source'!AG973&gt;=5,"A+",IF('Data Source'!AG973&gt;=4,"A",IF('Data Source'!AG973&gt;=3.5,"A-",IF('Data Source'!AG973&gt;=3,"B",IF('Data Source'!AG973&gt;=2,"C",IF('Data Source'!AG973&gt;=1,"D","F")))))),"")</f>
        <v/>
      </c>
      <c r="P973" s="5">
        <f>IF(AND('Data Source'!B973&lt;&gt;"",'Data Source'!S973="F"),'Data Source'!R973,"")</f>
        <v/>
      </c>
      <c r="Q973" s="3">
        <f>IF(AND('Data Source'!B973&lt;&gt;"",'Data Source'!S973="F"),'Data Source'!S973,"")</f>
        <v/>
      </c>
    </row>
    <row r="974">
      <c r="A974" s="3">
        <f>IF(AND('Data Source'!B974&lt;&gt;"",'Data Source'!S974="F"),COUNTIF('Data Source'!$S$3:S974,"F"),"")</f>
        <v/>
      </c>
      <c r="B974">
        <f>IF(AND('Data Source'!B974&lt;&gt;"",'Data Source'!S974="F"),'Data Source'!B974,"")</f>
        <v/>
      </c>
      <c r="C974" s="3">
        <f>IF(AND('Data Source'!B974&lt;&gt;"",'Data Source'!S974="F"),IF('Data Source'!U974&gt;=5,"A+",IF('Data Source'!U974&gt;=4,"A",IF('Data Source'!U974&gt;=3.5,"A-",IF('Data Source'!U974&gt;=3,"B",IF('Data Source'!U974&gt;=2,"C",IF('Data Source'!U974&gt;=1,"D","F")))))),"")</f>
        <v/>
      </c>
      <c r="D974" s="3">
        <f>IF(AND('Data Source'!B974&lt;&gt;"",'Data Source'!S974="F"),IF('Data Source'!V974&gt;=5,"A+",IF('Data Source'!V974&gt;=4,"A",IF('Data Source'!V974&gt;=3.5,"A-",IF('Data Source'!V974&gt;=3,"B",IF('Data Source'!V974&gt;=2,"C",IF('Data Source'!V974&gt;=1,"D","F")))))),"")</f>
        <v/>
      </c>
      <c r="E974" s="3">
        <f>IF(AND('Data Source'!B974&lt;&gt;"",'Data Source'!S974="F"),IF('Data Source'!W974&gt;=5,"A+",IF('Data Source'!W974&gt;=4,"A",IF('Data Source'!W974&gt;=3.5,"A-",IF('Data Source'!W974&gt;=3,"B",IF('Data Source'!W974&gt;=2,"C",IF('Data Source'!W974&gt;=1,"D","F")))))),"")</f>
        <v/>
      </c>
      <c r="F974" s="3">
        <f>IF(AND('Data Source'!B974&lt;&gt;"",'Data Source'!S974="F"),IF('Data Source'!X974&gt;=5,"A+",IF('Data Source'!X974&gt;=4,"A",IF('Data Source'!X974&gt;=3.5,"A-",IF('Data Source'!X974&gt;=3,"B",IF('Data Source'!X974&gt;=2,"C",IF('Data Source'!X974&gt;=1,"D","F")))))),"")</f>
        <v/>
      </c>
      <c r="G974" s="3">
        <f>IF(AND('Data Source'!B974&lt;&gt;"",'Data Source'!S974="F"),IF('Data Source'!Y974&gt;=5,"A+",IF('Data Source'!Y974&gt;=4,"A",IF('Data Source'!Y974&gt;=3.5,"A-",IF('Data Source'!Y974&gt;=3,"B",IF('Data Source'!Y974&gt;=2,"C",IF('Data Source'!Y974&gt;=1,"D","F")))))),"")</f>
        <v/>
      </c>
      <c r="H974" s="3">
        <f>IF(AND('Data Source'!B974&lt;&gt;"",'Data Source'!S974="F"),IF('Data Source'!Z974&gt;=5,"A+",IF('Data Source'!Z974&gt;=4,"A",IF('Data Source'!Z974&gt;=3.5,"A-",IF('Data Source'!Z974&gt;=3,"B",IF('Data Source'!Z974&gt;=2,"C",IF('Data Source'!Z974&gt;=1,"D","F")))))),"")</f>
        <v/>
      </c>
      <c r="I974" s="3">
        <f>IF(AND('Data Source'!B974&lt;&gt;"",'Data Source'!S974="F"),IF('Data Source'!AA974&gt;=5,"A+",IF('Data Source'!AA974&gt;=4,"A",IF('Data Source'!AA974&gt;=3.5,"A-",IF('Data Source'!AA974&gt;=3,"B",IF('Data Source'!AA974&gt;=2,"C",IF('Data Source'!AA974&gt;=1,"D","F")))))),"")</f>
        <v/>
      </c>
      <c r="J974" s="3">
        <f>IF(AND('Data Source'!B974&lt;&gt;"",'Data Source'!S974="F"),IF('Data Source'!AB974&gt;=5,"A+",IF('Data Source'!AB974&gt;=4,"A",IF('Data Source'!AB974&gt;=3.5,"A-",IF('Data Source'!AB974&gt;=3,"B",IF('Data Source'!AB974&gt;=2,"C",IF('Data Source'!AB974&gt;=1,"D","F")))))),"")</f>
        <v/>
      </c>
      <c r="K974" s="3">
        <f>IF(AND('Data Source'!B974&lt;&gt;"",'Data Source'!S974="F"),IF('Data Source'!AC974&gt;=5,"A+",IF('Data Source'!AC974&gt;=4,"A",IF('Data Source'!AC974&gt;=3.5,"A-",IF('Data Source'!AC974&gt;=3,"B",IF('Data Source'!AC974&gt;=2,"C",IF('Data Source'!AC974&gt;=1,"D","F")))))),"")</f>
        <v/>
      </c>
      <c r="L974" s="3">
        <f>IF(AND('Data Source'!B974&lt;&gt;"",'Data Source'!S974="F"),IF('Data Source'!AD974&gt;=5,"A+",IF('Data Source'!AD974&gt;=4,"A",IF('Data Source'!AD974&gt;=3.5,"A-",IF('Data Source'!AD974&gt;=3,"B",IF('Data Source'!AD974&gt;=2,"C",IF('Data Source'!AD974&gt;=1,"D","F")))))),"")</f>
        <v/>
      </c>
      <c r="M974" s="3">
        <f>IF(AND('Data Source'!B974&lt;&gt;"",'Data Source'!S974="F"),IF('Data Source'!AE974&gt;=5,"A+",IF('Data Source'!AE974&gt;=4,"A",IF('Data Source'!AE974&gt;=3.5,"A-",IF('Data Source'!AE974&gt;=3,"B",IF('Data Source'!AE974&gt;=2,"C",IF('Data Source'!AE974&gt;=1,"D","F")))))),"")</f>
        <v/>
      </c>
      <c r="N974" s="3">
        <f>IF(AND('Data Source'!B974&lt;&gt;"",'Data Source'!S974="F"),IF('Data Source'!AF974&gt;=5,"A+",IF('Data Source'!AF974&gt;=4,"A",IF('Data Source'!AF974&gt;=3.5,"A-",IF('Data Source'!AF974&gt;=3,"B",IF('Data Source'!AF974&gt;=2,"C",IF('Data Source'!AF974&gt;=1,"D","F")))))),"")</f>
        <v/>
      </c>
      <c r="O974" s="3">
        <f>IF(AND('Data Source'!B974&lt;&gt;"",'Data Source'!S974="F"),IF('Data Source'!AG974&gt;=5,"A+",IF('Data Source'!AG974&gt;=4,"A",IF('Data Source'!AG974&gt;=3.5,"A-",IF('Data Source'!AG974&gt;=3,"B",IF('Data Source'!AG974&gt;=2,"C",IF('Data Source'!AG974&gt;=1,"D","F")))))),"")</f>
        <v/>
      </c>
      <c r="P974" s="5">
        <f>IF(AND('Data Source'!B974&lt;&gt;"",'Data Source'!S974="F"),'Data Source'!R974,"")</f>
        <v/>
      </c>
      <c r="Q974" s="3">
        <f>IF(AND('Data Source'!B974&lt;&gt;"",'Data Source'!S974="F"),'Data Source'!S974,"")</f>
        <v/>
      </c>
    </row>
    <row r="975">
      <c r="A975" s="3">
        <f>IF(AND('Data Source'!B975&lt;&gt;"",'Data Source'!S975="F"),COUNTIF('Data Source'!$S$3:S975,"F"),"")</f>
        <v/>
      </c>
      <c r="B975">
        <f>IF(AND('Data Source'!B975&lt;&gt;"",'Data Source'!S975="F"),'Data Source'!B975,"")</f>
        <v/>
      </c>
      <c r="C975" s="3">
        <f>IF(AND('Data Source'!B975&lt;&gt;"",'Data Source'!S975="F"),IF('Data Source'!U975&gt;=5,"A+",IF('Data Source'!U975&gt;=4,"A",IF('Data Source'!U975&gt;=3.5,"A-",IF('Data Source'!U975&gt;=3,"B",IF('Data Source'!U975&gt;=2,"C",IF('Data Source'!U975&gt;=1,"D","F")))))),"")</f>
        <v/>
      </c>
      <c r="D975" s="3">
        <f>IF(AND('Data Source'!B975&lt;&gt;"",'Data Source'!S975="F"),IF('Data Source'!V975&gt;=5,"A+",IF('Data Source'!V975&gt;=4,"A",IF('Data Source'!V975&gt;=3.5,"A-",IF('Data Source'!V975&gt;=3,"B",IF('Data Source'!V975&gt;=2,"C",IF('Data Source'!V975&gt;=1,"D","F")))))),"")</f>
        <v/>
      </c>
      <c r="E975" s="3">
        <f>IF(AND('Data Source'!B975&lt;&gt;"",'Data Source'!S975="F"),IF('Data Source'!W975&gt;=5,"A+",IF('Data Source'!W975&gt;=4,"A",IF('Data Source'!W975&gt;=3.5,"A-",IF('Data Source'!W975&gt;=3,"B",IF('Data Source'!W975&gt;=2,"C",IF('Data Source'!W975&gt;=1,"D","F")))))),"")</f>
        <v/>
      </c>
      <c r="F975" s="3">
        <f>IF(AND('Data Source'!B975&lt;&gt;"",'Data Source'!S975="F"),IF('Data Source'!X975&gt;=5,"A+",IF('Data Source'!X975&gt;=4,"A",IF('Data Source'!X975&gt;=3.5,"A-",IF('Data Source'!X975&gt;=3,"B",IF('Data Source'!X975&gt;=2,"C",IF('Data Source'!X975&gt;=1,"D","F")))))),"")</f>
        <v/>
      </c>
      <c r="G975" s="3">
        <f>IF(AND('Data Source'!B975&lt;&gt;"",'Data Source'!S975="F"),IF('Data Source'!Y975&gt;=5,"A+",IF('Data Source'!Y975&gt;=4,"A",IF('Data Source'!Y975&gt;=3.5,"A-",IF('Data Source'!Y975&gt;=3,"B",IF('Data Source'!Y975&gt;=2,"C",IF('Data Source'!Y975&gt;=1,"D","F")))))),"")</f>
        <v/>
      </c>
      <c r="H975" s="3">
        <f>IF(AND('Data Source'!B975&lt;&gt;"",'Data Source'!S975="F"),IF('Data Source'!Z975&gt;=5,"A+",IF('Data Source'!Z975&gt;=4,"A",IF('Data Source'!Z975&gt;=3.5,"A-",IF('Data Source'!Z975&gt;=3,"B",IF('Data Source'!Z975&gt;=2,"C",IF('Data Source'!Z975&gt;=1,"D","F")))))),"")</f>
        <v/>
      </c>
      <c r="I975" s="3">
        <f>IF(AND('Data Source'!B975&lt;&gt;"",'Data Source'!S975="F"),IF('Data Source'!AA975&gt;=5,"A+",IF('Data Source'!AA975&gt;=4,"A",IF('Data Source'!AA975&gt;=3.5,"A-",IF('Data Source'!AA975&gt;=3,"B",IF('Data Source'!AA975&gt;=2,"C",IF('Data Source'!AA975&gt;=1,"D","F")))))),"")</f>
        <v/>
      </c>
      <c r="J975" s="3">
        <f>IF(AND('Data Source'!B975&lt;&gt;"",'Data Source'!S975="F"),IF('Data Source'!AB975&gt;=5,"A+",IF('Data Source'!AB975&gt;=4,"A",IF('Data Source'!AB975&gt;=3.5,"A-",IF('Data Source'!AB975&gt;=3,"B",IF('Data Source'!AB975&gt;=2,"C",IF('Data Source'!AB975&gt;=1,"D","F")))))),"")</f>
        <v/>
      </c>
      <c r="K975" s="3">
        <f>IF(AND('Data Source'!B975&lt;&gt;"",'Data Source'!S975="F"),IF('Data Source'!AC975&gt;=5,"A+",IF('Data Source'!AC975&gt;=4,"A",IF('Data Source'!AC975&gt;=3.5,"A-",IF('Data Source'!AC975&gt;=3,"B",IF('Data Source'!AC975&gt;=2,"C",IF('Data Source'!AC975&gt;=1,"D","F")))))),"")</f>
        <v/>
      </c>
      <c r="L975" s="3">
        <f>IF(AND('Data Source'!B975&lt;&gt;"",'Data Source'!S975="F"),IF('Data Source'!AD975&gt;=5,"A+",IF('Data Source'!AD975&gt;=4,"A",IF('Data Source'!AD975&gt;=3.5,"A-",IF('Data Source'!AD975&gt;=3,"B",IF('Data Source'!AD975&gt;=2,"C",IF('Data Source'!AD975&gt;=1,"D","F")))))),"")</f>
        <v/>
      </c>
      <c r="M975" s="3">
        <f>IF(AND('Data Source'!B975&lt;&gt;"",'Data Source'!S975="F"),IF('Data Source'!AE975&gt;=5,"A+",IF('Data Source'!AE975&gt;=4,"A",IF('Data Source'!AE975&gt;=3.5,"A-",IF('Data Source'!AE975&gt;=3,"B",IF('Data Source'!AE975&gt;=2,"C",IF('Data Source'!AE975&gt;=1,"D","F")))))),"")</f>
        <v/>
      </c>
      <c r="N975" s="3">
        <f>IF(AND('Data Source'!B975&lt;&gt;"",'Data Source'!S975="F"),IF('Data Source'!AF975&gt;=5,"A+",IF('Data Source'!AF975&gt;=4,"A",IF('Data Source'!AF975&gt;=3.5,"A-",IF('Data Source'!AF975&gt;=3,"B",IF('Data Source'!AF975&gt;=2,"C",IF('Data Source'!AF975&gt;=1,"D","F")))))),"")</f>
        <v/>
      </c>
      <c r="O975" s="3">
        <f>IF(AND('Data Source'!B975&lt;&gt;"",'Data Source'!S975="F"),IF('Data Source'!AG975&gt;=5,"A+",IF('Data Source'!AG975&gt;=4,"A",IF('Data Source'!AG975&gt;=3.5,"A-",IF('Data Source'!AG975&gt;=3,"B",IF('Data Source'!AG975&gt;=2,"C",IF('Data Source'!AG975&gt;=1,"D","F")))))),"")</f>
        <v/>
      </c>
      <c r="P975" s="5">
        <f>IF(AND('Data Source'!B975&lt;&gt;"",'Data Source'!S975="F"),'Data Source'!R975,"")</f>
        <v/>
      </c>
      <c r="Q975" s="3">
        <f>IF(AND('Data Source'!B975&lt;&gt;"",'Data Source'!S975="F"),'Data Source'!S975,"")</f>
        <v/>
      </c>
    </row>
    <row r="976">
      <c r="A976" s="3">
        <f>IF(AND('Data Source'!B976&lt;&gt;"",'Data Source'!S976="F"),COUNTIF('Data Source'!$S$3:S976,"F"),"")</f>
        <v/>
      </c>
      <c r="B976">
        <f>IF(AND('Data Source'!B976&lt;&gt;"",'Data Source'!S976="F"),'Data Source'!B976,"")</f>
        <v/>
      </c>
      <c r="C976" s="3">
        <f>IF(AND('Data Source'!B976&lt;&gt;"",'Data Source'!S976="F"),IF('Data Source'!U976&gt;=5,"A+",IF('Data Source'!U976&gt;=4,"A",IF('Data Source'!U976&gt;=3.5,"A-",IF('Data Source'!U976&gt;=3,"B",IF('Data Source'!U976&gt;=2,"C",IF('Data Source'!U976&gt;=1,"D","F")))))),"")</f>
        <v/>
      </c>
      <c r="D976" s="3">
        <f>IF(AND('Data Source'!B976&lt;&gt;"",'Data Source'!S976="F"),IF('Data Source'!V976&gt;=5,"A+",IF('Data Source'!V976&gt;=4,"A",IF('Data Source'!V976&gt;=3.5,"A-",IF('Data Source'!V976&gt;=3,"B",IF('Data Source'!V976&gt;=2,"C",IF('Data Source'!V976&gt;=1,"D","F")))))),"")</f>
        <v/>
      </c>
      <c r="E976" s="3">
        <f>IF(AND('Data Source'!B976&lt;&gt;"",'Data Source'!S976="F"),IF('Data Source'!W976&gt;=5,"A+",IF('Data Source'!W976&gt;=4,"A",IF('Data Source'!W976&gt;=3.5,"A-",IF('Data Source'!W976&gt;=3,"B",IF('Data Source'!W976&gt;=2,"C",IF('Data Source'!W976&gt;=1,"D","F")))))),"")</f>
        <v/>
      </c>
      <c r="F976" s="3">
        <f>IF(AND('Data Source'!B976&lt;&gt;"",'Data Source'!S976="F"),IF('Data Source'!X976&gt;=5,"A+",IF('Data Source'!X976&gt;=4,"A",IF('Data Source'!X976&gt;=3.5,"A-",IF('Data Source'!X976&gt;=3,"B",IF('Data Source'!X976&gt;=2,"C",IF('Data Source'!X976&gt;=1,"D","F")))))),"")</f>
        <v/>
      </c>
      <c r="G976" s="3">
        <f>IF(AND('Data Source'!B976&lt;&gt;"",'Data Source'!S976="F"),IF('Data Source'!Y976&gt;=5,"A+",IF('Data Source'!Y976&gt;=4,"A",IF('Data Source'!Y976&gt;=3.5,"A-",IF('Data Source'!Y976&gt;=3,"B",IF('Data Source'!Y976&gt;=2,"C",IF('Data Source'!Y976&gt;=1,"D","F")))))),"")</f>
        <v/>
      </c>
      <c r="H976" s="3">
        <f>IF(AND('Data Source'!B976&lt;&gt;"",'Data Source'!S976="F"),IF('Data Source'!Z976&gt;=5,"A+",IF('Data Source'!Z976&gt;=4,"A",IF('Data Source'!Z976&gt;=3.5,"A-",IF('Data Source'!Z976&gt;=3,"B",IF('Data Source'!Z976&gt;=2,"C",IF('Data Source'!Z976&gt;=1,"D","F")))))),"")</f>
        <v/>
      </c>
      <c r="I976" s="3">
        <f>IF(AND('Data Source'!B976&lt;&gt;"",'Data Source'!S976="F"),IF('Data Source'!AA976&gt;=5,"A+",IF('Data Source'!AA976&gt;=4,"A",IF('Data Source'!AA976&gt;=3.5,"A-",IF('Data Source'!AA976&gt;=3,"B",IF('Data Source'!AA976&gt;=2,"C",IF('Data Source'!AA976&gt;=1,"D","F")))))),"")</f>
        <v/>
      </c>
      <c r="J976" s="3">
        <f>IF(AND('Data Source'!B976&lt;&gt;"",'Data Source'!S976="F"),IF('Data Source'!AB976&gt;=5,"A+",IF('Data Source'!AB976&gt;=4,"A",IF('Data Source'!AB976&gt;=3.5,"A-",IF('Data Source'!AB976&gt;=3,"B",IF('Data Source'!AB976&gt;=2,"C",IF('Data Source'!AB976&gt;=1,"D","F")))))),"")</f>
        <v/>
      </c>
      <c r="K976" s="3">
        <f>IF(AND('Data Source'!B976&lt;&gt;"",'Data Source'!S976="F"),IF('Data Source'!AC976&gt;=5,"A+",IF('Data Source'!AC976&gt;=4,"A",IF('Data Source'!AC976&gt;=3.5,"A-",IF('Data Source'!AC976&gt;=3,"B",IF('Data Source'!AC976&gt;=2,"C",IF('Data Source'!AC976&gt;=1,"D","F")))))),"")</f>
        <v/>
      </c>
      <c r="L976" s="3">
        <f>IF(AND('Data Source'!B976&lt;&gt;"",'Data Source'!S976="F"),IF('Data Source'!AD976&gt;=5,"A+",IF('Data Source'!AD976&gt;=4,"A",IF('Data Source'!AD976&gt;=3.5,"A-",IF('Data Source'!AD976&gt;=3,"B",IF('Data Source'!AD976&gt;=2,"C",IF('Data Source'!AD976&gt;=1,"D","F")))))),"")</f>
        <v/>
      </c>
      <c r="M976" s="3">
        <f>IF(AND('Data Source'!B976&lt;&gt;"",'Data Source'!S976="F"),IF('Data Source'!AE976&gt;=5,"A+",IF('Data Source'!AE976&gt;=4,"A",IF('Data Source'!AE976&gt;=3.5,"A-",IF('Data Source'!AE976&gt;=3,"B",IF('Data Source'!AE976&gt;=2,"C",IF('Data Source'!AE976&gt;=1,"D","F")))))),"")</f>
        <v/>
      </c>
      <c r="N976" s="3">
        <f>IF(AND('Data Source'!B976&lt;&gt;"",'Data Source'!S976="F"),IF('Data Source'!AF976&gt;=5,"A+",IF('Data Source'!AF976&gt;=4,"A",IF('Data Source'!AF976&gt;=3.5,"A-",IF('Data Source'!AF976&gt;=3,"B",IF('Data Source'!AF976&gt;=2,"C",IF('Data Source'!AF976&gt;=1,"D","F")))))),"")</f>
        <v/>
      </c>
      <c r="O976" s="3">
        <f>IF(AND('Data Source'!B976&lt;&gt;"",'Data Source'!S976="F"),IF('Data Source'!AG976&gt;=5,"A+",IF('Data Source'!AG976&gt;=4,"A",IF('Data Source'!AG976&gt;=3.5,"A-",IF('Data Source'!AG976&gt;=3,"B",IF('Data Source'!AG976&gt;=2,"C",IF('Data Source'!AG976&gt;=1,"D","F")))))),"")</f>
        <v/>
      </c>
      <c r="P976" s="5">
        <f>IF(AND('Data Source'!B976&lt;&gt;"",'Data Source'!S976="F"),'Data Source'!R976,"")</f>
        <v/>
      </c>
      <c r="Q976" s="3">
        <f>IF(AND('Data Source'!B976&lt;&gt;"",'Data Source'!S976="F"),'Data Source'!S976,"")</f>
        <v/>
      </c>
    </row>
    <row r="977">
      <c r="A977" s="3">
        <f>IF(AND('Data Source'!B977&lt;&gt;"",'Data Source'!S977="F"),COUNTIF('Data Source'!$S$3:S977,"F"),"")</f>
        <v/>
      </c>
      <c r="B977">
        <f>IF(AND('Data Source'!B977&lt;&gt;"",'Data Source'!S977="F"),'Data Source'!B977,"")</f>
        <v/>
      </c>
      <c r="C977" s="3">
        <f>IF(AND('Data Source'!B977&lt;&gt;"",'Data Source'!S977="F"),IF('Data Source'!U977&gt;=5,"A+",IF('Data Source'!U977&gt;=4,"A",IF('Data Source'!U977&gt;=3.5,"A-",IF('Data Source'!U977&gt;=3,"B",IF('Data Source'!U977&gt;=2,"C",IF('Data Source'!U977&gt;=1,"D","F")))))),"")</f>
        <v/>
      </c>
      <c r="D977" s="3">
        <f>IF(AND('Data Source'!B977&lt;&gt;"",'Data Source'!S977="F"),IF('Data Source'!V977&gt;=5,"A+",IF('Data Source'!V977&gt;=4,"A",IF('Data Source'!V977&gt;=3.5,"A-",IF('Data Source'!V977&gt;=3,"B",IF('Data Source'!V977&gt;=2,"C",IF('Data Source'!V977&gt;=1,"D","F")))))),"")</f>
        <v/>
      </c>
      <c r="E977" s="3">
        <f>IF(AND('Data Source'!B977&lt;&gt;"",'Data Source'!S977="F"),IF('Data Source'!W977&gt;=5,"A+",IF('Data Source'!W977&gt;=4,"A",IF('Data Source'!W977&gt;=3.5,"A-",IF('Data Source'!W977&gt;=3,"B",IF('Data Source'!W977&gt;=2,"C",IF('Data Source'!W977&gt;=1,"D","F")))))),"")</f>
        <v/>
      </c>
      <c r="F977" s="3">
        <f>IF(AND('Data Source'!B977&lt;&gt;"",'Data Source'!S977="F"),IF('Data Source'!X977&gt;=5,"A+",IF('Data Source'!X977&gt;=4,"A",IF('Data Source'!X977&gt;=3.5,"A-",IF('Data Source'!X977&gt;=3,"B",IF('Data Source'!X977&gt;=2,"C",IF('Data Source'!X977&gt;=1,"D","F")))))),"")</f>
        <v/>
      </c>
      <c r="G977" s="3">
        <f>IF(AND('Data Source'!B977&lt;&gt;"",'Data Source'!S977="F"),IF('Data Source'!Y977&gt;=5,"A+",IF('Data Source'!Y977&gt;=4,"A",IF('Data Source'!Y977&gt;=3.5,"A-",IF('Data Source'!Y977&gt;=3,"B",IF('Data Source'!Y977&gt;=2,"C",IF('Data Source'!Y977&gt;=1,"D","F")))))),"")</f>
        <v/>
      </c>
      <c r="H977" s="3">
        <f>IF(AND('Data Source'!B977&lt;&gt;"",'Data Source'!S977="F"),IF('Data Source'!Z977&gt;=5,"A+",IF('Data Source'!Z977&gt;=4,"A",IF('Data Source'!Z977&gt;=3.5,"A-",IF('Data Source'!Z977&gt;=3,"B",IF('Data Source'!Z977&gt;=2,"C",IF('Data Source'!Z977&gt;=1,"D","F")))))),"")</f>
        <v/>
      </c>
      <c r="I977" s="3">
        <f>IF(AND('Data Source'!B977&lt;&gt;"",'Data Source'!S977="F"),IF('Data Source'!AA977&gt;=5,"A+",IF('Data Source'!AA977&gt;=4,"A",IF('Data Source'!AA977&gt;=3.5,"A-",IF('Data Source'!AA977&gt;=3,"B",IF('Data Source'!AA977&gt;=2,"C",IF('Data Source'!AA977&gt;=1,"D","F")))))),"")</f>
        <v/>
      </c>
      <c r="J977" s="3">
        <f>IF(AND('Data Source'!B977&lt;&gt;"",'Data Source'!S977="F"),IF('Data Source'!AB977&gt;=5,"A+",IF('Data Source'!AB977&gt;=4,"A",IF('Data Source'!AB977&gt;=3.5,"A-",IF('Data Source'!AB977&gt;=3,"B",IF('Data Source'!AB977&gt;=2,"C",IF('Data Source'!AB977&gt;=1,"D","F")))))),"")</f>
        <v/>
      </c>
      <c r="K977" s="3">
        <f>IF(AND('Data Source'!B977&lt;&gt;"",'Data Source'!S977="F"),IF('Data Source'!AC977&gt;=5,"A+",IF('Data Source'!AC977&gt;=4,"A",IF('Data Source'!AC977&gt;=3.5,"A-",IF('Data Source'!AC977&gt;=3,"B",IF('Data Source'!AC977&gt;=2,"C",IF('Data Source'!AC977&gt;=1,"D","F")))))),"")</f>
        <v/>
      </c>
      <c r="L977" s="3">
        <f>IF(AND('Data Source'!B977&lt;&gt;"",'Data Source'!S977="F"),IF('Data Source'!AD977&gt;=5,"A+",IF('Data Source'!AD977&gt;=4,"A",IF('Data Source'!AD977&gt;=3.5,"A-",IF('Data Source'!AD977&gt;=3,"B",IF('Data Source'!AD977&gt;=2,"C",IF('Data Source'!AD977&gt;=1,"D","F")))))),"")</f>
        <v/>
      </c>
      <c r="M977" s="3">
        <f>IF(AND('Data Source'!B977&lt;&gt;"",'Data Source'!S977="F"),IF('Data Source'!AE977&gt;=5,"A+",IF('Data Source'!AE977&gt;=4,"A",IF('Data Source'!AE977&gt;=3.5,"A-",IF('Data Source'!AE977&gt;=3,"B",IF('Data Source'!AE977&gt;=2,"C",IF('Data Source'!AE977&gt;=1,"D","F")))))),"")</f>
        <v/>
      </c>
      <c r="N977" s="3">
        <f>IF(AND('Data Source'!B977&lt;&gt;"",'Data Source'!S977="F"),IF('Data Source'!AF977&gt;=5,"A+",IF('Data Source'!AF977&gt;=4,"A",IF('Data Source'!AF977&gt;=3.5,"A-",IF('Data Source'!AF977&gt;=3,"B",IF('Data Source'!AF977&gt;=2,"C",IF('Data Source'!AF977&gt;=1,"D","F")))))),"")</f>
        <v/>
      </c>
      <c r="O977" s="3">
        <f>IF(AND('Data Source'!B977&lt;&gt;"",'Data Source'!S977="F"),IF('Data Source'!AG977&gt;=5,"A+",IF('Data Source'!AG977&gt;=4,"A",IF('Data Source'!AG977&gt;=3.5,"A-",IF('Data Source'!AG977&gt;=3,"B",IF('Data Source'!AG977&gt;=2,"C",IF('Data Source'!AG977&gt;=1,"D","F")))))),"")</f>
        <v/>
      </c>
      <c r="P977" s="5">
        <f>IF(AND('Data Source'!B977&lt;&gt;"",'Data Source'!S977="F"),'Data Source'!R977,"")</f>
        <v/>
      </c>
      <c r="Q977" s="3">
        <f>IF(AND('Data Source'!B977&lt;&gt;"",'Data Source'!S977="F"),'Data Source'!S977,"")</f>
        <v/>
      </c>
    </row>
    <row r="978">
      <c r="A978" s="3">
        <f>IF(AND('Data Source'!B978&lt;&gt;"",'Data Source'!S978="F"),COUNTIF('Data Source'!$S$3:S978,"F"),"")</f>
        <v/>
      </c>
      <c r="B978">
        <f>IF(AND('Data Source'!B978&lt;&gt;"",'Data Source'!S978="F"),'Data Source'!B978,"")</f>
        <v/>
      </c>
      <c r="C978" s="3">
        <f>IF(AND('Data Source'!B978&lt;&gt;"",'Data Source'!S978="F"),IF('Data Source'!U978&gt;=5,"A+",IF('Data Source'!U978&gt;=4,"A",IF('Data Source'!U978&gt;=3.5,"A-",IF('Data Source'!U978&gt;=3,"B",IF('Data Source'!U978&gt;=2,"C",IF('Data Source'!U978&gt;=1,"D","F")))))),"")</f>
        <v/>
      </c>
      <c r="D978" s="3">
        <f>IF(AND('Data Source'!B978&lt;&gt;"",'Data Source'!S978="F"),IF('Data Source'!V978&gt;=5,"A+",IF('Data Source'!V978&gt;=4,"A",IF('Data Source'!V978&gt;=3.5,"A-",IF('Data Source'!V978&gt;=3,"B",IF('Data Source'!V978&gt;=2,"C",IF('Data Source'!V978&gt;=1,"D","F")))))),"")</f>
        <v/>
      </c>
      <c r="E978" s="3">
        <f>IF(AND('Data Source'!B978&lt;&gt;"",'Data Source'!S978="F"),IF('Data Source'!W978&gt;=5,"A+",IF('Data Source'!W978&gt;=4,"A",IF('Data Source'!W978&gt;=3.5,"A-",IF('Data Source'!W978&gt;=3,"B",IF('Data Source'!W978&gt;=2,"C",IF('Data Source'!W978&gt;=1,"D","F")))))),"")</f>
        <v/>
      </c>
      <c r="F978" s="3">
        <f>IF(AND('Data Source'!B978&lt;&gt;"",'Data Source'!S978="F"),IF('Data Source'!X978&gt;=5,"A+",IF('Data Source'!X978&gt;=4,"A",IF('Data Source'!X978&gt;=3.5,"A-",IF('Data Source'!X978&gt;=3,"B",IF('Data Source'!X978&gt;=2,"C",IF('Data Source'!X978&gt;=1,"D","F")))))),"")</f>
        <v/>
      </c>
      <c r="G978" s="3">
        <f>IF(AND('Data Source'!B978&lt;&gt;"",'Data Source'!S978="F"),IF('Data Source'!Y978&gt;=5,"A+",IF('Data Source'!Y978&gt;=4,"A",IF('Data Source'!Y978&gt;=3.5,"A-",IF('Data Source'!Y978&gt;=3,"B",IF('Data Source'!Y978&gt;=2,"C",IF('Data Source'!Y978&gt;=1,"D","F")))))),"")</f>
        <v/>
      </c>
      <c r="H978" s="3">
        <f>IF(AND('Data Source'!B978&lt;&gt;"",'Data Source'!S978="F"),IF('Data Source'!Z978&gt;=5,"A+",IF('Data Source'!Z978&gt;=4,"A",IF('Data Source'!Z978&gt;=3.5,"A-",IF('Data Source'!Z978&gt;=3,"B",IF('Data Source'!Z978&gt;=2,"C",IF('Data Source'!Z978&gt;=1,"D","F")))))),"")</f>
        <v/>
      </c>
      <c r="I978" s="3">
        <f>IF(AND('Data Source'!B978&lt;&gt;"",'Data Source'!S978="F"),IF('Data Source'!AA978&gt;=5,"A+",IF('Data Source'!AA978&gt;=4,"A",IF('Data Source'!AA978&gt;=3.5,"A-",IF('Data Source'!AA978&gt;=3,"B",IF('Data Source'!AA978&gt;=2,"C",IF('Data Source'!AA978&gt;=1,"D","F")))))),"")</f>
        <v/>
      </c>
      <c r="J978" s="3">
        <f>IF(AND('Data Source'!B978&lt;&gt;"",'Data Source'!S978="F"),IF('Data Source'!AB978&gt;=5,"A+",IF('Data Source'!AB978&gt;=4,"A",IF('Data Source'!AB978&gt;=3.5,"A-",IF('Data Source'!AB978&gt;=3,"B",IF('Data Source'!AB978&gt;=2,"C",IF('Data Source'!AB978&gt;=1,"D","F")))))),"")</f>
        <v/>
      </c>
      <c r="K978" s="3">
        <f>IF(AND('Data Source'!B978&lt;&gt;"",'Data Source'!S978="F"),IF('Data Source'!AC978&gt;=5,"A+",IF('Data Source'!AC978&gt;=4,"A",IF('Data Source'!AC978&gt;=3.5,"A-",IF('Data Source'!AC978&gt;=3,"B",IF('Data Source'!AC978&gt;=2,"C",IF('Data Source'!AC978&gt;=1,"D","F")))))),"")</f>
        <v/>
      </c>
      <c r="L978" s="3">
        <f>IF(AND('Data Source'!B978&lt;&gt;"",'Data Source'!S978="F"),IF('Data Source'!AD978&gt;=5,"A+",IF('Data Source'!AD978&gt;=4,"A",IF('Data Source'!AD978&gt;=3.5,"A-",IF('Data Source'!AD978&gt;=3,"B",IF('Data Source'!AD978&gt;=2,"C",IF('Data Source'!AD978&gt;=1,"D","F")))))),"")</f>
        <v/>
      </c>
      <c r="M978" s="3">
        <f>IF(AND('Data Source'!B978&lt;&gt;"",'Data Source'!S978="F"),IF('Data Source'!AE978&gt;=5,"A+",IF('Data Source'!AE978&gt;=4,"A",IF('Data Source'!AE978&gt;=3.5,"A-",IF('Data Source'!AE978&gt;=3,"B",IF('Data Source'!AE978&gt;=2,"C",IF('Data Source'!AE978&gt;=1,"D","F")))))),"")</f>
        <v/>
      </c>
      <c r="N978" s="3">
        <f>IF(AND('Data Source'!B978&lt;&gt;"",'Data Source'!S978="F"),IF('Data Source'!AF978&gt;=5,"A+",IF('Data Source'!AF978&gt;=4,"A",IF('Data Source'!AF978&gt;=3.5,"A-",IF('Data Source'!AF978&gt;=3,"B",IF('Data Source'!AF978&gt;=2,"C",IF('Data Source'!AF978&gt;=1,"D","F")))))),"")</f>
        <v/>
      </c>
      <c r="O978" s="3">
        <f>IF(AND('Data Source'!B978&lt;&gt;"",'Data Source'!S978="F"),IF('Data Source'!AG978&gt;=5,"A+",IF('Data Source'!AG978&gt;=4,"A",IF('Data Source'!AG978&gt;=3.5,"A-",IF('Data Source'!AG978&gt;=3,"B",IF('Data Source'!AG978&gt;=2,"C",IF('Data Source'!AG978&gt;=1,"D","F")))))),"")</f>
        <v/>
      </c>
      <c r="P978" s="5">
        <f>IF(AND('Data Source'!B978&lt;&gt;"",'Data Source'!S978="F"),'Data Source'!R978,"")</f>
        <v/>
      </c>
      <c r="Q978" s="3">
        <f>IF(AND('Data Source'!B978&lt;&gt;"",'Data Source'!S978="F"),'Data Source'!S978,"")</f>
        <v/>
      </c>
    </row>
    <row r="979">
      <c r="A979" s="3">
        <f>IF(AND('Data Source'!B979&lt;&gt;"",'Data Source'!S979="F"),COUNTIF('Data Source'!$S$3:S979,"F"),"")</f>
        <v/>
      </c>
      <c r="B979">
        <f>IF(AND('Data Source'!B979&lt;&gt;"",'Data Source'!S979="F"),'Data Source'!B979,"")</f>
        <v/>
      </c>
      <c r="C979" s="3">
        <f>IF(AND('Data Source'!B979&lt;&gt;"",'Data Source'!S979="F"),IF('Data Source'!U979&gt;=5,"A+",IF('Data Source'!U979&gt;=4,"A",IF('Data Source'!U979&gt;=3.5,"A-",IF('Data Source'!U979&gt;=3,"B",IF('Data Source'!U979&gt;=2,"C",IF('Data Source'!U979&gt;=1,"D","F")))))),"")</f>
        <v/>
      </c>
      <c r="D979" s="3">
        <f>IF(AND('Data Source'!B979&lt;&gt;"",'Data Source'!S979="F"),IF('Data Source'!V979&gt;=5,"A+",IF('Data Source'!V979&gt;=4,"A",IF('Data Source'!V979&gt;=3.5,"A-",IF('Data Source'!V979&gt;=3,"B",IF('Data Source'!V979&gt;=2,"C",IF('Data Source'!V979&gt;=1,"D","F")))))),"")</f>
        <v/>
      </c>
      <c r="E979" s="3">
        <f>IF(AND('Data Source'!B979&lt;&gt;"",'Data Source'!S979="F"),IF('Data Source'!W979&gt;=5,"A+",IF('Data Source'!W979&gt;=4,"A",IF('Data Source'!W979&gt;=3.5,"A-",IF('Data Source'!W979&gt;=3,"B",IF('Data Source'!W979&gt;=2,"C",IF('Data Source'!W979&gt;=1,"D","F")))))),"")</f>
        <v/>
      </c>
      <c r="F979" s="3">
        <f>IF(AND('Data Source'!B979&lt;&gt;"",'Data Source'!S979="F"),IF('Data Source'!X979&gt;=5,"A+",IF('Data Source'!X979&gt;=4,"A",IF('Data Source'!X979&gt;=3.5,"A-",IF('Data Source'!X979&gt;=3,"B",IF('Data Source'!X979&gt;=2,"C",IF('Data Source'!X979&gt;=1,"D","F")))))),"")</f>
        <v/>
      </c>
      <c r="G979" s="3">
        <f>IF(AND('Data Source'!B979&lt;&gt;"",'Data Source'!S979="F"),IF('Data Source'!Y979&gt;=5,"A+",IF('Data Source'!Y979&gt;=4,"A",IF('Data Source'!Y979&gt;=3.5,"A-",IF('Data Source'!Y979&gt;=3,"B",IF('Data Source'!Y979&gt;=2,"C",IF('Data Source'!Y979&gt;=1,"D","F")))))),"")</f>
        <v/>
      </c>
      <c r="H979" s="3">
        <f>IF(AND('Data Source'!B979&lt;&gt;"",'Data Source'!S979="F"),IF('Data Source'!Z979&gt;=5,"A+",IF('Data Source'!Z979&gt;=4,"A",IF('Data Source'!Z979&gt;=3.5,"A-",IF('Data Source'!Z979&gt;=3,"B",IF('Data Source'!Z979&gt;=2,"C",IF('Data Source'!Z979&gt;=1,"D","F")))))),"")</f>
        <v/>
      </c>
      <c r="I979" s="3">
        <f>IF(AND('Data Source'!B979&lt;&gt;"",'Data Source'!S979="F"),IF('Data Source'!AA979&gt;=5,"A+",IF('Data Source'!AA979&gt;=4,"A",IF('Data Source'!AA979&gt;=3.5,"A-",IF('Data Source'!AA979&gt;=3,"B",IF('Data Source'!AA979&gt;=2,"C",IF('Data Source'!AA979&gt;=1,"D","F")))))),"")</f>
        <v/>
      </c>
      <c r="J979" s="3">
        <f>IF(AND('Data Source'!B979&lt;&gt;"",'Data Source'!S979="F"),IF('Data Source'!AB979&gt;=5,"A+",IF('Data Source'!AB979&gt;=4,"A",IF('Data Source'!AB979&gt;=3.5,"A-",IF('Data Source'!AB979&gt;=3,"B",IF('Data Source'!AB979&gt;=2,"C",IF('Data Source'!AB979&gt;=1,"D","F")))))),"")</f>
        <v/>
      </c>
      <c r="K979" s="3">
        <f>IF(AND('Data Source'!B979&lt;&gt;"",'Data Source'!S979="F"),IF('Data Source'!AC979&gt;=5,"A+",IF('Data Source'!AC979&gt;=4,"A",IF('Data Source'!AC979&gt;=3.5,"A-",IF('Data Source'!AC979&gt;=3,"B",IF('Data Source'!AC979&gt;=2,"C",IF('Data Source'!AC979&gt;=1,"D","F")))))),"")</f>
        <v/>
      </c>
      <c r="L979" s="3">
        <f>IF(AND('Data Source'!B979&lt;&gt;"",'Data Source'!S979="F"),IF('Data Source'!AD979&gt;=5,"A+",IF('Data Source'!AD979&gt;=4,"A",IF('Data Source'!AD979&gt;=3.5,"A-",IF('Data Source'!AD979&gt;=3,"B",IF('Data Source'!AD979&gt;=2,"C",IF('Data Source'!AD979&gt;=1,"D","F")))))),"")</f>
        <v/>
      </c>
      <c r="M979" s="3">
        <f>IF(AND('Data Source'!B979&lt;&gt;"",'Data Source'!S979="F"),IF('Data Source'!AE979&gt;=5,"A+",IF('Data Source'!AE979&gt;=4,"A",IF('Data Source'!AE979&gt;=3.5,"A-",IF('Data Source'!AE979&gt;=3,"B",IF('Data Source'!AE979&gt;=2,"C",IF('Data Source'!AE979&gt;=1,"D","F")))))),"")</f>
        <v/>
      </c>
      <c r="N979" s="3">
        <f>IF(AND('Data Source'!B979&lt;&gt;"",'Data Source'!S979="F"),IF('Data Source'!AF979&gt;=5,"A+",IF('Data Source'!AF979&gt;=4,"A",IF('Data Source'!AF979&gt;=3.5,"A-",IF('Data Source'!AF979&gt;=3,"B",IF('Data Source'!AF979&gt;=2,"C",IF('Data Source'!AF979&gt;=1,"D","F")))))),"")</f>
        <v/>
      </c>
      <c r="O979" s="3">
        <f>IF(AND('Data Source'!B979&lt;&gt;"",'Data Source'!S979="F"),IF('Data Source'!AG979&gt;=5,"A+",IF('Data Source'!AG979&gt;=4,"A",IF('Data Source'!AG979&gt;=3.5,"A-",IF('Data Source'!AG979&gt;=3,"B",IF('Data Source'!AG979&gt;=2,"C",IF('Data Source'!AG979&gt;=1,"D","F")))))),"")</f>
        <v/>
      </c>
      <c r="P979" s="5">
        <f>IF(AND('Data Source'!B979&lt;&gt;"",'Data Source'!S979="F"),'Data Source'!R979,"")</f>
        <v/>
      </c>
      <c r="Q979" s="3">
        <f>IF(AND('Data Source'!B979&lt;&gt;"",'Data Source'!S979="F"),'Data Source'!S979,"")</f>
        <v/>
      </c>
    </row>
    <row r="980">
      <c r="A980" s="3">
        <f>IF(AND('Data Source'!B980&lt;&gt;"",'Data Source'!S980="F"),COUNTIF('Data Source'!$S$3:S980,"F"),"")</f>
        <v/>
      </c>
      <c r="B980">
        <f>IF(AND('Data Source'!B980&lt;&gt;"",'Data Source'!S980="F"),'Data Source'!B980,"")</f>
        <v/>
      </c>
      <c r="C980" s="3">
        <f>IF(AND('Data Source'!B980&lt;&gt;"",'Data Source'!S980="F"),IF('Data Source'!U980&gt;=5,"A+",IF('Data Source'!U980&gt;=4,"A",IF('Data Source'!U980&gt;=3.5,"A-",IF('Data Source'!U980&gt;=3,"B",IF('Data Source'!U980&gt;=2,"C",IF('Data Source'!U980&gt;=1,"D","F")))))),"")</f>
        <v/>
      </c>
      <c r="D980" s="3">
        <f>IF(AND('Data Source'!B980&lt;&gt;"",'Data Source'!S980="F"),IF('Data Source'!V980&gt;=5,"A+",IF('Data Source'!V980&gt;=4,"A",IF('Data Source'!V980&gt;=3.5,"A-",IF('Data Source'!V980&gt;=3,"B",IF('Data Source'!V980&gt;=2,"C",IF('Data Source'!V980&gt;=1,"D","F")))))),"")</f>
        <v/>
      </c>
      <c r="E980" s="3">
        <f>IF(AND('Data Source'!B980&lt;&gt;"",'Data Source'!S980="F"),IF('Data Source'!W980&gt;=5,"A+",IF('Data Source'!W980&gt;=4,"A",IF('Data Source'!W980&gt;=3.5,"A-",IF('Data Source'!W980&gt;=3,"B",IF('Data Source'!W980&gt;=2,"C",IF('Data Source'!W980&gt;=1,"D","F")))))),"")</f>
        <v/>
      </c>
      <c r="F980" s="3">
        <f>IF(AND('Data Source'!B980&lt;&gt;"",'Data Source'!S980="F"),IF('Data Source'!X980&gt;=5,"A+",IF('Data Source'!X980&gt;=4,"A",IF('Data Source'!X980&gt;=3.5,"A-",IF('Data Source'!X980&gt;=3,"B",IF('Data Source'!X980&gt;=2,"C",IF('Data Source'!X980&gt;=1,"D","F")))))),"")</f>
        <v/>
      </c>
      <c r="G980" s="3">
        <f>IF(AND('Data Source'!B980&lt;&gt;"",'Data Source'!S980="F"),IF('Data Source'!Y980&gt;=5,"A+",IF('Data Source'!Y980&gt;=4,"A",IF('Data Source'!Y980&gt;=3.5,"A-",IF('Data Source'!Y980&gt;=3,"B",IF('Data Source'!Y980&gt;=2,"C",IF('Data Source'!Y980&gt;=1,"D","F")))))),"")</f>
        <v/>
      </c>
      <c r="H980" s="3">
        <f>IF(AND('Data Source'!B980&lt;&gt;"",'Data Source'!S980="F"),IF('Data Source'!Z980&gt;=5,"A+",IF('Data Source'!Z980&gt;=4,"A",IF('Data Source'!Z980&gt;=3.5,"A-",IF('Data Source'!Z980&gt;=3,"B",IF('Data Source'!Z980&gt;=2,"C",IF('Data Source'!Z980&gt;=1,"D","F")))))),"")</f>
        <v/>
      </c>
      <c r="I980" s="3">
        <f>IF(AND('Data Source'!B980&lt;&gt;"",'Data Source'!S980="F"),IF('Data Source'!AA980&gt;=5,"A+",IF('Data Source'!AA980&gt;=4,"A",IF('Data Source'!AA980&gt;=3.5,"A-",IF('Data Source'!AA980&gt;=3,"B",IF('Data Source'!AA980&gt;=2,"C",IF('Data Source'!AA980&gt;=1,"D","F")))))),"")</f>
        <v/>
      </c>
      <c r="J980" s="3">
        <f>IF(AND('Data Source'!B980&lt;&gt;"",'Data Source'!S980="F"),IF('Data Source'!AB980&gt;=5,"A+",IF('Data Source'!AB980&gt;=4,"A",IF('Data Source'!AB980&gt;=3.5,"A-",IF('Data Source'!AB980&gt;=3,"B",IF('Data Source'!AB980&gt;=2,"C",IF('Data Source'!AB980&gt;=1,"D","F")))))),"")</f>
        <v/>
      </c>
      <c r="K980" s="3">
        <f>IF(AND('Data Source'!B980&lt;&gt;"",'Data Source'!S980="F"),IF('Data Source'!AC980&gt;=5,"A+",IF('Data Source'!AC980&gt;=4,"A",IF('Data Source'!AC980&gt;=3.5,"A-",IF('Data Source'!AC980&gt;=3,"B",IF('Data Source'!AC980&gt;=2,"C",IF('Data Source'!AC980&gt;=1,"D","F")))))),"")</f>
        <v/>
      </c>
      <c r="L980" s="3">
        <f>IF(AND('Data Source'!B980&lt;&gt;"",'Data Source'!S980="F"),IF('Data Source'!AD980&gt;=5,"A+",IF('Data Source'!AD980&gt;=4,"A",IF('Data Source'!AD980&gt;=3.5,"A-",IF('Data Source'!AD980&gt;=3,"B",IF('Data Source'!AD980&gt;=2,"C",IF('Data Source'!AD980&gt;=1,"D","F")))))),"")</f>
        <v/>
      </c>
      <c r="M980" s="3">
        <f>IF(AND('Data Source'!B980&lt;&gt;"",'Data Source'!S980="F"),IF('Data Source'!AE980&gt;=5,"A+",IF('Data Source'!AE980&gt;=4,"A",IF('Data Source'!AE980&gt;=3.5,"A-",IF('Data Source'!AE980&gt;=3,"B",IF('Data Source'!AE980&gt;=2,"C",IF('Data Source'!AE980&gt;=1,"D","F")))))),"")</f>
        <v/>
      </c>
      <c r="N980" s="3">
        <f>IF(AND('Data Source'!B980&lt;&gt;"",'Data Source'!S980="F"),IF('Data Source'!AF980&gt;=5,"A+",IF('Data Source'!AF980&gt;=4,"A",IF('Data Source'!AF980&gt;=3.5,"A-",IF('Data Source'!AF980&gt;=3,"B",IF('Data Source'!AF980&gt;=2,"C",IF('Data Source'!AF980&gt;=1,"D","F")))))),"")</f>
        <v/>
      </c>
      <c r="O980" s="3">
        <f>IF(AND('Data Source'!B980&lt;&gt;"",'Data Source'!S980="F"),IF('Data Source'!AG980&gt;=5,"A+",IF('Data Source'!AG980&gt;=4,"A",IF('Data Source'!AG980&gt;=3.5,"A-",IF('Data Source'!AG980&gt;=3,"B",IF('Data Source'!AG980&gt;=2,"C",IF('Data Source'!AG980&gt;=1,"D","F")))))),"")</f>
        <v/>
      </c>
      <c r="P980" s="5">
        <f>IF(AND('Data Source'!B980&lt;&gt;"",'Data Source'!S980="F"),'Data Source'!R980,"")</f>
        <v/>
      </c>
      <c r="Q980" s="3">
        <f>IF(AND('Data Source'!B980&lt;&gt;"",'Data Source'!S980="F"),'Data Source'!S980,"")</f>
        <v/>
      </c>
    </row>
    <row r="981">
      <c r="A981" s="3">
        <f>IF(AND('Data Source'!B981&lt;&gt;"",'Data Source'!S981="F"),COUNTIF('Data Source'!$S$3:S981,"F"),"")</f>
        <v/>
      </c>
      <c r="B981">
        <f>IF(AND('Data Source'!B981&lt;&gt;"",'Data Source'!S981="F"),'Data Source'!B981,"")</f>
        <v/>
      </c>
      <c r="C981" s="3">
        <f>IF(AND('Data Source'!B981&lt;&gt;"",'Data Source'!S981="F"),IF('Data Source'!U981&gt;=5,"A+",IF('Data Source'!U981&gt;=4,"A",IF('Data Source'!U981&gt;=3.5,"A-",IF('Data Source'!U981&gt;=3,"B",IF('Data Source'!U981&gt;=2,"C",IF('Data Source'!U981&gt;=1,"D","F")))))),"")</f>
        <v/>
      </c>
      <c r="D981" s="3">
        <f>IF(AND('Data Source'!B981&lt;&gt;"",'Data Source'!S981="F"),IF('Data Source'!V981&gt;=5,"A+",IF('Data Source'!V981&gt;=4,"A",IF('Data Source'!V981&gt;=3.5,"A-",IF('Data Source'!V981&gt;=3,"B",IF('Data Source'!V981&gt;=2,"C",IF('Data Source'!V981&gt;=1,"D","F")))))),"")</f>
        <v/>
      </c>
      <c r="E981" s="3">
        <f>IF(AND('Data Source'!B981&lt;&gt;"",'Data Source'!S981="F"),IF('Data Source'!W981&gt;=5,"A+",IF('Data Source'!W981&gt;=4,"A",IF('Data Source'!W981&gt;=3.5,"A-",IF('Data Source'!W981&gt;=3,"B",IF('Data Source'!W981&gt;=2,"C",IF('Data Source'!W981&gt;=1,"D","F")))))),"")</f>
        <v/>
      </c>
      <c r="F981" s="3">
        <f>IF(AND('Data Source'!B981&lt;&gt;"",'Data Source'!S981="F"),IF('Data Source'!X981&gt;=5,"A+",IF('Data Source'!X981&gt;=4,"A",IF('Data Source'!X981&gt;=3.5,"A-",IF('Data Source'!X981&gt;=3,"B",IF('Data Source'!X981&gt;=2,"C",IF('Data Source'!X981&gt;=1,"D","F")))))),"")</f>
        <v/>
      </c>
      <c r="G981" s="3">
        <f>IF(AND('Data Source'!B981&lt;&gt;"",'Data Source'!S981="F"),IF('Data Source'!Y981&gt;=5,"A+",IF('Data Source'!Y981&gt;=4,"A",IF('Data Source'!Y981&gt;=3.5,"A-",IF('Data Source'!Y981&gt;=3,"B",IF('Data Source'!Y981&gt;=2,"C",IF('Data Source'!Y981&gt;=1,"D","F")))))),"")</f>
        <v/>
      </c>
      <c r="H981" s="3">
        <f>IF(AND('Data Source'!B981&lt;&gt;"",'Data Source'!S981="F"),IF('Data Source'!Z981&gt;=5,"A+",IF('Data Source'!Z981&gt;=4,"A",IF('Data Source'!Z981&gt;=3.5,"A-",IF('Data Source'!Z981&gt;=3,"B",IF('Data Source'!Z981&gt;=2,"C",IF('Data Source'!Z981&gt;=1,"D","F")))))),"")</f>
        <v/>
      </c>
      <c r="I981" s="3">
        <f>IF(AND('Data Source'!B981&lt;&gt;"",'Data Source'!S981="F"),IF('Data Source'!AA981&gt;=5,"A+",IF('Data Source'!AA981&gt;=4,"A",IF('Data Source'!AA981&gt;=3.5,"A-",IF('Data Source'!AA981&gt;=3,"B",IF('Data Source'!AA981&gt;=2,"C",IF('Data Source'!AA981&gt;=1,"D","F")))))),"")</f>
        <v/>
      </c>
      <c r="J981" s="3">
        <f>IF(AND('Data Source'!B981&lt;&gt;"",'Data Source'!S981="F"),IF('Data Source'!AB981&gt;=5,"A+",IF('Data Source'!AB981&gt;=4,"A",IF('Data Source'!AB981&gt;=3.5,"A-",IF('Data Source'!AB981&gt;=3,"B",IF('Data Source'!AB981&gt;=2,"C",IF('Data Source'!AB981&gt;=1,"D","F")))))),"")</f>
        <v/>
      </c>
      <c r="K981" s="3">
        <f>IF(AND('Data Source'!B981&lt;&gt;"",'Data Source'!S981="F"),IF('Data Source'!AC981&gt;=5,"A+",IF('Data Source'!AC981&gt;=4,"A",IF('Data Source'!AC981&gt;=3.5,"A-",IF('Data Source'!AC981&gt;=3,"B",IF('Data Source'!AC981&gt;=2,"C",IF('Data Source'!AC981&gt;=1,"D","F")))))),"")</f>
        <v/>
      </c>
      <c r="L981" s="3">
        <f>IF(AND('Data Source'!B981&lt;&gt;"",'Data Source'!S981="F"),IF('Data Source'!AD981&gt;=5,"A+",IF('Data Source'!AD981&gt;=4,"A",IF('Data Source'!AD981&gt;=3.5,"A-",IF('Data Source'!AD981&gt;=3,"B",IF('Data Source'!AD981&gt;=2,"C",IF('Data Source'!AD981&gt;=1,"D","F")))))),"")</f>
        <v/>
      </c>
      <c r="M981" s="3">
        <f>IF(AND('Data Source'!B981&lt;&gt;"",'Data Source'!S981="F"),IF('Data Source'!AE981&gt;=5,"A+",IF('Data Source'!AE981&gt;=4,"A",IF('Data Source'!AE981&gt;=3.5,"A-",IF('Data Source'!AE981&gt;=3,"B",IF('Data Source'!AE981&gt;=2,"C",IF('Data Source'!AE981&gt;=1,"D","F")))))),"")</f>
        <v/>
      </c>
      <c r="N981" s="3">
        <f>IF(AND('Data Source'!B981&lt;&gt;"",'Data Source'!S981="F"),IF('Data Source'!AF981&gt;=5,"A+",IF('Data Source'!AF981&gt;=4,"A",IF('Data Source'!AF981&gt;=3.5,"A-",IF('Data Source'!AF981&gt;=3,"B",IF('Data Source'!AF981&gt;=2,"C",IF('Data Source'!AF981&gt;=1,"D","F")))))),"")</f>
        <v/>
      </c>
      <c r="O981" s="3">
        <f>IF(AND('Data Source'!B981&lt;&gt;"",'Data Source'!S981="F"),IF('Data Source'!AG981&gt;=5,"A+",IF('Data Source'!AG981&gt;=4,"A",IF('Data Source'!AG981&gt;=3.5,"A-",IF('Data Source'!AG981&gt;=3,"B",IF('Data Source'!AG981&gt;=2,"C",IF('Data Source'!AG981&gt;=1,"D","F")))))),"")</f>
        <v/>
      </c>
      <c r="P981" s="5">
        <f>IF(AND('Data Source'!B981&lt;&gt;"",'Data Source'!S981="F"),'Data Source'!R981,"")</f>
        <v/>
      </c>
      <c r="Q981" s="3">
        <f>IF(AND('Data Source'!B981&lt;&gt;"",'Data Source'!S981="F"),'Data Source'!S981,"")</f>
        <v/>
      </c>
    </row>
    <row r="982">
      <c r="A982" s="3">
        <f>IF(AND('Data Source'!B982&lt;&gt;"",'Data Source'!S982="F"),COUNTIF('Data Source'!$S$3:S982,"F"),"")</f>
        <v/>
      </c>
      <c r="B982">
        <f>IF(AND('Data Source'!B982&lt;&gt;"",'Data Source'!S982="F"),'Data Source'!B982,"")</f>
        <v/>
      </c>
      <c r="C982" s="3">
        <f>IF(AND('Data Source'!B982&lt;&gt;"",'Data Source'!S982="F"),IF('Data Source'!U982&gt;=5,"A+",IF('Data Source'!U982&gt;=4,"A",IF('Data Source'!U982&gt;=3.5,"A-",IF('Data Source'!U982&gt;=3,"B",IF('Data Source'!U982&gt;=2,"C",IF('Data Source'!U982&gt;=1,"D","F")))))),"")</f>
        <v/>
      </c>
      <c r="D982" s="3">
        <f>IF(AND('Data Source'!B982&lt;&gt;"",'Data Source'!S982="F"),IF('Data Source'!V982&gt;=5,"A+",IF('Data Source'!V982&gt;=4,"A",IF('Data Source'!V982&gt;=3.5,"A-",IF('Data Source'!V982&gt;=3,"B",IF('Data Source'!V982&gt;=2,"C",IF('Data Source'!V982&gt;=1,"D","F")))))),"")</f>
        <v/>
      </c>
      <c r="E982" s="3">
        <f>IF(AND('Data Source'!B982&lt;&gt;"",'Data Source'!S982="F"),IF('Data Source'!W982&gt;=5,"A+",IF('Data Source'!W982&gt;=4,"A",IF('Data Source'!W982&gt;=3.5,"A-",IF('Data Source'!W982&gt;=3,"B",IF('Data Source'!W982&gt;=2,"C",IF('Data Source'!W982&gt;=1,"D","F")))))),"")</f>
        <v/>
      </c>
      <c r="F982" s="3">
        <f>IF(AND('Data Source'!B982&lt;&gt;"",'Data Source'!S982="F"),IF('Data Source'!X982&gt;=5,"A+",IF('Data Source'!X982&gt;=4,"A",IF('Data Source'!X982&gt;=3.5,"A-",IF('Data Source'!X982&gt;=3,"B",IF('Data Source'!X982&gt;=2,"C",IF('Data Source'!X982&gt;=1,"D","F")))))),"")</f>
        <v/>
      </c>
      <c r="G982" s="3">
        <f>IF(AND('Data Source'!B982&lt;&gt;"",'Data Source'!S982="F"),IF('Data Source'!Y982&gt;=5,"A+",IF('Data Source'!Y982&gt;=4,"A",IF('Data Source'!Y982&gt;=3.5,"A-",IF('Data Source'!Y982&gt;=3,"B",IF('Data Source'!Y982&gt;=2,"C",IF('Data Source'!Y982&gt;=1,"D","F")))))),"")</f>
        <v/>
      </c>
      <c r="H982" s="3">
        <f>IF(AND('Data Source'!B982&lt;&gt;"",'Data Source'!S982="F"),IF('Data Source'!Z982&gt;=5,"A+",IF('Data Source'!Z982&gt;=4,"A",IF('Data Source'!Z982&gt;=3.5,"A-",IF('Data Source'!Z982&gt;=3,"B",IF('Data Source'!Z982&gt;=2,"C",IF('Data Source'!Z982&gt;=1,"D","F")))))),"")</f>
        <v/>
      </c>
      <c r="I982" s="3">
        <f>IF(AND('Data Source'!B982&lt;&gt;"",'Data Source'!S982="F"),IF('Data Source'!AA982&gt;=5,"A+",IF('Data Source'!AA982&gt;=4,"A",IF('Data Source'!AA982&gt;=3.5,"A-",IF('Data Source'!AA982&gt;=3,"B",IF('Data Source'!AA982&gt;=2,"C",IF('Data Source'!AA982&gt;=1,"D","F")))))),"")</f>
        <v/>
      </c>
      <c r="J982" s="3">
        <f>IF(AND('Data Source'!B982&lt;&gt;"",'Data Source'!S982="F"),IF('Data Source'!AB982&gt;=5,"A+",IF('Data Source'!AB982&gt;=4,"A",IF('Data Source'!AB982&gt;=3.5,"A-",IF('Data Source'!AB982&gt;=3,"B",IF('Data Source'!AB982&gt;=2,"C",IF('Data Source'!AB982&gt;=1,"D","F")))))),"")</f>
        <v/>
      </c>
      <c r="K982" s="3">
        <f>IF(AND('Data Source'!B982&lt;&gt;"",'Data Source'!S982="F"),IF('Data Source'!AC982&gt;=5,"A+",IF('Data Source'!AC982&gt;=4,"A",IF('Data Source'!AC982&gt;=3.5,"A-",IF('Data Source'!AC982&gt;=3,"B",IF('Data Source'!AC982&gt;=2,"C",IF('Data Source'!AC982&gt;=1,"D","F")))))),"")</f>
        <v/>
      </c>
      <c r="L982" s="3">
        <f>IF(AND('Data Source'!B982&lt;&gt;"",'Data Source'!S982="F"),IF('Data Source'!AD982&gt;=5,"A+",IF('Data Source'!AD982&gt;=4,"A",IF('Data Source'!AD982&gt;=3.5,"A-",IF('Data Source'!AD982&gt;=3,"B",IF('Data Source'!AD982&gt;=2,"C",IF('Data Source'!AD982&gt;=1,"D","F")))))),"")</f>
        <v/>
      </c>
      <c r="M982" s="3">
        <f>IF(AND('Data Source'!B982&lt;&gt;"",'Data Source'!S982="F"),IF('Data Source'!AE982&gt;=5,"A+",IF('Data Source'!AE982&gt;=4,"A",IF('Data Source'!AE982&gt;=3.5,"A-",IF('Data Source'!AE982&gt;=3,"B",IF('Data Source'!AE982&gt;=2,"C",IF('Data Source'!AE982&gt;=1,"D","F")))))),"")</f>
        <v/>
      </c>
      <c r="N982" s="3">
        <f>IF(AND('Data Source'!B982&lt;&gt;"",'Data Source'!S982="F"),IF('Data Source'!AF982&gt;=5,"A+",IF('Data Source'!AF982&gt;=4,"A",IF('Data Source'!AF982&gt;=3.5,"A-",IF('Data Source'!AF982&gt;=3,"B",IF('Data Source'!AF982&gt;=2,"C",IF('Data Source'!AF982&gt;=1,"D","F")))))),"")</f>
        <v/>
      </c>
      <c r="O982" s="3">
        <f>IF(AND('Data Source'!B982&lt;&gt;"",'Data Source'!S982="F"),IF('Data Source'!AG982&gt;=5,"A+",IF('Data Source'!AG982&gt;=4,"A",IF('Data Source'!AG982&gt;=3.5,"A-",IF('Data Source'!AG982&gt;=3,"B",IF('Data Source'!AG982&gt;=2,"C",IF('Data Source'!AG982&gt;=1,"D","F")))))),"")</f>
        <v/>
      </c>
      <c r="P982" s="5">
        <f>IF(AND('Data Source'!B982&lt;&gt;"",'Data Source'!S982="F"),'Data Source'!R982,"")</f>
        <v/>
      </c>
      <c r="Q982" s="3">
        <f>IF(AND('Data Source'!B982&lt;&gt;"",'Data Source'!S982="F"),'Data Source'!S982,"")</f>
        <v/>
      </c>
    </row>
    <row r="983">
      <c r="A983" s="3">
        <f>IF(AND('Data Source'!B983&lt;&gt;"",'Data Source'!S983="F"),COUNTIF('Data Source'!$S$3:S983,"F"),"")</f>
        <v/>
      </c>
      <c r="B983">
        <f>IF(AND('Data Source'!B983&lt;&gt;"",'Data Source'!S983="F"),'Data Source'!B983,"")</f>
        <v/>
      </c>
      <c r="C983" s="3">
        <f>IF(AND('Data Source'!B983&lt;&gt;"",'Data Source'!S983="F"),IF('Data Source'!U983&gt;=5,"A+",IF('Data Source'!U983&gt;=4,"A",IF('Data Source'!U983&gt;=3.5,"A-",IF('Data Source'!U983&gt;=3,"B",IF('Data Source'!U983&gt;=2,"C",IF('Data Source'!U983&gt;=1,"D","F")))))),"")</f>
        <v/>
      </c>
      <c r="D983" s="3">
        <f>IF(AND('Data Source'!B983&lt;&gt;"",'Data Source'!S983="F"),IF('Data Source'!V983&gt;=5,"A+",IF('Data Source'!V983&gt;=4,"A",IF('Data Source'!V983&gt;=3.5,"A-",IF('Data Source'!V983&gt;=3,"B",IF('Data Source'!V983&gt;=2,"C",IF('Data Source'!V983&gt;=1,"D","F")))))),"")</f>
        <v/>
      </c>
      <c r="E983" s="3">
        <f>IF(AND('Data Source'!B983&lt;&gt;"",'Data Source'!S983="F"),IF('Data Source'!W983&gt;=5,"A+",IF('Data Source'!W983&gt;=4,"A",IF('Data Source'!W983&gt;=3.5,"A-",IF('Data Source'!W983&gt;=3,"B",IF('Data Source'!W983&gt;=2,"C",IF('Data Source'!W983&gt;=1,"D","F")))))),"")</f>
        <v/>
      </c>
      <c r="F983" s="3">
        <f>IF(AND('Data Source'!B983&lt;&gt;"",'Data Source'!S983="F"),IF('Data Source'!X983&gt;=5,"A+",IF('Data Source'!X983&gt;=4,"A",IF('Data Source'!X983&gt;=3.5,"A-",IF('Data Source'!X983&gt;=3,"B",IF('Data Source'!X983&gt;=2,"C",IF('Data Source'!X983&gt;=1,"D","F")))))),"")</f>
        <v/>
      </c>
      <c r="G983" s="3">
        <f>IF(AND('Data Source'!B983&lt;&gt;"",'Data Source'!S983="F"),IF('Data Source'!Y983&gt;=5,"A+",IF('Data Source'!Y983&gt;=4,"A",IF('Data Source'!Y983&gt;=3.5,"A-",IF('Data Source'!Y983&gt;=3,"B",IF('Data Source'!Y983&gt;=2,"C",IF('Data Source'!Y983&gt;=1,"D","F")))))),"")</f>
        <v/>
      </c>
      <c r="H983" s="3">
        <f>IF(AND('Data Source'!B983&lt;&gt;"",'Data Source'!S983="F"),IF('Data Source'!Z983&gt;=5,"A+",IF('Data Source'!Z983&gt;=4,"A",IF('Data Source'!Z983&gt;=3.5,"A-",IF('Data Source'!Z983&gt;=3,"B",IF('Data Source'!Z983&gt;=2,"C",IF('Data Source'!Z983&gt;=1,"D","F")))))),"")</f>
        <v/>
      </c>
      <c r="I983" s="3">
        <f>IF(AND('Data Source'!B983&lt;&gt;"",'Data Source'!S983="F"),IF('Data Source'!AA983&gt;=5,"A+",IF('Data Source'!AA983&gt;=4,"A",IF('Data Source'!AA983&gt;=3.5,"A-",IF('Data Source'!AA983&gt;=3,"B",IF('Data Source'!AA983&gt;=2,"C",IF('Data Source'!AA983&gt;=1,"D","F")))))),"")</f>
        <v/>
      </c>
      <c r="J983" s="3">
        <f>IF(AND('Data Source'!B983&lt;&gt;"",'Data Source'!S983="F"),IF('Data Source'!AB983&gt;=5,"A+",IF('Data Source'!AB983&gt;=4,"A",IF('Data Source'!AB983&gt;=3.5,"A-",IF('Data Source'!AB983&gt;=3,"B",IF('Data Source'!AB983&gt;=2,"C",IF('Data Source'!AB983&gt;=1,"D","F")))))),"")</f>
        <v/>
      </c>
      <c r="K983" s="3">
        <f>IF(AND('Data Source'!B983&lt;&gt;"",'Data Source'!S983="F"),IF('Data Source'!AC983&gt;=5,"A+",IF('Data Source'!AC983&gt;=4,"A",IF('Data Source'!AC983&gt;=3.5,"A-",IF('Data Source'!AC983&gt;=3,"B",IF('Data Source'!AC983&gt;=2,"C",IF('Data Source'!AC983&gt;=1,"D","F")))))),"")</f>
        <v/>
      </c>
      <c r="L983" s="3">
        <f>IF(AND('Data Source'!B983&lt;&gt;"",'Data Source'!S983="F"),IF('Data Source'!AD983&gt;=5,"A+",IF('Data Source'!AD983&gt;=4,"A",IF('Data Source'!AD983&gt;=3.5,"A-",IF('Data Source'!AD983&gt;=3,"B",IF('Data Source'!AD983&gt;=2,"C",IF('Data Source'!AD983&gt;=1,"D","F")))))),"")</f>
        <v/>
      </c>
      <c r="M983" s="3">
        <f>IF(AND('Data Source'!B983&lt;&gt;"",'Data Source'!S983="F"),IF('Data Source'!AE983&gt;=5,"A+",IF('Data Source'!AE983&gt;=4,"A",IF('Data Source'!AE983&gt;=3.5,"A-",IF('Data Source'!AE983&gt;=3,"B",IF('Data Source'!AE983&gt;=2,"C",IF('Data Source'!AE983&gt;=1,"D","F")))))),"")</f>
        <v/>
      </c>
      <c r="N983" s="3">
        <f>IF(AND('Data Source'!B983&lt;&gt;"",'Data Source'!S983="F"),IF('Data Source'!AF983&gt;=5,"A+",IF('Data Source'!AF983&gt;=4,"A",IF('Data Source'!AF983&gt;=3.5,"A-",IF('Data Source'!AF983&gt;=3,"B",IF('Data Source'!AF983&gt;=2,"C",IF('Data Source'!AF983&gt;=1,"D","F")))))),"")</f>
        <v/>
      </c>
      <c r="O983" s="3">
        <f>IF(AND('Data Source'!B983&lt;&gt;"",'Data Source'!S983="F"),IF('Data Source'!AG983&gt;=5,"A+",IF('Data Source'!AG983&gt;=4,"A",IF('Data Source'!AG983&gt;=3.5,"A-",IF('Data Source'!AG983&gt;=3,"B",IF('Data Source'!AG983&gt;=2,"C",IF('Data Source'!AG983&gt;=1,"D","F")))))),"")</f>
        <v/>
      </c>
      <c r="P983" s="5">
        <f>IF(AND('Data Source'!B983&lt;&gt;"",'Data Source'!S983="F"),'Data Source'!R983,"")</f>
        <v/>
      </c>
      <c r="Q983" s="3">
        <f>IF(AND('Data Source'!B983&lt;&gt;"",'Data Source'!S983="F"),'Data Source'!S983,"")</f>
        <v/>
      </c>
    </row>
    <row r="984">
      <c r="A984" s="3">
        <f>IF(AND('Data Source'!B984&lt;&gt;"",'Data Source'!S984="F"),COUNTIF('Data Source'!$S$3:S984,"F"),"")</f>
        <v/>
      </c>
      <c r="B984">
        <f>IF(AND('Data Source'!B984&lt;&gt;"",'Data Source'!S984="F"),'Data Source'!B984,"")</f>
        <v/>
      </c>
      <c r="C984" s="3">
        <f>IF(AND('Data Source'!B984&lt;&gt;"",'Data Source'!S984="F"),IF('Data Source'!U984&gt;=5,"A+",IF('Data Source'!U984&gt;=4,"A",IF('Data Source'!U984&gt;=3.5,"A-",IF('Data Source'!U984&gt;=3,"B",IF('Data Source'!U984&gt;=2,"C",IF('Data Source'!U984&gt;=1,"D","F")))))),"")</f>
        <v/>
      </c>
      <c r="D984" s="3">
        <f>IF(AND('Data Source'!B984&lt;&gt;"",'Data Source'!S984="F"),IF('Data Source'!V984&gt;=5,"A+",IF('Data Source'!V984&gt;=4,"A",IF('Data Source'!V984&gt;=3.5,"A-",IF('Data Source'!V984&gt;=3,"B",IF('Data Source'!V984&gt;=2,"C",IF('Data Source'!V984&gt;=1,"D","F")))))),"")</f>
        <v/>
      </c>
      <c r="E984" s="3">
        <f>IF(AND('Data Source'!B984&lt;&gt;"",'Data Source'!S984="F"),IF('Data Source'!W984&gt;=5,"A+",IF('Data Source'!W984&gt;=4,"A",IF('Data Source'!W984&gt;=3.5,"A-",IF('Data Source'!W984&gt;=3,"B",IF('Data Source'!W984&gt;=2,"C",IF('Data Source'!W984&gt;=1,"D","F")))))),"")</f>
        <v/>
      </c>
      <c r="F984" s="3">
        <f>IF(AND('Data Source'!B984&lt;&gt;"",'Data Source'!S984="F"),IF('Data Source'!X984&gt;=5,"A+",IF('Data Source'!X984&gt;=4,"A",IF('Data Source'!X984&gt;=3.5,"A-",IF('Data Source'!X984&gt;=3,"B",IF('Data Source'!X984&gt;=2,"C",IF('Data Source'!X984&gt;=1,"D","F")))))),"")</f>
        <v/>
      </c>
      <c r="G984" s="3">
        <f>IF(AND('Data Source'!B984&lt;&gt;"",'Data Source'!S984="F"),IF('Data Source'!Y984&gt;=5,"A+",IF('Data Source'!Y984&gt;=4,"A",IF('Data Source'!Y984&gt;=3.5,"A-",IF('Data Source'!Y984&gt;=3,"B",IF('Data Source'!Y984&gt;=2,"C",IF('Data Source'!Y984&gt;=1,"D","F")))))),"")</f>
        <v/>
      </c>
      <c r="H984" s="3">
        <f>IF(AND('Data Source'!B984&lt;&gt;"",'Data Source'!S984="F"),IF('Data Source'!Z984&gt;=5,"A+",IF('Data Source'!Z984&gt;=4,"A",IF('Data Source'!Z984&gt;=3.5,"A-",IF('Data Source'!Z984&gt;=3,"B",IF('Data Source'!Z984&gt;=2,"C",IF('Data Source'!Z984&gt;=1,"D","F")))))),"")</f>
        <v/>
      </c>
      <c r="I984" s="3">
        <f>IF(AND('Data Source'!B984&lt;&gt;"",'Data Source'!S984="F"),IF('Data Source'!AA984&gt;=5,"A+",IF('Data Source'!AA984&gt;=4,"A",IF('Data Source'!AA984&gt;=3.5,"A-",IF('Data Source'!AA984&gt;=3,"B",IF('Data Source'!AA984&gt;=2,"C",IF('Data Source'!AA984&gt;=1,"D","F")))))),"")</f>
        <v/>
      </c>
      <c r="J984" s="3">
        <f>IF(AND('Data Source'!B984&lt;&gt;"",'Data Source'!S984="F"),IF('Data Source'!AB984&gt;=5,"A+",IF('Data Source'!AB984&gt;=4,"A",IF('Data Source'!AB984&gt;=3.5,"A-",IF('Data Source'!AB984&gt;=3,"B",IF('Data Source'!AB984&gt;=2,"C",IF('Data Source'!AB984&gt;=1,"D","F")))))),"")</f>
        <v/>
      </c>
      <c r="K984" s="3">
        <f>IF(AND('Data Source'!B984&lt;&gt;"",'Data Source'!S984="F"),IF('Data Source'!AC984&gt;=5,"A+",IF('Data Source'!AC984&gt;=4,"A",IF('Data Source'!AC984&gt;=3.5,"A-",IF('Data Source'!AC984&gt;=3,"B",IF('Data Source'!AC984&gt;=2,"C",IF('Data Source'!AC984&gt;=1,"D","F")))))),"")</f>
        <v/>
      </c>
      <c r="L984" s="3">
        <f>IF(AND('Data Source'!B984&lt;&gt;"",'Data Source'!S984="F"),IF('Data Source'!AD984&gt;=5,"A+",IF('Data Source'!AD984&gt;=4,"A",IF('Data Source'!AD984&gt;=3.5,"A-",IF('Data Source'!AD984&gt;=3,"B",IF('Data Source'!AD984&gt;=2,"C",IF('Data Source'!AD984&gt;=1,"D","F")))))),"")</f>
        <v/>
      </c>
      <c r="M984" s="3">
        <f>IF(AND('Data Source'!B984&lt;&gt;"",'Data Source'!S984="F"),IF('Data Source'!AE984&gt;=5,"A+",IF('Data Source'!AE984&gt;=4,"A",IF('Data Source'!AE984&gt;=3.5,"A-",IF('Data Source'!AE984&gt;=3,"B",IF('Data Source'!AE984&gt;=2,"C",IF('Data Source'!AE984&gt;=1,"D","F")))))),"")</f>
        <v/>
      </c>
      <c r="N984" s="3">
        <f>IF(AND('Data Source'!B984&lt;&gt;"",'Data Source'!S984="F"),IF('Data Source'!AF984&gt;=5,"A+",IF('Data Source'!AF984&gt;=4,"A",IF('Data Source'!AF984&gt;=3.5,"A-",IF('Data Source'!AF984&gt;=3,"B",IF('Data Source'!AF984&gt;=2,"C",IF('Data Source'!AF984&gt;=1,"D","F")))))),"")</f>
        <v/>
      </c>
      <c r="O984" s="3">
        <f>IF(AND('Data Source'!B984&lt;&gt;"",'Data Source'!S984="F"),IF('Data Source'!AG984&gt;=5,"A+",IF('Data Source'!AG984&gt;=4,"A",IF('Data Source'!AG984&gt;=3.5,"A-",IF('Data Source'!AG984&gt;=3,"B",IF('Data Source'!AG984&gt;=2,"C",IF('Data Source'!AG984&gt;=1,"D","F")))))),"")</f>
        <v/>
      </c>
      <c r="P984" s="5">
        <f>IF(AND('Data Source'!B984&lt;&gt;"",'Data Source'!S984="F"),'Data Source'!R984,"")</f>
        <v/>
      </c>
      <c r="Q984" s="3">
        <f>IF(AND('Data Source'!B984&lt;&gt;"",'Data Source'!S984="F"),'Data Source'!S984,"")</f>
        <v/>
      </c>
    </row>
    <row r="985">
      <c r="A985" s="3">
        <f>IF(AND('Data Source'!B985&lt;&gt;"",'Data Source'!S985="F"),COUNTIF('Data Source'!$S$3:S985,"F"),"")</f>
        <v/>
      </c>
      <c r="B985">
        <f>IF(AND('Data Source'!B985&lt;&gt;"",'Data Source'!S985="F"),'Data Source'!B985,"")</f>
        <v/>
      </c>
      <c r="C985" s="3">
        <f>IF(AND('Data Source'!B985&lt;&gt;"",'Data Source'!S985="F"),IF('Data Source'!U985&gt;=5,"A+",IF('Data Source'!U985&gt;=4,"A",IF('Data Source'!U985&gt;=3.5,"A-",IF('Data Source'!U985&gt;=3,"B",IF('Data Source'!U985&gt;=2,"C",IF('Data Source'!U985&gt;=1,"D","F")))))),"")</f>
        <v/>
      </c>
      <c r="D985" s="3">
        <f>IF(AND('Data Source'!B985&lt;&gt;"",'Data Source'!S985="F"),IF('Data Source'!V985&gt;=5,"A+",IF('Data Source'!V985&gt;=4,"A",IF('Data Source'!V985&gt;=3.5,"A-",IF('Data Source'!V985&gt;=3,"B",IF('Data Source'!V985&gt;=2,"C",IF('Data Source'!V985&gt;=1,"D","F")))))),"")</f>
        <v/>
      </c>
      <c r="E985" s="3">
        <f>IF(AND('Data Source'!B985&lt;&gt;"",'Data Source'!S985="F"),IF('Data Source'!W985&gt;=5,"A+",IF('Data Source'!W985&gt;=4,"A",IF('Data Source'!W985&gt;=3.5,"A-",IF('Data Source'!W985&gt;=3,"B",IF('Data Source'!W985&gt;=2,"C",IF('Data Source'!W985&gt;=1,"D","F")))))),"")</f>
        <v/>
      </c>
      <c r="F985" s="3">
        <f>IF(AND('Data Source'!B985&lt;&gt;"",'Data Source'!S985="F"),IF('Data Source'!X985&gt;=5,"A+",IF('Data Source'!X985&gt;=4,"A",IF('Data Source'!X985&gt;=3.5,"A-",IF('Data Source'!X985&gt;=3,"B",IF('Data Source'!X985&gt;=2,"C",IF('Data Source'!X985&gt;=1,"D","F")))))),"")</f>
        <v/>
      </c>
      <c r="G985" s="3">
        <f>IF(AND('Data Source'!B985&lt;&gt;"",'Data Source'!S985="F"),IF('Data Source'!Y985&gt;=5,"A+",IF('Data Source'!Y985&gt;=4,"A",IF('Data Source'!Y985&gt;=3.5,"A-",IF('Data Source'!Y985&gt;=3,"B",IF('Data Source'!Y985&gt;=2,"C",IF('Data Source'!Y985&gt;=1,"D","F")))))),"")</f>
        <v/>
      </c>
      <c r="H985" s="3">
        <f>IF(AND('Data Source'!B985&lt;&gt;"",'Data Source'!S985="F"),IF('Data Source'!Z985&gt;=5,"A+",IF('Data Source'!Z985&gt;=4,"A",IF('Data Source'!Z985&gt;=3.5,"A-",IF('Data Source'!Z985&gt;=3,"B",IF('Data Source'!Z985&gt;=2,"C",IF('Data Source'!Z985&gt;=1,"D","F")))))),"")</f>
        <v/>
      </c>
      <c r="I985" s="3">
        <f>IF(AND('Data Source'!B985&lt;&gt;"",'Data Source'!S985="F"),IF('Data Source'!AA985&gt;=5,"A+",IF('Data Source'!AA985&gt;=4,"A",IF('Data Source'!AA985&gt;=3.5,"A-",IF('Data Source'!AA985&gt;=3,"B",IF('Data Source'!AA985&gt;=2,"C",IF('Data Source'!AA985&gt;=1,"D","F")))))),"")</f>
        <v/>
      </c>
      <c r="J985" s="3">
        <f>IF(AND('Data Source'!B985&lt;&gt;"",'Data Source'!S985="F"),IF('Data Source'!AB985&gt;=5,"A+",IF('Data Source'!AB985&gt;=4,"A",IF('Data Source'!AB985&gt;=3.5,"A-",IF('Data Source'!AB985&gt;=3,"B",IF('Data Source'!AB985&gt;=2,"C",IF('Data Source'!AB985&gt;=1,"D","F")))))),"")</f>
        <v/>
      </c>
      <c r="K985" s="3">
        <f>IF(AND('Data Source'!B985&lt;&gt;"",'Data Source'!S985="F"),IF('Data Source'!AC985&gt;=5,"A+",IF('Data Source'!AC985&gt;=4,"A",IF('Data Source'!AC985&gt;=3.5,"A-",IF('Data Source'!AC985&gt;=3,"B",IF('Data Source'!AC985&gt;=2,"C",IF('Data Source'!AC985&gt;=1,"D","F")))))),"")</f>
        <v/>
      </c>
      <c r="L985" s="3">
        <f>IF(AND('Data Source'!B985&lt;&gt;"",'Data Source'!S985="F"),IF('Data Source'!AD985&gt;=5,"A+",IF('Data Source'!AD985&gt;=4,"A",IF('Data Source'!AD985&gt;=3.5,"A-",IF('Data Source'!AD985&gt;=3,"B",IF('Data Source'!AD985&gt;=2,"C",IF('Data Source'!AD985&gt;=1,"D","F")))))),"")</f>
        <v/>
      </c>
      <c r="M985" s="3">
        <f>IF(AND('Data Source'!B985&lt;&gt;"",'Data Source'!S985="F"),IF('Data Source'!AE985&gt;=5,"A+",IF('Data Source'!AE985&gt;=4,"A",IF('Data Source'!AE985&gt;=3.5,"A-",IF('Data Source'!AE985&gt;=3,"B",IF('Data Source'!AE985&gt;=2,"C",IF('Data Source'!AE985&gt;=1,"D","F")))))),"")</f>
        <v/>
      </c>
      <c r="N985" s="3">
        <f>IF(AND('Data Source'!B985&lt;&gt;"",'Data Source'!S985="F"),IF('Data Source'!AF985&gt;=5,"A+",IF('Data Source'!AF985&gt;=4,"A",IF('Data Source'!AF985&gt;=3.5,"A-",IF('Data Source'!AF985&gt;=3,"B",IF('Data Source'!AF985&gt;=2,"C",IF('Data Source'!AF985&gt;=1,"D","F")))))),"")</f>
        <v/>
      </c>
      <c r="O985" s="3">
        <f>IF(AND('Data Source'!B985&lt;&gt;"",'Data Source'!S985="F"),IF('Data Source'!AG985&gt;=5,"A+",IF('Data Source'!AG985&gt;=4,"A",IF('Data Source'!AG985&gt;=3.5,"A-",IF('Data Source'!AG985&gt;=3,"B",IF('Data Source'!AG985&gt;=2,"C",IF('Data Source'!AG985&gt;=1,"D","F")))))),"")</f>
        <v/>
      </c>
      <c r="P985" s="5">
        <f>IF(AND('Data Source'!B985&lt;&gt;"",'Data Source'!S985="F"),'Data Source'!R985,"")</f>
        <v/>
      </c>
      <c r="Q985" s="3">
        <f>IF(AND('Data Source'!B985&lt;&gt;"",'Data Source'!S985="F"),'Data Source'!S985,"")</f>
        <v/>
      </c>
    </row>
    <row r="986">
      <c r="A986" s="3">
        <f>IF(AND('Data Source'!B986&lt;&gt;"",'Data Source'!S986="F"),COUNTIF('Data Source'!$S$3:S986,"F"),"")</f>
        <v/>
      </c>
      <c r="B986">
        <f>IF(AND('Data Source'!B986&lt;&gt;"",'Data Source'!S986="F"),'Data Source'!B986,"")</f>
        <v/>
      </c>
      <c r="C986" s="3">
        <f>IF(AND('Data Source'!B986&lt;&gt;"",'Data Source'!S986="F"),IF('Data Source'!U986&gt;=5,"A+",IF('Data Source'!U986&gt;=4,"A",IF('Data Source'!U986&gt;=3.5,"A-",IF('Data Source'!U986&gt;=3,"B",IF('Data Source'!U986&gt;=2,"C",IF('Data Source'!U986&gt;=1,"D","F")))))),"")</f>
        <v/>
      </c>
      <c r="D986" s="3">
        <f>IF(AND('Data Source'!B986&lt;&gt;"",'Data Source'!S986="F"),IF('Data Source'!V986&gt;=5,"A+",IF('Data Source'!V986&gt;=4,"A",IF('Data Source'!V986&gt;=3.5,"A-",IF('Data Source'!V986&gt;=3,"B",IF('Data Source'!V986&gt;=2,"C",IF('Data Source'!V986&gt;=1,"D","F")))))),"")</f>
        <v/>
      </c>
      <c r="E986" s="3">
        <f>IF(AND('Data Source'!B986&lt;&gt;"",'Data Source'!S986="F"),IF('Data Source'!W986&gt;=5,"A+",IF('Data Source'!W986&gt;=4,"A",IF('Data Source'!W986&gt;=3.5,"A-",IF('Data Source'!W986&gt;=3,"B",IF('Data Source'!W986&gt;=2,"C",IF('Data Source'!W986&gt;=1,"D","F")))))),"")</f>
        <v/>
      </c>
      <c r="F986" s="3">
        <f>IF(AND('Data Source'!B986&lt;&gt;"",'Data Source'!S986="F"),IF('Data Source'!X986&gt;=5,"A+",IF('Data Source'!X986&gt;=4,"A",IF('Data Source'!X986&gt;=3.5,"A-",IF('Data Source'!X986&gt;=3,"B",IF('Data Source'!X986&gt;=2,"C",IF('Data Source'!X986&gt;=1,"D","F")))))),"")</f>
        <v/>
      </c>
      <c r="G986" s="3">
        <f>IF(AND('Data Source'!B986&lt;&gt;"",'Data Source'!S986="F"),IF('Data Source'!Y986&gt;=5,"A+",IF('Data Source'!Y986&gt;=4,"A",IF('Data Source'!Y986&gt;=3.5,"A-",IF('Data Source'!Y986&gt;=3,"B",IF('Data Source'!Y986&gt;=2,"C",IF('Data Source'!Y986&gt;=1,"D","F")))))),"")</f>
        <v/>
      </c>
      <c r="H986" s="3">
        <f>IF(AND('Data Source'!B986&lt;&gt;"",'Data Source'!S986="F"),IF('Data Source'!Z986&gt;=5,"A+",IF('Data Source'!Z986&gt;=4,"A",IF('Data Source'!Z986&gt;=3.5,"A-",IF('Data Source'!Z986&gt;=3,"B",IF('Data Source'!Z986&gt;=2,"C",IF('Data Source'!Z986&gt;=1,"D","F")))))),"")</f>
        <v/>
      </c>
      <c r="I986" s="3">
        <f>IF(AND('Data Source'!B986&lt;&gt;"",'Data Source'!S986="F"),IF('Data Source'!AA986&gt;=5,"A+",IF('Data Source'!AA986&gt;=4,"A",IF('Data Source'!AA986&gt;=3.5,"A-",IF('Data Source'!AA986&gt;=3,"B",IF('Data Source'!AA986&gt;=2,"C",IF('Data Source'!AA986&gt;=1,"D","F")))))),"")</f>
        <v/>
      </c>
      <c r="J986" s="3">
        <f>IF(AND('Data Source'!B986&lt;&gt;"",'Data Source'!S986="F"),IF('Data Source'!AB986&gt;=5,"A+",IF('Data Source'!AB986&gt;=4,"A",IF('Data Source'!AB986&gt;=3.5,"A-",IF('Data Source'!AB986&gt;=3,"B",IF('Data Source'!AB986&gt;=2,"C",IF('Data Source'!AB986&gt;=1,"D","F")))))),"")</f>
        <v/>
      </c>
      <c r="K986" s="3">
        <f>IF(AND('Data Source'!B986&lt;&gt;"",'Data Source'!S986="F"),IF('Data Source'!AC986&gt;=5,"A+",IF('Data Source'!AC986&gt;=4,"A",IF('Data Source'!AC986&gt;=3.5,"A-",IF('Data Source'!AC986&gt;=3,"B",IF('Data Source'!AC986&gt;=2,"C",IF('Data Source'!AC986&gt;=1,"D","F")))))),"")</f>
        <v/>
      </c>
      <c r="L986" s="3">
        <f>IF(AND('Data Source'!B986&lt;&gt;"",'Data Source'!S986="F"),IF('Data Source'!AD986&gt;=5,"A+",IF('Data Source'!AD986&gt;=4,"A",IF('Data Source'!AD986&gt;=3.5,"A-",IF('Data Source'!AD986&gt;=3,"B",IF('Data Source'!AD986&gt;=2,"C",IF('Data Source'!AD986&gt;=1,"D","F")))))),"")</f>
        <v/>
      </c>
      <c r="M986" s="3">
        <f>IF(AND('Data Source'!B986&lt;&gt;"",'Data Source'!S986="F"),IF('Data Source'!AE986&gt;=5,"A+",IF('Data Source'!AE986&gt;=4,"A",IF('Data Source'!AE986&gt;=3.5,"A-",IF('Data Source'!AE986&gt;=3,"B",IF('Data Source'!AE986&gt;=2,"C",IF('Data Source'!AE986&gt;=1,"D","F")))))),"")</f>
        <v/>
      </c>
      <c r="N986" s="3">
        <f>IF(AND('Data Source'!B986&lt;&gt;"",'Data Source'!S986="F"),IF('Data Source'!AF986&gt;=5,"A+",IF('Data Source'!AF986&gt;=4,"A",IF('Data Source'!AF986&gt;=3.5,"A-",IF('Data Source'!AF986&gt;=3,"B",IF('Data Source'!AF986&gt;=2,"C",IF('Data Source'!AF986&gt;=1,"D","F")))))),"")</f>
        <v/>
      </c>
      <c r="O986" s="3">
        <f>IF(AND('Data Source'!B986&lt;&gt;"",'Data Source'!S986="F"),IF('Data Source'!AG986&gt;=5,"A+",IF('Data Source'!AG986&gt;=4,"A",IF('Data Source'!AG986&gt;=3.5,"A-",IF('Data Source'!AG986&gt;=3,"B",IF('Data Source'!AG986&gt;=2,"C",IF('Data Source'!AG986&gt;=1,"D","F")))))),"")</f>
        <v/>
      </c>
      <c r="P986" s="5">
        <f>IF(AND('Data Source'!B986&lt;&gt;"",'Data Source'!S986="F"),'Data Source'!R986,"")</f>
        <v/>
      </c>
      <c r="Q986" s="3">
        <f>IF(AND('Data Source'!B986&lt;&gt;"",'Data Source'!S986="F"),'Data Source'!S986,"")</f>
        <v/>
      </c>
    </row>
    <row r="987">
      <c r="A987" s="3">
        <f>IF(AND('Data Source'!B987&lt;&gt;"",'Data Source'!S987="F"),COUNTIF('Data Source'!$S$3:S987,"F"),"")</f>
        <v/>
      </c>
      <c r="B987">
        <f>IF(AND('Data Source'!B987&lt;&gt;"",'Data Source'!S987="F"),'Data Source'!B987,"")</f>
        <v/>
      </c>
      <c r="C987" s="3">
        <f>IF(AND('Data Source'!B987&lt;&gt;"",'Data Source'!S987="F"),IF('Data Source'!U987&gt;=5,"A+",IF('Data Source'!U987&gt;=4,"A",IF('Data Source'!U987&gt;=3.5,"A-",IF('Data Source'!U987&gt;=3,"B",IF('Data Source'!U987&gt;=2,"C",IF('Data Source'!U987&gt;=1,"D","F")))))),"")</f>
        <v/>
      </c>
      <c r="D987" s="3">
        <f>IF(AND('Data Source'!B987&lt;&gt;"",'Data Source'!S987="F"),IF('Data Source'!V987&gt;=5,"A+",IF('Data Source'!V987&gt;=4,"A",IF('Data Source'!V987&gt;=3.5,"A-",IF('Data Source'!V987&gt;=3,"B",IF('Data Source'!V987&gt;=2,"C",IF('Data Source'!V987&gt;=1,"D","F")))))),"")</f>
        <v/>
      </c>
      <c r="E987" s="3">
        <f>IF(AND('Data Source'!B987&lt;&gt;"",'Data Source'!S987="F"),IF('Data Source'!W987&gt;=5,"A+",IF('Data Source'!W987&gt;=4,"A",IF('Data Source'!W987&gt;=3.5,"A-",IF('Data Source'!W987&gt;=3,"B",IF('Data Source'!W987&gt;=2,"C",IF('Data Source'!W987&gt;=1,"D","F")))))),"")</f>
        <v/>
      </c>
      <c r="F987" s="3">
        <f>IF(AND('Data Source'!B987&lt;&gt;"",'Data Source'!S987="F"),IF('Data Source'!X987&gt;=5,"A+",IF('Data Source'!X987&gt;=4,"A",IF('Data Source'!X987&gt;=3.5,"A-",IF('Data Source'!X987&gt;=3,"B",IF('Data Source'!X987&gt;=2,"C",IF('Data Source'!X987&gt;=1,"D","F")))))),"")</f>
        <v/>
      </c>
      <c r="G987" s="3">
        <f>IF(AND('Data Source'!B987&lt;&gt;"",'Data Source'!S987="F"),IF('Data Source'!Y987&gt;=5,"A+",IF('Data Source'!Y987&gt;=4,"A",IF('Data Source'!Y987&gt;=3.5,"A-",IF('Data Source'!Y987&gt;=3,"B",IF('Data Source'!Y987&gt;=2,"C",IF('Data Source'!Y987&gt;=1,"D","F")))))),"")</f>
        <v/>
      </c>
      <c r="H987" s="3">
        <f>IF(AND('Data Source'!B987&lt;&gt;"",'Data Source'!S987="F"),IF('Data Source'!Z987&gt;=5,"A+",IF('Data Source'!Z987&gt;=4,"A",IF('Data Source'!Z987&gt;=3.5,"A-",IF('Data Source'!Z987&gt;=3,"B",IF('Data Source'!Z987&gt;=2,"C",IF('Data Source'!Z987&gt;=1,"D","F")))))),"")</f>
        <v/>
      </c>
      <c r="I987" s="3">
        <f>IF(AND('Data Source'!B987&lt;&gt;"",'Data Source'!S987="F"),IF('Data Source'!AA987&gt;=5,"A+",IF('Data Source'!AA987&gt;=4,"A",IF('Data Source'!AA987&gt;=3.5,"A-",IF('Data Source'!AA987&gt;=3,"B",IF('Data Source'!AA987&gt;=2,"C",IF('Data Source'!AA987&gt;=1,"D","F")))))),"")</f>
        <v/>
      </c>
      <c r="J987" s="3">
        <f>IF(AND('Data Source'!B987&lt;&gt;"",'Data Source'!S987="F"),IF('Data Source'!AB987&gt;=5,"A+",IF('Data Source'!AB987&gt;=4,"A",IF('Data Source'!AB987&gt;=3.5,"A-",IF('Data Source'!AB987&gt;=3,"B",IF('Data Source'!AB987&gt;=2,"C",IF('Data Source'!AB987&gt;=1,"D","F")))))),"")</f>
        <v/>
      </c>
      <c r="K987" s="3">
        <f>IF(AND('Data Source'!B987&lt;&gt;"",'Data Source'!S987="F"),IF('Data Source'!AC987&gt;=5,"A+",IF('Data Source'!AC987&gt;=4,"A",IF('Data Source'!AC987&gt;=3.5,"A-",IF('Data Source'!AC987&gt;=3,"B",IF('Data Source'!AC987&gt;=2,"C",IF('Data Source'!AC987&gt;=1,"D","F")))))),"")</f>
        <v/>
      </c>
      <c r="L987" s="3">
        <f>IF(AND('Data Source'!B987&lt;&gt;"",'Data Source'!S987="F"),IF('Data Source'!AD987&gt;=5,"A+",IF('Data Source'!AD987&gt;=4,"A",IF('Data Source'!AD987&gt;=3.5,"A-",IF('Data Source'!AD987&gt;=3,"B",IF('Data Source'!AD987&gt;=2,"C",IF('Data Source'!AD987&gt;=1,"D","F")))))),"")</f>
        <v/>
      </c>
      <c r="M987" s="3">
        <f>IF(AND('Data Source'!B987&lt;&gt;"",'Data Source'!S987="F"),IF('Data Source'!AE987&gt;=5,"A+",IF('Data Source'!AE987&gt;=4,"A",IF('Data Source'!AE987&gt;=3.5,"A-",IF('Data Source'!AE987&gt;=3,"B",IF('Data Source'!AE987&gt;=2,"C",IF('Data Source'!AE987&gt;=1,"D","F")))))),"")</f>
        <v/>
      </c>
      <c r="N987" s="3">
        <f>IF(AND('Data Source'!B987&lt;&gt;"",'Data Source'!S987="F"),IF('Data Source'!AF987&gt;=5,"A+",IF('Data Source'!AF987&gt;=4,"A",IF('Data Source'!AF987&gt;=3.5,"A-",IF('Data Source'!AF987&gt;=3,"B",IF('Data Source'!AF987&gt;=2,"C",IF('Data Source'!AF987&gt;=1,"D","F")))))),"")</f>
        <v/>
      </c>
      <c r="O987" s="3">
        <f>IF(AND('Data Source'!B987&lt;&gt;"",'Data Source'!S987="F"),IF('Data Source'!AG987&gt;=5,"A+",IF('Data Source'!AG987&gt;=4,"A",IF('Data Source'!AG987&gt;=3.5,"A-",IF('Data Source'!AG987&gt;=3,"B",IF('Data Source'!AG987&gt;=2,"C",IF('Data Source'!AG987&gt;=1,"D","F")))))),"")</f>
        <v/>
      </c>
      <c r="P987" s="5">
        <f>IF(AND('Data Source'!B987&lt;&gt;"",'Data Source'!S987="F"),'Data Source'!R987,"")</f>
        <v/>
      </c>
      <c r="Q987" s="3">
        <f>IF(AND('Data Source'!B987&lt;&gt;"",'Data Source'!S987="F"),'Data Source'!S987,"")</f>
        <v/>
      </c>
    </row>
    <row r="988">
      <c r="A988" s="3">
        <f>IF(AND('Data Source'!B988&lt;&gt;"",'Data Source'!S988="F"),COUNTIF('Data Source'!$S$3:S988,"F"),"")</f>
        <v/>
      </c>
      <c r="B988">
        <f>IF(AND('Data Source'!B988&lt;&gt;"",'Data Source'!S988="F"),'Data Source'!B988,"")</f>
        <v/>
      </c>
      <c r="C988" s="3">
        <f>IF(AND('Data Source'!B988&lt;&gt;"",'Data Source'!S988="F"),IF('Data Source'!U988&gt;=5,"A+",IF('Data Source'!U988&gt;=4,"A",IF('Data Source'!U988&gt;=3.5,"A-",IF('Data Source'!U988&gt;=3,"B",IF('Data Source'!U988&gt;=2,"C",IF('Data Source'!U988&gt;=1,"D","F")))))),"")</f>
        <v/>
      </c>
      <c r="D988" s="3">
        <f>IF(AND('Data Source'!B988&lt;&gt;"",'Data Source'!S988="F"),IF('Data Source'!V988&gt;=5,"A+",IF('Data Source'!V988&gt;=4,"A",IF('Data Source'!V988&gt;=3.5,"A-",IF('Data Source'!V988&gt;=3,"B",IF('Data Source'!V988&gt;=2,"C",IF('Data Source'!V988&gt;=1,"D","F")))))),"")</f>
        <v/>
      </c>
      <c r="E988" s="3">
        <f>IF(AND('Data Source'!B988&lt;&gt;"",'Data Source'!S988="F"),IF('Data Source'!W988&gt;=5,"A+",IF('Data Source'!W988&gt;=4,"A",IF('Data Source'!W988&gt;=3.5,"A-",IF('Data Source'!W988&gt;=3,"B",IF('Data Source'!W988&gt;=2,"C",IF('Data Source'!W988&gt;=1,"D","F")))))),"")</f>
        <v/>
      </c>
      <c r="F988" s="3">
        <f>IF(AND('Data Source'!B988&lt;&gt;"",'Data Source'!S988="F"),IF('Data Source'!X988&gt;=5,"A+",IF('Data Source'!X988&gt;=4,"A",IF('Data Source'!X988&gt;=3.5,"A-",IF('Data Source'!X988&gt;=3,"B",IF('Data Source'!X988&gt;=2,"C",IF('Data Source'!X988&gt;=1,"D","F")))))),"")</f>
        <v/>
      </c>
      <c r="G988" s="3">
        <f>IF(AND('Data Source'!B988&lt;&gt;"",'Data Source'!S988="F"),IF('Data Source'!Y988&gt;=5,"A+",IF('Data Source'!Y988&gt;=4,"A",IF('Data Source'!Y988&gt;=3.5,"A-",IF('Data Source'!Y988&gt;=3,"B",IF('Data Source'!Y988&gt;=2,"C",IF('Data Source'!Y988&gt;=1,"D","F")))))),"")</f>
        <v/>
      </c>
      <c r="H988" s="3">
        <f>IF(AND('Data Source'!B988&lt;&gt;"",'Data Source'!S988="F"),IF('Data Source'!Z988&gt;=5,"A+",IF('Data Source'!Z988&gt;=4,"A",IF('Data Source'!Z988&gt;=3.5,"A-",IF('Data Source'!Z988&gt;=3,"B",IF('Data Source'!Z988&gt;=2,"C",IF('Data Source'!Z988&gt;=1,"D","F")))))),"")</f>
        <v/>
      </c>
      <c r="I988" s="3">
        <f>IF(AND('Data Source'!B988&lt;&gt;"",'Data Source'!S988="F"),IF('Data Source'!AA988&gt;=5,"A+",IF('Data Source'!AA988&gt;=4,"A",IF('Data Source'!AA988&gt;=3.5,"A-",IF('Data Source'!AA988&gt;=3,"B",IF('Data Source'!AA988&gt;=2,"C",IF('Data Source'!AA988&gt;=1,"D","F")))))),"")</f>
        <v/>
      </c>
      <c r="J988" s="3">
        <f>IF(AND('Data Source'!B988&lt;&gt;"",'Data Source'!S988="F"),IF('Data Source'!AB988&gt;=5,"A+",IF('Data Source'!AB988&gt;=4,"A",IF('Data Source'!AB988&gt;=3.5,"A-",IF('Data Source'!AB988&gt;=3,"B",IF('Data Source'!AB988&gt;=2,"C",IF('Data Source'!AB988&gt;=1,"D","F")))))),"")</f>
        <v/>
      </c>
      <c r="K988" s="3">
        <f>IF(AND('Data Source'!B988&lt;&gt;"",'Data Source'!S988="F"),IF('Data Source'!AC988&gt;=5,"A+",IF('Data Source'!AC988&gt;=4,"A",IF('Data Source'!AC988&gt;=3.5,"A-",IF('Data Source'!AC988&gt;=3,"B",IF('Data Source'!AC988&gt;=2,"C",IF('Data Source'!AC988&gt;=1,"D","F")))))),"")</f>
        <v/>
      </c>
      <c r="L988" s="3">
        <f>IF(AND('Data Source'!B988&lt;&gt;"",'Data Source'!S988="F"),IF('Data Source'!AD988&gt;=5,"A+",IF('Data Source'!AD988&gt;=4,"A",IF('Data Source'!AD988&gt;=3.5,"A-",IF('Data Source'!AD988&gt;=3,"B",IF('Data Source'!AD988&gt;=2,"C",IF('Data Source'!AD988&gt;=1,"D","F")))))),"")</f>
        <v/>
      </c>
      <c r="M988" s="3">
        <f>IF(AND('Data Source'!B988&lt;&gt;"",'Data Source'!S988="F"),IF('Data Source'!AE988&gt;=5,"A+",IF('Data Source'!AE988&gt;=4,"A",IF('Data Source'!AE988&gt;=3.5,"A-",IF('Data Source'!AE988&gt;=3,"B",IF('Data Source'!AE988&gt;=2,"C",IF('Data Source'!AE988&gt;=1,"D","F")))))),"")</f>
        <v/>
      </c>
      <c r="N988" s="3">
        <f>IF(AND('Data Source'!B988&lt;&gt;"",'Data Source'!S988="F"),IF('Data Source'!AF988&gt;=5,"A+",IF('Data Source'!AF988&gt;=4,"A",IF('Data Source'!AF988&gt;=3.5,"A-",IF('Data Source'!AF988&gt;=3,"B",IF('Data Source'!AF988&gt;=2,"C",IF('Data Source'!AF988&gt;=1,"D","F")))))),"")</f>
        <v/>
      </c>
      <c r="O988" s="3">
        <f>IF(AND('Data Source'!B988&lt;&gt;"",'Data Source'!S988="F"),IF('Data Source'!AG988&gt;=5,"A+",IF('Data Source'!AG988&gt;=4,"A",IF('Data Source'!AG988&gt;=3.5,"A-",IF('Data Source'!AG988&gt;=3,"B",IF('Data Source'!AG988&gt;=2,"C",IF('Data Source'!AG988&gt;=1,"D","F")))))),"")</f>
        <v/>
      </c>
      <c r="P988" s="5">
        <f>IF(AND('Data Source'!B988&lt;&gt;"",'Data Source'!S988="F"),'Data Source'!R988,"")</f>
        <v/>
      </c>
      <c r="Q988" s="3">
        <f>IF(AND('Data Source'!B988&lt;&gt;"",'Data Source'!S988="F"),'Data Source'!S988,"")</f>
        <v/>
      </c>
    </row>
    <row r="989">
      <c r="A989" s="3">
        <f>IF(AND('Data Source'!B989&lt;&gt;"",'Data Source'!S989="F"),COUNTIF('Data Source'!$S$3:S989,"F"),"")</f>
        <v/>
      </c>
      <c r="B989">
        <f>IF(AND('Data Source'!B989&lt;&gt;"",'Data Source'!S989="F"),'Data Source'!B989,"")</f>
        <v/>
      </c>
      <c r="C989" s="3">
        <f>IF(AND('Data Source'!B989&lt;&gt;"",'Data Source'!S989="F"),IF('Data Source'!U989&gt;=5,"A+",IF('Data Source'!U989&gt;=4,"A",IF('Data Source'!U989&gt;=3.5,"A-",IF('Data Source'!U989&gt;=3,"B",IF('Data Source'!U989&gt;=2,"C",IF('Data Source'!U989&gt;=1,"D","F")))))),"")</f>
        <v/>
      </c>
      <c r="D989" s="3">
        <f>IF(AND('Data Source'!B989&lt;&gt;"",'Data Source'!S989="F"),IF('Data Source'!V989&gt;=5,"A+",IF('Data Source'!V989&gt;=4,"A",IF('Data Source'!V989&gt;=3.5,"A-",IF('Data Source'!V989&gt;=3,"B",IF('Data Source'!V989&gt;=2,"C",IF('Data Source'!V989&gt;=1,"D","F")))))),"")</f>
        <v/>
      </c>
      <c r="E989" s="3">
        <f>IF(AND('Data Source'!B989&lt;&gt;"",'Data Source'!S989="F"),IF('Data Source'!W989&gt;=5,"A+",IF('Data Source'!W989&gt;=4,"A",IF('Data Source'!W989&gt;=3.5,"A-",IF('Data Source'!W989&gt;=3,"B",IF('Data Source'!W989&gt;=2,"C",IF('Data Source'!W989&gt;=1,"D","F")))))),"")</f>
        <v/>
      </c>
      <c r="F989" s="3">
        <f>IF(AND('Data Source'!B989&lt;&gt;"",'Data Source'!S989="F"),IF('Data Source'!X989&gt;=5,"A+",IF('Data Source'!X989&gt;=4,"A",IF('Data Source'!X989&gt;=3.5,"A-",IF('Data Source'!X989&gt;=3,"B",IF('Data Source'!X989&gt;=2,"C",IF('Data Source'!X989&gt;=1,"D","F")))))),"")</f>
        <v/>
      </c>
      <c r="G989" s="3">
        <f>IF(AND('Data Source'!B989&lt;&gt;"",'Data Source'!S989="F"),IF('Data Source'!Y989&gt;=5,"A+",IF('Data Source'!Y989&gt;=4,"A",IF('Data Source'!Y989&gt;=3.5,"A-",IF('Data Source'!Y989&gt;=3,"B",IF('Data Source'!Y989&gt;=2,"C",IF('Data Source'!Y989&gt;=1,"D","F")))))),"")</f>
        <v/>
      </c>
      <c r="H989" s="3">
        <f>IF(AND('Data Source'!B989&lt;&gt;"",'Data Source'!S989="F"),IF('Data Source'!Z989&gt;=5,"A+",IF('Data Source'!Z989&gt;=4,"A",IF('Data Source'!Z989&gt;=3.5,"A-",IF('Data Source'!Z989&gt;=3,"B",IF('Data Source'!Z989&gt;=2,"C",IF('Data Source'!Z989&gt;=1,"D","F")))))),"")</f>
        <v/>
      </c>
      <c r="I989" s="3">
        <f>IF(AND('Data Source'!B989&lt;&gt;"",'Data Source'!S989="F"),IF('Data Source'!AA989&gt;=5,"A+",IF('Data Source'!AA989&gt;=4,"A",IF('Data Source'!AA989&gt;=3.5,"A-",IF('Data Source'!AA989&gt;=3,"B",IF('Data Source'!AA989&gt;=2,"C",IF('Data Source'!AA989&gt;=1,"D","F")))))),"")</f>
        <v/>
      </c>
      <c r="J989" s="3">
        <f>IF(AND('Data Source'!B989&lt;&gt;"",'Data Source'!S989="F"),IF('Data Source'!AB989&gt;=5,"A+",IF('Data Source'!AB989&gt;=4,"A",IF('Data Source'!AB989&gt;=3.5,"A-",IF('Data Source'!AB989&gt;=3,"B",IF('Data Source'!AB989&gt;=2,"C",IF('Data Source'!AB989&gt;=1,"D","F")))))),"")</f>
        <v/>
      </c>
      <c r="K989" s="3">
        <f>IF(AND('Data Source'!B989&lt;&gt;"",'Data Source'!S989="F"),IF('Data Source'!AC989&gt;=5,"A+",IF('Data Source'!AC989&gt;=4,"A",IF('Data Source'!AC989&gt;=3.5,"A-",IF('Data Source'!AC989&gt;=3,"B",IF('Data Source'!AC989&gt;=2,"C",IF('Data Source'!AC989&gt;=1,"D","F")))))),"")</f>
        <v/>
      </c>
      <c r="L989" s="3">
        <f>IF(AND('Data Source'!B989&lt;&gt;"",'Data Source'!S989="F"),IF('Data Source'!AD989&gt;=5,"A+",IF('Data Source'!AD989&gt;=4,"A",IF('Data Source'!AD989&gt;=3.5,"A-",IF('Data Source'!AD989&gt;=3,"B",IF('Data Source'!AD989&gt;=2,"C",IF('Data Source'!AD989&gt;=1,"D","F")))))),"")</f>
        <v/>
      </c>
      <c r="M989" s="3">
        <f>IF(AND('Data Source'!B989&lt;&gt;"",'Data Source'!S989="F"),IF('Data Source'!AE989&gt;=5,"A+",IF('Data Source'!AE989&gt;=4,"A",IF('Data Source'!AE989&gt;=3.5,"A-",IF('Data Source'!AE989&gt;=3,"B",IF('Data Source'!AE989&gt;=2,"C",IF('Data Source'!AE989&gt;=1,"D","F")))))),"")</f>
        <v/>
      </c>
      <c r="N989" s="3">
        <f>IF(AND('Data Source'!B989&lt;&gt;"",'Data Source'!S989="F"),IF('Data Source'!AF989&gt;=5,"A+",IF('Data Source'!AF989&gt;=4,"A",IF('Data Source'!AF989&gt;=3.5,"A-",IF('Data Source'!AF989&gt;=3,"B",IF('Data Source'!AF989&gt;=2,"C",IF('Data Source'!AF989&gt;=1,"D","F")))))),"")</f>
        <v/>
      </c>
      <c r="O989" s="3">
        <f>IF(AND('Data Source'!B989&lt;&gt;"",'Data Source'!S989="F"),IF('Data Source'!AG989&gt;=5,"A+",IF('Data Source'!AG989&gt;=4,"A",IF('Data Source'!AG989&gt;=3.5,"A-",IF('Data Source'!AG989&gt;=3,"B",IF('Data Source'!AG989&gt;=2,"C",IF('Data Source'!AG989&gt;=1,"D","F")))))),"")</f>
        <v/>
      </c>
      <c r="P989" s="5">
        <f>IF(AND('Data Source'!B989&lt;&gt;"",'Data Source'!S989="F"),'Data Source'!R989,"")</f>
        <v/>
      </c>
      <c r="Q989" s="3">
        <f>IF(AND('Data Source'!B989&lt;&gt;"",'Data Source'!S989="F"),'Data Source'!S989,"")</f>
        <v/>
      </c>
    </row>
    <row r="990">
      <c r="A990" s="3">
        <f>IF(AND('Data Source'!B990&lt;&gt;"",'Data Source'!S990="F"),COUNTIF('Data Source'!$S$3:S990,"F"),"")</f>
        <v/>
      </c>
      <c r="B990">
        <f>IF(AND('Data Source'!B990&lt;&gt;"",'Data Source'!S990="F"),'Data Source'!B990,"")</f>
        <v/>
      </c>
      <c r="C990" s="3">
        <f>IF(AND('Data Source'!B990&lt;&gt;"",'Data Source'!S990="F"),IF('Data Source'!U990&gt;=5,"A+",IF('Data Source'!U990&gt;=4,"A",IF('Data Source'!U990&gt;=3.5,"A-",IF('Data Source'!U990&gt;=3,"B",IF('Data Source'!U990&gt;=2,"C",IF('Data Source'!U990&gt;=1,"D","F")))))),"")</f>
        <v/>
      </c>
      <c r="D990" s="3">
        <f>IF(AND('Data Source'!B990&lt;&gt;"",'Data Source'!S990="F"),IF('Data Source'!V990&gt;=5,"A+",IF('Data Source'!V990&gt;=4,"A",IF('Data Source'!V990&gt;=3.5,"A-",IF('Data Source'!V990&gt;=3,"B",IF('Data Source'!V990&gt;=2,"C",IF('Data Source'!V990&gt;=1,"D","F")))))),"")</f>
        <v/>
      </c>
      <c r="E990" s="3">
        <f>IF(AND('Data Source'!B990&lt;&gt;"",'Data Source'!S990="F"),IF('Data Source'!W990&gt;=5,"A+",IF('Data Source'!W990&gt;=4,"A",IF('Data Source'!W990&gt;=3.5,"A-",IF('Data Source'!W990&gt;=3,"B",IF('Data Source'!W990&gt;=2,"C",IF('Data Source'!W990&gt;=1,"D","F")))))),"")</f>
        <v/>
      </c>
      <c r="F990" s="3">
        <f>IF(AND('Data Source'!B990&lt;&gt;"",'Data Source'!S990="F"),IF('Data Source'!X990&gt;=5,"A+",IF('Data Source'!X990&gt;=4,"A",IF('Data Source'!X990&gt;=3.5,"A-",IF('Data Source'!X990&gt;=3,"B",IF('Data Source'!X990&gt;=2,"C",IF('Data Source'!X990&gt;=1,"D","F")))))),"")</f>
        <v/>
      </c>
      <c r="G990" s="3">
        <f>IF(AND('Data Source'!B990&lt;&gt;"",'Data Source'!S990="F"),IF('Data Source'!Y990&gt;=5,"A+",IF('Data Source'!Y990&gt;=4,"A",IF('Data Source'!Y990&gt;=3.5,"A-",IF('Data Source'!Y990&gt;=3,"B",IF('Data Source'!Y990&gt;=2,"C",IF('Data Source'!Y990&gt;=1,"D","F")))))),"")</f>
        <v/>
      </c>
      <c r="H990" s="3">
        <f>IF(AND('Data Source'!B990&lt;&gt;"",'Data Source'!S990="F"),IF('Data Source'!Z990&gt;=5,"A+",IF('Data Source'!Z990&gt;=4,"A",IF('Data Source'!Z990&gt;=3.5,"A-",IF('Data Source'!Z990&gt;=3,"B",IF('Data Source'!Z990&gt;=2,"C",IF('Data Source'!Z990&gt;=1,"D","F")))))),"")</f>
        <v/>
      </c>
      <c r="I990" s="3">
        <f>IF(AND('Data Source'!B990&lt;&gt;"",'Data Source'!S990="F"),IF('Data Source'!AA990&gt;=5,"A+",IF('Data Source'!AA990&gt;=4,"A",IF('Data Source'!AA990&gt;=3.5,"A-",IF('Data Source'!AA990&gt;=3,"B",IF('Data Source'!AA990&gt;=2,"C",IF('Data Source'!AA990&gt;=1,"D","F")))))),"")</f>
        <v/>
      </c>
      <c r="J990" s="3">
        <f>IF(AND('Data Source'!B990&lt;&gt;"",'Data Source'!S990="F"),IF('Data Source'!AB990&gt;=5,"A+",IF('Data Source'!AB990&gt;=4,"A",IF('Data Source'!AB990&gt;=3.5,"A-",IF('Data Source'!AB990&gt;=3,"B",IF('Data Source'!AB990&gt;=2,"C",IF('Data Source'!AB990&gt;=1,"D","F")))))),"")</f>
        <v/>
      </c>
      <c r="K990" s="3">
        <f>IF(AND('Data Source'!B990&lt;&gt;"",'Data Source'!S990="F"),IF('Data Source'!AC990&gt;=5,"A+",IF('Data Source'!AC990&gt;=4,"A",IF('Data Source'!AC990&gt;=3.5,"A-",IF('Data Source'!AC990&gt;=3,"B",IF('Data Source'!AC990&gt;=2,"C",IF('Data Source'!AC990&gt;=1,"D","F")))))),"")</f>
        <v/>
      </c>
      <c r="L990" s="3">
        <f>IF(AND('Data Source'!B990&lt;&gt;"",'Data Source'!S990="F"),IF('Data Source'!AD990&gt;=5,"A+",IF('Data Source'!AD990&gt;=4,"A",IF('Data Source'!AD990&gt;=3.5,"A-",IF('Data Source'!AD990&gt;=3,"B",IF('Data Source'!AD990&gt;=2,"C",IF('Data Source'!AD990&gt;=1,"D","F")))))),"")</f>
        <v/>
      </c>
      <c r="M990" s="3">
        <f>IF(AND('Data Source'!B990&lt;&gt;"",'Data Source'!S990="F"),IF('Data Source'!AE990&gt;=5,"A+",IF('Data Source'!AE990&gt;=4,"A",IF('Data Source'!AE990&gt;=3.5,"A-",IF('Data Source'!AE990&gt;=3,"B",IF('Data Source'!AE990&gt;=2,"C",IF('Data Source'!AE990&gt;=1,"D","F")))))),"")</f>
        <v/>
      </c>
      <c r="N990" s="3">
        <f>IF(AND('Data Source'!B990&lt;&gt;"",'Data Source'!S990="F"),IF('Data Source'!AF990&gt;=5,"A+",IF('Data Source'!AF990&gt;=4,"A",IF('Data Source'!AF990&gt;=3.5,"A-",IF('Data Source'!AF990&gt;=3,"B",IF('Data Source'!AF990&gt;=2,"C",IF('Data Source'!AF990&gt;=1,"D","F")))))),"")</f>
        <v/>
      </c>
      <c r="O990" s="3">
        <f>IF(AND('Data Source'!B990&lt;&gt;"",'Data Source'!S990="F"),IF('Data Source'!AG990&gt;=5,"A+",IF('Data Source'!AG990&gt;=4,"A",IF('Data Source'!AG990&gt;=3.5,"A-",IF('Data Source'!AG990&gt;=3,"B",IF('Data Source'!AG990&gt;=2,"C",IF('Data Source'!AG990&gt;=1,"D","F")))))),"")</f>
        <v/>
      </c>
      <c r="P990" s="5">
        <f>IF(AND('Data Source'!B990&lt;&gt;"",'Data Source'!S990="F"),'Data Source'!R990,"")</f>
        <v/>
      </c>
      <c r="Q990" s="3">
        <f>IF(AND('Data Source'!B990&lt;&gt;"",'Data Source'!S990="F"),'Data Source'!S990,"")</f>
        <v/>
      </c>
    </row>
    <row r="991">
      <c r="A991" s="3">
        <f>IF(AND('Data Source'!B991&lt;&gt;"",'Data Source'!S991="F"),COUNTIF('Data Source'!$S$3:S991,"F"),"")</f>
        <v/>
      </c>
      <c r="B991">
        <f>IF(AND('Data Source'!B991&lt;&gt;"",'Data Source'!S991="F"),'Data Source'!B991,"")</f>
        <v/>
      </c>
      <c r="C991" s="3">
        <f>IF(AND('Data Source'!B991&lt;&gt;"",'Data Source'!S991="F"),IF('Data Source'!U991&gt;=5,"A+",IF('Data Source'!U991&gt;=4,"A",IF('Data Source'!U991&gt;=3.5,"A-",IF('Data Source'!U991&gt;=3,"B",IF('Data Source'!U991&gt;=2,"C",IF('Data Source'!U991&gt;=1,"D","F")))))),"")</f>
        <v/>
      </c>
      <c r="D991" s="3">
        <f>IF(AND('Data Source'!B991&lt;&gt;"",'Data Source'!S991="F"),IF('Data Source'!V991&gt;=5,"A+",IF('Data Source'!V991&gt;=4,"A",IF('Data Source'!V991&gt;=3.5,"A-",IF('Data Source'!V991&gt;=3,"B",IF('Data Source'!V991&gt;=2,"C",IF('Data Source'!V991&gt;=1,"D","F")))))),"")</f>
        <v/>
      </c>
      <c r="E991" s="3">
        <f>IF(AND('Data Source'!B991&lt;&gt;"",'Data Source'!S991="F"),IF('Data Source'!W991&gt;=5,"A+",IF('Data Source'!W991&gt;=4,"A",IF('Data Source'!W991&gt;=3.5,"A-",IF('Data Source'!W991&gt;=3,"B",IF('Data Source'!W991&gt;=2,"C",IF('Data Source'!W991&gt;=1,"D","F")))))),"")</f>
        <v/>
      </c>
      <c r="F991" s="3">
        <f>IF(AND('Data Source'!B991&lt;&gt;"",'Data Source'!S991="F"),IF('Data Source'!X991&gt;=5,"A+",IF('Data Source'!X991&gt;=4,"A",IF('Data Source'!X991&gt;=3.5,"A-",IF('Data Source'!X991&gt;=3,"B",IF('Data Source'!X991&gt;=2,"C",IF('Data Source'!X991&gt;=1,"D","F")))))),"")</f>
        <v/>
      </c>
      <c r="G991" s="3">
        <f>IF(AND('Data Source'!B991&lt;&gt;"",'Data Source'!S991="F"),IF('Data Source'!Y991&gt;=5,"A+",IF('Data Source'!Y991&gt;=4,"A",IF('Data Source'!Y991&gt;=3.5,"A-",IF('Data Source'!Y991&gt;=3,"B",IF('Data Source'!Y991&gt;=2,"C",IF('Data Source'!Y991&gt;=1,"D","F")))))),"")</f>
        <v/>
      </c>
      <c r="H991" s="3">
        <f>IF(AND('Data Source'!B991&lt;&gt;"",'Data Source'!S991="F"),IF('Data Source'!Z991&gt;=5,"A+",IF('Data Source'!Z991&gt;=4,"A",IF('Data Source'!Z991&gt;=3.5,"A-",IF('Data Source'!Z991&gt;=3,"B",IF('Data Source'!Z991&gt;=2,"C",IF('Data Source'!Z991&gt;=1,"D","F")))))),"")</f>
        <v/>
      </c>
      <c r="I991" s="3">
        <f>IF(AND('Data Source'!B991&lt;&gt;"",'Data Source'!S991="F"),IF('Data Source'!AA991&gt;=5,"A+",IF('Data Source'!AA991&gt;=4,"A",IF('Data Source'!AA991&gt;=3.5,"A-",IF('Data Source'!AA991&gt;=3,"B",IF('Data Source'!AA991&gt;=2,"C",IF('Data Source'!AA991&gt;=1,"D","F")))))),"")</f>
        <v/>
      </c>
      <c r="J991" s="3">
        <f>IF(AND('Data Source'!B991&lt;&gt;"",'Data Source'!S991="F"),IF('Data Source'!AB991&gt;=5,"A+",IF('Data Source'!AB991&gt;=4,"A",IF('Data Source'!AB991&gt;=3.5,"A-",IF('Data Source'!AB991&gt;=3,"B",IF('Data Source'!AB991&gt;=2,"C",IF('Data Source'!AB991&gt;=1,"D","F")))))),"")</f>
        <v/>
      </c>
      <c r="K991" s="3">
        <f>IF(AND('Data Source'!B991&lt;&gt;"",'Data Source'!S991="F"),IF('Data Source'!AC991&gt;=5,"A+",IF('Data Source'!AC991&gt;=4,"A",IF('Data Source'!AC991&gt;=3.5,"A-",IF('Data Source'!AC991&gt;=3,"B",IF('Data Source'!AC991&gt;=2,"C",IF('Data Source'!AC991&gt;=1,"D","F")))))),"")</f>
        <v/>
      </c>
      <c r="L991" s="3">
        <f>IF(AND('Data Source'!B991&lt;&gt;"",'Data Source'!S991="F"),IF('Data Source'!AD991&gt;=5,"A+",IF('Data Source'!AD991&gt;=4,"A",IF('Data Source'!AD991&gt;=3.5,"A-",IF('Data Source'!AD991&gt;=3,"B",IF('Data Source'!AD991&gt;=2,"C",IF('Data Source'!AD991&gt;=1,"D","F")))))),"")</f>
        <v/>
      </c>
      <c r="M991" s="3">
        <f>IF(AND('Data Source'!B991&lt;&gt;"",'Data Source'!S991="F"),IF('Data Source'!AE991&gt;=5,"A+",IF('Data Source'!AE991&gt;=4,"A",IF('Data Source'!AE991&gt;=3.5,"A-",IF('Data Source'!AE991&gt;=3,"B",IF('Data Source'!AE991&gt;=2,"C",IF('Data Source'!AE991&gt;=1,"D","F")))))),"")</f>
        <v/>
      </c>
      <c r="N991" s="3">
        <f>IF(AND('Data Source'!B991&lt;&gt;"",'Data Source'!S991="F"),IF('Data Source'!AF991&gt;=5,"A+",IF('Data Source'!AF991&gt;=4,"A",IF('Data Source'!AF991&gt;=3.5,"A-",IF('Data Source'!AF991&gt;=3,"B",IF('Data Source'!AF991&gt;=2,"C",IF('Data Source'!AF991&gt;=1,"D","F")))))),"")</f>
        <v/>
      </c>
      <c r="O991" s="3">
        <f>IF(AND('Data Source'!B991&lt;&gt;"",'Data Source'!S991="F"),IF('Data Source'!AG991&gt;=5,"A+",IF('Data Source'!AG991&gt;=4,"A",IF('Data Source'!AG991&gt;=3.5,"A-",IF('Data Source'!AG991&gt;=3,"B",IF('Data Source'!AG991&gt;=2,"C",IF('Data Source'!AG991&gt;=1,"D","F")))))),"")</f>
        <v/>
      </c>
      <c r="P991" s="5">
        <f>IF(AND('Data Source'!B991&lt;&gt;"",'Data Source'!S991="F"),'Data Source'!R991,"")</f>
        <v/>
      </c>
      <c r="Q991" s="3">
        <f>IF(AND('Data Source'!B991&lt;&gt;"",'Data Source'!S991="F"),'Data Source'!S991,"")</f>
        <v/>
      </c>
    </row>
    <row r="992">
      <c r="A992" s="3">
        <f>IF(AND('Data Source'!B992&lt;&gt;"",'Data Source'!S992="F"),COUNTIF('Data Source'!$S$3:S992,"F"),"")</f>
        <v/>
      </c>
      <c r="B992">
        <f>IF(AND('Data Source'!B992&lt;&gt;"",'Data Source'!S992="F"),'Data Source'!B992,"")</f>
        <v/>
      </c>
      <c r="C992" s="3">
        <f>IF(AND('Data Source'!B992&lt;&gt;"",'Data Source'!S992="F"),IF('Data Source'!U992&gt;=5,"A+",IF('Data Source'!U992&gt;=4,"A",IF('Data Source'!U992&gt;=3.5,"A-",IF('Data Source'!U992&gt;=3,"B",IF('Data Source'!U992&gt;=2,"C",IF('Data Source'!U992&gt;=1,"D","F")))))),"")</f>
        <v/>
      </c>
      <c r="D992" s="3">
        <f>IF(AND('Data Source'!B992&lt;&gt;"",'Data Source'!S992="F"),IF('Data Source'!V992&gt;=5,"A+",IF('Data Source'!V992&gt;=4,"A",IF('Data Source'!V992&gt;=3.5,"A-",IF('Data Source'!V992&gt;=3,"B",IF('Data Source'!V992&gt;=2,"C",IF('Data Source'!V992&gt;=1,"D","F")))))),"")</f>
        <v/>
      </c>
      <c r="E992" s="3">
        <f>IF(AND('Data Source'!B992&lt;&gt;"",'Data Source'!S992="F"),IF('Data Source'!W992&gt;=5,"A+",IF('Data Source'!W992&gt;=4,"A",IF('Data Source'!W992&gt;=3.5,"A-",IF('Data Source'!W992&gt;=3,"B",IF('Data Source'!W992&gt;=2,"C",IF('Data Source'!W992&gt;=1,"D","F")))))),"")</f>
        <v/>
      </c>
      <c r="F992" s="3">
        <f>IF(AND('Data Source'!B992&lt;&gt;"",'Data Source'!S992="F"),IF('Data Source'!X992&gt;=5,"A+",IF('Data Source'!X992&gt;=4,"A",IF('Data Source'!X992&gt;=3.5,"A-",IF('Data Source'!X992&gt;=3,"B",IF('Data Source'!X992&gt;=2,"C",IF('Data Source'!X992&gt;=1,"D","F")))))),"")</f>
        <v/>
      </c>
      <c r="G992" s="3">
        <f>IF(AND('Data Source'!B992&lt;&gt;"",'Data Source'!S992="F"),IF('Data Source'!Y992&gt;=5,"A+",IF('Data Source'!Y992&gt;=4,"A",IF('Data Source'!Y992&gt;=3.5,"A-",IF('Data Source'!Y992&gt;=3,"B",IF('Data Source'!Y992&gt;=2,"C",IF('Data Source'!Y992&gt;=1,"D","F")))))),"")</f>
        <v/>
      </c>
      <c r="H992" s="3">
        <f>IF(AND('Data Source'!B992&lt;&gt;"",'Data Source'!S992="F"),IF('Data Source'!Z992&gt;=5,"A+",IF('Data Source'!Z992&gt;=4,"A",IF('Data Source'!Z992&gt;=3.5,"A-",IF('Data Source'!Z992&gt;=3,"B",IF('Data Source'!Z992&gt;=2,"C",IF('Data Source'!Z992&gt;=1,"D","F")))))),"")</f>
        <v/>
      </c>
      <c r="I992" s="3">
        <f>IF(AND('Data Source'!B992&lt;&gt;"",'Data Source'!S992="F"),IF('Data Source'!AA992&gt;=5,"A+",IF('Data Source'!AA992&gt;=4,"A",IF('Data Source'!AA992&gt;=3.5,"A-",IF('Data Source'!AA992&gt;=3,"B",IF('Data Source'!AA992&gt;=2,"C",IF('Data Source'!AA992&gt;=1,"D","F")))))),"")</f>
        <v/>
      </c>
      <c r="J992" s="3">
        <f>IF(AND('Data Source'!B992&lt;&gt;"",'Data Source'!S992="F"),IF('Data Source'!AB992&gt;=5,"A+",IF('Data Source'!AB992&gt;=4,"A",IF('Data Source'!AB992&gt;=3.5,"A-",IF('Data Source'!AB992&gt;=3,"B",IF('Data Source'!AB992&gt;=2,"C",IF('Data Source'!AB992&gt;=1,"D","F")))))),"")</f>
        <v/>
      </c>
      <c r="K992" s="3">
        <f>IF(AND('Data Source'!B992&lt;&gt;"",'Data Source'!S992="F"),IF('Data Source'!AC992&gt;=5,"A+",IF('Data Source'!AC992&gt;=4,"A",IF('Data Source'!AC992&gt;=3.5,"A-",IF('Data Source'!AC992&gt;=3,"B",IF('Data Source'!AC992&gt;=2,"C",IF('Data Source'!AC992&gt;=1,"D","F")))))),"")</f>
        <v/>
      </c>
      <c r="L992" s="3">
        <f>IF(AND('Data Source'!B992&lt;&gt;"",'Data Source'!S992="F"),IF('Data Source'!AD992&gt;=5,"A+",IF('Data Source'!AD992&gt;=4,"A",IF('Data Source'!AD992&gt;=3.5,"A-",IF('Data Source'!AD992&gt;=3,"B",IF('Data Source'!AD992&gt;=2,"C",IF('Data Source'!AD992&gt;=1,"D","F")))))),"")</f>
        <v/>
      </c>
      <c r="M992" s="3">
        <f>IF(AND('Data Source'!B992&lt;&gt;"",'Data Source'!S992="F"),IF('Data Source'!AE992&gt;=5,"A+",IF('Data Source'!AE992&gt;=4,"A",IF('Data Source'!AE992&gt;=3.5,"A-",IF('Data Source'!AE992&gt;=3,"B",IF('Data Source'!AE992&gt;=2,"C",IF('Data Source'!AE992&gt;=1,"D","F")))))),"")</f>
        <v/>
      </c>
      <c r="N992" s="3">
        <f>IF(AND('Data Source'!B992&lt;&gt;"",'Data Source'!S992="F"),IF('Data Source'!AF992&gt;=5,"A+",IF('Data Source'!AF992&gt;=4,"A",IF('Data Source'!AF992&gt;=3.5,"A-",IF('Data Source'!AF992&gt;=3,"B",IF('Data Source'!AF992&gt;=2,"C",IF('Data Source'!AF992&gt;=1,"D","F")))))),"")</f>
        <v/>
      </c>
      <c r="O992" s="3">
        <f>IF(AND('Data Source'!B992&lt;&gt;"",'Data Source'!S992="F"),IF('Data Source'!AG992&gt;=5,"A+",IF('Data Source'!AG992&gt;=4,"A",IF('Data Source'!AG992&gt;=3.5,"A-",IF('Data Source'!AG992&gt;=3,"B",IF('Data Source'!AG992&gt;=2,"C",IF('Data Source'!AG992&gt;=1,"D","F")))))),"")</f>
        <v/>
      </c>
      <c r="P992" s="5">
        <f>IF(AND('Data Source'!B992&lt;&gt;"",'Data Source'!S992="F"),'Data Source'!R992,"")</f>
        <v/>
      </c>
      <c r="Q992" s="3">
        <f>IF(AND('Data Source'!B992&lt;&gt;"",'Data Source'!S992="F"),'Data Source'!S992,"")</f>
        <v/>
      </c>
    </row>
    <row r="993">
      <c r="A993" s="3">
        <f>IF(AND('Data Source'!B993&lt;&gt;"",'Data Source'!S993="F"),COUNTIF('Data Source'!$S$3:S993,"F"),"")</f>
        <v/>
      </c>
      <c r="B993">
        <f>IF(AND('Data Source'!B993&lt;&gt;"",'Data Source'!S993="F"),'Data Source'!B993,"")</f>
        <v/>
      </c>
      <c r="C993" s="3">
        <f>IF(AND('Data Source'!B993&lt;&gt;"",'Data Source'!S993="F"),IF('Data Source'!U993&gt;=5,"A+",IF('Data Source'!U993&gt;=4,"A",IF('Data Source'!U993&gt;=3.5,"A-",IF('Data Source'!U993&gt;=3,"B",IF('Data Source'!U993&gt;=2,"C",IF('Data Source'!U993&gt;=1,"D","F")))))),"")</f>
        <v/>
      </c>
      <c r="D993" s="3">
        <f>IF(AND('Data Source'!B993&lt;&gt;"",'Data Source'!S993="F"),IF('Data Source'!V993&gt;=5,"A+",IF('Data Source'!V993&gt;=4,"A",IF('Data Source'!V993&gt;=3.5,"A-",IF('Data Source'!V993&gt;=3,"B",IF('Data Source'!V993&gt;=2,"C",IF('Data Source'!V993&gt;=1,"D","F")))))),"")</f>
        <v/>
      </c>
      <c r="E993" s="3">
        <f>IF(AND('Data Source'!B993&lt;&gt;"",'Data Source'!S993="F"),IF('Data Source'!W993&gt;=5,"A+",IF('Data Source'!W993&gt;=4,"A",IF('Data Source'!W993&gt;=3.5,"A-",IF('Data Source'!W993&gt;=3,"B",IF('Data Source'!W993&gt;=2,"C",IF('Data Source'!W993&gt;=1,"D","F")))))),"")</f>
        <v/>
      </c>
      <c r="F993" s="3">
        <f>IF(AND('Data Source'!B993&lt;&gt;"",'Data Source'!S993="F"),IF('Data Source'!X993&gt;=5,"A+",IF('Data Source'!X993&gt;=4,"A",IF('Data Source'!X993&gt;=3.5,"A-",IF('Data Source'!X993&gt;=3,"B",IF('Data Source'!X993&gt;=2,"C",IF('Data Source'!X993&gt;=1,"D","F")))))),"")</f>
        <v/>
      </c>
      <c r="G993" s="3">
        <f>IF(AND('Data Source'!B993&lt;&gt;"",'Data Source'!S993="F"),IF('Data Source'!Y993&gt;=5,"A+",IF('Data Source'!Y993&gt;=4,"A",IF('Data Source'!Y993&gt;=3.5,"A-",IF('Data Source'!Y993&gt;=3,"B",IF('Data Source'!Y993&gt;=2,"C",IF('Data Source'!Y993&gt;=1,"D","F")))))),"")</f>
        <v/>
      </c>
      <c r="H993" s="3">
        <f>IF(AND('Data Source'!B993&lt;&gt;"",'Data Source'!S993="F"),IF('Data Source'!Z993&gt;=5,"A+",IF('Data Source'!Z993&gt;=4,"A",IF('Data Source'!Z993&gt;=3.5,"A-",IF('Data Source'!Z993&gt;=3,"B",IF('Data Source'!Z993&gt;=2,"C",IF('Data Source'!Z993&gt;=1,"D","F")))))),"")</f>
        <v/>
      </c>
      <c r="I993" s="3">
        <f>IF(AND('Data Source'!B993&lt;&gt;"",'Data Source'!S993="F"),IF('Data Source'!AA993&gt;=5,"A+",IF('Data Source'!AA993&gt;=4,"A",IF('Data Source'!AA993&gt;=3.5,"A-",IF('Data Source'!AA993&gt;=3,"B",IF('Data Source'!AA993&gt;=2,"C",IF('Data Source'!AA993&gt;=1,"D","F")))))),"")</f>
        <v/>
      </c>
      <c r="J993" s="3">
        <f>IF(AND('Data Source'!B993&lt;&gt;"",'Data Source'!S993="F"),IF('Data Source'!AB993&gt;=5,"A+",IF('Data Source'!AB993&gt;=4,"A",IF('Data Source'!AB993&gt;=3.5,"A-",IF('Data Source'!AB993&gt;=3,"B",IF('Data Source'!AB993&gt;=2,"C",IF('Data Source'!AB993&gt;=1,"D","F")))))),"")</f>
        <v/>
      </c>
      <c r="K993" s="3">
        <f>IF(AND('Data Source'!B993&lt;&gt;"",'Data Source'!S993="F"),IF('Data Source'!AC993&gt;=5,"A+",IF('Data Source'!AC993&gt;=4,"A",IF('Data Source'!AC993&gt;=3.5,"A-",IF('Data Source'!AC993&gt;=3,"B",IF('Data Source'!AC993&gt;=2,"C",IF('Data Source'!AC993&gt;=1,"D","F")))))),"")</f>
        <v/>
      </c>
      <c r="L993" s="3">
        <f>IF(AND('Data Source'!B993&lt;&gt;"",'Data Source'!S993="F"),IF('Data Source'!AD993&gt;=5,"A+",IF('Data Source'!AD993&gt;=4,"A",IF('Data Source'!AD993&gt;=3.5,"A-",IF('Data Source'!AD993&gt;=3,"B",IF('Data Source'!AD993&gt;=2,"C",IF('Data Source'!AD993&gt;=1,"D","F")))))),"")</f>
        <v/>
      </c>
      <c r="M993" s="3">
        <f>IF(AND('Data Source'!B993&lt;&gt;"",'Data Source'!S993="F"),IF('Data Source'!AE993&gt;=5,"A+",IF('Data Source'!AE993&gt;=4,"A",IF('Data Source'!AE993&gt;=3.5,"A-",IF('Data Source'!AE993&gt;=3,"B",IF('Data Source'!AE993&gt;=2,"C",IF('Data Source'!AE993&gt;=1,"D","F")))))),"")</f>
        <v/>
      </c>
      <c r="N993" s="3">
        <f>IF(AND('Data Source'!B993&lt;&gt;"",'Data Source'!S993="F"),IF('Data Source'!AF993&gt;=5,"A+",IF('Data Source'!AF993&gt;=4,"A",IF('Data Source'!AF993&gt;=3.5,"A-",IF('Data Source'!AF993&gt;=3,"B",IF('Data Source'!AF993&gt;=2,"C",IF('Data Source'!AF993&gt;=1,"D","F")))))),"")</f>
        <v/>
      </c>
      <c r="O993" s="3">
        <f>IF(AND('Data Source'!B993&lt;&gt;"",'Data Source'!S993="F"),IF('Data Source'!AG993&gt;=5,"A+",IF('Data Source'!AG993&gt;=4,"A",IF('Data Source'!AG993&gt;=3.5,"A-",IF('Data Source'!AG993&gt;=3,"B",IF('Data Source'!AG993&gt;=2,"C",IF('Data Source'!AG993&gt;=1,"D","F")))))),"")</f>
        <v/>
      </c>
      <c r="P993" s="5">
        <f>IF(AND('Data Source'!B993&lt;&gt;"",'Data Source'!S993="F"),'Data Source'!R993,"")</f>
        <v/>
      </c>
      <c r="Q993" s="3">
        <f>IF(AND('Data Source'!B993&lt;&gt;"",'Data Source'!S993="F"),'Data Source'!S993,"")</f>
        <v/>
      </c>
    </row>
    <row r="994">
      <c r="A994" s="3">
        <f>IF(AND('Data Source'!B994&lt;&gt;"",'Data Source'!S994="F"),COUNTIF('Data Source'!$S$3:S994,"F"),"")</f>
        <v/>
      </c>
      <c r="B994">
        <f>IF(AND('Data Source'!B994&lt;&gt;"",'Data Source'!S994="F"),'Data Source'!B994,"")</f>
        <v/>
      </c>
      <c r="C994" s="3">
        <f>IF(AND('Data Source'!B994&lt;&gt;"",'Data Source'!S994="F"),IF('Data Source'!U994&gt;=5,"A+",IF('Data Source'!U994&gt;=4,"A",IF('Data Source'!U994&gt;=3.5,"A-",IF('Data Source'!U994&gt;=3,"B",IF('Data Source'!U994&gt;=2,"C",IF('Data Source'!U994&gt;=1,"D","F")))))),"")</f>
        <v/>
      </c>
      <c r="D994" s="3">
        <f>IF(AND('Data Source'!B994&lt;&gt;"",'Data Source'!S994="F"),IF('Data Source'!V994&gt;=5,"A+",IF('Data Source'!V994&gt;=4,"A",IF('Data Source'!V994&gt;=3.5,"A-",IF('Data Source'!V994&gt;=3,"B",IF('Data Source'!V994&gt;=2,"C",IF('Data Source'!V994&gt;=1,"D","F")))))),"")</f>
        <v/>
      </c>
      <c r="E994" s="3">
        <f>IF(AND('Data Source'!B994&lt;&gt;"",'Data Source'!S994="F"),IF('Data Source'!W994&gt;=5,"A+",IF('Data Source'!W994&gt;=4,"A",IF('Data Source'!W994&gt;=3.5,"A-",IF('Data Source'!W994&gt;=3,"B",IF('Data Source'!W994&gt;=2,"C",IF('Data Source'!W994&gt;=1,"D","F")))))),"")</f>
        <v/>
      </c>
      <c r="F994" s="3">
        <f>IF(AND('Data Source'!B994&lt;&gt;"",'Data Source'!S994="F"),IF('Data Source'!X994&gt;=5,"A+",IF('Data Source'!X994&gt;=4,"A",IF('Data Source'!X994&gt;=3.5,"A-",IF('Data Source'!X994&gt;=3,"B",IF('Data Source'!X994&gt;=2,"C",IF('Data Source'!X994&gt;=1,"D","F")))))),"")</f>
        <v/>
      </c>
      <c r="G994" s="3">
        <f>IF(AND('Data Source'!B994&lt;&gt;"",'Data Source'!S994="F"),IF('Data Source'!Y994&gt;=5,"A+",IF('Data Source'!Y994&gt;=4,"A",IF('Data Source'!Y994&gt;=3.5,"A-",IF('Data Source'!Y994&gt;=3,"B",IF('Data Source'!Y994&gt;=2,"C",IF('Data Source'!Y994&gt;=1,"D","F")))))),"")</f>
        <v/>
      </c>
      <c r="H994" s="3">
        <f>IF(AND('Data Source'!B994&lt;&gt;"",'Data Source'!S994="F"),IF('Data Source'!Z994&gt;=5,"A+",IF('Data Source'!Z994&gt;=4,"A",IF('Data Source'!Z994&gt;=3.5,"A-",IF('Data Source'!Z994&gt;=3,"B",IF('Data Source'!Z994&gt;=2,"C",IF('Data Source'!Z994&gt;=1,"D","F")))))),"")</f>
        <v/>
      </c>
      <c r="I994" s="3">
        <f>IF(AND('Data Source'!B994&lt;&gt;"",'Data Source'!S994="F"),IF('Data Source'!AA994&gt;=5,"A+",IF('Data Source'!AA994&gt;=4,"A",IF('Data Source'!AA994&gt;=3.5,"A-",IF('Data Source'!AA994&gt;=3,"B",IF('Data Source'!AA994&gt;=2,"C",IF('Data Source'!AA994&gt;=1,"D","F")))))),"")</f>
        <v/>
      </c>
      <c r="J994" s="3">
        <f>IF(AND('Data Source'!B994&lt;&gt;"",'Data Source'!S994="F"),IF('Data Source'!AB994&gt;=5,"A+",IF('Data Source'!AB994&gt;=4,"A",IF('Data Source'!AB994&gt;=3.5,"A-",IF('Data Source'!AB994&gt;=3,"B",IF('Data Source'!AB994&gt;=2,"C",IF('Data Source'!AB994&gt;=1,"D","F")))))),"")</f>
        <v/>
      </c>
      <c r="K994" s="3">
        <f>IF(AND('Data Source'!B994&lt;&gt;"",'Data Source'!S994="F"),IF('Data Source'!AC994&gt;=5,"A+",IF('Data Source'!AC994&gt;=4,"A",IF('Data Source'!AC994&gt;=3.5,"A-",IF('Data Source'!AC994&gt;=3,"B",IF('Data Source'!AC994&gt;=2,"C",IF('Data Source'!AC994&gt;=1,"D","F")))))),"")</f>
        <v/>
      </c>
      <c r="L994" s="3">
        <f>IF(AND('Data Source'!B994&lt;&gt;"",'Data Source'!S994="F"),IF('Data Source'!AD994&gt;=5,"A+",IF('Data Source'!AD994&gt;=4,"A",IF('Data Source'!AD994&gt;=3.5,"A-",IF('Data Source'!AD994&gt;=3,"B",IF('Data Source'!AD994&gt;=2,"C",IF('Data Source'!AD994&gt;=1,"D","F")))))),"")</f>
        <v/>
      </c>
      <c r="M994" s="3">
        <f>IF(AND('Data Source'!B994&lt;&gt;"",'Data Source'!S994="F"),IF('Data Source'!AE994&gt;=5,"A+",IF('Data Source'!AE994&gt;=4,"A",IF('Data Source'!AE994&gt;=3.5,"A-",IF('Data Source'!AE994&gt;=3,"B",IF('Data Source'!AE994&gt;=2,"C",IF('Data Source'!AE994&gt;=1,"D","F")))))),"")</f>
        <v/>
      </c>
      <c r="N994" s="3">
        <f>IF(AND('Data Source'!B994&lt;&gt;"",'Data Source'!S994="F"),IF('Data Source'!AF994&gt;=5,"A+",IF('Data Source'!AF994&gt;=4,"A",IF('Data Source'!AF994&gt;=3.5,"A-",IF('Data Source'!AF994&gt;=3,"B",IF('Data Source'!AF994&gt;=2,"C",IF('Data Source'!AF994&gt;=1,"D","F")))))),"")</f>
        <v/>
      </c>
      <c r="O994" s="3">
        <f>IF(AND('Data Source'!B994&lt;&gt;"",'Data Source'!S994="F"),IF('Data Source'!AG994&gt;=5,"A+",IF('Data Source'!AG994&gt;=4,"A",IF('Data Source'!AG994&gt;=3.5,"A-",IF('Data Source'!AG994&gt;=3,"B",IF('Data Source'!AG994&gt;=2,"C",IF('Data Source'!AG994&gt;=1,"D","F")))))),"")</f>
        <v/>
      </c>
      <c r="P994" s="5">
        <f>IF(AND('Data Source'!B994&lt;&gt;"",'Data Source'!S994="F"),'Data Source'!R994,"")</f>
        <v/>
      </c>
      <c r="Q994" s="3">
        <f>IF(AND('Data Source'!B994&lt;&gt;"",'Data Source'!S994="F"),'Data Source'!S994,"")</f>
        <v/>
      </c>
    </row>
    <row r="995">
      <c r="A995" s="3">
        <f>IF(AND('Data Source'!B995&lt;&gt;"",'Data Source'!S995="F"),COUNTIF('Data Source'!$S$3:S995,"F"),"")</f>
        <v/>
      </c>
      <c r="B995">
        <f>IF(AND('Data Source'!B995&lt;&gt;"",'Data Source'!S995="F"),'Data Source'!B995,"")</f>
        <v/>
      </c>
      <c r="C995" s="3">
        <f>IF(AND('Data Source'!B995&lt;&gt;"",'Data Source'!S995="F"),IF('Data Source'!U995&gt;=5,"A+",IF('Data Source'!U995&gt;=4,"A",IF('Data Source'!U995&gt;=3.5,"A-",IF('Data Source'!U995&gt;=3,"B",IF('Data Source'!U995&gt;=2,"C",IF('Data Source'!U995&gt;=1,"D","F")))))),"")</f>
        <v/>
      </c>
      <c r="D995" s="3">
        <f>IF(AND('Data Source'!B995&lt;&gt;"",'Data Source'!S995="F"),IF('Data Source'!V995&gt;=5,"A+",IF('Data Source'!V995&gt;=4,"A",IF('Data Source'!V995&gt;=3.5,"A-",IF('Data Source'!V995&gt;=3,"B",IF('Data Source'!V995&gt;=2,"C",IF('Data Source'!V995&gt;=1,"D","F")))))),"")</f>
        <v/>
      </c>
      <c r="E995" s="3">
        <f>IF(AND('Data Source'!B995&lt;&gt;"",'Data Source'!S995="F"),IF('Data Source'!W995&gt;=5,"A+",IF('Data Source'!W995&gt;=4,"A",IF('Data Source'!W995&gt;=3.5,"A-",IF('Data Source'!W995&gt;=3,"B",IF('Data Source'!W995&gt;=2,"C",IF('Data Source'!W995&gt;=1,"D","F")))))),"")</f>
        <v/>
      </c>
      <c r="F995" s="3">
        <f>IF(AND('Data Source'!B995&lt;&gt;"",'Data Source'!S995="F"),IF('Data Source'!X995&gt;=5,"A+",IF('Data Source'!X995&gt;=4,"A",IF('Data Source'!X995&gt;=3.5,"A-",IF('Data Source'!X995&gt;=3,"B",IF('Data Source'!X995&gt;=2,"C",IF('Data Source'!X995&gt;=1,"D","F")))))),"")</f>
        <v/>
      </c>
      <c r="G995" s="3">
        <f>IF(AND('Data Source'!B995&lt;&gt;"",'Data Source'!S995="F"),IF('Data Source'!Y995&gt;=5,"A+",IF('Data Source'!Y995&gt;=4,"A",IF('Data Source'!Y995&gt;=3.5,"A-",IF('Data Source'!Y995&gt;=3,"B",IF('Data Source'!Y995&gt;=2,"C",IF('Data Source'!Y995&gt;=1,"D","F")))))),"")</f>
        <v/>
      </c>
      <c r="H995" s="3">
        <f>IF(AND('Data Source'!B995&lt;&gt;"",'Data Source'!S995="F"),IF('Data Source'!Z995&gt;=5,"A+",IF('Data Source'!Z995&gt;=4,"A",IF('Data Source'!Z995&gt;=3.5,"A-",IF('Data Source'!Z995&gt;=3,"B",IF('Data Source'!Z995&gt;=2,"C",IF('Data Source'!Z995&gt;=1,"D","F")))))),"")</f>
        <v/>
      </c>
      <c r="I995" s="3">
        <f>IF(AND('Data Source'!B995&lt;&gt;"",'Data Source'!S995="F"),IF('Data Source'!AA995&gt;=5,"A+",IF('Data Source'!AA995&gt;=4,"A",IF('Data Source'!AA995&gt;=3.5,"A-",IF('Data Source'!AA995&gt;=3,"B",IF('Data Source'!AA995&gt;=2,"C",IF('Data Source'!AA995&gt;=1,"D","F")))))),"")</f>
        <v/>
      </c>
      <c r="J995" s="3">
        <f>IF(AND('Data Source'!B995&lt;&gt;"",'Data Source'!S995="F"),IF('Data Source'!AB995&gt;=5,"A+",IF('Data Source'!AB995&gt;=4,"A",IF('Data Source'!AB995&gt;=3.5,"A-",IF('Data Source'!AB995&gt;=3,"B",IF('Data Source'!AB995&gt;=2,"C",IF('Data Source'!AB995&gt;=1,"D","F")))))),"")</f>
        <v/>
      </c>
      <c r="K995" s="3">
        <f>IF(AND('Data Source'!B995&lt;&gt;"",'Data Source'!S995="F"),IF('Data Source'!AC995&gt;=5,"A+",IF('Data Source'!AC995&gt;=4,"A",IF('Data Source'!AC995&gt;=3.5,"A-",IF('Data Source'!AC995&gt;=3,"B",IF('Data Source'!AC995&gt;=2,"C",IF('Data Source'!AC995&gt;=1,"D","F")))))),"")</f>
        <v/>
      </c>
      <c r="L995" s="3">
        <f>IF(AND('Data Source'!B995&lt;&gt;"",'Data Source'!S995="F"),IF('Data Source'!AD995&gt;=5,"A+",IF('Data Source'!AD995&gt;=4,"A",IF('Data Source'!AD995&gt;=3.5,"A-",IF('Data Source'!AD995&gt;=3,"B",IF('Data Source'!AD995&gt;=2,"C",IF('Data Source'!AD995&gt;=1,"D","F")))))),"")</f>
        <v/>
      </c>
      <c r="M995" s="3">
        <f>IF(AND('Data Source'!B995&lt;&gt;"",'Data Source'!S995="F"),IF('Data Source'!AE995&gt;=5,"A+",IF('Data Source'!AE995&gt;=4,"A",IF('Data Source'!AE995&gt;=3.5,"A-",IF('Data Source'!AE995&gt;=3,"B",IF('Data Source'!AE995&gt;=2,"C",IF('Data Source'!AE995&gt;=1,"D","F")))))),"")</f>
        <v/>
      </c>
      <c r="N995" s="3">
        <f>IF(AND('Data Source'!B995&lt;&gt;"",'Data Source'!S995="F"),IF('Data Source'!AF995&gt;=5,"A+",IF('Data Source'!AF995&gt;=4,"A",IF('Data Source'!AF995&gt;=3.5,"A-",IF('Data Source'!AF995&gt;=3,"B",IF('Data Source'!AF995&gt;=2,"C",IF('Data Source'!AF995&gt;=1,"D","F")))))),"")</f>
        <v/>
      </c>
      <c r="O995" s="3">
        <f>IF(AND('Data Source'!B995&lt;&gt;"",'Data Source'!S995="F"),IF('Data Source'!AG995&gt;=5,"A+",IF('Data Source'!AG995&gt;=4,"A",IF('Data Source'!AG995&gt;=3.5,"A-",IF('Data Source'!AG995&gt;=3,"B",IF('Data Source'!AG995&gt;=2,"C",IF('Data Source'!AG995&gt;=1,"D","F")))))),"")</f>
        <v/>
      </c>
      <c r="P995" s="5">
        <f>IF(AND('Data Source'!B995&lt;&gt;"",'Data Source'!S995="F"),'Data Source'!R995,"")</f>
        <v/>
      </c>
      <c r="Q995" s="3">
        <f>IF(AND('Data Source'!B995&lt;&gt;"",'Data Source'!S995="F"),'Data Source'!S995,"")</f>
        <v/>
      </c>
    </row>
    <row r="996">
      <c r="A996" s="3">
        <f>IF(AND('Data Source'!B996&lt;&gt;"",'Data Source'!S996="F"),COUNTIF('Data Source'!$S$3:S996,"F"),"")</f>
        <v/>
      </c>
      <c r="B996">
        <f>IF(AND('Data Source'!B996&lt;&gt;"",'Data Source'!S996="F"),'Data Source'!B996,"")</f>
        <v/>
      </c>
      <c r="C996" s="3">
        <f>IF(AND('Data Source'!B996&lt;&gt;"",'Data Source'!S996="F"),IF('Data Source'!U996&gt;=5,"A+",IF('Data Source'!U996&gt;=4,"A",IF('Data Source'!U996&gt;=3.5,"A-",IF('Data Source'!U996&gt;=3,"B",IF('Data Source'!U996&gt;=2,"C",IF('Data Source'!U996&gt;=1,"D","F")))))),"")</f>
        <v/>
      </c>
      <c r="D996" s="3">
        <f>IF(AND('Data Source'!B996&lt;&gt;"",'Data Source'!S996="F"),IF('Data Source'!V996&gt;=5,"A+",IF('Data Source'!V996&gt;=4,"A",IF('Data Source'!V996&gt;=3.5,"A-",IF('Data Source'!V996&gt;=3,"B",IF('Data Source'!V996&gt;=2,"C",IF('Data Source'!V996&gt;=1,"D","F")))))),"")</f>
        <v/>
      </c>
      <c r="E996" s="3">
        <f>IF(AND('Data Source'!B996&lt;&gt;"",'Data Source'!S996="F"),IF('Data Source'!W996&gt;=5,"A+",IF('Data Source'!W996&gt;=4,"A",IF('Data Source'!W996&gt;=3.5,"A-",IF('Data Source'!W996&gt;=3,"B",IF('Data Source'!W996&gt;=2,"C",IF('Data Source'!W996&gt;=1,"D","F")))))),"")</f>
        <v/>
      </c>
      <c r="F996" s="3">
        <f>IF(AND('Data Source'!B996&lt;&gt;"",'Data Source'!S996="F"),IF('Data Source'!X996&gt;=5,"A+",IF('Data Source'!X996&gt;=4,"A",IF('Data Source'!X996&gt;=3.5,"A-",IF('Data Source'!X996&gt;=3,"B",IF('Data Source'!X996&gt;=2,"C",IF('Data Source'!X996&gt;=1,"D","F")))))),"")</f>
        <v/>
      </c>
      <c r="G996" s="3">
        <f>IF(AND('Data Source'!B996&lt;&gt;"",'Data Source'!S996="F"),IF('Data Source'!Y996&gt;=5,"A+",IF('Data Source'!Y996&gt;=4,"A",IF('Data Source'!Y996&gt;=3.5,"A-",IF('Data Source'!Y996&gt;=3,"B",IF('Data Source'!Y996&gt;=2,"C",IF('Data Source'!Y996&gt;=1,"D","F")))))),"")</f>
        <v/>
      </c>
      <c r="H996" s="3">
        <f>IF(AND('Data Source'!B996&lt;&gt;"",'Data Source'!S996="F"),IF('Data Source'!Z996&gt;=5,"A+",IF('Data Source'!Z996&gt;=4,"A",IF('Data Source'!Z996&gt;=3.5,"A-",IF('Data Source'!Z996&gt;=3,"B",IF('Data Source'!Z996&gt;=2,"C",IF('Data Source'!Z996&gt;=1,"D","F")))))),"")</f>
        <v/>
      </c>
      <c r="I996" s="3">
        <f>IF(AND('Data Source'!B996&lt;&gt;"",'Data Source'!S996="F"),IF('Data Source'!AA996&gt;=5,"A+",IF('Data Source'!AA996&gt;=4,"A",IF('Data Source'!AA996&gt;=3.5,"A-",IF('Data Source'!AA996&gt;=3,"B",IF('Data Source'!AA996&gt;=2,"C",IF('Data Source'!AA996&gt;=1,"D","F")))))),"")</f>
        <v/>
      </c>
      <c r="J996" s="3">
        <f>IF(AND('Data Source'!B996&lt;&gt;"",'Data Source'!S996="F"),IF('Data Source'!AB996&gt;=5,"A+",IF('Data Source'!AB996&gt;=4,"A",IF('Data Source'!AB996&gt;=3.5,"A-",IF('Data Source'!AB996&gt;=3,"B",IF('Data Source'!AB996&gt;=2,"C",IF('Data Source'!AB996&gt;=1,"D","F")))))),"")</f>
        <v/>
      </c>
      <c r="K996" s="3">
        <f>IF(AND('Data Source'!B996&lt;&gt;"",'Data Source'!S996="F"),IF('Data Source'!AC996&gt;=5,"A+",IF('Data Source'!AC996&gt;=4,"A",IF('Data Source'!AC996&gt;=3.5,"A-",IF('Data Source'!AC996&gt;=3,"B",IF('Data Source'!AC996&gt;=2,"C",IF('Data Source'!AC996&gt;=1,"D","F")))))),"")</f>
        <v/>
      </c>
      <c r="L996" s="3">
        <f>IF(AND('Data Source'!B996&lt;&gt;"",'Data Source'!S996="F"),IF('Data Source'!AD996&gt;=5,"A+",IF('Data Source'!AD996&gt;=4,"A",IF('Data Source'!AD996&gt;=3.5,"A-",IF('Data Source'!AD996&gt;=3,"B",IF('Data Source'!AD996&gt;=2,"C",IF('Data Source'!AD996&gt;=1,"D","F")))))),"")</f>
        <v/>
      </c>
      <c r="M996" s="3">
        <f>IF(AND('Data Source'!B996&lt;&gt;"",'Data Source'!S996="F"),IF('Data Source'!AE996&gt;=5,"A+",IF('Data Source'!AE996&gt;=4,"A",IF('Data Source'!AE996&gt;=3.5,"A-",IF('Data Source'!AE996&gt;=3,"B",IF('Data Source'!AE996&gt;=2,"C",IF('Data Source'!AE996&gt;=1,"D","F")))))),"")</f>
        <v/>
      </c>
      <c r="N996" s="3">
        <f>IF(AND('Data Source'!B996&lt;&gt;"",'Data Source'!S996="F"),IF('Data Source'!AF996&gt;=5,"A+",IF('Data Source'!AF996&gt;=4,"A",IF('Data Source'!AF996&gt;=3.5,"A-",IF('Data Source'!AF996&gt;=3,"B",IF('Data Source'!AF996&gt;=2,"C",IF('Data Source'!AF996&gt;=1,"D","F")))))),"")</f>
        <v/>
      </c>
      <c r="O996" s="3">
        <f>IF(AND('Data Source'!B996&lt;&gt;"",'Data Source'!S996="F"),IF('Data Source'!AG996&gt;=5,"A+",IF('Data Source'!AG996&gt;=4,"A",IF('Data Source'!AG996&gt;=3.5,"A-",IF('Data Source'!AG996&gt;=3,"B",IF('Data Source'!AG996&gt;=2,"C",IF('Data Source'!AG996&gt;=1,"D","F")))))),"")</f>
        <v/>
      </c>
      <c r="P996" s="5">
        <f>IF(AND('Data Source'!B996&lt;&gt;"",'Data Source'!S996="F"),'Data Source'!R996,"")</f>
        <v/>
      </c>
      <c r="Q996" s="3">
        <f>IF(AND('Data Source'!B996&lt;&gt;"",'Data Source'!S996="F"),'Data Source'!S996,"")</f>
        <v/>
      </c>
    </row>
    <row r="997">
      <c r="A997" s="3">
        <f>IF(AND('Data Source'!B997&lt;&gt;"",'Data Source'!S997="F"),COUNTIF('Data Source'!$S$3:S997,"F"),"")</f>
        <v/>
      </c>
      <c r="B997">
        <f>IF(AND('Data Source'!B997&lt;&gt;"",'Data Source'!S997="F"),'Data Source'!B997,"")</f>
        <v/>
      </c>
      <c r="C997" s="3">
        <f>IF(AND('Data Source'!B997&lt;&gt;"",'Data Source'!S997="F"),IF('Data Source'!U997&gt;=5,"A+",IF('Data Source'!U997&gt;=4,"A",IF('Data Source'!U997&gt;=3.5,"A-",IF('Data Source'!U997&gt;=3,"B",IF('Data Source'!U997&gt;=2,"C",IF('Data Source'!U997&gt;=1,"D","F")))))),"")</f>
        <v/>
      </c>
      <c r="D997" s="3">
        <f>IF(AND('Data Source'!B997&lt;&gt;"",'Data Source'!S997="F"),IF('Data Source'!V997&gt;=5,"A+",IF('Data Source'!V997&gt;=4,"A",IF('Data Source'!V997&gt;=3.5,"A-",IF('Data Source'!V997&gt;=3,"B",IF('Data Source'!V997&gt;=2,"C",IF('Data Source'!V997&gt;=1,"D","F")))))),"")</f>
        <v/>
      </c>
      <c r="E997" s="3">
        <f>IF(AND('Data Source'!B997&lt;&gt;"",'Data Source'!S997="F"),IF('Data Source'!W997&gt;=5,"A+",IF('Data Source'!W997&gt;=4,"A",IF('Data Source'!W997&gt;=3.5,"A-",IF('Data Source'!W997&gt;=3,"B",IF('Data Source'!W997&gt;=2,"C",IF('Data Source'!W997&gt;=1,"D","F")))))),"")</f>
        <v/>
      </c>
      <c r="F997" s="3">
        <f>IF(AND('Data Source'!B997&lt;&gt;"",'Data Source'!S997="F"),IF('Data Source'!X997&gt;=5,"A+",IF('Data Source'!X997&gt;=4,"A",IF('Data Source'!X997&gt;=3.5,"A-",IF('Data Source'!X997&gt;=3,"B",IF('Data Source'!X997&gt;=2,"C",IF('Data Source'!X997&gt;=1,"D","F")))))),"")</f>
        <v/>
      </c>
      <c r="G997" s="3">
        <f>IF(AND('Data Source'!B997&lt;&gt;"",'Data Source'!S997="F"),IF('Data Source'!Y997&gt;=5,"A+",IF('Data Source'!Y997&gt;=4,"A",IF('Data Source'!Y997&gt;=3.5,"A-",IF('Data Source'!Y997&gt;=3,"B",IF('Data Source'!Y997&gt;=2,"C",IF('Data Source'!Y997&gt;=1,"D","F")))))),"")</f>
        <v/>
      </c>
      <c r="H997" s="3">
        <f>IF(AND('Data Source'!B997&lt;&gt;"",'Data Source'!S997="F"),IF('Data Source'!Z997&gt;=5,"A+",IF('Data Source'!Z997&gt;=4,"A",IF('Data Source'!Z997&gt;=3.5,"A-",IF('Data Source'!Z997&gt;=3,"B",IF('Data Source'!Z997&gt;=2,"C",IF('Data Source'!Z997&gt;=1,"D","F")))))),"")</f>
        <v/>
      </c>
      <c r="I997" s="3">
        <f>IF(AND('Data Source'!B997&lt;&gt;"",'Data Source'!S997="F"),IF('Data Source'!AA997&gt;=5,"A+",IF('Data Source'!AA997&gt;=4,"A",IF('Data Source'!AA997&gt;=3.5,"A-",IF('Data Source'!AA997&gt;=3,"B",IF('Data Source'!AA997&gt;=2,"C",IF('Data Source'!AA997&gt;=1,"D","F")))))),"")</f>
        <v/>
      </c>
      <c r="J997" s="3">
        <f>IF(AND('Data Source'!B997&lt;&gt;"",'Data Source'!S997="F"),IF('Data Source'!AB997&gt;=5,"A+",IF('Data Source'!AB997&gt;=4,"A",IF('Data Source'!AB997&gt;=3.5,"A-",IF('Data Source'!AB997&gt;=3,"B",IF('Data Source'!AB997&gt;=2,"C",IF('Data Source'!AB997&gt;=1,"D","F")))))),"")</f>
        <v/>
      </c>
      <c r="K997" s="3">
        <f>IF(AND('Data Source'!B997&lt;&gt;"",'Data Source'!S997="F"),IF('Data Source'!AC997&gt;=5,"A+",IF('Data Source'!AC997&gt;=4,"A",IF('Data Source'!AC997&gt;=3.5,"A-",IF('Data Source'!AC997&gt;=3,"B",IF('Data Source'!AC997&gt;=2,"C",IF('Data Source'!AC997&gt;=1,"D","F")))))),"")</f>
        <v/>
      </c>
      <c r="L997" s="3">
        <f>IF(AND('Data Source'!B997&lt;&gt;"",'Data Source'!S997="F"),IF('Data Source'!AD997&gt;=5,"A+",IF('Data Source'!AD997&gt;=4,"A",IF('Data Source'!AD997&gt;=3.5,"A-",IF('Data Source'!AD997&gt;=3,"B",IF('Data Source'!AD997&gt;=2,"C",IF('Data Source'!AD997&gt;=1,"D","F")))))),"")</f>
        <v/>
      </c>
      <c r="M997" s="3">
        <f>IF(AND('Data Source'!B997&lt;&gt;"",'Data Source'!S997="F"),IF('Data Source'!AE997&gt;=5,"A+",IF('Data Source'!AE997&gt;=4,"A",IF('Data Source'!AE997&gt;=3.5,"A-",IF('Data Source'!AE997&gt;=3,"B",IF('Data Source'!AE997&gt;=2,"C",IF('Data Source'!AE997&gt;=1,"D","F")))))),"")</f>
        <v/>
      </c>
      <c r="N997" s="3">
        <f>IF(AND('Data Source'!B997&lt;&gt;"",'Data Source'!S997="F"),IF('Data Source'!AF997&gt;=5,"A+",IF('Data Source'!AF997&gt;=4,"A",IF('Data Source'!AF997&gt;=3.5,"A-",IF('Data Source'!AF997&gt;=3,"B",IF('Data Source'!AF997&gt;=2,"C",IF('Data Source'!AF997&gt;=1,"D","F")))))),"")</f>
        <v/>
      </c>
      <c r="O997" s="3">
        <f>IF(AND('Data Source'!B997&lt;&gt;"",'Data Source'!S997="F"),IF('Data Source'!AG997&gt;=5,"A+",IF('Data Source'!AG997&gt;=4,"A",IF('Data Source'!AG997&gt;=3.5,"A-",IF('Data Source'!AG997&gt;=3,"B",IF('Data Source'!AG997&gt;=2,"C",IF('Data Source'!AG997&gt;=1,"D","F")))))),"")</f>
        <v/>
      </c>
      <c r="P997" s="5">
        <f>IF(AND('Data Source'!B997&lt;&gt;"",'Data Source'!S997="F"),'Data Source'!R997,"")</f>
        <v/>
      </c>
      <c r="Q997" s="3">
        <f>IF(AND('Data Source'!B997&lt;&gt;"",'Data Source'!S997="F"),'Data Source'!S997,"")</f>
        <v/>
      </c>
    </row>
    <row r="998">
      <c r="A998" s="3">
        <f>IF(AND('Data Source'!B998&lt;&gt;"",'Data Source'!S998="F"),COUNTIF('Data Source'!$S$3:S998,"F"),"")</f>
        <v/>
      </c>
      <c r="B998">
        <f>IF(AND('Data Source'!B998&lt;&gt;"",'Data Source'!S998="F"),'Data Source'!B998,"")</f>
        <v/>
      </c>
      <c r="C998" s="3">
        <f>IF(AND('Data Source'!B998&lt;&gt;"",'Data Source'!S998="F"),IF('Data Source'!U998&gt;=5,"A+",IF('Data Source'!U998&gt;=4,"A",IF('Data Source'!U998&gt;=3.5,"A-",IF('Data Source'!U998&gt;=3,"B",IF('Data Source'!U998&gt;=2,"C",IF('Data Source'!U998&gt;=1,"D","F")))))),"")</f>
        <v/>
      </c>
      <c r="D998" s="3">
        <f>IF(AND('Data Source'!B998&lt;&gt;"",'Data Source'!S998="F"),IF('Data Source'!V998&gt;=5,"A+",IF('Data Source'!V998&gt;=4,"A",IF('Data Source'!V998&gt;=3.5,"A-",IF('Data Source'!V998&gt;=3,"B",IF('Data Source'!V998&gt;=2,"C",IF('Data Source'!V998&gt;=1,"D","F")))))),"")</f>
        <v/>
      </c>
      <c r="E998" s="3">
        <f>IF(AND('Data Source'!B998&lt;&gt;"",'Data Source'!S998="F"),IF('Data Source'!W998&gt;=5,"A+",IF('Data Source'!W998&gt;=4,"A",IF('Data Source'!W998&gt;=3.5,"A-",IF('Data Source'!W998&gt;=3,"B",IF('Data Source'!W998&gt;=2,"C",IF('Data Source'!W998&gt;=1,"D","F")))))),"")</f>
        <v/>
      </c>
      <c r="F998" s="3">
        <f>IF(AND('Data Source'!B998&lt;&gt;"",'Data Source'!S998="F"),IF('Data Source'!X998&gt;=5,"A+",IF('Data Source'!X998&gt;=4,"A",IF('Data Source'!X998&gt;=3.5,"A-",IF('Data Source'!X998&gt;=3,"B",IF('Data Source'!X998&gt;=2,"C",IF('Data Source'!X998&gt;=1,"D","F")))))),"")</f>
        <v/>
      </c>
      <c r="G998" s="3">
        <f>IF(AND('Data Source'!B998&lt;&gt;"",'Data Source'!S998="F"),IF('Data Source'!Y998&gt;=5,"A+",IF('Data Source'!Y998&gt;=4,"A",IF('Data Source'!Y998&gt;=3.5,"A-",IF('Data Source'!Y998&gt;=3,"B",IF('Data Source'!Y998&gt;=2,"C",IF('Data Source'!Y998&gt;=1,"D","F")))))),"")</f>
        <v/>
      </c>
      <c r="H998" s="3">
        <f>IF(AND('Data Source'!B998&lt;&gt;"",'Data Source'!S998="F"),IF('Data Source'!Z998&gt;=5,"A+",IF('Data Source'!Z998&gt;=4,"A",IF('Data Source'!Z998&gt;=3.5,"A-",IF('Data Source'!Z998&gt;=3,"B",IF('Data Source'!Z998&gt;=2,"C",IF('Data Source'!Z998&gt;=1,"D","F")))))),"")</f>
        <v/>
      </c>
      <c r="I998" s="3">
        <f>IF(AND('Data Source'!B998&lt;&gt;"",'Data Source'!S998="F"),IF('Data Source'!AA998&gt;=5,"A+",IF('Data Source'!AA998&gt;=4,"A",IF('Data Source'!AA998&gt;=3.5,"A-",IF('Data Source'!AA998&gt;=3,"B",IF('Data Source'!AA998&gt;=2,"C",IF('Data Source'!AA998&gt;=1,"D","F")))))),"")</f>
        <v/>
      </c>
      <c r="J998" s="3">
        <f>IF(AND('Data Source'!B998&lt;&gt;"",'Data Source'!S998="F"),IF('Data Source'!AB998&gt;=5,"A+",IF('Data Source'!AB998&gt;=4,"A",IF('Data Source'!AB998&gt;=3.5,"A-",IF('Data Source'!AB998&gt;=3,"B",IF('Data Source'!AB998&gt;=2,"C",IF('Data Source'!AB998&gt;=1,"D","F")))))),"")</f>
        <v/>
      </c>
      <c r="K998" s="3">
        <f>IF(AND('Data Source'!B998&lt;&gt;"",'Data Source'!S998="F"),IF('Data Source'!AC998&gt;=5,"A+",IF('Data Source'!AC998&gt;=4,"A",IF('Data Source'!AC998&gt;=3.5,"A-",IF('Data Source'!AC998&gt;=3,"B",IF('Data Source'!AC998&gt;=2,"C",IF('Data Source'!AC998&gt;=1,"D","F")))))),"")</f>
        <v/>
      </c>
      <c r="L998" s="3">
        <f>IF(AND('Data Source'!B998&lt;&gt;"",'Data Source'!S998="F"),IF('Data Source'!AD998&gt;=5,"A+",IF('Data Source'!AD998&gt;=4,"A",IF('Data Source'!AD998&gt;=3.5,"A-",IF('Data Source'!AD998&gt;=3,"B",IF('Data Source'!AD998&gt;=2,"C",IF('Data Source'!AD998&gt;=1,"D","F")))))),"")</f>
        <v/>
      </c>
      <c r="M998" s="3">
        <f>IF(AND('Data Source'!B998&lt;&gt;"",'Data Source'!S998="F"),IF('Data Source'!AE998&gt;=5,"A+",IF('Data Source'!AE998&gt;=4,"A",IF('Data Source'!AE998&gt;=3.5,"A-",IF('Data Source'!AE998&gt;=3,"B",IF('Data Source'!AE998&gt;=2,"C",IF('Data Source'!AE998&gt;=1,"D","F")))))),"")</f>
        <v/>
      </c>
      <c r="N998" s="3">
        <f>IF(AND('Data Source'!B998&lt;&gt;"",'Data Source'!S998="F"),IF('Data Source'!AF998&gt;=5,"A+",IF('Data Source'!AF998&gt;=4,"A",IF('Data Source'!AF998&gt;=3.5,"A-",IF('Data Source'!AF998&gt;=3,"B",IF('Data Source'!AF998&gt;=2,"C",IF('Data Source'!AF998&gt;=1,"D","F")))))),"")</f>
        <v/>
      </c>
      <c r="O998" s="3">
        <f>IF(AND('Data Source'!B998&lt;&gt;"",'Data Source'!S998="F"),IF('Data Source'!AG998&gt;=5,"A+",IF('Data Source'!AG998&gt;=4,"A",IF('Data Source'!AG998&gt;=3.5,"A-",IF('Data Source'!AG998&gt;=3,"B",IF('Data Source'!AG998&gt;=2,"C",IF('Data Source'!AG998&gt;=1,"D","F")))))),"")</f>
        <v/>
      </c>
      <c r="P998" s="5">
        <f>IF(AND('Data Source'!B998&lt;&gt;"",'Data Source'!S998="F"),'Data Source'!R998,"")</f>
        <v/>
      </c>
      <c r="Q998" s="3">
        <f>IF(AND('Data Source'!B998&lt;&gt;"",'Data Source'!S998="F"),'Data Source'!S998,"")</f>
        <v/>
      </c>
    </row>
    <row r="999">
      <c r="A999" s="3">
        <f>IF(AND('Data Source'!B999&lt;&gt;"",'Data Source'!S999="F"),COUNTIF('Data Source'!$S$3:S999,"F"),"")</f>
        <v/>
      </c>
      <c r="B999">
        <f>IF(AND('Data Source'!B999&lt;&gt;"",'Data Source'!S999="F"),'Data Source'!B999,"")</f>
        <v/>
      </c>
      <c r="C999" s="3">
        <f>IF(AND('Data Source'!B999&lt;&gt;"",'Data Source'!S999="F"),IF('Data Source'!U999&gt;=5,"A+",IF('Data Source'!U999&gt;=4,"A",IF('Data Source'!U999&gt;=3.5,"A-",IF('Data Source'!U999&gt;=3,"B",IF('Data Source'!U999&gt;=2,"C",IF('Data Source'!U999&gt;=1,"D","F")))))),"")</f>
        <v/>
      </c>
      <c r="D999" s="3">
        <f>IF(AND('Data Source'!B999&lt;&gt;"",'Data Source'!S999="F"),IF('Data Source'!V999&gt;=5,"A+",IF('Data Source'!V999&gt;=4,"A",IF('Data Source'!V999&gt;=3.5,"A-",IF('Data Source'!V999&gt;=3,"B",IF('Data Source'!V999&gt;=2,"C",IF('Data Source'!V999&gt;=1,"D","F")))))),"")</f>
        <v/>
      </c>
      <c r="E999" s="3">
        <f>IF(AND('Data Source'!B999&lt;&gt;"",'Data Source'!S999="F"),IF('Data Source'!W999&gt;=5,"A+",IF('Data Source'!W999&gt;=4,"A",IF('Data Source'!W999&gt;=3.5,"A-",IF('Data Source'!W999&gt;=3,"B",IF('Data Source'!W999&gt;=2,"C",IF('Data Source'!W999&gt;=1,"D","F")))))),"")</f>
        <v/>
      </c>
      <c r="F999" s="3">
        <f>IF(AND('Data Source'!B999&lt;&gt;"",'Data Source'!S999="F"),IF('Data Source'!X999&gt;=5,"A+",IF('Data Source'!X999&gt;=4,"A",IF('Data Source'!X999&gt;=3.5,"A-",IF('Data Source'!X999&gt;=3,"B",IF('Data Source'!X999&gt;=2,"C",IF('Data Source'!X999&gt;=1,"D","F")))))),"")</f>
        <v/>
      </c>
      <c r="G999" s="3">
        <f>IF(AND('Data Source'!B999&lt;&gt;"",'Data Source'!S999="F"),IF('Data Source'!Y999&gt;=5,"A+",IF('Data Source'!Y999&gt;=4,"A",IF('Data Source'!Y999&gt;=3.5,"A-",IF('Data Source'!Y999&gt;=3,"B",IF('Data Source'!Y999&gt;=2,"C",IF('Data Source'!Y999&gt;=1,"D","F")))))),"")</f>
        <v/>
      </c>
      <c r="H999" s="3">
        <f>IF(AND('Data Source'!B999&lt;&gt;"",'Data Source'!S999="F"),IF('Data Source'!Z999&gt;=5,"A+",IF('Data Source'!Z999&gt;=4,"A",IF('Data Source'!Z999&gt;=3.5,"A-",IF('Data Source'!Z999&gt;=3,"B",IF('Data Source'!Z999&gt;=2,"C",IF('Data Source'!Z999&gt;=1,"D","F")))))),"")</f>
        <v/>
      </c>
      <c r="I999" s="3">
        <f>IF(AND('Data Source'!B999&lt;&gt;"",'Data Source'!S999="F"),IF('Data Source'!AA999&gt;=5,"A+",IF('Data Source'!AA999&gt;=4,"A",IF('Data Source'!AA999&gt;=3.5,"A-",IF('Data Source'!AA999&gt;=3,"B",IF('Data Source'!AA999&gt;=2,"C",IF('Data Source'!AA999&gt;=1,"D","F")))))),"")</f>
        <v/>
      </c>
      <c r="J999" s="3">
        <f>IF(AND('Data Source'!B999&lt;&gt;"",'Data Source'!S999="F"),IF('Data Source'!AB999&gt;=5,"A+",IF('Data Source'!AB999&gt;=4,"A",IF('Data Source'!AB999&gt;=3.5,"A-",IF('Data Source'!AB999&gt;=3,"B",IF('Data Source'!AB999&gt;=2,"C",IF('Data Source'!AB999&gt;=1,"D","F")))))),"")</f>
        <v/>
      </c>
      <c r="K999" s="3">
        <f>IF(AND('Data Source'!B999&lt;&gt;"",'Data Source'!S999="F"),IF('Data Source'!AC999&gt;=5,"A+",IF('Data Source'!AC999&gt;=4,"A",IF('Data Source'!AC999&gt;=3.5,"A-",IF('Data Source'!AC999&gt;=3,"B",IF('Data Source'!AC999&gt;=2,"C",IF('Data Source'!AC999&gt;=1,"D","F")))))),"")</f>
        <v/>
      </c>
      <c r="L999" s="3">
        <f>IF(AND('Data Source'!B999&lt;&gt;"",'Data Source'!S999="F"),IF('Data Source'!AD999&gt;=5,"A+",IF('Data Source'!AD999&gt;=4,"A",IF('Data Source'!AD999&gt;=3.5,"A-",IF('Data Source'!AD999&gt;=3,"B",IF('Data Source'!AD999&gt;=2,"C",IF('Data Source'!AD999&gt;=1,"D","F")))))),"")</f>
        <v/>
      </c>
      <c r="M999" s="3">
        <f>IF(AND('Data Source'!B999&lt;&gt;"",'Data Source'!S999="F"),IF('Data Source'!AE999&gt;=5,"A+",IF('Data Source'!AE999&gt;=4,"A",IF('Data Source'!AE999&gt;=3.5,"A-",IF('Data Source'!AE999&gt;=3,"B",IF('Data Source'!AE999&gt;=2,"C",IF('Data Source'!AE999&gt;=1,"D","F")))))),"")</f>
        <v/>
      </c>
      <c r="N999" s="3">
        <f>IF(AND('Data Source'!B999&lt;&gt;"",'Data Source'!S999="F"),IF('Data Source'!AF999&gt;=5,"A+",IF('Data Source'!AF999&gt;=4,"A",IF('Data Source'!AF999&gt;=3.5,"A-",IF('Data Source'!AF999&gt;=3,"B",IF('Data Source'!AF999&gt;=2,"C",IF('Data Source'!AF999&gt;=1,"D","F")))))),"")</f>
        <v/>
      </c>
      <c r="O999" s="3">
        <f>IF(AND('Data Source'!B999&lt;&gt;"",'Data Source'!S999="F"),IF('Data Source'!AG999&gt;=5,"A+",IF('Data Source'!AG999&gt;=4,"A",IF('Data Source'!AG999&gt;=3.5,"A-",IF('Data Source'!AG999&gt;=3,"B",IF('Data Source'!AG999&gt;=2,"C",IF('Data Source'!AG999&gt;=1,"D","F")))))),"")</f>
        <v/>
      </c>
      <c r="P999" s="5">
        <f>IF(AND('Data Source'!B999&lt;&gt;"",'Data Source'!S999="F"),'Data Source'!R999,"")</f>
        <v/>
      </c>
      <c r="Q999" s="3">
        <f>IF(AND('Data Source'!B999&lt;&gt;"",'Data Source'!S999="F"),'Data Source'!S999,"")</f>
        <v/>
      </c>
    </row>
    <row r="1000">
      <c r="A1000" s="3">
        <f>IF(AND('Data Source'!B1000&lt;&gt;"",'Data Source'!S1000="F"),COUNTIF('Data Source'!$S$3:S1000,"F"),"")</f>
        <v/>
      </c>
      <c r="B1000">
        <f>IF(AND('Data Source'!B1000&lt;&gt;"",'Data Source'!S1000="F"),'Data Source'!B1000,"")</f>
        <v/>
      </c>
      <c r="C1000" s="3">
        <f>IF(AND('Data Source'!B1000&lt;&gt;"",'Data Source'!S1000="F"),IF('Data Source'!U1000&gt;=5,"A+",IF('Data Source'!U1000&gt;=4,"A",IF('Data Source'!U1000&gt;=3.5,"A-",IF('Data Source'!U1000&gt;=3,"B",IF('Data Source'!U1000&gt;=2,"C",IF('Data Source'!U1000&gt;=1,"D","F")))))),"")</f>
        <v/>
      </c>
      <c r="D1000" s="3">
        <f>IF(AND('Data Source'!B1000&lt;&gt;"",'Data Source'!S1000="F"),IF('Data Source'!V1000&gt;=5,"A+",IF('Data Source'!V1000&gt;=4,"A",IF('Data Source'!V1000&gt;=3.5,"A-",IF('Data Source'!V1000&gt;=3,"B",IF('Data Source'!V1000&gt;=2,"C",IF('Data Source'!V1000&gt;=1,"D","F")))))),"")</f>
        <v/>
      </c>
      <c r="E1000" s="3">
        <f>IF(AND('Data Source'!B1000&lt;&gt;"",'Data Source'!S1000="F"),IF('Data Source'!W1000&gt;=5,"A+",IF('Data Source'!W1000&gt;=4,"A",IF('Data Source'!W1000&gt;=3.5,"A-",IF('Data Source'!W1000&gt;=3,"B",IF('Data Source'!W1000&gt;=2,"C",IF('Data Source'!W1000&gt;=1,"D","F")))))),"")</f>
        <v/>
      </c>
      <c r="F1000" s="3">
        <f>IF(AND('Data Source'!B1000&lt;&gt;"",'Data Source'!S1000="F"),IF('Data Source'!X1000&gt;=5,"A+",IF('Data Source'!X1000&gt;=4,"A",IF('Data Source'!X1000&gt;=3.5,"A-",IF('Data Source'!X1000&gt;=3,"B",IF('Data Source'!X1000&gt;=2,"C",IF('Data Source'!X1000&gt;=1,"D","F")))))),"")</f>
        <v/>
      </c>
      <c r="G1000" s="3">
        <f>IF(AND('Data Source'!B1000&lt;&gt;"",'Data Source'!S1000="F"),IF('Data Source'!Y1000&gt;=5,"A+",IF('Data Source'!Y1000&gt;=4,"A",IF('Data Source'!Y1000&gt;=3.5,"A-",IF('Data Source'!Y1000&gt;=3,"B",IF('Data Source'!Y1000&gt;=2,"C",IF('Data Source'!Y1000&gt;=1,"D","F")))))),"")</f>
        <v/>
      </c>
      <c r="H1000" s="3">
        <f>IF(AND('Data Source'!B1000&lt;&gt;"",'Data Source'!S1000="F"),IF('Data Source'!Z1000&gt;=5,"A+",IF('Data Source'!Z1000&gt;=4,"A",IF('Data Source'!Z1000&gt;=3.5,"A-",IF('Data Source'!Z1000&gt;=3,"B",IF('Data Source'!Z1000&gt;=2,"C",IF('Data Source'!Z1000&gt;=1,"D","F")))))),"")</f>
        <v/>
      </c>
      <c r="I1000" s="3">
        <f>IF(AND('Data Source'!B1000&lt;&gt;"",'Data Source'!S1000="F"),IF('Data Source'!AA1000&gt;=5,"A+",IF('Data Source'!AA1000&gt;=4,"A",IF('Data Source'!AA1000&gt;=3.5,"A-",IF('Data Source'!AA1000&gt;=3,"B",IF('Data Source'!AA1000&gt;=2,"C",IF('Data Source'!AA1000&gt;=1,"D","F")))))),"")</f>
        <v/>
      </c>
      <c r="J1000" s="3">
        <f>IF(AND('Data Source'!B1000&lt;&gt;"",'Data Source'!S1000="F"),IF('Data Source'!AB1000&gt;=5,"A+",IF('Data Source'!AB1000&gt;=4,"A",IF('Data Source'!AB1000&gt;=3.5,"A-",IF('Data Source'!AB1000&gt;=3,"B",IF('Data Source'!AB1000&gt;=2,"C",IF('Data Source'!AB1000&gt;=1,"D","F")))))),"")</f>
        <v/>
      </c>
      <c r="K1000" s="3">
        <f>IF(AND('Data Source'!B1000&lt;&gt;"",'Data Source'!S1000="F"),IF('Data Source'!AC1000&gt;=5,"A+",IF('Data Source'!AC1000&gt;=4,"A",IF('Data Source'!AC1000&gt;=3.5,"A-",IF('Data Source'!AC1000&gt;=3,"B",IF('Data Source'!AC1000&gt;=2,"C",IF('Data Source'!AC1000&gt;=1,"D","F")))))),"")</f>
        <v/>
      </c>
      <c r="L1000" s="3">
        <f>IF(AND('Data Source'!B1000&lt;&gt;"",'Data Source'!S1000="F"),IF('Data Source'!AD1000&gt;=5,"A+",IF('Data Source'!AD1000&gt;=4,"A",IF('Data Source'!AD1000&gt;=3.5,"A-",IF('Data Source'!AD1000&gt;=3,"B",IF('Data Source'!AD1000&gt;=2,"C",IF('Data Source'!AD1000&gt;=1,"D","F")))))),"")</f>
        <v/>
      </c>
      <c r="M1000" s="3">
        <f>IF(AND('Data Source'!B1000&lt;&gt;"",'Data Source'!S1000="F"),IF('Data Source'!AE1000&gt;=5,"A+",IF('Data Source'!AE1000&gt;=4,"A",IF('Data Source'!AE1000&gt;=3.5,"A-",IF('Data Source'!AE1000&gt;=3,"B",IF('Data Source'!AE1000&gt;=2,"C",IF('Data Source'!AE1000&gt;=1,"D","F")))))),"")</f>
        <v/>
      </c>
      <c r="N1000" s="3">
        <f>IF(AND('Data Source'!B1000&lt;&gt;"",'Data Source'!S1000="F"),IF('Data Source'!AF1000&gt;=5,"A+",IF('Data Source'!AF1000&gt;=4,"A",IF('Data Source'!AF1000&gt;=3.5,"A-",IF('Data Source'!AF1000&gt;=3,"B",IF('Data Source'!AF1000&gt;=2,"C",IF('Data Source'!AF1000&gt;=1,"D","F")))))),"")</f>
        <v/>
      </c>
      <c r="O1000" s="3">
        <f>IF(AND('Data Source'!B1000&lt;&gt;"",'Data Source'!S1000="F"),IF('Data Source'!AG1000&gt;=5,"A+",IF('Data Source'!AG1000&gt;=4,"A",IF('Data Source'!AG1000&gt;=3.5,"A-",IF('Data Source'!AG1000&gt;=3,"B",IF('Data Source'!AG1000&gt;=2,"C",IF('Data Source'!AG1000&gt;=1,"D","F")))))),"")</f>
        <v/>
      </c>
      <c r="P1000" s="5">
        <f>IF(AND('Data Source'!B1000&lt;&gt;"",'Data Source'!S1000="F"),'Data Source'!R1000,"")</f>
        <v/>
      </c>
      <c r="Q1000" s="3">
        <f>IF(AND('Data Source'!B1000&lt;&gt;"",'Data Source'!S1000="F"),'Data Source'!S1000,"")</f>
        <v/>
      </c>
    </row>
    <row r="1001">
      <c r="A1001" s="3">
        <f>IF(AND('Data Source'!B1001&lt;&gt;"",'Data Source'!S1001="F"),COUNTIF('Data Source'!$S$3:S1001,"F"),"")</f>
        <v/>
      </c>
      <c r="B1001">
        <f>IF(AND('Data Source'!B1001&lt;&gt;"",'Data Source'!S1001="F"),'Data Source'!B1001,"")</f>
        <v/>
      </c>
      <c r="C1001" s="3">
        <f>IF(AND('Data Source'!B1001&lt;&gt;"",'Data Source'!S1001="F"),IF('Data Source'!U1001&gt;=5,"A+",IF('Data Source'!U1001&gt;=4,"A",IF('Data Source'!U1001&gt;=3.5,"A-",IF('Data Source'!U1001&gt;=3,"B",IF('Data Source'!U1001&gt;=2,"C",IF('Data Source'!U1001&gt;=1,"D","F")))))),"")</f>
        <v/>
      </c>
      <c r="D1001" s="3">
        <f>IF(AND('Data Source'!B1001&lt;&gt;"",'Data Source'!S1001="F"),IF('Data Source'!V1001&gt;=5,"A+",IF('Data Source'!V1001&gt;=4,"A",IF('Data Source'!V1001&gt;=3.5,"A-",IF('Data Source'!V1001&gt;=3,"B",IF('Data Source'!V1001&gt;=2,"C",IF('Data Source'!V1001&gt;=1,"D","F")))))),"")</f>
        <v/>
      </c>
      <c r="E1001" s="3">
        <f>IF(AND('Data Source'!B1001&lt;&gt;"",'Data Source'!S1001="F"),IF('Data Source'!W1001&gt;=5,"A+",IF('Data Source'!W1001&gt;=4,"A",IF('Data Source'!W1001&gt;=3.5,"A-",IF('Data Source'!W1001&gt;=3,"B",IF('Data Source'!W1001&gt;=2,"C",IF('Data Source'!W1001&gt;=1,"D","F")))))),"")</f>
        <v/>
      </c>
      <c r="F1001" s="3">
        <f>IF(AND('Data Source'!B1001&lt;&gt;"",'Data Source'!S1001="F"),IF('Data Source'!X1001&gt;=5,"A+",IF('Data Source'!X1001&gt;=4,"A",IF('Data Source'!X1001&gt;=3.5,"A-",IF('Data Source'!X1001&gt;=3,"B",IF('Data Source'!X1001&gt;=2,"C",IF('Data Source'!X1001&gt;=1,"D","F")))))),"")</f>
        <v/>
      </c>
      <c r="G1001" s="3">
        <f>IF(AND('Data Source'!B1001&lt;&gt;"",'Data Source'!S1001="F"),IF('Data Source'!Y1001&gt;=5,"A+",IF('Data Source'!Y1001&gt;=4,"A",IF('Data Source'!Y1001&gt;=3.5,"A-",IF('Data Source'!Y1001&gt;=3,"B",IF('Data Source'!Y1001&gt;=2,"C",IF('Data Source'!Y1001&gt;=1,"D","F")))))),"")</f>
        <v/>
      </c>
      <c r="H1001" s="3">
        <f>IF(AND('Data Source'!B1001&lt;&gt;"",'Data Source'!S1001="F"),IF('Data Source'!Z1001&gt;=5,"A+",IF('Data Source'!Z1001&gt;=4,"A",IF('Data Source'!Z1001&gt;=3.5,"A-",IF('Data Source'!Z1001&gt;=3,"B",IF('Data Source'!Z1001&gt;=2,"C",IF('Data Source'!Z1001&gt;=1,"D","F")))))),"")</f>
        <v/>
      </c>
      <c r="I1001" s="3">
        <f>IF(AND('Data Source'!B1001&lt;&gt;"",'Data Source'!S1001="F"),IF('Data Source'!AA1001&gt;=5,"A+",IF('Data Source'!AA1001&gt;=4,"A",IF('Data Source'!AA1001&gt;=3.5,"A-",IF('Data Source'!AA1001&gt;=3,"B",IF('Data Source'!AA1001&gt;=2,"C",IF('Data Source'!AA1001&gt;=1,"D","F")))))),"")</f>
        <v/>
      </c>
      <c r="J1001" s="3">
        <f>IF(AND('Data Source'!B1001&lt;&gt;"",'Data Source'!S1001="F"),IF('Data Source'!AB1001&gt;=5,"A+",IF('Data Source'!AB1001&gt;=4,"A",IF('Data Source'!AB1001&gt;=3.5,"A-",IF('Data Source'!AB1001&gt;=3,"B",IF('Data Source'!AB1001&gt;=2,"C",IF('Data Source'!AB1001&gt;=1,"D","F")))))),"")</f>
        <v/>
      </c>
      <c r="K1001" s="3">
        <f>IF(AND('Data Source'!B1001&lt;&gt;"",'Data Source'!S1001="F"),IF('Data Source'!AC1001&gt;=5,"A+",IF('Data Source'!AC1001&gt;=4,"A",IF('Data Source'!AC1001&gt;=3.5,"A-",IF('Data Source'!AC1001&gt;=3,"B",IF('Data Source'!AC1001&gt;=2,"C",IF('Data Source'!AC1001&gt;=1,"D","F")))))),"")</f>
        <v/>
      </c>
      <c r="L1001" s="3">
        <f>IF(AND('Data Source'!B1001&lt;&gt;"",'Data Source'!S1001="F"),IF('Data Source'!AD1001&gt;=5,"A+",IF('Data Source'!AD1001&gt;=4,"A",IF('Data Source'!AD1001&gt;=3.5,"A-",IF('Data Source'!AD1001&gt;=3,"B",IF('Data Source'!AD1001&gt;=2,"C",IF('Data Source'!AD1001&gt;=1,"D","F")))))),"")</f>
        <v/>
      </c>
      <c r="M1001" s="3">
        <f>IF(AND('Data Source'!B1001&lt;&gt;"",'Data Source'!S1001="F"),IF('Data Source'!AE1001&gt;=5,"A+",IF('Data Source'!AE1001&gt;=4,"A",IF('Data Source'!AE1001&gt;=3.5,"A-",IF('Data Source'!AE1001&gt;=3,"B",IF('Data Source'!AE1001&gt;=2,"C",IF('Data Source'!AE1001&gt;=1,"D","F")))))),"")</f>
        <v/>
      </c>
      <c r="N1001" s="3">
        <f>IF(AND('Data Source'!B1001&lt;&gt;"",'Data Source'!S1001="F"),IF('Data Source'!AF1001&gt;=5,"A+",IF('Data Source'!AF1001&gt;=4,"A",IF('Data Source'!AF1001&gt;=3.5,"A-",IF('Data Source'!AF1001&gt;=3,"B",IF('Data Source'!AF1001&gt;=2,"C",IF('Data Source'!AF1001&gt;=1,"D","F")))))),"")</f>
        <v/>
      </c>
      <c r="O1001" s="3">
        <f>IF(AND('Data Source'!B1001&lt;&gt;"",'Data Source'!S1001="F"),IF('Data Source'!AG1001&gt;=5,"A+",IF('Data Source'!AG1001&gt;=4,"A",IF('Data Source'!AG1001&gt;=3.5,"A-",IF('Data Source'!AG1001&gt;=3,"B",IF('Data Source'!AG1001&gt;=2,"C",IF('Data Source'!AG1001&gt;=1,"D","F")))))),"")</f>
        <v/>
      </c>
      <c r="P1001" s="5">
        <f>IF(AND('Data Source'!B1001&lt;&gt;"",'Data Source'!S1001="F"),'Data Source'!R1001,"")</f>
        <v/>
      </c>
      <c r="Q1001" s="3">
        <f>IF(AND('Data Source'!B1001&lt;&gt;"",'Data Source'!S1001="F"),'Data Source'!S1001,"")</f>
        <v/>
      </c>
    </row>
    <row r="1002">
      <c r="A1002" s="3">
        <f>IF(AND('Data Source'!B1002&lt;&gt;"",'Data Source'!S1002="F"),COUNTIF('Data Source'!$S$3:S1002,"F"),"")</f>
        <v/>
      </c>
      <c r="B1002">
        <f>IF(AND('Data Source'!B1002&lt;&gt;"",'Data Source'!S1002="F"),'Data Source'!B1002,"")</f>
        <v/>
      </c>
      <c r="C1002" s="3">
        <f>IF(AND('Data Source'!B1002&lt;&gt;"",'Data Source'!S1002="F"),IF('Data Source'!U1002&gt;=5,"A+",IF('Data Source'!U1002&gt;=4,"A",IF('Data Source'!U1002&gt;=3.5,"A-",IF('Data Source'!U1002&gt;=3,"B",IF('Data Source'!U1002&gt;=2,"C",IF('Data Source'!U1002&gt;=1,"D","F")))))),"")</f>
        <v/>
      </c>
      <c r="D1002" s="3">
        <f>IF(AND('Data Source'!B1002&lt;&gt;"",'Data Source'!S1002="F"),IF('Data Source'!V1002&gt;=5,"A+",IF('Data Source'!V1002&gt;=4,"A",IF('Data Source'!V1002&gt;=3.5,"A-",IF('Data Source'!V1002&gt;=3,"B",IF('Data Source'!V1002&gt;=2,"C",IF('Data Source'!V1002&gt;=1,"D","F")))))),"")</f>
        <v/>
      </c>
      <c r="E1002" s="3">
        <f>IF(AND('Data Source'!B1002&lt;&gt;"",'Data Source'!S1002="F"),IF('Data Source'!W1002&gt;=5,"A+",IF('Data Source'!W1002&gt;=4,"A",IF('Data Source'!W1002&gt;=3.5,"A-",IF('Data Source'!W1002&gt;=3,"B",IF('Data Source'!W1002&gt;=2,"C",IF('Data Source'!W1002&gt;=1,"D","F")))))),"")</f>
        <v/>
      </c>
      <c r="F1002" s="3">
        <f>IF(AND('Data Source'!B1002&lt;&gt;"",'Data Source'!S1002="F"),IF('Data Source'!X1002&gt;=5,"A+",IF('Data Source'!X1002&gt;=4,"A",IF('Data Source'!X1002&gt;=3.5,"A-",IF('Data Source'!X1002&gt;=3,"B",IF('Data Source'!X1002&gt;=2,"C",IF('Data Source'!X1002&gt;=1,"D","F")))))),"")</f>
        <v/>
      </c>
      <c r="G1002" s="3">
        <f>IF(AND('Data Source'!B1002&lt;&gt;"",'Data Source'!S1002="F"),IF('Data Source'!Y1002&gt;=5,"A+",IF('Data Source'!Y1002&gt;=4,"A",IF('Data Source'!Y1002&gt;=3.5,"A-",IF('Data Source'!Y1002&gt;=3,"B",IF('Data Source'!Y1002&gt;=2,"C",IF('Data Source'!Y1002&gt;=1,"D","F")))))),"")</f>
        <v/>
      </c>
      <c r="H1002" s="3">
        <f>IF(AND('Data Source'!B1002&lt;&gt;"",'Data Source'!S1002="F"),IF('Data Source'!Z1002&gt;=5,"A+",IF('Data Source'!Z1002&gt;=4,"A",IF('Data Source'!Z1002&gt;=3.5,"A-",IF('Data Source'!Z1002&gt;=3,"B",IF('Data Source'!Z1002&gt;=2,"C",IF('Data Source'!Z1002&gt;=1,"D","F")))))),"")</f>
        <v/>
      </c>
      <c r="I1002" s="3">
        <f>IF(AND('Data Source'!B1002&lt;&gt;"",'Data Source'!S1002="F"),IF('Data Source'!AA1002&gt;=5,"A+",IF('Data Source'!AA1002&gt;=4,"A",IF('Data Source'!AA1002&gt;=3.5,"A-",IF('Data Source'!AA1002&gt;=3,"B",IF('Data Source'!AA1002&gt;=2,"C",IF('Data Source'!AA1002&gt;=1,"D","F")))))),"")</f>
        <v/>
      </c>
      <c r="J1002" s="3">
        <f>IF(AND('Data Source'!B1002&lt;&gt;"",'Data Source'!S1002="F"),IF('Data Source'!AB1002&gt;=5,"A+",IF('Data Source'!AB1002&gt;=4,"A",IF('Data Source'!AB1002&gt;=3.5,"A-",IF('Data Source'!AB1002&gt;=3,"B",IF('Data Source'!AB1002&gt;=2,"C",IF('Data Source'!AB1002&gt;=1,"D","F")))))),"")</f>
        <v/>
      </c>
      <c r="K1002" s="3">
        <f>IF(AND('Data Source'!B1002&lt;&gt;"",'Data Source'!S1002="F"),IF('Data Source'!AC1002&gt;=5,"A+",IF('Data Source'!AC1002&gt;=4,"A",IF('Data Source'!AC1002&gt;=3.5,"A-",IF('Data Source'!AC1002&gt;=3,"B",IF('Data Source'!AC1002&gt;=2,"C",IF('Data Source'!AC1002&gt;=1,"D","F")))))),"")</f>
        <v/>
      </c>
      <c r="L1002" s="3">
        <f>IF(AND('Data Source'!B1002&lt;&gt;"",'Data Source'!S1002="F"),IF('Data Source'!AD1002&gt;=5,"A+",IF('Data Source'!AD1002&gt;=4,"A",IF('Data Source'!AD1002&gt;=3.5,"A-",IF('Data Source'!AD1002&gt;=3,"B",IF('Data Source'!AD1002&gt;=2,"C",IF('Data Source'!AD1002&gt;=1,"D","F")))))),"")</f>
        <v/>
      </c>
      <c r="M1002" s="3">
        <f>IF(AND('Data Source'!B1002&lt;&gt;"",'Data Source'!S1002="F"),IF('Data Source'!AE1002&gt;=5,"A+",IF('Data Source'!AE1002&gt;=4,"A",IF('Data Source'!AE1002&gt;=3.5,"A-",IF('Data Source'!AE1002&gt;=3,"B",IF('Data Source'!AE1002&gt;=2,"C",IF('Data Source'!AE1002&gt;=1,"D","F")))))),"")</f>
        <v/>
      </c>
      <c r="N1002" s="3">
        <f>IF(AND('Data Source'!B1002&lt;&gt;"",'Data Source'!S1002="F"),IF('Data Source'!AF1002&gt;=5,"A+",IF('Data Source'!AF1002&gt;=4,"A",IF('Data Source'!AF1002&gt;=3.5,"A-",IF('Data Source'!AF1002&gt;=3,"B",IF('Data Source'!AF1002&gt;=2,"C",IF('Data Source'!AF1002&gt;=1,"D","F")))))),"")</f>
        <v/>
      </c>
      <c r="O1002" s="3">
        <f>IF(AND('Data Source'!B1002&lt;&gt;"",'Data Source'!S1002="F"),IF('Data Source'!AG1002&gt;=5,"A+",IF('Data Source'!AG1002&gt;=4,"A",IF('Data Source'!AG1002&gt;=3.5,"A-",IF('Data Source'!AG1002&gt;=3,"B",IF('Data Source'!AG1002&gt;=2,"C",IF('Data Source'!AG1002&gt;=1,"D","F")))))),"")</f>
        <v/>
      </c>
      <c r="P1002" s="5">
        <f>IF(AND('Data Source'!B1002&lt;&gt;"",'Data Source'!S1002="F"),'Data Source'!R1002,"")</f>
        <v/>
      </c>
      <c r="Q1002" s="3">
        <f>IF(AND('Data Source'!B1002&lt;&gt;"",'Data Source'!S1002="F"),'Data Source'!S1002,"")</f>
        <v/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 ht="30" customHeight="1">
      <c r="A1" s="11" t="inlineStr">
        <is>
          <t>STUDENTS WITH GRADE A+</t>
        </is>
      </c>
    </row>
    <row r="2">
      <c r="A2" s="2" t="inlineStr">
        <is>
          <t>SL</t>
        </is>
      </c>
      <c r="B2" s="2" t="inlineStr">
        <is>
          <t>Name</t>
        </is>
      </c>
      <c r="C2" s="2" t="inlineStr">
        <is>
          <t>Quran</t>
        </is>
      </c>
      <c r="D2" s="2" t="inlineStr">
        <is>
          <t>English I</t>
        </is>
      </c>
      <c r="E2" s="2" t="inlineStr">
        <is>
          <t>English II</t>
        </is>
      </c>
      <c r="F2" s="2" t="inlineStr">
        <is>
          <t>Bangla I</t>
        </is>
      </c>
      <c r="G2" s="2" t="inlineStr">
        <is>
          <t>Bangla II</t>
        </is>
      </c>
      <c r="H2" s="2" t="inlineStr">
        <is>
          <t>Science</t>
        </is>
      </c>
      <c r="I2" s="2" t="inlineStr">
        <is>
          <t>Mathematics</t>
        </is>
      </c>
      <c r="J2" s="2" t="inlineStr">
        <is>
          <t>General Knowledge</t>
        </is>
      </c>
      <c r="K2" s="2" t="inlineStr">
        <is>
          <t>Arabic I</t>
        </is>
      </c>
      <c r="L2" s="2" t="inlineStr">
        <is>
          <t>Arabic II</t>
        </is>
      </c>
      <c r="M2" s="2" t="inlineStr">
        <is>
          <t>Aqaid</t>
        </is>
      </c>
      <c r="N2" s="2" t="inlineStr">
        <is>
          <t>ICT</t>
        </is>
      </c>
      <c r="O2" s="2" t="inlineStr">
        <is>
          <t>Bangladesh and Global Studies</t>
        </is>
      </c>
      <c r="P2" s="2" t="inlineStr">
        <is>
          <t>Overall GPA</t>
        </is>
      </c>
      <c r="Q2" s="2" t="inlineStr">
        <is>
          <t>Grade</t>
        </is>
      </c>
    </row>
    <row r="3">
      <c r="A3" s="3">
        <f>IF(AND('Data Source'!B3&lt;&gt;"",'Data Source'!S3="A+"),COUNTIF('Data Source'!$S$3:S3,"A+"),"")</f>
        <v/>
      </c>
      <c r="B3">
        <f>IF(AND('Data Source'!B3&lt;&gt;"",'Data Source'!S3="A+"),'Data Source'!B3,"")</f>
        <v/>
      </c>
      <c r="C3" s="3">
        <f>IF(AND('Data Source'!B3&lt;&gt;"",'Data Source'!S3="A+"),IF('Data Source'!U3&gt;=5,"A+",IF('Data Source'!U3&gt;=4,"A",IF('Data Source'!U3&gt;=3.5,"A-",IF('Data Source'!U3&gt;=3,"B",IF('Data Source'!U3&gt;=2,"C",IF('Data Source'!U3&gt;=1,"D","F")))))),"")</f>
        <v/>
      </c>
      <c r="D3" s="3">
        <f>IF(AND('Data Source'!B3&lt;&gt;"",'Data Source'!S3="A+"),IF('Data Source'!V3&gt;=5,"A+",IF('Data Source'!V3&gt;=4,"A",IF('Data Source'!V3&gt;=3.5,"A-",IF('Data Source'!V3&gt;=3,"B",IF('Data Source'!V3&gt;=2,"C",IF('Data Source'!V3&gt;=1,"D","F")))))),"")</f>
        <v/>
      </c>
      <c r="E3" s="3">
        <f>IF(AND('Data Source'!B3&lt;&gt;"",'Data Source'!S3="A+"),IF('Data Source'!W3&gt;=5,"A+",IF('Data Source'!W3&gt;=4,"A",IF('Data Source'!W3&gt;=3.5,"A-",IF('Data Source'!W3&gt;=3,"B",IF('Data Source'!W3&gt;=2,"C",IF('Data Source'!W3&gt;=1,"D","F")))))),"")</f>
        <v/>
      </c>
      <c r="F3" s="3">
        <f>IF(AND('Data Source'!B3&lt;&gt;"",'Data Source'!S3="A+"),IF('Data Source'!X3&gt;=5,"A+",IF('Data Source'!X3&gt;=4,"A",IF('Data Source'!X3&gt;=3.5,"A-",IF('Data Source'!X3&gt;=3,"B",IF('Data Source'!X3&gt;=2,"C",IF('Data Source'!X3&gt;=1,"D","F")))))),"")</f>
        <v/>
      </c>
      <c r="G3" s="3">
        <f>IF(AND('Data Source'!B3&lt;&gt;"",'Data Source'!S3="A+"),IF('Data Source'!Y3&gt;=5,"A+",IF('Data Source'!Y3&gt;=4,"A",IF('Data Source'!Y3&gt;=3.5,"A-",IF('Data Source'!Y3&gt;=3,"B",IF('Data Source'!Y3&gt;=2,"C",IF('Data Source'!Y3&gt;=1,"D","F")))))),"")</f>
        <v/>
      </c>
      <c r="H3" s="3">
        <f>IF(AND('Data Source'!B3&lt;&gt;"",'Data Source'!S3="A+"),IF('Data Source'!Z3&gt;=5,"A+",IF('Data Source'!Z3&gt;=4,"A",IF('Data Source'!Z3&gt;=3.5,"A-",IF('Data Source'!Z3&gt;=3,"B",IF('Data Source'!Z3&gt;=2,"C",IF('Data Source'!Z3&gt;=1,"D","F")))))),"")</f>
        <v/>
      </c>
      <c r="I3" s="3">
        <f>IF(AND('Data Source'!B3&lt;&gt;"",'Data Source'!S3="A+"),IF('Data Source'!AA3&gt;=5,"A+",IF('Data Source'!AA3&gt;=4,"A",IF('Data Source'!AA3&gt;=3.5,"A-",IF('Data Source'!AA3&gt;=3,"B",IF('Data Source'!AA3&gt;=2,"C",IF('Data Source'!AA3&gt;=1,"D","F")))))),"")</f>
        <v/>
      </c>
      <c r="J3" s="3">
        <f>IF(AND('Data Source'!B3&lt;&gt;"",'Data Source'!S3="A+"),IF('Data Source'!AB3&gt;=5,"A+",IF('Data Source'!AB3&gt;=4,"A",IF('Data Source'!AB3&gt;=3.5,"A-",IF('Data Source'!AB3&gt;=3,"B",IF('Data Source'!AB3&gt;=2,"C",IF('Data Source'!AB3&gt;=1,"D","F")))))),"")</f>
        <v/>
      </c>
      <c r="K3" s="3">
        <f>IF(AND('Data Source'!B3&lt;&gt;"",'Data Source'!S3="A+"),IF('Data Source'!AC3&gt;=5,"A+",IF('Data Source'!AC3&gt;=4,"A",IF('Data Source'!AC3&gt;=3.5,"A-",IF('Data Source'!AC3&gt;=3,"B",IF('Data Source'!AC3&gt;=2,"C",IF('Data Source'!AC3&gt;=1,"D","F")))))),"")</f>
        <v/>
      </c>
      <c r="L3" s="3">
        <f>IF(AND('Data Source'!B3&lt;&gt;"",'Data Source'!S3="A+"),IF('Data Source'!AD3&gt;=5,"A+",IF('Data Source'!AD3&gt;=4,"A",IF('Data Source'!AD3&gt;=3.5,"A-",IF('Data Source'!AD3&gt;=3,"B",IF('Data Source'!AD3&gt;=2,"C",IF('Data Source'!AD3&gt;=1,"D","F")))))),"")</f>
        <v/>
      </c>
      <c r="M3" s="3">
        <f>IF(AND('Data Source'!B3&lt;&gt;"",'Data Source'!S3="A+"),IF('Data Source'!AE3&gt;=5,"A+",IF('Data Source'!AE3&gt;=4,"A",IF('Data Source'!AE3&gt;=3.5,"A-",IF('Data Source'!AE3&gt;=3,"B",IF('Data Source'!AE3&gt;=2,"C",IF('Data Source'!AE3&gt;=1,"D","F")))))),"")</f>
        <v/>
      </c>
      <c r="N3" s="3">
        <f>IF(AND('Data Source'!B3&lt;&gt;"",'Data Source'!S3="A+"),IF('Data Source'!AF3&gt;=5,"A+",IF('Data Source'!AF3&gt;=4,"A",IF('Data Source'!AF3&gt;=3.5,"A-",IF('Data Source'!AF3&gt;=3,"B",IF('Data Source'!AF3&gt;=2,"C",IF('Data Source'!AF3&gt;=1,"D","F")))))),"")</f>
        <v/>
      </c>
      <c r="O3" s="3">
        <f>IF(AND('Data Source'!B3&lt;&gt;"",'Data Source'!S3="A+"),IF('Data Source'!AG3&gt;=5,"A+",IF('Data Source'!AG3&gt;=4,"A",IF('Data Source'!AG3&gt;=3.5,"A-",IF('Data Source'!AG3&gt;=3,"B",IF('Data Source'!AG3&gt;=2,"C",IF('Data Source'!AG3&gt;=1,"D","F")))))),"")</f>
        <v/>
      </c>
      <c r="P3" s="5">
        <f>IF(AND('Data Source'!B3&lt;&gt;"",'Data Source'!S3="A+"),'Data Source'!R3,"")</f>
        <v/>
      </c>
      <c r="Q3" s="3">
        <f>IF(AND('Data Source'!B3&lt;&gt;"",'Data Source'!S3="A+"),'Data Source'!S3,"")</f>
        <v/>
      </c>
    </row>
    <row r="4">
      <c r="A4" s="3">
        <f>IF(AND('Data Source'!B4&lt;&gt;"",'Data Source'!S4="A+"),COUNTIF('Data Source'!$S$3:S4,"A+"),"")</f>
        <v/>
      </c>
      <c r="B4">
        <f>IF(AND('Data Source'!B4&lt;&gt;"",'Data Source'!S4="A+"),'Data Source'!B4,"")</f>
        <v/>
      </c>
      <c r="C4" s="3">
        <f>IF(AND('Data Source'!B4&lt;&gt;"",'Data Source'!S4="A+"),IF('Data Source'!U4&gt;=5,"A+",IF('Data Source'!U4&gt;=4,"A",IF('Data Source'!U4&gt;=3.5,"A-",IF('Data Source'!U4&gt;=3,"B",IF('Data Source'!U4&gt;=2,"C",IF('Data Source'!U4&gt;=1,"D","F")))))),"")</f>
        <v/>
      </c>
      <c r="D4" s="3">
        <f>IF(AND('Data Source'!B4&lt;&gt;"",'Data Source'!S4="A+"),IF('Data Source'!V4&gt;=5,"A+",IF('Data Source'!V4&gt;=4,"A",IF('Data Source'!V4&gt;=3.5,"A-",IF('Data Source'!V4&gt;=3,"B",IF('Data Source'!V4&gt;=2,"C",IF('Data Source'!V4&gt;=1,"D","F")))))),"")</f>
        <v/>
      </c>
      <c r="E4" s="3">
        <f>IF(AND('Data Source'!B4&lt;&gt;"",'Data Source'!S4="A+"),IF('Data Source'!W4&gt;=5,"A+",IF('Data Source'!W4&gt;=4,"A",IF('Data Source'!W4&gt;=3.5,"A-",IF('Data Source'!W4&gt;=3,"B",IF('Data Source'!W4&gt;=2,"C",IF('Data Source'!W4&gt;=1,"D","F")))))),"")</f>
        <v/>
      </c>
      <c r="F4" s="3">
        <f>IF(AND('Data Source'!B4&lt;&gt;"",'Data Source'!S4="A+"),IF('Data Source'!X4&gt;=5,"A+",IF('Data Source'!X4&gt;=4,"A",IF('Data Source'!X4&gt;=3.5,"A-",IF('Data Source'!X4&gt;=3,"B",IF('Data Source'!X4&gt;=2,"C",IF('Data Source'!X4&gt;=1,"D","F")))))),"")</f>
        <v/>
      </c>
      <c r="G4" s="3">
        <f>IF(AND('Data Source'!B4&lt;&gt;"",'Data Source'!S4="A+"),IF('Data Source'!Y4&gt;=5,"A+",IF('Data Source'!Y4&gt;=4,"A",IF('Data Source'!Y4&gt;=3.5,"A-",IF('Data Source'!Y4&gt;=3,"B",IF('Data Source'!Y4&gt;=2,"C",IF('Data Source'!Y4&gt;=1,"D","F")))))),"")</f>
        <v/>
      </c>
      <c r="H4" s="3">
        <f>IF(AND('Data Source'!B4&lt;&gt;"",'Data Source'!S4="A+"),IF('Data Source'!Z4&gt;=5,"A+",IF('Data Source'!Z4&gt;=4,"A",IF('Data Source'!Z4&gt;=3.5,"A-",IF('Data Source'!Z4&gt;=3,"B",IF('Data Source'!Z4&gt;=2,"C",IF('Data Source'!Z4&gt;=1,"D","F")))))),"")</f>
        <v/>
      </c>
      <c r="I4" s="3">
        <f>IF(AND('Data Source'!B4&lt;&gt;"",'Data Source'!S4="A+"),IF('Data Source'!AA4&gt;=5,"A+",IF('Data Source'!AA4&gt;=4,"A",IF('Data Source'!AA4&gt;=3.5,"A-",IF('Data Source'!AA4&gt;=3,"B",IF('Data Source'!AA4&gt;=2,"C",IF('Data Source'!AA4&gt;=1,"D","F")))))),"")</f>
        <v/>
      </c>
      <c r="J4" s="3">
        <f>IF(AND('Data Source'!B4&lt;&gt;"",'Data Source'!S4="A+"),IF('Data Source'!AB4&gt;=5,"A+",IF('Data Source'!AB4&gt;=4,"A",IF('Data Source'!AB4&gt;=3.5,"A-",IF('Data Source'!AB4&gt;=3,"B",IF('Data Source'!AB4&gt;=2,"C",IF('Data Source'!AB4&gt;=1,"D","F")))))),"")</f>
        <v/>
      </c>
      <c r="K4" s="3">
        <f>IF(AND('Data Source'!B4&lt;&gt;"",'Data Source'!S4="A+"),IF('Data Source'!AC4&gt;=5,"A+",IF('Data Source'!AC4&gt;=4,"A",IF('Data Source'!AC4&gt;=3.5,"A-",IF('Data Source'!AC4&gt;=3,"B",IF('Data Source'!AC4&gt;=2,"C",IF('Data Source'!AC4&gt;=1,"D","F")))))),"")</f>
        <v/>
      </c>
      <c r="L4" s="3">
        <f>IF(AND('Data Source'!B4&lt;&gt;"",'Data Source'!S4="A+"),IF('Data Source'!AD4&gt;=5,"A+",IF('Data Source'!AD4&gt;=4,"A",IF('Data Source'!AD4&gt;=3.5,"A-",IF('Data Source'!AD4&gt;=3,"B",IF('Data Source'!AD4&gt;=2,"C",IF('Data Source'!AD4&gt;=1,"D","F")))))),"")</f>
        <v/>
      </c>
      <c r="M4" s="3">
        <f>IF(AND('Data Source'!B4&lt;&gt;"",'Data Source'!S4="A+"),IF('Data Source'!AE4&gt;=5,"A+",IF('Data Source'!AE4&gt;=4,"A",IF('Data Source'!AE4&gt;=3.5,"A-",IF('Data Source'!AE4&gt;=3,"B",IF('Data Source'!AE4&gt;=2,"C",IF('Data Source'!AE4&gt;=1,"D","F")))))),"")</f>
        <v/>
      </c>
      <c r="N4" s="3">
        <f>IF(AND('Data Source'!B4&lt;&gt;"",'Data Source'!S4="A+"),IF('Data Source'!AF4&gt;=5,"A+",IF('Data Source'!AF4&gt;=4,"A",IF('Data Source'!AF4&gt;=3.5,"A-",IF('Data Source'!AF4&gt;=3,"B",IF('Data Source'!AF4&gt;=2,"C",IF('Data Source'!AF4&gt;=1,"D","F")))))),"")</f>
        <v/>
      </c>
      <c r="O4" s="3">
        <f>IF(AND('Data Source'!B4&lt;&gt;"",'Data Source'!S4="A+"),IF('Data Source'!AG4&gt;=5,"A+",IF('Data Source'!AG4&gt;=4,"A",IF('Data Source'!AG4&gt;=3.5,"A-",IF('Data Source'!AG4&gt;=3,"B",IF('Data Source'!AG4&gt;=2,"C",IF('Data Source'!AG4&gt;=1,"D","F")))))),"")</f>
        <v/>
      </c>
      <c r="P4" s="5">
        <f>IF(AND('Data Source'!B4&lt;&gt;"",'Data Source'!S4="A+"),'Data Source'!R4,"")</f>
        <v/>
      </c>
      <c r="Q4" s="3">
        <f>IF(AND('Data Source'!B4&lt;&gt;"",'Data Source'!S4="A+"),'Data Source'!S4,"")</f>
        <v/>
      </c>
    </row>
    <row r="5">
      <c r="A5" s="3">
        <f>IF(AND('Data Source'!B5&lt;&gt;"",'Data Source'!S5="A+"),COUNTIF('Data Source'!$S$3:S5,"A+"),"")</f>
        <v/>
      </c>
      <c r="B5">
        <f>IF(AND('Data Source'!B5&lt;&gt;"",'Data Source'!S5="A+"),'Data Source'!B5,"")</f>
        <v/>
      </c>
      <c r="C5" s="3">
        <f>IF(AND('Data Source'!B5&lt;&gt;"",'Data Source'!S5="A+"),IF('Data Source'!U5&gt;=5,"A+",IF('Data Source'!U5&gt;=4,"A",IF('Data Source'!U5&gt;=3.5,"A-",IF('Data Source'!U5&gt;=3,"B",IF('Data Source'!U5&gt;=2,"C",IF('Data Source'!U5&gt;=1,"D","F")))))),"")</f>
        <v/>
      </c>
      <c r="D5" s="3">
        <f>IF(AND('Data Source'!B5&lt;&gt;"",'Data Source'!S5="A+"),IF('Data Source'!V5&gt;=5,"A+",IF('Data Source'!V5&gt;=4,"A",IF('Data Source'!V5&gt;=3.5,"A-",IF('Data Source'!V5&gt;=3,"B",IF('Data Source'!V5&gt;=2,"C",IF('Data Source'!V5&gt;=1,"D","F")))))),"")</f>
        <v/>
      </c>
      <c r="E5" s="3">
        <f>IF(AND('Data Source'!B5&lt;&gt;"",'Data Source'!S5="A+"),IF('Data Source'!W5&gt;=5,"A+",IF('Data Source'!W5&gt;=4,"A",IF('Data Source'!W5&gt;=3.5,"A-",IF('Data Source'!W5&gt;=3,"B",IF('Data Source'!W5&gt;=2,"C",IF('Data Source'!W5&gt;=1,"D","F")))))),"")</f>
        <v/>
      </c>
      <c r="F5" s="3">
        <f>IF(AND('Data Source'!B5&lt;&gt;"",'Data Source'!S5="A+"),IF('Data Source'!X5&gt;=5,"A+",IF('Data Source'!X5&gt;=4,"A",IF('Data Source'!X5&gt;=3.5,"A-",IF('Data Source'!X5&gt;=3,"B",IF('Data Source'!X5&gt;=2,"C",IF('Data Source'!X5&gt;=1,"D","F")))))),"")</f>
        <v/>
      </c>
      <c r="G5" s="3">
        <f>IF(AND('Data Source'!B5&lt;&gt;"",'Data Source'!S5="A+"),IF('Data Source'!Y5&gt;=5,"A+",IF('Data Source'!Y5&gt;=4,"A",IF('Data Source'!Y5&gt;=3.5,"A-",IF('Data Source'!Y5&gt;=3,"B",IF('Data Source'!Y5&gt;=2,"C",IF('Data Source'!Y5&gt;=1,"D","F")))))),"")</f>
        <v/>
      </c>
      <c r="H5" s="3">
        <f>IF(AND('Data Source'!B5&lt;&gt;"",'Data Source'!S5="A+"),IF('Data Source'!Z5&gt;=5,"A+",IF('Data Source'!Z5&gt;=4,"A",IF('Data Source'!Z5&gt;=3.5,"A-",IF('Data Source'!Z5&gt;=3,"B",IF('Data Source'!Z5&gt;=2,"C",IF('Data Source'!Z5&gt;=1,"D","F")))))),"")</f>
        <v/>
      </c>
      <c r="I5" s="3">
        <f>IF(AND('Data Source'!B5&lt;&gt;"",'Data Source'!S5="A+"),IF('Data Source'!AA5&gt;=5,"A+",IF('Data Source'!AA5&gt;=4,"A",IF('Data Source'!AA5&gt;=3.5,"A-",IF('Data Source'!AA5&gt;=3,"B",IF('Data Source'!AA5&gt;=2,"C",IF('Data Source'!AA5&gt;=1,"D","F")))))),"")</f>
        <v/>
      </c>
      <c r="J5" s="3">
        <f>IF(AND('Data Source'!B5&lt;&gt;"",'Data Source'!S5="A+"),IF('Data Source'!AB5&gt;=5,"A+",IF('Data Source'!AB5&gt;=4,"A",IF('Data Source'!AB5&gt;=3.5,"A-",IF('Data Source'!AB5&gt;=3,"B",IF('Data Source'!AB5&gt;=2,"C",IF('Data Source'!AB5&gt;=1,"D","F")))))),"")</f>
        <v/>
      </c>
      <c r="K5" s="3">
        <f>IF(AND('Data Source'!B5&lt;&gt;"",'Data Source'!S5="A+"),IF('Data Source'!AC5&gt;=5,"A+",IF('Data Source'!AC5&gt;=4,"A",IF('Data Source'!AC5&gt;=3.5,"A-",IF('Data Source'!AC5&gt;=3,"B",IF('Data Source'!AC5&gt;=2,"C",IF('Data Source'!AC5&gt;=1,"D","F")))))),"")</f>
        <v/>
      </c>
      <c r="L5" s="3">
        <f>IF(AND('Data Source'!B5&lt;&gt;"",'Data Source'!S5="A+"),IF('Data Source'!AD5&gt;=5,"A+",IF('Data Source'!AD5&gt;=4,"A",IF('Data Source'!AD5&gt;=3.5,"A-",IF('Data Source'!AD5&gt;=3,"B",IF('Data Source'!AD5&gt;=2,"C",IF('Data Source'!AD5&gt;=1,"D","F")))))),"")</f>
        <v/>
      </c>
      <c r="M5" s="3">
        <f>IF(AND('Data Source'!B5&lt;&gt;"",'Data Source'!S5="A+"),IF('Data Source'!AE5&gt;=5,"A+",IF('Data Source'!AE5&gt;=4,"A",IF('Data Source'!AE5&gt;=3.5,"A-",IF('Data Source'!AE5&gt;=3,"B",IF('Data Source'!AE5&gt;=2,"C",IF('Data Source'!AE5&gt;=1,"D","F")))))),"")</f>
        <v/>
      </c>
      <c r="N5" s="3">
        <f>IF(AND('Data Source'!B5&lt;&gt;"",'Data Source'!S5="A+"),IF('Data Source'!AF5&gt;=5,"A+",IF('Data Source'!AF5&gt;=4,"A",IF('Data Source'!AF5&gt;=3.5,"A-",IF('Data Source'!AF5&gt;=3,"B",IF('Data Source'!AF5&gt;=2,"C",IF('Data Source'!AF5&gt;=1,"D","F")))))),"")</f>
        <v/>
      </c>
      <c r="O5" s="3">
        <f>IF(AND('Data Source'!B5&lt;&gt;"",'Data Source'!S5="A+"),IF('Data Source'!AG5&gt;=5,"A+",IF('Data Source'!AG5&gt;=4,"A",IF('Data Source'!AG5&gt;=3.5,"A-",IF('Data Source'!AG5&gt;=3,"B",IF('Data Source'!AG5&gt;=2,"C",IF('Data Source'!AG5&gt;=1,"D","F")))))),"")</f>
        <v/>
      </c>
      <c r="P5" s="5">
        <f>IF(AND('Data Source'!B5&lt;&gt;"",'Data Source'!S5="A+"),'Data Source'!R5,"")</f>
        <v/>
      </c>
      <c r="Q5" s="3">
        <f>IF(AND('Data Source'!B5&lt;&gt;"",'Data Source'!S5="A+"),'Data Source'!S5,"")</f>
        <v/>
      </c>
    </row>
    <row r="6">
      <c r="A6" s="3">
        <f>IF(AND('Data Source'!B6&lt;&gt;"",'Data Source'!S6="A+"),COUNTIF('Data Source'!$S$3:S6,"A+"),"")</f>
        <v/>
      </c>
      <c r="B6">
        <f>IF(AND('Data Source'!B6&lt;&gt;"",'Data Source'!S6="A+"),'Data Source'!B6,"")</f>
        <v/>
      </c>
      <c r="C6" s="3">
        <f>IF(AND('Data Source'!B6&lt;&gt;"",'Data Source'!S6="A+"),IF('Data Source'!U6&gt;=5,"A+",IF('Data Source'!U6&gt;=4,"A",IF('Data Source'!U6&gt;=3.5,"A-",IF('Data Source'!U6&gt;=3,"B",IF('Data Source'!U6&gt;=2,"C",IF('Data Source'!U6&gt;=1,"D","F")))))),"")</f>
        <v/>
      </c>
      <c r="D6" s="3">
        <f>IF(AND('Data Source'!B6&lt;&gt;"",'Data Source'!S6="A+"),IF('Data Source'!V6&gt;=5,"A+",IF('Data Source'!V6&gt;=4,"A",IF('Data Source'!V6&gt;=3.5,"A-",IF('Data Source'!V6&gt;=3,"B",IF('Data Source'!V6&gt;=2,"C",IF('Data Source'!V6&gt;=1,"D","F")))))),"")</f>
        <v/>
      </c>
      <c r="E6" s="3">
        <f>IF(AND('Data Source'!B6&lt;&gt;"",'Data Source'!S6="A+"),IF('Data Source'!W6&gt;=5,"A+",IF('Data Source'!W6&gt;=4,"A",IF('Data Source'!W6&gt;=3.5,"A-",IF('Data Source'!W6&gt;=3,"B",IF('Data Source'!W6&gt;=2,"C",IF('Data Source'!W6&gt;=1,"D","F")))))),"")</f>
        <v/>
      </c>
      <c r="F6" s="3">
        <f>IF(AND('Data Source'!B6&lt;&gt;"",'Data Source'!S6="A+"),IF('Data Source'!X6&gt;=5,"A+",IF('Data Source'!X6&gt;=4,"A",IF('Data Source'!X6&gt;=3.5,"A-",IF('Data Source'!X6&gt;=3,"B",IF('Data Source'!X6&gt;=2,"C",IF('Data Source'!X6&gt;=1,"D","F")))))),"")</f>
        <v/>
      </c>
      <c r="G6" s="3">
        <f>IF(AND('Data Source'!B6&lt;&gt;"",'Data Source'!S6="A+"),IF('Data Source'!Y6&gt;=5,"A+",IF('Data Source'!Y6&gt;=4,"A",IF('Data Source'!Y6&gt;=3.5,"A-",IF('Data Source'!Y6&gt;=3,"B",IF('Data Source'!Y6&gt;=2,"C",IF('Data Source'!Y6&gt;=1,"D","F")))))),"")</f>
        <v/>
      </c>
      <c r="H6" s="3">
        <f>IF(AND('Data Source'!B6&lt;&gt;"",'Data Source'!S6="A+"),IF('Data Source'!Z6&gt;=5,"A+",IF('Data Source'!Z6&gt;=4,"A",IF('Data Source'!Z6&gt;=3.5,"A-",IF('Data Source'!Z6&gt;=3,"B",IF('Data Source'!Z6&gt;=2,"C",IF('Data Source'!Z6&gt;=1,"D","F")))))),"")</f>
        <v/>
      </c>
      <c r="I6" s="3">
        <f>IF(AND('Data Source'!B6&lt;&gt;"",'Data Source'!S6="A+"),IF('Data Source'!AA6&gt;=5,"A+",IF('Data Source'!AA6&gt;=4,"A",IF('Data Source'!AA6&gt;=3.5,"A-",IF('Data Source'!AA6&gt;=3,"B",IF('Data Source'!AA6&gt;=2,"C",IF('Data Source'!AA6&gt;=1,"D","F")))))),"")</f>
        <v/>
      </c>
      <c r="J6" s="3">
        <f>IF(AND('Data Source'!B6&lt;&gt;"",'Data Source'!S6="A+"),IF('Data Source'!AB6&gt;=5,"A+",IF('Data Source'!AB6&gt;=4,"A",IF('Data Source'!AB6&gt;=3.5,"A-",IF('Data Source'!AB6&gt;=3,"B",IF('Data Source'!AB6&gt;=2,"C",IF('Data Source'!AB6&gt;=1,"D","F")))))),"")</f>
        <v/>
      </c>
      <c r="K6" s="3">
        <f>IF(AND('Data Source'!B6&lt;&gt;"",'Data Source'!S6="A+"),IF('Data Source'!AC6&gt;=5,"A+",IF('Data Source'!AC6&gt;=4,"A",IF('Data Source'!AC6&gt;=3.5,"A-",IF('Data Source'!AC6&gt;=3,"B",IF('Data Source'!AC6&gt;=2,"C",IF('Data Source'!AC6&gt;=1,"D","F")))))),"")</f>
        <v/>
      </c>
      <c r="L6" s="3">
        <f>IF(AND('Data Source'!B6&lt;&gt;"",'Data Source'!S6="A+"),IF('Data Source'!AD6&gt;=5,"A+",IF('Data Source'!AD6&gt;=4,"A",IF('Data Source'!AD6&gt;=3.5,"A-",IF('Data Source'!AD6&gt;=3,"B",IF('Data Source'!AD6&gt;=2,"C",IF('Data Source'!AD6&gt;=1,"D","F")))))),"")</f>
        <v/>
      </c>
      <c r="M6" s="3">
        <f>IF(AND('Data Source'!B6&lt;&gt;"",'Data Source'!S6="A+"),IF('Data Source'!AE6&gt;=5,"A+",IF('Data Source'!AE6&gt;=4,"A",IF('Data Source'!AE6&gt;=3.5,"A-",IF('Data Source'!AE6&gt;=3,"B",IF('Data Source'!AE6&gt;=2,"C",IF('Data Source'!AE6&gt;=1,"D","F")))))),"")</f>
        <v/>
      </c>
      <c r="N6" s="3">
        <f>IF(AND('Data Source'!B6&lt;&gt;"",'Data Source'!S6="A+"),IF('Data Source'!AF6&gt;=5,"A+",IF('Data Source'!AF6&gt;=4,"A",IF('Data Source'!AF6&gt;=3.5,"A-",IF('Data Source'!AF6&gt;=3,"B",IF('Data Source'!AF6&gt;=2,"C",IF('Data Source'!AF6&gt;=1,"D","F")))))),"")</f>
        <v/>
      </c>
      <c r="O6" s="3">
        <f>IF(AND('Data Source'!B6&lt;&gt;"",'Data Source'!S6="A+"),IF('Data Source'!AG6&gt;=5,"A+",IF('Data Source'!AG6&gt;=4,"A",IF('Data Source'!AG6&gt;=3.5,"A-",IF('Data Source'!AG6&gt;=3,"B",IF('Data Source'!AG6&gt;=2,"C",IF('Data Source'!AG6&gt;=1,"D","F")))))),"")</f>
        <v/>
      </c>
      <c r="P6" s="5">
        <f>IF(AND('Data Source'!B6&lt;&gt;"",'Data Source'!S6="A+"),'Data Source'!R6,"")</f>
        <v/>
      </c>
      <c r="Q6" s="3">
        <f>IF(AND('Data Source'!B6&lt;&gt;"",'Data Source'!S6="A+"),'Data Source'!S6,"")</f>
        <v/>
      </c>
    </row>
    <row r="7">
      <c r="A7" s="3">
        <f>IF(AND('Data Source'!B7&lt;&gt;"",'Data Source'!S7="A+"),COUNTIF('Data Source'!$S$3:S7,"A+"),"")</f>
        <v/>
      </c>
      <c r="B7">
        <f>IF(AND('Data Source'!B7&lt;&gt;"",'Data Source'!S7="A+"),'Data Source'!B7,"")</f>
        <v/>
      </c>
      <c r="C7" s="3">
        <f>IF(AND('Data Source'!B7&lt;&gt;"",'Data Source'!S7="A+"),IF('Data Source'!U7&gt;=5,"A+",IF('Data Source'!U7&gt;=4,"A",IF('Data Source'!U7&gt;=3.5,"A-",IF('Data Source'!U7&gt;=3,"B",IF('Data Source'!U7&gt;=2,"C",IF('Data Source'!U7&gt;=1,"D","F")))))),"")</f>
        <v/>
      </c>
      <c r="D7" s="3">
        <f>IF(AND('Data Source'!B7&lt;&gt;"",'Data Source'!S7="A+"),IF('Data Source'!V7&gt;=5,"A+",IF('Data Source'!V7&gt;=4,"A",IF('Data Source'!V7&gt;=3.5,"A-",IF('Data Source'!V7&gt;=3,"B",IF('Data Source'!V7&gt;=2,"C",IF('Data Source'!V7&gt;=1,"D","F")))))),"")</f>
        <v/>
      </c>
      <c r="E7" s="3">
        <f>IF(AND('Data Source'!B7&lt;&gt;"",'Data Source'!S7="A+"),IF('Data Source'!W7&gt;=5,"A+",IF('Data Source'!W7&gt;=4,"A",IF('Data Source'!W7&gt;=3.5,"A-",IF('Data Source'!W7&gt;=3,"B",IF('Data Source'!W7&gt;=2,"C",IF('Data Source'!W7&gt;=1,"D","F")))))),"")</f>
        <v/>
      </c>
      <c r="F7" s="3">
        <f>IF(AND('Data Source'!B7&lt;&gt;"",'Data Source'!S7="A+"),IF('Data Source'!X7&gt;=5,"A+",IF('Data Source'!X7&gt;=4,"A",IF('Data Source'!X7&gt;=3.5,"A-",IF('Data Source'!X7&gt;=3,"B",IF('Data Source'!X7&gt;=2,"C",IF('Data Source'!X7&gt;=1,"D","F")))))),"")</f>
        <v/>
      </c>
      <c r="G7" s="3">
        <f>IF(AND('Data Source'!B7&lt;&gt;"",'Data Source'!S7="A+"),IF('Data Source'!Y7&gt;=5,"A+",IF('Data Source'!Y7&gt;=4,"A",IF('Data Source'!Y7&gt;=3.5,"A-",IF('Data Source'!Y7&gt;=3,"B",IF('Data Source'!Y7&gt;=2,"C",IF('Data Source'!Y7&gt;=1,"D","F")))))),"")</f>
        <v/>
      </c>
      <c r="H7" s="3">
        <f>IF(AND('Data Source'!B7&lt;&gt;"",'Data Source'!S7="A+"),IF('Data Source'!Z7&gt;=5,"A+",IF('Data Source'!Z7&gt;=4,"A",IF('Data Source'!Z7&gt;=3.5,"A-",IF('Data Source'!Z7&gt;=3,"B",IF('Data Source'!Z7&gt;=2,"C",IF('Data Source'!Z7&gt;=1,"D","F")))))),"")</f>
        <v/>
      </c>
      <c r="I7" s="3">
        <f>IF(AND('Data Source'!B7&lt;&gt;"",'Data Source'!S7="A+"),IF('Data Source'!AA7&gt;=5,"A+",IF('Data Source'!AA7&gt;=4,"A",IF('Data Source'!AA7&gt;=3.5,"A-",IF('Data Source'!AA7&gt;=3,"B",IF('Data Source'!AA7&gt;=2,"C",IF('Data Source'!AA7&gt;=1,"D","F")))))),"")</f>
        <v/>
      </c>
      <c r="J7" s="3">
        <f>IF(AND('Data Source'!B7&lt;&gt;"",'Data Source'!S7="A+"),IF('Data Source'!AB7&gt;=5,"A+",IF('Data Source'!AB7&gt;=4,"A",IF('Data Source'!AB7&gt;=3.5,"A-",IF('Data Source'!AB7&gt;=3,"B",IF('Data Source'!AB7&gt;=2,"C",IF('Data Source'!AB7&gt;=1,"D","F")))))),"")</f>
        <v/>
      </c>
      <c r="K7" s="3">
        <f>IF(AND('Data Source'!B7&lt;&gt;"",'Data Source'!S7="A+"),IF('Data Source'!AC7&gt;=5,"A+",IF('Data Source'!AC7&gt;=4,"A",IF('Data Source'!AC7&gt;=3.5,"A-",IF('Data Source'!AC7&gt;=3,"B",IF('Data Source'!AC7&gt;=2,"C",IF('Data Source'!AC7&gt;=1,"D","F")))))),"")</f>
        <v/>
      </c>
      <c r="L7" s="3">
        <f>IF(AND('Data Source'!B7&lt;&gt;"",'Data Source'!S7="A+"),IF('Data Source'!AD7&gt;=5,"A+",IF('Data Source'!AD7&gt;=4,"A",IF('Data Source'!AD7&gt;=3.5,"A-",IF('Data Source'!AD7&gt;=3,"B",IF('Data Source'!AD7&gt;=2,"C",IF('Data Source'!AD7&gt;=1,"D","F")))))),"")</f>
        <v/>
      </c>
      <c r="M7" s="3">
        <f>IF(AND('Data Source'!B7&lt;&gt;"",'Data Source'!S7="A+"),IF('Data Source'!AE7&gt;=5,"A+",IF('Data Source'!AE7&gt;=4,"A",IF('Data Source'!AE7&gt;=3.5,"A-",IF('Data Source'!AE7&gt;=3,"B",IF('Data Source'!AE7&gt;=2,"C",IF('Data Source'!AE7&gt;=1,"D","F")))))),"")</f>
        <v/>
      </c>
      <c r="N7" s="3">
        <f>IF(AND('Data Source'!B7&lt;&gt;"",'Data Source'!S7="A+"),IF('Data Source'!AF7&gt;=5,"A+",IF('Data Source'!AF7&gt;=4,"A",IF('Data Source'!AF7&gt;=3.5,"A-",IF('Data Source'!AF7&gt;=3,"B",IF('Data Source'!AF7&gt;=2,"C",IF('Data Source'!AF7&gt;=1,"D","F")))))),"")</f>
        <v/>
      </c>
      <c r="O7" s="3">
        <f>IF(AND('Data Source'!B7&lt;&gt;"",'Data Source'!S7="A+"),IF('Data Source'!AG7&gt;=5,"A+",IF('Data Source'!AG7&gt;=4,"A",IF('Data Source'!AG7&gt;=3.5,"A-",IF('Data Source'!AG7&gt;=3,"B",IF('Data Source'!AG7&gt;=2,"C",IF('Data Source'!AG7&gt;=1,"D","F")))))),"")</f>
        <v/>
      </c>
      <c r="P7" s="5">
        <f>IF(AND('Data Source'!B7&lt;&gt;"",'Data Source'!S7="A+"),'Data Source'!R7,"")</f>
        <v/>
      </c>
      <c r="Q7" s="3">
        <f>IF(AND('Data Source'!B7&lt;&gt;"",'Data Source'!S7="A+"),'Data Source'!S7,"")</f>
        <v/>
      </c>
    </row>
    <row r="8">
      <c r="A8" s="3">
        <f>IF(AND('Data Source'!B8&lt;&gt;"",'Data Source'!S8="A+"),COUNTIF('Data Source'!$S$3:S8,"A+"),"")</f>
        <v/>
      </c>
      <c r="B8">
        <f>IF(AND('Data Source'!B8&lt;&gt;"",'Data Source'!S8="A+"),'Data Source'!B8,"")</f>
        <v/>
      </c>
      <c r="C8" s="3">
        <f>IF(AND('Data Source'!B8&lt;&gt;"",'Data Source'!S8="A+"),IF('Data Source'!U8&gt;=5,"A+",IF('Data Source'!U8&gt;=4,"A",IF('Data Source'!U8&gt;=3.5,"A-",IF('Data Source'!U8&gt;=3,"B",IF('Data Source'!U8&gt;=2,"C",IF('Data Source'!U8&gt;=1,"D","F")))))),"")</f>
        <v/>
      </c>
      <c r="D8" s="3">
        <f>IF(AND('Data Source'!B8&lt;&gt;"",'Data Source'!S8="A+"),IF('Data Source'!V8&gt;=5,"A+",IF('Data Source'!V8&gt;=4,"A",IF('Data Source'!V8&gt;=3.5,"A-",IF('Data Source'!V8&gt;=3,"B",IF('Data Source'!V8&gt;=2,"C",IF('Data Source'!V8&gt;=1,"D","F")))))),"")</f>
        <v/>
      </c>
      <c r="E8" s="3">
        <f>IF(AND('Data Source'!B8&lt;&gt;"",'Data Source'!S8="A+"),IF('Data Source'!W8&gt;=5,"A+",IF('Data Source'!W8&gt;=4,"A",IF('Data Source'!W8&gt;=3.5,"A-",IF('Data Source'!W8&gt;=3,"B",IF('Data Source'!W8&gt;=2,"C",IF('Data Source'!W8&gt;=1,"D","F")))))),"")</f>
        <v/>
      </c>
      <c r="F8" s="3">
        <f>IF(AND('Data Source'!B8&lt;&gt;"",'Data Source'!S8="A+"),IF('Data Source'!X8&gt;=5,"A+",IF('Data Source'!X8&gt;=4,"A",IF('Data Source'!X8&gt;=3.5,"A-",IF('Data Source'!X8&gt;=3,"B",IF('Data Source'!X8&gt;=2,"C",IF('Data Source'!X8&gt;=1,"D","F")))))),"")</f>
        <v/>
      </c>
      <c r="G8" s="3">
        <f>IF(AND('Data Source'!B8&lt;&gt;"",'Data Source'!S8="A+"),IF('Data Source'!Y8&gt;=5,"A+",IF('Data Source'!Y8&gt;=4,"A",IF('Data Source'!Y8&gt;=3.5,"A-",IF('Data Source'!Y8&gt;=3,"B",IF('Data Source'!Y8&gt;=2,"C",IF('Data Source'!Y8&gt;=1,"D","F")))))),"")</f>
        <v/>
      </c>
      <c r="H8" s="3">
        <f>IF(AND('Data Source'!B8&lt;&gt;"",'Data Source'!S8="A+"),IF('Data Source'!Z8&gt;=5,"A+",IF('Data Source'!Z8&gt;=4,"A",IF('Data Source'!Z8&gt;=3.5,"A-",IF('Data Source'!Z8&gt;=3,"B",IF('Data Source'!Z8&gt;=2,"C",IF('Data Source'!Z8&gt;=1,"D","F")))))),"")</f>
        <v/>
      </c>
      <c r="I8" s="3">
        <f>IF(AND('Data Source'!B8&lt;&gt;"",'Data Source'!S8="A+"),IF('Data Source'!AA8&gt;=5,"A+",IF('Data Source'!AA8&gt;=4,"A",IF('Data Source'!AA8&gt;=3.5,"A-",IF('Data Source'!AA8&gt;=3,"B",IF('Data Source'!AA8&gt;=2,"C",IF('Data Source'!AA8&gt;=1,"D","F")))))),"")</f>
        <v/>
      </c>
      <c r="J8" s="3">
        <f>IF(AND('Data Source'!B8&lt;&gt;"",'Data Source'!S8="A+"),IF('Data Source'!AB8&gt;=5,"A+",IF('Data Source'!AB8&gt;=4,"A",IF('Data Source'!AB8&gt;=3.5,"A-",IF('Data Source'!AB8&gt;=3,"B",IF('Data Source'!AB8&gt;=2,"C",IF('Data Source'!AB8&gt;=1,"D","F")))))),"")</f>
        <v/>
      </c>
      <c r="K8" s="3">
        <f>IF(AND('Data Source'!B8&lt;&gt;"",'Data Source'!S8="A+"),IF('Data Source'!AC8&gt;=5,"A+",IF('Data Source'!AC8&gt;=4,"A",IF('Data Source'!AC8&gt;=3.5,"A-",IF('Data Source'!AC8&gt;=3,"B",IF('Data Source'!AC8&gt;=2,"C",IF('Data Source'!AC8&gt;=1,"D","F")))))),"")</f>
        <v/>
      </c>
      <c r="L8" s="3">
        <f>IF(AND('Data Source'!B8&lt;&gt;"",'Data Source'!S8="A+"),IF('Data Source'!AD8&gt;=5,"A+",IF('Data Source'!AD8&gt;=4,"A",IF('Data Source'!AD8&gt;=3.5,"A-",IF('Data Source'!AD8&gt;=3,"B",IF('Data Source'!AD8&gt;=2,"C",IF('Data Source'!AD8&gt;=1,"D","F")))))),"")</f>
        <v/>
      </c>
      <c r="M8" s="3">
        <f>IF(AND('Data Source'!B8&lt;&gt;"",'Data Source'!S8="A+"),IF('Data Source'!AE8&gt;=5,"A+",IF('Data Source'!AE8&gt;=4,"A",IF('Data Source'!AE8&gt;=3.5,"A-",IF('Data Source'!AE8&gt;=3,"B",IF('Data Source'!AE8&gt;=2,"C",IF('Data Source'!AE8&gt;=1,"D","F")))))),"")</f>
        <v/>
      </c>
      <c r="N8" s="3">
        <f>IF(AND('Data Source'!B8&lt;&gt;"",'Data Source'!S8="A+"),IF('Data Source'!AF8&gt;=5,"A+",IF('Data Source'!AF8&gt;=4,"A",IF('Data Source'!AF8&gt;=3.5,"A-",IF('Data Source'!AF8&gt;=3,"B",IF('Data Source'!AF8&gt;=2,"C",IF('Data Source'!AF8&gt;=1,"D","F")))))),"")</f>
        <v/>
      </c>
      <c r="O8" s="3">
        <f>IF(AND('Data Source'!B8&lt;&gt;"",'Data Source'!S8="A+"),IF('Data Source'!AG8&gt;=5,"A+",IF('Data Source'!AG8&gt;=4,"A",IF('Data Source'!AG8&gt;=3.5,"A-",IF('Data Source'!AG8&gt;=3,"B",IF('Data Source'!AG8&gt;=2,"C",IF('Data Source'!AG8&gt;=1,"D","F")))))),"")</f>
        <v/>
      </c>
      <c r="P8" s="5">
        <f>IF(AND('Data Source'!B8&lt;&gt;"",'Data Source'!S8="A+"),'Data Source'!R8,"")</f>
        <v/>
      </c>
      <c r="Q8" s="3">
        <f>IF(AND('Data Source'!B8&lt;&gt;"",'Data Source'!S8="A+"),'Data Source'!S8,"")</f>
        <v/>
      </c>
    </row>
    <row r="9">
      <c r="A9" s="3">
        <f>IF(AND('Data Source'!B9&lt;&gt;"",'Data Source'!S9="A+"),COUNTIF('Data Source'!$S$3:S9,"A+"),"")</f>
        <v/>
      </c>
      <c r="B9">
        <f>IF(AND('Data Source'!B9&lt;&gt;"",'Data Source'!S9="A+"),'Data Source'!B9,"")</f>
        <v/>
      </c>
      <c r="C9" s="3">
        <f>IF(AND('Data Source'!B9&lt;&gt;"",'Data Source'!S9="A+"),IF('Data Source'!U9&gt;=5,"A+",IF('Data Source'!U9&gt;=4,"A",IF('Data Source'!U9&gt;=3.5,"A-",IF('Data Source'!U9&gt;=3,"B",IF('Data Source'!U9&gt;=2,"C",IF('Data Source'!U9&gt;=1,"D","F")))))),"")</f>
        <v/>
      </c>
      <c r="D9" s="3">
        <f>IF(AND('Data Source'!B9&lt;&gt;"",'Data Source'!S9="A+"),IF('Data Source'!V9&gt;=5,"A+",IF('Data Source'!V9&gt;=4,"A",IF('Data Source'!V9&gt;=3.5,"A-",IF('Data Source'!V9&gt;=3,"B",IF('Data Source'!V9&gt;=2,"C",IF('Data Source'!V9&gt;=1,"D","F")))))),"")</f>
        <v/>
      </c>
      <c r="E9" s="3">
        <f>IF(AND('Data Source'!B9&lt;&gt;"",'Data Source'!S9="A+"),IF('Data Source'!W9&gt;=5,"A+",IF('Data Source'!W9&gt;=4,"A",IF('Data Source'!W9&gt;=3.5,"A-",IF('Data Source'!W9&gt;=3,"B",IF('Data Source'!W9&gt;=2,"C",IF('Data Source'!W9&gt;=1,"D","F")))))),"")</f>
        <v/>
      </c>
      <c r="F9" s="3">
        <f>IF(AND('Data Source'!B9&lt;&gt;"",'Data Source'!S9="A+"),IF('Data Source'!X9&gt;=5,"A+",IF('Data Source'!X9&gt;=4,"A",IF('Data Source'!X9&gt;=3.5,"A-",IF('Data Source'!X9&gt;=3,"B",IF('Data Source'!X9&gt;=2,"C",IF('Data Source'!X9&gt;=1,"D","F")))))),"")</f>
        <v/>
      </c>
      <c r="G9" s="3">
        <f>IF(AND('Data Source'!B9&lt;&gt;"",'Data Source'!S9="A+"),IF('Data Source'!Y9&gt;=5,"A+",IF('Data Source'!Y9&gt;=4,"A",IF('Data Source'!Y9&gt;=3.5,"A-",IF('Data Source'!Y9&gt;=3,"B",IF('Data Source'!Y9&gt;=2,"C",IF('Data Source'!Y9&gt;=1,"D","F")))))),"")</f>
        <v/>
      </c>
      <c r="H9" s="3">
        <f>IF(AND('Data Source'!B9&lt;&gt;"",'Data Source'!S9="A+"),IF('Data Source'!Z9&gt;=5,"A+",IF('Data Source'!Z9&gt;=4,"A",IF('Data Source'!Z9&gt;=3.5,"A-",IF('Data Source'!Z9&gt;=3,"B",IF('Data Source'!Z9&gt;=2,"C",IF('Data Source'!Z9&gt;=1,"D","F")))))),"")</f>
        <v/>
      </c>
      <c r="I9" s="3">
        <f>IF(AND('Data Source'!B9&lt;&gt;"",'Data Source'!S9="A+"),IF('Data Source'!AA9&gt;=5,"A+",IF('Data Source'!AA9&gt;=4,"A",IF('Data Source'!AA9&gt;=3.5,"A-",IF('Data Source'!AA9&gt;=3,"B",IF('Data Source'!AA9&gt;=2,"C",IF('Data Source'!AA9&gt;=1,"D","F")))))),"")</f>
        <v/>
      </c>
      <c r="J9" s="3">
        <f>IF(AND('Data Source'!B9&lt;&gt;"",'Data Source'!S9="A+"),IF('Data Source'!AB9&gt;=5,"A+",IF('Data Source'!AB9&gt;=4,"A",IF('Data Source'!AB9&gt;=3.5,"A-",IF('Data Source'!AB9&gt;=3,"B",IF('Data Source'!AB9&gt;=2,"C",IF('Data Source'!AB9&gt;=1,"D","F")))))),"")</f>
        <v/>
      </c>
      <c r="K9" s="3">
        <f>IF(AND('Data Source'!B9&lt;&gt;"",'Data Source'!S9="A+"),IF('Data Source'!AC9&gt;=5,"A+",IF('Data Source'!AC9&gt;=4,"A",IF('Data Source'!AC9&gt;=3.5,"A-",IF('Data Source'!AC9&gt;=3,"B",IF('Data Source'!AC9&gt;=2,"C",IF('Data Source'!AC9&gt;=1,"D","F")))))),"")</f>
        <v/>
      </c>
      <c r="L9" s="3">
        <f>IF(AND('Data Source'!B9&lt;&gt;"",'Data Source'!S9="A+"),IF('Data Source'!AD9&gt;=5,"A+",IF('Data Source'!AD9&gt;=4,"A",IF('Data Source'!AD9&gt;=3.5,"A-",IF('Data Source'!AD9&gt;=3,"B",IF('Data Source'!AD9&gt;=2,"C",IF('Data Source'!AD9&gt;=1,"D","F")))))),"")</f>
        <v/>
      </c>
      <c r="M9" s="3">
        <f>IF(AND('Data Source'!B9&lt;&gt;"",'Data Source'!S9="A+"),IF('Data Source'!AE9&gt;=5,"A+",IF('Data Source'!AE9&gt;=4,"A",IF('Data Source'!AE9&gt;=3.5,"A-",IF('Data Source'!AE9&gt;=3,"B",IF('Data Source'!AE9&gt;=2,"C",IF('Data Source'!AE9&gt;=1,"D","F")))))),"")</f>
        <v/>
      </c>
      <c r="N9" s="3">
        <f>IF(AND('Data Source'!B9&lt;&gt;"",'Data Source'!S9="A+"),IF('Data Source'!AF9&gt;=5,"A+",IF('Data Source'!AF9&gt;=4,"A",IF('Data Source'!AF9&gt;=3.5,"A-",IF('Data Source'!AF9&gt;=3,"B",IF('Data Source'!AF9&gt;=2,"C",IF('Data Source'!AF9&gt;=1,"D","F")))))),"")</f>
        <v/>
      </c>
      <c r="O9" s="3">
        <f>IF(AND('Data Source'!B9&lt;&gt;"",'Data Source'!S9="A+"),IF('Data Source'!AG9&gt;=5,"A+",IF('Data Source'!AG9&gt;=4,"A",IF('Data Source'!AG9&gt;=3.5,"A-",IF('Data Source'!AG9&gt;=3,"B",IF('Data Source'!AG9&gt;=2,"C",IF('Data Source'!AG9&gt;=1,"D","F")))))),"")</f>
        <v/>
      </c>
      <c r="P9" s="5">
        <f>IF(AND('Data Source'!B9&lt;&gt;"",'Data Source'!S9="A+"),'Data Source'!R9,"")</f>
        <v/>
      </c>
      <c r="Q9" s="3">
        <f>IF(AND('Data Source'!B9&lt;&gt;"",'Data Source'!S9="A+"),'Data Source'!S9,"")</f>
        <v/>
      </c>
    </row>
    <row r="10">
      <c r="A10" s="3">
        <f>IF(AND('Data Source'!B10&lt;&gt;"",'Data Source'!S10="A+"),COUNTIF('Data Source'!$S$3:S10,"A+"),"")</f>
        <v/>
      </c>
      <c r="B10">
        <f>IF(AND('Data Source'!B10&lt;&gt;"",'Data Source'!S10="A+"),'Data Source'!B10,"")</f>
        <v/>
      </c>
      <c r="C10" s="3">
        <f>IF(AND('Data Source'!B10&lt;&gt;"",'Data Source'!S10="A+"),IF('Data Source'!U10&gt;=5,"A+",IF('Data Source'!U10&gt;=4,"A",IF('Data Source'!U10&gt;=3.5,"A-",IF('Data Source'!U10&gt;=3,"B",IF('Data Source'!U10&gt;=2,"C",IF('Data Source'!U10&gt;=1,"D","F")))))),"")</f>
        <v/>
      </c>
      <c r="D10" s="3">
        <f>IF(AND('Data Source'!B10&lt;&gt;"",'Data Source'!S10="A+"),IF('Data Source'!V10&gt;=5,"A+",IF('Data Source'!V10&gt;=4,"A",IF('Data Source'!V10&gt;=3.5,"A-",IF('Data Source'!V10&gt;=3,"B",IF('Data Source'!V10&gt;=2,"C",IF('Data Source'!V10&gt;=1,"D","F")))))),"")</f>
        <v/>
      </c>
      <c r="E10" s="3">
        <f>IF(AND('Data Source'!B10&lt;&gt;"",'Data Source'!S10="A+"),IF('Data Source'!W10&gt;=5,"A+",IF('Data Source'!W10&gt;=4,"A",IF('Data Source'!W10&gt;=3.5,"A-",IF('Data Source'!W10&gt;=3,"B",IF('Data Source'!W10&gt;=2,"C",IF('Data Source'!W10&gt;=1,"D","F")))))),"")</f>
        <v/>
      </c>
      <c r="F10" s="3">
        <f>IF(AND('Data Source'!B10&lt;&gt;"",'Data Source'!S10="A+"),IF('Data Source'!X10&gt;=5,"A+",IF('Data Source'!X10&gt;=4,"A",IF('Data Source'!X10&gt;=3.5,"A-",IF('Data Source'!X10&gt;=3,"B",IF('Data Source'!X10&gt;=2,"C",IF('Data Source'!X10&gt;=1,"D","F")))))),"")</f>
        <v/>
      </c>
      <c r="G10" s="3">
        <f>IF(AND('Data Source'!B10&lt;&gt;"",'Data Source'!S10="A+"),IF('Data Source'!Y10&gt;=5,"A+",IF('Data Source'!Y10&gt;=4,"A",IF('Data Source'!Y10&gt;=3.5,"A-",IF('Data Source'!Y10&gt;=3,"B",IF('Data Source'!Y10&gt;=2,"C",IF('Data Source'!Y10&gt;=1,"D","F")))))),"")</f>
        <v/>
      </c>
      <c r="H10" s="3">
        <f>IF(AND('Data Source'!B10&lt;&gt;"",'Data Source'!S10="A+"),IF('Data Source'!Z10&gt;=5,"A+",IF('Data Source'!Z10&gt;=4,"A",IF('Data Source'!Z10&gt;=3.5,"A-",IF('Data Source'!Z10&gt;=3,"B",IF('Data Source'!Z10&gt;=2,"C",IF('Data Source'!Z10&gt;=1,"D","F")))))),"")</f>
        <v/>
      </c>
      <c r="I10" s="3">
        <f>IF(AND('Data Source'!B10&lt;&gt;"",'Data Source'!S10="A+"),IF('Data Source'!AA10&gt;=5,"A+",IF('Data Source'!AA10&gt;=4,"A",IF('Data Source'!AA10&gt;=3.5,"A-",IF('Data Source'!AA10&gt;=3,"B",IF('Data Source'!AA10&gt;=2,"C",IF('Data Source'!AA10&gt;=1,"D","F")))))),"")</f>
        <v/>
      </c>
      <c r="J10" s="3">
        <f>IF(AND('Data Source'!B10&lt;&gt;"",'Data Source'!S10="A+"),IF('Data Source'!AB10&gt;=5,"A+",IF('Data Source'!AB10&gt;=4,"A",IF('Data Source'!AB10&gt;=3.5,"A-",IF('Data Source'!AB10&gt;=3,"B",IF('Data Source'!AB10&gt;=2,"C",IF('Data Source'!AB10&gt;=1,"D","F")))))),"")</f>
        <v/>
      </c>
      <c r="K10" s="3">
        <f>IF(AND('Data Source'!B10&lt;&gt;"",'Data Source'!S10="A+"),IF('Data Source'!AC10&gt;=5,"A+",IF('Data Source'!AC10&gt;=4,"A",IF('Data Source'!AC10&gt;=3.5,"A-",IF('Data Source'!AC10&gt;=3,"B",IF('Data Source'!AC10&gt;=2,"C",IF('Data Source'!AC10&gt;=1,"D","F")))))),"")</f>
        <v/>
      </c>
      <c r="L10" s="3">
        <f>IF(AND('Data Source'!B10&lt;&gt;"",'Data Source'!S10="A+"),IF('Data Source'!AD10&gt;=5,"A+",IF('Data Source'!AD10&gt;=4,"A",IF('Data Source'!AD10&gt;=3.5,"A-",IF('Data Source'!AD10&gt;=3,"B",IF('Data Source'!AD10&gt;=2,"C",IF('Data Source'!AD10&gt;=1,"D","F")))))),"")</f>
        <v/>
      </c>
      <c r="M10" s="3">
        <f>IF(AND('Data Source'!B10&lt;&gt;"",'Data Source'!S10="A+"),IF('Data Source'!AE10&gt;=5,"A+",IF('Data Source'!AE10&gt;=4,"A",IF('Data Source'!AE10&gt;=3.5,"A-",IF('Data Source'!AE10&gt;=3,"B",IF('Data Source'!AE10&gt;=2,"C",IF('Data Source'!AE10&gt;=1,"D","F")))))),"")</f>
        <v/>
      </c>
      <c r="N10" s="3">
        <f>IF(AND('Data Source'!B10&lt;&gt;"",'Data Source'!S10="A+"),IF('Data Source'!AF10&gt;=5,"A+",IF('Data Source'!AF10&gt;=4,"A",IF('Data Source'!AF10&gt;=3.5,"A-",IF('Data Source'!AF10&gt;=3,"B",IF('Data Source'!AF10&gt;=2,"C",IF('Data Source'!AF10&gt;=1,"D","F")))))),"")</f>
        <v/>
      </c>
      <c r="O10" s="3">
        <f>IF(AND('Data Source'!B10&lt;&gt;"",'Data Source'!S10="A+"),IF('Data Source'!AG10&gt;=5,"A+",IF('Data Source'!AG10&gt;=4,"A",IF('Data Source'!AG10&gt;=3.5,"A-",IF('Data Source'!AG10&gt;=3,"B",IF('Data Source'!AG10&gt;=2,"C",IF('Data Source'!AG10&gt;=1,"D","F")))))),"")</f>
        <v/>
      </c>
      <c r="P10" s="5">
        <f>IF(AND('Data Source'!B10&lt;&gt;"",'Data Source'!S10="A+"),'Data Source'!R10,"")</f>
        <v/>
      </c>
      <c r="Q10" s="3">
        <f>IF(AND('Data Source'!B10&lt;&gt;"",'Data Source'!S10="A+"),'Data Source'!S10,"")</f>
        <v/>
      </c>
    </row>
    <row r="11">
      <c r="A11" s="3">
        <f>IF(AND('Data Source'!B11&lt;&gt;"",'Data Source'!S11="A+"),COUNTIF('Data Source'!$S$3:S11,"A+"),"")</f>
        <v/>
      </c>
      <c r="B11">
        <f>IF(AND('Data Source'!B11&lt;&gt;"",'Data Source'!S11="A+"),'Data Source'!B11,"")</f>
        <v/>
      </c>
      <c r="C11" s="3">
        <f>IF(AND('Data Source'!B11&lt;&gt;"",'Data Source'!S11="A+"),IF('Data Source'!U11&gt;=5,"A+",IF('Data Source'!U11&gt;=4,"A",IF('Data Source'!U11&gt;=3.5,"A-",IF('Data Source'!U11&gt;=3,"B",IF('Data Source'!U11&gt;=2,"C",IF('Data Source'!U11&gt;=1,"D","F")))))),"")</f>
        <v/>
      </c>
      <c r="D11" s="3">
        <f>IF(AND('Data Source'!B11&lt;&gt;"",'Data Source'!S11="A+"),IF('Data Source'!V11&gt;=5,"A+",IF('Data Source'!V11&gt;=4,"A",IF('Data Source'!V11&gt;=3.5,"A-",IF('Data Source'!V11&gt;=3,"B",IF('Data Source'!V11&gt;=2,"C",IF('Data Source'!V11&gt;=1,"D","F")))))),"")</f>
        <v/>
      </c>
      <c r="E11" s="3">
        <f>IF(AND('Data Source'!B11&lt;&gt;"",'Data Source'!S11="A+"),IF('Data Source'!W11&gt;=5,"A+",IF('Data Source'!W11&gt;=4,"A",IF('Data Source'!W11&gt;=3.5,"A-",IF('Data Source'!W11&gt;=3,"B",IF('Data Source'!W11&gt;=2,"C",IF('Data Source'!W11&gt;=1,"D","F")))))),"")</f>
        <v/>
      </c>
      <c r="F11" s="3">
        <f>IF(AND('Data Source'!B11&lt;&gt;"",'Data Source'!S11="A+"),IF('Data Source'!X11&gt;=5,"A+",IF('Data Source'!X11&gt;=4,"A",IF('Data Source'!X11&gt;=3.5,"A-",IF('Data Source'!X11&gt;=3,"B",IF('Data Source'!X11&gt;=2,"C",IF('Data Source'!X11&gt;=1,"D","F")))))),"")</f>
        <v/>
      </c>
      <c r="G11" s="3">
        <f>IF(AND('Data Source'!B11&lt;&gt;"",'Data Source'!S11="A+"),IF('Data Source'!Y11&gt;=5,"A+",IF('Data Source'!Y11&gt;=4,"A",IF('Data Source'!Y11&gt;=3.5,"A-",IF('Data Source'!Y11&gt;=3,"B",IF('Data Source'!Y11&gt;=2,"C",IF('Data Source'!Y11&gt;=1,"D","F")))))),"")</f>
        <v/>
      </c>
      <c r="H11" s="3">
        <f>IF(AND('Data Source'!B11&lt;&gt;"",'Data Source'!S11="A+"),IF('Data Source'!Z11&gt;=5,"A+",IF('Data Source'!Z11&gt;=4,"A",IF('Data Source'!Z11&gt;=3.5,"A-",IF('Data Source'!Z11&gt;=3,"B",IF('Data Source'!Z11&gt;=2,"C",IF('Data Source'!Z11&gt;=1,"D","F")))))),"")</f>
        <v/>
      </c>
      <c r="I11" s="3">
        <f>IF(AND('Data Source'!B11&lt;&gt;"",'Data Source'!S11="A+"),IF('Data Source'!AA11&gt;=5,"A+",IF('Data Source'!AA11&gt;=4,"A",IF('Data Source'!AA11&gt;=3.5,"A-",IF('Data Source'!AA11&gt;=3,"B",IF('Data Source'!AA11&gt;=2,"C",IF('Data Source'!AA11&gt;=1,"D","F")))))),"")</f>
        <v/>
      </c>
      <c r="J11" s="3">
        <f>IF(AND('Data Source'!B11&lt;&gt;"",'Data Source'!S11="A+"),IF('Data Source'!AB11&gt;=5,"A+",IF('Data Source'!AB11&gt;=4,"A",IF('Data Source'!AB11&gt;=3.5,"A-",IF('Data Source'!AB11&gt;=3,"B",IF('Data Source'!AB11&gt;=2,"C",IF('Data Source'!AB11&gt;=1,"D","F")))))),"")</f>
        <v/>
      </c>
      <c r="K11" s="3">
        <f>IF(AND('Data Source'!B11&lt;&gt;"",'Data Source'!S11="A+"),IF('Data Source'!AC11&gt;=5,"A+",IF('Data Source'!AC11&gt;=4,"A",IF('Data Source'!AC11&gt;=3.5,"A-",IF('Data Source'!AC11&gt;=3,"B",IF('Data Source'!AC11&gt;=2,"C",IF('Data Source'!AC11&gt;=1,"D","F")))))),"")</f>
        <v/>
      </c>
      <c r="L11" s="3">
        <f>IF(AND('Data Source'!B11&lt;&gt;"",'Data Source'!S11="A+"),IF('Data Source'!AD11&gt;=5,"A+",IF('Data Source'!AD11&gt;=4,"A",IF('Data Source'!AD11&gt;=3.5,"A-",IF('Data Source'!AD11&gt;=3,"B",IF('Data Source'!AD11&gt;=2,"C",IF('Data Source'!AD11&gt;=1,"D","F")))))),"")</f>
        <v/>
      </c>
      <c r="M11" s="3">
        <f>IF(AND('Data Source'!B11&lt;&gt;"",'Data Source'!S11="A+"),IF('Data Source'!AE11&gt;=5,"A+",IF('Data Source'!AE11&gt;=4,"A",IF('Data Source'!AE11&gt;=3.5,"A-",IF('Data Source'!AE11&gt;=3,"B",IF('Data Source'!AE11&gt;=2,"C",IF('Data Source'!AE11&gt;=1,"D","F")))))),"")</f>
        <v/>
      </c>
      <c r="N11" s="3">
        <f>IF(AND('Data Source'!B11&lt;&gt;"",'Data Source'!S11="A+"),IF('Data Source'!AF11&gt;=5,"A+",IF('Data Source'!AF11&gt;=4,"A",IF('Data Source'!AF11&gt;=3.5,"A-",IF('Data Source'!AF11&gt;=3,"B",IF('Data Source'!AF11&gt;=2,"C",IF('Data Source'!AF11&gt;=1,"D","F")))))),"")</f>
        <v/>
      </c>
      <c r="O11" s="3">
        <f>IF(AND('Data Source'!B11&lt;&gt;"",'Data Source'!S11="A+"),IF('Data Source'!AG11&gt;=5,"A+",IF('Data Source'!AG11&gt;=4,"A",IF('Data Source'!AG11&gt;=3.5,"A-",IF('Data Source'!AG11&gt;=3,"B",IF('Data Source'!AG11&gt;=2,"C",IF('Data Source'!AG11&gt;=1,"D","F")))))),"")</f>
        <v/>
      </c>
      <c r="P11" s="5">
        <f>IF(AND('Data Source'!B11&lt;&gt;"",'Data Source'!S11="A+"),'Data Source'!R11,"")</f>
        <v/>
      </c>
      <c r="Q11" s="3">
        <f>IF(AND('Data Source'!B11&lt;&gt;"",'Data Source'!S11="A+"),'Data Source'!S11,"")</f>
        <v/>
      </c>
    </row>
    <row r="12">
      <c r="A12" s="3">
        <f>IF(AND('Data Source'!B12&lt;&gt;"",'Data Source'!S12="A+"),COUNTIF('Data Source'!$S$3:S12,"A+"),"")</f>
        <v/>
      </c>
      <c r="B12">
        <f>IF(AND('Data Source'!B12&lt;&gt;"",'Data Source'!S12="A+"),'Data Source'!B12,"")</f>
        <v/>
      </c>
      <c r="C12" s="3">
        <f>IF(AND('Data Source'!B12&lt;&gt;"",'Data Source'!S12="A+"),IF('Data Source'!U12&gt;=5,"A+",IF('Data Source'!U12&gt;=4,"A",IF('Data Source'!U12&gt;=3.5,"A-",IF('Data Source'!U12&gt;=3,"B",IF('Data Source'!U12&gt;=2,"C",IF('Data Source'!U12&gt;=1,"D","F")))))),"")</f>
        <v/>
      </c>
      <c r="D12" s="3">
        <f>IF(AND('Data Source'!B12&lt;&gt;"",'Data Source'!S12="A+"),IF('Data Source'!V12&gt;=5,"A+",IF('Data Source'!V12&gt;=4,"A",IF('Data Source'!V12&gt;=3.5,"A-",IF('Data Source'!V12&gt;=3,"B",IF('Data Source'!V12&gt;=2,"C",IF('Data Source'!V12&gt;=1,"D","F")))))),"")</f>
        <v/>
      </c>
      <c r="E12" s="3">
        <f>IF(AND('Data Source'!B12&lt;&gt;"",'Data Source'!S12="A+"),IF('Data Source'!W12&gt;=5,"A+",IF('Data Source'!W12&gt;=4,"A",IF('Data Source'!W12&gt;=3.5,"A-",IF('Data Source'!W12&gt;=3,"B",IF('Data Source'!W12&gt;=2,"C",IF('Data Source'!W12&gt;=1,"D","F")))))),"")</f>
        <v/>
      </c>
      <c r="F12" s="3">
        <f>IF(AND('Data Source'!B12&lt;&gt;"",'Data Source'!S12="A+"),IF('Data Source'!X12&gt;=5,"A+",IF('Data Source'!X12&gt;=4,"A",IF('Data Source'!X12&gt;=3.5,"A-",IF('Data Source'!X12&gt;=3,"B",IF('Data Source'!X12&gt;=2,"C",IF('Data Source'!X12&gt;=1,"D","F")))))),"")</f>
        <v/>
      </c>
      <c r="G12" s="3">
        <f>IF(AND('Data Source'!B12&lt;&gt;"",'Data Source'!S12="A+"),IF('Data Source'!Y12&gt;=5,"A+",IF('Data Source'!Y12&gt;=4,"A",IF('Data Source'!Y12&gt;=3.5,"A-",IF('Data Source'!Y12&gt;=3,"B",IF('Data Source'!Y12&gt;=2,"C",IF('Data Source'!Y12&gt;=1,"D","F")))))),"")</f>
        <v/>
      </c>
      <c r="H12" s="3">
        <f>IF(AND('Data Source'!B12&lt;&gt;"",'Data Source'!S12="A+"),IF('Data Source'!Z12&gt;=5,"A+",IF('Data Source'!Z12&gt;=4,"A",IF('Data Source'!Z12&gt;=3.5,"A-",IF('Data Source'!Z12&gt;=3,"B",IF('Data Source'!Z12&gt;=2,"C",IF('Data Source'!Z12&gt;=1,"D","F")))))),"")</f>
        <v/>
      </c>
      <c r="I12" s="3">
        <f>IF(AND('Data Source'!B12&lt;&gt;"",'Data Source'!S12="A+"),IF('Data Source'!AA12&gt;=5,"A+",IF('Data Source'!AA12&gt;=4,"A",IF('Data Source'!AA12&gt;=3.5,"A-",IF('Data Source'!AA12&gt;=3,"B",IF('Data Source'!AA12&gt;=2,"C",IF('Data Source'!AA12&gt;=1,"D","F")))))),"")</f>
        <v/>
      </c>
      <c r="J12" s="3">
        <f>IF(AND('Data Source'!B12&lt;&gt;"",'Data Source'!S12="A+"),IF('Data Source'!AB12&gt;=5,"A+",IF('Data Source'!AB12&gt;=4,"A",IF('Data Source'!AB12&gt;=3.5,"A-",IF('Data Source'!AB12&gt;=3,"B",IF('Data Source'!AB12&gt;=2,"C",IF('Data Source'!AB12&gt;=1,"D","F")))))),"")</f>
        <v/>
      </c>
      <c r="K12" s="3">
        <f>IF(AND('Data Source'!B12&lt;&gt;"",'Data Source'!S12="A+"),IF('Data Source'!AC12&gt;=5,"A+",IF('Data Source'!AC12&gt;=4,"A",IF('Data Source'!AC12&gt;=3.5,"A-",IF('Data Source'!AC12&gt;=3,"B",IF('Data Source'!AC12&gt;=2,"C",IF('Data Source'!AC12&gt;=1,"D","F")))))),"")</f>
        <v/>
      </c>
      <c r="L12" s="3">
        <f>IF(AND('Data Source'!B12&lt;&gt;"",'Data Source'!S12="A+"),IF('Data Source'!AD12&gt;=5,"A+",IF('Data Source'!AD12&gt;=4,"A",IF('Data Source'!AD12&gt;=3.5,"A-",IF('Data Source'!AD12&gt;=3,"B",IF('Data Source'!AD12&gt;=2,"C",IF('Data Source'!AD12&gt;=1,"D","F")))))),"")</f>
        <v/>
      </c>
      <c r="M12" s="3">
        <f>IF(AND('Data Source'!B12&lt;&gt;"",'Data Source'!S12="A+"),IF('Data Source'!AE12&gt;=5,"A+",IF('Data Source'!AE12&gt;=4,"A",IF('Data Source'!AE12&gt;=3.5,"A-",IF('Data Source'!AE12&gt;=3,"B",IF('Data Source'!AE12&gt;=2,"C",IF('Data Source'!AE12&gt;=1,"D","F")))))),"")</f>
        <v/>
      </c>
      <c r="N12" s="3">
        <f>IF(AND('Data Source'!B12&lt;&gt;"",'Data Source'!S12="A+"),IF('Data Source'!AF12&gt;=5,"A+",IF('Data Source'!AF12&gt;=4,"A",IF('Data Source'!AF12&gt;=3.5,"A-",IF('Data Source'!AF12&gt;=3,"B",IF('Data Source'!AF12&gt;=2,"C",IF('Data Source'!AF12&gt;=1,"D","F")))))),"")</f>
        <v/>
      </c>
      <c r="O12" s="3">
        <f>IF(AND('Data Source'!B12&lt;&gt;"",'Data Source'!S12="A+"),IF('Data Source'!AG12&gt;=5,"A+",IF('Data Source'!AG12&gt;=4,"A",IF('Data Source'!AG12&gt;=3.5,"A-",IF('Data Source'!AG12&gt;=3,"B",IF('Data Source'!AG12&gt;=2,"C",IF('Data Source'!AG12&gt;=1,"D","F")))))),"")</f>
        <v/>
      </c>
      <c r="P12" s="5">
        <f>IF(AND('Data Source'!B12&lt;&gt;"",'Data Source'!S12="A+"),'Data Source'!R12,"")</f>
        <v/>
      </c>
      <c r="Q12" s="3">
        <f>IF(AND('Data Source'!B12&lt;&gt;"",'Data Source'!S12="A+"),'Data Source'!S12,"")</f>
        <v/>
      </c>
    </row>
    <row r="13">
      <c r="A13" s="3">
        <f>IF(AND('Data Source'!B13&lt;&gt;"",'Data Source'!S13="A+"),COUNTIF('Data Source'!$S$3:S13,"A+"),"")</f>
        <v/>
      </c>
      <c r="B13">
        <f>IF(AND('Data Source'!B13&lt;&gt;"",'Data Source'!S13="A+"),'Data Source'!B13,"")</f>
        <v/>
      </c>
      <c r="C13" s="3">
        <f>IF(AND('Data Source'!B13&lt;&gt;"",'Data Source'!S13="A+"),IF('Data Source'!U13&gt;=5,"A+",IF('Data Source'!U13&gt;=4,"A",IF('Data Source'!U13&gt;=3.5,"A-",IF('Data Source'!U13&gt;=3,"B",IF('Data Source'!U13&gt;=2,"C",IF('Data Source'!U13&gt;=1,"D","F")))))),"")</f>
        <v/>
      </c>
      <c r="D13" s="3">
        <f>IF(AND('Data Source'!B13&lt;&gt;"",'Data Source'!S13="A+"),IF('Data Source'!V13&gt;=5,"A+",IF('Data Source'!V13&gt;=4,"A",IF('Data Source'!V13&gt;=3.5,"A-",IF('Data Source'!V13&gt;=3,"B",IF('Data Source'!V13&gt;=2,"C",IF('Data Source'!V13&gt;=1,"D","F")))))),"")</f>
        <v/>
      </c>
      <c r="E13" s="3">
        <f>IF(AND('Data Source'!B13&lt;&gt;"",'Data Source'!S13="A+"),IF('Data Source'!W13&gt;=5,"A+",IF('Data Source'!W13&gt;=4,"A",IF('Data Source'!W13&gt;=3.5,"A-",IF('Data Source'!W13&gt;=3,"B",IF('Data Source'!W13&gt;=2,"C",IF('Data Source'!W13&gt;=1,"D","F")))))),"")</f>
        <v/>
      </c>
      <c r="F13" s="3">
        <f>IF(AND('Data Source'!B13&lt;&gt;"",'Data Source'!S13="A+"),IF('Data Source'!X13&gt;=5,"A+",IF('Data Source'!X13&gt;=4,"A",IF('Data Source'!X13&gt;=3.5,"A-",IF('Data Source'!X13&gt;=3,"B",IF('Data Source'!X13&gt;=2,"C",IF('Data Source'!X13&gt;=1,"D","F")))))),"")</f>
        <v/>
      </c>
      <c r="G13" s="3">
        <f>IF(AND('Data Source'!B13&lt;&gt;"",'Data Source'!S13="A+"),IF('Data Source'!Y13&gt;=5,"A+",IF('Data Source'!Y13&gt;=4,"A",IF('Data Source'!Y13&gt;=3.5,"A-",IF('Data Source'!Y13&gt;=3,"B",IF('Data Source'!Y13&gt;=2,"C",IF('Data Source'!Y13&gt;=1,"D","F")))))),"")</f>
        <v/>
      </c>
      <c r="H13" s="3">
        <f>IF(AND('Data Source'!B13&lt;&gt;"",'Data Source'!S13="A+"),IF('Data Source'!Z13&gt;=5,"A+",IF('Data Source'!Z13&gt;=4,"A",IF('Data Source'!Z13&gt;=3.5,"A-",IF('Data Source'!Z13&gt;=3,"B",IF('Data Source'!Z13&gt;=2,"C",IF('Data Source'!Z13&gt;=1,"D","F")))))),"")</f>
        <v/>
      </c>
      <c r="I13" s="3">
        <f>IF(AND('Data Source'!B13&lt;&gt;"",'Data Source'!S13="A+"),IF('Data Source'!AA13&gt;=5,"A+",IF('Data Source'!AA13&gt;=4,"A",IF('Data Source'!AA13&gt;=3.5,"A-",IF('Data Source'!AA13&gt;=3,"B",IF('Data Source'!AA13&gt;=2,"C",IF('Data Source'!AA13&gt;=1,"D","F")))))),"")</f>
        <v/>
      </c>
      <c r="J13" s="3">
        <f>IF(AND('Data Source'!B13&lt;&gt;"",'Data Source'!S13="A+"),IF('Data Source'!AB13&gt;=5,"A+",IF('Data Source'!AB13&gt;=4,"A",IF('Data Source'!AB13&gt;=3.5,"A-",IF('Data Source'!AB13&gt;=3,"B",IF('Data Source'!AB13&gt;=2,"C",IF('Data Source'!AB13&gt;=1,"D","F")))))),"")</f>
        <v/>
      </c>
      <c r="K13" s="3">
        <f>IF(AND('Data Source'!B13&lt;&gt;"",'Data Source'!S13="A+"),IF('Data Source'!AC13&gt;=5,"A+",IF('Data Source'!AC13&gt;=4,"A",IF('Data Source'!AC13&gt;=3.5,"A-",IF('Data Source'!AC13&gt;=3,"B",IF('Data Source'!AC13&gt;=2,"C",IF('Data Source'!AC13&gt;=1,"D","F")))))),"")</f>
        <v/>
      </c>
      <c r="L13" s="3">
        <f>IF(AND('Data Source'!B13&lt;&gt;"",'Data Source'!S13="A+"),IF('Data Source'!AD13&gt;=5,"A+",IF('Data Source'!AD13&gt;=4,"A",IF('Data Source'!AD13&gt;=3.5,"A-",IF('Data Source'!AD13&gt;=3,"B",IF('Data Source'!AD13&gt;=2,"C",IF('Data Source'!AD13&gt;=1,"D","F")))))),"")</f>
        <v/>
      </c>
      <c r="M13" s="3">
        <f>IF(AND('Data Source'!B13&lt;&gt;"",'Data Source'!S13="A+"),IF('Data Source'!AE13&gt;=5,"A+",IF('Data Source'!AE13&gt;=4,"A",IF('Data Source'!AE13&gt;=3.5,"A-",IF('Data Source'!AE13&gt;=3,"B",IF('Data Source'!AE13&gt;=2,"C",IF('Data Source'!AE13&gt;=1,"D","F")))))),"")</f>
        <v/>
      </c>
      <c r="N13" s="3">
        <f>IF(AND('Data Source'!B13&lt;&gt;"",'Data Source'!S13="A+"),IF('Data Source'!AF13&gt;=5,"A+",IF('Data Source'!AF13&gt;=4,"A",IF('Data Source'!AF13&gt;=3.5,"A-",IF('Data Source'!AF13&gt;=3,"B",IF('Data Source'!AF13&gt;=2,"C",IF('Data Source'!AF13&gt;=1,"D","F")))))),"")</f>
        <v/>
      </c>
      <c r="O13" s="3">
        <f>IF(AND('Data Source'!B13&lt;&gt;"",'Data Source'!S13="A+"),IF('Data Source'!AG13&gt;=5,"A+",IF('Data Source'!AG13&gt;=4,"A",IF('Data Source'!AG13&gt;=3.5,"A-",IF('Data Source'!AG13&gt;=3,"B",IF('Data Source'!AG13&gt;=2,"C",IF('Data Source'!AG13&gt;=1,"D","F")))))),"")</f>
        <v/>
      </c>
      <c r="P13" s="5">
        <f>IF(AND('Data Source'!B13&lt;&gt;"",'Data Source'!S13="A+"),'Data Source'!R13,"")</f>
        <v/>
      </c>
      <c r="Q13" s="3">
        <f>IF(AND('Data Source'!B13&lt;&gt;"",'Data Source'!S13="A+"),'Data Source'!S13,"")</f>
        <v/>
      </c>
    </row>
    <row r="14">
      <c r="A14" s="3">
        <f>IF(AND('Data Source'!B14&lt;&gt;"",'Data Source'!S14="A+"),COUNTIF('Data Source'!$S$3:S14,"A+"),"")</f>
        <v/>
      </c>
      <c r="B14">
        <f>IF(AND('Data Source'!B14&lt;&gt;"",'Data Source'!S14="A+"),'Data Source'!B14,"")</f>
        <v/>
      </c>
      <c r="C14" s="3">
        <f>IF(AND('Data Source'!B14&lt;&gt;"",'Data Source'!S14="A+"),IF('Data Source'!U14&gt;=5,"A+",IF('Data Source'!U14&gt;=4,"A",IF('Data Source'!U14&gt;=3.5,"A-",IF('Data Source'!U14&gt;=3,"B",IF('Data Source'!U14&gt;=2,"C",IF('Data Source'!U14&gt;=1,"D","F")))))),"")</f>
        <v/>
      </c>
      <c r="D14" s="3">
        <f>IF(AND('Data Source'!B14&lt;&gt;"",'Data Source'!S14="A+"),IF('Data Source'!V14&gt;=5,"A+",IF('Data Source'!V14&gt;=4,"A",IF('Data Source'!V14&gt;=3.5,"A-",IF('Data Source'!V14&gt;=3,"B",IF('Data Source'!V14&gt;=2,"C",IF('Data Source'!V14&gt;=1,"D","F")))))),"")</f>
        <v/>
      </c>
      <c r="E14" s="3">
        <f>IF(AND('Data Source'!B14&lt;&gt;"",'Data Source'!S14="A+"),IF('Data Source'!W14&gt;=5,"A+",IF('Data Source'!W14&gt;=4,"A",IF('Data Source'!W14&gt;=3.5,"A-",IF('Data Source'!W14&gt;=3,"B",IF('Data Source'!W14&gt;=2,"C",IF('Data Source'!W14&gt;=1,"D","F")))))),"")</f>
        <v/>
      </c>
      <c r="F14" s="3">
        <f>IF(AND('Data Source'!B14&lt;&gt;"",'Data Source'!S14="A+"),IF('Data Source'!X14&gt;=5,"A+",IF('Data Source'!X14&gt;=4,"A",IF('Data Source'!X14&gt;=3.5,"A-",IF('Data Source'!X14&gt;=3,"B",IF('Data Source'!X14&gt;=2,"C",IF('Data Source'!X14&gt;=1,"D","F")))))),"")</f>
        <v/>
      </c>
      <c r="G14" s="3">
        <f>IF(AND('Data Source'!B14&lt;&gt;"",'Data Source'!S14="A+"),IF('Data Source'!Y14&gt;=5,"A+",IF('Data Source'!Y14&gt;=4,"A",IF('Data Source'!Y14&gt;=3.5,"A-",IF('Data Source'!Y14&gt;=3,"B",IF('Data Source'!Y14&gt;=2,"C",IF('Data Source'!Y14&gt;=1,"D","F")))))),"")</f>
        <v/>
      </c>
      <c r="H14" s="3">
        <f>IF(AND('Data Source'!B14&lt;&gt;"",'Data Source'!S14="A+"),IF('Data Source'!Z14&gt;=5,"A+",IF('Data Source'!Z14&gt;=4,"A",IF('Data Source'!Z14&gt;=3.5,"A-",IF('Data Source'!Z14&gt;=3,"B",IF('Data Source'!Z14&gt;=2,"C",IF('Data Source'!Z14&gt;=1,"D","F")))))),"")</f>
        <v/>
      </c>
      <c r="I14" s="3">
        <f>IF(AND('Data Source'!B14&lt;&gt;"",'Data Source'!S14="A+"),IF('Data Source'!AA14&gt;=5,"A+",IF('Data Source'!AA14&gt;=4,"A",IF('Data Source'!AA14&gt;=3.5,"A-",IF('Data Source'!AA14&gt;=3,"B",IF('Data Source'!AA14&gt;=2,"C",IF('Data Source'!AA14&gt;=1,"D","F")))))),"")</f>
        <v/>
      </c>
      <c r="J14" s="3">
        <f>IF(AND('Data Source'!B14&lt;&gt;"",'Data Source'!S14="A+"),IF('Data Source'!AB14&gt;=5,"A+",IF('Data Source'!AB14&gt;=4,"A",IF('Data Source'!AB14&gt;=3.5,"A-",IF('Data Source'!AB14&gt;=3,"B",IF('Data Source'!AB14&gt;=2,"C",IF('Data Source'!AB14&gt;=1,"D","F")))))),"")</f>
        <v/>
      </c>
      <c r="K14" s="3">
        <f>IF(AND('Data Source'!B14&lt;&gt;"",'Data Source'!S14="A+"),IF('Data Source'!AC14&gt;=5,"A+",IF('Data Source'!AC14&gt;=4,"A",IF('Data Source'!AC14&gt;=3.5,"A-",IF('Data Source'!AC14&gt;=3,"B",IF('Data Source'!AC14&gt;=2,"C",IF('Data Source'!AC14&gt;=1,"D","F")))))),"")</f>
        <v/>
      </c>
      <c r="L14" s="3">
        <f>IF(AND('Data Source'!B14&lt;&gt;"",'Data Source'!S14="A+"),IF('Data Source'!AD14&gt;=5,"A+",IF('Data Source'!AD14&gt;=4,"A",IF('Data Source'!AD14&gt;=3.5,"A-",IF('Data Source'!AD14&gt;=3,"B",IF('Data Source'!AD14&gt;=2,"C",IF('Data Source'!AD14&gt;=1,"D","F")))))),"")</f>
        <v/>
      </c>
      <c r="M14" s="3">
        <f>IF(AND('Data Source'!B14&lt;&gt;"",'Data Source'!S14="A+"),IF('Data Source'!AE14&gt;=5,"A+",IF('Data Source'!AE14&gt;=4,"A",IF('Data Source'!AE14&gt;=3.5,"A-",IF('Data Source'!AE14&gt;=3,"B",IF('Data Source'!AE14&gt;=2,"C",IF('Data Source'!AE14&gt;=1,"D","F")))))),"")</f>
        <v/>
      </c>
      <c r="N14" s="3">
        <f>IF(AND('Data Source'!B14&lt;&gt;"",'Data Source'!S14="A+"),IF('Data Source'!AF14&gt;=5,"A+",IF('Data Source'!AF14&gt;=4,"A",IF('Data Source'!AF14&gt;=3.5,"A-",IF('Data Source'!AF14&gt;=3,"B",IF('Data Source'!AF14&gt;=2,"C",IF('Data Source'!AF14&gt;=1,"D","F")))))),"")</f>
        <v/>
      </c>
      <c r="O14" s="3">
        <f>IF(AND('Data Source'!B14&lt;&gt;"",'Data Source'!S14="A+"),IF('Data Source'!AG14&gt;=5,"A+",IF('Data Source'!AG14&gt;=4,"A",IF('Data Source'!AG14&gt;=3.5,"A-",IF('Data Source'!AG14&gt;=3,"B",IF('Data Source'!AG14&gt;=2,"C",IF('Data Source'!AG14&gt;=1,"D","F")))))),"")</f>
        <v/>
      </c>
      <c r="P14" s="5">
        <f>IF(AND('Data Source'!B14&lt;&gt;"",'Data Source'!S14="A+"),'Data Source'!R14,"")</f>
        <v/>
      </c>
      <c r="Q14" s="3">
        <f>IF(AND('Data Source'!B14&lt;&gt;"",'Data Source'!S14="A+"),'Data Source'!S14,"")</f>
        <v/>
      </c>
    </row>
    <row r="15">
      <c r="A15" s="3">
        <f>IF(AND('Data Source'!B15&lt;&gt;"",'Data Source'!S15="A+"),COUNTIF('Data Source'!$S$3:S15,"A+"),"")</f>
        <v/>
      </c>
      <c r="B15">
        <f>IF(AND('Data Source'!B15&lt;&gt;"",'Data Source'!S15="A+"),'Data Source'!B15,"")</f>
        <v/>
      </c>
      <c r="C15" s="3">
        <f>IF(AND('Data Source'!B15&lt;&gt;"",'Data Source'!S15="A+"),IF('Data Source'!U15&gt;=5,"A+",IF('Data Source'!U15&gt;=4,"A",IF('Data Source'!U15&gt;=3.5,"A-",IF('Data Source'!U15&gt;=3,"B",IF('Data Source'!U15&gt;=2,"C",IF('Data Source'!U15&gt;=1,"D","F")))))),"")</f>
        <v/>
      </c>
      <c r="D15" s="3">
        <f>IF(AND('Data Source'!B15&lt;&gt;"",'Data Source'!S15="A+"),IF('Data Source'!V15&gt;=5,"A+",IF('Data Source'!V15&gt;=4,"A",IF('Data Source'!V15&gt;=3.5,"A-",IF('Data Source'!V15&gt;=3,"B",IF('Data Source'!V15&gt;=2,"C",IF('Data Source'!V15&gt;=1,"D","F")))))),"")</f>
        <v/>
      </c>
      <c r="E15" s="3">
        <f>IF(AND('Data Source'!B15&lt;&gt;"",'Data Source'!S15="A+"),IF('Data Source'!W15&gt;=5,"A+",IF('Data Source'!W15&gt;=4,"A",IF('Data Source'!W15&gt;=3.5,"A-",IF('Data Source'!W15&gt;=3,"B",IF('Data Source'!W15&gt;=2,"C",IF('Data Source'!W15&gt;=1,"D","F")))))),"")</f>
        <v/>
      </c>
      <c r="F15" s="3">
        <f>IF(AND('Data Source'!B15&lt;&gt;"",'Data Source'!S15="A+"),IF('Data Source'!X15&gt;=5,"A+",IF('Data Source'!X15&gt;=4,"A",IF('Data Source'!X15&gt;=3.5,"A-",IF('Data Source'!X15&gt;=3,"B",IF('Data Source'!X15&gt;=2,"C",IF('Data Source'!X15&gt;=1,"D","F")))))),"")</f>
        <v/>
      </c>
      <c r="G15" s="3">
        <f>IF(AND('Data Source'!B15&lt;&gt;"",'Data Source'!S15="A+"),IF('Data Source'!Y15&gt;=5,"A+",IF('Data Source'!Y15&gt;=4,"A",IF('Data Source'!Y15&gt;=3.5,"A-",IF('Data Source'!Y15&gt;=3,"B",IF('Data Source'!Y15&gt;=2,"C",IF('Data Source'!Y15&gt;=1,"D","F")))))),"")</f>
        <v/>
      </c>
      <c r="H15" s="3">
        <f>IF(AND('Data Source'!B15&lt;&gt;"",'Data Source'!S15="A+"),IF('Data Source'!Z15&gt;=5,"A+",IF('Data Source'!Z15&gt;=4,"A",IF('Data Source'!Z15&gt;=3.5,"A-",IF('Data Source'!Z15&gt;=3,"B",IF('Data Source'!Z15&gt;=2,"C",IF('Data Source'!Z15&gt;=1,"D","F")))))),"")</f>
        <v/>
      </c>
      <c r="I15" s="3">
        <f>IF(AND('Data Source'!B15&lt;&gt;"",'Data Source'!S15="A+"),IF('Data Source'!AA15&gt;=5,"A+",IF('Data Source'!AA15&gt;=4,"A",IF('Data Source'!AA15&gt;=3.5,"A-",IF('Data Source'!AA15&gt;=3,"B",IF('Data Source'!AA15&gt;=2,"C",IF('Data Source'!AA15&gt;=1,"D","F")))))),"")</f>
        <v/>
      </c>
      <c r="J15" s="3">
        <f>IF(AND('Data Source'!B15&lt;&gt;"",'Data Source'!S15="A+"),IF('Data Source'!AB15&gt;=5,"A+",IF('Data Source'!AB15&gt;=4,"A",IF('Data Source'!AB15&gt;=3.5,"A-",IF('Data Source'!AB15&gt;=3,"B",IF('Data Source'!AB15&gt;=2,"C",IF('Data Source'!AB15&gt;=1,"D","F")))))),"")</f>
        <v/>
      </c>
      <c r="K15" s="3">
        <f>IF(AND('Data Source'!B15&lt;&gt;"",'Data Source'!S15="A+"),IF('Data Source'!AC15&gt;=5,"A+",IF('Data Source'!AC15&gt;=4,"A",IF('Data Source'!AC15&gt;=3.5,"A-",IF('Data Source'!AC15&gt;=3,"B",IF('Data Source'!AC15&gt;=2,"C",IF('Data Source'!AC15&gt;=1,"D","F")))))),"")</f>
        <v/>
      </c>
      <c r="L15" s="3">
        <f>IF(AND('Data Source'!B15&lt;&gt;"",'Data Source'!S15="A+"),IF('Data Source'!AD15&gt;=5,"A+",IF('Data Source'!AD15&gt;=4,"A",IF('Data Source'!AD15&gt;=3.5,"A-",IF('Data Source'!AD15&gt;=3,"B",IF('Data Source'!AD15&gt;=2,"C",IF('Data Source'!AD15&gt;=1,"D","F")))))),"")</f>
        <v/>
      </c>
      <c r="M15" s="3">
        <f>IF(AND('Data Source'!B15&lt;&gt;"",'Data Source'!S15="A+"),IF('Data Source'!AE15&gt;=5,"A+",IF('Data Source'!AE15&gt;=4,"A",IF('Data Source'!AE15&gt;=3.5,"A-",IF('Data Source'!AE15&gt;=3,"B",IF('Data Source'!AE15&gt;=2,"C",IF('Data Source'!AE15&gt;=1,"D","F")))))),"")</f>
        <v/>
      </c>
      <c r="N15" s="3">
        <f>IF(AND('Data Source'!B15&lt;&gt;"",'Data Source'!S15="A+"),IF('Data Source'!AF15&gt;=5,"A+",IF('Data Source'!AF15&gt;=4,"A",IF('Data Source'!AF15&gt;=3.5,"A-",IF('Data Source'!AF15&gt;=3,"B",IF('Data Source'!AF15&gt;=2,"C",IF('Data Source'!AF15&gt;=1,"D","F")))))),"")</f>
        <v/>
      </c>
      <c r="O15" s="3">
        <f>IF(AND('Data Source'!B15&lt;&gt;"",'Data Source'!S15="A+"),IF('Data Source'!AG15&gt;=5,"A+",IF('Data Source'!AG15&gt;=4,"A",IF('Data Source'!AG15&gt;=3.5,"A-",IF('Data Source'!AG15&gt;=3,"B",IF('Data Source'!AG15&gt;=2,"C",IF('Data Source'!AG15&gt;=1,"D","F")))))),"")</f>
        <v/>
      </c>
      <c r="P15" s="5">
        <f>IF(AND('Data Source'!B15&lt;&gt;"",'Data Source'!S15="A+"),'Data Source'!R15,"")</f>
        <v/>
      </c>
      <c r="Q15" s="3">
        <f>IF(AND('Data Source'!B15&lt;&gt;"",'Data Source'!S15="A+"),'Data Source'!S15,"")</f>
        <v/>
      </c>
    </row>
    <row r="16">
      <c r="A16" s="3">
        <f>IF(AND('Data Source'!B16&lt;&gt;"",'Data Source'!S16="A+"),COUNTIF('Data Source'!$S$3:S16,"A+"),"")</f>
        <v/>
      </c>
      <c r="B16">
        <f>IF(AND('Data Source'!B16&lt;&gt;"",'Data Source'!S16="A+"),'Data Source'!B16,"")</f>
        <v/>
      </c>
      <c r="C16" s="3">
        <f>IF(AND('Data Source'!B16&lt;&gt;"",'Data Source'!S16="A+"),IF('Data Source'!U16&gt;=5,"A+",IF('Data Source'!U16&gt;=4,"A",IF('Data Source'!U16&gt;=3.5,"A-",IF('Data Source'!U16&gt;=3,"B",IF('Data Source'!U16&gt;=2,"C",IF('Data Source'!U16&gt;=1,"D","F")))))),"")</f>
        <v/>
      </c>
      <c r="D16" s="3">
        <f>IF(AND('Data Source'!B16&lt;&gt;"",'Data Source'!S16="A+"),IF('Data Source'!V16&gt;=5,"A+",IF('Data Source'!V16&gt;=4,"A",IF('Data Source'!V16&gt;=3.5,"A-",IF('Data Source'!V16&gt;=3,"B",IF('Data Source'!V16&gt;=2,"C",IF('Data Source'!V16&gt;=1,"D","F")))))),"")</f>
        <v/>
      </c>
      <c r="E16" s="3">
        <f>IF(AND('Data Source'!B16&lt;&gt;"",'Data Source'!S16="A+"),IF('Data Source'!W16&gt;=5,"A+",IF('Data Source'!W16&gt;=4,"A",IF('Data Source'!W16&gt;=3.5,"A-",IF('Data Source'!W16&gt;=3,"B",IF('Data Source'!W16&gt;=2,"C",IF('Data Source'!W16&gt;=1,"D","F")))))),"")</f>
        <v/>
      </c>
      <c r="F16" s="3">
        <f>IF(AND('Data Source'!B16&lt;&gt;"",'Data Source'!S16="A+"),IF('Data Source'!X16&gt;=5,"A+",IF('Data Source'!X16&gt;=4,"A",IF('Data Source'!X16&gt;=3.5,"A-",IF('Data Source'!X16&gt;=3,"B",IF('Data Source'!X16&gt;=2,"C",IF('Data Source'!X16&gt;=1,"D","F")))))),"")</f>
        <v/>
      </c>
      <c r="G16" s="3">
        <f>IF(AND('Data Source'!B16&lt;&gt;"",'Data Source'!S16="A+"),IF('Data Source'!Y16&gt;=5,"A+",IF('Data Source'!Y16&gt;=4,"A",IF('Data Source'!Y16&gt;=3.5,"A-",IF('Data Source'!Y16&gt;=3,"B",IF('Data Source'!Y16&gt;=2,"C",IF('Data Source'!Y16&gt;=1,"D","F")))))),"")</f>
        <v/>
      </c>
      <c r="H16" s="3">
        <f>IF(AND('Data Source'!B16&lt;&gt;"",'Data Source'!S16="A+"),IF('Data Source'!Z16&gt;=5,"A+",IF('Data Source'!Z16&gt;=4,"A",IF('Data Source'!Z16&gt;=3.5,"A-",IF('Data Source'!Z16&gt;=3,"B",IF('Data Source'!Z16&gt;=2,"C",IF('Data Source'!Z16&gt;=1,"D","F")))))),"")</f>
        <v/>
      </c>
      <c r="I16" s="3">
        <f>IF(AND('Data Source'!B16&lt;&gt;"",'Data Source'!S16="A+"),IF('Data Source'!AA16&gt;=5,"A+",IF('Data Source'!AA16&gt;=4,"A",IF('Data Source'!AA16&gt;=3.5,"A-",IF('Data Source'!AA16&gt;=3,"B",IF('Data Source'!AA16&gt;=2,"C",IF('Data Source'!AA16&gt;=1,"D","F")))))),"")</f>
        <v/>
      </c>
      <c r="J16" s="3">
        <f>IF(AND('Data Source'!B16&lt;&gt;"",'Data Source'!S16="A+"),IF('Data Source'!AB16&gt;=5,"A+",IF('Data Source'!AB16&gt;=4,"A",IF('Data Source'!AB16&gt;=3.5,"A-",IF('Data Source'!AB16&gt;=3,"B",IF('Data Source'!AB16&gt;=2,"C",IF('Data Source'!AB16&gt;=1,"D","F")))))),"")</f>
        <v/>
      </c>
      <c r="K16" s="3">
        <f>IF(AND('Data Source'!B16&lt;&gt;"",'Data Source'!S16="A+"),IF('Data Source'!AC16&gt;=5,"A+",IF('Data Source'!AC16&gt;=4,"A",IF('Data Source'!AC16&gt;=3.5,"A-",IF('Data Source'!AC16&gt;=3,"B",IF('Data Source'!AC16&gt;=2,"C",IF('Data Source'!AC16&gt;=1,"D","F")))))),"")</f>
        <v/>
      </c>
      <c r="L16" s="3">
        <f>IF(AND('Data Source'!B16&lt;&gt;"",'Data Source'!S16="A+"),IF('Data Source'!AD16&gt;=5,"A+",IF('Data Source'!AD16&gt;=4,"A",IF('Data Source'!AD16&gt;=3.5,"A-",IF('Data Source'!AD16&gt;=3,"B",IF('Data Source'!AD16&gt;=2,"C",IF('Data Source'!AD16&gt;=1,"D","F")))))),"")</f>
        <v/>
      </c>
      <c r="M16" s="3">
        <f>IF(AND('Data Source'!B16&lt;&gt;"",'Data Source'!S16="A+"),IF('Data Source'!AE16&gt;=5,"A+",IF('Data Source'!AE16&gt;=4,"A",IF('Data Source'!AE16&gt;=3.5,"A-",IF('Data Source'!AE16&gt;=3,"B",IF('Data Source'!AE16&gt;=2,"C",IF('Data Source'!AE16&gt;=1,"D","F")))))),"")</f>
        <v/>
      </c>
      <c r="N16" s="3">
        <f>IF(AND('Data Source'!B16&lt;&gt;"",'Data Source'!S16="A+"),IF('Data Source'!AF16&gt;=5,"A+",IF('Data Source'!AF16&gt;=4,"A",IF('Data Source'!AF16&gt;=3.5,"A-",IF('Data Source'!AF16&gt;=3,"B",IF('Data Source'!AF16&gt;=2,"C",IF('Data Source'!AF16&gt;=1,"D","F")))))),"")</f>
        <v/>
      </c>
      <c r="O16" s="3">
        <f>IF(AND('Data Source'!B16&lt;&gt;"",'Data Source'!S16="A+"),IF('Data Source'!AG16&gt;=5,"A+",IF('Data Source'!AG16&gt;=4,"A",IF('Data Source'!AG16&gt;=3.5,"A-",IF('Data Source'!AG16&gt;=3,"B",IF('Data Source'!AG16&gt;=2,"C",IF('Data Source'!AG16&gt;=1,"D","F")))))),"")</f>
        <v/>
      </c>
      <c r="P16" s="5">
        <f>IF(AND('Data Source'!B16&lt;&gt;"",'Data Source'!S16="A+"),'Data Source'!R16,"")</f>
        <v/>
      </c>
      <c r="Q16" s="3">
        <f>IF(AND('Data Source'!B16&lt;&gt;"",'Data Source'!S16="A+"),'Data Source'!S16,"")</f>
        <v/>
      </c>
    </row>
    <row r="17">
      <c r="A17" s="3">
        <f>IF(AND('Data Source'!B17&lt;&gt;"",'Data Source'!S17="A+"),COUNTIF('Data Source'!$S$3:S17,"A+"),"")</f>
        <v/>
      </c>
      <c r="B17">
        <f>IF(AND('Data Source'!B17&lt;&gt;"",'Data Source'!S17="A+"),'Data Source'!B17,"")</f>
        <v/>
      </c>
      <c r="C17" s="3">
        <f>IF(AND('Data Source'!B17&lt;&gt;"",'Data Source'!S17="A+"),IF('Data Source'!U17&gt;=5,"A+",IF('Data Source'!U17&gt;=4,"A",IF('Data Source'!U17&gt;=3.5,"A-",IF('Data Source'!U17&gt;=3,"B",IF('Data Source'!U17&gt;=2,"C",IF('Data Source'!U17&gt;=1,"D","F")))))),"")</f>
        <v/>
      </c>
      <c r="D17" s="3">
        <f>IF(AND('Data Source'!B17&lt;&gt;"",'Data Source'!S17="A+"),IF('Data Source'!V17&gt;=5,"A+",IF('Data Source'!V17&gt;=4,"A",IF('Data Source'!V17&gt;=3.5,"A-",IF('Data Source'!V17&gt;=3,"B",IF('Data Source'!V17&gt;=2,"C",IF('Data Source'!V17&gt;=1,"D","F")))))),"")</f>
        <v/>
      </c>
      <c r="E17" s="3">
        <f>IF(AND('Data Source'!B17&lt;&gt;"",'Data Source'!S17="A+"),IF('Data Source'!W17&gt;=5,"A+",IF('Data Source'!W17&gt;=4,"A",IF('Data Source'!W17&gt;=3.5,"A-",IF('Data Source'!W17&gt;=3,"B",IF('Data Source'!W17&gt;=2,"C",IF('Data Source'!W17&gt;=1,"D","F")))))),"")</f>
        <v/>
      </c>
      <c r="F17" s="3">
        <f>IF(AND('Data Source'!B17&lt;&gt;"",'Data Source'!S17="A+"),IF('Data Source'!X17&gt;=5,"A+",IF('Data Source'!X17&gt;=4,"A",IF('Data Source'!X17&gt;=3.5,"A-",IF('Data Source'!X17&gt;=3,"B",IF('Data Source'!X17&gt;=2,"C",IF('Data Source'!X17&gt;=1,"D","F")))))),"")</f>
        <v/>
      </c>
      <c r="G17" s="3">
        <f>IF(AND('Data Source'!B17&lt;&gt;"",'Data Source'!S17="A+"),IF('Data Source'!Y17&gt;=5,"A+",IF('Data Source'!Y17&gt;=4,"A",IF('Data Source'!Y17&gt;=3.5,"A-",IF('Data Source'!Y17&gt;=3,"B",IF('Data Source'!Y17&gt;=2,"C",IF('Data Source'!Y17&gt;=1,"D","F")))))),"")</f>
        <v/>
      </c>
      <c r="H17" s="3">
        <f>IF(AND('Data Source'!B17&lt;&gt;"",'Data Source'!S17="A+"),IF('Data Source'!Z17&gt;=5,"A+",IF('Data Source'!Z17&gt;=4,"A",IF('Data Source'!Z17&gt;=3.5,"A-",IF('Data Source'!Z17&gt;=3,"B",IF('Data Source'!Z17&gt;=2,"C",IF('Data Source'!Z17&gt;=1,"D","F")))))),"")</f>
        <v/>
      </c>
      <c r="I17" s="3">
        <f>IF(AND('Data Source'!B17&lt;&gt;"",'Data Source'!S17="A+"),IF('Data Source'!AA17&gt;=5,"A+",IF('Data Source'!AA17&gt;=4,"A",IF('Data Source'!AA17&gt;=3.5,"A-",IF('Data Source'!AA17&gt;=3,"B",IF('Data Source'!AA17&gt;=2,"C",IF('Data Source'!AA17&gt;=1,"D","F")))))),"")</f>
        <v/>
      </c>
      <c r="J17" s="3">
        <f>IF(AND('Data Source'!B17&lt;&gt;"",'Data Source'!S17="A+"),IF('Data Source'!AB17&gt;=5,"A+",IF('Data Source'!AB17&gt;=4,"A",IF('Data Source'!AB17&gt;=3.5,"A-",IF('Data Source'!AB17&gt;=3,"B",IF('Data Source'!AB17&gt;=2,"C",IF('Data Source'!AB17&gt;=1,"D","F")))))),"")</f>
        <v/>
      </c>
      <c r="K17" s="3">
        <f>IF(AND('Data Source'!B17&lt;&gt;"",'Data Source'!S17="A+"),IF('Data Source'!AC17&gt;=5,"A+",IF('Data Source'!AC17&gt;=4,"A",IF('Data Source'!AC17&gt;=3.5,"A-",IF('Data Source'!AC17&gt;=3,"B",IF('Data Source'!AC17&gt;=2,"C",IF('Data Source'!AC17&gt;=1,"D","F")))))),"")</f>
        <v/>
      </c>
      <c r="L17" s="3">
        <f>IF(AND('Data Source'!B17&lt;&gt;"",'Data Source'!S17="A+"),IF('Data Source'!AD17&gt;=5,"A+",IF('Data Source'!AD17&gt;=4,"A",IF('Data Source'!AD17&gt;=3.5,"A-",IF('Data Source'!AD17&gt;=3,"B",IF('Data Source'!AD17&gt;=2,"C",IF('Data Source'!AD17&gt;=1,"D","F")))))),"")</f>
        <v/>
      </c>
      <c r="M17" s="3">
        <f>IF(AND('Data Source'!B17&lt;&gt;"",'Data Source'!S17="A+"),IF('Data Source'!AE17&gt;=5,"A+",IF('Data Source'!AE17&gt;=4,"A",IF('Data Source'!AE17&gt;=3.5,"A-",IF('Data Source'!AE17&gt;=3,"B",IF('Data Source'!AE17&gt;=2,"C",IF('Data Source'!AE17&gt;=1,"D","F")))))),"")</f>
        <v/>
      </c>
      <c r="N17" s="3">
        <f>IF(AND('Data Source'!B17&lt;&gt;"",'Data Source'!S17="A+"),IF('Data Source'!AF17&gt;=5,"A+",IF('Data Source'!AF17&gt;=4,"A",IF('Data Source'!AF17&gt;=3.5,"A-",IF('Data Source'!AF17&gt;=3,"B",IF('Data Source'!AF17&gt;=2,"C",IF('Data Source'!AF17&gt;=1,"D","F")))))),"")</f>
        <v/>
      </c>
      <c r="O17" s="3">
        <f>IF(AND('Data Source'!B17&lt;&gt;"",'Data Source'!S17="A+"),IF('Data Source'!AG17&gt;=5,"A+",IF('Data Source'!AG17&gt;=4,"A",IF('Data Source'!AG17&gt;=3.5,"A-",IF('Data Source'!AG17&gt;=3,"B",IF('Data Source'!AG17&gt;=2,"C",IF('Data Source'!AG17&gt;=1,"D","F")))))),"")</f>
        <v/>
      </c>
      <c r="P17" s="5">
        <f>IF(AND('Data Source'!B17&lt;&gt;"",'Data Source'!S17="A+"),'Data Source'!R17,"")</f>
        <v/>
      </c>
      <c r="Q17" s="3">
        <f>IF(AND('Data Source'!B17&lt;&gt;"",'Data Source'!S17="A+"),'Data Source'!S17,"")</f>
        <v/>
      </c>
    </row>
    <row r="18">
      <c r="A18" s="3">
        <f>IF(AND('Data Source'!B18&lt;&gt;"",'Data Source'!S18="A+"),COUNTIF('Data Source'!$S$3:S18,"A+"),"")</f>
        <v/>
      </c>
      <c r="B18">
        <f>IF(AND('Data Source'!B18&lt;&gt;"",'Data Source'!S18="A+"),'Data Source'!B18,"")</f>
        <v/>
      </c>
      <c r="C18" s="3">
        <f>IF(AND('Data Source'!B18&lt;&gt;"",'Data Source'!S18="A+"),IF('Data Source'!U18&gt;=5,"A+",IF('Data Source'!U18&gt;=4,"A",IF('Data Source'!U18&gt;=3.5,"A-",IF('Data Source'!U18&gt;=3,"B",IF('Data Source'!U18&gt;=2,"C",IF('Data Source'!U18&gt;=1,"D","F")))))),"")</f>
        <v/>
      </c>
      <c r="D18" s="3">
        <f>IF(AND('Data Source'!B18&lt;&gt;"",'Data Source'!S18="A+"),IF('Data Source'!V18&gt;=5,"A+",IF('Data Source'!V18&gt;=4,"A",IF('Data Source'!V18&gt;=3.5,"A-",IF('Data Source'!V18&gt;=3,"B",IF('Data Source'!V18&gt;=2,"C",IF('Data Source'!V18&gt;=1,"D","F")))))),"")</f>
        <v/>
      </c>
      <c r="E18" s="3">
        <f>IF(AND('Data Source'!B18&lt;&gt;"",'Data Source'!S18="A+"),IF('Data Source'!W18&gt;=5,"A+",IF('Data Source'!W18&gt;=4,"A",IF('Data Source'!W18&gt;=3.5,"A-",IF('Data Source'!W18&gt;=3,"B",IF('Data Source'!W18&gt;=2,"C",IF('Data Source'!W18&gt;=1,"D","F")))))),"")</f>
        <v/>
      </c>
      <c r="F18" s="3">
        <f>IF(AND('Data Source'!B18&lt;&gt;"",'Data Source'!S18="A+"),IF('Data Source'!X18&gt;=5,"A+",IF('Data Source'!X18&gt;=4,"A",IF('Data Source'!X18&gt;=3.5,"A-",IF('Data Source'!X18&gt;=3,"B",IF('Data Source'!X18&gt;=2,"C",IF('Data Source'!X18&gt;=1,"D","F")))))),"")</f>
        <v/>
      </c>
      <c r="G18" s="3">
        <f>IF(AND('Data Source'!B18&lt;&gt;"",'Data Source'!S18="A+"),IF('Data Source'!Y18&gt;=5,"A+",IF('Data Source'!Y18&gt;=4,"A",IF('Data Source'!Y18&gt;=3.5,"A-",IF('Data Source'!Y18&gt;=3,"B",IF('Data Source'!Y18&gt;=2,"C",IF('Data Source'!Y18&gt;=1,"D","F")))))),"")</f>
        <v/>
      </c>
      <c r="H18" s="3">
        <f>IF(AND('Data Source'!B18&lt;&gt;"",'Data Source'!S18="A+"),IF('Data Source'!Z18&gt;=5,"A+",IF('Data Source'!Z18&gt;=4,"A",IF('Data Source'!Z18&gt;=3.5,"A-",IF('Data Source'!Z18&gt;=3,"B",IF('Data Source'!Z18&gt;=2,"C",IF('Data Source'!Z18&gt;=1,"D","F")))))),"")</f>
        <v/>
      </c>
      <c r="I18" s="3">
        <f>IF(AND('Data Source'!B18&lt;&gt;"",'Data Source'!S18="A+"),IF('Data Source'!AA18&gt;=5,"A+",IF('Data Source'!AA18&gt;=4,"A",IF('Data Source'!AA18&gt;=3.5,"A-",IF('Data Source'!AA18&gt;=3,"B",IF('Data Source'!AA18&gt;=2,"C",IF('Data Source'!AA18&gt;=1,"D","F")))))),"")</f>
        <v/>
      </c>
      <c r="J18" s="3">
        <f>IF(AND('Data Source'!B18&lt;&gt;"",'Data Source'!S18="A+"),IF('Data Source'!AB18&gt;=5,"A+",IF('Data Source'!AB18&gt;=4,"A",IF('Data Source'!AB18&gt;=3.5,"A-",IF('Data Source'!AB18&gt;=3,"B",IF('Data Source'!AB18&gt;=2,"C",IF('Data Source'!AB18&gt;=1,"D","F")))))),"")</f>
        <v/>
      </c>
      <c r="K18" s="3">
        <f>IF(AND('Data Source'!B18&lt;&gt;"",'Data Source'!S18="A+"),IF('Data Source'!AC18&gt;=5,"A+",IF('Data Source'!AC18&gt;=4,"A",IF('Data Source'!AC18&gt;=3.5,"A-",IF('Data Source'!AC18&gt;=3,"B",IF('Data Source'!AC18&gt;=2,"C",IF('Data Source'!AC18&gt;=1,"D","F")))))),"")</f>
        <v/>
      </c>
      <c r="L18" s="3">
        <f>IF(AND('Data Source'!B18&lt;&gt;"",'Data Source'!S18="A+"),IF('Data Source'!AD18&gt;=5,"A+",IF('Data Source'!AD18&gt;=4,"A",IF('Data Source'!AD18&gt;=3.5,"A-",IF('Data Source'!AD18&gt;=3,"B",IF('Data Source'!AD18&gt;=2,"C",IF('Data Source'!AD18&gt;=1,"D","F")))))),"")</f>
        <v/>
      </c>
      <c r="M18" s="3">
        <f>IF(AND('Data Source'!B18&lt;&gt;"",'Data Source'!S18="A+"),IF('Data Source'!AE18&gt;=5,"A+",IF('Data Source'!AE18&gt;=4,"A",IF('Data Source'!AE18&gt;=3.5,"A-",IF('Data Source'!AE18&gt;=3,"B",IF('Data Source'!AE18&gt;=2,"C",IF('Data Source'!AE18&gt;=1,"D","F")))))),"")</f>
        <v/>
      </c>
      <c r="N18" s="3">
        <f>IF(AND('Data Source'!B18&lt;&gt;"",'Data Source'!S18="A+"),IF('Data Source'!AF18&gt;=5,"A+",IF('Data Source'!AF18&gt;=4,"A",IF('Data Source'!AF18&gt;=3.5,"A-",IF('Data Source'!AF18&gt;=3,"B",IF('Data Source'!AF18&gt;=2,"C",IF('Data Source'!AF18&gt;=1,"D","F")))))),"")</f>
        <v/>
      </c>
      <c r="O18" s="3">
        <f>IF(AND('Data Source'!B18&lt;&gt;"",'Data Source'!S18="A+"),IF('Data Source'!AG18&gt;=5,"A+",IF('Data Source'!AG18&gt;=4,"A",IF('Data Source'!AG18&gt;=3.5,"A-",IF('Data Source'!AG18&gt;=3,"B",IF('Data Source'!AG18&gt;=2,"C",IF('Data Source'!AG18&gt;=1,"D","F")))))),"")</f>
        <v/>
      </c>
      <c r="P18" s="5">
        <f>IF(AND('Data Source'!B18&lt;&gt;"",'Data Source'!S18="A+"),'Data Source'!R18,"")</f>
        <v/>
      </c>
      <c r="Q18" s="3">
        <f>IF(AND('Data Source'!B18&lt;&gt;"",'Data Source'!S18="A+"),'Data Source'!S18,"")</f>
        <v/>
      </c>
    </row>
    <row r="19">
      <c r="A19" s="3">
        <f>IF(AND('Data Source'!B19&lt;&gt;"",'Data Source'!S19="A+"),COUNTIF('Data Source'!$S$3:S19,"A+"),"")</f>
        <v/>
      </c>
      <c r="B19">
        <f>IF(AND('Data Source'!B19&lt;&gt;"",'Data Source'!S19="A+"),'Data Source'!B19,"")</f>
        <v/>
      </c>
      <c r="C19" s="3">
        <f>IF(AND('Data Source'!B19&lt;&gt;"",'Data Source'!S19="A+"),IF('Data Source'!U19&gt;=5,"A+",IF('Data Source'!U19&gt;=4,"A",IF('Data Source'!U19&gt;=3.5,"A-",IF('Data Source'!U19&gt;=3,"B",IF('Data Source'!U19&gt;=2,"C",IF('Data Source'!U19&gt;=1,"D","F")))))),"")</f>
        <v/>
      </c>
      <c r="D19" s="3">
        <f>IF(AND('Data Source'!B19&lt;&gt;"",'Data Source'!S19="A+"),IF('Data Source'!V19&gt;=5,"A+",IF('Data Source'!V19&gt;=4,"A",IF('Data Source'!V19&gt;=3.5,"A-",IF('Data Source'!V19&gt;=3,"B",IF('Data Source'!V19&gt;=2,"C",IF('Data Source'!V19&gt;=1,"D","F")))))),"")</f>
        <v/>
      </c>
      <c r="E19" s="3">
        <f>IF(AND('Data Source'!B19&lt;&gt;"",'Data Source'!S19="A+"),IF('Data Source'!W19&gt;=5,"A+",IF('Data Source'!W19&gt;=4,"A",IF('Data Source'!W19&gt;=3.5,"A-",IF('Data Source'!W19&gt;=3,"B",IF('Data Source'!W19&gt;=2,"C",IF('Data Source'!W19&gt;=1,"D","F")))))),"")</f>
        <v/>
      </c>
      <c r="F19" s="3">
        <f>IF(AND('Data Source'!B19&lt;&gt;"",'Data Source'!S19="A+"),IF('Data Source'!X19&gt;=5,"A+",IF('Data Source'!X19&gt;=4,"A",IF('Data Source'!X19&gt;=3.5,"A-",IF('Data Source'!X19&gt;=3,"B",IF('Data Source'!X19&gt;=2,"C",IF('Data Source'!X19&gt;=1,"D","F")))))),"")</f>
        <v/>
      </c>
      <c r="G19" s="3">
        <f>IF(AND('Data Source'!B19&lt;&gt;"",'Data Source'!S19="A+"),IF('Data Source'!Y19&gt;=5,"A+",IF('Data Source'!Y19&gt;=4,"A",IF('Data Source'!Y19&gt;=3.5,"A-",IF('Data Source'!Y19&gt;=3,"B",IF('Data Source'!Y19&gt;=2,"C",IF('Data Source'!Y19&gt;=1,"D","F")))))),"")</f>
        <v/>
      </c>
      <c r="H19" s="3">
        <f>IF(AND('Data Source'!B19&lt;&gt;"",'Data Source'!S19="A+"),IF('Data Source'!Z19&gt;=5,"A+",IF('Data Source'!Z19&gt;=4,"A",IF('Data Source'!Z19&gt;=3.5,"A-",IF('Data Source'!Z19&gt;=3,"B",IF('Data Source'!Z19&gt;=2,"C",IF('Data Source'!Z19&gt;=1,"D","F")))))),"")</f>
        <v/>
      </c>
      <c r="I19" s="3">
        <f>IF(AND('Data Source'!B19&lt;&gt;"",'Data Source'!S19="A+"),IF('Data Source'!AA19&gt;=5,"A+",IF('Data Source'!AA19&gt;=4,"A",IF('Data Source'!AA19&gt;=3.5,"A-",IF('Data Source'!AA19&gt;=3,"B",IF('Data Source'!AA19&gt;=2,"C",IF('Data Source'!AA19&gt;=1,"D","F")))))),"")</f>
        <v/>
      </c>
      <c r="J19" s="3">
        <f>IF(AND('Data Source'!B19&lt;&gt;"",'Data Source'!S19="A+"),IF('Data Source'!AB19&gt;=5,"A+",IF('Data Source'!AB19&gt;=4,"A",IF('Data Source'!AB19&gt;=3.5,"A-",IF('Data Source'!AB19&gt;=3,"B",IF('Data Source'!AB19&gt;=2,"C",IF('Data Source'!AB19&gt;=1,"D","F")))))),"")</f>
        <v/>
      </c>
      <c r="K19" s="3">
        <f>IF(AND('Data Source'!B19&lt;&gt;"",'Data Source'!S19="A+"),IF('Data Source'!AC19&gt;=5,"A+",IF('Data Source'!AC19&gt;=4,"A",IF('Data Source'!AC19&gt;=3.5,"A-",IF('Data Source'!AC19&gt;=3,"B",IF('Data Source'!AC19&gt;=2,"C",IF('Data Source'!AC19&gt;=1,"D","F")))))),"")</f>
        <v/>
      </c>
      <c r="L19" s="3">
        <f>IF(AND('Data Source'!B19&lt;&gt;"",'Data Source'!S19="A+"),IF('Data Source'!AD19&gt;=5,"A+",IF('Data Source'!AD19&gt;=4,"A",IF('Data Source'!AD19&gt;=3.5,"A-",IF('Data Source'!AD19&gt;=3,"B",IF('Data Source'!AD19&gt;=2,"C",IF('Data Source'!AD19&gt;=1,"D","F")))))),"")</f>
        <v/>
      </c>
      <c r="M19" s="3">
        <f>IF(AND('Data Source'!B19&lt;&gt;"",'Data Source'!S19="A+"),IF('Data Source'!AE19&gt;=5,"A+",IF('Data Source'!AE19&gt;=4,"A",IF('Data Source'!AE19&gt;=3.5,"A-",IF('Data Source'!AE19&gt;=3,"B",IF('Data Source'!AE19&gt;=2,"C",IF('Data Source'!AE19&gt;=1,"D","F")))))),"")</f>
        <v/>
      </c>
      <c r="N19" s="3">
        <f>IF(AND('Data Source'!B19&lt;&gt;"",'Data Source'!S19="A+"),IF('Data Source'!AF19&gt;=5,"A+",IF('Data Source'!AF19&gt;=4,"A",IF('Data Source'!AF19&gt;=3.5,"A-",IF('Data Source'!AF19&gt;=3,"B",IF('Data Source'!AF19&gt;=2,"C",IF('Data Source'!AF19&gt;=1,"D","F")))))),"")</f>
        <v/>
      </c>
      <c r="O19" s="3">
        <f>IF(AND('Data Source'!B19&lt;&gt;"",'Data Source'!S19="A+"),IF('Data Source'!AG19&gt;=5,"A+",IF('Data Source'!AG19&gt;=4,"A",IF('Data Source'!AG19&gt;=3.5,"A-",IF('Data Source'!AG19&gt;=3,"B",IF('Data Source'!AG19&gt;=2,"C",IF('Data Source'!AG19&gt;=1,"D","F")))))),"")</f>
        <v/>
      </c>
      <c r="P19" s="5">
        <f>IF(AND('Data Source'!B19&lt;&gt;"",'Data Source'!S19="A+"),'Data Source'!R19,"")</f>
        <v/>
      </c>
      <c r="Q19" s="3">
        <f>IF(AND('Data Source'!B19&lt;&gt;"",'Data Source'!S19="A+"),'Data Source'!S19,"")</f>
        <v/>
      </c>
    </row>
    <row r="20">
      <c r="A20" s="3">
        <f>IF(AND('Data Source'!B20&lt;&gt;"",'Data Source'!S20="A+"),COUNTIF('Data Source'!$S$3:S20,"A+"),"")</f>
        <v/>
      </c>
      <c r="B20">
        <f>IF(AND('Data Source'!B20&lt;&gt;"",'Data Source'!S20="A+"),'Data Source'!B20,"")</f>
        <v/>
      </c>
      <c r="C20" s="3">
        <f>IF(AND('Data Source'!B20&lt;&gt;"",'Data Source'!S20="A+"),IF('Data Source'!U20&gt;=5,"A+",IF('Data Source'!U20&gt;=4,"A",IF('Data Source'!U20&gt;=3.5,"A-",IF('Data Source'!U20&gt;=3,"B",IF('Data Source'!U20&gt;=2,"C",IF('Data Source'!U20&gt;=1,"D","F")))))),"")</f>
        <v/>
      </c>
      <c r="D20" s="3">
        <f>IF(AND('Data Source'!B20&lt;&gt;"",'Data Source'!S20="A+"),IF('Data Source'!V20&gt;=5,"A+",IF('Data Source'!V20&gt;=4,"A",IF('Data Source'!V20&gt;=3.5,"A-",IF('Data Source'!V20&gt;=3,"B",IF('Data Source'!V20&gt;=2,"C",IF('Data Source'!V20&gt;=1,"D","F")))))),"")</f>
        <v/>
      </c>
      <c r="E20" s="3">
        <f>IF(AND('Data Source'!B20&lt;&gt;"",'Data Source'!S20="A+"),IF('Data Source'!W20&gt;=5,"A+",IF('Data Source'!W20&gt;=4,"A",IF('Data Source'!W20&gt;=3.5,"A-",IF('Data Source'!W20&gt;=3,"B",IF('Data Source'!W20&gt;=2,"C",IF('Data Source'!W20&gt;=1,"D","F")))))),"")</f>
        <v/>
      </c>
      <c r="F20" s="3">
        <f>IF(AND('Data Source'!B20&lt;&gt;"",'Data Source'!S20="A+"),IF('Data Source'!X20&gt;=5,"A+",IF('Data Source'!X20&gt;=4,"A",IF('Data Source'!X20&gt;=3.5,"A-",IF('Data Source'!X20&gt;=3,"B",IF('Data Source'!X20&gt;=2,"C",IF('Data Source'!X20&gt;=1,"D","F")))))),"")</f>
        <v/>
      </c>
      <c r="G20" s="3">
        <f>IF(AND('Data Source'!B20&lt;&gt;"",'Data Source'!S20="A+"),IF('Data Source'!Y20&gt;=5,"A+",IF('Data Source'!Y20&gt;=4,"A",IF('Data Source'!Y20&gt;=3.5,"A-",IF('Data Source'!Y20&gt;=3,"B",IF('Data Source'!Y20&gt;=2,"C",IF('Data Source'!Y20&gt;=1,"D","F")))))),"")</f>
        <v/>
      </c>
      <c r="H20" s="3">
        <f>IF(AND('Data Source'!B20&lt;&gt;"",'Data Source'!S20="A+"),IF('Data Source'!Z20&gt;=5,"A+",IF('Data Source'!Z20&gt;=4,"A",IF('Data Source'!Z20&gt;=3.5,"A-",IF('Data Source'!Z20&gt;=3,"B",IF('Data Source'!Z20&gt;=2,"C",IF('Data Source'!Z20&gt;=1,"D","F")))))),"")</f>
        <v/>
      </c>
      <c r="I20" s="3">
        <f>IF(AND('Data Source'!B20&lt;&gt;"",'Data Source'!S20="A+"),IF('Data Source'!AA20&gt;=5,"A+",IF('Data Source'!AA20&gt;=4,"A",IF('Data Source'!AA20&gt;=3.5,"A-",IF('Data Source'!AA20&gt;=3,"B",IF('Data Source'!AA20&gt;=2,"C",IF('Data Source'!AA20&gt;=1,"D","F")))))),"")</f>
        <v/>
      </c>
      <c r="J20" s="3">
        <f>IF(AND('Data Source'!B20&lt;&gt;"",'Data Source'!S20="A+"),IF('Data Source'!AB20&gt;=5,"A+",IF('Data Source'!AB20&gt;=4,"A",IF('Data Source'!AB20&gt;=3.5,"A-",IF('Data Source'!AB20&gt;=3,"B",IF('Data Source'!AB20&gt;=2,"C",IF('Data Source'!AB20&gt;=1,"D","F")))))),"")</f>
        <v/>
      </c>
      <c r="K20" s="3">
        <f>IF(AND('Data Source'!B20&lt;&gt;"",'Data Source'!S20="A+"),IF('Data Source'!AC20&gt;=5,"A+",IF('Data Source'!AC20&gt;=4,"A",IF('Data Source'!AC20&gt;=3.5,"A-",IF('Data Source'!AC20&gt;=3,"B",IF('Data Source'!AC20&gt;=2,"C",IF('Data Source'!AC20&gt;=1,"D","F")))))),"")</f>
        <v/>
      </c>
      <c r="L20" s="3">
        <f>IF(AND('Data Source'!B20&lt;&gt;"",'Data Source'!S20="A+"),IF('Data Source'!AD20&gt;=5,"A+",IF('Data Source'!AD20&gt;=4,"A",IF('Data Source'!AD20&gt;=3.5,"A-",IF('Data Source'!AD20&gt;=3,"B",IF('Data Source'!AD20&gt;=2,"C",IF('Data Source'!AD20&gt;=1,"D","F")))))),"")</f>
        <v/>
      </c>
      <c r="M20" s="3">
        <f>IF(AND('Data Source'!B20&lt;&gt;"",'Data Source'!S20="A+"),IF('Data Source'!AE20&gt;=5,"A+",IF('Data Source'!AE20&gt;=4,"A",IF('Data Source'!AE20&gt;=3.5,"A-",IF('Data Source'!AE20&gt;=3,"B",IF('Data Source'!AE20&gt;=2,"C",IF('Data Source'!AE20&gt;=1,"D","F")))))),"")</f>
        <v/>
      </c>
      <c r="N20" s="3">
        <f>IF(AND('Data Source'!B20&lt;&gt;"",'Data Source'!S20="A+"),IF('Data Source'!AF20&gt;=5,"A+",IF('Data Source'!AF20&gt;=4,"A",IF('Data Source'!AF20&gt;=3.5,"A-",IF('Data Source'!AF20&gt;=3,"B",IF('Data Source'!AF20&gt;=2,"C",IF('Data Source'!AF20&gt;=1,"D","F")))))),"")</f>
        <v/>
      </c>
      <c r="O20" s="3">
        <f>IF(AND('Data Source'!B20&lt;&gt;"",'Data Source'!S20="A+"),IF('Data Source'!AG20&gt;=5,"A+",IF('Data Source'!AG20&gt;=4,"A",IF('Data Source'!AG20&gt;=3.5,"A-",IF('Data Source'!AG20&gt;=3,"B",IF('Data Source'!AG20&gt;=2,"C",IF('Data Source'!AG20&gt;=1,"D","F")))))),"")</f>
        <v/>
      </c>
      <c r="P20" s="5">
        <f>IF(AND('Data Source'!B20&lt;&gt;"",'Data Source'!S20="A+"),'Data Source'!R20,"")</f>
        <v/>
      </c>
      <c r="Q20" s="3">
        <f>IF(AND('Data Source'!B20&lt;&gt;"",'Data Source'!S20="A+"),'Data Source'!S20,"")</f>
        <v/>
      </c>
    </row>
    <row r="21">
      <c r="A21" s="3">
        <f>IF(AND('Data Source'!B21&lt;&gt;"",'Data Source'!S21="A+"),COUNTIF('Data Source'!$S$3:S21,"A+"),"")</f>
        <v/>
      </c>
      <c r="B21">
        <f>IF(AND('Data Source'!B21&lt;&gt;"",'Data Source'!S21="A+"),'Data Source'!B21,"")</f>
        <v/>
      </c>
      <c r="C21" s="3">
        <f>IF(AND('Data Source'!B21&lt;&gt;"",'Data Source'!S21="A+"),IF('Data Source'!U21&gt;=5,"A+",IF('Data Source'!U21&gt;=4,"A",IF('Data Source'!U21&gt;=3.5,"A-",IF('Data Source'!U21&gt;=3,"B",IF('Data Source'!U21&gt;=2,"C",IF('Data Source'!U21&gt;=1,"D","F")))))),"")</f>
        <v/>
      </c>
      <c r="D21" s="3">
        <f>IF(AND('Data Source'!B21&lt;&gt;"",'Data Source'!S21="A+"),IF('Data Source'!V21&gt;=5,"A+",IF('Data Source'!V21&gt;=4,"A",IF('Data Source'!V21&gt;=3.5,"A-",IF('Data Source'!V21&gt;=3,"B",IF('Data Source'!V21&gt;=2,"C",IF('Data Source'!V21&gt;=1,"D","F")))))),"")</f>
        <v/>
      </c>
      <c r="E21" s="3">
        <f>IF(AND('Data Source'!B21&lt;&gt;"",'Data Source'!S21="A+"),IF('Data Source'!W21&gt;=5,"A+",IF('Data Source'!W21&gt;=4,"A",IF('Data Source'!W21&gt;=3.5,"A-",IF('Data Source'!W21&gt;=3,"B",IF('Data Source'!W21&gt;=2,"C",IF('Data Source'!W21&gt;=1,"D","F")))))),"")</f>
        <v/>
      </c>
      <c r="F21" s="3">
        <f>IF(AND('Data Source'!B21&lt;&gt;"",'Data Source'!S21="A+"),IF('Data Source'!X21&gt;=5,"A+",IF('Data Source'!X21&gt;=4,"A",IF('Data Source'!X21&gt;=3.5,"A-",IF('Data Source'!X21&gt;=3,"B",IF('Data Source'!X21&gt;=2,"C",IF('Data Source'!X21&gt;=1,"D","F")))))),"")</f>
        <v/>
      </c>
      <c r="G21" s="3">
        <f>IF(AND('Data Source'!B21&lt;&gt;"",'Data Source'!S21="A+"),IF('Data Source'!Y21&gt;=5,"A+",IF('Data Source'!Y21&gt;=4,"A",IF('Data Source'!Y21&gt;=3.5,"A-",IF('Data Source'!Y21&gt;=3,"B",IF('Data Source'!Y21&gt;=2,"C",IF('Data Source'!Y21&gt;=1,"D","F")))))),"")</f>
        <v/>
      </c>
      <c r="H21" s="3">
        <f>IF(AND('Data Source'!B21&lt;&gt;"",'Data Source'!S21="A+"),IF('Data Source'!Z21&gt;=5,"A+",IF('Data Source'!Z21&gt;=4,"A",IF('Data Source'!Z21&gt;=3.5,"A-",IF('Data Source'!Z21&gt;=3,"B",IF('Data Source'!Z21&gt;=2,"C",IF('Data Source'!Z21&gt;=1,"D","F")))))),"")</f>
        <v/>
      </c>
      <c r="I21" s="3">
        <f>IF(AND('Data Source'!B21&lt;&gt;"",'Data Source'!S21="A+"),IF('Data Source'!AA21&gt;=5,"A+",IF('Data Source'!AA21&gt;=4,"A",IF('Data Source'!AA21&gt;=3.5,"A-",IF('Data Source'!AA21&gt;=3,"B",IF('Data Source'!AA21&gt;=2,"C",IF('Data Source'!AA21&gt;=1,"D","F")))))),"")</f>
        <v/>
      </c>
      <c r="J21" s="3">
        <f>IF(AND('Data Source'!B21&lt;&gt;"",'Data Source'!S21="A+"),IF('Data Source'!AB21&gt;=5,"A+",IF('Data Source'!AB21&gt;=4,"A",IF('Data Source'!AB21&gt;=3.5,"A-",IF('Data Source'!AB21&gt;=3,"B",IF('Data Source'!AB21&gt;=2,"C",IF('Data Source'!AB21&gt;=1,"D","F")))))),"")</f>
        <v/>
      </c>
      <c r="K21" s="3">
        <f>IF(AND('Data Source'!B21&lt;&gt;"",'Data Source'!S21="A+"),IF('Data Source'!AC21&gt;=5,"A+",IF('Data Source'!AC21&gt;=4,"A",IF('Data Source'!AC21&gt;=3.5,"A-",IF('Data Source'!AC21&gt;=3,"B",IF('Data Source'!AC21&gt;=2,"C",IF('Data Source'!AC21&gt;=1,"D","F")))))),"")</f>
        <v/>
      </c>
      <c r="L21" s="3">
        <f>IF(AND('Data Source'!B21&lt;&gt;"",'Data Source'!S21="A+"),IF('Data Source'!AD21&gt;=5,"A+",IF('Data Source'!AD21&gt;=4,"A",IF('Data Source'!AD21&gt;=3.5,"A-",IF('Data Source'!AD21&gt;=3,"B",IF('Data Source'!AD21&gt;=2,"C",IF('Data Source'!AD21&gt;=1,"D","F")))))),"")</f>
        <v/>
      </c>
      <c r="M21" s="3">
        <f>IF(AND('Data Source'!B21&lt;&gt;"",'Data Source'!S21="A+"),IF('Data Source'!AE21&gt;=5,"A+",IF('Data Source'!AE21&gt;=4,"A",IF('Data Source'!AE21&gt;=3.5,"A-",IF('Data Source'!AE21&gt;=3,"B",IF('Data Source'!AE21&gt;=2,"C",IF('Data Source'!AE21&gt;=1,"D","F")))))),"")</f>
        <v/>
      </c>
      <c r="N21" s="3">
        <f>IF(AND('Data Source'!B21&lt;&gt;"",'Data Source'!S21="A+"),IF('Data Source'!AF21&gt;=5,"A+",IF('Data Source'!AF21&gt;=4,"A",IF('Data Source'!AF21&gt;=3.5,"A-",IF('Data Source'!AF21&gt;=3,"B",IF('Data Source'!AF21&gt;=2,"C",IF('Data Source'!AF21&gt;=1,"D","F")))))),"")</f>
        <v/>
      </c>
      <c r="O21" s="3">
        <f>IF(AND('Data Source'!B21&lt;&gt;"",'Data Source'!S21="A+"),IF('Data Source'!AG21&gt;=5,"A+",IF('Data Source'!AG21&gt;=4,"A",IF('Data Source'!AG21&gt;=3.5,"A-",IF('Data Source'!AG21&gt;=3,"B",IF('Data Source'!AG21&gt;=2,"C",IF('Data Source'!AG21&gt;=1,"D","F")))))),"")</f>
        <v/>
      </c>
      <c r="P21" s="5">
        <f>IF(AND('Data Source'!B21&lt;&gt;"",'Data Source'!S21="A+"),'Data Source'!R21,"")</f>
        <v/>
      </c>
      <c r="Q21" s="3">
        <f>IF(AND('Data Source'!B21&lt;&gt;"",'Data Source'!S21="A+"),'Data Source'!S21,"")</f>
        <v/>
      </c>
    </row>
    <row r="22">
      <c r="A22" s="3">
        <f>IF(AND('Data Source'!B22&lt;&gt;"",'Data Source'!S22="A+"),COUNTIF('Data Source'!$S$3:S22,"A+"),"")</f>
        <v/>
      </c>
      <c r="B22">
        <f>IF(AND('Data Source'!B22&lt;&gt;"",'Data Source'!S22="A+"),'Data Source'!B22,"")</f>
        <v/>
      </c>
      <c r="C22" s="3">
        <f>IF(AND('Data Source'!B22&lt;&gt;"",'Data Source'!S22="A+"),IF('Data Source'!U22&gt;=5,"A+",IF('Data Source'!U22&gt;=4,"A",IF('Data Source'!U22&gt;=3.5,"A-",IF('Data Source'!U22&gt;=3,"B",IF('Data Source'!U22&gt;=2,"C",IF('Data Source'!U22&gt;=1,"D","F")))))),"")</f>
        <v/>
      </c>
      <c r="D22" s="3">
        <f>IF(AND('Data Source'!B22&lt;&gt;"",'Data Source'!S22="A+"),IF('Data Source'!V22&gt;=5,"A+",IF('Data Source'!V22&gt;=4,"A",IF('Data Source'!V22&gt;=3.5,"A-",IF('Data Source'!V22&gt;=3,"B",IF('Data Source'!V22&gt;=2,"C",IF('Data Source'!V22&gt;=1,"D","F")))))),"")</f>
        <v/>
      </c>
      <c r="E22" s="3">
        <f>IF(AND('Data Source'!B22&lt;&gt;"",'Data Source'!S22="A+"),IF('Data Source'!W22&gt;=5,"A+",IF('Data Source'!W22&gt;=4,"A",IF('Data Source'!W22&gt;=3.5,"A-",IF('Data Source'!W22&gt;=3,"B",IF('Data Source'!W22&gt;=2,"C",IF('Data Source'!W22&gt;=1,"D","F")))))),"")</f>
        <v/>
      </c>
      <c r="F22" s="3">
        <f>IF(AND('Data Source'!B22&lt;&gt;"",'Data Source'!S22="A+"),IF('Data Source'!X22&gt;=5,"A+",IF('Data Source'!X22&gt;=4,"A",IF('Data Source'!X22&gt;=3.5,"A-",IF('Data Source'!X22&gt;=3,"B",IF('Data Source'!X22&gt;=2,"C",IF('Data Source'!X22&gt;=1,"D","F")))))),"")</f>
        <v/>
      </c>
      <c r="G22" s="3">
        <f>IF(AND('Data Source'!B22&lt;&gt;"",'Data Source'!S22="A+"),IF('Data Source'!Y22&gt;=5,"A+",IF('Data Source'!Y22&gt;=4,"A",IF('Data Source'!Y22&gt;=3.5,"A-",IF('Data Source'!Y22&gt;=3,"B",IF('Data Source'!Y22&gt;=2,"C",IF('Data Source'!Y22&gt;=1,"D","F")))))),"")</f>
        <v/>
      </c>
      <c r="H22" s="3">
        <f>IF(AND('Data Source'!B22&lt;&gt;"",'Data Source'!S22="A+"),IF('Data Source'!Z22&gt;=5,"A+",IF('Data Source'!Z22&gt;=4,"A",IF('Data Source'!Z22&gt;=3.5,"A-",IF('Data Source'!Z22&gt;=3,"B",IF('Data Source'!Z22&gt;=2,"C",IF('Data Source'!Z22&gt;=1,"D","F")))))),"")</f>
        <v/>
      </c>
      <c r="I22" s="3">
        <f>IF(AND('Data Source'!B22&lt;&gt;"",'Data Source'!S22="A+"),IF('Data Source'!AA22&gt;=5,"A+",IF('Data Source'!AA22&gt;=4,"A",IF('Data Source'!AA22&gt;=3.5,"A-",IF('Data Source'!AA22&gt;=3,"B",IF('Data Source'!AA22&gt;=2,"C",IF('Data Source'!AA22&gt;=1,"D","F")))))),"")</f>
        <v/>
      </c>
      <c r="J22" s="3">
        <f>IF(AND('Data Source'!B22&lt;&gt;"",'Data Source'!S22="A+"),IF('Data Source'!AB22&gt;=5,"A+",IF('Data Source'!AB22&gt;=4,"A",IF('Data Source'!AB22&gt;=3.5,"A-",IF('Data Source'!AB22&gt;=3,"B",IF('Data Source'!AB22&gt;=2,"C",IF('Data Source'!AB22&gt;=1,"D","F")))))),"")</f>
        <v/>
      </c>
      <c r="K22" s="3">
        <f>IF(AND('Data Source'!B22&lt;&gt;"",'Data Source'!S22="A+"),IF('Data Source'!AC22&gt;=5,"A+",IF('Data Source'!AC22&gt;=4,"A",IF('Data Source'!AC22&gt;=3.5,"A-",IF('Data Source'!AC22&gt;=3,"B",IF('Data Source'!AC22&gt;=2,"C",IF('Data Source'!AC22&gt;=1,"D","F")))))),"")</f>
        <v/>
      </c>
      <c r="L22" s="3">
        <f>IF(AND('Data Source'!B22&lt;&gt;"",'Data Source'!S22="A+"),IF('Data Source'!AD22&gt;=5,"A+",IF('Data Source'!AD22&gt;=4,"A",IF('Data Source'!AD22&gt;=3.5,"A-",IF('Data Source'!AD22&gt;=3,"B",IF('Data Source'!AD22&gt;=2,"C",IF('Data Source'!AD22&gt;=1,"D","F")))))),"")</f>
        <v/>
      </c>
      <c r="M22" s="3">
        <f>IF(AND('Data Source'!B22&lt;&gt;"",'Data Source'!S22="A+"),IF('Data Source'!AE22&gt;=5,"A+",IF('Data Source'!AE22&gt;=4,"A",IF('Data Source'!AE22&gt;=3.5,"A-",IF('Data Source'!AE22&gt;=3,"B",IF('Data Source'!AE22&gt;=2,"C",IF('Data Source'!AE22&gt;=1,"D","F")))))),"")</f>
        <v/>
      </c>
      <c r="N22" s="3">
        <f>IF(AND('Data Source'!B22&lt;&gt;"",'Data Source'!S22="A+"),IF('Data Source'!AF22&gt;=5,"A+",IF('Data Source'!AF22&gt;=4,"A",IF('Data Source'!AF22&gt;=3.5,"A-",IF('Data Source'!AF22&gt;=3,"B",IF('Data Source'!AF22&gt;=2,"C",IF('Data Source'!AF22&gt;=1,"D","F")))))),"")</f>
        <v/>
      </c>
      <c r="O22" s="3">
        <f>IF(AND('Data Source'!B22&lt;&gt;"",'Data Source'!S22="A+"),IF('Data Source'!AG22&gt;=5,"A+",IF('Data Source'!AG22&gt;=4,"A",IF('Data Source'!AG22&gt;=3.5,"A-",IF('Data Source'!AG22&gt;=3,"B",IF('Data Source'!AG22&gt;=2,"C",IF('Data Source'!AG22&gt;=1,"D","F")))))),"")</f>
        <v/>
      </c>
      <c r="P22" s="5">
        <f>IF(AND('Data Source'!B22&lt;&gt;"",'Data Source'!S22="A+"),'Data Source'!R22,"")</f>
        <v/>
      </c>
      <c r="Q22" s="3">
        <f>IF(AND('Data Source'!B22&lt;&gt;"",'Data Source'!S22="A+"),'Data Source'!S22,"")</f>
        <v/>
      </c>
    </row>
    <row r="23">
      <c r="A23" s="3">
        <f>IF(AND('Data Source'!B23&lt;&gt;"",'Data Source'!S23="A+"),COUNTIF('Data Source'!$S$3:S23,"A+"),"")</f>
        <v/>
      </c>
      <c r="B23">
        <f>IF(AND('Data Source'!B23&lt;&gt;"",'Data Source'!S23="A+"),'Data Source'!B23,"")</f>
        <v/>
      </c>
      <c r="C23" s="3">
        <f>IF(AND('Data Source'!B23&lt;&gt;"",'Data Source'!S23="A+"),IF('Data Source'!U23&gt;=5,"A+",IF('Data Source'!U23&gt;=4,"A",IF('Data Source'!U23&gt;=3.5,"A-",IF('Data Source'!U23&gt;=3,"B",IF('Data Source'!U23&gt;=2,"C",IF('Data Source'!U23&gt;=1,"D","F")))))),"")</f>
        <v/>
      </c>
      <c r="D23" s="3">
        <f>IF(AND('Data Source'!B23&lt;&gt;"",'Data Source'!S23="A+"),IF('Data Source'!V23&gt;=5,"A+",IF('Data Source'!V23&gt;=4,"A",IF('Data Source'!V23&gt;=3.5,"A-",IF('Data Source'!V23&gt;=3,"B",IF('Data Source'!V23&gt;=2,"C",IF('Data Source'!V23&gt;=1,"D","F")))))),"")</f>
        <v/>
      </c>
      <c r="E23" s="3">
        <f>IF(AND('Data Source'!B23&lt;&gt;"",'Data Source'!S23="A+"),IF('Data Source'!W23&gt;=5,"A+",IF('Data Source'!W23&gt;=4,"A",IF('Data Source'!W23&gt;=3.5,"A-",IF('Data Source'!W23&gt;=3,"B",IF('Data Source'!W23&gt;=2,"C",IF('Data Source'!W23&gt;=1,"D","F")))))),"")</f>
        <v/>
      </c>
      <c r="F23" s="3">
        <f>IF(AND('Data Source'!B23&lt;&gt;"",'Data Source'!S23="A+"),IF('Data Source'!X23&gt;=5,"A+",IF('Data Source'!X23&gt;=4,"A",IF('Data Source'!X23&gt;=3.5,"A-",IF('Data Source'!X23&gt;=3,"B",IF('Data Source'!X23&gt;=2,"C",IF('Data Source'!X23&gt;=1,"D","F")))))),"")</f>
        <v/>
      </c>
      <c r="G23" s="3">
        <f>IF(AND('Data Source'!B23&lt;&gt;"",'Data Source'!S23="A+"),IF('Data Source'!Y23&gt;=5,"A+",IF('Data Source'!Y23&gt;=4,"A",IF('Data Source'!Y23&gt;=3.5,"A-",IF('Data Source'!Y23&gt;=3,"B",IF('Data Source'!Y23&gt;=2,"C",IF('Data Source'!Y23&gt;=1,"D","F")))))),"")</f>
        <v/>
      </c>
      <c r="H23" s="3">
        <f>IF(AND('Data Source'!B23&lt;&gt;"",'Data Source'!S23="A+"),IF('Data Source'!Z23&gt;=5,"A+",IF('Data Source'!Z23&gt;=4,"A",IF('Data Source'!Z23&gt;=3.5,"A-",IF('Data Source'!Z23&gt;=3,"B",IF('Data Source'!Z23&gt;=2,"C",IF('Data Source'!Z23&gt;=1,"D","F")))))),"")</f>
        <v/>
      </c>
      <c r="I23" s="3">
        <f>IF(AND('Data Source'!B23&lt;&gt;"",'Data Source'!S23="A+"),IF('Data Source'!AA23&gt;=5,"A+",IF('Data Source'!AA23&gt;=4,"A",IF('Data Source'!AA23&gt;=3.5,"A-",IF('Data Source'!AA23&gt;=3,"B",IF('Data Source'!AA23&gt;=2,"C",IF('Data Source'!AA23&gt;=1,"D","F")))))),"")</f>
        <v/>
      </c>
      <c r="J23" s="3">
        <f>IF(AND('Data Source'!B23&lt;&gt;"",'Data Source'!S23="A+"),IF('Data Source'!AB23&gt;=5,"A+",IF('Data Source'!AB23&gt;=4,"A",IF('Data Source'!AB23&gt;=3.5,"A-",IF('Data Source'!AB23&gt;=3,"B",IF('Data Source'!AB23&gt;=2,"C",IF('Data Source'!AB23&gt;=1,"D","F")))))),"")</f>
        <v/>
      </c>
      <c r="K23" s="3">
        <f>IF(AND('Data Source'!B23&lt;&gt;"",'Data Source'!S23="A+"),IF('Data Source'!AC23&gt;=5,"A+",IF('Data Source'!AC23&gt;=4,"A",IF('Data Source'!AC23&gt;=3.5,"A-",IF('Data Source'!AC23&gt;=3,"B",IF('Data Source'!AC23&gt;=2,"C",IF('Data Source'!AC23&gt;=1,"D","F")))))),"")</f>
        <v/>
      </c>
      <c r="L23" s="3">
        <f>IF(AND('Data Source'!B23&lt;&gt;"",'Data Source'!S23="A+"),IF('Data Source'!AD23&gt;=5,"A+",IF('Data Source'!AD23&gt;=4,"A",IF('Data Source'!AD23&gt;=3.5,"A-",IF('Data Source'!AD23&gt;=3,"B",IF('Data Source'!AD23&gt;=2,"C",IF('Data Source'!AD23&gt;=1,"D","F")))))),"")</f>
        <v/>
      </c>
      <c r="M23" s="3">
        <f>IF(AND('Data Source'!B23&lt;&gt;"",'Data Source'!S23="A+"),IF('Data Source'!AE23&gt;=5,"A+",IF('Data Source'!AE23&gt;=4,"A",IF('Data Source'!AE23&gt;=3.5,"A-",IF('Data Source'!AE23&gt;=3,"B",IF('Data Source'!AE23&gt;=2,"C",IF('Data Source'!AE23&gt;=1,"D","F")))))),"")</f>
        <v/>
      </c>
      <c r="N23" s="3">
        <f>IF(AND('Data Source'!B23&lt;&gt;"",'Data Source'!S23="A+"),IF('Data Source'!AF23&gt;=5,"A+",IF('Data Source'!AF23&gt;=4,"A",IF('Data Source'!AF23&gt;=3.5,"A-",IF('Data Source'!AF23&gt;=3,"B",IF('Data Source'!AF23&gt;=2,"C",IF('Data Source'!AF23&gt;=1,"D","F")))))),"")</f>
        <v/>
      </c>
      <c r="O23" s="3">
        <f>IF(AND('Data Source'!B23&lt;&gt;"",'Data Source'!S23="A+"),IF('Data Source'!AG23&gt;=5,"A+",IF('Data Source'!AG23&gt;=4,"A",IF('Data Source'!AG23&gt;=3.5,"A-",IF('Data Source'!AG23&gt;=3,"B",IF('Data Source'!AG23&gt;=2,"C",IF('Data Source'!AG23&gt;=1,"D","F")))))),"")</f>
        <v/>
      </c>
      <c r="P23" s="5">
        <f>IF(AND('Data Source'!B23&lt;&gt;"",'Data Source'!S23="A+"),'Data Source'!R23,"")</f>
        <v/>
      </c>
      <c r="Q23" s="3">
        <f>IF(AND('Data Source'!B23&lt;&gt;"",'Data Source'!S23="A+"),'Data Source'!S23,"")</f>
        <v/>
      </c>
    </row>
    <row r="24">
      <c r="A24" s="3">
        <f>IF(AND('Data Source'!B24&lt;&gt;"",'Data Source'!S24="A+"),COUNTIF('Data Source'!$S$3:S24,"A+"),"")</f>
        <v/>
      </c>
      <c r="B24">
        <f>IF(AND('Data Source'!B24&lt;&gt;"",'Data Source'!S24="A+"),'Data Source'!B24,"")</f>
        <v/>
      </c>
      <c r="C24" s="3">
        <f>IF(AND('Data Source'!B24&lt;&gt;"",'Data Source'!S24="A+"),IF('Data Source'!U24&gt;=5,"A+",IF('Data Source'!U24&gt;=4,"A",IF('Data Source'!U24&gt;=3.5,"A-",IF('Data Source'!U24&gt;=3,"B",IF('Data Source'!U24&gt;=2,"C",IF('Data Source'!U24&gt;=1,"D","F")))))),"")</f>
        <v/>
      </c>
      <c r="D24" s="3">
        <f>IF(AND('Data Source'!B24&lt;&gt;"",'Data Source'!S24="A+"),IF('Data Source'!V24&gt;=5,"A+",IF('Data Source'!V24&gt;=4,"A",IF('Data Source'!V24&gt;=3.5,"A-",IF('Data Source'!V24&gt;=3,"B",IF('Data Source'!V24&gt;=2,"C",IF('Data Source'!V24&gt;=1,"D","F")))))),"")</f>
        <v/>
      </c>
      <c r="E24" s="3">
        <f>IF(AND('Data Source'!B24&lt;&gt;"",'Data Source'!S24="A+"),IF('Data Source'!W24&gt;=5,"A+",IF('Data Source'!W24&gt;=4,"A",IF('Data Source'!W24&gt;=3.5,"A-",IF('Data Source'!W24&gt;=3,"B",IF('Data Source'!W24&gt;=2,"C",IF('Data Source'!W24&gt;=1,"D","F")))))),"")</f>
        <v/>
      </c>
      <c r="F24" s="3">
        <f>IF(AND('Data Source'!B24&lt;&gt;"",'Data Source'!S24="A+"),IF('Data Source'!X24&gt;=5,"A+",IF('Data Source'!X24&gt;=4,"A",IF('Data Source'!X24&gt;=3.5,"A-",IF('Data Source'!X24&gt;=3,"B",IF('Data Source'!X24&gt;=2,"C",IF('Data Source'!X24&gt;=1,"D","F")))))),"")</f>
        <v/>
      </c>
      <c r="G24" s="3">
        <f>IF(AND('Data Source'!B24&lt;&gt;"",'Data Source'!S24="A+"),IF('Data Source'!Y24&gt;=5,"A+",IF('Data Source'!Y24&gt;=4,"A",IF('Data Source'!Y24&gt;=3.5,"A-",IF('Data Source'!Y24&gt;=3,"B",IF('Data Source'!Y24&gt;=2,"C",IF('Data Source'!Y24&gt;=1,"D","F")))))),"")</f>
        <v/>
      </c>
      <c r="H24" s="3">
        <f>IF(AND('Data Source'!B24&lt;&gt;"",'Data Source'!S24="A+"),IF('Data Source'!Z24&gt;=5,"A+",IF('Data Source'!Z24&gt;=4,"A",IF('Data Source'!Z24&gt;=3.5,"A-",IF('Data Source'!Z24&gt;=3,"B",IF('Data Source'!Z24&gt;=2,"C",IF('Data Source'!Z24&gt;=1,"D","F")))))),"")</f>
        <v/>
      </c>
      <c r="I24" s="3">
        <f>IF(AND('Data Source'!B24&lt;&gt;"",'Data Source'!S24="A+"),IF('Data Source'!AA24&gt;=5,"A+",IF('Data Source'!AA24&gt;=4,"A",IF('Data Source'!AA24&gt;=3.5,"A-",IF('Data Source'!AA24&gt;=3,"B",IF('Data Source'!AA24&gt;=2,"C",IF('Data Source'!AA24&gt;=1,"D","F")))))),"")</f>
        <v/>
      </c>
      <c r="J24" s="3">
        <f>IF(AND('Data Source'!B24&lt;&gt;"",'Data Source'!S24="A+"),IF('Data Source'!AB24&gt;=5,"A+",IF('Data Source'!AB24&gt;=4,"A",IF('Data Source'!AB24&gt;=3.5,"A-",IF('Data Source'!AB24&gt;=3,"B",IF('Data Source'!AB24&gt;=2,"C",IF('Data Source'!AB24&gt;=1,"D","F")))))),"")</f>
        <v/>
      </c>
      <c r="K24" s="3">
        <f>IF(AND('Data Source'!B24&lt;&gt;"",'Data Source'!S24="A+"),IF('Data Source'!AC24&gt;=5,"A+",IF('Data Source'!AC24&gt;=4,"A",IF('Data Source'!AC24&gt;=3.5,"A-",IF('Data Source'!AC24&gt;=3,"B",IF('Data Source'!AC24&gt;=2,"C",IF('Data Source'!AC24&gt;=1,"D","F")))))),"")</f>
        <v/>
      </c>
      <c r="L24" s="3">
        <f>IF(AND('Data Source'!B24&lt;&gt;"",'Data Source'!S24="A+"),IF('Data Source'!AD24&gt;=5,"A+",IF('Data Source'!AD24&gt;=4,"A",IF('Data Source'!AD24&gt;=3.5,"A-",IF('Data Source'!AD24&gt;=3,"B",IF('Data Source'!AD24&gt;=2,"C",IF('Data Source'!AD24&gt;=1,"D","F")))))),"")</f>
        <v/>
      </c>
      <c r="M24" s="3">
        <f>IF(AND('Data Source'!B24&lt;&gt;"",'Data Source'!S24="A+"),IF('Data Source'!AE24&gt;=5,"A+",IF('Data Source'!AE24&gt;=4,"A",IF('Data Source'!AE24&gt;=3.5,"A-",IF('Data Source'!AE24&gt;=3,"B",IF('Data Source'!AE24&gt;=2,"C",IF('Data Source'!AE24&gt;=1,"D","F")))))),"")</f>
        <v/>
      </c>
      <c r="N24" s="3">
        <f>IF(AND('Data Source'!B24&lt;&gt;"",'Data Source'!S24="A+"),IF('Data Source'!AF24&gt;=5,"A+",IF('Data Source'!AF24&gt;=4,"A",IF('Data Source'!AF24&gt;=3.5,"A-",IF('Data Source'!AF24&gt;=3,"B",IF('Data Source'!AF24&gt;=2,"C",IF('Data Source'!AF24&gt;=1,"D","F")))))),"")</f>
        <v/>
      </c>
      <c r="O24" s="3">
        <f>IF(AND('Data Source'!B24&lt;&gt;"",'Data Source'!S24="A+"),IF('Data Source'!AG24&gt;=5,"A+",IF('Data Source'!AG24&gt;=4,"A",IF('Data Source'!AG24&gt;=3.5,"A-",IF('Data Source'!AG24&gt;=3,"B",IF('Data Source'!AG24&gt;=2,"C",IF('Data Source'!AG24&gt;=1,"D","F")))))),"")</f>
        <v/>
      </c>
      <c r="P24" s="5">
        <f>IF(AND('Data Source'!B24&lt;&gt;"",'Data Source'!S24="A+"),'Data Source'!R24,"")</f>
        <v/>
      </c>
      <c r="Q24" s="3">
        <f>IF(AND('Data Source'!B24&lt;&gt;"",'Data Source'!S24="A+"),'Data Source'!S24,"")</f>
        <v/>
      </c>
    </row>
    <row r="25">
      <c r="A25" s="3">
        <f>IF(AND('Data Source'!B25&lt;&gt;"",'Data Source'!S25="A+"),COUNTIF('Data Source'!$S$3:S25,"A+"),"")</f>
        <v/>
      </c>
      <c r="B25">
        <f>IF(AND('Data Source'!B25&lt;&gt;"",'Data Source'!S25="A+"),'Data Source'!B25,"")</f>
        <v/>
      </c>
      <c r="C25" s="3">
        <f>IF(AND('Data Source'!B25&lt;&gt;"",'Data Source'!S25="A+"),IF('Data Source'!U25&gt;=5,"A+",IF('Data Source'!U25&gt;=4,"A",IF('Data Source'!U25&gt;=3.5,"A-",IF('Data Source'!U25&gt;=3,"B",IF('Data Source'!U25&gt;=2,"C",IF('Data Source'!U25&gt;=1,"D","F")))))),"")</f>
        <v/>
      </c>
      <c r="D25" s="3">
        <f>IF(AND('Data Source'!B25&lt;&gt;"",'Data Source'!S25="A+"),IF('Data Source'!V25&gt;=5,"A+",IF('Data Source'!V25&gt;=4,"A",IF('Data Source'!V25&gt;=3.5,"A-",IF('Data Source'!V25&gt;=3,"B",IF('Data Source'!V25&gt;=2,"C",IF('Data Source'!V25&gt;=1,"D","F")))))),"")</f>
        <v/>
      </c>
      <c r="E25" s="3">
        <f>IF(AND('Data Source'!B25&lt;&gt;"",'Data Source'!S25="A+"),IF('Data Source'!W25&gt;=5,"A+",IF('Data Source'!W25&gt;=4,"A",IF('Data Source'!W25&gt;=3.5,"A-",IF('Data Source'!W25&gt;=3,"B",IF('Data Source'!W25&gt;=2,"C",IF('Data Source'!W25&gt;=1,"D","F")))))),"")</f>
        <v/>
      </c>
      <c r="F25" s="3">
        <f>IF(AND('Data Source'!B25&lt;&gt;"",'Data Source'!S25="A+"),IF('Data Source'!X25&gt;=5,"A+",IF('Data Source'!X25&gt;=4,"A",IF('Data Source'!X25&gt;=3.5,"A-",IF('Data Source'!X25&gt;=3,"B",IF('Data Source'!X25&gt;=2,"C",IF('Data Source'!X25&gt;=1,"D","F")))))),"")</f>
        <v/>
      </c>
      <c r="G25" s="3">
        <f>IF(AND('Data Source'!B25&lt;&gt;"",'Data Source'!S25="A+"),IF('Data Source'!Y25&gt;=5,"A+",IF('Data Source'!Y25&gt;=4,"A",IF('Data Source'!Y25&gt;=3.5,"A-",IF('Data Source'!Y25&gt;=3,"B",IF('Data Source'!Y25&gt;=2,"C",IF('Data Source'!Y25&gt;=1,"D","F")))))),"")</f>
        <v/>
      </c>
      <c r="H25" s="3">
        <f>IF(AND('Data Source'!B25&lt;&gt;"",'Data Source'!S25="A+"),IF('Data Source'!Z25&gt;=5,"A+",IF('Data Source'!Z25&gt;=4,"A",IF('Data Source'!Z25&gt;=3.5,"A-",IF('Data Source'!Z25&gt;=3,"B",IF('Data Source'!Z25&gt;=2,"C",IF('Data Source'!Z25&gt;=1,"D","F")))))),"")</f>
        <v/>
      </c>
      <c r="I25" s="3">
        <f>IF(AND('Data Source'!B25&lt;&gt;"",'Data Source'!S25="A+"),IF('Data Source'!AA25&gt;=5,"A+",IF('Data Source'!AA25&gt;=4,"A",IF('Data Source'!AA25&gt;=3.5,"A-",IF('Data Source'!AA25&gt;=3,"B",IF('Data Source'!AA25&gt;=2,"C",IF('Data Source'!AA25&gt;=1,"D","F")))))),"")</f>
        <v/>
      </c>
      <c r="J25" s="3">
        <f>IF(AND('Data Source'!B25&lt;&gt;"",'Data Source'!S25="A+"),IF('Data Source'!AB25&gt;=5,"A+",IF('Data Source'!AB25&gt;=4,"A",IF('Data Source'!AB25&gt;=3.5,"A-",IF('Data Source'!AB25&gt;=3,"B",IF('Data Source'!AB25&gt;=2,"C",IF('Data Source'!AB25&gt;=1,"D","F")))))),"")</f>
        <v/>
      </c>
      <c r="K25" s="3">
        <f>IF(AND('Data Source'!B25&lt;&gt;"",'Data Source'!S25="A+"),IF('Data Source'!AC25&gt;=5,"A+",IF('Data Source'!AC25&gt;=4,"A",IF('Data Source'!AC25&gt;=3.5,"A-",IF('Data Source'!AC25&gt;=3,"B",IF('Data Source'!AC25&gt;=2,"C",IF('Data Source'!AC25&gt;=1,"D","F")))))),"")</f>
        <v/>
      </c>
      <c r="L25" s="3">
        <f>IF(AND('Data Source'!B25&lt;&gt;"",'Data Source'!S25="A+"),IF('Data Source'!AD25&gt;=5,"A+",IF('Data Source'!AD25&gt;=4,"A",IF('Data Source'!AD25&gt;=3.5,"A-",IF('Data Source'!AD25&gt;=3,"B",IF('Data Source'!AD25&gt;=2,"C",IF('Data Source'!AD25&gt;=1,"D","F")))))),"")</f>
        <v/>
      </c>
      <c r="M25" s="3">
        <f>IF(AND('Data Source'!B25&lt;&gt;"",'Data Source'!S25="A+"),IF('Data Source'!AE25&gt;=5,"A+",IF('Data Source'!AE25&gt;=4,"A",IF('Data Source'!AE25&gt;=3.5,"A-",IF('Data Source'!AE25&gt;=3,"B",IF('Data Source'!AE25&gt;=2,"C",IF('Data Source'!AE25&gt;=1,"D","F")))))),"")</f>
        <v/>
      </c>
      <c r="N25" s="3">
        <f>IF(AND('Data Source'!B25&lt;&gt;"",'Data Source'!S25="A+"),IF('Data Source'!AF25&gt;=5,"A+",IF('Data Source'!AF25&gt;=4,"A",IF('Data Source'!AF25&gt;=3.5,"A-",IF('Data Source'!AF25&gt;=3,"B",IF('Data Source'!AF25&gt;=2,"C",IF('Data Source'!AF25&gt;=1,"D","F")))))),"")</f>
        <v/>
      </c>
      <c r="O25" s="3">
        <f>IF(AND('Data Source'!B25&lt;&gt;"",'Data Source'!S25="A+"),IF('Data Source'!AG25&gt;=5,"A+",IF('Data Source'!AG25&gt;=4,"A",IF('Data Source'!AG25&gt;=3.5,"A-",IF('Data Source'!AG25&gt;=3,"B",IF('Data Source'!AG25&gt;=2,"C",IF('Data Source'!AG25&gt;=1,"D","F")))))),"")</f>
        <v/>
      </c>
      <c r="P25" s="5">
        <f>IF(AND('Data Source'!B25&lt;&gt;"",'Data Source'!S25="A+"),'Data Source'!R25,"")</f>
        <v/>
      </c>
      <c r="Q25" s="3">
        <f>IF(AND('Data Source'!B25&lt;&gt;"",'Data Source'!S25="A+"),'Data Source'!S25,"")</f>
        <v/>
      </c>
    </row>
    <row r="26">
      <c r="A26" s="3">
        <f>IF(AND('Data Source'!B26&lt;&gt;"",'Data Source'!S26="A+"),COUNTIF('Data Source'!$S$3:S26,"A+"),"")</f>
        <v/>
      </c>
      <c r="B26">
        <f>IF(AND('Data Source'!B26&lt;&gt;"",'Data Source'!S26="A+"),'Data Source'!B26,"")</f>
        <v/>
      </c>
      <c r="C26" s="3">
        <f>IF(AND('Data Source'!B26&lt;&gt;"",'Data Source'!S26="A+"),IF('Data Source'!U26&gt;=5,"A+",IF('Data Source'!U26&gt;=4,"A",IF('Data Source'!U26&gt;=3.5,"A-",IF('Data Source'!U26&gt;=3,"B",IF('Data Source'!U26&gt;=2,"C",IF('Data Source'!U26&gt;=1,"D","F")))))),"")</f>
        <v/>
      </c>
      <c r="D26" s="3">
        <f>IF(AND('Data Source'!B26&lt;&gt;"",'Data Source'!S26="A+"),IF('Data Source'!V26&gt;=5,"A+",IF('Data Source'!V26&gt;=4,"A",IF('Data Source'!V26&gt;=3.5,"A-",IF('Data Source'!V26&gt;=3,"B",IF('Data Source'!V26&gt;=2,"C",IF('Data Source'!V26&gt;=1,"D","F")))))),"")</f>
        <v/>
      </c>
      <c r="E26" s="3">
        <f>IF(AND('Data Source'!B26&lt;&gt;"",'Data Source'!S26="A+"),IF('Data Source'!W26&gt;=5,"A+",IF('Data Source'!W26&gt;=4,"A",IF('Data Source'!W26&gt;=3.5,"A-",IF('Data Source'!W26&gt;=3,"B",IF('Data Source'!W26&gt;=2,"C",IF('Data Source'!W26&gt;=1,"D","F")))))),"")</f>
        <v/>
      </c>
      <c r="F26" s="3">
        <f>IF(AND('Data Source'!B26&lt;&gt;"",'Data Source'!S26="A+"),IF('Data Source'!X26&gt;=5,"A+",IF('Data Source'!X26&gt;=4,"A",IF('Data Source'!X26&gt;=3.5,"A-",IF('Data Source'!X26&gt;=3,"B",IF('Data Source'!X26&gt;=2,"C",IF('Data Source'!X26&gt;=1,"D","F")))))),"")</f>
        <v/>
      </c>
      <c r="G26" s="3">
        <f>IF(AND('Data Source'!B26&lt;&gt;"",'Data Source'!S26="A+"),IF('Data Source'!Y26&gt;=5,"A+",IF('Data Source'!Y26&gt;=4,"A",IF('Data Source'!Y26&gt;=3.5,"A-",IF('Data Source'!Y26&gt;=3,"B",IF('Data Source'!Y26&gt;=2,"C",IF('Data Source'!Y26&gt;=1,"D","F")))))),"")</f>
        <v/>
      </c>
      <c r="H26" s="3">
        <f>IF(AND('Data Source'!B26&lt;&gt;"",'Data Source'!S26="A+"),IF('Data Source'!Z26&gt;=5,"A+",IF('Data Source'!Z26&gt;=4,"A",IF('Data Source'!Z26&gt;=3.5,"A-",IF('Data Source'!Z26&gt;=3,"B",IF('Data Source'!Z26&gt;=2,"C",IF('Data Source'!Z26&gt;=1,"D","F")))))),"")</f>
        <v/>
      </c>
      <c r="I26" s="3">
        <f>IF(AND('Data Source'!B26&lt;&gt;"",'Data Source'!S26="A+"),IF('Data Source'!AA26&gt;=5,"A+",IF('Data Source'!AA26&gt;=4,"A",IF('Data Source'!AA26&gt;=3.5,"A-",IF('Data Source'!AA26&gt;=3,"B",IF('Data Source'!AA26&gt;=2,"C",IF('Data Source'!AA26&gt;=1,"D","F")))))),"")</f>
        <v/>
      </c>
      <c r="J26" s="3">
        <f>IF(AND('Data Source'!B26&lt;&gt;"",'Data Source'!S26="A+"),IF('Data Source'!AB26&gt;=5,"A+",IF('Data Source'!AB26&gt;=4,"A",IF('Data Source'!AB26&gt;=3.5,"A-",IF('Data Source'!AB26&gt;=3,"B",IF('Data Source'!AB26&gt;=2,"C",IF('Data Source'!AB26&gt;=1,"D","F")))))),"")</f>
        <v/>
      </c>
      <c r="K26" s="3">
        <f>IF(AND('Data Source'!B26&lt;&gt;"",'Data Source'!S26="A+"),IF('Data Source'!AC26&gt;=5,"A+",IF('Data Source'!AC26&gt;=4,"A",IF('Data Source'!AC26&gt;=3.5,"A-",IF('Data Source'!AC26&gt;=3,"B",IF('Data Source'!AC26&gt;=2,"C",IF('Data Source'!AC26&gt;=1,"D","F")))))),"")</f>
        <v/>
      </c>
      <c r="L26" s="3">
        <f>IF(AND('Data Source'!B26&lt;&gt;"",'Data Source'!S26="A+"),IF('Data Source'!AD26&gt;=5,"A+",IF('Data Source'!AD26&gt;=4,"A",IF('Data Source'!AD26&gt;=3.5,"A-",IF('Data Source'!AD26&gt;=3,"B",IF('Data Source'!AD26&gt;=2,"C",IF('Data Source'!AD26&gt;=1,"D","F")))))),"")</f>
        <v/>
      </c>
      <c r="M26" s="3">
        <f>IF(AND('Data Source'!B26&lt;&gt;"",'Data Source'!S26="A+"),IF('Data Source'!AE26&gt;=5,"A+",IF('Data Source'!AE26&gt;=4,"A",IF('Data Source'!AE26&gt;=3.5,"A-",IF('Data Source'!AE26&gt;=3,"B",IF('Data Source'!AE26&gt;=2,"C",IF('Data Source'!AE26&gt;=1,"D","F")))))),"")</f>
        <v/>
      </c>
      <c r="N26" s="3">
        <f>IF(AND('Data Source'!B26&lt;&gt;"",'Data Source'!S26="A+"),IF('Data Source'!AF26&gt;=5,"A+",IF('Data Source'!AF26&gt;=4,"A",IF('Data Source'!AF26&gt;=3.5,"A-",IF('Data Source'!AF26&gt;=3,"B",IF('Data Source'!AF26&gt;=2,"C",IF('Data Source'!AF26&gt;=1,"D","F")))))),"")</f>
        <v/>
      </c>
      <c r="O26" s="3">
        <f>IF(AND('Data Source'!B26&lt;&gt;"",'Data Source'!S26="A+"),IF('Data Source'!AG26&gt;=5,"A+",IF('Data Source'!AG26&gt;=4,"A",IF('Data Source'!AG26&gt;=3.5,"A-",IF('Data Source'!AG26&gt;=3,"B",IF('Data Source'!AG26&gt;=2,"C",IF('Data Source'!AG26&gt;=1,"D","F")))))),"")</f>
        <v/>
      </c>
      <c r="P26" s="5">
        <f>IF(AND('Data Source'!B26&lt;&gt;"",'Data Source'!S26="A+"),'Data Source'!R26,"")</f>
        <v/>
      </c>
      <c r="Q26" s="3">
        <f>IF(AND('Data Source'!B26&lt;&gt;"",'Data Source'!S26="A+"),'Data Source'!S26,"")</f>
        <v/>
      </c>
    </row>
    <row r="27">
      <c r="A27" s="3">
        <f>IF(AND('Data Source'!B27&lt;&gt;"",'Data Source'!S27="A+"),COUNTIF('Data Source'!$S$3:S27,"A+"),"")</f>
        <v/>
      </c>
      <c r="B27">
        <f>IF(AND('Data Source'!B27&lt;&gt;"",'Data Source'!S27="A+"),'Data Source'!B27,"")</f>
        <v/>
      </c>
      <c r="C27" s="3">
        <f>IF(AND('Data Source'!B27&lt;&gt;"",'Data Source'!S27="A+"),IF('Data Source'!U27&gt;=5,"A+",IF('Data Source'!U27&gt;=4,"A",IF('Data Source'!U27&gt;=3.5,"A-",IF('Data Source'!U27&gt;=3,"B",IF('Data Source'!U27&gt;=2,"C",IF('Data Source'!U27&gt;=1,"D","F")))))),"")</f>
        <v/>
      </c>
      <c r="D27" s="3">
        <f>IF(AND('Data Source'!B27&lt;&gt;"",'Data Source'!S27="A+"),IF('Data Source'!V27&gt;=5,"A+",IF('Data Source'!V27&gt;=4,"A",IF('Data Source'!V27&gt;=3.5,"A-",IF('Data Source'!V27&gt;=3,"B",IF('Data Source'!V27&gt;=2,"C",IF('Data Source'!V27&gt;=1,"D","F")))))),"")</f>
        <v/>
      </c>
      <c r="E27" s="3">
        <f>IF(AND('Data Source'!B27&lt;&gt;"",'Data Source'!S27="A+"),IF('Data Source'!W27&gt;=5,"A+",IF('Data Source'!W27&gt;=4,"A",IF('Data Source'!W27&gt;=3.5,"A-",IF('Data Source'!W27&gt;=3,"B",IF('Data Source'!W27&gt;=2,"C",IF('Data Source'!W27&gt;=1,"D","F")))))),"")</f>
        <v/>
      </c>
      <c r="F27" s="3">
        <f>IF(AND('Data Source'!B27&lt;&gt;"",'Data Source'!S27="A+"),IF('Data Source'!X27&gt;=5,"A+",IF('Data Source'!X27&gt;=4,"A",IF('Data Source'!X27&gt;=3.5,"A-",IF('Data Source'!X27&gt;=3,"B",IF('Data Source'!X27&gt;=2,"C",IF('Data Source'!X27&gt;=1,"D","F")))))),"")</f>
        <v/>
      </c>
      <c r="G27" s="3">
        <f>IF(AND('Data Source'!B27&lt;&gt;"",'Data Source'!S27="A+"),IF('Data Source'!Y27&gt;=5,"A+",IF('Data Source'!Y27&gt;=4,"A",IF('Data Source'!Y27&gt;=3.5,"A-",IF('Data Source'!Y27&gt;=3,"B",IF('Data Source'!Y27&gt;=2,"C",IF('Data Source'!Y27&gt;=1,"D","F")))))),"")</f>
        <v/>
      </c>
      <c r="H27" s="3">
        <f>IF(AND('Data Source'!B27&lt;&gt;"",'Data Source'!S27="A+"),IF('Data Source'!Z27&gt;=5,"A+",IF('Data Source'!Z27&gt;=4,"A",IF('Data Source'!Z27&gt;=3.5,"A-",IF('Data Source'!Z27&gt;=3,"B",IF('Data Source'!Z27&gt;=2,"C",IF('Data Source'!Z27&gt;=1,"D","F")))))),"")</f>
        <v/>
      </c>
      <c r="I27" s="3">
        <f>IF(AND('Data Source'!B27&lt;&gt;"",'Data Source'!S27="A+"),IF('Data Source'!AA27&gt;=5,"A+",IF('Data Source'!AA27&gt;=4,"A",IF('Data Source'!AA27&gt;=3.5,"A-",IF('Data Source'!AA27&gt;=3,"B",IF('Data Source'!AA27&gt;=2,"C",IF('Data Source'!AA27&gt;=1,"D","F")))))),"")</f>
        <v/>
      </c>
      <c r="J27" s="3">
        <f>IF(AND('Data Source'!B27&lt;&gt;"",'Data Source'!S27="A+"),IF('Data Source'!AB27&gt;=5,"A+",IF('Data Source'!AB27&gt;=4,"A",IF('Data Source'!AB27&gt;=3.5,"A-",IF('Data Source'!AB27&gt;=3,"B",IF('Data Source'!AB27&gt;=2,"C",IF('Data Source'!AB27&gt;=1,"D","F")))))),"")</f>
        <v/>
      </c>
      <c r="K27" s="3">
        <f>IF(AND('Data Source'!B27&lt;&gt;"",'Data Source'!S27="A+"),IF('Data Source'!AC27&gt;=5,"A+",IF('Data Source'!AC27&gt;=4,"A",IF('Data Source'!AC27&gt;=3.5,"A-",IF('Data Source'!AC27&gt;=3,"B",IF('Data Source'!AC27&gt;=2,"C",IF('Data Source'!AC27&gt;=1,"D","F")))))),"")</f>
        <v/>
      </c>
      <c r="L27" s="3">
        <f>IF(AND('Data Source'!B27&lt;&gt;"",'Data Source'!S27="A+"),IF('Data Source'!AD27&gt;=5,"A+",IF('Data Source'!AD27&gt;=4,"A",IF('Data Source'!AD27&gt;=3.5,"A-",IF('Data Source'!AD27&gt;=3,"B",IF('Data Source'!AD27&gt;=2,"C",IF('Data Source'!AD27&gt;=1,"D","F")))))),"")</f>
        <v/>
      </c>
      <c r="M27" s="3">
        <f>IF(AND('Data Source'!B27&lt;&gt;"",'Data Source'!S27="A+"),IF('Data Source'!AE27&gt;=5,"A+",IF('Data Source'!AE27&gt;=4,"A",IF('Data Source'!AE27&gt;=3.5,"A-",IF('Data Source'!AE27&gt;=3,"B",IF('Data Source'!AE27&gt;=2,"C",IF('Data Source'!AE27&gt;=1,"D","F")))))),"")</f>
        <v/>
      </c>
      <c r="N27" s="3">
        <f>IF(AND('Data Source'!B27&lt;&gt;"",'Data Source'!S27="A+"),IF('Data Source'!AF27&gt;=5,"A+",IF('Data Source'!AF27&gt;=4,"A",IF('Data Source'!AF27&gt;=3.5,"A-",IF('Data Source'!AF27&gt;=3,"B",IF('Data Source'!AF27&gt;=2,"C",IF('Data Source'!AF27&gt;=1,"D","F")))))),"")</f>
        <v/>
      </c>
      <c r="O27" s="3">
        <f>IF(AND('Data Source'!B27&lt;&gt;"",'Data Source'!S27="A+"),IF('Data Source'!AG27&gt;=5,"A+",IF('Data Source'!AG27&gt;=4,"A",IF('Data Source'!AG27&gt;=3.5,"A-",IF('Data Source'!AG27&gt;=3,"B",IF('Data Source'!AG27&gt;=2,"C",IF('Data Source'!AG27&gt;=1,"D","F")))))),"")</f>
        <v/>
      </c>
      <c r="P27" s="5">
        <f>IF(AND('Data Source'!B27&lt;&gt;"",'Data Source'!S27="A+"),'Data Source'!R27,"")</f>
        <v/>
      </c>
      <c r="Q27" s="3">
        <f>IF(AND('Data Source'!B27&lt;&gt;"",'Data Source'!S27="A+"),'Data Source'!S27,"")</f>
        <v/>
      </c>
    </row>
    <row r="28">
      <c r="A28" s="3">
        <f>IF(AND('Data Source'!B28&lt;&gt;"",'Data Source'!S28="A+"),COUNTIF('Data Source'!$S$3:S28,"A+"),"")</f>
        <v/>
      </c>
      <c r="B28">
        <f>IF(AND('Data Source'!B28&lt;&gt;"",'Data Source'!S28="A+"),'Data Source'!B28,"")</f>
        <v/>
      </c>
      <c r="C28" s="3">
        <f>IF(AND('Data Source'!B28&lt;&gt;"",'Data Source'!S28="A+"),IF('Data Source'!U28&gt;=5,"A+",IF('Data Source'!U28&gt;=4,"A",IF('Data Source'!U28&gt;=3.5,"A-",IF('Data Source'!U28&gt;=3,"B",IF('Data Source'!U28&gt;=2,"C",IF('Data Source'!U28&gt;=1,"D","F")))))),"")</f>
        <v/>
      </c>
      <c r="D28" s="3">
        <f>IF(AND('Data Source'!B28&lt;&gt;"",'Data Source'!S28="A+"),IF('Data Source'!V28&gt;=5,"A+",IF('Data Source'!V28&gt;=4,"A",IF('Data Source'!V28&gt;=3.5,"A-",IF('Data Source'!V28&gt;=3,"B",IF('Data Source'!V28&gt;=2,"C",IF('Data Source'!V28&gt;=1,"D","F")))))),"")</f>
        <v/>
      </c>
      <c r="E28" s="3">
        <f>IF(AND('Data Source'!B28&lt;&gt;"",'Data Source'!S28="A+"),IF('Data Source'!W28&gt;=5,"A+",IF('Data Source'!W28&gt;=4,"A",IF('Data Source'!W28&gt;=3.5,"A-",IF('Data Source'!W28&gt;=3,"B",IF('Data Source'!W28&gt;=2,"C",IF('Data Source'!W28&gt;=1,"D","F")))))),"")</f>
        <v/>
      </c>
      <c r="F28" s="3">
        <f>IF(AND('Data Source'!B28&lt;&gt;"",'Data Source'!S28="A+"),IF('Data Source'!X28&gt;=5,"A+",IF('Data Source'!X28&gt;=4,"A",IF('Data Source'!X28&gt;=3.5,"A-",IF('Data Source'!X28&gt;=3,"B",IF('Data Source'!X28&gt;=2,"C",IF('Data Source'!X28&gt;=1,"D","F")))))),"")</f>
        <v/>
      </c>
      <c r="G28" s="3">
        <f>IF(AND('Data Source'!B28&lt;&gt;"",'Data Source'!S28="A+"),IF('Data Source'!Y28&gt;=5,"A+",IF('Data Source'!Y28&gt;=4,"A",IF('Data Source'!Y28&gt;=3.5,"A-",IF('Data Source'!Y28&gt;=3,"B",IF('Data Source'!Y28&gt;=2,"C",IF('Data Source'!Y28&gt;=1,"D","F")))))),"")</f>
        <v/>
      </c>
      <c r="H28" s="3">
        <f>IF(AND('Data Source'!B28&lt;&gt;"",'Data Source'!S28="A+"),IF('Data Source'!Z28&gt;=5,"A+",IF('Data Source'!Z28&gt;=4,"A",IF('Data Source'!Z28&gt;=3.5,"A-",IF('Data Source'!Z28&gt;=3,"B",IF('Data Source'!Z28&gt;=2,"C",IF('Data Source'!Z28&gt;=1,"D","F")))))),"")</f>
        <v/>
      </c>
      <c r="I28" s="3">
        <f>IF(AND('Data Source'!B28&lt;&gt;"",'Data Source'!S28="A+"),IF('Data Source'!AA28&gt;=5,"A+",IF('Data Source'!AA28&gt;=4,"A",IF('Data Source'!AA28&gt;=3.5,"A-",IF('Data Source'!AA28&gt;=3,"B",IF('Data Source'!AA28&gt;=2,"C",IF('Data Source'!AA28&gt;=1,"D","F")))))),"")</f>
        <v/>
      </c>
      <c r="J28" s="3">
        <f>IF(AND('Data Source'!B28&lt;&gt;"",'Data Source'!S28="A+"),IF('Data Source'!AB28&gt;=5,"A+",IF('Data Source'!AB28&gt;=4,"A",IF('Data Source'!AB28&gt;=3.5,"A-",IF('Data Source'!AB28&gt;=3,"B",IF('Data Source'!AB28&gt;=2,"C",IF('Data Source'!AB28&gt;=1,"D","F")))))),"")</f>
        <v/>
      </c>
      <c r="K28" s="3">
        <f>IF(AND('Data Source'!B28&lt;&gt;"",'Data Source'!S28="A+"),IF('Data Source'!AC28&gt;=5,"A+",IF('Data Source'!AC28&gt;=4,"A",IF('Data Source'!AC28&gt;=3.5,"A-",IF('Data Source'!AC28&gt;=3,"B",IF('Data Source'!AC28&gt;=2,"C",IF('Data Source'!AC28&gt;=1,"D","F")))))),"")</f>
        <v/>
      </c>
      <c r="L28" s="3">
        <f>IF(AND('Data Source'!B28&lt;&gt;"",'Data Source'!S28="A+"),IF('Data Source'!AD28&gt;=5,"A+",IF('Data Source'!AD28&gt;=4,"A",IF('Data Source'!AD28&gt;=3.5,"A-",IF('Data Source'!AD28&gt;=3,"B",IF('Data Source'!AD28&gt;=2,"C",IF('Data Source'!AD28&gt;=1,"D","F")))))),"")</f>
        <v/>
      </c>
      <c r="M28" s="3">
        <f>IF(AND('Data Source'!B28&lt;&gt;"",'Data Source'!S28="A+"),IF('Data Source'!AE28&gt;=5,"A+",IF('Data Source'!AE28&gt;=4,"A",IF('Data Source'!AE28&gt;=3.5,"A-",IF('Data Source'!AE28&gt;=3,"B",IF('Data Source'!AE28&gt;=2,"C",IF('Data Source'!AE28&gt;=1,"D","F")))))),"")</f>
        <v/>
      </c>
      <c r="N28" s="3">
        <f>IF(AND('Data Source'!B28&lt;&gt;"",'Data Source'!S28="A+"),IF('Data Source'!AF28&gt;=5,"A+",IF('Data Source'!AF28&gt;=4,"A",IF('Data Source'!AF28&gt;=3.5,"A-",IF('Data Source'!AF28&gt;=3,"B",IF('Data Source'!AF28&gt;=2,"C",IF('Data Source'!AF28&gt;=1,"D","F")))))),"")</f>
        <v/>
      </c>
      <c r="O28" s="3">
        <f>IF(AND('Data Source'!B28&lt;&gt;"",'Data Source'!S28="A+"),IF('Data Source'!AG28&gt;=5,"A+",IF('Data Source'!AG28&gt;=4,"A",IF('Data Source'!AG28&gt;=3.5,"A-",IF('Data Source'!AG28&gt;=3,"B",IF('Data Source'!AG28&gt;=2,"C",IF('Data Source'!AG28&gt;=1,"D","F")))))),"")</f>
        <v/>
      </c>
      <c r="P28" s="5">
        <f>IF(AND('Data Source'!B28&lt;&gt;"",'Data Source'!S28="A+"),'Data Source'!R28,"")</f>
        <v/>
      </c>
      <c r="Q28" s="3">
        <f>IF(AND('Data Source'!B28&lt;&gt;"",'Data Source'!S28="A+"),'Data Source'!S28,"")</f>
        <v/>
      </c>
    </row>
    <row r="29">
      <c r="A29" s="3">
        <f>IF(AND('Data Source'!B29&lt;&gt;"",'Data Source'!S29="A+"),COUNTIF('Data Source'!$S$3:S29,"A+"),"")</f>
        <v/>
      </c>
      <c r="B29">
        <f>IF(AND('Data Source'!B29&lt;&gt;"",'Data Source'!S29="A+"),'Data Source'!B29,"")</f>
        <v/>
      </c>
      <c r="C29" s="3">
        <f>IF(AND('Data Source'!B29&lt;&gt;"",'Data Source'!S29="A+"),IF('Data Source'!U29&gt;=5,"A+",IF('Data Source'!U29&gt;=4,"A",IF('Data Source'!U29&gt;=3.5,"A-",IF('Data Source'!U29&gt;=3,"B",IF('Data Source'!U29&gt;=2,"C",IF('Data Source'!U29&gt;=1,"D","F")))))),"")</f>
        <v/>
      </c>
      <c r="D29" s="3">
        <f>IF(AND('Data Source'!B29&lt;&gt;"",'Data Source'!S29="A+"),IF('Data Source'!V29&gt;=5,"A+",IF('Data Source'!V29&gt;=4,"A",IF('Data Source'!V29&gt;=3.5,"A-",IF('Data Source'!V29&gt;=3,"B",IF('Data Source'!V29&gt;=2,"C",IF('Data Source'!V29&gt;=1,"D","F")))))),"")</f>
        <v/>
      </c>
      <c r="E29" s="3">
        <f>IF(AND('Data Source'!B29&lt;&gt;"",'Data Source'!S29="A+"),IF('Data Source'!W29&gt;=5,"A+",IF('Data Source'!W29&gt;=4,"A",IF('Data Source'!W29&gt;=3.5,"A-",IF('Data Source'!W29&gt;=3,"B",IF('Data Source'!W29&gt;=2,"C",IF('Data Source'!W29&gt;=1,"D","F")))))),"")</f>
        <v/>
      </c>
      <c r="F29" s="3">
        <f>IF(AND('Data Source'!B29&lt;&gt;"",'Data Source'!S29="A+"),IF('Data Source'!X29&gt;=5,"A+",IF('Data Source'!X29&gt;=4,"A",IF('Data Source'!X29&gt;=3.5,"A-",IF('Data Source'!X29&gt;=3,"B",IF('Data Source'!X29&gt;=2,"C",IF('Data Source'!X29&gt;=1,"D","F")))))),"")</f>
        <v/>
      </c>
      <c r="G29" s="3">
        <f>IF(AND('Data Source'!B29&lt;&gt;"",'Data Source'!S29="A+"),IF('Data Source'!Y29&gt;=5,"A+",IF('Data Source'!Y29&gt;=4,"A",IF('Data Source'!Y29&gt;=3.5,"A-",IF('Data Source'!Y29&gt;=3,"B",IF('Data Source'!Y29&gt;=2,"C",IF('Data Source'!Y29&gt;=1,"D","F")))))),"")</f>
        <v/>
      </c>
      <c r="H29" s="3">
        <f>IF(AND('Data Source'!B29&lt;&gt;"",'Data Source'!S29="A+"),IF('Data Source'!Z29&gt;=5,"A+",IF('Data Source'!Z29&gt;=4,"A",IF('Data Source'!Z29&gt;=3.5,"A-",IF('Data Source'!Z29&gt;=3,"B",IF('Data Source'!Z29&gt;=2,"C",IF('Data Source'!Z29&gt;=1,"D","F")))))),"")</f>
        <v/>
      </c>
      <c r="I29" s="3">
        <f>IF(AND('Data Source'!B29&lt;&gt;"",'Data Source'!S29="A+"),IF('Data Source'!AA29&gt;=5,"A+",IF('Data Source'!AA29&gt;=4,"A",IF('Data Source'!AA29&gt;=3.5,"A-",IF('Data Source'!AA29&gt;=3,"B",IF('Data Source'!AA29&gt;=2,"C",IF('Data Source'!AA29&gt;=1,"D","F")))))),"")</f>
        <v/>
      </c>
      <c r="J29" s="3">
        <f>IF(AND('Data Source'!B29&lt;&gt;"",'Data Source'!S29="A+"),IF('Data Source'!AB29&gt;=5,"A+",IF('Data Source'!AB29&gt;=4,"A",IF('Data Source'!AB29&gt;=3.5,"A-",IF('Data Source'!AB29&gt;=3,"B",IF('Data Source'!AB29&gt;=2,"C",IF('Data Source'!AB29&gt;=1,"D","F")))))),"")</f>
        <v/>
      </c>
      <c r="K29" s="3">
        <f>IF(AND('Data Source'!B29&lt;&gt;"",'Data Source'!S29="A+"),IF('Data Source'!AC29&gt;=5,"A+",IF('Data Source'!AC29&gt;=4,"A",IF('Data Source'!AC29&gt;=3.5,"A-",IF('Data Source'!AC29&gt;=3,"B",IF('Data Source'!AC29&gt;=2,"C",IF('Data Source'!AC29&gt;=1,"D","F")))))),"")</f>
        <v/>
      </c>
      <c r="L29" s="3">
        <f>IF(AND('Data Source'!B29&lt;&gt;"",'Data Source'!S29="A+"),IF('Data Source'!AD29&gt;=5,"A+",IF('Data Source'!AD29&gt;=4,"A",IF('Data Source'!AD29&gt;=3.5,"A-",IF('Data Source'!AD29&gt;=3,"B",IF('Data Source'!AD29&gt;=2,"C",IF('Data Source'!AD29&gt;=1,"D","F")))))),"")</f>
        <v/>
      </c>
      <c r="M29" s="3">
        <f>IF(AND('Data Source'!B29&lt;&gt;"",'Data Source'!S29="A+"),IF('Data Source'!AE29&gt;=5,"A+",IF('Data Source'!AE29&gt;=4,"A",IF('Data Source'!AE29&gt;=3.5,"A-",IF('Data Source'!AE29&gt;=3,"B",IF('Data Source'!AE29&gt;=2,"C",IF('Data Source'!AE29&gt;=1,"D","F")))))),"")</f>
        <v/>
      </c>
      <c r="N29" s="3">
        <f>IF(AND('Data Source'!B29&lt;&gt;"",'Data Source'!S29="A+"),IF('Data Source'!AF29&gt;=5,"A+",IF('Data Source'!AF29&gt;=4,"A",IF('Data Source'!AF29&gt;=3.5,"A-",IF('Data Source'!AF29&gt;=3,"B",IF('Data Source'!AF29&gt;=2,"C",IF('Data Source'!AF29&gt;=1,"D","F")))))),"")</f>
        <v/>
      </c>
      <c r="O29" s="3">
        <f>IF(AND('Data Source'!B29&lt;&gt;"",'Data Source'!S29="A+"),IF('Data Source'!AG29&gt;=5,"A+",IF('Data Source'!AG29&gt;=4,"A",IF('Data Source'!AG29&gt;=3.5,"A-",IF('Data Source'!AG29&gt;=3,"B",IF('Data Source'!AG29&gt;=2,"C",IF('Data Source'!AG29&gt;=1,"D","F")))))),"")</f>
        <v/>
      </c>
      <c r="P29" s="5">
        <f>IF(AND('Data Source'!B29&lt;&gt;"",'Data Source'!S29="A+"),'Data Source'!R29,"")</f>
        <v/>
      </c>
      <c r="Q29" s="3">
        <f>IF(AND('Data Source'!B29&lt;&gt;"",'Data Source'!S29="A+"),'Data Source'!S29,"")</f>
        <v/>
      </c>
    </row>
    <row r="30">
      <c r="A30" s="3">
        <f>IF(AND('Data Source'!B30&lt;&gt;"",'Data Source'!S30="A+"),COUNTIF('Data Source'!$S$3:S30,"A+"),"")</f>
        <v/>
      </c>
      <c r="B30">
        <f>IF(AND('Data Source'!B30&lt;&gt;"",'Data Source'!S30="A+"),'Data Source'!B30,"")</f>
        <v/>
      </c>
      <c r="C30" s="3">
        <f>IF(AND('Data Source'!B30&lt;&gt;"",'Data Source'!S30="A+"),IF('Data Source'!U30&gt;=5,"A+",IF('Data Source'!U30&gt;=4,"A",IF('Data Source'!U30&gt;=3.5,"A-",IF('Data Source'!U30&gt;=3,"B",IF('Data Source'!U30&gt;=2,"C",IF('Data Source'!U30&gt;=1,"D","F")))))),"")</f>
        <v/>
      </c>
      <c r="D30" s="3">
        <f>IF(AND('Data Source'!B30&lt;&gt;"",'Data Source'!S30="A+"),IF('Data Source'!V30&gt;=5,"A+",IF('Data Source'!V30&gt;=4,"A",IF('Data Source'!V30&gt;=3.5,"A-",IF('Data Source'!V30&gt;=3,"B",IF('Data Source'!V30&gt;=2,"C",IF('Data Source'!V30&gt;=1,"D","F")))))),"")</f>
        <v/>
      </c>
      <c r="E30" s="3">
        <f>IF(AND('Data Source'!B30&lt;&gt;"",'Data Source'!S30="A+"),IF('Data Source'!W30&gt;=5,"A+",IF('Data Source'!W30&gt;=4,"A",IF('Data Source'!W30&gt;=3.5,"A-",IF('Data Source'!W30&gt;=3,"B",IF('Data Source'!W30&gt;=2,"C",IF('Data Source'!W30&gt;=1,"D","F")))))),"")</f>
        <v/>
      </c>
      <c r="F30" s="3">
        <f>IF(AND('Data Source'!B30&lt;&gt;"",'Data Source'!S30="A+"),IF('Data Source'!X30&gt;=5,"A+",IF('Data Source'!X30&gt;=4,"A",IF('Data Source'!X30&gt;=3.5,"A-",IF('Data Source'!X30&gt;=3,"B",IF('Data Source'!X30&gt;=2,"C",IF('Data Source'!X30&gt;=1,"D","F")))))),"")</f>
        <v/>
      </c>
      <c r="G30" s="3">
        <f>IF(AND('Data Source'!B30&lt;&gt;"",'Data Source'!S30="A+"),IF('Data Source'!Y30&gt;=5,"A+",IF('Data Source'!Y30&gt;=4,"A",IF('Data Source'!Y30&gt;=3.5,"A-",IF('Data Source'!Y30&gt;=3,"B",IF('Data Source'!Y30&gt;=2,"C",IF('Data Source'!Y30&gt;=1,"D","F")))))),"")</f>
        <v/>
      </c>
      <c r="H30" s="3">
        <f>IF(AND('Data Source'!B30&lt;&gt;"",'Data Source'!S30="A+"),IF('Data Source'!Z30&gt;=5,"A+",IF('Data Source'!Z30&gt;=4,"A",IF('Data Source'!Z30&gt;=3.5,"A-",IF('Data Source'!Z30&gt;=3,"B",IF('Data Source'!Z30&gt;=2,"C",IF('Data Source'!Z30&gt;=1,"D","F")))))),"")</f>
        <v/>
      </c>
      <c r="I30" s="3">
        <f>IF(AND('Data Source'!B30&lt;&gt;"",'Data Source'!S30="A+"),IF('Data Source'!AA30&gt;=5,"A+",IF('Data Source'!AA30&gt;=4,"A",IF('Data Source'!AA30&gt;=3.5,"A-",IF('Data Source'!AA30&gt;=3,"B",IF('Data Source'!AA30&gt;=2,"C",IF('Data Source'!AA30&gt;=1,"D","F")))))),"")</f>
        <v/>
      </c>
      <c r="J30" s="3">
        <f>IF(AND('Data Source'!B30&lt;&gt;"",'Data Source'!S30="A+"),IF('Data Source'!AB30&gt;=5,"A+",IF('Data Source'!AB30&gt;=4,"A",IF('Data Source'!AB30&gt;=3.5,"A-",IF('Data Source'!AB30&gt;=3,"B",IF('Data Source'!AB30&gt;=2,"C",IF('Data Source'!AB30&gt;=1,"D","F")))))),"")</f>
        <v/>
      </c>
      <c r="K30" s="3">
        <f>IF(AND('Data Source'!B30&lt;&gt;"",'Data Source'!S30="A+"),IF('Data Source'!AC30&gt;=5,"A+",IF('Data Source'!AC30&gt;=4,"A",IF('Data Source'!AC30&gt;=3.5,"A-",IF('Data Source'!AC30&gt;=3,"B",IF('Data Source'!AC30&gt;=2,"C",IF('Data Source'!AC30&gt;=1,"D","F")))))),"")</f>
        <v/>
      </c>
      <c r="L30" s="3">
        <f>IF(AND('Data Source'!B30&lt;&gt;"",'Data Source'!S30="A+"),IF('Data Source'!AD30&gt;=5,"A+",IF('Data Source'!AD30&gt;=4,"A",IF('Data Source'!AD30&gt;=3.5,"A-",IF('Data Source'!AD30&gt;=3,"B",IF('Data Source'!AD30&gt;=2,"C",IF('Data Source'!AD30&gt;=1,"D","F")))))),"")</f>
        <v/>
      </c>
      <c r="M30" s="3">
        <f>IF(AND('Data Source'!B30&lt;&gt;"",'Data Source'!S30="A+"),IF('Data Source'!AE30&gt;=5,"A+",IF('Data Source'!AE30&gt;=4,"A",IF('Data Source'!AE30&gt;=3.5,"A-",IF('Data Source'!AE30&gt;=3,"B",IF('Data Source'!AE30&gt;=2,"C",IF('Data Source'!AE30&gt;=1,"D","F")))))),"")</f>
        <v/>
      </c>
      <c r="N30" s="3">
        <f>IF(AND('Data Source'!B30&lt;&gt;"",'Data Source'!S30="A+"),IF('Data Source'!AF30&gt;=5,"A+",IF('Data Source'!AF30&gt;=4,"A",IF('Data Source'!AF30&gt;=3.5,"A-",IF('Data Source'!AF30&gt;=3,"B",IF('Data Source'!AF30&gt;=2,"C",IF('Data Source'!AF30&gt;=1,"D","F")))))),"")</f>
        <v/>
      </c>
      <c r="O30" s="3">
        <f>IF(AND('Data Source'!B30&lt;&gt;"",'Data Source'!S30="A+"),IF('Data Source'!AG30&gt;=5,"A+",IF('Data Source'!AG30&gt;=4,"A",IF('Data Source'!AG30&gt;=3.5,"A-",IF('Data Source'!AG30&gt;=3,"B",IF('Data Source'!AG30&gt;=2,"C",IF('Data Source'!AG30&gt;=1,"D","F")))))),"")</f>
        <v/>
      </c>
      <c r="P30" s="5">
        <f>IF(AND('Data Source'!B30&lt;&gt;"",'Data Source'!S30="A+"),'Data Source'!R30,"")</f>
        <v/>
      </c>
      <c r="Q30" s="3">
        <f>IF(AND('Data Source'!B30&lt;&gt;"",'Data Source'!S30="A+"),'Data Source'!S30,"")</f>
        <v/>
      </c>
    </row>
    <row r="31">
      <c r="A31" s="3">
        <f>IF(AND('Data Source'!B31&lt;&gt;"",'Data Source'!S31="A+"),COUNTIF('Data Source'!$S$3:S31,"A+"),"")</f>
        <v/>
      </c>
      <c r="B31">
        <f>IF(AND('Data Source'!B31&lt;&gt;"",'Data Source'!S31="A+"),'Data Source'!B31,"")</f>
        <v/>
      </c>
      <c r="C31" s="3">
        <f>IF(AND('Data Source'!B31&lt;&gt;"",'Data Source'!S31="A+"),IF('Data Source'!U31&gt;=5,"A+",IF('Data Source'!U31&gt;=4,"A",IF('Data Source'!U31&gt;=3.5,"A-",IF('Data Source'!U31&gt;=3,"B",IF('Data Source'!U31&gt;=2,"C",IF('Data Source'!U31&gt;=1,"D","F")))))),"")</f>
        <v/>
      </c>
      <c r="D31" s="3">
        <f>IF(AND('Data Source'!B31&lt;&gt;"",'Data Source'!S31="A+"),IF('Data Source'!V31&gt;=5,"A+",IF('Data Source'!V31&gt;=4,"A",IF('Data Source'!V31&gt;=3.5,"A-",IF('Data Source'!V31&gt;=3,"B",IF('Data Source'!V31&gt;=2,"C",IF('Data Source'!V31&gt;=1,"D","F")))))),"")</f>
        <v/>
      </c>
      <c r="E31" s="3">
        <f>IF(AND('Data Source'!B31&lt;&gt;"",'Data Source'!S31="A+"),IF('Data Source'!W31&gt;=5,"A+",IF('Data Source'!W31&gt;=4,"A",IF('Data Source'!W31&gt;=3.5,"A-",IF('Data Source'!W31&gt;=3,"B",IF('Data Source'!W31&gt;=2,"C",IF('Data Source'!W31&gt;=1,"D","F")))))),"")</f>
        <v/>
      </c>
      <c r="F31" s="3">
        <f>IF(AND('Data Source'!B31&lt;&gt;"",'Data Source'!S31="A+"),IF('Data Source'!X31&gt;=5,"A+",IF('Data Source'!X31&gt;=4,"A",IF('Data Source'!X31&gt;=3.5,"A-",IF('Data Source'!X31&gt;=3,"B",IF('Data Source'!X31&gt;=2,"C",IF('Data Source'!X31&gt;=1,"D","F")))))),"")</f>
        <v/>
      </c>
      <c r="G31" s="3">
        <f>IF(AND('Data Source'!B31&lt;&gt;"",'Data Source'!S31="A+"),IF('Data Source'!Y31&gt;=5,"A+",IF('Data Source'!Y31&gt;=4,"A",IF('Data Source'!Y31&gt;=3.5,"A-",IF('Data Source'!Y31&gt;=3,"B",IF('Data Source'!Y31&gt;=2,"C",IF('Data Source'!Y31&gt;=1,"D","F")))))),"")</f>
        <v/>
      </c>
      <c r="H31" s="3">
        <f>IF(AND('Data Source'!B31&lt;&gt;"",'Data Source'!S31="A+"),IF('Data Source'!Z31&gt;=5,"A+",IF('Data Source'!Z31&gt;=4,"A",IF('Data Source'!Z31&gt;=3.5,"A-",IF('Data Source'!Z31&gt;=3,"B",IF('Data Source'!Z31&gt;=2,"C",IF('Data Source'!Z31&gt;=1,"D","F")))))),"")</f>
        <v/>
      </c>
      <c r="I31" s="3">
        <f>IF(AND('Data Source'!B31&lt;&gt;"",'Data Source'!S31="A+"),IF('Data Source'!AA31&gt;=5,"A+",IF('Data Source'!AA31&gt;=4,"A",IF('Data Source'!AA31&gt;=3.5,"A-",IF('Data Source'!AA31&gt;=3,"B",IF('Data Source'!AA31&gt;=2,"C",IF('Data Source'!AA31&gt;=1,"D","F")))))),"")</f>
        <v/>
      </c>
      <c r="J31" s="3">
        <f>IF(AND('Data Source'!B31&lt;&gt;"",'Data Source'!S31="A+"),IF('Data Source'!AB31&gt;=5,"A+",IF('Data Source'!AB31&gt;=4,"A",IF('Data Source'!AB31&gt;=3.5,"A-",IF('Data Source'!AB31&gt;=3,"B",IF('Data Source'!AB31&gt;=2,"C",IF('Data Source'!AB31&gt;=1,"D","F")))))),"")</f>
        <v/>
      </c>
      <c r="K31" s="3">
        <f>IF(AND('Data Source'!B31&lt;&gt;"",'Data Source'!S31="A+"),IF('Data Source'!AC31&gt;=5,"A+",IF('Data Source'!AC31&gt;=4,"A",IF('Data Source'!AC31&gt;=3.5,"A-",IF('Data Source'!AC31&gt;=3,"B",IF('Data Source'!AC31&gt;=2,"C",IF('Data Source'!AC31&gt;=1,"D","F")))))),"")</f>
        <v/>
      </c>
      <c r="L31" s="3">
        <f>IF(AND('Data Source'!B31&lt;&gt;"",'Data Source'!S31="A+"),IF('Data Source'!AD31&gt;=5,"A+",IF('Data Source'!AD31&gt;=4,"A",IF('Data Source'!AD31&gt;=3.5,"A-",IF('Data Source'!AD31&gt;=3,"B",IF('Data Source'!AD31&gt;=2,"C",IF('Data Source'!AD31&gt;=1,"D","F")))))),"")</f>
        <v/>
      </c>
      <c r="M31" s="3">
        <f>IF(AND('Data Source'!B31&lt;&gt;"",'Data Source'!S31="A+"),IF('Data Source'!AE31&gt;=5,"A+",IF('Data Source'!AE31&gt;=4,"A",IF('Data Source'!AE31&gt;=3.5,"A-",IF('Data Source'!AE31&gt;=3,"B",IF('Data Source'!AE31&gt;=2,"C",IF('Data Source'!AE31&gt;=1,"D","F")))))),"")</f>
        <v/>
      </c>
      <c r="N31" s="3">
        <f>IF(AND('Data Source'!B31&lt;&gt;"",'Data Source'!S31="A+"),IF('Data Source'!AF31&gt;=5,"A+",IF('Data Source'!AF31&gt;=4,"A",IF('Data Source'!AF31&gt;=3.5,"A-",IF('Data Source'!AF31&gt;=3,"B",IF('Data Source'!AF31&gt;=2,"C",IF('Data Source'!AF31&gt;=1,"D","F")))))),"")</f>
        <v/>
      </c>
      <c r="O31" s="3">
        <f>IF(AND('Data Source'!B31&lt;&gt;"",'Data Source'!S31="A+"),IF('Data Source'!AG31&gt;=5,"A+",IF('Data Source'!AG31&gt;=4,"A",IF('Data Source'!AG31&gt;=3.5,"A-",IF('Data Source'!AG31&gt;=3,"B",IF('Data Source'!AG31&gt;=2,"C",IF('Data Source'!AG31&gt;=1,"D","F")))))),"")</f>
        <v/>
      </c>
      <c r="P31" s="5">
        <f>IF(AND('Data Source'!B31&lt;&gt;"",'Data Source'!S31="A+"),'Data Source'!R31,"")</f>
        <v/>
      </c>
      <c r="Q31" s="3">
        <f>IF(AND('Data Source'!B31&lt;&gt;"",'Data Source'!S31="A+"),'Data Source'!S31,"")</f>
        <v/>
      </c>
    </row>
    <row r="32">
      <c r="A32" s="3">
        <f>IF(AND('Data Source'!B32&lt;&gt;"",'Data Source'!S32="A+"),COUNTIF('Data Source'!$S$3:S32,"A+"),"")</f>
        <v/>
      </c>
      <c r="B32">
        <f>IF(AND('Data Source'!B32&lt;&gt;"",'Data Source'!S32="A+"),'Data Source'!B32,"")</f>
        <v/>
      </c>
      <c r="C32" s="3">
        <f>IF(AND('Data Source'!B32&lt;&gt;"",'Data Source'!S32="A+"),IF('Data Source'!U32&gt;=5,"A+",IF('Data Source'!U32&gt;=4,"A",IF('Data Source'!U32&gt;=3.5,"A-",IF('Data Source'!U32&gt;=3,"B",IF('Data Source'!U32&gt;=2,"C",IF('Data Source'!U32&gt;=1,"D","F")))))),"")</f>
        <v/>
      </c>
      <c r="D32" s="3">
        <f>IF(AND('Data Source'!B32&lt;&gt;"",'Data Source'!S32="A+"),IF('Data Source'!V32&gt;=5,"A+",IF('Data Source'!V32&gt;=4,"A",IF('Data Source'!V32&gt;=3.5,"A-",IF('Data Source'!V32&gt;=3,"B",IF('Data Source'!V32&gt;=2,"C",IF('Data Source'!V32&gt;=1,"D","F")))))),"")</f>
        <v/>
      </c>
      <c r="E32" s="3">
        <f>IF(AND('Data Source'!B32&lt;&gt;"",'Data Source'!S32="A+"),IF('Data Source'!W32&gt;=5,"A+",IF('Data Source'!W32&gt;=4,"A",IF('Data Source'!W32&gt;=3.5,"A-",IF('Data Source'!W32&gt;=3,"B",IF('Data Source'!W32&gt;=2,"C",IF('Data Source'!W32&gt;=1,"D","F")))))),"")</f>
        <v/>
      </c>
      <c r="F32" s="3">
        <f>IF(AND('Data Source'!B32&lt;&gt;"",'Data Source'!S32="A+"),IF('Data Source'!X32&gt;=5,"A+",IF('Data Source'!X32&gt;=4,"A",IF('Data Source'!X32&gt;=3.5,"A-",IF('Data Source'!X32&gt;=3,"B",IF('Data Source'!X32&gt;=2,"C",IF('Data Source'!X32&gt;=1,"D","F")))))),"")</f>
        <v/>
      </c>
      <c r="G32" s="3">
        <f>IF(AND('Data Source'!B32&lt;&gt;"",'Data Source'!S32="A+"),IF('Data Source'!Y32&gt;=5,"A+",IF('Data Source'!Y32&gt;=4,"A",IF('Data Source'!Y32&gt;=3.5,"A-",IF('Data Source'!Y32&gt;=3,"B",IF('Data Source'!Y32&gt;=2,"C",IF('Data Source'!Y32&gt;=1,"D","F")))))),"")</f>
        <v/>
      </c>
      <c r="H32" s="3">
        <f>IF(AND('Data Source'!B32&lt;&gt;"",'Data Source'!S32="A+"),IF('Data Source'!Z32&gt;=5,"A+",IF('Data Source'!Z32&gt;=4,"A",IF('Data Source'!Z32&gt;=3.5,"A-",IF('Data Source'!Z32&gt;=3,"B",IF('Data Source'!Z32&gt;=2,"C",IF('Data Source'!Z32&gt;=1,"D","F")))))),"")</f>
        <v/>
      </c>
      <c r="I32" s="3">
        <f>IF(AND('Data Source'!B32&lt;&gt;"",'Data Source'!S32="A+"),IF('Data Source'!AA32&gt;=5,"A+",IF('Data Source'!AA32&gt;=4,"A",IF('Data Source'!AA32&gt;=3.5,"A-",IF('Data Source'!AA32&gt;=3,"B",IF('Data Source'!AA32&gt;=2,"C",IF('Data Source'!AA32&gt;=1,"D","F")))))),"")</f>
        <v/>
      </c>
      <c r="J32" s="3">
        <f>IF(AND('Data Source'!B32&lt;&gt;"",'Data Source'!S32="A+"),IF('Data Source'!AB32&gt;=5,"A+",IF('Data Source'!AB32&gt;=4,"A",IF('Data Source'!AB32&gt;=3.5,"A-",IF('Data Source'!AB32&gt;=3,"B",IF('Data Source'!AB32&gt;=2,"C",IF('Data Source'!AB32&gt;=1,"D","F")))))),"")</f>
        <v/>
      </c>
      <c r="K32" s="3">
        <f>IF(AND('Data Source'!B32&lt;&gt;"",'Data Source'!S32="A+"),IF('Data Source'!AC32&gt;=5,"A+",IF('Data Source'!AC32&gt;=4,"A",IF('Data Source'!AC32&gt;=3.5,"A-",IF('Data Source'!AC32&gt;=3,"B",IF('Data Source'!AC32&gt;=2,"C",IF('Data Source'!AC32&gt;=1,"D","F")))))),"")</f>
        <v/>
      </c>
      <c r="L32" s="3">
        <f>IF(AND('Data Source'!B32&lt;&gt;"",'Data Source'!S32="A+"),IF('Data Source'!AD32&gt;=5,"A+",IF('Data Source'!AD32&gt;=4,"A",IF('Data Source'!AD32&gt;=3.5,"A-",IF('Data Source'!AD32&gt;=3,"B",IF('Data Source'!AD32&gt;=2,"C",IF('Data Source'!AD32&gt;=1,"D","F")))))),"")</f>
        <v/>
      </c>
      <c r="M32" s="3">
        <f>IF(AND('Data Source'!B32&lt;&gt;"",'Data Source'!S32="A+"),IF('Data Source'!AE32&gt;=5,"A+",IF('Data Source'!AE32&gt;=4,"A",IF('Data Source'!AE32&gt;=3.5,"A-",IF('Data Source'!AE32&gt;=3,"B",IF('Data Source'!AE32&gt;=2,"C",IF('Data Source'!AE32&gt;=1,"D","F")))))),"")</f>
        <v/>
      </c>
      <c r="N32" s="3">
        <f>IF(AND('Data Source'!B32&lt;&gt;"",'Data Source'!S32="A+"),IF('Data Source'!AF32&gt;=5,"A+",IF('Data Source'!AF32&gt;=4,"A",IF('Data Source'!AF32&gt;=3.5,"A-",IF('Data Source'!AF32&gt;=3,"B",IF('Data Source'!AF32&gt;=2,"C",IF('Data Source'!AF32&gt;=1,"D","F")))))),"")</f>
        <v/>
      </c>
      <c r="O32" s="3">
        <f>IF(AND('Data Source'!B32&lt;&gt;"",'Data Source'!S32="A+"),IF('Data Source'!AG32&gt;=5,"A+",IF('Data Source'!AG32&gt;=4,"A",IF('Data Source'!AG32&gt;=3.5,"A-",IF('Data Source'!AG32&gt;=3,"B",IF('Data Source'!AG32&gt;=2,"C",IF('Data Source'!AG32&gt;=1,"D","F")))))),"")</f>
        <v/>
      </c>
      <c r="P32" s="5">
        <f>IF(AND('Data Source'!B32&lt;&gt;"",'Data Source'!S32="A+"),'Data Source'!R32,"")</f>
        <v/>
      </c>
      <c r="Q32" s="3">
        <f>IF(AND('Data Source'!B32&lt;&gt;"",'Data Source'!S32="A+"),'Data Source'!S32,"")</f>
        <v/>
      </c>
    </row>
    <row r="33">
      <c r="A33" s="3">
        <f>IF(AND('Data Source'!B33&lt;&gt;"",'Data Source'!S33="A+"),COUNTIF('Data Source'!$S$3:S33,"A+"),"")</f>
        <v/>
      </c>
      <c r="B33">
        <f>IF(AND('Data Source'!B33&lt;&gt;"",'Data Source'!S33="A+"),'Data Source'!B33,"")</f>
        <v/>
      </c>
      <c r="C33" s="3">
        <f>IF(AND('Data Source'!B33&lt;&gt;"",'Data Source'!S33="A+"),IF('Data Source'!U33&gt;=5,"A+",IF('Data Source'!U33&gt;=4,"A",IF('Data Source'!U33&gt;=3.5,"A-",IF('Data Source'!U33&gt;=3,"B",IF('Data Source'!U33&gt;=2,"C",IF('Data Source'!U33&gt;=1,"D","F")))))),"")</f>
        <v/>
      </c>
      <c r="D33" s="3">
        <f>IF(AND('Data Source'!B33&lt;&gt;"",'Data Source'!S33="A+"),IF('Data Source'!V33&gt;=5,"A+",IF('Data Source'!V33&gt;=4,"A",IF('Data Source'!V33&gt;=3.5,"A-",IF('Data Source'!V33&gt;=3,"B",IF('Data Source'!V33&gt;=2,"C",IF('Data Source'!V33&gt;=1,"D","F")))))),"")</f>
        <v/>
      </c>
      <c r="E33" s="3">
        <f>IF(AND('Data Source'!B33&lt;&gt;"",'Data Source'!S33="A+"),IF('Data Source'!W33&gt;=5,"A+",IF('Data Source'!W33&gt;=4,"A",IF('Data Source'!W33&gt;=3.5,"A-",IF('Data Source'!W33&gt;=3,"B",IF('Data Source'!W33&gt;=2,"C",IF('Data Source'!W33&gt;=1,"D","F")))))),"")</f>
        <v/>
      </c>
      <c r="F33" s="3">
        <f>IF(AND('Data Source'!B33&lt;&gt;"",'Data Source'!S33="A+"),IF('Data Source'!X33&gt;=5,"A+",IF('Data Source'!X33&gt;=4,"A",IF('Data Source'!X33&gt;=3.5,"A-",IF('Data Source'!X33&gt;=3,"B",IF('Data Source'!X33&gt;=2,"C",IF('Data Source'!X33&gt;=1,"D","F")))))),"")</f>
        <v/>
      </c>
      <c r="G33" s="3">
        <f>IF(AND('Data Source'!B33&lt;&gt;"",'Data Source'!S33="A+"),IF('Data Source'!Y33&gt;=5,"A+",IF('Data Source'!Y33&gt;=4,"A",IF('Data Source'!Y33&gt;=3.5,"A-",IF('Data Source'!Y33&gt;=3,"B",IF('Data Source'!Y33&gt;=2,"C",IF('Data Source'!Y33&gt;=1,"D","F")))))),"")</f>
        <v/>
      </c>
      <c r="H33" s="3">
        <f>IF(AND('Data Source'!B33&lt;&gt;"",'Data Source'!S33="A+"),IF('Data Source'!Z33&gt;=5,"A+",IF('Data Source'!Z33&gt;=4,"A",IF('Data Source'!Z33&gt;=3.5,"A-",IF('Data Source'!Z33&gt;=3,"B",IF('Data Source'!Z33&gt;=2,"C",IF('Data Source'!Z33&gt;=1,"D","F")))))),"")</f>
        <v/>
      </c>
      <c r="I33" s="3">
        <f>IF(AND('Data Source'!B33&lt;&gt;"",'Data Source'!S33="A+"),IF('Data Source'!AA33&gt;=5,"A+",IF('Data Source'!AA33&gt;=4,"A",IF('Data Source'!AA33&gt;=3.5,"A-",IF('Data Source'!AA33&gt;=3,"B",IF('Data Source'!AA33&gt;=2,"C",IF('Data Source'!AA33&gt;=1,"D","F")))))),"")</f>
        <v/>
      </c>
      <c r="J33" s="3">
        <f>IF(AND('Data Source'!B33&lt;&gt;"",'Data Source'!S33="A+"),IF('Data Source'!AB33&gt;=5,"A+",IF('Data Source'!AB33&gt;=4,"A",IF('Data Source'!AB33&gt;=3.5,"A-",IF('Data Source'!AB33&gt;=3,"B",IF('Data Source'!AB33&gt;=2,"C",IF('Data Source'!AB33&gt;=1,"D","F")))))),"")</f>
        <v/>
      </c>
      <c r="K33" s="3">
        <f>IF(AND('Data Source'!B33&lt;&gt;"",'Data Source'!S33="A+"),IF('Data Source'!AC33&gt;=5,"A+",IF('Data Source'!AC33&gt;=4,"A",IF('Data Source'!AC33&gt;=3.5,"A-",IF('Data Source'!AC33&gt;=3,"B",IF('Data Source'!AC33&gt;=2,"C",IF('Data Source'!AC33&gt;=1,"D","F")))))),"")</f>
        <v/>
      </c>
      <c r="L33" s="3">
        <f>IF(AND('Data Source'!B33&lt;&gt;"",'Data Source'!S33="A+"),IF('Data Source'!AD33&gt;=5,"A+",IF('Data Source'!AD33&gt;=4,"A",IF('Data Source'!AD33&gt;=3.5,"A-",IF('Data Source'!AD33&gt;=3,"B",IF('Data Source'!AD33&gt;=2,"C",IF('Data Source'!AD33&gt;=1,"D","F")))))),"")</f>
        <v/>
      </c>
      <c r="M33" s="3">
        <f>IF(AND('Data Source'!B33&lt;&gt;"",'Data Source'!S33="A+"),IF('Data Source'!AE33&gt;=5,"A+",IF('Data Source'!AE33&gt;=4,"A",IF('Data Source'!AE33&gt;=3.5,"A-",IF('Data Source'!AE33&gt;=3,"B",IF('Data Source'!AE33&gt;=2,"C",IF('Data Source'!AE33&gt;=1,"D","F")))))),"")</f>
        <v/>
      </c>
      <c r="N33" s="3">
        <f>IF(AND('Data Source'!B33&lt;&gt;"",'Data Source'!S33="A+"),IF('Data Source'!AF33&gt;=5,"A+",IF('Data Source'!AF33&gt;=4,"A",IF('Data Source'!AF33&gt;=3.5,"A-",IF('Data Source'!AF33&gt;=3,"B",IF('Data Source'!AF33&gt;=2,"C",IF('Data Source'!AF33&gt;=1,"D","F")))))),"")</f>
        <v/>
      </c>
      <c r="O33" s="3">
        <f>IF(AND('Data Source'!B33&lt;&gt;"",'Data Source'!S33="A+"),IF('Data Source'!AG33&gt;=5,"A+",IF('Data Source'!AG33&gt;=4,"A",IF('Data Source'!AG33&gt;=3.5,"A-",IF('Data Source'!AG33&gt;=3,"B",IF('Data Source'!AG33&gt;=2,"C",IF('Data Source'!AG33&gt;=1,"D","F")))))),"")</f>
        <v/>
      </c>
      <c r="P33" s="5">
        <f>IF(AND('Data Source'!B33&lt;&gt;"",'Data Source'!S33="A+"),'Data Source'!R33,"")</f>
        <v/>
      </c>
      <c r="Q33" s="3">
        <f>IF(AND('Data Source'!B33&lt;&gt;"",'Data Source'!S33="A+"),'Data Source'!S33,"")</f>
        <v/>
      </c>
    </row>
    <row r="34">
      <c r="A34" s="3">
        <f>IF(AND('Data Source'!B34&lt;&gt;"",'Data Source'!S34="A+"),COUNTIF('Data Source'!$S$3:S34,"A+"),"")</f>
        <v/>
      </c>
      <c r="B34">
        <f>IF(AND('Data Source'!B34&lt;&gt;"",'Data Source'!S34="A+"),'Data Source'!B34,"")</f>
        <v/>
      </c>
      <c r="C34" s="3">
        <f>IF(AND('Data Source'!B34&lt;&gt;"",'Data Source'!S34="A+"),IF('Data Source'!U34&gt;=5,"A+",IF('Data Source'!U34&gt;=4,"A",IF('Data Source'!U34&gt;=3.5,"A-",IF('Data Source'!U34&gt;=3,"B",IF('Data Source'!U34&gt;=2,"C",IF('Data Source'!U34&gt;=1,"D","F")))))),"")</f>
        <v/>
      </c>
      <c r="D34" s="3">
        <f>IF(AND('Data Source'!B34&lt;&gt;"",'Data Source'!S34="A+"),IF('Data Source'!V34&gt;=5,"A+",IF('Data Source'!V34&gt;=4,"A",IF('Data Source'!V34&gt;=3.5,"A-",IF('Data Source'!V34&gt;=3,"B",IF('Data Source'!V34&gt;=2,"C",IF('Data Source'!V34&gt;=1,"D","F")))))),"")</f>
        <v/>
      </c>
      <c r="E34" s="3">
        <f>IF(AND('Data Source'!B34&lt;&gt;"",'Data Source'!S34="A+"),IF('Data Source'!W34&gt;=5,"A+",IF('Data Source'!W34&gt;=4,"A",IF('Data Source'!W34&gt;=3.5,"A-",IF('Data Source'!W34&gt;=3,"B",IF('Data Source'!W34&gt;=2,"C",IF('Data Source'!W34&gt;=1,"D","F")))))),"")</f>
        <v/>
      </c>
      <c r="F34" s="3">
        <f>IF(AND('Data Source'!B34&lt;&gt;"",'Data Source'!S34="A+"),IF('Data Source'!X34&gt;=5,"A+",IF('Data Source'!X34&gt;=4,"A",IF('Data Source'!X34&gt;=3.5,"A-",IF('Data Source'!X34&gt;=3,"B",IF('Data Source'!X34&gt;=2,"C",IF('Data Source'!X34&gt;=1,"D","F")))))),"")</f>
        <v/>
      </c>
      <c r="G34" s="3">
        <f>IF(AND('Data Source'!B34&lt;&gt;"",'Data Source'!S34="A+"),IF('Data Source'!Y34&gt;=5,"A+",IF('Data Source'!Y34&gt;=4,"A",IF('Data Source'!Y34&gt;=3.5,"A-",IF('Data Source'!Y34&gt;=3,"B",IF('Data Source'!Y34&gt;=2,"C",IF('Data Source'!Y34&gt;=1,"D","F")))))),"")</f>
        <v/>
      </c>
      <c r="H34" s="3">
        <f>IF(AND('Data Source'!B34&lt;&gt;"",'Data Source'!S34="A+"),IF('Data Source'!Z34&gt;=5,"A+",IF('Data Source'!Z34&gt;=4,"A",IF('Data Source'!Z34&gt;=3.5,"A-",IF('Data Source'!Z34&gt;=3,"B",IF('Data Source'!Z34&gt;=2,"C",IF('Data Source'!Z34&gt;=1,"D","F")))))),"")</f>
        <v/>
      </c>
      <c r="I34" s="3">
        <f>IF(AND('Data Source'!B34&lt;&gt;"",'Data Source'!S34="A+"),IF('Data Source'!AA34&gt;=5,"A+",IF('Data Source'!AA34&gt;=4,"A",IF('Data Source'!AA34&gt;=3.5,"A-",IF('Data Source'!AA34&gt;=3,"B",IF('Data Source'!AA34&gt;=2,"C",IF('Data Source'!AA34&gt;=1,"D","F")))))),"")</f>
        <v/>
      </c>
      <c r="J34" s="3">
        <f>IF(AND('Data Source'!B34&lt;&gt;"",'Data Source'!S34="A+"),IF('Data Source'!AB34&gt;=5,"A+",IF('Data Source'!AB34&gt;=4,"A",IF('Data Source'!AB34&gt;=3.5,"A-",IF('Data Source'!AB34&gt;=3,"B",IF('Data Source'!AB34&gt;=2,"C",IF('Data Source'!AB34&gt;=1,"D","F")))))),"")</f>
        <v/>
      </c>
      <c r="K34" s="3">
        <f>IF(AND('Data Source'!B34&lt;&gt;"",'Data Source'!S34="A+"),IF('Data Source'!AC34&gt;=5,"A+",IF('Data Source'!AC34&gt;=4,"A",IF('Data Source'!AC34&gt;=3.5,"A-",IF('Data Source'!AC34&gt;=3,"B",IF('Data Source'!AC34&gt;=2,"C",IF('Data Source'!AC34&gt;=1,"D","F")))))),"")</f>
        <v/>
      </c>
      <c r="L34" s="3">
        <f>IF(AND('Data Source'!B34&lt;&gt;"",'Data Source'!S34="A+"),IF('Data Source'!AD34&gt;=5,"A+",IF('Data Source'!AD34&gt;=4,"A",IF('Data Source'!AD34&gt;=3.5,"A-",IF('Data Source'!AD34&gt;=3,"B",IF('Data Source'!AD34&gt;=2,"C",IF('Data Source'!AD34&gt;=1,"D","F")))))),"")</f>
        <v/>
      </c>
      <c r="M34" s="3">
        <f>IF(AND('Data Source'!B34&lt;&gt;"",'Data Source'!S34="A+"),IF('Data Source'!AE34&gt;=5,"A+",IF('Data Source'!AE34&gt;=4,"A",IF('Data Source'!AE34&gt;=3.5,"A-",IF('Data Source'!AE34&gt;=3,"B",IF('Data Source'!AE34&gt;=2,"C",IF('Data Source'!AE34&gt;=1,"D","F")))))),"")</f>
        <v/>
      </c>
      <c r="N34" s="3">
        <f>IF(AND('Data Source'!B34&lt;&gt;"",'Data Source'!S34="A+"),IF('Data Source'!AF34&gt;=5,"A+",IF('Data Source'!AF34&gt;=4,"A",IF('Data Source'!AF34&gt;=3.5,"A-",IF('Data Source'!AF34&gt;=3,"B",IF('Data Source'!AF34&gt;=2,"C",IF('Data Source'!AF34&gt;=1,"D","F")))))),"")</f>
        <v/>
      </c>
      <c r="O34" s="3">
        <f>IF(AND('Data Source'!B34&lt;&gt;"",'Data Source'!S34="A+"),IF('Data Source'!AG34&gt;=5,"A+",IF('Data Source'!AG34&gt;=4,"A",IF('Data Source'!AG34&gt;=3.5,"A-",IF('Data Source'!AG34&gt;=3,"B",IF('Data Source'!AG34&gt;=2,"C",IF('Data Source'!AG34&gt;=1,"D","F")))))),"")</f>
        <v/>
      </c>
      <c r="P34" s="5">
        <f>IF(AND('Data Source'!B34&lt;&gt;"",'Data Source'!S34="A+"),'Data Source'!R34,"")</f>
        <v/>
      </c>
      <c r="Q34" s="3">
        <f>IF(AND('Data Source'!B34&lt;&gt;"",'Data Source'!S34="A+"),'Data Source'!S34,"")</f>
        <v/>
      </c>
    </row>
    <row r="35">
      <c r="A35" s="3">
        <f>IF(AND('Data Source'!B35&lt;&gt;"",'Data Source'!S35="A+"),COUNTIF('Data Source'!$S$3:S35,"A+"),"")</f>
        <v/>
      </c>
      <c r="B35">
        <f>IF(AND('Data Source'!B35&lt;&gt;"",'Data Source'!S35="A+"),'Data Source'!B35,"")</f>
        <v/>
      </c>
      <c r="C35" s="3">
        <f>IF(AND('Data Source'!B35&lt;&gt;"",'Data Source'!S35="A+"),IF('Data Source'!U35&gt;=5,"A+",IF('Data Source'!U35&gt;=4,"A",IF('Data Source'!U35&gt;=3.5,"A-",IF('Data Source'!U35&gt;=3,"B",IF('Data Source'!U35&gt;=2,"C",IF('Data Source'!U35&gt;=1,"D","F")))))),"")</f>
        <v/>
      </c>
      <c r="D35" s="3">
        <f>IF(AND('Data Source'!B35&lt;&gt;"",'Data Source'!S35="A+"),IF('Data Source'!V35&gt;=5,"A+",IF('Data Source'!V35&gt;=4,"A",IF('Data Source'!V35&gt;=3.5,"A-",IF('Data Source'!V35&gt;=3,"B",IF('Data Source'!V35&gt;=2,"C",IF('Data Source'!V35&gt;=1,"D","F")))))),"")</f>
        <v/>
      </c>
      <c r="E35" s="3">
        <f>IF(AND('Data Source'!B35&lt;&gt;"",'Data Source'!S35="A+"),IF('Data Source'!W35&gt;=5,"A+",IF('Data Source'!W35&gt;=4,"A",IF('Data Source'!W35&gt;=3.5,"A-",IF('Data Source'!W35&gt;=3,"B",IF('Data Source'!W35&gt;=2,"C",IF('Data Source'!W35&gt;=1,"D","F")))))),"")</f>
        <v/>
      </c>
      <c r="F35" s="3">
        <f>IF(AND('Data Source'!B35&lt;&gt;"",'Data Source'!S35="A+"),IF('Data Source'!X35&gt;=5,"A+",IF('Data Source'!X35&gt;=4,"A",IF('Data Source'!X35&gt;=3.5,"A-",IF('Data Source'!X35&gt;=3,"B",IF('Data Source'!X35&gt;=2,"C",IF('Data Source'!X35&gt;=1,"D","F")))))),"")</f>
        <v/>
      </c>
      <c r="G35" s="3">
        <f>IF(AND('Data Source'!B35&lt;&gt;"",'Data Source'!S35="A+"),IF('Data Source'!Y35&gt;=5,"A+",IF('Data Source'!Y35&gt;=4,"A",IF('Data Source'!Y35&gt;=3.5,"A-",IF('Data Source'!Y35&gt;=3,"B",IF('Data Source'!Y35&gt;=2,"C",IF('Data Source'!Y35&gt;=1,"D","F")))))),"")</f>
        <v/>
      </c>
      <c r="H35" s="3">
        <f>IF(AND('Data Source'!B35&lt;&gt;"",'Data Source'!S35="A+"),IF('Data Source'!Z35&gt;=5,"A+",IF('Data Source'!Z35&gt;=4,"A",IF('Data Source'!Z35&gt;=3.5,"A-",IF('Data Source'!Z35&gt;=3,"B",IF('Data Source'!Z35&gt;=2,"C",IF('Data Source'!Z35&gt;=1,"D","F")))))),"")</f>
        <v/>
      </c>
      <c r="I35" s="3">
        <f>IF(AND('Data Source'!B35&lt;&gt;"",'Data Source'!S35="A+"),IF('Data Source'!AA35&gt;=5,"A+",IF('Data Source'!AA35&gt;=4,"A",IF('Data Source'!AA35&gt;=3.5,"A-",IF('Data Source'!AA35&gt;=3,"B",IF('Data Source'!AA35&gt;=2,"C",IF('Data Source'!AA35&gt;=1,"D","F")))))),"")</f>
        <v/>
      </c>
      <c r="J35" s="3">
        <f>IF(AND('Data Source'!B35&lt;&gt;"",'Data Source'!S35="A+"),IF('Data Source'!AB35&gt;=5,"A+",IF('Data Source'!AB35&gt;=4,"A",IF('Data Source'!AB35&gt;=3.5,"A-",IF('Data Source'!AB35&gt;=3,"B",IF('Data Source'!AB35&gt;=2,"C",IF('Data Source'!AB35&gt;=1,"D","F")))))),"")</f>
        <v/>
      </c>
      <c r="K35" s="3">
        <f>IF(AND('Data Source'!B35&lt;&gt;"",'Data Source'!S35="A+"),IF('Data Source'!AC35&gt;=5,"A+",IF('Data Source'!AC35&gt;=4,"A",IF('Data Source'!AC35&gt;=3.5,"A-",IF('Data Source'!AC35&gt;=3,"B",IF('Data Source'!AC35&gt;=2,"C",IF('Data Source'!AC35&gt;=1,"D","F")))))),"")</f>
        <v/>
      </c>
      <c r="L35" s="3">
        <f>IF(AND('Data Source'!B35&lt;&gt;"",'Data Source'!S35="A+"),IF('Data Source'!AD35&gt;=5,"A+",IF('Data Source'!AD35&gt;=4,"A",IF('Data Source'!AD35&gt;=3.5,"A-",IF('Data Source'!AD35&gt;=3,"B",IF('Data Source'!AD35&gt;=2,"C",IF('Data Source'!AD35&gt;=1,"D","F")))))),"")</f>
        <v/>
      </c>
      <c r="M35" s="3">
        <f>IF(AND('Data Source'!B35&lt;&gt;"",'Data Source'!S35="A+"),IF('Data Source'!AE35&gt;=5,"A+",IF('Data Source'!AE35&gt;=4,"A",IF('Data Source'!AE35&gt;=3.5,"A-",IF('Data Source'!AE35&gt;=3,"B",IF('Data Source'!AE35&gt;=2,"C",IF('Data Source'!AE35&gt;=1,"D","F")))))),"")</f>
        <v/>
      </c>
      <c r="N35" s="3">
        <f>IF(AND('Data Source'!B35&lt;&gt;"",'Data Source'!S35="A+"),IF('Data Source'!AF35&gt;=5,"A+",IF('Data Source'!AF35&gt;=4,"A",IF('Data Source'!AF35&gt;=3.5,"A-",IF('Data Source'!AF35&gt;=3,"B",IF('Data Source'!AF35&gt;=2,"C",IF('Data Source'!AF35&gt;=1,"D","F")))))),"")</f>
        <v/>
      </c>
      <c r="O35" s="3">
        <f>IF(AND('Data Source'!B35&lt;&gt;"",'Data Source'!S35="A+"),IF('Data Source'!AG35&gt;=5,"A+",IF('Data Source'!AG35&gt;=4,"A",IF('Data Source'!AG35&gt;=3.5,"A-",IF('Data Source'!AG35&gt;=3,"B",IF('Data Source'!AG35&gt;=2,"C",IF('Data Source'!AG35&gt;=1,"D","F")))))),"")</f>
        <v/>
      </c>
      <c r="P35" s="5">
        <f>IF(AND('Data Source'!B35&lt;&gt;"",'Data Source'!S35="A+"),'Data Source'!R35,"")</f>
        <v/>
      </c>
      <c r="Q35" s="3">
        <f>IF(AND('Data Source'!B35&lt;&gt;"",'Data Source'!S35="A+"),'Data Source'!S35,"")</f>
        <v/>
      </c>
    </row>
    <row r="36">
      <c r="A36" s="3">
        <f>IF(AND('Data Source'!B36&lt;&gt;"",'Data Source'!S36="A+"),COUNTIF('Data Source'!$S$3:S36,"A+"),"")</f>
        <v/>
      </c>
      <c r="B36">
        <f>IF(AND('Data Source'!B36&lt;&gt;"",'Data Source'!S36="A+"),'Data Source'!B36,"")</f>
        <v/>
      </c>
      <c r="C36" s="3">
        <f>IF(AND('Data Source'!B36&lt;&gt;"",'Data Source'!S36="A+"),IF('Data Source'!U36&gt;=5,"A+",IF('Data Source'!U36&gt;=4,"A",IF('Data Source'!U36&gt;=3.5,"A-",IF('Data Source'!U36&gt;=3,"B",IF('Data Source'!U36&gt;=2,"C",IF('Data Source'!U36&gt;=1,"D","F")))))),"")</f>
        <v/>
      </c>
      <c r="D36" s="3">
        <f>IF(AND('Data Source'!B36&lt;&gt;"",'Data Source'!S36="A+"),IF('Data Source'!V36&gt;=5,"A+",IF('Data Source'!V36&gt;=4,"A",IF('Data Source'!V36&gt;=3.5,"A-",IF('Data Source'!V36&gt;=3,"B",IF('Data Source'!V36&gt;=2,"C",IF('Data Source'!V36&gt;=1,"D","F")))))),"")</f>
        <v/>
      </c>
      <c r="E36" s="3">
        <f>IF(AND('Data Source'!B36&lt;&gt;"",'Data Source'!S36="A+"),IF('Data Source'!W36&gt;=5,"A+",IF('Data Source'!W36&gt;=4,"A",IF('Data Source'!W36&gt;=3.5,"A-",IF('Data Source'!W36&gt;=3,"B",IF('Data Source'!W36&gt;=2,"C",IF('Data Source'!W36&gt;=1,"D","F")))))),"")</f>
        <v/>
      </c>
      <c r="F36" s="3">
        <f>IF(AND('Data Source'!B36&lt;&gt;"",'Data Source'!S36="A+"),IF('Data Source'!X36&gt;=5,"A+",IF('Data Source'!X36&gt;=4,"A",IF('Data Source'!X36&gt;=3.5,"A-",IF('Data Source'!X36&gt;=3,"B",IF('Data Source'!X36&gt;=2,"C",IF('Data Source'!X36&gt;=1,"D","F")))))),"")</f>
        <v/>
      </c>
      <c r="G36" s="3">
        <f>IF(AND('Data Source'!B36&lt;&gt;"",'Data Source'!S36="A+"),IF('Data Source'!Y36&gt;=5,"A+",IF('Data Source'!Y36&gt;=4,"A",IF('Data Source'!Y36&gt;=3.5,"A-",IF('Data Source'!Y36&gt;=3,"B",IF('Data Source'!Y36&gt;=2,"C",IF('Data Source'!Y36&gt;=1,"D","F")))))),"")</f>
        <v/>
      </c>
      <c r="H36" s="3">
        <f>IF(AND('Data Source'!B36&lt;&gt;"",'Data Source'!S36="A+"),IF('Data Source'!Z36&gt;=5,"A+",IF('Data Source'!Z36&gt;=4,"A",IF('Data Source'!Z36&gt;=3.5,"A-",IF('Data Source'!Z36&gt;=3,"B",IF('Data Source'!Z36&gt;=2,"C",IF('Data Source'!Z36&gt;=1,"D","F")))))),"")</f>
        <v/>
      </c>
      <c r="I36" s="3">
        <f>IF(AND('Data Source'!B36&lt;&gt;"",'Data Source'!S36="A+"),IF('Data Source'!AA36&gt;=5,"A+",IF('Data Source'!AA36&gt;=4,"A",IF('Data Source'!AA36&gt;=3.5,"A-",IF('Data Source'!AA36&gt;=3,"B",IF('Data Source'!AA36&gt;=2,"C",IF('Data Source'!AA36&gt;=1,"D","F")))))),"")</f>
        <v/>
      </c>
      <c r="J36" s="3">
        <f>IF(AND('Data Source'!B36&lt;&gt;"",'Data Source'!S36="A+"),IF('Data Source'!AB36&gt;=5,"A+",IF('Data Source'!AB36&gt;=4,"A",IF('Data Source'!AB36&gt;=3.5,"A-",IF('Data Source'!AB36&gt;=3,"B",IF('Data Source'!AB36&gt;=2,"C",IF('Data Source'!AB36&gt;=1,"D","F")))))),"")</f>
        <v/>
      </c>
      <c r="K36" s="3">
        <f>IF(AND('Data Source'!B36&lt;&gt;"",'Data Source'!S36="A+"),IF('Data Source'!AC36&gt;=5,"A+",IF('Data Source'!AC36&gt;=4,"A",IF('Data Source'!AC36&gt;=3.5,"A-",IF('Data Source'!AC36&gt;=3,"B",IF('Data Source'!AC36&gt;=2,"C",IF('Data Source'!AC36&gt;=1,"D","F")))))),"")</f>
        <v/>
      </c>
      <c r="L36" s="3">
        <f>IF(AND('Data Source'!B36&lt;&gt;"",'Data Source'!S36="A+"),IF('Data Source'!AD36&gt;=5,"A+",IF('Data Source'!AD36&gt;=4,"A",IF('Data Source'!AD36&gt;=3.5,"A-",IF('Data Source'!AD36&gt;=3,"B",IF('Data Source'!AD36&gt;=2,"C",IF('Data Source'!AD36&gt;=1,"D","F")))))),"")</f>
        <v/>
      </c>
      <c r="M36" s="3">
        <f>IF(AND('Data Source'!B36&lt;&gt;"",'Data Source'!S36="A+"),IF('Data Source'!AE36&gt;=5,"A+",IF('Data Source'!AE36&gt;=4,"A",IF('Data Source'!AE36&gt;=3.5,"A-",IF('Data Source'!AE36&gt;=3,"B",IF('Data Source'!AE36&gt;=2,"C",IF('Data Source'!AE36&gt;=1,"D","F")))))),"")</f>
        <v/>
      </c>
      <c r="N36" s="3">
        <f>IF(AND('Data Source'!B36&lt;&gt;"",'Data Source'!S36="A+"),IF('Data Source'!AF36&gt;=5,"A+",IF('Data Source'!AF36&gt;=4,"A",IF('Data Source'!AF36&gt;=3.5,"A-",IF('Data Source'!AF36&gt;=3,"B",IF('Data Source'!AF36&gt;=2,"C",IF('Data Source'!AF36&gt;=1,"D","F")))))),"")</f>
        <v/>
      </c>
      <c r="O36" s="3">
        <f>IF(AND('Data Source'!B36&lt;&gt;"",'Data Source'!S36="A+"),IF('Data Source'!AG36&gt;=5,"A+",IF('Data Source'!AG36&gt;=4,"A",IF('Data Source'!AG36&gt;=3.5,"A-",IF('Data Source'!AG36&gt;=3,"B",IF('Data Source'!AG36&gt;=2,"C",IF('Data Source'!AG36&gt;=1,"D","F")))))),"")</f>
        <v/>
      </c>
      <c r="P36" s="5">
        <f>IF(AND('Data Source'!B36&lt;&gt;"",'Data Source'!S36="A+"),'Data Source'!R36,"")</f>
        <v/>
      </c>
      <c r="Q36" s="3">
        <f>IF(AND('Data Source'!B36&lt;&gt;"",'Data Source'!S36="A+"),'Data Source'!S36,"")</f>
        <v/>
      </c>
    </row>
    <row r="37">
      <c r="A37" s="3">
        <f>IF(AND('Data Source'!B37&lt;&gt;"",'Data Source'!S37="A+"),COUNTIF('Data Source'!$S$3:S37,"A+"),"")</f>
        <v/>
      </c>
      <c r="B37">
        <f>IF(AND('Data Source'!B37&lt;&gt;"",'Data Source'!S37="A+"),'Data Source'!B37,"")</f>
        <v/>
      </c>
      <c r="C37" s="3">
        <f>IF(AND('Data Source'!B37&lt;&gt;"",'Data Source'!S37="A+"),IF('Data Source'!U37&gt;=5,"A+",IF('Data Source'!U37&gt;=4,"A",IF('Data Source'!U37&gt;=3.5,"A-",IF('Data Source'!U37&gt;=3,"B",IF('Data Source'!U37&gt;=2,"C",IF('Data Source'!U37&gt;=1,"D","F")))))),"")</f>
        <v/>
      </c>
      <c r="D37" s="3">
        <f>IF(AND('Data Source'!B37&lt;&gt;"",'Data Source'!S37="A+"),IF('Data Source'!V37&gt;=5,"A+",IF('Data Source'!V37&gt;=4,"A",IF('Data Source'!V37&gt;=3.5,"A-",IF('Data Source'!V37&gt;=3,"B",IF('Data Source'!V37&gt;=2,"C",IF('Data Source'!V37&gt;=1,"D","F")))))),"")</f>
        <v/>
      </c>
      <c r="E37" s="3">
        <f>IF(AND('Data Source'!B37&lt;&gt;"",'Data Source'!S37="A+"),IF('Data Source'!W37&gt;=5,"A+",IF('Data Source'!W37&gt;=4,"A",IF('Data Source'!W37&gt;=3.5,"A-",IF('Data Source'!W37&gt;=3,"B",IF('Data Source'!W37&gt;=2,"C",IF('Data Source'!W37&gt;=1,"D","F")))))),"")</f>
        <v/>
      </c>
      <c r="F37" s="3">
        <f>IF(AND('Data Source'!B37&lt;&gt;"",'Data Source'!S37="A+"),IF('Data Source'!X37&gt;=5,"A+",IF('Data Source'!X37&gt;=4,"A",IF('Data Source'!X37&gt;=3.5,"A-",IF('Data Source'!X37&gt;=3,"B",IF('Data Source'!X37&gt;=2,"C",IF('Data Source'!X37&gt;=1,"D","F")))))),"")</f>
        <v/>
      </c>
      <c r="G37" s="3">
        <f>IF(AND('Data Source'!B37&lt;&gt;"",'Data Source'!S37="A+"),IF('Data Source'!Y37&gt;=5,"A+",IF('Data Source'!Y37&gt;=4,"A",IF('Data Source'!Y37&gt;=3.5,"A-",IF('Data Source'!Y37&gt;=3,"B",IF('Data Source'!Y37&gt;=2,"C",IF('Data Source'!Y37&gt;=1,"D","F")))))),"")</f>
        <v/>
      </c>
      <c r="H37" s="3">
        <f>IF(AND('Data Source'!B37&lt;&gt;"",'Data Source'!S37="A+"),IF('Data Source'!Z37&gt;=5,"A+",IF('Data Source'!Z37&gt;=4,"A",IF('Data Source'!Z37&gt;=3.5,"A-",IF('Data Source'!Z37&gt;=3,"B",IF('Data Source'!Z37&gt;=2,"C",IF('Data Source'!Z37&gt;=1,"D","F")))))),"")</f>
        <v/>
      </c>
      <c r="I37" s="3">
        <f>IF(AND('Data Source'!B37&lt;&gt;"",'Data Source'!S37="A+"),IF('Data Source'!AA37&gt;=5,"A+",IF('Data Source'!AA37&gt;=4,"A",IF('Data Source'!AA37&gt;=3.5,"A-",IF('Data Source'!AA37&gt;=3,"B",IF('Data Source'!AA37&gt;=2,"C",IF('Data Source'!AA37&gt;=1,"D","F")))))),"")</f>
        <v/>
      </c>
      <c r="J37" s="3">
        <f>IF(AND('Data Source'!B37&lt;&gt;"",'Data Source'!S37="A+"),IF('Data Source'!AB37&gt;=5,"A+",IF('Data Source'!AB37&gt;=4,"A",IF('Data Source'!AB37&gt;=3.5,"A-",IF('Data Source'!AB37&gt;=3,"B",IF('Data Source'!AB37&gt;=2,"C",IF('Data Source'!AB37&gt;=1,"D","F")))))),"")</f>
        <v/>
      </c>
      <c r="K37" s="3">
        <f>IF(AND('Data Source'!B37&lt;&gt;"",'Data Source'!S37="A+"),IF('Data Source'!AC37&gt;=5,"A+",IF('Data Source'!AC37&gt;=4,"A",IF('Data Source'!AC37&gt;=3.5,"A-",IF('Data Source'!AC37&gt;=3,"B",IF('Data Source'!AC37&gt;=2,"C",IF('Data Source'!AC37&gt;=1,"D","F")))))),"")</f>
        <v/>
      </c>
      <c r="L37" s="3">
        <f>IF(AND('Data Source'!B37&lt;&gt;"",'Data Source'!S37="A+"),IF('Data Source'!AD37&gt;=5,"A+",IF('Data Source'!AD37&gt;=4,"A",IF('Data Source'!AD37&gt;=3.5,"A-",IF('Data Source'!AD37&gt;=3,"B",IF('Data Source'!AD37&gt;=2,"C",IF('Data Source'!AD37&gt;=1,"D","F")))))),"")</f>
        <v/>
      </c>
      <c r="M37" s="3">
        <f>IF(AND('Data Source'!B37&lt;&gt;"",'Data Source'!S37="A+"),IF('Data Source'!AE37&gt;=5,"A+",IF('Data Source'!AE37&gt;=4,"A",IF('Data Source'!AE37&gt;=3.5,"A-",IF('Data Source'!AE37&gt;=3,"B",IF('Data Source'!AE37&gt;=2,"C",IF('Data Source'!AE37&gt;=1,"D","F")))))),"")</f>
        <v/>
      </c>
      <c r="N37" s="3">
        <f>IF(AND('Data Source'!B37&lt;&gt;"",'Data Source'!S37="A+"),IF('Data Source'!AF37&gt;=5,"A+",IF('Data Source'!AF37&gt;=4,"A",IF('Data Source'!AF37&gt;=3.5,"A-",IF('Data Source'!AF37&gt;=3,"B",IF('Data Source'!AF37&gt;=2,"C",IF('Data Source'!AF37&gt;=1,"D","F")))))),"")</f>
        <v/>
      </c>
      <c r="O37" s="3">
        <f>IF(AND('Data Source'!B37&lt;&gt;"",'Data Source'!S37="A+"),IF('Data Source'!AG37&gt;=5,"A+",IF('Data Source'!AG37&gt;=4,"A",IF('Data Source'!AG37&gt;=3.5,"A-",IF('Data Source'!AG37&gt;=3,"B",IF('Data Source'!AG37&gt;=2,"C",IF('Data Source'!AG37&gt;=1,"D","F")))))),"")</f>
        <v/>
      </c>
      <c r="P37" s="5">
        <f>IF(AND('Data Source'!B37&lt;&gt;"",'Data Source'!S37="A+"),'Data Source'!R37,"")</f>
        <v/>
      </c>
      <c r="Q37" s="3">
        <f>IF(AND('Data Source'!B37&lt;&gt;"",'Data Source'!S37="A+"),'Data Source'!S37,"")</f>
        <v/>
      </c>
    </row>
    <row r="38">
      <c r="A38" s="3">
        <f>IF(AND('Data Source'!B38&lt;&gt;"",'Data Source'!S38="A+"),COUNTIF('Data Source'!$S$3:S38,"A+"),"")</f>
        <v/>
      </c>
      <c r="B38">
        <f>IF(AND('Data Source'!B38&lt;&gt;"",'Data Source'!S38="A+"),'Data Source'!B38,"")</f>
        <v/>
      </c>
      <c r="C38" s="3">
        <f>IF(AND('Data Source'!B38&lt;&gt;"",'Data Source'!S38="A+"),IF('Data Source'!U38&gt;=5,"A+",IF('Data Source'!U38&gt;=4,"A",IF('Data Source'!U38&gt;=3.5,"A-",IF('Data Source'!U38&gt;=3,"B",IF('Data Source'!U38&gt;=2,"C",IF('Data Source'!U38&gt;=1,"D","F")))))),"")</f>
        <v/>
      </c>
      <c r="D38" s="3">
        <f>IF(AND('Data Source'!B38&lt;&gt;"",'Data Source'!S38="A+"),IF('Data Source'!V38&gt;=5,"A+",IF('Data Source'!V38&gt;=4,"A",IF('Data Source'!V38&gt;=3.5,"A-",IF('Data Source'!V38&gt;=3,"B",IF('Data Source'!V38&gt;=2,"C",IF('Data Source'!V38&gt;=1,"D","F")))))),"")</f>
        <v/>
      </c>
      <c r="E38" s="3">
        <f>IF(AND('Data Source'!B38&lt;&gt;"",'Data Source'!S38="A+"),IF('Data Source'!W38&gt;=5,"A+",IF('Data Source'!W38&gt;=4,"A",IF('Data Source'!W38&gt;=3.5,"A-",IF('Data Source'!W38&gt;=3,"B",IF('Data Source'!W38&gt;=2,"C",IF('Data Source'!W38&gt;=1,"D","F")))))),"")</f>
        <v/>
      </c>
      <c r="F38" s="3">
        <f>IF(AND('Data Source'!B38&lt;&gt;"",'Data Source'!S38="A+"),IF('Data Source'!X38&gt;=5,"A+",IF('Data Source'!X38&gt;=4,"A",IF('Data Source'!X38&gt;=3.5,"A-",IF('Data Source'!X38&gt;=3,"B",IF('Data Source'!X38&gt;=2,"C",IF('Data Source'!X38&gt;=1,"D","F")))))),"")</f>
        <v/>
      </c>
      <c r="G38" s="3">
        <f>IF(AND('Data Source'!B38&lt;&gt;"",'Data Source'!S38="A+"),IF('Data Source'!Y38&gt;=5,"A+",IF('Data Source'!Y38&gt;=4,"A",IF('Data Source'!Y38&gt;=3.5,"A-",IF('Data Source'!Y38&gt;=3,"B",IF('Data Source'!Y38&gt;=2,"C",IF('Data Source'!Y38&gt;=1,"D","F")))))),"")</f>
        <v/>
      </c>
      <c r="H38" s="3">
        <f>IF(AND('Data Source'!B38&lt;&gt;"",'Data Source'!S38="A+"),IF('Data Source'!Z38&gt;=5,"A+",IF('Data Source'!Z38&gt;=4,"A",IF('Data Source'!Z38&gt;=3.5,"A-",IF('Data Source'!Z38&gt;=3,"B",IF('Data Source'!Z38&gt;=2,"C",IF('Data Source'!Z38&gt;=1,"D","F")))))),"")</f>
        <v/>
      </c>
      <c r="I38" s="3">
        <f>IF(AND('Data Source'!B38&lt;&gt;"",'Data Source'!S38="A+"),IF('Data Source'!AA38&gt;=5,"A+",IF('Data Source'!AA38&gt;=4,"A",IF('Data Source'!AA38&gt;=3.5,"A-",IF('Data Source'!AA38&gt;=3,"B",IF('Data Source'!AA38&gt;=2,"C",IF('Data Source'!AA38&gt;=1,"D","F")))))),"")</f>
        <v/>
      </c>
      <c r="J38" s="3">
        <f>IF(AND('Data Source'!B38&lt;&gt;"",'Data Source'!S38="A+"),IF('Data Source'!AB38&gt;=5,"A+",IF('Data Source'!AB38&gt;=4,"A",IF('Data Source'!AB38&gt;=3.5,"A-",IF('Data Source'!AB38&gt;=3,"B",IF('Data Source'!AB38&gt;=2,"C",IF('Data Source'!AB38&gt;=1,"D","F")))))),"")</f>
        <v/>
      </c>
      <c r="K38" s="3">
        <f>IF(AND('Data Source'!B38&lt;&gt;"",'Data Source'!S38="A+"),IF('Data Source'!AC38&gt;=5,"A+",IF('Data Source'!AC38&gt;=4,"A",IF('Data Source'!AC38&gt;=3.5,"A-",IF('Data Source'!AC38&gt;=3,"B",IF('Data Source'!AC38&gt;=2,"C",IF('Data Source'!AC38&gt;=1,"D","F")))))),"")</f>
        <v/>
      </c>
      <c r="L38" s="3">
        <f>IF(AND('Data Source'!B38&lt;&gt;"",'Data Source'!S38="A+"),IF('Data Source'!AD38&gt;=5,"A+",IF('Data Source'!AD38&gt;=4,"A",IF('Data Source'!AD38&gt;=3.5,"A-",IF('Data Source'!AD38&gt;=3,"B",IF('Data Source'!AD38&gt;=2,"C",IF('Data Source'!AD38&gt;=1,"D","F")))))),"")</f>
        <v/>
      </c>
      <c r="M38" s="3">
        <f>IF(AND('Data Source'!B38&lt;&gt;"",'Data Source'!S38="A+"),IF('Data Source'!AE38&gt;=5,"A+",IF('Data Source'!AE38&gt;=4,"A",IF('Data Source'!AE38&gt;=3.5,"A-",IF('Data Source'!AE38&gt;=3,"B",IF('Data Source'!AE38&gt;=2,"C",IF('Data Source'!AE38&gt;=1,"D","F")))))),"")</f>
        <v/>
      </c>
      <c r="N38" s="3">
        <f>IF(AND('Data Source'!B38&lt;&gt;"",'Data Source'!S38="A+"),IF('Data Source'!AF38&gt;=5,"A+",IF('Data Source'!AF38&gt;=4,"A",IF('Data Source'!AF38&gt;=3.5,"A-",IF('Data Source'!AF38&gt;=3,"B",IF('Data Source'!AF38&gt;=2,"C",IF('Data Source'!AF38&gt;=1,"D","F")))))),"")</f>
        <v/>
      </c>
      <c r="O38" s="3">
        <f>IF(AND('Data Source'!B38&lt;&gt;"",'Data Source'!S38="A+"),IF('Data Source'!AG38&gt;=5,"A+",IF('Data Source'!AG38&gt;=4,"A",IF('Data Source'!AG38&gt;=3.5,"A-",IF('Data Source'!AG38&gt;=3,"B",IF('Data Source'!AG38&gt;=2,"C",IF('Data Source'!AG38&gt;=1,"D","F")))))),"")</f>
        <v/>
      </c>
      <c r="P38" s="5">
        <f>IF(AND('Data Source'!B38&lt;&gt;"",'Data Source'!S38="A+"),'Data Source'!R38,"")</f>
        <v/>
      </c>
      <c r="Q38" s="3">
        <f>IF(AND('Data Source'!B38&lt;&gt;"",'Data Source'!S38="A+"),'Data Source'!S38,"")</f>
        <v/>
      </c>
    </row>
    <row r="39">
      <c r="A39" s="3">
        <f>IF(AND('Data Source'!B39&lt;&gt;"",'Data Source'!S39="A+"),COUNTIF('Data Source'!$S$3:S39,"A+"),"")</f>
        <v/>
      </c>
      <c r="B39">
        <f>IF(AND('Data Source'!B39&lt;&gt;"",'Data Source'!S39="A+"),'Data Source'!B39,"")</f>
        <v/>
      </c>
      <c r="C39" s="3">
        <f>IF(AND('Data Source'!B39&lt;&gt;"",'Data Source'!S39="A+"),IF('Data Source'!U39&gt;=5,"A+",IF('Data Source'!U39&gt;=4,"A",IF('Data Source'!U39&gt;=3.5,"A-",IF('Data Source'!U39&gt;=3,"B",IF('Data Source'!U39&gt;=2,"C",IF('Data Source'!U39&gt;=1,"D","F")))))),"")</f>
        <v/>
      </c>
      <c r="D39" s="3">
        <f>IF(AND('Data Source'!B39&lt;&gt;"",'Data Source'!S39="A+"),IF('Data Source'!V39&gt;=5,"A+",IF('Data Source'!V39&gt;=4,"A",IF('Data Source'!V39&gt;=3.5,"A-",IF('Data Source'!V39&gt;=3,"B",IF('Data Source'!V39&gt;=2,"C",IF('Data Source'!V39&gt;=1,"D","F")))))),"")</f>
        <v/>
      </c>
      <c r="E39" s="3">
        <f>IF(AND('Data Source'!B39&lt;&gt;"",'Data Source'!S39="A+"),IF('Data Source'!W39&gt;=5,"A+",IF('Data Source'!W39&gt;=4,"A",IF('Data Source'!W39&gt;=3.5,"A-",IF('Data Source'!W39&gt;=3,"B",IF('Data Source'!W39&gt;=2,"C",IF('Data Source'!W39&gt;=1,"D","F")))))),"")</f>
        <v/>
      </c>
      <c r="F39" s="3">
        <f>IF(AND('Data Source'!B39&lt;&gt;"",'Data Source'!S39="A+"),IF('Data Source'!X39&gt;=5,"A+",IF('Data Source'!X39&gt;=4,"A",IF('Data Source'!X39&gt;=3.5,"A-",IF('Data Source'!X39&gt;=3,"B",IF('Data Source'!X39&gt;=2,"C",IF('Data Source'!X39&gt;=1,"D","F")))))),"")</f>
        <v/>
      </c>
      <c r="G39" s="3">
        <f>IF(AND('Data Source'!B39&lt;&gt;"",'Data Source'!S39="A+"),IF('Data Source'!Y39&gt;=5,"A+",IF('Data Source'!Y39&gt;=4,"A",IF('Data Source'!Y39&gt;=3.5,"A-",IF('Data Source'!Y39&gt;=3,"B",IF('Data Source'!Y39&gt;=2,"C",IF('Data Source'!Y39&gt;=1,"D","F")))))),"")</f>
        <v/>
      </c>
      <c r="H39" s="3">
        <f>IF(AND('Data Source'!B39&lt;&gt;"",'Data Source'!S39="A+"),IF('Data Source'!Z39&gt;=5,"A+",IF('Data Source'!Z39&gt;=4,"A",IF('Data Source'!Z39&gt;=3.5,"A-",IF('Data Source'!Z39&gt;=3,"B",IF('Data Source'!Z39&gt;=2,"C",IF('Data Source'!Z39&gt;=1,"D","F")))))),"")</f>
        <v/>
      </c>
      <c r="I39" s="3">
        <f>IF(AND('Data Source'!B39&lt;&gt;"",'Data Source'!S39="A+"),IF('Data Source'!AA39&gt;=5,"A+",IF('Data Source'!AA39&gt;=4,"A",IF('Data Source'!AA39&gt;=3.5,"A-",IF('Data Source'!AA39&gt;=3,"B",IF('Data Source'!AA39&gt;=2,"C",IF('Data Source'!AA39&gt;=1,"D","F")))))),"")</f>
        <v/>
      </c>
      <c r="J39" s="3">
        <f>IF(AND('Data Source'!B39&lt;&gt;"",'Data Source'!S39="A+"),IF('Data Source'!AB39&gt;=5,"A+",IF('Data Source'!AB39&gt;=4,"A",IF('Data Source'!AB39&gt;=3.5,"A-",IF('Data Source'!AB39&gt;=3,"B",IF('Data Source'!AB39&gt;=2,"C",IF('Data Source'!AB39&gt;=1,"D","F")))))),"")</f>
        <v/>
      </c>
      <c r="K39" s="3">
        <f>IF(AND('Data Source'!B39&lt;&gt;"",'Data Source'!S39="A+"),IF('Data Source'!AC39&gt;=5,"A+",IF('Data Source'!AC39&gt;=4,"A",IF('Data Source'!AC39&gt;=3.5,"A-",IF('Data Source'!AC39&gt;=3,"B",IF('Data Source'!AC39&gt;=2,"C",IF('Data Source'!AC39&gt;=1,"D","F")))))),"")</f>
        <v/>
      </c>
      <c r="L39" s="3">
        <f>IF(AND('Data Source'!B39&lt;&gt;"",'Data Source'!S39="A+"),IF('Data Source'!AD39&gt;=5,"A+",IF('Data Source'!AD39&gt;=4,"A",IF('Data Source'!AD39&gt;=3.5,"A-",IF('Data Source'!AD39&gt;=3,"B",IF('Data Source'!AD39&gt;=2,"C",IF('Data Source'!AD39&gt;=1,"D","F")))))),"")</f>
        <v/>
      </c>
      <c r="M39" s="3">
        <f>IF(AND('Data Source'!B39&lt;&gt;"",'Data Source'!S39="A+"),IF('Data Source'!AE39&gt;=5,"A+",IF('Data Source'!AE39&gt;=4,"A",IF('Data Source'!AE39&gt;=3.5,"A-",IF('Data Source'!AE39&gt;=3,"B",IF('Data Source'!AE39&gt;=2,"C",IF('Data Source'!AE39&gt;=1,"D","F")))))),"")</f>
        <v/>
      </c>
      <c r="N39" s="3">
        <f>IF(AND('Data Source'!B39&lt;&gt;"",'Data Source'!S39="A+"),IF('Data Source'!AF39&gt;=5,"A+",IF('Data Source'!AF39&gt;=4,"A",IF('Data Source'!AF39&gt;=3.5,"A-",IF('Data Source'!AF39&gt;=3,"B",IF('Data Source'!AF39&gt;=2,"C",IF('Data Source'!AF39&gt;=1,"D","F")))))),"")</f>
        <v/>
      </c>
      <c r="O39" s="3">
        <f>IF(AND('Data Source'!B39&lt;&gt;"",'Data Source'!S39="A+"),IF('Data Source'!AG39&gt;=5,"A+",IF('Data Source'!AG39&gt;=4,"A",IF('Data Source'!AG39&gt;=3.5,"A-",IF('Data Source'!AG39&gt;=3,"B",IF('Data Source'!AG39&gt;=2,"C",IF('Data Source'!AG39&gt;=1,"D","F")))))),"")</f>
        <v/>
      </c>
      <c r="P39" s="5">
        <f>IF(AND('Data Source'!B39&lt;&gt;"",'Data Source'!S39="A+"),'Data Source'!R39,"")</f>
        <v/>
      </c>
      <c r="Q39" s="3">
        <f>IF(AND('Data Source'!B39&lt;&gt;"",'Data Source'!S39="A+"),'Data Source'!S39,"")</f>
        <v/>
      </c>
    </row>
    <row r="40">
      <c r="A40" s="3">
        <f>IF(AND('Data Source'!B40&lt;&gt;"",'Data Source'!S40="A+"),COUNTIF('Data Source'!$S$3:S40,"A+"),"")</f>
        <v/>
      </c>
      <c r="B40">
        <f>IF(AND('Data Source'!B40&lt;&gt;"",'Data Source'!S40="A+"),'Data Source'!B40,"")</f>
        <v/>
      </c>
      <c r="C40" s="3">
        <f>IF(AND('Data Source'!B40&lt;&gt;"",'Data Source'!S40="A+"),IF('Data Source'!U40&gt;=5,"A+",IF('Data Source'!U40&gt;=4,"A",IF('Data Source'!U40&gt;=3.5,"A-",IF('Data Source'!U40&gt;=3,"B",IF('Data Source'!U40&gt;=2,"C",IF('Data Source'!U40&gt;=1,"D","F")))))),"")</f>
        <v/>
      </c>
      <c r="D40" s="3">
        <f>IF(AND('Data Source'!B40&lt;&gt;"",'Data Source'!S40="A+"),IF('Data Source'!V40&gt;=5,"A+",IF('Data Source'!V40&gt;=4,"A",IF('Data Source'!V40&gt;=3.5,"A-",IF('Data Source'!V40&gt;=3,"B",IF('Data Source'!V40&gt;=2,"C",IF('Data Source'!V40&gt;=1,"D","F")))))),"")</f>
        <v/>
      </c>
      <c r="E40" s="3">
        <f>IF(AND('Data Source'!B40&lt;&gt;"",'Data Source'!S40="A+"),IF('Data Source'!W40&gt;=5,"A+",IF('Data Source'!W40&gt;=4,"A",IF('Data Source'!W40&gt;=3.5,"A-",IF('Data Source'!W40&gt;=3,"B",IF('Data Source'!W40&gt;=2,"C",IF('Data Source'!W40&gt;=1,"D","F")))))),"")</f>
        <v/>
      </c>
      <c r="F40" s="3">
        <f>IF(AND('Data Source'!B40&lt;&gt;"",'Data Source'!S40="A+"),IF('Data Source'!X40&gt;=5,"A+",IF('Data Source'!X40&gt;=4,"A",IF('Data Source'!X40&gt;=3.5,"A-",IF('Data Source'!X40&gt;=3,"B",IF('Data Source'!X40&gt;=2,"C",IF('Data Source'!X40&gt;=1,"D","F")))))),"")</f>
        <v/>
      </c>
      <c r="G40" s="3">
        <f>IF(AND('Data Source'!B40&lt;&gt;"",'Data Source'!S40="A+"),IF('Data Source'!Y40&gt;=5,"A+",IF('Data Source'!Y40&gt;=4,"A",IF('Data Source'!Y40&gt;=3.5,"A-",IF('Data Source'!Y40&gt;=3,"B",IF('Data Source'!Y40&gt;=2,"C",IF('Data Source'!Y40&gt;=1,"D","F")))))),"")</f>
        <v/>
      </c>
      <c r="H40" s="3">
        <f>IF(AND('Data Source'!B40&lt;&gt;"",'Data Source'!S40="A+"),IF('Data Source'!Z40&gt;=5,"A+",IF('Data Source'!Z40&gt;=4,"A",IF('Data Source'!Z40&gt;=3.5,"A-",IF('Data Source'!Z40&gt;=3,"B",IF('Data Source'!Z40&gt;=2,"C",IF('Data Source'!Z40&gt;=1,"D","F")))))),"")</f>
        <v/>
      </c>
      <c r="I40" s="3">
        <f>IF(AND('Data Source'!B40&lt;&gt;"",'Data Source'!S40="A+"),IF('Data Source'!AA40&gt;=5,"A+",IF('Data Source'!AA40&gt;=4,"A",IF('Data Source'!AA40&gt;=3.5,"A-",IF('Data Source'!AA40&gt;=3,"B",IF('Data Source'!AA40&gt;=2,"C",IF('Data Source'!AA40&gt;=1,"D","F")))))),"")</f>
        <v/>
      </c>
      <c r="J40" s="3">
        <f>IF(AND('Data Source'!B40&lt;&gt;"",'Data Source'!S40="A+"),IF('Data Source'!AB40&gt;=5,"A+",IF('Data Source'!AB40&gt;=4,"A",IF('Data Source'!AB40&gt;=3.5,"A-",IF('Data Source'!AB40&gt;=3,"B",IF('Data Source'!AB40&gt;=2,"C",IF('Data Source'!AB40&gt;=1,"D","F")))))),"")</f>
        <v/>
      </c>
      <c r="K40" s="3">
        <f>IF(AND('Data Source'!B40&lt;&gt;"",'Data Source'!S40="A+"),IF('Data Source'!AC40&gt;=5,"A+",IF('Data Source'!AC40&gt;=4,"A",IF('Data Source'!AC40&gt;=3.5,"A-",IF('Data Source'!AC40&gt;=3,"B",IF('Data Source'!AC40&gt;=2,"C",IF('Data Source'!AC40&gt;=1,"D","F")))))),"")</f>
        <v/>
      </c>
      <c r="L40" s="3">
        <f>IF(AND('Data Source'!B40&lt;&gt;"",'Data Source'!S40="A+"),IF('Data Source'!AD40&gt;=5,"A+",IF('Data Source'!AD40&gt;=4,"A",IF('Data Source'!AD40&gt;=3.5,"A-",IF('Data Source'!AD40&gt;=3,"B",IF('Data Source'!AD40&gt;=2,"C",IF('Data Source'!AD40&gt;=1,"D","F")))))),"")</f>
        <v/>
      </c>
      <c r="M40" s="3">
        <f>IF(AND('Data Source'!B40&lt;&gt;"",'Data Source'!S40="A+"),IF('Data Source'!AE40&gt;=5,"A+",IF('Data Source'!AE40&gt;=4,"A",IF('Data Source'!AE40&gt;=3.5,"A-",IF('Data Source'!AE40&gt;=3,"B",IF('Data Source'!AE40&gt;=2,"C",IF('Data Source'!AE40&gt;=1,"D","F")))))),"")</f>
        <v/>
      </c>
      <c r="N40" s="3">
        <f>IF(AND('Data Source'!B40&lt;&gt;"",'Data Source'!S40="A+"),IF('Data Source'!AF40&gt;=5,"A+",IF('Data Source'!AF40&gt;=4,"A",IF('Data Source'!AF40&gt;=3.5,"A-",IF('Data Source'!AF40&gt;=3,"B",IF('Data Source'!AF40&gt;=2,"C",IF('Data Source'!AF40&gt;=1,"D","F")))))),"")</f>
        <v/>
      </c>
      <c r="O40" s="3">
        <f>IF(AND('Data Source'!B40&lt;&gt;"",'Data Source'!S40="A+"),IF('Data Source'!AG40&gt;=5,"A+",IF('Data Source'!AG40&gt;=4,"A",IF('Data Source'!AG40&gt;=3.5,"A-",IF('Data Source'!AG40&gt;=3,"B",IF('Data Source'!AG40&gt;=2,"C",IF('Data Source'!AG40&gt;=1,"D","F")))))),"")</f>
        <v/>
      </c>
      <c r="P40" s="5">
        <f>IF(AND('Data Source'!B40&lt;&gt;"",'Data Source'!S40="A+"),'Data Source'!R40,"")</f>
        <v/>
      </c>
      <c r="Q40" s="3">
        <f>IF(AND('Data Source'!B40&lt;&gt;"",'Data Source'!S40="A+"),'Data Source'!S40,"")</f>
        <v/>
      </c>
    </row>
    <row r="41">
      <c r="A41" s="3">
        <f>IF(AND('Data Source'!B41&lt;&gt;"",'Data Source'!S41="A+"),COUNTIF('Data Source'!$S$3:S41,"A+"),"")</f>
        <v/>
      </c>
      <c r="B41">
        <f>IF(AND('Data Source'!B41&lt;&gt;"",'Data Source'!S41="A+"),'Data Source'!B41,"")</f>
        <v/>
      </c>
      <c r="C41" s="3">
        <f>IF(AND('Data Source'!B41&lt;&gt;"",'Data Source'!S41="A+"),IF('Data Source'!U41&gt;=5,"A+",IF('Data Source'!U41&gt;=4,"A",IF('Data Source'!U41&gt;=3.5,"A-",IF('Data Source'!U41&gt;=3,"B",IF('Data Source'!U41&gt;=2,"C",IF('Data Source'!U41&gt;=1,"D","F")))))),"")</f>
        <v/>
      </c>
      <c r="D41" s="3">
        <f>IF(AND('Data Source'!B41&lt;&gt;"",'Data Source'!S41="A+"),IF('Data Source'!V41&gt;=5,"A+",IF('Data Source'!V41&gt;=4,"A",IF('Data Source'!V41&gt;=3.5,"A-",IF('Data Source'!V41&gt;=3,"B",IF('Data Source'!V41&gt;=2,"C",IF('Data Source'!V41&gt;=1,"D","F")))))),"")</f>
        <v/>
      </c>
      <c r="E41" s="3">
        <f>IF(AND('Data Source'!B41&lt;&gt;"",'Data Source'!S41="A+"),IF('Data Source'!W41&gt;=5,"A+",IF('Data Source'!W41&gt;=4,"A",IF('Data Source'!W41&gt;=3.5,"A-",IF('Data Source'!W41&gt;=3,"B",IF('Data Source'!W41&gt;=2,"C",IF('Data Source'!W41&gt;=1,"D","F")))))),"")</f>
        <v/>
      </c>
      <c r="F41" s="3">
        <f>IF(AND('Data Source'!B41&lt;&gt;"",'Data Source'!S41="A+"),IF('Data Source'!X41&gt;=5,"A+",IF('Data Source'!X41&gt;=4,"A",IF('Data Source'!X41&gt;=3.5,"A-",IF('Data Source'!X41&gt;=3,"B",IF('Data Source'!X41&gt;=2,"C",IF('Data Source'!X41&gt;=1,"D","F")))))),"")</f>
        <v/>
      </c>
      <c r="G41" s="3">
        <f>IF(AND('Data Source'!B41&lt;&gt;"",'Data Source'!S41="A+"),IF('Data Source'!Y41&gt;=5,"A+",IF('Data Source'!Y41&gt;=4,"A",IF('Data Source'!Y41&gt;=3.5,"A-",IF('Data Source'!Y41&gt;=3,"B",IF('Data Source'!Y41&gt;=2,"C",IF('Data Source'!Y41&gt;=1,"D","F")))))),"")</f>
        <v/>
      </c>
      <c r="H41" s="3">
        <f>IF(AND('Data Source'!B41&lt;&gt;"",'Data Source'!S41="A+"),IF('Data Source'!Z41&gt;=5,"A+",IF('Data Source'!Z41&gt;=4,"A",IF('Data Source'!Z41&gt;=3.5,"A-",IF('Data Source'!Z41&gt;=3,"B",IF('Data Source'!Z41&gt;=2,"C",IF('Data Source'!Z41&gt;=1,"D","F")))))),"")</f>
        <v/>
      </c>
      <c r="I41" s="3">
        <f>IF(AND('Data Source'!B41&lt;&gt;"",'Data Source'!S41="A+"),IF('Data Source'!AA41&gt;=5,"A+",IF('Data Source'!AA41&gt;=4,"A",IF('Data Source'!AA41&gt;=3.5,"A-",IF('Data Source'!AA41&gt;=3,"B",IF('Data Source'!AA41&gt;=2,"C",IF('Data Source'!AA41&gt;=1,"D","F")))))),"")</f>
        <v/>
      </c>
      <c r="J41" s="3">
        <f>IF(AND('Data Source'!B41&lt;&gt;"",'Data Source'!S41="A+"),IF('Data Source'!AB41&gt;=5,"A+",IF('Data Source'!AB41&gt;=4,"A",IF('Data Source'!AB41&gt;=3.5,"A-",IF('Data Source'!AB41&gt;=3,"B",IF('Data Source'!AB41&gt;=2,"C",IF('Data Source'!AB41&gt;=1,"D","F")))))),"")</f>
        <v/>
      </c>
      <c r="K41" s="3">
        <f>IF(AND('Data Source'!B41&lt;&gt;"",'Data Source'!S41="A+"),IF('Data Source'!AC41&gt;=5,"A+",IF('Data Source'!AC41&gt;=4,"A",IF('Data Source'!AC41&gt;=3.5,"A-",IF('Data Source'!AC41&gt;=3,"B",IF('Data Source'!AC41&gt;=2,"C",IF('Data Source'!AC41&gt;=1,"D","F")))))),"")</f>
        <v/>
      </c>
      <c r="L41" s="3">
        <f>IF(AND('Data Source'!B41&lt;&gt;"",'Data Source'!S41="A+"),IF('Data Source'!AD41&gt;=5,"A+",IF('Data Source'!AD41&gt;=4,"A",IF('Data Source'!AD41&gt;=3.5,"A-",IF('Data Source'!AD41&gt;=3,"B",IF('Data Source'!AD41&gt;=2,"C",IF('Data Source'!AD41&gt;=1,"D","F")))))),"")</f>
        <v/>
      </c>
      <c r="M41" s="3">
        <f>IF(AND('Data Source'!B41&lt;&gt;"",'Data Source'!S41="A+"),IF('Data Source'!AE41&gt;=5,"A+",IF('Data Source'!AE41&gt;=4,"A",IF('Data Source'!AE41&gt;=3.5,"A-",IF('Data Source'!AE41&gt;=3,"B",IF('Data Source'!AE41&gt;=2,"C",IF('Data Source'!AE41&gt;=1,"D","F")))))),"")</f>
        <v/>
      </c>
      <c r="N41" s="3">
        <f>IF(AND('Data Source'!B41&lt;&gt;"",'Data Source'!S41="A+"),IF('Data Source'!AF41&gt;=5,"A+",IF('Data Source'!AF41&gt;=4,"A",IF('Data Source'!AF41&gt;=3.5,"A-",IF('Data Source'!AF41&gt;=3,"B",IF('Data Source'!AF41&gt;=2,"C",IF('Data Source'!AF41&gt;=1,"D","F")))))),"")</f>
        <v/>
      </c>
      <c r="O41" s="3">
        <f>IF(AND('Data Source'!B41&lt;&gt;"",'Data Source'!S41="A+"),IF('Data Source'!AG41&gt;=5,"A+",IF('Data Source'!AG41&gt;=4,"A",IF('Data Source'!AG41&gt;=3.5,"A-",IF('Data Source'!AG41&gt;=3,"B",IF('Data Source'!AG41&gt;=2,"C",IF('Data Source'!AG41&gt;=1,"D","F")))))),"")</f>
        <v/>
      </c>
      <c r="P41" s="5">
        <f>IF(AND('Data Source'!B41&lt;&gt;"",'Data Source'!S41="A+"),'Data Source'!R41,"")</f>
        <v/>
      </c>
      <c r="Q41" s="3">
        <f>IF(AND('Data Source'!B41&lt;&gt;"",'Data Source'!S41="A+"),'Data Source'!S41,"")</f>
        <v/>
      </c>
    </row>
    <row r="42">
      <c r="A42" s="3">
        <f>IF(AND('Data Source'!B42&lt;&gt;"",'Data Source'!S42="A+"),COUNTIF('Data Source'!$S$3:S42,"A+"),"")</f>
        <v/>
      </c>
      <c r="B42">
        <f>IF(AND('Data Source'!B42&lt;&gt;"",'Data Source'!S42="A+"),'Data Source'!B42,"")</f>
        <v/>
      </c>
      <c r="C42" s="3">
        <f>IF(AND('Data Source'!B42&lt;&gt;"",'Data Source'!S42="A+"),IF('Data Source'!U42&gt;=5,"A+",IF('Data Source'!U42&gt;=4,"A",IF('Data Source'!U42&gt;=3.5,"A-",IF('Data Source'!U42&gt;=3,"B",IF('Data Source'!U42&gt;=2,"C",IF('Data Source'!U42&gt;=1,"D","F")))))),"")</f>
        <v/>
      </c>
      <c r="D42" s="3">
        <f>IF(AND('Data Source'!B42&lt;&gt;"",'Data Source'!S42="A+"),IF('Data Source'!V42&gt;=5,"A+",IF('Data Source'!V42&gt;=4,"A",IF('Data Source'!V42&gt;=3.5,"A-",IF('Data Source'!V42&gt;=3,"B",IF('Data Source'!V42&gt;=2,"C",IF('Data Source'!V42&gt;=1,"D","F")))))),"")</f>
        <v/>
      </c>
      <c r="E42" s="3">
        <f>IF(AND('Data Source'!B42&lt;&gt;"",'Data Source'!S42="A+"),IF('Data Source'!W42&gt;=5,"A+",IF('Data Source'!W42&gt;=4,"A",IF('Data Source'!W42&gt;=3.5,"A-",IF('Data Source'!W42&gt;=3,"B",IF('Data Source'!W42&gt;=2,"C",IF('Data Source'!W42&gt;=1,"D","F")))))),"")</f>
        <v/>
      </c>
      <c r="F42" s="3">
        <f>IF(AND('Data Source'!B42&lt;&gt;"",'Data Source'!S42="A+"),IF('Data Source'!X42&gt;=5,"A+",IF('Data Source'!X42&gt;=4,"A",IF('Data Source'!X42&gt;=3.5,"A-",IF('Data Source'!X42&gt;=3,"B",IF('Data Source'!X42&gt;=2,"C",IF('Data Source'!X42&gt;=1,"D","F")))))),"")</f>
        <v/>
      </c>
      <c r="G42" s="3">
        <f>IF(AND('Data Source'!B42&lt;&gt;"",'Data Source'!S42="A+"),IF('Data Source'!Y42&gt;=5,"A+",IF('Data Source'!Y42&gt;=4,"A",IF('Data Source'!Y42&gt;=3.5,"A-",IF('Data Source'!Y42&gt;=3,"B",IF('Data Source'!Y42&gt;=2,"C",IF('Data Source'!Y42&gt;=1,"D","F")))))),"")</f>
        <v/>
      </c>
      <c r="H42" s="3">
        <f>IF(AND('Data Source'!B42&lt;&gt;"",'Data Source'!S42="A+"),IF('Data Source'!Z42&gt;=5,"A+",IF('Data Source'!Z42&gt;=4,"A",IF('Data Source'!Z42&gt;=3.5,"A-",IF('Data Source'!Z42&gt;=3,"B",IF('Data Source'!Z42&gt;=2,"C",IF('Data Source'!Z42&gt;=1,"D","F")))))),"")</f>
        <v/>
      </c>
      <c r="I42" s="3">
        <f>IF(AND('Data Source'!B42&lt;&gt;"",'Data Source'!S42="A+"),IF('Data Source'!AA42&gt;=5,"A+",IF('Data Source'!AA42&gt;=4,"A",IF('Data Source'!AA42&gt;=3.5,"A-",IF('Data Source'!AA42&gt;=3,"B",IF('Data Source'!AA42&gt;=2,"C",IF('Data Source'!AA42&gt;=1,"D","F")))))),"")</f>
        <v/>
      </c>
      <c r="J42" s="3">
        <f>IF(AND('Data Source'!B42&lt;&gt;"",'Data Source'!S42="A+"),IF('Data Source'!AB42&gt;=5,"A+",IF('Data Source'!AB42&gt;=4,"A",IF('Data Source'!AB42&gt;=3.5,"A-",IF('Data Source'!AB42&gt;=3,"B",IF('Data Source'!AB42&gt;=2,"C",IF('Data Source'!AB42&gt;=1,"D","F")))))),"")</f>
        <v/>
      </c>
      <c r="K42" s="3">
        <f>IF(AND('Data Source'!B42&lt;&gt;"",'Data Source'!S42="A+"),IF('Data Source'!AC42&gt;=5,"A+",IF('Data Source'!AC42&gt;=4,"A",IF('Data Source'!AC42&gt;=3.5,"A-",IF('Data Source'!AC42&gt;=3,"B",IF('Data Source'!AC42&gt;=2,"C",IF('Data Source'!AC42&gt;=1,"D","F")))))),"")</f>
        <v/>
      </c>
      <c r="L42" s="3">
        <f>IF(AND('Data Source'!B42&lt;&gt;"",'Data Source'!S42="A+"),IF('Data Source'!AD42&gt;=5,"A+",IF('Data Source'!AD42&gt;=4,"A",IF('Data Source'!AD42&gt;=3.5,"A-",IF('Data Source'!AD42&gt;=3,"B",IF('Data Source'!AD42&gt;=2,"C",IF('Data Source'!AD42&gt;=1,"D","F")))))),"")</f>
        <v/>
      </c>
      <c r="M42" s="3">
        <f>IF(AND('Data Source'!B42&lt;&gt;"",'Data Source'!S42="A+"),IF('Data Source'!AE42&gt;=5,"A+",IF('Data Source'!AE42&gt;=4,"A",IF('Data Source'!AE42&gt;=3.5,"A-",IF('Data Source'!AE42&gt;=3,"B",IF('Data Source'!AE42&gt;=2,"C",IF('Data Source'!AE42&gt;=1,"D","F")))))),"")</f>
        <v/>
      </c>
      <c r="N42" s="3">
        <f>IF(AND('Data Source'!B42&lt;&gt;"",'Data Source'!S42="A+"),IF('Data Source'!AF42&gt;=5,"A+",IF('Data Source'!AF42&gt;=4,"A",IF('Data Source'!AF42&gt;=3.5,"A-",IF('Data Source'!AF42&gt;=3,"B",IF('Data Source'!AF42&gt;=2,"C",IF('Data Source'!AF42&gt;=1,"D","F")))))),"")</f>
        <v/>
      </c>
      <c r="O42" s="3">
        <f>IF(AND('Data Source'!B42&lt;&gt;"",'Data Source'!S42="A+"),IF('Data Source'!AG42&gt;=5,"A+",IF('Data Source'!AG42&gt;=4,"A",IF('Data Source'!AG42&gt;=3.5,"A-",IF('Data Source'!AG42&gt;=3,"B",IF('Data Source'!AG42&gt;=2,"C",IF('Data Source'!AG42&gt;=1,"D","F")))))),"")</f>
        <v/>
      </c>
      <c r="P42" s="5">
        <f>IF(AND('Data Source'!B42&lt;&gt;"",'Data Source'!S42="A+"),'Data Source'!R42,"")</f>
        <v/>
      </c>
      <c r="Q42" s="3">
        <f>IF(AND('Data Source'!B42&lt;&gt;"",'Data Source'!S42="A+"),'Data Source'!S42,"")</f>
        <v/>
      </c>
    </row>
    <row r="43">
      <c r="A43" s="3">
        <f>IF(AND('Data Source'!B43&lt;&gt;"",'Data Source'!S43="A+"),COUNTIF('Data Source'!$S$3:S43,"A+"),"")</f>
        <v/>
      </c>
      <c r="B43">
        <f>IF(AND('Data Source'!B43&lt;&gt;"",'Data Source'!S43="A+"),'Data Source'!B43,"")</f>
        <v/>
      </c>
      <c r="C43" s="3">
        <f>IF(AND('Data Source'!B43&lt;&gt;"",'Data Source'!S43="A+"),IF('Data Source'!U43&gt;=5,"A+",IF('Data Source'!U43&gt;=4,"A",IF('Data Source'!U43&gt;=3.5,"A-",IF('Data Source'!U43&gt;=3,"B",IF('Data Source'!U43&gt;=2,"C",IF('Data Source'!U43&gt;=1,"D","F")))))),"")</f>
        <v/>
      </c>
      <c r="D43" s="3">
        <f>IF(AND('Data Source'!B43&lt;&gt;"",'Data Source'!S43="A+"),IF('Data Source'!V43&gt;=5,"A+",IF('Data Source'!V43&gt;=4,"A",IF('Data Source'!V43&gt;=3.5,"A-",IF('Data Source'!V43&gt;=3,"B",IF('Data Source'!V43&gt;=2,"C",IF('Data Source'!V43&gt;=1,"D","F")))))),"")</f>
        <v/>
      </c>
      <c r="E43" s="3">
        <f>IF(AND('Data Source'!B43&lt;&gt;"",'Data Source'!S43="A+"),IF('Data Source'!W43&gt;=5,"A+",IF('Data Source'!W43&gt;=4,"A",IF('Data Source'!W43&gt;=3.5,"A-",IF('Data Source'!W43&gt;=3,"B",IF('Data Source'!W43&gt;=2,"C",IF('Data Source'!W43&gt;=1,"D","F")))))),"")</f>
        <v/>
      </c>
      <c r="F43" s="3">
        <f>IF(AND('Data Source'!B43&lt;&gt;"",'Data Source'!S43="A+"),IF('Data Source'!X43&gt;=5,"A+",IF('Data Source'!X43&gt;=4,"A",IF('Data Source'!X43&gt;=3.5,"A-",IF('Data Source'!X43&gt;=3,"B",IF('Data Source'!X43&gt;=2,"C",IF('Data Source'!X43&gt;=1,"D","F")))))),"")</f>
        <v/>
      </c>
      <c r="G43" s="3">
        <f>IF(AND('Data Source'!B43&lt;&gt;"",'Data Source'!S43="A+"),IF('Data Source'!Y43&gt;=5,"A+",IF('Data Source'!Y43&gt;=4,"A",IF('Data Source'!Y43&gt;=3.5,"A-",IF('Data Source'!Y43&gt;=3,"B",IF('Data Source'!Y43&gt;=2,"C",IF('Data Source'!Y43&gt;=1,"D","F")))))),"")</f>
        <v/>
      </c>
      <c r="H43" s="3">
        <f>IF(AND('Data Source'!B43&lt;&gt;"",'Data Source'!S43="A+"),IF('Data Source'!Z43&gt;=5,"A+",IF('Data Source'!Z43&gt;=4,"A",IF('Data Source'!Z43&gt;=3.5,"A-",IF('Data Source'!Z43&gt;=3,"B",IF('Data Source'!Z43&gt;=2,"C",IF('Data Source'!Z43&gt;=1,"D","F")))))),"")</f>
        <v/>
      </c>
      <c r="I43" s="3">
        <f>IF(AND('Data Source'!B43&lt;&gt;"",'Data Source'!S43="A+"),IF('Data Source'!AA43&gt;=5,"A+",IF('Data Source'!AA43&gt;=4,"A",IF('Data Source'!AA43&gt;=3.5,"A-",IF('Data Source'!AA43&gt;=3,"B",IF('Data Source'!AA43&gt;=2,"C",IF('Data Source'!AA43&gt;=1,"D","F")))))),"")</f>
        <v/>
      </c>
      <c r="J43" s="3">
        <f>IF(AND('Data Source'!B43&lt;&gt;"",'Data Source'!S43="A+"),IF('Data Source'!AB43&gt;=5,"A+",IF('Data Source'!AB43&gt;=4,"A",IF('Data Source'!AB43&gt;=3.5,"A-",IF('Data Source'!AB43&gt;=3,"B",IF('Data Source'!AB43&gt;=2,"C",IF('Data Source'!AB43&gt;=1,"D","F")))))),"")</f>
        <v/>
      </c>
      <c r="K43" s="3">
        <f>IF(AND('Data Source'!B43&lt;&gt;"",'Data Source'!S43="A+"),IF('Data Source'!AC43&gt;=5,"A+",IF('Data Source'!AC43&gt;=4,"A",IF('Data Source'!AC43&gt;=3.5,"A-",IF('Data Source'!AC43&gt;=3,"B",IF('Data Source'!AC43&gt;=2,"C",IF('Data Source'!AC43&gt;=1,"D","F")))))),"")</f>
        <v/>
      </c>
      <c r="L43" s="3">
        <f>IF(AND('Data Source'!B43&lt;&gt;"",'Data Source'!S43="A+"),IF('Data Source'!AD43&gt;=5,"A+",IF('Data Source'!AD43&gt;=4,"A",IF('Data Source'!AD43&gt;=3.5,"A-",IF('Data Source'!AD43&gt;=3,"B",IF('Data Source'!AD43&gt;=2,"C",IF('Data Source'!AD43&gt;=1,"D","F")))))),"")</f>
        <v/>
      </c>
      <c r="M43" s="3">
        <f>IF(AND('Data Source'!B43&lt;&gt;"",'Data Source'!S43="A+"),IF('Data Source'!AE43&gt;=5,"A+",IF('Data Source'!AE43&gt;=4,"A",IF('Data Source'!AE43&gt;=3.5,"A-",IF('Data Source'!AE43&gt;=3,"B",IF('Data Source'!AE43&gt;=2,"C",IF('Data Source'!AE43&gt;=1,"D","F")))))),"")</f>
        <v/>
      </c>
      <c r="N43" s="3">
        <f>IF(AND('Data Source'!B43&lt;&gt;"",'Data Source'!S43="A+"),IF('Data Source'!AF43&gt;=5,"A+",IF('Data Source'!AF43&gt;=4,"A",IF('Data Source'!AF43&gt;=3.5,"A-",IF('Data Source'!AF43&gt;=3,"B",IF('Data Source'!AF43&gt;=2,"C",IF('Data Source'!AF43&gt;=1,"D","F")))))),"")</f>
        <v/>
      </c>
      <c r="O43" s="3">
        <f>IF(AND('Data Source'!B43&lt;&gt;"",'Data Source'!S43="A+"),IF('Data Source'!AG43&gt;=5,"A+",IF('Data Source'!AG43&gt;=4,"A",IF('Data Source'!AG43&gt;=3.5,"A-",IF('Data Source'!AG43&gt;=3,"B",IF('Data Source'!AG43&gt;=2,"C",IF('Data Source'!AG43&gt;=1,"D","F")))))),"")</f>
        <v/>
      </c>
      <c r="P43" s="5">
        <f>IF(AND('Data Source'!B43&lt;&gt;"",'Data Source'!S43="A+"),'Data Source'!R43,"")</f>
        <v/>
      </c>
      <c r="Q43" s="3">
        <f>IF(AND('Data Source'!B43&lt;&gt;"",'Data Source'!S43="A+"),'Data Source'!S43,"")</f>
        <v/>
      </c>
    </row>
    <row r="44">
      <c r="A44" s="3">
        <f>IF(AND('Data Source'!B44&lt;&gt;"",'Data Source'!S44="A+"),COUNTIF('Data Source'!$S$3:S44,"A+"),"")</f>
        <v/>
      </c>
      <c r="B44">
        <f>IF(AND('Data Source'!B44&lt;&gt;"",'Data Source'!S44="A+"),'Data Source'!B44,"")</f>
        <v/>
      </c>
      <c r="C44" s="3">
        <f>IF(AND('Data Source'!B44&lt;&gt;"",'Data Source'!S44="A+"),IF('Data Source'!U44&gt;=5,"A+",IF('Data Source'!U44&gt;=4,"A",IF('Data Source'!U44&gt;=3.5,"A-",IF('Data Source'!U44&gt;=3,"B",IF('Data Source'!U44&gt;=2,"C",IF('Data Source'!U44&gt;=1,"D","F")))))),"")</f>
        <v/>
      </c>
      <c r="D44" s="3">
        <f>IF(AND('Data Source'!B44&lt;&gt;"",'Data Source'!S44="A+"),IF('Data Source'!V44&gt;=5,"A+",IF('Data Source'!V44&gt;=4,"A",IF('Data Source'!V44&gt;=3.5,"A-",IF('Data Source'!V44&gt;=3,"B",IF('Data Source'!V44&gt;=2,"C",IF('Data Source'!V44&gt;=1,"D","F")))))),"")</f>
        <v/>
      </c>
      <c r="E44" s="3">
        <f>IF(AND('Data Source'!B44&lt;&gt;"",'Data Source'!S44="A+"),IF('Data Source'!W44&gt;=5,"A+",IF('Data Source'!W44&gt;=4,"A",IF('Data Source'!W44&gt;=3.5,"A-",IF('Data Source'!W44&gt;=3,"B",IF('Data Source'!W44&gt;=2,"C",IF('Data Source'!W44&gt;=1,"D","F")))))),"")</f>
        <v/>
      </c>
      <c r="F44" s="3">
        <f>IF(AND('Data Source'!B44&lt;&gt;"",'Data Source'!S44="A+"),IF('Data Source'!X44&gt;=5,"A+",IF('Data Source'!X44&gt;=4,"A",IF('Data Source'!X44&gt;=3.5,"A-",IF('Data Source'!X44&gt;=3,"B",IF('Data Source'!X44&gt;=2,"C",IF('Data Source'!X44&gt;=1,"D","F")))))),"")</f>
        <v/>
      </c>
      <c r="G44" s="3">
        <f>IF(AND('Data Source'!B44&lt;&gt;"",'Data Source'!S44="A+"),IF('Data Source'!Y44&gt;=5,"A+",IF('Data Source'!Y44&gt;=4,"A",IF('Data Source'!Y44&gt;=3.5,"A-",IF('Data Source'!Y44&gt;=3,"B",IF('Data Source'!Y44&gt;=2,"C",IF('Data Source'!Y44&gt;=1,"D","F")))))),"")</f>
        <v/>
      </c>
      <c r="H44" s="3">
        <f>IF(AND('Data Source'!B44&lt;&gt;"",'Data Source'!S44="A+"),IF('Data Source'!Z44&gt;=5,"A+",IF('Data Source'!Z44&gt;=4,"A",IF('Data Source'!Z44&gt;=3.5,"A-",IF('Data Source'!Z44&gt;=3,"B",IF('Data Source'!Z44&gt;=2,"C",IF('Data Source'!Z44&gt;=1,"D","F")))))),"")</f>
        <v/>
      </c>
      <c r="I44" s="3">
        <f>IF(AND('Data Source'!B44&lt;&gt;"",'Data Source'!S44="A+"),IF('Data Source'!AA44&gt;=5,"A+",IF('Data Source'!AA44&gt;=4,"A",IF('Data Source'!AA44&gt;=3.5,"A-",IF('Data Source'!AA44&gt;=3,"B",IF('Data Source'!AA44&gt;=2,"C",IF('Data Source'!AA44&gt;=1,"D","F")))))),"")</f>
        <v/>
      </c>
      <c r="J44" s="3">
        <f>IF(AND('Data Source'!B44&lt;&gt;"",'Data Source'!S44="A+"),IF('Data Source'!AB44&gt;=5,"A+",IF('Data Source'!AB44&gt;=4,"A",IF('Data Source'!AB44&gt;=3.5,"A-",IF('Data Source'!AB44&gt;=3,"B",IF('Data Source'!AB44&gt;=2,"C",IF('Data Source'!AB44&gt;=1,"D","F")))))),"")</f>
        <v/>
      </c>
      <c r="K44" s="3">
        <f>IF(AND('Data Source'!B44&lt;&gt;"",'Data Source'!S44="A+"),IF('Data Source'!AC44&gt;=5,"A+",IF('Data Source'!AC44&gt;=4,"A",IF('Data Source'!AC44&gt;=3.5,"A-",IF('Data Source'!AC44&gt;=3,"B",IF('Data Source'!AC44&gt;=2,"C",IF('Data Source'!AC44&gt;=1,"D","F")))))),"")</f>
        <v/>
      </c>
      <c r="L44" s="3">
        <f>IF(AND('Data Source'!B44&lt;&gt;"",'Data Source'!S44="A+"),IF('Data Source'!AD44&gt;=5,"A+",IF('Data Source'!AD44&gt;=4,"A",IF('Data Source'!AD44&gt;=3.5,"A-",IF('Data Source'!AD44&gt;=3,"B",IF('Data Source'!AD44&gt;=2,"C",IF('Data Source'!AD44&gt;=1,"D","F")))))),"")</f>
        <v/>
      </c>
      <c r="M44" s="3">
        <f>IF(AND('Data Source'!B44&lt;&gt;"",'Data Source'!S44="A+"),IF('Data Source'!AE44&gt;=5,"A+",IF('Data Source'!AE44&gt;=4,"A",IF('Data Source'!AE44&gt;=3.5,"A-",IF('Data Source'!AE44&gt;=3,"B",IF('Data Source'!AE44&gt;=2,"C",IF('Data Source'!AE44&gt;=1,"D","F")))))),"")</f>
        <v/>
      </c>
      <c r="N44" s="3">
        <f>IF(AND('Data Source'!B44&lt;&gt;"",'Data Source'!S44="A+"),IF('Data Source'!AF44&gt;=5,"A+",IF('Data Source'!AF44&gt;=4,"A",IF('Data Source'!AF44&gt;=3.5,"A-",IF('Data Source'!AF44&gt;=3,"B",IF('Data Source'!AF44&gt;=2,"C",IF('Data Source'!AF44&gt;=1,"D","F")))))),"")</f>
        <v/>
      </c>
      <c r="O44" s="3">
        <f>IF(AND('Data Source'!B44&lt;&gt;"",'Data Source'!S44="A+"),IF('Data Source'!AG44&gt;=5,"A+",IF('Data Source'!AG44&gt;=4,"A",IF('Data Source'!AG44&gt;=3.5,"A-",IF('Data Source'!AG44&gt;=3,"B",IF('Data Source'!AG44&gt;=2,"C",IF('Data Source'!AG44&gt;=1,"D","F")))))),"")</f>
        <v/>
      </c>
      <c r="P44" s="5">
        <f>IF(AND('Data Source'!B44&lt;&gt;"",'Data Source'!S44="A+"),'Data Source'!R44,"")</f>
        <v/>
      </c>
      <c r="Q44" s="3">
        <f>IF(AND('Data Source'!B44&lt;&gt;"",'Data Source'!S44="A+"),'Data Source'!S44,"")</f>
        <v/>
      </c>
    </row>
    <row r="45">
      <c r="A45" s="3">
        <f>IF(AND('Data Source'!B45&lt;&gt;"",'Data Source'!S45="A+"),COUNTIF('Data Source'!$S$3:S45,"A+"),"")</f>
        <v/>
      </c>
      <c r="B45">
        <f>IF(AND('Data Source'!B45&lt;&gt;"",'Data Source'!S45="A+"),'Data Source'!B45,"")</f>
        <v/>
      </c>
      <c r="C45" s="3">
        <f>IF(AND('Data Source'!B45&lt;&gt;"",'Data Source'!S45="A+"),IF('Data Source'!U45&gt;=5,"A+",IF('Data Source'!U45&gt;=4,"A",IF('Data Source'!U45&gt;=3.5,"A-",IF('Data Source'!U45&gt;=3,"B",IF('Data Source'!U45&gt;=2,"C",IF('Data Source'!U45&gt;=1,"D","F")))))),"")</f>
        <v/>
      </c>
      <c r="D45" s="3">
        <f>IF(AND('Data Source'!B45&lt;&gt;"",'Data Source'!S45="A+"),IF('Data Source'!V45&gt;=5,"A+",IF('Data Source'!V45&gt;=4,"A",IF('Data Source'!V45&gt;=3.5,"A-",IF('Data Source'!V45&gt;=3,"B",IF('Data Source'!V45&gt;=2,"C",IF('Data Source'!V45&gt;=1,"D","F")))))),"")</f>
        <v/>
      </c>
      <c r="E45" s="3">
        <f>IF(AND('Data Source'!B45&lt;&gt;"",'Data Source'!S45="A+"),IF('Data Source'!W45&gt;=5,"A+",IF('Data Source'!W45&gt;=4,"A",IF('Data Source'!W45&gt;=3.5,"A-",IF('Data Source'!W45&gt;=3,"B",IF('Data Source'!W45&gt;=2,"C",IF('Data Source'!W45&gt;=1,"D","F")))))),"")</f>
        <v/>
      </c>
      <c r="F45" s="3">
        <f>IF(AND('Data Source'!B45&lt;&gt;"",'Data Source'!S45="A+"),IF('Data Source'!X45&gt;=5,"A+",IF('Data Source'!X45&gt;=4,"A",IF('Data Source'!X45&gt;=3.5,"A-",IF('Data Source'!X45&gt;=3,"B",IF('Data Source'!X45&gt;=2,"C",IF('Data Source'!X45&gt;=1,"D","F")))))),"")</f>
        <v/>
      </c>
      <c r="G45" s="3">
        <f>IF(AND('Data Source'!B45&lt;&gt;"",'Data Source'!S45="A+"),IF('Data Source'!Y45&gt;=5,"A+",IF('Data Source'!Y45&gt;=4,"A",IF('Data Source'!Y45&gt;=3.5,"A-",IF('Data Source'!Y45&gt;=3,"B",IF('Data Source'!Y45&gt;=2,"C",IF('Data Source'!Y45&gt;=1,"D","F")))))),"")</f>
        <v/>
      </c>
      <c r="H45" s="3">
        <f>IF(AND('Data Source'!B45&lt;&gt;"",'Data Source'!S45="A+"),IF('Data Source'!Z45&gt;=5,"A+",IF('Data Source'!Z45&gt;=4,"A",IF('Data Source'!Z45&gt;=3.5,"A-",IF('Data Source'!Z45&gt;=3,"B",IF('Data Source'!Z45&gt;=2,"C",IF('Data Source'!Z45&gt;=1,"D","F")))))),"")</f>
        <v/>
      </c>
      <c r="I45" s="3">
        <f>IF(AND('Data Source'!B45&lt;&gt;"",'Data Source'!S45="A+"),IF('Data Source'!AA45&gt;=5,"A+",IF('Data Source'!AA45&gt;=4,"A",IF('Data Source'!AA45&gt;=3.5,"A-",IF('Data Source'!AA45&gt;=3,"B",IF('Data Source'!AA45&gt;=2,"C",IF('Data Source'!AA45&gt;=1,"D","F")))))),"")</f>
        <v/>
      </c>
      <c r="J45" s="3">
        <f>IF(AND('Data Source'!B45&lt;&gt;"",'Data Source'!S45="A+"),IF('Data Source'!AB45&gt;=5,"A+",IF('Data Source'!AB45&gt;=4,"A",IF('Data Source'!AB45&gt;=3.5,"A-",IF('Data Source'!AB45&gt;=3,"B",IF('Data Source'!AB45&gt;=2,"C",IF('Data Source'!AB45&gt;=1,"D","F")))))),"")</f>
        <v/>
      </c>
      <c r="K45" s="3">
        <f>IF(AND('Data Source'!B45&lt;&gt;"",'Data Source'!S45="A+"),IF('Data Source'!AC45&gt;=5,"A+",IF('Data Source'!AC45&gt;=4,"A",IF('Data Source'!AC45&gt;=3.5,"A-",IF('Data Source'!AC45&gt;=3,"B",IF('Data Source'!AC45&gt;=2,"C",IF('Data Source'!AC45&gt;=1,"D","F")))))),"")</f>
        <v/>
      </c>
      <c r="L45" s="3">
        <f>IF(AND('Data Source'!B45&lt;&gt;"",'Data Source'!S45="A+"),IF('Data Source'!AD45&gt;=5,"A+",IF('Data Source'!AD45&gt;=4,"A",IF('Data Source'!AD45&gt;=3.5,"A-",IF('Data Source'!AD45&gt;=3,"B",IF('Data Source'!AD45&gt;=2,"C",IF('Data Source'!AD45&gt;=1,"D","F")))))),"")</f>
        <v/>
      </c>
      <c r="M45" s="3">
        <f>IF(AND('Data Source'!B45&lt;&gt;"",'Data Source'!S45="A+"),IF('Data Source'!AE45&gt;=5,"A+",IF('Data Source'!AE45&gt;=4,"A",IF('Data Source'!AE45&gt;=3.5,"A-",IF('Data Source'!AE45&gt;=3,"B",IF('Data Source'!AE45&gt;=2,"C",IF('Data Source'!AE45&gt;=1,"D","F")))))),"")</f>
        <v/>
      </c>
      <c r="N45" s="3">
        <f>IF(AND('Data Source'!B45&lt;&gt;"",'Data Source'!S45="A+"),IF('Data Source'!AF45&gt;=5,"A+",IF('Data Source'!AF45&gt;=4,"A",IF('Data Source'!AF45&gt;=3.5,"A-",IF('Data Source'!AF45&gt;=3,"B",IF('Data Source'!AF45&gt;=2,"C",IF('Data Source'!AF45&gt;=1,"D","F")))))),"")</f>
        <v/>
      </c>
      <c r="O45" s="3">
        <f>IF(AND('Data Source'!B45&lt;&gt;"",'Data Source'!S45="A+"),IF('Data Source'!AG45&gt;=5,"A+",IF('Data Source'!AG45&gt;=4,"A",IF('Data Source'!AG45&gt;=3.5,"A-",IF('Data Source'!AG45&gt;=3,"B",IF('Data Source'!AG45&gt;=2,"C",IF('Data Source'!AG45&gt;=1,"D","F")))))),"")</f>
        <v/>
      </c>
      <c r="P45" s="5">
        <f>IF(AND('Data Source'!B45&lt;&gt;"",'Data Source'!S45="A+"),'Data Source'!R45,"")</f>
        <v/>
      </c>
      <c r="Q45" s="3">
        <f>IF(AND('Data Source'!B45&lt;&gt;"",'Data Source'!S45="A+"),'Data Source'!S45,"")</f>
        <v/>
      </c>
    </row>
    <row r="46">
      <c r="A46" s="3">
        <f>IF(AND('Data Source'!B46&lt;&gt;"",'Data Source'!S46="A+"),COUNTIF('Data Source'!$S$3:S46,"A+"),"")</f>
        <v/>
      </c>
      <c r="B46">
        <f>IF(AND('Data Source'!B46&lt;&gt;"",'Data Source'!S46="A+"),'Data Source'!B46,"")</f>
        <v/>
      </c>
      <c r="C46" s="3">
        <f>IF(AND('Data Source'!B46&lt;&gt;"",'Data Source'!S46="A+"),IF('Data Source'!U46&gt;=5,"A+",IF('Data Source'!U46&gt;=4,"A",IF('Data Source'!U46&gt;=3.5,"A-",IF('Data Source'!U46&gt;=3,"B",IF('Data Source'!U46&gt;=2,"C",IF('Data Source'!U46&gt;=1,"D","F")))))),"")</f>
        <v/>
      </c>
      <c r="D46" s="3">
        <f>IF(AND('Data Source'!B46&lt;&gt;"",'Data Source'!S46="A+"),IF('Data Source'!V46&gt;=5,"A+",IF('Data Source'!V46&gt;=4,"A",IF('Data Source'!V46&gt;=3.5,"A-",IF('Data Source'!V46&gt;=3,"B",IF('Data Source'!V46&gt;=2,"C",IF('Data Source'!V46&gt;=1,"D","F")))))),"")</f>
        <v/>
      </c>
      <c r="E46" s="3">
        <f>IF(AND('Data Source'!B46&lt;&gt;"",'Data Source'!S46="A+"),IF('Data Source'!W46&gt;=5,"A+",IF('Data Source'!W46&gt;=4,"A",IF('Data Source'!W46&gt;=3.5,"A-",IF('Data Source'!W46&gt;=3,"B",IF('Data Source'!W46&gt;=2,"C",IF('Data Source'!W46&gt;=1,"D","F")))))),"")</f>
        <v/>
      </c>
      <c r="F46" s="3">
        <f>IF(AND('Data Source'!B46&lt;&gt;"",'Data Source'!S46="A+"),IF('Data Source'!X46&gt;=5,"A+",IF('Data Source'!X46&gt;=4,"A",IF('Data Source'!X46&gt;=3.5,"A-",IF('Data Source'!X46&gt;=3,"B",IF('Data Source'!X46&gt;=2,"C",IF('Data Source'!X46&gt;=1,"D","F")))))),"")</f>
        <v/>
      </c>
      <c r="G46" s="3">
        <f>IF(AND('Data Source'!B46&lt;&gt;"",'Data Source'!S46="A+"),IF('Data Source'!Y46&gt;=5,"A+",IF('Data Source'!Y46&gt;=4,"A",IF('Data Source'!Y46&gt;=3.5,"A-",IF('Data Source'!Y46&gt;=3,"B",IF('Data Source'!Y46&gt;=2,"C",IF('Data Source'!Y46&gt;=1,"D","F")))))),"")</f>
        <v/>
      </c>
      <c r="H46" s="3">
        <f>IF(AND('Data Source'!B46&lt;&gt;"",'Data Source'!S46="A+"),IF('Data Source'!Z46&gt;=5,"A+",IF('Data Source'!Z46&gt;=4,"A",IF('Data Source'!Z46&gt;=3.5,"A-",IF('Data Source'!Z46&gt;=3,"B",IF('Data Source'!Z46&gt;=2,"C",IF('Data Source'!Z46&gt;=1,"D","F")))))),"")</f>
        <v/>
      </c>
      <c r="I46" s="3">
        <f>IF(AND('Data Source'!B46&lt;&gt;"",'Data Source'!S46="A+"),IF('Data Source'!AA46&gt;=5,"A+",IF('Data Source'!AA46&gt;=4,"A",IF('Data Source'!AA46&gt;=3.5,"A-",IF('Data Source'!AA46&gt;=3,"B",IF('Data Source'!AA46&gt;=2,"C",IF('Data Source'!AA46&gt;=1,"D","F")))))),"")</f>
        <v/>
      </c>
      <c r="J46" s="3">
        <f>IF(AND('Data Source'!B46&lt;&gt;"",'Data Source'!S46="A+"),IF('Data Source'!AB46&gt;=5,"A+",IF('Data Source'!AB46&gt;=4,"A",IF('Data Source'!AB46&gt;=3.5,"A-",IF('Data Source'!AB46&gt;=3,"B",IF('Data Source'!AB46&gt;=2,"C",IF('Data Source'!AB46&gt;=1,"D","F")))))),"")</f>
        <v/>
      </c>
      <c r="K46" s="3">
        <f>IF(AND('Data Source'!B46&lt;&gt;"",'Data Source'!S46="A+"),IF('Data Source'!AC46&gt;=5,"A+",IF('Data Source'!AC46&gt;=4,"A",IF('Data Source'!AC46&gt;=3.5,"A-",IF('Data Source'!AC46&gt;=3,"B",IF('Data Source'!AC46&gt;=2,"C",IF('Data Source'!AC46&gt;=1,"D","F")))))),"")</f>
        <v/>
      </c>
      <c r="L46" s="3">
        <f>IF(AND('Data Source'!B46&lt;&gt;"",'Data Source'!S46="A+"),IF('Data Source'!AD46&gt;=5,"A+",IF('Data Source'!AD46&gt;=4,"A",IF('Data Source'!AD46&gt;=3.5,"A-",IF('Data Source'!AD46&gt;=3,"B",IF('Data Source'!AD46&gt;=2,"C",IF('Data Source'!AD46&gt;=1,"D","F")))))),"")</f>
        <v/>
      </c>
      <c r="M46" s="3">
        <f>IF(AND('Data Source'!B46&lt;&gt;"",'Data Source'!S46="A+"),IF('Data Source'!AE46&gt;=5,"A+",IF('Data Source'!AE46&gt;=4,"A",IF('Data Source'!AE46&gt;=3.5,"A-",IF('Data Source'!AE46&gt;=3,"B",IF('Data Source'!AE46&gt;=2,"C",IF('Data Source'!AE46&gt;=1,"D","F")))))),"")</f>
        <v/>
      </c>
      <c r="N46" s="3">
        <f>IF(AND('Data Source'!B46&lt;&gt;"",'Data Source'!S46="A+"),IF('Data Source'!AF46&gt;=5,"A+",IF('Data Source'!AF46&gt;=4,"A",IF('Data Source'!AF46&gt;=3.5,"A-",IF('Data Source'!AF46&gt;=3,"B",IF('Data Source'!AF46&gt;=2,"C",IF('Data Source'!AF46&gt;=1,"D","F")))))),"")</f>
        <v/>
      </c>
      <c r="O46" s="3">
        <f>IF(AND('Data Source'!B46&lt;&gt;"",'Data Source'!S46="A+"),IF('Data Source'!AG46&gt;=5,"A+",IF('Data Source'!AG46&gt;=4,"A",IF('Data Source'!AG46&gt;=3.5,"A-",IF('Data Source'!AG46&gt;=3,"B",IF('Data Source'!AG46&gt;=2,"C",IF('Data Source'!AG46&gt;=1,"D","F")))))),"")</f>
        <v/>
      </c>
      <c r="P46" s="5">
        <f>IF(AND('Data Source'!B46&lt;&gt;"",'Data Source'!S46="A+"),'Data Source'!R46,"")</f>
        <v/>
      </c>
      <c r="Q46" s="3">
        <f>IF(AND('Data Source'!B46&lt;&gt;"",'Data Source'!S46="A+"),'Data Source'!S46,"")</f>
        <v/>
      </c>
    </row>
    <row r="47">
      <c r="A47" s="3">
        <f>IF(AND('Data Source'!B47&lt;&gt;"",'Data Source'!S47="A+"),COUNTIF('Data Source'!$S$3:S47,"A+"),"")</f>
        <v/>
      </c>
      <c r="B47">
        <f>IF(AND('Data Source'!B47&lt;&gt;"",'Data Source'!S47="A+"),'Data Source'!B47,"")</f>
        <v/>
      </c>
      <c r="C47" s="3">
        <f>IF(AND('Data Source'!B47&lt;&gt;"",'Data Source'!S47="A+"),IF('Data Source'!U47&gt;=5,"A+",IF('Data Source'!U47&gt;=4,"A",IF('Data Source'!U47&gt;=3.5,"A-",IF('Data Source'!U47&gt;=3,"B",IF('Data Source'!U47&gt;=2,"C",IF('Data Source'!U47&gt;=1,"D","F")))))),"")</f>
        <v/>
      </c>
      <c r="D47" s="3">
        <f>IF(AND('Data Source'!B47&lt;&gt;"",'Data Source'!S47="A+"),IF('Data Source'!V47&gt;=5,"A+",IF('Data Source'!V47&gt;=4,"A",IF('Data Source'!V47&gt;=3.5,"A-",IF('Data Source'!V47&gt;=3,"B",IF('Data Source'!V47&gt;=2,"C",IF('Data Source'!V47&gt;=1,"D","F")))))),"")</f>
        <v/>
      </c>
      <c r="E47" s="3">
        <f>IF(AND('Data Source'!B47&lt;&gt;"",'Data Source'!S47="A+"),IF('Data Source'!W47&gt;=5,"A+",IF('Data Source'!W47&gt;=4,"A",IF('Data Source'!W47&gt;=3.5,"A-",IF('Data Source'!W47&gt;=3,"B",IF('Data Source'!W47&gt;=2,"C",IF('Data Source'!W47&gt;=1,"D","F")))))),"")</f>
        <v/>
      </c>
      <c r="F47" s="3">
        <f>IF(AND('Data Source'!B47&lt;&gt;"",'Data Source'!S47="A+"),IF('Data Source'!X47&gt;=5,"A+",IF('Data Source'!X47&gt;=4,"A",IF('Data Source'!X47&gt;=3.5,"A-",IF('Data Source'!X47&gt;=3,"B",IF('Data Source'!X47&gt;=2,"C",IF('Data Source'!X47&gt;=1,"D","F")))))),"")</f>
        <v/>
      </c>
      <c r="G47" s="3">
        <f>IF(AND('Data Source'!B47&lt;&gt;"",'Data Source'!S47="A+"),IF('Data Source'!Y47&gt;=5,"A+",IF('Data Source'!Y47&gt;=4,"A",IF('Data Source'!Y47&gt;=3.5,"A-",IF('Data Source'!Y47&gt;=3,"B",IF('Data Source'!Y47&gt;=2,"C",IF('Data Source'!Y47&gt;=1,"D","F")))))),"")</f>
        <v/>
      </c>
      <c r="H47" s="3">
        <f>IF(AND('Data Source'!B47&lt;&gt;"",'Data Source'!S47="A+"),IF('Data Source'!Z47&gt;=5,"A+",IF('Data Source'!Z47&gt;=4,"A",IF('Data Source'!Z47&gt;=3.5,"A-",IF('Data Source'!Z47&gt;=3,"B",IF('Data Source'!Z47&gt;=2,"C",IF('Data Source'!Z47&gt;=1,"D","F")))))),"")</f>
        <v/>
      </c>
      <c r="I47" s="3">
        <f>IF(AND('Data Source'!B47&lt;&gt;"",'Data Source'!S47="A+"),IF('Data Source'!AA47&gt;=5,"A+",IF('Data Source'!AA47&gt;=4,"A",IF('Data Source'!AA47&gt;=3.5,"A-",IF('Data Source'!AA47&gt;=3,"B",IF('Data Source'!AA47&gt;=2,"C",IF('Data Source'!AA47&gt;=1,"D","F")))))),"")</f>
        <v/>
      </c>
      <c r="J47" s="3">
        <f>IF(AND('Data Source'!B47&lt;&gt;"",'Data Source'!S47="A+"),IF('Data Source'!AB47&gt;=5,"A+",IF('Data Source'!AB47&gt;=4,"A",IF('Data Source'!AB47&gt;=3.5,"A-",IF('Data Source'!AB47&gt;=3,"B",IF('Data Source'!AB47&gt;=2,"C",IF('Data Source'!AB47&gt;=1,"D","F")))))),"")</f>
        <v/>
      </c>
      <c r="K47" s="3">
        <f>IF(AND('Data Source'!B47&lt;&gt;"",'Data Source'!S47="A+"),IF('Data Source'!AC47&gt;=5,"A+",IF('Data Source'!AC47&gt;=4,"A",IF('Data Source'!AC47&gt;=3.5,"A-",IF('Data Source'!AC47&gt;=3,"B",IF('Data Source'!AC47&gt;=2,"C",IF('Data Source'!AC47&gt;=1,"D","F")))))),"")</f>
        <v/>
      </c>
      <c r="L47" s="3">
        <f>IF(AND('Data Source'!B47&lt;&gt;"",'Data Source'!S47="A+"),IF('Data Source'!AD47&gt;=5,"A+",IF('Data Source'!AD47&gt;=4,"A",IF('Data Source'!AD47&gt;=3.5,"A-",IF('Data Source'!AD47&gt;=3,"B",IF('Data Source'!AD47&gt;=2,"C",IF('Data Source'!AD47&gt;=1,"D","F")))))),"")</f>
        <v/>
      </c>
      <c r="M47" s="3">
        <f>IF(AND('Data Source'!B47&lt;&gt;"",'Data Source'!S47="A+"),IF('Data Source'!AE47&gt;=5,"A+",IF('Data Source'!AE47&gt;=4,"A",IF('Data Source'!AE47&gt;=3.5,"A-",IF('Data Source'!AE47&gt;=3,"B",IF('Data Source'!AE47&gt;=2,"C",IF('Data Source'!AE47&gt;=1,"D","F")))))),"")</f>
        <v/>
      </c>
      <c r="N47" s="3">
        <f>IF(AND('Data Source'!B47&lt;&gt;"",'Data Source'!S47="A+"),IF('Data Source'!AF47&gt;=5,"A+",IF('Data Source'!AF47&gt;=4,"A",IF('Data Source'!AF47&gt;=3.5,"A-",IF('Data Source'!AF47&gt;=3,"B",IF('Data Source'!AF47&gt;=2,"C",IF('Data Source'!AF47&gt;=1,"D","F")))))),"")</f>
        <v/>
      </c>
      <c r="O47" s="3">
        <f>IF(AND('Data Source'!B47&lt;&gt;"",'Data Source'!S47="A+"),IF('Data Source'!AG47&gt;=5,"A+",IF('Data Source'!AG47&gt;=4,"A",IF('Data Source'!AG47&gt;=3.5,"A-",IF('Data Source'!AG47&gt;=3,"B",IF('Data Source'!AG47&gt;=2,"C",IF('Data Source'!AG47&gt;=1,"D","F")))))),"")</f>
        <v/>
      </c>
      <c r="P47" s="5">
        <f>IF(AND('Data Source'!B47&lt;&gt;"",'Data Source'!S47="A+"),'Data Source'!R47,"")</f>
        <v/>
      </c>
      <c r="Q47" s="3">
        <f>IF(AND('Data Source'!B47&lt;&gt;"",'Data Source'!S47="A+"),'Data Source'!S47,"")</f>
        <v/>
      </c>
    </row>
    <row r="48">
      <c r="A48" s="3">
        <f>IF(AND('Data Source'!B48&lt;&gt;"",'Data Source'!S48="A+"),COUNTIF('Data Source'!$S$3:S48,"A+"),"")</f>
        <v/>
      </c>
      <c r="B48">
        <f>IF(AND('Data Source'!B48&lt;&gt;"",'Data Source'!S48="A+"),'Data Source'!B48,"")</f>
        <v/>
      </c>
      <c r="C48" s="3">
        <f>IF(AND('Data Source'!B48&lt;&gt;"",'Data Source'!S48="A+"),IF('Data Source'!U48&gt;=5,"A+",IF('Data Source'!U48&gt;=4,"A",IF('Data Source'!U48&gt;=3.5,"A-",IF('Data Source'!U48&gt;=3,"B",IF('Data Source'!U48&gt;=2,"C",IF('Data Source'!U48&gt;=1,"D","F")))))),"")</f>
        <v/>
      </c>
      <c r="D48" s="3">
        <f>IF(AND('Data Source'!B48&lt;&gt;"",'Data Source'!S48="A+"),IF('Data Source'!V48&gt;=5,"A+",IF('Data Source'!V48&gt;=4,"A",IF('Data Source'!V48&gt;=3.5,"A-",IF('Data Source'!V48&gt;=3,"B",IF('Data Source'!V48&gt;=2,"C",IF('Data Source'!V48&gt;=1,"D","F")))))),"")</f>
        <v/>
      </c>
      <c r="E48" s="3">
        <f>IF(AND('Data Source'!B48&lt;&gt;"",'Data Source'!S48="A+"),IF('Data Source'!W48&gt;=5,"A+",IF('Data Source'!W48&gt;=4,"A",IF('Data Source'!W48&gt;=3.5,"A-",IF('Data Source'!W48&gt;=3,"B",IF('Data Source'!W48&gt;=2,"C",IF('Data Source'!W48&gt;=1,"D","F")))))),"")</f>
        <v/>
      </c>
      <c r="F48" s="3">
        <f>IF(AND('Data Source'!B48&lt;&gt;"",'Data Source'!S48="A+"),IF('Data Source'!X48&gt;=5,"A+",IF('Data Source'!X48&gt;=4,"A",IF('Data Source'!X48&gt;=3.5,"A-",IF('Data Source'!X48&gt;=3,"B",IF('Data Source'!X48&gt;=2,"C",IF('Data Source'!X48&gt;=1,"D","F")))))),"")</f>
        <v/>
      </c>
      <c r="G48" s="3">
        <f>IF(AND('Data Source'!B48&lt;&gt;"",'Data Source'!S48="A+"),IF('Data Source'!Y48&gt;=5,"A+",IF('Data Source'!Y48&gt;=4,"A",IF('Data Source'!Y48&gt;=3.5,"A-",IF('Data Source'!Y48&gt;=3,"B",IF('Data Source'!Y48&gt;=2,"C",IF('Data Source'!Y48&gt;=1,"D","F")))))),"")</f>
        <v/>
      </c>
      <c r="H48" s="3">
        <f>IF(AND('Data Source'!B48&lt;&gt;"",'Data Source'!S48="A+"),IF('Data Source'!Z48&gt;=5,"A+",IF('Data Source'!Z48&gt;=4,"A",IF('Data Source'!Z48&gt;=3.5,"A-",IF('Data Source'!Z48&gt;=3,"B",IF('Data Source'!Z48&gt;=2,"C",IF('Data Source'!Z48&gt;=1,"D","F")))))),"")</f>
        <v/>
      </c>
      <c r="I48" s="3">
        <f>IF(AND('Data Source'!B48&lt;&gt;"",'Data Source'!S48="A+"),IF('Data Source'!AA48&gt;=5,"A+",IF('Data Source'!AA48&gt;=4,"A",IF('Data Source'!AA48&gt;=3.5,"A-",IF('Data Source'!AA48&gt;=3,"B",IF('Data Source'!AA48&gt;=2,"C",IF('Data Source'!AA48&gt;=1,"D","F")))))),"")</f>
        <v/>
      </c>
      <c r="J48" s="3">
        <f>IF(AND('Data Source'!B48&lt;&gt;"",'Data Source'!S48="A+"),IF('Data Source'!AB48&gt;=5,"A+",IF('Data Source'!AB48&gt;=4,"A",IF('Data Source'!AB48&gt;=3.5,"A-",IF('Data Source'!AB48&gt;=3,"B",IF('Data Source'!AB48&gt;=2,"C",IF('Data Source'!AB48&gt;=1,"D","F")))))),"")</f>
        <v/>
      </c>
      <c r="K48" s="3">
        <f>IF(AND('Data Source'!B48&lt;&gt;"",'Data Source'!S48="A+"),IF('Data Source'!AC48&gt;=5,"A+",IF('Data Source'!AC48&gt;=4,"A",IF('Data Source'!AC48&gt;=3.5,"A-",IF('Data Source'!AC48&gt;=3,"B",IF('Data Source'!AC48&gt;=2,"C",IF('Data Source'!AC48&gt;=1,"D","F")))))),"")</f>
        <v/>
      </c>
      <c r="L48" s="3">
        <f>IF(AND('Data Source'!B48&lt;&gt;"",'Data Source'!S48="A+"),IF('Data Source'!AD48&gt;=5,"A+",IF('Data Source'!AD48&gt;=4,"A",IF('Data Source'!AD48&gt;=3.5,"A-",IF('Data Source'!AD48&gt;=3,"B",IF('Data Source'!AD48&gt;=2,"C",IF('Data Source'!AD48&gt;=1,"D","F")))))),"")</f>
        <v/>
      </c>
      <c r="M48" s="3">
        <f>IF(AND('Data Source'!B48&lt;&gt;"",'Data Source'!S48="A+"),IF('Data Source'!AE48&gt;=5,"A+",IF('Data Source'!AE48&gt;=4,"A",IF('Data Source'!AE48&gt;=3.5,"A-",IF('Data Source'!AE48&gt;=3,"B",IF('Data Source'!AE48&gt;=2,"C",IF('Data Source'!AE48&gt;=1,"D","F")))))),"")</f>
        <v/>
      </c>
      <c r="N48" s="3">
        <f>IF(AND('Data Source'!B48&lt;&gt;"",'Data Source'!S48="A+"),IF('Data Source'!AF48&gt;=5,"A+",IF('Data Source'!AF48&gt;=4,"A",IF('Data Source'!AF48&gt;=3.5,"A-",IF('Data Source'!AF48&gt;=3,"B",IF('Data Source'!AF48&gt;=2,"C",IF('Data Source'!AF48&gt;=1,"D","F")))))),"")</f>
        <v/>
      </c>
      <c r="O48" s="3">
        <f>IF(AND('Data Source'!B48&lt;&gt;"",'Data Source'!S48="A+"),IF('Data Source'!AG48&gt;=5,"A+",IF('Data Source'!AG48&gt;=4,"A",IF('Data Source'!AG48&gt;=3.5,"A-",IF('Data Source'!AG48&gt;=3,"B",IF('Data Source'!AG48&gt;=2,"C",IF('Data Source'!AG48&gt;=1,"D","F")))))),"")</f>
        <v/>
      </c>
      <c r="P48" s="5">
        <f>IF(AND('Data Source'!B48&lt;&gt;"",'Data Source'!S48="A+"),'Data Source'!R48,"")</f>
        <v/>
      </c>
      <c r="Q48" s="3">
        <f>IF(AND('Data Source'!B48&lt;&gt;"",'Data Source'!S48="A+"),'Data Source'!S48,"")</f>
        <v/>
      </c>
    </row>
    <row r="49">
      <c r="A49" s="3">
        <f>IF(AND('Data Source'!B49&lt;&gt;"",'Data Source'!S49="A+"),COUNTIF('Data Source'!$S$3:S49,"A+"),"")</f>
        <v/>
      </c>
      <c r="B49">
        <f>IF(AND('Data Source'!B49&lt;&gt;"",'Data Source'!S49="A+"),'Data Source'!B49,"")</f>
        <v/>
      </c>
      <c r="C49" s="3">
        <f>IF(AND('Data Source'!B49&lt;&gt;"",'Data Source'!S49="A+"),IF('Data Source'!U49&gt;=5,"A+",IF('Data Source'!U49&gt;=4,"A",IF('Data Source'!U49&gt;=3.5,"A-",IF('Data Source'!U49&gt;=3,"B",IF('Data Source'!U49&gt;=2,"C",IF('Data Source'!U49&gt;=1,"D","F")))))),"")</f>
        <v/>
      </c>
      <c r="D49" s="3">
        <f>IF(AND('Data Source'!B49&lt;&gt;"",'Data Source'!S49="A+"),IF('Data Source'!V49&gt;=5,"A+",IF('Data Source'!V49&gt;=4,"A",IF('Data Source'!V49&gt;=3.5,"A-",IF('Data Source'!V49&gt;=3,"B",IF('Data Source'!V49&gt;=2,"C",IF('Data Source'!V49&gt;=1,"D","F")))))),"")</f>
        <v/>
      </c>
      <c r="E49" s="3">
        <f>IF(AND('Data Source'!B49&lt;&gt;"",'Data Source'!S49="A+"),IF('Data Source'!W49&gt;=5,"A+",IF('Data Source'!W49&gt;=4,"A",IF('Data Source'!W49&gt;=3.5,"A-",IF('Data Source'!W49&gt;=3,"B",IF('Data Source'!W49&gt;=2,"C",IF('Data Source'!W49&gt;=1,"D","F")))))),"")</f>
        <v/>
      </c>
      <c r="F49" s="3">
        <f>IF(AND('Data Source'!B49&lt;&gt;"",'Data Source'!S49="A+"),IF('Data Source'!X49&gt;=5,"A+",IF('Data Source'!X49&gt;=4,"A",IF('Data Source'!X49&gt;=3.5,"A-",IF('Data Source'!X49&gt;=3,"B",IF('Data Source'!X49&gt;=2,"C",IF('Data Source'!X49&gt;=1,"D","F")))))),"")</f>
        <v/>
      </c>
      <c r="G49" s="3">
        <f>IF(AND('Data Source'!B49&lt;&gt;"",'Data Source'!S49="A+"),IF('Data Source'!Y49&gt;=5,"A+",IF('Data Source'!Y49&gt;=4,"A",IF('Data Source'!Y49&gt;=3.5,"A-",IF('Data Source'!Y49&gt;=3,"B",IF('Data Source'!Y49&gt;=2,"C",IF('Data Source'!Y49&gt;=1,"D","F")))))),"")</f>
        <v/>
      </c>
      <c r="H49" s="3">
        <f>IF(AND('Data Source'!B49&lt;&gt;"",'Data Source'!S49="A+"),IF('Data Source'!Z49&gt;=5,"A+",IF('Data Source'!Z49&gt;=4,"A",IF('Data Source'!Z49&gt;=3.5,"A-",IF('Data Source'!Z49&gt;=3,"B",IF('Data Source'!Z49&gt;=2,"C",IF('Data Source'!Z49&gt;=1,"D","F")))))),"")</f>
        <v/>
      </c>
      <c r="I49" s="3">
        <f>IF(AND('Data Source'!B49&lt;&gt;"",'Data Source'!S49="A+"),IF('Data Source'!AA49&gt;=5,"A+",IF('Data Source'!AA49&gt;=4,"A",IF('Data Source'!AA49&gt;=3.5,"A-",IF('Data Source'!AA49&gt;=3,"B",IF('Data Source'!AA49&gt;=2,"C",IF('Data Source'!AA49&gt;=1,"D","F")))))),"")</f>
        <v/>
      </c>
      <c r="J49" s="3">
        <f>IF(AND('Data Source'!B49&lt;&gt;"",'Data Source'!S49="A+"),IF('Data Source'!AB49&gt;=5,"A+",IF('Data Source'!AB49&gt;=4,"A",IF('Data Source'!AB49&gt;=3.5,"A-",IF('Data Source'!AB49&gt;=3,"B",IF('Data Source'!AB49&gt;=2,"C",IF('Data Source'!AB49&gt;=1,"D","F")))))),"")</f>
        <v/>
      </c>
      <c r="K49" s="3">
        <f>IF(AND('Data Source'!B49&lt;&gt;"",'Data Source'!S49="A+"),IF('Data Source'!AC49&gt;=5,"A+",IF('Data Source'!AC49&gt;=4,"A",IF('Data Source'!AC49&gt;=3.5,"A-",IF('Data Source'!AC49&gt;=3,"B",IF('Data Source'!AC49&gt;=2,"C",IF('Data Source'!AC49&gt;=1,"D","F")))))),"")</f>
        <v/>
      </c>
      <c r="L49" s="3">
        <f>IF(AND('Data Source'!B49&lt;&gt;"",'Data Source'!S49="A+"),IF('Data Source'!AD49&gt;=5,"A+",IF('Data Source'!AD49&gt;=4,"A",IF('Data Source'!AD49&gt;=3.5,"A-",IF('Data Source'!AD49&gt;=3,"B",IF('Data Source'!AD49&gt;=2,"C",IF('Data Source'!AD49&gt;=1,"D","F")))))),"")</f>
        <v/>
      </c>
      <c r="M49" s="3">
        <f>IF(AND('Data Source'!B49&lt;&gt;"",'Data Source'!S49="A+"),IF('Data Source'!AE49&gt;=5,"A+",IF('Data Source'!AE49&gt;=4,"A",IF('Data Source'!AE49&gt;=3.5,"A-",IF('Data Source'!AE49&gt;=3,"B",IF('Data Source'!AE49&gt;=2,"C",IF('Data Source'!AE49&gt;=1,"D","F")))))),"")</f>
        <v/>
      </c>
      <c r="N49" s="3">
        <f>IF(AND('Data Source'!B49&lt;&gt;"",'Data Source'!S49="A+"),IF('Data Source'!AF49&gt;=5,"A+",IF('Data Source'!AF49&gt;=4,"A",IF('Data Source'!AF49&gt;=3.5,"A-",IF('Data Source'!AF49&gt;=3,"B",IF('Data Source'!AF49&gt;=2,"C",IF('Data Source'!AF49&gt;=1,"D","F")))))),"")</f>
        <v/>
      </c>
      <c r="O49" s="3">
        <f>IF(AND('Data Source'!B49&lt;&gt;"",'Data Source'!S49="A+"),IF('Data Source'!AG49&gt;=5,"A+",IF('Data Source'!AG49&gt;=4,"A",IF('Data Source'!AG49&gt;=3.5,"A-",IF('Data Source'!AG49&gt;=3,"B",IF('Data Source'!AG49&gt;=2,"C",IF('Data Source'!AG49&gt;=1,"D","F")))))),"")</f>
        <v/>
      </c>
      <c r="P49" s="5">
        <f>IF(AND('Data Source'!B49&lt;&gt;"",'Data Source'!S49="A+"),'Data Source'!R49,"")</f>
        <v/>
      </c>
      <c r="Q49" s="3">
        <f>IF(AND('Data Source'!B49&lt;&gt;"",'Data Source'!S49="A+"),'Data Source'!S49,"")</f>
        <v/>
      </c>
    </row>
    <row r="50">
      <c r="A50" s="3">
        <f>IF(AND('Data Source'!B50&lt;&gt;"",'Data Source'!S50="A+"),COUNTIF('Data Source'!$S$3:S50,"A+"),"")</f>
        <v/>
      </c>
      <c r="B50">
        <f>IF(AND('Data Source'!B50&lt;&gt;"",'Data Source'!S50="A+"),'Data Source'!B50,"")</f>
        <v/>
      </c>
      <c r="C50" s="3">
        <f>IF(AND('Data Source'!B50&lt;&gt;"",'Data Source'!S50="A+"),IF('Data Source'!U50&gt;=5,"A+",IF('Data Source'!U50&gt;=4,"A",IF('Data Source'!U50&gt;=3.5,"A-",IF('Data Source'!U50&gt;=3,"B",IF('Data Source'!U50&gt;=2,"C",IF('Data Source'!U50&gt;=1,"D","F")))))),"")</f>
        <v/>
      </c>
      <c r="D50" s="3">
        <f>IF(AND('Data Source'!B50&lt;&gt;"",'Data Source'!S50="A+"),IF('Data Source'!V50&gt;=5,"A+",IF('Data Source'!V50&gt;=4,"A",IF('Data Source'!V50&gt;=3.5,"A-",IF('Data Source'!V50&gt;=3,"B",IF('Data Source'!V50&gt;=2,"C",IF('Data Source'!V50&gt;=1,"D","F")))))),"")</f>
        <v/>
      </c>
      <c r="E50" s="3">
        <f>IF(AND('Data Source'!B50&lt;&gt;"",'Data Source'!S50="A+"),IF('Data Source'!W50&gt;=5,"A+",IF('Data Source'!W50&gt;=4,"A",IF('Data Source'!W50&gt;=3.5,"A-",IF('Data Source'!W50&gt;=3,"B",IF('Data Source'!W50&gt;=2,"C",IF('Data Source'!W50&gt;=1,"D","F")))))),"")</f>
        <v/>
      </c>
      <c r="F50" s="3">
        <f>IF(AND('Data Source'!B50&lt;&gt;"",'Data Source'!S50="A+"),IF('Data Source'!X50&gt;=5,"A+",IF('Data Source'!X50&gt;=4,"A",IF('Data Source'!X50&gt;=3.5,"A-",IF('Data Source'!X50&gt;=3,"B",IF('Data Source'!X50&gt;=2,"C",IF('Data Source'!X50&gt;=1,"D","F")))))),"")</f>
        <v/>
      </c>
      <c r="G50" s="3">
        <f>IF(AND('Data Source'!B50&lt;&gt;"",'Data Source'!S50="A+"),IF('Data Source'!Y50&gt;=5,"A+",IF('Data Source'!Y50&gt;=4,"A",IF('Data Source'!Y50&gt;=3.5,"A-",IF('Data Source'!Y50&gt;=3,"B",IF('Data Source'!Y50&gt;=2,"C",IF('Data Source'!Y50&gt;=1,"D","F")))))),"")</f>
        <v/>
      </c>
      <c r="H50" s="3">
        <f>IF(AND('Data Source'!B50&lt;&gt;"",'Data Source'!S50="A+"),IF('Data Source'!Z50&gt;=5,"A+",IF('Data Source'!Z50&gt;=4,"A",IF('Data Source'!Z50&gt;=3.5,"A-",IF('Data Source'!Z50&gt;=3,"B",IF('Data Source'!Z50&gt;=2,"C",IF('Data Source'!Z50&gt;=1,"D","F")))))),"")</f>
        <v/>
      </c>
      <c r="I50" s="3">
        <f>IF(AND('Data Source'!B50&lt;&gt;"",'Data Source'!S50="A+"),IF('Data Source'!AA50&gt;=5,"A+",IF('Data Source'!AA50&gt;=4,"A",IF('Data Source'!AA50&gt;=3.5,"A-",IF('Data Source'!AA50&gt;=3,"B",IF('Data Source'!AA50&gt;=2,"C",IF('Data Source'!AA50&gt;=1,"D","F")))))),"")</f>
        <v/>
      </c>
      <c r="J50" s="3">
        <f>IF(AND('Data Source'!B50&lt;&gt;"",'Data Source'!S50="A+"),IF('Data Source'!AB50&gt;=5,"A+",IF('Data Source'!AB50&gt;=4,"A",IF('Data Source'!AB50&gt;=3.5,"A-",IF('Data Source'!AB50&gt;=3,"B",IF('Data Source'!AB50&gt;=2,"C",IF('Data Source'!AB50&gt;=1,"D","F")))))),"")</f>
        <v/>
      </c>
      <c r="K50" s="3">
        <f>IF(AND('Data Source'!B50&lt;&gt;"",'Data Source'!S50="A+"),IF('Data Source'!AC50&gt;=5,"A+",IF('Data Source'!AC50&gt;=4,"A",IF('Data Source'!AC50&gt;=3.5,"A-",IF('Data Source'!AC50&gt;=3,"B",IF('Data Source'!AC50&gt;=2,"C",IF('Data Source'!AC50&gt;=1,"D","F")))))),"")</f>
        <v/>
      </c>
      <c r="L50" s="3">
        <f>IF(AND('Data Source'!B50&lt;&gt;"",'Data Source'!S50="A+"),IF('Data Source'!AD50&gt;=5,"A+",IF('Data Source'!AD50&gt;=4,"A",IF('Data Source'!AD50&gt;=3.5,"A-",IF('Data Source'!AD50&gt;=3,"B",IF('Data Source'!AD50&gt;=2,"C",IF('Data Source'!AD50&gt;=1,"D","F")))))),"")</f>
        <v/>
      </c>
      <c r="M50" s="3">
        <f>IF(AND('Data Source'!B50&lt;&gt;"",'Data Source'!S50="A+"),IF('Data Source'!AE50&gt;=5,"A+",IF('Data Source'!AE50&gt;=4,"A",IF('Data Source'!AE50&gt;=3.5,"A-",IF('Data Source'!AE50&gt;=3,"B",IF('Data Source'!AE50&gt;=2,"C",IF('Data Source'!AE50&gt;=1,"D","F")))))),"")</f>
        <v/>
      </c>
      <c r="N50" s="3">
        <f>IF(AND('Data Source'!B50&lt;&gt;"",'Data Source'!S50="A+"),IF('Data Source'!AF50&gt;=5,"A+",IF('Data Source'!AF50&gt;=4,"A",IF('Data Source'!AF50&gt;=3.5,"A-",IF('Data Source'!AF50&gt;=3,"B",IF('Data Source'!AF50&gt;=2,"C",IF('Data Source'!AF50&gt;=1,"D","F")))))),"")</f>
        <v/>
      </c>
      <c r="O50" s="3">
        <f>IF(AND('Data Source'!B50&lt;&gt;"",'Data Source'!S50="A+"),IF('Data Source'!AG50&gt;=5,"A+",IF('Data Source'!AG50&gt;=4,"A",IF('Data Source'!AG50&gt;=3.5,"A-",IF('Data Source'!AG50&gt;=3,"B",IF('Data Source'!AG50&gt;=2,"C",IF('Data Source'!AG50&gt;=1,"D","F")))))),"")</f>
        <v/>
      </c>
      <c r="P50" s="5">
        <f>IF(AND('Data Source'!B50&lt;&gt;"",'Data Source'!S50="A+"),'Data Source'!R50,"")</f>
        <v/>
      </c>
      <c r="Q50" s="3">
        <f>IF(AND('Data Source'!B50&lt;&gt;"",'Data Source'!S50="A+"),'Data Source'!S50,"")</f>
        <v/>
      </c>
    </row>
    <row r="51">
      <c r="A51" s="3">
        <f>IF(AND('Data Source'!B51&lt;&gt;"",'Data Source'!S51="A+"),COUNTIF('Data Source'!$S$3:S51,"A+"),"")</f>
        <v/>
      </c>
      <c r="B51">
        <f>IF(AND('Data Source'!B51&lt;&gt;"",'Data Source'!S51="A+"),'Data Source'!B51,"")</f>
        <v/>
      </c>
      <c r="C51" s="3">
        <f>IF(AND('Data Source'!B51&lt;&gt;"",'Data Source'!S51="A+"),IF('Data Source'!U51&gt;=5,"A+",IF('Data Source'!U51&gt;=4,"A",IF('Data Source'!U51&gt;=3.5,"A-",IF('Data Source'!U51&gt;=3,"B",IF('Data Source'!U51&gt;=2,"C",IF('Data Source'!U51&gt;=1,"D","F")))))),"")</f>
        <v/>
      </c>
      <c r="D51" s="3">
        <f>IF(AND('Data Source'!B51&lt;&gt;"",'Data Source'!S51="A+"),IF('Data Source'!V51&gt;=5,"A+",IF('Data Source'!V51&gt;=4,"A",IF('Data Source'!V51&gt;=3.5,"A-",IF('Data Source'!V51&gt;=3,"B",IF('Data Source'!V51&gt;=2,"C",IF('Data Source'!V51&gt;=1,"D","F")))))),"")</f>
        <v/>
      </c>
      <c r="E51" s="3">
        <f>IF(AND('Data Source'!B51&lt;&gt;"",'Data Source'!S51="A+"),IF('Data Source'!W51&gt;=5,"A+",IF('Data Source'!W51&gt;=4,"A",IF('Data Source'!W51&gt;=3.5,"A-",IF('Data Source'!W51&gt;=3,"B",IF('Data Source'!W51&gt;=2,"C",IF('Data Source'!W51&gt;=1,"D","F")))))),"")</f>
        <v/>
      </c>
      <c r="F51" s="3">
        <f>IF(AND('Data Source'!B51&lt;&gt;"",'Data Source'!S51="A+"),IF('Data Source'!X51&gt;=5,"A+",IF('Data Source'!X51&gt;=4,"A",IF('Data Source'!X51&gt;=3.5,"A-",IF('Data Source'!X51&gt;=3,"B",IF('Data Source'!X51&gt;=2,"C",IF('Data Source'!X51&gt;=1,"D","F")))))),"")</f>
        <v/>
      </c>
      <c r="G51" s="3">
        <f>IF(AND('Data Source'!B51&lt;&gt;"",'Data Source'!S51="A+"),IF('Data Source'!Y51&gt;=5,"A+",IF('Data Source'!Y51&gt;=4,"A",IF('Data Source'!Y51&gt;=3.5,"A-",IF('Data Source'!Y51&gt;=3,"B",IF('Data Source'!Y51&gt;=2,"C",IF('Data Source'!Y51&gt;=1,"D","F")))))),"")</f>
        <v/>
      </c>
      <c r="H51" s="3">
        <f>IF(AND('Data Source'!B51&lt;&gt;"",'Data Source'!S51="A+"),IF('Data Source'!Z51&gt;=5,"A+",IF('Data Source'!Z51&gt;=4,"A",IF('Data Source'!Z51&gt;=3.5,"A-",IF('Data Source'!Z51&gt;=3,"B",IF('Data Source'!Z51&gt;=2,"C",IF('Data Source'!Z51&gt;=1,"D","F")))))),"")</f>
        <v/>
      </c>
      <c r="I51" s="3">
        <f>IF(AND('Data Source'!B51&lt;&gt;"",'Data Source'!S51="A+"),IF('Data Source'!AA51&gt;=5,"A+",IF('Data Source'!AA51&gt;=4,"A",IF('Data Source'!AA51&gt;=3.5,"A-",IF('Data Source'!AA51&gt;=3,"B",IF('Data Source'!AA51&gt;=2,"C",IF('Data Source'!AA51&gt;=1,"D","F")))))),"")</f>
        <v/>
      </c>
      <c r="J51" s="3">
        <f>IF(AND('Data Source'!B51&lt;&gt;"",'Data Source'!S51="A+"),IF('Data Source'!AB51&gt;=5,"A+",IF('Data Source'!AB51&gt;=4,"A",IF('Data Source'!AB51&gt;=3.5,"A-",IF('Data Source'!AB51&gt;=3,"B",IF('Data Source'!AB51&gt;=2,"C",IF('Data Source'!AB51&gt;=1,"D","F")))))),"")</f>
        <v/>
      </c>
      <c r="K51" s="3">
        <f>IF(AND('Data Source'!B51&lt;&gt;"",'Data Source'!S51="A+"),IF('Data Source'!AC51&gt;=5,"A+",IF('Data Source'!AC51&gt;=4,"A",IF('Data Source'!AC51&gt;=3.5,"A-",IF('Data Source'!AC51&gt;=3,"B",IF('Data Source'!AC51&gt;=2,"C",IF('Data Source'!AC51&gt;=1,"D","F")))))),"")</f>
        <v/>
      </c>
      <c r="L51" s="3">
        <f>IF(AND('Data Source'!B51&lt;&gt;"",'Data Source'!S51="A+"),IF('Data Source'!AD51&gt;=5,"A+",IF('Data Source'!AD51&gt;=4,"A",IF('Data Source'!AD51&gt;=3.5,"A-",IF('Data Source'!AD51&gt;=3,"B",IF('Data Source'!AD51&gt;=2,"C",IF('Data Source'!AD51&gt;=1,"D","F")))))),"")</f>
        <v/>
      </c>
      <c r="M51" s="3">
        <f>IF(AND('Data Source'!B51&lt;&gt;"",'Data Source'!S51="A+"),IF('Data Source'!AE51&gt;=5,"A+",IF('Data Source'!AE51&gt;=4,"A",IF('Data Source'!AE51&gt;=3.5,"A-",IF('Data Source'!AE51&gt;=3,"B",IF('Data Source'!AE51&gt;=2,"C",IF('Data Source'!AE51&gt;=1,"D","F")))))),"")</f>
        <v/>
      </c>
      <c r="N51" s="3">
        <f>IF(AND('Data Source'!B51&lt;&gt;"",'Data Source'!S51="A+"),IF('Data Source'!AF51&gt;=5,"A+",IF('Data Source'!AF51&gt;=4,"A",IF('Data Source'!AF51&gt;=3.5,"A-",IF('Data Source'!AF51&gt;=3,"B",IF('Data Source'!AF51&gt;=2,"C",IF('Data Source'!AF51&gt;=1,"D","F")))))),"")</f>
        <v/>
      </c>
      <c r="O51" s="3">
        <f>IF(AND('Data Source'!B51&lt;&gt;"",'Data Source'!S51="A+"),IF('Data Source'!AG51&gt;=5,"A+",IF('Data Source'!AG51&gt;=4,"A",IF('Data Source'!AG51&gt;=3.5,"A-",IF('Data Source'!AG51&gt;=3,"B",IF('Data Source'!AG51&gt;=2,"C",IF('Data Source'!AG51&gt;=1,"D","F")))))),"")</f>
        <v/>
      </c>
      <c r="P51" s="5">
        <f>IF(AND('Data Source'!B51&lt;&gt;"",'Data Source'!S51="A+"),'Data Source'!R51,"")</f>
        <v/>
      </c>
      <c r="Q51" s="3">
        <f>IF(AND('Data Source'!B51&lt;&gt;"",'Data Source'!S51="A+"),'Data Source'!S51,"")</f>
        <v/>
      </c>
    </row>
    <row r="52">
      <c r="A52" s="3">
        <f>IF(AND('Data Source'!B52&lt;&gt;"",'Data Source'!S52="A+"),COUNTIF('Data Source'!$S$3:S52,"A+"),"")</f>
        <v/>
      </c>
      <c r="B52">
        <f>IF(AND('Data Source'!B52&lt;&gt;"",'Data Source'!S52="A+"),'Data Source'!B52,"")</f>
        <v/>
      </c>
      <c r="C52" s="3">
        <f>IF(AND('Data Source'!B52&lt;&gt;"",'Data Source'!S52="A+"),IF('Data Source'!U52&gt;=5,"A+",IF('Data Source'!U52&gt;=4,"A",IF('Data Source'!U52&gt;=3.5,"A-",IF('Data Source'!U52&gt;=3,"B",IF('Data Source'!U52&gt;=2,"C",IF('Data Source'!U52&gt;=1,"D","F")))))),"")</f>
        <v/>
      </c>
      <c r="D52" s="3">
        <f>IF(AND('Data Source'!B52&lt;&gt;"",'Data Source'!S52="A+"),IF('Data Source'!V52&gt;=5,"A+",IF('Data Source'!V52&gt;=4,"A",IF('Data Source'!V52&gt;=3.5,"A-",IF('Data Source'!V52&gt;=3,"B",IF('Data Source'!V52&gt;=2,"C",IF('Data Source'!V52&gt;=1,"D","F")))))),"")</f>
        <v/>
      </c>
      <c r="E52" s="3">
        <f>IF(AND('Data Source'!B52&lt;&gt;"",'Data Source'!S52="A+"),IF('Data Source'!W52&gt;=5,"A+",IF('Data Source'!W52&gt;=4,"A",IF('Data Source'!W52&gt;=3.5,"A-",IF('Data Source'!W52&gt;=3,"B",IF('Data Source'!W52&gt;=2,"C",IF('Data Source'!W52&gt;=1,"D","F")))))),"")</f>
        <v/>
      </c>
      <c r="F52" s="3">
        <f>IF(AND('Data Source'!B52&lt;&gt;"",'Data Source'!S52="A+"),IF('Data Source'!X52&gt;=5,"A+",IF('Data Source'!X52&gt;=4,"A",IF('Data Source'!X52&gt;=3.5,"A-",IF('Data Source'!X52&gt;=3,"B",IF('Data Source'!X52&gt;=2,"C",IF('Data Source'!X52&gt;=1,"D","F")))))),"")</f>
        <v/>
      </c>
      <c r="G52" s="3">
        <f>IF(AND('Data Source'!B52&lt;&gt;"",'Data Source'!S52="A+"),IF('Data Source'!Y52&gt;=5,"A+",IF('Data Source'!Y52&gt;=4,"A",IF('Data Source'!Y52&gt;=3.5,"A-",IF('Data Source'!Y52&gt;=3,"B",IF('Data Source'!Y52&gt;=2,"C",IF('Data Source'!Y52&gt;=1,"D","F")))))),"")</f>
        <v/>
      </c>
      <c r="H52" s="3">
        <f>IF(AND('Data Source'!B52&lt;&gt;"",'Data Source'!S52="A+"),IF('Data Source'!Z52&gt;=5,"A+",IF('Data Source'!Z52&gt;=4,"A",IF('Data Source'!Z52&gt;=3.5,"A-",IF('Data Source'!Z52&gt;=3,"B",IF('Data Source'!Z52&gt;=2,"C",IF('Data Source'!Z52&gt;=1,"D","F")))))),"")</f>
        <v/>
      </c>
      <c r="I52" s="3">
        <f>IF(AND('Data Source'!B52&lt;&gt;"",'Data Source'!S52="A+"),IF('Data Source'!AA52&gt;=5,"A+",IF('Data Source'!AA52&gt;=4,"A",IF('Data Source'!AA52&gt;=3.5,"A-",IF('Data Source'!AA52&gt;=3,"B",IF('Data Source'!AA52&gt;=2,"C",IF('Data Source'!AA52&gt;=1,"D","F")))))),"")</f>
        <v/>
      </c>
      <c r="J52" s="3">
        <f>IF(AND('Data Source'!B52&lt;&gt;"",'Data Source'!S52="A+"),IF('Data Source'!AB52&gt;=5,"A+",IF('Data Source'!AB52&gt;=4,"A",IF('Data Source'!AB52&gt;=3.5,"A-",IF('Data Source'!AB52&gt;=3,"B",IF('Data Source'!AB52&gt;=2,"C",IF('Data Source'!AB52&gt;=1,"D","F")))))),"")</f>
        <v/>
      </c>
      <c r="K52" s="3">
        <f>IF(AND('Data Source'!B52&lt;&gt;"",'Data Source'!S52="A+"),IF('Data Source'!AC52&gt;=5,"A+",IF('Data Source'!AC52&gt;=4,"A",IF('Data Source'!AC52&gt;=3.5,"A-",IF('Data Source'!AC52&gt;=3,"B",IF('Data Source'!AC52&gt;=2,"C",IF('Data Source'!AC52&gt;=1,"D","F")))))),"")</f>
        <v/>
      </c>
      <c r="L52" s="3">
        <f>IF(AND('Data Source'!B52&lt;&gt;"",'Data Source'!S52="A+"),IF('Data Source'!AD52&gt;=5,"A+",IF('Data Source'!AD52&gt;=4,"A",IF('Data Source'!AD52&gt;=3.5,"A-",IF('Data Source'!AD52&gt;=3,"B",IF('Data Source'!AD52&gt;=2,"C",IF('Data Source'!AD52&gt;=1,"D","F")))))),"")</f>
        <v/>
      </c>
      <c r="M52" s="3">
        <f>IF(AND('Data Source'!B52&lt;&gt;"",'Data Source'!S52="A+"),IF('Data Source'!AE52&gt;=5,"A+",IF('Data Source'!AE52&gt;=4,"A",IF('Data Source'!AE52&gt;=3.5,"A-",IF('Data Source'!AE52&gt;=3,"B",IF('Data Source'!AE52&gt;=2,"C",IF('Data Source'!AE52&gt;=1,"D","F")))))),"")</f>
        <v/>
      </c>
      <c r="N52" s="3">
        <f>IF(AND('Data Source'!B52&lt;&gt;"",'Data Source'!S52="A+"),IF('Data Source'!AF52&gt;=5,"A+",IF('Data Source'!AF52&gt;=4,"A",IF('Data Source'!AF52&gt;=3.5,"A-",IF('Data Source'!AF52&gt;=3,"B",IF('Data Source'!AF52&gt;=2,"C",IF('Data Source'!AF52&gt;=1,"D","F")))))),"")</f>
        <v/>
      </c>
      <c r="O52" s="3">
        <f>IF(AND('Data Source'!B52&lt;&gt;"",'Data Source'!S52="A+"),IF('Data Source'!AG52&gt;=5,"A+",IF('Data Source'!AG52&gt;=4,"A",IF('Data Source'!AG52&gt;=3.5,"A-",IF('Data Source'!AG52&gt;=3,"B",IF('Data Source'!AG52&gt;=2,"C",IF('Data Source'!AG52&gt;=1,"D","F")))))),"")</f>
        <v/>
      </c>
      <c r="P52" s="5">
        <f>IF(AND('Data Source'!B52&lt;&gt;"",'Data Source'!S52="A+"),'Data Source'!R52,"")</f>
        <v/>
      </c>
      <c r="Q52" s="3">
        <f>IF(AND('Data Source'!B52&lt;&gt;"",'Data Source'!S52="A+"),'Data Source'!S52,"")</f>
        <v/>
      </c>
    </row>
    <row r="53">
      <c r="A53" s="3">
        <f>IF(AND('Data Source'!B53&lt;&gt;"",'Data Source'!S53="A+"),COUNTIF('Data Source'!$S$3:S53,"A+"),"")</f>
        <v/>
      </c>
      <c r="B53">
        <f>IF(AND('Data Source'!B53&lt;&gt;"",'Data Source'!S53="A+"),'Data Source'!B53,"")</f>
        <v/>
      </c>
      <c r="C53" s="3">
        <f>IF(AND('Data Source'!B53&lt;&gt;"",'Data Source'!S53="A+"),IF('Data Source'!U53&gt;=5,"A+",IF('Data Source'!U53&gt;=4,"A",IF('Data Source'!U53&gt;=3.5,"A-",IF('Data Source'!U53&gt;=3,"B",IF('Data Source'!U53&gt;=2,"C",IF('Data Source'!U53&gt;=1,"D","F")))))),"")</f>
        <v/>
      </c>
      <c r="D53" s="3">
        <f>IF(AND('Data Source'!B53&lt;&gt;"",'Data Source'!S53="A+"),IF('Data Source'!V53&gt;=5,"A+",IF('Data Source'!V53&gt;=4,"A",IF('Data Source'!V53&gt;=3.5,"A-",IF('Data Source'!V53&gt;=3,"B",IF('Data Source'!V53&gt;=2,"C",IF('Data Source'!V53&gt;=1,"D","F")))))),"")</f>
        <v/>
      </c>
      <c r="E53" s="3">
        <f>IF(AND('Data Source'!B53&lt;&gt;"",'Data Source'!S53="A+"),IF('Data Source'!W53&gt;=5,"A+",IF('Data Source'!W53&gt;=4,"A",IF('Data Source'!W53&gt;=3.5,"A-",IF('Data Source'!W53&gt;=3,"B",IF('Data Source'!W53&gt;=2,"C",IF('Data Source'!W53&gt;=1,"D","F")))))),"")</f>
        <v/>
      </c>
      <c r="F53" s="3">
        <f>IF(AND('Data Source'!B53&lt;&gt;"",'Data Source'!S53="A+"),IF('Data Source'!X53&gt;=5,"A+",IF('Data Source'!X53&gt;=4,"A",IF('Data Source'!X53&gt;=3.5,"A-",IF('Data Source'!X53&gt;=3,"B",IF('Data Source'!X53&gt;=2,"C",IF('Data Source'!X53&gt;=1,"D","F")))))),"")</f>
        <v/>
      </c>
      <c r="G53" s="3">
        <f>IF(AND('Data Source'!B53&lt;&gt;"",'Data Source'!S53="A+"),IF('Data Source'!Y53&gt;=5,"A+",IF('Data Source'!Y53&gt;=4,"A",IF('Data Source'!Y53&gt;=3.5,"A-",IF('Data Source'!Y53&gt;=3,"B",IF('Data Source'!Y53&gt;=2,"C",IF('Data Source'!Y53&gt;=1,"D","F")))))),"")</f>
        <v/>
      </c>
      <c r="H53" s="3">
        <f>IF(AND('Data Source'!B53&lt;&gt;"",'Data Source'!S53="A+"),IF('Data Source'!Z53&gt;=5,"A+",IF('Data Source'!Z53&gt;=4,"A",IF('Data Source'!Z53&gt;=3.5,"A-",IF('Data Source'!Z53&gt;=3,"B",IF('Data Source'!Z53&gt;=2,"C",IF('Data Source'!Z53&gt;=1,"D","F")))))),"")</f>
        <v/>
      </c>
      <c r="I53" s="3">
        <f>IF(AND('Data Source'!B53&lt;&gt;"",'Data Source'!S53="A+"),IF('Data Source'!AA53&gt;=5,"A+",IF('Data Source'!AA53&gt;=4,"A",IF('Data Source'!AA53&gt;=3.5,"A-",IF('Data Source'!AA53&gt;=3,"B",IF('Data Source'!AA53&gt;=2,"C",IF('Data Source'!AA53&gt;=1,"D","F")))))),"")</f>
        <v/>
      </c>
      <c r="J53" s="3">
        <f>IF(AND('Data Source'!B53&lt;&gt;"",'Data Source'!S53="A+"),IF('Data Source'!AB53&gt;=5,"A+",IF('Data Source'!AB53&gt;=4,"A",IF('Data Source'!AB53&gt;=3.5,"A-",IF('Data Source'!AB53&gt;=3,"B",IF('Data Source'!AB53&gt;=2,"C",IF('Data Source'!AB53&gt;=1,"D","F")))))),"")</f>
        <v/>
      </c>
      <c r="K53" s="3">
        <f>IF(AND('Data Source'!B53&lt;&gt;"",'Data Source'!S53="A+"),IF('Data Source'!AC53&gt;=5,"A+",IF('Data Source'!AC53&gt;=4,"A",IF('Data Source'!AC53&gt;=3.5,"A-",IF('Data Source'!AC53&gt;=3,"B",IF('Data Source'!AC53&gt;=2,"C",IF('Data Source'!AC53&gt;=1,"D","F")))))),"")</f>
        <v/>
      </c>
      <c r="L53" s="3">
        <f>IF(AND('Data Source'!B53&lt;&gt;"",'Data Source'!S53="A+"),IF('Data Source'!AD53&gt;=5,"A+",IF('Data Source'!AD53&gt;=4,"A",IF('Data Source'!AD53&gt;=3.5,"A-",IF('Data Source'!AD53&gt;=3,"B",IF('Data Source'!AD53&gt;=2,"C",IF('Data Source'!AD53&gt;=1,"D","F")))))),"")</f>
        <v/>
      </c>
      <c r="M53" s="3">
        <f>IF(AND('Data Source'!B53&lt;&gt;"",'Data Source'!S53="A+"),IF('Data Source'!AE53&gt;=5,"A+",IF('Data Source'!AE53&gt;=4,"A",IF('Data Source'!AE53&gt;=3.5,"A-",IF('Data Source'!AE53&gt;=3,"B",IF('Data Source'!AE53&gt;=2,"C",IF('Data Source'!AE53&gt;=1,"D","F")))))),"")</f>
        <v/>
      </c>
      <c r="N53" s="3">
        <f>IF(AND('Data Source'!B53&lt;&gt;"",'Data Source'!S53="A+"),IF('Data Source'!AF53&gt;=5,"A+",IF('Data Source'!AF53&gt;=4,"A",IF('Data Source'!AF53&gt;=3.5,"A-",IF('Data Source'!AF53&gt;=3,"B",IF('Data Source'!AF53&gt;=2,"C",IF('Data Source'!AF53&gt;=1,"D","F")))))),"")</f>
        <v/>
      </c>
      <c r="O53" s="3">
        <f>IF(AND('Data Source'!B53&lt;&gt;"",'Data Source'!S53="A+"),IF('Data Source'!AG53&gt;=5,"A+",IF('Data Source'!AG53&gt;=4,"A",IF('Data Source'!AG53&gt;=3.5,"A-",IF('Data Source'!AG53&gt;=3,"B",IF('Data Source'!AG53&gt;=2,"C",IF('Data Source'!AG53&gt;=1,"D","F")))))),"")</f>
        <v/>
      </c>
      <c r="P53" s="5">
        <f>IF(AND('Data Source'!B53&lt;&gt;"",'Data Source'!S53="A+"),'Data Source'!R53,"")</f>
        <v/>
      </c>
      <c r="Q53" s="3">
        <f>IF(AND('Data Source'!B53&lt;&gt;"",'Data Source'!S53="A+"),'Data Source'!S53,"")</f>
        <v/>
      </c>
    </row>
    <row r="54">
      <c r="A54" s="3">
        <f>IF(AND('Data Source'!B54&lt;&gt;"",'Data Source'!S54="A+"),COUNTIF('Data Source'!$S$3:S54,"A+"),"")</f>
        <v/>
      </c>
      <c r="B54">
        <f>IF(AND('Data Source'!B54&lt;&gt;"",'Data Source'!S54="A+"),'Data Source'!B54,"")</f>
        <v/>
      </c>
      <c r="C54" s="3">
        <f>IF(AND('Data Source'!B54&lt;&gt;"",'Data Source'!S54="A+"),IF('Data Source'!U54&gt;=5,"A+",IF('Data Source'!U54&gt;=4,"A",IF('Data Source'!U54&gt;=3.5,"A-",IF('Data Source'!U54&gt;=3,"B",IF('Data Source'!U54&gt;=2,"C",IF('Data Source'!U54&gt;=1,"D","F")))))),"")</f>
        <v/>
      </c>
      <c r="D54" s="3">
        <f>IF(AND('Data Source'!B54&lt;&gt;"",'Data Source'!S54="A+"),IF('Data Source'!V54&gt;=5,"A+",IF('Data Source'!V54&gt;=4,"A",IF('Data Source'!V54&gt;=3.5,"A-",IF('Data Source'!V54&gt;=3,"B",IF('Data Source'!V54&gt;=2,"C",IF('Data Source'!V54&gt;=1,"D","F")))))),"")</f>
        <v/>
      </c>
      <c r="E54" s="3">
        <f>IF(AND('Data Source'!B54&lt;&gt;"",'Data Source'!S54="A+"),IF('Data Source'!W54&gt;=5,"A+",IF('Data Source'!W54&gt;=4,"A",IF('Data Source'!W54&gt;=3.5,"A-",IF('Data Source'!W54&gt;=3,"B",IF('Data Source'!W54&gt;=2,"C",IF('Data Source'!W54&gt;=1,"D","F")))))),"")</f>
        <v/>
      </c>
      <c r="F54" s="3">
        <f>IF(AND('Data Source'!B54&lt;&gt;"",'Data Source'!S54="A+"),IF('Data Source'!X54&gt;=5,"A+",IF('Data Source'!X54&gt;=4,"A",IF('Data Source'!X54&gt;=3.5,"A-",IF('Data Source'!X54&gt;=3,"B",IF('Data Source'!X54&gt;=2,"C",IF('Data Source'!X54&gt;=1,"D","F")))))),"")</f>
        <v/>
      </c>
      <c r="G54" s="3">
        <f>IF(AND('Data Source'!B54&lt;&gt;"",'Data Source'!S54="A+"),IF('Data Source'!Y54&gt;=5,"A+",IF('Data Source'!Y54&gt;=4,"A",IF('Data Source'!Y54&gt;=3.5,"A-",IF('Data Source'!Y54&gt;=3,"B",IF('Data Source'!Y54&gt;=2,"C",IF('Data Source'!Y54&gt;=1,"D","F")))))),"")</f>
        <v/>
      </c>
      <c r="H54" s="3">
        <f>IF(AND('Data Source'!B54&lt;&gt;"",'Data Source'!S54="A+"),IF('Data Source'!Z54&gt;=5,"A+",IF('Data Source'!Z54&gt;=4,"A",IF('Data Source'!Z54&gt;=3.5,"A-",IF('Data Source'!Z54&gt;=3,"B",IF('Data Source'!Z54&gt;=2,"C",IF('Data Source'!Z54&gt;=1,"D","F")))))),"")</f>
        <v/>
      </c>
      <c r="I54" s="3">
        <f>IF(AND('Data Source'!B54&lt;&gt;"",'Data Source'!S54="A+"),IF('Data Source'!AA54&gt;=5,"A+",IF('Data Source'!AA54&gt;=4,"A",IF('Data Source'!AA54&gt;=3.5,"A-",IF('Data Source'!AA54&gt;=3,"B",IF('Data Source'!AA54&gt;=2,"C",IF('Data Source'!AA54&gt;=1,"D","F")))))),"")</f>
        <v/>
      </c>
      <c r="J54" s="3">
        <f>IF(AND('Data Source'!B54&lt;&gt;"",'Data Source'!S54="A+"),IF('Data Source'!AB54&gt;=5,"A+",IF('Data Source'!AB54&gt;=4,"A",IF('Data Source'!AB54&gt;=3.5,"A-",IF('Data Source'!AB54&gt;=3,"B",IF('Data Source'!AB54&gt;=2,"C",IF('Data Source'!AB54&gt;=1,"D","F")))))),"")</f>
        <v/>
      </c>
      <c r="K54" s="3">
        <f>IF(AND('Data Source'!B54&lt;&gt;"",'Data Source'!S54="A+"),IF('Data Source'!AC54&gt;=5,"A+",IF('Data Source'!AC54&gt;=4,"A",IF('Data Source'!AC54&gt;=3.5,"A-",IF('Data Source'!AC54&gt;=3,"B",IF('Data Source'!AC54&gt;=2,"C",IF('Data Source'!AC54&gt;=1,"D","F")))))),"")</f>
        <v/>
      </c>
      <c r="L54" s="3">
        <f>IF(AND('Data Source'!B54&lt;&gt;"",'Data Source'!S54="A+"),IF('Data Source'!AD54&gt;=5,"A+",IF('Data Source'!AD54&gt;=4,"A",IF('Data Source'!AD54&gt;=3.5,"A-",IF('Data Source'!AD54&gt;=3,"B",IF('Data Source'!AD54&gt;=2,"C",IF('Data Source'!AD54&gt;=1,"D","F")))))),"")</f>
        <v/>
      </c>
      <c r="M54" s="3">
        <f>IF(AND('Data Source'!B54&lt;&gt;"",'Data Source'!S54="A+"),IF('Data Source'!AE54&gt;=5,"A+",IF('Data Source'!AE54&gt;=4,"A",IF('Data Source'!AE54&gt;=3.5,"A-",IF('Data Source'!AE54&gt;=3,"B",IF('Data Source'!AE54&gt;=2,"C",IF('Data Source'!AE54&gt;=1,"D","F")))))),"")</f>
        <v/>
      </c>
      <c r="N54" s="3">
        <f>IF(AND('Data Source'!B54&lt;&gt;"",'Data Source'!S54="A+"),IF('Data Source'!AF54&gt;=5,"A+",IF('Data Source'!AF54&gt;=4,"A",IF('Data Source'!AF54&gt;=3.5,"A-",IF('Data Source'!AF54&gt;=3,"B",IF('Data Source'!AF54&gt;=2,"C",IF('Data Source'!AF54&gt;=1,"D","F")))))),"")</f>
        <v/>
      </c>
      <c r="O54" s="3">
        <f>IF(AND('Data Source'!B54&lt;&gt;"",'Data Source'!S54="A+"),IF('Data Source'!AG54&gt;=5,"A+",IF('Data Source'!AG54&gt;=4,"A",IF('Data Source'!AG54&gt;=3.5,"A-",IF('Data Source'!AG54&gt;=3,"B",IF('Data Source'!AG54&gt;=2,"C",IF('Data Source'!AG54&gt;=1,"D","F")))))),"")</f>
        <v/>
      </c>
      <c r="P54" s="5">
        <f>IF(AND('Data Source'!B54&lt;&gt;"",'Data Source'!S54="A+"),'Data Source'!R54,"")</f>
        <v/>
      </c>
      <c r="Q54" s="3">
        <f>IF(AND('Data Source'!B54&lt;&gt;"",'Data Source'!S54="A+"),'Data Source'!S54,"")</f>
        <v/>
      </c>
    </row>
    <row r="55">
      <c r="A55" s="3">
        <f>IF(AND('Data Source'!B55&lt;&gt;"",'Data Source'!S55="A+"),COUNTIF('Data Source'!$S$3:S55,"A+"),"")</f>
        <v/>
      </c>
      <c r="B55">
        <f>IF(AND('Data Source'!B55&lt;&gt;"",'Data Source'!S55="A+"),'Data Source'!B55,"")</f>
        <v/>
      </c>
      <c r="C55" s="3">
        <f>IF(AND('Data Source'!B55&lt;&gt;"",'Data Source'!S55="A+"),IF('Data Source'!U55&gt;=5,"A+",IF('Data Source'!U55&gt;=4,"A",IF('Data Source'!U55&gt;=3.5,"A-",IF('Data Source'!U55&gt;=3,"B",IF('Data Source'!U55&gt;=2,"C",IF('Data Source'!U55&gt;=1,"D","F")))))),"")</f>
        <v/>
      </c>
      <c r="D55" s="3">
        <f>IF(AND('Data Source'!B55&lt;&gt;"",'Data Source'!S55="A+"),IF('Data Source'!V55&gt;=5,"A+",IF('Data Source'!V55&gt;=4,"A",IF('Data Source'!V55&gt;=3.5,"A-",IF('Data Source'!V55&gt;=3,"B",IF('Data Source'!V55&gt;=2,"C",IF('Data Source'!V55&gt;=1,"D","F")))))),"")</f>
        <v/>
      </c>
      <c r="E55" s="3">
        <f>IF(AND('Data Source'!B55&lt;&gt;"",'Data Source'!S55="A+"),IF('Data Source'!W55&gt;=5,"A+",IF('Data Source'!W55&gt;=4,"A",IF('Data Source'!W55&gt;=3.5,"A-",IF('Data Source'!W55&gt;=3,"B",IF('Data Source'!W55&gt;=2,"C",IF('Data Source'!W55&gt;=1,"D","F")))))),"")</f>
        <v/>
      </c>
      <c r="F55" s="3">
        <f>IF(AND('Data Source'!B55&lt;&gt;"",'Data Source'!S55="A+"),IF('Data Source'!X55&gt;=5,"A+",IF('Data Source'!X55&gt;=4,"A",IF('Data Source'!X55&gt;=3.5,"A-",IF('Data Source'!X55&gt;=3,"B",IF('Data Source'!X55&gt;=2,"C",IF('Data Source'!X55&gt;=1,"D","F")))))),"")</f>
        <v/>
      </c>
      <c r="G55" s="3">
        <f>IF(AND('Data Source'!B55&lt;&gt;"",'Data Source'!S55="A+"),IF('Data Source'!Y55&gt;=5,"A+",IF('Data Source'!Y55&gt;=4,"A",IF('Data Source'!Y55&gt;=3.5,"A-",IF('Data Source'!Y55&gt;=3,"B",IF('Data Source'!Y55&gt;=2,"C",IF('Data Source'!Y55&gt;=1,"D","F")))))),"")</f>
        <v/>
      </c>
      <c r="H55" s="3">
        <f>IF(AND('Data Source'!B55&lt;&gt;"",'Data Source'!S55="A+"),IF('Data Source'!Z55&gt;=5,"A+",IF('Data Source'!Z55&gt;=4,"A",IF('Data Source'!Z55&gt;=3.5,"A-",IF('Data Source'!Z55&gt;=3,"B",IF('Data Source'!Z55&gt;=2,"C",IF('Data Source'!Z55&gt;=1,"D","F")))))),"")</f>
        <v/>
      </c>
      <c r="I55" s="3">
        <f>IF(AND('Data Source'!B55&lt;&gt;"",'Data Source'!S55="A+"),IF('Data Source'!AA55&gt;=5,"A+",IF('Data Source'!AA55&gt;=4,"A",IF('Data Source'!AA55&gt;=3.5,"A-",IF('Data Source'!AA55&gt;=3,"B",IF('Data Source'!AA55&gt;=2,"C",IF('Data Source'!AA55&gt;=1,"D","F")))))),"")</f>
        <v/>
      </c>
      <c r="J55" s="3">
        <f>IF(AND('Data Source'!B55&lt;&gt;"",'Data Source'!S55="A+"),IF('Data Source'!AB55&gt;=5,"A+",IF('Data Source'!AB55&gt;=4,"A",IF('Data Source'!AB55&gt;=3.5,"A-",IF('Data Source'!AB55&gt;=3,"B",IF('Data Source'!AB55&gt;=2,"C",IF('Data Source'!AB55&gt;=1,"D","F")))))),"")</f>
        <v/>
      </c>
      <c r="K55" s="3">
        <f>IF(AND('Data Source'!B55&lt;&gt;"",'Data Source'!S55="A+"),IF('Data Source'!AC55&gt;=5,"A+",IF('Data Source'!AC55&gt;=4,"A",IF('Data Source'!AC55&gt;=3.5,"A-",IF('Data Source'!AC55&gt;=3,"B",IF('Data Source'!AC55&gt;=2,"C",IF('Data Source'!AC55&gt;=1,"D","F")))))),"")</f>
        <v/>
      </c>
      <c r="L55" s="3">
        <f>IF(AND('Data Source'!B55&lt;&gt;"",'Data Source'!S55="A+"),IF('Data Source'!AD55&gt;=5,"A+",IF('Data Source'!AD55&gt;=4,"A",IF('Data Source'!AD55&gt;=3.5,"A-",IF('Data Source'!AD55&gt;=3,"B",IF('Data Source'!AD55&gt;=2,"C",IF('Data Source'!AD55&gt;=1,"D","F")))))),"")</f>
        <v/>
      </c>
      <c r="M55" s="3">
        <f>IF(AND('Data Source'!B55&lt;&gt;"",'Data Source'!S55="A+"),IF('Data Source'!AE55&gt;=5,"A+",IF('Data Source'!AE55&gt;=4,"A",IF('Data Source'!AE55&gt;=3.5,"A-",IF('Data Source'!AE55&gt;=3,"B",IF('Data Source'!AE55&gt;=2,"C",IF('Data Source'!AE55&gt;=1,"D","F")))))),"")</f>
        <v/>
      </c>
      <c r="N55" s="3">
        <f>IF(AND('Data Source'!B55&lt;&gt;"",'Data Source'!S55="A+"),IF('Data Source'!AF55&gt;=5,"A+",IF('Data Source'!AF55&gt;=4,"A",IF('Data Source'!AF55&gt;=3.5,"A-",IF('Data Source'!AF55&gt;=3,"B",IF('Data Source'!AF55&gt;=2,"C",IF('Data Source'!AF55&gt;=1,"D","F")))))),"")</f>
        <v/>
      </c>
      <c r="O55" s="3">
        <f>IF(AND('Data Source'!B55&lt;&gt;"",'Data Source'!S55="A+"),IF('Data Source'!AG55&gt;=5,"A+",IF('Data Source'!AG55&gt;=4,"A",IF('Data Source'!AG55&gt;=3.5,"A-",IF('Data Source'!AG55&gt;=3,"B",IF('Data Source'!AG55&gt;=2,"C",IF('Data Source'!AG55&gt;=1,"D","F")))))),"")</f>
        <v/>
      </c>
      <c r="P55" s="5">
        <f>IF(AND('Data Source'!B55&lt;&gt;"",'Data Source'!S55="A+"),'Data Source'!R55,"")</f>
        <v/>
      </c>
      <c r="Q55" s="3">
        <f>IF(AND('Data Source'!B55&lt;&gt;"",'Data Source'!S55="A+"),'Data Source'!S55,"")</f>
        <v/>
      </c>
    </row>
    <row r="56">
      <c r="A56" s="3">
        <f>IF(AND('Data Source'!B56&lt;&gt;"",'Data Source'!S56="A+"),COUNTIF('Data Source'!$S$3:S56,"A+"),"")</f>
        <v/>
      </c>
      <c r="B56">
        <f>IF(AND('Data Source'!B56&lt;&gt;"",'Data Source'!S56="A+"),'Data Source'!B56,"")</f>
        <v/>
      </c>
      <c r="C56" s="3">
        <f>IF(AND('Data Source'!B56&lt;&gt;"",'Data Source'!S56="A+"),IF('Data Source'!U56&gt;=5,"A+",IF('Data Source'!U56&gt;=4,"A",IF('Data Source'!U56&gt;=3.5,"A-",IF('Data Source'!U56&gt;=3,"B",IF('Data Source'!U56&gt;=2,"C",IF('Data Source'!U56&gt;=1,"D","F")))))),"")</f>
        <v/>
      </c>
      <c r="D56" s="3">
        <f>IF(AND('Data Source'!B56&lt;&gt;"",'Data Source'!S56="A+"),IF('Data Source'!V56&gt;=5,"A+",IF('Data Source'!V56&gt;=4,"A",IF('Data Source'!V56&gt;=3.5,"A-",IF('Data Source'!V56&gt;=3,"B",IF('Data Source'!V56&gt;=2,"C",IF('Data Source'!V56&gt;=1,"D","F")))))),"")</f>
        <v/>
      </c>
      <c r="E56" s="3">
        <f>IF(AND('Data Source'!B56&lt;&gt;"",'Data Source'!S56="A+"),IF('Data Source'!W56&gt;=5,"A+",IF('Data Source'!W56&gt;=4,"A",IF('Data Source'!W56&gt;=3.5,"A-",IF('Data Source'!W56&gt;=3,"B",IF('Data Source'!W56&gt;=2,"C",IF('Data Source'!W56&gt;=1,"D","F")))))),"")</f>
        <v/>
      </c>
      <c r="F56" s="3">
        <f>IF(AND('Data Source'!B56&lt;&gt;"",'Data Source'!S56="A+"),IF('Data Source'!X56&gt;=5,"A+",IF('Data Source'!X56&gt;=4,"A",IF('Data Source'!X56&gt;=3.5,"A-",IF('Data Source'!X56&gt;=3,"B",IF('Data Source'!X56&gt;=2,"C",IF('Data Source'!X56&gt;=1,"D","F")))))),"")</f>
        <v/>
      </c>
      <c r="G56" s="3">
        <f>IF(AND('Data Source'!B56&lt;&gt;"",'Data Source'!S56="A+"),IF('Data Source'!Y56&gt;=5,"A+",IF('Data Source'!Y56&gt;=4,"A",IF('Data Source'!Y56&gt;=3.5,"A-",IF('Data Source'!Y56&gt;=3,"B",IF('Data Source'!Y56&gt;=2,"C",IF('Data Source'!Y56&gt;=1,"D","F")))))),"")</f>
        <v/>
      </c>
      <c r="H56" s="3">
        <f>IF(AND('Data Source'!B56&lt;&gt;"",'Data Source'!S56="A+"),IF('Data Source'!Z56&gt;=5,"A+",IF('Data Source'!Z56&gt;=4,"A",IF('Data Source'!Z56&gt;=3.5,"A-",IF('Data Source'!Z56&gt;=3,"B",IF('Data Source'!Z56&gt;=2,"C",IF('Data Source'!Z56&gt;=1,"D","F")))))),"")</f>
        <v/>
      </c>
      <c r="I56" s="3">
        <f>IF(AND('Data Source'!B56&lt;&gt;"",'Data Source'!S56="A+"),IF('Data Source'!AA56&gt;=5,"A+",IF('Data Source'!AA56&gt;=4,"A",IF('Data Source'!AA56&gt;=3.5,"A-",IF('Data Source'!AA56&gt;=3,"B",IF('Data Source'!AA56&gt;=2,"C",IF('Data Source'!AA56&gt;=1,"D","F")))))),"")</f>
        <v/>
      </c>
      <c r="J56" s="3">
        <f>IF(AND('Data Source'!B56&lt;&gt;"",'Data Source'!S56="A+"),IF('Data Source'!AB56&gt;=5,"A+",IF('Data Source'!AB56&gt;=4,"A",IF('Data Source'!AB56&gt;=3.5,"A-",IF('Data Source'!AB56&gt;=3,"B",IF('Data Source'!AB56&gt;=2,"C",IF('Data Source'!AB56&gt;=1,"D","F")))))),"")</f>
        <v/>
      </c>
      <c r="K56" s="3">
        <f>IF(AND('Data Source'!B56&lt;&gt;"",'Data Source'!S56="A+"),IF('Data Source'!AC56&gt;=5,"A+",IF('Data Source'!AC56&gt;=4,"A",IF('Data Source'!AC56&gt;=3.5,"A-",IF('Data Source'!AC56&gt;=3,"B",IF('Data Source'!AC56&gt;=2,"C",IF('Data Source'!AC56&gt;=1,"D","F")))))),"")</f>
        <v/>
      </c>
      <c r="L56" s="3">
        <f>IF(AND('Data Source'!B56&lt;&gt;"",'Data Source'!S56="A+"),IF('Data Source'!AD56&gt;=5,"A+",IF('Data Source'!AD56&gt;=4,"A",IF('Data Source'!AD56&gt;=3.5,"A-",IF('Data Source'!AD56&gt;=3,"B",IF('Data Source'!AD56&gt;=2,"C",IF('Data Source'!AD56&gt;=1,"D","F")))))),"")</f>
        <v/>
      </c>
      <c r="M56" s="3">
        <f>IF(AND('Data Source'!B56&lt;&gt;"",'Data Source'!S56="A+"),IF('Data Source'!AE56&gt;=5,"A+",IF('Data Source'!AE56&gt;=4,"A",IF('Data Source'!AE56&gt;=3.5,"A-",IF('Data Source'!AE56&gt;=3,"B",IF('Data Source'!AE56&gt;=2,"C",IF('Data Source'!AE56&gt;=1,"D","F")))))),"")</f>
        <v/>
      </c>
      <c r="N56" s="3">
        <f>IF(AND('Data Source'!B56&lt;&gt;"",'Data Source'!S56="A+"),IF('Data Source'!AF56&gt;=5,"A+",IF('Data Source'!AF56&gt;=4,"A",IF('Data Source'!AF56&gt;=3.5,"A-",IF('Data Source'!AF56&gt;=3,"B",IF('Data Source'!AF56&gt;=2,"C",IF('Data Source'!AF56&gt;=1,"D","F")))))),"")</f>
        <v/>
      </c>
      <c r="O56" s="3">
        <f>IF(AND('Data Source'!B56&lt;&gt;"",'Data Source'!S56="A+"),IF('Data Source'!AG56&gt;=5,"A+",IF('Data Source'!AG56&gt;=4,"A",IF('Data Source'!AG56&gt;=3.5,"A-",IF('Data Source'!AG56&gt;=3,"B",IF('Data Source'!AG56&gt;=2,"C",IF('Data Source'!AG56&gt;=1,"D","F")))))),"")</f>
        <v/>
      </c>
      <c r="P56" s="5">
        <f>IF(AND('Data Source'!B56&lt;&gt;"",'Data Source'!S56="A+"),'Data Source'!R56,"")</f>
        <v/>
      </c>
      <c r="Q56" s="3">
        <f>IF(AND('Data Source'!B56&lt;&gt;"",'Data Source'!S56="A+"),'Data Source'!S56,"")</f>
        <v/>
      </c>
    </row>
    <row r="57">
      <c r="A57" s="3">
        <f>IF(AND('Data Source'!B57&lt;&gt;"",'Data Source'!S57="A+"),COUNTIF('Data Source'!$S$3:S57,"A+"),"")</f>
        <v/>
      </c>
      <c r="B57">
        <f>IF(AND('Data Source'!B57&lt;&gt;"",'Data Source'!S57="A+"),'Data Source'!B57,"")</f>
        <v/>
      </c>
      <c r="C57" s="3">
        <f>IF(AND('Data Source'!B57&lt;&gt;"",'Data Source'!S57="A+"),IF('Data Source'!U57&gt;=5,"A+",IF('Data Source'!U57&gt;=4,"A",IF('Data Source'!U57&gt;=3.5,"A-",IF('Data Source'!U57&gt;=3,"B",IF('Data Source'!U57&gt;=2,"C",IF('Data Source'!U57&gt;=1,"D","F")))))),"")</f>
        <v/>
      </c>
      <c r="D57" s="3">
        <f>IF(AND('Data Source'!B57&lt;&gt;"",'Data Source'!S57="A+"),IF('Data Source'!V57&gt;=5,"A+",IF('Data Source'!V57&gt;=4,"A",IF('Data Source'!V57&gt;=3.5,"A-",IF('Data Source'!V57&gt;=3,"B",IF('Data Source'!V57&gt;=2,"C",IF('Data Source'!V57&gt;=1,"D","F")))))),"")</f>
        <v/>
      </c>
      <c r="E57" s="3">
        <f>IF(AND('Data Source'!B57&lt;&gt;"",'Data Source'!S57="A+"),IF('Data Source'!W57&gt;=5,"A+",IF('Data Source'!W57&gt;=4,"A",IF('Data Source'!W57&gt;=3.5,"A-",IF('Data Source'!W57&gt;=3,"B",IF('Data Source'!W57&gt;=2,"C",IF('Data Source'!W57&gt;=1,"D","F")))))),"")</f>
        <v/>
      </c>
      <c r="F57" s="3">
        <f>IF(AND('Data Source'!B57&lt;&gt;"",'Data Source'!S57="A+"),IF('Data Source'!X57&gt;=5,"A+",IF('Data Source'!X57&gt;=4,"A",IF('Data Source'!X57&gt;=3.5,"A-",IF('Data Source'!X57&gt;=3,"B",IF('Data Source'!X57&gt;=2,"C",IF('Data Source'!X57&gt;=1,"D","F")))))),"")</f>
        <v/>
      </c>
      <c r="G57" s="3">
        <f>IF(AND('Data Source'!B57&lt;&gt;"",'Data Source'!S57="A+"),IF('Data Source'!Y57&gt;=5,"A+",IF('Data Source'!Y57&gt;=4,"A",IF('Data Source'!Y57&gt;=3.5,"A-",IF('Data Source'!Y57&gt;=3,"B",IF('Data Source'!Y57&gt;=2,"C",IF('Data Source'!Y57&gt;=1,"D","F")))))),"")</f>
        <v/>
      </c>
      <c r="H57" s="3">
        <f>IF(AND('Data Source'!B57&lt;&gt;"",'Data Source'!S57="A+"),IF('Data Source'!Z57&gt;=5,"A+",IF('Data Source'!Z57&gt;=4,"A",IF('Data Source'!Z57&gt;=3.5,"A-",IF('Data Source'!Z57&gt;=3,"B",IF('Data Source'!Z57&gt;=2,"C",IF('Data Source'!Z57&gt;=1,"D","F")))))),"")</f>
        <v/>
      </c>
      <c r="I57" s="3">
        <f>IF(AND('Data Source'!B57&lt;&gt;"",'Data Source'!S57="A+"),IF('Data Source'!AA57&gt;=5,"A+",IF('Data Source'!AA57&gt;=4,"A",IF('Data Source'!AA57&gt;=3.5,"A-",IF('Data Source'!AA57&gt;=3,"B",IF('Data Source'!AA57&gt;=2,"C",IF('Data Source'!AA57&gt;=1,"D","F")))))),"")</f>
        <v/>
      </c>
      <c r="J57" s="3">
        <f>IF(AND('Data Source'!B57&lt;&gt;"",'Data Source'!S57="A+"),IF('Data Source'!AB57&gt;=5,"A+",IF('Data Source'!AB57&gt;=4,"A",IF('Data Source'!AB57&gt;=3.5,"A-",IF('Data Source'!AB57&gt;=3,"B",IF('Data Source'!AB57&gt;=2,"C",IF('Data Source'!AB57&gt;=1,"D","F")))))),"")</f>
        <v/>
      </c>
      <c r="K57" s="3">
        <f>IF(AND('Data Source'!B57&lt;&gt;"",'Data Source'!S57="A+"),IF('Data Source'!AC57&gt;=5,"A+",IF('Data Source'!AC57&gt;=4,"A",IF('Data Source'!AC57&gt;=3.5,"A-",IF('Data Source'!AC57&gt;=3,"B",IF('Data Source'!AC57&gt;=2,"C",IF('Data Source'!AC57&gt;=1,"D","F")))))),"")</f>
        <v/>
      </c>
      <c r="L57" s="3">
        <f>IF(AND('Data Source'!B57&lt;&gt;"",'Data Source'!S57="A+"),IF('Data Source'!AD57&gt;=5,"A+",IF('Data Source'!AD57&gt;=4,"A",IF('Data Source'!AD57&gt;=3.5,"A-",IF('Data Source'!AD57&gt;=3,"B",IF('Data Source'!AD57&gt;=2,"C",IF('Data Source'!AD57&gt;=1,"D","F")))))),"")</f>
        <v/>
      </c>
      <c r="M57" s="3">
        <f>IF(AND('Data Source'!B57&lt;&gt;"",'Data Source'!S57="A+"),IF('Data Source'!AE57&gt;=5,"A+",IF('Data Source'!AE57&gt;=4,"A",IF('Data Source'!AE57&gt;=3.5,"A-",IF('Data Source'!AE57&gt;=3,"B",IF('Data Source'!AE57&gt;=2,"C",IF('Data Source'!AE57&gt;=1,"D","F")))))),"")</f>
        <v/>
      </c>
      <c r="N57" s="3">
        <f>IF(AND('Data Source'!B57&lt;&gt;"",'Data Source'!S57="A+"),IF('Data Source'!AF57&gt;=5,"A+",IF('Data Source'!AF57&gt;=4,"A",IF('Data Source'!AF57&gt;=3.5,"A-",IF('Data Source'!AF57&gt;=3,"B",IF('Data Source'!AF57&gt;=2,"C",IF('Data Source'!AF57&gt;=1,"D","F")))))),"")</f>
        <v/>
      </c>
      <c r="O57" s="3">
        <f>IF(AND('Data Source'!B57&lt;&gt;"",'Data Source'!S57="A+"),IF('Data Source'!AG57&gt;=5,"A+",IF('Data Source'!AG57&gt;=4,"A",IF('Data Source'!AG57&gt;=3.5,"A-",IF('Data Source'!AG57&gt;=3,"B",IF('Data Source'!AG57&gt;=2,"C",IF('Data Source'!AG57&gt;=1,"D","F")))))),"")</f>
        <v/>
      </c>
      <c r="P57" s="5">
        <f>IF(AND('Data Source'!B57&lt;&gt;"",'Data Source'!S57="A+"),'Data Source'!R57,"")</f>
        <v/>
      </c>
      <c r="Q57" s="3">
        <f>IF(AND('Data Source'!B57&lt;&gt;"",'Data Source'!S57="A+"),'Data Source'!S57,"")</f>
        <v/>
      </c>
    </row>
    <row r="58">
      <c r="A58" s="3">
        <f>IF(AND('Data Source'!B58&lt;&gt;"",'Data Source'!S58="A+"),COUNTIF('Data Source'!$S$3:S58,"A+"),"")</f>
        <v/>
      </c>
      <c r="B58">
        <f>IF(AND('Data Source'!B58&lt;&gt;"",'Data Source'!S58="A+"),'Data Source'!B58,"")</f>
        <v/>
      </c>
      <c r="C58" s="3">
        <f>IF(AND('Data Source'!B58&lt;&gt;"",'Data Source'!S58="A+"),IF('Data Source'!U58&gt;=5,"A+",IF('Data Source'!U58&gt;=4,"A",IF('Data Source'!U58&gt;=3.5,"A-",IF('Data Source'!U58&gt;=3,"B",IF('Data Source'!U58&gt;=2,"C",IF('Data Source'!U58&gt;=1,"D","F")))))),"")</f>
        <v/>
      </c>
      <c r="D58" s="3">
        <f>IF(AND('Data Source'!B58&lt;&gt;"",'Data Source'!S58="A+"),IF('Data Source'!V58&gt;=5,"A+",IF('Data Source'!V58&gt;=4,"A",IF('Data Source'!V58&gt;=3.5,"A-",IF('Data Source'!V58&gt;=3,"B",IF('Data Source'!V58&gt;=2,"C",IF('Data Source'!V58&gt;=1,"D","F")))))),"")</f>
        <v/>
      </c>
      <c r="E58" s="3">
        <f>IF(AND('Data Source'!B58&lt;&gt;"",'Data Source'!S58="A+"),IF('Data Source'!W58&gt;=5,"A+",IF('Data Source'!W58&gt;=4,"A",IF('Data Source'!W58&gt;=3.5,"A-",IF('Data Source'!W58&gt;=3,"B",IF('Data Source'!W58&gt;=2,"C",IF('Data Source'!W58&gt;=1,"D","F")))))),"")</f>
        <v/>
      </c>
      <c r="F58" s="3">
        <f>IF(AND('Data Source'!B58&lt;&gt;"",'Data Source'!S58="A+"),IF('Data Source'!X58&gt;=5,"A+",IF('Data Source'!X58&gt;=4,"A",IF('Data Source'!X58&gt;=3.5,"A-",IF('Data Source'!X58&gt;=3,"B",IF('Data Source'!X58&gt;=2,"C",IF('Data Source'!X58&gt;=1,"D","F")))))),"")</f>
        <v/>
      </c>
      <c r="G58" s="3">
        <f>IF(AND('Data Source'!B58&lt;&gt;"",'Data Source'!S58="A+"),IF('Data Source'!Y58&gt;=5,"A+",IF('Data Source'!Y58&gt;=4,"A",IF('Data Source'!Y58&gt;=3.5,"A-",IF('Data Source'!Y58&gt;=3,"B",IF('Data Source'!Y58&gt;=2,"C",IF('Data Source'!Y58&gt;=1,"D","F")))))),"")</f>
        <v/>
      </c>
      <c r="H58" s="3">
        <f>IF(AND('Data Source'!B58&lt;&gt;"",'Data Source'!S58="A+"),IF('Data Source'!Z58&gt;=5,"A+",IF('Data Source'!Z58&gt;=4,"A",IF('Data Source'!Z58&gt;=3.5,"A-",IF('Data Source'!Z58&gt;=3,"B",IF('Data Source'!Z58&gt;=2,"C",IF('Data Source'!Z58&gt;=1,"D","F")))))),"")</f>
        <v/>
      </c>
      <c r="I58" s="3">
        <f>IF(AND('Data Source'!B58&lt;&gt;"",'Data Source'!S58="A+"),IF('Data Source'!AA58&gt;=5,"A+",IF('Data Source'!AA58&gt;=4,"A",IF('Data Source'!AA58&gt;=3.5,"A-",IF('Data Source'!AA58&gt;=3,"B",IF('Data Source'!AA58&gt;=2,"C",IF('Data Source'!AA58&gt;=1,"D","F")))))),"")</f>
        <v/>
      </c>
      <c r="J58" s="3">
        <f>IF(AND('Data Source'!B58&lt;&gt;"",'Data Source'!S58="A+"),IF('Data Source'!AB58&gt;=5,"A+",IF('Data Source'!AB58&gt;=4,"A",IF('Data Source'!AB58&gt;=3.5,"A-",IF('Data Source'!AB58&gt;=3,"B",IF('Data Source'!AB58&gt;=2,"C",IF('Data Source'!AB58&gt;=1,"D","F")))))),"")</f>
        <v/>
      </c>
      <c r="K58" s="3">
        <f>IF(AND('Data Source'!B58&lt;&gt;"",'Data Source'!S58="A+"),IF('Data Source'!AC58&gt;=5,"A+",IF('Data Source'!AC58&gt;=4,"A",IF('Data Source'!AC58&gt;=3.5,"A-",IF('Data Source'!AC58&gt;=3,"B",IF('Data Source'!AC58&gt;=2,"C",IF('Data Source'!AC58&gt;=1,"D","F")))))),"")</f>
        <v/>
      </c>
      <c r="L58" s="3">
        <f>IF(AND('Data Source'!B58&lt;&gt;"",'Data Source'!S58="A+"),IF('Data Source'!AD58&gt;=5,"A+",IF('Data Source'!AD58&gt;=4,"A",IF('Data Source'!AD58&gt;=3.5,"A-",IF('Data Source'!AD58&gt;=3,"B",IF('Data Source'!AD58&gt;=2,"C",IF('Data Source'!AD58&gt;=1,"D","F")))))),"")</f>
        <v/>
      </c>
      <c r="M58" s="3">
        <f>IF(AND('Data Source'!B58&lt;&gt;"",'Data Source'!S58="A+"),IF('Data Source'!AE58&gt;=5,"A+",IF('Data Source'!AE58&gt;=4,"A",IF('Data Source'!AE58&gt;=3.5,"A-",IF('Data Source'!AE58&gt;=3,"B",IF('Data Source'!AE58&gt;=2,"C",IF('Data Source'!AE58&gt;=1,"D","F")))))),"")</f>
        <v/>
      </c>
      <c r="N58" s="3">
        <f>IF(AND('Data Source'!B58&lt;&gt;"",'Data Source'!S58="A+"),IF('Data Source'!AF58&gt;=5,"A+",IF('Data Source'!AF58&gt;=4,"A",IF('Data Source'!AF58&gt;=3.5,"A-",IF('Data Source'!AF58&gt;=3,"B",IF('Data Source'!AF58&gt;=2,"C",IF('Data Source'!AF58&gt;=1,"D","F")))))),"")</f>
        <v/>
      </c>
      <c r="O58" s="3">
        <f>IF(AND('Data Source'!B58&lt;&gt;"",'Data Source'!S58="A+"),IF('Data Source'!AG58&gt;=5,"A+",IF('Data Source'!AG58&gt;=4,"A",IF('Data Source'!AG58&gt;=3.5,"A-",IF('Data Source'!AG58&gt;=3,"B",IF('Data Source'!AG58&gt;=2,"C",IF('Data Source'!AG58&gt;=1,"D","F")))))),"")</f>
        <v/>
      </c>
      <c r="P58" s="5">
        <f>IF(AND('Data Source'!B58&lt;&gt;"",'Data Source'!S58="A+"),'Data Source'!R58,"")</f>
        <v/>
      </c>
      <c r="Q58" s="3">
        <f>IF(AND('Data Source'!B58&lt;&gt;"",'Data Source'!S58="A+"),'Data Source'!S58,"")</f>
        <v/>
      </c>
    </row>
    <row r="59">
      <c r="A59" s="3">
        <f>IF(AND('Data Source'!B59&lt;&gt;"",'Data Source'!S59="A+"),COUNTIF('Data Source'!$S$3:S59,"A+"),"")</f>
        <v/>
      </c>
      <c r="B59">
        <f>IF(AND('Data Source'!B59&lt;&gt;"",'Data Source'!S59="A+"),'Data Source'!B59,"")</f>
        <v/>
      </c>
      <c r="C59" s="3">
        <f>IF(AND('Data Source'!B59&lt;&gt;"",'Data Source'!S59="A+"),IF('Data Source'!U59&gt;=5,"A+",IF('Data Source'!U59&gt;=4,"A",IF('Data Source'!U59&gt;=3.5,"A-",IF('Data Source'!U59&gt;=3,"B",IF('Data Source'!U59&gt;=2,"C",IF('Data Source'!U59&gt;=1,"D","F")))))),"")</f>
        <v/>
      </c>
      <c r="D59" s="3">
        <f>IF(AND('Data Source'!B59&lt;&gt;"",'Data Source'!S59="A+"),IF('Data Source'!V59&gt;=5,"A+",IF('Data Source'!V59&gt;=4,"A",IF('Data Source'!V59&gt;=3.5,"A-",IF('Data Source'!V59&gt;=3,"B",IF('Data Source'!V59&gt;=2,"C",IF('Data Source'!V59&gt;=1,"D","F")))))),"")</f>
        <v/>
      </c>
      <c r="E59" s="3">
        <f>IF(AND('Data Source'!B59&lt;&gt;"",'Data Source'!S59="A+"),IF('Data Source'!W59&gt;=5,"A+",IF('Data Source'!W59&gt;=4,"A",IF('Data Source'!W59&gt;=3.5,"A-",IF('Data Source'!W59&gt;=3,"B",IF('Data Source'!W59&gt;=2,"C",IF('Data Source'!W59&gt;=1,"D","F")))))),"")</f>
        <v/>
      </c>
      <c r="F59" s="3">
        <f>IF(AND('Data Source'!B59&lt;&gt;"",'Data Source'!S59="A+"),IF('Data Source'!X59&gt;=5,"A+",IF('Data Source'!X59&gt;=4,"A",IF('Data Source'!X59&gt;=3.5,"A-",IF('Data Source'!X59&gt;=3,"B",IF('Data Source'!X59&gt;=2,"C",IF('Data Source'!X59&gt;=1,"D","F")))))),"")</f>
        <v/>
      </c>
      <c r="G59" s="3">
        <f>IF(AND('Data Source'!B59&lt;&gt;"",'Data Source'!S59="A+"),IF('Data Source'!Y59&gt;=5,"A+",IF('Data Source'!Y59&gt;=4,"A",IF('Data Source'!Y59&gt;=3.5,"A-",IF('Data Source'!Y59&gt;=3,"B",IF('Data Source'!Y59&gt;=2,"C",IF('Data Source'!Y59&gt;=1,"D","F")))))),"")</f>
        <v/>
      </c>
      <c r="H59" s="3">
        <f>IF(AND('Data Source'!B59&lt;&gt;"",'Data Source'!S59="A+"),IF('Data Source'!Z59&gt;=5,"A+",IF('Data Source'!Z59&gt;=4,"A",IF('Data Source'!Z59&gt;=3.5,"A-",IF('Data Source'!Z59&gt;=3,"B",IF('Data Source'!Z59&gt;=2,"C",IF('Data Source'!Z59&gt;=1,"D","F")))))),"")</f>
        <v/>
      </c>
      <c r="I59" s="3">
        <f>IF(AND('Data Source'!B59&lt;&gt;"",'Data Source'!S59="A+"),IF('Data Source'!AA59&gt;=5,"A+",IF('Data Source'!AA59&gt;=4,"A",IF('Data Source'!AA59&gt;=3.5,"A-",IF('Data Source'!AA59&gt;=3,"B",IF('Data Source'!AA59&gt;=2,"C",IF('Data Source'!AA59&gt;=1,"D","F")))))),"")</f>
        <v/>
      </c>
      <c r="J59" s="3">
        <f>IF(AND('Data Source'!B59&lt;&gt;"",'Data Source'!S59="A+"),IF('Data Source'!AB59&gt;=5,"A+",IF('Data Source'!AB59&gt;=4,"A",IF('Data Source'!AB59&gt;=3.5,"A-",IF('Data Source'!AB59&gt;=3,"B",IF('Data Source'!AB59&gt;=2,"C",IF('Data Source'!AB59&gt;=1,"D","F")))))),"")</f>
        <v/>
      </c>
      <c r="K59" s="3">
        <f>IF(AND('Data Source'!B59&lt;&gt;"",'Data Source'!S59="A+"),IF('Data Source'!AC59&gt;=5,"A+",IF('Data Source'!AC59&gt;=4,"A",IF('Data Source'!AC59&gt;=3.5,"A-",IF('Data Source'!AC59&gt;=3,"B",IF('Data Source'!AC59&gt;=2,"C",IF('Data Source'!AC59&gt;=1,"D","F")))))),"")</f>
        <v/>
      </c>
      <c r="L59" s="3">
        <f>IF(AND('Data Source'!B59&lt;&gt;"",'Data Source'!S59="A+"),IF('Data Source'!AD59&gt;=5,"A+",IF('Data Source'!AD59&gt;=4,"A",IF('Data Source'!AD59&gt;=3.5,"A-",IF('Data Source'!AD59&gt;=3,"B",IF('Data Source'!AD59&gt;=2,"C",IF('Data Source'!AD59&gt;=1,"D","F")))))),"")</f>
        <v/>
      </c>
      <c r="M59" s="3">
        <f>IF(AND('Data Source'!B59&lt;&gt;"",'Data Source'!S59="A+"),IF('Data Source'!AE59&gt;=5,"A+",IF('Data Source'!AE59&gt;=4,"A",IF('Data Source'!AE59&gt;=3.5,"A-",IF('Data Source'!AE59&gt;=3,"B",IF('Data Source'!AE59&gt;=2,"C",IF('Data Source'!AE59&gt;=1,"D","F")))))),"")</f>
        <v/>
      </c>
      <c r="N59" s="3">
        <f>IF(AND('Data Source'!B59&lt;&gt;"",'Data Source'!S59="A+"),IF('Data Source'!AF59&gt;=5,"A+",IF('Data Source'!AF59&gt;=4,"A",IF('Data Source'!AF59&gt;=3.5,"A-",IF('Data Source'!AF59&gt;=3,"B",IF('Data Source'!AF59&gt;=2,"C",IF('Data Source'!AF59&gt;=1,"D","F")))))),"")</f>
        <v/>
      </c>
      <c r="O59" s="3">
        <f>IF(AND('Data Source'!B59&lt;&gt;"",'Data Source'!S59="A+"),IF('Data Source'!AG59&gt;=5,"A+",IF('Data Source'!AG59&gt;=4,"A",IF('Data Source'!AG59&gt;=3.5,"A-",IF('Data Source'!AG59&gt;=3,"B",IF('Data Source'!AG59&gt;=2,"C",IF('Data Source'!AG59&gt;=1,"D","F")))))),"")</f>
        <v/>
      </c>
      <c r="P59" s="5">
        <f>IF(AND('Data Source'!B59&lt;&gt;"",'Data Source'!S59="A+"),'Data Source'!R59,"")</f>
        <v/>
      </c>
      <c r="Q59" s="3">
        <f>IF(AND('Data Source'!B59&lt;&gt;"",'Data Source'!S59="A+"),'Data Source'!S59,"")</f>
        <v/>
      </c>
    </row>
    <row r="60">
      <c r="A60" s="3">
        <f>IF(AND('Data Source'!B60&lt;&gt;"",'Data Source'!S60="A+"),COUNTIF('Data Source'!$S$3:S60,"A+"),"")</f>
        <v/>
      </c>
      <c r="B60">
        <f>IF(AND('Data Source'!B60&lt;&gt;"",'Data Source'!S60="A+"),'Data Source'!B60,"")</f>
        <v/>
      </c>
      <c r="C60" s="3">
        <f>IF(AND('Data Source'!B60&lt;&gt;"",'Data Source'!S60="A+"),IF('Data Source'!U60&gt;=5,"A+",IF('Data Source'!U60&gt;=4,"A",IF('Data Source'!U60&gt;=3.5,"A-",IF('Data Source'!U60&gt;=3,"B",IF('Data Source'!U60&gt;=2,"C",IF('Data Source'!U60&gt;=1,"D","F")))))),"")</f>
        <v/>
      </c>
      <c r="D60" s="3">
        <f>IF(AND('Data Source'!B60&lt;&gt;"",'Data Source'!S60="A+"),IF('Data Source'!V60&gt;=5,"A+",IF('Data Source'!V60&gt;=4,"A",IF('Data Source'!V60&gt;=3.5,"A-",IF('Data Source'!V60&gt;=3,"B",IF('Data Source'!V60&gt;=2,"C",IF('Data Source'!V60&gt;=1,"D","F")))))),"")</f>
        <v/>
      </c>
      <c r="E60" s="3">
        <f>IF(AND('Data Source'!B60&lt;&gt;"",'Data Source'!S60="A+"),IF('Data Source'!W60&gt;=5,"A+",IF('Data Source'!W60&gt;=4,"A",IF('Data Source'!W60&gt;=3.5,"A-",IF('Data Source'!W60&gt;=3,"B",IF('Data Source'!W60&gt;=2,"C",IF('Data Source'!W60&gt;=1,"D","F")))))),"")</f>
        <v/>
      </c>
      <c r="F60" s="3">
        <f>IF(AND('Data Source'!B60&lt;&gt;"",'Data Source'!S60="A+"),IF('Data Source'!X60&gt;=5,"A+",IF('Data Source'!X60&gt;=4,"A",IF('Data Source'!X60&gt;=3.5,"A-",IF('Data Source'!X60&gt;=3,"B",IF('Data Source'!X60&gt;=2,"C",IF('Data Source'!X60&gt;=1,"D","F")))))),"")</f>
        <v/>
      </c>
      <c r="G60" s="3">
        <f>IF(AND('Data Source'!B60&lt;&gt;"",'Data Source'!S60="A+"),IF('Data Source'!Y60&gt;=5,"A+",IF('Data Source'!Y60&gt;=4,"A",IF('Data Source'!Y60&gt;=3.5,"A-",IF('Data Source'!Y60&gt;=3,"B",IF('Data Source'!Y60&gt;=2,"C",IF('Data Source'!Y60&gt;=1,"D","F")))))),"")</f>
        <v/>
      </c>
      <c r="H60" s="3">
        <f>IF(AND('Data Source'!B60&lt;&gt;"",'Data Source'!S60="A+"),IF('Data Source'!Z60&gt;=5,"A+",IF('Data Source'!Z60&gt;=4,"A",IF('Data Source'!Z60&gt;=3.5,"A-",IF('Data Source'!Z60&gt;=3,"B",IF('Data Source'!Z60&gt;=2,"C",IF('Data Source'!Z60&gt;=1,"D","F")))))),"")</f>
        <v/>
      </c>
      <c r="I60" s="3">
        <f>IF(AND('Data Source'!B60&lt;&gt;"",'Data Source'!S60="A+"),IF('Data Source'!AA60&gt;=5,"A+",IF('Data Source'!AA60&gt;=4,"A",IF('Data Source'!AA60&gt;=3.5,"A-",IF('Data Source'!AA60&gt;=3,"B",IF('Data Source'!AA60&gt;=2,"C",IF('Data Source'!AA60&gt;=1,"D","F")))))),"")</f>
        <v/>
      </c>
      <c r="J60" s="3">
        <f>IF(AND('Data Source'!B60&lt;&gt;"",'Data Source'!S60="A+"),IF('Data Source'!AB60&gt;=5,"A+",IF('Data Source'!AB60&gt;=4,"A",IF('Data Source'!AB60&gt;=3.5,"A-",IF('Data Source'!AB60&gt;=3,"B",IF('Data Source'!AB60&gt;=2,"C",IF('Data Source'!AB60&gt;=1,"D","F")))))),"")</f>
        <v/>
      </c>
      <c r="K60" s="3">
        <f>IF(AND('Data Source'!B60&lt;&gt;"",'Data Source'!S60="A+"),IF('Data Source'!AC60&gt;=5,"A+",IF('Data Source'!AC60&gt;=4,"A",IF('Data Source'!AC60&gt;=3.5,"A-",IF('Data Source'!AC60&gt;=3,"B",IF('Data Source'!AC60&gt;=2,"C",IF('Data Source'!AC60&gt;=1,"D","F")))))),"")</f>
        <v/>
      </c>
      <c r="L60" s="3">
        <f>IF(AND('Data Source'!B60&lt;&gt;"",'Data Source'!S60="A+"),IF('Data Source'!AD60&gt;=5,"A+",IF('Data Source'!AD60&gt;=4,"A",IF('Data Source'!AD60&gt;=3.5,"A-",IF('Data Source'!AD60&gt;=3,"B",IF('Data Source'!AD60&gt;=2,"C",IF('Data Source'!AD60&gt;=1,"D","F")))))),"")</f>
        <v/>
      </c>
      <c r="M60" s="3">
        <f>IF(AND('Data Source'!B60&lt;&gt;"",'Data Source'!S60="A+"),IF('Data Source'!AE60&gt;=5,"A+",IF('Data Source'!AE60&gt;=4,"A",IF('Data Source'!AE60&gt;=3.5,"A-",IF('Data Source'!AE60&gt;=3,"B",IF('Data Source'!AE60&gt;=2,"C",IF('Data Source'!AE60&gt;=1,"D","F")))))),"")</f>
        <v/>
      </c>
      <c r="N60" s="3">
        <f>IF(AND('Data Source'!B60&lt;&gt;"",'Data Source'!S60="A+"),IF('Data Source'!AF60&gt;=5,"A+",IF('Data Source'!AF60&gt;=4,"A",IF('Data Source'!AF60&gt;=3.5,"A-",IF('Data Source'!AF60&gt;=3,"B",IF('Data Source'!AF60&gt;=2,"C",IF('Data Source'!AF60&gt;=1,"D","F")))))),"")</f>
        <v/>
      </c>
      <c r="O60" s="3">
        <f>IF(AND('Data Source'!B60&lt;&gt;"",'Data Source'!S60="A+"),IF('Data Source'!AG60&gt;=5,"A+",IF('Data Source'!AG60&gt;=4,"A",IF('Data Source'!AG60&gt;=3.5,"A-",IF('Data Source'!AG60&gt;=3,"B",IF('Data Source'!AG60&gt;=2,"C",IF('Data Source'!AG60&gt;=1,"D","F")))))),"")</f>
        <v/>
      </c>
      <c r="P60" s="5">
        <f>IF(AND('Data Source'!B60&lt;&gt;"",'Data Source'!S60="A+"),'Data Source'!R60,"")</f>
        <v/>
      </c>
      <c r="Q60" s="3">
        <f>IF(AND('Data Source'!B60&lt;&gt;"",'Data Source'!S60="A+"),'Data Source'!S60,"")</f>
        <v/>
      </c>
    </row>
    <row r="61">
      <c r="A61" s="3">
        <f>IF(AND('Data Source'!B61&lt;&gt;"",'Data Source'!S61="A+"),COUNTIF('Data Source'!$S$3:S61,"A+"),"")</f>
        <v/>
      </c>
      <c r="B61">
        <f>IF(AND('Data Source'!B61&lt;&gt;"",'Data Source'!S61="A+"),'Data Source'!B61,"")</f>
        <v/>
      </c>
      <c r="C61" s="3">
        <f>IF(AND('Data Source'!B61&lt;&gt;"",'Data Source'!S61="A+"),IF('Data Source'!U61&gt;=5,"A+",IF('Data Source'!U61&gt;=4,"A",IF('Data Source'!U61&gt;=3.5,"A-",IF('Data Source'!U61&gt;=3,"B",IF('Data Source'!U61&gt;=2,"C",IF('Data Source'!U61&gt;=1,"D","F")))))),"")</f>
        <v/>
      </c>
      <c r="D61" s="3">
        <f>IF(AND('Data Source'!B61&lt;&gt;"",'Data Source'!S61="A+"),IF('Data Source'!V61&gt;=5,"A+",IF('Data Source'!V61&gt;=4,"A",IF('Data Source'!V61&gt;=3.5,"A-",IF('Data Source'!V61&gt;=3,"B",IF('Data Source'!V61&gt;=2,"C",IF('Data Source'!V61&gt;=1,"D","F")))))),"")</f>
        <v/>
      </c>
      <c r="E61" s="3">
        <f>IF(AND('Data Source'!B61&lt;&gt;"",'Data Source'!S61="A+"),IF('Data Source'!W61&gt;=5,"A+",IF('Data Source'!W61&gt;=4,"A",IF('Data Source'!W61&gt;=3.5,"A-",IF('Data Source'!W61&gt;=3,"B",IF('Data Source'!W61&gt;=2,"C",IF('Data Source'!W61&gt;=1,"D","F")))))),"")</f>
        <v/>
      </c>
      <c r="F61" s="3">
        <f>IF(AND('Data Source'!B61&lt;&gt;"",'Data Source'!S61="A+"),IF('Data Source'!X61&gt;=5,"A+",IF('Data Source'!X61&gt;=4,"A",IF('Data Source'!X61&gt;=3.5,"A-",IF('Data Source'!X61&gt;=3,"B",IF('Data Source'!X61&gt;=2,"C",IF('Data Source'!X61&gt;=1,"D","F")))))),"")</f>
        <v/>
      </c>
      <c r="G61" s="3">
        <f>IF(AND('Data Source'!B61&lt;&gt;"",'Data Source'!S61="A+"),IF('Data Source'!Y61&gt;=5,"A+",IF('Data Source'!Y61&gt;=4,"A",IF('Data Source'!Y61&gt;=3.5,"A-",IF('Data Source'!Y61&gt;=3,"B",IF('Data Source'!Y61&gt;=2,"C",IF('Data Source'!Y61&gt;=1,"D","F")))))),"")</f>
        <v/>
      </c>
      <c r="H61" s="3">
        <f>IF(AND('Data Source'!B61&lt;&gt;"",'Data Source'!S61="A+"),IF('Data Source'!Z61&gt;=5,"A+",IF('Data Source'!Z61&gt;=4,"A",IF('Data Source'!Z61&gt;=3.5,"A-",IF('Data Source'!Z61&gt;=3,"B",IF('Data Source'!Z61&gt;=2,"C",IF('Data Source'!Z61&gt;=1,"D","F")))))),"")</f>
        <v/>
      </c>
      <c r="I61" s="3">
        <f>IF(AND('Data Source'!B61&lt;&gt;"",'Data Source'!S61="A+"),IF('Data Source'!AA61&gt;=5,"A+",IF('Data Source'!AA61&gt;=4,"A",IF('Data Source'!AA61&gt;=3.5,"A-",IF('Data Source'!AA61&gt;=3,"B",IF('Data Source'!AA61&gt;=2,"C",IF('Data Source'!AA61&gt;=1,"D","F")))))),"")</f>
        <v/>
      </c>
      <c r="J61" s="3">
        <f>IF(AND('Data Source'!B61&lt;&gt;"",'Data Source'!S61="A+"),IF('Data Source'!AB61&gt;=5,"A+",IF('Data Source'!AB61&gt;=4,"A",IF('Data Source'!AB61&gt;=3.5,"A-",IF('Data Source'!AB61&gt;=3,"B",IF('Data Source'!AB61&gt;=2,"C",IF('Data Source'!AB61&gt;=1,"D","F")))))),"")</f>
        <v/>
      </c>
      <c r="K61" s="3">
        <f>IF(AND('Data Source'!B61&lt;&gt;"",'Data Source'!S61="A+"),IF('Data Source'!AC61&gt;=5,"A+",IF('Data Source'!AC61&gt;=4,"A",IF('Data Source'!AC61&gt;=3.5,"A-",IF('Data Source'!AC61&gt;=3,"B",IF('Data Source'!AC61&gt;=2,"C",IF('Data Source'!AC61&gt;=1,"D","F")))))),"")</f>
        <v/>
      </c>
      <c r="L61" s="3">
        <f>IF(AND('Data Source'!B61&lt;&gt;"",'Data Source'!S61="A+"),IF('Data Source'!AD61&gt;=5,"A+",IF('Data Source'!AD61&gt;=4,"A",IF('Data Source'!AD61&gt;=3.5,"A-",IF('Data Source'!AD61&gt;=3,"B",IF('Data Source'!AD61&gt;=2,"C",IF('Data Source'!AD61&gt;=1,"D","F")))))),"")</f>
        <v/>
      </c>
      <c r="M61" s="3">
        <f>IF(AND('Data Source'!B61&lt;&gt;"",'Data Source'!S61="A+"),IF('Data Source'!AE61&gt;=5,"A+",IF('Data Source'!AE61&gt;=4,"A",IF('Data Source'!AE61&gt;=3.5,"A-",IF('Data Source'!AE61&gt;=3,"B",IF('Data Source'!AE61&gt;=2,"C",IF('Data Source'!AE61&gt;=1,"D","F")))))),"")</f>
        <v/>
      </c>
      <c r="N61" s="3">
        <f>IF(AND('Data Source'!B61&lt;&gt;"",'Data Source'!S61="A+"),IF('Data Source'!AF61&gt;=5,"A+",IF('Data Source'!AF61&gt;=4,"A",IF('Data Source'!AF61&gt;=3.5,"A-",IF('Data Source'!AF61&gt;=3,"B",IF('Data Source'!AF61&gt;=2,"C",IF('Data Source'!AF61&gt;=1,"D","F")))))),"")</f>
        <v/>
      </c>
      <c r="O61" s="3">
        <f>IF(AND('Data Source'!B61&lt;&gt;"",'Data Source'!S61="A+"),IF('Data Source'!AG61&gt;=5,"A+",IF('Data Source'!AG61&gt;=4,"A",IF('Data Source'!AG61&gt;=3.5,"A-",IF('Data Source'!AG61&gt;=3,"B",IF('Data Source'!AG61&gt;=2,"C",IF('Data Source'!AG61&gt;=1,"D","F")))))),"")</f>
        <v/>
      </c>
      <c r="P61" s="5">
        <f>IF(AND('Data Source'!B61&lt;&gt;"",'Data Source'!S61="A+"),'Data Source'!R61,"")</f>
        <v/>
      </c>
      <c r="Q61" s="3">
        <f>IF(AND('Data Source'!B61&lt;&gt;"",'Data Source'!S61="A+"),'Data Source'!S61,"")</f>
        <v/>
      </c>
    </row>
    <row r="62">
      <c r="A62" s="3">
        <f>IF(AND('Data Source'!B62&lt;&gt;"",'Data Source'!S62="A+"),COUNTIF('Data Source'!$S$3:S62,"A+"),"")</f>
        <v/>
      </c>
      <c r="B62">
        <f>IF(AND('Data Source'!B62&lt;&gt;"",'Data Source'!S62="A+"),'Data Source'!B62,"")</f>
        <v/>
      </c>
      <c r="C62" s="3">
        <f>IF(AND('Data Source'!B62&lt;&gt;"",'Data Source'!S62="A+"),IF('Data Source'!U62&gt;=5,"A+",IF('Data Source'!U62&gt;=4,"A",IF('Data Source'!U62&gt;=3.5,"A-",IF('Data Source'!U62&gt;=3,"B",IF('Data Source'!U62&gt;=2,"C",IF('Data Source'!U62&gt;=1,"D","F")))))),"")</f>
        <v/>
      </c>
      <c r="D62" s="3">
        <f>IF(AND('Data Source'!B62&lt;&gt;"",'Data Source'!S62="A+"),IF('Data Source'!V62&gt;=5,"A+",IF('Data Source'!V62&gt;=4,"A",IF('Data Source'!V62&gt;=3.5,"A-",IF('Data Source'!V62&gt;=3,"B",IF('Data Source'!V62&gt;=2,"C",IF('Data Source'!V62&gt;=1,"D","F")))))),"")</f>
        <v/>
      </c>
      <c r="E62" s="3">
        <f>IF(AND('Data Source'!B62&lt;&gt;"",'Data Source'!S62="A+"),IF('Data Source'!W62&gt;=5,"A+",IF('Data Source'!W62&gt;=4,"A",IF('Data Source'!W62&gt;=3.5,"A-",IF('Data Source'!W62&gt;=3,"B",IF('Data Source'!W62&gt;=2,"C",IF('Data Source'!W62&gt;=1,"D","F")))))),"")</f>
        <v/>
      </c>
      <c r="F62" s="3">
        <f>IF(AND('Data Source'!B62&lt;&gt;"",'Data Source'!S62="A+"),IF('Data Source'!X62&gt;=5,"A+",IF('Data Source'!X62&gt;=4,"A",IF('Data Source'!X62&gt;=3.5,"A-",IF('Data Source'!X62&gt;=3,"B",IF('Data Source'!X62&gt;=2,"C",IF('Data Source'!X62&gt;=1,"D","F")))))),"")</f>
        <v/>
      </c>
      <c r="G62" s="3">
        <f>IF(AND('Data Source'!B62&lt;&gt;"",'Data Source'!S62="A+"),IF('Data Source'!Y62&gt;=5,"A+",IF('Data Source'!Y62&gt;=4,"A",IF('Data Source'!Y62&gt;=3.5,"A-",IF('Data Source'!Y62&gt;=3,"B",IF('Data Source'!Y62&gt;=2,"C",IF('Data Source'!Y62&gt;=1,"D","F")))))),"")</f>
        <v/>
      </c>
      <c r="H62" s="3">
        <f>IF(AND('Data Source'!B62&lt;&gt;"",'Data Source'!S62="A+"),IF('Data Source'!Z62&gt;=5,"A+",IF('Data Source'!Z62&gt;=4,"A",IF('Data Source'!Z62&gt;=3.5,"A-",IF('Data Source'!Z62&gt;=3,"B",IF('Data Source'!Z62&gt;=2,"C",IF('Data Source'!Z62&gt;=1,"D","F")))))),"")</f>
        <v/>
      </c>
      <c r="I62" s="3">
        <f>IF(AND('Data Source'!B62&lt;&gt;"",'Data Source'!S62="A+"),IF('Data Source'!AA62&gt;=5,"A+",IF('Data Source'!AA62&gt;=4,"A",IF('Data Source'!AA62&gt;=3.5,"A-",IF('Data Source'!AA62&gt;=3,"B",IF('Data Source'!AA62&gt;=2,"C",IF('Data Source'!AA62&gt;=1,"D","F")))))),"")</f>
        <v/>
      </c>
      <c r="J62" s="3">
        <f>IF(AND('Data Source'!B62&lt;&gt;"",'Data Source'!S62="A+"),IF('Data Source'!AB62&gt;=5,"A+",IF('Data Source'!AB62&gt;=4,"A",IF('Data Source'!AB62&gt;=3.5,"A-",IF('Data Source'!AB62&gt;=3,"B",IF('Data Source'!AB62&gt;=2,"C",IF('Data Source'!AB62&gt;=1,"D","F")))))),"")</f>
        <v/>
      </c>
      <c r="K62" s="3">
        <f>IF(AND('Data Source'!B62&lt;&gt;"",'Data Source'!S62="A+"),IF('Data Source'!AC62&gt;=5,"A+",IF('Data Source'!AC62&gt;=4,"A",IF('Data Source'!AC62&gt;=3.5,"A-",IF('Data Source'!AC62&gt;=3,"B",IF('Data Source'!AC62&gt;=2,"C",IF('Data Source'!AC62&gt;=1,"D","F")))))),"")</f>
        <v/>
      </c>
      <c r="L62" s="3">
        <f>IF(AND('Data Source'!B62&lt;&gt;"",'Data Source'!S62="A+"),IF('Data Source'!AD62&gt;=5,"A+",IF('Data Source'!AD62&gt;=4,"A",IF('Data Source'!AD62&gt;=3.5,"A-",IF('Data Source'!AD62&gt;=3,"B",IF('Data Source'!AD62&gt;=2,"C",IF('Data Source'!AD62&gt;=1,"D","F")))))),"")</f>
        <v/>
      </c>
      <c r="M62" s="3">
        <f>IF(AND('Data Source'!B62&lt;&gt;"",'Data Source'!S62="A+"),IF('Data Source'!AE62&gt;=5,"A+",IF('Data Source'!AE62&gt;=4,"A",IF('Data Source'!AE62&gt;=3.5,"A-",IF('Data Source'!AE62&gt;=3,"B",IF('Data Source'!AE62&gt;=2,"C",IF('Data Source'!AE62&gt;=1,"D","F")))))),"")</f>
        <v/>
      </c>
      <c r="N62" s="3">
        <f>IF(AND('Data Source'!B62&lt;&gt;"",'Data Source'!S62="A+"),IF('Data Source'!AF62&gt;=5,"A+",IF('Data Source'!AF62&gt;=4,"A",IF('Data Source'!AF62&gt;=3.5,"A-",IF('Data Source'!AF62&gt;=3,"B",IF('Data Source'!AF62&gt;=2,"C",IF('Data Source'!AF62&gt;=1,"D","F")))))),"")</f>
        <v/>
      </c>
      <c r="O62" s="3">
        <f>IF(AND('Data Source'!B62&lt;&gt;"",'Data Source'!S62="A+"),IF('Data Source'!AG62&gt;=5,"A+",IF('Data Source'!AG62&gt;=4,"A",IF('Data Source'!AG62&gt;=3.5,"A-",IF('Data Source'!AG62&gt;=3,"B",IF('Data Source'!AG62&gt;=2,"C",IF('Data Source'!AG62&gt;=1,"D","F")))))),"")</f>
        <v/>
      </c>
      <c r="P62" s="5">
        <f>IF(AND('Data Source'!B62&lt;&gt;"",'Data Source'!S62="A+"),'Data Source'!R62,"")</f>
        <v/>
      </c>
      <c r="Q62" s="3">
        <f>IF(AND('Data Source'!B62&lt;&gt;"",'Data Source'!S62="A+"),'Data Source'!S62,"")</f>
        <v/>
      </c>
    </row>
    <row r="63">
      <c r="A63" s="3">
        <f>IF(AND('Data Source'!B63&lt;&gt;"",'Data Source'!S63="A+"),COUNTIF('Data Source'!$S$3:S63,"A+"),"")</f>
        <v/>
      </c>
      <c r="B63">
        <f>IF(AND('Data Source'!B63&lt;&gt;"",'Data Source'!S63="A+"),'Data Source'!B63,"")</f>
        <v/>
      </c>
      <c r="C63" s="3">
        <f>IF(AND('Data Source'!B63&lt;&gt;"",'Data Source'!S63="A+"),IF('Data Source'!U63&gt;=5,"A+",IF('Data Source'!U63&gt;=4,"A",IF('Data Source'!U63&gt;=3.5,"A-",IF('Data Source'!U63&gt;=3,"B",IF('Data Source'!U63&gt;=2,"C",IF('Data Source'!U63&gt;=1,"D","F")))))),"")</f>
        <v/>
      </c>
      <c r="D63" s="3">
        <f>IF(AND('Data Source'!B63&lt;&gt;"",'Data Source'!S63="A+"),IF('Data Source'!V63&gt;=5,"A+",IF('Data Source'!V63&gt;=4,"A",IF('Data Source'!V63&gt;=3.5,"A-",IF('Data Source'!V63&gt;=3,"B",IF('Data Source'!V63&gt;=2,"C",IF('Data Source'!V63&gt;=1,"D","F")))))),"")</f>
        <v/>
      </c>
      <c r="E63" s="3">
        <f>IF(AND('Data Source'!B63&lt;&gt;"",'Data Source'!S63="A+"),IF('Data Source'!W63&gt;=5,"A+",IF('Data Source'!W63&gt;=4,"A",IF('Data Source'!W63&gt;=3.5,"A-",IF('Data Source'!W63&gt;=3,"B",IF('Data Source'!W63&gt;=2,"C",IF('Data Source'!W63&gt;=1,"D","F")))))),"")</f>
        <v/>
      </c>
      <c r="F63" s="3">
        <f>IF(AND('Data Source'!B63&lt;&gt;"",'Data Source'!S63="A+"),IF('Data Source'!X63&gt;=5,"A+",IF('Data Source'!X63&gt;=4,"A",IF('Data Source'!X63&gt;=3.5,"A-",IF('Data Source'!X63&gt;=3,"B",IF('Data Source'!X63&gt;=2,"C",IF('Data Source'!X63&gt;=1,"D","F")))))),"")</f>
        <v/>
      </c>
      <c r="G63" s="3">
        <f>IF(AND('Data Source'!B63&lt;&gt;"",'Data Source'!S63="A+"),IF('Data Source'!Y63&gt;=5,"A+",IF('Data Source'!Y63&gt;=4,"A",IF('Data Source'!Y63&gt;=3.5,"A-",IF('Data Source'!Y63&gt;=3,"B",IF('Data Source'!Y63&gt;=2,"C",IF('Data Source'!Y63&gt;=1,"D","F")))))),"")</f>
        <v/>
      </c>
      <c r="H63" s="3">
        <f>IF(AND('Data Source'!B63&lt;&gt;"",'Data Source'!S63="A+"),IF('Data Source'!Z63&gt;=5,"A+",IF('Data Source'!Z63&gt;=4,"A",IF('Data Source'!Z63&gt;=3.5,"A-",IF('Data Source'!Z63&gt;=3,"B",IF('Data Source'!Z63&gt;=2,"C",IF('Data Source'!Z63&gt;=1,"D","F")))))),"")</f>
        <v/>
      </c>
      <c r="I63" s="3">
        <f>IF(AND('Data Source'!B63&lt;&gt;"",'Data Source'!S63="A+"),IF('Data Source'!AA63&gt;=5,"A+",IF('Data Source'!AA63&gt;=4,"A",IF('Data Source'!AA63&gt;=3.5,"A-",IF('Data Source'!AA63&gt;=3,"B",IF('Data Source'!AA63&gt;=2,"C",IF('Data Source'!AA63&gt;=1,"D","F")))))),"")</f>
        <v/>
      </c>
      <c r="J63" s="3">
        <f>IF(AND('Data Source'!B63&lt;&gt;"",'Data Source'!S63="A+"),IF('Data Source'!AB63&gt;=5,"A+",IF('Data Source'!AB63&gt;=4,"A",IF('Data Source'!AB63&gt;=3.5,"A-",IF('Data Source'!AB63&gt;=3,"B",IF('Data Source'!AB63&gt;=2,"C",IF('Data Source'!AB63&gt;=1,"D","F")))))),"")</f>
        <v/>
      </c>
      <c r="K63" s="3">
        <f>IF(AND('Data Source'!B63&lt;&gt;"",'Data Source'!S63="A+"),IF('Data Source'!AC63&gt;=5,"A+",IF('Data Source'!AC63&gt;=4,"A",IF('Data Source'!AC63&gt;=3.5,"A-",IF('Data Source'!AC63&gt;=3,"B",IF('Data Source'!AC63&gt;=2,"C",IF('Data Source'!AC63&gt;=1,"D","F")))))),"")</f>
        <v/>
      </c>
      <c r="L63" s="3">
        <f>IF(AND('Data Source'!B63&lt;&gt;"",'Data Source'!S63="A+"),IF('Data Source'!AD63&gt;=5,"A+",IF('Data Source'!AD63&gt;=4,"A",IF('Data Source'!AD63&gt;=3.5,"A-",IF('Data Source'!AD63&gt;=3,"B",IF('Data Source'!AD63&gt;=2,"C",IF('Data Source'!AD63&gt;=1,"D","F")))))),"")</f>
        <v/>
      </c>
      <c r="M63" s="3">
        <f>IF(AND('Data Source'!B63&lt;&gt;"",'Data Source'!S63="A+"),IF('Data Source'!AE63&gt;=5,"A+",IF('Data Source'!AE63&gt;=4,"A",IF('Data Source'!AE63&gt;=3.5,"A-",IF('Data Source'!AE63&gt;=3,"B",IF('Data Source'!AE63&gt;=2,"C",IF('Data Source'!AE63&gt;=1,"D","F")))))),"")</f>
        <v/>
      </c>
      <c r="N63" s="3">
        <f>IF(AND('Data Source'!B63&lt;&gt;"",'Data Source'!S63="A+"),IF('Data Source'!AF63&gt;=5,"A+",IF('Data Source'!AF63&gt;=4,"A",IF('Data Source'!AF63&gt;=3.5,"A-",IF('Data Source'!AF63&gt;=3,"B",IF('Data Source'!AF63&gt;=2,"C",IF('Data Source'!AF63&gt;=1,"D","F")))))),"")</f>
        <v/>
      </c>
      <c r="O63" s="3">
        <f>IF(AND('Data Source'!B63&lt;&gt;"",'Data Source'!S63="A+"),IF('Data Source'!AG63&gt;=5,"A+",IF('Data Source'!AG63&gt;=4,"A",IF('Data Source'!AG63&gt;=3.5,"A-",IF('Data Source'!AG63&gt;=3,"B",IF('Data Source'!AG63&gt;=2,"C",IF('Data Source'!AG63&gt;=1,"D","F")))))),"")</f>
        <v/>
      </c>
      <c r="P63" s="5">
        <f>IF(AND('Data Source'!B63&lt;&gt;"",'Data Source'!S63="A+"),'Data Source'!R63,"")</f>
        <v/>
      </c>
      <c r="Q63" s="3">
        <f>IF(AND('Data Source'!B63&lt;&gt;"",'Data Source'!S63="A+"),'Data Source'!S63,"")</f>
        <v/>
      </c>
    </row>
    <row r="64">
      <c r="A64" s="3">
        <f>IF(AND('Data Source'!B64&lt;&gt;"",'Data Source'!S64="A+"),COUNTIF('Data Source'!$S$3:S64,"A+"),"")</f>
        <v/>
      </c>
      <c r="B64">
        <f>IF(AND('Data Source'!B64&lt;&gt;"",'Data Source'!S64="A+"),'Data Source'!B64,"")</f>
        <v/>
      </c>
      <c r="C64" s="3">
        <f>IF(AND('Data Source'!B64&lt;&gt;"",'Data Source'!S64="A+"),IF('Data Source'!U64&gt;=5,"A+",IF('Data Source'!U64&gt;=4,"A",IF('Data Source'!U64&gt;=3.5,"A-",IF('Data Source'!U64&gt;=3,"B",IF('Data Source'!U64&gt;=2,"C",IF('Data Source'!U64&gt;=1,"D","F")))))),"")</f>
        <v/>
      </c>
      <c r="D64" s="3">
        <f>IF(AND('Data Source'!B64&lt;&gt;"",'Data Source'!S64="A+"),IF('Data Source'!V64&gt;=5,"A+",IF('Data Source'!V64&gt;=4,"A",IF('Data Source'!V64&gt;=3.5,"A-",IF('Data Source'!V64&gt;=3,"B",IF('Data Source'!V64&gt;=2,"C",IF('Data Source'!V64&gt;=1,"D","F")))))),"")</f>
        <v/>
      </c>
      <c r="E64" s="3">
        <f>IF(AND('Data Source'!B64&lt;&gt;"",'Data Source'!S64="A+"),IF('Data Source'!W64&gt;=5,"A+",IF('Data Source'!W64&gt;=4,"A",IF('Data Source'!W64&gt;=3.5,"A-",IF('Data Source'!W64&gt;=3,"B",IF('Data Source'!W64&gt;=2,"C",IF('Data Source'!W64&gt;=1,"D","F")))))),"")</f>
        <v/>
      </c>
      <c r="F64" s="3">
        <f>IF(AND('Data Source'!B64&lt;&gt;"",'Data Source'!S64="A+"),IF('Data Source'!X64&gt;=5,"A+",IF('Data Source'!X64&gt;=4,"A",IF('Data Source'!X64&gt;=3.5,"A-",IF('Data Source'!X64&gt;=3,"B",IF('Data Source'!X64&gt;=2,"C",IF('Data Source'!X64&gt;=1,"D","F")))))),"")</f>
        <v/>
      </c>
      <c r="G64" s="3">
        <f>IF(AND('Data Source'!B64&lt;&gt;"",'Data Source'!S64="A+"),IF('Data Source'!Y64&gt;=5,"A+",IF('Data Source'!Y64&gt;=4,"A",IF('Data Source'!Y64&gt;=3.5,"A-",IF('Data Source'!Y64&gt;=3,"B",IF('Data Source'!Y64&gt;=2,"C",IF('Data Source'!Y64&gt;=1,"D","F")))))),"")</f>
        <v/>
      </c>
      <c r="H64" s="3">
        <f>IF(AND('Data Source'!B64&lt;&gt;"",'Data Source'!S64="A+"),IF('Data Source'!Z64&gt;=5,"A+",IF('Data Source'!Z64&gt;=4,"A",IF('Data Source'!Z64&gt;=3.5,"A-",IF('Data Source'!Z64&gt;=3,"B",IF('Data Source'!Z64&gt;=2,"C",IF('Data Source'!Z64&gt;=1,"D","F")))))),"")</f>
        <v/>
      </c>
      <c r="I64" s="3">
        <f>IF(AND('Data Source'!B64&lt;&gt;"",'Data Source'!S64="A+"),IF('Data Source'!AA64&gt;=5,"A+",IF('Data Source'!AA64&gt;=4,"A",IF('Data Source'!AA64&gt;=3.5,"A-",IF('Data Source'!AA64&gt;=3,"B",IF('Data Source'!AA64&gt;=2,"C",IF('Data Source'!AA64&gt;=1,"D","F")))))),"")</f>
        <v/>
      </c>
      <c r="J64" s="3">
        <f>IF(AND('Data Source'!B64&lt;&gt;"",'Data Source'!S64="A+"),IF('Data Source'!AB64&gt;=5,"A+",IF('Data Source'!AB64&gt;=4,"A",IF('Data Source'!AB64&gt;=3.5,"A-",IF('Data Source'!AB64&gt;=3,"B",IF('Data Source'!AB64&gt;=2,"C",IF('Data Source'!AB64&gt;=1,"D","F")))))),"")</f>
        <v/>
      </c>
      <c r="K64" s="3">
        <f>IF(AND('Data Source'!B64&lt;&gt;"",'Data Source'!S64="A+"),IF('Data Source'!AC64&gt;=5,"A+",IF('Data Source'!AC64&gt;=4,"A",IF('Data Source'!AC64&gt;=3.5,"A-",IF('Data Source'!AC64&gt;=3,"B",IF('Data Source'!AC64&gt;=2,"C",IF('Data Source'!AC64&gt;=1,"D","F")))))),"")</f>
        <v/>
      </c>
      <c r="L64" s="3">
        <f>IF(AND('Data Source'!B64&lt;&gt;"",'Data Source'!S64="A+"),IF('Data Source'!AD64&gt;=5,"A+",IF('Data Source'!AD64&gt;=4,"A",IF('Data Source'!AD64&gt;=3.5,"A-",IF('Data Source'!AD64&gt;=3,"B",IF('Data Source'!AD64&gt;=2,"C",IF('Data Source'!AD64&gt;=1,"D","F")))))),"")</f>
        <v/>
      </c>
      <c r="M64" s="3">
        <f>IF(AND('Data Source'!B64&lt;&gt;"",'Data Source'!S64="A+"),IF('Data Source'!AE64&gt;=5,"A+",IF('Data Source'!AE64&gt;=4,"A",IF('Data Source'!AE64&gt;=3.5,"A-",IF('Data Source'!AE64&gt;=3,"B",IF('Data Source'!AE64&gt;=2,"C",IF('Data Source'!AE64&gt;=1,"D","F")))))),"")</f>
        <v/>
      </c>
      <c r="N64" s="3">
        <f>IF(AND('Data Source'!B64&lt;&gt;"",'Data Source'!S64="A+"),IF('Data Source'!AF64&gt;=5,"A+",IF('Data Source'!AF64&gt;=4,"A",IF('Data Source'!AF64&gt;=3.5,"A-",IF('Data Source'!AF64&gt;=3,"B",IF('Data Source'!AF64&gt;=2,"C",IF('Data Source'!AF64&gt;=1,"D","F")))))),"")</f>
        <v/>
      </c>
      <c r="O64" s="3">
        <f>IF(AND('Data Source'!B64&lt;&gt;"",'Data Source'!S64="A+"),IF('Data Source'!AG64&gt;=5,"A+",IF('Data Source'!AG64&gt;=4,"A",IF('Data Source'!AG64&gt;=3.5,"A-",IF('Data Source'!AG64&gt;=3,"B",IF('Data Source'!AG64&gt;=2,"C",IF('Data Source'!AG64&gt;=1,"D","F")))))),"")</f>
        <v/>
      </c>
      <c r="P64" s="5">
        <f>IF(AND('Data Source'!B64&lt;&gt;"",'Data Source'!S64="A+"),'Data Source'!R64,"")</f>
        <v/>
      </c>
      <c r="Q64" s="3">
        <f>IF(AND('Data Source'!B64&lt;&gt;"",'Data Source'!S64="A+"),'Data Source'!S64,"")</f>
        <v/>
      </c>
    </row>
    <row r="65">
      <c r="A65" s="3">
        <f>IF(AND('Data Source'!B65&lt;&gt;"",'Data Source'!S65="A+"),COUNTIF('Data Source'!$S$3:S65,"A+"),"")</f>
        <v/>
      </c>
      <c r="B65">
        <f>IF(AND('Data Source'!B65&lt;&gt;"",'Data Source'!S65="A+"),'Data Source'!B65,"")</f>
        <v/>
      </c>
      <c r="C65" s="3">
        <f>IF(AND('Data Source'!B65&lt;&gt;"",'Data Source'!S65="A+"),IF('Data Source'!U65&gt;=5,"A+",IF('Data Source'!U65&gt;=4,"A",IF('Data Source'!U65&gt;=3.5,"A-",IF('Data Source'!U65&gt;=3,"B",IF('Data Source'!U65&gt;=2,"C",IF('Data Source'!U65&gt;=1,"D","F")))))),"")</f>
        <v/>
      </c>
      <c r="D65" s="3">
        <f>IF(AND('Data Source'!B65&lt;&gt;"",'Data Source'!S65="A+"),IF('Data Source'!V65&gt;=5,"A+",IF('Data Source'!V65&gt;=4,"A",IF('Data Source'!V65&gt;=3.5,"A-",IF('Data Source'!V65&gt;=3,"B",IF('Data Source'!V65&gt;=2,"C",IF('Data Source'!V65&gt;=1,"D","F")))))),"")</f>
        <v/>
      </c>
      <c r="E65" s="3">
        <f>IF(AND('Data Source'!B65&lt;&gt;"",'Data Source'!S65="A+"),IF('Data Source'!W65&gt;=5,"A+",IF('Data Source'!W65&gt;=4,"A",IF('Data Source'!W65&gt;=3.5,"A-",IF('Data Source'!W65&gt;=3,"B",IF('Data Source'!W65&gt;=2,"C",IF('Data Source'!W65&gt;=1,"D","F")))))),"")</f>
        <v/>
      </c>
      <c r="F65" s="3">
        <f>IF(AND('Data Source'!B65&lt;&gt;"",'Data Source'!S65="A+"),IF('Data Source'!X65&gt;=5,"A+",IF('Data Source'!X65&gt;=4,"A",IF('Data Source'!X65&gt;=3.5,"A-",IF('Data Source'!X65&gt;=3,"B",IF('Data Source'!X65&gt;=2,"C",IF('Data Source'!X65&gt;=1,"D","F")))))),"")</f>
        <v/>
      </c>
      <c r="G65" s="3">
        <f>IF(AND('Data Source'!B65&lt;&gt;"",'Data Source'!S65="A+"),IF('Data Source'!Y65&gt;=5,"A+",IF('Data Source'!Y65&gt;=4,"A",IF('Data Source'!Y65&gt;=3.5,"A-",IF('Data Source'!Y65&gt;=3,"B",IF('Data Source'!Y65&gt;=2,"C",IF('Data Source'!Y65&gt;=1,"D","F")))))),"")</f>
        <v/>
      </c>
      <c r="H65" s="3">
        <f>IF(AND('Data Source'!B65&lt;&gt;"",'Data Source'!S65="A+"),IF('Data Source'!Z65&gt;=5,"A+",IF('Data Source'!Z65&gt;=4,"A",IF('Data Source'!Z65&gt;=3.5,"A-",IF('Data Source'!Z65&gt;=3,"B",IF('Data Source'!Z65&gt;=2,"C",IF('Data Source'!Z65&gt;=1,"D","F")))))),"")</f>
        <v/>
      </c>
      <c r="I65" s="3">
        <f>IF(AND('Data Source'!B65&lt;&gt;"",'Data Source'!S65="A+"),IF('Data Source'!AA65&gt;=5,"A+",IF('Data Source'!AA65&gt;=4,"A",IF('Data Source'!AA65&gt;=3.5,"A-",IF('Data Source'!AA65&gt;=3,"B",IF('Data Source'!AA65&gt;=2,"C",IF('Data Source'!AA65&gt;=1,"D","F")))))),"")</f>
        <v/>
      </c>
      <c r="J65" s="3">
        <f>IF(AND('Data Source'!B65&lt;&gt;"",'Data Source'!S65="A+"),IF('Data Source'!AB65&gt;=5,"A+",IF('Data Source'!AB65&gt;=4,"A",IF('Data Source'!AB65&gt;=3.5,"A-",IF('Data Source'!AB65&gt;=3,"B",IF('Data Source'!AB65&gt;=2,"C",IF('Data Source'!AB65&gt;=1,"D","F")))))),"")</f>
        <v/>
      </c>
      <c r="K65" s="3">
        <f>IF(AND('Data Source'!B65&lt;&gt;"",'Data Source'!S65="A+"),IF('Data Source'!AC65&gt;=5,"A+",IF('Data Source'!AC65&gt;=4,"A",IF('Data Source'!AC65&gt;=3.5,"A-",IF('Data Source'!AC65&gt;=3,"B",IF('Data Source'!AC65&gt;=2,"C",IF('Data Source'!AC65&gt;=1,"D","F")))))),"")</f>
        <v/>
      </c>
      <c r="L65" s="3">
        <f>IF(AND('Data Source'!B65&lt;&gt;"",'Data Source'!S65="A+"),IF('Data Source'!AD65&gt;=5,"A+",IF('Data Source'!AD65&gt;=4,"A",IF('Data Source'!AD65&gt;=3.5,"A-",IF('Data Source'!AD65&gt;=3,"B",IF('Data Source'!AD65&gt;=2,"C",IF('Data Source'!AD65&gt;=1,"D","F")))))),"")</f>
        <v/>
      </c>
      <c r="M65" s="3">
        <f>IF(AND('Data Source'!B65&lt;&gt;"",'Data Source'!S65="A+"),IF('Data Source'!AE65&gt;=5,"A+",IF('Data Source'!AE65&gt;=4,"A",IF('Data Source'!AE65&gt;=3.5,"A-",IF('Data Source'!AE65&gt;=3,"B",IF('Data Source'!AE65&gt;=2,"C",IF('Data Source'!AE65&gt;=1,"D","F")))))),"")</f>
        <v/>
      </c>
      <c r="N65" s="3">
        <f>IF(AND('Data Source'!B65&lt;&gt;"",'Data Source'!S65="A+"),IF('Data Source'!AF65&gt;=5,"A+",IF('Data Source'!AF65&gt;=4,"A",IF('Data Source'!AF65&gt;=3.5,"A-",IF('Data Source'!AF65&gt;=3,"B",IF('Data Source'!AF65&gt;=2,"C",IF('Data Source'!AF65&gt;=1,"D","F")))))),"")</f>
        <v/>
      </c>
      <c r="O65" s="3">
        <f>IF(AND('Data Source'!B65&lt;&gt;"",'Data Source'!S65="A+"),IF('Data Source'!AG65&gt;=5,"A+",IF('Data Source'!AG65&gt;=4,"A",IF('Data Source'!AG65&gt;=3.5,"A-",IF('Data Source'!AG65&gt;=3,"B",IF('Data Source'!AG65&gt;=2,"C",IF('Data Source'!AG65&gt;=1,"D","F")))))),"")</f>
        <v/>
      </c>
      <c r="P65" s="5">
        <f>IF(AND('Data Source'!B65&lt;&gt;"",'Data Source'!S65="A+"),'Data Source'!R65,"")</f>
        <v/>
      </c>
      <c r="Q65" s="3">
        <f>IF(AND('Data Source'!B65&lt;&gt;"",'Data Source'!S65="A+"),'Data Source'!S65,"")</f>
        <v/>
      </c>
    </row>
    <row r="66">
      <c r="A66" s="3">
        <f>IF(AND('Data Source'!B66&lt;&gt;"",'Data Source'!S66="A+"),COUNTIF('Data Source'!$S$3:S66,"A+"),"")</f>
        <v/>
      </c>
      <c r="B66">
        <f>IF(AND('Data Source'!B66&lt;&gt;"",'Data Source'!S66="A+"),'Data Source'!B66,"")</f>
        <v/>
      </c>
      <c r="C66" s="3">
        <f>IF(AND('Data Source'!B66&lt;&gt;"",'Data Source'!S66="A+"),IF('Data Source'!U66&gt;=5,"A+",IF('Data Source'!U66&gt;=4,"A",IF('Data Source'!U66&gt;=3.5,"A-",IF('Data Source'!U66&gt;=3,"B",IF('Data Source'!U66&gt;=2,"C",IF('Data Source'!U66&gt;=1,"D","F")))))),"")</f>
        <v/>
      </c>
      <c r="D66" s="3">
        <f>IF(AND('Data Source'!B66&lt;&gt;"",'Data Source'!S66="A+"),IF('Data Source'!V66&gt;=5,"A+",IF('Data Source'!V66&gt;=4,"A",IF('Data Source'!V66&gt;=3.5,"A-",IF('Data Source'!V66&gt;=3,"B",IF('Data Source'!V66&gt;=2,"C",IF('Data Source'!V66&gt;=1,"D","F")))))),"")</f>
        <v/>
      </c>
      <c r="E66" s="3">
        <f>IF(AND('Data Source'!B66&lt;&gt;"",'Data Source'!S66="A+"),IF('Data Source'!W66&gt;=5,"A+",IF('Data Source'!W66&gt;=4,"A",IF('Data Source'!W66&gt;=3.5,"A-",IF('Data Source'!W66&gt;=3,"B",IF('Data Source'!W66&gt;=2,"C",IF('Data Source'!W66&gt;=1,"D","F")))))),"")</f>
        <v/>
      </c>
      <c r="F66" s="3">
        <f>IF(AND('Data Source'!B66&lt;&gt;"",'Data Source'!S66="A+"),IF('Data Source'!X66&gt;=5,"A+",IF('Data Source'!X66&gt;=4,"A",IF('Data Source'!X66&gt;=3.5,"A-",IF('Data Source'!X66&gt;=3,"B",IF('Data Source'!X66&gt;=2,"C",IF('Data Source'!X66&gt;=1,"D","F")))))),"")</f>
        <v/>
      </c>
      <c r="G66" s="3">
        <f>IF(AND('Data Source'!B66&lt;&gt;"",'Data Source'!S66="A+"),IF('Data Source'!Y66&gt;=5,"A+",IF('Data Source'!Y66&gt;=4,"A",IF('Data Source'!Y66&gt;=3.5,"A-",IF('Data Source'!Y66&gt;=3,"B",IF('Data Source'!Y66&gt;=2,"C",IF('Data Source'!Y66&gt;=1,"D","F")))))),"")</f>
        <v/>
      </c>
      <c r="H66" s="3">
        <f>IF(AND('Data Source'!B66&lt;&gt;"",'Data Source'!S66="A+"),IF('Data Source'!Z66&gt;=5,"A+",IF('Data Source'!Z66&gt;=4,"A",IF('Data Source'!Z66&gt;=3.5,"A-",IF('Data Source'!Z66&gt;=3,"B",IF('Data Source'!Z66&gt;=2,"C",IF('Data Source'!Z66&gt;=1,"D","F")))))),"")</f>
        <v/>
      </c>
      <c r="I66" s="3">
        <f>IF(AND('Data Source'!B66&lt;&gt;"",'Data Source'!S66="A+"),IF('Data Source'!AA66&gt;=5,"A+",IF('Data Source'!AA66&gt;=4,"A",IF('Data Source'!AA66&gt;=3.5,"A-",IF('Data Source'!AA66&gt;=3,"B",IF('Data Source'!AA66&gt;=2,"C",IF('Data Source'!AA66&gt;=1,"D","F")))))),"")</f>
        <v/>
      </c>
      <c r="J66" s="3">
        <f>IF(AND('Data Source'!B66&lt;&gt;"",'Data Source'!S66="A+"),IF('Data Source'!AB66&gt;=5,"A+",IF('Data Source'!AB66&gt;=4,"A",IF('Data Source'!AB66&gt;=3.5,"A-",IF('Data Source'!AB66&gt;=3,"B",IF('Data Source'!AB66&gt;=2,"C",IF('Data Source'!AB66&gt;=1,"D","F")))))),"")</f>
        <v/>
      </c>
      <c r="K66" s="3">
        <f>IF(AND('Data Source'!B66&lt;&gt;"",'Data Source'!S66="A+"),IF('Data Source'!AC66&gt;=5,"A+",IF('Data Source'!AC66&gt;=4,"A",IF('Data Source'!AC66&gt;=3.5,"A-",IF('Data Source'!AC66&gt;=3,"B",IF('Data Source'!AC66&gt;=2,"C",IF('Data Source'!AC66&gt;=1,"D","F")))))),"")</f>
        <v/>
      </c>
      <c r="L66" s="3">
        <f>IF(AND('Data Source'!B66&lt;&gt;"",'Data Source'!S66="A+"),IF('Data Source'!AD66&gt;=5,"A+",IF('Data Source'!AD66&gt;=4,"A",IF('Data Source'!AD66&gt;=3.5,"A-",IF('Data Source'!AD66&gt;=3,"B",IF('Data Source'!AD66&gt;=2,"C",IF('Data Source'!AD66&gt;=1,"D","F")))))),"")</f>
        <v/>
      </c>
      <c r="M66" s="3">
        <f>IF(AND('Data Source'!B66&lt;&gt;"",'Data Source'!S66="A+"),IF('Data Source'!AE66&gt;=5,"A+",IF('Data Source'!AE66&gt;=4,"A",IF('Data Source'!AE66&gt;=3.5,"A-",IF('Data Source'!AE66&gt;=3,"B",IF('Data Source'!AE66&gt;=2,"C",IF('Data Source'!AE66&gt;=1,"D","F")))))),"")</f>
        <v/>
      </c>
      <c r="N66" s="3">
        <f>IF(AND('Data Source'!B66&lt;&gt;"",'Data Source'!S66="A+"),IF('Data Source'!AF66&gt;=5,"A+",IF('Data Source'!AF66&gt;=4,"A",IF('Data Source'!AF66&gt;=3.5,"A-",IF('Data Source'!AF66&gt;=3,"B",IF('Data Source'!AF66&gt;=2,"C",IF('Data Source'!AF66&gt;=1,"D","F")))))),"")</f>
        <v/>
      </c>
      <c r="O66" s="3">
        <f>IF(AND('Data Source'!B66&lt;&gt;"",'Data Source'!S66="A+"),IF('Data Source'!AG66&gt;=5,"A+",IF('Data Source'!AG66&gt;=4,"A",IF('Data Source'!AG66&gt;=3.5,"A-",IF('Data Source'!AG66&gt;=3,"B",IF('Data Source'!AG66&gt;=2,"C",IF('Data Source'!AG66&gt;=1,"D","F")))))),"")</f>
        <v/>
      </c>
      <c r="P66" s="5">
        <f>IF(AND('Data Source'!B66&lt;&gt;"",'Data Source'!S66="A+"),'Data Source'!R66,"")</f>
        <v/>
      </c>
      <c r="Q66" s="3">
        <f>IF(AND('Data Source'!B66&lt;&gt;"",'Data Source'!S66="A+"),'Data Source'!S66,"")</f>
        <v/>
      </c>
    </row>
    <row r="67">
      <c r="A67" s="3">
        <f>IF(AND('Data Source'!B67&lt;&gt;"",'Data Source'!S67="A+"),COUNTIF('Data Source'!$S$3:S67,"A+"),"")</f>
        <v/>
      </c>
      <c r="B67">
        <f>IF(AND('Data Source'!B67&lt;&gt;"",'Data Source'!S67="A+"),'Data Source'!B67,"")</f>
        <v/>
      </c>
      <c r="C67" s="3">
        <f>IF(AND('Data Source'!B67&lt;&gt;"",'Data Source'!S67="A+"),IF('Data Source'!U67&gt;=5,"A+",IF('Data Source'!U67&gt;=4,"A",IF('Data Source'!U67&gt;=3.5,"A-",IF('Data Source'!U67&gt;=3,"B",IF('Data Source'!U67&gt;=2,"C",IF('Data Source'!U67&gt;=1,"D","F")))))),"")</f>
        <v/>
      </c>
      <c r="D67" s="3">
        <f>IF(AND('Data Source'!B67&lt;&gt;"",'Data Source'!S67="A+"),IF('Data Source'!V67&gt;=5,"A+",IF('Data Source'!V67&gt;=4,"A",IF('Data Source'!V67&gt;=3.5,"A-",IF('Data Source'!V67&gt;=3,"B",IF('Data Source'!V67&gt;=2,"C",IF('Data Source'!V67&gt;=1,"D","F")))))),"")</f>
        <v/>
      </c>
      <c r="E67" s="3">
        <f>IF(AND('Data Source'!B67&lt;&gt;"",'Data Source'!S67="A+"),IF('Data Source'!W67&gt;=5,"A+",IF('Data Source'!W67&gt;=4,"A",IF('Data Source'!W67&gt;=3.5,"A-",IF('Data Source'!W67&gt;=3,"B",IF('Data Source'!W67&gt;=2,"C",IF('Data Source'!W67&gt;=1,"D","F")))))),"")</f>
        <v/>
      </c>
      <c r="F67" s="3">
        <f>IF(AND('Data Source'!B67&lt;&gt;"",'Data Source'!S67="A+"),IF('Data Source'!X67&gt;=5,"A+",IF('Data Source'!X67&gt;=4,"A",IF('Data Source'!X67&gt;=3.5,"A-",IF('Data Source'!X67&gt;=3,"B",IF('Data Source'!X67&gt;=2,"C",IF('Data Source'!X67&gt;=1,"D","F")))))),"")</f>
        <v/>
      </c>
      <c r="G67" s="3">
        <f>IF(AND('Data Source'!B67&lt;&gt;"",'Data Source'!S67="A+"),IF('Data Source'!Y67&gt;=5,"A+",IF('Data Source'!Y67&gt;=4,"A",IF('Data Source'!Y67&gt;=3.5,"A-",IF('Data Source'!Y67&gt;=3,"B",IF('Data Source'!Y67&gt;=2,"C",IF('Data Source'!Y67&gt;=1,"D","F")))))),"")</f>
        <v/>
      </c>
      <c r="H67" s="3">
        <f>IF(AND('Data Source'!B67&lt;&gt;"",'Data Source'!S67="A+"),IF('Data Source'!Z67&gt;=5,"A+",IF('Data Source'!Z67&gt;=4,"A",IF('Data Source'!Z67&gt;=3.5,"A-",IF('Data Source'!Z67&gt;=3,"B",IF('Data Source'!Z67&gt;=2,"C",IF('Data Source'!Z67&gt;=1,"D","F")))))),"")</f>
        <v/>
      </c>
      <c r="I67" s="3">
        <f>IF(AND('Data Source'!B67&lt;&gt;"",'Data Source'!S67="A+"),IF('Data Source'!AA67&gt;=5,"A+",IF('Data Source'!AA67&gt;=4,"A",IF('Data Source'!AA67&gt;=3.5,"A-",IF('Data Source'!AA67&gt;=3,"B",IF('Data Source'!AA67&gt;=2,"C",IF('Data Source'!AA67&gt;=1,"D","F")))))),"")</f>
        <v/>
      </c>
      <c r="J67" s="3">
        <f>IF(AND('Data Source'!B67&lt;&gt;"",'Data Source'!S67="A+"),IF('Data Source'!AB67&gt;=5,"A+",IF('Data Source'!AB67&gt;=4,"A",IF('Data Source'!AB67&gt;=3.5,"A-",IF('Data Source'!AB67&gt;=3,"B",IF('Data Source'!AB67&gt;=2,"C",IF('Data Source'!AB67&gt;=1,"D","F")))))),"")</f>
        <v/>
      </c>
      <c r="K67" s="3">
        <f>IF(AND('Data Source'!B67&lt;&gt;"",'Data Source'!S67="A+"),IF('Data Source'!AC67&gt;=5,"A+",IF('Data Source'!AC67&gt;=4,"A",IF('Data Source'!AC67&gt;=3.5,"A-",IF('Data Source'!AC67&gt;=3,"B",IF('Data Source'!AC67&gt;=2,"C",IF('Data Source'!AC67&gt;=1,"D","F")))))),"")</f>
        <v/>
      </c>
      <c r="L67" s="3">
        <f>IF(AND('Data Source'!B67&lt;&gt;"",'Data Source'!S67="A+"),IF('Data Source'!AD67&gt;=5,"A+",IF('Data Source'!AD67&gt;=4,"A",IF('Data Source'!AD67&gt;=3.5,"A-",IF('Data Source'!AD67&gt;=3,"B",IF('Data Source'!AD67&gt;=2,"C",IF('Data Source'!AD67&gt;=1,"D","F")))))),"")</f>
        <v/>
      </c>
      <c r="M67" s="3">
        <f>IF(AND('Data Source'!B67&lt;&gt;"",'Data Source'!S67="A+"),IF('Data Source'!AE67&gt;=5,"A+",IF('Data Source'!AE67&gt;=4,"A",IF('Data Source'!AE67&gt;=3.5,"A-",IF('Data Source'!AE67&gt;=3,"B",IF('Data Source'!AE67&gt;=2,"C",IF('Data Source'!AE67&gt;=1,"D","F")))))),"")</f>
        <v/>
      </c>
      <c r="N67" s="3">
        <f>IF(AND('Data Source'!B67&lt;&gt;"",'Data Source'!S67="A+"),IF('Data Source'!AF67&gt;=5,"A+",IF('Data Source'!AF67&gt;=4,"A",IF('Data Source'!AF67&gt;=3.5,"A-",IF('Data Source'!AF67&gt;=3,"B",IF('Data Source'!AF67&gt;=2,"C",IF('Data Source'!AF67&gt;=1,"D","F")))))),"")</f>
        <v/>
      </c>
      <c r="O67" s="3">
        <f>IF(AND('Data Source'!B67&lt;&gt;"",'Data Source'!S67="A+"),IF('Data Source'!AG67&gt;=5,"A+",IF('Data Source'!AG67&gt;=4,"A",IF('Data Source'!AG67&gt;=3.5,"A-",IF('Data Source'!AG67&gt;=3,"B",IF('Data Source'!AG67&gt;=2,"C",IF('Data Source'!AG67&gt;=1,"D","F")))))),"")</f>
        <v/>
      </c>
      <c r="P67" s="5">
        <f>IF(AND('Data Source'!B67&lt;&gt;"",'Data Source'!S67="A+"),'Data Source'!R67,"")</f>
        <v/>
      </c>
      <c r="Q67" s="3">
        <f>IF(AND('Data Source'!B67&lt;&gt;"",'Data Source'!S67="A+"),'Data Source'!S67,"")</f>
        <v/>
      </c>
    </row>
    <row r="68">
      <c r="A68" s="3">
        <f>IF(AND('Data Source'!B68&lt;&gt;"",'Data Source'!S68="A+"),COUNTIF('Data Source'!$S$3:S68,"A+"),"")</f>
        <v/>
      </c>
      <c r="B68">
        <f>IF(AND('Data Source'!B68&lt;&gt;"",'Data Source'!S68="A+"),'Data Source'!B68,"")</f>
        <v/>
      </c>
      <c r="C68" s="3">
        <f>IF(AND('Data Source'!B68&lt;&gt;"",'Data Source'!S68="A+"),IF('Data Source'!U68&gt;=5,"A+",IF('Data Source'!U68&gt;=4,"A",IF('Data Source'!U68&gt;=3.5,"A-",IF('Data Source'!U68&gt;=3,"B",IF('Data Source'!U68&gt;=2,"C",IF('Data Source'!U68&gt;=1,"D","F")))))),"")</f>
        <v/>
      </c>
      <c r="D68" s="3">
        <f>IF(AND('Data Source'!B68&lt;&gt;"",'Data Source'!S68="A+"),IF('Data Source'!V68&gt;=5,"A+",IF('Data Source'!V68&gt;=4,"A",IF('Data Source'!V68&gt;=3.5,"A-",IF('Data Source'!V68&gt;=3,"B",IF('Data Source'!V68&gt;=2,"C",IF('Data Source'!V68&gt;=1,"D","F")))))),"")</f>
        <v/>
      </c>
      <c r="E68" s="3">
        <f>IF(AND('Data Source'!B68&lt;&gt;"",'Data Source'!S68="A+"),IF('Data Source'!W68&gt;=5,"A+",IF('Data Source'!W68&gt;=4,"A",IF('Data Source'!W68&gt;=3.5,"A-",IF('Data Source'!W68&gt;=3,"B",IF('Data Source'!W68&gt;=2,"C",IF('Data Source'!W68&gt;=1,"D","F")))))),"")</f>
        <v/>
      </c>
      <c r="F68" s="3">
        <f>IF(AND('Data Source'!B68&lt;&gt;"",'Data Source'!S68="A+"),IF('Data Source'!X68&gt;=5,"A+",IF('Data Source'!X68&gt;=4,"A",IF('Data Source'!X68&gt;=3.5,"A-",IF('Data Source'!X68&gt;=3,"B",IF('Data Source'!X68&gt;=2,"C",IF('Data Source'!X68&gt;=1,"D","F")))))),"")</f>
        <v/>
      </c>
      <c r="G68" s="3">
        <f>IF(AND('Data Source'!B68&lt;&gt;"",'Data Source'!S68="A+"),IF('Data Source'!Y68&gt;=5,"A+",IF('Data Source'!Y68&gt;=4,"A",IF('Data Source'!Y68&gt;=3.5,"A-",IF('Data Source'!Y68&gt;=3,"B",IF('Data Source'!Y68&gt;=2,"C",IF('Data Source'!Y68&gt;=1,"D","F")))))),"")</f>
        <v/>
      </c>
      <c r="H68" s="3">
        <f>IF(AND('Data Source'!B68&lt;&gt;"",'Data Source'!S68="A+"),IF('Data Source'!Z68&gt;=5,"A+",IF('Data Source'!Z68&gt;=4,"A",IF('Data Source'!Z68&gt;=3.5,"A-",IF('Data Source'!Z68&gt;=3,"B",IF('Data Source'!Z68&gt;=2,"C",IF('Data Source'!Z68&gt;=1,"D","F")))))),"")</f>
        <v/>
      </c>
      <c r="I68" s="3">
        <f>IF(AND('Data Source'!B68&lt;&gt;"",'Data Source'!S68="A+"),IF('Data Source'!AA68&gt;=5,"A+",IF('Data Source'!AA68&gt;=4,"A",IF('Data Source'!AA68&gt;=3.5,"A-",IF('Data Source'!AA68&gt;=3,"B",IF('Data Source'!AA68&gt;=2,"C",IF('Data Source'!AA68&gt;=1,"D","F")))))),"")</f>
        <v/>
      </c>
      <c r="J68" s="3">
        <f>IF(AND('Data Source'!B68&lt;&gt;"",'Data Source'!S68="A+"),IF('Data Source'!AB68&gt;=5,"A+",IF('Data Source'!AB68&gt;=4,"A",IF('Data Source'!AB68&gt;=3.5,"A-",IF('Data Source'!AB68&gt;=3,"B",IF('Data Source'!AB68&gt;=2,"C",IF('Data Source'!AB68&gt;=1,"D","F")))))),"")</f>
        <v/>
      </c>
      <c r="K68" s="3">
        <f>IF(AND('Data Source'!B68&lt;&gt;"",'Data Source'!S68="A+"),IF('Data Source'!AC68&gt;=5,"A+",IF('Data Source'!AC68&gt;=4,"A",IF('Data Source'!AC68&gt;=3.5,"A-",IF('Data Source'!AC68&gt;=3,"B",IF('Data Source'!AC68&gt;=2,"C",IF('Data Source'!AC68&gt;=1,"D","F")))))),"")</f>
        <v/>
      </c>
      <c r="L68" s="3">
        <f>IF(AND('Data Source'!B68&lt;&gt;"",'Data Source'!S68="A+"),IF('Data Source'!AD68&gt;=5,"A+",IF('Data Source'!AD68&gt;=4,"A",IF('Data Source'!AD68&gt;=3.5,"A-",IF('Data Source'!AD68&gt;=3,"B",IF('Data Source'!AD68&gt;=2,"C",IF('Data Source'!AD68&gt;=1,"D","F")))))),"")</f>
        <v/>
      </c>
      <c r="M68" s="3">
        <f>IF(AND('Data Source'!B68&lt;&gt;"",'Data Source'!S68="A+"),IF('Data Source'!AE68&gt;=5,"A+",IF('Data Source'!AE68&gt;=4,"A",IF('Data Source'!AE68&gt;=3.5,"A-",IF('Data Source'!AE68&gt;=3,"B",IF('Data Source'!AE68&gt;=2,"C",IF('Data Source'!AE68&gt;=1,"D","F")))))),"")</f>
        <v/>
      </c>
      <c r="N68" s="3">
        <f>IF(AND('Data Source'!B68&lt;&gt;"",'Data Source'!S68="A+"),IF('Data Source'!AF68&gt;=5,"A+",IF('Data Source'!AF68&gt;=4,"A",IF('Data Source'!AF68&gt;=3.5,"A-",IF('Data Source'!AF68&gt;=3,"B",IF('Data Source'!AF68&gt;=2,"C",IF('Data Source'!AF68&gt;=1,"D","F")))))),"")</f>
        <v/>
      </c>
      <c r="O68" s="3">
        <f>IF(AND('Data Source'!B68&lt;&gt;"",'Data Source'!S68="A+"),IF('Data Source'!AG68&gt;=5,"A+",IF('Data Source'!AG68&gt;=4,"A",IF('Data Source'!AG68&gt;=3.5,"A-",IF('Data Source'!AG68&gt;=3,"B",IF('Data Source'!AG68&gt;=2,"C",IF('Data Source'!AG68&gt;=1,"D","F")))))),"")</f>
        <v/>
      </c>
      <c r="P68" s="5">
        <f>IF(AND('Data Source'!B68&lt;&gt;"",'Data Source'!S68="A+"),'Data Source'!R68,"")</f>
        <v/>
      </c>
      <c r="Q68" s="3">
        <f>IF(AND('Data Source'!B68&lt;&gt;"",'Data Source'!S68="A+"),'Data Source'!S68,"")</f>
        <v/>
      </c>
    </row>
    <row r="69">
      <c r="A69" s="3">
        <f>IF(AND('Data Source'!B69&lt;&gt;"",'Data Source'!S69="A+"),COUNTIF('Data Source'!$S$3:S69,"A+"),"")</f>
        <v/>
      </c>
      <c r="B69">
        <f>IF(AND('Data Source'!B69&lt;&gt;"",'Data Source'!S69="A+"),'Data Source'!B69,"")</f>
        <v/>
      </c>
      <c r="C69" s="3">
        <f>IF(AND('Data Source'!B69&lt;&gt;"",'Data Source'!S69="A+"),IF('Data Source'!U69&gt;=5,"A+",IF('Data Source'!U69&gt;=4,"A",IF('Data Source'!U69&gt;=3.5,"A-",IF('Data Source'!U69&gt;=3,"B",IF('Data Source'!U69&gt;=2,"C",IF('Data Source'!U69&gt;=1,"D","F")))))),"")</f>
        <v/>
      </c>
      <c r="D69" s="3">
        <f>IF(AND('Data Source'!B69&lt;&gt;"",'Data Source'!S69="A+"),IF('Data Source'!V69&gt;=5,"A+",IF('Data Source'!V69&gt;=4,"A",IF('Data Source'!V69&gt;=3.5,"A-",IF('Data Source'!V69&gt;=3,"B",IF('Data Source'!V69&gt;=2,"C",IF('Data Source'!V69&gt;=1,"D","F")))))),"")</f>
        <v/>
      </c>
      <c r="E69" s="3">
        <f>IF(AND('Data Source'!B69&lt;&gt;"",'Data Source'!S69="A+"),IF('Data Source'!W69&gt;=5,"A+",IF('Data Source'!W69&gt;=4,"A",IF('Data Source'!W69&gt;=3.5,"A-",IF('Data Source'!W69&gt;=3,"B",IF('Data Source'!W69&gt;=2,"C",IF('Data Source'!W69&gt;=1,"D","F")))))),"")</f>
        <v/>
      </c>
      <c r="F69" s="3">
        <f>IF(AND('Data Source'!B69&lt;&gt;"",'Data Source'!S69="A+"),IF('Data Source'!X69&gt;=5,"A+",IF('Data Source'!X69&gt;=4,"A",IF('Data Source'!X69&gt;=3.5,"A-",IF('Data Source'!X69&gt;=3,"B",IF('Data Source'!X69&gt;=2,"C",IF('Data Source'!X69&gt;=1,"D","F")))))),"")</f>
        <v/>
      </c>
      <c r="G69" s="3">
        <f>IF(AND('Data Source'!B69&lt;&gt;"",'Data Source'!S69="A+"),IF('Data Source'!Y69&gt;=5,"A+",IF('Data Source'!Y69&gt;=4,"A",IF('Data Source'!Y69&gt;=3.5,"A-",IF('Data Source'!Y69&gt;=3,"B",IF('Data Source'!Y69&gt;=2,"C",IF('Data Source'!Y69&gt;=1,"D","F")))))),"")</f>
        <v/>
      </c>
      <c r="H69" s="3">
        <f>IF(AND('Data Source'!B69&lt;&gt;"",'Data Source'!S69="A+"),IF('Data Source'!Z69&gt;=5,"A+",IF('Data Source'!Z69&gt;=4,"A",IF('Data Source'!Z69&gt;=3.5,"A-",IF('Data Source'!Z69&gt;=3,"B",IF('Data Source'!Z69&gt;=2,"C",IF('Data Source'!Z69&gt;=1,"D","F")))))),"")</f>
        <v/>
      </c>
      <c r="I69" s="3">
        <f>IF(AND('Data Source'!B69&lt;&gt;"",'Data Source'!S69="A+"),IF('Data Source'!AA69&gt;=5,"A+",IF('Data Source'!AA69&gt;=4,"A",IF('Data Source'!AA69&gt;=3.5,"A-",IF('Data Source'!AA69&gt;=3,"B",IF('Data Source'!AA69&gt;=2,"C",IF('Data Source'!AA69&gt;=1,"D","F")))))),"")</f>
        <v/>
      </c>
      <c r="J69" s="3">
        <f>IF(AND('Data Source'!B69&lt;&gt;"",'Data Source'!S69="A+"),IF('Data Source'!AB69&gt;=5,"A+",IF('Data Source'!AB69&gt;=4,"A",IF('Data Source'!AB69&gt;=3.5,"A-",IF('Data Source'!AB69&gt;=3,"B",IF('Data Source'!AB69&gt;=2,"C",IF('Data Source'!AB69&gt;=1,"D","F")))))),"")</f>
        <v/>
      </c>
      <c r="K69" s="3">
        <f>IF(AND('Data Source'!B69&lt;&gt;"",'Data Source'!S69="A+"),IF('Data Source'!AC69&gt;=5,"A+",IF('Data Source'!AC69&gt;=4,"A",IF('Data Source'!AC69&gt;=3.5,"A-",IF('Data Source'!AC69&gt;=3,"B",IF('Data Source'!AC69&gt;=2,"C",IF('Data Source'!AC69&gt;=1,"D","F")))))),"")</f>
        <v/>
      </c>
      <c r="L69" s="3">
        <f>IF(AND('Data Source'!B69&lt;&gt;"",'Data Source'!S69="A+"),IF('Data Source'!AD69&gt;=5,"A+",IF('Data Source'!AD69&gt;=4,"A",IF('Data Source'!AD69&gt;=3.5,"A-",IF('Data Source'!AD69&gt;=3,"B",IF('Data Source'!AD69&gt;=2,"C",IF('Data Source'!AD69&gt;=1,"D","F")))))),"")</f>
        <v/>
      </c>
      <c r="M69" s="3">
        <f>IF(AND('Data Source'!B69&lt;&gt;"",'Data Source'!S69="A+"),IF('Data Source'!AE69&gt;=5,"A+",IF('Data Source'!AE69&gt;=4,"A",IF('Data Source'!AE69&gt;=3.5,"A-",IF('Data Source'!AE69&gt;=3,"B",IF('Data Source'!AE69&gt;=2,"C",IF('Data Source'!AE69&gt;=1,"D","F")))))),"")</f>
        <v/>
      </c>
      <c r="N69" s="3">
        <f>IF(AND('Data Source'!B69&lt;&gt;"",'Data Source'!S69="A+"),IF('Data Source'!AF69&gt;=5,"A+",IF('Data Source'!AF69&gt;=4,"A",IF('Data Source'!AF69&gt;=3.5,"A-",IF('Data Source'!AF69&gt;=3,"B",IF('Data Source'!AF69&gt;=2,"C",IF('Data Source'!AF69&gt;=1,"D","F")))))),"")</f>
        <v/>
      </c>
      <c r="O69" s="3">
        <f>IF(AND('Data Source'!B69&lt;&gt;"",'Data Source'!S69="A+"),IF('Data Source'!AG69&gt;=5,"A+",IF('Data Source'!AG69&gt;=4,"A",IF('Data Source'!AG69&gt;=3.5,"A-",IF('Data Source'!AG69&gt;=3,"B",IF('Data Source'!AG69&gt;=2,"C",IF('Data Source'!AG69&gt;=1,"D","F")))))),"")</f>
        <v/>
      </c>
      <c r="P69" s="5">
        <f>IF(AND('Data Source'!B69&lt;&gt;"",'Data Source'!S69="A+"),'Data Source'!R69,"")</f>
        <v/>
      </c>
      <c r="Q69" s="3">
        <f>IF(AND('Data Source'!B69&lt;&gt;"",'Data Source'!S69="A+"),'Data Source'!S69,"")</f>
        <v/>
      </c>
    </row>
    <row r="70">
      <c r="A70" s="3">
        <f>IF(AND('Data Source'!B70&lt;&gt;"",'Data Source'!S70="A+"),COUNTIF('Data Source'!$S$3:S70,"A+"),"")</f>
        <v/>
      </c>
      <c r="B70">
        <f>IF(AND('Data Source'!B70&lt;&gt;"",'Data Source'!S70="A+"),'Data Source'!B70,"")</f>
        <v/>
      </c>
      <c r="C70" s="3">
        <f>IF(AND('Data Source'!B70&lt;&gt;"",'Data Source'!S70="A+"),IF('Data Source'!U70&gt;=5,"A+",IF('Data Source'!U70&gt;=4,"A",IF('Data Source'!U70&gt;=3.5,"A-",IF('Data Source'!U70&gt;=3,"B",IF('Data Source'!U70&gt;=2,"C",IF('Data Source'!U70&gt;=1,"D","F")))))),"")</f>
        <v/>
      </c>
      <c r="D70" s="3">
        <f>IF(AND('Data Source'!B70&lt;&gt;"",'Data Source'!S70="A+"),IF('Data Source'!V70&gt;=5,"A+",IF('Data Source'!V70&gt;=4,"A",IF('Data Source'!V70&gt;=3.5,"A-",IF('Data Source'!V70&gt;=3,"B",IF('Data Source'!V70&gt;=2,"C",IF('Data Source'!V70&gt;=1,"D","F")))))),"")</f>
        <v/>
      </c>
      <c r="E70" s="3">
        <f>IF(AND('Data Source'!B70&lt;&gt;"",'Data Source'!S70="A+"),IF('Data Source'!W70&gt;=5,"A+",IF('Data Source'!W70&gt;=4,"A",IF('Data Source'!W70&gt;=3.5,"A-",IF('Data Source'!W70&gt;=3,"B",IF('Data Source'!W70&gt;=2,"C",IF('Data Source'!W70&gt;=1,"D","F")))))),"")</f>
        <v/>
      </c>
      <c r="F70" s="3">
        <f>IF(AND('Data Source'!B70&lt;&gt;"",'Data Source'!S70="A+"),IF('Data Source'!X70&gt;=5,"A+",IF('Data Source'!X70&gt;=4,"A",IF('Data Source'!X70&gt;=3.5,"A-",IF('Data Source'!X70&gt;=3,"B",IF('Data Source'!X70&gt;=2,"C",IF('Data Source'!X70&gt;=1,"D","F")))))),"")</f>
        <v/>
      </c>
      <c r="G70" s="3">
        <f>IF(AND('Data Source'!B70&lt;&gt;"",'Data Source'!S70="A+"),IF('Data Source'!Y70&gt;=5,"A+",IF('Data Source'!Y70&gt;=4,"A",IF('Data Source'!Y70&gt;=3.5,"A-",IF('Data Source'!Y70&gt;=3,"B",IF('Data Source'!Y70&gt;=2,"C",IF('Data Source'!Y70&gt;=1,"D","F")))))),"")</f>
        <v/>
      </c>
      <c r="H70" s="3">
        <f>IF(AND('Data Source'!B70&lt;&gt;"",'Data Source'!S70="A+"),IF('Data Source'!Z70&gt;=5,"A+",IF('Data Source'!Z70&gt;=4,"A",IF('Data Source'!Z70&gt;=3.5,"A-",IF('Data Source'!Z70&gt;=3,"B",IF('Data Source'!Z70&gt;=2,"C",IF('Data Source'!Z70&gt;=1,"D","F")))))),"")</f>
        <v/>
      </c>
      <c r="I70" s="3">
        <f>IF(AND('Data Source'!B70&lt;&gt;"",'Data Source'!S70="A+"),IF('Data Source'!AA70&gt;=5,"A+",IF('Data Source'!AA70&gt;=4,"A",IF('Data Source'!AA70&gt;=3.5,"A-",IF('Data Source'!AA70&gt;=3,"B",IF('Data Source'!AA70&gt;=2,"C",IF('Data Source'!AA70&gt;=1,"D","F")))))),"")</f>
        <v/>
      </c>
      <c r="J70" s="3">
        <f>IF(AND('Data Source'!B70&lt;&gt;"",'Data Source'!S70="A+"),IF('Data Source'!AB70&gt;=5,"A+",IF('Data Source'!AB70&gt;=4,"A",IF('Data Source'!AB70&gt;=3.5,"A-",IF('Data Source'!AB70&gt;=3,"B",IF('Data Source'!AB70&gt;=2,"C",IF('Data Source'!AB70&gt;=1,"D","F")))))),"")</f>
        <v/>
      </c>
      <c r="K70" s="3">
        <f>IF(AND('Data Source'!B70&lt;&gt;"",'Data Source'!S70="A+"),IF('Data Source'!AC70&gt;=5,"A+",IF('Data Source'!AC70&gt;=4,"A",IF('Data Source'!AC70&gt;=3.5,"A-",IF('Data Source'!AC70&gt;=3,"B",IF('Data Source'!AC70&gt;=2,"C",IF('Data Source'!AC70&gt;=1,"D","F")))))),"")</f>
        <v/>
      </c>
      <c r="L70" s="3">
        <f>IF(AND('Data Source'!B70&lt;&gt;"",'Data Source'!S70="A+"),IF('Data Source'!AD70&gt;=5,"A+",IF('Data Source'!AD70&gt;=4,"A",IF('Data Source'!AD70&gt;=3.5,"A-",IF('Data Source'!AD70&gt;=3,"B",IF('Data Source'!AD70&gt;=2,"C",IF('Data Source'!AD70&gt;=1,"D","F")))))),"")</f>
        <v/>
      </c>
      <c r="M70" s="3">
        <f>IF(AND('Data Source'!B70&lt;&gt;"",'Data Source'!S70="A+"),IF('Data Source'!AE70&gt;=5,"A+",IF('Data Source'!AE70&gt;=4,"A",IF('Data Source'!AE70&gt;=3.5,"A-",IF('Data Source'!AE70&gt;=3,"B",IF('Data Source'!AE70&gt;=2,"C",IF('Data Source'!AE70&gt;=1,"D","F")))))),"")</f>
        <v/>
      </c>
      <c r="N70" s="3">
        <f>IF(AND('Data Source'!B70&lt;&gt;"",'Data Source'!S70="A+"),IF('Data Source'!AF70&gt;=5,"A+",IF('Data Source'!AF70&gt;=4,"A",IF('Data Source'!AF70&gt;=3.5,"A-",IF('Data Source'!AF70&gt;=3,"B",IF('Data Source'!AF70&gt;=2,"C",IF('Data Source'!AF70&gt;=1,"D","F")))))),"")</f>
        <v/>
      </c>
      <c r="O70" s="3">
        <f>IF(AND('Data Source'!B70&lt;&gt;"",'Data Source'!S70="A+"),IF('Data Source'!AG70&gt;=5,"A+",IF('Data Source'!AG70&gt;=4,"A",IF('Data Source'!AG70&gt;=3.5,"A-",IF('Data Source'!AG70&gt;=3,"B",IF('Data Source'!AG70&gt;=2,"C",IF('Data Source'!AG70&gt;=1,"D","F")))))),"")</f>
        <v/>
      </c>
      <c r="P70" s="5">
        <f>IF(AND('Data Source'!B70&lt;&gt;"",'Data Source'!S70="A+"),'Data Source'!R70,"")</f>
        <v/>
      </c>
      <c r="Q70" s="3">
        <f>IF(AND('Data Source'!B70&lt;&gt;"",'Data Source'!S70="A+"),'Data Source'!S70,"")</f>
        <v/>
      </c>
    </row>
    <row r="71">
      <c r="A71" s="3">
        <f>IF(AND('Data Source'!B71&lt;&gt;"",'Data Source'!S71="A+"),COUNTIF('Data Source'!$S$3:S71,"A+"),"")</f>
        <v/>
      </c>
      <c r="B71">
        <f>IF(AND('Data Source'!B71&lt;&gt;"",'Data Source'!S71="A+"),'Data Source'!B71,"")</f>
        <v/>
      </c>
      <c r="C71" s="3">
        <f>IF(AND('Data Source'!B71&lt;&gt;"",'Data Source'!S71="A+"),IF('Data Source'!U71&gt;=5,"A+",IF('Data Source'!U71&gt;=4,"A",IF('Data Source'!U71&gt;=3.5,"A-",IF('Data Source'!U71&gt;=3,"B",IF('Data Source'!U71&gt;=2,"C",IF('Data Source'!U71&gt;=1,"D","F")))))),"")</f>
        <v/>
      </c>
      <c r="D71" s="3">
        <f>IF(AND('Data Source'!B71&lt;&gt;"",'Data Source'!S71="A+"),IF('Data Source'!V71&gt;=5,"A+",IF('Data Source'!V71&gt;=4,"A",IF('Data Source'!V71&gt;=3.5,"A-",IF('Data Source'!V71&gt;=3,"B",IF('Data Source'!V71&gt;=2,"C",IF('Data Source'!V71&gt;=1,"D","F")))))),"")</f>
        <v/>
      </c>
      <c r="E71" s="3">
        <f>IF(AND('Data Source'!B71&lt;&gt;"",'Data Source'!S71="A+"),IF('Data Source'!W71&gt;=5,"A+",IF('Data Source'!W71&gt;=4,"A",IF('Data Source'!W71&gt;=3.5,"A-",IF('Data Source'!W71&gt;=3,"B",IF('Data Source'!W71&gt;=2,"C",IF('Data Source'!W71&gt;=1,"D","F")))))),"")</f>
        <v/>
      </c>
      <c r="F71" s="3">
        <f>IF(AND('Data Source'!B71&lt;&gt;"",'Data Source'!S71="A+"),IF('Data Source'!X71&gt;=5,"A+",IF('Data Source'!X71&gt;=4,"A",IF('Data Source'!X71&gt;=3.5,"A-",IF('Data Source'!X71&gt;=3,"B",IF('Data Source'!X71&gt;=2,"C",IF('Data Source'!X71&gt;=1,"D","F")))))),"")</f>
        <v/>
      </c>
      <c r="G71" s="3">
        <f>IF(AND('Data Source'!B71&lt;&gt;"",'Data Source'!S71="A+"),IF('Data Source'!Y71&gt;=5,"A+",IF('Data Source'!Y71&gt;=4,"A",IF('Data Source'!Y71&gt;=3.5,"A-",IF('Data Source'!Y71&gt;=3,"B",IF('Data Source'!Y71&gt;=2,"C",IF('Data Source'!Y71&gt;=1,"D","F")))))),"")</f>
        <v/>
      </c>
      <c r="H71" s="3">
        <f>IF(AND('Data Source'!B71&lt;&gt;"",'Data Source'!S71="A+"),IF('Data Source'!Z71&gt;=5,"A+",IF('Data Source'!Z71&gt;=4,"A",IF('Data Source'!Z71&gt;=3.5,"A-",IF('Data Source'!Z71&gt;=3,"B",IF('Data Source'!Z71&gt;=2,"C",IF('Data Source'!Z71&gt;=1,"D","F")))))),"")</f>
        <v/>
      </c>
      <c r="I71" s="3">
        <f>IF(AND('Data Source'!B71&lt;&gt;"",'Data Source'!S71="A+"),IF('Data Source'!AA71&gt;=5,"A+",IF('Data Source'!AA71&gt;=4,"A",IF('Data Source'!AA71&gt;=3.5,"A-",IF('Data Source'!AA71&gt;=3,"B",IF('Data Source'!AA71&gt;=2,"C",IF('Data Source'!AA71&gt;=1,"D","F")))))),"")</f>
        <v/>
      </c>
      <c r="J71" s="3">
        <f>IF(AND('Data Source'!B71&lt;&gt;"",'Data Source'!S71="A+"),IF('Data Source'!AB71&gt;=5,"A+",IF('Data Source'!AB71&gt;=4,"A",IF('Data Source'!AB71&gt;=3.5,"A-",IF('Data Source'!AB71&gt;=3,"B",IF('Data Source'!AB71&gt;=2,"C",IF('Data Source'!AB71&gt;=1,"D","F")))))),"")</f>
        <v/>
      </c>
      <c r="K71" s="3">
        <f>IF(AND('Data Source'!B71&lt;&gt;"",'Data Source'!S71="A+"),IF('Data Source'!AC71&gt;=5,"A+",IF('Data Source'!AC71&gt;=4,"A",IF('Data Source'!AC71&gt;=3.5,"A-",IF('Data Source'!AC71&gt;=3,"B",IF('Data Source'!AC71&gt;=2,"C",IF('Data Source'!AC71&gt;=1,"D","F")))))),"")</f>
        <v/>
      </c>
      <c r="L71" s="3">
        <f>IF(AND('Data Source'!B71&lt;&gt;"",'Data Source'!S71="A+"),IF('Data Source'!AD71&gt;=5,"A+",IF('Data Source'!AD71&gt;=4,"A",IF('Data Source'!AD71&gt;=3.5,"A-",IF('Data Source'!AD71&gt;=3,"B",IF('Data Source'!AD71&gt;=2,"C",IF('Data Source'!AD71&gt;=1,"D","F")))))),"")</f>
        <v/>
      </c>
      <c r="M71" s="3">
        <f>IF(AND('Data Source'!B71&lt;&gt;"",'Data Source'!S71="A+"),IF('Data Source'!AE71&gt;=5,"A+",IF('Data Source'!AE71&gt;=4,"A",IF('Data Source'!AE71&gt;=3.5,"A-",IF('Data Source'!AE71&gt;=3,"B",IF('Data Source'!AE71&gt;=2,"C",IF('Data Source'!AE71&gt;=1,"D","F")))))),"")</f>
        <v/>
      </c>
      <c r="N71" s="3">
        <f>IF(AND('Data Source'!B71&lt;&gt;"",'Data Source'!S71="A+"),IF('Data Source'!AF71&gt;=5,"A+",IF('Data Source'!AF71&gt;=4,"A",IF('Data Source'!AF71&gt;=3.5,"A-",IF('Data Source'!AF71&gt;=3,"B",IF('Data Source'!AF71&gt;=2,"C",IF('Data Source'!AF71&gt;=1,"D","F")))))),"")</f>
        <v/>
      </c>
      <c r="O71" s="3">
        <f>IF(AND('Data Source'!B71&lt;&gt;"",'Data Source'!S71="A+"),IF('Data Source'!AG71&gt;=5,"A+",IF('Data Source'!AG71&gt;=4,"A",IF('Data Source'!AG71&gt;=3.5,"A-",IF('Data Source'!AG71&gt;=3,"B",IF('Data Source'!AG71&gt;=2,"C",IF('Data Source'!AG71&gt;=1,"D","F")))))),"")</f>
        <v/>
      </c>
      <c r="P71" s="5">
        <f>IF(AND('Data Source'!B71&lt;&gt;"",'Data Source'!S71="A+"),'Data Source'!R71,"")</f>
        <v/>
      </c>
      <c r="Q71" s="3">
        <f>IF(AND('Data Source'!B71&lt;&gt;"",'Data Source'!S71="A+"),'Data Source'!S71,"")</f>
        <v/>
      </c>
    </row>
    <row r="72">
      <c r="A72" s="3">
        <f>IF(AND('Data Source'!B72&lt;&gt;"",'Data Source'!S72="A+"),COUNTIF('Data Source'!$S$3:S72,"A+"),"")</f>
        <v/>
      </c>
      <c r="B72">
        <f>IF(AND('Data Source'!B72&lt;&gt;"",'Data Source'!S72="A+"),'Data Source'!B72,"")</f>
        <v/>
      </c>
      <c r="C72" s="3">
        <f>IF(AND('Data Source'!B72&lt;&gt;"",'Data Source'!S72="A+"),IF('Data Source'!U72&gt;=5,"A+",IF('Data Source'!U72&gt;=4,"A",IF('Data Source'!U72&gt;=3.5,"A-",IF('Data Source'!U72&gt;=3,"B",IF('Data Source'!U72&gt;=2,"C",IF('Data Source'!U72&gt;=1,"D","F")))))),"")</f>
        <v/>
      </c>
      <c r="D72" s="3">
        <f>IF(AND('Data Source'!B72&lt;&gt;"",'Data Source'!S72="A+"),IF('Data Source'!V72&gt;=5,"A+",IF('Data Source'!V72&gt;=4,"A",IF('Data Source'!V72&gt;=3.5,"A-",IF('Data Source'!V72&gt;=3,"B",IF('Data Source'!V72&gt;=2,"C",IF('Data Source'!V72&gt;=1,"D","F")))))),"")</f>
        <v/>
      </c>
      <c r="E72" s="3">
        <f>IF(AND('Data Source'!B72&lt;&gt;"",'Data Source'!S72="A+"),IF('Data Source'!W72&gt;=5,"A+",IF('Data Source'!W72&gt;=4,"A",IF('Data Source'!W72&gt;=3.5,"A-",IF('Data Source'!W72&gt;=3,"B",IF('Data Source'!W72&gt;=2,"C",IF('Data Source'!W72&gt;=1,"D","F")))))),"")</f>
        <v/>
      </c>
      <c r="F72" s="3">
        <f>IF(AND('Data Source'!B72&lt;&gt;"",'Data Source'!S72="A+"),IF('Data Source'!X72&gt;=5,"A+",IF('Data Source'!X72&gt;=4,"A",IF('Data Source'!X72&gt;=3.5,"A-",IF('Data Source'!X72&gt;=3,"B",IF('Data Source'!X72&gt;=2,"C",IF('Data Source'!X72&gt;=1,"D","F")))))),"")</f>
        <v/>
      </c>
      <c r="G72" s="3">
        <f>IF(AND('Data Source'!B72&lt;&gt;"",'Data Source'!S72="A+"),IF('Data Source'!Y72&gt;=5,"A+",IF('Data Source'!Y72&gt;=4,"A",IF('Data Source'!Y72&gt;=3.5,"A-",IF('Data Source'!Y72&gt;=3,"B",IF('Data Source'!Y72&gt;=2,"C",IF('Data Source'!Y72&gt;=1,"D","F")))))),"")</f>
        <v/>
      </c>
      <c r="H72" s="3">
        <f>IF(AND('Data Source'!B72&lt;&gt;"",'Data Source'!S72="A+"),IF('Data Source'!Z72&gt;=5,"A+",IF('Data Source'!Z72&gt;=4,"A",IF('Data Source'!Z72&gt;=3.5,"A-",IF('Data Source'!Z72&gt;=3,"B",IF('Data Source'!Z72&gt;=2,"C",IF('Data Source'!Z72&gt;=1,"D","F")))))),"")</f>
        <v/>
      </c>
      <c r="I72" s="3">
        <f>IF(AND('Data Source'!B72&lt;&gt;"",'Data Source'!S72="A+"),IF('Data Source'!AA72&gt;=5,"A+",IF('Data Source'!AA72&gt;=4,"A",IF('Data Source'!AA72&gt;=3.5,"A-",IF('Data Source'!AA72&gt;=3,"B",IF('Data Source'!AA72&gt;=2,"C",IF('Data Source'!AA72&gt;=1,"D","F")))))),"")</f>
        <v/>
      </c>
      <c r="J72" s="3">
        <f>IF(AND('Data Source'!B72&lt;&gt;"",'Data Source'!S72="A+"),IF('Data Source'!AB72&gt;=5,"A+",IF('Data Source'!AB72&gt;=4,"A",IF('Data Source'!AB72&gt;=3.5,"A-",IF('Data Source'!AB72&gt;=3,"B",IF('Data Source'!AB72&gt;=2,"C",IF('Data Source'!AB72&gt;=1,"D","F")))))),"")</f>
        <v/>
      </c>
      <c r="K72" s="3">
        <f>IF(AND('Data Source'!B72&lt;&gt;"",'Data Source'!S72="A+"),IF('Data Source'!AC72&gt;=5,"A+",IF('Data Source'!AC72&gt;=4,"A",IF('Data Source'!AC72&gt;=3.5,"A-",IF('Data Source'!AC72&gt;=3,"B",IF('Data Source'!AC72&gt;=2,"C",IF('Data Source'!AC72&gt;=1,"D","F")))))),"")</f>
        <v/>
      </c>
      <c r="L72" s="3">
        <f>IF(AND('Data Source'!B72&lt;&gt;"",'Data Source'!S72="A+"),IF('Data Source'!AD72&gt;=5,"A+",IF('Data Source'!AD72&gt;=4,"A",IF('Data Source'!AD72&gt;=3.5,"A-",IF('Data Source'!AD72&gt;=3,"B",IF('Data Source'!AD72&gt;=2,"C",IF('Data Source'!AD72&gt;=1,"D","F")))))),"")</f>
        <v/>
      </c>
      <c r="M72" s="3">
        <f>IF(AND('Data Source'!B72&lt;&gt;"",'Data Source'!S72="A+"),IF('Data Source'!AE72&gt;=5,"A+",IF('Data Source'!AE72&gt;=4,"A",IF('Data Source'!AE72&gt;=3.5,"A-",IF('Data Source'!AE72&gt;=3,"B",IF('Data Source'!AE72&gt;=2,"C",IF('Data Source'!AE72&gt;=1,"D","F")))))),"")</f>
        <v/>
      </c>
      <c r="N72" s="3">
        <f>IF(AND('Data Source'!B72&lt;&gt;"",'Data Source'!S72="A+"),IF('Data Source'!AF72&gt;=5,"A+",IF('Data Source'!AF72&gt;=4,"A",IF('Data Source'!AF72&gt;=3.5,"A-",IF('Data Source'!AF72&gt;=3,"B",IF('Data Source'!AF72&gt;=2,"C",IF('Data Source'!AF72&gt;=1,"D","F")))))),"")</f>
        <v/>
      </c>
      <c r="O72" s="3">
        <f>IF(AND('Data Source'!B72&lt;&gt;"",'Data Source'!S72="A+"),IF('Data Source'!AG72&gt;=5,"A+",IF('Data Source'!AG72&gt;=4,"A",IF('Data Source'!AG72&gt;=3.5,"A-",IF('Data Source'!AG72&gt;=3,"B",IF('Data Source'!AG72&gt;=2,"C",IF('Data Source'!AG72&gt;=1,"D","F")))))),"")</f>
        <v/>
      </c>
      <c r="P72" s="5">
        <f>IF(AND('Data Source'!B72&lt;&gt;"",'Data Source'!S72="A+"),'Data Source'!R72,"")</f>
        <v/>
      </c>
      <c r="Q72" s="3">
        <f>IF(AND('Data Source'!B72&lt;&gt;"",'Data Source'!S72="A+"),'Data Source'!S72,"")</f>
        <v/>
      </c>
    </row>
    <row r="73">
      <c r="A73" s="3">
        <f>IF(AND('Data Source'!B73&lt;&gt;"",'Data Source'!S73="A+"),COUNTIF('Data Source'!$S$3:S73,"A+"),"")</f>
        <v/>
      </c>
      <c r="B73">
        <f>IF(AND('Data Source'!B73&lt;&gt;"",'Data Source'!S73="A+"),'Data Source'!B73,"")</f>
        <v/>
      </c>
      <c r="C73" s="3">
        <f>IF(AND('Data Source'!B73&lt;&gt;"",'Data Source'!S73="A+"),IF('Data Source'!U73&gt;=5,"A+",IF('Data Source'!U73&gt;=4,"A",IF('Data Source'!U73&gt;=3.5,"A-",IF('Data Source'!U73&gt;=3,"B",IF('Data Source'!U73&gt;=2,"C",IF('Data Source'!U73&gt;=1,"D","F")))))),"")</f>
        <v/>
      </c>
      <c r="D73" s="3">
        <f>IF(AND('Data Source'!B73&lt;&gt;"",'Data Source'!S73="A+"),IF('Data Source'!V73&gt;=5,"A+",IF('Data Source'!V73&gt;=4,"A",IF('Data Source'!V73&gt;=3.5,"A-",IF('Data Source'!V73&gt;=3,"B",IF('Data Source'!V73&gt;=2,"C",IF('Data Source'!V73&gt;=1,"D","F")))))),"")</f>
        <v/>
      </c>
      <c r="E73" s="3">
        <f>IF(AND('Data Source'!B73&lt;&gt;"",'Data Source'!S73="A+"),IF('Data Source'!W73&gt;=5,"A+",IF('Data Source'!W73&gt;=4,"A",IF('Data Source'!W73&gt;=3.5,"A-",IF('Data Source'!W73&gt;=3,"B",IF('Data Source'!W73&gt;=2,"C",IF('Data Source'!W73&gt;=1,"D","F")))))),"")</f>
        <v/>
      </c>
      <c r="F73" s="3">
        <f>IF(AND('Data Source'!B73&lt;&gt;"",'Data Source'!S73="A+"),IF('Data Source'!X73&gt;=5,"A+",IF('Data Source'!X73&gt;=4,"A",IF('Data Source'!X73&gt;=3.5,"A-",IF('Data Source'!X73&gt;=3,"B",IF('Data Source'!X73&gt;=2,"C",IF('Data Source'!X73&gt;=1,"D","F")))))),"")</f>
        <v/>
      </c>
      <c r="G73" s="3">
        <f>IF(AND('Data Source'!B73&lt;&gt;"",'Data Source'!S73="A+"),IF('Data Source'!Y73&gt;=5,"A+",IF('Data Source'!Y73&gt;=4,"A",IF('Data Source'!Y73&gt;=3.5,"A-",IF('Data Source'!Y73&gt;=3,"B",IF('Data Source'!Y73&gt;=2,"C",IF('Data Source'!Y73&gt;=1,"D","F")))))),"")</f>
        <v/>
      </c>
      <c r="H73" s="3">
        <f>IF(AND('Data Source'!B73&lt;&gt;"",'Data Source'!S73="A+"),IF('Data Source'!Z73&gt;=5,"A+",IF('Data Source'!Z73&gt;=4,"A",IF('Data Source'!Z73&gt;=3.5,"A-",IF('Data Source'!Z73&gt;=3,"B",IF('Data Source'!Z73&gt;=2,"C",IF('Data Source'!Z73&gt;=1,"D","F")))))),"")</f>
        <v/>
      </c>
      <c r="I73" s="3">
        <f>IF(AND('Data Source'!B73&lt;&gt;"",'Data Source'!S73="A+"),IF('Data Source'!AA73&gt;=5,"A+",IF('Data Source'!AA73&gt;=4,"A",IF('Data Source'!AA73&gt;=3.5,"A-",IF('Data Source'!AA73&gt;=3,"B",IF('Data Source'!AA73&gt;=2,"C",IF('Data Source'!AA73&gt;=1,"D","F")))))),"")</f>
        <v/>
      </c>
      <c r="J73" s="3">
        <f>IF(AND('Data Source'!B73&lt;&gt;"",'Data Source'!S73="A+"),IF('Data Source'!AB73&gt;=5,"A+",IF('Data Source'!AB73&gt;=4,"A",IF('Data Source'!AB73&gt;=3.5,"A-",IF('Data Source'!AB73&gt;=3,"B",IF('Data Source'!AB73&gt;=2,"C",IF('Data Source'!AB73&gt;=1,"D","F")))))),"")</f>
        <v/>
      </c>
      <c r="K73" s="3">
        <f>IF(AND('Data Source'!B73&lt;&gt;"",'Data Source'!S73="A+"),IF('Data Source'!AC73&gt;=5,"A+",IF('Data Source'!AC73&gt;=4,"A",IF('Data Source'!AC73&gt;=3.5,"A-",IF('Data Source'!AC73&gt;=3,"B",IF('Data Source'!AC73&gt;=2,"C",IF('Data Source'!AC73&gt;=1,"D","F")))))),"")</f>
        <v/>
      </c>
      <c r="L73" s="3">
        <f>IF(AND('Data Source'!B73&lt;&gt;"",'Data Source'!S73="A+"),IF('Data Source'!AD73&gt;=5,"A+",IF('Data Source'!AD73&gt;=4,"A",IF('Data Source'!AD73&gt;=3.5,"A-",IF('Data Source'!AD73&gt;=3,"B",IF('Data Source'!AD73&gt;=2,"C",IF('Data Source'!AD73&gt;=1,"D","F")))))),"")</f>
        <v/>
      </c>
      <c r="M73" s="3">
        <f>IF(AND('Data Source'!B73&lt;&gt;"",'Data Source'!S73="A+"),IF('Data Source'!AE73&gt;=5,"A+",IF('Data Source'!AE73&gt;=4,"A",IF('Data Source'!AE73&gt;=3.5,"A-",IF('Data Source'!AE73&gt;=3,"B",IF('Data Source'!AE73&gt;=2,"C",IF('Data Source'!AE73&gt;=1,"D","F")))))),"")</f>
        <v/>
      </c>
      <c r="N73" s="3">
        <f>IF(AND('Data Source'!B73&lt;&gt;"",'Data Source'!S73="A+"),IF('Data Source'!AF73&gt;=5,"A+",IF('Data Source'!AF73&gt;=4,"A",IF('Data Source'!AF73&gt;=3.5,"A-",IF('Data Source'!AF73&gt;=3,"B",IF('Data Source'!AF73&gt;=2,"C",IF('Data Source'!AF73&gt;=1,"D","F")))))),"")</f>
        <v/>
      </c>
      <c r="O73" s="3">
        <f>IF(AND('Data Source'!B73&lt;&gt;"",'Data Source'!S73="A+"),IF('Data Source'!AG73&gt;=5,"A+",IF('Data Source'!AG73&gt;=4,"A",IF('Data Source'!AG73&gt;=3.5,"A-",IF('Data Source'!AG73&gt;=3,"B",IF('Data Source'!AG73&gt;=2,"C",IF('Data Source'!AG73&gt;=1,"D","F")))))),"")</f>
        <v/>
      </c>
      <c r="P73" s="5">
        <f>IF(AND('Data Source'!B73&lt;&gt;"",'Data Source'!S73="A+"),'Data Source'!R73,"")</f>
        <v/>
      </c>
      <c r="Q73" s="3">
        <f>IF(AND('Data Source'!B73&lt;&gt;"",'Data Source'!S73="A+"),'Data Source'!S73,"")</f>
        <v/>
      </c>
    </row>
    <row r="74">
      <c r="A74" s="3">
        <f>IF(AND('Data Source'!B74&lt;&gt;"",'Data Source'!S74="A+"),COUNTIF('Data Source'!$S$3:S74,"A+"),"")</f>
        <v/>
      </c>
      <c r="B74">
        <f>IF(AND('Data Source'!B74&lt;&gt;"",'Data Source'!S74="A+"),'Data Source'!B74,"")</f>
        <v/>
      </c>
      <c r="C74" s="3">
        <f>IF(AND('Data Source'!B74&lt;&gt;"",'Data Source'!S74="A+"),IF('Data Source'!U74&gt;=5,"A+",IF('Data Source'!U74&gt;=4,"A",IF('Data Source'!U74&gt;=3.5,"A-",IF('Data Source'!U74&gt;=3,"B",IF('Data Source'!U74&gt;=2,"C",IF('Data Source'!U74&gt;=1,"D","F")))))),"")</f>
        <v/>
      </c>
      <c r="D74" s="3">
        <f>IF(AND('Data Source'!B74&lt;&gt;"",'Data Source'!S74="A+"),IF('Data Source'!V74&gt;=5,"A+",IF('Data Source'!V74&gt;=4,"A",IF('Data Source'!V74&gt;=3.5,"A-",IF('Data Source'!V74&gt;=3,"B",IF('Data Source'!V74&gt;=2,"C",IF('Data Source'!V74&gt;=1,"D","F")))))),"")</f>
        <v/>
      </c>
      <c r="E74" s="3">
        <f>IF(AND('Data Source'!B74&lt;&gt;"",'Data Source'!S74="A+"),IF('Data Source'!W74&gt;=5,"A+",IF('Data Source'!W74&gt;=4,"A",IF('Data Source'!W74&gt;=3.5,"A-",IF('Data Source'!W74&gt;=3,"B",IF('Data Source'!W74&gt;=2,"C",IF('Data Source'!W74&gt;=1,"D","F")))))),"")</f>
        <v/>
      </c>
      <c r="F74" s="3">
        <f>IF(AND('Data Source'!B74&lt;&gt;"",'Data Source'!S74="A+"),IF('Data Source'!X74&gt;=5,"A+",IF('Data Source'!X74&gt;=4,"A",IF('Data Source'!X74&gt;=3.5,"A-",IF('Data Source'!X74&gt;=3,"B",IF('Data Source'!X74&gt;=2,"C",IF('Data Source'!X74&gt;=1,"D","F")))))),"")</f>
        <v/>
      </c>
      <c r="G74" s="3">
        <f>IF(AND('Data Source'!B74&lt;&gt;"",'Data Source'!S74="A+"),IF('Data Source'!Y74&gt;=5,"A+",IF('Data Source'!Y74&gt;=4,"A",IF('Data Source'!Y74&gt;=3.5,"A-",IF('Data Source'!Y74&gt;=3,"B",IF('Data Source'!Y74&gt;=2,"C",IF('Data Source'!Y74&gt;=1,"D","F")))))),"")</f>
        <v/>
      </c>
      <c r="H74" s="3">
        <f>IF(AND('Data Source'!B74&lt;&gt;"",'Data Source'!S74="A+"),IF('Data Source'!Z74&gt;=5,"A+",IF('Data Source'!Z74&gt;=4,"A",IF('Data Source'!Z74&gt;=3.5,"A-",IF('Data Source'!Z74&gt;=3,"B",IF('Data Source'!Z74&gt;=2,"C",IF('Data Source'!Z74&gt;=1,"D","F")))))),"")</f>
        <v/>
      </c>
      <c r="I74" s="3">
        <f>IF(AND('Data Source'!B74&lt;&gt;"",'Data Source'!S74="A+"),IF('Data Source'!AA74&gt;=5,"A+",IF('Data Source'!AA74&gt;=4,"A",IF('Data Source'!AA74&gt;=3.5,"A-",IF('Data Source'!AA74&gt;=3,"B",IF('Data Source'!AA74&gt;=2,"C",IF('Data Source'!AA74&gt;=1,"D","F")))))),"")</f>
        <v/>
      </c>
      <c r="J74" s="3">
        <f>IF(AND('Data Source'!B74&lt;&gt;"",'Data Source'!S74="A+"),IF('Data Source'!AB74&gt;=5,"A+",IF('Data Source'!AB74&gt;=4,"A",IF('Data Source'!AB74&gt;=3.5,"A-",IF('Data Source'!AB74&gt;=3,"B",IF('Data Source'!AB74&gt;=2,"C",IF('Data Source'!AB74&gt;=1,"D","F")))))),"")</f>
        <v/>
      </c>
      <c r="K74" s="3">
        <f>IF(AND('Data Source'!B74&lt;&gt;"",'Data Source'!S74="A+"),IF('Data Source'!AC74&gt;=5,"A+",IF('Data Source'!AC74&gt;=4,"A",IF('Data Source'!AC74&gt;=3.5,"A-",IF('Data Source'!AC74&gt;=3,"B",IF('Data Source'!AC74&gt;=2,"C",IF('Data Source'!AC74&gt;=1,"D","F")))))),"")</f>
        <v/>
      </c>
      <c r="L74" s="3">
        <f>IF(AND('Data Source'!B74&lt;&gt;"",'Data Source'!S74="A+"),IF('Data Source'!AD74&gt;=5,"A+",IF('Data Source'!AD74&gt;=4,"A",IF('Data Source'!AD74&gt;=3.5,"A-",IF('Data Source'!AD74&gt;=3,"B",IF('Data Source'!AD74&gt;=2,"C",IF('Data Source'!AD74&gt;=1,"D","F")))))),"")</f>
        <v/>
      </c>
      <c r="M74" s="3">
        <f>IF(AND('Data Source'!B74&lt;&gt;"",'Data Source'!S74="A+"),IF('Data Source'!AE74&gt;=5,"A+",IF('Data Source'!AE74&gt;=4,"A",IF('Data Source'!AE74&gt;=3.5,"A-",IF('Data Source'!AE74&gt;=3,"B",IF('Data Source'!AE74&gt;=2,"C",IF('Data Source'!AE74&gt;=1,"D","F")))))),"")</f>
        <v/>
      </c>
      <c r="N74" s="3">
        <f>IF(AND('Data Source'!B74&lt;&gt;"",'Data Source'!S74="A+"),IF('Data Source'!AF74&gt;=5,"A+",IF('Data Source'!AF74&gt;=4,"A",IF('Data Source'!AF74&gt;=3.5,"A-",IF('Data Source'!AF74&gt;=3,"B",IF('Data Source'!AF74&gt;=2,"C",IF('Data Source'!AF74&gt;=1,"D","F")))))),"")</f>
        <v/>
      </c>
      <c r="O74" s="3">
        <f>IF(AND('Data Source'!B74&lt;&gt;"",'Data Source'!S74="A+"),IF('Data Source'!AG74&gt;=5,"A+",IF('Data Source'!AG74&gt;=4,"A",IF('Data Source'!AG74&gt;=3.5,"A-",IF('Data Source'!AG74&gt;=3,"B",IF('Data Source'!AG74&gt;=2,"C",IF('Data Source'!AG74&gt;=1,"D","F")))))),"")</f>
        <v/>
      </c>
      <c r="P74" s="5">
        <f>IF(AND('Data Source'!B74&lt;&gt;"",'Data Source'!S74="A+"),'Data Source'!R74,"")</f>
        <v/>
      </c>
      <c r="Q74" s="3">
        <f>IF(AND('Data Source'!B74&lt;&gt;"",'Data Source'!S74="A+"),'Data Source'!S74,"")</f>
        <v/>
      </c>
    </row>
    <row r="75">
      <c r="A75" s="3">
        <f>IF(AND('Data Source'!B75&lt;&gt;"",'Data Source'!S75="A+"),COUNTIF('Data Source'!$S$3:S75,"A+"),"")</f>
        <v/>
      </c>
      <c r="B75">
        <f>IF(AND('Data Source'!B75&lt;&gt;"",'Data Source'!S75="A+"),'Data Source'!B75,"")</f>
        <v/>
      </c>
      <c r="C75" s="3">
        <f>IF(AND('Data Source'!B75&lt;&gt;"",'Data Source'!S75="A+"),IF('Data Source'!U75&gt;=5,"A+",IF('Data Source'!U75&gt;=4,"A",IF('Data Source'!U75&gt;=3.5,"A-",IF('Data Source'!U75&gt;=3,"B",IF('Data Source'!U75&gt;=2,"C",IF('Data Source'!U75&gt;=1,"D","F")))))),"")</f>
        <v/>
      </c>
      <c r="D75" s="3">
        <f>IF(AND('Data Source'!B75&lt;&gt;"",'Data Source'!S75="A+"),IF('Data Source'!V75&gt;=5,"A+",IF('Data Source'!V75&gt;=4,"A",IF('Data Source'!V75&gt;=3.5,"A-",IF('Data Source'!V75&gt;=3,"B",IF('Data Source'!V75&gt;=2,"C",IF('Data Source'!V75&gt;=1,"D","F")))))),"")</f>
        <v/>
      </c>
      <c r="E75" s="3">
        <f>IF(AND('Data Source'!B75&lt;&gt;"",'Data Source'!S75="A+"),IF('Data Source'!W75&gt;=5,"A+",IF('Data Source'!W75&gt;=4,"A",IF('Data Source'!W75&gt;=3.5,"A-",IF('Data Source'!W75&gt;=3,"B",IF('Data Source'!W75&gt;=2,"C",IF('Data Source'!W75&gt;=1,"D","F")))))),"")</f>
        <v/>
      </c>
      <c r="F75" s="3">
        <f>IF(AND('Data Source'!B75&lt;&gt;"",'Data Source'!S75="A+"),IF('Data Source'!X75&gt;=5,"A+",IF('Data Source'!X75&gt;=4,"A",IF('Data Source'!X75&gt;=3.5,"A-",IF('Data Source'!X75&gt;=3,"B",IF('Data Source'!X75&gt;=2,"C",IF('Data Source'!X75&gt;=1,"D","F")))))),"")</f>
        <v/>
      </c>
      <c r="G75" s="3">
        <f>IF(AND('Data Source'!B75&lt;&gt;"",'Data Source'!S75="A+"),IF('Data Source'!Y75&gt;=5,"A+",IF('Data Source'!Y75&gt;=4,"A",IF('Data Source'!Y75&gt;=3.5,"A-",IF('Data Source'!Y75&gt;=3,"B",IF('Data Source'!Y75&gt;=2,"C",IF('Data Source'!Y75&gt;=1,"D","F")))))),"")</f>
        <v/>
      </c>
      <c r="H75" s="3">
        <f>IF(AND('Data Source'!B75&lt;&gt;"",'Data Source'!S75="A+"),IF('Data Source'!Z75&gt;=5,"A+",IF('Data Source'!Z75&gt;=4,"A",IF('Data Source'!Z75&gt;=3.5,"A-",IF('Data Source'!Z75&gt;=3,"B",IF('Data Source'!Z75&gt;=2,"C",IF('Data Source'!Z75&gt;=1,"D","F")))))),"")</f>
        <v/>
      </c>
      <c r="I75" s="3">
        <f>IF(AND('Data Source'!B75&lt;&gt;"",'Data Source'!S75="A+"),IF('Data Source'!AA75&gt;=5,"A+",IF('Data Source'!AA75&gt;=4,"A",IF('Data Source'!AA75&gt;=3.5,"A-",IF('Data Source'!AA75&gt;=3,"B",IF('Data Source'!AA75&gt;=2,"C",IF('Data Source'!AA75&gt;=1,"D","F")))))),"")</f>
        <v/>
      </c>
      <c r="J75" s="3">
        <f>IF(AND('Data Source'!B75&lt;&gt;"",'Data Source'!S75="A+"),IF('Data Source'!AB75&gt;=5,"A+",IF('Data Source'!AB75&gt;=4,"A",IF('Data Source'!AB75&gt;=3.5,"A-",IF('Data Source'!AB75&gt;=3,"B",IF('Data Source'!AB75&gt;=2,"C",IF('Data Source'!AB75&gt;=1,"D","F")))))),"")</f>
        <v/>
      </c>
      <c r="K75" s="3">
        <f>IF(AND('Data Source'!B75&lt;&gt;"",'Data Source'!S75="A+"),IF('Data Source'!AC75&gt;=5,"A+",IF('Data Source'!AC75&gt;=4,"A",IF('Data Source'!AC75&gt;=3.5,"A-",IF('Data Source'!AC75&gt;=3,"B",IF('Data Source'!AC75&gt;=2,"C",IF('Data Source'!AC75&gt;=1,"D","F")))))),"")</f>
        <v/>
      </c>
      <c r="L75" s="3">
        <f>IF(AND('Data Source'!B75&lt;&gt;"",'Data Source'!S75="A+"),IF('Data Source'!AD75&gt;=5,"A+",IF('Data Source'!AD75&gt;=4,"A",IF('Data Source'!AD75&gt;=3.5,"A-",IF('Data Source'!AD75&gt;=3,"B",IF('Data Source'!AD75&gt;=2,"C",IF('Data Source'!AD75&gt;=1,"D","F")))))),"")</f>
        <v/>
      </c>
      <c r="M75" s="3">
        <f>IF(AND('Data Source'!B75&lt;&gt;"",'Data Source'!S75="A+"),IF('Data Source'!AE75&gt;=5,"A+",IF('Data Source'!AE75&gt;=4,"A",IF('Data Source'!AE75&gt;=3.5,"A-",IF('Data Source'!AE75&gt;=3,"B",IF('Data Source'!AE75&gt;=2,"C",IF('Data Source'!AE75&gt;=1,"D","F")))))),"")</f>
        <v/>
      </c>
      <c r="N75" s="3">
        <f>IF(AND('Data Source'!B75&lt;&gt;"",'Data Source'!S75="A+"),IF('Data Source'!AF75&gt;=5,"A+",IF('Data Source'!AF75&gt;=4,"A",IF('Data Source'!AF75&gt;=3.5,"A-",IF('Data Source'!AF75&gt;=3,"B",IF('Data Source'!AF75&gt;=2,"C",IF('Data Source'!AF75&gt;=1,"D","F")))))),"")</f>
        <v/>
      </c>
      <c r="O75" s="3">
        <f>IF(AND('Data Source'!B75&lt;&gt;"",'Data Source'!S75="A+"),IF('Data Source'!AG75&gt;=5,"A+",IF('Data Source'!AG75&gt;=4,"A",IF('Data Source'!AG75&gt;=3.5,"A-",IF('Data Source'!AG75&gt;=3,"B",IF('Data Source'!AG75&gt;=2,"C",IF('Data Source'!AG75&gt;=1,"D","F")))))),"")</f>
        <v/>
      </c>
      <c r="P75" s="5">
        <f>IF(AND('Data Source'!B75&lt;&gt;"",'Data Source'!S75="A+"),'Data Source'!R75,"")</f>
        <v/>
      </c>
      <c r="Q75" s="3">
        <f>IF(AND('Data Source'!B75&lt;&gt;"",'Data Source'!S75="A+"),'Data Source'!S75,"")</f>
        <v/>
      </c>
    </row>
    <row r="76">
      <c r="A76" s="3">
        <f>IF(AND('Data Source'!B76&lt;&gt;"",'Data Source'!S76="A+"),COUNTIF('Data Source'!$S$3:S76,"A+"),"")</f>
        <v/>
      </c>
      <c r="B76">
        <f>IF(AND('Data Source'!B76&lt;&gt;"",'Data Source'!S76="A+"),'Data Source'!B76,"")</f>
        <v/>
      </c>
      <c r="C76" s="3">
        <f>IF(AND('Data Source'!B76&lt;&gt;"",'Data Source'!S76="A+"),IF('Data Source'!U76&gt;=5,"A+",IF('Data Source'!U76&gt;=4,"A",IF('Data Source'!U76&gt;=3.5,"A-",IF('Data Source'!U76&gt;=3,"B",IF('Data Source'!U76&gt;=2,"C",IF('Data Source'!U76&gt;=1,"D","F")))))),"")</f>
        <v/>
      </c>
      <c r="D76" s="3">
        <f>IF(AND('Data Source'!B76&lt;&gt;"",'Data Source'!S76="A+"),IF('Data Source'!V76&gt;=5,"A+",IF('Data Source'!V76&gt;=4,"A",IF('Data Source'!V76&gt;=3.5,"A-",IF('Data Source'!V76&gt;=3,"B",IF('Data Source'!V76&gt;=2,"C",IF('Data Source'!V76&gt;=1,"D","F")))))),"")</f>
        <v/>
      </c>
      <c r="E76" s="3">
        <f>IF(AND('Data Source'!B76&lt;&gt;"",'Data Source'!S76="A+"),IF('Data Source'!W76&gt;=5,"A+",IF('Data Source'!W76&gt;=4,"A",IF('Data Source'!W76&gt;=3.5,"A-",IF('Data Source'!W76&gt;=3,"B",IF('Data Source'!W76&gt;=2,"C",IF('Data Source'!W76&gt;=1,"D","F")))))),"")</f>
        <v/>
      </c>
      <c r="F76" s="3">
        <f>IF(AND('Data Source'!B76&lt;&gt;"",'Data Source'!S76="A+"),IF('Data Source'!X76&gt;=5,"A+",IF('Data Source'!X76&gt;=4,"A",IF('Data Source'!X76&gt;=3.5,"A-",IF('Data Source'!X76&gt;=3,"B",IF('Data Source'!X76&gt;=2,"C",IF('Data Source'!X76&gt;=1,"D","F")))))),"")</f>
        <v/>
      </c>
      <c r="G76" s="3">
        <f>IF(AND('Data Source'!B76&lt;&gt;"",'Data Source'!S76="A+"),IF('Data Source'!Y76&gt;=5,"A+",IF('Data Source'!Y76&gt;=4,"A",IF('Data Source'!Y76&gt;=3.5,"A-",IF('Data Source'!Y76&gt;=3,"B",IF('Data Source'!Y76&gt;=2,"C",IF('Data Source'!Y76&gt;=1,"D","F")))))),"")</f>
        <v/>
      </c>
      <c r="H76" s="3">
        <f>IF(AND('Data Source'!B76&lt;&gt;"",'Data Source'!S76="A+"),IF('Data Source'!Z76&gt;=5,"A+",IF('Data Source'!Z76&gt;=4,"A",IF('Data Source'!Z76&gt;=3.5,"A-",IF('Data Source'!Z76&gt;=3,"B",IF('Data Source'!Z76&gt;=2,"C",IF('Data Source'!Z76&gt;=1,"D","F")))))),"")</f>
        <v/>
      </c>
      <c r="I76" s="3">
        <f>IF(AND('Data Source'!B76&lt;&gt;"",'Data Source'!S76="A+"),IF('Data Source'!AA76&gt;=5,"A+",IF('Data Source'!AA76&gt;=4,"A",IF('Data Source'!AA76&gt;=3.5,"A-",IF('Data Source'!AA76&gt;=3,"B",IF('Data Source'!AA76&gt;=2,"C",IF('Data Source'!AA76&gt;=1,"D","F")))))),"")</f>
        <v/>
      </c>
      <c r="J76" s="3">
        <f>IF(AND('Data Source'!B76&lt;&gt;"",'Data Source'!S76="A+"),IF('Data Source'!AB76&gt;=5,"A+",IF('Data Source'!AB76&gt;=4,"A",IF('Data Source'!AB76&gt;=3.5,"A-",IF('Data Source'!AB76&gt;=3,"B",IF('Data Source'!AB76&gt;=2,"C",IF('Data Source'!AB76&gt;=1,"D","F")))))),"")</f>
        <v/>
      </c>
      <c r="K76" s="3">
        <f>IF(AND('Data Source'!B76&lt;&gt;"",'Data Source'!S76="A+"),IF('Data Source'!AC76&gt;=5,"A+",IF('Data Source'!AC76&gt;=4,"A",IF('Data Source'!AC76&gt;=3.5,"A-",IF('Data Source'!AC76&gt;=3,"B",IF('Data Source'!AC76&gt;=2,"C",IF('Data Source'!AC76&gt;=1,"D","F")))))),"")</f>
        <v/>
      </c>
      <c r="L76" s="3">
        <f>IF(AND('Data Source'!B76&lt;&gt;"",'Data Source'!S76="A+"),IF('Data Source'!AD76&gt;=5,"A+",IF('Data Source'!AD76&gt;=4,"A",IF('Data Source'!AD76&gt;=3.5,"A-",IF('Data Source'!AD76&gt;=3,"B",IF('Data Source'!AD76&gt;=2,"C",IF('Data Source'!AD76&gt;=1,"D","F")))))),"")</f>
        <v/>
      </c>
      <c r="M76" s="3">
        <f>IF(AND('Data Source'!B76&lt;&gt;"",'Data Source'!S76="A+"),IF('Data Source'!AE76&gt;=5,"A+",IF('Data Source'!AE76&gt;=4,"A",IF('Data Source'!AE76&gt;=3.5,"A-",IF('Data Source'!AE76&gt;=3,"B",IF('Data Source'!AE76&gt;=2,"C",IF('Data Source'!AE76&gt;=1,"D","F")))))),"")</f>
        <v/>
      </c>
      <c r="N76" s="3">
        <f>IF(AND('Data Source'!B76&lt;&gt;"",'Data Source'!S76="A+"),IF('Data Source'!AF76&gt;=5,"A+",IF('Data Source'!AF76&gt;=4,"A",IF('Data Source'!AF76&gt;=3.5,"A-",IF('Data Source'!AF76&gt;=3,"B",IF('Data Source'!AF76&gt;=2,"C",IF('Data Source'!AF76&gt;=1,"D","F")))))),"")</f>
        <v/>
      </c>
      <c r="O76" s="3">
        <f>IF(AND('Data Source'!B76&lt;&gt;"",'Data Source'!S76="A+"),IF('Data Source'!AG76&gt;=5,"A+",IF('Data Source'!AG76&gt;=4,"A",IF('Data Source'!AG76&gt;=3.5,"A-",IF('Data Source'!AG76&gt;=3,"B",IF('Data Source'!AG76&gt;=2,"C",IF('Data Source'!AG76&gt;=1,"D","F")))))),"")</f>
        <v/>
      </c>
      <c r="P76" s="5">
        <f>IF(AND('Data Source'!B76&lt;&gt;"",'Data Source'!S76="A+"),'Data Source'!R76,"")</f>
        <v/>
      </c>
      <c r="Q76" s="3">
        <f>IF(AND('Data Source'!B76&lt;&gt;"",'Data Source'!S76="A+"),'Data Source'!S76,"")</f>
        <v/>
      </c>
    </row>
    <row r="77">
      <c r="A77" s="3">
        <f>IF(AND('Data Source'!B77&lt;&gt;"",'Data Source'!S77="A+"),COUNTIF('Data Source'!$S$3:S77,"A+"),"")</f>
        <v/>
      </c>
      <c r="B77">
        <f>IF(AND('Data Source'!B77&lt;&gt;"",'Data Source'!S77="A+"),'Data Source'!B77,"")</f>
        <v/>
      </c>
      <c r="C77" s="3">
        <f>IF(AND('Data Source'!B77&lt;&gt;"",'Data Source'!S77="A+"),IF('Data Source'!U77&gt;=5,"A+",IF('Data Source'!U77&gt;=4,"A",IF('Data Source'!U77&gt;=3.5,"A-",IF('Data Source'!U77&gt;=3,"B",IF('Data Source'!U77&gt;=2,"C",IF('Data Source'!U77&gt;=1,"D","F")))))),"")</f>
        <v/>
      </c>
      <c r="D77" s="3">
        <f>IF(AND('Data Source'!B77&lt;&gt;"",'Data Source'!S77="A+"),IF('Data Source'!V77&gt;=5,"A+",IF('Data Source'!V77&gt;=4,"A",IF('Data Source'!V77&gt;=3.5,"A-",IF('Data Source'!V77&gt;=3,"B",IF('Data Source'!V77&gt;=2,"C",IF('Data Source'!V77&gt;=1,"D","F")))))),"")</f>
        <v/>
      </c>
      <c r="E77" s="3">
        <f>IF(AND('Data Source'!B77&lt;&gt;"",'Data Source'!S77="A+"),IF('Data Source'!W77&gt;=5,"A+",IF('Data Source'!W77&gt;=4,"A",IF('Data Source'!W77&gt;=3.5,"A-",IF('Data Source'!W77&gt;=3,"B",IF('Data Source'!W77&gt;=2,"C",IF('Data Source'!W77&gt;=1,"D","F")))))),"")</f>
        <v/>
      </c>
      <c r="F77" s="3">
        <f>IF(AND('Data Source'!B77&lt;&gt;"",'Data Source'!S77="A+"),IF('Data Source'!X77&gt;=5,"A+",IF('Data Source'!X77&gt;=4,"A",IF('Data Source'!X77&gt;=3.5,"A-",IF('Data Source'!X77&gt;=3,"B",IF('Data Source'!X77&gt;=2,"C",IF('Data Source'!X77&gt;=1,"D","F")))))),"")</f>
        <v/>
      </c>
      <c r="G77" s="3">
        <f>IF(AND('Data Source'!B77&lt;&gt;"",'Data Source'!S77="A+"),IF('Data Source'!Y77&gt;=5,"A+",IF('Data Source'!Y77&gt;=4,"A",IF('Data Source'!Y77&gt;=3.5,"A-",IF('Data Source'!Y77&gt;=3,"B",IF('Data Source'!Y77&gt;=2,"C",IF('Data Source'!Y77&gt;=1,"D","F")))))),"")</f>
        <v/>
      </c>
      <c r="H77" s="3">
        <f>IF(AND('Data Source'!B77&lt;&gt;"",'Data Source'!S77="A+"),IF('Data Source'!Z77&gt;=5,"A+",IF('Data Source'!Z77&gt;=4,"A",IF('Data Source'!Z77&gt;=3.5,"A-",IF('Data Source'!Z77&gt;=3,"B",IF('Data Source'!Z77&gt;=2,"C",IF('Data Source'!Z77&gt;=1,"D","F")))))),"")</f>
        <v/>
      </c>
      <c r="I77" s="3">
        <f>IF(AND('Data Source'!B77&lt;&gt;"",'Data Source'!S77="A+"),IF('Data Source'!AA77&gt;=5,"A+",IF('Data Source'!AA77&gt;=4,"A",IF('Data Source'!AA77&gt;=3.5,"A-",IF('Data Source'!AA77&gt;=3,"B",IF('Data Source'!AA77&gt;=2,"C",IF('Data Source'!AA77&gt;=1,"D","F")))))),"")</f>
        <v/>
      </c>
      <c r="J77" s="3">
        <f>IF(AND('Data Source'!B77&lt;&gt;"",'Data Source'!S77="A+"),IF('Data Source'!AB77&gt;=5,"A+",IF('Data Source'!AB77&gt;=4,"A",IF('Data Source'!AB77&gt;=3.5,"A-",IF('Data Source'!AB77&gt;=3,"B",IF('Data Source'!AB77&gt;=2,"C",IF('Data Source'!AB77&gt;=1,"D","F")))))),"")</f>
        <v/>
      </c>
      <c r="K77" s="3">
        <f>IF(AND('Data Source'!B77&lt;&gt;"",'Data Source'!S77="A+"),IF('Data Source'!AC77&gt;=5,"A+",IF('Data Source'!AC77&gt;=4,"A",IF('Data Source'!AC77&gt;=3.5,"A-",IF('Data Source'!AC77&gt;=3,"B",IF('Data Source'!AC77&gt;=2,"C",IF('Data Source'!AC77&gt;=1,"D","F")))))),"")</f>
        <v/>
      </c>
      <c r="L77" s="3">
        <f>IF(AND('Data Source'!B77&lt;&gt;"",'Data Source'!S77="A+"),IF('Data Source'!AD77&gt;=5,"A+",IF('Data Source'!AD77&gt;=4,"A",IF('Data Source'!AD77&gt;=3.5,"A-",IF('Data Source'!AD77&gt;=3,"B",IF('Data Source'!AD77&gt;=2,"C",IF('Data Source'!AD77&gt;=1,"D","F")))))),"")</f>
        <v/>
      </c>
      <c r="M77" s="3">
        <f>IF(AND('Data Source'!B77&lt;&gt;"",'Data Source'!S77="A+"),IF('Data Source'!AE77&gt;=5,"A+",IF('Data Source'!AE77&gt;=4,"A",IF('Data Source'!AE77&gt;=3.5,"A-",IF('Data Source'!AE77&gt;=3,"B",IF('Data Source'!AE77&gt;=2,"C",IF('Data Source'!AE77&gt;=1,"D","F")))))),"")</f>
        <v/>
      </c>
      <c r="N77" s="3">
        <f>IF(AND('Data Source'!B77&lt;&gt;"",'Data Source'!S77="A+"),IF('Data Source'!AF77&gt;=5,"A+",IF('Data Source'!AF77&gt;=4,"A",IF('Data Source'!AF77&gt;=3.5,"A-",IF('Data Source'!AF77&gt;=3,"B",IF('Data Source'!AF77&gt;=2,"C",IF('Data Source'!AF77&gt;=1,"D","F")))))),"")</f>
        <v/>
      </c>
      <c r="O77" s="3">
        <f>IF(AND('Data Source'!B77&lt;&gt;"",'Data Source'!S77="A+"),IF('Data Source'!AG77&gt;=5,"A+",IF('Data Source'!AG77&gt;=4,"A",IF('Data Source'!AG77&gt;=3.5,"A-",IF('Data Source'!AG77&gt;=3,"B",IF('Data Source'!AG77&gt;=2,"C",IF('Data Source'!AG77&gt;=1,"D","F")))))),"")</f>
        <v/>
      </c>
      <c r="P77" s="5">
        <f>IF(AND('Data Source'!B77&lt;&gt;"",'Data Source'!S77="A+"),'Data Source'!R77,"")</f>
        <v/>
      </c>
      <c r="Q77" s="3">
        <f>IF(AND('Data Source'!B77&lt;&gt;"",'Data Source'!S77="A+"),'Data Source'!S77,"")</f>
        <v/>
      </c>
    </row>
    <row r="78">
      <c r="A78" s="3">
        <f>IF(AND('Data Source'!B78&lt;&gt;"",'Data Source'!S78="A+"),COUNTIF('Data Source'!$S$3:S78,"A+"),"")</f>
        <v/>
      </c>
      <c r="B78">
        <f>IF(AND('Data Source'!B78&lt;&gt;"",'Data Source'!S78="A+"),'Data Source'!B78,"")</f>
        <v/>
      </c>
      <c r="C78" s="3">
        <f>IF(AND('Data Source'!B78&lt;&gt;"",'Data Source'!S78="A+"),IF('Data Source'!U78&gt;=5,"A+",IF('Data Source'!U78&gt;=4,"A",IF('Data Source'!U78&gt;=3.5,"A-",IF('Data Source'!U78&gt;=3,"B",IF('Data Source'!U78&gt;=2,"C",IF('Data Source'!U78&gt;=1,"D","F")))))),"")</f>
        <v/>
      </c>
      <c r="D78" s="3">
        <f>IF(AND('Data Source'!B78&lt;&gt;"",'Data Source'!S78="A+"),IF('Data Source'!V78&gt;=5,"A+",IF('Data Source'!V78&gt;=4,"A",IF('Data Source'!V78&gt;=3.5,"A-",IF('Data Source'!V78&gt;=3,"B",IF('Data Source'!V78&gt;=2,"C",IF('Data Source'!V78&gt;=1,"D","F")))))),"")</f>
        <v/>
      </c>
      <c r="E78" s="3">
        <f>IF(AND('Data Source'!B78&lt;&gt;"",'Data Source'!S78="A+"),IF('Data Source'!W78&gt;=5,"A+",IF('Data Source'!W78&gt;=4,"A",IF('Data Source'!W78&gt;=3.5,"A-",IF('Data Source'!W78&gt;=3,"B",IF('Data Source'!W78&gt;=2,"C",IF('Data Source'!W78&gt;=1,"D","F")))))),"")</f>
        <v/>
      </c>
      <c r="F78" s="3">
        <f>IF(AND('Data Source'!B78&lt;&gt;"",'Data Source'!S78="A+"),IF('Data Source'!X78&gt;=5,"A+",IF('Data Source'!X78&gt;=4,"A",IF('Data Source'!X78&gt;=3.5,"A-",IF('Data Source'!X78&gt;=3,"B",IF('Data Source'!X78&gt;=2,"C",IF('Data Source'!X78&gt;=1,"D","F")))))),"")</f>
        <v/>
      </c>
      <c r="G78" s="3">
        <f>IF(AND('Data Source'!B78&lt;&gt;"",'Data Source'!S78="A+"),IF('Data Source'!Y78&gt;=5,"A+",IF('Data Source'!Y78&gt;=4,"A",IF('Data Source'!Y78&gt;=3.5,"A-",IF('Data Source'!Y78&gt;=3,"B",IF('Data Source'!Y78&gt;=2,"C",IF('Data Source'!Y78&gt;=1,"D","F")))))),"")</f>
        <v/>
      </c>
      <c r="H78" s="3">
        <f>IF(AND('Data Source'!B78&lt;&gt;"",'Data Source'!S78="A+"),IF('Data Source'!Z78&gt;=5,"A+",IF('Data Source'!Z78&gt;=4,"A",IF('Data Source'!Z78&gt;=3.5,"A-",IF('Data Source'!Z78&gt;=3,"B",IF('Data Source'!Z78&gt;=2,"C",IF('Data Source'!Z78&gt;=1,"D","F")))))),"")</f>
        <v/>
      </c>
      <c r="I78" s="3">
        <f>IF(AND('Data Source'!B78&lt;&gt;"",'Data Source'!S78="A+"),IF('Data Source'!AA78&gt;=5,"A+",IF('Data Source'!AA78&gt;=4,"A",IF('Data Source'!AA78&gt;=3.5,"A-",IF('Data Source'!AA78&gt;=3,"B",IF('Data Source'!AA78&gt;=2,"C",IF('Data Source'!AA78&gt;=1,"D","F")))))),"")</f>
        <v/>
      </c>
      <c r="J78" s="3">
        <f>IF(AND('Data Source'!B78&lt;&gt;"",'Data Source'!S78="A+"),IF('Data Source'!AB78&gt;=5,"A+",IF('Data Source'!AB78&gt;=4,"A",IF('Data Source'!AB78&gt;=3.5,"A-",IF('Data Source'!AB78&gt;=3,"B",IF('Data Source'!AB78&gt;=2,"C",IF('Data Source'!AB78&gt;=1,"D","F")))))),"")</f>
        <v/>
      </c>
      <c r="K78" s="3">
        <f>IF(AND('Data Source'!B78&lt;&gt;"",'Data Source'!S78="A+"),IF('Data Source'!AC78&gt;=5,"A+",IF('Data Source'!AC78&gt;=4,"A",IF('Data Source'!AC78&gt;=3.5,"A-",IF('Data Source'!AC78&gt;=3,"B",IF('Data Source'!AC78&gt;=2,"C",IF('Data Source'!AC78&gt;=1,"D","F")))))),"")</f>
        <v/>
      </c>
      <c r="L78" s="3">
        <f>IF(AND('Data Source'!B78&lt;&gt;"",'Data Source'!S78="A+"),IF('Data Source'!AD78&gt;=5,"A+",IF('Data Source'!AD78&gt;=4,"A",IF('Data Source'!AD78&gt;=3.5,"A-",IF('Data Source'!AD78&gt;=3,"B",IF('Data Source'!AD78&gt;=2,"C",IF('Data Source'!AD78&gt;=1,"D","F")))))),"")</f>
        <v/>
      </c>
      <c r="M78" s="3">
        <f>IF(AND('Data Source'!B78&lt;&gt;"",'Data Source'!S78="A+"),IF('Data Source'!AE78&gt;=5,"A+",IF('Data Source'!AE78&gt;=4,"A",IF('Data Source'!AE78&gt;=3.5,"A-",IF('Data Source'!AE78&gt;=3,"B",IF('Data Source'!AE78&gt;=2,"C",IF('Data Source'!AE78&gt;=1,"D","F")))))),"")</f>
        <v/>
      </c>
      <c r="N78" s="3">
        <f>IF(AND('Data Source'!B78&lt;&gt;"",'Data Source'!S78="A+"),IF('Data Source'!AF78&gt;=5,"A+",IF('Data Source'!AF78&gt;=4,"A",IF('Data Source'!AF78&gt;=3.5,"A-",IF('Data Source'!AF78&gt;=3,"B",IF('Data Source'!AF78&gt;=2,"C",IF('Data Source'!AF78&gt;=1,"D","F")))))),"")</f>
        <v/>
      </c>
      <c r="O78" s="3">
        <f>IF(AND('Data Source'!B78&lt;&gt;"",'Data Source'!S78="A+"),IF('Data Source'!AG78&gt;=5,"A+",IF('Data Source'!AG78&gt;=4,"A",IF('Data Source'!AG78&gt;=3.5,"A-",IF('Data Source'!AG78&gt;=3,"B",IF('Data Source'!AG78&gt;=2,"C",IF('Data Source'!AG78&gt;=1,"D","F")))))),"")</f>
        <v/>
      </c>
      <c r="P78" s="5">
        <f>IF(AND('Data Source'!B78&lt;&gt;"",'Data Source'!S78="A+"),'Data Source'!R78,"")</f>
        <v/>
      </c>
      <c r="Q78" s="3">
        <f>IF(AND('Data Source'!B78&lt;&gt;"",'Data Source'!S78="A+"),'Data Source'!S78,"")</f>
        <v/>
      </c>
    </row>
    <row r="79">
      <c r="A79" s="3">
        <f>IF(AND('Data Source'!B79&lt;&gt;"",'Data Source'!S79="A+"),COUNTIF('Data Source'!$S$3:S79,"A+"),"")</f>
        <v/>
      </c>
      <c r="B79">
        <f>IF(AND('Data Source'!B79&lt;&gt;"",'Data Source'!S79="A+"),'Data Source'!B79,"")</f>
        <v/>
      </c>
      <c r="C79" s="3">
        <f>IF(AND('Data Source'!B79&lt;&gt;"",'Data Source'!S79="A+"),IF('Data Source'!U79&gt;=5,"A+",IF('Data Source'!U79&gt;=4,"A",IF('Data Source'!U79&gt;=3.5,"A-",IF('Data Source'!U79&gt;=3,"B",IF('Data Source'!U79&gt;=2,"C",IF('Data Source'!U79&gt;=1,"D","F")))))),"")</f>
        <v/>
      </c>
      <c r="D79" s="3">
        <f>IF(AND('Data Source'!B79&lt;&gt;"",'Data Source'!S79="A+"),IF('Data Source'!V79&gt;=5,"A+",IF('Data Source'!V79&gt;=4,"A",IF('Data Source'!V79&gt;=3.5,"A-",IF('Data Source'!V79&gt;=3,"B",IF('Data Source'!V79&gt;=2,"C",IF('Data Source'!V79&gt;=1,"D","F")))))),"")</f>
        <v/>
      </c>
      <c r="E79" s="3">
        <f>IF(AND('Data Source'!B79&lt;&gt;"",'Data Source'!S79="A+"),IF('Data Source'!W79&gt;=5,"A+",IF('Data Source'!W79&gt;=4,"A",IF('Data Source'!W79&gt;=3.5,"A-",IF('Data Source'!W79&gt;=3,"B",IF('Data Source'!W79&gt;=2,"C",IF('Data Source'!W79&gt;=1,"D","F")))))),"")</f>
        <v/>
      </c>
      <c r="F79" s="3">
        <f>IF(AND('Data Source'!B79&lt;&gt;"",'Data Source'!S79="A+"),IF('Data Source'!X79&gt;=5,"A+",IF('Data Source'!X79&gt;=4,"A",IF('Data Source'!X79&gt;=3.5,"A-",IF('Data Source'!X79&gt;=3,"B",IF('Data Source'!X79&gt;=2,"C",IF('Data Source'!X79&gt;=1,"D","F")))))),"")</f>
        <v/>
      </c>
      <c r="G79" s="3">
        <f>IF(AND('Data Source'!B79&lt;&gt;"",'Data Source'!S79="A+"),IF('Data Source'!Y79&gt;=5,"A+",IF('Data Source'!Y79&gt;=4,"A",IF('Data Source'!Y79&gt;=3.5,"A-",IF('Data Source'!Y79&gt;=3,"B",IF('Data Source'!Y79&gt;=2,"C",IF('Data Source'!Y79&gt;=1,"D","F")))))),"")</f>
        <v/>
      </c>
      <c r="H79" s="3">
        <f>IF(AND('Data Source'!B79&lt;&gt;"",'Data Source'!S79="A+"),IF('Data Source'!Z79&gt;=5,"A+",IF('Data Source'!Z79&gt;=4,"A",IF('Data Source'!Z79&gt;=3.5,"A-",IF('Data Source'!Z79&gt;=3,"B",IF('Data Source'!Z79&gt;=2,"C",IF('Data Source'!Z79&gt;=1,"D","F")))))),"")</f>
        <v/>
      </c>
      <c r="I79" s="3">
        <f>IF(AND('Data Source'!B79&lt;&gt;"",'Data Source'!S79="A+"),IF('Data Source'!AA79&gt;=5,"A+",IF('Data Source'!AA79&gt;=4,"A",IF('Data Source'!AA79&gt;=3.5,"A-",IF('Data Source'!AA79&gt;=3,"B",IF('Data Source'!AA79&gt;=2,"C",IF('Data Source'!AA79&gt;=1,"D","F")))))),"")</f>
        <v/>
      </c>
      <c r="J79" s="3">
        <f>IF(AND('Data Source'!B79&lt;&gt;"",'Data Source'!S79="A+"),IF('Data Source'!AB79&gt;=5,"A+",IF('Data Source'!AB79&gt;=4,"A",IF('Data Source'!AB79&gt;=3.5,"A-",IF('Data Source'!AB79&gt;=3,"B",IF('Data Source'!AB79&gt;=2,"C",IF('Data Source'!AB79&gt;=1,"D","F")))))),"")</f>
        <v/>
      </c>
      <c r="K79" s="3">
        <f>IF(AND('Data Source'!B79&lt;&gt;"",'Data Source'!S79="A+"),IF('Data Source'!AC79&gt;=5,"A+",IF('Data Source'!AC79&gt;=4,"A",IF('Data Source'!AC79&gt;=3.5,"A-",IF('Data Source'!AC79&gt;=3,"B",IF('Data Source'!AC79&gt;=2,"C",IF('Data Source'!AC79&gt;=1,"D","F")))))),"")</f>
        <v/>
      </c>
      <c r="L79" s="3">
        <f>IF(AND('Data Source'!B79&lt;&gt;"",'Data Source'!S79="A+"),IF('Data Source'!AD79&gt;=5,"A+",IF('Data Source'!AD79&gt;=4,"A",IF('Data Source'!AD79&gt;=3.5,"A-",IF('Data Source'!AD79&gt;=3,"B",IF('Data Source'!AD79&gt;=2,"C",IF('Data Source'!AD79&gt;=1,"D","F")))))),"")</f>
        <v/>
      </c>
      <c r="M79" s="3">
        <f>IF(AND('Data Source'!B79&lt;&gt;"",'Data Source'!S79="A+"),IF('Data Source'!AE79&gt;=5,"A+",IF('Data Source'!AE79&gt;=4,"A",IF('Data Source'!AE79&gt;=3.5,"A-",IF('Data Source'!AE79&gt;=3,"B",IF('Data Source'!AE79&gt;=2,"C",IF('Data Source'!AE79&gt;=1,"D","F")))))),"")</f>
        <v/>
      </c>
      <c r="N79" s="3">
        <f>IF(AND('Data Source'!B79&lt;&gt;"",'Data Source'!S79="A+"),IF('Data Source'!AF79&gt;=5,"A+",IF('Data Source'!AF79&gt;=4,"A",IF('Data Source'!AF79&gt;=3.5,"A-",IF('Data Source'!AF79&gt;=3,"B",IF('Data Source'!AF79&gt;=2,"C",IF('Data Source'!AF79&gt;=1,"D","F")))))),"")</f>
        <v/>
      </c>
      <c r="O79" s="3">
        <f>IF(AND('Data Source'!B79&lt;&gt;"",'Data Source'!S79="A+"),IF('Data Source'!AG79&gt;=5,"A+",IF('Data Source'!AG79&gt;=4,"A",IF('Data Source'!AG79&gt;=3.5,"A-",IF('Data Source'!AG79&gt;=3,"B",IF('Data Source'!AG79&gt;=2,"C",IF('Data Source'!AG79&gt;=1,"D","F")))))),"")</f>
        <v/>
      </c>
      <c r="P79" s="5">
        <f>IF(AND('Data Source'!B79&lt;&gt;"",'Data Source'!S79="A+"),'Data Source'!R79,"")</f>
        <v/>
      </c>
      <c r="Q79" s="3">
        <f>IF(AND('Data Source'!B79&lt;&gt;"",'Data Source'!S79="A+"),'Data Source'!S79,"")</f>
        <v/>
      </c>
    </row>
    <row r="80">
      <c r="A80" s="3">
        <f>IF(AND('Data Source'!B80&lt;&gt;"",'Data Source'!S80="A+"),COUNTIF('Data Source'!$S$3:S80,"A+"),"")</f>
        <v/>
      </c>
      <c r="B80">
        <f>IF(AND('Data Source'!B80&lt;&gt;"",'Data Source'!S80="A+"),'Data Source'!B80,"")</f>
        <v/>
      </c>
      <c r="C80" s="3">
        <f>IF(AND('Data Source'!B80&lt;&gt;"",'Data Source'!S80="A+"),IF('Data Source'!U80&gt;=5,"A+",IF('Data Source'!U80&gt;=4,"A",IF('Data Source'!U80&gt;=3.5,"A-",IF('Data Source'!U80&gt;=3,"B",IF('Data Source'!U80&gt;=2,"C",IF('Data Source'!U80&gt;=1,"D","F")))))),"")</f>
        <v/>
      </c>
      <c r="D80" s="3">
        <f>IF(AND('Data Source'!B80&lt;&gt;"",'Data Source'!S80="A+"),IF('Data Source'!V80&gt;=5,"A+",IF('Data Source'!V80&gt;=4,"A",IF('Data Source'!V80&gt;=3.5,"A-",IF('Data Source'!V80&gt;=3,"B",IF('Data Source'!V80&gt;=2,"C",IF('Data Source'!V80&gt;=1,"D","F")))))),"")</f>
        <v/>
      </c>
      <c r="E80" s="3">
        <f>IF(AND('Data Source'!B80&lt;&gt;"",'Data Source'!S80="A+"),IF('Data Source'!W80&gt;=5,"A+",IF('Data Source'!W80&gt;=4,"A",IF('Data Source'!W80&gt;=3.5,"A-",IF('Data Source'!W80&gt;=3,"B",IF('Data Source'!W80&gt;=2,"C",IF('Data Source'!W80&gt;=1,"D","F")))))),"")</f>
        <v/>
      </c>
      <c r="F80" s="3">
        <f>IF(AND('Data Source'!B80&lt;&gt;"",'Data Source'!S80="A+"),IF('Data Source'!X80&gt;=5,"A+",IF('Data Source'!X80&gt;=4,"A",IF('Data Source'!X80&gt;=3.5,"A-",IF('Data Source'!X80&gt;=3,"B",IF('Data Source'!X80&gt;=2,"C",IF('Data Source'!X80&gt;=1,"D","F")))))),"")</f>
        <v/>
      </c>
      <c r="G80" s="3">
        <f>IF(AND('Data Source'!B80&lt;&gt;"",'Data Source'!S80="A+"),IF('Data Source'!Y80&gt;=5,"A+",IF('Data Source'!Y80&gt;=4,"A",IF('Data Source'!Y80&gt;=3.5,"A-",IF('Data Source'!Y80&gt;=3,"B",IF('Data Source'!Y80&gt;=2,"C",IF('Data Source'!Y80&gt;=1,"D","F")))))),"")</f>
        <v/>
      </c>
      <c r="H80" s="3">
        <f>IF(AND('Data Source'!B80&lt;&gt;"",'Data Source'!S80="A+"),IF('Data Source'!Z80&gt;=5,"A+",IF('Data Source'!Z80&gt;=4,"A",IF('Data Source'!Z80&gt;=3.5,"A-",IF('Data Source'!Z80&gt;=3,"B",IF('Data Source'!Z80&gt;=2,"C",IF('Data Source'!Z80&gt;=1,"D","F")))))),"")</f>
        <v/>
      </c>
      <c r="I80" s="3">
        <f>IF(AND('Data Source'!B80&lt;&gt;"",'Data Source'!S80="A+"),IF('Data Source'!AA80&gt;=5,"A+",IF('Data Source'!AA80&gt;=4,"A",IF('Data Source'!AA80&gt;=3.5,"A-",IF('Data Source'!AA80&gt;=3,"B",IF('Data Source'!AA80&gt;=2,"C",IF('Data Source'!AA80&gt;=1,"D","F")))))),"")</f>
        <v/>
      </c>
      <c r="J80" s="3">
        <f>IF(AND('Data Source'!B80&lt;&gt;"",'Data Source'!S80="A+"),IF('Data Source'!AB80&gt;=5,"A+",IF('Data Source'!AB80&gt;=4,"A",IF('Data Source'!AB80&gt;=3.5,"A-",IF('Data Source'!AB80&gt;=3,"B",IF('Data Source'!AB80&gt;=2,"C",IF('Data Source'!AB80&gt;=1,"D","F")))))),"")</f>
        <v/>
      </c>
      <c r="K80" s="3">
        <f>IF(AND('Data Source'!B80&lt;&gt;"",'Data Source'!S80="A+"),IF('Data Source'!AC80&gt;=5,"A+",IF('Data Source'!AC80&gt;=4,"A",IF('Data Source'!AC80&gt;=3.5,"A-",IF('Data Source'!AC80&gt;=3,"B",IF('Data Source'!AC80&gt;=2,"C",IF('Data Source'!AC80&gt;=1,"D","F")))))),"")</f>
        <v/>
      </c>
      <c r="L80" s="3">
        <f>IF(AND('Data Source'!B80&lt;&gt;"",'Data Source'!S80="A+"),IF('Data Source'!AD80&gt;=5,"A+",IF('Data Source'!AD80&gt;=4,"A",IF('Data Source'!AD80&gt;=3.5,"A-",IF('Data Source'!AD80&gt;=3,"B",IF('Data Source'!AD80&gt;=2,"C",IF('Data Source'!AD80&gt;=1,"D","F")))))),"")</f>
        <v/>
      </c>
      <c r="M80" s="3">
        <f>IF(AND('Data Source'!B80&lt;&gt;"",'Data Source'!S80="A+"),IF('Data Source'!AE80&gt;=5,"A+",IF('Data Source'!AE80&gt;=4,"A",IF('Data Source'!AE80&gt;=3.5,"A-",IF('Data Source'!AE80&gt;=3,"B",IF('Data Source'!AE80&gt;=2,"C",IF('Data Source'!AE80&gt;=1,"D","F")))))),"")</f>
        <v/>
      </c>
      <c r="N80" s="3">
        <f>IF(AND('Data Source'!B80&lt;&gt;"",'Data Source'!S80="A+"),IF('Data Source'!AF80&gt;=5,"A+",IF('Data Source'!AF80&gt;=4,"A",IF('Data Source'!AF80&gt;=3.5,"A-",IF('Data Source'!AF80&gt;=3,"B",IF('Data Source'!AF80&gt;=2,"C",IF('Data Source'!AF80&gt;=1,"D","F")))))),"")</f>
        <v/>
      </c>
      <c r="O80" s="3">
        <f>IF(AND('Data Source'!B80&lt;&gt;"",'Data Source'!S80="A+"),IF('Data Source'!AG80&gt;=5,"A+",IF('Data Source'!AG80&gt;=4,"A",IF('Data Source'!AG80&gt;=3.5,"A-",IF('Data Source'!AG80&gt;=3,"B",IF('Data Source'!AG80&gt;=2,"C",IF('Data Source'!AG80&gt;=1,"D","F")))))),"")</f>
        <v/>
      </c>
      <c r="P80" s="5">
        <f>IF(AND('Data Source'!B80&lt;&gt;"",'Data Source'!S80="A+"),'Data Source'!R80,"")</f>
        <v/>
      </c>
      <c r="Q80" s="3">
        <f>IF(AND('Data Source'!B80&lt;&gt;"",'Data Source'!S80="A+"),'Data Source'!S80,"")</f>
        <v/>
      </c>
    </row>
    <row r="81">
      <c r="A81" s="3">
        <f>IF(AND('Data Source'!B81&lt;&gt;"",'Data Source'!S81="A+"),COUNTIF('Data Source'!$S$3:S81,"A+"),"")</f>
        <v/>
      </c>
      <c r="B81">
        <f>IF(AND('Data Source'!B81&lt;&gt;"",'Data Source'!S81="A+"),'Data Source'!B81,"")</f>
        <v/>
      </c>
      <c r="C81" s="3">
        <f>IF(AND('Data Source'!B81&lt;&gt;"",'Data Source'!S81="A+"),IF('Data Source'!U81&gt;=5,"A+",IF('Data Source'!U81&gt;=4,"A",IF('Data Source'!U81&gt;=3.5,"A-",IF('Data Source'!U81&gt;=3,"B",IF('Data Source'!U81&gt;=2,"C",IF('Data Source'!U81&gt;=1,"D","F")))))),"")</f>
        <v/>
      </c>
      <c r="D81" s="3">
        <f>IF(AND('Data Source'!B81&lt;&gt;"",'Data Source'!S81="A+"),IF('Data Source'!V81&gt;=5,"A+",IF('Data Source'!V81&gt;=4,"A",IF('Data Source'!V81&gt;=3.5,"A-",IF('Data Source'!V81&gt;=3,"B",IF('Data Source'!V81&gt;=2,"C",IF('Data Source'!V81&gt;=1,"D","F")))))),"")</f>
        <v/>
      </c>
      <c r="E81" s="3">
        <f>IF(AND('Data Source'!B81&lt;&gt;"",'Data Source'!S81="A+"),IF('Data Source'!W81&gt;=5,"A+",IF('Data Source'!W81&gt;=4,"A",IF('Data Source'!W81&gt;=3.5,"A-",IF('Data Source'!W81&gt;=3,"B",IF('Data Source'!W81&gt;=2,"C",IF('Data Source'!W81&gt;=1,"D","F")))))),"")</f>
        <v/>
      </c>
      <c r="F81" s="3">
        <f>IF(AND('Data Source'!B81&lt;&gt;"",'Data Source'!S81="A+"),IF('Data Source'!X81&gt;=5,"A+",IF('Data Source'!X81&gt;=4,"A",IF('Data Source'!X81&gt;=3.5,"A-",IF('Data Source'!X81&gt;=3,"B",IF('Data Source'!X81&gt;=2,"C",IF('Data Source'!X81&gt;=1,"D","F")))))),"")</f>
        <v/>
      </c>
      <c r="G81" s="3">
        <f>IF(AND('Data Source'!B81&lt;&gt;"",'Data Source'!S81="A+"),IF('Data Source'!Y81&gt;=5,"A+",IF('Data Source'!Y81&gt;=4,"A",IF('Data Source'!Y81&gt;=3.5,"A-",IF('Data Source'!Y81&gt;=3,"B",IF('Data Source'!Y81&gt;=2,"C",IF('Data Source'!Y81&gt;=1,"D","F")))))),"")</f>
        <v/>
      </c>
      <c r="H81" s="3">
        <f>IF(AND('Data Source'!B81&lt;&gt;"",'Data Source'!S81="A+"),IF('Data Source'!Z81&gt;=5,"A+",IF('Data Source'!Z81&gt;=4,"A",IF('Data Source'!Z81&gt;=3.5,"A-",IF('Data Source'!Z81&gt;=3,"B",IF('Data Source'!Z81&gt;=2,"C",IF('Data Source'!Z81&gt;=1,"D","F")))))),"")</f>
        <v/>
      </c>
      <c r="I81" s="3">
        <f>IF(AND('Data Source'!B81&lt;&gt;"",'Data Source'!S81="A+"),IF('Data Source'!AA81&gt;=5,"A+",IF('Data Source'!AA81&gt;=4,"A",IF('Data Source'!AA81&gt;=3.5,"A-",IF('Data Source'!AA81&gt;=3,"B",IF('Data Source'!AA81&gt;=2,"C",IF('Data Source'!AA81&gt;=1,"D","F")))))),"")</f>
        <v/>
      </c>
      <c r="J81" s="3">
        <f>IF(AND('Data Source'!B81&lt;&gt;"",'Data Source'!S81="A+"),IF('Data Source'!AB81&gt;=5,"A+",IF('Data Source'!AB81&gt;=4,"A",IF('Data Source'!AB81&gt;=3.5,"A-",IF('Data Source'!AB81&gt;=3,"B",IF('Data Source'!AB81&gt;=2,"C",IF('Data Source'!AB81&gt;=1,"D","F")))))),"")</f>
        <v/>
      </c>
      <c r="K81" s="3">
        <f>IF(AND('Data Source'!B81&lt;&gt;"",'Data Source'!S81="A+"),IF('Data Source'!AC81&gt;=5,"A+",IF('Data Source'!AC81&gt;=4,"A",IF('Data Source'!AC81&gt;=3.5,"A-",IF('Data Source'!AC81&gt;=3,"B",IF('Data Source'!AC81&gt;=2,"C",IF('Data Source'!AC81&gt;=1,"D","F")))))),"")</f>
        <v/>
      </c>
      <c r="L81" s="3">
        <f>IF(AND('Data Source'!B81&lt;&gt;"",'Data Source'!S81="A+"),IF('Data Source'!AD81&gt;=5,"A+",IF('Data Source'!AD81&gt;=4,"A",IF('Data Source'!AD81&gt;=3.5,"A-",IF('Data Source'!AD81&gt;=3,"B",IF('Data Source'!AD81&gt;=2,"C",IF('Data Source'!AD81&gt;=1,"D","F")))))),"")</f>
        <v/>
      </c>
      <c r="M81" s="3">
        <f>IF(AND('Data Source'!B81&lt;&gt;"",'Data Source'!S81="A+"),IF('Data Source'!AE81&gt;=5,"A+",IF('Data Source'!AE81&gt;=4,"A",IF('Data Source'!AE81&gt;=3.5,"A-",IF('Data Source'!AE81&gt;=3,"B",IF('Data Source'!AE81&gt;=2,"C",IF('Data Source'!AE81&gt;=1,"D","F")))))),"")</f>
        <v/>
      </c>
      <c r="N81" s="3">
        <f>IF(AND('Data Source'!B81&lt;&gt;"",'Data Source'!S81="A+"),IF('Data Source'!AF81&gt;=5,"A+",IF('Data Source'!AF81&gt;=4,"A",IF('Data Source'!AF81&gt;=3.5,"A-",IF('Data Source'!AF81&gt;=3,"B",IF('Data Source'!AF81&gt;=2,"C",IF('Data Source'!AF81&gt;=1,"D","F")))))),"")</f>
        <v/>
      </c>
      <c r="O81" s="3">
        <f>IF(AND('Data Source'!B81&lt;&gt;"",'Data Source'!S81="A+"),IF('Data Source'!AG81&gt;=5,"A+",IF('Data Source'!AG81&gt;=4,"A",IF('Data Source'!AG81&gt;=3.5,"A-",IF('Data Source'!AG81&gt;=3,"B",IF('Data Source'!AG81&gt;=2,"C",IF('Data Source'!AG81&gt;=1,"D","F")))))),"")</f>
        <v/>
      </c>
      <c r="P81" s="5">
        <f>IF(AND('Data Source'!B81&lt;&gt;"",'Data Source'!S81="A+"),'Data Source'!R81,"")</f>
        <v/>
      </c>
      <c r="Q81" s="3">
        <f>IF(AND('Data Source'!B81&lt;&gt;"",'Data Source'!S81="A+"),'Data Source'!S81,"")</f>
        <v/>
      </c>
    </row>
    <row r="82">
      <c r="A82" s="3">
        <f>IF(AND('Data Source'!B82&lt;&gt;"",'Data Source'!S82="A+"),COUNTIF('Data Source'!$S$3:S82,"A+"),"")</f>
        <v/>
      </c>
      <c r="B82">
        <f>IF(AND('Data Source'!B82&lt;&gt;"",'Data Source'!S82="A+"),'Data Source'!B82,"")</f>
        <v/>
      </c>
      <c r="C82" s="3">
        <f>IF(AND('Data Source'!B82&lt;&gt;"",'Data Source'!S82="A+"),IF('Data Source'!U82&gt;=5,"A+",IF('Data Source'!U82&gt;=4,"A",IF('Data Source'!U82&gt;=3.5,"A-",IF('Data Source'!U82&gt;=3,"B",IF('Data Source'!U82&gt;=2,"C",IF('Data Source'!U82&gt;=1,"D","F")))))),"")</f>
        <v/>
      </c>
      <c r="D82" s="3">
        <f>IF(AND('Data Source'!B82&lt;&gt;"",'Data Source'!S82="A+"),IF('Data Source'!V82&gt;=5,"A+",IF('Data Source'!V82&gt;=4,"A",IF('Data Source'!V82&gt;=3.5,"A-",IF('Data Source'!V82&gt;=3,"B",IF('Data Source'!V82&gt;=2,"C",IF('Data Source'!V82&gt;=1,"D","F")))))),"")</f>
        <v/>
      </c>
      <c r="E82" s="3">
        <f>IF(AND('Data Source'!B82&lt;&gt;"",'Data Source'!S82="A+"),IF('Data Source'!W82&gt;=5,"A+",IF('Data Source'!W82&gt;=4,"A",IF('Data Source'!W82&gt;=3.5,"A-",IF('Data Source'!W82&gt;=3,"B",IF('Data Source'!W82&gt;=2,"C",IF('Data Source'!W82&gt;=1,"D","F")))))),"")</f>
        <v/>
      </c>
      <c r="F82" s="3">
        <f>IF(AND('Data Source'!B82&lt;&gt;"",'Data Source'!S82="A+"),IF('Data Source'!X82&gt;=5,"A+",IF('Data Source'!X82&gt;=4,"A",IF('Data Source'!X82&gt;=3.5,"A-",IF('Data Source'!X82&gt;=3,"B",IF('Data Source'!X82&gt;=2,"C",IF('Data Source'!X82&gt;=1,"D","F")))))),"")</f>
        <v/>
      </c>
      <c r="G82" s="3">
        <f>IF(AND('Data Source'!B82&lt;&gt;"",'Data Source'!S82="A+"),IF('Data Source'!Y82&gt;=5,"A+",IF('Data Source'!Y82&gt;=4,"A",IF('Data Source'!Y82&gt;=3.5,"A-",IF('Data Source'!Y82&gt;=3,"B",IF('Data Source'!Y82&gt;=2,"C",IF('Data Source'!Y82&gt;=1,"D","F")))))),"")</f>
        <v/>
      </c>
      <c r="H82" s="3">
        <f>IF(AND('Data Source'!B82&lt;&gt;"",'Data Source'!S82="A+"),IF('Data Source'!Z82&gt;=5,"A+",IF('Data Source'!Z82&gt;=4,"A",IF('Data Source'!Z82&gt;=3.5,"A-",IF('Data Source'!Z82&gt;=3,"B",IF('Data Source'!Z82&gt;=2,"C",IF('Data Source'!Z82&gt;=1,"D","F")))))),"")</f>
        <v/>
      </c>
      <c r="I82" s="3">
        <f>IF(AND('Data Source'!B82&lt;&gt;"",'Data Source'!S82="A+"),IF('Data Source'!AA82&gt;=5,"A+",IF('Data Source'!AA82&gt;=4,"A",IF('Data Source'!AA82&gt;=3.5,"A-",IF('Data Source'!AA82&gt;=3,"B",IF('Data Source'!AA82&gt;=2,"C",IF('Data Source'!AA82&gt;=1,"D","F")))))),"")</f>
        <v/>
      </c>
      <c r="J82" s="3">
        <f>IF(AND('Data Source'!B82&lt;&gt;"",'Data Source'!S82="A+"),IF('Data Source'!AB82&gt;=5,"A+",IF('Data Source'!AB82&gt;=4,"A",IF('Data Source'!AB82&gt;=3.5,"A-",IF('Data Source'!AB82&gt;=3,"B",IF('Data Source'!AB82&gt;=2,"C",IF('Data Source'!AB82&gt;=1,"D","F")))))),"")</f>
        <v/>
      </c>
      <c r="K82" s="3">
        <f>IF(AND('Data Source'!B82&lt;&gt;"",'Data Source'!S82="A+"),IF('Data Source'!AC82&gt;=5,"A+",IF('Data Source'!AC82&gt;=4,"A",IF('Data Source'!AC82&gt;=3.5,"A-",IF('Data Source'!AC82&gt;=3,"B",IF('Data Source'!AC82&gt;=2,"C",IF('Data Source'!AC82&gt;=1,"D","F")))))),"")</f>
        <v/>
      </c>
      <c r="L82" s="3">
        <f>IF(AND('Data Source'!B82&lt;&gt;"",'Data Source'!S82="A+"),IF('Data Source'!AD82&gt;=5,"A+",IF('Data Source'!AD82&gt;=4,"A",IF('Data Source'!AD82&gt;=3.5,"A-",IF('Data Source'!AD82&gt;=3,"B",IF('Data Source'!AD82&gt;=2,"C",IF('Data Source'!AD82&gt;=1,"D","F")))))),"")</f>
        <v/>
      </c>
      <c r="M82" s="3">
        <f>IF(AND('Data Source'!B82&lt;&gt;"",'Data Source'!S82="A+"),IF('Data Source'!AE82&gt;=5,"A+",IF('Data Source'!AE82&gt;=4,"A",IF('Data Source'!AE82&gt;=3.5,"A-",IF('Data Source'!AE82&gt;=3,"B",IF('Data Source'!AE82&gt;=2,"C",IF('Data Source'!AE82&gt;=1,"D","F")))))),"")</f>
        <v/>
      </c>
      <c r="N82" s="3">
        <f>IF(AND('Data Source'!B82&lt;&gt;"",'Data Source'!S82="A+"),IF('Data Source'!AF82&gt;=5,"A+",IF('Data Source'!AF82&gt;=4,"A",IF('Data Source'!AF82&gt;=3.5,"A-",IF('Data Source'!AF82&gt;=3,"B",IF('Data Source'!AF82&gt;=2,"C",IF('Data Source'!AF82&gt;=1,"D","F")))))),"")</f>
        <v/>
      </c>
      <c r="O82" s="3">
        <f>IF(AND('Data Source'!B82&lt;&gt;"",'Data Source'!S82="A+"),IF('Data Source'!AG82&gt;=5,"A+",IF('Data Source'!AG82&gt;=4,"A",IF('Data Source'!AG82&gt;=3.5,"A-",IF('Data Source'!AG82&gt;=3,"B",IF('Data Source'!AG82&gt;=2,"C",IF('Data Source'!AG82&gt;=1,"D","F")))))),"")</f>
        <v/>
      </c>
      <c r="P82" s="5">
        <f>IF(AND('Data Source'!B82&lt;&gt;"",'Data Source'!S82="A+"),'Data Source'!R82,"")</f>
        <v/>
      </c>
      <c r="Q82" s="3">
        <f>IF(AND('Data Source'!B82&lt;&gt;"",'Data Source'!S82="A+"),'Data Source'!S82,"")</f>
        <v/>
      </c>
    </row>
    <row r="83">
      <c r="A83" s="3">
        <f>IF(AND('Data Source'!B83&lt;&gt;"",'Data Source'!S83="A+"),COUNTIF('Data Source'!$S$3:S83,"A+"),"")</f>
        <v/>
      </c>
      <c r="B83">
        <f>IF(AND('Data Source'!B83&lt;&gt;"",'Data Source'!S83="A+"),'Data Source'!B83,"")</f>
        <v/>
      </c>
      <c r="C83" s="3">
        <f>IF(AND('Data Source'!B83&lt;&gt;"",'Data Source'!S83="A+"),IF('Data Source'!U83&gt;=5,"A+",IF('Data Source'!U83&gt;=4,"A",IF('Data Source'!U83&gt;=3.5,"A-",IF('Data Source'!U83&gt;=3,"B",IF('Data Source'!U83&gt;=2,"C",IF('Data Source'!U83&gt;=1,"D","F")))))),"")</f>
        <v/>
      </c>
      <c r="D83" s="3">
        <f>IF(AND('Data Source'!B83&lt;&gt;"",'Data Source'!S83="A+"),IF('Data Source'!V83&gt;=5,"A+",IF('Data Source'!V83&gt;=4,"A",IF('Data Source'!V83&gt;=3.5,"A-",IF('Data Source'!V83&gt;=3,"B",IF('Data Source'!V83&gt;=2,"C",IF('Data Source'!V83&gt;=1,"D","F")))))),"")</f>
        <v/>
      </c>
      <c r="E83" s="3">
        <f>IF(AND('Data Source'!B83&lt;&gt;"",'Data Source'!S83="A+"),IF('Data Source'!W83&gt;=5,"A+",IF('Data Source'!W83&gt;=4,"A",IF('Data Source'!W83&gt;=3.5,"A-",IF('Data Source'!W83&gt;=3,"B",IF('Data Source'!W83&gt;=2,"C",IF('Data Source'!W83&gt;=1,"D","F")))))),"")</f>
        <v/>
      </c>
      <c r="F83" s="3">
        <f>IF(AND('Data Source'!B83&lt;&gt;"",'Data Source'!S83="A+"),IF('Data Source'!X83&gt;=5,"A+",IF('Data Source'!X83&gt;=4,"A",IF('Data Source'!X83&gt;=3.5,"A-",IF('Data Source'!X83&gt;=3,"B",IF('Data Source'!X83&gt;=2,"C",IF('Data Source'!X83&gt;=1,"D","F")))))),"")</f>
        <v/>
      </c>
      <c r="G83" s="3">
        <f>IF(AND('Data Source'!B83&lt;&gt;"",'Data Source'!S83="A+"),IF('Data Source'!Y83&gt;=5,"A+",IF('Data Source'!Y83&gt;=4,"A",IF('Data Source'!Y83&gt;=3.5,"A-",IF('Data Source'!Y83&gt;=3,"B",IF('Data Source'!Y83&gt;=2,"C",IF('Data Source'!Y83&gt;=1,"D","F")))))),"")</f>
        <v/>
      </c>
      <c r="H83" s="3">
        <f>IF(AND('Data Source'!B83&lt;&gt;"",'Data Source'!S83="A+"),IF('Data Source'!Z83&gt;=5,"A+",IF('Data Source'!Z83&gt;=4,"A",IF('Data Source'!Z83&gt;=3.5,"A-",IF('Data Source'!Z83&gt;=3,"B",IF('Data Source'!Z83&gt;=2,"C",IF('Data Source'!Z83&gt;=1,"D","F")))))),"")</f>
        <v/>
      </c>
      <c r="I83" s="3">
        <f>IF(AND('Data Source'!B83&lt;&gt;"",'Data Source'!S83="A+"),IF('Data Source'!AA83&gt;=5,"A+",IF('Data Source'!AA83&gt;=4,"A",IF('Data Source'!AA83&gt;=3.5,"A-",IF('Data Source'!AA83&gt;=3,"B",IF('Data Source'!AA83&gt;=2,"C",IF('Data Source'!AA83&gt;=1,"D","F")))))),"")</f>
        <v/>
      </c>
      <c r="J83" s="3">
        <f>IF(AND('Data Source'!B83&lt;&gt;"",'Data Source'!S83="A+"),IF('Data Source'!AB83&gt;=5,"A+",IF('Data Source'!AB83&gt;=4,"A",IF('Data Source'!AB83&gt;=3.5,"A-",IF('Data Source'!AB83&gt;=3,"B",IF('Data Source'!AB83&gt;=2,"C",IF('Data Source'!AB83&gt;=1,"D","F")))))),"")</f>
        <v/>
      </c>
      <c r="K83" s="3">
        <f>IF(AND('Data Source'!B83&lt;&gt;"",'Data Source'!S83="A+"),IF('Data Source'!AC83&gt;=5,"A+",IF('Data Source'!AC83&gt;=4,"A",IF('Data Source'!AC83&gt;=3.5,"A-",IF('Data Source'!AC83&gt;=3,"B",IF('Data Source'!AC83&gt;=2,"C",IF('Data Source'!AC83&gt;=1,"D","F")))))),"")</f>
        <v/>
      </c>
      <c r="L83" s="3">
        <f>IF(AND('Data Source'!B83&lt;&gt;"",'Data Source'!S83="A+"),IF('Data Source'!AD83&gt;=5,"A+",IF('Data Source'!AD83&gt;=4,"A",IF('Data Source'!AD83&gt;=3.5,"A-",IF('Data Source'!AD83&gt;=3,"B",IF('Data Source'!AD83&gt;=2,"C",IF('Data Source'!AD83&gt;=1,"D","F")))))),"")</f>
        <v/>
      </c>
      <c r="M83" s="3">
        <f>IF(AND('Data Source'!B83&lt;&gt;"",'Data Source'!S83="A+"),IF('Data Source'!AE83&gt;=5,"A+",IF('Data Source'!AE83&gt;=4,"A",IF('Data Source'!AE83&gt;=3.5,"A-",IF('Data Source'!AE83&gt;=3,"B",IF('Data Source'!AE83&gt;=2,"C",IF('Data Source'!AE83&gt;=1,"D","F")))))),"")</f>
        <v/>
      </c>
      <c r="N83" s="3">
        <f>IF(AND('Data Source'!B83&lt;&gt;"",'Data Source'!S83="A+"),IF('Data Source'!AF83&gt;=5,"A+",IF('Data Source'!AF83&gt;=4,"A",IF('Data Source'!AF83&gt;=3.5,"A-",IF('Data Source'!AF83&gt;=3,"B",IF('Data Source'!AF83&gt;=2,"C",IF('Data Source'!AF83&gt;=1,"D","F")))))),"")</f>
        <v/>
      </c>
      <c r="O83" s="3">
        <f>IF(AND('Data Source'!B83&lt;&gt;"",'Data Source'!S83="A+"),IF('Data Source'!AG83&gt;=5,"A+",IF('Data Source'!AG83&gt;=4,"A",IF('Data Source'!AG83&gt;=3.5,"A-",IF('Data Source'!AG83&gt;=3,"B",IF('Data Source'!AG83&gt;=2,"C",IF('Data Source'!AG83&gt;=1,"D","F")))))),"")</f>
        <v/>
      </c>
      <c r="P83" s="5">
        <f>IF(AND('Data Source'!B83&lt;&gt;"",'Data Source'!S83="A+"),'Data Source'!R83,"")</f>
        <v/>
      </c>
      <c r="Q83" s="3">
        <f>IF(AND('Data Source'!B83&lt;&gt;"",'Data Source'!S83="A+"),'Data Source'!S83,"")</f>
        <v/>
      </c>
    </row>
    <row r="84">
      <c r="A84" s="3">
        <f>IF(AND('Data Source'!B84&lt;&gt;"",'Data Source'!S84="A+"),COUNTIF('Data Source'!$S$3:S84,"A+"),"")</f>
        <v/>
      </c>
      <c r="B84">
        <f>IF(AND('Data Source'!B84&lt;&gt;"",'Data Source'!S84="A+"),'Data Source'!B84,"")</f>
        <v/>
      </c>
      <c r="C84" s="3">
        <f>IF(AND('Data Source'!B84&lt;&gt;"",'Data Source'!S84="A+"),IF('Data Source'!U84&gt;=5,"A+",IF('Data Source'!U84&gt;=4,"A",IF('Data Source'!U84&gt;=3.5,"A-",IF('Data Source'!U84&gt;=3,"B",IF('Data Source'!U84&gt;=2,"C",IF('Data Source'!U84&gt;=1,"D","F")))))),"")</f>
        <v/>
      </c>
      <c r="D84" s="3">
        <f>IF(AND('Data Source'!B84&lt;&gt;"",'Data Source'!S84="A+"),IF('Data Source'!V84&gt;=5,"A+",IF('Data Source'!V84&gt;=4,"A",IF('Data Source'!V84&gt;=3.5,"A-",IF('Data Source'!V84&gt;=3,"B",IF('Data Source'!V84&gt;=2,"C",IF('Data Source'!V84&gt;=1,"D","F")))))),"")</f>
        <v/>
      </c>
      <c r="E84" s="3">
        <f>IF(AND('Data Source'!B84&lt;&gt;"",'Data Source'!S84="A+"),IF('Data Source'!W84&gt;=5,"A+",IF('Data Source'!W84&gt;=4,"A",IF('Data Source'!W84&gt;=3.5,"A-",IF('Data Source'!W84&gt;=3,"B",IF('Data Source'!W84&gt;=2,"C",IF('Data Source'!W84&gt;=1,"D","F")))))),"")</f>
        <v/>
      </c>
      <c r="F84" s="3">
        <f>IF(AND('Data Source'!B84&lt;&gt;"",'Data Source'!S84="A+"),IF('Data Source'!X84&gt;=5,"A+",IF('Data Source'!X84&gt;=4,"A",IF('Data Source'!X84&gt;=3.5,"A-",IF('Data Source'!X84&gt;=3,"B",IF('Data Source'!X84&gt;=2,"C",IF('Data Source'!X84&gt;=1,"D","F")))))),"")</f>
        <v/>
      </c>
      <c r="G84" s="3">
        <f>IF(AND('Data Source'!B84&lt;&gt;"",'Data Source'!S84="A+"),IF('Data Source'!Y84&gt;=5,"A+",IF('Data Source'!Y84&gt;=4,"A",IF('Data Source'!Y84&gt;=3.5,"A-",IF('Data Source'!Y84&gt;=3,"B",IF('Data Source'!Y84&gt;=2,"C",IF('Data Source'!Y84&gt;=1,"D","F")))))),"")</f>
        <v/>
      </c>
      <c r="H84" s="3">
        <f>IF(AND('Data Source'!B84&lt;&gt;"",'Data Source'!S84="A+"),IF('Data Source'!Z84&gt;=5,"A+",IF('Data Source'!Z84&gt;=4,"A",IF('Data Source'!Z84&gt;=3.5,"A-",IF('Data Source'!Z84&gt;=3,"B",IF('Data Source'!Z84&gt;=2,"C",IF('Data Source'!Z84&gt;=1,"D","F")))))),"")</f>
        <v/>
      </c>
      <c r="I84" s="3">
        <f>IF(AND('Data Source'!B84&lt;&gt;"",'Data Source'!S84="A+"),IF('Data Source'!AA84&gt;=5,"A+",IF('Data Source'!AA84&gt;=4,"A",IF('Data Source'!AA84&gt;=3.5,"A-",IF('Data Source'!AA84&gt;=3,"B",IF('Data Source'!AA84&gt;=2,"C",IF('Data Source'!AA84&gt;=1,"D","F")))))),"")</f>
        <v/>
      </c>
      <c r="J84" s="3">
        <f>IF(AND('Data Source'!B84&lt;&gt;"",'Data Source'!S84="A+"),IF('Data Source'!AB84&gt;=5,"A+",IF('Data Source'!AB84&gt;=4,"A",IF('Data Source'!AB84&gt;=3.5,"A-",IF('Data Source'!AB84&gt;=3,"B",IF('Data Source'!AB84&gt;=2,"C",IF('Data Source'!AB84&gt;=1,"D","F")))))),"")</f>
        <v/>
      </c>
      <c r="K84" s="3">
        <f>IF(AND('Data Source'!B84&lt;&gt;"",'Data Source'!S84="A+"),IF('Data Source'!AC84&gt;=5,"A+",IF('Data Source'!AC84&gt;=4,"A",IF('Data Source'!AC84&gt;=3.5,"A-",IF('Data Source'!AC84&gt;=3,"B",IF('Data Source'!AC84&gt;=2,"C",IF('Data Source'!AC84&gt;=1,"D","F")))))),"")</f>
        <v/>
      </c>
      <c r="L84" s="3">
        <f>IF(AND('Data Source'!B84&lt;&gt;"",'Data Source'!S84="A+"),IF('Data Source'!AD84&gt;=5,"A+",IF('Data Source'!AD84&gt;=4,"A",IF('Data Source'!AD84&gt;=3.5,"A-",IF('Data Source'!AD84&gt;=3,"B",IF('Data Source'!AD84&gt;=2,"C",IF('Data Source'!AD84&gt;=1,"D","F")))))),"")</f>
        <v/>
      </c>
      <c r="M84" s="3">
        <f>IF(AND('Data Source'!B84&lt;&gt;"",'Data Source'!S84="A+"),IF('Data Source'!AE84&gt;=5,"A+",IF('Data Source'!AE84&gt;=4,"A",IF('Data Source'!AE84&gt;=3.5,"A-",IF('Data Source'!AE84&gt;=3,"B",IF('Data Source'!AE84&gt;=2,"C",IF('Data Source'!AE84&gt;=1,"D","F")))))),"")</f>
        <v/>
      </c>
      <c r="N84" s="3">
        <f>IF(AND('Data Source'!B84&lt;&gt;"",'Data Source'!S84="A+"),IF('Data Source'!AF84&gt;=5,"A+",IF('Data Source'!AF84&gt;=4,"A",IF('Data Source'!AF84&gt;=3.5,"A-",IF('Data Source'!AF84&gt;=3,"B",IF('Data Source'!AF84&gt;=2,"C",IF('Data Source'!AF84&gt;=1,"D","F")))))),"")</f>
        <v/>
      </c>
      <c r="O84" s="3">
        <f>IF(AND('Data Source'!B84&lt;&gt;"",'Data Source'!S84="A+"),IF('Data Source'!AG84&gt;=5,"A+",IF('Data Source'!AG84&gt;=4,"A",IF('Data Source'!AG84&gt;=3.5,"A-",IF('Data Source'!AG84&gt;=3,"B",IF('Data Source'!AG84&gt;=2,"C",IF('Data Source'!AG84&gt;=1,"D","F")))))),"")</f>
        <v/>
      </c>
      <c r="P84" s="5">
        <f>IF(AND('Data Source'!B84&lt;&gt;"",'Data Source'!S84="A+"),'Data Source'!R84,"")</f>
        <v/>
      </c>
      <c r="Q84" s="3">
        <f>IF(AND('Data Source'!B84&lt;&gt;"",'Data Source'!S84="A+"),'Data Source'!S84,"")</f>
        <v/>
      </c>
    </row>
    <row r="85">
      <c r="A85" s="3">
        <f>IF(AND('Data Source'!B85&lt;&gt;"",'Data Source'!S85="A+"),COUNTIF('Data Source'!$S$3:S85,"A+"),"")</f>
        <v/>
      </c>
      <c r="B85">
        <f>IF(AND('Data Source'!B85&lt;&gt;"",'Data Source'!S85="A+"),'Data Source'!B85,"")</f>
        <v/>
      </c>
      <c r="C85" s="3">
        <f>IF(AND('Data Source'!B85&lt;&gt;"",'Data Source'!S85="A+"),IF('Data Source'!U85&gt;=5,"A+",IF('Data Source'!U85&gt;=4,"A",IF('Data Source'!U85&gt;=3.5,"A-",IF('Data Source'!U85&gt;=3,"B",IF('Data Source'!U85&gt;=2,"C",IF('Data Source'!U85&gt;=1,"D","F")))))),"")</f>
        <v/>
      </c>
      <c r="D85" s="3">
        <f>IF(AND('Data Source'!B85&lt;&gt;"",'Data Source'!S85="A+"),IF('Data Source'!V85&gt;=5,"A+",IF('Data Source'!V85&gt;=4,"A",IF('Data Source'!V85&gt;=3.5,"A-",IF('Data Source'!V85&gt;=3,"B",IF('Data Source'!V85&gt;=2,"C",IF('Data Source'!V85&gt;=1,"D","F")))))),"")</f>
        <v/>
      </c>
      <c r="E85" s="3">
        <f>IF(AND('Data Source'!B85&lt;&gt;"",'Data Source'!S85="A+"),IF('Data Source'!W85&gt;=5,"A+",IF('Data Source'!W85&gt;=4,"A",IF('Data Source'!W85&gt;=3.5,"A-",IF('Data Source'!W85&gt;=3,"B",IF('Data Source'!W85&gt;=2,"C",IF('Data Source'!W85&gt;=1,"D","F")))))),"")</f>
        <v/>
      </c>
      <c r="F85" s="3">
        <f>IF(AND('Data Source'!B85&lt;&gt;"",'Data Source'!S85="A+"),IF('Data Source'!X85&gt;=5,"A+",IF('Data Source'!X85&gt;=4,"A",IF('Data Source'!X85&gt;=3.5,"A-",IF('Data Source'!X85&gt;=3,"B",IF('Data Source'!X85&gt;=2,"C",IF('Data Source'!X85&gt;=1,"D","F")))))),"")</f>
        <v/>
      </c>
      <c r="G85" s="3">
        <f>IF(AND('Data Source'!B85&lt;&gt;"",'Data Source'!S85="A+"),IF('Data Source'!Y85&gt;=5,"A+",IF('Data Source'!Y85&gt;=4,"A",IF('Data Source'!Y85&gt;=3.5,"A-",IF('Data Source'!Y85&gt;=3,"B",IF('Data Source'!Y85&gt;=2,"C",IF('Data Source'!Y85&gt;=1,"D","F")))))),"")</f>
        <v/>
      </c>
      <c r="H85" s="3">
        <f>IF(AND('Data Source'!B85&lt;&gt;"",'Data Source'!S85="A+"),IF('Data Source'!Z85&gt;=5,"A+",IF('Data Source'!Z85&gt;=4,"A",IF('Data Source'!Z85&gt;=3.5,"A-",IF('Data Source'!Z85&gt;=3,"B",IF('Data Source'!Z85&gt;=2,"C",IF('Data Source'!Z85&gt;=1,"D","F")))))),"")</f>
        <v/>
      </c>
      <c r="I85" s="3">
        <f>IF(AND('Data Source'!B85&lt;&gt;"",'Data Source'!S85="A+"),IF('Data Source'!AA85&gt;=5,"A+",IF('Data Source'!AA85&gt;=4,"A",IF('Data Source'!AA85&gt;=3.5,"A-",IF('Data Source'!AA85&gt;=3,"B",IF('Data Source'!AA85&gt;=2,"C",IF('Data Source'!AA85&gt;=1,"D","F")))))),"")</f>
        <v/>
      </c>
      <c r="J85" s="3">
        <f>IF(AND('Data Source'!B85&lt;&gt;"",'Data Source'!S85="A+"),IF('Data Source'!AB85&gt;=5,"A+",IF('Data Source'!AB85&gt;=4,"A",IF('Data Source'!AB85&gt;=3.5,"A-",IF('Data Source'!AB85&gt;=3,"B",IF('Data Source'!AB85&gt;=2,"C",IF('Data Source'!AB85&gt;=1,"D","F")))))),"")</f>
        <v/>
      </c>
      <c r="K85" s="3">
        <f>IF(AND('Data Source'!B85&lt;&gt;"",'Data Source'!S85="A+"),IF('Data Source'!AC85&gt;=5,"A+",IF('Data Source'!AC85&gt;=4,"A",IF('Data Source'!AC85&gt;=3.5,"A-",IF('Data Source'!AC85&gt;=3,"B",IF('Data Source'!AC85&gt;=2,"C",IF('Data Source'!AC85&gt;=1,"D","F")))))),"")</f>
        <v/>
      </c>
      <c r="L85" s="3">
        <f>IF(AND('Data Source'!B85&lt;&gt;"",'Data Source'!S85="A+"),IF('Data Source'!AD85&gt;=5,"A+",IF('Data Source'!AD85&gt;=4,"A",IF('Data Source'!AD85&gt;=3.5,"A-",IF('Data Source'!AD85&gt;=3,"B",IF('Data Source'!AD85&gt;=2,"C",IF('Data Source'!AD85&gt;=1,"D","F")))))),"")</f>
        <v/>
      </c>
      <c r="M85" s="3">
        <f>IF(AND('Data Source'!B85&lt;&gt;"",'Data Source'!S85="A+"),IF('Data Source'!AE85&gt;=5,"A+",IF('Data Source'!AE85&gt;=4,"A",IF('Data Source'!AE85&gt;=3.5,"A-",IF('Data Source'!AE85&gt;=3,"B",IF('Data Source'!AE85&gt;=2,"C",IF('Data Source'!AE85&gt;=1,"D","F")))))),"")</f>
        <v/>
      </c>
      <c r="N85" s="3">
        <f>IF(AND('Data Source'!B85&lt;&gt;"",'Data Source'!S85="A+"),IF('Data Source'!AF85&gt;=5,"A+",IF('Data Source'!AF85&gt;=4,"A",IF('Data Source'!AF85&gt;=3.5,"A-",IF('Data Source'!AF85&gt;=3,"B",IF('Data Source'!AF85&gt;=2,"C",IF('Data Source'!AF85&gt;=1,"D","F")))))),"")</f>
        <v/>
      </c>
      <c r="O85" s="3">
        <f>IF(AND('Data Source'!B85&lt;&gt;"",'Data Source'!S85="A+"),IF('Data Source'!AG85&gt;=5,"A+",IF('Data Source'!AG85&gt;=4,"A",IF('Data Source'!AG85&gt;=3.5,"A-",IF('Data Source'!AG85&gt;=3,"B",IF('Data Source'!AG85&gt;=2,"C",IF('Data Source'!AG85&gt;=1,"D","F")))))),"")</f>
        <v/>
      </c>
      <c r="P85" s="5">
        <f>IF(AND('Data Source'!B85&lt;&gt;"",'Data Source'!S85="A+"),'Data Source'!R85,"")</f>
        <v/>
      </c>
      <c r="Q85" s="3">
        <f>IF(AND('Data Source'!B85&lt;&gt;"",'Data Source'!S85="A+"),'Data Source'!S85,"")</f>
        <v/>
      </c>
    </row>
    <row r="86">
      <c r="A86" s="3">
        <f>IF(AND('Data Source'!B86&lt;&gt;"",'Data Source'!S86="A+"),COUNTIF('Data Source'!$S$3:S86,"A+"),"")</f>
        <v/>
      </c>
      <c r="B86">
        <f>IF(AND('Data Source'!B86&lt;&gt;"",'Data Source'!S86="A+"),'Data Source'!B86,"")</f>
        <v/>
      </c>
      <c r="C86" s="3">
        <f>IF(AND('Data Source'!B86&lt;&gt;"",'Data Source'!S86="A+"),IF('Data Source'!U86&gt;=5,"A+",IF('Data Source'!U86&gt;=4,"A",IF('Data Source'!U86&gt;=3.5,"A-",IF('Data Source'!U86&gt;=3,"B",IF('Data Source'!U86&gt;=2,"C",IF('Data Source'!U86&gt;=1,"D","F")))))),"")</f>
        <v/>
      </c>
      <c r="D86" s="3">
        <f>IF(AND('Data Source'!B86&lt;&gt;"",'Data Source'!S86="A+"),IF('Data Source'!V86&gt;=5,"A+",IF('Data Source'!V86&gt;=4,"A",IF('Data Source'!V86&gt;=3.5,"A-",IF('Data Source'!V86&gt;=3,"B",IF('Data Source'!V86&gt;=2,"C",IF('Data Source'!V86&gt;=1,"D","F")))))),"")</f>
        <v/>
      </c>
      <c r="E86" s="3">
        <f>IF(AND('Data Source'!B86&lt;&gt;"",'Data Source'!S86="A+"),IF('Data Source'!W86&gt;=5,"A+",IF('Data Source'!W86&gt;=4,"A",IF('Data Source'!W86&gt;=3.5,"A-",IF('Data Source'!W86&gt;=3,"B",IF('Data Source'!W86&gt;=2,"C",IF('Data Source'!W86&gt;=1,"D","F")))))),"")</f>
        <v/>
      </c>
      <c r="F86" s="3">
        <f>IF(AND('Data Source'!B86&lt;&gt;"",'Data Source'!S86="A+"),IF('Data Source'!X86&gt;=5,"A+",IF('Data Source'!X86&gt;=4,"A",IF('Data Source'!X86&gt;=3.5,"A-",IF('Data Source'!X86&gt;=3,"B",IF('Data Source'!X86&gt;=2,"C",IF('Data Source'!X86&gt;=1,"D","F")))))),"")</f>
        <v/>
      </c>
      <c r="G86" s="3">
        <f>IF(AND('Data Source'!B86&lt;&gt;"",'Data Source'!S86="A+"),IF('Data Source'!Y86&gt;=5,"A+",IF('Data Source'!Y86&gt;=4,"A",IF('Data Source'!Y86&gt;=3.5,"A-",IF('Data Source'!Y86&gt;=3,"B",IF('Data Source'!Y86&gt;=2,"C",IF('Data Source'!Y86&gt;=1,"D","F")))))),"")</f>
        <v/>
      </c>
      <c r="H86" s="3">
        <f>IF(AND('Data Source'!B86&lt;&gt;"",'Data Source'!S86="A+"),IF('Data Source'!Z86&gt;=5,"A+",IF('Data Source'!Z86&gt;=4,"A",IF('Data Source'!Z86&gt;=3.5,"A-",IF('Data Source'!Z86&gt;=3,"B",IF('Data Source'!Z86&gt;=2,"C",IF('Data Source'!Z86&gt;=1,"D","F")))))),"")</f>
        <v/>
      </c>
      <c r="I86" s="3">
        <f>IF(AND('Data Source'!B86&lt;&gt;"",'Data Source'!S86="A+"),IF('Data Source'!AA86&gt;=5,"A+",IF('Data Source'!AA86&gt;=4,"A",IF('Data Source'!AA86&gt;=3.5,"A-",IF('Data Source'!AA86&gt;=3,"B",IF('Data Source'!AA86&gt;=2,"C",IF('Data Source'!AA86&gt;=1,"D","F")))))),"")</f>
        <v/>
      </c>
      <c r="J86" s="3">
        <f>IF(AND('Data Source'!B86&lt;&gt;"",'Data Source'!S86="A+"),IF('Data Source'!AB86&gt;=5,"A+",IF('Data Source'!AB86&gt;=4,"A",IF('Data Source'!AB86&gt;=3.5,"A-",IF('Data Source'!AB86&gt;=3,"B",IF('Data Source'!AB86&gt;=2,"C",IF('Data Source'!AB86&gt;=1,"D","F")))))),"")</f>
        <v/>
      </c>
      <c r="K86" s="3">
        <f>IF(AND('Data Source'!B86&lt;&gt;"",'Data Source'!S86="A+"),IF('Data Source'!AC86&gt;=5,"A+",IF('Data Source'!AC86&gt;=4,"A",IF('Data Source'!AC86&gt;=3.5,"A-",IF('Data Source'!AC86&gt;=3,"B",IF('Data Source'!AC86&gt;=2,"C",IF('Data Source'!AC86&gt;=1,"D","F")))))),"")</f>
        <v/>
      </c>
      <c r="L86" s="3">
        <f>IF(AND('Data Source'!B86&lt;&gt;"",'Data Source'!S86="A+"),IF('Data Source'!AD86&gt;=5,"A+",IF('Data Source'!AD86&gt;=4,"A",IF('Data Source'!AD86&gt;=3.5,"A-",IF('Data Source'!AD86&gt;=3,"B",IF('Data Source'!AD86&gt;=2,"C",IF('Data Source'!AD86&gt;=1,"D","F")))))),"")</f>
        <v/>
      </c>
      <c r="M86" s="3">
        <f>IF(AND('Data Source'!B86&lt;&gt;"",'Data Source'!S86="A+"),IF('Data Source'!AE86&gt;=5,"A+",IF('Data Source'!AE86&gt;=4,"A",IF('Data Source'!AE86&gt;=3.5,"A-",IF('Data Source'!AE86&gt;=3,"B",IF('Data Source'!AE86&gt;=2,"C",IF('Data Source'!AE86&gt;=1,"D","F")))))),"")</f>
        <v/>
      </c>
      <c r="N86" s="3">
        <f>IF(AND('Data Source'!B86&lt;&gt;"",'Data Source'!S86="A+"),IF('Data Source'!AF86&gt;=5,"A+",IF('Data Source'!AF86&gt;=4,"A",IF('Data Source'!AF86&gt;=3.5,"A-",IF('Data Source'!AF86&gt;=3,"B",IF('Data Source'!AF86&gt;=2,"C",IF('Data Source'!AF86&gt;=1,"D","F")))))),"")</f>
        <v/>
      </c>
      <c r="O86" s="3">
        <f>IF(AND('Data Source'!B86&lt;&gt;"",'Data Source'!S86="A+"),IF('Data Source'!AG86&gt;=5,"A+",IF('Data Source'!AG86&gt;=4,"A",IF('Data Source'!AG86&gt;=3.5,"A-",IF('Data Source'!AG86&gt;=3,"B",IF('Data Source'!AG86&gt;=2,"C",IF('Data Source'!AG86&gt;=1,"D","F")))))),"")</f>
        <v/>
      </c>
      <c r="P86" s="5">
        <f>IF(AND('Data Source'!B86&lt;&gt;"",'Data Source'!S86="A+"),'Data Source'!R86,"")</f>
        <v/>
      </c>
      <c r="Q86" s="3">
        <f>IF(AND('Data Source'!B86&lt;&gt;"",'Data Source'!S86="A+"),'Data Source'!S86,"")</f>
        <v/>
      </c>
    </row>
    <row r="87">
      <c r="A87" s="3">
        <f>IF(AND('Data Source'!B87&lt;&gt;"",'Data Source'!S87="A+"),COUNTIF('Data Source'!$S$3:S87,"A+"),"")</f>
        <v/>
      </c>
      <c r="B87">
        <f>IF(AND('Data Source'!B87&lt;&gt;"",'Data Source'!S87="A+"),'Data Source'!B87,"")</f>
        <v/>
      </c>
      <c r="C87" s="3">
        <f>IF(AND('Data Source'!B87&lt;&gt;"",'Data Source'!S87="A+"),IF('Data Source'!U87&gt;=5,"A+",IF('Data Source'!U87&gt;=4,"A",IF('Data Source'!U87&gt;=3.5,"A-",IF('Data Source'!U87&gt;=3,"B",IF('Data Source'!U87&gt;=2,"C",IF('Data Source'!U87&gt;=1,"D","F")))))),"")</f>
        <v/>
      </c>
      <c r="D87" s="3">
        <f>IF(AND('Data Source'!B87&lt;&gt;"",'Data Source'!S87="A+"),IF('Data Source'!V87&gt;=5,"A+",IF('Data Source'!V87&gt;=4,"A",IF('Data Source'!V87&gt;=3.5,"A-",IF('Data Source'!V87&gt;=3,"B",IF('Data Source'!V87&gt;=2,"C",IF('Data Source'!V87&gt;=1,"D","F")))))),"")</f>
        <v/>
      </c>
      <c r="E87" s="3">
        <f>IF(AND('Data Source'!B87&lt;&gt;"",'Data Source'!S87="A+"),IF('Data Source'!W87&gt;=5,"A+",IF('Data Source'!W87&gt;=4,"A",IF('Data Source'!W87&gt;=3.5,"A-",IF('Data Source'!W87&gt;=3,"B",IF('Data Source'!W87&gt;=2,"C",IF('Data Source'!W87&gt;=1,"D","F")))))),"")</f>
        <v/>
      </c>
      <c r="F87" s="3">
        <f>IF(AND('Data Source'!B87&lt;&gt;"",'Data Source'!S87="A+"),IF('Data Source'!X87&gt;=5,"A+",IF('Data Source'!X87&gt;=4,"A",IF('Data Source'!X87&gt;=3.5,"A-",IF('Data Source'!X87&gt;=3,"B",IF('Data Source'!X87&gt;=2,"C",IF('Data Source'!X87&gt;=1,"D","F")))))),"")</f>
        <v/>
      </c>
      <c r="G87" s="3">
        <f>IF(AND('Data Source'!B87&lt;&gt;"",'Data Source'!S87="A+"),IF('Data Source'!Y87&gt;=5,"A+",IF('Data Source'!Y87&gt;=4,"A",IF('Data Source'!Y87&gt;=3.5,"A-",IF('Data Source'!Y87&gt;=3,"B",IF('Data Source'!Y87&gt;=2,"C",IF('Data Source'!Y87&gt;=1,"D","F")))))),"")</f>
        <v/>
      </c>
      <c r="H87" s="3">
        <f>IF(AND('Data Source'!B87&lt;&gt;"",'Data Source'!S87="A+"),IF('Data Source'!Z87&gt;=5,"A+",IF('Data Source'!Z87&gt;=4,"A",IF('Data Source'!Z87&gt;=3.5,"A-",IF('Data Source'!Z87&gt;=3,"B",IF('Data Source'!Z87&gt;=2,"C",IF('Data Source'!Z87&gt;=1,"D","F")))))),"")</f>
        <v/>
      </c>
      <c r="I87" s="3">
        <f>IF(AND('Data Source'!B87&lt;&gt;"",'Data Source'!S87="A+"),IF('Data Source'!AA87&gt;=5,"A+",IF('Data Source'!AA87&gt;=4,"A",IF('Data Source'!AA87&gt;=3.5,"A-",IF('Data Source'!AA87&gt;=3,"B",IF('Data Source'!AA87&gt;=2,"C",IF('Data Source'!AA87&gt;=1,"D","F")))))),"")</f>
        <v/>
      </c>
      <c r="J87" s="3">
        <f>IF(AND('Data Source'!B87&lt;&gt;"",'Data Source'!S87="A+"),IF('Data Source'!AB87&gt;=5,"A+",IF('Data Source'!AB87&gt;=4,"A",IF('Data Source'!AB87&gt;=3.5,"A-",IF('Data Source'!AB87&gt;=3,"B",IF('Data Source'!AB87&gt;=2,"C",IF('Data Source'!AB87&gt;=1,"D","F")))))),"")</f>
        <v/>
      </c>
      <c r="K87" s="3">
        <f>IF(AND('Data Source'!B87&lt;&gt;"",'Data Source'!S87="A+"),IF('Data Source'!AC87&gt;=5,"A+",IF('Data Source'!AC87&gt;=4,"A",IF('Data Source'!AC87&gt;=3.5,"A-",IF('Data Source'!AC87&gt;=3,"B",IF('Data Source'!AC87&gt;=2,"C",IF('Data Source'!AC87&gt;=1,"D","F")))))),"")</f>
        <v/>
      </c>
      <c r="L87" s="3">
        <f>IF(AND('Data Source'!B87&lt;&gt;"",'Data Source'!S87="A+"),IF('Data Source'!AD87&gt;=5,"A+",IF('Data Source'!AD87&gt;=4,"A",IF('Data Source'!AD87&gt;=3.5,"A-",IF('Data Source'!AD87&gt;=3,"B",IF('Data Source'!AD87&gt;=2,"C",IF('Data Source'!AD87&gt;=1,"D","F")))))),"")</f>
        <v/>
      </c>
      <c r="M87" s="3">
        <f>IF(AND('Data Source'!B87&lt;&gt;"",'Data Source'!S87="A+"),IF('Data Source'!AE87&gt;=5,"A+",IF('Data Source'!AE87&gt;=4,"A",IF('Data Source'!AE87&gt;=3.5,"A-",IF('Data Source'!AE87&gt;=3,"B",IF('Data Source'!AE87&gt;=2,"C",IF('Data Source'!AE87&gt;=1,"D","F")))))),"")</f>
        <v/>
      </c>
      <c r="N87" s="3">
        <f>IF(AND('Data Source'!B87&lt;&gt;"",'Data Source'!S87="A+"),IF('Data Source'!AF87&gt;=5,"A+",IF('Data Source'!AF87&gt;=4,"A",IF('Data Source'!AF87&gt;=3.5,"A-",IF('Data Source'!AF87&gt;=3,"B",IF('Data Source'!AF87&gt;=2,"C",IF('Data Source'!AF87&gt;=1,"D","F")))))),"")</f>
        <v/>
      </c>
      <c r="O87" s="3">
        <f>IF(AND('Data Source'!B87&lt;&gt;"",'Data Source'!S87="A+"),IF('Data Source'!AG87&gt;=5,"A+",IF('Data Source'!AG87&gt;=4,"A",IF('Data Source'!AG87&gt;=3.5,"A-",IF('Data Source'!AG87&gt;=3,"B",IF('Data Source'!AG87&gt;=2,"C",IF('Data Source'!AG87&gt;=1,"D","F")))))),"")</f>
        <v/>
      </c>
      <c r="P87" s="5">
        <f>IF(AND('Data Source'!B87&lt;&gt;"",'Data Source'!S87="A+"),'Data Source'!R87,"")</f>
        <v/>
      </c>
      <c r="Q87" s="3">
        <f>IF(AND('Data Source'!B87&lt;&gt;"",'Data Source'!S87="A+"),'Data Source'!S87,"")</f>
        <v/>
      </c>
    </row>
    <row r="88">
      <c r="A88" s="3">
        <f>IF(AND('Data Source'!B88&lt;&gt;"",'Data Source'!S88="A+"),COUNTIF('Data Source'!$S$3:S88,"A+"),"")</f>
        <v/>
      </c>
      <c r="B88">
        <f>IF(AND('Data Source'!B88&lt;&gt;"",'Data Source'!S88="A+"),'Data Source'!B88,"")</f>
        <v/>
      </c>
      <c r="C88" s="3">
        <f>IF(AND('Data Source'!B88&lt;&gt;"",'Data Source'!S88="A+"),IF('Data Source'!U88&gt;=5,"A+",IF('Data Source'!U88&gt;=4,"A",IF('Data Source'!U88&gt;=3.5,"A-",IF('Data Source'!U88&gt;=3,"B",IF('Data Source'!U88&gt;=2,"C",IF('Data Source'!U88&gt;=1,"D","F")))))),"")</f>
        <v/>
      </c>
      <c r="D88" s="3">
        <f>IF(AND('Data Source'!B88&lt;&gt;"",'Data Source'!S88="A+"),IF('Data Source'!V88&gt;=5,"A+",IF('Data Source'!V88&gt;=4,"A",IF('Data Source'!V88&gt;=3.5,"A-",IF('Data Source'!V88&gt;=3,"B",IF('Data Source'!V88&gt;=2,"C",IF('Data Source'!V88&gt;=1,"D","F")))))),"")</f>
        <v/>
      </c>
      <c r="E88" s="3">
        <f>IF(AND('Data Source'!B88&lt;&gt;"",'Data Source'!S88="A+"),IF('Data Source'!W88&gt;=5,"A+",IF('Data Source'!W88&gt;=4,"A",IF('Data Source'!W88&gt;=3.5,"A-",IF('Data Source'!W88&gt;=3,"B",IF('Data Source'!W88&gt;=2,"C",IF('Data Source'!W88&gt;=1,"D","F")))))),"")</f>
        <v/>
      </c>
      <c r="F88" s="3">
        <f>IF(AND('Data Source'!B88&lt;&gt;"",'Data Source'!S88="A+"),IF('Data Source'!X88&gt;=5,"A+",IF('Data Source'!X88&gt;=4,"A",IF('Data Source'!X88&gt;=3.5,"A-",IF('Data Source'!X88&gt;=3,"B",IF('Data Source'!X88&gt;=2,"C",IF('Data Source'!X88&gt;=1,"D","F")))))),"")</f>
        <v/>
      </c>
      <c r="G88" s="3">
        <f>IF(AND('Data Source'!B88&lt;&gt;"",'Data Source'!S88="A+"),IF('Data Source'!Y88&gt;=5,"A+",IF('Data Source'!Y88&gt;=4,"A",IF('Data Source'!Y88&gt;=3.5,"A-",IF('Data Source'!Y88&gt;=3,"B",IF('Data Source'!Y88&gt;=2,"C",IF('Data Source'!Y88&gt;=1,"D","F")))))),"")</f>
        <v/>
      </c>
      <c r="H88" s="3">
        <f>IF(AND('Data Source'!B88&lt;&gt;"",'Data Source'!S88="A+"),IF('Data Source'!Z88&gt;=5,"A+",IF('Data Source'!Z88&gt;=4,"A",IF('Data Source'!Z88&gt;=3.5,"A-",IF('Data Source'!Z88&gt;=3,"B",IF('Data Source'!Z88&gt;=2,"C",IF('Data Source'!Z88&gt;=1,"D","F")))))),"")</f>
        <v/>
      </c>
      <c r="I88" s="3">
        <f>IF(AND('Data Source'!B88&lt;&gt;"",'Data Source'!S88="A+"),IF('Data Source'!AA88&gt;=5,"A+",IF('Data Source'!AA88&gt;=4,"A",IF('Data Source'!AA88&gt;=3.5,"A-",IF('Data Source'!AA88&gt;=3,"B",IF('Data Source'!AA88&gt;=2,"C",IF('Data Source'!AA88&gt;=1,"D","F")))))),"")</f>
        <v/>
      </c>
      <c r="J88" s="3">
        <f>IF(AND('Data Source'!B88&lt;&gt;"",'Data Source'!S88="A+"),IF('Data Source'!AB88&gt;=5,"A+",IF('Data Source'!AB88&gt;=4,"A",IF('Data Source'!AB88&gt;=3.5,"A-",IF('Data Source'!AB88&gt;=3,"B",IF('Data Source'!AB88&gt;=2,"C",IF('Data Source'!AB88&gt;=1,"D","F")))))),"")</f>
        <v/>
      </c>
      <c r="K88" s="3">
        <f>IF(AND('Data Source'!B88&lt;&gt;"",'Data Source'!S88="A+"),IF('Data Source'!AC88&gt;=5,"A+",IF('Data Source'!AC88&gt;=4,"A",IF('Data Source'!AC88&gt;=3.5,"A-",IF('Data Source'!AC88&gt;=3,"B",IF('Data Source'!AC88&gt;=2,"C",IF('Data Source'!AC88&gt;=1,"D","F")))))),"")</f>
        <v/>
      </c>
      <c r="L88" s="3">
        <f>IF(AND('Data Source'!B88&lt;&gt;"",'Data Source'!S88="A+"),IF('Data Source'!AD88&gt;=5,"A+",IF('Data Source'!AD88&gt;=4,"A",IF('Data Source'!AD88&gt;=3.5,"A-",IF('Data Source'!AD88&gt;=3,"B",IF('Data Source'!AD88&gt;=2,"C",IF('Data Source'!AD88&gt;=1,"D","F")))))),"")</f>
        <v/>
      </c>
      <c r="M88" s="3">
        <f>IF(AND('Data Source'!B88&lt;&gt;"",'Data Source'!S88="A+"),IF('Data Source'!AE88&gt;=5,"A+",IF('Data Source'!AE88&gt;=4,"A",IF('Data Source'!AE88&gt;=3.5,"A-",IF('Data Source'!AE88&gt;=3,"B",IF('Data Source'!AE88&gt;=2,"C",IF('Data Source'!AE88&gt;=1,"D","F")))))),"")</f>
        <v/>
      </c>
      <c r="N88" s="3">
        <f>IF(AND('Data Source'!B88&lt;&gt;"",'Data Source'!S88="A+"),IF('Data Source'!AF88&gt;=5,"A+",IF('Data Source'!AF88&gt;=4,"A",IF('Data Source'!AF88&gt;=3.5,"A-",IF('Data Source'!AF88&gt;=3,"B",IF('Data Source'!AF88&gt;=2,"C",IF('Data Source'!AF88&gt;=1,"D","F")))))),"")</f>
        <v/>
      </c>
      <c r="O88" s="3">
        <f>IF(AND('Data Source'!B88&lt;&gt;"",'Data Source'!S88="A+"),IF('Data Source'!AG88&gt;=5,"A+",IF('Data Source'!AG88&gt;=4,"A",IF('Data Source'!AG88&gt;=3.5,"A-",IF('Data Source'!AG88&gt;=3,"B",IF('Data Source'!AG88&gt;=2,"C",IF('Data Source'!AG88&gt;=1,"D","F")))))),"")</f>
        <v/>
      </c>
      <c r="P88" s="5">
        <f>IF(AND('Data Source'!B88&lt;&gt;"",'Data Source'!S88="A+"),'Data Source'!R88,"")</f>
        <v/>
      </c>
      <c r="Q88" s="3">
        <f>IF(AND('Data Source'!B88&lt;&gt;"",'Data Source'!S88="A+"),'Data Source'!S88,"")</f>
        <v/>
      </c>
    </row>
    <row r="89">
      <c r="A89" s="3">
        <f>IF(AND('Data Source'!B89&lt;&gt;"",'Data Source'!S89="A+"),COUNTIF('Data Source'!$S$3:S89,"A+"),"")</f>
        <v/>
      </c>
      <c r="B89">
        <f>IF(AND('Data Source'!B89&lt;&gt;"",'Data Source'!S89="A+"),'Data Source'!B89,"")</f>
        <v/>
      </c>
      <c r="C89" s="3">
        <f>IF(AND('Data Source'!B89&lt;&gt;"",'Data Source'!S89="A+"),IF('Data Source'!U89&gt;=5,"A+",IF('Data Source'!U89&gt;=4,"A",IF('Data Source'!U89&gt;=3.5,"A-",IF('Data Source'!U89&gt;=3,"B",IF('Data Source'!U89&gt;=2,"C",IF('Data Source'!U89&gt;=1,"D","F")))))),"")</f>
        <v/>
      </c>
      <c r="D89" s="3">
        <f>IF(AND('Data Source'!B89&lt;&gt;"",'Data Source'!S89="A+"),IF('Data Source'!V89&gt;=5,"A+",IF('Data Source'!V89&gt;=4,"A",IF('Data Source'!V89&gt;=3.5,"A-",IF('Data Source'!V89&gt;=3,"B",IF('Data Source'!V89&gt;=2,"C",IF('Data Source'!V89&gt;=1,"D","F")))))),"")</f>
        <v/>
      </c>
      <c r="E89" s="3">
        <f>IF(AND('Data Source'!B89&lt;&gt;"",'Data Source'!S89="A+"),IF('Data Source'!W89&gt;=5,"A+",IF('Data Source'!W89&gt;=4,"A",IF('Data Source'!W89&gt;=3.5,"A-",IF('Data Source'!W89&gt;=3,"B",IF('Data Source'!W89&gt;=2,"C",IF('Data Source'!W89&gt;=1,"D","F")))))),"")</f>
        <v/>
      </c>
      <c r="F89" s="3">
        <f>IF(AND('Data Source'!B89&lt;&gt;"",'Data Source'!S89="A+"),IF('Data Source'!X89&gt;=5,"A+",IF('Data Source'!X89&gt;=4,"A",IF('Data Source'!X89&gt;=3.5,"A-",IF('Data Source'!X89&gt;=3,"B",IF('Data Source'!X89&gt;=2,"C",IF('Data Source'!X89&gt;=1,"D","F")))))),"")</f>
        <v/>
      </c>
      <c r="G89" s="3">
        <f>IF(AND('Data Source'!B89&lt;&gt;"",'Data Source'!S89="A+"),IF('Data Source'!Y89&gt;=5,"A+",IF('Data Source'!Y89&gt;=4,"A",IF('Data Source'!Y89&gt;=3.5,"A-",IF('Data Source'!Y89&gt;=3,"B",IF('Data Source'!Y89&gt;=2,"C",IF('Data Source'!Y89&gt;=1,"D","F")))))),"")</f>
        <v/>
      </c>
      <c r="H89" s="3">
        <f>IF(AND('Data Source'!B89&lt;&gt;"",'Data Source'!S89="A+"),IF('Data Source'!Z89&gt;=5,"A+",IF('Data Source'!Z89&gt;=4,"A",IF('Data Source'!Z89&gt;=3.5,"A-",IF('Data Source'!Z89&gt;=3,"B",IF('Data Source'!Z89&gt;=2,"C",IF('Data Source'!Z89&gt;=1,"D","F")))))),"")</f>
        <v/>
      </c>
      <c r="I89" s="3">
        <f>IF(AND('Data Source'!B89&lt;&gt;"",'Data Source'!S89="A+"),IF('Data Source'!AA89&gt;=5,"A+",IF('Data Source'!AA89&gt;=4,"A",IF('Data Source'!AA89&gt;=3.5,"A-",IF('Data Source'!AA89&gt;=3,"B",IF('Data Source'!AA89&gt;=2,"C",IF('Data Source'!AA89&gt;=1,"D","F")))))),"")</f>
        <v/>
      </c>
      <c r="J89" s="3">
        <f>IF(AND('Data Source'!B89&lt;&gt;"",'Data Source'!S89="A+"),IF('Data Source'!AB89&gt;=5,"A+",IF('Data Source'!AB89&gt;=4,"A",IF('Data Source'!AB89&gt;=3.5,"A-",IF('Data Source'!AB89&gt;=3,"B",IF('Data Source'!AB89&gt;=2,"C",IF('Data Source'!AB89&gt;=1,"D","F")))))),"")</f>
        <v/>
      </c>
      <c r="K89" s="3">
        <f>IF(AND('Data Source'!B89&lt;&gt;"",'Data Source'!S89="A+"),IF('Data Source'!AC89&gt;=5,"A+",IF('Data Source'!AC89&gt;=4,"A",IF('Data Source'!AC89&gt;=3.5,"A-",IF('Data Source'!AC89&gt;=3,"B",IF('Data Source'!AC89&gt;=2,"C",IF('Data Source'!AC89&gt;=1,"D","F")))))),"")</f>
        <v/>
      </c>
      <c r="L89" s="3">
        <f>IF(AND('Data Source'!B89&lt;&gt;"",'Data Source'!S89="A+"),IF('Data Source'!AD89&gt;=5,"A+",IF('Data Source'!AD89&gt;=4,"A",IF('Data Source'!AD89&gt;=3.5,"A-",IF('Data Source'!AD89&gt;=3,"B",IF('Data Source'!AD89&gt;=2,"C",IF('Data Source'!AD89&gt;=1,"D","F")))))),"")</f>
        <v/>
      </c>
      <c r="M89" s="3">
        <f>IF(AND('Data Source'!B89&lt;&gt;"",'Data Source'!S89="A+"),IF('Data Source'!AE89&gt;=5,"A+",IF('Data Source'!AE89&gt;=4,"A",IF('Data Source'!AE89&gt;=3.5,"A-",IF('Data Source'!AE89&gt;=3,"B",IF('Data Source'!AE89&gt;=2,"C",IF('Data Source'!AE89&gt;=1,"D","F")))))),"")</f>
        <v/>
      </c>
      <c r="N89" s="3">
        <f>IF(AND('Data Source'!B89&lt;&gt;"",'Data Source'!S89="A+"),IF('Data Source'!AF89&gt;=5,"A+",IF('Data Source'!AF89&gt;=4,"A",IF('Data Source'!AF89&gt;=3.5,"A-",IF('Data Source'!AF89&gt;=3,"B",IF('Data Source'!AF89&gt;=2,"C",IF('Data Source'!AF89&gt;=1,"D","F")))))),"")</f>
        <v/>
      </c>
      <c r="O89" s="3">
        <f>IF(AND('Data Source'!B89&lt;&gt;"",'Data Source'!S89="A+"),IF('Data Source'!AG89&gt;=5,"A+",IF('Data Source'!AG89&gt;=4,"A",IF('Data Source'!AG89&gt;=3.5,"A-",IF('Data Source'!AG89&gt;=3,"B",IF('Data Source'!AG89&gt;=2,"C",IF('Data Source'!AG89&gt;=1,"D","F")))))),"")</f>
        <v/>
      </c>
      <c r="P89" s="5">
        <f>IF(AND('Data Source'!B89&lt;&gt;"",'Data Source'!S89="A+"),'Data Source'!R89,"")</f>
        <v/>
      </c>
      <c r="Q89" s="3">
        <f>IF(AND('Data Source'!B89&lt;&gt;"",'Data Source'!S89="A+"),'Data Source'!S89,"")</f>
        <v/>
      </c>
    </row>
    <row r="90">
      <c r="A90" s="3">
        <f>IF(AND('Data Source'!B90&lt;&gt;"",'Data Source'!S90="A+"),COUNTIF('Data Source'!$S$3:S90,"A+"),"")</f>
        <v/>
      </c>
      <c r="B90">
        <f>IF(AND('Data Source'!B90&lt;&gt;"",'Data Source'!S90="A+"),'Data Source'!B90,"")</f>
        <v/>
      </c>
      <c r="C90" s="3">
        <f>IF(AND('Data Source'!B90&lt;&gt;"",'Data Source'!S90="A+"),IF('Data Source'!U90&gt;=5,"A+",IF('Data Source'!U90&gt;=4,"A",IF('Data Source'!U90&gt;=3.5,"A-",IF('Data Source'!U90&gt;=3,"B",IF('Data Source'!U90&gt;=2,"C",IF('Data Source'!U90&gt;=1,"D","F")))))),"")</f>
        <v/>
      </c>
      <c r="D90" s="3">
        <f>IF(AND('Data Source'!B90&lt;&gt;"",'Data Source'!S90="A+"),IF('Data Source'!V90&gt;=5,"A+",IF('Data Source'!V90&gt;=4,"A",IF('Data Source'!V90&gt;=3.5,"A-",IF('Data Source'!V90&gt;=3,"B",IF('Data Source'!V90&gt;=2,"C",IF('Data Source'!V90&gt;=1,"D","F")))))),"")</f>
        <v/>
      </c>
      <c r="E90" s="3">
        <f>IF(AND('Data Source'!B90&lt;&gt;"",'Data Source'!S90="A+"),IF('Data Source'!W90&gt;=5,"A+",IF('Data Source'!W90&gt;=4,"A",IF('Data Source'!W90&gt;=3.5,"A-",IF('Data Source'!W90&gt;=3,"B",IF('Data Source'!W90&gt;=2,"C",IF('Data Source'!W90&gt;=1,"D","F")))))),"")</f>
        <v/>
      </c>
      <c r="F90" s="3">
        <f>IF(AND('Data Source'!B90&lt;&gt;"",'Data Source'!S90="A+"),IF('Data Source'!X90&gt;=5,"A+",IF('Data Source'!X90&gt;=4,"A",IF('Data Source'!X90&gt;=3.5,"A-",IF('Data Source'!X90&gt;=3,"B",IF('Data Source'!X90&gt;=2,"C",IF('Data Source'!X90&gt;=1,"D","F")))))),"")</f>
        <v/>
      </c>
      <c r="G90" s="3">
        <f>IF(AND('Data Source'!B90&lt;&gt;"",'Data Source'!S90="A+"),IF('Data Source'!Y90&gt;=5,"A+",IF('Data Source'!Y90&gt;=4,"A",IF('Data Source'!Y90&gt;=3.5,"A-",IF('Data Source'!Y90&gt;=3,"B",IF('Data Source'!Y90&gt;=2,"C",IF('Data Source'!Y90&gt;=1,"D","F")))))),"")</f>
        <v/>
      </c>
      <c r="H90" s="3">
        <f>IF(AND('Data Source'!B90&lt;&gt;"",'Data Source'!S90="A+"),IF('Data Source'!Z90&gt;=5,"A+",IF('Data Source'!Z90&gt;=4,"A",IF('Data Source'!Z90&gt;=3.5,"A-",IF('Data Source'!Z90&gt;=3,"B",IF('Data Source'!Z90&gt;=2,"C",IF('Data Source'!Z90&gt;=1,"D","F")))))),"")</f>
        <v/>
      </c>
      <c r="I90" s="3">
        <f>IF(AND('Data Source'!B90&lt;&gt;"",'Data Source'!S90="A+"),IF('Data Source'!AA90&gt;=5,"A+",IF('Data Source'!AA90&gt;=4,"A",IF('Data Source'!AA90&gt;=3.5,"A-",IF('Data Source'!AA90&gt;=3,"B",IF('Data Source'!AA90&gt;=2,"C",IF('Data Source'!AA90&gt;=1,"D","F")))))),"")</f>
        <v/>
      </c>
      <c r="J90" s="3">
        <f>IF(AND('Data Source'!B90&lt;&gt;"",'Data Source'!S90="A+"),IF('Data Source'!AB90&gt;=5,"A+",IF('Data Source'!AB90&gt;=4,"A",IF('Data Source'!AB90&gt;=3.5,"A-",IF('Data Source'!AB90&gt;=3,"B",IF('Data Source'!AB90&gt;=2,"C",IF('Data Source'!AB90&gt;=1,"D","F")))))),"")</f>
        <v/>
      </c>
      <c r="K90" s="3">
        <f>IF(AND('Data Source'!B90&lt;&gt;"",'Data Source'!S90="A+"),IF('Data Source'!AC90&gt;=5,"A+",IF('Data Source'!AC90&gt;=4,"A",IF('Data Source'!AC90&gt;=3.5,"A-",IF('Data Source'!AC90&gt;=3,"B",IF('Data Source'!AC90&gt;=2,"C",IF('Data Source'!AC90&gt;=1,"D","F")))))),"")</f>
        <v/>
      </c>
      <c r="L90" s="3">
        <f>IF(AND('Data Source'!B90&lt;&gt;"",'Data Source'!S90="A+"),IF('Data Source'!AD90&gt;=5,"A+",IF('Data Source'!AD90&gt;=4,"A",IF('Data Source'!AD90&gt;=3.5,"A-",IF('Data Source'!AD90&gt;=3,"B",IF('Data Source'!AD90&gt;=2,"C",IF('Data Source'!AD90&gt;=1,"D","F")))))),"")</f>
        <v/>
      </c>
      <c r="M90" s="3">
        <f>IF(AND('Data Source'!B90&lt;&gt;"",'Data Source'!S90="A+"),IF('Data Source'!AE90&gt;=5,"A+",IF('Data Source'!AE90&gt;=4,"A",IF('Data Source'!AE90&gt;=3.5,"A-",IF('Data Source'!AE90&gt;=3,"B",IF('Data Source'!AE90&gt;=2,"C",IF('Data Source'!AE90&gt;=1,"D","F")))))),"")</f>
        <v/>
      </c>
      <c r="N90" s="3">
        <f>IF(AND('Data Source'!B90&lt;&gt;"",'Data Source'!S90="A+"),IF('Data Source'!AF90&gt;=5,"A+",IF('Data Source'!AF90&gt;=4,"A",IF('Data Source'!AF90&gt;=3.5,"A-",IF('Data Source'!AF90&gt;=3,"B",IF('Data Source'!AF90&gt;=2,"C",IF('Data Source'!AF90&gt;=1,"D","F")))))),"")</f>
        <v/>
      </c>
      <c r="O90" s="3">
        <f>IF(AND('Data Source'!B90&lt;&gt;"",'Data Source'!S90="A+"),IF('Data Source'!AG90&gt;=5,"A+",IF('Data Source'!AG90&gt;=4,"A",IF('Data Source'!AG90&gt;=3.5,"A-",IF('Data Source'!AG90&gt;=3,"B",IF('Data Source'!AG90&gt;=2,"C",IF('Data Source'!AG90&gt;=1,"D","F")))))),"")</f>
        <v/>
      </c>
      <c r="P90" s="5">
        <f>IF(AND('Data Source'!B90&lt;&gt;"",'Data Source'!S90="A+"),'Data Source'!R90,"")</f>
        <v/>
      </c>
      <c r="Q90" s="3">
        <f>IF(AND('Data Source'!B90&lt;&gt;"",'Data Source'!S90="A+"),'Data Source'!S90,"")</f>
        <v/>
      </c>
    </row>
    <row r="91">
      <c r="A91" s="3">
        <f>IF(AND('Data Source'!B91&lt;&gt;"",'Data Source'!S91="A+"),COUNTIF('Data Source'!$S$3:S91,"A+"),"")</f>
        <v/>
      </c>
      <c r="B91">
        <f>IF(AND('Data Source'!B91&lt;&gt;"",'Data Source'!S91="A+"),'Data Source'!B91,"")</f>
        <v/>
      </c>
      <c r="C91" s="3">
        <f>IF(AND('Data Source'!B91&lt;&gt;"",'Data Source'!S91="A+"),IF('Data Source'!U91&gt;=5,"A+",IF('Data Source'!U91&gt;=4,"A",IF('Data Source'!U91&gt;=3.5,"A-",IF('Data Source'!U91&gt;=3,"B",IF('Data Source'!U91&gt;=2,"C",IF('Data Source'!U91&gt;=1,"D","F")))))),"")</f>
        <v/>
      </c>
      <c r="D91" s="3">
        <f>IF(AND('Data Source'!B91&lt;&gt;"",'Data Source'!S91="A+"),IF('Data Source'!V91&gt;=5,"A+",IF('Data Source'!V91&gt;=4,"A",IF('Data Source'!V91&gt;=3.5,"A-",IF('Data Source'!V91&gt;=3,"B",IF('Data Source'!V91&gt;=2,"C",IF('Data Source'!V91&gt;=1,"D","F")))))),"")</f>
        <v/>
      </c>
      <c r="E91" s="3">
        <f>IF(AND('Data Source'!B91&lt;&gt;"",'Data Source'!S91="A+"),IF('Data Source'!W91&gt;=5,"A+",IF('Data Source'!W91&gt;=4,"A",IF('Data Source'!W91&gt;=3.5,"A-",IF('Data Source'!W91&gt;=3,"B",IF('Data Source'!W91&gt;=2,"C",IF('Data Source'!W91&gt;=1,"D","F")))))),"")</f>
        <v/>
      </c>
      <c r="F91" s="3">
        <f>IF(AND('Data Source'!B91&lt;&gt;"",'Data Source'!S91="A+"),IF('Data Source'!X91&gt;=5,"A+",IF('Data Source'!X91&gt;=4,"A",IF('Data Source'!X91&gt;=3.5,"A-",IF('Data Source'!X91&gt;=3,"B",IF('Data Source'!X91&gt;=2,"C",IF('Data Source'!X91&gt;=1,"D","F")))))),"")</f>
        <v/>
      </c>
      <c r="G91" s="3">
        <f>IF(AND('Data Source'!B91&lt;&gt;"",'Data Source'!S91="A+"),IF('Data Source'!Y91&gt;=5,"A+",IF('Data Source'!Y91&gt;=4,"A",IF('Data Source'!Y91&gt;=3.5,"A-",IF('Data Source'!Y91&gt;=3,"B",IF('Data Source'!Y91&gt;=2,"C",IF('Data Source'!Y91&gt;=1,"D","F")))))),"")</f>
        <v/>
      </c>
      <c r="H91" s="3">
        <f>IF(AND('Data Source'!B91&lt;&gt;"",'Data Source'!S91="A+"),IF('Data Source'!Z91&gt;=5,"A+",IF('Data Source'!Z91&gt;=4,"A",IF('Data Source'!Z91&gt;=3.5,"A-",IF('Data Source'!Z91&gt;=3,"B",IF('Data Source'!Z91&gt;=2,"C",IF('Data Source'!Z91&gt;=1,"D","F")))))),"")</f>
        <v/>
      </c>
      <c r="I91" s="3">
        <f>IF(AND('Data Source'!B91&lt;&gt;"",'Data Source'!S91="A+"),IF('Data Source'!AA91&gt;=5,"A+",IF('Data Source'!AA91&gt;=4,"A",IF('Data Source'!AA91&gt;=3.5,"A-",IF('Data Source'!AA91&gt;=3,"B",IF('Data Source'!AA91&gt;=2,"C",IF('Data Source'!AA91&gt;=1,"D","F")))))),"")</f>
        <v/>
      </c>
      <c r="J91" s="3">
        <f>IF(AND('Data Source'!B91&lt;&gt;"",'Data Source'!S91="A+"),IF('Data Source'!AB91&gt;=5,"A+",IF('Data Source'!AB91&gt;=4,"A",IF('Data Source'!AB91&gt;=3.5,"A-",IF('Data Source'!AB91&gt;=3,"B",IF('Data Source'!AB91&gt;=2,"C",IF('Data Source'!AB91&gt;=1,"D","F")))))),"")</f>
        <v/>
      </c>
      <c r="K91" s="3">
        <f>IF(AND('Data Source'!B91&lt;&gt;"",'Data Source'!S91="A+"),IF('Data Source'!AC91&gt;=5,"A+",IF('Data Source'!AC91&gt;=4,"A",IF('Data Source'!AC91&gt;=3.5,"A-",IF('Data Source'!AC91&gt;=3,"B",IF('Data Source'!AC91&gt;=2,"C",IF('Data Source'!AC91&gt;=1,"D","F")))))),"")</f>
        <v/>
      </c>
      <c r="L91" s="3">
        <f>IF(AND('Data Source'!B91&lt;&gt;"",'Data Source'!S91="A+"),IF('Data Source'!AD91&gt;=5,"A+",IF('Data Source'!AD91&gt;=4,"A",IF('Data Source'!AD91&gt;=3.5,"A-",IF('Data Source'!AD91&gt;=3,"B",IF('Data Source'!AD91&gt;=2,"C",IF('Data Source'!AD91&gt;=1,"D","F")))))),"")</f>
        <v/>
      </c>
      <c r="M91" s="3">
        <f>IF(AND('Data Source'!B91&lt;&gt;"",'Data Source'!S91="A+"),IF('Data Source'!AE91&gt;=5,"A+",IF('Data Source'!AE91&gt;=4,"A",IF('Data Source'!AE91&gt;=3.5,"A-",IF('Data Source'!AE91&gt;=3,"B",IF('Data Source'!AE91&gt;=2,"C",IF('Data Source'!AE91&gt;=1,"D","F")))))),"")</f>
        <v/>
      </c>
      <c r="N91" s="3">
        <f>IF(AND('Data Source'!B91&lt;&gt;"",'Data Source'!S91="A+"),IF('Data Source'!AF91&gt;=5,"A+",IF('Data Source'!AF91&gt;=4,"A",IF('Data Source'!AF91&gt;=3.5,"A-",IF('Data Source'!AF91&gt;=3,"B",IF('Data Source'!AF91&gt;=2,"C",IF('Data Source'!AF91&gt;=1,"D","F")))))),"")</f>
        <v/>
      </c>
      <c r="O91" s="3">
        <f>IF(AND('Data Source'!B91&lt;&gt;"",'Data Source'!S91="A+"),IF('Data Source'!AG91&gt;=5,"A+",IF('Data Source'!AG91&gt;=4,"A",IF('Data Source'!AG91&gt;=3.5,"A-",IF('Data Source'!AG91&gt;=3,"B",IF('Data Source'!AG91&gt;=2,"C",IF('Data Source'!AG91&gt;=1,"D","F")))))),"")</f>
        <v/>
      </c>
      <c r="P91" s="5">
        <f>IF(AND('Data Source'!B91&lt;&gt;"",'Data Source'!S91="A+"),'Data Source'!R91,"")</f>
        <v/>
      </c>
      <c r="Q91" s="3">
        <f>IF(AND('Data Source'!B91&lt;&gt;"",'Data Source'!S91="A+"),'Data Source'!S91,"")</f>
        <v/>
      </c>
    </row>
    <row r="92">
      <c r="A92" s="3">
        <f>IF(AND('Data Source'!B92&lt;&gt;"",'Data Source'!S92="A+"),COUNTIF('Data Source'!$S$3:S92,"A+"),"")</f>
        <v/>
      </c>
      <c r="B92">
        <f>IF(AND('Data Source'!B92&lt;&gt;"",'Data Source'!S92="A+"),'Data Source'!B92,"")</f>
        <v/>
      </c>
      <c r="C92" s="3">
        <f>IF(AND('Data Source'!B92&lt;&gt;"",'Data Source'!S92="A+"),IF('Data Source'!U92&gt;=5,"A+",IF('Data Source'!U92&gt;=4,"A",IF('Data Source'!U92&gt;=3.5,"A-",IF('Data Source'!U92&gt;=3,"B",IF('Data Source'!U92&gt;=2,"C",IF('Data Source'!U92&gt;=1,"D","F")))))),"")</f>
        <v/>
      </c>
      <c r="D92" s="3">
        <f>IF(AND('Data Source'!B92&lt;&gt;"",'Data Source'!S92="A+"),IF('Data Source'!V92&gt;=5,"A+",IF('Data Source'!V92&gt;=4,"A",IF('Data Source'!V92&gt;=3.5,"A-",IF('Data Source'!V92&gt;=3,"B",IF('Data Source'!V92&gt;=2,"C",IF('Data Source'!V92&gt;=1,"D","F")))))),"")</f>
        <v/>
      </c>
      <c r="E92" s="3">
        <f>IF(AND('Data Source'!B92&lt;&gt;"",'Data Source'!S92="A+"),IF('Data Source'!W92&gt;=5,"A+",IF('Data Source'!W92&gt;=4,"A",IF('Data Source'!W92&gt;=3.5,"A-",IF('Data Source'!W92&gt;=3,"B",IF('Data Source'!W92&gt;=2,"C",IF('Data Source'!W92&gt;=1,"D","F")))))),"")</f>
        <v/>
      </c>
      <c r="F92" s="3">
        <f>IF(AND('Data Source'!B92&lt;&gt;"",'Data Source'!S92="A+"),IF('Data Source'!X92&gt;=5,"A+",IF('Data Source'!X92&gt;=4,"A",IF('Data Source'!X92&gt;=3.5,"A-",IF('Data Source'!X92&gt;=3,"B",IF('Data Source'!X92&gt;=2,"C",IF('Data Source'!X92&gt;=1,"D","F")))))),"")</f>
        <v/>
      </c>
      <c r="G92" s="3">
        <f>IF(AND('Data Source'!B92&lt;&gt;"",'Data Source'!S92="A+"),IF('Data Source'!Y92&gt;=5,"A+",IF('Data Source'!Y92&gt;=4,"A",IF('Data Source'!Y92&gt;=3.5,"A-",IF('Data Source'!Y92&gt;=3,"B",IF('Data Source'!Y92&gt;=2,"C",IF('Data Source'!Y92&gt;=1,"D","F")))))),"")</f>
        <v/>
      </c>
      <c r="H92" s="3">
        <f>IF(AND('Data Source'!B92&lt;&gt;"",'Data Source'!S92="A+"),IF('Data Source'!Z92&gt;=5,"A+",IF('Data Source'!Z92&gt;=4,"A",IF('Data Source'!Z92&gt;=3.5,"A-",IF('Data Source'!Z92&gt;=3,"B",IF('Data Source'!Z92&gt;=2,"C",IF('Data Source'!Z92&gt;=1,"D","F")))))),"")</f>
        <v/>
      </c>
      <c r="I92" s="3">
        <f>IF(AND('Data Source'!B92&lt;&gt;"",'Data Source'!S92="A+"),IF('Data Source'!AA92&gt;=5,"A+",IF('Data Source'!AA92&gt;=4,"A",IF('Data Source'!AA92&gt;=3.5,"A-",IF('Data Source'!AA92&gt;=3,"B",IF('Data Source'!AA92&gt;=2,"C",IF('Data Source'!AA92&gt;=1,"D","F")))))),"")</f>
        <v/>
      </c>
      <c r="J92" s="3">
        <f>IF(AND('Data Source'!B92&lt;&gt;"",'Data Source'!S92="A+"),IF('Data Source'!AB92&gt;=5,"A+",IF('Data Source'!AB92&gt;=4,"A",IF('Data Source'!AB92&gt;=3.5,"A-",IF('Data Source'!AB92&gt;=3,"B",IF('Data Source'!AB92&gt;=2,"C",IF('Data Source'!AB92&gt;=1,"D","F")))))),"")</f>
        <v/>
      </c>
      <c r="K92" s="3">
        <f>IF(AND('Data Source'!B92&lt;&gt;"",'Data Source'!S92="A+"),IF('Data Source'!AC92&gt;=5,"A+",IF('Data Source'!AC92&gt;=4,"A",IF('Data Source'!AC92&gt;=3.5,"A-",IF('Data Source'!AC92&gt;=3,"B",IF('Data Source'!AC92&gt;=2,"C",IF('Data Source'!AC92&gt;=1,"D","F")))))),"")</f>
        <v/>
      </c>
      <c r="L92" s="3">
        <f>IF(AND('Data Source'!B92&lt;&gt;"",'Data Source'!S92="A+"),IF('Data Source'!AD92&gt;=5,"A+",IF('Data Source'!AD92&gt;=4,"A",IF('Data Source'!AD92&gt;=3.5,"A-",IF('Data Source'!AD92&gt;=3,"B",IF('Data Source'!AD92&gt;=2,"C",IF('Data Source'!AD92&gt;=1,"D","F")))))),"")</f>
        <v/>
      </c>
      <c r="M92" s="3">
        <f>IF(AND('Data Source'!B92&lt;&gt;"",'Data Source'!S92="A+"),IF('Data Source'!AE92&gt;=5,"A+",IF('Data Source'!AE92&gt;=4,"A",IF('Data Source'!AE92&gt;=3.5,"A-",IF('Data Source'!AE92&gt;=3,"B",IF('Data Source'!AE92&gt;=2,"C",IF('Data Source'!AE92&gt;=1,"D","F")))))),"")</f>
        <v/>
      </c>
      <c r="N92" s="3">
        <f>IF(AND('Data Source'!B92&lt;&gt;"",'Data Source'!S92="A+"),IF('Data Source'!AF92&gt;=5,"A+",IF('Data Source'!AF92&gt;=4,"A",IF('Data Source'!AF92&gt;=3.5,"A-",IF('Data Source'!AF92&gt;=3,"B",IF('Data Source'!AF92&gt;=2,"C",IF('Data Source'!AF92&gt;=1,"D","F")))))),"")</f>
        <v/>
      </c>
      <c r="O92" s="3">
        <f>IF(AND('Data Source'!B92&lt;&gt;"",'Data Source'!S92="A+"),IF('Data Source'!AG92&gt;=5,"A+",IF('Data Source'!AG92&gt;=4,"A",IF('Data Source'!AG92&gt;=3.5,"A-",IF('Data Source'!AG92&gt;=3,"B",IF('Data Source'!AG92&gt;=2,"C",IF('Data Source'!AG92&gt;=1,"D","F")))))),"")</f>
        <v/>
      </c>
      <c r="P92" s="5">
        <f>IF(AND('Data Source'!B92&lt;&gt;"",'Data Source'!S92="A+"),'Data Source'!R92,"")</f>
        <v/>
      </c>
      <c r="Q92" s="3">
        <f>IF(AND('Data Source'!B92&lt;&gt;"",'Data Source'!S92="A+"),'Data Source'!S92,"")</f>
        <v/>
      </c>
    </row>
    <row r="93">
      <c r="A93" s="3">
        <f>IF(AND('Data Source'!B93&lt;&gt;"",'Data Source'!S93="A+"),COUNTIF('Data Source'!$S$3:S93,"A+"),"")</f>
        <v/>
      </c>
      <c r="B93">
        <f>IF(AND('Data Source'!B93&lt;&gt;"",'Data Source'!S93="A+"),'Data Source'!B93,"")</f>
        <v/>
      </c>
      <c r="C93" s="3">
        <f>IF(AND('Data Source'!B93&lt;&gt;"",'Data Source'!S93="A+"),IF('Data Source'!U93&gt;=5,"A+",IF('Data Source'!U93&gt;=4,"A",IF('Data Source'!U93&gt;=3.5,"A-",IF('Data Source'!U93&gt;=3,"B",IF('Data Source'!U93&gt;=2,"C",IF('Data Source'!U93&gt;=1,"D","F")))))),"")</f>
        <v/>
      </c>
      <c r="D93" s="3">
        <f>IF(AND('Data Source'!B93&lt;&gt;"",'Data Source'!S93="A+"),IF('Data Source'!V93&gt;=5,"A+",IF('Data Source'!V93&gt;=4,"A",IF('Data Source'!V93&gt;=3.5,"A-",IF('Data Source'!V93&gt;=3,"B",IF('Data Source'!V93&gt;=2,"C",IF('Data Source'!V93&gt;=1,"D","F")))))),"")</f>
        <v/>
      </c>
      <c r="E93" s="3">
        <f>IF(AND('Data Source'!B93&lt;&gt;"",'Data Source'!S93="A+"),IF('Data Source'!W93&gt;=5,"A+",IF('Data Source'!W93&gt;=4,"A",IF('Data Source'!W93&gt;=3.5,"A-",IF('Data Source'!W93&gt;=3,"B",IF('Data Source'!W93&gt;=2,"C",IF('Data Source'!W93&gt;=1,"D","F")))))),"")</f>
        <v/>
      </c>
      <c r="F93" s="3">
        <f>IF(AND('Data Source'!B93&lt;&gt;"",'Data Source'!S93="A+"),IF('Data Source'!X93&gt;=5,"A+",IF('Data Source'!X93&gt;=4,"A",IF('Data Source'!X93&gt;=3.5,"A-",IF('Data Source'!X93&gt;=3,"B",IF('Data Source'!X93&gt;=2,"C",IF('Data Source'!X93&gt;=1,"D","F")))))),"")</f>
        <v/>
      </c>
      <c r="G93" s="3">
        <f>IF(AND('Data Source'!B93&lt;&gt;"",'Data Source'!S93="A+"),IF('Data Source'!Y93&gt;=5,"A+",IF('Data Source'!Y93&gt;=4,"A",IF('Data Source'!Y93&gt;=3.5,"A-",IF('Data Source'!Y93&gt;=3,"B",IF('Data Source'!Y93&gt;=2,"C",IF('Data Source'!Y93&gt;=1,"D","F")))))),"")</f>
        <v/>
      </c>
      <c r="H93" s="3">
        <f>IF(AND('Data Source'!B93&lt;&gt;"",'Data Source'!S93="A+"),IF('Data Source'!Z93&gt;=5,"A+",IF('Data Source'!Z93&gt;=4,"A",IF('Data Source'!Z93&gt;=3.5,"A-",IF('Data Source'!Z93&gt;=3,"B",IF('Data Source'!Z93&gt;=2,"C",IF('Data Source'!Z93&gt;=1,"D","F")))))),"")</f>
        <v/>
      </c>
      <c r="I93" s="3">
        <f>IF(AND('Data Source'!B93&lt;&gt;"",'Data Source'!S93="A+"),IF('Data Source'!AA93&gt;=5,"A+",IF('Data Source'!AA93&gt;=4,"A",IF('Data Source'!AA93&gt;=3.5,"A-",IF('Data Source'!AA93&gt;=3,"B",IF('Data Source'!AA93&gt;=2,"C",IF('Data Source'!AA93&gt;=1,"D","F")))))),"")</f>
        <v/>
      </c>
      <c r="J93" s="3">
        <f>IF(AND('Data Source'!B93&lt;&gt;"",'Data Source'!S93="A+"),IF('Data Source'!AB93&gt;=5,"A+",IF('Data Source'!AB93&gt;=4,"A",IF('Data Source'!AB93&gt;=3.5,"A-",IF('Data Source'!AB93&gt;=3,"B",IF('Data Source'!AB93&gt;=2,"C",IF('Data Source'!AB93&gt;=1,"D","F")))))),"")</f>
        <v/>
      </c>
      <c r="K93" s="3">
        <f>IF(AND('Data Source'!B93&lt;&gt;"",'Data Source'!S93="A+"),IF('Data Source'!AC93&gt;=5,"A+",IF('Data Source'!AC93&gt;=4,"A",IF('Data Source'!AC93&gt;=3.5,"A-",IF('Data Source'!AC93&gt;=3,"B",IF('Data Source'!AC93&gt;=2,"C",IF('Data Source'!AC93&gt;=1,"D","F")))))),"")</f>
        <v/>
      </c>
      <c r="L93" s="3">
        <f>IF(AND('Data Source'!B93&lt;&gt;"",'Data Source'!S93="A+"),IF('Data Source'!AD93&gt;=5,"A+",IF('Data Source'!AD93&gt;=4,"A",IF('Data Source'!AD93&gt;=3.5,"A-",IF('Data Source'!AD93&gt;=3,"B",IF('Data Source'!AD93&gt;=2,"C",IF('Data Source'!AD93&gt;=1,"D","F")))))),"")</f>
        <v/>
      </c>
      <c r="M93" s="3">
        <f>IF(AND('Data Source'!B93&lt;&gt;"",'Data Source'!S93="A+"),IF('Data Source'!AE93&gt;=5,"A+",IF('Data Source'!AE93&gt;=4,"A",IF('Data Source'!AE93&gt;=3.5,"A-",IF('Data Source'!AE93&gt;=3,"B",IF('Data Source'!AE93&gt;=2,"C",IF('Data Source'!AE93&gt;=1,"D","F")))))),"")</f>
        <v/>
      </c>
      <c r="N93" s="3">
        <f>IF(AND('Data Source'!B93&lt;&gt;"",'Data Source'!S93="A+"),IF('Data Source'!AF93&gt;=5,"A+",IF('Data Source'!AF93&gt;=4,"A",IF('Data Source'!AF93&gt;=3.5,"A-",IF('Data Source'!AF93&gt;=3,"B",IF('Data Source'!AF93&gt;=2,"C",IF('Data Source'!AF93&gt;=1,"D","F")))))),"")</f>
        <v/>
      </c>
      <c r="O93" s="3">
        <f>IF(AND('Data Source'!B93&lt;&gt;"",'Data Source'!S93="A+"),IF('Data Source'!AG93&gt;=5,"A+",IF('Data Source'!AG93&gt;=4,"A",IF('Data Source'!AG93&gt;=3.5,"A-",IF('Data Source'!AG93&gt;=3,"B",IF('Data Source'!AG93&gt;=2,"C",IF('Data Source'!AG93&gt;=1,"D","F")))))),"")</f>
        <v/>
      </c>
      <c r="P93" s="5">
        <f>IF(AND('Data Source'!B93&lt;&gt;"",'Data Source'!S93="A+"),'Data Source'!R93,"")</f>
        <v/>
      </c>
      <c r="Q93" s="3">
        <f>IF(AND('Data Source'!B93&lt;&gt;"",'Data Source'!S93="A+"),'Data Source'!S93,"")</f>
        <v/>
      </c>
    </row>
    <row r="94">
      <c r="A94" s="3">
        <f>IF(AND('Data Source'!B94&lt;&gt;"",'Data Source'!S94="A+"),COUNTIF('Data Source'!$S$3:S94,"A+"),"")</f>
        <v/>
      </c>
      <c r="B94">
        <f>IF(AND('Data Source'!B94&lt;&gt;"",'Data Source'!S94="A+"),'Data Source'!B94,"")</f>
        <v/>
      </c>
      <c r="C94" s="3">
        <f>IF(AND('Data Source'!B94&lt;&gt;"",'Data Source'!S94="A+"),IF('Data Source'!U94&gt;=5,"A+",IF('Data Source'!U94&gt;=4,"A",IF('Data Source'!U94&gt;=3.5,"A-",IF('Data Source'!U94&gt;=3,"B",IF('Data Source'!U94&gt;=2,"C",IF('Data Source'!U94&gt;=1,"D","F")))))),"")</f>
        <v/>
      </c>
      <c r="D94" s="3">
        <f>IF(AND('Data Source'!B94&lt;&gt;"",'Data Source'!S94="A+"),IF('Data Source'!V94&gt;=5,"A+",IF('Data Source'!V94&gt;=4,"A",IF('Data Source'!V94&gt;=3.5,"A-",IF('Data Source'!V94&gt;=3,"B",IF('Data Source'!V94&gt;=2,"C",IF('Data Source'!V94&gt;=1,"D","F")))))),"")</f>
        <v/>
      </c>
      <c r="E94" s="3">
        <f>IF(AND('Data Source'!B94&lt;&gt;"",'Data Source'!S94="A+"),IF('Data Source'!W94&gt;=5,"A+",IF('Data Source'!W94&gt;=4,"A",IF('Data Source'!W94&gt;=3.5,"A-",IF('Data Source'!W94&gt;=3,"B",IF('Data Source'!W94&gt;=2,"C",IF('Data Source'!W94&gt;=1,"D","F")))))),"")</f>
        <v/>
      </c>
      <c r="F94" s="3">
        <f>IF(AND('Data Source'!B94&lt;&gt;"",'Data Source'!S94="A+"),IF('Data Source'!X94&gt;=5,"A+",IF('Data Source'!X94&gt;=4,"A",IF('Data Source'!X94&gt;=3.5,"A-",IF('Data Source'!X94&gt;=3,"B",IF('Data Source'!X94&gt;=2,"C",IF('Data Source'!X94&gt;=1,"D","F")))))),"")</f>
        <v/>
      </c>
      <c r="G94" s="3">
        <f>IF(AND('Data Source'!B94&lt;&gt;"",'Data Source'!S94="A+"),IF('Data Source'!Y94&gt;=5,"A+",IF('Data Source'!Y94&gt;=4,"A",IF('Data Source'!Y94&gt;=3.5,"A-",IF('Data Source'!Y94&gt;=3,"B",IF('Data Source'!Y94&gt;=2,"C",IF('Data Source'!Y94&gt;=1,"D","F")))))),"")</f>
        <v/>
      </c>
      <c r="H94" s="3">
        <f>IF(AND('Data Source'!B94&lt;&gt;"",'Data Source'!S94="A+"),IF('Data Source'!Z94&gt;=5,"A+",IF('Data Source'!Z94&gt;=4,"A",IF('Data Source'!Z94&gt;=3.5,"A-",IF('Data Source'!Z94&gt;=3,"B",IF('Data Source'!Z94&gt;=2,"C",IF('Data Source'!Z94&gt;=1,"D","F")))))),"")</f>
        <v/>
      </c>
      <c r="I94" s="3">
        <f>IF(AND('Data Source'!B94&lt;&gt;"",'Data Source'!S94="A+"),IF('Data Source'!AA94&gt;=5,"A+",IF('Data Source'!AA94&gt;=4,"A",IF('Data Source'!AA94&gt;=3.5,"A-",IF('Data Source'!AA94&gt;=3,"B",IF('Data Source'!AA94&gt;=2,"C",IF('Data Source'!AA94&gt;=1,"D","F")))))),"")</f>
        <v/>
      </c>
      <c r="J94" s="3">
        <f>IF(AND('Data Source'!B94&lt;&gt;"",'Data Source'!S94="A+"),IF('Data Source'!AB94&gt;=5,"A+",IF('Data Source'!AB94&gt;=4,"A",IF('Data Source'!AB94&gt;=3.5,"A-",IF('Data Source'!AB94&gt;=3,"B",IF('Data Source'!AB94&gt;=2,"C",IF('Data Source'!AB94&gt;=1,"D","F")))))),"")</f>
        <v/>
      </c>
      <c r="K94" s="3">
        <f>IF(AND('Data Source'!B94&lt;&gt;"",'Data Source'!S94="A+"),IF('Data Source'!AC94&gt;=5,"A+",IF('Data Source'!AC94&gt;=4,"A",IF('Data Source'!AC94&gt;=3.5,"A-",IF('Data Source'!AC94&gt;=3,"B",IF('Data Source'!AC94&gt;=2,"C",IF('Data Source'!AC94&gt;=1,"D","F")))))),"")</f>
        <v/>
      </c>
      <c r="L94" s="3">
        <f>IF(AND('Data Source'!B94&lt;&gt;"",'Data Source'!S94="A+"),IF('Data Source'!AD94&gt;=5,"A+",IF('Data Source'!AD94&gt;=4,"A",IF('Data Source'!AD94&gt;=3.5,"A-",IF('Data Source'!AD94&gt;=3,"B",IF('Data Source'!AD94&gt;=2,"C",IF('Data Source'!AD94&gt;=1,"D","F")))))),"")</f>
        <v/>
      </c>
      <c r="M94" s="3">
        <f>IF(AND('Data Source'!B94&lt;&gt;"",'Data Source'!S94="A+"),IF('Data Source'!AE94&gt;=5,"A+",IF('Data Source'!AE94&gt;=4,"A",IF('Data Source'!AE94&gt;=3.5,"A-",IF('Data Source'!AE94&gt;=3,"B",IF('Data Source'!AE94&gt;=2,"C",IF('Data Source'!AE94&gt;=1,"D","F")))))),"")</f>
        <v/>
      </c>
      <c r="N94" s="3">
        <f>IF(AND('Data Source'!B94&lt;&gt;"",'Data Source'!S94="A+"),IF('Data Source'!AF94&gt;=5,"A+",IF('Data Source'!AF94&gt;=4,"A",IF('Data Source'!AF94&gt;=3.5,"A-",IF('Data Source'!AF94&gt;=3,"B",IF('Data Source'!AF94&gt;=2,"C",IF('Data Source'!AF94&gt;=1,"D","F")))))),"")</f>
        <v/>
      </c>
      <c r="O94" s="3">
        <f>IF(AND('Data Source'!B94&lt;&gt;"",'Data Source'!S94="A+"),IF('Data Source'!AG94&gt;=5,"A+",IF('Data Source'!AG94&gt;=4,"A",IF('Data Source'!AG94&gt;=3.5,"A-",IF('Data Source'!AG94&gt;=3,"B",IF('Data Source'!AG94&gt;=2,"C",IF('Data Source'!AG94&gt;=1,"D","F")))))),"")</f>
        <v/>
      </c>
      <c r="P94" s="5">
        <f>IF(AND('Data Source'!B94&lt;&gt;"",'Data Source'!S94="A+"),'Data Source'!R94,"")</f>
        <v/>
      </c>
      <c r="Q94" s="3">
        <f>IF(AND('Data Source'!B94&lt;&gt;"",'Data Source'!S94="A+"),'Data Source'!S94,"")</f>
        <v/>
      </c>
    </row>
    <row r="95">
      <c r="A95" s="3">
        <f>IF(AND('Data Source'!B95&lt;&gt;"",'Data Source'!S95="A+"),COUNTIF('Data Source'!$S$3:S95,"A+"),"")</f>
        <v/>
      </c>
      <c r="B95">
        <f>IF(AND('Data Source'!B95&lt;&gt;"",'Data Source'!S95="A+"),'Data Source'!B95,"")</f>
        <v/>
      </c>
      <c r="C95" s="3">
        <f>IF(AND('Data Source'!B95&lt;&gt;"",'Data Source'!S95="A+"),IF('Data Source'!U95&gt;=5,"A+",IF('Data Source'!U95&gt;=4,"A",IF('Data Source'!U95&gt;=3.5,"A-",IF('Data Source'!U95&gt;=3,"B",IF('Data Source'!U95&gt;=2,"C",IF('Data Source'!U95&gt;=1,"D","F")))))),"")</f>
        <v/>
      </c>
      <c r="D95" s="3">
        <f>IF(AND('Data Source'!B95&lt;&gt;"",'Data Source'!S95="A+"),IF('Data Source'!V95&gt;=5,"A+",IF('Data Source'!V95&gt;=4,"A",IF('Data Source'!V95&gt;=3.5,"A-",IF('Data Source'!V95&gt;=3,"B",IF('Data Source'!V95&gt;=2,"C",IF('Data Source'!V95&gt;=1,"D","F")))))),"")</f>
        <v/>
      </c>
      <c r="E95" s="3">
        <f>IF(AND('Data Source'!B95&lt;&gt;"",'Data Source'!S95="A+"),IF('Data Source'!W95&gt;=5,"A+",IF('Data Source'!W95&gt;=4,"A",IF('Data Source'!W95&gt;=3.5,"A-",IF('Data Source'!W95&gt;=3,"B",IF('Data Source'!W95&gt;=2,"C",IF('Data Source'!W95&gt;=1,"D","F")))))),"")</f>
        <v/>
      </c>
      <c r="F95" s="3">
        <f>IF(AND('Data Source'!B95&lt;&gt;"",'Data Source'!S95="A+"),IF('Data Source'!X95&gt;=5,"A+",IF('Data Source'!X95&gt;=4,"A",IF('Data Source'!X95&gt;=3.5,"A-",IF('Data Source'!X95&gt;=3,"B",IF('Data Source'!X95&gt;=2,"C",IF('Data Source'!X95&gt;=1,"D","F")))))),"")</f>
        <v/>
      </c>
      <c r="G95" s="3">
        <f>IF(AND('Data Source'!B95&lt;&gt;"",'Data Source'!S95="A+"),IF('Data Source'!Y95&gt;=5,"A+",IF('Data Source'!Y95&gt;=4,"A",IF('Data Source'!Y95&gt;=3.5,"A-",IF('Data Source'!Y95&gt;=3,"B",IF('Data Source'!Y95&gt;=2,"C",IF('Data Source'!Y95&gt;=1,"D","F")))))),"")</f>
        <v/>
      </c>
      <c r="H95" s="3">
        <f>IF(AND('Data Source'!B95&lt;&gt;"",'Data Source'!S95="A+"),IF('Data Source'!Z95&gt;=5,"A+",IF('Data Source'!Z95&gt;=4,"A",IF('Data Source'!Z95&gt;=3.5,"A-",IF('Data Source'!Z95&gt;=3,"B",IF('Data Source'!Z95&gt;=2,"C",IF('Data Source'!Z95&gt;=1,"D","F")))))),"")</f>
        <v/>
      </c>
      <c r="I95" s="3">
        <f>IF(AND('Data Source'!B95&lt;&gt;"",'Data Source'!S95="A+"),IF('Data Source'!AA95&gt;=5,"A+",IF('Data Source'!AA95&gt;=4,"A",IF('Data Source'!AA95&gt;=3.5,"A-",IF('Data Source'!AA95&gt;=3,"B",IF('Data Source'!AA95&gt;=2,"C",IF('Data Source'!AA95&gt;=1,"D","F")))))),"")</f>
        <v/>
      </c>
      <c r="J95" s="3">
        <f>IF(AND('Data Source'!B95&lt;&gt;"",'Data Source'!S95="A+"),IF('Data Source'!AB95&gt;=5,"A+",IF('Data Source'!AB95&gt;=4,"A",IF('Data Source'!AB95&gt;=3.5,"A-",IF('Data Source'!AB95&gt;=3,"B",IF('Data Source'!AB95&gt;=2,"C",IF('Data Source'!AB95&gt;=1,"D","F")))))),"")</f>
        <v/>
      </c>
      <c r="K95" s="3">
        <f>IF(AND('Data Source'!B95&lt;&gt;"",'Data Source'!S95="A+"),IF('Data Source'!AC95&gt;=5,"A+",IF('Data Source'!AC95&gt;=4,"A",IF('Data Source'!AC95&gt;=3.5,"A-",IF('Data Source'!AC95&gt;=3,"B",IF('Data Source'!AC95&gt;=2,"C",IF('Data Source'!AC95&gt;=1,"D","F")))))),"")</f>
        <v/>
      </c>
      <c r="L95" s="3">
        <f>IF(AND('Data Source'!B95&lt;&gt;"",'Data Source'!S95="A+"),IF('Data Source'!AD95&gt;=5,"A+",IF('Data Source'!AD95&gt;=4,"A",IF('Data Source'!AD95&gt;=3.5,"A-",IF('Data Source'!AD95&gt;=3,"B",IF('Data Source'!AD95&gt;=2,"C",IF('Data Source'!AD95&gt;=1,"D","F")))))),"")</f>
        <v/>
      </c>
      <c r="M95" s="3">
        <f>IF(AND('Data Source'!B95&lt;&gt;"",'Data Source'!S95="A+"),IF('Data Source'!AE95&gt;=5,"A+",IF('Data Source'!AE95&gt;=4,"A",IF('Data Source'!AE95&gt;=3.5,"A-",IF('Data Source'!AE95&gt;=3,"B",IF('Data Source'!AE95&gt;=2,"C",IF('Data Source'!AE95&gt;=1,"D","F")))))),"")</f>
        <v/>
      </c>
      <c r="N95" s="3">
        <f>IF(AND('Data Source'!B95&lt;&gt;"",'Data Source'!S95="A+"),IF('Data Source'!AF95&gt;=5,"A+",IF('Data Source'!AF95&gt;=4,"A",IF('Data Source'!AF95&gt;=3.5,"A-",IF('Data Source'!AF95&gt;=3,"B",IF('Data Source'!AF95&gt;=2,"C",IF('Data Source'!AF95&gt;=1,"D","F")))))),"")</f>
        <v/>
      </c>
      <c r="O95" s="3">
        <f>IF(AND('Data Source'!B95&lt;&gt;"",'Data Source'!S95="A+"),IF('Data Source'!AG95&gt;=5,"A+",IF('Data Source'!AG95&gt;=4,"A",IF('Data Source'!AG95&gt;=3.5,"A-",IF('Data Source'!AG95&gt;=3,"B",IF('Data Source'!AG95&gt;=2,"C",IF('Data Source'!AG95&gt;=1,"D","F")))))),"")</f>
        <v/>
      </c>
      <c r="P95" s="5">
        <f>IF(AND('Data Source'!B95&lt;&gt;"",'Data Source'!S95="A+"),'Data Source'!R95,"")</f>
        <v/>
      </c>
      <c r="Q95" s="3">
        <f>IF(AND('Data Source'!B95&lt;&gt;"",'Data Source'!S95="A+"),'Data Source'!S95,"")</f>
        <v/>
      </c>
    </row>
    <row r="96">
      <c r="A96" s="3">
        <f>IF(AND('Data Source'!B96&lt;&gt;"",'Data Source'!S96="A+"),COUNTIF('Data Source'!$S$3:S96,"A+"),"")</f>
        <v/>
      </c>
      <c r="B96">
        <f>IF(AND('Data Source'!B96&lt;&gt;"",'Data Source'!S96="A+"),'Data Source'!B96,"")</f>
        <v/>
      </c>
      <c r="C96" s="3">
        <f>IF(AND('Data Source'!B96&lt;&gt;"",'Data Source'!S96="A+"),IF('Data Source'!U96&gt;=5,"A+",IF('Data Source'!U96&gt;=4,"A",IF('Data Source'!U96&gt;=3.5,"A-",IF('Data Source'!U96&gt;=3,"B",IF('Data Source'!U96&gt;=2,"C",IF('Data Source'!U96&gt;=1,"D","F")))))),"")</f>
        <v/>
      </c>
      <c r="D96" s="3">
        <f>IF(AND('Data Source'!B96&lt;&gt;"",'Data Source'!S96="A+"),IF('Data Source'!V96&gt;=5,"A+",IF('Data Source'!V96&gt;=4,"A",IF('Data Source'!V96&gt;=3.5,"A-",IF('Data Source'!V96&gt;=3,"B",IF('Data Source'!V96&gt;=2,"C",IF('Data Source'!V96&gt;=1,"D","F")))))),"")</f>
        <v/>
      </c>
      <c r="E96" s="3">
        <f>IF(AND('Data Source'!B96&lt;&gt;"",'Data Source'!S96="A+"),IF('Data Source'!W96&gt;=5,"A+",IF('Data Source'!W96&gt;=4,"A",IF('Data Source'!W96&gt;=3.5,"A-",IF('Data Source'!W96&gt;=3,"B",IF('Data Source'!W96&gt;=2,"C",IF('Data Source'!W96&gt;=1,"D","F")))))),"")</f>
        <v/>
      </c>
      <c r="F96" s="3">
        <f>IF(AND('Data Source'!B96&lt;&gt;"",'Data Source'!S96="A+"),IF('Data Source'!X96&gt;=5,"A+",IF('Data Source'!X96&gt;=4,"A",IF('Data Source'!X96&gt;=3.5,"A-",IF('Data Source'!X96&gt;=3,"B",IF('Data Source'!X96&gt;=2,"C",IF('Data Source'!X96&gt;=1,"D","F")))))),"")</f>
        <v/>
      </c>
      <c r="G96" s="3">
        <f>IF(AND('Data Source'!B96&lt;&gt;"",'Data Source'!S96="A+"),IF('Data Source'!Y96&gt;=5,"A+",IF('Data Source'!Y96&gt;=4,"A",IF('Data Source'!Y96&gt;=3.5,"A-",IF('Data Source'!Y96&gt;=3,"B",IF('Data Source'!Y96&gt;=2,"C",IF('Data Source'!Y96&gt;=1,"D","F")))))),"")</f>
        <v/>
      </c>
      <c r="H96" s="3">
        <f>IF(AND('Data Source'!B96&lt;&gt;"",'Data Source'!S96="A+"),IF('Data Source'!Z96&gt;=5,"A+",IF('Data Source'!Z96&gt;=4,"A",IF('Data Source'!Z96&gt;=3.5,"A-",IF('Data Source'!Z96&gt;=3,"B",IF('Data Source'!Z96&gt;=2,"C",IF('Data Source'!Z96&gt;=1,"D","F")))))),"")</f>
        <v/>
      </c>
      <c r="I96" s="3">
        <f>IF(AND('Data Source'!B96&lt;&gt;"",'Data Source'!S96="A+"),IF('Data Source'!AA96&gt;=5,"A+",IF('Data Source'!AA96&gt;=4,"A",IF('Data Source'!AA96&gt;=3.5,"A-",IF('Data Source'!AA96&gt;=3,"B",IF('Data Source'!AA96&gt;=2,"C",IF('Data Source'!AA96&gt;=1,"D","F")))))),"")</f>
        <v/>
      </c>
      <c r="J96" s="3">
        <f>IF(AND('Data Source'!B96&lt;&gt;"",'Data Source'!S96="A+"),IF('Data Source'!AB96&gt;=5,"A+",IF('Data Source'!AB96&gt;=4,"A",IF('Data Source'!AB96&gt;=3.5,"A-",IF('Data Source'!AB96&gt;=3,"B",IF('Data Source'!AB96&gt;=2,"C",IF('Data Source'!AB96&gt;=1,"D","F")))))),"")</f>
        <v/>
      </c>
      <c r="K96" s="3">
        <f>IF(AND('Data Source'!B96&lt;&gt;"",'Data Source'!S96="A+"),IF('Data Source'!AC96&gt;=5,"A+",IF('Data Source'!AC96&gt;=4,"A",IF('Data Source'!AC96&gt;=3.5,"A-",IF('Data Source'!AC96&gt;=3,"B",IF('Data Source'!AC96&gt;=2,"C",IF('Data Source'!AC96&gt;=1,"D","F")))))),"")</f>
        <v/>
      </c>
      <c r="L96" s="3">
        <f>IF(AND('Data Source'!B96&lt;&gt;"",'Data Source'!S96="A+"),IF('Data Source'!AD96&gt;=5,"A+",IF('Data Source'!AD96&gt;=4,"A",IF('Data Source'!AD96&gt;=3.5,"A-",IF('Data Source'!AD96&gt;=3,"B",IF('Data Source'!AD96&gt;=2,"C",IF('Data Source'!AD96&gt;=1,"D","F")))))),"")</f>
        <v/>
      </c>
      <c r="M96" s="3">
        <f>IF(AND('Data Source'!B96&lt;&gt;"",'Data Source'!S96="A+"),IF('Data Source'!AE96&gt;=5,"A+",IF('Data Source'!AE96&gt;=4,"A",IF('Data Source'!AE96&gt;=3.5,"A-",IF('Data Source'!AE96&gt;=3,"B",IF('Data Source'!AE96&gt;=2,"C",IF('Data Source'!AE96&gt;=1,"D","F")))))),"")</f>
        <v/>
      </c>
      <c r="N96" s="3">
        <f>IF(AND('Data Source'!B96&lt;&gt;"",'Data Source'!S96="A+"),IF('Data Source'!AF96&gt;=5,"A+",IF('Data Source'!AF96&gt;=4,"A",IF('Data Source'!AF96&gt;=3.5,"A-",IF('Data Source'!AF96&gt;=3,"B",IF('Data Source'!AF96&gt;=2,"C",IF('Data Source'!AF96&gt;=1,"D","F")))))),"")</f>
        <v/>
      </c>
      <c r="O96" s="3">
        <f>IF(AND('Data Source'!B96&lt;&gt;"",'Data Source'!S96="A+"),IF('Data Source'!AG96&gt;=5,"A+",IF('Data Source'!AG96&gt;=4,"A",IF('Data Source'!AG96&gt;=3.5,"A-",IF('Data Source'!AG96&gt;=3,"B",IF('Data Source'!AG96&gt;=2,"C",IF('Data Source'!AG96&gt;=1,"D","F")))))),"")</f>
        <v/>
      </c>
      <c r="P96" s="5">
        <f>IF(AND('Data Source'!B96&lt;&gt;"",'Data Source'!S96="A+"),'Data Source'!R96,"")</f>
        <v/>
      </c>
      <c r="Q96" s="3">
        <f>IF(AND('Data Source'!B96&lt;&gt;"",'Data Source'!S96="A+"),'Data Source'!S96,"")</f>
        <v/>
      </c>
    </row>
    <row r="97">
      <c r="A97" s="3">
        <f>IF(AND('Data Source'!B97&lt;&gt;"",'Data Source'!S97="A+"),COUNTIF('Data Source'!$S$3:S97,"A+"),"")</f>
        <v/>
      </c>
      <c r="B97">
        <f>IF(AND('Data Source'!B97&lt;&gt;"",'Data Source'!S97="A+"),'Data Source'!B97,"")</f>
        <v/>
      </c>
      <c r="C97" s="3">
        <f>IF(AND('Data Source'!B97&lt;&gt;"",'Data Source'!S97="A+"),IF('Data Source'!U97&gt;=5,"A+",IF('Data Source'!U97&gt;=4,"A",IF('Data Source'!U97&gt;=3.5,"A-",IF('Data Source'!U97&gt;=3,"B",IF('Data Source'!U97&gt;=2,"C",IF('Data Source'!U97&gt;=1,"D","F")))))),"")</f>
        <v/>
      </c>
      <c r="D97" s="3">
        <f>IF(AND('Data Source'!B97&lt;&gt;"",'Data Source'!S97="A+"),IF('Data Source'!V97&gt;=5,"A+",IF('Data Source'!V97&gt;=4,"A",IF('Data Source'!V97&gt;=3.5,"A-",IF('Data Source'!V97&gt;=3,"B",IF('Data Source'!V97&gt;=2,"C",IF('Data Source'!V97&gt;=1,"D","F")))))),"")</f>
        <v/>
      </c>
      <c r="E97" s="3">
        <f>IF(AND('Data Source'!B97&lt;&gt;"",'Data Source'!S97="A+"),IF('Data Source'!W97&gt;=5,"A+",IF('Data Source'!W97&gt;=4,"A",IF('Data Source'!W97&gt;=3.5,"A-",IF('Data Source'!W97&gt;=3,"B",IF('Data Source'!W97&gt;=2,"C",IF('Data Source'!W97&gt;=1,"D","F")))))),"")</f>
        <v/>
      </c>
      <c r="F97" s="3">
        <f>IF(AND('Data Source'!B97&lt;&gt;"",'Data Source'!S97="A+"),IF('Data Source'!X97&gt;=5,"A+",IF('Data Source'!X97&gt;=4,"A",IF('Data Source'!X97&gt;=3.5,"A-",IF('Data Source'!X97&gt;=3,"B",IF('Data Source'!X97&gt;=2,"C",IF('Data Source'!X97&gt;=1,"D","F")))))),"")</f>
        <v/>
      </c>
      <c r="G97" s="3">
        <f>IF(AND('Data Source'!B97&lt;&gt;"",'Data Source'!S97="A+"),IF('Data Source'!Y97&gt;=5,"A+",IF('Data Source'!Y97&gt;=4,"A",IF('Data Source'!Y97&gt;=3.5,"A-",IF('Data Source'!Y97&gt;=3,"B",IF('Data Source'!Y97&gt;=2,"C",IF('Data Source'!Y97&gt;=1,"D","F")))))),"")</f>
        <v/>
      </c>
      <c r="H97" s="3">
        <f>IF(AND('Data Source'!B97&lt;&gt;"",'Data Source'!S97="A+"),IF('Data Source'!Z97&gt;=5,"A+",IF('Data Source'!Z97&gt;=4,"A",IF('Data Source'!Z97&gt;=3.5,"A-",IF('Data Source'!Z97&gt;=3,"B",IF('Data Source'!Z97&gt;=2,"C",IF('Data Source'!Z97&gt;=1,"D","F")))))),"")</f>
        <v/>
      </c>
      <c r="I97" s="3">
        <f>IF(AND('Data Source'!B97&lt;&gt;"",'Data Source'!S97="A+"),IF('Data Source'!AA97&gt;=5,"A+",IF('Data Source'!AA97&gt;=4,"A",IF('Data Source'!AA97&gt;=3.5,"A-",IF('Data Source'!AA97&gt;=3,"B",IF('Data Source'!AA97&gt;=2,"C",IF('Data Source'!AA97&gt;=1,"D","F")))))),"")</f>
        <v/>
      </c>
      <c r="J97" s="3">
        <f>IF(AND('Data Source'!B97&lt;&gt;"",'Data Source'!S97="A+"),IF('Data Source'!AB97&gt;=5,"A+",IF('Data Source'!AB97&gt;=4,"A",IF('Data Source'!AB97&gt;=3.5,"A-",IF('Data Source'!AB97&gt;=3,"B",IF('Data Source'!AB97&gt;=2,"C",IF('Data Source'!AB97&gt;=1,"D","F")))))),"")</f>
        <v/>
      </c>
      <c r="K97" s="3">
        <f>IF(AND('Data Source'!B97&lt;&gt;"",'Data Source'!S97="A+"),IF('Data Source'!AC97&gt;=5,"A+",IF('Data Source'!AC97&gt;=4,"A",IF('Data Source'!AC97&gt;=3.5,"A-",IF('Data Source'!AC97&gt;=3,"B",IF('Data Source'!AC97&gt;=2,"C",IF('Data Source'!AC97&gt;=1,"D","F")))))),"")</f>
        <v/>
      </c>
      <c r="L97" s="3">
        <f>IF(AND('Data Source'!B97&lt;&gt;"",'Data Source'!S97="A+"),IF('Data Source'!AD97&gt;=5,"A+",IF('Data Source'!AD97&gt;=4,"A",IF('Data Source'!AD97&gt;=3.5,"A-",IF('Data Source'!AD97&gt;=3,"B",IF('Data Source'!AD97&gt;=2,"C",IF('Data Source'!AD97&gt;=1,"D","F")))))),"")</f>
        <v/>
      </c>
      <c r="M97" s="3">
        <f>IF(AND('Data Source'!B97&lt;&gt;"",'Data Source'!S97="A+"),IF('Data Source'!AE97&gt;=5,"A+",IF('Data Source'!AE97&gt;=4,"A",IF('Data Source'!AE97&gt;=3.5,"A-",IF('Data Source'!AE97&gt;=3,"B",IF('Data Source'!AE97&gt;=2,"C",IF('Data Source'!AE97&gt;=1,"D","F")))))),"")</f>
        <v/>
      </c>
      <c r="N97" s="3">
        <f>IF(AND('Data Source'!B97&lt;&gt;"",'Data Source'!S97="A+"),IF('Data Source'!AF97&gt;=5,"A+",IF('Data Source'!AF97&gt;=4,"A",IF('Data Source'!AF97&gt;=3.5,"A-",IF('Data Source'!AF97&gt;=3,"B",IF('Data Source'!AF97&gt;=2,"C",IF('Data Source'!AF97&gt;=1,"D","F")))))),"")</f>
        <v/>
      </c>
      <c r="O97" s="3">
        <f>IF(AND('Data Source'!B97&lt;&gt;"",'Data Source'!S97="A+"),IF('Data Source'!AG97&gt;=5,"A+",IF('Data Source'!AG97&gt;=4,"A",IF('Data Source'!AG97&gt;=3.5,"A-",IF('Data Source'!AG97&gt;=3,"B",IF('Data Source'!AG97&gt;=2,"C",IF('Data Source'!AG97&gt;=1,"D","F")))))),"")</f>
        <v/>
      </c>
      <c r="P97" s="5">
        <f>IF(AND('Data Source'!B97&lt;&gt;"",'Data Source'!S97="A+"),'Data Source'!R97,"")</f>
        <v/>
      </c>
      <c r="Q97" s="3">
        <f>IF(AND('Data Source'!B97&lt;&gt;"",'Data Source'!S97="A+"),'Data Source'!S97,"")</f>
        <v/>
      </c>
    </row>
    <row r="98">
      <c r="A98" s="3">
        <f>IF(AND('Data Source'!B98&lt;&gt;"",'Data Source'!S98="A+"),COUNTIF('Data Source'!$S$3:S98,"A+"),"")</f>
        <v/>
      </c>
      <c r="B98">
        <f>IF(AND('Data Source'!B98&lt;&gt;"",'Data Source'!S98="A+"),'Data Source'!B98,"")</f>
        <v/>
      </c>
      <c r="C98" s="3">
        <f>IF(AND('Data Source'!B98&lt;&gt;"",'Data Source'!S98="A+"),IF('Data Source'!U98&gt;=5,"A+",IF('Data Source'!U98&gt;=4,"A",IF('Data Source'!U98&gt;=3.5,"A-",IF('Data Source'!U98&gt;=3,"B",IF('Data Source'!U98&gt;=2,"C",IF('Data Source'!U98&gt;=1,"D","F")))))),"")</f>
        <v/>
      </c>
      <c r="D98" s="3">
        <f>IF(AND('Data Source'!B98&lt;&gt;"",'Data Source'!S98="A+"),IF('Data Source'!V98&gt;=5,"A+",IF('Data Source'!V98&gt;=4,"A",IF('Data Source'!V98&gt;=3.5,"A-",IF('Data Source'!V98&gt;=3,"B",IF('Data Source'!V98&gt;=2,"C",IF('Data Source'!V98&gt;=1,"D","F")))))),"")</f>
        <v/>
      </c>
      <c r="E98" s="3">
        <f>IF(AND('Data Source'!B98&lt;&gt;"",'Data Source'!S98="A+"),IF('Data Source'!W98&gt;=5,"A+",IF('Data Source'!W98&gt;=4,"A",IF('Data Source'!W98&gt;=3.5,"A-",IF('Data Source'!W98&gt;=3,"B",IF('Data Source'!W98&gt;=2,"C",IF('Data Source'!W98&gt;=1,"D","F")))))),"")</f>
        <v/>
      </c>
      <c r="F98" s="3">
        <f>IF(AND('Data Source'!B98&lt;&gt;"",'Data Source'!S98="A+"),IF('Data Source'!X98&gt;=5,"A+",IF('Data Source'!X98&gt;=4,"A",IF('Data Source'!X98&gt;=3.5,"A-",IF('Data Source'!X98&gt;=3,"B",IF('Data Source'!X98&gt;=2,"C",IF('Data Source'!X98&gt;=1,"D","F")))))),"")</f>
        <v/>
      </c>
      <c r="G98" s="3">
        <f>IF(AND('Data Source'!B98&lt;&gt;"",'Data Source'!S98="A+"),IF('Data Source'!Y98&gt;=5,"A+",IF('Data Source'!Y98&gt;=4,"A",IF('Data Source'!Y98&gt;=3.5,"A-",IF('Data Source'!Y98&gt;=3,"B",IF('Data Source'!Y98&gt;=2,"C",IF('Data Source'!Y98&gt;=1,"D","F")))))),"")</f>
        <v/>
      </c>
      <c r="H98" s="3">
        <f>IF(AND('Data Source'!B98&lt;&gt;"",'Data Source'!S98="A+"),IF('Data Source'!Z98&gt;=5,"A+",IF('Data Source'!Z98&gt;=4,"A",IF('Data Source'!Z98&gt;=3.5,"A-",IF('Data Source'!Z98&gt;=3,"B",IF('Data Source'!Z98&gt;=2,"C",IF('Data Source'!Z98&gt;=1,"D","F")))))),"")</f>
        <v/>
      </c>
      <c r="I98" s="3">
        <f>IF(AND('Data Source'!B98&lt;&gt;"",'Data Source'!S98="A+"),IF('Data Source'!AA98&gt;=5,"A+",IF('Data Source'!AA98&gt;=4,"A",IF('Data Source'!AA98&gt;=3.5,"A-",IF('Data Source'!AA98&gt;=3,"B",IF('Data Source'!AA98&gt;=2,"C",IF('Data Source'!AA98&gt;=1,"D","F")))))),"")</f>
        <v/>
      </c>
      <c r="J98" s="3">
        <f>IF(AND('Data Source'!B98&lt;&gt;"",'Data Source'!S98="A+"),IF('Data Source'!AB98&gt;=5,"A+",IF('Data Source'!AB98&gt;=4,"A",IF('Data Source'!AB98&gt;=3.5,"A-",IF('Data Source'!AB98&gt;=3,"B",IF('Data Source'!AB98&gt;=2,"C",IF('Data Source'!AB98&gt;=1,"D","F")))))),"")</f>
        <v/>
      </c>
      <c r="K98" s="3">
        <f>IF(AND('Data Source'!B98&lt;&gt;"",'Data Source'!S98="A+"),IF('Data Source'!AC98&gt;=5,"A+",IF('Data Source'!AC98&gt;=4,"A",IF('Data Source'!AC98&gt;=3.5,"A-",IF('Data Source'!AC98&gt;=3,"B",IF('Data Source'!AC98&gt;=2,"C",IF('Data Source'!AC98&gt;=1,"D","F")))))),"")</f>
        <v/>
      </c>
      <c r="L98" s="3">
        <f>IF(AND('Data Source'!B98&lt;&gt;"",'Data Source'!S98="A+"),IF('Data Source'!AD98&gt;=5,"A+",IF('Data Source'!AD98&gt;=4,"A",IF('Data Source'!AD98&gt;=3.5,"A-",IF('Data Source'!AD98&gt;=3,"B",IF('Data Source'!AD98&gt;=2,"C",IF('Data Source'!AD98&gt;=1,"D","F")))))),"")</f>
        <v/>
      </c>
      <c r="M98" s="3">
        <f>IF(AND('Data Source'!B98&lt;&gt;"",'Data Source'!S98="A+"),IF('Data Source'!AE98&gt;=5,"A+",IF('Data Source'!AE98&gt;=4,"A",IF('Data Source'!AE98&gt;=3.5,"A-",IF('Data Source'!AE98&gt;=3,"B",IF('Data Source'!AE98&gt;=2,"C",IF('Data Source'!AE98&gt;=1,"D","F")))))),"")</f>
        <v/>
      </c>
      <c r="N98" s="3">
        <f>IF(AND('Data Source'!B98&lt;&gt;"",'Data Source'!S98="A+"),IF('Data Source'!AF98&gt;=5,"A+",IF('Data Source'!AF98&gt;=4,"A",IF('Data Source'!AF98&gt;=3.5,"A-",IF('Data Source'!AF98&gt;=3,"B",IF('Data Source'!AF98&gt;=2,"C",IF('Data Source'!AF98&gt;=1,"D","F")))))),"")</f>
        <v/>
      </c>
      <c r="O98" s="3">
        <f>IF(AND('Data Source'!B98&lt;&gt;"",'Data Source'!S98="A+"),IF('Data Source'!AG98&gt;=5,"A+",IF('Data Source'!AG98&gt;=4,"A",IF('Data Source'!AG98&gt;=3.5,"A-",IF('Data Source'!AG98&gt;=3,"B",IF('Data Source'!AG98&gt;=2,"C",IF('Data Source'!AG98&gt;=1,"D","F")))))),"")</f>
        <v/>
      </c>
      <c r="P98" s="5">
        <f>IF(AND('Data Source'!B98&lt;&gt;"",'Data Source'!S98="A+"),'Data Source'!R98,"")</f>
        <v/>
      </c>
      <c r="Q98" s="3">
        <f>IF(AND('Data Source'!B98&lt;&gt;"",'Data Source'!S98="A+"),'Data Source'!S98,"")</f>
        <v/>
      </c>
    </row>
    <row r="99">
      <c r="A99" s="3">
        <f>IF(AND('Data Source'!B99&lt;&gt;"",'Data Source'!S99="A+"),COUNTIF('Data Source'!$S$3:S99,"A+"),"")</f>
        <v/>
      </c>
      <c r="B99">
        <f>IF(AND('Data Source'!B99&lt;&gt;"",'Data Source'!S99="A+"),'Data Source'!B99,"")</f>
        <v/>
      </c>
      <c r="C99" s="3">
        <f>IF(AND('Data Source'!B99&lt;&gt;"",'Data Source'!S99="A+"),IF('Data Source'!U99&gt;=5,"A+",IF('Data Source'!U99&gt;=4,"A",IF('Data Source'!U99&gt;=3.5,"A-",IF('Data Source'!U99&gt;=3,"B",IF('Data Source'!U99&gt;=2,"C",IF('Data Source'!U99&gt;=1,"D","F")))))),"")</f>
        <v/>
      </c>
      <c r="D99" s="3">
        <f>IF(AND('Data Source'!B99&lt;&gt;"",'Data Source'!S99="A+"),IF('Data Source'!V99&gt;=5,"A+",IF('Data Source'!V99&gt;=4,"A",IF('Data Source'!V99&gt;=3.5,"A-",IF('Data Source'!V99&gt;=3,"B",IF('Data Source'!V99&gt;=2,"C",IF('Data Source'!V99&gt;=1,"D","F")))))),"")</f>
        <v/>
      </c>
      <c r="E99" s="3">
        <f>IF(AND('Data Source'!B99&lt;&gt;"",'Data Source'!S99="A+"),IF('Data Source'!W99&gt;=5,"A+",IF('Data Source'!W99&gt;=4,"A",IF('Data Source'!W99&gt;=3.5,"A-",IF('Data Source'!W99&gt;=3,"B",IF('Data Source'!W99&gt;=2,"C",IF('Data Source'!W99&gt;=1,"D","F")))))),"")</f>
        <v/>
      </c>
      <c r="F99" s="3">
        <f>IF(AND('Data Source'!B99&lt;&gt;"",'Data Source'!S99="A+"),IF('Data Source'!X99&gt;=5,"A+",IF('Data Source'!X99&gt;=4,"A",IF('Data Source'!X99&gt;=3.5,"A-",IF('Data Source'!X99&gt;=3,"B",IF('Data Source'!X99&gt;=2,"C",IF('Data Source'!X99&gt;=1,"D","F")))))),"")</f>
        <v/>
      </c>
      <c r="G99" s="3">
        <f>IF(AND('Data Source'!B99&lt;&gt;"",'Data Source'!S99="A+"),IF('Data Source'!Y99&gt;=5,"A+",IF('Data Source'!Y99&gt;=4,"A",IF('Data Source'!Y99&gt;=3.5,"A-",IF('Data Source'!Y99&gt;=3,"B",IF('Data Source'!Y99&gt;=2,"C",IF('Data Source'!Y99&gt;=1,"D","F")))))),"")</f>
        <v/>
      </c>
      <c r="H99" s="3">
        <f>IF(AND('Data Source'!B99&lt;&gt;"",'Data Source'!S99="A+"),IF('Data Source'!Z99&gt;=5,"A+",IF('Data Source'!Z99&gt;=4,"A",IF('Data Source'!Z99&gt;=3.5,"A-",IF('Data Source'!Z99&gt;=3,"B",IF('Data Source'!Z99&gt;=2,"C",IF('Data Source'!Z99&gt;=1,"D","F")))))),"")</f>
        <v/>
      </c>
      <c r="I99" s="3">
        <f>IF(AND('Data Source'!B99&lt;&gt;"",'Data Source'!S99="A+"),IF('Data Source'!AA99&gt;=5,"A+",IF('Data Source'!AA99&gt;=4,"A",IF('Data Source'!AA99&gt;=3.5,"A-",IF('Data Source'!AA99&gt;=3,"B",IF('Data Source'!AA99&gt;=2,"C",IF('Data Source'!AA99&gt;=1,"D","F")))))),"")</f>
        <v/>
      </c>
      <c r="J99" s="3">
        <f>IF(AND('Data Source'!B99&lt;&gt;"",'Data Source'!S99="A+"),IF('Data Source'!AB99&gt;=5,"A+",IF('Data Source'!AB99&gt;=4,"A",IF('Data Source'!AB99&gt;=3.5,"A-",IF('Data Source'!AB99&gt;=3,"B",IF('Data Source'!AB99&gt;=2,"C",IF('Data Source'!AB99&gt;=1,"D","F")))))),"")</f>
        <v/>
      </c>
      <c r="K99" s="3">
        <f>IF(AND('Data Source'!B99&lt;&gt;"",'Data Source'!S99="A+"),IF('Data Source'!AC99&gt;=5,"A+",IF('Data Source'!AC99&gt;=4,"A",IF('Data Source'!AC99&gt;=3.5,"A-",IF('Data Source'!AC99&gt;=3,"B",IF('Data Source'!AC99&gt;=2,"C",IF('Data Source'!AC99&gt;=1,"D","F")))))),"")</f>
        <v/>
      </c>
      <c r="L99" s="3">
        <f>IF(AND('Data Source'!B99&lt;&gt;"",'Data Source'!S99="A+"),IF('Data Source'!AD99&gt;=5,"A+",IF('Data Source'!AD99&gt;=4,"A",IF('Data Source'!AD99&gt;=3.5,"A-",IF('Data Source'!AD99&gt;=3,"B",IF('Data Source'!AD99&gt;=2,"C",IF('Data Source'!AD99&gt;=1,"D","F")))))),"")</f>
        <v/>
      </c>
      <c r="M99" s="3">
        <f>IF(AND('Data Source'!B99&lt;&gt;"",'Data Source'!S99="A+"),IF('Data Source'!AE99&gt;=5,"A+",IF('Data Source'!AE99&gt;=4,"A",IF('Data Source'!AE99&gt;=3.5,"A-",IF('Data Source'!AE99&gt;=3,"B",IF('Data Source'!AE99&gt;=2,"C",IF('Data Source'!AE99&gt;=1,"D","F")))))),"")</f>
        <v/>
      </c>
      <c r="N99" s="3">
        <f>IF(AND('Data Source'!B99&lt;&gt;"",'Data Source'!S99="A+"),IF('Data Source'!AF99&gt;=5,"A+",IF('Data Source'!AF99&gt;=4,"A",IF('Data Source'!AF99&gt;=3.5,"A-",IF('Data Source'!AF99&gt;=3,"B",IF('Data Source'!AF99&gt;=2,"C",IF('Data Source'!AF99&gt;=1,"D","F")))))),"")</f>
        <v/>
      </c>
      <c r="O99" s="3">
        <f>IF(AND('Data Source'!B99&lt;&gt;"",'Data Source'!S99="A+"),IF('Data Source'!AG99&gt;=5,"A+",IF('Data Source'!AG99&gt;=4,"A",IF('Data Source'!AG99&gt;=3.5,"A-",IF('Data Source'!AG99&gt;=3,"B",IF('Data Source'!AG99&gt;=2,"C",IF('Data Source'!AG99&gt;=1,"D","F")))))),"")</f>
        <v/>
      </c>
      <c r="P99" s="5">
        <f>IF(AND('Data Source'!B99&lt;&gt;"",'Data Source'!S99="A+"),'Data Source'!R99,"")</f>
        <v/>
      </c>
      <c r="Q99" s="3">
        <f>IF(AND('Data Source'!B99&lt;&gt;"",'Data Source'!S99="A+"),'Data Source'!S99,"")</f>
        <v/>
      </c>
    </row>
    <row r="100">
      <c r="A100" s="3">
        <f>IF(AND('Data Source'!B100&lt;&gt;"",'Data Source'!S100="A+"),COUNTIF('Data Source'!$S$3:S100,"A+"),"")</f>
        <v/>
      </c>
      <c r="B100">
        <f>IF(AND('Data Source'!B100&lt;&gt;"",'Data Source'!S100="A+"),'Data Source'!B100,"")</f>
        <v/>
      </c>
      <c r="C100" s="3">
        <f>IF(AND('Data Source'!B100&lt;&gt;"",'Data Source'!S100="A+"),IF('Data Source'!U100&gt;=5,"A+",IF('Data Source'!U100&gt;=4,"A",IF('Data Source'!U100&gt;=3.5,"A-",IF('Data Source'!U100&gt;=3,"B",IF('Data Source'!U100&gt;=2,"C",IF('Data Source'!U100&gt;=1,"D","F")))))),"")</f>
        <v/>
      </c>
      <c r="D100" s="3">
        <f>IF(AND('Data Source'!B100&lt;&gt;"",'Data Source'!S100="A+"),IF('Data Source'!V100&gt;=5,"A+",IF('Data Source'!V100&gt;=4,"A",IF('Data Source'!V100&gt;=3.5,"A-",IF('Data Source'!V100&gt;=3,"B",IF('Data Source'!V100&gt;=2,"C",IF('Data Source'!V100&gt;=1,"D","F")))))),"")</f>
        <v/>
      </c>
      <c r="E100" s="3">
        <f>IF(AND('Data Source'!B100&lt;&gt;"",'Data Source'!S100="A+"),IF('Data Source'!W100&gt;=5,"A+",IF('Data Source'!W100&gt;=4,"A",IF('Data Source'!W100&gt;=3.5,"A-",IF('Data Source'!W100&gt;=3,"B",IF('Data Source'!W100&gt;=2,"C",IF('Data Source'!W100&gt;=1,"D","F")))))),"")</f>
        <v/>
      </c>
      <c r="F100" s="3">
        <f>IF(AND('Data Source'!B100&lt;&gt;"",'Data Source'!S100="A+"),IF('Data Source'!X100&gt;=5,"A+",IF('Data Source'!X100&gt;=4,"A",IF('Data Source'!X100&gt;=3.5,"A-",IF('Data Source'!X100&gt;=3,"B",IF('Data Source'!X100&gt;=2,"C",IF('Data Source'!X100&gt;=1,"D","F")))))),"")</f>
        <v/>
      </c>
      <c r="G100" s="3">
        <f>IF(AND('Data Source'!B100&lt;&gt;"",'Data Source'!S100="A+"),IF('Data Source'!Y100&gt;=5,"A+",IF('Data Source'!Y100&gt;=4,"A",IF('Data Source'!Y100&gt;=3.5,"A-",IF('Data Source'!Y100&gt;=3,"B",IF('Data Source'!Y100&gt;=2,"C",IF('Data Source'!Y100&gt;=1,"D","F")))))),"")</f>
        <v/>
      </c>
      <c r="H100" s="3">
        <f>IF(AND('Data Source'!B100&lt;&gt;"",'Data Source'!S100="A+"),IF('Data Source'!Z100&gt;=5,"A+",IF('Data Source'!Z100&gt;=4,"A",IF('Data Source'!Z100&gt;=3.5,"A-",IF('Data Source'!Z100&gt;=3,"B",IF('Data Source'!Z100&gt;=2,"C",IF('Data Source'!Z100&gt;=1,"D","F")))))),"")</f>
        <v/>
      </c>
      <c r="I100" s="3">
        <f>IF(AND('Data Source'!B100&lt;&gt;"",'Data Source'!S100="A+"),IF('Data Source'!AA100&gt;=5,"A+",IF('Data Source'!AA100&gt;=4,"A",IF('Data Source'!AA100&gt;=3.5,"A-",IF('Data Source'!AA100&gt;=3,"B",IF('Data Source'!AA100&gt;=2,"C",IF('Data Source'!AA100&gt;=1,"D","F")))))),"")</f>
        <v/>
      </c>
      <c r="J100" s="3">
        <f>IF(AND('Data Source'!B100&lt;&gt;"",'Data Source'!S100="A+"),IF('Data Source'!AB100&gt;=5,"A+",IF('Data Source'!AB100&gt;=4,"A",IF('Data Source'!AB100&gt;=3.5,"A-",IF('Data Source'!AB100&gt;=3,"B",IF('Data Source'!AB100&gt;=2,"C",IF('Data Source'!AB100&gt;=1,"D","F")))))),"")</f>
        <v/>
      </c>
      <c r="K100" s="3">
        <f>IF(AND('Data Source'!B100&lt;&gt;"",'Data Source'!S100="A+"),IF('Data Source'!AC100&gt;=5,"A+",IF('Data Source'!AC100&gt;=4,"A",IF('Data Source'!AC100&gt;=3.5,"A-",IF('Data Source'!AC100&gt;=3,"B",IF('Data Source'!AC100&gt;=2,"C",IF('Data Source'!AC100&gt;=1,"D","F")))))),"")</f>
        <v/>
      </c>
      <c r="L100" s="3">
        <f>IF(AND('Data Source'!B100&lt;&gt;"",'Data Source'!S100="A+"),IF('Data Source'!AD100&gt;=5,"A+",IF('Data Source'!AD100&gt;=4,"A",IF('Data Source'!AD100&gt;=3.5,"A-",IF('Data Source'!AD100&gt;=3,"B",IF('Data Source'!AD100&gt;=2,"C",IF('Data Source'!AD100&gt;=1,"D","F")))))),"")</f>
        <v/>
      </c>
      <c r="M100" s="3">
        <f>IF(AND('Data Source'!B100&lt;&gt;"",'Data Source'!S100="A+"),IF('Data Source'!AE100&gt;=5,"A+",IF('Data Source'!AE100&gt;=4,"A",IF('Data Source'!AE100&gt;=3.5,"A-",IF('Data Source'!AE100&gt;=3,"B",IF('Data Source'!AE100&gt;=2,"C",IF('Data Source'!AE100&gt;=1,"D","F")))))),"")</f>
        <v/>
      </c>
      <c r="N100" s="3">
        <f>IF(AND('Data Source'!B100&lt;&gt;"",'Data Source'!S100="A+"),IF('Data Source'!AF100&gt;=5,"A+",IF('Data Source'!AF100&gt;=4,"A",IF('Data Source'!AF100&gt;=3.5,"A-",IF('Data Source'!AF100&gt;=3,"B",IF('Data Source'!AF100&gt;=2,"C",IF('Data Source'!AF100&gt;=1,"D","F")))))),"")</f>
        <v/>
      </c>
      <c r="O100" s="3">
        <f>IF(AND('Data Source'!B100&lt;&gt;"",'Data Source'!S100="A+"),IF('Data Source'!AG100&gt;=5,"A+",IF('Data Source'!AG100&gt;=4,"A",IF('Data Source'!AG100&gt;=3.5,"A-",IF('Data Source'!AG100&gt;=3,"B",IF('Data Source'!AG100&gt;=2,"C",IF('Data Source'!AG100&gt;=1,"D","F")))))),"")</f>
        <v/>
      </c>
      <c r="P100" s="5">
        <f>IF(AND('Data Source'!B100&lt;&gt;"",'Data Source'!S100="A+"),'Data Source'!R100,"")</f>
        <v/>
      </c>
      <c r="Q100" s="3">
        <f>IF(AND('Data Source'!B100&lt;&gt;"",'Data Source'!S100="A+"),'Data Source'!S100,"")</f>
        <v/>
      </c>
    </row>
    <row r="101">
      <c r="A101" s="3">
        <f>IF(AND('Data Source'!B101&lt;&gt;"",'Data Source'!S101="A+"),COUNTIF('Data Source'!$S$3:S101,"A+"),"")</f>
        <v/>
      </c>
      <c r="B101">
        <f>IF(AND('Data Source'!B101&lt;&gt;"",'Data Source'!S101="A+"),'Data Source'!B101,"")</f>
        <v/>
      </c>
      <c r="C101" s="3">
        <f>IF(AND('Data Source'!B101&lt;&gt;"",'Data Source'!S101="A+"),IF('Data Source'!U101&gt;=5,"A+",IF('Data Source'!U101&gt;=4,"A",IF('Data Source'!U101&gt;=3.5,"A-",IF('Data Source'!U101&gt;=3,"B",IF('Data Source'!U101&gt;=2,"C",IF('Data Source'!U101&gt;=1,"D","F")))))),"")</f>
        <v/>
      </c>
      <c r="D101" s="3">
        <f>IF(AND('Data Source'!B101&lt;&gt;"",'Data Source'!S101="A+"),IF('Data Source'!V101&gt;=5,"A+",IF('Data Source'!V101&gt;=4,"A",IF('Data Source'!V101&gt;=3.5,"A-",IF('Data Source'!V101&gt;=3,"B",IF('Data Source'!V101&gt;=2,"C",IF('Data Source'!V101&gt;=1,"D","F")))))),"")</f>
        <v/>
      </c>
      <c r="E101" s="3">
        <f>IF(AND('Data Source'!B101&lt;&gt;"",'Data Source'!S101="A+"),IF('Data Source'!W101&gt;=5,"A+",IF('Data Source'!W101&gt;=4,"A",IF('Data Source'!W101&gt;=3.5,"A-",IF('Data Source'!W101&gt;=3,"B",IF('Data Source'!W101&gt;=2,"C",IF('Data Source'!W101&gt;=1,"D","F")))))),"")</f>
        <v/>
      </c>
      <c r="F101" s="3">
        <f>IF(AND('Data Source'!B101&lt;&gt;"",'Data Source'!S101="A+"),IF('Data Source'!X101&gt;=5,"A+",IF('Data Source'!X101&gt;=4,"A",IF('Data Source'!X101&gt;=3.5,"A-",IF('Data Source'!X101&gt;=3,"B",IF('Data Source'!X101&gt;=2,"C",IF('Data Source'!X101&gt;=1,"D","F")))))),"")</f>
        <v/>
      </c>
      <c r="G101" s="3">
        <f>IF(AND('Data Source'!B101&lt;&gt;"",'Data Source'!S101="A+"),IF('Data Source'!Y101&gt;=5,"A+",IF('Data Source'!Y101&gt;=4,"A",IF('Data Source'!Y101&gt;=3.5,"A-",IF('Data Source'!Y101&gt;=3,"B",IF('Data Source'!Y101&gt;=2,"C",IF('Data Source'!Y101&gt;=1,"D","F")))))),"")</f>
        <v/>
      </c>
      <c r="H101" s="3">
        <f>IF(AND('Data Source'!B101&lt;&gt;"",'Data Source'!S101="A+"),IF('Data Source'!Z101&gt;=5,"A+",IF('Data Source'!Z101&gt;=4,"A",IF('Data Source'!Z101&gt;=3.5,"A-",IF('Data Source'!Z101&gt;=3,"B",IF('Data Source'!Z101&gt;=2,"C",IF('Data Source'!Z101&gt;=1,"D","F")))))),"")</f>
        <v/>
      </c>
      <c r="I101" s="3">
        <f>IF(AND('Data Source'!B101&lt;&gt;"",'Data Source'!S101="A+"),IF('Data Source'!AA101&gt;=5,"A+",IF('Data Source'!AA101&gt;=4,"A",IF('Data Source'!AA101&gt;=3.5,"A-",IF('Data Source'!AA101&gt;=3,"B",IF('Data Source'!AA101&gt;=2,"C",IF('Data Source'!AA101&gt;=1,"D","F")))))),"")</f>
        <v/>
      </c>
      <c r="J101" s="3">
        <f>IF(AND('Data Source'!B101&lt;&gt;"",'Data Source'!S101="A+"),IF('Data Source'!AB101&gt;=5,"A+",IF('Data Source'!AB101&gt;=4,"A",IF('Data Source'!AB101&gt;=3.5,"A-",IF('Data Source'!AB101&gt;=3,"B",IF('Data Source'!AB101&gt;=2,"C",IF('Data Source'!AB101&gt;=1,"D","F")))))),"")</f>
        <v/>
      </c>
      <c r="K101" s="3">
        <f>IF(AND('Data Source'!B101&lt;&gt;"",'Data Source'!S101="A+"),IF('Data Source'!AC101&gt;=5,"A+",IF('Data Source'!AC101&gt;=4,"A",IF('Data Source'!AC101&gt;=3.5,"A-",IF('Data Source'!AC101&gt;=3,"B",IF('Data Source'!AC101&gt;=2,"C",IF('Data Source'!AC101&gt;=1,"D","F")))))),"")</f>
        <v/>
      </c>
      <c r="L101" s="3">
        <f>IF(AND('Data Source'!B101&lt;&gt;"",'Data Source'!S101="A+"),IF('Data Source'!AD101&gt;=5,"A+",IF('Data Source'!AD101&gt;=4,"A",IF('Data Source'!AD101&gt;=3.5,"A-",IF('Data Source'!AD101&gt;=3,"B",IF('Data Source'!AD101&gt;=2,"C",IF('Data Source'!AD101&gt;=1,"D","F")))))),"")</f>
        <v/>
      </c>
      <c r="M101" s="3">
        <f>IF(AND('Data Source'!B101&lt;&gt;"",'Data Source'!S101="A+"),IF('Data Source'!AE101&gt;=5,"A+",IF('Data Source'!AE101&gt;=4,"A",IF('Data Source'!AE101&gt;=3.5,"A-",IF('Data Source'!AE101&gt;=3,"B",IF('Data Source'!AE101&gt;=2,"C",IF('Data Source'!AE101&gt;=1,"D","F")))))),"")</f>
        <v/>
      </c>
      <c r="N101" s="3">
        <f>IF(AND('Data Source'!B101&lt;&gt;"",'Data Source'!S101="A+"),IF('Data Source'!AF101&gt;=5,"A+",IF('Data Source'!AF101&gt;=4,"A",IF('Data Source'!AF101&gt;=3.5,"A-",IF('Data Source'!AF101&gt;=3,"B",IF('Data Source'!AF101&gt;=2,"C",IF('Data Source'!AF101&gt;=1,"D","F")))))),"")</f>
        <v/>
      </c>
      <c r="O101" s="3">
        <f>IF(AND('Data Source'!B101&lt;&gt;"",'Data Source'!S101="A+"),IF('Data Source'!AG101&gt;=5,"A+",IF('Data Source'!AG101&gt;=4,"A",IF('Data Source'!AG101&gt;=3.5,"A-",IF('Data Source'!AG101&gt;=3,"B",IF('Data Source'!AG101&gt;=2,"C",IF('Data Source'!AG101&gt;=1,"D","F")))))),"")</f>
        <v/>
      </c>
      <c r="P101" s="5">
        <f>IF(AND('Data Source'!B101&lt;&gt;"",'Data Source'!S101="A+"),'Data Source'!R101,"")</f>
        <v/>
      </c>
      <c r="Q101" s="3">
        <f>IF(AND('Data Source'!B101&lt;&gt;"",'Data Source'!S101="A+"),'Data Source'!S101,"")</f>
        <v/>
      </c>
    </row>
    <row r="102">
      <c r="A102" s="3">
        <f>IF(AND('Data Source'!B102&lt;&gt;"",'Data Source'!S102="A+"),COUNTIF('Data Source'!$S$3:S102,"A+"),"")</f>
        <v/>
      </c>
      <c r="B102">
        <f>IF(AND('Data Source'!B102&lt;&gt;"",'Data Source'!S102="A+"),'Data Source'!B102,"")</f>
        <v/>
      </c>
      <c r="C102" s="3">
        <f>IF(AND('Data Source'!B102&lt;&gt;"",'Data Source'!S102="A+"),IF('Data Source'!U102&gt;=5,"A+",IF('Data Source'!U102&gt;=4,"A",IF('Data Source'!U102&gt;=3.5,"A-",IF('Data Source'!U102&gt;=3,"B",IF('Data Source'!U102&gt;=2,"C",IF('Data Source'!U102&gt;=1,"D","F")))))),"")</f>
        <v/>
      </c>
      <c r="D102" s="3">
        <f>IF(AND('Data Source'!B102&lt;&gt;"",'Data Source'!S102="A+"),IF('Data Source'!V102&gt;=5,"A+",IF('Data Source'!V102&gt;=4,"A",IF('Data Source'!V102&gt;=3.5,"A-",IF('Data Source'!V102&gt;=3,"B",IF('Data Source'!V102&gt;=2,"C",IF('Data Source'!V102&gt;=1,"D","F")))))),"")</f>
        <v/>
      </c>
      <c r="E102" s="3">
        <f>IF(AND('Data Source'!B102&lt;&gt;"",'Data Source'!S102="A+"),IF('Data Source'!W102&gt;=5,"A+",IF('Data Source'!W102&gt;=4,"A",IF('Data Source'!W102&gt;=3.5,"A-",IF('Data Source'!W102&gt;=3,"B",IF('Data Source'!W102&gt;=2,"C",IF('Data Source'!W102&gt;=1,"D","F")))))),"")</f>
        <v/>
      </c>
      <c r="F102" s="3">
        <f>IF(AND('Data Source'!B102&lt;&gt;"",'Data Source'!S102="A+"),IF('Data Source'!X102&gt;=5,"A+",IF('Data Source'!X102&gt;=4,"A",IF('Data Source'!X102&gt;=3.5,"A-",IF('Data Source'!X102&gt;=3,"B",IF('Data Source'!X102&gt;=2,"C",IF('Data Source'!X102&gt;=1,"D","F")))))),"")</f>
        <v/>
      </c>
      <c r="G102" s="3">
        <f>IF(AND('Data Source'!B102&lt;&gt;"",'Data Source'!S102="A+"),IF('Data Source'!Y102&gt;=5,"A+",IF('Data Source'!Y102&gt;=4,"A",IF('Data Source'!Y102&gt;=3.5,"A-",IF('Data Source'!Y102&gt;=3,"B",IF('Data Source'!Y102&gt;=2,"C",IF('Data Source'!Y102&gt;=1,"D","F")))))),"")</f>
        <v/>
      </c>
      <c r="H102" s="3">
        <f>IF(AND('Data Source'!B102&lt;&gt;"",'Data Source'!S102="A+"),IF('Data Source'!Z102&gt;=5,"A+",IF('Data Source'!Z102&gt;=4,"A",IF('Data Source'!Z102&gt;=3.5,"A-",IF('Data Source'!Z102&gt;=3,"B",IF('Data Source'!Z102&gt;=2,"C",IF('Data Source'!Z102&gt;=1,"D","F")))))),"")</f>
        <v/>
      </c>
      <c r="I102" s="3">
        <f>IF(AND('Data Source'!B102&lt;&gt;"",'Data Source'!S102="A+"),IF('Data Source'!AA102&gt;=5,"A+",IF('Data Source'!AA102&gt;=4,"A",IF('Data Source'!AA102&gt;=3.5,"A-",IF('Data Source'!AA102&gt;=3,"B",IF('Data Source'!AA102&gt;=2,"C",IF('Data Source'!AA102&gt;=1,"D","F")))))),"")</f>
        <v/>
      </c>
      <c r="J102" s="3">
        <f>IF(AND('Data Source'!B102&lt;&gt;"",'Data Source'!S102="A+"),IF('Data Source'!AB102&gt;=5,"A+",IF('Data Source'!AB102&gt;=4,"A",IF('Data Source'!AB102&gt;=3.5,"A-",IF('Data Source'!AB102&gt;=3,"B",IF('Data Source'!AB102&gt;=2,"C",IF('Data Source'!AB102&gt;=1,"D","F")))))),"")</f>
        <v/>
      </c>
      <c r="K102" s="3">
        <f>IF(AND('Data Source'!B102&lt;&gt;"",'Data Source'!S102="A+"),IF('Data Source'!AC102&gt;=5,"A+",IF('Data Source'!AC102&gt;=4,"A",IF('Data Source'!AC102&gt;=3.5,"A-",IF('Data Source'!AC102&gt;=3,"B",IF('Data Source'!AC102&gt;=2,"C",IF('Data Source'!AC102&gt;=1,"D","F")))))),"")</f>
        <v/>
      </c>
      <c r="L102" s="3">
        <f>IF(AND('Data Source'!B102&lt;&gt;"",'Data Source'!S102="A+"),IF('Data Source'!AD102&gt;=5,"A+",IF('Data Source'!AD102&gt;=4,"A",IF('Data Source'!AD102&gt;=3.5,"A-",IF('Data Source'!AD102&gt;=3,"B",IF('Data Source'!AD102&gt;=2,"C",IF('Data Source'!AD102&gt;=1,"D","F")))))),"")</f>
        <v/>
      </c>
      <c r="M102" s="3">
        <f>IF(AND('Data Source'!B102&lt;&gt;"",'Data Source'!S102="A+"),IF('Data Source'!AE102&gt;=5,"A+",IF('Data Source'!AE102&gt;=4,"A",IF('Data Source'!AE102&gt;=3.5,"A-",IF('Data Source'!AE102&gt;=3,"B",IF('Data Source'!AE102&gt;=2,"C",IF('Data Source'!AE102&gt;=1,"D","F")))))),"")</f>
        <v/>
      </c>
      <c r="N102" s="3">
        <f>IF(AND('Data Source'!B102&lt;&gt;"",'Data Source'!S102="A+"),IF('Data Source'!AF102&gt;=5,"A+",IF('Data Source'!AF102&gt;=4,"A",IF('Data Source'!AF102&gt;=3.5,"A-",IF('Data Source'!AF102&gt;=3,"B",IF('Data Source'!AF102&gt;=2,"C",IF('Data Source'!AF102&gt;=1,"D","F")))))),"")</f>
        <v/>
      </c>
      <c r="O102" s="3">
        <f>IF(AND('Data Source'!B102&lt;&gt;"",'Data Source'!S102="A+"),IF('Data Source'!AG102&gt;=5,"A+",IF('Data Source'!AG102&gt;=4,"A",IF('Data Source'!AG102&gt;=3.5,"A-",IF('Data Source'!AG102&gt;=3,"B",IF('Data Source'!AG102&gt;=2,"C",IF('Data Source'!AG102&gt;=1,"D","F")))))),"")</f>
        <v/>
      </c>
      <c r="P102" s="5">
        <f>IF(AND('Data Source'!B102&lt;&gt;"",'Data Source'!S102="A+"),'Data Source'!R102,"")</f>
        <v/>
      </c>
      <c r="Q102" s="3">
        <f>IF(AND('Data Source'!B102&lt;&gt;"",'Data Source'!S102="A+"),'Data Source'!S102,"")</f>
        <v/>
      </c>
    </row>
    <row r="103">
      <c r="A103" s="3">
        <f>IF(AND('Data Source'!B103&lt;&gt;"",'Data Source'!S103="A+"),COUNTIF('Data Source'!$S$3:S103,"A+"),"")</f>
        <v/>
      </c>
      <c r="B103">
        <f>IF(AND('Data Source'!B103&lt;&gt;"",'Data Source'!S103="A+"),'Data Source'!B103,"")</f>
        <v/>
      </c>
      <c r="C103" s="3">
        <f>IF(AND('Data Source'!B103&lt;&gt;"",'Data Source'!S103="A+"),IF('Data Source'!U103&gt;=5,"A+",IF('Data Source'!U103&gt;=4,"A",IF('Data Source'!U103&gt;=3.5,"A-",IF('Data Source'!U103&gt;=3,"B",IF('Data Source'!U103&gt;=2,"C",IF('Data Source'!U103&gt;=1,"D","F")))))),"")</f>
        <v/>
      </c>
      <c r="D103" s="3">
        <f>IF(AND('Data Source'!B103&lt;&gt;"",'Data Source'!S103="A+"),IF('Data Source'!V103&gt;=5,"A+",IF('Data Source'!V103&gt;=4,"A",IF('Data Source'!V103&gt;=3.5,"A-",IF('Data Source'!V103&gt;=3,"B",IF('Data Source'!V103&gt;=2,"C",IF('Data Source'!V103&gt;=1,"D","F")))))),"")</f>
        <v/>
      </c>
      <c r="E103" s="3">
        <f>IF(AND('Data Source'!B103&lt;&gt;"",'Data Source'!S103="A+"),IF('Data Source'!W103&gt;=5,"A+",IF('Data Source'!W103&gt;=4,"A",IF('Data Source'!W103&gt;=3.5,"A-",IF('Data Source'!W103&gt;=3,"B",IF('Data Source'!W103&gt;=2,"C",IF('Data Source'!W103&gt;=1,"D","F")))))),"")</f>
        <v/>
      </c>
      <c r="F103" s="3">
        <f>IF(AND('Data Source'!B103&lt;&gt;"",'Data Source'!S103="A+"),IF('Data Source'!X103&gt;=5,"A+",IF('Data Source'!X103&gt;=4,"A",IF('Data Source'!X103&gt;=3.5,"A-",IF('Data Source'!X103&gt;=3,"B",IF('Data Source'!X103&gt;=2,"C",IF('Data Source'!X103&gt;=1,"D","F")))))),"")</f>
        <v/>
      </c>
      <c r="G103" s="3">
        <f>IF(AND('Data Source'!B103&lt;&gt;"",'Data Source'!S103="A+"),IF('Data Source'!Y103&gt;=5,"A+",IF('Data Source'!Y103&gt;=4,"A",IF('Data Source'!Y103&gt;=3.5,"A-",IF('Data Source'!Y103&gt;=3,"B",IF('Data Source'!Y103&gt;=2,"C",IF('Data Source'!Y103&gt;=1,"D","F")))))),"")</f>
        <v/>
      </c>
      <c r="H103" s="3">
        <f>IF(AND('Data Source'!B103&lt;&gt;"",'Data Source'!S103="A+"),IF('Data Source'!Z103&gt;=5,"A+",IF('Data Source'!Z103&gt;=4,"A",IF('Data Source'!Z103&gt;=3.5,"A-",IF('Data Source'!Z103&gt;=3,"B",IF('Data Source'!Z103&gt;=2,"C",IF('Data Source'!Z103&gt;=1,"D","F")))))),"")</f>
        <v/>
      </c>
      <c r="I103" s="3">
        <f>IF(AND('Data Source'!B103&lt;&gt;"",'Data Source'!S103="A+"),IF('Data Source'!AA103&gt;=5,"A+",IF('Data Source'!AA103&gt;=4,"A",IF('Data Source'!AA103&gt;=3.5,"A-",IF('Data Source'!AA103&gt;=3,"B",IF('Data Source'!AA103&gt;=2,"C",IF('Data Source'!AA103&gt;=1,"D","F")))))),"")</f>
        <v/>
      </c>
      <c r="J103" s="3">
        <f>IF(AND('Data Source'!B103&lt;&gt;"",'Data Source'!S103="A+"),IF('Data Source'!AB103&gt;=5,"A+",IF('Data Source'!AB103&gt;=4,"A",IF('Data Source'!AB103&gt;=3.5,"A-",IF('Data Source'!AB103&gt;=3,"B",IF('Data Source'!AB103&gt;=2,"C",IF('Data Source'!AB103&gt;=1,"D","F")))))),"")</f>
        <v/>
      </c>
      <c r="K103" s="3">
        <f>IF(AND('Data Source'!B103&lt;&gt;"",'Data Source'!S103="A+"),IF('Data Source'!AC103&gt;=5,"A+",IF('Data Source'!AC103&gt;=4,"A",IF('Data Source'!AC103&gt;=3.5,"A-",IF('Data Source'!AC103&gt;=3,"B",IF('Data Source'!AC103&gt;=2,"C",IF('Data Source'!AC103&gt;=1,"D","F")))))),"")</f>
        <v/>
      </c>
      <c r="L103" s="3">
        <f>IF(AND('Data Source'!B103&lt;&gt;"",'Data Source'!S103="A+"),IF('Data Source'!AD103&gt;=5,"A+",IF('Data Source'!AD103&gt;=4,"A",IF('Data Source'!AD103&gt;=3.5,"A-",IF('Data Source'!AD103&gt;=3,"B",IF('Data Source'!AD103&gt;=2,"C",IF('Data Source'!AD103&gt;=1,"D","F")))))),"")</f>
        <v/>
      </c>
      <c r="M103" s="3">
        <f>IF(AND('Data Source'!B103&lt;&gt;"",'Data Source'!S103="A+"),IF('Data Source'!AE103&gt;=5,"A+",IF('Data Source'!AE103&gt;=4,"A",IF('Data Source'!AE103&gt;=3.5,"A-",IF('Data Source'!AE103&gt;=3,"B",IF('Data Source'!AE103&gt;=2,"C",IF('Data Source'!AE103&gt;=1,"D","F")))))),"")</f>
        <v/>
      </c>
      <c r="N103" s="3">
        <f>IF(AND('Data Source'!B103&lt;&gt;"",'Data Source'!S103="A+"),IF('Data Source'!AF103&gt;=5,"A+",IF('Data Source'!AF103&gt;=4,"A",IF('Data Source'!AF103&gt;=3.5,"A-",IF('Data Source'!AF103&gt;=3,"B",IF('Data Source'!AF103&gt;=2,"C",IF('Data Source'!AF103&gt;=1,"D","F")))))),"")</f>
        <v/>
      </c>
      <c r="O103" s="3">
        <f>IF(AND('Data Source'!B103&lt;&gt;"",'Data Source'!S103="A+"),IF('Data Source'!AG103&gt;=5,"A+",IF('Data Source'!AG103&gt;=4,"A",IF('Data Source'!AG103&gt;=3.5,"A-",IF('Data Source'!AG103&gt;=3,"B",IF('Data Source'!AG103&gt;=2,"C",IF('Data Source'!AG103&gt;=1,"D","F")))))),"")</f>
        <v/>
      </c>
      <c r="P103" s="5">
        <f>IF(AND('Data Source'!B103&lt;&gt;"",'Data Source'!S103="A+"),'Data Source'!R103,"")</f>
        <v/>
      </c>
      <c r="Q103" s="3">
        <f>IF(AND('Data Source'!B103&lt;&gt;"",'Data Source'!S103="A+"),'Data Source'!S103,"")</f>
        <v/>
      </c>
    </row>
    <row r="104">
      <c r="A104" s="3">
        <f>IF(AND('Data Source'!B104&lt;&gt;"",'Data Source'!S104="A+"),COUNTIF('Data Source'!$S$3:S104,"A+"),"")</f>
        <v/>
      </c>
      <c r="B104">
        <f>IF(AND('Data Source'!B104&lt;&gt;"",'Data Source'!S104="A+"),'Data Source'!B104,"")</f>
        <v/>
      </c>
      <c r="C104" s="3">
        <f>IF(AND('Data Source'!B104&lt;&gt;"",'Data Source'!S104="A+"),IF('Data Source'!U104&gt;=5,"A+",IF('Data Source'!U104&gt;=4,"A",IF('Data Source'!U104&gt;=3.5,"A-",IF('Data Source'!U104&gt;=3,"B",IF('Data Source'!U104&gt;=2,"C",IF('Data Source'!U104&gt;=1,"D","F")))))),"")</f>
        <v/>
      </c>
      <c r="D104" s="3">
        <f>IF(AND('Data Source'!B104&lt;&gt;"",'Data Source'!S104="A+"),IF('Data Source'!V104&gt;=5,"A+",IF('Data Source'!V104&gt;=4,"A",IF('Data Source'!V104&gt;=3.5,"A-",IF('Data Source'!V104&gt;=3,"B",IF('Data Source'!V104&gt;=2,"C",IF('Data Source'!V104&gt;=1,"D","F")))))),"")</f>
        <v/>
      </c>
      <c r="E104" s="3">
        <f>IF(AND('Data Source'!B104&lt;&gt;"",'Data Source'!S104="A+"),IF('Data Source'!W104&gt;=5,"A+",IF('Data Source'!W104&gt;=4,"A",IF('Data Source'!W104&gt;=3.5,"A-",IF('Data Source'!W104&gt;=3,"B",IF('Data Source'!W104&gt;=2,"C",IF('Data Source'!W104&gt;=1,"D","F")))))),"")</f>
        <v/>
      </c>
      <c r="F104" s="3">
        <f>IF(AND('Data Source'!B104&lt;&gt;"",'Data Source'!S104="A+"),IF('Data Source'!X104&gt;=5,"A+",IF('Data Source'!X104&gt;=4,"A",IF('Data Source'!X104&gt;=3.5,"A-",IF('Data Source'!X104&gt;=3,"B",IF('Data Source'!X104&gt;=2,"C",IF('Data Source'!X104&gt;=1,"D","F")))))),"")</f>
        <v/>
      </c>
      <c r="G104" s="3">
        <f>IF(AND('Data Source'!B104&lt;&gt;"",'Data Source'!S104="A+"),IF('Data Source'!Y104&gt;=5,"A+",IF('Data Source'!Y104&gt;=4,"A",IF('Data Source'!Y104&gt;=3.5,"A-",IF('Data Source'!Y104&gt;=3,"B",IF('Data Source'!Y104&gt;=2,"C",IF('Data Source'!Y104&gt;=1,"D","F")))))),"")</f>
        <v/>
      </c>
      <c r="H104" s="3">
        <f>IF(AND('Data Source'!B104&lt;&gt;"",'Data Source'!S104="A+"),IF('Data Source'!Z104&gt;=5,"A+",IF('Data Source'!Z104&gt;=4,"A",IF('Data Source'!Z104&gt;=3.5,"A-",IF('Data Source'!Z104&gt;=3,"B",IF('Data Source'!Z104&gt;=2,"C",IF('Data Source'!Z104&gt;=1,"D","F")))))),"")</f>
        <v/>
      </c>
      <c r="I104" s="3">
        <f>IF(AND('Data Source'!B104&lt;&gt;"",'Data Source'!S104="A+"),IF('Data Source'!AA104&gt;=5,"A+",IF('Data Source'!AA104&gt;=4,"A",IF('Data Source'!AA104&gt;=3.5,"A-",IF('Data Source'!AA104&gt;=3,"B",IF('Data Source'!AA104&gt;=2,"C",IF('Data Source'!AA104&gt;=1,"D","F")))))),"")</f>
        <v/>
      </c>
      <c r="J104" s="3">
        <f>IF(AND('Data Source'!B104&lt;&gt;"",'Data Source'!S104="A+"),IF('Data Source'!AB104&gt;=5,"A+",IF('Data Source'!AB104&gt;=4,"A",IF('Data Source'!AB104&gt;=3.5,"A-",IF('Data Source'!AB104&gt;=3,"B",IF('Data Source'!AB104&gt;=2,"C",IF('Data Source'!AB104&gt;=1,"D","F")))))),"")</f>
        <v/>
      </c>
      <c r="K104" s="3">
        <f>IF(AND('Data Source'!B104&lt;&gt;"",'Data Source'!S104="A+"),IF('Data Source'!AC104&gt;=5,"A+",IF('Data Source'!AC104&gt;=4,"A",IF('Data Source'!AC104&gt;=3.5,"A-",IF('Data Source'!AC104&gt;=3,"B",IF('Data Source'!AC104&gt;=2,"C",IF('Data Source'!AC104&gt;=1,"D","F")))))),"")</f>
        <v/>
      </c>
      <c r="L104" s="3">
        <f>IF(AND('Data Source'!B104&lt;&gt;"",'Data Source'!S104="A+"),IF('Data Source'!AD104&gt;=5,"A+",IF('Data Source'!AD104&gt;=4,"A",IF('Data Source'!AD104&gt;=3.5,"A-",IF('Data Source'!AD104&gt;=3,"B",IF('Data Source'!AD104&gt;=2,"C",IF('Data Source'!AD104&gt;=1,"D","F")))))),"")</f>
        <v/>
      </c>
      <c r="M104" s="3">
        <f>IF(AND('Data Source'!B104&lt;&gt;"",'Data Source'!S104="A+"),IF('Data Source'!AE104&gt;=5,"A+",IF('Data Source'!AE104&gt;=4,"A",IF('Data Source'!AE104&gt;=3.5,"A-",IF('Data Source'!AE104&gt;=3,"B",IF('Data Source'!AE104&gt;=2,"C",IF('Data Source'!AE104&gt;=1,"D","F")))))),"")</f>
        <v/>
      </c>
      <c r="N104" s="3">
        <f>IF(AND('Data Source'!B104&lt;&gt;"",'Data Source'!S104="A+"),IF('Data Source'!AF104&gt;=5,"A+",IF('Data Source'!AF104&gt;=4,"A",IF('Data Source'!AF104&gt;=3.5,"A-",IF('Data Source'!AF104&gt;=3,"B",IF('Data Source'!AF104&gt;=2,"C",IF('Data Source'!AF104&gt;=1,"D","F")))))),"")</f>
        <v/>
      </c>
      <c r="O104" s="3">
        <f>IF(AND('Data Source'!B104&lt;&gt;"",'Data Source'!S104="A+"),IF('Data Source'!AG104&gt;=5,"A+",IF('Data Source'!AG104&gt;=4,"A",IF('Data Source'!AG104&gt;=3.5,"A-",IF('Data Source'!AG104&gt;=3,"B",IF('Data Source'!AG104&gt;=2,"C",IF('Data Source'!AG104&gt;=1,"D","F")))))),"")</f>
        <v/>
      </c>
      <c r="P104" s="5">
        <f>IF(AND('Data Source'!B104&lt;&gt;"",'Data Source'!S104="A+"),'Data Source'!R104,"")</f>
        <v/>
      </c>
      <c r="Q104" s="3">
        <f>IF(AND('Data Source'!B104&lt;&gt;"",'Data Source'!S104="A+"),'Data Source'!S104,"")</f>
        <v/>
      </c>
    </row>
    <row r="105">
      <c r="A105" s="3">
        <f>IF(AND('Data Source'!B105&lt;&gt;"",'Data Source'!S105="A+"),COUNTIF('Data Source'!$S$3:S105,"A+"),"")</f>
        <v/>
      </c>
      <c r="B105">
        <f>IF(AND('Data Source'!B105&lt;&gt;"",'Data Source'!S105="A+"),'Data Source'!B105,"")</f>
        <v/>
      </c>
      <c r="C105" s="3">
        <f>IF(AND('Data Source'!B105&lt;&gt;"",'Data Source'!S105="A+"),IF('Data Source'!U105&gt;=5,"A+",IF('Data Source'!U105&gt;=4,"A",IF('Data Source'!U105&gt;=3.5,"A-",IF('Data Source'!U105&gt;=3,"B",IF('Data Source'!U105&gt;=2,"C",IF('Data Source'!U105&gt;=1,"D","F")))))),"")</f>
        <v/>
      </c>
      <c r="D105" s="3">
        <f>IF(AND('Data Source'!B105&lt;&gt;"",'Data Source'!S105="A+"),IF('Data Source'!V105&gt;=5,"A+",IF('Data Source'!V105&gt;=4,"A",IF('Data Source'!V105&gt;=3.5,"A-",IF('Data Source'!V105&gt;=3,"B",IF('Data Source'!V105&gt;=2,"C",IF('Data Source'!V105&gt;=1,"D","F")))))),"")</f>
        <v/>
      </c>
      <c r="E105" s="3">
        <f>IF(AND('Data Source'!B105&lt;&gt;"",'Data Source'!S105="A+"),IF('Data Source'!W105&gt;=5,"A+",IF('Data Source'!W105&gt;=4,"A",IF('Data Source'!W105&gt;=3.5,"A-",IF('Data Source'!W105&gt;=3,"B",IF('Data Source'!W105&gt;=2,"C",IF('Data Source'!W105&gt;=1,"D","F")))))),"")</f>
        <v/>
      </c>
      <c r="F105" s="3">
        <f>IF(AND('Data Source'!B105&lt;&gt;"",'Data Source'!S105="A+"),IF('Data Source'!X105&gt;=5,"A+",IF('Data Source'!X105&gt;=4,"A",IF('Data Source'!X105&gt;=3.5,"A-",IF('Data Source'!X105&gt;=3,"B",IF('Data Source'!X105&gt;=2,"C",IF('Data Source'!X105&gt;=1,"D","F")))))),"")</f>
        <v/>
      </c>
      <c r="G105" s="3">
        <f>IF(AND('Data Source'!B105&lt;&gt;"",'Data Source'!S105="A+"),IF('Data Source'!Y105&gt;=5,"A+",IF('Data Source'!Y105&gt;=4,"A",IF('Data Source'!Y105&gt;=3.5,"A-",IF('Data Source'!Y105&gt;=3,"B",IF('Data Source'!Y105&gt;=2,"C",IF('Data Source'!Y105&gt;=1,"D","F")))))),"")</f>
        <v/>
      </c>
      <c r="H105" s="3">
        <f>IF(AND('Data Source'!B105&lt;&gt;"",'Data Source'!S105="A+"),IF('Data Source'!Z105&gt;=5,"A+",IF('Data Source'!Z105&gt;=4,"A",IF('Data Source'!Z105&gt;=3.5,"A-",IF('Data Source'!Z105&gt;=3,"B",IF('Data Source'!Z105&gt;=2,"C",IF('Data Source'!Z105&gt;=1,"D","F")))))),"")</f>
        <v/>
      </c>
      <c r="I105" s="3">
        <f>IF(AND('Data Source'!B105&lt;&gt;"",'Data Source'!S105="A+"),IF('Data Source'!AA105&gt;=5,"A+",IF('Data Source'!AA105&gt;=4,"A",IF('Data Source'!AA105&gt;=3.5,"A-",IF('Data Source'!AA105&gt;=3,"B",IF('Data Source'!AA105&gt;=2,"C",IF('Data Source'!AA105&gt;=1,"D","F")))))),"")</f>
        <v/>
      </c>
      <c r="J105" s="3">
        <f>IF(AND('Data Source'!B105&lt;&gt;"",'Data Source'!S105="A+"),IF('Data Source'!AB105&gt;=5,"A+",IF('Data Source'!AB105&gt;=4,"A",IF('Data Source'!AB105&gt;=3.5,"A-",IF('Data Source'!AB105&gt;=3,"B",IF('Data Source'!AB105&gt;=2,"C",IF('Data Source'!AB105&gt;=1,"D","F")))))),"")</f>
        <v/>
      </c>
      <c r="K105" s="3">
        <f>IF(AND('Data Source'!B105&lt;&gt;"",'Data Source'!S105="A+"),IF('Data Source'!AC105&gt;=5,"A+",IF('Data Source'!AC105&gt;=4,"A",IF('Data Source'!AC105&gt;=3.5,"A-",IF('Data Source'!AC105&gt;=3,"B",IF('Data Source'!AC105&gt;=2,"C",IF('Data Source'!AC105&gt;=1,"D","F")))))),"")</f>
        <v/>
      </c>
      <c r="L105" s="3">
        <f>IF(AND('Data Source'!B105&lt;&gt;"",'Data Source'!S105="A+"),IF('Data Source'!AD105&gt;=5,"A+",IF('Data Source'!AD105&gt;=4,"A",IF('Data Source'!AD105&gt;=3.5,"A-",IF('Data Source'!AD105&gt;=3,"B",IF('Data Source'!AD105&gt;=2,"C",IF('Data Source'!AD105&gt;=1,"D","F")))))),"")</f>
        <v/>
      </c>
      <c r="M105" s="3">
        <f>IF(AND('Data Source'!B105&lt;&gt;"",'Data Source'!S105="A+"),IF('Data Source'!AE105&gt;=5,"A+",IF('Data Source'!AE105&gt;=4,"A",IF('Data Source'!AE105&gt;=3.5,"A-",IF('Data Source'!AE105&gt;=3,"B",IF('Data Source'!AE105&gt;=2,"C",IF('Data Source'!AE105&gt;=1,"D","F")))))),"")</f>
        <v/>
      </c>
      <c r="N105" s="3">
        <f>IF(AND('Data Source'!B105&lt;&gt;"",'Data Source'!S105="A+"),IF('Data Source'!AF105&gt;=5,"A+",IF('Data Source'!AF105&gt;=4,"A",IF('Data Source'!AF105&gt;=3.5,"A-",IF('Data Source'!AF105&gt;=3,"B",IF('Data Source'!AF105&gt;=2,"C",IF('Data Source'!AF105&gt;=1,"D","F")))))),"")</f>
        <v/>
      </c>
      <c r="O105" s="3">
        <f>IF(AND('Data Source'!B105&lt;&gt;"",'Data Source'!S105="A+"),IF('Data Source'!AG105&gt;=5,"A+",IF('Data Source'!AG105&gt;=4,"A",IF('Data Source'!AG105&gt;=3.5,"A-",IF('Data Source'!AG105&gt;=3,"B",IF('Data Source'!AG105&gt;=2,"C",IF('Data Source'!AG105&gt;=1,"D","F")))))),"")</f>
        <v/>
      </c>
      <c r="P105" s="5">
        <f>IF(AND('Data Source'!B105&lt;&gt;"",'Data Source'!S105="A+"),'Data Source'!R105,"")</f>
        <v/>
      </c>
      <c r="Q105" s="3">
        <f>IF(AND('Data Source'!B105&lt;&gt;"",'Data Source'!S105="A+"),'Data Source'!S105,"")</f>
        <v/>
      </c>
    </row>
    <row r="106">
      <c r="A106" s="3">
        <f>IF(AND('Data Source'!B106&lt;&gt;"",'Data Source'!S106="A+"),COUNTIF('Data Source'!$S$3:S106,"A+"),"")</f>
        <v/>
      </c>
      <c r="B106">
        <f>IF(AND('Data Source'!B106&lt;&gt;"",'Data Source'!S106="A+"),'Data Source'!B106,"")</f>
        <v/>
      </c>
      <c r="C106" s="3">
        <f>IF(AND('Data Source'!B106&lt;&gt;"",'Data Source'!S106="A+"),IF('Data Source'!U106&gt;=5,"A+",IF('Data Source'!U106&gt;=4,"A",IF('Data Source'!U106&gt;=3.5,"A-",IF('Data Source'!U106&gt;=3,"B",IF('Data Source'!U106&gt;=2,"C",IF('Data Source'!U106&gt;=1,"D","F")))))),"")</f>
        <v/>
      </c>
      <c r="D106" s="3">
        <f>IF(AND('Data Source'!B106&lt;&gt;"",'Data Source'!S106="A+"),IF('Data Source'!V106&gt;=5,"A+",IF('Data Source'!V106&gt;=4,"A",IF('Data Source'!V106&gt;=3.5,"A-",IF('Data Source'!V106&gt;=3,"B",IF('Data Source'!V106&gt;=2,"C",IF('Data Source'!V106&gt;=1,"D","F")))))),"")</f>
        <v/>
      </c>
      <c r="E106" s="3">
        <f>IF(AND('Data Source'!B106&lt;&gt;"",'Data Source'!S106="A+"),IF('Data Source'!W106&gt;=5,"A+",IF('Data Source'!W106&gt;=4,"A",IF('Data Source'!W106&gt;=3.5,"A-",IF('Data Source'!W106&gt;=3,"B",IF('Data Source'!W106&gt;=2,"C",IF('Data Source'!W106&gt;=1,"D","F")))))),"")</f>
        <v/>
      </c>
      <c r="F106" s="3">
        <f>IF(AND('Data Source'!B106&lt;&gt;"",'Data Source'!S106="A+"),IF('Data Source'!X106&gt;=5,"A+",IF('Data Source'!X106&gt;=4,"A",IF('Data Source'!X106&gt;=3.5,"A-",IF('Data Source'!X106&gt;=3,"B",IF('Data Source'!X106&gt;=2,"C",IF('Data Source'!X106&gt;=1,"D","F")))))),"")</f>
        <v/>
      </c>
      <c r="G106" s="3">
        <f>IF(AND('Data Source'!B106&lt;&gt;"",'Data Source'!S106="A+"),IF('Data Source'!Y106&gt;=5,"A+",IF('Data Source'!Y106&gt;=4,"A",IF('Data Source'!Y106&gt;=3.5,"A-",IF('Data Source'!Y106&gt;=3,"B",IF('Data Source'!Y106&gt;=2,"C",IF('Data Source'!Y106&gt;=1,"D","F")))))),"")</f>
        <v/>
      </c>
      <c r="H106" s="3">
        <f>IF(AND('Data Source'!B106&lt;&gt;"",'Data Source'!S106="A+"),IF('Data Source'!Z106&gt;=5,"A+",IF('Data Source'!Z106&gt;=4,"A",IF('Data Source'!Z106&gt;=3.5,"A-",IF('Data Source'!Z106&gt;=3,"B",IF('Data Source'!Z106&gt;=2,"C",IF('Data Source'!Z106&gt;=1,"D","F")))))),"")</f>
        <v/>
      </c>
      <c r="I106" s="3">
        <f>IF(AND('Data Source'!B106&lt;&gt;"",'Data Source'!S106="A+"),IF('Data Source'!AA106&gt;=5,"A+",IF('Data Source'!AA106&gt;=4,"A",IF('Data Source'!AA106&gt;=3.5,"A-",IF('Data Source'!AA106&gt;=3,"B",IF('Data Source'!AA106&gt;=2,"C",IF('Data Source'!AA106&gt;=1,"D","F")))))),"")</f>
        <v/>
      </c>
      <c r="J106" s="3">
        <f>IF(AND('Data Source'!B106&lt;&gt;"",'Data Source'!S106="A+"),IF('Data Source'!AB106&gt;=5,"A+",IF('Data Source'!AB106&gt;=4,"A",IF('Data Source'!AB106&gt;=3.5,"A-",IF('Data Source'!AB106&gt;=3,"B",IF('Data Source'!AB106&gt;=2,"C",IF('Data Source'!AB106&gt;=1,"D","F")))))),"")</f>
        <v/>
      </c>
      <c r="K106" s="3">
        <f>IF(AND('Data Source'!B106&lt;&gt;"",'Data Source'!S106="A+"),IF('Data Source'!AC106&gt;=5,"A+",IF('Data Source'!AC106&gt;=4,"A",IF('Data Source'!AC106&gt;=3.5,"A-",IF('Data Source'!AC106&gt;=3,"B",IF('Data Source'!AC106&gt;=2,"C",IF('Data Source'!AC106&gt;=1,"D","F")))))),"")</f>
        <v/>
      </c>
      <c r="L106" s="3">
        <f>IF(AND('Data Source'!B106&lt;&gt;"",'Data Source'!S106="A+"),IF('Data Source'!AD106&gt;=5,"A+",IF('Data Source'!AD106&gt;=4,"A",IF('Data Source'!AD106&gt;=3.5,"A-",IF('Data Source'!AD106&gt;=3,"B",IF('Data Source'!AD106&gt;=2,"C",IF('Data Source'!AD106&gt;=1,"D","F")))))),"")</f>
        <v/>
      </c>
      <c r="M106" s="3">
        <f>IF(AND('Data Source'!B106&lt;&gt;"",'Data Source'!S106="A+"),IF('Data Source'!AE106&gt;=5,"A+",IF('Data Source'!AE106&gt;=4,"A",IF('Data Source'!AE106&gt;=3.5,"A-",IF('Data Source'!AE106&gt;=3,"B",IF('Data Source'!AE106&gt;=2,"C",IF('Data Source'!AE106&gt;=1,"D","F")))))),"")</f>
        <v/>
      </c>
      <c r="N106" s="3">
        <f>IF(AND('Data Source'!B106&lt;&gt;"",'Data Source'!S106="A+"),IF('Data Source'!AF106&gt;=5,"A+",IF('Data Source'!AF106&gt;=4,"A",IF('Data Source'!AF106&gt;=3.5,"A-",IF('Data Source'!AF106&gt;=3,"B",IF('Data Source'!AF106&gt;=2,"C",IF('Data Source'!AF106&gt;=1,"D","F")))))),"")</f>
        <v/>
      </c>
      <c r="O106" s="3">
        <f>IF(AND('Data Source'!B106&lt;&gt;"",'Data Source'!S106="A+"),IF('Data Source'!AG106&gt;=5,"A+",IF('Data Source'!AG106&gt;=4,"A",IF('Data Source'!AG106&gt;=3.5,"A-",IF('Data Source'!AG106&gt;=3,"B",IF('Data Source'!AG106&gt;=2,"C",IF('Data Source'!AG106&gt;=1,"D","F")))))),"")</f>
        <v/>
      </c>
      <c r="P106" s="5">
        <f>IF(AND('Data Source'!B106&lt;&gt;"",'Data Source'!S106="A+"),'Data Source'!R106,"")</f>
        <v/>
      </c>
      <c r="Q106" s="3">
        <f>IF(AND('Data Source'!B106&lt;&gt;"",'Data Source'!S106="A+"),'Data Source'!S106,"")</f>
        <v/>
      </c>
    </row>
    <row r="107">
      <c r="A107" s="3">
        <f>IF(AND('Data Source'!B107&lt;&gt;"",'Data Source'!S107="A+"),COUNTIF('Data Source'!$S$3:S107,"A+"),"")</f>
        <v/>
      </c>
      <c r="B107">
        <f>IF(AND('Data Source'!B107&lt;&gt;"",'Data Source'!S107="A+"),'Data Source'!B107,"")</f>
        <v/>
      </c>
      <c r="C107" s="3">
        <f>IF(AND('Data Source'!B107&lt;&gt;"",'Data Source'!S107="A+"),IF('Data Source'!U107&gt;=5,"A+",IF('Data Source'!U107&gt;=4,"A",IF('Data Source'!U107&gt;=3.5,"A-",IF('Data Source'!U107&gt;=3,"B",IF('Data Source'!U107&gt;=2,"C",IF('Data Source'!U107&gt;=1,"D","F")))))),"")</f>
        <v/>
      </c>
      <c r="D107" s="3">
        <f>IF(AND('Data Source'!B107&lt;&gt;"",'Data Source'!S107="A+"),IF('Data Source'!V107&gt;=5,"A+",IF('Data Source'!V107&gt;=4,"A",IF('Data Source'!V107&gt;=3.5,"A-",IF('Data Source'!V107&gt;=3,"B",IF('Data Source'!V107&gt;=2,"C",IF('Data Source'!V107&gt;=1,"D","F")))))),"")</f>
        <v/>
      </c>
      <c r="E107" s="3">
        <f>IF(AND('Data Source'!B107&lt;&gt;"",'Data Source'!S107="A+"),IF('Data Source'!W107&gt;=5,"A+",IF('Data Source'!W107&gt;=4,"A",IF('Data Source'!W107&gt;=3.5,"A-",IF('Data Source'!W107&gt;=3,"B",IF('Data Source'!W107&gt;=2,"C",IF('Data Source'!W107&gt;=1,"D","F")))))),"")</f>
        <v/>
      </c>
      <c r="F107" s="3">
        <f>IF(AND('Data Source'!B107&lt;&gt;"",'Data Source'!S107="A+"),IF('Data Source'!X107&gt;=5,"A+",IF('Data Source'!X107&gt;=4,"A",IF('Data Source'!X107&gt;=3.5,"A-",IF('Data Source'!X107&gt;=3,"B",IF('Data Source'!X107&gt;=2,"C",IF('Data Source'!X107&gt;=1,"D","F")))))),"")</f>
        <v/>
      </c>
      <c r="G107" s="3">
        <f>IF(AND('Data Source'!B107&lt;&gt;"",'Data Source'!S107="A+"),IF('Data Source'!Y107&gt;=5,"A+",IF('Data Source'!Y107&gt;=4,"A",IF('Data Source'!Y107&gt;=3.5,"A-",IF('Data Source'!Y107&gt;=3,"B",IF('Data Source'!Y107&gt;=2,"C",IF('Data Source'!Y107&gt;=1,"D","F")))))),"")</f>
        <v/>
      </c>
      <c r="H107" s="3">
        <f>IF(AND('Data Source'!B107&lt;&gt;"",'Data Source'!S107="A+"),IF('Data Source'!Z107&gt;=5,"A+",IF('Data Source'!Z107&gt;=4,"A",IF('Data Source'!Z107&gt;=3.5,"A-",IF('Data Source'!Z107&gt;=3,"B",IF('Data Source'!Z107&gt;=2,"C",IF('Data Source'!Z107&gt;=1,"D","F")))))),"")</f>
        <v/>
      </c>
      <c r="I107" s="3">
        <f>IF(AND('Data Source'!B107&lt;&gt;"",'Data Source'!S107="A+"),IF('Data Source'!AA107&gt;=5,"A+",IF('Data Source'!AA107&gt;=4,"A",IF('Data Source'!AA107&gt;=3.5,"A-",IF('Data Source'!AA107&gt;=3,"B",IF('Data Source'!AA107&gt;=2,"C",IF('Data Source'!AA107&gt;=1,"D","F")))))),"")</f>
        <v/>
      </c>
      <c r="J107" s="3">
        <f>IF(AND('Data Source'!B107&lt;&gt;"",'Data Source'!S107="A+"),IF('Data Source'!AB107&gt;=5,"A+",IF('Data Source'!AB107&gt;=4,"A",IF('Data Source'!AB107&gt;=3.5,"A-",IF('Data Source'!AB107&gt;=3,"B",IF('Data Source'!AB107&gt;=2,"C",IF('Data Source'!AB107&gt;=1,"D","F")))))),"")</f>
        <v/>
      </c>
      <c r="K107" s="3">
        <f>IF(AND('Data Source'!B107&lt;&gt;"",'Data Source'!S107="A+"),IF('Data Source'!AC107&gt;=5,"A+",IF('Data Source'!AC107&gt;=4,"A",IF('Data Source'!AC107&gt;=3.5,"A-",IF('Data Source'!AC107&gt;=3,"B",IF('Data Source'!AC107&gt;=2,"C",IF('Data Source'!AC107&gt;=1,"D","F")))))),"")</f>
        <v/>
      </c>
      <c r="L107" s="3">
        <f>IF(AND('Data Source'!B107&lt;&gt;"",'Data Source'!S107="A+"),IF('Data Source'!AD107&gt;=5,"A+",IF('Data Source'!AD107&gt;=4,"A",IF('Data Source'!AD107&gt;=3.5,"A-",IF('Data Source'!AD107&gt;=3,"B",IF('Data Source'!AD107&gt;=2,"C",IF('Data Source'!AD107&gt;=1,"D","F")))))),"")</f>
        <v/>
      </c>
      <c r="M107" s="3">
        <f>IF(AND('Data Source'!B107&lt;&gt;"",'Data Source'!S107="A+"),IF('Data Source'!AE107&gt;=5,"A+",IF('Data Source'!AE107&gt;=4,"A",IF('Data Source'!AE107&gt;=3.5,"A-",IF('Data Source'!AE107&gt;=3,"B",IF('Data Source'!AE107&gt;=2,"C",IF('Data Source'!AE107&gt;=1,"D","F")))))),"")</f>
        <v/>
      </c>
      <c r="N107" s="3">
        <f>IF(AND('Data Source'!B107&lt;&gt;"",'Data Source'!S107="A+"),IF('Data Source'!AF107&gt;=5,"A+",IF('Data Source'!AF107&gt;=4,"A",IF('Data Source'!AF107&gt;=3.5,"A-",IF('Data Source'!AF107&gt;=3,"B",IF('Data Source'!AF107&gt;=2,"C",IF('Data Source'!AF107&gt;=1,"D","F")))))),"")</f>
        <v/>
      </c>
      <c r="O107" s="3">
        <f>IF(AND('Data Source'!B107&lt;&gt;"",'Data Source'!S107="A+"),IF('Data Source'!AG107&gt;=5,"A+",IF('Data Source'!AG107&gt;=4,"A",IF('Data Source'!AG107&gt;=3.5,"A-",IF('Data Source'!AG107&gt;=3,"B",IF('Data Source'!AG107&gt;=2,"C",IF('Data Source'!AG107&gt;=1,"D","F")))))),"")</f>
        <v/>
      </c>
      <c r="P107" s="5">
        <f>IF(AND('Data Source'!B107&lt;&gt;"",'Data Source'!S107="A+"),'Data Source'!R107,"")</f>
        <v/>
      </c>
      <c r="Q107" s="3">
        <f>IF(AND('Data Source'!B107&lt;&gt;"",'Data Source'!S107="A+"),'Data Source'!S107,"")</f>
        <v/>
      </c>
    </row>
    <row r="108">
      <c r="A108" s="3">
        <f>IF(AND('Data Source'!B108&lt;&gt;"",'Data Source'!S108="A+"),COUNTIF('Data Source'!$S$3:S108,"A+"),"")</f>
        <v/>
      </c>
      <c r="B108">
        <f>IF(AND('Data Source'!B108&lt;&gt;"",'Data Source'!S108="A+"),'Data Source'!B108,"")</f>
        <v/>
      </c>
      <c r="C108" s="3">
        <f>IF(AND('Data Source'!B108&lt;&gt;"",'Data Source'!S108="A+"),IF('Data Source'!U108&gt;=5,"A+",IF('Data Source'!U108&gt;=4,"A",IF('Data Source'!U108&gt;=3.5,"A-",IF('Data Source'!U108&gt;=3,"B",IF('Data Source'!U108&gt;=2,"C",IF('Data Source'!U108&gt;=1,"D","F")))))),"")</f>
        <v/>
      </c>
      <c r="D108" s="3">
        <f>IF(AND('Data Source'!B108&lt;&gt;"",'Data Source'!S108="A+"),IF('Data Source'!V108&gt;=5,"A+",IF('Data Source'!V108&gt;=4,"A",IF('Data Source'!V108&gt;=3.5,"A-",IF('Data Source'!V108&gt;=3,"B",IF('Data Source'!V108&gt;=2,"C",IF('Data Source'!V108&gt;=1,"D","F")))))),"")</f>
        <v/>
      </c>
      <c r="E108" s="3">
        <f>IF(AND('Data Source'!B108&lt;&gt;"",'Data Source'!S108="A+"),IF('Data Source'!W108&gt;=5,"A+",IF('Data Source'!W108&gt;=4,"A",IF('Data Source'!W108&gt;=3.5,"A-",IF('Data Source'!W108&gt;=3,"B",IF('Data Source'!W108&gt;=2,"C",IF('Data Source'!W108&gt;=1,"D","F")))))),"")</f>
        <v/>
      </c>
      <c r="F108" s="3">
        <f>IF(AND('Data Source'!B108&lt;&gt;"",'Data Source'!S108="A+"),IF('Data Source'!X108&gt;=5,"A+",IF('Data Source'!X108&gt;=4,"A",IF('Data Source'!X108&gt;=3.5,"A-",IF('Data Source'!X108&gt;=3,"B",IF('Data Source'!X108&gt;=2,"C",IF('Data Source'!X108&gt;=1,"D","F")))))),"")</f>
        <v/>
      </c>
      <c r="G108" s="3">
        <f>IF(AND('Data Source'!B108&lt;&gt;"",'Data Source'!S108="A+"),IF('Data Source'!Y108&gt;=5,"A+",IF('Data Source'!Y108&gt;=4,"A",IF('Data Source'!Y108&gt;=3.5,"A-",IF('Data Source'!Y108&gt;=3,"B",IF('Data Source'!Y108&gt;=2,"C",IF('Data Source'!Y108&gt;=1,"D","F")))))),"")</f>
        <v/>
      </c>
      <c r="H108" s="3">
        <f>IF(AND('Data Source'!B108&lt;&gt;"",'Data Source'!S108="A+"),IF('Data Source'!Z108&gt;=5,"A+",IF('Data Source'!Z108&gt;=4,"A",IF('Data Source'!Z108&gt;=3.5,"A-",IF('Data Source'!Z108&gt;=3,"B",IF('Data Source'!Z108&gt;=2,"C",IF('Data Source'!Z108&gt;=1,"D","F")))))),"")</f>
        <v/>
      </c>
      <c r="I108" s="3">
        <f>IF(AND('Data Source'!B108&lt;&gt;"",'Data Source'!S108="A+"),IF('Data Source'!AA108&gt;=5,"A+",IF('Data Source'!AA108&gt;=4,"A",IF('Data Source'!AA108&gt;=3.5,"A-",IF('Data Source'!AA108&gt;=3,"B",IF('Data Source'!AA108&gt;=2,"C",IF('Data Source'!AA108&gt;=1,"D","F")))))),"")</f>
        <v/>
      </c>
      <c r="J108" s="3">
        <f>IF(AND('Data Source'!B108&lt;&gt;"",'Data Source'!S108="A+"),IF('Data Source'!AB108&gt;=5,"A+",IF('Data Source'!AB108&gt;=4,"A",IF('Data Source'!AB108&gt;=3.5,"A-",IF('Data Source'!AB108&gt;=3,"B",IF('Data Source'!AB108&gt;=2,"C",IF('Data Source'!AB108&gt;=1,"D","F")))))),"")</f>
        <v/>
      </c>
      <c r="K108" s="3">
        <f>IF(AND('Data Source'!B108&lt;&gt;"",'Data Source'!S108="A+"),IF('Data Source'!AC108&gt;=5,"A+",IF('Data Source'!AC108&gt;=4,"A",IF('Data Source'!AC108&gt;=3.5,"A-",IF('Data Source'!AC108&gt;=3,"B",IF('Data Source'!AC108&gt;=2,"C",IF('Data Source'!AC108&gt;=1,"D","F")))))),"")</f>
        <v/>
      </c>
      <c r="L108" s="3">
        <f>IF(AND('Data Source'!B108&lt;&gt;"",'Data Source'!S108="A+"),IF('Data Source'!AD108&gt;=5,"A+",IF('Data Source'!AD108&gt;=4,"A",IF('Data Source'!AD108&gt;=3.5,"A-",IF('Data Source'!AD108&gt;=3,"B",IF('Data Source'!AD108&gt;=2,"C",IF('Data Source'!AD108&gt;=1,"D","F")))))),"")</f>
        <v/>
      </c>
      <c r="M108" s="3">
        <f>IF(AND('Data Source'!B108&lt;&gt;"",'Data Source'!S108="A+"),IF('Data Source'!AE108&gt;=5,"A+",IF('Data Source'!AE108&gt;=4,"A",IF('Data Source'!AE108&gt;=3.5,"A-",IF('Data Source'!AE108&gt;=3,"B",IF('Data Source'!AE108&gt;=2,"C",IF('Data Source'!AE108&gt;=1,"D","F")))))),"")</f>
        <v/>
      </c>
      <c r="N108" s="3">
        <f>IF(AND('Data Source'!B108&lt;&gt;"",'Data Source'!S108="A+"),IF('Data Source'!AF108&gt;=5,"A+",IF('Data Source'!AF108&gt;=4,"A",IF('Data Source'!AF108&gt;=3.5,"A-",IF('Data Source'!AF108&gt;=3,"B",IF('Data Source'!AF108&gt;=2,"C",IF('Data Source'!AF108&gt;=1,"D","F")))))),"")</f>
        <v/>
      </c>
      <c r="O108" s="3">
        <f>IF(AND('Data Source'!B108&lt;&gt;"",'Data Source'!S108="A+"),IF('Data Source'!AG108&gt;=5,"A+",IF('Data Source'!AG108&gt;=4,"A",IF('Data Source'!AG108&gt;=3.5,"A-",IF('Data Source'!AG108&gt;=3,"B",IF('Data Source'!AG108&gt;=2,"C",IF('Data Source'!AG108&gt;=1,"D","F")))))),"")</f>
        <v/>
      </c>
      <c r="P108" s="5">
        <f>IF(AND('Data Source'!B108&lt;&gt;"",'Data Source'!S108="A+"),'Data Source'!R108,"")</f>
        <v/>
      </c>
      <c r="Q108" s="3">
        <f>IF(AND('Data Source'!B108&lt;&gt;"",'Data Source'!S108="A+"),'Data Source'!S108,"")</f>
        <v/>
      </c>
    </row>
    <row r="109">
      <c r="A109" s="3">
        <f>IF(AND('Data Source'!B109&lt;&gt;"",'Data Source'!S109="A+"),COUNTIF('Data Source'!$S$3:S109,"A+"),"")</f>
        <v/>
      </c>
      <c r="B109">
        <f>IF(AND('Data Source'!B109&lt;&gt;"",'Data Source'!S109="A+"),'Data Source'!B109,"")</f>
        <v/>
      </c>
      <c r="C109" s="3">
        <f>IF(AND('Data Source'!B109&lt;&gt;"",'Data Source'!S109="A+"),IF('Data Source'!U109&gt;=5,"A+",IF('Data Source'!U109&gt;=4,"A",IF('Data Source'!U109&gt;=3.5,"A-",IF('Data Source'!U109&gt;=3,"B",IF('Data Source'!U109&gt;=2,"C",IF('Data Source'!U109&gt;=1,"D","F")))))),"")</f>
        <v/>
      </c>
      <c r="D109" s="3">
        <f>IF(AND('Data Source'!B109&lt;&gt;"",'Data Source'!S109="A+"),IF('Data Source'!V109&gt;=5,"A+",IF('Data Source'!V109&gt;=4,"A",IF('Data Source'!V109&gt;=3.5,"A-",IF('Data Source'!V109&gt;=3,"B",IF('Data Source'!V109&gt;=2,"C",IF('Data Source'!V109&gt;=1,"D","F")))))),"")</f>
        <v/>
      </c>
      <c r="E109" s="3">
        <f>IF(AND('Data Source'!B109&lt;&gt;"",'Data Source'!S109="A+"),IF('Data Source'!W109&gt;=5,"A+",IF('Data Source'!W109&gt;=4,"A",IF('Data Source'!W109&gt;=3.5,"A-",IF('Data Source'!W109&gt;=3,"B",IF('Data Source'!W109&gt;=2,"C",IF('Data Source'!W109&gt;=1,"D","F")))))),"")</f>
        <v/>
      </c>
      <c r="F109" s="3">
        <f>IF(AND('Data Source'!B109&lt;&gt;"",'Data Source'!S109="A+"),IF('Data Source'!X109&gt;=5,"A+",IF('Data Source'!X109&gt;=4,"A",IF('Data Source'!X109&gt;=3.5,"A-",IF('Data Source'!X109&gt;=3,"B",IF('Data Source'!X109&gt;=2,"C",IF('Data Source'!X109&gt;=1,"D","F")))))),"")</f>
        <v/>
      </c>
      <c r="G109" s="3">
        <f>IF(AND('Data Source'!B109&lt;&gt;"",'Data Source'!S109="A+"),IF('Data Source'!Y109&gt;=5,"A+",IF('Data Source'!Y109&gt;=4,"A",IF('Data Source'!Y109&gt;=3.5,"A-",IF('Data Source'!Y109&gt;=3,"B",IF('Data Source'!Y109&gt;=2,"C",IF('Data Source'!Y109&gt;=1,"D","F")))))),"")</f>
        <v/>
      </c>
      <c r="H109" s="3">
        <f>IF(AND('Data Source'!B109&lt;&gt;"",'Data Source'!S109="A+"),IF('Data Source'!Z109&gt;=5,"A+",IF('Data Source'!Z109&gt;=4,"A",IF('Data Source'!Z109&gt;=3.5,"A-",IF('Data Source'!Z109&gt;=3,"B",IF('Data Source'!Z109&gt;=2,"C",IF('Data Source'!Z109&gt;=1,"D","F")))))),"")</f>
        <v/>
      </c>
      <c r="I109" s="3">
        <f>IF(AND('Data Source'!B109&lt;&gt;"",'Data Source'!S109="A+"),IF('Data Source'!AA109&gt;=5,"A+",IF('Data Source'!AA109&gt;=4,"A",IF('Data Source'!AA109&gt;=3.5,"A-",IF('Data Source'!AA109&gt;=3,"B",IF('Data Source'!AA109&gt;=2,"C",IF('Data Source'!AA109&gt;=1,"D","F")))))),"")</f>
        <v/>
      </c>
      <c r="J109" s="3">
        <f>IF(AND('Data Source'!B109&lt;&gt;"",'Data Source'!S109="A+"),IF('Data Source'!AB109&gt;=5,"A+",IF('Data Source'!AB109&gt;=4,"A",IF('Data Source'!AB109&gt;=3.5,"A-",IF('Data Source'!AB109&gt;=3,"B",IF('Data Source'!AB109&gt;=2,"C",IF('Data Source'!AB109&gt;=1,"D","F")))))),"")</f>
        <v/>
      </c>
      <c r="K109" s="3">
        <f>IF(AND('Data Source'!B109&lt;&gt;"",'Data Source'!S109="A+"),IF('Data Source'!AC109&gt;=5,"A+",IF('Data Source'!AC109&gt;=4,"A",IF('Data Source'!AC109&gt;=3.5,"A-",IF('Data Source'!AC109&gt;=3,"B",IF('Data Source'!AC109&gt;=2,"C",IF('Data Source'!AC109&gt;=1,"D","F")))))),"")</f>
        <v/>
      </c>
      <c r="L109" s="3">
        <f>IF(AND('Data Source'!B109&lt;&gt;"",'Data Source'!S109="A+"),IF('Data Source'!AD109&gt;=5,"A+",IF('Data Source'!AD109&gt;=4,"A",IF('Data Source'!AD109&gt;=3.5,"A-",IF('Data Source'!AD109&gt;=3,"B",IF('Data Source'!AD109&gt;=2,"C",IF('Data Source'!AD109&gt;=1,"D","F")))))),"")</f>
        <v/>
      </c>
      <c r="M109" s="3">
        <f>IF(AND('Data Source'!B109&lt;&gt;"",'Data Source'!S109="A+"),IF('Data Source'!AE109&gt;=5,"A+",IF('Data Source'!AE109&gt;=4,"A",IF('Data Source'!AE109&gt;=3.5,"A-",IF('Data Source'!AE109&gt;=3,"B",IF('Data Source'!AE109&gt;=2,"C",IF('Data Source'!AE109&gt;=1,"D","F")))))),"")</f>
        <v/>
      </c>
      <c r="N109" s="3">
        <f>IF(AND('Data Source'!B109&lt;&gt;"",'Data Source'!S109="A+"),IF('Data Source'!AF109&gt;=5,"A+",IF('Data Source'!AF109&gt;=4,"A",IF('Data Source'!AF109&gt;=3.5,"A-",IF('Data Source'!AF109&gt;=3,"B",IF('Data Source'!AF109&gt;=2,"C",IF('Data Source'!AF109&gt;=1,"D","F")))))),"")</f>
        <v/>
      </c>
      <c r="O109" s="3">
        <f>IF(AND('Data Source'!B109&lt;&gt;"",'Data Source'!S109="A+"),IF('Data Source'!AG109&gt;=5,"A+",IF('Data Source'!AG109&gt;=4,"A",IF('Data Source'!AG109&gt;=3.5,"A-",IF('Data Source'!AG109&gt;=3,"B",IF('Data Source'!AG109&gt;=2,"C",IF('Data Source'!AG109&gt;=1,"D","F")))))),"")</f>
        <v/>
      </c>
      <c r="P109" s="5">
        <f>IF(AND('Data Source'!B109&lt;&gt;"",'Data Source'!S109="A+"),'Data Source'!R109,"")</f>
        <v/>
      </c>
      <c r="Q109" s="3">
        <f>IF(AND('Data Source'!B109&lt;&gt;"",'Data Source'!S109="A+"),'Data Source'!S109,"")</f>
        <v/>
      </c>
    </row>
    <row r="110">
      <c r="A110" s="3">
        <f>IF(AND('Data Source'!B110&lt;&gt;"",'Data Source'!S110="A+"),COUNTIF('Data Source'!$S$3:S110,"A+"),"")</f>
        <v/>
      </c>
      <c r="B110">
        <f>IF(AND('Data Source'!B110&lt;&gt;"",'Data Source'!S110="A+"),'Data Source'!B110,"")</f>
        <v/>
      </c>
      <c r="C110" s="3">
        <f>IF(AND('Data Source'!B110&lt;&gt;"",'Data Source'!S110="A+"),IF('Data Source'!U110&gt;=5,"A+",IF('Data Source'!U110&gt;=4,"A",IF('Data Source'!U110&gt;=3.5,"A-",IF('Data Source'!U110&gt;=3,"B",IF('Data Source'!U110&gt;=2,"C",IF('Data Source'!U110&gt;=1,"D","F")))))),"")</f>
        <v/>
      </c>
      <c r="D110" s="3">
        <f>IF(AND('Data Source'!B110&lt;&gt;"",'Data Source'!S110="A+"),IF('Data Source'!V110&gt;=5,"A+",IF('Data Source'!V110&gt;=4,"A",IF('Data Source'!V110&gt;=3.5,"A-",IF('Data Source'!V110&gt;=3,"B",IF('Data Source'!V110&gt;=2,"C",IF('Data Source'!V110&gt;=1,"D","F")))))),"")</f>
        <v/>
      </c>
      <c r="E110" s="3">
        <f>IF(AND('Data Source'!B110&lt;&gt;"",'Data Source'!S110="A+"),IF('Data Source'!W110&gt;=5,"A+",IF('Data Source'!W110&gt;=4,"A",IF('Data Source'!W110&gt;=3.5,"A-",IF('Data Source'!W110&gt;=3,"B",IF('Data Source'!W110&gt;=2,"C",IF('Data Source'!W110&gt;=1,"D","F")))))),"")</f>
        <v/>
      </c>
      <c r="F110" s="3">
        <f>IF(AND('Data Source'!B110&lt;&gt;"",'Data Source'!S110="A+"),IF('Data Source'!X110&gt;=5,"A+",IF('Data Source'!X110&gt;=4,"A",IF('Data Source'!X110&gt;=3.5,"A-",IF('Data Source'!X110&gt;=3,"B",IF('Data Source'!X110&gt;=2,"C",IF('Data Source'!X110&gt;=1,"D","F")))))),"")</f>
        <v/>
      </c>
      <c r="G110" s="3">
        <f>IF(AND('Data Source'!B110&lt;&gt;"",'Data Source'!S110="A+"),IF('Data Source'!Y110&gt;=5,"A+",IF('Data Source'!Y110&gt;=4,"A",IF('Data Source'!Y110&gt;=3.5,"A-",IF('Data Source'!Y110&gt;=3,"B",IF('Data Source'!Y110&gt;=2,"C",IF('Data Source'!Y110&gt;=1,"D","F")))))),"")</f>
        <v/>
      </c>
      <c r="H110" s="3">
        <f>IF(AND('Data Source'!B110&lt;&gt;"",'Data Source'!S110="A+"),IF('Data Source'!Z110&gt;=5,"A+",IF('Data Source'!Z110&gt;=4,"A",IF('Data Source'!Z110&gt;=3.5,"A-",IF('Data Source'!Z110&gt;=3,"B",IF('Data Source'!Z110&gt;=2,"C",IF('Data Source'!Z110&gt;=1,"D","F")))))),"")</f>
        <v/>
      </c>
      <c r="I110" s="3">
        <f>IF(AND('Data Source'!B110&lt;&gt;"",'Data Source'!S110="A+"),IF('Data Source'!AA110&gt;=5,"A+",IF('Data Source'!AA110&gt;=4,"A",IF('Data Source'!AA110&gt;=3.5,"A-",IF('Data Source'!AA110&gt;=3,"B",IF('Data Source'!AA110&gt;=2,"C",IF('Data Source'!AA110&gt;=1,"D","F")))))),"")</f>
        <v/>
      </c>
      <c r="J110" s="3">
        <f>IF(AND('Data Source'!B110&lt;&gt;"",'Data Source'!S110="A+"),IF('Data Source'!AB110&gt;=5,"A+",IF('Data Source'!AB110&gt;=4,"A",IF('Data Source'!AB110&gt;=3.5,"A-",IF('Data Source'!AB110&gt;=3,"B",IF('Data Source'!AB110&gt;=2,"C",IF('Data Source'!AB110&gt;=1,"D","F")))))),"")</f>
        <v/>
      </c>
      <c r="K110" s="3">
        <f>IF(AND('Data Source'!B110&lt;&gt;"",'Data Source'!S110="A+"),IF('Data Source'!AC110&gt;=5,"A+",IF('Data Source'!AC110&gt;=4,"A",IF('Data Source'!AC110&gt;=3.5,"A-",IF('Data Source'!AC110&gt;=3,"B",IF('Data Source'!AC110&gt;=2,"C",IF('Data Source'!AC110&gt;=1,"D","F")))))),"")</f>
        <v/>
      </c>
      <c r="L110" s="3">
        <f>IF(AND('Data Source'!B110&lt;&gt;"",'Data Source'!S110="A+"),IF('Data Source'!AD110&gt;=5,"A+",IF('Data Source'!AD110&gt;=4,"A",IF('Data Source'!AD110&gt;=3.5,"A-",IF('Data Source'!AD110&gt;=3,"B",IF('Data Source'!AD110&gt;=2,"C",IF('Data Source'!AD110&gt;=1,"D","F")))))),"")</f>
        <v/>
      </c>
      <c r="M110" s="3">
        <f>IF(AND('Data Source'!B110&lt;&gt;"",'Data Source'!S110="A+"),IF('Data Source'!AE110&gt;=5,"A+",IF('Data Source'!AE110&gt;=4,"A",IF('Data Source'!AE110&gt;=3.5,"A-",IF('Data Source'!AE110&gt;=3,"B",IF('Data Source'!AE110&gt;=2,"C",IF('Data Source'!AE110&gt;=1,"D","F")))))),"")</f>
        <v/>
      </c>
      <c r="N110" s="3">
        <f>IF(AND('Data Source'!B110&lt;&gt;"",'Data Source'!S110="A+"),IF('Data Source'!AF110&gt;=5,"A+",IF('Data Source'!AF110&gt;=4,"A",IF('Data Source'!AF110&gt;=3.5,"A-",IF('Data Source'!AF110&gt;=3,"B",IF('Data Source'!AF110&gt;=2,"C",IF('Data Source'!AF110&gt;=1,"D","F")))))),"")</f>
        <v/>
      </c>
      <c r="O110" s="3">
        <f>IF(AND('Data Source'!B110&lt;&gt;"",'Data Source'!S110="A+"),IF('Data Source'!AG110&gt;=5,"A+",IF('Data Source'!AG110&gt;=4,"A",IF('Data Source'!AG110&gt;=3.5,"A-",IF('Data Source'!AG110&gt;=3,"B",IF('Data Source'!AG110&gt;=2,"C",IF('Data Source'!AG110&gt;=1,"D","F")))))),"")</f>
        <v/>
      </c>
      <c r="P110" s="5">
        <f>IF(AND('Data Source'!B110&lt;&gt;"",'Data Source'!S110="A+"),'Data Source'!R110,"")</f>
        <v/>
      </c>
      <c r="Q110" s="3">
        <f>IF(AND('Data Source'!B110&lt;&gt;"",'Data Source'!S110="A+"),'Data Source'!S110,"")</f>
        <v/>
      </c>
    </row>
    <row r="111">
      <c r="A111" s="3">
        <f>IF(AND('Data Source'!B111&lt;&gt;"",'Data Source'!S111="A+"),COUNTIF('Data Source'!$S$3:S111,"A+"),"")</f>
        <v/>
      </c>
      <c r="B111">
        <f>IF(AND('Data Source'!B111&lt;&gt;"",'Data Source'!S111="A+"),'Data Source'!B111,"")</f>
        <v/>
      </c>
      <c r="C111" s="3">
        <f>IF(AND('Data Source'!B111&lt;&gt;"",'Data Source'!S111="A+"),IF('Data Source'!U111&gt;=5,"A+",IF('Data Source'!U111&gt;=4,"A",IF('Data Source'!U111&gt;=3.5,"A-",IF('Data Source'!U111&gt;=3,"B",IF('Data Source'!U111&gt;=2,"C",IF('Data Source'!U111&gt;=1,"D","F")))))),"")</f>
        <v/>
      </c>
      <c r="D111" s="3">
        <f>IF(AND('Data Source'!B111&lt;&gt;"",'Data Source'!S111="A+"),IF('Data Source'!V111&gt;=5,"A+",IF('Data Source'!V111&gt;=4,"A",IF('Data Source'!V111&gt;=3.5,"A-",IF('Data Source'!V111&gt;=3,"B",IF('Data Source'!V111&gt;=2,"C",IF('Data Source'!V111&gt;=1,"D","F")))))),"")</f>
        <v/>
      </c>
      <c r="E111" s="3">
        <f>IF(AND('Data Source'!B111&lt;&gt;"",'Data Source'!S111="A+"),IF('Data Source'!W111&gt;=5,"A+",IF('Data Source'!W111&gt;=4,"A",IF('Data Source'!W111&gt;=3.5,"A-",IF('Data Source'!W111&gt;=3,"B",IF('Data Source'!W111&gt;=2,"C",IF('Data Source'!W111&gt;=1,"D","F")))))),"")</f>
        <v/>
      </c>
      <c r="F111" s="3">
        <f>IF(AND('Data Source'!B111&lt;&gt;"",'Data Source'!S111="A+"),IF('Data Source'!X111&gt;=5,"A+",IF('Data Source'!X111&gt;=4,"A",IF('Data Source'!X111&gt;=3.5,"A-",IF('Data Source'!X111&gt;=3,"B",IF('Data Source'!X111&gt;=2,"C",IF('Data Source'!X111&gt;=1,"D","F")))))),"")</f>
        <v/>
      </c>
      <c r="G111" s="3">
        <f>IF(AND('Data Source'!B111&lt;&gt;"",'Data Source'!S111="A+"),IF('Data Source'!Y111&gt;=5,"A+",IF('Data Source'!Y111&gt;=4,"A",IF('Data Source'!Y111&gt;=3.5,"A-",IF('Data Source'!Y111&gt;=3,"B",IF('Data Source'!Y111&gt;=2,"C",IF('Data Source'!Y111&gt;=1,"D","F")))))),"")</f>
        <v/>
      </c>
      <c r="H111" s="3">
        <f>IF(AND('Data Source'!B111&lt;&gt;"",'Data Source'!S111="A+"),IF('Data Source'!Z111&gt;=5,"A+",IF('Data Source'!Z111&gt;=4,"A",IF('Data Source'!Z111&gt;=3.5,"A-",IF('Data Source'!Z111&gt;=3,"B",IF('Data Source'!Z111&gt;=2,"C",IF('Data Source'!Z111&gt;=1,"D","F")))))),"")</f>
        <v/>
      </c>
      <c r="I111" s="3">
        <f>IF(AND('Data Source'!B111&lt;&gt;"",'Data Source'!S111="A+"),IF('Data Source'!AA111&gt;=5,"A+",IF('Data Source'!AA111&gt;=4,"A",IF('Data Source'!AA111&gt;=3.5,"A-",IF('Data Source'!AA111&gt;=3,"B",IF('Data Source'!AA111&gt;=2,"C",IF('Data Source'!AA111&gt;=1,"D","F")))))),"")</f>
        <v/>
      </c>
      <c r="J111" s="3">
        <f>IF(AND('Data Source'!B111&lt;&gt;"",'Data Source'!S111="A+"),IF('Data Source'!AB111&gt;=5,"A+",IF('Data Source'!AB111&gt;=4,"A",IF('Data Source'!AB111&gt;=3.5,"A-",IF('Data Source'!AB111&gt;=3,"B",IF('Data Source'!AB111&gt;=2,"C",IF('Data Source'!AB111&gt;=1,"D","F")))))),"")</f>
        <v/>
      </c>
      <c r="K111" s="3">
        <f>IF(AND('Data Source'!B111&lt;&gt;"",'Data Source'!S111="A+"),IF('Data Source'!AC111&gt;=5,"A+",IF('Data Source'!AC111&gt;=4,"A",IF('Data Source'!AC111&gt;=3.5,"A-",IF('Data Source'!AC111&gt;=3,"B",IF('Data Source'!AC111&gt;=2,"C",IF('Data Source'!AC111&gt;=1,"D","F")))))),"")</f>
        <v/>
      </c>
      <c r="L111" s="3">
        <f>IF(AND('Data Source'!B111&lt;&gt;"",'Data Source'!S111="A+"),IF('Data Source'!AD111&gt;=5,"A+",IF('Data Source'!AD111&gt;=4,"A",IF('Data Source'!AD111&gt;=3.5,"A-",IF('Data Source'!AD111&gt;=3,"B",IF('Data Source'!AD111&gt;=2,"C",IF('Data Source'!AD111&gt;=1,"D","F")))))),"")</f>
        <v/>
      </c>
      <c r="M111" s="3">
        <f>IF(AND('Data Source'!B111&lt;&gt;"",'Data Source'!S111="A+"),IF('Data Source'!AE111&gt;=5,"A+",IF('Data Source'!AE111&gt;=4,"A",IF('Data Source'!AE111&gt;=3.5,"A-",IF('Data Source'!AE111&gt;=3,"B",IF('Data Source'!AE111&gt;=2,"C",IF('Data Source'!AE111&gt;=1,"D","F")))))),"")</f>
        <v/>
      </c>
      <c r="N111" s="3">
        <f>IF(AND('Data Source'!B111&lt;&gt;"",'Data Source'!S111="A+"),IF('Data Source'!AF111&gt;=5,"A+",IF('Data Source'!AF111&gt;=4,"A",IF('Data Source'!AF111&gt;=3.5,"A-",IF('Data Source'!AF111&gt;=3,"B",IF('Data Source'!AF111&gt;=2,"C",IF('Data Source'!AF111&gt;=1,"D","F")))))),"")</f>
        <v/>
      </c>
      <c r="O111" s="3">
        <f>IF(AND('Data Source'!B111&lt;&gt;"",'Data Source'!S111="A+"),IF('Data Source'!AG111&gt;=5,"A+",IF('Data Source'!AG111&gt;=4,"A",IF('Data Source'!AG111&gt;=3.5,"A-",IF('Data Source'!AG111&gt;=3,"B",IF('Data Source'!AG111&gt;=2,"C",IF('Data Source'!AG111&gt;=1,"D","F")))))),"")</f>
        <v/>
      </c>
      <c r="P111" s="5">
        <f>IF(AND('Data Source'!B111&lt;&gt;"",'Data Source'!S111="A+"),'Data Source'!R111,"")</f>
        <v/>
      </c>
      <c r="Q111" s="3">
        <f>IF(AND('Data Source'!B111&lt;&gt;"",'Data Source'!S111="A+"),'Data Source'!S111,"")</f>
        <v/>
      </c>
    </row>
    <row r="112">
      <c r="A112" s="3">
        <f>IF(AND('Data Source'!B112&lt;&gt;"",'Data Source'!S112="A+"),COUNTIF('Data Source'!$S$3:S112,"A+"),"")</f>
        <v/>
      </c>
      <c r="B112">
        <f>IF(AND('Data Source'!B112&lt;&gt;"",'Data Source'!S112="A+"),'Data Source'!B112,"")</f>
        <v/>
      </c>
      <c r="C112" s="3">
        <f>IF(AND('Data Source'!B112&lt;&gt;"",'Data Source'!S112="A+"),IF('Data Source'!U112&gt;=5,"A+",IF('Data Source'!U112&gt;=4,"A",IF('Data Source'!U112&gt;=3.5,"A-",IF('Data Source'!U112&gt;=3,"B",IF('Data Source'!U112&gt;=2,"C",IF('Data Source'!U112&gt;=1,"D","F")))))),"")</f>
        <v/>
      </c>
      <c r="D112" s="3">
        <f>IF(AND('Data Source'!B112&lt;&gt;"",'Data Source'!S112="A+"),IF('Data Source'!V112&gt;=5,"A+",IF('Data Source'!V112&gt;=4,"A",IF('Data Source'!V112&gt;=3.5,"A-",IF('Data Source'!V112&gt;=3,"B",IF('Data Source'!V112&gt;=2,"C",IF('Data Source'!V112&gt;=1,"D","F")))))),"")</f>
        <v/>
      </c>
      <c r="E112" s="3">
        <f>IF(AND('Data Source'!B112&lt;&gt;"",'Data Source'!S112="A+"),IF('Data Source'!W112&gt;=5,"A+",IF('Data Source'!W112&gt;=4,"A",IF('Data Source'!W112&gt;=3.5,"A-",IF('Data Source'!W112&gt;=3,"B",IF('Data Source'!W112&gt;=2,"C",IF('Data Source'!W112&gt;=1,"D","F")))))),"")</f>
        <v/>
      </c>
      <c r="F112" s="3">
        <f>IF(AND('Data Source'!B112&lt;&gt;"",'Data Source'!S112="A+"),IF('Data Source'!X112&gt;=5,"A+",IF('Data Source'!X112&gt;=4,"A",IF('Data Source'!X112&gt;=3.5,"A-",IF('Data Source'!X112&gt;=3,"B",IF('Data Source'!X112&gt;=2,"C",IF('Data Source'!X112&gt;=1,"D","F")))))),"")</f>
        <v/>
      </c>
      <c r="G112" s="3">
        <f>IF(AND('Data Source'!B112&lt;&gt;"",'Data Source'!S112="A+"),IF('Data Source'!Y112&gt;=5,"A+",IF('Data Source'!Y112&gt;=4,"A",IF('Data Source'!Y112&gt;=3.5,"A-",IF('Data Source'!Y112&gt;=3,"B",IF('Data Source'!Y112&gt;=2,"C",IF('Data Source'!Y112&gt;=1,"D","F")))))),"")</f>
        <v/>
      </c>
      <c r="H112" s="3">
        <f>IF(AND('Data Source'!B112&lt;&gt;"",'Data Source'!S112="A+"),IF('Data Source'!Z112&gt;=5,"A+",IF('Data Source'!Z112&gt;=4,"A",IF('Data Source'!Z112&gt;=3.5,"A-",IF('Data Source'!Z112&gt;=3,"B",IF('Data Source'!Z112&gt;=2,"C",IF('Data Source'!Z112&gt;=1,"D","F")))))),"")</f>
        <v/>
      </c>
      <c r="I112" s="3">
        <f>IF(AND('Data Source'!B112&lt;&gt;"",'Data Source'!S112="A+"),IF('Data Source'!AA112&gt;=5,"A+",IF('Data Source'!AA112&gt;=4,"A",IF('Data Source'!AA112&gt;=3.5,"A-",IF('Data Source'!AA112&gt;=3,"B",IF('Data Source'!AA112&gt;=2,"C",IF('Data Source'!AA112&gt;=1,"D","F")))))),"")</f>
        <v/>
      </c>
      <c r="J112" s="3">
        <f>IF(AND('Data Source'!B112&lt;&gt;"",'Data Source'!S112="A+"),IF('Data Source'!AB112&gt;=5,"A+",IF('Data Source'!AB112&gt;=4,"A",IF('Data Source'!AB112&gt;=3.5,"A-",IF('Data Source'!AB112&gt;=3,"B",IF('Data Source'!AB112&gt;=2,"C",IF('Data Source'!AB112&gt;=1,"D","F")))))),"")</f>
        <v/>
      </c>
      <c r="K112" s="3">
        <f>IF(AND('Data Source'!B112&lt;&gt;"",'Data Source'!S112="A+"),IF('Data Source'!AC112&gt;=5,"A+",IF('Data Source'!AC112&gt;=4,"A",IF('Data Source'!AC112&gt;=3.5,"A-",IF('Data Source'!AC112&gt;=3,"B",IF('Data Source'!AC112&gt;=2,"C",IF('Data Source'!AC112&gt;=1,"D","F")))))),"")</f>
        <v/>
      </c>
      <c r="L112" s="3">
        <f>IF(AND('Data Source'!B112&lt;&gt;"",'Data Source'!S112="A+"),IF('Data Source'!AD112&gt;=5,"A+",IF('Data Source'!AD112&gt;=4,"A",IF('Data Source'!AD112&gt;=3.5,"A-",IF('Data Source'!AD112&gt;=3,"B",IF('Data Source'!AD112&gt;=2,"C",IF('Data Source'!AD112&gt;=1,"D","F")))))),"")</f>
        <v/>
      </c>
      <c r="M112" s="3">
        <f>IF(AND('Data Source'!B112&lt;&gt;"",'Data Source'!S112="A+"),IF('Data Source'!AE112&gt;=5,"A+",IF('Data Source'!AE112&gt;=4,"A",IF('Data Source'!AE112&gt;=3.5,"A-",IF('Data Source'!AE112&gt;=3,"B",IF('Data Source'!AE112&gt;=2,"C",IF('Data Source'!AE112&gt;=1,"D","F")))))),"")</f>
        <v/>
      </c>
      <c r="N112" s="3">
        <f>IF(AND('Data Source'!B112&lt;&gt;"",'Data Source'!S112="A+"),IF('Data Source'!AF112&gt;=5,"A+",IF('Data Source'!AF112&gt;=4,"A",IF('Data Source'!AF112&gt;=3.5,"A-",IF('Data Source'!AF112&gt;=3,"B",IF('Data Source'!AF112&gt;=2,"C",IF('Data Source'!AF112&gt;=1,"D","F")))))),"")</f>
        <v/>
      </c>
      <c r="O112" s="3">
        <f>IF(AND('Data Source'!B112&lt;&gt;"",'Data Source'!S112="A+"),IF('Data Source'!AG112&gt;=5,"A+",IF('Data Source'!AG112&gt;=4,"A",IF('Data Source'!AG112&gt;=3.5,"A-",IF('Data Source'!AG112&gt;=3,"B",IF('Data Source'!AG112&gt;=2,"C",IF('Data Source'!AG112&gt;=1,"D","F")))))),"")</f>
        <v/>
      </c>
      <c r="P112" s="5">
        <f>IF(AND('Data Source'!B112&lt;&gt;"",'Data Source'!S112="A+"),'Data Source'!R112,"")</f>
        <v/>
      </c>
      <c r="Q112" s="3">
        <f>IF(AND('Data Source'!B112&lt;&gt;"",'Data Source'!S112="A+"),'Data Source'!S112,"")</f>
        <v/>
      </c>
    </row>
    <row r="113">
      <c r="A113" s="3">
        <f>IF(AND('Data Source'!B113&lt;&gt;"",'Data Source'!S113="A+"),COUNTIF('Data Source'!$S$3:S113,"A+"),"")</f>
        <v/>
      </c>
      <c r="B113">
        <f>IF(AND('Data Source'!B113&lt;&gt;"",'Data Source'!S113="A+"),'Data Source'!B113,"")</f>
        <v/>
      </c>
      <c r="C113" s="3">
        <f>IF(AND('Data Source'!B113&lt;&gt;"",'Data Source'!S113="A+"),IF('Data Source'!U113&gt;=5,"A+",IF('Data Source'!U113&gt;=4,"A",IF('Data Source'!U113&gt;=3.5,"A-",IF('Data Source'!U113&gt;=3,"B",IF('Data Source'!U113&gt;=2,"C",IF('Data Source'!U113&gt;=1,"D","F")))))),"")</f>
        <v/>
      </c>
      <c r="D113" s="3">
        <f>IF(AND('Data Source'!B113&lt;&gt;"",'Data Source'!S113="A+"),IF('Data Source'!V113&gt;=5,"A+",IF('Data Source'!V113&gt;=4,"A",IF('Data Source'!V113&gt;=3.5,"A-",IF('Data Source'!V113&gt;=3,"B",IF('Data Source'!V113&gt;=2,"C",IF('Data Source'!V113&gt;=1,"D","F")))))),"")</f>
        <v/>
      </c>
      <c r="E113" s="3">
        <f>IF(AND('Data Source'!B113&lt;&gt;"",'Data Source'!S113="A+"),IF('Data Source'!W113&gt;=5,"A+",IF('Data Source'!W113&gt;=4,"A",IF('Data Source'!W113&gt;=3.5,"A-",IF('Data Source'!W113&gt;=3,"B",IF('Data Source'!W113&gt;=2,"C",IF('Data Source'!W113&gt;=1,"D","F")))))),"")</f>
        <v/>
      </c>
      <c r="F113" s="3">
        <f>IF(AND('Data Source'!B113&lt;&gt;"",'Data Source'!S113="A+"),IF('Data Source'!X113&gt;=5,"A+",IF('Data Source'!X113&gt;=4,"A",IF('Data Source'!X113&gt;=3.5,"A-",IF('Data Source'!X113&gt;=3,"B",IF('Data Source'!X113&gt;=2,"C",IF('Data Source'!X113&gt;=1,"D","F")))))),"")</f>
        <v/>
      </c>
      <c r="G113" s="3">
        <f>IF(AND('Data Source'!B113&lt;&gt;"",'Data Source'!S113="A+"),IF('Data Source'!Y113&gt;=5,"A+",IF('Data Source'!Y113&gt;=4,"A",IF('Data Source'!Y113&gt;=3.5,"A-",IF('Data Source'!Y113&gt;=3,"B",IF('Data Source'!Y113&gt;=2,"C",IF('Data Source'!Y113&gt;=1,"D","F")))))),"")</f>
        <v/>
      </c>
      <c r="H113" s="3">
        <f>IF(AND('Data Source'!B113&lt;&gt;"",'Data Source'!S113="A+"),IF('Data Source'!Z113&gt;=5,"A+",IF('Data Source'!Z113&gt;=4,"A",IF('Data Source'!Z113&gt;=3.5,"A-",IF('Data Source'!Z113&gt;=3,"B",IF('Data Source'!Z113&gt;=2,"C",IF('Data Source'!Z113&gt;=1,"D","F")))))),"")</f>
        <v/>
      </c>
      <c r="I113" s="3">
        <f>IF(AND('Data Source'!B113&lt;&gt;"",'Data Source'!S113="A+"),IF('Data Source'!AA113&gt;=5,"A+",IF('Data Source'!AA113&gt;=4,"A",IF('Data Source'!AA113&gt;=3.5,"A-",IF('Data Source'!AA113&gt;=3,"B",IF('Data Source'!AA113&gt;=2,"C",IF('Data Source'!AA113&gt;=1,"D","F")))))),"")</f>
        <v/>
      </c>
      <c r="J113" s="3">
        <f>IF(AND('Data Source'!B113&lt;&gt;"",'Data Source'!S113="A+"),IF('Data Source'!AB113&gt;=5,"A+",IF('Data Source'!AB113&gt;=4,"A",IF('Data Source'!AB113&gt;=3.5,"A-",IF('Data Source'!AB113&gt;=3,"B",IF('Data Source'!AB113&gt;=2,"C",IF('Data Source'!AB113&gt;=1,"D","F")))))),"")</f>
        <v/>
      </c>
      <c r="K113" s="3">
        <f>IF(AND('Data Source'!B113&lt;&gt;"",'Data Source'!S113="A+"),IF('Data Source'!AC113&gt;=5,"A+",IF('Data Source'!AC113&gt;=4,"A",IF('Data Source'!AC113&gt;=3.5,"A-",IF('Data Source'!AC113&gt;=3,"B",IF('Data Source'!AC113&gt;=2,"C",IF('Data Source'!AC113&gt;=1,"D","F")))))),"")</f>
        <v/>
      </c>
      <c r="L113" s="3">
        <f>IF(AND('Data Source'!B113&lt;&gt;"",'Data Source'!S113="A+"),IF('Data Source'!AD113&gt;=5,"A+",IF('Data Source'!AD113&gt;=4,"A",IF('Data Source'!AD113&gt;=3.5,"A-",IF('Data Source'!AD113&gt;=3,"B",IF('Data Source'!AD113&gt;=2,"C",IF('Data Source'!AD113&gt;=1,"D","F")))))),"")</f>
        <v/>
      </c>
      <c r="M113" s="3">
        <f>IF(AND('Data Source'!B113&lt;&gt;"",'Data Source'!S113="A+"),IF('Data Source'!AE113&gt;=5,"A+",IF('Data Source'!AE113&gt;=4,"A",IF('Data Source'!AE113&gt;=3.5,"A-",IF('Data Source'!AE113&gt;=3,"B",IF('Data Source'!AE113&gt;=2,"C",IF('Data Source'!AE113&gt;=1,"D","F")))))),"")</f>
        <v/>
      </c>
      <c r="N113" s="3">
        <f>IF(AND('Data Source'!B113&lt;&gt;"",'Data Source'!S113="A+"),IF('Data Source'!AF113&gt;=5,"A+",IF('Data Source'!AF113&gt;=4,"A",IF('Data Source'!AF113&gt;=3.5,"A-",IF('Data Source'!AF113&gt;=3,"B",IF('Data Source'!AF113&gt;=2,"C",IF('Data Source'!AF113&gt;=1,"D","F")))))),"")</f>
        <v/>
      </c>
      <c r="O113" s="3">
        <f>IF(AND('Data Source'!B113&lt;&gt;"",'Data Source'!S113="A+"),IF('Data Source'!AG113&gt;=5,"A+",IF('Data Source'!AG113&gt;=4,"A",IF('Data Source'!AG113&gt;=3.5,"A-",IF('Data Source'!AG113&gt;=3,"B",IF('Data Source'!AG113&gt;=2,"C",IF('Data Source'!AG113&gt;=1,"D","F")))))),"")</f>
        <v/>
      </c>
      <c r="P113" s="5">
        <f>IF(AND('Data Source'!B113&lt;&gt;"",'Data Source'!S113="A+"),'Data Source'!R113,"")</f>
        <v/>
      </c>
      <c r="Q113" s="3">
        <f>IF(AND('Data Source'!B113&lt;&gt;"",'Data Source'!S113="A+"),'Data Source'!S113,"")</f>
        <v/>
      </c>
    </row>
    <row r="114">
      <c r="A114" s="3">
        <f>IF(AND('Data Source'!B114&lt;&gt;"",'Data Source'!S114="A+"),COUNTIF('Data Source'!$S$3:S114,"A+"),"")</f>
        <v/>
      </c>
      <c r="B114">
        <f>IF(AND('Data Source'!B114&lt;&gt;"",'Data Source'!S114="A+"),'Data Source'!B114,"")</f>
        <v/>
      </c>
      <c r="C114" s="3">
        <f>IF(AND('Data Source'!B114&lt;&gt;"",'Data Source'!S114="A+"),IF('Data Source'!U114&gt;=5,"A+",IF('Data Source'!U114&gt;=4,"A",IF('Data Source'!U114&gt;=3.5,"A-",IF('Data Source'!U114&gt;=3,"B",IF('Data Source'!U114&gt;=2,"C",IF('Data Source'!U114&gt;=1,"D","F")))))),"")</f>
        <v/>
      </c>
      <c r="D114" s="3">
        <f>IF(AND('Data Source'!B114&lt;&gt;"",'Data Source'!S114="A+"),IF('Data Source'!V114&gt;=5,"A+",IF('Data Source'!V114&gt;=4,"A",IF('Data Source'!V114&gt;=3.5,"A-",IF('Data Source'!V114&gt;=3,"B",IF('Data Source'!V114&gt;=2,"C",IF('Data Source'!V114&gt;=1,"D","F")))))),"")</f>
        <v/>
      </c>
      <c r="E114" s="3">
        <f>IF(AND('Data Source'!B114&lt;&gt;"",'Data Source'!S114="A+"),IF('Data Source'!W114&gt;=5,"A+",IF('Data Source'!W114&gt;=4,"A",IF('Data Source'!W114&gt;=3.5,"A-",IF('Data Source'!W114&gt;=3,"B",IF('Data Source'!W114&gt;=2,"C",IF('Data Source'!W114&gt;=1,"D","F")))))),"")</f>
        <v/>
      </c>
      <c r="F114" s="3">
        <f>IF(AND('Data Source'!B114&lt;&gt;"",'Data Source'!S114="A+"),IF('Data Source'!X114&gt;=5,"A+",IF('Data Source'!X114&gt;=4,"A",IF('Data Source'!X114&gt;=3.5,"A-",IF('Data Source'!X114&gt;=3,"B",IF('Data Source'!X114&gt;=2,"C",IF('Data Source'!X114&gt;=1,"D","F")))))),"")</f>
        <v/>
      </c>
      <c r="G114" s="3">
        <f>IF(AND('Data Source'!B114&lt;&gt;"",'Data Source'!S114="A+"),IF('Data Source'!Y114&gt;=5,"A+",IF('Data Source'!Y114&gt;=4,"A",IF('Data Source'!Y114&gt;=3.5,"A-",IF('Data Source'!Y114&gt;=3,"B",IF('Data Source'!Y114&gt;=2,"C",IF('Data Source'!Y114&gt;=1,"D","F")))))),"")</f>
        <v/>
      </c>
      <c r="H114" s="3">
        <f>IF(AND('Data Source'!B114&lt;&gt;"",'Data Source'!S114="A+"),IF('Data Source'!Z114&gt;=5,"A+",IF('Data Source'!Z114&gt;=4,"A",IF('Data Source'!Z114&gt;=3.5,"A-",IF('Data Source'!Z114&gt;=3,"B",IF('Data Source'!Z114&gt;=2,"C",IF('Data Source'!Z114&gt;=1,"D","F")))))),"")</f>
        <v/>
      </c>
      <c r="I114" s="3">
        <f>IF(AND('Data Source'!B114&lt;&gt;"",'Data Source'!S114="A+"),IF('Data Source'!AA114&gt;=5,"A+",IF('Data Source'!AA114&gt;=4,"A",IF('Data Source'!AA114&gt;=3.5,"A-",IF('Data Source'!AA114&gt;=3,"B",IF('Data Source'!AA114&gt;=2,"C",IF('Data Source'!AA114&gt;=1,"D","F")))))),"")</f>
        <v/>
      </c>
      <c r="J114" s="3">
        <f>IF(AND('Data Source'!B114&lt;&gt;"",'Data Source'!S114="A+"),IF('Data Source'!AB114&gt;=5,"A+",IF('Data Source'!AB114&gt;=4,"A",IF('Data Source'!AB114&gt;=3.5,"A-",IF('Data Source'!AB114&gt;=3,"B",IF('Data Source'!AB114&gt;=2,"C",IF('Data Source'!AB114&gt;=1,"D","F")))))),"")</f>
        <v/>
      </c>
      <c r="K114" s="3">
        <f>IF(AND('Data Source'!B114&lt;&gt;"",'Data Source'!S114="A+"),IF('Data Source'!AC114&gt;=5,"A+",IF('Data Source'!AC114&gt;=4,"A",IF('Data Source'!AC114&gt;=3.5,"A-",IF('Data Source'!AC114&gt;=3,"B",IF('Data Source'!AC114&gt;=2,"C",IF('Data Source'!AC114&gt;=1,"D","F")))))),"")</f>
        <v/>
      </c>
      <c r="L114" s="3">
        <f>IF(AND('Data Source'!B114&lt;&gt;"",'Data Source'!S114="A+"),IF('Data Source'!AD114&gt;=5,"A+",IF('Data Source'!AD114&gt;=4,"A",IF('Data Source'!AD114&gt;=3.5,"A-",IF('Data Source'!AD114&gt;=3,"B",IF('Data Source'!AD114&gt;=2,"C",IF('Data Source'!AD114&gt;=1,"D","F")))))),"")</f>
        <v/>
      </c>
      <c r="M114" s="3">
        <f>IF(AND('Data Source'!B114&lt;&gt;"",'Data Source'!S114="A+"),IF('Data Source'!AE114&gt;=5,"A+",IF('Data Source'!AE114&gt;=4,"A",IF('Data Source'!AE114&gt;=3.5,"A-",IF('Data Source'!AE114&gt;=3,"B",IF('Data Source'!AE114&gt;=2,"C",IF('Data Source'!AE114&gt;=1,"D","F")))))),"")</f>
        <v/>
      </c>
      <c r="N114" s="3">
        <f>IF(AND('Data Source'!B114&lt;&gt;"",'Data Source'!S114="A+"),IF('Data Source'!AF114&gt;=5,"A+",IF('Data Source'!AF114&gt;=4,"A",IF('Data Source'!AF114&gt;=3.5,"A-",IF('Data Source'!AF114&gt;=3,"B",IF('Data Source'!AF114&gt;=2,"C",IF('Data Source'!AF114&gt;=1,"D","F")))))),"")</f>
        <v/>
      </c>
      <c r="O114" s="3">
        <f>IF(AND('Data Source'!B114&lt;&gt;"",'Data Source'!S114="A+"),IF('Data Source'!AG114&gt;=5,"A+",IF('Data Source'!AG114&gt;=4,"A",IF('Data Source'!AG114&gt;=3.5,"A-",IF('Data Source'!AG114&gt;=3,"B",IF('Data Source'!AG114&gt;=2,"C",IF('Data Source'!AG114&gt;=1,"D","F")))))),"")</f>
        <v/>
      </c>
      <c r="P114" s="5">
        <f>IF(AND('Data Source'!B114&lt;&gt;"",'Data Source'!S114="A+"),'Data Source'!R114,"")</f>
        <v/>
      </c>
      <c r="Q114" s="3">
        <f>IF(AND('Data Source'!B114&lt;&gt;"",'Data Source'!S114="A+"),'Data Source'!S114,"")</f>
        <v/>
      </c>
    </row>
    <row r="115">
      <c r="A115" s="3">
        <f>IF(AND('Data Source'!B115&lt;&gt;"",'Data Source'!S115="A+"),COUNTIF('Data Source'!$S$3:S115,"A+"),"")</f>
        <v/>
      </c>
      <c r="B115">
        <f>IF(AND('Data Source'!B115&lt;&gt;"",'Data Source'!S115="A+"),'Data Source'!B115,"")</f>
        <v/>
      </c>
      <c r="C115" s="3">
        <f>IF(AND('Data Source'!B115&lt;&gt;"",'Data Source'!S115="A+"),IF('Data Source'!U115&gt;=5,"A+",IF('Data Source'!U115&gt;=4,"A",IF('Data Source'!U115&gt;=3.5,"A-",IF('Data Source'!U115&gt;=3,"B",IF('Data Source'!U115&gt;=2,"C",IF('Data Source'!U115&gt;=1,"D","F")))))),"")</f>
        <v/>
      </c>
      <c r="D115" s="3">
        <f>IF(AND('Data Source'!B115&lt;&gt;"",'Data Source'!S115="A+"),IF('Data Source'!V115&gt;=5,"A+",IF('Data Source'!V115&gt;=4,"A",IF('Data Source'!V115&gt;=3.5,"A-",IF('Data Source'!V115&gt;=3,"B",IF('Data Source'!V115&gt;=2,"C",IF('Data Source'!V115&gt;=1,"D","F")))))),"")</f>
        <v/>
      </c>
      <c r="E115" s="3">
        <f>IF(AND('Data Source'!B115&lt;&gt;"",'Data Source'!S115="A+"),IF('Data Source'!W115&gt;=5,"A+",IF('Data Source'!W115&gt;=4,"A",IF('Data Source'!W115&gt;=3.5,"A-",IF('Data Source'!W115&gt;=3,"B",IF('Data Source'!W115&gt;=2,"C",IF('Data Source'!W115&gt;=1,"D","F")))))),"")</f>
        <v/>
      </c>
      <c r="F115" s="3">
        <f>IF(AND('Data Source'!B115&lt;&gt;"",'Data Source'!S115="A+"),IF('Data Source'!X115&gt;=5,"A+",IF('Data Source'!X115&gt;=4,"A",IF('Data Source'!X115&gt;=3.5,"A-",IF('Data Source'!X115&gt;=3,"B",IF('Data Source'!X115&gt;=2,"C",IF('Data Source'!X115&gt;=1,"D","F")))))),"")</f>
        <v/>
      </c>
      <c r="G115" s="3">
        <f>IF(AND('Data Source'!B115&lt;&gt;"",'Data Source'!S115="A+"),IF('Data Source'!Y115&gt;=5,"A+",IF('Data Source'!Y115&gt;=4,"A",IF('Data Source'!Y115&gt;=3.5,"A-",IF('Data Source'!Y115&gt;=3,"B",IF('Data Source'!Y115&gt;=2,"C",IF('Data Source'!Y115&gt;=1,"D","F")))))),"")</f>
        <v/>
      </c>
      <c r="H115" s="3">
        <f>IF(AND('Data Source'!B115&lt;&gt;"",'Data Source'!S115="A+"),IF('Data Source'!Z115&gt;=5,"A+",IF('Data Source'!Z115&gt;=4,"A",IF('Data Source'!Z115&gt;=3.5,"A-",IF('Data Source'!Z115&gt;=3,"B",IF('Data Source'!Z115&gt;=2,"C",IF('Data Source'!Z115&gt;=1,"D","F")))))),"")</f>
        <v/>
      </c>
      <c r="I115" s="3">
        <f>IF(AND('Data Source'!B115&lt;&gt;"",'Data Source'!S115="A+"),IF('Data Source'!AA115&gt;=5,"A+",IF('Data Source'!AA115&gt;=4,"A",IF('Data Source'!AA115&gt;=3.5,"A-",IF('Data Source'!AA115&gt;=3,"B",IF('Data Source'!AA115&gt;=2,"C",IF('Data Source'!AA115&gt;=1,"D","F")))))),"")</f>
        <v/>
      </c>
      <c r="J115" s="3">
        <f>IF(AND('Data Source'!B115&lt;&gt;"",'Data Source'!S115="A+"),IF('Data Source'!AB115&gt;=5,"A+",IF('Data Source'!AB115&gt;=4,"A",IF('Data Source'!AB115&gt;=3.5,"A-",IF('Data Source'!AB115&gt;=3,"B",IF('Data Source'!AB115&gt;=2,"C",IF('Data Source'!AB115&gt;=1,"D","F")))))),"")</f>
        <v/>
      </c>
      <c r="K115" s="3">
        <f>IF(AND('Data Source'!B115&lt;&gt;"",'Data Source'!S115="A+"),IF('Data Source'!AC115&gt;=5,"A+",IF('Data Source'!AC115&gt;=4,"A",IF('Data Source'!AC115&gt;=3.5,"A-",IF('Data Source'!AC115&gt;=3,"B",IF('Data Source'!AC115&gt;=2,"C",IF('Data Source'!AC115&gt;=1,"D","F")))))),"")</f>
        <v/>
      </c>
      <c r="L115" s="3">
        <f>IF(AND('Data Source'!B115&lt;&gt;"",'Data Source'!S115="A+"),IF('Data Source'!AD115&gt;=5,"A+",IF('Data Source'!AD115&gt;=4,"A",IF('Data Source'!AD115&gt;=3.5,"A-",IF('Data Source'!AD115&gt;=3,"B",IF('Data Source'!AD115&gt;=2,"C",IF('Data Source'!AD115&gt;=1,"D","F")))))),"")</f>
        <v/>
      </c>
      <c r="M115" s="3">
        <f>IF(AND('Data Source'!B115&lt;&gt;"",'Data Source'!S115="A+"),IF('Data Source'!AE115&gt;=5,"A+",IF('Data Source'!AE115&gt;=4,"A",IF('Data Source'!AE115&gt;=3.5,"A-",IF('Data Source'!AE115&gt;=3,"B",IF('Data Source'!AE115&gt;=2,"C",IF('Data Source'!AE115&gt;=1,"D","F")))))),"")</f>
        <v/>
      </c>
      <c r="N115" s="3">
        <f>IF(AND('Data Source'!B115&lt;&gt;"",'Data Source'!S115="A+"),IF('Data Source'!AF115&gt;=5,"A+",IF('Data Source'!AF115&gt;=4,"A",IF('Data Source'!AF115&gt;=3.5,"A-",IF('Data Source'!AF115&gt;=3,"B",IF('Data Source'!AF115&gt;=2,"C",IF('Data Source'!AF115&gt;=1,"D","F")))))),"")</f>
        <v/>
      </c>
      <c r="O115" s="3">
        <f>IF(AND('Data Source'!B115&lt;&gt;"",'Data Source'!S115="A+"),IF('Data Source'!AG115&gt;=5,"A+",IF('Data Source'!AG115&gt;=4,"A",IF('Data Source'!AG115&gt;=3.5,"A-",IF('Data Source'!AG115&gt;=3,"B",IF('Data Source'!AG115&gt;=2,"C",IF('Data Source'!AG115&gt;=1,"D","F")))))),"")</f>
        <v/>
      </c>
      <c r="P115" s="5">
        <f>IF(AND('Data Source'!B115&lt;&gt;"",'Data Source'!S115="A+"),'Data Source'!R115,"")</f>
        <v/>
      </c>
      <c r="Q115" s="3">
        <f>IF(AND('Data Source'!B115&lt;&gt;"",'Data Source'!S115="A+"),'Data Source'!S115,"")</f>
        <v/>
      </c>
    </row>
    <row r="116">
      <c r="A116" s="3">
        <f>IF(AND('Data Source'!B116&lt;&gt;"",'Data Source'!S116="A+"),COUNTIF('Data Source'!$S$3:S116,"A+"),"")</f>
        <v/>
      </c>
      <c r="B116">
        <f>IF(AND('Data Source'!B116&lt;&gt;"",'Data Source'!S116="A+"),'Data Source'!B116,"")</f>
        <v/>
      </c>
      <c r="C116" s="3">
        <f>IF(AND('Data Source'!B116&lt;&gt;"",'Data Source'!S116="A+"),IF('Data Source'!U116&gt;=5,"A+",IF('Data Source'!U116&gt;=4,"A",IF('Data Source'!U116&gt;=3.5,"A-",IF('Data Source'!U116&gt;=3,"B",IF('Data Source'!U116&gt;=2,"C",IF('Data Source'!U116&gt;=1,"D","F")))))),"")</f>
        <v/>
      </c>
      <c r="D116" s="3">
        <f>IF(AND('Data Source'!B116&lt;&gt;"",'Data Source'!S116="A+"),IF('Data Source'!V116&gt;=5,"A+",IF('Data Source'!V116&gt;=4,"A",IF('Data Source'!V116&gt;=3.5,"A-",IF('Data Source'!V116&gt;=3,"B",IF('Data Source'!V116&gt;=2,"C",IF('Data Source'!V116&gt;=1,"D","F")))))),"")</f>
        <v/>
      </c>
      <c r="E116" s="3">
        <f>IF(AND('Data Source'!B116&lt;&gt;"",'Data Source'!S116="A+"),IF('Data Source'!W116&gt;=5,"A+",IF('Data Source'!W116&gt;=4,"A",IF('Data Source'!W116&gt;=3.5,"A-",IF('Data Source'!W116&gt;=3,"B",IF('Data Source'!W116&gt;=2,"C",IF('Data Source'!W116&gt;=1,"D","F")))))),"")</f>
        <v/>
      </c>
      <c r="F116" s="3">
        <f>IF(AND('Data Source'!B116&lt;&gt;"",'Data Source'!S116="A+"),IF('Data Source'!X116&gt;=5,"A+",IF('Data Source'!X116&gt;=4,"A",IF('Data Source'!X116&gt;=3.5,"A-",IF('Data Source'!X116&gt;=3,"B",IF('Data Source'!X116&gt;=2,"C",IF('Data Source'!X116&gt;=1,"D","F")))))),"")</f>
        <v/>
      </c>
      <c r="G116" s="3">
        <f>IF(AND('Data Source'!B116&lt;&gt;"",'Data Source'!S116="A+"),IF('Data Source'!Y116&gt;=5,"A+",IF('Data Source'!Y116&gt;=4,"A",IF('Data Source'!Y116&gt;=3.5,"A-",IF('Data Source'!Y116&gt;=3,"B",IF('Data Source'!Y116&gt;=2,"C",IF('Data Source'!Y116&gt;=1,"D","F")))))),"")</f>
        <v/>
      </c>
      <c r="H116" s="3">
        <f>IF(AND('Data Source'!B116&lt;&gt;"",'Data Source'!S116="A+"),IF('Data Source'!Z116&gt;=5,"A+",IF('Data Source'!Z116&gt;=4,"A",IF('Data Source'!Z116&gt;=3.5,"A-",IF('Data Source'!Z116&gt;=3,"B",IF('Data Source'!Z116&gt;=2,"C",IF('Data Source'!Z116&gt;=1,"D","F")))))),"")</f>
        <v/>
      </c>
      <c r="I116" s="3">
        <f>IF(AND('Data Source'!B116&lt;&gt;"",'Data Source'!S116="A+"),IF('Data Source'!AA116&gt;=5,"A+",IF('Data Source'!AA116&gt;=4,"A",IF('Data Source'!AA116&gt;=3.5,"A-",IF('Data Source'!AA116&gt;=3,"B",IF('Data Source'!AA116&gt;=2,"C",IF('Data Source'!AA116&gt;=1,"D","F")))))),"")</f>
        <v/>
      </c>
      <c r="J116" s="3">
        <f>IF(AND('Data Source'!B116&lt;&gt;"",'Data Source'!S116="A+"),IF('Data Source'!AB116&gt;=5,"A+",IF('Data Source'!AB116&gt;=4,"A",IF('Data Source'!AB116&gt;=3.5,"A-",IF('Data Source'!AB116&gt;=3,"B",IF('Data Source'!AB116&gt;=2,"C",IF('Data Source'!AB116&gt;=1,"D","F")))))),"")</f>
        <v/>
      </c>
      <c r="K116" s="3">
        <f>IF(AND('Data Source'!B116&lt;&gt;"",'Data Source'!S116="A+"),IF('Data Source'!AC116&gt;=5,"A+",IF('Data Source'!AC116&gt;=4,"A",IF('Data Source'!AC116&gt;=3.5,"A-",IF('Data Source'!AC116&gt;=3,"B",IF('Data Source'!AC116&gt;=2,"C",IF('Data Source'!AC116&gt;=1,"D","F")))))),"")</f>
        <v/>
      </c>
      <c r="L116" s="3">
        <f>IF(AND('Data Source'!B116&lt;&gt;"",'Data Source'!S116="A+"),IF('Data Source'!AD116&gt;=5,"A+",IF('Data Source'!AD116&gt;=4,"A",IF('Data Source'!AD116&gt;=3.5,"A-",IF('Data Source'!AD116&gt;=3,"B",IF('Data Source'!AD116&gt;=2,"C",IF('Data Source'!AD116&gt;=1,"D","F")))))),"")</f>
        <v/>
      </c>
      <c r="M116" s="3">
        <f>IF(AND('Data Source'!B116&lt;&gt;"",'Data Source'!S116="A+"),IF('Data Source'!AE116&gt;=5,"A+",IF('Data Source'!AE116&gt;=4,"A",IF('Data Source'!AE116&gt;=3.5,"A-",IF('Data Source'!AE116&gt;=3,"B",IF('Data Source'!AE116&gt;=2,"C",IF('Data Source'!AE116&gt;=1,"D","F")))))),"")</f>
        <v/>
      </c>
      <c r="N116" s="3">
        <f>IF(AND('Data Source'!B116&lt;&gt;"",'Data Source'!S116="A+"),IF('Data Source'!AF116&gt;=5,"A+",IF('Data Source'!AF116&gt;=4,"A",IF('Data Source'!AF116&gt;=3.5,"A-",IF('Data Source'!AF116&gt;=3,"B",IF('Data Source'!AF116&gt;=2,"C",IF('Data Source'!AF116&gt;=1,"D","F")))))),"")</f>
        <v/>
      </c>
      <c r="O116" s="3">
        <f>IF(AND('Data Source'!B116&lt;&gt;"",'Data Source'!S116="A+"),IF('Data Source'!AG116&gt;=5,"A+",IF('Data Source'!AG116&gt;=4,"A",IF('Data Source'!AG116&gt;=3.5,"A-",IF('Data Source'!AG116&gt;=3,"B",IF('Data Source'!AG116&gt;=2,"C",IF('Data Source'!AG116&gt;=1,"D","F")))))),"")</f>
        <v/>
      </c>
      <c r="P116" s="5">
        <f>IF(AND('Data Source'!B116&lt;&gt;"",'Data Source'!S116="A+"),'Data Source'!R116,"")</f>
        <v/>
      </c>
      <c r="Q116" s="3">
        <f>IF(AND('Data Source'!B116&lt;&gt;"",'Data Source'!S116="A+"),'Data Source'!S116,"")</f>
        <v/>
      </c>
    </row>
    <row r="117">
      <c r="A117" s="3">
        <f>IF(AND('Data Source'!B117&lt;&gt;"",'Data Source'!S117="A+"),COUNTIF('Data Source'!$S$3:S117,"A+"),"")</f>
        <v/>
      </c>
      <c r="B117">
        <f>IF(AND('Data Source'!B117&lt;&gt;"",'Data Source'!S117="A+"),'Data Source'!B117,"")</f>
        <v/>
      </c>
      <c r="C117" s="3">
        <f>IF(AND('Data Source'!B117&lt;&gt;"",'Data Source'!S117="A+"),IF('Data Source'!U117&gt;=5,"A+",IF('Data Source'!U117&gt;=4,"A",IF('Data Source'!U117&gt;=3.5,"A-",IF('Data Source'!U117&gt;=3,"B",IF('Data Source'!U117&gt;=2,"C",IF('Data Source'!U117&gt;=1,"D","F")))))),"")</f>
        <v/>
      </c>
      <c r="D117" s="3">
        <f>IF(AND('Data Source'!B117&lt;&gt;"",'Data Source'!S117="A+"),IF('Data Source'!V117&gt;=5,"A+",IF('Data Source'!V117&gt;=4,"A",IF('Data Source'!V117&gt;=3.5,"A-",IF('Data Source'!V117&gt;=3,"B",IF('Data Source'!V117&gt;=2,"C",IF('Data Source'!V117&gt;=1,"D","F")))))),"")</f>
        <v/>
      </c>
      <c r="E117" s="3">
        <f>IF(AND('Data Source'!B117&lt;&gt;"",'Data Source'!S117="A+"),IF('Data Source'!W117&gt;=5,"A+",IF('Data Source'!W117&gt;=4,"A",IF('Data Source'!W117&gt;=3.5,"A-",IF('Data Source'!W117&gt;=3,"B",IF('Data Source'!W117&gt;=2,"C",IF('Data Source'!W117&gt;=1,"D","F")))))),"")</f>
        <v/>
      </c>
      <c r="F117" s="3">
        <f>IF(AND('Data Source'!B117&lt;&gt;"",'Data Source'!S117="A+"),IF('Data Source'!X117&gt;=5,"A+",IF('Data Source'!X117&gt;=4,"A",IF('Data Source'!X117&gt;=3.5,"A-",IF('Data Source'!X117&gt;=3,"B",IF('Data Source'!X117&gt;=2,"C",IF('Data Source'!X117&gt;=1,"D","F")))))),"")</f>
        <v/>
      </c>
      <c r="G117" s="3">
        <f>IF(AND('Data Source'!B117&lt;&gt;"",'Data Source'!S117="A+"),IF('Data Source'!Y117&gt;=5,"A+",IF('Data Source'!Y117&gt;=4,"A",IF('Data Source'!Y117&gt;=3.5,"A-",IF('Data Source'!Y117&gt;=3,"B",IF('Data Source'!Y117&gt;=2,"C",IF('Data Source'!Y117&gt;=1,"D","F")))))),"")</f>
        <v/>
      </c>
      <c r="H117" s="3">
        <f>IF(AND('Data Source'!B117&lt;&gt;"",'Data Source'!S117="A+"),IF('Data Source'!Z117&gt;=5,"A+",IF('Data Source'!Z117&gt;=4,"A",IF('Data Source'!Z117&gt;=3.5,"A-",IF('Data Source'!Z117&gt;=3,"B",IF('Data Source'!Z117&gt;=2,"C",IF('Data Source'!Z117&gt;=1,"D","F")))))),"")</f>
        <v/>
      </c>
      <c r="I117" s="3">
        <f>IF(AND('Data Source'!B117&lt;&gt;"",'Data Source'!S117="A+"),IF('Data Source'!AA117&gt;=5,"A+",IF('Data Source'!AA117&gt;=4,"A",IF('Data Source'!AA117&gt;=3.5,"A-",IF('Data Source'!AA117&gt;=3,"B",IF('Data Source'!AA117&gt;=2,"C",IF('Data Source'!AA117&gt;=1,"D","F")))))),"")</f>
        <v/>
      </c>
      <c r="J117" s="3">
        <f>IF(AND('Data Source'!B117&lt;&gt;"",'Data Source'!S117="A+"),IF('Data Source'!AB117&gt;=5,"A+",IF('Data Source'!AB117&gt;=4,"A",IF('Data Source'!AB117&gt;=3.5,"A-",IF('Data Source'!AB117&gt;=3,"B",IF('Data Source'!AB117&gt;=2,"C",IF('Data Source'!AB117&gt;=1,"D","F")))))),"")</f>
        <v/>
      </c>
      <c r="K117" s="3">
        <f>IF(AND('Data Source'!B117&lt;&gt;"",'Data Source'!S117="A+"),IF('Data Source'!AC117&gt;=5,"A+",IF('Data Source'!AC117&gt;=4,"A",IF('Data Source'!AC117&gt;=3.5,"A-",IF('Data Source'!AC117&gt;=3,"B",IF('Data Source'!AC117&gt;=2,"C",IF('Data Source'!AC117&gt;=1,"D","F")))))),"")</f>
        <v/>
      </c>
      <c r="L117" s="3">
        <f>IF(AND('Data Source'!B117&lt;&gt;"",'Data Source'!S117="A+"),IF('Data Source'!AD117&gt;=5,"A+",IF('Data Source'!AD117&gt;=4,"A",IF('Data Source'!AD117&gt;=3.5,"A-",IF('Data Source'!AD117&gt;=3,"B",IF('Data Source'!AD117&gt;=2,"C",IF('Data Source'!AD117&gt;=1,"D","F")))))),"")</f>
        <v/>
      </c>
      <c r="M117" s="3">
        <f>IF(AND('Data Source'!B117&lt;&gt;"",'Data Source'!S117="A+"),IF('Data Source'!AE117&gt;=5,"A+",IF('Data Source'!AE117&gt;=4,"A",IF('Data Source'!AE117&gt;=3.5,"A-",IF('Data Source'!AE117&gt;=3,"B",IF('Data Source'!AE117&gt;=2,"C",IF('Data Source'!AE117&gt;=1,"D","F")))))),"")</f>
        <v/>
      </c>
      <c r="N117" s="3">
        <f>IF(AND('Data Source'!B117&lt;&gt;"",'Data Source'!S117="A+"),IF('Data Source'!AF117&gt;=5,"A+",IF('Data Source'!AF117&gt;=4,"A",IF('Data Source'!AF117&gt;=3.5,"A-",IF('Data Source'!AF117&gt;=3,"B",IF('Data Source'!AF117&gt;=2,"C",IF('Data Source'!AF117&gt;=1,"D","F")))))),"")</f>
        <v/>
      </c>
      <c r="O117" s="3">
        <f>IF(AND('Data Source'!B117&lt;&gt;"",'Data Source'!S117="A+"),IF('Data Source'!AG117&gt;=5,"A+",IF('Data Source'!AG117&gt;=4,"A",IF('Data Source'!AG117&gt;=3.5,"A-",IF('Data Source'!AG117&gt;=3,"B",IF('Data Source'!AG117&gt;=2,"C",IF('Data Source'!AG117&gt;=1,"D","F")))))),"")</f>
        <v/>
      </c>
      <c r="P117" s="5">
        <f>IF(AND('Data Source'!B117&lt;&gt;"",'Data Source'!S117="A+"),'Data Source'!R117,"")</f>
        <v/>
      </c>
      <c r="Q117" s="3">
        <f>IF(AND('Data Source'!B117&lt;&gt;"",'Data Source'!S117="A+"),'Data Source'!S117,"")</f>
        <v/>
      </c>
    </row>
    <row r="118">
      <c r="A118" s="3">
        <f>IF(AND('Data Source'!B118&lt;&gt;"",'Data Source'!S118="A+"),COUNTIF('Data Source'!$S$3:S118,"A+"),"")</f>
        <v/>
      </c>
      <c r="B118">
        <f>IF(AND('Data Source'!B118&lt;&gt;"",'Data Source'!S118="A+"),'Data Source'!B118,"")</f>
        <v/>
      </c>
      <c r="C118" s="3">
        <f>IF(AND('Data Source'!B118&lt;&gt;"",'Data Source'!S118="A+"),IF('Data Source'!U118&gt;=5,"A+",IF('Data Source'!U118&gt;=4,"A",IF('Data Source'!U118&gt;=3.5,"A-",IF('Data Source'!U118&gt;=3,"B",IF('Data Source'!U118&gt;=2,"C",IF('Data Source'!U118&gt;=1,"D","F")))))),"")</f>
        <v/>
      </c>
      <c r="D118" s="3">
        <f>IF(AND('Data Source'!B118&lt;&gt;"",'Data Source'!S118="A+"),IF('Data Source'!V118&gt;=5,"A+",IF('Data Source'!V118&gt;=4,"A",IF('Data Source'!V118&gt;=3.5,"A-",IF('Data Source'!V118&gt;=3,"B",IF('Data Source'!V118&gt;=2,"C",IF('Data Source'!V118&gt;=1,"D","F")))))),"")</f>
        <v/>
      </c>
      <c r="E118" s="3">
        <f>IF(AND('Data Source'!B118&lt;&gt;"",'Data Source'!S118="A+"),IF('Data Source'!W118&gt;=5,"A+",IF('Data Source'!W118&gt;=4,"A",IF('Data Source'!W118&gt;=3.5,"A-",IF('Data Source'!W118&gt;=3,"B",IF('Data Source'!W118&gt;=2,"C",IF('Data Source'!W118&gt;=1,"D","F")))))),"")</f>
        <v/>
      </c>
      <c r="F118" s="3">
        <f>IF(AND('Data Source'!B118&lt;&gt;"",'Data Source'!S118="A+"),IF('Data Source'!X118&gt;=5,"A+",IF('Data Source'!X118&gt;=4,"A",IF('Data Source'!X118&gt;=3.5,"A-",IF('Data Source'!X118&gt;=3,"B",IF('Data Source'!X118&gt;=2,"C",IF('Data Source'!X118&gt;=1,"D","F")))))),"")</f>
        <v/>
      </c>
      <c r="G118" s="3">
        <f>IF(AND('Data Source'!B118&lt;&gt;"",'Data Source'!S118="A+"),IF('Data Source'!Y118&gt;=5,"A+",IF('Data Source'!Y118&gt;=4,"A",IF('Data Source'!Y118&gt;=3.5,"A-",IF('Data Source'!Y118&gt;=3,"B",IF('Data Source'!Y118&gt;=2,"C",IF('Data Source'!Y118&gt;=1,"D","F")))))),"")</f>
        <v/>
      </c>
      <c r="H118" s="3">
        <f>IF(AND('Data Source'!B118&lt;&gt;"",'Data Source'!S118="A+"),IF('Data Source'!Z118&gt;=5,"A+",IF('Data Source'!Z118&gt;=4,"A",IF('Data Source'!Z118&gt;=3.5,"A-",IF('Data Source'!Z118&gt;=3,"B",IF('Data Source'!Z118&gt;=2,"C",IF('Data Source'!Z118&gt;=1,"D","F")))))),"")</f>
        <v/>
      </c>
      <c r="I118" s="3">
        <f>IF(AND('Data Source'!B118&lt;&gt;"",'Data Source'!S118="A+"),IF('Data Source'!AA118&gt;=5,"A+",IF('Data Source'!AA118&gt;=4,"A",IF('Data Source'!AA118&gt;=3.5,"A-",IF('Data Source'!AA118&gt;=3,"B",IF('Data Source'!AA118&gt;=2,"C",IF('Data Source'!AA118&gt;=1,"D","F")))))),"")</f>
        <v/>
      </c>
      <c r="J118" s="3">
        <f>IF(AND('Data Source'!B118&lt;&gt;"",'Data Source'!S118="A+"),IF('Data Source'!AB118&gt;=5,"A+",IF('Data Source'!AB118&gt;=4,"A",IF('Data Source'!AB118&gt;=3.5,"A-",IF('Data Source'!AB118&gt;=3,"B",IF('Data Source'!AB118&gt;=2,"C",IF('Data Source'!AB118&gt;=1,"D","F")))))),"")</f>
        <v/>
      </c>
      <c r="K118" s="3">
        <f>IF(AND('Data Source'!B118&lt;&gt;"",'Data Source'!S118="A+"),IF('Data Source'!AC118&gt;=5,"A+",IF('Data Source'!AC118&gt;=4,"A",IF('Data Source'!AC118&gt;=3.5,"A-",IF('Data Source'!AC118&gt;=3,"B",IF('Data Source'!AC118&gt;=2,"C",IF('Data Source'!AC118&gt;=1,"D","F")))))),"")</f>
        <v/>
      </c>
      <c r="L118" s="3">
        <f>IF(AND('Data Source'!B118&lt;&gt;"",'Data Source'!S118="A+"),IF('Data Source'!AD118&gt;=5,"A+",IF('Data Source'!AD118&gt;=4,"A",IF('Data Source'!AD118&gt;=3.5,"A-",IF('Data Source'!AD118&gt;=3,"B",IF('Data Source'!AD118&gt;=2,"C",IF('Data Source'!AD118&gt;=1,"D","F")))))),"")</f>
        <v/>
      </c>
      <c r="M118" s="3">
        <f>IF(AND('Data Source'!B118&lt;&gt;"",'Data Source'!S118="A+"),IF('Data Source'!AE118&gt;=5,"A+",IF('Data Source'!AE118&gt;=4,"A",IF('Data Source'!AE118&gt;=3.5,"A-",IF('Data Source'!AE118&gt;=3,"B",IF('Data Source'!AE118&gt;=2,"C",IF('Data Source'!AE118&gt;=1,"D","F")))))),"")</f>
        <v/>
      </c>
      <c r="N118" s="3">
        <f>IF(AND('Data Source'!B118&lt;&gt;"",'Data Source'!S118="A+"),IF('Data Source'!AF118&gt;=5,"A+",IF('Data Source'!AF118&gt;=4,"A",IF('Data Source'!AF118&gt;=3.5,"A-",IF('Data Source'!AF118&gt;=3,"B",IF('Data Source'!AF118&gt;=2,"C",IF('Data Source'!AF118&gt;=1,"D","F")))))),"")</f>
        <v/>
      </c>
      <c r="O118" s="3">
        <f>IF(AND('Data Source'!B118&lt;&gt;"",'Data Source'!S118="A+"),IF('Data Source'!AG118&gt;=5,"A+",IF('Data Source'!AG118&gt;=4,"A",IF('Data Source'!AG118&gt;=3.5,"A-",IF('Data Source'!AG118&gt;=3,"B",IF('Data Source'!AG118&gt;=2,"C",IF('Data Source'!AG118&gt;=1,"D","F")))))),"")</f>
        <v/>
      </c>
      <c r="P118" s="5">
        <f>IF(AND('Data Source'!B118&lt;&gt;"",'Data Source'!S118="A+"),'Data Source'!R118,"")</f>
        <v/>
      </c>
      <c r="Q118" s="3">
        <f>IF(AND('Data Source'!B118&lt;&gt;"",'Data Source'!S118="A+"),'Data Source'!S118,"")</f>
        <v/>
      </c>
    </row>
    <row r="119">
      <c r="A119" s="3">
        <f>IF(AND('Data Source'!B119&lt;&gt;"",'Data Source'!S119="A+"),COUNTIF('Data Source'!$S$3:S119,"A+"),"")</f>
        <v/>
      </c>
      <c r="B119">
        <f>IF(AND('Data Source'!B119&lt;&gt;"",'Data Source'!S119="A+"),'Data Source'!B119,"")</f>
        <v/>
      </c>
      <c r="C119" s="3">
        <f>IF(AND('Data Source'!B119&lt;&gt;"",'Data Source'!S119="A+"),IF('Data Source'!U119&gt;=5,"A+",IF('Data Source'!U119&gt;=4,"A",IF('Data Source'!U119&gt;=3.5,"A-",IF('Data Source'!U119&gt;=3,"B",IF('Data Source'!U119&gt;=2,"C",IF('Data Source'!U119&gt;=1,"D","F")))))),"")</f>
        <v/>
      </c>
      <c r="D119" s="3">
        <f>IF(AND('Data Source'!B119&lt;&gt;"",'Data Source'!S119="A+"),IF('Data Source'!V119&gt;=5,"A+",IF('Data Source'!V119&gt;=4,"A",IF('Data Source'!V119&gt;=3.5,"A-",IF('Data Source'!V119&gt;=3,"B",IF('Data Source'!V119&gt;=2,"C",IF('Data Source'!V119&gt;=1,"D","F")))))),"")</f>
        <v/>
      </c>
      <c r="E119" s="3">
        <f>IF(AND('Data Source'!B119&lt;&gt;"",'Data Source'!S119="A+"),IF('Data Source'!W119&gt;=5,"A+",IF('Data Source'!W119&gt;=4,"A",IF('Data Source'!W119&gt;=3.5,"A-",IF('Data Source'!W119&gt;=3,"B",IF('Data Source'!W119&gt;=2,"C",IF('Data Source'!W119&gt;=1,"D","F")))))),"")</f>
        <v/>
      </c>
      <c r="F119" s="3">
        <f>IF(AND('Data Source'!B119&lt;&gt;"",'Data Source'!S119="A+"),IF('Data Source'!X119&gt;=5,"A+",IF('Data Source'!X119&gt;=4,"A",IF('Data Source'!X119&gt;=3.5,"A-",IF('Data Source'!X119&gt;=3,"B",IF('Data Source'!X119&gt;=2,"C",IF('Data Source'!X119&gt;=1,"D","F")))))),"")</f>
        <v/>
      </c>
      <c r="G119" s="3">
        <f>IF(AND('Data Source'!B119&lt;&gt;"",'Data Source'!S119="A+"),IF('Data Source'!Y119&gt;=5,"A+",IF('Data Source'!Y119&gt;=4,"A",IF('Data Source'!Y119&gt;=3.5,"A-",IF('Data Source'!Y119&gt;=3,"B",IF('Data Source'!Y119&gt;=2,"C",IF('Data Source'!Y119&gt;=1,"D","F")))))),"")</f>
        <v/>
      </c>
      <c r="H119" s="3">
        <f>IF(AND('Data Source'!B119&lt;&gt;"",'Data Source'!S119="A+"),IF('Data Source'!Z119&gt;=5,"A+",IF('Data Source'!Z119&gt;=4,"A",IF('Data Source'!Z119&gt;=3.5,"A-",IF('Data Source'!Z119&gt;=3,"B",IF('Data Source'!Z119&gt;=2,"C",IF('Data Source'!Z119&gt;=1,"D","F")))))),"")</f>
        <v/>
      </c>
      <c r="I119" s="3">
        <f>IF(AND('Data Source'!B119&lt;&gt;"",'Data Source'!S119="A+"),IF('Data Source'!AA119&gt;=5,"A+",IF('Data Source'!AA119&gt;=4,"A",IF('Data Source'!AA119&gt;=3.5,"A-",IF('Data Source'!AA119&gt;=3,"B",IF('Data Source'!AA119&gt;=2,"C",IF('Data Source'!AA119&gt;=1,"D","F")))))),"")</f>
        <v/>
      </c>
      <c r="J119" s="3">
        <f>IF(AND('Data Source'!B119&lt;&gt;"",'Data Source'!S119="A+"),IF('Data Source'!AB119&gt;=5,"A+",IF('Data Source'!AB119&gt;=4,"A",IF('Data Source'!AB119&gt;=3.5,"A-",IF('Data Source'!AB119&gt;=3,"B",IF('Data Source'!AB119&gt;=2,"C",IF('Data Source'!AB119&gt;=1,"D","F")))))),"")</f>
        <v/>
      </c>
      <c r="K119" s="3">
        <f>IF(AND('Data Source'!B119&lt;&gt;"",'Data Source'!S119="A+"),IF('Data Source'!AC119&gt;=5,"A+",IF('Data Source'!AC119&gt;=4,"A",IF('Data Source'!AC119&gt;=3.5,"A-",IF('Data Source'!AC119&gt;=3,"B",IF('Data Source'!AC119&gt;=2,"C",IF('Data Source'!AC119&gt;=1,"D","F")))))),"")</f>
        <v/>
      </c>
      <c r="L119" s="3">
        <f>IF(AND('Data Source'!B119&lt;&gt;"",'Data Source'!S119="A+"),IF('Data Source'!AD119&gt;=5,"A+",IF('Data Source'!AD119&gt;=4,"A",IF('Data Source'!AD119&gt;=3.5,"A-",IF('Data Source'!AD119&gt;=3,"B",IF('Data Source'!AD119&gt;=2,"C",IF('Data Source'!AD119&gt;=1,"D","F")))))),"")</f>
        <v/>
      </c>
      <c r="M119" s="3">
        <f>IF(AND('Data Source'!B119&lt;&gt;"",'Data Source'!S119="A+"),IF('Data Source'!AE119&gt;=5,"A+",IF('Data Source'!AE119&gt;=4,"A",IF('Data Source'!AE119&gt;=3.5,"A-",IF('Data Source'!AE119&gt;=3,"B",IF('Data Source'!AE119&gt;=2,"C",IF('Data Source'!AE119&gt;=1,"D","F")))))),"")</f>
        <v/>
      </c>
      <c r="N119" s="3">
        <f>IF(AND('Data Source'!B119&lt;&gt;"",'Data Source'!S119="A+"),IF('Data Source'!AF119&gt;=5,"A+",IF('Data Source'!AF119&gt;=4,"A",IF('Data Source'!AF119&gt;=3.5,"A-",IF('Data Source'!AF119&gt;=3,"B",IF('Data Source'!AF119&gt;=2,"C",IF('Data Source'!AF119&gt;=1,"D","F")))))),"")</f>
        <v/>
      </c>
      <c r="O119" s="3">
        <f>IF(AND('Data Source'!B119&lt;&gt;"",'Data Source'!S119="A+"),IF('Data Source'!AG119&gt;=5,"A+",IF('Data Source'!AG119&gt;=4,"A",IF('Data Source'!AG119&gt;=3.5,"A-",IF('Data Source'!AG119&gt;=3,"B",IF('Data Source'!AG119&gt;=2,"C",IF('Data Source'!AG119&gt;=1,"D","F")))))),"")</f>
        <v/>
      </c>
      <c r="P119" s="5">
        <f>IF(AND('Data Source'!B119&lt;&gt;"",'Data Source'!S119="A+"),'Data Source'!R119,"")</f>
        <v/>
      </c>
      <c r="Q119" s="3">
        <f>IF(AND('Data Source'!B119&lt;&gt;"",'Data Source'!S119="A+"),'Data Source'!S119,"")</f>
        <v/>
      </c>
    </row>
    <row r="120">
      <c r="A120" s="3">
        <f>IF(AND('Data Source'!B120&lt;&gt;"",'Data Source'!S120="A+"),COUNTIF('Data Source'!$S$3:S120,"A+"),"")</f>
        <v/>
      </c>
      <c r="B120">
        <f>IF(AND('Data Source'!B120&lt;&gt;"",'Data Source'!S120="A+"),'Data Source'!B120,"")</f>
        <v/>
      </c>
      <c r="C120" s="3">
        <f>IF(AND('Data Source'!B120&lt;&gt;"",'Data Source'!S120="A+"),IF('Data Source'!U120&gt;=5,"A+",IF('Data Source'!U120&gt;=4,"A",IF('Data Source'!U120&gt;=3.5,"A-",IF('Data Source'!U120&gt;=3,"B",IF('Data Source'!U120&gt;=2,"C",IF('Data Source'!U120&gt;=1,"D","F")))))),"")</f>
        <v/>
      </c>
      <c r="D120" s="3">
        <f>IF(AND('Data Source'!B120&lt;&gt;"",'Data Source'!S120="A+"),IF('Data Source'!V120&gt;=5,"A+",IF('Data Source'!V120&gt;=4,"A",IF('Data Source'!V120&gt;=3.5,"A-",IF('Data Source'!V120&gt;=3,"B",IF('Data Source'!V120&gt;=2,"C",IF('Data Source'!V120&gt;=1,"D","F")))))),"")</f>
        <v/>
      </c>
      <c r="E120" s="3">
        <f>IF(AND('Data Source'!B120&lt;&gt;"",'Data Source'!S120="A+"),IF('Data Source'!W120&gt;=5,"A+",IF('Data Source'!W120&gt;=4,"A",IF('Data Source'!W120&gt;=3.5,"A-",IF('Data Source'!W120&gt;=3,"B",IF('Data Source'!W120&gt;=2,"C",IF('Data Source'!W120&gt;=1,"D","F")))))),"")</f>
        <v/>
      </c>
      <c r="F120" s="3">
        <f>IF(AND('Data Source'!B120&lt;&gt;"",'Data Source'!S120="A+"),IF('Data Source'!X120&gt;=5,"A+",IF('Data Source'!X120&gt;=4,"A",IF('Data Source'!X120&gt;=3.5,"A-",IF('Data Source'!X120&gt;=3,"B",IF('Data Source'!X120&gt;=2,"C",IF('Data Source'!X120&gt;=1,"D","F")))))),"")</f>
        <v/>
      </c>
      <c r="G120" s="3">
        <f>IF(AND('Data Source'!B120&lt;&gt;"",'Data Source'!S120="A+"),IF('Data Source'!Y120&gt;=5,"A+",IF('Data Source'!Y120&gt;=4,"A",IF('Data Source'!Y120&gt;=3.5,"A-",IF('Data Source'!Y120&gt;=3,"B",IF('Data Source'!Y120&gt;=2,"C",IF('Data Source'!Y120&gt;=1,"D","F")))))),"")</f>
        <v/>
      </c>
      <c r="H120" s="3">
        <f>IF(AND('Data Source'!B120&lt;&gt;"",'Data Source'!S120="A+"),IF('Data Source'!Z120&gt;=5,"A+",IF('Data Source'!Z120&gt;=4,"A",IF('Data Source'!Z120&gt;=3.5,"A-",IF('Data Source'!Z120&gt;=3,"B",IF('Data Source'!Z120&gt;=2,"C",IF('Data Source'!Z120&gt;=1,"D","F")))))),"")</f>
        <v/>
      </c>
      <c r="I120" s="3">
        <f>IF(AND('Data Source'!B120&lt;&gt;"",'Data Source'!S120="A+"),IF('Data Source'!AA120&gt;=5,"A+",IF('Data Source'!AA120&gt;=4,"A",IF('Data Source'!AA120&gt;=3.5,"A-",IF('Data Source'!AA120&gt;=3,"B",IF('Data Source'!AA120&gt;=2,"C",IF('Data Source'!AA120&gt;=1,"D","F")))))),"")</f>
        <v/>
      </c>
      <c r="J120" s="3">
        <f>IF(AND('Data Source'!B120&lt;&gt;"",'Data Source'!S120="A+"),IF('Data Source'!AB120&gt;=5,"A+",IF('Data Source'!AB120&gt;=4,"A",IF('Data Source'!AB120&gt;=3.5,"A-",IF('Data Source'!AB120&gt;=3,"B",IF('Data Source'!AB120&gt;=2,"C",IF('Data Source'!AB120&gt;=1,"D","F")))))),"")</f>
        <v/>
      </c>
      <c r="K120" s="3">
        <f>IF(AND('Data Source'!B120&lt;&gt;"",'Data Source'!S120="A+"),IF('Data Source'!AC120&gt;=5,"A+",IF('Data Source'!AC120&gt;=4,"A",IF('Data Source'!AC120&gt;=3.5,"A-",IF('Data Source'!AC120&gt;=3,"B",IF('Data Source'!AC120&gt;=2,"C",IF('Data Source'!AC120&gt;=1,"D","F")))))),"")</f>
        <v/>
      </c>
      <c r="L120" s="3">
        <f>IF(AND('Data Source'!B120&lt;&gt;"",'Data Source'!S120="A+"),IF('Data Source'!AD120&gt;=5,"A+",IF('Data Source'!AD120&gt;=4,"A",IF('Data Source'!AD120&gt;=3.5,"A-",IF('Data Source'!AD120&gt;=3,"B",IF('Data Source'!AD120&gt;=2,"C",IF('Data Source'!AD120&gt;=1,"D","F")))))),"")</f>
        <v/>
      </c>
      <c r="M120" s="3">
        <f>IF(AND('Data Source'!B120&lt;&gt;"",'Data Source'!S120="A+"),IF('Data Source'!AE120&gt;=5,"A+",IF('Data Source'!AE120&gt;=4,"A",IF('Data Source'!AE120&gt;=3.5,"A-",IF('Data Source'!AE120&gt;=3,"B",IF('Data Source'!AE120&gt;=2,"C",IF('Data Source'!AE120&gt;=1,"D","F")))))),"")</f>
        <v/>
      </c>
      <c r="N120" s="3">
        <f>IF(AND('Data Source'!B120&lt;&gt;"",'Data Source'!S120="A+"),IF('Data Source'!AF120&gt;=5,"A+",IF('Data Source'!AF120&gt;=4,"A",IF('Data Source'!AF120&gt;=3.5,"A-",IF('Data Source'!AF120&gt;=3,"B",IF('Data Source'!AF120&gt;=2,"C",IF('Data Source'!AF120&gt;=1,"D","F")))))),"")</f>
        <v/>
      </c>
      <c r="O120" s="3">
        <f>IF(AND('Data Source'!B120&lt;&gt;"",'Data Source'!S120="A+"),IF('Data Source'!AG120&gt;=5,"A+",IF('Data Source'!AG120&gt;=4,"A",IF('Data Source'!AG120&gt;=3.5,"A-",IF('Data Source'!AG120&gt;=3,"B",IF('Data Source'!AG120&gt;=2,"C",IF('Data Source'!AG120&gt;=1,"D","F")))))),"")</f>
        <v/>
      </c>
      <c r="P120" s="5">
        <f>IF(AND('Data Source'!B120&lt;&gt;"",'Data Source'!S120="A+"),'Data Source'!R120,"")</f>
        <v/>
      </c>
      <c r="Q120" s="3">
        <f>IF(AND('Data Source'!B120&lt;&gt;"",'Data Source'!S120="A+"),'Data Source'!S120,"")</f>
        <v/>
      </c>
    </row>
    <row r="121">
      <c r="A121" s="3">
        <f>IF(AND('Data Source'!B121&lt;&gt;"",'Data Source'!S121="A+"),COUNTIF('Data Source'!$S$3:S121,"A+"),"")</f>
        <v/>
      </c>
      <c r="B121">
        <f>IF(AND('Data Source'!B121&lt;&gt;"",'Data Source'!S121="A+"),'Data Source'!B121,"")</f>
        <v/>
      </c>
      <c r="C121" s="3">
        <f>IF(AND('Data Source'!B121&lt;&gt;"",'Data Source'!S121="A+"),IF('Data Source'!U121&gt;=5,"A+",IF('Data Source'!U121&gt;=4,"A",IF('Data Source'!U121&gt;=3.5,"A-",IF('Data Source'!U121&gt;=3,"B",IF('Data Source'!U121&gt;=2,"C",IF('Data Source'!U121&gt;=1,"D","F")))))),"")</f>
        <v/>
      </c>
      <c r="D121" s="3">
        <f>IF(AND('Data Source'!B121&lt;&gt;"",'Data Source'!S121="A+"),IF('Data Source'!V121&gt;=5,"A+",IF('Data Source'!V121&gt;=4,"A",IF('Data Source'!V121&gt;=3.5,"A-",IF('Data Source'!V121&gt;=3,"B",IF('Data Source'!V121&gt;=2,"C",IF('Data Source'!V121&gt;=1,"D","F")))))),"")</f>
        <v/>
      </c>
      <c r="E121" s="3">
        <f>IF(AND('Data Source'!B121&lt;&gt;"",'Data Source'!S121="A+"),IF('Data Source'!W121&gt;=5,"A+",IF('Data Source'!W121&gt;=4,"A",IF('Data Source'!W121&gt;=3.5,"A-",IF('Data Source'!W121&gt;=3,"B",IF('Data Source'!W121&gt;=2,"C",IF('Data Source'!W121&gt;=1,"D","F")))))),"")</f>
        <v/>
      </c>
      <c r="F121" s="3">
        <f>IF(AND('Data Source'!B121&lt;&gt;"",'Data Source'!S121="A+"),IF('Data Source'!X121&gt;=5,"A+",IF('Data Source'!X121&gt;=4,"A",IF('Data Source'!X121&gt;=3.5,"A-",IF('Data Source'!X121&gt;=3,"B",IF('Data Source'!X121&gt;=2,"C",IF('Data Source'!X121&gt;=1,"D","F")))))),"")</f>
        <v/>
      </c>
      <c r="G121" s="3">
        <f>IF(AND('Data Source'!B121&lt;&gt;"",'Data Source'!S121="A+"),IF('Data Source'!Y121&gt;=5,"A+",IF('Data Source'!Y121&gt;=4,"A",IF('Data Source'!Y121&gt;=3.5,"A-",IF('Data Source'!Y121&gt;=3,"B",IF('Data Source'!Y121&gt;=2,"C",IF('Data Source'!Y121&gt;=1,"D","F")))))),"")</f>
        <v/>
      </c>
      <c r="H121" s="3">
        <f>IF(AND('Data Source'!B121&lt;&gt;"",'Data Source'!S121="A+"),IF('Data Source'!Z121&gt;=5,"A+",IF('Data Source'!Z121&gt;=4,"A",IF('Data Source'!Z121&gt;=3.5,"A-",IF('Data Source'!Z121&gt;=3,"B",IF('Data Source'!Z121&gt;=2,"C",IF('Data Source'!Z121&gt;=1,"D","F")))))),"")</f>
        <v/>
      </c>
      <c r="I121" s="3">
        <f>IF(AND('Data Source'!B121&lt;&gt;"",'Data Source'!S121="A+"),IF('Data Source'!AA121&gt;=5,"A+",IF('Data Source'!AA121&gt;=4,"A",IF('Data Source'!AA121&gt;=3.5,"A-",IF('Data Source'!AA121&gt;=3,"B",IF('Data Source'!AA121&gt;=2,"C",IF('Data Source'!AA121&gt;=1,"D","F")))))),"")</f>
        <v/>
      </c>
      <c r="J121" s="3">
        <f>IF(AND('Data Source'!B121&lt;&gt;"",'Data Source'!S121="A+"),IF('Data Source'!AB121&gt;=5,"A+",IF('Data Source'!AB121&gt;=4,"A",IF('Data Source'!AB121&gt;=3.5,"A-",IF('Data Source'!AB121&gt;=3,"B",IF('Data Source'!AB121&gt;=2,"C",IF('Data Source'!AB121&gt;=1,"D","F")))))),"")</f>
        <v/>
      </c>
      <c r="K121" s="3">
        <f>IF(AND('Data Source'!B121&lt;&gt;"",'Data Source'!S121="A+"),IF('Data Source'!AC121&gt;=5,"A+",IF('Data Source'!AC121&gt;=4,"A",IF('Data Source'!AC121&gt;=3.5,"A-",IF('Data Source'!AC121&gt;=3,"B",IF('Data Source'!AC121&gt;=2,"C",IF('Data Source'!AC121&gt;=1,"D","F")))))),"")</f>
        <v/>
      </c>
      <c r="L121" s="3">
        <f>IF(AND('Data Source'!B121&lt;&gt;"",'Data Source'!S121="A+"),IF('Data Source'!AD121&gt;=5,"A+",IF('Data Source'!AD121&gt;=4,"A",IF('Data Source'!AD121&gt;=3.5,"A-",IF('Data Source'!AD121&gt;=3,"B",IF('Data Source'!AD121&gt;=2,"C",IF('Data Source'!AD121&gt;=1,"D","F")))))),"")</f>
        <v/>
      </c>
      <c r="M121" s="3">
        <f>IF(AND('Data Source'!B121&lt;&gt;"",'Data Source'!S121="A+"),IF('Data Source'!AE121&gt;=5,"A+",IF('Data Source'!AE121&gt;=4,"A",IF('Data Source'!AE121&gt;=3.5,"A-",IF('Data Source'!AE121&gt;=3,"B",IF('Data Source'!AE121&gt;=2,"C",IF('Data Source'!AE121&gt;=1,"D","F")))))),"")</f>
        <v/>
      </c>
      <c r="N121" s="3">
        <f>IF(AND('Data Source'!B121&lt;&gt;"",'Data Source'!S121="A+"),IF('Data Source'!AF121&gt;=5,"A+",IF('Data Source'!AF121&gt;=4,"A",IF('Data Source'!AF121&gt;=3.5,"A-",IF('Data Source'!AF121&gt;=3,"B",IF('Data Source'!AF121&gt;=2,"C",IF('Data Source'!AF121&gt;=1,"D","F")))))),"")</f>
        <v/>
      </c>
      <c r="O121" s="3">
        <f>IF(AND('Data Source'!B121&lt;&gt;"",'Data Source'!S121="A+"),IF('Data Source'!AG121&gt;=5,"A+",IF('Data Source'!AG121&gt;=4,"A",IF('Data Source'!AG121&gt;=3.5,"A-",IF('Data Source'!AG121&gt;=3,"B",IF('Data Source'!AG121&gt;=2,"C",IF('Data Source'!AG121&gt;=1,"D","F")))))),"")</f>
        <v/>
      </c>
      <c r="P121" s="5">
        <f>IF(AND('Data Source'!B121&lt;&gt;"",'Data Source'!S121="A+"),'Data Source'!R121,"")</f>
        <v/>
      </c>
      <c r="Q121" s="3">
        <f>IF(AND('Data Source'!B121&lt;&gt;"",'Data Source'!S121="A+"),'Data Source'!S121,"")</f>
        <v/>
      </c>
    </row>
    <row r="122">
      <c r="A122" s="3">
        <f>IF(AND('Data Source'!B122&lt;&gt;"",'Data Source'!S122="A+"),COUNTIF('Data Source'!$S$3:S122,"A+"),"")</f>
        <v/>
      </c>
      <c r="B122">
        <f>IF(AND('Data Source'!B122&lt;&gt;"",'Data Source'!S122="A+"),'Data Source'!B122,"")</f>
        <v/>
      </c>
      <c r="C122" s="3">
        <f>IF(AND('Data Source'!B122&lt;&gt;"",'Data Source'!S122="A+"),IF('Data Source'!U122&gt;=5,"A+",IF('Data Source'!U122&gt;=4,"A",IF('Data Source'!U122&gt;=3.5,"A-",IF('Data Source'!U122&gt;=3,"B",IF('Data Source'!U122&gt;=2,"C",IF('Data Source'!U122&gt;=1,"D","F")))))),"")</f>
        <v/>
      </c>
      <c r="D122" s="3">
        <f>IF(AND('Data Source'!B122&lt;&gt;"",'Data Source'!S122="A+"),IF('Data Source'!V122&gt;=5,"A+",IF('Data Source'!V122&gt;=4,"A",IF('Data Source'!V122&gt;=3.5,"A-",IF('Data Source'!V122&gt;=3,"B",IF('Data Source'!V122&gt;=2,"C",IF('Data Source'!V122&gt;=1,"D","F")))))),"")</f>
        <v/>
      </c>
      <c r="E122" s="3">
        <f>IF(AND('Data Source'!B122&lt;&gt;"",'Data Source'!S122="A+"),IF('Data Source'!W122&gt;=5,"A+",IF('Data Source'!W122&gt;=4,"A",IF('Data Source'!W122&gt;=3.5,"A-",IF('Data Source'!W122&gt;=3,"B",IF('Data Source'!W122&gt;=2,"C",IF('Data Source'!W122&gt;=1,"D","F")))))),"")</f>
        <v/>
      </c>
      <c r="F122" s="3">
        <f>IF(AND('Data Source'!B122&lt;&gt;"",'Data Source'!S122="A+"),IF('Data Source'!X122&gt;=5,"A+",IF('Data Source'!X122&gt;=4,"A",IF('Data Source'!X122&gt;=3.5,"A-",IF('Data Source'!X122&gt;=3,"B",IF('Data Source'!X122&gt;=2,"C",IF('Data Source'!X122&gt;=1,"D","F")))))),"")</f>
        <v/>
      </c>
      <c r="G122" s="3">
        <f>IF(AND('Data Source'!B122&lt;&gt;"",'Data Source'!S122="A+"),IF('Data Source'!Y122&gt;=5,"A+",IF('Data Source'!Y122&gt;=4,"A",IF('Data Source'!Y122&gt;=3.5,"A-",IF('Data Source'!Y122&gt;=3,"B",IF('Data Source'!Y122&gt;=2,"C",IF('Data Source'!Y122&gt;=1,"D","F")))))),"")</f>
        <v/>
      </c>
      <c r="H122" s="3">
        <f>IF(AND('Data Source'!B122&lt;&gt;"",'Data Source'!S122="A+"),IF('Data Source'!Z122&gt;=5,"A+",IF('Data Source'!Z122&gt;=4,"A",IF('Data Source'!Z122&gt;=3.5,"A-",IF('Data Source'!Z122&gt;=3,"B",IF('Data Source'!Z122&gt;=2,"C",IF('Data Source'!Z122&gt;=1,"D","F")))))),"")</f>
        <v/>
      </c>
      <c r="I122" s="3">
        <f>IF(AND('Data Source'!B122&lt;&gt;"",'Data Source'!S122="A+"),IF('Data Source'!AA122&gt;=5,"A+",IF('Data Source'!AA122&gt;=4,"A",IF('Data Source'!AA122&gt;=3.5,"A-",IF('Data Source'!AA122&gt;=3,"B",IF('Data Source'!AA122&gt;=2,"C",IF('Data Source'!AA122&gt;=1,"D","F")))))),"")</f>
        <v/>
      </c>
      <c r="J122" s="3">
        <f>IF(AND('Data Source'!B122&lt;&gt;"",'Data Source'!S122="A+"),IF('Data Source'!AB122&gt;=5,"A+",IF('Data Source'!AB122&gt;=4,"A",IF('Data Source'!AB122&gt;=3.5,"A-",IF('Data Source'!AB122&gt;=3,"B",IF('Data Source'!AB122&gt;=2,"C",IF('Data Source'!AB122&gt;=1,"D","F")))))),"")</f>
        <v/>
      </c>
      <c r="K122" s="3">
        <f>IF(AND('Data Source'!B122&lt;&gt;"",'Data Source'!S122="A+"),IF('Data Source'!AC122&gt;=5,"A+",IF('Data Source'!AC122&gt;=4,"A",IF('Data Source'!AC122&gt;=3.5,"A-",IF('Data Source'!AC122&gt;=3,"B",IF('Data Source'!AC122&gt;=2,"C",IF('Data Source'!AC122&gt;=1,"D","F")))))),"")</f>
        <v/>
      </c>
      <c r="L122" s="3">
        <f>IF(AND('Data Source'!B122&lt;&gt;"",'Data Source'!S122="A+"),IF('Data Source'!AD122&gt;=5,"A+",IF('Data Source'!AD122&gt;=4,"A",IF('Data Source'!AD122&gt;=3.5,"A-",IF('Data Source'!AD122&gt;=3,"B",IF('Data Source'!AD122&gt;=2,"C",IF('Data Source'!AD122&gt;=1,"D","F")))))),"")</f>
        <v/>
      </c>
      <c r="M122" s="3">
        <f>IF(AND('Data Source'!B122&lt;&gt;"",'Data Source'!S122="A+"),IF('Data Source'!AE122&gt;=5,"A+",IF('Data Source'!AE122&gt;=4,"A",IF('Data Source'!AE122&gt;=3.5,"A-",IF('Data Source'!AE122&gt;=3,"B",IF('Data Source'!AE122&gt;=2,"C",IF('Data Source'!AE122&gt;=1,"D","F")))))),"")</f>
        <v/>
      </c>
      <c r="N122" s="3">
        <f>IF(AND('Data Source'!B122&lt;&gt;"",'Data Source'!S122="A+"),IF('Data Source'!AF122&gt;=5,"A+",IF('Data Source'!AF122&gt;=4,"A",IF('Data Source'!AF122&gt;=3.5,"A-",IF('Data Source'!AF122&gt;=3,"B",IF('Data Source'!AF122&gt;=2,"C",IF('Data Source'!AF122&gt;=1,"D","F")))))),"")</f>
        <v/>
      </c>
      <c r="O122" s="3">
        <f>IF(AND('Data Source'!B122&lt;&gt;"",'Data Source'!S122="A+"),IF('Data Source'!AG122&gt;=5,"A+",IF('Data Source'!AG122&gt;=4,"A",IF('Data Source'!AG122&gt;=3.5,"A-",IF('Data Source'!AG122&gt;=3,"B",IF('Data Source'!AG122&gt;=2,"C",IF('Data Source'!AG122&gt;=1,"D","F")))))),"")</f>
        <v/>
      </c>
      <c r="P122" s="5">
        <f>IF(AND('Data Source'!B122&lt;&gt;"",'Data Source'!S122="A+"),'Data Source'!R122,"")</f>
        <v/>
      </c>
      <c r="Q122" s="3">
        <f>IF(AND('Data Source'!B122&lt;&gt;"",'Data Source'!S122="A+"),'Data Source'!S122,"")</f>
        <v/>
      </c>
    </row>
    <row r="123">
      <c r="A123" s="3">
        <f>IF(AND('Data Source'!B123&lt;&gt;"",'Data Source'!S123="A+"),COUNTIF('Data Source'!$S$3:S123,"A+"),"")</f>
        <v/>
      </c>
      <c r="B123">
        <f>IF(AND('Data Source'!B123&lt;&gt;"",'Data Source'!S123="A+"),'Data Source'!B123,"")</f>
        <v/>
      </c>
      <c r="C123" s="3">
        <f>IF(AND('Data Source'!B123&lt;&gt;"",'Data Source'!S123="A+"),IF('Data Source'!U123&gt;=5,"A+",IF('Data Source'!U123&gt;=4,"A",IF('Data Source'!U123&gt;=3.5,"A-",IF('Data Source'!U123&gt;=3,"B",IF('Data Source'!U123&gt;=2,"C",IF('Data Source'!U123&gt;=1,"D","F")))))),"")</f>
        <v/>
      </c>
      <c r="D123" s="3">
        <f>IF(AND('Data Source'!B123&lt;&gt;"",'Data Source'!S123="A+"),IF('Data Source'!V123&gt;=5,"A+",IF('Data Source'!V123&gt;=4,"A",IF('Data Source'!V123&gt;=3.5,"A-",IF('Data Source'!V123&gt;=3,"B",IF('Data Source'!V123&gt;=2,"C",IF('Data Source'!V123&gt;=1,"D","F")))))),"")</f>
        <v/>
      </c>
      <c r="E123" s="3">
        <f>IF(AND('Data Source'!B123&lt;&gt;"",'Data Source'!S123="A+"),IF('Data Source'!W123&gt;=5,"A+",IF('Data Source'!W123&gt;=4,"A",IF('Data Source'!W123&gt;=3.5,"A-",IF('Data Source'!W123&gt;=3,"B",IF('Data Source'!W123&gt;=2,"C",IF('Data Source'!W123&gt;=1,"D","F")))))),"")</f>
        <v/>
      </c>
      <c r="F123" s="3">
        <f>IF(AND('Data Source'!B123&lt;&gt;"",'Data Source'!S123="A+"),IF('Data Source'!X123&gt;=5,"A+",IF('Data Source'!X123&gt;=4,"A",IF('Data Source'!X123&gt;=3.5,"A-",IF('Data Source'!X123&gt;=3,"B",IF('Data Source'!X123&gt;=2,"C",IF('Data Source'!X123&gt;=1,"D","F")))))),"")</f>
        <v/>
      </c>
      <c r="G123" s="3">
        <f>IF(AND('Data Source'!B123&lt;&gt;"",'Data Source'!S123="A+"),IF('Data Source'!Y123&gt;=5,"A+",IF('Data Source'!Y123&gt;=4,"A",IF('Data Source'!Y123&gt;=3.5,"A-",IF('Data Source'!Y123&gt;=3,"B",IF('Data Source'!Y123&gt;=2,"C",IF('Data Source'!Y123&gt;=1,"D","F")))))),"")</f>
        <v/>
      </c>
      <c r="H123" s="3">
        <f>IF(AND('Data Source'!B123&lt;&gt;"",'Data Source'!S123="A+"),IF('Data Source'!Z123&gt;=5,"A+",IF('Data Source'!Z123&gt;=4,"A",IF('Data Source'!Z123&gt;=3.5,"A-",IF('Data Source'!Z123&gt;=3,"B",IF('Data Source'!Z123&gt;=2,"C",IF('Data Source'!Z123&gt;=1,"D","F")))))),"")</f>
        <v/>
      </c>
      <c r="I123" s="3">
        <f>IF(AND('Data Source'!B123&lt;&gt;"",'Data Source'!S123="A+"),IF('Data Source'!AA123&gt;=5,"A+",IF('Data Source'!AA123&gt;=4,"A",IF('Data Source'!AA123&gt;=3.5,"A-",IF('Data Source'!AA123&gt;=3,"B",IF('Data Source'!AA123&gt;=2,"C",IF('Data Source'!AA123&gt;=1,"D","F")))))),"")</f>
        <v/>
      </c>
      <c r="J123" s="3">
        <f>IF(AND('Data Source'!B123&lt;&gt;"",'Data Source'!S123="A+"),IF('Data Source'!AB123&gt;=5,"A+",IF('Data Source'!AB123&gt;=4,"A",IF('Data Source'!AB123&gt;=3.5,"A-",IF('Data Source'!AB123&gt;=3,"B",IF('Data Source'!AB123&gt;=2,"C",IF('Data Source'!AB123&gt;=1,"D","F")))))),"")</f>
        <v/>
      </c>
      <c r="K123" s="3">
        <f>IF(AND('Data Source'!B123&lt;&gt;"",'Data Source'!S123="A+"),IF('Data Source'!AC123&gt;=5,"A+",IF('Data Source'!AC123&gt;=4,"A",IF('Data Source'!AC123&gt;=3.5,"A-",IF('Data Source'!AC123&gt;=3,"B",IF('Data Source'!AC123&gt;=2,"C",IF('Data Source'!AC123&gt;=1,"D","F")))))),"")</f>
        <v/>
      </c>
      <c r="L123" s="3">
        <f>IF(AND('Data Source'!B123&lt;&gt;"",'Data Source'!S123="A+"),IF('Data Source'!AD123&gt;=5,"A+",IF('Data Source'!AD123&gt;=4,"A",IF('Data Source'!AD123&gt;=3.5,"A-",IF('Data Source'!AD123&gt;=3,"B",IF('Data Source'!AD123&gt;=2,"C",IF('Data Source'!AD123&gt;=1,"D","F")))))),"")</f>
        <v/>
      </c>
      <c r="M123" s="3">
        <f>IF(AND('Data Source'!B123&lt;&gt;"",'Data Source'!S123="A+"),IF('Data Source'!AE123&gt;=5,"A+",IF('Data Source'!AE123&gt;=4,"A",IF('Data Source'!AE123&gt;=3.5,"A-",IF('Data Source'!AE123&gt;=3,"B",IF('Data Source'!AE123&gt;=2,"C",IF('Data Source'!AE123&gt;=1,"D","F")))))),"")</f>
        <v/>
      </c>
      <c r="N123" s="3">
        <f>IF(AND('Data Source'!B123&lt;&gt;"",'Data Source'!S123="A+"),IF('Data Source'!AF123&gt;=5,"A+",IF('Data Source'!AF123&gt;=4,"A",IF('Data Source'!AF123&gt;=3.5,"A-",IF('Data Source'!AF123&gt;=3,"B",IF('Data Source'!AF123&gt;=2,"C",IF('Data Source'!AF123&gt;=1,"D","F")))))),"")</f>
        <v/>
      </c>
      <c r="O123" s="3">
        <f>IF(AND('Data Source'!B123&lt;&gt;"",'Data Source'!S123="A+"),IF('Data Source'!AG123&gt;=5,"A+",IF('Data Source'!AG123&gt;=4,"A",IF('Data Source'!AG123&gt;=3.5,"A-",IF('Data Source'!AG123&gt;=3,"B",IF('Data Source'!AG123&gt;=2,"C",IF('Data Source'!AG123&gt;=1,"D","F")))))),"")</f>
        <v/>
      </c>
      <c r="P123" s="5">
        <f>IF(AND('Data Source'!B123&lt;&gt;"",'Data Source'!S123="A+"),'Data Source'!R123,"")</f>
        <v/>
      </c>
      <c r="Q123" s="3">
        <f>IF(AND('Data Source'!B123&lt;&gt;"",'Data Source'!S123="A+"),'Data Source'!S123,"")</f>
        <v/>
      </c>
    </row>
    <row r="124">
      <c r="A124" s="3">
        <f>IF(AND('Data Source'!B124&lt;&gt;"",'Data Source'!S124="A+"),COUNTIF('Data Source'!$S$3:S124,"A+"),"")</f>
        <v/>
      </c>
      <c r="B124">
        <f>IF(AND('Data Source'!B124&lt;&gt;"",'Data Source'!S124="A+"),'Data Source'!B124,"")</f>
        <v/>
      </c>
      <c r="C124" s="3">
        <f>IF(AND('Data Source'!B124&lt;&gt;"",'Data Source'!S124="A+"),IF('Data Source'!U124&gt;=5,"A+",IF('Data Source'!U124&gt;=4,"A",IF('Data Source'!U124&gt;=3.5,"A-",IF('Data Source'!U124&gt;=3,"B",IF('Data Source'!U124&gt;=2,"C",IF('Data Source'!U124&gt;=1,"D","F")))))),"")</f>
        <v/>
      </c>
      <c r="D124" s="3">
        <f>IF(AND('Data Source'!B124&lt;&gt;"",'Data Source'!S124="A+"),IF('Data Source'!V124&gt;=5,"A+",IF('Data Source'!V124&gt;=4,"A",IF('Data Source'!V124&gt;=3.5,"A-",IF('Data Source'!V124&gt;=3,"B",IF('Data Source'!V124&gt;=2,"C",IF('Data Source'!V124&gt;=1,"D","F")))))),"")</f>
        <v/>
      </c>
      <c r="E124" s="3">
        <f>IF(AND('Data Source'!B124&lt;&gt;"",'Data Source'!S124="A+"),IF('Data Source'!W124&gt;=5,"A+",IF('Data Source'!W124&gt;=4,"A",IF('Data Source'!W124&gt;=3.5,"A-",IF('Data Source'!W124&gt;=3,"B",IF('Data Source'!W124&gt;=2,"C",IF('Data Source'!W124&gt;=1,"D","F")))))),"")</f>
        <v/>
      </c>
      <c r="F124" s="3">
        <f>IF(AND('Data Source'!B124&lt;&gt;"",'Data Source'!S124="A+"),IF('Data Source'!X124&gt;=5,"A+",IF('Data Source'!X124&gt;=4,"A",IF('Data Source'!X124&gt;=3.5,"A-",IF('Data Source'!X124&gt;=3,"B",IF('Data Source'!X124&gt;=2,"C",IF('Data Source'!X124&gt;=1,"D","F")))))),"")</f>
        <v/>
      </c>
      <c r="G124" s="3">
        <f>IF(AND('Data Source'!B124&lt;&gt;"",'Data Source'!S124="A+"),IF('Data Source'!Y124&gt;=5,"A+",IF('Data Source'!Y124&gt;=4,"A",IF('Data Source'!Y124&gt;=3.5,"A-",IF('Data Source'!Y124&gt;=3,"B",IF('Data Source'!Y124&gt;=2,"C",IF('Data Source'!Y124&gt;=1,"D","F")))))),"")</f>
        <v/>
      </c>
      <c r="H124" s="3">
        <f>IF(AND('Data Source'!B124&lt;&gt;"",'Data Source'!S124="A+"),IF('Data Source'!Z124&gt;=5,"A+",IF('Data Source'!Z124&gt;=4,"A",IF('Data Source'!Z124&gt;=3.5,"A-",IF('Data Source'!Z124&gt;=3,"B",IF('Data Source'!Z124&gt;=2,"C",IF('Data Source'!Z124&gt;=1,"D","F")))))),"")</f>
        <v/>
      </c>
      <c r="I124" s="3">
        <f>IF(AND('Data Source'!B124&lt;&gt;"",'Data Source'!S124="A+"),IF('Data Source'!AA124&gt;=5,"A+",IF('Data Source'!AA124&gt;=4,"A",IF('Data Source'!AA124&gt;=3.5,"A-",IF('Data Source'!AA124&gt;=3,"B",IF('Data Source'!AA124&gt;=2,"C",IF('Data Source'!AA124&gt;=1,"D","F")))))),"")</f>
        <v/>
      </c>
      <c r="J124" s="3">
        <f>IF(AND('Data Source'!B124&lt;&gt;"",'Data Source'!S124="A+"),IF('Data Source'!AB124&gt;=5,"A+",IF('Data Source'!AB124&gt;=4,"A",IF('Data Source'!AB124&gt;=3.5,"A-",IF('Data Source'!AB124&gt;=3,"B",IF('Data Source'!AB124&gt;=2,"C",IF('Data Source'!AB124&gt;=1,"D","F")))))),"")</f>
        <v/>
      </c>
      <c r="K124" s="3">
        <f>IF(AND('Data Source'!B124&lt;&gt;"",'Data Source'!S124="A+"),IF('Data Source'!AC124&gt;=5,"A+",IF('Data Source'!AC124&gt;=4,"A",IF('Data Source'!AC124&gt;=3.5,"A-",IF('Data Source'!AC124&gt;=3,"B",IF('Data Source'!AC124&gt;=2,"C",IF('Data Source'!AC124&gt;=1,"D","F")))))),"")</f>
        <v/>
      </c>
      <c r="L124" s="3">
        <f>IF(AND('Data Source'!B124&lt;&gt;"",'Data Source'!S124="A+"),IF('Data Source'!AD124&gt;=5,"A+",IF('Data Source'!AD124&gt;=4,"A",IF('Data Source'!AD124&gt;=3.5,"A-",IF('Data Source'!AD124&gt;=3,"B",IF('Data Source'!AD124&gt;=2,"C",IF('Data Source'!AD124&gt;=1,"D","F")))))),"")</f>
        <v/>
      </c>
      <c r="M124" s="3">
        <f>IF(AND('Data Source'!B124&lt;&gt;"",'Data Source'!S124="A+"),IF('Data Source'!AE124&gt;=5,"A+",IF('Data Source'!AE124&gt;=4,"A",IF('Data Source'!AE124&gt;=3.5,"A-",IF('Data Source'!AE124&gt;=3,"B",IF('Data Source'!AE124&gt;=2,"C",IF('Data Source'!AE124&gt;=1,"D","F")))))),"")</f>
        <v/>
      </c>
      <c r="N124" s="3">
        <f>IF(AND('Data Source'!B124&lt;&gt;"",'Data Source'!S124="A+"),IF('Data Source'!AF124&gt;=5,"A+",IF('Data Source'!AF124&gt;=4,"A",IF('Data Source'!AF124&gt;=3.5,"A-",IF('Data Source'!AF124&gt;=3,"B",IF('Data Source'!AF124&gt;=2,"C",IF('Data Source'!AF124&gt;=1,"D","F")))))),"")</f>
        <v/>
      </c>
      <c r="O124" s="3">
        <f>IF(AND('Data Source'!B124&lt;&gt;"",'Data Source'!S124="A+"),IF('Data Source'!AG124&gt;=5,"A+",IF('Data Source'!AG124&gt;=4,"A",IF('Data Source'!AG124&gt;=3.5,"A-",IF('Data Source'!AG124&gt;=3,"B",IF('Data Source'!AG124&gt;=2,"C",IF('Data Source'!AG124&gt;=1,"D","F")))))),"")</f>
        <v/>
      </c>
      <c r="P124" s="5">
        <f>IF(AND('Data Source'!B124&lt;&gt;"",'Data Source'!S124="A+"),'Data Source'!R124,"")</f>
        <v/>
      </c>
      <c r="Q124" s="3">
        <f>IF(AND('Data Source'!B124&lt;&gt;"",'Data Source'!S124="A+"),'Data Source'!S124,"")</f>
        <v/>
      </c>
    </row>
    <row r="125">
      <c r="A125" s="3">
        <f>IF(AND('Data Source'!B125&lt;&gt;"",'Data Source'!S125="A+"),COUNTIF('Data Source'!$S$3:S125,"A+"),"")</f>
        <v/>
      </c>
      <c r="B125">
        <f>IF(AND('Data Source'!B125&lt;&gt;"",'Data Source'!S125="A+"),'Data Source'!B125,"")</f>
        <v/>
      </c>
      <c r="C125" s="3">
        <f>IF(AND('Data Source'!B125&lt;&gt;"",'Data Source'!S125="A+"),IF('Data Source'!U125&gt;=5,"A+",IF('Data Source'!U125&gt;=4,"A",IF('Data Source'!U125&gt;=3.5,"A-",IF('Data Source'!U125&gt;=3,"B",IF('Data Source'!U125&gt;=2,"C",IF('Data Source'!U125&gt;=1,"D","F")))))),"")</f>
        <v/>
      </c>
      <c r="D125" s="3">
        <f>IF(AND('Data Source'!B125&lt;&gt;"",'Data Source'!S125="A+"),IF('Data Source'!V125&gt;=5,"A+",IF('Data Source'!V125&gt;=4,"A",IF('Data Source'!V125&gt;=3.5,"A-",IF('Data Source'!V125&gt;=3,"B",IF('Data Source'!V125&gt;=2,"C",IF('Data Source'!V125&gt;=1,"D","F")))))),"")</f>
        <v/>
      </c>
      <c r="E125" s="3">
        <f>IF(AND('Data Source'!B125&lt;&gt;"",'Data Source'!S125="A+"),IF('Data Source'!W125&gt;=5,"A+",IF('Data Source'!W125&gt;=4,"A",IF('Data Source'!W125&gt;=3.5,"A-",IF('Data Source'!W125&gt;=3,"B",IF('Data Source'!W125&gt;=2,"C",IF('Data Source'!W125&gt;=1,"D","F")))))),"")</f>
        <v/>
      </c>
      <c r="F125" s="3">
        <f>IF(AND('Data Source'!B125&lt;&gt;"",'Data Source'!S125="A+"),IF('Data Source'!X125&gt;=5,"A+",IF('Data Source'!X125&gt;=4,"A",IF('Data Source'!X125&gt;=3.5,"A-",IF('Data Source'!X125&gt;=3,"B",IF('Data Source'!X125&gt;=2,"C",IF('Data Source'!X125&gt;=1,"D","F")))))),"")</f>
        <v/>
      </c>
      <c r="G125" s="3">
        <f>IF(AND('Data Source'!B125&lt;&gt;"",'Data Source'!S125="A+"),IF('Data Source'!Y125&gt;=5,"A+",IF('Data Source'!Y125&gt;=4,"A",IF('Data Source'!Y125&gt;=3.5,"A-",IF('Data Source'!Y125&gt;=3,"B",IF('Data Source'!Y125&gt;=2,"C",IF('Data Source'!Y125&gt;=1,"D","F")))))),"")</f>
        <v/>
      </c>
      <c r="H125" s="3">
        <f>IF(AND('Data Source'!B125&lt;&gt;"",'Data Source'!S125="A+"),IF('Data Source'!Z125&gt;=5,"A+",IF('Data Source'!Z125&gt;=4,"A",IF('Data Source'!Z125&gt;=3.5,"A-",IF('Data Source'!Z125&gt;=3,"B",IF('Data Source'!Z125&gt;=2,"C",IF('Data Source'!Z125&gt;=1,"D","F")))))),"")</f>
        <v/>
      </c>
      <c r="I125" s="3">
        <f>IF(AND('Data Source'!B125&lt;&gt;"",'Data Source'!S125="A+"),IF('Data Source'!AA125&gt;=5,"A+",IF('Data Source'!AA125&gt;=4,"A",IF('Data Source'!AA125&gt;=3.5,"A-",IF('Data Source'!AA125&gt;=3,"B",IF('Data Source'!AA125&gt;=2,"C",IF('Data Source'!AA125&gt;=1,"D","F")))))),"")</f>
        <v/>
      </c>
      <c r="J125" s="3">
        <f>IF(AND('Data Source'!B125&lt;&gt;"",'Data Source'!S125="A+"),IF('Data Source'!AB125&gt;=5,"A+",IF('Data Source'!AB125&gt;=4,"A",IF('Data Source'!AB125&gt;=3.5,"A-",IF('Data Source'!AB125&gt;=3,"B",IF('Data Source'!AB125&gt;=2,"C",IF('Data Source'!AB125&gt;=1,"D","F")))))),"")</f>
        <v/>
      </c>
      <c r="K125" s="3">
        <f>IF(AND('Data Source'!B125&lt;&gt;"",'Data Source'!S125="A+"),IF('Data Source'!AC125&gt;=5,"A+",IF('Data Source'!AC125&gt;=4,"A",IF('Data Source'!AC125&gt;=3.5,"A-",IF('Data Source'!AC125&gt;=3,"B",IF('Data Source'!AC125&gt;=2,"C",IF('Data Source'!AC125&gt;=1,"D","F")))))),"")</f>
        <v/>
      </c>
      <c r="L125" s="3">
        <f>IF(AND('Data Source'!B125&lt;&gt;"",'Data Source'!S125="A+"),IF('Data Source'!AD125&gt;=5,"A+",IF('Data Source'!AD125&gt;=4,"A",IF('Data Source'!AD125&gt;=3.5,"A-",IF('Data Source'!AD125&gt;=3,"B",IF('Data Source'!AD125&gt;=2,"C",IF('Data Source'!AD125&gt;=1,"D","F")))))),"")</f>
        <v/>
      </c>
      <c r="M125" s="3">
        <f>IF(AND('Data Source'!B125&lt;&gt;"",'Data Source'!S125="A+"),IF('Data Source'!AE125&gt;=5,"A+",IF('Data Source'!AE125&gt;=4,"A",IF('Data Source'!AE125&gt;=3.5,"A-",IF('Data Source'!AE125&gt;=3,"B",IF('Data Source'!AE125&gt;=2,"C",IF('Data Source'!AE125&gt;=1,"D","F")))))),"")</f>
        <v/>
      </c>
      <c r="N125" s="3">
        <f>IF(AND('Data Source'!B125&lt;&gt;"",'Data Source'!S125="A+"),IF('Data Source'!AF125&gt;=5,"A+",IF('Data Source'!AF125&gt;=4,"A",IF('Data Source'!AF125&gt;=3.5,"A-",IF('Data Source'!AF125&gt;=3,"B",IF('Data Source'!AF125&gt;=2,"C",IF('Data Source'!AF125&gt;=1,"D","F")))))),"")</f>
        <v/>
      </c>
      <c r="O125" s="3">
        <f>IF(AND('Data Source'!B125&lt;&gt;"",'Data Source'!S125="A+"),IF('Data Source'!AG125&gt;=5,"A+",IF('Data Source'!AG125&gt;=4,"A",IF('Data Source'!AG125&gt;=3.5,"A-",IF('Data Source'!AG125&gt;=3,"B",IF('Data Source'!AG125&gt;=2,"C",IF('Data Source'!AG125&gt;=1,"D","F")))))),"")</f>
        <v/>
      </c>
      <c r="P125" s="5">
        <f>IF(AND('Data Source'!B125&lt;&gt;"",'Data Source'!S125="A+"),'Data Source'!R125,"")</f>
        <v/>
      </c>
      <c r="Q125" s="3">
        <f>IF(AND('Data Source'!B125&lt;&gt;"",'Data Source'!S125="A+"),'Data Source'!S125,"")</f>
        <v/>
      </c>
    </row>
    <row r="126">
      <c r="A126" s="3">
        <f>IF(AND('Data Source'!B126&lt;&gt;"",'Data Source'!S126="A+"),COUNTIF('Data Source'!$S$3:S126,"A+"),"")</f>
        <v/>
      </c>
      <c r="B126">
        <f>IF(AND('Data Source'!B126&lt;&gt;"",'Data Source'!S126="A+"),'Data Source'!B126,"")</f>
        <v/>
      </c>
      <c r="C126" s="3">
        <f>IF(AND('Data Source'!B126&lt;&gt;"",'Data Source'!S126="A+"),IF('Data Source'!U126&gt;=5,"A+",IF('Data Source'!U126&gt;=4,"A",IF('Data Source'!U126&gt;=3.5,"A-",IF('Data Source'!U126&gt;=3,"B",IF('Data Source'!U126&gt;=2,"C",IF('Data Source'!U126&gt;=1,"D","F")))))),"")</f>
        <v/>
      </c>
      <c r="D126" s="3">
        <f>IF(AND('Data Source'!B126&lt;&gt;"",'Data Source'!S126="A+"),IF('Data Source'!V126&gt;=5,"A+",IF('Data Source'!V126&gt;=4,"A",IF('Data Source'!V126&gt;=3.5,"A-",IF('Data Source'!V126&gt;=3,"B",IF('Data Source'!V126&gt;=2,"C",IF('Data Source'!V126&gt;=1,"D","F")))))),"")</f>
        <v/>
      </c>
      <c r="E126" s="3">
        <f>IF(AND('Data Source'!B126&lt;&gt;"",'Data Source'!S126="A+"),IF('Data Source'!W126&gt;=5,"A+",IF('Data Source'!W126&gt;=4,"A",IF('Data Source'!W126&gt;=3.5,"A-",IF('Data Source'!W126&gt;=3,"B",IF('Data Source'!W126&gt;=2,"C",IF('Data Source'!W126&gt;=1,"D","F")))))),"")</f>
        <v/>
      </c>
      <c r="F126" s="3">
        <f>IF(AND('Data Source'!B126&lt;&gt;"",'Data Source'!S126="A+"),IF('Data Source'!X126&gt;=5,"A+",IF('Data Source'!X126&gt;=4,"A",IF('Data Source'!X126&gt;=3.5,"A-",IF('Data Source'!X126&gt;=3,"B",IF('Data Source'!X126&gt;=2,"C",IF('Data Source'!X126&gt;=1,"D","F")))))),"")</f>
        <v/>
      </c>
      <c r="G126" s="3">
        <f>IF(AND('Data Source'!B126&lt;&gt;"",'Data Source'!S126="A+"),IF('Data Source'!Y126&gt;=5,"A+",IF('Data Source'!Y126&gt;=4,"A",IF('Data Source'!Y126&gt;=3.5,"A-",IF('Data Source'!Y126&gt;=3,"B",IF('Data Source'!Y126&gt;=2,"C",IF('Data Source'!Y126&gt;=1,"D","F")))))),"")</f>
        <v/>
      </c>
      <c r="H126" s="3">
        <f>IF(AND('Data Source'!B126&lt;&gt;"",'Data Source'!S126="A+"),IF('Data Source'!Z126&gt;=5,"A+",IF('Data Source'!Z126&gt;=4,"A",IF('Data Source'!Z126&gt;=3.5,"A-",IF('Data Source'!Z126&gt;=3,"B",IF('Data Source'!Z126&gt;=2,"C",IF('Data Source'!Z126&gt;=1,"D","F")))))),"")</f>
        <v/>
      </c>
      <c r="I126" s="3">
        <f>IF(AND('Data Source'!B126&lt;&gt;"",'Data Source'!S126="A+"),IF('Data Source'!AA126&gt;=5,"A+",IF('Data Source'!AA126&gt;=4,"A",IF('Data Source'!AA126&gt;=3.5,"A-",IF('Data Source'!AA126&gt;=3,"B",IF('Data Source'!AA126&gt;=2,"C",IF('Data Source'!AA126&gt;=1,"D","F")))))),"")</f>
        <v/>
      </c>
      <c r="J126" s="3">
        <f>IF(AND('Data Source'!B126&lt;&gt;"",'Data Source'!S126="A+"),IF('Data Source'!AB126&gt;=5,"A+",IF('Data Source'!AB126&gt;=4,"A",IF('Data Source'!AB126&gt;=3.5,"A-",IF('Data Source'!AB126&gt;=3,"B",IF('Data Source'!AB126&gt;=2,"C",IF('Data Source'!AB126&gt;=1,"D","F")))))),"")</f>
        <v/>
      </c>
      <c r="K126" s="3">
        <f>IF(AND('Data Source'!B126&lt;&gt;"",'Data Source'!S126="A+"),IF('Data Source'!AC126&gt;=5,"A+",IF('Data Source'!AC126&gt;=4,"A",IF('Data Source'!AC126&gt;=3.5,"A-",IF('Data Source'!AC126&gt;=3,"B",IF('Data Source'!AC126&gt;=2,"C",IF('Data Source'!AC126&gt;=1,"D","F")))))),"")</f>
        <v/>
      </c>
      <c r="L126" s="3">
        <f>IF(AND('Data Source'!B126&lt;&gt;"",'Data Source'!S126="A+"),IF('Data Source'!AD126&gt;=5,"A+",IF('Data Source'!AD126&gt;=4,"A",IF('Data Source'!AD126&gt;=3.5,"A-",IF('Data Source'!AD126&gt;=3,"B",IF('Data Source'!AD126&gt;=2,"C",IF('Data Source'!AD126&gt;=1,"D","F")))))),"")</f>
        <v/>
      </c>
      <c r="M126" s="3">
        <f>IF(AND('Data Source'!B126&lt;&gt;"",'Data Source'!S126="A+"),IF('Data Source'!AE126&gt;=5,"A+",IF('Data Source'!AE126&gt;=4,"A",IF('Data Source'!AE126&gt;=3.5,"A-",IF('Data Source'!AE126&gt;=3,"B",IF('Data Source'!AE126&gt;=2,"C",IF('Data Source'!AE126&gt;=1,"D","F")))))),"")</f>
        <v/>
      </c>
      <c r="N126" s="3">
        <f>IF(AND('Data Source'!B126&lt;&gt;"",'Data Source'!S126="A+"),IF('Data Source'!AF126&gt;=5,"A+",IF('Data Source'!AF126&gt;=4,"A",IF('Data Source'!AF126&gt;=3.5,"A-",IF('Data Source'!AF126&gt;=3,"B",IF('Data Source'!AF126&gt;=2,"C",IF('Data Source'!AF126&gt;=1,"D","F")))))),"")</f>
        <v/>
      </c>
      <c r="O126" s="3">
        <f>IF(AND('Data Source'!B126&lt;&gt;"",'Data Source'!S126="A+"),IF('Data Source'!AG126&gt;=5,"A+",IF('Data Source'!AG126&gt;=4,"A",IF('Data Source'!AG126&gt;=3.5,"A-",IF('Data Source'!AG126&gt;=3,"B",IF('Data Source'!AG126&gt;=2,"C",IF('Data Source'!AG126&gt;=1,"D","F")))))),"")</f>
        <v/>
      </c>
      <c r="P126" s="5">
        <f>IF(AND('Data Source'!B126&lt;&gt;"",'Data Source'!S126="A+"),'Data Source'!R126,"")</f>
        <v/>
      </c>
      <c r="Q126" s="3">
        <f>IF(AND('Data Source'!B126&lt;&gt;"",'Data Source'!S126="A+"),'Data Source'!S126,"")</f>
        <v/>
      </c>
    </row>
    <row r="127">
      <c r="A127" s="3">
        <f>IF(AND('Data Source'!B127&lt;&gt;"",'Data Source'!S127="A+"),COUNTIF('Data Source'!$S$3:S127,"A+"),"")</f>
        <v/>
      </c>
      <c r="B127">
        <f>IF(AND('Data Source'!B127&lt;&gt;"",'Data Source'!S127="A+"),'Data Source'!B127,"")</f>
        <v/>
      </c>
      <c r="C127" s="3">
        <f>IF(AND('Data Source'!B127&lt;&gt;"",'Data Source'!S127="A+"),IF('Data Source'!U127&gt;=5,"A+",IF('Data Source'!U127&gt;=4,"A",IF('Data Source'!U127&gt;=3.5,"A-",IF('Data Source'!U127&gt;=3,"B",IF('Data Source'!U127&gt;=2,"C",IF('Data Source'!U127&gt;=1,"D","F")))))),"")</f>
        <v/>
      </c>
      <c r="D127" s="3">
        <f>IF(AND('Data Source'!B127&lt;&gt;"",'Data Source'!S127="A+"),IF('Data Source'!V127&gt;=5,"A+",IF('Data Source'!V127&gt;=4,"A",IF('Data Source'!V127&gt;=3.5,"A-",IF('Data Source'!V127&gt;=3,"B",IF('Data Source'!V127&gt;=2,"C",IF('Data Source'!V127&gt;=1,"D","F")))))),"")</f>
        <v/>
      </c>
      <c r="E127" s="3">
        <f>IF(AND('Data Source'!B127&lt;&gt;"",'Data Source'!S127="A+"),IF('Data Source'!W127&gt;=5,"A+",IF('Data Source'!W127&gt;=4,"A",IF('Data Source'!W127&gt;=3.5,"A-",IF('Data Source'!W127&gt;=3,"B",IF('Data Source'!W127&gt;=2,"C",IF('Data Source'!W127&gt;=1,"D","F")))))),"")</f>
        <v/>
      </c>
      <c r="F127" s="3">
        <f>IF(AND('Data Source'!B127&lt;&gt;"",'Data Source'!S127="A+"),IF('Data Source'!X127&gt;=5,"A+",IF('Data Source'!X127&gt;=4,"A",IF('Data Source'!X127&gt;=3.5,"A-",IF('Data Source'!X127&gt;=3,"B",IF('Data Source'!X127&gt;=2,"C",IF('Data Source'!X127&gt;=1,"D","F")))))),"")</f>
        <v/>
      </c>
      <c r="G127" s="3">
        <f>IF(AND('Data Source'!B127&lt;&gt;"",'Data Source'!S127="A+"),IF('Data Source'!Y127&gt;=5,"A+",IF('Data Source'!Y127&gt;=4,"A",IF('Data Source'!Y127&gt;=3.5,"A-",IF('Data Source'!Y127&gt;=3,"B",IF('Data Source'!Y127&gt;=2,"C",IF('Data Source'!Y127&gt;=1,"D","F")))))),"")</f>
        <v/>
      </c>
      <c r="H127" s="3">
        <f>IF(AND('Data Source'!B127&lt;&gt;"",'Data Source'!S127="A+"),IF('Data Source'!Z127&gt;=5,"A+",IF('Data Source'!Z127&gt;=4,"A",IF('Data Source'!Z127&gt;=3.5,"A-",IF('Data Source'!Z127&gt;=3,"B",IF('Data Source'!Z127&gt;=2,"C",IF('Data Source'!Z127&gt;=1,"D","F")))))),"")</f>
        <v/>
      </c>
      <c r="I127" s="3">
        <f>IF(AND('Data Source'!B127&lt;&gt;"",'Data Source'!S127="A+"),IF('Data Source'!AA127&gt;=5,"A+",IF('Data Source'!AA127&gt;=4,"A",IF('Data Source'!AA127&gt;=3.5,"A-",IF('Data Source'!AA127&gt;=3,"B",IF('Data Source'!AA127&gt;=2,"C",IF('Data Source'!AA127&gt;=1,"D","F")))))),"")</f>
        <v/>
      </c>
      <c r="J127" s="3">
        <f>IF(AND('Data Source'!B127&lt;&gt;"",'Data Source'!S127="A+"),IF('Data Source'!AB127&gt;=5,"A+",IF('Data Source'!AB127&gt;=4,"A",IF('Data Source'!AB127&gt;=3.5,"A-",IF('Data Source'!AB127&gt;=3,"B",IF('Data Source'!AB127&gt;=2,"C",IF('Data Source'!AB127&gt;=1,"D","F")))))),"")</f>
        <v/>
      </c>
      <c r="K127" s="3">
        <f>IF(AND('Data Source'!B127&lt;&gt;"",'Data Source'!S127="A+"),IF('Data Source'!AC127&gt;=5,"A+",IF('Data Source'!AC127&gt;=4,"A",IF('Data Source'!AC127&gt;=3.5,"A-",IF('Data Source'!AC127&gt;=3,"B",IF('Data Source'!AC127&gt;=2,"C",IF('Data Source'!AC127&gt;=1,"D","F")))))),"")</f>
        <v/>
      </c>
      <c r="L127" s="3">
        <f>IF(AND('Data Source'!B127&lt;&gt;"",'Data Source'!S127="A+"),IF('Data Source'!AD127&gt;=5,"A+",IF('Data Source'!AD127&gt;=4,"A",IF('Data Source'!AD127&gt;=3.5,"A-",IF('Data Source'!AD127&gt;=3,"B",IF('Data Source'!AD127&gt;=2,"C",IF('Data Source'!AD127&gt;=1,"D","F")))))),"")</f>
        <v/>
      </c>
      <c r="M127" s="3">
        <f>IF(AND('Data Source'!B127&lt;&gt;"",'Data Source'!S127="A+"),IF('Data Source'!AE127&gt;=5,"A+",IF('Data Source'!AE127&gt;=4,"A",IF('Data Source'!AE127&gt;=3.5,"A-",IF('Data Source'!AE127&gt;=3,"B",IF('Data Source'!AE127&gt;=2,"C",IF('Data Source'!AE127&gt;=1,"D","F")))))),"")</f>
        <v/>
      </c>
      <c r="N127" s="3">
        <f>IF(AND('Data Source'!B127&lt;&gt;"",'Data Source'!S127="A+"),IF('Data Source'!AF127&gt;=5,"A+",IF('Data Source'!AF127&gt;=4,"A",IF('Data Source'!AF127&gt;=3.5,"A-",IF('Data Source'!AF127&gt;=3,"B",IF('Data Source'!AF127&gt;=2,"C",IF('Data Source'!AF127&gt;=1,"D","F")))))),"")</f>
        <v/>
      </c>
      <c r="O127" s="3">
        <f>IF(AND('Data Source'!B127&lt;&gt;"",'Data Source'!S127="A+"),IF('Data Source'!AG127&gt;=5,"A+",IF('Data Source'!AG127&gt;=4,"A",IF('Data Source'!AG127&gt;=3.5,"A-",IF('Data Source'!AG127&gt;=3,"B",IF('Data Source'!AG127&gt;=2,"C",IF('Data Source'!AG127&gt;=1,"D","F")))))),"")</f>
        <v/>
      </c>
      <c r="P127" s="5">
        <f>IF(AND('Data Source'!B127&lt;&gt;"",'Data Source'!S127="A+"),'Data Source'!R127,"")</f>
        <v/>
      </c>
      <c r="Q127" s="3">
        <f>IF(AND('Data Source'!B127&lt;&gt;"",'Data Source'!S127="A+"),'Data Source'!S127,"")</f>
        <v/>
      </c>
    </row>
    <row r="128">
      <c r="A128" s="3">
        <f>IF(AND('Data Source'!B128&lt;&gt;"",'Data Source'!S128="A+"),COUNTIF('Data Source'!$S$3:S128,"A+"),"")</f>
        <v/>
      </c>
      <c r="B128">
        <f>IF(AND('Data Source'!B128&lt;&gt;"",'Data Source'!S128="A+"),'Data Source'!B128,"")</f>
        <v/>
      </c>
      <c r="C128" s="3">
        <f>IF(AND('Data Source'!B128&lt;&gt;"",'Data Source'!S128="A+"),IF('Data Source'!U128&gt;=5,"A+",IF('Data Source'!U128&gt;=4,"A",IF('Data Source'!U128&gt;=3.5,"A-",IF('Data Source'!U128&gt;=3,"B",IF('Data Source'!U128&gt;=2,"C",IF('Data Source'!U128&gt;=1,"D","F")))))),"")</f>
        <v/>
      </c>
      <c r="D128" s="3">
        <f>IF(AND('Data Source'!B128&lt;&gt;"",'Data Source'!S128="A+"),IF('Data Source'!V128&gt;=5,"A+",IF('Data Source'!V128&gt;=4,"A",IF('Data Source'!V128&gt;=3.5,"A-",IF('Data Source'!V128&gt;=3,"B",IF('Data Source'!V128&gt;=2,"C",IF('Data Source'!V128&gt;=1,"D","F")))))),"")</f>
        <v/>
      </c>
      <c r="E128" s="3">
        <f>IF(AND('Data Source'!B128&lt;&gt;"",'Data Source'!S128="A+"),IF('Data Source'!W128&gt;=5,"A+",IF('Data Source'!W128&gt;=4,"A",IF('Data Source'!W128&gt;=3.5,"A-",IF('Data Source'!W128&gt;=3,"B",IF('Data Source'!W128&gt;=2,"C",IF('Data Source'!W128&gt;=1,"D","F")))))),"")</f>
        <v/>
      </c>
      <c r="F128" s="3">
        <f>IF(AND('Data Source'!B128&lt;&gt;"",'Data Source'!S128="A+"),IF('Data Source'!X128&gt;=5,"A+",IF('Data Source'!X128&gt;=4,"A",IF('Data Source'!X128&gt;=3.5,"A-",IF('Data Source'!X128&gt;=3,"B",IF('Data Source'!X128&gt;=2,"C",IF('Data Source'!X128&gt;=1,"D","F")))))),"")</f>
        <v/>
      </c>
      <c r="G128" s="3">
        <f>IF(AND('Data Source'!B128&lt;&gt;"",'Data Source'!S128="A+"),IF('Data Source'!Y128&gt;=5,"A+",IF('Data Source'!Y128&gt;=4,"A",IF('Data Source'!Y128&gt;=3.5,"A-",IF('Data Source'!Y128&gt;=3,"B",IF('Data Source'!Y128&gt;=2,"C",IF('Data Source'!Y128&gt;=1,"D","F")))))),"")</f>
        <v/>
      </c>
      <c r="H128" s="3">
        <f>IF(AND('Data Source'!B128&lt;&gt;"",'Data Source'!S128="A+"),IF('Data Source'!Z128&gt;=5,"A+",IF('Data Source'!Z128&gt;=4,"A",IF('Data Source'!Z128&gt;=3.5,"A-",IF('Data Source'!Z128&gt;=3,"B",IF('Data Source'!Z128&gt;=2,"C",IF('Data Source'!Z128&gt;=1,"D","F")))))),"")</f>
        <v/>
      </c>
      <c r="I128" s="3">
        <f>IF(AND('Data Source'!B128&lt;&gt;"",'Data Source'!S128="A+"),IF('Data Source'!AA128&gt;=5,"A+",IF('Data Source'!AA128&gt;=4,"A",IF('Data Source'!AA128&gt;=3.5,"A-",IF('Data Source'!AA128&gt;=3,"B",IF('Data Source'!AA128&gt;=2,"C",IF('Data Source'!AA128&gt;=1,"D","F")))))),"")</f>
        <v/>
      </c>
      <c r="J128" s="3">
        <f>IF(AND('Data Source'!B128&lt;&gt;"",'Data Source'!S128="A+"),IF('Data Source'!AB128&gt;=5,"A+",IF('Data Source'!AB128&gt;=4,"A",IF('Data Source'!AB128&gt;=3.5,"A-",IF('Data Source'!AB128&gt;=3,"B",IF('Data Source'!AB128&gt;=2,"C",IF('Data Source'!AB128&gt;=1,"D","F")))))),"")</f>
        <v/>
      </c>
      <c r="K128" s="3">
        <f>IF(AND('Data Source'!B128&lt;&gt;"",'Data Source'!S128="A+"),IF('Data Source'!AC128&gt;=5,"A+",IF('Data Source'!AC128&gt;=4,"A",IF('Data Source'!AC128&gt;=3.5,"A-",IF('Data Source'!AC128&gt;=3,"B",IF('Data Source'!AC128&gt;=2,"C",IF('Data Source'!AC128&gt;=1,"D","F")))))),"")</f>
        <v/>
      </c>
      <c r="L128" s="3">
        <f>IF(AND('Data Source'!B128&lt;&gt;"",'Data Source'!S128="A+"),IF('Data Source'!AD128&gt;=5,"A+",IF('Data Source'!AD128&gt;=4,"A",IF('Data Source'!AD128&gt;=3.5,"A-",IF('Data Source'!AD128&gt;=3,"B",IF('Data Source'!AD128&gt;=2,"C",IF('Data Source'!AD128&gt;=1,"D","F")))))),"")</f>
        <v/>
      </c>
      <c r="M128" s="3">
        <f>IF(AND('Data Source'!B128&lt;&gt;"",'Data Source'!S128="A+"),IF('Data Source'!AE128&gt;=5,"A+",IF('Data Source'!AE128&gt;=4,"A",IF('Data Source'!AE128&gt;=3.5,"A-",IF('Data Source'!AE128&gt;=3,"B",IF('Data Source'!AE128&gt;=2,"C",IF('Data Source'!AE128&gt;=1,"D","F")))))),"")</f>
        <v/>
      </c>
      <c r="N128" s="3">
        <f>IF(AND('Data Source'!B128&lt;&gt;"",'Data Source'!S128="A+"),IF('Data Source'!AF128&gt;=5,"A+",IF('Data Source'!AF128&gt;=4,"A",IF('Data Source'!AF128&gt;=3.5,"A-",IF('Data Source'!AF128&gt;=3,"B",IF('Data Source'!AF128&gt;=2,"C",IF('Data Source'!AF128&gt;=1,"D","F")))))),"")</f>
        <v/>
      </c>
      <c r="O128" s="3">
        <f>IF(AND('Data Source'!B128&lt;&gt;"",'Data Source'!S128="A+"),IF('Data Source'!AG128&gt;=5,"A+",IF('Data Source'!AG128&gt;=4,"A",IF('Data Source'!AG128&gt;=3.5,"A-",IF('Data Source'!AG128&gt;=3,"B",IF('Data Source'!AG128&gt;=2,"C",IF('Data Source'!AG128&gt;=1,"D","F")))))),"")</f>
        <v/>
      </c>
      <c r="P128" s="5">
        <f>IF(AND('Data Source'!B128&lt;&gt;"",'Data Source'!S128="A+"),'Data Source'!R128,"")</f>
        <v/>
      </c>
      <c r="Q128" s="3">
        <f>IF(AND('Data Source'!B128&lt;&gt;"",'Data Source'!S128="A+"),'Data Source'!S128,"")</f>
        <v/>
      </c>
    </row>
    <row r="129">
      <c r="A129" s="3">
        <f>IF(AND('Data Source'!B129&lt;&gt;"",'Data Source'!S129="A+"),COUNTIF('Data Source'!$S$3:S129,"A+"),"")</f>
        <v/>
      </c>
      <c r="B129">
        <f>IF(AND('Data Source'!B129&lt;&gt;"",'Data Source'!S129="A+"),'Data Source'!B129,"")</f>
        <v/>
      </c>
      <c r="C129" s="3">
        <f>IF(AND('Data Source'!B129&lt;&gt;"",'Data Source'!S129="A+"),IF('Data Source'!U129&gt;=5,"A+",IF('Data Source'!U129&gt;=4,"A",IF('Data Source'!U129&gt;=3.5,"A-",IF('Data Source'!U129&gt;=3,"B",IF('Data Source'!U129&gt;=2,"C",IF('Data Source'!U129&gt;=1,"D","F")))))),"")</f>
        <v/>
      </c>
      <c r="D129" s="3">
        <f>IF(AND('Data Source'!B129&lt;&gt;"",'Data Source'!S129="A+"),IF('Data Source'!V129&gt;=5,"A+",IF('Data Source'!V129&gt;=4,"A",IF('Data Source'!V129&gt;=3.5,"A-",IF('Data Source'!V129&gt;=3,"B",IF('Data Source'!V129&gt;=2,"C",IF('Data Source'!V129&gt;=1,"D","F")))))),"")</f>
        <v/>
      </c>
      <c r="E129" s="3">
        <f>IF(AND('Data Source'!B129&lt;&gt;"",'Data Source'!S129="A+"),IF('Data Source'!W129&gt;=5,"A+",IF('Data Source'!W129&gt;=4,"A",IF('Data Source'!W129&gt;=3.5,"A-",IF('Data Source'!W129&gt;=3,"B",IF('Data Source'!W129&gt;=2,"C",IF('Data Source'!W129&gt;=1,"D","F")))))),"")</f>
        <v/>
      </c>
      <c r="F129" s="3">
        <f>IF(AND('Data Source'!B129&lt;&gt;"",'Data Source'!S129="A+"),IF('Data Source'!X129&gt;=5,"A+",IF('Data Source'!X129&gt;=4,"A",IF('Data Source'!X129&gt;=3.5,"A-",IF('Data Source'!X129&gt;=3,"B",IF('Data Source'!X129&gt;=2,"C",IF('Data Source'!X129&gt;=1,"D","F")))))),"")</f>
        <v/>
      </c>
      <c r="G129" s="3">
        <f>IF(AND('Data Source'!B129&lt;&gt;"",'Data Source'!S129="A+"),IF('Data Source'!Y129&gt;=5,"A+",IF('Data Source'!Y129&gt;=4,"A",IF('Data Source'!Y129&gt;=3.5,"A-",IF('Data Source'!Y129&gt;=3,"B",IF('Data Source'!Y129&gt;=2,"C",IF('Data Source'!Y129&gt;=1,"D","F")))))),"")</f>
        <v/>
      </c>
      <c r="H129" s="3">
        <f>IF(AND('Data Source'!B129&lt;&gt;"",'Data Source'!S129="A+"),IF('Data Source'!Z129&gt;=5,"A+",IF('Data Source'!Z129&gt;=4,"A",IF('Data Source'!Z129&gt;=3.5,"A-",IF('Data Source'!Z129&gt;=3,"B",IF('Data Source'!Z129&gt;=2,"C",IF('Data Source'!Z129&gt;=1,"D","F")))))),"")</f>
        <v/>
      </c>
      <c r="I129" s="3">
        <f>IF(AND('Data Source'!B129&lt;&gt;"",'Data Source'!S129="A+"),IF('Data Source'!AA129&gt;=5,"A+",IF('Data Source'!AA129&gt;=4,"A",IF('Data Source'!AA129&gt;=3.5,"A-",IF('Data Source'!AA129&gt;=3,"B",IF('Data Source'!AA129&gt;=2,"C",IF('Data Source'!AA129&gt;=1,"D","F")))))),"")</f>
        <v/>
      </c>
      <c r="J129" s="3">
        <f>IF(AND('Data Source'!B129&lt;&gt;"",'Data Source'!S129="A+"),IF('Data Source'!AB129&gt;=5,"A+",IF('Data Source'!AB129&gt;=4,"A",IF('Data Source'!AB129&gt;=3.5,"A-",IF('Data Source'!AB129&gt;=3,"B",IF('Data Source'!AB129&gt;=2,"C",IF('Data Source'!AB129&gt;=1,"D","F")))))),"")</f>
        <v/>
      </c>
      <c r="K129" s="3">
        <f>IF(AND('Data Source'!B129&lt;&gt;"",'Data Source'!S129="A+"),IF('Data Source'!AC129&gt;=5,"A+",IF('Data Source'!AC129&gt;=4,"A",IF('Data Source'!AC129&gt;=3.5,"A-",IF('Data Source'!AC129&gt;=3,"B",IF('Data Source'!AC129&gt;=2,"C",IF('Data Source'!AC129&gt;=1,"D","F")))))),"")</f>
        <v/>
      </c>
      <c r="L129" s="3">
        <f>IF(AND('Data Source'!B129&lt;&gt;"",'Data Source'!S129="A+"),IF('Data Source'!AD129&gt;=5,"A+",IF('Data Source'!AD129&gt;=4,"A",IF('Data Source'!AD129&gt;=3.5,"A-",IF('Data Source'!AD129&gt;=3,"B",IF('Data Source'!AD129&gt;=2,"C",IF('Data Source'!AD129&gt;=1,"D","F")))))),"")</f>
        <v/>
      </c>
      <c r="M129" s="3">
        <f>IF(AND('Data Source'!B129&lt;&gt;"",'Data Source'!S129="A+"),IF('Data Source'!AE129&gt;=5,"A+",IF('Data Source'!AE129&gt;=4,"A",IF('Data Source'!AE129&gt;=3.5,"A-",IF('Data Source'!AE129&gt;=3,"B",IF('Data Source'!AE129&gt;=2,"C",IF('Data Source'!AE129&gt;=1,"D","F")))))),"")</f>
        <v/>
      </c>
      <c r="N129" s="3">
        <f>IF(AND('Data Source'!B129&lt;&gt;"",'Data Source'!S129="A+"),IF('Data Source'!AF129&gt;=5,"A+",IF('Data Source'!AF129&gt;=4,"A",IF('Data Source'!AF129&gt;=3.5,"A-",IF('Data Source'!AF129&gt;=3,"B",IF('Data Source'!AF129&gt;=2,"C",IF('Data Source'!AF129&gt;=1,"D","F")))))),"")</f>
        <v/>
      </c>
      <c r="O129" s="3">
        <f>IF(AND('Data Source'!B129&lt;&gt;"",'Data Source'!S129="A+"),IF('Data Source'!AG129&gt;=5,"A+",IF('Data Source'!AG129&gt;=4,"A",IF('Data Source'!AG129&gt;=3.5,"A-",IF('Data Source'!AG129&gt;=3,"B",IF('Data Source'!AG129&gt;=2,"C",IF('Data Source'!AG129&gt;=1,"D","F")))))),"")</f>
        <v/>
      </c>
      <c r="P129" s="5">
        <f>IF(AND('Data Source'!B129&lt;&gt;"",'Data Source'!S129="A+"),'Data Source'!R129,"")</f>
        <v/>
      </c>
      <c r="Q129" s="3">
        <f>IF(AND('Data Source'!B129&lt;&gt;"",'Data Source'!S129="A+"),'Data Source'!S129,"")</f>
        <v/>
      </c>
    </row>
    <row r="130">
      <c r="A130" s="3">
        <f>IF(AND('Data Source'!B130&lt;&gt;"",'Data Source'!S130="A+"),COUNTIF('Data Source'!$S$3:S130,"A+"),"")</f>
        <v/>
      </c>
      <c r="B130">
        <f>IF(AND('Data Source'!B130&lt;&gt;"",'Data Source'!S130="A+"),'Data Source'!B130,"")</f>
        <v/>
      </c>
      <c r="C130" s="3">
        <f>IF(AND('Data Source'!B130&lt;&gt;"",'Data Source'!S130="A+"),IF('Data Source'!U130&gt;=5,"A+",IF('Data Source'!U130&gt;=4,"A",IF('Data Source'!U130&gt;=3.5,"A-",IF('Data Source'!U130&gt;=3,"B",IF('Data Source'!U130&gt;=2,"C",IF('Data Source'!U130&gt;=1,"D","F")))))),"")</f>
        <v/>
      </c>
      <c r="D130" s="3">
        <f>IF(AND('Data Source'!B130&lt;&gt;"",'Data Source'!S130="A+"),IF('Data Source'!V130&gt;=5,"A+",IF('Data Source'!V130&gt;=4,"A",IF('Data Source'!V130&gt;=3.5,"A-",IF('Data Source'!V130&gt;=3,"B",IF('Data Source'!V130&gt;=2,"C",IF('Data Source'!V130&gt;=1,"D","F")))))),"")</f>
        <v/>
      </c>
      <c r="E130" s="3">
        <f>IF(AND('Data Source'!B130&lt;&gt;"",'Data Source'!S130="A+"),IF('Data Source'!W130&gt;=5,"A+",IF('Data Source'!W130&gt;=4,"A",IF('Data Source'!W130&gt;=3.5,"A-",IF('Data Source'!W130&gt;=3,"B",IF('Data Source'!W130&gt;=2,"C",IF('Data Source'!W130&gt;=1,"D","F")))))),"")</f>
        <v/>
      </c>
      <c r="F130" s="3">
        <f>IF(AND('Data Source'!B130&lt;&gt;"",'Data Source'!S130="A+"),IF('Data Source'!X130&gt;=5,"A+",IF('Data Source'!X130&gt;=4,"A",IF('Data Source'!X130&gt;=3.5,"A-",IF('Data Source'!X130&gt;=3,"B",IF('Data Source'!X130&gt;=2,"C",IF('Data Source'!X130&gt;=1,"D","F")))))),"")</f>
        <v/>
      </c>
      <c r="G130" s="3">
        <f>IF(AND('Data Source'!B130&lt;&gt;"",'Data Source'!S130="A+"),IF('Data Source'!Y130&gt;=5,"A+",IF('Data Source'!Y130&gt;=4,"A",IF('Data Source'!Y130&gt;=3.5,"A-",IF('Data Source'!Y130&gt;=3,"B",IF('Data Source'!Y130&gt;=2,"C",IF('Data Source'!Y130&gt;=1,"D","F")))))),"")</f>
        <v/>
      </c>
      <c r="H130" s="3">
        <f>IF(AND('Data Source'!B130&lt;&gt;"",'Data Source'!S130="A+"),IF('Data Source'!Z130&gt;=5,"A+",IF('Data Source'!Z130&gt;=4,"A",IF('Data Source'!Z130&gt;=3.5,"A-",IF('Data Source'!Z130&gt;=3,"B",IF('Data Source'!Z130&gt;=2,"C",IF('Data Source'!Z130&gt;=1,"D","F")))))),"")</f>
        <v/>
      </c>
      <c r="I130" s="3">
        <f>IF(AND('Data Source'!B130&lt;&gt;"",'Data Source'!S130="A+"),IF('Data Source'!AA130&gt;=5,"A+",IF('Data Source'!AA130&gt;=4,"A",IF('Data Source'!AA130&gt;=3.5,"A-",IF('Data Source'!AA130&gt;=3,"B",IF('Data Source'!AA130&gt;=2,"C",IF('Data Source'!AA130&gt;=1,"D","F")))))),"")</f>
        <v/>
      </c>
      <c r="J130" s="3">
        <f>IF(AND('Data Source'!B130&lt;&gt;"",'Data Source'!S130="A+"),IF('Data Source'!AB130&gt;=5,"A+",IF('Data Source'!AB130&gt;=4,"A",IF('Data Source'!AB130&gt;=3.5,"A-",IF('Data Source'!AB130&gt;=3,"B",IF('Data Source'!AB130&gt;=2,"C",IF('Data Source'!AB130&gt;=1,"D","F")))))),"")</f>
        <v/>
      </c>
      <c r="K130" s="3">
        <f>IF(AND('Data Source'!B130&lt;&gt;"",'Data Source'!S130="A+"),IF('Data Source'!AC130&gt;=5,"A+",IF('Data Source'!AC130&gt;=4,"A",IF('Data Source'!AC130&gt;=3.5,"A-",IF('Data Source'!AC130&gt;=3,"B",IF('Data Source'!AC130&gt;=2,"C",IF('Data Source'!AC130&gt;=1,"D","F")))))),"")</f>
        <v/>
      </c>
      <c r="L130" s="3">
        <f>IF(AND('Data Source'!B130&lt;&gt;"",'Data Source'!S130="A+"),IF('Data Source'!AD130&gt;=5,"A+",IF('Data Source'!AD130&gt;=4,"A",IF('Data Source'!AD130&gt;=3.5,"A-",IF('Data Source'!AD130&gt;=3,"B",IF('Data Source'!AD130&gt;=2,"C",IF('Data Source'!AD130&gt;=1,"D","F")))))),"")</f>
        <v/>
      </c>
      <c r="M130" s="3">
        <f>IF(AND('Data Source'!B130&lt;&gt;"",'Data Source'!S130="A+"),IF('Data Source'!AE130&gt;=5,"A+",IF('Data Source'!AE130&gt;=4,"A",IF('Data Source'!AE130&gt;=3.5,"A-",IF('Data Source'!AE130&gt;=3,"B",IF('Data Source'!AE130&gt;=2,"C",IF('Data Source'!AE130&gt;=1,"D","F")))))),"")</f>
        <v/>
      </c>
      <c r="N130" s="3">
        <f>IF(AND('Data Source'!B130&lt;&gt;"",'Data Source'!S130="A+"),IF('Data Source'!AF130&gt;=5,"A+",IF('Data Source'!AF130&gt;=4,"A",IF('Data Source'!AF130&gt;=3.5,"A-",IF('Data Source'!AF130&gt;=3,"B",IF('Data Source'!AF130&gt;=2,"C",IF('Data Source'!AF130&gt;=1,"D","F")))))),"")</f>
        <v/>
      </c>
      <c r="O130" s="3">
        <f>IF(AND('Data Source'!B130&lt;&gt;"",'Data Source'!S130="A+"),IF('Data Source'!AG130&gt;=5,"A+",IF('Data Source'!AG130&gt;=4,"A",IF('Data Source'!AG130&gt;=3.5,"A-",IF('Data Source'!AG130&gt;=3,"B",IF('Data Source'!AG130&gt;=2,"C",IF('Data Source'!AG130&gt;=1,"D","F")))))),"")</f>
        <v/>
      </c>
      <c r="P130" s="5">
        <f>IF(AND('Data Source'!B130&lt;&gt;"",'Data Source'!S130="A+"),'Data Source'!R130,"")</f>
        <v/>
      </c>
      <c r="Q130" s="3">
        <f>IF(AND('Data Source'!B130&lt;&gt;"",'Data Source'!S130="A+"),'Data Source'!S130,"")</f>
        <v/>
      </c>
    </row>
    <row r="131">
      <c r="A131" s="3">
        <f>IF(AND('Data Source'!B131&lt;&gt;"",'Data Source'!S131="A+"),COUNTIF('Data Source'!$S$3:S131,"A+"),"")</f>
        <v/>
      </c>
      <c r="B131">
        <f>IF(AND('Data Source'!B131&lt;&gt;"",'Data Source'!S131="A+"),'Data Source'!B131,"")</f>
        <v/>
      </c>
      <c r="C131" s="3">
        <f>IF(AND('Data Source'!B131&lt;&gt;"",'Data Source'!S131="A+"),IF('Data Source'!U131&gt;=5,"A+",IF('Data Source'!U131&gt;=4,"A",IF('Data Source'!U131&gt;=3.5,"A-",IF('Data Source'!U131&gt;=3,"B",IF('Data Source'!U131&gt;=2,"C",IF('Data Source'!U131&gt;=1,"D","F")))))),"")</f>
        <v/>
      </c>
      <c r="D131" s="3">
        <f>IF(AND('Data Source'!B131&lt;&gt;"",'Data Source'!S131="A+"),IF('Data Source'!V131&gt;=5,"A+",IF('Data Source'!V131&gt;=4,"A",IF('Data Source'!V131&gt;=3.5,"A-",IF('Data Source'!V131&gt;=3,"B",IF('Data Source'!V131&gt;=2,"C",IF('Data Source'!V131&gt;=1,"D","F")))))),"")</f>
        <v/>
      </c>
      <c r="E131" s="3">
        <f>IF(AND('Data Source'!B131&lt;&gt;"",'Data Source'!S131="A+"),IF('Data Source'!W131&gt;=5,"A+",IF('Data Source'!W131&gt;=4,"A",IF('Data Source'!W131&gt;=3.5,"A-",IF('Data Source'!W131&gt;=3,"B",IF('Data Source'!W131&gt;=2,"C",IF('Data Source'!W131&gt;=1,"D","F")))))),"")</f>
        <v/>
      </c>
      <c r="F131" s="3">
        <f>IF(AND('Data Source'!B131&lt;&gt;"",'Data Source'!S131="A+"),IF('Data Source'!X131&gt;=5,"A+",IF('Data Source'!X131&gt;=4,"A",IF('Data Source'!X131&gt;=3.5,"A-",IF('Data Source'!X131&gt;=3,"B",IF('Data Source'!X131&gt;=2,"C",IF('Data Source'!X131&gt;=1,"D","F")))))),"")</f>
        <v/>
      </c>
      <c r="G131" s="3">
        <f>IF(AND('Data Source'!B131&lt;&gt;"",'Data Source'!S131="A+"),IF('Data Source'!Y131&gt;=5,"A+",IF('Data Source'!Y131&gt;=4,"A",IF('Data Source'!Y131&gt;=3.5,"A-",IF('Data Source'!Y131&gt;=3,"B",IF('Data Source'!Y131&gt;=2,"C",IF('Data Source'!Y131&gt;=1,"D","F")))))),"")</f>
        <v/>
      </c>
      <c r="H131" s="3">
        <f>IF(AND('Data Source'!B131&lt;&gt;"",'Data Source'!S131="A+"),IF('Data Source'!Z131&gt;=5,"A+",IF('Data Source'!Z131&gt;=4,"A",IF('Data Source'!Z131&gt;=3.5,"A-",IF('Data Source'!Z131&gt;=3,"B",IF('Data Source'!Z131&gt;=2,"C",IF('Data Source'!Z131&gt;=1,"D","F")))))),"")</f>
        <v/>
      </c>
      <c r="I131" s="3">
        <f>IF(AND('Data Source'!B131&lt;&gt;"",'Data Source'!S131="A+"),IF('Data Source'!AA131&gt;=5,"A+",IF('Data Source'!AA131&gt;=4,"A",IF('Data Source'!AA131&gt;=3.5,"A-",IF('Data Source'!AA131&gt;=3,"B",IF('Data Source'!AA131&gt;=2,"C",IF('Data Source'!AA131&gt;=1,"D","F")))))),"")</f>
        <v/>
      </c>
      <c r="J131" s="3">
        <f>IF(AND('Data Source'!B131&lt;&gt;"",'Data Source'!S131="A+"),IF('Data Source'!AB131&gt;=5,"A+",IF('Data Source'!AB131&gt;=4,"A",IF('Data Source'!AB131&gt;=3.5,"A-",IF('Data Source'!AB131&gt;=3,"B",IF('Data Source'!AB131&gt;=2,"C",IF('Data Source'!AB131&gt;=1,"D","F")))))),"")</f>
        <v/>
      </c>
      <c r="K131" s="3">
        <f>IF(AND('Data Source'!B131&lt;&gt;"",'Data Source'!S131="A+"),IF('Data Source'!AC131&gt;=5,"A+",IF('Data Source'!AC131&gt;=4,"A",IF('Data Source'!AC131&gt;=3.5,"A-",IF('Data Source'!AC131&gt;=3,"B",IF('Data Source'!AC131&gt;=2,"C",IF('Data Source'!AC131&gt;=1,"D","F")))))),"")</f>
        <v/>
      </c>
      <c r="L131" s="3">
        <f>IF(AND('Data Source'!B131&lt;&gt;"",'Data Source'!S131="A+"),IF('Data Source'!AD131&gt;=5,"A+",IF('Data Source'!AD131&gt;=4,"A",IF('Data Source'!AD131&gt;=3.5,"A-",IF('Data Source'!AD131&gt;=3,"B",IF('Data Source'!AD131&gt;=2,"C",IF('Data Source'!AD131&gt;=1,"D","F")))))),"")</f>
        <v/>
      </c>
      <c r="M131" s="3">
        <f>IF(AND('Data Source'!B131&lt;&gt;"",'Data Source'!S131="A+"),IF('Data Source'!AE131&gt;=5,"A+",IF('Data Source'!AE131&gt;=4,"A",IF('Data Source'!AE131&gt;=3.5,"A-",IF('Data Source'!AE131&gt;=3,"B",IF('Data Source'!AE131&gt;=2,"C",IF('Data Source'!AE131&gt;=1,"D","F")))))),"")</f>
        <v/>
      </c>
      <c r="N131" s="3">
        <f>IF(AND('Data Source'!B131&lt;&gt;"",'Data Source'!S131="A+"),IF('Data Source'!AF131&gt;=5,"A+",IF('Data Source'!AF131&gt;=4,"A",IF('Data Source'!AF131&gt;=3.5,"A-",IF('Data Source'!AF131&gt;=3,"B",IF('Data Source'!AF131&gt;=2,"C",IF('Data Source'!AF131&gt;=1,"D","F")))))),"")</f>
        <v/>
      </c>
      <c r="O131" s="3">
        <f>IF(AND('Data Source'!B131&lt;&gt;"",'Data Source'!S131="A+"),IF('Data Source'!AG131&gt;=5,"A+",IF('Data Source'!AG131&gt;=4,"A",IF('Data Source'!AG131&gt;=3.5,"A-",IF('Data Source'!AG131&gt;=3,"B",IF('Data Source'!AG131&gt;=2,"C",IF('Data Source'!AG131&gt;=1,"D","F")))))),"")</f>
        <v/>
      </c>
      <c r="P131" s="5">
        <f>IF(AND('Data Source'!B131&lt;&gt;"",'Data Source'!S131="A+"),'Data Source'!R131,"")</f>
        <v/>
      </c>
      <c r="Q131" s="3">
        <f>IF(AND('Data Source'!B131&lt;&gt;"",'Data Source'!S131="A+"),'Data Source'!S131,"")</f>
        <v/>
      </c>
    </row>
    <row r="132">
      <c r="A132" s="3">
        <f>IF(AND('Data Source'!B132&lt;&gt;"",'Data Source'!S132="A+"),COUNTIF('Data Source'!$S$3:S132,"A+"),"")</f>
        <v/>
      </c>
      <c r="B132">
        <f>IF(AND('Data Source'!B132&lt;&gt;"",'Data Source'!S132="A+"),'Data Source'!B132,"")</f>
        <v/>
      </c>
      <c r="C132" s="3">
        <f>IF(AND('Data Source'!B132&lt;&gt;"",'Data Source'!S132="A+"),IF('Data Source'!U132&gt;=5,"A+",IF('Data Source'!U132&gt;=4,"A",IF('Data Source'!U132&gt;=3.5,"A-",IF('Data Source'!U132&gt;=3,"B",IF('Data Source'!U132&gt;=2,"C",IF('Data Source'!U132&gt;=1,"D","F")))))),"")</f>
        <v/>
      </c>
      <c r="D132" s="3">
        <f>IF(AND('Data Source'!B132&lt;&gt;"",'Data Source'!S132="A+"),IF('Data Source'!V132&gt;=5,"A+",IF('Data Source'!V132&gt;=4,"A",IF('Data Source'!V132&gt;=3.5,"A-",IF('Data Source'!V132&gt;=3,"B",IF('Data Source'!V132&gt;=2,"C",IF('Data Source'!V132&gt;=1,"D","F")))))),"")</f>
        <v/>
      </c>
      <c r="E132" s="3">
        <f>IF(AND('Data Source'!B132&lt;&gt;"",'Data Source'!S132="A+"),IF('Data Source'!W132&gt;=5,"A+",IF('Data Source'!W132&gt;=4,"A",IF('Data Source'!W132&gt;=3.5,"A-",IF('Data Source'!W132&gt;=3,"B",IF('Data Source'!W132&gt;=2,"C",IF('Data Source'!W132&gt;=1,"D","F")))))),"")</f>
        <v/>
      </c>
      <c r="F132" s="3">
        <f>IF(AND('Data Source'!B132&lt;&gt;"",'Data Source'!S132="A+"),IF('Data Source'!X132&gt;=5,"A+",IF('Data Source'!X132&gt;=4,"A",IF('Data Source'!X132&gt;=3.5,"A-",IF('Data Source'!X132&gt;=3,"B",IF('Data Source'!X132&gt;=2,"C",IF('Data Source'!X132&gt;=1,"D","F")))))),"")</f>
        <v/>
      </c>
      <c r="G132" s="3">
        <f>IF(AND('Data Source'!B132&lt;&gt;"",'Data Source'!S132="A+"),IF('Data Source'!Y132&gt;=5,"A+",IF('Data Source'!Y132&gt;=4,"A",IF('Data Source'!Y132&gt;=3.5,"A-",IF('Data Source'!Y132&gt;=3,"B",IF('Data Source'!Y132&gt;=2,"C",IF('Data Source'!Y132&gt;=1,"D","F")))))),"")</f>
        <v/>
      </c>
      <c r="H132" s="3">
        <f>IF(AND('Data Source'!B132&lt;&gt;"",'Data Source'!S132="A+"),IF('Data Source'!Z132&gt;=5,"A+",IF('Data Source'!Z132&gt;=4,"A",IF('Data Source'!Z132&gt;=3.5,"A-",IF('Data Source'!Z132&gt;=3,"B",IF('Data Source'!Z132&gt;=2,"C",IF('Data Source'!Z132&gt;=1,"D","F")))))),"")</f>
        <v/>
      </c>
      <c r="I132" s="3">
        <f>IF(AND('Data Source'!B132&lt;&gt;"",'Data Source'!S132="A+"),IF('Data Source'!AA132&gt;=5,"A+",IF('Data Source'!AA132&gt;=4,"A",IF('Data Source'!AA132&gt;=3.5,"A-",IF('Data Source'!AA132&gt;=3,"B",IF('Data Source'!AA132&gt;=2,"C",IF('Data Source'!AA132&gt;=1,"D","F")))))),"")</f>
        <v/>
      </c>
      <c r="J132" s="3">
        <f>IF(AND('Data Source'!B132&lt;&gt;"",'Data Source'!S132="A+"),IF('Data Source'!AB132&gt;=5,"A+",IF('Data Source'!AB132&gt;=4,"A",IF('Data Source'!AB132&gt;=3.5,"A-",IF('Data Source'!AB132&gt;=3,"B",IF('Data Source'!AB132&gt;=2,"C",IF('Data Source'!AB132&gt;=1,"D","F")))))),"")</f>
        <v/>
      </c>
      <c r="K132" s="3">
        <f>IF(AND('Data Source'!B132&lt;&gt;"",'Data Source'!S132="A+"),IF('Data Source'!AC132&gt;=5,"A+",IF('Data Source'!AC132&gt;=4,"A",IF('Data Source'!AC132&gt;=3.5,"A-",IF('Data Source'!AC132&gt;=3,"B",IF('Data Source'!AC132&gt;=2,"C",IF('Data Source'!AC132&gt;=1,"D","F")))))),"")</f>
        <v/>
      </c>
      <c r="L132" s="3">
        <f>IF(AND('Data Source'!B132&lt;&gt;"",'Data Source'!S132="A+"),IF('Data Source'!AD132&gt;=5,"A+",IF('Data Source'!AD132&gt;=4,"A",IF('Data Source'!AD132&gt;=3.5,"A-",IF('Data Source'!AD132&gt;=3,"B",IF('Data Source'!AD132&gt;=2,"C",IF('Data Source'!AD132&gt;=1,"D","F")))))),"")</f>
        <v/>
      </c>
      <c r="M132" s="3">
        <f>IF(AND('Data Source'!B132&lt;&gt;"",'Data Source'!S132="A+"),IF('Data Source'!AE132&gt;=5,"A+",IF('Data Source'!AE132&gt;=4,"A",IF('Data Source'!AE132&gt;=3.5,"A-",IF('Data Source'!AE132&gt;=3,"B",IF('Data Source'!AE132&gt;=2,"C",IF('Data Source'!AE132&gt;=1,"D","F")))))),"")</f>
        <v/>
      </c>
      <c r="N132" s="3">
        <f>IF(AND('Data Source'!B132&lt;&gt;"",'Data Source'!S132="A+"),IF('Data Source'!AF132&gt;=5,"A+",IF('Data Source'!AF132&gt;=4,"A",IF('Data Source'!AF132&gt;=3.5,"A-",IF('Data Source'!AF132&gt;=3,"B",IF('Data Source'!AF132&gt;=2,"C",IF('Data Source'!AF132&gt;=1,"D","F")))))),"")</f>
        <v/>
      </c>
      <c r="O132" s="3">
        <f>IF(AND('Data Source'!B132&lt;&gt;"",'Data Source'!S132="A+"),IF('Data Source'!AG132&gt;=5,"A+",IF('Data Source'!AG132&gt;=4,"A",IF('Data Source'!AG132&gt;=3.5,"A-",IF('Data Source'!AG132&gt;=3,"B",IF('Data Source'!AG132&gt;=2,"C",IF('Data Source'!AG132&gt;=1,"D","F")))))),"")</f>
        <v/>
      </c>
      <c r="P132" s="5">
        <f>IF(AND('Data Source'!B132&lt;&gt;"",'Data Source'!S132="A+"),'Data Source'!R132,"")</f>
        <v/>
      </c>
      <c r="Q132" s="3">
        <f>IF(AND('Data Source'!B132&lt;&gt;"",'Data Source'!S132="A+"),'Data Source'!S132,"")</f>
        <v/>
      </c>
    </row>
    <row r="133">
      <c r="A133" s="3">
        <f>IF(AND('Data Source'!B133&lt;&gt;"",'Data Source'!S133="A+"),COUNTIF('Data Source'!$S$3:S133,"A+"),"")</f>
        <v/>
      </c>
      <c r="B133">
        <f>IF(AND('Data Source'!B133&lt;&gt;"",'Data Source'!S133="A+"),'Data Source'!B133,"")</f>
        <v/>
      </c>
      <c r="C133" s="3">
        <f>IF(AND('Data Source'!B133&lt;&gt;"",'Data Source'!S133="A+"),IF('Data Source'!U133&gt;=5,"A+",IF('Data Source'!U133&gt;=4,"A",IF('Data Source'!U133&gt;=3.5,"A-",IF('Data Source'!U133&gt;=3,"B",IF('Data Source'!U133&gt;=2,"C",IF('Data Source'!U133&gt;=1,"D","F")))))),"")</f>
        <v/>
      </c>
      <c r="D133" s="3">
        <f>IF(AND('Data Source'!B133&lt;&gt;"",'Data Source'!S133="A+"),IF('Data Source'!V133&gt;=5,"A+",IF('Data Source'!V133&gt;=4,"A",IF('Data Source'!V133&gt;=3.5,"A-",IF('Data Source'!V133&gt;=3,"B",IF('Data Source'!V133&gt;=2,"C",IF('Data Source'!V133&gt;=1,"D","F")))))),"")</f>
        <v/>
      </c>
      <c r="E133" s="3">
        <f>IF(AND('Data Source'!B133&lt;&gt;"",'Data Source'!S133="A+"),IF('Data Source'!W133&gt;=5,"A+",IF('Data Source'!W133&gt;=4,"A",IF('Data Source'!W133&gt;=3.5,"A-",IF('Data Source'!W133&gt;=3,"B",IF('Data Source'!W133&gt;=2,"C",IF('Data Source'!W133&gt;=1,"D","F")))))),"")</f>
        <v/>
      </c>
      <c r="F133" s="3">
        <f>IF(AND('Data Source'!B133&lt;&gt;"",'Data Source'!S133="A+"),IF('Data Source'!X133&gt;=5,"A+",IF('Data Source'!X133&gt;=4,"A",IF('Data Source'!X133&gt;=3.5,"A-",IF('Data Source'!X133&gt;=3,"B",IF('Data Source'!X133&gt;=2,"C",IF('Data Source'!X133&gt;=1,"D","F")))))),"")</f>
        <v/>
      </c>
      <c r="G133" s="3">
        <f>IF(AND('Data Source'!B133&lt;&gt;"",'Data Source'!S133="A+"),IF('Data Source'!Y133&gt;=5,"A+",IF('Data Source'!Y133&gt;=4,"A",IF('Data Source'!Y133&gt;=3.5,"A-",IF('Data Source'!Y133&gt;=3,"B",IF('Data Source'!Y133&gt;=2,"C",IF('Data Source'!Y133&gt;=1,"D","F")))))),"")</f>
        <v/>
      </c>
      <c r="H133" s="3">
        <f>IF(AND('Data Source'!B133&lt;&gt;"",'Data Source'!S133="A+"),IF('Data Source'!Z133&gt;=5,"A+",IF('Data Source'!Z133&gt;=4,"A",IF('Data Source'!Z133&gt;=3.5,"A-",IF('Data Source'!Z133&gt;=3,"B",IF('Data Source'!Z133&gt;=2,"C",IF('Data Source'!Z133&gt;=1,"D","F")))))),"")</f>
        <v/>
      </c>
      <c r="I133" s="3">
        <f>IF(AND('Data Source'!B133&lt;&gt;"",'Data Source'!S133="A+"),IF('Data Source'!AA133&gt;=5,"A+",IF('Data Source'!AA133&gt;=4,"A",IF('Data Source'!AA133&gt;=3.5,"A-",IF('Data Source'!AA133&gt;=3,"B",IF('Data Source'!AA133&gt;=2,"C",IF('Data Source'!AA133&gt;=1,"D","F")))))),"")</f>
        <v/>
      </c>
      <c r="J133" s="3">
        <f>IF(AND('Data Source'!B133&lt;&gt;"",'Data Source'!S133="A+"),IF('Data Source'!AB133&gt;=5,"A+",IF('Data Source'!AB133&gt;=4,"A",IF('Data Source'!AB133&gt;=3.5,"A-",IF('Data Source'!AB133&gt;=3,"B",IF('Data Source'!AB133&gt;=2,"C",IF('Data Source'!AB133&gt;=1,"D","F")))))),"")</f>
        <v/>
      </c>
      <c r="K133" s="3">
        <f>IF(AND('Data Source'!B133&lt;&gt;"",'Data Source'!S133="A+"),IF('Data Source'!AC133&gt;=5,"A+",IF('Data Source'!AC133&gt;=4,"A",IF('Data Source'!AC133&gt;=3.5,"A-",IF('Data Source'!AC133&gt;=3,"B",IF('Data Source'!AC133&gt;=2,"C",IF('Data Source'!AC133&gt;=1,"D","F")))))),"")</f>
        <v/>
      </c>
      <c r="L133" s="3">
        <f>IF(AND('Data Source'!B133&lt;&gt;"",'Data Source'!S133="A+"),IF('Data Source'!AD133&gt;=5,"A+",IF('Data Source'!AD133&gt;=4,"A",IF('Data Source'!AD133&gt;=3.5,"A-",IF('Data Source'!AD133&gt;=3,"B",IF('Data Source'!AD133&gt;=2,"C",IF('Data Source'!AD133&gt;=1,"D","F")))))),"")</f>
        <v/>
      </c>
      <c r="M133" s="3">
        <f>IF(AND('Data Source'!B133&lt;&gt;"",'Data Source'!S133="A+"),IF('Data Source'!AE133&gt;=5,"A+",IF('Data Source'!AE133&gt;=4,"A",IF('Data Source'!AE133&gt;=3.5,"A-",IF('Data Source'!AE133&gt;=3,"B",IF('Data Source'!AE133&gt;=2,"C",IF('Data Source'!AE133&gt;=1,"D","F")))))),"")</f>
        <v/>
      </c>
      <c r="N133" s="3">
        <f>IF(AND('Data Source'!B133&lt;&gt;"",'Data Source'!S133="A+"),IF('Data Source'!AF133&gt;=5,"A+",IF('Data Source'!AF133&gt;=4,"A",IF('Data Source'!AF133&gt;=3.5,"A-",IF('Data Source'!AF133&gt;=3,"B",IF('Data Source'!AF133&gt;=2,"C",IF('Data Source'!AF133&gt;=1,"D","F")))))),"")</f>
        <v/>
      </c>
      <c r="O133" s="3">
        <f>IF(AND('Data Source'!B133&lt;&gt;"",'Data Source'!S133="A+"),IF('Data Source'!AG133&gt;=5,"A+",IF('Data Source'!AG133&gt;=4,"A",IF('Data Source'!AG133&gt;=3.5,"A-",IF('Data Source'!AG133&gt;=3,"B",IF('Data Source'!AG133&gt;=2,"C",IF('Data Source'!AG133&gt;=1,"D","F")))))),"")</f>
        <v/>
      </c>
      <c r="P133" s="5">
        <f>IF(AND('Data Source'!B133&lt;&gt;"",'Data Source'!S133="A+"),'Data Source'!R133,"")</f>
        <v/>
      </c>
      <c r="Q133" s="3">
        <f>IF(AND('Data Source'!B133&lt;&gt;"",'Data Source'!S133="A+"),'Data Source'!S133,"")</f>
        <v/>
      </c>
    </row>
    <row r="134">
      <c r="A134" s="3">
        <f>IF(AND('Data Source'!B134&lt;&gt;"",'Data Source'!S134="A+"),COUNTIF('Data Source'!$S$3:S134,"A+"),"")</f>
        <v/>
      </c>
      <c r="B134">
        <f>IF(AND('Data Source'!B134&lt;&gt;"",'Data Source'!S134="A+"),'Data Source'!B134,"")</f>
        <v/>
      </c>
      <c r="C134" s="3">
        <f>IF(AND('Data Source'!B134&lt;&gt;"",'Data Source'!S134="A+"),IF('Data Source'!U134&gt;=5,"A+",IF('Data Source'!U134&gt;=4,"A",IF('Data Source'!U134&gt;=3.5,"A-",IF('Data Source'!U134&gt;=3,"B",IF('Data Source'!U134&gt;=2,"C",IF('Data Source'!U134&gt;=1,"D","F")))))),"")</f>
        <v/>
      </c>
      <c r="D134" s="3">
        <f>IF(AND('Data Source'!B134&lt;&gt;"",'Data Source'!S134="A+"),IF('Data Source'!V134&gt;=5,"A+",IF('Data Source'!V134&gt;=4,"A",IF('Data Source'!V134&gt;=3.5,"A-",IF('Data Source'!V134&gt;=3,"B",IF('Data Source'!V134&gt;=2,"C",IF('Data Source'!V134&gt;=1,"D","F")))))),"")</f>
        <v/>
      </c>
      <c r="E134" s="3">
        <f>IF(AND('Data Source'!B134&lt;&gt;"",'Data Source'!S134="A+"),IF('Data Source'!W134&gt;=5,"A+",IF('Data Source'!W134&gt;=4,"A",IF('Data Source'!W134&gt;=3.5,"A-",IF('Data Source'!W134&gt;=3,"B",IF('Data Source'!W134&gt;=2,"C",IF('Data Source'!W134&gt;=1,"D","F")))))),"")</f>
        <v/>
      </c>
      <c r="F134" s="3">
        <f>IF(AND('Data Source'!B134&lt;&gt;"",'Data Source'!S134="A+"),IF('Data Source'!X134&gt;=5,"A+",IF('Data Source'!X134&gt;=4,"A",IF('Data Source'!X134&gt;=3.5,"A-",IF('Data Source'!X134&gt;=3,"B",IF('Data Source'!X134&gt;=2,"C",IF('Data Source'!X134&gt;=1,"D","F")))))),"")</f>
        <v/>
      </c>
      <c r="G134" s="3">
        <f>IF(AND('Data Source'!B134&lt;&gt;"",'Data Source'!S134="A+"),IF('Data Source'!Y134&gt;=5,"A+",IF('Data Source'!Y134&gt;=4,"A",IF('Data Source'!Y134&gt;=3.5,"A-",IF('Data Source'!Y134&gt;=3,"B",IF('Data Source'!Y134&gt;=2,"C",IF('Data Source'!Y134&gt;=1,"D","F")))))),"")</f>
        <v/>
      </c>
      <c r="H134" s="3">
        <f>IF(AND('Data Source'!B134&lt;&gt;"",'Data Source'!S134="A+"),IF('Data Source'!Z134&gt;=5,"A+",IF('Data Source'!Z134&gt;=4,"A",IF('Data Source'!Z134&gt;=3.5,"A-",IF('Data Source'!Z134&gt;=3,"B",IF('Data Source'!Z134&gt;=2,"C",IF('Data Source'!Z134&gt;=1,"D","F")))))),"")</f>
        <v/>
      </c>
      <c r="I134" s="3">
        <f>IF(AND('Data Source'!B134&lt;&gt;"",'Data Source'!S134="A+"),IF('Data Source'!AA134&gt;=5,"A+",IF('Data Source'!AA134&gt;=4,"A",IF('Data Source'!AA134&gt;=3.5,"A-",IF('Data Source'!AA134&gt;=3,"B",IF('Data Source'!AA134&gt;=2,"C",IF('Data Source'!AA134&gt;=1,"D","F")))))),"")</f>
        <v/>
      </c>
      <c r="J134" s="3">
        <f>IF(AND('Data Source'!B134&lt;&gt;"",'Data Source'!S134="A+"),IF('Data Source'!AB134&gt;=5,"A+",IF('Data Source'!AB134&gt;=4,"A",IF('Data Source'!AB134&gt;=3.5,"A-",IF('Data Source'!AB134&gt;=3,"B",IF('Data Source'!AB134&gt;=2,"C",IF('Data Source'!AB134&gt;=1,"D","F")))))),"")</f>
        <v/>
      </c>
      <c r="K134" s="3">
        <f>IF(AND('Data Source'!B134&lt;&gt;"",'Data Source'!S134="A+"),IF('Data Source'!AC134&gt;=5,"A+",IF('Data Source'!AC134&gt;=4,"A",IF('Data Source'!AC134&gt;=3.5,"A-",IF('Data Source'!AC134&gt;=3,"B",IF('Data Source'!AC134&gt;=2,"C",IF('Data Source'!AC134&gt;=1,"D","F")))))),"")</f>
        <v/>
      </c>
      <c r="L134" s="3">
        <f>IF(AND('Data Source'!B134&lt;&gt;"",'Data Source'!S134="A+"),IF('Data Source'!AD134&gt;=5,"A+",IF('Data Source'!AD134&gt;=4,"A",IF('Data Source'!AD134&gt;=3.5,"A-",IF('Data Source'!AD134&gt;=3,"B",IF('Data Source'!AD134&gt;=2,"C",IF('Data Source'!AD134&gt;=1,"D","F")))))),"")</f>
        <v/>
      </c>
      <c r="M134" s="3">
        <f>IF(AND('Data Source'!B134&lt;&gt;"",'Data Source'!S134="A+"),IF('Data Source'!AE134&gt;=5,"A+",IF('Data Source'!AE134&gt;=4,"A",IF('Data Source'!AE134&gt;=3.5,"A-",IF('Data Source'!AE134&gt;=3,"B",IF('Data Source'!AE134&gt;=2,"C",IF('Data Source'!AE134&gt;=1,"D","F")))))),"")</f>
        <v/>
      </c>
      <c r="N134" s="3">
        <f>IF(AND('Data Source'!B134&lt;&gt;"",'Data Source'!S134="A+"),IF('Data Source'!AF134&gt;=5,"A+",IF('Data Source'!AF134&gt;=4,"A",IF('Data Source'!AF134&gt;=3.5,"A-",IF('Data Source'!AF134&gt;=3,"B",IF('Data Source'!AF134&gt;=2,"C",IF('Data Source'!AF134&gt;=1,"D","F")))))),"")</f>
        <v/>
      </c>
      <c r="O134" s="3">
        <f>IF(AND('Data Source'!B134&lt;&gt;"",'Data Source'!S134="A+"),IF('Data Source'!AG134&gt;=5,"A+",IF('Data Source'!AG134&gt;=4,"A",IF('Data Source'!AG134&gt;=3.5,"A-",IF('Data Source'!AG134&gt;=3,"B",IF('Data Source'!AG134&gt;=2,"C",IF('Data Source'!AG134&gt;=1,"D","F")))))),"")</f>
        <v/>
      </c>
      <c r="P134" s="5">
        <f>IF(AND('Data Source'!B134&lt;&gt;"",'Data Source'!S134="A+"),'Data Source'!R134,"")</f>
        <v/>
      </c>
      <c r="Q134" s="3">
        <f>IF(AND('Data Source'!B134&lt;&gt;"",'Data Source'!S134="A+"),'Data Source'!S134,"")</f>
        <v/>
      </c>
    </row>
    <row r="135">
      <c r="A135" s="3">
        <f>IF(AND('Data Source'!B135&lt;&gt;"",'Data Source'!S135="A+"),COUNTIF('Data Source'!$S$3:S135,"A+"),"")</f>
        <v/>
      </c>
      <c r="B135">
        <f>IF(AND('Data Source'!B135&lt;&gt;"",'Data Source'!S135="A+"),'Data Source'!B135,"")</f>
        <v/>
      </c>
      <c r="C135" s="3">
        <f>IF(AND('Data Source'!B135&lt;&gt;"",'Data Source'!S135="A+"),IF('Data Source'!U135&gt;=5,"A+",IF('Data Source'!U135&gt;=4,"A",IF('Data Source'!U135&gt;=3.5,"A-",IF('Data Source'!U135&gt;=3,"B",IF('Data Source'!U135&gt;=2,"C",IF('Data Source'!U135&gt;=1,"D","F")))))),"")</f>
        <v/>
      </c>
      <c r="D135" s="3">
        <f>IF(AND('Data Source'!B135&lt;&gt;"",'Data Source'!S135="A+"),IF('Data Source'!V135&gt;=5,"A+",IF('Data Source'!V135&gt;=4,"A",IF('Data Source'!V135&gt;=3.5,"A-",IF('Data Source'!V135&gt;=3,"B",IF('Data Source'!V135&gt;=2,"C",IF('Data Source'!V135&gt;=1,"D","F")))))),"")</f>
        <v/>
      </c>
      <c r="E135" s="3">
        <f>IF(AND('Data Source'!B135&lt;&gt;"",'Data Source'!S135="A+"),IF('Data Source'!W135&gt;=5,"A+",IF('Data Source'!W135&gt;=4,"A",IF('Data Source'!W135&gt;=3.5,"A-",IF('Data Source'!W135&gt;=3,"B",IF('Data Source'!W135&gt;=2,"C",IF('Data Source'!W135&gt;=1,"D","F")))))),"")</f>
        <v/>
      </c>
      <c r="F135" s="3">
        <f>IF(AND('Data Source'!B135&lt;&gt;"",'Data Source'!S135="A+"),IF('Data Source'!X135&gt;=5,"A+",IF('Data Source'!X135&gt;=4,"A",IF('Data Source'!X135&gt;=3.5,"A-",IF('Data Source'!X135&gt;=3,"B",IF('Data Source'!X135&gt;=2,"C",IF('Data Source'!X135&gt;=1,"D","F")))))),"")</f>
        <v/>
      </c>
      <c r="G135" s="3">
        <f>IF(AND('Data Source'!B135&lt;&gt;"",'Data Source'!S135="A+"),IF('Data Source'!Y135&gt;=5,"A+",IF('Data Source'!Y135&gt;=4,"A",IF('Data Source'!Y135&gt;=3.5,"A-",IF('Data Source'!Y135&gt;=3,"B",IF('Data Source'!Y135&gt;=2,"C",IF('Data Source'!Y135&gt;=1,"D","F")))))),"")</f>
        <v/>
      </c>
      <c r="H135" s="3">
        <f>IF(AND('Data Source'!B135&lt;&gt;"",'Data Source'!S135="A+"),IF('Data Source'!Z135&gt;=5,"A+",IF('Data Source'!Z135&gt;=4,"A",IF('Data Source'!Z135&gt;=3.5,"A-",IF('Data Source'!Z135&gt;=3,"B",IF('Data Source'!Z135&gt;=2,"C",IF('Data Source'!Z135&gt;=1,"D","F")))))),"")</f>
        <v/>
      </c>
      <c r="I135" s="3">
        <f>IF(AND('Data Source'!B135&lt;&gt;"",'Data Source'!S135="A+"),IF('Data Source'!AA135&gt;=5,"A+",IF('Data Source'!AA135&gt;=4,"A",IF('Data Source'!AA135&gt;=3.5,"A-",IF('Data Source'!AA135&gt;=3,"B",IF('Data Source'!AA135&gt;=2,"C",IF('Data Source'!AA135&gt;=1,"D","F")))))),"")</f>
        <v/>
      </c>
      <c r="J135" s="3">
        <f>IF(AND('Data Source'!B135&lt;&gt;"",'Data Source'!S135="A+"),IF('Data Source'!AB135&gt;=5,"A+",IF('Data Source'!AB135&gt;=4,"A",IF('Data Source'!AB135&gt;=3.5,"A-",IF('Data Source'!AB135&gt;=3,"B",IF('Data Source'!AB135&gt;=2,"C",IF('Data Source'!AB135&gt;=1,"D","F")))))),"")</f>
        <v/>
      </c>
      <c r="K135" s="3">
        <f>IF(AND('Data Source'!B135&lt;&gt;"",'Data Source'!S135="A+"),IF('Data Source'!AC135&gt;=5,"A+",IF('Data Source'!AC135&gt;=4,"A",IF('Data Source'!AC135&gt;=3.5,"A-",IF('Data Source'!AC135&gt;=3,"B",IF('Data Source'!AC135&gt;=2,"C",IF('Data Source'!AC135&gt;=1,"D","F")))))),"")</f>
        <v/>
      </c>
      <c r="L135" s="3">
        <f>IF(AND('Data Source'!B135&lt;&gt;"",'Data Source'!S135="A+"),IF('Data Source'!AD135&gt;=5,"A+",IF('Data Source'!AD135&gt;=4,"A",IF('Data Source'!AD135&gt;=3.5,"A-",IF('Data Source'!AD135&gt;=3,"B",IF('Data Source'!AD135&gt;=2,"C",IF('Data Source'!AD135&gt;=1,"D","F")))))),"")</f>
        <v/>
      </c>
      <c r="M135" s="3">
        <f>IF(AND('Data Source'!B135&lt;&gt;"",'Data Source'!S135="A+"),IF('Data Source'!AE135&gt;=5,"A+",IF('Data Source'!AE135&gt;=4,"A",IF('Data Source'!AE135&gt;=3.5,"A-",IF('Data Source'!AE135&gt;=3,"B",IF('Data Source'!AE135&gt;=2,"C",IF('Data Source'!AE135&gt;=1,"D","F")))))),"")</f>
        <v/>
      </c>
      <c r="N135" s="3">
        <f>IF(AND('Data Source'!B135&lt;&gt;"",'Data Source'!S135="A+"),IF('Data Source'!AF135&gt;=5,"A+",IF('Data Source'!AF135&gt;=4,"A",IF('Data Source'!AF135&gt;=3.5,"A-",IF('Data Source'!AF135&gt;=3,"B",IF('Data Source'!AF135&gt;=2,"C",IF('Data Source'!AF135&gt;=1,"D","F")))))),"")</f>
        <v/>
      </c>
      <c r="O135" s="3">
        <f>IF(AND('Data Source'!B135&lt;&gt;"",'Data Source'!S135="A+"),IF('Data Source'!AG135&gt;=5,"A+",IF('Data Source'!AG135&gt;=4,"A",IF('Data Source'!AG135&gt;=3.5,"A-",IF('Data Source'!AG135&gt;=3,"B",IF('Data Source'!AG135&gt;=2,"C",IF('Data Source'!AG135&gt;=1,"D","F")))))),"")</f>
        <v/>
      </c>
      <c r="P135" s="5">
        <f>IF(AND('Data Source'!B135&lt;&gt;"",'Data Source'!S135="A+"),'Data Source'!R135,"")</f>
        <v/>
      </c>
      <c r="Q135" s="3">
        <f>IF(AND('Data Source'!B135&lt;&gt;"",'Data Source'!S135="A+"),'Data Source'!S135,"")</f>
        <v/>
      </c>
    </row>
    <row r="136">
      <c r="A136" s="3">
        <f>IF(AND('Data Source'!B136&lt;&gt;"",'Data Source'!S136="A+"),COUNTIF('Data Source'!$S$3:S136,"A+"),"")</f>
        <v/>
      </c>
      <c r="B136">
        <f>IF(AND('Data Source'!B136&lt;&gt;"",'Data Source'!S136="A+"),'Data Source'!B136,"")</f>
        <v/>
      </c>
      <c r="C136" s="3">
        <f>IF(AND('Data Source'!B136&lt;&gt;"",'Data Source'!S136="A+"),IF('Data Source'!U136&gt;=5,"A+",IF('Data Source'!U136&gt;=4,"A",IF('Data Source'!U136&gt;=3.5,"A-",IF('Data Source'!U136&gt;=3,"B",IF('Data Source'!U136&gt;=2,"C",IF('Data Source'!U136&gt;=1,"D","F")))))),"")</f>
        <v/>
      </c>
      <c r="D136" s="3">
        <f>IF(AND('Data Source'!B136&lt;&gt;"",'Data Source'!S136="A+"),IF('Data Source'!V136&gt;=5,"A+",IF('Data Source'!V136&gt;=4,"A",IF('Data Source'!V136&gt;=3.5,"A-",IF('Data Source'!V136&gt;=3,"B",IF('Data Source'!V136&gt;=2,"C",IF('Data Source'!V136&gt;=1,"D","F")))))),"")</f>
        <v/>
      </c>
      <c r="E136" s="3">
        <f>IF(AND('Data Source'!B136&lt;&gt;"",'Data Source'!S136="A+"),IF('Data Source'!W136&gt;=5,"A+",IF('Data Source'!W136&gt;=4,"A",IF('Data Source'!W136&gt;=3.5,"A-",IF('Data Source'!W136&gt;=3,"B",IF('Data Source'!W136&gt;=2,"C",IF('Data Source'!W136&gt;=1,"D","F")))))),"")</f>
        <v/>
      </c>
      <c r="F136" s="3">
        <f>IF(AND('Data Source'!B136&lt;&gt;"",'Data Source'!S136="A+"),IF('Data Source'!X136&gt;=5,"A+",IF('Data Source'!X136&gt;=4,"A",IF('Data Source'!X136&gt;=3.5,"A-",IF('Data Source'!X136&gt;=3,"B",IF('Data Source'!X136&gt;=2,"C",IF('Data Source'!X136&gt;=1,"D","F")))))),"")</f>
        <v/>
      </c>
      <c r="G136" s="3">
        <f>IF(AND('Data Source'!B136&lt;&gt;"",'Data Source'!S136="A+"),IF('Data Source'!Y136&gt;=5,"A+",IF('Data Source'!Y136&gt;=4,"A",IF('Data Source'!Y136&gt;=3.5,"A-",IF('Data Source'!Y136&gt;=3,"B",IF('Data Source'!Y136&gt;=2,"C",IF('Data Source'!Y136&gt;=1,"D","F")))))),"")</f>
        <v/>
      </c>
      <c r="H136" s="3">
        <f>IF(AND('Data Source'!B136&lt;&gt;"",'Data Source'!S136="A+"),IF('Data Source'!Z136&gt;=5,"A+",IF('Data Source'!Z136&gt;=4,"A",IF('Data Source'!Z136&gt;=3.5,"A-",IF('Data Source'!Z136&gt;=3,"B",IF('Data Source'!Z136&gt;=2,"C",IF('Data Source'!Z136&gt;=1,"D","F")))))),"")</f>
        <v/>
      </c>
      <c r="I136" s="3">
        <f>IF(AND('Data Source'!B136&lt;&gt;"",'Data Source'!S136="A+"),IF('Data Source'!AA136&gt;=5,"A+",IF('Data Source'!AA136&gt;=4,"A",IF('Data Source'!AA136&gt;=3.5,"A-",IF('Data Source'!AA136&gt;=3,"B",IF('Data Source'!AA136&gt;=2,"C",IF('Data Source'!AA136&gt;=1,"D","F")))))),"")</f>
        <v/>
      </c>
      <c r="J136" s="3">
        <f>IF(AND('Data Source'!B136&lt;&gt;"",'Data Source'!S136="A+"),IF('Data Source'!AB136&gt;=5,"A+",IF('Data Source'!AB136&gt;=4,"A",IF('Data Source'!AB136&gt;=3.5,"A-",IF('Data Source'!AB136&gt;=3,"B",IF('Data Source'!AB136&gt;=2,"C",IF('Data Source'!AB136&gt;=1,"D","F")))))),"")</f>
        <v/>
      </c>
      <c r="K136" s="3">
        <f>IF(AND('Data Source'!B136&lt;&gt;"",'Data Source'!S136="A+"),IF('Data Source'!AC136&gt;=5,"A+",IF('Data Source'!AC136&gt;=4,"A",IF('Data Source'!AC136&gt;=3.5,"A-",IF('Data Source'!AC136&gt;=3,"B",IF('Data Source'!AC136&gt;=2,"C",IF('Data Source'!AC136&gt;=1,"D","F")))))),"")</f>
        <v/>
      </c>
      <c r="L136" s="3">
        <f>IF(AND('Data Source'!B136&lt;&gt;"",'Data Source'!S136="A+"),IF('Data Source'!AD136&gt;=5,"A+",IF('Data Source'!AD136&gt;=4,"A",IF('Data Source'!AD136&gt;=3.5,"A-",IF('Data Source'!AD136&gt;=3,"B",IF('Data Source'!AD136&gt;=2,"C",IF('Data Source'!AD136&gt;=1,"D","F")))))),"")</f>
        <v/>
      </c>
      <c r="M136" s="3">
        <f>IF(AND('Data Source'!B136&lt;&gt;"",'Data Source'!S136="A+"),IF('Data Source'!AE136&gt;=5,"A+",IF('Data Source'!AE136&gt;=4,"A",IF('Data Source'!AE136&gt;=3.5,"A-",IF('Data Source'!AE136&gt;=3,"B",IF('Data Source'!AE136&gt;=2,"C",IF('Data Source'!AE136&gt;=1,"D","F")))))),"")</f>
        <v/>
      </c>
      <c r="N136" s="3">
        <f>IF(AND('Data Source'!B136&lt;&gt;"",'Data Source'!S136="A+"),IF('Data Source'!AF136&gt;=5,"A+",IF('Data Source'!AF136&gt;=4,"A",IF('Data Source'!AF136&gt;=3.5,"A-",IF('Data Source'!AF136&gt;=3,"B",IF('Data Source'!AF136&gt;=2,"C",IF('Data Source'!AF136&gt;=1,"D","F")))))),"")</f>
        <v/>
      </c>
      <c r="O136" s="3">
        <f>IF(AND('Data Source'!B136&lt;&gt;"",'Data Source'!S136="A+"),IF('Data Source'!AG136&gt;=5,"A+",IF('Data Source'!AG136&gt;=4,"A",IF('Data Source'!AG136&gt;=3.5,"A-",IF('Data Source'!AG136&gt;=3,"B",IF('Data Source'!AG136&gt;=2,"C",IF('Data Source'!AG136&gt;=1,"D","F")))))),"")</f>
        <v/>
      </c>
      <c r="P136" s="5">
        <f>IF(AND('Data Source'!B136&lt;&gt;"",'Data Source'!S136="A+"),'Data Source'!R136,"")</f>
        <v/>
      </c>
      <c r="Q136" s="3">
        <f>IF(AND('Data Source'!B136&lt;&gt;"",'Data Source'!S136="A+"),'Data Source'!S136,"")</f>
        <v/>
      </c>
    </row>
    <row r="137">
      <c r="A137" s="3">
        <f>IF(AND('Data Source'!B137&lt;&gt;"",'Data Source'!S137="A+"),COUNTIF('Data Source'!$S$3:S137,"A+"),"")</f>
        <v/>
      </c>
      <c r="B137">
        <f>IF(AND('Data Source'!B137&lt;&gt;"",'Data Source'!S137="A+"),'Data Source'!B137,"")</f>
        <v/>
      </c>
      <c r="C137" s="3">
        <f>IF(AND('Data Source'!B137&lt;&gt;"",'Data Source'!S137="A+"),IF('Data Source'!U137&gt;=5,"A+",IF('Data Source'!U137&gt;=4,"A",IF('Data Source'!U137&gt;=3.5,"A-",IF('Data Source'!U137&gt;=3,"B",IF('Data Source'!U137&gt;=2,"C",IF('Data Source'!U137&gt;=1,"D","F")))))),"")</f>
        <v/>
      </c>
      <c r="D137" s="3">
        <f>IF(AND('Data Source'!B137&lt;&gt;"",'Data Source'!S137="A+"),IF('Data Source'!V137&gt;=5,"A+",IF('Data Source'!V137&gt;=4,"A",IF('Data Source'!V137&gt;=3.5,"A-",IF('Data Source'!V137&gt;=3,"B",IF('Data Source'!V137&gt;=2,"C",IF('Data Source'!V137&gt;=1,"D","F")))))),"")</f>
        <v/>
      </c>
      <c r="E137" s="3">
        <f>IF(AND('Data Source'!B137&lt;&gt;"",'Data Source'!S137="A+"),IF('Data Source'!W137&gt;=5,"A+",IF('Data Source'!W137&gt;=4,"A",IF('Data Source'!W137&gt;=3.5,"A-",IF('Data Source'!W137&gt;=3,"B",IF('Data Source'!W137&gt;=2,"C",IF('Data Source'!W137&gt;=1,"D","F")))))),"")</f>
        <v/>
      </c>
      <c r="F137" s="3">
        <f>IF(AND('Data Source'!B137&lt;&gt;"",'Data Source'!S137="A+"),IF('Data Source'!X137&gt;=5,"A+",IF('Data Source'!X137&gt;=4,"A",IF('Data Source'!X137&gt;=3.5,"A-",IF('Data Source'!X137&gt;=3,"B",IF('Data Source'!X137&gt;=2,"C",IF('Data Source'!X137&gt;=1,"D","F")))))),"")</f>
        <v/>
      </c>
      <c r="G137" s="3">
        <f>IF(AND('Data Source'!B137&lt;&gt;"",'Data Source'!S137="A+"),IF('Data Source'!Y137&gt;=5,"A+",IF('Data Source'!Y137&gt;=4,"A",IF('Data Source'!Y137&gt;=3.5,"A-",IF('Data Source'!Y137&gt;=3,"B",IF('Data Source'!Y137&gt;=2,"C",IF('Data Source'!Y137&gt;=1,"D","F")))))),"")</f>
        <v/>
      </c>
      <c r="H137" s="3">
        <f>IF(AND('Data Source'!B137&lt;&gt;"",'Data Source'!S137="A+"),IF('Data Source'!Z137&gt;=5,"A+",IF('Data Source'!Z137&gt;=4,"A",IF('Data Source'!Z137&gt;=3.5,"A-",IF('Data Source'!Z137&gt;=3,"B",IF('Data Source'!Z137&gt;=2,"C",IF('Data Source'!Z137&gt;=1,"D","F")))))),"")</f>
        <v/>
      </c>
      <c r="I137" s="3">
        <f>IF(AND('Data Source'!B137&lt;&gt;"",'Data Source'!S137="A+"),IF('Data Source'!AA137&gt;=5,"A+",IF('Data Source'!AA137&gt;=4,"A",IF('Data Source'!AA137&gt;=3.5,"A-",IF('Data Source'!AA137&gt;=3,"B",IF('Data Source'!AA137&gt;=2,"C",IF('Data Source'!AA137&gt;=1,"D","F")))))),"")</f>
        <v/>
      </c>
      <c r="J137" s="3">
        <f>IF(AND('Data Source'!B137&lt;&gt;"",'Data Source'!S137="A+"),IF('Data Source'!AB137&gt;=5,"A+",IF('Data Source'!AB137&gt;=4,"A",IF('Data Source'!AB137&gt;=3.5,"A-",IF('Data Source'!AB137&gt;=3,"B",IF('Data Source'!AB137&gt;=2,"C",IF('Data Source'!AB137&gt;=1,"D","F")))))),"")</f>
        <v/>
      </c>
      <c r="K137" s="3">
        <f>IF(AND('Data Source'!B137&lt;&gt;"",'Data Source'!S137="A+"),IF('Data Source'!AC137&gt;=5,"A+",IF('Data Source'!AC137&gt;=4,"A",IF('Data Source'!AC137&gt;=3.5,"A-",IF('Data Source'!AC137&gt;=3,"B",IF('Data Source'!AC137&gt;=2,"C",IF('Data Source'!AC137&gt;=1,"D","F")))))),"")</f>
        <v/>
      </c>
      <c r="L137" s="3">
        <f>IF(AND('Data Source'!B137&lt;&gt;"",'Data Source'!S137="A+"),IF('Data Source'!AD137&gt;=5,"A+",IF('Data Source'!AD137&gt;=4,"A",IF('Data Source'!AD137&gt;=3.5,"A-",IF('Data Source'!AD137&gt;=3,"B",IF('Data Source'!AD137&gt;=2,"C",IF('Data Source'!AD137&gt;=1,"D","F")))))),"")</f>
        <v/>
      </c>
      <c r="M137" s="3">
        <f>IF(AND('Data Source'!B137&lt;&gt;"",'Data Source'!S137="A+"),IF('Data Source'!AE137&gt;=5,"A+",IF('Data Source'!AE137&gt;=4,"A",IF('Data Source'!AE137&gt;=3.5,"A-",IF('Data Source'!AE137&gt;=3,"B",IF('Data Source'!AE137&gt;=2,"C",IF('Data Source'!AE137&gt;=1,"D","F")))))),"")</f>
        <v/>
      </c>
      <c r="N137" s="3">
        <f>IF(AND('Data Source'!B137&lt;&gt;"",'Data Source'!S137="A+"),IF('Data Source'!AF137&gt;=5,"A+",IF('Data Source'!AF137&gt;=4,"A",IF('Data Source'!AF137&gt;=3.5,"A-",IF('Data Source'!AF137&gt;=3,"B",IF('Data Source'!AF137&gt;=2,"C",IF('Data Source'!AF137&gt;=1,"D","F")))))),"")</f>
        <v/>
      </c>
      <c r="O137" s="3">
        <f>IF(AND('Data Source'!B137&lt;&gt;"",'Data Source'!S137="A+"),IF('Data Source'!AG137&gt;=5,"A+",IF('Data Source'!AG137&gt;=4,"A",IF('Data Source'!AG137&gt;=3.5,"A-",IF('Data Source'!AG137&gt;=3,"B",IF('Data Source'!AG137&gt;=2,"C",IF('Data Source'!AG137&gt;=1,"D","F")))))),"")</f>
        <v/>
      </c>
      <c r="P137" s="5">
        <f>IF(AND('Data Source'!B137&lt;&gt;"",'Data Source'!S137="A+"),'Data Source'!R137,"")</f>
        <v/>
      </c>
      <c r="Q137" s="3">
        <f>IF(AND('Data Source'!B137&lt;&gt;"",'Data Source'!S137="A+"),'Data Source'!S137,"")</f>
        <v/>
      </c>
    </row>
    <row r="138">
      <c r="A138" s="3">
        <f>IF(AND('Data Source'!B138&lt;&gt;"",'Data Source'!S138="A+"),COUNTIF('Data Source'!$S$3:S138,"A+"),"")</f>
        <v/>
      </c>
      <c r="B138">
        <f>IF(AND('Data Source'!B138&lt;&gt;"",'Data Source'!S138="A+"),'Data Source'!B138,"")</f>
        <v/>
      </c>
      <c r="C138" s="3">
        <f>IF(AND('Data Source'!B138&lt;&gt;"",'Data Source'!S138="A+"),IF('Data Source'!U138&gt;=5,"A+",IF('Data Source'!U138&gt;=4,"A",IF('Data Source'!U138&gt;=3.5,"A-",IF('Data Source'!U138&gt;=3,"B",IF('Data Source'!U138&gt;=2,"C",IF('Data Source'!U138&gt;=1,"D","F")))))),"")</f>
        <v/>
      </c>
      <c r="D138" s="3">
        <f>IF(AND('Data Source'!B138&lt;&gt;"",'Data Source'!S138="A+"),IF('Data Source'!V138&gt;=5,"A+",IF('Data Source'!V138&gt;=4,"A",IF('Data Source'!V138&gt;=3.5,"A-",IF('Data Source'!V138&gt;=3,"B",IF('Data Source'!V138&gt;=2,"C",IF('Data Source'!V138&gt;=1,"D","F")))))),"")</f>
        <v/>
      </c>
      <c r="E138" s="3">
        <f>IF(AND('Data Source'!B138&lt;&gt;"",'Data Source'!S138="A+"),IF('Data Source'!W138&gt;=5,"A+",IF('Data Source'!W138&gt;=4,"A",IF('Data Source'!W138&gt;=3.5,"A-",IF('Data Source'!W138&gt;=3,"B",IF('Data Source'!W138&gt;=2,"C",IF('Data Source'!W138&gt;=1,"D","F")))))),"")</f>
        <v/>
      </c>
      <c r="F138" s="3">
        <f>IF(AND('Data Source'!B138&lt;&gt;"",'Data Source'!S138="A+"),IF('Data Source'!X138&gt;=5,"A+",IF('Data Source'!X138&gt;=4,"A",IF('Data Source'!X138&gt;=3.5,"A-",IF('Data Source'!X138&gt;=3,"B",IF('Data Source'!X138&gt;=2,"C",IF('Data Source'!X138&gt;=1,"D","F")))))),"")</f>
        <v/>
      </c>
      <c r="G138" s="3">
        <f>IF(AND('Data Source'!B138&lt;&gt;"",'Data Source'!S138="A+"),IF('Data Source'!Y138&gt;=5,"A+",IF('Data Source'!Y138&gt;=4,"A",IF('Data Source'!Y138&gt;=3.5,"A-",IF('Data Source'!Y138&gt;=3,"B",IF('Data Source'!Y138&gt;=2,"C",IF('Data Source'!Y138&gt;=1,"D","F")))))),"")</f>
        <v/>
      </c>
      <c r="H138" s="3">
        <f>IF(AND('Data Source'!B138&lt;&gt;"",'Data Source'!S138="A+"),IF('Data Source'!Z138&gt;=5,"A+",IF('Data Source'!Z138&gt;=4,"A",IF('Data Source'!Z138&gt;=3.5,"A-",IF('Data Source'!Z138&gt;=3,"B",IF('Data Source'!Z138&gt;=2,"C",IF('Data Source'!Z138&gt;=1,"D","F")))))),"")</f>
        <v/>
      </c>
      <c r="I138" s="3">
        <f>IF(AND('Data Source'!B138&lt;&gt;"",'Data Source'!S138="A+"),IF('Data Source'!AA138&gt;=5,"A+",IF('Data Source'!AA138&gt;=4,"A",IF('Data Source'!AA138&gt;=3.5,"A-",IF('Data Source'!AA138&gt;=3,"B",IF('Data Source'!AA138&gt;=2,"C",IF('Data Source'!AA138&gt;=1,"D","F")))))),"")</f>
        <v/>
      </c>
      <c r="J138" s="3">
        <f>IF(AND('Data Source'!B138&lt;&gt;"",'Data Source'!S138="A+"),IF('Data Source'!AB138&gt;=5,"A+",IF('Data Source'!AB138&gt;=4,"A",IF('Data Source'!AB138&gt;=3.5,"A-",IF('Data Source'!AB138&gt;=3,"B",IF('Data Source'!AB138&gt;=2,"C",IF('Data Source'!AB138&gt;=1,"D","F")))))),"")</f>
        <v/>
      </c>
      <c r="K138" s="3">
        <f>IF(AND('Data Source'!B138&lt;&gt;"",'Data Source'!S138="A+"),IF('Data Source'!AC138&gt;=5,"A+",IF('Data Source'!AC138&gt;=4,"A",IF('Data Source'!AC138&gt;=3.5,"A-",IF('Data Source'!AC138&gt;=3,"B",IF('Data Source'!AC138&gt;=2,"C",IF('Data Source'!AC138&gt;=1,"D","F")))))),"")</f>
        <v/>
      </c>
      <c r="L138" s="3">
        <f>IF(AND('Data Source'!B138&lt;&gt;"",'Data Source'!S138="A+"),IF('Data Source'!AD138&gt;=5,"A+",IF('Data Source'!AD138&gt;=4,"A",IF('Data Source'!AD138&gt;=3.5,"A-",IF('Data Source'!AD138&gt;=3,"B",IF('Data Source'!AD138&gt;=2,"C",IF('Data Source'!AD138&gt;=1,"D","F")))))),"")</f>
        <v/>
      </c>
      <c r="M138" s="3">
        <f>IF(AND('Data Source'!B138&lt;&gt;"",'Data Source'!S138="A+"),IF('Data Source'!AE138&gt;=5,"A+",IF('Data Source'!AE138&gt;=4,"A",IF('Data Source'!AE138&gt;=3.5,"A-",IF('Data Source'!AE138&gt;=3,"B",IF('Data Source'!AE138&gt;=2,"C",IF('Data Source'!AE138&gt;=1,"D","F")))))),"")</f>
        <v/>
      </c>
      <c r="N138" s="3">
        <f>IF(AND('Data Source'!B138&lt;&gt;"",'Data Source'!S138="A+"),IF('Data Source'!AF138&gt;=5,"A+",IF('Data Source'!AF138&gt;=4,"A",IF('Data Source'!AF138&gt;=3.5,"A-",IF('Data Source'!AF138&gt;=3,"B",IF('Data Source'!AF138&gt;=2,"C",IF('Data Source'!AF138&gt;=1,"D","F")))))),"")</f>
        <v/>
      </c>
      <c r="O138" s="3">
        <f>IF(AND('Data Source'!B138&lt;&gt;"",'Data Source'!S138="A+"),IF('Data Source'!AG138&gt;=5,"A+",IF('Data Source'!AG138&gt;=4,"A",IF('Data Source'!AG138&gt;=3.5,"A-",IF('Data Source'!AG138&gt;=3,"B",IF('Data Source'!AG138&gt;=2,"C",IF('Data Source'!AG138&gt;=1,"D","F")))))),"")</f>
        <v/>
      </c>
      <c r="P138" s="5">
        <f>IF(AND('Data Source'!B138&lt;&gt;"",'Data Source'!S138="A+"),'Data Source'!R138,"")</f>
        <v/>
      </c>
      <c r="Q138" s="3">
        <f>IF(AND('Data Source'!B138&lt;&gt;"",'Data Source'!S138="A+"),'Data Source'!S138,"")</f>
        <v/>
      </c>
    </row>
    <row r="139">
      <c r="A139" s="3">
        <f>IF(AND('Data Source'!B139&lt;&gt;"",'Data Source'!S139="A+"),COUNTIF('Data Source'!$S$3:S139,"A+"),"")</f>
        <v/>
      </c>
      <c r="B139">
        <f>IF(AND('Data Source'!B139&lt;&gt;"",'Data Source'!S139="A+"),'Data Source'!B139,"")</f>
        <v/>
      </c>
      <c r="C139" s="3">
        <f>IF(AND('Data Source'!B139&lt;&gt;"",'Data Source'!S139="A+"),IF('Data Source'!U139&gt;=5,"A+",IF('Data Source'!U139&gt;=4,"A",IF('Data Source'!U139&gt;=3.5,"A-",IF('Data Source'!U139&gt;=3,"B",IF('Data Source'!U139&gt;=2,"C",IF('Data Source'!U139&gt;=1,"D","F")))))),"")</f>
        <v/>
      </c>
      <c r="D139" s="3">
        <f>IF(AND('Data Source'!B139&lt;&gt;"",'Data Source'!S139="A+"),IF('Data Source'!V139&gt;=5,"A+",IF('Data Source'!V139&gt;=4,"A",IF('Data Source'!V139&gt;=3.5,"A-",IF('Data Source'!V139&gt;=3,"B",IF('Data Source'!V139&gt;=2,"C",IF('Data Source'!V139&gt;=1,"D","F")))))),"")</f>
        <v/>
      </c>
      <c r="E139" s="3">
        <f>IF(AND('Data Source'!B139&lt;&gt;"",'Data Source'!S139="A+"),IF('Data Source'!W139&gt;=5,"A+",IF('Data Source'!W139&gt;=4,"A",IF('Data Source'!W139&gt;=3.5,"A-",IF('Data Source'!W139&gt;=3,"B",IF('Data Source'!W139&gt;=2,"C",IF('Data Source'!W139&gt;=1,"D","F")))))),"")</f>
        <v/>
      </c>
      <c r="F139" s="3">
        <f>IF(AND('Data Source'!B139&lt;&gt;"",'Data Source'!S139="A+"),IF('Data Source'!X139&gt;=5,"A+",IF('Data Source'!X139&gt;=4,"A",IF('Data Source'!X139&gt;=3.5,"A-",IF('Data Source'!X139&gt;=3,"B",IF('Data Source'!X139&gt;=2,"C",IF('Data Source'!X139&gt;=1,"D","F")))))),"")</f>
        <v/>
      </c>
      <c r="G139" s="3">
        <f>IF(AND('Data Source'!B139&lt;&gt;"",'Data Source'!S139="A+"),IF('Data Source'!Y139&gt;=5,"A+",IF('Data Source'!Y139&gt;=4,"A",IF('Data Source'!Y139&gt;=3.5,"A-",IF('Data Source'!Y139&gt;=3,"B",IF('Data Source'!Y139&gt;=2,"C",IF('Data Source'!Y139&gt;=1,"D","F")))))),"")</f>
        <v/>
      </c>
      <c r="H139" s="3">
        <f>IF(AND('Data Source'!B139&lt;&gt;"",'Data Source'!S139="A+"),IF('Data Source'!Z139&gt;=5,"A+",IF('Data Source'!Z139&gt;=4,"A",IF('Data Source'!Z139&gt;=3.5,"A-",IF('Data Source'!Z139&gt;=3,"B",IF('Data Source'!Z139&gt;=2,"C",IF('Data Source'!Z139&gt;=1,"D","F")))))),"")</f>
        <v/>
      </c>
      <c r="I139" s="3">
        <f>IF(AND('Data Source'!B139&lt;&gt;"",'Data Source'!S139="A+"),IF('Data Source'!AA139&gt;=5,"A+",IF('Data Source'!AA139&gt;=4,"A",IF('Data Source'!AA139&gt;=3.5,"A-",IF('Data Source'!AA139&gt;=3,"B",IF('Data Source'!AA139&gt;=2,"C",IF('Data Source'!AA139&gt;=1,"D","F")))))),"")</f>
        <v/>
      </c>
      <c r="J139" s="3">
        <f>IF(AND('Data Source'!B139&lt;&gt;"",'Data Source'!S139="A+"),IF('Data Source'!AB139&gt;=5,"A+",IF('Data Source'!AB139&gt;=4,"A",IF('Data Source'!AB139&gt;=3.5,"A-",IF('Data Source'!AB139&gt;=3,"B",IF('Data Source'!AB139&gt;=2,"C",IF('Data Source'!AB139&gt;=1,"D","F")))))),"")</f>
        <v/>
      </c>
      <c r="K139" s="3">
        <f>IF(AND('Data Source'!B139&lt;&gt;"",'Data Source'!S139="A+"),IF('Data Source'!AC139&gt;=5,"A+",IF('Data Source'!AC139&gt;=4,"A",IF('Data Source'!AC139&gt;=3.5,"A-",IF('Data Source'!AC139&gt;=3,"B",IF('Data Source'!AC139&gt;=2,"C",IF('Data Source'!AC139&gt;=1,"D","F")))))),"")</f>
        <v/>
      </c>
      <c r="L139" s="3">
        <f>IF(AND('Data Source'!B139&lt;&gt;"",'Data Source'!S139="A+"),IF('Data Source'!AD139&gt;=5,"A+",IF('Data Source'!AD139&gt;=4,"A",IF('Data Source'!AD139&gt;=3.5,"A-",IF('Data Source'!AD139&gt;=3,"B",IF('Data Source'!AD139&gt;=2,"C",IF('Data Source'!AD139&gt;=1,"D","F")))))),"")</f>
        <v/>
      </c>
      <c r="M139" s="3">
        <f>IF(AND('Data Source'!B139&lt;&gt;"",'Data Source'!S139="A+"),IF('Data Source'!AE139&gt;=5,"A+",IF('Data Source'!AE139&gt;=4,"A",IF('Data Source'!AE139&gt;=3.5,"A-",IF('Data Source'!AE139&gt;=3,"B",IF('Data Source'!AE139&gt;=2,"C",IF('Data Source'!AE139&gt;=1,"D","F")))))),"")</f>
        <v/>
      </c>
      <c r="N139" s="3">
        <f>IF(AND('Data Source'!B139&lt;&gt;"",'Data Source'!S139="A+"),IF('Data Source'!AF139&gt;=5,"A+",IF('Data Source'!AF139&gt;=4,"A",IF('Data Source'!AF139&gt;=3.5,"A-",IF('Data Source'!AF139&gt;=3,"B",IF('Data Source'!AF139&gt;=2,"C",IF('Data Source'!AF139&gt;=1,"D","F")))))),"")</f>
        <v/>
      </c>
      <c r="O139" s="3">
        <f>IF(AND('Data Source'!B139&lt;&gt;"",'Data Source'!S139="A+"),IF('Data Source'!AG139&gt;=5,"A+",IF('Data Source'!AG139&gt;=4,"A",IF('Data Source'!AG139&gt;=3.5,"A-",IF('Data Source'!AG139&gt;=3,"B",IF('Data Source'!AG139&gt;=2,"C",IF('Data Source'!AG139&gt;=1,"D","F")))))),"")</f>
        <v/>
      </c>
      <c r="P139" s="5">
        <f>IF(AND('Data Source'!B139&lt;&gt;"",'Data Source'!S139="A+"),'Data Source'!R139,"")</f>
        <v/>
      </c>
      <c r="Q139" s="3">
        <f>IF(AND('Data Source'!B139&lt;&gt;"",'Data Source'!S139="A+"),'Data Source'!S139,"")</f>
        <v/>
      </c>
    </row>
    <row r="140">
      <c r="A140" s="3">
        <f>IF(AND('Data Source'!B140&lt;&gt;"",'Data Source'!S140="A+"),COUNTIF('Data Source'!$S$3:S140,"A+"),"")</f>
        <v/>
      </c>
      <c r="B140">
        <f>IF(AND('Data Source'!B140&lt;&gt;"",'Data Source'!S140="A+"),'Data Source'!B140,"")</f>
        <v/>
      </c>
      <c r="C140" s="3">
        <f>IF(AND('Data Source'!B140&lt;&gt;"",'Data Source'!S140="A+"),IF('Data Source'!U140&gt;=5,"A+",IF('Data Source'!U140&gt;=4,"A",IF('Data Source'!U140&gt;=3.5,"A-",IF('Data Source'!U140&gt;=3,"B",IF('Data Source'!U140&gt;=2,"C",IF('Data Source'!U140&gt;=1,"D","F")))))),"")</f>
        <v/>
      </c>
      <c r="D140" s="3">
        <f>IF(AND('Data Source'!B140&lt;&gt;"",'Data Source'!S140="A+"),IF('Data Source'!V140&gt;=5,"A+",IF('Data Source'!V140&gt;=4,"A",IF('Data Source'!V140&gt;=3.5,"A-",IF('Data Source'!V140&gt;=3,"B",IF('Data Source'!V140&gt;=2,"C",IF('Data Source'!V140&gt;=1,"D","F")))))),"")</f>
        <v/>
      </c>
      <c r="E140" s="3">
        <f>IF(AND('Data Source'!B140&lt;&gt;"",'Data Source'!S140="A+"),IF('Data Source'!W140&gt;=5,"A+",IF('Data Source'!W140&gt;=4,"A",IF('Data Source'!W140&gt;=3.5,"A-",IF('Data Source'!W140&gt;=3,"B",IF('Data Source'!W140&gt;=2,"C",IF('Data Source'!W140&gt;=1,"D","F")))))),"")</f>
        <v/>
      </c>
      <c r="F140" s="3">
        <f>IF(AND('Data Source'!B140&lt;&gt;"",'Data Source'!S140="A+"),IF('Data Source'!X140&gt;=5,"A+",IF('Data Source'!X140&gt;=4,"A",IF('Data Source'!X140&gt;=3.5,"A-",IF('Data Source'!X140&gt;=3,"B",IF('Data Source'!X140&gt;=2,"C",IF('Data Source'!X140&gt;=1,"D","F")))))),"")</f>
        <v/>
      </c>
      <c r="G140" s="3">
        <f>IF(AND('Data Source'!B140&lt;&gt;"",'Data Source'!S140="A+"),IF('Data Source'!Y140&gt;=5,"A+",IF('Data Source'!Y140&gt;=4,"A",IF('Data Source'!Y140&gt;=3.5,"A-",IF('Data Source'!Y140&gt;=3,"B",IF('Data Source'!Y140&gt;=2,"C",IF('Data Source'!Y140&gt;=1,"D","F")))))),"")</f>
        <v/>
      </c>
      <c r="H140" s="3">
        <f>IF(AND('Data Source'!B140&lt;&gt;"",'Data Source'!S140="A+"),IF('Data Source'!Z140&gt;=5,"A+",IF('Data Source'!Z140&gt;=4,"A",IF('Data Source'!Z140&gt;=3.5,"A-",IF('Data Source'!Z140&gt;=3,"B",IF('Data Source'!Z140&gt;=2,"C",IF('Data Source'!Z140&gt;=1,"D","F")))))),"")</f>
        <v/>
      </c>
      <c r="I140" s="3">
        <f>IF(AND('Data Source'!B140&lt;&gt;"",'Data Source'!S140="A+"),IF('Data Source'!AA140&gt;=5,"A+",IF('Data Source'!AA140&gt;=4,"A",IF('Data Source'!AA140&gt;=3.5,"A-",IF('Data Source'!AA140&gt;=3,"B",IF('Data Source'!AA140&gt;=2,"C",IF('Data Source'!AA140&gt;=1,"D","F")))))),"")</f>
        <v/>
      </c>
      <c r="J140" s="3">
        <f>IF(AND('Data Source'!B140&lt;&gt;"",'Data Source'!S140="A+"),IF('Data Source'!AB140&gt;=5,"A+",IF('Data Source'!AB140&gt;=4,"A",IF('Data Source'!AB140&gt;=3.5,"A-",IF('Data Source'!AB140&gt;=3,"B",IF('Data Source'!AB140&gt;=2,"C",IF('Data Source'!AB140&gt;=1,"D","F")))))),"")</f>
        <v/>
      </c>
      <c r="K140" s="3">
        <f>IF(AND('Data Source'!B140&lt;&gt;"",'Data Source'!S140="A+"),IF('Data Source'!AC140&gt;=5,"A+",IF('Data Source'!AC140&gt;=4,"A",IF('Data Source'!AC140&gt;=3.5,"A-",IF('Data Source'!AC140&gt;=3,"B",IF('Data Source'!AC140&gt;=2,"C",IF('Data Source'!AC140&gt;=1,"D","F")))))),"")</f>
        <v/>
      </c>
      <c r="L140" s="3">
        <f>IF(AND('Data Source'!B140&lt;&gt;"",'Data Source'!S140="A+"),IF('Data Source'!AD140&gt;=5,"A+",IF('Data Source'!AD140&gt;=4,"A",IF('Data Source'!AD140&gt;=3.5,"A-",IF('Data Source'!AD140&gt;=3,"B",IF('Data Source'!AD140&gt;=2,"C",IF('Data Source'!AD140&gt;=1,"D","F")))))),"")</f>
        <v/>
      </c>
      <c r="M140" s="3">
        <f>IF(AND('Data Source'!B140&lt;&gt;"",'Data Source'!S140="A+"),IF('Data Source'!AE140&gt;=5,"A+",IF('Data Source'!AE140&gt;=4,"A",IF('Data Source'!AE140&gt;=3.5,"A-",IF('Data Source'!AE140&gt;=3,"B",IF('Data Source'!AE140&gt;=2,"C",IF('Data Source'!AE140&gt;=1,"D","F")))))),"")</f>
        <v/>
      </c>
      <c r="N140" s="3">
        <f>IF(AND('Data Source'!B140&lt;&gt;"",'Data Source'!S140="A+"),IF('Data Source'!AF140&gt;=5,"A+",IF('Data Source'!AF140&gt;=4,"A",IF('Data Source'!AF140&gt;=3.5,"A-",IF('Data Source'!AF140&gt;=3,"B",IF('Data Source'!AF140&gt;=2,"C",IF('Data Source'!AF140&gt;=1,"D","F")))))),"")</f>
        <v/>
      </c>
      <c r="O140" s="3">
        <f>IF(AND('Data Source'!B140&lt;&gt;"",'Data Source'!S140="A+"),IF('Data Source'!AG140&gt;=5,"A+",IF('Data Source'!AG140&gt;=4,"A",IF('Data Source'!AG140&gt;=3.5,"A-",IF('Data Source'!AG140&gt;=3,"B",IF('Data Source'!AG140&gt;=2,"C",IF('Data Source'!AG140&gt;=1,"D","F")))))),"")</f>
        <v/>
      </c>
      <c r="P140" s="5">
        <f>IF(AND('Data Source'!B140&lt;&gt;"",'Data Source'!S140="A+"),'Data Source'!R140,"")</f>
        <v/>
      </c>
      <c r="Q140" s="3">
        <f>IF(AND('Data Source'!B140&lt;&gt;"",'Data Source'!S140="A+"),'Data Source'!S140,"")</f>
        <v/>
      </c>
    </row>
    <row r="141">
      <c r="A141" s="3">
        <f>IF(AND('Data Source'!B141&lt;&gt;"",'Data Source'!S141="A+"),COUNTIF('Data Source'!$S$3:S141,"A+"),"")</f>
        <v/>
      </c>
      <c r="B141">
        <f>IF(AND('Data Source'!B141&lt;&gt;"",'Data Source'!S141="A+"),'Data Source'!B141,"")</f>
        <v/>
      </c>
      <c r="C141" s="3">
        <f>IF(AND('Data Source'!B141&lt;&gt;"",'Data Source'!S141="A+"),IF('Data Source'!U141&gt;=5,"A+",IF('Data Source'!U141&gt;=4,"A",IF('Data Source'!U141&gt;=3.5,"A-",IF('Data Source'!U141&gt;=3,"B",IF('Data Source'!U141&gt;=2,"C",IF('Data Source'!U141&gt;=1,"D","F")))))),"")</f>
        <v/>
      </c>
      <c r="D141" s="3">
        <f>IF(AND('Data Source'!B141&lt;&gt;"",'Data Source'!S141="A+"),IF('Data Source'!V141&gt;=5,"A+",IF('Data Source'!V141&gt;=4,"A",IF('Data Source'!V141&gt;=3.5,"A-",IF('Data Source'!V141&gt;=3,"B",IF('Data Source'!V141&gt;=2,"C",IF('Data Source'!V141&gt;=1,"D","F")))))),"")</f>
        <v/>
      </c>
      <c r="E141" s="3">
        <f>IF(AND('Data Source'!B141&lt;&gt;"",'Data Source'!S141="A+"),IF('Data Source'!W141&gt;=5,"A+",IF('Data Source'!W141&gt;=4,"A",IF('Data Source'!W141&gt;=3.5,"A-",IF('Data Source'!W141&gt;=3,"B",IF('Data Source'!W141&gt;=2,"C",IF('Data Source'!W141&gt;=1,"D","F")))))),"")</f>
        <v/>
      </c>
      <c r="F141" s="3">
        <f>IF(AND('Data Source'!B141&lt;&gt;"",'Data Source'!S141="A+"),IF('Data Source'!X141&gt;=5,"A+",IF('Data Source'!X141&gt;=4,"A",IF('Data Source'!X141&gt;=3.5,"A-",IF('Data Source'!X141&gt;=3,"B",IF('Data Source'!X141&gt;=2,"C",IF('Data Source'!X141&gt;=1,"D","F")))))),"")</f>
        <v/>
      </c>
      <c r="G141" s="3">
        <f>IF(AND('Data Source'!B141&lt;&gt;"",'Data Source'!S141="A+"),IF('Data Source'!Y141&gt;=5,"A+",IF('Data Source'!Y141&gt;=4,"A",IF('Data Source'!Y141&gt;=3.5,"A-",IF('Data Source'!Y141&gt;=3,"B",IF('Data Source'!Y141&gt;=2,"C",IF('Data Source'!Y141&gt;=1,"D","F")))))),"")</f>
        <v/>
      </c>
      <c r="H141" s="3">
        <f>IF(AND('Data Source'!B141&lt;&gt;"",'Data Source'!S141="A+"),IF('Data Source'!Z141&gt;=5,"A+",IF('Data Source'!Z141&gt;=4,"A",IF('Data Source'!Z141&gt;=3.5,"A-",IF('Data Source'!Z141&gt;=3,"B",IF('Data Source'!Z141&gt;=2,"C",IF('Data Source'!Z141&gt;=1,"D","F")))))),"")</f>
        <v/>
      </c>
      <c r="I141" s="3">
        <f>IF(AND('Data Source'!B141&lt;&gt;"",'Data Source'!S141="A+"),IF('Data Source'!AA141&gt;=5,"A+",IF('Data Source'!AA141&gt;=4,"A",IF('Data Source'!AA141&gt;=3.5,"A-",IF('Data Source'!AA141&gt;=3,"B",IF('Data Source'!AA141&gt;=2,"C",IF('Data Source'!AA141&gt;=1,"D","F")))))),"")</f>
        <v/>
      </c>
      <c r="J141" s="3">
        <f>IF(AND('Data Source'!B141&lt;&gt;"",'Data Source'!S141="A+"),IF('Data Source'!AB141&gt;=5,"A+",IF('Data Source'!AB141&gt;=4,"A",IF('Data Source'!AB141&gt;=3.5,"A-",IF('Data Source'!AB141&gt;=3,"B",IF('Data Source'!AB141&gt;=2,"C",IF('Data Source'!AB141&gt;=1,"D","F")))))),"")</f>
        <v/>
      </c>
      <c r="K141" s="3">
        <f>IF(AND('Data Source'!B141&lt;&gt;"",'Data Source'!S141="A+"),IF('Data Source'!AC141&gt;=5,"A+",IF('Data Source'!AC141&gt;=4,"A",IF('Data Source'!AC141&gt;=3.5,"A-",IF('Data Source'!AC141&gt;=3,"B",IF('Data Source'!AC141&gt;=2,"C",IF('Data Source'!AC141&gt;=1,"D","F")))))),"")</f>
        <v/>
      </c>
      <c r="L141" s="3">
        <f>IF(AND('Data Source'!B141&lt;&gt;"",'Data Source'!S141="A+"),IF('Data Source'!AD141&gt;=5,"A+",IF('Data Source'!AD141&gt;=4,"A",IF('Data Source'!AD141&gt;=3.5,"A-",IF('Data Source'!AD141&gt;=3,"B",IF('Data Source'!AD141&gt;=2,"C",IF('Data Source'!AD141&gt;=1,"D","F")))))),"")</f>
        <v/>
      </c>
      <c r="M141" s="3">
        <f>IF(AND('Data Source'!B141&lt;&gt;"",'Data Source'!S141="A+"),IF('Data Source'!AE141&gt;=5,"A+",IF('Data Source'!AE141&gt;=4,"A",IF('Data Source'!AE141&gt;=3.5,"A-",IF('Data Source'!AE141&gt;=3,"B",IF('Data Source'!AE141&gt;=2,"C",IF('Data Source'!AE141&gt;=1,"D","F")))))),"")</f>
        <v/>
      </c>
      <c r="N141" s="3">
        <f>IF(AND('Data Source'!B141&lt;&gt;"",'Data Source'!S141="A+"),IF('Data Source'!AF141&gt;=5,"A+",IF('Data Source'!AF141&gt;=4,"A",IF('Data Source'!AF141&gt;=3.5,"A-",IF('Data Source'!AF141&gt;=3,"B",IF('Data Source'!AF141&gt;=2,"C",IF('Data Source'!AF141&gt;=1,"D","F")))))),"")</f>
        <v/>
      </c>
      <c r="O141" s="3">
        <f>IF(AND('Data Source'!B141&lt;&gt;"",'Data Source'!S141="A+"),IF('Data Source'!AG141&gt;=5,"A+",IF('Data Source'!AG141&gt;=4,"A",IF('Data Source'!AG141&gt;=3.5,"A-",IF('Data Source'!AG141&gt;=3,"B",IF('Data Source'!AG141&gt;=2,"C",IF('Data Source'!AG141&gt;=1,"D","F")))))),"")</f>
        <v/>
      </c>
      <c r="P141" s="5">
        <f>IF(AND('Data Source'!B141&lt;&gt;"",'Data Source'!S141="A+"),'Data Source'!R141,"")</f>
        <v/>
      </c>
      <c r="Q141" s="3">
        <f>IF(AND('Data Source'!B141&lt;&gt;"",'Data Source'!S141="A+"),'Data Source'!S141,"")</f>
        <v/>
      </c>
    </row>
    <row r="142">
      <c r="A142" s="3">
        <f>IF(AND('Data Source'!B142&lt;&gt;"",'Data Source'!S142="A+"),COUNTIF('Data Source'!$S$3:S142,"A+"),"")</f>
        <v/>
      </c>
      <c r="B142">
        <f>IF(AND('Data Source'!B142&lt;&gt;"",'Data Source'!S142="A+"),'Data Source'!B142,"")</f>
        <v/>
      </c>
      <c r="C142" s="3">
        <f>IF(AND('Data Source'!B142&lt;&gt;"",'Data Source'!S142="A+"),IF('Data Source'!U142&gt;=5,"A+",IF('Data Source'!U142&gt;=4,"A",IF('Data Source'!U142&gt;=3.5,"A-",IF('Data Source'!U142&gt;=3,"B",IF('Data Source'!U142&gt;=2,"C",IF('Data Source'!U142&gt;=1,"D","F")))))),"")</f>
        <v/>
      </c>
      <c r="D142" s="3">
        <f>IF(AND('Data Source'!B142&lt;&gt;"",'Data Source'!S142="A+"),IF('Data Source'!V142&gt;=5,"A+",IF('Data Source'!V142&gt;=4,"A",IF('Data Source'!V142&gt;=3.5,"A-",IF('Data Source'!V142&gt;=3,"B",IF('Data Source'!V142&gt;=2,"C",IF('Data Source'!V142&gt;=1,"D","F")))))),"")</f>
        <v/>
      </c>
      <c r="E142" s="3">
        <f>IF(AND('Data Source'!B142&lt;&gt;"",'Data Source'!S142="A+"),IF('Data Source'!W142&gt;=5,"A+",IF('Data Source'!W142&gt;=4,"A",IF('Data Source'!W142&gt;=3.5,"A-",IF('Data Source'!W142&gt;=3,"B",IF('Data Source'!W142&gt;=2,"C",IF('Data Source'!W142&gt;=1,"D","F")))))),"")</f>
        <v/>
      </c>
      <c r="F142" s="3">
        <f>IF(AND('Data Source'!B142&lt;&gt;"",'Data Source'!S142="A+"),IF('Data Source'!X142&gt;=5,"A+",IF('Data Source'!X142&gt;=4,"A",IF('Data Source'!X142&gt;=3.5,"A-",IF('Data Source'!X142&gt;=3,"B",IF('Data Source'!X142&gt;=2,"C",IF('Data Source'!X142&gt;=1,"D","F")))))),"")</f>
        <v/>
      </c>
      <c r="G142" s="3">
        <f>IF(AND('Data Source'!B142&lt;&gt;"",'Data Source'!S142="A+"),IF('Data Source'!Y142&gt;=5,"A+",IF('Data Source'!Y142&gt;=4,"A",IF('Data Source'!Y142&gt;=3.5,"A-",IF('Data Source'!Y142&gt;=3,"B",IF('Data Source'!Y142&gt;=2,"C",IF('Data Source'!Y142&gt;=1,"D","F")))))),"")</f>
        <v/>
      </c>
      <c r="H142" s="3">
        <f>IF(AND('Data Source'!B142&lt;&gt;"",'Data Source'!S142="A+"),IF('Data Source'!Z142&gt;=5,"A+",IF('Data Source'!Z142&gt;=4,"A",IF('Data Source'!Z142&gt;=3.5,"A-",IF('Data Source'!Z142&gt;=3,"B",IF('Data Source'!Z142&gt;=2,"C",IF('Data Source'!Z142&gt;=1,"D","F")))))),"")</f>
        <v/>
      </c>
      <c r="I142" s="3">
        <f>IF(AND('Data Source'!B142&lt;&gt;"",'Data Source'!S142="A+"),IF('Data Source'!AA142&gt;=5,"A+",IF('Data Source'!AA142&gt;=4,"A",IF('Data Source'!AA142&gt;=3.5,"A-",IF('Data Source'!AA142&gt;=3,"B",IF('Data Source'!AA142&gt;=2,"C",IF('Data Source'!AA142&gt;=1,"D","F")))))),"")</f>
        <v/>
      </c>
      <c r="J142" s="3">
        <f>IF(AND('Data Source'!B142&lt;&gt;"",'Data Source'!S142="A+"),IF('Data Source'!AB142&gt;=5,"A+",IF('Data Source'!AB142&gt;=4,"A",IF('Data Source'!AB142&gt;=3.5,"A-",IF('Data Source'!AB142&gt;=3,"B",IF('Data Source'!AB142&gt;=2,"C",IF('Data Source'!AB142&gt;=1,"D","F")))))),"")</f>
        <v/>
      </c>
      <c r="K142" s="3">
        <f>IF(AND('Data Source'!B142&lt;&gt;"",'Data Source'!S142="A+"),IF('Data Source'!AC142&gt;=5,"A+",IF('Data Source'!AC142&gt;=4,"A",IF('Data Source'!AC142&gt;=3.5,"A-",IF('Data Source'!AC142&gt;=3,"B",IF('Data Source'!AC142&gt;=2,"C",IF('Data Source'!AC142&gt;=1,"D","F")))))),"")</f>
        <v/>
      </c>
      <c r="L142" s="3">
        <f>IF(AND('Data Source'!B142&lt;&gt;"",'Data Source'!S142="A+"),IF('Data Source'!AD142&gt;=5,"A+",IF('Data Source'!AD142&gt;=4,"A",IF('Data Source'!AD142&gt;=3.5,"A-",IF('Data Source'!AD142&gt;=3,"B",IF('Data Source'!AD142&gt;=2,"C",IF('Data Source'!AD142&gt;=1,"D","F")))))),"")</f>
        <v/>
      </c>
      <c r="M142" s="3">
        <f>IF(AND('Data Source'!B142&lt;&gt;"",'Data Source'!S142="A+"),IF('Data Source'!AE142&gt;=5,"A+",IF('Data Source'!AE142&gt;=4,"A",IF('Data Source'!AE142&gt;=3.5,"A-",IF('Data Source'!AE142&gt;=3,"B",IF('Data Source'!AE142&gt;=2,"C",IF('Data Source'!AE142&gt;=1,"D","F")))))),"")</f>
        <v/>
      </c>
      <c r="N142" s="3">
        <f>IF(AND('Data Source'!B142&lt;&gt;"",'Data Source'!S142="A+"),IF('Data Source'!AF142&gt;=5,"A+",IF('Data Source'!AF142&gt;=4,"A",IF('Data Source'!AF142&gt;=3.5,"A-",IF('Data Source'!AF142&gt;=3,"B",IF('Data Source'!AF142&gt;=2,"C",IF('Data Source'!AF142&gt;=1,"D","F")))))),"")</f>
        <v/>
      </c>
      <c r="O142" s="3">
        <f>IF(AND('Data Source'!B142&lt;&gt;"",'Data Source'!S142="A+"),IF('Data Source'!AG142&gt;=5,"A+",IF('Data Source'!AG142&gt;=4,"A",IF('Data Source'!AG142&gt;=3.5,"A-",IF('Data Source'!AG142&gt;=3,"B",IF('Data Source'!AG142&gt;=2,"C",IF('Data Source'!AG142&gt;=1,"D","F")))))),"")</f>
        <v/>
      </c>
      <c r="P142" s="5">
        <f>IF(AND('Data Source'!B142&lt;&gt;"",'Data Source'!S142="A+"),'Data Source'!R142,"")</f>
        <v/>
      </c>
      <c r="Q142" s="3">
        <f>IF(AND('Data Source'!B142&lt;&gt;"",'Data Source'!S142="A+"),'Data Source'!S142,"")</f>
        <v/>
      </c>
    </row>
    <row r="143">
      <c r="A143" s="3">
        <f>IF(AND('Data Source'!B143&lt;&gt;"",'Data Source'!S143="A+"),COUNTIF('Data Source'!$S$3:S143,"A+"),"")</f>
        <v/>
      </c>
      <c r="B143">
        <f>IF(AND('Data Source'!B143&lt;&gt;"",'Data Source'!S143="A+"),'Data Source'!B143,"")</f>
        <v/>
      </c>
      <c r="C143" s="3">
        <f>IF(AND('Data Source'!B143&lt;&gt;"",'Data Source'!S143="A+"),IF('Data Source'!U143&gt;=5,"A+",IF('Data Source'!U143&gt;=4,"A",IF('Data Source'!U143&gt;=3.5,"A-",IF('Data Source'!U143&gt;=3,"B",IF('Data Source'!U143&gt;=2,"C",IF('Data Source'!U143&gt;=1,"D","F")))))),"")</f>
        <v/>
      </c>
      <c r="D143" s="3">
        <f>IF(AND('Data Source'!B143&lt;&gt;"",'Data Source'!S143="A+"),IF('Data Source'!V143&gt;=5,"A+",IF('Data Source'!V143&gt;=4,"A",IF('Data Source'!V143&gt;=3.5,"A-",IF('Data Source'!V143&gt;=3,"B",IF('Data Source'!V143&gt;=2,"C",IF('Data Source'!V143&gt;=1,"D","F")))))),"")</f>
        <v/>
      </c>
      <c r="E143" s="3">
        <f>IF(AND('Data Source'!B143&lt;&gt;"",'Data Source'!S143="A+"),IF('Data Source'!W143&gt;=5,"A+",IF('Data Source'!W143&gt;=4,"A",IF('Data Source'!W143&gt;=3.5,"A-",IF('Data Source'!W143&gt;=3,"B",IF('Data Source'!W143&gt;=2,"C",IF('Data Source'!W143&gt;=1,"D","F")))))),"")</f>
        <v/>
      </c>
      <c r="F143" s="3">
        <f>IF(AND('Data Source'!B143&lt;&gt;"",'Data Source'!S143="A+"),IF('Data Source'!X143&gt;=5,"A+",IF('Data Source'!X143&gt;=4,"A",IF('Data Source'!X143&gt;=3.5,"A-",IF('Data Source'!X143&gt;=3,"B",IF('Data Source'!X143&gt;=2,"C",IF('Data Source'!X143&gt;=1,"D","F")))))),"")</f>
        <v/>
      </c>
      <c r="G143" s="3">
        <f>IF(AND('Data Source'!B143&lt;&gt;"",'Data Source'!S143="A+"),IF('Data Source'!Y143&gt;=5,"A+",IF('Data Source'!Y143&gt;=4,"A",IF('Data Source'!Y143&gt;=3.5,"A-",IF('Data Source'!Y143&gt;=3,"B",IF('Data Source'!Y143&gt;=2,"C",IF('Data Source'!Y143&gt;=1,"D","F")))))),"")</f>
        <v/>
      </c>
      <c r="H143" s="3">
        <f>IF(AND('Data Source'!B143&lt;&gt;"",'Data Source'!S143="A+"),IF('Data Source'!Z143&gt;=5,"A+",IF('Data Source'!Z143&gt;=4,"A",IF('Data Source'!Z143&gt;=3.5,"A-",IF('Data Source'!Z143&gt;=3,"B",IF('Data Source'!Z143&gt;=2,"C",IF('Data Source'!Z143&gt;=1,"D","F")))))),"")</f>
        <v/>
      </c>
      <c r="I143" s="3">
        <f>IF(AND('Data Source'!B143&lt;&gt;"",'Data Source'!S143="A+"),IF('Data Source'!AA143&gt;=5,"A+",IF('Data Source'!AA143&gt;=4,"A",IF('Data Source'!AA143&gt;=3.5,"A-",IF('Data Source'!AA143&gt;=3,"B",IF('Data Source'!AA143&gt;=2,"C",IF('Data Source'!AA143&gt;=1,"D","F")))))),"")</f>
        <v/>
      </c>
      <c r="J143" s="3">
        <f>IF(AND('Data Source'!B143&lt;&gt;"",'Data Source'!S143="A+"),IF('Data Source'!AB143&gt;=5,"A+",IF('Data Source'!AB143&gt;=4,"A",IF('Data Source'!AB143&gt;=3.5,"A-",IF('Data Source'!AB143&gt;=3,"B",IF('Data Source'!AB143&gt;=2,"C",IF('Data Source'!AB143&gt;=1,"D","F")))))),"")</f>
        <v/>
      </c>
      <c r="K143" s="3">
        <f>IF(AND('Data Source'!B143&lt;&gt;"",'Data Source'!S143="A+"),IF('Data Source'!AC143&gt;=5,"A+",IF('Data Source'!AC143&gt;=4,"A",IF('Data Source'!AC143&gt;=3.5,"A-",IF('Data Source'!AC143&gt;=3,"B",IF('Data Source'!AC143&gt;=2,"C",IF('Data Source'!AC143&gt;=1,"D","F")))))),"")</f>
        <v/>
      </c>
      <c r="L143" s="3">
        <f>IF(AND('Data Source'!B143&lt;&gt;"",'Data Source'!S143="A+"),IF('Data Source'!AD143&gt;=5,"A+",IF('Data Source'!AD143&gt;=4,"A",IF('Data Source'!AD143&gt;=3.5,"A-",IF('Data Source'!AD143&gt;=3,"B",IF('Data Source'!AD143&gt;=2,"C",IF('Data Source'!AD143&gt;=1,"D","F")))))),"")</f>
        <v/>
      </c>
      <c r="M143" s="3">
        <f>IF(AND('Data Source'!B143&lt;&gt;"",'Data Source'!S143="A+"),IF('Data Source'!AE143&gt;=5,"A+",IF('Data Source'!AE143&gt;=4,"A",IF('Data Source'!AE143&gt;=3.5,"A-",IF('Data Source'!AE143&gt;=3,"B",IF('Data Source'!AE143&gt;=2,"C",IF('Data Source'!AE143&gt;=1,"D","F")))))),"")</f>
        <v/>
      </c>
      <c r="N143" s="3">
        <f>IF(AND('Data Source'!B143&lt;&gt;"",'Data Source'!S143="A+"),IF('Data Source'!AF143&gt;=5,"A+",IF('Data Source'!AF143&gt;=4,"A",IF('Data Source'!AF143&gt;=3.5,"A-",IF('Data Source'!AF143&gt;=3,"B",IF('Data Source'!AF143&gt;=2,"C",IF('Data Source'!AF143&gt;=1,"D","F")))))),"")</f>
        <v/>
      </c>
      <c r="O143" s="3">
        <f>IF(AND('Data Source'!B143&lt;&gt;"",'Data Source'!S143="A+"),IF('Data Source'!AG143&gt;=5,"A+",IF('Data Source'!AG143&gt;=4,"A",IF('Data Source'!AG143&gt;=3.5,"A-",IF('Data Source'!AG143&gt;=3,"B",IF('Data Source'!AG143&gt;=2,"C",IF('Data Source'!AG143&gt;=1,"D","F")))))),"")</f>
        <v/>
      </c>
      <c r="P143" s="5">
        <f>IF(AND('Data Source'!B143&lt;&gt;"",'Data Source'!S143="A+"),'Data Source'!R143,"")</f>
        <v/>
      </c>
      <c r="Q143" s="3">
        <f>IF(AND('Data Source'!B143&lt;&gt;"",'Data Source'!S143="A+"),'Data Source'!S143,"")</f>
        <v/>
      </c>
    </row>
    <row r="144">
      <c r="A144" s="3">
        <f>IF(AND('Data Source'!B144&lt;&gt;"",'Data Source'!S144="A+"),COUNTIF('Data Source'!$S$3:S144,"A+"),"")</f>
        <v/>
      </c>
      <c r="B144">
        <f>IF(AND('Data Source'!B144&lt;&gt;"",'Data Source'!S144="A+"),'Data Source'!B144,"")</f>
        <v/>
      </c>
      <c r="C144" s="3">
        <f>IF(AND('Data Source'!B144&lt;&gt;"",'Data Source'!S144="A+"),IF('Data Source'!U144&gt;=5,"A+",IF('Data Source'!U144&gt;=4,"A",IF('Data Source'!U144&gt;=3.5,"A-",IF('Data Source'!U144&gt;=3,"B",IF('Data Source'!U144&gt;=2,"C",IF('Data Source'!U144&gt;=1,"D","F")))))),"")</f>
        <v/>
      </c>
      <c r="D144" s="3">
        <f>IF(AND('Data Source'!B144&lt;&gt;"",'Data Source'!S144="A+"),IF('Data Source'!V144&gt;=5,"A+",IF('Data Source'!V144&gt;=4,"A",IF('Data Source'!V144&gt;=3.5,"A-",IF('Data Source'!V144&gt;=3,"B",IF('Data Source'!V144&gt;=2,"C",IF('Data Source'!V144&gt;=1,"D","F")))))),"")</f>
        <v/>
      </c>
      <c r="E144" s="3">
        <f>IF(AND('Data Source'!B144&lt;&gt;"",'Data Source'!S144="A+"),IF('Data Source'!W144&gt;=5,"A+",IF('Data Source'!W144&gt;=4,"A",IF('Data Source'!W144&gt;=3.5,"A-",IF('Data Source'!W144&gt;=3,"B",IF('Data Source'!W144&gt;=2,"C",IF('Data Source'!W144&gt;=1,"D","F")))))),"")</f>
        <v/>
      </c>
      <c r="F144" s="3">
        <f>IF(AND('Data Source'!B144&lt;&gt;"",'Data Source'!S144="A+"),IF('Data Source'!X144&gt;=5,"A+",IF('Data Source'!X144&gt;=4,"A",IF('Data Source'!X144&gt;=3.5,"A-",IF('Data Source'!X144&gt;=3,"B",IF('Data Source'!X144&gt;=2,"C",IF('Data Source'!X144&gt;=1,"D","F")))))),"")</f>
        <v/>
      </c>
      <c r="G144" s="3">
        <f>IF(AND('Data Source'!B144&lt;&gt;"",'Data Source'!S144="A+"),IF('Data Source'!Y144&gt;=5,"A+",IF('Data Source'!Y144&gt;=4,"A",IF('Data Source'!Y144&gt;=3.5,"A-",IF('Data Source'!Y144&gt;=3,"B",IF('Data Source'!Y144&gt;=2,"C",IF('Data Source'!Y144&gt;=1,"D","F")))))),"")</f>
        <v/>
      </c>
      <c r="H144" s="3">
        <f>IF(AND('Data Source'!B144&lt;&gt;"",'Data Source'!S144="A+"),IF('Data Source'!Z144&gt;=5,"A+",IF('Data Source'!Z144&gt;=4,"A",IF('Data Source'!Z144&gt;=3.5,"A-",IF('Data Source'!Z144&gt;=3,"B",IF('Data Source'!Z144&gt;=2,"C",IF('Data Source'!Z144&gt;=1,"D","F")))))),"")</f>
        <v/>
      </c>
      <c r="I144" s="3">
        <f>IF(AND('Data Source'!B144&lt;&gt;"",'Data Source'!S144="A+"),IF('Data Source'!AA144&gt;=5,"A+",IF('Data Source'!AA144&gt;=4,"A",IF('Data Source'!AA144&gt;=3.5,"A-",IF('Data Source'!AA144&gt;=3,"B",IF('Data Source'!AA144&gt;=2,"C",IF('Data Source'!AA144&gt;=1,"D","F")))))),"")</f>
        <v/>
      </c>
      <c r="J144" s="3">
        <f>IF(AND('Data Source'!B144&lt;&gt;"",'Data Source'!S144="A+"),IF('Data Source'!AB144&gt;=5,"A+",IF('Data Source'!AB144&gt;=4,"A",IF('Data Source'!AB144&gt;=3.5,"A-",IF('Data Source'!AB144&gt;=3,"B",IF('Data Source'!AB144&gt;=2,"C",IF('Data Source'!AB144&gt;=1,"D","F")))))),"")</f>
        <v/>
      </c>
      <c r="K144" s="3">
        <f>IF(AND('Data Source'!B144&lt;&gt;"",'Data Source'!S144="A+"),IF('Data Source'!AC144&gt;=5,"A+",IF('Data Source'!AC144&gt;=4,"A",IF('Data Source'!AC144&gt;=3.5,"A-",IF('Data Source'!AC144&gt;=3,"B",IF('Data Source'!AC144&gt;=2,"C",IF('Data Source'!AC144&gt;=1,"D","F")))))),"")</f>
        <v/>
      </c>
      <c r="L144" s="3">
        <f>IF(AND('Data Source'!B144&lt;&gt;"",'Data Source'!S144="A+"),IF('Data Source'!AD144&gt;=5,"A+",IF('Data Source'!AD144&gt;=4,"A",IF('Data Source'!AD144&gt;=3.5,"A-",IF('Data Source'!AD144&gt;=3,"B",IF('Data Source'!AD144&gt;=2,"C",IF('Data Source'!AD144&gt;=1,"D","F")))))),"")</f>
        <v/>
      </c>
      <c r="M144" s="3">
        <f>IF(AND('Data Source'!B144&lt;&gt;"",'Data Source'!S144="A+"),IF('Data Source'!AE144&gt;=5,"A+",IF('Data Source'!AE144&gt;=4,"A",IF('Data Source'!AE144&gt;=3.5,"A-",IF('Data Source'!AE144&gt;=3,"B",IF('Data Source'!AE144&gt;=2,"C",IF('Data Source'!AE144&gt;=1,"D","F")))))),"")</f>
        <v/>
      </c>
      <c r="N144" s="3">
        <f>IF(AND('Data Source'!B144&lt;&gt;"",'Data Source'!S144="A+"),IF('Data Source'!AF144&gt;=5,"A+",IF('Data Source'!AF144&gt;=4,"A",IF('Data Source'!AF144&gt;=3.5,"A-",IF('Data Source'!AF144&gt;=3,"B",IF('Data Source'!AF144&gt;=2,"C",IF('Data Source'!AF144&gt;=1,"D","F")))))),"")</f>
        <v/>
      </c>
      <c r="O144" s="3">
        <f>IF(AND('Data Source'!B144&lt;&gt;"",'Data Source'!S144="A+"),IF('Data Source'!AG144&gt;=5,"A+",IF('Data Source'!AG144&gt;=4,"A",IF('Data Source'!AG144&gt;=3.5,"A-",IF('Data Source'!AG144&gt;=3,"B",IF('Data Source'!AG144&gt;=2,"C",IF('Data Source'!AG144&gt;=1,"D","F")))))),"")</f>
        <v/>
      </c>
      <c r="P144" s="5">
        <f>IF(AND('Data Source'!B144&lt;&gt;"",'Data Source'!S144="A+"),'Data Source'!R144,"")</f>
        <v/>
      </c>
      <c r="Q144" s="3">
        <f>IF(AND('Data Source'!B144&lt;&gt;"",'Data Source'!S144="A+"),'Data Source'!S144,"")</f>
        <v/>
      </c>
    </row>
    <row r="145">
      <c r="A145" s="3">
        <f>IF(AND('Data Source'!B145&lt;&gt;"",'Data Source'!S145="A+"),COUNTIF('Data Source'!$S$3:S145,"A+"),"")</f>
        <v/>
      </c>
      <c r="B145">
        <f>IF(AND('Data Source'!B145&lt;&gt;"",'Data Source'!S145="A+"),'Data Source'!B145,"")</f>
        <v/>
      </c>
      <c r="C145" s="3">
        <f>IF(AND('Data Source'!B145&lt;&gt;"",'Data Source'!S145="A+"),IF('Data Source'!U145&gt;=5,"A+",IF('Data Source'!U145&gt;=4,"A",IF('Data Source'!U145&gt;=3.5,"A-",IF('Data Source'!U145&gt;=3,"B",IF('Data Source'!U145&gt;=2,"C",IF('Data Source'!U145&gt;=1,"D","F")))))),"")</f>
        <v/>
      </c>
      <c r="D145" s="3">
        <f>IF(AND('Data Source'!B145&lt;&gt;"",'Data Source'!S145="A+"),IF('Data Source'!V145&gt;=5,"A+",IF('Data Source'!V145&gt;=4,"A",IF('Data Source'!V145&gt;=3.5,"A-",IF('Data Source'!V145&gt;=3,"B",IF('Data Source'!V145&gt;=2,"C",IF('Data Source'!V145&gt;=1,"D","F")))))),"")</f>
        <v/>
      </c>
      <c r="E145" s="3">
        <f>IF(AND('Data Source'!B145&lt;&gt;"",'Data Source'!S145="A+"),IF('Data Source'!W145&gt;=5,"A+",IF('Data Source'!W145&gt;=4,"A",IF('Data Source'!W145&gt;=3.5,"A-",IF('Data Source'!W145&gt;=3,"B",IF('Data Source'!W145&gt;=2,"C",IF('Data Source'!W145&gt;=1,"D","F")))))),"")</f>
        <v/>
      </c>
      <c r="F145" s="3">
        <f>IF(AND('Data Source'!B145&lt;&gt;"",'Data Source'!S145="A+"),IF('Data Source'!X145&gt;=5,"A+",IF('Data Source'!X145&gt;=4,"A",IF('Data Source'!X145&gt;=3.5,"A-",IF('Data Source'!X145&gt;=3,"B",IF('Data Source'!X145&gt;=2,"C",IF('Data Source'!X145&gt;=1,"D","F")))))),"")</f>
        <v/>
      </c>
      <c r="G145" s="3">
        <f>IF(AND('Data Source'!B145&lt;&gt;"",'Data Source'!S145="A+"),IF('Data Source'!Y145&gt;=5,"A+",IF('Data Source'!Y145&gt;=4,"A",IF('Data Source'!Y145&gt;=3.5,"A-",IF('Data Source'!Y145&gt;=3,"B",IF('Data Source'!Y145&gt;=2,"C",IF('Data Source'!Y145&gt;=1,"D","F")))))),"")</f>
        <v/>
      </c>
      <c r="H145" s="3">
        <f>IF(AND('Data Source'!B145&lt;&gt;"",'Data Source'!S145="A+"),IF('Data Source'!Z145&gt;=5,"A+",IF('Data Source'!Z145&gt;=4,"A",IF('Data Source'!Z145&gt;=3.5,"A-",IF('Data Source'!Z145&gt;=3,"B",IF('Data Source'!Z145&gt;=2,"C",IF('Data Source'!Z145&gt;=1,"D","F")))))),"")</f>
        <v/>
      </c>
      <c r="I145" s="3">
        <f>IF(AND('Data Source'!B145&lt;&gt;"",'Data Source'!S145="A+"),IF('Data Source'!AA145&gt;=5,"A+",IF('Data Source'!AA145&gt;=4,"A",IF('Data Source'!AA145&gt;=3.5,"A-",IF('Data Source'!AA145&gt;=3,"B",IF('Data Source'!AA145&gt;=2,"C",IF('Data Source'!AA145&gt;=1,"D","F")))))),"")</f>
        <v/>
      </c>
      <c r="J145" s="3">
        <f>IF(AND('Data Source'!B145&lt;&gt;"",'Data Source'!S145="A+"),IF('Data Source'!AB145&gt;=5,"A+",IF('Data Source'!AB145&gt;=4,"A",IF('Data Source'!AB145&gt;=3.5,"A-",IF('Data Source'!AB145&gt;=3,"B",IF('Data Source'!AB145&gt;=2,"C",IF('Data Source'!AB145&gt;=1,"D","F")))))),"")</f>
        <v/>
      </c>
      <c r="K145" s="3">
        <f>IF(AND('Data Source'!B145&lt;&gt;"",'Data Source'!S145="A+"),IF('Data Source'!AC145&gt;=5,"A+",IF('Data Source'!AC145&gt;=4,"A",IF('Data Source'!AC145&gt;=3.5,"A-",IF('Data Source'!AC145&gt;=3,"B",IF('Data Source'!AC145&gt;=2,"C",IF('Data Source'!AC145&gt;=1,"D","F")))))),"")</f>
        <v/>
      </c>
      <c r="L145" s="3">
        <f>IF(AND('Data Source'!B145&lt;&gt;"",'Data Source'!S145="A+"),IF('Data Source'!AD145&gt;=5,"A+",IF('Data Source'!AD145&gt;=4,"A",IF('Data Source'!AD145&gt;=3.5,"A-",IF('Data Source'!AD145&gt;=3,"B",IF('Data Source'!AD145&gt;=2,"C",IF('Data Source'!AD145&gt;=1,"D","F")))))),"")</f>
        <v/>
      </c>
      <c r="M145" s="3">
        <f>IF(AND('Data Source'!B145&lt;&gt;"",'Data Source'!S145="A+"),IF('Data Source'!AE145&gt;=5,"A+",IF('Data Source'!AE145&gt;=4,"A",IF('Data Source'!AE145&gt;=3.5,"A-",IF('Data Source'!AE145&gt;=3,"B",IF('Data Source'!AE145&gt;=2,"C",IF('Data Source'!AE145&gt;=1,"D","F")))))),"")</f>
        <v/>
      </c>
      <c r="N145" s="3">
        <f>IF(AND('Data Source'!B145&lt;&gt;"",'Data Source'!S145="A+"),IF('Data Source'!AF145&gt;=5,"A+",IF('Data Source'!AF145&gt;=4,"A",IF('Data Source'!AF145&gt;=3.5,"A-",IF('Data Source'!AF145&gt;=3,"B",IF('Data Source'!AF145&gt;=2,"C",IF('Data Source'!AF145&gt;=1,"D","F")))))),"")</f>
        <v/>
      </c>
      <c r="O145" s="3">
        <f>IF(AND('Data Source'!B145&lt;&gt;"",'Data Source'!S145="A+"),IF('Data Source'!AG145&gt;=5,"A+",IF('Data Source'!AG145&gt;=4,"A",IF('Data Source'!AG145&gt;=3.5,"A-",IF('Data Source'!AG145&gt;=3,"B",IF('Data Source'!AG145&gt;=2,"C",IF('Data Source'!AG145&gt;=1,"D","F")))))),"")</f>
        <v/>
      </c>
      <c r="P145" s="5">
        <f>IF(AND('Data Source'!B145&lt;&gt;"",'Data Source'!S145="A+"),'Data Source'!R145,"")</f>
        <v/>
      </c>
      <c r="Q145" s="3">
        <f>IF(AND('Data Source'!B145&lt;&gt;"",'Data Source'!S145="A+"),'Data Source'!S145,"")</f>
        <v/>
      </c>
    </row>
    <row r="146">
      <c r="A146" s="3">
        <f>IF(AND('Data Source'!B146&lt;&gt;"",'Data Source'!S146="A+"),COUNTIF('Data Source'!$S$3:S146,"A+"),"")</f>
        <v/>
      </c>
      <c r="B146">
        <f>IF(AND('Data Source'!B146&lt;&gt;"",'Data Source'!S146="A+"),'Data Source'!B146,"")</f>
        <v/>
      </c>
      <c r="C146" s="3">
        <f>IF(AND('Data Source'!B146&lt;&gt;"",'Data Source'!S146="A+"),IF('Data Source'!U146&gt;=5,"A+",IF('Data Source'!U146&gt;=4,"A",IF('Data Source'!U146&gt;=3.5,"A-",IF('Data Source'!U146&gt;=3,"B",IF('Data Source'!U146&gt;=2,"C",IF('Data Source'!U146&gt;=1,"D","F")))))),"")</f>
        <v/>
      </c>
      <c r="D146" s="3">
        <f>IF(AND('Data Source'!B146&lt;&gt;"",'Data Source'!S146="A+"),IF('Data Source'!V146&gt;=5,"A+",IF('Data Source'!V146&gt;=4,"A",IF('Data Source'!V146&gt;=3.5,"A-",IF('Data Source'!V146&gt;=3,"B",IF('Data Source'!V146&gt;=2,"C",IF('Data Source'!V146&gt;=1,"D","F")))))),"")</f>
        <v/>
      </c>
      <c r="E146" s="3">
        <f>IF(AND('Data Source'!B146&lt;&gt;"",'Data Source'!S146="A+"),IF('Data Source'!W146&gt;=5,"A+",IF('Data Source'!W146&gt;=4,"A",IF('Data Source'!W146&gt;=3.5,"A-",IF('Data Source'!W146&gt;=3,"B",IF('Data Source'!W146&gt;=2,"C",IF('Data Source'!W146&gt;=1,"D","F")))))),"")</f>
        <v/>
      </c>
      <c r="F146" s="3">
        <f>IF(AND('Data Source'!B146&lt;&gt;"",'Data Source'!S146="A+"),IF('Data Source'!X146&gt;=5,"A+",IF('Data Source'!X146&gt;=4,"A",IF('Data Source'!X146&gt;=3.5,"A-",IF('Data Source'!X146&gt;=3,"B",IF('Data Source'!X146&gt;=2,"C",IF('Data Source'!X146&gt;=1,"D","F")))))),"")</f>
        <v/>
      </c>
      <c r="G146" s="3">
        <f>IF(AND('Data Source'!B146&lt;&gt;"",'Data Source'!S146="A+"),IF('Data Source'!Y146&gt;=5,"A+",IF('Data Source'!Y146&gt;=4,"A",IF('Data Source'!Y146&gt;=3.5,"A-",IF('Data Source'!Y146&gt;=3,"B",IF('Data Source'!Y146&gt;=2,"C",IF('Data Source'!Y146&gt;=1,"D","F")))))),"")</f>
        <v/>
      </c>
      <c r="H146" s="3">
        <f>IF(AND('Data Source'!B146&lt;&gt;"",'Data Source'!S146="A+"),IF('Data Source'!Z146&gt;=5,"A+",IF('Data Source'!Z146&gt;=4,"A",IF('Data Source'!Z146&gt;=3.5,"A-",IF('Data Source'!Z146&gt;=3,"B",IF('Data Source'!Z146&gt;=2,"C",IF('Data Source'!Z146&gt;=1,"D","F")))))),"")</f>
        <v/>
      </c>
      <c r="I146" s="3">
        <f>IF(AND('Data Source'!B146&lt;&gt;"",'Data Source'!S146="A+"),IF('Data Source'!AA146&gt;=5,"A+",IF('Data Source'!AA146&gt;=4,"A",IF('Data Source'!AA146&gt;=3.5,"A-",IF('Data Source'!AA146&gt;=3,"B",IF('Data Source'!AA146&gt;=2,"C",IF('Data Source'!AA146&gt;=1,"D","F")))))),"")</f>
        <v/>
      </c>
      <c r="J146" s="3">
        <f>IF(AND('Data Source'!B146&lt;&gt;"",'Data Source'!S146="A+"),IF('Data Source'!AB146&gt;=5,"A+",IF('Data Source'!AB146&gt;=4,"A",IF('Data Source'!AB146&gt;=3.5,"A-",IF('Data Source'!AB146&gt;=3,"B",IF('Data Source'!AB146&gt;=2,"C",IF('Data Source'!AB146&gt;=1,"D","F")))))),"")</f>
        <v/>
      </c>
      <c r="K146" s="3">
        <f>IF(AND('Data Source'!B146&lt;&gt;"",'Data Source'!S146="A+"),IF('Data Source'!AC146&gt;=5,"A+",IF('Data Source'!AC146&gt;=4,"A",IF('Data Source'!AC146&gt;=3.5,"A-",IF('Data Source'!AC146&gt;=3,"B",IF('Data Source'!AC146&gt;=2,"C",IF('Data Source'!AC146&gt;=1,"D","F")))))),"")</f>
        <v/>
      </c>
      <c r="L146" s="3">
        <f>IF(AND('Data Source'!B146&lt;&gt;"",'Data Source'!S146="A+"),IF('Data Source'!AD146&gt;=5,"A+",IF('Data Source'!AD146&gt;=4,"A",IF('Data Source'!AD146&gt;=3.5,"A-",IF('Data Source'!AD146&gt;=3,"B",IF('Data Source'!AD146&gt;=2,"C",IF('Data Source'!AD146&gt;=1,"D","F")))))),"")</f>
        <v/>
      </c>
      <c r="M146" s="3">
        <f>IF(AND('Data Source'!B146&lt;&gt;"",'Data Source'!S146="A+"),IF('Data Source'!AE146&gt;=5,"A+",IF('Data Source'!AE146&gt;=4,"A",IF('Data Source'!AE146&gt;=3.5,"A-",IF('Data Source'!AE146&gt;=3,"B",IF('Data Source'!AE146&gt;=2,"C",IF('Data Source'!AE146&gt;=1,"D","F")))))),"")</f>
        <v/>
      </c>
      <c r="N146" s="3">
        <f>IF(AND('Data Source'!B146&lt;&gt;"",'Data Source'!S146="A+"),IF('Data Source'!AF146&gt;=5,"A+",IF('Data Source'!AF146&gt;=4,"A",IF('Data Source'!AF146&gt;=3.5,"A-",IF('Data Source'!AF146&gt;=3,"B",IF('Data Source'!AF146&gt;=2,"C",IF('Data Source'!AF146&gt;=1,"D","F")))))),"")</f>
        <v/>
      </c>
      <c r="O146" s="3">
        <f>IF(AND('Data Source'!B146&lt;&gt;"",'Data Source'!S146="A+"),IF('Data Source'!AG146&gt;=5,"A+",IF('Data Source'!AG146&gt;=4,"A",IF('Data Source'!AG146&gt;=3.5,"A-",IF('Data Source'!AG146&gt;=3,"B",IF('Data Source'!AG146&gt;=2,"C",IF('Data Source'!AG146&gt;=1,"D","F")))))),"")</f>
        <v/>
      </c>
      <c r="P146" s="5">
        <f>IF(AND('Data Source'!B146&lt;&gt;"",'Data Source'!S146="A+"),'Data Source'!R146,"")</f>
        <v/>
      </c>
      <c r="Q146" s="3">
        <f>IF(AND('Data Source'!B146&lt;&gt;"",'Data Source'!S146="A+"),'Data Source'!S146,"")</f>
        <v/>
      </c>
    </row>
    <row r="147">
      <c r="A147" s="3">
        <f>IF(AND('Data Source'!B147&lt;&gt;"",'Data Source'!S147="A+"),COUNTIF('Data Source'!$S$3:S147,"A+"),"")</f>
        <v/>
      </c>
      <c r="B147">
        <f>IF(AND('Data Source'!B147&lt;&gt;"",'Data Source'!S147="A+"),'Data Source'!B147,"")</f>
        <v/>
      </c>
      <c r="C147" s="3">
        <f>IF(AND('Data Source'!B147&lt;&gt;"",'Data Source'!S147="A+"),IF('Data Source'!U147&gt;=5,"A+",IF('Data Source'!U147&gt;=4,"A",IF('Data Source'!U147&gt;=3.5,"A-",IF('Data Source'!U147&gt;=3,"B",IF('Data Source'!U147&gt;=2,"C",IF('Data Source'!U147&gt;=1,"D","F")))))),"")</f>
        <v/>
      </c>
      <c r="D147" s="3">
        <f>IF(AND('Data Source'!B147&lt;&gt;"",'Data Source'!S147="A+"),IF('Data Source'!V147&gt;=5,"A+",IF('Data Source'!V147&gt;=4,"A",IF('Data Source'!V147&gt;=3.5,"A-",IF('Data Source'!V147&gt;=3,"B",IF('Data Source'!V147&gt;=2,"C",IF('Data Source'!V147&gt;=1,"D","F")))))),"")</f>
        <v/>
      </c>
      <c r="E147" s="3">
        <f>IF(AND('Data Source'!B147&lt;&gt;"",'Data Source'!S147="A+"),IF('Data Source'!W147&gt;=5,"A+",IF('Data Source'!W147&gt;=4,"A",IF('Data Source'!W147&gt;=3.5,"A-",IF('Data Source'!W147&gt;=3,"B",IF('Data Source'!W147&gt;=2,"C",IF('Data Source'!W147&gt;=1,"D","F")))))),"")</f>
        <v/>
      </c>
      <c r="F147" s="3">
        <f>IF(AND('Data Source'!B147&lt;&gt;"",'Data Source'!S147="A+"),IF('Data Source'!X147&gt;=5,"A+",IF('Data Source'!X147&gt;=4,"A",IF('Data Source'!X147&gt;=3.5,"A-",IF('Data Source'!X147&gt;=3,"B",IF('Data Source'!X147&gt;=2,"C",IF('Data Source'!X147&gt;=1,"D","F")))))),"")</f>
        <v/>
      </c>
      <c r="G147" s="3">
        <f>IF(AND('Data Source'!B147&lt;&gt;"",'Data Source'!S147="A+"),IF('Data Source'!Y147&gt;=5,"A+",IF('Data Source'!Y147&gt;=4,"A",IF('Data Source'!Y147&gt;=3.5,"A-",IF('Data Source'!Y147&gt;=3,"B",IF('Data Source'!Y147&gt;=2,"C",IF('Data Source'!Y147&gt;=1,"D","F")))))),"")</f>
        <v/>
      </c>
      <c r="H147" s="3">
        <f>IF(AND('Data Source'!B147&lt;&gt;"",'Data Source'!S147="A+"),IF('Data Source'!Z147&gt;=5,"A+",IF('Data Source'!Z147&gt;=4,"A",IF('Data Source'!Z147&gt;=3.5,"A-",IF('Data Source'!Z147&gt;=3,"B",IF('Data Source'!Z147&gt;=2,"C",IF('Data Source'!Z147&gt;=1,"D","F")))))),"")</f>
        <v/>
      </c>
      <c r="I147" s="3">
        <f>IF(AND('Data Source'!B147&lt;&gt;"",'Data Source'!S147="A+"),IF('Data Source'!AA147&gt;=5,"A+",IF('Data Source'!AA147&gt;=4,"A",IF('Data Source'!AA147&gt;=3.5,"A-",IF('Data Source'!AA147&gt;=3,"B",IF('Data Source'!AA147&gt;=2,"C",IF('Data Source'!AA147&gt;=1,"D","F")))))),"")</f>
        <v/>
      </c>
      <c r="J147" s="3">
        <f>IF(AND('Data Source'!B147&lt;&gt;"",'Data Source'!S147="A+"),IF('Data Source'!AB147&gt;=5,"A+",IF('Data Source'!AB147&gt;=4,"A",IF('Data Source'!AB147&gt;=3.5,"A-",IF('Data Source'!AB147&gt;=3,"B",IF('Data Source'!AB147&gt;=2,"C",IF('Data Source'!AB147&gt;=1,"D","F")))))),"")</f>
        <v/>
      </c>
      <c r="K147" s="3">
        <f>IF(AND('Data Source'!B147&lt;&gt;"",'Data Source'!S147="A+"),IF('Data Source'!AC147&gt;=5,"A+",IF('Data Source'!AC147&gt;=4,"A",IF('Data Source'!AC147&gt;=3.5,"A-",IF('Data Source'!AC147&gt;=3,"B",IF('Data Source'!AC147&gt;=2,"C",IF('Data Source'!AC147&gt;=1,"D","F")))))),"")</f>
        <v/>
      </c>
      <c r="L147" s="3">
        <f>IF(AND('Data Source'!B147&lt;&gt;"",'Data Source'!S147="A+"),IF('Data Source'!AD147&gt;=5,"A+",IF('Data Source'!AD147&gt;=4,"A",IF('Data Source'!AD147&gt;=3.5,"A-",IF('Data Source'!AD147&gt;=3,"B",IF('Data Source'!AD147&gt;=2,"C",IF('Data Source'!AD147&gt;=1,"D","F")))))),"")</f>
        <v/>
      </c>
      <c r="M147" s="3">
        <f>IF(AND('Data Source'!B147&lt;&gt;"",'Data Source'!S147="A+"),IF('Data Source'!AE147&gt;=5,"A+",IF('Data Source'!AE147&gt;=4,"A",IF('Data Source'!AE147&gt;=3.5,"A-",IF('Data Source'!AE147&gt;=3,"B",IF('Data Source'!AE147&gt;=2,"C",IF('Data Source'!AE147&gt;=1,"D","F")))))),"")</f>
        <v/>
      </c>
      <c r="N147" s="3">
        <f>IF(AND('Data Source'!B147&lt;&gt;"",'Data Source'!S147="A+"),IF('Data Source'!AF147&gt;=5,"A+",IF('Data Source'!AF147&gt;=4,"A",IF('Data Source'!AF147&gt;=3.5,"A-",IF('Data Source'!AF147&gt;=3,"B",IF('Data Source'!AF147&gt;=2,"C",IF('Data Source'!AF147&gt;=1,"D","F")))))),"")</f>
        <v/>
      </c>
      <c r="O147" s="3">
        <f>IF(AND('Data Source'!B147&lt;&gt;"",'Data Source'!S147="A+"),IF('Data Source'!AG147&gt;=5,"A+",IF('Data Source'!AG147&gt;=4,"A",IF('Data Source'!AG147&gt;=3.5,"A-",IF('Data Source'!AG147&gt;=3,"B",IF('Data Source'!AG147&gt;=2,"C",IF('Data Source'!AG147&gt;=1,"D","F")))))),"")</f>
        <v/>
      </c>
      <c r="P147" s="5">
        <f>IF(AND('Data Source'!B147&lt;&gt;"",'Data Source'!S147="A+"),'Data Source'!R147,"")</f>
        <v/>
      </c>
      <c r="Q147" s="3">
        <f>IF(AND('Data Source'!B147&lt;&gt;"",'Data Source'!S147="A+"),'Data Source'!S147,"")</f>
        <v/>
      </c>
    </row>
    <row r="148">
      <c r="A148" s="3">
        <f>IF(AND('Data Source'!B148&lt;&gt;"",'Data Source'!S148="A+"),COUNTIF('Data Source'!$S$3:S148,"A+"),"")</f>
        <v/>
      </c>
      <c r="B148">
        <f>IF(AND('Data Source'!B148&lt;&gt;"",'Data Source'!S148="A+"),'Data Source'!B148,"")</f>
        <v/>
      </c>
      <c r="C148" s="3">
        <f>IF(AND('Data Source'!B148&lt;&gt;"",'Data Source'!S148="A+"),IF('Data Source'!U148&gt;=5,"A+",IF('Data Source'!U148&gt;=4,"A",IF('Data Source'!U148&gt;=3.5,"A-",IF('Data Source'!U148&gt;=3,"B",IF('Data Source'!U148&gt;=2,"C",IF('Data Source'!U148&gt;=1,"D","F")))))),"")</f>
        <v/>
      </c>
      <c r="D148" s="3">
        <f>IF(AND('Data Source'!B148&lt;&gt;"",'Data Source'!S148="A+"),IF('Data Source'!V148&gt;=5,"A+",IF('Data Source'!V148&gt;=4,"A",IF('Data Source'!V148&gt;=3.5,"A-",IF('Data Source'!V148&gt;=3,"B",IF('Data Source'!V148&gt;=2,"C",IF('Data Source'!V148&gt;=1,"D","F")))))),"")</f>
        <v/>
      </c>
      <c r="E148" s="3">
        <f>IF(AND('Data Source'!B148&lt;&gt;"",'Data Source'!S148="A+"),IF('Data Source'!W148&gt;=5,"A+",IF('Data Source'!W148&gt;=4,"A",IF('Data Source'!W148&gt;=3.5,"A-",IF('Data Source'!W148&gt;=3,"B",IF('Data Source'!W148&gt;=2,"C",IF('Data Source'!W148&gt;=1,"D","F")))))),"")</f>
        <v/>
      </c>
      <c r="F148" s="3">
        <f>IF(AND('Data Source'!B148&lt;&gt;"",'Data Source'!S148="A+"),IF('Data Source'!X148&gt;=5,"A+",IF('Data Source'!X148&gt;=4,"A",IF('Data Source'!X148&gt;=3.5,"A-",IF('Data Source'!X148&gt;=3,"B",IF('Data Source'!X148&gt;=2,"C",IF('Data Source'!X148&gt;=1,"D","F")))))),"")</f>
        <v/>
      </c>
      <c r="G148" s="3">
        <f>IF(AND('Data Source'!B148&lt;&gt;"",'Data Source'!S148="A+"),IF('Data Source'!Y148&gt;=5,"A+",IF('Data Source'!Y148&gt;=4,"A",IF('Data Source'!Y148&gt;=3.5,"A-",IF('Data Source'!Y148&gt;=3,"B",IF('Data Source'!Y148&gt;=2,"C",IF('Data Source'!Y148&gt;=1,"D","F")))))),"")</f>
        <v/>
      </c>
      <c r="H148" s="3">
        <f>IF(AND('Data Source'!B148&lt;&gt;"",'Data Source'!S148="A+"),IF('Data Source'!Z148&gt;=5,"A+",IF('Data Source'!Z148&gt;=4,"A",IF('Data Source'!Z148&gt;=3.5,"A-",IF('Data Source'!Z148&gt;=3,"B",IF('Data Source'!Z148&gt;=2,"C",IF('Data Source'!Z148&gt;=1,"D","F")))))),"")</f>
        <v/>
      </c>
      <c r="I148" s="3">
        <f>IF(AND('Data Source'!B148&lt;&gt;"",'Data Source'!S148="A+"),IF('Data Source'!AA148&gt;=5,"A+",IF('Data Source'!AA148&gt;=4,"A",IF('Data Source'!AA148&gt;=3.5,"A-",IF('Data Source'!AA148&gt;=3,"B",IF('Data Source'!AA148&gt;=2,"C",IF('Data Source'!AA148&gt;=1,"D","F")))))),"")</f>
        <v/>
      </c>
      <c r="J148" s="3">
        <f>IF(AND('Data Source'!B148&lt;&gt;"",'Data Source'!S148="A+"),IF('Data Source'!AB148&gt;=5,"A+",IF('Data Source'!AB148&gt;=4,"A",IF('Data Source'!AB148&gt;=3.5,"A-",IF('Data Source'!AB148&gt;=3,"B",IF('Data Source'!AB148&gt;=2,"C",IF('Data Source'!AB148&gt;=1,"D","F")))))),"")</f>
        <v/>
      </c>
      <c r="K148" s="3">
        <f>IF(AND('Data Source'!B148&lt;&gt;"",'Data Source'!S148="A+"),IF('Data Source'!AC148&gt;=5,"A+",IF('Data Source'!AC148&gt;=4,"A",IF('Data Source'!AC148&gt;=3.5,"A-",IF('Data Source'!AC148&gt;=3,"B",IF('Data Source'!AC148&gt;=2,"C",IF('Data Source'!AC148&gt;=1,"D","F")))))),"")</f>
        <v/>
      </c>
      <c r="L148" s="3">
        <f>IF(AND('Data Source'!B148&lt;&gt;"",'Data Source'!S148="A+"),IF('Data Source'!AD148&gt;=5,"A+",IF('Data Source'!AD148&gt;=4,"A",IF('Data Source'!AD148&gt;=3.5,"A-",IF('Data Source'!AD148&gt;=3,"B",IF('Data Source'!AD148&gt;=2,"C",IF('Data Source'!AD148&gt;=1,"D","F")))))),"")</f>
        <v/>
      </c>
      <c r="M148" s="3">
        <f>IF(AND('Data Source'!B148&lt;&gt;"",'Data Source'!S148="A+"),IF('Data Source'!AE148&gt;=5,"A+",IF('Data Source'!AE148&gt;=4,"A",IF('Data Source'!AE148&gt;=3.5,"A-",IF('Data Source'!AE148&gt;=3,"B",IF('Data Source'!AE148&gt;=2,"C",IF('Data Source'!AE148&gt;=1,"D","F")))))),"")</f>
        <v/>
      </c>
      <c r="N148" s="3">
        <f>IF(AND('Data Source'!B148&lt;&gt;"",'Data Source'!S148="A+"),IF('Data Source'!AF148&gt;=5,"A+",IF('Data Source'!AF148&gt;=4,"A",IF('Data Source'!AF148&gt;=3.5,"A-",IF('Data Source'!AF148&gt;=3,"B",IF('Data Source'!AF148&gt;=2,"C",IF('Data Source'!AF148&gt;=1,"D","F")))))),"")</f>
        <v/>
      </c>
      <c r="O148" s="3">
        <f>IF(AND('Data Source'!B148&lt;&gt;"",'Data Source'!S148="A+"),IF('Data Source'!AG148&gt;=5,"A+",IF('Data Source'!AG148&gt;=4,"A",IF('Data Source'!AG148&gt;=3.5,"A-",IF('Data Source'!AG148&gt;=3,"B",IF('Data Source'!AG148&gt;=2,"C",IF('Data Source'!AG148&gt;=1,"D","F")))))),"")</f>
        <v/>
      </c>
      <c r="P148" s="5">
        <f>IF(AND('Data Source'!B148&lt;&gt;"",'Data Source'!S148="A+"),'Data Source'!R148,"")</f>
        <v/>
      </c>
      <c r="Q148" s="3">
        <f>IF(AND('Data Source'!B148&lt;&gt;"",'Data Source'!S148="A+"),'Data Source'!S148,"")</f>
        <v/>
      </c>
    </row>
    <row r="149">
      <c r="A149" s="3">
        <f>IF(AND('Data Source'!B149&lt;&gt;"",'Data Source'!S149="A+"),COUNTIF('Data Source'!$S$3:S149,"A+"),"")</f>
        <v/>
      </c>
      <c r="B149">
        <f>IF(AND('Data Source'!B149&lt;&gt;"",'Data Source'!S149="A+"),'Data Source'!B149,"")</f>
        <v/>
      </c>
      <c r="C149" s="3">
        <f>IF(AND('Data Source'!B149&lt;&gt;"",'Data Source'!S149="A+"),IF('Data Source'!U149&gt;=5,"A+",IF('Data Source'!U149&gt;=4,"A",IF('Data Source'!U149&gt;=3.5,"A-",IF('Data Source'!U149&gt;=3,"B",IF('Data Source'!U149&gt;=2,"C",IF('Data Source'!U149&gt;=1,"D","F")))))),"")</f>
        <v/>
      </c>
      <c r="D149" s="3">
        <f>IF(AND('Data Source'!B149&lt;&gt;"",'Data Source'!S149="A+"),IF('Data Source'!V149&gt;=5,"A+",IF('Data Source'!V149&gt;=4,"A",IF('Data Source'!V149&gt;=3.5,"A-",IF('Data Source'!V149&gt;=3,"B",IF('Data Source'!V149&gt;=2,"C",IF('Data Source'!V149&gt;=1,"D","F")))))),"")</f>
        <v/>
      </c>
      <c r="E149" s="3">
        <f>IF(AND('Data Source'!B149&lt;&gt;"",'Data Source'!S149="A+"),IF('Data Source'!W149&gt;=5,"A+",IF('Data Source'!W149&gt;=4,"A",IF('Data Source'!W149&gt;=3.5,"A-",IF('Data Source'!W149&gt;=3,"B",IF('Data Source'!W149&gt;=2,"C",IF('Data Source'!W149&gt;=1,"D","F")))))),"")</f>
        <v/>
      </c>
      <c r="F149" s="3">
        <f>IF(AND('Data Source'!B149&lt;&gt;"",'Data Source'!S149="A+"),IF('Data Source'!X149&gt;=5,"A+",IF('Data Source'!X149&gt;=4,"A",IF('Data Source'!X149&gt;=3.5,"A-",IF('Data Source'!X149&gt;=3,"B",IF('Data Source'!X149&gt;=2,"C",IF('Data Source'!X149&gt;=1,"D","F")))))),"")</f>
        <v/>
      </c>
      <c r="G149" s="3">
        <f>IF(AND('Data Source'!B149&lt;&gt;"",'Data Source'!S149="A+"),IF('Data Source'!Y149&gt;=5,"A+",IF('Data Source'!Y149&gt;=4,"A",IF('Data Source'!Y149&gt;=3.5,"A-",IF('Data Source'!Y149&gt;=3,"B",IF('Data Source'!Y149&gt;=2,"C",IF('Data Source'!Y149&gt;=1,"D","F")))))),"")</f>
        <v/>
      </c>
      <c r="H149" s="3">
        <f>IF(AND('Data Source'!B149&lt;&gt;"",'Data Source'!S149="A+"),IF('Data Source'!Z149&gt;=5,"A+",IF('Data Source'!Z149&gt;=4,"A",IF('Data Source'!Z149&gt;=3.5,"A-",IF('Data Source'!Z149&gt;=3,"B",IF('Data Source'!Z149&gt;=2,"C",IF('Data Source'!Z149&gt;=1,"D","F")))))),"")</f>
        <v/>
      </c>
      <c r="I149" s="3">
        <f>IF(AND('Data Source'!B149&lt;&gt;"",'Data Source'!S149="A+"),IF('Data Source'!AA149&gt;=5,"A+",IF('Data Source'!AA149&gt;=4,"A",IF('Data Source'!AA149&gt;=3.5,"A-",IF('Data Source'!AA149&gt;=3,"B",IF('Data Source'!AA149&gt;=2,"C",IF('Data Source'!AA149&gt;=1,"D","F")))))),"")</f>
        <v/>
      </c>
      <c r="J149" s="3">
        <f>IF(AND('Data Source'!B149&lt;&gt;"",'Data Source'!S149="A+"),IF('Data Source'!AB149&gt;=5,"A+",IF('Data Source'!AB149&gt;=4,"A",IF('Data Source'!AB149&gt;=3.5,"A-",IF('Data Source'!AB149&gt;=3,"B",IF('Data Source'!AB149&gt;=2,"C",IF('Data Source'!AB149&gt;=1,"D","F")))))),"")</f>
        <v/>
      </c>
      <c r="K149" s="3">
        <f>IF(AND('Data Source'!B149&lt;&gt;"",'Data Source'!S149="A+"),IF('Data Source'!AC149&gt;=5,"A+",IF('Data Source'!AC149&gt;=4,"A",IF('Data Source'!AC149&gt;=3.5,"A-",IF('Data Source'!AC149&gt;=3,"B",IF('Data Source'!AC149&gt;=2,"C",IF('Data Source'!AC149&gt;=1,"D","F")))))),"")</f>
        <v/>
      </c>
      <c r="L149" s="3">
        <f>IF(AND('Data Source'!B149&lt;&gt;"",'Data Source'!S149="A+"),IF('Data Source'!AD149&gt;=5,"A+",IF('Data Source'!AD149&gt;=4,"A",IF('Data Source'!AD149&gt;=3.5,"A-",IF('Data Source'!AD149&gt;=3,"B",IF('Data Source'!AD149&gt;=2,"C",IF('Data Source'!AD149&gt;=1,"D","F")))))),"")</f>
        <v/>
      </c>
      <c r="M149" s="3">
        <f>IF(AND('Data Source'!B149&lt;&gt;"",'Data Source'!S149="A+"),IF('Data Source'!AE149&gt;=5,"A+",IF('Data Source'!AE149&gt;=4,"A",IF('Data Source'!AE149&gt;=3.5,"A-",IF('Data Source'!AE149&gt;=3,"B",IF('Data Source'!AE149&gt;=2,"C",IF('Data Source'!AE149&gt;=1,"D","F")))))),"")</f>
        <v/>
      </c>
      <c r="N149" s="3">
        <f>IF(AND('Data Source'!B149&lt;&gt;"",'Data Source'!S149="A+"),IF('Data Source'!AF149&gt;=5,"A+",IF('Data Source'!AF149&gt;=4,"A",IF('Data Source'!AF149&gt;=3.5,"A-",IF('Data Source'!AF149&gt;=3,"B",IF('Data Source'!AF149&gt;=2,"C",IF('Data Source'!AF149&gt;=1,"D","F")))))),"")</f>
        <v/>
      </c>
      <c r="O149" s="3">
        <f>IF(AND('Data Source'!B149&lt;&gt;"",'Data Source'!S149="A+"),IF('Data Source'!AG149&gt;=5,"A+",IF('Data Source'!AG149&gt;=4,"A",IF('Data Source'!AG149&gt;=3.5,"A-",IF('Data Source'!AG149&gt;=3,"B",IF('Data Source'!AG149&gt;=2,"C",IF('Data Source'!AG149&gt;=1,"D","F")))))),"")</f>
        <v/>
      </c>
      <c r="P149" s="5">
        <f>IF(AND('Data Source'!B149&lt;&gt;"",'Data Source'!S149="A+"),'Data Source'!R149,"")</f>
        <v/>
      </c>
      <c r="Q149" s="3">
        <f>IF(AND('Data Source'!B149&lt;&gt;"",'Data Source'!S149="A+"),'Data Source'!S149,"")</f>
        <v/>
      </c>
    </row>
    <row r="150">
      <c r="A150" s="3">
        <f>IF(AND('Data Source'!B150&lt;&gt;"",'Data Source'!S150="A+"),COUNTIF('Data Source'!$S$3:S150,"A+"),"")</f>
        <v/>
      </c>
      <c r="B150">
        <f>IF(AND('Data Source'!B150&lt;&gt;"",'Data Source'!S150="A+"),'Data Source'!B150,"")</f>
        <v/>
      </c>
      <c r="C150" s="3">
        <f>IF(AND('Data Source'!B150&lt;&gt;"",'Data Source'!S150="A+"),IF('Data Source'!U150&gt;=5,"A+",IF('Data Source'!U150&gt;=4,"A",IF('Data Source'!U150&gt;=3.5,"A-",IF('Data Source'!U150&gt;=3,"B",IF('Data Source'!U150&gt;=2,"C",IF('Data Source'!U150&gt;=1,"D","F")))))),"")</f>
        <v/>
      </c>
      <c r="D150" s="3">
        <f>IF(AND('Data Source'!B150&lt;&gt;"",'Data Source'!S150="A+"),IF('Data Source'!V150&gt;=5,"A+",IF('Data Source'!V150&gt;=4,"A",IF('Data Source'!V150&gt;=3.5,"A-",IF('Data Source'!V150&gt;=3,"B",IF('Data Source'!V150&gt;=2,"C",IF('Data Source'!V150&gt;=1,"D","F")))))),"")</f>
        <v/>
      </c>
      <c r="E150" s="3">
        <f>IF(AND('Data Source'!B150&lt;&gt;"",'Data Source'!S150="A+"),IF('Data Source'!W150&gt;=5,"A+",IF('Data Source'!W150&gt;=4,"A",IF('Data Source'!W150&gt;=3.5,"A-",IF('Data Source'!W150&gt;=3,"B",IF('Data Source'!W150&gt;=2,"C",IF('Data Source'!W150&gt;=1,"D","F")))))),"")</f>
        <v/>
      </c>
      <c r="F150" s="3">
        <f>IF(AND('Data Source'!B150&lt;&gt;"",'Data Source'!S150="A+"),IF('Data Source'!X150&gt;=5,"A+",IF('Data Source'!X150&gt;=4,"A",IF('Data Source'!X150&gt;=3.5,"A-",IF('Data Source'!X150&gt;=3,"B",IF('Data Source'!X150&gt;=2,"C",IF('Data Source'!X150&gt;=1,"D","F")))))),"")</f>
        <v/>
      </c>
      <c r="G150" s="3">
        <f>IF(AND('Data Source'!B150&lt;&gt;"",'Data Source'!S150="A+"),IF('Data Source'!Y150&gt;=5,"A+",IF('Data Source'!Y150&gt;=4,"A",IF('Data Source'!Y150&gt;=3.5,"A-",IF('Data Source'!Y150&gt;=3,"B",IF('Data Source'!Y150&gt;=2,"C",IF('Data Source'!Y150&gt;=1,"D","F")))))),"")</f>
        <v/>
      </c>
      <c r="H150" s="3">
        <f>IF(AND('Data Source'!B150&lt;&gt;"",'Data Source'!S150="A+"),IF('Data Source'!Z150&gt;=5,"A+",IF('Data Source'!Z150&gt;=4,"A",IF('Data Source'!Z150&gt;=3.5,"A-",IF('Data Source'!Z150&gt;=3,"B",IF('Data Source'!Z150&gt;=2,"C",IF('Data Source'!Z150&gt;=1,"D","F")))))),"")</f>
        <v/>
      </c>
      <c r="I150" s="3">
        <f>IF(AND('Data Source'!B150&lt;&gt;"",'Data Source'!S150="A+"),IF('Data Source'!AA150&gt;=5,"A+",IF('Data Source'!AA150&gt;=4,"A",IF('Data Source'!AA150&gt;=3.5,"A-",IF('Data Source'!AA150&gt;=3,"B",IF('Data Source'!AA150&gt;=2,"C",IF('Data Source'!AA150&gt;=1,"D","F")))))),"")</f>
        <v/>
      </c>
      <c r="J150" s="3">
        <f>IF(AND('Data Source'!B150&lt;&gt;"",'Data Source'!S150="A+"),IF('Data Source'!AB150&gt;=5,"A+",IF('Data Source'!AB150&gt;=4,"A",IF('Data Source'!AB150&gt;=3.5,"A-",IF('Data Source'!AB150&gt;=3,"B",IF('Data Source'!AB150&gt;=2,"C",IF('Data Source'!AB150&gt;=1,"D","F")))))),"")</f>
        <v/>
      </c>
      <c r="K150" s="3">
        <f>IF(AND('Data Source'!B150&lt;&gt;"",'Data Source'!S150="A+"),IF('Data Source'!AC150&gt;=5,"A+",IF('Data Source'!AC150&gt;=4,"A",IF('Data Source'!AC150&gt;=3.5,"A-",IF('Data Source'!AC150&gt;=3,"B",IF('Data Source'!AC150&gt;=2,"C",IF('Data Source'!AC150&gt;=1,"D","F")))))),"")</f>
        <v/>
      </c>
      <c r="L150" s="3">
        <f>IF(AND('Data Source'!B150&lt;&gt;"",'Data Source'!S150="A+"),IF('Data Source'!AD150&gt;=5,"A+",IF('Data Source'!AD150&gt;=4,"A",IF('Data Source'!AD150&gt;=3.5,"A-",IF('Data Source'!AD150&gt;=3,"B",IF('Data Source'!AD150&gt;=2,"C",IF('Data Source'!AD150&gt;=1,"D","F")))))),"")</f>
        <v/>
      </c>
      <c r="M150" s="3">
        <f>IF(AND('Data Source'!B150&lt;&gt;"",'Data Source'!S150="A+"),IF('Data Source'!AE150&gt;=5,"A+",IF('Data Source'!AE150&gt;=4,"A",IF('Data Source'!AE150&gt;=3.5,"A-",IF('Data Source'!AE150&gt;=3,"B",IF('Data Source'!AE150&gt;=2,"C",IF('Data Source'!AE150&gt;=1,"D","F")))))),"")</f>
        <v/>
      </c>
      <c r="N150" s="3">
        <f>IF(AND('Data Source'!B150&lt;&gt;"",'Data Source'!S150="A+"),IF('Data Source'!AF150&gt;=5,"A+",IF('Data Source'!AF150&gt;=4,"A",IF('Data Source'!AF150&gt;=3.5,"A-",IF('Data Source'!AF150&gt;=3,"B",IF('Data Source'!AF150&gt;=2,"C",IF('Data Source'!AF150&gt;=1,"D","F")))))),"")</f>
        <v/>
      </c>
      <c r="O150" s="3">
        <f>IF(AND('Data Source'!B150&lt;&gt;"",'Data Source'!S150="A+"),IF('Data Source'!AG150&gt;=5,"A+",IF('Data Source'!AG150&gt;=4,"A",IF('Data Source'!AG150&gt;=3.5,"A-",IF('Data Source'!AG150&gt;=3,"B",IF('Data Source'!AG150&gt;=2,"C",IF('Data Source'!AG150&gt;=1,"D","F")))))),"")</f>
        <v/>
      </c>
      <c r="P150" s="5">
        <f>IF(AND('Data Source'!B150&lt;&gt;"",'Data Source'!S150="A+"),'Data Source'!R150,"")</f>
        <v/>
      </c>
      <c r="Q150" s="3">
        <f>IF(AND('Data Source'!B150&lt;&gt;"",'Data Source'!S150="A+"),'Data Source'!S150,"")</f>
        <v/>
      </c>
    </row>
    <row r="151">
      <c r="A151" s="3">
        <f>IF(AND('Data Source'!B151&lt;&gt;"",'Data Source'!S151="A+"),COUNTIF('Data Source'!$S$3:S151,"A+"),"")</f>
        <v/>
      </c>
      <c r="B151">
        <f>IF(AND('Data Source'!B151&lt;&gt;"",'Data Source'!S151="A+"),'Data Source'!B151,"")</f>
        <v/>
      </c>
      <c r="C151" s="3">
        <f>IF(AND('Data Source'!B151&lt;&gt;"",'Data Source'!S151="A+"),IF('Data Source'!U151&gt;=5,"A+",IF('Data Source'!U151&gt;=4,"A",IF('Data Source'!U151&gt;=3.5,"A-",IF('Data Source'!U151&gt;=3,"B",IF('Data Source'!U151&gt;=2,"C",IF('Data Source'!U151&gt;=1,"D","F")))))),"")</f>
        <v/>
      </c>
      <c r="D151" s="3">
        <f>IF(AND('Data Source'!B151&lt;&gt;"",'Data Source'!S151="A+"),IF('Data Source'!V151&gt;=5,"A+",IF('Data Source'!V151&gt;=4,"A",IF('Data Source'!V151&gt;=3.5,"A-",IF('Data Source'!V151&gt;=3,"B",IF('Data Source'!V151&gt;=2,"C",IF('Data Source'!V151&gt;=1,"D","F")))))),"")</f>
        <v/>
      </c>
      <c r="E151" s="3">
        <f>IF(AND('Data Source'!B151&lt;&gt;"",'Data Source'!S151="A+"),IF('Data Source'!W151&gt;=5,"A+",IF('Data Source'!W151&gt;=4,"A",IF('Data Source'!W151&gt;=3.5,"A-",IF('Data Source'!W151&gt;=3,"B",IF('Data Source'!W151&gt;=2,"C",IF('Data Source'!W151&gt;=1,"D","F")))))),"")</f>
        <v/>
      </c>
      <c r="F151" s="3">
        <f>IF(AND('Data Source'!B151&lt;&gt;"",'Data Source'!S151="A+"),IF('Data Source'!X151&gt;=5,"A+",IF('Data Source'!X151&gt;=4,"A",IF('Data Source'!X151&gt;=3.5,"A-",IF('Data Source'!X151&gt;=3,"B",IF('Data Source'!X151&gt;=2,"C",IF('Data Source'!X151&gt;=1,"D","F")))))),"")</f>
        <v/>
      </c>
      <c r="G151" s="3">
        <f>IF(AND('Data Source'!B151&lt;&gt;"",'Data Source'!S151="A+"),IF('Data Source'!Y151&gt;=5,"A+",IF('Data Source'!Y151&gt;=4,"A",IF('Data Source'!Y151&gt;=3.5,"A-",IF('Data Source'!Y151&gt;=3,"B",IF('Data Source'!Y151&gt;=2,"C",IF('Data Source'!Y151&gt;=1,"D","F")))))),"")</f>
        <v/>
      </c>
      <c r="H151" s="3">
        <f>IF(AND('Data Source'!B151&lt;&gt;"",'Data Source'!S151="A+"),IF('Data Source'!Z151&gt;=5,"A+",IF('Data Source'!Z151&gt;=4,"A",IF('Data Source'!Z151&gt;=3.5,"A-",IF('Data Source'!Z151&gt;=3,"B",IF('Data Source'!Z151&gt;=2,"C",IF('Data Source'!Z151&gt;=1,"D","F")))))),"")</f>
        <v/>
      </c>
      <c r="I151" s="3">
        <f>IF(AND('Data Source'!B151&lt;&gt;"",'Data Source'!S151="A+"),IF('Data Source'!AA151&gt;=5,"A+",IF('Data Source'!AA151&gt;=4,"A",IF('Data Source'!AA151&gt;=3.5,"A-",IF('Data Source'!AA151&gt;=3,"B",IF('Data Source'!AA151&gt;=2,"C",IF('Data Source'!AA151&gt;=1,"D","F")))))),"")</f>
        <v/>
      </c>
      <c r="J151" s="3">
        <f>IF(AND('Data Source'!B151&lt;&gt;"",'Data Source'!S151="A+"),IF('Data Source'!AB151&gt;=5,"A+",IF('Data Source'!AB151&gt;=4,"A",IF('Data Source'!AB151&gt;=3.5,"A-",IF('Data Source'!AB151&gt;=3,"B",IF('Data Source'!AB151&gt;=2,"C",IF('Data Source'!AB151&gt;=1,"D","F")))))),"")</f>
        <v/>
      </c>
      <c r="K151" s="3">
        <f>IF(AND('Data Source'!B151&lt;&gt;"",'Data Source'!S151="A+"),IF('Data Source'!AC151&gt;=5,"A+",IF('Data Source'!AC151&gt;=4,"A",IF('Data Source'!AC151&gt;=3.5,"A-",IF('Data Source'!AC151&gt;=3,"B",IF('Data Source'!AC151&gt;=2,"C",IF('Data Source'!AC151&gt;=1,"D","F")))))),"")</f>
        <v/>
      </c>
      <c r="L151" s="3">
        <f>IF(AND('Data Source'!B151&lt;&gt;"",'Data Source'!S151="A+"),IF('Data Source'!AD151&gt;=5,"A+",IF('Data Source'!AD151&gt;=4,"A",IF('Data Source'!AD151&gt;=3.5,"A-",IF('Data Source'!AD151&gt;=3,"B",IF('Data Source'!AD151&gt;=2,"C",IF('Data Source'!AD151&gt;=1,"D","F")))))),"")</f>
        <v/>
      </c>
      <c r="M151" s="3">
        <f>IF(AND('Data Source'!B151&lt;&gt;"",'Data Source'!S151="A+"),IF('Data Source'!AE151&gt;=5,"A+",IF('Data Source'!AE151&gt;=4,"A",IF('Data Source'!AE151&gt;=3.5,"A-",IF('Data Source'!AE151&gt;=3,"B",IF('Data Source'!AE151&gt;=2,"C",IF('Data Source'!AE151&gt;=1,"D","F")))))),"")</f>
        <v/>
      </c>
      <c r="N151" s="3">
        <f>IF(AND('Data Source'!B151&lt;&gt;"",'Data Source'!S151="A+"),IF('Data Source'!AF151&gt;=5,"A+",IF('Data Source'!AF151&gt;=4,"A",IF('Data Source'!AF151&gt;=3.5,"A-",IF('Data Source'!AF151&gt;=3,"B",IF('Data Source'!AF151&gt;=2,"C",IF('Data Source'!AF151&gt;=1,"D","F")))))),"")</f>
        <v/>
      </c>
      <c r="O151" s="3">
        <f>IF(AND('Data Source'!B151&lt;&gt;"",'Data Source'!S151="A+"),IF('Data Source'!AG151&gt;=5,"A+",IF('Data Source'!AG151&gt;=4,"A",IF('Data Source'!AG151&gt;=3.5,"A-",IF('Data Source'!AG151&gt;=3,"B",IF('Data Source'!AG151&gt;=2,"C",IF('Data Source'!AG151&gt;=1,"D","F")))))),"")</f>
        <v/>
      </c>
      <c r="P151" s="5">
        <f>IF(AND('Data Source'!B151&lt;&gt;"",'Data Source'!S151="A+"),'Data Source'!R151,"")</f>
        <v/>
      </c>
      <c r="Q151" s="3">
        <f>IF(AND('Data Source'!B151&lt;&gt;"",'Data Source'!S151="A+"),'Data Source'!S151,"")</f>
        <v/>
      </c>
    </row>
    <row r="152">
      <c r="A152" s="3">
        <f>IF(AND('Data Source'!B152&lt;&gt;"",'Data Source'!S152="A+"),COUNTIF('Data Source'!$S$3:S152,"A+"),"")</f>
        <v/>
      </c>
      <c r="B152">
        <f>IF(AND('Data Source'!B152&lt;&gt;"",'Data Source'!S152="A+"),'Data Source'!B152,"")</f>
        <v/>
      </c>
      <c r="C152" s="3">
        <f>IF(AND('Data Source'!B152&lt;&gt;"",'Data Source'!S152="A+"),IF('Data Source'!U152&gt;=5,"A+",IF('Data Source'!U152&gt;=4,"A",IF('Data Source'!U152&gt;=3.5,"A-",IF('Data Source'!U152&gt;=3,"B",IF('Data Source'!U152&gt;=2,"C",IF('Data Source'!U152&gt;=1,"D","F")))))),"")</f>
        <v/>
      </c>
      <c r="D152" s="3">
        <f>IF(AND('Data Source'!B152&lt;&gt;"",'Data Source'!S152="A+"),IF('Data Source'!V152&gt;=5,"A+",IF('Data Source'!V152&gt;=4,"A",IF('Data Source'!V152&gt;=3.5,"A-",IF('Data Source'!V152&gt;=3,"B",IF('Data Source'!V152&gt;=2,"C",IF('Data Source'!V152&gt;=1,"D","F")))))),"")</f>
        <v/>
      </c>
      <c r="E152" s="3">
        <f>IF(AND('Data Source'!B152&lt;&gt;"",'Data Source'!S152="A+"),IF('Data Source'!W152&gt;=5,"A+",IF('Data Source'!W152&gt;=4,"A",IF('Data Source'!W152&gt;=3.5,"A-",IF('Data Source'!W152&gt;=3,"B",IF('Data Source'!W152&gt;=2,"C",IF('Data Source'!W152&gt;=1,"D","F")))))),"")</f>
        <v/>
      </c>
      <c r="F152" s="3">
        <f>IF(AND('Data Source'!B152&lt;&gt;"",'Data Source'!S152="A+"),IF('Data Source'!X152&gt;=5,"A+",IF('Data Source'!X152&gt;=4,"A",IF('Data Source'!X152&gt;=3.5,"A-",IF('Data Source'!X152&gt;=3,"B",IF('Data Source'!X152&gt;=2,"C",IF('Data Source'!X152&gt;=1,"D","F")))))),"")</f>
        <v/>
      </c>
      <c r="G152" s="3">
        <f>IF(AND('Data Source'!B152&lt;&gt;"",'Data Source'!S152="A+"),IF('Data Source'!Y152&gt;=5,"A+",IF('Data Source'!Y152&gt;=4,"A",IF('Data Source'!Y152&gt;=3.5,"A-",IF('Data Source'!Y152&gt;=3,"B",IF('Data Source'!Y152&gt;=2,"C",IF('Data Source'!Y152&gt;=1,"D","F")))))),"")</f>
        <v/>
      </c>
      <c r="H152" s="3">
        <f>IF(AND('Data Source'!B152&lt;&gt;"",'Data Source'!S152="A+"),IF('Data Source'!Z152&gt;=5,"A+",IF('Data Source'!Z152&gt;=4,"A",IF('Data Source'!Z152&gt;=3.5,"A-",IF('Data Source'!Z152&gt;=3,"B",IF('Data Source'!Z152&gt;=2,"C",IF('Data Source'!Z152&gt;=1,"D","F")))))),"")</f>
        <v/>
      </c>
      <c r="I152" s="3">
        <f>IF(AND('Data Source'!B152&lt;&gt;"",'Data Source'!S152="A+"),IF('Data Source'!AA152&gt;=5,"A+",IF('Data Source'!AA152&gt;=4,"A",IF('Data Source'!AA152&gt;=3.5,"A-",IF('Data Source'!AA152&gt;=3,"B",IF('Data Source'!AA152&gt;=2,"C",IF('Data Source'!AA152&gt;=1,"D","F")))))),"")</f>
        <v/>
      </c>
      <c r="J152" s="3">
        <f>IF(AND('Data Source'!B152&lt;&gt;"",'Data Source'!S152="A+"),IF('Data Source'!AB152&gt;=5,"A+",IF('Data Source'!AB152&gt;=4,"A",IF('Data Source'!AB152&gt;=3.5,"A-",IF('Data Source'!AB152&gt;=3,"B",IF('Data Source'!AB152&gt;=2,"C",IF('Data Source'!AB152&gt;=1,"D","F")))))),"")</f>
        <v/>
      </c>
      <c r="K152" s="3">
        <f>IF(AND('Data Source'!B152&lt;&gt;"",'Data Source'!S152="A+"),IF('Data Source'!AC152&gt;=5,"A+",IF('Data Source'!AC152&gt;=4,"A",IF('Data Source'!AC152&gt;=3.5,"A-",IF('Data Source'!AC152&gt;=3,"B",IF('Data Source'!AC152&gt;=2,"C",IF('Data Source'!AC152&gt;=1,"D","F")))))),"")</f>
        <v/>
      </c>
      <c r="L152" s="3">
        <f>IF(AND('Data Source'!B152&lt;&gt;"",'Data Source'!S152="A+"),IF('Data Source'!AD152&gt;=5,"A+",IF('Data Source'!AD152&gt;=4,"A",IF('Data Source'!AD152&gt;=3.5,"A-",IF('Data Source'!AD152&gt;=3,"B",IF('Data Source'!AD152&gt;=2,"C",IF('Data Source'!AD152&gt;=1,"D","F")))))),"")</f>
        <v/>
      </c>
      <c r="M152" s="3">
        <f>IF(AND('Data Source'!B152&lt;&gt;"",'Data Source'!S152="A+"),IF('Data Source'!AE152&gt;=5,"A+",IF('Data Source'!AE152&gt;=4,"A",IF('Data Source'!AE152&gt;=3.5,"A-",IF('Data Source'!AE152&gt;=3,"B",IF('Data Source'!AE152&gt;=2,"C",IF('Data Source'!AE152&gt;=1,"D","F")))))),"")</f>
        <v/>
      </c>
      <c r="N152" s="3">
        <f>IF(AND('Data Source'!B152&lt;&gt;"",'Data Source'!S152="A+"),IF('Data Source'!AF152&gt;=5,"A+",IF('Data Source'!AF152&gt;=4,"A",IF('Data Source'!AF152&gt;=3.5,"A-",IF('Data Source'!AF152&gt;=3,"B",IF('Data Source'!AF152&gt;=2,"C",IF('Data Source'!AF152&gt;=1,"D","F")))))),"")</f>
        <v/>
      </c>
      <c r="O152" s="3">
        <f>IF(AND('Data Source'!B152&lt;&gt;"",'Data Source'!S152="A+"),IF('Data Source'!AG152&gt;=5,"A+",IF('Data Source'!AG152&gt;=4,"A",IF('Data Source'!AG152&gt;=3.5,"A-",IF('Data Source'!AG152&gt;=3,"B",IF('Data Source'!AG152&gt;=2,"C",IF('Data Source'!AG152&gt;=1,"D","F")))))),"")</f>
        <v/>
      </c>
      <c r="P152" s="5">
        <f>IF(AND('Data Source'!B152&lt;&gt;"",'Data Source'!S152="A+"),'Data Source'!R152,"")</f>
        <v/>
      </c>
      <c r="Q152" s="3">
        <f>IF(AND('Data Source'!B152&lt;&gt;"",'Data Source'!S152="A+"),'Data Source'!S152,"")</f>
        <v/>
      </c>
    </row>
    <row r="153">
      <c r="A153" s="3">
        <f>IF(AND('Data Source'!B153&lt;&gt;"",'Data Source'!S153="A+"),COUNTIF('Data Source'!$S$3:S153,"A+"),"")</f>
        <v/>
      </c>
      <c r="B153">
        <f>IF(AND('Data Source'!B153&lt;&gt;"",'Data Source'!S153="A+"),'Data Source'!B153,"")</f>
        <v/>
      </c>
      <c r="C153" s="3">
        <f>IF(AND('Data Source'!B153&lt;&gt;"",'Data Source'!S153="A+"),IF('Data Source'!U153&gt;=5,"A+",IF('Data Source'!U153&gt;=4,"A",IF('Data Source'!U153&gt;=3.5,"A-",IF('Data Source'!U153&gt;=3,"B",IF('Data Source'!U153&gt;=2,"C",IF('Data Source'!U153&gt;=1,"D","F")))))),"")</f>
        <v/>
      </c>
      <c r="D153" s="3">
        <f>IF(AND('Data Source'!B153&lt;&gt;"",'Data Source'!S153="A+"),IF('Data Source'!V153&gt;=5,"A+",IF('Data Source'!V153&gt;=4,"A",IF('Data Source'!V153&gt;=3.5,"A-",IF('Data Source'!V153&gt;=3,"B",IF('Data Source'!V153&gt;=2,"C",IF('Data Source'!V153&gt;=1,"D","F")))))),"")</f>
        <v/>
      </c>
      <c r="E153" s="3">
        <f>IF(AND('Data Source'!B153&lt;&gt;"",'Data Source'!S153="A+"),IF('Data Source'!W153&gt;=5,"A+",IF('Data Source'!W153&gt;=4,"A",IF('Data Source'!W153&gt;=3.5,"A-",IF('Data Source'!W153&gt;=3,"B",IF('Data Source'!W153&gt;=2,"C",IF('Data Source'!W153&gt;=1,"D","F")))))),"")</f>
        <v/>
      </c>
      <c r="F153" s="3">
        <f>IF(AND('Data Source'!B153&lt;&gt;"",'Data Source'!S153="A+"),IF('Data Source'!X153&gt;=5,"A+",IF('Data Source'!X153&gt;=4,"A",IF('Data Source'!X153&gt;=3.5,"A-",IF('Data Source'!X153&gt;=3,"B",IF('Data Source'!X153&gt;=2,"C",IF('Data Source'!X153&gt;=1,"D","F")))))),"")</f>
        <v/>
      </c>
      <c r="G153" s="3">
        <f>IF(AND('Data Source'!B153&lt;&gt;"",'Data Source'!S153="A+"),IF('Data Source'!Y153&gt;=5,"A+",IF('Data Source'!Y153&gt;=4,"A",IF('Data Source'!Y153&gt;=3.5,"A-",IF('Data Source'!Y153&gt;=3,"B",IF('Data Source'!Y153&gt;=2,"C",IF('Data Source'!Y153&gt;=1,"D","F")))))),"")</f>
        <v/>
      </c>
      <c r="H153" s="3">
        <f>IF(AND('Data Source'!B153&lt;&gt;"",'Data Source'!S153="A+"),IF('Data Source'!Z153&gt;=5,"A+",IF('Data Source'!Z153&gt;=4,"A",IF('Data Source'!Z153&gt;=3.5,"A-",IF('Data Source'!Z153&gt;=3,"B",IF('Data Source'!Z153&gt;=2,"C",IF('Data Source'!Z153&gt;=1,"D","F")))))),"")</f>
        <v/>
      </c>
      <c r="I153" s="3">
        <f>IF(AND('Data Source'!B153&lt;&gt;"",'Data Source'!S153="A+"),IF('Data Source'!AA153&gt;=5,"A+",IF('Data Source'!AA153&gt;=4,"A",IF('Data Source'!AA153&gt;=3.5,"A-",IF('Data Source'!AA153&gt;=3,"B",IF('Data Source'!AA153&gt;=2,"C",IF('Data Source'!AA153&gt;=1,"D","F")))))),"")</f>
        <v/>
      </c>
      <c r="J153" s="3">
        <f>IF(AND('Data Source'!B153&lt;&gt;"",'Data Source'!S153="A+"),IF('Data Source'!AB153&gt;=5,"A+",IF('Data Source'!AB153&gt;=4,"A",IF('Data Source'!AB153&gt;=3.5,"A-",IF('Data Source'!AB153&gt;=3,"B",IF('Data Source'!AB153&gt;=2,"C",IF('Data Source'!AB153&gt;=1,"D","F")))))),"")</f>
        <v/>
      </c>
      <c r="K153" s="3">
        <f>IF(AND('Data Source'!B153&lt;&gt;"",'Data Source'!S153="A+"),IF('Data Source'!AC153&gt;=5,"A+",IF('Data Source'!AC153&gt;=4,"A",IF('Data Source'!AC153&gt;=3.5,"A-",IF('Data Source'!AC153&gt;=3,"B",IF('Data Source'!AC153&gt;=2,"C",IF('Data Source'!AC153&gt;=1,"D","F")))))),"")</f>
        <v/>
      </c>
      <c r="L153" s="3">
        <f>IF(AND('Data Source'!B153&lt;&gt;"",'Data Source'!S153="A+"),IF('Data Source'!AD153&gt;=5,"A+",IF('Data Source'!AD153&gt;=4,"A",IF('Data Source'!AD153&gt;=3.5,"A-",IF('Data Source'!AD153&gt;=3,"B",IF('Data Source'!AD153&gt;=2,"C",IF('Data Source'!AD153&gt;=1,"D","F")))))),"")</f>
        <v/>
      </c>
      <c r="M153" s="3">
        <f>IF(AND('Data Source'!B153&lt;&gt;"",'Data Source'!S153="A+"),IF('Data Source'!AE153&gt;=5,"A+",IF('Data Source'!AE153&gt;=4,"A",IF('Data Source'!AE153&gt;=3.5,"A-",IF('Data Source'!AE153&gt;=3,"B",IF('Data Source'!AE153&gt;=2,"C",IF('Data Source'!AE153&gt;=1,"D","F")))))),"")</f>
        <v/>
      </c>
      <c r="N153" s="3">
        <f>IF(AND('Data Source'!B153&lt;&gt;"",'Data Source'!S153="A+"),IF('Data Source'!AF153&gt;=5,"A+",IF('Data Source'!AF153&gt;=4,"A",IF('Data Source'!AF153&gt;=3.5,"A-",IF('Data Source'!AF153&gt;=3,"B",IF('Data Source'!AF153&gt;=2,"C",IF('Data Source'!AF153&gt;=1,"D","F")))))),"")</f>
        <v/>
      </c>
      <c r="O153" s="3">
        <f>IF(AND('Data Source'!B153&lt;&gt;"",'Data Source'!S153="A+"),IF('Data Source'!AG153&gt;=5,"A+",IF('Data Source'!AG153&gt;=4,"A",IF('Data Source'!AG153&gt;=3.5,"A-",IF('Data Source'!AG153&gt;=3,"B",IF('Data Source'!AG153&gt;=2,"C",IF('Data Source'!AG153&gt;=1,"D","F")))))),"")</f>
        <v/>
      </c>
      <c r="P153" s="5">
        <f>IF(AND('Data Source'!B153&lt;&gt;"",'Data Source'!S153="A+"),'Data Source'!R153,"")</f>
        <v/>
      </c>
      <c r="Q153" s="3">
        <f>IF(AND('Data Source'!B153&lt;&gt;"",'Data Source'!S153="A+"),'Data Source'!S153,"")</f>
        <v/>
      </c>
    </row>
    <row r="154">
      <c r="A154" s="3">
        <f>IF(AND('Data Source'!B154&lt;&gt;"",'Data Source'!S154="A+"),COUNTIF('Data Source'!$S$3:S154,"A+"),"")</f>
        <v/>
      </c>
      <c r="B154">
        <f>IF(AND('Data Source'!B154&lt;&gt;"",'Data Source'!S154="A+"),'Data Source'!B154,"")</f>
        <v/>
      </c>
      <c r="C154" s="3">
        <f>IF(AND('Data Source'!B154&lt;&gt;"",'Data Source'!S154="A+"),IF('Data Source'!U154&gt;=5,"A+",IF('Data Source'!U154&gt;=4,"A",IF('Data Source'!U154&gt;=3.5,"A-",IF('Data Source'!U154&gt;=3,"B",IF('Data Source'!U154&gt;=2,"C",IF('Data Source'!U154&gt;=1,"D","F")))))),"")</f>
        <v/>
      </c>
      <c r="D154" s="3">
        <f>IF(AND('Data Source'!B154&lt;&gt;"",'Data Source'!S154="A+"),IF('Data Source'!V154&gt;=5,"A+",IF('Data Source'!V154&gt;=4,"A",IF('Data Source'!V154&gt;=3.5,"A-",IF('Data Source'!V154&gt;=3,"B",IF('Data Source'!V154&gt;=2,"C",IF('Data Source'!V154&gt;=1,"D","F")))))),"")</f>
        <v/>
      </c>
      <c r="E154" s="3">
        <f>IF(AND('Data Source'!B154&lt;&gt;"",'Data Source'!S154="A+"),IF('Data Source'!W154&gt;=5,"A+",IF('Data Source'!W154&gt;=4,"A",IF('Data Source'!W154&gt;=3.5,"A-",IF('Data Source'!W154&gt;=3,"B",IF('Data Source'!W154&gt;=2,"C",IF('Data Source'!W154&gt;=1,"D","F")))))),"")</f>
        <v/>
      </c>
      <c r="F154" s="3">
        <f>IF(AND('Data Source'!B154&lt;&gt;"",'Data Source'!S154="A+"),IF('Data Source'!X154&gt;=5,"A+",IF('Data Source'!X154&gt;=4,"A",IF('Data Source'!X154&gt;=3.5,"A-",IF('Data Source'!X154&gt;=3,"B",IF('Data Source'!X154&gt;=2,"C",IF('Data Source'!X154&gt;=1,"D","F")))))),"")</f>
        <v/>
      </c>
      <c r="G154" s="3">
        <f>IF(AND('Data Source'!B154&lt;&gt;"",'Data Source'!S154="A+"),IF('Data Source'!Y154&gt;=5,"A+",IF('Data Source'!Y154&gt;=4,"A",IF('Data Source'!Y154&gt;=3.5,"A-",IF('Data Source'!Y154&gt;=3,"B",IF('Data Source'!Y154&gt;=2,"C",IF('Data Source'!Y154&gt;=1,"D","F")))))),"")</f>
        <v/>
      </c>
      <c r="H154" s="3">
        <f>IF(AND('Data Source'!B154&lt;&gt;"",'Data Source'!S154="A+"),IF('Data Source'!Z154&gt;=5,"A+",IF('Data Source'!Z154&gt;=4,"A",IF('Data Source'!Z154&gt;=3.5,"A-",IF('Data Source'!Z154&gt;=3,"B",IF('Data Source'!Z154&gt;=2,"C",IF('Data Source'!Z154&gt;=1,"D","F")))))),"")</f>
        <v/>
      </c>
      <c r="I154" s="3">
        <f>IF(AND('Data Source'!B154&lt;&gt;"",'Data Source'!S154="A+"),IF('Data Source'!AA154&gt;=5,"A+",IF('Data Source'!AA154&gt;=4,"A",IF('Data Source'!AA154&gt;=3.5,"A-",IF('Data Source'!AA154&gt;=3,"B",IF('Data Source'!AA154&gt;=2,"C",IF('Data Source'!AA154&gt;=1,"D","F")))))),"")</f>
        <v/>
      </c>
      <c r="J154" s="3">
        <f>IF(AND('Data Source'!B154&lt;&gt;"",'Data Source'!S154="A+"),IF('Data Source'!AB154&gt;=5,"A+",IF('Data Source'!AB154&gt;=4,"A",IF('Data Source'!AB154&gt;=3.5,"A-",IF('Data Source'!AB154&gt;=3,"B",IF('Data Source'!AB154&gt;=2,"C",IF('Data Source'!AB154&gt;=1,"D","F")))))),"")</f>
        <v/>
      </c>
      <c r="K154" s="3">
        <f>IF(AND('Data Source'!B154&lt;&gt;"",'Data Source'!S154="A+"),IF('Data Source'!AC154&gt;=5,"A+",IF('Data Source'!AC154&gt;=4,"A",IF('Data Source'!AC154&gt;=3.5,"A-",IF('Data Source'!AC154&gt;=3,"B",IF('Data Source'!AC154&gt;=2,"C",IF('Data Source'!AC154&gt;=1,"D","F")))))),"")</f>
        <v/>
      </c>
      <c r="L154" s="3">
        <f>IF(AND('Data Source'!B154&lt;&gt;"",'Data Source'!S154="A+"),IF('Data Source'!AD154&gt;=5,"A+",IF('Data Source'!AD154&gt;=4,"A",IF('Data Source'!AD154&gt;=3.5,"A-",IF('Data Source'!AD154&gt;=3,"B",IF('Data Source'!AD154&gt;=2,"C",IF('Data Source'!AD154&gt;=1,"D","F")))))),"")</f>
        <v/>
      </c>
      <c r="M154" s="3">
        <f>IF(AND('Data Source'!B154&lt;&gt;"",'Data Source'!S154="A+"),IF('Data Source'!AE154&gt;=5,"A+",IF('Data Source'!AE154&gt;=4,"A",IF('Data Source'!AE154&gt;=3.5,"A-",IF('Data Source'!AE154&gt;=3,"B",IF('Data Source'!AE154&gt;=2,"C",IF('Data Source'!AE154&gt;=1,"D","F")))))),"")</f>
        <v/>
      </c>
      <c r="N154" s="3">
        <f>IF(AND('Data Source'!B154&lt;&gt;"",'Data Source'!S154="A+"),IF('Data Source'!AF154&gt;=5,"A+",IF('Data Source'!AF154&gt;=4,"A",IF('Data Source'!AF154&gt;=3.5,"A-",IF('Data Source'!AF154&gt;=3,"B",IF('Data Source'!AF154&gt;=2,"C",IF('Data Source'!AF154&gt;=1,"D","F")))))),"")</f>
        <v/>
      </c>
      <c r="O154" s="3">
        <f>IF(AND('Data Source'!B154&lt;&gt;"",'Data Source'!S154="A+"),IF('Data Source'!AG154&gt;=5,"A+",IF('Data Source'!AG154&gt;=4,"A",IF('Data Source'!AG154&gt;=3.5,"A-",IF('Data Source'!AG154&gt;=3,"B",IF('Data Source'!AG154&gt;=2,"C",IF('Data Source'!AG154&gt;=1,"D","F")))))),"")</f>
        <v/>
      </c>
      <c r="P154" s="5">
        <f>IF(AND('Data Source'!B154&lt;&gt;"",'Data Source'!S154="A+"),'Data Source'!R154,"")</f>
        <v/>
      </c>
      <c r="Q154" s="3">
        <f>IF(AND('Data Source'!B154&lt;&gt;"",'Data Source'!S154="A+"),'Data Source'!S154,"")</f>
        <v/>
      </c>
    </row>
    <row r="155">
      <c r="A155" s="3">
        <f>IF(AND('Data Source'!B155&lt;&gt;"",'Data Source'!S155="A+"),COUNTIF('Data Source'!$S$3:S155,"A+"),"")</f>
        <v/>
      </c>
      <c r="B155">
        <f>IF(AND('Data Source'!B155&lt;&gt;"",'Data Source'!S155="A+"),'Data Source'!B155,"")</f>
        <v/>
      </c>
      <c r="C155" s="3">
        <f>IF(AND('Data Source'!B155&lt;&gt;"",'Data Source'!S155="A+"),IF('Data Source'!U155&gt;=5,"A+",IF('Data Source'!U155&gt;=4,"A",IF('Data Source'!U155&gt;=3.5,"A-",IF('Data Source'!U155&gt;=3,"B",IF('Data Source'!U155&gt;=2,"C",IF('Data Source'!U155&gt;=1,"D","F")))))),"")</f>
        <v/>
      </c>
      <c r="D155" s="3">
        <f>IF(AND('Data Source'!B155&lt;&gt;"",'Data Source'!S155="A+"),IF('Data Source'!V155&gt;=5,"A+",IF('Data Source'!V155&gt;=4,"A",IF('Data Source'!V155&gt;=3.5,"A-",IF('Data Source'!V155&gt;=3,"B",IF('Data Source'!V155&gt;=2,"C",IF('Data Source'!V155&gt;=1,"D","F")))))),"")</f>
        <v/>
      </c>
      <c r="E155" s="3">
        <f>IF(AND('Data Source'!B155&lt;&gt;"",'Data Source'!S155="A+"),IF('Data Source'!W155&gt;=5,"A+",IF('Data Source'!W155&gt;=4,"A",IF('Data Source'!W155&gt;=3.5,"A-",IF('Data Source'!W155&gt;=3,"B",IF('Data Source'!W155&gt;=2,"C",IF('Data Source'!W155&gt;=1,"D","F")))))),"")</f>
        <v/>
      </c>
      <c r="F155" s="3">
        <f>IF(AND('Data Source'!B155&lt;&gt;"",'Data Source'!S155="A+"),IF('Data Source'!X155&gt;=5,"A+",IF('Data Source'!X155&gt;=4,"A",IF('Data Source'!X155&gt;=3.5,"A-",IF('Data Source'!X155&gt;=3,"B",IF('Data Source'!X155&gt;=2,"C",IF('Data Source'!X155&gt;=1,"D","F")))))),"")</f>
        <v/>
      </c>
      <c r="G155" s="3">
        <f>IF(AND('Data Source'!B155&lt;&gt;"",'Data Source'!S155="A+"),IF('Data Source'!Y155&gt;=5,"A+",IF('Data Source'!Y155&gt;=4,"A",IF('Data Source'!Y155&gt;=3.5,"A-",IF('Data Source'!Y155&gt;=3,"B",IF('Data Source'!Y155&gt;=2,"C",IF('Data Source'!Y155&gt;=1,"D","F")))))),"")</f>
        <v/>
      </c>
      <c r="H155" s="3">
        <f>IF(AND('Data Source'!B155&lt;&gt;"",'Data Source'!S155="A+"),IF('Data Source'!Z155&gt;=5,"A+",IF('Data Source'!Z155&gt;=4,"A",IF('Data Source'!Z155&gt;=3.5,"A-",IF('Data Source'!Z155&gt;=3,"B",IF('Data Source'!Z155&gt;=2,"C",IF('Data Source'!Z155&gt;=1,"D","F")))))),"")</f>
        <v/>
      </c>
      <c r="I155" s="3">
        <f>IF(AND('Data Source'!B155&lt;&gt;"",'Data Source'!S155="A+"),IF('Data Source'!AA155&gt;=5,"A+",IF('Data Source'!AA155&gt;=4,"A",IF('Data Source'!AA155&gt;=3.5,"A-",IF('Data Source'!AA155&gt;=3,"B",IF('Data Source'!AA155&gt;=2,"C",IF('Data Source'!AA155&gt;=1,"D","F")))))),"")</f>
        <v/>
      </c>
      <c r="J155" s="3">
        <f>IF(AND('Data Source'!B155&lt;&gt;"",'Data Source'!S155="A+"),IF('Data Source'!AB155&gt;=5,"A+",IF('Data Source'!AB155&gt;=4,"A",IF('Data Source'!AB155&gt;=3.5,"A-",IF('Data Source'!AB155&gt;=3,"B",IF('Data Source'!AB155&gt;=2,"C",IF('Data Source'!AB155&gt;=1,"D","F")))))),"")</f>
        <v/>
      </c>
      <c r="K155" s="3">
        <f>IF(AND('Data Source'!B155&lt;&gt;"",'Data Source'!S155="A+"),IF('Data Source'!AC155&gt;=5,"A+",IF('Data Source'!AC155&gt;=4,"A",IF('Data Source'!AC155&gt;=3.5,"A-",IF('Data Source'!AC155&gt;=3,"B",IF('Data Source'!AC155&gt;=2,"C",IF('Data Source'!AC155&gt;=1,"D","F")))))),"")</f>
        <v/>
      </c>
      <c r="L155" s="3">
        <f>IF(AND('Data Source'!B155&lt;&gt;"",'Data Source'!S155="A+"),IF('Data Source'!AD155&gt;=5,"A+",IF('Data Source'!AD155&gt;=4,"A",IF('Data Source'!AD155&gt;=3.5,"A-",IF('Data Source'!AD155&gt;=3,"B",IF('Data Source'!AD155&gt;=2,"C",IF('Data Source'!AD155&gt;=1,"D","F")))))),"")</f>
        <v/>
      </c>
      <c r="M155" s="3">
        <f>IF(AND('Data Source'!B155&lt;&gt;"",'Data Source'!S155="A+"),IF('Data Source'!AE155&gt;=5,"A+",IF('Data Source'!AE155&gt;=4,"A",IF('Data Source'!AE155&gt;=3.5,"A-",IF('Data Source'!AE155&gt;=3,"B",IF('Data Source'!AE155&gt;=2,"C",IF('Data Source'!AE155&gt;=1,"D","F")))))),"")</f>
        <v/>
      </c>
      <c r="N155" s="3">
        <f>IF(AND('Data Source'!B155&lt;&gt;"",'Data Source'!S155="A+"),IF('Data Source'!AF155&gt;=5,"A+",IF('Data Source'!AF155&gt;=4,"A",IF('Data Source'!AF155&gt;=3.5,"A-",IF('Data Source'!AF155&gt;=3,"B",IF('Data Source'!AF155&gt;=2,"C",IF('Data Source'!AF155&gt;=1,"D","F")))))),"")</f>
        <v/>
      </c>
      <c r="O155" s="3">
        <f>IF(AND('Data Source'!B155&lt;&gt;"",'Data Source'!S155="A+"),IF('Data Source'!AG155&gt;=5,"A+",IF('Data Source'!AG155&gt;=4,"A",IF('Data Source'!AG155&gt;=3.5,"A-",IF('Data Source'!AG155&gt;=3,"B",IF('Data Source'!AG155&gt;=2,"C",IF('Data Source'!AG155&gt;=1,"D","F")))))),"")</f>
        <v/>
      </c>
      <c r="P155" s="5">
        <f>IF(AND('Data Source'!B155&lt;&gt;"",'Data Source'!S155="A+"),'Data Source'!R155,"")</f>
        <v/>
      </c>
      <c r="Q155" s="3">
        <f>IF(AND('Data Source'!B155&lt;&gt;"",'Data Source'!S155="A+"),'Data Source'!S155,"")</f>
        <v/>
      </c>
    </row>
    <row r="156">
      <c r="A156" s="3">
        <f>IF(AND('Data Source'!B156&lt;&gt;"",'Data Source'!S156="A+"),COUNTIF('Data Source'!$S$3:S156,"A+"),"")</f>
        <v/>
      </c>
      <c r="B156">
        <f>IF(AND('Data Source'!B156&lt;&gt;"",'Data Source'!S156="A+"),'Data Source'!B156,"")</f>
        <v/>
      </c>
      <c r="C156" s="3">
        <f>IF(AND('Data Source'!B156&lt;&gt;"",'Data Source'!S156="A+"),IF('Data Source'!U156&gt;=5,"A+",IF('Data Source'!U156&gt;=4,"A",IF('Data Source'!U156&gt;=3.5,"A-",IF('Data Source'!U156&gt;=3,"B",IF('Data Source'!U156&gt;=2,"C",IF('Data Source'!U156&gt;=1,"D","F")))))),"")</f>
        <v/>
      </c>
      <c r="D156" s="3">
        <f>IF(AND('Data Source'!B156&lt;&gt;"",'Data Source'!S156="A+"),IF('Data Source'!V156&gt;=5,"A+",IF('Data Source'!V156&gt;=4,"A",IF('Data Source'!V156&gt;=3.5,"A-",IF('Data Source'!V156&gt;=3,"B",IF('Data Source'!V156&gt;=2,"C",IF('Data Source'!V156&gt;=1,"D","F")))))),"")</f>
        <v/>
      </c>
      <c r="E156" s="3">
        <f>IF(AND('Data Source'!B156&lt;&gt;"",'Data Source'!S156="A+"),IF('Data Source'!W156&gt;=5,"A+",IF('Data Source'!W156&gt;=4,"A",IF('Data Source'!W156&gt;=3.5,"A-",IF('Data Source'!W156&gt;=3,"B",IF('Data Source'!W156&gt;=2,"C",IF('Data Source'!W156&gt;=1,"D","F")))))),"")</f>
        <v/>
      </c>
      <c r="F156" s="3">
        <f>IF(AND('Data Source'!B156&lt;&gt;"",'Data Source'!S156="A+"),IF('Data Source'!X156&gt;=5,"A+",IF('Data Source'!X156&gt;=4,"A",IF('Data Source'!X156&gt;=3.5,"A-",IF('Data Source'!X156&gt;=3,"B",IF('Data Source'!X156&gt;=2,"C",IF('Data Source'!X156&gt;=1,"D","F")))))),"")</f>
        <v/>
      </c>
      <c r="G156" s="3">
        <f>IF(AND('Data Source'!B156&lt;&gt;"",'Data Source'!S156="A+"),IF('Data Source'!Y156&gt;=5,"A+",IF('Data Source'!Y156&gt;=4,"A",IF('Data Source'!Y156&gt;=3.5,"A-",IF('Data Source'!Y156&gt;=3,"B",IF('Data Source'!Y156&gt;=2,"C",IF('Data Source'!Y156&gt;=1,"D","F")))))),"")</f>
        <v/>
      </c>
      <c r="H156" s="3">
        <f>IF(AND('Data Source'!B156&lt;&gt;"",'Data Source'!S156="A+"),IF('Data Source'!Z156&gt;=5,"A+",IF('Data Source'!Z156&gt;=4,"A",IF('Data Source'!Z156&gt;=3.5,"A-",IF('Data Source'!Z156&gt;=3,"B",IF('Data Source'!Z156&gt;=2,"C",IF('Data Source'!Z156&gt;=1,"D","F")))))),"")</f>
        <v/>
      </c>
      <c r="I156" s="3">
        <f>IF(AND('Data Source'!B156&lt;&gt;"",'Data Source'!S156="A+"),IF('Data Source'!AA156&gt;=5,"A+",IF('Data Source'!AA156&gt;=4,"A",IF('Data Source'!AA156&gt;=3.5,"A-",IF('Data Source'!AA156&gt;=3,"B",IF('Data Source'!AA156&gt;=2,"C",IF('Data Source'!AA156&gt;=1,"D","F")))))),"")</f>
        <v/>
      </c>
      <c r="J156" s="3">
        <f>IF(AND('Data Source'!B156&lt;&gt;"",'Data Source'!S156="A+"),IF('Data Source'!AB156&gt;=5,"A+",IF('Data Source'!AB156&gt;=4,"A",IF('Data Source'!AB156&gt;=3.5,"A-",IF('Data Source'!AB156&gt;=3,"B",IF('Data Source'!AB156&gt;=2,"C",IF('Data Source'!AB156&gt;=1,"D","F")))))),"")</f>
        <v/>
      </c>
      <c r="K156" s="3">
        <f>IF(AND('Data Source'!B156&lt;&gt;"",'Data Source'!S156="A+"),IF('Data Source'!AC156&gt;=5,"A+",IF('Data Source'!AC156&gt;=4,"A",IF('Data Source'!AC156&gt;=3.5,"A-",IF('Data Source'!AC156&gt;=3,"B",IF('Data Source'!AC156&gt;=2,"C",IF('Data Source'!AC156&gt;=1,"D","F")))))),"")</f>
        <v/>
      </c>
      <c r="L156" s="3">
        <f>IF(AND('Data Source'!B156&lt;&gt;"",'Data Source'!S156="A+"),IF('Data Source'!AD156&gt;=5,"A+",IF('Data Source'!AD156&gt;=4,"A",IF('Data Source'!AD156&gt;=3.5,"A-",IF('Data Source'!AD156&gt;=3,"B",IF('Data Source'!AD156&gt;=2,"C",IF('Data Source'!AD156&gt;=1,"D","F")))))),"")</f>
        <v/>
      </c>
      <c r="M156" s="3">
        <f>IF(AND('Data Source'!B156&lt;&gt;"",'Data Source'!S156="A+"),IF('Data Source'!AE156&gt;=5,"A+",IF('Data Source'!AE156&gt;=4,"A",IF('Data Source'!AE156&gt;=3.5,"A-",IF('Data Source'!AE156&gt;=3,"B",IF('Data Source'!AE156&gt;=2,"C",IF('Data Source'!AE156&gt;=1,"D","F")))))),"")</f>
        <v/>
      </c>
      <c r="N156" s="3">
        <f>IF(AND('Data Source'!B156&lt;&gt;"",'Data Source'!S156="A+"),IF('Data Source'!AF156&gt;=5,"A+",IF('Data Source'!AF156&gt;=4,"A",IF('Data Source'!AF156&gt;=3.5,"A-",IF('Data Source'!AF156&gt;=3,"B",IF('Data Source'!AF156&gt;=2,"C",IF('Data Source'!AF156&gt;=1,"D","F")))))),"")</f>
        <v/>
      </c>
      <c r="O156" s="3">
        <f>IF(AND('Data Source'!B156&lt;&gt;"",'Data Source'!S156="A+"),IF('Data Source'!AG156&gt;=5,"A+",IF('Data Source'!AG156&gt;=4,"A",IF('Data Source'!AG156&gt;=3.5,"A-",IF('Data Source'!AG156&gt;=3,"B",IF('Data Source'!AG156&gt;=2,"C",IF('Data Source'!AG156&gt;=1,"D","F")))))),"")</f>
        <v/>
      </c>
      <c r="P156" s="5">
        <f>IF(AND('Data Source'!B156&lt;&gt;"",'Data Source'!S156="A+"),'Data Source'!R156,"")</f>
        <v/>
      </c>
      <c r="Q156" s="3">
        <f>IF(AND('Data Source'!B156&lt;&gt;"",'Data Source'!S156="A+"),'Data Source'!S156,"")</f>
        <v/>
      </c>
    </row>
    <row r="157">
      <c r="A157" s="3">
        <f>IF(AND('Data Source'!B157&lt;&gt;"",'Data Source'!S157="A+"),COUNTIF('Data Source'!$S$3:S157,"A+"),"")</f>
        <v/>
      </c>
      <c r="B157">
        <f>IF(AND('Data Source'!B157&lt;&gt;"",'Data Source'!S157="A+"),'Data Source'!B157,"")</f>
        <v/>
      </c>
      <c r="C157" s="3">
        <f>IF(AND('Data Source'!B157&lt;&gt;"",'Data Source'!S157="A+"),IF('Data Source'!U157&gt;=5,"A+",IF('Data Source'!U157&gt;=4,"A",IF('Data Source'!U157&gt;=3.5,"A-",IF('Data Source'!U157&gt;=3,"B",IF('Data Source'!U157&gt;=2,"C",IF('Data Source'!U157&gt;=1,"D","F")))))),"")</f>
        <v/>
      </c>
      <c r="D157" s="3">
        <f>IF(AND('Data Source'!B157&lt;&gt;"",'Data Source'!S157="A+"),IF('Data Source'!V157&gt;=5,"A+",IF('Data Source'!V157&gt;=4,"A",IF('Data Source'!V157&gt;=3.5,"A-",IF('Data Source'!V157&gt;=3,"B",IF('Data Source'!V157&gt;=2,"C",IF('Data Source'!V157&gt;=1,"D","F")))))),"")</f>
        <v/>
      </c>
      <c r="E157" s="3">
        <f>IF(AND('Data Source'!B157&lt;&gt;"",'Data Source'!S157="A+"),IF('Data Source'!W157&gt;=5,"A+",IF('Data Source'!W157&gt;=4,"A",IF('Data Source'!W157&gt;=3.5,"A-",IF('Data Source'!W157&gt;=3,"B",IF('Data Source'!W157&gt;=2,"C",IF('Data Source'!W157&gt;=1,"D","F")))))),"")</f>
        <v/>
      </c>
      <c r="F157" s="3">
        <f>IF(AND('Data Source'!B157&lt;&gt;"",'Data Source'!S157="A+"),IF('Data Source'!X157&gt;=5,"A+",IF('Data Source'!X157&gt;=4,"A",IF('Data Source'!X157&gt;=3.5,"A-",IF('Data Source'!X157&gt;=3,"B",IF('Data Source'!X157&gt;=2,"C",IF('Data Source'!X157&gt;=1,"D","F")))))),"")</f>
        <v/>
      </c>
      <c r="G157" s="3">
        <f>IF(AND('Data Source'!B157&lt;&gt;"",'Data Source'!S157="A+"),IF('Data Source'!Y157&gt;=5,"A+",IF('Data Source'!Y157&gt;=4,"A",IF('Data Source'!Y157&gt;=3.5,"A-",IF('Data Source'!Y157&gt;=3,"B",IF('Data Source'!Y157&gt;=2,"C",IF('Data Source'!Y157&gt;=1,"D","F")))))),"")</f>
        <v/>
      </c>
      <c r="H157" s="3">
        <f>IF(AND('Data Source'!B157&lt;&gt;"",'Data Source'!S157="A+"),IF('Data Source'!Z157&gt;=5,"A+",IF('Data Source'!Z157&gt;=4,"A",IF('Data Source'!Z157&gt;=3.5,"A-",IF('Data Source'!Z157&gt;=3,"B",IF('Data Source'!Z157&gt;=2,"C",IF('Data Source'!Z157&gt;=1,"D","F")))))),"")</f>
        <v/>
      </c>
      <c r="I157" s="3">
        <f>IF(AND('Data Source'!B157&lt;&gt;"",'Data Source'!S157="A+"),IF('Data Source'!AA157&gt;=5,"A+",IF('Data Source'!AA157&gt;=4,"A",IF('Data Source'!AA157&gt;=3.5,"A-",IF('Data Source'!AA157&gt;=3,"B",IF('Data Source'!AA157&gt;=2,"C",IF('Data Source'!AA157&gt;=1,"D","F")))))),"")</f>
        <v/>
      </c>
      <c r="J157" s="3">
        <f>IF(AND('Data Source'!B157&lt;&gt;"",'Data Source'!S157="A+"),IF('Data Source'!AB157&gt;=5,"A+",IF('Data Source'!AB157&gt;=4,"A",IF('Data Source'!AB157&gt;=3.5,"A-",IF('Data Source'!AB157&gt;=3,"B",IF('Data Source'!AB157&gt;=2,"C",IF('Data Source'!AB157&gt;=1,"D","F")))))),"")</f>
        <v/>
      </c>
      <c r="K157" s="3">
        <f>IF(AND('Data Source'!B157&lt;&gt;"",'Data Source'!S157="A+"),IF('Data Source'!AC157&gt;=5,"A+",IF('Data Source'!AC157&gt;=4,"A",IF('Data Source'!AC157&gt;=3.5,"A-",IF('Data Source'!AC157&gt;=3,"B",IF('Data Source'!AC157&gt;=2,"C",IF('Data Source'!AC157&gt;=1,"D","F")))))),"")</f>
        <v/>
      </c>
      <c r="L157" s="3">
        <f>IF(AND('Data Source'!B157&lt;&gt;"",'Data Source'!S157="A+"),IF('Data Source'!AD157&gt;=5,"A+",IF('Data Source'!AD157&gt;=4,"A",IF('Data Source'!AD157&gt;=3.5,"A-",IF('Data Source'!AD157&gt;=3,"B",IF('Data Source'!AD157&gt;=2,"C",IF('Data Source'!AD157&gt;=1,"D","F")))))),"")</f>
        <v/>
      </c>
      <c r="M157" s="3">
        <f>IF(AND('Data Source'!B157&lt;&gt;"",'Data Source'!S157="A+"),IF('Data Source'!AE157&gt;=5,"A+",IF('Data Source'!AE157&gt;=4,"A",IF('Data Source'!AE157&gt;=3.5,"A-",IF('Data Source'!AE157&gt;=3,"B",IF('Data Source'!AE157&gt;=2,"C",IF('Data Source'!AE157&gt;=1,"D","F")))))),"")</f>
        <v/>
      </c>
      <c r="N157" s="3">
        <f>IF(AND('Data Source'!B157&lt;&gt;"",'Data Source'!S157="A+"),IF('Data Source'!AF157&gt;=5,"A+",IF('Data Source'!AF157&gt;=4,"A",IF('Data Source'!AF157&gt;=3.5,"A-",IF('Data Source'!AF157&gt;=3,"B",IF('Data Source'!AF157&gt;=2,"C",IF('Data Source'!AF157&gt;=1,"D","F")))))),"")</f>
        <v/>
      </c>
      <c r="O157" s="3">
        <f>IF(AND('Data Source'!B157&lt;&gt;"",'Data Source'!S157="A+"),IF('Data Source'!AG157&gt;=5,"A+",IF('Data Source'!AG157&gt;=4,"A",IF('Data Source'!AG157&gt;=3.5,"A-",IF('Data Source'!AG157&gt;=3,"B",IF('Data Source'!AG157&gt;=2,"C",IF('Data Source'!AG157&gt;=1,"D","F")))))),"")</f>
        <v/>
      </c>
      <c r="P157" s="5">
        <f>IF(AND('Data Source'!B157&lt;&gt;"",'Data Source'!S157="A+"),'Data Source'!R157,"")</f>
        <v/>
      </c>
      <c r="Q157" s="3">
        <f>IF(AND('Data Source'!B157&lt;&gt;"",'Data Source'!S157="A+"),'Data Source'!S157,"")</f>
        <v/>
      </c>
    </row>
    <row r="158">
      <c r="A158" s="3">
        <f>IF(AND('Data Source'!B158&lt;&gt;"",'Data Source'!S158="A+"),COUNTIF('Data Source'!$S$3:S158,"A+"),"")</f>
        <v/>
      </c>
      <c r="B158">
        <f>IF(AND('Data Source'!B158&lt;&gt;"",'Data Source'!S158="A+"),'Data Source'!B158,"")</f>
        <v/>
      </c>
      <c r="C158" s="3">
        <f>IF(AND('Data Source'!B158&lt;&gt;"",'Data Source'!S158="A+"),IF('Data Source'!U158&gt;=5,"A+",IF('Data Source'!U158&gt;=4,"A",IF('Data Source'!U158&gt;=3.5,"A-",IF('Data Source'!U158&gt;=3,"B",IF('Data Source'!U158&gt;=2,"C",IF('Data Source'!U158&gt;=1,"D","F")))))),"")</f>
        <v/>
      </c>
      <c r="D158" s="3">
        <f>IF(AND('Data Source'!B158&lt;&gt;"",'Data Source'!S158="A+"),IF('Data Source'!V158&gt;=5,"A+",IF('Data Source'!V158&gt;=4,"A",IF('Data Source'!V158&gt;=3.5,"A-",IF('Data Source'!V158&gt;=3,"B",IF('Data Source'!V158&gt;=2,"C",IF('Data Source'!V158&gt;=1,"D","F")))))),"")</f>
        <v/>
      </c>
      <c r="E158" s="3">
        <f>IF(AND('Data Source'!B158&lt;&gt;"",'Data Source'!S158="A+"),IF('Data Source'!W158&gt;=5,"A+",IF('Data Source'!W158&gt;=4,"A",IF('Data Source'!W158&gt;=3.5,"A-",IF('Data Source'!W158&gt;=3,"B",IF('Data Source'!W158&gt;=2,"C",IF('Data Source'!W158&gt;=1,"D","F")))))),"")</f>
        <v/>
      </c>
      <c r="F158" s="3">
        <f>IF(AND('Data Source'!B158&lt;&gt;"",'Data Source'!S158="A+"),IF('Data Source'!X158&gt;=5,"A+",IF('Data Source'!X158&gt;=4,"A",IF('Data Source'!X158&gt;=3.5,"A-",IF('Data Source'!X158&gt;=3,"B",IF('Data Source'!X158&gt;=2,"C",IF('Data Source'!X158&gt;=1,"D","F")))))),"")</f>
        <v/>
      </c>
      <c r="G158" s="3">
        <f>IF(AND('Data Source'!B158&lt;&gt;"",'Data Source'!S158="A+"),IF('Data Source'!Y158&gt;=5,"A+",IF('Data Source'!Y158&gt;=4,"A",IF('Data Source'!Y158&gt;=3.5,"A-",IF('Data Source'!Y158&gt;=3,"B",IF('Data Source'!Y158&gt;=2,"C",IF('Data Source'!Y158&gt;=1,"D","F")))))),"")</f>
        <v/>
      </c>
      <c r="H158" s="3">
        <f>IF(AND('Data Source'!B158&lt;&gt;"",'Data Source'!S158="A+"),IF('Data Source'!Z158&gt;=5,"A+",IF('Data Source'!Z158&gt;=4,"A",IF('Data Source'!Z158&gt;=3.5,"A-",IF('Data Source'!Z158&gt;=3,"B",IF('Data Source'!Z158&gt;=2,"C",IF('Data Source'!Z158&gt;=1,"D","F")))))),"")</f>
        <v/>
      </c>
      <c r="I158" s="3">
        <f>IF(AND('Data Source'!B158&lt;&gt;"",'Data Source'!S158="A+"),IF('Data Source'!AA158&gt;=5,"A+",IF('Data Source'!AA158&gt;=4,"A",IF('Data Source'!AA158&gt;=3.5,"A-",IF('Data Source'!AA158&gt;=3,"B",IF('Data Source'!AA158&gt;=2,"C",IF('Data Source'!AA158&gt;=1,"D","F")))))),"")</f>
        <v/>
      </c>
      <c r="J158" s="3">
        <f>IF(AND('Data Source'!B158&lt;&gt;"",'Data Source'!S158="A+"),IF('Data Source'!AB158&gt;=5,"A+",IF('Data Source'!AB158&gt;=4,"A",IF('Data Source'!AB158&gt;=3.5,"A-",IF('Data Source'!AB158&gt;=3,"B",IF('Data Source'!AB158&gt;=2,"C",IF('Data Source'!AB158&gt;=1,"D","F")))))),"")</f>
        <v/>
      </c>
      <c r="K158" s="3">
        <f>IF(AND('Data Source'!B158&lt;&gt;"",'Data Source'!S158="A+"),IF('Data Source'!AC158&gt;=5,"A+",IF('Data Source'!AC158&gt;=4,"A",IF('Data Source'!AC158&gt;=3.5,"A-",IF('Data Source'!AC158&gt;=3,"B",IF('Data Source'!AC158&gt;=2,"C",IF('Data Source'!AC158&gt;=1,"D","F")))))),"")</f>
        <v/>
      </c>
      <c r="L158" s="3">
        <f>IF(AND('Data Source'!B158&lt;&gt;"",'Data Source'!S158="A+"),IF('Data Source'!AD158&gt;=5,"A+",IF('Data Source'!AD158&gt;=4,"A",IF('Data Source'!AD158&gt;=3.5,"A-",IF('Data Source'!AD158&gt;=3,"B",IF('Data Source'!AD158&gt;=2,"C",IF('Data Source'!AD158&gt;=1,"D","F")))))),"")</f>
        <v/>
      </c>
      <c r="M158" s="3">
        <f>IF(AND('Data Source'!B158&lt;&gt;"",'Data Source'!S158="A+"),IF('Data Source'!AE158&gt;=5,"A+",IF('Data Source'!AE158&gt;=4,"A",IF('Data Source'!AE158&gt;=3.5,"A-",IF('Data Source'!AE158&gt;=3,"B",IF('Data Source'!AE158&gt;=2,"C",IF('Data Source'!AE158&gt;=1,"D","F")))))),"")</f>
        <v/>
      </c>
      <c r="N158" s="3">
        <f>IF(AND('Data Source'!B158&lt;&gt;"",'Data Source'!S158="A+"),IF('Data Source'!AF158&gt;=5,"A+",IF('Data Source'!AF158&gt;=4,"A",IF('Data Source'!AF158&gt;=3.5,"A-",IF('Data Source'!AF158&gt;=3,"B",IF('Data Source'!AF158&gt;=2,"C",IF('Data Source'!AF158&gt;=1,"D","F")))))),"")</f>
        <v/>
      </c>
      <c r="O158" s="3">
        <f>IF(AND('Data Source'!B158&lt;&gt;"",'Data Source'!S158="A+"),IF('Data Source'!AG158&gt;=5,"A+",IF('Data Source'!AG158&gt;=4,"A",IF('Data Source'!AG158&gt;=3.5,"A-",IF('Data Source'!AG158&gt;=3,"B",IF('Data Source'!AG158&gt;=2,"C",IF('Data Source'!AG158&gt;=1,"D","F")))))),"")</f>
        <v/>
      </c>
      <c r="P158" s="5">
        <f>IF(AND('Data Source'!B158&lt;&gt;"",'Data Source'!S158="A+"),'Data Source'!R158,"")</f>
        <v/>
      </c>
      <c r="Q158" s="3">
        <f>IF(AND('Data Source'!B158&lt;&gt;"",'Data Source'!S158="A+"),'Data Source'!S158,"")</f>
        <v/>
      </c>
    </row>
    <row r="159">
      <c r="A159" s="3">
        <f>IF(AND('Data Source'!B159&lt;&gt;"",'Data Source'!S159="A+"),COUNTIF('Data Source'!$S$3:S159,"A+"),"")</f>
        <v/>
      </c>
      <c r="B159">
        <f>IF(AND('Data Source'!B159&lt;&gt;"",'Data Source'!S159="A+"),'Data Source'!B159,"")</f>
        <v/>
      </c>
      <c r="C159" s="3">
        <f>IF(AND('Data Source'!B159&lt;&gt;"",'Data Source'!S159="A+"),IF('Data Source'!U159&gt;=5,"A+",IF('Data Source'!U159&gt;=4,"A",IF('Data Source'!U159&gt;=3.5,"A-",IF('Data Source'!U159&gt;=3,"B",IF('Data Source'!U159&gt;=2,"C",IF('Data Source'!U159&gt;=1,"D","F")))))),"")</f>
        <v/>
      </c>
      <c r="D159" s="3">
        <f>IF(AND('Data Source'!B159&lt;&gt;"",'Data Source'!S159="A+"),IF('Data Source'!V159&gt;=5,"A+",IF('Data Source'!V159&gt;=4,"A",IF('Data Source'!V159&gt;=3.5,"A-",IF('Data Source'!V159&gt;=3,"B",IF('Data Source'!V159&gt;=2,"C",IF('Data Source'!V159&gt;=1,"D","F")))))),"")</f>
        <v/>
      </c>
      <c r="E159" s="3">
        <f>IF(AND('Data Source'!B159&lt;&gt;"",'Data Source'!S159="A+"),IF('Data Source'!W159&gt;=5,"A+",IF('Data Source'!W159&gt;=4,"A",IF('Data Source'!W159&gt;=3.5,"A-",IF('Data Source'!W159&gt;=3,"B",IF('Data Source'!W159&gt;=2,"C",IF('Data Source'!W159&gt;=1,"D","F")))))),"")</f>
        <v/>
      </c>
      <c r="F159" s="3">
        <f>IF(AND('Data Source'!B159&lt;&gt;"",'Data Source'!S159="A+"),IF('Data Source'!X159&gt;=5,"A+",IF('Data Source'!X159&gt;=4,"A",IF('Data Source'!X159&gt;=3.5,"A-",IF('Data Source'!X159&gt;=3,"B",IF('Data Source'!X159&gt;=2,"C",IF('Data Source'!X159&gt;=1,"D","F")))))),"")</f>
        <v/>
      </c>
      <c r="G159" s="3">
        <f>IF(AND('Data Source'!B159&lt;&gt;"",'Data Source'!S159="A+"),IF('Data Source'!Y159&gt;=5,"A+",IF('Data Source'!Y159&gt;=4,"A",IF('Data Source'!Y159&gt;=3.5,"A-",IF('Data Source'!Y159&gt;=3,"B",IF('Data Source'!Y159&gt;=2,"C",IF('Data Source'!Y159&gt;=1,"D","F")))))),"")</f>
        <v/>
      </c>
      <c r="H159" s="3">
        <f>IF(AND('Data Source'!B159&lt;&gt;"",'Data Source'!S159="A+"),IF('Data Source'!Z159&gt;=5,"A+",IF('Data Source'!Z159&gt;=4,"A",IF('Data Source'!Z159&gt;=3.5,"A-",IF('Data Source'!Z159&gt;=3,"B",IF('Data Source'!Z159&gt;=2,"C",IF('Data Source'!Z159&gt;=1,"D","F")))))),"")</f>
        <v/>
      </c>
      <c r="I159" s="3">
        <f>IF(AND('Data Source'!B159&lt;&gt;"",'Data Source'!S159="A+"),IF('Data Source'!AA159&gt;=5,"A+",IF('Data Source'!AA159&gt;=4,"A",IF('Data Source'!AA159&gt;=3.5,"A-",IF('Data Source'!AA159&gt;=3,"B",IF('Data Source'!AA159&gt;=2,"C",IF('Data Source'!AA159&gt;=1,"D","F")))))),"")</f>
        <v/>
      </c>
      <c r="J159" s="3">
        <f>IF(AND('Data Source'!B159&lt;&gt;"",'Data Source'!S159="A+"),IF('Data Source'!AB159&gt;=5,"A+",IF('Data Source'!AB159&gt;=4,"A",IF('Data Source'!AB159&gt;=3.5,"A-",IF('Data Source'!AB159&gt;=3,"B",IF('Data Source'!AB159&gt;=2,"C",IF('Data Source'!AB159&gt;=1,"D","F")))))),"")</f>
        <v/>
      </c>
      <c r="K159" s="3">
        <f>IF(AND('Data Source'!B159&lt;&gt;"",'Data Source'!S159="A+"),IF('Data Source'!AC159&gt;=5,"A+",IF('Data Source'!AC159&gt;=4,"A",IF('Data Source'!AC159&gt;=3.5,"A-",IF('Data Source'!AC159&gt;=3,"B",IF('Data Source'!AC159&gt;=2,"C",IF('Data Source'!AC159&gt;=1,"D","F")))))),"")</f>
        <v/>
      </c>
      <c r="L159" s="3">
        <f>IF(AND('Data Source'!B159&lt;&gt;"",'Data Source'!S159="A+"),IF('Data Source'!AD159&gt;=5,"A+",IF('Data Source'!AD159&gt;=4,"A",IF('Data Source'!AD159&gt;=3.5,"A-",IF('Data Source'!AD159&gt;=3,"B",IF('Data Source'!AD159&gt;=2,"C",IF('Data Source'!AD159&gt;=1,"D","F")))))),"")</f>
        <v/>
      </c>
      <c r="M159" s="3">
        <f>IF(AND('Data Source'!B159&lt;&gt;"",'Data Source'!S159="A+"),IF('Data Source'!AE159&gt;=5,"A+",IF('Data Source'!AE159&gt;=4,"A",IF('Data Source'!AE159&gt;=3.5,"A-",IF('Data Source'!AE159&gt;=3,"B",IF('Data Source'!AE159&gt;=2,"C",IF('Data Source'!AE159&gt;=1,"D","F")))))),"")</f>
        <v/>
      </c>
      <c r="N159" s="3">
        <f>IF(AND('Data Source'!B159&lt;&gt;"",'Data Source'!S159="A+"),IF('Data Source'!AF159&gt;=5,"A+",IF('Data Source'!AF159&gt;=4,"A",IF('Data Source'!AF159&gt;=3.5,"A-",IF('Data Source'!AF159&gt;=3,"B",IF('Data Source'!AF159&gt;=2,"C",IF('Data Source'!AF159&gt;=1,"D","F")))))),"")</f>
        <v/>
      </c>
      <c r="O159" s="3">
        <f>IF(AND('Data Source'!B159&lt;&gt;"",'Data Source'!S159="A+"),IF('Data Source'!AG159&gt;=5,"A+",IF('Data Source'!AG159&gt;=4,"A",IF('Data Source'!AG159&gt;=3.5,"A-",IF('Data Source'!AG159&gt;=3,"B",IF('Data Source'!AG159&gt;=2,"C",IF('Data Source'!AG159&gt;=1,"D","F")))))),"")</f>
        <v/>
      </c>
      <c r="P159" s="5">
        <f>IF(AND('Data Source'!B159&lt;&gt;"",'Data Source'!S159="A+"),'Data Source'!R159,"")</f>
        <v/>
      </c>
      <c r="Q159" s="3">
        <f>IF(AND('Data Source'!B159&lt;&gt;"",'Data Source'!S159="A+"),'Data Source'!S159,"")</f>
        <v/>
      </c>
    </row>
    <row r="160">
      <c r="A160" s="3">
        <f>IF(AND('Data Source'!B160&lt;&gt;"",'Data Source'!S160="A+"),COUNTIF('Data Source'!$S$3:S160,"A+"),"")</f>
        <v/>
      </c>
      <c r="B160">
        <f>IF(AND('Data Source'!B160&lt;&gt;"",'Data Source'!S160="A+"),'Data Source'!B160,"")</f>
        <v/>
      </c>
      <c r="C160" s="3">
        <f>IF(AND('Data Source'!B160&lt;&gt;"",'Data Source'!S160="A+"),IF('Data Source'!U160&gt;=5,"A+",IF('Data Source'!U160&gt;=4,"A",IF('Data Source'!U160&gt;=3.5,"A-",IF('Data Source'!U160&gt;=3,"B",IF('Data Source'!U160&gt;=2,"C",IF('Data Source'!U160&gt;=1,"D","F")))))),"")</f>
        <v/>
      </c>
      <c r="D160" s="3">
        <f>IF(AND('Data Source'!B160&lt;&gt;"",'Data Source'!S160="A+"),IF('Data Source'!V160&gt;=5,"A+",IF('Data Source'!V160&gt;=4,"A",IF('Data Source'!V160&gt;=3.5,"A-",IF('Data Source'!V160&gt;=3,"B",IF('Data Source'!V160&gt;=2,"C",IF('Data Source'!V160&gt;=1,"D","F")))))),"")</f>
        <v/>
      </c>
      <c r="E160" s="3">
        <f>IF(AND('Data Source'!B160&lt;&gt;"",'Data Source'!S160="A+"),IF('Data Source'!W160&gt;=5,"A+",IF('Data Source'!W160&gt;=4,"A",IF('Data Source'!W160&gt;=3.5,"A-",IF('Data Source'!W160&gt;=3,"B",IF('Data Source'!W160&gt;=2,"C",IF('Data Source'!W160&gt;=1,"D","F")))))),"")</f>
        <v/>
      </c>
      <c r="F160" s="3">
        <f>IF(AND('Data Source'!B160&lt;&gt;"",'Data Source'!S160="A+"),IF('Data Source'!X160&gt;=5,"A+",IF('Data Source'!X160&gt;=4,"A",IF('Data Source'!X160&gt;=3.5,"A-",IF('Data Source'!X160&gt;=3,"B",IF('Data Source'!X160&gt;=2,"C",IF('Data Source'!X160&gt;=1,"D","F")))))),"")</f>
        <v/>
      </c>
      <c r="G160" s="3">
        <f>IF(AND('Data Source'!B160&lt;&gt;"",'Data Source'!S160="A+"),IF('Data Source'!Y160&gt;=5,"A+",IF('Data Source'!Y160&gt;=4,"A",IF('Data Source'!Y160&gt;=3.5,"A-",IF('Data Source'!Y160&gt;=3,"B",IF('Data Source'!Y160&gt;=2,"C",IF('Data Source'!Y160&gt;=1,"D","F")))))),"")</f>
        <v/>
      </c>
      <c r="H160" s="3">
        <f>IF(AND('Data Source'!B160&lt;&gt;"",'Data Source'!S160="A+"),IF('Data Source'!Z160&gt;=5,"A+",IF('Data Source'!Z160&gt;=4,"A",IF('Data Source'!Z160&gt;=3.5,"A-",IF('Data Source'!Z160&gt;=3,"B",IF('Data Source'!Z160&gt;=2,"C",IF('Data Source'!Z160&gt;=1,"D","F")))))),"")</f>
        <v/>
      </c>
      <c r="I160" s="3">
        <f>IF(AND('Data Source'!B160&lt;&gt;"",'Data Source'!S160="A+"),IF('Data Source'!AA160&gt;=5,"A+",IF('Data Source'!AA160&gt;=4,"A",IF('Data Source'!AA160&gt;=3.5,"A-",IF('Data Source'!AA160&gt;=3,"B",IF('Data Source'!AA160&gt;=2,"C",IF('Data Source'!AA160&gt;=1,"D","F")))))),"")</f>
        <v/>
      </c>
      <c r="J160" s="3">
        <f>IF(AND('Data Source'!B160&lt;&gt;"",'Data Source'!S160="A+"),IF('Data Source'!AB160&gt;=5,"A+",IF('Data Source'!AB160&gt;=4,"A",IF('Data Source'!AB160&gt;=3.5,"A-",IF('Data Source'!AB160&gt;=3,"B",IF('Data Source'!AB160&gt;=2,"C",IF('Data Source'!AB160&gt;=1,"D","F")))))),"")</f>
        <v/>
      </c>
      <c r="K160" s="3">
        <f>IF(AND('Data Source'!B160&lt;&gt;"",'Data Source'!S160="A+"),IF('Data Source'!AC160&gt;=5,"A+",IF('Data Source'!AC160&gt;=4,"A",IF('Data Source'!AC160&gt;=3.5,"A-",IF('Data Source'!AC160&gt;=3,"B",IF('Data Source'!AC160&gt;=2,"C",IF('Data Source'!AC160&gt;=1,"D","F")))))),"")</f>
        <v/>
      </c>
      <c r="L160" s="3">
        <f>IF(AND('Data Source'!B160&lt;&gt;"",'Data Source'!S160="A+"),IF('Data Source'!AD160&gt;=5,"A+",IF('Data Source'!AD160&gt;=4,"A",IF('Data Source'!AD160&gt;=3.5,"A-",IF('Data Source'!AD160&gt;=3,"B",IF('Data Source'!AD160&gt;=2,"C",IF('Data Source'!AD160&gt;=1,"D","F")))))),"")</f>
        <v/>
      </c>
      <c r="M160" s="3">
        <f>IF(AND('Data Source'!B160&lt;&gt;"",'Data Source'!S160="A+"),IF('Data Source'!AE160&gt;=5,"A+",IF('Data Source'!AE160&gt;=4,"A",IF('Data Source'!AE160&gt;=3.5,"A-",IF('Data Source'!AE160&gt;=3,"B",IF('Data Source'!AE160&gt;=2,"C",IF('Data Source'!AE160&gt;=1,"D","F")))))),"")</f>
        <v/>
      </c>
      <c r="N160" s="3">
        <f>IF(AND('Data Source'!B160&lt;&gt;"",'Data Source'!S160="A+"),IF('Data Source'!AF160&gt;=5,"A+",IF('Data Source'!AF160&gt;=4,"A",IF('Data Source'!AF160&gt;=3.5,"A-",IF('Data Source'!AF160&gt;=3,"B",IF('Data Source'!AF160&gt;=2,"C",IF('Data Source'!AF160&gt;=1,"D","F")))))),"")</f>
        <v/>
      </c>
      <c r="O160" s="3">
        <f>IF(AND('Data Source'!B160&lt;&gt;"",'Data Source'!S160="A+"),IF('Data Source'!AG160&gt;=5,"A+",IF('Data Source'!AG160&gt;=4,"A",IF('Data Source'!AG160&gt;=3.5,"A-",IF('Data Source'!AG160&gt;=3,"B",IF('Data Source'!AG160&gt;=2,"C",IF('Data Source'!AG160&gt;=1,"D","F")))))),"")</f>
        <v/>
      </c>
      <c r="P160" s="5">
        <f>IF(AND('Data Source'!B160&lt;&gt;"",'Data Source'!S160="A+"),'Data Source'!R160,"")</f>
        <v/>
      </c>
      <c r="Q160" s="3">
        <f>IF(AND('Data Source'!B160&lt;&gt;"",'Data Source'!S160="A+"),'Data Source'!S160,"")</f>
        <v/>
      </c>
    </row>
    <row r="161">
      <c r="A161" s="3">
        <f>IF(AND('Data Source'!B161&lt;&gt;"",'Data Source'!S161="A+"),COUNTIF('Data Source'!$S$3:S161,"A+"),"")</f>
        <v/>
      </c>
      <c r="B161">
        <f>IF(AND('Data Source'!B161&lt;&gt;"",'Data Source'!S161="A+"),'Data Source'!B161,"")</f>
        <v/>
      </c>
      <c r="C161" s="3">
        <f>IF(AND('Data Source'!B161&lt;&gt;"",'Data Source'!S161="A+"),IF('Data Source'!U161&gt;=5,"A+",IF('Data Source'!U161&gt;=4,"A",IF('Data Source'!U161&gt;=3.5,"A-",IF('Data Source'!U161&gt;=3,"B",IF('Data Source'!U161&gt;=2,"C",IF('Data Source'!U161&gt;=1,"D","F")))))),"")</f>
        <v/>
      </c>
      <c r="D161" s="3">
        <f>IF(AND('Data Source'!B161&lt;&gt;"",'Data Source'!S161="A+"),IF('Data Source'!V161&gt;=5,"A+",IF('Data Source'!V161&gt;=4,"A",IF('Data Source'!V161&gt;=3.5,"A-",IF('Data Source'!V161&gt;=3,"B",IF('Data Source'!V161&gt;=2,"C",IF('Data Source'!V161&gt;=1,"D","F")))))),"")</f>
        <v/>
      </c>
      <c r="E161" s="3">
        <f>IF(AND('Data Source'!B161&lt;&gt;"",'Data Source'!S161="A+"),IF('Data Source'!W161&gt;=5,"A+",IF('Data Source'!W161&gt;=4,"A",IF('Data Source'!W161&gt;=3.5,"A-",IF('Data Source'!W161&gt;=3,"B",IF('Data Source'!W161&gt;=2,"C",IF('Data Source'!W161&gt;=1,"D","F")))))),"")</f>
        <v/>
      </c>
      <c r="F161" s="3">
        <f>IF(AND('Data Source'!B161&lt;&gt;"",'Data Source'!S161="A+"),IF('Data Source'!X161&gt;=5,"A+",IF('Data Source'!X161&gt;=4,"A",IF('Data Source'!X161&gt;=3.5,"A-",IF('Data Source'!X161&gt;=3,"B",IF('Data Source'!X161&gt;=2,"C",IF('Data Source'!X161&gt;=1,"D","F")))))),"")</f>
        <v/>
      </c>
      <c r="G161" s="3">
        <f>IF(AND('Data Source'!B161&lt;&gt;"",'Data Source'!S161="A+"),IF('Data Source'!Y161&gt;=5,"A+",IF('Data Source'!Y161&gt;=4,"A",IF('Data Source'!Y161&gt;=3.5,"A-",IF('Data Source'!Y161&gt;=3,"B",IF('Data Source'!Y161&gt;=2,"C",IF('Data Source'!Y161&gt;=1,"D","F")))))),"")</f>
        <v/>
      </c>
      <c r="H161" s="3">
        <f>IF(AND('Data Source'!B161&lt;&gt;"",'Data Source'!S161="A+"),IF('Data Source'!Z161&gt;=5,"A+",IF('Data Source'!Z161&gt;=4,"A",IF('Data Source'!Z161&gt;=3.5,"A-",IF('Data Source'!Z161&gt;=3,"B",IF('Data Source'!Z161&gt;=2,"C",IF('Data Source'!Z161&gt;=1,"D","F")))))),"")</f>
        <v/>
      </c>
      <c r="I161" s="3">
        <f>IF(AND('Data Source'!B161&lt;&gt;"",'Data Source'!S161="A+"),IF('Data Source'!AA161&gt;=5,"A+",IF('Data Source'!AA161&gt;=4,"A",IF('Data Source'!AA161&gt;=3.5,"A-",IF('Data Source'!AA161&gt;=3,"B",IF('Data Source'!AA161&gt;=2,"C",IF('Data Source'!AA161&gt;=1,"D","F")))))),"")</f>
        <v/>
      </c>
      <c r="J161" s="3">
        <f>IF(AND('Data Source'!B161&lt;&gt;"",'Data Source'!S161="A+"),IF('Data Source'!AB161&gt;=5,"A+",IF('Data Source'!AB161&gt;=4,"A",IF('Data Source'!AB161&gt;=3.5,"A-",IF('Data Source'!AB161&gt;=3,"B",IF('Data Source'!AB161&gt;=2,"C",IF('Data Source'!AB161&gt;=1,"D","F")))))),"")</f>
        <v/>
      </c>
      <c r="K161" s="3">
        <f>IF(AND('Data Source'!B161&lt;&gt;"",'Data Source'!S161="A+"),IF('Data Source'!AC161&gt;=5,"A+",IF('Data Source'!AC161&gt;=4,"A",IF('Data Source'!AC161&gt;=3.5,"A-",IF('Data Source'!AC161&gt;=3,"B",IF('Data Source'!AC161&gt;=2,"C",IF('Data Source'!AC161&gt;=1,"D","F")))))),"")</f>
        <v/>
      </c>
      <c r="L161" s="3">
        <f>IF(AND('Data Source'!B161&lt;&gt;"",'Data Source'!S161="A+"),IF('Data Source'!AD161&gt;=5,"A+",IF('Data Source'!AD161&gt;=4,"A",IF('Data Source'!AD161&gt;=3.5,"A-",IF('Data Source'!AD161&gt;=3,"B",IF('Data Source'!AD161&gt;=2,"C",IF('Data Source'!AD161&gt;=1,"D","F")))))),"")</f>
        <v/>
      </c>
      <c r="M161" s="3">
        <f>IF(AND('Data Source'!B161&lt;&gt;"",'Data Source'!S161="A+"),IF('Data Source'!AE161&gt;=5,"A+",IF('Data Source'!AE161&gt;=4,"A",IF('Data Source'!AE161&gt;=3.5,"A-",IF('Data Source'!AE161&gt;=3,"B",IF('Data Source'!AE161&gt;=2,"C",IF('Data Source'!AE161&gt;=1,"D","F")))))),"")</f>
        <v/>
      </c>
      <c r="N161" s="3">
        <f>IF(AND('Data Source'!B161&lt;&gt;"",'Data Source'!S161="A+"),IF('Data Source'!AF161&gt;=5,"A+",IF('Data Source'!AF161&gt;=4,"A",IF('Data Source'!AF161&gt;=3.5,"A-",IF('Data Source'!AF161&gt;=3,"B",IF('Data Source'!AF161&gt;=2,"C",IF('Data Source'!AF161&gt;=1,"D","F")))))),"")</f>
        <v/>
      </c>
      <c r="O161" s="3">
        <f>IF(AND('Data Source'!B161&lt;&gt;"",'Data Source'!S161="A+"),IF('Data Source'!AG161&gt;=5,"A+",IF('Data Source'!AG161&gt;=4,"A",IF('Data Source'!AG161&gt;=3.5,"A-",IF('Data Source'!AG161&gt;=3,"B",IF('Data Source'!AG161&gt;=2,"C",IF('Data Source'!AG161&gt;=1,"D","F")))))),"")</f>
        <v/>
      </c>
      <c r="P161" s="5">
        <f>IF(AND('Data Source'!B161&lt;&gt;"",'Data Source'!S161="A+"),'Data Source'!R161,"")</f>
        <v/>
      </c>
      <c r="Q161" s="3">
        <f>IF(AND('Data Source'!B161&lt;&gt;"",'Data Source'!S161="A+"),'Data Source'!S161,"")</f>
        <v/>
      </c>
    </row>
    <row r="162">
      <c r="A162" s="3">
        <f>IF(AND('Data Source'!B162&lt;&gt;"",'Data Source'!S162="A+"),COUNTIF('Data Source'!$S$3:S162,"A+"),"")</f>
        <v/>
      </c>
      <c r="B162">
        <f>IF(AND('Data Source'!B162&lt;&gt;"",'Data Source'!S162="A+"),'Data Source'!B162,"")</f>
        <v/>
      </c>
      <c r="C162" s="3">
        <f>IF(AND('Data Source'!B162&lt;&gt;"",'Data Source'!S162="A+"),IF('Data Source'!U162&gt;=5,"A+",IF('Data Source'!U162&gt;=4,"A",IF('Data Source'!U162&gt;=3.5,"A-",IF('Data Source'!U162&gt;=3,"B",IF('Data Source'!U162&gt;=2,"C",IF('Data Source'!U162&gt;=1,"D","F")))))),"")</f>
        <v/>
      </c>
      <c r="D162" s="3">
        <f>IF(AND('Data Source'!B162&lt;&gt;"",'Data Source'!S162="A+"),IF('Data Source'!V162&gt;=5,"A+",IF('Data Source'!V162&gt;=4,"A",IF('Data Source'!V162&gt;=3.5,"A-",IF('Data Source'!V162&gt;=3,"B",IF('Data Source'!V162&gt;=2,"C",IF('Data Source'!V162&gt;=1,"D","F")))))),"")</f>
        <v/>
      </c>
      <c r="E162" s="3">
        <f>IF(AND('Data Source'!B162&lt;&gt;"",'Data Source'!S162="A+"),IF('Data Source'!W162&gt;=5,"A+",IF('Data Source'!W162&gt;=4,"A",IF('Data Source'!W162&gt;=3.5,"A-",IF('Data Source'!W162&gt;=3,"B",IF('Data Source'!W162&gt;=2,"C",IF('Data Source'!W162&gt;=1,"D","F")))))),"")</f>
        <v/>
      </c>
      <c r="F162" s="3">
        <f>IF(AND('Data Source'!B162&lt;&gt;"",'Data Source'!S162="A+"),IF('Data Source'!X162&gt;=5,"A+",IF('Data Source'!X162&gt;=4,"A",IF('Data Source'!X162&gt;=3.5,"A-",IF('Data Source'!X162&gt;=3,"B",IF('Data Source'!X162&gt;=2,"C",IF('Data Source'!X162&gt;=1,"D","F")))))),"")</f>
        <v/>
      </c>
      <c r="G162" s="3">
        <f>IF(AND('Data Source'!B162&lt;&gt;"",'Data Source'!S162="A+"),IF('Data Source'!Y162&gt;=5,"A+",IF('Data Source'!Y162&gt;=4,"A",IF('Data Source'!Y162&gt;=3.5,"A-",IF('Data Source'!Y162&gt;=3,"B",IF('Data Source'!Y162&gt;=2,"C",IF('Data Source'!Y162&gt;=1,"D","F")))))),"")</f>
        <v/>
      </c>
      <c r="H162" s="3">
        <f>IF(AND('Data Source'!B162&lt;&gt;"",'Data Source'!S162="A+"),IF('Data Source'!Z162&gt;=5,"A+",IF('Data Source'!Z162&gt;=4,"A",IF('Data Source'!Z162&gt;=3.5,"A-",IF('Data Source'!Z162&gt;=3,"B",IF('Data Source'!Z162&gt;=2,"C",IF('Data Source'!Z162&gt;=1,"D","F")))))),"")</f>
        <v/>
      </c>
      <c r="I162" s="3">
        <f>IF(AND('Data Source'!B162&lt;&gt;"",'Data Source'!S162="A+"),IF('Data Source'!AA162&gt;=5,"A+",IF('Data Source'!AA162&gt;=4,"A",IF('Data Source'!AA162&gt;=3.5,"A-",IF('Data Source'!AA162&gt;=3,"B",IF('Data Source'!AA162&gt;=2,"C",IF('Data Source'!AA162&gt;=1,"D","F")))))),"")</f>
        <v/>
      </c>
      <c r="J162" s="3">
        <f>IF(AND('Data Source'!B162&lt;&gt;"",'Data Source'!S162="A+"),IF('Data Source'!AB162&gt;=5,"A+",IF('Data Source'!AB162&gt;=4,"A",IF('Data Source'!AB162&gt;=3.5,"A-",IF('Data Source'!AB162&gt;=3,"B",IF('Data Source'!AB162&gt;=2,"C",IF('Data Source'!AB162&gt;=1,"D","F")))))),"")</f>
        <v/>
      </c>
      <c r="K162" s="3">
        <f>IF(AND('Data Source'!B162&lt;&gt;"",'Data Source'!S162="A+"),IF('Data Source'!AC162&gt;=5,"A+",IF('Data Source'!AC162&gt;=4,"A",IF('Data Source'!AC162&gt;=3.5,"A-",IF('Data Source'!AC162&gt;=3,"B",IF('Data Source'!AC162&gt;=2,"C",IF('Data Source'!AC162&gt;=1,"D","F")))))),"")</f>
        <v/>
      </c>
      <c r="L162" s="3">
        <f>IF(AND('Data Source'!B162&lt;&gt;"",'Data Source'!S162="A+"),IF('Data Source'!AD162&gt;=5,"A+",IF('Data Source'!AD162&gt;=4,"A",IF('Data Source'!AD162&gt;=3.5,"A-",IF('Data Source'!AD162&gt;=3,"B",IF('Data Source'!AD162&gt;=2,"C",IF('Data Source'!AD162&gt;=1,"D","F")))))),"")</f>
        <v/>
      </c>
      <c r="M162" s="3">
        <f>IF(AND('Data Source'!B162&lt;&gt;"",'Data Source'!S162="A+"),IF('Data Source'!AE162&gt;=5,"A+",IF('Data Source'!AE162&gt;=4,"A",IF('Data Source'!AE162&gt;=3.5,"A-",IF('Data Source'!AE162&gt;=3,"B",IF('Data Source'!AE162&gt;=2,"C",IF('Data Source'!AE162&gt;=1,"D","F")))))),"")</f>
        <v/>
      </c>
      <c r="N162" s="3">
        <f>IF(AND('Data Source'!B162&lt;&gt;"",'Data Source'!S162="A+"),IF('Data Source'!AF162&gt;=5,"A+",IF('Data Source'!AF162&gt;=4,"A",IF('Data Source'!AF162&gt;=3.5,"A-",IF('Data Source'!AF162&gt;=3,"B",IF('Data Source'!AF162&gt;=2,"C",IF('Data Source'!AF162&gt;=1,"D","F")))))),"")</f>
        <v/>
      </c>
      <c r="O162" s="3">
        <f>IF(AND('Data Source'!B162&lt;&gt;"",'Data Source'!S162="A+"),IF('Data Source'!AG162&gt;=5,"A+",IF('Data Source'!AG162&gt;=4,"A",IF('Data Source'!AG162&gt;=3.5,"A-",IF('Data Source'!AG162&gt;=3,"B",IF('Data Source'!AG162&gt;=2,"C",IF('Data Source'!AG162&gt;=1,"D","F")))))),"")</f>
        <v/>
      </c>
      <c r="P162" s="5">
        <f>IF(AND('Data Source'!B162&lt;&gt;"",'Data Source'!S162="A+"),'Data Source'!R162,"")</f>
        <v/>
      </c>
      <c r="Q162" s="3">
        <f>IF(AND('Data Source'!B162&lt;&gt;"",'Data Source'!S162="A+"),'Data Source'!S162,"")</f>
        <v/>
      </c>
    </row>
    <row r="163">
      <c r="A163" s="3">
        <f>IF(AND('Data Source'!B163&lt;&gt;"",'Data Source'!S163="A+"),COUNTIF('Data Source'!$S$3:S163,"A+"),"")</f>
        <v/>
      </c>
      <c r="B163">
        <f>IF(AND('Data Source'!B163&lt;&gt;"",'Data Source'!S163="A+"),'Data Source'!B163,"")</f>
        <v/>
      </c>
      <c r="C163" s="3">
        <f>IF(AND('Data Source'!B163&lt;&gt;"",'Data Source'!S163="A+"),IF('Data Source'!U163&gt;=5,"A+",IF('Data Source'!U163&gt;=4,"A",IF('Data Source'!U163&gt;=3.5,"A-",IF('Data Source'!U163&gt;=3,"B",IF('Data Source'!U163&gt;=2,"C",IF('Data Source'!U163&gt;=1,"D","F")))))),"")</f>
        <v/>
      </c>
      <c r="D163" s="3">
        <f>IF(AND('Data Source'!B163&lt;&gt;"",'Data Source'!S163="A+"),IF('Data Source'!V163&gt;=5,"A+",IF('Data Source'!V163&gt;=4,"A",IF('Data Source'!V163&gt;=3.5,"A-",IF('Data Source'!V163&gt;=3,"B",IF('Data Source'!V163&gt;=2,"C",IF('Data Source'!V163&gt;=1,"D","F")))))),"")</f>
        <v/>
      </c>
      <c r="E163" s="3">
        <f>IF(AND('Data Source'!B163&lt;&gt;"",'Data Source'!S163="A+"),IF('Data Source'!W163&gt;=5,"A+",IF('Data Source'!W163&gt;=4,"A",IF('Data Source'!W163&gt;=3.5,"A-",IF('Data Source'!W163&gt;=3,"B",IF('Data Source'!W163&gt;=2,"C",IF('Data Source'!W163&gt;=1,"D","F")))))),"")</f>
        <v/>
      </c>
      <c r="F163" s="3">
        <f>IF(AND('Data Source'!B163&lt;&gt;"",'Data Source'!S163="A+"),IF('Data Source'!X163&gt;=5,"A+",IF('Data Source'!X163&gt;=4,"A",IF('Data Source'!X163&gt;=3.5,"A-",IF('Data Source'!X163&gt;=3,"B",IF('Data Source'!X163&gt;=2,"C",IF('Data Source'!X163&gt;=1,"D","F")))))),"")</f>
        <v/>
      </c>
      <c r="G163" s="3">
        <f>IF(AND('Data Source'!B163&lt;&gt;"",'Data Source'!S163="A+"),IF('Data Source'!Y163&gt;=5,"A+",IF('Data Source'!Y163&gt;=4,"A",IF('Data Source'!Y163&gt;=3.5,"A-",IF('Data Source'!Y163&gt;=3,"B",IF('Data Source'!Y163&gt;=2,"C",IF('Data Source'!Y163&gt;=1,"D","F")))))),"")</f>
        <v/>
      </c>
      <c r="H163" s="3">
        <f>IF(AND('Data Source'!B163&lt;&gt;"",'Data Source'!S163="A+"),IF('Data Source'!Z163&gt;=5,"A+",IF('Data Source'!Z163&gt;=4,"A",IF('Data Source'!Z163&gt;=3.5,"A-",IF('Data Source'!Z163&gt;=3,"B",IF('Data Source'!Z163&gt;=2,"C",IF('Data Source'!Z163&gt;=1,"D","F")))))),"")</f>
        <v/>
      </c>
      <c r="I163" s="3">
        <f>IF(AND('Data Source'!B163&lt;&gt;"",'Data Source'!S163="A+"),IF('Data Source'!AA163&gt;=5,"A+",IF('Data Source'!AA163&gt;=4,"A",IF('Data Source'!AA163&gt;=3.5,"A-",IF('Data Source'!AA163&gt;=3,"B",IF('Data Source'!AA163&gt;=2,"C",IF('Data Source'!AA163&gt;=1,"D","F")))))),"")</f>
        <v/>
      </c>
      <c r="J163" s="3">
        <f>IF(AND('Data Source'!B163&lt;&gt;"",'Data Source'!S163="A+"),IF('Data Source'!AB163&gt;=5,"A+",IF('Data Source'!AB163&gt;=4,"A",IF('Data Source'!AB163&gt;=3.5,"A-",IF('Data Source'!AB163&gt;=3,"B",IF('Data Source'!AB163&gt;=2,"C",IF('Data Source'!AB163&gt;=1,"D","F")))))),"")</f>
        <v/>
      </c>
      <c r="K163" s="3">
        <f>IF(AND('Data Source'!B163&lt;&gt;"",'Data Source'!S163="A+"),IF('Data Source'!AC163&gt;=5,"A+",IF('Data Source'!AC163&gt;=4,"A",IF('Data Source'!AC163&gt;=3.5,"A-",IF('Data Source'!AC163&gt;=3,"B",IF('Data Source'!AC163&gt;=2,"C",IF('Data Source'!AC163&gt;=1,"D","F")))))),"")</f>
        <v/>
      </c>
      <c r="L163" s="3">
        <f>IF(AND('Data Source'!B163&lt;&gt;"",'Data Source'!S163="A+"),IF('Data Source'!AD163&gt;=5,"A+",IF('Data Source'!AD163&gt;=4,"A",IF('Data Source'!AD163&gt;=3.5,"A-",IF('Data Source'!AD163&gt;=3,"B",IF('Data Source'!AD163&gt;=2,"C",IF('Data Source'!AD163&gt;=1,"D","F")))))),"")</f>
        <v/>
      </c>
      <c r="M163" s="3">
        <f>IF(AND('Data Source'!B163&lt;&gt;"",'Data Source'!S163="A+"),IF('Data Source'!AE163&gt;=5,"A+",IF('Data Source'!AE163&gt;=4,"A",IF('Data Source'!AE163&gt;=3.5,"A-",IF('Data Source'!AE163&gt;=3,"B",IF('Data Source'!AE163&gt;=2,"C",IF('Data Source'!AE163&gt;=1,"D","F")))))),"")</f>
        <v/>
      </c>
      <c r="N163" s="3">
        <f>IF(AND('Data Source'!B163&lt;&gt;"",'Data Source'!S163="A+"),IF('Data Source'!AF163&gt;=5,"A+",IF('Data Source'!AF163&gt;=4,"A",IF('Data Source'!AF163&gt;=3.5,"A-",IF('Data Source'!AF163&gt;=3,"B",IF('Data Source'!AF163&gt;=2,"C",IF('Data Source'!AF163&gt;=1,"D","F")))))),"")</f>
        <v/>
      </c>
      <c r="O163" s="3">
        <f>IF(AND('Data Source'!B163&lt;&gt;"",'Data Source'!S163="A+"),IF('Data Source'!AG163&gt;=5,"A+",IF('Data Source'!AG163&gt;=4,"A",IF('Data Source'!AG163&gt;=3.5,"A-",IF('Data Source'!AG163&gt;=3,"B",IF('Data Source'!AG163&gt;=2,"C",IF('Data Source'!AG163&gt;=1,"D","F")))))),"")</f>
        <v/>
      </c>
      <c r="P163" s="5">
        <f>IF(AND('Data Source'!B163&lt;&gt;"",'Data Source'!S163="A+"),'Data Source'!R163,"")</f>
        <v/>
      </c>
      <c r="Q163" s="3">
        <f>IF(AND('Data Source'!B163&lt;&gt;"",'Data Source'!S163="A+"),'Data Source'!S163,"")</f>
        <v/>
      </c>
    </row>
    <row r="164">
      <c r="A164" s="3">
        <f>IF(AND('Data Source'!B164&lt;&gt;"",'Data Source'!S164="A+"),COUNTIF('Data Source'!$S$3:S164,"A+"),"")</f>
        <v/>
      </c>
      <c r="B164">
        <f>IF(AND('Data Source'!B164&lt;&gt;"",'Data Source'!S164="A+"),'Data Source'!B164,"")</f>
        <v/>
      </c>
      <c r="C164" s="3">
        <f>IF(AND('Data Source'!B164&lt;&gt;"",'Data Source'!S164="A+"),IF('Data Source'!U164&gt;=5,"A+",IF('Data Source'!U164&gt;=4,"A",IF('Data Source'!U164&gt;=3.5,"A-",IF('Data Source'!U164&gt;=3,"B",IF('Data Source'!U164&gt;=2,"C",IF('Data Source'!U164&gt;=1,"D","F")))))),"")</f>
        <v/>
      </c>
      <c r="D164" s="3">
        <f>IF(AND('Data Source'!B164&lt;&gt;"",'Data Source'!S164="A+"),IF('Data Source'!V164&gt;=5,"A+",IF('Data Source'!V164&gt;=4,"A",IF('Data Source'!V164&gt;=3.5,"A-",IF('Data Source'!V164&gt;=3,"B",IF('Data Source'!V164&gt;=2,"C",IF('Data Source'!V164&gt;=1,"D","F")))))),"")</f>
        <v/>
      </c>
      <c r="E164" s="3">
        <f>IF(AND('Data Source'!B164&lt;&gt;"",'Data Source'!S164="A+"),IF('Data Source'!W164&gt;=5,"A+",IF('Data Source'!W164&gt;=4,"A",IF('Data Source'!W164&gt;=3.5,"A-",IF('Data Source'!W164&gt;=3,"B",IF('Data Source'!W164&gt;=2,"C",IF('Data Source'!W164&gt;=1,"D","F")))))),"")</f>
        <v/>
      </c>
      <c r="F164" s="3">
        <f>IF(AND('Data Source'!B164&lt;&gt;"",'Data Source'!S164="A+"),IF('Data Source'!X164&gt;=5,"A+",IF('Data Source'!X164&gt;=4,"A",IF('Data Source'!X164&gt;=3.5,"A-",IF('Data Source'!X164&gt;=3,"B",IF('Data Source'!X164&gt;=2,"C",IF('Data Source'!X164&gt;=1,"D","F")))))),"")</f>
        <v/>
      </c>
      <c r="G164" s="3">
        <f>IF(AND('Data Source'!B164&lt;&gt;"",'Data Source'!S164="A+"),IF('Data Source'!Y164&gt;=5,"A+",IF('Data Source'!Y164&gt;=4,"A",IF('Data Source'!Y164&gt;=3.5,"A-",IF('Data Source'!Y164&gt;=3,"B",IF('Data Source'!Y164&gt;=2,"C",IF('Data Source'!Y164&gt;=1,"D","F")))))),"")</f>
        <v/>
      </c>
      <c r="H164" s="3">
        <f>IF(AND('Data Source'!B164&lt;&gt;"",'Data Source'!S164="A+"),IF('Data Source'!Z164&gt;=5,"A+",IF('Data Source'!Z164&gt;=4,"A",IF('Data Source'!Z164&gt;=3.5,"A-",IF('Data Source'!Z164&gt;=3,"B",IF('Data Source'!Z164&gt;=2,"C",IF('Data Source'!Z164&gt;=1,"D","F")))))),"")</f>
        <v/>
      </c>
      <c r="I164" s="3">
        <f>IF(AND('Data Source'!B164&lt;&gt;"",'Data Source'!S164="A+"),IF('Data Source'!AA164&gt;=5,"A+",IF('Data Source'!AA164&gt;=4,"A",IF('Data Source'!AA164&gt;=3.5,"A-",IF('Data Source'!AA164&gt;=3,"B",IF('Data Source'!AA164&gt;=2,"C",IF('Data Source'!AA164&gt;=1,"D","F")))))),"")</f>
        <v/>
      </c>
      <c r="J164" s="3">
        <f>IF(AND('Data Source'!B164&lt;&gt;"",'Data Source'!S164="A+"),IF('Data Source'!AB164&gt;=5,"A+",IF('Data Source'!AB164&gt;=4,"A",IF('Data Source'!AB164&gt;=3.5,"A-",IF('Data Source'!AB164&gt;=3,"B",IF('Data Source'!AB164&gt;=2,"C",IF('Data Source'!AB164&gt;=1,"D","F")))))),"")</f>
        <v/>
      </c>
      <c r="K164" s="3">
        <f>IF(AND('Data Source'!B164&lt;&gt;"",'Data Source'!S164="A+"),IF('Data Source'!AC164&gt;=5,"A+",IF('Data Source'!AC164&gt;=4,"A",IF('Data Source'!AC164&gt;=3.5,"A-",IF('Data Source'!AC164&gt;=3,"B",IF('Data Source'!AC164&gt;=2,"C",IF('Data Source'!AC164&gt;=1,"D","F")))))),"")</f>
        <v/>
      </c>
      <c r="L164" s="3">
        <f>IF(AND('Data Source'!B164&lt;&gt;"",'Data Source'!S164="A+"),IF('Data Source'!AD164&gt;=5,"A+",IF('Data Source'!AD164&gt;=4,"A",IF('Data Source'!AD164&gt;=3.5,"A-",IF('Data Source'!AD164&gt;=3,"B",IF('Data Source'!AD164&gt;=2,"C",IF('Data Source'!AD164&gt;=1,"D","F")))))),"")</f>
        <v/>
      </c>
      <c r="M164" s="3">
        <f>IF(AND('Data Source'!B164&lt;&gt;"",'Data Source'!S164="A+"),IF('Data Source'!AE164&gt;=5,"A+",IF('Data Source'!AE164&gt;=4,"A",IF('Data Source'!AE164&gt;=3.5,"A-",IF('Data Source'!AE164&gt;=3,"B",IF('Data Source'!AE164&gt;=2,"C",IF('Data Source'!AE164&gt;=1,"D","F")))))),"")</f>
        <v/>
      </c>
      <c r="N164" s="3">
        <f>IF(AND('Data Source'!B164&lt;&gt;"",'Data Source'!S164="A+"),IF('Data Source'!AF164&gt;=5,"A+",IF('Data Source'!AF164&gt;=4,"A",IF('Data Source'!AF164&gt;=3.5,"A-",IF('Data Source'!AF164&gt;=3,"B",IF('Data Source'!AF164&gt;=2,"C",IF('Data Source'!AF164&gt;=1,"D","F")))))),"")</f>
        <v/>
      </c>
      <c r="O164" s="3">
        <f>IF(AND('Data Source'!B164&lt;&gt;"",'Data Source'!S164="A+"),IF('Data Source'!AG164&gt;=5,"A+",IF('Data Source'!AG164&gt;=4,"A",IF('Data Source'!AG164&gt;=3.5,"A-",IF('Data Source'!AG164&gt;=3,"B",IF('Data Source'!AG164&gt;=2,"C",IF('Data Source'!AG164&gt;=1,"D","F")))))),"")</f>
        <v/>
      </c>
      <c r="P164" s="5">
        <f>IF(AND('Data Source'!B164&lt;&gt;"",'Data Source'!S164="A+"),'Data Source'!R164,"")</f>
        <v/>
      </c>
      <c r="Q164" s="3">
        <f>IF(AND('Data Source'!B164&lt;&gt;"",'Data Source'!S164="A+"),'Data Source'!S164,"")</f>
        <v/>
      </c>
    </row>
    <row r="165">
      <c r="A165" s="3">
        <f>IF(AND('Data Source'!B165&lt;&gt;"",'Data Source'!S165="A+"),COUNTIF('Data Source'!$S$3:S165,"A+"),"")</f>
        <v/>
      </c>
      <c r="B165">
        <f>IF(AND('Data Source'!B165&lt;&gt;"",'Data Source'!S165="A+"),'Data Source'!B165,"")</f>
        <v/>
      </c>
      <c r="C165" s="3">
        <f>IF(AND('Data Source'!B165&lt;&gt;"",'Data Source'!S165="A+"),IF('Data Source'!U165&gt;=5,"A+",IF('Data Source'!U165&gt;=4,"A",IF('Data Source'!U165&gt;=3.5,"A-",IF('Data Source'!U165&gt;=3,"B",IF('Data Source'!U165&gt;=2,"C",IF('Data Source'!U165&gt;=1,"D","F")))))),"")</f>
        <v/>
      </c>
      <c r="D165" s="3">
        <f>IF(AND('Data Source'!B165&lt;&gt;"",'Data Source'!S165="A+"),IF('Data Source'!V165&gt;=5,"A+",IF('Data Source'!V165&gt;=4,"A",IF('Data Source'!V165&gt;=3.5,"A-",IF('Data Source'!V165&gt;=3,"B",IF('Data Source'!V165&gt;=2,"C",IF('Data Source'!V165&gt;=1,"D","F")))))),"")</f>
        <v/>
      </c>
      <c r="E165" s="3">
        <f>IF(AND('Data Source'!B165&lt;&gt;"",'Data Source'!S165="A+"),IF('Data Source'!W165&gt;=5,"A+",IF('Data Source'!W165&gt;=4,"A",IF('Data Source'!W165&gt;=3.5,"A-",IF('Data Source'!W165&gt;=3,"B",IF('Data Source'!W165&gt;=2,"C",IF('Data Source'!W165&gt;=1,"D","F")))))),"")</f>
        <v/>
      </c>
      <c r="F165" s="3">
        <f>IF(AND('Data Source'!B165&lt;&gt;"",'Data Source'!S165="A+"),IF('Data Source'!X165&gt;=5,"A+",IF('Data Source'!X165&gt;=4,"A",IF('Data Source'!X165&gt;=3.5,"A-",IF('Data Source'!X165&gt;=3,"B",IF('Data Source'!X165&gt;=2,"C",IF('Data Source'!X165&gt;=1,"D","F")))))),"")</f>
        <v/>
      </c>
      <c r="G165" s="3">
        <f>IF(AND('Data Source'!B165&lt;&gt;"",'Data Source'!S165="A+"),IF('Data Source'!Y165&gt;=5,"A+",IF('Data Source'!Y165&gt;=4,"A",IF('Data Source'!Y165&gt;=3.5,"A-",IF('Data Source'!Y165&gt;=3,"B",IF('Data Source'!Y165&gt;=2,"C",IF('Data Source'!Y165&gt;=1,"D","F")))))),"")</f>
        <v/>
      </c>
      <c r="H165" s="3">
        <f>IF(AND('Data Source'!B165&lt;&gt;"",'Data Source'!S165="A+"),IF('Data Source'!Z165&gt;=5,"A+",IF('Data Source'!Z165&gt;=4,"A",IF('Data Source'!Z165&gt;=3.5,"A-",IF('Data Source'!Z165&gt;=3,"B",IF('Data Source'!Z165&gt;=2,"C",IF('Data Source'!Z165&gt;=1,"D","F")))))),"")</f>
        <v/>
      </c>
      <c r="I165" s="3">
        <f>IF(AND('Data Source'!B165&lt;&gt;"",'Data Source'!S165="A+"),IF('Data Source'!AA165&gt;=5,"A+",IF('Data Source'!AA165&gt;=4,"A",IF('Data Source'!AA165&gt;=3.5,"A-",IF('Data Source'!AA165&gt;=3,"B",IF('Data Source'!AA165&gt;=2,"C",IF('Data Source'!AA165&gt;=1,"D","F")))))),"")</f>
        <v/>
      </c>
      <c r="J165" s="3">
        <f>IF(AND('Data Source'!B165&lt;&gt;"",'Data Source'!S165="A+"),IF('Data Source'!AB165&gt;=5,"A+",IF('Data Source'!AB165&gt;=4,"A",IF('Data Source'!AB165&gt;=3.5,"A-",IF('Data Source'!AB165&gt;=3,"B",IF('Data Source'!AB165&gt;=2,"C",IF('Data Source'!AB165&gt;=1,"D","F")))))),"")</f>
        <v/>
      </c>
      <c r="K165" s="3">
        <f>IF(AND('Data Source'!B165&lt;&gt;"",'Data Source'!S165="A+"),IF('Data Source'!AC165&gt;=5,"A+",IF('Data Source'!AC165&gt;=4,"A",IF('Data Source'!AC165&gt;=3.5,"A-",IF('Data Source'!AC165&gt;=3,"B",IF('Data Source'!AC165&gt;=2,"C",IF('Data Source'!AC165&gt;=1,"D","F")))))),"")</f>
        <v/>
      </c>
      <c r="L165" s="3">
        <f>IF(AND('Data Source'!B165&lt;&gt;"",'Data Source'!S165="A+"),IF('Data Source'!AD165&gt;=5,"A+",IF('Data Source'!AD165&gt;=4,"A",IF('Data Source'!AD165&gt;=3.5,"A-",IF('Data Source'!AD165&gt;=3,"B",IF('Data Source'!AD165&gt;=2,"C",IF('Data Source'!AD165&gt;=1,"D","F")))))),"")</f>
        <v/>
      </c>
      <c r="M165" s="3">
        <f>IF(AND('Data Source'!B165&lt;&gt;"",'Data Source'!S165="A+"),IF('Data Source'!AE165&gt;=5,"A+",IF('Data Source'!AE165&gt;=4,"A",IF('Data Source'!AE165&gt;=3.5,"A-",IF('Data Source'!AE165&gt;=3,"B",IF('Data Source'!AE165&gt;=2,"C",IF('Data Source'!AE165&gt;=1,"D","F")))))),"")</f>
        <v/>
      </c>
      <c r="N165" s="3">
        <f>IF(AND('Data Source'!B165&lt;&gt;"",'Data Source'!S165="A+"),IF('Data Source'!AF165&gt;=5,"A+",IF('Data Source'!AF165&gt;=4,"A",IF('Data Source'!AF165&gt;=3.5,"A-",IF('Data Source'!AF165&gt;=3,"B",IF('Data Source'!AF165&gt;=2,"C",IF('Data Source'!AF165&gt;=1,"D","F")))))),"")</f>
        <v/>
      </c>
      <c r="O165" s="3">
        <f>IF(AND('Data Source'!B165&lt;&gt;"",'Data Source'!S165="A+"),IF('Data Source'!AG165&gt;=5,"A+",IF('Data Source'!AG165&gt;=4,"A",IF('Data Source'!AG165&gt;=3.5,"A-",IF('Data Source'!AG165&gt;=3,"B",IF('Data Source'!AG165&gt;=2,"C",IF('Data Source'!AG165&gt;=1,"D","F")))))),"")</f>
        <v/>
      </c>
      <c r="P165" s="5">
        <f>IF(AND('Data Source'!B165&lt;&gt;"",'Data Source'!S165="A+"),'Data Source'!R165,"")</f>
        <v/>
      </c>
      <c r="Q165" s="3">
        <f>IF(AND('Data Source'!B165&lt;&gt;"",'Data Source'!S165="A+"),'Data Source'!S165,"")</f>
        <v/>
      </c>
    </row>
    <row r="166">
      <c r="A166" s="3">
        <f>IF(AND('Data Source'!B166&lt;&gt;"",'Data Source'!S166="A+"),COUNTIF('Data Source'!$S$3:S166,"A+"),"")</f>
        <v/>
      </c>
      <c r="B166">
        <f>IF(AND('Data Source'!B166&lt;&gt;"",'Data Source'!S166="A+"),'Data Source'!B166,"")</f>
        <v/>
      </c>
      <c r="C166" s="3">
        <f>IF(AND('Data Source'!B166&lt;&gt;"",'Data Source'!S166="A+"),IF('Data Source'!U166&gt;=5,"A+",IF('Data Source'!U166&gt;=4,"A",IF('Data Source'!U166&gt;=3.5,"A-",IF('Data Source'!U166&gt;=3,"B",IF('Data Source'!U166&gt;=2,"C",IF('Data Source'!U166&gt;=1,"D","F")))))),"")</f>
        <v/>
      </c>
      <c r="D166" s="3">
        <f>IF(AND('Data Source'!B166&lt;&gt;"",'Data Source'!S166="A+"),IF('Data Source'!V166&gt;=5,"A+",IF('Data Source'!V166&gt;=4,"A",IF('Data Source'!V166&gt;=3.5,"A-",IF('Data Source'!V166&gt;=3,"B",IF('Data Source'!V166&gt;=2,"C",IF('Data Source'!V166&gt;=1,"D","F")))))),"")</f>
        <v/>
      </c>
      <c r="E166" s="3">
        <f>IF(AND('Data Source'!B166&lt;&gt;"",'Data Source'!S166="A+"),IF('Data Source'!W166&gt;=5,"A+",IF('Data Source'!W166&gt;=4,"A",IF('Data Source'!W166&gt;=3.5,"A-",IF('Data Source'!W166&gt;=3,"B",IF('Data Source'!W166&gt;=2,"C",IF('Data Source'!W166&gt;=1,"D","F")))))),"")</f>
        <v/>
      </c>
      <c r="F166" s="3">
        <f>IF(AND('Data Source'!B166&lt;&gt;"",'Data Source'!S166="A+"),IF('Data Source'!X166&gt;=5,"A+",IF('Data Source'!X166&gt;=4,"A",IF('Data Source'!X166&gt;=3.5,"A-",IF('Data Source'!X166&gt;=3,"B",IF('Data Source'!X166&gt;=2,"C",IF('Data Source'!X166&gt;=1,"D","F")))))),"")</f>
        <v/>
      </c>
      <c r="G166" s="3">
        <f>IF(AND('Data Source'!B166&lt;&gt;"",'Data Source'!S166="A+"),IF('Data Source'!Y166&gt;=5,"A+",IF('Data Source'!Y166&gt;=4,"A",IF('Data Source'!Y166&gt;=3.5,"A-",IF('Data Source'!Y166&gt;=3,"B",IF('Data Source'!Y166&gt;=2,"C",IF('Data Source'!Y166&gt;=1,"D","F")))))),"")</f>
        <v/>
      </c>
      <c r="H166" s="3">
        <f>IF(AND('Data Source'!B166&lt;&gt;"",'Data Source'!S166="A+"),IF('Data Source'!Z166&gt;=5,"A+",IF('Data Source'!Z166&gt;=4,"A",IF('Data Source'!Z166&gt;=3.5,"A-",IF('Data Source'!Z166&gt;=3,"B",IF('Data Source'!Z166&gt;=2,"C",IF('Data Source'!Z166&gt;=1,"D","F")))))),"")</f>
        <v/>
      </c>
      <c r="I166" s="3">
        <f>IF(AND('Data Source'!B166&lt;&gt;"",'Data Source'!S166="A+"),IF('Data Source'!AA166&gt;=5,"A+",IF('Data Source'!AA166&gt;=4,"A",IF('Data Source'!AA166&gt;=3.5,"A-",IF('Data Source'!AA166&gt;=3,"B",IF('Data Source'!AA166&gt;=2,"C",IF('Data Source'!AA166&gt;=1,"D","F")))))),"")</f>
        <v/>
      </c>
      <c r="J166" s="3">
        <f>IF(AND('Data Source'!B166&lt;&gt;"",'Data Source'!S166="A+"),IF('Data Source'!AB166&gt;=5,"A+",IF('Data Source'!AB166&gt;=4,"A",IF('Data Source'!AB166&gt;=3.5,"A-",IF('Data Source'!AB166&gt;=3,"B",IF('Data Source'!AB166&gt;=2,"C",IF('Data Source'!AB166&gt;=1,"D","F")))))),"")</f>
        <v/>
      </c>
      <c r="K166" s="3">
        <f>IF(AND('Data Source'!B166&lt;&gt;"",'Data Source'!S166="A+"),IF('Data Source'!AC166&gt;=5,"A+",IF('Data Source'!AC166&gt;=4,"A",IF('Data Source'!AC166&gt;=3.5,"A-",IF('Data Source'!AC166&gt;=3,"B",IF('Data Source'!AC166&gt;=2,"C",IF('Data Source'!AC166&gt;=1,"D","F")))))),"")</f>
        <v/>
      </c>
      <c r="L166" s="3">
        <f>IF(AND('Data Source'!B166&lt;&gt;"",'Data Source'!S166="A+"),IF('Data Source'!AD166&gt;=5,"A+",IF('Data Source'!AD166&gt;=4,"A",IF('Data Source'!AD166&gt;=3.5,"A-",IF('Data Source'!AD166&gt;=3,"B",IF('Data Source'!AD166&gt;=2,"C",IF('Data Source'!AD166&gt;=1,"D","F")))))),"")</f>
        <v/>
      </c>
      <c r="M166" s="3">
        <f>IF(AND('Data Source'!B166&lt;&gt;"",'Data Source'!S166="A+"),IF('Data Source'!AE166&gt;=5,"A+",IF('Data Source'!AE166&gt;=4,"A",IF('Data Source'!AE166&gt;=3.5,"A-",IF('Data Source'!AE166&gt;=3,"B",IF('Data Source'!AE166&gt;=2,"C",IF('Data Source'!AE166&gt;=1,"D","F")))))),"")</f>
        <v/>
      </c>
      <c r="N166" s="3">
        <f>IF(AND('Data Source'!B166&lt;&gt;"",'Data Source'!S166="A+"),IF('Data Source'!AF166&gt;=5,"A+",IF('Data Source'!AF166&gt;=4,"A",IF('Data Source'!AF166&gt;=3.5,"A-",IF('Data Source'!AF166&gt;=3,"B",IF('Data Source'!AF166&gt;=2,"C",IF('Data Source'!AF166&gt;=1,"D","F")))))),"")</f>
        <v/>
      </c>
      <c r="O166" s="3">
        <f>IF(AND('Data Source'!B166&lt;&gt;"",'Data Source'!S166="A+"),IF('Data Source'!AG166&gt;=5,"A+",IF('Data Source'!AG166&gt;=4,"A",IF('Data Source'!AG166&gt;=3.5,"A-",IF('Data Source'!AG166&gt;=3,"B",IF('Data Source'!AG166&gt;=2,"C",IF('Data Source'!AG166&gt;=1,"D","F")))))),"")</f>
        <v/>
      </c>
      <c r="P166" s="5">
        <f>IF(AND('Data Source'!B166&lt;&gt;"",'Data Source'!S166="A+"),'Data Source'!R166,"")</f>
        <v/>
      </c>
      <c r="Q166" s="3">
        <f>IF(AND('Data Source'!B166&lt;&gt;"",'Data Source'!S166="A+"),'Data Source'!S166,"")</f>
        <v/>
      </c>
    </row>
    <row r="167">
      <c r="A167" s="3">
        <f>IF(AND('Data Source'!B167&lt;&gt;"",'Data Source'!S167="A+"),COUNTIF('Data Source'!$S$3:S167,"A+"),"")</f>
        <v/>
      </c>
      <c r="B167">
        <f>IF(AND('Data Source'!B167&lt;&gt;"",'Data Source'!S167="A+"),'Data Source'!B167,"")</f>
        <v/>
      </c>
      <c r="C167" s="3">
        <f>IF(AND('Data Source'!B167&lt;&gt;"",'Data Source'!S167="A+"),IF('Data Source'!U167&gt;=5,"A+",IF('Data Source'!U167&gt;=4,"A",IF('Data Source'!U167&gt;=3.5,"A-",IF('Data Source'!U167&gt;=3,"B",IF('Data Source'!U167&gt;=2,"C",IF('Data Source'!U167&gt;=1,"D","F")))))),"")</f>
        <v/>
      </c>
      <c r="D167" s="3">
        <f>IF(AND('Data Source'!B167&lt;&gt;"",'Data Source'!S167="A+"),IF('Data Source'!V167&gt;=5,"A+",IF('Data Source'!V167&gt;=4,"A",IF('Data Source'!V167&gt;=3.5,"A-",IF('Data Source'!V167&gt;=3,"B",IF('Data Source'!V167&gt;=2,"C",IF('Data Source'!V167&gt;=1,"D","F")))))),"")</f>
        <v/>
      </c>
      <c r="E167" s="3">
        <f>IF(AND('Data Source'!B167&lt;&gt;"",'Data Source'!S167="A+"),IF('Data Source'!W167&gt;=5,"A+",IF('Data Source'!W167&gt;=4,"A",IF('Data Source'!W167&gt;=3.5,"A-",IF('Data Source'!W167&gt;=3,"B",IF('Data Source'!W167&gt;=2,"C",IF('Data Source'!W167&gt;=1,"D","F")))))),"")</f>
        <v/>
      </c>
      <c r="F167" s="3">
        <f>IF(AND('Data Source'!B167&lt;&gt;"",'Data Source'!S167="A+"),IF('Data Source'!X167&gt;=5,"A+",IF('Data Source'!X167&gt;=4,"A",IF('Data Source'!X167&gt;=3.5,"A-",IF('Data Source'!X167&gt;=3,"B",IF('Data Source'!X167&gt;=2,"C",IF('Data Source'!X167&gt;=1,"D","F")))))),"")</f>
        <v/>
      </c>
      <c r="G167" s="3">
        <f>IF(AND('Data Source'!B167&lt;&gt;"",'Data Source'!S167="A+"),IF('Data Source'!Y167&gt;=5,"A+",IF('Data Source'!Y167&gt;=4,"A",IF('Data Source'!Y167&gt;=3.5,"A-",IF('Data Source'!Y167&gt;=3,"B",IF('Data Source'!Y167&gt;=2,"C",IF('Data Source'!Y167&gt;=1,"D","F")))))),"")</f>
        <v/>
      </c>
      <c r="H167" s="3">
        <f>IF(AND('Data Source'!B167&lt;&gt;"",'Data Source'!S167="A+"),IF('Data Source'!Z167&gt;=5,"A+",IF('Data Source'!Z167&gt;=4,"A",IF('Data Source'!Z167&gt;=3.5,"A-",IF('Data Source'!Z167&gt;=3,"B",IF('Data Source'!Z167&gt;=2,"C",IF('Data Source'!Z167&gt;=1,"D","F")))))),"")</f>
        <v/>
      </c>
      <c r="I167" s="3">
        <f>IF(AND('Data Source'!B167&lt;&gt;"",'Data Source'!S167="A+"),IF('Data Source'!AA167&gt;=5,"A+",IF('Data Source'!AA167&gt;=4,"A",IF('Data Source'!AA167&gt;=3.5,"A-",IF('Data Source'!AA167&gt;=3,"B",IF('Data Source'!AA167&gt;=2,"C",IF('Data Source'!AA167&gt;=1,"D","F")))))),"")</f>
        <v/>
      </c>
      <c r="J167" s="3">
        <f>IF(AND('Data Source'!B167&lt;&gt;"",'Data Source'!S167="A+"),IF('Data Source'!AB167&gt;=5,"A+",IF('Data Source'!AB167&gt;=4,"A",IF('Data Source'!AB167&gt;=3.5,"A-",IF('Data Source'!AB167&gt;=3,"B",IF('Data Source'!AB167&gt;=2,"C",IF('Data Source'!AB167&gt;=1,"D","F")))))),"")</f>
        <v/>
      </c>
      <c r="K167" s="3">
        <f>IF(AND('Data Source'!B167&lt;&gt;"",'Data Source'!S167="A+"),IF('Data Source'!AC167&gt;=5,"A+",IF('Data Source'!AC167&gt;=4,"A",IF('Data Source'!AC167&gt;=3.5,"A-",IF('Data Source'!AC167&gt;=3,"B",IF('Data Source'!AC167&gt;=2,"C",IF('Data Source'!AC167&gt;=1,"D","F")))))),"")</f>
        <v/>
      </c>
      <c r="L167" s="3">
        <f>IF(AND('Data Source'!B167&lt;&gt;"",'Data Source'!S167="A+"),IF('Data Source'!AD167&gt;=5,"A+",IF('Data Source'!AD167&gt;=4,"A",IF('Data Source'!AD167&gt;=3.5,"A-",IF('Data Source'!AD167&gt;=3,"B",IF('Data Source'!AD167&gt;=2,"C",IF('Data Source'!AD167&gt;=1,"D","F")))))),"")</f>
        <v/>
      </c>
      <c r="M167" s="3">
        <f>IF(AND('Data Source'!B167&lt;&gt;"",'Data Source'!S167="A+"),IF('Data Source'!AE167&gt;=5,"A+",IF('Data Source'!AE167&gt;=4,"A",IF('Data Source'!AE167&gt;=3.5,"A-",IF('Data Source'!AE167&gt;=3,"B",IF('Data Source'!AE167&gt;=2,"C",IF('Data Source'!AE167&gt;=1,"D","F")))))),"")</f>
        <v/>
      </c>
      <c r="N167" s="3">
        <f>IF(AND('Data Source'!B167&lt;&gt;"",'Data Source'!S167="A+"),IF('Data Source'!AF167&gt;=5,"A+",IF('Data Source'!AF167&gt;=4,"A",IF('Data Source'!AF167&gt;=3.5,"A-",IF('Data Source'!AF167&gt;=3,"B",IF('Data Source'!AF167&gt;=2,"C",IF('Data Source'!AF167&gt;=1,"D","F")))))),"")</f>
        <v/>
      </c>
      <c r="O167" s="3">
        <f>IF(AND('Data Source'!B167&lt;&gt;"",'Data Source'!S167="A+"),IF('Data Source'!AG167&gt;=5,"A+",IF('Data Source'!AG167&gt;=4,"A",IF('Data Source'!AG167&gt;=3.5,"A-",IF('Data Source'!AG167&gt;=3,"B",IF('Data Source'!AG167&gt;=2,"C",IF('Data Source'!AG167&gt;=1,"D","F")))))),"")</f>
        <v/>
      </c>
      <c r="P167" s="5">
        <f>IF(AND('Data Source'!B167&lt;&gt;"",'Data Source'!S167="A+"),'Data Source'!R167,"")</f>
        <v/>
      </c>
      <c r="Q167" s="3">
        <f>IF(AND('Data Source'!B167&lt;&gt;"",'Data Source'!S167="A+"),'Data Source'!S167,"")</f>
        <v/>
      </c>
    </row>
    <row r="168">
      <c r="A168" s="3">
        <f>IF(AND('Data Source'!B168&lt;&gt;"",'Data Source'!S168="A+"),COUNTIF('Data Source'!$S$3:S168,"A+"),"")</f>
        <v/>
      </c>
      <c r="B168">
        <f>IF(AND('Data Source'!B168&lt;&gt;"",'Data Source'!S168="A+"),'Data Source'!B168,"")</f>
        <v/>
      </c>
      <c r="C168" s="3">
        <f>IF(AND('Data Source'!B168&lt;&gt;"",'Data Source'!S168="A+"),IF('Data Source'!U168&gt;=5,"A+",IF('Data Source'!U168&gt;=4,"A",IF('Data Source'!U168&gt;=3.5,"A-",IF('Data Source'!U168&gt;=3,"B",IF('Data Source'!U168&gt;=2,"C",IF('Data Source'!U168&gt;=1,"D","F")))))),"")</f>
        <v/>
      </c>
      <c r="D168" s="3">
        <f>IF(AND('Data Source'!B168&lt;&gt;"",'Data Source'!S168="A+"),IF('Data Source'!V168&gt;=5,"A+",IF('Data Source'!V168&gt;=4,"A",IF('Data Source'!V168&gt;=3.5,"A-",IF('Data Source'!V168&gt;=3,"B",IF('Data Source'!V168&gt;=2,"C",IF('Data Source'!V168&gt;=1,"D","F")))))),"")</f>
        <v/>
      </c>
      <c r="E168" s="3">
        <f>IF(AND('Data Source'!B168&lt;&gt;"",'Data Source'!S168="A+"),IF('Data Source'!W168&gt;=5,"A+",IF('Data Source'!W168&gt;=4,"A",IF('Data Source'!W168&gt;=3.5,"A-",IF('Data Source'!W168&gt;=3,"B",IF('Data Source'!W168&gt;=2,"C",IF('Data Source'!W168&gt;=1,"D","F")))))),"")</f>
        <v/>
      </c>
      <c r="F168" s="3">
        <f>IF(AND('Data Source'!B168&lt;&gt;"",'Data Source'!S168="A+"),IF('Data Source'!X168&gt;=5,"A+",IF('Data Source'!X168&gt;=4,"A",IF('Data Source'!X168&gt;=3.5,"A-",IF('Data Source'!X168&gt;=3,"B",IF('Data Source'!X168&gt;=2,"C",IF('Data Source'!X168&gt;=1,"D","F")))))),"")</f>
        <v/>
      </c>
      <c r="G168" s="3">
        <f>IF(AND('Data Source'!B168&lt;&gt;"",'Data Source'!S168="A+"),IF('Data Source'!Y168&gt;=5,"A+",IF('Data Source'!Y168&gt;=4,"A",IF('Data Source'!Y168&gt;=3.5,"A-",IF('Data Source'!Y168&gt;=3,"B",IF('Data Source'!Y168&gt;=2,"C",IF('Data Source'!Y168&gt;=1,"D","F")))))),"")</f>
        <v/>
      </c>
      <c r="H168" s="3">
        <f>IF(AND('Data Source'!B168&lt;&gt;"",'Data Source'!S168="A+"),IF('Data Source'!Z168&gt;=5,"A+",IF('Data Source'!Z168&gt;=4,"A",IF('Data Source'!Z168&gt;=3.5,"A-",IF('Data Source'!Z168&gt;=3,"B",IF('Data Source'!Z168&gt;=2,"C",IF('Data Source'!Z168&gt;=1,"D","F")))))),"")</f>
        <v/>
      </c>
      <c r="I168" s="3">
        <f>IF(AND('Data Source'!B168&lt;&gt;"",'Data Source'!S168="A+"),IF('Data Source'!AA168&gt;=5,"A+",IF('Data Source'!AA168&gt;=4,"A",IF('Data Source'!AA168&gt;=3.5,"A-",IF('Data Source'!AA168&gt;=3,"B",IF('Data Source'!AA168&gt;=2,"C",IF('Data Source'!AA168&gt;=1,"D","F")))))),"")</f>
        <v/>
      </c>
      <c r="J168" s="3">
        <f>IF(AND('Data Source'!B168&lt;&gt;"",'Data Source'!S168="A+"),IF('Data Source'!AB168&gt;=5,"A+",IF('Data Source'!AB168&gt;=4,"A",IF('Data Source'!AB168&gt;=3.5,"A-",IF('Data Source'!AB168&gt;=3,"B",IF('Data Source'!AB168&gt;=2,"C",IF('Data Source'!AB168&gt;=1,"D","F")))))),"")</f>
        <v/>
      </c>
      <c r="K168" s="3">
        <f>IF(AND('Data Source'!B168&lt;&gt;"",'Data Source'!S168="A+"),IF('Data Source'!AC168&gt;=5,"A+",IF('Data Source'!AC168&gt;=4,"A",IF('Data Source'!AC168&gt;=3.5,"A-",IF('Data Source'!AC168&gt;=3,"B",IF('Data Source'!AC168&gt;=2,"C",IF('Data Source'!AC168&gt;=1,"D","F")))))),"")</f>
        <v/>
      </c>
      <c r="L168" s="3">
        <f>IF(AND('Data Source'!B168&lt;&gt;"",'Data Source'!S168="A+"),IF('Data Source'!AD168&gt;=5,"A+",IF('Data Source'!AD168&gt;=4,"A",IF('Data Source'!AD168&gt;=3.5,"A-",IF('Data Source'!AD168&gt;=3,"B",IF('Data Source'!AD168&gt;=2,"C",IF('Data Source'!AD168&gt;=1,"D","F")))))),"")</f>
        <v/>
      </c>
      <c r="M168" s="3">
        <f>IF(AND('Data Source'!B168&lt;&gt;"",'Data Source'!S168="A+"),IF('Data Source'!AE168&gt;=5,"A+",IF('Data Source'!AE168&gt;=4,"A",IF('Data Source'!AE168&gt;=3.5,"A-",IF('Data Source'!AE168&gt;=3,"B",IF('Data Source'!AE168&gt;=2,"C",IF('Data Source'!AE168&gt;=1,"D","F")))))),"")</f>
        <v/>
      </c>
      <c r="N168" s="3">
        <f>IF(AND('Data Source'!B168&lt;&gt;"",'Data Source'!S168="A+"),IF('Data Source'!AF168&gt;=5,"A+",IF('Data Source'!AF168&gt;=4,"A",IF('Data Source'!AF168&gt;=3.5,"A-",IF('Data Source'!AF168&gt;=3,"B",IF('Data Source'!AF168&gt;=2,"C",IF('Data Source'!AF168&gt;=1,"D","F")))))),"")</f>
        <v/>
      </c>
      <c r="O168" s="3">
        <f>IF(AND('Data Source'!B168&lt;&gt;"",'Data Source'!S168="A+"),IF('Data Source'!AG168&gt;=5,"A+",IF('Data Source'!AG168&gt;=4,"A",IF('Data Source'!AG168&gt;=3.5,"A-",IF('Data Source'!AG168&gt;=3,"B",IF('Data Source'!AG168&gt;=2,"C",IF('Data Source'!AG168&gt;=1,"D","F")))))),"")</f>
        <v/>
      </c>
      <c r="P168" s="5">
        <f>IF(AND('Data Source'!B168&lt;&gt;"",'Data Source'!S168="A+"),'Data Source'!R168,"")</f>
        <v/>
      </c>
      <c r="Q168" s="3">
        <f>IF(AND('Data Source'!B168&lt;&gt;"",'Data Source'!S168="A+"),'Data Source'!S168,"")</f>
        <v/>
      </c>
    </row>
    <row r="169">
      <c r="A169" s="3">
        <f>IF(AND('Data Source'!B169&lt;&gt;"",'Data Source'!S169="A+"),COUNTIF('Data Source'!$S$3:S169,"A+"),"")</f>
        <v/>
      </c>
      <c r="B169">
        <f>IF(AND('Data Source'!B169&lt;&gt;"",'Data Source'!S169="A+"),'Data Source'!B169,"")</f>
        <v/>
      </c>
      <c r="C169" s="3">
        <f>IF(AND('Data Source'!B169&lt;&gt;"",'Data Source'!S169="A+"),IF('Data Source'!U169&gt;=5,"A+",IF('Data Source'!U169&gt;=4,"A",IF('Data Source'!U169&gt;=3.5,"A-",IF('Data Source'!U169&gt;=3,"B",IF('Data Source'!U169&gt;=2,"C",IF('Data Source'!U169&gt;=1,"D","F")))))),"")</f>
        <v/>
      </c>
      <c r="D169" s="3">
        <f>IF(AND('Data Source'!B169&lt;&gt;"",'Data Source'!S169="A+"),IF('Data Source'!V169&gt;=5,"A+",IF('Data Source'!V169&gt;=4,"A",IF('Data Source'!V169&gt;=3.5,"A-",IF('Data Source'!V169&gt;=3,"B",IF('Data Source'!V169&gt;=2,"C",IF('Data Source'!V169&gt;=1,"D","F")))))),"")</f>
        <v/>
      </c>
      <c r="E169" s="3">
        <f>IF(AND('Data Source'!B169&lt;&gt;"",'Data Source'!S169="A+"),IF('Data Source'!W169&gt;=5,"A+",IF('Data Source'!W169&gt;=4,"A",IF('Data Source'!W169&gt;=3.5,"A-",IF('Data Source'!W169&gt;=3,"B",IF('Data Source'!W169&gt;=2,"C",IF('Data Source'!W169&gt;=1,"D","F")))))),"")</f>
        <v/>
      </c>
      <c r="F169" s="3">
        <f>IF(AND('Data Source'!B169&lt;&gt;"",'Data Source'!S169="A+"),IF('Data Source'!X169&gt;=5,"A+",IF('Data Source'!X169&gt;=4,"A",IF('Data Source'!X169&gt;=3.5,"A-",IF('Data Source'!X169&gt;=3,"B",IF('Data Source'!X169&gt;=2,"C",IF('Data Source'!X169&gt;=1,"D","F")))))),"")</f>
        <v/>
      </c>
      <c r="G169" s="3">
        <f>IF(AND('Data Source'!B169&lt;&gt;"",'Data Source'!S169="A+"),IF('Data Source'!Y169&gt;=5,"A+",IF('Data Source'!Y169&gt;=4,"A",IF('Data Source'!Y169&gt;=3.5,"A-",IF('Data Source'!Y169&gt;=3,"B",IF('Data Source'!Y169&gt;=2,"C",IF('Data Source'!Y169&gt;=1,"D","F")))))),"")</f>
        <v/>
      </c>
      <c r="H169" s="3">
        <f>IF(AND('Data Source'!B169&lt;&gt;"",'Data Source'!S169="A+"),IF('Data Source'!Z169&gt;=5,"A+",IF('Data Source'!Z169&gt;=4,"A",IF('Data Source'!Z169&gt;=3.5,"A-",IF('Data Source'!Z169&gt;=3,"B",IF('Data Source'!Z169&gt;=2,"C",IF('Data Source'!Z169&gt;=1,"D","F")))))),"")</f>
        <v/>
      </c>
      <c r="I169" s="3">
        <f>IF(AND('Data Source'!B169&lt;&gt;"",'Data Source'!S169="A+"),IF('Data Source'!AA169&gt;=5,"A+",IF('Data Source'!AA169&gt;=4,"A",IF('Data Source'!AA169&gt;=3.5,"A-",IF('Data Source'!AA169&gt;=3,"B",IF('Data Source'!AA169&gt;=2,"C",IF('Data Source'!AA169&gt;=1,"D","F")))))),"")</f>
        <v/>
      </c>
      <c r="J169" s="3">
        <f>IF(AND('Data Source'!B169&lt;&gt;"",'Data Source'!S169="A+"),IF('Data Source'!AB169&gt;=5,"A+",IF('Data Source'!AB169&gt;=4,"A",IF('Data Source'!AB169&gt;=3.5,"A-",IF('Data Source'!AB169&gt;=3,"B",IF('Data Source'!AB169&gt;=2,"C",IF('Data Source'!AB169&gt;=1,"D","F")))))),"")</f>
        <v/>
      </c>
      <c r="K169" s="3">
        <f>IF(AND('Data Source'!B169&lt;&gt;"",'Data Source'!S169="A+"),IF('Data Source'!AC169&gt;=5,"A+",IF('Data Source'!AC169&gt;=4,"A",IF('Data Source'!AC169&gt;=3.5,"A-",IF('Data Source'!AC169&gt;=3,"B",IF('Data Source'!AC169&gt;=2,"C",IF('Data Source'!AC169&gt;=1,"D","F")))))),"")</f>
        <v/>
      </c>
      <c r="L169" s="3">
        <f>IF(AND('Data Source'!B169&lt;&gt;"",'Data Source'!S169="A+"),IF('Data Source'!AD169&gt;=5,"A+",IF('Data Source'!AD169&gt;=4,"A",IF('Data Source'!AD169&gt;=3.5,"A-",IF('Data Source'!AD169&gt;=3,"B",IF('Data Source'!AD169&gt;=2,"C",IF('Data Source'!AD169&gt;=1,"D","F")))))),"")</f>
        <v/>
      </c>
      <c r="M169" s="3">
        <f>IF(AND('Data Source'!B169&lt;&gt;"",'Data Source'!S169="A+"),IF('Data Source'!AE169&gt;=5,"A+",IF('Data Source'!AE169&gt;=4,"A",IF('Data Source'!AE169&gt;=3.5,"A-",IF('Data Source'!AE169&gt;=3,"B",IF('Data Source'!AE169&gt;=2,"C",IF('Data Source'!AE169&gt;=1,"D","F")))))),"")</f>
        <v/>
      </c>
      <c r="N169" s="3">
        <f>IF(AND('Data Source'!B169&lt;&gt;"",'Data Source'!S169="A+"),IF('Data Source'!AF169&gt;=5,"A+",IF('Data Source'!AF169&gt;=4,"A",IF('Data Source'!AF169&gt;=3.5,"A-",IF('Data Source'!AF169&gt;=3,"B",IF('Data Source'!AF169&gt;=2,"C",IF('Data Source'!AF169&gt;=1,"D","F")))))),"")</f>
        <v/>
      </c>
      <c r="O169" s="3">
        <f>IF(AND('Data Source'!B169&lt;&gt;"",'Data Source'!S169="A+"),IF('Data Source'!AG169&gt;=5,"A+",IF('Data Source'!AG169&gt;=4,"A",IF('Data Source'!AG169&gt;=3.5,"A-",IF('Data Source'!AG169&gt;=3,"B",IF('Data Source'!AG169&gt;=2,"C",IF('Data Source'!AG169&gt;=1,"D","F")))))),"")</f>
        <v/>
      </c>
      <c r="P169" s="5">
        <f>IF(AND('Data Source'!B169&lt;&gt;"",'Data Source'!S169="A+"),'Data Source'!R169,"")</f>
        <v/>
      </c>
      <c r="Q169" s="3">
        <f>IF(AND('Data Source'!B169&lt;&gt;"",'Data Source'!S169="A+"),'Data Source'!S169,"")</f>
        <v/>
      </c>
    </row>
    <row r="170">
      <c r="A170" s="3">
        <f>IF(AND('Data Source'!B170&lt;&gt;"",'Data Source'!S170="A+"),COUNTIF('Data Source'!$S$3:S170,"A+"),"")</f>
        <v/>
      </c>
      <c r="B170">
        <f>IF(AND('Data Source'!B170&lt;&gt;"",'Data Source'!S170="A+"),'Data Source'!B170,"")</f>
        <v/>
      </c>
      <c r="C170" s="3">
        <f>IF(AND('Data Source'!B170&lt;&gt;"",'Data Source'!S170="A+"),IF('Data Source'!U170&gt;=5,"A+",IF('Data Source'!U170&gt;=4,"A",IF('Data Source'!U170&gt;=3.5,"A-",IF('Data Source'!U170&gt;=3,"B",IF('Data Source'!U170&gt;=2,"C",IF('Data Source'!U170&gt;=1,"D","F")))))),"")</f>
        <v/>
      </c>
      <c r="D170" s="3">
        <f>IF(AND('Data Source'!B170&lt;&gt;"",'Data Source'!S170="A+"),IF('Data Source'!V170&gt;=5,"A+",IF('Data Source'!V170&gt;=4,"A",IF('Data Source'!V170&gt;=3.5,"A-",IF('Data Source'!V170&gt;=3,"B",IF('Data Source'!V170&gt;=2,"C",IF('Data Source'!V170&gt;=1,"D","F")))))),"")</f>
        <v/>
      </c>
      <c r="E170" s="3">
        <f>IF(AND('Data Source'!B170&lt;&gt;"",'Data Source'!S170="A+"),IF('Data Source'!W170&gt;=5,"A+",IF('Data Source'!W170&gt;=4,"A",IF('Data Source'!W170&gt;=3.5,"A-",IF('Data Source'!W170&gt;=3,"B",IF('Data Source'!W170&gt;=2,"C",IF('Data Source'!W170&gt;=1,"D","F")))))),"")</f>
        <v/>
      </c>
      <c r="F170" s="3">
        <f>IF(AND('Data Source'!B170&lt;&gt;"",'Data Source'!S170="A+"),IF('Data Source'!X170&gt;=5,"A+",IF('Data Source'!X170&gt;=4,"A",IF('Data Source'!X170&gt;=3.5,"A-",IF('Data Source'!X170&gt;=3,"B",IF('Data Source'!X170&gt;=2,"C",IF('Data Source'!X170&gt;=1,"D","F")))))),"")</f>
        <v/>
      </c>
      <c r="G170" s="3">
        <f>IF(AND('Data Source'!B170&lt;&gt;"",'Data Source'!S170="A+"),IF('Data Source'!Y170&gt;=5,"A+",IF('Data Source'!Y170&gt;=4,"A",IF('Data Source'!Y170&gt;=3.5,"A-",IF('Data Source'!Y170&gt;=3,"B",IF('Data Source'!Y170&gt;=2,"C",IF('Data Source'!Y170&gt;=1,"D","F")))))),"")</f>
        <v/>
      </c>
      <c r="H170" s="3">
        <f>IF(AND('Data Source'!B170&lt;&gt;"",'Data Source'!S170="A+"),IF('Data Source'!Z170&gt;=5,"A+",IF('Data Source'!Z170&gt;=4,"A",IF('Data Source'!Z170&gt;=3.5,"A-",IF('Data Source'!Z170&gt;=3,"B",IF('Data Source'!Z170&gt;=2,"C",IF('Data Source'!Z170&gt;=1,"D","F")))))),"")</f>
        <v/>
      </c>
      <c r="I170" s="3">
        <f>IF(AND('Data Source'!B170&lt;&gt;"",'Data Source'!S170="A+"),IF('Data Source'!AA170&gt;=5,"A+",IF('Data Source'!AA170&gt;=4,"A",IF('Data Source'!AA170&gt;=3.5,"A-",IF('Data Source'!AA170&gt;=3,"B",IF('Data Source'!AA170&gt;=2,"C",IF('Data Source'!AA170&gt;=1,"D","F")))))),"")</f>
        <v/>
      </c>
      <c r="J170" s="3">
        <f>IF(AND('Data Source'!B170&lt;&gt;"",'Data Source'!S170="A+"),IF('Data Source'!AB170&gt;=5,"A+",IF('Data Source'!AB170&gt;=4,"A",IF('Data Source'!AB170&gt;=3.5,"A-",IF('Data Source'!AB170&gt;=3,"B",IF('Data Source'!AB170&gt;=2,"C",IF('Data Source'!AB170&gt;=1,"D","F")))))),"")</f>
        <v/>
      </c>
      <c r="K170" s="3">
        <f>IF(AND('Data Source'!B170&lt;&gt;"",'Data Source'!S170="A+"),IF('Data Source'!AC170&gt;=5,"A+",IF('Data Source'!AC170&gt;=4,"A",IF('Data Source'!AC170&gt;=3.5,"A-",IF('Data Source'!AC170&gt;=3,"B",IF('Data Source'!AC170&gt;=2,"C",IF('Data Source'!AC170&gt;=1,"D","F")))))),"")</f>
        <v/>
      </c>
      <c r="L170" s="3">
        <f>IF(AND('Data Source'!B170&lt;&gt;"",'Data Source'!S170="A+"),IF('Data Source'!AD170&gt;=5,"A+",IF('Data Source'!AD170&gt;=4,"A",IF('Data Source'!AD170&gt;=3.5,"A-",IF('Data Source'!AD170&gt;=3,"B",IF('Data Source'!AD170&gt;=2,"C",IF('Data Source'!AD170&gt;=1,"D","F")))))),"")</f>
        <v/>
      </c>
      <c r="M170" s="3">
        <f>IF(AND('Data Source'!B170&lt;&gt;"",'Data Source'!S170="A+"),IF('Data Source'!AE170&gt;=5,"A+",IF('Data Source'!AE170&gt;=4,"A",IF('Data Source'!AE170&gt;=3.5,"A-",IF('Data Source'!AE170&gt;=3,"B",IF('Data Source'!AE170&gt;=2,"C",IF('Data Source'!AE170&gt;=1,"D","F")))))),"")</f>
        <v/>
      </c>
      <c r="N170" s="3">
        <f>IF(AND('Data Source'!B170&lt;&gt;"",'Data Source'!S170="A+"),IF('Data Source'!AF170&gt;=5,"A+",IF('Data Source'!AF170&gt;=4,"A",IF('Data Source'!AF170&gt;=3.5,"A-",IF('Data Source'!AF170&gt;=3,"B",IF('Data Source'!AF170&gt;=2,"C",IF('Data Source'!AF170&gt;=1,"D","F")))))),"")</f>
        <v/>
      </c>
      <c r="O170" s="3">
        <f>IF(AND('Data Source'!B170&lt;&gt;"",'Data Source'!S170="A+"),IF('Data Source'!AG170&gt;=5,"A+",IF('Data Source'!AG170&gt;=4,"A",IF('Data Source'!AG170&gt;=3.5,"A-",IF('Data Source'!AG170&gt;=3,"B",IF('Data Source'!AG170&gt;=2,"C",IF('Data Source'!AG170&gt;=1,"D","F")))))),"")</f>
        <v/>
      </c>
      <c r="P170" s="5">
        <f>IF(AND('Data Source'!B170&lt;&gt;"",'Data Source'!S170="A+"),'Data Source'!R170,"")</f>
        <v/>
      </c>
      <c r="Q170" s="3">
        <f>IF(AND('Data Source'!B170&lt;&gt;"",'Data Source'!S170="A+"),'Data Source'!S170,"")</f>
        <v/>
      </c>
    </row>
    <row r="171">
      <c r="A171" s="3">
        <f>IF(AND('Data Source'!B171&lt;&gt;"",'Data Source'!S171="A+"),COUNTIF('Data Source'!$S$3:S171,"A+"),"")</f>
        <v/>
      </c>
      <c r="B171">
        <f>IF(AND('Data Source'!B171&lt;&gt;"",'Data Source'!S171="A+"),'Data Source'!B171,"")</f>
        <v/>
      </c>
      <c r="C171" s="3">
        <f>IF(AND('Data Source'!B171&lt;&gt;"",'Data Source'!S171="A+"),IF('Data Source'!U171&gt;=5,"A+",IF('Data Source'!U171&gt;=4,"A",IF('Data Source'!U171&gt;=3.5,"A-",IF('Data Source'!U171&gt;=3,"B",IF('Data Source'!U171&gt;=2,"C",IF('Data Source'!U171&gt;=1,"D","F")))))),"")</f>
        <v/>
      </c>
      <c r="D171" s="3">
        <f>IF(AND('Data Source'!B171&lt;&gt;"",'Data Source'!S171="A+"),IF('Data Source'!V171&gt;=5,"A+",IF('Data Source'!V171&gt;=4,"A",IF('Data Source'!V171&gt;=3.5,"A-",IF('Data Source'!V171&gt;=3,"B",IF('Data Source'!V171&gt;=2,"C",IF('Data Source'!V171&gt;=1,"D","F")))))),"")</f>
        <v/>
      </c>
      <c r="E171" s="3">
        <f>IF(AND('Data Source'!B171&lt;&gt;"",'Data Source'!S171="A+"),IF('Data Source'!W171&gt;=5,"A+",IF('Data Source'!W171&gt;=4,"A",IF('Data Source'!W171&gt;=3.5,"A-",IF('Data Source'!W171&gt;=3,"B",IF('Data Source'!W171&gt;=2,"C",IF('Data Source'!W171&gt;=1,"D","F")))))),"")</f>
        <v/>
      </c>
      <c r="F171" s="3">
        <f>IF(AND('Data Source'!B171&lt;&gt;"",'Data Source'!S171="A+"),IF('Data Source'!X171&gt;=5,"A+",IF('Data Source'!X171&gt;=4,"A",IF('Data Source'!X171&gt;=3.5,"A-",IF('Data Source'!X171&gt;=3,"B",IF('Data Source'!X171&gt;=2,"C",IF('Data Source'!X171&gt;=1,"D","F")))))),"")</f>
        <v/>
      </c>
      <c r="G171" s="3">
        <f>IF(AND('Data Source'!B171&lt;&gt;"",'Data Source'!S171="A+"),IF('Data Source'!Y171&gt;=5,"A+",IF('Data Source'!Y171&gt;=4,"A",IF('Data Source'!Y171&gt;=3.5,"A-",IF('Data Source'!Y171&gt;=3,"B",IF('Data Source'!Y171&gt;=2,"C",IF('Data Source'!Y171&gt;=1,"D","F")))))),"")</f>
        <v/>
      </c>
      <c r="H171" s="3">
        <f>IF(AND('Data Source'!B171&lt;&gt;"",'Data Source'!S171="A+"),IF('Data Source'!Z171&gt;=5,"A+",IF('Data Source'!Z171&gt;=4,"A",IF('Data Source'!Z171&gt;=3.5,"A-",IF('Data Source'!Z171&gt;=3,"B",IF('Data Source'!Z171&gt;=2,"C",IF('Data Source'!Z171&gt;=1,"D","F")))))),"")</f>
        <v/>
      </c>
      <c r="I171" s="3">
        <f>IF(AND('Data Source'!B171&lt;&gt;"",'Data Source'!S171="A+"),IF('Data Source'!AA171&gt;=5,"A+",IF('Data Source'!AA171&gt;=4,"A",IF('Data Source'!AA171&gt;=3.5,"A-",IF('Data Source'!AA171&gt;=3,"B",IF('Data Source'!AA171&gt;=2,"C",IF('Data Source'!AA171&gt;=1,"D","F")))))),"")</f>
        <v/>
      </c>
      <c r="J171" s="3">
        <f>IF(AND('Data Source'!B171&lt;&gt;"",'Data Source'!S171="A+"),IF('Data Source'!AB171&gt;=5,"A+",IF('Data Source'!AB171&gt;=4,"A",IF('Data Source'!AB171&gt;=3.5,"A-",IF('Data Source'!AB171&gt;=3,"B",IF('Data Source'!AB171&gt;=2,"C",IF('Data Source'!AB171&gt;=1,"D","F")))))),"")</f>
        <v/>
      </c>
      <c r="K171" s="3">
        <f>IF(AND('Data Source'!B171&lt;&gt;"",'Data Source'!S171="A+"),IF('Data Source'!AC171&gt;=5,"A+",IF('Data Source'!AC171&gt;=4,"A",IF('Data Source'!AC171&gt;=3.5,"A-",IF('Data Source'!AC171&gt;=3,"B",IF('Data Source'!AC171&gt;=2,"C",IF('Data Source'!AC171&gt;=1,"D","F")))))),"")</f>
        <v/>
      </c>
      <c r="L171" s="3">
        <f>IF(AND('Data Source'!B171&lt;&gt;"",'Data Source'!S171="A+"),IF('Data Source'!AD171&gt;=5,"A+",IF('Data Source'!AD171&gt;=4,"A",IF('Data Source'!AD171&gt;=3.5,"A-",IF('Data Source'!AD171&gt;=3,"B",IF('Data Source'!AD171&gt;=2,"C",IF('Data Source'!AD171&gt;=1,"D","F")))))),"")</f>
        <v/>
      </c>
      <c r="M171" s="3">
        <f>IF(AND('Data Source'!B171&lt;&gt;"",'Data Source'!S171="A+"),IF('Data Source'!AE171&gt;=5,"A+",IF('Data Source'!AE171&gt;=4,"A",IF('Data Source'!AE171&gt;=3.5,"A-",IF('Data Source'!AE171&gt;=3,"B",IF('Data Source'!AE171&gt;=2,"C",IF('Data Source'!AE171&gt;=1,"D","F")))))),"")</f>
        <v/>
      </c>
      <c r="N171" s="3">
        <f>IF(AND('Data Source'!B171&lt;&gt;"",'Data Source'!S171="A+"),IF('Data Source'!AF171&gt;=5,"A+",IF('Data Source'!AF171&gt;=4,"A",IF('Data Source'!AF171&gt;=3.5,"A-",IF('Data Source'!AF171&gt;=3,"B",IF('Data Source'!AF171&gt;=2,"C",IF('Data Source'!AF171&gt;=1,"D","F")))))),"")</f>
        <v/>
      </c>
      <c r="O171" s="3">
        <f>IF(AND('Data Source'!B171&lt;&gt;"",'Data Source'!S171="A+"),IF('Data Source'!AG171&gt;=5,"A+",IF('Data Source'!AG171&gt;=4,"A",IF('Data Source'!AG171&gt;=3.5,"A-",IF('Data Source'!AG171&gt;=3,"B",IF('Data Source'!AG171&gt;=2,"C",IF('Data Source'!AG171&gt;=1,"D","F")))))),"")</f>
        <v/>
      </c>
      <c r="P171" s="5">
        <f>IF(AND('Data Source'!B171&lt;&gt;"",'Data Source'!S171="A+"),'Data Source'!R171,"")</f>
        <v/>
      </c>
      <c r="Q171" s="3">
        <f>IF(AND('Data Source'!B171&lt;&gt;"",'Data Source'!S171="A+"),'Data Source'!S171,"")</f>
        <v/>
      </c>
    </row>
    <row r="172">
      <c r="A172" s="3">
        <f>IF(AND('Data Source'!B172&lt;&gt;"",'Data Source'!S172="A+"),COUNTIF('Data Source'!$S$3:S172,"A+"),"")</f>
        <v/>
      </c>
      <c r="B172">
        <f>IF(AND('Data Source'!B172&lt;&gt;"",'Data Source'!S172="A+"),'Data Source'!B172,"")</f>
        <v/>
      </c>
      <c r="C172" s="3">
        <f>IF(AND('Data Source'!B172&lt;&gt;"",'Data Source'!S172="A+"),IF('Data Source'!U172&gt;=5,"A+",IF('Data Source'!U172&gt;=4,"A",IF('Data Source'!U172&gt;=3.5,"A-",IF('Data Source'!U172&gt;=3,"B",IF('Data Source'!U172&gt;=2,"C",IF('Data Source'!U172&gt;=1,"D","F")))))),"")</f>
        <v/>
      </c>
      <c r="D172" s="3">
        <f>IF(AND('Data Source'!B172&lt;&gt;"",'Data Source'!S172="A+"),IF('Data Source'!V172&gt;=5,"A+",IF('Data Source'!V172&gt;=4,"A",IF('Data Source'!V172&gt;=3.5,"A-",IF('Data Source'!V172&gt;=3,"B",IF('Data Source'!V172&gt;=2,"C",IF('Data Source'!V172&gt;=1,"D","F")))))),"")</f>
        <v/>
      </c>
      <c r="E172" s="3">
        <f>IF(AND('Data Source'!B172&lt;&gt;"",'Data Source'!S172="A+"),IF('Data Source'!W172&gt;=5,"A+",IF('Data Source'!W172&gt;=4,"A",IF('Data Source'!W172&gt;=3.5,"A-",IF('Data Source'!W172&gt;=3,"B",IF('Data Source'!W172&gt;=2,"C",IF('Data Source'!W172&gt;=1,"D","F")))))),"")</f>
        <v/>
      </c>
      <c r="F172" s="3">
        <f>IF(AND('Data Source'!B172&lt;&gt;"",'Data Source'!S172="A+"),IF('Data Source'!X172&gt;=5,"A+",IF('Data Source'!X172&gt;=4,"A",IF('Data Source'!X172&gt;=3.5,"A-",IF('Data Source'!X172&gt;=3,"B",IF('Data Source'!X172&gt;=2,"C",IF('Data Source'!X172&gt;=1,"D","F")))))),"")</f>
        <v/>
      </c>
      <c r="G172" s="3">
        <f>IF(AND('Data Source'!B172&lt;&gt;"",'Data Source'!S172="A+"),IF('Data Source'!Y172&gt;=5,"A+",IF('Data Source'!Y172&gt;=4,"A",IF('Data Source'!Y172&gt;=3.5,"A-",IF('Data Source'!Y172&gt;=3,"B",IF('Data Source'!Y172&gt;=2,"C",IF('Data Source'!Y172&gt;=1,"D","F")))))),"")</f>
        <v/>
      </c>
      <c r="H172" s="3">
        <f>IF(AND('Data Source'!B172&lt;&gt;"",'Data Source'!S172="A+"),IF('Data Source'!Z172&gt;=5,"A+",IF('Data Source'!Z172&gt;=4,"A",IF('Data Source'!Z172&gt;=3.5,"A-",IF('Data Source'!Z172&gt;=3,"B",IF('Data Source'!Z172&gt;=2,"C",IF('Data Source'!Z172&gt;=1,"D","F")))))),"")</f>
        <v/>
      </c>
      <c r="I172" s="3">
        <f>IF(AND('Data Source'!B172&lt;&gt;"",'Data Source'!S172="A+"),IF('Data Source'!AA172&gt;=5,"A+",IF('Data Source'!AA172&gt;=4,"A",IF('Data Source'!AA172&gt;=3.5,"A-",IF('Data Source'!AA172&gt;=3,"B",IF('Data Source'!AA172&gt;=2,"C",IF('Data Source'!AA172&gt;=1,"D","F")))))),"")</f>
        <v/>
      </c>
      <c r="J172" s="3">
        <f>IF(AND('Data Source'!B172&lt;&gt;"",'Data Source'!S172="A+"),IF('Data Source'!AB172&gt;=5,"A+",IF('Data Source'!AB172&gt;=4,"A",IF('Data Source'!AB172&gt;=3.5,"A-",IF('Data Source'!AB172&gt;=3,"B",IF('Data Source'!AB172&gt;=2,"C",IF('Data Source'!AB172&gt;=1,"D","F")))))),"")</f>
        <v/>
      </c>
      <c r="K172" s="3">
        <f>IF(AND('Data Source'!B172&lt;&gt;"",'Data Source'!S172="A+"),IF('Data Source'!AC172&gt;=5,"A+",IF('Data Source'!AC172&gt;=4,"A",IF('Data Source'!AC172&gt;=3.5,"A-",IF('Data Source'!AC172&gt;=3,"B",IF('Data Source'!AC172&gt;=2,"C",IF('Data Source'!AC172&gt;=1,"D","F")))))),"")</f>
        <v/>
      </c>
      <c r="L172" s="3">
        <f>IF(AND('Data Source'!B172&lt;&gt;"",'Data Source'!S172="A+"),IF('Data Source'!AD172&gt;=5,"A+",IF('Data Source'!AD172&gt;=4,"A",IF('Data Source'!AD172&gt;=3.5,"A-",IF('Data Source'!AD172&gt;=3,"B",IF('Data Source'!AD172&gt;=2,"C",IF('Data Source'!AD172&gt;=1,"D","F")))))),"")</f>
        <v/>
      </c>
      <c r="M172" s="3">
        <f>IF(AND('Data Source'!B172&lt;&gt;"",'Data Source'!S172="A+"),IF('Data Source'!AE172&gt;=5,"A+",IF('Data Source'!AE172&gt;=4,"A",IF('Data Source'!AE172&gt;=3.5,"A-",IF('Data Source'!AE172&gt;=3,"B",IF('Data Source'!AE172&gt;=2,"C",IF('Data Source'!AE172&gt;=1,"D","F")))))),"")</f>
        <v/>
      </c>
      <c r="N172" s="3">
        <f>IF(AND('Data Source'!B172&lt;&gt;"",'Data Source'!S172="A+"),IF('Data Source'!AF172&gt;=5,"A+",IF('Data Source'!AF172&gt;=4,"A",IF('Data Source'!AF172&gt;=3.5,"A-",IF('Data Source'!AF172&gt;=3,"B",IF('Data Source'!AF172&gt;=2,"C",IF('Data Source'!AF172&gt;=1,"D","F")))))),"")</f>
        <v/>
      </c>
      <c r="O172" s="3">
        <f>IF(AND('Data Source'!B172&lt;&gt;"",'Data Source'!S172="A+"),IF('Data Source'!AG172&gt;=5,"A+",IF('Data Source'!AG172&gt;=4,"A",IF('Data Source'!AG172&gt;=3.5,"A-",IF('Data Source'!AG172&gt;=3,"B",IF('Data Source'!AG172&gt;=2,"C",IF('Data Source'!AG172&gt;=1,"D","F")))))),"")</f>
        <v/>
      </c>
      <c r="P172" s="5">
        <f>IF(AND('Data Source'!B172&lt;&gt;"",'Data Source'!S172="A+"),'Data Source'!R172,"")</f>
        <v/>
      </c>
      <c r="Q172" s="3">
        <f>IF(AND('Data Source'!B172&lt;&gt;"",'Data Source'!S172="A+"),'Data Source'!S172,"")</f>
        <v/>
      </c>
    </row>
    <row r="173">
      <c r="A173" s="3">
        <f>IF(AND('Data Source'!B173&lt;&gt;"",'Data Source'!S173="A+"),COUNTIF('Data Source'!$S$3:S173,"A+"),"")</f>
        <v/>
      </c>
      <c r="B173">
        <f>IF(AND('Data Source'!B173&lt;&gt;"",'Data Source'!S173="A+"),'Data Source'!B173,"")</f>
        <v/>
      </c>
      <c r="C173" s="3">
        <f>IF(AND('Data Source'!B173&lt;&gt;"",'Data Source'!S173="A+"),IF('Data Source'!U173&gt;=5,"A+",IF('Data Source'!U173&gt;=4,"A",IF('Data Source'!U173&gt;=3.5,"A-",IF('Data Source'!U173&gt;=3,"B",IF('Data Source'!U173&gt;=2,"C",IF('Data Source'!U173&gt;=1,"D","F")))))),"")</f>
        <v/>
      </c>
      <c r="D173" s="3">
        <f>IF(AND('Data Source'!B173&lt;&gt;"",'Data Source'!S173="A+"),IF('Data Source'!V173&gt;=5,"A+",IF('Data Source'!V173&gt;=4,"A",IF('Data Source'!V173&gt;=3.5,"A-",IF('Data Source'!V173&gt;=3,"B",IF('Data Source'!V173&gt;=2,"C",IF('Data Source'!V173&gt;=1,"D","F")))))),"")</f>
        <v/>
      </c>
      <c r="E173" s="3">
        <f>IF(AND('Data Source'!B173&lt;&gt;"",'Data Source'!S173="A+"),IF('Data Source'!W173&gt;=5,"A+",IF('Data Source'!W173&gt;=4,"A",IF('Data Source'!W173&gt;=3.5,"A-",IF('Data Source'!W173&gt;=3,"B",IF('Data Source'!W173&gt;=2,"C",IF('Data Source'!W173&gt;=1,"D","F")))))),"")</f>
        <v/>
      </c>
      <c r="F173" s="3">
        <f>IF(AND('Data Source'!B173&lt;&gt;"",'Data Source'!S173="A+"),IF('Data Source'!X173&gt;=5,"A+",IF('Data Source'!X173&gt;=4,"A",IF('Data Source'!X173&gt;=3.5,"A-",IF('Data Source'!X173&gt;=3,"B",IF('Data Source'!X173&gt;=2,"C",IF('Data Source'!X173&gt;=1,"D","F")))))),"")</f>
        <v/>
      </c>
      <c r="G173" s="3">
        <f>IF(AND('Data Source'!B173&lt;&gt;"",'Data Source'!S173="A+"),IF('Data Source'!Y173&gt;=5,"A+",IF('Data Source'!Y173&gt;=4,"A",IF('Data Source'!Y173&gt;=3.5,"A-",IF('Data Source'!Y173&gt;=3,"B",IF('Data Source'!Y173&gt;=2,"C",IF('Data Source'!Y173&gt;=1,"D","F")))))),"")</f>
        <v/>
      </c>
      <c r="H173" s="3">
        <f>IF(AND('Data Source'!B173&lt;&gt;"",'Data Source'!S173="A+"),IF('Data Source'!Z173&gt;=5,"A+",IF('Data Source'!Z173&gt;=4,"A",IF('Data Source'!Z173&gt;=3.5,"A-",IF('Data Source'!Z173&gt;=3,"B",IF('Data Source'!Z173&gt;=2,"C",IF('Data Source'!Z173&gt;=1,"D","F")))))),"")</f>
        <v/>
      </c>
      <c r="I173" s="3">
        <f>IF(AND('Data Source'!B173&lt;&gt;"",'Data Source'!S173="A+"),IF('Data Source'!AA173&gt;=5,"A+",IF('Data Source'!AA173&gt;=4,"A",IF('Data Source'!AA173&gt;=3.5,"A-",IF('Data Source'!AA173&gt;=3,"B",IF('Data Source'!AA173&gt;=2,"C",IF('Data Source'!AA173&gt;=1,"D","F")))))),"")</f>
        <v/>
      </c>
      <c r="J173" s="3">
        <f>IF(AND('Data Source'!B173&lt;&gt;"",'Data Source'!S173="A+"),IF('Data Source'!AB173&gt;=5,"A+",IF('Data Source'!AB173&gt;=4,"A",IF('Data Source'!AB173&gt;=3.5,"A-",IF('Data Source'!AB173&gt;=3,"B",IF('Data Source'!AB173&gt;=2,"C",IF('Data Source'!AB173&gt;=1,"D","F")))))),"")</f>
        <v/>
      </c>
      <c r="K173" s="3">
        <f>IF(AND('Data Source'!B173&lt;&gt;"",'Data Source'!S173="A+"),IF('Data Source'!AC173&gt;=5,"A+",IF('Data Source'!AC173&gt;=4,"A",IF('Data Source'!AC173&gt;=3.5,"A-",IF('Data Source'!AC173&gt;=3,"B",IF('Data Source'!AC173&gt;=2,"C",IF('Data Source'!AC173&gt;=1,"D","F")))))),"")</f>
        <v/>
      </c>
      <c r="L173" s="3">
        <f>IF(AND('Data Source'!B173&lt;&gt;"",'Data Source'!S173="A+"),IF('Data Source'!AD173&gt;=5,"A+",IF('Data Source'!AD173&gt;=4,"A",IF('Data Source'!AD173&gt;=3.5,"A-",IF('Data Source'!AD173&gt;=3,"B",IF('Data Source'!AD173&gt;=2,"C",IF('Data Source'!AD173&gt;=1,"D","F")))))),"")</f>
        <v/>
      </c>
      <c r="M173" s="3">
        <f>IF(AND('Data Source'!B173&lt;&gt;"",'Data Source'!S173="A+"),IF('Data Source'!AE173&gt;=5,"A+",IF('Data Source'!AE173&gt;=4,"A",IF('Data Source'!AE173&gt;=3.5,"A-",IF('Data Source'!AE173&gt;=3,"B",IF('Data Source'!AE173&gt;=2,"C",IF('Data Source'!AE173&gt;=1,"D","F")))))),"")</f>
        <v/>
      </c>
      <c r="N173" s="3">
        <f>IF(AND('Data Source'!B173&lt;&gt;"",'Data Source'!S173="A+"),IF('Data Source'!AF173&gt;=5,"A+",IF('Data Source'!AF173&gt;=4,"A",IF('Data Source'!AF173&gt;=3.5,"A-",IF('Data Source'!AF173&gt;=3,"B",IF('Data Source'!AF173&gt;=2,"C",IF('Data Source'!AF173&gt;=1,"D","F")))))),"")</f>
        <v/>
      </c>
      <c r="O173" s="3">
        <f>IF(AND('Data Source'!B173&lt;&gt;"",'Data Source'!S173="A+"),IF('Data Source'!AG173&gt;=5,"A+",IF('Data Source'!AG173&gt;=4,"A",IF('Data Source'!AG173&gt;=3.5,"A-",IF('Data Source'!AG173&gt;=3,"B",IF('Data Source'!AG173&gt;=2,"C",IF('Data Source'!AG173&gt;=1,"D","F")))))),"")</f>
        <v/>
      </c>
      <c r="P173" s="5">
        <f>IF(AND('Data Source'!B173&lt;&gt;"",'Data Source'!S173="A+"),'Data Source'!R173,"")</f>
        <v/>
      </c>
      <c r="Q173" s="3">
        <f>IF(AND('Data Source'!B173&lt;&gt;"",'Data Source'!S173="A+"),'Data Source'!S173,"")</f>
        <v/>
      </c>
    </row>
    <row r="174">
      <c r="A174" s="3">
        <f>IF(AND('Data Source'!B174&lt;&gt;"",'Data Source'!S174="A+"),COUNTIF('Data Source'!$S$3:S174,"A+"),"")</f>
        <v/>
      </c>
      <c r="B174">
        <f>IF(AND('Data Source'!B174&lt;&gt;"",'Data Source'!S174="A+"),'Data Source'!B174,"")</f>
        <v/>
      </c>
      <c r="C174" s="3">
        <f>IF(AND('Data Source'!B174&lt;&gt;"",'Data Source'!S174="A+"),IF('Data Source'!U174&gt;=5,"A+",IF('Data Source'!U174&gt;=4,"A",IF('Data Source'!U174&gt;=3.5,"A-",IF('Data Source'!U174&gt;=3,"B",IF('Data Source'!U174&gt;=2,"C",IF('Data Source'!U174&gt;=1,"D","F")))))),"")</f>
        <v/>
      </c>
      <c r="D174" s="3">
        <f>IF(AND('Data Source'!B174&lt;&gt;"",'Data Source'!S174="A+"),IF('Data Source'!V174&gt;=5,"A+",IF('Data Source'!V174&gt;=4,"A",IF('Data Source'!V174&gt;=3.5,"A-",IF('Data Source'!V174&gt;=3,"B",IF('Data Source'!V174&gt;=2,"C",IF('Data Source'!V174&gt;=1,"D","F")))))),"")</f>
        <v/>
      </c>
      <c r="E174" s="3">
        <f>IF(AND('Data Source'!B174&lt;&gt;"",'Data Source'!S174="A+"),IF('Data Source'!W174&gt;=5,"A+",IF('Data Source'!W174&gt;=4,"A",IF('Data Source'!W174&gt;=3.5,"A-",IF('Data Source'!W174&gt;=3,"B",IF('Data Source'!W174&gt;=2,"C",IF('Data Source'!W174&gt;=1,"D","F")))))),"")</f>
        <v/>
      </c>
      <c r="F174" s="3">
        <f>IF(AND('Data Source'!B174&lt;&gt;"",'Data Source'!S174="A+"),IF('Data Source'!X174&gt;=5,"A+",IF('Data Source'!X174&gt;=4,"A",IF('Data Source'!X174&gt;=3.5,"A-",IF('Data Source'!X174&gt;=3,"B",IF('Data Source'!X174&gt;=2,"C",IF('Data Source'!X174&gt;=1,"D","F")))))),"")</f>
        <v/>
      </c>
      <c r="G174" s="3">
        <f>IF(AND('Data Source'!B174&lt;&gt;"",'Data Source'!S174="A+"),IF('Data Source'!Y174&gt;=5,"A+",IF('Data Source'!Y174&gt;=4,"A",IF('Data Source'!Y174&gt;=3.5,"A-",IF('Data Source'!Y174&gt;=3,"B",IF('Data Source'!Y174&gt;=2,"C",IF('Data Source'!Y174&gt;=1,"D","F")))))),"")</f>
        <v/>
      </c>
      <c r="H174" s="3">
        <f>IF(AND('Data Source'!B174&lt;&gt;"",'Data Source'!S174="A+"),IF('Data Source'!Z174&gt;=5,"A+",IF('Data Source'!Z174&gt;=4,"A",IF('Data Source'!Z174&gt;=3.5,"A-",IF('Data Source'!Z174&gt;=3,"B",IF('Data Source'!Z174&gt;=2,"C",IF('Data Source'!Z174&gt;=1,"D","F")))))),"")</f>
        <v/>
      </c>
      <c r="I174" s="3">
        <f>IF(AND('Data Source'!B174&lt;&gt;"",'Data Source'!S174="A+"),IF('Data Source'!AA174&gt;=5,"A+",IF('Data Source'!AA174&gt;=4,"A",IF('Data Source'!AA174&gt;=3.5,"A-",IF('Data Source'!AA174&gt;=3,"B",IF('Data Source'!AA174&gt;=2,"C",IF('Data Source'!AA174&gt;=1,"D","F")))))),"")</f>
        <v/>
      </c>
      <c r="J174" s="3">
        <f>IF(AND('Data Source'!B174&lt;&gt;"",'Data Source'!S174="A+"),IF('Data Source'!AB174&gt;=5,"A+",IF('Data Source'!AB174&gt;=4,"A",IF('Data Source'!AB174&gt;=3.5,"A-",IF('Data Source'!AB174&gt;=3,"B",IF('Data Source'!AB174&gt;=2,"C",IF('Data Source'!AB174&gt;=1,"D","F")))))),"")</f>
        <v/>
      </c>
      <c r="K174" s="3">
        <f>IF(AND('Data Source'!B174&lt;&gt;"",'Data Source'!S174="A+"),IF('Data Source'!AC174&gt;=5,"A+",IF('Data Source'!AC174&gt;=4,"A",IF('Data Source'!AC174&gt;=3.5,"A-",IF('Data Source'!AC174&gt;=3,"B",IF('Data Source'!AC174&gt;=2,"C",IF('Data Source'!AC174&gt;=1,"D","F")))))),"")</f>
        <v/>
      </c>
      <c r="L174" s="3">
        <f>IF(AND('Data Source'!B174&lt;&gt;"",'Data Source'!S174="A+"),IF('Data Source'!AD174&gt;=5,"A+",IF('Data Source'!AD174&gt;=4,"A",IF('Data Source'!AD174&gt;=3.5,"A-",IF('Data Source'!AD174&gt;=3,"B",IF('Data Source'!AD174&gt;=2,"C",IF('Data Source'!AD174&gt;=1,"D","F")))))),"")</f>
        <v/>
      </c>
      <c r="M174" s="3">
        <f>IF(AND('Data Source'!B174&lt;&gt;"",'Data Source'!S174="A+"),IF('Data Source'!AE174&gt;=5,"A+",IF('Data Source'!AE174&gt;=4,"A",IF('Data Source'!AE174&gt;=3.5,"A-",IF('Data Source'!AE174&gt;=3,"B",IF('Data Source'!AE174&gt;=2,"C",IF('Data Source'!AE174&gt;=1,"D","F")))))),"")</f>
        <v/>
      </c>
      <c r="N174" s="3">
        <f>IF(AND('Data Source'!B174&lt;&gt;"",'Data Source'!S174="A+"),IF('Data Source'!AF174&gt;=5,"A+",IF('Data Source'!AF174&gt;=4,"A",IF('Data Source'!AF174&gt;=3.5,"A-",IF('Data Source'!AF174&gt;=3,"B",IF('Data Source'!AF174&gt;=2,"C",IF('Data Source'!AF174&gt;=1,"D","F")))))),"")</f>
        <v/>
      </c>
      <c r="O174" s="3">
        <f>IF(AND('Data Source'!B174&lt;&gt;"",'Data Source'!S174="A+"),IF('Data Source'!AG174&gt;=5,"A+",IF('Data Source'!AG174&gt;=4,"A",IF('Data Source'!AG174&gt;=3.5,"A-",IF('Data Source'!AG174&gt;=3,"B",IF('Data Source'!AG174&gt;=2,"C",IF('Data Source'!AG174&gt;=1,"D","F")))))),"")</f>
        <v/>
      </c>
      <c r="P174" s="5">
        <f>IF(AND('Data Source'!B174&lt;&gt;"",'Data Source'!S174="A+"),'Data Source'!R174,"")</f>
        <v/>
      </c>
      <c r="Q174" s="3">
        <f>IF(AND('Data Source'!B174&lt;&gt;"",'Data Source'!S174="A+"),'Data Source'!S174,"")</f>
        <v/>
      </c>
    </row>
    <row r="175">
      <c r="A175" s="3">
        <f>IF(AND('Data Source'!B175&lt;&gt;"",'Data Source'!S175="A+"),COUNTIF('Data Source'!$S$3:S175,"A+"),"")</f>
        <v/>
      </c>
      <c r="B175">
        <f>IF(AND('Data Source'!B175&lt;&gt;"",'Data Source'!S175="A+"),'Data Source'!B175,"")</f>
        <v/>
      </c>
      <c r="C175" s="3">
        <f>IF(AND('Data Source'!B175&lt;&gt;"",'Data Source'!S175="A+"),IF('Data Source'!U175&gt;=5,"A+",IF('Data Source'!U175&gt;=4,"A",IF('Data Source'!U175&gt;=3.5,"A-",IF('Data Source'!U175&gt;=3,"B",IF('Data Source'!U175&gt;=2,"C",IF('Data Source'!U175&gt;=1,"D","F")))))),"")</f>
        <v/>
      </c>
      <c r="D175" s="3">
        <f>IF(AND('Data Source'!B175&lt;&gt;"",'Data Source'!S175="A+"),IF('Data Source'!V175&gt;=5,"A+",IF('Data Source'!V175&gt;=4,"A",IF('Data Source'!V175&gt;=3.5,"A-",IF('Data Source'!V175&gt;=3,"B",IF('Data Source'!V175&gt;=2,"C",IF('Data Source'!V175&gt;=1,"D","F")))))),"")</f>
        <v/>
      </c>
      <c r="E175" s="3">
        <f>IF(AND('Data Source'!B175&lt;&gt;"",'Data Source'!S175="A+"),IF('Data Source'!W175&gt;=5,"A+",IF('Data Source'!W175&gt;=4,"A",IF('Data Source'!W175&gt;=3.5,"A-",IF('Data Source'!W175&gt;=3,"B",IF('Data Source'!W175&gt;=2,"C",IF('Data Source'!W175&gt;=1,"D","F")))))),"")</f>
        <v/>
      </c>
      <c r="F175" s="3">
        <f>IF(AND('Data Source'!B175&lt;&gt;"",'Data Source'!S175="A+"),IF('Data Source'!X175&gt;=5,"A+",IF('Data Source'!X175&gt;=4,"A",IF('Data Source'!X175&gt;=3.5,"A-",IF('Data Source'!X175&gt;=3,"B",IF('Data Source'!X175&gt;=2,"C",IF('Data Source'!X175&gt;=1,"D","F")))))),"")</f>
        <v/>
      </c>
      <c r="G175" s="3">
        <f>IF(AND('Data Source'!B175&lt;&gt;"",'Data Source'!S175="A+"),IF('Data Source'!Y175&gt;=5,"A+",IF('Data Source'!Y175&gt;=4,"A",IF('Data Source'!Y175&gt;=3.5,"A-",IF('Data Source'!Y175&gt;=3,"B",IF('Data Source'!Y175&gt;=2,"C",IF('Data Source'!Y175&gt;=1,"D","F")))))),"")</f>
        <v/>
      </c>
      <c r="H175" s="3">
        <f>IF(AND('Data Source'!B175&lt;&gt;"",'Data Source'!S175="A+"),IF('Data Source'!Z175&gt;=5,"A+",IF('Data Source'!Z175&gt;=4,"A",IF('Data Source'!Z175&gt;=3.5,"A-",IF('Data Source'!Z175&gt;=3,"B",IF('Data Source'!Z175&gt;=2,"C",IF('Data Source'!Z175&gt;=1,"D","F")))))),"")</f>
        <v/>
      </c>
      <c r="I175" s="3">
        <f>IF(AND('Data Source'!B175&lt;&gt;"",'Data Source'!S175="A+"),IF('Data Source'!AA175&gt;=5,"A+",IF('Data Source'!AA175&gt;=4,"A",IF('Data Source'!AA175&gt;=3.5,"A-",IF('Data Source'!AA175&gt;=3,"B",IF('Data Source'!AA175&gt;=2,"C",IF('Data Source'!AA175&gt;=1,"D","F")))))),"")</f>
        <v/>
      </c>
      <c r="J175" s="3">
        <f>IF(AND('Data Source'!B175&lt;&gt;"",'Data Source'!S175="A+"),IF('Data Source'!AB175&gt;=5,"A+",IF('Data Source'!AB175&gt;=4,"A",IF('Data Source'!AB175&gt;=3.5,"A-",IF('Data Source'!AB175&gt;=3,"B",IF('Data Source'!AB175&gt;=2,"C",IF('Data Source'!AB175&gt;=1,"D","F")))))),"")</f>
        <v/>
      </c>
      <c r="K175" s="3">
        <f>IF(AND('Data Source'!B175&lt;&gt;"",'Data Source'!S175="A+"),IF('Data Source'!AC175&gt;=5,"A+",IF('Data Source'!AC175&gt;=4,"A",IF('Data Source'!AC175&gt;=3.5,"A-",IF('Data Source'!AC175&gt;=3,"B",IF('Data Source'!AC175&gt;=2,"C",IF('Data Source'!AC175&gt;=1,"D","F")))))),"")</f>
        <v/>
      </c>
      <c r="L175" s="3">
        <f>IF(AND('Data Source'!B175&lt;&gt;"",'Data Source'!S175="A+"),IF('Data Source'!AD175&gt;=5,"A+",IF('Data Source'!AD175&gt;=4,"A",IF('Data Source'!AD175&gt;=3.5,"A-",IF('Data Source'!AD175&gt;=3,"B",IF('Data Source'!AD175&gt;=2,"C",IF('Data Source'!AD175&gt;=1,"D","F")))))),"")</f>
        <v/>
      </c>
      <c r="M175" s="3">
        <f>IF(AND('Data Source'!B175&lt;&gt;"",'Data Source'!S175="A+"),IF('Data Source'!AE175&gt;=5,"A+",IF('Data Source'!AE175&gt;=4,"A",IF('Data Source'!AE175&gt;=3.5,"A-",IF('Data Source'!AE175&gt;=3,"B",IF('Data Source'!AE175&gt;=2,"C",IF('Data Source'!AE175&gt;=1,"D","F")))))),"")</f>
        <v/>
      </c>
      <c r="N175" s="3">
        <f>IF(AND('Data Source'!B175&lt;&gt;"",'Data Source'!S175="A+"),IF('Data Source'!AF175&gt;=5,"A+",IF('Data Source'!AF175&gt;=4,"A",IF('Data Source'!AF175&gt;=3.5,"A-",IF('Data Source'!AF175&gt;=3,"B",IF('Data Source'!AF175&gt;=2,"C",IF('Data Source'!AF175&gt;=1,"D","F")))))),"")</f>
        <v/>
      </c>
      <c r="O175" s="3">
        <f>IF(AND('Data Source'!B175&lt;&gt;"",'Data Source'!S175="A+"),IF('Data Source'!AG175&gt;=5,"A+",IF('Data Source'!AG175&gt;=4,"A",IF('Data Source'!AG175&gt;=3.5,"A-",IF('Data Source'!AG175&gt;=3,"B",IF('Data Source'!AG175&gt;=2,"C",IF('Data Source'!AG175&gt;=1,"D","F")))))),"")</f>
        <v/>
      </c>
      <c r="P175" s="5">
        <f>IF(AND('Data Source'!B175&lt;&gt;"",'Data Source'!S175="A+"),'Data Source'!R175,"")</f>
        <v/>
      </c>
      <c r="Q175" s="3">
        <f>IF(AND('Data Source'!B175&lt;&gt;"",'Data Source'!S175="A+"),'Data Source'!S175,"")</f>
        <v/>
      </c>
    </row>
    <row r="176">
      <c r="A176" s="3">
        <f>IF(AND('Data Source'!B176&lt;&gt;"",'Data Source'!S176="A+"),COUNTIF('Data Source'!$S$3:S176,"A+"),"")</f>
        <v/>
      </c>
      <c r="B176">
        <f>IF(AND('Data Source'!B176&lt;&gt;"",'Data Source'!S176="A+"),'Data Source'!B176,"")</f>
        <v/>
      </c>
      <c r="C176" s="3">
        <f>IF(AND('Data Source'!B176&lt;&gt;"",'Data Source'!S176="A+"),IF('Data Source'!U176&gt;=5,"A+",IF('Data Source'!U176&gt;=4,"A",IF('Data Source'!U176&gt;=3.5,"A-",IF('Data Source'!U176&gt;=3,"B",IF('Data Source'!U176&gt;=2,"C",IF('Data Source'!U176&gt;=1,"D","F")))))),"")</f>
        <v/>
      </c>
      <c r="D176" s="3">
        <f>IF(AND('Data Source'!B176&lt;&gt;"",'Data Source'!S176="A+"),IF('Data Source'!V176&gt;=5,"A+",IF('Data Source'!V176&gt;=4,"A",IF('Data Source'!V176&gt;=3.5,"A-",IF('Data Source'!V176&gt;=3,"B",IF('Data Source'!V176&gt;=2,"C",IF('Data Source'!V176&gt;=1,"D","F")))))),"")</f>
        <v/>
      </c>
      <c r="E176" s="3">
        <f>IF(AND('Data Source'!B176&lt;&gt;"",'Data Source'!S176="A+"),IF('Data Source'!W176&gt;=5,"A+",IF('Data Source'!W176&gt;=4,"A",IF('Data Source'!W176&gt;=3.5,"A-",IF('Data Source'!W176&gt;=3,"B",IF('Data Source'!W176&gt;=2,"C",IF('Data Source'!W176&gt;=1,"D","F")))))),"")</f>
        <v/>
      </c>
      <c r="F176" s="3">
        <f>IF(AND('Data Source'!B176&lt;&gt;"",'Data Source'!S176="A+"),IF('Data Source'!X176&gt;=5,"A+",IF('Data Source'!X176&gt;=4,"A",IF('Data Source'!X176&gt;=3.5,"A-",IF('Data Source'!X176&gt;=3,"B",IF('Data Source'!X176&gt;=2,"C",IF('Data Source'!X176&gt;=1,"D","F")))))),"")</f>
        <v/>
      </c>
      <c r="G176" s="3">
        <f>IF(AND('Data Source'!B176&lt;&gt;"",'Data Source'!S176="A+"),IF('Data Source'!Y176&gt;=5,"A+",IF('Data Source'!Y176&gt;=4,"A",IF('Data Source'!Y176&gt;=3.5,"A-",IF('Data Source'!Y176&gt;=3,"B",IF('Data Source'!Y176&gt;=2,"C",IF('Data Source'!Y176&gt;=1,"D","F")))))),"")</f>
        <v/>
      </c>
      <c r="H176" s="3">
        <f>IF(AND('Data Source'!B176&lt;&gt;"",'Data Source'!S176="A+"),IF('Data Source'!Z176&gt;=5,"A+",IF('Data Source'!Z176&gt;=4,"A",IF('Data Source'!Z176&gt;=3.5,"A-",IF('Data Source'!Z176&gt;=3,"B",IF('Data Source'!Z176&gt;=2,"C",IF('Data Source'!Z176&gt;=1,"D","F")))))),"")</f>
        <v/>
      </c>
      <c r="I176" s="3">
        <f>IF(AND('Data Source'!B176&lt;&gt;"",'Data Source'!S176="A+"),IF('Data Source'!AA176&gt;=5,"A+",IF('Data Source'!AA176&gt;=4,"A",IF('Data Source'!AA176&gt;=3.5,"A-",IF('Data Source'!AA176&gt;=3,"B",IF('Data Source'!AA176&gt;=2,"C",IF('Data Source'!AA176&gt;=1,"D","F")))))),"")</f>
        <v/>
      </c>
      <c r="J176" s="3">
        <f>IF(AND('Data Source'!B176&lt;&gt;"",'Data Source'!S176="A+"),IF('Data Source'!AB176&gt;=5,"A+",IF('Data Source'!AB176&gt;=4,"A",IF('Data Source'!AB176&gt;=3.5,"A-",IF('Data Source'!AB176&gt;=3,"B",IF('Data Source'!AB176&gt;=2,"C",IF('Data Source'!AB176&gt;=1,"D","F")))))),"")</f>
        <v/>
      </c>
      <c r="K176" s="3">
        <f>IF(AND('Data Source'!B176&lt;&gt;"",'Data Source'!S176="A+"),IF('Data Source'!AC176&gt;=5,"A+",IF('Data Source'!AC176&gt;=4,"A",IF('Data Source'!AC176&gt;=3.5,"A-",IF('Data Source'!AC176&gt;=3,"B",IF('Data Source'!AC176&gt;=2,"C",IF('Data Source'!AC176&gt;=1,"D","F")))))),"")</f>
        <v/>
      </c>
      <c r="L176" s="3">
        <f>IF(AND('Data Source'!B176&lt;&gt;"",'Data Source'!S176="A+"),IF('Data Source'!AD176&gt;=5,"A+",IF('Data Source'!AD176&gt;=4,"A",IF('Data Source'!AD176&gt;=3.5,"A-",IF('Data Source'!AD176&gt;=3,"B",IF('Data Source'!AD176&gt;=2,"C",IF('Data Source'!AD176&gt;=1,"D","F")))))),"")</f>
        <v/>
      </c>
      <c r="M176" s="3">
        <f>IF(AND('Data Source'!B176&lt;&gt;"",'Data Source'!S176="A+"),IF('Data Source'!AE176&gt;=5,"A+",IF('Data Source'!AE176&gt;=4,"A",IF('Data Source'!AE176&gt;=3.5,"A-",IF('Data Source'!AE176&gt;=3,"B",IF('Data Source'!AE176&gt;=2,"C",IF('Data Source'!AE176&gt;=1,"D","F")))))),"")</f>
        <v/>
      </c>
      <c r="N176" s="3">
        <f>IF(AND('Data Source'!B176&lt;&gt;"",'Data Source'!S176="A+"),IF('Data Source'!AF176&gt;=5,"A+",IF('Data Source'!AF176&gt;=4,"A",IF('Data Source'!AF176&gt;=3.5,"A-",IF('Data Source'!AF176&gt;=3,"B",IF('Data Source'!AF176&gt;=2,"C",IF('Data Source'!AF176&gt;=1,"D","F")))))),"")</f>
        <v/>
      </c>
      <c r="O176" s="3">
        <f>IF(AND('Data Source'!B176&lt;&gt;"",'Data Source'!S176="A+"),IF('Data Source'!AG176&gt;=5,"A+",IF('Data Source'!AG176&gt;=4,"A",IF('Data Source'!AG176&gt;=3.5,"A-",IF('Data Source'!AG176&gt;=3,"B",IF('Data Source'!AG176&gt;=2,"C",IF('Data Source'!AG176&gt;=1,"D","F")))))),"")</f>
        <v/>
      </c>
      <c r="P176" s="5">
        <f>IF(AND('Data Source'!B176&lt;&gt;"",'Data Source'!S176="A+"),'Data Source'!R176,"")</f>
        <v/>
      </c>
      <c r="Q176" s="3">
        <f>IF(AND('Data Source'!B176&lt;&gt;"",'Data Source'!S176="A+"),'Data Source'!S176,"")</f>
        <v/>
      </c>
    </row>
    <row r="177">
      <c r="A177" s="3">
        <f>IF(AND('Data Source'!B177&lt;&gt;"",'Data Source'!S177="A+"),COUNTIF('Data Source'!$S$3:S177,"A+"),"")</f>
        <v/>
      </c>
      <c r="B177">
        <f>IF(AND('Data Source'!B177&lt;&gt;"",'Data Source'!S177="A+"),'Data Source'!B177,"")</f>
        <v/>
      </c>
      <c r="C177" s="3">
        <f>IF(AND('Data Source'!B177&lt;&gt;"",'Data Source'!S177="A+"),IF('Data Source'!U177&gt;=5,"A+",IF('Data Source'!U177&gt;=4,"A",IF('Data Source'!U177&gt;=3.5,"A-",IF('Data Source'!U177&gt;=3,"B",IF('Data Source'!U177&gt;=2,"C",IF('Data Source'!U177&gt;=1,"D","F")))))),"")</f>
        <v/>
      </c>
      <c r="D177" s="3">
        <f>IF(AND('Data Source'!B177&lt;&gt;"",'Data Source'!S177="A+"),IF('Data Source'!V177&gt;=5,"A+",IF('Data Source'!V177&gt;=4,"A",IF('Data Source'!V177&gt;=3.5,"A-",IF('Data Source'!V177&gt;=3,"B",IF('Data Source'!V177&gt;=2,"C",IF('Data Source'!V177&gt;=1,"D","F")))))),"")</f>
        <v/>
      </c>
      <c r="E177" s="3">
        <f>IF(AND('Data Source'!B177&lt;&gt;"",'Data Source'!S177="A+"),IF('Data Source'!W177&gt;=5,"A+",IF('Data Source'!W177&gt;=4,"A",IF('Data Source'!W177&gt;=3.5,"A-",IF('Data Source'!W177&gt;=3,"B",IF('Data Source'!W177&gt;=2,"C",IF('Data Source'!W177&gt;=1,"D","F")))))),"")</f>
        <v/>
      </c>
      <c r="F177" s="3">
        <f>IF(AND('Data Source'!B177&lt;&gt;"",'Data Source'!S177="A+"),IF('Data Source'!X177&gt;=5,"A+",IF('Data Source'!X177&gt;=4,"A",IF('Data Source'!X177&gt;=3.5,"A-",IF('Data Source'!X177&gt;=3,"B",IF('Data Source'!X177&gt;=2,"C",IF('Data Source'!X177&gt;=1,"D","F")))))),"")</f>
        <v/>
      </c>
      <c r="G177" s="3">
        <f>IF(AND('Data Source'!B177&lt;&gt;"",'Data Source'!S177="A+"),IF('Data Source'!Y177&gt;=5,"A+",IF('Data Source'!Y177&gt;=4,"A",IF('Data Source'!Y177&gt;=3.5,"A-",IF('Data Source'!Y177&gt;=3,"B",IF('Data Source'!Y177&gt;=2,"C",IF('Data Source'!Y177&gt;=1,"D","F")))))),"")</f>
        <v/>
      </c>
      <c r="H177" s="3">
        <f>IF(AND('Data Source'!B177&lt;&gt;"",'Data Source'!S177="A+"),IF('Data Source'!Z177&gt;=5,"A+",IF('Data Source'!Z177&gt;=4,"A",IF('Data Source'!Z177&gt;=3.5,"A-",IF('Data Source'!Z177&gt;=3,"B",IF('Data Source'!Z177&gt;=2,"C",IF('Data Source'!Z177&gt;=1,"D","F")))))),"")</f>
        <v/>
      </c>
      <c r="I177" s="3">
        <f>IF(AND('Data Source'!B177&lt;&gt;"",'Data Source'!S177="A+"),IF('Data Source'!AA177&gt;=5,"A+",IF('Data Source'!AA177&gt;=4,"A",IF('Data Source'!AA177&gt;=3.5,"A-",IF('Data Source'!AA177&gt;=3,"B",IF('Data Source'!AA177&gt;=2,"C",IF('Data Source'!AA177&gt;=1,"D","F")))))),"")</f>
        <v/>
      </c>
      <c r="J177" s="3">
        <f>IF(AND('Data Source'!B177&lt;&gt;"",'Data Source'!S177="A+"),IF('Data Source'!AB177&gt;=5,"A+",IF('Data Source'!AB177&gt;=4,"A",IF('Data Source'!AB177&gt;=3.5,"A-",IF('Data Source'!AB177&gt;=3,"B",IF('Data Source'!AB177&gt;=2,"C",IF('Data Source'!AB177&gt;=1,"D","F")))))),"")</f>
        <v/>
      </c>
      <c r="K177" s="3">
        <f>IF(AND('Data Source'!B177&lt;&gt;"",'Data Source'!S177="A+"),IF('Data Source'!AC177&gt;=5,"A+",IF('Data Source'!AC177&gt;=4,"A",IF('Data Source'!AC177&gt;=3.5,"A-",IF('Data Source'!AC177&gt;=3,"B",IF('Data Source'!AC177&gt;=2,"C",IF('Data Source'!AC177&gt;=1,"D","F")))))),"")</f>
        <v/>
      </c>
      <c r="L177" s="3">
        <f>IF(AND('Data Source'!B177&lt;&gt;"",'Data Source'!S177="A+"),IF('Data Source'!AD177&gt;=5,"A+",IF('Data Source'!AD177&gt;=4,"A",IF('Data Source'!AD177&gt;=3.5,"A-",IF('Data Source'!AD177&gt;=3,"B",IF('Data Source'!AD177&gt;=2,"C",IF('Data Source'!AD177&gt;=1,"D","F")))))),"")</f>
        <v/>
      </c>
      <c r="M177" s="3">
        <f>IF(AND('Data Source'!B177&lt;&gt;"",'Data Source'!S177="A+"),IF('Data Source'!AE177&gt;=5,"A+",IF('Data Source'!AE177&gt;=4,"A",IF('Data Source'!AE177&gt;=3.5,"A-",IF('Data Source'!AE177&gt;=3,"B",IF('Data Source'!AE177&gt;=2,"C",IF('Data Source'!AE177&gt;=1,"D","F")))))),"")</f>
        <v/>
      </c>
      <c r="N177" s="3">
        <f>IF(AND('Data Source'!B177&lt;&gt;"",'Data Source'!S177="A+"),IF('Data Source'!AF177&gt;=5,"A+",IF('Data Source'!AF177&gt;=4,"A",IF('Data Source'!AF177&gt;=3.5,"A-",IF('Data Source'!AF177&gt;=3,"B",IF('Data Source'!AF177&gt;=2,"C",IF('Data Source'!AF177&gt;=1,"D","F")))))),"")</f>
        <v/>
      </c>
      <c r="O177" s="3">
        <f>IF(AND('Data Source'!B177&lt;&gt;"",'Data Source'!S177="A+"),IF('Data Source'!AG177&gt;=5,"A+",IF('Data Source'!AG177&gt;=4,"A",IF('Data Source'!AG177&gt;=3.5,"A-",IF('Data Source'!AG177&gt;=3,"B",IF('Data Source'!AG177&gt;=2,"C",IF('Data Source'!AG177&gt;=1,"D","F")))))),"")</f>
        <v/>
      </c>
      <c r="P177" s="5">
        <f>IF(AND('Data Source'!B177&lt;&gt;"",'Data Source'!S177="A+"),'Data Source'!R177,"")</f>
        <v/>
      </c>
      <c r="Q177" s="3">
        <f>IF(AND('Data Source'!B177&lt;&gt;"",'Data Source'!S177="A+"),'Data Source'!S177,"")</f>
        <v/>
      </c>
    </row>
    <row r="178">
      <c r="A178" s="3">
        <f>IF(AND('Data Source'!B178&lt;&gt;"",'Data Source'!S178="A+"),COUNTIF('Data Source'!$S$3:S178,"A+"),"")</f>
        <v/>
      </c>
      <c r="B178">
        <f>IF(AND('Data Source'!B178&lt;&gt;"",'Data Source'!S178="A+"),'Data Source'!B178,"")</f>
        <v/>
      </c>
      <c r="C178" s="3">
        <f>IF(AND('Data Source'!B178&lt;&gt;"",'Data Source'!S178="A+"),IF('Data Source'!U178&gt;=5,"A+",IF('Data Source'!U178&gt;=4,"A",IF('Data Source'!U178&gt;=3.5,"A-",IF('Data Source'!U178&gt;=3,"B",IF('Data Source'!U178&gt;=2,"C",IF('Data Source'!U178&gt;=1,"D","F")))))),"")</f>
        <v/>
      </c>
      <c r="D178" s="3">
        <f>IF(AND('Data Source'!B178&lt;&gt;"",'Data Source'!S178="A+"),IF('Data Source'!V178&gt;=5,"A+",IF('Data Source'!V178&gt;=4,"A",IF('Data Source'!V178&gt;=3.5,"A-",IF('Data Source'!V178&gt;=3,"B",IF('Data Source'!V178&gt;=2,"C",IF('Data Source'!V178&gt;=1,"D","F")))))),"")</f>
        <v/>
      </c>
      <c r="E178" s="3">
        <f>IF(AND('Data Source'!B178&lt;&gt;"",'Data Source'!S178="A+"),IF('Data Source'!W178&gt;=5,"A+",IF('Data Source'!W178&gt;=4,"A",IF('Data Source'!W178&gt;=3.5,"A-",IF('Data Source'!W178&gt;=3,"B",IF('Data Source'!W178&gt;=2,"C",IF('Data Source'!W178&gt;=1,"D","F")))))),"")</f>
        <v/>
      </c>
      <c r="F178" s="3">
        <f>IF(AND('Data Source'!B178&lt;&gt;"",'Data Source'!S178="A+"),IF('Data Source'!X178&gt;=5,"A+",IF('Data Source'!X178&gt;=4,"A",IF('Data Source'!X178&gt;=3.5,"A-",IF('Data Source'!X178&gt;=3,"B",IF('Data Source'!X178&gt;=2,"C",IF('Data Source'!X178&gt;=1,"D","F")))))),"")</f>
        <v/>
      </c>
      <c r="G178" s="3">
        <f>IF(AND('Data Source'!B178&lt;&gt;"",'Data Source'!S178="A+"),IF('Data Source'!Y178&gt;=5,"A+",IF('Data Source'!Y178&gt;=4,"A",IF('Data Source'!Y178&gt;=3.5,"A-",IF('Data Source'!Y178&gt;=3,"B",IF('Data Source'!Y178&gt;=2,"C",IF('Data Source'!Y178&gt;=1,"D","F")))))),"")</f>
        <v/>
      </c>
      <c r="H178" s="3">
        <f>IF(AND('Data Source'!B178&lt;&gt;"",'Data Source'!S178="A+"),IF('Data Source'!Z178&gt;=5,"A+",IF('Data Source'!Z178&gt;=4,"A",IF('Data Source'!Z178&gt;=3.5,"A-",IF('Data Source'!Z178&gt;=3,"B",IF('Data Source'!Z178&gt;=2,"C",IF('Data Source'!Z178&gt;=1,"D","F")))))),"")</f>
        <v/>
      </c>
      <c r="I178" s="3">
        <f>IF(AND('Data Source'!B178&lt;&gt;"",'Data Source'!S178="A+"),IF('Data Source'!AA178&gt;=5,"A+",IF('Data Source'!AA178&gt;=4,"A",IF('Data Source'!AA178&gt;=3.5,"A-",IF('Data Source'!AA178&gt;=3,"B",IF('Data Source'!AA178&gt;=2,"C",IF('Data Source'!AA178&gt;=1,"D","F")))))),"")</f>
        <v/>
      </c>
      <c r="J178" s="3">
        <f>IF(AND('Data Source'!B178&lt;&gt;"",'Data Source'!S178="A+"),IF('Data Source'!AB178&gt;=5,"A+",IF('Data Source'!AB178&gt;=4,"A",IF('Data Source'!AB178&gt;=3.5,"A-",IF('Data Source'!AB178&gt;=3,"B",IF('Data Source'!AB178&gt;=2,"C",IF('Data Source'!AB178&gt;=1,"D","F")))))),"")</f>
        <v/>
      </c>
      <c r="K178" s="3">
        <f>IF(AND('Data Source'!B178&lt;&gt;"",'Data Source'!S178="A+"),IF('Data Source'!AC178&gt;=5,"A+",IF('Data Source'!AC178&gt;=4,"A",IF('Data Source'!AC178&gt;=3.5,"A-",IF('Data Source'!AC178&gt;=3,"B",IF('Data Source'!AC178&gt;=2,"C",IF('Data Source'!AC178&gt;=1,"D","F")))))),"")</f>
        <v/>
      </c>
      <c r="L178" s="3">
        <f>IF(AND('Data Source'!B178&lt;&gt;"",'Data Source'!S178="A+"),IF('Data Source'!AD178&gt;=5,"A+",IF('Data Source'!AD178&gt;=4,"A",IF('Data Source'!AD178&gt;=3.5,"A-",IF('Data Source'!AD178&gt;=3,"B",IF('Data Source'!AD178&gt;=2,"C",IF('Data Source'!AD178&gt;=1,"D","F")))))),"")</f>
        <v/>
      </c>
      <c r="M178" s="3">
        <f>IF(AND('Data Source'!B178&lt;&gt;"",'Data Source'!S178="A+"),IF('Data Source'!AE178&gt;=5,"A+",IF('Data Source'!AE178&gt;=4,"A",IF('Data Source'!AE178&gt;=3.5,"A-",IF('Data Source'!AE178&gt;=3,"B",IF('Data Source'!AE178&gt;=2,"C",IF('Data Source'!AE178&gt;=1,"D","F")))))),"")</f>
        <v/>
      </c>
      <c r="N178" s="3">
        <f>IF(AND('Data Source'!B178&lt;&gt;"",'Data Source'!S178="A+"),IF('Data Source'!AF178&gt;=5,"A+",IF('Data Source'!AF178&gt;=4,"A",IF('Data Source'!AF178&gt;=3.5,"A-",IF('Data Source'!AF178&gt;=3,"B",IF('Data Source'!AF178&gt;=2,"C",IF('Data Source'!AF178&gt;=1,"D","F")))))),"")</f>
        <v/>
      </c>
      <c r="O178" s="3">
        <f>IF(AND('Data Source'!B178&lt;&gt;"",'Data Source'!S178="A+"),IF('Data Source'!AG178&gt;=5,"A+",IF('Data Source'!AG178&gt;=4,"A",IF('Data Source'!AG178&gt;=3.5,"A-",IF('Data Source'!AG178&gt;=3,"B",IF('Data Source'!AG178&gt;=2,"C",IF('Data Source'!AG178&gt;=1,"D","F")))))),"")</f>
        <v/>
      </c>
      <c r="P178" s="5">
        <f>IF(AND('Data Source'!B178&lt;&gt;"",'Data Source'!S178="A+"),'Data Source'!R178,"")</f>
        <v/>
      </c>
      <c r="Q178" s="3">
        <f>IF(AND('Data Source'!B178&lt;&gt;"",'Data Source'!S178="A+"),'Data Source'!S178,"")</f>
        <v/>
      </c>
    </row>
    <row r="179">
      <c r="A179" s="3">
        <f>IF(AND('Data Source'!B179&lt;&gt;"",'Data Source'!S179="A+"),COUNTIF('Data Source'!$S$3:S179,"A+"),"")</f>
        <v/>
      </c>
      <c r="B179">
        <f>IF(AND('Data Source'!B179&lt;&gt;"",'Data Source'!S179="A+"),'Data Source'!B179,"")</f>
        <v/>
      </c>
      <c r="C179" s="3">
        <f>IF(AND('Data Source'!B179&lt;&gt;"",'Data Source'!S179="A+"),IF('Data Source'!U179&gt;=5,"A+",IF('Data Source'!U179&gt;=4,"A",IF('Data Source'!U179&gt;=3.5,"A-",IF('Data Source'!U179&gt;=3,"B",IF('Data Source'!U179&gt;=2,"C",IF('Data Source'!U179&gt;=1,"D","F")))))),"")</f>
        <v/>
      </c>
      <c r="D179" s="3">
        <f>IF(AND('Data Source'!B179&lt;&gt;"",'Data Source'!S179="A+"),IF('Data Source'!V179&gt;=5,"A+",IF('Data Source'!V179&gt;=4,"A",IF('Data Source'!V179&gt;=3.5,"A-",IF('Data Source'!V179&gt;=3,"B",IF('Data Source'!V179&gt;=2,"C",IF('Data Source'!V179&gt;=1,"D","F")))))),"")</f>
        <v/>
      </c>
      <c r="E179" s="3">
        <f>IF(AND('Data Source'!B179&lt;&gt;"",'Data Source'!S179="A+"),IF('Data Source'!W179&gt;=5,"A+",IF('Data Source'!W179&gt;=4,"A",IF('Data Source'!W179&gt;=3.5,"A-",IF('Data Source'!W179&gt;=3,"B",IF('Data Source'!W179&gt;=2,"C",IF('Data Source'!W179&gt;=1,"D","F")))))),"")</f>
        <v/>
      </c>
      <c r="F179" s="3">
        <f>IF(AND('Data Source'!B179&lt;&gt;"",'Data Source'!S179="A+"),IF('Data Source'!X179&gt;=5,"A+",IF('Data Source'!X179&gt;=4,"A",IF('Data Source'!X179&gt;=3.5,"A-",IF('Data Source'!X179&gt;=3,"B",IF('Data Source'!X179&gt;=2,"C",IF('Data Source'!X179&gt;=1,"D","F")))))),"")</f>
        <v/>
      </c>
      <c r="G179" s="3">
        <f>IF(AND('Data Source'!B179&lt;&gt;"",'Data Source'!S179="A+"),IF('Data Source'!Y179&gt;=5,"A+",IF('Data Source'!Y179&gt;=4,"A",IF('Data Source'!Y179&gt;=3.5,"A-",IF('Data Source'!Y179&gt;=3,"B",IF('Data Source'!Y179&gt;=2,"C",IF('Data Source'!Y179&gt;=1,"D","F")))))),"")</f>
        <v/>
      </c>
      <c r="H179" s="3">
        <f>IF(AND('Data Source'!B179&lt;&gt;"",'Data Source'!S179="A+"),IF('Data Source'!Z179&gt;=5,"A+",IF('Data Source'!Z179&gt;=4,"A",IF('Data Source'!Z179&gt;=3.5,"A-",IF('Data Source'!Z179&gt;=3,"B",IF('Data Source'!Z179&gt;=2,"C",IF('Data Source'!Z179&gt;=1,"D","F")))))),"")</f>
        <v/>
      </c>
      <c r="I179" s="3">
        <f>IF(AND('Data Source'!B179&lt;&gt;"",'Data Source'!S179="A+"),IF('Data Source'!AA179&gt;=5,"A+",IF('Data Source'!AA179&gt;=4,"A",IF('Data Source'!AA179&gt;=3.5,"A-",IF('Data Source'!AA179&gt;=3,"B",IF('Data Source'!AA179&gt;=2,"C",IF('Data Source'!AA179&gt;=1,"D","F")))))),"")</f>
        <v/>
      </c>
      <c r="J179" s="3">
        <f>IF(AND('Data Source'!B179&lt;&gt;"",'Data Source'!S179="A+"),IF('Data Source'!AB179&gt;=5,"A+",IF('Data Source'!AB179&gt;=4,"A",IF('Data Source'!AB179&gt;=3.5,"A-",IF('Data Source'!AB179&gt;=3,"B",IF('Data Source'!AB179&gt;=2,"C",IF('Data Source'!AB179&gt;=1,"D","F")))))),"")</f>
        <v/>
      </c>
      <c r="K179" s="3">
        <f>IF(AND('Data Source'!B179&lt;&gt;"",'Data Source'!S179="A+"),IF('Data Source'!AC179&gt;=5,"A+",IF('Data Source'!AC179&gt;=4,"A",IF('Data Source'!AC179&gt;=3.5,"A-",IF('Data Source'!AC179&gt;=3,"B",IF('Data Source'!AC179&gt;=2,"C",IF('Data Source'!AC179&gt;=1,"D","F")))))),"")</f>
        <v/>
      </c>
      <c r="L179" s="3">
        <f>IF(AND('Data Source'!B179&lt;&gt;"",'Data Source'!S179="A+"),IF('Data Source'!AD179&gt;=5,"A+",IF('Data Source'!AD179&gt;=4,"A",IF('Data Source'!AD179&gt;=3.5,"A-",IF('Data Source'!AD179&gt;=3,"B",IF('Data Source'!AD179&gt;=2,"C",IF('Data Source'!AD179&gt;=1,"D","F")))))),"")</f>
        <v/>
      </c>
      <c r="M179" s="3">
        <f>IF(AND('Data Source'!B179&lt;&gt;"",'Data Source'!S179="A+"),IF('Data Source'!AE179&gt;=5,"A+",IF('Data Source'!AE179&gt;=4,"A",IF('Data Source'!AE179&gt;=3.5,"A-",IF('Data Source'!AE179&gt;=3,"B",IF('Data Source'!AE179&gt;=2,"C",IF('Data Source'!AE179&gt;=1,"D","F")))))),"")</f>
        <v/>
      </c>
      <c r="N179" s="3">
        <f>IF(AND('Data Source'!B179&lt;&gt;"",'Data Source'!S179="A+"),IF('Data Source'!AF179&gt;=5,"A+",IF('Data Source'!AF179&gt;=4,"A",IF('Data Source'!AF179&gt;=3.5,"A-",IF('Data Source'!AF179&gt;=3,"B",IF('Data Source'!AF179&gt;=2,"C",IF('Data Source'!AF179&gt;=1,"D","F")))))),"")</f>
        <v/>
      </c>
      <c r="O179" s="3">
        <f>IF(AND('Data Source'!B179&lt;&gt;"",'Data Source'!S179="A+"),IF('Data Source'!AG179&gt;=5,"A+",IF('Data Source'!AG179&gt;=4,"A",IF('Data Source'!AG179&gt;=3.5,"A-",IF('Data Source'!AG179&gt;=3,"B",IF('Data Source'!AG179&gt;=2,"C",IF('Data Source'!AG179&gt;=1,"D","F")))))),"")</f>
        <v/>
      </c>
      <c r="P179" s="5">
        <f>IF(AND('Data Source'!B179&lt;&gt;"",'Data Source'!S179="A+"),'Data Source'!R179,"")</f>
        <v/>
      </c>
      <c r="Q179" s="3">
        <f>IF(AND('Data Source'!B179&lt;&gt;"",'Data Source'!S179="A+"),'Data Source'!S179,"")</f>
        <v/>
      </c>
    </row>
    <row r="180">
      <c r="A180" s="3">
        <f>IF(AND('Data Source'!B180&lt;&gt;"",'Data Source'!S180="A+"),COUNTIF('Data Source'!$S$3:S180,"A+"),"")</f>
        <v/>
      </c>
      <c r="B180">
        <f>IF(AND('Data Source'!B180&lt;&gt;"",'Data Source'!S180="A+"),'Data Source'!B180,"")</f>
        <v/>
      </c>
      <c r="C180" s="3">
        <f>IF(AND('Data Source'!B180&lt;&gt;"",'Data Source'!S180="A+"),IF('Data Source'!U180&gt;=5,"A+",IF('Data Source'!U180&gt;=4,"A",IF('Data Source'!U180&gt;=3.5,"A-",IF('Data Source'!U180&gt;=3,"B",IF('Data Source'!U180&gt;=2,"C",IF('Data Source'!U180&gt;=1,"D","F")))))),"")</f>
        <v/>
      </c>
      <c r="D180" s="3">
        <f>IF(AND('Data Source'!B180&lt;&gt;"",'Data Source'!S180="A+"),IF('Data Source'!V180&gt;=5,"A+",IF('Data Source'!V180&gt;=4,"A",IF('Data Source'!V180&gt;=3.5,"A-",IF('Data Source'!V180&gt;=3,"B",IF('Data Source'!V180&gt;=2,"C",IF('Data Source'!V180&gt;=1,"D","F")))))),"")</f>
        <v/>
      </c>
      <c r="E180" s="3">
        <f>IF(AND('Data Source'!B180&lt;&gt;"",'Data Source'!S180="A+"),IF('Data Source'!W180&gt;=5,"A+",IF('Data Source'!W180&gt;=4,"A",IF('Data Source'!W180&gt;=3.5,"A-",IF('Data Source'!W180&gt;=3,"B",IF('Data Source'!W180&gt;=2,"C",IF('Data Source'!W180&gt;=1,"D","F")))))),"")</f>
        <v/>
      </c>
      <c r="F180" s="3">
        <f>IF(AND('Data Source'!B180&lt;&gt;"",'Data Source'!S180="A+"),IF('Data Source'!X180&gt;=5,"A+",IF('Data Source'!X180&gt;=4,"A",IF('Data Source'!X180&gt;=3.5,"A-",IF('Data Source'!X180&gt;=3,"B",IF('Data Source'!X180&gt;=2,"C",IF('Data Source'!X180&gt;=1,"D","F")))))),"")</f>
        <v/>
      </c>
      <c r="G180" s="3">
        <f>IF(AND('Data Source'!B180&lt;&gt;"",'Data Source'!S180="A+"),IF('Data Source'!Y180&gt;=5,"A+",IF('Data Source'!Y180&gt;=4,"A",IF('Data Source'!Y180&gt;=3.5,"A-",IF('Data Source'!Y180&gt;=3,"B",IF('Data Source'!Y180&gt;=2,"C",IF('Data Source'!Y180&gt;=1,"D","F")))))),"")</f>
        <v/>
      </c>
      <c r="H180" s="3">
        <f>IF(AND('Data Source'!B180&lt;&gt;"",'Data Source'!S180="A+"),IF('Data Source'!Z180&gt;=5,"A+",IF('Data Source'!Z180&gt;=4,"A",IF('Data Source'!Z180&gt;=3.5,"A-",IF('Data Source'!Z180&gt;=3,"B",IF('Data Source'!Z180&gt;=2,"C",IF('Data Source'!Z180&gt;=1,"D","F")))))),"")</f>
        <v/>
      </c>
      <c r="I180" s="3">
        <f>IF(AND('Data Source'!B180&lt;&gt;"",'Data Source'!S180="A+"),IF('Data Source'!AA180&gt;=5,"A+",IF('Data Source'!AA180&gt;=4,"A",IF('Data Source'!AA180&gt;=3.5,"A-",IF('Data Source'!AA180&gt;=3,"B",IF('Data Source'!AA180&gt;=2,"C",IF('Data Source'!AA180&gt;=1,"D","F")))))),"")</f>
        <v/>
      </c>
      <c r="J180" s="3">
        <f>IF(AND('Data Source'!B180&lt;&gt;"",'Data Source'!S180="A+"),IF('Data Source'!AB180&gt;=5,"A+",IF('Data Source'!AB180&gt;=4,"A",IF('Data Source'!AB180&gt;=3.5,"A-",IF('Data Source'!AB180&gt;=3,"B",IF('Data Source'!AB180&gt;=2,"C",IF('Data Source'!AB180&gt;=1,"D","F")))))),"")</f>
        <v/>
      </c>
      <c r="K180" s="3">
        <f>IF(AND('Data Source'!B180&lt;&gt;"",'Data Source'!S180="A+"),IF('Data Source'!AC180&gt;=5,"A+",IF('Data Source'!AC180&gt;=4,"A",IF('Data Source'!AC180&gt;=3.5,"A-",IF('Data Source'!AC180&gt;=3,"B",IF('Data Source'!AC180&gt;=2,"C",IF('Data Source'!AC180&gt;=1,"D","F")))))),"")</f>
        <v/>
      </c>
      <c r="L180" s="3">
        <f>IF(AND('Data Source'!B180&lt;&gt;"",'Data Source'!S180="A+"),IF('Data Source'!AD180&gt;=5,"A+",IF('Data Source'!AD180&gt;=4,"A",IF('Data Source'!AD180&gt;=3.5,"A-",IF('Data Source'!AD180&gt;=3,"B",IF('Data Source'!AD180&gt;=2,"C",IF('Data Source'!AD180&gt;=1,"D","F")))))),"")</f>
        <v/>
      </c>
      <c r="M180" s="3">
        <f>IF(AND('Data Source'!B180&lt;&gt;"",'Data Source'!S180="A+"),IF('Data Source'!AE180&gt;=5,"A+",IF('Data Source'!AE180&gt;=4,"A",IF('Data Source'!AE180&gt;=3.5,"A-",IF('Data Source'!AE180&gt;=3,"B",IF('Data Source'!AE180&gt;=2,"C",IF('Data Source'!AE180&gt;=1,"D","F")))))),"")</f>
        <v/>
      </c>
      <c r="N180" s="3">
        <f>IF(AND('Data Source'!B180&lt;&gt;"",'Data Source'!S180="A+"),IF('Data Source'!AF180&gt;=5,"A+",IF('Data Source'!AF180&gt;=4,"A",IF('Data Source'!AF180&gt;=3.5,"A-",IF('Data Source'!AF180&gt;=3,"B",IF('Data Source'!AF180&gt;=2,"C",IF('Data Source'!AF180&gt;=1,"D","F")))))),"")</f>
        <v/>
      </c>
      <c r="O180" s="3">
        <f>IF(AND('Data Source'!B180&lt;&gt;"",'Data Source'!S180="A+"),IF('Data Source'!AG180&gt;=5,"A+",IF('Data Source'!AG180&gt;=4,"A",IF('Data Source'!AG180&gt;=3.5,"A-",IF('Data Source'!AG180&gt;=3,"B",IF('Data Source'!AG180&gt;=2,"C",IF('Data Source'!AG180&gt;=1,"D","F")))))),"")</f>
        <v/>
      </c>
      <c r="P180" s="5">
        <f>IF(AND('Data Source'!B180&lt;&gt;"",'Data Source'!S180="A+"),'Data Source'!R180,"")</f>
        <v/>
      </c>
      <c r="Q180" s="3">
        <f>IF(AND('Data Source'!B180&lt;&gt;"",'Data Source'!S180="A+"),'Data Source'!S180,"")</f>
        <v/>
      </c>
    </row>
    <row r="181">
      <c r="A181" s="3">
        <f>IF(AND('Data Source'!B181&lt;&gt;"",'Data Source'!S181="A+"),COUNTIF('Data Source'!$S$3:S181,"A+"),"")</f>
        <v/>
      </c>
      <c r="B181">
        <f>IF(AND('Data Source'!B181&lt;&gt;"",'Data Source'!S181="A+"),'Data Source'!B181,"")</f>
        <v/>
      </c>
      <c r="C181" s="3">
        <f>IF(AND('Data Source'!B181&lt;&gt;"",'Data Source'!S181="A+"),IF('Data Source'!U181&gt;=5,"A+",IF('Data Source'!U181&gt;=4,"A",IF('Data Source'!U181&gt;=3.5,"A-",IF('Data Source'!U181&gt;=3,"B",IF('Data Source'!U181&gt;=2,"C",IF('Data Source'!U181&gt;=1,"D","F")))))),"")</f>
        <v/>
      </c>
      <c r="D181" s="3">
        <f>IF(AND('Data Source'!B181&lt;&gt;"",'Data Source'!S181="A+"),IF('Data Source'!V181&gt;=5,"A+",IF('Data Source'!V181&gt;=4,"A",IF('Data Source'!V181&gt;=3.5,"A-",IF('Data Source'!V181&gt;=3,"B",IF('Data Source'!V181&gt;=2,"C",IF('Data Source'!V181&gt;=1,"D","F")))))),"")</f>
        <v/>
      </c>
      <c r="E181" s="3">
        <f>IF(AND('Data Source'!B181&lt;&gt;"",'Data Source'!S181="A+"),IF('Data Source'!W181&gt;=5,"A+",IF('Data Source'!W181&gt;=4,"A",IF('Data Source'!W181&gt;=3.5,"A-",IF('Data Source'!W181&gt;=3,"B",IF('Data Source'!W181&gt;=2,"C",IF('Data Source'!W181&gt;=1,"D","F")))))),"")</f>
        <v/>
      </c>
      <c r="F181" s="3">
        <f>IF(AND('Data Source'!B181&lt;&gt;"",'Data Source'!S181="A+"),IF('Data Source'!X181&gt;=5,"A+",IF('Data Source'!X181&gt;=4,"A",IF('Data Source'!X181&gt;=3.5,"A-",IF('Data Source'!X181&gt;=3,"B",IF('Data Source'!X181&gt;=2,"C",IF('Data Source'!X181&gt;=1,"D","F")))))),"")</f>
        <v/>
      </c>
      <c r="G181" s="3">
        <f>IF(AND('Data Source'!B181&lt;&gt;"",'Data Source'!S181="A+"),IF('Data Source'!Y181&gt;=5,"A+",IF('Data Source'!Y181&gt;=4,"A",IF('Data Source'!Y181&gt;=3.5,"A-",IF('Data Source'!Y181&gt;=3,"B",IF('Data Source'!Y181&gt;=2,"C",IF('Data Source'!Y181&gt;=1,"D","F")))))),"")</f>
        <v/>
      </c>
      <c r="H181" s="3">
        <f>IF(AND('Data Source'!B181&lt;&gt;"",'Data Source'!S181="A+"),IF('Data Source'!Z181&gt;=5,"A+",IF('Data Source'!Z181&gt;=4,"A",IF('Data Source'!Z181&gt;=3.5,"A-",IF('Data Source'!Z181&gt;=3,"B",IF('Data Source'!Z181&gt;=2,"C",IF('Data Source'!Z181&gt;=1,"D","F")))))),"")</f>
        <v/>
      </c>
      <c r="I181" s="3">
        <f>IF(AND('Data Source'!B181&lt;&gt;"",'Data Source'!S181="A+"),IF('Data Source'!AA181&gt;=5,"A+",IF('Data Source'!AA181&gt;=4,"A",IF('Data Source'!AA181&gt;=3.5,"A-",IF('Data Source'!AA181&gt;=3,"B",IF('Data Source'!AA181&gt;=2,"C",IF('Data Source'!AA181&gt;=1,"D","F")))))),"")</f>
        <v/>
      </c>
      <c r="J181" s="3">
        <f>IF(AND('Data Source'!B181&lt;&gt;"",'Data Source'!S181="A+"),IF('Data Source'!AB181&gt;=5,"A+",IF('Data Source'!AB181&gt;=4,"A",IF('Data Source'!AB181&gt;=3.5,"A-",IF('Data Source'!AB181&gt;=3,"B",IF('Data Source'!AB181&gt;=2,"C",IF('Data Source'!AB181&gt;=1,"D","F")))))),"")</f>
        <v/>
      </c>
      <c r="K181" s="3">
        <f>IF(AND('Data Source'!B181&lt;&gt;"",'Data Source'!S181="A+"),IF('Data Source'!AC181&gt;=5,"A+",IF('Data Source'!AC181&gt;=4,"A",IF('Data Source'!AC181&gt;=3.5,"A-",IF('Data Source'!AC181&gt;=3,"B",IF('Data Source'!AC181&gt;=2,"C",IF('Data Source'!AC181&gt;=1,"D","F")))))),"")</f>
        <v/>
      </c>
      <c r="L181" s="3">
        <f>IF(AND('Data Source'!B181&lt;&gt;"",'Data Source'!S181="A+"),IF('Data Source'!AD181&gt;=5,"A+",IF('Data Source'!AD181&gt;=4,"A",IF('Data Source'!AD181&gt;=3.5,"A-",IF('Data Source'!AD181&gt;=3,"B",IF('Data Source'!AD181&gt;=2,"C",IF('Data Source'!AD181&gt;=1,"D","F")))))),"")</f>
        <v/>
      </c>
      <c r="M181" s="3">
        <f>IF(AND('Data Source'!B181&lt;&gt;"",'Data Source'!S181="A+"),IF('Data Source'!AE181&gt;=5,"A+",IF('Data Source'!AE181&gt;=4,"A",IF('Data Source'!AE181&gt;=3.5,"A-",IF('Data Source'!AE181&gt;=3,"B",IF('Data Source'!AE181&gt;=2,"C",IF('Data Source'!AE181&gt;=1,"D","F")))))),"")</f>
        <v/>
      </c>
      <c r="N181" s="3">
        <f>IF(AND('Data Source'!B181&lt;&gt;"",'Data Source'!S181="A+"),IF('Data Source'!AF181&gt;=5,"A+",IF('Data Source'!AF181&gt;=4,"A",IF('Data Source'!AF181&gt;=3.5,"A-",IF('Data Source'!AF181&gt;=3,"B",IF('Data Source'!AF181&gt;=2,"C",IF('Data Source'!AF181&gt;=1,"D","F")))))),"")</f>
        <v/>
      </c>
      <c r="O181" s="3">
        <f>IF(AND('Data Source'!B181&lt;&gt;"",'Data Source'!S181="A+"),IF('Data Source'!AG181&gt;=5,"A+",IF('Data Source'!AG181&gt;=4,"A",IF('Data Source'!AG181&gt;=3.5,"A-",IF('Data Source'!AG181&gt;=3,"B",IF('Data Source'!AG181&gt;=2,"C",IF('Data Source'!AG181&gt;=1,"D","F")))))),"")</f>
        <v/>
      </c>
      <c r="P181" s="5">
        <f>IF(AND('Data Source'!B181&lt;&gt;"",'Data Source'!S181="A+"),'Data Source'!R181,"")</f>
        <v/>
      </c>
      <c r="Q181" s="3">
        <f>IF(AND('Data Source'!B181&lt;&gt;"",'Data Source'!S181="A+"),'Data Source'!S181,"")</f>
        <v/>
      </c>
    </row>
    <row r="182">
      <c r="A182" s="3">
        <f>IF(AND('Data Source'!B182&lt;&gt;"",'Data Source'!S182="A+"),COUNTIF('Data Source'!$S$3:S182,"A+"),"")</f>
        <v/>
      </c>
      <c r="B182">
        <f>IF(AND('Data Source'!B182&lt;&gt;"",'Data Source'!S182="A+"),'Data Source'!B182,"")</f>
        <v/>
      </c>
      <c r="C182" s="3">
        <f>IF(AND('Data Source'!B182&lt;&gt;"",'Data Source'!S182="A+"),IF('Data Source'!U182&gt;=5,"A+",IF('Data Source'!U182&gt;=4,"A",IF('Data Source'!U182&gt;=3.5,"A-",IF('Data Source'!U182&gt;=3,"B",IF('Data Source'!U182&gt;=2,"C",IF('Data Source'!U182&gt;=1,"D","F")))))),"")</f>
        <v/>
      </c>
      <c r="D182" s="3">
        <f>IF(AND('Data Source'!B182&lt;&gt;"",'Data Source'!S182="A+"),IF('Data Source'!V182&gt;=5,"A+",IF('Data Source'!V182&gt;=4,"A",IF('Data Source'!V182&gt;=3.5,"A-",IF('Data Source'!V182&gt;=3,"B",IF('Data Source'!V182&gt;=2,"C",IF('Data Source'!V182&gt;=1,"D","F")))))),"")</f>
        <v/>
      </c>
      <c r="E182" s="3">
        <f>IF(AND('Data Source'!B182&lt;&gt;"",'Data Source'!S182="A+"),IF('Data Source'!W182&gt;=5,"A+",IF('Data Source'!W182&gt;=4,"A",IF('Data Source'!W182&gt;=3.5,"A-",IF('Data Source'!W182&gt;=3,"B",IF('Data Source'!W182&gt;=2,"C",IF('Data Source'!W182&gt;=1,"D","F")))))),"")</f>
        <v/>
      </c>
      <c r="F182" s="3">
        <f>IF(AND('Data Source'!B182&lt;&gt;"",'Data Source'!S182="A+"),IF('Data Source'!X182&gt;=5,"A+",IF('Data Source'!X182&gt;=4,"A",IF('Data Source'!X182&gt;=3.5,"A-",IF('Data Source'!X182&gt;=3,"B",IF('Data Source'!X182&gt;=2,"C",IF('Data Source'!X182&gt;=1,"D","F")))))),"")</f>
        <v/>
      </c>
      <c r="G182" s="3">
        <f>IF(AND('Data Source'!B182&lt;&gt;"",'Data Source'!S182="A+"),IF('Data Source'!Y182&gt;=5,"A+",IF('Data Source'!Y182&gt;=4,"A",IF('Data Source'!Y182&gt;=3.5,"A-",IF('Data Source'!Y182&gt;=3,"B",IF('Data Source'!Y182&gt;=2,"C",IF('Data Source'!Y182&gt;=1,"D","F")))))),"")</f>
        <v/>
      </c>
      <c r="H182" s="3">
        <f>IF(AND('Data Source'!B182&lt;&gt;"",'Data Source'!S182="A+"),IF('Data Source'!Z182&gt;=5,"A+",IF('Data Source'!Z182&gt;=4,"A",IF('Data Source'!Z182&gt;=3.5,"A-",IF('Data Source'!Z182&gt;=3,"B",IF('Data Source'!Z182&gt;=2,"C",IF('Data Source'!Z182&gt;=1,"D","F")))))),"")</f>
        <v/>
      </c>
      <c r="I182" s="3">
        <f>IF(AND('Data Source'!B182&lt;&gt;"",'Data Source'!S182="A+"),IF('Data Source'!AA182&gt;=5,"A+",IF('Data Source'!AA182&gt;=4,"A",IF('Data Source'!AA182&gt;=3.5,"A-",IF('Data Source'!AA182&gt;=3,"B",IF('Data Source'!AA182&gt;=2,"C",IF('Data Source'!AA182&gt;=1,"D","F")))))),"")</f>
        <v/>
      </c>
      <c r="J182" s="3">
        <f>IF(AND('Data Source'!B182&lt;&gt;"",'Data Source'!S182="A+"),IF('Data Source'!AB182&gt;=5,"A+",IF('Data Source'!AB182&gt;=4,"A",IF('Data Source'!AB182&gt;=3.5,"A-",IF('Data Source'!AB182&gt;=3,"B",IF('Data Source'!AB182&gt;=2,"C",IF('Data Source'!AB182&gt;=1,"D","F")))))),"")</f>
        <v/>
      </c>
      <c r="K182" s="3">
        <f>IF(AND('Data Source'!B182&lt;&gt;"",'Data Source'!S182="A+"),IF('Data Source'!AC182&gt;=5,"A+",IF('Data Source'!AC182&gt;=4,"A",IF('Data Source'!AC182&gt;=3.5,"A-",IF('Data Source'!AC182&gt;=3,"B",IF('Data Source'!AC182&gt;=2,"C",IF('Data Source'!AC182&gt;=1,"D","F")))))),"")</f>
        <v/>
      </c>
      <c r="L182" s="3">
        <f>IF(AND('Data Source'!B182&lt;&gt;"",'Data Source'!S182="A+"),IF('Data Source'!AD182&gt;=5,"A+",IF('Data Source'!AD182&gt;=4,"A",IF('Data Source'!AD182&gt;=3.5,"A-",IF('Data Source'!AD182&gt;=3,"B",IF('Data Source'!AD182&gt;=2,"C",IF('Data Source'!AD182&gt;=1,"D","F")))))),"")</f>
        <v/>
      </c>
      <c r="M182" s="3">
        <f>IF(AND('Data Source'!B182&lt;&gt;"",'Data Source'!S182="A+"),IF('Data Source'!AE182&gt;=5,"A+",IF('Data Source'!AE182&gt;=4,"A",IF('Data Source'!AE182&gt;=3.5,"A-",IF('Data Source'!AE182&gt;=3,"B",IF('Data Source'!AE182&gt;=2,"C",IF('Data Source'!AE182&gt;=1,"D","F")))))),"")</f>
        <v/>
      </c>
      <c r="N182" s="3">
        <f>IF(AND('Data Source'!B182&lt;&gt;"",'Data Source'!S182="A+"),IF('Data Source'!AF182&gt;=5,"A+",IF('Data Source'!AF182&gt;=4,"A",IF('Data Source'!AF182&gt;=3.5,"A-",IF('Data Source'!AF182&gt;=3,"B",IF('Data Source'!AF182&gt;=2,"C",IF('Data Source'!AF182&gt;=1,"D","F")))))),"")</f>
        <v/>
      </c>
      <c r="O182" s="3">
        <f>IF(AND('Data Source'!B182&lt;&gt;"",'Data Source'!S182="A+"),IF('Data Source'!AG182&gt;=5,"A+",IF('Data Source'!AG182&gt;=4,"A",IF('Data Source'!AG182&gt;=3.5,"A-",IF('Data Source'!AG182&gt;=3,"B",IF('Data Source'!AG182&gt;=2,"C",IF('Data Source'!AG182&gt;=1,"D","F")))))),"")</f>
        <v/>
      </c>
      <c r="P182" s="5">
        <f>IF(AND('Data Source'!B182&lt;&gt;"",'Data Source'!S182="A+"),'Data Source'!R182,"")</f>
        <v/>
      </c>
      <c r="Q182" s="3">
        <f>IF(AND('Data Source'!B182&lt;&gt;"",'Data Source'!S182="A+"),'Data Source'!S182,"")</f>
        <v/>
      </c>
    </row>
    <row r="183">
      <c r="A183" s="3">
        <f>IF(AND('Data Source'!B183&lt;&gt;"",'Data Source'!S183="A+"),COUNTIF('Data Source'!$S$3:S183,"A+"),"")</f>
        <v/>
      </c>
      <c r="B183">
        <f>IF(AND('Data Source'!B183&lt;&gt;"",'Data Source'!S183="A+"),'Data Source'!B183,"")</f>
        <v/>
      </c>
      <c r="C183" s="3">
        <f>IF(AND('Data Source'!B183&lt;&gt;"",'Data Source'!S183="A+"),IF('Data Source'!U183&gt;=5,"A+",IF('Data Source'!U183&gt;=4,"A",IF('Data Source'!U183&gt;=3.5,"A-",IF('Data Source'!U183&gt;=3,"B",IF('Data Source'!U183&gt;=2,"C",IF('Data Source'!U183&gt;=1,"D","F")))))),"")</f>
        <v/>
      </c>
      <c r="D183" s="3">
        <f>IF(AND('Data Source'!B183&lt;&gt;"",'Data Source'!S183="A+"),IF('Data Source'!V183&gt;=5,"A+",IF('Data Source'!V183&gt;=4,"A",IF('Data Source'!V183&gt;=3.5,"A-",IF('Data Source'!V183&gt;=3,"B",IF('Data Source'!V183&gt;=2,"C",IF('Data Source'!V183&gt;=1,"D","F")))))),"")</f>
        <v/>
      </c>
      <c r="E183" s="3">
        <f>IF(AND('Data Source'!B183&lt;&gt;"",'Data Source'!S183="A+"),IF('Data Source'!W183&gt;=5,"A+",IF('Data Source'!W183&gt;=4,"A",IF('Data Source'!W183&gt;=3.5,"A-",IF('Data Source'!W183&gt;=3,"B",IF('Data Source'!W183&gt;=2,"C",IF('Data Source'!W183&gt;=1,"D","F")))))),"")</f>
        <v/>
      </c>
      <c r="F183" s="3">
        <f>IF(AND('Data Source'!B183&lt;&gt;"",'Data Source'!S183="A+"),IF('Data Source'!X183&gt;=5,"A+",IF('Data Source'!X183&gt;=4,"A",IF('Data Source'!X183&gt;=3.5,"A-",IF('Data Source'!X183&gt;=3,"B",IF('Data Source'!X183&gt;=2,"C",IF('Data Source'!X183&gt;=1,"D","F")))))),"")</f>
        <v/>
      </c>
      <c r="G183" s="3">
        <f>IF(AND('Data Source'!B183&lt;&gt;"",'Data Source'!S183="A+"),IF('Data Source'!Y183&gt;=5,"A+",IF('Data Source'!Y183&gt;=4,"A",IF('Data Source'!Y183&gt;=3.5,"A-",IF('Data Source'!Y183&gt;=3,"B",IF('Data Source'!Y183&gt;=2,"C",IF('Data Source'!Y183&gt;=1,"D","F")))))),"")</f>
        <v/>
      </c>
      <c r="H183" s="3">
        <f>IF(AND('Data Source'!B183&lt;&gt;"",'Data Source'!S183="A+"),IF('Data Source'!Z183&gt;=5,"A+",IF('Data Source'!Z183&gt;=4,"A",IF('Data Source'!Z183&gt;=3.5,"A-",IF('Data Source'!Z183&gt;=3,"B",IF('Data Source'!Z183&gt;=2,"C",IF('Data Source'!Z183&gt;=1,"D","F")))))),"")</f>
        <v/>
      </c>
      <c r="I183" s="3">
        <f>IF(AND('Data Source'!B183&lt;&gt;"",'Data Source'!S183="A+"),IF('Data Source'!AA183&gt;=5,"A+",IF('Data Source'!AA183&gt;=4,"A",IF('Data Source'!AA183&gt;=3.5,"A-",IF('Data Source'!AA183&gt;=3,"B",IF('Data Source'!AA183&gt;=2,"C",IF('Data Source'!AA183&gt;=1,"D","F")))))),"")</f>
        <v/>
      </c>
      <c r="J183" s="3">
        <f>IF(AND('Data Source'!B183&lt;&gt;"",'Data Source'!S183="A+"),IF('Data Source'!AB183&gt;=5,"A+",IF('Data Source'!AB183&gt;=4,"A",IF('Data Source'!AB183&gt;=3.5,"A-",IF('Data Source'!AB183&gt;=3,"B",IF('Data Source'!AB183&gt;=2,"C",IF('Data Source'!AB183&gt;=1,"D","F")))))),"")</f>
        <v/>
      </c>
      <c r="K183" s="3">
        <f>IF(AND('Data Source'!B183&lt;&gt;"",'Data Source'!S183="A+"),IF('Data Source'!AC183&gt;=5,"A+",IF('Data Source'!AC183&gt;=4,"A",IF('Data Source'!AC183&gt;=3.5,"A-",IF('Data Source'!AC183&gt;=3,"B",IF('Data Source'!AC183&gt;=2,"C",IF('Data Source'!AC183&gt;=1,"D","F")))))),"")</f>
        <v/>
      </c>
      <c r="L183" s="3">
        <f>IF(AND('Data Source'!B183&lt;&gt;"",'Data Source'!S183="A+"),IF('Data Source'!AD183&gt;=5,"A+",IF('Data Source'!AD183&gt;=4,"A",IF('Data Source'!AD183&gt;=3.5,"A-",IF('Data Source'!AD183&gt;=3,"B",IF('Data Source'!AD183&gt;=2,"C",IF('Data Source'!AD183&gt;=1,"D","F")))))),"")</f>
        <v/>
      </c>
      <c r="M183" s="3">
        <f>IF(AND('Data Source'!B183&lt;&gt;"",'Data Source'!S183="A+"),IF('Data Source'!AE183&gt;=5,"A+",IF('Data Source'!AE183&gt;=4,"A",IF('Data Source'!AE183&gt;=3.5,"A-",IF('Data Source'!AE183&gt;=3,"B",IF('Data Source'!AE183&gt;=2,"C",IF('Data Source'!AE183&gt;=1,"D","F")))))),"")</f>
        <v/>
      </c>
      <c r="N183" s="3">
        <f>IF(AND('Data Source'!B183&lt;&gt;"",'Data Source'!S183="A+"),IF('Data Source'!AF183&gt;=5,"A+",IF('Data Source'!AF183&gt;=4,"A",IF('Data Source'!AF183&gt;=3.5,"A-",IF('Data Source'!AF183&gt;=3,"B",IF('Data Source'!AF183&gt;=2,"C",IF('Data Source'!AF183&gt;=1,"D","F")))))),"")</f>
        <v/>
      </c>
      <c r="O183" s="3">
        <f>IF(AND('Data Source'!B183&lt;&gt;"",'Data Source'!S183="A+"),IF('Data Source'!AG183&gt;=5,"A+",IF('Data Source'!AG183&gt;=4,"A",IF('Data Source'!AG183&gt;=3.5,"A-",IF('Data Source'!AG183&gt;=3,"B",IF('Data Source'!AG183&gt;=2,"C",IF('Data Source'!AG183&gt;=1,"D","F")))))),"")</f>
        <v/>
      </c>
      <c r="P183" s="5">
        <f>IF(AND('Data Source'!B183&lt;&gt;"",'Data Source'!S183="A+"),'Data Source'!R183,"")</f>
        <v/>
      </c>
      <c r="Q183" s="3">
        <f>IF(AND('Data Source'!B183&lt;&gt;"",'Data Source'!S183="A+"),'Data Source'!S183,"")</f>
        <v/>
      </c>
    </row>
    <row r="184">
      <c r="A184" s="3">
        <f>IF(AND('Data Source'!B184&lt;&gt;"",'Data Source'!S184="A+"),COUNTIF('Data Source'!$S$3:S184,"A+"),"")</f>
        <v/>
      </c>
      <c r="B184">
        <f>IF(AND('Data Source'!B184&lt;&gt;"",'Data Source'!S184="A+"),'Data Source'!B184,"")</f>
        <v/>
      </c>
      <c r="C184" s="3">
        <f>IF(AND('Data Source'!B184&lt;&gt;"",'Data Source'!S184="A+"),IF('Data Source'!U184&gt;=5,"A+",IF('Data Source'!U184&gt;=4,"A",IF('Data Source'!U184&gt;=3.5,"A-",IF('Data Source'!U184&gt;=3,"B",IF('Data Source'!U184&gt;=2,"C",IF('Data Source'!U184&gt;=1,"D","F")))))),"")</f>
        <v/>
      </c>
      <c r="D184" s="3">
        <f>IF(AND('Data Source'!B184&lt;&gt;"",'Data Source'!S184="A+"),IF('Data Source'!V184&gt;=5,"A+",IF('Data Source'!V184&gt;=4,"A",IF('Data Source'!V184&gt;=3.5,"A-",IF('Data Source'!V184&gt;=3,"B",IF('Data Source'!V184&gt;=2,"C",IF('Data Source'!V184&gt;=1,"D","F")))))),"")</f>
        <v/>
      </c>
      <c r="E184" s="3">
        <f>IF(AND('Data Source'!B184&lt;&gt;"",'Data Source'!S184="A+"),IF('Data Source'!W184&gt;=5,"A+",IF('Data Source'!W184&gt;=4,"A",IF('Data Source'!W184&gt;=3.5,"A-",IF('Data Source'!W184&gt;=3,"B",IF('Data Source'!W184&gt;=2,"C",IF('Data Source'!W184&gt;=1,"D","F")))))),"")</f>
        <v/>
      </c>
      <c r="F184" s="3">
        <f>IF(AND('Data Source'!B184&lt;&gt;"",'Data Source'!S184="A+"),IF('Data Source'!X184&gt;=5,"A+",IF('Data Source'!X184&gt;=4,"A",IF('Data Source'!X184&gt;=3.5,"A-",IF('Data Source'!X184&gt;=3,"B",IF('Data Source'!X184&gt;=2,"C",IF('Data Source'!X184&gt;=1,"D","F")))))),"")</f>
        <v/>
      </c>
      <c r="G184" s="3">
        <f>IF(AND('Data Source'!B184&lt;&gt;"",'Data Source'!S184="A+"),IF('Data Source'!Y184&gt;=5,"A+",IF('Data Source'!Y184&gt;=4,"A",IF('Data Source'!Y184&gt;=3.5,"A-",IF('Data Source'!Y184&gt;=3,"B",IF('Data Source'!Y184&gt;=2,"C",IF('Data Source'!Y184&gt;=1,"D","F")))))),"")</f>
        <v/>
      </c>
      <c r="H184" s="3">
        <f>IF(AND('Data Source'!B184&lt;&gt;"",'Data Source'!S184="A+"),IF('Data Source'!Z184&gt;=5,"A+",IF('Data Source'!Z184&gt;=4,"A",IF('Data Source'!Z184&gt;=3.5,"A-",IF('Data Source'!Z184&gt;=3,"B",IF('Data Source'!Z184&gt;=2,"C",IF('Data Source'!Z184&gt;=1,"D","F")))))),"")</f>
        <v/>
      </c>
      <c r="I184" s="3">
        <f>IF(AND('Data Source'!B184&lt;&gt;"",'Data Source'!S184="A+"),IF('Data Source'!AA184&gt;=5,"A+",IF('Data Source'!AA184&gt;=4,"A",IF('Data Source'!AA184&gt;=3.5,"A-",IF('Data Source'!AA184&gt;=3,"B",IF('Data Source'!AA184&gt;=2,"C",IF('Data Source'!AA184&gt;=1,"D","F")))))),"")</f>
        <v/>
      </c>
      <c r="J184" s="3">
        <f>IF(AND('Data Source'!B184&lt;&gt;"",'Data Source'!S184="A+"),IF('Data Source'!AB184&gt;=5,"A+",IF('Data Source'!AB184&gt;=4,"A",IF('Data Source'!AB184&gt;=3.5,"A-",IF('Data Source'!AB184&gt;=3,"B",IF('Data Source'!AB184&gt;=2,"C",IF('Data Source'!AB184&gt;=1,"D","F")))))),"")</f>
        <v/>
      </c>
      <c r="K184" s="3">
        <f>IF(AND('Data Source'!B184&lt;&gt;"",'Data Source'!S184="A+"),IF('Data Source'!AC184&gt;=5,"A+",IF('Data Source'!AC184&gt;=4,"A",IF('Data Source'!AC184&gt;=3.5,"A-",IF('Data Source'!AC184&gt;=3,"B",IF('Data Source'!AC184&gt;=2,"C",IF('Data Source'!AC184&gt;=1,"D","F")))))),"")</f>
        <v/>
      </c>
      <c r="L184" s="3">
        <f>IF(AND('Data Source'!B184&lt;&gt;"",'Data Source'!S184="A+"),IF('Data Source'!AD184&gt;=5,"A+",IF('Data Source'!AD184&gt;=4,"A",IF('Data Source'!AD184&gt;=3.5,"A-",IF('Data Source'!AD184&gt;=3,"B",IF('Data Source'!AD184&gt;=2,"C",IF('Data Source'!AD184&gt;=1,"D","F")))))),"")</f>
        <v/>
      </c>
      <c r="M184" s="3">
        <f>IF(AND('Data Source'!B184&lt;&gt;"",'Data Source'!S184="A+"),IF('Data Source'!AE184&gt;=5,"A+",IF('Data Source'!AE184&gt;=4,"A",IF('Data Source'!AE184&gt;=3.5,"A-",IF('Data Source'!AE184&gt;=3,"B",IF('Data Source'!AE184&gt;=2,"C",IF('Data Source'!AE184&gt;=1,"D","F")))))),"")</f>
        <v/>
      </c>
      <c r="N184" s="3">
        <f>IF(AND('Data Source'!B184&lt;&gt;"",'Data Source'!S184="A+"),IF('Data Source'!AF184&gt;=5,"A+",IF('Data Source'!AF184&gt;=4,"A",IF('Data Source'!AF184&gt;=3.5,"A-",IF('Data Source'!AF184&gt;=3,"B",IF('Data Source'!AF184&gt;=2,"C",IF('Data Source'!AF184&gt;=1,"D","F")))))),"")</f>
        <v/>
      </c>
      <c r="O184" s="3">
        <f>IF(AND('Data Source'!B184&lt;&gt;"",'Data Source'!S184="A+"),IF('Data Source'!AG184&gt;=5,"A+",IF('Data Source'!AG184&gt;=4,"A",IF('Data Source'!AG184&gt;=3.5,"A-",IF('Data Source'!AG184&gt;=3,"B",IF('Data Source'!AG184&gt;=2,"C",IF('Data Source'!AG184&gt;=1,"D","F")))))),"")</f>
        <v/>
      </c>
      <c r="P184" s="5">
        <f>IF(AND('Data Source'!B184&lt;&gt;"",'Data Source'!S184="A+"),'Data Source'!R184,"")</f>
        <v/>
      </c>
      <c r="Q184" s="3">
        <f>IF(AND('Data Source'!B184&lt;&gt;"",'Data Source'!S184="A+"),'Data Source'!S184,"")</f>
        <v/>
      </c>
    </row>
    <row r="185">
      <c r="A185" s="3">
        <f>IF(AND('Data Source'!B185&lt;&gt;"",'Data Source'!S185="A+"),COUNTIF('Data Source'!$S$3:S185,"A+"),"")</f>
        <v/>
      </c>
      <c r="B185">
        <f>IF(AND('Data Source'!B185&lt;&gt;"",'Data Source'!S185="A+"),'Data Source'!B185,"")</f>
        <v/>
      </c>
      <c r="C185" s="3">
        <f>IF(AND('Data Source'!B185&lt;&gt;"",'Data Source'!S185="A+"),IF('Data Source'!U185&gt;=5,"A+",IF('Data Source'!U185&gt;=4,"A",IF('Data Source'!U185&gt;=3.5,"A-",IF('Data Source'!U185&gt;=3,"B",IF('Data Source'!U185&gt;=2,"C",IF('Data Source'!U185&gt;=1,"D","F")))))),"")</f>
        <v/>
      </c>
      <c r="D185" s="3">
        <f>IF(AND('Data Source'!B185&lt;&gt;"",'Data Source'!S185="A+"),IF('Data Source'!V185&gt;=5,"A+",IF('Data Source'!V185&gt;=4,"A",IF('Data Source'!V185&gt;=3.5,"A-",IF('Data Source'!V185&gt;=3,"B",IF('Data Source'!V185&gt;=2,"C",IF('Data Source'!V185&gt;=1,"D","F")))))),"")</f>
        <v/>
      </c>
      <c r="E185" s="3">
        <f>IF(AND('Data Source'!B185&lt;&gt;"",'Data Source'!S185="A+"),IF('Data Source'!W185&gt;=5,"A+",IF('Data Source'!W185&gt;=4,"A",IF('Data Source'!W185&gt;=3.5,"A-",IF('Data Source'!W185&gt;=3,"B",IF('Data Source'!W185&gt;=2,"C",IF('Data Source'!W185&gt;=1,"D","F")))))),"")</f>
        <v/>
      </c>
      <c r="F185" s="3">
        <f>IF(AND('Data Source'!B185&lt;&gt;"",'Data Source'!S185="A+"),IF('Data Source'!X185&gt;=5,"A+",IF('Data Source'!X185&gt;=4,"A",IF('Data Source'!X185&gt;=3.5,"A-",IF('Data Source'!X185&gt;=3,"B",IF('Data Source'!X185&gt;=2,"C",IF('Data Source'!X185&gt;=1,"D","F")))))),"")</f>
        <v/>
      </c>
      <c r="G185" s="3">
        <f>IF(AND('Data Source'!B185&lt;&gt;"",'Data Source'!S185="A+"),IF('Data Source'!Y185&gt;=5,"A+",IF('Data Source'!Y185&gt;=4,"A",IF('Data Source'!Y185&gt;=3.5,"A-",IF('Data Source'!Y185&gt;=3,"B",IF('Data Source'!Y185&gt;=2,"C",IF('Data Source'!Y185&gt;=1,"D","F")))))),"")</f>
        <v/>
      </c>
      <c r="H185" s="3">
        <f>IF(AND('Data Source'!B185&lt;&gt;"",'Data Source'!S185="A+"),IF('Data Source'!Z185&gt;=5,"A+",IF('Data Source'!Z185&gt;=4,"A",IF('Data Source'!Z185&gt;=3.5,"A-",IF('Data Source'!Z185&gt;=3,"B",IF('Data Source'!Z185&gt;=2,"C",IF('Data Source'!Z185&gt;=1,"D","F")))))),"")</f>
        <v/>
      </c>
      <c r="I185" s="3">
        <f>IF(AND('Data Source'!B185&lt;&gt;"",'Data Source'!S185="A+"),IF('Data Source'!AA185&gt;=5,"A+",IF('Data Source'!AA185&gt;=4,"A",IF('Data Source'!AA185&gt;=3.5,"A-",IF('Data Source'!AA185&gt;=3,"B",IF('Data Source'!AA185&gt;=2,"C",IF('Data Source'!AA185&gt;=1,"D","F")))))),"")</f>
        <v/>
      </c>
      <c r="J185" s="3">
        <f>IF(AND('Data Source'!B185&lt;&gt;"",'Data Source'!S185="A+"),IF('Data Source'!AB185&gt;=5,"A+",IF('Data Source'!AB185&gt;=4,"A",IF('Data Source'!AB185&gt;=3.5,"A-",IF('Data Source'!AB185&gt;=3,"B",IF('Data Source'!AB185&gt;=2,"C",IF('Data Source'!AB185&gt;=1,"D","F")))))),"")</f>
        <v/>
      </c>
      <c r="K185" s="3">
        <f>IF(AND('Data Source'!B185&lt;&gt;"",'Data Source'!S185="A+"),IF('Data Source'!AC185&gt;=5,"A+",IF('Data Source'!AC185&gt;=4,"A",IF('Data Source'!AC185&gt;=3.5,"A-",IF('Data Source'!AC185&gt;=3,"B",IF('Data Source'!AC185&gt;=2,"C",IF('Data Source'!AC185&gt;=1,"D","F")))))),"")</f>
        <v/>
      </c>
      <c r="L185" s="3">
        <f>IF(AND('Data Source'!B185&lt;&gt;"",'Data Source'!S185="A+"),IF('Data Source'!AD185&gt;=5,"A+",IF('Data Source'!AD185&gt;=4,"A",IF('Data Source'!AD185&gt;=3.5,"A-",IF('Data Source'!AD185&gt;=3,"B",IF('Data Source'!AD185&gt;=2,"C",IF('Data Source'!AD185&gt;=1,"D","F")))))),"")</f>
        <v/>
      </c>
      <c r="M185" s="3">
        <f>IF(AND('Data Source'!B185&lt;&gt;"",'Data Source'!S185="A+"),IF('Data Source'!AE185&gt;=5,"A+",IF('Data Source'!AE185&gt;=4,"A",IF('Data Source'!AE185&gt;=3.5,"A-",IF('Data Source'!AE185&gt;=3,"B",IF('Data Source'!AE185&gt;=2,"C",IF('Data Source'!AE185&gt;=1,"D","F")))))),"")</f>
        <v/>
      </c>
      <c r="N185" s="3">
        <f>IF(AND('Data Source'!B185&lt;&gt;"",'Data Source'!S185="A+"),IF('Data Source'!AF185&gt;=5,"A+",IF('Data Source'!AF185&gt;=4,"A",IF('Data Source'!AF185&gt;=3.5,"A-",IF('Data Source'!AF185&gt;=3,"B",IF('Data Source'!AF185&gt;=2,"C",IF('Data Source'!AF185&gt;=1,"D","F")))))),"")</f>
        <v/>
      </c>
      <c r="O185" s="3">
        <f>IF(AND('Data Source'!B185&lt;&gt;"",'Data Source'!S185="A+"),IF('Data Source'!AG185&gt;=5,"A+",IF('Data Source'!AG185&gt;=4,"A",IF('Data Source'!AG185&gt;=3.5,"A-",IF('Data Source'!AG185&gt;=3,"B",IF('Data Source'!AG185&gt;=2,"C",IF('Data Source'!AG185&gt;=1,"D","F")))))),"")</f>
        <v/>
      </c>
      <c r="P185" s="5">
        <f>IF(AND('Data Source'!B185&lt;&gt;"",'Data Source'!S185="A+"),'Data Source'!R185,"")</f>
        <v/>
      </c>
      <c r="Q185" s="3">
        <f>IF(AND('Data Source'!B185&lt;&gt;"",'Data Source'!S185="A+"),'Data Source'!S185,"")</f>
        <v/>
      </c>
    </row>
    <row r="186">
      <c r="A186" s="3">
        <f>IF(AND('Data Source'!B186&lt;&gt;"",'Data Source'!S186="A+"),COUNTIF('Data Source'!$S$3:S186,"A+"),"")</f>
        <v/>
      </c>
      <c r="B186">
        <f>IF(AND('Data Source'!B186&lt;&gt;"",'Data Source'!S186="A+"),'Data Source'!B186,"")</f>
        <v/>
      </c>
      <c r="C186" s="3">
        <f>IF(AND('Data Source'!B186&lt;&gt;"",'Data Source'!S186="A+"),IF('Data Source'!U186&gt;=5,"A+",IF('Data Source'!U186&gt;=4,"A",IF('Data Source'!U186&gt;=3.5,"A-",IF('Data Source'!U186&gt;=3,"B",IF('Data Source'!U186&gt;=2,"C",IF('Data Source'!U186&gt;=1,"D","F")))))),"")</f>
        <v/>
      </c>
      <c r="D186" s="3">
        <f>IF(AND('Data Source'!B186&lt;&gt;"",'Data Source'!S186="A+"),IF('Data Source'!V186&gt;=5,"A+",IF('Data Source'!V186&gt;=4,"A",IF('Data Source'!V186&gt;=3.5,"A-",IF('Data Source'!V186&gt;=3,"B",IF('Data Source'!V186&gt;=2,"C",IF('Data Source'!V186&gt;=1,"D","F")))))),"")</f>
        <v/>
      </c>
      <c r="E186" s="3">
        <f>IF(AND('Data Source'!B186&lt;&gt;"",'Data Source'!S186="A+"),IF('Data Source'!W186&gt;=5,"A+",IF('Data Source'!W186&gt;=4,"A",IF('Data Source'!W186&gt;=3.5,"A-",IF('Data Source'!W186&gt;=3,"B",IF('Data Source'!W186&gt;=2,"C",IF('Data Source'!W186&gt;=1,"D","F")))))),"")</f>
        <v/>
      </c>
      <c r="F186" s="3">
        <f>IF(AND('Data Source'!B186&lt;&gt;"",'Data Source'!S186="A+"),IF('Data Source'!X186&gt;=5,"A+",IF('Data Source'!X186&gt;=4,"A",IF('Data Source'!X186&gt;=3.5,"A-",IF('Data Source'!X186&gt;=3,"B",IF('Data Source'!X186&gt;=2,"C",IF('Data Source'!X186&gt;=1,"D","F")))))),"")</f>
        <v/>
      </c>
      <c r="G186" s="3">
        <f>IF(AND('Data Source'!B186&lt;&gt;"",'Data Source'!S186="A+"),IF('Data Source'!Y186&gt;=5,"A+",IF('Data Source'!Y186&gt;=4,"A",IF('Data Source'!Y186&gt;=3.5,"A-",IF('Data Source'!Y186&gt;=3,"B",IF('Data Source'!Y186&gt;=2,"C",IF('Data Source'!Y186&gt;=1,"D","F")))))),"")</f>
        <v/>
      </c>
      <c r="H186" s="3">
        <f>IF(AND('Data Source'!B186&lt;&gt;"",'Data Source'!S186="A+"),IF('Data Source'!Z186&gt;=5,"A+",IF('Data Source'!Z186&gt;=4,"A",IF('Data Source'!Z186&gt;=3.5,"A-",IF('Data Source'!Z186&gt;=3,"B",IF('Data Source'!Z186&gt;=2,"C",IF('Data Source'!Z186&gt;=1,"D","F")))))),"")</f>
        <v/>
      </c>
      <c r="I186" s="3">
        <f>IF(AND('Data Source'!B186&lt;&gt;"",'Data Source'!S186="A+"),IF('Data Source'!AA186&gt;=5,"A+",IF('Data Source'!AA186&gt;=4,"A",IF('Data Source'!AA186&gt;=3.5,"A-",IF('Data Source'!AA186&gt;=3,"B",IF('Data Source'!AA186&gt;=2,"C",IF('Data Source'!AA186&gt;=1,"D","F")))))),"")</f>
        <v/>
      </c>
      <c r="J186" s="3">
        <f>IF(AND('Data Source'!B186&lt;&gt;"",'Data Source'!S186="A+"),IF('Data Source'!AB186&gt;=5,"A+",IF('Data Source'!AB186&gt;=4,"A",IF('Data Source'!AB186&gt;=3.5,"A-",IF('Data Source'!AB186&gt;=3,"B",IF('Data Source'!AB186&gt;=2,"C",IF('Data Source'!AB186&gt;=1,"D","F")))))),"")</f>
        <v/>
      </c>
      <c r="K186" s="3">
        <f>IF(AND('Data Source'!B186&lt;&gt;"",'Data Source'!S186="A+"),IF('Data Source'!AC186&gt;=5,"A+",IF('Data Source'!AC186&gt;=4,"A",IF('Data Source'!AC186&gt;=3.5,"A-",IF('Data Source'!AC186&gt;=3,"B",IF('Data Source'!AC186&gt;=2,"C",IF('Data Source'!AC186&gt;=1,"D","F")))))),"")</f>
        <v/>
      </c>
      <c r="L186" s="3">
        <f>IF(AND('Data Source'!B186&lt;&gt;"",'Data Source'!S186="A+"),IF('Data Source'!AD186&gt;=5,"A+",IF('Data Source'!AD186&gt;=4,"A",IF('Data Source'!AD186&gt;=3.5,"A-",IF('Data Source'!AD186&gt;=3,"B",IF('Data Source'!AD186&gt;=2,"C",IF('Data Source'!AD186&gt;=1,"D","F")))))),"")</f>
        <v/>
      </c>
      <c r="M186" s="3">
        <f>IF(AND('Data Source'!B186&lt;&gt;"",'Data Source'!S186="A+"),IF('Data Source'!AE186&gt;=5,"A+",IF('Data Source'!AE186&gt;=4,"A",IF('Data Source'!AE186&gt;=3.5,"A-",IF('Data Source'!AE186&gt;=3,"B",IF('Data Source'!AE186&gt;=2,"C",IF('Data Source'!AE186&gt;=1,"D","F")))))),"")</f>
        <v/>
      </c>
      <c r="N186" s="3">
        <f>IF(AND('Data Source'!B186&lt;&gt;"",'Data Source'!S186="A+"),IF('Data Source'!AF186&gt;=5,"A+",IF('Data Source'!AF186&gt;=4,"A",IF('Data Source'!AF186&gt;=3.5,"A-",IF('Data Source'!AF186&gt;=3,"B",IF('Data Source'!AF186&gt;=2,"C",IF('Data Source'!AF186&gt;=1,"D","F")))))),"")</f>
        <v/>
      </c>
      <c r="O186" s="3">
        <f>IF(AND('Data Source'!B186&lt;&gt;"",'Data Source'!S186="A+"),IF('Data Source'!AG186&gt;=5,"A+",IF('Data Source'!AG186&gt;=4,"A",IF('Data Source'!AG186&gt;=3.5,"A-",IF('Data Source'!AG186&gt;=3,"B",IF('Data Source'!AG186&gt;=2,"C",IF('Data Source'!AG186&gt;=1,"D","F")))))),"")</f>
        <v/>
      </c>
      <c r="P186" s="5">
        <f>IF(AND('Data Source'!B186&lt;&gt;"",'Data Source'!S186="A+"),'Data Source'!R186,"")</f>
        <v/>
      </c>
      <c r="Q186" s="3">
        <f>IF(AND('Data Source'!B186&lt;&gt;"",'Data Source'!S186="A+"),'Data Source'!S186,"")</f>
        <v/>
      </c>
    </row>
    <row r="187">
      <c r="A187" s="3">
        <f>IF(AND('Data Source'!B187&lt;&gt;"",'Data Source'!S187="A+"),COUNTIF('Data Source'!$S$3:S187,"A+"),"")</f>
        <v/>
      </c>
      <c r="B187">
        <f>IF(AND('Data Source'!B187&lt;&gt;"",'Data Source'!S187="A+"),'Data Source'!B187,"")</f>
        <v/>
      </c>
      <c r="C187" s="3">
        <f>IF(AND('Data Source'!B187&lt;&gt;"",'Data Source'!S187="A+"),IF('Data Source'!U187&gt;=5,"A+",IF('Data Source'!U187&gt;=4,"A",IF('Data Source'!U187&gt;=3.5,"A-",IF('Data Source'!U187&gt;=3,"B",IF('Data Source'!U187&gt;=2,"C",IF('Data Source'!U187&gt;=1,"D","F")))))),"")</f>
        <v/>
      </c>
      <c r="D187" s="3">
        <f>IF(AND('Data Source'!B187&lt;&gt;"",'Data Source'!S187="A+"),IF('Data Source'!V187&gt;=5,"A+",IF('Data Source'!V187&gt;=4,"A",IF('Data Source'!V187&gt;=3.5,"A-",IF('Data Source'!V187&gt;=3,"B",IF('Data Source'!V187&gt;=2,"C",IF('Data Source'!V187&gt;=1,"D","F")))))),"")</f>
        <v/>
      </c>
      <c r="E187" s="3">
        <f>IF(AND('Data Source'!B187&lt;&gt;"",'Data Source'!S187="A+"),IF('Data Source'!W187&gt;=5,"A+",IF('Data Source'!W187&gt;=4,"A",IF('Data Source'!W187&gt;=3.5,"A-",IF('Data Source'!W187&gt;=3,"B",IF('Data Source'!W187&gt;=2,"C",IF('Data Source'!W187&gt;=1,"D","F")))))),"")</f>
        <v/>
      </c>
      <c r="F187" s="3">
        <f>IF(AND('Data Source'!B187&lt;&gt;"",'Data Source'!S187="A+"),IF('Data Source'!X187&gt;=5,"A+",IF('Data Source'!X187&gt;=4,"A",IF('Data Source'!X187&gt;=3.5,"A-",IF('Data Source'!X187&gt;=3,"B",IF('Data Source'!X187&gt;=2,"C",IF('Data Source'!X187&gt;=1,"D","F")))))),"")</f>
        <v/>
      </c>
      <c r="G187" s="3">
        <f>IF(AND('Data Source'!B187&lt;&gt;"",'Data Source'!S187="A+"),IF('Data Source'!Y187&gt;=5,"A+",IF('Data Source'!Y187&gt;=4,"A",IF('Data Source'!Y187&gt;=3.5,"A-",IF('Data Source'!Y187&gt;=3,"B",IF('Data Source'!Y187&gt;=2,"C",IF('Data Source'!Y187&gt;=1,"D","F")))))),"")</f>
        <v/>
      </c>
      <c r="H187" s="3">
        <f>IF(AND('Data Source'!B187&lt;&gt;"",'Data Source'!S187="A+"),IF('Data Source'!Z187&gt;=5,"A+",IF('Data Source'!Z187&gt;=4,"A",IF('Data Source'!Z187&gt;=3.5,"A-",IF('Data Source'!Z187&gt;=3,"B",IF('Data Source'!Z187&gt;=2,"C",IF('Data Source'!Z187&gt;=1,"D","F")))))),"")</f>
        <v/>
      </c>
      <c r="I187" s="3">
        <f>IF(AND('Data Source'!B187&lt;&gt;"",'Data Source'!S187="A+"),IF('Data Source'!AA187&gt;=5,"A+",IF('Data Source'!AA187&gt;=4,"A",IF('Data Source'!AA187&gt;=3.5,"A-",IF('Data Source'!AA187&gt;=3,"B",IF('Data Source'!AA187&gt;=2,"C",IF('Data Source'!AA187&gt;=1,"D","F")))))),"")</f>
        <v/>
      </c>
      <c r="J187" s="3">
        <f>IF(AND('Data Source'!B187&lt;&gt;"",'Data Source'!S187="A+"),IF('Data Source'!AB187&gt;=5,"A+",IF('Data Source'!AB187&gt;=4,"A",IF('Data Source'!AB187&gt;=3.5,"A-",IF('Data Source'!AB187&gt;=3,"B",IF('Data Source'!AB187&gt;=2,"C",IF('Data Source'!AB187&gt;=1,"D","F")))))),"")</f>
        <v/>
      </c>
      <c r="K187" s="3">
        <f>IF(AND('Data Source'!B187&lt;&gt;"",'Data Source'!S187="A+"),IF('Data Source'!AC187&gt;=5,"A+",IF('Data Source'!AC187&gt;=4,"A",IF('Data Source'!AC187&gt;=3.5,"A-",IF('Data Source'!AC187&gt;=3,"B",IF('Data Source'!AC187&gt;=2,"C",IF('Data Source'!AC187&gt;=1,"D","F")))))),"")</f>
        <v/>
      </c>
      <c r="L187" s="3">
        <f>IF(AND('Data Source'!B187&lt;&gt;"",'Data Source'!S187="A+"),IF('Data Source'!AD187&gt;=5,"A+",IF('Data Source'!AD187&gt;=4,"A",IF('Data Source'!AD187&gt;=3.5,"A-",IF('Data Source'!AD187&gt;=3,"B",IF('Data Source'!AD187&gt;=2,"C",IF('Data Source'!AD187&gt;=1,"D","F")))))),"")</f>
        <v/>
      </c>
      <c r="M187" s="3">
        <f>IF(AND('Data Source'!B187&lt;&gt;"",'Data Source'!S187="A+"),IF('Data Source'!AE187&gt;=5,"A+",IF('Data Source'!AE187&gt;=4,"A",IF('Data Source'!AE187&gt;=3.5,"A-",IF('Data Source'!AE187&gt;=3,"B",IF('Data Source'!AE187&gt;=2,"C",IF('Data Source'!AE187&gt;=1,"D","F")))))),"")</f>
        <v/>
      </c>
      <c r="N187" s="3">
        <f>IF(AND('Data Source'!B187&lt;&gt;"",'Data Source'!S187="A+"),IF('Data Source'!AF187&gt;=5,"A+",IF('Data Source'!AF187&gt;=4,"A",IF('Data Source'!AF187&gt;=3.5,"A-",IF('Data Source'!AF187&gt;=3,"B",IF('Data Source'!AF187&gt;=2,"C",IF('Data Source'!AF187&gt;=1,"D","F")))))),"")</f>
        <v/>
      </c>
      <c r="O187" s="3">
        <f>IF(AND('Data Source'!B187&lt;&gt;"",'Data Source'!S187="A+"),IF('Data Source'!AG187&gt;=5,"A+",IF('Data Source'!AG187&gt;=4,"A",IF('Data Source'!AG187&gt;=3.5,"A-",IF('Data Source'!AG187&gt;=3,"B",IF('Data Source'!AG187&gt;=2,"C",IF('Data Source'!AG187&gt;=1,"D","F")))))),"")</f>
        <v/>
      </c>
      <c r="P187" s="5">
        <f>IF(AND('Data Source'!B187&lt;&gt;"",'Data Source'!S187="A+"),'Data Source'!R187,"")</f>
        <v/>
      </c>
      <c r="Q187" s="3">
        <f>IF(AND('Data Source'!B187&lt;&gt;"",'Data Source'!S187="A+"),'Data Source'!S187,"")</f>
        <v/>
      </c>
    </row>
    <row r="188">
      <c r="A188" s="3">
        <f>IF(AND('Data Source'!B188&lt;&gt;"",'Data Source'!S188="A+"),COUNTIF('Data Source'!$S$3:S188,"A+"),"")</f>
        <v/>
      </c>
      <c r="B188">
        <f>IF(AND('Data Source'!B188&lt;&gt;"",'Data Source'!S188="A+"),'Data Source'!B188,"")</f>
        <v/>
      </c>
      <c r="C188" s="3">
        <f>IF(AND('Data Source'!B188&lt;&gt;"",'Data Source'!S188="A+"),IF('Data Source'!U188&gt;=5,"A+",IF('Data Source'!U188&gt;=4,"A",IF('Data Source'!U188&gt;=3.5,"A-",IF('Data Source'!U188&gt;=3,"B",IF('Data Source'!U188&gt;=2,"C",IF('Data Source'!U188&gt;=1,"D","F")))))),"")</f>
        <v/>
      </c>
      <c r="D188" s="3">
        <f>IF(AND('Data Source'!B188&lt;&gt;"",'Data Source'!S188="A+"),IF('Data Source'!V188&gt;=5,"A+",IF('Data Source'!V188&gt;=4,"A",IF('Data Source'!V188&gt;=3.5,"A-",IF('Data Source'!V188&gt;=3,"B",IF('Data Source'!V188&gt;=2,"C",IF('Data Source'!V188&gt;=1,"D","F")))))),"")</f>
        <v/>
      </c>
      <c r="E188" s="3">
        <f>IF(AND('Data Source'!B188&lt;&gt;"",'Data Source'!S188="A+"),IF('Data Source'!W188&gt;=5,"A+",IF('Data Source'!W188&gt;=4,"A",IF('Data Source'!W188&gt;=3.5,"A-",IF('Data Source'!W188&gt;=3,"B",IF('Data Source'!W188&gt;=2,"C",IF('Data Source'!W188&gt;=1,"D","F")))))),"")</f>
        <v/>
      </c>
      <c r="F188" s="3">
        <f>IF(AND('Data Source'!B188&lt;&gt;"",'Data Source'!S188="A+"),IF('Data Source'!X188&gt;=5,"A+",IF('Data Source'!X188&gt;=4,"A",IF('Data Source'!X188&gt;=3.5,"A-",IF('Data Source'!X188&gt;=3,"B",IF('Data Source'!X188&gt;=2,"C",IF('Data Source'!X188&gt;=1,"D","F")))))),"")</f>
        <v/>
      </c>
      <c r="G188" s="3">
        <f>IF(AND('Data Source'!B188&lt;&gt;"",'Data Source'!S188="A+"),IF('Data Source'!Y188&gt;=5,"A+",IF('Data Source'!Y188&gt;=4,"A",IF('Data Source'!Y188&gt;=3.5,"A-",IF('Data Source'!Y188&gt;=3,"B",IF('Data Source'!Y188&gt;=2,"C",IF('Data Source'!Y188&gt;=1,"D","F")))))),"")</f>
        <v/>
      </c>
      <c r="H188" s="3">
        <f>IF(AND('Data Source'!B188&lt;&gt;"",'Data Source'!S188="A+"),IF('Data Source'!Z188&gt;=5,"A+",IF('Data Source'!Z188&gt;=4,"A",IF('Data Source'!Z188&gt;=3.5,"A-",IF('Data Source'!Z188&gt;=3,"B",IF('Data Source'!Z188&gt;=2,"C",IF('Data Source'!Z188&gt;=1,"D","F")))))),"")</f>
        <v/>
      </c>
      <c r="I188" s="3">
        <f>IF(AND('Data Source'!B188&lt;&gt;"",'Data Source'!S188="A+"),IF('Data Source'!AA188&gt;=5,"A+",IF('Data Source'!AA188&gt;=4,"A",IF('Data Source'!AA188&gt;=3.5,"A-",IF('Data Source'!AA188&gt;=3,"B",IF('Data Source'!AA188&gt;=2,"C",IF('Data Source'!AA188&gt;=1,"D","F")))))),"")</f>
        <v/>
      </c>
      <c r="J188" s="3">
        <f>IF(AND('Data Source'!B188&lt;&gt;"",'Data Source'!S188="A+"),IF('Data Source'!AB188&gt;=5,"A+",IF('Data Source'!AB188&gt;=4,"A",IF('Data Source'!AB188&gt;=3.5,"A-",IF('Data Source'!AB188&gt;=3,"B",IF('Data Source'!AB188&gt;=2,"C",IF('Data Source'!AB188&gt;=1,"D","F")))))),"")</f>
        <v/>
      </c>
      <c r="K188" s="3">
        <f>IF(AND('Data Source'!B188&lt;&gt;"",'Data Source'!S188="A+"),IF('Data Source'!AC188&gt;=5,"A+",IF('Data Source'!AC188&gt;=4,"A",IF('Data Source'!AC188&gt;=3.5,"A-",IF('Data Source'!AC188&gt;=3,"B",IF('Data Source'!AC188&gt;=2,"C",IF('Data Source'!AC188&gt;=1,"D","F")))))),"")</f>
        <v/>
      </c>
      <c r="L188" s="3">
        <f>IF(AND('Data Source'!B188&lt;&gt;"",'Data Source'!S188="A+"),IF('Data Source'!AD188&gt;=5,"A+",IF('Data Source'!AD188&gt;=4,"A",IF('Data Source'!AD188&gt;=3.5,"A-",IF('Data Source'!AD188&gt;=3,"B",IF('Data Source'!AD188&gt;=2,"C",IF('Data Source'!AD188&gt;=1,"D","F")))))),"")</f>
        <v/>
      </c>
      <c r="M188" s="3">
        <f>IF(AND('Data Source'!B188&lt;&gt;"",'Data Source'!S188="A+"),IF('Data Source'!AE188&gt;=5,"A+",IF('Data Source'!AE188&gt;=4,"A",IF('Data Source'!AE188&gt;=3.5,"A-",IF('Data Source'!AE188&gt;=3,"B",IF('Data Source'!AE188&gt;=2,"C",IF('Data Source'!AE188&gt;=1,"D","F")))))),"")</f>
        <v/>
      </c>
      <c r="N188" s="3">
        <f>IF(AND('Data Source'!B188&lt;&gt;"",'Data Source'!S188="A+"),IF('Data Source'!AF188&gt;=5,"A+",IF('Data Source'!AF188&gt;=4,"A",IF('Data Source'!AF188&gt;=3.5,"A-",IF('Data Source'!AF188&gt;=3,"B",IF('Data Source'!AF188&gt;=2,"C",IF('Data Source'!AF188&gt;=1,"D","F")))))),"")</f>
        <v/>
      </c>
      <c r="O188" s="3">
        <f>IF(AND('Data Source'!B188&lt;&gt;"",'Data Source'!S188="A+"),IF('Data Source'!AG188&gt;=5,"A+",IF('Data Source'!AG188&gt;=4,"A",IF('Data Source'!AG188&gt;=3.5,"A-",IF('Data Source'!AG188&gt;=3,"B",IF('Data Source'!AG188&gt;=2,"C",IF('Data Source'!AG188&gt;=1,"D","F")))))),"")</f>
        <v/>
      </c>
      <c r="P188" s="5">
        <f>IF(AND('Data Source'!B188&lt;&gt;"",'Data Source'!S188="A+"),'Data Source'!R188,"")</f>
        <v/>
      </c>
      <c r="Q188" s="3">
        <f>IF(AND('Data Source'!B188&lt;&gt;"",'Data Source'!S188="A+"),'Data Source'!S188,"")</f>
        <v/>
      </c>
    </row>
    <row r="189">
      <c r="A189" s="3">
        <f>IF(AND('Data Source'!B189&lt;&gt;"",'Data Source'!S189="A+"),COUNTIF('Data Source'!$S$3:S189,"A+"),"")</f>
        <v/>
      </c>
      <c r="B189">
        <f>IF(AND('Data Source'!B189&lt;&gt;"",'Data Source'!S189="A+"),'Data Source'!B189,"")</f>
        <v/>
      </c>
      <c r="C189" s="3">
        <f>IF(AND('Data Source'!B189&lt;&gt;"",'Data Source'!S189="A+"),IF('Data Source'!U189&gt;=5,"A+",IF('Data Source'!U189&gt;=4,"A",IF('Data Source'!U189&gt;=3.5,"A-",IF('Data Source'!U189&gt;=3,"B",IF('Data Source'!U189&gt;=2,"C",IF('Data Source'!U189&gt;=1,"D","F")))))),"")</f>
        <v/>
      </c>
      <c r="D189" s="3">
        <f>IF(AND('Data Source'!B189&lt;&gt;"",'Data Source'!S189="A+"),IF('Data Source'!V189&gt;=5,"A+",IF('Data Source'!V189&gt;=4,"A",IF('Data Source'!V189&gt;=3.5,"A-",IF('Data Source'!V189&gt;=3,"B",IF('Data Source'!V189&gt;=2,"C",IF('Data Source'!V189&gt;=1,"D","F")))))),"")</f>
        <v/>
      </c>
      <c r="E189" s="3">
        <f>IF(AND('Data Source'!B189&lt;&gt;"",'Data Source'!S189="A+"),IF('Data Source'!W189&gt;=5,"A+",IF('Data Source'!W189&gt;=4,"A",IF('Data Source'!W189&gt;=3.5,"A-",IF('Data Source'!W189&gt;=3,"B",IF('Data Source'!W189&gt;=2,"C",IF('Data Source'!W189&gt;=1,"D","F")))))),"")</f>
        <v/>
      </c>
      <c r="F189" s="3">
        <f>IF(AND('Data Source'!B189&lt;&gt;"",'Data Source'!S189="A+"),IF('Data Source'!X189&gt;=5,"A+",IF('Data Source'!X189&gt;=4,"A",IF('Data Source'!X189&gt;=3.5,"A-",IF('Data Source'!X189&gt;=3,"B",IF('Data Source'!X189&gt;=2,"C",IF('Data Source'!X189&gt;=1,"D","F")))))),"")</f>
        <v/>
      </c>
      <c r="G189" s="3">
        <f>IF(AND('Data Source'!B189&lt;&gt;"",'Data Source'!S189="A+"),IF('Data Source'!Y189&gt;=5,"A+",IF('Data Source'!Y189&gt;=4,"A",IF('Data Source'!Y189&gt;=3.5,"A-",IF('Data Source'!Y189&gt;=3,"B",IF('Data Source'!Y189&gt;=2,"C",IF('Data Source'!Y189&gt;=1,"D","F")))))),"")</f>
        <v/>
      </c>
      <c r="H189" s="3">
        <f>IF(AND('Data Source'!B189&lt;&gt;"",'Data Source'!S189="A+"),IF('Data Source'!Z189&gt;=5,"A+",IF('Data Source'!Z189&gt;=4,"A",IF('Data Source'!Z189&gt;=3.5,"A-",IF('Data Source'!Z189&gt;=3,"B",IF('Data Source'!Z189&gt;=2,"C",IF('Data Source'!Z189&gt;=1,"D","F")))))),"")</f>
        <v/>
      </c>
      <c r="I189" s="3">
        <f>IF(AND('Data Source'!B189&lt;&gt;"",'Data Source'!S189="A+"),IF('Data Source'!AA189&gt;=5,"A+",IF('Data Source'!AA189&gt;=4,"A",IF('Data Source'!AA189&gt;=3.5,"A-",IF('Data Source'!AA189&gt;=3,"B",IF('Data Source'!AA189&gt;=2,"C",IF('Data Source'!AA189&gt;=1,"D","F")))))),"")</f>
        <v/>
      </c>
      <c r="J189" s="3">
        <f>IF(AND('Data Source'!B189&lt;&gt;"",'Data Source'!S189="A+"),IF('Data Source'!AB189&gt;=5,"A+",IF('Data Source'!AB189&gt;=4,"A",IF('Data Source'!AB189&gt;=3.5,"A-",IF('Data Source'!AB189&gt;=3,"B",IF('Data Source'!AB189&gt;=2,"C",IF('Data Source'!AB189&gt;=1,"D","F")))))),"")</f>
        <v/>
      </c>
      <c r="K189" s="3">
        <f>IF(AND('Data Source'!B189&lt;&gt;"",'Data Source'!S189="A+"),IF('Data Source'!AC189&gt;=5,"A+",IF('Data Source'!AC189&gt;=4,"A",IF('Data Source'!AC189&gt;=3.5,"A-",IF('Data Source'!AC189&gt;=3,"B",IF('Data Source'!AC189&gt;=2,"C",IF('Data Source'!AC189&gt;=1,"D","F")))))),"")</f>
        <v/>
      </c>
      <c r="L189" s="3">
        <f>IF(AND('Data Source'!B189&lt;&gt;"",'Data Source'!S189="A+"),IF('Data Source'!AD189&gt;=5,"A+",IF('Data Source'!AD189&gt;=4,"A",IF('Data Source'!AD189&gt;=3.5,"A-",IF('Data Source'!AD189&gt;=3,"B",IF('Data Source'!AD189&gt;=2,"C",IF('Data Source'!AD189&gt;=1,"D","F")))))),"")</f>
        <v/>
      </c>
      <c r="M189" s="3">
        <f>IF(AND('Data Source'!B189&lt;&gt;"",'Data Source'!S189="A+"),IF('Data Source'!AE189&gt;=5,"A+",IF('Data Source'!AE189&gt;=4,"A",IF('Data Source'!AE189&gt;=3.5,"A-",IF('Data Source'!AE189&gt;=3,"B",IF('Data Source'!AE189&gt;=2,"C",IF('Data Source'!AE189&gt;=1,"D","F")))))),"")</f>
        <v/>
      </c>
      <c r="N189" s="3">
        <f>IF(AND('Data Source'!B189&lt;&gt;"",'Data Source'!S189="A+"),IF('Data Source'!AF189&gt;=5,"A+",IF('Data Source'!AF189&gt;=4,"A",IF('Data Source'!AF189&gt;=3.5,"A-",IF('Data Source'!AF189&gt;=3,"B",IF('Data Source'!AF189&gt;=2,"C",IF('Data Source'!AF189&gt;=1,"D","F")))))),"")</f>
        <v/>
      </c>
      <c r="O189" s="3">
        <f>IF(AND('Data Source'!B189&lt;&gt;"",'Data Source'!S189="A+"),IF('Data Source'!AG189&gt;=5,"A+",IF('Data Source'!AG189&gt;=4,"A",IF('Data Source'!AG189&gt;=3.5,"A-",IF('Data Source'!AG189&gt;=3,"B",IF('Data Source'!AG189&gt;=2,"C",IF('Data Source'!AG189&gt;=1,"D","F")))))),"")</f>
        <v/>
      </c>
      <c r="P189" s="5">
        <f>IF(AND('Data Source'!B189&lt;&gt;"",'Data Source'!S189="A+"),'Data Source'!R189,"")</f>
        <v/>
      </c>
      <c r="Q189" s="3">
        <f>IF(AND('Data Source'!B189&lt;&gt;"",'Data Source'!S189="A+"),'Data Source'!S189,"")</f>
        <v/>
      </c>
    </row>
    <row r="190">
      <c r="A190" s="3">
        <f>IF(AND('Data Source'!B190&lt;&gt;"",'Data Source'!S190="A+"),COUNTIF('Data Source'!$S$3:S190,"A+"),"")</f>
        <v/>
      </c>
      <c r="B190">
        <f>IF(AND('Data Source'!B190&lt;&gt;"",'Data Source'!S190="A+"),'Data Source'!B190,"")</f>
        <v/>
      </c>
      <c r="C190" s="3">
        <f>IF(AND('Data Source'!B190&lt;&gt;"",'Data Source'!S190="A+"),IF('Data Source'!U190&gt;=5,"A+",IF('Data Source'!U190&gt;=4,"A",IF('Data Source'!U190&gt;=3.5,"A-",IF('Data Source'!U190&gt;=3,"B",IF('Data Source'!U190&gt;=2,"C",IF('Data Source'!U190&gt;=1,"D","F")))))),"")</f>
        <v/>
      </c>
      <c r="D190" s="3">
        <f>IF(AND('Data Source'!B190&lt;&gt;"",'Data Source'!S190="A+"),IF('Data Source'!V190&gt;=5,"A+",IF('Data Source'!V190&gt;=4,"A",IF('Data Source'!V190&gt;=3.5,"A-",IF('Data Source'!V190&gt;=3,"B",IF('Data Source'!V190&gt;=2,"C",IF('Data Source'!V190&gt;=1,"D","F")))))),"")</f>
        <v/>
      </c>
      <c r="E190" s="3">
        <f>IF(AND('Data Source'!B190&lt;&gt;"",'Data Source'!S190="A+"),IF('Data Source'!W190&gt;=5,"A+",IF('Data Source'!W190&gt;=4,"A",IF('Data Source'!W190&gt;=3.5,"A-",IF('Data Source'!W190&gt;=3,"B",IF('Data Source'!W190&gt;=2,"C",IF('Data Source'!W190&gt;=1,"D","F")))))),"")</f>
        <v/>
      </c>
      <c r="F190" s="3">
        <f>IF(AND('Data Source'!B190&lt;&gt;"",'Data Source'!S190="A+"),IF('Data Source'!X190&gt;=5,"A+",IF('Data Source'!X190&gt;=4,"A",IF('Data Source'!X190&gt;=3.5,"A-",IF('Data Source'!X190&gt;=3,"B",IF('Data Source'!X190&gt;=2,"C",IF('Data Source'!X190&gt;=1,"D","F")))))),"")</f>
        <v/>
      </c>
      <c r="G190" s="3">
        <f>IF(AND('Data Source'!B190&lt;&gt;"",'Data Source'!S190="A+"),IF('Data Source'!Y190&gt;=5,"A+",IF('Data Source'!Y190&gt;=4,"A",IF('Data Source'!Y190&gt;=3.5,"A-",IF('Data Source'!Y190&gt;=3,"B",IF('Data Source'!Y190&gt;=2,"C",IF('Data Source'!Y190&gt;=1,"D","F")))))),"")</f>
        <v/>
      </c>
      <c r="H190" s="3">
        <f>IF(AND('Data Source'!B190&lt;&gt;"",'Data Source'!S190="A+"),IF('Data Source'!Z190&gt;=5,"A+",IF('Data Source'!Z190&gt;=4,"A",IF('Data Source'!Z190&gt;=3.5,"A-",IF('Data Source'!Z190&gt;=3,"B",IF('Data Source'!Z190&gt;=2,"C",IF('Data Source'!Z190&gt;=1,"D","F")))))),"")</f>
        <v/>
      </c>
      <c r="I190" s="3">
        <f>IF(AND('Data Source'!B190&lt;&gt;"",'Data Source'!S190="A+"),IF('Data Source'!AA190&gt;=5,"A+",IF('Data Source'!AA190&gt;=4,"A",IF('Data Source'!AA190&gt;=3.5,"A-",IF('Data Source'!AA190&gt;=3,"B",IF('Data Source'!AA190&gt;=2,"C",IF('Data Source'!AA190&gt;=1,"D","F")))))),"")</f>
        <v/>
      </c>
      <c r="J190" s="3">
        <f>IF(AND('Data Source'!B190&lt;&gt;"",'Data Source'!S190="A+"),IF('Data Source'!AB190&gt;=5,"A+",IF('Data Source'!AB190&gt;=4,"A",IF('Data Source'!AB190&gt;=3.5,"A-",IF('Data Source'!AB190&gt;=3,"B",IF('Data Source'!AB190&gt;=2,"C",IF('Data Source'!AB190&gt;=1,"D","F")))))),"")</f>
        <v/>
      </c>
      <c r="K190" s="3">
        <f>IF(AND('Data Source'!B190&lt;&gt;"",'Data Source'!S190="A+"),IF('Data Source'!AC190&gt;=5,"A+",IF('Data Source'!AC190&gt;=4,"A",IF('Data Source'!AC190&gt;=3.5,"A-",IF('Data Source'!AC190&gt;=3,"B",IF('Data Source'!AC190&gt;=2,"C",IF('Data Source'!AC190&gt;=1,"D","F")))))),"")</f>
        <v/>
      </c>
      <c r="L190" s="3">
        <f>IF(AND('Data Source'!B190&lt;&gt;"",'Data Source'!S190="A+"),IF('Data Source'!AD190&gt;=5,"A+",IF('Data Source'!AD190&gt;=4,"A",IF('Data Source'!AD190&gt;=3.5,"A-",IF('Data Source'!AD190&gt;=3,"B",IF('Data Source'!AD190&gt;=2,"C",IF('Data Source'!AD190&gt;=1,"D","F")))))),"")</f>
        <v/>
      </c>
      <c r="M190" s="3">
        <f>IF(AND('Data Source'!B190&lt;&gt;"",'Data Source'!S190="A+"),IF('Data Source'!AE190&gt;=5,"A+",IF('Data Source'!AE190&gt;=4,"A",IF('Data Source'!AE190&gt;=3.5,"A-",IF('Data Source'!AE190&gt;=3,"B",IF('Data Source'!AE190&gt;=2,"C",IF('Data Source'!AE190&gt;=1,"D","F")))))),"")</f>
        <v/>
      </c>
      <c r="N190" s="3">
        <f>IF(AND('Data Source'!B190&lt;&gt;"",'Data Source'!S190="A+"),IF('Data Source'!AF190&gt;=5,"A+",IF('Data Source'!AF190&gt;=4,"A",IF('Data Source'!AF190&gt;=3.5,"A-",IF('Data Source'!AF190&gt;=3,"B",IF('Data Source'!AF190&gt;=2,"C",IF('Data Source'!AF190&gt;=1,"D","F")))))),"")</f>
        <v/>
      </c>
      <c r="O190" s="3">
        <f>IF(AND('Data Source'!B190&lt;&gt;"",'Data Source'!S190="A+"),IF('Data Source'!AG190&gt;=5,"A+",IF('Data Source'!AG190&gt;=4,"A",IF('Data Source'!AG190&gt;=3.5,"A-",IF('Data Source'!AG190&gt;=3,"B",IF('Data Source'!AG190&gt;=2,"C",IF('Data Source'!AG190&gt;=1,"D","F")))))),"")</f>
        <v/>
      </c>
      <c r="P190" s="5">
        <f>IF(AND('Data Source'!B190&lt;&gt;"",'Data Source'!S190="A+"),'Data Source'!R190,"")</f>
        <v/>
      </c>
      <c r="Q190" s="3">
        <f>IF(AND('Data Source'!B190&lt;&gt;"",'Data Source'!S190="A+"),'Data Source'!S190,"")</f>
        <v/>
      </c>
    </row>
    <row r="191">
      <c r="A191" s="3">
        <f>IF(AND('Data Source'!B191&lt;&gt;"",'Data Source'!S191="A+"),COUNTIF('Data Source'!$S$3:S191,"A+"),"")</f>
        <v/>
      </c>
      <c r="B191">
        <f>IF(AND('Data Source'!B191&lt;&gt;"",'Data Source'!S191="A+"),'Data Source'!B191,"")</f>
        <v/>
      </c>
      <c r="C191" s="3">
        <f>IF(AND('Data Source'!B191&lt;&gt;"",'Data Source'!S191="A+"),IF('Data Source'!U191&gt;=5,"A+",IF('Data Source'!U191&gt;=4,"A",IF('Data Source'!U191&gt;=3.5,"A-",IF('Data Source'!U191&gt;=3,"B",IF('Data Source'!U191&gt;=2,"C",IF('Data Source'!U191&gt;=1,"D","F")))))),"")</f>
        <v/>
      </c>
      <c r="D191" s="3">
        <f>IF(AND('Data Source'!B191&lt;&gt;"",'Data Source'!S191="A+"),IF('Data Source'!V191&gt;=5,"A+",IF('Data Source'!V191&gt;=4,"A",IF('Data Source'!V191&gt;=3.5,"A-",IF('Data Source'!V191&gt;=3,"B",IF('Data Source'!V191&gt;=2,"C",IF('Data Source'!V191&gt;=1,"D","F")))))),"")</f>
        <v/>
      </c>
      <c r="E191" s="3">
        <f>IF(AND('Data Source'!B191&lt;&gt;"",'Data Source'!S191="A+"),IF('Data Source'!W191&gt;=5,"A+",IF('Data Source'!W191&gt;=4,"A",IF('Data Source'!W191&gt;=3.5,"A-",IF('Data Source'!W191&gt;=3,"B",IF('Data Source'!W191&gt;=2,"C",IF('Data Source'!W191&gt;=1,"D","F")))))),"")</f>
        <v/>
      </c>
      <c r="F191" s="3">
        <f>IF(AND('Data Source'!B191&lt;&gt;"",'Data Source'!S191="A+"),IF('Data Source'!X191&gt;=5,"A+",IF('Data Source'!X191&gt;=4,"A",IF('Data Source'!X191&gt;=3.5,"A-",IF('Data Source'!X191&gt;=3,"B",IF('Data Source'!X191&gt;=2,"C",IF('Data Source'!X191&gt;=1,"D","F")))))),"")</f>
        <v/>
      </c>
      <c r="G191" s="3">
        <f>IF(AND('Data Source'!B191&lt;&gt;"",'Data Source'!S191="A+"),IF('Data Source'!Y191&gt;=5,"A+",IF('Data Source'!Y191&gt;=4,"A",IF('Data Source'!Y191&gt;=3.5,"A-",IF('Data Source'!Y191&gt;=3,"B",IF('Data Source'!Y191&gt;=2,"C",IF('Data Source'!Y191&gt;=1,"D","F")))))),"")</f>
        <v/>
      </c>
      <c r="H191" s="3">
        <f>IF(AND('Data Source'!B191&lt;&gt;"",'Data Source'!S191="A+"),IF('Data Source'!Z191&gt;=5,"A+",IF('Data Source'!Z191&gt;=4,"A",IF('Data Source'!Z191&gt;=3.5,"A-",IF('Data Source'!Z191&gt;=3,"B",IF('Data Source'!Z191&gt;=2,"C",IF('Data Source'!Z191&gt;=1,"D","F")))))),"")</f>
        <v/>
      </c>
      <c r="I191" s="3">
        <f>IF(AND('Data Source'!B191&lt;&gt;"",'Data Source'!S191="A+"),IF('Data Source'!AA191&gt;=5,"A+",IF('Data Source'!AA191&gt;=4,"A",IF('Data Source'!AA191&gt;=3.5,"A-",IF('Data Source'!AA191&gt;=3,"B",IF('Data Source'!AA191&gt;=2,"C",IF('Data Source'!AA191&gt;=1,"D","F")))))),"")</f>
        <v/>
      </c>
      <c r="J191" s="3">
        <f>IF(AND('Data Source'!B191&lt;&gt;"",'Data Source'!S191="A+"),IF('Data Source'!AB191&gt;=5,"A+",IF('Data Source'!AB191&gt;=4,"A",IF('Data Source'!AB191&gt;=3.5,"A-",IF('Data Source'!AB191&gt;=3,"B",IF('Data Source'!AB191&gt;=2,"C",IF('Data Source'!AB191&gt;=1,"D","F")))))),"")</f>
        <v/>
      </c>
      <c r="K191" s="3">
        <f>IF(AND('Data Source'!B191&lt;&gt;"",'Data Source'!S191="A+"),IF('Data Source'!AC191&gt;=5,"A+",IF('Data Source'!AC191&gt;=4,"A",IF('Data Source'!AC191&gt;=3.5,"A-",IF('Data Source'!AC191&gt;=3,"B",IF('Data Source'!AC191&gt;=2,"C",IF('Data Source'!AC191&gt;=1,"D","F")))))),"")</f>
        <v/>
      </c>
      <c r="L191" s="3">
        <f>IF(AND('Data Source'!B191&lt;&gt;"",'Data Source'!S191="A+"),IF('Data Source'!AD191&gt;=5,"A+",IF('Data Source'!AD191&gt;=4,"A",IF('Data Source'!AD191&gt;=3.5,"A-",IF('Data Source'!AD191&gt;=3,"B",IF('Data Source'!AD191&gt;=2,"C",IF('Data Source'!AD191&gt;=1,"D","F")))))),"")</f>
        <v/>
      </c>
      <c r="M191" s="3">
        <f>IF(AND('Data Source'!B191&lt;&gt;"",'Data Source'!S191="A+"),IF('Data Source'!AE191&gt;=5,"A+",IF('Data Source'!AE191&gt;=4,"A",IF('Data Source'!AE191&gt;=3.5,"A-",IF('Data Source'!AE191&gt;=3,"B",IF('Data Source'!AE191&gt;=2,"C",IF('Data Source'!AE191&gt;=1,"D","F")))))),"")</f>
        <v/>
      </c>
      <c r="N191" s="3">
        <f>IF(AND('Data Source'!B191&lt;&gt;"",'Data Source'!S191="A+"),IF('Data Source'!AF191&gt;=5,"A+",IF('Data Source'!AF191&gt;=4,"A",IF('Data Source'!AF191&gt;=3.5,"A-",IF('Data Source'!AF191&gt;=3,"B",IF('Data Source'!AF191&gt;=2,"C",IF('Data Source'!AF191&gt;=1,"D","F")))))),"")</f>
        <v/>
      </c>
      <c r="O191" s="3">
        <f>IF(AND('Data Source'!B191&lt;&gt;"",'Data Source'!S191="A+"),IF('Data Source'!AG191&gt;=5,"A+",IF('Data Source'!AG191&gt;=4,"A",IF('Data Source'!AG191&gt;=3.5,"A-",IF('Data Source'!AG191&gt;=3,"B",IF('Data Source'!AG191&gt;=2,"C",IF('Data Source'!AG191&gt;=1,"D","F")))))),"")</f>
        <v/>
      </c>
      <c r="P191" s="5">
        <f>IF(AND('Data Source'!B191&lt;&gt;"",'Data Source'!S191="A+"),'Data Source'!R191,"")</f>
        <v/>
      </c>
      <c r="Q191" s="3">
        <f>IF(AND('Data Source'!B191&lt;&gt;"",'Data Source'!S191="A+"),'Data Source'!S191,"")</f>
        <v/>
      </c>
    </row>
    <row r="192">
      <c r="A192" s="3">
        <f>IF(AND('Data Source'!B192&lt;&gt;"",'Data Source'!S192="A+"),COUNTIF('Data Source'!$S$3:S192,"A+"),"")</f>
        <v/>
      </c>
      <c r="B192">
        <f>IF(AND('Data Source'!B192&lt;&gt;"",'Data Source'!S192="A+"),'Data Source'!B192,"")</f>
        <v/>
      </c>
      <c r="C192" s="3">
        <f>IF(AND('Data Source'!B192&lt;&gt;"",'Data Source'!S192="A+"),IF('Data Source'!U192&gt;=5,"A+",IF('Data Source'!U192&gt;=4,"A",IF('Data Source'!U192&gt;=3.5,"A-",IF('Data Source'!U192&gt;=3,"B",IF('Data Source'!U192&gt;=2,"C",IF('Data Source'!U192&gt;=1,"D","F")))))),"")</f>
        <v/>
      </c>
      <c r="D192" s="3">
        <f>IF(AND('Data Source'!B192&lt;&gt;"",'Data Source'!S192="A+"),IF('Data Source'!V192&gt;=5,"A+",IF('Data Source'!V192&gt;=4,"A",IF('Data Source'!V192&gt;=3.5,"A-",IF('Data Source'!V192&gt;=3,"B",IF('Data Source'!V192&gt;=2,"C",IF('Data Source'!V192&gt;=1,"D","F")))))),"")</f>
        <v/>
      </c>
      <c r="E192" s="3">
        <f>IF(AND('Data Source'!B192&lt;&gt;"",'Data Source'!S192="A+"),IF('Data Source'!W192&gt;=5,"A+",IF('Data Source'!W192&gt;=4,"A",IF('Data Source'!W192&gt;=3.5,"A-",IF('Data Source'!W192&gt;=3,"B",IF('Data Source'!W192&gt;=2,"C",IF('Data Source'!W192&gt;=1,"D","F")))))),"")</f>
        <v/>
      </c>
      <c r="F192" s="3">
        <f>IF(AND('Data Source'!B192&lt;&gt;"",'Data Source'!S192="A+"),IF('Data Source'!X192&gt;=5,"A+",IF('Data Source'!X192&gt;=4,"A",IF('Data Source'!X192&gt;=3.5,"A-",IF('Data Source'!X192&gt;=3,"B",IF('Data Source'!X192&gt;=2,"C",IF('Data Source'!X192&gt;=1,"D","F")))))),"")</f>
        <v/>
      </c>
      <c r="G192" s="3">
        <f>IF(AND('Data Source'!B192&lt;&gt;"",'Data Source'!S192="A+"),IF('Data Source'!Y192&gt;=5,"A+",IF('Data Source'!Y192&gt;=4,"A",IF('Data Source'!Y192&gt;=3.5,"A-",IF('Data Source'!Y192&gt;=3,"B",IF('Data Source'!Y192&gt;=2,"C",IF('Data Source'!Y192&gt;=1,"D","F")))))),"")</f>
        <v/>
      </c>
      <c r="H192" s="3">
        <f>IF(AND('Data Source'!B192&lt;&gt;"",'Data Source'!S192="A+"),IF('Data Source'!Z192&gt;=5,"A+",IF('Data Source'!Z192&gt;=4,"A",IF('Data Source'!Z192&gt;=3.5,"A-",IF('Data Source'!Z192&gt;=3,"B",IF('Data Source'!Z192&gt;=2,"C",IF('Data Source'!Z192&gt;=1,"D","F")))))),"")</f>
        <v/>
      </c>
      <c r="I192" s="3">
        <f>IF(AND('Data Source'!B192&lt;&gt;"",'Data Source'!S192="A+"),IF('Data Source'!AA192&gt;=5,"A+",IF('Data Source'!AA192&gt;=4,"A",IF('Data Source'!AA192&gt;=3.5,"A-",IF('Data Source'!AA192&gt;=3,"B",IF('Data Source'!AA192&gt;=2,"C",IF('Data Source'!AA192&gt;=1,"D","F")))))),"")</f>
        <v/>
      </c>
      <c r="J192" s="3">
        <f>IF(AND('Data Source'!B192&lt;&gt;"",'Data Source'!S192="A+"),IF('Data Source'!AB192&gt;=5,"A+",IF('Data Source'!AB192&gt;=4,"A",IF('Data Source'!AB192&gt;=3.5,"A-",IF('Data Source'!AB192&gt;=3,"B",IF('Data Source'!AB192&gt;=2,"C",IF('Data Source'!AB192&gt;=1,"D","F")))))),"")</f>
        <v/>
      </c>
      <c r="K192" s="3">
        <f>IF(AND('Data Source'!B192&lt;&gt;"",'Data Source'!S192="A+"),IF('Data Source'!AC192&gt;=5,"A+",IF('Data Source'!AC192&gt;=4,"A",IF('Data Source'!AC192&gt;=3.5,"A-",IF('Data Source'!AC192&gt;=3,"B",IF('Data Source'!AC192&gt;=2,"C",IF('Data Source'!AC192&gt;=1,"D","F")))))),"")</f>
        <v/>
      </c>
      <c r="L192" s="3">
        <f>IF(AND('Data Source'!B192&lt;&gt;"",'Data Source'!S192="A+"),IF('Data Source'!AD192&gt;=5,"A+",IF('Data Source'!AD192&gt;=4,"A",IF('Data Source'!AD192&gt;=3.5,"A-",IF('Data Source'!AD192&gt;=3,"B",IF('Data Source'!AD192&gt;=2,"C",IF('Data Source'!AD192&gt;=1,"D","F")))))),"")</f>
        <v/>
      </c>
      <c r="M192" s="3">
        <f>IF(AND('Data Source'!B192&lt;&gt;"",'Data Source'!S192="A+"),IF('Data Source'!AE192&gt;=5,"A+",IF('Data Source'!AE192&gt;=4,"A",IF('Data Source'!AE192&gt;=3.5,"A-",IF('Data Source'!AE192&gt;=3,"B",IF('Data Source'!AE192&gt;=2,"C",IF('Data Source'!AE192&gt;=1,"D","F")))))),"")</f>
        <v/>
      </c>
      <c r="N192" s="3">
        <f>IF(AND('Data Source'!B192&lt;&gt;"",'Data Source'!S192="A+"),IF('Data Source'!AF192&gt;=5,"A+",IF('Data Source'!AF192&gt;=4,"A",IF('Data Source'!AF192&gt;=3.5,"A-",IF('Data Source'!AF192&gt;=3,"B",IF('Data Source'!AF192&gt;=2,"C",IF('Data Source'!AF192&gt;=1,"D","F")))))),"")</f>
        <v/>
      </c>
      <c r="O192" s="3">
        <f>IF(AND('Data Source'!B192&lt;&gt;"",'Data Source'!S192="A+"),IF('Data Source'!AG192&gt;=5,"A+",IF('Data Source'!AG192&gt;=4,"A",IF('Data Source'!AG192&gt;=3.5,"A-",IF('Data Source'!AG192&gt;=3,"B",IF('Data Source'!AG192&gt;=2,"C",IF('Data Source'!AG192&gt;=1,"D","F")))))),"")</f>
        <v/>
      </c>
      <c r="P192" s="5">
        <f>IF(AND('Data Source'!B192&lt;&gt;"",'Data Source'!S192="A+"),'Data Source'!R192,"")</f>
        <v/>
      </c>
      <c r="Q192" s="3">
        <f>IF(AND('Data Source'!B192&lt;&gt;"",'Data Source'!S192="A+"),'Data Source'!S192,"")</f>
        <v/>
      </c>
    </row>
    <row r="193">
      <c r="A193" s="3">
        <f>IF(AND('Data Source'!B193&lt;&gt;"",'Data Source'!S193="A+"),COUNTIF('Data Source'!$S$3:S193,"A+"),"")</f>
        <v/>
      </c>
      <c r="B193">
        <f>IF(AND('Data Source'!B193&lt;&gt;"",'Data Source'!S193="A+"),'Data Source'!B193,"")</f>
        <v/>
      </c>
      <c r="C193" s="3">
        <f>IF(AND('Data Source'!B193&lt;&gt;"",'Data Source'!S193="A+"),IF('Data Source'!U193&gt;=5,"A+",IF('Data Source'!U193&gt;=4,"A",IF('Data Source'!U193&gt;=3.5,"A-",IF('Data Source'!U193&gt;=3,"B",IF('Data Source'!U193&gt;=2,"C",IF('Data Source'!U193&gt;=1,"D","F")))))),"")</f>
        <v/>
      </c>
      <c r="D193" s="3">
        <f>IF(AND('Data Source'!B193&lt;&gt;"",'Data Source'!S193="A+"),IF('Data Source'!V193&gt;=5,"A+",IF('Data Source'!V193&gt;=4,"A",IF('Data Source'!V193&gt;=3.5,"A-",IF('Data Source'!V193&gt;=3,"B",IF('Data Source'!V193&gt;=2,"C",IF('Data Source'!V193&gt;=1,"D","F")))))),"")</f>
        <v/>
      </c>
      <c r="E193" s="3">
        <f>IF(AND('Data Source'!B193&lt;&gt;"",'Data Source'!S193="A+"),IF('Data Source'!W193&gt;=5,"A+",IF('Data Source'!W193&gt;=4,"A",IF('Data Source'!W193&gt;=3.5,"A-",IF('Data Source'!W193&gt;=3,"B",IF('Data Source'!W193&gt;=2,"C",IF('Data Source'!W193&gt;=1,"D","F")))))),"")</f>
        <v/>
      </c>
      <c r="F193" s="3">
        <f>IF(AND('Data Source'!B193&lt;&gt;"",'Data Source'!S193="A+"),IF('Data Source'!X193&gt;=5,"A+",IF('Data Source'!X193&gt;=4,"A",IF('Data Source'!X193&gt;=3.5,"A-",IF('Data Source'!X193&gt;=3,"B",IF('Data Source'!X193&gt;=2,"C",IF('Data Source'!X193&gt;=1,"D","F")))))),"")</f>
        <v/>
      </c>
      <c r="G193" s="3">
        <f>IF(AND('Data Source'!B193&lt;&gt;"",'Data Source'!S193="A+"),IF('Data Source'!Y193&gt;=5,"A+",IF('Data Source'!Y193&gt;=4,"A",IF('Data Source'!Y193&gt;=3.5,"A-",IF('Data Source'!Y193&gt;=3,"B",IF('Data Source'!Y193&gt;=2,"C",IF('Data Source'!Y193&gt;=1,"D","F")))))),"")</f>
        <v/>
      </c>
      <c r="H193" s="3">
        <f>IF(AND('Data Source'!B193&lt;&gt;"",'Data Source'!S193="A+"),IF('Data Source'!Z193&gt;=5,"A+",IF('Data Source'!Z193&gt;=4,"A",IF('Data Source'!Z193&gt;=3.5,"A-",IF('Data Source'!Z193&gt;=3,"B",IF('Data Source'!Z193&gt;=2,"C",IF('Data Source'!Z193&gt;=1,"D","F")))))),"")</f>
        <v/>
      </c>
      <c r="I193" s="3">
        <f>IF(AND('Data Source'!B193&lt;&gt;"",'Data Source'!S193="A+"),IF('Data Source'!AA193&gt;=5,"A+",IF('Data Source'!AA193&gt;=4,"A",IF('Data Source'!AA193&gt;=3.5,"A-",IF('Data Source'!AA193&gt;=3,"B",IF('Data Source'!AA193&gt;=2,"C",IF('Data Source'!AA193&gt;=1,"D","F")))))),"")</f>
        <v/>
      </c>
      <c r="J193" s="3">
        <f>IF(AND('Data Source'!B193&lt;&gt;"",'Data Source'!S193="A+"),IF('Data Source'!AB193&gt;=5,"A+",IF('Data Source'!AB193&gt;=4,"A",IF('Data Source'!AB193&gt;=3.5,"A-",IF('Data Source'!AB193&gt;=3,"B",IF('Data Source'!AB193&gt;=2,"C",IF('Data Source'!AB193&gt;=1,"D","F")))))),"")</f>
        <v/>
      </c>
      <c r="K193" s="3">
        <f>IF(AND('Data Source'!B193&lt;&gt;"",'Data Source'!S193="A+"),IF('Data Source'!AC193&gt;=5,"A+",IF('Data Source'!AC193&gt;=4,"A",IF('Data Source'!AC193&gt;=3.5,"A-",IF('Data Source'!AC193&gt;=3,"B",IF('Data Source'!AC193&gt;=2,"C",IF('Data Source'!AC193&gt;=1,"D","F")))))),"")</f>
        <v/>
      </c>
      <c r="L193" s="3">
        <f>IF(AND('Data Source'!B193&lt;&gt;"",'Data Source'!S193="A+"),IF('Data Source'!AD193&gt;=5,"A+",IF('Data Source'!AD193&gt;=4,"A",IF('Data Source'!AD193&gt;=3.5,"A-",IF('Data Source'!AD193&gt;=3,"B",IF('Data Source'!AD193&gt;=2,"C",IF('Data Source'!AD193&gt;=1,"D","F")))))),"")</f>
        <v/>
      </c>
      <c r="M193" s="3">
        <f>IF(AND('Data Source'!B193&lt;&gt;"",'Data Source'!S193="A+"),IF('Data Source'!AE193&gt;=5,"A+",IF('Data Source'!AE193&gt;=4,"A",IF('Data Source'!AE193&gt;=3.5,"A-",IF('Data Source'!AE193&gt;=3,"B",IF('Data Source'!AE193&gt;=2,"C",IF('Data Source'!AE193&gt;=1,"D","F")))))),"")</f>
        <v/>
      </c>
      <c r="N193" s="3">
        <f>IF(AND('Data Source'!B193&lt;&gt;"",'Data Source'!S193="A+"),IF('Data Source'!AF193&gt;=5,"A+",IF('Data Source'!AF193&gt;=4,"A",IF('Data Source'!AF193&gt;=3.5,"A-",IF('Data Source'!AF193&gt;=3,"B",IF('Data Source'!AF193&gt;=2,"C",IF('Data Source'!AF193&gt;=1,"D","F")))))),"")</f>
        <v/>
      </c>
      <c r="O193" s="3">
        <f>IF(AND('Data Source'!B193&lt;&gt;"",'Data Source'!S193="A+"),IF('Data Source'!AG193&gt;=5,"A+",IF('Data Source'!AG193&gt;=4,"A",IF('Data Source'!AG193&gt;=3.5,"A-",IF('Data Source'!AG193&gt;=3,"B",IF('Data Source'!AG193&gt;=2,"C",IF('Data Source'!AG193&gt;=1,"D","F")))))),"")</f>
        <v/>
      </c>
      <c r="P193" s="5">
        <f>IF(AND('Data Source'!B193&lt;&gt;"",'Data Source'!S193="A+"),'Data Source'!R193,"")</f>
        <v/>
      </c>
      <c r="Q193" s="3">
        <f>IF(AND('Data Source'!B193&lt;&gt;"",'Data Source'!S193="A+"),'Data Source'!S193,"")</f>
        <v/>
      </c>
    </row>
    <row r="194">
      <c r="A194" s="3">
        <f>IF(AND('Data Source'!B194&lt;&gt;"",'Data Source'!S194="A+"),COUNTIF('Data Source'!$S$3:S194,"A+"),"")</f>
        <v/>
      </c>
      <c r="B194">
        <f>IF(AND('Data Source'!B194&lt;&gt;"",'Data Source'!S194="A+"),'Data Source'!B194,"")</f>
        <v/>
      </c>
      <c r="C194" s="3">
        <f>IF(AND('Data Source'!B194&lt;&gt;"",'Data Source'!S194="A+"),IF('Data Source'!U194&gt;=5,"A+",IF('Data Source'!U194&gt;=4,"A",IF('Data Source'!U194&gt;=3.5,"A-",IF('Data Source'!U194&gt;=3,"B",IF('Data Source'!U194&gt;=2,"C",IF('Data Source'!U194&gt;=1,"D","F")))))),"")</f>
        <v/>
      </c>
      <c r="D194" s="3">
        <f>IF(AND('Data Source'!B194&lt;&gt;"",'Data Source'!S194="A+"),IF('Data Source'!V194&gt;=5,"A+",IF('Data Source'!V194&gt;=4,"A",IF('Data Source'!V194&gt;=3.5,"A-",IF('Data Source'!V194&gt;=3,"B",IF('Data Source'!V194&gt;=2,"C",IF('Data Source'!V194&gt;=1,"D","F")))))),"")</f>
        <v/>
      </c>
      <c r="E194" s="3">
        <f>IF(AND('Data Source'!B194&lt;&gt;"",'Data Source'!S194="A+"),IF('Data Source'!W194&gt;=5,"A+",IF('Data Source'!W194&gt;=4,"A",IF('Data Source'!W194&gt;=3.5,"A-",IF('Data Source'!W194&gt;=3,"B",IF('Data Source'!W194&gt;=2,"C",IF('Data Source'!W194&gt;=1,"D","F")))))),"")</f>
        <v/>
      </c>
      <c r="F194" s="3">
        <f>IF(AND('Data Source'!B194&lt;&gt;"",'Data Source'!S194="A+"),IF('Data Source'!X194&gt;=5,"A+",IF('Data Source'!X194&gt;=4,"A",IF('Data Source'!X194&gt;=3.5,"A-",IF('Data Source'!X194&gt;=3,"B",IF('Data Source'!X194&gt;=2,"C",IF('Data Source'!X194&gt;=1,"D","F")))))),"")</f>
        <v/>
      </c>
      <c r="G194" s="3">
        <f>IF(AND('Data Source'!B194&lt;&gt;"",'Data Source'!S194="A+"),IF('Data Source'!Y194&gt;=5,"A+",IF('Data Source'!Y194&gt;=4,"A",IF('Data Source'!Y194&gt;=3.5,"A-",IF('Data Source'!Y194&gt;=3,"B",IF('Data Source'!Y194&gt;=2,"C",IF('Data Source'!Y194&gt;=1,"D","F")))))),"")</f>
        <v/>
      </c>
      <c r="H194" s="3">
        <f>IF(AND('Data Source'!B194&lt;&gt;"",'Data Source'!S194="A+"),IF('Data Source'!Z194&gt;=5,"A+",IF('Data Source'!Z194&gt;=4,"A",IF('Data Source'!Z194&gt;=3.5,"A-",IF('Data Source'!Z194&gt;=3,"B",IF('Data Source'!Z194&gt;=2,"C",IF('Data Source'!Z194&gt;=1,"D","F")))))),"")</f>
        <v/>
      </c>
      <c r="I194" s="3">
        <f>IF(AND('Data Source'!B194&lt;&gt;"",'Data Source'!S194="A+"),IF('Data Source'!AA194&gt;=5,"A+",IF('Data Source'!AA194&gt;=4,"A",IF('Data Source'!AA194&gt;=3.5,"A-",IF('Data Source'!AA194&gt;=3,"B",IF('Data Source'!AA194&gt;=2,"C",IF('Data Source'!AA194&gt;=1,"D","F")))))),"")</f>
        <v/>
      </c>
      <c r="J194" s="3">
        <f>IF(AND('Data Source'!B194&lt;&gt;"",'Data Source'!S194="A+"),IF('Data Source'!AB194&gt;=5,"A+",IF('Data Source'!AB194&gt;=4,"A",IF('Data Source'!AB194&gt;=3.5,"A-",IF('Data Source'!AB194&gt;=3,"B",IF('Data Source'!AB194&gt;=2,"C",IF('Data Source'!AB194&gt;=1,"D","F")))))),"")</f>
        <v/>
      </c>
      <c r="K194" s="3">
        <f>IF(AND('Data Source'!B194&lt;&gt;"",'Data Source'!S194="A+"),IF('Data Source'!AC194&gt;=5,"A+",IF('Data Source'!AC194&gt;=4,"A",IF('Data Source'!AC194&gt;=3.5,"A-",IF('Data Source'!AC194&gt;=3,"B",IF('Data Source'!AC194&gt;=2,"C",IF('Data Source'!AC194&gt;=1,"D","F")))))),"")</f>
        <v/>
      </c>
      <c r="L194" s="3">
        <f>IF(AND('Data Source'!B194&lt;&gt;"",'Data Source'!S194="A+"),IF('Data Source'!AD194&gt;=5,"A+",IF('Data Source'!AD194&gt;=4,"A",IF('Data Source'!AD194&gt;=3.5,"A-",IF('Data Source'!AD194&gt;=3,"B",IF('Data Source'!AD194&gt;=2,"C",IF('Data Source'!AD194&gt;=1,"D","F")))))),"")</f>
        <v/>
      </c>
      <c r="M194" s="3">
        <f>IF(AND('Data Source'!B194&lt;&gt;"",'Data Source'!S194="A+"),IF('Data Source'!AE194&gt;=5,"A+",IF('Data Source'!AE194&gt;=4,"A",IF('Data Source'!AE194&gt;=3.5,"A-",IF('Data Source'!AE194&gt;=3,"B",IF('Data Source'!AE194&gt;=2,"C",IF('Data Source'!AE194&gt;=1,"D","F")))))),"")</f>
        <v/>
      </c>
      <c r="N194" s="3">
        <f>IF(AND('Data Source'!B194&lt;&gt;"",'Data Source'!S194="A+"),IF('Data Source'!AF194&gt;=5,"A+",IF('Data Source'!AF194&gt;=4,"A",IF('Data Source'!AF194&gt;=3.5,"A-",IF('Data Source'!AF194&gt;=3,"B",IF('Data Source'!AF194&gt;=2,"C",IF('Data Source'!AF194&gt;=1,"D","F")))))),"")</f>
        <v/>
      </c>
      <c r="O194" s="3">
        <f>IF(AND('Data Source'!B194&lt;&gt;"",'Data Source'!S194="A+"),IF('Data Source'!AG194&gt;=5,"A+",IF('Data Source'!AG194&gt;=4,"A",IF('Data Source'!AG194&gt;=3.5,"A-",IF('Data Source'!AG194&gt;=3,"B",IF('Data Source'!AG194&gt;=2,"C",IF('Data Source'!AG194&gt;=1,"D","F")))))),"")</f>
        <v/>
      </c>
      <c r="P194" s="5">
        <f>IF(AND('Data Source'!B194&lt;&gt;"",'Data Source'!S194="A+"),'Data Source'!R194,"")</f>
        <v/>
      </c>
      <c r="Q194" s="3">
        <f>IF(AND('Data Source'!B194&lt;&gt;"",'Data Source'!S194="A+"),'Data Source'!S194,"")</f>
        <v/>
      </c>
    </row>
    <row r="195">
      <c r="A195" s="3">
        <f>IF(AND('Data Source'!B195&lt;&gt;"",'Data Source'!S195="A+"),COUNTIF('Data Source'!$S$3:S195,"A+"),"")</f>
        <v/>
      </c>
      <c r="B195">
        <f>IF(AND('Data Source'!B195&lt;&gt;"",'Data Source'!S195="A+"),'Data Source'!B195,"")</f>
        <v/>
      </c>
      <c r="C195" s="3">
        <f>IF(AND('Data Source'!B195&lt;&gt;"",'Data Source'!S195="A+"),IF('Data Source'!U195&gt;=5,"A+",IF('Data Source'!U195&gt;=4,"A",IF('Data Source'!U195&gt;=3.5,"A-",IF('Data Source'!U195&gt;=3,"B",IF('Data Source'!U195&gt;=2,"C",IF('Data Source'!U195&gt;=1,"D","F")))))),"")</f>
        <v/>
      </c>
      <c r="D195" s="3">
        <f>IF(AND('Data Source'!B195&lt;&gt;"",'Data Source'!S195="A+"),IF('Data Source'!V195&gt;=5,"A+",IF('Data Source'!V195&gt;=4,"A",IF('Data Source'!V195&gt;=3.5,"A-",IF('Data Source'!V195&gt;=3,"B",IF('Data Source'!V195&gt;=2,"C",IF('Data Source'!V195&gt;=1,"D","F")))))),"")</f>
        <v/>
      </c>
      <c r="E195" s="3">
        <f>IF(AND('Data Source'!B195&lt;&gt;"",'Data Source'!S195="A+"),IF('Data Source'!W195&gt;=5,"A+",IF('Data Source'!W195&gt;=4,"A",IF('Data Source'!W195&gt;=3.5,"A-",IF('Data Source'!W195&gt;=3,"B",IF('Data Source'!W195&gt;=2,"C",IF('Data Source'!W195&gt;=1,"D","F")))))),"")</f>
        <v/>
      </c>
      <c r="F195" s="3">
        <f>IF(AND('Data Source'!B195&lt;&gt;"",'Data Source'!S195="A+"),IF('Data Source'!X195&gt;=5,"A+",IF('Data Source'!X195&gt;=4,"A",IF('Data Source'!X195&gt;=3.5,"A-",IF('Data Source'!X195&gt;=3,"B",IF('Data Source'!X195&gt;=2,"C",IF('Data Source'!X195&gt;=1,"D","F")))))),"")</f>
        <v/>
      </c>
      <c r="G195" s="3">
        <f>IF(AND('Data Source'!B195&lt;&gt;"",'Data Source'!S195="A+"),IF('Data Source'!Y195&gt;=5,"A+",IF('Data Source'!Y195&gt;=4,"A",IF('Data Source'!Y195&gt;=3.5,"A-",IF('Data Source'!Y195&gt;=3,"B",IF('Data Source'!Y195&gt;=2,"C",IF('Data Source'!Y195&gt;=1,"D","F")))))),"")</f>
        <v/>
      </c>
      <c r="H195" s="3">
        <f>IF(AND('Data Source'!B195&lt;&gt;"",'Data Source'!S195="A+"),IF('Data Source'!Z195&gt;=5,"A+",IF('Data Source'!Z195&gt;=4,"A",IF('Data Source'!Z195&gt;=3.5,"A-",IF('Data Source'!Z195&gt;=3,"B",IF('Data Source'!Z195&gt;=2,"C",IF('Data Source'!Z195&gt;=1,"D","F")))))),"")</f>
        <v/>
      </c>
      <c r="I195" s="3">
        <f>IF(AND('Data Source'!B195&lt;&gt;"",'Data Source'!S195="A+"),IF('Data Source'!AA195&gt;=5,"A+",IF('Data Source'!AA195&gt;=4,"A",IF('Data Source'!AA195&gt;=3.5,"A-",IF('Data Source'!AA195&gt;=3,"B",IF('Data Source'!AA195&gt;=2,"C",IF('Data Source'!AA195&gt;=1,"D","F")))))),"")</f>
        <v/>
      </c>
      <c r="J195" s="3">
        <f>IF(AND('Data Source'!B195&lt;&gt;"",'Data Source'!S195="A+"),IF('Data Source'!AB195&gt;=5,"A+",IF('Data Source'!AB195&gt;=4,"A",IF('Data Source'!AB195&gt;=3.5,"A-",IF('Data Source'!AB195&gt;=3,"B",IF('Data Source'!AB195&gt;=2,"C",IF('Data Source'!AB195&gt;=1,"D","F")))))),"")</f>
        <v/>
      </c>
      <c r="K195" s="3">
        <f>IF(AND('Data Source'!B195&lt;&gt;"",'Data Source'!S195="A+"),IF('Data Source'!AC195&gt;=5,"A+",IF('Data Source'!AC195&gt;=4,"A",IF('Data Source'!AC195&gt;=3.5,"A-",IF('Data Source'!AC195&gt;=3,"B",IF('Data Source'!AC195&gt;=2,"C",IF('Data Source'!AC195&gt;=1,"D","F")))))),"")</f>
        <v/>
      </c>
      <c r="L195" s="3">
        <f>IF(AND('Data Source'!B195&lt;&gt;"",'Data Source'!S195="A+"),IF('Data Source'!AD195&gt;=5,"A+",IF('Data Source'!AD195&gt;=4,"A",IF('Data Source'!AD195&gt;=3.5,"A-",IF('Data Source'!AD195&gt;=3,"B",IF('Data Source'!AD195&gt;=2,"C",IF('Data Source'!AD195&gt;=1,"D","F")))))),"")</f>
        <v/>
      </c>
      <c r="M195" s="3">
        <f>IF(AND('Data Source'!B195&lt;&gt;"",'Data Source'!S195="A+"),IF('Data Source'!AE195&gt;=5,"A+",IF('Data Source'!AE195&gt;=4,"A",IF('Data Source'!AE195&gt;=3.5,"A-",IF('Data Source'!AE195&gt;=3,"B",IF('Data Source'!AE195&gt;=2,"C",IF('Data Source'!AE195&gt;=1,"D","F")))))),"")</f>
        <v/>
      </c>
      <c r="N195" s="3">
        <f>IF(AND('Data Source'!B195&lt;&gt;"",'Data Source'!S195="A+"),IF('Data Source'!AF195&gt;=5,"A+",IF('Data Source'!AF195&gt;=4,"A",IF('Data Source'!AF195&gt;=3.5,"A-",IF('Data Source'!AF195&gt;=3,"B",IF('Data Source'!AF195&gt;=2,"C",IF('Data Source'!AF195&gt;=1,"D","F")))))),"")</f>
        <v/>
      </c>
      <c r="O195" s="3">
        <f>IF(AND('Data Source'!B195&lt;&gt;"",'Data Source'!S195="A+"),IF('Data Source'!AG195&gt;=5,"A+",IF('Data Source'!AG195&gt;=4,"A",IF('Data Source'!AG195&gt;=3.5,"A-",IF('Data Source'!AG195&gt;=3,"B",IF('Data Source'!AG195&gt;=2,"C",IF('Data Source'!AG195&gt;=1,"D","F")))))),"")</f>
        <v/>
      </c>
      <c r="P195" s="5">
        <f>IF(AND('Data Source'!B195&lt;&gt;"",'Data Source'!S195="A+"),'Data Source'!R195,"")</f>
        <v/>
      </c>
      <c r="Q195" s="3">
        <f>IF(AND('Data Source'!B195&lt;&gt;"",'Data Source'!S195="A+"),'Data Source'!S195,"")</f>
        <v/>
      </c>
    </row>
    <row r="196">
      <c r="A196" s="3">
        <f>IF(AND('Data Source'!B196&lt;&gt;"",'Data Source'!S196="A+"),COUNTIF('Data Source'!$S$3:S196,"A+"),"")</f>
        <v/>
      </c>
      <c r="B196">
        <f>IF(AND('Data Source'!B196&lt;&gt;"",'Data Source'!S196="A+"),'Data Source'!B196,"")</f>
        <v/>
      </c>
      <c r="C196" s="3">
        <f>IF(AND('Data Source'!B196&lt;&gt;"",'Data Source'!S196="A+"),IF('Data Source'!U196&gt;=5,"A+",IF('Data Source'!U196&gt;=4,"A",IF('Data Source'!U196&gt;=3.5,"A-",IF('Data Source'!U196&gt;=3,"B",IF('Data Source'!U196&gt;=2,"C",IF('Data Source'!U196&gt;=1,"D","F")))))),"")</f>
        <v/>
      </c>
      <c r="D196" s="3">
        <f>IF(AND('Data Source'!B196&lt;&gt;"",'Data Source'!S196="A+"),IF('Data Source'!V196&gt;=5,"A+",IF('Data Source'!V196&gt;=4,"A",IF('Data Source'!V196&gt;=3.5,"A-",IF('Data Source'!V196&gt;=3,"B",IF('Data Source'!V196&gt;=2,"C",IF('Data Source'!V196&gt;=1,"D","F")))))),"")</f>
        <v/>
      </c>
      <c r="E196" s="3">
        <f>IF(AND('Data Source'!B196&lt;&gt;"",'Data Source'!S196="A+"),IF('Data Source'!W196&gt;=5,"A+",IF('Data Source'!W196&gt;=4,"A",IF('Data Source'!W196&gt;=3.5,"A-",IF('Data Source'!W196&gt;=3,"B",IF('Data Source'!W196&gt;=2,"C",IF('Data Source'!W196&gt;=1,"D","F")))))),"")</f>
        <v/>
      </c>
      <c r="F196" s="3">
        <f>IF(AND('Data Source'!B196&lt;&gt;"",'Data Source'!S196="A+"),IF('Data Source'!X196&gt;=5,"A+",IF('Data Source'!X196&gt;=4,"A",IF('Data Source'!X196&gt;=3.5,"A-",IF('Data Source'!X196&gt;=3,"B",IF('Data Source'!X196&gt;=2,"C",IF('Data Source'!X196&gt;=1,"D","F")))))),"")</f>
        <v/>
      </c>
      <c r="G196" s="3">
        <f>IF(AND('Data Source'!B196&lt;&gt;"",'Data Source'!S196="A+"),IF('Data Source'!Y196&gt;=5,"A+",IF('Data Source'!Y196&gt;=4,"A",IF('Data Source'!Y196&gt;=3.5,"A-",IF('Data Source'!Y196&gt;=3,"B",IF('Data Source'!Y196&gt;=2,"C",IF('Data Source'!Y196&gt;=1,"D","F")))))),"")</f>
        <v/>
      </c>
      <c r="H196" s="3">
        <f>IF(AND('Data Source'!B196&lt;&gt;"",'Data Source'!S196="A+"),IF('Data Source'!Z196&gt;=5,"A+",IF('Data Source'!Z196&gt;=4,"A",IF('Data Source'!Z196&gt;=3.5,"A-",IF('Data Source'!Z196&gt;=3,"B",IF('Data Source'!Z196&gt;=2,"C",IF('Data Source'!Z196&gt;=1,"D","F")))))),"")</f>
        <v/>
      </c>
      <c r="I196" s="3">
        <f>IF(AND('Data Source'!B196&lt;&gt;"",'Data Source'!S196="A+"),IF('Data Source'!AA196&gt;=5,"A+",IF('Data Source'!AA196&gt;=4,"A",IF('Data Source'!AA196&gt;=3.5,"A-",IF('Data Source'!AA196&gt;=3,"B",IF('Data Source'!AA196&gt;=2,"C",IF('Data Source'!AA196&gt;=1,"D","F")))))),"")</f>
        <v/>
      </c>
      <c r="J196" s="3">
        <f>IF(AND('Data Source'!B196&lt;&gt;"",'Data Source'!S196="A+"),IF('Data Source'!AB196&gt;=5,"A+",IF('Data Source'!AB196&gt;=4,"A",IF('Data Source'!AB196&gt;=3.5,"A-",IF('Data Source'!AB196&gt;=3,"B",IF('Data Source'!AB196&gt;=2,"C",IF('Data Source'!AB196&gt;=1,"D","F")))))),"")</f>
        <v/>
      </c>
      <c r="K196" s="3">
        <f>IF(AND('Data Source'!B196&lt;&gt;"",'Data Source'!S196="A+"),IF('Data Source'!AC196&gt;=5,"A+",IF('Data Source'!AC196&gt;=4,"A",IF('Data Source'!AC196&gt;=3.5,"A-",IF('Data Source'!AC196&gt;=3,"B",IF('Data Source'!AC196&gt;=2,"C",IF('Data Source'!AC196&gt;=1,"D","F")))))),"")</f>
        <v/>
      </c>
      <c r="L196" s="3">
        <f>IF(AND('Data Source'!B196&lt;&gt;"",'Data Source'!S196="A+"),IF('Data Source'!AD196&gt;=5,"A+",IF('Data Source'!AD196&gt;=4,"A",IF('Data Source'!AD196&gt;=3.5,"A-",IF('Data Source'!AD196&gt;=3,"B",IF('Data Source'!AD196&gt;=2,"C",IF('Data Source'!AD196&gt;=1,"D","F")))))),"")</f>
        <v/>
      </c>
      <c r="M196" s="3">
        <f>IF(AND('Data Source'!B196&lt;&gt;"",'Data Source'!S196="A+"),IF('Data Source'!AE196&gt;=5,"A+",IF('Data Source'!AE196&gt;=4,"A",IF('Data Source'!AE196&gt;=3.5,"A-",IF('Data Source'!AE196&gt;=3,"B",IF('Data Source'!AE196&gt;=2,"C",IF('Data Source'!AE196&gt;=1,"D","F")))))),"")</f>
        <v/>
      </c>
      <c r="N196" s="3">
        <f>IF(AND('Data Source'!B196&lt;&gt;"",'Data Source'!S196="A+"),IF('Data Source'!AF196&gt;=5,"A+",IF('Data Source'!AF196&gt;=4,"A",IF('Data Source'!AF196&gt;=3.5,"A-",IF('Data Source'!AF196&gt;=3,"B",IF('Data Source'!AF196&gt;=2,"C",IF('Data Source'!AF196&gt;=1,"D","F")))))),"")</f>
        <v/>
      </c>
      <c r="O196" s="3">
        <f>IF(AND('Data Source'!B196&lt;&gt;"",'Data Source'!S196="A+"),IF('Data Source'!AG196&gt;=5,"A+",IF('Data Source'!AG196&gt;=4,"A",IF('Data Source'!AG196&gt;=3.5,"A-",IF('Data Source'!AG196&gt;=3,"B",IF('Data Source'!AG196&gt;=2,"C",IF('Data Source'!AG196&gt;=1,"D","F")))))),"")</f>
        <v/>
      </c>
      <c r="P196" s="5">
        <f>IF(AND('Data Source'!B196&lt;&gt;"",'Data Source'!S196="A+"),'Data Source'!R196,"")</f>
        <v/>
      </c>
      <c r="Q196" s="3">
        <f>IF(AND('Data Source'!B196&lt;&gt;"",'Data Source'!S196="A+"),'Data Source'!S196,"")</f>
        <v/>
      </c>
    </row>
    <row r="197">
      <c r="A197" s="3">
        <f>IF(AND('Data Source'!B197&lt;&gt;"",'Data Source'!S197="A+"),COUNTIF('Data Source'!$S$3:S197,"A+"),"")</f>
        <v/>
      </c>
      <c r="B197">
        <f>IF(AND('Data Source'!B197&lt;&gt;"",'Data Source'!S197="A+"),'Data Source'!B197,"")</f>
        <v/>
      </c>
      <c r="C197" s="3">
        <f>IF(AND('Data Source'!B197&lt;&gt;"",'Data Source'!S197="A+"),IF('Data Source'!U197&gt;=5,"A+",IF('Data Source'!U197&gt;=4,"A",IF('Data Source'!U197&gt;=3.5,"A-",IF('Data Source'!U197&gt;=3,"B",IF('Data Source'!U197&gt;=2,"C",IF('Data Source'!U197&gt;=1,"D","F")))))),"")</f>
        <v/>
      </c>
      <c r="D197" s="3">
        <f>IF(AND('Data Source'!B197&lt;&gt;"",'Data Source'!S197="A+"),IF('Data Source'!V197&gt;=5,"A+",IF('Data Source'!V197&gt;=4,"A",IF('Data Source'!V197&gt;=3.5,"A-",IF('Data Source'!V197&gt;=3,"B",IF('Data Source'!V197&gt;=2,"C",IF('Data Source'!V197&gt;=1,"D","F")))))),"")</f>
        <v/>
      </c>
      <c r="E197" s="3">
        <f>IF(AND('Data Source'!B197&lt;&gt;"",'Data Source'!S197="A+"),IF('Data Source'!W197&gt;=5,"A+",IF('Data Source'!W197&gt;=4,"A",IF('Data Source'!W197&gt;=3.5,"A-",IF('Data Source'!W197&gt;=3,"B",IF('Data Source'!W197&gt;=2,"C",IF('Data Source'!W197&gt;=1,"D","F")))))),"")</f>
        <v/>
      </c>
      <c r="F197" s="3">
        <f>IF(AND('Data Source'!B197&lt;&gt;"",'Data Source'!S197="A+"),IF('Data Source'!X197&gt;=5,"A+",IF('Data Source'!X197&gt;=4,"A",IF('Data Source'!X197&gt;=3.5,"A-",IF('Data Source'!X197&gt;=3,"B",IF('Data Source'!X197&gt;=2,"C",IF('Data Source'!X197&gt;=1,"D","F")))))),"")</f>
        <v/>
      </c>
      <c r="G197" s="3">
        <f>IF(AND('Data Source'!B197&lt;&gt;"",'Data Source'!S197="A+"),IF('Data Source'!Y197&gt;=5,"A+",IF('Data Source'!Y197&gt;=4,"A",IF('Data Source'!Y197&gt;=3.5,"A-",IF('Data Source'!Y197&gt;=3,"B",IF('Data Source'!Y197&gt;=2,"C",IF('Data Source'!Y197&gt;=1,"D","F")))))),"")</f>
        <v/>
      </c>
      <c r="H197" s="3">
        <f>IF(AND('Data Source'!B197&lt;&gt;"",'Data Source'!S197="A+"),IF('Data Source'!Z197&gt;=5,"A+",IF('Data Source'!Z197&gt;=4,"A",IF('Data Source'!Z197&gt;=3.5,"A-",IF('Data Source'!Z197&gt;=3,"B",IF('Data Source'!Z197&gt;=2,"C",IF('Data Source'!Z197&gt;=1,"D","F")))))),"")</f>
        <v/>
      </c>
      <c r="I197" s="3">
        <f>IF(AND('Data Source'!B197&lt;&gt;"",'Data Source'!S197="A+"),IF('Data Source'!AA197&gt;=5,"A+",IF('Data Source'!AA197&gt;=4,"A",IF('Data Source'!AA197&gt;=3.5,"A-",IF('Data Source'!AA197&gt;=3,"B",IF('Data Source'!AA197&gt;=2,"C",IF('Data Source'!AA197&gt;=1,"D","F")))))),"")</f>
        <v/>
      </c>
      <c r="J197" s="3">
        <f>IF(AND('Data Source'!B197&lt;&gt;"",'Data Source'!S197="A+"),IF('Data Source'!AB197&gt;=5,"A+",IF('Data Source'!AB197&gt;=4,"A",IF('Data Source'!AB197&gt;=3.5,"A-",IF('Data Source'!AB197&gt;=3,"B",IF('Data Source'!AB197&gt;=2,"C",IF('Data Source'!AB197&gt;=1,"D","F")))))),"")</f>
        <v/>
      </c>
      <c r="K197" s="3">
        <f>IF(AND('Data Source'!B197&lt;&gt;"",'Data Source'!S197="A+"),IF('Data Source'!AC197&gt;=5,"A+",IF('Data Source'!AC197&gt;=4,"A",IF('Data Source'!AC197&gt;=3.5,"A-",IF('Data Source'!AC197&gt;=3,"B",IF('Data Source'!AC197&gt;=2,"C",IF('Data Source'!AC197&gt;=1,"D","F")))))),"")</f>
        <v/>
      </c>
      <c r="L197" s="3">
        <f>IF(AND('Data Source'!B197&lt;&gt;"",'Data Source'!S197="A+"),IF('Data Source'!AD197&gt;=5,"A+",IF('Data Source'!AD197&gt;=4,"A",IF('Data Source'!AD197&gt;=3.5,"A-",IF('Data Source'!AD197&gt;=3,"B",IF('Data Source'!AD197&gt;=2,"C",IF('Data Source'!AD197&gt;=1,"D","F")))))),"")</f>
        <v/>
      </c>
      <c r="M197" s="3">
        <f>IF(AND('Data Source'!B197&lt;&gt;"",'Data Source'!S197="A+"),IF('Data Source'!AE197&gt;=5,"A+",IF('Data Source'!AE197&gt;=4,"A",IF('Data Source'!AE197&gt;=3.5,"A-",IF('Data Source'!AE197&gt;=3,"B",IF('Data Source'!AE197&gt;=2,"C",IF('Data Source'!AE197&gt;=1,"D","F")))))),"")</f>
        <v/>
      </c>
      <c r="N197" s="3">
        <f>IF(AND('Data Source'!B197&lt;&gt;"",'Data Source'!S197="A+"),IF('Data Source'!AF197&gt;=5,"A+",IF('Data Source'!AF197&gt;=4,"A",IF('Data Source'!AF197&gt;=3.5,"A-",IF('Data Source'!AF197&gt;=3,"B",IF('Data Source'!AF197&gt;=2,"C",IF('Data Source'!AF197&gt;=1,"D","F")))))),"")</f>
        <v/>
      </c>
      <c r="O197" s="3">
        <f>IF(AND('Data Source'!B197&lt;&gt;"",'Data Source'!S197="A+"),IF('Data Source'!AG197&gt;=5,"A+",IF('Data Source'!AG197&gt;=4,"A",IF('Data Source'!AG197&gt;=3.5,"A-",IF('Data Source'!AG197&gt;=3,"B",IF('Data Source'!AG197&gt;=2,"C",IF('Data Source'!AG197&gt;=1,"D","F")))))),"")</f>
        <v/>
      </c>
      <c r="P197" s="5">
        <f>IF(AND('Data Source'!B197&lt;&gt;"",'Data Source'!S197="A+"),'Data Source'!R197,"")</f>
        <v/>
      </c>
      <c r="Q197" s="3">
        <f>IF(AND('Data Source'!B197&lt;&gt;"",'Data Source'!S197="A+"),'Data Source'!S197,"")</f>
        <v/>
      </c>
    </row>
    <row r="198">
      <c r="A198" s="3">
        <f>IF(AND('Data Source'!B198&lt;&gt;"",'Data Source'!S198="A+"),COUNTIF('Data Source'!$S$3:S198,"A+"),"")</f>
        <v/>
      </c>
      <c r="B198">
        <f>IF(AND('Data Source'!B198&lt;&gt;"",'Data Source'!S198="A+"),'Data Source'!B198,"")</f>
        <v/>
      </c>
      <c r="C198" s="3">
        <f>IF(AND('Data Source'!B198&lt;&gt;"",'Data Source'!S198="A+"),IF('Data Source'!U198&gt;=5,"A+",IF('Data Source'!U198&gt;=4,"A",IF('Data Source'!U198&gt;=3.5,"A-",IF('Data Source'!U198&gt;=3,"B",IF('Data Source'!U198&gt;=2,"C",IF('Data Source'!U198&gt;=1,"D","F")))))),"")</f>
        <v/>
      </c>
      <c r="D198" s="3">
        <f>IF(AND('Data Source'!B198&lt;&gt;"",'Data Source'!S198="A+"),IF('Data Source'!V198&gt;=5,"A+",IF('Data Source'!V198&gt;=4,"A",IF('Data Source'!V198&gt;=3.5,"A-",IF('Data Source'!V198&gt;=3,"B",IF('Data Source'!V198&gt;=2,"C",IF('Data Source'!V198&gt;=1,"D","F")))))),"")</f>
        <v/>
      </c>
      <c r="E198" s="3">
        <f>IF(AND('Data Source'!B198&lt;&gt;"",'Data Source'!S198="A+"),IF('Data Source'!W198&gt;=5,"A+",IF('Data Source'!W198&gt;=4,"A",IF('Data Source'!W198&gt;=3.5,"A-",IF('Data Source'!W198&gt;=3,"B",IF('Data Source'!W198&gt;=2,"C",IF('Data Source'!W198&gt;=1,"D","F")))))),"")</f>
        <v/>
      </c>
      <c r="F198" s="3">
        <f>IF(AND('Data Source'!B198&lt;&gt;"",'Data Source'!S198="A+"),IF('Data Source'!X198&gt;=5,"A+",IF('Data Source'!X198&gt;=4,"A",IF('Data Source'!X198&gt;=3.5,"A-",IF('Data Source'!X198&gt;=3,"B",IF('Data Source'!X198&gt;=2,"C",IF('Data Source'!X198&gt;=1,"D","F")))))),"")</f>
        <v/>
      </c>
      <c r="G198" s="3">
        <f>IF(AND('Data Source'!B198&lt;&gt;"",'Data Source'!S198="A+"),IF('Data Source'!Y198&gt;=5,"A+",IF('Data Source'!Y198&gt;=4,"A",IF('Data Source'!Y198&gt;=3.5,"A-",IF('Data Source'!Y198&gt;=3,"B",IF('Data Source'!Y198&gt;=2,"C",IF('Data Source'!Y198&gt;=1,"D","F")))))),"")</f>
        <v/>
      </c>
      <c r="H198" s="3">
        <f>IF(AND('Data Source'!B198&lt;&gt;"",'Data Source'!S198="A+"),IF('Data Source'!Z198&gt;=5,"A+",IF('Data Source'!Z198&gt;=4,"A",IF('Data Source'!Z198&gt;=3.5,"A-",IF('Data Source'!Z198&gt;=3,"B",IF('Data Source'!Z198&gt;=2,"C",IF('Data Source'!Z198&gt;=1,"D","F")))))),"")</f>
        <v/>
      </c>
      <c r="I198" s="3">
        <f>IF(AND('Data Source'!B198&lt;&gt;"",'Data Source'!S198="A+"),IF('Data Source'!AA198&gt;=5,"A+",IF('Data Source'!AA198&gt;=4,"A",IF('Data Source'!AA198&gt;=3.5,"A-",IF('Data Source'!AA198&gt;=3,"B",IF('Data Source'!AA198&gt;=2,"C",IF('Data Source'!AA198&gt;=1,"D","F")))))),"")</f>
        <v/>
      </c>
      <c r="J198" s="3">
        <f>IF(AND('Data Source'!B198&lt;&gt;"",'Data Source'!S198="A+"),IF('Data Source'!AB198&gt;=5,"A+",IF('Data Source'!AB198&gt;=4,"A",IF('Data Source'!AB198&gt;=3.5,"A-",IF('Data Source'!AB198&gt;=3,"B",IF('Data Source'!AB198&gt;=2,"C",IF('Data Source'!AB198&gt;=1,"D","F")))))),"")</f>
        <v/>
      </c>
      <c r="K198" s="3">
        <f>IF(AND('Data Source'!B198&lt;&gt;"",'Data Source'!S198="A+"),IF('Data Source'!AC198&gt;=5,"A+",IF('Data Source'!AC198&gt;=4,"A",IF('Data Source'!AC198&gt;=3.5,"A-",IF('Data Source'!AC198&gt;=3,"B",IF('Data Source'!AC198&gt;=2,"C",IF('Data Source'!AC198&gt;=1,"D","F")))))),"")</f>
        <v/>
      </c>
      <c r="L198" s="3">
        <f>IF(AND('Data Source'!B198&lt;&gt;"",'Data Source'!S198="A+"),IF('Data Source'!AD198&gt;=5,"A+",IF('Data Source'!AD198&gt;=4,"A",IF('Data Source'!AD198&gt;=3.5,"A-",IF('Data Source'!AD198&gt;=3,"B",IF('Data Source'!AD198&gt;=2,"C",IF('Data Source'!AD198&gt;=1,"D","F")))))),"")</f>
        <v/>
      </c>
      <c r="M198" s="3">
        <f>IF(AND('Data Source'!B198&lt;&gt;"",'Data Source'!S198="A+"),IF('Data Source'!AE198&gt;=5,"A+",IF('Data Source'!AE198&gt;=4,"A",IF('Data Source'!AE198&gt;=3.5,"A-",IF('Data Source'!AE198&gt;=3,"B",IF('Data Source'!AE198&gt;=2,"C",IF('Data Source'!AE198&gt;=1,"D","F")))))),"")</f>
        <v/>
      </c>
      <c r="N198" s="3">
        <f>IF(AND('Data Source'!B198&lt;&gt;"",'Data Source'!S198="A+"),IF('Data Source'!AF198&gt;=5,"A+",IF('Data Source'!AF198&gt;=4,"A",IF('Data Source'!AF198&gt;=3.5,"A-",IF('Data Source'!AF198&gt;=3,"B",IF('Data Source'!AF198&gt;=2,"C",IF('Data Source'!AF198&gt;=1,"D","F")))))),"")</f>
        <v/>
      </c>
      <c r="O198" s="3">
        <f>IF(AND('Data Source'!B198&lt;&gt;"",'Data Source'!S198="A+"),IF('Data Source'!AG198&gt;=5,"A+",IF('Data Source'!AG198&gt;=4,"A",IF('Data Source'!AG198&gt;=3.5,"A-",IF('Data Source'!AG198&gt;=3,"B",IF('Data Source'!AG198&gt;=2,"C",IF('Data Source'!AG198&gt;=1,"D","F")))))),"")</f>
        <v/>
      </c>
      <c r="P198" s="5">
        <f>IF(AND('Data Source'!B198&lt;&gt;"",'Data Source'!S198="A+"),'Data Source'!R198,"")</f>
        <v/>
      </c>
      <c r="Q198" s="3">
        <f>IF(AND('Data Source'!B198&lt;&gt;"",'Data Source'!S198="A+"),'Data Source'!S198,"")</f>
        <v/>
      </c>
    </row>
    <row r="199">
      <c r="A199" s="3">
        <f>IF(AND('Data Source'!B199&lt;&gt;"",'Data Source'!S199="A+"),COUNTIF('Data Source'!$S$3:S199,"A+"),"")</f>
        <v/>
      </c>
      <c r="B199">
        <f>IF(AND('Data Source'!B199&lt;&gt;"",'Data Source'!S199="A+"),'Data Source'!B199,"")</f>
        <v/>
      </c>
      <c r="C199" s="3">
        <f>IF(AND('Data Source'!B199&lt;&gt;"",'Data Source'!S199="A+"),IF('Data Source'!U199&gt;=5,"A+",IF('Data Source'!U199&gt;=4,"A",IF('Data Source'!U199&gt;=3.5,"A-",IF('Data Source'!U199&gt;=3,"B",IF('Data Source'!U199&gt;=2,"C",IF('Data Source'!U199&gt;=1,"D","F")))))),"")</f>
        <v/>
      </c>
      <c r="D199" s="3">
        <f>IF(AND('Data Source'!B199&lt;&gt;"",'Data Source'!S199="A+"),IF('Data Source'!V199&gt;=5,"A+",IF('Data Source'!V199&gt;=4,"A",IF('Data Source'!V199&gt;=3.5,"A-",IF('Data Source'!V199&gt;=3,"B",IF('Data Source'!V199&gt;=2,"C",IF('Data Source'!V199&gt;=1,"D","F")))))),"")</f>
        <v/>
      </c>
      <c r="E199" s="3">
        <f>IF(AND('Data Source'!B199&lt;&gt;"",'Data Source'!S199="A+"),IF('Data Source'!W199&gt;=5,"A+",IF('Data Source'!W199&gt;=4,"A",IF('Data Source'!W199&gt;=3.5,"A-",IF('Data Source'!W199&gt;=3,"B",IF('Data Source'!W199&gt;=2,"C",IF('Data Source'!W199&gt;=1,"D","F")))))),"")</f>
        <v/>
      </c>
      <c r="F199" s="3">
        <f>IF(AND('Data Source'!B199&lt;&gt;"",'Data Source'!S199="A+"),IF('Data Source'!X199&gt;=5,"A+",IF('Data Source'!X199&gt;=4,"A",IF('Data Source'!X199&gt;=3.5,"A-",IF('Data Source'!X199&gt;=3,"B",IF('Data Source'!X199&gt;=2,"C",IF('Data Source'!X199&gt;=1,"D","F")))))),"")</f>
        <v/>
      </c>
      <c r="G199" s="3">
        <f>IF(AND('Data Source'!B199&lt;&gt;"",'Data Source'!S199="A+"),IF('Data Source'!Y199&gt;=5,"A+",IF('Data Source'!Y199&gt;=4,"A",IF('Data Source'!Y199&gt;=3.5,"A-",IF('Data Source'!Y199&gt;=3,"B",IF('Data Source'!Y199&gt;=2,"C",IF('Data Source'!Y199&gt;=1,"D","F")))))),"")</f>
        <v/>
      </c>
      <c r="H199" s="3">
        <f>IF(AND('Data Source'!B199&lt;&gt;"",'Data Source'!S199="A+"),IF('Data Source'!Z199&gt;=5,"A+",IF('Data Source'!Z199&gt;=4,"A",IF('Data Source'!Z199&gt;=3.5,"A-",IF('Data Source'!Z199&gt;=3,"B",IF('Data Source'!Z199&gt;=2,"C",IF('Data Source'!Z199&gt;=1,"D","F")))))),"")</f>
        <v/>
      </c>
      <c r="I199" s="3">
        <f>IF(AND('Data Source'!B199&lt;&gt;"",'Data Source'!S199="A+"),IF('Data Source'!AA199&gt;=5,"A+",IF('Data Source'!AA199&gt;=4,"A",IF('Data Source'!AA199&gt;=3.5,"A-",IF('Data Source'!AA199&gt;=3,"B",IF('Data Source'!AA199&gt;=2,"C",IF('Data Source'!AA199&gt;=1,"D","F")))))),"")</f>
        <v/>
      </c>
      <c r="J199" s="3">
        <f>IF(AND('Data Source'!B199&lt;&gt;"",'Data Source'!S199="A+"),IF('Data Source'!AB199&gt;=5,"A+",IF('Data Source'!AB199&gt;=4,"A",IF('Data Source'!AB199&gt;=3.5,"A-",IF('Data Source'!AB199&gt;=3,"B",IF('Data Source'!AB199&gt;=2,"C",IF('Data Source'!AB199&gt;=1,"D","F")))))),"")</f>
        <v/>
      </c>
      <c r="K199" s="3">
        <f>IF(AND('Data Source'!B199&lt;&gt;"",'Data Source'!S199="A+"),IF('Data Source'!AC199&gt;=5,"A+",IF('Data Source'!AC199&gt;=4,"A",IF('Data Source'!AC199&gt;=3.5,"A-",IF('Data Source'!AC199&gt;=3,"B",IF('Data Source'!AC199&gt;=2,"C",IF('Data Source'!AC199&gt;=1,"D","F")))))),"")</f>
        <v/>
      </c>
      <c r="L199" s="3">
        <f>IF(AND('Data Source'!B199&lt;&gt;"",'Data Source'!S199="A+"),IF('Data Source'!AD199&gt;=5,"A+",IF('Data Source'!AD199&gt;=4,"A",IF('Data Source'!AD199&gt;=3.5,"A-",IF('Data Source'!AD199&gt;=3,"B",IF('Data Source'!AD199&gt;=2,"C",IF('Data Source'!AD199&gt;=1,"D","F")))))),"")</f>
        <v/>
      </c>
      <c r="M199" s="3">
        <f>IF(AND('Data Source'!B199&lt;&gt;"",'Data Source'!S199="A+"),IF('Data Source'!AE199&gt;=5,"A+",IF('Data Source'!AE199&gt;=4,"A",IF('Data Source'!AE199&gt;=3.5,"A-",IF('Data Source'!AE199&gt;=3,"B",IF('Data Source'!AE199&gt;=2,"C",IF('Data Source'!AE199&gt;=1,"D","F")))))),"")</f>
        <v/>
      </c>
      <c r="N199" s="3">
        <f>IF(AND('Data Source'!B199&lt;&gt;"",'Data Source'!S199="A+"),IF('Data Source'!AF199&gt;=5,"A+",IF('Data Source'!AF199&gt;=4,"A",IF('Data Source'!AF199&gt;=3.5,"A-",IF('Data Source'!AF199&gt;=3,"B",IF('Data Source'!AF199&gt;=2,"C",IF('Data Source'!AF199&gt;=1,"D","F")))))),"")</f>
        <v/>
      </c>
      <c r="O199" s="3">
        <f>IF(AND('Data Source'!B199&lt;&gt;"",'Data Source'!S199="A+"),IF('Data Source'!AG199&gt;=5,"A+",IF('Data Source'!AG199&gt;=4,"A",IF('Data Source'!AG199&gt;=3.5,"A-",IF('Data Source'!AG199&gt;=3,"B",IF('Data Source'!AG199&gt;=2,"C",IF('Data Source'!AG199&gt;=1,"D","F")))))),"")</f>
        <v/>
      </c>
      <c r="P199" s="5">
        <f>IF(AND('Data Source'!B199&lt;&gt;"",'Data Source'!S199="A+"),'Data Source'!R199,"")</f>
        <v/>
      </c>
      <c r="Q199" s="3">
        <f>IF(AND('Data Source'!B199&lt;&gt;"",'Data Source'!S199="A+"),'Data Source'!S199,"")</f>
        <v/>
      </c>
    </row>
    <row r="200">
      <c r="A200" s="3">
        <f>IF(AND('Data Source'!B200&lt;&gt;"",'Data Source'!S200="A+"),COUNTIF('Data Source'!$S$3:S200,"A+"),"")</f>
        <v/>
      </c>
      <c r="B200">
        <f>IF(AND('Data Source'!B200&lt;&gt;"",'Data Source'!S200="A+"),'Data Source'!B200,"")</f>
        <v/>
      </c>
      <c r="C200" s="3">
        <f>IF(AND('Data Source'!B200&lt;&gt;"",'Data Source'!S200="A+"),IF('Data Source'!U200&gt;=5,"A+",IF('Data Source'!U200&gt;=4,"A",IF('Data Source'!U200&gt;=3.5,"A-",IF('Data Source'!U200&gt;=3,"B",IF('Data Source'!U200&gt;=2,"C",IF('Data Source'!U200&gt;=1,"D","F")))))),"")</f>
        <v/>
      </c>
      <c r="D200" s="3">
        <f>IF(AND('Data Source'!B200&lt;&gt;"",'Data Source'!S200="A+"),IF('Data Source'!V200&gt;=5,"A+",IF('Data Source'!V200&gt;=4,"A",IF('Data Source'!V200&gt;=3.5,"A-",IF('Data Source'!V200&gt;=3,"B",IF('Data Source'!V200&gt;=2,"C",IF('Data Source'!V200&gt;=1,"D","F")))))),"")</f>
        <v/>
      </c>
      <c r="E200" s="3">
        <f>IF(AND('Data Source'!B200&lt;&gt;"",'Data Source'!S200="A+"),IF('Data Source'!W200&gt;=5,"A+",IF('Data Source'!W200&gt;=4,"A",IF('Data Source'!W200&gt;=3.5,"A-",IF('Data Source'!W200&gt;=3,"B",IF('Data Source'!W200&gt;=2,"C",IF('Data Source'!W200&gt;=1,"D","F")))))),"")</f>
        <v/>
      </c>
      <c r="F200" s="3">
        <f>IF(AND('Data Source'!B200&lt;&gt;"",'Data Source'!S200="A+"),IF('Data Source'!X200&gt;=5,"A+",IF('Data Source'!X200&gt;=4,"A",IF('Data Source'!X200&gt;=3.5,"A-",IF('Data Source'!X200&gt;=3,"B",IF('Data Source'!X200&gt;=2,"C",IF('Data Source'!X200&gt;=1,"D","F")))))),"")</f>
        <v/>
      </c>
      <c r="G200" s="3">
        <f>IF(AND('Data Source'!B200&lt;&gt;"",'Data Source'!S200="A+"),IF('Data Source'!Y200&gt;=5,"A+",IF('Data Source'!Y200&gt;=4,"A",IF('Data Source'!Y200&gt;=3.5,"A-",IF('Data Source'!Y200&gt;=3,"B",IF('Data Source'!Y200&gt;=2,"C",IF('Data Source'!Y200&gt;=1,"D","F")))))),"")</f>
        <v/>
      </c>
      <c r="H200" s="3">
        <f>IF(AND('Data Source'!B200&lt;&gt;"",'Data Source'!S200="A+"),IF('Data Source'!Z200&gt;=5,"A+",IF('Data Source'!Z200&gt;=4,"A",IF('Data Source'!Z200&gt;=3.5,"A-",IF('Data Source'!Z200&gt;=3,"B",IF('Data Source'!Z200&gt;=2,"C",IF('Data Source'!Z200&gt;=1,"D","F")))))),"")</f>
        <v/>
      </c>
      <c r="I200" s="3">
        <f>IF(AND('Data Source'!B200&lt;&gt;"",'Data Source'!S200="A+"),IF('Data Source'!AA200&gt;=5,"A+",IF('Data Source'!AA200&gt;=4,"A",IF('Data Source'!AA200&gt;=3.5,"A-",IF('Data Source'!AA200&gt;=3,"B",IF('Data Source'!AA200&gt;=2,"C",IF('Data Source'!AA200&gt;=1,"D","F")))))),"")</f>
        <v/>
      </c>
      <c r="J200" s="3">
        <f>IF(AND('Data Source'!B200&lt;&gt;"",'Data Source'!S200="A+"),IF('Data Source'!AB200&gt;=5,"A+",IF('Data Source'!AB200&gt;=4,"A",IF('Data Source'!AB200&gt;=3.5,"A-",IF('Data Source'!AB200&gt;=3,"B",IF('Data Source'!AB200&gt;=2,"C",IF('Data Source'!AB200&gt;=1,"D","F")))))),"")</f>
        <v/>
      </c>
      <c r="K200" s="3">
        <f>IF(AND('Data Source'!B200&lt;&gt;"",'Data Source'!S200="A+"),IF('Data Source'!AC200&gt;=5,"A+",IF('Data Source'!AC200&gt;=4,"A",IF('Data Source'!AC200&gt;=3.5,"A-",IF('Data Source'!AC200&gt;=3,"B",IF('Data Source'!AC200&gt;=2,"C",IF('Data Source'!AC200&gt;=1,"D","F")))))),"")</f>
        <v/>
      </c>
      <c r="L200" s="3">
        <f>IF(AND('Data Source'!B200&lt;&gt;"",'Data Source'!S200="A+"),IF('Data Source'!AD200&gt;=5,"A+",IF('Data Source'!AD200&gt;=4,"A",IF('Data Source'!AD200&gt;=3.5,"A-",IF('Data Source'!AD200&gt;=3,"B",IF('Data Source'!AD200&gt;=2,"C",IF('Data Source'!AD200&gt;=1,"D","F")))))),"")</f>
        <v/>
      </c>
      <c r="M200" s="3">
        <f>IF(AND('Data Source'!B200&lt;&gt;"",'Data Source'!S200="A+"),IF('Data Source'!AE200&gt;=5,"A+",IF('Data Source'!AE200&gt;=4,"A",IF('Data Source'!AE200&gt;=3.5,"A-",IF('Data Source'!AE200&gt;=3,"B",IF('Data Source'!AE200&gt;=2,"C",IF('Data Source'!AE200&gt;=1,"D","F")))))),"")</f>
        <v/>
      </c>
      <c r="N200" s="3">
        <f>IF(AND('Data Source'!B200&lt;&gt;"",'Data Source'!S200="A+"),IF('Data Source'!AF200&gt;=5,"A+",IF('Data Source'!AF200&gt;=4,"A",IF('Data Source'!AF200&gt;=3.5,"A-",IF('Data Source'!AF200&gt;=3,"B",IF('Data Source'!AF200&gt;=2,"C",IF('Data Source'!AF200&gt;=1,"D","F")))))),"")</f>
        <v/>
      </c>
      <c r="O200" s="3">
        <f>IF(AND('Data Source'!B200&lt;&gt;"",'Data Source'!S200="A+"),IF('Data Source'!AG200&gt;=5,"A+",IF('Data Source'!AG200&gt;=4,"A",IF('Data Source'!AG200&gt;=3.5,"A-",IF('Data Source'!AG200&gt;=3,"B",IF('Data Source'!AG200&gt;=2,"C",IF('Data Source'!AG200&gt;=1,"D","F")))))),"")</f>
        <v/>
      </c>
      <c r="P200" s="5">
        <f>IF(AND('Data Source'!B200&lt;&gt;"",'Data Source'!S200="A+"),'Data Source'!R200,"")</f>
        <v/>
      </c>
      <c r="Q200" s="3">
        <f>IF(AND('Data Source'!B200&lt;&gt;"",'Data Source'!S200="A+"),'Data Source'!S200,"")</f>
        <v/>
      </c>
    </row>
    <row r="201">
      <c r="A201" s="3">
        <f>IF(AND('Data Source'!B201&lt;&gt;"",'Data Source'!S201="A+"),COUNTIF('Data Source'!$S$3:S201,"A+"),"")</f>
        <v/>
      </c>
      <c r="B201">
        <f>IF(AND('Data Source'!B201&lt;&gt;"",'Data Source'!S201="A+"),'Data Source'!B201,"")</f>
        <v/>
      </c>
      <c r="C201" s="3">
        <f>IF(AND('Data Source'!B201&lt;&gt;"",'Data Source'!S201="A+"),IF('Data Source'!U201&gt;=5,"A+",IF('Data Source'!U201&gt;=4,"A",IF('Data Source'!U201&gt;=3.5,"A-",IF('Data Source'!U201&gt;=3,"B",IF('Data Source'!U201&gt;=2,"C",IF('Data Source'!U201&gt;=1,"D","F")))))),"")</f>
        <v/>
      </c>
      <c r="D201" s="3">
        <f>IF(AND('Data Source'!B201&lt;&gt;"",'Data Source'!S201="A+"),IF('Data Source'!V201&gt;=5,"A+",IF('Data Source'!V201&gt;=4,"A",IF('Data Source'!V201&gt;=3.5,"A-",IF('Data Source'!V201&gt;=3,"B",IF('Data Source'!V201&gt;=2,"C",IF('Data Source'!V201&gt;=1,"D","F")))))),"")</f>
        <v/>
      </c>
      <c r="E201" s="3">
        <f>IF(AND('Data Source'!B201&lt;&gt;"",'Data Source'!S201="A+"),IF('Data Source'!W201&gt;=5,"A+",IF('Data Source'!W201&gt;=4,"A",IF('Data Source'!W201&gt;=3.5,"A-",IF('Data Source'!W201&gt;=3,"B",IF('Data Source'!W201&gt;=2,"C",IF('Data Source'!W201&gt;=1,"D","F")))))),"")</f>
        <v/>
      </c>
      <c r="F201" s="3">
        <f>IF(AND('Data Source'!B201&lt;&gt;"",'Data Source'!S201="A+"),IF('Data Source'!X201&gt;=5,"A+",IF('Data Source'!X201&gt;=4,"A",IF('Data Source'!X201&gt;=3.5,"A-",IF('Data Source'!X201&gt;=3,"B",IF('Data Source'!X201&gt;=2,"C",IF('Data Source'!X201&gt;=1,"D","F")))))),"")</f>
        <v/>
      </c>
      <c r="G201" s="3">
        <f>IF(AND('Data Source'!B201&lt;&gt;"",'Data Source'!S201="A+"),IF('Data Source'!Y201&gt;=5,"A+",IF('Data Source'!Y201&gt;=4,"A",IF('Data Source'!Y201&gt;=3.5,"A-",IF('Data Source'!Y201&gt;=3,"B",IF('Data Source'!Y201&gt;=2,"C",IF('Data Source'!Y201&gt;=1,"D","F")))))),"")</f>
        <v/>
      </c>
      <c r="H201" s="3">
        <f>IF(AND('Data Source'!B201&lt;&gt;"",'Data Source'!S201="A+"),IF('Data Source'!Z201&gt;=5,"A+",IF('Data Source'!Z201&gt;=4,"A",IF('Data Source'!Z201&gt;=3.5,"A-",IF('Data Source'!Z201&gt;=3,"B",IF('Data Source'!Z201&gt;=2,"C",IF('Data Source'!Z201&gt;=1,"D","F")))))),"")</f>
        <v/>
      </c>
      <c r="I201" s="3">
        <f>IF(AND('Data Source'!B201&lt;&gt;"",'Data Source'!S201="A+"),IF('Data Source'!AA201&gt;=5,"A+",IF('Data Source'!AA201&gt;=4,"A",IF('Data Source'!AA201&gt;=3.5,"A-",IF('Data Source'!AA201&gt;=3,"B",IF('Data Source'!AA201&gt;=2,"C",IF('Data Source'!AA201&gt;=1,"D","F")))))),"")</f>
        <v/>
      </c>
      <c r="J201" s="3">
        <f>IF(AND('Data Source'!B201&lt;&gt;"",'Data Source'!S201="A+"),IF('Data Source'!AB201&gt;=5,"A+",IF('Data Source'!AB201&gt;=4,"A",IF('Data Source'!AB201&gt;=3.5,"A-",IF('Data Source'!AB201&gt;=3,"B",IF('Data Source'!AB201&gt;=2,"C",IF('Data Source'!AB201&gt;=1,"D","F")))))),"")</f>
        <v/>
      </c>
      <c r="K201" s="3">
        <f>IF(AND('Data Source'!B201&lt;&gt;"",'Data Source'!S201="A+"),IF('Data Source'!AC201&gt;=5,"A+",IF('Data Source'!AC201&gt;=4,"A",IF('Data Source'!AC201&gt;=3.5,"A-",IF('Data Source'!AC201&gt;=3,"B",IF('Data Source'!AC201&gt;=2,"C",IF('Data Source'!AC201&gt;=1,"D","F")))))),"")</f>
        <v/>
      </c>
      <c r="L201" s="3">
        <f>IF(AND('Data Source'!B201&lt;&gt;"",'Data Source'!S201="A+"),IF('Data Source'!AD201&gt;=5,"A+",IF('Data Source'!AD201&gt;=4,"A",IF('Data Source'!AD201&gt;=3.5,"A-",IF('Data Source'!AD201&gt;=3,"B",IF('Data Source'!AD201&gt;=2,"C",IF('Data Source'!AD201&gt;=1,"D","F")))))),"")</f>
        <v/>
      </c>
      <c r="M201" s="3">
        <f>IF(AND('Data Source'!B201&lt;&gt;"",'Data Source'!S201="A+"),IF('Data Source'!AE201&gt;=5,"A+",IF('Data Source'!AE201&gt;=4,"A",IF('Data Source'!AE201&gt;=3.5,"A-",IF('Data Source'!AE201&gt;=3,"B",IF('Data Source'!AE201&gt;=2,"C",IF('Data Source'!AE201&gt;=1,"D","F")))))),"")</f>
        <v/>
      </c>
      <c r="N201" s="3">
        <f>IF(AND('Data Source'!B201&lt;&gt;"",'Data Source'!S201="A+"),IF('Data Source'!AF201&gt;=5,"A+",IF('Data Source'!AF201&gt;=4,"A",IF('Data Source'!AF201&gt;=3.5,"A-",IF('Data Source'!AF201&gt;=3,"B",IF('Data Source'!AF201&gt;=2,"C",IF('Data Source'!AF201&gt;=1,"D","F")))))),"")</f>
        <v/>
      </c>
      <c r="O201" s="3">
        <f>IF(AND('Data Source'!B201&lt;&gt;"",'Data Source'!S201="A+"),IF('Data Source'!AG201&gt;=5,"A+",IF('Data Source'!AG201&gt;=4,"A",IF('Data Source'!AG201&gt;=3.5,"A-",IF('Data Source'!AG201&gt;=3,"B",IF('Data Source'!AG201&gt;=2,"C",IF('Data Source'!AG201&gt;=1,"D","F")))))),"")</f>
        <v/>
      </c>
      <c r="P201" s="5">
        <f>IF(AND('Data Source'!B201&lt;&gt;"",'Data Source'!S201="A+"),'Data Source'!R201,"")</f>
        <v/>
      </c>
      <c r="Q201" s="3">
        <f>IF(AND('Data Source'!B201&lt;&gt;"",'Data Source'!S201="A+"),'Data Source'!S201,"")</f>
        <v/>
      </c>
    </row>
    <row r="202">
      <c r="A202" s="3">
        <f>IF(AND('Data Source'!B202&lt;&gt;"",'Data Source'!S202="A+"),COUNTIF('Data Source'!$S$3:S202,"A+"),"")</f>
        <v/>
      </c>
      <c r="B202">
        <f>IF(AND('Data Source'!B202&lt;&gt;"",'Data Source'!S202="A+"),'Data Source'!B202,"")</f>
        <v/>
      </c>
      <c r="C202" s="3">
        <f>IF(AND('Data Source'!B202&lt;&gt;"",'Data Source'!S202="A+"),IF('Data Source'!U202&gt;=5,"A+",IF('Data Source'!U202&gt;=4,"A",IF('Data Source'!U202&gt;=3.5,"A-",IF('Data Source'!U202&gt;=3,"B",IF('Data Source'!U202&gt;=2,"C",IF('Data Source'!U202&gt;=1,"D","F")))))),"")</f>
        <v/>
      </c>
      <c r="D202" s="3">
        <f>IF(AND('Data Source'!B202&lt;&gt;"",'Data Source'!S202="A+"),IF('Data Source'!V202&gt;=5,"A+",IF('Data Source'!V202&gt;=4,"A",IF('Data Source'!V202&gt;=3.5,"A-",IF('Data Source'!V202&gt;=3,"B",IF('Data Source'!V202&gt;=2,"C",IF('Data Source'!V202&gt;=1,"D","F")))))),"")</f>
        <v/>
      </c>
      <c r="E202" s="3">
        <f>IF(AND('Data Source'!B202&lt;&gt;"",'Data Source'!S202="A+"),IF('Data Source'!W202&gt;=5,"A+",IF('Data Source'!W202&gt;=4,"A",IF('Data Source'!W202&gt;=3.5,"A-",IF('Data Source'!W202&gt;=3,"B",IF('Data Source'!W202&gt;=2,"C",IF('Data Source'!W202&gt;=1,"D","F")))))),"")</f>
        <v/>
      </c>
      <c r="F202" s="3">
        <f>IF(AND('Data Source'!B202&lt;&gt;"",'Data Source'!S202="A+"),IF('Data Source'!X202&gt;=5,"A+",IF('Data Source'!X202&gt;=4,"A",IF('Data Source'!X202&gt;=3.5,"A-",IF('Data Source'!X202&gt;=3,"B",IF('Data Source'!X202&gt;=2,"C",IF('Data Source'!X202&gt;=1,"D","F")))))),"")</f>
        <v/>
      </c>
      <c r="G202" s="3">
        <f>IF(AND('Data Source'!B202&lt;&gt;"",'Data Source'!S202="A+"),IF('Data Source'!Y202&gt;=5,"A+",IF('Data Source'!Y202&gt;=4,"A",IF('Data Source'!Y202&gt;=3.5,"A-",IF('Data Source'!Y202&gt;=3,"B",IF('Data Source'!Y202&gt;=2,"C",IF('Data Source'!Y202&gt;=1,"D","F")))))),"")</f>
        <v/>
      </c>
      <c r="H202" s="3">
        <f>IF(AND('Data Source'!B202&lt;&gt;"",'Data Source'!S202="A+"),IF('Data Source'!Z202&gt;=5,"A+",IF('Data Source'!Z202&gt;=4,"A",IF('Data Source'!Z202&gt;=3.5,"A-",IF('Data Source'!Z202&gt;=3,"B",IF('Data Source'!Z202&gt;=2,"C",IF('Data Source'!Z202&gt;=1,"D","F")))))),"")</f>
        <v/>
      </c>
      <c r="I202" s="3">
        <f>IF(AND('Data Source'!B202&lt;&gt;"",'Data Source'!S202="A+"),IF('Data Source'!AA202&gt;=5,"A+",IF('Data Source'!AA202&gt;=4,"A",IF('Data Source'!AA202&gt;=3.5,"A-",IF('Data Source'!AA202&gt;=3,"B",IF('Data Source'!AA202&gt;=2,"C",IF('Data Source'!AA202&gt;=1,"D","F")))))),"")</f>
        <v/>
      </c>
      <c r="J202" s="3">
        <f>IF(AND('Data Source'!B202&lt;&gt;"",'Data Source'!S202="A+"),IF('Data Source'!AB202&gt;=5,"A+",IF('Data Source'!AB202&gt;=4,"A",IF('Data Source'!AB202&gt;=3.5,"A-",IF('Data Source'!AB202&gt;=3,"B",IF('Data Source'!AB202&gt;=2,"C",IF('Data Source'!AB202&gt;=1,"D","F")))))),"")</f>
        <v/>
      </c>
      <c r="K202" s="3">
        <f>IF(AND('Data Source'!B202&lt;&gt;"",'Data Source'!S202="A+"),IF('Data Source'!AC202&gt;=5,"A+",IF('Data Source'!AC202&gt;=4,"A",IF('Data Source'!AC202&gt;=3.5,"A-",IF('Data Source'!AC202&gt;=3,"B",IF('Data Source'!AC202&gt;=2,"C",IF('Data Source'!AC202&gt;=1,"D","F")))))),"")</f>
        <v/>
      </c>
      <c r="L202" s="3">
        <f>IF(AND('Data Source'!B202&lt;&gt;"",'Data Source'!S202="A+"),IF('Data Source'!AD202&gt;=5,"A+",IF('Data Source'!AD202&gt;=4,"A",IF('Data Source'!AD202&gt;=3.5,"A-",IF('Data Source'!AD202&gt;=3,"B",IF('Data Source'!AD202&gt;=2,"C",IF('Data Source'!AD202&gt;=1,"D","F")))))),"")</f>
        <v/>
      </c>
      <c r="M202" s="3">
        <f>IF(AND('Data Source'!B202&lt;&gt;"",'Data Source'!S202="A+"),IF('Data Source'!AE202&gt;=5,"A+",IF('Data Source'!AE202&gt;=4,"A",IF('Data Source'!AE202&gt;=3.5,"A-",IF('Data Source'!AE202&gt;=3,"B",IF('Data Source'!AE202&gt;=2,"C",IF('Data Source'!AE202&gt;=1,"D","F")))))),"")</f>
        <v/>
      </c>
      <c r="N202" s="3">
        <f>IF(AND('Data Source'!B202&lt;&gt;"",'Data Source'!S202="A+"),IF('Data Source'!AF202&gt;=5,"A+",IF('Data Source'!AF202&gt;=4,"A",IF('Data Source'!AF202&gt;=3.5,"A-",IF('Data Source'!AF202&gt;=3,"B",IF('Data Source'!AF202&gt;=2,"C",IF('Data Source'!AF202&gt;=1,"D","F")))))),"")</f>
        <v/>
      </c>
      <c r="O202" s="3">
        <f>IF(AND('Data Source'!B202&lt;&gt;"",'Data Source'!S202="A+"),IF('Data Source'!AG202&gt;=5,"A+",IF('Data Source'!AG202&gt;=4,"A",IF('Data Source'!AG202&gt;=3.5,"A-",IF('Data Source'!AG202&gt;=3,"B",IF('Data Source'!AG202&gt;=2,"C",IF('Data Source'!AG202&gt;=1,"D","F")))))),"")</f>
        <v/>
      </c>
      <c r="P202" s="5">
        <f>IF(AND('Data Source'!B202&lt;&gt;"",'Data Source'!S202="A+"),'Data Source'!R202,"")</f>
        <v/>
      </c>
      <c r="Q202" s="3">
        <f>IF(AND('Data Source'!B202&lt;&gt;"",'Data Source'!S202="A+"),'Data Source'!S202,"")</f>
        <v/>
      </c>
    </row>
    <row r="203">
      <c r="A203" s="3">
        <f>IF(AND('Data Source'!B203&lt;&gt;"",'Data Source'!S203="A+"),COUNTIF('Data Source'!$S$3:S203,"A+"),"")</f>
        <v/>
      </c>
      <c r="B203">
        <f>IF(AND('Data Source'!B203&lt;&gt;"",'Data Source'!S203="A+"),'Data Source'!B203,"")</f>
        <v/>
      </c>
      <c r="C203" s="3">
        <f>IF(AND('Data Source'!B203&lt;&gt;"",'Data Source'!S203="A+"),IF('Data Source'!U203&gt;=5,"A+",IF('Data Source'!U203&gt;=4,"A",IF('Data Source'!U203&gt;=3.5,"A-",IF('Data Source'!U203&gt;=3,"B",IF('Data Source'!U203&gt;=2,"C",IF('Data Source'!U203&gt;=1,"D","F")))))),"")</f>
        <v/>
      </c>
      <c r="D203" s="3">
        <f>IF(AND('Data Source'!B203&lt;&gt;"",'Data Source'!S203="A+"),IF('Data Source'!V203&gt;=5,"A+",IF('Data Source'!V203&gt;=4,"A",IF('Data Source'!V203&gt;=3.5,"A-",IF('Data Source'!V203&gt;=3,"B",IF('Data Source'!V203&gt;=2,"C",IF('Data Source'!V203&gt;=1,"D","F")))))),"")</f>
        <v/>
      </c>
      <c r="E203" s="3">
        <f>IF(AND('Data Source'!B203&lt;&gt;"",'Data Source'!S203="A+"),IF('Data Source'!W203&gt;=5,"A+",IF('Data Source'!W203&gt;=4,"A",IF('Data Source'!W203&gt;=3.5,"A-",IF('Data Source'!W203&gt;=3,"B",IF('Data Source'!W203&gt;=2,"C",IF('Data Source'!W203&gt;=1,"D","F")))))),"")</f>
        <v/>
      </c>
      <c r="F203" s="3">
        <f>IF(AND('Data Source'!B203&lt;&gt;"",'Data Source'!S203="A+"),IF('Data Source'!X203&gt;=5,"A+",IF('Data Source'!X203&gt;=4,"A",IF('Data Source'!X203&gt;=3.5,"A-",IF('Data Source'!X203&gt;=3,"B",IF('Data Source'!X203&gt;=2,"C",IF('Data Source'!X203&gt;=1,"D","F")))))),"")</f>
        <v/>
      </c>
      <c r="G203" s="3">
        <f>IF(AND('Data Source'!B203&lt;&gt;"",'Data Source'!S203="A+"),IF('Data Source'!Y203&gt;=5,"A+",IF('Data Source'!Y203&gt;=4,"A",IF('Data Source'!Y203&gt;=3.5,"A-",IF('Data Source'!Y203&gt;=3,"B",IF('Data Source'!Y203&gt;=2,"C",IF('Data Source'!Y203&gt;=1,"D","F")))))),"")</f>
        <v/>
      </c>
      <c r="H203" s="3">
        <f>IF(AND('Data Source'!B203&lt;&gt;"",'Data Source'!S203="A+"),IF('Data Source'!Z203&gt;=5,"A+",IF('Data Source'!Z203&gt;=4,"A",IF('Data Source'!Z203&gt;=3.5,"A-",IF('Data Source'!Z203&gt;=3,"B",IF('Data Source'!Z203&gt;=2,"C",IF('Data Source'!Z203&gt;=1,"D","F")))))),"")</f>
        <v/>
      </c>
      <c r="I203" s="3">
        <f>IF(AND('Data Source'!B203&lt;&gt;"",'Data Source'!S203="A+"),IF('Data Source'!AA203&gt;=5,"A+",IF('Data Source'!AA203&gt;=4,"A",IF('Data Source'!AA203&gt;=3.5,"A-",IF('Data Source'!AA203&gt;=3,"B",IF('Data Source'!AA203&gt;=2,"C",IF('Data Source'!AA203&gt;=1,"D","F")))))),"")</f>
        <v/>
      </c>
      <c r="J203" s="3">
        <f>IF(AND('Data Source'!B203&lt;&gt;"",'Data Source'!S203="A+"),IF('Data Source'!AB203&gt;=5,"A+",IF('Data Source'!AB203&gt;=4,"A",IF('Data Source'!AB203&gt;=3.5,"A-",IF('Data Source'!AB203&gt;=3,"B",IF('Data Source'!AB203&gt;=2,"C",IF('Data Source'!AB203&gt;=1,"D","F")))))),"")</f>
        <v/>
      </c>
      <c r="K203" s="3">
        <f>IF(AND('Data Source'!B203&lt;&gt;"",'Data Source'!S203="A+"),IF('Data Source'!AC203&gt;=5,"A+",IF('Data Source'!AC203&gt;=4,"A",IF('Data Source'!AC203&gt;=3.5,"A-",IF('Data Source'!AC203&gt;=3,"B",IF('Data Source'!AC203&gt;=2,"C",IF('Data Source'!AC203&gt;=1,"D","F")))))),"")</f>
        <v/>
      </c>
      <c r="L203" s="3">
        <f>IF(AND('Data Source'!B203&lt;&gt;"",'Data Source'!S203="A+"),IF('Data Source'!AD203&gt;=5,"A+",IF('Data Source'!AD203&gt;=4,"A",IF('Data Source'!AD203&gt;=3.5,"A-",IF('Data Source'!AD203&gt;=3,"B",IF('Data Source'!AD203&gt;=2,"C",IF('Data Source'!AD203&gt;=1,"D","F")))))),"")</f>
        <v/>
      </c>
      <c r="M203" s="3">
        <f>IF(AND('Data Source'!B203&lt;&gt;"",'Data Source'!S203="A+"),IF('Data Source'!AE203&gt;=5,"A+",IF('Data Source'!AE203&gt;=4,"A",IF('Data Source'!AE203&gt;=3.5,"A-",IF('Data Source'!AE203&gt;=3,"B",IF('Data Source'!AE203&gt;=2,"C",IF('Data Source'!AE203&gt;=1,"D","F")))))),"")</f>
        <v/>
      </c>
      <c r="N203" s="3">
        <f>IF(AND('Data Source'!B203&lt;&gt;"",'Data Source'!S203="A+"),IF('Data Source'!AF203&gt;=5,"A+",IF('Data Source'!AF203&gt;=4,"A",IF('Data Source'!AF203&gt;=3.5,"A-",IF('Data Source'!AF203&gt;=3,"B",IF('Data Source'!AF203&gt;=2,"C",IF('Data Source'!AF203&gt;=1,"D","F")))))),"")</f>
        <v/>
      </c>
      <c r="O203" s="3">
        <f>IF(AND('Data Source'!B203&lt;&gt;"",'Data Source'!S203="A+"),IF('Data Source'!AG203&gt;=5,"A+",IF('Data Source'!AG203&gt;=4,"A",IF('Data Source'!AG203&gt;=3.5,"A-",IF('Data Source'!AG203&gt;=3,"B",IF('Data Source'!AG203&gt;=2,"C",IF('Data Source'!AG203&gt;=1,"D","F")))))),"")</f>
        <v/>
      </c>
      <c r="P203" s="5">
        <f>IF(AND('Data Source'!B203&lt;&gt;"",'Data Source'!S203="A+"),'Data Source'!R203,"")</f>
        <v/>
      </c>
      <c r="Q203" s="3">
        <f>IF(AND('Data Source'!B203&lt;&gt;"",'Data Source'!S203="A+"),'Data Source'!S203,"")</f>
        <v/>
      </c>
    </row>
    <row r="204">
      <c r="A204" s="3">
        <f>IF(AND('Data Source'!B204&lt;&gt;"",'Data Source'!S204="A+"),COUNTIF('Data Source'!$S$3:S204,"A+"),"")</f>
        <v/>
      </c>
      <c r="B204">
        <f>IF(AND('Data Source'!B204&lt;&gt;"",'Data Source'!S204="A+"),'Data Source'!B204,"")</f>
        <v/>
      </c>
      <c r="C204" s="3">
        <f>IF(AND('Data Source'!B204&lt;&gt;"",'Data Source'!S204="A+"),IF('Data Source'!U204&gt;=5,"A+",IF('Data Source'!U204&gt;=4,"A",IF('Data Source'!U204&gt;=3.5,"A-",IF('Data Source'!U204&gt;=3,"B",IF('Data Source'!U204&gt;=2,"C",IF('Data Source'!U204&gt;=1,"D","F")))))),"")</f>
        <v/>
      </c>
      <c r="D204" s="3">
        <f>IF(AND('Data Source'!B204&lt;&gt;"",'Data Source'!S204="A+"),IF('Data Source'!V204&gt;=5,"A+",IF('Data Source'!V204&gt;=4,"A",IF('Data Source'!V204&gt;=3.5,"A-",IF('Data Source'!V204&gt;=3,"B",IF('Data Source'!V204&gt;=2,"C",IF('Data Source'!V204&gt;=1,"D","F")))))),"")</f>
        <v/>
      </c>
      <c r="E204" s="3">
        <f>IF(AND('Data Source'!B204&lt;&gt;"",'Data Source'!S204="A+"),IF('Data Source'!W204&gt;=5,"A+",IF('Data Source'!W204&gt;=4,"A",IF('Data Source'!W204&gt;=3.5,"A-",IF('Data Source'!W204&gt;=3,"B",IF('Data Source'!W204&gt;=2,"C",IF('Data Source'!W204&gt;=1,"D","F")))))),"")</f>
        <v/>
      </c>
      <c r="F204" s="3">
        <f>IF(AND('Data Source'!B204&lt;&gt;"",'Data Source'!S204="A+"),IF('Data Source'!X204&gt;=5,"A+",IF('Data Source'!X204&gt;=4,"A",IF('Data Source'!X204&gt;=3.5,"A-",IF('Data Source'!X204&gt;=3,"B",IF('Data Source'!X204&gt;=2,"C",IF('Data Source'!X204&gt;=1,"D","F")))))),"")</f>
        <v/>
      </c>
      <c r="G204" s="3">
        <f>IF(AND('Data Source'!B204&lt;&gt;"",'Data Source'!S204="A+"),IF('Data Source'!Y204&gt;=5,"A+",IF('Data Source'!Y204&gt;=4,"A",IF('Data Source'!Y204&gt;=3.5,"A-",IF('Data Source'!Y204&gt;=3,"B",IF('Data Source'!Y204&gt;=2,"C",IF('Data Source'!Y204&gt;=1,"D","F")))))),"")</f>
        <v/>
      </c>
      <c r="H204" s="3">
        <f>IF(AND('Data Source'!B204&lt;&gt;"",'Data Source'!S204="A+"),IF('Data Source'!Z204&gt;=5,"A+",IF('Data Source'!Z204&gt;=4,"A",IF('Data Source'!Z204&gt;=3.5,"A-",IF('Data Source'!Z204&gt;=3,"B",IF('Data Source'!Z204&gt;=2,"C",IF('Data Source'!Z204&gt;=1,"D","F")))))),"")</f>
        <v/>
      </c>
      <c r="I204" s="3">
        <f>IF(AND('Data Source'!B204&lt;&gt;"",'Data Source'!S204="A+"),IF('Data Source'!AA204&gt;=5,"A+",IF('Data Source'!AA204&gt;=4,"A",IF('Data Source'!AA204&gt;=3.5,"A-",IF('Data Source'!AA204&gt;=3,"B",IF('Data Source'!AA204&gt;=2,"C",IF('Data Source'!AA204&gt;=1,"D","F")))))),"")</f>
        <v/>
      </c>
      <c r="J204" s="3">
        <f>IF(AND('Data Source'!B204&lt;&gt;"",'Data Source'!S204="A+"),IF('Data Source'!AB204&gt;=5,"A+",IF('Data Source'!AB204&gt;=4,"A",IF('Data Source'!AB204&gt;=3.5,"A-",IF('Data Source'!AB204&gt;=3,"B",IF('Data Source'!AB204&gt;=2,"C",IF('Data Source'!AB204&gt;=1,"D","F")))))),"")</f>
        <v/>
      </c>
      <c r="K204" s="3">
        <f>IF(AND('Data Source'!B204&lt;&gt;"",'Data Source'!S204="A+"),IF('Data Source'!AC204&gt;=5,"A+",IF('Data Source'!AC204&gt;=4,"A",IF('Data Source'!AC204&gt;=3.5,"A-",IF('Data Source'!AC204&gt;=3,"B",IF('Data Source'!AC204&gt;=2,"C",IF('Data Source'!AC204&gt;=1,"D","F")))))),"")</f>
        <v/>
      </c>
      <c r="L204" s="3">
        <f>IF(AND('Data Source'!B204&lt;&gt;"",'Data Source'!S204="A+"),IF('Data Source'!AD204&gt;=5,"A+",IF('Data Source'!AD204&gt;=4,"A",IF('Data Source'!AD204&gt;=3.5,"A-",IF('Data Source'!AD204&gt;=3,"B",IF('Data Source'!AD204&gt;=2,"C",IF('Data Source'!AD204&gt;=1,"D","F")))))),"")</f>
        <v/>
      </c>
      <c r="M204" s="3">
        <f>IF(AND('Data Source'!B204&lt;&gt;"",'Data Source'!S204="A+"),IF('Data Source'!AE204&gt;=5,"A+",IF('Data Source'!AE204&gt;=4,"A",IF('Data Source'!AE204&gt;=3.5,"A-",IF('Data Source'!AE204&gt;=3,"B",IF('Data Source'!AE204&gt;=2,"C",IF('Data Source'!AE204&gt;=1,"D","F")))))),"")</f>
        <v/>
      </c>
      <c r="N204" s="3">
        <f>IF(AND('Data Source'!B204&lt;&gt;"",'Data Source'!S204="A+"),IF('Data Source'!AF204&gt;=5,"A+",IF('Data Source'!AF204&gt;=4,"A",IF('Data Source'!AF204&gt;=3.5,"A-",IF('Data Source'!AF204&gt;=3,"B",IF('Data Source'!AF204&gt;=2,"C",IF('Data Source'!AF204&gt;=1,"D","F")))))),"")</f>
        <v/>
      </c>
      <c r="O204" s="3">
        <f>IF(AND('Data Source'!B204&lt;&gt;"",'Data Source'!S204="A+"),IF('Data Source'!AG204&gt;=5,"A+",IF('Data Source'!AG204&gt;=4,"A",IF('Data Source'!AG204&gt;=3.5,"A-",IF('Data Source'!AG204&gt;=3,"B",IF('Data Source'!AG204&gt;=2,"C",IF('Data Source'!AG204&gt;=1,"D","F")))))),"")</f>
        <v/>
      </c>
      <c r="P204" s="5">
        <f>IF(AND('Data Source'!B204&lt;&gt;"",'Data Source'!S204="A+"),'Data Source'!R204,"")</f>
        <v/>
      </c>
      <c r="Q204" s="3">
        <f>IF(AND('Data Source'!B204&lt;&gt;"",'Data Source'!S204="A+"),'Data Source'!S204,"")</f>
        <v/>
      </c>
    </row>
    <row r="205">
      <c r="A205" s="3">
        <f>IF(AND('Data Source'!B205&lt;&gt;"",'Data Source'!S205="A+"),COUNTIF('Data Source'!$S$3:S205,"A+"),"")</f>
        <v/>
      </c>
      <c r="B205">
        <f>IF(AND('Data Source'!B205&lt;&gt;"",'Data Source'!S205="A+"),'Data Source'!B205,"")</f>
        <v/>
      </c>
      <c r="C205" s="3">
        <f>IF(AND('Data Source'!B205&lt;&gt;"",'Data Source'!S205="A+"),IF('Data Source'!U205&gt;=5,"A+",IF('Data Source'!U205&gt;=4,"A",IF('Data Source'!U205&gt;=3.5,"A-",IF('Data Source'!U205&gt;=3,"B",IF('Data Source'!U205&gt;=2,"C",IF('Data Source'!U205&gt;=1,"D","F")))))),"")</f>
        <v/>
      </c>
      <c r="D205" s="3">
        <f>IF(AND('Data Source'!B205&lt;&gt;"",'Data Source'!S205="A+"),IF('Data Source'!V205&gt;=5,"A+",IF('Data Source'!V205&gt;=4,"A",IF('Data Source'!V205&gt;=3.5,"A-",IF('Data Source'!V205&gt;=3,"B",IF('Data Source'!V205&gt;=2,"C",IF('Data Source'!V205&gt;=1,"D","F")))))),"")</f>
        <v/>
      </c>
      <c r="E205" s="3">
        <f>IF(AND('Data Source'!B205&lt;&gt;"",'Data Source'!S205="A+"),IF('Data Source'!W205&gt;=5,"A+",IF('Data Source'!W205&gt;=4,"A",IF('Data Source'!W205&gt;=3.5,"A-",IF('Data Source'!W205&gt;=3,"B",IF('Data Source'!W205&gt;=2,"C",IF('Data Source'!W205&gt;=1,"D","F")))))),"")</f>
        <v/>
      </c>
      <c r="F205" s="3">
        <f>IF(AND('Data Source'!B205&lt;&gt;"",'Data Source'!S205="A+"),IF('Data Source'!X205&gt;=5,"A+",IF('Data Source'!X205&gt;=4,"A",IF('Data Source'!X205&gt;=3.5,"A-",IF('Data Source'!X205&gt;=3,"B",IF('Data Source'!X205&gt;=2,"C",IF('Data Source'!X205&gt;=1,"D","F")))))),"")</f>
        <v/>
      </c>
      <c r="G205" s="3">
        <f>IF(AND('Data Source'!B205&lt;&gt;"",'Data Source'!S205="A+"),IF('Data Source'!Y205&gt;=5,"A+",IF('Data Source'!Y205&gt;=4,"A",IF('Data Source'!Y205&gt;=3.5,"A-",IF('Data Source'!Y205&gt;=3,"B",IF('Data Source'!Y205&gt;=2,"C",IF('Data Source'!Y205&gt;=1,"D","F")))))),"")</f>
        <v/>
      </c>
      <c r="H205" s="3">
        <f>IF(AND('Data Source'!B205&lt;&gt;"",'Data Source'!S205="A+"),IF('Data Source'!Z205&gt;=5,"A+",IF('Data Source'!Z205&gt;=4,"A",IF('Data Source'!Z205&gt;=3.5,"A-",IF('Data Source'!Z205&gt;=3,"B",IF('Data Source'!Z205&gt;=2,"C",IF('Data Source'!Z205&gt;=1,"D","F")))))),"")</f>
        <v/>
      </c>
      <c r="I205" s="3">
        <f>IF(AND('Data Source'!B205&lt;&gt;"",'Data Source'!S205="A+"),IF('Data Source'!AA205&gt;=5,"A+",IF('Data Source'!AA205&gt;=4,"A",IF('Data Source'!AA205&gt;=3.5,"A-",IF('Data Source'!AA205&gt;=3,"B",IF('Data Source'!AA205&gt;=2,"C",IF('Data Source'!AA205&gt;=1,"D","F")))))),"")</f>
        <v/>
      </c>
      <c r="J205" s="3">
        <f>IF(AND('Data Source'!B205&lt;&gt;"",'Data Source'!S205="A+"),IF('Data Source'!AB205&gt;=5,"A+",IF('Data Source'!AB205&gt;=4,"A",IF('Data Source'!AB205&gt;=3.5,"A-",IF('Data Source'!AB205&gt;=3,"B",IF('Data Source'!AB205&gt;=2,"C",IF('Data Source'!AB205&gt;=1,"D","F")))))),"")</f>
        <v/>
      </c>
      <c r="K205" s="3">
        <f>IF(AND('Data Source'!B205&lt;&gt;"",'Data Source'!S205="A+"),IF('Data Source'!AC205&gt;=5,"A+",IF('Data Source'!AC205&gt;=4,"A",IF('Data Source'!AC205&gt;=3.5,"A-",IF('Data Source'!AC205&gt;=3,"B",IF('Data Source'!AC205&gt;=2,"C",IF('Data Source'!AC205&gt;=1,"D","F")))))),"")</f>
        <v/>
      </c>
      <c r="L205" s="3">
        <f>IF(AND('Data Source'!B205&lt;&gt;"",'Data Source'!S205="A+"),IF('Data Source'!AD205&gt;=5,"A+",IF('Data Source'!AD205&gt;=4,"A",IF('Data Source'!AD205&gt;=3.5,"A-",IF('Data Source'!AD205&gt;=3,"B",IF('Data Source'!AD205&gt;=2,"C",IF('Data Source'!AD205&gt;=1,"D","F")))))),"")</f>
        <v/>
      </c>
      <c r="M205" s="3">
        <f>IF(AND('Data Source'!B205&lt;&gt;"",'Data Source'!S205="A+"),IF('Data Source'!AE205&gt;=5,"A+",IF('Data Source'!AE205&gt;=4,"A",IF('Data Source'!AE205&gt;=3.5,"A-",IF('Data Source'!AE205&gt;=3,"B",IF('Data Source'!AE205&gt;=2,"C",IF('Data Source'!AE205&gt;=1,"D","F")))))),"")</f>
        <v/>
      </c>
      <c r="N205" s="3">
        <f>IF(AND('Data Source'!B205&lt;&gt;"",'Data Source'!S205="A+"),IF('Data Source'!AF205&gt;=5,"A+",IF('Data Source'!AF205&gt;=4,"A",IF('Data Source'!AF205&gt;=3.5,"A-",IF('Data Source'!AF205&gt;=3,"B",IF('Data Source'!AF205&gt;=2,"C",IF('Data Source'!AF205&gt;=1,"D","F")))))),"")</f>
        <v/>
      </c>
      <c r="O205" s="3">
        <f>IF(AND('Data Source'!B205&lt;&gt;"",'Data Source'!S205="A+"),IF('Data Source'!AG205&gt;=5,"A+",IF('Data Source'!AG205&gt;=4,"A",IF('Data Source'!AG205&gt;=3.5,"A-",IF('Data Source'!AG205&gt;=3,"B",IF('Data Source'!AG205&gt;=2,"C",IF('Data Source'!AG205&gt;=1,"D","F")))))),"")</f>
        <v/>
      </c>
      <c r="P205" s="5">
        <f>IF(AND('Data Source'!B205&lt;&gt;"",'Data Source'!S205="A+"),'Data Source'!R205,"")</f>
        <v/>
      </c>
      <c r="Q205" s="3">
        <f>IF(AND('Data Source'!B205&lt;&gt;"",'Data Source'!S205="A+"),'Data Source'!S205,"")</f>
        <v/>
      </c>
    </row>
    <row r="206">
      <c r="A206" s="3">
        <f>IF(AND('Data Source'!B206&lt;&gt;"",'Data Source'!S206="A+"),COUNTIF('Data Source'!$S$3:S206,"A+"),"")</f>
        <v/>
      </c>
      <c r="B206">
        <f>IF(AND('Data Source'!B206&lt;&gt;"",'Data Source'!S206="A+"),'Data Source'!B206,"")</f>
        <v/>
      </c>
      <c r="C206" s="3">
        <f>IF(AND('Data Source'!B206&lt;&gt;"",'Data Source'!S206="A+"),IF('Data Source'!U206&gt;=5,"A+",IF('Data Source'!U206&gt;=4,"A",IF('Data Source'!U206&gt;=3.5,"A-",IF('Data Source'!U206&gt;=3,"B",IF('Data Source'!U206&gt;=2,"C",IF('Data Source'!U206&gt;=1,"D","F")))))),"")</f>
        <v/>
      </c>
      <c r="D206" s="3">
        <f>IF(AND('Data Source'!B206&lt;&gt;"",'Data Source'!S206="A+"),IF('Data Source'!V206&gt;=5,"A+",IF('Data Source'!V206&gt;=4,"A",IF('Data Source'!V206&gt;=3.5,"A-",IF('Data Source'!V206&gt;=3,"B",IF('Data Source'!V206&gt;=2,"C",IF('Data Source'!V206&gt;=1,"D","F")))))),"")</f>
        <v/>
      </c>
      <c r="E206" s="3">
        <f>IF(AND('Data Source'!B206&lt;&gt;"",'Data Source'!S206="A+"),IF('Data Source'!W206&gt;=5,"A+",IF('Data Source'!W206&gt;=4,"A",IF('Data Source'!W206&gt;=3.5,"A-",IF('Data Source'!W206&gt;=3,"B",IF('Data Source'!W206&gt;=2,"C",IF('Data Source'!W206&gt;=1,"D","F")))))),"")</f>
        <v/>
      </c>
      <c r="F206" s="3">
        <f>IF(AND('Data Source'!B206&lt;&gt;"",'Data Source'!S206="A+"),IF('Data Source'!X206&gt;=5,"A+",IF('Data Source'!X206&gt;=4,"A",IF('Data Source'!X206&gt;=3.5,"A-",IF('Data Source'!X206&gt;=3,"B",IF('Data Source'!X206&gt;=2,"C",IF('Data Source'!X206&gt;=1,"D","F")))))),"")</f>
        <v/>
      </c>
      <c r="G206" s="3">
        <f>IF(AND('Data Source'!B206&lt;&gt;"",'Data Source'!S206="A+"),IF('Data Source'!Y206&gt;=5,"A+",IF('Data Source'!Y206&gt;=4,"A",IF('Data Source'!Y206&gt;=3.5,"A-",IF('Data Source'!Y206&gt;=3,"B",IF('Data Source'!Y206&gt;=2,"C",IF('Data Source'!Y206&gt;=1,"D","F")))))),"")</f>
        <v/>
      </c>
      <c r="H206" s="3">
        <f>IF(AND('Data Source'!B206&lt;&gt;"",'Data Source'!S206="A+"),IF('Data Source'!Z206&gt;=5,"A+",IF('Data Source'!Z206&gt;=4,"A",IF('Data Source'!Z206&gt;=3.5,"A-",IF('Data Source'!Z206&gt;=3,"B",IF('Data Source'!Z206&gt;=2,"C",IF('Data Source'!Z206&gt;=1,"D","F")))))),"")</f>
        <v/>
      </c>
      <c r="I206" s="3">
        <f>IF(AND('Data Source'!B206&lt;&gt;"",'Data Source'!S206="A+"),IF('Data Source'!AA206&gt;=5,"A+",IF('Data Source'!AA206&gt;=4,"A",IF('Data Source'!AA206&gt;=3.5,"A-",IF('Data Source'!AA206&gt;=3,"B",IF('Data Source'!AA206&gt;=2,"C",IF('Data Source'!AA206&gt;=1,"D","F")))))),"")</f>
        <v/>
      </c>
      <c r="J206" s="3">
        <f>IF(AND('Data Source'!B206&lt;&gt;"",'Data Source'!S206="A+"),IF('Data Source'!AB206&gt;=5,"A+",IF('Data Source'!AB206&gt;=4,"A",IF('Data Source'!AB206&gt;=3.5,"A-",IF('Data Source'!AB206&gt;=3,"B",IF('Data Source'!AB206&gt;=2,"C",IF('Data Source'!AB206&gt;=1,"D","F")))))),"")</f>
        <v/>
      </c>
      <c r="K206" s="3">
        <f>IF(AND('Data Source'!B206&lt;&gt;"",'Data Source'!S206="A+"),IF('Data Source'!AC206&gt;=5,"A+",IF('Data Source'!AC206&gt;=4,"A",IF('Data Source'!AC206&gt;=3.5,"A-",IF('Data Source'!AC206&gt;=3,"B",IF('Data Source'!AC206&gt;=2,"C",IF('Data Source'!AC206&gt;=1,"D","F")))))),"")</f>
        <v/>
      </c>
      <c r="L206" s="3">
        <f>IF(AND('Data Source'!B206&lt;&gt;"",'Data Source'!S206="A+"),IF('Data Source'!AD206&gt;=5,"A+",IF('Data Source'!AD206&gt;=4,"A",IF('Data Source'!AD206&gt;=3.5,"A-",IF('Data Source'!AD206&gt;=3,"B",IF('Data Source'!AD206&gt;=2,"C",IF('Data Source'!AD206&gt;=1,"D","F")))))),"")</f>
        <v/>
      </c>
      <c r="M206" s="3">
        <f>IF(AND('Data Source'!B206&lt;&gt;"",'Data Source'!S206="A+"),IF('Data Source'!AE206&gt;=5,"A+",IF('Data Source'!AE206&gt;=4,"A",IF('Data Source'!AE206&gt;=3.5,"A-",IF('Data Source'!AE206&gt;=3,"B",IF('Data Source'!AE206&gt;=2,"C",IF('Data Source'!AE206&gt;=1,"D","F")))))),"")</f>
        <v/>
      </c>
      <c r="N206" s="3">
        <f>IF(AND('Data Source'!B206&lt;&gt;"",'Data Source'!S206="A+"),IF('Data Source'!AF206&gt;=5,"A+",IF('Data Source'!AF206&gt;=4,"A",IF('Data Source'!AF206&gt;=3.5,"A-",IF('Data Source'!AF206&gt;=3,"B",IF('Data Source'!AF206&gt;=2,"C",IF('Data Source'!AF206&gt;=1,"D","F")))))),"")</f>
        <v/>
      </c>
      <c r="O206" s="3">
        <f>IF(AND('Data Source'!B206&lt;&gt;"",'Data Source'!S206="A+"),IF('Data Source'!AG206&gt;=5,"A+",IF('Data Source'!AG206&gt;=4,"A",IF('Data Source'!AG206&gt;=3.5,"A-",IF('Data Source'!AG206&gt;=3,"B",IF('Data Source'!AG206&gt;=2,"C",IF('Data Source'!AG206&gt;=1,"D","F")))))),"")</f>
        <v/>
      </c>
      <c r="P206" s="5">
        <f>IF(AND('Data Source'!B206&lt;&gt;"",'Data Source'!S206="A+"),'Data Source'!R206,"")</f>
        <v/>
      </c>
      <c r="Q206" s="3">
        <f>IF(AND('Data Source'!B206&lt;&gt;"",'Data Source'!S206="A+"),'Data Source'!S206,"")</f>
        <v/>
      </c>
    </row>
    <row r="207">
      <c r="A207" s="3">
        <f>IF(AND('Data Source'!B207&lt;&gt;"",'Data Source'!S207="A+"),COUNTIF('Data Source'!$S$3:S207,"A+"),"")</f>
        <v/>
      </c>
      <c r="B207">
        <f>IF(AND('Data Source'!B207&lt;&gt;"",'Data Source'!S207="A+"),'Data Source'!B207,"")</f>
        <v/>
      </c>
      <c r="C207" s="3">
        <f>IF(AND('Data Source'!B207&lt;&gt;"",'Data Source'!S207="A+"),IF('Data Source'!U207&gt;=5,"A+",IF('Data Source'!U207&gt;=4,"A",IF('Data Source'!U207&gt;=3.5,"A-",IF('Data Source'!U207&gt;=3,"B",IF('Data Source'!U207&gt;=2,"C",IF('Data Source'!U207&gt;=1,"D","F")))))),"")</f>
        <v/>
      </c>
      <c r="D207" s="3">
        <f>IF(AND('Data Source'!B207&lt;&gt;"",'Data Source'!S207="A+"),IF('Data Source'!V207&gt;=5,"A+",IF('Data Source'!V207&gt;=4,"A",IF('Data Source'!V207&gt;=3.5,"A-",IF('Data Source'!V207&gt;=3,"B",IF('Data Source'!V207&gt;=2,"C",IF('Data Source'!V207&gt;=1,"D","F")))))),"")</f>
        <v/>
      </c>
      <c r="E207" s="3">
        <f>IF(AND('Data Source'!B207&lt;&gt;"",'Data Source'!S207="A+"),IF('Data Source'!W207&gt;=5,"A+",IF('Data Source'!W207&gt;=4,"A",IF('Data Source'!W207&gt;=3.5,"A-",IF('Data Source'!W207&gt;=3,"B",IF('Data Source'!W207&gt;=2,"C",IF('Data Source'!W207&gt;=1,"D","F")))))),"")</f>
        <v/>
      </c>
      <c r="F207" s="3">
        <f>IF(AND('Data Source'!B207&lt;&gt;"",'Data Source'!S207="A+"),IF('Data Source'!X207&gt;=5,"A+",IF('Data Source'!X207&gt;=4,"A",IF('Data Source'!X207&gt;=3.5,"A-",IF('Data Source'!X207&gt;=3,"B",IF('Data Source'!X207&gt;=2,"C",IF('Data Source'!X207&gt;=1,"D","F")))))),"")</f>
        <v/>
      </c>
      <c r="G207" s="3">
        <f>IF(AND('Data Source'!B207&lt;&gt;"",'Data Source'!S207="A+"),IF('Data Source'!Y207&gt;=5,"A+",IF('Data Source'!Y207&gt;=4,"A",IF('Data Source'!Y207&gt;=3.5,"A-",IF('Data Source'!Y207&gt;=3,"B",IF('Data Source'!Y207&gt;=2,"C",IF('Data Source'!Y207&gt;=1,"D","F")))))),"")</f>
        <v/>
      </c>
      <c r="H207" s="3">
        <f>IF(AND('Data Source'!B207&lt;&gt;"",'Data Source'!S207="A+"),IF('Data Source'!Z207&gt;=5,"A+",IF('Data Source'!Z207&gt;=4,"A",IF('Data Source'!Z207&gt;=3.5,"A-",IF('Data Source'!Z207&gt;=3,"B",IF('Data Source'!Z207&gt;=2,"C",IF('Data Source'!Z207&gt;=1,"D","F")))))),"")</f>
        <v/>
      </c>
      <c r="I207" s="3">
        <f>IF(AND('Data Source'!B207&lt;&gt;"",'Data Source'!S207="A+"),IF('Data Source'!AA207&gt;=5,"A+",IF('Data Source'!AA207&gt;=4,"A",IF('Data Source'!AA207&gt;=3.5,"A-",IF('Data Source'!AA207&gt;=3,"B",IF('Data Source'!AA207&gt;=2,"C",IF('Data Source'!AA207&gt;=1,"D","F")))))),"")</f>
        <v/>
      </c>
      <c r="J207" s="3">
        <f>IF(AND('Data Source'!B207&lt;&gt;"",'Data Source'!S207="A+"),IF('Data Source'!AB207&gt;=5,"A+",IF('Data Source'!AB207&gt;=4,"A",IF('Data Source'!AB207&gt;=3.5,"A-",IF('Data Source'!AB207&gt;=3,"B",IF('Data Source'!AB207&gt;=2,"C",IF('Data Source'!AB207&gt;=1,"D","F")))))),"")</f>
        <v/>
      </c>
      <c r="K207" s="3">
        <f>IF(AND('Data Source'!B207&lt;&gt;"",'Data Source'!S207="A+"),IF('Data Source'!AC207&gt;=5,"A+",IF('Data Source'!AC207&gt;=4,"A",IF('Data Source'!AC207&gt;=3.5,"A-",IF('Data Source'!AC207&gt;=3,"B",IF('Data Source'!AC207&gt;=2,"C",IF('Data Source'!AC207&gt;=1,"D","F")))))),"")</f>
        <v/>
      </c>
      <c r="L207" s="3">
        <f>IF(AND('Data Source'!B207&lt;&gt;"",'Data Source'!S207="A+"),IF('Data Source'!AD207&gt;=5,"A+",IF('Data Source'!AD207&gt;=4,"A",IF('Data Source'!AD207&gt;=3.5,"A-",IF('Data Source'!AD207&gt;=3,"B",IF('Data Source'!AD207&gt;=2,"C",IF('Data Source'!AD207&gt;=1,"D","F")))))),"")</f>
        <v/>
      </c>
      <c r="M207" s="3">
        <f>IF(AND('Data Source'!B207&lt;&gt;"",'Data Source'!S207="A+"),IF('Data Source'!AE207&gt;=5,"A+",IF('Data Source'!AE207&gt;=4,"A",IF('Data Source'!AE207&gt;=3.5,"A-",IF('Data Source'!AE207&gt;=3,"B",IF('Data Source'!AE207&gt;=2,"C",IF('Data Source'!AE207&gt;=1,"D","F")))))),"")</f>
        <v/>
      </c>
      <c r="N207" s="3">
        <f>IF(AND('Data Source'!B207&lt;&gt;"",'Data Source'!S207="A+"),IF('Data Source'!AF207&gt;=5,"A+",IF('Data Source'!AF207&gt;=4,"A",IF('Data Source'!AF207&gt;=3.5,"A-",IF('Data Source'!AF207&gt;=3,"B",IF('Data Source'!AF207&gt;=2,"C",IF('Data Source'!AF207&gt;=1,"D","F")))))),"")</f>
        <v/>
      </c>
      <c r="O207" s="3">
        <f>IF(AND('Data Source'!B207&lt;&gt;"",'Data Source'!S207="A+"),IF('Data Source'!AG207&gt;=5,"A+",IF('Data Source'!AG207&gt;=4,"A",IF('Data Source'!AG207&gt;=3.5,"A-",IF('Data Source'!AG207&gt;=3,"B",IF('Data Source'!AG207&gt;=2,"C",IF('Data Source'!AG207&gt;=1,"D","F")))))),"")</f>
        <v/>
      </c>
      <c r="P207" s="5">
        <f>IF(AND('Data Source'!B207&lt;&gt;"",'Data Source'!S207="A+"),'Data Source'!R207,"")</f>
        <v/>
      </c>
      <c r="Q207" s="3">
        <f>IF(AND('Data Source'!B207&lt;&gt;"",'Data Source'!S207="A+"),'Data Source'!S207,"")</f>
        <v/>
      </c>
    </row>
    <row r="208">
      <c r="A208" s="3">
        <f>IF(AND('Data Source'!B208&lt;&gt;"",'Data Source'!S208="A+"),COUNTIF('Data Source'!$S$3:S208,"A+"),"")</f>
        <v/>
      </c>
      <c r="B208">
        <f>IF(AND('Data Source'!B208&lt;&gt;"",'Data Source'!S208="A+"),'Data Source'!B208,"")</f>
        <v/>
      </c>
      <c r="C208" s="3">
        <f>IF(AND('Data Source'!B208&lt;&gt;"",'Data Source'!S208="A+"),IF('Data Source'!U208&gt;=5,"A+",IF('Data Source'!U208&gt;=4,"A",IF('Data Source'!U208&gt;=3.5,"A-",IF('Data Source'!U208&gt;=3,"B",IF('Data Source'!U208&gt;=2,"C",IF('Data Source'!U208&gt;=1,"D","F")))))),"")</f>
        <v/>
      </c>
      <c r="D208" s="3">
        <f>IF(AND('Data Source'!B208&lt;&gt;"",'Data Source'!S208="A+"),IF('Data Source'!V208&gt;=5,"A+",IF('Data Source'!V208&gt;=4,"A",IF('Data Source'!V208&gt;=3.5,"A-",IF('Data Source'!V208&gt;=3,"B",IF('Data Source'!V208&gt;=2,"C",IF('Data Source'!V208&gt;=1,"D","F")))))),"")</f>
        <v/>
      </c>
      <c r="E208" s="3">
        <f>IF(AND('Data Source'!B208&lt;&gt;"",'Data Source'!S208="A+"),IF('Data Source'!W208&gt;=5,"A+",IF('Data Source'!W208&gt;=4,"A",IF('Data Source'!W208&gt;=3.5,"A-",IF('Data Source'!W208&gt;=3,"B",IF('Data Source'!W208&gt;=2,"C",IF('Data Source'!W208&gt;=1,"D","F")))))),"")</f>
        <v/>
      </c>
      <c r="F208" s="3">
        <f>IF(AND('Data Source'!B208&lt;&gt;"",'Data Source'!S208="A+"),IF('Data Source'!X208&gt;=5,"A+",IF('Data Source'!X208&gt;=4,"A",IF('Data Source'!X208&gt;=3.5,"A-",IF('Data Source'!X208&gt;=3,"B",IF('Data Source'!X208&gt;=2,"C",IF('Data Source'!X208&gt;=1,"D","F")))))),"")</f>
        <v/>
      </c>
      <c r="G208" s="3">
        <f>IF(AND('Data Source'!B208&lt;&gt;"",'Data Source'!S208="A+"),IF('Data Source'!Y208&gt;=5,"A+",IF('Data Source'!Y208&gt;=4,"A",IF('Data Source'!Y208&gt;=3.5,"A-",IF('Data Source'!Y208&gt;=3,"B",IF('Data Source'!Y208&gt;=2,"C",IF('Data Source'!Y208&gt;=1,"D","F")))))),"")</f>
        <v/>
      </c>
      <c r="H208" s="3">
        <f>IF(AND('Data Source'!B208&lt;&gt;"",'Data Source'!S208="A+"),IF('Data Source'!Z208&gt;=5,"A+",IF('Data Source'!Z208&gt;=4,"A",IF('Data Source'!Z208&gt;=3.5,"A-",IF('Data Source'!Z208&gt;=3,"B",IF('Data Source'!Z208&gt;=2,"C",IF('Data Source'!Z208&gt;=1,"D","F")))))),"")</f>
        <v/>
      </c>
      <c r="I208" s="3">
        <f>IF(AND('Data Source'!B208&lt;&gt;"",'Data Source'!S208="A+"),IF('Data Source'!AA208&gt;=5,"A+",IF('Data Source'!AA208&gt;=4,"A",IF('Data Source'!AA208&gt;=3.5,"A-",IF('Data Source'!AA208&gt;=3,"B",IF('Data Source'!AA208&gt;=2,"C",IF('Data Source'!AA208&gt;=1,"D","F")))))),"")</f>
        <v/>
      </c>
      <c r="J208" s="3">
        <f>IF(AND('Data Source'!B208&lt;&gt;"",'Data Source'!S208="A+"),IF('Data Source'!AB208&gt;=5,"A+",IF('Data Source'!AB208&gt;=4,"A",IF('Data Source'!AB208&gt;=3.5,"A-",IF('Data Source'!AB208&gt;=3,"B",IF('Data Source'!AB208&gt;=2,"C",IF('Data Source'!AB208&gt;=1,"D","F")))))),"")</f>
        <v/>
      </c>
      <c r="K208" s="3">
        <f>IF(AND('Data Source'!B208&lt;&gt;"",'Data Source'!S208="A+"),IF('Data Source'!AC208&gt;=5,"A+",IF('Data Source'!AC208&gt;=4,"A",IF('Data Source'!AC208&gt;=3.5,"A-",IF('Data Source'!AC208&gt;=3,"B",IF('Data Source'!AC208&gt;=2,"C",IF('Data Source'!AC208&gt;=1,"D","F")))))),"")</f>
        <v/>
      </c>
      <c r="L208" s="3">
        <f>IF(AND('Data Source'!B208&lt;&gt;"",'Data Source'!S208="A+"),IF('Data Source'!AD208&gt;=5,"A+",IF('Data Source'!AD208&gt;=4,"A",IF('Data Source'!AD208&gt;=3.5,"A-",IF('Data Source'!AD208&gt;=3,"B",IF('Data Source'!AD208&gt;=2,"C",IF('Data Source'!AD208&gt;=1,"D","F")))))),"")</f>
        <v/>
      </c>
      <c r="M208" s="3">
        <f>IF(AND('Data Source'!B208&lt;&gt;"",'Data Source'!S208="A+"),IF('Data Source'!AE208&gt;=5,"A+",IF('Data Source'!AE208&gt;=4,"A",IF('Data Source'!AE208&gt;=3.5,"A-",IF('Data Source'!AE208&gt;=3,"B",IF('Data Source'!AE208&gt;=2,"C",IF('Data Source'!AE208&gt;=1,"D","F")))))),"")</f>
        <v/>
      </c>
      <c r="N208" s="3">
        <f>IF(AND('Data Source'!B208&lt;&gt;"",'Data Source'!S208="A+"),IF('Data Source'!AF208&gt;=5,"A+",IF('Data Source'!AF208&gt;=4,"A",IF('Data Source'!AF208&gt;=3.5,"A-",IF('Data Source'!AF208&gt;=3,"B",IF('Data Source'!AF208&gt;=2,"C",IF('Data Source'!AF208&gt;=1,"D","F")))))),"")</f>
        <v/>
      </c>
      <c r="O208" s="3">
        <f>IF(AND('Data Source'!B208&lt;&gt;"",'Data Source'!S208="A+"),IF('Data Source'!AG208&gt;=5,"A+",IF('Data Source'!AG208&gt;=4,"A",IF('Data Source'!AG208&gt;=3.5,"A-",IF('Data Source'!AG208&gt;=3,"B",IF('Data Source'!AG208&gt;=2,"C",IF('Data Source'!AG208&gt;=1,"D","F")))))),"")</f>
        <v/>
      </c>
      <c r="P208" s="5">
        <f>IF(AND('Data Source'!B208&lt;&gt;"",'Data Source'!S208="A+"),'Data Source'!R208,"")</f>
        <v/>
      </c>
      <c r="Q208" s="3">
        <f>IF(AND('Data Source'!B208&lt;&gt;"",'Data Source'!S208="A+"),'Data Source'!S208,"")</f>
        <v/>
      </c>
    </row>
    <row r="209">
      <c r="A209" s="3">
        <f>IF(AND('Data Source'!B209&lt;&gt;"",'Data Source'!S209="A+"),COUNTIF('Data Source'!$S$3:S209,"A+"),"")</f>
        <v/>
      </c>
      <c r="B209">
        <f>IF(AND('Data Source'!B209&lt;&gt;"",'Data Source'!S209="A+"),'Data Source'!B209,"")</f>
        <v/>
      </c>
      <c r="C209" s="3">
        <f>IF(AND('Data Source'!B209&lt;&gt;"",'Data Source'!S209="A+"),IF('Data Source'!U209&gt;=5,"A+",IF('Data Source'!U209&gt;=4,"A",IF('Data Source'!U209&gt;=3.5,"A-",IF('Data Source'!U209&gt;=3,"B",IF('Data Source'!U209&gt;=2,"C",IF('Data Source'!U209&gt;=1,"D","F")))))),"")</f>
        <v/>
      </c>
      <c r="D209" s="3">
        <f>IF(AND('Data Source'!B209&lt;&gt;"",'Data Source'!S209="A+"),IF('Data Source'!V209&gt;=5,"A+",IF('Data Source'!V209&gt;=4,"A",IF('Data Source'!V209&gt;=3.5,"A-",IF('Data Source'!V209&gt;=3,"B",IF('Data Source'!V209&gt;=2,"C",IF('Data Source'!V209&gt;=1,"D","F")))))),"")</f>
        <v/>
      </c>
      <c r="E209" s="3">
        <f>IF(AND('Data Source'!B209&lt;&gt;"",'Data Source'!S209="A+"),IF('Data Source'!W209&gt;=5,"A+",IF('Data Source'!W209&gt;=4,"A",IF('Data Source'!W209&gt;=3.5,"A-",IF('Data Source'!W209&gt;=3,"B",IF('Data Source'!W209&gt;=2,"C",IF('Data Source'!W209&gt;=1,"D","F")))))),"")</f>
        <v/>
      </c>
      <c r="F209" s="3">
        <f>IF(AND('Data Source'!B209&lt;&gt;"",'Data Source'!S209="A+"),IF('Data Source'!X209&gt;=5,"A+",IF('Data Source'!X209&gt;=4,"A",IF('Data Source'!X209&gt;=3.5,"A-",IF('Data Source'!X209&gt;=3,"B",IF('Data Source'!X209&gt;=2,"C",IF('Data Source'!X209&gt;=1,"D","F")))))),"")</f>
        <v/>
      </c>
      <c r="G209" s="3">
        <f>IF(AND('Data Source'!B209&lt;&gt;"",'Data Source'!S209="A+"),IF('Data Source'!Y209&gt;=5,"A+",IF('Data Source'!Y209&gt;=4,"A",IF('Data Source'!Y209&gt;=3.5,"A-",IF('Data Source'!Y209&gt;=3,"B",IF('Data Source'!Y209&gt;=2,"C",IF('Data Source'!Y209&gt;=1,"D","F")))))),"")</f>
        <v/>
      </c>
      <c r="H209" s="3">
        <f>IF(AND('Data Source'!B209&lt;&gt;"",'Data Source'!S209="A+"),IF('Data Source'!Z209&gt;=5,"A+",IF('Data Source'!Z209&gt;=4,"A",IF('Data Source'!Z209&gt;=3.5,"A-",IF('Data Source'!Z209&gt;=3,"B",IF('Data Source'!Z209&gt;=2,"C",IF('Data Source'!Z209&gt;=1,"D","F")))))),"")</f>
        <v/>
      </c>
      <c r="I209" s="3">
        <f>IF(AND('Data Source'!B209&lt;&gt;"",'Data Source'!S209="A+"),IF('Data Source'!AA209&gt;=5,"A+",IF('Data Source'!AA209&gt;=4,"A",IF('Data Source'!AA209&gt;=3.5,"A-",IF('Data Source'!AA209&gt;=3,"B",IF('Data Source'!AA209&gt;=2,"C",IF('Data Source'!AA209&gt;=1,"D","F")))))),"")</f>
        <v/>
      </c>
      <c r="J209" s="3">
        <f>IF(AND('Data Source'!B209&lt;&gt;"",'Data Source'!S209="A+"),IF('Data Source'!AB209&gt;=5,"A+",IF('Data Source'!AB209&gt;=4,"A",IF('Data Source'!AB209&gt;=3.5,"A-",IF('Data Source'!AB209&gt;=3,"B",IF('Data Source'!AB209&gt;=2,"C",IF('Data Source'!AB209&gt;=1,"D","F")))))),"")</f>
        <v/>
      </c>
      <c r="K209" s="3">
        <f>IF(AND('Data Source'!B209&lt;&gt;"",'Data Source'!S209="A+"),IF('Data Source'!AC209&gt;=5,"A+",IF('Data Source'!AC209&gt;=4,"A",IF('Data Source'!AC209&gt;=3.5,"A-",IF('Data Source'!AC209&gt;=3,"B",IF('Data Source'!AC209&gt;=2,"C",IF('Data Source'!AC209&gt;=1,"D","F")))))),"")</f>
        <v/>
      </c>
      <c r="L209" s="3">
        <f>IF(AND('Data Source'!B209&lt;&gt;"",'Data Source'!S209="A+"),IF('Data Source'!AD209&gt;=5,"A+",IF('Data Source'!AD209&gt;=4,"A",IF('Data Source'!AD209&gt;=3.5,"A-",IF('Data Source'!AD209&gt;=3,"B",IF('Data Source'!AD209&gt;=2,"C",IF('Data Source'!AD209&gt;=1,"D","F")))))),"")</f>
        <v/>
      </c>
      <c r="M209" s="3">
        <f>IF(AND('Data Source'!B209&lt;&gt;"",'Data Source'!S209="A+"),IF('Data Source'!AE209&gt;=5,"A+",IF('Data Source'!AE209&gt;=4,"A",IF('Data Source'!AE209&gt;=3.5,"A-",IF('Data Source'!AE209&gt;=3,"B",IF('Data Source'!AE209&gt;=2,"C",IF('Data Source'!AE209&gt;=1,"D","F")))))),"")</f>
        <v/>
      </c>
      <c r="N209" s="3">
        <f>IF(AND('Data Source'!B209&lt;&gt;"",'Data Source'!S209="A+"),IF('Data Source'!AF209&gt;=5,"A+",IF('Data Source'!AF209&gt;=4,"A",IF('Data Source'!AF209&gt;=3.5,"A-",IF('Data Source'!AF209&gt;=3,"B",IF('Data Source'!AF209&gt;=2,"C",IF('Data Source'!AF209&gt;=1,"D","F")))))),"")</f>
        <v/>
      </c>
      <c r="O209" s="3">
        <f>IF(AND('Data Source'!B209&lt;&gt;"",'Data Source'!S209="A+"),IF('Data Source'!AG209&gt;=5,"A+",IF('Data Source'!AG209&gt;=4,"A",IF('Data Source'!AG209&gt;=3.5,"A-",IF('Data Source'!AG209&gt;=3,"B",IF('Data Source'!AG209&gt;=2,"C",IF('Data Source'!AG209&gt;=1,"D","F")))))),"")</f>
        <v/>
      </c>
      <c r="P209" s="5">
        <f>IF(AND('Data Source'!B209&lt;&gt;"",'Data Source'!S209="A+"),'Data Source'!R209,"")</f>
        <v/>
      </c>
      <c r="Q209" s="3">
        <f>IF(AND('Data Source'!B209&lt;&gt;"",'Data Source'!S209="A+"),'Data Source'!S209,"")</f>
        <v/>
      </c>
    </row>
    <row r="210">
      <c r="A210" s="3">
        <f>IF(AND('Data Source'!B210&lt;&gt;"",'Data Source'!S210="A+"),COUNTIF('Data Source'!$S$3:S210,"A+"),"")</f>
        <v/>
      </c>
      <c r="B210">
        <f>IF(AND('Data Source'!B210&lt;&gt;"",'Data Source'!S210="A+"),'Data Source'!B210,"")</f>
        <v/>
      </c>
      <c r="C210" s="3">
        <f>IF(AND('Data Source'!B210&lt;&gt;"",'Data Source'!S210="A+"),IF('Data Source'!U210&gt;=5,"A+",IF('Data Source'!U210&gt;=4,"A",IF('Data Source'!U210&gt;=3.5,"A-",IF('Data Source'!U210&gt;=3,"B",IF('Data Source'!U210&gt;=2,"C",IF('Data Source'!U210&gt;=1,"D","F")))))),"")</f>
        <v/>
      </c>
      <c r="D210" s="3">
        <f>IF(AND('Data Source'!B210&lt;&gt;"",'Data Source'!S210="A+"),IF('Data Source'!V210&gt;=5,"A+",IF('Data Source'!V210&gt;=4,"A",IF('Data Source'!V210&gt;=3.5,"A-",IF('Data Source'!V210&gt;=3,"B",IF('Data Source'!V210&gt;=2,"C",IF('Data Source'!V210&gt;=1,"D","F")))))),"")</f>
        <v/>
      </c>
      <c r="E210" s="3">
        <f>IF(AND('Data Source'!B210&lt;&gt;"",'Data Source'!S210="A+"),IF('Data Source'!W210&gt;=5,"A+",IF('Data Source'!W210&gt;=4,"A",IF('Data Source'!W210&gt;=3.5,"A-",IF('Data Source'!W210&gt;=3,"B",IF('Data Source'!W210&gt;=2,"C",IF('Data Source'!W210&gt;=1,"D","F")))))),"")</f>
        <v/>
      </c>
      <c r="F210" s="3">
        <f>IF(AND('Data Source'!B210&lt;&gt;"",'Data Source'!S210="A+"),IF('Data Source'!X210&gt;=5,"A+",IF('Data Source'!X210&gt;=4,"A",IF('Data Source'!X210&gt;=3.5,"A-",IF('Data Source'!X210&gt;=3,"B",IF('Data Source'!X210&gt;=2,"C",IF('Data Source'!X210&gt;=1,"D","F")))))),"")</f>
        <v/>
      </c>
      <c r="G210" s="3">
        <f>IF(AND('Data Source'!B210&lt;&gt;"",'Data Source'!S210="A+"),IF('Data Source'!Y210&gt;=5,"A+",IF('Data Source'!Y210&gt;=4,"A",IF('Data Source'!Y210&gt;=3.5,"A-",IF('Data Source'!Y210&gt;=3,"B",IF('Data Source'!Y210&gt;=2,"C",IF('Data Source'!Y210&gt;=1,"D","F")))))),"")</f>
        <v/>
      </c>
      <c r="H210" s="3">
        <f>IF(AND('Data Source'!B210&lt;&gt;"",'Data Source'!S210="A+"),IF('Data Source'!Z210&gt;=5,"A+",IF('Data Source'!Z210&gt;=4,"A",IF('Data Source'!Z210&gt;=3.5,"A-",IF('Data Source'!Z210&gt;=3,"B",IF('Data Source'!Z210&gt;=2,"C",IF('Data Source'!Z210&gt;=1,"D","F")))))),"")</f>
        <v/>
      </c>
      <c r="I210" s="3">
        <f>IF(AND('Data Source'!B210&lt;&gt;"",'Data Source'!S210="A+"),IF('Data Source'!AA210&gt;=5,"A+",IF('Data Source'!AA210&gt;=4,"A",IF('Data Source'!AA210&gt;=3.5,"A-",IF('Data Source'!AA210&gt;=3,"B",IF('Data Source'!AA210&gt;=2,"C",IF('Data Source'!AA210&gt;=1,"D","F")))))),"")</f>
        <v/>
      </c>
      <c r="J210" s="3">
        <f>IF(AND('Data Source'!B210&lt;&gt;"",'Data Source'!S210="A+"),IF('Data Source'!AB210&gt;=5,"A+",IF('Data Source'!AB210&gt;=4,"A",IF('Data Source'!AB210&gt;=3.5,"A-",IF('Data Source'!AB210&gt;=3,"B",IF('Data Source'!AB210&gt;=2,"C",IF('Data Source'!AB210&gt;=1,"D","F")))))),"")</f>
        <v/>
      </c>
      <c r="K210" s="3">
        <f>IF(AND('Data Source'!B210&lt;&gt;"",'Data Source'!S210="A+"),IF('Data Source'!AC210&gt;=5,"A+",IF('Data Source'!AC210&gt;=4,"A",IF('Data Source'!AC210&gt;=3.5,"A-",IF('Data Source'!AC210&gt;=3,"B",IF('Data Source'!AC210&gt;=2,"C",IF('Data Source'!AC210&gt;=1,"D","F")))))),"")</f>
        <v/>
      </c>
      <c r="L210" s="3">
        <f>IF(AND('Data Source'!B210&lt;&gt;"",'Data Source'!S210="A+"),IF('Data Source'!AD210&gt;=5,"A+",IF('Data Source'!AD210&gt;=4,"A",IF('Data Source'!AD210&gt;=3.5,"A-",IF('Data Source'!AD210&gt;=3,"B",IF('Data Source'!AD210&gt;=2,"C",IF('Data Source'!AD210&gt;=1,"D","F")))))),"")</f>
        <v/>
      </c>
      <c r="M210" s="3">
        <f>IF(AND('Data Source'!B210&lt;&gt;"",'Data Source'!S210="A+"),IF('Data Source'!AE210&gt;=5,"A+",IF('Data Source'!AE210&gt;=4,"A",IF('Data Source'!AE210&gt;=3.5,"A-",IF('Data Source'!AE210&gt;=3,"B",IF('Data Source'!AE210&gt;=2,"C",IF('Data Source'!AE210&gt;=1,"D","F")))))),"")</f>
        <v/>
      </c>
      <c r="N210" s="3">
        <f>IF(AND('Data Source'!B210&lt;&gt;"",'Data Source'!S210="A+"),IF('Data Source'!AF210&gt;=5,"A+",IF('Data Source'!AF210&gt;=4,"A",IF('Data Source'!AF210&gt;=3.5,"A-",IF('Data Source'!AF210&gt;=3,"B",IF('Data Source'!AF210&gt;=2,"C",IF('Data Source'!AF210&gt;=1,"D","F")))))),"")</f>
        <v/>
      </c>
      <c r="O210" s="3">
        <f>IF(AND('Data Source'!B210&lt;&gt;"",'Data Source'!S210="A+"),IF('Data Source'!AG210&gt;=5,"A+",IF('Data Source'!AG210&gt;=4,"A",IF('Data Source'!AG210&gt;=3.5,"A-",IF('Data Source'!AG210&gt;=3,"B",IF('Data Source'!AG210&gt;=2,"C",IF('Data Source'!AG210&gt;=1,"D","F")))))),"")</f>
        <v/>
      </c>
      <c r="P210" s="5">
        <f>IF(AND('Data Source'!B210&lt;&gt;"",'Data Source'!S210="A+"),'Data Source'!R210,"")</f>
        <v/>
      </c>
      <c r="Q210" s="3">
        <f>IF(AND('Data Source'!B210&lt;&gt;"",'Data Source'!S210="A+"),'Data Source'!S210,"")</f>
        <v/>
      </c>
    </row>
    <row r="211">
      <c r="A211" s="3">
        <f>IF(AND('Data Source'!B211&lt;&gt;"",'Data Source'!S211="A+"),COUNTIF('Data Source'!$S$3:S211,"A+"),"")</f>
        <v/>
      </c>
      <c r="B211">
        <f>IF(AND('Data Source'!B211&lt;&gt;"",'Data Source'!S211="A+"),'Data Source'!B211,"")</f>
        <v/>
      </c>
      <c r="C211" s="3">
        <f>IF(AND('Data Source'!B211&lt;&gt;"",'Data Source'!S211="A+"),IF('Data Source'!U211&gt;=5,"A+",IF('Data Source'!U211&gt;=4,"A",IF('Data Source'!U211&gt;=3.5,"A-",IF('Data Source'!U211&gt;=3,"B",IF('Data Source'!U211&gt;=2,"C",IF('Data Source'!U211&gt;=1,"D","F")))))),"")</f>
        <v/>
      </c>
      <c r="D211" s="3">
        <f>IF(AND('Data Source'!B211&lt;&gt;"",'Data Source'!S211="A+"),IF('Data Source'!V211&gt;=5,"A+",IF('Data Source'!V211&gt;=4,"A",IF('Data Source'!V211&gt;=3.5,"A-",IF('Data Source'!V211&gt;=3,"B",IF('Data Source'!V211&gt;=2,"C",IF('Data Source'!V211&gt;=1,"D","F")))))),"")</f>
        <v/>
      </c>
      <c r="E211" s="3">
        <f>IF(AND('Data Source'!B211&lt;&gt;"",'Data Source'!S211="A+"),IF('Data Source'!W211&gt;=5,"A+",IF('Data Source'!W211&gt;=4,"A",IF('Data Source'!W211&gt;=3.5,"A-",IF('Data Source'!W211&gt;=3,"B",IF('Data Source'!W211&gt;=2,"C",IF('Data Source'!W211&gt;=1,"D","F")))))),"")</f>
        <v/>
      </c>
      <c r="F211" s="3">
        <f>IF(AND('Data Source'!B211&lt;&gt;"",'Data Source'!S211="A+"),IF('Data Source'!X211&gt;=5,"A+",IF('Data Source'!X211&gt;=4,"A",IF('Data Source'!X211&gt;=3.5,"A-",IF('Data Source'!X211&gt;=3,"B",IF('Data Source'!X211&gt;=2,"C",IF('Data Source'!X211&gt;=1,"D","F")))))),"")</f>
        <v/>
      </c>
      <c r="G211" s="3">
        <f>IF(AND('Data Source'!B211&lt;&gt;"",'Data Source'!S211="A+"),IF('Data Source'!Y211&gt;=5,"A+",IF('Data Source'!Y211&gt;=4,"A",IF('Data Source'!Y211&gt;=3.5,"A-",IF('Data Source'!Y211&gt;=3,"B",IF('Data Source'!Y211&gt;=2,"C",IF('Data Source'!Y211&gt;=1,"D","F")))))),"")</f>
        <v/>
      </c>
      <c r="H211" s="3">
        <f>IF(AND('Data Source'!B211&lt;&gt;"",'Data Source'!S211="A+"),IF('Data Source'!Z211&gt;=5,"A+",IF('Data Source'!Z211&gt;=4,"A",IF('Data Source'!Z211&gt;=3.5,"A-",IF('Data Source'!Z211&gt;=3,"B",IF('Data Source'!Z211&gt;=2,"C",IF('Data Source'!Z211&gt;=1,"D","F")))))),"")</f>
        <v/>
      </c>
      <c r="I211" s="3">
        <f>IF(AND('Data Source'!B211&lt;&gt;"",'Data Source'!S211="A+"),IF('Data Source'!AA211&gt;=5,"A+",IF('Data Source'!AA211&gt;=4,"A",IF('Data Source'!AA211&gt;=3.5,"A-",IF('Data Source'!AA211&gt;=3,"B",IF('Data Source'!AA211&gt;=2,"C",IF('Data Source'!AA211&gt;=1,"D","F")))))),"")</f>
        <v/>
      </c>
      <c r="J211" s="3">
        <f>IF(AND('Data Source'!B211&lt;&gt;"",'Data Source'!S211="A+"),IF('Data Source'!AB211&gt;=5,"A+",IF('Data Source'!AB211&gt;=4,"A",IF('Data Source'!AB211&gt;=3.5,"A-",IF('Data Source'!AB211&gt;=3,"B",IF('Data Source'!AB211&gt;=2,"C",IF('Data Source'!AB211&gt;=1,"D","F")))))),"")</f>
        <v/>
      </c>
      <c r="K211" s="3">
        <f>IF(AND('Data Source'!B211&lt;&gt;"",'Data Source'!S211="A+"),IF('Data Source'!AC211&gt;=5,"A+",IF('Data Source'!AC211&gt;=4,"A",IF('Data Source'!AC211&gt;=3.5,"A-",IF('Data Source'!AC211&gt;=3,"B",IF('Data Source'!AC211&gt;=2,"C",IF('Data Source'!AC211&gt;=1,"D","F")))))),"")</f>
        <v/>
      </c>
      <c r="L211" s="3">
        <f>IF(AND('Data Source'!B211&lt;&gt;"",'Data Source'!S211="A+"),IF('Data Source'!AD211&gt;=5,"A+",IF('Data Source'!AD211&gt;=4,"A",IF('Data Source'!AD211&gt;=3.5,"A-",IF('Data Source'!AD211&gt;=3,"B",IF('Data Source'!AD211&gt;=2,"C",IF('Data Source'!AD211&gt;=1,"D","F")))))),"")</f>
        <v/>
      </c>
      <c r="M211" s="3">
        <f>IF(AND('Data Source'!B211&lt;&gt;"",'Data Source'!S211="A+"),IF('Data Source'!AE211&gt;=5,"A+",IF('Data Source'!AE211&gt;=4,"A",IF('Data Source'!AE211&gt;=3.5,"A-",IF('Data Source'!AE211&gt;=3,"B",IF('Data Source'!AE211&gt;=2,"C",IF('Data Source'!AE211&gt;=1,"D","F")))))),"")</f>
        <v/>
      </c>
      <c r="N211" s="3">
        <f>IF(AND('Data Source'!B211&lt;&gt;"",'Data Source'!S211="A+"),IF('Data Source'!AF211&gt;=5,"A+",IF('Data Source'!AF211&gt;=4,"A",IF('Data Source'!AF211&gt;=3.5,"A-",IF('Data Source'!AF211&gt;=3,"B",IF('Data Source'!AF211&gt;=2,"C",IF('Data Source'!AF211&gt;=1,"D","F")))))),"")</f>
        <v/>
      </c>
      <c r="O211" s="3">
        <f>IF(AND('Data Source'!B211&lt;&gt;"",'Data Source'!S211="A+"),IF('Data Source'!AG211&gt;=5,"A+",IF('Data Source'!AG211&gt;=4,"A",IF('Data Source'!AG211&gt;=3.5,"A-",IF('Data Source'!AG211&gt;=3,"B",IF('Data Source'!AG211&gt;=2,"C",IF('Data Source'!AG211&gt;=1,"D","F")))))),"")</f>
        <v/>
      </c>
      <c r="P211" s="5">
        <f>IF(AND('Data Source'!B211&lt;&gt;"",'Data Source'!S211="A+"),'Data Source'!R211,"")</f>
        <v/>
      </c>
      <c r="Q211" s="3">
        <f>IF(AND('Data Source'!B211&lt;&gt;"",'Data Source'!S211="A+"),'Data Source'!S211,"")</f>
        <v/>
      </c>
    </row>
    <row r="212">
      <c r="A212" s="3">
        <f>IF(AND('Data Source'!B212&lt;&gt;"",'Data Source'!S212="A+"),COUNTIF('Data Source'!$S$3:S212,"A+"),"")</f>
        <v/>
      </c>
      <c r="B212">
        <f>IF(AND('Data Source'!B212&lt;&gt;"",'Data Source'!S212="A+"),'Data Source'!B212,"")</f>
        <v/>
      </c>
      <c r="C212" s="3">
        <f>IF(AND('Data Source'!B212&lt;&gt;"",'Data Source'!S212="A+"),IF('Data Source'!U212&gt;=5,"A+",IF('Data Source'!U212&gt;=4,"A",IF('Data Source'!U212&gt;=3.5,"A-",IF('Data Source'!U212&gt;=3,"B",IF('Data Source'!U212&gt;=2,"C",IF('Data Source'!U212&gt;=1,"D","F")))))),"")</f>
        <v/>
      </c>
      <c r="D212" s="3">
        <f>IF(AND('Data Source'!B212&lt;&gt;"",'Data Source'!S212="A+"),IF('Data Source'!V212&gt;=5,"A+",IF('Data Source'!V212&gt;=4,"A",IF('Data Source'!V212&gt;=3.5,"A-",IF('Data Source'!V212&gt;=3,"B",IF('Data Source'!V212&gt;=2,"C",IF('Data Source'!V212&gt;=1,"D","F")))))),"")</f>
        <v/>
      </c>
      <c r="E212" s="3">
        <f>IF(AND('Data Source'!B212&lt;&gt;"",'Data Source'!S212="A+"),IF('Data Source'!W212&gt;=5,"A+",IF('Data Source'!W212&gt;=4,"A",IF('Data Source'!W212&gt;=3.5,"A-",IF('Data Source'!W212&gt;=3,"B",IF('Data Source'!W212&gt;=2,"C",IF('Data Source'!W212&gt;=1,"D","F")))))),"")</f>
        <v/>
      </c>
      <c r="F212" s="3">
        <f>IF(AND('Data Source'!B212&lt;&gt;"",'Data Source'!S212="A+"),IF('Data Source'!X212&gt;=5,"A+",IF('Data Source'!X212&gt;=4,"A",IF('Data Source'!X212&gt;=3.5,"A-",IF('Data Source'!X212&gt;=3,"B",IF('Data Source'!X212&gt;=2,"C",IF('Data Source'!X212&gt;=1,"D","F")))))),"")</f>
        <v/>
      </c>
      <c r="G212" s="3">
        <f>IF(AND('Data Source'!B212&lt;&gt;"",'Data Source'!S212="A+"),IF('Data Source'!Y212&gt;=5,"A+",IF('Data Source'!Y212&gt;=4,"A",IF('Data Source'!Y212&gt;=3.5,"A-",IF('Data Source'!Y212&gt;=3,"B",IF('Data Source'!Y212&gt;=2,"C",IF('Data Source'!Y212&gt;=1,"D","F")))))),"")</f>
        <v/>
      </c>
      <c r="H212" s="3">
        <f>IF(AND('Data Source'!B212&lt;&gt;"",'Data Source'!S212="A+"),IF('Data Source'!Z212&gt;=5,"A+",IF('Data Source'!Z212&gt;=4,"A",IF('Data Source'!Z212&gt;=3.5,"A-",IF('Data Source'!Z212&gt;=3,"B",IF('Data Source'!Z212&gt;=2,"C",IF('Data Source'!Z212&gt;=1,"D","F")))))),"")</f>
        <v/>
      </c>
      <c r="I212" s="3">
        <f>IF(AND('Data Source'!B212&lt;&gt;"",'Data Source'!S212="A+"),IF('Data Source'!AA212&gt;=5,"A+",IF('Data Source'!AA212&gt;=4,"A",IF('Data Source'!AA212&gt;=3.5,"A-",IF('Data Source'!AA212&gt;=3,"B",IF('Data Source'!AA212&gt;=2,"C",IF('Data Source'!AA212&gt;=1,"D","F")))))),"")</f>
        <v/>
      </c>
      <c r="J212" s="3">
        <f>IF(AND('Data Source'!B212&lt;&gt;"",'Data Source'!S212="A+"),IF('Data Source'!AB212&gt;=5,"A+",IF('Data Source'!AB212&gt;=4,"A",IF('Data Source'!AB212&gt;=3.5,"A-",IF('Data Source'!AB212&gt;=3,"B",IF('Data Source'!AB212&gt;=2,"C",IF('Data Source'!AB212&gt;=1,"D","F")))))),"")</f>
        <v/>
      </c>
      <c r="K212" s="3">
        <f>IF(AND('Data Source'!B212&lt;&gt;"",'Data Source'!S212="A+"),IF('Data Source'!AC212&gt;=5,"A+",IF('Data Source'!AC212&gt;=4,"A",IF('Data Source'!AC212&gt;=3.5,"A-",IF('Data Source'!AC212&gt;=3,"B",IF('Data Source'!AC212&gt;=2,"C",IF('Data Source'!AC212&gt;=1,"D","F")))))),"")</f>
        <v/>
      </c>
      <c r="L212" s="3">
        <f>IF(AND('Data Source'!B212&lt;&gt;"",'Data Source'!S212="A+"),IF('Data Source'!AD212&gt;=5,"A+",IF('Data Source'!AD212&gt;=4,"A",IF('Data Source'!AD212&gt;=3.5,"A-",IF('Data Source'!AD212&gt;=3,"B",IF('Data Source'!AD212&gt;=2,"C",IF('Data Source'!AD212&gt;=1,"D","F")))))),"")</f>
        <v/>
      </c>
      <c r="M212" s="3">
        <f>IF(AND('Data Source'!B212&lt;&gt;"",'Data Source'!S212="A+"),IF('Data Source'!AE212&gt;=5,"A+",IF('Data Source'!AE212&gt;=4,"A",IF('Data Source'!AE212&gt;=3.5,"A-",IF('Data Source'!AE212&gt;=3,"B",IF('Data Source'!AE212&gt;=2,"C",IF('Data Source'!AE212&gt;=1,"D","F")))))),"")</f>
        <v/>
      </c>
      <c r="N212" s="3">
        <f>IF(AND('Data Source'!B212&lt;&gt;"",'Data Source'!S212="A+"),IF('Data Source'!AF212&gt;=5,"A+",IF('Data Source'!AF212&gt;=4,"A",IF('Data Source'!AF212&gt;=3.5,"A-",IF('Data Source'!AF212&gt;=3,"B",IF('Data Source'!AF212&gt;=2,"C",IF('Data Source'!AF212&gt;=1,"D","F")))))),"")</f>
        <v/>
      </c>
      <c r="O212" s="3">
        <f>IF(AND('Data Source'!B212&lt;&gt;"",'Data Source'!S212="A+"),IF('Data Source'!AG212&gt;=5,"A+",IF('Data Source'!AG212&gt;=4,"A",IF('Data Source'!AG212&gt;=3.5,"A-",IF('Data Source'!AG212&gt;=3,"B",IF('Data Source'!AG212&gt;=2,"C",IF('Data Source'!AG212&gt;=1,"D","F")))))),"")</f>
        <v/>
      </c>
      <c r="P212" s="5">
        <f>IF(AND('Data Source'!B212&lt;&gt;"",'Data Source'!S212="A+"),'Data Source'!R212,"")</f>
        <v/>
      </c>
      <c r="Q212" s="3">
        <f>IF(AND('Data Source'!B212&lt;&gt;"",'Data Source'!S212="A+"),'Data Source'!S212,"")</f>
        <v/>
      </c>
    </row>
    <row r="213">
      <c r="A213" s="3">
        <f>IF(AND('Data Source'!B213&lt;&gt;"",'Data Source'!S213="A+"),COUNTIF('Data Source'!$S$3:S213,"A+"),"")</f>
        <v/>
      </c>
      <c r="B213">
        <f>IF(AND('Data Source'!B213&lt;&gt;"",'Data Source'!S213="A+"),'Data Source'!B213,"")</f>
        <v/>
      </c>
      <c r="C213" s="3">
        <f>IF(AND('Data Source'!B213&lt;&gt;"",'Data Source'!S213="A+"),IF('Data Source'!U213&gt;=5,"A+",IF('Data Source'!U213&gt;=4,"A",IF('Data Source'!U213&gt;=3.5,"A-",IF('Data Source'!U213&gt;=3,"B",IF('Data Source'!U213&gt;=2,"C",IF('Data Source'!U213&gt;=1,"D","F")))))),"")</f>
        <v/>
      </c>
      <c r="D213" s="3">
        <f>IF(AND('Data Source'!B213&lt;&gt;"",'Data Source'!S213="A+"),IF('Data Source'!V213&gt;=5,"A+",IF('Data Source'!V213&gt;=4,"A",IF('Data Source'!V213&gt;=3.5,"A-",IF('Data Source'!V213&gt;=3,"B",IF('Data Source'!V213&gt;=2,"C",IF('Data Source'!V213&gt;=1,"D","F")))))),"")</f>
        <v/>
      </c>
      <c r="E213" s="3">
        <f>IF(AND('Data Source'!B213&lt;&gt;"",'Data Source'!S213="A+"),IF('Data Source'!W213&gt;=5,"A+",IF('Data Source'!W213&gt;=4,"A",IF('Data Source'!W213&gt;=3.5,"A-",IF('Data Source'!W213&gt;=3,"B",IF('Data Source'!W213&gt;=2,"C",IF('Data Source'!W213&gt;=1,"D","F")))))),"")</f>
        <v/>
      </c>
      <c r="F213" s="3">
        <f>IF(AND('Data Source'!B213&lt;&gt;"",'Data Source'!S213="A+"),IF('Data Source'!X213&gt;=5,"A+",IF('Data Source'!X213&gt;=4,"A",IF('Data Source'!X213&gt;=3.5,"A-",IF('Data Source'!X213&gt;=3,"B",IF('Data Source'!X213&gt;=2,"C",IF('Data Source'!X213&gt;=1,"D","F")))))),"")</f>
        <v/>
      </c>
      <c r="G213" s="3">
        <f>IF(AND('Data Source'!B213&lt;&gt;"",'Data Source'!S213="A+"),IF('Data Source'!Y213&gt;=5,"A+",IF('Data Source'!Y213&gt;=4,"A",IF('Data Source'!Y213&gt;=3.5,"A-",IF('Data Source'!Y213&gt;=3,"B",IF('Data Source'!Y213&gt;=2,"C",IF('Data Source'!Y213&gt;=1,"D","F")))))),"")</f>
        <v/>
      </c>
      <c r="H213" s="3">
        <f>IF(AND('Data Source'!B213&lt;&gt;"",'Data Source'!S213="A+"),IF('Data Source'!Z213&gt;=5,"A+",IF('Data Source'!Z213&gt;=4,"A",IF('Data Source'!Z213&gt;=3.5,"A-",IF('Data Source'!Z213&gt;=3,"B",IF('Data Source'!Z213&gt;=2,"C",IF('Data Source'!Z213&gt;=1,"D","F")))))),"")</f>
        <v/>
      </c>
      <c r="I213" s="3">
        <f>IF(AND('Data Source'!B213&lt;&gt;"",'Data Source'!S213="A+"),IF('Data Source'!AA213&gt;=5,"A+",IF('Data Source'!AA213&gt;=4,"A",IF('Data Source'!AA213&gt;=3.5,"A-",IF('Data Source'!AA213&gt;=3,"B",IF('Data Source'!AA213&gt;=2,"C",IF('Data Source'!AA213&gt;=1,"D","F")))))),"")</f>
        <v/>
      </c>
      <c r="J213" s="3">
        <f>IF(AND('Data Source'!B213&lt;&gt;"",'Data Source'!S213="A+"),IF('Data Source'!AB213&gt;=5,"A+",IF('Data Source'!AB213&gt;=4,"A",IF('Data Source'!AB213&gt;=3.5,"A-",IF('Data Source'!AB213&gt;=3,"B",IF('Data Source'!AB213&gt;=2,"C",IF('Data Source'!AB213&gt;=1,"D","F")))))),"")</f>
        <v/>
      </c>
      <c r="K213" s="3">
        <f>IF(AND('Data Source'!B213&lt;&gt;"",'Data Source'!S213="A+"),IF('Data Source'!AC213&gt;=5,"A+",IF('Data Source'!AC213&gt;=4,"A",IF('Data Source'!AC213&gt;=3.5,"A-",IF('Data Source'!AC213&gt;=3,"B",IF('Data Source'!AC213&gt;=2,"C",IF('Data Source'!AC213&gt;=1,"D","F")))))),"")</f>
        <v/>
      </c>
      <c r="L213" s="3">
        <f>IF(AND('Data Source'!B213&lt;&gt;"",'Data Source'!S213="A+"),IF('Data Source'!AD213&gt;=5,"A+",IF('Data Source'!AD213&gt;=4,"A",IF('Data Source'!AD213&gt;=3.5,"A-",IF('Data Source'!AD213&gt;=3,"B",IF('Data Source'!AD213&gt;=2,"C",IF('Data Source'!AD213&gt;=1,"D","F")))))),"")</f>
        <v/>
      </c>
      <c r="M213" s="3">
        <f>IF(AND('Data Source'!B213&lt;&gt;"",'Data Source'!S213="A+"),IF('Data Source'!AE213&gt;=5,"A+",IF('Data Source'!AE213&gt;=4,"A",IF('Data Source'!AE213&gt;=3.5,"A-",IF('Data Source'!AE213&gt;=3,"B",IF('Data Source'!AE213&gt;=2,"C",IF('Data Source'!AE213&gt;=1,"D","F")))))),"")</f>
        <v/>
      </c>
      <c r="N213" s="3">
        <f>IF(AND('Data Source'!B213&lt;&gt;"",'Data Source'!S213="A+"),IF('Data Source'!AF213&gt;=5,"A+",IF('Data Source'!AF213&gt;=4,"A",IF('Data Source'!AF213&gt;=3.5,"A-",IF('Data Source'!AF213&gt;=3,"B",IF('Data Source'!AF213&gt;=2,"C",IF('Data Source'!AF213&gt;=1,"D","F")))))),"")</f>
        <v/>
      </c>
      <c r="O213" s="3">
        <f>IF(AND('Data Source'!B213&lt;&gt;"",'Data Source'!S213="A+"),IF('Data Source'!AG213&gt;=5,"A+",IF('Data Source'!AG213&gt;=4,"A",IF('Data Source'!AG213&gt;=3.5,"A-",IF('Data Source'!AG213&gt;=3,"B",IF('Data Source'!AG213&gt;=2,"C",IF('Data Source'!AG213&gt;=1,"D","F")))))),"")</f>
        <v/>
      </c>
      <c r="P213" s="5">
        <f>IF(AND('Data Source'!B213&lt;&gt;"",'Data Source'!S213="A+"),'Data Source'!R213,"")</f>
        <v/>
      </c>
      <c r="Q213" s="3">
        <f>IF(AND('Data Source'!B213&lt;&gt;"",'Data Source'!S213="A+"),'Data Source'!S213,"")</f>
        <v/>
      </c>
    </row>
    <row r="214">
      <c r="A214" s="3">
        <f>IF(AND('Data Source'!B214&lt;&gt;"",'Data Source'!S214="A+"),COUNTIF('Data Source'!$S$3:S214,"A+"),"")</f>
        <v/>
      </c>
      <c r="B214">
        <f>IF(AND('Data Source'!B214&lt;&gt;"",'Data Source'!S214="A+"),'Data Source'!B214,"")</f>
        <v/>
      </c>
      <c r="C214" s="3">
        <f>IF(AND('Data Source'!B214&lt;&gt;"",'Data Source'!S214="A+"),IF('Data Source'!U214&gt;=5,"A+",IF('Data Source'!U214&gt;=4,"A",IF('Data Source'!U214&gt;=3.5,"A-",IF('Data Source'!U214&gt;=3,"B",IF('Data Source'!U214&gt;=2,"C",IF('Data Source'!U214&gt;=1,"D","F")))))),"")</f>
        <v/>
      </c>
      <c r="D214" s="3">
        <f>IF(AND('Data Source'!B214&lt;&gt;"",'Data Source'!S214="A+"),IF('Data Source'!V214&gt;=5,"A+",IF('Data Source'!V214&gt;=4,"A",IF('Data Source'!V214&gt;=3.5,"A-",IF('Data Source'!V214&gt;=3,"B",IF('Data Source'!V214&gt;=2,"C",IF('Data Source'!V214&gt;=1,"D","F")))))),"")</f>
        <v/>
      </c>
      <c r="E214" s="3">
        <f>IF(AND('Data Source'!B214&lt;&gt;"",'Data Source'!S214="A+"),IF('Data Source'!W214&gt;=5,"A+",IF('Data Source'!W214&gt;=4,"A",IF('Data Source'!W214&gt;=3.5,"A-",IF('Data Source'!W214&gt;=3,"B",IF('Data Source'!W214&gt;=2,"C",IF('Data Source'!W214&gt;=1,"D","F")))))),"")</f>
        <v/>
      </c>
      <c r="F214" s="3">
        <f>IF(AND('Data Source'!B214&lt;&gt;"",'Data Source'!S214="A+"),IF('Data Source'!X214&gt;=5,"A+",IF('Data Source'!X214&gt;=4,"A",IF('Data Source'!X214&gt;=3.5,"A-",IF('Data Source'!X214&gt;=3,"B",IF('Data Source'!X214&gt;=2,"C",IF('Data Source'!X214&gt;=1,"D","F")))))),"")</f>
        <v/>
      </c>
      <c r="G214" s="3">
        <f>IF(AND('Data Source'!B214&lt;&gt;"",'Data Source'!S214="A+"),IF('Data Source'!Y214&gt;=5,"A+",IF('Data Source'!Y214&gt;=4,"A",IF('Data Source'!Y214&gt;=3.5,"A-",IF('Data Source'!Y214&gt;=3,"B",IF('Data Source'!Y214&gt;=2,"C",IF('Data Source'!Y214&gt;=1,"D","F")))))),"")</f>
        <v/>
      </c>
      <c r="H214" s="3">
        <f>IF(AND('Data Source'!B214&lt;&gt;"",'Data Source'!S214="A+"),IF('Data Source'!Z214&gt;=5,"A+",IF('Data Source'!Z214&gt;=4,"A",IF('Data Source'!Z214&gt;=3.5,"A-",IF('Data Source'!Z214&gt;=3,"B",IF('Data Source'!Z214&gt;=2,"C",IF('Data Source'!Z214&gt;=1,"D","F")))))),"")</f>
        <v/>
      </c>
      <c r="I214" s="3">
        <f>IF(AND('Data Source'!B214&lt;&gt;"",'Data Source'!S214="A+"),IF('Data Source'!AA214&gt;=5,"A+",IF('Data Source'!AA214&gt;=4,"A",IF('Data Source'!AA214&gt;=3.5,"A-",IF('Data Source'!AA214&gt;=3,"B",IF('Data Source'!AA214&gt;=2,"C",IF('Data Source'!AA214&gt;=1,"D","F")))))),"")</f>
        <v/>
      </c>
      <c r="J214" s="3">
        <f>IF(AND('Data Source'!B214&lt;&gt;"",'Data Source'!S214="A+"),IF('Data Source'!AB214&gt;=5,"A+",IF('Data Source'!AB214&gt;=4,"A",IF('Data Source'!AB214&gt;=3.5,"A-",IF('Data Source'!AB214&gt;=3,"B",IF('Data Source'!AB214&gt;=2,"C",IF('Data Source'!AB214&gt;=1,"D","F")))))),"")</f>
        <v/>
      </c>
      <c r="K214" s="3">
        <f>IF(AND('Data Source'!B214&lt;&gt;"",'Data Source'!S214="A+"),IF('Data Source'!AC214&gt;=5,"A+",IF('Data Source'!AC214&gt;=4,"A",IF('Data Source'!AC214&gt;=3.5,"A-",IF('Data Source'!AC214&gt;=3,"B",IF('Data Source'!AC214&gt;=2,"C",IF('Data Source'!AC214&gt;=1,"D","F")))))),"")</f>
        <v/>
      </c>
      <c r="L214" s="3">
        <f>IF(AND('Data Source'!B214&lt;&gt;"",'Data Source'!S214="A+"),IF('Data Source'!AD214&gt;=5,"A+",IF('Data Source'!AD214&gt;=4,"A",IF('Data Source'!AD214&gt;=3.5,"A-",IF('Data Source'!AD214&gt;=3,"B",IF('Data Source'!AD214&gt;=2,"C",IF('Data Source'!AD214&gt;=1,"D","F")))))),"")</f>
        <v/>
      </c>
      <c r="M214" s="3">
        <f>IF(AND('Data Source'!B214&lt;&gt;"",'Data Source'!S214="A+"),IF('Data Source'!AE214&gt;=5,"A+",IF('Data Source'!AE214&gt;=4,"A",IF('Data Source'!AE214&gt;=3.5,"A-",IF('Data Source'!AE214&gt;=3,"B",IF('Data Source'!AE214&gt;=2,"C",IF('Data Source'!AE214&gt;=1,"D","F")))))),"")</f>
        <v/>
      </c>
      <c r="N214" s="3">
        <f>IF(AND('Data Source'!B214&lt;&gt;"",'Data Source'!S214="A+"),IF('Data Source'!AF214&gt;=5,"A+",IF('Data Source'!AF214&gt;=4,"A",IF('Data Source'!AF214&gt;=3.5,"A-",IF('Data Source'!AF214&gt;=3,"B",IF('Data Source'!AF214&gt;=2,"C",IF('Data Source'!AF214&gt;=1,"D","F")))))),"")</f>
        <v/>
      </c>
      <c r="O214" s="3">
        <f>IF(AND('Data Source'!B214&lt;&gt;"",'Data Source'!S214="A+"),IF('Data Source'!AG214&gt;=5,"A+",IF('Data Source'!AG214&gt;=4,"A",IF('Data Source'!AG214&gt;=3.5,"A-",IF('Data Source'!AG214&gt;=3,"B",IF('Data Source'!AG214&gt;=2,"C",IF('Data Source'!AG214&gt;=1,"D","F")))))),"")</f>
        <v/>
      </c>
      <c r="P214" s="5">
        <f>IF(AND('Data Source'!B214&lt;&gt;"",'Data Source'!S214="A+"),'Data Source'!R214,"")</f>
        <v/>
      </c>
      <c r="Q214" s="3">
        <f>IF(AND('Data Source'!B214&lt;&gt;"",'Data Source'!S214="A+"),'Data Source'!S214,"")</f>
        <v/>
      </c>
    </row>
    <row r="215">
      <c r="A215" s="3">
        <f>IF(AND('Data Source'!B215&lt;&gt;"",'Data Source'!S215="A+"),COUNTIF('Data Source'!$S$3:S215,"A+"),"")</f>
        <v/>
      </c>
      <c r="B215">
        <f>IF(AND('Data Source'!B215&lt;&gt;"",'Data Source'!S215="A+"),'Data Source'!B215,"")</f>
        <v/>
      </c>
      <c r="C215" s="3">
        <f>IF(AND('Data Source'!B215&lt;&gt;"",'Data Source'!S215="A+"),IF('Data Source'!U215&gt;=5,"A+",IF('Data Source'!U215&gt;=4,"A",IF('Data Source'!U215&gt;=3.5,"A-",IF('Data Source'!U215&gt;=3,"B",IF('Data Source'!U215&gt;=2,"C",IF('Data Source'!U215&gt;=1,"D","F")))))),"")</f>
        <v/>
      </c>
      <c r="D215" s="3">
        <f>IF(AND('Data Source'!B215&lt;&gt;"",'Data Source'!S215="A+"),IF('Data Source'!V215&gt;=5,"A+",IF('Data Source'!V215&gt;=4,"A",IF('Data Source'!V215&gt;=3.5,"A-",IF('Data Source'!V215&gt;=3,"B",IF('Data Source'!V215&gt;=2,"C",IF('Data Source'!V215&gt;=1,"D","F")))))),"")</f>
        <v/>
      </c>
      <c r="E215" s="3">
        <f>IF(AND('Data Source'!B215&lt;&gt;"",'Data Source'!S215="A+"),IF('Data Source'!W215&gt;=5,"A+",IF('Data Source'!W215&gt;=4,"A",IF('Data Source'!W215&gt;=3.5,"A-",IF('Data Source'!W215&gt;=3,"B",IF('Data Source'!W215&gt;=2,"C",IF('Data Source'!W215&gt;=1,"D","F")))))),"")</f>
        <v/>
      </c>
      <c r="F215" s="3">
        <f>IF(AND('Data Source'!B215&lt;&gt;"",'Data Source'!S215="A+"),IF('Data Source'!X215&gt;=5,"A+",IF('Data Source'!X215&gt;=4,"A",IF('Data Source'!X215&gt;=3.5,"A-",IF('Data Source'!X215&gt;=3,"B",IF('Data Source'!X215&gt;=2,"C",IF('Data Source'!X215&gt;=1,"D","F")))))),"")</f>
        <v/>
      </c>
      <c r="G215" s="3">
        <f>IF(AND('Data Source'!B215&lt;&gt;"",'Data Source'!S215="A+"),IF('Data Source'!Y215&gt;=5,"A+",IF('Data Source'!Y215&gt;=4,"A",IF('Data Source'!Y215&gt;=3.5,"A-",IF('Data Source'!Y215&gt;=3,"B",IF('Data Source'!Y215&gt;=2,"C",IF('Data Source'!Y215&gt;=1,"D","F")))))),"")</f>
        <v/>
      </c>
      <c r="H215" s="3">
        <f>IF(AND('Data Source'!B215&lt;&gt;"",'Data Source'!S215="A+"),IF('Data Source'!Z215&gt;=5,"A+",IF('Data Source'!Z215&gt;=4,"A",IF('Data Source'!Z215&gt;=3.5,"A-",IF('Data Source'!Z215&gt;=3,"B",IF('Data Source'!Z215&gt;=2,"C",IF('Data Source'!Z215&gt;=1,"D","F")))))),"")</f>
        <v/>
      </c>
      <c r="I215" s="3">
        <f>IF(AND('Data Source'!B215&lt;&gt;"",'Data Source'!S215="A+"),IF('Data Source'!AA215&gt;=5,"A+",IF('Data Source'!AA215&gt;=4,"A",IF('Data Source'!AA215&gt;=3.5,"A-",IF('Data Source'!AA215&gt;=3,"B",IF('Data Source'!AA215&gt;=2,"C",IF('Data Source'!AA215&gt;=1,"D","F")))))),"")</f>
        <v/>
      </c>
      <c r="J215" s="3">
        <f>IF(AND('Data Source'!B215&lt;&gt;"",'Data Source'!S215="A+"),IF('Data Source'!AB215&gt;=5,"A+",IF('Data Source'!AB215&gt;=4,"A",IF('Data Source'!AB215&gt;=3.5,"A-",IF('Data Source'!AB215&gt;=3,"B",IF('Data Source'!AB215&gt;=2,"C",IF('Data Source'!AB215&gt;=1,"D","F")))))),"")</f>
        <v/>
      </c>
      <c r="K215" s="3">
        <f>IF(AND('Data Source'!B215&lt;&gt;"",'Data Source'!S215="A+"),IF('Data Source'!AC215&gt;=5,"A+",IF('Data Source'!AC215&gt;=4,"A",IF('Data Source'!AC215&gt;=3.5,"A-",IF('Data Source'!AC215&gt;=3,"B",IF('Data Source'!AC215&gt;=2,"C",IF('Data Source'!AC215&gt;=1,"D","F")))))),"")</f>
        <v/>
      </c>
      <c r="L215" s="3">
        <f>IF(AND('Data Source'!B215&lt;&gt;"",'Data Source'!S215="A+"),IF('Data Source'!AD215&gt;=5,"A+",IF('Data Source'!AD215&gt;=4,"A",IF('Data Source'!AD215&gt;=3.5,"A-",IF('Data Source'!AD215&gt;=3,"B",IF('Data Source'!AD215&gt;=2,"C",IF('Data Source'!AD215&gt;=1,"D","F")))))),"")</f>
        <v/>
      </c>
      <c r="M215" s="3">
        <f>IF(AND('Data Source'!B215&lt;&gt;"",'Data Source'!S215="A+"),IF('Data Source'!AE215&gt;=5,"A+",IF('Data Source'!AE215&gt;=4,"A",IF('Data Source'!AE215&gt;=3.5,"A-",IF('Data Source'!AE215&gt;=3,"B",IF('Data Source'!AE215&gt;=2,"C",IF('Data Source'!AE215&gt;=1,"D","F")))))),"")</f>
        <v/>
      </c>
      <c r="N215" s="3">
        <f>IF(AND('Data Source'!B215&lt;&gt;"",'Data Source'!S215="A+"),IF('Data Source'!AF215&gt;=5,"A+",IF('Data Source'!AF215&gt;=4,"A",IF('Data Source'!AF215&gt;=3.5,"A-",IF('Data Source'!AF215&gt;=3,"B",IF('Data Source'!AF215&gt;=2,"C",IF('Data Source'!AF215&gt;=1,"D","F")))))),"")</f>
        <v/>
      </c>
      <c r="O215" s="3">
        <f>IF(AND('Data Source'!B215&lt;&gt;"",'Data Source'!S215="A+"),IF('Data Source'!AG215&gt;=5,"A+",IF('Data Source'!AG215&gt;=4,"A",IF('Data Source'!AG215&gt;=3.5,"A-",IF('Data Source'!AG215&gt;=3,"B",IF('Data Source'!AG215&gt;=2,"C",IF('Data Source'!AG215&gt;=1,"D","F")))))),"")</f>
        <v/>
      </c>
      <c r="P215" s="5">
        <f>IF(AND('Data Source'!B215&lt;&gt;"",'Data Source'!S215="A+"),'Data Source'!R215,"")</f>
        <v/>
      </c>
      <c r="Q215" s="3">
        <f>IF(AND('Data Source'!B215&lt;&gt;"",'Data Source'!S215="A+"),'Data Source'!S215,"")</f>
        <v/>
      </c>
    </row>
    <row r="216">
      <c r="A216" s="3">
        <f>IF(AND('Data Source'!B216&lt;&gt;"",'Data Source'!S216="A+"),COUNTIF('Data Source'!$S$3:S216,"A+"),"")</f>
        <v/>
      </c>
      <c r="B216">
        <f>IF(AND('Data Source'!B216&lt;&gt;"",'Data Source'!S216="A+"),'Data Source'!B216,"")</f>
        <v/>
      </c>
      <c r="C216" s="3">
        <f>IF(AND('Data Source'!B216&lt;&gt;"",'Data Source'!S216="A+"),IF('Data Source'!U216&gt;=5,"A+",IF('Data Source'!U216&gt;=4,"A",IF('Data Source'!U216&gt;=3.5,"A-",IF('Data Source'!U216&gt;=3,"B",IF('Data Source'!U216&gt;=2,"C",IF('Data Source'!U216&gt;=1,"D","F")))))),"")</f>
        <v/>
      </c>
      <c r="D216" s="3">
        <f>IF(AND('Data Source'!B216&lt;&gt;"",'Data Source'!S216="A+"),IF('Data Source'!V216&gt;=5,"A+",IF('Data Source'!V216&gt;=4,"A",IF('Data Source'!V216&gt;=3.5,"A-",IF('Data Source'!V216&gt;=3,"B",IF('Data Source'!V216&gt;=2,"C",IF('Data Source'!V216&gt;=1,"D","F")))))),"")</f>
        <v/>
      </c>
      <c r="E216" s="3">
        <f>IF(AND('Data Source'!B216&lt;&gt;"",'Data Source'!S216="A+"),IF('Data Source'!W216&gt;=5,"A+",IF('Data Source'!W216&gt;=4,"A",IF('Data Source'!W216&gt;=3.5,"A-",IF('Data Source'!W216&gt;=3,"B",IF('Data Source'!W216&gt;=2,"C",IF('Data Source'!W216&gt;=1,"D","F")))))),"")</f>
        <v/>
      </c>
      <c r="F216" s="3">
        <f>IF(AND('Data Source'!B216&lt;&gt;"",'Data Source'!S216="A+"),IF('Data Source'!X216&gt;=5,"A+",IF('Data Source'!X216&gt;=4,"A",IF('Data Source'!X216&gt;=3.5,"A-",IF('Data Source'!X216&gt;=3,"B",IF('Data Source'!X216&gt;=2,"C",IF('Data Source'!X216&gt;=1,"D","F")))))),"")</f>
        <v/>
      </c>
      <c r="G216" s="3">
        <f>IF(AND('Data Source'!B216&lt;&gt;"",'Data Source'!S216="A+"),IF('Data Source'!Y216&gt;=5,"A+",IF('Data Source'!Y216&gt;=4,"A",IF('Data Source'!Y216&gt;=3.5,"A-",IF('Data Source'!Y216&gt;=3,"B",IF('Data Source'!Y216&gt;=2,"C",IF('Data Source'!Y216&gt;=1,"D","F")))))),"")</f>
        <v/>
      </c>
      <c r="H216" s="3">
        <f>IF(AND('Data Source'!B216&lt;&gt;"",'Data Source'!S216="A+"),IF('Data Source'!Z216&gt;=5,"A+",IF('Data Source'!Z216&gt;=4,"A",IF('Data Source'!Z216&gt;=3.5,"A-",IF('Data Source'!Z216&gt;=3,"B",IF('Data Source'!Z216&gt;=2,"C",IF('Data Source'!Z216&gt;=1,"D","F")))))),"")</f>
        <v/>
      </c>
      <c r="I216" s="3">
        <f>IF(AND('Data Source'!B216&lt;&gt;"",'Data Source'!S216="A+"),IF('Data Source'!AA216&gt;=5,"A+",IF('Data Source'!AA216&gt;=4,"A",IF('Data Source'!AA216&gt;=3.5,"A-",IF('Data Source'!AA216&gt;=3,"B",IF('Data Source'!AA216&gt;=2,"C",IF('Data Source'!AA216&gt;=1,"D","F")))))),"")</f>
        <v/>
      </c>
      <c r="J216" s="3">
        <f>IF(AND('Data Source'!B216&lt;&gt;"",'Data Source'!S216="A+"),IF('Data Source'!AB216&gt;=5,"A+",IF('Data Source'!AB216&gt;=4,"A",IF('Data Source'!AB216&gt;=3.5,"A-",IF('Data Source'!AB216&gt;=3,"B",IF('Data Source'!AB216&gt;=2,"C",IF('Data Source'!AB216&gt;=1,"D","F")))))),"")</f>
        <v/>
      </c>
      <c r="K216" s="3">
        <f>IF(AND('Data Source'!B216&lt;&gt;"",'Data Source'!S216="A+"),IF('Data Source'!AC216&gt;=5,"A+",IF('Data Source'!AC216&gt;=4,"A",IF('Data Source'!AC216&gt;=3.5,"A-",IF('Data Source'!AC216&gt;=3,"B",IF('Data Source'!AC216&gt;=2,"C",IF('Data Source'!AC216&gt;=1,"D","F")))))),"")</f>
        <v/>
      </c>
      <c r="L216" s="3">
        <f>IF(AND('Data Source'!B216&lt;&gt;"",'Data Source'!S216="A+"),IF('Data Source'!AD216&gt;=5,"A+",IF('Data Source'!AD216&gt;=4,"A",IF('Data Source'!AD216&gt;=3.5,"A-",IF('Data Source'!AD216&gt;=3,"B",IF('Data Source'!AD216&gt;=2,"C",IF('Data Source'!AD216&gt;=1,"D","F")))))),"")</f>
        <v/>
      </c>
      <c r="M216" s="3">
        <f>IF(AND('Data Source'!B216&lt;&gt;"",'Data Source'!S216="A+"),IF('Data Source'!AE216&gt;=5,"A+",IF('Data Source'!AE216&gt;=4,"A",IF('Data Source'!AE216&gt;=3.5,"A-",IF('Data Source'!AE216&gt;=3,"B",IF('Data Source'!AE216&gt;=2,"C",IF('Data Source'!AE216&gt;=1,"D","F")))))),"")</f>
        <v/>
      </c>
      <c r="N216" s="3">
        <f>IF(AND('Data Source'!B216&lt;&gt;"",'Data Source'!S216="A+"),IF('Data Source'!AF216&gt;=5,"A+",IF('Data Source'!AF216&gt;=4,"A",IF('Data Source'!AF216&gt;=3.5,"A-",IF('Data Source'!AF216&gt;=3,"B",IF('Data Source'!AF216&gt;=2,"C",IF('Data Source'!AF216&gt;=1,"D","F")))))),"")</f>
        <v/>
      </c>
      <c r="O216" s="3">
        <f>IF(AND('Data Source'!B216&lt;&gt;"",'Data Source'!S216="A+"),IF('Data Source'!AG216&gt;=5,"A+",IF('Data Source'!AG216&gt;=4,"A",IF('Data Source'!AG216&gt;=3.5,"A-",IF('Data Source'!AG216&gt;=3,"B",IF('Data Source'!AG216&gt;=2,"C",IF('Data Source'!AG216&gt;=1,"D","F")))))),"")</f>
        <v/>
      </c>
      <c r="P216" s="5">
        <f>IF(AND('Data Source'!B216&lt;&gt;"",'Data Source'!S216="A+"),'Data Source'!R216,"")</f>
        <v/>
      </c>
      <c r="Q216" s="3">
        <f>IF(AND('Data Source'!B216&lt;&gt;"",'Data Source'!S216="A+"),'Data Source'!S216,"")</f>
        <v/>
      </c>
    </row>
    <row r="217">
      <c r="A217" s="3">
        <f>IF(AND('Data Source'!B217&lt;&gt;"",'Data Source'!S217="A+"),COUNTIF('Data Source'!$S$3:S217,"A+"),"")</f>
        <v/>
      </c>
      <c r="B217">
        <f>IF(AND('Data Source'!B217&lt;&gt;"",'Data Source'!S217="A+"),'Data Source'!B217,"")</f>
        <v/>
      </c>
      <c r="C217" s="3">
        <f>IF(AND('Data Source'!B217&lt;&gt;"",'Data Source'!S217="A+"),IF('Data Source'!U217&gt;=5,"A+",IF('Data Source'!U217&gt;=4,"A",IF('Data Source'!U217&gt;=3.5,"A-",IF('Data Source'!U217&gt;=3,"B",IF('Data Source'!U217&gt;=2,"C",IF('Data Source'!U217&gt;=1,"D","F")))))),"")</f>
        <v/>
      </c>
      <c r="D217" s="3">
        <f>IF(AND('Data Source'!B217&lt;&gt;"",'Data Source'!S217="A+"),IF('Data Source'!V217&gt;=5,"A+",IF('Data Source'!V217&gt;=4,"A",IF('Data Source'!V217&gt;=3.5,"A-",IF('Data Source'!V217&gt;=3,"B",IF('Data Source'!V217&gt;=2,"C",IF('Data Source'!V217&gt;=1,"D","F")))))),"")</f>
        <v/>
      </c>
      <c r="E217" s="3">
        <f>IF(AND('Data Source'!B217&lt;&gt;"",'Data Source'!S217="A+"),IF('Data Source'!W217&gt;=5,"A+",IF('Data Source'!W217&gt;=4,"A",IF('Data Source'!W217&gt;=3.5,"A-",IF('Data Source'!W217&gt;=3,"B",IF('Data Source'!W217&gt;=2,"C",IF('Data Source'!W217&gt;=1,"D","F")))))),"")</f>
        <v/>
      </c>
      <c r="F217" s="3">
        <f>IF(AND('Data Source'!B217&lt;&gt;"",'Data Source'!S217="A+"),IF('Data Source'!X217&gt;=5,"A+",IF('Data Source'!X217&gt;=4,"A",IF('Data Source'!X217&gt;=3.5,"A-",IF('Data Source'!X217&gt;=3,"B",IF('Data Source'!X217&gt;=2,"C",IF('Data Source'!X217&gt;=1,"D","F")))))),"")</f>
        <v/>
      </c>
      <c r="G217" s="3">
        <f>IF(AND('Data Source'!B217&lt;&gt;"",'Data Source'!S217="A+"),IF('Data Source'!Y217&gt;=5,"A+",IF('Data Source'!Y217&gt;=4,"A",IF('Data Source'!Y217&gt;=3.5,"A-",IF('Data Source'!Y217&gt;=3,"B",IF('Data Source'!Y217&gt;=2,"C",IF('Data Source'!Y217&gt;=1,"D","F")))))),"")</f>
        <v/>
      </c>
      <c r="H217" s="3">
        <f>IF(AND('Data Source'!B217&lt;&gt;"",'Data Source'!S217="A+"),IF('Data Source'!Z217&gt;=5,"A+",IF('Data Source'!Z217&gt;=4,"A",IF('Data Source'!Z217&gt;=3.5,"A-",IF('Data Source'!Z217&gt;=3,"B",IF('Data Source'!Z217&gt;=2,"C",IF('Data Source'!Z217&gt;=1,"D","F")))))),"")</f>
        <v/>
      </c>
      <c r="I217" s="3">
        <f>IF(AND('Data Source'!B217&lt;&gt;"",'Data Source'!S217="A+"),IF('Data Source'!AA217&gt;=5,"A+",IF('Data Source'!AA217&gt;=4,"A",IF('Data Source'!AA217&gt;=3.5,"A-",IF('Data Source'!AA217&gt;=3,"B",IF('Data Source'!AA217&gt;=2,"C",IF('Data Source'!AA217&gt;=1,"D","F")))))),"")</f>
        <v/>
      </c>
      <c r="J217" s="3">
        <f>IF(AND('Data Source'!B217&lt;&gt;"",'Data Source'!S217="A+"),IF('Data Source'!AB217&gt;=5,"A+",IF('Data Source'!AB217&gt;=4,"A",IF('Data Source'!AB217&gt;=3.5,"A-",IF('Data Source'!AB217&gt;=3,"B",IF('Data Source'!AB217&gt;=2,"C",IF('Data Source'!AB217&gt;=1,"D","F")))))),"")</f>
        <v/>
      </c>
      <c r="K217" s="3">
        <f>IF(AND('Data Source'!B217&lt;&gt;"",'Data Source'!S217="A+"),IF('Data Source'!AC217&gt;=5,"A+",IF('Data Source'!AC217&gt;=4,"A",IF('Data Source'!AC217&gt;=3.5,"A-",IF('Data Source'!AC217&gt;=3,"B",IF('Data Source'!AC217&gt;=2,"C",IF('Data Source'!AC217&gt;=1,"D","F")))))),"")</f>
        <v/>
      </c>
      <c r="L217" s="3">
        <f>IF(AND('Data Source'!B217&lt;&gt;"",'Data Source'!S217="A+"),IF('Data Source'!AD217&gt;=5,"A+",IF('Data Source'!AD217&gt;=4,"A",IF('Data Source'!AD217&gt;=3.5,"A-",IF('Data Source'!AD217&gt;=3,"B",IF('Data Source'!AD217&gt;=2,"C",IF('Data Source'!AD217&gt;=1,"D","F")))))),"")</f>
        <v/>
      </c>
      <c r="M217" s="3">
        <f>IF(AND('Data Source'!B217&lt;&gt;"",'Data Source'!S217="A+"),IF('Data Source'!AE217&gt;=5,"A+",IF('Data Source'!AE217&gt;=4,"A",IF('Data Source'!AE217&gt;=3.5,"A-",IF('Data Source'!AE217&gt;=3,"B",IF('Data Source'!AE217&gt;=2,"C",IF('Data Source'!AE217&gt;=1,"D","F")))))),"")</f>
        <v/>
      </c>
      <c r="N217" s="3">
        <f>IF(AND('Data Source'!B217&lt;&gt;"",'Data Source'!S217="A+"),IF('Data Source'!AF217&gt;=5,"A+",IF('Data Source'!AF217&gt;=4,"A",IF('Data Source'!AF217&gt;=3.5,"A-",IF('Data Source'!AF217&gt;=3,"B",IF('Data Source'!AF217&gt;=2,"C",IF('Data Source'!AF217&gt;=1,"D","F")))))),"")</f>
        <v/>
      </c>
      <c r="O217" s="3">
        <f>IF(AND('Data Source'!B217&lt;&gt;"",'Data Source'!S217="A+"),IF('Data Source'!AG217&gt;=5,"A+",IF('Data Source'!AG217&gt;=4,"A",IF('Data Source'!AG217&gt;=3.5,"A-",IF('Data Source'!AG217&gt;=3,"B",IF('Data Source'!AG217&gt;=2,"C",IF('Data Source'!AG217&gt;=1,"D","F")))))),"")</f>
        <v/>
      </c>
      <c r="P217" s="5">
        <f>IF(AND('Data Source'!B217&lt;&gt;"",'Data Source'!S217="A+"),'Data Source'!R217,"")</f>
        <v/>
      </c>
      <c r="Q217" s="3">
        <f>IF(AND('Data Source'!B217&lt;&gt;"",'Data Source'!S217="A+"),'Data Source'!S217,"")</f>
        <v/>
      </c>
    </row>
    <row r="218">
      <c r="A218" s="3">
        <f>IF(AND('Data Source'!B218&lt;&gt;"",'Data Source'!S218="A+"),COUNTIF('Data Source'!$S$3:S218,"A+"),"")</f>
        <v/>
      </c>
      <c r="B218">
        <f>IF(AND('Data Source'!B218&lt;&gt;"",'Data Source'!S218="A+"),'Data Source'!B218,"")</f>
        <v/>
      </c>
      <c r="C218" s="3">
        <f>IF(AND('Data Source'!B218&lt;&gt;"",'Data Source'!S218="A+"),IF('Data Source'!U218&gt;=5,"A+",IF('Data Source'!U218&gt;=4,"A",IF('Data Source'!U218&gt;=3.5,"A-",IF('Data Source'!U218&gt;=3,"B",IF('Data Source'!U218&gt;=2,"C",IF('Data Source'!U218&gt;=1,"D","F")))))),"")</f>
        <v/>
      </c>
      <c r="D218" s="3">
        <f>IF(AND('Data Source'!B218&lt;&gt;"",'Data Source'!S218="A+"),IF('Data Source'!V218&gt;=5,"A+",IF('Data Source'!V218&gt;=4,"A",IF('Data Source'!V218&gt;=3.5,"A-",IF('Data Source'!V218&gt;=3,"B",IF('Data Source'!V218&gt;=2,"C",IF('Data Source'!V218&gt;=1,"D","F")))))),"")</f>
        <v/>
      </c>
      <c r="E218" s="3">
        <f>IF(AND('Data Source'!B218&lt;&gt;"",'Data Source'!S218="A+"),IF('Data Source'!W218&gt;=5,"A+",IF('Data Source'!W218&gt;=4,"A",IF('Data Source'!W218&gt;=3.5,"A-",IF('Data Source'!W218&gt;=3,"B",IF('Data Source'!W218&gt;=2,"C",IF('Data Source'!W218&gt;=1,"D","F")))))),"")</f>
        <v/>
      </c>
      <c r="F218" s="3">
        <f>IF(AND('Data Source'!B218&lt;&gt;"",'Data Source'!S218="A+"),IF('Data Source'!X218&gt;=5,"A+",IF('Data Source'!X218&gt;=4,"A",IF('Data Source'!X218&gt;=3.5,"A-",IF('Data Source'!X218&gt;=3,"B",IF('Data Source'!X218&gt;=2,"C",IF('Data Source'!X218&gt;=1,"D","F")))))),"")</f>
        <v/>
      </c>
      <c r="G218" s="3">
        <f>IF(AND('Data Source'!B218&lt;&gt;"",'Data Source'!S218="A+"),IF('Data Source'!Y218&gt;=5,"A+",IF('Data Source'!Y218&gt;=4,"A",IF('Data Source'!Y218&gt;=3.5,"A-",IF('Data Source'!Y218&gt;=3,"B",IF('Data Source'!Y218&gt;=2,"C",IF('Data Source'!Y218&gt;=1,"D","F")))))),"")</f>
        <v/>
      </c>
      <c r="H218" s="3">
        <f>IF(AND('Data Source'!B218&lt;&gt;"",'Data Source'!S218="A+"),IF('Data Source'!Z218&gt;=5,"A+",IF('Data Source'!Z218&gt;=4,"A",IF('Data Source'!Z218&gt;=3.5,"A-",IF('Data Source'!Z218&gt;=3,"B",IF('Data Source'!Z218&gt;=2,"C",IF('Data Source'!Z218&gt;=1,"D","F")))))),"")</f>
        <v/>
      </c>
      <c r="I218" s="3">
        <f>IF(AND('Data Source'!B218&lt;&gt;"",'Data Source'!S218="A+"),IF('Data Source'!AA218&gt;=5,"A+",IF('Data Source'!AA218&gt;=4,"A",IF('Data Source'!AA218&gt;=3.5,"A-",IF('Data Source'!AA218&gt;=3,"B",IF('Data Source'!AA218&gt;=2,"C",IF('Data Source'!AA218&gt;=1,"D","F")))))),"")</f>
        <v/>
      </c>
      <c r="J218" s="3">
        <f>IF(AND('Data Source'!B218&lt;&gt;"",'Data Source'!S218="A+"),IF('Data Source'!AB218&gt;=5,"A+",IF('Data Source'!AB218&gt;=4,"A",IF('Data Source'!AB218&gt;=3.5,"A-",IF('Data Source'!AB218&gt;=3,"B",IF('Data Source'!AB218&gt;=2,"C",IF('Data Source'!AB218&gt;=1,"D","F")))))),"")</f>
        <v/>
      </c>
      <c r="K218" s="3">
        <f>IF(AND('Data Source'!B218&lt;&gt;"",'Data Source'!S218="A+"),IF('Data Source'!AC218&gt;=5,"A+",IF('Data Source'!AC218&gt;=4,"A",IF('Data Source'!AC218&gt;=3.5,"A-",IF('Data Source'!AC218&gt;=3,"B",IF('Data Source'!AC218&gt;=2,"C",IF('Data Source'!AC218&gt;=1,"D","F")))))),"")</f>
        <v/>
      </c>
      <c r="L218" s="3">
        <f>IF(AND('Data Source'!B218&lt;&gt;"",'Data Source'!S218="A+"),IF('Data Source'!AD218&gt;=5,"A+",IF('Data Source'!AD218&gt;=4,"A",IF('Data Source'!AD218&gt;=3.5,"A-",IF('Data Source'!AD218&gt;=3,"B",IF('Data Source'!AD218&gt;=2,"C",IF('Data Source'!AD218&gt;=1,"D","F")))))),"")</f>
        <v/>
      </c>
      <c r="M218" s="3">
        <f>IF(AND('Data Source'!B218&lt;&gt;"",'Data Source'!S218="A+"),IF('Data Source'!AE218&gt;=5,"A+",IF('Data Source'!AE218&gt;=4,"A",IF('Data Source'!AE218&gt;=3.5,"A-",IF('Data Source'!AE218&gt;=3,"B",IF('Data Source'!AE218&gt;=2,"C",IF('Data Source'!AE218&gt;=1,"D","F")))))),"")</f>
        <v/>
      </c>
      <c r="N218" s="3">
        <f>IF(AND('Data Source'!B218&lt;&gt;"",'Data Source'!S218="A+"),IF('Data Source'!AF218&gt;=5,"A+",IF('Data Source'!AF218&gt;=4,"A",IF('Data Source'!AF218&gt;=3.5,"A-",IF('Data Source'!AF218&gt;=3,"B",IF('Data Source'!AF218&gt;=2,"C",IF('Data Source'!AF218&gt;=1,"D","F")))))),"")</f>
        <v/>
      </c>
      <c r="O218" s="3">
        <f>IF(AND('Data Source'!B218&lt;&gt;"",'Data Source'!S218="A+"),IF('Data Source'!AG218&gt;=5,"A+",IF('Data Source'!AG218&gt;=4,"A",IF('Data Source'!AG218&gt;=3.5,"A-",IF('Data Source'!AG218&gt;=3,"B",IF('Data Source'!AG218&gt;=2,"C",IF('Data Source'!AG218&gt;=1,"D","F")))))),"")</f>
        <v/>
      </c>
      <c r="P218" s="5">
        <f>IF(AND('Data Source'!B218&lt;&gt;"",'Data Source'!S218="A+"),'Data Source'!R218,"")</f>
        <v/>
      </c>
      <c r="Q218" s="3">
        <f>IF(AND('Data Source'!B218&lt;&gt;"",'Data Source'!S218="A+"),'Data Source'!S218,"")</f>
        <v/>
      </c>
    </row>
    <row r="219">
      <c r="A219" s="3">
        <f>IF(AND('Data Source'!B219&lt;&gt;"",'Data Source'!S219="A+"),COUNTIF('Data Source'!$S$3:S219,"A+"),"")</f>
        <v/>
      </c>
      <c r="B219">
        <f>IF(AND('Data Source'!B219&lt;&gt;"",'Data Source'!S219="A+"),'Data Source'!B219,"")</f>
        <v/>
      </c>
      <c r="C219" s="3">
        <f>IF(AND('Data Source'!B219&lt;&gt;"",'Data Source'!S219="A+"),IF('Data Source'!U219&gt;=5,"A+",IF('Data Source'!U219&gt;=4,"A",IF('Data Source'!U219&gt;=3.5,"A-",IF('Data Source'!U219&gt;=3,"B",IF('Data Source'!U219&gt;=2,"C",IF('Data Source'!U219&gt;=1,"D","F")))))),"")</f>
        <v/>
      </c>
      <c r="D219" s="3">
        <f>IF(AND('Data Source'!B219&lt;&gt;"",'Data Source'!S219="A+"),IF('Data Source'!V219&gt;=5,"A+",IF('Data Source'!V219&gt;=4,"A",IF('Data Source'!V219&gt;=3.5,"A-",IF('Data Source'!V219&gt;=3,"B",IF('Data Source'!V219&gt;=2,"C",IF('Data Source'!V219&gt;=1,"D","F")))))),"")</f>
        <v/>
      </c>
      <c r="E219" s="3">
        <f>IF(AND('Data Source'!B219&lt;&gt;"",'Data Source'!S219="A+"),IF('Data Source'!W219&gt;=5,"A+",IF('Data Source'!W219&gt;=4,"A",IF('Data Source'!W219&gt;=3.5,"A-",IF('Data Source'!W219&gt;=3,"B",IF('Data Source'!W219&gt;=2,"C",IF('Data Source'!W219&gt;=1,"D","F")))))),"")</f>
        <v/>
      </c>
      <c r="F219" s="3">
        <f>IF(AND('Data Source'!B219&lt;&gt;"",'Data Source'!S219="A+"),IF('Data Source'!X219&gt;=5,"A+",IF('Data Source'!X219&gt;=4,"A",IF('Data Source'!X219&gt;=3.5,"A-",IF('Data Source'!X219&gt;=3,"B",IF('Data Source'!X219&gt;=2,"C",IF('Data Source'!X219&gt;=1,"D","F")))))),"")</f>
        <v/>
      </c>
      <c r="G219" s="3">
        <f>IF(AND('Data Source'!B219&lt;&gt;"",'Data Source'!S219="A+"),IF('Data Source'!Y219&gt;=5,"A+",IF('Data Source'!Y219&gt;=4,"A",IF('Data Source'!Y219&gt;=3.5,"A-",IF('Data Source'!Y219&gt;=3,"B",IF('Data Source'!Y219&gt;=2,"C",IF('Data Source'!Y219&gt;=1,"D","F")))))),"")</f>
        <v/>
      </c>
      <c r="H219" s="3">
        <f>IF(AND('Data Source'!B219&lt;&gt;"",'Data Source'!S219="A+"),IF('Data Source'!Z219&gt;=5,"A+",IF('Data Source'!Z219&gt;=4,"A",IF('Data Source'!Z219&gt;=3.5,"A-",IF('Data Source'!Z219&gt;=3,"B",IF('Data Source'!Z219&gt;=2,"C",IF('Data Source'!Z219&gt;=1,"D","F")))))),"")</f>
        <v/>
      </c>
      <c r="I219" s="3">
        <f>IF(AND('Data Source'!B219&lt;&gt;"",'Data Source'!S219="A+"),IF('Data Source'!AA219&gt;=5,"A+",IF('Data Source'!AA219&gt;=4,"A",IF('Data Source'!AA219&gt;=3.5,"A-",IF('Data Source'!AA219&gt;=3,"B",IF('Data Source'!AA219&gt;=2,"C",IF('Data Source'!AA219&gt;=1,"D","F")))))),"")</f>
        <v/>
      </c>
      <c r="J219" s="3">
        <f>IF(AND('Data Source'!B219&lt;&gt;"",'Data Source'!S219="A+"),IF('Data Source'!AB219&gt;=5,"A+",IF('Data Source'!AB219&gt;=4,"A",IF('Data Source'!AB219&gt;=3.5,"A-",IF('Data Source'!AB219&gt;=3,"B",IF('Data Source'!AB219&gt;=2,"C",IF('Data Source'!AB219&gt;=1,"D","F")))))),"")</f>
        <v/>
      </c>
      <c r="K219" s="3">
        <f>IF(AND('Data Source'!B219&lt;&gt;"",'Data Source'!S219="A+"),IF('Data Source'!AC219&gt;=5,"A+",IF('Data Source'!AC219&gt;=4,"A",IF('Data Source'!AC219&gt;=3.5,"A-",IF('Data Source'!AC219&gt;=3,"B",IF('Data Source'!AC219&gt;=2,"C",IF('Data Source'!AC219&gt;=1,"D","F")))))),"")</f>
        <v/>
      </c>
      <c r="L219" s="3">
        <f>IF(AND('Data Source'!B219&lt;&gt;"",'Data Source'!S219="A+"),IF('Data Source'!AD219&gt;=5,"A+",IF('Data Source'!AD219&gt;=4,"A",IF('Data Source'!AD219&gt;=3.5,"A-",IF('Data Source'!AD219&gt;=3,"B",IF('Data Source'!AD219&gt;=2,"C",IF('Data Source'!AD219&gt;=1,"D","F")))))),"")</f>
        <v/>
      </c>
      <c r="M219" s="3">
        <f>IF(AND('Data Source'!B219&lt;&gt;"",'Data Source'!S219="A+"),IF('Data Source'!AE219&gt;=5,"A+",IF('Data Source'!AE219&gt;=4,"A",IF('Data Source'!AE219&gt;=3.5,"A-",IF('Data Source'!AE219&gt;=3,"B",IF('Data Source'!AE219&gt;=2,"C",IF('Data Source'!AE219&gt;=1,"D","F")))))),"")</f>
        <v/>
      </c>
      <c r="N219" s="3">
        <f>IF(AND('Data Source'!B219&lt;&gt;"",'Data Source'!S219="A+"),IF('Data Source'!AF219&gt;=5,"A+",IF('Data Source'!AF219&gt;=4,"A",IF('Data Source'!AF219&gt;=3.5,"A-",IF('Data Source'!AF219&gt;=3,"B",IF('Data Source'!AF219&gt;=2,"C",IF('Data Source'!AF219&gt;=1,"D","F")))))),"")</f>
        <v/>
      </c>
      <c r="O219" s="3">
        <f>IF(AND('Data Source'!B219&lt;&gt;"",'Data Source'!S219="A+"),IF('Data Source'!AG219&gt;=5,"A+",IF('Data Source'!AG219&gt;=4,"A",IF('Data Source'!AG219&gt;=3.5,"A-",IF('Data Source'!AG219&gt;=3,"B",IF('Data Source'!AG219&gt;=2,"C",IF('Data Source'!AG219&gt;=1,"D","F")))))),"")</f>
        <v/>
      </c>
      <c r="P219" s="5">
        <f>IF(AND('Data Source'!B219&lt;&gt;"",'Data Source'!S219="A+"),'Data Source'!R219,"")</f>
        <v/>
      </c>
      <c r="Q219" s="3">
        <f>IF(AND('Data Source'!B219&lt;&gt;"",'Data Source'!S219="A+"),'Data Source'!S219,"")</f>
        <v/>
      </c>
    </row>
    <row r="220">
      <c r="A220" s="3">
        <f>IF(AND('Data Source'!B220&lt;&gt;"",'Data Source'!S220="A+"),COUNTIF('Data Source'!$S$3:S220,"A+"),"")</f>
        <v/>
      </c>
      <c r="B220">
        <f>IF(AND('Data Source'!B220&lt;&gt;"",'Data Source'!S220="A+"),'Data Source'!B220,"")</f>
        <v/>
      </c>
      <c r="C220" s="3">
        <f>IF(AND('Data Source'!B220&lt;&gt;"",'Data Source'!S220="A+"),IF('Data Source'!U220&gt;=5,"A+",IF('Data Source'!U220&gt;=4,"A",IF('Data Source'!U220&gt;=3.5,"A-",IF('Data Source'!U220&gt;=3,"B",IF('Data Source'!U220&gt;=2,"C",IF('Data Source'!U220&gt;=1,"D","F")))))),"")</f>
        <v/>
      </c>
      <c r="D220" s="3">
        <f>IF(AND('Data Source'!B220&lt;&gt;"",'Data Source'!S220="A+"),IF('Data Source'!V220&gt;=5,"A+",IF('Data Source'!V220&gt;=4,"A",IF('Data Source'!V220&gt;=3.5,"A-",IF('Data Source'!V220&gt;=3,"B",IF('Data Source'!V220&gt;=2,"C",IF('Data Source'!V220&gt;=1,"D","F")))))),"")</f>
        <v/>
      </c>
      <c r="E220" s="3">
        <f>IF(AND('Data Source'!B220&lt;&gt;"",'Data Source'!S220="A+"),IF('Data Source'!W220&gt;=5,"A+",IF('Data Source'!W220&gt;=4,"A",IF('Data Source'!W220&gt;=3.5,"A-",IF('Data Source'!W220&gt;=3,"B",IF('Data Source'!W220&gt;=2,"C",IF('Data Source'!W220&gt;=1,"D","F")))))),"")</f>
        <v/>
      </c>
      <c r="F220" s="3">
        <f>IF(AND('Data Source'!B220&lt;&gt;"",'Data Source'!S220="A+"),IF('Data Source'!X220&gt;=5,"A+",IF('Data Source'!X220&gt;=4,"A",IF('Data Source'!X220&gt;=3.5,"A-",IF('Data Source'!X220&gt;=3,"B",IF('Data Source'!X220&gt;=2,"C",IF('Data Source'!X220&gt;=1,"D","F")))))),"")</f>
        <v/>
      </c>
      <c r="G220" s="3">
        <f>IF(AND('Data Source'!B220&lt;&gt;"",'Data Source'!S220="A+"),IF('Data Source'!Y220&gt;=5,"A+",IF('Data Source'!Y220&gt;=4,"A",IF('Data Source'!Y220&gt;=3.5,"A-",IF('Data Source'!Y220&gt;=3,"B",IF('Data Source'!Y220&gt;=2,"C",IF('Data Source'!Y220&gt;=1,"D","F")))))),"")</f>
        <v/>
      </c>
      <c r="H220" s="3">
        <f>IF(AND('Data Source'!B220&lt;&gt;"",'Data Source'!S220="A+"),IF('Data Source'!Z220&gt;=5,"A+",IF('Data Source'!Z220&gt;=4,"A",IF('Data Source'!Z220&gt;=3.5,"A-",IF('Data Source'!Z220&gt;=3,"B",IF('Data Source'!Z220&gt;=2,"C",IF('Data Source'!Z220&gt;=1,"D","F")))))),"")</f>
        <v/>
      </c>
      <c r="I220" s="3">
        <f>IF(AND('Data Source'!B220&lt;&gt;"",'Data Source'!S220="A+"),IF('Data Source'!AA220&gt;=5,"A+",IF('Data Source'!AA220&gt;=4,"A",IF('Data Source'!AA220&gt;=3.5,"A-",IF('Data Source'!AA220&gt;=3,"B",IF('Data Source'!AA220&gt;=2,"C",IF('Data Source'!AA220&gt;=1,"D","F")))))),"")</f>
        <v/>
      </c>
      <c r="J220" s="3">
        <f>IF(AND('Data Source'!B220&lt;&gt;"",'Data Source'!S220="A+"),IF('Data Source'!AB220&gt;=5,"A+",IF('Data Source'!AB220&gt;=4,"A",IF('Data Source'!AB220&gt;=3.5,"A-",IF('Data Source'!AB220&gt;=3,"B",IF('Data Source'!AB220&gt;=2,"C",IF('Data Source'!AB220&gt;=1,"D","F")))))),"")</f>
        <v/>
      </c>
      <c r="K220" s="3">
        <f>IF(AND('Data Source'!B220&lt;&gt;"",'Data Source'!S220="A+"),IF('Data Source'!AC220&gt;=5,"A+",IF('Data Source'!AC220&gt;=4,"A",IF('Data Source'!AC220&gt;=3.5,"A-",IF('Data Source'!AC220&gt;=3,"B",IF('Data Source'!AC220&gt;=2,"C",IF('Data Source'!AC220&gt;=1,"D","F")))))),"")</f>
        <v/>
      </c>
      <c r="L220" s="3">
        <f>IF(AND('Data Source'!B220&lt;&gt;"",'Data Source'!S220="A+"),IF('Data Source'!AD220&gt;=5,"A+",IF('Data Source'!AD220&gt;=4,"A",IF('Data Source'!AD220&gt;=3.5,"A-",IF('Data Source'!AD220&gt;=3,"B",IF('Data Source'!AD220&gt;=2,"C",IF('Data Source'!AD220&gt;=1,"D","F")))))),"")</f>
        <v/>
      </c>
      <c r="M220" s="3">
        <f>IF(AND('Data Source'!B220&lt;&gt;"",'Data Source'!S220="A+"),IF('Data Source'!AE220&gt;=5,"A+",IF('Data Source'!AE220&gt;=4,"A",IF('Data Source'!AE220&gt;=3.5,"A-",IF('Data Source'!AE220&gt;=3,"B",IF('Data Source'!AE220&gt;=2,"C",IF('Data Source'!AE220&gt;=1,"D","F")))))),"")</f>
        <v/>
      </c>
      <c r="N220" s="3">
        <f>IF(AND('Data Source'!B220&lt;&gt;"",'Data Source'!S220="A+"),IF('Data Source'!AF220&gt;=5,"A+",IF('Data Source'!AF220&gt;=4,"A",IF('Data Source'!AF220&gt;=3.5,"A-",IF('Data Source'!AF220&gt;=3,"B",IF('Data Source'!AF220&gt;=2,"C",IF('Data Source'!AF220&gt;=1,"D","F")))))),"")</f>
        <v/>
      </c>
      <c r="O220" s="3">
        <f>IF(AND('Data Source'!B220&lt;&gt;"",'Data Source'!S220="A+"),IF('Data Source'!AG220&gt;=5,"A+",IF('Data Source'!AG220&gt;=4,"A",IF('Data Source'!AG220&gt;=3.5,"A-",IF('Data Source'!AG220&gt;=3,"B",IF('Data Source'!AG220&gt;=2,"C",IF('Data Source'!AG220&gt;=1,"D","F")))))),"")</f>
        <v/>
      </c>
      <c r="P220" s="5">
        <f>IF(AND('Data Source'!B220&lt;&gt;"",'Data Source'!S220="A+"),'Data Source'!R220,"")</f>
        <v/>
      </c>
      <c r="Q220" s="3">
        <f>IF(AND('Data Source'!B220&lt;&gt;"",'Data Source'!S220="A+"),'Data Source'!S220,"")</f>
        <v/>
      </c>
    </row>
    <row r="221">
      <c r="A221" s="3">
        <f>IF(AND('Data Source'!B221&lt;&gt;"",'Data Source'!S221="A+"),COUNTIF('Data Source'!$S$3:S221,"A+"),"")</f>
        <v/>
      </c>
      <c r="B221">
        <f>IF(AND('Data Source'!B221&lt;&gt;"",'Data Source'!S221="A+"),'Data Source'!B221,"")</f>
        <v/>
      </c>
      <c r="C221" s="3">
        <f>IF(AND('Data Source'!B221&lt;&gt;"",'Data Source'!S221="A+"),IF('Data Source'!U221&gt;=5,"A+",IF('Data Source'!U221&gt;=4,"A",IF('Data Source'!U221&gt;=3.5,"A-",IF('Data Source'!U221&gt;=3,"B",IF('Data Source'!U221&gt;=2,"C",IF('Data Source'!U221&gt;=1,"D","F")))))),"")</f>
        <v/>
      </c>
      <c r="D221" s="3">
        <f>IF(AND('Data Source'!B221&lt;&gt;"",'Data Source'!S221="A+"),IF('Data Source'!V221&gt;=5,"A+",IF('Data Source'!V221&gt;=4,"A",IF('Data Source'!V221&gt;=3.5,"A-",IF('Data Source'!V221&gt;=3,"B",IF('Data Source'!V221&gt;=2,"C",IF('Data Source'!V221&gt;=1,"D","F")))))),"")</f>
        <v/>
      </c>
      <c r="E221" s="3">
        <f>IF(AND('Data Source'!B221&lt;&gt;"",'Data Source'!S221="A+"),IF('Data Source'!W221&gt;=5,"A+",IF('Data Source'!W221&gt;=4,"A",IF('Data Source'!W221&gt;=3.5,"A-",IF('Data Source'!W221&gt;=3,"B",IF('Data Source'!W221&gt;=2,"C",IF('Data Source'!W221&gt;=1,"D","F")))))),"")</f>
        <v/>
      </c>
      <c r="F221" s="3">
        <f>IF(AND('Data Source'!B221&lt;&gt;"",'Data Source'!S221="A+"),IF('Data Source'!X221&gt;=5,"A+",IF('Data Source'!X221&gt;=4,"A",IF('Data Source'!X221&gt;=3.5,"A-",IF('Data Source'!X221&gt;=3,"B",IF('Data Source'!X221&gt;=2,"C",IF('Data Source'!X221&gt;=1,"D","F")))))),"")</f>
        <v/>
      </c>
      <c r="G221" s="3">
        <f>IF(AND('Data Source'!B221&lt;&gt;"",'Data Source'!S221="A+"),IF('Data Source'!Y221&gt;=5,"A+",IF('Data Source'!Y221&gt;=4,"A",IF('Data Source'!Y221&gt;=3.5,"A-",IF('Data Source'!Y221&gt;=3,"B",IF('Data Source'!Y221&gt;=2,"C",IF('Data Source'!Y221&gt;=1,"D","F")))))),"")</f>
        <v/>
      </c>
      <c r="H221" s="3">
        <f>IF(AND('Data Source'!B221&lt;&gt;"",'Data Source'!S221="A+"),IF('Data Source'!Z221&gt;=5,"A+",IF('Data Source'!Z221&gt;=4,"A",IF('Data Source'!Z221&gt;=3.5,"A-",IF('Data Source'!Z221&gt;=3,"B",IF('Data Source'!Z221&gt;=2,"C",IF('Data Source'!Z221&gt;=1,"D","F")))))),"")</f>
        <v/>
      </c>
      <c r="I221" s="3">
        <f>IF(AND('Data Source'!B221&lt;&gt;"",'Data Source'!S221="A+"),IF('Data Source'!AA221&gt;=5,"A+",IF('Data Source'!AA221&gt;=4,"A",IF('Data Source'!AA221&gt;=3.5,"A-",IF('Data Source'!AA221&gt;=3,"B",IF('Data Source'!AA221&gt;=2,"C",IF('Data Source'!AA221&gt;=1,"D","F")))))),"")</f>
        <v/>
      </c>
      <c r="J221" s="3">
        <f>IF(AND('Data Source'!B221&lt;&gt;"",'Data Source'!S221="A+"),IF('Data Source'!AB221&gt;=5,"A+",IF('Data Source'!AB221&gt;=4,"A",IF('Data Source'!AB221&gt;=3.5,"A-",IF('Data Source'!AB221&gt;=3,"B",IF('Data Source'!AB221&gt;=2,"C",IF('Data Source'!AB221&gt;=1,"D","F")))))),"")</f>
        <v/>
      </c>
      <c r="K221" s="3">
        <f>IF(AND('Data Source'!B221&lt;&gt;"",'Data Source'!S221="A+"),IF('Data Source'!AC221&gt;=5,"A+",IF('Data Source'!AC221&gt;=4,"A",IF('Data Source'!AC221&gt;=3.5,"A-",IF('Data Source'!AC221&gt;=3,"B",IF('Data Source'!AC221&gt;=2,"C",IF('Data Source'!AC221&gt;=1,"D","F")))))),"")</f>
        <v/>
      </c>
      <c r="L221" s="3">
        <f>IF(AND('Data Source'!B221&lt;&gt;"",'Data Source'!S221="A+"),IF('Data Source'!AD221&gt;=5,"A+",IF('Data Source'!AD221&gt;=4,"A",IF('Data Source'!AD221&gt;=3.5,"A-",IF('Data Source'!AD221&gt;=3,"B",IF('Data Source'!AD221&gt;=2,"C",IF('Data Source'!AD221&gt;=1,"D","F")))))),"")</f>
        <v/>
      </c>
      <c r="M221" s="3">
        <f>IF(AND('Data Source'!B221&lt;&gt;"",'Data Source'!S221="A+"),IF('Data Source'!AE221&gt;=5,"A+",IF('Data Source'!AE221&gt;=4,"A",IF('Data Source'!AE221&gt;=3.5,"A-",IF('Data Source'!AE221&gt;=3,"B",IF('Data Source'!AE221&gt;=2,"C",IF('Data Source'!AE221&gt;=1,"D","F")))))),"")</f>
        <v/>
      </c>
      <c r="N221" s="3">
        <f>IF(AND('Data Source'!B221&lt;&gt;"",'Data Source'!S221="A+"),IF('Data Source'!AF221&gt;=5,"A+",IF('Data Source'!AF221&gt;=4,"A",IF('Data Source'!AF221&gt;=3.5,"A-",IF('Data Source'!AF221&gt;=3,"B",IF('Data Source'!AF221&gt;=2,"C",IF('Data Source'!AF221&gt;=1,"D","F")))))),"")</f>
        <v/>
      </c>
      <c r="O221" s="3">
        <f>IF(AND('Data Source'!B221&lt;&gt;"",'Data Source'!S221="A+"),IF('Data Source'!AG221&gt;=5,"A+",IF('Data Source'!AG221&gt;=4,"A",IF('Data Source'!AG221&gt;=3.5,"A-",IF('Data Source'!AG221&gt;=3,"B",IF('Data Source'!AG221&gt;=2,"C",IF('Data Source'!AG221&gt;=1,"D","F")))))),"")</f>
        <v/>
      </c>
      <c r="P221" s="5">
        <f>IF(AND('Data Source'!B221&lt;&gt;"",'Data Source'!S221="A+"),'Data Source'!R221,"")</f>
        <v/>
      </c>
      <c r="Q221" s="3">
        <f>IF(AND('Data Source'!B221&lt;&gt;"",'Data Source'!S221="A+"),'Data Source'!S221,"")</f>
        <v/>
      </c>
    </row>
    <row r="222">
      <c r="A222" s="3">
        <f>IF(AND('Data Source'!B222&lt;&gt;"",'Data Source'!S222="A+"),COUNTIF('Data Source'!$S$3:S222,"A+"),"")</f>
        <v/>
      </c>
      <c r="B222">
        <f>IF(AND('Data Source'!B222&lt;&gt;"",'Data Source'!S222="A+"),'Data Source'!B222,"")</f>
        <v/>
      </c>
      <c r="C222" s="3">
        <f>IF(AND('Data Source'!B222&lt;&gt;"",'Data Source'!S222="A+"),IF('Data Source'!U222&gt;=5,"A+",IF('Data Source'!U222&gt;=4,"A",IF('Data Source'!U222&gt;=3.5,"A-",IF('Data Source'!U222&gt;=3,"B",IF('Data Source'!U222&gt;=2,"C",IF('Data Source'!U222&gt;=1,"D","F")))))),"")</f>
        <v/>
      </c>
      <c r="D222" s="3">
        <f>IF(AND('Data Source'!B222&lt;&gt;"",'Data Source'!S222="A+"),IF('Data Source'!V222&gt;=5,"A+",IF('Data Source'!V222&gt;=4,"A",IF('Data Source'!V222&gt;=3.5,"A-",IF('Data Source'!V222&gt;=3,"B",IF('Data Source'!V222&gt;=2,"C",IF('Data Source'!V222&gt;=1,"D","F")))))),"")</f>
        <v/>
      </c>
      <c r="E222" s="3">
        <f>IF(AND('Data Source'!B222&lt;&gt;"",'Data Source'!S222="A+"),IF('Data Source'!W222&gt;=5,"A+",IF('Data Source'!W222&gt;=4,"A",IF('Data Source'!W222&gt;=3.5,"A-",IF('Data Source'!W222&gt;=3,"B",IF('Data Source'!W222&gt;=2,"C",IF('Data Source'!W222&gt;=1,"D","F")))))),"")</f>
        <v/>
      </c>
      <c r="F222" s="3">
        <f>IF(AND('Data Source'!B222&lt;&gt;"",'Data Source'!S222="A+"),IF('Data Source'!X222&gt;=5,"A+",IF('Data Source'!X222&gt;=4,"A",IF('Data Source'!X222&gt;=3.5,"A-",IF('Data Source'!X222&gt;=3,"B",IF('Data Source'!X222&gt;=2,"C",IF('Data Source'!X222&gt;=1,"D","F")))))),"")</f>
        <v/>
      </c>
      <c r="G222" s="3">
        <f>IF(AND('Data Source'!B222&lt;&gt;"",'Data Source'!S222="A+"),IF('Data Source'!Y222&gt;=5,"A+",IF('Data Source'!Y222&gt;=4,"A",IF('Data Source'!Y222&gt;=3.5,"A-",IF('Data Source'!Y222&gt;=3,"B",IF('Data Source'!Y222&gt;=2,"C",IF('Data Source'!Y222&gt;=1,"D","F")))))),"")</f>
        <v/>
      </c>
      <c r="H222" s="3">
        <f>IF(AND('Data Source'!B222&lt;&gt;"",'Data Source'!S222="A+"),IF('Data Source'!Z222&gt;=5,"A+",IF('Data Source'!Z222&gt;=4,"A",IF('Data Source'!Z222&gt;=3.5,"A-",IF('Data Source'!Z222&gt;=3,"B",IF('Data Source'!Z222&gt;=2,"C",IF('Data Source'!Z222&gt;=1,"D","F")))))),"")</f>
        <v/>
      </c>
      <c r="I222" s="3">
        <f>IF(AND('Data Source'!B222&lt;&gt;"",'Data Source'!S222="A+"),IF('Data Source'!AA222&gt;=5,"A+",IF('Data Source'!AA222&gt;=4,"A",IF('Data Source'!AA222&gt;=3.5,"A-",IF('Data Source'!AA222&gt;=3,"B",IF('Data Source'!AA222&gt;=2,"C",IF('Data Source'!AA222&gt;=1,"D","F")))))),"")</f>
        <v/>
      </c>
      <c r="J222" s="3">
        <f>IF(AND('Data Source'!B222&lt;&gt;"",'Data Source'!S222="A+"),IF('Data Source'!AB222&gt;=5,"A+",IF('Data Source'!AB222&gt;=4,"A",IF('Data Source'!AB222&gt;=3.5,"A-",IF('Data Source'!AB222&gt;=3,"B",IF('Data Source'!AB222&gt;=2,"C",IF('Data Source'!AB222&gt;=1,"D","F")))))),"")</f>
        <v/>
      </c>
      <c r="K222" s="3">
        <f>IF(AND('Data Source'!B222&lt;&gt;"",'Data Source'!S222="A+"),IF('Data Source'!AC222&gt;=5,"A+",IF('Data Source'!AC222&gt;=4,"A",IF('Data Source'!AC222&gt;=3.5,"A-",IF('Data Source'!AC222&gt;=3,"B",IF('Data Source'!AC222&gt;=2,"C",IF('Data Source'!AC222&gt;=1,"D","F")))))),"")</f>
        <v/>
      </c>
      <c r="L222" s="3">
        <f>IF(AND('Data Source'!B222&lt;&gt;"",'Data Source'!S222="A+"),IF('Data Source'!AD222&gt;=5,"A+",IF('Data Source'!AD222&gt;=4,"A",IF('Data Source'!AD222&gt;=3.5,"A-",IF('Data Source'!AD222&gt;=3,"B",IF('Data Source'!AD222&gt;=2,"C",IF('Data Source'!AD222&gt;=1,"D","F")))))),"")</f>
        <v/>
      </c>
      <c r="M222" s="3">
        <f>IF(AND('Data Source'!B222&lt;&gt;"",'Data Source'!S222="A+"),IF('Data Source'!AE222&gt;=5,"A+",IF('Data Source'!AE222&gt;=4,"A",IF('Data Source'!AE222&gt;=3.5,"A-",IF('Data Source'!AE222&gt;=3,"B",IF('Data Source'!AE222&gt;=2,"C",IF('Data Source'!AE222&gt;=1,"D","F")))))),"")</f>
        <v/>
      </c>
      <c r="N222" s="3">
        <f>IF(AND('Data Source'!B222&lt;&gt;"",'Data Source'!S222="A+"),IF('Data Source'!AF222&gt;=5,"A+",IF('Data Source'!AF222&gt;=4,"A",IF('Data Source'!AF222&gt;=3.5,"A-",IF('Data Source'!AF222&gt;=3,"B",IF('Data Source'!AF222&gt;=2,"C",IF('Data Source'!AF222&gt;=1,"D","F")))))),"")</f>
        <v/>
      </c>
      <c r="O222" s="3">
        <f>IF(AND('Data Source'!B222&lt;&gt;"",'Data Source'!S222="A+"),IF('Data Source'!AG222&gt;=5,"A+",IF('Data Source'!AG222&gt;=4,"A",IF('Data Source'!AG222&gt;=3.5,"A-",IF('Data Source'!AG222&gt;=3,"B",IF('Data Source'!AG222&gt;=2,"C",IF('Data Source'!AG222&gt;=1,"D","F")))))),"")</f>
        <v/>
      </c>
      <c r="P222" s="5">
        <f>IF(AND('Data Source'!B222&lt;&gt;"",'Data Source'!S222="A+"),'Data Source'!R222,"")</f>
        <v/>
      </c>
      <c r="Q222" s="3">
        <f>IF(AND('Data Source'!B222&lt;&gt;"",'Data Source'!S222="A+"),'Data Source'!S222,"")</f>
        <v/>
      </c>
    </row>
    <row r="223">
      <c r="A223" s="3">
        <f>IF(AND('Data Source'!B223&lt;&gt;"",'Data Source'!S223="A+"),COUNTIF('Data Source'!$S$3:S223,"A+"),"")</f>
        <v/>
      </c>
      <c r="B223">
        <f>IF(AND('Data Source'!B223&lt;&gt;"",'Data Source'!S223="A+"),'Data Source'!B223,"")</f>
        <v/>
      </c>
      <c r="C223" s="3">
        <f>IF(AND('Data Source'!B223&lt;&gt;"",'Data Source'!S223="A+"),IF('Data Source'!U223&gt;=5,"A+",IF('Data Source'!U223&gt;=4,"A",IF('Data Source'!U223&gt;=3.5,"A-",IF('Data Source'!U223&gt;=3,"B",IF('Data Source'!U223&gt;=2,"C",IF('Data Source'!U223&gt;=1,"D","F")))))),"")</f>
        <v/>
      </c>
      <c r="D223" s="3">
        <f>IF(AND('Data Source'!B223&lt;&gt;"",'Data Source'!S223="A+"),IF('Data Source'!V223&gt;=5,"A+",IF('Data Source'!V223&gt;=4,"A",IF('Data Source'!V223&gt;=3.5,"A-",IF('Data Source'!V223&gt;=3,"B",IF('Data Source'!V223&gt;=2,"C",IF('Data Source'!V223&gt;=1,"D","F")))))),"")</f>
        <v/>
      </c>
      <c r="E223" s="3">
        <f>IF(AND('Data Source'!B223&lt;&gt;"",'Data Source'!S223="A+"),IF('Data Source'!W223&gt;=5,"A+",IF('Data Source'!W223&gt;=4,"A",IF('Data Source'!W223&gt;=3.5,"A-",IF('Data Source'!W223&gt;=3,"B",IF('Data Source'!W223&gt;=2,"C",IF('Data Source'!W223&gt;=1,"D","F")))))),"")</f>
        <v/>
      </c>
      <c r="F223" s="3">
        <f>IF(AND('Data Source'!B223&lt;&gt;"",'Data Source'!S223="A+"),IF('Data Source'!X223&gt;=5,"A+",IF('Data Source'!X223&gt;=4,"A",IF('Data Source'!X223&gt;=3.5,"A-",IF('Data Source'!X223&gt;=3,"B",IF('Data Source'!X223&gt;=2,"C",IF('Data Source'!X223&gt;=1,"D","F")))))),"")</f>
        <v/>
      </c>
      <c r="G223" s="3">
        <f>IF(AND('Data Source'!B223&lt;&gt;"",'Data Source'!S223="A+"),IF('Data Source'!Y223&gt;=5,"A+",IF('Data Source'!Y223&gt;=4,"A",IF('Data Source'!Y223&gt;=3.5,"A-",IF('Data Source'!Y223&gt;=3,"B",IF('Data Source'!Y223&gt;=2,"C",IF('Data Source'!Y223&gt;=1,"D","F")))))),"")</f>
        <v/>
      </c>
      <c r="H223" s="3">
        <f>IF(AND('Data Source'!B223&lt;&gt;"",'Data Source'!S223="A+"),IF('Data Source'!Z223&gt;=5,"A+",IF('Data Source'!Z223&gt;=4,"A",IF('Data Source'!Z223&gt;=3.5,"A-",IF('Data Source'!Z223&gt;=3,"B",IF('Data Source'!Z223&gt;=2,"C",IF('Data Source'!Z223&gt;=1,"D","F")))))),"")</f>
        <v/>
      </c>
      <c r="I223" s="3">
        <f>IF(AND('Data Source'!B223&lt;&gt;"",'Data Source'!S223="A+"),IF('Data Source'!AA223&gt;=5,"A+",IF('Data Source'!AA223&gt;=4,"A",IF('Data Source'!AA223&gt;=3.5,"A-",IF('Data Source'!AA223&gt;=3,"B",IF('Data Source'!AA223&gt;=2,"C",IF('Data Source'!AA223&gt;=1,"D","F")))))),"")</f>
        <v/>
      </c>
      <c r="J223" s="3">
        <f>IF(AND('Data Source'!B223&lt;&gt;"",'Data Source'!S223="A+"),IF('Data Source'!AB223&gt;=5,"A+",IF('Data Source'!AB223&gt;=4,"A",IF('Data Source'!AB223&gt;=3.5,"A-",IF('Data Source'!AB223&gt;=3,"B",IF('Data Source'!AB223&gt;=2,"C",IF('Data Source'!AB223&gt;=1,"D","F")))))),"")</f>
        <v/>
      </c>
      <c r="K223" s="3">
        <f>IF(AND('Data Source'!B223&lt;&gt;"",'Data Source'!S223="A+"),IF('Data Source'!AC223&gt;=5,"A+",IF('Data Source'!AC223&gt;=4,"A",IF('Data Source'!AC223&gt;=3.5,"A-",IF('Data Source'!AC223&gt;=3,"B",IF('Data Source'!AC223&gt;=2,"C",IF('Data Source'!AC223&gt;=1,"D","F")))))),"")</f>
        <v/>
      </c>
      <c r="L223" s="3">
        <f>IF(AND('Data Source'!B223&lt;&gt;"",'Data Source'!S223="A+"),IF('Data Source'!AD223&gt;=5,"A+",IF('Data Source'!AD223&gt;=4,"A",IF('Data Source'!AD223&gt;=3.5,"A-",IF('Data Source'!AD223&gt;=3,"B",IF('Data Source'!AD223&gt;=2,"C",IF('Data Source'!AD223&gt;=1,"D","F")))))),"")</f>
        <v/>
      </c>
      <c r="M223" s="3">
        <f>IF(AND('Data Source'!B223&lt;&gt;"",'Data Source'!S223="A+"),IF('Data Source'!AE223&gt;=5,"A+",IF('Data Source'!AE223&gt;=4,"A",IF('Data Source'!AE223&gt;=3.5,"A-",IF('Data Source'!AE223&gt;=3,"B",IF('Data Source'!AE223&gt;=2,"C",IF('Data Source'!AE223&gt;=1,"D","F")))))),"")</f>
        <v/>
      </c>
      <c r="N223" s="3">
        <f>IF(AND('Data Source'!B223&lt;&gt;"",'Data Source'!S223="A+"),IF('Data Source'!AF223&gt;=5,"A+",IF('Data Source'!AF223&gt;=4,"A",IF('Data Source'!AF223&gt;=3.5,"A-",IF('Data Source'!AF223&gt;=3,"B",IF('Data Source'!AF223&gt;=2,"C",IF('Data Source'!AF223&gt;=1,"D","F")))))),"")</f>
        <v/>
      </c>
      <c r="O223" s="3">
        <f>IF(AND('Data Source'!B223&lt;&gt;"",'Data Source'!S223="A+"),IF('Data Source'!AG223&gt;=5,"A+",IF('Data Source'!AG223&gt;=4,"A",IF('Data Source'!AG223&gt;=3.5,"A-",IF('Data Source'!AG223&gt;=3,"B",IF('Data Source'!AG223&gt;=2,"C",IF('Data Source'!AG223&gt;=1,"D","F")))))),"")</f>
        <v/>
      </c>
      <c r="P223" s="5">
        <f>IF(AND('Data Source'!B223&lt;&gt;"",'Data Source'!S223="A+"),'Data Source'!R223,"")</f>
        <v/>
      </c>
      <c r="Q223" s="3">
        <f>IF(AND('Data Source'!B223&lt;&gt;"",'Data Source'!S223="A+"),'Data Source'!S223,"")</f>
        <v/>
      </c>
    </row>
    <row r="224">
      <c r="A224" s="3">
        <f>IF(AND('Data Source'!B224&lt;&gt;"",'Data Source'!S224="A+"),COUNTIF('Data Source'!$S$3:S224,"A+"),"")</f>
        <v/>
      </c>
      <c r="B224">
        <f>IF(AND('Data Source'!B224&lt;&gt;"",'Data Source'!S224="A+"),'Data Source'!B224,"")</f>
        <v/>
      </c>
      <c r="C224" s="3">
        <f>IF(AND('Data Source'!B224&lt;&gt;"",'Data Source'!S224="A+"),IF('Data Source'!U224&gt;=5,"A+",IF('Data Source'!U224&gt;=4,"A",IF('Data Source'!U224&gt;=3.5,"A-",IF('Data Source'!U224&gt;=3,"B",IF('Data Source'!U224&gt;=2,"C",IF('Data Source'!U224&gt;=1,"D","F")))))),"")</f>
        <v/>
      </c>
      <c r="D224" s="3">
        <f>IF(AND('Data Source'!B224&lt;&gt;"",'Data Source'!S224="A+"),IF('Data Source'!V224&gt;=5,"A+",IF('Data Source'!V224&gt;=4,"A",IF('Data Source'!V224&gt;=3.5,"A-",IF('Data Source'!V224&gt;=3,"B",IF('Data Source'!V224&gt;=2,"C",IF('Data Source'!V224&gt;=1,"D","F")))))),"")</f>
        <v/>
      </c>
      <c r="E224" s="3">
        <f>IF(AND('Data Source'!B224&lt;&gt;"",'Data Source'!S224="A+"),IF('Data Source'!W224&gt;=5,"A+",IF('Data Source'!W224&gt;=4,"A",IF('Data Source'!W224&gt;=3.5,"A-",IF('Data Source'!W224&gt;=3,"B",IF('Data Source'!W224&gt;=2,"C",IF('Data Source'!W224&gt;=1,"D","F")))))),"")</f>
        <v/>
      </c>
      <c r="F224" s="3">
        <f>IF(AND('Data Source'!B224&lt;&gt;"",'Data Source'!S224="A+"),IF('Data Source'!X224&gt;=5,"A+",IF('Data Source'!X224&gt;=4,"A",IF('Data Source'!X224&gt;=3.5,"A-",IF('Data Source'!X224&gt;=3,"B",IF('Data Source'!X224&gt;=2,"C",IF('Data Source'!X224&gt;=1,"D","F")))))),"")</f>
        <v/>
      </c>
      <c r="G224" s="3">
        <f>IF(AND('Data Source'!B224&lt;&gt;"",'Data Source'!S224="A+"),IF('Data Source'!Y224&gt;=5,"A+",IF('Data Source'!Y224&gt;=4,"A",IF('Data Source'!Y224&gt;=3.5,"A-",IF('Data Source'!Y224&gt;=3,"B",IF('Data Source'!Y224&gt;=2,"C",IF('Data Source'!Y224&gt;=1,"D","F")))))),"")</f>
        <v/>
      </c>
      <c r="H224" s="3">
        <f>IF(AND('Data Source'!B224&lt;&gt;"",'Data Source'!S224="A+"),IF('Data Source'!Z224&gt;=5,"A+",IF('Data Source'!Z224&gt;=4,"A",IF('Data Source'!Z224&gt;=3.5,"A-",IF('Data Source'!Z224&gt;=3,"B",IF('Data Source'!Z224&gt;=2,"C",IF('Data Source'!Z224&gt;=1,"D","F")))))),"")</f>
        <v/>
      </c>
      <c r="I224" s="3">
        <f>IF(AND('Data Source'!B224&lt;&gt;"",'Data Source'!S224="A+"),IF('Data Source'!AA224&gt;=5,"A+",IF('Data Source'!AA224&gt;=4,"A",IF('Data Source'!AA224&gt;=3.5,"A-",IF('Data Source'!AA224&gt;=3,"B",IF('Data Source'!AA224&gt;=2,"C",IF('Data Source'!AA224&gt;=1,"D","F")))))),"")</f>
        <v/>
      </c>
      <c r="J224" s="3">
        <f>IF(AND('Data Source'!B224&lt;&gt;"",'Data Source'!S224="A+"),IF('Data Source'!AB224&gt;=5,"A+",IF('Data Source'!AB224&gt;=4,"A",IF('Data Source'!AB224&gt;=3.5,"A-",IF('Data Source'!AB224&gt;=3,"B",IF('Data Source'!AB224&gt;=2,"C",IF('Data Source'!AB224&gt;=1,"D","F")))))),"")</f>
        <v/>
      </c>
      <c r="K224" s="3">
        <f>IF(AND('Data Source'!B224&lt;&gt;"",'Data Source'!S224="A+"),IF('Data Source'!AC224&gt;=5,"A+",IF('Data Source'!AC224&gt;=4,"A",IF('Data Source'!AC224&gt;=3.5,"A-",IF('Data Source'!AC224&gt;=3,"B",IF('Data Source'!AC224&gt;=2,"C",IF('Data Source'!AC224&gt;=1,"D","F")))))),"")</f>
        <v/>
      </c>
      <c r="L224" s="3">
        <f>IF(AND('Data Source'!B224&lt;&gt;"",'Data Source'!S224="A+"),IF('Data Source'!AD224&gt;=5,"A+",IF('Data Source'!AD224&gt;=4,"A",IF('Data Source'!AD224&gt;=3.5,"A-",IF('Data Source'!AD224&gt;=3,"B",IF('Data Source'!AD224&gt;=2,"C",IF('Data Source'!AD224&gt;=1,"D","F")))))),"")</f>
        <v/>
      </c>
      <c r="M224" s="3">
        <f>IF(AND('Data Source'!B224&lt;&gt;"",'Data Source'!S224="A+"),IF('Data Source'!AE224&gt;=5,"A+",IF('Data Source'!AE224&gt;=4,"A",IF('Data Source'!AE224&gt;=3.5,"A-",IF('Data Source'!AE224&gt;=3,"B",IF('Data Source'!AE224&gt;=2,"C",IF('Data Source'!AE224&gt;=1,"D","F")))))),"")</f>
        <v/>
      </c>
      <c r="N224" s="3">
        <f>IF(AND('Data Source'!B224&lt;&gt;"",'Data Source'!S224="A+"),IF('Data Source'!AF224&gt;=5,"A+",IF('Data Source'!AF224&gt;=4,"A",IF('Data Source'!AF224&gt;=3.5,"A-",IF('Data Source'!AF224&gt;=3,"B",IF('Data Source'!AF224&gt;=2,"C",IF('Data Source'!AF224&gt;=1,"D","F")))))),"")</f>
        <v/>
      </c>
      <c r="O224" s="3">
        <f>IF(AND('Data Source'!B224&lt;&gt;"",'Data Source'!S224="A+"),IF('Data Source'!AG224&gt;=5,"A+",IF('Data Source'!AG224&gt;=4,"A",IF('Data Source'!AG224&gt;=3.5,"A-",IF('Data Source'!AG224&gt;=3,"B",IF('Data Source'!AG224&gt;=2,"C",IF('Data Source'!AG224&gt;=1,"D","F")))))),"")</f>
        <v/>
      </c>
      <c r="P224" s="5">
        <f>IF(AND('Data Source'!B224&lt;&gt;"",'Data Source'!S224="A+"),'Data Source'!R224,"")</f>
        <v/>
      </c>
      <c r="Q224" s="3">
        <f>IF(AND('Data Source'!B224&lt;&gt;"",'Data Source'!S224="A+"),'Data Source'!S224,"")</f>
        <v/>
      </c>
    </row>
    <row r="225">
      <c r="A225" s="3">
        <f>IF(AND('Data Source'!B225&lt;&gt;"",'Data Source'!S225="A+"),COUNTIF('Data Source'!$S$3:S225,"A+"),"")</f>
        <v/>
      </c>
      <c r="B225">
        <f>IF(AND('Data Source'!B225&lt;&gt;"",'Data Source'!S225="A+"),'Data Source'!B225,"")</f>
        <v/>
      </c>
      <c r="C225" s="3">
        <f>IF(AND('Data Source'!B225&lt;&gt;"",'Data Source'!S225="A+"),IF('Data Source'!U225&gt;=5,"A+",IF('Data Source'!U225&gt;=4,"A",IF('Data Source'!U225&gt;=3.5,"A-",IF('Data Source'!U225&gt;=3,"B",IF('Data Source'!U225&gt;=2,"C",IF('Data Source'!U225&gt;=1,"D","F")))))),"")</f>
        <v/>
      </c>
      <c r="D225" s="3">
        <f>IF(AND('Data Source'!B225&lt;&gt;"",'Data Source'!S225="A+"),IF('Data Source'!V225&gt;=5,"A+",IF('Data Source'!V225&gt;=4,"A",IF('Data Source'!V225&gt;=3.5,"A-",IF('Data Source'!V225&gt;=3,"B",IF('Data Source'!V225&gt;=2,"C",IF('Data Source'!V225&gt;=1,"D","F")))))),"")</f>
        <v/>
      </c>
      <c r="E225" s="3">
        <f>IF(AND('Data Source'!B225&lt;&gt;"",'Data Source'!S225="A+"),IF('Data Source'!W225&gt;=5,"A+",IF('Data Source'!W225&gt;=4,"A",IF('Data Source'!W225&gt;=3.5,"A-",IF('Data Source'!W225&gt;=3,"B",IF('Data Source'!W225&gt;=2,"C",IF('Data Source'!W225&gt;=1,"D","F")))))),"")</f>
        <v/>
      </c>
      <c r="F225" s="3">
        <f>IF(AND('Data Source'!B225&lt;&gt;"",'Data Source'!S225="A+"),IF('Data Source'!X225&gt;=5,"A+",IF('Data Source'!X225&gt;=4,"A",IF('Data Source'!X225&gt;=3.5,"A-",IF('Data Source'!X225&gt;=3,"B",IF('Data Source'!X225&gt;=2,"C",IF('Data Source'!X225&gt;=1,"D","F")))))),"")</f>
        <v/>
      </c>
      <c r="G225" s="3">
        <f>IF(AND('Data Source'!B225&lt;&gt;"",'Data Source'!S225="A+"),IF('Data Source'!Y225&gt;=5,"A+",IF('Data Source'!Y225&gt;=4,"A",IF('Data Source'!Y225&gt;=3.5,"A-",IF('Data Source'!Y225&gt;=3,"B",IF('Data Source'!Y225&gt;=2,"C",IF('Data Source'!Y225&gt;=1,"D","F")))))),"")</f>
        <v/>
      </c>
      <c r="H225" s="3">
        <f>IF(AND('Data Source'!B225&lt;&gt;"",'Data Source'!S225="A+"),IF('Data Source'!Z225&gt;=5,"A+",IF('Data Source'!Z225&gt;=4,"A",IF('Data Source'!Z225&gt;=3.5,"A-",IF('Data Source'!Z225&gt;=3,"B",IF('Data Source'!Z225&gt;=2,"C",IF('Data Source'!Z225&gt;=1,"D","F")))))),"")</f>
        <v/>
      </c>
      <c r="I225" s="3">
        <f>IF(AND('Data Source'!B225&lt;&gt;"",'Data Source'!S225="A+"),IF('Data Source'!AA225&gt;=5,"A+",IF('Data Source'!AA225&gt;=4,"A",IF('Data Source'!AA225&gt;=3.5,"A-",IF('Data Source'!AA225&gt;=3,"B",IF('Data Source'!AA225&gt;=2,"C",IF('Data Source'!AA225&gt;=1,"D","F")))))),"")</f>
        <v/>
      </c>
      <c r="J225" s="3">
        <f>IF(AND('Data Source'!B225&lt;&gt;"",'Data Source'!S225="A+"),IF('Data Source'!AB225&gt;=5,"A+",IF('Data Source'!AB225&gt;=4,"A",IF('Data Source'!AB225&gt;=3.5,"A-",IF('Data Source'!AB225&gt;=3,"B",IF('Data Source'!AB225&gt;=2,"C",IF('Data Source'!AB225&gt;=1,"D","F")))))),"")</f>
        <v/>
      </c>
      <c r="K225" s="3">
        <f>IF(AND('Data Source'!B225&lt;&gt;"",'Data Source'!S225="A+"),IF('Data Source'!AC225&gt;=5,"A+",IF('Data Source'!AC225&gt;=4,"A",IF('Data Source'!AC225&gt;=3.5,"A-",IF('Data Source'!AC225&gt;=3,"B",IF('Data Source'!AC225&gt;=2,"C",IF('Data Source'!AC225&gt;=1,"D","F")))))),"")</f>
        <v/>
      </c>
      <c r="L225" s="3">
        <f>IF(AND('Data Source'!B225&lt;&gt;"",'Data Source'!S225="A+"),IF('Data Source'!AD225&gt;=5,"A+",IF('Data Source'!AD225&gt;=4,"A",IF('Data Source'!AD225&gt;=3.5,"A-",IF('Data Source'!AD225&gt;=3,"B",IF('Data Source'!AD225&gt;=2,"C",IF('Data Source'!AD225&gt;=1,"D","F")))))),"")</f>
        <v/>
      </c>
      <c r="M225" s="3">
        <f>IF(AND('Data Source'!B225&lt;&gt;"",'Data Source'!S225="A+"),IF('Data Source'!AE225&gt;=5,"A+",IF('Data Source'!AE225&gt;=4,"A",IF('Data Source'!AE225&gt;=3.5,"A-",IF('Data Source'!AE225&gt;=3,"B",IF('Data Source'!AE225&gt;=2,"C",IF('Data Source'!AE225&gt;=1,"D","F")))))),"")</f>
        <v/>
      </c>
      <c r="N225" s="3">
        <f>IF(AND('Data Source'!B225&lt;&gt;"",'Data Source'!S225="A+"),IF('Data Source'!AF225&gt;=5,"A+",IF('Data Source'!AF225&gt;=4,"A",IF('Data Source'!AF225&gt;=3.5,"A-",IF('Data Source'!AF225&gt;=3,"B",IF('Data Source'!AF225&gt;=2,"C",IF('Data Source'!AF225&gt;=1,"D","F")))))),"")</f>
        <v/>
      </c>
      <c r="O225" s="3">
        <f>IF(AND('Data Source'!B225&lt;&gt;"",'Data Source'!S225="A+"),IF('Data Source'!AG225&gt;=5,"A+",IF('Data Source'!AG225&gt;=4,"A",IF('Data Source'!AG225&gt;=3.5,"A-",IF('Data Source'!AG225&gt;=3,"B",IF('Data Source'!AG225&gt;=2,"C",IF('Data Source'!AG225&gt;=1,"D","F")))))),"")</f>
        <v/>
      </c>
      <c r="P225" s="5">
        <f>IF(AND('Data Source'!B225&lt;&gt;"",'Data Source'!S225="A+"),'Data Source'!R225,"")</f>
        <v/>
      </c>
      <c r="Q225" s="3">
        <f>IF(AND('Data Source'!B225&lt;&gt;"",'Data Source'!S225="A+"),'Data Source'!S225,"")</f>
        <v/>
      </c>
    </row>
    <row r="226">
      <c r="A226" s="3">
        <f>IF(AND('Data Source'!B226&lt;&gt;"",'Data Source'!S226="A+"),COUNTIF('Data Source'!$S$3:S226,"A+"),"")</f>
        <v/>
      </c>
      <c r="B226">
        <f>IF(AND('Data Source'!B226&lt;&gt;"",'Data Source'!S226="A+"),'Data Source'!B226,"")</f>
        <v/>
      </c>
      <c r="C226" s="3">
        <f>IF(AND('Data Source'!B226&lt;&gt;"",'Data Source'!S226="A+"),IF('Data Source'!U226&gt;=5,"A+",IF('Data Source'!U226&gt;=4,"A",IF('Data Source'!U226&gt;=3.5,"A-",IF('Data Source'!U226&gt;=3,"B",IF('Data Source'!U226&gt;=2,"C",IF('Data Source'!U226&gt;=1,"D","F")))))),"")</f>
        <v/>
      </c>
      <c r="D226" s="3">
        <f>IF(AND('Data Source'!B226&lt;&gt;"",'Data Source'!S226="A+"),IF('Data Source'!V226&gt;=5,"A+",IF('Data Source'!V226&gt;=4,"A",IF('Data Source'!V226&gt;=3.5,"A-",IF('Data Source'!V226&gt;=3,"B",IF('Data Source'!V226&gt;=2,"C",IF('Data Source'!V226&gt;=1,"D","F")))))),"")</f>
        <v/>
      </c>
      <c r="E226" s="3">
        <f>IF(AND('Data Source'!B226&lt;&gt;"",'Data Source'!S226="A+"),IF('Data Source'!W226&gt;=5,"A+",IF('Data Source'!W226&gt;=4,"A",IF('Data Source'!W226&gt;=3.5,"A-",IF('Data Source'!W226&gt;=3,"B",IF('Data Source'!W226&gt;=2,"C",IF('Data Source'!W226&gt;=1,"D","F")))))),"")</f>
        <v/>
      </c>
      <c r="F226" s="3">
        <f>IF(AND('Data Source'!B226&lt;&gt;"",'Data Source'!S226="A+"),IF('Data Source'!X226&gt;=5,"A+",IF('Data Source'!X226&gt;=4,"A",IF('Data Source'!X226&gt;=3.5,"A-",IF('Data Source'!X226&gt;=3,"B",IF('Data Source'!X226&gt;=2,"C",IF('Data Source'!X226&gt;=1,"D","F")))))),"")</f>
        <v/>
      </c>
      <c r="G226" s="3">
        <f>IF(AND('Data Source'!B226&lt;&gt;"",'Data Source'!S226="A+"),IF('Data Source'!Y226&gt;=5,"A+",IF('Data Source'!Y226&gt;=4,"A",IF('Data Source'!Y226&gt;=3.5,"A-",IF('Data Source'!Y226&gt;=3,"B",IF('Data Source'!Y226&gt;=2,"C",IF('Data Source'!Y226&gt;=1,"D","F")))))),"")</f>
        <v/>
      </c>
      <c r="H226" s="3">
        <f>IF(AND('Data Source'!B226&lt;&gt;"",'Data Source'!S226="A+"),IF('Data Source'!Z226&gt;=5,"A+",IF('Data Source'!Z226&gt;=4,"A",IF('Data Source'!Z226&gt;=3.5,"A-",IF('Data Source'!Z226&gt;=3,"B",IF('Data Source'!Z226&gt;=2,"C",IF('Data Source'!Z226&gt;=1,"D","F")))))),"")</f>
        <v/>
      </c>
      <c r="I226" s="3">
        <f>IF(AND('Data Source'!B226&lt;&gt;"",'Data Source'!S226="A+"),IF('Data Source'!AA226&gt;=5,"A+",IF('Data Source'!AA226&gt;=4,"A",IF('Data Source'!AA226&gt;=3.5,"A-",IF('Data Source'!AA226&gt;=3,"B",IF('Data Source'!AA226&gt;=2,"C",IF('Data Source'!AA226&gt;=1,"D","F")))))),"")</f>
        <v/>
      </c>
      <c r="J226" s="3">
        <f>IF(AND('Data Source'!B226&lt;&gt;"",'Data Source'!S226="A+"),IF('Data Source'!AB226&gt;=5,"A+",IF('Data Source'!AB226&gt;=4,"A",IF('Data Source'!AB226&gt;=3.5,"A-",IF('Data Source'!AB226&gt;=3,"B",IF('Data Source'!AB226&gt;=2,"C",IF('Data Source'!AB226&gt;=1,"D","F")))))),"")</f>
        <v/>
      </c>
      <c r="K226" s="3">
        <f>IF(AND('Data Source'!B226&lt;&gt;"",'Data Source'!S226="A+"),IF('Data Source'!AC226&gt;=5,"A+",IF('Data Source'!AC226&gt;=4,"A",IF('Data Source'!AC226&gt;=3.5,"A-",IF('Data Source'!AC226&gt;=3,"B",IF('Data Source'!AC226&gt;=2,"C",IF('Data Source'!AC226&gt;=1,"D","F")))))),"")</f>
        <v/>
      </c>
      <c r="L226" s="3">
        <f>IF(AND('Data Source'!B226&lt;&gt;"",'Data Source'!S226="A+"),IF('Data Source'!AD226&gt;=5,"A+",IF('Data Source'!AD226&gt;=4,"A",IF('Data Source'!AD226&gt;=3.5,"A-",IF('Data Source'!AD226&gt;=3,"B",IF('Data Source'!AD226&gt;=2,"C",IF('Data Source'!AD226&gt;=1,"D","F")))))),"")</f>
        <v/>
      </c>
      <c r="M226" s="3">
        <f>IF(AND('Data Source'!B226&lt;&gt;"",'Data Source'!S226="A+"),IF('Data Source'!AE226&gt;=5,"A+",IF('Data Source'!AE226&gt;=4,"A",IF('Data Source'!AE226&gt;=3.5,"A-",IF('Data Source'!AE226&gt;=3,"B",IF('Data Source'!AE226&gt;=2,"C",IF('Data Source'!AE226&gt;=1,"D","F")))))),"")</f>
        <v/>
      </c>
      <c r="N226" s="3">
        <f>IF(AND('Data Source'!B226&lt;&gt;"",'Data Source'!S226="A+"),IF('Data Source'!AF226&gt;=5,"A+",IF('Data Source'!AF226&gt;=4,"A",IF('Data Source'!AF226&gt;=3.5,"A-",IF('Data Source'!AF226&gt;=3,"B",IF('Data Source'!AF226&gt;=2,"C",IF('Data Source'!AF226&gt;=1,"D","F")))))),"")</f>
        <v/>
      </c>
      <c r="O226" s="3">
        <f>IF(AND('Data Source'!B226&lt;&gt;"",'Data Source'!S226="A+"),IF('Data Source'!AG226&gt;=5,"A+",IF('Data Source'!AG226&gt;=4,"A",IF('Data Source'!AG226&gt;=3.5,"A-",IF('Data Source'!AG226&gt;=3,"B",IF('Data Source'!AG226&gt;=2,"C",IF('Data Source'!AG226&gt;=1,"D","F")))))),"")</f>
        <v/>
      </c>
      <c r="P226" s="5">
        <f>IF(AND('Data Source'!B226&lt;&gt;"",'Data Source'!S226="A+"),'Data Source'!R226,"")</f>
        <v/>
      </c>
      <c r="Q226" s="3">
        <f>IF(AND('Data Source'!B226&lt;&gt;"",'Data Source'!S226="A+"),'Data Source'!S226,"")</f>
        <v/>
      </c>
    </row>
    <row r="227">
      <c r="A227" s="3">
        <f>IF(AND('Data Source'!B227&lt;&gt;"",'Data Source'!S227="A+"),COUNTIF('Data Source'!$S$3:S227,"A+"),"")</f>
        <v/>
      </c>
      <c r="B227">
        <f>IF(AND('Data Source'!B227&lt;&gt;"",'Data Source'!S227="A+"),'Data Source'!B227,"")</f>
        <v/>
      </c>
      <c r="C227" s="3">
        <f>IF(AND('Data Source'!B227&lt;&gt;"",'Data Source'!S227="A+"),IF('Data Source'!U227&gt;=5,"A+",IF('Data Source'!U227&gt;=4,"A",IF('Data Source'!U227&gt;=3.5,"A-",IF('Data Source'!U227&gt;=3,"B",IF('Data Source'!U227&gt;=2,"C",IF('Data Source'!U227&gt;=1,"D","F")))))),"")</f>
        <v/>
      </c>
      <c r="D227" s="3">
        <f>IF(AND('Data Source'!B227&lt;&gt;"",'Data Source'!S227="A+"),IF('Data Source'!V227&gt;=5,"A+",IF('Data Source'!V227&gt;=4,"A",IF('Data Source'!V227&gt;=3.5,"A-",IF('Data Source'!V227&gt;=3,"B",IF('Data Source'!V227&gt;=2,"C",IF('Data Source'!V227&gt;=1,"D","F")))))),"")</f>
        <v/>
      </c>
      <c r="E227" s="3">
        <f>IF(AND('Data Source'!B227&lt;&gt;"",'Data Source'!S227="A+"),IF('Data Source'!W227&gt;=5,"A+",IF('Data Source'!W227&gt;=4,"A",IF('Data Source'!W227&gt;=3.5,"A-",IF('Data Source'!W227&gt;=3,"B",IF('Data Source'!W227&gt;=2,"C",IF('Data Source'!W227&gt;=1,"D","F")))))),"")</f>
        <v/>
      </c>
      <c r="F227" s="3">
        <f>IF(AND('Data Source'!B227&lt;&gt;"",'Data Source'!S227="A+"),IF('Data Source'!X227&gt;=5,"A+",IF('Data Source'!X227&gt;=4,"A",IF('Data Source'!X227&gt;=3.5,"A-",IF('Data Source'!X227&gt;=3,"B",IF('Data Source'!X227&gt;=2,"C",IF('Data Source'!X227&gt;=1,"D","F")))))),"")</f>
        <v/>
      </c>
      <c r="G227" s="3">
        <f>IF(AND('Data Source'!B227&lt;&gt;"",'Data Source'!S227="A+"),IF('Data Source'!Y227&gt;=5,"A+",IF('Data Source'!Y227&gt;=4,"A",IF('Data Source'!Y227&gt;=3.5,"A-",IF('Data Source'!Y227&gt;=3,"B",IF('Data Source'!Y227&gt;=2,"C",IF('Data Source'!Y227&gt;=1,"D","F")))))),"")</f>
        <v/>
      </c>
      <c r="H227" s="3">
        <f>IF(AND('Data Source'!B227&lt;&gt;"",'Data Source'!S227="A+"),IF('Data Source'!Z227&gt;=5,"A+",IF('Data Source'!Z227&gt;=4,"A",IF('Data Source'!Z227&gt;=3.5,"A-",IF('Data Source'!Z227&gt;=3,"B",IF('Data Source'!Z227&gt;=2,"C",IF('Data Source'!Z227&gt;=1,"D","F")))))),"")</f>
        <v/>
      </c>
      <c r="I227" s="3">
        <f>IF(AND('Data Source'!B227&lt;&gt;"",'Data Source'!S227="A+"),IF('Data Source'!AA227&gt;=5,"A+",IF('Data Source'!AA227&gt;=4,"A",IF('Data Source'!AA227&gt;=3.5,"A-",IF('Data Source'!AA227&gt;=3,"B",IF('Data Source'!AA227&gt;=2,"C",IF('Data Source'!AA227&gt;=1,"D","F")))))),"")</f>
        <v/>
      </c>
      <c r="J227" s="3">
        <f>IF(AND('Data Source'!B227&lt;&gt;"",'Data Source'!S227="A+"),IF('Data Source'!AB227&gt;=5,"A+",IF('Data Source'!AB227&gt;=4,"A",IF('Data Source'!AB227&gt;=3.5,"A-",IF('Data Source'!AB227&gt;=3,"B",IF('Data Source'!AB227&gt;=2,"C",IF('Data Source'!AB227&gt;=1,"D","F")))))),"")</f>
        <v/>
      </c>
      <c r="K227" s="3">
        <f>IF(AND('Data Source'!B227&lt;&gt;"",'Data Source'!S227="A+"),IF('Data Source'!AC227&gt;=5,"A+",IF('Data Source'!AC227&gt;=4,"A",IF('Data Source'!AC227&gt;=3.5,"A-",IF('Data Source'!AC227&gt;=3,"B",IF('Data Source'!AC227&gt;=2,"C",IF('Data Source'!AC227&gt;=1,"D","F")))))),"")</f>
        <v/>
      </c>
      <c r="L227" s="3">
        <f>IF(AND('Data Source'!B227&lt;&gt;"",'Data Source'!S227="A+"),IF('Data Source'!AD227&gt;=5,"A+",IF('Data Source'!AD227&gt;=4,"A",IF('Data Source'!AD227&gt;=3.5,"A-",IF('Data Source'!AD227&gt;=3,"B",IF('Data Source'!AD227&gt;=2,"C",IF('Data Source'!AD227&gt;=1,"D","F")))))),"")</f>
        <v/>
      </c>
      <c r="M227" s="3">
        <f>IF(AND('Data Source'!B227&lt;&gt;"",'Data Source'!S227="A+"),IF('Data Source'!AE227&gt;=5,"A+",IF('Data Source'!AE227&gt;=4,"A",IF('Data Source'!AE227&gt;=3.5,"A-",IF('Data Source'!AE227&gt;=3,"B",IF('Data Source'!AE227&gt;=2,"C",IF('Data Source'!AE227&gt;=1,"D","F")))))),"")</f>
        <v/>
      </c>
      <c r="N227" s="3">
        <f>IF(AND('Data Source'!B227&lt;&gt;"",'Data Source'!S227="A+"),IF('Data Source'!AF227&gt;=5,"A+",IF('Data Source'!AF227&gt;=4,"A",IF('Data Source'!AF227&gt;=3.5,"A-",IF('Data Source'!AF227&gt;=3,"B",IF('Data Source'!AF227&gt;=2,"C",IF('Data Source'!AF227&gt;=1,"D","F")))))),"")</f>
        <v/>
      </c>
      <c r="O227" s="3">
        <f>IF(AND('Data Source'!B227&lt;&gt;"",'Data Source'!S227="A+"),IF('Data Source'!AG227&gt;=5,"A+",IF('Data Source'!AG227&gt;=4,"A",IF('Data Source'!AG227&gt;=3.5,"A-",IF('Data Source'!AG227&gt;=3,"B",IF('Data Source'!AG227&gt;=2,"C",IF('Data Source'!AG227&gt;=1,"D","F")))))),"")</f>
        <v/>
      </c>
      <c r="P227" s="5">
        <f>IF(AND('Data Source'!B227&lt;&gt;"",'Data Source'!S227="A+"),'Data Source'!R227,"")</f>
        <v/>
      </c>
      <c r="Q227" s="3">
        <f>IF(AND('Data Source'!B227&lt;&gt;"",'Data Source'!S227="A+"),'Data Source'!S227,"")</f>
        <v/>
      </c>
    </row>
    <row r="228">
      <c r="A228" s="3">
        <f>IF(AND('Data Source'!B228&lt;&gt;"",'Data Source'!S228="A+"),COUNTIF('Data Source'!$S$3:S228,"A+"),"")</f>
        <v/>
      </c>
      <c r="B228">
        <f>IF(AND('Data Source'!B228&lt;&gt;"",'Data Source'!S228="A+"),'Data Source'!B228,"")</f>
        <v/>
      </c>
      <c r="C228" s="3">
        <f>IF(AND('Data Source'!B228&lt;&gt;"",'Data Source'!S228="A+"),IF('Data Source'!U228&gt;=5,"A+",IF('Data Source'!U228&gt;=4,"A",IF('Data Source'!U228&gt;=3.5,"A-",IF('Data Source'!U228&gt;=3,"B",IF('Data Source'!U228&gt;=2,"C",IF('Data Source'!U228&gt;=1,"D","F")))))),"")</f>
        <v/>
      </c>
      <c r="D228" s="3">
        <f>IF(AND('Data Source'!B228&lt;&gt;"",'Data Source'!S228="A+"),IF('Data Source'!V228&gt;=5,"A+",IF('Data Source'!V228&gt;=4,"A",IF('Data Source'!V228&gt;=3.5,"A-",IF('Data Source'!V228&gt;=3,"B",IF('Data Source'!V228&gt;=2,"C",IF('Data Source'!V228&gt;=1,"D","F")))))),"")</f>
        <v/>
      </c>
      <c r="E228" s="3">
        <f>IF(AND('Data Source'!B228&lt;&gt;"",'Data Source'!S228="A+"),IF('Data Source'!W228&gt;=5,"A+",IF('Data Source'!W228&gt;=4,"A",IF('Data Source'!W228&gt;=3.5,"A-",IF('Data Source'!W228&gt;=3,"B",IF('Data Source'!W228&gt;=2,"C",IF('Data Source'!W228&gt;=1,"D","F")))))),"")</f>
        <v/>
      </c>
      <c r="F228" s="3">
        <f>IF(AND('Data Source'!B228&lt;&gt;"",'Data Source'!S228="A+"),IF('Data Source'!X228&gt;=5,"A+",IF('Data Source'!X228&gt;=4,"A",IF('Data Source'!X228&gt;=3.5,"A-",IF('Data Source'!X228&gt;=3,"B",IF('Data Source'!X228&gt;=2,"C",IF('Data Source'!X228&gt;=1,"D","F")))))),"")</f>
        <v/>
      </c>
      <c r="G228" s="3">
        <f>IF(AND('Data Source'!B228&lt;&gt;"",'Data Source'!S228="A+"),IF('Data Source'!Y228&gt;=5,"A+",IF('Data Source'!Y228&gt;=4,"A",IF('Data Source'!Y228&gt;=3.5,"A-",IF('Data Source'!Y228&gt;=3,"B",IF('Data Source'!Y228&gt;=2,"C",IF('Data Source'!Y228&gt;=1,"D","F")))))),"")</f>
        <v/>
      </c>
      <c r="H228" s="3">
        <f>IF(AND('Data Source'!B228&lt;&gt;"",'Data Source'!S228="A+"),IF('Data Source'!Z228&gt;=5,"A+",IF('Data Source'!Z228&gt;=4,"A",IF('Data Source'!Z228&gt;=3.5,"A-",IF('Data Source'!Z228&gt;=3,"B",IF('Data Source'!Z228&gt;=2,"C",IF('Data Source'!Z228&gt;=1,"D","F")))))),"")</f>
        <v/>
      </c>
      <c r="I228" s="3">
        <f>IF(AND('Data Source'!B228&lt;&gt;"",'Data Source'!S228="A+"),IF('Data Source'!AA228&gt;=5,"A+",IF('Data Source'!AA228&gt;=4,"A",IF('Data Source'!AA228&gt;=3.5,"A-",IF('Data Source'!AA228&gt;=3,"B",IF('Data Source'!AA228&gt;=2,"C",IF('Data Source'!AA228&gt;=1,"D","F")))))),"")</f>
        <v/>
      </c>
      <c r="J228" s="3">
        <f>IF(AND('Data Source'!B228&lt;&gt;"",'Data Source'!S228="A+"),IF('Data Source'!AB228&gt;=5,"A+",IF('Data Source'!AB228&gt;=4,"A",IF('Data Source'!AB228&gt;=3.5,"A-",IF('Data Source'!AB228&gt;=3,"B",IF('Data Source'!AB228&gt;=2,"C",IF('Data Source'!AB228&gt;=1,"D","F")))))),"")</f>
        <v/>
      </c>
      <c r="K228" s="3">
        <f>IF(AND('Data Source'!B228&lt;&gt;"",'Data Source'!S228="A+"),IF('Data Source'!AC228&gt;=5,"A+",IF('Data Source'!AC228&gt;=4,"A",IF('Data Source'!AC228&gt;=3.5,"A-",IF('Data Source'!AC228&gt;=3,"B",IF('Data Source'!AC228&gt;=2,"C",IF('Data Source'!AC228&gt;=1,"D","F")))))),"")</f>
        <v/>
      </c>
      <c r="L228" s="3">
        <f>IF(AND('Data Source'!B228&lt;&gt;"",'Data Source'!S228="A+"),IF('Data Source'!AD228&gt;=5,"A+",IF('Data Source'!AD228&gt;=4,"A",IF('Data Source'!AD228&gt;=3.5,"A-",IF('Data Source'!AD228&gt;=3,"B",IF('Data Source'!AD228&gt;=2,"C",IF('Data Source'!AD228&gt;=1,"D","F")))))),"")</f>
        <v/>
      </c>
      <c r="M228" s="3">
        <f>IF(AND('Data Source'!B228&lt;&gt;"",'Data Source'!S228="A+"),IF('Data Source'!AE228&gt;=5,"A+",IF('Data Source'!AE228&gt;=4,"A",IF('Data Source'!AE228&gt;=3.5,"A-",IF('Data Source'!AE228&gt;=3,"B",IF('Data Source'!AE228&gt;=2,"C",IF('Data Source'!AE228&gt;=1,"D","F")))))),"")</f>
        <v/>
      </c>
      <c r="N228" s="3">
        <f>IF(AND('Data Source'!B228&lt;&gt;"",'Data Source'!S228="A+"),IF('Data Source'!AF228&gt;=5,"A+",IF('Data Source'!AF228&gt;=4,"A",IF('Data Source'!AF228&gt;=3.5,"A-",IF('Data Source'!AF228&gt;=3,"B",IF('Data Source'!AF228&gt;=2,"C",IF('Data Source'!AF228&gt;=1,"D","F")))))),"")</f>
        <v/>
      </c>
      <c r="O228" s="3">
        <f>IF(AND('Data Source'!B228&lt;&gt;"",'Data Source'!S228="A+"),IF('Data Source'!AG228&gt;=5,"A+",IF('Data Source'!AG228&gt;=4,"A",IF('Data Source'!AG228&gt;=3.5,"A-",IF('Data Source'!AG228&gt;=3,"B",IF('Data Source'!AG228&gt;=2,"C",IF('Data Source'!AG228&gt;=1,"D","F")))))),"")</f>
        <v/>
      </c>
      <c r="P228" s="5">
        <f>IF(AND('Data Source'!B228&lt;&gt;"",'Data Source'!S228="A+"),'Data Source'!R228,"")</f>
        <v/>
      </c>
      <c r="Q228" s="3">
        <f>IF(AND('Data Source'!B228&lt;&gt;"",'Data Source'!S228="A+"),'Data Source'!S228,"")</f>
        <v/>
      </c>
    </row>
    <row r="229">
      <c r="A229" s="3">
        <f>IF(AND('Data Source'!B229&lt;&gt;"",'Data Source'!S229="A+"),COUNTIF('Data Source'!$S$3:S229,"A+"),"")</f>
        <v/>
      </c>
      <c r="B229">
        <f>IF(AND('Data Source'!B229&lt;&gt;"",'Data Source'!S229="A+"),'Data Source'!B229,"")</f>
        <v/>
      </c>
      <c r="C229" s="3">
        <f>IF(AND('Data Source'!B229&lt;&gt;"",'Data Source'!S229="A+"),IF('Data Source'!U229&gt;=5,"A+",IF('Data Source'!U229&gt;=4,"A",IF('Data Source'!U229&gt;=3.5,"A-",IF('Data Source'!U229&gt;=3,"B",IF('Data Source'!U229&gt;=2,"C",IF('Data Source'!U229&gt;=1,"D","F")))))),"")</f>
        <v/>
      </c>
      <c r="D229" s="3">
        <f>IF(AND('Data Source'!B229&lt;&gt;"",'Data Source'!S229="A+"),IF('Data Source'!V229&gt;=5,"A+",IF('Data Source'!V229&gt;=4,"A",IF('Data Source'!V229&gt;=3.5,"A-",IF('Data Source'!V229&gt;=3,"B",IF('Data Source'!V229&gt;=2,"C",IF('Data Source'!V229&gt;=1,"D","F")))))),"")</f>
        <v/>
      </c>
      <c r="E229" s="3">
        <f>IF(AND('Data Source'!B229&lt;&gt;"",'Data Source'!S229="A+"),IF('Data Source'!W229&gt;=5,"A+",IF('Data Source'!W229&gt;=4,"A",IF('Data Source'!W229&gt;=3.5,"A-",IF('Data Source'!W229&gt;=3,"B",IF('Data Source'!W229&gt;=2,"C",IF('Data Source'!W229&gt;=1,"D","F")))))),"")</f>
        <v/>
      </c>
      <c r="F229" s="3">
        <f>IF(AND('Data Source'!B229&lt;&gt;"",'Data Source'!S229="A+"),IF('Data Source'!X229&gt;=5,"A+",IF('Data Source'!X229&gt;=4,"A",IF('Data Source'!X229&gt;=3.5,"A-",IF('Data Source'!X229&gt;=3,"B",IF('Data Source'!X229&gt;=2,"C",IF('Data Source'!X229&gt;=1,"D","F")))))),"")</f>
        <v/>
      </c>
      <c r="G229" s="3">
        <f>IF(AND('Data Source'!B229&lt;&gt;"",'Data Source'!S229="A+"),IF('Data Source'!Y229&gt;=5,"A+",IF('Data Source'!Y229&gt;=4,"A",IF('Data Source'!Y229&gt;=3.5,"A-",IF('Data Source'!Y229&gt;=3,"B",IF('Data Source'!Y229&gt;=2,"C",IF('Data Source'!Y229&gt;=1,"D","F")))))),"")</f>
        <v/>
      </c>
      <c r="H229" s="3">
        <f>IF(AND('Data Source'!B229&lt;&gt;"",'Data Source'!S229="A+"),IF('Data Source'!Z229&gt;=5,"A+",IF('Data Source'!Z229&gt;=4,"A",IF('Data Source'!Z229&gt;=3.5,"A-",IF('Data Source'!Z229&gt;=3,"B",IF('Data Source'!Z229&gt;=2,"C",IF('Data Source'!Z229&gt;=1,"D","F")))))),"")</f>
        <v/>
      </c>
      <c r="I229" s="3">
        <f>IF(AND('Data Source'!B229&lt;&gt;"",'Data Source'!S229="A+"),IF('Data Source'!AA229&gt;=5,"A+",IF('Data Source'!AA229&gt;=4,"A",IF('Data Source'!AA229&gt;=3.5,"A-",IF('Data Source'!AA229&gt;=3,"B",IF('Data Source'!AA229&gt;=2,"C",IF('Data Source'!AA229&gt;=1,"D","F")))))),"")</f>
        <v/>
      </c>
      <c r="J229" s="3">
        <f>IF(AND('Data Source'!B229&lt;&gt;"",'Data Source'!S229="A+"),IF('Data Source'!AB229&gt;=5,"A+",IF('Data Source'!AB229&gt;=4,"A",IF('Data Source'!AB229&gt;=3.5,"A-",IF('Data Source'!AB229&gt;=3,"B",IF('Data Source'!AB229&gt;=2,"C",IF('Data Source'!AB229&gt;=1,"D","F")))))),"")</f>
        <v/>
      </c>
      <c r="K229" s="3">
        <f>IF(AND('Data Source'!B229&lt;&gt;"",'Data Source'!S229="A+"),IF('Data Source'!AC229&gt;=5,"A+",IF('Data Source'!AC229&gt;=4,"A",IF('Data Source'!AC229&gt;=3.5,"A-",IF('Data Source'!AC229&gt;=3,"B",IF('Data Source'!AC229&gt;=2,"C",IF('Data Source'!AC229&gt;=1,"D","F")))))),"")</f>
        <v/>
      </c>
      <c r="L229" s="3">
        <f>IF(AND('Data Source'!B229&lt;&gt;"",'Data Source'!S229="A+"),IF('Data Source'!AD229&gt;=5,"A+",IF('Data Source'!AD229&gt;=4,"A",IF('Data Source'!AD229&gt;=3.5,"A-",IF('Data Source'!AD229&gt;=3,"B",IF('Data Source'!AD229&gt;=2,"C",IF('Data Source'!AD229&gt;=1,"D","F")))))),"")</f>
        <v/>
      </c>
      <c r="M229" s="3">
        <f>IF(AND('Data Source'!B229&lt;&gt;"",'Data Source'!S229="A+"),IF('Data Source'!AE229&gt;=5,"A+",IF('Data Source'!AE229&gt;=4,"A",IF('Data Source'!AE229&gt;=3.5,"A-",IF('Data Source'!AE229&gt;=3,"B",IF('Data Source'!AE229&gt;=2,"C",IF('Data Source'!AE229&gt;=1,"D","F")))))),"")</f>
        <v/>
      </c>
      <c r="N229" s="3">
        <f>IF(AND('Data Source'!B229&lt;&gt;"",'Data Source'!S229="A+"),IF('Data Source'!AF229&gt;=5,"A+",IF('Data Source'!AF229&gt;=4,"A",IF('Data Source'!AF229&gt;=3.5,"A-",IF('Data Source'!AF229&gt;=3,"B",IF('Data Source'!AF229&gt;=2,"C",IF('Data Source'!AF229&gt;=1,"D","F")))))),"")</f>
        <v/>
      </c>
      <c r="O229" s="3">
        <f>IF(AND('Data Source'!B229&lt;&gt;"",'Data Source'!S229="A+"),IF('Data Source'!AG229&gt;=5,"A+",IF('Data Source'!AG229&gt;=4,"A",IF('Data Source'!AG229&gt;=3.5,"A-",IF('Data Source'!AG229&gt;=3,"B",IF('Data Source'!AG229&gt;=2,"C",IF('Data Source'!AG229&gt;=1,"D","F")))))),"")</f>
        <v/>
      </c>
      <c r="P229" s="5">
        <f>IF(AND('Data Source'!B229&lt;&gt;"",'Data Source'!S229="A+"),'Data Source'!R229,"")</f>
        <v/>
      </c>
      <c r="Q229" s="3">
        <f>IF(AND('Data Source'!B229&lt;&gt;"",'Data Source'!S229="A+"),'Data Source'!S229,"")</f>
        <v/>
      </c>
    </row>
    <row r="230">
      <c r="A230" s="3">
        <f>IF(AND('Data Source'!B230&lt;&gt;"",'Data Source'!S230="A+"),COUNTIF('Data Source'!$S$3:S230,"A+"),"")</f>
        <v/>
      </c>
      <c r="B230">
        <f>IF(AND('Data Source'!B230&lt;&gt;"",'Data Source'!S230="A+"),'Data Source'!B230,"")</f>
        <v/>
      </c>
      <c r="C230" s="3">
        <f>IF(AND('Data Source'!B230&lt;&gt;"",'Data Source'!S230="A+"),IF('Data Source'!U230&gt;=5,"A+",IF('Data Source'!U230&gt;=4,"A",IF('Data Source'!U230&gt;=3.5,"A-",IF('Data Source'!U230&gt;=3,"B",IF('Data Source'!U230&gt;=2,"C",IF('Data Source'!U230&gt;=1,"D","F")))))),"")</f>
        <v/>
      </c>
      <c r="D230" s="3">
        <f>IF(AND('Data Source'!B230&lt;&gt;"",'Data Source'!S230="A+"),IF('Data Source'!V230&gt;=5,"A+",IF('Data Source'!V230&gt;=4,"A",IF('Data Source'!V230&gt;=3.5,"A-",IF('Data Source'!V230&gt;=3,"B",IF('Data Source'!V230&gt;=2,"C",IF('Data Source'!V230&gt;=1,"D","F")))))),"")</f>
        <v/>
      </c>
      <c r="E230" s="3">
        <f>IF(AND('Data Source'!B230&lt;&gt;"",'Data Source'!S230="A+"),IF('Data Source'!W230&gt;=5,"A+",IF('Data Source'!W230&gt;=4,"A",IF('Data Source'!W230&gt;=3.5,"A-",IF('Data Source'!W230&gt;=3,"B",IF('Data Source'!W230&gt;=2,"C",IF('Data Source'!W230&gt;=1,"D","F")))))),"")</f>
        <v/>
      </c>
      <c r="F230" s="3">
        <f>IF(AND('Data Source'!B230&lt;&gt;"",'Data Source'!S230="A+"),IF('Data Source'!X230&gt;=5,"A+",IF('Data Source'!X230&gt;=4,"A",IF('Data Source'!X230&gt;=3.5,"A-",IF('Data Source'!X230&gt;=3,"B",IF('Data Source'!X230&gt;=2,"C",IF('Data Source'!X230&gt;=1,"D","F")))))),"")</f>
        <v/>
      </c>
      <c r="G230" s="3">
        <f>IF(AND('Data Source'!B230&lt;&gt;"",'Data Source'!S230="A+"),IF('Data Source'!Y230&gt;=5,"A+",IF('Data Source'!Y230&gt;=4,"A",IF('Data Source'!Y230&gt;=3.5,"A-",IF('Data Source'!Y230&gt;=3,"B",IF('Data Source'!Y230&gt;=2,"C",IF('Data Source'!Y230&gt;=1,"D","F")))))),"")</f>
        <v/>
      </c>
      <c r="H230" s="3">
        <f>IF(AND('Data Source'!B230&lt;&gt;"",'Data Source'!S230="A+"),IF('Data Source'!Z230&gt;=5,"A+",IF('Data Source'!Z230&gt;=4,"A",IF('Data Source'!Z230&gt;=3.5,"A-",IF('Data Source'!Z230&gt;=3,"B",IF('Data Source'!Z230&gt;=2,"C",IF('Data Source'!Z230&gt;=1,"D","F")))))),"")</f>
        <v/>
      </c>
      <c r="I230" s="3">
        <f>IF(AND('Data Source'!B230&lt;&gt;"",'Data Source'!S230="A+"),IF('Data Source'!AA230&gt;=5,"A+",IF('Data Source'!AA230&gt;=4,"A",IF('Data Source'!AA230&gt;=3.5,"A-",IF('Data Source'!AA230&gt;=3,"B",IF('Data Source'!AA230&gt;=2,"C",IF('Data Source'!AA230&gt;=1,"D","F")))))),"")</f>
        <v/>
      </c>
      <c r="J230" s="3">
        <f>IF(AND('Data Source'!B230&lt;&gt;"",'Data Source'!S230="A+"),IF('Data Source'!AB230&gt;=5,"A+",IF('Data Source'!AB230&gt;=4,"A",IF('Data Source'!AB230&gt;=3.5,"A-",IF('Data Source'!AB230&gt;=3,"B",IF('Data Source'!AB230&gt;=2,"C",IF('Data Source'!AB230&gt;=1,"D","F")))))),"")</f>
        <v/>
      </c>
      <c r="K230" s="3">
        <f>IF(AND('Data Source'!B230&lt;&gt;"",'Data Source'!S230="A+"),IF('Data Source'!AC230&gt;=5,"A+",IF('Data Source'!AC230&gt;=4,"A",IF('Data Source'!AC230&gt;=3.5,"A-",IF('Data Source'!AC230&gt;=3,"B",IF('Data Source'!AC230&gt;=2,"C",IF('Data Source'!AC230&gt;=1,"D","F")))))),"")</f>
        <v/>
      </c>
      <c r="L230" s="3">
        <f>IF(AND('Data Source'!B230&lt;&gt;"",'Data Source'!S230="A+"),IF('Data Source'!AD230&gt;=5,"A+",IF('Data Source'!AD230&gt;=4,"A",IF('Data Source'!AD230&gt;=3.5,"A-",IF('Data Source'!AD230&gt;=3,"B",IF('Data Source'!AD230&gt;=2,"C",IF('Data Source'!AD230&gt;=1,"D","F")))))),"")</f>
        <v/>
      </c>
      <c r="M230" s="3">
        <f>IF(AND('Data Source'!B230&lt;&gt;"",'Data Source'!S230="A+"),IF('Data Source'!AE230&gt;=5,"A+",IF('Data Source'!AE230&gt;=4,"A",IF('Data Source'!AE230&gt;=3.5,"A-",IF('Data Source'!AE230&gt;=3,"B",IF('Data Source'!AE230&gt;=2,"C",IF('Data Source'!AE230&gt;=1,"D","F")))))),"")</f>
        <v/>
      </c>
      <c r="N230" s="3">
        <f>IF(AND('Data Source'!B230&lt;&gt;"",'Data Source'!S230="A+"),IF('Data Source'!AF230&gt;=5,"A+",IF('Data Source'!AF230&gt;=4,"A",IF('Data Source'!AF230&gt;=3.5,"A-",IF('Data Source'!AF230&gt;=3,"B",IF('Data Source'!AF230&gt;=2,"C",IF('Data Source'!AF230&gt;=1,"D","F")))))),"")</f>
        <v/>
      </c>
      <c r="O230" s="3">
        <f>IF(AND('Data Source'!B230&lt;&gt;"",'Data Source'!S230="A+"),IF('Data Source'!AG230&gt;=5,"A+",IF('Data Source'!AG230&gt;=4,"A",IF('Data Source'!AG230&gt;=3.5,"A-",IF('Data Source'!AG230&gt;=3,"B",IF('Data Source'!AG230&gt;=2,"C",IF('Data Source'!AG230&gt;=1,"D","F")))))),"")</f>
        <v/>
      </c>
      <c r="P230" s="5">
        <f>IF(AND('Data Source'!B230&lt;&gt;"",'Data Source'!S230="A+"),'Data Source'!R230,"")</f>
        <v/>
      </c>
      <c r="Q230" s="3">
        <f>IF(AND('Data Source'!B230&lt;&gt;"",'Data Source'!S230="A+"),'Data Source'!S230,"")</f>
        <v/>
      </c>
    </row>
    <row r="231">
      <c r="A231" s="3">
        <f>IF(AND('Data Source'!B231&lt;&gt;"",'Data Source'!S231="A+"),COUNTIF('Data Source'!$S$3:S231,"A+"),"")</f>
        <v/>
      </c>
      <c r="B231">
        <f>IF(AND('Data Source'!B231&lt;&gt;"",'Data Source'!S231="A+"),'Data Source'!B231,"")</f>
        <v/>
      </c>
      <c r="C231" s="3">
        <f>IF(AND('Data Source'!B231&lt;&gt;"",'Data Source'!S231="A+"),IF('Data Source'!U231&gt;=5,"A+",IF('Data Source'!U231&gt;=4,"A",IF('Data Source'!U231&gt;=3.5,"A-",IF('Data Source'!U231&gt;=3,"B",IF('Data Source'!U231&gt;=2,"C",IF('Data Source'!U231&gt;=1,"D","F")))))),"")</f>
        <v/>
      </c>
      <c r="D231" s="3">
        <f>IF(AND('Data Source'!B231&lt;&gt;"",'Data Source'!S231="A+"),IF('Data Source'!V231&gt;=5,"A+",IF('Data Source'!V231&gt;=4,"A",IF('Data Source'!V231&gt;=3.5,"A-",IF('Data Source'!V231&gt;=3,"B",IF('Data Source'!V231&gt;=2,"C",IF('Data Source'!V231&gt;=1,"D","F")))))),"")</f>
        <v/>
      </c>
      <c r="E231" s="3">
        <f>IF(AND('Data Source'!B231&lt;&gt;"",'Data Source'!S231="A+"),IF('Data Source'!W231&gt;=5,"A+",IF('Data Source'!W231&gt;=4,"A",IF('Data Source'!W231&gt;=3.5,"A-",IF('Data Source'!W231&gt;=3,"B",IF('Data Source'!W231&gt;=2,"C",IF('Data Source'!W231&gt;=1,"D","F")))))),"")</f>
        <v/>
      </c>
      <c r="F231" s="3">
        <f>IF(AND('Data Source'!B231&lt;&gt;"",'Data Source'!S231="A+"),IF('Data Source'!X231&gt;=5,"A+",IF('Data Source'!X231&gt;=4,"A",IF('Data Source'!X231&gt;=3.5,"A-",IF('Data Source'!X231&gt;=3,"B",IF('Data Source'!X231&gt;=2,"C",IF('Data Source'!X231&gt;=1,"D","F")))))),"")</f>
        <v/>
      </c>
      <c r="G231" s="3">
        <f>IF(AND('Data Source'!B231&lt;&gt;"",'Data Source'!S231="A+"),IF('Data Source'!Y231&gt;=5,"A+",IF('Data Source'!Y231&gt;=4,"A",IF('Data Source'!Y231&gt;=3.5,"A-",IF('Data Source'!Y231&gt;=3,"B",IF('Data Source'!Y231&gt;=2,"C",IF('Data Source'!Y231&gt;=1,"D","F")))))),"")</f>
        <v/>
      </c>
      <c r="H231" s="3">
        <f>IF(AND('Data Source'!B231&lt;&gt;"",'Data Source'!S231="A+"),IF('Data Source'!Z231&gt;=5,"A+",IF('Data Source'!Z231&gt;=4,"A",IF('Data Source'!Z231&gt;=3.5,"A-",IF('Data Source'!Z231&gt;=3,"B",IF('Data Source'!Z231&gt;=2,"C",IF('Data Source'!Z231&gt;=1,"D","F")))))),"")</f>
        <v/>
      </c>
      <c r="I231" s="3">
        <f>IF(AND('Data Source'!B231&lt;&gt;"",'Data Source'!S231="A+"),IF('Data Source'!AA231&gt;=5,"A+",IF('Data Source'!AA231&gt;=4,"A",IF('Data Source'!AA231&gt;=3.5,"A-",IF('Data Source'!AA231&gt;=3,"B",IF('Data Source'!AA231&gt;=2,"C",IF('Data Source'!AA231&gt;=1,"D","F")))))),"")</f>
        <v/>
      </c>
      <c r="J231" s="3">
        <f>IF(AND('Data Source'!B231&lt;&gt;"",'Data Source'!S231="A+"),IF('Data Source'!AB231&gt;=5,"A+",IF('Data Source'!AB231&gt;=4,"A",IF('Data Source'!AB231&gt;=3.5,"A-",IF('Data Source'!AB231&gt;=3,"B",IF('Data Source'!AB231&gt;=2,"C",IF('Data Source'!AB231&gt;=1,"D","F")))))),"")</f>
        <v/>
      </c>
      <c r="K231" s="3">
        <f>IF(AND('Data Source'!B231&lt;&gt;"",'Data Source'!S231="A+"),IF('Data Source'!AC231&gt;=5,"A+",IF('Data Source'!AC231&gt;=4,"A",IF('Data Source'!AC231&gt;=3.5,"A-",IF('Data Source'!AC231&gt;=3,"B",IF('Data Source'!AC231&gt;=2,"C",IF('Data Source'!AC231&gt;=1,"D","F")))))),"")</f>
        <v/>
      </c>
      <c r="L231" s="3">
        <f>IF(AND('Data Source'!B231&lt;&gt;"",'Data Source'!S231="A+"),IF('Data Source'!AD231&gt;=5,"A+",IF('Data Source'!AD231&gt;=4,"A",IF('Data Source'!AD231&gt;=3.5,"A-",IF('Data Source'!AD231&gt;=3,"B",IF('Data Source'!AD231&gt;=2,"C",IF('Data Source'!AD231&gt;=1,"D","F")))))),"")</f>
        <v/>
      </c>
      <c r="M231" s="3">
        <f>IF(AND('Data Source'!B231&lt;&gt;"",'Data Source'!S231="A+"),IF('Data Source'!AE231&gt;=5,"A+",IF('Data Source'!AE231&gt;=4,"A",IF('Data Source'!AE231&gt;=3.5,"A-",IF('Data Source'!AE231&gt;=3,"B",IF('Data Source'!AE231&gt;=2,"C",IF('Data Source'!AE231&gt;=1,"D","F")))))),"")</f>
        <v/>
      </c>
      <c r="N231" s="3">
        <f>IF(AND('Data Source'!B231&lt;&gt;"",'Data Source'!S231="A+"),IF('Data Source'!AF231&gt;=5,"A+",IF('Data Source'!AF231&gt;=4,"A",IF('Data Source'!AF231&gt;=3.5,"A-",IF('Data Source'!AF231&gt;=3,"B",IF('Data Source'!AF231&gt;=2,"C",IF('Data Source'!AF231&gt;=1,"D","F")))))),"")</f>
        <v/>
      </c>
      <c r="O231" s="3">
        <f>IF(AND('Data Source'!B231&lt;&gt;"",'Data Source'!S231="A+"),IF('Data Source'!AG231&gt;=5,"A+",IF('Data Source'!AG231&gt;=4,"A",IF('Data Source'!AG231&gt;=3.5,"A-",IF('Data Source'!AG231&gt;=3,"B",IF('Data Source'!AG231&gt;=2,"C",IF('Data Source'!AG231&gt;=1,"D","F")))))),"")</f>
        <v/>
      </c>
      <c r="P231" s="5">
        <f>IF(AND('Data Source'!B231&lt;&gt;"",'Data Source'!S231="A+"),'Data Source'!R231,"")</f>
        <v/>
      </c>
      <c r="Q231" s="3">
        <f>IF(AND('Data Source'!B231&lt;&gt;"",'Data Source'!S231="A+"),'Data Source'!S231,"")</f>
        <v/>
      </c>
    </row>
    <row r="232">
      <c r="A232" s="3">
        <f>IF(AND('Data Source'!B232&lt;&gt;"",'Data Source'!S232="A+"),COUNTIF('Data Source'!$S$3:S232,"A+"),"")</f>
        <v/>
      </c>
      <c r="B232">
        <f>IF(AND('Data Source'!B232&lt;&gt;"",'Data Source'!S232="A+"),'Data Source'!B232,"")</f>
        <v/>
      </c>
      <c r="C232" s="3">
        <f>IF(AND('Data Source'!B232&lt;&gt;"",'Data Source'!S232="A+"),IF('Data Source'!U232&gt;=5,"A+",IF('Data Source'!U232&gt;=4,"A",IF('Data Source'!U232&gt;=3.5,"A-",IF('Data Source'!U232&gt;=3,"B",IF('Data Source'!U232&gt;=2,"C",IF('Data Source'!U232&gt;=1,"D","F")))))),"")</f>
        <v/>
      </c>
      <c r="D232" s="3">
        <f>IF(AND('Data Source'!B232&lt;&gt;"",'Data Source'!S232="A+"),IF('Data Source'!V232&gt;=5,"A+",IF('Data Source'!V232&gt;=4,"A",IF('Data Source'!V232&gt;=3.5,"A-",IF('Data Source'!V232&gt;=3,"B",IF('Data Source'!V232&gt;=2,"C",IF('Data Source'!V232&gt;=1,"D","F")))))),"")</f>
        <v/>
      </c>
      <c r="E232" s="3">
        <f>IF(AND('Data Source'!B232&lt;&gt;"",'Data Source'!S232="A+"),IF('Data Source'!W232&gt;=5,"A+",IF('Data Source'!W232&gt;=4,"A",IF('Data Source'!W232&gt;=3.5,"A-",IF('Data Source'!W232&gt;=3,"B",IF('Data Source'!W232&gt;=2,"C",IF('Data Source'!W232&gt;=1,"D","F")))))),"")</f>
        <v/>
      </c>
      <c r="F232" s="3">
        <f>IF(AND('Data Source'!B232&lt;&gt;"",'Data Source'!S232="A+"),IF('Data Source'!X232&gt;=5,"A+",IF('Data Source'!X232&gt;=4,"A",IF('Data Source'!X232&gt;=3.5,"A-",IF('Data Source'!X232&gt;=3,"B",IF('Data Source'!X232&gt;=2,"C",IF('Data Source'!X232&gt;=1,"D","F")))))),"")</f>
        <v/>
      </c>
      <c r="G232" s="3">
        <f>IF(AND('Data Source'!B232&lt;&gt;"",'Data Source'!S232="A+"),IF('Data Source'!Y232&gt;=5,"A+",IF('Data Source'!Y232&gt;=4,"A",IF('Data Source'!Y232&gt;=3.5,"A-",IF('Data Source'!Y232&gt;=3,"B",IF('Data Source'!Y232&gt;=2,"C",IF('Data Source'!Y232&gt;=1,"D","F")))))),"")</f>
        <v/>
      </c>
      <c r="H232" s="3">
        <f>IF(AND('Data Source'!B232&lt;&gt;"",'Data Source'!S232="A+"),IF('Data Source'!Z232&gt;=5,"A+",IF('Data Source'!Z232&gt;=4,"A",IF('Data Source'!Z232&gt;=3.5,"A-",IF('Data Source'!Z232&gt;=3,"B",IF('Data Source'!Z232&gt;=2,"C",IF('Data Source'!Z232&gt;=1,"D","F")))))),"")</f>
        <v/>
      </c>
      <c r="I232" s="3">
        <f>IF(AND('Data Source'!B232&lt;&gt;"",'Data Source'!S232="A+"),IF('Data Source'!AA232&gt;=5,"A+",IF('Data Source'!AA232&gt;=4,"A",IF('Data Source'!AA232&gt;=3.5,"A-",IF('Data Source'!AA232&gt;=3,"B",IF('Data Source'!AA232&gt;=2,"C",IF('Data Source'!AA232&gt;=1,"D","F")))))),"")</f>
        <v/>
      </c>
      <c r="J232" s="3">
        <f>IF(AND('Data Source'!B232&lt;&gt;"",'Data Source'!S232="A+"),IF('Data Source'!AB232&gt;=5,"A+",IF('Data Source'!AB232&gt;=4,"A",IF('Data Source'!AB232&gt;=3.5,"A-",IF('Data Source'!AB232&gt;=3,"B",IF('Data Source'!AB232&gt;=2,"C",IF('Data Source'!AB232&gt;=1,"D","F")))))),"")</f>
        <v/>
      </c>
      <c r="K232" s="3">
        <f>IF(AND('Data Source'!B232&lt;&gt;"",'Data Source'!S232="A+"),IF('Data Source'!AC232&gt;=5,"A+",IF('Data Source'!AC232&gt;=4,"A",IF('Data Source'!AC232&gt;=3.5,"A-",IF('Data Source'!AC232&gt;=3,"B",IF('Data Source'!AC232&gt;=2,"C",IF('Data Source'!AC232&gt;=1,"D","F")))))),"")</f>
        <v/>
      </c>
      <c r="L232" s="3">
        <f>IF(AND('Data Source'!B232&lt;&gt;"",'Data Source'!S232="A+"),IF('Data Source'!AD232&gt;=5,"A+",IF('Data Source'!AD232&gt;=4,"A",IF('Data Source'!AD232&gt;=3.5,"A-",IF('Data Source'!AD232&gt;=3,"B",IF('Data Source'!AD232&gt;=2,"C",IF('Data Source'!AD232&gt;=1,"D","F")))))),"")</f>
        <v/>
      </c>
      <c r="M232" s="3">
        <f>IF(AND('Data Source'!B232&lt;&gt;"",'Data Source'!S232="A+"),IF('Data Source'!AE232&gt;=5,"A+",IF('Data Source'!AE232&gt;=4,"A",IF('Data Source'!AE232&gt;=3.5,"A-",IF('Data Source'!AE232&gt;=3,"B",IF('Data Source'!AE232&gt;=2,"C",IF('Data Source'!AE232&gt;=1,"D","F")))))),"")</f>
        <v/>
      </c>
      <c r="N232" s="3">
        <f>IF(AND('Data Source'!B232&lt;&gt;"",'Data Source'!S232="A+"),IF('Data Source'!AF232&gt;=5,"A+",IF('Data Source'!AF232&gt;=4,"A",IF('Data Source'!AF232&gt;=3.5,"A-",IF('Data Source'!AF232&gt;=3,"B",IF('Data Source'!AF232&gt;=2,"C",IF('Data Source'!AF232&gt;=1,"D","F")))))),"")</f>
        <v/>
      </c>
      <c r="O232" s="3">
        <f>IF(AND('Data Source'!B232&lt;&gt;"",'Data Source'!S232="A+"),IF('Data Source'!AG232&gt;=5,"A+",IF('Data Source'!AG232&gt;=4,"A",IF('Data Source'!AG232&gt;=3.5,"A-",IF('Data Source'!AG232&gt;=3,"B",IF('Data Source'!AG232&gt;=2,"C",IF('Data Source'!AG232&gt;=1,"D","F")))))),"")</f>
        <v/>
      </c>
      <c r="P232" s="5">
        <f>IF(AND('Data Source'!B232&lt;&gt;"",'Data Source'!S232="A+"),'Data Source'!R232,"")</f>
        <v/>
      </c>
      <c r="Q232" s="3">
        <f>IF(AND('Data Source'!B232&lt;&gt;"",'Data Source'!S232="A+"),'Data Source'!S232,"")</f>
        <v/>
      </c>
    </row>
    <row r="233">
      <c r="A233" s="3">
        <f>IF(AND('Data Source'!B233&lt;&gt;"",'Data Source'!S233="A+"),COUNTIF('Data Source'!$S$3:S233,"A+"),"")</f>
        <v/>
      </c>
      <c r="B233">
        <f>IF(AND('Data Source'!B233&lt;&gt;"",'Data Source'!S233="A+"),'Data Source'!B233,"")</f>
        <v/>
      </c>
      <c r="C233" s="3">
        <f>IF(AND('Data Source'!B233&lt;&gt;"",'Data Source'!S233="A+"),IF('Data Source'!U233&gt;=5,"A+",IF('Data Source'!U233&gt;=4,"A",IF('Data Source'!U233&gt;=3.5,"A-",IF('Data Source'!U233&gt;=3,"B",IF('Data Source'!U233&gt;=2,"C",IF('Data Source'!U233&gt;=1,"D","F")))))),"")</f>
        <v/>
      </c>
      <c r="D233" s="3">
        <f>IF(AND('Data Source'!B233&lt;&gt;"",'Data Source'!S233="A+"),IF('Data Source'!V233&gt;=5,"A+",IF('Data Source'!V233&gt;=4,"A",IF('Data Source'!V233&gt;=3.5,"A-",IF('Data Source'!V233&gt;=3,"B",IF('Data Source'!V233&gt;=2,"C",IF('Data Source'!V233&gt;=1,"D","F")))))),"")</f>
        <v/>
      </c>
      <c r="E233" s="3">
        <f>IF(AND('Data Source'!B233&lt;&gt;"",'Data Source'!S233="A+"),IF('Data Source'!W233&gt;=5,"A+",IF('Data Source'!W233&gt;=4,"A",IF('Data Source'!W233&gt;=3.5,"A-",IF('Data Source'!W233&gt;=3,"B",IF('Data Source'!W233&gt;=2,"C",IF('Data Source'!W233&gt;=1,"D","F")))))),"")</f>
        <v/>
      </c>
      <c r="F233" s="3">
        <f>IF(AND('Data Source'!B233&lt;&gt;"",'Data Source'!S233="A+"),IF('Data Source'!X233&gt;=5,"A+",IF('Data Source'!X233&gt;=4,"A",IF('Data Source'!X233&gt;=3.5,"A-",IF('Data Source'!X233&gt;=3,"B",IF('Data Source'!X233&gt;=2,"C",IF('Data Source'!X233&gt;=1,"D","F")))))),"")</f>
        <v/>
      </c>
      <c r="G233" s="3">
        <f>IF(AND('Data Source'!B233&lt;&gt;"",'Data Source'!S233="A+"),IF('Data Source'!Y233&gt;=5,"A+",IF('Data Source'!Y233&gt;=4,"A",IF('Data Source'!Y233&gt;=3.5,"A-",IF('Data Source'!Y233&gt;=3,"B",IF('Data Source'!Y233&gt;=2,"C",IF('Data Source'!Y233&gt;=1,"D","F")))))),"")</f>
        <v/>
      </c>
      <c r="H233" s="3">
        <f>IF(AND('Data Source'!B233&lt;&gt;"",'Data Source'!S233="A+"),IF('Data Source'!Z233&gt;=5,"A+",IF('Data Source'!Z233&gt;=4,"A",IF('Data Source'!Z233&gt;=3.5,"A-",IF('Data Source'!Z233&gt;=3,"B",IF('Data Source'!Z233&gt;=2,"C",IF('Data Source'!Z233&gt;=1,"D","F")))))),"")</f>
        <v/>
      </c>
      <c r="I233" s="3">
        <f>IF(AND('Data Source'!B233&lt;&gt;"",'Data Source'!S233="A+"),IF('Data Source'!AA233&gt;=5,"A+",IF('Data Source'!AA233&gt;=4,"A",IF('Data Source'!AA233&gt;=3.5,"A-",IF('Data Source'!AA233&gt;=3,"B",IF('Data Source'!AA233&gt;=2,"C",IF('Data Source'!AA233&gt;=1,"D","F")))))),"")</f>
        <v/>
      </c>
      <c r="J233" s="3">
        <f>IF(AND('Data Source'!B233&lt;&gt;"",'Data Source'!S233="A+"),IF('Data Source'!AB233&gt;=5,"A+",IF('Data Source'!AB233&gt;=4,"A",IF('Data Source'!AB233&gt;=3.5,"A-",IF('Data Source'!AB233&gt;=3,"B",IF('Data Source'!AB233&gt;=2,"C",IF('Data Source'!AB233&gt;=1,"D","F")))))),"")</f>
        <v/>
      </c>
      <c r="K233" s="3">
        <f>IF(AND('Data Source'!B233&lt;&gt;"",'Data Source'!S233="A+"),IF('Data Source'!AC233&gt;=5,"A+",IF('Data Source'!AC233&gt;=4,"A",IF('Data Source'!AC233&gt;=3.5,"A-",IF('Data Source'!AC233&gt;=3,"B",IF('Data Source'!AC233&gt;=2,"C",IF('Data Source'!AC233&gt;=1,"D","F")))))),"")</f>
        <v/>
      </c>
      <c r="L233" s="3">
        <f>IF(AND('Data Source'!B233&lt;&gt;"",'Data Source'!S233="A+"),IF('Data Source'!AD233&gt;=5,"A+",IF('Data Source'!AD233&gt;=4,"A",IF('Data Source'!AD233&gt;=3.5,"A-",IF('Data Source'!AD233&gt;=3,"B",IF('Data Source'!AD233&gt;=2,"C",IF('Data Source'!AD233&gt;=1,"D","F")))))),"")</f>
        <v/>
      </c>
      <c r="M233" s="3">
        <f>IF(AND('Data Source'!B233&lt;&gt;"",'Data Source'!S233="A+"),IF('Data Source'!AE233&gt;=5,"A+",IF('Data Source'!AE233&gt;=4,"A",IF('Data Source'!AE233&gt;=3.5,"A-",IF('Data Source'!AE233&gt;=3,"B",IF('Data Source'!AE233&gt;=2,"C",IF('Data Source'!AE233&gt;=1,"D","F")))))),"")</f>
        <v/>
      </c>
      <c r="N233" s="3">
        <f>IF(AND('Data Source'!B233&lt;&gt;"",'Data Source'!S233="A+"),IF('Data Source'!AF233&gt;=5,"A+",IF('Data Source'!AF233&gt;=4,"A",IF('Data Source'!AF233&gt;=3.5,"A-",IF('Data Source'!AF233&gt;=3,"B",IF('Data Source'!AF233&gt;=2,"C",IF('Data Source'!AF233&gt;=1,"D","F")))))),"")</f>
        <v/>
      </c>
      <c r="O233" s="3">
        <f>IF(AND('Data Source'!B233&lt;&gt;"",'Data Source'!S233="A+"),IF('Data Source'!AG233&gt;=5,"A+",IF('Data Source'!AG233&gt;=4,"A",IF('Data Source'!AG233&gt;=3.5,"A-",IF('Data Source'!AG233&gt;=3,"B",IF('Data Source'!AG233&gt;=2,"C",IF('Data Source'!AG233&gt;=1,"D","F")))))),"")</f>
        <v/>
      </c>
      <c r="P233" s="5">
        <f>IF(AND('Data Source'!B233&lt;&gt;"",'Data Source'!S233="A+"),'Data Source'!R233,"")</f>
        <v/>
      </c>
      <c r="Q233" s="3">
        <f>IF(AND('Data Source'!B233&lt;&gt;"",'Data Source'!S233="A+"),'Data Source'!S233,"")</f>
        <v/>
      </c>
    </row>
    <row r="234">
      <c r="A234" s="3">
        <f>IF(AND('Data Source'!B234&lt;&gt;"",'Data Source'!S234="A+"),COUNTIF('Data Source'!$S$3:S234,"A+"),"")</f>
        <v/>
      </c>
      <c r="B234">
        <f>IF(AND('Data Source'!B234&lt;&gt;"",'Data Source'!S234="A+"),'Data Source'!B234,"")</f>
        <v/>
      </c>
      <c r="C234" s="3">
        <f>IF(AND('Data Source'!B234&lt;&gt;"",'Data Source'!S234="A+"),IF('Data Source'!U234&gt;=5,"A+",IF('Data Source'!U234&gt;=4,"A",IF('Data Source'!U234&gt;=3.5,"A-",IF('Data Source'!U234&gt;=3,"B",IF('Data Source'!U234&gt;=2,"C",IF('Data Source'!U234&gt;=1,"D","F")))))),"")</f>
        <v/>
      </c>
      <c r="D234" s="3">
        <f>IF(AND('Data Source'!B234&lt;&gt;"",'Data Source'!S234="A+"),IF('Data Source'!V234&gt;=5,"A+",IF('Data Source'!V234&gt;=4,"A",IF('Data Source'!V234&gt;=3.5,"A-",IF('Data Source'!V234&gt;=3,"B",IF('Data Source'!V234&gt;=2,"C",IF('Data Source'!V234&gt;=1,"D","F")))))),"")</f>
        <v/>
      </c>
      <c r="E234" s="3">
        <f>IF(AND('Data Source'!B234&lt;&gt;"",'Data Source'!S234="A+"),IF('Data Source'!W234&gt;=5,"A+",IF('Data Source'!W234&gt;=4,"A",IF('Data Source'!W234&gt;=3.5,"A-",IF('Data Source'!W234&gt;=3,"B",IF('Data Source'!W234&gt;=2,"C",IF('Data Source'!W234&gt;=1,"D","F")))))),"")</f>
        <v/>
      </c>
      <c r="F234" s="3">
        <f>IF(AND('Data Source'!B234&lt;&gt;"",'Data Source'!S234="A+"),IF('Data Source'!X234&gt;=5,"A+",IF('Data Source'!X234&gt;=4,"A",IF('Data Source'!X234&gt;=3.5,"A-",IF('Data Source'!X234&gt;=3,"B",IF('Data Source'!X234&gt;=2,"C",IF('Data Source'!X234&gt;=1,"D","F")))))),"")</f>
        <v/>
      </c>
      <c r="G234" s="3">
        <f>IF(AND('Data Source'!B234&lt;&gt;"",'Data Source'!S234="A+"),IF('Data Source'!Y234&gt;=5,"A+",IF('Data Source'!Y234&gt;=4,"A",IF('Data Source'!Y234&gt;=3.5,"A-",IF('Data Source'!Y234&gt;=3,"B",IF('Data Source'!Y234&gt;=2,"C",IF('Data Source'!Y234&gt;=1,"D","F")))))),"")</f>
        <v/>
      </c>
      <c r="H234" s="3">
        <f>IF(AND('Data Source'!B234&lt;&gt;"",'Data Source'!S234="A+"),IF('Data Source'!Z234&gt;=5,"A+",IF('Data Source'!Z234&gt;=4,"A",IF('Data Source'!Z234&gt;=3.5,"A-",IF('Data Source'!Z234&gt;=3,"B",IF('Data Source'!Z234&gt;=2,"C",IF('Data Source'!Z234&gt;=1,"D","F")))))),"")</f>
        <v/>
      </c>
      <c r="I234" s="3">
        <f>IF(AND('Data Source'!B234&lt;&gt;"",'Data Source'!S234="A+"),IF('Data Source'!AA234&gt;=5,"A+",IF('Data Source'!AA234&gt;=4,"A",IF('Data Source'!AA234&gt;=3.5,"A-",IF('Data Source'!AA234&gt;=3,"B",IF('Data Source'!AA234&gt;=2,"C",IF('Data Source'!AA234&gt;=1,"D","F")))))),"")</f>
        <v/>
      </c>
      <c r="J234" s="3">
        <f>IF(AND('Data Source'!B234&lt;&gt;"",'Data Source'!S234="A+"),IF('Data Source'!AB234&gt;=5,"A+",IF('Data Source'!AB234&gt;=4,"A",IF('Data Source'!AB234&gt;=3.5,"A-",IF('Data Source'!AB234&gt;=3,"B",IF('Data Source'!AB234&gt;=2,"C",IF('Data Source'!AB234&gt;=1,"D","F")))))),"")</f>
        <v/>
      </c>
      <c r="K234" s="3">
        <f>IF(AND('Data Source'!B234&lt;&gt;"",'Data Source'!S234="A+"),IF('Data Source'!AC234&gt;=5,"A+",IF('Data Source'!AC234&gt;=4,"A",IF('Data Source'!AC234&gt;=3.5,"A-",IF('Data Source'!AC234&gt;=3,"B",IF('Data Source'!AC234&gt;=2,"C",IF('Data Source'!AC234&gt;=1,"D","F")))))),"")</f>
        <v/>
      </c>
      <c r="L234" s="3">
        <f>IF(AND('Data Source'!B234&lt;&gt;"",'Data Source'!S234="A+"),IF('Data Source'!AD234&gt;=5,"A+",IF('Data Source'!AD234&gt;=4,"A",IF('Data Source'!AD234&gt;=3.5,"A-",IF('Data Source'!AD234&gt;=3,"B",IF('Data Source'!AD234&gt;=2,"C",IF('Data Source'!AD234&gt;=1,"D","F")))))),"")</f>
        <v/>
      </c>
      <c r="M234" s="3">
        <f>IF(AND('Data Source'!B234&lt;&gt;"",'Data Source'!S234="A+"),IF('Data Source'!AE234&gt;=5,"A+",IF('Data Source'!AE234&gt;=4,"A",IF('Data Source'!AE234&gt;=3.5,"A-",IF('Data Source'!AE234&gt;=3,"B",IF('Data Source'!AE234&gt;=2,"C",IF('Data Source'!AE234&gt;=1,"D","F")))))),"")</f>
        <v/>
      </c>
      <c r="N234" s="3">
        <f>IF(AND('Data Source'!B234&lt;&gt;"",'Data Source'!S234="A+"),IF('Data Source'!AF234&gt;=5,"A+",IF('Data Source'!AF234&gt;=4,"A",IF('Data Source'!AF234&gt;=3.5,"A-",IF('Data Source'!AF234&gt;=3,"B",IF('Data Source'!AF234&gt;=2,"C",IF('Data Source'!AF234&gt;=1,"D","F")))))),"")</f>
        <v/>
      </c>
      <c r="O234" s="3">
        <f>IF(AND('Data Source'!B234&lt;&gt;"",'Data Source'!S234="A+"),IF('Data Source'!AG234&gt;=5,"A+",IF('Data Source'!AG234&gt;=4,"A",IF('Data Source'!AG234&gt;=3.5,"A-",IF('Data Source'!AG234&gt;=3,"B",IF('Data Source'!AG234&gt;=2,"C",IF('Data Source'!AG234&gt;=1,"D","F")))))),"")</f>
        <v/>
      </c>
      <c r="P234" s="5">
        <f>IF(AND('Data Source'!B234&lt;&gt;"",'Data Source'!S234="A+"),'Data Source'!R234,"")</f>
        <v/>
      </c>
      <c r="Q234" s="3">
        <f>IF(AND('Data Source'!B234&lt;&gt;"",'Data Source'!S234="A+"),'Data Source'!S234,"")</f>
        <v/>
      </c>
    </row>
    <row r="235">
      <c r="A235" s="3">
        <f>IF(AND('Data Source'!B235&lt;&gt;"",'Data Source'!S235="A+"),COUNTIF('Data Source'!$S$3:S235,"A+"),"")</f>
        <v/>
      </c>
      <c r="B235">
        <f>IF(AND('Data Source'!B235&lt;&gt;"",'Data Source'!S235="A+"),'Data Source'!B235,"")</f>
        <v/>
      </c>
      <c r="C235" s="3">
        <f>IF(AND('Data Source'!B235&lt;&gt;"",'Data Source'!S235="A+"),IF('Data Source'!U235&gt;=5,"A+",IF('Data Source'!U235&gt;=4,"A",IF('Data Source'!U235&gt;=3.5,"A-",IF('Data Source'!U235&gt;=3,"B",IF('Data Source'!U235&gt;=2,"C",IF('Data Source'!U235&gt;=1,"D","F")))))),"")</f>
        <v/>
      </c>
      <c r="D235" s="3">
        <f>IF(AND('Data Source'!B235&lt;&gt;"",'Data Source'!S235="A+"),IF('Data Source'!V235&gt;=5,"A+",IF('Data Source'!V235&gt;=4,"A",IF('Data Source'!V235&gt;=3.5,"A-",IF('Data Source'!V235&gt;=3,"B",IF('Data Source'!V235&gt;=2,"C",IF('Data Source'!V235&gt;=1,"D","F")))))),"")</f>
        <v/>
      </c>
      <c r="E235" s="3">
        <f>IF(AND('Data Source'!B235&lt;&gt;"",'Data Source'!S235="A+"),IF('Data Source'!W235&gt;=5,"A+",IF('Data Source'!W235&gt;=4,"A",IF('Data Source'!W235&gt;=3.5,"A-",IF('Data Source'!W235&gt;=3,"B",IF('Data Source'!W235&gt;=2,"C",IF('Data Source'!W235&gt;=1,"D","F")))))),"")</f>
        <v/>
      </c>
      <c r="F235" s="3">
        <f>IF(AND('Data Source'!B235&lt;&gt;"",'Data Source'!S235="A+"),IF('Data Source'!X235&gt;=5,"A+",IF('Data Source'!X235&gt;=4,"A",IF('Data Source'!X235&gt;=3.5,"A-",IF('Data Source'!X235&gt;=3,"B",IF('Data Source'!X235&gt;=2,"C",IF('Data Source'!X235&gt;=1,"D","F")))))),"")</f>
        <v/>
      </c>
      <c r="G235" s="3">
        <f>IF(AND('Data Source'!B235&lt;&gt;"",'Data Source'!S235="A+"),IF('Data Source'!Y235&gt;=5,"A+",IF('Data Source'!Y235&gt;=4,"A",IF('Data Source'!Y235&gt;=3.5,"A-",IF('Data Source'!Y235&gt;=3,"B",IF('Data Source'!Y235&gt;=2,"C",IF('Data Source'!Y235&gt;=1,"D","F")))))),"")</f>
        <v/>
      </c>
      <c r="H235" s="3">
        <f>IF(AND('Data Source'!B235&lt;&gt;"",'Data Source'!S235="A+"),IF('Data Source'!Z235&gt;=5,"A+",IF('Data Source'!Z235&gt;=4,"A",IF('Data Source'!Z235&gt;=3.5,"A-",IF('Data Source'!Z235&gt;=3,"B",IF('Data Source'!Z235&gt;=2,"C",IF('Data Source'!Z235&gt;=1,"D","F")))))),"")</f>
        <v/>
      </c>
      <c r="I235" s="3">
        <f>IF(AND('Data Source'!B235&lt;&gt;"",'Data Source'!S235="A+"),IF('Data Source'!AA235&gt;=5,"A+",IF('Data Source'!AA235&gt;=4,"A",IF('Data Source'!AA235&gt;=3.5,"A-",IF('Data Source'!AA235&gt;=3,"B",IF('Data Source'!AA235&gt;=2,"C",IF('Data Source'!AA235&gt;=1,"D","F")))))),"")</f>
        <v/>
      </c>
      <c r="J235" s="3">
        <f>IF(AND('Data Source'!B235&lt;&gt;"",'Data Source'!S235="A+"),IF('Data Source'!AB235&gt;=5,"A+",IF('Data Source'!AB235&gt;=4,"A",IF('Data Source'!AB235&gt;=3.5,"A-",IF('Data Source'!AB235&gt;=3,"B",IF('Data Source'!AB235&gt;=2,"C",IF('Data Source'!AB235&gt;=1,"D","F")))))),"")</f>
        <v/>
      </c>
      <c r="K235" s="3">
        <f>IF(AND('Data Source'!B235&lt;&gt;"",'Data Source'!S235="A+"),IF('Data Source'!AC235&gt;=5,"A+",IF('Data Source'!AC235&gt;=4,"A",IF('Data Source'!AC235&gt;=3.5,"A-",IF('Data Source'!AC235&gt;=3,"B",IF('Data Source'!AC235&gt;=2,"C",IF('Data Source'!AC235&gt;=1,"D","F")))))),"")</f>
        <v/>
      </c>
      <c r="L235" s="3">
        <f>IF(AND('Data Source'!B235&lt;&gt;"",'Data Source'!S235="A+"),IF('Data Source'!AD235&gt;=5,"A+",IF('Data Source'!AD235&gt;=4,"A",IF('Data Source'!AD235&gt;=3.5,"A-",IF('Data Source'!AD235&gt;=3,"B",IF('Data Source'!AD235&gt;=2,"C",IF('Data Source'!AD235&gt;=1,"D","F")))))),"")</f>
        <v/>
      </c>
      <c r="M235" s="3">
        <f>IF(AND('Data Source'!B235&lt;&gt;"",'Data Source'!S235="A+"),IF('Data Source'!AE235&gt;=5,"A+",IF('Data Source'!AE235&gt;=4,"A",IF('Data Source'!AE235&gt;=3.5,"A-",IF('Data Source'!AE235&gt;=3,"B",IF('Data Source'!AE235&gt;=2,"C",IF('Data Source'!AE235&gt;=1,"D","F")))))),"")</f>
        <v/>
      </c>
      <c r="N235" s="3">
        <f>IF(AND('Data Source'!B235&lt;&gt;"",'Data Source'!S235="A+"),IF('Data Source'!AF235&gt;=5,"A+",IF('Data Source'!AF235&gt;=4,"A",IF('Data Source'!AF235&gt;=3.5,"A-",IF('Data Source'!AF235&gt;=3,"B",IF('Data Source'!AF235&gt;=2,"C",IF('Data Source'!AF235&gt;=1,"D","F")))))),"")</f>
        <v/>
      </c>
      <c r="O235" s="3">
        <f>IF(AND('Data Source'!B235&lt;&gt;"",'Data Source'!S235="A+"),IF('Data Source'!AG235&gt;=5,"A+",IF('Data Source'!AG235&gt;=4,"A",IF('Data Source'!AG235&gt;=3.5,"A-",IF('Data Source'!AG235&gt;=3,"B",IF('Data Source'!AG235&gt;=2,"C",IF('Data Source'!AG235&gt;=1,"D","F")))))),"")</f>
        <v/>
      </c>
      <c r="P235" s="5">
        <f>IF(AND('Data Source'!B235&lt;&gt;"",'Data Source'!S235="A+"),'Data Source'!R235,"")</f>
        <v/>
      </c>
      <c r="Q235" s="3">
        <f>IF(AND('Data Source'!B235&lt;&gt;"",'Data Source'!S235="A+"),'Data Source'!S235,"")</f>
        <v/>
      </c>
    </row>
    <row r="236">
      <c r="A236" s="3">
        <f>IF(AND('Data Source'!B236&lt;&gt;"",'Data Source'!S236="A+"),COUNTIF('Data Source'!$S$3:S236,"A+"),"")</f>
        <v/>
      </c>
      <c r="B236">
        <f>IF(AND('Data Source'!B236&lt;&gt;"",'Data Source'!S236="A+"),'Data Source'!B236,"")</f>
        <v/>
      </c>
      <c r="C236" s="3">
        <f>IF(AND('Data Source'!B236&lt;&gt;"",'Data Source'!S236="A+"),IF('Data Source'!U236&gt;=5,"A+",IF('Data Source'!U236&gt;=4,"A",IF('Data Source'!U236&gt;=3.5,"A-",IF('Data Source'!U236&gt;=3,"B",IF('Data Source'!U236&gt;=2,"C",IF('Data Source'!U236&gt;=1,"D","F")))))),"")</f>
        <v/>
      </c>
      <c r="D236" s="3">
        <f>IF(AND('Data Source'!B236&lt;&gt;"",'Data Source'!S236="A+"),IF('Data Source'!V236&gt;=5,"A+",IF('Data Source'!V236&gt;=4,"A",IF('Data Source'!V236&gt;=3.5,"A-",IF('Data Source'!V236&gt;=3,"B",IF('Data Source'!V236&gt;=2,"C",IF('Data Source'!V236&gt;=1,"D","F")))))),"")</f>
        <v/>
      </c>
      <c r="E236" s="3">
        <f>IF(AND('Data Source'!B236&lt;&gt;"",'Data Source'!S236="A+"),IF('Data Source'!W236&gt;=5,"A+",IF('Data Source'!W236&gt;=4,"A",IF('Data Source'!W236&gt;=3.5,"A-",IF('Data Source'!W236&gt;=3,"B",IF('Data Source'!W236&gt;=2,"C",IF('Data Source'!W236&gt;=1,"D","F")))))),"")</f>
        <v/>
      </c>
      <c r="F236" s="3">
        <f>IF(AND('Data Source'!B236&lt;&gt;"",'Data Source'!S236="A+"),IF('Data Source'!X236&gt;=5,"A+",IF('Data Source'!X236&gt;=4,"A",IF('Data Source'!X236&gt;=3.5,"A-",IF('Data Source'!X236&gt;=3,"B",IF('Data Source'!X236&gt;=2,"C",IF('Data Source'!X236&gt;=1,"D","F")))))),"")</f>
        <v/>
      </c>
      <c r="G236" s="3">
        <f>IF(AND('Data Source'!B236&lt;&gt;"",'Data Source'!S236="A+"),IF('Data Source'!Y236&gt;=5,"A+",IF('Data Source'!Y236&gt;=4,"A",IF('Data Source'!Y236&gt;=3.5,"A-",IF('Data Source'!Y236&gt;=3,"B",IF('Data Source'!Y236&gt;=2,"C",IF('Data Source'!Y236&gt;=1,"D","F")))))),"")</f>
        <v/>
      </c>
      <c r="H236" s="3">
        <f>IF(AND('Data Source'!B236&lt;&gt;"",'Data Source'!S236="A+"),IF('Data Source'!Z236&gt;=5,"A+",IF('Data Source'!Z236&gt;=4,"A",IF('Data Source'!Z236&gt;=3.5,"A-",IF('Data Source'!Z236&gt;=3,"B",IF('Data Source'!Z236&gt;=2,"C",IF('Data Source'!Z236&gt;=1,"D","F")))))),"")</f>
        <v/>
      </c>
      <c r="I236" s="3">
        <f>IF(AND('Data Source'!B236&lt;&gt;"",'Data Source'!S236="A+"),IF('Data Source'!AA236&gt;=5,"A+",IF('Data Source'!AA236&gt;=4,"A",IF('Data Source'!AA236&gt;=3.5,"A-",IF('Data Source'!AA236&gt;=3,"B",IF('Data Source'!AA236&gt;=2,"C",IF('Data Source'!AA236&gt;=1,"D","F")))))),"")</f>
        <v/>
      </c>
      <c r="J236" s="3">
        <f>IF(AND('Data Source'!B236&lt;&gt;"",'Data Source'!S236="A+"),IF('Data Source'!AB236&gt;=5,"A+",IF('Data Source'!AB236&gt;=4,"A",IF('Data Source'!AB236&gt;=3.5,"A-",IF('Data Source'!AB236&gt;=3,"B",IF('Data Source'!AB236&gt;=2,"C",IF('Data Source'!AB236&gt;=1,"D","F")))))),"")</f>
        <v/>
      </c>
      <c r="K236" s="3">
        <f>IF(AND('Data Source'!B236&lt;&gt;"",'Data Source'!S236="A+"),IF('Data Source'!AC236&gt;=5,"A+",IF('Data Source'!AC236&gt;=4,"A",IF('Data Source'!AC236&gt;=3.5,"A-",IF('Data Source'!AC236&gt;=3,"B",IF('Data Source'!AC236&gt;=2,"C",IF('Data Source'!AC236&gt;=1,"D","F")))))),"")</f>
        <v/>
      </c>
      <c r="L236" s="3">
        <f>IF(AND('Data Source'!B236&lt;&gt;"",'Data Source'!S236="A+"),IF('Data Source'!AD236&gt;=5,"A+",IF('Data Source'!AD236&gt;=4,"A",IF('Data Source'!AD236&gt;=3.5,"A-",IF('Data Source'!AD236&gt;=3,"B",IF('Data Source'!AD236&gt;=2,"C",IF('Data Source'!AD236&gt;=1,"D","F")))))),"")</f>
        <v/>
      </c>
      <c r="M236" s="3">
        <f>IF(AND('Data Source'!B236&lt;&gt;"",'Data Source'!S236="A+"),IF('Data Source'!AE236&gt;=5,"A+",IF('Data Source'!AE236&gt;=4,"A",IF('Data Source'!AE236&gt;=3.5,"A-",IF('Data Source'!AE236&gt;=3,"B",IF('Data Source'!AE236&gt;=2,"C",IF('Data Source'!AE236&gt;=1,"D","F")))))),"")</f>
        <v/>
      </c>
      <c r="N236" s="3">
        <f>IF(AND('Data Source'!B236&lt;&gt;"",'Data Source'!S236="A+"),IF('Data Source'!AF236&gt;=5,"A+",IF('Data Source'!AF236&gt;=4,"A",IF('Data Source'!AF236&gt;=3.5,"A-",IF('Data Source'!AF236&gt;=3,"B",IF('Data Source'!AF236&gt;=2,"C",IF('Data Source'!AF236&gt;=1,"D","F")))))),"")</f>
        <v/>
      </c>
      <c r="O236" s="3">
        <f>IF(AND('Data Source'!B236&lt;&gt;"",'Data Source'!S236="A+"),IF('Data Source'!AG236&gt;=5,"A+",IF('Data Source'!AG236&gt;=4,"A",IF('Data Source'!AG236&gt;=3.5,"A-",IF('Data Source'!AG236&gt;=3,"B",IF('Data Source'!AG236&gt;=2,"C",IF('Data Source'!AG236&gt;=1,"D","F")))))),"")</f>
        <v/>
      </c>
      <c r="P236" s="5">
        <f>IF(AND('Data Source'!B236&lt;&gt;"",'Data Source'!S236="A+"),'Data Source'!R236,"")</f>
        <v/>
      </c>
      <c r="Q236" s="3">
        <f>IF(AND('Data Source'!B236&lt;&gt;"",'Data Source'!S236="A+"),'Data Source'!S236,"")</f>
        <v/>
      </c>
    </row>
    <row r="237">
      <c r="A237" s="3">
        <f>IF(AND('Data Source'!B237&lt;&gt;"",'Data Source'!S237="A+"),COUNTIF('Data Source'!$S$3:S237,"A+"),"")</f>
        <v/>
      </c>
      <c r="B237">
        <f>IF(AND('Data Source'!B237&lt;&gt;"",'Data Source'!S237="A+"),'Data Source'!B237,"")</f>
        <v/>
      </c>
      <c r="C237" s="3">
        <f>IF(AND('Data Source'!B237&lt;&gt;"",'Data Source'!S237="A+"),IF('Data Source'!U237&gt;=5,"A+",IF('Data Source'!U237&gt;=4,"A",IF('Data Source'!U237&gt;=3.5,"A-",IF('Data Source'!U237&gt;=3,"B",IF('Data Source'!U237&gt;=2,"C",IF('Data Source'!U237&gt;=1,"D","F")))))),"")</f>
        <v/>
      </c>
      <c r="D237" s="3">
        <f>IF(AND('Data Source'!B237&lt;&gt;"",'Data Source'!S237="A+"),IF('Data Source'!V237&gt;=5,"A+",IF('Data Source'!V237&gt;=4,"A",IF('Data Source'!V237&gt;=3.5,"A-",IF('Data Source'!V237&gt;=3,"B",IF('Data Source'!V237&gt;=2,"C",IF('Data Source'!V237&gt;=1,"D","F")))))),"")</f>
        <v/>
      </c>
      <c r="E237" s="3">
        <f>IF(AND('Data Source'!B237&lt;&gt;"",'Data Source'!S237="A+"),IF('Data Source'!W237&gt;=5,"A+",IF('Data Source'!W237&gt;=4,"A",IF('Data Source'!W237&gt;=3.5,"A-",IF('Data Source'!W237&gt;=3,"B",IF('Data Source'!W237&gt;=2,"C",IF('Data Source'!W237&gt;=1,"D","F")))))),"")</f>
        <v/>
      </c>
      <c r="F237" s="3">
        <f>IF(AND('Data Source'!B237&lt;&gt;"",'Data Source'!S237="A+"),IF('Data Source'!X237&gt;=5,"A+",IF('Data Source'!X237&gt;=4,"A",IF('Data Source'!X237&gt;=3.5,"A-",IF('Data Source'!X237&gt;=3,"B",IF('Data Source'!X237&gt;=2,"C",IF('Data Source'!X237&gt;=1,"D","F")))))),"")</f>
        <v/>
      </c>
      <c r="G237" s="3">
        <f>IF(AND('Data Source'!B237&lt;&gt;"",'Data Source'!S237="A+"),IF('Data Source'!Y237&gt;=5,"A+",IF('Data Source'!Y237&gt;=4,"A",IF('Data Source'!Y237&gt;=3.5,"A-",IF('Data Source'!Y237&gt;=3,"B",IF('Data Source'!Y237&gt;=2,"C",IF('Data Source'!Y237&gt;=1,"D","F")))))),"")</f>
        <v/>
      </c>
      <c r="H237" s="3">
        <f>IF(AND('Data Source'!B237&lt;&gt;"",'Data Source'!S237="A+"),IF('Data Source'!Z237&gt;=5,"A+",IF('Data Source'!Z237&gt;=4,"A",IF('Data Source'!Z237&gt;=3.5,"A-",IF('Data Source'!Z237&gt;=3,"B",IF('Data Source'!Z237&gt;=2,"C",IF('Data Source'!Z237&gt;=1,"D","F")))))),"")</f>
        <v/>
      </c>
      <c r="I237" s="3">
        <f>IF(AND('Data Source'!B237&lt;&gt;"",'Data Source'!S237="A+"),IF('Data Source'!AA237&gt;=5,"A+",IF('Data Source'!AA237&gt;=4,"A",IF('Data Source'!AA237&gt;=3.5,"A-",IF('Data Source'!AA237&gt;=3,"B",IF('Data Source'!AA237&gt;=2,"C",IF('Data Source'!AA237&gt;=1,"D","F")))))),"")</f>
        <v/>
      </c>
      <c r="J237" s="3">
        <f>IF(AND('Data Source'!B237&lt;&gt;"",'Data Source'!S237="A+"),IF('Data Source'!AB237&gt;=5,"A+",IF('Data Source'!AB237&gt;=4,"A",IF('Data Source'!AB237&gt;=3.5,"A-",IF('Data Source'!AB237&gt;=3,"B",IF('Data Source'!AB237&gt;=2,"C",IF('Data Source'!AB237&gt;=1,"D","F")))))),"")</f>
        <v/>
      </c>
      <c r="K237" s="3">
        <f>IF(AND('Data Source'!B237&lt;&gt;"",'Data Source'!S237="A+"),IF('Data Source'!AC237&gt;=5,"A+",IF('Data Source'!AC237&gt;=4,"A",IF('Data Source'!AC237&gt;=3.5,"A-",IF('Data Source'!AC237&gt;=3,"B",IF('Data Source'!AC237&gt;=2,"C",IF('Data Source'!AC237&gt;=1,"D","F")))))),"")</f>
        <v/>
      </c>
      <c r="L237" s="3">
        <f>IF(AND('Data Source'!B237&lt;&gt;"",'Data Source'!S237="A+"),IF('Data Source'!AD237&gt;=5,"A+",IF('Data Source'!AD237&gt;=4,"A",IF('Data Source'!AD237&gt;=3.5,"A-",IF('Data Source'!AD237&gt;=3,"B",IF('Data Source'!AD237&gt;=2,"C",IF('Data Source'!AD237&gt;=1,"D","F")))))),"")</f>
        <v/>
      </c>
      <c r="M237" s="3">
        <f>IF(AND('Data Source'!B237&lt;&gt;"",'Data Source'!S237="A+"),IF('Data Source'!AE237&gt;=5,"A+",IF('Data Source'!AE237&gt;=4,"A",IF('Data Source'!AE237&gt;=3.5,"A-",IF('Data Source'!AE237&gt;=3,"B",IF('Data Source'!AE237&gt;=2,"C",IF('Data Source'!AE237&gt;=1,"D","F")))))),"")</f>
        <v/>
      </c>
      <c r="N237" s="3">
        <f>IF(AND('Data Source'!B237&lt;&gt;"",'Data Source'!S237="A+"),IF('Data Source'!AF237&gt;=5,"A+",IF('Data Source'!AF237&gt;=4,"A",IF('Data Source'!AF237&gt;=3.5,"A-",IF('Data Source'!AF237&gt;=3,"B",IF('Data Source'!AF237&gt;=2,"C",IF('Data Source'!AF237&gt;=1,"D","F")))))),"")</f>
        <v/>
      </c>
      <c r="O237" s="3">
        <f>IF(AND('Data Source'!B237&lt;&gt;"",'Data Source'!S237="A+"),IF('Data Source'!AG237&gt;=5,"A+",IF('Data Source'!AG237&gt;=4,"A",IF('Data Source'!AG237&gt;=3.5,"A-",IF('Data Source'!AG237&gt;=3,"B",IF('Data Source'!AG237&gt;=2,"C",IF('Data Source'!AG237&gt;=1,"D","F")))))),"")</f>
        <v/>
      </c>
      <c r="P237" s="5">
        <f>IF(AND('Data Source'!B237&lt;&gt;"",'Data Source'!S237="A+"),'Data Source'!R237,"")</f>
        <v/>
      </c>
      <c r="Q237" s="3">
        <f>IF(AND('Data Source'!B237&lt;&gt;"",'Data Source'!S237="A+"),'Data Source'!S237,"")</f>
        <v/>
      </c>
    </row>
    <row r="238">
      <c r="A238" s="3">
        <f>IF(AND('Data Source'!B238&lt;&gt;"",'Data Source'!S238="A+"),COUNTIF('Data Source'!$S$3:S238,"A+"),"")</f>
        <v/>
      </c>
      <c r="B238">
        <f>IF(AND('Data Source'!B238&lt;&gt;"",'Data Source'!S238="A+"),'Data Source'!B238,"")</f>
        <v/>
      </c>
      <c r="C238" s="3">
        <f>IF(AND('Data Source'!B238&lt;&gt;"",'Data Source'!S238="A+"),IF('Data Source'!U238&gt;=5,"A+",IF('Data Source'!U238&gt;=4,"A",IF('Data Source'!U238&gt;=3.5,"A-",IF('Data Source'!U238&gt;=3,"B",IF('Data Source'!U238&gt;=2,"C",IF('Data Source'!U238&gt;=1,"D","F")))))),"")</f>
        <v/>
      </c>
      <c r="D238" s="3">
        <f>IF(AND('Data Source'!B238&lt;&gt;"",'Data Source'!S238="A+"),IF('Data Source'!V238&gt;=5,"A+",IF('Data Source'!V238&gt;=4,"A",IF('Data Source'!V238&gt;=3.5,"A-",IF('Data Source'!V238&gt;=3,"B",IF('Data Source'!V238&gt;=2,"C",IF('Data Source'!V238&gt;=1,"D","F")))))),"")</f>
        <v/>
      </c>
      <c r="E238" s="3">
        <f>IF(AND('Data Source'!B238&lt;&gt;"",'Data Source'!S238="A+"),IF('Data Source'!W238&gt;=5,"A+",IF('Data Source'!W238&gt;=4,"A",IF('Data Source'!W238&gt;=3.5,"A-",IF('Data Source'!W238&gt;=3,"B",IF('Data Source'!W238&gt;=2,"C",IF('Data Source'!W238&gt;=1,"D","F")))))),"")</f>
        <v/>
      </c>
      <c r="F238" s="3">
        <f>IF(AND('Data Source'!B238&lt;&gt;"",'Data Source'!S238="A+"),IF('Data Source'!X238&gt;=5,"A+",IF('Data Source'!X238&gt;=4,"A",IF('Data Source'!X238&gt;=3.5,"A-",IF('Data Source'!X238&gt;=3,"B",IF('Data Source'!X238&gt;=2,"C",IF('Data Source'!X238&gt;=1,"D","F")))))),"")</f>
        <v/>
      </c>
      <c r="G238" s="3">
        <f>IF(AND('Data Source'!B238&lt;&gt;"",'Data Source'!S238="A+"),IF('Data Source'!Y238&gt;=5,"A+",IF('Data Source'!Y238&gt;=4,"A",IF('Data Source'!Y238&gt;=3.5,"A-",IF('Data Source'!Y238&gt;=3,"B",IF('Data Source'!Y238&gt;=2,"C",IF('Data Source'!Y238&gt;=1,"D","F")))))),"")</f>
        <v/>
      </c>
      <c r="H238" s="3">
        <f>IF(AND('Data Source'!B238&lt;&gt;"",'Data Source'!S238="A+"),IF('Data Source'!Z238&gt;=5,"A+",IF('Data Source'!Z238&gt;=4,"A",IF('Data Source'!Z238&gt;=3.5,"A-",IF('Data Source'!Z238&gt;=3,"B",IF('Data Source'!Z238&gt;=2,"C",IF('Data Source'!Z238&gt;=1,"D","F")))))),"")</f>
        <v/>
      </c>
      <c r="I238" s="3">
        <f>IF(AND('Data Source'!B238&lt;&gt;"",'Data Source'!S238="A+"),IF('Data Source'!AA238&gt;=5,"A+",IF('Data Source'!AA238&gt;=4,"A",IF('Data Source'!AA238&gt;=3.5,"A-",IF('Data Source'!AA238&gt;=3,"B",IF('Data Source'!AA238&gt;=2,"C",IF('Data Source'!AA238&gt;=1,"D","F")))))),"")</f>
        <v/>
      </c>
      <c r="J238" s="3">
        <f>IF(AND('Data Source'!B238&lt;&gt;"",'Data Source'!S238="A+"),IF('Data Source'!AB238&gt;=5,"A+",IF('Data Source'!AB238&gt;=4,"A",IF('Data Source'!AB238&gt;=3.5,"A-",IF('Data Source'!AB238&gt;=3,"B",IF('Data Source'!AB238&gt;=2,"C",IF('Data Source'!AB238&gt;=1,"D","F")))))),"")</f>
        <v/>
      </c>
      <c r="K238" s="3">
        <f>IF(AND('Data Source'!B238&lt;&gt;"",'Data Source'!S238="A+"),IF('Data Source'!AC238&gt;=5,"A+",IF('Data Source'!AC238&gt;=4,"A",IF('Data Source'!AC238&gt;=3.5,"A-",IF('Data Source'!AC238&gt;=3,"B",IF('Data Source'!AC238&gt;=2,"C",IF('Data Source'!AC238&gt;=1,"D","F")))))),"")</f>
        <v/>
      </c>
      <c r="L238" s="3">
        <f>IF(AND('Data Source'!B238&lt;&gt;"",'Data Source'!S238="A+"),IF('Data Source'!AD238&gt;=5,"A+",IF('Data Source'!AD238&gt;=4,"A",IF('Data Source'!AD238&gt;=3.5,"A-",IF('Data Source'!AD238&gt;=3,"B",IF('Data Source'!AD238&gt;=2,"C",IF('Data Source'!AD238&gt;=1,"D","F")))))),"")</f>
        <v/>
      </c>
      <c r="M238" s="3">
        <f>IF(AND('Data Source'!B238&lt;&gt;"",'Data Source'!S238="A+"),IF('Data Source'!AE238&gt;=5,"A+",IF('Data Source'!AE238&gt;=4,"A",IF('Data Source'!AE238&gt;=3.5,"A-",IF('Data Source'!AE238&gt;=3,"B",IF('Data Source'!AE238&gt;=2,"C",IF('Data Source'!AE238&gt;=1,"D","F")))))),"")</f>
        <v/>
      </c>
      <c r="N238" s="3">
        <f>IF(AND('Data Source'!B238&lt;&gt;"",'Data Source'!S238="A+"),IF('Data Source'!AF238&gt;=5,"A+",IF('Data Source'!AF238&gt;=4,"A",IF('Data Source'!AF238&gt;=3.5,"A-",IF('Data Source'!AF238&gt;=3,"B",IF('Data Source'!AF238&gt;=2,"C",IF('Data Source'!AF238&gt;=1,"D","F")))))),"")</f>
        <v/>
      </c>
      <c r="O238" s="3">
        <f>IF(AND('Data Source'!B238&lt;&gt;"",'Data Source'!S238="A+"),IF('Data Source'!AG238&gt;=5,"A+",IF('Data Source'!AG238&gt;=4,"A",IF('Data Source'!AG238&gt;=3.5,"A-",IF('Data Source'!AG238&gt;=3,"B",IF('Data Source'!AG238&gt;=2,"C",IF('Data Source'!AG238&gt;=1,"D","F")))))),"")</f>
        <v/>
      </c>
      <c r="P238" s="5">
        <f>IF(AND('Data Source'!B238&lt;&gt;"",'Data Source'!S238="A+"),'Data Source'!R238,"")</f>
        <v/>
      </c>
      <c r="Q238" s="3">
        <f>IF(AND('Data Source'!B238&lt;&gt;"",'Data Source'!S238="A+"),'Data Source'!S238,"")</f>
        <v/>
      </c>
    </row>
    <row r="239">
      <c r="A239" s="3">
        <f>IF(AND('Data Source'!B239&lt;&gt;"",'Data Source'!S239="A+"),COUNTIF('Data Source'!$S$3:S239,"A+"),"")</f>
        <v/>
      </c>
      <c r="B239">
        <f>IF(AND('Data Source'!B239&lt;&gt;"",'Data Source'!S239="A+"),'Data Source'!B239,"")</f>
        <v/>
      </c>
      <c r="C239" s="3">
        <f>IF(AND('Data Source'!B239&lt;&gt;"",'Data Source'!S239="A+"),IF('Data Source'!U239&gt;=5,"A+",IF('Data Source'!U239&gt;=4,"A",IF('Data Source'!U239&gt;=3.5,"A-",IF('Data Source'!U239&gt;=3,"B",IF('Data Source'!U239&gt;=2,"C",IF('Data Source'!U239&gt;=1,"D","F")))))),"")</f>
        <v/>
      </c>
      <c r="D239" s="3">
        <f>IF(AND('Data Source'!B239&lt;&gt;"",'Data Source'!S239="A+"),IF('Data Source'!V239&gt;=5,"A+",IF('Data Source'!V239&gt;=4,"A",IF('Data Source'!V239&gt;=3.5,"A-",IF('Data Source'!V239&gt;=3,"B",IF('Data Source'!V239&gt;=2,"C",IF('Data Source'!V239&gt;=1,"D","F")))))),"")</f>
        <v/>
      </c>
      <c r="E239" s="3">
        <f>IF(AND('Data Source'!B239&lt;&gt;"",'Data Source'!S239="A+"),IF('Data Source'!W239&gt;=5,"A+",IF('Data Source'!W239&gt;=4,"A",IF('Data Source'!W239&gt;=3.5,"A-",IF('Data Source'!W239&gt;=3,"B",IF('Data Source'!W239&gt;=2,"C",IF('Data Source'!W239&gt;=1,"D","F")))))),"")</f>
        <v/>
      </c>
      <c r="F239" s="3">
        <f>IF(AND('Data Source'!B239&lt;&gt;"",'Data Source'!S239="A+"),IF('Data Source'!X239&gt;=5,"A+",IF('Data Source'!X239&gt;=4,"A",IF('Data Source'!X239&gt;=3.5,"A-",IF('Data Source'!X239&gt;=3,"B",IF('Data Source'!X239&gt;=2,"C",IF('Data Source'!X239&gt;=1,"D","F")))))),"")</f>
        <v/>
      </c>
      <c r="G239" s="3">
        <f>IF(AND('Data Source'!B239&lt;&gt;"",'Data Source'!S239="A+"),IF('Data Source'!Y239&gt;=5,"A+",IF('Data Source'!Y239&gt;=4,"A",IF('Data Source'!Y239&gt;=3.5,"A-",IF('Data Source'!Y239&gt;=3,"B",IF('Data Source'!Y239&gt;=2,"C",IF('Data Source'!Y239&gt;=1,"D","F")))))),"")</f>
        <v/>
      </c>
      <c r="H239" s="3">
        <f>IF(AND('Data Source'!B239&lt;&gt;"",'Data Source'!S239="A+"),IF('Data Source'!Z239&gt;=5,"A+",IF('Data Source'!Z239&gt;=4,"A",IF('Data Source'!Z239&gt;=3.5,"A-",IF('Data Source'!Z239&gt;=3,"B",IF('Data Source'!Z239&gt;=2,"C",IF('Data Source'!Z239&gt;=1,"D","F")))))),"")</f>
        <v/>
      </c>
      <c r="I239" s="3">
        <f>IF(AND('Data Source'!B239&lt;&gt;"",'Data Source'!S239="A+"),IF('Data Source'!AA239&gt;=5,"A+",IF('Data Source'!AA239&gt;=4,"A",IF('Data Source'!AA239&gt;=3.5,"A-",IF('Data Source'!AA239&gt;=3,"B",IF('Data Source'!AA239&gt;=2,"C",IF('Data Source'!AA239&gt;=1,"D","F")))))),"")</f>
        <v/>
      </c>
      <c r="J239" s="3">
        <f>IF(AND('Data Source'!B239&lt;&gt;"",'Data Source'!S239="A+"),IF('Data Source'!AB239&gt;=5,"A+",IF('Data Source'!AB239&gt;=4,"A",IF('Data Source'!AB239&gt;=3.5,"A-",IF('Data Source'!AB239&gt;=3,"B",IF('Data Source'!AB239&gt;=2,"C",IF('Data Source'!AB239&gt;=1,"D","F")))))),"")</f>
        <v/>
      </c>
      <c r="K239" s="3">
        <f>IF(AND('Data Source'!B239&lt;&gt;"",'Data Source'!S239="A+"),IF('Data Source'!AC239&gt;=5,"A+",IF('Data Source'!AC239&gt;=4,"A",IF('Data Source'!AC239&gt;=3.5,"A-",IF('Data Source'!AC239&gt;=3,"B",IF('Data Source'!AC239&gt;=2,"C",IF('Data Source'!AC239&gt;=1,"D","F")))))),"")</f>
        <v/>
      </c>
      <c r="L239" s="3">
        <f>IF(AND('Data Source'!B239&lt;&gt;"",'Data Source'!S239="A+"),IF('Data Source'!AD239&gt;=5,"A+",IF('Data Source'!AD239&gt;=4,"A",IF('Data Source'!AD239&gt;=3.5,"A-",IF('Data Source'!AD239&gt;=3,"B",IF('Data Source'!AD239&gt;=2,"C",IF('Data Source'!AD239&gt;=1,"D","F")))))),"")</f>
        <v/>
      </c>
      <c r="M239" s="3">
        <f>IF(AND('Data Source'!B239&lt;&gt;"",'Data Source'!S239="A+"),IF('Data Source'!AE239&gt;=5,"A+",IF('Data Source'!AE239&gt;=4,"A",IF('Data Source'!AE239&gt;=3.5,"A-",IF('Data Source'!AE239&gt;=3,"B",IF('Data Source'!AE239&gt;=2,"C",IF('Data Source'!AE239&gt;=1,"D","F")))))),"")</f>
        <v/>
      </c>
      <c r="N239" s="3">
        <f>IF(AND('Data Source'!B239&lt;&gt;"",'Data Source'!S239="A+"),IF('Data Source'!AF239&gt;=5,"A+",IF('Data Source'!AF239&gt;=4,"A",IF('Data Source'!AF239&gt;=3.5,"A-",IF('Data Source'!AF239&gt;=3,"B",IF('Data Source'!AF239&gt;=2,"C",IF('Data Source'!AF239&gt;=1,"D","F")))))),"")</f>
        <v/>
      </c>
      <c r="O239" s="3">
        <f>IF(AND('Data Source'!B239&lt;&gt;"",'Data Source'!S239="A+"),IF('Data Source'!AG239&gt;=5,"A+",IF('Data Source'!AG239&gt;=4,"A",IF('Data Source'!AG239&gt;=3.5,"A-",IF('Data Source'!AG239&gt;=3,"B",IF('Data Source'!AG239&gt;=2,"C",IF('Data Source'!AG239&gt;=1,"D","F")))))),"")</f>
        <v/>
      </c>
      <c r="P239" s="5">
        <f>IF(AND('Data Source'!B239&lt;&gt;"",'Data Source'!S239="A+"),'Data Source'!R239,"")</f>
        <v/>
      </c>
      <c r="Q239" s="3">
        <f>IF(AND('Data Source'!B239&lt;&gt;"",'Data Source'!S239="A+"),'Data Source'!S239,"")</f>
        <v/>
      </c>
    </row>
    <row r="240">
      <c r="A240" s="3">
        <f>IF(AND('Data Source'!B240&lt;&gt;"",'Data Source'!S240="A+"),COUNTIF('Data Source'!$S$3:S240,"A+"),"")</f>
        <v/>
      </c>
      <c r="B240">
        <f>IF(AND('Data Source'!B240&lt;&gt;"",'Data Source'!S240="A+"),'Data Source'!B240,"")</f>
        <v/>
      </c>
      <c r="C240" s="3">
        <f>IF(AND('Data Source'!B240&lt;&gt;"",'Data Source'!S240="A+"),IF('Data Source'!U240&gt;=5,"A+",IF('Data Source'!U240&gt;=4,"A",IF('Data Source'!U240&gt;=3.5,"A-",IF('Data Source'!U240&gt;=3,"B",IF('Data Source'!U240&gt;=2,"C",IF('Data Source'!U240&gt;=1,"D","F")))))),"")</f>
        <v/>
      </c>
      <c r="D240" s="3">
        <f>IF(AND('Data Source'!B240&lt;&gt;"",'Data Source'!S240="A+"),IF('Data Source'!V240&gt;=5,"A+",IF('Data Source'!V240&gt;=4,"A",IF('Data Source'!V240&gt;=3.5,"A-",IF('Data Source'!V240&gt;=3,"B",IF('Data Source'!V240&gt;=2,"C",IF('Data Source'!V240&gt;=1,"D","F")))))),"")</f>
        <v/>
      </c>
      <c r="E240" s="3">
        <f>IF(AND('Data Source'!B240&lt;&gt;"",'Data Source'!S240="A+"),IF('Data Source'!W240&gt;=5,"A+",IF('Data Source'!W240&gt;=4,"A",IF('Data Source'!W240&gt;=3.5,"A-",IF('Data Source'!W240&gt;=3,"B",IF('Data Source'!W240&gt;=2,"C",IF('Data Source'!W240&gt;=1,"D","F")))))),"")</f>
        <v/>
      </c>
      <c r="F240" s="3">
        <f>IF(AND('Data Source'!B240&lt;&gt;"",'Data Source'!S240="A+"),IF('Data Source'!X240&gt;=5,"A+",IF('Data Source'!X240&gt;=4,"A",IF('Data Source'!X240&gt;=3.5,"A-",IF('Data Source'!X240&gt;=3,"B",IF('Data Source'!X240&gt;=2,"C",IF('Data Source'!X240&gt;=1,"D","F")))))),"")</f>
        <v/>
      </c>
      <c r="G240" s="3">
        <f>IF(AND('Data Source'!B240&lt;&gt;"",'Data Source'!S240="A+"),IF('Data Source'!Y240&gt;=5,"A+",IF('Data Source'!Y240&gt;=4,"A",IF('Data Source'!Y240&gt;=3.5,"A-",IF('Data Source'!Y240&gt;=3,"B",IF('Data Source'!Y240&gt;=2,"C",IF('Data Source'!Y240&gt;=1,"D","F")))))),"")</f>
        <v/>
      </c>
      <c r="H240" s="3">
        <f>IF(AND('Data Source'!B240&lt;&gt;"",'Data Source'!S240="A+"),IF('Data Source'!Z240&gt;=5,"A+",IF('Data Source'!Z240&gt;=4,"A",IF('Data Source'!Z240&gt;=3.5,"A-",IF('Data Source'!Z240&gt;=3,"B",IF('Data Source'!Z240&gt;=2,"C",IF('Data Source'!Z240&gt;=1,"D","F")))))),"")</f>
        <v/>
      </c>
      <c r="I240" s="3">
        <f>IF(AND('Data Source'!B240&lt;&gt;"",'Data Source'!S240="A+"),IF('Data Source'!AA240&gt;=5,"A+",IF('Data Source'!AA240&gt;=4,"A",IF('Data Source'!AA240&gt;=3.5,"A-",IF('Data Source'!AA240&gt;=3,"B",IF('Data Source'!AA240&gt;=2,"C",IF('Data Source'!AA240&gt;=1,"D","F")))))),"")</f>
        <v/>
      </c>
      <c r="J240" s="3">
        <f>IF(AND('Data Source'!B240&lt;&gt;"",'Data Source'!S240="A+"),IF('Data Source'!AB240&gt;=5,"A+",IF('Data Source'!AB240&gt;=4,"A",IF('Data Source'!AB240&gt;=3.5,"A-",IF('Data Source'!AB240&gt;=3,"B",IF('Data Source'!AB240&gt;=2,"C",IF('Data Source'!AB240&gt;=1,"D","F")))))),"")</f>
        <v/>
      </c>
      <c r="K240" s="3">
        <f>IF(AND('Data Source'!B240&lt;&gt;"",'Data Source'!S240="A+"),IF('Data Source'!AC240&gt;=5,"A+",IF('Data Source'!AC240&gt;=4,"A",IF('Data Source'!AC240&gt;=3.5,"A-",IF('Data Source'!AC240&gt;=3,"B",IF('Data Source'!AC240&gt;=2,"C",IF('Data Source'!AC240&gt;=1,"D","F")))))),"")</f>
        <v/>
      </c>
      <c r="L240" s="3">
        <f>IF(AND('Data Source'!B240&lt;&gt;"",'Data Source'!S240="A+"),IF('Data Source'!AD240&gt;=5,"A+",IF('Data Source'!AD240&gt;=4,"A",IF('Data Source'!AD240&gt;=3.5,"A-",IF('Data Source'!AD240&gt;=3,"B",IF('Data Source'!AD240&gt;=2,"C",IF('Data Source'!AD240&gt;=1,"D","F")))))),"")</f>
        <v/>
      </c>
      <c r="M240" s="3">
        <f>IF(AND('Data Source'!B240&lt;&gt;"",'Data Source'!S240="A+"),IF('Data Source'!AE240&gt;=5,"A+",IF('Data Source'!AE240&gt;=4,"A",IF('Data Source'!AE240&gt;=3.5,"A-",IF('Data Source'!AE240&gt;=3,"B",IF('Data Source'!AE240&gt;=2,"C",IF('Data Source'!AE240&gt;=1,"D","F")))))),"")</f>
        <v/>
      </c>
      <c r="N240" s="3">
        <f>IF(AND('Data Source'!B240&lt;&gt;"",'Data Source'!S240="A+"),IF('Data Source'!AF240&gt;=5,"A+",IF('Data Source'!AF240&gt;=4,"A",IF('Data Source'!AF240&gt;=3.5,"A-",IF('Data Source'!AF240&gt;=3,"B",IF('Data Source'!AF240&gt;=2,"C",IF('Data Source'!AF240&gt;=1,"D","F")))))),"")</f>
        <v/>
      </c>
      <c r="O240" s="3">
        <f>IF(AND('Data Source'!B240&lt;&gt;"",'Data Source'!S240="A+"),IF('Data Source'!AG240&gt;=5,"A+",IF('Data Source'!AG240&gt;=4,"A",IF('Data Source'!AG240&gt;=3.5,"A-",IF('Data Source'!AG240&gt;=3,"B",IF('Data Source'!AG240&gt;=2,"C",IF('Data Source'!AG240&gt;=1,"D","F")))))),"")</f>
        <v/>
      </c>
      <c r="P240" s="5">
        <f>IF(AND('Data Source'!B240&lt;&gt;"",'Data Source'!S240="A+"),'Data Source'!R240,"")</f>
        <v/>
      </c>
      <c r="Q240" s="3">
        <f>IF(AND('Data Source'!B240&lt;&gt;"",'Data Source'!S240="A+"),'Data Source'!S240,"")</f>
        <v/>
      </c>
    </row>
    <row r="241">
      <c r="A241" s="3">
        <f>IF(AND('Data Source'!B241&lt;&gt;"",'Data Source'!S241="A+"),COUNTIF('Data Source'!$S$3:S241,"A+"),"")</f>
        <v/>
      </c>
      <c r="B241">
        <f>IF(AND('Data Source'!B241&lt;&gt;"",'Data Source'!S241="A+"),'Data Source'!B241,"")</f>
        <v/>
      </c>
      <c r="C241" s="3">
        <f>IF(AND('Data Source'!B241&lt;&gt;"",'Data Source'!S241="A+"),IF('Data Source'!U241&gt;=5,"A+",IF('Data Source'!U241&gt;=4,"A",IF('Data Source'!U241&gt;=3.5,"A-",IF('Data Source'!U241&gt;=3,"B",IF('Data Source'!U241&gt;=2,"C",IF('Data Source'!U241&gt;=1,"D","F")))))),"")</f>
        <v/>
      </c>
      <c r="D241" s="3">
        <f>IF(AND('Data Source'!B241&lt;&gt;"",'Data Source'!S241="A+"),IF('Data Source'!V241&gt;=5,"A+",IF('Data Source'!V241&gt;=4,"A",IF('Data Source'!V241&gt;=3.5,"A-",IF('Data Source'!V241&gt;=3,"B",IF('Data Source'!V241&gt;=2,"C",IF('Data Source'!V241&gt;=1,"D","F")))))),"")</f>
        <v/>
      </c>
      <c r="E241" s="3">
        <f>IF(AND('Data Source'!B241&lt;&gt;"",'Data Source'!S241="A+"),IF('Data Source'!W241&gt;=5,"A+",IF('Data Source'!W241&gt;=4,"A",IF('Data Source'!W241&gt;=3.5,"A-",IF('Data Source'!W241&gt;=3,"B",IF('Data Source'!W241&gt;=2,"C",IF('Data Source'!W241&gt;=1,"D","F")))))),"")</f>
        <v/>
      </c>
      <c r="F241" s="3">
        <f>IF(AND('Data Source'!B241&lt;&gt;"",'Data Source'!S241="A+"),IF('Data Source'!X241&gt;=5,"A+",IF('Data Source'!X241&gt;=4,"A",IF('Data Source'!X241&gt;=3.5,"A-",IF('Data Source'!X241&gt;=3,"B",IF('Data Source'!X241&gt;=2,"C",IF('Data Source'!X241&gt;=1,"D","F")))))),"")</f>
        <v/>
      </c>
      <c r="G241" s="3">
        <f>IF(AND('Data Source'!B241&lt;&gt;"",'Data Source'!S241="A+"),IF('Data Source'!Y241&gt;=5,"A+",IF('Data Source'!Y241&gt;=4,"A",IF('Data Source'!Y241&gt;=3.5,"A-",IF('Data Source'!Y241&gt;=3,"B",IF('Data Source'!Y241&gt;=2,"C",IF('Data Source'!Y241&gt;=1,"D","F")))))),"")</f>
        <v/>
      </c>
      <c r="H241" s="3">
        <f>IF(AND('Data Source'!B241&lt;&gt;"",'Data Source'!S241="A+"),IF('Data Source'!Z241&gt;=5,"A+",IF('Data Source'!Z241&gt;=4,"A",IF('Data Source'!Z241&gt;=3.5,"A-",IF('Data Source'!Z241&gt;=3,"B",IF('Data Source'!Z241&gt;=2,"C",IF('Data Source'!Z241&gt;=1,"D","F")))))),"")</f>
        <v/>
      </c>
      <c r="I241" s="3">
        <f>IF(AND('Data Source'!B241&lt;&gt;"",'Data Source'!S241="A+"),IF('Data Source'!AA241&gt;=5,"A+",IF('Data Source'!AA241&gt;=4,"A",IF('Data Source'!AA241&gt;=3.5,"A-",IF('Data Source'!AA241&gt;=3,"B",IF('Data Source'!AA241&gt;=2,"C",IF('Data Source'!AA241&gt;=1,"D","F")))))),"")</f>
        <v/>
      </c>
      <c r="J241" s="3">
        <f>IF(AND('Data Source'!B241&lt;&gt;"",'Data Source'!S241="A+"),IF('Data Source'!AB241&gt;=5,"A+",IF('Data Source'!AB241&gt;=4,"A",IF('Data Source'!AB241&gt;=3.5,"A-",IF('Data Source'!AB241&gt;=3,"B",IF('Data Source'!AB241&gt;=2,"C",IF('Data Source'!AB241&gt;=1,"D","F")))))),"")</f>
        <v/>
      </c>
      <c r="K241" s="3">
        <f>IF(AND('Data Source'!B241&lt;&gt;"",'Data Source'!S241="A+"),IF('Data Source'!AC241&gt;=5,"A+",IF('Data Source'!AC241&gt;=4,"A",IF('Data Source'!AC241&gt;=3.5,"A-",IF('Data Source'!AC241&gt;=3,"B",IF('Data Source'!AC241&gt;=2,"C",IF('Data Source'!AC241&gt;=1,"D","F")))))),"")</f>
        <v/>
      </c>
      <c r="L241" s="3">
        <f>IF(AND('Data Source'!B241&lt;&gt;"",'Data Source'!S241="A+"),IF('Data Source'!AD241&gt;=5,"A+",IF('Data Source'!AD241&gt;=4,"A",IF('Data Source'!AD241&gt;=3.5,"A-",IF('Data Source'!AD241&gt;=3,"B",IF('Data Source'!AD241&gt;=2,"C",IF('Data Source'!AD241&gt;=1,"D","F")))))),"")</f>
        <v/>
      </c>
      <c r="M241" s="3">
        <f>IF(AND('Data Source'!B241&lt;&gt;"",'Data Source'!S241="A+"),IF('Data Source'!AE241&gt;=5,"A+",IF('Data Source'!AE241&gt;=4,"A",IF('Data Source'!AE241&gt;=3.5,"A-",IF('Data Source'!AE241&gt;=3,"B",IF('Data Source'!AE241&gt;=2,"C",IF('Data Source'!AE241&gt;=1,"D","F")))))),"")</f>
        <v/>
      </c>
      <c r="N241" s="3">
        <f>IF(AND('Data Source'!B241&lt;&gt;"",'Data Source'!S241="A+"),IF('Data Source'!AF241&gt;=5,"A+",IF('Data Source'!AF241&gt;=4,"A",IF('Data Source'!AF241&gt;=3.5,"A-",IF('Data Source'!AF241&gt;=3,"B",IF('Data Source'!AF241&gt;=2,"C",IF('Data Source'!AF241&gt;=1,"D","F")))))),"")</f>
        <v/>
      </c>
      <c r="O241" s="3">
        <f>IF(AND('Data Source'!B241&lt;&gt;"",'Data Source'!S241="A+"),IF('Data Source'!AG241&gt;=5,"A+",IF('Data Source'!AG241&gt;=4,"A",IF('Data Source'!AG241&gt;=3.5,"A-",IF('Data Source'!AG241&gt;=3,"B",IF('Data Source'!AG241&gt;=2,"C",IF('Data Source'!AG241&gt;=1,"D","F")))))),"")</f>
        <v/>
      </c>
      <c r="P241" s="5">
        <f>IF(AND('Data Source'!B241&lt;&gt;"",'Data Source'!S241="A+"),'Data Source'!R241,"")</f>
        <v/>
      </c>
      <c r="Q241" s="3">
        <f>IF(AND('Data Source'!B241&lt;&gt;"",'Data Source'!S241="A+"),'Data Source'!S241,"")</f>
        <v/>
      </c>
    </row>
    <row r="242">
      <c r="A242" s="3">
        <f>IF(AND('Data Source'!B242&lt;&gt;"",'Data Source'!S242="A+"),COUNTIF('Data Source'!$S$3:S242,"A+"),"")</f>
        <v/>
      </c>
      <c r="B242">
        <f>IF(AND('Data Source'!B242&lt;&gt;"",'Data Source'!S242="A+"),'Data Source'!B242,"")</f>
        <v/>
      </c>
      <c r="C242" s="3">
        <f>IF(AND('Data Source'!B242&lt;&gt;"",'Data Source'!S242="A+"),IF('Data Source'!U242&gt;=5,"A+",IF('Data Source'!U242&gt;=4,"A",IF('Data Source'!U242&gt;=3.5,"A-",IF('Data Source'!U242&gt;=3,"B",IF('Data Source'!U242&gt;=2,"C",IF('Data Source'!U242&gt;=1,"D","F")))))),"")</f>
        <v/>
      </c>
      <c r="D242" s="3">
        <f>IF(AND('Data Source'!B242&lt;&gt;"",'Data Source'!S242="A+"),IF('Data Source'!V242&gt;=5,"A+",IF('Data Source'!V242&gt;=4,"A",IF('Data Source'!V242&gt;=3.5,"A-",IF('Data Source'!V242&gt;=3,"B",IF('Data Source'!V242&gt;=2,"C",IF('Data Source'!V242&gt;=1,"D","F")))))),"")</f>
        <v/>
      </c>
      <c r="E242" s="3">
        <f>IF(AND('Data Source'!B242&lt;&gt;"",'Data Source'!S242="A+"),IF('Data Source'!W242&gt;=5,"A+",IF('Data Source'!W242&gt;=4,"A",IF('Data Source'!W242&gt;=3.5,"A-",IF('Data Source'!W242&gt;=3,"B",IF('Data Source'!W242&gt;=2,"C",IF('Data Source'!W242&gt;=1,"D","F")))))),"")</f>
        <v/>
      </c>
      <c r="F242" s="3">
        <f>IF(AND('Data Source'!B242&lt;&gt;"",'Data Source'!S242="A+"),IF('Data Source'!X242&gt;=5,"A+",IF('Data Source'!X242&gt;=4,"A",IF('Data Source'!X242&gt;=3.5,"A-",IF('Data Source'!X242&gt;=3,"B",IF('Data Source'!X242&gt;=2,"C",IF('Data Source'!X242&gt;=1,"D","F")))))),"")</f>
        <v/>
      </c>
      <c r="G242" s="3">
        <f>IF(AND('Data Source'!B242&lt;&gt;"",'Data Source'!S242="A+"),IF('Data Source'!Y242&gt;=5,"A+",IF('Data Source'!Y242&gt;=4,"A",IF('Data Source'!Y242&gt;=3.5,"A-",IF('Data Source'!Y242&gt;=3,"B",IF('Data Source'!Y242&gt;=2,"C",IF('Data Source'!Y242&gt;=1,"D","F")))))),"")</f>
        <v/>
      </c>
      <c r="H242" s="3">
        <f>IF(AND('Data Source'!B242&lt;&gt;"",'Data Source'!S242="A+"),IF('Data Source'!Z242&gt;=5,"A+",IF('Data Source'!Z242&gt;=4,"A",IF('Data Source'!Z242&gt;=3.5,"A-",IF('Data Source'!Z242&gt;=3,"B",IF('Data Source'!Z242&gt;=2,"C",IF('Data Source'!Z242&gt;=1,"D","F")))))),"")</f>
        <v/>
      </c>
      <c r="I242" s="3">
        <f>IF(AND('Data Source'!B242&lt;&gt;"",'Data Source'!S242="A+"),IF('Data Source'!AA242&gt;=5,"A+",IF('Data Source'!AA242&gt;=4,"A",IF('Data Source'!AA242&gt;=3.5,"A-",IF('Data Source'!AA242&gt;=3,"B",IF('Data Source'!AA242&gt;=2,"C",IF('Data Source'!AA242&gt;=1,"D","F")))))),"")</f>
        <v/>
      </c>
      <c r="J242" s="3">
        <f>IF(AND('Data Source'!B242&lt;&gt;"",'Data Source'!S242="A+"),IF('Data Source'!AB242&gt;=5,"A+",IF('Data Source'!AB242&gt;=4,"A",IF('Data Source'!AB242&gt;=3.5,"A-",IF('Data Source'!AB242&gt;=3,"B",IF('Data Source'!AB242&gt;=2,"C",IF('Data Source'!AB242&gt;=1,"D","F")))))),"")</f>
        <v/>
      </c>
      <c r="K242" s="3">
        <f>IF(AND('Data Source'!B242&lt;&gt;"",'Data Source'!S242="A+"),IF('Data Source'!AC242&gt;=5,"A+",IF('Data Source'!AC242&gt;=4,"A",IF('Data Source'!AC242&gt;=3.5,"A-",IF('Data Source'!AC242&gt;=3,"B",IF('Data Source'!AC242&gt;=2,"C",IF('Data Source'!AC242&gt;=1,"D","F")))))),"")</f>
        <v/>
      </c>
      <c r="L242" s="3">
        <f>IF(AND('Data Source'!B242&lt;&gt;"",'Data Source'!S242="A+"),IF('Data Source'!AD242&gt;=5,"A+",IF('Data Source'!AD242&gt;=4,"A",IF('Data Source'!AD242&gt;=3.5,"A-",IF('Data Source'!AD242&gt;=3,"B",IF('Data Source'!AD242&gt;=2,"C",IF('Data Source'!AD242&gt;=1,"D","F")))))),"")</f>
        <v/>
      </c>
      <c r="M242" s="3">
        <f>IF(AND('Data Source'!B242&lt;&gt;"",'Data Source'!S242="A+"),IF('Data Source'!AE242&gt;=5,"A+",IF('Data Source'!AE242&gt;=4,"A",IF('Data Source'!AE242&gt;=3.5,"A-",IF('Data Source'!AE242&gt;=3,"B",IF('Data Source'!AE242&gt;=2,"C",IF('Data Source'!AE242&gt;=1,"D","F")))))),"")</f>
        <v/>
      </c>
      <c r="N242" s="3">
        <f>IF(AND('Data Source'!B242&lt;&gt;"",'Data Source'!S242="A+"),IF('Data Source'!AF242&gt;=5,"A+",IF('Data Source'!AF242&gt;=4,"A",IF('Data Source'!AF242&gt;=3.5,"A-",IF('Data Source'!AF242&gt;=3,"B",IF('Data Source'!AF242&gt;=2,"C",IF('Data Source'!AF242&gt;=1,"D","F")))))),"")</f>
        <v/>
      </c>
      <c r="O242" s="3">
        <f>IF(AND('Data Source'!B242&lt;&gt;"",'Data Source'!S242="A+"),IF('Data Source'!AG242&gt;=5,"A+",IF('Data Source'!AG242&gt;=4,"A",IF('Data Source'!AG242&gt;=3.5,"A-",IF('Data Source'!AG242&gt;=3,"B",IF('Data Source'!AG242&gt;=2,"C",IF('Data Source'!AG242&gt;=1,"D","F")))))),"")</f>
        <v/>
      </c>
      <c r="P242" s="5">
        <f>IF(AND('Data Source'!B242&lt;&gt;"",'Data Source'!S242="A+"),'Data Source'!R242,"")</f>
        <v/>
      </c>
      <c r="Q242" s="3">
        <f>IF(AND('Data Source'!B242&lt;&gt;"",'Data Source'!S242="A+"),'Data Source'!S242,"")</f>
        <v/>
      </c>
    </row>
    <row r="243">
      <c r="A243" s="3">
        <f>IF(AND('Data Source'!B243&lt;&gt;"",'Data Source'!S243="A+"),COUNTIF('Data Source'!$S$3:S243,"A+"),"")</f>
        <v/>
      </c>
      <c r="B243">
        <f>IF(AND('Data Source'!B243&lt;&gt;"",'Data Source'!S243="A+"),'Data Source'!B243,"")</f>
        <v/>
      </c>
      <c r="C243" s="3">
        <f>IF(AND('Data Source'!B243&lt;&gt;"",'Data Source'!S243="A+"),IF('Data Source'!U243&gt;=5,"A+",IF('Data Source'!U243&gt;=4,"A",IF('Data Source'!U243&gt;=3.5,"A-",IF('Data Source'!U243&gt;=3,"B",IF('Data Source'!U243&gt;=2,"C",IF('Data Source'!U243&gt;=1,"D","F")))))),"")</f>
        <v/>
      </c>
      <c r="D243" s="3">
        <f>IF(AND('Data Source'!B243&lt;&gt;"",'Data Source'!S243="A+"),IF('Data Source'!V243&gt;=5,"A+",IF('Data Source'!V243&gt;=4,"A",IF('Data Source'!V243&gt;=3.5,"A-",IF('Data Source'!V243&gt;=3,"B",IF('Data Source'!V243&gt;=2,"C",IF('Data Source'!V243&gt;=1,"D","F")))))),"")</f>
        <v/>
      </c>
      <c r="E243" s="3">
        <f>IF(AND('Data Source'!B243&lt;&gt;"",'Data Source'!S243="A+"),IF('Data Source'!W243&gt;=5,"A+",IF('Data Source'!W243&gt;=4,"A",IF('Data Source'!W243&gt;=3.5,"A-",IF('Data Source'!W243&gt;=3,"B",IF('Data Source'!W243&gt;=2,"C",IF('Data Source'!W243&gt;=1,"D","F")))))),"")</f>
        <v/>
      </c>
      <c r="F243" s="3">
        <f>IF(AND('Data Source'!B243&lt;&gt;"",'Data Source'!S243="A+"),IF('Data Source'!X243&gt;=5,"A+",IF('Data Source'!X243&gt;=4,"A",IF('Data Source'!X243&gt;=3.5,"A-",IF('Data Source'!X243&gt;=3,"B",IF('Data Source'!X243&gt;=2,"C",IF('Data Source'!X243&gt;=1,"D","F")))))),"")</f>
        <v/>
      </c>
      <c r="G243" s="3">
        <f>IF(AND('Data Source'!B243&lt;&gt;"",'Data Source'!S243="A+"),IF('Data Source'!Y243&gt;=5,"A+",IF('Data Source'!Y243&gt;=4,"A",IF('Data Source'!Y243&gt;=3.5,"A-",IF('Data Source'!Y243&gt;=3,"B",IF('Data Source'!Y243&gt;=2,"C",IF('Data Source'!Y243&gt;=1,"D","F")))))),"")</f>
        <v/>
      </c>
      <c r="H243" s="3">
        <f>IF(AND('Data Source'!B243&lt;&gt;"",'Data Source'!S243="A+"),IF('Data Source'!Z243&gt;=5,"A+",IF('Data Source'!Z243&gt;=4,"A",IF('Data Source'!Z243&gt;=3.5,"A-",IF('Data Source'!Z243&gt;=3,"B",IF('Data Source'!Z243&gt;=2,"C",IF('Data Source'!Z243&gt;=1,"D","F")))))),"")</f>
        <v/>
      </c>
      <c r="I243" s="3">
        <f>IF(AND('Data Source'!B243&lt;&gt;"",'Data Source'!S243="A+"),IF('Data Source'!AA243&gt;=5,"A+",IF('Data Source'!AA243&gt;=4,"A",IF('Data Source'!AA243&gt;=3.5,"A-",IF('Data Source'!AA243&gt;=3,"B",IF('Data Source'!AA243&gt;=2,"C",IF('Data Source'!AA243&gt;=1,"D","F")))))),"")</f>
        <v/>
      </c>
      <c r="J243" s="3">
        <f>IF(AND('Data Source'!B243&lt;&gt;"",'Data Source'!S243="A+"),IF('Data Source'!AB243&gt;=5,"A+",IF('Data Source'!AB243&gt;=4,"A",IF('Data Source'!AB243&gt;=3.5,"A-",IF('Data Source'!AB243&gt;=3,"B",IF('Data Source'!AB243&gt;=2,"C",IF('Data Source'!AB243&gt;=1,"D","F")))))),"")</f>
        <v/>
      </c>
      <c r="K243" s="3">
        <f>IF(AND('Data Source'!B243&lt;&gt;"",'Data Source'!S243="A+"),IF('Data Source'!AC243&gt;=5,"A+",IF('Data Source'!AC243&gt;=4,"A",IF('Data Source'!AC243&gt;=3.5,"A-",IF('Data Source'!AC243&gt;=3,"B",IF('Data Source'!AC243&gt;=2,"C",IF('Data Source'!AC243&gt;=1,"D","F")))))),"")</f>
        <v/>
      </c>
      <c r="L243" s="3">
        <f>IF(AND('Data Source'!B243&lt;&gt;"",'Data Source'!S243="A+"),IF('Data Source'!AD243&gt;=5,"A+",IF('Data Source'!AD243&gt;=4,"A",IF('Data Source'!AD243&gt;=3.5,"A-",IF('Data Source'!AD243&gt;=3,"B",IF('Data Source'!AD243&gt;=2,"C",IF('Data Source'!AD243&gt;=1,"D","F")))))),"")</f>
        <v/>
      </c>
      <c r="M243" s="3">
        <f>IF(AND('Data Source'!B243&lt;&gt;"",'Data Source'!S243="A+"),IF('Data Source'!AE243&gt;=5,"A+",IF('Data Source'!AE243&gt;=4,"A",IF('Data Source'!AE243&gt;=3.5,"A-",IF('Data Source'!AE243&gt;=3,"B",IF('Data Source'!AE243&gt;=2,"C",IF('Data Source'!AE243&gt;=1,"D","F")))))),"")</f>
        <v/>
      </c>
      <c r="N243" s="3">
        <f>IF(AND('Data Source'!B243&lt;&gt;"",'Data Source'!S243="A+"),IF('Data Source'!AF243&gt;=5,"A+",IF('Data Source'!AF243&gt;=4,"A",IF('Data Source'!AF243&gt;=3.5,"A-",IF('Data Source'!AF243&gt;=3,"B",IF('Data Source'!AF243&gt;=2,"C",IF('Data Source'!AF243&gt;=1,"D","F")))))),"")</f>
        <v/>
      </c>
      <c r="O243" s="3">
        <f>IF(AND('Data Source'!B243&lt;&gt;"",'Data Source'!S243="A+"),IF('Data Source'!AG243&gt;=5,"A+",IF('Data Source'!AG243&gt;=4,"A",IF('Data Source'!AG243&gt;=3.5,"A-",IF('Data Source'!AG243&gt;=3,"B",IF('Data Source'!AG243&gt;=2,"C",IF('Data Source'!AG243&gt;=1,"D","F")))))),"")</f>
        <v/>
      </c>
      <c r="P243" s="5">
        <f>IF(AND('Data Source'!B243&lt;&gt;"",'Data Source'!S243="A+"),'Data Source'!R243,"")</f>
        <v/>
      </c>
      <c r="Q243" s="3">
        <f>IF(AND('Data Source'!B243&lt;&gt;"",'Data Source'!S243="A+"),'Data Source'!S243,"")</f>
        <v/>
      </c>
    </row>
    <row r="244">
      <c r="A244" s="3">
        <f>IF(AND('Data Source'!B244&lt;&gt;"",'Data Source'!S244="A+"),COUNTIF('Data Source'!$S$3:S244,"A+"),"")</f>
        <v/>
      </c>
      <c r="B244">
        <f>IF(AND('Data Source'!B244&lt;&gt;"",'Data Source'!S244="A+"),'Data Source'!B244,"")</f>
        <v/>
      </c>
      <c r="C244" s="3">
        <f>IF(AND('Data Source'!B244&lt;&gt;"",'Data Source'!S244="A+"),IF('Data Source'!U244&gt;=5,"A+",IF('Data Source'!U244&gt;=4,"A",IF('Data Source'!U244&gt;=3.5,"A-",IF('Data Source'!U244&gt;=3,"B",IF('Data Source'!U244&gt;=2,"C",IF('Data Source'!U244&gt;=1,"D","F")))))),"")</f>
        <v/>
      </c>
      <c r="D244" s="3">
        <f>IF(AND('Data Source'!B244&lt;&gt;"",'Data Source'!S244="A+"),IF('Data Source'!V244&gt;=5,"A+",IF('Data Source'!V244&gt;=4,"A",IF('Data Source'!V244&gt;=3.5,"A-",IF('Data Source'!V244&gt;=3,"B",IF('Data Source'!V244&gt;=2,"C",IF('Data Source'!V244&gt;=1,"D","F")))))),"")</f>
        <v/>
      </c>
      <c r="E244" s="3">
        <f>IF(AND('Data Source'!B244&lt;&gt;"",'Data Source'!S244="A+"),IF('Data Source'!W244&gt;=5,"A+",IF('Data Source'!W244&gt;=4,"A",IF('Data Source'!W244&gt;=3.5,"A-",IF('Data Source'!W244&gt;=3,"B",IF('Data Source'!W244&gt;=2,"C",IF('Data Source'!W244&gt;=1,"D","F")))))),"")</f>
        <v/>
      </c>
      <c r="F244" s="3">
        <f>IF(AND('Data Source'!B244&lt;&gt;"",'Data Source'!S244="A+"),IF('Data Source'!X244&gt;=5,"A+",IF('Data Source'!X244&gt;=4,"A",IF('Data Source'!X244&gt;=3.5,"A-",IF('Data Source'!X244&gt;=3,"B",IF('Data Source'!X244&gt;=2,"C",IF('Data Source'!X244&gt;=1,"D","F")))))),"")</f>
        <v/>
      </c>
      <c r="G244" s="3">
        <f>IF(AND('Data Source'!B244&lt;&gt;"",'Data Source'!S244="A+"),IF('Data Source'!Y244&gt;=5,"A+",IF('Data Source'!Y244&gt;=4,"A",IF('Data Source'!Y244&gt;=3.5,"A-",IF('Data Source'!Y244&gt;=3,"B",IF('Data Source'!Y244&gt;=2,"C",IF('Data Source'!Y244&gt;=1,"D","F")))))),"")</f>
        <v/>
      </c>
      <c r="H244" s="3">
        <f>IF(AND('Data Source'!B244&lt;&gt;"",'Data Source'!S244="A+"),IF('Data Source'!Z244&gt;=5,"A+",IF('Data Source'!Z244&gt;=4,"A",IF('Data Source'!Z244&gt;=3.5,"A-",IF('Data Source'!Z244&gt;=3,"B",IF('Data Source'!Z244&gt;=2,"C",IF('Data Source'!Z244&gt;=1,"D","F")))))),"")</f>
        <v/>
      </c>
      <c r="I244" s="3">
        <f>IF(AND('Data Source'!B244&lt;&gt;"",'Data Source'!S244="A+"),IF('Data Source'!AA244&gt;=5,"A+",IF('Data Source'!AA244&gt;=4,"A",IF('Data Source'!AA244&gt;=3.5,"A-",IF('Data Source'!AA244&gt;=3,"B",IF('Data Source'!AA244&gt;=2,"C",IF('Data Source'!AA244&gt;=1,"D","F")))))),"")</f>
        <v/>
      </c>
      <c r="J244" s="3">
        <f>IF(AND('Data Source'!B244&lt;&gt;"",'Data Source'!S244="A+"),IF('Data Source'!AB244&gt;=5,"A+",IF('Data Source'!AB244&gt;=4,"A",IF('Data Source'!AB244&gt;=3.5,"A-",IF('Data Source'!AB244&gt;=3,"B",IF('Data Source'!AB244&gt;=2,"C",IF('Data Source'!AB244&gt;=1,"D","F")))))),"")</f>
        <v/>
      </c>
      <c r="K244" s="3">
        <f>IF(AND('Data Source'!B244&lt;&gt;"",'Data Source'!S244="A+"),IF('Data Source'!AC244&gt;=5,"A+",IF('Data Source'!AC244&gt;=4,"A",IF('Data Source'!AC244&gt;=3.5,"A-",IF('Data Source'!AC244&gt;=3,"B",IF('Data Source'!AC244&gt;=2,"C",IF('Data Source'!AC244&gt;=1,"D","F")))))),"")</f>
        <v/>
      </c>
      <c r="L244" s="3">
        <f>IF(AND('Data Source'!B244&lt;&gt;"",'Data Source'!S244="A+"),IF('Data Source'!AD244&gt;=5,"A+",IF('Data Source'!AD244&gt;=4,"A",IF('Data Source'!AD244&gt;=3.5,"A-",IF('Data Source'!AD244&gt;=3,"B",IF('Data Source'!AD244&gt;=2,"C",IF('Data Source'!AD244&gt;=1,"D","F")))))),"")</f>
        <v/>
      </c>
      <c r="M244" s="3">
        <f>IF(AND('Data Source'!B244&lt;&gt;"",'Data Source'!S244="A+"),IF('Data Source'!AE244&gt;=5,"A+",IF('Data Source'!AE244&gt;=4,"A",IF('Data Source'!AE244&gt;=3.5,"A-",IF('Data Source'!AE244&gt;=3,"B",IF('Data Source'!AE244&gt;=2,"C",IF('Data Source'!AE244&gt;=1,"D","F")))))),"")</f>
        <v/>
      </c>
      <c r="N244" s="3">
        <f>IF(AND('Data Source'!B244&lt;&gt;"",'Data Source'!S244="A+"),IF('Data Source'!AF244&gt;=5,"A+",IF('Data Source'!AF244&gt;=4,"A",IF('Data Source'!AF244&gt;=3.5,"A-",IF('Data Source'!AF244&gt;=3,"B",IF('Data Source'!AF244&gt;=2,"C",IF('Data Source'!AF244&gt;=1,"D","F")))))),"")</f>
        <v/>
      </c>
      <c r="O244" s="3">
        <f>IF(AND('Data Source'!B244&lt;&gt;"",'Data Source'!S244="A+"),IF('Data Source'!AG244&gt;=5,"A+",IF('Data Source'!AG244&gt;=4,"A",IF('Data Source'!AG244&gt;=3.5,"A-",IF('Data Source'!AG244&gt;=3,"B",IF('Data Source'!AG244&gt;=2,"C",IF('Data Source'!AG244&gt;=1,"D","F")))))),"")</f>
        <v/>
      </c>
      <c r="P244" s="5">
        <f>IF(AND('Data Source'!B244&lt;&gt;"",'Data Source'!S244="A+"),'Data Source'!R244,"")</f>
        <v/>
      </c>
      <c r="Q244" s="3">
        <f>IF(AND('Data Source'!B244&lt;&gt;"",'Data Source'!S244="A+"),'Data Source'!S244,"")</f>
        <v/>
      </c>
    </row>
    <row r="245">
      <c r="A245" s="3">
        <f>IF(AND('Data Source'!B245&lt;&gt;"",'Data Source'!S245="A+"),COUNTIF('Data Source'!$S$3:S245,"A+"),"")</f>
        <v/>
      </c>
      <c r="B245">
        <f>IF(AND('Data Source'!B245&lt;&gt;"",'Data Source'!S245="A+"),'Data Source'!B245,"")</f>
        <v/>
      </c>
      <c r="C245" s="3">
        <f>IF(AND('Data Source'!B245&lt;&gt;"",'Data Source'!S245="A+"),IF('Data Source'!U245&gt;=5,"A+",IF('Data Source'!U245&gt;=4,"A",IF('Data Source'!U245&gt;=3.5,"A-",IF('Data Source'!U245&gt;=3,"B",IF('Data Source'!U245&gt;=2,"C",IF('Data Source'!U245&gt;=1,"D","F")))))),"")</f>
        <v/>
      </c>
      <c r="D245" s="3">
        <f>IF(AND('Data Source'!B245&lt;&gt;"",'Data Source'!S245="A+"),IF('Data Source'!V245&gt;=5,"A+",IF('Data Source'!V245&gt;=4,"A",IF('Data Source'!V245&gt;=3.5,"A-",IF('Data Source'!V245&gt;=3,"B",IF('Data Source'!V245&gt;=2,"C",IF('Data Source'!V245&gt;=1,"D","F")))))),"")</f>
        <v/>
      </c>
      <c r="E245" s="3">
        <f>IF(AND('Data Source'!B245&lt;&gt;"",'Data Source'!S245="A+"),IF('Data Source'!W245&gt;=5,"A+",IF('Data Source'!W245&gt;=4,"A",IF('Data Source'!W245&gt;=3.5,"A-",IF('Data Source'!W245&gt;=3,"B",IF('Data Source'!W245&gt;=2,"C",IF('Data Source'!W245&gt;=1,"D","F")))))),"")</f>
        <v/>
      </c>
      <c r="F245" s="3">
        <f>IF(AND('Data Source'!B245&lt;&gt;"",'Data Source'!S245="A+"),IF('Data Source'!X245&gt;=5,"A+",IF('Data Source'!X245&gt;=4,"A",IF('Data Source'!X245&gt;=3.5,"A-",IF('Data Source'!X245&gt;=3,"B",IF('Data Source'!X245&gt;=2,"C",IF('Data Source'!X245&gt;=1,"D","F")))))),"")</f>
        <v/>
      </c>
      <c r="G245" s="3">
        <f>IF(AND('Data Source'!B245&lt;&gt;"",'Data Source'!S245="A+"),IF('Data Source'!Y245&gt;=5,"A+",IF('Data Source'!Y245&gt;=4,"A",IF('Data Source'!Y245&gt;=3.5,"A-",IF('Data Source'!Y245&gt;=3,"B",IF('Data Source'!Y245&gt;=2,"C",IF('Data Source'!Y245&gt;=1,"D","F")))))),"")</f>
        <v/>
      </c>
      <c r="H245" s="3">
        <f>IF(AND('Data Source'!B245&lt;&gt;"",'Data Source'!S245="A+"),IF('Data Source'!Z245&gt;=5,"A+",IF('Data Source'!Z245&gt;=4,"A",IF('Data Source'!Z245&gt;=3.5,"A-",IF('Data Source'!Z245&gt;=3,"B",IF('Data Source'!Z245&gt;=2,"C",IF('Data Source'!Z245&gt;=1,"D","F")))))),"")</f>
        <v/>
      </c>
      <c r="I245" s="3">
        <f>IF(AND('Data Source'!B245&lt;&gt;"",'Data Source'!S245="A+"),IF('Data Source'!AA245&gt;=5,"A+",IF('Data Source'!AA245&gt;=4,"A",IF('Data Source'!AA245&gt;=3.5,"A-",IF('Data Source'!AA245&gt;=3,"B",IF('Data Source'!AA245&gt;=2,"C",IF('Data Source'!AA245&gt;=1,"D","F")))))),"")</f>
        <v/>
      </c>
      <c r="J245" s="3">
        <f>IF(AND('Data Source'!B245&lt;&gt;"",'Data Source'!S245="A+"),IF('Data Source'!AB245&gt;=5,"A+",IF('Data Source'!AB245&gt;=4,"A",IF('Data Source'!AB245&gt;=3.5,"A-",IF('Data Source'!AB245&gt;=3,"B",IF('Data Source'!AB245&gt;=2,"C",IF('Data Source'!AB245&gt;=1,"D","F")))))),"")</f>
        <v/>
      </c>
      <c r="K245" s="3">
        <f>IF(AND('Data Source'!B245&lt;&gt;"",'Data Source'!S245="A+"),IF('Data Source'!AC245&gt;=5,"A+",IF('Data Source'!AC245&gt;=4,"A",IF('Data Source'!AC245&gt;=3.5,"A-",IF('Data Source'!AC245&gt;=3,"B",IF('Data Source'!AC245&gt;=2,"C",IF('Data Source'!AC245&gt;=1,"D","F")))))),"")</f>
        <v/>
      </c>
      <c r="L245" s="3">
        <f>IF(AND('Data Source'!B245&lt;&gt;"",'Data Source'!S245="A+"),IF('Data Source'!AD245&gt;=5,"A+",IF('Data Source'!AD245&gt;=4,"A",IF('Data Source'!AD245&gt;=3.5,"A-",IF('Data Source'!AD245&gt;=3,"B",IF('Data Source'!AD245&gt;=2,"C",IF('Data Source'!AD245&gt;=1,"D","F")))))),"")</f>
        <v/>
      </c>
      <c r="M245" s="3">
        <f>IF(AND('Data Source'!B245&lt;&gt;"",'Data Source'!S245="A+"),IF('Data Source'!AE245&gt;=5,"A+",IF('Data Source'!AE245&gt;=4,"A",IF('Data Source'!AE245&gt;=3.5,"A-",IF('Data Source'!AE245&gt;=3,"B",IF('Data Source'!AE245&gt;=2,"C",IF('Data Source'!AE245&gt;=1,"D","F")))))),"")</f>
        <v/>
      </c>
      <c r="N245" s="3">
        <f>IF(AND('Data Source'!B245&lt;&gt;"",'Data Source'!S245="A+"),IF('Data Source'!AF245&gt;=5,"A+",IF('Data Source'!AF245&gt;=4,"A",IF('Data Source'!AF245&gt;=3.5,"A-",IF('Data Source'!AF245&gt;=3,"B",IF('Data Source'!AF245&gt;=2,"C",IF('Data Source'!AF245&gt;=1,"D","F")))))),"")</f>
        <v/>
      </c>
      <c r="O245" s="3">
        <f>IF(AND('Data Source'!B245&lt;&gt;"",'Data Source'!S245="A+"),IF('Data Source'!AG245&gt;=5,"A+",IF('Data Source'!AG245&gt;=4,"A",IF('Data Source'!AG245&gt;=3.5,"A-",IF('Data Source'!AG245&gt;=3,"B",IF('Data Source'!AG245&gt;=2,"C",IF('Data Source'!AG245&gt;=1,"D","F")))))),"")</f>
        <v/>
      </c>
      <c r="P245" s="5">
        <f>IF(AND('Data Source'!B245&lt;&gt;"",'Data Source'!S245="A+"),'Data Source'!R245,"")</f>
        <v/>
      </c>
      <c r="Q245" s="3">
        <f>IF(AND('Data Source'!B245&lt;&gt;"",'Data Source'!S245="A+"),'Data Source'!S245,"")</f>
        <v/>
      </c>
    </row>
    <row r="246">
      <c r="A246" s="3">
        <f>IF(AND('Data Source'!B246&lt;&gt;"",'Data Source'!S246="A+"),COUNTIF('Data Source'!$S$3:S246,"A+"),"")</f>
        <v/>
      </c>
      <c r="B246">
        <f>IF(AND('Data Source'!B246&lt;&gt;"",'Data Source'!S246="A+"),'Data Source'!B246,"")</f>
        <v/>
      </c>
      <c r="C246" s="3">
        <f>IF(AND('Data Source'!B246&lt;&gt;"",'Data Source'!S246="A+"),IF('Data Source'!U246&gt;=5,"A+",IF('Data Source'!U246&gt;=4,"A",IF('Data Source'!U246&gt;=3.5,"A-",IF('Data Source'!U246&gt;=3,"B",IF('Data Source'!U246&gt;=2,"C",IF('Data Source'!U246&gt;=1,"D","F")))))),"")</f>
        <v/>
      </c>
      <c r="D246" s="3">
        <f>IF(AND('Data Source'!B246&lt;&gt;"",'Data Source'!S246="A+"),IF('Data Source'!V246&gt;=5,"A+",IF('Data Source'!V246&gt;=4,"A",IF('Data Source'!V246&gt;=3.5,"A-",IF('Data Source'!V246&gt;=3,"B",IF('Data Source'!V246&gt;=2,"C",IF('Data Source'!V246&gt;=1,"D","F")))))),"")</f>
        <v/>
      </c>
      <c r="E246" s="3">
        <f>IF(AND('Data Source'!B246&lt;&gt;"",'Data Source'!S246="A+"),IF('Data Source'!W246&gt;=5,"A+",IF('Data Source'!W246&gt;=4,"A",IF('Data Source'!W246&gt;=3.5,"A-",IF('Data Source'!W246&gt;=3,"B",IF('Data Source'!W246&gt;=2,"C",IF('Data Source'!W246&gt;=1,"D","F")))))),"")</f>
        <v/>
      </c>
      <c r="F246" s="3">
        <f>IF(AND('Data Source'!B246&lt;&gt;"",'Data Source'!S246="A+"),IF('Data Source'!X246&gt;=5,"A+",IF('Data Source'!X246&gt;=4,"A",IF('Data Source'!X246&gt;=3.5,"A-",IF('Data Source'!X246&gt;=3,"B",IF('Data Source'!X246&gt;=2,"C",IF('Data Source'!X246&gt;=1,"D","F")))))),"")</f>
        <v/>
      </c>
      <c r="G246" s="3">
        <f>IF(AND('Data Source'!B246&lt;&gt;"",'Data Source'!S246="A+"),IF('Data Source'!Y246&gt;=5,"A+",IF('Data Source'!Y246&gt;=4,"A",IF('Data Source'!Y246&gt;=3.5,"A-",IF('Data Source'!Y246&gt;=3,"B",IF('Data Source'!Y246&gt;=2,"C",IF('Data Source'!Y246&gt;=1,"D","F")))))),"")</f>
        <v/>
      </c>
      <c r="H246" s="3">
        <f>IF(AND('Data Source'!B246&lt;&gt;"",'Data Source'!S246="A+"),IF('Data Source'!Z246&gt;=5,"A+",IF('Data Source'!Z246&gt;=4,"A",IF('Data Source'!Z246&gt;=3.5,"A-",IF('Data Source'!Z246&gt;=3,"B",IF('Data Source'!Z246&gt;=2,"C",IF('Data Source'!Z246&gt;=1,"D","F")))))),"")</f>
        <v/>
      </c>
      <c r="I246" s="3">
        <f>IF(AND('Data Source'!B246&lt;&gt;"",'Data Source'!S246="A+"),IF('Data Source'!AA246&gt;=5,"A+",IF('Data Source'!AA246&gt;=4,"A",IF('Data Source'!AA246&gt;=3.5,"A-",IF('Data Source'!AA246&gt;=3,"B",IF('Data Source'!AA246&gt;=2,"C",IF('Data Source'!AA246&gt;=1,"D","F")))))),"")</f>
        <v/>
      </c>
      <c r="J246" s="3">
        <f>IF(AND('Data Source'!B246&lt;&gt;"",'Data Source'!S246="A+"),IF('Data Source'!AB246&gt;=5,"A+",IF('Data Source'!AB246&gt;=4,"A",IF('Data Source'!AB246&gt;=3.5,"A-",IF('Data Source'!AB246&gt;=3,"B",IF('Data Source'!AB246&gt;=2,"C",IF('Data Source'!AB246&gt;=1,"D","F")))))),"")</f>
        <v/>
      </c>
      <c r="K246" s="3">
        <f>IF(AND('Data Source'!B246&lt;&gt;"",'Data Source'!S246="A+"),IF('Data Source'!AC246&gt;=5,"A+",IF('Data Source'!AC246&gt;=4,"A",IF('Data Source'!AC246&gt;=3.5,"A-",IF('Data Source'!AC246&gt;=3,"B",IF('Data Source'!AC246&gt;=2,"C",IF('Data Source'!AC246&gt;=1,"D","F")))))),"")</f>
        <v/>
      </c>
      <c r="L246" s="3">
        <f>IF(AND('Data Source'!B246&lt;&gt;"",'Data Source'!S246="A+"),IF('Data Source'!AD246&gt;=5,"A+",IF('Data Source'!AD246&gt;=4,"A",IF('Data Source'!AD246&gt;=3.5,"A-",IF('Data Source'!AD246&gt;=3,"B",IF('Data Source'!AD246&gt;=2,"C",IF('Data Source'!AD246&gt;=1,"D","F")))))),"")</f>
        <v/>
      </c>
      <c r="M246" s="3">
        <f>IF(AND('Data Source'!B246&lt;&gt;"",'Data Source'!S246="A+"),IF('Data Source'!AE246&gt;=5,"A+",IF('Data Source'!AE246&gt;=4,"A",IF('Data Source'!AE246&gt;=3.5,"A-",IF('Data Source'!AE246&gt;=3,"B",IF('Data Source'!AE246&gt;=2,"C",IF('Data Source'!AE246&gt;=1,"D","F")))))),"")</f>
        <v/>
      </c>
      <c r="N246" s="3">
        <f>IF(AND('Data Source'!B246&lt;&gt;"",'Data Source'!S246="A+"),IF('Data Source'!AF246&gt;=5,"A+",IF('Data Source'!AF246&gt;=4,"A",IF('Data Source'!AF246&gt;=3.5,"A-",IF('Data Source'!AF246&gt;=3,"B",IF('Data Source'!AF246&gt;=2,"C",IF('Data Source'!AF246&gt;=1,"D","F")))))),"")</f>
        <v/>
      </c>
      <c r="O246" s="3">
        <f>IF(AND('Data Source'!B246&lt;&gt;"",'Data Source'!S246="A+"),IF('Data Source'!AG246&gt;=5,"A+",IF('Data Source'!AG246&gt;=4,"A",IF('Data Source'!AG246&gt;=3.5,"A-",IF('Data Source'!AG246&gt;=3,"B",IF('Data Source'!AG246&gt;=2,"C",IF('Data Source'!AG246&gt;=1,"D","F")))))),"")</f>
        <v/>
      </c>
      <c r="P246" s="5">
        <f>IF(AND('Data Source'!B246&lt;&gt;"",'Data Source'!S246="A+"),'Data Source'!R246,"")</f>
        <v/>
      </c>
      <c r="Q246" s="3">
        <f>IF(AND('Data Source'!B246&lt;&gt;"",'Data Source'!S246="A+"),'Data Source'!S246,"")</f>
        <v/>
      </c>
    </row>
    <row r="247">
      <c r="A247" s="3">
        <f>IF(AND('Data Source'!B247&lt;&gt;"",'Data Source'!S247="A+"),COUNTIF('Data Source'!$S$3:S247,"A+"),"")</f>
        <v/>
      </c>
      <c r="B247">
        <f>IF(AND('Data Source'!B247&lt;&gt;"",'Data Source'!S247="A+"),'Data Source'!B247,"")</f>
        <v/>
      </c>
      <c r="C247" s="3">
        <f>IF(AND('Data Source'!B247&lt;&gt;"",'Data Source'!S247="A+"),IF('Data Source'!U247&gt;=5,"A+",IF('Data Source'!U247&gt;=4,"A",IF('Data Source'!U247&gt;=3.5,"A-",IF('Data Source'!U247&gt;=3,"B",IF('Data Source'!U247&gt;=2,"C",IF('Data Source'!U247&gt;=1,"D","F")))))),"")</f>
        <v/>
      </c>
      <c r="D247" s="3">
        <f>IF(AND('Data Source'!B247&lt;&gt;"",'Data Source'!S247="A+"),IF('Data Source'!V247&gt;=5,"A+",IF('Data Source'!V247&gt;=4,"A",IF('Data Source'!V247&gt;=3.5,"A-",IF('Data Source'!V247&gt;=3,"B",IF('Data Source'!V247&gt;=2,"C",IF('Data Source'!V247&gt;=1,"D","F")))))),"")</f>
        <v/>
      </c>
      <c r="E247" s="3">
        <f>IF(AND('Data Source'!B247&lt;&gt;"",'Data Source'!S247="A+"),IF('Data Source'!W247&gt;=5,"A+",IF('Data Source'!W247&gt;=4,"A",IF('Data Source'!W247&gt;=3.5,"A-",IF('Data Source'!W247&gt;=3,"B",IF('Data Source'!W247&gt;=2,"C",IF('Data Source'!W247&gt;=1,"D","F")))))),"")</f>
        <v/>
      </c>
      <c r="F247" s="3">
        <f>IF(AND('Data Source'!B247&lt;&gt;"",'Data Source'!S247="A+"),IF('Data Source'!X247&gt;=5,"A+",IF('Data Source'!X247&gt;=4,"A",IF('Data Source'!X247&gt;=3.5,"A-",IF('Data Source'!X247&gt;=3,"B",IF('Data Source'!X247&gt;=2,"C",IF('Data Source'!X247&gt;=1,"D","F")))))),"")</f>
        <v/>
      </c>
      <c r="G247" s="3">
        <f>IF(AND('Data Source'!B247&lt;&gt;"",'Data Source'!S247="A+"),IF('Data Source'!Y247&gt;=5,"A+",IF('Data Source'!Y247&gt;=4,"A",IF('Data Source'!Y247&gt;=3.5,"A-",IF('Data Source'!Y247&gt;=3,"B",IF('Data Source'!Y247&gt;=2,"C",IF('Data Source'!Y247&gt;=1,"D","F")))))),"")</f>
        <v/>
      </c>
      <c r="H247" s="3">
        <f>IF(AND('Data Source'!B247&lt;&gt;"",'Data Source'!S247="A+"),IF('Data Source'!Z247&gt;=5,"A+",IF('Data Source'!Z247&gt;=4,"A",IF('Data Source'!Z247&gt;=3.5,"A-",IF('Data Source'!Z247&gt;=3,"B",IF('Data Source'!Z247&gt;=2,"C",IF('Data Source'!Z247&gt;=1,"D","F")))))),"")</f>
        <v/>
      </c>
      <c r="I247" s="3">
        <f>IF(AND('Data Source'!B247&lt;&gt;"",'Data Source'!S247="A+"),IF('Data Source'!AA247&gt;=5,"A+",IF('Data Source'!AA247&gt;=4,"A",IF('Data Source'!AA247&gt;=3.5,"A-",IF('Data Source'!AA247&gt;=3,"B",IF('Data Source'!AA247&gt;=2,"C",IF('Data Source'!AA247&gt;=1,"D","F")))))),"")</f>
        <v/>
      </c>
      <c r="J247" s="3">
        <f>IF(AND('Data Source'!B247&lt;&gt;"",'Data Source'!S247="A+"),IF('Data Source'!AB247&gt;=5,"A+",IF('Data Source'!AB247&gt;=4,"A",IF('Data Source'!AB247&gt;=3.5,"A-",IF('Data Source'!AB247&gt;=3,"B",IF('Data Source'!AB247&gt;=2,"C",IF('Data Source'!AB247&gt;=1,"D","F")))))),"")</f>
        <v/>
      </c>
      <c r="K247" s="3">
        <f>IF(AND('Data Source'!B247&lt;&gt;"",'Data Source'!S247="A+"),IF('Data Source'!AC247&gt;=5,"A+",IF('Data Source'!AC247&gt;=4,"A",IF('Data Source'!AC247&gt;=3.5,"A-",IF('Data Source'!AC247&gt;=3,"B",IF('Data Source'!AC247&gt;=2,"C",IF('Data Source'!AC247&gt;=1,"D","F")))))),"")</f>
        <v/>
      </c>
      <c r="L247" s="3">
        <f>IF(AND('Data Source'!B247&lt;&gt;"",'Data Source'!S247="A+"),IF('Data Source'!AD247&gt;=5,"A+",IF('Data Source'!AD247&gt;=4,"A",IF('Data Source'!AD247&gt;=3.5,"A-",IF('Data Source'!AD247&gt;=3,"B",IF('Data Source'!AD247&gt;=2,"C",IF('Data Source'!AD247&gt;=1,"D","F")))))),"")</f>
        <v/>
      </c>
      <c r="M247" s="3">
        <f>IF(AND('Data Source'!B247&lt;&gt;"",'Data Source'!S247="A+"),IF('Data Source'!AE247&gt;=5,"A+",IF('Data Source'!AE247&gt;=4,"A",IF('Data Source'!AE247&gt;=3.5,"A-",IF('Data Source'!AE247&gt;=3,"B",IF('Data Source'!AE247&gt;=2,"C",IF('Data Source'!AE247&gt;=1,"D","F")))))),"")</f>
        <v/>
      </c>
      <c r="N247" s="3">
        <f>IF(AND('Data Source'!B247&lt;&gt;"",'Data Source'!S247="A+"),IF('Data Source'!AF247&gt;=5,"A+",IF('Data Source'!AF247&gt;=4,"A",IF('Data Source'!AF247&gt;=3.5,"A-",IF('Data Source'!AF247&gt;=3,"B",IF('Data Source'!AF247&gt;=2,"C",IF('Data Source'!AF247&gt;=1,"D","F")))))),"")</f>
        <v/>
      </c>
      <c r="O247" s="3">
        <f>IF(AND('Data Source'!B247&lt;&gt;"",'Data Source'!S247="A+"),IF('Data Source'!AG247&gt;=5,"A+",IF('Data Source'!AG247&gt;=4,"A",IF('Data Source'!AG247&gt;=3.5,"A-",IF('Data Source'!AG247&gt;=3,"B",IF('Data Source'!AG247&gt;=2,"C",IF('Data Source'!AG247&gt;=1,"D","F")))))),"")</f>
        <v/>
      </c>
      <c r="P247" s="5">
        <f>IF(AND('Data Source'!B247&lt;&gt;"",'Data Source'!S247="A+"),'Data Source'!R247,"")</f>
        <v/>
      </c>
      <c r="Q247" s="3">
        <f>IF(AND('Data Source'!B247&lt;&gt;"",'Data Source'!S247="A+"),'Data Source'!S247,"")</f>
        <v/>
      </c>
    </row>
    <row r="248">
      <c r="A248" s="3">
        <f>IF(AND('Data Source'!B248&lt;&gt;"",'Data Source'!S248="A+"),COUNTIF('Data Source'!$S$3:S248,"A+"),"")</f>
        <v/>
      </c>
      <c r="B248">
        <f>IF(AND('Data Source'!B248&lt;&gt;"",'Data Source'!S248="A+"),'Data Source'!B248,"")</f>
        <v/>
      </c>
      <c r="C248" s="3">
        <f>IF(AND('Data Source'!B248&lt;&gt;"",'Data Source'!S248="A+"),IF('Data Source'!U248&gt;=5,"A+",IF('Data Source'!U248&gt;=4,"A",IF('Data Source'!U248&gt;=3.5,"A-",IF('Data Source'!U248&gt;=3,"B",IF('Data Source'!U248&gt;=2,"C",IF('Data Source'!U248&gt;=1,"D","F")))))),"")</f>
        <v/>
      </c>
      <c r="D248" s="3">
        <f>IF(AND('Data Source'!B248&lt;&gt;"",'Data Source'!S248="A+"),IF('Data Source'!V248&gt;=5,"A+",IF('Data Source'!V248&gt;=4,"A",IF('Data Source'!V248&gt;=3.5,"A-",IF('Data Source'!V248&gt;=3,"B",IF('Data Source'!V248&gt;=2,"C",IF('Data Source'!V248&gt;=1,"D","F")))))),"")</f>
        <v/>
      </c>
      <c r="E248" s="3">
        <f>IF(AND('Data Source'!B248&lt;&gt;"",'Data Source'!S248="A+"),IF('Data Source'!W248&gt;=5,"A+",IF('Data Source'!W248&gt;=4,"A",IF('Data Source'!W248&gt;=3.5,"A-",IF('Data Source'!W248&gt;=3,"B",IF('Data Source'!W248&gt;=2,"C",IF('Data Source'!W248&gt;=1,"D","F")))))),"")</f>
        <v/>
      </c>
      <c r="F248" s="3">
        <f>IF(AND('Data Source'!B248&lt;&gt;"",'Data Source'!S248="A+"),IF('Data Source'!X248&gt;=5,"A+",IF('Data Source'!X248&gt;=4,"A",IF('Data Source'!X248&gt;=3.5,"A-",IF('Data Source'!X248&gt;=3,"B",IF('Data Source'!X248&gt;=2,"C",IF('Data Source'!X248&gt;=1,"D","F")))))),"")</f>
        <v/>
      </c>
      <c r="G248" s="3">
        <f>IF(AND('Data Source'!B248&lt;&gt;"",'Data Source'!S248="A+"),IF('Data Source'!Y248&gt;=5,"A+",IF('Data Source'!Y248&gt;=4,"A",IF('Data Source'!Y248&gt;=3.5,"A-",IF('Data Source'!Y248&gt;=3,"B",IF('Data Source'!Y248&gt;=2,"C",IF('Data Source'!Y248&gt;=1,"D","F")))))),"")</f>
        <v/>
      </c>
      <c r="H248" s="3">
        <f>IF(AND('Data Source'!B248&lt;&gt;"",'Data Source'!S248="A+"),IF('Data Source'!Z248&gt;=5,"A+",IF('Data Source'!Z248&gt;=4,"A",IF('Data Source'!Z248&gt;=3.5,"A-",IF('Data Source'!Z248&gt;=3,"B",IF('Data Source'!Z248&gt;=2,"C",IF('Data Source'!Z248&gt;=1,"D","F")))))),"")</f>
        <v/>
      </c>
      <c r="I248" s="3">
        <f>IF(AND('Data Source'!B248&lt;&gt;"",'Data Source'!S248="A+"),IF('Data Source'!AA248&gt;=5,"A+",IF('Data Source'!AA248&gt;=4,"A",IF('Data Source'!AA248&gt;=3.5,"A-",IF('Data Source'!AA248&gt;=3,"B",IF('Data Source'!AA248&gt;=2,"C",IF('Data Source'!AA248&gt;=1,"D","F")))))),"")</f>
        <v/>
      </c>
      <c r="J248" s="3">
        <f>IF(AND('Data Source'!B248&lt;&gt;"",'Data Source'!S248="A+"),IF('Data Source'!AB248&gt;=5,"A+",IF('Data Source'!AB248&gt;=4,"A",IF('Data Source'!AB248&gt;=3.5,"A-",IF('Data Source'!AB248&gt;=3,"B",IF('Data Source'!AB248&gt;=2,"C",IF('Data Source'!AB248&gt;=1,"D","F")))))),"")</f>
        <v/>
      </c>
      <c r="K248" s="3">
        <f>IF(AND('Data Source'!B248&lt;&gt;"",'Data Source'!S248="A+"),IF('Data Source'!AC248&gt;=5,"A+",IF('Data Source'!AC248&gt;=4,"A",IF('Data Source'!AC248&gt;=3.5,"A-",IF('Data Source'!AC248&gt;=3,"B",IF('Data Source'!AC248&gt;=2,"C",IF('Data Source'!AC248&gt;=1,"D","F")))))),"")</f>
        <v/>
      </c>
      <c r="L248" s="3">
        <f>IF(AND('Data Source'!B248&lt;&gt;"",'Data Source'!S248="A+"),IF('Data Source'!AD248&gt;=5,"A+",IF('Data Source'!AD248&gt;=4,"A",IF('Data Source'!AD248&gt;=3.5,"A-",IF('Data Source'!AD248&gt;=3,"B",IF('Data Source'!AD248&gt;=2,"C",IF('Data Source'!AD248&gt;=1,"D","F")))))),"")</f>
        <v/>
      </c>
      <c r="M248" s="3">
        <f>IF(AND('Data Source'!B248&lt;&gt;"",'Data Source'!S248="A+"),IF('Data Source'!AE248&gt;=5,"A+",IF('Data Source'!AE248&gt;=4,"A",IF('Data Source'!AE248&gt;=3.5,"A-",IF('Data Source'!AE248&gt;=3,"B",IF('Data Source'!AE248&gt;=2,"C",IF('Data Source'!AE248&gt;=1,"D","F")))))),"")</f>
        <v/>
      </c>
      <c r="N248" s="3">
        <f>IF(AND('Data Source'!B248&lt;&gt;"",'Data Source'!S248="A+"),IF('Data Source'!AF248&gt;=5,"A+",IF('Data Source'!AF248&gt;=4,"A",IF('Data Source'!AF248&gt;=3.5,"A-",IF('Data Source'!AF248&gt;=3,"B",IF('Data Source'!AF248&gt;=2,"C",IF('Data Source'!AF248&gt;=1,"D","F")))))),"")</f>
        <v/>
      </c>
      <c r="O248" s="3">
        <f>IF(AND('Data Source'!B248&lt;&gt;"",'Data Source'!S248="A+"),IF('Data Source'!AG248&gt;=5,"A+",IF('Data Source'!AG248&gt;=4,"A",IF('Data Source'!AG248&gt;=3.5,"A-",IF('Data Source'!AG248&gt;=3,"B",IF('Data Source'!AG248&gt;=2,"C",IF('Data Source'!AG248&gt;=1,"D","F")))))),"")</f>
        <v/>
      </c>
      <c r="P248" s="5">
        <f>IF(AND('Data Source'!B248&lt;&gt;"",'Data Source'!S248="A+"),'Data Source'!R248,"")</f>
        <v/>
      </c>
      <c r="Q248" s="3">
        <f>IF(AND('Data Source'!B248&lt;&gt;"",'Data Source'!S248="A+"),'Data Source'!S248,"")</f>
        <v/>
      </c>
    </row>
    <row r="249">
      <c r="A249" s="3">
        <f>IF(AND('Data Source'!B249&lt;&gt;"",'Data Source'!S249="A+"),COUNTIF('Data Source'!$S$3:S249,"A+"),"")</f>
        <v/>
      </c>
      <c r="B249">
        <f>IF(AND('Data Source'!B249&lt;&gt;"",'Data Source'!S249="A+"),'Data Source'!B249,"")</f>
        <v/>
      </c>
      <c r="C249" s="3">
        <f>IF(AND('Data Source'!B249&lt;&gt;"",'Data Source'!S249="A+"),IF('Data Source'!U249&gt;=5,"A+",IF('Data Source'!U249&gt;=4,"A",IF('Data Source'!U249&gt;=3.5,"A-",IF('Data Source'!U249&gt;=3,"B",IF('Data Source'!U249&gt;=2,"C",IF('Data Source'!U249&gt;=1,"D","F")))))),"")</f>
        <v/>
      </c>
      <c r="D249" s="3">
        <f>IF(AND('Data Source'!B249&lt;&gt;"",'Data Source'!S249="A+"),IF('Data Source'!V249&gt;=5,"A+",IF('Data Source'!V249&gt;=4,"A",IF('Data Source'!V249&gt;=3.5,"A-",IF('Data Source'!V249&gt;=3,"B",IF('Data Source'!V249&gt;=2,"C",IF('Data Source'!V249&gt;=1,"D","F")))))),"")</f>
        <v/>
      </c>
      <c r="E249" s="3">
        <f>IF(AND('Data Source'!B249&lt;&gt;"",'Data Source'!S249="A+"),IF('Data Source'!W249&gt;=5,"A+",IF('Data Source'!W249&gt;=4,"A",IF('Data Source'!W249&gt;=3.5,"A-",IF('Data Source'!W249&gt;=3,"B",IF('Data Source'!W249&gt;=2,"C",IF('Data Source'!W249&gt;=1,"D","F")))))),"")</f>
        <v/>
      </c>
      <c r="F249" s="3">
        <f>IF(AND('Data Source'!B249&lt;&gt;"",'Data Source'!S249="A+"),IF('Data Source'!X249&gt;=5,"A+",IF('Data Source'!X249&gt;=4,"A",IF('Data Source'!X249&gt;=3.5,"A-",IF('Data Source'!X249&gt;=3,"B",IF('Data Source'!X249&gt;=2,"C",IF('Data Source'!X249&gt;=1,"D","F")))))),"")</f>
        <v/>
      </c>
      <c r="G249" s="3">
        <f>IF(AND('Data Source'!B249&lt;&gt;"",'Data Source'!S249="A+"),IF('Data Source'!Y249&gt;=5,"A+",IF('Data Source'!Y249&gt;=4,"A",IF('Data Source'!Y249&gt;=3.5,"A-",IF('Data Source'!Y249&gt;=3,"B",IF('Data Source'!Y249&gt;=2,"C",IF('Data Source'!Y249&gt;=1,"D","F")))))),"")</f>
        <v/>
      </c>
      <c r="H249" s="3">
        <f>IF(AND('Data Source'!B249&lt;&gt;"",'Data Source'!S249="A+"),IF('Data Source'!Z249&gt;=5,"A+",IF('Data Source'!Z249&gt;=4,"A",IF('Data Source'!Z249&gt;=3.5,"A-",IF('Data Source'!Z249&gt;=3,"B",IF('Data Source'!Z249&gt;=2,"C",IF('Data Source'!Z249&gt;=1,"D","F")))))),"")</f>
        <v/>
      </c>
      <c r="I249" s="3">
        <f>IF(AND('Data Source'!B249&lt;&gt;"",'Data Source'!S249="A+"),IF('Data Source'!AA249&gt;=5,"A+",IF('Data Source'!AA249&gt;=4,"A",IF('Data Source'!AA249&gt;=3.5,"A-",IF('Data Source'!AA249&gt;=3,"B",IF('Data Source'!AA249&gt;=2,"C",IF('Data Source'!AA249&gt;=1,"D","F")))))),"")</f>
        <v/>
      </c>
      <c r="J249" s="3">
        <f>IF(AND('Data Source'!B249&lt;&gt;"",'Data Source'!S249="A+"),IF('Data Source'!AB249&gt;=5,"A+",IF('Data Source'!AB249&gt;=4,"A",IF('Data Source'!AB249&gt;=3.5,"A-",IF('Data Source'!AB249&gt;=3,"B",IF('Data Source'!AB249&gt;=2,"C",IF('Data Source'!AB249&gt;=1,"D","F")))))),"")</f>
        <v/>
      </c>
      <c r="K249" s="3">
        <f>IF(AND('Data Source'!B249&lt;&gt;"",'Data Source'!S249="A+"),IF('Data Source'!AC249&gt;=5,"A+",IF('Data Source'!AC249&gt;=4,"A",IF('Data Source'!AC249&gt;=3.5,"A-",IF('Data Source'!AC249&gt;=3,"B",IF('Data Source'!AC249&gt;=2,"C",IF('Data Source'!AC249&gt;=1,"D","F")))))),"")</f>
        <v/>
      </c>
      <c r="L249" s="3">
        <f>IF(AND('Data Source'!B249&lt;&gt;"",'Data Source'!S249="A+"),IF('Data Source'!AD249&gt;=5,"A+",IF('Data Source'!AD249&gt;=4,"A",IF('Data Source'!AD249&gt;=3.5,"A-",IF('Data Source'!AD249&gt;=3,"B",IF('Data Source'!AD249&gt;=2,"C",IF('Data Source'!AD249&gt;=1,"D","F")))))),"")</f>
        <v/>
      </c>
      <c r="M249" s="3">
        <f>IF(AND('Data Source'!B249&lt;&gt;"",'Data Source'!S249="A+"),IF('Data Source'!AE249&gt;=5,"A+",IF('Data Source'!AE249&gt;=4,"A",IF('Data Source'!AE249&gt;=3.5,"A-",IF('Data Source'!AE249&gt;=3,"B",IF('Data Source'!AE249&gt;=2,"C",IF('Data Source'!AE249&gt;=1,"D","F")))))),"")</f>
        <v/>
      </c>
      <c r="N249" s="3">
        <f>IF(AND('Data Source'!B249&lt;&gt;"",'Data Source'!S249="A+"),IF('Data Source'!AF249&gt;=5,"A+",IF('Data Source'!AF249&gt;=4,"A",IF('Data Source'!AF249&gt;=3.5,"A-",IF('Data Source'!AF249&gt;=3,"B",IF('Data Source'!AF249&gt;=2,"C",IF('Data Source'!AF249&gt;=1,"D","F")))))),"")</f>
        <v/>
      </c>
      <c r="O249" s="3">
        <f>IF(AND('Data Source'!B249&lt;&gt;"",'Data Source'!S249="A+"),IF('Data Source'!AG249&gt;=5,"A+",IF('Data Source'!AG249&gt;=4,"A",IF('Data Source'!AG249&gt;=3.5,"A-",IF('Data Source'!AG249&gt;=3,"B",IF('Data Source'!AG249&gt;=2,"C",IF('Data Source'!AG249&gt;=1,"D","F")))))),"")</f>
        <v/>
      </c>
      <c r="P249" s="5">
        <f>IF(AND('Data Source'!B249&lt;&gt;"",'Data Source'!S249="A+"),'Data Source'!R249,"")</f>
        <v/>
      </c>
      <c r="Q249" s="3">
        <f>IF(AND('Data Source'!B249&lt;&gt;"",'Data Source'!S249="A+"),'Data Source'!S249,"")</f>
        <v/>
      </c>
    </row>
    <row r="250">
      <c r="A250" s="3">
        <f>IF(AND('Data Source'!B250&lt;&gt;"",'Data Source'!S250="A+"),COUNTIF('Data Source'!$S$3:S250,"A+"),"")</f>
        <v/>
      </c>
      <c r="B250">
        <f>IF(AND('Data Source'!B250&lt;&gt;"",'Data Source'!S250="A+"),'Data Source'!B250,"")</f>
        <v/>
      </c>
      <c r="C250" s="3">
        <f>IF(AND('Data Source'!B250&lt;&gt;"",'Data Source'!S250="A+"),IF('Data Source'!U250&gt;=5,"A+",IF('Data Source'!U250&gt;=4,"A",IF('Data Source'!U250&gt;=3.5,"A-",IF('Data Source'!U250&gt;=3,"B",IF('Data Source'!U250&gt;=2,"C",IF('Data Source'!U250&gt;=1,"D","F")))))),"")</f>
        <v/>
      </c>
      <c r="D250" s="3">
        <f>IF(AND('Data Source'!B250&lt;&gt;"",'Data Source'!S250="A+"),IF('Data Source'!V250&gt;=5,"A+",IF('Data Source'!V250&gt;=4,"A",IF('Data Source'!V250&gt;=3.5,"A-",IF('Data Source'!V250&gt;=3,"B",IF('Data Source'!V250&gt;=2,"C",IF('Data Source'!V250&gt;=1,"D","F")))))),"")</f>
        <v/>
      </c>
      <c r="E250" s="3">
        <f>IF(AND('Data Source'!B250&lt;&gt;"",'Data Source'!S250="A+"),IF('Data Source'!W250&gt;=5,"A+",IF('Data Source'!W250&gt;=4,"A",IF('Data Source'!W250&gt;=3.5,"A-",IF('Data Source'!W250&gt;=3,"B",IF('Data Source'!W250&gt;=2,"C",IF('Data Source'!W250&gt;=1,"D","F")))))),"")</f>
        <v/>
      </c>
      <c r="F250" s="3">
        <f>IF(AND('Data Source'!B250&lt;&gt;"",'Data Source'!S250="A+"),IF('Data Source'!X250&gt;=5,"A+",IF('Data Source'!X250&gt;=4,"A",IF('Data Source'!X250&gt;=3.5,"A-",IF('Data Source'!X250&gt;=3,"B",IF('Data Source'!X250&gt;=2,"C",IF('Data Source'!X250&gt;=1,"D","F")))))),"")</f>
        <v/>
      </c>
      <c r="G250" s="3">
        <f>IF(AND('Data Source'!B250&lt;&gt;"",'Data Source'!S250="A+"),IF('Data Source'!Y250&gt;=5,"A+",IF('Data Source'!Y250&gt;=4,"A",IF('Data Source'!Y250&gt;=3.5,"A-",IF('Data Source'!Y250&gt;=3,"B",IF('Data Source'!Y250&gt;=2,"C",IF('Data Source'!Y250&gt;=1,"D","F")))))),"")</f>
        <v/>
      </c>
      <c r="H250" s="3">
        <f>IF(AND('Data Source'!B250&lt;&gt;"",'Data Source'!S250="A+"),IF('Data Source'!Z250&gt;=5,"A+",IF('Data Source'!Z250&gt;=4,"A",IF('Data Source'!Z250&gt;=3.5,"A-",IF('Data Source'!Z250&gt;=3,"B",IF('Data Source'!Z250&gt;=2,"C",IF('Data Source'!Z250&gt;=1,"D","F")))))),"")</f>
        <v/>
      </c>
      <c r="I250" s="3">
        <f>IF(AND('Data Source'!B250&lt;&gt;"",'Data Source'!S250="A+"),IF('Data Source'!AA250&gt;=5,"A+",IF('Data Source'!AA250&gt;=4,"A",IF('Data Source'!AA250&gt;=3.5,"A-",IF('Data Source'!AA250&gt;=3,"B",IF('Data Source'!AA250&gt;=2,"C",IF('Data Source'!AA250&gt;=1,"D","F")))))),"")</f>
        <v/>
      </c>
      <c r="J250" s="3">
        <f>IF(AND('Data Source'!B250&lt;&gt;"",'Data Source'!S250="A+"),IF('Data Source'!AB250&gt;=5,"A+",IF('Data Source'!AB250&gt;=4,"A",IF('Data Source'!AB250&gt;=3.5,"A-",IF('Data Source'!AB250&gt;=3,"B",IF('Data Source'!AB250&gt;=2,"C",IF('Data Source'!AB250&gt;=1,"D","F")))))),"")</f>
        <v/>
      </c>
      <c r="K250" s="3">
        <f>IF(AND('Data Source'!B250&lt;&gt;"",'Data Source'!S250="A+"),IF('Data Source'!AC250&gt;=5,"A+",IF('Data Source'!AC250&gt;=4,"A",IF('Data Source'!AC250&gt;=3.5,"A-",IF('Data Source'!AC250&gt;=3,"B",IF('Data Source'!AC250&gt;=2,"C",IF('Data Source'!AC250&gt;=1,"D","F")))))),"")</f>
        <v/>
      </c>
      <c r="L250" s="3">
        <f>IF(AND('Data Source'!B250&lt;&gt;"",'Data Source'!S250="A+"),IF('Data Source'!AD250&gt;=5,"A+",IF('Data Source'!AD250&gt;=4,"A",IF('Data Source'!AD250&gt;=3.5,"A-",IF('Data Source'!AD250&gt;=3,"B",IF('Data Source'!AD250&gt;=2,"C",IF('Data Source'!AD250&gt;=1,"D","F")))))),"")</f>
        <v/>
      </c>
      <c r="M250" s="3">
        <f>IF(AND('Data Source'!B250&lt;&gt;"",'Data Source'!S250="A+"),IF('Data Source'!AE250&gt;=5,"A+",IF('Data Source'!AE250&gt;=4,"A",IF('Data Source'!AE250&gt;=3.5,"A-",IF('Data Source'!AE250&gt;=3,"B",IF('Data Source'!AE250&gt;=2,"C",IF('Data Source'!AE250&gt;=1,"D","F")))))),"")</f>
        <v/>
      </c>
      <c r="N250" s="3">
        <f>IF(AND('Data Source'!B250&lt;&gt;"",'Data Source'!S250="A+"),IF('Data Source'!AF250&gt;=5,"A+",IF('Data Source'!AF250&gt;=4,"A",IF('Data Source'!AF250&gt;=3.5,"A-",IF('Data Source'!AF250&gt;=3,"B",IF('Data Source'!AF250&gt;=2,"C",IF('Data Source'!AF250&gt;=1,"D","F")))))),"")</f>
        <v/>
      </c>
      <c r="O250" s="3">
        <f>IF(AND('Data Source'!B250&lt;&gt;"",'Data Source'!S250="A+"),IF('Data Source'!AG250&gt;=5,"A+",IF('Data Source'!AG250&gt;=4,"A",IF('Data Source'!AG250&gt;=3.5,"A-",IF('Data Source'!AG250&gt;=3,"B",IF('Data Source'!AG250&gt;=2,"C",IF('Data Source'!AG250&gt;=1,"D","F")))))),"")</f>
        <v/>
      </c>
      <c r="P250" s="5">
        <f>IF(AND('Data Source'!B250&lt;&gt;"",'Data Source'!S250="A+"),'Data Source'!R250,"")</f>
        <v/>
      </c>
      <c r="Q250" s="3">
        <f>IF(AND('Data Source'!B250&lt;&gt;"",'Data Source'!S250="A+"),'Data Source'!S250,"")</f>
        <v/>
      </c>
    </row>
    <row r="251">
      <c r="A251" s="3">
        <f>IF(AND('Data Source'!B251&lt;&gt;"",'Data Source'!S251="A+"),COUNTIF('Data Source'!$S$3:S251,"A+"),"")</f>
        <v/>
      </c>
      <c r="B251">
        <f>IF(AND('Data Source'!B251&lt;&gt;"",'Data Source'!S251="A+"),'Data Source'!B251,"")</f>
        <v/>
      </c>
      <c r="C251" s="3">
        <f>IF(AND('Data Source'!B251&lt;&gt;"",'Data Source'!S251="A+"),IF('Data Source'!U251&gt;=5,"A+",IF('Data Source'!U251&gt;=4,"A",IF('Data Source'!U251&gt;=3.5,"A-",IF('Data Source'!U251&gt;=3,"B",IF('Data Source'!U251&gt;=2,"C",IF('Data Source'!U251&gt;=1,"D","F")))))),"")</f>
        <v/>
      </c>
      <c r="D251" s="3">
        <f>IF(AND('Data Source'!B251&lt;&gt;"",'Data Source'!S251="A+"),IF('Data Source'!V251&gt;=5,"A+",IF('Data Source'!V251&gt;=4,"A",IF('Data Source'!V251&gt;=3.5,"A-",IF('Data Source'!V251&gt;=3,"B",IF('Data Source'!V251&gt;=2,"C",IF('Data Source'!V251&gt;=1,"D","F")))))),"")</f>
        <v/>
      </c>
      <c r="E251" s="3">
        <f>IF(AND('Data Source'!B251&lt;&gt;"",'Data Source'!S251="A+"),IF('Data Source'!W251&gt;=5,"A+",IF('Data Source'!W251&gt;=4,"A",IF('Data Source'!W251&gt;=3.5,"A-",IF('Data Source'!W251&gt;=3,"B",IF('Data Source'!W251&gt;=2,"C",IF('Data Source'!W251&gt;=1,"D","F")))))),"")</f>
        <v/>
      </c>
      <c r="F251" s="3">
        <f>IF(AND('Data Source'!B251&lt;&gt;"",'Data Source'!S251="A+"),IF('Data Source'!X251&gt;=5,"A+",IF('Data Source'!X251&gt;=4,"A",IF('Data Source'!X251&gt;=3.5,"A-",IF('Data Source'!X251&gt;=3,"B",IF('Data Source'!X251&gt;=2,"C",IF('Data Source'!X251&gt;=1,"D","F")))))),"")</f>
        <v/>
      </c>
      <c r="G251" s="3">
        <f>IF(AND('Data Source'!B251&lt;&gt;"",'Data Source'!S251="A+"),IF('Data Source'!Y251&gt;=5,"A+",IF('Data Source'!Y251&gt;=4,"A",IF('Data Source'!Y251&gt;=3.5,"A-",IF('Data Source'!Y251&gt;=3,"B",IF('Data Source'!Y251&gt;=2,"C",IF('Data Source'!Y251&gt;=1,"D","F")))))),"")</f>
        <v/>
      </c>
      <c r="H251" s="3">
        <f>IF(AND('Data Source'!B251&lt;&gt;"",'Data Source'!S251="A+"),IF('Data Source'!Z251&gt;=5,"A+",IF('Data Source'!Z251&gt;=4,"A",IF('Data Source'!Z251&gt;=3.5,"A-",IF('Data Source'!Z251&gt;=3,"B",IF('Data Source'!Z251&gt;=2,"C",IF('Data Source'!Z251&gt;=1,"D","F")))))),"")</f>
        <v/>
      </c>
      <c r="I251" s="3">
        <f>IF(AND('Data Source'!B251&lt;&gt;"",'Data Source'!S251="A+"),IF('Data Source'!AA251&gt;=5,"A+",IF('Data Source'!AA251&gt;=4,"A",IF('Data Source'!AA251&gt;=3.5,"A-",IF('Data Source'!AA251&gt;=3,"B",IF('Data Source'!AA251&gt;=2,"C",IF('Data Source'!AA251&gt;=1,"D","F")))))),"")</f>
        <v/>
      </c>
      <c r="J251" s="3">
        <f>IF(AND('Data Source'!B251&lt;&gt;"",'Data Source'!S251="A+"),IF('Data Source'!AB251&gt;=5,"A+",IF('Data Source'!AB251&gt;=4,"A",IF('Data Source'!AB251&gt;=3.5,"A-",IF('Data Source'!AB251&gt;=3,"B",IF('Data Source'!AB251&gt;=2,"C",IF('Data Source'!AB251&gt;=1,"D","F")))))),"")</f>
        <v/>
      </c>
      <c r="K251" s="3">
        <f>IF(AND('Data Source'!B251&lt;&gt;"",'Data Source'!S251="A+"),IF('Data Source'!AC251&gt;=5,"A+",IF('Data Source'!AC251&gt;=4,"A",IF('Data Source'!AC251&gt;=3.5,"A-",IF('Data Source'!AC251&gt;=3,"B",IF('Data Source'!AC251&gt;=2,"C",IF('Data Source'!AC251&gt;=1,"D","F")))))),"")</f>
        <v/>
      </c>
      <c r="L251" s="3">
        <f>IF(AND('Data Source'!B251&lt;&gt;"",'Data Source'!S251="A+"),IF('Data Source'!AD251&gt;=5,"A+",IF('Data Source'!AD251&gt;=4,"A",IF('Data Source'!AD251&gt;=3.5,"A-",IF('Data Source'!AD251&gt;=3,"B",IF('Data Source'!AD251&gt;=2,"C",IF('Data Source'!AD251&gt;=1,"D","F")))))),"")</f>
        <v/>
      </c>
      <c r="M251" s="3">
        <f>IF(AND('Data Source'!B251&lt;&gt;"",'Data Source'!S251="A+"),IF('Data Source'!AE251&gt;=5,"A+",IF('Data Source'!AE251&gt;=4,"A",IF('Data Source'!AE251&gt;=3.5,"A-",IF('Data Source'!AE251&gt;=3,"B",IF('Data Source'!AE251&gt;=2,"C",IF('Data Source'!AE251&gt;=1,"D","F")))))),"")</f>
        <v/>
      </c>
      <c r="N251" s="3">
        <f>IF(AND('Data Source'!B251&lt;&gt;"",'Data Source'!S251="A+"),IF('Data Source'!AF251&gt;=5,"A+",IF('Data Source'!AF251&gt;=4,"A",IF('Data Source'!AF251&gt;=3.5,"A-",IF('Data Source'!AF251&gt;=3,"B",IF('Data Source'!AF251&gt;=2,"C",IF('Data Source'!AF251&gt;=1,"D","F")))))),"")</f>
        <v/>
      </c>
      <c r="O251" s="3">
        <f>IF(AND('Data Source'!B251&lt;&gt;"",'Data Source'!S251="A+"),IF('Data Source'!AG251&gt;=5,"A+",IF('Data Source'!AG251&gt;=4,"A",IF('Data Source'!AG251&gt;=3.5,"A-",IF('Data Source'!AG251&gt;=3,"B",IF('Data Source'!AG251&gt;=2,"C",IF('Data Source'!AG251&gt;=1,"D","F")))))),"")</f>
        <v/>
      </c>
      <c r="P251" s="5">
        <f>IF(AND('Data Source'!B251&lt;&gt;"",'Data Source'!S251="A+"),'Data Source'!R251,"")</f>
        <v/>
      </c>
      <c r="Q251" s="3">
        <f>IF(AND('Data Source'!B251&lt;&gt;"",'Data Source'!S251="A+"),'Data Source'!S251,"")</f>
        <v/>
      </c>
    </row>
    <row r="252">
      <c r="A252" s="3">
        <f>IF(AND('Data Source'!B252&lt;&gt;"",'Data Source'!S252="A+"),COUNTIF('Data Source'!$S$3:S252,"A+"),"")</f>
        <v/>
      </c>
      <c r="B252">
        <f>IF(AND('Data Source'!B252&lt;&gt;"",'Data Source'!S252="A+"),'Data Source'!B252,"")</f>
        <v/>
      </c>
      <c r="C252" s="3">
        <f>IF(AND('Data Source'!B252&lt;&gt;"",'Data Source'!S252="A+"),IF('Data Source'!U252&gt;=5,"A+",IF('Data Source'!U252&gt;=4,"A",IF('Data Source'!U252&gt;=3.5,"A-",IF('Data Source'!U252&gt;=3,"B",IF('Data Source'!U252&gt;=2,"C",IF('Data Source'!U252&gt;=1,"D","F")))))),"")</f>
        <v/>
      </c>
      <c r="D252" s="3">
        <f>IF(AND('Data Source'!B252&lt;&gt;"",'Data Source'!S252="A+"),IF('Data Source'!V252&gt;=5,"A+",IF('Data Source'!V252&gt;=4,"A",IF('Data Source'!V252&gt;=3.5,"A-",IF('Data Source'!V252&gt;=3,"B",IF('Data Source'!V252&gt;=2,"C",IF('Data Source'!V252&gt;=1,"D","F")))))),"")</f>
        <v/>
      </c>
      <c r="E252" s="3">
        <f>IF(AND('Data Source'!B252&lt;&gt;"",'Data Source'!S252="A+"),IF('Data Source'!W252&gt;=5,"A+",IF('Data Source'!W252&gt;=4,"A",IF('Data Source'!W252&gt;=3.5,"A-",IF('Data Source'!W252&gt;=3,"B",IF('Data Source'!W252&gt;=2,"C",IF('Data Source'!W252&gt;=1,"D","F")))))),"")</f>
        <v/>
      </c>
      <c r="F252" s="3">
        <f>IF(AND('Data Source'!B252&lt;&gt;"",'Data Source'!S252="A+"),IF('Data Source'!X252&gt;=5,"A+",IF('Data Source'!X252&gt;=4,"A",IF('Data Source'!X252&gt;=3.5,"A-",IF('Data Source'!X252&gt;=3,"B",IF('Data Source'!X252&gt;=2,"C",IF('Data Source'!X252&gt;=1,"D","F")))))),"")</f>
        <v/>
      </c>
      <c r="G252" s="3">
        <f>IF(AND('Data Source'!B252&lt;&gt;"",'Data Source'!S252="A+"),IF('Data Source'!Y252&gt;=5,"A+",IF('Data Source'!Y252&gt;=4,"A",IF('Data Source'!Y252&gt;=3.5,"A-",IF('Data Source'!Y252&gt;=3,"B",IF('Data Source'!Y252&gt;=2,"C",IF('Data Source'!Y252&gt;=1,"D","F")))))),"")</f>
        <v/>
      </c>
      <c r="H252" s="3">
        <f>IF(AND('Data Source'!B252&lt;&gt;"",'Data Source'!S252="A+"),IF('Data Source'!Z252&gt;=5,"A+",IF('Data Source'!Z252&gt;=4,"A",IF('Data Source'!Z252&gt;=3.5,"A-",IF('Data Source'!Z252&gt;=3,"B",IF('Data Source'!Z252&gt;=2,"C",IF('Data Source'!Z252&gt;=1,"D","F")))))),"")</f>
        <v/>
      </c>
      <c r="I252" s="3">
        <f>IF(AND('Data Source'!B252&lt;&gt;"",'Data Source'!S252="A+"),IF('Data Source'!AA252&gt;=5,"A+",IF('Data Source'!AA252&gt;=4,"A",IF('Data Source'!AA252&gt;=3.5,"A-",IF('Data Source'!AA252&gt;=3,"B",IF('Data Source'!AA252&gt;=2,"C",IF('Data Source'!AA252&gt;=1,"D","F")))))),"")</f>
        <v/>
      </c>
      <c r="J252" s="3">
        <f>IF(AND('Data Source'!B252&lt;&gt;"",'Data Source'!S252="A+"),IF('Data Source'!AB252&gt;=5,"A+",IF('Data Source'!AB252&gt;=4,"A",IF('Data Source'!AB252&gt;=3.5,"A-",IF('Data Source'!AB252&gt;=3,"B",IF('Data Source'!AB252&gt;=2,"C",IF('Data Source'!AB252&gt;=1,"D","F")))))),"")</f>
        <v/>
      </c>
      <c r="K252" s="3">
        <f>IF(AND('Data Source'!B252&lt;&gt;"",'Data Source'!S252="A+"),IF('Data Source'!AC252&gt;=5,"A+",IF('Data Source'!AC252&gt;=4,"A",IF('Data Source'!AC252&gt;=3.5,"A-",IF('Data Source'!AC252&gt;=3,"B",IF('Data Source'!AC252&gt;=2,"C",IF('Data Source'!AC252&gt;=1,"D","F")))))),"")</f>
        <v/>
      </c>
      <c r="L252" s="3">
        <f>IF(AND('Data Source'!B252&lt;&gt;"",'Data Source'!S252="A+"),IF('Data Source'!AD252&gt;=5,"A+",IF('Data Source'!AD252&gt;=4,"A",IF('Data Source'!AD252&gt;=3.5,"A-",IF('Data Source'!AD252&gt;=3,"B",IF('Data Source'!AD252&gt;=2,"C",IF('Data Source'!AD252&gt;=1,"D","F")))))),"")</f>
        <v/>
      </c>
      <c r="M252" s="3">
        <f>IF(AND('Data Source'!B252&lt;&gt;"",'Data Source'!S252="A+"),IF('Data Source'!AE252&gt;=5,"A+",IF('Data Source'!AE252&gt;=4,"A",IF('Data Source'!AE252&gt;=3.5,"A-",IF('Data Source'!AE252&gt;=3,"B",IF('Data Source'!AE252&gt;=2,"C",IF('Data Source'!AE252&gt;=1,"D","F")))))),"")</f>
        <v/>
      </c>
      <c r="N252" s="3">
        <f>IF(AND('Data Source'!B252&lt;&gt;"",'Data Source'!S252="A+"),IF('Data Source'!AF252&gt;=5,"A+",IF('Data Source'!AF252&gt;=4,"A",IF('Data Source'!AF252&gt;=3.5,"A-",IF('Data Source'!AF252&gt;=3,"B",IF('Data Source'!AF252&gt;=2,"C",IF('Data Source'!AF252&gt;=1,"D","F")))))),"")</f>
        <v/>
      </c>
      <c r="O252" s="3">
        <f>IF(AND('Data Source'!B252&lt;&gt;"",'Data Source'!S252="A+"),IF('Data Source'!AG252&gt;=5,"A+",IF('Data Source'!AG252&gt;=4,"A",IF('Data Source'!AG252&gt;=3.5,"A-",IF('Data Source'!AG252&gt;=3,"B",IF('Data Source'!AG252&gt;=2,"C",IF('Data Source'!AG252&gt;=1,"D","F")))))),"")</f>
        <v/>
      </c>
      <c r="P252" s="5">
        <f>IF(AND('Data Source'!B252&lt;&gt;"",'Data Source'!S252="A+"),'Data Source'!R252,"")</f>
        <v/>
      </c>
      <c r="Q252" s="3">
        <f>IF(AND('Data Source'!B252&lt;&gt;"",'Data Source'!S252="A+"),'Data Source'!S252,"")</f>
        <v/>
      </c>
    </row>
    <row r="253">
      <c r="A253" s="3">
        <f>IF(AND('Data Source'!B253&lt;&gt;"",'Data Source'!S253="A+"),COUNTIF('Data Source'!$S$3:S253,"A+"),"")</f>
        <v/>
      </c>
      <c r="B253">
        <f>IF(AND('Data Source'!B253&lt;&gt;"",'Data Source'!S253="A+"),'Data Source'!B253,"")</f>
        <v/>
      </c>
      <c r="C253" s="3">
        <f>IF(AND('Data Source'!B253&lt;&gt;"",'Data Source'!S253="A+"),IF('Data Source'!U253&gt;=5,"A+",IF('Data Source'!U253&gt;=4,"A",IF('Data Source'!U253&gt;=3.5,"A-",IF('Data Source'!U253&gt;=3,"B",IF('Data Source'!U253&gt;=2,"C",IF('Data Source'!U253&gt;=1,"D","F")))))),"")</f>
        <v/>
      </c>
      <c r="D253" s="3">
        <f>IF(AND('Data Source'!B253&lt;&gt;"",'Data Source'!S253="A+"),IF('Data Source'!V253&gt;=5,"A+",IF('Data Source'!V253&gt;=4,"A",IF('Data Source'!V253&gt;=3.5,"A-",IF('Data Source'!V253&gt;=3,"B",IF('Data Source'!V253&gt;=2,"C",IF('Data Source'!V253&gt;=1,"D","F")))))),"")</f>
        <v/>
      </c>
      <c r="E253" s="3">
        <f>IF(AND('Data Source'!B253&lt;&gt;"",'Data Source'!S253="A+"),IF('Data Source'!W253&gt;=5,"A+",IF('Data Source'!W253&gt;=4,"A",IF('Data Source'!W253&gt;=3.5,"A-",IF('Data Source'!W253&gt;=3,"B",IF('Data Source'!W253&gt;=2,"C",IF('Data Source'!W253&gt;=1,"D","F")))))),"")</f>
        <v/>
      </c>
      <c r="F253" s="3">
        <f>IF(AND('Data Source'!B253&lt;&gt;"",'Data Source'!S253="A+"),IF('Data Source'!X253&gt;=5,"A+",IF('Data Source'!X253&gt;=4,"A",IF('Data Source'!X253&gt;=3.5,"A-",IF('Data Source'!X253&gt;=3,"B",IF('Data Source'!X253&gt;=2,"C",IF('Data Source'!X253&gt;=1,"D","F")))))),"")</f>
        <v/>
      </c>
      <c r="G253" s="3">
        <f>IF(AND('Data Source'!B253&lt;&gt;"",'Data Source'!S253="A+"),IF('Data Source'!Y253&gt;=5,"A+",IF('Data Source'!Y253&gt;=4,"A",IF('Data Source'!Y253&gt;=3.5,"A-",IF('Data Source'!Y253&gt;=3,"B",IF('Data Source'!Y253&gt;=2,"C",IF('Data Source'!Y253&gt;=1,"D","F")))))),"")</f>
        <v/>
      </c>
      <c r="H253" s="3">
        <f>IF(AND('Data Source'!B253&lt;&gt;"",'Data Source'!S253="A+"),IF('Data Source'!Z253&gt;=5,"A+",IF('Data Source'!Z253&gt;=4,"A",IF('Data Source'!Z253&gt;=3.5,"A-",IF('Data Source'!Z253&gt;=3,"B",IF('Data Source'!Z253&gt;=2,"C",IF('Data Source'!Z253&gt;=1,"D","F")))))),"")</f>
        <v/>
      </c>
      <c r="I253" s="3">
        <f>IF(AND('Data Source'!B253&lt;&gt;"",'Data Source'!S253="A+"),IF('Data Source'!AA253&gt;=5,"A+",IF('Data Source'!AA253&gt;=4,"A",IF('Data Source'!AA253&gt;=3.5,"A-",IF('Data Source'!AA253&gt;=3,"B",IF('Data Source'!AA253&gt;=2,"C",IF('Data Source'!AA253&gt;=1,"D","F")))))),"")</f>
        <v/>
      </c>
      <c r="J253" s="3">
        <f>IF(AND('Data Source'!B253&lt;&gt;"",'Data Source'!S253="A+"),IF('Data Source'!AB253&gt;=5,"A+",IF('Data Source'!AB253&gt;=4,"A",IF('Data Source'!AB253&gt;=3.5,"A-",IF('Data Source'!AB253&gt;=3,"B",IF('Data Source'!AB253&gt;=2,"C",IF('Data Source'!AB253&gt;=1,"D","F")))))),"")</f>
        <v/>
      </c>
      <c r="K253" s="3">
        <f>IF(AND('Data Source'!B253&lt;&gt;"",'Data Source'!S253="A+"),IF('Data Source'!AC253&gt;=5,"A+",IF('Data Source'!AC253&gt;=4,"A",IF('Data Source'!AC253&gt;=3.5,"A-",IF('Data Source'!AC253&gt;=3,"B",IF('Data Source'!AC253&gt;=2,"C",IF('Data Source'!AC253&gt;=1,"D","F")))))),"")</f>
        <v/>
      </c>
      <c r="L253" s="3">
        <f>IF(AND('Data Source'!B253&lt;&gt;"",'Data Source'!S253="A+"),IF('Data Source'!AD253&gt;=5,"A+",IF('Data Source'!AD253&gt;=4,"A",IF('Data Source'!AD253&gt;=3.5,"A-",IF('Data Source'!AD253&gt;=3,"B",IF('Data Source'!AD253&gt;=2,"C",IF('Data Source'!AD253&gt;=1,"D","F")))))),"")</f>
        <v/>
      </c>
      <c r="M253" s="3">
        <f>IF(AND('Data Source'!B253&lt;&gt;"",'Data Source'!S253="A+"),IF('Data Source'!AE253&gt;=5,"A+",IF('Data Source'!AE253&gt;=4,"A",IF('Data Source'!AE253&gt;=3.5,"A-",IF('Data Source'!AE253&gt;=3,"B",IF('Data Source'!AE253&gt;=2,"C",IF('Data Source'!AE253&gt;=1,"D","F")))))),"")</f>
        <v/>
      </c>
      <c r="N253" s="3">
        <f>IF(AND('Data Source'!B253&lt;&gt;"",'Data Source'!S253="A+"),IF('Data Source'!AF253&gt;=5,"A+",IF('Data Source'!AF253&gt;=4,"A",IF('Data Source'!AF253&gt;=3.5,"A-",IF('Data Source'!AF253&gt;=3,"B",IF('Data Source'!AF253&gt;=2,"C",IF('Data Source'!AF253&gt;=1,"D","F")))))),"")</f>
        <v/>
      </c>
      <c r="O253" s="3">
        <f>IF(AND('Data Source'!B253&lt;&gt;"",'Data Source'!S253="A+"),IF('Data Source'!AG253&gt;=5,"A+",IF('Data Source'!AG253&gt;=4,"A",IF('Data Source'!AG253&gt;=3.5,"A-",IF('Data Source'!AG253&gt;=3,"B",IF('Data Source'!AG253&gt;=2,"C",IF('Data Source'!AG253&gt;=1,"D","F")))))),"")</f>
        <v/>
      </c>
      <c r="P253" s="5">
        <f>IF(AND('Data Source'!B253&lt;&gt;"",'Data Source'!S253="A+"),'Data Source'!R253,"")</f>
        <v/>
      </c>
      <c r="Q253" s="3">
        <f>IF(AND('Data Source'!B253&lt;&gt;"",'Data Source'!S253="A+"),'Data Source'!S253,"")</f>
        <v/>
      </c>
    </row>
    <row r="254">
      <c r="A254" s="3">
        <f>IF(AND('Data Source'!B254&lt;&gt;"",'Data Source'!S254="A+"),COUNTIF('Data Source'!$S$3:S254,"A+"),"")</f>
        <v/>
      </c>
      <c r="B254">
        <f>IF(AND('Data Source'!B254&lt;&gt;"",'Data Source'!S254="A+"),'Data Source'!B254,"")</f>
        <v/>
      </c>
      <c r="C254" s="3">
        <f>IF(AND('Data Source'!B254&lt;&gt;"",'Data Source'!S254="A+"),IF('Data Source'!U254&gt;=5,"A+",IF('Data Source'!U254&gt;=4,"A",IF('Data Source'!U254&gt;=3.5,"A-",IF('Data Source'!U254&gt;=3,"B",IF('Data Source'!U254&gt;=2,"C",IF('Data Source'!U254&gt;=1,"D","F")))))),"")</f>
        <v/>
      </c>
      <c r="D254" s="3">
        <f>IF(AND('Data Source'!B254&lt;&gt;"",'Data Source'!S254="A+"),IF('Data Source'!V254&gt;=5,"A+",IF('Data Source'!V254&gt;=4,"A",IF('Data Source'!V254&gt;=3.5,"A-",IF('Data Source'!V254&gt;=3,"B",IF('Data Source'!V254&gt;=2,"C",IF('Data Source'!V254&gt;=1,"D","F")))))),"")</f>
        <v/>
      </c>
      <c r="E254" s="3">
        <f>IF(AND('Data Source'!B254&lt;&gt;"",'Data Source'!S254="A+"),IF('Data Source'!W254&gt;=5,"A+",IF('Data Source'!W254&gt;=4,"A",IF('Data Source'!W254&gt;=3.5,"A-",IF('Data Source'!W254&gt;=3,"B",IF('Data Source'!W254&gt;=2,"C",IF('Data Source'!W254&gt;=1,"D","F")))))),"")</f>
        <v/>
      </c>
      <c r="F254" s="3">
        <f>IF(AND('Data Source'!B254&lt;&gt;"",'Data Source'!S254="A+"),IF('Data Source'!X254&gt;=5,"A+",IF('Data Source'!X254&gt;=4,"A",IF('Data Source'!X254&gt;=3.5,"A-",IF('Data Source'!X254&gt;=3,"B",IF('Data Source'!X254&gt;=2,"C",IF('Data Source'!X254&gt;=1,"D","F")))))),"")</f>
        <v/>
      </c>
      <c r="G254" s="3">
        <f>IF(AND('Data Source'!B254&lt;&gt;"",'Data Source'!S254="A+"),IF('Data Source'!Y254&gt;=5,"A+",IF('Data Source'!Y254&gt;=4,"A",IF('Data Source'!Y254&gt;=3.5,"A-",IF('Data Source'!Y254&gt;=3,"B",IF('Data Source'!Y254&gt;=2,"C",IF('Data Source'!Y254&gt;=1,"D","F")))))),"")</f>
        <v/>
      </c>
      <c r="H254" s="3">
        <f>IF(AND('Data Source'!B254&lt;&gt;"",'Data Source'!S254="A+"),IF('Data Source'!Z254&gt;=5,"A+",IF('Data Source'!Z254&gt;=4,"A",IF('Data Source'!Z254&gt;=3.5,"A-",IF('Data Source'!Z254&gt;=3,"B",IF('Data Source'!Z254&gt;=2,"C",IF('Data Source'!Z254&gt;=1,"D","F")))))),"")</f>
        <v/>
      </c>
      <c r="I254" s="3">
        <f>IF(AND('Data Source'!B254&lt;&gt;"",'Data Source'!S254="A+"),IF('Data Source'!AA254&gt;=5,"A+",IF('Data Source'!AA254&gt;=4,"A",IF('Data Source'!AA254&gt;=3.5,"A-",IF('Data Source'!AA254&gt;=3,"B",IF('Data Source'!AA254&gt;=2,"C",IF('Data Source'!AA254&gt;=1,"D","F")))))),"")</f>
        <v/>
      </c>
      <c r="J254" s="3">
        <f>IF(AND('Data Source'!B254&lt;&gt;"",'Data Source'!S254="A+"),IF('Data Source'!AB254&gt;=5,"A+",IF('Data Source'!AB254&gt;=4,"A",IF('Data Source'!AB254&gt;=3.5,"A-",IF('Data Source'!AB254&gt;=3,"B",IF('Data Source'!AB254&gt;=2,"C",IF('Data Source'!AB254&gt;=1,"D","F")))))),"")</f>
        <v/>
      </c>
      <c r="K254" s="3">
        <f>IF(AND('Data Source'!B254&lt;&gt;"",'Data Source'!S254="A+"),IF('Data Source'!AC254&gt;=5,"A+",IF('Data Source'!AC254&gt;=4,"A",IF('Data Source'!AC254&gt;=3.5,"A-",IF('Data Source'!AC254&gt;=3,"B",IF('Data Source'!AC254&gt;=2,"C",IF('Data Source'!AC254&gt;=1,"D","F")))))),"")</f>
        <v/>
      </c>
      <c r="L254" s="3">
        <f>IF(AND('Data Source'!B254&lt;&gt;"",'Data Source'!S254="A+"),IF('Data Source'!AD254&gt;=5,"A+",IF('Data Source'!AD254&gt;=4,"A",IF('Data Source'!AD254&gt;=3.5,"A-",IF('Data Source'!AD254&gt;=3,"B",IF('Data Source'!AD254&gt;=2,"C",IF('Data Source'!AD254&gt;=1,"D","F")))))),"")</f>
        <v/>
      </c>
      <c r="M254" s="3">
        <f>IF(AND('Data Source'!B254&lt;&gt;"",'Data Source'!S254="A+"),IF('Data Source'!AE254&gt;=5,"A+",IF('Data Source'!AE254&gt;=4,"A",IF('Data Source'!AE254&gt;=3.5,"A-",IF('Data Source'!AE254&gt;=3,"B",IF('Data Source'!AE254&gt;=2,"C",IF('Data Source'!AE254&gt;=1,"D","F")))))),"")</f>
        <v/>
      </c>
      <c r="N254" s="3">
        <f>IF(AND('Data Source'!B254&lt;&gt;"",'Data Source'!S254="A+"),IF('Data Source'!AF254&gt;=5,"A+",IF('Data Source'!AF254&gt;=4,"A",IF('Data Source'!AF254&gt;=3.5,"A-",IF('Data Source'!AF254&gt;=3,"B",IF('Data Source'!AF254&gt;=2,"C",IF('Data Source'!AF254&gt;=1,"D","F")))))),"")</f>
        <v/>
      </c>
      <c r="O254" s="3">
        <f>IF(AND('Data Source'!B254&lt;&gt;"",'Data Source'!S254="A+"),IF('Data Source'!AG254&gt;=5,"A+",IF('Data Source'!AG254&gt;=4,"A",IF('Data Source'!AG254&gt;=3.5,"A-",IF('Data Source'!AG254&gt;=3,"B",IF('Data Source'!AG254&gt;=2,"C",IF('Data Source'!AG254&gt;=1,"D","F")))))),"")</f>
        <v/>
      </c>
      <c r="P254" s="5">
        <f>IF(AND('Data Source'!B254&lt;&gt;"",'Data Source'!S254="A+"),'Data Source'!R254,"")</f>
        <v/>
      </c>
      <c r="Q254" s="3">
        <f>IF(AND('Data Source'!B254&lt;&gt;"",'Data Source'!S254="A+"),'Data Source'!S254,"")</f>
        <v/>
      </c>
    </row>
    <row r="255">
      <c r="A255" s="3">
        <f>IF(AND('Data Source'!B255&lt;&gt;"",'Data Source'!S255="A+"),COUNTIF('Data Source'!$S$3:S255,"A+"),"")</f>
        <v/>
      </c>
      <c r="B255">
        <f>IF(AND('Data Source'!B255&lt;&gt;"",'Data Source'!S255="A+"),'Data Source'!B255,"")</f>
        <v/>
      </c>
      <c r="C255" s="3">
        <f>IF(AND('Data Source'!B255&lt;&gt;"",'Data Source'!S255="A+"),IF('Data Source'!U255&gt;=5,"A+",IF('Data Source'!U255&gt;=4,"A",IF('Data Source'!U255&gt;=3.5,"A-",IF('Data Source'!U255&gt;=3,"B",IF('Data Source'!U255&gt;=2,"C",IF('Data Source'!U255&gt;=1,"D","F")))))),"")</f>
        <v/>
      </c>
      <c r="D255" s="3">
        <f>IF(AND('Data Source'!B255&lt;&gt;"",'Data Source'!S255="A+"),IF('Data Source'!V255&gt;=5,"A+",IF('Data Source'!V255&gt;=4,"A",IF('Data Source'!V255&gt;=3.5,"A-",IF('Data Source'!V255&gt;=3,"B",IF('Data Source'!V255&gt;=2,"C",IF('Data Source'!V255&gt;=1,"D","F")))))),"")</f>
        <v/>
      </c>
      <c r="E255" s="3">
        <f>IF(AND('Data Source'!B255&lt;&gt;"",'Data Source'!S255="A+"),IF('Data Source'!W255&gt;=5,"A+",IF('Data Source'!W255&gt;=4,"A",IF('Data Source'!W255&gt;=3.5,"A-",IF('Data Source'!W255&gt;=3,"B",IF('Data Source'!W255&gt;=2,"C",IF('Data Source'!W255&gt;=1,"D","F")))))),"")</f>
        <v/>
      </c>
      <c r="F255" s="3">
        <f>IF(AND('Data Source'!B255&lt;&gt;"",'Data Source'!S255="A+"),IF('Data Source'!X255&gt;=5,"A+",IF('Data Source'!X255&gt;=4,"A",IF('Data Source'!X255&gt;=3.5,"A-",IF('Data Source'!X255&gt;=3,"B",IF('Data Source'!X255&gt;=2,"C",IF('Data Source'!X255&gt;=1,"D","F")))))),"")</f>
        <v/>
      </c>
      <c r="G255" s="3">
        <f>IF(AND('Data Source'!B255&lt;&gt;"",'Data Source'!S255="A+"),IF('Data Source'!Y255&gt;=5,"A+",IF('Data Source'!Y255&gt;=4,"A",IF('Data Source'!Y255&gt;=3.5,"A-",IF('Data Source'!Y255&gt;=3,"B",IF('Data Source'!Y255&gt;=2,"C",IF('Data Source'!Y255&gt;=1,"D","F")))))),"")</f>
        <v/>
      </c>
      <c r="H255" s="3">
        <f>IF(AND('Data Source'!B255&lt;&gt;"",'Data Source'!S255="A+"),IF('Data Source'!Z255&gt;=5,"A+",IF('Data Source'!Z255&gt;=4,"A",IF('Data Source'!Z255&gt;=3.5,"A-",IF('Data Source'!Z255&gt;=3,"B",IF('Data Source'!Z255&gt;=2,"C",IF('Data Source'!Z255&gt;=1,"D","F")))))),"")</f>
        <v/>
      </c>
      <c r="I255" s="3">
        <f>IF(AND('Data Source'!B255&lt;&gt;"",'Data Source'!S255="A+"),IF('Data Source'!AA255&gt;=5,"A+",IF('Data Source'!AA255&gt;=4,"A",IF('Data Source'!AA255&gt;=3.5,"A-",IF('Data Source'!AA255&gt;=3,"B",IF('Data Source'!AA255&gt;=2,"C",IF('Data Source'!AA255&gt;=1,"D","F")))))),"")</f>
        <v/>
      </c>
      <c r="J255" s="3">
        <f>IF(AND('Data Source'!B255&lt;&gt;"",'Data Source'!S255="A+"),IF('Data Source'!AB255&gt;=5,"A+",IF('Data Source'!AB255&gt;=4,"A",IF('Data Source'!AB255&gt;=3.5,"A-",IF('Data Source'!AB255&gt;=3,"B",IF('Data Source'!AB255&gt;=2,"C",IF('Data Source'!AB255&gt;=1,"D","F")))))),"")</f>
        <v/>
      </c>
      <c r="K255" s="3">
        <f>IF(AND('Data Source'!B255&lt;&gt;"",'Data Source'!S255="A+"),IF('Data Source'!AC255&gt;=5,"A+",IF('Data Source'!AC255&gt;=4,"A",IF('Data Source'!AC255&gt;=3.5,"A-",IF('Data Source'!AC255&gt;=3,"B",IF('Data Source'!AC255&gt;=2,"C",IF('Data Source'!AC255&gt;=1,"D","F")))))),"")</f>
        <v/>
      </c>
      <c r="L255" s="3">
        <f>IF(AND('Data Source'!B255&lt;&gt;"",'Data Source'!S255="A+"),IF('Data Source'!AD255&gt;=5,"A+",IF('Data Source'!AD255&gt;=4,"A",IF('Data Source'!AD255&gt;=3.5,"A-",IF('Data Source'!AD255&gt;=3,"B",IF('Data Source'!AD255&gt;=2,"C",IF('Data Source'!AD255&gt;=1,"D","F")))))),"")</f>
        <v/>
      </c>
      <c r="M255" s="3">
        <f>IF(AND('Data Source'!B255&lt;&gt;"",'Data Source'!S255="A+"),IF('Data Source'!AE255&gt;=5,"A+",IF('Data Source'!AE255&gt;=4,"A",IF('Data Source'!AE255&gt;=3.5,"A-",IF('Data Source'!AE255&gt;=3,"B",IF('Data Source'!AE255&gt;=2,"C",IF('Data Source'!AE255&gt;=1,"D","F")))))),"")</f>
        <v/>
      </c>
      <c r="N255" s="3">
        <f>IF(AND('Data Source'!B255&lt;&gt;"",'Data Source'!S255="A+"),IF('Data Source'!AF255&gt;=5,"A+",IF('Data Source'!AF255&gt;=4,"A",IF('Data Source'!AF255&gt;=3.5,"A-",IF('Data Source'!AF255&gt;=3,"B",IF('Data Source'!AF255&gt;=2,"C",IF('Data Source'!AF255&gt;=1,"D","F")))))),"")</f>
        <v/>
      </c>
      <c r="O255" s="3">
        <f>IF(AND('Data Source'!B255&lt;&gt;"",'Data Source'!S255="A+"),IF('Data Source'!AG255&gt;=5,"A+",IF('Data Source'!AG255&gt;=4,"A",IF('Data Source'!AG255&gt;=3.5,"A-",IF('Data Source'!AG255&gt;=3,"B",IF('Data Source'!AG255&gt;=2,"C",IF('Data Source'!AG255&gt;=1,"D","F")))))),"")</f>
        <v/>
      </c>
      <c r="P255" s="5">
        <f>IF(AND('Data Source'!B255&lt;&gt;"",'Data Source'!S255="A+"),'Data Source'!R255,"")</f>
        <v/>
      </c>
      <c r="Q255" s="3">
        <f>IF(AND('Data Source'!B255&lt;&gt;"",'Data Source'!S255="A+"),'Data Source'!S255,"")</f>
        <v/>
      </c>
    </row>
    <row r="256">
      <c r="A256" s="3">
        <f>IF(AND('Data Source'!B256&lt;&gt;"",'Data Source'!S256="A+"),COUNTIF('Data Source'!$S$3:S256,"A+"),"")</f>
        <v/>
      </c>
      <c r="B256">
        <f>IF(AND('Data Source'!B256&lt;&gt;"",'Data Source'!S256="A+"),'Data Source'!B256,"")</f>
        <v/>
      </c>
      <c r="C256" s="3">
        <f>IF(AND('Data Source'!B256&lt;&gt;"",'Data Source'!S256="A+"),IF('Data Source'!U256&gt;=5,"A+",IF('Data Source'!U256&gt;=4,"A",IF('Data Source'!U256&gt;=3.5,"A-",IF('Data Source'!U256&gt;=3,"B",IF('Data Source'!U256&gt;=2,"C",IF('Data Source'!U256&gt;=1,"D","F")))))),"")</f>
        <v/>
      </c>
      <c r="D256" s="3">
        <f>IF(AND('Data Source'!B256&lt;&gt;"",'Data Source'!S256="A+"),IF('Data Source'!V256&gt;=5,"A+",IF('Data Source'!V256&gt;=4,"A",IF('Data Source'!V256&gt;=3.5,"A-",IF('Data Source'!V256&gt;=3,"B",IF('Data Source'!V256&gt;=2,"C",IF('Data Source'!V256&gt;=1,"D","F")))))),"")</f>
        <v/>
      </c>
      <c r="E256" s="3">
        <f>IF(AND('Data Source'!B256&lt;&gt;"",'Data Source'!S256="A+"),IF('Data Source'!W256&gt;=5,"A+",IF('Data Source'!W256&gt;=4,"A",IF('Data Source'!W256&gt;=3.5,"A-",IF('Data Source'!W256&gt;=3,"B",IF('Data Source'!W256&gt;=2,"C",IF('Data Source'!W256&gt;=1,"D","F")))))),"")</f>
        <v/>
      </c>
      <c r="F256" s="3">
        <f>IF(AND('Data Source'!B256&lt;&gt;"",'Data Source'!S256="A+"),IF('Data Source'!X256&gt;=5,"A+",IF('Data Source'!X256&gt;=4,"A",IF('Data Source'!X256&gt;=3.5,"A-",IF('Data Source'!X256&gt;=3,"B",IF('Data Source'!X256&gt;=2,"C",IF('Data Source'!X256&gt;=1,"D","F")))))),"")</f>
        <v/>
      </c>
      <c r="G256" s="3">
        <f>IF(AND('Data Source'!B256&lt;&gt;"",'Data Source'!S256="A+"),IF('Data Source'!Y256&gt;=5,"A+",IF('Data Source'!Y256&gt;=4,"A",IF('Data Source'!Y256&gt;=3.5,"A-",IF('Data Source'!Y256&gt;=3,"B",IF('Data Source'!Y256&gt;=2,"C",IF('Data Source'!Y256&gt;=1,"D","F")))))),"")</f>
        <v/>
      </c>
      <c r="H256" s="3">
        <f>IF(AND('Data Source'!B256&lt;&gt;"",'Data Source'!S256="A+"),IF('Data Source'!Z256&gt;=5,"A+",IF('Data Source'!Z256&gt;=4,"A",IF('Data Source'!Z256&gt;=3.5,"A-",IF('Data Source'!Z256&gt;=3,"B",IF('Data Source'!Z256&gt;=2,"C",IF('Data Source'!Z256&gt;=1,"D","F")))))),"")</f>
        <v/>
      </c>
      <c r="I256" s="3">
        <f>IF(AND('Data Source'!B256&lt;&gt;"",'Data Source'!S256="A+"),IF('Data Source'!AA256&gt;=5,"A+",IF('Data Source'!AA256&gt;=4,"A",IF('Data Source'!AA256&gt;=3.5,"A-",IF('Data Source'!AA256&gt;=3,"B",IF('Data Source'!AA256&gt;=2,"C",IF('Data Source'!AA256&gt;=1,"D","F")))))),"")</f>
        <v/>
      </c>
      <c r="J256" s="3">
        <f>IF(AND('Data Source'!B256&lt;&gt;"",'Data Source'!S256="A+"),IF('Data Source'!AB256&gt;=5,"A+",IF('Data Source'!AB256&gt;=4,"A",IF('Data Source'!AB256&gt;=3.5,"A-",IF('Data Source'!AB256&gt;=3,"B",IF('Data Source'!AB256&gt;=2,"C",IF('Data Source'!AB256&gt;=1,"D","F")))))),"")</f>
        <v/>
      </c>
      <c r="K256" s="3">
        <f>IF(AND('Data Source'!B256&lt;&gt;"",'Data Source'!S256="A+"),IF('Data Source'!AC256&gt;=5,"A+",IF('Data Source'!AC256&gt;=4,"A",IF('Data Source'!AC256&gt;=3.5,"A-",IF('Data Source'!AC256&gt;=3,"B",IF('Data Source'!AC256&gt;=2,"C",IF('Data Source'!AC256&gt;=1,"D","F")))))),"")</f>
        <v/>
      </c>
      <c r="L256" s="3">
        <f>IF(AND('Data Source'!B256&lt;&gt;"",'Data Source'!S256="A+"),IF('Data Source'!AD256&gt;=5,"A+",IF('Data Source'!AD256&gt;=4,"A",IF('Data Source'!AD256&gt;=3.5,"A-",IF('Data Source'!AD256&gt;=3,"B",IF('Data Source'!AD256&gt;=2,"C",IF('Data Source'!AD256&gt;=1,"D","F")))))),"")</f>
        <v/>
      </c>
      <c r="M256" s="3">
        <f>IF(AND('Data Source'!B256&lt;&gt;"",'Data Source'!S256="A+"),IF('Data Source'!AE256&gt;=5,"A+",IF('Data Source'!AE256&gt;=4,"A",IF('Data Source'!AE256&gt;=3.5,"A-",IF('Data Source'!AE256&gt;=3,"B",IF('Data Source'!AE256&gt;=2,"C",IF('Data Source'!AE256&gt;=1,"D","F")))))),"")</f>
        <v/>
      </c>
      <c r="N256" s="3">
        <f>IF(AND('Data Source'!B256&lt;&gt;"",'Data Source'!S256="A+"),IF('Data Source'!AF256&gt;=5,"A+",IF('Data Source'!AF256&gt;=4,"A",IF('Data Source'!AF256&gt;=3.5,"A-",IF('Data Source'!AF256&gt;=3,"B",IF('Data Source'!AF256&gt;=2,"C",IF('Data Source'!AF256&gt;=1,"D","F")))))),"")</f>
        <v/>
      </c>
      <c r="O256" s="3">
        <f>IF(AND('Data Source'!B256&lt;&gt;"",'Data Source'!S256="A+"),IF('Data Source'!AG256&gt;=5,"A+",IF('Data Source'!AG256&gt;=4,"A",IF('Data Source'!AG256&gt;=3.5,"A-",IF('Data Source'!AG256&gt;=3,"B",IF('Data Source'!AG256&gt;=2,"C",IF('Data Source'!AG256&gt;=1,"D","F")))))),"")</f>
        <v/>
      </c>
      <c r="P256" s="5">
        <f>IF(AND('Data Source'!B256&lt;&gt;"",'Data Source'!S256="A+"),'Data Source'!R256,"")</f>
        <v/>
      </c>
      <c r="Q256" s="3">
        <f>IF(AND('Data Source'!B256&lt;&gt;"",'Data Source'!S256="A+"),'Data Source'!S256,"")</f>
        <v/>
      </c>
    </row>
    <row r="257">
      <c r="A257" s="3">
        <f>IF(AND('Data Source'!B257&lt;&gt;"",'Data Source'!S257="A+"),COUNTIF('Data Source'!$S$3:S257,"A+"),"")</f>
        <v/>
      </c>
      <c r="B257">
        <f>IF(AND('Data Source'!B257&lt;&gt;"",'Data Source'!S257="A+"),'Data Source'!B257,"")</f>
        <v/>
      </c>
      <c r="C257" s="3">
        <f>IF(AND('Data Source'!B257&lt;&gt;"",'Data Source'!S257="A+"),IF('Data Source'!U257&gt;=5,"A+",IF('Data Source'!U257&gt;=4,"A",IF('Data Source'!U257&gt;=3.5,"A-",IF('Data Source'!U257&gt;=3,"B",IF('Data Source'!U257&gt;=2,"C",IF('Data Source'!U257&gt;=1,"D","F")))))),"")</f>
        <v/>
      </c>
      <c r="D257" s="3">
        <f>IF(AND('Data Source'!B257&lt;&gt;"",'Data Source'!S257="A+"),IF('Data Source'!V257&gt;=5,"A+",IF('Data Source'!V257&gt;=4,"A",IF('Data Source'!V257&gt;=3.5,"A-",IF('Data Source'!V257&gt;=3,"B",IF('Data Source'!V257&gt;=2,"C",IF('Data Source'!V257&gt;=1,"D","F")))))),"")</f>
        <v/>
      </c>
      <c r="E257" s="3">
        <f>IF(AND('Data Source'!B257&lt;&gt;"",'Data Source'!S257="A+"),IF('Data Source'!W257&gt;=5,"A+",IF('Data Source'!W257&gt;=4,"A",IF('Data Source'!W257&gt;=3.5,"A-",IF('Data Source'!W257&gt;=3,"B",IF('Data Source'!W257&gt;=2,"C",IF('Data Source'!W257&gt;=1,"D","F")))))),"")</f>
        <v/>
      </c>
      <c r="F257" s="3">
        <f>IF(AND('Data Source'!B257&lt;&gt;"",'Data Source'!S257="A+"),IF('Data Source'!X257&gt;=5,"A+",IF('Data Source'!X257&gt;=4,"A",IF('Data Source'!X257&gt;=3.5,"A-",IF('Data Source'!X257&gt;=3,"B",IF('Data Source'!X257&gt;=2,"C",IF('Data Source'!X257&gt;=1,"D","F")))))),"")</f>
        <v/>
      </c>
      <c r="G257" s="3">
        <f>IF(AND('Data Source'!B257&lt;&gt;"",'Data Source'!S257="A+"),IF('Data Source'!Y257&gt;=5,"A+",IF('Data Source'!Y257&gt;=4,"A",IF('Data Source'!Y257&gt;=3.5,"A-",IF('Data Source'!Y257&gt;=3,"B",IF('Data Source'!Y257&gt;=2,"C",IF('Data Source'!Y257&gt;=1,"D","F")))))),"")</f>
        <v/>
      </c>
      <c r="H257" s="3">
        <f>IF(AND('Data Source'!B257&lt;&gt;"",'Data Source'!S257="A+"),IF('Data Source'!Z257&gt;=5,"A+",IF('Data Source'!Z257&gt;=4,"A",IF('Data Source'!Z257&gt;=3.5,"A-",IF('Data Source'!Z257&gt;=3,"B",IF('Data Source'!Z257&gt;=2,"C",IF('Data Source'!Z257&gt;=1,"D","F")))))),"")</f>
        <v/>
      </c>
      <c r="I257" s="3">
        <f>IF(AND('Data Source'!B257&lt;&gt;"",'Data Source'!S257="A+"),IF('Data Source'!AA257&gt;=5,"A+",IF('Data Source'!AA257&gt;=4,"A",IF('Data Source'!AA257&gt;=3.5,"A-",IF('Data Source'!AA257&gt;=3,"B",IF('Data Source'!AA257&gt;=2,"C",IF('Data Source'!AA257&gt;=1,"D","F")))))),"")</f>
        <v/>
      </c>
      <c r="J257" s="3">
        <f>IF(AND('Data Source'!B257&lt;&gt;"",'Data Source'!S257="A+"),IF('Data Source'!AB257&gt;=5,"A+",IF('Data Source'!AB257&gt;=4,"A",IF('Data Source'!AB257&gt;=3.5,"A-",IF('Data Source'!AB257&gt;=3,"B",IF('Data Source'!AB257&gt;=2,"C",IF('Data Source'!AB257&gt;=1,"D","F")))))),"")</f>
        <v/>
      </c>
      <c r="K257" s="3">
        <f>IF(AND('Data Source'!B257&lt;&gt;"",'Data Source'!S257="A+"),IF('Data Source'!AC257&gt;=5,"A+",IF('Data Source'!AC257&gt;=4,"A",IF('Data Source'!AC257&gt;=3.5,"A-",IF('Data Source'!AC257&gt;=3,"B",IF('Data Source'!AC257&gt;=2,"C",IF('Data Source'!AC257&gt;=1,"D","F")))))),"")</f>
        <v/>
      </c>
      <c r="L257" s="3">
        <f>IF(AND('Data Source'!B257&lt;&gt;"",'Data Source'!S257="A+"),IF('Data Source'!AD257&gt;=5,"A+",IF('Data Source'!AD257&gt;=4,"A",IF('Data Source'!AD257&gt;=3.5,"A-",IF('Data Source'!AD257&gt;=3,"B",IF('Data Source'!AD257&gt;=2,"C",IF('Data Source'!AD257&gt;=1,"D","F")))))),"")</f>
        <v/>
      </c>
      <c r="M257" s="3">
        <f>IF(AND('Data Source'!B257&lt;&gt;"",'Data Source'!S257="A+"),IF('Data Source'!AE257&gt;=5,"A+",IF('Data Source'!AE257&gt;=4,"A",IF('Data Source'!AE257&gt;=3.5,"A-",IF('Data Source'!AE257&gt;=3,"B",IF('Data Source'!AE257&gt;=2,"C",IF('Data Source'!AE257&gt;=1,"D","F")))))),"")</f>
        <v/>
      </c>
      <c r="N257" s="3">
        <f>IF(AND('Data Source'!B257&lt;&gt;"",'Data Source'!S257="A+"),IF('Data Source'!AF257&gt;=5,"A+",IF('Data Source'!AF257&gt;=4,"A",IF('Data Source'!AF257&gt;=3.5,"A-",IF('Data Source'!AF257&gt;=3,"B",IF('Data Source'!AF257&gt;=2,"C",IF('Data Source'!AF257&gt;=1,"D","F")))))),"")</f>
        <v/>
      </c>
      <c r="O257" s="3">
        <f>IF(AND('Data Source'!B257&lt;&gt;"",'Data Source'!S257="A+"),IF('Data Source'!AG257&gt;=5,"A+",IF('Data Source'!AG257&gt;=4,"A",IF('Data Source'!AG257&gt;=3.5,"A-",IF('Data Source'!AG257&gt;=3,"B",IF('Data Source'!AG257&gt;=2,"C",IF('Data Source'!AG257&gt;=1,"D","F")))))),"")</f>
        <v/>
      </c>
      <c r="P257" s="5">
        <f>IF(AND('Data Source'!B257&lt;&gt;"",'Data Source'!S257="A+"),'Data Source'!R257,"")</f>
        <v/>
      </c>
      <c r="Q257" s="3">
        <f>IF(AND('Data Source'!B257&lt;&gt;"",'Data Source'!S257="A+"),'Data Source'!S257,"")</f>
        <v/>
      </c>
    </row>
    <row r="258">
      <c r="A258" s="3">
        <f>IF(AND('Data Source'!B258&lt;&gt;"",'Data Source'!S258="A+"),COUNTIF('Data Source'!$S$3:S258,"A+"),"")</f>
        <v/>
      </c>
      <c r="B258">
        <f>IF(AND('Data Source'!B258&lt;&gt;"",'Data Source'!S258="A+"),'Data Source'!B258,"")</f>
        <v/>
      </c>
      <c r="C258" s="3">
        <f>IF(AND('Data Source'!B258&lt;&gt;"",'Data Source'!S258="A+"),IF('Data Source'!U258&gt;=5,"A+",IF('Data Source'!U258&gt;=4,"A",IF('Data Source'!U258&gt;=3.5,"A-",IF('Data Source'!U258&gt;=3,"B",IF('Data Source'!U258&gt;=2,"C",IF('Data Source'!U258&gt;=1,"D","F")))))),"")</f>
        <v/>
      </c>
      <c r="D258" s="3">
        <f>IF(AND('Data Source'!B258&lt;&gt;"",'Data Source'!S258="A+"),IF('Data Source'!V258&gt;=5,"A+",IF('Data Source'!V258&gt;=4,"A",IF('Data Source'!V258&gt;=3.5,"A-",IF('Data Source'!V258&gt;=3,"B",IF('Data Source'!V258&gt;=2,"C",IF('Data Source'!V258&gt;=1,"D","F")))))),"")</f>
        <v/>
      </c>
      <c r="E258" s="3">
        <f>IF(AND('Data Source'!B258&lt;&gt;"",'Data Source'!S258="A+"),IF('Data Source'!W258&gt;=5,"A+",IF('Data Source'!W258&gt;=4,"A",IF('Data Source'!W258&gt;=3.5,"A-",IF('Data Source'!W258&gt;=3,"B",IF('Data Source'!W258&gt;=2,"C",IF('Data Source'!W258&gt;=1,"D","F")))))),"")</f>
        <v/>
      </c>
      <c r="F258" s="3">
        <f>IF(AND('Data Source'!B258&lt;&gt;"",'Data Source'!S258="A+"),IF('Data Source'!X258&gt;=5,"A+",IF('Data Source'!X258&gt;=4,"A",IF('Data Source'!X258&gt;=3.5,"A-",IF('Data Source'!X258&gt;=3,"B",IF('Data Source'!X258&gt;=2,"C",IF('Data Source'!X258&gt;=1,"D","F")))))),"")</f>
        <v/>
      </c>
      <c r="G258" s="3">
        <f>IF(AND('Data Source'!B258&lt;&gt;"",'Data Source'!S258="A+"),IF('Data Source'!Y258&gt;=5,"A+",IF('Data Source'!Y258&gt;=4,"A",IF('Data Source'!Y258&gt;=3.5,"A-",IF('Data Source'!Y258&gt;=3,"B",IF('Data Source'!Y258&gt;=2,"C",IF('Data Source'!Y258&gt;=1,"D","F")))))),"")</f>
        <v/>
      </c>
      <c r="H258" s="3">
        <f>IF(AND('Data Source'!B258&lt;&gt;"",'Data Source'!S258="A+"),IF('Data Source'!Z258&gt;=5,"A+",IF('Data Source'!Z258&gt;=4,"A",IF('Data Source'!Z258&gt;=3.5,"A-",IF('Data Source'!Z258&gt;=3,"B",IF('Data Source'!Z258&gt;=2,"C",IF('Data Source'!Z258&gt;=1,"D","F")))))),"")</f>
        <v/>
      </c>
      <c r="I258" s="3">
        <f>IF(AND('Data Source'!B258&lt;&gt;"",'Data Source'!S258="A+"),IF('Data Source'!AA258&gt;=5,"A+",IF('Data Source'!AA258&gt;=4,"A",IF('Data Source'!AA258&gt;=3.5,"A-",IF('Data Source'!AA258&gt;=3,"B",IF('Data Source'!AA258&gt;=2,"C",IF('Data Source'!AA258&gt;=1,"D","F")))))),"")</f>
        <v/>
      </c>
      <c r="J258" s="3">
        <f>IF(AND('Data Source'!B258&lt;&gt;"",'Data Source'!S258="A+"),IF('Data Source'!AB258&gt;=5,"A+",IF('Data Source'!AB258&gt;=4,"A",IF('Data Source'!AB258&gt;=3.5,"A-",IF('Data Source'!AB258&gt;=3,"B",IF('Data Source'!AB258&gt;=2,"C",IF('Data Source'!AB258&gt;=1,"D","F")))))),"")</f>
        <v/>
      </c>
      <c r="K258" s="3">
        <f>IF(AND('Data Source'!B258&lt;&gt;"",'Data Source'!S258="A+"),IF('Data Source'!AC258&gt;=5,"A+",IF('Data Source'!AC258&gt;=4,"A",IF('Data Source'!AC258&gt;=3.5,"A-",IF('Data Source'!AC258&gt;=3,"B",IF('Data Source'!AC258&gt;=2,"C",IF('Data Source'!AC258&gt;=1,"D","F")))))),"")</f>
        <v/>
      </c>
      <c r="L258" s="3">
        <f>IF(AND('Data Source'!B258&lt;&gt;"",'Data Source'!S258="A+"),IF('Data Source'!AD258&gt;=5,"A+",IF('Data Source'!AD258&gt;=4,"A",IF('Data Source'!AD258&gt;=3.5,"A-",IF('Data Source'!AD258&gt;=3,"B",IF('Data Source'!AD258&gt;=2,"C",IF('Data Source'!AD258&gt;=1,"D","F")))))),"")</f>
        <v/>
      </c>
      <c r="M258" s="3">
        <f>IF(AND('Data Source'!B258&lt;&gt;"",'Data Source'!S258="A+"),IF('Data Source'!AE258&gt;=5,"A+",IF('Data Source'!AE258&gt;=4,"A",IF('Data Source'!AE258&gt;=3.5,"A-",IF('Data Source'!AE258&gt;=3,"B",IF('Data Source'!AE258&gt;=2,"C",IF('Data Source'!AE258&gt;=1,"D","F")))))),"")</f>
        <v/>
      </c>
      <c r="N258" s="3">
        <f>IF(AND('Data Source'!B258&lt;&gt;"",'Data Source'!S258="A+"),IF('Data Source'!AF258&gt;=5,"A+",IF('Data Source'!AF258&gt;=4,"A",IF('Data Source'!AF258&gt;=3.5,"A-",IF('Data Source'!AF258&gt;=3,"B",IF('Data Source'!AF258&gt;=2,"C",IF('Data Source'!AF258&gt;=1,"D","F")))))),"")</f>
        <v/>
      </c>
      <c r="O258" s="3">
        <f>IF(AND('Data Source'!B258&lt;&gt;"",'Data Source'!S258="A+"),IF('Data Source'!AG258&gt;=5,"A+",IF('Data Source'!AG258&gt;=4,"A",IF('Data Source'!AG258&gt;=3.5,"A-",IF('Data Source'!AG258&gt;=3,"B",IF('Data Source'!AG258&gt;=2,"C",IF('Data Source'!AG258&gt;=1,"D","F")))))),"")</f>
        <v/>
      </c>
      <c r="P258" s="5">
        <f>IF(AND('Data Source'!B258&lt;&gt;"",'Data Source'!S258="A+"),'Data Source'!R258,"")</f>
        <v/>
      </c>
      <c r="Q258" s="3">
        <f>IF(AND('Data Source'!B258&lt;&gt;"",'Data Source'!S258="A+"),'Data Source'!S258,"")</f>
        <v/>
      </c>
    </row>
    <row r="259">
      <c r="A259" s="3">
        <f>IF(AND('Data Source'!B259&lt;&gt;"",'Data Source'!S259="A+"),COUNTIF('Data Source'!$S$3:S259,"A+"),"")</f>
        <v/>
      </c>
      <c r="B259">
        <f>IF(AND('Data Source'!B259&lt;&gt;"",'Data Source'!S259="A+"),'Data Source'!B259,"")</f>
        <v/>
      </c>
      <c r="C259" s="3">
        <f>IF(AND('Data Source'!B259&lt;&gt;"",'Data Source'!S259="A+"),IF('Data Source'!U259&gt;=5,"A+",IF('Data Source'!U259&gt;=4,"A",IF('Data Source'!U259&gt;=3.5,"A-",IF('Data Source'!U259&gt;=3,"B",IF('Data Source'!U259&gt;=2,"C",IF('Data Source'!U259&gt;=1,"D","F")))))),"")</f>
        <v/>
      </c>
      <c r="D259" s="3">
        <f>IF(AND('Data Source'!B259&lt;&gt;"",'Data Source'!S259="A+"),IF('Data Source'!V259&gt;=5,"A+",IF('Data Source'!V259&gt;=4,"A",IF('Data Source'!V259&gt;=3.5,"A-",IF('Data Source'!V259&gt;=3,"B",IF('Data Source'!V259&gt;=2,"C",IF('Data Source'!V259&gt;=1,"D","F")))))),"")</f>
        <v/>
      </c>
      <c r="E259" s="3">
        <f>IF(AND('Data Source'!B259&lt;&gt;"",'Data Source'!S259="A+"),IF('Data Source'!W259&gt;=5,"A+",IF('Data Source'!W259&gt;=4,"A",IF('Data Source'!W259&gt;=3.5,"A-",IF('Data Source'!W259&gt;=3,"B",IF('Data Source'!W259&gt;=2,"C",IF('Data Source'!W259&gt;=1,"D","F")))))),"")</f>
        <v/>
      </c>
      <c r="F259" s="3">
        <f>IF(AND('Data Source'!B259&lt;&gt;"",'Data Source'!S259="A+"),IF('Data Source'!X259&gt;=5,"A+",IF('Data Source'!X259&gt;=4,"A",IF('Data Source'!X259&gt;=3.5,"A-",IF('Data Source'!X259&gt;=3,"B",IF('Data Source'!X259&gt;=2,"C",IF('Data Source'!X259&gt;=1,"D","F")))))),"")</f>
        <v/>
      </c>
      <c r="G259" s="3">
        <f>IF(AND('Data Source'!B259&lt;&gt;"",'Data Source'!S259="A+"),IF('Data Source'!Y259&gt;=5,"A+",IF('Data Source'!Y259&gt;=4,"A",IF('Data Source'!Y259&gt;=3.5,"A-",IF('Data Source'!Y259&gt;=3,"B",IF('Data Source'!Y259&gt;=2,"C",IF('Data Source'!Y259&gt;=1,"D","F")))))),"")</f>
        <v/>
      </c>
      <c r="H259" s="3">
        <f>IF(AND('Data Source'!B259&lt;&gt;"",'Data Source'!S259="A+"),IF('Data Source'!Z259&gt;=5,"A+",IF('Data Source'!Z259&gt;=4,"A",IF('Data Source'!Z259&gt;=3.5,"A-",IF('Data Source'!Z259&gt;=3,"B",IF('Data Source'!Z259&gt;=2,"C",IF('Data Source'!Z259&gt;=1,"D","F")))))),"")</f>
        <v/>
      </c>
      <c r="I259" s="3">
        <f>IF(AND('Data Source'!B259&lt;&gt;"",'Data Source'!S259="A+"),IF('Data Source'!AA259&gt;=5,"A+",IF('Data Source'!AA259&gt;=4,"A",IF('Data Source'!AA259&gt;=3.5,"A-",IF('Data Source'!AA259&gt;=3,"B",IF('Data Source'!AA259&gt;=2,"C",IF('Data Source'!AA259&gt;=1,"D","F")))))),"")</f>
        <v/>
      </c>
      <c r="J259" s="3">
        <f>IF(AND('Data Source'!B259&lt;&gt;"",'Data Source'!S259="A+"),IF('Data Source'!AB259&gt;=5,"A+",IF('Data Source'!AB259&gt;=4,"A",IF('Data Source'!AB259&gt;=3.5,"A-",IF('Data Source'!AB259&gt;=3,"B",IF('Data Source'!AB259&gt;=2,"C",IF('Data Source'!AB259&gt;=1,"D","F")))))),"")</f>
        <v/>
      </c>
      <c r="K259" s="3">
        <f>IF(AND('Data Source'!B259&lt;&gt;"",'Data Source'!S259="A+"),IF('Data Source'!AC259&gt;=5,"A+",IF('Data Source'!AC259&gt;=4,"A",IF('Data Source'!AC259&gt;=3.5,"A-",IF('Data Source'!AC259&gt;=3,"B",IF('Data Source'!AC259&gt;=2,"C",IF('Data Source'!AC259&gt;=1,"D","F")))))),"")</f>
        <v/>
      </c>
      <c r="L259" s="3">
        <f>IF(AND('Data Source'!B259&lt;&gt;"",'Data Source'!S259="A+"),IF('Data Source'!AD259&gt;=5,"A+",IF('Data Source'!AD259&gt;=4,"A",IF('Data Source'!AD259&gt;=3.5,"A-",IF('Data Source'!AD259&gt;=3,"B",IF('Data Source'!AD259&gt;=2,"C",IF('Data Source'!AD259&gt;=1,"D","F")))))),"")</f>
        <v/>
      </c>
      <c r="M259" s="3">
        <f>IF(AND('Data Source'!B259&lt;&gt;"",'Data Source'!S259="A+"),IF('Data Source'!AE259&gt;=5,"A+",IF('Data Source'!AE259&gt;=4,"A",IF('Data Source'!AE259&gt;=3.5,"A-",IF('Data Source'!AE259&gt;=3,"B",IF('Data Source'!AE259&gt;=2,"C",IF('Data Source'!AE259&gt;=1,"D","F")))))),"")</f>
        <v/>
      </c>
      <c r="N259" s="3">
        <f>IF(AND('Data Source'!B259&lt;&gt;"",'Data Source'!S259="A+"),IF('Data Source'!AF259&gt;=5,"A+",IF('Data Source'!AF259&gt;=4,"A",IF('Data Source'!AF259&gt;=3.5,"A-",IF('Data Source'!AF259&gt;=3,"B",IF('Data Source'!AF259&gt;=2,"C",IF('Data Source'!AF259&gt;=1,"D","F")))))),"")</f>
        <v/>
      </c>
      <c r="O259" s="3">
        <f>IF(AND('Data Source'!B259&lt;&gt;"",'Data Source'!S259="A+"),IF('Data Source'!AG259&gt;=5,"A+",IF('Data Source'!AG259&gt;=4,"A",IF('Data Source'!AG259&gt;=3.5,"A-",IF('Data Source'!AG259&gt;=3,"B",IF('Data Source'!AG259&gt;=2,"C",IF('Data Source'!AG259&gt;=1,"D","F")))))),"")</f>
        <v/>
      </c>
      <c r="P259" s="5">
        <f>IF(AND('Data Source'!B259&lt;&gt;"",'Data Source'!S259="A+"),'Data Source'!R259,"")</f>
        <v/>
      </c>
      <c r="Q259" s="3">
        <f>IF(AND('Data Source'!B259&lt;&gt;"",'Data Source'!S259="A+"),'Data Source'!S259,"")</f>
        <v/>
      </c>
    </row>
    <row r="260">
      <c r="A260" s="3">
        <f>IF(AND('Data Source'!B260&lt;&gt;"",'Data Source'!S260="A+"),COUNTIF('Data Source'!$S$3:S260,"A+"),"")</f>
        <v/>
      </c>
      <c r="B260">
        <f>IF(AND('Data Source'!B260&lt;&gt;"",'Data Source'!S260="A+"),'Data Source'!B260,"")</f>
        <v/>
      </c>
      <c r="C260" s="3">
        <f>IF(AND('Data Source'!B260&lt;&gt;"",'Data Source'!S260="A+"),IF('Data Source'!U260&gt;=5,"A+",IF('Data Source'!U260&gt;=4,"A",IF('Data Source'!U260&gt;=3.5,"A-",IF('Data Source'!U260&gt;=3,"B",IF('Data Source'!U260&gt;=2,"C",IF('Data Source'!U260&gt;=1,"D","F")))))),"")</f>
        <v/>
      </c>
      <c r="D260" s="3">
        <f>IF(AND('Data Source'!B260&lt;&gt;"",'Data Source'!S260="A+"),IF('Data Source'!V260&gt;=5,"A+",IF('Data Source'!V260&gt;=4,"A",IF('Data Source'!V260&gt;=3.5,"A-",IF('Data Source'!V260&gt;=3,"B",IF('Data Source'!V260&gt;=2,"C",IF('Data Source'!V260&gt;=1,"D","F")))))),"")</f>
        <v/>
      </c>
      <c r="E260" s="3">
        <f>IF(AND('Data Source'!B260&lt;&gt;"",'Data Source'!S260="A+"),IF('Data Source'!W260&gt;=5,"A+",IF('Data Source'!W260&gt;=4,"A",IF('Data Source'!W260&gt;=3.5,"A-",IF('Data Source'!W260&gt;=3,"B",IF('Data Source'!W260&gt;=2,"C",IF('Data Source'!W260&gt;=1,"D","F")))))),"")</f>
        <v/>
      </c>
      <c r="F260" s="3">
        <f>IF(AND('Data Source'!B260&lt;&gt;"",'Data Source'!S260="A+"),IF('Data Source'!X260&gt;=5,"A+",IF('Data Source'!X260&gt;=4,"A",IF('Data Source'!X260&gt;=3.5,"A-",IF('Data Source'!X260&gt;=3,"B",IF('Data Source'!X260&gt;=2,"C",IF('Data Source'!X260&gt;=1,"D","F")))))),"")</f>
        <v/>
      </c>
      <c r="G260" s="3">
        <f>IF(AND('Data Source'!B260&lt;&gt;"",'Data Source'!S260="A+"),IF('Data Source'!Y260&gt;=5,"A+",IF('Data Source'!Y260&gt;=4,"A",IF('Data Source'!Y260&gt;=3.5,"A-",IF('Data Source'!Y260&gt;=3,"B",IF('Data Source'!Y260&gt;=2,"C",IF('Data Source'!Y260&gt;=1,"D","F")))))),"")</f>
        <v/>
      </c>
      <c r="H260" s="3">
        <f>IF(AND('Data Source'!B260&lt;&gt;"",'Data Source'!S260="A+"),IF('Data Source'!Z260&gt;=5,"A+",IF('Data Source'!Z260&gt;=4,"A",IF('Data Source'!Z260&gt;=3.5,"A-",IF('Data Source'!Z260&gt;=3,"B",IF('Data Source'!Z260&gt;=2,"C",IF('Data Source'!Z260&gt;=1,"D","F")))))),"")</f>
        <v/>
      </c>
      <c r="I260" s="3">
        <f>IF(AND('Data Source'!B260&lt;&gt;"",'Data Source'!S260="A+"),IF('Data Source'!AA260&gt;=5,"A+",IF('Data Source'!AA260&gt;=4,"A",IF('Data Source'!AA260&gt;=3.5,"A-",IF('Data Source'!AA260&gt;=3,"B",IF('Data Source'!AA260&gt;=2,"C",IF('Data Source'!AA260&gt;=1,"D","F")))))),"")</f>
        <v/>
      </c>
      <c r="J260" s="3">
        <f>IF(AND('Data Source'!B260&lt;&gt;"",'Data Source'!S260="A+"),IF('Data Source'!AB260&gt;=5,"A+",IF('Data Source'!AB260&gt;=4,"A",IF('Data Source'!AB260&gt;=3.5,"A-",IF('Data Source'!AB260&gt;=3,"B",IF('Data Source'!AB260&gt;=2,"C",IF('Data Source'!AB260&gt;=1,"D","F")))))),"")</f>
        <v/>
      </c>
      <c r="K260" s="3">
        <f>IF(AND('Data Source'!B260&lt;&gt;"",'Data Source'!S260="A+"),IF('Data Source'!AC260&gt;=5,"A+",IF('Data Source'!AC260&gt;=4,"A",IF('Data Source'!AC260&gt;=3.5,"A-",IF('Data Source'!AC260&gt;=3,"B",IF('Data Source'!AC260&gt;=2,"C",IF('Data Source'!AC260&gt;=1,"D","F")))))),"")</f>
        <v/>
      </c>
      <c r="L260" s="3">
        <f>IF(AND('Data Source'!B260&lt;&gt;"",'Data Source'!S260="A+"),IF('Data Source'!AD260&gt;=5,"A+",IF('Data Source'!AD260&gt;=4,"A",IF('Data Source'!AD260&gt;=3.5,"A-",IF('Data Source'!AD260&gt;=3,"B",IF('Data Source'!AD260&gt;=2,"C",IF('Data Source'!AD260&gt;=1,"D","F")))))),"")</f>
        <v/>
      </c>
      <c r="M260" s="3">
        <f>IF(AND('Data Source'!B260&lt;&gt;"",'Data Source'!S260="A+"),IF('Data Source'!AE260&gt;=5,"A+",IF('Data Source'!AE260&gt;=4,"A",IF('Data Source'!AE260&gt;=3.5,"A-",IF('Data Source'!AE260&gt;=3,"B",IF('Data Source'!AE260&gt;=2,"C",IF('Data Source'!AE260&gt;=1,"D","F")))))),"")</f>
        <v/>
      </c>
      <c r="N260" s="3">
        <f>IF(AND('Data Source'!B260&lt;&gt;"",'Data Source'!S260="A+"),IF('Data Source'!AF260&gt;=5,"A+",IF('Data Source'!AF260&gt;=4,"A",IF('Data Source'!AF260&gt;=3.5,"A-",IF('Data Source'!AF260&gt;=3,"B",IF('Data Source'!AF260&gt;=2,"C",IF('Data Source'!AF260&gt;=1,"D","F")))))),"")</f>
        <v/>
      </c>
      <c r="O260" s="3">
        <f>IF(AND('Data Source'!B260&lt;&gt;"",'Data Source'!S260="A+"),IF('Data Source'!AG260&gt;=5,"A+",IF('Data Source'!AG260&gt;=4,"A",IF('Data Source'!AG260&gt;=3.5,"A-",IF('Data Source'!AG260&gt;=3,"B",IF('Data Source'!AG260&gt;=2,"C",IF('Data Source'!AG260&gt;=1,"D","F")))))),"")</f>
        <v/>
      </c>
      <c r="P260" s="5">
        <f>IF(AND('Data Source'!B260&lt;&gt;"",'Data Source'!S260="A+"),'Data Source'!R260,"")</f>
        <v/>
      </c>
      <c r="Q260" s="3">
        <f>IF(AND('Data Source'!B260&lt;&gt;"",'Data Source'!S260="A+"),'Data Source'!S260,"")</f>
        <v/>
      </c>
    </row>
    <row r="261">
      <c r="A261" s="3">
        <f>IF(AND('Data Source'!B261&lt;&gt;"",'Data Source'!S261="A+"),COUNTIF('Data Source'!$S$3:S261,"A+"),"")</f>
        <v/>
      </c>
      <c r="B261">
        <f>IF(AND('Data Source'!B261&lt;&gt;"",'Data Source'!S261="A+"),'Data Source'!B261,"")</f>
        <v/>
      </c>
      <c r="C261" s="3">
        <f>IF(AND('Data Source'!B261&lt;&gt;"",'Data Source'!S261="A+"),IF('Data Source'!U261&gt;=5,"A+",IF('Data Source'!U261&gt;=4,"A",IF('Data Source'!U261&gt;=3.5,"A-",IF('Data Source'!U261&gt;=3,"B",IF('Data Source'!U261&gt;=2,"C",IF('Data Source'!U261&gt;=1,"D","F")))))),"")</f>
        <v/>
      </c>
      <c r="D261" s="3">
        <f>IF(AND('Data Source'!B261&lt;&gt;"",'Data Source'!S261="A+"),IF('Data Source'!V261&gt;=5,"A+",IF('Data Source'!V261&gt;=4,"A",IF('Data Source'!V261&gt;=3.5,"A-",IF('Data Source'!V261&gt;=3,"B",IF('Data Source'!V261&gt;=2,"C",IF('Data Source'!V261&gt;=1,"D","F")))))),"")</f>
        <v/>
      </c>
      <c r="E261" s="3">
        <f>IF(AND('Data Source'!B261&lt;&gt;"",'Data Source'!S261="A+"),IF('Data Source'!W261&gt;=5,"A+",IF('Data Source'!W261&gt;=4,"A",IF('Data Source'!W261&gt;=3.5,"A-",IF('Data Source'!W261&gt;=3,"B",IF('Data Source'!W261&gt;=2,"C",IF('Data Source'!W261&gt;=1,"D","F")))))),"")</f>
        <v/>
      </c>
      <c r="F261" s="3">
        <f>IF(AND('Data Source'!B261&lt;&gt;"",'Data Source'!S261="A+"),IF('Data Source'!X261&gt;=5,"A+",IF('Data Source'!X261&gt;=4,"A",IF('Data Source'!X261&gt;=3.5,"A-",IF('Data Source'!X261&gt;=3,"B",IF('Data Source'!X261&gt;=2,"C",IF('Data Source'!X261&gt;=1,"D","F")))))),"")</f>
        <v/>
      </c>
      <c r="G261" s="3">
        <f>IF(AND('Data Source'!B261&lt;&gt;"",'Data Source'!S261="A+"),IF('Data Source'!Y261&gt;=5,"A+",IF('Data Source'!Y261&gt;=4,"A",IF('Data Source'!Y261&gt;=3.5,"A-",IF('Data Source'!Y261&gt;=3,"B",IF('Data Source'!Y261&gt;=2,"C",IF('Data Source'!Y261&gt;=1,"D","F")))))),"")</f>
        <v/>
      </c>
      <c r="H261" s="3">
        <f>IF(AND('Data Source'!B261&lt;&gt;"",'Data Source'!S261="A+"),IF('Data Source'!Z261&gt;=5,"A+",IF('Data Source'!Z261&gt;=4,"A",IF('Data Source'!Z261&gt;=3.5,"A-",IF('Data Source'!Z261&gt;=3,"B",IF('Data Source'!Z261&gt;=2,"C",IF('Data Source'!Z261&gt;=1,"D","F")))))),"")</f>
        <v/>
      </c>
      <c r="I261" s="3">
        <f>IF(AND('Data Source'!B261&lt;&gt;"",'Data Source'!S261="A+"),IF('Data Source'!AA261&gt;=5,"A+",IF('Data Source'!AA261&gt;=4,"A",IF('Data Source'!AA261&gt;=3.5,"A-",IF('Data Source'!AA261&gt;=3,"B",IF('Data Source'!AA261&gt;=2,"C",IF('Data Source'!AA261&gt;=1,"D","F")))))),"")</f>
        <v/>
      </c>
      <c r="J261" s="3">
        <f>IF(AND('Data Source'!B261&lt;&gt;"",'Data Source'!S261="A+"),IF('Data Source'!AB261&gt;=5,"A+",IF('Data Source'!AB261&gt;=4,"A",IF('Data Source'!AB261&gt;=3.5,"A-",IF('Data Source'!AB261&gt;=3,"B",IF('Data Source'!AB261&gt;=2,"C",IF('Data Source'!AB261&gt;=1,"D","F")))))),"")</f>
        <v/>
      </c>
      <c r="K261" s="3">
        <f>IF(AND('Data Source'!B261&lt;&gt;"",'Data Source'!S261="A+"),IF('Data Source'!AC261&gt;=5,"A+",IF('Data Source'!AC261&gt;=4,"A",IF('Data Source'!AC261&gt;=3.5,"A-",IF('Data Source'!AC261&gt;=3,"B",IF('Data Source'!AC261&gt;=2,"C",IF('Data Source'!AC261&gt;=1,"D","F")))))),"")</f>
        <v/>
      </c>
      <c r="L261" s="3">
        <f>IF(AND('Data Source'!B261&lt;&gt;"",'Data Source'!S261="A+"),IF('Data Source'!AD261&gt;=5,"A+",IF('Data Source'!AD261&gt;=4,"A",IF('Data Source'!AD261&gt;=3.5,"A-",IF('Data Source'!AD261&gt;=3,"B",IF('Data Source'!AD261&gt;=2,"C",IF('Data Source'!AD261&gt;=1,"D","F")))))),"")</f>
        <v/>
      </c>
      <c r="M261" s="3">
        <f>IF(AND('Data Source'!B261&lt;&gt;"",'Data Source'!S261="A+"),IF('Data Source'!AE261&gt;=5,"A+",IF('Data Source'!AE261&gt;=4,"A",IF('Data Source'!AE261&gt;=3.5,"A-",IF('Data Source'!AE261&gt;=3,"B",IF('Data Source'!AE261&gt;=2,"C",IF('Data Source'!AE261&gt;=1,"D","F")))))),"")</f>
        <v/>
      </c>
      <c r="N261" s="3">
        <f>IF(AND('Data Source'!B261&lt;&gt;"",'Data Source'!S261="A+"),IF('Data Source'!AF261&gt;=5,"A+",IF('Data Source'!AF261&gt;=4,"A",IF('Data Source'!AF261&gt;=3.5,"A-",IF('Data Source'!AF261&gt;=3,"B",IF('Data Source'!AF261&gt;=2,"C",IF('Data Source'!AF261&gt;=1,"D","F")))))),"")</f>
        <v/>
      </c>
      <c r="O261" s="3">
        <f>IF(AND('Data Source'!B261&lt;&gt;"",'Data Source'!S261="A+"),IF('Data Source'!AG261&gt;=5,"A+",IF('Data Source'!AG261&gt;=4,"A",IF('Data Source'!AG261&gt;=3.5,"A-",IF('Data Source'!AG261&gt;=3,"B",IF('Data Source'!AG261&gt;=2,"C",IF('Data Source'!AG261&gt;=1,"D","F")))))),"")</f>
        <v/>
      </c>
      <c r="P261" s="5">
        <f>IF(AND('Data Source'!B261&lt;&gt;"",'Data Source'!S261="A+"),'Data Source'!R261,"")</f>
        <v/>
      </c>
      <c r="Q261" s="3">
        <f>IF(AND('Data Source'!B261&lt;&gt;"",'Data Source'!S261="A+"),'Data Source'!S261,"")</f>
        <v/>
      </c>
    </row>
    <row r="262">
      <c r="A262" s="3">
        <f>IF(AND('Data Source'!B262&lt;&gt;"",'Data Source'!S262="A+"),COUNTIF('Data Source'!$S$3:S262,"A+"),"")</f>
        <v/>
      </c>
      <c r="B262">
        <f>IF(AND('Data Source'!B262&lt;&gt;"",'Data Source'!S262="A+"),'Data Source'!B262,"")</f>
        <v/>
      </c>
      <c r="C262" s="3">
        <f>IF(AND('Data Source'!B262&lt;&gt;"",'Data Source'!S262="A+"),IF('Data Source'!U262&gt;=5,"A+",IF('Data Source'!U262&gt;=4,"A",IF('Data Source'!U262&gt;=3.5,"A-",IF('Data Source'!U262&gt;=3,"B",IF('Data Source'!U262&gt;=2,"C",IF('Data Source'!U262&gt;=1,"D","F")))))),"")</f>
        <v/>
      </c>
      <c r="D262" s="3">
        <f>IF(AND('Data Source'!B262&lt;&gt;"",'Data Source'!S262="A+"),IF('Data Source'!V262&gt;=5,"A+",IF('Data Source'!V262&gt;=4,"A",IF('Data Source'!V262&gt;=3.5,"A-",IF('Data Source'!V262&gt;=3,"B",IF('Data Source'!V262&gt;=2,"C",IF('Data Source'!V262&gt;=1,"D","F")))))),"")</f>
        <v/>
      </c>
      <c r="E262" s="3">
        <f>IF(AND('Data Source'!B262&lt;&gt;"",'Data Source'!S262="A+"),IF('Data Source'!W262&gt;=5,"A+",IF('Data Source'!W262&gt;=4,"A",IF('Data Source'!W262&gt;=3.5,"A-",IF('Data Source'!W262&gt;=3,"B",IF('Data Source'!W262&gt;=2,"C",IF('Data Source'!W262&gt;=1,"D","F")))))),"")</f>
        <v/>
      </c>
      <c r="F262" s="3">
        <f>IF(AND('Data Source'!B262&lt;&gt;"",'Data Source'!S262="A+"),IF('Data Source'!X262&gt;=5,"A+",IF('Data Source'!X262&gt;=4,"A",IF('Data Source'!X262&gt;=3.5,"A-",IF('Data Source'!X262&gt;=3,"B",IF('Data Source'!X262&gt;=2,"C",IF('Data Source'!X262&gt;=1,"D","F")))))),"")</f>
        <v/>
      </c>
      <c r="G262" s="3">
        <f>IF(AND('Data Source'!B262&lt;&gt;"",'Data Source'!S262="A+"),IF('Data Source'!Y262&gt;=5,"A+",IF('Data Source'!Y262&gt;=4,"A",IF('Data Source'!Y262&gt;=3.5,"A-",IF('Data Source'!Y262&gt;=3,"B",IF('Data Source'!Y262&gt;=2,"C",IF('Data Source'!Y262&gt;=1,"D","F")))))),"")</f>
        <v/>
      </c>
      <c r="H262" s="3">
        <f>IF(AND('Data Source'!B262&lt;&gt;"",'Data Source'!S262="A+"),IF('Data Source'!Z262&gt;=5,"A+",IF('Data Source'!Z262&gt;=4,"A",IF('Data Source'!Z262&gt;=3.5,"A-",IF('Data Source'!Z262&gt;=3,"B",IF('Data Source'!Z262&gt;=2,"C",IF('Data Source'!Z262&gt;=1,"D","F")))))),"")</f>
        <v/>
      </c>
      <c r="I262" s="3">
        <f>IF(AND('Data Source'!B262&lt;&gt;"",'Data Source'!S262="A+"),IF('Data Source'!AA262&gt;=5,"A+",IF('Data Source'!AA262&gt;=4,"A",IF('Data Source'!AA262&gt;=3.5,"A-",IF('Data Source'!AA262&gt;=3,"B",IF('Data Source'!AA262&gt;=2,"C",IF('Data Source'!AA262&gt;=1,"D","F")))))),"")</f>
        <v/>
      </c>
      <c r="J262" s="3">
        <f>IF(AND('Data Source'!B262&lt;&gt;"",'Data Source'!S262="A+"),IF('Data Source'!AB262&gt;=5,"A+",IF('Data Source'!AB262&gt;=4,"A",IF('Data Source'!AB262&gt;=3.5,"A-",IF('Data Source'!AB262&gt;=3,"B",IF('Data Source'!AB262&gt;=2,"C",IF('Data Source'!AB262&gt;=1,"D","F")))))),"")</f>
        <v/>
      </c>
      <c r="K262" s="3">
        <f>IF(AND('Data Source'!B262&lt;&gt;"",'Data Source'!S262="A+"),IF('Data Source'!AC262&gt;=5,"A+",IF('Data Source'!AC262&gt;=4,"A",IF('Data Source'!AC262&gt;=3.5,"A-",IF('Data Source'!AC262&gt;=3,"B",IF('Data Source'!AC262&gt;=2,"C",IF('Data Source'!AC262&gt;=1,"D","F")))))),"")</f>
        <v/>
      </c>
      <c r="L262" s="3">
        <f>IF(AND('Data Source'!B262&lt;&gt;"",'Data Source'!S262="A+"),IF('Data Source'!AD262&gt;=5,"A+",IF('Data Source'!AD262&gt;=4,"A",IF('Data Source'!AD262&gt;=3.5,"A-",IF('Data Source'!AD262&gt;=3,"B",IF('Data Source'!AD262&gt;=2,"C",IF('Data Source'!AD262&gt;=1,"D","F")))))),"")</f>
        <v/>
      </c>
      <c r="M262" s="3">
        <f>IF(AND('Data Source'!B262&lt;&gt;"",'Data Source'!S262="A+"),IF('Data Source'!AE262&gt;=5,"A+",IF('Data Source'!AE262&gt;=4,"A",IF('Data Source'!AE262&gt;=3.5,"A-",IF('Data Source'!AE262&gt;=3,"B",IF('Data Source'!AE262&gt;=2,"C",IF('Data Source'!AE262&gt;=1,"D","F")))))),"")</f>
        <v/>
      </c>
      <c r="N262" s="3">
        <f>IF(AND('Data Source'!B262&lt;&gt;"",'Data Source'!S262="A+"),IF('Data Source'!AF262&gt;=5,"A+",IF('Data Source'!AF262&gt;=4,"A",IF('Data Source'!AF262&gt;=3.5,"A-",IF('Data Source'!AF262&gt;=3,"B",IF('Data Source'!AF262&gt;=2,"C",IF('Data Source'!AF262&gt;=1,"D","F")))))),"")</f>
        <v/>
      </c>
      <c r="O262" s="3">
        <f>IF(AND('Data Source'!B262&lt;&gt;"",'Data Source'!S262="A+"),IF('Data Source'!AG262&gt;=5,"A+",IF('Data Source'!AG262&gt;=4,"A",IF('Data Source'!AG262&gt;=3.5,"A-",IF('Data Source'!AG262&gt;=3,"B",IF('Data Source'!AG262&gt;=2,"C",IF('Data Source'!AG262&gt;=1,"D","F")))))),"")</f>
        <v/>
      </c>
      <c r="P262" s="5">
        <f>IF(AND('Data Source'!B262&lt;&gt;"",'Data Source'!S262="A+"),'Data Source'!R262,"")</f>
        <v/>
      </c>
      <c r="Q262" s="3">
        <f>IF(AND('Data Source'!B262&lt;&gt;"",'Data Source'!S262="A+"),'Data Source'!S262,"")</f>
        <v/>
      </c>
    </row>
    <row r="263">
      <c r="A263" s="3">
        <f>IF(AND('Data Source'!B263&lt;&gt;"",'Data Source'!S263="A+"),COUNTIF('Data Source'!$S$3:S263,"A+"),"")</f>
        <v/>
      </c>
      <c r="B263">
        <f>IF(AND('Data Source'!B263&lt;&gt;"",'Data Source'!S263="A+"),'Data Source'!B263,"")</f>
        <v/>
      </c>
      <c r="C263" s="3">
        <f>IF(AND('Data Source'!B263&lt;&gt;"",'Data Source'!S263="A+"),IF('Data Source'!U263&gt;=5,"A+",IF('Data Source'!U263&gt;=4,"A",IF('Data Source'!U263&gt;=3.5,"A-",IF('Data Source'!U263&gt;=3,"B",IF('Data Source'!U263&gt;=2,"C",IF('Data Source'!U263&gt;=1,"D","F")))))),"")</f>
        <v/>
      </c>
      <c r="D263" s="3">
        <f>IF(AND('Data Source'!B263&lt;&gt;"",'Data Source'!S263="A+"),IF('Data Source'!V263&gt;=5,"A+",IF('Data Source'!V263&gt;=4,"A",IF('Data Source'!V263&gt;=3.5,"A-",IF('Data Source'!V263&gt;=3,"B",IF('Data Source'!V263&gt;=2,"C",IF('Data Source'!V263&gt;=1,"D","F")))))),"")</f>
        <v/>
      </c>
      <c r="E263" s="3">
        <f>IF(AND('Data Source'!B263&lt;&gt;"",'Data Source'!S263="A+"),IF('Data Source'!W263&gt;=5,"A+",IF('Data Source'!W263&gt;=4,"A",IF('Data Source'!W263&gt;=3.5,"A-",IF('Data Source'!W263&gt;=3,"B",IF('Data Source'!W263&gt;=2,"C",IF('Data Source'!W263&gt;=1,"D","F")))))),"")</f>
        <v/>
      </c>
      <c r="F263" s="3">
        <f>IF(AND('Data Source'!B263&lt;&gt;"",'Data Source'!S263="A+"),IF('Data Source'!X263&gt;=5,"A+",IF('Data Source'!X263&gt;=4,"A",IF('Data Source'!X263&gt;=3.5,"A-",IF('Data Source'!X263&gt;=3,"B",IF('Data Source'!X263&gt;=2,"C",IF('Data Source'!X263&gt;=1,"D","F")))))),"")</f>
        <v/>
      </c>
      <c r="G263" s="3">
        <f>IF(AND('Data Source'!B263&lt;&gt;"",'Data Source'!S263="A+"),IF('Data Source'!Y263&gt;=5,"A+",IF('Data Source'!Y263&gt;=4,"A",IF('Data Source'!Y263&gt;=3.5,"A-",IF('Data Source'!Y263&gt;=3,"B",IF('Data Source'!Y263&gt;=2,"C",IF('Data Source'!Y263&gt;=1,"D","F")))))),"")</f>
        <v/>
      </c>
      <c r="H263" s="3">
        <f>IF(AND('Data Source'!B263&lt;&gt;"",'Data Source'!S263="A+"),IF('Data Source'!Z263&gt;=5,"A+",IF('Data Source'!Z263&gt;=4,"A",IF('Data Source'!Z263&gt;=3.5,"A-",IF('Data Source'!Z263&gt;=3,"B",IF('Data Source'!Z263&gt;=2,"C",IF('Data Source'!Z263&gt;=1,"D","F")))))),"")</f>
        <v/>
      </c>
      <c r="I263" s="3">
        <f>IF(AND('Data Source'!B263&lt;&gt;"",'Data Source'!S263="A+"),IF('Data Source'!AA263&gt;=5,"A+",IF('Data Source'!AA263&gt;=4,"A",IF('Data Source'!AA263&gt;=3.5,"A-",IF('Data Source'!AA263&gt;=3,"B",IF('Data Source'!AA263&gt;=2,"C",IF('Data Source'!AA263&gt;=1,"D","F")))))),"")</f>
        <v/>
      </c>
      <c r="J263" s="3">
        <f>IF(AND('Data Source'!B263&lt;&gt;"",'Data Source'!S263="A+"),IF('Data Source'!AB263&gt;=5,"A+",IF('Data Source'!AB263&gt;=4,"A",IF('Data Source'!AB263&gt;=3.5,"A-",IF('Data Source'!AB263&gt;=3,"B",IF('Data Source'!AB263&gt;=2,"C",IF('Data Source'!AB263&gt;=1,"D","F")))))),"")</f>
        <v/>
      </c>
      <c r="K263" s="3">
        <f>IF(AND('Data Source'!B263&lt;&gt;"",'Data Source'!S263="A+"),IF('Data Source'!AC263&gt;=5,"A+",IF('Data Source'!AC263&gt;=4,"A",IF('Data Source'!AC263&gt;=3.5,"A-",IF('Data Source'!AC263&gt;=3,"B",IF('Data Source'!AC263&gt;=2,"C",IF('Data Source'!AC263&gt;=1,"D","F")))))),"")</f>
        <v/>
      </c>
      <c r="L263" s="3">
        <f>IF(AND('Data Source'!B263&lt;&gt;"",'Data Source'!S263="A+"),IF('Data Source'!AD263&gt;=5,"A+",IF('Data Source'!AD263&gt;=4,"A",IF('Data Source'!AD263&gt;=3.5,"A-",IF('Data Source'!AD263&gt;=3,"B",IF('Data Source'!AD263&gt;=2,"C",IF('Data Source'!AD263&gt;=1,"D","F")))))),"")</f>
        <v/>
      </c>
      <c r="M263" s="3">
        <f>IF(AND('Data Source'!B263&lt;&gt;"",'Data Source'!S263="A+"),IF('Data Source'!AE263&gt;=5,"A+",IF('Data Source'!AE263&gt;=4,"A",IF('Data Source'!AE263&gt;=3.5,"A-",IF('Data Source'!AE263&gt;=3,"B",IF('Data Source'!AE263&gt;=2,"C",IF('Data Source'!AE263&gt;=1,"D","F")))))),"")</f>
        <v/>
      </c>
      <c r="N263" s="3">
        <f>IF(AND('Data Source'!B263&lt;&gt;"",'Data Source'!S263="A+"),IF('Data Source'!AF263&gt;=5,"A+",IF('Data Source'!AF263&gt;=4,"A",IF('Data Source'!AF263&gt;=3.5,"A-",IF('Data Source'!AF263&gt;=3,"B",IF('Data Source'!AF263&gt;=2,"C",IF('Data Source'!AF263&gt;=1,"D","F")))))),"")</f>
        <v/>
      </c>
      <c r="O263" s="3">
        <f>IF(AND('Data Source'!B263&lt;&gt;"",'Data Source'!S263="A+"),IF('Data Source'!AG263&gt;=5,"A+",IF('Data Source'!AG263&gt;=4,"A",IF('Data Source'!AG263&gt;=3.5,"A-",IF('Data Source'!AG263&gt;=3,"B",IF('Data Source'!AG263&gt;=2,"C",IF('Data Source'!AG263&gt;=1,"D","F")))))),"")</f>
        <v/>
      </c>
      <c r="P263" s="5">
        <f>IF(AND('Data Source'!B263&lt;&gt;"",'Data Source'!S263="A+"),'Data Source'!R263,"")</f>
        <v/>
      </c>
      <c r="Q263" s="3">
        <f>IF(AND('Data Source'!B263&lt;&gt;"",'Data Source'!S263="A+"),'Data Source'!S263,"")</f>
        <v/>
      </c>
    </row>
    <row r="264">
      <c r="A264" s="3">
        <f>IF(AND('Data Source'!B264&lt;&gt;"",'Data Source'!S264="A+"),COUNTIF('Data Source'!$S$3:S264,"A+"),"")</f>
        <v/>
      </c>
      <c r="B264">
        <f>IF(AND('Data Source'!B264&lt;&gt;"",'Data Source'!S264="A+"),'Data Source'!B264,"")</f>
        <v/>
      </c>
      <c r="C264" s="3">
        <f>IF(AND('Data Source'!B264&lt;&gt;"",'Data Source'!S264="A+"),IF('Data Source'!U264&gt;=5,"A+",IF('Data Source'!U264&gt;=4,"A",IF('Data Source'!U264&gt;=3.5,"A-",IF('Data Source'!U264&gt;=3,"B",IF('Data Source'!U264&gt;=2,"C",IF('Data Source'!U264&gt;=1,"D","F")))))),"")</f>
        <v/>
      </c>
      <c r="D264" s="3">
        <f>IF(AND('Data Source'!B264&lt;&gt;"",'Data Source'!S264="A+"),IF('Data Source'!V264&gt;=5,"A+",IF('Data Source'!V264&gt;=4,"A",IF('Data Source'!V264&gt;=3.5,"A-",IF('Data Source'!V264&gt;=3,"B",IF('Data Source'!V264&gt;=2,"C",IF('Data Source'!V264&gt;=1,"D","F")))))),"")</f>
        <v/>
      </c>
      <c r="E264" s="3">
        <f>IF(AND('Data Source'!B264&lt;&gt;"",'Data Source'!S264="A+"),IF('Data Source'!W264&gt;=5,"A+",IF('Data Source'!W264&gt;=4,"A",IF('Data Source'!W264&gt;=3.5,"A-",IF('Data Source'!W264&gt;=3,"B",IF('Data Source'!W264&gt;=2,"C",IF('Data Source'!W264&gt;=1,"D","F")))))),"")</f>
        <v/>
      </c>
      <c r="F264" s="3">
        <f>IF(AND('Data Source'!B264&lt;&gt;"",'Data Source'!S264="A+"),IF('Data Source'!X264&gt;=5,"A+",IF('Data Source'!X264&gt;=4,"A",IF('Data Source'!X264&gt;=3.5,"A-",IF('Data Source'!X264&gt;=3,"B",IF('Data Source'!X264&gt;=2,"C",IF('Data Source'!X264&gt;=1,"D","F")))))),"")</f>
        <v/>
      </c>
      <c r="G264" s="3">
        <f>IF(AND('Data Source'!B264&lt;&gt;"",'Data Source'!S264="A+"),IF('Data Source'!Y264&gt;=5,"A+",IF('Data Source'!Y264&gt;=4,"A",IF('Data Source'!Y264&gt;=3.5,"A-",IF('Data Source'!Y264&gt;=3,"B",IF('Data Source'!Y264&gt;=2,"C",IF('Data Source'!Y264&gt;=1,"D","F")))))),"")</f>
        <v/>
      </c>
      <c r="H264" s="3">
        <f>IF(AND('Data Source'!B264&lt;&gt;"",'Data Source'!S264="A+"),IF('Data Source'!Z264&gt;=5,"A+",IF('Data Source'!Z264&gt;=4,"A",IF('Data Source'!Z264&gt;=3.5,"A-",IF('Data Source'!Z264&gt;=3,"B",IF('Data Source'!Z264&gt;=2,"C",IF('Data Source'!Z264&gt;=1,"D","F")))))),"")</f>
        <v/>
      </c>
      <c r="I264" s="3">
        <f>IF(AND('Data Source'!B264&lt;&gt;"",'Data Source'!S264="A+"),IF('Data Source'!AA264&gt;=5,"A+",IF('Data Source'!AA264&gt;=4,"A",IF('Data Source'!AA264&gt;=3.5,"A-",IF('Data Source'!AA264&gt;=3,"B",IF('Data Source'!AA264&gt;=2,"C",IF('Data Source'!AA264&gt;=1,"D","F")))))),"")</f>
        <v/>
      </c>
      <c r="J264" s="3">
        <f>IF(AND('Data Source'!B264&lt;&gt;"",'Data Source'!S264="A+"),IF('Data Source'!AB264&gt;=5,"A+",IF('Data Source'!AB264&gt;=4,"A",IF('Data Source'!AB264&gt;=3.5,"A-",IF('Data Source'!AB264&gt;=3,"B",IF('Data Source'!AB264&gt;=2,"C",IF('Data Source'!AB264&gt;=1,"D","F")))))),"")</f>
        <v/>
      </c>
      <c r="K264" s="3">
        <f>IF(AND('Data Source'!B264&lt;&gt;"",'Data Source'!S264="A+"),IF('Data Source'!AC264&gt;=5,"A+",IF('Data Source'!AC264&gt;=4,"A",IF('Data Source'!AC264&gt;=3.5,"A-",IF('Data Source'!AC264&gt;=3,"B",IF('Data Source'!AC264&gt;=2,"C",IF('Data Source'!AC264&gt;=1,"D","F")))))),"")</f>
        <v/>
      </c>
      <c r="L264" s="3">
        <f>IF(AND('Data Source'!B264&lt;&gt;"",'Data Source'!S264="A+"),IF('Data Source'!AD264&gt;=5,"A+",IF('Data Source'!AD264&gt;=4,"A",IF('Data Source'!AD264&gt;=3.5,"A-",IF('Data Source'!AD264&gt;=3,"B",IF('Data Source'!AD264&gt;=2,"C",IF('Data Source'!AD264&gt;=1,"D","F")))))),"")</f>
        <v/>
      </c>
      <c r="M264" s="3">
        <f>IF(AND('Data Source'!B264&lt;&gt;"",'Data Source'!S264="A+"),IF('Data Source'!AE264&gt;=5,"A+",IF('Data Source'!AE264&gt;=4,"A",IF('Data Source'!AE264&gt;=3.5,"A-",IF('Data Source'!AE264&gt;=3,"B",IF('Data Source'!AE264&gt;=2,"C",IF('Data Source'!AE264&gt;=1,"D","F")))))),"")</f>
        <v/>
      </c>
      <c r="N264" s="3">
        <f>IF(AND('Data Source'!B264&lt;&gt;"",'Data Source'!S264="A+"),IF('Data Source'!AF264&gt;=5,"A+",IF('Data Source'!AF264&gt;=4,"A",IF('Data Source'!AF264&gt;=3.5,"A-",IF('Data Source'!AF264&gt;=3,"B",IF('Data Source'!AF264&gt;=2,"C",IF('Data Source'!AF264&gt;=1,"D","F")))))),"")</f>
        <v/>
      </c>
      <c r="O264" s="3">
        <f>IF(AND('Data Source'!B264&lt;&gt;"",'Data Source'!S264="A+"),IF('Data Source'!AG264&gt;=5,"A+",IF('Data Source'!AG264&gt;=4,"A",IF('Data Source'!AG264&gt;=3.5,"A-",IF('Data Source'!AG264&gt;=3,"B",IF('Data Source'!AG264&gt;=2,"C",IF('Data Source'!AG264&gt;=1,"D","F")))))),"")</f>
        <v/>
      </c>
      <c r="P264" s="5">
        <f>IF(AND('Data Source'!B264&lt;&gt;"",'Data Source'!S264="A+"),'Data Source'!R264,"")</f>
        <v/>
      </c>
      <c r="Q264" s="3">
        <f>IF(AND('Data Source'!B264&lt;&gt;"",'Data Source'!S264="A+"),'Data Source'!S264,"")</f>
        <v/>
      </c>
    </row>
    <row r="265">
      <c r="A265" s="3">
        <f>IF(AND('Data Source'!B265&lt;&gt;"",'Data Source'!S265="A+"),COUNTIF('Data Source'!$S$3:S265,"A+"),"")</f>
        <v/>
      </c>
      <c r="B265">
        <f>IF(AND('Data Source'!B265&lt;&gt;"",'Data Source'!S265="A+"),'Data Source'!B265,"")</f>
        <v/>
      </c>
      <c r="C265" s="3">
        <f>IF(AND('Data Source'!B265&lt;&gt;"",'Data Source'!S265="A+"),IF('Data Source'!U265&gt;=5,"A+",IF('Data Source'!U265&gt;=4,"A",IF('Data Source'!U265&gt;=3.5,"A-",IF('Data Source'!U265&gt;=3,"B",IF('Data Source'!U265&gt;=2,"C",IF('Data Source'!U265&gt;=1,"D","F")))))),"")</f>
        <v/>
      </c>
      <c r="D265" s="3">
        <f>IF(AND('Data Source'!B265&lt;&gt;"",'Data Source'!S265="A+"),IF('Data Source'!V265&gt;=5,"A+",IF('Data Source'!V265&gt;=4,"A",IF('Data Source'!V265&gt;=3.5,"A-",IF('Data Source'!V265&gt;=3,"B",IF('Data Source'!V265&gt;=2,"C",IF('Data Source'!V265&gt;=1,"D","F")))))),"")</f>
        <v/>
      </c>
      <c r="E265" s="3">
        <f>IF(AND('Data Source'!B265&lt;&gt;"",'Data Source'!S265="A+"),IF('Data Source'!W265&gt;=5,"A+",IF('Data Source'!W265&gt;=4,"A",IF('Data Source'!W265&gt;=3.5,"A-",IF('Data Source'!W265&gt;=3,"B",IF('Data Source'!W265&gt;=2,"C",IF('Data Source'!W265&gt;=1,"D","F")))))),"")</f>
        <v/>
      </c>
      <c r="F265" s="3">
        <f>IF(AND('Data Source'!B265&lt;&gt;"",'Data Source'!S265="A+"),IF('Data Source'!X265&gt;=5,"A+",IF('Data Source'!X265&gt;=4,"A",IF('Data Source'!X265&gt;=3.5,"A-",IF('Data Source'!X265&gt;=3,"B",IF('Data Source'!X265&gt;=2,"C",IF('Data Source'!X265&gt;=1,"D","F")))))),"")</f>
        <v/>
      </c>
      <c r="G265" s="3">
        <f>IF(AND('Data Source'!B265&lt;&gt;"",'Data Source'!S265="A+"),IF('Data Source'!Y265&gt;=5,"A+",IF('Data Source'!Y265&gt;=4,"A",IF('Data Source'!Y265&gt;=3.5,"A-",IF('Data Source'!Y265&gt;=3,"B",IF('Data Source'!Y265&gt;=2,"C",IF('Data Source'!Y265&gt;=1,"D","F")))))),"")</f>
        <v/>
      </c>
      <c r="H265" s="3">
        <f>IF(AND('Data Source'!B265&lt;&gt;"",'Data Source'!S265="A+"),IF('Data Source'!Z265&gt;=5,"A+",IF('Data Source'!Z265&gt;=4,"A",IF('Data Source'!Z265&gt;=3.5,"A-",IF('Data Source'!Z265&gt;=3,"B",IF('Data Source'!Z265&gt;=2,"C",IF('Data Source'!Z265&gt;=1,"D","F")))))),"")</f>
        <v/>
      </c>
      <c r="I265" s="3">
        <f>IF(AND('Data Source'!B265&lt;&gt;"",'Data Source'!S265="A+"),IF('Data Source'!AA265&gt;=5,"A+",IF('Data Source'!AA265&gt;=4,"A",IF('Data Source'!AA265&gt;=3.5,"A-",IF('Data Source'!AA265&gt;=3,"B",IF('Data Source'!AA265&gt;=2,"C",IF('Data Source'!AA265&gt;=1,"D","F")))))),"")</f>
        <v/>
      </c>
      <c r="J265" s="3">
        <f>IF(AND('Data Source'!B265&lt;&gt;"",'Data Source'!S265="A+"),IF('Data Source'!AB265&gt;=5,"A+",IF('Data Source'!AB265&gt;=4,"A",IF('Data Source'!AB265&gt;=3.5,"A-",IF('Data Source'!AB265&gt;=3,"B",IF('Data Source'!AB265&gt;=2,"C",IF('Data Source'!AB265&gt;=1,"D","F")))))),"")</f>
        <v/>
      </c>
      <c r="K265" s="3">
        <f>IF(AND('Data Source'!B265&lt;&gt;"",'Data Source'!S265="A+"),IF('Data Source'!AC265&gt;=5,"A+",IF('Data Source'!AC265&gt;=4,"A",IF('Data Source'!AC265&gt;=3.5,"A-",IF('Data Source'!AC265&gt;=3,"B",IF('Data Source'!AC265&gt;=2,"C",IF('Data Source'!AC265&gt;=1,"D","F")))))),"")</f>
        <v/>
      </c>
      <c r="L265" s="3">
        <f>IF(AND('Data Source'!B265&lt;&gt;"",'Data Source'!S265="A+"),IF('Data Source'!AD265&gt;=5,"A+",IF('Data Source'!AD265&gt;=4,"A",IF('Data Source'!AD265&gt;=3.5,"A-",IF('Data Source'!AD265&gt;=3,"B",IF('Data Source'!AD265&gt;=2,"C",IF('Data Source'!AD265&gt;=1,"D","F")))))),"")</f>
        <v/>
      </c>
      <c r="M265" s="3">
        <f>IF(AND('Data Source'!B265&lt;&gt;"",'Data Source'!S265="A+"),IF('Data Source'!AE265&gt;=5,"A+",IF('Data Source'!AE265&gt;=4,"A",IF('Data Source'!AE265&gt;=3.5,"A-",IF('Data Source'!AE265&gt;=3,"B",IF('Data Source'!AE265&gt;=2,"C",IF('Data Source'!AE265&gt;=1,"D","F")))))),"")</f>
        <v/>
      </c>
      <c r="N265" s="3">
        <f>IF(AND('Data Source'!B265&lt;&gt;"",'Data Source'!S265="A+"),IF('Data Source'!AF265&gt;=5,"A+",IF('Data Source'!AF265&gt;=4,"A",IF('Data Source'!AF265&gt;=3.5,"A-",IF('Data Source'!AF265&gt;=3,"B",IF('Data Source'!AF265&gt;=2,"C",IF('Data Source'!AF265&gt;=1,"D","F")))))),"")</f>
        <v/>
      </c>
      <c r="O265" s="3">
        <f>IF(AND('Data Source'!B265&lt;&gt;"",'Data Source'!S265="A+"),IF('Data Source'!AG265&gt;=5,"A+",IF('Data Source'!AG265&gt;=4,"A",IF('Data Source'!AG265&gt;=3.5,"A-",IF('Data Source'!AG265&gt;=3,"B",IF('Data Source'!AG265&gt;=2,"C",IF('Data Source'!AG265&gt;=1,"D","F")))))),"")</f>
        <v/>
      </c>
      <c r="P265" s="5">
        <f>IF(AND('Data Source'!B265&lt;&gt;"",'Data Source'!S265="A+"),'Data Source'!R265,"")</f>
        <v/>
      </c>
      <c r="Q265" s="3">
        <f>IF(AND('Data Source'!B265&lt;&gt;"",'Data Source'!S265="A+"),'Data Source'!S265,"")</f>
        <v/>
      </c>
    </row>
    <row r="266">
      <c r="A266" s="3">
        <f>IF(AND('Data Source'!B266&lt;&gt;"",'Data Source'!S266="A+"),COUNTIF('Data Source'!$S$3:S266,"A+"),"")</f>
        <v/>
      </c>
      <c r="B266">
        <f>IF(AND('Data Source'!B266&lt;&gt;"",'Data Source'!S266="A+"),'Data Source'!B266,"")</f>
        <v/>
      </c>
      <c r="C266" s="3">
        <f>IF(AND('Data Source'!B266&lt;&gt;"",'Data Source'!S266="A+"),IF('Data Source'!U266&gt;=5,"A+",IF('Data Source'!U266&gt;=4,"A",IF('Data Source'!U266&gt;=3.5,"A-",IF('Data Source'!U266&gt;=3,"B",IF('Data Source'!U266&gt;=2,"C",IF('Data Source'!U266&gt;=1,"D","F")))))),"")</f>
        <v/>
      </c>
      <c r="D266" s="3">
        <f>IF(AND('Data Source'!B266&lt;&gt;"",'Data Source'!S266="A+"),IF('Data Source'!V266&gt;=5,"A+",IF('Data Source'!V266&gt;=4,"A",IF('Data Source'!V266&gt;=3.5,"A-",IF('Data Source'!V266&gt;=3,"B",IF('Data Source'!V266&gt;=2,"C",IF('Data Source'!V266&gt;=1,"D","F")))))),"")</f>
        <v/>
      </c>
      <c r="E266" s="3">
        <f>IF(AND('Data Source'!B266&lt;&gt;"",'Data Source'!S266="A+"),IF('Data Source'!W266&gt;=5,"A+",IF('Data Source'!W266&gt;=4,"A",IF('Data Source'!W266&gt;=3.5,"A-",IF('Data Source'!W266&gt;=3,"B",IF('Data Source'!W266&gt;=2,"C",IF('Data Source'!W266&gt;=1,"D","F")))))),"")</f>
        <v/>
      </c>
      <c r="F266" s="3">
        <f>IF(AND('Data Source'!B266&lt;&gt;"",'Data Source'!S266="A+"),IF('Data Source'!X266&gt;=5,"A+",IF('Data Source'!X266&gt;=4,"A",IF('Data Source'!X266&gt;=3.5,"A-",IF('Data Source'!X266&gt;=3,"B",IF('Data Source'!X266&gt;=2,"C",IF('Data Source'!X266&gt;=1,"D","F")))))),"")</f>
        <v/>
      </c>
      <c r="G266" s="3">
        <f>IF(AND('Data Source'!B266&lt;&gt;"",'Data Source'!S266="A+"),IF('Data Source'!Y266&gt;=5,"A+",IF('Data Source'!Y266&gt;=4,"A",IF('Data Source'!Y266&gt;=3.5,"A-",IF('Data Source'!Y266&gt;=3,"B",IF('Data Source'!Y266&gt;=2,"C",IF('Data Source'!Y266&gt;=1,"D","F")))))),"")</f>
        <v/>
      </c>
      <c r="H266" s="3">
        <f>IF(AND('Data Source'!B266&lt;&gt;"",'Data Source'!S266="A+"),IF('Data Source'!Z266&gt;=5,"A+",IF('Data Source'!Z266&gt;=4,"A",IF('Data Source'!Z266&gt;=3.5,"A-",IF('Data Source'!Z266&gt;=3,"B",IF('Data Source'!Z266&gt;=2,"C",IF('Data Source'!Z266&gt;=1,"D","F")))))),"")</f>
        <v/>
      </c>
      <c r="I266" s="3">
        <f>IF(AND('Data Source'!B266&lt;&gt;"",'Data Source'!S266="A+"),IF('Data Source'!AA266&gt;=5,"A+",IF('Data Source'!AA266&gt;=4,"A",IF('Data Source'!AA266&gt;=3.5,"A-",IF('Data Source'!AA266&gt;=3,"B",IF('Data Source'!AA266&gt;=2,"C",IF('Data Source'!AA266&gt;=1,"D","F")))))),"")</f>
        <v/>
      </c>
      <c r="J266" s="3">
        <f>IF(AND('Data Source'!B266&lt;&gt;"",'Data Source'!S266="A+"),IF('Data Source'!AB266&gt;=5,"A+",IF('Data Source'!AB266&gt;=4,"A",IF('Data Source'!AB266&gt;=3.5,"A-",IF('Data Source'!AB266&gt;=3,"B",IF('Data Source'!AB266&gt;=2,"C",IF('Data Source'!AB266&gt;=1,"D","F")))))),"")</f>
        <v/>
      </c>
      <c r="K266" s="3">
        <f>IF(AND('Data Source'!B266&lt;&gt;"",'Data Source'!S266="A+"),IF('Data Source'!AC266&gt;=5,"A+",IF('Data Source'!AC266&gt;=4,"A",IF('Data Source'!AC266&gt;=3.5,"A-",IF('Data Source'!AC266&gt;=3,"B",IF('Data Source'!AC266&gt;=2,"C",IF('Data Source'!AC266&gt;=1,"D","F")))))),"")</f>
        <v/>
      </c>
      <c r="L266" s="3">
        <f>IF(AND('Data Source'!B266&lt;&gt;"",'Data Source'!S266="A+"),IF('Data Source'!AD266&gt;=5,"A+",IF('Data Source'!AD266&gt;=4,"A",IF('Data Source'!AD266&gt;=3.5,"A-",IF('Data Source'!AD266&gt;=3,"B",IF('Data Source'!AD266&gt;=2,"C",IF('Data Source'!AD266&gt;=1,"D","F")))))),"")</f>
        <v/>
      </c>
      <c r="M266" s="3">
        <f>IF(AND('Data Source'!B266&lt;&gt;"",'Data Source'!S266="A+"),IF('Data Source'!AE266&gt;=5,"A+",IF('Data Source'!AE266&gt;=4,"A",IF('Data Source'!AE266&gt;=3.5,"A-",IF('Data Source'!AE266&gt;=3,"B",IF('Data Source'!AE266&gt;=2,"C",IF('Data Source'!AE266&gt;=1,"D","F")))))),"")</f>
        <v/>
      </c>
      <c r="N266" s="3">
        <f>IF(AND('Data Source'!B266&lt;&gt;"",'Data Source'!S266="A+"),IF('Data Source'!AF266&gt;=5,"A+",IF('Data Source'!AF266&gt;=4,"A",IF('Data Source'!AF266&gt;=3.5,"A-",IF('Data Source'!AF266&gt;=3,"B",IF('Data Source'!AF266&gt;=2,"C",IF('Data Source'!AF266&gt;=1,"D","F")))))),"")</f>
        <v/>
      </c>
      <c r="O266" s="3">
        <f>IF(AND('Data Source'!B266&lt;&gt;"",'Data Source'!S266="A+"),IF('Data Source'!AG266&gt;=5,"A+",IF('Data Source'!AG266&gt;=4,"A",IF('Data Source'!AG266&gt;=3.5,"A-",IF('Data Source'!AG266&gt;=3,"B",IF('Data Source'!AG266&gt;=2,"C",IF('Data Source'!AG266&gt;=1,"D","F")))))),"")</f>
        <v/>
      </c>
      <c r="P266" s="5">
        <f>IF(AND('Data Source'!B266&lt;&gt;"",'Data Source'!S266="A+"),'Data Source'!R266,"")</f>
        <v/>
      </c>
      <c r="Q266" s="3">
        <f>IF(AND('Data Source'!B266&lt;&gt;"",'Data Source'!S266="A+"),'Data Source'!S266,"")</f>
        <v/>
      </c>
    </row>
    <row r="267">
      <c r="A267" s="3">
        <f>IF(AND('Data Source'!B267&lt;&gt;"",'Data Source'!S267="A+"),COUNTIF('Data Source'!$S$3:S267,"A+"),"")</f>
        <v/>
      </c>
      <c r="B267">
        <f>IF(AND('Data Source'!B267&lt;&gt;"",'Data Source'!S267="A+"),'Data Source'!B267,"")</f>
        <v/>
      </c>
      <c r="C267" s="3">
        <f>IF(AND('Data Source'!B267&lt;&gt;"",'Data Source'!S267="A+"),IF('Data Source'!U267&gt;=5,"A+",IF('Data Source'!U267&gt;=4,"A",IF('Data Source'!U267&gt;=3.5,"A-",IF('Data Source'!U267&gt;=3,"B",IF('Data Source'!U267&gt;=2,"C",IF('Data Source'!U267&gt;=1,"D","F")))))),"")</f>
        <v/>
      </c>
      <c r="D267" s="3">
        <f>IF(AND('Data Source'!B267&lt;&gt;"",'Data Source'!S267="A+"),IF('Data Source'!V267&gt;=5,"A+",IF('Data Source'!V267&gt;=4,"A",IF('Data Source'!V267&gt;=3.5,"A-",IF('Data Source'!V267&gt;=3,"B",IF('Data Source'!V267&gt;=2,"C",IF('Data Source'!V267&gt;=1,"D","F")))))),"")</f>
        <v/>
      </c>
      <c r="E267" s="3">
        <f>IF(AND('Data Source'!B267&lt;&gt;"",'Data Source'!S267="A+"),IF('Data Source'!W267&gt;=5,"A+",IF('Data Source'!W267&gt;=4,"A",IF('Data Source'!W267&gt;=3.5,"A-",IF('Data Source'!W267&gt;=3,"B",IF('Data Source'!W267&gt;=2,"C",IF('Data Source'!W267&gt;=1,"D","F")))))),"")</f>
        <v/>
      </c>
      <c r="F267" s="3">
        <f>IF(AND('Data Source'!B267&lt;&gt;"",'Data Source'!S267="A+"),IF('Data Source'!X267&gt;=5,"A+",IF('Data Source'!X267&gt;=4,"A",IF('Data Source'!X267&gt;=3.5,"A-",IF('Data Source'!X267&gt;=3,"B",IF('Data Source'!X267&gt;=2,"C",IF('Data Source'!X267&gt;=1,"D","F")))))),"")</f>
        <v/>
      </c>
      <c r="G267" s="3">
        <f>IF(AND('Data Source'!B267&lt;&gt;"",'Data Source'!S267="A+"),IF('Data Source'!Y267&gt;=5,"A+",IF('Data Source'!Y267&gt;=4,"A",IF('Data Source'!Y267&gt;=3.5,"A-",IF('Data Source'!Y267&gt;=3,"B",IF('Data Source'!Y267&gt;=2,"C",IF('Data Source'!Y267&gt;=1,"D","F")))))),"")</f>
        <v/>
      </c>
      <c r="H267" s="3">
        <f>IF(AND('Data Source'!B267&lt;&gt;"",'Data Source'!S267="A+"),IF('Data Source'!Z267&gt;=5,"A+",IF('Data Source'!Z267&gt;=4,"A",IF('Data Source'!Z267&gt;=3.5,"A-",IF('Data Source'!Z267&gt;=3,"B",IF('Data Source'!Z267&gt;=2,"C",IF('Data Source'!Z267&gt;=1,"D","F")))))),"")</f>
        <v/>
      </c>
      <c r="I267" s="3">
        <f>IF(AND('Data Source'!B267&lt;&gt;"",'Data Source'!S267="A+"),IF('Data Source'!AA267&gt;=5,"A+",IF('Data Source'!AA267&gt;=4,"A",IF('Data Source'!AA267&gt;=3.5,"A-",IF('Data Source'!AA267&gt;=3,"B",IF('Data Source'!AA267&gt;=2,"C",IF('Data Source'!AA267&gt;=1,"D","F")))))),"")</f>
        <v/>
      </c>
      <c r="J267" s="3">
        <f>IF(AND('Data Source'!B267&lt;&gt;"",'Data Source'!S267="A+"),IF('Data Source'!AB267&gt;=5,"A+",IF('Data Source'!AB267&gt;=4,"A",IF('Data Source'!AB267&gt;=3.5,"A-",IF('Data Source'!AB267&gt;=3,"B",IF('Data Source'!AB267&gt;=2,"C",IF('Data Source'!AB267&gt;=1,"D","F")))))),"")</f>
        <v/>
      </c>
      <c r="K267" s="3">
        <f>IF(AND('Data Source'!B267&lt;&gt;"",'Data Source'!S267="A+"),IF('Data Source'!AC267&gt;=5,"A+",IF('Data Source'!AC267&gt;=4,"A",IF('Data Source'!AC267&gt;=3.5,"A-",IF('Data Source'!AC267&gt;=3,"B",IF('Data Source'!AC267&gt;=2,"C",IF('Data Source'!AC267&gt;=1,"D","F")))))),"")</f>
        <v/>
      </c>
      <c r="L267" s="3">
        <f>IF(AND('Data Source'!B267&lt;&gt;"",'Data Source'!S267="A+"),IF('Data Source'!AD267&gt;=5,"A+",IF('Data Source'!AD267&gt;=4,"A",IF('Data Source'!AD267&gt;=3.5,"A-",IF('Data Source'!AD267&gt;=3,"B",IF('Data Source'!AD267&gt;=2,"C",IF('Data Source'!AD267&gt;=1,"D","F")))))),"")</f>
        <v/>
      </c>
      <c r="M267" s="3">
        <f>IF(AND('Data Source'!B267&lt;&gt;"",'Data Source'!S267="A+"),IF('Data Source'!AE267&gt;=5,"A+",IF('Data Source'!AE267&gt;=4,"A",IF('Data Source'!AE267&gt;=3.5,"A-",IF('Data Source'!AE267&gt;=3,"B",IF('Data Source'!AE267&gt;=2,"C",IF('Data Source'!AE267&gt;=1,"D","F")))))),"")</f>
        <v/>
      </c>
      <c r="N267" s="3">
        <f>IF(AND('Data Source'!B267&lt;&gt;"",'Data Source'!S267="A+"),IF('Data Source'!AF267&gt;=5,"A+",IF('Data Source'!AF267&gt;=4,"A",IF('Data Source'!AF267&gt;=3.5,"A-",IF('Data Source'!AF267&gt;=3,"B",IF('Data Source'!AF267&gt;=2,"C",IF('Data Source'!AF267&gt;=1,"D","F")))))),"")</f>
        <v/>
      </c>
      <c r="O267" s="3">
        <f>IF(AND('Data Source'!B267&lt;&gt;"",'Data Source'!S267="A+"),IF('Data Source'!AG267&gt;=5,"A+",IF('Data Source'!AG267&gt;=4,"A",IF('Data Source'!AG267&gt;=3.5,"A-",IF('Data Source'!AG267&gt;=3,"B",IF('Data Source'!AG267&gt;=2,"C",IF('Data Source'!AG267&gt;=1,"D","F")))))),"")</f>
        <v/>
      </c>
      <c r="P267" s="5">
        <f>IF(AND('Data Source'!B267&lt;&gt;"",'Data Source'!S267="A+"),'Data Source'!R267,"")</f>
        <v/>
      </c>
      <c r="Q267" s="3">
        <f>IF(AND('Data Source'!B267&lt;&gt;"",'Data Source'!S267="A+"),'Data Source'!S267,"")</f>
        <v/>
      </c>
    </row>
    <row r="268">
      <c r="A268" s="3">
        <f>IF(AND('Data Source'!B268&lt;&gt;"",'Data Source'!S268="A+"),COUNTIF('Data Source'!$S$3:S268,"A+"),"")</f>
        <v/>
      </c>
      <c r="B268">
        <f>IF(AND('Data Source'!B268&lt;&gt;"",'Data Source'!S268="A+"),'Data Source'!B268,"")</f>
        <v/>
      </c>
      <c r="C268" s="3">
        <f>IF(AND('Data Source'!B268&lt;&gt;"",'Data Source'!S268="A+"),IF('Data Source'!U268&gt;=5,"A+",IF('Data Source'!U268&gt;=4,"A",IF('Data Source'!U268&gt;=3.5,"A-",IF('Data Source'!U268&gt;=3,"B",IF('Data Source'!U268&gt;=2,"C",IF('Data Source'!U268&gt;=1,"D","F")))))),"")</f>
        <v/>
      </c>
      <c r="D268" s="3">
        <f>IF(AND('Data Source'!B268&lt;&gt;"",'Data Source'!S268="A+"),IF('Data Source'!V268&gt;=5,"A+",IF('Data Source'!V268&gt;=4,"A",IF('Data Source'!V268&gt;=3.5,"A-",IF('Data Source'!V268&gt;=3,"B",IF('Data Source'!V268&gt;=2,"C",IF('Data Source'!V268&gt;=1,"D","F")))))),"")</f>
        <v/>
      </c>
      <c r="E268" s="3">
        <f>IF(AND('Data Source'!B268&lt;&gt;"",'Data Source'!S268="A+"),IF('Data Source'!W268&gt;=5,"A+",IF('Data Source'!W268&gt;=4,"A",IF('Data Source'!W268&gt;=3.5,"A-",IF('Data Source'!W268&gt;=3,"B",IF('Data Source'!W268&gt;=2,"C",IF('Data Source'!W268&gt;=1,"D","F")))))),"")</f>
        <v/>
      </c>
      <c r="F268" s="3">
        <f>IF(AND('Data Source'!B268&lt;&gt;"",'Data Source'!S268="A+"),IF('Data Source'!X268&gt;=5,"A+",IF('Data Source'!X268&gt;=4,"A",IF('Data Source'!X268&gt;=3.5,"A-",IF('Data Source'!X268&gt;=3,"B",IF('Data Source'!X268&gt;=2,"C",IF('Data Source'!X268&gt;=1,"D","F")))))),"")</f>
        <v/>
      </c>
      <c r="G268" s="3">
        <f>IF(AND('Data Source'!B268&lt;&gt;"",'Data Source'!S268="A+"),IF('Data Source'!Y268&gt;=5,"A+",IF('Data Source'!Y268&gt;=4,"A",IF('Data Source'!Y268&gt;=3.5,"A-",IF('Data Source'!Y268&gt;=3,"B",IF('Data Source'!Y268&gt;=2,"C",IF('Data Source'!Y268&gt;=1,"D","F")))))),"")</f>
        <v/>
      </c>
      <c r="H268" s="3">
        <f>IF(AND('Data Source'!B268&lt;&gt;"",'Data Source'!S268="A+"),IF('Data Source'!Z268&gt;=5,"A+",IF('Data Source'!Z268&gt;=4,"A",IF('Data Source'!Z268&gt;=3.5,"A-",IF('Data Source'!Z268&gt;=3,"B",IF('Data Source'!Z268&gt;=2,"C",IF('Data Source'!Z268&gt;=1,"D","F")))))),"")</f>
        <v/>
      </c>
      <c r="I268" s="3">
        <f>IF(AND('Data Source'!B268&lt;&gt;"",'Data Source'!S268="A+"),IF('Data Source'!AA268&gt;=5,"A+",IF('Data Source'!AA268&gt;=4,"A",IF('Data Source'!AA268&gt;=3.5,"A-",IF('Data Source'!AA268&gt;=3,"B",IF('Data Source'!AA268&gt;=2,"C",IF('Data Source'!AA268&gt;=1,"D","F")))))),"")</f>
        <v/>
      </c>
      <c r="J268" s="3">
        <f>IF(AND('Data Source'!B268&lt;&gt;"",'Data Source'!S268="A+"),IF('Data Source'!AB268&gt;=5,"A+",IF('Data Source'!AB268&gt;=4,"A",IF('Data Source'!AB268&gt;=3.5,"A-",IF('Data Source'!AB268&gt;=3,"B",IF('Data Source'!AB268&gt;=2,"C",IF('Data Source'!AB268&gt;=1,"D","F")))))),"")</f>
        <v/>
      </c>
      <c r="K268" s="3">
        <f>IF(AND('Data Source'!B268&lt;&gt;"",'Data Source'!S268="A+"),IF('Data Source'!AC268&gt;=5,"A+",IF('Data Source'!AC268&gt;=4,"A",IF('Data Source'!AC268&gt;=3.5,"A-",IF('Data Source'!AC268&gt;=3,"B",IF('Data Source'!AC268&gt;=2,"C",IF('Data Source'!AC268&gt;=1,"D","F")))))),"")</f>
        <v/>
      </c>
      <c r="L268" s="3">
        <f>IF(AND('Data Source'!B268&lt;&gt;"",'Data Source'!S268="A+"),IF('Data Source'!AD268&gt;=5,"A+",IF('Data Source'!AD268&gt;=4,"A",IF('Data Source'!AD268&gt;=3.5,"A-",IF('Data Source'!AD268&gt;=3,"B",IF('Data Source'!AD268&gt;=2,"C",IF('Data Source'!AD268&gt;=1,"D","F")))))),"")</f>
        <v/>
      </c>
      <c r="M268" s="3">
        <f>IF(AND('Data Source'!B268&lt;&gt;"",'Data Source'!S268="A+"),IF('Data Source'!AE268&gt;=5,"A+",IF('Data Source'!AE268&gt;=4,"A",IF('Data Source'!AE268&gt;=3.5,"A-",IF('Data Source'!AE268&gt;=3,"B",IF('Data Source'!AE268&gt;=2,"C",IF('Data Source'!AE268&gt;=1,"D","F")))))),"")</f>
        <v/>
      </c>
      <c r="N268" s="3">
        <f>IF(AND('Data Source'!B268&lt;&gt;"",'Data Source'!S268="A+"),IF('Data Source'!AF268&gt;=5,"A+",IF('Data Source'!AF268&gt;=4,"A",IF('Data Source'!AF268&gt;=3.5,"A-",IF('Data Source'!AF268&gt;=3,"B",IF('Data Source'!AF268&gt;=2,"C",IF('Data Source'!AF268&gt;=1,"D","F")))))),"")</f>
        <v/>
      </c>
      <c r="O268" s="3">
        <f>IF(AND('Data Source'!B268&lt;&gt;"",'Data Source'!S268="A+"),IF('Data Source'!AG268&gt;=5,"A+",IF('Data Source'!AG268&gt;=4,"A",IF('Data Source'!AG268&gt;=3.5,"A-",IF('Data Source'!AG268&gt;=3,"B",IF('Data Source'!AG268&gt;=2,"C",IF('Data Source'!AG268&gt;=1,"D","F")))))),"")</f>
        <v/>
      </c>
      <c r="P268" s="5">
        <f>IF(AND('Data Source'!B268&lt;&gt;"",'Data Source'!S268="A+"),'Data Source'!R268,"")</f>
        <v/>
      </c>
      <c r="Q268" s="3">
        <f>IF(AND('Data Source'!B268&lt;&gt;"",'Data Source'!S268="A+"),'Data Source'!S268,"")</f>
        <v/>
      </c>
    </row>
    <row r="269">
      <c r="A269" s="3">
        <f>IF(AND('Data Source'!B269&lt;&gt;"",'Data Source'!S269="A+"),COUNTIF('Data Source'!$S$3:S269,"A+"),"")</f>
        <v/>
      </c>
      <c r="B269">
        <f>IF(AND('Data Source'!B269&lt;&gt;"",'Data Source'!S269="A+"),'Data Source'!B269,"")</f>
        <v/>
      </c>
      <c r="C269" s="3">
        <f>IF(AND('Data Source'!B269&lt;&gt;"",'Data Source'!S269="A+"),IF('Data Source'!U269&gt;=5,"A+",IF('Data Source'!U269&gt;=4,"A",IF('Data Source'!U269&gt;=3.5,"A-",IF('Data Source'!U269&gt;=3,"B",IF('Data Source'!U269&gt;=2,"C",IF('Data Source'!U269&gt;=1,"D","F")))))),"")</f>
        <v/>
      </c>
      <c r="D269" s="3">
        <f>IF(AND('Data Source'!B269&lt;&gt;"",'Data Source'!S269="A+"),IF('Data Source'!V269&gt;=5,"A+",IF('Data Source'!V269&gt;=4,"A",IF('Data Source'!V269&gt;=3.5,"A-",IF('Data Source'!V269&gt;=3,"B",IF('Data Source'!V269&gt;=2,"C",IF('Data Source'!V269&gt;=1,"D","F")))))),"")</f>
        <v/>
      </c>
      <c r="E269" s="3">
        <f>IF(AND('Data Source'!B269&lt;&gt;"",'Data Source'!S269="A+"),IF('Data Source'!W269&gt;=5,"A+",IF('Data Source'!W269&gt;=4,"A",IF('Data Source'!W269&gt;=3.5,"A-",IF('Data Source'!W269&gt;=3,"B",IF('Data Source'!W269&gt;=2,"C",IF('Data Source'!W269&gt;=1,"D","F")))))),"")</f>
        <v/>
      </c>
      <c r="F269" s="3">
        <f>IF(AND('Data Source'!B269&lt;&gt;"",'Data Source'!S269="A+"),IF('Data Source'!X269&gt;=5,"A+",IF('Data Source'!X269&gt;=4,"A",IF('Data Source'!X269&gt;=3.5,"A-",IF('Data Source'!X269&gt;=3,"B",IF('Data Source'!X269&gt;=2,"C",IF('Data Source'!X269&gt;=1,"D","F")))))),"")</f>
        <v/>
      </c>
      <c r="G269" s="3">
        <f>IF(AND('Data Source'!B269&lt;&gt;"",'Data Source'!S269="A+"),IF('Data Source'!Y269&gt;=5,"A+",IF('Data Source'!Y269&gt;=4,"A",IF('Data Source'!Y269&gt;=3.5,"A-",IF('Data Source'!Y269&gt;=3,"B",IF('Data Source'!Y269&gt;=2,"C",IF('Data Source'!Y269&gt;=1,"D","F")))))),"")</f>
        <v/>
      </c>
      <c r="H269" s="3">
        <f>IF(AND('Data Source'!B269&lt;&gt;"",'Data Source'!S269="A+"),IF('Data Source'!Z269&gt;=5,"A+",IF('Data Source'!Z269&gt;=4,"A",IF('Data Source'!Z269&gt;=3.5,"A-",IF('Data Source'!Z269&gt;=3,"B",IF('Data Source'!Z269&gt;=2,"C",IF('Data Source'!Z269&gt;=1,"D","F")))))),"")</f>
        <v/>
      </c>
      <c r="I269" s="3">
        <f>IF(AND('Data Source'!B269&lt;&gt;"",'Data Source'!S269="A+"),IF('Data Source'!AA269&gt;=5,"A+",IF('Data Source'!AA269&gt;=4,"A",IF('Data Source'!AA269&gt;=3.5,"A-",IF('Data Source'!AA269&gt;=3,"B",IF('Data Source'!AA269&gt;=2,"C",IF('Data Source'!AA269&gt;=1,"D","F")))))),"")</f>
        <v/>
      </c>
      <c r="J269" s="3">
        <f>IF(AND('Data Source'!B269&lt;&gt;"",'Data Source'!S269="A+"),IF('Data Source'!AB269&gt;=5,"A+",IF('Data Source'!AB269&gt;=4,"A",IF('Data Source'!AB269&gt;=3.5,"A-",IF('Data Source'!AB269&gt;=3,"B",IF('Data Source'!AB269&gt;=2,"C",IF('Data Source'!AB269&gt;=1,"D","F")))))),"")</f>
        <v/>
      </c>
      <c r="K269" s="3">
        <f>IF(AND('Data Source'!B269&lt;&gt;"",'Data Source'!S269="A+"),IF('Data Source'!AC269&gt;=5,"A+",IF('Data Source'!AC269&gt;=4,"A",IF('Data Source'!AC269&gt;=3.5,"A-",IF('Data Source'!AC269&gt;=3,"B",IF('Data Source'!AC269&gt;=2,"C",IF('Data Source'!AC269&gt;=1,"D","F")))))),"")</f>
        <v/>
      </c>
      <c r="L269" s="3">
        <f>IF(AND('Data Source'!B269&lt;&gt;"",'Data Source'!S269="A+"),IF('Data Source'!AD269&gt;=5,"A+",IF('Data Source'!AD269&gt;=4,"A",IF('Data Source'!AD269&gt;=3.5,"A-",IF('Data Source'!AD269&gt;=3,"B",IF('Data Source'!AD269&gt;=2,"C",IF('Data Source'!AD269&gt;=1,"D","F")))))),"")</f>
        <v/>
      </c>
      <c r="M269" s="3">
        <f>IF(AND('Data Source'!B269&lt;&gt;"",'Data Source'!S269="A+"),IF('Data Source'!AE269&gt;=5,"A+",IF('Data Source'!AE269&gt;=4,"A",IF('Data Source'!AE269&gt;=3.5,"A-",IF('Data Source'!AE269&gt;=3,"B",IF('Data Source'!AE269&gt;=2,"C",IF('Data Source'!AE269&gt;=1,"D","F")))))),"")</f>
        <v/>
      </c>
      <c r="N269" s="3">
        <f>IF(AND('Data Source'!B269&lt;&gt;"",'Data Source'!S269="A+"),IF('Data Source'!AF269&gt;=5,"A+",IF('Data Source'!AF269&gt;=4,"A",IF('Data Source'!AF269&gt;=3.5,"A-",IF('Data Source'!AF269&gt;=3,"B",IF('Data Source'!AF269&gt;=2,"C",IF('Data Source'!AF269&gt;=1,"D","F")))))),"")</f>
        <v/>
      </c>
      <c r="O269" s="3">
        <f>IF(AND('Data Source'!B269&lt;&gt;"",'Data Source'!S269="A+"),IF('Data Source'!AG269&gt;=5,"A+",IF('Data Source'!AG269&gt;=4,"A",IF('Data Source'!AG269&gt;=3.5,"A-",IF('Data Source'!AG269&gt;=3,"B",IF('Data Source'!AG269&gt;=2,"C",IF('Data Source'!AG269&gt;=1,"D","F")))))),"")</f>
        <v/>
      </c>
      <c r="P269" s="5">
        <f>IF(AND('Data Source'!B269&lt;&gt;"",'Data Source'!S269="A+"),'Data Source'!R269,"")</f>
        <v/>
      </c>
      <c r="Q269" s="3">
        <f>IF(AND('Data Source'!B269&lt;&gt;"",'Data Source'!S269="A+"),'Data Source'!S269,"")</f>
        <v/>
      </c>
    </row>
    <row r="270">
      <c r="A270" s="3">
        <f>IF(AND('Data Source'!B270&lt;&gt;"",'Data Source'!S270="A+"),COUNTIF('Data Source'!$S$3:S270,"A+"),"")</f>
        <v/>
      </c>
      <c r="B270">
        <f>IF(AND('Data Source'!B270&lt;&gt;"",'Data Source'!S270="A+"),'Data Source'!B270,"")</f>
        <v/>
      </c>
      <c r="C270" s="3">
        <f>IF(AND('Data Source'!B270&lt;&gt;"",'Data Source'!S270="A+"),IF('Data Source'!U270&gt;=5,"A+",IF('Data Source'!U270&gt;=4,"A",IF('Data Source'!U270&gt;=3.5,"A-",IF('Data Source'!U270&gt;=3,"B",IF('Data Source'!U270&gt;=2,"C",IF('Data Source'!U270&gt;=1,"D","F")))))),"")</f>
        <v/>
      </c>
      <c r="D270" s="3">
        <f>IF(AND('Data Source'!B270&lt;&gt;"",'Data Source'!S270="A+"),IF('Data Source'!V270&gt;=5,"A+",IF('Data Source'!V270&gt;=4,"A",IF('Data Source'!V270&gt;=3.5,"A-",IF('Data Source'!V270&gt;=3,"B",IF('Data Source'!V270&gt;=2,"C",IF('Data Source'!V270&gt;=1,"D","F")))))),"")</f>
        <v/>
      </c>
      <c r="E270" s="3">
        <f>IF(AND('Data Source'!B270&lt;&gt;"",'Data Source'!S270="A+"),IF('Data Source'!W270&gt;=5,"A+",IF('Data Source'!W270&gt;=4,"A",IF('Data Source'!W270&gt;=3.5,"A-",IF('Data Source'!W270&gt;=3,"B",IF('Data Source'!W270&gt;=2,"C",IF('Data Source'!W270&gt;=1,"D","F")))))),"")</f>
        <v/>
      </c>
      <c r="F270" s="3">
        <f>IF(AND('Data Source'!B270&lt;&gt;"",'Data Source'!S270="A+"),IF('Data Source'!X270&gt;=5,"A+",IF('Data Source'!X270&gt;=4,"A",IF('Data Source'!X270&gt;=3.5,"A-",IF('Data Source'!X270&gt;=3,"B",IF('Data Source'!X270&gt;=2,"C",IF('Data Source'!X270&gt;=1,"D","F")))))),"")</f>
        <v/>
      </c>
      <c r="G270" s="3">
        <f>IF(AND('Data Source'!B270&lt;&gt;"",'Data Source'!S270="A+"),IF('Data Source'!Y270&gt;=5,"A+",IF('Data Source'!Y270&gt;=4,"A",IF('Data Source'!Y270&gt;=3.5,"A-",IF('Data Source'!Y270&gt;=3,"B",IF('Data Source'!Y270&gt;=2,"C",IF('Data Source'!Y270&gt;=1,"D","F")))))),"")</f>
        <v/>
      </c>
      <c r="H270" s="3">
        <f>IF(AND('Data Source'!B270&lt;&gt;"",'Data Source'!S270="A+"),IF('Data Source'!Z270&gt;=5,"A+",IF('Data Source'!Z270&gt;=4,"A",IF('Data Source'!Z270&gt;=3.5,"A-",IF('Data Source'!Z270&gt;=3,"B",IF('Data Source'!Z270&gt;=2,"C",IF('Data Source'!Z270&gt;=1,"D","F")))))),"")</f>
        <v/>
      </c>
      <c r="I270" s="3">
        <f>IF(AND('Data Source'!B270&lt;&gt;"",'Data Source'!S270="A+"),IF('Data Source'!AA270&gt;=5,"A+",IF('Data Source'!AA270&gt;=4,"A",IF('Data Source'!AA270&gt;=3.5,"A-",IF('Data Source'!AA270&gt;=3,"B",IF('Data Source'!AA270&gt;=2,"C",IF('Data Source'!AA270&gt;=1,"D","F")))))),"")</f>
        <v/>
      </c>
      <c r="J270" s="3">
        <f>IF(AND('Data Source'!B270&lt;&gt;"",'Data Source'!S270="A+"),IF('Data Source'!AB270&gt;=5,"A+",IF('Data Source'!AB270&gt;=4,"A",IF('Data Source'!AB270&gt;=3.5,"A-",IF('Data Source'!AB270&gt;=3,"B",IF('Data Source'!AB270&gt;=2,"C",IF('Data Source'!AB270&gt;=1,"D","F")))))),"")</f>
        <v/>
      </c>
      <c r="K270" s="3">
        <f>IF(AND('Data Source'!B270&lt;&gt;"",'Data Source'!S270="A+"),IF('Data Source'!AC270&gt;=5,"A+",IF('Data Source'!AC270&gt;=4,"A",IF('Data Source'!AC270&gt;=3.5,"A-",IF('Data Source'!AC270&gt;=3,"B",IF('Data Source'!AC270&gt;=2,"C",IF('Data Source'!AC270&gt;=1,"D","F")))))),"")</f>
        <v/>
      </c>
      <c r="L270" s="3">
        <f>IF(AND('Data Source'!B270&lt;&gt;"",'Data Source'!S270="A+"),IF('Data Source'!AD270&gt;=5,"A+",IF('Data Source'!AD270&gt;=4,"A",IF('Data Source'!AD270&gt;=3.5,"A-",IF('Data Source'!AD270&gt;=3,"B",IF('Data Source'!AD270&gt;=2,"C",IF('Data Source'!AD270&gt;=1,"D","F")))))),"")</f>
        <v/>
      </c>
      <c r="M270" s="3">
        <f>IF(AND('Data Source'!B270&lt;&gt;"",'Data Source'!S270="A+"),IF('Data Source'!AE270&gt;=5,"A+",IF('Data Source'!AE270&gt;=4,"A",IF('Data Source'!AE270&gt;=3.5,"A-",IF('Data Source'!AE270&gt;=3,"B",IF('Data Source'!AE270&gt;=2,"C",IF('Data Source'!AE270&gt;=1,"D","F")))))),"")</f>
        <v/>
      </c>
      <c r="N270" s="3">
        <f>IF(AND('Data Source'!B270&lt;&gt;"",'Data Source'!S270="A+"),IF('Data Source'!AF270&gt;=5,"A+",IF('Data Source'!AF270&gt;=4,"A",IF('Data Source'!AF270&gt;=3.5,"A-",IF('Data Source'!AF270&gt;=3,"B",IF('Data Source'!AF270&gt;=2,"C",IF('Data Source'!AF270&gt;=1,"D","F")))))),"")</f>
        <v/>
      </c>
      <c r="O270" s="3">
        <f>IF(AND('Data Source'!B270&lt;&gt;"",'Data Source'!S270="A+"),IF('Data Source'!AG270&gt;=5,"A+",IF('Data Source'!AG270&gt;=4,"A",IF('Data Source'!AG270&gt;=3.5,"A-",IF('Data Source'!AG270&gt;=3,"B",IF('Data Source'!AG270&gt;=2,"C",IF('Data Source'!AG270&gt;=1,"D","F")))))),"")</f>
        <v/>
      </c>
      <c r="P270" s="5">
        <f>IF(AND('Data Source'!B270&lt;&gt;"",'Data Source'!S270="A+"),'Data Source'!R270,"")</f>
        <v/>
      </c>
      <c r="Q270" s="3">
        <f>IF(AND('Data Source'!B270&lt;&gt;"",'Data Source'!S270="A+"),'Data Source'!S270,"")</f>
        <v/>
      </c>
    </row>
    <row r="271">
      <c r="A271" s="3">
        <f>IF(AND('Data Source'!B271&lt;&gt;"",'Data Source'!S271="A+"),COUNTIF('Data Source'!$S$3:S271,"A+"),"")</f>
        <v/>
      </c>
      <c r="B271">
        <f>IF(AND('Data Source'!B271&lt;&gt;"",'Data Source'!S271="A+"),'Data Source'!B271,"")</f>
        <v/>
      </c>
      <c r="C271" s="3">
        <f>IF(AND('Data Source'!B271&lt;&gt;"",'Data Source'!S271="A+"),IF('Data Source'!U271&gt;=5,"A+",IF('Data Source'!U271&gt;=4,"A",IF('Data Source'!U271&gt;=3.5,"A-",IF('Data Source'!U271&gt;=3,"B",IF('Data Source'!U271&gt;=2,"C",IF('Data Source'!U271&gt;=1,"D","F")))))),"")</f>
        <v/>
      </c>
      <c r="D271" s="3">
        <f>IF(AND('Data Source'!B271&lt;&gt;"",'Data Source'!S271="A+"),IF('Data Source'!V271&gt;=5,"A+",IF('Data Source'!V271&gt;=4,"A",IF('Data Source'!V271&gt;=3.5,"A-",IF('Data Source'!V271&gt;=3,"B",IF('Data Source'!V271&gt;=2,"C",IF('Data Source'!V271&gt;=1,"D","F")))))),"")</f>
        <v/>
      </c>
      <c r="E271" s="3">
        <f>IF(AND('Data Source'!B271&lt;&gt;"",'Data Source'!S271="A+"),IF('Data Source'!W271&gt;=5,"A+",IF('Data Source'!W271&gt;=4,"A",IF('Data Source'!W271&gt;=3.5,"A-",IF('Data Source'!W271&gt;=3,"B",IF('Data Source'!W271&gt;=2,"C",IF('Data Source'!W271&gt;=1,"D","F")))))),"")</f>
        <v/>
      </c>
      <c r="F271" s="3">
        <f>IF(AND('Data Source'!B271&lt;&gt;"",'Data Source'!S271="A+"),IF('Data Source'!X271&gt;=5,"A+",IF('Data Source'!X271&gt;=4,"A",IF('Data Source'!X271&gt;=3.5,"A-",IF('Data Source'!X271&gt;=3,"B",IF('Data Source'!X271&gt;=2,"C",IF('Data Source'!X271&gt;=1,"D","F")))))),"")</f>
        <v/>
      </c>
      <c r="G271" s="3">
        <f>IF(AND('Data Source'!B271&lt;&gt;"",'Data Source'!S271="A+"),IF('Data Source'!Y271&gt;=5,"A+",IF('Data Source'!Y271&gt;=4,"A",IF('Data Source'!Y271&gt;=3.5,"A-",IF('Data Source'!Y271&gt;=3,"B",IF('Data Source'!Y271&gt;=2,"C",IF('Data Source'!Y271&gt;=1,"D","F")))))),"")</f>
        <v/>
      </c>
      <c r="H271" s="3">
        <f>IF(AND('Data Source'!B271&lt;&gt;"",'Data Source'!S271="A+"),IF('Data Source'!Z271&gt;=5,"A+",IF('Data Source'!Z271&gt;=4,"A",IF('Data Source'!Z271&gt;=3.5,"A-",IF('Data Source'!Z271&gt;=3,"B",IF('Data Source'!Z271&gt;=2,"C",IF('Data Source'!Z271&gt;=1,"D","F")))))),"")</f>
        <v/>
      </c>
      <c r="I271" s="3">
        <f>IF(AND('Data Source'!B271&lt;&gt;"",'Data Source'!S271="A+"),IF('Data Source'!AA271&gt;=5,"A+",IF('Data Source'!AA271&gt;=4,"A",IF('Data Source'!AA271&gt;=3.5,"A-",IF('Data Source'!AA271&gt;=3,"B",IF('Data Source'!AA271&gt;=2,"C",IF('Data Source'!AA271&gt;=1,"D","F")))))),"")</f>
        <v/>
      </c>
      <c r="J271" s="3">
        <f>IF(AND('Data Source'!B271&lt;&gt;"",'Data Source'!S271="A+"),IF('Data Source'!AB271&gt;=5,"A+",IF('Data Source'!AB271&gt;=4,"A",IF('Data Source'!AB271&gt;=3.5,"A-",IF('Data Source'!AB271&gt;=3,"B",IF('Data Source'!AB271&gt;=2,"C",IF('Data Source'!AB271&gt;=1,"D","F")))))),"")</f>
        <v/>
      </c>
      <c r="K271" s="3">
        <f>IF(AND('Data Source'!B271&lt;&gt;"",'Data Source'!S271="A+"),IF('Data Source'!AC271&gt;=5,"A+",IF('Data Source'!AC271&gt;=4,"A",IF('Data Source'!AC271&gt;=3.5,"A-",IF('Data Source'!AC271&gt;=3,"B",IF('Data Source'!AC271&gt;=2,"C",IF('Data Source'!AC271&gt;=1,"D","F")))))),"")</f>
        <v/>
      </c>
      <c r="L271" s="3">
        <f>IF(AND('Data Source'!B271&lt;&gt;"",'Data Source'!S271="A+"),IF('Data Source'!AD271&gt;=5,"A+",IF('Data Source'!AD271&gt;=4,"A",IF('Data Source'!AD271&gt;=3.5,"A-",IF('Data Source'!AD271&gt;=3,"B",IF('Data Source'!AD271&gt;=2,"C",IF('Data Source'!AD271&gt;=1,"D","F")))))),"")</f>
        <v/>
      </c>
      <c r="M271" s="3">
        <f>IF(AND('Data Source'!B271&lt;&gt;"",'Data Source'!S271="A+"),IF('Data Source'!AE271&gt;=5,"A+",IF('Data Source'!AE271&gt;=4,"A",IF('Data Source'!AE271&gt;=3.5,"A-",IF('Data Source'!AE271&gt;=3,"B",IF('Data Source'!AE271&gt;=2,"C",IF('Data Source'!AE271&gt;=1,"D","F")))))),"")</f>
        <v/>
      </c>
      <c r="N271" s="3">
        <f>IF(AND('Data Source'!B271&lt;&gt;"",'Data Source'!S271="A+"),IF('Data Source'!AF271&gt;=5,"A+",IF('Data Source'!AF271&gt;=4,"A",IF('Data Source'!AF271&gt;=3.5,"A-",IF('Data Source'!AF271&gt;=3,"B",IF('Data Source'!AF271&gt;=2,"C",IF('Data Source'!AF271&gt;=1,"D","F")))))),"")</f>
        <v/>
      </c>
      <c r="O271" s="3">
        <f>IF(AND('Data Source'!B271&lt;&gt;"",'Data Source'!S271="A+"),IF('Data Source'!AG271&gt;=5,"A+",IF('Data Source'!AG271&gt;=4,"A",IF('Data Source'!AG271&gt;=3.5,"A-",IF('Data Source'!AG271&gt;=3,"B",IF('Data Source'!AG271&gt;=2,"C",IF('Data Source'!AG271&gt;=1,"D","F")))))),"")</f>
        <v/>
      </c>
      <c r="P271" s="5">
        <f>IF(AND('Data Source'!B271&lt;&gt;"",'Data Source'!S271="A+"),'Data Source'!R271,"")</f>
        <v/>
      </c>
      <c r="Q271" s="3">
        <f>IF(AND('Data Source'!B271&lt;&gt;"",'Data Source'!S271="A+"),'Data Source'!S271,"")</f>
        <v/>
      </c>
    </row>
    <row r="272">
      <c r="A272" s="3">
        <f>IF(AND('Data Source'!B272&lt;&gt;"",'Data Source'!S272="A+"),COUNTIF('Data Source'!$S$3:S272,"A+"),"")</f>
        <v/>
      </c>
      <c r="B272">
        <f>IF(AND('Data Source'!B272&lt;&gt;"",'Data Source'!S272="A+"),'Data Source'!B272,"")</f>
        <v/>
      </c>
      <c r="C272" s="3">
        <f>IF(AND('Data Source'!B272&lt;&gt;"",'Data Source'!S272="A+"),IF('Data Source'!U272&gt;=5,"A+",IF('Data Source'!U272&gt;=4,"A",IF('Data Source'!U272&gt;=3.5,"A-",IF('Data Source'!U272&gt;=3,"B",IF('Data Source'!U272&gt;=2,"C",IF('Data Source'!U272&gt;=1,"D","F")))))),"")</f>
        <v/>
      </c>
      <c r="D272" s="3">
        <f>IF(AND('Data Source'!B272&lt;&gt;"",'Data Source'!S272="A+"),IF('Data Source'!V272&gt;=5,"A+",IF('Data Source'!V272&gt;=4,"A",IF('Data Source'!V272&gt;=3.5,"A-",IF('Data Source'!V272&gt;=3,"B",IF('Data Source'!V272&gt;=2,"C",IF('Data Source'!V272&gt;=1,"D","F")))))),"")</f>
        <v/>
      </c>
      <c r="E272" s="3">
        <f>IF(AND('Data Source'!B272&lt;&gt;"",'Data Source'!S272="A+"),IF('Data Source'!W272&gt;=5,"A+",IF('Data Source'!W272&gt;=4,"A",IF('Data Source'!W272&gt;=3.5,"A-",IF('Data Source'!W272&gt;=3,"B",IF('Data Source'!W272&gt;=2,"C",IF('Data Source'!W272&gt;=1,"D","F")))))),"")</f>
        <v/>
      </c>
      <c r="F272" s="3">
        <f>IF(AND('Data Source'!B272&lt;&gt;"",'Data Source'!S272="A+"),IF('Data Source'!X272&gt;=5,"A+",IF('Data Source'!X272&gt;=4,"A",IF('Data Source'!X272&gt;=3.5,"A-",IF('Data Source'!X272&gt;=3,"B",IF('Data Source'!X272&gt;=2,"C",IF('Data Source'!X272&gt;=1,"D","F")))))),"")</f>
        <v/>
      </c>
      <c r="G272" s="3">
        <f>IF(AND('Data Source'!B272&lt;&gt;"",'Data Source'!S272="A+"),IF('Data Source'!Y272&gt;=5,"A+",IF('Data Source'!Y272&gt;=4,"A",IF('Data Source'!Y272&gt;=3.5,"A-",IF('Data Source'!Y272&gt;=3,"B",IF('Data Source'!Y272&gt;=2,"C",IF('Data Source'!Y272&gt;=1,"D","F")))))),"")</f>
        <v/>
      </c>
      <c r="H272" s="3">
        <f>IF(AND('Data Source'!B272&lt;&gt;"",'Data Source'!S272="A+"),IF('Data Source'!Z272&gt;=5,"A+",IF('Data Source'!Z272&gt;=4,"A",IF('Data Source'!Z272&gt;=3.5,"A-",IF('Data Source'!Z272&gt;=3,"B",IF('Data Source'!Z272&gt;=2,"C",IF('Data Source'!Z272&gt;=1,"D","F")))))),"")</f>
        <v/>
      </c>
      <c r="I272" s="3">
        <f>IF(AND('Data Source'!B272&lt;&gt;"",'Data Source'!S272="A+"),IF('Data Source'!AA272&gt;=5,"A+",IF('Data Source'!AA272&gt;=4,"A",IF('Data Source'!AA272&gt;=3.5,"A-",IF('Data Source'!AA272&gt;=3,"B",IF('Data Source'!AA272&gt;=2,"C",IF('Data Source'!AA272&gt;=1,"D","F")))))),"")</f>
        <v/>
      </c>
      <c r="J272" s="3">
        <f>IF(AND('Data Source'!B272&lt;&gt;"",'Data Source'!S272="A+"),IF('Data Source'!AB272&gt;=5,"A+",IF('Data Source'!AB272&gt;=4,"A",IF('Data Source'!AB272&gt;=3.5,"A-",IF('Data Source'!AB272&gt;=3,"B",IF('Data Source'!AB272&gt;=2,"C",IF('Data Source'!AB272&gt;=1,"D","F")))))),"")</f>
        <v/>
      </c>
      <c r="K272" s="3">
        <f>IF(AND('Data Source'!B272&lt;&gt;"",'Data Source'!S272="A+"),IF('Data Source'!AC272&gt;=5,"A+",IF('Data Source'!AC272&gt;=4,"A",IF('Data Source'!AC272&gt;=3.5,"A-",IF('Data Source'!AC272&gt;=3,"B",IF('Data Source'!AC272&gt;=2,"C",IF('Data Source'!AC272&gt;=1,"D","F")))))),"")</f>
        <v/>
      </c>
      <c r="L272" s="3">
        <f>IF(AND('Data Source'!B272&lt;&gt;"",'Data Source'!S272="A+"),IF('Data Source'!AD272&gt;=5,"A+",IF('Data Source'!AD272&gt;=4,"A",IF('Data Source'!AD272&gt;=3.5,"A-",IF('Data Source'!AD272&gt;=3,"B",IF('Data Source'!AD272&gt;=2,"C",IF('Data Source'!AD272&gt;=1,"D","F")))))),"")</f>
        <v/>
      </c>
      <c r="M272" s="3">
        <f>IF(AND('Data Source'!B272&lt;&gt;"",'Data Source'!S272="A+"),IF('Data Source'!AE272&gt;=5,"A+",IF('Data Source'!AE272&gt;=4,"A",IF('Data Source'!AE272&gt;=3.5,"A-",IF('Data Source'!AE272&gt;=3,"B",IF('Data Source'!AE272&gt;=2,"C",IF('Data Source'!AE272&gt;=1,"D","F")))))),"")</f>
        <v/>
      </c>
      <c r="N272" s="3">
        <f>IF(AND('Data Source'!B272&lt;&gt;"",'Data Source'!S272="A+"),IF('Data Source'!AF272&gt;=5,"A+",IF('Data Source'!AF272&gt;=4,"A",IF('Data Source'!AF272&gt;=3.5,"A-",IF('Data Source'!AF272&gt;=3,"B",IF('Data Source'!AF272&gt;=2,"C",IF('Data Source'!AF272&gt;=1,"D","F")))))),"")</f>
        <v/>
      </c>
      <c r="O272" s="3">
        <f>IF(AND('Data Source'!B272&lt;&gt;"",'Data Source'!S272="A+"),IF('Data Source'!AG272&gt;=5,"A+",IF('Data Source'!AG272&gt;=4,"A",IF('Data Source'!AG272&gt;=3.5,"A-",IF('Data Source'!AG272&gt;=3,"B",IF('Data Source'!AG272&gt;=2,"C",IF('Data Source'!AG272&gt;=1,"D","F")))))),"")</f>
        <v/>
      </c>
      <c r="P272" s="5">
        <f>IF(AND('Data Source'!B272&lt;&gt;"",'Data Source'!S272="A+"),'Data Source'!R272,"")</f>
        <v/>
      </c>
      <c r="Q272" s="3">
        <f>IF(AND('Data Source'!B272&lt;&gt;"",'Data Source'!S272="A+"),'Data Source'!S272,"")</f>
        <v/>
      </c>
    </row>
    <row r="273">
      <c r="A273" s="3">
        <f>IF(AND('Data Source'!B273&lt;&gt;"",'Data Source'!S273="A+"),COUNTIF('Data Source'!$S$3:S273,"A+"),"")</f>
        <v/>
      </c>
      <c r="B273">
        <f>IF(AND('Data Source'!B273&lt;&gt;"",'Data Source'!S273="A+"),'Data Source'!B273,"")</f>
        <v/>
      </c>
      <c r="C273" s="3">
        <f>IF(AND('Data Source'!B273&lt;&gt;"",'Data Source'!S273="A+"),IF('Data Source'!U273&gt;=5,"A+",IF('Data Source'!U273&gt;=4,"A",IF('Data Source'!U273&gt;=3.5,"A-",IF('Data Source'!U273&gt;=3,"B",IF('Data Source'!U273&gt;=2,"C",IF('Data Source'!U273&gt;=1,"D","F")))))),"")</f>
        <v/>
      </c>
      <c r="D273" s="3">
        <f>IF(AND('Data Source'!B273&lt;&gt;"",'Data Source'!S273="A+"),IF('Data Source'!V273&gt;=5,"A+",IF('Data Source'!V273&gt;=4,"A",IF('Data Source'!V273&gt;=3.5,"A-",IF('Data Source'!V273&gt;=3,"B",IF('Data Source'!V273&gt;=2,"C",IF('Data Source'!V273&gt;=1,"D","F")))))),"")</f>
        <v/>
      </c>
      <c r="E273" s="3">
        <f>IF(AND('Data Source'!B273&lt;&gt;"",'Data Source'!S273="A+"),IF('Data Source'!W273&gt;=5,"A+",IF('Data Source'!W273&gt;=4,"A",IF('Data Source'!W273&gt;=3.5,"A-",IF('Data Source'!W273&gt;=3,"B",IF('Data Source'!W273&gt;=2,"C",IF('Data Source'!W273&gt;=1,"D","F")))))),"")</f>
        <v/>
      </c>
      <c r="F273" s="3">
        <f>IF(AND('Data Source'!B273&lt;&gt;"",'Data Source'!S273="A+"),IF('Data Source'!X273&gt;=5,"A+",IF('Data Source'!X273&gt;=4,"A",IF('Data Source'!X273&gt;=3.5,"A-",IF('Data Source'!X273&gt;=3,"B",IF('Data Source'!X273&gt;=2,"C",IF('Data Source'!X273&gt;=1,"D","F")))))),"")</f>
        <v/>
      </c>
      <c r="G273" s="3">
        <f>IF(AND('Data Source'!B273&lt;&gt;"",'Data Source'!S273="A+"),IF('Data Source'!Y273&gt;=5,"A+",IF('Data Source'!Y273&gt;=4,"A",IF('Data Source'!Y273&gt;=3.5,"A-",IF('Data Source'!Y273&gt;=3,"B",IF('Data Source'!Y273&gt;=2,"C",IF('Data Source'!Y273&gt;=1,"D","F")))))),"")</f>
        <v/>
      </c>
      <c r="H273" s="3">
        <f>IF(AND('Data Source'!B273&lt;&gt;"",'Data Source'!S273="A+"),IF('Data Source'!Z273&gt;=5,"A+",IF('Data Source'!Z273&gt;=4,"A",IF('Data Source'!Z273&gt;=3.5,"A-",IF('Data Source'!Z273&gt;=3,"B",IF('Data Source'!Z273&gt;=2,"C",IF('Data Source'!Z273&gt;=1,"D","F")))))),"")</f>
        <v/>
      </c>
      <c r="I273" s="3">
        <f>IF(AND('Data Source'!B273&lt;&gt;"",'Data Source'!S273="A+"),IF('Data Source'!AA273&gt;=5,"A+",IF('Data Source'!AA273&gt;=4,"A",IF('Data Source'!AA273&gt;=3.5,"A-",IF('Data Source'!AA273&gt;=3,"B",IF('Data Source'!AA273&gt;=2,"C",IF('Data Source'!AA273&gt;=1,"D","F")))))),"")</f>
        <v/>
      </c>
      <c r="J273" s="3">
        <f>IF(AND('Data Source'!B273&lt;&gt;"",'Data Source'!S273="A+"),IF('Data Source'!AB273&gt;=5,"A+",IF('Data Source'!AB273&gt;=4,"A",IF('Data Source'!AB273&gt;=3.5,"A-",IF('Data Source'!AB273&gt;=3,"B",IF('Data Source'!AB273&gt;=2,"C",IF('Data Source'!AB273&gt;=1,"D","F")))))),"")</f>
        <v/>
      </c>
      <c r="K273" s="3">
        <f>IF(AND('Data Source'!B273&lt;&gt;"",'Data Source'!S273="A+"),IF('Data Source'!AC273&gt;=5,"A+",IF('Data Source'!AC273&gt;=4,"A",IF('Data Source'!AC273&gt;=3.5,"A-",IF('Data Source'!AC273&gt;=3,"B",IF('Data Source'!AC273&gt;=2,"C",IF('Data Source'!AC273&gt;=1,"D","F")))))),"")</f>
        <v/>
      </c>
      <c r="L273" s="3">
        <f>IF(AND('Data Source'!B273&lt;&gt;"",'Data Source'!S273="A+"),IF('Data Source'!AD273&gt;=5,"A+",IF('Data Source'!AD273&gt;=4,"A",IF('Data Source'!AD273&gt;=3.5,"A-",IF('Data Source'!AD273&gt;=3,"B",IF('Data Source'!AD273&gt;=2,"C",IF('Data Source'!AD273&gt;=1,"D","F")))))),"")</f>
        <v/>
      </c>
      <c r="M273" s="3">
        <f>IF(AND('Data Source'!B273&lt;&gt;"",'Data Source'!S273="A+"),IF('Data Source'!AE273&gt;=5,"A+",IF('Data Source'!AE273&gt;=4,"A",IF('Data Source'!AE273&gt;=3.5,"A-",IF('Data Source'!AE273&gt;=3,"B",IF('Data Source'!AE273&gt;=2,"C",IF('Data Source'!AE273&gt;=1,"D","F")))))),"")</f>
        <v/>
      </c>
      <c r="N273" s="3">
        <f>IF(AND('Data Source'!B273&lt;&gt;"",'Data Source'!S273="A+"),IF('Data Source'!AF273&gt;=5,"A+",IF('Data Source'!AF273&gt;=4,"A",IF('Data Source'!AF273&gt;=3.5,"A-",IF('Data Source'!AF273&gt;=3,"B",IF('Data Source'!AF273&gt;=2,"C",IF('Data Source'!AF273&gt;=1,"D","F")))))),"")</f>
        <v/>
      </c>
      <c r="O273" s="3">
        <f>IF(AND('Data Source'!B273&lt;&gt;"",'Data Source'!S273="A+"),IF('Data Source'!AG273&gt;=5,"A+",IF('Data Source'!AG273&gt;=4,"A",IF('Data Source'!AG273&gt;=3.5,"A-",IF('Data Source'!AG273&gt;=3,"B",IF('Data Source'!AG273&gt;=2,"C",IF('Data Source'!AG273&gt;=1,"D","F")))))),"")</f>
        <v/>
      </c>
      <c r="P273" s="5">
        <f>IF(AND('Data Source'!B273&lt;&gt;"",'Data Source'!S273="A+"),'Data Source'!R273,"")</f>
        <v/>
      </c>
      <c r="Q273" s="3">
        <f>IF(AND('Data Source'!B273&lt;&gt;"",'Data Source'!S273="A+"),'Data Source'!S273,"")</f>
        <v/>
      </c>
    </row>
    <row r="274">
      <c r="A274" s="3">
        <f>IF(AND('Data Source'!B274&lt;&gt;"",'Data Source'!S274="A+"),COUNTIF('Data Source'!$S$3:S274,"A+"),"")</f>
        <v/>
      </c>
      <c r="B274">
        <f>IF(AND('Data Source'!B274&lt;&gt;"",'Data Source'!S274="A+"),'Data Source'!B274,"")</f>
        <v/>
      </c>
      <c r="C274" s="3">
        <f>IF(AND('Data Source'!B274&lt;&gt;"",'Data Source'!S274="A+"),IF('Data Source'!U274&gt;=5,"A+",IF('Data Source'!U274&gt;=4,"A",IF('Data Source'!U274&gt;=3.5,"A-",IF('Data Source'!U274&gt;=3,"B",IF('Data Source'!U274&gt;=2,"C",IF('Data Source'!U274&gt;=1,"D","F")))))),"")</f>
        <v/>
      </c>
      <c r="D274" s="3">
        <f>IF(AND('Data Source'!B274&lt;&gt;"",'Data Source'!S274="A+"),IF('Data Source'!V274&gt;=5,"A+",IF('Data Source'!V274&gt;=4,"A",IF('Data Source'!V274&gt;=3.5,"A-",IF('Data Source'!V274&gt;=3,"B",IF('Data Source'!V274&gt;=2,"C",IF('Data Source'!V274&gt;=1,"D","F")))))),"")</f>
        <v/>
      </c>
      <c r="E274" s="3">
        <f>IF(AND('Data Source'!B274&lt;&gt;"",'Data Source'!S274="A+"),IF('Data Source'!W274&gt;=5,"A+",IF('Data Source'!W274&gt;=4,"A",IF('Data Source'!W274&gt;=3.5,"A-",IF('Data Source'!W274&gt;=3,"B",IF('Data Source'!W274&gt;=2,"C",IF('Data Source'!W274&gt;=1,"D","F")))))),"")</f>
        <v/>
      </c>
      <c r="F274" s="3">
        <f>IF(AND('Data Source'!B274&lt;&gt;"",'Data Source'!S274="A+"),IF('Data Source'!X274&gt;=5,"A+",IF('Data Source'!X274&gt;=4,"A",IF('Data Source'!X274&gt;=3.5,"A-",IF('Data Source'!X274&gt;=3,"B",IF('Data Source'!X274&gt;=2,"C",IF('Data Source'!X274&gt;=1,"D","F")))))),"")</f>
        <v/>
      </c>
      <c r="G274" s="3">
        <f>IF(AND('Data Source'!B274&lt;&gt;"",'Data Source'!S274="A+"),IF('Data Source'!Y274&gt;=5,"A+",IF('Data Source'!Y274&gt;=4,"A",IF('Data Source'!Y274&gt;=3.5,"A-",IF('Data Source'!Y274&gt;=3,"B",IF('Data Source'!Y274&gt;=2,"C",IF('Data Source'!Y274&gt;=1,"D","F")))))),"")</f>
        <v/>
      </c>
      <c r="H274" s="3">
        <f>IF(AND('Data Source'!B274&lt;&gt;"",'Data Source'!S274="A+"),IF('Data Source'!Z274&gt;=5,"A+",IF('Data Source'!Z274&gt;=4,"A",IF('Data Source'!Z274&gt;=3.5,"A-",IF('Data Source'!Z274&gt;=3,"B",IF('Data Source'!Z274&gt;=2,"C",IF('Data Source'!Z274&gt;=1,"D","F")))))),"")</f>
        <v/>
      </c>
      <c r="I274" s="3">
        <f>IF(AND('Data Source'!B274&lt;&gt;"",'Data Source'!S274="A+"),IF('Data Source'!AA274&gt;=5,"A+",IF('Data Source'!AA274&gt;=4,"A",IF('Data Source'!AA274&gt;=3.5,"A-",IF('Data Source'!AA274&gt;=3,"B",IF('Data Source'!AA274&gt;=2,"C",IF('Data Source'!AA274&gt;=1,"D","F")))))),"")</f>
        <v/>
      </c>
      <c r="J274" s="3">
        <f>IF(AND('Data Source'!B274&lt;&gt;"",'Data Source'!S274="A+"),IF('Data Source'!AB274&gt;=5,"A+",IF('Data Source'!AB274&gt;=4,"A",IF('Data Source'!AB274&gt;=3.5,"A-",IF('Data Source'!AB274&gt;=3,"B",IF('Data Source'!AB274&gt;=2,"C",IF('Data Source'!AB274&gt;=1,"D","F")))))),"")</f>
        <v/>
      </c>
      <c r="K274" s="3">
        <f>IF(AND('Data Source'!B274&lt;&gt;"",'Data Source'!S274="A+"),IF('Data Source'!AC274&gt;=5,"A+",IF('Data Source'!AC274&gt;=4,"A",IF('Data Source'!AC274&gt;=3.5,"A-",IF('Data Source'!AC274&gt;=3,"B",IF('Data Source'!AC274&gt;=2,"C",IF('Data Source'!AC274&gt;=1,"D","F")))))),"")</f>
        <v/>
      </c>
      <c r="L274" s="3">
        <f>IF(AND('Data Source'!B274&lt;&gt;"",'Data Source'!S274="A+"),IF('Data Source'!AD274&gt;=5,"A+",IF('Data Source'!AD274&gt;=4,"A",IF('Data Source'!AD274&gt;=3.5,"A-",IF('Data Source'!AD274&gt;=3,"B",IF('Data Source'!AD274&gt;=2,"C",IF('Data Source'!AD274&gt;=1,"D","F")))))),"")</f>
        <v/>
      </c>
      <c r="M274" s="3">
        <f>IF(AND('Data Source'!B274&lt;&gt;"",'Data Source'!S274="A+"),IF('Data Source'!AE274&gt;=5,"A+",IF('Data Source'!AE274&gt;=4,"A",IF('Data Source'!AE274&gt;=3.5,"A-",IF('Data Source'!AE274&gt;=3,"B",IF('Data Source'!AE274&gt;=2,"C",IF('Data Source'!AE274&gt;=1,"D","F")))))),"")</f>
        <v/>
      </c>
      <c r="N274" s="3">
        <f>IF(AND('Data Source'!B274&lt;&gt;"",'Data Source'!S274="A+"),IF('Data Source'!AF274&gt;=5,"A+",IF('Data Source'!AF274&gt;=4,"A",IF('Data Source'!AF274&gt;=3.5,"A-",IF('Data Source'!AF274&gt;=3,"B",IF('Data Source'!AF274&gt;=2,"C",IF('Data Source'!AF274&gt;=1,"D","F")))))),"")</f>
        <v/>
      </c>
      <c r="O274" s="3">
        <f>IF(AND('Data Source'!B274&lt;&gt;"",'Data Source'!S274="A+"),IF('Data Source'!AG274&gt;=5,"A+",IF('Data Source'!AG274&gt;=4,"A",IF('Data Source'!AG274&gt;=3.5,"A-",IF('Data Source'!AG274&gt;=3,"B",IF('Data Source'!AG274&gt;=2,"C",IF('Data Source'!AG274&gt;=1,"D","F")))))),"")</f>
        <v/>
      </c>
      <c r="P274" s="5">
        <f>IF(AND('Data Source'!B274&lt;&gt;"",'Data Source'!S274="A+"),'Data Source'!R274,"")</f>
        <v/>
      </c>
      <c r="Q274" s="3">
        <f>IF(AND('Data Source'!B274&lt;&gt;"",'Data Source'!S274="A+"),'Data Source'!S274,"")</f>
        <v/>
      </c>
    </row>
    <row r="275">
      <c r="A275" s="3">
        <f>IF(AND('Data Source'!B275&lt;&gt;"",'Data Source'!S275="A+"),COUNTIF('Data Source'!$S$3:S275,"A+"),"")</f>
        <v/>
      </c>
      <c r="B275">
        <f>IF(AND('Data Source'!B275&lt;&gt;"",'Data Source'!S275="A+"),'Data Source'!B275,"")</f>
        <v/>
      </c>
      <c r="C275" s="3">
        <f>IF(AND('Data Source'!B275&lt;&gt;"",'Data Source'!S275="A+"),IF('Data Source'!U275&gt;=5,"A+",IF('Data Source'!U275&gt;=4,"A",IF('Data Source'!U275&gt;=3.5,"A-",IF('Data Source'!U275&gt;=3,"B",IF('Data Source'!U275&gt;=2,"C",IF('Data Source'!U275&gt;=1,"D","F")))))),"")</f>
        <v/>
      </c>
      <c r="D275" s="3">
        <f>IF(AND('Data Source'!B275&lt;&gt;"",'Data Source'!S275="A+"),IF('Data Source'!V275&gt;=5,"A+",IF('Data Source'!V275&gt;=4,"A",IF('Data Source'!V275&gt;=3.5,"A-",IF('Data Source'!V275&gt;=3,"B",IF('Data Source'!V275&gt;=2,"C",IF('Data Source'!V275&gt;=1,"D","F")))))),"")</f>
        <v/>
      </c>
      <c r="E275" s="3">
        <f>IF(AND('Data Source'!B275&lt;&gt;"",'Data Source'!S275="A+"),IF('Data Source'!W275&gt;=5,"A+",IF('Data Source'!W275&gt;=4,"A",IF('Data Source'!W275&gt;=3.5,"A-",IF('Data Source'!W275&gt;=3,"B",IF('Data Source'!W275&gt;=2,"C",IF('Data Source'!W275&gt;=1,"D","F")))))),"")</f>
        <v/>
      </c>
      <c r="F275" s="3">
        <f>IF(AND('Data Source'!B275&lt;&gt;"",'Data Source'!S275="A+"),IF('Data Source'!X275&gt;=5,"A+",IF('Data Source'!X275&gt;=4,"A",IF('Data Source'!X275&gt;=3.5,"A-",IF('Data Source'!X275&gt;=3,"B",IF('Data Source'!X275&gt;=2,"C",IF('Data Source'!X275&gt;=1,"D","F")))))),"")</f>
        <v/>
      </c>
      <c r="G275" s="3">
        <f>IF(AND('Data Source'!B275&lt;&gt;"",'Data Source'!S275="A+"),IF('Data Source'!Y275&gt;=5,"A+",IF('Data Source'!Y275&gt;=4,"A",IF('Data Source'!Y275&gt;=3.5,"A-",IF('Data Source'!Y275&gt;=3,"B",IF('Data Source'!Y275&gt;=2,"C",IF('Data Source'!Y275&gt;=1,"D","F")))))),"")</f>
        <v/>
      </c>
      <c r="H275" s="3">
        <f>IF(AND('Data Source'!B275&lt;&gt;"",'Data Source'!S275="A+"),IF('Data Source'!Z275&gt;=5,"A+",IF('Data Source'!Z275&gt;=4,"A",IF('Data Source'!Z275&gt;=3.5,"A-",IF('Data Source'!Z275&gt;=3,"B",IF('Data Source'!Z275&gt;=2,"C",IF('Data Source'!Z275&gt;=1,"D","F")))))),"")</f>
        <v/>
      </c>
      <c r="I275" s="3">
        <f>IF(AND('Data Source'!B275&lt;&gt;"",'Data Source'!S275="A+"),IF('Data Source'!AA275&gt;=5,"A+",IF('Data Source'!AA275&gt;=4,"A",IF('Data Source'!AA275&gt;=3.5,"A-",IF('Data Source'!AA275&gt;=3,"B",IF('Data Source'!AA275&gt;=2,"C",IF('Data Source'!AA275&gt;=1,"D","F")))))),"")</f>
        <v/>
      </c>
      <c r="J275" s="3">
        <f>IF(AND('Data Source'!B275&lt;&gt;"",'Data Source'!S275="A+"),IF('Data Source'!AB275&gt;=5,"A+",IF('Data Source'!AB275&gt;=4,"A",IF('Data Source'!AB275&gt;=3.5,"A-",IF('Data Source'!AB275&gt;=3,"B",IF('Data Source'!AB275&gt;=2,"C",IF('Data Source'!AB275&gt;=1,"D","F")))))),"")</f>
        <v/>
      </c>
      <c r="K275" s="3">
        <f>IF(AND('Data Source'!B275&lt;&gt;"",'Data Source'!S275="A+"),IF('Data Source'!AC275&gt;=5,"A+",IF('Data Source'!AC275&gt;=4,"A",IF('Data Source'!AC275&gt;=3.5,"A-",IF('Data Source'!AC275&gt;=3,"B",IF('Data Source'!AC275&gt;=2,"C",IF('Data Source'!AC275&gt;=1,"D","F")))))),"")</f>
        <v/>
      </c>
      <c r="L275" s="3">
        <f>IF(AND('Data Source'!B275&lt;&gt;"",'Data Source'!S275="A+"),IF('Data Source'!AD275&gt;=5,"A+",IF('Data Source'!AD275&gt;=4,"A",IF('Data Source'!AD275&gt;=3.5,"A-",IF('Data Source'!AD275&gt;=3,"B",IF('Data Source'!AD275&gt;=2,"C",IF('Data Source'!AD275&gt;=1,"D","F")))))),"")</f>
        <v/>
      </c>
      <c r="M275" s="3">
        <f>IF(AND('Data Source'!B275&lt;&gt;"",'Data Source'!S275="A+"),IF('Data Source'!AE275&gt;=5,"A+",IF('Data Source'!AE275&gt;=4,"A",IF('Data Source'!AE275&gt;=3.5,"A-",IF('Data Source'!AE275&gt;=3,"B",IF('Data Source'!AE275&gt;=2,"C",IF('Data Source'!AE275&gt;=1,"D","F")))))),"")</f>
        <v/>
      </c>
      <c r="N275" s="3">
        <f>IF(AND('Data Source'!B275&lt;&gt;"",'Data Source'!S275="A+"),IF('Data Source'!AF275&gt;=5,"A+",IF('Data Source'!AF275&gt;=4,"A",IF('Data Source'!AF275&gt;=3.5,"A-",IF('Data Source'!AF275&gt;=3,"B",IF('Data Source'!AF275&gt;=2,"C",IF('Data Source'!AF275&gt;=1,"D","F")))))),"")</f>
        <v/>
      </c>
      <c r="O275" s="3">
        <f>IF(AND('Data Source'!B275&lt;&gt;"",'Data Source'!S275="A+"),IF('Data Source'!AG275&gt;=5,"A+",IF('Data Source'!AG275&gt;=4,"A",IF('Data Source'!AG275&gt;=3.5,"A-",IF('Data Source'!AG275&gt;=3,"B",IF('Data Source'!AG275&gt;=2,"C",IF('Data Source'!AG275&gt;=1,"D","F")))))),"")</f>
        <v/>
      </c>
      <c r="P275" s="5">
        <f>IF(AND('Data Source'!B275&lt;&gt;"",'Data Source'!S275="A+"),'Data Source'!R275,"")</f>
        <v/>
      </c>
      <c r="Q275" s="3">
        <f>IF(AND('Data Source'!B275&lt;&gt;"",'Data Source'!S275="A+"),'Data Source'!S275,"")</f>
        <v/>
      </c>
    </row>
    <row r="276">
      <c r="A276" s="3">
        <f>IF(AND('Data Source'!B276&lt;&gt;"",'Data Source'!S276="A+"),COUNTIF('Data Source'!$S$3:S276,"A+"),"")</f>
        <v/>
      </c>
      <c r="B276">
        <f>IF(AND('Data Source'!B276&lt;&gt;"",'Data Source'!S276="A+"),'Data Source'!B276,"")</f>
        <v/>
      </c>
      <c r="C276" s="3">
        <f>IF(AND('Data Source'!B276&lt;&gt;"",'Data Source'!S276="A+"),IF('Data Source'!U276&gt;=5,"A+",IF('Data Source'!U276&gt;=4,"A",IF('Data Source'!U276&gt;=3.5,"A-",IF('Data Source'!U276&gt;=3,"B",IF('Data Source'!U276&gt;=2,"C",IF('Data Source'!U276&gt;=1,"D","F")))))),"")</f>
        <v/>
      </c>
      <c r="D276" s="3">
        <f>IF(AND('Data Source'!B276&lt;&gt;"",'Data Source'!S276="A+"),IF('Data Source'!V276&gt;=5,"A+",IF('Data Source'!V276&gt;=4,"A",IF('Data Source'!V276&gt;=3.5,"A-",IF('Data Source'!V276&gt;=3,"B",IF('Data Source'!V276&gt;=2,"C",IF('Data Source'!V276&gt;=1,"D","F")))))),"")</f>
        <v/>
      </c>
      <c r="E276" s="3">
        <f>IF(AND('Data Source'!B276&lt;&gt;"",'Data Source'!S276="A+"),IF('Data Source'!W276&gt;=5,"A+",IF('Data Source'!W276&gt;=4,"A",IF('Data Source'!W276&gt;=3.5,"A-",IF('Data Source'!W276&gt;=3,"B",IF('Data Source'!W276&gt;=2,"C",IF('Data Source'!W276&gt;=1,"D","F")))))),"")</f>
        <v/>
      </c>
      <c r="F276" s="3">
        <f>IF(AND('Data Source'!B276&lt;&gt;"",'Data Source'!S276="A+"),IF('Data Source'!X276&gt;=5,"A+",IF('Data Source'!X276&gt;=4,"A",IF('Data Source'!X276&gt;=3.5,"A-",IF('Data Source'!X276&gt;=3,"B",IF('Data Source'!X276&gt;=2,"C",IF('Data Source'!X276&gt;=1,"D","F")))))),"")</f>
        <v/>
      </c>
      <c r="G276" s="3">
        <f>IF(AND('Data Source'!B276&lt;&gt;"",'Data Source'!S276="A+"),IF('Data Source'!Y276&gt;=5,"A+",IF('Data Source'!Y276&gt;=4,"A",IF('Data Source'!Y276&gt;=3.5,"A-",IF('Data Source'!Y276&gt;=3,"B",IF('Data Source'!Y276&gt;=2,"C",IF('Data Source'!Y276&gt;=1,"D","F")))))),"")</f>
        <v/>
      </c>
      <c r="H276" s="3">
        <f>IF(AND('Data Source'!B276&lt;&gt;"",'Data Source'!S276="A+"),IF('Data Source'!Z276&gt;=5,"A+",IF('Data Source'!Z276&gt;=4,"A",IF('Data Source'!Z276&gt;=3.5,"A-",IF('Data Source'!Z276&gt;=3,"B",IF('Data Source'!Z276&gt;=2,"C",IF('Data Source'!Z276&gt;=1,"D","F")))))),"")</f>
        <v/>
      </c>
      <c r="I276" s="3">
        <f>IF(AND('Data Source'!B276&lt;&gt;"",'Data Source'!S276="A+"),IF('Data Source'!AA276&gt;=5,"A+",IF('Data Source'!AA276&gt;=4,"A",IF('Data Source'!AA276&gt;=3.5,"A-",IF('Data Source'!AA276&gt;=3,"B",IF('Data Source'!AA276&gt;=2,"C",IF('Data Source'!AA276&gt;=1,"D","F")))))),"")</f>
        <v/>
      </c>
      <c r="J276" s="3">
        <f>IF(AND('Data Source'!B276&lt;&gt;"",'Data Source'!S276="A+"),IF('Data Source'!AB276&gt;=5,"A+",IF('Data Source'!AB276&gt;=4,"A",IF('Data Source'!AB276&gt;=3.5,"A-",IF('Data Source'!AB276&gt;=3,"B",IF('Data Source'!AB276&gt;=2,"C",IF('Data Source'!AB276&gt;=1,"D","F")))))),"")</f>
        <v/>
      </c>
      <c r="K276" s="3">
        <f>IF(AND('Data Source'!B276&lt;&gt;"",'Data Source'!S276="A+"),IF('Data Source'!AC276&gt;=5,"A+",IF('Data Source'!AC276&gt;=4,"A",IF('Data Source'!AC276&gt;=3.5,"A-",IF('Data Source'!AC276&gt;=3,"B",IF('Data Source'!AC276&gt;=2,"C",IF('Data Source'!AC276&gt;=1,"D","F")))))),"")</f>
        <v/>
      </c>
      <c r="L276" s="3">
        <f>IF(AND('Data Source'!B276&lt;&gt;"",'Data Source'!S276="A+"),IF('Data Source'!AD276&gt;=5,"A+",IF('Data Source'!AD276&gt;=4,"A",IF('Data Source'!AD276&gt;=3.5,"A-",IF('Data Source'!AD276&gt;=3,"B",IF('Data Source'!AD276&gt;=2,"C",IF('Data Source'!AD276&gt;=1,"D","F")))))),"")</f>
        <v/>
      </c>
      <c r="M276" s="3">
        <f>IF(AND('Data Source'!B276&lt;&gt;"",'Data Source'!S276="A+"),IF('Data Source'!AE276&gt;=5,"A+",IF('Data Source'!AE276&gt;=4,"A",IF('Data Source'!AE276&gt;=3.5,"A-",IF('Data Source'!AE276&gt;=3,"B",IF('Data Source'!AE276&gt;=2,"C",IF('Data Source'!AE276&gt;=1,"D","F")))))),"")</f>
        <v/>
      </c>
      <c r="N276" s="3">
        <f>IF(AND('Data Source'!B276&lt;&gt;"",'Data Source'!S276="A+"),IF('Data Source'!AF276&gt;=5,"A+",IF('Data Source'!AF276&gt;=4,"A",IF('Data Source'!AF276&gt;=3.5,"A-",IF('Data Source'!AF276&gt;=3,"B",IF('Data Source'!AF276&gt;=2,"C",IF('Data Source'!AF276&gt;=1,"D","F")))))),"")</f>
        <v/>
      </c>
      <c r="O276" s="3">
        <f>IF(AND('Data Source'!B276&lt;&gt;"",'Data Source'!S276="A+"),IF('Data Source'!AG276&gt;=5,"A+",IF('Data Source'!AG276&gt;=4,"A",IF('Data Source'!AG276&gt;=3.5,"A-",IF('Data Source'!AG276&gt;=3,"B",IF('Data Source'!AG276&gt;=2,"C",IF('Data Source'!AG276&gt;=1,"D","F")))))),"")</f>
        <v/>
      </c>
      <c r="P276" s="5">
        <f>IF(AND('Data Source'!B276&lt;&gt;"",'Data Source'!S276="A+"),'Data Source'!R276,"")</f>
        <v/>
      </c>
      <c r="Q276" s="3">
        <f>IF(AND('Data Source'!B276&lt;&gt;"",'Data Source'!S276="A+"),'Data Source'!S276,"")</f>
        <v/>
      </c>
    </row>
    <row r="277">
      <c r="A277" s="3">
        <f>IF(AND('Data Source'!B277&lt;&gt;"",'Data Source'!S277="A+"),COUNTIF('Data Source'!$S$3:S277,"A+"),"")</f>
        <v/>
      </c>
      <c r="B277">
        <f>IF(AND('Data Source'!B277&lt;&gt;"",'Data Source'!S277="A+"),'Data Source'!B277,"")</f>
        <v/>
      </c>
      <c r="C277" s="3">
        <f>IF(AND('Data Source'!B277&lt;&gt;"",'Data Source'!S277="A+"),IF('Data Source'!U277&gt;=5,"A+",IF('Data Source'!U277&gt;=4,"A",IF('Data Source'!U277&gt;=3.5,"A-",IF('Data Source'!U277&gt;=3,"B",IF('Data Source'!U277&gt;=2,"C",IF('Data Source'!U277&gt;=1,"D","F")))))),"")</f>
        <v/>
      </c>
      <c r="D277" s="3">
        <f>IF(AND('Data Source'!B277&lt;&gt;"",'Data Source'!S277="A+"),IF('Data Source'!V277&gt;=5,"A+",IF('Data Source'!V277&gt;=4,"A",IF('Data Source'!V277&gt;=3.5,"A-",IF('Data Source'!V277&gt;=3,"B",IF('Data Source'!V277&gt;=2,"C",IF('Data Source'!V277&gt;=1,"D","F")))))),"")</f>
        <v/>
      </c>
      <c r="E277" s="3">
        <f>IF(AND('Data Source'!B277&lt;&gt;"",'Data Source'!S277="A+"),IF('Data Source'!W277&gt;=5,"A+",IF('Data Source'!W277&gt;=4,"A",IF('Data Source'!W277&gt;=3.5,"A-",IF('Data Source'!W277&gt;=3,"B",IF('Data Source'!W277&gt;=2,"C",IF('Data Source'!W277&gt;=1,"D","F")))))),"")</f>
        <v/>
      </c>
      <c r="F277" s="3">
        <f>IF(AND('Data Source'!B277&lt;&gt;"",'Data Source'!S277="A+"),IF('Data Source'!X277&gt;=5,"A+",IF('Data Source'!X277&gt;=4,"A",IF('Data Source'!X277&gt;=3.5,"A-",IF('Data Source'!X277&gt;=3,"B",IF('Data Source'!X277&gt;=2,"C",IF('Data Source'!X277&gt;=1,"D","F")))))),"")</f>
        <v/>
      </c>
      <c r="G277" s="3">
        <f>IF(AND('Data Source'!B277&lt;&gt;"",'Data Source'!S277="A+"),IF('Data Source'!Y277&gt;=5,"A+",IF('Data Source'!Y277&gt;=4,"A",IF('Data Source'!Y277&gt;=3.5,"A-",IF('Data Source'!Y277&gt;=3,"B",IF('Data Source'!Y277&gt;=2,"C",IF('Data Source'!Y277&gt;=1,"D","F")))))),"")</f>
        <v/>
      </c>
      <c r="H277" s="3">
        <f>IF(AND('Data Source'!B277&lt;&gt;"",'Data Source'!S277="A+"),IF('Data Source'!Z277&gt;=5,"A+",IF('Data Source'!Z277&gt;=4,"A",IF('Data Source'!Z277&gt;=3.5,"A-",IF('Data Source'!Z277&gt;=3,"B",IF('Data Source'!Z277&gt;=2,"C",IF('Data Source'!Z277&gt;=1,"D","F")))))),"")</f>
        <v/>
      </c>
      <c r="I277" s="3">
        <f>IF(AND('Data Source'!B277&lt;&gt;"",'Data Source'!S277="A+"),IF('Data Source'!AA277&gt;=5,"A+",IF('Data Source'!AA277&gt;=4,"A",IF('Data Source'!AA277&gt;=3.5,"A-",IF('Data Source'!AA277&gt;=3,"B",IF('Data Source'!AA277&gt;=2,"C",IF('Data Source'!AA277&gt;=1,"D","F")))))),"")</f>
        <v/>
      </c>
      <c r="J277" s="3">
        <f>IF(AND('Data Source'!B277&lt;&gt;"",'Data Source'!S277="A+"),IF('Data Source'!AB277&gt;=5,"A+",IF('Data Source'!AB277&gt;=4,"A",IF('Data Source'!AB277&gt;=3.5,"A-",IF('Data Source'!AB277&gt;=3,"B",IF('Data Source'!AB277&gt;=2,"C",IF('Data Source'!AB277&gt;=1,"D","F")))))),"")</f>
        <v/>
      </c>
      <c r="K277" s="3">
        <f>IF(AND('Data Source'!B277&lt;&gt;"",'Data Source'!S277="A+"),IF('Data Source'!AC277&gt;=5,"A+",IF('Data Source'!AC277&gt;=4,"A",IF('Data Source'!AC277&gt;=3.5,"A-",IF('Data Source'!AC277&gt;=3,"B",IF('Data Source'!AC277&gt;=2,"C",IF('Data Source'!AC277&gt;=1,"D","F")))))),"")</f>
        <v/>
      </c>
      <c r="L277" s="3">
        <f>IF(AND('Data Source'!B277&lt;&gt;"",'Data Source'!S277="A+"),IF('Data Source'!AD277&gt;=5,"A+",IF('Data Source'!AD277&gt;=4,"A",IF('Data Source'!AD277&gt;=3.5,"A-",IF('Data Source'!AD277&gt;=3,"B",IF('Data Source'!AD277&gt;=2,"C",IF('Data Source'!AD277&gt;=1,"D","F")))))),"")</f>
        <v/>
      </c>
      <c r="M277" s="3">
        <f>IF(AND('Data Source'!B277&lt;&gt;"",'Data Source'!S277="A+"),IF('Data Source'!AE277&gt;=5,"A+",IF('Data Source'!AE277&gt;=4,"A",IF('Data Source'!AE277&gt;=3.5,"A-",IF('Data Source'!AE277&gt;=3,"B",IF('Data Source'!AE277&gt;=2,"C",IF('Data Source'!AE277&gt;=1,"D","F")))))),"")</f>
        <v/>
      </c>
      <c r="N277" s="3">
        <f>IF(AND('Data Source'!B277&lt;&gt;"",'Data Source'!S277="A+"),IF('Data Source'!AF277&gt;=5,"A+",IF('Data Source'!AF277&gt;=4,"A",IF('Data Source'!AF277&gt;=3.5,"A-",IF('Data Source'!AF277&gt;=3,"B",IF('Data Source'!AF277&gt;=2,"C",IF('Data Source'!AF277&gt;=1,"D","F")))))),"")</f>
        <v/>
      </c>
      <c r="O277" s="3">
        <f>IF(AND('Data Source'!B277&lt;&gt;"",'Data Source'!S277="A+"),IF('Data Source'!AG277&gt;=5,"A+",IF('Data Source'!AG277&gt;=4,"A",IF('Data Source'!AG277&gt;=3.5,"A-",IF('Data Source'!AG277&gt;=3,"B",IF('Data Source'!AG277&gt;=2,"C",IF('Data Source'!AG277&gt;=1,"D","F")))))),"")</f>
        <v/>
      </c>
      <c r="P277" s="5">
        <f>IF(AND('Data Source'!B277&lt;&gt;"",'Data Source'!S277="A+"),'Data Source'!R277,"")</f>
        <v/>
      </c>
      <c r="Q277" s="3">
        <f>IF(AND('Data Source'!B277&lt;&gt;"",'Data Source'!S277="A+"),'Data Source'!S277,"")</f>
        <v/>
      </c>
    </row>
    <row r="278">
      <c r="A278" s="3">
        <f>IF(AND('Data Source'!B278&lt;&gt;"",'Data Source'!S278="A+"),COUNTIF('Data Source'!$S$3:S278,"A+"),"")</f>
        <v/>
      </c>
      <c r="B278">
        <f>IF(AND('Data Source'!B278&lt;&gt;"",'Data Source'!S278="A+"),'Data Source'!B278,"")</f>
        <v/>
      </c>
      <c r="C278" s="3">
        <f>IF(AND('Data Source'!B278&lt;&gt;"",'Data Source'!S278="A+"),IF('Data Source'!U278&gt;=5,"A+",IF('Data Source'!U278&gt;=4,"A",IF('Data Source'!U278&gt;=3.5,"A-",IF('Data Source'!U278&gt;=3,"B",IF('Data Source'!U278&gt;=2,"C",IF('Data Source'!U278&gt;=1,"D","F")))))),"")</f>
        <v/>
      </c>
      <c r="D278" s="3">
        <f>IF(AND('Data Source'!B278&lt;&gt;"",'Data Source'!S278="A+"),IF('Data Source'!V278&gt;=5,"A+",IF('Data Source'!V278&gt;=4,"A",IF('Data Source'!V278&gt;=3.5,"A-",IF('Data Source'!V278&gt;=3,"B",IF('Data Source'!V278&gt;=2,"C",IF('Data Source'!V278&gt;=1,"D","F")))))),"")</f>
        <v/>
      </c>
      <c r="E278" s="3">
        <f>IF(AND('Data Source'!B278&lt;&gt;"",'Data Source'!S278="A+"),IF('Data Source'!W278&gt;=5,"A+",IF('Data Source'!W278&gt;=4,"A",IF('Data Source'!W278&gt;=3.5,"A-",IF('Data Source'!W278&gt;=3,"B",IF('Data Source'!W278&gt;=2,"C",IF('Data Source'!W278&gt;=1,"D","F")))))),"")</f>
        <v/>
      </c>
      <c r="F278" s="3">
        <f>IF(AND('Data Source'!B278&lt;&gt;"",'Data Source'!S278="A+"),IF('Data Source'!X278&gt;=5,"A+",IF('Data Source'!X278&gt;=4,"A",IF('Data Source'!X278&gt;=3.5,"A-",IF('Data Source'!X278&gt;=3,"B",IF('Data Source'!X278&gt;=2,"C",IF('Data Source'!X278&gt;=1,"D","F")))))),"")</f>
        <v/>
      </c>
      <c r="G278" s="3">
        <f>IF(AND('Data Source'!B278&lt;&gt;"",'Data Source'!S278="A+"),IF('Data Source'!Y278&gt;=5,"A+",IF('Data Source'!Y278&gt;=4,"A",IF('Data Source'!Y278&gt;=3.5,"A-",IF('Data Source'!Y278&gt;=3,"B",IF('Data Source'!Y278&gt;=2,"C",IF('Data Source'!Y278&gt;=1,"D","F")))))),"")</f>
        <v/>
      </c>
      <c r="H278" s="3">
        <f>IF(AND('Data Source'!B278&lt;&gt;"",'Data Source'!S278="A+"),IF('Data Source'!Z278&gt;=5,"A+",IF('Data Source'!Z278&gt;=4,"A",IF('Data Source'!Z278&gt;=3.5,"A-",IF('Data Source'!Z278&gt;=3,"B",IF('Data Source'!Z278&gt;=2,"C",IF('Data Source'!Z278&gt;=1,"D","F")))))),"")</f>
        <v/>
      </c>
      <c r="I278" s="3">
        <f>IF(AND('Data Source'!B278&lt;&gt;"",'Data Source'!S278="A+"),IF('Data Source'!AA278&gt;=5,"A+",IF('Data Source'!AA278&gt;=4,"A",IF('Data Source'!AA278&gt;=3.5,"A-",IF('Data Source'!AA278&gt;=3,"B",IF('Data Source'!AA278&gt;=2,"C",IF('Data Source'!AA278&gt;=1,"D","F")))))),"")</f>
        <v/>
      </c>
      <c r="J278" s="3">
        <f>IF(AND('Data Source'!B278&lt;&gt;"",'Data Source'!S278="A+"),IF('Data Source'!AB278&gt;=5,"A+",IF('Data Source'!AB278&gt;=4,"A",IF('Data Source'!AB278&gt;=3.5,"A-",IF('Data Source'!AB278&gt;=3,"B",IF('Data Source'!AB278&gt;=2,"C",IF('Data Source'!AB278&gt;=1,"D","F")))))),"")</f>
        <v/>
      </c>
      <c r="K278" s="3">
        <f>IF(AND('Data Source'!B278&lt;&gt;"",'Data Source'!S278="A+"),IF('Data Source'!AC278&gt;=5,"A+",IF('Data Source'!AC278&gt;=4,"A",IF('Data Source'!AC278&gt;=3.5,"A-",IF('Data Source'!AC278&gt;=3,"B",IF('Data Source'!AC278&gt;=2,"C",IF('Data Source'!AC278&gt;=1,"D","F")))))),"")</f>
        <v/>
      </c>
      <c r="L278" s="3">
        <f>IF(AND('Data Source'!B278&lt;&gt;"",'Data Source'!S278="A+"),IF('Data Source'!AD278&gt;=5,"A+",IF('Data Source'!AD278&gt;=4,"A",IF('Data Source'!AD278&gt;=3.5,"A-",IF('Data Source'!AD278&gt;=3,"B",IF('Data Source'!AD278&gt;=2,"C",IF('Data Source'!AD278&gt;=1,"D","F")))))),"")</f>
        <v/>
      </c>
      <c r="M278" s="3">
        <f>IF(AND('Data Source'!B278&lt;&gt;"",'Data Source'!S278="A+"),IF('Data Source'!AE278&gt;=5,"A+",IF('Data Source'!AE278&gt;=4,"A",IF('Data Source'!AE278&gt;=3.5,"A-",IF('Data Source'!AE278&gt;=3,"B",IF('Data Source'!AE278&gt;=2,"C",IF('Data Source'!AE278&gt;=1,"D","F")))))),"")</f>
        <v/>
      </c>
      <c r="N278" s="3">
        <f>IF(AND('Data Source'!B278&lt;&gt;"",'Data Source'!S278="A+"),IF('Data Source'!AF278&gt;=5,"A+",IF('Data Source'!AF278&gt;=4,"A",IF('Data Source'!AF278&gt;=3.5,"A-",IF('Data Source'!AF278&gt;=3,"B",IF('Data Source'!AF278&gt;=2,"C",IF('Data Source'!AF278&gt;=1,"D","F")))))),"")</f>
        <v/>
      </c>
      <c r="O278" s="3">
        <f>IF(AND('Data Source'!B278&lt;&gt;"",'Data Source'!S278="A+"),IF('Data Source'!AG278&gt;=5,"A+",IF('Data Source'!AG278&gt;=4,"A",IF('Data Source'!AG278&gt;=3.5,"A-",IF('Data Source'!AG278&gt;=3,"B",IF('Data Source'!AG278&gt;=2,"C",IF('Data Source'!AG278&gt;=1,"D","F")))))),"")</f>
        <v/>
      </c>
      <c r="P278" s="5">
        <f>IF(AND('Data Source'!B278&lt;&gt;"",'Data Source'!S278="A+"),'Data Source'!R278,"")</f>
        <v/>
      </c>
      <c r="Q278" s="3">
        <f>IF(AND('Data Source'!B278&lt;&gt;"",'Data Source'!S278="A+"),'Data Source'!S278,"")</f>
        <v/>
      </c>
    </row>
    <row r="279">
      <c r="A279" s="3">
        <f>IF(AND('Data Source'!B279&lt;&gt;"",'Data Source'!S279="A+"),COUNTIF('Data Source'!$S$3:S279,"A+"),"")</f>
        <v/>
      </c>
      <c r="B279">
        <f>IF(AND('Data Source'!B279&lt;&gt;"",'Data Source'!S279="A+"),'Data Source'!B279,"")</f>
        <v/>
      </c>
      <c r="C279" s="3">
        <f>IF(AND('Data Source'!B279&lt;&gt;"",'Data Source'!S279="A+"),IF('Data Source'!U279&gt;=5,"A+",IF('Data Source'!U279&gt;=4,"A",IF('Data Source'!U279&gt;=3.5,"A-",IF('Data Source'!U279&gt;=3,"B",IF('Data Source'!U279&gt;=2,"C",IF('Data Source'!U279&gt;=1,"D","F")))))),"")</f>
        <v/>
      </c>
      <c r="D279" s="3">
        <f>IF(AND('Data Source'!B279&lt;&gt;"",'Data Source'!S279="A+"),IF('Data Source'!V279&gt;=5,"A+",IF('Data Source'!V279&gt;=4,"A",IF('Data Source'!V279&gt;=3.5,"A-",IF('Data Source'!V279&gt;=3,"B",IF('Data Source'!V279&gt;=2,"C",IF('Data Source'!V279&gt;=1,"D","F")))))),"")</f>
        <v/>
      </c>
      <c r="E279" s="3">
        <f>IF(AND('Data Source'!B279&lt;&gt;"",'Data Source'!S279="A+"),IF('Data Source'!W279&gt;=5,"A+",IF('Data Source'!W279&gt;=4,"A",IF('Data Source'!W279&gt;=3.5,"A-",IF('Data Source'!W279&gt;=3,"B",IF('Data Source'!W279&gt;=2,"C",IF('Data Source'!W279&gt;=1,"D","F")))))),"")</f>
        <v/>
      </c>
      <c r="F279" s="3">
        <f>IF(AND('Data Source'!B279&lt;&gt;"",'Data Source'!S279="A+"),IF('Data Source'!X279&gt;=5,"A+",IF('Data Source'!X279&gt;=4,"A",IF('Data Source'!X279&gt;=3.5,"A-",IF('Data Source'!X279&gt;=3,"B",IF('Data Source'!X279&gt;=2,"C",IF('Data Source'!X279&gt;=1,"D","F")))))),"")</f>
        <v/>
      </c>
      <c r="G279" s="3">
        <f>IF(AND('Data Source'!B279&lt;&gt;"",'Data Source'!S279="A+"),IF('Data Source'!Y279&gt;=5,"A+",IF('Data Source'!Y279&gt;=4,"A",IF('Data Source'!Y279&gt;=3.5,"A-",IF('Data Source'!Y279&gt;=3,"B",IF('Data Source'!Y279&gt;=2,"C",IF('Data Source'!Y279&gt;=1,"D","F")))))),"")</f>
        <v/>
      </c>
      <c r="H279" s="3">
        <f>IF(AND('Data Source'!B279&lt;&gt;"",'Data Source'!S279="A+"),IF('Data Source'!Z279&gt;=5,"A+",IF('Data Source'!Z279&gt;=4,"A",IF('Data Source'!Z279&gt;=3.5,"A-",IF('Data Source'!Z279&gt;=3,"B",IF('Data Source'!Z279&gt;=2,"C",IF('Data Source'!Z279&gt;=1,"D","F")))))),"")</f>
        <v/>
      </c>
      <c r="I279" s="3">
        <f>IF(AND('Data Source'!B279&lt;&gt;"",'Data Source'!S279="A+"),IF('Data Source'!AA279&gt;=5,"A+",IF('Data Source'!AA279&gt;=4,"A",IF('Data Source'!AA279&gt;=3.5,"A-",IF('Data Source'!AA279&gt;=3,"B",IF('Data Source'!AA279&gt;=2,"C",IF('Data Source'!AA279&gt;=1,"D","F")))))),"")</f>
        <v/>
      </c>
      <c r="J279" s="3">
        <f>IF(AND('Data Source'!B279&lt;&gt;"",'Data Source'!S279="A+"),IF('Data Source'!AB279&gt;=5,"A+",IF('Data Source'!AB279&gt;=4,"A",IF('Data Source'!AB279&gt;=3.5,"A-",IF('Data Source'!AB279&gt;=3,"B",IF('Data Source'!AB279&gt;=2,"C",IF('Data Source'!AB279&gt;=1,"D","F")))))),"")</f>
        <v/>
      </c>
      <c r="K279" s="3">
        <f>IF(AND('Data Source'!B279&lt;&gt;"",'Data Source'!S279="A+"),IF('Data Source'!AC279&gt;=5,"A+",IF('Data Source'!AC279&gt;=4,"A",IF('Data Source'!AC279&gt;=3.5,"A-",IF('Data Source'!AC279&gt;=3,"B",IF('Data Source'!AC279&gt;=2,"C",IF('Data Source'!AC279&gt;=1,"D","F")))))),"")</f>
        <v/>
      </c>
      <c r="L279" s="3">
        <f>IF(AND('Data Source'!B279&lt;&gt;"",'Data Source'!S279="A+"),IF('Data Source'!AD279&gt;=5,"A+",IF('Data Source'!AD279&gt;=4,"A",IF('Data Source'!AD279&gt;=3.5,"A-",IF('Data Source'!AD279&gt;=3,"B",IF('Data Source'!AD279&gt;=2,"C",IF('Data Source'!AD279&gt;=1,"D","F")))))),"")</f>
        <v/>
      </c>
      <c r="M279" s="3">
        <f>IF(AND('Data Source'!B279&lt;&gt;"",'Data Source'!S279="A+"),IF('Data Source'!AE279&gt;=5,"A+",IF('Data Source'!AE279&gt;=4,"A",IF('Data Source'!AE279&gt;=3.5,"A-",IF('Data Source'!AE279&gt;=3,"B",IF('Data Source'!AE279&gt;=2,"C",IF('Data Source'!AE279&gt;=1,"D","F")))))),"")</f>
        <v/>
      </c>
      <c r="N279" s="3">
        <f>IF(AND('Data Source'!B279&lt;&gt;"",'Data Source'!S279="A+"),IF('Data Source'!AF279&gt;=5,"A+",IF('Data Source'!AF279&gt;=4,"A",IF('Data Source'!AF279&gt;=3.5,"A-",IF('Data Source'!AF279&gt;=3,"B",IF('Data Source'!AF279&gt;=2,"C",IF('Data Source'!AF279&gt;=1,"D","F")))))),"")</f>
        <v/>
      </c>
      <c r="O279" s="3">
        <f>IF(AND('Data Source'!B279&lt;&gt;"",'Data Source'!S279="A+"),IF('Data Source'!AG279&gt;=5,"A+",IF('Data Source'!AG279&gt;=4,"A",IF('Data Source'!AG279&gt;=3.5,"A-",IF('Data Source'!AG279&gt;=3,"B",IF('Data Source'!AG279&gt;=2,"C",IF('Data Source'!AG279&gt;=1,"D","F")))))),"")</f>
        <v/>
      </c>
      <c r="P279" s="5">
        <f>IF(AND('Data Source'!B279&lt;&gt;"",'Data Source'!S279="A+"),'Data Source'!R279,"")</f>
        <v/>
      </c>
      <c r="Q279" s="3">
        <f>IF(AND('Data Source'!B279&lt;&gt;"",'Data Source'!S279="A+"),'Data Source'!S279,"")</f>
        <v/>
      </c>
    </row>
    <row r="280">
      <c r="A280" s="3">
        <f>IF(AND('Data Source'!B280&lt;&gt;"",'Data Source'!S280="A+"),COUNTIF('Data Source'!$S$3:S280,"A+"),"")</f>
        <v/>
      </c>
      <c r="B280">
        <f>IF(AND('Data Source'!B280&lt;&gt;"",'Data Source'!S280="A+"),'Data Source'!B280,"")</f>
        <v/>
      </c>
      <c r="C280" s="3">
        <f>IF(AND('Data Source'!B280&lt;&gt;"",'Data Source'!S280="A+"),IF('Data Source'!U280&gt;=5,"A+",IF('Data Source'!U280&gt;=4,"A",IF('Data Source'!U280&gt;=3.5,"A-",IF('Data Source'!U280&gt;=3,"B",IF('Data Source'!U280&gt;=2,"C",IF('Data Source'!U280&gt;=1,"D","F")))))),"")</f>
        <v/>
      </c>
      <c r="D280" s="3">
        <f>IF(AND('Data Source'!B280&lt;&gt;"",'Data Source'!S280="A+"),IF('Data Source'!V280&gt;=5,"A+",IF('Data Source'!V280&gt;=4,"A",IF('Data Source'!V280&gt;=3.5,"A-",IF('Data Source'!V280&gt;=3,"B",IF('Data Source'!V280&gt;=2,"C",IF('Data Source'!V280&gt;=1,"D","F")))))),"")</f>
        <v/>
      </c>
      <c r="E280" s="3">
        <f>IF(AND('Data Source'!B280&lt;&gt;"",'Data Source'!S280="A+"),IF('Data Source'!W280&gt;=5,"A+",IF('Data Source'!W280&gt;=4,"A",IF('Data Source'!W280&gt;=3.5,"A-",IF('Data Source'!W280&gt;=3,"B",IF('Data Source'!W280&gt;=2,"C",IF('Data Source'!W280&gt;=1,"D","F")))))),"")</f>
        <v/>
      </c>
      <c r="F280" s="3">
        <f>IF(AND('Data Source'!B280&lt;&gt;"",'Data Source'!S280="A+"),IF('Data Source'!X280&gt;=5,"A+",IF('Data Source'!X280&gt;=4,"A",IF('Data Source'!X280&gt;=3.5,"A-",IF('Data Source'!X280&gt;=3,"B",IF('Data Source'!X280&gt;=2,"C",IF('Data Source'!X280&gt;=1,"D","F")))))),"")</f>
        <v/>
      </c>
      <c r="G280" s="3">
        <f>IF(AND('Data Source'!B280&lt;&gt;"",'Data Source'!S280="A+"),IF('Data Source'!Y280&gt;=5,"A+",IF('Data Source'!Y280&gt;=4,"A",IF('Data Source'!Y280&gt;=3.5,"A-",IF('Data Source'!Y280&gt;=3,"B",IF('Data Source'!Y280&gt;=2,"C",IF('Data Source'!Y280&gt;=1,"D","F")))))),"")</f>
        <v/>
      </c>
      <c r="H280" s="3">
        <f>IF(AND('Data Source'!B280&lt;&gt;"",'Data Source'!S280="A+"),IF('Data Source'!Z280&gt;=5,"A+",IF('Data Source'!Z280&gt;=4,"A",IF('Data Source'!Z280&gt;=3.5,"A-",IF('Data Source'!Z280&gt;=3,"B",IF('Data Source'!Z280&gt;=2,"C",IF('Data Source'!Z280&gt;=1,"D","F")))))),"")</f>
        <v/>
      </c>
      <c r="I280" s="3">
        <f>IF(AND('Data Source'!B280&lt;&gt;"",'Data Source'!S280="A+"),IF('Data Source'!AA280&gt;=5,"A+",IF('Data Source'!AA280&gt;=4,"A",IF('Data Source'!AA280&gt;=3.5,"A-",IF('Data Source'!AA280&gt;=3,"B",IF('Data Source'!AA280&gt;=2,"C",IF('Data Source'!AA280&gt;=1,"D","F")))))),"")</f>
        <v/>
      </c>
      <c r="J280" s="3">
        <f>IF(AND('Data Source'!B280&lt;&gt;"",'Data Source'!S280="A+"),IF('Data Source'!AB280&gt;=5,"A+",IF('Data Source'!AB280&gt;=4,"A",IF('Data Source'!AB280&gt;=3.5,"A-",IF('Data Source'!AB280&gt;=3,"B",IF('Data Source'!AB280&gt;=2,"C",IF('Data Source'!AB280&gt;=1,"D","F")))))),"")</f>
        <v/>
      </c>
      <c r="K280" s="3">
        <f>IF(AND('Data Source'!B280&lt;&gt;"",'Data Source'!S280="A+"),IF('Data Source'!AC280&gt;=5,"A+",IF('Data Source'!AC280&gt;=4,"A",IF('Data Source'!AC280&gt;=3.5,"A-",IF('Data Source'!AC280&gt;=3,"B",IF('Data Source'!AC280&gt;=2,"C",IF('Data Source'!AC280&gt;=1,"D","F")))))),"")</f>
        <v/>
      </c>
      <c r="L280" s="3">
        <f>IF(AND('Data Source'!B280&lt;&gt;"",'Data Source'!S280="A+"),IF('Data Source'!AD280&gt;=5,"A+",IF('Data Source'!AD280&gt;=4,"A",IF('Data Source'!AD280&gt;=3.5,"A-",IF('Data Source'!AD280&gt;=3,"B",IF('Data Source'!AD280&gt;=2,"C",IF('Data Source'!AD280&gt;=1,"D","F")))))),"")</f>
        <v/>
      </c>
      <c r="M280" s="3">
        <f>IF(AND('Data Source'!B280&lt;&gt;"",'Data Source'!S280="A+"),IF('Data Source'!AE280&gt;=5,"A+",IF('Data Source'!AE280&gt;=4,"A",IF('Data Source'!AE280&gt;=3.5,"A-",IF('Data Source'!AE280&gt;=3,"B",IF('Data Source'!AE280&gt;=2,"C",IF('Data Source'!AE280&gt;=1,"D","F")))))),"")</f>
        <v/>
      </c>
      <c r="N280" s="3">
        <f>IF(AND('Data Source'!B280&lt;&gt;"",'Data Source'!S280="A+"),IF('Data Source'!AF280&gt;=5,"A+",IF('Data Source'!AF280&gt;=4,"A",IF('Data Source'!AF280&gt;=3.5,"A-",IF('Data Source'!AF280&gt;=3,"B",IF('Data Source'!AF280&gt;=2,"C",IF('Data Source'!AF280&gt;=1,"D","F")))))),"")</f>
        <v/>
      </c>
      <c r="O280" s="3">
        <f>IF(AND('Data Source'!B280&lt;&gt;"",'Data Source'!S280="A+"),IF('Data Source'!AG280&gt;=5,"A+",IF('Data Source'!AG280&gt;=4,"A",IF('Data Source'!AG280&gt;=3.5,"A-",IF('Data Source'!AG280&gt;=3,"B",IF('Data Source'!AG280&gt;=2,"C",IF('Data Source'!AG280&gt;=1,"D","F")))))),"")</f>
        <v/>
      </c>
      <c r="P280" s="5">
        <f>IF(AND('Data Source'!B280&lt;&gt;"",'Data Source'!S280="A+"),'Data Source'!R280,"")</f>
        <v/>
      </c>
      <c r="Q280" s="3">
        <f>IF(AND('Data Source'!B280&lt;&gt;"",'Data Source'!S280="A+"),'Data Source'!S280,"")</f>
        <v/>
      </c>
    </row>
    <row r="281">
      <c r="A281" s="3">
        <f>IF(AND('Data Source'!B281&lt;&gt;"",'Data Source'!S281="A+"),COUNTIF('Data Source'!$S$3:S281,"A+"),"")</f>
        <v/>
      </c>
      <c r="B281">
        <f>IF(AND('Data Source'!B281&lt;&gt;"",'Data Source'!S281="A+"),'Data Source'!B281,"")</f>
        <v/>
      </c>
      <c r="C281" s="3">
        <f>IF(AND('Data Source'!B281&lt;&gt;"",'Data Source'!S281="A+"),IF('Data Source'!U281&gt;=5,"A+",IF('Data Source'!U281&gt;=4,"A",IF('Data Source'!U281&gt;=3.5,"A-",IF('Data Source'!U281&gt;=3,"B",IF('Data Source'!U281&gt;=2,"C",IF('Data Source'!U281&gt;=1,"D","F")))))),"")</f>
        <v/>
      </c>
      <c r="D281" s="3">
        <f>IF(AND('Data Source'!B281&lt;&gt;"",'Data Source'!S281="A+"),IF('Data Source'!V281&gt;=5,"A+",IF('Data Source'!V281&gt;=4,"A",IF('Data Source'!V281&gt;=3.5,"A-",IF('Data Source'!V281&gt;=3,"B",IF('Data Source'!V281&gt;=2,"C",IF('Data Source'!V281&gt;=1,"D","F")))))),"")</f>
        <v/>
      </c>
      <c r="E281" s="3">
        <f>IF(AND('Data Source'!B281&lt;&gt;"",'Data Source'!S281="A+"),IF('Data Source'!W281&gt;=5,"A+",IF('Data Source'!W281&gt;=4,"A",IF('Data Source'!W281&gt;=3.5,"A-",IF('Data Source'!W281&gt;=3,"B",IF('Data Source'!W281&gt;=2,"C",IF('Data Source'!W281&gt;=1,"D","F")))))),"")</f>
        <v/>
      </c>
      <c r="F281" s="3">
        <f>IF(AND('Data Source'!B281&lt;&gt;"",'Data Source'!S281="A+"),IF('Data Source'!X281&gt;=5,"A+",IF('Data Source'!X281&gt;=4,"A",IF('Data Source'!X281&gt;=3.5,"A-",IF('Data Source'!X281&gt;=3,"B",IF('Data Source'!X281&gt;=2,"C",IF('Data Source'!X281&gt;=1,"D","F")))))),"")</f>
        <v/>
      </c>
      <c r="G281" s="3">
        <f>IF(AND('Data Source'!B281&lt;&gt;"",'Data Source'!S281="A+"),IF('Data Source'!Y281&gt;=5,"A+",IF('Data Source'!Y281&gt;=4,"A",IF('Data Source'!Y281&gt;=3.5,"A-",IF('Data Source'!Y281&gt;=3,"B",IF('Data Source'!Y281&gt;=2,"C",IF('Data Source'!Y281&gt;=1,"D","F")))))),"")</f>
        <v/>
      </c>
      <c r="H281" s="3">
        <f>IF(AND('Data Source'!B281&lt;&gt;"",'Data Source'!S281="A+"),IF('Data Source'!Z281&gt;=5,"A+",IF('Data Source'!Z281&gt;=4,"A",IF('Data Source'!Z281&gt;=3.5,"A-",IF('Data Source'!Z281&gt;=3,"B",IF('Data Source'!Z281&gt;=2,"C",IF('Data Source'!Z281&gt;=1,"D","F")))))),"")</f>
        <v/>
      </c>
      <c r="I281" s="3">
        <f>IF(AND('Data Source'!B281&lt;&gt;"",'Data Source'!S281="A+"),IF('Data Source'!AA281&gt;=5,"A+",IF('Data Source'!AA281&gt;=4,"A",IF('Data Source'!AA281&gt;=3.5,"A-",IF('Data Source'!AA281&gt;=3,"B",IF('Data Source'!AA281&gt;=2,"C",IF('Data Source'!AA281&gt;=1,"D","F")))))),"")</f>
        <v/>
      </c>
      <c r="J281" s="3">
        <f>IF(AND('Data Source'!B281&lt;&gt;"",'Data Source'!S281="A+"),IF('Data Source'!AB281&gt;=5,"A+",IF('Data Source'!AB281&gt;=4,"A",IF('Data Source'!AB281&gt;=3.5,"A-",IF('Data Source'!AB281&gt;=3,"B",IF('Data Source'!AB281&gt;=2,"C",IF('Data Source'!AB281&gt;=1,"D","F")))))),"")</f>
        <v/>
      </c>
      <c r="K281" s="3">
        <f>IF(AND('Data Source'!B281&lt;&gt;"",'Data Source'!S281="A+"),IF('Data Source'!AC281&gt;=5,"A+",IF('Data Source'!AC281&gt;=4,"A",IF('Data Source'!AC281&gt;=3.5,"A-",IF('Data Source'!AC281&gt;=3,"B",IF('Data Source'!AC281&gt;=2,"C",IF('Data Source'!AC281&gt;=1,"D","F")))))),"")</f>
        <v/>
      </c>
      <c r="L281" s="3">
        <f>IF(AND('Data Source'!B281&lt;&gt;"",'Data Source'!S281="A+"),IF('Data Source'!AD281&gt;=5,"A+",IF('Data Source'!AD281&gt;=4,"A",IF('Data Source'!AD281&gt;=3.5,"A-",IF('Data Source'!AD281&gt;=3,"B",IF('Data Source'!AD281&gt;=2,"C",IF('Data Source'!AD281&gt;=1,"D","F")))))),"")</f>
        <v/>
      </c>
      <c r="M281" s="3">
        <f>IF(AND('Data Source'!B281&lt;&gt;"",'Data Source'!S281="A+"),IF('Data Source'!AE281&gt;=5,"A+",IF('Data Source'!AE281&gt;=4,"A",IF('Data Source'!AE281&gt;=3.5,"A-",IF('Data Source'!AE281&gt;=3,"B",IF('Data Source'!AE281&gt;=2,"C",IF('Data Source'!AE281&gt;=1,"D","F")))))),"")</f>
        <v/>
      </c>
      <c r="N281" s="3">
        <f>IF(AND('Data Source'!B281&lt;&gt;"",'Data Source'!S281="A+"),IF('Data Source'!AF281&gt;=5,"A+",IF('Data Source'!AF281&gt;=4,"A",IF('Data Source'!AF281&gt;=3.5,"A-",IF('Data Source'!AF281&gt;=3,"B",IF('Data Source'!AF281&gt;=2,"C",IF('Data Source'!AF281&gt;=1,"D","F")))))),"")</f>
        <v/>
      </c>
      <c r="O281" s="3">
        <f>IF(AND('Data Source'!B281&lt;&gt;"",'Data Source'!S281="A+"),IF('Data Source'!AG281&gt;=5,"A+",IF('Data Source'!AG281&gt;=4,"A",IF('Data Source'!AG281&gt;=3.5,"A-",IF('Data Source'!AG281&gt;=3,"B",IF('Data Source'!AG281&gt;=2,"C",IF('Data Source'!AG281&gt;=1,"D","F")))))),"")</f>
        <v/>
      </c>
      <c r="P281" s="5">
        <f>IF(AND('Data Source'!B281&lt;&gt;"",'Data Source'!S281="A+"),'Data Source'!R281,"")</f>
        <v/>
      </c>
      <c r="Q281" s="3">
        <f>IF(AND('Data Source'!B281&lt;&gt;"",'Data Source'!S281="A+"),'Data Source'!S281,"")</f>
        <v/>
      </c>
    </row>
    <row r="282">
      <c r="A282" s="3">
        <f>IF(AND('Data Source'!B282&lt;&gt;"",'Data Source'!S282="A+"),COUNTIF('Data Source'!$S$3:S282,"A+"),"")</f>
        <v/>
      </c>
      <c r="B282">
        <f>IF(AND('Data Source'!B282&lt;&gt;"",'Data Source'!S282="A+"),'Data Source'!B282,"")</f>
        <v/>
      </c>
      <c r="C282" s="3">
        <f>IF(AND('Data Source'!B282&lt;&gt;"",'Data Source'!S282="A+"),IF('Data Source'!U282&gt;=5,"A+",IF('Data Source'!U282&gt;=4,"A",IF('Data Source'!U282&gt;=3.5,"A-",IF('Data Source'!U282&gt;=3,"B",IF('Data Source'!U282&gt;=2,"C",IF('Data Source'!U282&gt;=1,"D","F")))))),"")</f>
        <v/>
      </c>
      <c r="D282" s="3">
        <f>IF(AND('Data Source'!B282&lt;&gt;"",'Data Source'!S282="A+"),IF('Data Source'!V282&gt;=5,"A+",IF('Data Source'!V282&gt;=4,"A",IF('Data Source'!V282&gt;=3.5,"A-",IF('Data Source'!V282&gt;=3,"B",IF('Data Source'!V282&gt;=2,"C",IF('Data Source'!V282&gt;=1,"D","F")))))),"")</f>
        <v/>
      </c>
      <c r="E282" s="3">
        <f>IF(AND('Data Source'!B282&lt;&gt;"",'Data Source'!S282="A+"),IF('Data Source'!W282&gt;=5,"A+",IF('Data Source'!W282&gt;=4,"A",IF('Data Source'!W282&gt;=3.5,"A-",IF('Data Source'!W282&gt;=3,"B",IF('Data Source'!W282&gt;=2,"C",IF('Data Source'!W282&gt;=1,"D","F")))))),"")</f>
        <v/>
      </c>
      <c r="F282" s="3">
        <f>IF(AND('Data Source'!B282&lt;&gt;"",'Data Source'!S282="A+"),IF('Data Source'!X282&gt;=5,"A+",IF('Data Source'!X282&gt;=4,"A",IF('Data Source'!X282&gt;=3.5,"A-",IF('Data Source'!X282&gt;=3,"B",IF('Data Source'!X282&gt;=2,"C",IF('Data Source'!X282&gt;=1,"D","F")))))),"")</f>
        <v/>
      </c>
      <c r="G282" s="3">
        <f>IF(AND('Data Source'!B282&lt;&gt;"",'Data Source'!S282="A+"),IF('Data Source'!Y282&gt;=5,"A+",IF('Data Source'!Y282&gt;=4,"A",IF('Data Source'!Y282&gt;=3.5,"A-",IF('Data Source'!Y282&gt;=3,"B",IF('Data Source'!Y282&gt;=2,"C",IF('Data Source'!Y282&gt;=1,"D","F")))))),"")</f>
        <v/>
      </c>
      <c r="H282" s="3">
        <f>IF(AND('Data Source'!B282&lt;&gt;"",'Data Source'!S282="A+"),IF('Data Source'!Z282&gt;=5,"A+",IF('Data Source'!Z282&gt;=4,"A",IF('Data Source'!Z282&gt;=3.5,"A-",IF('Data Source'!Z282&gt;=3,"B",IF('Data Source'!Z282&gt;=2,"C",IF('Data Source'!Z282&gt;=1,"D","F")))))),"")</f>
        <v/>
      </c>
      <c r="I282" s="3">
        <f>IF(AND('Data Source'!B282&lt;&gt;"",'Data Source'!S282="A+"),IF('Data Source'!AA282&gt;=5,"A+",IF('Data Source'!AA282&gt;=4,"A",IF('Data Source'!AA282&gt;=3.5,"A-",IF('Data Source'!AA282&gt;=3,"B",IF('Data Source'!AA282&gt;=2,"C",IF('Data Source'!AA282&gt;=1,"D","F")))))),"")</f>
        <v/>
      </c>
      <c r="J282" s="3">
        <f>IF(AND('Data Source'!B282&lt;&gt;"",'Data Source'!S282="A+"),IF('Data Source'!AB282&gt;=5,"A+",IF('Data Source'!AB282&gt;=4,"A",IF('Data Source'!AB282&gt;=3.5,"A-",IF('Data Source'!AB282&gt;=3,"B",IF('Data Source'!AB282&gt;=2,"C",IF('Data Source'!AB282&gt;=1,"D","F")))))),"")</f>
        <v/>
      </c>
      <c r="K282" s="3">
        <f>IF(AND('Data Source'!B282&lt;&gt;"",'Data Source'!S282="A+"),IF('Data Source'!AC282&gt;=5,"A+",IF('Data Source'!AC282&gt;=4,"A",IF('Data Source'!AC282&gt;=3.5,"A-",IF('Data Source'!AC282&gt;=3,"B",IF('Data Source'!AC282&gt;=2,"C",IF('Data Source'!AC282&gt;=1,"D","F")))))),"")</f>
        <v/>
      </c>
      <c r="L282" s="3">
        <f>IF(AND('Data Source'!B282&lt;&gt;"",'Data Source'!S282="A+"),IF('Data Source'!AD282&gt;=5,"A+",IF('Data Source'!AD282&gt;=4,"A",IF('Data Source'!AD282&gt;=3.5,"A-",IF('Data Source'!AD282&gt;=3,"B",IF('Data Source'!AD282&gt;=2,"C",IF('Data Source'!AD282&gt;=1,"D","F")))))),"")</f>
        <v/>
      </c>
      <c r="M282" s="3">
        <f>IF(AND('Data Source'!B282&lt;&gt;"",'Data Source'!S282="A+"),IF('Data Source'!AE282&gt;=5,"A+",IF('Data Source'!AE282&gt;=4,"A",IF('Data Source'!AE282&gt;=3.5,"A-",IF('Data Source'!AE282&gt;=3,"B",IF('Data Source'!AE282&gt;=2,"C",IF('Data Source'!AE282&gt;=1,"D","F")))))),"")</f>
        <v/>
      </c>
      <c r="N282" s="3">
        <f>IF(AND('Data Source'!B282&lt;&gt;"",'Data Source'!S282="A+"),IF('Data Source'!AF282&gt;=5,"A+",IF('Data Source'!AF282&gt;=4,"A",IF('Data Source'!AF282&gt;=3.5,"A-",IF('Data Source'!AF282&gt;=3,"B",IF('Data Source'!AF282&gt;=2,"C",IF('Data Source'!AF282&gt;=1,"D","F")))))),"")</f>
        <v/>
      </c>
      <c r="O282" s="3">
        <f>IF(AND('Data Source'!B282&lt;&gt;"",'Data Source'!S282="A+"),IF('Data Source'!AG282&gt;=5,"A+",IF('Data Source'!AG282&gt;=4,"A",IF('Data Source'!AG282&gt;=3.5,"A-",IF('Data Source'!AG282&gt;=3,"B",IF('Data Source'!AG282&gt;=2,"C",IF('Data Source'!AG282&gt;=1,"D","F")))))),"")</f>
        <v/>
      </c>
      <c r="P282" s="5">
        <f>IF(AND('Data Source'!B282&lt;&gt;"",'Data Source'!S282="A+"),'Data Source'!R282,"")</f>
        <v/>
      </c>
      <c r="Q282" s="3">
        <f>IF(AND('Data Source'!B282&lt;&gt;"",'Data Source'!S282="A+"),'Data Source'!S282,"")</f>
        <v/>
      </c>
    </row>
    <row r="283">
      <c r="A283" s="3">
        <f>IF(AND('Data Source'!B283&lt;&gt;"",'Data Source'!S283="A+"),COUNTIF('Data Source'!$S$3:S283,"A+"),"")</f>
        <v/>
      </c>
      <c r="B283">
        <f>IF(AND('Data Source'!B283&lt;&gt;"",'Data Source'!S283="A+"),'Data Source'!B283,"")</f>
        <v/>
      </c>
      <c r="C283" s="3">
        <f>IF(AND('Data Source'!B283&lt;&gt;"",'Data Source'!S283="A+"),IF('Data Source'!U283&gt;=5,"A+",IF('Data Source'!U283&gt;=4,"A",IF('Data Source'!U283&gt;=3.5,"A-",IF('Data Source'!U283&gt;=3,"B",IF('Data Source'!U283&gt;=2,"C",IF('Data Source'!U283&gt;=1,"D","F")))))),"")</f>
        <v/>
      </c>
      <c r="D283" s="3">
        <f>IF(AND('Data Source'!B283&lt;&gt;"",'Data Source'!S283="A+"),IF('Data Source'!V283&gt;=5,"A+",IF('Data Source'!V283&gt;=4,"A",IF('Data Source'!V283&gt;=3.5,"A-",IF('Data Source'!V283&gt;=3,"B",IF('Data Source'!V283&gt;=2,"C",IF('Data Source'!V283&gt;=1,"D","F")))))),"")</f>
        <v/>
      </c>
      <c r="E283" s="3">
        <f>IF(AND('Data Source'!B283&lt;&gt;"",'Data Source'!S283="A+"),IF('Data Source'!W283&gt;=5,"A+",IF('Data Source'!W283&gt;=4,"A",IF('Data Source'!W283&gt;=3.5,"A-",IF('Data Source'!W283&gt;=3,"B",IF('Data Source'!W283&gt;=2,"C",IF('Data Source'!W283&gt;=1,"D","F")))))),"")</f>
        <v/>
      </c>
      <c r="F283" s="3">
        <f>IF(AND('Data Source'!B283&lt;&gt;"",'Data Source'!S283="A+"),IF('Data Source'!X283&gt;=5,"A+",IF('Data Source'!X283&gt;=4,"A",IF('Data Source'!X283&gt;=3.5,"A-",IF('Data Source'!X283&gt;=3,"B",IF('Data Source'!X283&gt;=2,"C",IF('Data Source'!X283&gt;=1,"D","F")))))),"")</f>
        <v/>
      </c>
      <c r="G283" s="3">
        <f>IF(AND('Data Source'!B283&lt;&gt;"",'Data Source'!S283="A+"),IF('Data Source'!Y283&gt;=5,"A+",IF('Data Source'!Y283&gt;=4,"A",IF('Data Source'!Y283&gt;=3.5,"A-",IF('Data Source'!Y283&gt;=3,"B",IF('Data Source'!Y283&gt;=2,"C",IF('Data Source'!Y283&gt;=1,"D","F")))))),"")</f>
        <v/>
      </c>
      <c r="H283" s="3">
        <f>IF(AND('Data Source'!B283&lt;&gt;"",'Data Source'!S283="A+"),IF('Data Source'!Z283&gt;=5,"A+",IF('Data Source'!Z283&gt;=4,"A",IF('Data Source'!Z283&gt;=3.5,"A-",IF('Data Source'!Z283&gt;=3,"B",IF('Data Source'!Z283&gt;=2,"C",IF('Data Source'!Z283&gt;=1,"D","F")))))),"")</f>
        <v/>
      </c>
      <c r="I283" s="3">
        <f>IF(AND('Data Source'!B283&lt;&gt;"",'Data Source'!S283="A+"),IF('Data Source'!AA283&gt;=5,"A+",IF('Data Source'!AA283&gt;=4,"A",IF('Data Source'!AA283&gt;=3.5,"A-",IF('Data Source'!AA283&gt;=3,"B",IF('Data Source'!AA283&gt;=2,"C",IF('Data Source'!AA283&gt;=1,"D","F")))))),"")</f>
        <v/>
      </c>
      <c r="J283" s="3">
        <f>IF(AND('Data Source'!B283&lt;&gt;"",'Data Source'!S283="A+"),IF('Data Source'!AB283&gt;=5,"A+",IF('Data Source'!AB283&gt;=4,"A",IF('Data Source'!AB283&gt;=3.5,"A-",IF('Data Source'!AB283&gt;=3,"B",IF('Data Source'!AB283&gt;=2,"C",IF('Data Source'!AB283&gt;=1,"D","F")))))),"")</f>
        <v/>
      </c>
      <c r="K283" s="3">
        <f>IF(AND('Data Source'!B283&lt;&gt;"",'Data Source'!S283="A+"),IF('Data Source'!AC283&gt;=5,"A+",IF('Data Source'!AC283&gt;=4,"A",IF('Data Source'!AC283&gt;=3.5,"A-",IF('Data Source'!AC283&gt;=3,"B",IF('Data Source'!AC283&gt;=2,"C",IF('Data Source'!AC283&gt;=1,"D","F")))))),"")</f>
        <v/>
      </c>
      <c r="L283" s="3">
        <f>IF(AND('Data Source'!B283&lt;&gt;"",'Data Source'!S283="A+"),IF('Data Source'!AD283&gt;=5,"A+",IF('Data Source'!AD283&gt;=4,"A",IF('Data Source'!AD283&gt;=3.5,"A-",IF('Data Source'!AD283&gt;=3,"B",IF('Data Source'!AD283&gt;=2,"C",IF('Data Source'!AD283&gt;=1,"D","F")))))),"")</f>
        <v/>
      </c>
      <c r="M283" s="3">
        <f>IF(AND('Data Source'!B283&lt;&gt;"",'Data Source'!S283="A+"),IF('Data Source'!AE283&gt;=5,"A+",IF('Data Source'!AE283&gt;=4,"A",IF('Data Source'!AE283&gt;=3.5,"A-",IF('Data Source'!AE283&gt;=3,"B",IF('Data Source'!AE283&gt;=2,"C",IF('Data Source'!AE283&gt;=1,"D","F")))))),"")</f>
        <v/>
      </c>
      <c r="N283" s="3">
        <f>IF(AND('Data Source'!B283&lt;&gt;"",'Data Source'!S283="A+"),IF('Data Source'!AF283&gt;=5,"A+",IF('Data Source'!AF283&gt;=4,"A",IF('Data Source'!AF283&gt;=3.5,"A-",IF('Data Source'!AF283&gt;=3,"B",IF('Data Source'!AF283&gt;=2,"C",IF('Data Source'!AF283&gt;=1,"D","F")))))),"")</f>
        <v/>
      </c>
      <c r="O283" s="3">
        <f>IF(AND('Data Source'!B283&lt;&gt;"",'Data Source'!S283="A+"),IF('Data Source'!AG283&gt;=5,"A+",IF('Data Source'!AG283&gt;=4,"A",IF('Data Source'!AG283&gt;=3.5,"A-",IF('Data Source'!AG283&gt;=3,"B",IF('Data Source'!AG283&gt;=2,"C",IF('Data Source'!AG283&gt;=1,"D","F")))))),"")</f>
        <v/>
      </c>
      <c r="P283" s="5">
        <f>IF(AND('Data Source'!B283&lt;&gt;"",'Data Source'!S283="A+"),'Data Source'!R283,"")</f>
        <v/>
      </c>
      <c r="Q283" s="3">
        <f>IF(AND('Data Source'!B283&lt;&gt;"",'Data Source'!S283="A+"),'Data Source'!S283,"")</f>
        <v/>
      </c>
    </row>
    <row r="284">
      <c r="A284" s="3">
        <f>IF(AND('Data Source'!B284&lt;&gt;"",'Data Source'!S284="A+"),COUNTIF('Data Source'!$S$3:S284,"A+"),"")</f>
        <v/>
      </c>
      <c r="B284">
        <f>IF(AND('Data Source'!B284&lt;&gt;"",'Data Source'!S284="A+"),'Data Source'!B284,"")</f>
        <v/>
      </c>
      <c r="C284" s="3">
        <f>IF(AND('Data Source'!B284&lt;&gt;"",'Data Source'!S284="A+"),IF('Data Source'!U284&gt;=5,"A+",IF('Data Source'!U284&gt;=4,"A",IF('Data Source'!U284&gt;=3.5,"A-",IF('Data Source'!U284&gt;=3,"B",IF('Data Source'!U284&gt;=2,"C",IF('Data Source'!U284&gt;=1,"D","F")))))),"")</f>
        <v/>
      </c>
      <c r="D284" s="3">
        <f>IF(AND('Data Source'!B284&lt;&gt;"",'Data Source'!S284="A+"),IF('Data Source'!V284&gt;=5,"A+",IF('Data Source'!V284&gt;=4,"A",IF('Data Source'!V284&gt;=3.5,"A-",IF('Data Source'!V284&gt;=3,"B",IF('Data Source'!V284&gt;=2,"C",IF('Data Source'!V284&gt;=1,"D","F")))))),"")</f>
        <v/>
      </c>
      <c r="E284" s="3">
        <f>IF(AND('Data Source'!B284&lt;&gt;"",'Data Source'!S284="A+"),IF('Data Source'!W284&gt;=5,"A+",IF('Data Source'!W284&gt;=4,"A",IF('Data Source'!W284&gt;=3.5,"A-",IF('Data Source'!W284&gt;=3,"B",IF('Data Source'!W284&gt;=2,"C",IF('Data Source'!W284&gt;=1,"D","F")))))),"")</f>
        <v/>
      </c>
      <c r="F284" s="3">
        <f>IF(AND('Data Source'!B284&lt;&gt;"",'Data Source'!S284="A+"),IF('Data Source'!X284&gt;=5,"A+",IF('Data Source'!X284&gt;=4,"A",IF('Data Source'!X284&gt;=3.5,"A-",IF('Data Source'!X284&gt;=3,"B",IF('Data Source'!X284&gt;=2,"C",IF('Data Source'!X284&gt;=1,"D","F")))))),"")</f>
        <v/>
      </c>
      <c r="G284" s="3">
        <f>IF(AND('Data Source'!B284&lt;&gt;"",'Data Source'!S284="A+"),IF('Data Source'!Y284&gt;=5,"A+",IF('Data Source'!Y284&gt;=4,"A",IF('Data Source'!Y284&gt;=3.5,"A-",IF('Data Source'!Y284&gt;=3,"B",IF('Data Source'!Y284&gt;=2,"C",IF('Data Source'!Y284&gt;=1,"D","F")))))),"")</f>
        <v/>
      </c>
      <c r="H284" s="3">
        <f>IF(AND('Data Source'!B284&lt;&gt;"",'Data Source'!S284="A+"),IF('Data Source'!Z284&gt;=5,"A+",IF('Data Source'!Z284&gt;=4,"A",IF('Data Source'!Z284&gt;=3.5,"A-",IF('Data Source'!Z284&gt;=3,"B",IF('Data Source'!Z284&gt;=2,"C",IF('Data Source'!Z284&gt;=1,"D","F")))))),"")</f>
        <v/>
      </c>
      <c r="I284" s="3">
        <f>IF(AND('Data Source'!B284&lt;&gt;"",'Data Source'!S284="A+"),IF('Data Source'!AA284&gt;=5,"A+",IF('Data Source'!AA284&gt;=4,"A",IF('Data Source'!AA284&gt;=3.5,"A-",IF('Data Source'!AA284&gt;=3,"B",IF('Data Source'!AA284&gt;=2,"C",IF('Data Source'!AA284&gt;=1,"D","F")))))),"")</f>
        <v/>
      </c>
      <c r="J284" s="3">
        <f>IF(AND('Data Source'!B284&lt;&gt;"",'Data Source'!S284="A+"),IF('Data Source'!AB284&gt;=5,"A+",IF('Data Source'!AB284&gt;=4,"A",IF('Data Source'!AB284&gt;=3.5,"A-",IF('Data Source'!AB284&gt;=3,"B",IF('Data Source'!AB284&gt;=2,"C",IF('Data Source'!AB284&gt;=1,"D","F")))))),"")</f>
        <v/>
      </c>
      <c r="K284" s="3">
        <f>IF(AND('Data Source'!B284&lt;&gt;"",'Data Source'!S284="A+"),IF('Data Source'!AC284&gt;=5,"A+",IF('Data Source'!AC284&gt;=4,"A",IF('Data Source'!AC284&gt;=3.5,"A-",IF('Data Source'!AC284&gt;=3,"B",IF('Data Source'!AC284&gt;=2,"C",IF('Data Source'!AC284&gt;=1,"D","F")))))),"")</f>
        <v/>
      </c>
      <c r="L284" s="3">
        <f>IF(AND('Data Source'!B284&lt;&gt;"",'Data Source'!S284="A+"),IF('Data Source'!AD284&gt;=5,"A+",IF('Data Source'!AD284&gt;=4,"A",IF('Data Source'!AD284&gt;=3.5,"A-",IF('Data Source'!AD284&gt;=3,"B",IF('Data Source'!AD284&gt;=2,"C",IF('Data Source'!AD284&gt;=1,"D","F")))))),"")</f>
        <v/>
      </c>
      <c r="M284" s="3">
        <f>IF(AND('Data Source'!B284&lt;&gt;"",'Data Source'!S284="A+"),IF('Data Source'!AE284&gt;=5,"A+",IF('Data Source'!AE284&gt;=4,"A",IF('Data Source'!AE284&gt;=3.5,"A-",IF('Data Source'!AE284&gt;=3,"B",IF('Data Source'!AE284&gt;=2,"C",IF('Data Source'!AE284&gt;=1,"D","F")))))),"")</f>
        <v/>
      </c>
      <c r="N284" s="3">
        <f>IF(AND('Data Source'!B284&lt;&gt;"",'Data Source'!S284="A+"),IF('Data Source'!AF284&gt;=5,"A+",IF('Data Source'!AF284&gt;=4,"A",IF('Data Source'!AF284&gt;=3.5,"A-",IF('Data Source'!AF284&gt;=3,"B",IF('Data Source'!AF284&gt;=2,"C",IF('Data Source'!AF284&gt;=1,"D","F")))))),"")</f>
        <v/>
      </c>
      <c r="O284" s="3">
        <f>IF(AND('Data Source'!B284&lt;&gt;"",'Data Source'!S284="A+"),IF('Data Source'!AG284&gt;=5,"A+",IF('Data Source'!AG284&gt;=4,"A",IF('Data Source'!AG284&gt;=3.5,"A-",IF('Data Source'!AG284&gt;=3,"B",IF('Data Source'!AG284&gt;=2,"C",IF('Data Source'!AG284&gt;=1,"D","F")))))),"")</f>
        <v/>
      </c>
      <c r="P284" s="5">
        <f>IF(AND('Data Source'!B284&lt;&gt;"",'Data Source'!S284="A+"),'Data Source'!R284,"")</f>
        <v/>
      </c>
      <c r="Q284" s="3">
        <f>IF(AND('Data Source'!B284&lt;&gt;"",'Data Source'!S284="A+"),'Data Source'!S284,"")</f>
        <v/>
      </c>
    </row>
    <row r="285">
      <c r="A285" s="3">
        <f>IF(AND('Data Source'!B285&lt;&gt;"",'Data Source'!S285="A+"),COUNTIF('Data Source'!$S$3:S285,"A+"),"")</f>
        <v/>
      </c>
      <c r="B285">
        <f>IF(AND('Data Source'!B285&lt;&gt;"",'Data Source'!S285="A+"),'Data Source'!B285,"")</f>
        <v/>
      </c>
      <c r="C285" s="3">
        <f>IF(AND('Data Source'!B285&lt;&gt;"",'Data Source'!S285="A+"),IF('Data Source'!U285&gt;=5,"A+",IF('Data Source'!U285&gt;=4,"A",IF('Data Source'!U285&gt;=3.5,"A-",IF('Data Source'!U285&gt;=3,"B",IF('Data Source'!U285&gt;=2,"C",IF('Data Source'!U285&gt;=1,"D","F")))))),"")</f>
        <v/>
      </c>
      <c r="D285" s="3">
        <f>IF(AND('Data Source'!B285&lt;&gt;"",'Data Source'!S285="A+"),IF('Data Source'!V285&gt;=5,"A+",IF('Data Source'!V285&gt;=4,"A",IF('Data Source'!V285&gt;=3.5,"A-",IF('Data Source'!V285&gt;=3,"B",IF('Data Source'!V285&gt;=2,"C",IF('Data Source'!V285&gt;=1,"D","F")))))),"")</f>
        <v/>
      </c>
      <c r="E285" s="3">
        <f>IF(AND('Data Source'!B285&lt;&gt;"",'Data Source'!S285="A+"),IF('Data Source'!W285&gt;=5,"A+",IF('Data Source'!W285&gt;=4,"A",IF('Data Source'!W285&gt;=3.5,"A-",IF('Data Source'!W285&gt;=3,"B",IF('Data Source'!W285&gt;=2,"C",IF('Data Source'!W285&gt;=1,"D","F")))))),"")</f>
        <v/>
      </c>
      <c r="F285" s="3">
        <f>IF(AND('Data Source'!B285&lt;&gt;"",'Data Source'!S285="A+"),IF('Data Source'!X285&gt;=5,"A+",IF('Data Source'!X285&gt;=4,"A",IF('Data Source'!X285&gt;=3.5,"A-",IF('Data Source'!X285&gt;=3,"B",IF('Data Source'!X285&gt;=2,"C",IF('Data Source'!X285&gt;=1,"D","F")))))),"")</f>
        <v/>
      </c>
      <c r="G285" s="3">
        <f>IF(AND('Data Source'!B285&lt;&gt;"",'Data Source'!S285="A+"),IF('Data Source'!Y285&gt;=5,"A+",IF('Data Source'!Y285&gt;=4,"A",IF('Data Source'!Y285&gt;=3.5,"A-",IF('Data Source'!Y285&gt;=3,"B",IF('Data Source'!Y285&gt;=2,"C",IF('Data Source'!Y285&gt;=1,"D","F")))))),"")</f>
        <v/>
      </c>
      <c r="H285" s="3">
        <f>IF(AND('Data Source'!B285&lt;&gt;"",'Data Source'!S285="A+"),IF('Data Source'!Z285&gt;=5,"A+",IF('Data Source'!Z285&gt;=4,"A",IF('Data Source'!Z285&gt;=3.5,"A-",IF('Data Source'!Z285&gt;=3,"B",IF('Data Source'!Z285&gt;=2,"C",IF('Data Source'!Z285&gt;=1,"D","F")))))),"")</f>
        <v/>
      </c>
      <c r="I285" s="3">
        <f>IF(AND('Data Source'!B285&lt;&gt;"",'Data Source'!S285="A+"),IF('Data Source'!AA285&gt;=5,"A+",IF('Data Source'!AA285&gt;=4,"A",IF('Data Source'!AA285&gt;=3.5,"A-",IF('Data Source'!AA285&gt;=3,"B",IF('Data Source'!AA285&gt;=2,"C",IF('Data Source'!AA285&gt;=1,"D","F")))))),"")</f>
        <v/>
      </c>
      <c r="J285" s="3">
        <f>IF(AND('Data Source'!B285&lt;&gt;"",'Data Source'!S285="A+"),IF('Data Source'!AB285&gt;=5,"A+",IF('Data Source'!AB285&gt;=4,"A",IF('Data Source'!AB285&gt;=3.5,"A-",IF('Data Source'!AB285&gt;=3,"B",IF('Data Source'!AB285&gt;=2,"C",IF('Data Source'!AB285&gt;=1,"D","F")))))),"")</f>
        <v/>
      </c>
      <c r="K285" s="3">
        <f>IF(AND('Data Source'!B285&lt;&gt;"",'Data Source'!S285="A+"),IF('Data Source'!AC285&gt;=5,"A+",IF('Data Source'!AC285&gt;=4,"A",IF('Data Source'!AC285&gt;=3.5,"A-",IF('Data Source'!AC285&gt;=3,"B",IF('Data Source'!AC285&gt;=2,"C",IF('Data Source'!AC285&gt;=1,"D","F")))))),"")</f>
        <v/>
      </c>
      <c r="L285" s="3">
        <f>IF(AND('Data Source'!B285&lt;&gt;"",'Data Source'!S285="A+"),IF('Data Source'!AD285&gt;=5,"A+",IF('Data Source'!AD285&gt;=4,"A",IF('Data Source'!AD285&gt;=3.5,"A-",IF('Data Source'!AD285&gt;=3,"B",IF('Data Source'!AD285&gt;=2,"C",IF('Data Source'!AD285&gt;=1,"D","F")))))),"")</f>
        <v/>
      </c>
      <c r="M285" s="3">
        <f>IF(AND('Data Source'!B285&lt;&gt;"",'Data Source'!S285="A+"),IF('Data Source'!AE285&gt;=5,"A+",IF('Data Source'!AE285&gt;=4,"A",IF('Data Source'!AE285&gt;=3.5,"A-",IF('Data Source'!AE285&gt;=3,"B",IF('Data Source'!AE285&gt;=2,"C",IF('Data Source'!AE285&gt;=1,"D","F")))))),"")</f>
        <v/>
      </c>
      <c r="N285" s="3">
        <f>IF(AND('Data Source'!B285&lt;&gt;"",'Data Source'!S285="A+"),IF('Data Source'!AF285&gt;=5,"A+",IF('Data Source'!AF285&gt;=4,"A",IF('Data Source'!AF285&gt;=3.5,"A-",IF('Data Source'!AF285&gt;=3,"B",IF('Data Source'!AF285&gt;=2,"C",IF('Data Source'!AF285&gt;=1,"D","F")))))),"")</f>
        <v/>
      </c>
      <c r="O285" s="3">
        <f>IF(AND('Data Source'!B285&lt;&gt;"",'Data Source'!S285="A+"),IF('Data Source'!AG285&gt;=5,"A+",IF('Data Source'!AG285&gt;=4,"A",IF('Data Source'!AG285&gt;=3.5,"A-",IF('Data Source'!AG285&gt;=3,"B",IF('Data Source'!AG285&gt;=2,"C",IF('Data Source'!AG285&gt;=1,"D","F")))))),"")</f>
        <v/>
      </c>
      <c r="P285" s="5">
        <f>IF(AND('Data Source'!B285&lt;&gt;"",'Data Source'!S285="A+"),'Data Source'!R285,"")</f>
        <v/>
      </c>
      <c r="Q285" s="3">
        <f>IF(AND('Data Source'!B285&lt;&gt;"",'Data Source'!S285="A+"),'Data Source'!S285,"")</f>
        <v/>
      </c>
    </row>
    <row r="286">
      <c r="A286" s="3">
        <f>IF(AND('Data Source'!B286&lt;&gt;"",'Data Source'!S286="A+"),COUNTIF('Data Source'!$S$3:S286,"A+"),"")</f>
        <v/>
      </c>
      <c r="B286">
        <f>IF(AND('Data Source'!B286&lt;&gt;"",'Data Source'!S286="A+"),'Data Source'!B286,"")</f>
        <v/>
      </c>
      <c r="C286" s="3">
        <f>IF(AND('Data Source'!B286&lt;&gt;"",'Data Source'!S286="A+"),IF('Data Source'!U286&gt;=5,"A+",IF('Data Source'!U286&gt;=4,"A",IF('Data Source'!U286&gt;=3.5,"A-",IF('Data Source'!U286&gt;=3,"B",IF('Data Source'!U286&gt;=2,"C",IF('Data Source'!U286&gt;=1,"D","F")))))),"")</f>
        <v/>
      </c>
      <c r="D286" s="3">
        <f>IF(AND('Data Source'!B286&lt;&gt;"",'Data Source'!S286="A+"),IF('Data Source'!V286&gt;=5,"A+",IF('Data Source'!V286&gt;=4,"A",IF('Data Source'!V286&gt;=3.5,"A-",IF('Data Source'!V286&gt;=3,"B",IF('Data Source'!V286&gt;=2,"C",IF('Data Source'!V286&gt;=1,"D","F")))))),"")</f>
        <v/>
      </c>
      <c r="E286" s="3">
        <f>IF(AND('Data Source'!B286&lt;&gt;"",'Data Source'!S286="A+"),IF('Data Source'!W286&gt;=5,"A+",IF('Data Source'!W286&gt;=4,"A",IF('Data Source'!W286&gt;=3.5,"A-",IF('Data Source'!W286&gt;=3,"B",IF('Data Source'!W286&gt;=2,"C",IF('Data Source'!W286&gt;=1,"D","F")))))),"")</f>
        <v/>
      </c>
      <c r="F286" s="3">
        <f>IF(AND('Data Source'!B286&lt;&gt;"",'Data Source'!S286="A+"),IF('Data Source'!X286&gt;=5,"A+",IF('Data Source'!X286&gt;=4,"A",IF('Data Source'!X286&gt;=3.5,"A-",IF('Data Source'!X286&gt;=3,"B",IF('Data Source'!X286&gt;=2,"C",IF('Data Source'!X286&gt;=1,"D","F")))))),"")</f>
        <v/>
      </c>
      <c r="G286" s="3">
        <f>IF(AND('Data Source'!B286&lt;&gt;"",'Data Source'!S286="A+"),IF('Data Source'!Y286&gt;=5,"A+",IF('Data Source'!Y286&gt;=4,"A",IF('Data Source'!Y286&gt;=3.5,"A-",IF('Data Source'!Y286&gt;=3,"B",IF('Data Source'!Y286&gt;=2,"C",IF('Data Source'!Y286&gt;=1,"D","F")))))),"")</f>
        <v/>
      </c>
      <c r="H286" s="3">
        <f>IF(AND('Data Source'!B286&lt;&gt;"",'Data Source'!S286="A+"),IF('Data Source'!Z286&gt;=5,"A+",IF('Data Source'!Z286&gt;=4,"A",IF('Data Source'!Z286&gt;=3.5,"A-",IF('Data Source'!Z286&gt;=3,"B",IF('Data Source'!Z286&gt;=2,"C",IF('Data Source'!Z286&gt;=1,"D","F")))))),"")</f>
        <v/>
      </c>
      <c r="I286" s="3">
        <f>IF(AND('Data Source'!B286&lt;&gt;"",'Data Source'!S286="A+"),IF('Data Source'!AA286&gt;=5,"A+",IF('Data Source'!AA286&gt;=4,"A",IF('Data Source'!AA286&gt;=3.5,"A-",IF('Data Source'!AA286&gt;=3,"B",IF('Data Source'!AA286&gt;=2,"C",IF('Data Source'!AA286&gt;=1,"D","F")))))),"")</f>
        <v/>
      </c>
      <c r="J286" s="3">
        <f>IF(AND('Data Source'!B286&lt;&gt;"",'Data Source'!S286="A+"),IF('Data Source'!AB286&gt;=5,"A+",IF('Data Source'!AB286&gt;=4,"A",IF('Data Source'!AB286&gt;=3.5,"A-",IF('Data Source'!AB286&gt;=3,"B",IF('Data Source'!AB286&gt;=2,"C",IF('Data Source'!AB286&gt;=1,"D","F")))))),"")</f>
        <v/>
      </c>
      <c r="K286" s="3">
        <f>IF(AND('Data Source'!B286&lt;&gt;"",'Data Source'!S286="A+"),IF('Data Source'!AC286&gt;=5,"A+",IF('Data Source'!AC286&gt;=4,"A",IF('Data Source'!AC286&gt;=3.5,"A-",IF('Data Source'!AC286&gt;=3,"B",IF('Data Source'!AC286&gt;=2,"C",IF('Data Source'!AC286&gt;=1,"D","F")))))),"")</f>
        <v/>
      </c>
      <c r="L286" s="3">
        <f>IF(AND('Data Source'!B286&lt;&gt;"",'Data Source'!S286="A+"),IF('Data Source'!AD286&gt;=5,"A+",IF('Data Source'!AD286&gt;=4,"A",IF('Data Source'!AD286&gt;=3.5,"A-",IF('Data Source'!AD286&gt;=3,"B",IF('Data Source'!AD286&gt;=2,"C",IF('Data Source'!AD286&gt;=1,"D","F")))))),"")</f>
        <v/>
      </c>
      <c r="M286" s="3">
        <f>IF(AND('Data Source'!B286&lt;&gt;"",'Data Source'!S286="A+"),IF('Data Source'!AE286&gt;=5,"A+",IF('Data Source'!AE286&gt;=4,"A",IF('Data Source'!AE286&gt;=3.5,"A-",IF('Data Source'!AE286&gt;=3,"B",IF('Data Source'!AE286&gt;=2,"C",IF('Data Source'!AE286&gt;=1,"D","F")))))),"")</f>
        <v/>
      </c>
      <c r="N286" s="3">
        <f>IF(AND('Data Source'!B286&lt;&gt;"",'Data Source'!S286="A+"),IF('Data Source'!AF286&gt;=5,"A+",IF('Data Source'!AF286&gt;=4,"A",IF('Data Source'!AF286&gt;=3.5,"A-",IF('Data Source'!AF286&gt;=3,"B",IF('Data Source'!AF286&gt;=2,"C",IF('Data Source'!AF286&gt;=1,"D","F")))))),"")</f>
        <v/>
      </c>
      <c r="O286" s="3">
        <f>IF(AND('Data Source'!B286&lt;&gt;"",'Data Source'!S286="A+"),IF('Data Source'!AG286&gt;=5,"A+",IF('Data Source'!AG286&gt;=4,"A",IF('Data Source'!AG286&gt;=3.5,"A-",IF('Data Source'!AG286&gt;=3,"B",IF('Data Source'!AG286&gt;=2,"C",IF('Data Source'!AG286&gt;=1,"D","F")))))),"")</f>
        <v/>
      </c>
      <c r="P286" s="5">
        <f>IF(AND('Data Source'!B286&lt;&gt;"",'Data Source'!S286="A+"),'Data Source'!R286,"")</f>
        <v/>
      </c>
      <c r="Q286" s="3">
        <f>IF(AND('Data Source'!B286&lt;&gt;"",'Data Source'!S286="A+"),'Data Source'!S286,"")</f>
        <v/>
      </c>
    </row>
    <row r="287">
      <c r="A287" s="3">
        <f>IF(AND('Data Source'!B287&lt;&gt;"",'Data Source'!S287="A+"),COUNTIF('Data Source'!$S$3:S287,"A+"),"")</f>
        <v/>
      </c>
      <c r="B287">
        <f>IF(AND('Data Source'!B287&lt;&gt;"",'Data Source'!S287="A+"),'Data Source'!B287,"")</f>
        <v/>
      </c>
      <c r="C287" s="3">
        <f>IF(AND('Data Source'!B287&lt;&gt;"",'Data Source'!S287="A+"),IF('Data Source'!U287&gt;=5,"A+",IF('Data Source'!U287&gt;=4,"A",IF('Data Source'!U287&gt;=3.5,"A-",IF('Data Source'!U287&gt;=3,"B",IF('Data Source'!U287&gt;=2,"C",IF('Data Source'!U287&gt;=1,"D","F")))))),"")</f>
        <v/>
      </c>
      <c r="D287" s="3">
        <f>IF(AND('Data Source'!B287&lt;&gt;"",'Data Source'!S287="A+"),IF('Data Source'!V287&gt;=5,"A+",IF('Data Source'!V287&gt;=4,"A",IF('Data Source'!V287&gt;=3.5,"A-",IF('Data Source'!V287&gt;=3,"B",IF('Data Source'!V287&gt;=2,"C",IF('Data Source'!V287&gt;=1,"D","F")))))),"")</f>
        <v/>
      </c>
      <c r="E287" s="3">
        <f>IF(AND('Data Source'!B287&lt;&gt;"",'Data Source'!S287="A+"),IF('Data Source'!W287&gt;=5,"A+",IF('Data Source'!W287&gt;=4,"A",IF('Data Source'!W287&gt;=3.5,"A-",IF('Data Source'!W287&gt;=3,"B",IF('Data Source'!W287&gt;=2,"C",IF('Data Source'!W287&gt;=1,"D","F")))))),"")</f>
        <v/>
      </c>
      <c r="F287" s="3">
        <f>IF(AND('Data Source'!B287&lt;&gt;"",'Data Source'!S287="A+"),IF('Data Source'!X287&gt;=5,"A+",IF('Data Source'!X287&gt;=4,"A",IF('Data Source'!X287&gt;=3.5,"A-",IF('Data Source'!X287&gt;=3,"B",IF('Data Source'!X287&gt;=2,"C",IF('Data Source'!X287&gt;=1,"D","F")))))),"")</f>
        <v/>
      </c>
      <c r="G287" s="3">
        <f>IF(AND('Data Source'!B287&lt;&gt;"",'Data Source'!S287="A+"),IF('Data Source'!Y287&gt;=5,"A+",IF('Data Source'!Y287&gt;=4,"A",IF('Data Source'!Y287&gt;=3.5,"A-",IF('Data Source'!Y287&gt;=3,"B",IF('Data Source'!Y287&gt;=2,"C",IF('Data Source'!Y287&gt;=1,"D","F")))))),"")</f>
        <v/>
      </c>
      <c r="H287" s="3">
        <f>IF(AND('Data Source'!B287&lt;&gt;"",'Data Source'!S287="A+"),IF('Data Source'!Z287&gt;=5,"A+",IF('Data Source'!Z287&gt;=4,"A",IF('Data Source'!Z287&gt;=3.5,"A-",IF('Data Source'!Z287&gt;=3,"B",IF('Data Source'!Z287&gt;=2,"C",IF('Data Source'!Z287&gt;=1,"D","F")))))),"")</f>
        <v/>
      </c>
      <c r="I287" s="3">
        <f>IF(AND('Data Source'!B287&lt;&gt;"",'Data Source'!S287="A+"),IF('Data Source'!AA287&gt;=5,"A+",IF('Data Source'!AA287&gt;=4,"A",IF('Data Source'!AA287&gt;=3.5,"A-",IF('Data Source'!AA287&gt;=3,"B",IF('Data Source'!AA287&gt;=2,"C",IF('Data Source'!AA287&gt;=1,"D","F")))))),"")</f>
        <v/>
      </c>
      <c r="J287" s="3">
        <f>IF(AND('Data Source'!B287&lt;&gt;"",'Data Source'!S287="A+"),IF('Data Source'!AB287&gt;=5,"A+",IF('Data Source'!AB287&gt;=4,"A",IF('Data Source'!AB287&gt;=3.5,"A-",IF('Data Source'!AB287&gt;=3,"B",IF('Data Source'!AB287&gt;=2,"C",IF('Data Source'!AB287&gt;=1,"D","F")))))),"")</f>
        <v/>
      </c>
      <c r="K287" s="3">
        <f>IF(AND('Data Source'!B287&lt;&gt;"",'Data Source'!S287="A+"),IF('Data Source'!AC287&gt;=5,"A+",IF('Data Source'!AC287&gt;=4,"A",IF('Data Source'!AC287&gt;=3.5,"A-",IF('Data Source'!AC287&gt;=3,"B",IF('Data Source'!AC287&gt;=2,"C",IF('Data Source'!AC287&gt;=1,"D","F")))))),"")</f>
        <v/>
      </c>
      <c r="L287" s="3">
        <f>IF(AND('Data Source'!B287&lt;&gt;"",'Data Source'!S287="A+"),IF('Data Source'!AD287&gt;=5,"A+",IF('Data Source'!AD287&gt;=4,"A",IF('Data Source'!AD287&gt;=3.5,"A-",IF('Data Source'!AD287&gt;=3,"B",IF('Data Source'!AD287&gt;=2,"C",IF('Data Source'!AD287&gt;=1,"D","F")))))),"")</f>
        <v/>
      </c>
      <c r="M287" s="3">
        <f>IF(AND('Data Source'!B287&lt;&gt;"",'Data Source'!S287="A+"),IF('Data Source'!AE287&gt;=5,"A+",IF('Data Source'!AE287&gt;=4,"A",IF('Data Source'!AE287&gt;=3.5,"A-",IF('Data Source'!AE287&gt;=3,"B",IF('Data Source'!AE287&gt;=2,"C",IF('Data Source'!AE287&gt;=1,"D","F")))))),"")</f>
        <v/>
      </c>
      <c r="N287" s="3">
        <f>IF(AND('Data Source'!B287&lt;&gt;"",'Data Source'!S287="A+"),IF('Data Source'!AF287&gt;=5,"A+",IF('Data Source'!AF287&gt;=4,"A",IF('Data Source'!AF287&gt;=3.5,"A-",IF('Data Source'!AF287&gt;=3,"B",IF('Data Source'!AF287&gt;=2,"C",IF('Data Source'!AF287&gt;=1,"D","F")))))),"")</f>
        <v/>
      </c>
      <c r="O287" s="3">
        <f>IF(AND('Data Source'!B287&lt;&gt;"",'Data Source'!S287="A+"),IF('Data Source'!AG287&gt;=5,"A+",IF('Data Source'!AG287&gt;=4,"A",IF('Data Source'!AG287&gt;=3.5,"A-",IF('Data Source'!AG287&gt;=3,"B",IF('Data Source'!AG287&gt;=2,"C",IF('Data Source'!AG287&gt;=1,"D","F")))))),"")</f>
        <v/>
      </c>
      <c r="P287" s="5">
        <f>IF(AND('Data Source'!B287&lt;&gt;"",'Data Source'!S287="A+"),'Data Source'!R287,"")</f>
        <v/>
      </c>
      <c r="Q287" s="3">
        <f>IF(AND('Data Source'!B287&lt;&gt;"",'Data Source'!S287="A+"),'Data Source'!S287,"")</f>
        <v/>
      </c>
    </row>
    <row r="288">
      <c r="A288" s="3">
        <f>IF(AND('Data Source'!B288&lt;&gt;"",'Data Source'!S288="A+"),COUNTIF('Data Source'!$S$3:S288,"A+"),"")</f>
        <v/>
      </c>
      <c r="B288">
        <f>IF(AND('Data Source'!B288&lt;&gt;"",'Data Source'!S288="A+"),'Data Source'!B288,"")</f>
        <v/>
      </c>
      <c r="C288" s="3">
        <f>IF(AND('Data Source'!B288&lt;&gt;"",'Data Source'!S288="A+"),IF('Data Source'!U288&gt;=5,"A+",IF('Data Source'!U288&gt;=4,"A",IF('Data Source'!U288&gt;=3.5,"A-",IF('Data Source'!U288&gt;=3,"B",IF('Data Source'!U288&gt;=2,"C",IF('Data Source'!U288&gt;=1,"D","F")))))),"")</f>
        <v/>
      </c>
      <c r="D288" s="3">
        <f>IF(AND('Data Source'!B288&lt;&gt;"",'Data Source'!S288="A+"),IF('Data Source'!V288&gt;=5,"A+",IF('Data Source'!V288&gt;=4,"A",IF('Data Source'!V288&gt;=3.5,"A-",IF('Data Source'!V288&gt;=3,"B",IF('Data Source'!V288&gt;=2,"C",IF('Data Source'!V288&gt;=1,"D","F")))))),"")</f>
        <v/>
      </c>
      <c r="E288" s="3">
        <f>IF(AND('Data Source'!B288&lt;&gt;"",'Data Source'!S288="A+"),IF('Data Source'!W288&gt;=5,"A+",IF('Data Source'!W288&gt;=4,"A",IF('Data Source'!W288&gt;=3.5,"A-",IF('Data Source'!W288&gt;=3,"B",IF('Data Source'!W288&gt;=2,"C",IF('Data Source'!W288&gt;=1,"D","F")))))),"")</f>
        <v/>
      </c>
      <c r="F288" s="3">
        <f>IF(AND('Data Source'!B288&lt;&gt;"",'Data Source'!S288="A+"),IF('Data Source'!X288&gt;=5,"A+",IF('Data Source'!X288&gt;=4,"A",IF('Data Source'!X288&gt;=3.5,"A-",IF('Data Source'!X288&gt;=3,"B",IF('Data Source'!X288&gt;=2,"C",IF('Data Source'!X288&gt;=1,"D","F")))))),"")</f>
        <v/>
      </c>
      <c r="G288" s="3">
        <f>IF(AND('Data Source'!B288&lt;&gt;"",'Data Source'!S288="A+"),IF('Data Source'!Y288&gt;=5,"A+",IF('Data Source'!Y288&gt;=4,"A",IF('Data Source'!Y288&gt;=3.5,"A-",IF('Data Source'!Y288&gt;=3,"B",IF('Data Source'!Y288&gt;=2,"C",IF('Data Source'!Y288&gt;=1,"D","F")))))),"")</f>
        <v/>
      </c>
      <c r="H288" s="3">
        <f>IF(AND('Data Source'!B288&lt;&gt;"",'Data Source'!S288="A+"),IF('Data Source'!Z288&gt;=5,"A+",IF('Data Source'!Z288&gt;=4,"A",IF('Data Source'!Z288&gt;=3.5,"A-",IF('Data Source'!Z288&gt;=3,"B",IF('Data Source'!Z288&gt;=2,"C",IF('Data Source'!Z288&gt;=1,"D","F")))))),"")</f>
        <v/>
      </c>
      <c r="I288" s="3">
        <f>IF(AND('Data Source'!B288&lt;&gt;"",'Data Source'!S288="A+"),IF('Data Source'!AA288&gt;=5,"A+",IF('Data Source'!AA288&gt;=4,"A",IF('Data Source'!AA288&gt;=3.5,"A-",IF('Data Source'!AA288&gt;=3,"B",IF('Data Source'!AA288&gt;=2,"C",IF('Data Source'!AA288&gt;=1,"D","F")))))),"")</f>
        <v/>
      </c>
      <c r="J288" s="3">
        <f>IF(AND('Data Source'!B288&lt;&gt;"",'Data Source'!S288="A+"),IF('Data Source'!AB288&gt;=5,"A+",IF('Data Source'!AB288&gt;=4,"A",IF('Data Source'!AB288&gt;=3.5,"A-",IF('Data Source'!AB288&gt;=3,"B",IF('Data Source'!AB288&gt;=2,"C",IF('Data Source'!AB288&gt;=1,"D","F")))))),"")</f>
        <v/>
      </c>
      <c r="K288" s="3">
        <f>IF(AND('Data Source'!B288&lt;&gt;"",'Data Source'!S288="A+"),IF('Data Source'!AC288&gt;=5,"A+",IF('Data Source'!AC288&gt;=4,"A",IF('Data Source'!AC288&gt;=3.5,"A-",IF('Data Source'!AC288&gt;=3,"B",IF('Data Source'!AC288&gt;=2,"C",IF('Data Source'!AC288&gt;=1,"D","F")))))),"")</f>
        <v/>
      </c>
      <c r="L288" s="3">
        <f>IF(AND('Data Source'!B288&lt;&gt;"",'Data Source'!S288="A+"),IF('Data Source'!AD288&gt;=5,"A+",IF('Data Source'!AD288&gt;=4,"A",IF('Data Source'!AD288&gt;=3.5,"A-",IF('Data Source'!AD288&gt;=3,"B",IF('Data Source'!AD288&gt;=2,"C",IF('Data Source'!AD288&gt;=1,"D","F")))))),"")</f>
        <v/>
      </c>
      <c r="M288" s="3">
        <f>IF(AND('Data Source'!B288&lt;&gt;"",'Data Source'!S288="A+"),IF('Data Source'!AE288&gt;=5,"A+",IF('Data Source'!AE288&gt;=4,"A",IF('Data Source'!AE288&gt;=3.5,"A-",IF('Data Source'!AE288&gt;=3,"B",IF('Data Source'!AE288&gt;=2,"C",IF('Data Source'!AE288&gt;=1,"D","F")))))),"")</f>
        <v/>
      </c>
      <c r="N288" s="3">
        <f>IF(AND('Data Source'!B288&lt;&gt;"",'Data Source'!S288="A+"),IF('Data Source'!AF288&gt;=5,"A+",IF('Data Source'!AF288&gt;=4,"A",IF('Data Source'!AF288&gt;=3.5,"A-",IF('Data Source'!AF288&gt;=3,"B",IF('Data Source'!AF288&gt;=2,"C",IF('Data Source'!AF288&gt;=1,"D","F")))))),"")</f>
        <v/>
      </c>
      <c r="O288" s="3">
        <f>IF(AND('Data Source'!B288&lt;&gt;"",'Data Source'!S288="A+"),IF('Data Source'!AG288&gt;=5,"A+",IF('Data Source'!AG288&gt;=4,"A",IF('Data Source'!AG288&gt;=3.5,"A-",IF('Data Source'!AG288&gt;=3,"B",IF('Data Source'!AG288&gt;=2,"C",IF('Data Source'!AG288&gt;=1,"D","F")))))),"")</f>
        <v/>
      </c>
      <c r="P288" s="5">
        <f>IF(AND('Data Source'!B288&lt;&gt;"",'Data Source'!S288="A+"),'Data Source'!R288,"")</f>
        <v/>
      </c>
      <c r="Q288" s="3">
        <f>IF(AND('Data Source'!B288&lt;&gt;"",'Data Source'!S288="A+"),'Data Source'!S288,"")</f>
        <v/>
      </c>
    </row>
    <row r="289">
      <c r="A289" s="3">
        <f>IF(AND('Data Source'!B289&lt;&gt;"",'Data Source'!S289="A+"),COUNTIF('Data Source'!$S$3:S289,"A+"),"")</f>
        <v/>
      </c>
      <c r="B289">
        <f>IF(AND('Data Source'!B289&lt;&gt;"",'Data Source'!S289="A+"),'Data Source'!B289,"")</f>
        <v/>
      </c>
      <c r="C289" s="3">
        <f>IF(AND('Data Source'!B289&lt;&gt;"",'Data Source'!S289="A+"),IF('Data Source'!U289&gt;=5,"A+",IF('Data Source'!U289&gt;=4,"A",IF('Data Source'!U289&gt;=3.5,"A-",IF('Data Source'!U289&gt;=3,"B",IF('Data Source'!U289&gt;=2,"C",IF('Data Source'!U289&gt;=1,"D","F")))))),"")</f>
        <v/>
      </c>
      <c r="D289" s="3">
        <f>IF(AND('Data Source'!B289&lt;&gt;"",'Data Source'!S289="A+"),IF('Data Source'!V289&gt;=5,"A+",IF('Data Source'!V289&gt;=4,"A",IF('Data Source'!V289&gt;=3.5,"A-",IF('Data Source'!V289&gt;=3,"B",IF('Data Source'!V289&gt;=2,"C",IF('Data Source'!V289&gt;=1,"D","F")))))),"")</f>
        <v/>
      </c>
      <c r="E289" s="3">
        <f>IF(AND('Data Source'!B289&lt;&gt;"",'Data Source'!S289="A+"),IF('Data Source'!W289&gt;=5,"A+",IF('Data Source'!W289&gt;=4,"A",IF('Data Source'!W289&gt;=3.5,"A-",IF('Data Source'!W289&gt;=3,"B",IF('Data Source'!W289&gt;=2,"C",IF('Data Source'!W289&gt;=1,"D","F")))))),"")</f>
        <v/>
      </c>
      <c r="F289" s="3">
        <f>IF(AND('Data Source'!B289&lt;&gt;"",'Data Source'!S289="A+"),IF('Data Source'!X289&gt;=5,"A+",IF('Data Source'!X289&gt;=4,"A",IF('Data Source'!X289&gt;=3.5,"A-",IF('Data Source'!X289&gt;=3,"B",IF('Data Source'!X289&gt;=2,"C",IF('Data Source'!X289&gt;=1,"D","F")))))),"")</f>
        <v/>
      </c>
      <c r="G289" s="3">
        <f>IF(AND('Data Source'!B289&lt;&gt;"",'Data Source'!S289="A+"),IF('Data Source'!Y289&gt;=5,"A+",IF('Data Source'!Y289&gt;=4,"A",IF('Data Source'!Y289&gt;=3.5,"A-",IF('Data Source'!Y289&gt;=3,"B",IF('Data Source'!Y289&gt;=2,"C",IF('Data Source'!Y289&gt;=1,"D","F")))))),"")</f>
        <v/>
      </c>
      <c r="H289" s="3">
        <f>IF(AND('Data Source'!B289&lt;&gt;"",'Data Source'!S289="A+"),IF('Data Source'!Z289&gt;=5,"A+",IF('Data Source'!Z289&gt;=4,"A",IF('Data Source'!Z289&gt;=3.5,"A-",IF('Data Source'!Z289&gt;=3,"B",IF('Data Source'!Z289&gt;=2,"C",IF('Data Source'!Z289&gt;=1,"D","F")))))),"")</f>
        <v/>
      </c>
      <c r="I289" s="3">
        <f>IF(AND('Data Source'!B289&lt;&gt;"",'Data Source'!S289="A+"),IF('Data Source'!AA289&gt;=5,"A+",IF('Data Source'!AA289&gt;=4,"A",IF('Data Source'!AA289&gt;=3.5,"A-",IF('Data Source'!AA289&gt;=3,"B",IF('Data Source'!AA289&gt;=2,"C",IF('Data Source'!AA289&gt;=1,"D","F")))))),"")</f>
        <v/>
      </c>
      <c r="J289" s="3">
        <f>IF(AND('Data Source'!B289&lt;&gt;"",'Data Source'!S289="A+"),IF('Data Source'!AB289&gt;=5,"A+",IF('Data Source'!AB289&gt;=4,"A",IF('Data Source'!AB289&gt;=3.5,"A-",IF('Data Source'!AB289&gt;=3,"B",IF('Data Source'!AB289&gt;=2,"C",IF('Data Source'!AB289&gt;=1,"D","F")))))),"")</f>
        <v/>
      </c>
      <c r="K289" s="3">
        <f>IF(AND('Data Source'!B289&lt;&gt;"",'Data Source'!S289="A+"),IF('Data Source'!AC289&gt;=5,"A+",IF('Data Source'!AC289&gt;=4,"A",IF('Data Source'!AC289&gt;=3.5,"A-",IF('Data Source'!AC289&gt;=3,"B",IF('Data Source'!AC289&gt;=2,"C",IF('Data Source'!AC289&gt;=1,"D","F")))))),"")</f>
        <v/>
      </c>
      <c r="L289" s="3">
        <f>IF(AND('Data Source'!B289&lt;&gt;"",'Data Source'!S289="A+"),IF('Data Source'!AD289&gt;=5,"A+",IF('Data Source'!AD289&gt;=4,"A",IF('Data Source'!AD289&gt;=3.5,"A-",IF('Data Source'!AD289&gt;=3,"B",IF('Data Source'!AD289&gt;=2,"C",IF('Data Source'!AD289&gt;=1,"D","F")))))),"")</f>
        <v/>
      </c>
      <c r="M289" s="3">
        <f>IF(AND('Data Source'!B289&lt;&gt;"",'Data Source'!S289="A+"),IF('Data Source'!AE289&gt;=5,"A+",IF('Data Source'!AE289&gt;=4,"A",IF('Data Source'!AE289&gt;=3.5,"A-",IF('Data Source'!AE289&gt;=3,"B",IF('Data Source'!AE289&gt;=2,"C",IF('Data Source'!AE289&gt;=1,"D","F")))))),"")</f>
        <v/>
      </c>
      <c r="N289" s="3">
        <f>IF(AND('Data Source'!B289&lt;&gt;"",'Data Source'!S289="A+"),IF('Data Source'!AF289&gt;=5,"A+",IF('Data Source'!AF289&gt;=4,"A",IF('Data Source'!AF289&gt;=3.5,"A-",IF('Data Source'!AF289&gt;=3,"B",IF('Data Source'!AF289&gt;=2,"C",IF('Data Source'!AF289&gt;=1,"D","F")))))),"")</f>
        <v/>
      </c>
      <c r="O289" s="3">
        <f>IF(AND('Data Source'!B289&lt;&gt;"",'Data Source'!S289="A+"),IF('Data Source'!AG289&gt;=5,"A+",IF('Data Source'!AG289&gt;=4,"A",IF('Data Source'!AG289&gt;=3.5,"A-",IF('Data Source'!AG289&gt;=3,"B",IF('Data Source'!AG289&gt;=2,"C",IF('Data Source'!AG289&gt;=1,"D","F")))))),"")</f>
        <v/>
      </c>
      <c r="P289" s="5">
        <f>IF(AND('Data Source'!B289&lt;&gt;"",'Data Source'!S289="A+"),'Data Source'!R289,"")</f>
        <v/>
      </c>
      <c r="Q289" s="3">
        <f>IF(AND('Data Source'!B289&lt;&gt;"",'Data Source'!S289="A+"),'Data Source'!S289,"")</f>
        <v/>
      </c>
    </row>
    <row r="290">
      <c r="A290" s="3">
        <f>IF(AND('Data Source'!B290&lt;&gt;"",'Data Source'!S290="A+"),COUNTIF('Data Source'!$S$3:S290,"A+"),"")</f>
        <v/>
      </c>
      <c r="B290">
        <f>IF(AND('Data Source'!B290&lt;&gt;"",'Data Source'!S290="A+"),'Data Source'!B290,"")</f>
        <v/>
      </c>
      <c r="C290" s="3">
        <f>IF(AND('Data Source'!B290&lt;&gt;"",'Data Source'!S290="A+"),IF('Data Source'!U290&gt;=5,"A+",IF('Data Source'!U290&gt;=4,"A",IF('Data Source'!U290&gt;=3.5,"A-",IF('Data Source'!U290&gt;=3,"B",IF('Data Source'!U290&gt;=2,"C",IF('Data Source'!U290&gt;=1,"D","F")))))),"")</f>
        <v/>
      </c>
      <c r="D290" s="3">
        <f>IF(AND('Data Source'!B290&lt;&gt;"",'Data Source'!S290="A+"),IF('Data Source'!V290&gt;=5,"A+",IF('Data Source'!V290&gt;=4,"A",IF('Data Source'!V290&gt;=3.5,"A-",IF('Data Source'!V290&gt;=3,"B",IF('Data Source'!V290&gt;=2,"C",IF('Data Source'!V290&gt;=1,"D","F")))))),"")</f>
        <v/>
      </c>
      <c r="E290" s="3">
        <f>IF(AND('Data Source'!B290&lt;&gt;"",'Data Source'!S290="A+"),IF('Data Source'!W290&gt;=5,"A+",IF('Data Source'!W290&gt;=4,"A",IF('Data Source'!W290&gt;=3.5,"A-",IF('Data Source'!W290&gt;=3,"B",IF('Data Source'!W290&gt;=2,"C",IF('Data Source'!W290&gt;=1,"D","F")))))),"")</f>
        <v/>
      </c>
      <c r="F290" s="3">
        <f>IF(AND('Data Source'!B290&lt;&gt;"",'Data Source'!S290="A+"),IF('Data Source'!X290&gt;=5,"A+",IF('Data Source'!X290&gt;=4,"A",IF('Data Source'!X290&gt;=3.5,"A-",IF('Data Source'!X290&gt;=3,"B",IF('Data Source'!X290&gt;=2,"C",IF('Data Source'!X290&gt;=1,"D","F")))))),"")</f>
        <v/>
      </c>
      <c r="G290" s="3">
        <f>IF(AND('Data Source'!B290&lt;&gt;"",'Data Source'!S290="A+"),IF('Data Source'!Y290&gt;=5,"A+",IF('Data Source'!Y290&gt;=4,"A",IF('Data Source'!Y290&gt;=3.5,"A-",IF('Data Source'!Y290&gt;=3,"B",IF('Data Source'!Y290&gt;=2,"C",IF('Data Source'!Y290&gt;=1,"D","F")))))),"")</f>
        <v/>
      </c>
      <c r="H290" s="3">
        <f>IF(AND('Data Source'!B290&lt;&gt;"",'Data Source'!S290="A+"),IF('Data Source'!Z290&gt;=5,"A+",IF('Data Source'!Z290&gt;=4,"A",IF('Data Source'!Z290&gt;=3.5,"A-",IF('Data Source'!Z290&gt;=3,"B",IF('Data Source'!Z290&gt;=2,"C",IF('Data Source'!Z290&gt;=1,"D","F")))))),"")</f>
        <v/>
      </c>
      <c r="I290" s="3">
        <f>IF(AND('Data Source'!B290&lt;&gt;"",'Data Source'!S290="A+"),IF('Data Source'!AA290&gt;=5,"A+",IF('Data Source'!AA290&gt;=4,"A",IF('Data Source'!AA290&gt;=3.5,"A-",IF('Data Source'!AA290&gt;=3,"B",IF('Data Source'!AA290&gt;=2,"C",IF('Data Source'!AA290&gt;=1,"D","F")))))),"")</f>
        <v/>
      </c>
      <c r="J290" s="3">
        <f>IF(AND('Data Source'!B290&lt;&gt;"",'Data Source'!S290="A+"),IF('Data Source'!AB290&gt;=5,"A+",IF('Data Source'!AB290&gt;=4,"A",IF('Data Source'!AB290&gt;=3.5,"A-",IF('Data Source'!AB290&gt;=3,"B",IF('Data Source'!AB290&gt;=2,"C",IF('Data Source'!AB290&gt;=1,"D","F")))))),"")</f>
        <v/>
      </c>
      <c r="K290" s="3">
        <f>IF(AND('Data Source'!B290&lt;&gt;"",'Data Source'!S290="A+"),IF('Data Source'!AC290&gt;=5,"A+",IF('Data Source'!AC290&gt;=4,"A",IF('Data Source'!AC290&gt;=3.5,"A-",IF('Data Source'!AC290&gt;=3,"B",IF('Data Source'!AC290&gt;=2,"C",IF('Data Source'!AC290&gt;=1,"D","F")))))),"")</f>
        <v/>
      </c>
      <c r="L290" s="3">
        <f>IF(AND('Data Source'!B290&lt;&gt;"",'Data Source'!S290="A+"),IF('Data Source'!AD290&gt;=5,"A+",IF('Data Source'!AD290&gt;=4,"A",IF('Data Source'!AD290&gt;=3.5,"A-",IF('Data Source'!AD290&gt;=3,"B",IF('Data Source'!AD290&gt;=2,"C",IF('Data Source'!AD290&gt;=1,"D","F")))))),"")</f>
        <v/>
      </c>
      <c r="M290" s="3">
        <f>IF(AND('Data Source'!B290&lt;&gt;"",'Data Source'!S290="A+"),IF('Data Source'!AE290&gt;=5,"A+",IF('Data Source'!AE290&gt;=4,"A",IF('Data Source'!AE290&gt;=3.5,"A-",IF('Data Source'!AE290&gt;=3,"B",IF('Data Source'!AE290&gt;=2,"C",IF('Data Source'!AE290&gt;=1,"D","F")))))),"")</f>
        <v/>
      </c>
      <c r="N290" s="3">
        <f>IF(AND('Data Source'!B290&lt;&gt;"",'Data Source'!S290="A+"),IF('Data Source'!AF290&gt;=5,"A+",IF('Data Source'!AF290&gt;=4,"A",IF('Data Source'!AF290&gt;=3.5,"A-",IF('Data Source'!AF290&gt;=3,"B",IF('Data Source'!AF290&gt;=2,"C",IF('Data Source'!AF290&gt;=1,"D","F")))))),"")</f>
        <v/>
      </c>
      <c r="O290" s="3">
        <f>IF(AND('Data Source'!B290&lt;&gt;"",'Data Source'!S290="A+"),IF('Data Source'!AG290&gt;=5,"A+",IF('Data Source'!AG290&gt;=4,"A",IF('Data Source'!AG290&gt;=3.5,"A-",IF('Data Source'!AG290&gt;=3,"B",IF('Data Source'!AG290&gt;=2,"C",IF('Data Source'!AG290&gt;=1,"D","F")))))),"")</f>
        <v/>
      </c>
      <c r="P290" s="5">
        <f>IF(AND('Data Source'!B290&lt;&gt;"",'Data Source'!S290="A+"),'Data Source'!R290,"")</f>
        <v/>
      </c>
      <c r="Q290" s="3">
        <f>IF(AND('Data Source'!B290&lt;&gt;"",'Data Source'!S290="A+"),'Data Source'!S290,"")</f>
        <v/>
      </c>
    </row>
    <row r="291">
      <c r="A291" s="3">
        <f>IF(AND('Data Source'!B291&lt;&gt;"",'Data Source'!S291="A+"),COUNTIF('Data Source'!$S$3:S291,"A+"),"")</f>
        <v/>
      </c>
      <c r="B291">
        <f>IF(AND('Data Source'!B291&lt;&gt;"",'Data Source'!S291="A+"),'Data Source'!B291,"")</f>
        <v/>
      </c>
      <c r="C291" s="3">
        <f>IF(AND('Data Source'!B291&lt;&gt;"",'Data Source'!S291="A+"),IF('Data Source'!U291&gt;=5,"A+",IF('Data Source'!U291&gt;=4,"A",IF('Data Source'!U291&gt;=3.5,"A-",IF('Data Source'!U291&gt;=3,"B",IF('Data Source'!U291&gt;=2,"C",IF('Data Source'!U291&gt;=1,"D","F")))))),"")</f>
        <v/>
      </c>
      <c r="D291" s="3">
        <f>IF(AND('Data Source'!B291&lt;&gt;"",'Data Source'!S291="A+"),IF('Data Source'!V291&gt;=5,"A+",IF('Data Source'!V291&gt;=4,"A",IF('Data Source'!V291&gt;=3.5,"A-",IF('Data Source'!V291&gt;=3,"B",IF('Data Source'!V291&gt;=2,"C",IF('Data Source'!V291&gt;=1,"D","F")))))),"")</f>
        <v/>
      </c>
      <c r="E291" s="3">
        <f>IF(AND('Data Source'!B291&lt;&gt;"",'Data Source'!S291="A+"),IF('Data Source'!W291&gt;=5,"A+",IF('Data Source'!W291&gt;=4,"A",IF('Data Source'!W291&gt;=3.5,"A-",IF('Data Source'!W291&gt;=3,"B",IF('Data Source'!W291&gt;=2,"C",IF('Data Source'!W291&gt;=1,"D","F")))))),"")</f>
        <v/>
      </c>
      <c r="F291" s="3">
        <f>IF(AND('Data Source'!B291&lt;&gt;"",'Data Source'!S291="A+"),IF('Data Source'!X291&gt;=5,"A+",IF('Data Source'!X291&gt;=4,"A",IF('Data Source'!X291&gt;=3.5,"A-",IF('Data Source'!X291&gt;=3,"B",IF('Data Source'!X291&gt;=2,"C",IF('Data Source'!X291&gt;=1,"D","F")))))),"")</f>
        <v/>
      </c>
      <c r="G291" s="3">
        <f>IF(AND('Data Source'!B291&lt;&gt;"",'Data Source'!S291="A+"),IF('Data Source'!Y291&gt;=5,"A+",IF('Data Source'!Y291&gt;=4,"A",IF('Data Source'!Y291&gt;=3.5,"A-",IF('Data Source'!Y291&gt;=3,"B",IF('Data Source'!Y291&gt;=2,"C",IF('Data Source'!Y291&gt;=1,"D","F")))))),"")</f>
        <v/>
      </c>
      <c r="H291" s="3">
        <f>IF(AND('Data Source'!B291&lt;&gt;"",'Data Source'!S291="A+"),IF('Data Source'!Z291&gt;=5,"A+",IF('Data Source'!Z291&gt;=4,"A",IF('Data Source'!Z291&gt;=3.5,"A-",IF('Data Source'!Z291&gt;=3,"B",IF('Data Source'!Z291&gt;=2,"C",IF('Data Source'!Z291&gt;=1,"D","F")))))),"")</f>
        <v/>
      </c>
      <c r="I291" s="3">
        <f>IF(AND('Data Source'!B291&lt;&gt;"",'Data Source'!S291="A+"),IF('Data Source'!AA291&gt;=5,"A+",IF('Data Source'!AA291&gt;=4,"A",IF('Data Source'!AA291&gt;=3.5,"A-",IF('Data Source'!AA291&gt;=3,"B",IF('Data Source'!AA291&gt;=2,"C",IF('Data Source'!AA291&gt;=1,"D","F")))))),"")</f>
        <v/>
      </c>
      <c r="J291" s="3">
        <f>IF(AND('Data Source'!B291&lt;&gt;"",'Data Source'!S291="A+"),IF('Data Source'!AB291&gt;=5,"A+",IF('Data Source'!AB291&gt;=4,"A",IF('Data Source'!AB291&gt;=3.5,"A-",IF('Data Source'!AB291&gt;=3,"B",IF('Data Source'!AB291&gt;=2,"C",IF('Data Source'!AB291&gt;=1,"D","F")))))),"")</f>
        <v/>
      </c>
      <c r="K291" s="3">
        <f>IF(AND('Data Source'!B291&lt;&gt;"",'Data Source'!S291="A+"),IF('Data Source'!AC291&gt;=5,"A+",IF('Data Source'!AC291&gt;=4,"A",IF('Data Source'!AC291&gt;=3.5,"A-",IF('Data Source'!AC291&gt;=3,"B",IF('Data Source'!AC291&gt;=2,"C",IF('Data Source'!AC291&gt;=1,"D","F")))))),"")</f>
        <v/>
      </c>
      <c r="L291" s="3">
        <f>IF(AND('Data Source'!B291&lt;&gt;"",'Data Source'!S291="A+"),IF('Data Source'!AD291&gt;=5,"A+",IF('Data Source'!AD291&gt;=4,"A",IF('Data Source'!AD291&gt;=3.5,"A-",IF('Data Source'!AD291&gt;=3,"B",IF('Data Source'!AD291&gt;=2,"C",IF('Data Source'!AD291&gt;=1,"D","F")))))),"")</f>
        <v/>
      </c>
      <c r="M291" s="3">
        <f>IF(AND('Data Source'!B291&lt;&gt;"",'Data Source'!S291="A+"),IF('Data Source'!AE291&gt;=5,"A+",IF('Data Source'!AE291&gt;=4,"A",IF('Data Source'!AE291&gt;=3.5,"A-",IF('Data Source'!AE291&gt;=3,"B",IF('Data Source'!AE291&gt;=2,"C",IF('Data Source'!AE291&gt;=1,"D","F")))))),"")</f>
        <v/>
      </c>
      <c r="N291" s="3">
        <f>IF(AND('Data Source'!B291&lt;&gt;"",'Data Source'!S291="A+"),IF('Data Source'!AF291&gt;=5,"A+",IF('Data Source'!AF291&gt;=4,"A",IF('Data Source'!AF291&gt;=3.5,"A-",IF('Data Source'!AF291&gt;=3,"B",IF('Data Source'!AF291&gt;=2,"C",IF('Data Source'!AF291&gt;=1,"D","F")))))),"")</f>
        <v/>
      </c>
      <c r="O291" s="3">
        <f>IF(AND('Data Source'!B291&lt;&gt;"",'Data Source'!S291="A+"),IF('Data Source'!AG291&gt;=5,"A+",IF('Data Source'!AG291&gt;=4,"A",IF('Data Source'!AG291&gt;=3.5,"A-",IF('Data Source'!AG291&gt;=3,"B",IF('Data Source'!AG291&gt;=2,"C",IF('Data Source'!AG291&gt;=1,"D","F")))))),"")</f>
        <v/>
      </c>
      <c r="P291" s="5">
        <f>IF(AND('Data Source'!B291&lt;&gt;"",'Data Source'!S291="A+"),'Data Source'!R291,"")</f>
        <v/>
      </c>
      <c r="Q291" s="3">
        <f>IF(AND('Data Source'!B291&lt;&gt;"",'Data Source'!S291="A+"),'Data Source'!S291,"")</f>
        <v/>
      </c>
    </row>
    <row r="292">
      <c r="A292" s="3">
        <f>IF(AND('Data Source'!B292&lt;&gt;"",'Data Source'!S292="A+"),COUNTIF('Data Source'!$S$3:S292,"A+"),"")</f>
        <v/>
      </c>
      <c r="B292">
        <f>IF(AND('Data Source'!B292&lt;&gt;"",'Data Source'!S292="A+"),'Data Source'!B292,"")</f>
        <v/>
      </c>
      <c r="C292" s="3">
        <f>IF(AND('Data Source'!B292&lt;&gt;"",'Data Source'!S292="A+"),IF('Data Source'!U292&gt;=5,"A+",IF('Data Source'!U292&gt;=4,"A",IF('Data Source'!U292&gt;=3.5,"A-",IF('Data Source'!U292&gt;=3,"B",IF('Data Source'!U292&gt;=2,"C",IF('Data Source'!U292&gt;=1,"D","F")))))),"")</f>
        <v/>
      </c>
      <c r="D292" s="3">
        <f>IF(AND('Data Source'!B292&lt;&gt;"",'Data Source'!S292="A+"),IF('Data Source'!V292&gt;=5,"A+",IF('Data Source'!V292&gt;=4,"A",IF('Data Source'!V292&gt;=3.5,"A-",IF('Data Source'!V292&gt;=3,"B",IF('Data Source'!V292&gt;=2,"C",IF('Data Source'!V292&gt;=1,"D","F")))))),"")</f>
        <v/>
      </c>
      <c r="E292" s="3">
        <f>IF(AND('Data Source'!B292&lt;&gt;"",'Data Source'!S292="A+"),IF('Data Source'!W292&gt;=5,"A+",IF('Data Source'!W292&gt;=4,"A",IF('Data Source'!W292&gt;=3.5,"A-",IF('Data Source'!W292&gt;=3,"B",IF('Data Source'!W292&gt;=2,"C",IF('Data Source'!W292&gt;=1,"D","F")))))),"")</f>
        <v/>
      </c>
      <c r="F292" s="3">
        <f>IF(AND('Data Source'!B292&lt;&gt;"",'Data Source'!S292="A+"),IF('Data Source'!X292&gt;=5,"A+",IF('Data Source'!X292&gt;=4,"A",IF('Data Source'!X292&gt;=3.5,"A-",IF('Data Source'!X292&gt;=3,"B",IF('Data Source'!X292&gt;=2,"C",IF('Data Source'!X292&gt;=1,"D","F")))))),"")</f>
        <v/>
      </c>
      <c r="G292" s="3">
        <f>IF(AND('Data Source'!B292&lt;&gt;"",'Data Source'!S292="A+"),IF('Data Source'!Y292&gt;=5,"A+",IF('Data Source'!Y292&gt;=4,"A",IF('Data Source'!Y292&gt;=3.5,"A-",IF('Data Source'!Y292&gt;=3,"B",IF('Data Source'!Y292&gt;=2,"C",IF('Data Source'!Y292&gt;=1,"D","F")))))),"")</f>
        <v/>
      </c>
      <c r="H292" s="3">
        <f>IF(AND('Data Source'!B292&lt;&gt;"",'Data Source'!S292="A+"),IF('Data Source'!Z292&gt;=5,"A+",IF('Data Source'!Z292&gt;=4,"A",IF('Data Source'!Z292&gt;=3.5,"A-",IF('Data Source'!Z292&gt;=3,"B",IF('Data Source'!Z292&gt;=2,"C",IF('Data Source'!Z292&gt;=1,"D","F")))))),"")</f>
        <v/>
      </c>
      <c r="I292" s="3">
        <f>IF(AND('Data Source'!B292&lt;&gt;"",'Data Source'!S292="A+"),IF('Data Source'!AA292&gt;=5,"A+",IF('Data Source'!AA292&gt;=4,"A",IF('Data Source'!AA292&gt;=3.5,"A-",IF('Data Source'!AA292&gt;=3,"B",IF('Data Source'!AA292&gt;=2,"C",IF('Data Source'!AA292&gt;=1,"D","F")))))),"")</f>
        <v/>
      </c>
      <c r="J292" s="3">
        <f>IF(AND('Data Source'!B292&lt;&gt;"",'Data Source'!S292="A+"),IF('Data Source'!AB292&gt;=5,"A+",IF('Data Source'!AB292&gt;=4,"A",IF('Data Source'!AB292&gt;=3.5,"A-",IF('Data Source'!AB292&gt;=3,"B",IF('Data Source'!AB292&gt;=2,"C",IF('Data Source'!AB292&gt;=1,"D","F")))))),"")</f>
        <v/>
      </c>
      <c r="K292" s="3">
        <f>IF(AND('Data Source'!B292&lt;&gt;"",'Data Source'!S292="A+"),IF('Data Source'!AC292&gt;=5,"A+",IF('Data Source'!AC292&gt;=4,"A",IF('Data Source'!AC292&gt;=3.5,"A-",IF('Data Source'!AC292&gt;=3,"B",IF('Data Source'!AC292&gt;=2,"C",IF('Data Source'!AC292&gt;=1,"D","F")))))),"")</f>
        <v/>
      </c>
      <c r="L292" s="3">
        <f>IF(AND('Data Source'!B292&lt;&gt;"",'Data Source'!S292="A+"),IF('Data Source'!AD292&gt;=5,"A+",IF('Data Source'!AD292&gt;=4,"A",IF('Data Source'!AD292&gt;=3.5,"A-",IF('Data Source'!AD292&gt;=3,"B",IF('Data Source'!AD292&gt;=2,"C",IF('Data Source'!AD292&gt;=1,"D","F")))))),"")</f>
        <v/>
      </c>
      <c r="M292" s="3">
        <f>IF(AND('Data Source'!B292&lt;&gt;"",'Data Source'!S292="A+"),IF('Data Source'!AE292&gt;=5,"A+",IF('Data Source'!AE292&gt;=4,"A",IF('Data Source'!AE292&gt;=3.5,"A-",IF('Data Source'!AE292&gt;=3,"B",IF('Data Source'!AE292&gt;=2,"C",IF('Data Source'!AE292&gt;=1,"D","F")))))),"")</f>
        <v/>
      </c>
      <c r="N292" s="3">
        <f>IF(AND('Data Source'!B292&lt;&gt;"",'Data Source'!S292="A+"),IF('Data Source'!AF292&gt;=5,"A+",IF('Data Source'!AF292&gt;=4,"A",IF('Data Source'!AF292&gt;=3.5,"A-",IF('Data Source'!AF292&gt;=3,"B",IF('Data Source'!AF292&gt;=2,"C",IF('Data Source'!AF292&gt;=1,"D","F")))))),"")</f>
        <v/>
      </c>
      <c r="O292" s="3">
        <f>IF(AND('Data Source'!B292&lt;&gt;"",'Data Source'!S292="A+"),IF('Data Source'!AG292&gt;=5,"A+",IF('Data Source'!AG292&gt;=4,"A",IF('Data Source'!AG292&gt;=3.5,"A-",IF('Data Source'!AG292&gt;=3,"B",IF('Data Source'!AG292&gt;=2,"C",IF('Data Source'!AG292&gt;=1,"D","F")))))),"")</f>
        <v/>
      </c>
      <c r="P292" s="5">
        <f>IF(AND('Data Source'!B292&lt;&gt;"",'Data Source'!S292="A+"),'Data Source'!R292,"")</f>
        <v/>
      </c>
      <c r="Q292" s="3">
        <f>IF(AND('Data Source'!B292&lt;&gt;"",'Data Source'!S292="A+"),'Data Source'!S292,"")</f>
        <v/>
      </c>
    </row>
    <row r="293">
      <c r="A293" s="3">
        <f>IF(AND('Data Source'!B293&lt;&gt;"",'Data Source'!S293="A+"),COUNTIF('Data Source'!$S$3:S293,"A+"),"")</f>
        <v/>
      </c>
      <c r="B293">
        <f>IF(AND('Data Source'!B293&lt;&gt;"",'Data Source'!S293="A+"),'Data Source'!B293,"")</f>
        <v/>
      </c>
      <c r="C293" s="3">
        <f>IF(AND('Data Source'!B293&lt;&gt;"",'Data Source'!S293="A+"),IF('Data Source'!U293&gt;=5,"A+",IF('Data Source'!U293&gt;=4,"A",IF('Data Source'!U293&gt;=3.5,"A-",IF('Data Source'!U293&gt;=3,"B",IF('Data Source'!U293&gt;=2,"C",IF('Data Source'!U293&gt;=1,"D","F")))))),"")</f>
        <v/>
      </c>
      <c r="D293" s="3">
        <f>IF(AND('Data Source'!B293&lt;&gt;"",'Data Source'!S293="A+"),IF('Data Source'!V293&gt;=5,"A+",IF('Data Source'!V293&gt;=4,"A",IF('Data Source'!V293&gt;=3.5,"A-",IF('Data Source'!V293&gt;=3,"B",IF('Data Source'!V293&gt;=2,"C",IF('Data Source'!V293&gt;=1,"D","F")))))),"")</f>
        <v/>
      </c>
      <c r="E293" s="3">
        <f>IF(AND('Data Source'!B293&lt;&gt;"",'Data Source'!S293="A+"),IF('Data Source'!W293&gt;=5,"A+",IF('Data Source'!W293&gt;=4,"A",IF('Data Source'!W293&gt;=3.5,"A-",IF('Data Source'!W293&gt;=3,"B",IF('Data Source'!W293&gt;=2,"C",IF('Data Source'!W293&gt;=1,"D","F")))))),"")</f>
        <v/>
      </c>
      <c r="F293" s="3">
        <f>IF(AND('Data Source'!B293&lt;&gt;"",'Data Source'!S293="A+"),IF('Data Source'!X293&gt;=5,"A+",IF('Data Source'!X293&gt;=4,"A",IF('Data Source'!X293&gt;=3.5,"A-",IF('Data Source'!X293&gt;=3,"B",IF('Data Source'!X293&gt;=2,"C",IF('Data Source'!X293&gt;=1,"D","F")))))),"")</f>
        <v/>
      </c>
      <c r="G293" s="3">
        <f>IF(AND('Data Source'!B293&lt;&gt;"",'Data Source'!S293="A+"),IF('Data Source'!Y293&gt;=5,"A+",IF('Data Source'!Y293&gt;=4,"A",IF('Data Source'!Y293&gt;=3.5,"A-",IF('Data Source'!Y293&gt;=3,"B",IF('Data Source'!Y293&gt;=2,"C",IF('Data Source'!Y293&gt;=1,"D","F")))))),"")</f>
        <v/>
      </c>
      <c r="H293" s="3">
        <f>IF(AND('Data Source'!B293&lt;&gt;"",'Data Source'!S293="A+"),IF('Data Source'!Z293&gt;=5,"A+",IF('Data Source'!Z293&gt;=4,"A",IF('Data Source'!Z293&gt;=3.5,"A-",IF('Data Source'!Z293&gt;=3,"B",IF('Data Source'!Z293&gt;=2,"C",IF('Data Source'!Z293&gt;=1,"D","F")))))),"")</f>
        <v/>
      </c>
      <c r="I293" s="3">
        <f>IF(AND('Data Source'!B293&lt;&gt;"",'Data Source'!S293="A+"),IF('Data Source'!AA293&gt;=5,"A+",IF('Data Source'!AA293&gt;=4,"A",IF('Data Source'!AA293&gt;=3.5,"A-",IF('Data Source'!AA293&gt;=3,"B",IF('Data Source'!AA293&gt;=2,"C",IF('Data Source'!AA293&gt;=1,"D","F")))))),"")</f>
        <v/>
      </c>
      <c r="J293" s="3">
        <f>IF(AND('Data Source'!B293&lt;&gt;"",'Data Source'!S293="A+"),IF('Data Source'!AB293&gt;=5,"A+",IF('Data Source'!AB293&gt;=4,"A",IF('Data Source'!AB293&gt;=3.5,"A-",IF('Data Source'!AB293&gt;=3,"B",IF('Data Source'!AB293&gt;=2,"C",IF('Data Source'!AB293&gt;=1,"D","F")))))),"")</f>
        <v/>
      </c>
      <c r="K293" s="3">
        <f>IF(AND('Data Source'!B293&lt;&gt;"",'Data Source'!S293="A+"),IF('Data Source'!AC293&gt;=5,"A+",IF('Data Source'!AC293&gt;=4,"A",IF('Data Source'!AC293&gt;=3.5,"A-",IF('Data Source'!AC293&gt;=3,"B",IF('Data Source'!AC293&gt;=2,"C",IF('Data Source'!AC293&gt;=1,"D","F")))))),"")</f>
        <v/>
      </c>
      <c r="L293" s="3">
        <f>IF(AND('Data Source'!B293&lt;&gt;"",'Data Source'!S293="A+"),IF('Data Source'!AD293&gt;=5,"A+",IF('Data Source'!AD293&gt;=4,"A",IF('Data Source'!AD293&gt;=3.5,"A-",IF('Data Source'!AD293&gt;=3,"B",IF('Data Source'!AD293&gt;=2,"C",IF('Data Source'!AD293&gt;=1,"D","F")))))),"")</f>
        <v/>
      </c>
      <c r="M293" s="3">
        <f>IF(AND('Data Source'!B293&lt;&gt;"",'Data Source'!S293="A+"),IF('Data Source'!AE293&gt;=5,"A+",IF('Data Source'!AE293&gt;=4,"A",IF('Data Source'!AE293&gt;=3.5,"A-",IF('Data Source'!AE293&gt;=3,"B",IF('Data Source'!AE293&gt;=2,"C",IF('Data Source'!AE293&gt;=1,"D","F")))))),"")</f>
        <v/>
      </c>
      <c r="N293" s="3">
        <f>IF(AND('Data Source'!B293&lt;&gt;"",'Data Source'!S293="A+"),IF('Data Source'!AF293&gt;=5,"A+",IF('Data Source'!AF293&gt;=4,"A",IF('Data Source'!AF293&gt;=3.5,"A-",IF('Data Source'!AF293&gt;=3,"B",IF('Data Source'!AF293&gt;=2,"C",IF('Data Source'!AF293&gt;=1,"D","F")))))),"")</f>
        <v/>
      </c>
      <c r="O293" s="3">
        <f>IF(AND('Data Source'!B293&lt;&gt;"",'Data Source'!S293="A+"),IF('Data Source'!AG293&gt;=5,"A+",IF('Data Source'!AG293&gt;=4,"A",IF('Data Source'!AG293&gt;=3.5,"A-",IF('Data Source'!AG293&gt;=3,"B",IF('Data Source'!AG293&gt;=2,"C",IF('Data Source'!AG293&gt;=1,"D","F")))))),"")</f>
        <v/>
      </c>
      <c r="P293" s="5">
        <f>IF(AND('Data Source'!B293&lt;&gt;"",'Data Source'!S293="A+"),'Data Source'!R293,"")</f>
        <v/>
      </c>
      <c r="Q293" s="3">
        <f>IF(AND('Data Source'!B293&lt;&gt;"",'Data Source'!S293="A+"),'Data Source'!S293,"")</f>
        <v/>
      </c>
    </row>
    <row r="294">
      <c r="A294" s="3">
        <f>IF(AND('Data Source'!B294&lt;&gt;"",'Data Source'!S294="A+"),COUNTIF('Data Source'!$S$3:S294,"A+"),"")</f>
        <v/>
      </c>
      <c r="B294">
        <f>IF(AND('Data Source'!B294&lt;&gt;"",'Data Source'!S294="A+"),'Data Source'!B294,"")</f>
        <v/>
      </c>
      <c r="C294" s="3">
        <f>IF(AND('Data Source'!B294&lt;&gt;"",'Data Source'!S294="A+"),IF('Data Source'!U294&gt;=5,"A+",IF('Data Source'!U294&gt;=4,"A",IF('Data Source'!U294&gt;=3.5,"A-",IF('Data Source'!U294&gt;=3,"B",IF('Data Source'!U294&gt;=2,"C",IF('Data Source'!U294&gt;=1,"D","F")))))),"")</f>
        <v/>
      </c>
      <c r="D294" s="3">
        <f>IF(AND('Data Source'!B294&lt;&gt;"",'Data Source'!S294="A+"),IF('Data Source'!V294&gt;=5,"A+",IF('Data Source'!V294&gt;=4,"A",IF('Data Source'!V294&gt;=3.5,"A-",IF('Data Source'!V294&gt;=3,"B",IF('Data Source'!V294&gt;=2,"C",IF('Data Source'!V294&gt;=1,"D","F")))))),"")</f>
        <v/>
      </c>
      <c r="E294" s="3">
        <f>IF(AND('Data Source'!B294&lt;&gt;"",'Data Source'!S294="A+"),IF('Data Source'!W294&gt;=5,"A+",IF('Data Source'!W294&gt;=4,"A",IF('Data Source'!W294&gt;=3.5,"A-",IF('Data Source'!W294&gt;=3,"B",IF('Data Source'!W294&gt;=2,"C",IF('Data Source'!W294&gt;=1,"D","F")))))),"")</f>
        <v/>
      </c>
      <c r="F294" s="3">
        <f>IF(AND('Data Source'!B294&lt;&gt;"",'Data Source'!S294="A+"),IF('Data Source'!X294&gt;=5,"A+",IF('Data Source'!X294&gt;=4,"A",IF('Data Source'!X294&gt;=3.5,"A-",IF('Data Source'!X294&gt;=3,"B",IF('Data Source'!X294&gt;=2,"C",IF('Data Source'!X294&gt;=1,"D","F")))))),"")</f>
        <v/>
      </c>
      <c r="G294" s="3">
        <f>IF(AND('Data Source'!B294&lt;&gt;"",'Data Source'!S294="A+"),IF('Data Source'!Y294&gt;=5,"A+",IF('Data Source'!Y294&gt;=4,"A",IF('Data Source'!Y294&gt;=3.5,"A-",IF('Data Source'!Y294&gt;=3,"B",IF('Data Source'!Y294&gt;=2,"C",IF('Data Source'!Y294&gt;=1,"D","F")))))),"")</f>
        <v/>
      </c>
      <c r="H294" s="3">
        <f>IF(AND('Data Source'!B294&lt;&gt;"",'Data Source'!S294="A+"),IF('Data Source'!Z294&gt;=5,"A+",IF('Data Source'!Z294&gt;=4,"A",IF('Data Source'!Z294&gt;=3.5,"A-",IF('Data Source'!Z294&gt;=3,"B",IF('Data Source'!Z294&gt;=2,"C",IF('Data Source'!Z294&gt;=1,"D","F")))))),"")</f>
        <v/>
      </c>
      <c r="I294" s="3">
        <f>IF(AND('Data Source'!B294&lt;&gt;"",'Data Source'!S294="A+"),IF('Data Source'!AA294&gt;=5,"A+",IF('Data Source'!AA294&gt;=4,"A",IF('Data Source'!AA294&gt;=3.5,"A-",IF('Data Source'!AA294&gt;=3,"B",IF('Data Source'!AA294&gt;=2,"C",IF('Data Source'!AA294&gt;=1,"D","F")))))),"")</f>
        <v/>
      </c>
      <c r="J294" s="3">
        <f>IF(AND('Data Source'!B294&lt;&gt;"",'Data Source'!S294="A+"),IF('Data Source'!AB294&gt;=5,"A+",IF('Data Source'!AB294&gt;=4,"A",IF('Data Source'!AB294&gt;=3.5,"A-",IF('Data Source'!AB294&gt;=3,"B",IF('Data Source'!AB294&gt;=2,"C",IF('Data Source'!AB294&gt;=1,"D","F")))))),"")</f>
        <v/>
      </c>
      <c r="K294" s="3">
        <f>IF(AND('Data Source'!B294&lt;&gt;"",'Data Source'!S294="A+"),IF('Data Source'!AC294&gt;=5,"A+",IF('Data Source'!AC294&gt;=4,"A",IF('Data Source'!AC294&gt;=3.5,"A-",IF('Data Source'!AC294&gt;=3,"B",IF('Data Source'!AC294&gt;=2,"C",IF('Data Source'!AC294&gt;=1,"D","F")))))),"")</f>
        <v/>
      </c>
      <c r="L294" s="3">
        <f>IF(AND('Data Source'!B294&lt;&gt;"",'Data Source'!S294="A+"),IF('Data Source'!AD294&gt;=5,"A+",IF('Data Source'!AD294&gt;=4,"A",IF('Data Source'!AD294&gt;=3.5,"A-",IF('Data Source'!AD294&gt;=3,"B",IF('Data Source'!AD294&gt;=2,"C",IF('Data Source'!AD294&gt;=1,"D","F")))))),"")</f>
        <v/>
      </c>
      <c r="M294" s="3">
        <f>IF(AND('Data Source'!B294&lt;&gt;"",'Data Source'!S294="A+"),IF('Data Source'!AE294&gt;=5,"A+",IF('Data Source'!AE294&gt;=4,"A",IF('Data Source'!AE294&gt;=3.5,"A-",IF('Data Source'!AE294&gt;=3,"B",IF('Data Source'!AE294&gt;=2,"C",IF('Data Source'!AE294&gt;=1,"D","F")))))),"")</f>
        <v/>
      </c>
      <c r="N294" s="3">
        <f>IF(AND('Data Source'!B294&lt;&gt;"",'Data Source'!S294="A+"),IF('Data Source'!AF294&gt;=5,"A+",IF('Data Source'!AF294&gt;=4,"A",IF('Data Source'!AF294&gt;=3.5,"A-",IF('Data Source'!AF294&gt;=3,"B",IF('Data Source'!AF294&gt;=2,"C",IF('Data Source'!AF294&gt;=1,"D","F")))))),"")</f>
        <v/>
      </c>
      <c r="O294" s="3">
        <f>IF(AND('Data Source'!B294&lt;&gt;"",'Data Source'!S294="A+"),IF('Data Source'!AG294&gt;=5,"A+",IF('Data Source'!AG294&gt;=4,"A",IF('Data Source'!AG294&gt;=3.5,"A-",IF('Data Source'!AG294&gt;=3,"B",IF('Data Source'!AG294&gt;=2,"C",IF('Data Source'!AG294&gt;=1,"D","F")))))),"")</f>
        <v/>
      </c>
      <c r="P294" s="5">
        <f>IF(AND('Data Source'!B294&lt;&gt;"",'Data Source'!S294="A+"),'Data Source'!R294,"")</f>
        <v/>
      </c>
      <c r="Q294" s="3">
        <f>IF(AND('Data Source'!B294&lt;&gt;"",'Data Source'!S294="A+"),'Data Source'!S294,"")</f>
        <v/>
      </c>
    </row>
    <row r="295">
      <c r="A295" s="3">
        <f>IF(AND('Data Source'!B295&lt;&gt;"",'Data Source'!S295="A+"),COUNTIF('Data Source'!$S$3:S295,"A+"),"")</f>
        <v/>
      </c>
      <c r="B295">
        <f>IF(AND('Data Source'!B295&lt;&gt;"",'Data Source'!S295="A+"),'Data Source'!B295,"")</f>
        <v/>
      </c>
      <c r="C295" s="3">
        <f>IF(AND('Data Source'!B295&lt;&gt;"",'Data Source'!S295="A+"),IF('Data Source'!U295&gt;=5,"A+",IF('Data Source'!U295&gt;=4,"A",IF('Data Source'!U295&gt;=3.5,"A-",IF('Data Source'!U295&gt;=3,"B",IF('Data Source'!U295&gt;=2,"C",IF('Data Source'!U295&gt;=1,"D","F")))))),"")</f>
        <v/>
      </c>
      <c r="D295" s="3">
        <f>IF(AND('Data Source'!B295&lt;&gt;"",'Data Source'!S295="A+"),IF('Data Source'!V295&gt;=5,"A+",IF('Data Source'!V295&gt;=4,"A",IF('Data Source'!V295&gt;=3.5,"A-",IF('Data Source'!V295&gt;=3,"B",IF('Data Source'!V295&gt;=2,"C",IF('Data Source'!V295&gt;=1,"D","F")))))),"")</f>
        <v/>
      </c>
      <c r="E295" s="3">
        <f>IF(AND('Data Source'!B295&lt;&gt;"",'Data Source'!S295="A+"),IF('Data Source'!W295&gt;=5,"A+",IF('Data Source'!W295&gt;=4,"A",IF('Data Source'!W295&gt;=3.5,"A-",IF('Data Source'!W295&gt;=3,"B",IF('Data Source'!W295&gt;=2,"C",IF('Data Source'!W295&gt;=1,"D","F")))))),"")</f>
        <v/>
      </c>
      <c r="F295" s="3">
        <f>IF(AND('Data Source'!B295&lt;&gt;"",'Data Source'!S295="A+"),IF('Data Source'!X295&gt;=5,"A+",IF('Data Source'!X295&gt;=4,"A",IF('Data Source'!X295&gt;=3.5,"A-",IF('Data Source'!X295&gt;=3,"B",IF('Data Source'!X295&gt;=2,"C",IF('Data Source'!X295&gt;=1,"D","F")))))),"")</f>
        <v/>
      </c>
      <c r="G295" s="3">
        <f>IF(AND('Data Source'!B295&lt;&gt;"",'Data Source'!S295="A+"),IF('Data Source'!Y295&gt;=5,"A+",IF('Data Source'!Y295&gt;=4,"A",IF('Data Source'!Y295&gt;=3.5,"A-",IF('Data Source'!Y295&gt;=3,"B",IF('Data Source'!Y295&gt;=2,"C",IF('Data Source'!Y295&gt;=1,"D","F")))))),"")</f>
        <v/>
      </c>
      <c r="H295" s="3">
        <f>IF(AND('Data Source'!B295&lt;&gt;"",'Data Source'!S295="A+"),IF('Data Source'!Z295&gt;=5,"A+",IF('Data Source'!Z295&gt;=4,"A",IF('Data Source'!Z295&gt;=3.5,"A-",IF('Data Source'!Z295&gt;=3,"B",IF('Data Source'!Z295&gt;=2,"C",IF('Data Source'!Z295&gt;=1,"D","F")))))),"")</f>
        <v/>
      </c>
      <c r="I295" s="3">
        <f>IF(AND('Data Source'!B295&lt;&gt;"",'Data Source'!S295="A+"),IF('Data Source'!AA295&gt;=5,"A+",IF('Data Source'!AA295&gt;=4,"A",IF('Data Source'!AA295&gt;=3.5,"A-",IF('Data Source'!AA295&gt;=3,"B",IF('Data Source'!AA295&gt;=2,"C",IF('Data Source'!AA295&gt;=1,"D","F")))))),"")</f>
        <v/>
      </c>
      <c r="J295" s="3">
        <f>IF(AND('Data Source'!B295&lt;&gt;"",'Data Source'!S295="A+"),IF('Data Source'!AB295&gt;=5,"A+",IF('Data Source'!AB295&gt;=4,"A",IF('Data Source'!AB295&gt;=3.5,"A-",IF('Data Source'!AB295&gt;=3,"B",IF('Data Source'!AB295&gt;=2,"C",IF('Data Source'!AB295&gt;=1,"D","F")))))),"")</f>
        <v/>
      </c>
      <c r="K295" s="3">
        <f>IF(AND('Data Source'!B295&lt;&gt;"",'Data Source'!S295="A+"),IF('Data Source'!AC295&gt;=5,"A+",IF('Data Source'!AC295&gt;=4,"A",IF('Data Source'!AC295&gt;=3.5,"A-",IF('Data Source'!AC295&gt;=3,"B",IF('Data Source'!AC295&gt;=2,"C",IF('Data Source'!AC295&gt;=1,"D","F")))))),"")</f>
        <v/>
      </c>
      <c r="L295" s="3">
        <f>IF(AND('Data Source'!B295&lt;&gt;"",'Data Source'!S295="A+"),IF('Data Source'!AD295&gt;=5,"A+",IF('Data Source'!AD295&gt;=4,"A",IF('Data Source'!AD295&gt;=3.5,"A-",IF('Data Source'!AD295&gt;=3,"B",IF('Data Source'!AD295&gt;=2,"C",IF('Data Source'!AD295&gt;=1,"D","F")))))),"")</f>
        <v/>
      </c>
      <c r="M295" s="3">
        <f>IF(AND('Data Source'!B295&lt;&gt;"",'Data Source'!S295="A+"),IF('Data Source'!AE295&gt;=5,"A+",IF('Data Source'!AE295&gt;=4,"A",IF('Data Source'!AE295&gt;=3.5,"A-",IF('Data Source'!AE295&gt;=3,"B",IF('Data Source'!AE295&gt;=2,"C",IF('Data Source'!AE295&gt;=1,"D","F")))))),"")</f>
        <v/>
      </c>
      <c r="N295" s="3">
        <f>IF(AND('Data Source'!B295&lt;&gt;"",'Data Source'!S295="A+"),IF('Data Source'!AF295&gt;=5,"A+",IF('Data Source'!AF295&gt;=4,"A",IF('Data Source'!AF295&gt;=3.5,"A-",IF('Data Source'!AF295&gt;=3,"B",IF('Data Source'!AF295&gt;=2,"C",IF('Data Source'!AF295&gt;=1,"D","F")))))),"")</f>
        <v/>
      </c>
      <c r="O295" s="3">
        <f>IF(AND('Data Source'!B295&lt;&gt;"",'Data Source'!S295="A+"),IF('Data Source'!AG295&gt;=5,"A+",IF('Data Source'!AG295&gt;=4,"A",IF('Data Source'!AG295&gt;=3.5,"A-",IF('Data Source'!AG295&gt;=3,"B",IF('Data Source'!AG295&gt;=2,"C",IF('Data Source'!AG295&gt;=1,"D","F")))))),"")</f>
        <v/>
      </c>
      <c r="P295" s="5">
        <f>IF(AND('Data Source'!B295&lt;&gt;"",'Data Source'!S295="A+"),'Data Source'!R295,"")</f>
        <v/>
      </c>
      <c r="Q295" s="3">
        <f>IF(AND('Data Source'!B295&lt;&gt;"",'Data Source'!S295="A+"),'Data Source'!S295,"")</f>
        <v/>
      </c>
    </row>
    <row r="296">
      <c r="A296" s="3">
        <f>IF(AND('Data Source'!B296&lt;&gt;"",'Data Source'!S296="A+"),COUNTIF('Data Source'!$S$3:S296,"A+"),"")</f>
        <v/>
      </c>
      <c r="B296">
        <f>IF(AND('Data Source'!B296&lt;&gt;"",'Data Source'!S296="A+"),'Data Source'!B296,"")</f>
        <v/>
      </c>
      <c r="C296" s="3">
        <f>IF(AND('Data Source'!B296&lt;&gt;"",'Data Source'!S296="A+"),IF('Data Source'!U296&gt;=5,"A+",IF('Data Source'!U296&gt;=4,"A",IF('Data Source'!U296&gt;=3.5,"A-",IF('Data Source'!U296&gt;=3,"B",IF('Data Source'!U296&gt;=2,"C",IF('Data Source'!U296&gt;=1,"D","F")))))),"")</f>
        <v/>
      </c>
      <c r="D296" s="3">
        <f>IF(AND('Data Source'!B296&lt;&gt;"",'Data Source'!S296="A+"),IF('Data Source'!V296&gt;=5,"A+",IF('Data Source'!V296&gt;=4,"A",IF('Data Source'!V296&gt;=3.5,"A-",IF('Data Source'!V296&gt;=3,"B",IF('Data Source'!V296&gt;=2,"C",IF('Data Source'!V296&gt;=1,"D","F")))))),"")</f>
        <v/>
      </c>
      <c r="E296" s="3">
        <f>IF(AND('Data Source'!B296&lt;&gt;"",'Data Source'!S296="A+"),IF('Data Source'!W296&gt;=5,"A+",IF('Data Source'!W296&gt;=4,"A",IF('Data Source'!W296&gt;=3.5,"A-",IF('Data Source'!W296&gt;=3,"B",IF('Data Source'!W296&gt;=2,"C",IF('Data Source'!W296&gt;=1,"D","F")))))),"")</f>
        <v/>
      </c>
      <c r="F296" s="3">
        <f>IF(AND('Data Source'!B296&lt;&gt;"",'Data Source'!S296="A+"),IF('Data Source'!X296&gt;=5,"A+",IF('Data Source'!X296&gt;=4,"A",IF('Data Source'!X296&gt;=3.5,"A-",IF('Data Source'!X296&gt;=3,"B",IF('Data Source'!X296&gt;=2,"C",IF('Data Source'!X296&gt;=1,"D","F")))))),"")</f>
        <v/>
      </c>
      <c r="G296" s="3">
        <f>IF(AND('Data Source'!B296&lt;&gt;"",'Data Source'!S296="A+"),IF('Data Source'!Y296&gt;=5,"A+",IF('Data Source'!Y296&gt;=4,"A",IF('Data Source'!Y296&gt;=3.5,"A-",IF('Data Source'!Y296&gt;=3,"B",IF('Data Source'!Y296&gt;=2,"C",IF('Data Source'!Y296&gt;=1,"D","F")))))),"")</f>
        <v/>
      </c>
      <c r="H296" s="3">
        <f>IF(AND('Data Source'!B296&lt;&gt;"",'Data Source'!S296="A+"),IF('Data Source'!Z296&gt;=5,"A+",IF('Data Source'!Z296&gt;=4,"A",IF('Data Source'!Z296&gt;=3.5,"A-",IF('Data Source'!Z296&gt;=3,"B",IF('Data Source'!Z296&gt;=2,"C",IF('Data Source'!Z296&gt;=1,"D","F")))))),"")</f>
        <v/>
      </c>
      <c r="I296" s="3">
        <f>IF(AND('Data Source'!B296&lt;&gt;"",'Data Source'!S296="A+"),IF('Data Source'!AA296&gt;=5,"A+",IF('Data Source'!AA296&gt;=4,"A",IF('Data Source'!AA296&gt;=3.5,"A-",IF('Data Source'!AA296&gt;=3,"B",IF('Data Source'!AA296&gt;=2,"C",IF('Data Source'!AA296&gt;=1,"D","F")))))),"")</f>
        <v/>
      </c>
      <c r="J296" s="3">
        <f>IF(AND('Data Source'!B296&lt;&gt;"",'Data Source'!S296="A+"),IF('Data Source'!AB296&gt;=5,"A+",IF('Data Source'!AB296&gt;=4,"A",IF('Data Source'!AB296&gt;=3.5,"A-",IF('Data Source'!AB296&gt;=3,"B",IF('Data Source'!AB296&gt;=2,"C",IF('Data Source'!AB296&gt;=1,"D","F")))))),"")</f>
        <v/>
      </c>
      <c r="K296" s="3">
        <f>IF(AND('Data Source'!B296&lt;&gt;"",'Data Source'!S296="A+"),IF('Data Source'!AC296&gt;=5,"A+",IF('Data Source'!AC296&gt;=4,"A",IF('Data Source'!AC296&gt;=3.5,"A-",IF('Data Source'!AC296&gt;=3,"B",IF('Data Source'!AC296&gt;=2,"C",IF('Data Source'!AC296&gt;=1,"D","F")))))),"")</f>
        <v/>
      </c>
      <c r="L296" s="3">
        <f>IF(AND('Data Source'!B296&lt;&gt;"",'Data Source'!S296="A+"),IF('Data Source'!AD296&gt;=5,"A+",IF('Data Source'!AD296&gt;=4,"A",IF('Data Source'!AD296&gt;=3.5,"A-",IF('Data Source'!AD296&gt;=3,"B",IF('Data Source'!AD296&gt;=2,"C",IF('Data Source'!AD296&gt;=1,"D","F")))))),"")</f>
        <v/>
      </c>
      <c r="M296" s="3">
        <f>IF(AND('Data Source'!B296&lt;&gt;"",'Data Source'!S296="A+"),IF('Data Source'!AE296&gt;=5,"A+",IF('Data Source'!AE296&gt;=4,"A",IF('Data Source'!AE296&gt;=3.5,"A-",IF('Data Source'!AE296&gt;=3,"B",IF('Data Source'!AE296&gt;=2,"C",IF('Data Source'!AE296&gt;=1,"D","F")))))),"")</f>
        <v/>
      </c>
      <c r="N296" s="3">
        <f>IF(AND('Data Source'!B296&lt;&gt;"",'Data Source'!S296="A+"),IF('Data Source'!AF296&gt;=5,"A+",IF('Data Source'!AF296&gt;=4,"A",IF('Data Source'!AF296&gt;=3.5,"A-",IF('Data Source'!AF296&gt;=3,"B",IF('Data Source'!AF296&gt;=2,"C",IF('Data Source'!AF296&gt;=1,"D","F")))))),"")</f>
        <v/>
      </c>
      <c r="O296" s="3">
        <f>IF(AND('Data Source'!B296&lt;&gt;"",'Data Source'!S296="A+"),IF('Data Source'!AG296&gt;=5,"A+",IF('Data Source'!AG296&gt;=4,"A",IF('Data Source'!AG296&gt;=3.5,"A-",IF('Data Source'!AG296&gt;=3,"B",IF('Data Source'!AG296&gt;=2,"C",IF('Data Source'!AG296&gt;=1,"D","F")))))),"")</f>
        <v/>
      </c>
      <c r="P296" s="5">
        <f>IF(AND('Data Source'!B296&lt;&gt;"",'Data Source'!S296="A+"),'Data Source'!R296,"")</f>
        <v/>
      </c>
      <c r="Q296" s="3">
        <f>IF(AND('Data Source'!B296&lt;&gt;"",'Data Source'!S296="A+"),'Data Source'!S296,"")</f>
        <v/>
      </c>
    </row>
    <row r="297">
      <c r="A297" s="3">
        <f>IF(AND('Data Source'!B297&lt;&gt;"",'Data Source'!S297="A+"),COUNTIF('Data Source'!$S$3:S297,"A+"),"")</f>
        <v/>
      </c>
      <c r="B297">
        <f>IF(AND('Data Source'!B297&lt;&gt;"",'Data Source'!S297="A+"),'Data Source'!B297,"")</f>
        <v/>
      </c>
      <c r="C297" s="3">
        <f>IF(AND('Data Source'!B297&lt;&gt;"",'Data Source'!S297="A+"),IF('Data Source'!U297&gt;=5,"A+",IF('Data Source'!U297&gt;=4,"A",IF('Data Source'!U297&gt;=3.5,"A-",IF('Data Source'!U297&gt;=3,"B",IF('Data Source'!U297&gt;=2,"C",IF('Data Source'!U297&gt;=1,"D","F")))))),"")</f>
        <v/>
      </c>
      <c r="D297" s="3">
        <f>IF(AND('Data Source'!B297&lt;&gt;"",'Data Source'!S297="A+"),IF('Data Source'!V297&gt;=5,"A+",IF('Data Source'!V297&gt;=4,"A",IF('Data Source'!V297&gt;=3.5,"A-",IF('Data Source'!V297&gt;=3,"B",IF('Data Source'!V297&gt;=2,"C",IF('Data Source'!V297&gt;=1,"D","F")))))),"")</f>
        <v/>
      </c>
      <c r="E297" s="3">
        <f>IF(AND('Data Source'!B297&lt;&gt;"",'Data Source'!S297="A+"),IF('Data Source'!W297&gt;=5,"A+",IF('Data Source'!W297&gt;=4,"A",IF('Data Source'!W297&gt;=3.5,"A-",IF('Data Source'!W297&gt;=3,"B",IF('Data Source'!W297&gt;=2,"C",IF('Data Source'!W297&gt;=1,"D","F")))))),"")</f>
        <v/>
      </c>
      <c r="F297" s="3">
        <f>IF(AND('Data Source'!B297&lt;&gt;"",'Data Source'!S297="A+"),IF('Data Source'!X297&gt;=5,"A+",IF('Data Source'!X297&gt;=4,"A",IF('Data Source'!X297&gt;=3.5,"A-",IF('Data Source'!X297&gt;=3,"B",IF('Data Source'!X297&gt;=2,"C",IF('Data Source'!X297&gt;=1,"D","F")))))),"")</f>
        <v/>
      </c>
      <c r="G297" s="3">
        <f>IF(AND('Data Source'!B297&lt;&gt;"",'Data Source'!S297="A+"),IF('Data Source'!Y297&gt;=5,"A+",IF('Data Source'!Y297&gt;=4,"A",IF('Data Source'!Y297&gt;=3.5,"A-",IF('Data Source'!Y297&gt;=3,"B",IF('Data Source'!Y297&gt;=2,"C",IF('Data Source'!Y297&gt;=1,"D","F")))))),"")</f>
        <v/>
      </c>
      <c r="H297" s="3">
        <f>IF(AND('Data Source'!B297&lt;&gt;"",'Data Source'!S297="A+"),IF('Data Source'!Z297&gt;=5,"A+",IF('Data Source'!Z297&gt;=4,"A",IF('Data Source'!Z297&gt;=3.5,"A-",IF('Data Source'!Z297&gt;=3,"B",IF('Data Source'!Z297&gt;=2,"C",IF('Data Source'!Z297&gt;=1,"D","F")))))),"")</f>
        <v/>
      </c>
      <c r="I297" s="3">
        <f>IF(AND('Data Source'!B297&lt;&gt;"",'Data Source'!S297="A+"),IF('Data Source'!AA297&gt;=5,"A+",IF('Data Source'!AA297&gt;=4,"A",IF('Data Source'!AA297&gt;=3.5,"A-",IF('Data Source'!AA297&gt;=3,"B",IF('Data Source'!AA297&gt;=2,"C",IF('Data Source'!AA297&gt;=1,"D","F")))))),"")</f>
        <v/>
      </c>
      <c r="J297" s="3">
        <f>IF(AND('Data Source'!B297&lt;&gt;"",'Data Source'!S297="A+"),IF('Data Source'!AB297&gt;=5,"A+",IF('Data Source'!AB297&gt;=4,"A",IF('Data Source'!AB297&gt;=3.5,"A-",IF('Data Source'!AB297&gt;=3,"B",IF('Data Source'!AB297&gt;=2,"C",IF('Data Source'!AB297&gt;=1,"D","F")))))),"")</f>
        <v/>
      </c>
      <c r="K297" s="3">
        <f>IF(AND('Data Source'!B297&lt;&gt;"",'Data Source'!S297="A+"),IF('Data Source'!AC297&gt;=5,"A+",IF('Data Source'!AC297&gt;=4,"A",IF('Data Source'!AC297&gt;=3.5,"A-",IF('Data Source'!AC297&gt;=3,"B",IF('Data Source'!AC297&gt;=2,"C",IF('Data Source'!AC297&gt;=1,"D","F")))))),"")</f>
        <v/>
      </c>
      <c r="L297" s="3">
        <f>IF(AND('Data Source'!B297&lt;&gt;"",'Data Source'!S297="A+"),IF('Data Source'!AD297&gt;=5,"A+",IF('Data Source'!AD297&gt;=4,"A",IF('Data Source'!AD297&gt;=3.5,"A-",IF('Data Source'!AD297&gt;=3,"B",IF('Data Source'!AD297&gt;=2,"C",IF('Data Source'!AD297&gt;=1,"D","F")))))),"")</f>
        <v/>
      </c>
      <c r="M297" s="3">
        <f>IF(AND('Data Source'!B297&lt;&gt;"",'Data Source'!S297="A+"),IF('Data Source'!AE297&gt;=5,"A+",IF('Data Source'!AE297&gt;=4,"A",IF('Data Source'!AE297&gt;=3.5,"A-",IF('Data Source'!AE297&gt;=3,"B",IF('Data Source'!AE297&gt;=2,"C",IF('Data Source'!AE297&gt;=1,"D","F")))))),"")</f>
        <v/>
      </c>
      <c r="N297" s="3">
        <f>IF(AND('Data Source'!B297&lt;&gt;"",'Data Source'!S297="A+"),IF('Data Source'!AF297&gt;=5,"A+",IF('Data Source'!AF297&gt;=4,"A",IF('Data Source'!AF297&gt;=3.5,"A-",IF('Data Source'!AF297&gt;=3,"B",IF('Data Source'!AF297&gt;=2,"C",IF('Data Source'!AF297&gt;=1,"D","F")))))),"")</f>
        <v/>
      </c>
      <c r="O297" s="3">
        <f>IF(AND('Data Source'!B297&lt;&gt;"",'Data Source'!S297="A+"),IF('Data Source'!AG297&gt;=5,"A+",IF('Data Source'!AG297&gt;=4,"A",IF('Data Source'!AG297&gt;=3.5,"A-",IF('Data Source'!AG297&gt;=3,"B",IF('Data Source'!AG297&gt;=2,"C",IF('Data Source'!AG297&gt;=1,"D","F")))))),"")</f>
        <v/>
      </c>
      <c r="P297" s="5">
        <f>IF(AND('Data Source'!B297&lt;&gt;"",'Data Source'!S297="A+"),'Data Source'!R297,"")</f>
        <v/>
      </c>
      <c r="Q297" s="3">
        <f>IF(AND('Data Source'!B297&lt;&gt;"",'Data Source'!S297="A+"),'Data Source'!S297,"")</f>
        <v/>
      </c>
    </row>
    <row r="298">
      <c r="A298" s="3">
        <f>IF(AND('Data Source'!B298&lt;&gt;"",'Data Source'!S298="A+"),COUNTIF('Data Source'!$S$3:S298,"A+"),"")</f>
        <v/>
      </c>
      <c r="B298">
        <f>IF(AND('Data Source'!B298&lt;&gt;"",'Data Source'!S298="A+"),'Data Source'!B298,"")</f>
        <v/>
      </c>
      <c r="C298" s="3">
        <f>IF(AND('Data Source'!B298&lt;&gt;"",'Data Source'!S298="A+"),IF('Data Source'!U298&gt;=5,"A+",IF('Data Source'!U298&gt;=4,"A",IF('Data Source'!U298&gt;=3.5,"A-",IF('Data Source'!U298&gt;=3,"B",IF('Data Source'!U298&gt;=2,"C",IF('Data Source'!U298&gt;=1,"D","F")))))),"")</f>
        <v/>
      </c>
      <c r="D298" s="3">
        <f>IF(AND('Data Source'!B298&lt;&gt;"",'Data Source'!S298="A+"),IF('Data Source'!V298&gt;=5,"A+",IF('Data Source'!V298&gt;=4,"A",IF('Data Source'!V298&gt;=3.5,"A-",IF('Data Source'!V298&gt;=3,"B",IF('Data Source'!V298&gt;=2,"C",IF('Data Source'!V298&gt;=1,"D","F")))))),"")</f>
        <v/>
      </c>
      <c r="E298" s="3">
        <f>IF(AND('Data Source'!B298&lt;&gt;"",'Data Source'!S298="A+"),IF('Data Source'!W298&gt;=5,"A+",IF('Data Source'!W298&gt;=4,"A",IF('Data Source'!W298&gt;=3.5,"A-",IF('Data Source'!W298&gt;=3,"B",IF('Data Source'!W298&gt;=2,"C",IF('Data Source'!W298&gt;=1,"D","F")))))),"")</f>
        <v/>
      </c>
      <c r="F298" s="3">
        <f>IF(AND('Data Source'!B298&lt;&gt;"",'Data Source'!S298="A+"),IF('Data Source'!X298&gt;=5,"A+",IF('Data Source'!X298&gt;=4,"A",IF('Data Source'!X298&gt;=3.5,"A-",IF('Data Source'!X298&gt;=3,"B",IF('Data Source'!X298&gt;=2,"C",IF('Data Source'!X298&gt;=1,"D","F")))))),"")</f>
        <v/>
      </c>
      <c r="G298" s="3">
        <f>IF(AND('Data Source'!B298&lt;&gt;"",'Data Source'!S298="A+"),IF('Data Source'!Y298&gt;=5,"A+",IF('Data Source'!Y298&gt;=4,"A",IF('Data Source'!Y298&gt;=3.5,"A-",IF('Data Source'!Y298&gt;=3,"B",IF('Data Source'!Y298&gt;=2,"C",IF('Data Source'!Y298&gt;=1,"D","F")))))),"")</f>
        <v/>
      </c>
      <c r="H298" s="3">
        <f>IF(AND('Data Source'!B298&lt;&gt;"",'Data Source'!S298="A+"),IF('Data Source'!Z298&gt;=5,"A+",IF('Data Source'!Z298&gt;=4,"A",IF('Data Source'!Z298&gt;=3.5,"A-",IF('Data Source'!Z298&gt;=3,"B",IF('Data Source'!Z298&gt;=2,"C",IF('Data Source'!Z298&gt;=1,"D","F")))))),"")</f>
        <v/>
      </c>
      <c r="I298" s="3">
        <f>IF(AND('Data Source'!B298&lt;&gt;"",'Data Source'!S298="A+"),IF('Data Source'!AA298&gt;=5,"A+",IF('Data Source'!AA298&gt;=4,"A",IF('Data Source'!AA298&gt;=3.5,"A-",IF('Data Source'!AA298&gt;=3,"B",IF('Data Source'!AA298&gt;=2,"C",IF('Data Source'!AA298&gt;=1,"D","F")))))),"")</f>
        <v/>
      </c>
      <c r="J298" s="3">
        <f>IF(AND('Data Source'!B298&lt;&gt;"",'Data Source'!S298="A+"),IF('Data Source'!AB298&gt;=5,"A+",IF('Data Source'!AB298&gt;=4,"A",IF('Data Source'!AB298&gt;=3.5,"A-",IF('Data Source'!AB298&gt;=3,"B",IF('Data Source'!AB298&gt;=2,"C",IF('Data Source'!AB298&gt;=1,"D","F")))))),"")</f>
        <v/>
      </c>
      <c r="K298" s="3">
        <f>IF(AND('Data Source'!B298&lt;&gt;"",'Data Source'!S298="A+"),IF('Data Source'!AC298&gt;=5,"A+",IF('Data Source'!AC298&gt;=4,"A",IF('Data Source'!AC298&gt;=3.5,"A-",IF('Data Source'!AC298&gt;=3,"B",IF('Data Source'!AC298&gt;=2,"C",IF('Data Source'!AC298&gt;=1,"D","F")))))),"")</f>
        <v/>
      </c>
      <c r="L298" s="3">
        <f>IF(AND('Data Source'!B298&lt;&gt;"",'Data Source'!S298="A+"),IF('Data Source'!AD298&gt;=5,"A+",IF('Data Source'!AD298&gt;=4,"A",IF('Data Source'!AD298&gt;=3.5,"A-",IF('Data Source'!AD298&gt;=3,"B",IF('Data Source'!AD298&gt;=2,"C",IF('Data Source'!AD298&gt;=1,"D","F")))))),"")</f>
        <v/>
      </c>
      <c r="M298" s="3">
        <f>IF(AND('Data Source'!B298&lt;&gt;"",'Data Source'!S298="A+"),IF('Data Source'!AE298&gt;=5,"A+",IF('Data Source'!AE298&gt;=4,"A",IF('Data Source'!AE298&gt;=3.5,"A-",IF('Data Source'!AE298&gt;=3,"B",IF('Data Source'!AE298&gt;=2,"C",IF('Data Source'!AE298&gt;=1,"D","F")))))),"")</f>
        <v/>
      </c>
      <c r="N298" s="3">
        <f>IF(AND('Data Source'!B298&lt;&gt;"",'Data Source'!S298="A+"),IF('Data Source'!AF298&gt;=5,"A+",IF('Data Source'!AF298&gt;=4,"A",IF('Data Source'!AF298&gt;=3.5,"A-",IF('Data Source'!AF298&gt;=3,"B",IF('Data Source'!AF298&gt;=2,"C",IF('Data Source'!AF298&gt;=1,"D","F")))))),"")</f>
        <v/>
      </c>
      <c r="O298" s="3">
        <f>IF(AND('Data Source'!B298&lt;&gt;"",'Data Source'!S298="A+"),IF('Data Source'!AG298&gt;=5,"A+",IF('Data Source'!AG298&gt;=4,"A",IF('Data Source'!AG298&gt;=3.5,"A-",IF('Data Source'!AG298&gt;=3,"B",IF('Data Source'!AG298&gt;=2,"C",IF('Data Source'!AG298&gt;=1,"D","F")))))),"")</f>
        <v/>
      </c>
      <c r="P298" s="5">
        <f>IF(AND('Data Source'!B298&lt;&gt;"",'Data Source'!S298="A+"),'Data Source'!R298,"")</f>
        <v/>
      </c>
      <c r="Q298" s="3">
        <f>IF(AND('Data Source'!B298&lt;&gt;"",'Data Source'!S298="A+"),'Data Source'!S298,"")</f>
        <v/>
      </c>
    </row>
    <row r="299">
      <c r="A299" s="3">
        <f>IF(AND('Data Source'!B299&lt;&gt;"",'Data Source'!S299="A+"),COUNTIF('Data Source'!$S$3:S299,"A+"),"")</f>
        <v/>
      </c>
      <c r="B299">
        <f>IF(AND('Data Source'!B299&lt;&gt;"",'Data Source'!S299="A+"),'Data Source'!B299,"")</f>
        <v/>
      </c>
      <c r="C299" s="3">
        <f>IF(AND('Data Source'!B299&lt;&gt;"",'Data Source'!S299="A+"),IF('Data Source'!U299&gt;=5,"A+",IF('Data Source'!U299&gt;=4,"A",IF('Data Source'!U299&gt;=3.5,"A-",IF('Data Source'!U299&gt;=3,"B",IF('Data Source'!U299&gt;=2,"C",IF('Data Source'!U299&gt;=1,"D","F")))))),"")</f>
        <v/>
      </c>
      <c r="D299" s="3">
        <f>IF(AND('Data Source'!B299&lt;&gt;"",'Data Source'!S299="A+"),IF('Data Source'!V299&gt;=5,"A+",IF('Data Source'!V299&gt;=4,"A",IF('Data Source'!V299&gt;=3.5,"A-",IF('Data Source'!V299&gt;=3,"B",IF('Data Source'!V299&gt;=2,"C",IF('Data Source'!V299&gt;=1,"D","F")))))),"")</f>
        <v/>
      </c>
      <c r="E299" s="3">
        <f>IF(AND('Data Source'!B299&lt;&gt;"",'Data Source'!S299="A+"),IF('Data Source'!W299&gt;=5,"A+",IF('Data Source'!W299&gt;=4,"A",IF('Data Source'!W299&gt;=3.5,"A-",IF('Data Source'!W299&gt;=3,"B",IF('Data Source'!W299&gt;=2,"C",IF('Data Source'!W299&gt;=1,"D","F")))))),"")</f>
        <v/>
      </c>
      <c r="F299" s="3">
        <f>IF(AND('Data Source'!B299&lt;&gt;"",'Data Source'!S299="A+"),IF('Data Source'!X299&gt;=5,"A+",IF('Data Source'!X299&gt;=4,"A",IF('Data Source'!X299&gt;=3.5,"A-",IF('Data Source'!X299&gt;=3,"B",IF('Data Source'!X299&gt;=2,"C",IF('Data Source'!X299&gt;=1,"D","F")))))),"")</f>
        <v/>
      </c>
      <c r="G299" s="3">
        <f>IF(AND('Data Source'!B299&lt;&gt;"",'Data Source'!S299="A+"),IF('Data Source'!Y299&gt;=5,"A+",IF('Data Source'!Y299&gt;=4,"A",IF('Data Source'!Y299&gt;=3.5,"A-",IF('Data Source'!Y299&gt;=3,"B",IF('Data Source'!Y299&gt;=2,"C",IF('Data Source'!Y299&gt;=1,"D","F")))))),"")</f>
        <v/>
      </c>
      <c r="H299" s="3">
        <f>IF(AND('Data Source'!B299&lt;&gt;"",'Data Source'!S299="A+"),IF('Data Source'!Z299&gt;=5,"A+",IF('Data Source'!Z299&gt;=4,"A",IF('Data Source'!Z299&gt;=3.5,"A-",IF('Data Source'!Z299&gt;=3,"B",IF('Data Source'!Z299&gt;=2,"C",IF('Data Source'!Z299&gt;=1,"D","F")))))),"")</f>
        <v/>
      </c>
      <c r="I299" s="3">
        <f>IF(AND('Data Source'!B299&lt;&gt;"",'Data Source'!S299="A+"),IF('Data Source'!AA299&gt;=5,"A+",IF('Data Source'!AA299&gt;=4,"A",IF('Data Source'!AA299&gt;=3.5,"A-",IF('Data Source'!AA299&gt;=3,"B",IF('Data Source'!AA299&gt;=2,"C",IF('Data Source'!AA299&gt;=1,"D","F")))))),"")</f>
        <v/>
      </c>
      <c r="J299" s="3">
        <f>IF(AND('Data Source'!B299&lt;&gt;"",'Data Source'!S299="A+"),IF('Data Source'!AB299&gt;=5,"A+",IF('Data Source'!AB299&gt;=4,"A",IF('Data Source'!AB299&gt;=3.5,"A-",IF('Data Source'!AB299&gt;=3,"B",IF('Data Source'!AB299&gt;=2,"C",IF('Data Source'!AB299&gt;=1,"D","F")))))),"")</f>
        <v/>
      </c>
      <c r="K299" s="3">
        <f>IF(AND('Data Source'!B299&lt;&gt;"",'Data Source'!S299="A+"),IF('Data Source'!AC299&gt;=5,"A+",IF('Data Source'!AC299&gt;=4,"A",IF('Data Source'!AC299&gt;=3.5,"A-",IF('Data Source'!AC299&gt;=3,"B",IF('Data Source'!AC299&gt;=2,"C",IF('Data Source'!AC299&gt;=1,"D","F")))))),"")</f>
        <v/>
      </c>
      <c r="L299" s="3">
        <f>IF(AND('Data Source'!B299&lt;&gt;"",'Data Source'!S299="A+"),IF('Data Source'!AD299&gt;=5,"A+",IF('Data Source'!AD299&gt;=4,"A",IF('Data Source'!AD299&gt;=3.5,"A-",IF('Data Source'!AD299&gt;=3,"B",IF('Data Source'!AD299&gt;=2,"C",IF('Data Source'!AD299&gt;=1,"D","F")))))),"")</f>
        <v/>
      </c>
      <c r="M299" s="3">
        <f>IF(AND('Data Source'!B299&lt;&gt;"",'Data Source'!S299="A+"),IF('Data Source'!AE299&gt;=5,"A+",IF('Data Source'!AE299&gt;=4,"A",IF('Data Source'!AE299&gt;=3.5,"A-",IF('Data Source'!AE299&gt;=3,"B",IF('Data Source'!AE299&gt;=2,"C",IF('Data Source'!AE299&gt;=1,"D","F")))))),"")</f>
        <v/>
      </c>
      <c r="N299" s="3">
        <f>IF(AND('Data Source'!B299&lt;&gt;"",'Data Source'!S299="A+"),IF('Data Source'!AF299&gt;=5,"A+",IF('Data Source'!AF299&gt;=4,"A",IF('Data Source'!AF299&gt;=3.5,"A-",IF('Data Source'!AF299&gt;=3,"B",IF('Data Source'!AF299&gt;=2,"C",IF('Data Source'!AF299&gt;=1,"D","F")))))),"")</f>
        <v/>
      </c>
      <c r="O299" s="3">
        <f>IF(AND('Data Source'!B299&lt;&gt;"",'Data Source'!S299="A+"),IF('Data Source'!AG299&gt;=5,"A+",IF('Data Source'!AG299&gt;=4,"A",IF('Data Source'!AG299&gt;=3.5,"A-",IF('Data Source'!AG299&gt;=3,"B",IF('Data Source'!AG299&gt;=2,"C",IF('Data Source'!AG299&gt;=1,"D","F")))))),"")</f>
        <v/>
      </c>
      <c r="P299" s="5">
        <f>IF(AND('Data Source'!B299&lt;&gt;"",'Data Source'!S299="A+"),'Data Source'!R299,"")</f>
        <v/>
      </c>
      <c r="Q299" s="3">
        <f>IF(AND('Data Source'!B299&lt;&gt;"",'Data Source'!S299="A+"),'Data Source'!S299,"")</f>
        <v/>
      </c>
    </row>
    <row r="300">
      <c r="A300" s="3">
        <f>IF(AND('Data Source'!B300&lt;&gt;"",'Data Source'!S300="A+"),COUNTIF('Data Source'!$S$3:S300,"A+"),"")</f>
        <v/>
      </c>
      <c r="B300">
        <f>IF(AND('Data Source'!B300&lt;&gt;"",'Data Source'!S300="A+"),'Data Source'!B300,"")</f>
        <v/>
      </c>
      <c r="C300" s="3">
        <f>IF(AND('Data Source'!B300&lt;&gt;"",'Data Source'!S300="A+"),IF('Data Source'!U300&gt;=5,"A+",IF('Data Source'!U300&gt;=4,"A",IF('Data Source'!U300&gt;=3.5,"A-",IF('Data Source'!U300&gt;=3,"B",IF('Data Source'!U300&gt;=2,"C",IF('Data Source'!U300&gt;=1,"D","F")))))),"")</f>
        <v/>
      </c>
      <c r="D300" s="3">
        <f>IF(AND('Data Source'!B300&lt;&gt;"",'Data Source'!S300="A+"),IF('Data Source'!V300&gt;=5,"A+",IF('Data Source'!V300&gt;=4,"A",IF('Data Source'!V300&gt;=3.5,"A-",IF('Data Source'!V300&gt;=3,"B",IF('Data Source'!V300&gt;=2,"C",IF('Data Source'!V300&gt;=1,"D","F")))))),"")</f>
        <v/>
      </c>
      <c r="E300" s="3">
        <f>IF(AND('Data Source'!B300&lt;&gt;"",'Data Source'!S300="A+"),IF('Data Source'!W300&gt;=5,"A+",IF('Data Source'!W300&gt;=4,"A",IF('Data Source'!W300&gt;=3.5,"A-",IF('Data Source'!W300&gt;=3,"B",IF('Data Source'!W300&gt;=2,"C",IF('Data Source'!W300&gt;=1,"D","F")))))),"")</f>
        <v/>
      </c>
      <c r="F300" s="3">
        <f>IF(AND('Data Source'!B300&lt;&gt;"",'Data Source'!S300="A+"),IF('Data Source'!X300&gt;=5,"A+",IF('Data Source'!X300&gt;=4,"A",IF('Data Source'!X300&gt;=3.5,"A-",IF('Data Source'!X300&gt;=3,"B",IF('Data Source'!X300&gt;=2,"C",IF('Data Source'!X300&gt;=1,"D","F")))))),"")</f>
        <v/>
      </c>
      <c r="G300" s="3">
        <f>IF(AND('Data Source'!B300&lt;&gt;"",'Data Source'!S300="A+"),IF('Data Source'!Y300&gt;=5,"A+",IF('Data Source'!Y300&gt;=4,"A",IF('Data Source'!Y300&gt;=3.5,"A-",IF('Data Source'!Y300&gt;=3,"B",IF('Data Source'!Y300&gt;=2,"C",IF('Data Source'!Y300&gt;=1,"D","F")))))),"")</f>
        <v/>
      </c>
      <c r="H300" s="3">
        <f>IF(AND('Data Source'!B300&lt;&gt;"",'Data Source'!S300="A+"),IF('Data Source'!Z300&gt;=5,"A+",IF('Data Source'!Z300&gt;=4,"A",IF('Data Source'!Z300&gt;=3.5,"A-",IF('Data Source'!Z300&gt;=3,"B",IF('Data Source'!Z300&gt;=2,"C",IF('Data Source'!Z300&gt;=1,"D","F")))))),"")</f>
        <v/>
      </c>
      <c r="I300" s="3">
        <f>IF(AND('Data Source'!B300&lt;&gt;"",'Data Source'!S300="A+"),IF('Data Source'!AA300&gt;=5,"A+",IF('Data Source'!AA300&gt;=4,"A",IF('Data Source'!AA300&gt;=3.5,"A-",IF('Data Source'!AA300&gt;=3,"B",IF('Data Source'!AA300&gt;=2,"C",IF('Data Source'!AA300&gt;=1,"D","F")))))),"")</f>
        <v/>
      </c>
      <c r="J300" s="3">
        <f>IF(AND('Data Source'!B300&lt;&gt;"",'Data Source'!S300="A+"),IF('Data Source'!AB300&gt;=5,"A+",IF('Data Source'!AB300&gt;=4,"A",IF('Data Source'!AB300&gt;=3.5,"A-",IF('Data Source'!AB300&gt;=3,"B",IF('Data Source'!AB300&gt;=2,"C",IF('Data Source'!AB300&gt;=1,"D","F")))))),"")</f>
        <v/>
      </c>
      <c r="K300" s="3">
        <f>IF(AND('Data Source'!B300&lt;&gt;"",'Data Source'!S300="A+"),IF('Data Source'!AC300&gt;=5,"A+",IF('Data Source'!AC300&gt;=4,"A",IF('Data Source'!AC300&gt;=3.5,"A-",IF('Data Source'!AC300&gt;=3,"B",IF('Data Source'!AC300&gt;=2,"C",IF('Data Source'!AC300&gt;=1,"D","F")))))),"")</f>
        <v/>
      </c>
      <c r="L300" s="3">
        <f>IF(AND('Data Source'!B300&lt;&gt;"",'Data Source'!S300="A+"),IF('Data Source'!AD300&gt;=5,"A+",IF('Data Source'!AD300&gt;=4,"A",IF('Data Source'!AD300&gt;=3.5,"A-",IF('Data Source'!AD300&gt;=3,"B",IF('Data Source'!AD300&gt;=2,"C",IF('Data Source'!AD300&gt;=1,"D","F")))))),"")</f>
        <v/>
      </c>
      <c r="M300" s="3">
        <f>IF(AND('Data Source'!B300&lt;&gt;"",'Data Source'!S300="A+"),IF('Data Source'!AE300&gt;=5,"A+",IF('Data Source'!AE300&gt;=4,"A",IF('Data Source'!AE300&gt;=3.5,"A-",IF('Data Source'!AE300&gt;=3,"B",IF('Data Source'!AE300&gt;=2,"C",IF('Data Source'!AE300&gt;=1,"D","F")))))),"")</f>
        <v/>
      </c>
      <c r="N300" s="3">
        <f>IF(AND('Data Source'!B300&lt;&gt;"",'Data Source'!S300="A+"),IF('Data Source'!AF300&gt;=5,"A+",IF('Data Source'!AF300&gt;=4,"A",IF('Data Source'!AF300&gt;=3.5,"A-",IF('Data Source'!AF300&gt;=3,"B",IF('Data Source'!AF300&gt;=2,"C",IF('Data Source'!AF300&gt;=1,"D","F")))))),"")</f>
        <v/>
      </c>
      <c r="O300" s="3">
        <f>IF(AND('Data Source'!B300&lt;&gt;"",'Data Source'!S300="A+"),IF('Data Source'!AG300&gt;=5,"A+",IF('Data Source'!AG300&gt;=4,"A",IF('Data Source'!AG300&gt;=3.5,"A-",IF('Data Source'!AG300&gt;=3,"B",IF('Data Source'!AG300&gt;=2,"C",IF('Data Source'!AG300&gt;=1,"D","F")))))),"")</f>
        <v/>
      </c>
      <c r="P300" s="5">
        <f>IF(AND('Data Source'!B300&lt;&gt;"",'Data Source'!S300="A+"),'Data Source'!R300,"")</f>
        <v/>
      </c>
      <c r="Q300" s="3">
        <f>IF(AND('Data Source'!B300&lt;&gt;"",'Data Source'!S300="A+"),'Data Source'!S300,"")</f>
        <v/>
      </c>
    </row>
    <row r="301">
      <c r="A301" s="3">
        <f>IF(AND('Data Source'!B301&lt;&gt;"",'Data Source'!S301="A+"),COUNTIF('Data Source'!$S$3:S301,"A+"),"")</f>
        <v/>
      </c>
      <c r="B301">
        <f>IF(AND('Data Source'!B301&lt;&gt;"",'Data Source'!S301="A+"),'Data Source'!B301,"")</f>
        <v/>
      </c>
      <c r="C301" s="3">
        <f>IF(AND('Data Source'!B301&lt;&gt;"",'Data Source'!S301="A+"),IF('Data Source'!U301&gt;=5,"A+",IF('Data Source'!U301&gt;=4,"A",IF('Data Source'!U301&gt;=3.5,"A-",IF('Data Source'!U301&gt;=3,"B",IF('Data Source'!U301&gt;=2,"C",IF('Data Source'!U301&gt;=1,"D","F")))))),"")</f>
        <v/>
      </c>
      <c r="D301" s="3">
        <f>IF(AND('Data Source'!B301&lt;&gt;"",'Data Source'!S301="A+"),IF('Data Source'!V301&gt;=5,"A+",IF('Data Source'!V301&gt;=4,"A",IF('Data Source'!V301&gt;=3.5,"A-",IF('Data Source'!V301&gt;=3,"B",IF('Data Source'!V301&gt;=2,"C",IF('Data Source'!V301&gt;=1,"D","F")))))),"")</f>
        <v/>
      </c>
      <c r="E301" s="3">
        <f>IF(AND('Data Source'!B301&lt;&gt;"",'Data Source'!S301="A+"),IF('Data Source'!W301&gt;=5,"A+",IF('Data Source'!W301&gt;=4,"A",IF('Data Source'!W301&gt;=3.5,"A-",IF('Data Source'!W301&gt;=3,"B",IF('Data Source'!W301&gt;=2,"C",IF('Data Source'!W301&gt;=1,"D","F")))))),"")</f>
        <v/>
      </c>
      <c r="F301" s="3">
        <f>IF(AND('Data Source'!B301&lt;&gt;"",'Data Source'!S301="A+"),IF('Data Source'!X301&gt;=5,"A+",IF('Data Source'!X301&gt;=4,"A",IF('Data Source'!X301&gt;=3.5,"A-",IF('Data Source'!X301&gt;=3,"B",IF('Data Source'!X301&gt;=2,"C",IF('Data Source'!X301&gt;=1,"D","F")))))),"")</f>
        <v/>
      </c>
      <c r="G301" s="3">
        <f>IF(AND('Data Source'!B301&lt;&gt;"",'Data Source'!S301="A+"),IF('Data Source'!Y301&gt;=5,"A+",IF('Data Source'!Y301&gt;=4,"A",IF('Data Source'!Y301&gt;=3.5,"A-",IF('Data Source'!Y301&gt;=3,"B",IF('Data Source'!Y301&gt;=2,"C",IF('Data Source'!Y301&gt;=1,"D","F")))))),"")</f>
        <v/>
      </c>
      <c r="H301" s="3">
        <f>IF(AND('Data Source'!B301&lt;&gt;"",'Data Source'!S301="A+"),IF('Data Source'!Z301&gt;=5,"A+",IF('Data Source'!Z301&gt;=4,"A",IF('Data Source'!Z301&gt;=3.5,"A-",IF('Data Source'!Z301&gt;=3,"B",IF('Data Source'!Z301&gt;=2,"C",IF('Data Source'!Z301&gt;=1,"D","F")))))),"")</f>
        <v/>
      </c>
      <c r="I301" s="3">
        <f>IF(AND('Data Source'!B301&lt;&gt;"",'Data Source'!S301="A+"),IF('Data Source'!AA301&gt;=5,"A+",IF('Data Source'!AA301&gt;=4,"A",IF('Data Source'!AA301&gt;=3.5,"A-",IF('Data Source'!AA301&gt;=3,"B",IF('Data Source'!AA301&gt;=2,"C",IF('Data Source'!AA301&gt;=1,"D","F")))))),"")</f>
        <v/>
      </c>
      <c r="J301" s="3">
        <f>IF(AND('Data Source'!B301&lt;&gt;"",'Data Source'!S301="A+"),IF('Data Source'!AB301&gt;=5,"A+",IF('Data Source'!AB301&gt;=4,"A",IF('Data Source'!AB301&gt;=3.5,"A-",IF('Data Source'!AB301&gt;=3,"B",IF('Data Source'!AB301&gt;=2,"C",IF('Data Source'!AB301&gt;=1,"D","F")))))),"")</f>
        <v/>
      </c>
      <c r="K301" s="3">
        <f>IF(AND('Data Source'!B301&lt;&gt;"",'Data Source'!S301="A+"),IF('Data Source'!AC301&gt;=5,"A+",IF('Data Source'!AC301&gt;=4,"A",IF('Data Source'!AC301&gt;=3.5,"A-",IF('Data Source'!AC301&gt;=3,"B",IF('Data Source'!AC301&gt;=2,"C",IF('Data Source'!AC301&gt;=1,"D","F")))))),"")</f>
        <v/>
      </c>
      <c r="L301" s="3">
        <f>IF(AND('Data Source'!B301&lt;&gt;"",'Data Source'!S301="A+"),IF('Data Source'!AD301&gt;=5,"A+",IF('Data Source'!AD301&gt;=4,"A",IF('Data Source'!AD301&gt;=3.5,"A-",IF('Data Source'!AD301&gt;=3,"B",IF('Data Source'!AD301&gt;=2,"C",IF('Data Source'!AD301&gt;=1,"D","F")))))),"")</f>
        <v/>
      </c>
      <c r="M301" s="3">
        <f>IF(AND('Data Source'!B301&lt;&gt;"",'Data Source'!S301="A+"),IF('Data Source'!AE301&gt;=5,"A+",IF('Data Source'!AE301&gt;=4,"A",IF('Data Source'!AE301&gt;=3.5,"A-",IF('Data Source'!AE301&gt;=3,"B",IF('Data Source'!AE301&gt;=2,"C",IF('Data Source'!AE301&gt;=1,"D","F")))))),"")</f>
        <v/>
      </c>
      <c r="N301" s="3">
        <f>IF(AND('Data Source'!B301&lt;&gt;"",'Data Source'!S301="A+"),IF('Data Source'!AF301&gt;=5,"A+",IF('Data Source'!AF301&gt;=4,"A",IF('Data Source'!AF301&gt;=3.5,"A-",IF('Data Source'!AF301&gt;=3,"B",IF('Data Source'!AF301&gt;=2,"C",IF('Data Source'!AF301&gt;=1,"D","F")))))),"")</f>
        <v/>
      </c>
      <c r="O301" s="3">
        <f>IF(AND('Data Source'!B301&lt;&gt;"",'Data Source'!S301="A+"),IF('Data Source'!AG301&gt;=5,"A+",IF('Data Source'!AG301&gt;=4,"A",IF('Data Source'!AG301&gt;=3.5,"A-",IF('Data Source'!AG301&gt;=3,"B",IF('Data Source'!AG301&gt;=2,"C",IF('Data Source'!AG301&gt;=1,"D","F")))))),"")</f>
        <v/>
      </c>
      <c r="P301" s="5">
        <f>IF(AND('Data Source'!B301&lt;&gt;"",'Data Source'!S301="A+"),'Data Source'!R301,"")</f>
        <v/>
      </c>
      <c r="Q301" s="3">
        <f>IF(AND('Data Source'!B301&lt;&gt;"",'Data Source'!S301="A+"),'Data Source'!S301,"")</f>
        <v/>
      </c>
    </row>
    <row r="302">
      <c r="A302" s="3">
        <f>IF(AND('Data Source'!B302&lt;&gt;"",'Data Source'!S302="A+"),COUNTIF('Data Source'!$S$3:S302,"A+"),"")</f>
        <v/>
      </c>
      <c r="B302">
        <f>IF(AND('Data Source'!B302&lt;&gt;"",'Data Source'!S302="A+"),'Data Source'!B302,"")</f>
        <v/>
      </c>
      <c r="C302" s="3">
        <f>IF(AND('Data Source'!B302&lt;&gt;"",'Data Source'!S302="A+"),IF('Data Source'!U302&gt;=5,"A+",IF('Data Source'!U302&gt;=4,"A",IF('Data Source'!U302&gt;=3.5,"A-",IF('Data Source'!U302&gt;=3,"B",IF('Data Source'!U302&gt;=2,"C",IF('Data Source'!U302&gt;=1,"D","F")))))),"")</f>
        <v/>
      </c>
      <c r="D302" s="3">
        <f>IF(AND('Data Source'!B302&lt;&gt;"",'Data Source'!S302="A+"),IF('Data Source'!V302&gt;=5,"A+",IF('Data Source'!V302&gt;=4,"A",IF('Data Source'!V302&gt;=3.5,"A-",IF('Data Source'!V302&gt;=3,"B",IF('Data Source'!V302&gt;=2,"C",IF('Data Source'!V302&gt;=1,"D","F")))))),"")</f>
        <v/>
      </c>
      <c r="E302" s="3">
        <f>IF(AND('Data Source'!B302&lt;&gt;"",'Data Source'!S302="A+"),IF('Data Source'!W302&gt;=5,"A+",IF('Data Source'!W302&gt;=4,"A",IF('Data Source'!W302&gt;=3.5,"A-",IF('Data Source'!W302&gt;=3,"B",IF('Data Source'!W302&gt;=2,"C",IF('Data Source'!W302&gt;=1,"D","F")))))),"")</f>
        <v/>
      </c>
      <c r="F302" s="3">
        <f>IF(AND('Data Source'!B302&lt;&gt;"",'Data Source'!S302="A+"),IF('Data Source'!X302&gt;=5,"A+",IF('Data Source'!X302&gt;=4,"A",IF('Data Source'!X302&gt;=3.5,"A-",IF('Data Source'!X302&gt;=3,"B",IF('Data Source'!X302&gt;=2,"C",IF('Data Source'!X302&gt;=1,"D","F")))))),"")</f>
        <v/>
      </c>
      <c r="G302" s="3">
        <f>IF(AND('Data Source'!B302&lt;&gt;"",'Data Source'!S302="A+"),IF('Data Source'!Y302&gt;=5,"A+",IF('Data Source'!Y302&gt;=4,"A",IF('Data Source'!Y302&gt;=3.5,"A-",IF('Data Source'!Y302&gt;=3,"B",IF('Data Source'!Y302&gt;=2,"C",IF('Data Source'!Y302&gt;=1,"D","F")))))),"")</f>
        <v/>
      </c>
      <c r="H302" s="3">
        <f>IF(AND('Data Source'!B302&lt;&gt;"",'Data Source'!S302="A+"),IF('Data Source'!Z302&gt;=5,"A+",IF('Data Source'!Z302&gt;=4,"A",IF('Data Source'!Z302&gt;=3.5,"A-",IF('Data Source'!Z302&gt;=3,"B",IF('Data Source'!Z302&gt;=2,"C",IF('Data Source'!Z302&gt;=1,"D","F")))))),"")</f>
        <v/>
      </c>
      <c r="I302" s="3">
        <f>IF(AND('Data Source'!B302&lt;&gt;"",'Data Source'!S302="A+"),IF('Data Source'!AA302&gt;=5,"A+",IF('Data Source'!AA302&gt;=4,"A",IF('Data Source'!AA302&gt;=3.5,"A-",IF('Data Source'!AA302&gt;=3,"B",IF('Data Source'!AA302&gt;=2,"C",IF('Data Source'!AA302&gt;=1,"D","F")))))),"")</f>
        <v/>
      </c>
      <c r="J302" s="3">
        <f>IF(AND('Data Source'!B302&lt;&gt;"",'Data Source'!S302="A+"),IF('Data Source'!AB302&gt;=5,"A+",IF('Data Source'!AB302&gt;=4,"A",IF('Data Source'!AB302&gt;=3.5,"A-",IF('Data Source'!AB302&gt;=3,"B",IF('Data Source'!AB302&gt;=2,"C",IF('Data Source'!AB302&gt;=1,"D","F")))))),"")</f>
        <v/>
      </c>
      <c r="K302" s="3">
        <f>IF(AND('Data Source'!B302&lt;&gt;"",'Data Source'!S302="A+"),IF('Data Source'!AC302&gt;=5,"A+",IF('Data Source'!AC302&gt;=4,"A",IF('Data Source'!AC302&gt;=3.5,"A-",IF('Data Source'!AC302&gt;=3,"B",IF('Data Source'!AC302&gt;=2,"C",IF('Data Source'!AC302&gt;=1,"D","F")))))),"")</f>
        <v/>
      </c>
      <c r="L302" s="3">
        <f>IF(AND('Data Source'!B302&lt;&gt;"",'Data Source'!S302="A+"),IF('Data Source'!AD302&gt;=5,"A+",IF('Data Source'!AD302&gt;=4,"A",IF('Data Source'!AD302&gt;=3.5,"A-",IF('Data Source'!AD302&gt;=3,"B",IF('Data Source'!AD302&gt;=2,"C",IF('Data Source'!AD302&gt;=1,"D","F")))))),"")</f>
        <v/>
      </c>
      <c r="M302" s="3">
        <f>IF(AND('Data Source'!B302&lt;&gt;"",'Data Source'!S302="A+"),IF('Data Source'!AE302&gt;=5,"A+",IF('Data Source'!AE302&gt;=4,"A",IF('Data Source'!AE302&gt;=3.5,"A-",IF('Data Source'!AE302&gt;=3,"B",IF('Data Source'!AE302&gt;=2,"C",IF('Data Source'!AE302&gt;=1,"D","F")))))),"")</f>
        <v/>
      </c>
      <c r="N302" s="3">
        <f>IF(AND('Data Source'!B302&lt;&gt;"",'Data Source'!S302="A+"),IF('Data Source'!AF302&gt;=5,"A+",IF('Data Source'!AF302&gt;=4,"A",IF('Data Source'!AF302&gt;=3.5,"A-",IF('Data Source'!AF302&gt;=3,"B",IF('Data Source'!AF302&gt;=2,"C",IF('Data Source'!AF302&gt;=1,"D","F")))))),"")</f>
        <v/>
      </c>
      <c r="O302" s="3">
        <f>IF(AND('Data Source'!B302&lt;&gt;"",'Data Source'!S302="A+"),IF('Data Source'!AG302&gt;=5,"A+",IF('Data Source'!AG302&gt;=4,"A",IF('Data Source'!AG302&gt;=3.5,"A-",IF('Data Source'!AG302&gt;=3,"B",IF('Data Source'!AG302&gt;=2,"C",IF('Data Source'!AG302&gt;=1,"D","F")))))),"")</f>
        <v/>
      </c>
      <c r="P302" s="5">
        <f>IF(AND('Data Source'!B302&lt;&gt;"",'Data Source'!S302="A+"),'Data Source'!R302,"")</f>
        <v/>
      </c>
      <c r="Q302" s="3">
        <f>IF(AND('Data Source'!B302&lt;&gt;"",'Data Source'!S302="A+"),'Data Source'!S302,"")</f>
        <v/>
      </c>
    </row>
    <row r="303">
      <c r="A303" s="3">
        <f>IF(AND('Data Source'!B303&lt;&gt;"",'Data Source'!S303="A+"),COUNTIF('Data Source'!$S$3:S303,"A+"),"")</f>
        <v/>
      </c>
      <c r="B303">
        <f>IF(AND('Data Source'!B303&lt;&gt;"",'Data Source'!S303="A+"),'Data Source'!B303,"")</f>
        <v/>
      </c>
      <c r="C303" s="3">
        <f>IF(AND('Data Source'!B303&lt;&gt;"",'Data Source'!S303="A+"),IF('Data Source'!U303&gt;=5,"A+",IF('Data Source'!U303&gt;=4,"A",IF('Data Source'!U303&gt;=3.5,"A-",IF('Data Source'!U303&gt;=3,"B",IF('Data Source'!U303&gt;=2,"C",IF('Data Source'!U303&gt;=1,"D","F")))))),"")</f>
        <v/>
      </c>
      <c r="D303" s="3">
        <f>IF(AND('Data Source'!B303&lt;&gt;"",'Data Source'!S303="A+"),IF('Data Source'!V303&gt;=5,"A+",IF('Data Source'!V303&gt;=4,"A",IF('Data Source'!V303&gt;=3.5,"A-",IF('Data Source'!V303&gt;=3,"B",IF('Data Source'!V303&gt;=2,"C",IF('Data Source'!V303&gt;=1,"D","F")))))),"")</f>
        <v/>
      </c>
      <c r="E303" s="3">
        <f>IF(AND('Data Source'!B303&lt;&gt;"",'Data Source'!S303="A+"),IF('Data Source'!W303&gt;=5,"A+",IF('Data Source'!W303&gt;=4,"A",IF('Data Source'!W303&gt;=3.5,"A-",IF('Data Source'!W303&gt;=3,"B",IF('Data Source'!W303&gt;=2,"C",IF('Data Source'!W303&gt;=1,"D","F")))))),"")</f>
        <v/>
      </c>
      <c r="F303" s="3">
        <f>IF(AND('Data Source'!B303&lt;&gt;"",'Data Source'!S303="A+"),IF('Data Source'!X303&gt;=5,"A+",IF('Data Source'!X303&gt;=4,"A",IF('Data Source'!X303&gt;=3.5,"A-",IF('Data Source'!X303&gt;=3,"B",IF('Data Source'!X303&gt;=2,"C",IF('Data Source'!X303&gt;=1,"D","F")))))),"")</f>
        <v/>
      </c>
      <c r="G303" s="3">
        <f>IF(AND('Data Source'!B303&lt;&gt;"",'Data Source'!S303="A+"),IF('Data Source'!Y303&gt;=5,"A+",IF('Data Source'!Y303&gt;=4,"A",IF('Data Source'!Y303&gt;=3.5,"A-",IF('Data Source'!Y303&gt;=3,"B",IF('Data Source'!Y303&gt;=2,"C",IF('Data Source'!Y303&gt;=1,"D","F")))))),"")</f>
        <v/>
      </c>
      <c r="H303" s="3">
        <f>IF(AND('Data Source'!B303&lt;&gt;"",'Data Source'!S303="A+"),IF('Data Source'!Z303&gt;=5,"A+",IF('Data Source'!Z303&gt;=4,"A",IF('Data Source'!Z303&gt;=3.5,"A-",IF('Data Source'!Z303&gt;=3,"B",IF('Data Source'!Z303&gt;=2,"C",IF('Data Source'!Z303&gt;=1,"D","F")))))),"")</f>
        <v/>
      </c>
      <c r="I303" s="3">
        <f>IF(AND('Data Source'!B303&lt;&gt;"",'Data Source'!S303="A+"),IF('Data Source'!AA303&gt;=5,"A+",IF('Data Source'!AA303&gt;=4,"A",IF('Data Source'!AA303&gt;=3.5,"A-",IF('Data Source'!AA303&gt;=3,"B",IF('Data Source'!AA303&gt;=2,"C",IF('Data Source'!AA303&gt;=1,"D","F")))))),"")</f>
        <v/>
      </c>
      <c r="J303" s="3">
        <f>IF(AND('Data Source'!B303&lt;&gt;"",'Data Source'!S303="A+"),IF('Data Source'!AB303&gt;=5,"A+",IF('Data Source'!AB303&gt;=4,"A",IF('Data Source'!AB303&gt;=3.5,"A-",IF('Data Source'!AB303&gt;=3,"B",IF('Data Source'!AB303&gt;=2,"C",IF('Data Source'!AB303&gt;=1,"D","F")))))),"")</f>
        <v/>
      </c>
      <c r="K303" s="3">
        <f>IF(AND('Data Source'!B303&lt;&gt;"",'Data Source'!S303="A+"),IF('Data Source'!AC303&gt;=5,"A+",IF('Data Source'!AC303&gt;=4,"A",IF('Data Source'!AC303&gt;=3.5,"A-",IF('Data Source'!AC303&gt;=3,"B",IF('Data Source'!AC303&gt;=2,"C",IF('Data Source'!AC303&gt;=1,"D","F")))))),"")</f>
        <v/>
      </c>
      <c r="L303" s="3">
        <f>IF(AND('Data Source'!B303&lt;&gt;"",'Data Source'!S303="A+"),IF('Data Source'!AD303&gt;=5,"A+",IF('Data Source'!AD303&gt;=4,"A",IF('Data Source'!AD303&gt;=3.5,"A-",IF('Data Source'!AD303&gt;=3,"B",IF('Data Source'!AD303&gt;=2,"C",IF('Data Source'!AD303&gt;=1,"D","F")))))),"")</f>
        <v/>
      </c>
      <c r="M303" s="3">
        <f>IF(AND('Data Source'!B303&lt;&gt;"",'Data Source'!S303="A+"),IF('Data Source'!AE303&gt;=5,"A+",IF('Data Source'!AE303&gt;=4,"A",IF('Data Source'!AE303&gt;=3.5,"A-",IF('Data Source'!AE303&gt;=3,"B",IF('Data Source'!AE303&gt;=2,"C",IF('Data Source'!AE303&gt;=1,"D","F")))))),"")</f>
        <v/>
      </c>
      <c r="N303" s="3">
        <f>IF(AND('Data Source'!B303&lt;&gt;"",'Data Source'!S303="A+"),IF('Data Source'!AF303&gt;=5,"A+",IF('Data Source'!AF303&gt;=4,"A",IF('Data Source'!AF303&gt;=3.5,"A-",IF('Data Source'!AF303&gt;=3,"B",IF('Data Source'!AF303&gt;=2,"C",IF('Data Source'!AF303&gt;=1,"D","F")))))),"")</f>
        <v/>
      </c>
      <c r="O303" s="3">
        <f>IF(AND('Data Source'!B303&lt;&gt;"",'Data Source'!S303="A+"),IF('Data Source'!AG303&gt;=5,"A+",IF('Data Source'!AG303&gt;=4,"A",IF('Data Source'!AG303&gt;=3.5,"A-",IF('Data Source'!AG303&gt;=3,"B",IF('Data Source'!AG303&gt;=2,"C",IF('Data Source'!AG303&gt;=1,"D","F")))))),"")</f>
        <v/>
      </c>
      <c r="P303" s="5">
        <f>IF(AND('Data Source'!B303&lt;&gt;"",'Data Source'!S303="A+"),'Data Source'!R303,"")</f>
        <v/>
      </c>
      <c r="Q303" s="3">
        <f>IF(AND('Data Source'!B303&lt;&gt;"",'Data Source'!S303="A+"),'Data Source'!S303,"")</f>
        <v/>
      </c>
    </row>
    <row r="304">
      <c r="A304" s="3">
        <f>IF(AND('Data Source'!B304&lt;&gt;"",'Data Source'!S304="A+"),COUNTIF('Data Source'!$S$3:S304,"A+"),"")</f>
        <v/>
      </c>
      <c r="B304">
        <f>IF(AND('Data Source'!B304&lt;&gt;"",'Data Source'!S304="A+"),'Data Source'!B304,"")</f>
        <v/>
      </c>
      <c r="C304" s="3">
        <f>IF(AND('Data Source'!B304&lt;&gt;"",'Data Source'!S304="A+"),IF('Data Source'!U304&gt;=5,"A+",IF('Data Source'!U304&gt;=4,"A",IF('Data Source'!U304&gt;=3.5,"A-",IF('Data Source'!U304&gt;=3,"B",IF('Data Source'!U304&gt;=2,"C",IF('Data Source'!U304&gt;=1,"D","F")))))),"")</f>
        <v/>
      </c>
      <c r="D304" s="3">
        <f>IF(AND('Data Source'!B304&lt;&gt;"",'Data Source'!S304="A+"),IF('Data Source'!V304&gt;=5,"A+",IF('Data Source'!V304&gt;=4,"A",IF('Data Source'!V304&gt;=3.5,"A-",IF('Data Source'!V304&gt;=3,"B",IF('Data Source'!V304&gt;=2,"C",IF('Data Source'!V304&gt;=1,"D","F")))))),"")</f>
        <v/>
      </c>
      <c r="E304" s="3">
        <f>IF(AND('Data Source'!B304&lt;&gt;"",'Data Source'!S304="A+"),IF('Data Source'!W304&gt;=5,"A+",IF('Data Source'!W304&gt;=4,"A",IF('Data Source'!W304&gt;=3.5,"A-",IF('Data Source'!W304&gt;=3,"B",IF('Data Source'!W304&gt;=2,"C",IF('Data Source'!W304&gt;=1,"D","F")))))),"")</f>
        <v/>
      </c>
      <c r="F304" s="3">
        <f>IF(AND('Data Source'!B304&lt;&gt;"",'Data Source'!S304="A+"),IF('Data Source'!X304&gt;=5,"A+",IF('Data Source'!X304&gt;=4,"A",IF('Data Source'!X304&gt;=3.5,"A-",IF('Data Source'!X304&gt;=3,"B",IF('Data Source'!X304&gt;=2,"C",IF('Data Source'!X304&gt;=1,"D","F")))))),"")</f>
        <v/>
      </c>
      <c r="G304" s="3">
        <f>IF(AND('Data Source'!B304&lt;&gt;"",'Data Source'!S304="A+"),IF('Data Source'!Y304&gt;=5,"A+",IF('Data Source'!Y304&gt;=4,"A",IF('Data Source'!Y304&gt;=3.5,"A-",IF('Data Source'!Y304&gt;=3,"B",IF('Data Source'!Y304&gt;=2,"C",IF('Data Source'!Y304&gt;=1,"D","F")))))),"")</f>
        <v/>
      </c>
      <c r="H304" s="3">
        <f>IF(AND('Data Source'!B304&lt;&gt;"",'Data Source'!S304="A+"),IF('Data Source'!Z304&gt;=5,"A+",IF('Data Source'!Z304&gt;=4,"A",IF('Data Source'!Z304&gt;=3.5,"A-",IF('Data Source'!Z304&gt;=3,"B",IF('Data Source'!Z304&gt;=2,"C",IF('Data Source'!Z304&gt;=1,"D","F")))))),"")</f>
        <v/>
      </c>
      <c r="I304" s="3">
        <f>IF(AND('Data Source'!B304&lt;&gt;"",'Data Source'!S304="A+"),IF('Data Source'!AA304&gt;=5,"A+",IF('Data Source'!AA304&gt;=4,"A",IF('Data Source'!AA304&gt;=3.5,"A-",IF('Data Source'!AA304&gt;=3,"B",IF('Data Source'!AA304&gt;=2,"C",IF('Data Source'!AA304&gt;=1,"D","F")))))),"")</f>
        <v/>
      </c>
      <c r="J304" s="3">
        <f>IF(AND('Data Source'!B304&lt;&gt;"",'Data Source'!S304="A+"),IF('Data Source'!AB304&gt;=5,"A+",IF('Data Source'!AB304&gt;=4,"A",IF('Data Source'!AB304&gt;=3.5,"A-",IF('Data Source'!AB304&gt;=3,"B",IF('Data Source'!AB304&gt;=2,"C",IF('Data Source'!AB304&gt;=1,"D","F")))))),"")</f>
        <v/>
      </c>
      <c r="K304" s="3">
        <f>IF(AND('Data Source'!B304&lt;&gt;"",'Data Source'!S304="A+"),IF('Data Source'!AC304&gt;=5,"A+",IF('Data Source'!AC304&gt;=4,"A",IF('Data Source'!AC304&gt;=3.5,"A-",IF('Data Source'!AC304&gt;=3,"B",IF('Data Source'!AC304&gt;=2,"C",IF('Data Source'!AC304&gt;=1,"D","F")))))),"")</f>
        <v/>
      </c>
      <c r="L304" s="3">
        <f>IF(AND('Data Source'!B304&lt;&gt;"",'Data Source'!S304="A+"),IF('Data Source'!AD304&gt;=5,"A+",IF('Data Source'!AD304&gt;=4,"A",IF('Data Source'!AD304&gt;=3.5,"A-",IF('Data Source'!AD304&gt;=3,"B",IF('Data Source'!AD304&gt;=2,"C",IF('Data Source'!AD304&gt;=1,"D","F")))))),"")</f>
        <v/>
      </c>
      <c r="M304" s="3">
        <f>IF(AND('Data Source'!B304&lt;&gt;"",'Data Source'!S304="A+"),IF('Data Source'!AE304&gt;=5,"A+",IF('Data Source'!AE304&gt;=4,"A",IF('Data Source'!AE304&gt;=3.5,"A-",IF('Data Source'!AE304&gt;=3,"B",IF('Data Source'!AE304&gt;=2,"C",IF('Data Source'!AE304&gt;=1,"D","F")))))),"")</f>
        <v/>
      </c>
      <c r="N304" s="3">
        <f>IF(AND('Data Source'!B304&lt;&gt;"",'Data Source'!S304="A+"),IF('Data Source'!AF304&gt;=5,"A+",IF('Data Source'!AF304&gt;=4,"A",IF('Data Source'!AF304&gt;=3.5,"A-",IF('Data Source'!AF304&gt;=3,"B",IF('Data Source'!AF304&gt;=2,"C",IF('Data Source'!AF304&gt;=1,"D","F")))))),"")</f>
        <v/>
      </c>
      <c r="O304" s="3">
        <f>IF(AND('Data Source'!B304&lt;&gt;"",'Data Source'!S304="A+"),IF('Data Source'!AG304&gt;=5,"A+",IF('Data Source'!AG304&gt;=4,"A",IF('Data Source'!AG304&gt;=3.5,"A-",IF('Data Source'!AG304&gt;=3,"B",IF('Data Source'!AG304&gt;=2,"C",IF('Data Source'!AG304&gt;=1,"D","F")))))),"")</f>
        <v/>
      </c>
      <c r="P304" s="5">
        <f>IF(AND('Data Source'!B304&lt;&gt;"",'Data Source'!S304="A+"),'Data Source'!R304,"")</f>
        <v/>
      </c>
      <c r="Q304" s="3">
        <f>IF(AND('Data Source'!B304&lt;&gt;"",'Data Source'!S304="A+"),'Data Source'!S304,"")</f>
        <v/>
      </c>
    </row>
    <row r="305">
      <c r="A305" s="3">
        <f>IF(AND('Data Source'!B305&lt;&gt;"",'Data Source'!S305="A+"),COUNTIF('Data Source'!$S$3:S305,"A+"),"")</f>
        <v/>
      </c>
      <c r="B305">
        <f>IF(AND('Data Source'!B305&lt;&gt;"",'Data Source'!S305="A+"),'Data Source'!B305,"")</f>
        <v/>
      </c>
      <c r="C305" s="3">
        <f>IF(AND('Data Source'!B305&lt;&gt;"",'Data Source'!S305="A+"),IF('Data Source'!U305&gt;=5,"A+",IF('Data Source'!U305&gt;=4,"A",IF('Data Source'!U305&gt;=3.5,"A-",IF('Data Source'!U305&gt;=3,"B",IF('Data Source'!U305&gt;=2,"C",IF('Data Source'!U305&gt;=1,"D","F")))))),"")</f>
        <v/>
      </c>
      <c r="D305" s="3">
        <f>IF(AND('Data Source'!B305&lt;&gt;"",'Data Source'!S305="A+"),IF('Data Source'!V305&gt;=5,"A+",IF('Data Source'!V305&gt;=4,"A",IF('Data Source'!V305&gt;=3.5,"A-",IF('Data Source'!V305&gt;=3,"B",IF('Data Source'!V305&gt;=2,"C",IF('Data Source'!V305&gt;=1,"D","F")))))),"")</f>
        <v/>
      </c>
      <c r="E305" s="3">
        <f>IF(AND('Data Source'!B305&lt;&gt;"",'Data Source'!S305="A+"),IF('Data Source'!W305&gt;=5,"A+",IF('Data Source'!W305&gt;=4,"A",IF('Data Source'!W305&gt;=3.5,"A-",IF('Data Source'!W305&gt;=3,"B",IF('Data Source'!W305&gt;=2,"C",IF('Data Source'!W305&gt;=1,"D","F")))))),"")</f>
        <v/>
      </c>
      <c r="F305" s="3">
        <f>IF(AND('Data Source'!B305&lt;&gt;"",'Data Source'!S305="A+"),IF('Data Source'!X305&gt;=5,"A+",IF('Data Source'!X305&gt;=4,"A",IF('Data Source'!X305&gt;=3.5,"A-",IF('Data Source'!X305&gt;=3,"B",IF('Data Source'!X305&gt;=2,"C",IF('Data Source'!X305&gt;=1,"D","F")))))),"")</f>
        <v/>
      </c>
      <c r="G305" s="3">
        <f>IF(AND('Data Source'!B305&lt;&gt;"",'Data Source'!S305="A+"),IF('Data Source'!Y305&gt;=5,"A+",IF('Data Source'!Y305&gt;=4,"A",IF('Data Source'!Y305&gt;=3.5,"A-",IF('Data Source'!Y305&gt;=3,"B",IF('Data Source'!Y305&gt;=2,"C",IF('Data Source'!Y305&gt;=1,"D","F")))))),"")</f>
        <v/>
      </c>
      <c r="H305" s="3">
        <f>IF(AND('Data Source'!B305&lt;&gt;"",'Data Source'!S305="A+"),IF('Data Source'!Z305&gt;=5,"A+",IF('Data Source'!Z305&gt;=4,"A",IF('Data Source'!Z305&gt;=3.5,"A-",IF('Data Source'!Z305&gt;=3,"B",IF('Data Source'!Z305&gt;=2,"C",IF('Data Source'!Z305&gt;=1,"D","F")))))),"")</f>
        <v/>
      </c>
      <c r="I305" s="3">
        <f>IF(AND('Data Source'!B305&lt;&gt;"",'Data Source'!S305="A+"),IF('Data Source'!AA305&gt;=5,"A+",IF('Data Source'!AA305&gt;=4,"A",IF('Data Source'!AA305&gt;=3.5,"A-",IF('Data Source'!AA305&gt;=3,"B",IF('Data Source'!AA305&gt;=2,"C",IF('Data Source'!AA305&gt;=1,"D","F")))))),"")</f>
        <v/>
      </c>
      <c r="J305" s="3">
        <f>IF(AND('Data Source'!B305&lt;&gt;"",'Data Source'!S305="A+"),IF('Data Source'!AB305&gt;=5,"A+",IF('Data Source'!AB305&gt;=4,"A",IF('Data Source'!AB305&gt;=3.5,"A-",IF('Data Source'!AB305&gt;=3,"B",IF('Data Source'!AB305&gt;=2,"C",IF('Data Source'!AB305&gt;=1,"D","F")))))),"")</f>
        <v/>
      </c>
      <c r="K305" s="3">
        <f>IF(AND('Data Source'!B305&lt;&gt;"",'Data Source'!S305="A+"),IF('Data Source'!AC305&gt;=5,"A+",IF('Data Source'!AC305&gt;=4,"A",IF('Data Source'!AC305&gt;=3.5,"A-",IF('Data Source'!AC305&gt;=3,"B",IF('Data Source'!AC305&gt;=2,"C",IF('Data Source'!AC305&gt;=1,"D","F")))))),"")</f>
        <v/>
      </c>
      <c r="L305" s="3">
        <f>IF(AND('Data Source'!B305&lt;&gt;"",'Data Source'!S305="A+"),IF('Data Source'!AD305&gt;=5,"A+",IF('Data Source'!AD305&gt;=4,"A",IF('Data Source'!AD305&gt;=3.5,"A-",IF('Data Source'!AD305&gt;=3,"B",IF('Data Source'!AD305&gt;=2,"C",IF('Data Source'!AD305&gt;=1,"D","F")))))),"")</f>
        <v/>
      </c>
      <c r="M305" s="3">
        <f>IF(AND('Data Source'!B305&lt;&gt;"",'Data Source'!S305="A+"),IF('Data Source'!AE305&gt;=5,"A+",IF('Data Source'!AE305&gt;=4,"A",IF('Data Source'!AE305&gt;=3.5,"A-",IF('Data Source'!AE305&gt;=3,"B",IF('Data Source'!AE305&gt;=2,"C",IF('Data Source'!AE305&gt;=1,"D","F")))))),"")</f>
        <v/>
      </c>
      <c r="N305" s="3">
        <f>IF(AND('Data Source'!B305&lt;&gt;"",'Data Source'!S305="A+"),IF('Data Source'!AF305&gt;=5,"A+",IF('Data Source'!AF305&gt;=4,"A",IF('Data Source'!AF305&gt;=3.5,"A-",IF('Data Source'!AF305&gt;=3,"B",IF('Data Source'!AF305&gt;=2,"C",IF('Data Source'!AF305&gt;=1,"D","F")))))),"")</f>
        <v/>
      </c>
      <c r="O305" s="3">
        <f>IF(AND('Data Source'!B305&lt;&gt;"",'Data Source'!S305="A+"),IF('Data Source'!AG305&gt;=5,"A+",IF('Data Source'!AG305&gt;=4,"A",IF('Data Source'!AG305&gt;=3.5,"A-",IF('Data Source'!AG305&gt;=3,"B",IF('Data Source'!AG305&gt;=2,"C",IF('Data Source'!AG305&gt;=1,"D","F")))))),"")</f>
        <v/>
      </c>
      <c r="P305" s="5">
        <f>IF(AND('Data Source'!B305&lt;&gt;"",'Data Source'!S305="A+"),'Data Source'!R305,"")</f>
        <v/>
      </c>
      <c r="Q305" s="3">
        <f>IF(AND('Data Source'!B305&lt;&gt;"",'Data Source'!S305="A+"),'Data Source'!S305,"")</f>
        <v/>
      </c>
    </row>
    <row r="306">
      <c r="A306" s="3">
        <f>IF(AND('Data Source'!B306&lt;&gt;"",'Data Source'!S306="A+"),COUNTIF('Data Source'!$S$3:S306,"A+"),"")</f>
        <v/>
      </c>
      <c r="B306">
        <f>IF(AND('Data Source'!B306&lt;&gt;"",'Data Source'!S306="A+"),'Data Source'!B306,"")</f>
        <v/>
      </c>
      <c r="C306" s="3">
        <f>IF(AND('Data Source'!B306&lt;&gt;"",'Data Source'!S306="A+"),IF('Data Source'!U306&gt;=5,"A+",IF('Data Source'!U306&gt;=4,"A",IF('Data Source'!U306&gt;=3.5,"A-",IF('Data Source'!U306&gt;=3,"B",IF('Data Source'!U306&gt;=2,"C",IF('Data Source'!U306&gt;=1,"D","F")))))),"")</f>
        <v/>
      </c>
      <c r="D306" s="3">
        <f>IF(AND('Data Source'!B306&lt;&gt;"",'Data Source'!S306="A+"),IF('Data Source'!V306&gt;=5,"A+",IF('Data Source'!V306&gt;=4,"A",IF('Data Source'!V306&gt;=3.5,"A-",IF('Data Source'!V306&gt;=3,"B",IF('Data Source'!V306&gt;=2,"C",IF('Data Source'!V306&gt;=1,"D","F")))))),"")</f>
        <v/>
      </c>
      <c r="E306" s="3">
        <f>IF(AND('Data Source'!B306&lt;&gt;"",'Data Source'!S306="A+"),IF('Data Source'!W306&gt;=5,"A+",IF('Data Source'!W306&gt;=4,"A",IF('Data Source'!W306&gt;=3.5,"A-",IF('Data Source'!W306&gt;=3,"B",IF('Data Source'!W306&gt;=2,"C",IF('Data Source'!W306&gt;=1,"D","F")))))),"")</f>
        <v/>
      </c>
      <c r="F306" s="3">
        <f>IF(AND('Data Source'!B306&lt;&gt;"",'Data Source'!S306="A+"),IF('Data Source'!X306&gt;=5,"A+",IF('Data Source'!X306&gt;=4,"A",IF('Data Source'!X306&gt;=3.5,"A-",IF('Data Source'!X306&gt;=3,"B",IF('Data Source'!X306&gt;=2,"C",IF('Data Source'!X306&gt;=1,"D","F")))))),"")</f>
        <v/>
      </c>
      <c r="G306" s="3">
        <f>IF(AND('Data Source'!B306&lt;&gt;"",'Data Source'!S306="A+"),IF('Data Source'!Y306&gt;=5,"A+",IF('Data Source'!Y306&gt;=4,"A",IF('Data Source'!Y306&gt;=3.5,"A-",IF('Data Source'!Y306&gt;=3,"B",IF('Data Source'!Y306&gt;=2,"C",IF('Data Source'!Y306&gt;=1,"D","F")))))),"")</f>
        <v/>
      </c>
      <c r="H306" s="3">
        <f>IF(AND('Data Source'!B306&lt;&gt;"",'Data Source'!S306="A+"),IF('Data Source'!Z306&gt;=5,"A+",IF('Data Source'!Z306&gt;=4,"A",IF('Data Source'!Z306&gt;=3.5,"A-",IF('Data Source'!Z306&gt;=3,"B",IF('Data Source'!Z306&gt;=2,"C",IF('Data Source'!Z306&gt;=1,"D","F")))))),"")</f>
        <v/>
      </c>
      <c r="I306" s="3">
        <f>IF(AND('Data Source'!B306&lt;&gt;"",'Data Source'!S306="A+"),IF('Data Source'!AA306&gt;=5,"A+",IF('Data Source'!AA306&gt;=4,"A",IF('Data Source'!AA306&gt;=3.5,"A-",IF('Data Source'!AA306&gt;=3,"B",IF('Data Source'!AA306&gt;=2,"C",IF('Data Source'!AA306&gt;=1,"D","F")))))),"")</f>
        <v/>
      </c>
      <c r="J306" s="3">
        <f>IF(AND('Data Source'!B306&lt;&gt;"",'Data Source'!S306="A+"),IF('Data Source'!AB306&gt;=5,"A+",IF('Data Source'!AB306&gt;=4,"A",IF('Data Source'!AB306&gt;=3.5,"A-",IF('Data Source'!AB306&gt;=3,"B",IF('Data Source'!AB306&gt;=2,"C",IF('Data Source'!AB306&gt;=1,"D","F")))))),"")</f>
        <v/>
      </c>
      <c r="K306" s="3">
        <f>IF(AND('Data Source'!B306&lt;&gt;"",'Data Source'!S306="A+"),IF('Data Source'!AC306&gt;=5,"A+",IF('Data Source'!AC306&gt;=4,"A",IF('Data Source'!AC306&gt;=3.5,"A-",IF('Data Source'!AC306&gt;=3,"B",IF('Data Source'!AC306&gt;=2,"C",IF('Data Source'!AC306&gt;=1,"D","F")))))),"")</f>
        <v/>
      </c>
      <c r="L306" s="3">
        <f>IF(AND('Data Source'!B306&lt;&gt;"",'Data Source'!S306="A+"),IF('Data Source'!AD306&gt;=5,"A+",IF('Data Source'!AD306&gt;=4,"A",IF('Data Source'!AD306&gt;=3.5,"A-",IF('Data Source'!AD306&gt;=3,"B",IF('Data Source'!AD306&gt;=2,"C",IF('Data Source'!AD306&gt;=1,"D","F")))))),"")</f>
        <v/>
      </c>
      <c r="M306" s="3">
        <f>IF(AND('Data Source'!B306&lt;&gt;"",'Data Source'!S306="A+"),IF('Data Source'!AE306&gt;=5,"A+",IF('Data Source'!AE306&gt;=4,"A",IF('Data Source'!AE306&gt;=3.5,"A-",IF('Data Source'!AE306&gt;=3,"B",IF('Data Source'!AE306&gt;=2,"C",IF('Data Source'!AE306&gt;=1,"D","F")))))),"")</f>
        <v/>
      </c>
      <c r="N306" s="3">
        <f>IF(AND('Data Source'!B306&lt;&gt;"",'Data Source'!S306="A+"),IF('Data Source'!AF306&gt;=5,"A+",IF('Data Source'!AF306&gt;=4,"A",IF('Data Source'!AF306&gt;=3.5,"A-",IF('Data Source'!AF306&gt;=3,"B",IF('Data Source'!AF306&gt;=2,"C",IF('Data Source'!AF306&gt;=1,"D","F")))))),"")</f>
        <v/>
      </c>
      <c r="O306" s="3">
        <f>IF(AND('Data Source'!B306&lt;&gt;"",'Data Source'!S306="A+"),IF('Data Source'!AG306&gt;=5,"A+",IF('Data Source'!AG306&gt;=4,"A",IF('Data Source'!AG306&gt;=3.5,"A-",IF('Data Source'!AG306&gt;=3,"B",IF('Data Source'!AG306&gt;=2,"C",IF('Data Source'!AG306&gt;=1,"D","F")))))),"")</f>
        <v/>
      </c>
      <c r="P306" s="5">
        <f>IF(AND('Data Source'!B306&lt;&gt;"",'Data Source'!S306="A+"),'Data Source'!R306,"")</f>
        <v/>
      </c>
      <c r="Q306" s="3">
        <f>IF(AND('Data Source'!B306&lt;&gt;"",'Data Source'!S306="A+"),'Data Source'!S306,"")</f>
        <v/>
      </c>
    </row>
    <row r="307">
      <c r="A307" s="3">
        <f>IF(AND('Data Source'!B307&lt;&gt;"",'Data Source'!S307="A+"),COUNTIF('Data Source'!$S$3:S307,"A+"),"")</f>
        <v/>
      </c>
      <c r="B307">
        <f>IF(AND('Data Source'!B307&lt;&gt;"",'Data Source'!S307="A+"),'Data Source'!B307,"")</f>
        <v/>
      </c>
      <c r="C307" s="3">
        <f>IF(AND('Data Source'!B307&lt;&gt;"",'Data Source'!S307="A+"),IF('Data Source'!U307&gt;=5,"A+",IF('Data Source'!U307&gt;=4,"A",IF('Data Source'!U307&gt;=3.5,"A-",IF('Data Source'!U307&gt;=3,"B",IF('Data Source'!U307&gt;=2,"C",IF('Data Source'!U307&gt;=1,"D","F")))))),"")</f>
        <v/>
      </c>
      <c r="D307" s="3">
        <f>IF(AND('Data Source'!B307&lt;&gt;"",'Data Source'!S307="A+"),IF('Data Source'!V307&gt;=5,"A+",IF('Data Source'!V307&gt;=4,"A",IF('Data Source'!V307&gt;=3.5,"A-",IF('Data Source'!V307&gt;=3,"B",IF('Data Source'!V307&gt;=2,"C",IF('Data Source'!V307&gt;=1,"D","F")))))),"")</f>
        <v/>
      </c>
      <c r="E307" s="3">
        <f>IF(AND('Data Source'!B307&lt;&gt;"",'Data Source'!S307="A+"),IF('Data Source'!W307&gt;=5,"A+",IF('Data Source'!W307&gt;=4,"A",IF('Data Source'!W307&gt;=3.5,"A-",IF('Data Source'!W307&gt;=3,"B",IF('Data Source'!W307&gt;=2,"C",IF('Data Source'!W307&gt;=1,"D","F")))))),"")</f>
        <v/>
      </c>
      <c r="F307" s="3">
        <f>IF(AND('Data Source'!B307&lt;&gt;"",'Data Source'!S307="A+"),IF('Data Source'!X307&gt;=5,"A+",IF('Data Source'!X307&gt;=4,"A",IF('Data Source'!X307&gt;=3.5,"A-",IF('Data Source'!X307&gt;=3,"B",IF('Data Source'!X307&gt;=2,"C",IF('Data Source'!X307&gt;=1,"D","F")))))),"")</f>
        <v/>
      </c>
      <c r="G307" s="3">
        <f>IF(AND('Data Source'!B307&lt;&gt;"",'Data Source'!S307="A+"),IF('Data Source'!Y307&gt;=5,"A+",IF('Data Source'!Y307&gt;=4,"A",IF('Data Source'!Y307&gt;=3.5,"A-",IF('Data Source'!Y307&gt;=3,"B",IF('Data Source'!Y307&gt;=2,"C",IF('Data Source'!Y307&gt;=1,"D","F")))))),"")</f>
        <v/>
      </c>
      <c r="H307" s="3">
        <f>IF(AND('Data Source'!B307&lt;&gt;"",'Data Source'!S307="A+"),IF('Data Source'!Z307&gt;=5,"A+",IF('Data Source'!Z307&gt;=4,"A",IF('Data Source'!Z307&gt;=3.5,"A-",IF('Data Source'!Z307&gt;=3,"B",IF('Data Source'!Z307&gt;=2,"C",IF('Data Source'!Z307&gt;=1,"D","F")))))),"")</f>
        <v/>
      </c>
      <c r="I307" s="3">
        <f>IF(AND('Data Source'!B307&lt;&gt;"",'Data Source'!S307="A+"),IF('Data Source'!AA307&gt;=5,"A+",IF('Data Source'!AA307&gt;=4,"A",IF('Data Source'!AA307&gt;=3.5,"A-",IF('Data Source'!AA307&gt;=3,"B",IF('Data Source'!AA307&gt;=2,"C",IF('Data Source'!AA307&gt;=1,"D","F")))))),"")</f>
        <v/>
      </c>
      <c r="J307" s="3">
        <f>IF(AND('Data Source'!B307&lt;&gt;"",'Data Source'!S307="A+"),IF('Data Source'!AB307&gt;=5,"A+",IF('Data Source'!AB307&gt;=4,"A",IF('Data Source'!AB307&gt;=3.5,"A-",IF('Data Source'!AB307&gt;=3,"B",IF('Data Source'!AB307&gt;=2,"C",IF('Data Source'!AB307&gt;=1,"D","F")))))),"")</f>
        <v/>
      </c>
      <c r="K307" s="3">
        <f>IF(AND('Data Source'!B307&lt;&gt;"",'Data Source'!S307="A+"),IF('Data Source'!AC307&gt;=5,"A+",IF('Data Source'!AC307&gt;=4,"A",IF('Data Source'!AC307&gt;=3.5,"A-",IF('Data Source'!AC307&gt;=3,"B",IF('Data Source'!AC307&gt;=2,"C",IF('Data Source'!AC307&gt;=1,"D","F")))))),"")</f>
        <v/>
      </c>
      <c r="L307" s="3">
        <f>IF(AND('Data Source'!B307&lt;&gt;"",'Data Source'!S307="A+"),IF('Data Source'!AD307&gt;=5,"A+",IF('Data Source'!AD307&gt;=4,"A",IF('Data Source'!AD307&gt;=3.5,"A-",IF('Data Source'!AD307&gt;=3,"B",IF('Data Source'!AD307&gt;=2,"C",IF('Data Source'!AD307&gt;=1,"D","F")))))),"")</f>
        <v/>
      </c>
      <c r="M307" s="3">
        <f>IF(AND('Data Source'!B307&lt;&gt;"",'Data Source'!S307="A+"),IF('Data Source'!AE307&gt;=5,"A+",IF('Data Source'!AE307&gt;=4,"A",IF('Data Source'!AE307&gt;=3.5,"A-",IF('Data Source'!AE307&gt;=3,"B",IF('Data Source'!AE307&gt;=2,"C",IF('Data Source'!AE307&gt;=1,"D","F")))))),"")</f>
        <v/>
      </c>
      <c r="N307" s="3">
        <f>IF(AND('Data Source'!B307&lt;&gt;"",'Data Source'!S307="A+"),IF('Data Source'!AF307&gt;=5,"A+",IF('Data Source'!AF307&gt;=4,"A",IF('Data Source'!AF307&gt;=3.5,"A-",IF('Data Source'!AF307&gt;=3,"B",IF('Data Source'!AF307&gt;=2,"C",IF('Data Source'!AF307&gt;=1,"D","F")))))),"")</f>
        <v/>
      </c>
      <c r="O307" s="3">
        <f>IF(AND('Data Source'!B307&lt;&gt;"",'Data Source'!S307="A+"),IF('Data Source'!AG307&gt;=5,"A+",IF('Data Source'!AG307&gt;=4,"A",IF('Data Source'!AG307&gt;=3.5,"A-",IF('Data Source'!AG307&gt;=3,"B",IF('Data Source'!AG307&gt;=2,"C",IF('Data Source'!AG307&gt;=1,"D","F")))))),"")</f>
        <v/>
      </c>
      <c r="P307" s="5">
        <f>IF(AND('Data Source'!B307&lt;&gt;"",'Data Source'!S307="A+"),'Data Source'!R307,"")</f>
        <v/>
      </c>
      <c r="Q307" s="3">
        <f>IF(AND('Data Source'!B307&lt;&gt;"",'Data Source'!S307="A+"),'Data Source'!S307,"")</f>
        <v/>
      </c>
    </row>
    <row r="308">
      <c r="A308" s="3">
        <f>IF(AND('Data Source'!B308&lt;&gt;"",'Data Source'!S308="A+"),COUNTIF('Data Source'!$S$3:S308,"A+"),"")</f>
        <v/>
      </c>
      <c r="B308">
        <f>IF(AND('Data Source'!B308&lt;&gt;"",'Data Source'!S308="A+"),'Data Source'!B308,"")</f>
        <v/>
      </c>
      <c r="C308" s="3">
        <f>IF(AND('Data Source'!B308&lt;&gt;"",'Data Source'!S308="A+"),IF('Data Source'!U308&gt;=5,"A+",IF('Data Source'!U308&gt;=4,"A",IF('Data Source'!U308&gt;=3.5,"A-",IF('Data Source'!U308&gt;=3,"B",IF('Data Source'!U308&gt;=2,"C",IF('Data Source'!U308&gt;=1,"D","F")))))),"")</f>
        <v/>
      </c>
      <c r="D308" s="3">
        <f>IF(AND('Data Source'!B308&lt;&gt;"",'Data Source'!S308="A+"),IF('Data Source'!V308&gt;=5,"A+",IF('Data Source'!V308&gt;=4,"A",IF('Data Source'!V308&gt;=3.5,"A-",IF('Data Source'!V308&gt;=3,"B",IF('Data Source'!V308&gt;=2,"C",IF('Data Source'!V308&gt;=1,"D","F")))))),"")</f>
        <v/>
      </c>
      <c r="E308" s="3">
        <f>IF(AND('Data Source'!B308&lt;&gt;"",'Data Source'!S308="A+"),IF('Data Source'!W308&gt;=5,"A+",IF('Data Source'!W308&gt;=4,"A",IF('Data Source'!W308&gt;=3.5,"A-",IF('Data Source'!W308&gt;=3,"B",IF('Data Source'!W308&gt;=2,"C",IF('Data Source'!W308&gt;=1,"D","F")))))),"")</f>
        <v/>
      </c>
      <c r="F308" s="3">
        <f>IF(AND('Data Source'!B308&lt;&gt;"",'Data Source'!S308="A+"),IF('Data Source'!X308&gt;=5,"A+",IF('Data Source'!X308&gt;=4,"A",IF('Data Source'!X308&gt;=3.5,"A-",IF('Data Source'!X308&gt;=3,"B",IF('Data Source'!X308&gt;=2,"C",IF('Data Source'!X308&gt;=1,"D","F")))))),"")</f>
        <v/>
      </c>
      <c r="G308" s="3">
        <f>IF(AND('Data Source'!B308&lt;&gt;"",'Data Source'!S308="A+"),IF('Data Source'!Y308&gt;=5,"A+",IF('Data Source'!Y308&gt;=4,"A",IF('Data Source'!Y308&gt;=3.5,"A-",IF('Data Source'!Y308&gt;=3,"B",IF('Data Source'!Y308&gt;=2,"C",IF('Data Source'!Y308&gt;=1,"D","F")))))),"")</f>
        <v/>
      </c>
      <c r="H308" s="3">
        <f>IF(AND('Data Source'!B308&lt;&gt;"",'Data Source'!S308="A+"),IF('Data Source'!Z308&gt;=5,"A+",IF('Data Source'!Z308&gt;=4,"A",IF('Data Source'!Z308&gt;=3.5,"A-",IF('Data Source'!Z308&gt;=3,"B",IF('Data Source'!Z308&gt;=2,"C",IF('Data Source'!Z308&gt;=1,"D","F")))))),"")</f>
        <v/>
      </c>
      <c r="I308" s="3">
        <f>IF(AND('Data Source'!B308&lt;&gt;"",'Data Source'!S308="A+"),IF('Data Source'!AA308&gt;=5,"A+",IF('Data Source'!AA308&gt;=4,"A",IF('Data Source'!AA308&gt;=3.5,"A-",IF('Data Source'!AA308&gt;=3,"B",IF('Data Source'!AA308&gt;=2,"C",IF('Data Source'!AA308&gt;=1,"D","F")))))),"")</f>
        <v/>
      </c>
      <c r="J308" s="3">
        <f>IF(AND('Data Source'!B308&lt;&gt;"",'Data Source'!S308="A+"),IF('Data Source'!AB308&gt;=5,"A+",IF('Data Source'!AB308&gt;=4,"A",IF('Data Source'!AB308&gt;=3.5,"A-",IF('Data Source'!AB308&gt;=3,"B",IF('Data Source'!AB308&gt;=2,"C",IF('Data Source'!AB308&gt;=1,"D","F")))))),"")</f>
        <v/>
      </c>
      <c r="K308" s="3">
        <f>IF(AND('Data Source'!B308&lt;&gt;"",'Data Source'!S308="A+"),IF('Data Source'!AC308&gt;=5,"A+",IF('Data Source'!AC308&gt;=4,"A",IF('Data Source'!AC308&gt;=3.5,"A-",IF('Data Source'!AC308&gt;=3,"B",IF('Data Source'!AC308&gt;=2,"C",IF('Data Source'!AC308&gt;=1,"D","F")))))),"")</f>
        <v/>
      </c>
      <c r="L308" s="3">
        <f>IF(AND('Data Source'!B308&lt;&gt;"",'Data Source'!S308="A+"),IF('Data Source'!AD308&gt;=5,"A+",IF('Data Source'!AD308&gt;=4,"A",IF('Data Source'!AD308&gt;=3.5,"A-",IF('Data Source'!AD308&gt;=3,"B",IF('Data Source'!AD308&gt;=2,"C",IF('Data Source'!AD308&gt;=1,"D","F")))))),"")</f>
        <v/>
      </c>
      <c r="M308" s="3">
        <f>IF(AND('Data Source'!B308&lt;&gt;"",'Data Source'!S308="A+"),IF('Data Source'!AE308&gt;=5,"A+",IF('Data Source'!AE308&gt;=4,"A",IF('Data Source'!AE308&gt;=3.5,"A-",IF('Data Source'!AE308&gt;=3,"B",IF('Data Source'!AE308&gt;=2,"C",IF('Data Source'!AE308&gt;=1,"D","F")))))),"")</f>
        <v/>
      </c>
      <c r="N308" s="3">
        <f>IF(AND('Data Source'!B308&lt;&gt;"",'Data Source'!S308="A+"),IF('Data Source'!AF308&gt;=5,"A+",IF('Data Source'!AF308&gt;=4,"A",IF('Data Source'!AF308&gt;=3.5,"A-",IF('Data Source'!AF308&gt;=3,"B",IF('Data Source'!AF308&gt;=2,"C",IF('Data Source'!AF308&gt;=1,"D","F")))))),"")</f>
        <v/>
      </c>
      <c r="O308" s="3">
        <f>IF(AND('Data Source'!B308&lt;&gt;"",'Data Source'!S308="A+"),IF('Data Source'!AG308&gt;=5,"A+",IF('Data Source'!AG308&gt;=4,"A",IF('Data Source'!AG308&gt;=3.5,"A-",IF('Data Source'!AG308&gt;=3,"B",IF('Data Source'!AG308&gt;=2,"C",IF('Data Source'!AG308&gt;=1,"D","F")))))),"")</f>
        <v/>
      </c>
      <c r="P308" s="5">
        <f>IF(AND('Data Source'!B308&lt;&gt;"",'Data Source'!S308="A+"),'Data Source'!R308,"")</f>
        <v/>
      </c>
      <c r="Q308" s="3">
        <f>IF(AND('Data Source'!B308&lt;&gt;"",'Data Source'!S308="A+"),'Data Source'!S308,"")</f>
        <v/>
      </c>
    </row>
    <row r="309">
      <c r="A309" s="3">
        <f>IF(AND('Data Source'!B309&lt;&gt;"",'Data Source'!S309="A+"),COUNTIF('Data Source'!$S$3:S309,"A+"),"")</f>
        <v/>
      </c>
      <c r="B309">
        <f>IF(AND('Data Source'!B309&lt;&gt;"",'Data Source'!S309="A+"),'Data Source'!B309,"")</f>
        <v/>
      </c>
      <c r="C309" s="3">
        <f>IF(AND('Data Source'!B309&lt;&gt;"",'Data Source'!S309="A+"),IF('Data Source'!U309&gt;=5,"A+",IF('Data Source'!U309&gt;=4,"A",IF('Data Source'!U309&gt;=3.5,"A-",IF('Data Source'!U309&gt;=3,"B",IF('Data Source'!U309&gt;=2,"C",IF('Data Source'!U309&gt;=1,"D","F")))))),"")</f>
        <v/>
      </c>
      <c r="D309" s="3">
        <f>IF(AND('Data Source'!B309&lt;&gt;"",'Data Source'!S309="A+"),IF('Data Source'!V309&gt;=5,"A+",IF('Data Source'!V309&gt;=4,"A",IF('Data Source'!V309&gt;=3.5,"A-",IF('Data Source'!V309&gt;=3,"B",IF('Data Source'!V309&gt;=2,"C",IF('Data Source'!V309&gt;=1,"D","F")))))),"")</f>
        <v/>
      </c>
      <c r="E309" s="3">
        <f>IF(AND('Data Source'!B309&lt;&gt;"",'Data Source'!S309="A+"),IF('Data Source'!W309&gt;=5,"A+",IF('Data Source'!W309&gt;=4,"A",IF('Data Source'!W309&gt;=3.5,"A-",IF('Data Source'!W309&gt;=3,"B",IF('Data Source'!W309&gt;=2,"C",IF('Data Source'!W309&gt;=1,"D","F")))))),"")</f>
        <v/>
      </c>
      <c r="F309" s="3">
        <f>IF(AND('Data Source'!B309&lt;&gt;"",'Data Source'!S309="A+"),IF('Data Source'!X309&gt;=5,"A+",IF('Data Source'!X309&gt;=4,"A",IF('Data Source'!X309&gt;=3.5,"A-",IF('Data Source'!X309&gt;=3,"B",IF('Data Source'!X309&gt;=2,"C",IF('Data Source'!X309&gt;=1,"D","F")))))),"")</f>
        <v/>
      </c>
      <c r="G309" s="3">
        <f>IF(AND('Data Source'!B309&lt;&gt;"",'Data Source'!S309="A+"),IF('Data Source'!Y309&gt;=5,"A+",IF('Data Source'!Y309&gt;=4,"A",IF('Data Source'!Y309&gt;=3.5,"A-",IF('Data Source'!Y309&gt;=3,"B",IF('Data Source'!Y309&gt;=2,"C",IF('Data Source'!Y309&gt;=1,"D","F")))))),"")</f>
        <v/>
      </c>
      <c r="H309" s="3">
        <f>IF(AND('Data Source'!B309&lt;&gt;"",'Data Source'!S309="A+"),IF('Data Source'!Z309&gt;=5,"A+",IF('Data Source'!Z309&gt;=4,"A",IF('Data Source'!Z309&gt;=3.5,"A-",IF('Data Source'!Z309&gt;=3,"B",IF('Data Source'!Z309&gt;=2,"C",IF('Data Source'!Z309&gt;=1,"D","F")))))),"")</f>
        <v/>
      </c>
      <c r="I309" s="3">
        <f>IF(AND('Data Source'!B309&lt;&gt;"",'Data Source'!S309="A+"),IF('Data Source'!AA309&gt;=5,"A+",IF('Data Source'!AA309&gt;=4,"A",IF('Data Source'!AA309&gt;=3.5,"A-",IF('Data Source'!AA309&gt;=3,"B",IF('Data Source'!AA309&gt;=2,"C",IF('Data Source'!AA309&gt;=1,"D","F")))))),"")</f>
        <v/>
      </c>
      <c r="J309" s="3">
        <f>IF(AND('Data Source'!B309&lt;&gt;"",'Data Source'!S309="A+"),IF('Data Source'!AB309&gt;=5,"A+",IF('Data Source'!AB309&gt;=4,"A",IF('Data Source'!AB309&gt;=3.5,"A-",IF('Data Source'!AB309&gt;=3,"B",IF('Data Source'!AB309&gt;=2,"C",IF('Data Source'!AB309&gt;=1,"D","F")))))),"")</f>
        <v/>
      </c>
      <c r="K309" s="3">
        <f>IF(AND('Data Source'!B309&lt;&gt;"",'Data Source'!S309="A+"),IF('Data Source'!AC309&gt;=5,"A+",IF('Data Source'!AC309&gt;=4,"A",IF('Data Source'!AC309&gt;=3.5,"A-",IF('Data Source'!AC309&gt;=3,"B",IF('Data Source'!AC309&gt;=2,"C",IF('Data Source'!AC309&gt;=1,"D","F")))))),"")</f>
        <v/>
      </c>
      <c r="L309" s="3">
        <f>IF(AND('Data Source'!B309&lt;&gt;"",'Data Source'!S309="A+"),IF('Data Source'!AD309&gt;=5,"A+",IF('Data Source'!AD309&gt;=4,"A",IF('Data Source'!AD309&gt;=3.5,"A-",IF('Data Source'!AD309&gt;=3,"B",IF('Data Source'!AD309&gt;=2,"C",IF('Data Source'!AD309&gt;=1,"D","F")))))),"")</f>
        <v/>
      </c>
      <c r="M309" s="3">
        <f>IF(AND('Data Source'!B309&lt;&gt;"",'Data Source'!S309="A+"),IF('Data Source'!AE309&gt;=5,"A+",IF('Data Source'!AE309&gt;=4,"A",IF('Data Source'!AE309&gt;=3.5,"A-",IF('Data Source'!AE309&gt;=3,"B",IF('Data Source'!AE309&gt;=2,"C",IF('Data Source'!AE309&gt;=1,"D","F")))))),"")</f>
        <v/>
      </c>
      <c r="N309" s="3">
        <f>IF(AND('Data Source'!B309&lt;&gt;"",'Data Source'!S309="A+"),IF('Data Source'!AF309&gt;=5,"A+",IF('Data Source'!AF309&gt;=4,"A",IF('Data Source'!AF309&gt;=3.5,"A-",IF('Data Source'!AF309&gt;=3,"B",IF('Data Source'!AF309&gt;=2,"C",IF('Data Source'!AF309&gt;=1,"D","F")))))),"")</f>
        <v/>
      </c>
      <c r="O309" s="3">
        <f>IF(AND('Data Source'!B309&lt;&gt;"",'Data Source'!S309="A+"),IF('Data Source'!AG309&gt;=5,"A+",IF('Data Source'!AG309&gt;=4,"A",IF('Data Source'!AG309&gt;=3.5,"A-",IF('Data Source'!AG309&gt;=3,"B",IF('Data Source'!AG309&gt;=2,"C",IF('Data Source'!AG309&gt;=1,"D","F")))))),"")</f>
        <v/>
      </c>
      <c r="P309" s="5">
        <f>IF(AND('Data Source'!B309&lt;&gt;"",'Data Source'!S309="A+"),'Data Source'!R309,"")</f>
        <v/>
      </c>
      <c r="Q309" s="3">
        <f>IF(AND('Data Source'!B309&lt;&gt;"",'Data Source'!S309="A+"),'Data Source'!S309,"")</f>
        <v/>
      </c>
    </row>
    <row r="310">
      <c r="A310" s="3">
        <f>IF(AND('Data Source'!B310&lt;&gt;"",'Data Source'!S310="A+"),COUNTIF('Data Source'!$S$3:S310,"A+"),"")</f>
        <v/>
      </c>
      <c r="B310">
        <f>IF(AND('Data Source'!B310&lt;&gt;"",'Data Source'!S310="A+"),'Data Source'!B310,"")</f>
        <v/>
      </c>
      <c r="C310" s="3">
        <f>IF(AND('Data Source'!B310&lt;&gt;"",'Data Source'!S310="A+"),IF('Data Source'!U310&gt;=5,"A+",IF('Data Source'!U310&gt;=4,"A",IF('Data Source'!U310&gt;=3.5,"A-",IF('Data Source'!U310&gt;=3,"B",IF('Data Source'!U310&gt;=2,"C",IF('Data Source'!U310&gt;=1,"D","F")))))),"")</f>
        <v/>
      </c>
      <c r="D310" s="3">
        <f>IF(AND('Data Source'!B310&lt;&gt;"",'Data Source'!S310="A+"),IF('Data Source'!V310&gt;=5,"A+",IF('Data Source'!V310&gt;=4,"A",IF('Data Source'!V310&gt;=3.5,"A-",IF('Data Source'!V310&gt;=3,"B",IF('Data Source'!V310&gt;=2,"C",IF('Data Source'!V310&gt;=1,"D","F")))))),"")</f>
        <v/>
      </c>
      <c r="E310" s="3">
        <f>IF(AND('Data Source'!B310&lt;&gt;"",'Data Source'!S310="A+"),IF('Data Source'!W310&gt;=5,"A+",IF('Data Source'!W310&gt;=4,"A",IF('Data Source'!W310&gt;=3.5,"A-",IF('Data Source'!W310&gt;=3,"B",IF('Data Source'!W310&gt;=2,"C",IF('Data Source'!W310&gt;=1,"D","F")))))),"")</f>
        <v/>
      </c>
      <c r="F310" s="3">
        <f>IF(AND('Data Source'!B310&lt;&gt;"",'Data Source'!S310="A+"),IF('Data Source'!X310&gt;=5,"A+",IF('Data Source'!X310&gt;=4,"A",IF('Data Source'!X310&gt;=3.5,"A-",IF('Data Source'!X310&gt;=3,"B",IF('Data Source'!X310&gt;=2,"C",IF('Data Source'!X310&gt;=1,"D","F")))))),"")</f>
        <v/>
      </c>
      <c r="G310" s="3">
        <f>IF(AND('Data Source'!B310&lt;&gt;"",'Data Source'!S310="A+"),IF('Data Source'!Y310&gt;=5,"A+",IF('Data Source'!Y310&gt;=4,"A",IF('Data Source'!Y310&gt;=3.5,"A-",IF('Data Source'!Y310&gt;=3,"B",IF('Data Source'!Y310&gt;=2,"C",IF('Data Source'!Y310&gt;=1,"D","F")))))),"")</f>
        <v/>
      </c>
      <c r="H310" s="3">
        <f>IF(AND('Data Source'!B310&lt;&gt;"",'Data Source'!S310="A+"),IF('Data Source'!Z310&gt;=5,"A+",IF('Data Source'!Z310&gt;=4,"A",IF('Data Source'!Z310&gt;=3.5,"A-",IF('Data Source'!Z310&gt;=3,"B",IF('Data Source'!Z310&gt;=2,"C",IF('Data Source'!Z310&gt;=1,"D","F")))))),"")</f>
        <v/>
      </c>
      <c r="I310" s="3">
        <f>IF(AND('Data Source'!B310&lt;&gt;"",'Data Source'!S310="A+"),IF('Data Source'!AA310&gt;=5,"A+",IF('Data Source'!AA310&gt;=4,"A",IF('Data Source'!AA310&gt;=3.5,"A-",IF('Data Source'!AA310&gt;=3,"B",IF('Data Source'!AA310&gt;=2,"C",IF('Data Source'!AA310&gt;=1,"D","F")))))),"")</f>
        <v/>
      </c>
      <c r="J310" s="3">
        <f>IF(AND('Data Source'!B310&lt;&gt;"",'Data Source'!S310="A+"),IF('Data Source'!AB310&gt;=5,"A+",IF('Data Source'!AB310&gt;=4,"A",IF('Data Source'!AB310&gt;=3.5,"A-",IF('Data Source'!AB310&gt;=3,"B",IF('Data Source'!AB310&gt;=2,"C",IF('Data Source'!AB310&gt;=1,"D","F")))))),"")</f>
        <v/>
      </c>
      <c r="K310" s="3">
        <f>IF(AND('Data Source'!B310&lt;&gt;"",'Data Source'!S310="A+"),IF('Data Source'!AC310&gt;=5,"A+",IF('Data Source'!AC310&gt;=4,"A",IF('Data Source'!AC310&gt;=3.5,"A-",IF('Data Source'!AC310&gt;=3,"B",IF('Data Source'!AC310&gt;=2,"C",IF('Data Source'!AC310&gt;=1,"D","F")))))),"")</f>
        <v/>
      </c>
      <c r="L310" s="3">
        <f>IF(AND('Data Source'!B310&lt;&gt;"",'Data Source'!S310="A+"),IF('Data Source'!AD310&gt;=5,"A+",IF('Data Source'!AD310&gt;=4,"A",IF('Data Source'!AD310&gt;=3.5,"A-",IF('Data Source'!AD310&gt;=3,"B",IF('Data Source'!AD310&gt;=2,"C",IF('Data Source'!AD310&gt;=1,"D","F")))))),"")</f>
        <v/>
      </c>
      <c r="M310" s="3">
        <f>IF(AND('Data Source'!B310&lt;&gt;"",'Data Source'!S310="A+"),IF('Data Source'!AE310&gt;=5,"A+",IF('Data Source'!AE310&gt;=4,"A",IF('Data Source'!AE310&gt;=3.5,"A-",IF('Data Source'!AE310&gt;=3,"B",IF('Data Source'!AE310&gt;=2,"C",IF('Data Source'!AE310&gt;=1,"D","F")))))),"")</f>
        <v/>
      </c>
      <c r="N310" s="3">
        <f>IF(AND('Data Source'!B310&lt;&gt;"",'Data Source'!S310="A+"),IF('Data Source'!AF310&gt;=5,"A+",IF('Data Source'!AF310&gt;=4,"A",IF('Data Source'!AF310&gt;=3.5,"A-",IF('Data Source'!AF310&gt;=3,"B",IF('Data Source'!AF310&gt;=2,"C",IF('Data Source'!AF310&gt;=1,"D","F")))))),"")</f>
        <v/>
      </c>
      <c r="O310" s="3">
        <f>IF(AND('Data Source'!B310&lt;&gt;"",'Data Source'!S310="A+"),IF('Data Source'!AG310&gt;=5,"A+",IF('Data Source'!AG310&gt;=4,"A",IF('Data Source'!AG310&gt;=3.5,"A-",IF('Data Source'!AG310&gt;=3,"B",IF('Data Source'!AG310&gt;=2,"C",IF('Data Source'!AG310&gt;=1,"D","F")))))),"")</f>
        <v/>
      </c>
      <c r="P310" s="5">
        <f>IF(AND('Data Source'!B310&lt;&gt;"",'Data Source'!S310="A+"),'Data Source'!R310,"")</f>
        <v/>
      </c>
      <c r="Q310" s="3">
        <f>IF(AND('Data Source'!B310&lt;&gt;"",'Data Source'!S310="A+"),'Data Source'!S310,"")</f>
        <v/>
      </c>
    </row>
    <row r="311">
      <c r="A311" s="3">
        <f>IF(AND('Data Source'!B311&lt;&gt;"",'Data Source'!S311="A+"),COUNTIF('Data Source'!$S$3:S311,"A+"),"")</f>
        <v/>
      </c>
      <c r="B311">
        <f>IF(AND('Data Source'!B311&lt;&gt;"",'Data Source'!S311="A+"),'Data Source'!B311,"")</f>
        <v/>
      </c>
      <c r="C311" s="3">
        <f>IF(AND('Data Source'!B311&lt;&gt;"",'Data Source'!S311="A+"),IF('Data Source'!U311&gt;=5,"A+",IF('Data Source'!U311&gt;=4,"A",IF('Data Source'!U311&gt;=3.5,"A-",IF('Data Source'!U311&gt;=3,"B",IF('Data Source'!U311&gt;=2,"C",IF('Data Source'!U311&gt;=1,"D","F")))))),"")</f>
        <v/>
      </c>
      <c r="D311" s="3">
        <f>IF(AND('Data Source'!B311&lt;&gt;"",'Data Source'!S311="A+"),IF('Data Source'!V311&gt;=5,"A+",IF('Data Source'!V311&gt;=4,"A",IF('Data Source'!V311&gt;=3.5,"A-",IF('Data Source'!V311&gt;=3,"B",IF('Data Source'!V311&gt;=2,"C",IF('Data Source'!V311&gt;=1,"D","F")))))),"")</f>
        <v/>
      </c>
      <c r="E311" s="3">
        <f>IF(AND('Data Source'!B311&lt;&gt;"",'Data Source'!S311="A+"),IF('Data Source'!W311&gt;=5,"A+",IF('Data Source'!W311&gt;=4,"A",IF('Data Source'!W311&gt;=3.5,"A-",IF('Data Source'!W311&gt;=3,"B",IF('Data Source'!W311&gt;=2,"C",IF('Data Source'!W311&gt;=1,"D","F")))))),"")</f>
        <v/>
      </c>
      <c r="F311" s="3">
        <f>IF(AND('Data Source'!B311&lt;&gt;"",'Data Source'!S311="A+"),IF('Data Source'!X311&gt;=5,"A+",IF('Data Source'!X311&gt;=4,"A",IF('Data Source'!X311&gt;=3.5,"A-",IF('Data Source'!X311&gt;=3,"B",IF('Data Source'!X311&gt;=2,"C",IF('Data Source'!X311&gt;=1,"D","F")))))),"")</f>
        <v/>
      </c>
      <c r="G311" s="3">
        <f>IF(AND('Data Source'!B311&lt;&gt;"",'Data Source'!S311="A+"),IF('Data Source'!Y311&gt;=5,"A+",IF('Data Source'!Y311&gt;=4,"A",IF('Data Source'!Y311&gt;=3.5,"A-",IF('Data Source'!Y311&gt;=3,"B",IF('Data Source'!Y311&gt;=2,"C",IF('Data Source'!Y311&gt;=1,"D","F")))))),"")</f>
        <v/>
      </c>
      <c r="H311" s="3">
        <f>IF(AND('Data Source'!B311&lt;&gt;"",'Data Source'!S311="A+"),IF('Data Source'!Z311&gt;=5,"A+",IF('Data Source'!Z311&gt;=4,"A",IF('Data Source'!Z311&gt;=3.5,"A-",IF('Data Source'!Z311&gt;=3,"B",IF('Data Source'!Z311&gt;=2,"C",IF('Data Source'!Z311&gt;=1,"D","F")))))),"")</f>
        <v/>
      </c>
      <c r="I311" s="3">
        <f>IF(AND('Data Source'!B311&lt;&gt;"",'Data Source'!S311="A+"),IF('Data Source'!AA311&gt;=5,"A+",IF('Data Source'!AA311&gt;=4,"A",IF('Data Source'!AA311&gt;=3.5,"A-",IF('Data Source'!AA311&gt;=3,"B",IF('Data Source'!AA311&gt;=2,"C",IF('Data Source'!AA311&gt;=1,"D","F")))))),"")</f>
        <v/>
      </c>
      <c r="J311" s="3">
        <f>IF(AND('Data Source'!B311&lt;&gt;"",'Data Source'!S311="A+"),IF('Data Source'!AB311&gt;=5,"A+",IF('Data Source'!AB311&gt;=4,"A",IF('Data Source'!AB311&gt;=3.5,"A-",IF('Data Source'!AB311&gt;=3,"B",IF('Data Source'!AB311&gt;=2,"C",IF('Data Source'!AB311&gt;=1,"D","F")))))),"")</f>
        <v/>
      </c>
      <c r="K311" s="3">
        <f>IF(AND('Data Source'!B311&lt;&gt;"",'Data Source'!S311="A+"),IF('Data Source'!AC311&gt;=5,"A+",IF('Data Source'!AC311&gt;=4,"A",IF('Data Source'!AC311&gt;=3.5,"A-",IF('Data Source'!AC311&gt;=3,"B",IF('Data Source'!AC311&gt;=2,"C",IF('Data Source'!AC311&gt;=1,"D","F")))))),"")</f>
        <v/>
      </c>
      <c r="L311" s="3">
        <f>IF(AND('Data Source'!B311&lt;&gt;"",'Data Source'!S311="A+"),IF('Data Source'!AD311&gt;=5,"A+",IF('Data Source'!AD311&gt;=4,"A",IF('Data Source'!AD311&gt;=3.5,"A-",IF('Data Source'!AD311&gt;=3,"B",IF('Data Source'!AD311&gt;=2,"C",IF('Data Source'!AD311&gt;=1,"D","F")))))),"")</f>
        <v/>
      </c>
      <c r="M311" s="3">
        <f>IF(AND('Data Source'!B311&lt;&gt;"",'Data Source'!S311="A+"),IF('Data Source'!AE311&gt;=5,"A+",IF('Data Source'!AE311&gt;=4,"A",IF('Data Source'!AE311&gt;=3.5,"A-",IF('Data Source'!AE311&gt;=3,"B",IF('Data Source'!AE311&gt;=2,"C",IF('Data Source'!AE311&gt;=1,"D","F")))))),"")</f>
        <v/>
      </c>
      <c r="N311" s="3">
        <f>IF(AND('Data Source'!B311&lt;&gt;"",'Data Source'!S311="A+"),IF('Data Source'!AF311&gt;=5,"A+",IF('Data Source'!AF311&gt;=4,"A",IF('Data Source'!AF311&gt;=3.5,"A-",IF('Data Source'!AF311&gt;=3,"B",IF('Data Source'!AF311&gt;=2,"C",IF('Data Source'!AF311&gt;=1,"D","F")))))),"")</f>
        <v/>
      </c>
      <c r="O311" s="3">
        <f>IF(AND('Data Source'!B311&lt;&gt;"",'Data Source'!S311="A+"),IF('Data Source'!AG311&gt;=5,"A+",IF('Data Source'!AG311&gt;=4,"A",IF('Data Source'!AG311&gt;=3.5,"A-",IF('Data Source'!AG311&gt;=3,"B",IF('Data Source'!AG311&gt;=2,"C",IF('Data Source'!AG311&gt;=1,"D","F")))))),"")</f>
        <v/>
      </c>
      <c r="P311" s="5">
        <f>IF(AND('Data Source'!B311&lt;&gt;"",'Data Source'!S311="A+"),'Data Source'!R311,"")</f>
        <v/>
      </c>
      <c r="Q311" s="3">
        <f>IF(AND('Data Source'!B311&lt;&gt;"",'Data Source'!S311="A+"),'Data Source'!S311,"")</f>
        <v/>
      </c>
    </row>
    <row r="312">
      <c r="A312" s="3">
        <f>IF(AND('Data Source'!B312&lt;&gt;"",'Data Source'!S312="A+"),COUNTIF('Data Source'!$S$3:S312,"A+"),"")</f>
        <v/>
      </c>
      <c r="B312">
        <f>IF(AND('Data Source'!B312&lt;&gt;"",'Data Source'!S312="A+"),'Data Source'!B312,"")</f>
        <v/>
      </c>
      <c r="C312" s="3">
        <f>IF(AND('Data Source'!B312&lt;&gt;"",'Data Source'!S312="A+"),IF('Data Source'!U312&gt;=5,"A+",IF('Data Source'!U312&gt;=4,"A",IF('Data Source'!U312&gt;=3.5,"A-",IF('Data Source'!U312&gt;=3,"B",IF('Data Source'!U312&gt;=2,"C",IF('Data Source'!U312&gt;=1,"D","F")))))),"")</f>
        <v/>
      </c>
      <c r="D312" s="3">
        <f>IF(AND('Data Source'!B312&lt;&gt;"",'Data Source'!S312="A+"),IF('Data Source'!V312&gt;=5,"A+",IF('Data Source'!V312&gt;=4,"A",IF('Data Source'!V312&gt;=3.5,"A-",IF('Data Source'!V312&gt;=3,"B",IF('Data Source'!V312&gt;=2,"C",IF('Data Source'!V312&gt;=1,"D","F")))))),"")</f>
        <v/>
      </c>
      <c r="E312" s="3">
        <f>IF(AND('Data Source'!B312&lt;&gt;"",'Data Source'!S312="A+"),IF('Data Source'!W312&gt;=5,"A+",IF('Data Source'!W312&gt;=4,"A",IF('Data Source'!W312&gt;=3.5,"A-",IF('Data Source'!W312&gt;=3,"B",IF('Data Source'!W312&gt;=2,"C",IF('Data Source'!W312&gt;=1,"D","F")))))),"")</f>
        <v/>
      </c>
      <c r="F312" s="3">
        <f>IF(AND('Data Source'!B312&lt;&gt;"",'Data Source'!S312="A+"),IF('Data Source'!X312&gt;=5,"A+",IF('Data Source'!X312&gt;=4,"A",IF('Data Source'!X312&gt;=3.5,"A-",IF('Data Source'!X312&gt;=3,"B",IF('Data Source'!X312&gt;=2,"C",IF('Data Source'!X312&gt;=1,"D","F")))))),"")</f>
        <v/>
      </c>
      <c r="G312" s="3">
        <f>IF(AND('Data Source'!B312&lt;&gt;"",'Data Source'!S312="A+"),IF('Data Source'!Y312&gt;=5,"A+",IF('Data Source'!Y312&gt;=4,"A",IF('Data Source'!Y312&gt;=3.5,"A-",IF('Data Source'!Y312&gt;=3,"B",IF('Data Source'!Y312&gt;=2,"C",IF('Data Source'!Y312&gt;=1,"D","F")))))),"")</f>
        <v/>
      </c>
      <c r="H312" s="3">
        <f>IF(AND('Data Source'!B312&lt;&gt;"",'Data Source'!S312="A+"),IF('Data Source'!Z312&gt;=5,"A+",IF('Data Source'!Z312&gt;=4,"A",IF('Data Source'!Z312&gt;=3.5,"A-",IF('Data Source'!Z312&gt;=3,"B",IF('Data Source'!Z312&gt;=2,"C",IF('Data Source'!Z312&gt;=1,"D","F")))))),"")</f>
        <v/>
      </c>
      <c r="I312" s="3">
        <f>IF(AND('Data Source'!B312&lt;&gt;"",'Data Source'!S312="A+"),IF('Data Source'!AA312&gt;=5,"A+",IF('Data Source'!AA312&gt;=4,"A",IF('Data Source'!AA312&gt;=3.5,"A-",IF('Data Source'!AA312&gt;=3,"B",IF('Data Source'!AA312&gt;=2,"C",IF('Data Source'!AA312&gt;=1,"D","F")))))),"")</f>
        <v/>
      </c>
      <c r="J312" s="3">
        <f>IF(AND('Data Source'!B312&lt;&gt;"",'Data Source'!S312="A+"),IF('Data Source'!AB312&gt;=5,"A+",IF('Data Source'!AB312&gt;=4,"A",IF('Data Source'!AB312&gt;=3.5,"A-",IF('Data Source'!AB312&gt;=3,"B",IF('Data Source'!AB312&gt;=2,"C",IF('Data Source'!AB312&gt;=1,"D","F")))))),"")</f>
        <v/>
      </c>
      <c r="K312" s="3">
        <f>IF(AND('Data Source'!B312&lt;&gt;"",'Data Source'!S312="A+"),IF('Data Source'!AC312&gt;=5,"A+",IF('Data Source'!AC312&gt;=4,"A",IF('Data Source'!AC312&gt;=3.5,"A-",IF('Data Source'!AC312&gt;=3,"B",IF('Data Source'!AC312&gt;=2,"C",IF('Data Source'!AC312&gt;=1,"D","F")))))),"")</f>
        <v/>
      </c>
      <c r="L312" s="3">
        <f>IF(AND('Data Source'!B312&lt;&gt;"",'Data Source'!S312="A+"),IF('Data Source'!AD312&gt;=5,"A+",IF('Data Source'!AD312&gt;=4,"A",IF('Data Source'!AD312&gt;=3.5,"A-",IF('Data Source'!AD312&gt;=3,"B",IF('Data Source'!AD312&gt;=2,"C",IF('Data Source'!AD312&gt;=1,"D","F")))))),"")</f>
        <v/>
      </c>
      <c r="M312" s="3">
        <f>IF(AND('Data Source'!B312&lt;&gt;"",'Data Source'!S312="A+"),IF('Data Source'!AE312&gt;=5,"A+",IF('Data Source'!AE312&gt;=4,"A",IF('Data Source'!AE312&gt;=3.5,"A-",IF('Data Source'!AE312&gt;=3,"B",IF('Data Source'!AE312&gt;=2,"C",IF('Data Source'!AE312&gt;=1,"D","F")))))),"")</f>
        <v/>
      </c>
      <c r="N312" s="3">
        <f>IF(AND('Data Source'!B312&lt;&gt;"",'Data Source'!S312="A+"),IF('Data Source'!AF312&gt;=5,"A+",IF('Data Source'!AF312&gt;=4,"A",IF('Data Source'!AF312&gt;=3.5,"A-",IF('Data Source'!AF312&gt;=3,"B",IF('Data Source'!AF312&gt;=2,"C",IF('Data Source'!AF312&gt;=1,"D","F")))))),"")</f>
        <v/>
      </c>
      <c r="O312" s="3">
        <f>IF(AND('Data Source'!B312&lt;&gt;"",'Data Source'!S312="A+"),IF('Data Source'!AG312&gt;=5,"A+",IF('Data Source'!AG312&gt;=4,"A",IF('Data Source'!AG312&gt;=3.5,"A-",IF('Data Source'!AG312&gt;=3,"B",IF('Data Source'!AG312&gt;=2,"C",IF('Data Source'!AG312&gt;=1,"D","F")))))),"")</f>
        <v/>
      </c>
      <c r="P312" s="5">
        <f>IF(AND('Data Source'!B312&lt;&gt;"",'Data Source'!S312="A+"),'Data Source'!R312,"")</f>
        <v/>
      </c>
      <c r="Q312" s="3">
        <f>IF(AND('Data Source'!B312&lt;&gt;"",'Data Source'!S312="A+"),'Data Source'!S312,"")</f>
        <v/>
      </c>
    </row>
    <row r="313">
      <c r="A313" s="3">
        <f>IF(AND('Data Source'!B313&lt;&gt;"",'Data Source'!S313="A+"),COUNTIF('Data Source'!$S$3:S313,"A+"),"")</f>
        <v/>
      </c>
      <c r="B313">
        <f>IF(AND('Data Source'!B313&lt;&gt;"",'Data Source'!S313="A+"),'Data Source'!B313,"")</f>
        <v/>
      </c>
      <c r="C313" s="3">
        <f>IF(AND('Data Source'!B313&lt;&gt;"",'Data Source'!S313="A+"),IF('Data Source'!U313&gt;=5,"A+",IF('Data Source'!U313&gt;=4,"A",IF('Data Source'!U313&gt;=3.5,"A-",IF('Data Source'!U313&gt;=3,"B",IF('Data Source'!U313&gt;=2,"C",IF('Data Source'!U313&gt;=1,"D","F")))))),"")</f>
        <v/>
      </c>
      <c r="D313" s="3">
        <f>IF(AND('Data Source'!B313&lt;&gt;"",'Data Source'!S313="A+"),IF('Data Source'!V313&gt;=5,"A+",IF('Data Source'!V313&gt;=4,"A",IF('Data Source'!V313&gt;=3.5,"A-",IF('Data Source'!V313&gt;=3,"B",IF('Data Source'!V313&gt;=2,"C",IF('Data Source'!V313&gt;=1,"D","F")))))),"")</f>
        <v/>
      </c>
      <c r="E313" s="3">
        <f>IF(AND('Data Source'!B313&lt;&gt;"",'Data Source'!S313="A+"),IF('Data Source'!W313&gt;=5,"A+",IF('Data Source'!W313&gt;=4,"A",IF('Data Source'!W313&gt;=3.5,"A-",IF('Data Source'!W313&gt;=3,"B",IF('Data Source'!W313&gt;=2,"C",IF('Data Source'!W313&gt;=1,"D","F")))))),"")</f>
        <v/>
      </c>
      <c r="F313" s="3">
        <f>IF(AND('Data Source'!B313&lt;&gt;"",'Data Source'!S313="A+"),IF('Data Source'!X313&gt;=5,"A+",IF('Data Source'!X313&gt;=4,"A",IF('Data Source'!X313&gt;=3.5,"A-",IF('Data Source'!X313&gt;=3,"B",IF('Data Source'!X313&gt;=2,"C",IF('Data Source'!X313&gt;=1,"D","F")))))),"")</f>
        <v/>
      </c>
      <c r="G313" s="3">
        <f>IF(AND('Data Source'!B313&lt;&gt;"",'Data Source'!S313="A+"),IF('Data Source'!Y313&gt;=5,"A+",IF('Data Source'!Y313&gt;=4,"A",IF('Data Source'!Y313&gt;=3.5,"A-",IF('Data Source'!Y313&gt;=3,"B",IF('Data Source'!Y313&gt;=2,"C",IF('Data Source'!Y313&gt;=1,"D","F")))))),"")</f>
        <v/>
      </c>
      <c r="H313" s="3">
        <f>IF(AND('Data Source'!B313&lt;&gt;"",'Data Source'!S313="A+"),IF('Data Source'!Z313&gt;=5,"A+",IF('Data Source'!Z313&gt;=4,"A",IF('Data Source'!Z313&gt;=3.5,"A-",IF('Data Source'!Z313&gt;=3,"B",IF('Data Source'!Z313&gt;=2,"C",IF('Data Source'!Z313&gt;=1,"D","F")))))),"")</f>
        <v/>
      </c>
      <c r="I313" s="3">
        <f>IF(AND('Data Source'!B313&lt;&gt;"",'Data Source'!S313="A+"),IF('Data Source'!AA313&gt;=5,"A+",IF('Data Source'!AA313&gt;=4,"A",IF('Data Source'!AA313&gt;=3.5,"A-",IF('Data Source'!AA313&gt;=3,"B",IF('Data Source'!AA313&gt;=2,"C",IF('Data Source'!AA313&gt;=1,"D","F")))))),"")</f>
        <v/>
      </c>
      <c r="J313" s="3">
        <f>IF(AND('Data Source'!B313&lt;&gt;"",'Data Source'!S313="A+"),IF('Data Source'!AB313&gt;=5,"A+",IF('Data Source'!AB313&gt;=4,"A",IF('Data Source'!AB313&gt;=3.5,"A-",IF('Data Source'!AB313&gt;=3,"B",IF('Data Source'!AB313&gt;=2,"C",IF('Data Source'!AB313&gt;=1,"D","F")))))),"")</f>
        <v/>
      </c>
      <c r="K313" s="3">
        <f>IF(AND('Data Source'!B313&lt;&gt;"",'Data Source'!S313="A+"),IF('Data Source'!AC313&gt;=5,"A+",IF('Data Source'!AC313&gt;=4,"A",IF('Data Source'!AC313&gt;=3.5,"A-",IF('Data Source'!AC313&gt;=3,"B",IF('Data Source'!AC313&gt;=2,"C",IF('Data Source'!AC313&gt;=1,"D","F")))))),"")</f>
        <v/>
      </c>
      <c r="L313" s="3">
        <f>IF(AND('Data Source'!B313&lt;&gt;"",'Data Source'!S313="A+"),IF('Data Source'!AD313&gt;=5,"A+",IF('Data Source'!AD313&gt;=4,"A",IF('Data Source'!AD313&gt;=3.5,"A-",IF('Data Source'!AD313&gt;=3,"B",IF('Data Source'!AD313&gt;=2,"C",IF('Data Source'!AD313&gt;=1,"D","F")))))),"")</f>
        <v/>
      </c>
      <c r="M313" s="3">
        <f>IF(AND('Data Source'!B313&lt;&gt;"",'Data Source'!S313="A+"),IF('Data Source'!AE313&gt;=5,"A+",IF('Data Source'!AE313&gt;=4,"A",IF('Data Source'!AE313&gt;=3.5,"A-",IF('Data Source'!AE313&gt;=3,"B",IF('Data Source'!AE313&gt;=2,"C",IF('Data Source'!AE313&gt;=1,"D","F")))))),"")</f>
        <v/>
      </c>
      <c r="N313" s="3">
        <f>IF(AND('Data Source'!B313&lt;&gt;"",'Data Source'!S313="A+"),IF('Data Source'!AF313&gt;=5,"A+",IF('Data Source'!AF313&gt;=4,"A",IF('Data Source'!AF313&gt;=3.5,"A-",IF('Data Source'!AF313&gt;=3,"B",IF('Data Source'!AF313&gt;=2,"C",IF('Data Source'!AF313&gt;=1,"D","F")))))),"")</f>
        <v/>
      </c>
      <c r="O313" s="3">
        <f>IF(AND('Data Source'!B313&lt;&gt;"",'Data Source'!S313="A+"),IF('Data Source'!AG313&gt;=5,"A+",IF('Data Source'!AG313&gt;=4,"A",IF('Data Source'!AG313&gt;=3.5,"A-",IF('Data Source'!AG313&gt;=3,"B",IF('Data Source'!AG313&gt;=2,"C",IF('Data Source'!AG313&gt;=1,"D","F")))))),"")</f>
        <v/>
      </c>
      <c r="P313" s="5">
        <f>IF(AND('Data Source'!B313&lt;&gt;"",'Data Source'!S313="A+"),'Data Source'!R313,"")</f>
        <v/>
      </c>
      <c r="Q313" s="3">
        <f>IF(AND('Data Source'!B313&lt;&gt;"",'Data Source'!S313="A+"),'Data Source'!S313,"")</f>
        <v/>
      </c>
    </row>
    <row r="314">
      <c r="A314" s="3">
        <f>IF(AND('Data Source'!B314&lt;&gt;"",'Data Source'!S314="A+"),COUNTIF('Data Source'!$S$3:S314,"A+"),"")</f>
        <v/>
      </c>
      <c r="B314">
        <f>IF(AND('Data Source'!B314&lt;&gt;"",'Data Source'!S314="A+"),'Data Source'!B314,"")</f>
        <v/>
      </c>
      <c r="C314" s="3">
        <f>IF(AND('Data Source'!B314&lt;&gt;"",'Data Source'!S314="A+"),IF('Data Source'!U314&gt;=5,"A+",IF('Data Source'!U314&gt;=4,"A",IF('Data Source'!U314&gt;=3.5,"A-",IF('Data Source'!U314&gt;=3,"B",IF('Data Source'!U314&gt;=2,"C",IF('Data Source'!U314&gt;=1,"D","F")))))),"")</f>
        <v/>
      </c>
      <c r="D314" s="3">
        <f>IF(AND('Data Source'!B314&lt;&gt;"",'Data Source'!S314="A+"),IF('Data Source'!V314&gt;=5,"A+",IF('Data Source'!V314&gt;=4,"A",IF('Data Source'!V314&gt;=3.5,"A-",IF('Data Source'!V314&gt;=3,"B",IF('Data Source'!V314&gt;=2,"C",IF('Data Source'!V314&gt;=1,"D","F")))))),"")</f>
        <v/>
      </c>
      <c r="E314" s="3">
        <f>IF(AND('Data Source'!B314&lt;&gt;"",'Data Source'!S314="A+"),IF('Data Source'!W314&gt;=5,"A+",IF('Data Source'!W314&gt;=4,"A",IF('Data Source'!W314&gt;=3.5,"A-",IF('Data Source'!W314&gt;=3,"B",IF('Data Source'!W314&gt;=2,"C",IF('Data Source'!W314&gt;=1,"D","F")))))),"")</f>
        <v/>
      </c>
      <c r="F314" s="3">
        <f>IF(AND('Data Source'!B314&lt;&gt;"",'Data Source'!S314="A+"),IF('Data Source'!X314&gt;=5,"A+",IF('Data Source'!X314&gt;=4,"A",IF('Data Source'!X314&gt;=3.5,"A-",IF('Data Source'!X314&gt;=3,"B",IF('Data Source'!X314&gt;=2,"C",IF('Data Source'!X314&gt;=1,"D","F")))))),"")</f>
        <v/>
      </c>
      <c r="G314" s="3">
        <f>IF(AND('Data Source'!B314&lt;&gt;"",'Data Source'!S314="A+"),IF('Data Source'!Y314&gt;=5,"A+",IF('Data Source'!Y314&gt;=4,"A",IF('Data Source'!Y314&gt;=3.5,"A-",IF('Data Source'!Y314&gt;=3,"B",IF('Data Source'!Y314&gt;=2,"C",IF('Data Source'!Y314&gt;=1,"D","F")))))),"")</f>
        <v/>
      </c>
      <c r="H314" s="3">
        <f>IF(AND('Data Source'!B314&lt;&gt;"",'Data Source'!S314="A+"),IF('Data Source'!Z314&gt;=5,"A+",IF('Data Source'!Z314&gt;=4,"A",IF('Data Source'!Z314&gt;=3.5,"A-",IF('Data Source'!Z314&gt;=3,"B",IF('Data Source'!Z314&gt;=2,"C",IF('Data Source'!Z314&gt;=1,"D","F")))))),"")</f>
        <v/>
      </c>
      <c r="I314" s="3">
        <f>IF(AND('Data Source'!B314&lt;&gt;"",'Data Source'!S314="A+"),IF('Data Source'!AA314&gt;=5,"A+",IF('Data Source'!AA314&gt;=4,"A",IF('Data Source'!AA314&gt;=3.5,"A-",IF('Data Source'!AA314&gt;=3,"B",IF('Data Source'!AA314&gt;=2,"C",IF('Data Source'!AA314&gt;=1,"D","F")))))),"")</f>
        <v/>
      </c>
      <c r="J314" s="3">
        <f>IF(AND('Data Source'!B314&lt;&gt;"",'Data Source'!S314="A+"),IF('Data Source'!AB314&gt;=5,"A+",IF('Data Source'!AB314&gt;=4,"A",IF('Data Source'!AB314&gt;=3.5,"A-",IF('Data Source'!AB314&gt;=3,"B",IF('Data Source'!AB314&gt;=2,"C",IF('Data Source'!AB314&gt;=1,"D","F")))))),"")</f>
        <v/>
      </c>
      <c r="K314" s="3">
        <f>IF(AND('Data Source'!B314&lt;&gt;"",'Data Source'!S314="A+"),IF('Data Source'!AC314&gt;=5,"A+",IF('Data Source'!AC314&gt;=4,"A",IF('Data Source'!AC314&gt;=3.5,"A-",IF('Data Source'!AC314&gt;=3,"B",IF('Data Source'!AC314&gt;=2,"C",IF('Data Source'!AC314&gt;=1,"D","F")))))),"")</f>
        <v/>
      </c>
      <c r="L314" s="3">
        <f>IF(AND('Data Source'!B314&lt;&gt;"",'Data Source'!S314="A+"),IF('Data Source'!AD314&gt;=5,"A+",IF('Data Source'!AD314&gt;=4,"A",IF('Data Source'!AD314&gt;=3.5,"A-",IF('Data Source'!AD314&gt;=3,"B",IF('Data Source'!AD314&gt;=2,"C",IF('Data Source'!AD314&gt;=1,"D","F")))))),"")</f>
        <v/>
      </c>
      <c r="M314" s="3">
        <f>IF(AND('Data Source'!B314&lt;&gt;"",'Data Source'!S314="A+"),IF('Data Source'!AE314&gt;=5,"A+",IF('Data Source'!AE314&gt;=4,"A",IF('Data Source'!AE314&gt;=3.5,"A-",IF('Data Source'!AE314&gt;=3,"B",IF('Data Source'!AE314&gt;=2,"C",IF('Data Source'!AE314&gt;=1,"D","F")))))),"")</f>
        <v/>
      </c>
      <c r="N314" s="3">
        <f>IF(AND('Data Source'!B314&lt;&gt;"",'Data Source'!S314="A+"),IF('Data Source'!AF314&gt;=5,"A+",IF('Data Source'!AF314&gt;=4,"A",IF('Data Source'!AF314&gt;=3.5,"A-",IF('Data Source'!AF314&gt;=3,"B",IF('Data Source'!AF314&gt;=2,"C",IF('Data Source'!AF314&gt;=1,"D","F")))))),"")</f>
        <v/>
      </c>
      <c r="O314" s="3">
        <f>IF(AND('Data Source'!B314&lt;&gt;"",'Data Source'!S314="A+"),IF('Data Source'!AG314&gt;=5,"A+",IF('Data Source'!AG314&gt;=4,"A",IF('Data Source'!AG314&gt;=3.5,"A-",IF('Data Source'!AG314&gt;=3,"B",IF('Data Source'!AG314&gt;=2,"C",IF('Data Source'!AG314&gt;=1,"D","F")))))),"")</f>
        <v/>
      </c>
      <c r="P314" s="5">
        <f>IF(AND('Data Source'!B314&lt;&gt;"",'Data Source'!S314="A+"),'Data Source'!R314,"")</f>
        <v/>
      </c>
      <c r="Q314" s="3">
        <f>IF(AND('Data Source'!B314&lt;&gt;"",'Data Source'!S314="A+"),'Data Source'!S314,"")</f>
        <v/>
      </c>
    </row>
    <row r="315">
      <c r="A315" s="3">
        <f>IF(AND('Data Source'!B315&lt;&gt;"",'Data Source'!S315="A+"),COUNTIF('Data Source'!$S$3:S315,"A+"),"")</f>
        <v/>
      </c>
      <c r="B315">
        <f>IF(AND('Data Source'!B315&lt;&gt;"",'Data Source'!S315="A+"),'Data Source'!B315,"")</f>
        <v/>
      </c>
      <c r="C315" s="3">
        <f>IF(AND('Data Source'!B315&lt;&gt;"",'Data Source'!S315="A+"),IF('Data Source'!U315&gt;=5,"A+",IF('Data Source'!U315&gt;=4,"A",IF('Data Source'!U315&gt;=3.5,"A-",IF('Data Source'!U315&gt;=3,"B",IF('Data Source'!U315&gt;=2,"C",IF('Data Source'!U315&gt;=1,"D","F")))))),"")</f>
        <v/>
      </c>
      <c r="D315" s="3">
        <f>IF(AND('Data Source'!B315&lt;&gt;"",'Data Source'!S315="A+"),IF('Data Source'!V315&gt;=5,"A+",IF('Data Source'!V315&gt;=4,"A",IF('Data Source'!V315&gt;=3.5,"A-",IF('Data Source'!V315&gt;=3,"B",IF('Data Source'!V315&gt;=2,"C",IF('Data Source'!V315&gt;=1,"D","F")))))),"")</f>
        <v/>
      </c>
      <c r="E315" s="3">
        <f>IF(AND('Data Source'!B315&lt;&gt;"",'Data Source'!S315="A+"),IF('Data Source'!W315&gt;=5,"A+",IF('Data Source'!W315&gt;=4,"A",IF('Data Source'!W315&gt;=3.5,"A-",IF('Data Source'!W315&gt;=3,"B",IF('Data Source'!W315&gt;=2,"C",IF('Data Source'!W315&gt;=1,"D","F")))))),"")</f>
        <v/>
      </c>
      <c r="F315" s="3">
        <f>IF(AND('Data Source'!B315&lt;&gt;"",'Data Source'!S315="A+"),IF('Data Source'!X315&gt;=5,"A+",IF('Data Source'!X315&gt;=4,"A",IF('Data Source'!X315&gt;=3.5,"A-",IF('Data Source'!X315&gt;=3,"B",IF('Data Source'!X315&gt;=2,"C",IF('Data Source'!X315&gt;=1,"D","F")))))),"")</f>
        <v/>
      </c>
      <c r="G315" s="3">
        <f>IF(AND('Data Source'!B315&lt;&gt;"",'Data Source'!S315="A+"),IF('Data Source'!Y315&gt;=5,"A+",IF('Data Source'!Y315&gt;=4,"A",IF('Data Source'!Y315&gt;=3.5,"A-",IF('Data Source'!Y315&gt;=3,"B",IF('Data Source'!Y315&gt;=2,"C",IF('Data Source'!Y315&gt;=1,"D","F")))))),"")</f>
        <v/>
      </c>
      <c r="H315" s="3">
        <f>IF(AND('Data Source'!B315&lt;&gt;"",'Data Source'!S315="A+"),IF('Data Source'!Z315&gt;=5,"A+",IF('Data Source'!Z315&gt;=4,"A",IF('Data Source'!Z315&gt;=3.5,"A-",IF('Data Source'!Z315&gt;=3,"B",IF('Data Source'!Z315&gt;=2,"C",IF('Data Source'!Z315&gt;=1,"D","F")))))),"")</f>
        <v/>
      </c>
      <c r="I315" s="3">
        <f>IF(AND('Data Source'!B315&lt;&gt;"",'Data Source'!S315="A+"),IF('Data Source'!AA315&gt;=5,"A+",IF('Data Source'!AA315&gt;=4,"A",IF('Data Source'!AA315&gt;=3.5,"A-",IF('Data Source'!AA315&gt;=3,"B",IF('Data Source'!AA315&gt;=2,"C",IF('Data Source'!AA315&gt;=1,"D","F")))))),"")</f>
        <v/>
      </c>
      <c r="J315" s="3">
        <f>IF(AND('Data Source'!B315&lt;&gt;"",'Data Source'!S315="A+"),IF('Data Source'!AB315&gt;=5,"A+",IF('Data Source'!AB315&gt;=4,"A",IF('Data Source'!AB315&gt;=3.5,"A-",IF('Data Source'!AB315&gt;=3,"B",IF('Data Source'!AB315&gt;=2,"C",IF('Data Source'!AB315&gt;=1,"D","F")))))),"")</f>
        <v/>
      </c>
      <c r="K315" s="3">
        <f>IF(AND('Data Source'!B315&lt;&gt;"",'Data Source'!S315="A+"),IF('Data Source'!AC315&gt;=5,"A+",IF('Data Source'!AC315&gt;=4,"A",IF('Data Source'!AC315&gt;=3.5,"A-",IF('Data Source'!AC315&gt;=3,"B",IF('Data Source'!AC315&gt;=2,"C",IF('Data Source'!AC315&gt;=1,"D","F")))))),"")</f>
        <v/>
      </c>
      <c r="L315" s="3">
        <f>IF(AND('Data Source'!B315&lt;&gt;"",'Data Source'!S315="A+"),IF('Data Source'!AD315&gt;=5,"A+",IF('Data Source'!AD315&gt;=4,"A",IF('Data Source'!AD315&gt;=3.5,"A-",IF('Data Source'!AD315&gt;=3,"B",IF('Data Source'!AD315&gt;=2,"C",IF('Data Source'!AD315&gt;=1,"D","F")))))),"")</f>
        <v/>
      </c>
      <c r="M315" s="3">
        <f>IF(AND('Data Source'!B315&lt;&gt;"",'Data Source'!S315="A+"),IF('Data Source'!AE315&gt;=5,"A+",IF('Data Source'!AE315&gt;=4,"A",IF('Data Source'!AE315&gt;=3.5,"A-",IF('Data Source'!AE315&gt;=3,"B",IF('Data Source'!AE315&gt;=2,"C",IF('Data Source'!AE315&gt;=1,"D","F")))))),"")</f>
        <v/>
      </c>
      <c r="N315" s="3">
        <f>IF(AND('Data Source'!B315&lt;&gt;"",'Data Source'!S315="A+"),IF('Data Source'!AF315&gt;=5,"A+",IF('Data Source'!AF315&gt;=4,"A",IF('Data Source'!AF315&gt;=3.5,"A-",IF('Data Source'!AF315&gt;=3,"B",IF('Data Source'!AF315&gt;=2,"C",IF('Data Source'!AF315&gt;=1,"D","F")))))),"")</f>
        <v/>
      </c>
      <c r="O315" s="3">
        <f>IF(AND('Data Source'!B315&lt;&gt;"",'Data Source'!S315="A+"),IF('Data Source'!AG315&gt;=5,"A+",IF('Data Source'!AG315&gt;=4,"A",IF('Data Source'!AG315&gt;=3.5,"A-",IF('Data Source'!AG315&gt;=3,"B",IF('Data Source'!AG315&gt;=2,"C",IF('Data Source'!AG315&gt;=1,"D","F")))))),"")</f>
        <v/>
      </c>
      <c r="P315" s="5">
        <f>IF(AND('Data Source'!B315&lt;&gt;"",'Data Source'!S315="A+"),'Data Source'!R315,"")</f>
        <v/>
      </c>
      <c r="Q315" s="3">
        <f>IF(AND('Data Source'!B315&lt;&gt;"",'Data Source'!S315="A+"),'Data Source'!S315,"")</f>
        <v/>
      </c>
    </row>
    <row r="316">
      <c r="A316" s="3">
        <f>IF(AND('Data Source'!B316&lt;&gt;"",'Data Source'!S316="A+"),COUNTIF('Data Source'!$S$3:S316,"A+"),"")</f>
        <v/>
      </c>
      <c r="B316">
        <f>IF(AND('Data Source'!B316&lt;&gt;"",'Data Source'!S316="A+"),'Data Source'!B316,"")</f>
        <v/>
      </c>
      <c r="C316" s="3">
        <f>IF(AND('Data Source'!B316&lt;&gt;"",'Data Source'!S316="A+"),IF('Data Source'!U316&gt;=5,"A+",IF('Data Source'!U316&gt;=4,"A",IF('Data Source'!U316&gt;=3.5,"A-",IF('Data Source'!U316&gt;=3,"B",IF('Data Source'!U316&gt;=2,"C",IF('Data Source'!U316&gt;=1,"D","F")))))),"")</f>
        <v/>
      </c>
      <c r="D316" s="3">
        <f>IF(AND('Data Source'!B316&lt;&gt;"",'Data Source'!S316="A+"),IF('Data Source'!V316&gt;=5,"A+",IF('Data Source'!V316&gt;=4,"A",IF('Data Source'!V316&gt;=3.5,"A-",IF('Data Source'!V316&gt;=3,"B",IF('Data Source'!V316&gt;=2,"C",IF('Data Source'!V316&gt;=1,"D","F")))))),"")</f>
        <v/>
      </c>
      <c r="E316" s="3">
        <f>IF(AND('Data Source'!B316&lt;&gt;"",'Data Source'!S316="A+"),IF('Data Source'!W316&gt;=5,"A+",IF('Data Source'!W316&gt;=4,"A",IF('Data Source'!W316&gt;=3.5,"A-",IF('Data Source'!W316&gt;=3,"B",IF('Data Source'!W316&gt;=2,"C",IF('Data Source'!W316&gt;=1,"D","F")))))),"")</f>
        <v/>
      </c>
      <c r="F316" s="3">
        <f>IF(AND('Data Source'!B316&lt;&gt;"",'Data Source'!S316="A+"),IF('Data Source'!X316&gt;=5,"A+",IF('Data Source'!X316&gt;=4,"A",IF('Data Source'!X316&gt;=3.5,"A-",IF('Data Source'!X316&gt;=3,"B",IF('Data Source'!X316&gt;=2,"C",IF('Data Source'!X316&gt;=1,"D","F")))))),"")</f>
        <v/>
      </c>
      <c r="G316" s="3">
        <f>IF(AND('Data Source'!B316&lt;&gt;"",'Data Source'!S316="A+"),IF('Data Source'!Y316&gt;=5,"A+",IF('Data Source'!Y316&gt;=4,"A",IF('Data Source'!Y316&gt;=3.5,"A-",IF('Data Source'!Y316&gt;=3,"B",IF('Data Source'!Y316&gt;=2,"C",IF('Data Source'!Y316&gt;=1,"D","F")))))),"")</f>
        <v/>
      </c>
      <c r="H316" s="3">
        <f>IF(AND('Data Source'!B316&lt;&gt;"",'Data Source'!S316="A+"),IF('Data Source'!Z316&gt;=5,"A+",IF('Data Source'!Z316&gt;=4,"A",IF('Data Source'!Z316&gt;=3.5,"A-",IF('Data Source'!Z316&gt;=3,"B",IF('Data Source'!Z316&gt;=2,"C",IF('Data Source'!Z316&gt;=1,"D","F")))))),"")</f>
        <v/>
      </c>
      <c r="I316" s="3">
        <f>IF(AND('Data Source'!B316&lt;&gt;"",'Data Source'!S316="A+"),IF('Data Source'!AA316&gt;=5,"A+",IF('Data Source'!AA316&gt;=4,"A",IF('Data Source'!AA316&gt;=3.5,"A-",IF('Data Source'!AA316&gt;=3,"B",IF('Data Source'!AA316&gt;=2,"C",IF('Data Source'!AA316&gt;=1,"D","F")))))),"")</f>
        <v/>
      </c>
      <c r="J316" s="3">
        <f>IF(AND('Data Source'!B316&lt;&gt;"",'Data Source'!S316="A+"),IF('Data Source'!AB316&gt;=5,"A+",IF('Data Source'!AB316&gt;=4,"A",IF('Data Source'!AB316&gt;=3.5,"A-",IF('Data Source'!AB316&gt;=3,"B",IF('Data Source'!AB316&gt;=2,"C",IF('Data Source'!AB316&gt;=1,"D","F")))))),"")</f>
        <v/>
      </c>
      <c r="K316" s="3">
        <f>IF(AND('Data Source'!B316&lt;&gt;"",'Data Source'!S316="A+"),IF('Data Source'!AC316&gt;=5,"A+",IF('Data Source'!AC316&gt;=4,"A",IF('Data Source'!AC316&gt;=3.5,"A-",IF('Data Source'!AC316&gt;=3,"B",IF('Data Source'!AC316&gt;=2,"C",IF('Data Source'!AC316&gt;=1,"D","F")))))),"")</f>
        <v/>
      </c>
      <c r="L316" s="3">
        <f>IF(AND('Data Source'!B316&lt;&gt;"",'Data Source'!S316="A+"),IF('Data Source'!AD316&gt;=5,"A+",IF('Data Source'!AD316&gt;=4,"A",IF('Data Source'!AD316&gt;=3.5,"A-",IF('Data Source'!AD316&gt;=3,"B",IF('Data Source'!AD316&gt;=2,"C",IF('Data Source'!AD316&gt;=1,"D","F")))))),"")</f>
        <v/>
      </c>
      <c r="M316" s="3">
        <f>IF(AND('Data Source'!B316&lt;&gt;"",'Data Source'!S316="A+"),IF('Data Source'!AE316&gt;=5,"A+",IF('Data Source'!AE316&gt;=4,"A",IF('Data Source'!AE316&gt;=3.5,"A-",IF('Data Source'!AE316&gt;=3,"B",IF('Data Source'!AE316&gt;=2,"C",IF('Data Source'!AE316&gt;=1,"D","F")))))),"")</f>
        <v/>
      </c>
      <c r="N316" s="3">
        <f>IF(AND('Data Source'!B316&lt;&gt;"",'Data Source'!S316="A+"),IF('Data Source'!AF316&gt;=5,"A+",IF('Data Source'!AF316&gt;=4,"A",IF('Data Source'!AF316&gt;=3.5,"A-",IF('Data Source'!AF316&gt;=3,"B",IF('Data Source'!AF316&gt;=2,"C",IF('Data Source'!AF316&gt;=1,"D","F")))))),"")</f>
        <v/>
      </c>
      <c r="O316" s="3">
        <f>IF(AND('Data Source'!B316&lt;&gt;"",'Data Source'!S316="A+"),IF('Data Source'!AG316&gt;=5,"A+",IF('Data Source'!AG316&gt;=4,"A",IF('Data Source'!AG316&gt;=3.5,"A-",IF('Data Source'!AG316&gt;=3,"B",IF('Data Source'!AG316&gt;=2,"C",IF('Data Source'!AG316&gt;=1,"D","F")))))),"")</f>
        <v/>
      </c>
      <c r="P316" s="5">
        <f>IF(AND('Data Source'!B316&lt;&gt;"",'Data Source'!S316="A+"),'Data Source'!R316,"")</f>
        <v/>
      </c>
      <c r="Q316" s="3">
        <f>IF(AND('Data Source'!B316&lt;&gt;"",'Data Source'!S316="A+"),'Data Source'!S316,"")</f>
        <v/>
      </c>
    </row>
    <row r="317">
      <c r="A317" s="3">
        <f>IF(AND('Data Source'!B317&lt;&gt;"",'Data Source'!S317="A+"),COUNTIF('Data Source'!$S$3:S317,"A+"),"")</f>
        <v/>
      </c>
      <c r="B317">
        <f>IF(AND('Data Source'!B317&lt;&gt;"",'Data Source'!S317="A+"),'Data Source'!B317,"")</f>
        <v/>
      </c>
      <c r="C317" s="3">
        <f>IF(AND('Data Source'!B317&lt;&gt;"",'Data Source'!S317="A+"),IF('Data Source'!U317&gt;=5,"A+",IF('Data Source'!U317&gt;=4,"A",IF('Data Source'!U317&gt;=3.5,"A-",IF('Data Source'!U317&gt;=3,"B",IF('Data Source'!U317&gt;=2,"C",IF('Data Source'!U317&gt;=1,"D","F")))))),"")</f>
        <v/>
      </c>
      <c r="D317" s="3">
        <f>IF(AND('Data Source'!B317&lt;&gt;"",'Data Source'!S317="A+"),IF('Data Source'!V317&gt;=5,"A+",IF('Data Source'!V317&gt;=4,"A",IF('Data Source'!V317&gt;=3.5,"A-",IF('Data Source'!V317&gt;=3,"B",IF('Data Source'!V317&gt;=2,"C",IF('Data Source'!V317&gt;=1,"D","F")))))),"")</f>
        <v/>
      </c>
      <c r="E317" s="3">
        <f>IF(AND('Data Source'!B317&lt;&gt;"",'Data Source'!S317="A+"),IF('Data Source'!W317&gt;=5,"A+",IF('Data Source'!W317&gt;=4,"A",IF('Data Source'!W317&gt;=3.5,"A-",IF('Data Source'!W317&gt;=3,"B",IF('Data Source'!W317&gt;=2,"C",IF('Data Source'!W317&gt;=1,"D","F")))))),"")</f>
        <v/>
      </c>
      <c r="F317" s="3">
        <f>IF(AND('Data Source'!B317&lt;&gt;"",'Data Source'!S317="A+"),IF('Data Source'!X317&gt;=5,"A+",IF('Data Source'!X317&gt;=4,"A",IF('Data Source'!X317&gt;=3.5,"A-",IF('Data Source'!X317&gt;=3,"B",IF('Data Source'!X317&gt;=2,"C",IF('Data Source'!X317&gt;=1,"D","F")))))),"")</f>
        <v/>
      </c>
      <c r="G317" s="3">
        <f>IF(AND('Data Source'!B317&lt;&gt;"",'Data Source'!S317="A+"),IF('Data Source'!Y317&gt;=5,"A+",IF('Data Source'!Y317&gt;=4,"A",IF('Data Source'!Y317&gt;=3.5,"A-",IF('Data Source'!Y317&gt;=3,"B",IF('Data Source'!Y317&gt;=2,"C",IF('Data Source'!Y317&gt;=1,"D","F")))))),"")</f>
        <v/>
      </c>
      <c r="H317" s="3">
        <f>IF(AND('Data Source'!B317&lt;&gt;"",'Data Source'!S317="A+"),IF('Data Source'!Z317&gt;=5,"A+",IF('Data Source'!Z317&gt;=4,"A",IF('Data Source'!Z317&gt;=3.5,"A-",IF('Data Source'!Z317&gt;=3,"B",IF('Data Source'!Z317&gt;=2,"C",IF('Data Source'!Z317&gt;=1,"D","F")))))),"")</f>
        <v/>
      </c>
      <c r="I317" s="3">
        <f>IF(AND('Data Source'!B317&lt;&gt;"",'Data Source'!S317="A+"),IF('Data Source'!AA317&gt;=5,"A+",IF('Data Source'!AA317&gt;=4,"A",IF('Data Source'!AA317&gt;=3.5,"A-",IF('Data Source'!AA317&gt;=3,"B",IF('Data Source'!AA317&gt;=2,"C",IF('Data Source'!AA317&gt;=1,"D","F")))))),"")</f>
        <v/>
      </c>
      <c r="J317" s="3">
        <f>IF(AND('Data Source'!B317&lt;&gt;"",'Data Source'!S317="A+"),IF('Data Source'!AB317&gt;=5,"A+",IF('Data Source'!AB317&gt;=4,"A",IF('Data Source'!AB317&gt;=3.5,"A-",IF('Data Source'!AB317&gt;=3,"B",IF('Data Source'!AB317&gt;=2,"C",IF('Data Source'!AB317&gt;=1,"D","F")))))),"")</f>
        <v/>
      </c>
      <c r="K317" s="3">
        <f>IF(AND('Data Source'!B317&lt;&gt;"",'Data Source'!S317="A+"),IF('Data Source'!AC317&gt;=5,"A+",IF('Data Source'!AC317&gt;=4,"A",IF('Data Source'!AC317&gt;=3.5,"A-",IF('Data Source'!AC317&gt;=3,"B",IF('Data Source'!AC317&gt;=2,"C",IF('Data Source'!AC317&gt;=1,"D","F")))))),"")</f>
        <v/>
      </c>
      <c r="L317" s="3">
        <f>IF(AND('Data Source'!B317&lt;&gt;"",'Data Source'!S317="A+"),IF('Data Source'!AD317&gt;=5,"A+",IF('Data Source'!AD317&gt;=4,"A",IF('Data Source'!AD317&gt;=3.5,"A-",IF('Data Source'!AD317&gt;=3,"B",IF('Data Source'!AD317&gt;=2,"C",IF('Data Source'!AD317&gt;=1,"D","F")))))),"")</f>
        <v/>
      </c>
      <c r="M317" s="3">
        <f>IF(AND('Data Source'!B317&lt;&gt;"",'Data Source'!S317="A+"),IF('Data Source'!AE317&gt;=5,"A+",IF('Data Source'!AE317&gt;=4,"A",IF('Data Source'!AE317&gt;=3.5,"A-",IF('Data Source'!AE317&gt;=3,"B",IF('Data Source'!AE317&gt;=2,"C",IF('Data Source'!AE317&gt;=1,"D","F")))))),"")</f>
        <v/>
      </c>
      <c r="N317" s="3">
        <f>IF(AND('Data Source'!B317&lt;&gt;"",'Data Source'!S317="A+"),IF('Data Source'!AF317&gt;=5,"A+",IF('Data Source'!AF317&gt;=4,"A",IF('Data Source'!AF317&gt;=3.5,"A-",IF('Data Source'!AF317&gt;=3,"B",IF('Data Source'!AF317&gt;=2,"C",IF('Data Source'!AF317&gt;=1,"D","F")))))),"")</f>
        <v/>
      </c>
      <c r="O317" s="3">
        <f>IF(AND('Data Source'!B317&lt;&gt;"",'Data Source'!S317="A+"),IF('Data Source'!AG317&gt;=5,"A+",IF('Data Source'!AG317&gt;=4,"A",IF('Data Source'!AG317&gt;=3.5,"A-",IF('Data Source'!AG317&gt;=3,"B",IF('Data Source'!AG317&gt;=2,"C",IF('Data Source'!AG317&gt;=1,"D","F")))))),"")</f>
        <v/>
      </c>
      <c r="P317" s="5">
        <f>IF(AND('Data Source'!B317&lt;&gt;"",'Data Source'!S317="A+"),'Data Source'!R317,"")</f>
        <v/>
      </c>
      <c r="Q317" s="3">
        <f>IF(AND('Data Source'!B317&lt;&gt;"",'Data Source'!S317="A+"),'Data Source'!S317,"")</f>
        <v/>
      </c>
    </row>
    <row r="318">
      <c r="A318" s="3">
        <f>IF(AND('Data Source'!B318&lt;&gt;"",'Data Source'!S318="A+"),COUNTIF('Data Source'!$S$3:S318,"A+"),"")</f>
        <v/>
      </c>
      <c r="B318">
        <f>IF(AND('Data Source'!B318&lt;&gt;"",'Data Source'!S318="A+"),'Data Source'!B318,"")</f>
        <v/>
      </c>
      <c r="C318" s="3">
        <f>IF(AND('Data Source'!B318&lt;&gt;"",'Data Source'!S318="A+"),IF('Data Source'!U318&gt;=5,"A+",IF('Data Source'!U318&gt;=4,"A",IF('Data Source'!U318&gt;=3.5,"A-",IF('Data Source'!U318&gt;=3,"B",IF('Data Source'!U318&gt;=2,"C",IF('Data Source'!U318&gt;=1,"D","F")))))),"")</f>
        <v/>
      </c>
      <c r="D318" s="3">
        <f>IF(AND('Data Source'!B318&lt;&gt;"",'Data Source'!S318="A+"),IF('Data Source'!V318&gt;=5,"A+",IF('Data Source'!V318&gt;=4,"A",IF('Data Source'!V318&gt;=3.5,"A-",IF('Data Source'!V318&gt;=3,"B",IF('Data Source'!V318&gt;=2,"C",IF('Data Source'!V318&gt;=1,"D","F")))))),"")</f>
        <v/>
      </c>
      <c r="E318" s="3">
        <f>IF(AND('Data Source'!B318&lt;&gt;"",'Data Source'!S318="A+"),IF('Data Source'!W318&gt;=5,"A+",IF('Data Source'!W318&gt;=4,"A",IF('Data Source'!W318&gt;=3.5,"A-",IF('Data Source'!W318&gt;=3,"B",IF('Data Source'!W318&gt;=2,"C",IF('Data Source'!W318&gt;=1,"D","F")))))),"")</f>
        <v/>
      </c>
      <c r="F318" s="3">
        <f>IF(AND('Data Source'!B318&lt;&gt;"",'Data Source'!S318="A+"),IF('Data Source'!X318&gt;=5,"A+",IF('Data Source'!X318&gt;=4,"A",IF('Data Source'!X318&gt;=3.5,"A-",IF('Data Source'!X318&gt;=3,"B",IF('Data Source'!X318&gt;=2,"C",IF('Data Source'!X318&gt;=1,"D","F")))))),"")</f>
        <v/>
      </c>
      <c r="G318" s="3">
        <f>IF(AND('Data Source'!B318&lt;&gt;"",'Data Source'!S318="A+"),IF('Data Source'!Y318&gt;=5,"A+",IF('Data Source'!Y318&gt;=4,"A",IF('Data Source'!Y318&gt;=3.5,"A-",IF('Data Source'!Y318&gt;=3,"B",IF('Data Source'!Y318&gt;=2,"C",IF('Data Source'!Y318&gt;=1,"D","F")))))),"")</f>
        <v/>
      </c>
      <c r="H318" s="3">
        <f>IF(AND('Data Source'!B318&lt;&gt;"",'Data Source'!S318="A+"),IF('Data Source'!Z318&gt;=5,"A+",IF('Data Source'!Z318&gt;=4,"A",IF('Data Source'!Z318&gt;=3.5,"A-",IF('Data Source'!Z318&gt;=3,"B",IF('Data Source'!Z318&gt;=2,"C",IF('Data Source'!Z318&gt;=1,"D","F")))))),"")</f>
        <v/>
      </c>
      <c r="I318" s="3">
        <f>IF(AND('Data Source'!B318&lt;&gt;"",'Data Source'!S318="A+"),IF('Data Source'!AA318&gt;=5,"A+",IF('Data Source'!AA318&gt;=4,"A",IF('Data Source'!AA318&gt;=3.5,"A-",IF('Data Source'!AA318&gt;=3,"B",IF('Data Source'!AA318&gt;=2,"C",IF('Data Source'!AA318&gt;=1,"D","F")))))),"")</f>
        <v/>
      </c>
      <c r="J318" s="3">
        <f>IF(AND('Data Source'!B318&lt;&gt;"",'Data Source'!S318="A+"),IF('Data Source'!AB318&gt;=5,"A+",IF('Data Source'!AB318&gt;=4,"A",IF('Data Source'!AB318&gt;=3.5,"A-",IF('Data Source'!AB318&gt;=3,"B",IF('Data Source'!AB318&gt;=2,"C",IF('Data Source'!AB318&gt;=1,"D","F")))))),"")</f>
        <v/>
      </c>
      <c r="K318" s="3">
        <f>IF(AND('Data Source'!B318&lt;&gt;"",'Data Source'!S318="A+"),IF('Data Source'!AC318&gt;=5,"A+",IF('Data Source'!AC318&gt;=4,"A",IF('Data Source'!AC318&gt;=3.5,"A-",IF('Data Source'!AC318&gt;=3,"B",IF('Data Source'!AC318&gt;=2,"C",IF('Data Source'!AC318&gt;=1,"D","F")))))),"")</f>
        <v/>
      </c>
      <c r="L318" s="3">
        <f>IF(AND('Data Source'!B318&lt;&gt;"",'Data Source'!S318="A+"),IF('Data Source'!AD318&gt;=5,"A+",IF('Data Source'!AD318&gt;=4,"A",IF('Data Source'!AD318&gt;=3.5,"A-",IF('Data Source'!AD318&gt;=3,"B",IF('Data Source'!AD318&gt;=2,"C",IF('Data Source'!AD318&gt;=1,"D","F")))))),"")</f>
        <v/>
      </c>
      <c r="M318" s="3">
        <f>IF(AND('Data Source'!B318&lt;&gt;"",'Data Source'!S318="A+"),IF('Data Source'!AE318&gt;=5,"A+",IF('Data Source'!AE318&gt;=4,"A",IF('Data Source'!AE318&gt;=3.5,"A-",IF('Data Source'!AE318&gt;=3,"B",IF('Data Source'!AE318&gt;=2,"C",IF('Data Source'!AE318&gt;=1,"D","F")))))),"")</f>
        <v/>
      </c>
      <c r="N318" s="3">
        <f>IF(AND('Data Source'!B318&lt;&gt;"",'Data Source'!S318="A+"),IF('Data Source'!AF318&gt;=5,"A+",IF('Data Source'!AF318&gt;=4,"A",IF('Data Source'!AF318&gt;=3.5,"A-",IF('Data Source'!AF318&gt;=3,"B",IF('Data Source'!AF318&gt;=2,"C",IF('Data Source'!AF318&gt;=1,"D","F")))))),"")</f>
        <v/>
      </c>
      <c r="O318" s="3">
        <f>IF(AND('Data Source'!B318&lt;&gt;"",'Data Source'!S318="A+"),IF('Data Source'!AG318&gt;=5,"A+",IF('Data Source'!AG318&gt;=4,"A",IF('Data Source'!AG318&gt;=3.5,"A-",IF('Data Source'!AG318&gt;=3,"B",IF('Data Source'!AG318&gt;=2,"C",IF('Data Source'!AG318&gt;=1,"D","F")))))),"")</f>
        <v/>
      </c>
      <c r="P318" s="5">
        <f>IF(AND('Data Source'!B318&lt;&gt;"",'Data Source'!S318="A+"),'Data Source'!R318,"")</f>
        <v/>
      </c>
      <c r="Q318" s="3">
        <f>IF(AND('Data Source'!B318&lt;&gt;"",'Data Source'!S318="A+"),'Data Source'!S318,"")</f>
        <v/>
      </c>
    </row>
    <row r="319">
      <c r="A319" s="3">
        <f>IF(AND('Data Source'!B319&lt;&gt;"",'Data Source'!S319="A+"),COUNTIF('Data Source'!$S$3:S319,"A+"),"")</f>
        <v/>
      </c>
      <c r="B319">
        <f>IF(AND('Data Source'!B319&lt;&gt;"",'Data Source'!S319="A+"),'Data Source'!B319,"")</f>
        <v/>
      </c>
      <c r="C319" s="3">
        <f>IF(AND('Data Source'!B319&lt;&gt;"",'Data Source'!S319="A+"),IF('Data Source'!U319&gt;=5,"A+",IF('Data Source'!U319&gt;=4,"A",IF('Data Source'!U319&gt;=3.5,"A-",IF('Data Source'!U319&gt;=3,"B",IF('Data Source'!U319&gt;=2,"C",IF('Data Source'!U319&gt;=1,"D","F")))))),"")</f>
        <v/>
      </c>
      <c r="D319" s="3">
        <f>IF(AND('Data Source'!B319&lt;&gt;"",'Data Source'!S319="A+"),IF('Data Source'!V319&gt;=5,"A+",IF('Data Source'!V319&gt;=4,"A",IF('Data Source'!V319&gt;=3.5,"A-",IF('Data Source'!V319&gt;=3,"B",IF('Data Source'!V319&gt;=2,"C",IF('Data Source'!V319&gt;=1,"D","F")))))),"")</f>
        <v/>
      </c>
      <c r="E319" s="3">
        <f>IF(AND('Data Source'!B319&lt;&gt;"",'Data Source'!S319="A+"),IF('Data Source'!W319&gt;=5,"A+",IF('Data Source'!W319&gt;=4,"A",IF('Data Source'!W319&gt;=3.5,"A-",IF('Data Source'!W319&gt;=3,"B",IF('Data Source'!W319&gt;=2,"C",IF('Data Source'!W319&gt;=1,"D","F")))))),"")</f>
        <v/>
      </c>
      <c r="F319" s="3">
        <f>IF(AND('Data Source'!B319&lt;&gt;"",'Data Source'!S319="A+"),IF('Data Source'!X319&gt;=5,"A+",IF('Data Source'!X319&gt;=4,"A",IF('Data Source'!X319&gt;=3.5,"A-",IF('Data Source'!X319&gt;=3,"B",IF('Data Source'!X319&gt;=2,"C",IF('Data Source'!X319&gt;=1,"D","F")))))),"")</f>
        <v/>
      </c>
      <c r="G319" s="3">
        <f>IF(AND('Data Source'!B319&lt;&gt;"",'Data Source'!S319="A+"),IF('Data Source'!Y319&gt;=5,"A+",IF('Data Source'!Y319&gt;=4,"A",IF('Data Source'!Y319&gt;=3.5,"A-",IF('Data Source'!Y319&gt;=3,"B",IF('Data Source'!Y319&gt;=2,"C",IF('Data Source'!Y319&gt;=1,"D","F")))))),"")</f>
        <v/>
      </c>
      <c r="H319" s="3">
        <f>IF(AND('Data Source'!B319&lt;&gt;"",'Data Source'!S319="A+"),IF('Data Source'!Z319&gt;=5,"A+",IF('Data Source'!Z319&gt;=4,"A",IF('Data Source'!Z319&gt;=3.5,"A-",IF('Data Source'!Z319&gt;=3,"B",IF('Data Source'!Z319&gt;=2,"C",IF('Data Source'!Z319&gt;=1,"D","F")))))),"")</f>
        <v/>
      </c>
      <c r="I319" s="3">
        <f>IF(AND('Data Source'!B319&lt;&gt;"",'Data Source'!S319="A+"),IF('Data Source'!AA319&gt;=5,"A+",IF('Data Source'!AA319&gt;=4,"A",IF('Data Source'!AA319&gt;=3.5,"A-",IF('Data Source'!AA319&gt;=3,"B",IF('Data Source'!AA319&gt;=2,"C",IF('Data Source'!AA319&gt;=1,"D","F")))))),"")</f>
        <v/>
      </c>
      <c r="J319" s="3">
        <f>IF(AND('Data Source'!B319&lt;&gt;"",'Data Source'!S319="A+"),IF('Data Source'!AB319&gt;=5,"A+",IF('Data Source'!AB319&gt;=4,"A",IF('Data Source'!AB319&gt;=3.5,"A-",IF('Data Source'!AB319&gt;=3,"B",IF('Data Source'!AB319&gt;=2,"C",IF('Data Source'!AB319&gt;=1,"D","F")))))),"")</f>
        <v/>
      </c>
      <c r="K319" s="3">
        <f>IF(AND('Data Source'!B319&lt;&gt;"",'Data Source'!S319="A+"),IF('Data Source'!AC319&gt;=5,"A+",IF('Data Source'!AC319&gt;=4,"A",IF('Data Source'!AC319&gt;=3.5,"A-",IF('Data Source'!AC319&gt;=3,"B",IF('Data Source'!AC319&gt;=2,"C",IF('Data Source'!AC319&gt;=1,"D","F")))))),"")</f>
        <v/>
      </c>
      <c r="L319" s="3">
        <f>IF(AND('Data Source'!B319&lt;&gt;"",'Data Source'!S319="A+"),IF('Data Source'!AD319&gt;=5,"A+",IF('Data Source'!AD319&gt;=4,"A",IF('Data Source'!AD319&gt;=3.5,"A-",IF('Data Source'!AD319&gt;=3,"B",IF('Data Source'!AD319&gt;=2,"C",IF('Data Source'!AD319&gt;=1,"D","F")))))),"")</f>
        <v/>
      </c>
      <c r="M319" s="3">
        <f>IF(AND('Data Source'!B319&lt;&gt;"",'Data Source'!S319="A+"),IF('Data Source'!AE319&gt;=5,"A+",IF('Data Source'!AE319&gt;=4,"A",IF('Data Source'!AE319&gt;=3.5,"A-",IF('Data Source'!AE319&gt;=3,"B",IF('Data Source'!AE319&gt;=2,"C",IF('Data Source'!AE319&gt;=1,"D","F")))))),"")</f>
        <v/>
      </c>
      <c r="N319" s="3">
        <f>IF(AND('Data Source'!B319&lt;&gt;"",'Data Source'!S319="A+"),IF('Data Source'!AF319&gt;=5,"A+",IF('Data Source'!AF319&gt;=4,"A",IF('Data Source'!AF319&gt;=3.5,"A-",IF('Data Source'!AF319&gt;=3,"B",IF('Data Source'!AF319&gt;=2,"C",IF('Data Source'!AF319&gt;=1,"D","F")))))),"")</f>
        <v/>
      </c>
      <c r="O319" s="3">
        <f>IF(AND('Data Source'!B319&lt;&gt;"",'Data Source'!S319="A+"),IF('Data Source'!AG319&gt;=5,"A+",IF('Data Source'!AG319&gt;=4,"A",IF('Data Source'!AG319&gt;=3.5,"A-",IF('Data Source'!AG319&gt;=3,"B",IF('Data Source'!AG319&gt;=2,"C",IF('Data Source'!AG319&gt;=1,"D","F")))))),"")</f>
        <v/>
      </c>
      <c r="P319" s="5">
        <f>IF(AND('Data Source'!B319&lt;&gt;"",'Data Source'!S319="A+"),'Data Source'!R319,"")</f>
        <v/>
      </c>
      <c r="Q319" s="3">
        <f>IF(AND('Data Source'!B319&lt;&gt;"",'Data Source'!S319="A+"),'Data Source'!S319,"")</f>
        <v/>
      </c>
    </row>
    <row r="320">
      <c r="A320" s="3">
        <f>IF(AND('Data Source'!B320&lt;&gt;"",'Data Source'!S320="A+"),COUNTIF('Data Source'!$S$3:S320,"A+"),"")</f>
        <v/>
      </c>
      <c r="B320">
        <f>IF(AND('Data Source'!B320&lt;&gt;"",'Data Source'!S320="A+"),'Data Source'!B320,"")</f>
        <v/>
      </c>
      <c r="C320" s="3">
        <f>IF(AND('Data Source'!B320&lt;&gt;"",'Data Source'!S320="A+"),IF('Data Source'!U320&gt;=5,"A+",IF('Data Source'!U320&gt;=4,"A",IF('Data Source'!U320&gt;=3.5,"A-",IF('Data Source'!U320&gt;=3,"B",IF('Data Source'!U320&gt;=2,"C",IF('Data Source'!U320&gt;=1,"D","F")))))),"")</f>
        <v/>
      </c>
      <c r="D320" s="3">
        <f>IF(AND('Data Source'!B320&lt;&gt;"",'Data Source'!S320="A+"),IF('Data Source'!V320&gt;=5,"A+",IF('Data Source'!V320&gt;=4,"A",IF('Data Source'!V320&gt;=3.5,"A-",IF('Data Source'!V320&gt;=3,"B",IF('Data Source'!V320&gt;=2,"C",IF('Data Source'!V320&gt;=1,"D","F")))))),"")</f>
        <v/>
      </c>
      <c r="E320" s="3">
        <f>IF(AND('Data Source'!B320&lt;&gt;"",'Data Source'!S320="A+"),IF('Data Source'!W320&gt;=5,"A+",IF('Data Source'!W320&gt;=4,"A",IF('Data Source'!W320&gt;=3.5,"A-",IF('Data Source'!W320&gt;=3,"B",IF('Data Source'!W320&gt;=2,"C",IF('Data Source'!W320&gt;=1,"D","F")))))),"")</f>
        <v/>
      </c>
      <c r="F320" s="3">
        <f>IF(AND('Data Source'!B320&lt;&gt;"",'Data Source'!S320="A+"),IF('Data Source'!X320&gt;=5,"A+",IF('Data Source'!X320&gt;=4,"A",IF('Data Source'!X320&gt;=3.5,"A-",IF('Data Source'!X320&gt;=3,"B",IF('Data Source'!X320&gt;=2,"C",IF('Data Source'!X320&gt;=1,"D","F")))))),"")</f>
        <v/>
      </c>
      <c r="G320" s="3">
        <f>IF(AND('Data Source'!B320&lt;&gt;"",'Data Source'!S320="A+"),IF('Data Source'!Y320&gt;=5,"A+",IF('Data Source'!Y320&gt;=4,"A",IF('Data Source'!Y320&gt;=3.5,"A-",IF('Data Source'!Y320&gt;=3,"B",IF('Data Source'!Y320&gt;=2,"C",IF('Data Source'!Y320&gt;=1,"D","F")))))),"")</f>
        <v/>
      </c>
      <c r="H320" s="3">
        <f>IF(AND('Data Source'!B320&lt;&gt;"",'Data Source'!S320="A+"),IF('Data Source'!Z320&gt;=5,"A+",IF('Data Source'!Z320&gt;=4,"A",IF('Data Source'!Z320&gt;=3.5,"A-",IF('Data Source'!Z320&gt;=3,"B",IF('Data Source'!Z320&gt;=2,"C",IF('Data Source'!Z320&gt;=1,"D","F")))))),"")</f>
        <v/>
      </c>
      <c r="I320" s="3">
        <f>IF(AND('Data Source'!B320&lt;&gt;"",'Data Source'!S320="A+"),IF('Data Source'!AA320&gt;=5,"A+",IF('Data Source'!AA320&gt;=4,"A",IF('Data Source'!AA320&gt;=3.5,"A-",IF('Data Source'!AA320&gt;=3,"B",IF('Data Source'!AA320&gt;=2,"C",IF('Data Source'!AA320&gt;=1,"D","F")))))),"")</f>
        <v/>
      </c>
      <c r="J320" s="3">
        <f>IF(AND('Data Source'!B320&lt;&gt;"",'Data Source'!S320="A+"),IF('Data Source'!AB320&gt;=5,"A+",IF('Data Source'!AB320&gt;=4,"A",IF('Data Source'!AB320&gt;=3.5,"A-",IF('Data Source'!AB320&gt;=3,"B",IF('Data Source'!AB320&gt;=2,"C",IF('Data Source'!AB320&gt;=1,"D","F")))))),"")</f>
        <v/>
      </c>
      <c r="K320" s="3">
        <f>IF(AND('Data Source'!B320&lt;&gt;"",'Data Source'!S320="A+"),IF('Data Source'!AC320&gt;=5,"A+",IF('Data Source'!AC320&gt;=4,"A",IF('Data Source'!AC320&gt;=3.5,"A-",IF('Data Source'!AC320&gt;=3,"B",IF('Data Source'!AC320&gt;=2,"C",IF('Data Source'!AC320&gt;=1,"D","F")))))),"")</f>
        <v/>
      </c>
      <c r="L320" s="3">
        <f>IF(AND('Data Source'!B320&lt;&gt;"",'Data Source'!S320="A+"),IF('Data Source'!AD320&gt;=5,"A+",IF('Data Source'!AD320&gt;=4,"A",IF('Data Source'!AD320&gt;=3.5,"A-",IF('Data Source'!AD320&gt;=3,"B",IF('Data Source'!AD320&gt;=2,"C",IF('Data Source'!AD320&gt;=1,"D","F")))))),"")</f>
        <v/>
      </c>
      <c r="M320" s="3">
        <f>IF(AND('Data Source'!B320&lt;&gt;"",'Data Source'!S320="A+"),IF('Data Source'!AE320&gt;=5,"A+",IF('Data Source'!AE320&gt;=4,"A",IF('Data Source'!AE320&gt;=3.5,"A-",IF('Data Source'!AE320&gt;=3,"B",IF('Data Source'!AE320&gt;=2,"C",IF('Data Source'!AE320&gt;=1,"D","F")))))),"")</f>
        <v/>
      </c>
      <c r="N320" s="3">
        <f>IF(AND('Data Source'!B320&lt;&gt;"",'Data Source'!S320="A+"),IF('Data Source'!AF320&gt;=5,"A+",IF('Data Source'!AF320&gt;=4,"A",IF('Data Source'!AF320&gt;=3.5,"A-",IF('Data Source'!AF320&gt;=3,"B",IF('Data Source'!AF320&gt;=2,"C",IF('Data Source'!AF320&gt;=1,"D","F")))))),"")</f>
        <v/>
      </c>
      <c r="O320" s="3">
        <f>IF(AND('Data Source'!B320&lt;&gt;"",'Data Source'!S320="A+"),IF('Data Source'!AG320&gt;=5,"A+",IF('Data Source'!AG320&gt;=4,"A",IF('Data Source'!AG320&gt;=3.5,"A-",IF('Data Source'!AG320&gt;=3,"B",IF('Data Source'!AG320&gt;=2,"C",IF('Data Source'!AG320&gt;=1,"D","F")))))),"")</f>
        <v/>
      </c>
      <c r="P320" s="5">
        <f>IF(AND('Data Source'!B320&lt;&gt;"",'Data Source'!S320="A+"),'Data Source'!R320,"")</f>
        <v/>
      </c>
      <c r="Q320" s="3">
        <f>IF(AND('Data Source'!B320&lt;&gt;"",'Data Source'!S320="A+"),'Data Source'!S320,"")</f>
        <v/>
      </c>
    </row>
    <row r="321">
      <c r="A321" s="3">
        <f>IF(AND('Data Source'!B321&lt;&gt;"",'Data Source'!S321="A+"),COUNTIF('Data Source'!$S$3:S321,"A+"),"")</f>
        <v/>
      </c>
      <c r="B321">
        <f>IF(AND('Data Source'!B321&lt;&gt;"",'Data Source'!S321="A+"),'Data Source'!B321,"")</f>
        <v/>
      </c>
      <c r="C321" s="3">
        <f>IF(AND('Data Source'!B321&lt;&gt;"",'Data Source'!S321="A+"),IF('Data Source'!U321&gt;=5,"A+",IF('Data Source'!U321&gt;=4,"A",IF('Data Source'!U321&gt;=3.5,"A-",IF('Data Source'!U321&gt;=3,"B",IF('Data Source'!U321&gt;=2,"C",IF('Data Source'!U321&gt;=1,"D","F")))))),"")</f>
        <v/>
      </c>
      <c r="D321" s="3">
        <f>IF(AND('Data Source'!B321&lt;&gt;"",'Data Source'!S321="A+"),IF('Data Source'!V321&gt;=5,"A+",IF('Data Source'!V321&gt;=4,"A",IF('Data Source'!V321&gt;=3.5,"A-",IF('Data Source'!V321&gt;=3,"B",IF('Data Source'!V321&gt;=2,"C",IF('Data Source'!V321&gt;=1,"D","F")))))),"")</f>
        <v/>
      </c>
      <c r="E321" s="3">
        <f>IF(AND('Data Source'!B321&lt;&gt;"",'Data Source'!S321="A+"),IF('Data Source'!W321&gt;=5,"A+",IF('Data Source'!W321&gt;=4,"A",IF('Data Source'!W321&gt;=3.5,"A-",IF('Data Source'!W321&gt;=3,"B",IF('Data Source'!W321&gt;=2,"C",IF('Data Source'!W321&gt;=1,"D","F")))))),"")</f>
        <v/>
      </c>
      <c r="F321" s="3">
        <f>IF(AND('Data Source'!B321&lt;&gt;"",'Data Source'!S321="A+"),IF('Data Source'!X321&gt;=5,"A+",IF('Data Source'!X321&gt;=4,"A",IF('Data Source'!X321&gt;=3.5,"A-",IF('Data Source'!X321&gt;=3,"B",IF('Data Source'!X321&gt;=2,"C",IF('Data Source'!X321&gt;=1,"D","F")))))),"")</f>
        <v/>
      </c>
      <c r="G321" s="3">
        <f>IF(AND('Data Source'!B321&lt;&gt;"",'Data Source'!S321="A+"),IF('Data Source'!Y321&gt;=5,"A+",IF('Data Source'!Y321&gt;=4,"A",IF('Data Source'!Y321&gt;=3.5,"A-",IF('Data Source'!Y321&gt;=3,"B",IF('Data Source'!Y321&gt;=2,"C",IF('Data Source'!Y321&gt;=1,"D","F")))))),"")</f>
        <v/>
      </c>
      <c r="H321" s="3">
        <f>IF(AND('Data Source'!B321&lt;&gt;"",'Data Source'!S321="A+"),IF('Data Source'!Z321&gt;=5,"A+",IF('Data Source'!Z321&gt;=4,"A",IF('Data Source'!Z321&gt;=3.5,"A-",IF('Data Source'!Z321&gt;=3,"B",IF('Data Source'!Z321&gt;=2,"C",IF('Data Source'!Z321&gt;=1,"D","F")))))),"")</f>
        <v/>
      </c>
      <c r="I321" s="3">
        <f>IF(AND('Data Source'!B321&lt;&gt;"",'Data Source'!S321="A+"),IF('Data Source'!AA321&gt;=5,"A+",IF('Data Source'!AA321&gt;=4,"A",IF('Data Source'!AA321&gt;=3.5,"A-",IF('Data Source'!AA321&gt;=3,"B",IF('Data Source'!AA321&gt;=2,"C",IF('Data Source'!AA321&gt;=1,"D","F")))))),"")</f>
        <v/>
      </c>
      <c r="J321" s="3">
        <f>IF(AND('Data Source'!B321&lt;&gt;"",'Data Source'!S321="A+"),IF('Data Source'!AB321&gt;=5,"A+",IF('Data Source'!AB321&gt;=4,"A",IF('Data Source'!AB321&gt;=3.5,"A-",IF('Data Source'!AB321&gt;=3,"B",IF('Data Source'!AB321&gt;=2,"C",IF('Data Source'!AB321&gt;=1,"D","F")))))),"")</f>
        <v/>
      </c>
      <c r="K321" s="3">
        <f>IF(AND('Data Source'!B321&lt;&gt;"",'Data Source'!S321="A+"),IF('Data Source'!AC321&gt;=5,"A+",IF('Data Source'!AC321&gt;=4,"A",IF('Data Source'!AC321&gt;=3.5,"A-",IF('Data Source'!AC321&gt;=3,"B",IF('Data Source'!AC321&gt;=2,"C",IF('Data Source'!AC321&gt;=1,"D","F")))))),"")</f>
        <v/>
      </c>
      <c r="L321" s="3">
        <f>IF(AND('Data Source'!B321&lt;&gt;"",'Data Source'!S321="A+"),IF('Data Source'!AD321&gt;=5,"A+",IF('Data Source'!AD321&gt;=4,"A",IF('Data Source'!AD321&gt;=3.5,"A-",IF('Data Source'!AD321&gt;=3,"B",IF('Data Source'!AD321&gt;=2,"C",IF('Data Source'!AD321&gt;=1,"D","F")))))),"")</f>
        <v/>
      </c>
      <c r="M321" s="3">
        <f>IF(AND('Data Source'!B321&lt;&gt;"",'Data Source'!S321="A+"),IF('Data Source'!AE321&gt;=5,"A+",IF('Data Source'!AE321&gt;=4,"A",IF('Data Source'!AE321&gt;=3.5,"A-",IF('Data Source'!AE321&gt;=3,"B",IF('Data Source'!AE321&gt;=2,"C",IF('Data Source'!AE321&gt;=1,"D","F")))))),"")</f>
        <v/>
      </c>
      <c r="N321" s="3">
        <f>IF(AND('Data Source'!B321&lt;&gt;"",'Data Source'!S321="A+"),IF('Data Source'!AF321&gt;=5,"A+",IF('Data Source'!AF321&gt;=4,"A",IF('Data Source'!AF321&gt;=3.5,"A-",IF('Data Source'!AF321&gt;=3,"B",IF('Data Source'!AF321&gt;=2,"C",IF('Data Source'!AF321&gt;=1,"D","F")))))),"")</f>
        <v/>
      </c>
      <c r="O321" s="3">
        <f>IF(AND('Data Source'!B321&lt;&gt;"",'Data Source'!S321="A+"),IF('Data Source'!AG321&gt;=5,"A+",IF('Data Source'!AG321&gt;=4,"A",IF('Data Source'!AG321&gt;=3.5,"A-",IF('Data Source'!AG321&gt;=3,"B",IF('Data Source'!AG321&gt;=2,"C",IF('Data Source'!AG321&gt;=1,"D","F")))))),"")</f>
        <v/>
      </c>
      <c r="P321" s="5">
        <f>IF(AND('Data Source'!B321&lt;&gt;"",'Data Source'!S321="A+"),'Data Source'!R321,"")</f>
        <v/>
      </c>
      <c r="Q321" s="3">
        <f>IF(AND('Data Source'!B321&lt;&gt;"",'Data Source'!S321="A+"),'Data Source'!S321,"")</f>
        <v/>
      </c>
    </row>
    <row r="322">
      <c r="A322" s="3">
        <f>IF(AND('Data Source'!B322&lt;&gt;"",'Data Source'!S322="A+"),COUNTIF('Data Source'!$S$3:S322,"A+"),"")</f>
        <v/>
      </c>
      <c r="B322">
        <f>IF(AND('Data Source'!B322&lt;&gt;"",'Data Source'!S322="A+"),'Data Source'!B322,"")</f>
        <v/>
      </c>
      <c r="C322" s="3">
        <f>IF(AND('Data Source'!B322&lt;&gt;"",'Data Source'!S322="A+"),IF('Data Source'!U322&gt;=5,"A+",IF('Data Source'!U322&gt;=4,"A",IF('Data Source'!U322&gt;=3.5,"A-",IF('Data Source'!U322&gt;=3,"B",IF('Data Source'!U322&gt;=2,"C",IF('Data Source'!U322&gt;=1,"D","F")))))),"")</f>
        <v/>
      </c>
      <c r="D322" s="3">
        <f>IF(AND('Data Source'!B322&lt;&gt;"",'Data Source'!S322="A+"),IF('Data Source'!V322&gt;=5,"A+",IF('Data Source'!V322&gt;=4,"A",IF('Data Source'!V322&gt;=3.5,"A-",IF('Data Source'!V322&gt;=3,"B",IF('Data Source'!V322&gt;=2,"C",IF('Data Source'!V322&gt;=1,"D","F")))))),"")</f>
        <v/>
      </c>
      <c r="E322" s="3">
        <f>IF(AND('Data Source'!B322&lt;&gt;"",'Data Source'!S322="A+"),IF('Data Source'!W322&gt;=5,"A+",IF('Data Source'!W322&gt;=4,"A",IF('Data Source'!W322&gt;=3.5,"A-",IF('Data Source'!W322&gt;=3,"B",IF('Data Source'!W322&gt;=2,"C",IF('Data Source'!W322&gt;=1,"D","F")))))),"")</f>
        <v/>
      </c>
      <c r="F322" s="3">
        <f>IF(AND('Data Source'!B322&lt;&gt;"",'Data Source'!S322="A+"),IF('Data Source'!X322&gt;=5,"A+",IF('Data Source'!X322&gt;=4,"A",IF('Data Source'!X322&gt;=3.5,"A-",IF('Data Source'!X322&gt;=3,"B",IF('Data Source'!X322&gt;=2,"C",IF('Data Source'!X322&gt;=1,"D","F")))))),"")</f>
        <v/>
      </c>
      <c r="G322" s="3">
        <f>IF(AND('Data Source'!B322&lt;&gt;"",'Data Source'!S322="A+"),IF('Data Source'!Y322&gt;=5,"A+",IF('Data Source'!Y322&gt;=4,"A",IF('Data Source'!Y322&gt;=3.5,"A-",IF('Data Source'!Y322&gt;=3,"B",IF('Data Source'!Y322&gt;=2,"C",IF('Data Source'!Y322&gt;=1,"D","F")))))),"")</f>
        <v/>
      </c>
      <c r="H322" s="3">
        <f>IF(AND('Data Source'!B322&lt;&gt;"",'Data Source'!S322="A+"),IF('Data Source'!Z322&gt;=5,"A+",IF('Data Source'!Z322&gt;=4,"A",IF('Data Source'!Z322&gt;=3.5,"A-",IF('Data Source'!Z322&gt;=3,"B",IF('Data Source'!Z322&gt;=2,"C",IF('Data Source'!Z322&gt;=1,"D","F")))))),"")</f>
        <v/>
      </c>
      <c r="I322" s="3">
        <f>IF(AND('Data Source'!B322&lt;&gt;"",'Data Source'!S322="A+"),IF('Data Source'!AA322&gt;=5,"A+",IF('Data Source'!AA322&gt;=4,"A",IF('Data Source'!AA322&gt;=3.5,"A-",IF('Data Source'!AA322&gt;=3,"B",IF('Data Source'!AA322&gt;=2,"C",IF('Data Source'!AA322&gt;=1,"D","F")))))),"")</f>
        <v/>
      </c>
      <c r="J322" s="3">
        <f>IF(AND('Data Source'!B322&lt;&gt;"",'Data Source'!S322="A+"),IF('Data Source'!AB322&gt;=5,"A+",IF('Data Source'!AB322&gt;=4,"A",IF('Data Source'!AB322&gt;=3.5,"A-",IF('Data Source'!AB322&gt;=3,"B",IF('Data Source'!AB322&gt;=2,"C",IF('Data Source'!AB322&gt;=1,"D","F")))))),"")</f>
        <v/>
      </c>
      <c r="K322" s="3">
        <f>IF(AND('Data Source'!B322&lt;&gt;"",'Data Source'!S322="A+"),IF('Data Source'!AC322&gt;=5,"A+",IF('Data Source'!AC322&gt;=4,"A",IF('Data Source'!AC322&gt;=3.5,"A-",IF('Data Source'!AC322&gt;=3,"B",IF('Data Source'!AC322&gt;=2,"C",IF('Data Source'!AC322&gt;=1,"D","F")))))),"")</f>
        <v/>
      </c>
      <c r="L322" s="3">
        <f>IF(AND('Data Source'!B322&lt;&gt;"",'Data Source'!S322="A+"),IF('Data Source'!AD322&gt;=5,"A+",IF('Data Source'!AD322&gt;=4,"A",IF('Data Source'!AD322&gt;=3.5,"A-",IF('Data Source'!AD322&gt;=3,"B",IF('Data Source'!AD322&gt;=2,"C",IF('Data Source'!AD322&gt;=1,"D","F")))))),"")</f>
        <v/>
      </c>
      <c r="M322" s="3">
        <f>IF(AND('Data Source'!B322&lt;&gt;"",'Data Source'!S322="A+"),IF('Data Source'!AE322&gt;=5,"A+",IF('Data Source'!AE322&gt;=4,"A",IF('Data Source'!AE322&gt;=3.5,"A-",IF('Data Source'!AE322&gt;=3,"B",IF('Data Source'!AE322&gt;=2,"C",IF('Data Source'!AE322&gt;=1,"D","F")))))),"")</f>
        <v/>
      </c>
      <c r="N322" s="3">
        <f>IF(AND('Data Source'!B322&lt;&gt;"",'Data Source'!S322="A+"),IF('Data Source'!AF322&gt;=5,"A+",IF('Data Source'!AF322&gt;=4,"A",IF('Data Source'!AF322&gt;=3.5,"A-",IF('Data Source'!AF322&gt;=3,"B",IF('Data Source'!AF322&gt;=2,"C",IF('Data Source'!AF322&gt;=1,"D","F")))))),"")</f>
        <v/>
      </c>
      <c r="O322" s="3">
        <f>IF(AND('Data Source'!B322&lt;&gt;"",'Data Source'!S322="A+"),IF('Data Source'!AG322&gt;=5,"A+",IF('Data Source'!AG322&gt;=4,"A",IF('Data Source'!AG322&gt;=3.5,"A-",IF('Data Source'!AG322&gt;=3,"B",IF('Data Source'!AG322&gt;=2,"C",IF('Data Source'!AG322&gt;=1,"D","F")))))),"")</f>
        <v/>
      </c>
      <c r="P322" s="5">
        <f>IF(AND('Data Source'!B322&lt;&gt;"",'Data Source'!S322="A+"),'Data Source'!R322,"")</f>
        <v/>
      </c>
      <c r="Q322" s="3">
        <f>IF(AND('Data Source'!B322&lt;&gt;"",'Data Source'!S322="A+"),'Data Source'!S322,"")</f>
        <v/>
      </c>
    </row>
    <row r="323">
      <c r="A323" s="3">
        <f>IF(AND('Data Source'!B323&lt;&gt;"",'Data Source'!S323="A+"),COUNTIF('Data Source'!$S$3:S323,"A+"),"")</f>
        <v/>
      </c>
      <c r="B323">
        <f>IF(AND('Data Source'!B323&lt;&gt;"",'Data Source'!S323="A+"),'Data Source'!B323,"")</f>
        <v/>
      </c>
      <c r="C323" s="3">
        <f>IF(AND('Data Source'!B323&lt;&gt;"",'Data Source'!S323="A+"),IF('Data Source'!U323&gt;=5,"A+",IF('Data Source'!U323&gt;=4,"A",IF('Data Source'!U323&gt;=3.5,"A-",IF('Data Source'!U323&gt;=3,"B",IF('Data Source'!U323&gt;=2,"C",IF('Data Source'!U323&gt;=1,"D","F")))))),"")</f>
        <v/>
      </c>
      <c r="D323" s="3">
        <f>IF(AND('Data Source'!B323&lt;&gt;"",'Data Source'!S323="A+"),IF('Data Source'!V323&gt;=5,"A+",IF('Data Source'!V323&gt;=4,"A",IF('Data Source'!V323&gt;=3.5,"A-",IF('Data Source'!V323&gt;=3,"B",IF('Data Source'!V323&gt;=2,"C",IF('Data Source'!V323&gt;=1,"D","F")))))),"")</f>
        <v/>
      </c>
      <c r="E323" s="3">
        <f>IF(AND('Data Source'!B323&lt;&gt;"",'Data Source'!S323="A+"),IF('Data Source'!W323&gt;=5,"A+",IF('Data Source'!W323&gt;=4,"A",IF('Data Source'!W323&gt;=3.5,"A-",IF('Data Source'!W323&gt;=3,"B",IF('Data Source'!W323&gt;=2,"C",IF('Data Source'!W323&gt;=1,"D","F")))))),"")</f>
        <v/>
      </c>
      <c r="F323" s="3">
        <f>IF(AND('Data Source'!B323&lt;&gt;"",'Data Source'!S323="A+"),IF('Data Source'!X323&gt;=5,"A+",IF('Data Source'!X323&gt;=4,"A",IF('Data Source'!X323&gt;=3.5,"A-",IF('Data Source'!X323&gt;=3,"B",IF('Data Source'!X323&gt;=2,"C",IF('Data Source'!X323&gt;=1,"D","F")))))),"")</f>
        <v/>
      </c>
      <c r="G323" s="3">
        <f>IF(AND('Data Source'!B323&lt;&gt;"",'Data Source'!S323="A+"),IF('Data Source'!Y323&gt;=5,"A+",IF('Data Source'!Y323&gt;=4,"A",IF('Data Source'!Y323&gt;=3.5,"A-",IF('Data Source'!Y323&gt;=3,"B",IF('Data Source'!Y323&gt;=2,"C",IF('Data Source'!Y323&gt;=1,"D","F")))))),"")</f>
        <v/>
      </c>
      <c r="H323" s="3">
        <f>IF(AND('Data Source'!B323&lt;&gt;"",'Data Source'!S323="A+"),IF('Data Source'!Z323&gt;=5,"A+",IF('Data Source'!Z323&gt;=4,"A",IF('Data Source'!Z323&gt;=3.5,"A-",IF('Data Source'!Z323&gt;=3,"B",IF('Data Source'!Z323&gt;=2,"C",IF('Data Source'!Z323&gt;=1,"D","F")))))),"")</f>
        <v/>
      </c>
      <c r="I323" s="3">
        <f>IF(AND('Data Source'!B323&lt;&gt;"",'Data Source'!S323="A+"),IF('Data Source'!AA323&gt;=5,"A+",IF('Data Source'!AA323&gt;=4,"A",IF('Data Source'!AA323&gt;=3.5,"A-",IF('Data Source'!AA323&gt;=3,"B",IF('Data Source'!AA323&gt;=2,"C",IF('Data Source'!AA323&gt;=1,"D","F")))))),"")</f>
        <v/>
      </c>
      <c r="J323" s="3">
        <f>IF(AND('Data Source'!B323&lt;&gt;"",'Data Source'!S323="A+"),IF('Data Source'!AB323&gt;=5,"A+",IF('Data Source'!AB323&gt;=4,"A",IF('Data Source'!AB323&gt;=3.5,"A-",IF('Data Source'!AB323&gt;=3,"B",IF('Data Source'!AB323&gt;=2,"C",IF('Data Source'!AB323&gt;=1,"D","F")))))),"")</f>
        <v/>
      </c>
      <c r="K323" s="3">
        <f>IF(AND('Data Source'!B323&lt;&gt;"",'Data Source'!S323="A+"),IF('Data Source'!AC323&gt;=5,"A+",IF('Data Source'!AC323&gt;=4,"A",IF('Data Source'!AC323&gt;=3.5,"A-",IF('Data Source'!AC323&gt;=3,"B",IF('Data Source'!AC323&gt;=2,"C",IF('Data Source'!AC323&gt;=1,"D","F")))))),"")</f>
        <v/>
      </c>
      <c r="L323" s="3">
        <f>IF(AND('Data Source'!B323&lt;&gt;"",'Data Source'!S323="A+"),IF('Data Source'!AD323&gt;=5,"A+",IF('Data Source'!AD323&gt;=4,"A",IF('Data Source'!AD323&gt;=3.5,"A-",IF('Data Source'!AD323&gt;=3,"B",IF('Data Source'!AD323&gt;=2,"C",IF('Data Source'!AD323&gt;=1,"D","F")))))),"")</f>
        <v/>
      </c>
      <c r="M323" s="3">
        <f>IF(AND('Data Source'!B323&lt;&gt;"",'Data Source'!S323="A+"),IF('Data Source'!AE323&gt;=5,"A+",IF('Data Source'!AE323&gt;=4,"A",IF('Data Source'!AE323&gt;=3.5,"A-",IF('Data Source'!AE323&gt;=3,"B",IF('Data Source'!AE323&gt;=2,"C",IF('Data Source'!AE323&gt;=1,"D","F")))))),"")</f>
        <v/>
      </c>
      <c r="N323" s="3">
        <f>IF(AND('Data Source'!B323&lt;&gt;"",'Data Source'!S323="A+"),IF('Data Source'!AF323&gt;=5,"A+",IF('Data Source'!AF323&gt;=4,"A",IF('Data Source'!AF323&gt;=3.5,"A-",IF('Data Source'!AF323&gt;=3,"B",IF('Data Source'!AF323&gt;=2,"C",IF('Data Source'!AF323&gt;=1,"D","F")))))),"")</f>
        <v/>
      </c>
      <c r="O323" s="3">
        <f>IF(AND('Data Source'!B323&lt;&gt;"",'Data Source'!S323="A+"),IF('Data Source'!AG323&gt;=5,"A+",IF('Data Source'!AG323&gt;=4,"A",IF('Data Source'!AG323&gt;=3.5,"A-",IF('Data Source'!AG323&gt;=3,"B",IF('Data Source'!AG323&gt;=2,"C",IF('Data Source'!AG323&gt;=1,"D","F")))))),"")</f>
        <v/>
      </c>
      <c r="P323" s="5">
        <f>IF(AND('Data Source'!B323&lt;&gt;"",'Data Source'!S323="A+"),'Data Source'!R323,"")</f>
        <v/>
      </c>
      <c r="Q323" s="3">
        <f>IF(AND('Data Source'!B323&lt;&gt;"",'Data Source'!S323="A+"),'Data Source'!S323,"")</f>
        <v/>
      </c>
    </row>
    <row r="324">
      <c r="A324" s="3">
        <f>IF(AND('Data Source'!B324&lt;&gt;"",'Data Source'!S324="A+"),COUNTIF('Data Source'!$S$3:S324,"A+"),"")</f>
        <v/>
      </c>
      <c r="B324">
        <f>IF(AND('Data Source'!B324&lt;&gt;"",'Data Source'!S324="A+"),'Data Source'!B324,"")</f>
        <v/>
      </c>
      <c r="C324" s="3">
        <f>IF(AND('Data Source'!B324&lt;&gt;"",'Data Source'!S324="A+"),IF('Data Source'!U324&gt;=5,"A+",IF('Data Source'!U324&gt;=4,"A",IF('Data Source'!U324&gt;=3.5,"A-",IF('Data Source'!U324&gt;=3,"B",IF('Data Source'!U324&gt;=2,"C",IF('Data Source'!U324&gt;=1,"D","F")))))),"")</f>
        <v/>
      </c>
      <c r="D324" s="3">
        <f>IF(AND('Data Source'!B324&lt;&gt;"",'Data Source'!S324="A+"),IF('Data Source'!V324&gt;=5,"A+",IF('Data Source'!V324&gt;=4,"A",IF('Data Source'!V324&gt;=3.5,"A-",IF('Data Source'!V324&gt;=3,"B",IF('Data Source'!V324&gt;=2,"C",IF('Data Source'!V324&gt;=1,"D","F")))))),"")</f>
        <v/>
      </c>
      <c r="E324" s="3">
        <f>IF(AND('Data Source'!B324&lt;&gt;"",'Data Source'!S324="A+"),IF('Data Source'!W324&gt;=5,"A+",IF('Data Source'!W324&gt;=4,"A",IF('Data Source'!W324&gt;=3.5,"A-",IF('Data Source'!W324&gt;=3,"B",IF('Data Source'!W324&gt;=2,"C",IF('Data Source'!W324&gt;=1,"D","F")))))),"")</f>
        <v/>
      </c>
      <c r="F324" s="3">
        <f>IF(AND('Data Source'!B324&lt;&gt;"",'Data Source'!S324="A+"),IF('Data Source'!X324&gt;=5,"A+",IF('Data Source'!X324&gt;=4,"A",IF('Data Source'!X324&gt;=3.5,"A-",IF('Data Source'!X324&gt;=3,"B",IF('Data Source'!X324&gt;=2,"C",IF('Data Source'!X324&gt;=1,"D","F")))))),"")</f>
        <v/>
      </c>
      <c r="G324" s="3">
        <f>IF(AND('Data Source'!B324&lt;&gt;"",'Data Source'!S324="A+"),IF('Data Source'!Y324&gt;=5,"A+",IF('Data Source'!Y324&gt;=4,"A",IF('Data Source'!Y324&gt;=3.5,"A-",IF('Data Source'!Y324&gt;=3,"B",IF('Data Source'!Y324&gt;=2,"C",IF('Data Source'!Y324&gt;=1,"D","F")))))),"")</f>
        <v/>
      </c>
      <c r="H324" s="3">
        <f>IF(AND('Data Source'!B324&lt;&gt;"",'Data Source'!S324="A+"),IF('Data Source'!Z324&gt;=5,"A+",IF('Data Source'!Z324&gt;=4,"A",IF('Data Source'!Z324&gt;=3.5,"A-",IF('Data Source'!Z324&gt;=3,"B",IF('Data Source'!Z324&gt;=2,"C",IF('Data Source'!Z324&gt;=1,"D","F")))))),"")</f>
        <v/>
      </c>
      <c r="I324" s="3">
        <f>IF(AND('Data Source'!B324&lt;&gt;"",'Data Source'!S324="A+"),IF('Data Source'!AA324&gt;=5,"A+",IF('Data Source'!AA324&gt;=4,"A",IF('Data Source'!AA324&gt;=3.5,"A-",IF('Data Source'!AA324&gt;=3,"B",IF('Data Source'!AA324&gt;=2,"C",IF('Data Source'!AA324&gt;=1,"D","F")))))),"")</f>
        <v/>
      </c>
      <c r="J324" s="3">
        <f>IF(AND('Data Source'!B324&lt;&gt;"",'Data Source'!S324="A+"),IF('Data Source'!AB324&gt;=5,"A+",IF('Data Source'!AB324&gt;=4,"A",IF('Data Source'!AB324&gt;=3.5,"A-",IF('Data Source'!AB324&gt;=3,"B",IF('Data Source'!AB324&gt;=2,"C",IF('Data Source'!AB324&gt;=1,"D","F")))))),"")</f>
        <v/>
      </c>
      <c r="K324" s="3">
        <f>IF(AND('Data Source'!B324&lt;&gt;"",'Data Source'!S324="A+"),IF('Data Source'!AC324&gt;=5,"A+",IF('Data Source'!AC324&gt;=4,"A",IF('Data Source'!AC324&gt;=3.5,"A-",IF('Data Source'!AC324&gt;=3,"B",IF('Data Source'!AC324&gt;=2,"C",IF('Data Source'!AC324&gt;=1,"D","F")))))),"")</f>
        <v/>
      </c>
      <c r="L324" s="3">
        <f>IF(AND('Data Source'!B324&lt;&gt;"",'Data Source'!S324="A+"),IF('Data Source'!AD324&gt;=5,"A+",IF('Data Source'!AD324&gt;=4,"A",IF('Data Source'!AD324&gt;=3.5,"A-",IF('Data Source'!AD324&gt;=3,"B",IF('Data Source'!AD324&gt;=2,"C",IF('Data Source'!AD324&gt;=1,"D","F")))))),"")</f>
        <v/>
      </c>
      <c r="M324" s="3">
        <f>IF(AND('Data Source'!B324&lt;&gt;"",'Data Source'!S324="A+"),IF('Data Source'!AE324&gt;=5,"A+",IF('Data Source'!AE324&gt;=4,"A",IF('Data Source'!AE324&gt;=3.5,"A-",IF('Data Source'!AE324&gt;=3,"B",IF('Data Source'!AE324&gt;=2,"C",IF('Data Source'!AE324&gt;=1,"D","F")))))),"")</f>
        <v/>
      </c>
      <c r="N324" s="3">
        <f>IF(AND('Data Source'!B324&lt;&gt;"",'Data Source'!S324="A+"),IF('Data Source'!AF324&gt;=5,"A+",IF('Data Source'!AF324&gt;=4,"A",IF('Data Source'!AF324&gt;=3.5,"A-",IF('Data Source'!AF324&gt;=3,"B",IF('Data Source'!AF324&gt;=2,"C",IF('Data Source'!AF324&gt;=1,"D","F")))))),"")</f>
        <v/>
      </c>
      <c r="O324" s="3">
        <f>IF(AND('Data Source'!B324&lt;&gt;"",'Data Source'!S324="A+"),IF('Data Source'!AG324&gt;=5,"A+",IF('Data Source'!AG324&gt;=4,"A",IF('Data Source'!AG324&gt;=3.5,"A-",IF('Data Source'!AG324&gt;=3,"B",IF('Data Source'!AG324&gt;=2,"C",IF('Data Source'!AG324&gt;=1,"D","F")))))),"")</f>
        <v/>
      </c>
      <c r="P324" s="5">
        <f>IF(AND('Data Source'!B324&lt;&gt;"",'Data Source'!S324="A+"),'Data Source'!R324,"")</f>
        <v/>
      </c>
      <c r="Q324" s="3">
        <f>IF(AND('Data Source'!B324&lt;&gt;"",'Data Source'!S324="A+"),'Data Source'!S324,"")</f>
        <v/>
      </c>
    </row>
    <row r="325">
      <c r="A325" s="3">
        <f>IF(AND('Data Source'!B325&lt;&gt;"",'Data Source'!S325="A+"),COUNTIF('Data Source'!$S$3:S325,"A+"),"")</f>
        <v/>
      </c>
      <c r="B325">
        <f>IF(AND('Data Source'!B325&lt;&gt;"",'Data Source'!S325="A+"),'Data Source'!B325,"")</f>
        <v/>
      </c>
      <c r="C325" s="3">
        <f>IF(AND('Data Source'!B325&lt;&gt;"",'Data Source'!S325="A+"),IF('Data Source'!U325&gt;=5,"A+",IF('Data Source'!U325&gt;=4,"A",IF('Data Source'!U325&gt;=3.5,"A-",IF('Data Source'!U325&gt;=3,"B",IF('Data Source'!U325&gt;=2,"C",IF('Data Source'!U325&gt;=1,"D","F")))))),"")</f>
        <v/>
      </c>
      <c r="D325" s="3">
        <f>IF(AND('Data Source'!B325&lt;&gt;"",'Data Source'!S325="A+"),IF('Data Source'!V325&gt;=5,"A+",IF('Data Source'!V325&gt;=4,"A",IF('Data Source'!V325&gt;=3.5,"A-",IF('Data Source'!V325&gt;=3,"B",IF('Data Source'!V325&gt;=2,"C",IF('Data Source'!V325&gt;=1,"D","F")))))),"")</f>
        <v/>
      </c>
      <c r="E325" s="3">
        <f>IF(AND('Data Source'!B325&lt;&gt;"",'Data Source'!S325="A+"),IF('Data Source'!W325&gt;=5,"A+",IF('Data Source'!W325&gt;=4,"A",IF('Data Source'!W325&gt;=3.5,"A-",IF('Data Source'!W325&gt;=3,"B",IF('Data Source'!W325&gt;=2,"C",IF('Data Source'!W325&gt;=1,"D","F")))))),"")</f>
        <v/>
      </c>
      <c r="F325" s="3">
        <f>IF(AND('Data Source'!B325&lt;&gt;"",'Data Source'!S325="A+"),IF('Data Source'!X325&gt;=5,"A+",IF('Data Source'!X325&gt;=4,"A",IF('Data Source'!X325&gt;=3.5,"A-",IF('Data Source'!X325&gt;=3,"B",IF('Data Source'!X325&gt;=2,"C",IF('Data Source'!X325&gt;=1,"D","F")))))),"")</f>
        <v/>
      </c>
      <c r="G325" s="3">
        <f>IF(AND('Data Source'!B325&lt;&gt;"",'Data Source'!S325="A+"),IF('Data Source'!Y325&gt;=5,"A+",IF('Data Source'!Y325&gt;=4,"A",IF('Data Source'!Y325&gt;=3.5,"A-",IF('Data Source'!Y325&gt;=3,"B",IF('Data Source'!Y325&gt;=2,"C",IF('Data Source'!Y325&gt;=1,"D","F")))))),"")</f>
        <v/>
      </c>
      <c r="H325" s="3">
        <f>IF(AND('Data Source'!B325&lt;&gt;"",'Data Source'!S325="A+"),IF('Data Source'!Z325&gt;=5,"A+",IF('Data Source'!Z325&gt;=4,"A",IF('Data Source'!Z325&gt;=3.5,"A-",IF('Data Source'!Z325&gt;=3,"B",IF('Data Source'!Z325&gt;=2,"C",IF('Data Source'!Z325&gt;=1,"D","F")))))),"")</f>
        <v/>
      </c>
      <c r="I325" s="3">
        <f>IF(AND('Data Source'!B325&lt;&gt;"",'Data Source'!S325="A+"),IF('Data Source'!AA325&gt;=5,"A+",IF('Data Source'!AA325&gt;=4,"A",IF('Data Source'!AA325&gt;=3.5,"A-",IF('Data Source'!AA325&gt;=3,"B",IF('Data Source'!AA325&gt;=2,"C",IF('Data Source'!AA325&gt;=1,"D","F")))))),"")</f>
        <v/>
      </c>
      <c r="J325" s="3">
        <f>IF(AND('Data Source'!B325&lt;&gt;"",'Data Source'!S325="A+"),IF('Data Source'!AB325&gt;=5,"A+",IF('Data Source'!AB325&gt;=4,"A",IF('Data Source'!AB325&gt;=3.5,"A-",IF('Data Source'!AB325&gt;=3,"B",IF('Data Source'!AB325&gt;=2,"C",IF('Data Source'!AB325&gt;=1,"D","F")))))),"")</f>
        <v/>
      </c>
      <c r="K325" s="3">
        <f>IF(AND('Data Source'!B325&lt;&gt;"",'Data Source'!S325="A+"),IF('Data Source'!AC325&gt;=5,"A+",IF('Data Source'!AC325&gt;=4,"A",IF('Data Source'!AC325&gt;=3.5,"A-",IF('Data Source'!AC325&gt;=3,"B",IF('Data Source'!AC325&gt;=2,"C",IF('Data Source'!AC325&gt;=1,"D","F")))))),"")</f>
        <v/>
      </c>
      <c r="L325" s="3">
        <f>IF(AND('Data Source'!B325&lt;&gt;"",'Data Source'!S325="A+"),IF('Data Source'!AD325&gt;=5,"A+",IF('Data Source'!AD325&gt;=4,"A",IF('Data Source'!AD325&gt;=3.5,"A-",IF('Data Source'!AD325&gt;=3,"B",IF('Data Source'!AD325&gt;=2,"C",IF('Data Source'!AD325&gt;=1,"D","F")))))),"")</f>
        <v/>
      </c>
      <c r="M325" s="3">
        <f>IF(AND('Data Source'!B325&lt;&gt;"",'Data Source'!S325="A+"),IF('Data Source'!AE325&gt;=5,"A+",IF('Data Source'!AE325&gt;=4,"A",IF('Data Source'!AE325&gt;=3.5,"A-",IF('Data Source'!AE325&gt;=3,"B",IF('Data Source'!AE325&gt;=2,"C",IF('Data Source'!AE325&gt;=1,"D","F")))))),"")</f>
        <v/>
      </c>
      <c r="N325" s="3">
        <f>IF(AND('Data Source'!B325&lt;&gt;"",'Data Source'!S325="A+"),IF('Data Source'!AF325&gt;=5,"A+",IF('Data Source'!AF325&gt;=4,"A",IF('Data Source'!AF325&gt;=3.5,"A-",IF('Data Source'!AF325&gt;=3,"B",IF('Data Source'!AF325&gt;=2,"C",IF('Data Source'!AF325&gt;=1,"D","F")))))),"")</f>
        <v/>
      </c>
      <c r="O325" s="3">
        <f>IF(AND('Data Source'!B325&lt;&gt;"",'Data Source'!S325="A+"),IF('Data Source'!AG325&gt;=5,"A+",IF('Data Source'!AG325&gt;=4,"A",IF('Data Source'!AG325&gt;=3.5,"A-",IF('Data Source'!AG325&gt;=3,"B",IF('Data Source'!AG325&gt;=2,"C",IF('Data Source'!AG325&gt;=1,"D","F")))))),"")</f>
        <v/>
      </c>
      <c r="P325" s="5">
        <f>IF(AND('Data Source'!B325&lt;&gt;"",'Data Source'!S325="A+"),'Data Source'!R325,"")</f>
        <v/>
      </c>
      <c r="Q325" s="3">
        <f>IF(AND('Data Source'!B325&lt;&gt;"",'Data Source'!S325="A+"),'Data Source'!S325,"")</f>
        <v/>
      </c>
    </row>
    <row r="326">
      <c r="A326" s="3">
        <f>IF(AND('Data Source'!B326&lt;&gt;"",'Data Source'!S326="A+"),COUNTIF('Data Source'!$S$3:S326,"A+"),"")</f>
        <v/>
      </c>
      <c r="B326">
        <f>IF(AND('Data Source'!B326&lt;&gt;"",'Data Source'!S326="A+"),'Data Source'!B326,"")</f>
        <v/>
      </c>
      <c r="C326" s="3">
        <f>IF(AND('Data Source'!B326&lt;&gt;"",'Data Source'!S326="A+"),IF('Data Source'!U326&gt;=5,"A+",IF('Data Source'!U326&gt;=4,"A",IF('Data Source'!U326&gt;=3.5,"A-",IF('Data Source'!U326&gt;=3,"B",IF('Data Source'!U326&gt;=2,"C",IF('Data Source'!U326&gt;=1,"D","F")))))),"")</f>
        <v/>
      </c>
      <c r="D326" s="3">
        <f>IF(AND('Data Source'!B326&lt;&gt;"",'Data Source'!S326="A+"),IF('Data Source'!V326&gt;=5,"A+",IF('Data Source'!V326&gt;=4,"A",IF('Data Source'!V326&gt;=3.5,"A-",IF('Data Source'!V326&gt;=3,"B",IF('Data Source'!V326&gt;=2,"C",IF('Data Source'!V326&gt;=1,"D","F")))))),"")</f>
        <v/>
      </c>
      <c r="E326" s="3">
        <f>IF(AND('Data Source'!B326&lt;&gt;"",'Data Source'!S326="A+"),IF('Data Source'!W326&gt;=5,"A+",IF('Data Source'!W326&gt;=4,"A",IF('Data Source'!W326&gt;=3.5,"A-",IF('Data Source'!W326&gt;=3,"B",IF('Data Source'!W326&gt;=2,"C",IF('Data Source'!W326&gt;=1,"D","F")))))),"")</f>
        <v/>
      </c>
      <c r="F326" s="3">
        <f>IF(AND('Data Source'!B326&lt;&gt;"",'Data Source'!S326="A+"),IF('Data Source'!X326&gt;=5,"A+",IF('Data Source'!X326&gt;=4,"A",IF('Data Source'!X326&gt;=3.5,"A-",IF('Data Source'!X326&gt;=3,"B",IF('Data Source'!X326&gt;=2,"C",IF('Data Source'!X326&gt;=1,"D","F")))))),"")</f>
        <v/>
      </c>
      <c r="G326" s="3">
        <f>IF(AND('Data Source'!B326&lt;&gt;"",'Data Source'!S326="A+"),IF('Data Source'!Y326&gt;=5,"A+",IF('Data Source'!Y326&gt;=4,"A",IF('Data Source'!Y326&gt;=3.5,"A-",IF('Data Source'!Y326&gt;=3,"B",IF('Data Source'!Y326&gt;=2,"C",IF('Data Source'!Y326&gt;=1,"D","F")))))),"")</f>
        <v/>
      </c>
      <c r="H326" s="3">
        <f>IF(AND('Data Source'!B326&lt;&gt;"",'Data Source'!S326="A+"),IF('Data Source'!Z326&gt;=5,"A+",IF('Data Source'!Z326&gt;=4,"A",IF('Data Source'!Z326&gt;=3.5,"A-",IF('Data Source'!Z326&gt;=3,"B",IF('Data Source'!Z326&gt;=2,"C",IF('Data Source'!Z326&gt;=1,"D","F")))))),"")</f>
        <v/>
      </c>
      <c r="I326" s="3">
        <f>IF(AND('Data Source'!B326&lt;&gt;"",'Data Source'!S326="A+"),IF('Data Source'!AA326&gt;=5,"A+",IF('Data Source'!AA326&gt;=4,"A",IF('Data Source'!AA326&gt;=3.5,"A-",IF('Data Source'!AA326&gt;=3,"B",IF('Data Source'!AA326&gt;=2,"C",IF('Data Source'!AA326&gt;=1,"D","F")))))),"")</f>
        <v/>
      </c>
      <c r="J326" s="3">
        <f>IF(AND('Data Source'!B326&lt;&gt;"",'Data Source'!S326="A+"),IF('Data Source'!AB326&gt;=5,"A+",IF('Data Source'!AB326&gt;=4,"A",IF('Data Source'!AB326&gt;=3.5,"A-",IF('Data Source'!AB326&gt;=3,"B",IF('Data Source'!AB326&gt;=2,"C",IF('Data Source'!AB326&gt;=1,"D","F")))))),"")</f>
        <v/>
      </c>
      <c r="K326" s="3">
        <f>IF(AND('Data Source'!B326&lt;&gt;"",'Data Source'!S326="A+"),IF('Data Source'!AC326&gt;=5,"A+",IF('Data Source'!AC326&gt;=4,"A",IF('Data Source'!AC326&gt;=3.5,"A-",IF('Data Source'!AC326&gt;=3,"B",IF('Data Source'!AC326&gt;=2,"C",IF('Data Source'!AC326&gt;=1,"D","F")))))),"")</f>
        <v/>
      </c>
      <c r="L326" s="3">
        <f>IF(AND('Data Source'!B326&lt;&gt;"",'Data Source'!S326="A+"),IF('Data Source'!AD326&gt;=5,"A+",IF('Data Source'!AD326&gt;=4,"A",IF('Data Source'!AD326&gt;=3.5,"A-",IF('Data Source'!AD326&gt;=3,"B",IF('Data Source'!AD326&gt;=2,"C",IF('Data Source'!AD326&gt;=1,"D","F")))))),"")</f>
        <v/>
      </c>
      <c r="M326" s="3">
        <f>IF(AND('Data Source'!B326&lt;&gt;"",'Data Source'!S326="A+"),IF('Data Source'!AE326&gt;=5,"A+",IF('Data Source'!AE326&gt;=4,"A",IF('Data Source'!AE326&gt;=3.5,"A-",IF('Data Source'!AE326&gt;=3,"B",IF('Data Source'!AE326&gt;=2,"C",IF('Data Source'!AE326&gt;=1,"D","F")))))),"")</f>
        <v/>
      </c>
      <c r="N326" s="3">
        <f>IF(AND('Data Source'!B326&lt;&gt;"",'Data Source'!S326="A+"),IF('Data Source'!AF326&gt;=5,"A+",IF('Data Source'!AF326&gt;=4,"A",IF('Data Source'!AF326&gt;=3.5,"A-",IF('Data Source'!AF326&gt;=3,"B",IF('Data Source'!AF326&gt;=2,"C",IF('Data Source'!AF326&gt;=1,"D","F")))))),"")</f>
        <v/>
      </c>
      <c r="O326" s="3">
        <f>IF(AND('Data Source'!B326&lt;&gt;"",'Data Source'!S326="A+"),IF('Data Source'!AG326&gt;=5,"A+",IF('Data Source'!AG326&gt;=4,"A",IF('Data Source'!AG326&gt;=3.5,"A-",IF('Data Source'!AG326&gt;=3,"B",IF('Data Source'!AG326&gt;=2,"C",IF('Data Source'!AG326&gt;=1,"D","F")))))),"")</f>
        <v/>
      </c>
      <c r="P326" s="5">
        <f>IF(AND('Data Source'!B326&lt;&gt;"",'Data Source'!S326="A+"),'Data Source'!R326,"")</f>
        <v/>
      </c>
      <c r="Q326" s="3">
        <f>IF(AND('Data Source'!B326&lt;&gt;"",'Data Source'!S326="A+"),'Data Source'!S326,"")</f>
        <v/>
      </c>
    </row>
    <row r="327">
      <c r="A327" s="3">
        <f>IF(AND('Data Source'!B327&lt;&gt;"",'Data Source'!S327="A+"),COUNTIF('Data Source'!$S$3:S327,"A+"),"")</f>
        <v/>
      </c>
      <c r="B327">
        <f>IF(AND('Data Source'!B327&lt;&gt;"",'Data Source'!S327="A+"),'Data Source'!B327,"")</f>
        <v/>
      </c>
      <c r="C327" s="3">
        <f>IF(AND('Data Source'!B327&lt;&gt;"",'Data Source'!S327="A+"),IF('Data Source'!U327&gt;=5,"A+",IF('Data Source'!U327&gt;=4,"A",IF('Data Source'!U327&gt;=3.5,"A-",IF('Data Source'!U327&gt;=3,"B",IF('Data Source'!U327&gt;=2,"C",IF('Data Source'!U327&gt;=1,"D","F")))))),"")</f>
        <v/>
      </c>
      <c r="D327" s="3">
        <f>IF(AND('Data Source'!B327&lt;&gt;"",'Data Source'!S327="A+"),IF('Data Source'!V327&gt;=5,"A+",IF('Data Source'!V327&gt;=4,"A",IF('Data Source'!V327&gt;=3.5,"A-",IF('Data Source'!V327&gt;=3,"B",IF('Data Source'!V327&gt;=2,"C",IF('Data Source'!V327&gt;=1,"D","F")))))),"")</f>
        <v/>
      </c>
      <c r="E327" s="3">
        <f>IF(AND('Data Source'!B327&lt;&gt;"",'Data Source'!S327="A+"),IF('Data Source'!W327&gt;=5,"A+",IF('Data Source'!W327&gt;=4,"A",IF('Data Source'!W327&gt;=3.5,"A-",IF('Data Source'!W327&gt;=3,"B",IF('Data Source'!W327&gt;=2,"C",IF('Data Source'!W327&gt;=1,"D","F")))))),"")</f>
        <v/>
      </c>
      <c r="F327" s="3">
        <f>IF(AND('Data Source'!B327&lt;&gt;"",'Data Source'!S327="A+"),IF('Data Source'!X327&gt;=5,"A+",IF('Data Source'!X327&gt;=4,"A",IF('Data Source'!X327&gt;=3.5,"A-",IF('Data Source'!X327&gt;=3,"B",IF('Data Source'!X327&gt;=2,"C",IF('Data Source'!X327&gt;=1,"D","F")))))),"")</f>
        <v/>
      </c>
      <c r="G327" s="3">
        <f>IF(AND('Data Source'!B327&lt;&gt;"",'Data Source'!S327="A+"),IF('Data Source'!Y327&gt;=5,"A+",IF('Data Source'!Y327&gt;=4,"A",IF('Data Source'!Y327&gt;=3.5,"A-",IF('Data Source'!Y327&gt;=3,"B",IF('Data Source'!Y327&gt;=2,"C",IF('Data Source'!Y327&gt;=1,"D","F")))))),"")</f>
        <v/>
      </c>
      <c r="H327" s="3">
        <f>IF(AND('Data Source'!B327&lt;&gt;"",'Data Source'!S327="A+"),IF('Data Source'!Z327&gt;=5,"A+",IF('Data Source'!Z327&gt;=4,"A",IF('Data Source'!Z327&gt;=3.5,"A-",IF('Data Source'!Z327&gt;=3,"B",IF('Data Source'!Z327&gt;=2,"C",IF('Data Source'!Z327&gt;=1,"D","F")))))),"")</f>
        <v/>
      </c>
      <c r="I327" s="3">
        <f>IF(AND('Data Source'!B327&lt;&gt;"",'Data Source'!S327="A+"),IF('Data Source'!AA327&gt;=5,"A+",IF('Data Source'!AA327&gt;=4,"A",IF('Data Source'!AA327&gt;=3.5,"A-",IF('Data Source'!AA327&gt;=3,"B",IF('Data Source'!AA327&gt;=2,"C",IF('Data Source'!AA327&gt;=1,"D","F")))))),"")</f>
        <v/>
      </c>
      <c r="J327" s="3">
        <f>IF(AND('Data Source'!B327&lt;&gt;"",'Data Source'!S327="A+"),IF('Data Source'!AB327&gt;=5,"A+",IF('Data Source'!AB327&gt;=4,"A",IF('Data Source'!AB327&gt;=3.5,"A-",IF('Data Source'!AB327&gt;=3,"B",IF('Data Source'!AB327&gt;=2,"C",IF('Data Source'!AB327&gt;=1,"D","F")))))),"")</f>
        <v/>
      </c>
      <c r="K327" s="3">
        <f>IF(AND('Data Source'!B327&lt;&gt;"",'Data Source'!S327="A+"),IF('Data Source'!AC327&gt;=5,"A+",IF('Data Source'!AC327&gt;=4,"A",IF('Data Source'!AC327&gt;=3.5,"A-",IF('Data Source'!AC327&gt;=3,"B",IF('Data Source'!AC327&gt;=2,"C",IF('Data Source'!AC327&gt;=1,"D","F")))))),"")</f>
        <v/>
      </c>
      <c r="L327" s="3">
        <f>IF(AND('Data Source'!B327&lt;&gt;"",'Data Source'!S327="A+"),IF('Data Source'!AD327&gt;=5,"A+",IF('Data Source'!AD327&gt;=4,"A",IF('Data Source'!AD327&gt;=3.5,"A-",IF('Data Source'!AD327&gt;=3,"B",IF('Data Source'!AD327&gt;=2,"C",IF('Data Source'!AD327&gt;=1,"D","F")))))),"")</f>
        <v/>
      </c>
      <c r="M327" s="3">
        <f>IF(AND('Data Source'!B327&lt;&gt;"",'Data Source'!S327="A+"),IF('Data Source'!AE327&gt;=5,"A+",IF('Data Source'!AE327&gt;=4,"A",IF('Data Source'!AE327&gt;=3.5,"A-",IF('Data Source'!AE327&gt;=3,"B",IF('Data Source'!AE327&gt;=2,"C",IF('Data Source'!AE327&gt;=1,"D","F")))))),"")</f>
        <v/>
      </c>
      <c r="N327" s="3">
        <f>IF(AND('Data Source'!B327&lt;&gt;"",'Data Source'!S327="A+"),IF('Data Source'!AF327&gt;=5,"A+",IF('Data Source'!AF327&gt;=4,"A",IF('Data Source'!AF327&gt;=3.5,"A-",IF('Data Source'!AF327&gt;=3,"B",IF('Data Source'!AF327&gt;=2,"C",IF('Data Source'!AF327&gt;=1,"D","F")))))),"")</f>
        <v/>
      </c>
      <c r="O327" s="3">
        <f>IF(AND('Data Source'!B327&lt;&gt;"",'Data Source'!S327="A+"),IF('Data Source'!AG327&gt;=5,"A+",IF('Data Source'!AG327&gt;=4,"A",IF('Data Source'!AG327&gt;=3.5,"A-",IF('Data Source'!AG327&gt;=3,"B",IF('Data Source'!AG327&gt;=2,"C",IF('Data Source'!AG327&gt;=1,"D","F")))))),"")</f>
        <v/>
      </c>
      <c r="P327" s="5">
        <f>IF(AND('Data Source'!B327&lt;&gt;"",'Data Source'!S327="A+"),'Data Source'!R327,"")</f>
        <v/>
      </c>
      <c r="Q327" s="3">
        <f>IF(AND('Data Source'!B327&lt;&gt;"",'Data Source'!S327="A+"),'Data Source'!S327,"")</f>
        <v/>
      </c>
    </row>
    <row r="328">
      <c r="A328" s="3">
        <f>IF(AND('Data Source'!B328&lt;&gt;"",'Data Source'!S328="A+"),COUNTIF('Data Source'!$S$3:S328,"A+"),"")</f>
        <v/>
      </c>
      <c r="B328">
        <f>IF(AND('Data Source'!B328&lt;&gt;"",'Data Source'!S328="A+"),'Data Source'!B328,"")</f>
        <v/>
      </c>
      <c r="C328" s="3">
        <f>IF(AND('Data Source'!B328&lt;&gt;"",'Data Source'!S328="A+"),IF('Data Source'!U328&gt;=5,"A+",IF('Data Source'!U328&gt;=4,"A",IF('Data Source'!U328&gt;=3.5,"A-",IF('Data Source'!U328&gt;=3,"B",IF('Data Source'!U328&gt;=2,"C",IF('Data Source'!U328&gt;=1,"D","F")))))),"")</f>
        <v/>
      </c>
      <c r="D328" s="3">
        <f>IF(AND('Data Source'!B328&lt;&gt;"",'Data Source'!S328="A+"),IF('Data Source'!V328&gt;=5,"A+",IF('Data Source'!V328&gt;=4,"A",IF('Data Source'!V328&gt;=3.5,"A-",IF('Data Source'!V328&gt;=3,"B",IF('Data Source'!V328&gt;=2,"C",IF('Data Source'!V328&gt;=1,"D","F")))))),"")</f>
        <v/>
      </c>
      <c r="E328" s="3">
        <f>IF(AND('Data Source'!B328&lt;&gt;"",'Data Source'!S328="A+"),IF('Data Source'!W328&gt;=5,"A+",IF('Data Source'!W328&gt;=4,"A",IF('Data Source'!W328&gt;=3.5,"A-",IF('Data Source'!W328&gt;=3,"B",IF('Data Source'!W328&gt;=2,"C",IF('Data Source'!W328&gt;=1,"D","F")))))),"")</f>
        <v/>
      </c>
      <c r="F328" s="3">
        <f>IF(AND('Data Source'!B328&lt;&gt;"",'Data Source'!S328="A+"),IF('Data Source'!X328&gt;=5,"A+",IF('Data Source'!X328&gt;=4,"A",IF('Data Source'!X328&gt;=3.5,"A-",IF('Data Source'!X328&gt;=3,"B",IF('Data Source'!X328&gt;=2,"C",IF('Data Source'!X328&gt;=1,"D","F")))))),"")</f>
        <v/>
      </c>
      <c r="G328" s="3">
        <f>IF(AND('Data Source'!B328&lt;&gt;"",'Data Source'!S328="A+"),IF('Data Source'!Y328&gt;=5,"A+",IF('Data Source'!Y328&gt;=4,"A",IF('Data Source'!Y328&gt;=3.5,"A-",IF('Data Source'!Y328&gt;=3,"B",IF('Data Source'!Y328&gt;=2,"C",IF('Data Source'!Y328&gt;=1,"D","F")))))),"")</f>
        <v/>
      </c>
      <c r="H328" s="3">
        <f>IF(AND('Data Source'!B328&lt;&gt;"",'Data Source'!S328="A+"),IF('Data Source'!Z328&gt;=5,"A+",IF('Data Source'!Z328&gt;=4,"A",IF('Data Source'!Z328&gt;=3.5,"A-",IF('Data Source'!Z328&gt;=3,"B",IF('Data Source'!Z328&gt;=2,"C",IF('Data Source'!Z328&gt;=1,"D","F")))))),"")</f>
        <v/>
      </c>
      <c r="I328" s="3">
        <f>IF(AND('Data Source'!B328&lt;&gt;"",'Data Source'!S328="A+"),IF('Data Source'!AA328&gt;=5,"A+",IF('Data Source'!AA328&gt;=4,"A",IF('Data Source'!AA328&gt;=3.5,"A-",IF('Data Source'!AA328&gt;=3,"B",IF('Data Source'!AA328&gt;=2,"C",IF('Data Source'!AA328&gt;=1,"D","F")))))),"")</f>
        <v/>
      </c>
      <c r="J328" s="3">
        <f>IF(AND('Data Source'!B328&lt;&gt;"",'Data Source'!S328="A+"),IF('Data Source'!AB328&gt;=5,"A+",IF('Data Source'!AB328&gt;=4,"A",IF('Data Source'!AB328&gt;=3.5,"A-",IF('Data Source'!AB328&gt;=3,"B",IF('Data Source'!AB328&gt;=2,"C",IF('Data Source'!AB328&gt;=1,"D","F")))))),"")</f>
        <v/>
      </c>
      <c r="K328" s="3">
        <f>IF(AND('Data Source'!B328&lt;&gt;"",'Data Source'!S328="A+"),IF('Data Source'!AC328&gt;=5,"A+",IF('Data Source'!AC328&gt;=4,"A",IF('Data Source'!AC328&gt;=3.5,"A-",IF('Data Source'!AC328&gt;=3,"B",IF('Data Source'!AC328&gt;=2,"C",IF('Data Source'!AC328&gt;=1,"D","F")))))),"")</f>
        <v/>
      </c>
      <c r="L328" s="3">
        <f>IF(AND('Data Source'!B328&lt;&gt;"",'Data Source'!S328="A+"),IF('Data Source'!AD328&gt;=5,"A+",IF('Data Source'!AD328&gt;=4,"A",IF('Data Source'!AD328&gt;=3.5,"A-",IF('Data Source'!AD328&gt;=3,"B",IF('Data Source'!AD328&gt;=2,"C",IF('Data Source'!AD328&gt;=1,"D","F")))))),"")</f>
        <v/>
      </c>
      <c r="M328" s="3">
        <f>IF(AND('Data Source'!B328&lt;&gt;"",'Data Source'!S328="A+"),IF('Data Source'!AE328&gt;=5,"A+",IF('Data Source'!AE328&gt;=4,"A",IF('Data Source'!AE328&gt;=3.5,"A-",IF('Data Source'!AE328&gt;=3,"B",IF('Data Source'!AE328&gt;=2,"C",IF('Data Source'!AE328&gt;=1,"D","F")))))),"")</f>
        <v/>
      </c>
      <c r="N328" s="3">
        <f>IF(AND('Data Source'!B328&lt;&gt;"",'Data Source'!S328="A+"),IF('Data Source'!AF328&gt;=5,"A+",IF('Data Source'!AF328&gt;=4,"A",IF('Data Source'!AF328&gt;=3.5,"A-",IF('Data Source'!AF328&gt;=3,"B",IF('Data Source'!AF328&gt;=2,"C",IF('Data Source'!AF328&gt;=1,"D","F")))))),"")</f>
        <v/>
      </c>
      <c r="O328" s="3">
        <f>IF(AND('Data Source'!B328&lt;&gt;"",'Data Source'!S328="A+"),IF('Data Source'!AG328&gt;=5,"A+",IF('Data Source'!AG328&gt;=4,"A",IF('Data Source'!AG328&gt;=3.5,"A-",IF('Data Source'!AG328&gt;=3,"B",IF('Data Source'!AG328&gt;=2,"C",IF('Data Source'!AG328&gt;=1,"D","F")))))),"")</f>
        <v/>
      </c>
      <c r="P328" s="5">
        <f>IF(AND('Data Source'!B328&lt;&gt;"",'Data Source'!S328="A+"),'Data Source'!R328,"")</f>
        <v/>
      </c>
      <c r="Q328" s="3">
        <f>IF(AND('Data Source'!B328&lt;&gt;"",'Data Source'!S328="A+"),'Data Source'!S328,"")</f>
        <v/>
      </c>
    </row>
    <row r="329">
      <c r="A329" s="3">
        <f>IF(AND('Data Source'!B329&lt;&gt;"",'Data Source'!S329="A+"),COUNTIF('Data Source'!$S$3:S329,"A+"),"")</f>
        <v/>
      </c>
      <c r="B329">
        <f>IF(AND('Data Source'!B329&lt;&gt;"",'Data Source'!S329="A+"),'Data Source'!B329,"")</f>
        <v/>
      </c>
      <c r="C329" s="3">
        <f>IF(AND('Data Source'!B329&lt;&gt;"",'Data Source'!S329="A+"),IF('Data Source'!U329&gt;=5,"A+",IF('Data Source'!U329&gt;=4,"A",IF('Data Source'!U329&gt;=3.5,"A-",IF('Data Source'!U329&gt;=3,"B",IF('Data Source'!U329&gt;=2,"C",IF('Data Source'!U329&gt;=1,"D","F")))))),"")</f>
        <v/>
      </c>
      <c r="D329" s="3">
        <f>IF(AND('Data Source'!B329&lt;&gt;"",'Data Source'!S329="A+"),IF('Data Source'!V329&gt;=5,"A+",IF('Data Source'!V329&gt;=4,"A",IF('Data Source'!V329&gt;=3.5,"A-",IF('Data Source'!V329&gt;=3,"B",IF('Data Source'!V329&gt;=2,"C",IF('Data Source'!V329&gt;=1,"D","F")))))),"")</f>
        <v/>
      </c>
      <c r="E329" s="3">
        <f>IF(AND('Data Source'!B329&lt;&gt;"",'Data Source'!S329="A+"),IF('Data Source'!W329&gt;=5,"A+",IF('Data Source'!W329&gt;=4,"A",IF('Data Source'!W329&gt;=3.5,"A-",IF('Data Source'!W329&gt;=3,"B",IF('Data Source'!W329&gt;=2,"C",IF('Data Source'!W329&gt;=1,"D","F")))))),"")</f>
        <v/>
      </c>
      <c r="F329" s="3">
        <f>IF(AND('Data Source'!B329&lt;&gt;"",'Data Source'!S329="A+"),IF('Data Source'!X329&gt;=5,"A+",IF('Data Source'!X329&gt;=4,"A",IF('Data Source'!X329&gt;=3.5,"A-",IF('Data Source'!X329&gt;=3,"B",IF('Data Source'!X329&gt;=2,"C",IF('Data Source'!X329&gt;=1,"D","F")))))),"")</f>
        <v/>
      </c>
      <c r="G329" s="3">
        <f>IF(AND('Data Source'!B329&lt;&gt;"",'Data Source'!S329="A+"),IF('Data Source'!Y329&gt;=5,"A+",IF('Data Source'!Y329&gt;=4,"A",IF('Data Source'!Y329&gt;=3.5,"A-",IF('Data Source'!Y329&gt;=3,"B",IF('Data Source'!Y329&gt;=2,"C",IF('Data Source'!Y329&gt;=1,"D","F")))))),"")</f>
        <v/>
      </c>
      <c r="H329" s="3">
        <f>IF(AND('Data Source'!B329&lt;&gt;"",'Data Source'!S329="A+"),IF('Data Source'!Z329&gt;=5,"A+",IF('Data Source'!Z329&gt;=4,"A",IF('Data Source'!Z329&gt;=3.5,"A-",IF('Data Source'!Z329&gt;=3,"B",IF('Data Source'!Z329&gt;=2,"C",IF('Data Source'!Z329&gt;=1,"D","F")))))),"")</f>
        <v/>
      </c>
      <c r="I329" s="3">
        <f>IF(AND('Data Source'!B329&lt;&gt;"",'Data Source'!S329="A+"),IF('Data Source'!AA329&gt;=5,"A+",IF('Data Source'!AA329&gt;=4,"A",IF('Data Source'!AA329&gt;=3.5,"A-",IF('Data Source'!AA329&gt;=3,"B",IF('Data Source'!AA329&gt;=2,"C",IF('Data Source'!AA329&gt;=1,"D","F")))))),"")</f>
        <v/>
      </c>
      <c r="J329" s="3">
        <f>IF(AND('Data Source'!B329&lt;&gt;"",'Data Source'!S329="A+"),IF('Data Source'!AB329&gt;=5,"A+",IF('Data Source'!AB329&gt;=4,"A",IF('Data Source'!AB329&gt;=3.5,"A-",IF('Data Source'!AB329&gt;=3,"B",IF('Data Source'!AB329&gt;=2,"C",IF('Data Source'!AB329&gt;=1,"D","F")))))),"")</f>
        <v/>
      </c>
      <c r="K329" s="3">
        <f>IF(AND('Data Source'!B329&lt;&gt;"",'Data Source'!S329="A+"),IF('Data Source'!AC329&gt;=5,"A+",IF('Data Source'!AC329&gt;=4,"A",IF('Data Source'!AC329&gt;=3.5,"A-",IF('Data Source'!AC329&gt;=3,"B",IF('Data Source'!AC329&gt;=2,"C",IF('Data Source'!AC329&gt;=1,"D","F")))))),"")</f>
        <v/>
      </c>
      <c r="L329" s="3">
        <f>IF(AND('Data Source'!B329&lt;&gt;"",'Data Source'!S329="A+"),IF('Data Source'!AD329&gt;=5,"A+",IF('Data Source'!AD329&gt;=4,"A",IF('Data Source'!AD329&gt;=3.5,"A-",IF('Data Source'!AD329&gt;=3,"B",IF('Data Source'!AD329&gt;=2,"C",IF('Data Source'!AD329&gt;=1,"D","F")))))),"")</f>
        <v/>
      </c>
      <c r="M329" s="3">
        <f>IF(AND('Data Source'!B329&lt;&gt;"",'Data Source'!S329="A+"),IF('Data Source'!AE329&gt;=5,"A+",IF('Data Source'!AE329&gt;=4,"A",IF('Data Source'!AE329&gt;=3.5,"A-",IF('Data Source'!AE329&gt;=3,"B",IF('Data Source'!AE329&gt;=2,"C",IF('Data Source'!AE329&gt;=1,"D","F")))))),"")</f>
        <v/>
      </c>
      <c r="N329" s="3">
        <f>IF(AND('Data Source'!B329&lt;&gt;"",'Data Source'!S329="A+"),IF('Data Source'!AF329&gt;=5,"A+",IF('Data Source'!AF329&gt;=4,"A",IF('Data Source'!AF329&gt;=3.5,"A-",IF('Data Source'!AF329&gt;=3,"B",IF('Data Source'!AF329&gt;=2,"C",IF('Data Source'!AF329&gt;=1,"D","F")))))),"")</f>
        <v/>
      </c>
      <c r="O329" s="3">
        <f>IF(AND('Data Source'!B329&lt;&gt;"",'Data Source'!S329="A+"),IF('Data Source'!AG329&gt;=5,"A+",IF('Data Source'!AG329&gt;=4,"A",IF('Data Source'!AG329&gt;=3.5,"A-",IF('Data Source'!AG329&gt;=3,"B",IF('Data Source'!AG329&gt;=2,"C",IF('Data Source'!AG329&gt;=1,"D","F")))))),"")</f>
        <v/>
      </c>
      <c r="P329" s="5">
        <f>IF(AND('Data Source'!B329&lt;&gt;"",'Data Source'!S329="A+"),'Data Source'!R329,"")</f>
        <v/>
      </c>
      <c r="Q329" s="3">
        <f>IF(AND('Data Source'!B329&lt;&gt;"",'Data Source'!S329="A+"),'Data Source'!S329,"")</f>
        <v/>
      </c>
    </row>
    <row r="330">
      <c r="A330" s="3">
        <f>IF(AND('Data Source'!B330&lt;&gt;"",'Data Source'!S330="A+"),COUNTIF('Data Source'!$S$3:S330,"A+"),"")</f>
        <v/>
      </c>
      <c r="B330">
        <f>IF(AND('Data Source'!B330&lt;&gt;"",'Data Source'!S330="A+"),'Data Source'!B330,"")</f>
        <v/>
      </c>
      <c r="C330" s="3">
        <f>IF(AND('Data Source'!B330&lt;&gt;"",'Data Source'!S330="A+"),IF('Data Source'!U330&gt;=5,"A+",IF('Data Source'!U330&gt;=4,"A",IF('Data Source'!U330&gt;=3.5,"A-",IF('Data Source'!U330&gt;=3,"B",IF('Data Source'!U330&gt;=2,"C",IF('Data Source'!U330&gt;=1,"D","F")))))),"")</f>
        <v/>
      </c>
      <c r="D330" s="3">
        <f>IF(AND('Data Source'!B330&lt;&gt;"",'Data Source'!S330="A+"),IF('Data Source'!V330&gt;=5,"A+",IF('Data Source'!V330&gt;=4,"A",IF('Data Source'!V330&gt;=3.5,"A-",IF('Data Source'!V330&gt;=3,"B",IF('Data Source'!V330&gt;=2,"C",IF('Data Source'!V330&gt;=1,"D","F")))))),"")</f>
        <v/>
      </c>
      <c r="E330" s="3">
        <f>IF(AND('Data Source'!B330&lt;&gt;"",'Data Source'!S330="A+"),IF('Data Source'!W330&gt;=5,"A+",IF('Data Source'!W330&gt;=4,"A",IF('Data Source'!W330&gt;=3.5,"A-",IF('Data Source'!W330&gt;=3,"B",IF('Data Source'!W330&gt;=2,"C",IF('Data Source'!W330&gt;=1,"D","F")))))),"")</f>
        <v/>
      </c>
      <c r="F330" s="3">
        <f>IF(AND('Data Source'!B330&lt;&gt;"",'Data Source'!S330="A+"),IF('Data Source'!X330&gt;=5,"A+",IF('Data Source'!X330&gt;=4,"A",IF('Data Source'!X330&gt;=3.5,"A-",IF('Data Source'!X330&gt;=3,"B",IF('Data Source'!X330&gt;=2,"C",IF('Data Source'!X330&gt;=1,"D","F")))))),"")</f>
        <v/>
      </c>
      <c r="G330" s="3">
        <f>IF(AND('Data Source'!B330&lt;&gt;"",'Data Source'!S330="A+"),IF('Data Source'!Y330&gt;=5,"A+",IF('Data Source'!Y330&gt;=4,"A",IF('Data Source'!Y330&gt;=3.5,"A-",IF('Data Source'!Y330&gt;=3,"B",IF('Data Source'!Y330&gt;=2,"C",IF('Data Source'!Y330&gt;=1,"D","F")))))),"")</f>
        <v/>
      </c>
      <c r="H330" s="3">
        <f>IF(AND('Data Source'!B330&lt;&gt;"",'Data Source'!S330="A+"),IF('Data Source'!Z330&gt;=5,"A+",IF('Data Source'!Z330&gt;=4,"A",IF('Data Source'!Z330&gt;=3.5,"A-",IF('Data Source'!Z330&gt;=3,"B",IF('Data Source'!Z330&gt;=2,"C",IF('Data Source'!Z330&gt;=1,"D","F")))))),"")</f>
        <v/>
      </c>
      <c r="I330" s="3">
        <f>IF(AND('Data Source'!B330&lt;&gt;"",'Data Source'!S330="A+"),IF('Data Source'!AA330&gt;=5,"A+",IF('Data Source'!AA330&gt;=4,"A",IF('Data Source'!AA330&gt;=3.5,"A-",IF('Data Source'!AA330&gt;=3,"B",IF('Data Source'!AA330&gt;=2,"C",IF('Data Source'!AA330&gt;=1,"D","F")))))),"")</f>
        <v/>
      </c>
      <c r="J330" s="3">
        <f>IF(AND('Data Source'!B330&lt;&gt;"",'Data Source'!S330="A+"),IF('Data Source'!AB330&gt;=5,"A+",IF('Data Source'!AB330&gt;=4,"A",IF('Data Source'!AB330&gt;=3.5,"A-",IF('Data Source'!AB330&gt;=3,"B",IF('Data Source'!AB330&gt;=2,"C",IF('Data Source'!AB330&gt;=1,"D","F")))))),"")</f>
        <v/>
      </c>
      <c r="K330" s="3">
        <f>IF(AND('Data Source'!B330&lt;&gt;"",'Data Source'!S330="A+"),IF('Data Source'!AC330&gt;=5,"A+",IF('Data Source'!AC330&gt;=4,"A",IF('Data Source'!AC330&gt;=3.5,"A-",IF('Data Source'!AC330&gt;=3,"B",IF('Data Source'!AC330&gt;=2,"C",IF('Data Source'!AC330&gt;=1,"D","F")))))),"")</f>
        <v/>
      </c>
      <c r="L330" s="3">
        <f>IF(AND('Data Source'!B330&lt;&gt;"",'Data Source'!S330="A+"),IF('Data Source'!AD330&gt;=5,"A+",IF('Data Source'!AD330&gt;=4,"A",IF('Data Source'!AD330&gt;=3.5,"A-",IF('Data Source'!AD330&gt;=3,"B",IF('Data Source'!AD330&gt;=2,"C",IF('Data Source'!AD330&gt;=1,"D","F")))))),"")</f>
        <v/>
      </c>
      <c r="M330" s="3">
        <f>IF(AND('Data Source'!B330&lt;&gt;"",'Data Source'!S330="A+"),IF('Data Source'!AE330&gt;=5,"A+",IF('Data Source'!AE330&gt;=4,"A",IF('Data Source'!AE330&gt;=3.5,"A-",IF('Data Source'!AE330&gt;=3,"B",IF('Data Source'!AE330&gt;=2,"C",IF('Data Source'!AE330&gt;=1,"D","F")))))),"")</f>
        <v/>
      </c>
      <c r="N330" s="3">
        <f>IF(AND('Data Source'!B330&lt;&gt;"",'Data Source'!S330="A+"),IF('Data Source'!AF330&gt;=5,"A+",IF('Data Source'!AF330&gt;=4,"A",IF('Data Source'!AF330&gt;=3.5,"A-",IF('Data Source'!AF330&gt;=3,"B",IF('Data Source'!AF330&gt;=2,"C",IF('Data Source'!AF330&gt;=1,"D","F")))))),"")</f>
        <v/>
      </c>
      <c r="O330" s="3">
        <f>IF(AND('Data Source'!B330&lt;&gt;"",'Data Source'!S330="A+"),IF('Data Source'!AG330&gt;=5,"A+",IF('Data Source'!AG330&gt;=4,"A",IF('Data Source'!AG330&gt;=3.5,"A-",IF('Data Source'!AG330&gt;=3,"B",IF('Data Source'!AG330&gt;=2,"C",IF('Data Source'!AG330&gt;=1,"D","F")))))),"")</f>
        <v/>
      </c>
      <c r="P330" s="5">
        <f>IF(AND('Data Source'!B330&lt;&gt;"",'Data Source'!S330="A+"),'Data Source'!R330,"")</f>
        <v/>
      </c>
      <c r="Q330" s="3">
        <f>IF(AND('Data Source'!B330&lt;&gt;"",'Data Source'!S330="A+"),'Data Source'!S330,"")</f>
        <v/>
      </c>
    </row>
    <row r="331">
      <c r="A331" s="3">
        <f>IF(AND('Data Source'!B331&lt;&gt;"",'Data Source'!S331="A+"),COUNTIF('Data Source'!$S$3:S331,"A+"),"")</f>
        <v/>
      </c>
      <c r="B331">
        <f>IF(AND('Data Source'!B331&lt;&gt;"",'Data Source'!S331="A+"),'Data Source'!B331,"")</f>
        <v/>
      </c>
      <c r="C331" s="3">
        <f>IF(AND('Data Source'!B331&lt;&gt;"",'Data Source'!S331="A+"),IF('Data Source'!U331&gt;=5,"A+",IF('Data Source'!U331&gt;=4,"A",IF('Data Source'!U331&gt;=3.5,"A-",IF('Data Source'!U331&gt;=3,"B",IF('Data Source'!U331&gt;=2,"C",IF('Data Source'!U331&gt;=1,"D","F")))))),"")</f>
        <v/>
      </c>
      <c r="D331" s="3">
        <f>IF(AND('Data Source'!B331&lt;&gt;"",'Data Source'!S331="A+"),IF('Data Source'!V331&gt;=5,"A+",IF('Data Source'!V331&gt;=4,"A",IF('Data Source'!V331&gt;=3.5,"A-",IF('Data Source'!V331&gt;=3,"B",IF('Data Source'!V331&gt;=2,"C",IF('Data Source'!V331&gt;=1,"D","F")))))),"")</f>
        <v/>
      </c>
      <c r="E331" s="3">
        <f>IF(AND('Data Source'!B331&lt;&gt;"",'Data Source'!S331="A+"),IF('Data Source'!W331&gt;=5,"A+",IF('Data Source'!W331&gt;=4,"A",IF('Data Source'!W331&gt;=3.5,"A-",IF('Data Source'!W331&gt;=3,"B",IF('Data Source'!W331&gt;=2,"C",IF('Data Source'!W331&gt;=1,"D","F")))))),"")</f>
        <v/>
      </c>
      <c r="F331" s="3">
        <f>IF(AND('Data Source'!B331&lt;&gt;"",'Data Source'!S331="A+"),IF('Data Source'!X331&gt;=5,"A+",IF('Data Source'!X331&gt;=4,"A",IF('Data Source'!X331&gt;=3.5,"A-",IF('Data Source'!X331&gt;=3,"B",IF('Data Source'!X331&gt;=2,"C",IF('Data Source'!X331&gt;=1,"D","F")))))),"")</f>
        <v/>
      </c>
      <c r="G331" s="3">
        <f>IF(AND('Data Source'!B331&lt;&gt;"",'Data Source'!S331="A+"),IF('Data Source'!Y331&gt;=5,"A+",IF('Data Source'!Y331&gt;=4,"A",IF('Data Source'!Y331&gt;=3.5,"A-",IF('Data Source'!Y331&gt;=3,"B",IF('Data Source'!Y331&gt;=2,"C",IF('Data Source'!Y331&gt;=1,"D","F")))))),"")</f>
        <v/>
      </c>
      <c r="H331" s="3">
        <f>IF(AND('Data Source'!B331&lt;&gt;"",'Data Source'!S331="A+"),IF('Data Source'!Z331&gt;=5,"A+",IF('Data Source'!Z331&gt;=4,"A",IF('Data Source'!Z331&gt;=3.5,"A-",IF('Data Source'!Z331&gt;=3,"B",IF('Data Source'!Z331&gt;=2,"C",IF('Data Source'!Z331&gt;=1,"D","F")))))),"")</f>
        <v/>
      </c>
      <c r="I331" s="3">
        <f>IF(AND('Data Source'!B331&lt;&gt;"",'Data Source'!S331="A+"),IF('Data Source'!AA331&gt;=5,"A+",IF('Data Source'!AA331&gt;=4,"A",IF('Data Source'!AA331&gt;=3.5,"A-",IF('Data Source'!AA331&gt;=3,"B",IF('Data Source'!AA331&gt;=2,"C",IF('Data Source'!AA331&gt;=1,"D","F")))))),"")</f>
        <v/>
      </c>
      <c r="J331" s="3">
        <f>IF(AND('Data Source'!B331&lt;&gt;"",'Data Source'!S331="A+"),IF('Data Source'!AB331&gt;=5,"A+",IF('Data Source'!AB331&gt;=4,"A",IF('Data Source'!AB331&gt;=3.5,"A-",IF('Data Source'!AB331&gt;=3,"B",IF('Data Source'!AB331&gt;=2,"C",IF('Data Source'!AB331&gt;=1,"D","F")))))),"")</f>
        <v/>
      </c>
      <c r="K331" s="3">
        <f>IF(AND('Data Source'!B331&lt;&gt;"",'Data Source'!S331="A+"),IF('Data Source'!AC331&gt;=5,"A+",IF('Data Source'!AC331&gt;=4,"A",IF('Data Source'!AC331&gt;=3.5,"A-",IF('Data Source'!AC331&gt;=3,"B",IF('Data Source'!AC331&gt;=2,"C",IF('Data Source'!AC331&gt;=1,"D","F")))))),"")</f>
        <v/>
      </c>
      <c r="L331" s="3">
        <f>IF(AND('Data Source'!B331&lt;&gt;"",'Data Source'!S331="A+"),IF('Data Source'!AD331&gt;=5,"A+",IF('Data Source'!AD331&gt;=4,"A",IF('Data Source'!AD331&gt;=3.5,"A-",IF('Data Source'!AD331&gt;=3,"B",IF('Data Source'!AD331&gt;=2,"C",IF('Data Source'!AD331&gt;=1,"D","F")))))),"")</f>
        <v/>
      </c>
      <c r="M331" s="3">
        <f>IF(AND('Data Source'!B331&lt;&gt;"",'Data Source'!S331="A+"),IF('Data Source'!AE331&gt;=5,"A+",IF('Data Source'!AE331&gt;=4,"A",IF('Data Source'!AE331&gt;=3.5,"A-",IF('Data Source'!AE331&gt;=3,"B",IF('Data Source'!AE331&gt;=2,"C",IF('Data Source'!AE331&gt;=1,"D","F")))))),"")</f>
        <v/>
      </c>
      <c r="N331" s="3">
        <f>IF(AND('Data Source'!B331&lt;&gt;"",'Data Source'!S331="A+"),IF('Data Source'!AF331&gt;=5,"A+",IF('Data Source'!AF331&gt;=4,"A",IF('Data Source'!AF331&gt;=3.5,"A-",IF('Data Source'!AF331&gt;=3,"B",IF('Data Source'!AF331&gt;=2,"C",IF('Data Source'!AF331&gt;=1,"D","F")))))),"")</f>
        <v/>
      </c>
      <c r="O331" s="3">
        <f>IF(AND('Data Source'!B331&lt;&gt;"",'Data Source'!S331="A+"),IF('Data Source'!AG331&gt;=5,"A+",IF('Data Source'!AG331&gt;=4,"A",IF('Data Source'!AG331&gt;=3.5,"A-",IF('Data Source'!AG331&gt;=3,"B",IF('Data Source'!AG331&gt;=2,"C",IF('Data Source'!AG331&gt;=1,"D","F")))))),"")</f>
        <v/>
      </c>
      <c r="P331" s="5">
        <f>IF(AND('Data Source'!B331&lt;&gt;"",'Data Source'!S331="A+"),'Data Source'!R331,"")</f>
        <v/>
      </c>
      <c r="Q331" s="3">
        <f>IF(AND('Data Source'!B331&lt;&gt;"",'Data Source'!S331="A+"),'Data Source'!S331,"")</f>
        <v/>
      </c>
    </row>
    <row r="332">
      <c r="A332" s="3">
        <f>IF(AND('Data Source'!B332&lt;&gt;"",'Data Source'!S332="A+"),COUNTIF('Data Source'!$S$3:S332,"A+"),"")</f>
        <v/>
      </c>
      <c r="B332">
        <f>IF(AND('Data Source'!B332&lt;&gt;"",'Data Source'!S332="A+"),'Data Source'!B332,"")</f>
        <v/>
      </c>
      <c r="C332" s="3">
        <f>IF(AND('Data Source'!B332&lt;&gt;"",'Data Source'!S332="A+"),IF('Data Source'!U332&gt;=5,"A+",IF('Data Source'!U332&gt;=4,"A",IF('Data Source'!U332&gt;=3.5,"A-",IF('Data Source'!U332&gt;=3,"B",IF('Data Source'!U332&gt;=2,"C",IF('Data Source'!U332&gt;=1,"D","F")))))),"")</f>
        <v/>
      </c>
      <c r="D332" s="3">
        <f>IF(AND('Data Source'!B332&lt;&gt;"",'Data Source'!S332="A+"),IF('Data Source'!V332&gt;=5,"A+",IF('Data Source'!V332&gt;=4,"A",IF('Data Source'!V332&gt;=3.5,"A-",IF('Data Source'!V332&gt;=3,"B",IF('Data Source'!V332&gt;=2,"C",IF('Data Source'!V332&gt;=1,"D","F")))))),"")</f>
        <v/>
      </c>
      <c r="E332" s="3">
        <f>IF(AND('Data Source'!B332&lt;&gt;"",'Data Source'!S332="A+"),IF('Data Source'!W332&gt;=5,"A+",IF('Data Source'!W332&gt;=4,"A",IF('Data Source'!W332&gt;=3.5,"A-",IF('Data Source'!W332&gt;=3,"B",IF('Data Source'!W332&gt;=2,"C",IF('Data Source'!W332&gt;=1,"D","F")))))),"")</f>
        <v/>
      </c>
      <c r="F332" s="3">
        <f>IF(AND('Data Source'!B332&lt;&gt;"",'Data Source'!S332="A+"),IF('Data Source'!X332&gt;=5,"A+",IF('Data Source'!X332&gt;=4,"A",IF('Data Source'!X332&gt;=3.5,"A-",IF('Data Source'!X332&gt;=3,"B",IF('Data Source'!X332&gt;=2,"C",IF('Data Source'!X332&gt;=1,"D","F")))))),"")</f>
        <v/>
      </c>
      <c r="G332" s="3">
        <f>IF(AND('Data Source'!B332&lt;&gt;"",'Data Source'!S332="A+"),IF('Data Source'!Y332&gt;=5,"A+",IF('Data Source'!Y332&gt;=4,"A",IF('Data Source'!Y332&gt;=3.5,"A-",IF('Data Source'!Y332&gt;=3,"B",IF('Data Source'!Y332&gt;=2,"C",IF('Data Source'!Y332&gt;=1,"D","F")))))),"")</f>
        <v/>
      </c>
      <c r="H332" s="3">
        <f>IF(AND('Data Source'!B332&lt;&gt;"",'Data Source'!S332="A+"),IF('Data Source'!Z332&gt;=5,"A+",IF('Data Source'!Z332&gt;=4,"A",IF('Data Source'!Z332&gt;=3.5,"A-",IF('Data Source'!Z332&gt;=3,"B",IF('Data Source'!Z332&gt;=2,"C",IF('Data Source'!Z332&gt;=1,"D","F")))))),"")</f>
        <v/>
      </c>
      <c r="I332" s="3">
        <f>IF(AND('Data Source'!B332&lt;&gt;"",'Data Source'!S332="A+"),IF('Data Source'!AA332&gt;=5,"A+",IF('Data Source'!AA332&gt;=4,"A",IF('Data Source'!AA332&gt;=3.5,"A-",IF('Data Source'!AA332&gt;=3,"B",IF('Data Source'!AA332&gt;=2,"C",IF('Data Source'!AA332&gt;=1,"D","F")))))),"")</f>
        <v/>
      </c>
      <c r="J332" s="3">
        <f>IF(AND('Data Source'!B332&lt;&gt;"",'Data Source'!S332="A+"),IF('Data Source'!AB332&gt;=5,"A+",IF('Data Source'!AB332&gt;=4,"A",IF('Data Source'!AB332&gt;=3.5,"A-",IF('Data Source'!AB332&gt;=3,"B",IF('Data Source'!AB332&gt;=2,"C",IF('Data Source'!AB332&gt;=1,"D","F")))))),"")</f>
        <v/>
      </c>
      <c r="K332" s="3">
        <f>IF(AND('Data Source'!B332&lt;&gt;"",'Data Source'!S332="A+"),IF('Data Source'!AC332&gt;=5,"A+",IF('Data Source'!AC332&gt;=4,"A",IF('Data Source'!AC332&gt;=3.5,"A-",IF('Data Source'!AC332&gt;=3,"B",IF('Data Source'!AC332&gt;=2,"C",IF('Data Source'!AC332&gt;=1,"D","F")))))),"")</f>
        <v/>
      </c>
      <c r="L332" s="3">
        <f>IF(AND('Data Source'!B332&lt;&gt;"",'Data Source'!S332="A+"),IF('Data Source'!AD332&gt;=5,"A+",IF('Data Source'!AD332&gt;=4,"A",IF('Data Source'!AD332&gt;=3.5,"A-",IF('Data Source'!AD332&gt;=3,"B",IF('Data Source'!AD332&gt;=2,"C",IF('Data Source'!AD332&gt;=1,"D","F")))))),"")</f>
        <v/>
      </c>
      <c r="M332" s="3">
        <f>IF(AND('Data Source'!B332&lt;&gt;"",'Data Source'!S332="A+"),IF('Data Source'!AE332&gt;=5,"A+",IF('Data Source'!AE332&gt;=4,"A",IF('Data Source'!AE332&gt;=3.5,"A-",IF('Data Source'!AE332&gt;=3,"B",IF('Data Source'!AE332&gt;=2,"C",IF('Data Source'!AE332&gt;=1,"D","F")))))),"")</f>
        <v/>
      </c>
      <c r="N332" s="3">
        <f>IF(AND('Data Source'!B332&lt;&gt;"",'Data Source'!S332="A+"),IF('Data Source'!AF332&gt;=5,"A+",IF('Data Source'!AF332&gt;=4,"A",IF('Data Source'!AF332&gt;=3.5,"A-",IF('Data Source'!AF332&gt;=3,"B",IF('Data Source'!AF332&gt;=2,"C",IF('Data Source'!AF332&gt;=1,"D","F")))))),"")</f>
        <v/>
      </c>
      <c r="O332" s="3">
        <f>IF(AND('Data Source'!B332&lt;&gt;"",'Data Source'!S332="A+"),IF('Data Source'!AG332&gt;=5,"A+",IF('Data Source'!AG332&gt;=4,"A",IF('Data Source'!AG332&gt;=3.5,"A-",IF('Data Source'!AG332&gt;=3,"B",IF('Data Source'!AG332&gt;=2,"C",IF('Data Source'!AG332&gt;=1,"D","F")))))),"")</f>
        <v/>
      </c>
      <c r="P332" s="5">
        <f>IF(AND('Data Source'!B332&lt;&gt;"",'Data Source'!S332="A+"),'Data Source'!R332,"")</f>
        <v/>
      </c>
      <c r="Q332" s="3">
        <f>IF(AND('Data Source'!B332&lt;&gt;"",'Data Source'!S332="A+"),'Data Source'!S332,"")</f>
        <v/>
      </c>
    </row>
    <row r="333">
      <c r="A333" s="3">
        <f>IF(AND('Data Source'!B333&lt;&gt;"",'Data Source'!S333="A+"),COUNTIF('Data Source'!$S$3:S333,"A+"),"")</f>
        <v/>
      </c>
      <c r="B333">
        <f>IF(AND('Data Source'!B333&lt;&gt;"",'Data Source'!S333="A+"),'Data Source'!B333,"")</f>
        <v/>
      </c>
      <c r="C333" s="3">
        <f>IF(AND('Data Source'!B333&lt;&gt;"",'Data Source'!S333="A+"),IF('Data Source'!U333&gt;=5,"A+",IF('Data Source'!U333&gt;=4,"A",IF('Data Source'!U333&gt;=3.5,"A-",IF('Data Source'!U333&gt;=3,"B",IF('Data Source'!U333&gt;=2,"C",IF('Data Source'!U333&gt;=1,"D","F")))))),"")</f>
        <v/>
      </c>
      <c r="D333" s="3">
        <f>IF(AND('Data Source'!B333&lt;&gt;"",'Data Source'!S333="A+"),IF('Data Source'!V333&gt;=5,"A+",IF('Data Source'!V333&gt;=4,"A",IF('Data Source'!V333&gt;=3.5,"A-",IF('Data Source'!V333&gt;=3,"B",IF('Data Source'!V333&gt;=2,"C",IF('Data Source'!V333&gt;=1,"D","F")))))),"")</f>
        <v/>
      </c>
      <c r="E333" s="3">
        <f>IF(AND('Data Source'!B333&lt;&gt;"",'Data Source'!S333="A+"),IF('Data Source'!W333&gt;=5,"A+",IF('Data Source'!W333&gt;=4,"A",IF('Data Source'!W333&gt;=3.5,"A-",IF('Data Source'!W333&gt;=3,"B",IF('Data Source'!W333&gt;=2,"C",IF('Data Source'!W333&gt;=1,"D","F")))))),"")</f>
        <v/>
      </c>
      <c r="F333" s="3">
        <f>IF(AND('Data Source'!B333&lt;&gt;"",'Data Source'!S333="A+"),IF('Data Source'!X333&gt;=5,"A+",IF('Data Source'!X333&gt;=4,"A",IF('Data Source'!X333&gt;=3.5,"A-",IF('Data Source'!X333&gt;=3,"B",IF('Data Source'!X333&gt;=2,"C",IF('Data Source'!X333&gt;=1,"D","F")))))),"")</f>
        <v/>
      </c>
      <c r="G333" s="3">
        <f>IF(AND('Data Source'!B333&lt;&gt;"",'Data Source'!S333="A+"),IF('Data Source'!Y333&gt;=5,"A+",IF('Data Source'!Y333&gt;=4,"A",IF('Data Source'!Y333&gt;=3.5,"A-",IF('Data Source'!Y333&gt;=3,"B",IF('Data Source'!Y333&gt;=2,"C",IF('Data Source'!Y333&gt;=1,"D","F")))))),"")</f>
        <v/>
      </c>
      <c r="H333" s="3">
        <f>IF(AND('Data Source'!B333&lt;&gt;"",'Data Source'!S333="A+"),IF('Data Source'!Z333&gt;=5,"A+",IF('Data Source'!Z333&gt;=4,"A",IF('Data Source'!Z333&gt;=3.5,"A-",IF('Data Source'!Z333&gt;=3,"B",IF('Data Source'!Z333&gt;=2,"C",IF('Data Source'!Z333&gt;=1,"D","F")))))),"")</f>
        <v/>
      </c>
      <c r="I333" s="3">
        <f>IF(AND('Data Source'!B333&lt;&gt;"",'Data Source'!S333="A+"),IF('Data Source'!AA333&gt;=5,"A+",IF('Data Source'!AA333&gt;=4,"A",IF('Data Source'!AA333&gt;=3.5,"A-",IF('Data Source'!AA333&gt;=3,"B",IF('Data Source'!AA333&gt;=2,"C",IF('Data Source'!AA333&gt;=1,"D","F")))))),"")</f>
        <v/>
      </c>
      <c r="J333" s="3">
        <f>IF(AND('Data Source'!B333&lt;&gt;"",'Data Source'!S333="A+"),IF('Data Source'!AB333&gt;=5,"A+",IF('Data Source'!AB333&gt;=4,"A",IF('Data Source'!AB333&gt;=3.5,"A-",IF('Data Source'!AB333&gt;=3,"B",IF('Data Source'!AB333&gt;=2,"C",IF('Data Source'!AB333&gt;=1,"D","F")))))),"")</f>
        <v/>
      </c>
      <c r="K333" s="3">
        <f>IF(AND('Data Source'!B333&lt;&gt;"",'Data Source'!S333="A+"),IF('Data Source'!AC333&gt;=5,"A+",IF('Data Source'!AC333&gt;=4,"A",IF('Data Source'!AC333&gt;=3.5,"A-",IF('Data Source'!AC333&gt;=3,"B",IF('Data Source'!AC333&gt;=2,"C",IF('Data Source'!AC333&gt;=1,"D","F")))))),"")</f>
        <v/>
      </c>
      <c r="L333" s="3">
        <f>IF(AND('Data Source'!B333&lt;&gt;"",'Data Source'!S333="A+"),IF('Data Source'!AD333&gt;=5,"A+",IF('Data Source'!AD333&gt;=4,"A",IF('Data Source'!AD333&gt;=3.5,"A-",IF('Data Source'!AD333&gt;=3,"B",IF('Data Source'!AD333&gt;=2,"C",IF('Data Source'!AD333&gt;=1,"D","F")))))),"")</f>
        <v/>
      </c>
      <c r="M333" s="3">
        <f>IF(AND('Data Source'!B333&lt;&gt;"",'Data Source'!S333="A+"),IF('Data Source'!AE333&gt;=5,"A+",IF('Data Source'!AE333&gt;=4,"A",IF('Data Source'!AE333&gt;=3.5,"A-",IF('Data Source'!AE333&gt;=3,"B",IF('Data Source'!AE333&gt;=2,"C",IF('Data Source'!AE333&gt;=1,"D","F")))))),"")</f>
        <v/>
      </c>
      <c r="N333" s="3">
        <f>IF(AND('Data Source'!B333&lt;&gt;"",'Data Source'!S333="A+"),IF('Data Source'!AF333&gt;=5,"A+",IF('Data Source'!AF333&gt;=4,"A",IF('Data Source'!AF333&gt;=3.5,"A-",IF('Data Source'!AF333&gt;=3,"B",IF('Data Source'!AF333&gt;=2,"C",IF('Data Source'!AF333&gt;=1,"D","F")))))),"")</f>
        <v/>
      </c>
      <c r="O333" s="3">
        <f>IF(AND('Data Source'!B333&lt;&gt;"",'Data Source'!S333="A+"),IF('Data Source'!AG333&gt;=5,"A+",IF('Data Source'!AG333&gt;=4,"A",IF('Data Source'!AG333&gt;=3.5,"A-",IF('Data Source'!AG333&gt;=3,"B",IF('Data Source'!AG333&gt;=2,"C",IF('Data Source'!AG333&gt;=1,"D","F")))))),"")</f>
        <v/>
      </c>
      <c r="P333" s="5">
        <f>IF(AND('Data Source'!B333&lt;&gt;"",'Data Source'!S333="A+"),'Data Source'!R333,"")</f>
        <v/>
      </c>
      <c r="Q333" s="3">
        <f>IF(AND('Data Source'!B333&lt;&gt;"",'Data Source'!S333="A+"),'Data Source'!S333,"")</f>
        <v/>
      </c>
    </row>
    <row r="334">
      <c r="A334" s="3">
        <f>IF(AND('Data Source'!B334&lt;&gt;"",'Data Source'!S334="A+"),COUNTIF('Data Source'!$S$3:S334,"A+"),"")</f>
        <v/>
      </c>
      <c r="B334">
        <f>IF(AND('Data Source'!B334&lt;&gt;"",'Data Source'!S334="A+"),'Data Source'!B334,"")</f>
        <v/>
      </c>
      <c r="C334" s="3">
        <f>IF(AND('Data Source'!B334&lt;&gt;"",'Data Source'!S334="A+"),IF('Data Source'!U334&gt;=5,"A+",IF('Data Source'!U334&gt;=4,"A",IF('Data Source'!U334&gt;=3.5,"A-",IF('Data Source'!U334&gt;=3,"B",IF('Data Source'!U334&gt;=2,"C",IF('Data Source'!U334&gt;=1,"D","F")))))),"")</f>
        <v/>
      </c>
      <c r="D334" s="3">
        <f>IF(AND('Data Source'!B334&lt;&gt;"",'Data Source'!S334="A+"),IF('Data Source'!V334&gt;=5,"A+",IF('Data Source'!V334&gt;=4,"A",IF('Data Source'!V334&gt;=3.5,"A-",IF('Data Source'!V334&gt;=3,"B",IF('Data Source'!V334&gt;=2,"C",IF('Data Source'!V334&gt;=1,"D","F")))))),"")</f>
        <v/>
      </c>
      <c r="E334" s="3">
        <f>IF(AND('Data Source'!B334&lt;&gt;"",'Data Source'!S334="A+"),IF('Data Source'!W334&gt;=5,"A+",IF('Data Source'!W334&gt;=4,"A",IF('Data Source'!W334&gt;=3.5,"A-",IF('Data Source'!W334&gt;=3,"B",IF('Data Source'!W334&gt;=2,"C",IF('Data Source'!W334&gt;=1,"D","F")))))),"")</f>
        <v/>
      </c>
      <c r="F334" s="3">
        <f>IF(AND('Data Source'!B334&lt;&gt;"",'Data Source'!S334="A+"),IF('Data Source'!X334&gt;=5,"A+",IF('Data Source'!X334&gt;=4,"A",IF('Data Source'!X334&gt;=3.5,"A-",IF('Data Source'!X334&gt;=3,"B",IF('Data Source'!X334&gt;=2,"C",IF('Data Source'!X334&gt;=1,"D","F")))))),"")</f>
        <v/>
      </c>
      <c r="G334" s="3">
        <f>IF(AND('Data Source'!B334&lt;&gt;"",'Data Source'!S334="A+"),IF('Data Source'!Y334&gt;=5,"A+",IF('Data Source'!Y334&gt;=4,"A",IF('Data Source'!Y334&gt;=3.5,"A-",IF('Data Source'!Y334&gt;=3,"B",IF('Data Source'!Y334&gt;=2,"C",IF('Data Source'!Y334&gt;=1,"D","F")))))),"")</f>
        <v/>
      </c>
      <c r="H334" s="3">
        <f>IF(AND('Data Source'!B334&lt;&gt;"",'Data Source'!S334="A+"),IF('Data Source'!Z334&gt;=5,"A+",IF('Data Source'!Z334&gt;=4,"A",IF('Data Source'!Z334&gt;=3.5,"A-",IF('Data Source'!Z334&gt;=3,"B",IF('Data Source'!Z334&gt;=2,"C",IF('Data Source'!Z334&gt;=1,"D","F")))))),"")</f>
        <v/>
      </c>
      <c r="I334" s="3">
        <f>IF(AND('Data Source'!B334&lt;&gt;"",'Data Source'!S334="A+"),IF('Data Source'!AA334&gt;=5,"A+",IF('Data Source'!AA334&gt;=4,"A",IF('Data Source'!AA334&gt;=3.5,"A-",IF('Data Source'!AA334&gt;=3,"B",IF('Data Source'!AA334&gt;=2,"C",IF('Data Source'!AA334&gt;=1,"D","F")))))),"")</f>
        <v/>
      </c>
      <c r="J334" s="3">
        <f>IF(AND('Data Source'!B334&lt;&gt;"",'Data Source'!S334="A+"),IF('Data Source'!AB334&gt;=5,"A+",IF('Data Source'!AB334&gt;=4,"A",IF('Data Source'!AB334&gt;=3.5,"A-",IF('Data Source'!AB334&gt;=3,"B",IF('Data Source'!AB334&gt;=2,"C",IF('Data Source'!AB334&gt;=1,"D","F")))))),"")</f>
        <v/>
      </c>
      <c r="K334" s="3">
        <f>IF(AND('Data Source'!B334&lt;&gt;"",'Data Source'!S334="A+"),IF('Data Source'!AC334&gt;=5,"A+",IF('Data Source'!AC334&gt;=4,"A",IF('Data Source'!AC334&gt;=3.5,"A-",IF('Data Source'!AC334&gt;=3,"B",IF('Data Source'!AC334&gt;=2,"C",IF('Data Source'!AC334&gt;=1,"D","F")))))),"")</f>
        <v/>
      </c>
      <c r="L334" s="3">
        <f>IF(AND('Data Source'!B334&lt;&gt;"",'Data Source'!S334="A+"),IF('Data Source'!AD334&gt;=5,"A+",IF('Data Source'!AD334&gt;=4,"A",IF('Data Source'!AD334&gt;=3.5,"A-",IF('Data Source'!AD334&gt;=3,"B",IF('Data Source'!AD334&gt;=2,"C",IF('Data Source'!AD334&gt;=1,"D","F")))))),"")</f>
        <v/>
      </c>
      <c r="M334" s="3">
        <f>IF(AND('Data Source'!B334&lt;&gt;"",'Data Source'!S334="A+"),IF('Data Source'!AE334&gt;=5,"A+",IF('Data Source'!AE334&gt;=4,"A",IF('Data Source'!AE334&gt;=3.5,"A-",IF('Data Source'!AE334&gt;=3,"B",IF('Data Source'!AE334&gt;=2,"C",IF('Data Source'!AE334&gt;=1,"D","F")))))),"")</f>
        <v/>
      </c>
      <c r="N334" s="3">
        <f>IF(AND('Data Source'!B334&lt;&gt;"",'Data Source'!S334="A+"),IF('Data Source'!AF334&gt;=5,"A+",IF('Data Source'!AF334&gt;=4,"A",IF('Data Source'!AF334&gt;=3.5,"A-",IF('Data Source'!AF334&gt;=3,"B",IF('Data Source'!AF334&gt;=2,"C",IF('Data Source'!AF334&gt;=1,"D","F")))))),"")</f>
        <v/>
      </c>
      <c r="O334" s="3">
        <f>IF(AND('Data Source'!B334&lt;&gt;"",'Data Source'!S334="A+"),IF('Data Source'!AG334&gt;=5,"A+",IF('Data Source'!AG334&gt;=4,"A",IF('Data Source'!AG334&gt;=3.5,"A-",IF('Data Source'!AG334&gt;=3,"B",IF('Data Source'!AG334&gt;=2,"C",IF('Data Source'!AG334&gt;=1,"D","F")))))),"")</f>
        <v/>
      </c>
      <c r="P334" s="5">
        <f>IF(AND('Data Source'!B334&lt;&gt;"",'Data Source'!S334="A+"),'Data Source'!R334,"")</f>
        <v/>
      </c>
      <c r="Q334" s="3">
        <f>IF(AND('Data Source'!B334&lt;&gt;"",'Data Source'!S334="A+"),'Data Source'!S334,"")</f>
        <v/>
      </c>
    </row>
    <row r="335">
      <c r="A335" s="3">
        <f>IF(AND('Data Source'!B335&lt;&gt;"",'Data Source'!S335="A+"),COUNTIF('Data Source'!$S$3:S335,"A+"),"")</f>
        <v/>
      </c>
      <c r="B335">
        <f>IF(AND('Data Source'!B335&lt;&gt;"",'Data Source'!S335="A+"),'Data Source'!B335,"")</f>
        <v/>
      </c>
      <c r="C335" s="3">
        <f>IF(AND('Data Source'!B335&lt;&gt;"",'Data Source'!S335="A+"),IF('Data Source'!U335&gt;=5,"A+",IF('Data Source'!U335&gt;=4,"A",IF('Data Source'!U335&gt;=3.5,"A-",IF('Data Source'!U335&gt;=3,"B",IF('Data Source'!U335&gt;=2,"C",IF('Data Source'!U335&gt;=1,"D","F")))))),"")</f>
        <v/>
      </c>
      <c r="D335" s="3">
        <f>IF(AND('Data Source'!B335&lt;&gt;"",'Data Source'!S335="A+"),IF('Data Source'!V335&gt;=5,"A+",IF('Data Source'!V335&gt;=4,"A",IF('Data Source'!V335&gt;=3.5,"A-",IF('Data Source'!V335&gt;=3,"B",IF('Data Source'!V335&gt;=2,"C",IF('Data Source'!V335&gt;=1,"D","F")))))),"")</f>
        <v/>
      </c>
      <c r="E335" s="3">
        <f>IF(AND('Data Source'!B335&lt;&gt;"",'Data Source'!S335="A+"),IF('Data Source'!W335&gt;=5,"A+",IF('Data Source'!W335&gt;=4,"A",IF('Data Source'!W335&gt;=3.5,"A-",IF('Data Source'!W335&gt;=3,"B",IF('Data Source'!W335&gt;=2,"C",IF('Data Source'!W335&gt;=1,"D","F")))))),"")</f>
        <v/>
      </c>
      <c r="F335" s="3">
        <f>IF(AND('Data Source'!B335&lt;&gt;"",'Data Source'!S335="A+"),IF('Data Source'!X335&gt;=5,"A+",IF('Data Source'!X335&gt;=4,"A",IF('Data Source'!X335&gt;=3.5,"A-",IF('Data Source'!X335&gt;=3,"B",IF('Data Source'!X335&gt;=2,"C",IF('Data Source'!X335&gt;=1,"D","F")))))),"")</f>
        <v/>
      </c>
      <c r="G335" s="3">
        <f>IF(AND('Data Source'!B335&lt;&gt;"",'Data Source'!S335="A+"),IF('Data Source'!Y335&gt;=5,"A+",IF('Data Source'!Y335&gt;=4,"A",IF('Data Source'!Y335&gt;=3.5,"A-",IF('Data Source'!Y335&gt;=3,"B",IF('Data Source'!Y335&gt;=2,"C",IF('Data Source'!Y335&gt;=1,"D","F")))))),"")</f>
        <v/>
      </c>
      <c r="H335" s="3">
        <f>IF(AND('Data Source'!B335&lt;&gt;"",'Data Source'!S335="A+"),IF('Data Source'!Z335&gt;=5,"A+",IF('Data Source'!Z335&gt;=4,"A",IF('Data Source'!Z335&gt;=3.5,"A-",IF('Data Source'!Z335&gt;=3,"B",IF('Data Source'!Z335&gt;=2,"C",IF('Data Source'!Z335&gt;=1,"D","F")))))),"")</f>
        <v/>
      </c>
      <c r="I335" s="3">
        <f>IF(AND('Data Source'!B335&lt;&gt;"",'Data Source'!S335="A+"),IF('Data Source'!AA335&gt;=5,"A+",IF('Data Source'!AA335&gt;=4,"A",IF('Data Source'!AA335&gt;=3.5,"A-",IF('Data Source'!AA335&gt;=3,"B",IF('Data Source'!AA335&gt;=2,"C",IF('Data Source'!AA335&gt;=1,"D","F")))))),"")</f>
        <v/>
      </c>
      <c r="J335" s="3">
        <f>IF(AND('Data Source'!B335&lt;&gt;"",'Data Source'!S335="A+"),IF('Data Source'!AB335&gt;=5,"A+",IF('Data Source'!AB335&gt;=4,"A",IF('Data Source'!AB335&gt;=3.5,"A-",IF('Data Source'!AB335&gt;=3,"B",IF('Data Source'!AB335&gt;=2,"C",IF('Data Source'!AB335&gt;=1,"D","F")))))),"")</f>
        <v/>
      </c>
      <c r="K335" s="3">
        <f>IF(AND('Data Source'!B335&lt;&gt;"",'Data Source'!S335="A+"),IF('Data Source'!AC335&gt;=5,"A+",IF('Data Source'!AC335&gt;=4,"A",IF('Data Source'!AC335&gt;=3.5,"A-",IF('Data Source'!AC335&gt;=3,"B",IF('Data Source'!AC335&gt;=2,"C",IF('Data Source'!AC335&gt;=1,"D","F")))))),"")</f>
        <v/>
      </c>
      <c r="L335" s="3">
        <f>IF(AND('Data Source'!B335&lt;&gt;"",'Data Source'!S335="A+"),IF('Data Source'!AD335&gt;=5,"A+",IF('Data Source'!AD335&gt;=4,"A",IF('Data Source'!AD335&gt;=3.5,"A-",IF('Data Source'!AD335&gt;=3,"B",IF('Data Source'!AD335&gt;=2,"C",IF('Data Source'!AD335&gt;=1,"D","F")))))),"")</f>
        <v/>
      </c>
      <c r="M335" s="3">
        <f>IF(AND('Data Source'!B335&lt;&gt;"",'Data Source'!S335="A+"),IF('Data Source'!AE335&gt;=5,"A+",IF('Data Source'!AE335&gt;=4,"A",IF('Data Source'!AE335&gt;=3.5,"A-",IF('Data Source'!AE335&gt;=3,"B",IF('Data Source'!AE335&gt;=2,"C",IF('Data Source'!AE335&gt;=1,"D","F")))))),"")</f>
        <v/>
      </c>
      <c r="N335" s="3">
        <f>IF(AND('Data Source'!B335&lt;&gt;"",'Data Source'!S335="A+"),IF('Data Source'!AF335&gt;=5,"A+",IF('Data Source'!AF335&gt;=4,"A",IF('Data Source'!AF335&gt;=3.5,"A-",IF('Data Source'!AF335&gt;=3,"B",IF('Data Source'!AF335&gt;=2,"C",IF('Data Source'!AF335&gt;=1,"D","F")))))),"")</f>
        <v/>
      </c>
      <c r="O335" s="3">
        <f>IF(AND('Data Source'!B335&lt;&gt;"",'Data Source'!S335="A+"),IF('Data Source'!AG335&gt;=5,"A+",IF('Data Source'!AG335&gt;=4,"A",IF('Data Source'!AG335&gt;=3.5,"A-",IF('Data Source'!AG335&gt;=3,"B",IF('Data Source'!AG335&gt;=2,"C",IF('Data Source'!AG335&gt;=1,"D","F")))))),"")</f>
        <v/>
      </c>
      <c r="P335" s="5">
        <f>IF(AND('Data Source'!B335&lt;&gt;"",'Data Source'!S335="A+"),'Data Source'!R335,"")</f>
        <v/>
      </c>
      <c r="Q335" s="3">
        <f>IF(AND('Data Source'!B335&lt;&gt;"",'Data Source'!S335="A+"),'Data Source'!S335,"")</f>
        <v/>
      </c>
    </row>
    <row r="336">
      <c r="A336" s="3">
        <f>IF(AND('Data Source'!B336&lt;&gt;"",'Data Source'!S336="A+"),COUNTIF('Data Source'!$S$3:S336,"A+"),"")</f>
        <v/>
      </c>
      <c r="B336">
        <f>IF(AND('Data Source'!B336&lt;&gt;"",'Data Source'!S336="A+"),'Data Source'!B336,"")</f>
        <v/>
      </c>
      <c r="C336" s="3">
        <f>IF(AND('Data Source'!B336&lt;&gt;"",'Data Source'!S336="A+"),IF('Data Source'!U336&gt;=5,"A+",IF('Data Source'!U336&gt;=4,"A",IF('Data Source'!U336&gt;=3.5,"A-",IF('Data Source'!U336&gt;=3,"B",IF('Data Source'!U336&gt;=2,"C",IF('Data Source'!U336&gt;=1,"D","F")))))),"")</f>
        <v/>
      </c>
      <c r="D336" s="3">
        <f>IF(AND('Data Source'!B336&lt;&gt;"",'Data Source'!S336="A+"),IF('Data Source'!V336&gt;=5,"A+",IF('Data Source'!V336&gt;=4,"A",IF('Data Source'!V336&gt;=3.5,"A-",IF('Data Source'!V336&gt;=3,"B",IF('Data Source'!V336&gt;=2,"C",IF('Data Source'!V336&gt;=1,"D","F")))))),"")</f>
        <v/>
      </c>
      <c r="E336" s="3">
        <f>IF(AND('Data Source'!B336&lt;&gt;"",'Data Source'!S336="A+"),IF('Data Source'!W336&gt;=5,"A+",IF('Data Source'!W336&gt;=4,"A",IF('Data Source'!W336&gt;=3.5,"A-",IF('Data Source'!W336&gt;=3,"B",IF('Data Source'!W336&gt;=2,"C",IF('Data Source'!W336&gt;=1,"D","F")))))),"")</f>
        <v/>
      </c>
      <c r="F336" s="3">
        <f>IF(AND('Data Source'!B336&lt;&gt;"",'Data Source'!S336="A+"),IF('Data Source'!X336&gt;=5,"A+",IF('Data Source'!X336&gt;=4,"A",IF('Data Source'!X336&gt;=3.5,"A-",IF('Data Source'!X336&gt;=3,"B",IF('Data Source'!X336&gt;=2,"C",IF('Data Source'!X336&gt;=1,"D","F")))))),"")</f>
        <v/>
      </c>
      <c r="G336" s="3">
        <f>IF(AND('Data Source'!B336&lt;&gt;"",'Data Source'!S336="A+"),IF('Data Source'!Y336&gt;=5,"A+",IF('Data Source'!Y336&gt;=4,"A",IF('Data Source'!Y336&gt;=3.5,"A-",IF('Data Source'!Y336&gt;=3,"B",IF('Data Source'!Y336&gt;=2,"C",IF('Data Source'!Y336&gt;=1,"D","F")))))),"")</f>
        <v/>
      </c>
      <c r="H336" s="3">
        <f>IF(AND('Data Source'!B336&lt;&gt;"",'Data Source'!S336="A+"),IF('Data Source'!Z336&gt;=5,"A+",IF('Data Source'!Z336&gt;=4,"A",IF('Data Source'!Z336&gt;=3.5,"A-",IF('Data Source'!Z336&gt;=3,"B",IF('Data Source'!Z336&gt;=2,"C",IF('Data Source'!Z336&gt;=1,"D","F")))))),"")</f>
        <v/>
      </c>
      <c r="I336" s="3">
        <f>IF(AND('Data Source'!B336&lt;&gt;"",'Data Source'!S336="A+"),IF('Data Source'!AA336&gt;=5,"A+",IF('Data Source'!AA336&gt;=4,"A",IF('Data Source'!AA336&gt;=3.5,"A-",IF('Data Source'!AA336&gt;=3,"B",IF('Data Source'!AA336&gt;=2,"C",IF('Data Source'!AA336&gt;=1,"D","F")))))),"")</f>
        <v/>
      </c>
      <c r="J336" s="3">
        <f>IF(AND('Data Source'!B336&lt;&gt;"",'Data Source'!S336="A+"),IF('Data Source'!AB336&gt;=5,"A+",IF('Data Source'!AB336&gt;=4,"A",IF('Data Source'!AB336&gt;=3.5,"A-",IF('Data Source'!AB336&gt;=3,"B",IF('Data Source'!AB336&gt;=2,"C",IF('Data Source'!AB336&gt;=1,"D","F")))))),"")</f>
        <v/>
      </c>
      <c r="K336" s="3">
        <f>IF(AND('Data Source'!B336&lt;&gt;"",'Data Source'!S336="A+"),IF('Data Source'!AC336&gt;=5,"A+",IF('Data Source'!AC336&gt;=4,"A",IF('Data Source'!AC336&gt;=3.5,"A-",IF('Data Source'!AC336&gt;=3,"B",IF('Data Source'!AC336&gt;=2,"C",IF('Data Source'!AC336&gt;=1,"D","F")))))),"")</f>
        <v/>
      </c>
      <c r="L336" s="3">
        <f>IF(AND('Data Source'!B336&lt;&gt;"",'Data Source'!S336="A+"),IF('Data Source'!AD336&gt;=5,"A+",IF('Data Source'!AD336&gt;=4,"A",IF('Data Source'!AD336&gt;=3.5,"A-",IF('Data Source'!AD336&gt;=3,"B",IF('Data Source'!AD336&gt;=2,"C",IF('Data Source'!AD336&gt;=1,"D","F")))))),"")</f>
        <v/>
      </c>
      <c r="M336" s="3">
        <f>IF(AND('Data Source'!B336&lt;&gt;"",'Data Source'!S336="A+"),IF('Data Source'!AE336&gt;=5,"A+",IF('Data Source'!AE336&gt;=4,"A",IF('Data Source'!AE336&gt;=3.5,"A-",IF('Data Source'!AE336&gt;=3,"B",IF('Data Source'!AE336&gt;=2,"C",IF('Data Source'!AE336&gt;=1,"D","F")))))),"")</f>
        <v/>
      </c>
      <c r="N336" s="3">
        <f>IF(AND('Data Source'!B336&lt;&gt;"",'Data Source'!S336="A+"),IF('Data Source'!AF336&gt;=5,"A+",IF('Data Source'!AF336&gt;=4,"A",IF('Data Source'!AF336&gt;=3.5,"A-",IF('Data Source'!AF336&gt;=3,"B",IF('Data Source'!AF336&gt;=2,"C",IF('Data Source'!AF336&gt;=1,"D","F")))))),"")</f>
        <v/>
      </c>
      <c r="O336" s="3">
        <f>IF(AND('Data Source'!B336&lt;&gt;"",'Data Source'!S336="A+"),IF('Data Source'!AG336&gt;=5,"A+",IF('Data Source'!AG336&gt;=4,"A",IF('Data Source'!AG336&gt;=3.5,"A-",IF('Data Source'!AG336&gt;=3,"B",IF('Data Source'!AG336&gt;=2,"C",IF('Data Source'!AG336&gt;=1,"D","F")))))),"")</f>
        <v/>
      </c>
      <c r="P336" s="5">
        <f>IF(AND('Data Source'!B336&lt;&gt;"",'Data Source'!S336="A+"),'Data Source'!R336,"")</f>
        <v/>
      </c>
      <c r="Q336" s="3">
        <f>IF(AND('Data Source'!B336&lt;&gt;"",'Data Source'!S336="A+"),'Data Source'!S336,"")</f>
        <v/>
      </c>
    </row>
    <row r="337">
      <c r="A337" s="3">
        <f>IF(AND('Data Source'!B337&lt;&gt;"",'Data Source'!S337="A+"),COUNTIF('Data Source'!$S$3:S337,"A+"),"")</f>
        <v/>
      </c>
      <c r="B337">
        <f>IF(AND('Data Source'!B337&lt;&gt;"",'Data Source'!S337="A+"),'Data Source'!B337,"")</f>
        <v/>
      </c>
      <c r="C337" s="3">
        <f>IF(AND('Data Source'!B337&lt;&gt;"",'Data Source'!S337="A+"),IF('Data Source'!U337&gt;=5,"A+",IF('Data Source'!U337&gt;=4,"A",IF('Data Source'!U337&gt;=3.5,"A-",IF('Data Source'!U337&gt;=3,"B",IF('Data Source'!U337&gt;=2,"C",IF('Data Source'!U337&gt;=1,"D","F")))))),"")</f>
        <v/>
      </c>
      <c r="D337" s="3">
        <f>IF(AND('Data Source'!B337&lt;&gt;"",'Data Source'!S337="A+"),IF('Data Source'!V337&gt;=5,"A+",IF('Data Source'!V337&gt;=4,"A",IF('Data Source'!V337&gt;=3.5,"A-",IF('Data Source'!V337&gt;=3,"B",IF('Data Source'!V337&gt;=2,"C",IF('Data Source'!V337&gt;=1,"D","F")))))),"")</f>
        <v/>
      </c>
      <c r="E337" s="3">
        <f>IF(AND('Data Source'!B337&lt;&gt;"",'Data Source'!S337="A+"),IF('Data Source'!W337&gt;=5,"A+",IF('Data Source'!W337&gt;=4,"A",IF('Data Source'!W337&gt;=3.5,"A-",IF('Data Source'!W337&gt;=3,"B",IF('Data Source'!W337&gt;=2,"C",IF('Data Source'!W337&gt;=1,"D","F")))))),"")</f>
        <v/>
      </c>
      <c r="F337" s="3">
        <f>IF(AND('Data Source'!B337&lt;&gt;"",'Data Source'!S337="A+"),IF('Data Source'!X337&gt;=5,"A+",IF('Data Source'!X337&gt;=4,"A",IF('Data Source'!X337&gt;=3.5,"A-",IF('Data Source'!X337&gt;=3,"B",IF('Data Source'!X337&gt;=2,"C",IF('Data Source'!X337&gt;=1,"D","F")))))),"")</f>
        <v/>
      </c>
      <c r="G337" s="3">
        <f>IF(AND('Data Source'!B337&lt;&gt;"",'Data Source'!S337="A+"),IF('Data Source'!Y337&gt;=5,"A+",IF('Data Source'!Y337&gt;=4,"A",IF('Data Source'!Y337&gt;=3.5,"A-",IF('Data Source'!Y337&gt;=3,"B",IF('Data Source'!Y337&gt;=2,"C",IF('Data Source'!Y337&gt;=1,"D","F")))))),"")</f>
        <v/>
      </c>
      <c r="H337" s="3">
        <f>IF(AND('Data Source'!B337&lt;&gt;"",'Data Source'!S337="A+"),IF('Data Source'!Z337&gt;=5,"A+",IF('Data Source'!Z337&gt;=4,"A",IF('Data Source'!Z337&gt;=3.5,"A-",IF('Data Source'!Z337&gt;=3,"B",IF('Data Source'!Z337&gt;=2,"C",IF('Data Source'!Z337&gt;=1,"D","F")))))),"")</f>
        <v/>
      </c>
      <c r="I337" s="3">
        <f>IF(AND('Data Source'!B337&lt;&gt;"",'Data Source'!S337="A+"),IF('Data Source'!AA337&gt;=5,"A+",IF('Data Source'!AA337&gt;=4,"A",IF('Data Source'!AA337&gt;=3.5,"A-",IF('Data Source'!AA337&gt;=3,"B",IF('Data Source'!AA337&gt;=2,"C",IF('Data Source'!AA337&gt;=1,"D","F")))))),"")</f>
        <v/>
      </c>
      <c r="J337" s="3">
        <f>IF(AND('Data Source'!B337&lt;&gt;"",'Data Source'!S337="A+"),IF('Data Source'!AB337&gt;=5,"A+",IF('Data Source'!AB337&gt;=4,"A",IF('Data Source'!AB337&gt;=3.5,"A-",IF('Data Source'!AB337&gt;=3,"B",IF('Data Source'!AB337&gt;=2,"C",IF('Data Source'!AB337&gt;=1,"D","F")))))),"")</f>
        <v/>
      </c>
      <c r="K337" s="3">
        <f>IF(AND('Data Source'!B337&lt;&gt;"",'Data Source'!S337="A+"),IF('Data Source'!AC337&gt;=5,"A+",IF('Data Source'!AC337&gt;=4,"A",IF('Data Source'!AC337&gt;=3.5,"A-",IF('Data Source'!AC337&gt;=3,"B",IF('Data Source'!AC337&gt;=2,"C",IF('Data Source'!AC337&gt;=1,"D","F")))))),"")</f>
        <v/>
      </c>
      <c r="L337" s="3">
        <f>IF(AND('Data Source'!B337&lt;&gt;"",'Data Source'!S337="A+"),IF('Data Source'!AD337&gt;=5,"A+",IF('Data Source'!AD337&gt;=4,"A",IF('Data Source'!AD337&gt;=3.5,"A-",IF('Data Source'!AD337&gt;=3,"B",IF('Data Source'!AD337&gt;=2,"C",IF('Data Source'!AD337&gt;=1,"D","F")))))),"")</f>
        <v/>
      </c>
      <c r="M337" s="3">
        <f>IF(AND('Data Source'!B337&lt;&gt;"",'Data Source'!S337="A+"),IF('Data Source'!AE337&gt;=5,"A+",IF('Data Source'!AE337&gt;=4,"A",IF('Data Source'!AE337&gt;=3.5,"A-",IF('Data Source'!AE337&gt;=3,"B",IF('Data Source'!AE337&gt;=2,"C",IF('Data Source'!AE337&gt;=1,"D","F")))))),"")</f>
        <v/>
      </c>
      <c r="N337" s="3">
        <f>IF(AND('Data Source'!B337&lt;&gt;"",'Data Source'!S337="A+"),IF('Data Source'!AF337&gt;=5,"A+",IF('Data Source'!AF337&gt;=4,"A",IF('Data Source'!AF337&gt;=3.5,"A-",IF('Data Source'!AF337&gt;=3,"B",IF('Data Source'!AF337&gt;=2,"C",IF('Data Source'!AF337&gt;=1,"D","F")))))),"")</f>
        <v/>
      </c>
      <c r="O337" s="3">
        <f>IF(AND('Data Source'!B337&lt;&gt;"",'Data Source'!S337="A+"),IF('Data Source'!AG337&gt;=5,"A+",IF('Data Source'!AG337&gt;=4,"A",IF('Data Source'!AG337&gt;=3.5,"A-",IF('Data Source'!AG337&gt;=3,"B",IF('Data Source'!AG337&gt;=2,"C",IF('Data Source'!AG337&gt;=1,"D","F")))))),"")</f>
        <v/>
      </c>
      <c r="P337" s="5">
        <f>IF(AND('Data Source'!B337&lt;&gt;"",'Data Source'!S337="A+"),'Data Source'!R337,"")</f>
        <v/>
      </c>
      <c r="Q337" s="3">
        <f>IF(AND('Data Source'!B337&lt;&gt;"",'Data Source'!S337="A+"),'Data Source'!S337,"")</f>
        <v/>
      </c>
    </row>
    <row r="338">
      <c r="A338" s="3">
        <f>IF(AND('Data Source'!B338&lt;&gt;"",'Data Source'!S338="A+"),COUNTIF('Data Source'!$S$3:S338,"A+"),"")</f>
        <v/>
      </c>
      <c r="B338">
        <f>IF(AND('Data Source'!B338&lt;&gt;"",'Data Source'!S338="A+"),'Data Source'!B338,"")</f>
        <v/>
      </c>
      <c r="C338" s="3">
        <f>IF(AND('Data Source'!B338&lt;&gt;"",'Data Source'!S338="A+"),IF('Data Source'!U338&gt;=5,"A+",IF('Data Source'!U338&gt;=4,"A",IF('Data Source'!U338&gt;=3.5,"A-",IF('Data Source'!U338&gt;=3,"B",IF('Data Source'!U338&gt;=2,"C",IF('Data Source'!U338&gt;=1,"D","F")))))),"")</f>
        <v/>
      </c>
      <c r="D338" s="3">
        <f>IF(AND('Data Source'!B338&lt;&gt;"",'Data Source'!S338="A+"),IF('Data Source'!V338&gt;=5,"A+",IF('Data Source'!V338&gt;=4,"A",IF('Data Source'!V338&gt;=3.5,"A-",IF('Data Source'!V338&gt;=3,"B",IF('Data Source'!V338&gt;=2,"C",IF('Data Source'!V338&gt;=1,"D","F")))))),"")</f>
        <v/>
      </c>
      <c r="E338" s="3">
        <f>IF(AND('Data Source'!B338&lt;&gt;"",'Data Source'!S338="A+"),IF('Data Source'!W338&gt;=5,"A+",IF('Data Source'!W338&gt;=4,"A",IF('Data Source'!W338&gt;=3.5,"A-",IF('Data Source'!W338&gt;=3,"B",IF('Data Source'!W338&gt;=2,"C",IF('Data Source'!W338&gt;=1,"D","F")))))),"")</f>
        <v/>
      </c>
      <c r="F338" s="3">
        <f>IF(AND('Data Source'!B338&lt;&gt;"",'Data Source'!S338="A+"),IF('Data Source'!X338&gt;=5,"A+",IF('Data Source'!X338&gt;=4,"A",IF('Data Source'!X338&gt;=3.5,"A-",IF('Data Source'!X338&gt;=3,"B",IF('Data Source'!X338&gt;=2,"C",IF('Data Source'!X338&gt;=1,"D","F")))))),"")</f>
        <v/>
      </c>
      <c r="G338" s="3">
        <f>IF(AND('Data Source'!B338&lt;&gt;"",'Data Source'!S338="A+"),IF('Data Source'!Y338&gt;=5,"A+",IF('Data Source'!Y338&gt;=4,"A",IF('Data Source'!Y338&gt;=3.5,"A-",IF('Data Source'!Y338&gt;=3,"B",IF('Data Source'!Y338&gt;=2,"C",IF('Data Source'!Y338&gt;=1,"D","F")))))),"")</f>
        <v/>
      </c>
      <c r="H338" s="3">
        <f>IF(AND('Data Source'!B338&lt;&gt;"",'Data Source'!S338="A+"),IF('Data Source'!Z338&gt;=5,"A+",IF('Data Source'!Z338&gt;=4,"A",IF('Data Source'!Z338&gt;=3.5,"A-",IF('Data Source'!Z338&gt;=3,"B",IF('Data Source'!Z338&gt;=2,"C",IF('Data Source'!Z338&gt;=1,"D","F")))))),"")</f>
        <v/>
      </c>
      <c r="I338" s="3">
        <f>IF(AND('Data Source'!B338&lt;&gt;"",'Data Source'!S338="A+"),IF('Data Source'!AA338&gt;=5,"A+",IF('Data Source'!AA338&gt;=4,"A",IF('Data Source'!AA338&gt;=3.5,"A-",IF('Data Source'!AA338&gt;=3,"B",IF('Data Source'!AA338&gt;=2,"C",IF('Data Source'!AA338&gt;=1,"D","F")))))),"")</f>
        <v/>
      </c>
      <c r="J338" s="3">
        <f>IF(AND('Data Source'!B338&lt;&gt;"",'Data Source'!S338="A+"),IF('Data Source'!AB338&gt;=5,"A+",IF('Data Source'!AB338&gt;=4,"A",IF('Data Source'!AB338&gt;=3.5,"A-",IF('Data Source'!AB338&gt;=3,"B",IF('Data Source'!AB338&gt;=2,"C",IF('Data Source'!AB338&gt;=1,"D","F")))))),"")</f>
        <v/>
      </c>
      <c r="K338" s="3">
        <f>IF(AND('Data Source'!B338&lt;&gt;"",'Data Source'!S338="A+"),IF('Data Source'!AC338&gt;=5,"A+",IF('Data Source'!AC338&gt;=4,"A",IF('Data Source'!AC338&gt;=3.5,"A-",IF('Data Source'!AC338&gt;=3,"B",IF('Data Source'!AC338&gt;=2,"C",IF('Data Source'!AC338&gt;=1,"D","F")))))),"")</f>
        <v/>
      </c>
      <c r="L338" s="3">
        <f>IF(AND('Data Source'!B338&lt;&gt;"",'Data Source'!S338="A+"),IF('Data Source'!AD338&gt;=5,"A+",IF('Data Source'!AD338&gt;=4,"A",IF('Data Source'!AD338&gt;=3.5,"A-",IF('Data Source'!AD338&gt;=3,"B",IF('Data Source'!AD338&gt;=2,"C",IF('Data Source'!AD338&gt;=1,"D","F")))))),"")</f>
        <v/>
      </c>
      <c r="M338" s="3">
        <f>IF(AND('Data Source'!B338&lt;&gt;"",'Data Source'!S338="A+"),IF('Data Source'!AE338&gt;=5,"A+",IF('Data Source'!AE338&gt;=4,"A",IF('Data Source'!AE338&gt;=3.5,"A-",IF('Data Source'!AE338&gt;=3,"B",IF('Data Source'!AE338&gt;=2,"C",IF('Data Source'!AE338&gt;=1,"D","F")))))),"")</f>
        <v/>
      </c>
      <c r="N338" s="3">
        <f>IF(AND('Data Source'!B338&lt;&gt;"",'Data Source'!S338="A+"),IF('Data Source'!AF338&gt;=5,"A+",IF('Data Source'!AF338&gt;=4,"A",IF('Data Source'!AF338&gt;=3.5,"A-",IF('Data Source'!AF338&gt;=3,"B",IF('Data Source'!AF338&gt;=2,"C",IF('Data Source'!AF338&gt;=1,"D","F")))))),"")</f>
        <v/>
      </c>
      <c r="O338" s="3">
        <f>IF(AND('Data Source'!B338&lt;&gt;"",'Data Source'!S338="A+"),IF('Data Source'!AG338&gt;=5,"A+",IF('Data Source'!AG338&gt;=4,"A",IF('Data Source'!AG338&gt;=3.5,"A-",IF('Data Source'!AG338&gt;=3,"B",IF('Data Source'!AG338&gt;=2,"C",IF('Data Source'!AG338&gt;=1,"D","F")))))),"")</f>
        <v/>
      </c>
      <c r="P338" s="5">
        <f>IF(AND('Data Source'!B338&lt;&gt;"",'Data Source'!S338="A+"),'Data Source'!R338,"")</f>
        <v/>
      </c>
      <c r="Q338" s="3">
        <f>IF(AND('Data Source'!B338&lt;&gt;"",'Data Source'!S338="A+"),'Data Source'!S338,"")</f>
        <v/>
      </c>
    </row>
    <row r="339">
      <c r="A339" s="3">
        <f>IF(AND('Data Source'!B339&lt;&gt;"",'Data Source'!S339="A+"),COUNTIF('Data Source'!$S$3:S339,"A+"),"")</f>
        <v/>
      </c>
      <c r="B339">
        <f>IF(AND('Data Source'!B339&lt;&gt;"",'Data Source'!S339="A+"),'Data Source'!B339,"")</f>
        <v/>
      </c>
      <c r="C339" s="3">
        <f>IF(AND('Data Source'!B339&lt;&gt;"",'Data Source'!S339="A+"),IF('Data Source'!U339&gt;=5,"A+",IF('Data Source'!U339&gt;=4,"A",IF('Data Source'!U339&gt;=3.5,"A-",IF('Data Source'!U339&gt;=3,"B",IF('Data Source'!U339&gt;=2,"C",IF('Data Source'!U339&gt;=1,"D","F")))))),"")</f>
        <v/>
      </c>
      <c r="D339" s="3">
        <f>IF(AND('Data Source'!B339&lt;&gt;"",'Data Source'!S339="A+"),IF('Data Source'!V339&gt;=5,"A+",IF('Data Source'!V339&gt;=4,"A",IF('Data Source'!V339&gt;=3.5,"A-",IF('Data Source'!V339&gt;=3,"B",IF('Data Source'!V339&gt;=2,"C",IF('Data Source'!V339&gt;=1,"D","F")))))),"")</f>
        <v/>
      </c>
      <c r="E339" s="3">
        <f>IF(AND('Data Source'!B339&lt;&gt;"",'Data Source'!S339="A+"),IF('Data Source'!W339&gt;=5,"A+",IF('Data Source'!W339&gt;=4,"A",IF('Data Source'!W339&gt;=3.5,"A-",IF('Data Source'!W339&gt;=3,"B",IF('Data Source'!W339&gt;=2,"C",IF('Data Source'!W339&gt;=1,"D","F")))))),"")</f>
        <v/>
      </c>
      <c r="F339" s="3">
        <f>IF(AND('Data Source'!B339&lt;&gt;"",'Data Source'!S339="A+"),IF('Data Source'!X339&gt;=5,"A+",IF('Data Source'!X339&gt;=4,"A",IF('Data Source'!X339&gt;=3.5,"A-",IF('Data Source'!X339&gt;=3,"B",IF('Data Source'!X339&gt;=2,"C",IF('Data Source'!X339&gt;=1,"D","F")))))),"")</f>
        <v/>
      </c>
      <c r="G339" s="3">
        <f>IF(AND('Data Source'!B339&lt;&gt;"",'Data Source'!S339="A+"),IF('Data Source'!Y339&gt;=5,"A+",IF('Data Source'!Y339&gt;=4,"A",IF('Data Source'!Y339&gt;=3.5,"A-",IF('Data Source'!Y339&gt;=3,"B",IF('Data Source'!Y339&gt;=2,"C",IF('Data Source'!Y339&gt;=1,"D","F")))))),"")</f>
        <v/>
      </c>
      <c r="H339" s="3">
        <f>IF(AND('Data Source'!B339&lt;&gt;"",'Data Source'!S339="A+"),IF('Data Source'!Z339&gt;=5,"A+",IF('Data Source'!Z339&gt;=4,"A",IF('Data Source'!Z339&gt;=3.5,"A-",IF('Data Source'!Z339&gt;=3,"B",IF('Data Source'!Z339&gt;=2,"C",IF('Data Source'!Z339&gt;=1,"D","F")))))),"")</f>
        <v/>
      </c>
      <c r="I339" s="3">
        <f>IF(AND('Data Source'!B339&lt;&gt;"",'Data Source'!S339="A+"),IF('Data Source'!AA339&gt;=5,"A+",IF('Data Source'!AA339&gt;=4,"A",IF('Data Source'!AA339&gt;=3.5,"A-",IF('Data Source'!AA339&gt;=3,"B",IF('Data Source'!AA339&gt;=2,"C",IF('Data Source'!AA339&gt;=1,"D","F")))))),"")</f>
        <v/>
      </c>
      <c r="J339" s="3">
        <f>IF(AND('Data Source'!B339&lt;&gt;"",'Data Source'!S339="A+"),IF('Data Source'!AB339&gt;=5,"A+",IF('Data Source'!AB339&gt;=4,"A",IF('Data Source'!AB339&gt;=3.5,"A-",IF('Data Source'!AB339&gt;=3,"B",IF('Data Source'!AB339&gt;=2,"C",IF('Data Source'!AB339&gt;=1,"D","F")))))),"")</f>
        <v/>
      </c>
      <c r="K339" s="3">
        <f>IF(AND('Data Source'!B339&lt;&gt;"",'Data Source'!S339="A+"),IF('Data Source'!AC339&gt;=5,"A+",IF('Data Source'!AC339&gt;=4,"A",IF('Data Source'!AC339&gt;=3.5,"A-",IF('Data Source'!AC339&gt;=3,"B",IF('Data Source'!AC339&gt;=2,"C",IF('Data Source'!AC339&gt;=1,"D","F")))))),"")</f>
        <v/>
      </c>
      <c r="L339" s="3">
        <f>IF(AND('Data Source'!B339&lt;&gt;"",'Data Source'!S339="A+"),IF('Data Source'!AD339&gt;=5,"A+",IF('Data Source'!AD339&gt;=4,"A",IF('Data Source'!AD339&gt;=3.5,"A-",IF('Data Source'!AD339&gt;=3,"B",IF('Data Source'!AD339&gt;=2,"C",IF('Data Source'!AD339&gt;=1,"D","F")))))),"")</f>
        <v/>
      </c>
      <c r="M339" s="3">
        <f>IF(AND('Data Source'!B339&lt;&gt;"",'Data Source'!S339="A+"),IF('Data Source'!AE339&gt;=5,"A+",IF('Data Source'!AE339&gt;=4,"A",IF('Data Source'!AE339&gt;=3.5,"A-",IF('Data Source'!AE339&gt;=3,"B",IF('Data Source'!AE339&gt;=2,"C",IF('Data Source'!AE339&gt;=1,"D","F")))))),"")</f>
        <v/>
      </c>
      <c r="N339" s="3">
        <f>IF(AND('Data Source'!B339&lt;&gt;"",'Data Source'!S339="A+"),IF('Data Source'!AF339&gt;=5,"A+",IF('Data Source'!AF339&gt;=4,"A",IF('Data Source'!AF339&gt;=3.5,"A-",IF('Data Source'!AF339&gt;=3,"B",IF('Data Source'!AF339&gt;=2,"C",IF('Data Source'!AF339&gt;=1,"D","F")))))),"")</f>
        <v/>
      </c>
      <c r="O339" s="3">
        <f>IF(AND('Data Source'!B339&lt;&gt;"",'Data Source'!S339="A+"),IF('Data Source'!AG339&gt;=5,"A+",IF('Data Source'!AG339&gt;=4,"A",IF('Data Source'!AG339&gt;=3.5,"A-",IF('Data Source'!AG339&gt;=3,"B",IF('Data Source'!AG339&gt;=2,"C",IF('Data Source'!AG339&gt;=1,"D","F")))))),"")</f>
        <v/>
      </c>
      <c r="P339" s="5">
        <f>IF(AND('Data Source'!B339&lt;&gt;"",'Data Source'!S339="A+"),'Data Source'!R339,"")</f>
        <v/>
      </c>
      <c r="Q339" s="3">
        <f>IF(AND('Data Source'!B339&lt;&gt;"",'Data Source'!S339="A+"),'Data Source'!S339,"")</f>
        <v/>
      </c>
    </row>
    <row r="340">
      <c r="A340" s="3">
        <f>IF(AND('Data Source'!B340&lt;&gt;"",'Data Source'!S340="A+"),COUNTIF('Data Source'!$S$3:S340,"A+"),"")</f>
        <v/>
      </c>
      <c r="B340">
        <f>IF(AND('Data Source'!B340&lt;&gt;"",'Data Source'!S340="A+"),'Data Source'!B340,"")</f>
        <v/>
      </c>
      <c r="C340" s="3">
        <f>IF(AND('Data Source'!B340&lt;&gt;"",'Data Source'!S340="A+"),IF('Data Source'!U340&gt;=5,"A+",IF('Data Source'!U340&gt;=4,"A",IF('Data Source'!U340&gt;=3.5,"A-",IF('Data Source'!U340&gt;=3,"B",IF('Data Source'!U340&gt;=2,"C",IF('Data Source'!U340&gt;=1,"D","F")))))),"")</f>
        <v/>
      </c>
      <c r="D340" s="3">
        <f>IF(AND('Data Source'!B340&lt;&gt;"",'Data Source'!S340="A+"),IF('Data Source'!V340&gt;=5,"A+",IF('Data Source'!V340&gt;=4,"A",IF('Data Source'!V340&gt;=3.5,"A-",IF('Data Source'!V340&gt;=3,"B",IF('Data Source'!V340&gt;=2,"C",IF('Data Source'!V340&gt;=1,"D","F")))))),"")</f>
        <v/>
      </c>
      <c r="E340" s="3">
        <f>IF(AND('Data Source'!B340&lt;&gt;"",'Data Source'!S340="A+"),IF('Data Source'!W340&gt;=5,"A+",IF('Data Source'!W340&gt;=4,"A",IF('Data Source'!W340&gt;=3.5,"A-",IF('Data Source'!W340&gt;=3,"B",IF('Data Source'!W340&gt;=2,"C",IF('Data Source'!W340&gt;=1,"D","F")))))),"")</f>
        <v/>
      </c>
      <c r="F340" s="3">
        <f>IF(AND('Data Source'!B340&lt;&gt;"",'Data Source'!S340="A+"),IF('Data Source'!X340&gt;=5,"A+",IF('Data Source'!X340&gt;=4,"A",IF('Data Source'!X340&gt;=3.5,"A-",IF('Data Source'!X340&gt;=3,"B",IF('Data Source'!X340&gt;=2,"C",IF('Data Source'!X340&gt;=1,"D","F")))))),"")</f>
        <v/>
      </c>
      <c r="G340" s="3">
        <f>IF(AND('Data Source'!B340&lt;&gt;"",'Data Source'!S340="A+"),IF('Data Source'!Y340&gt;=5,"A+",IF('Data Source'!Y340&gt;=4,"A",IF('Data Source'!Y340&gt;=3.5,"A-",IF('Data Source'!Y340&gt;=3,"B",IF('Data Source'!Y340&gt;=2,"C",IF('Data Source'!Y340&gt;=1,"D","F")))))),"")</f>
        <v/>
      </c>
      <c r="H340" s="3">
        <f>IF(AND('Data Source'!B340&lt;&gt;"",'Data Source'!S340="A+"),IF('Data Source'!Z340&gt;=5,"A+",IF('Data Source'!Z340&gt;=4,"A",IF('Data Source'!Z340&gt;=3.5,"A-",IF('Data Source'!Z340&gt;=3,"B",IF('Data Source'!Z340&gt;=2,"C",IF('Data Source'!Z340&gt;=1,"D","F")))))),"")</f>
        <v/>
      </c>
      <c r="I340" s="3">
        <f>IF(AND('Data Source'!B340&lt;&gt;"",'Data Source'!S340="A+"),IF('Data Source'!AA340&gt;=5,"A+",IF('Data Source'!AA340&gt;=4,"A",IF('Data Source'!AA340&gt;=3.5,"A-",IF('Data Source'!AA340&gt;=3,"B",IF('Data Source'!AA340&gt;=2,"C",IF('Data Source'!AA340&gt;=1,"D","F")))))),"")</f>
        <v/>
      </c>
      <c r="J340" s="3">
        <f>IF(AND('Data Source'!B340&lt;&gt;"",'Data Source'!S340="A+"),IF('Data Source'!AB340&gt;=5,"A+",IF('Data Source'!AB340&gt;=4,"A",IF('Data Source'!AB340&gt;=3.5,"A-",IF('Data Source'!AB340&gt;=3,"B",IF('Data Source'!AB340&gt;=2,"C",IF('Data Source'!AB340&gt;=1,"D","F")))))),"")</f>
        <v/>
      </c>
      <c r="K340" s="3">
        <f>IF(AND('Data Source'!B340&lt;&gt;"",'Data Source'!S340="A+"),IF('Data Source'!AC340&gt;=5,"A+",IF('Data Source'!AC340&gt;=4,"A",IF('Data Source'!AC340&gt;=3.5,"A-",IF('Data Source'!AC340&gt;=3,"B",IF('Data Source'!AC340&gt;=2,"C",IF('Data Source'!AC340&gt;=1,"D","F")))))),"")</f>
        <v/>
      </c>
      <c r="L340" s="3">
        <f>IF(AND('Data Source'!B340&lt;&gt;"",'Data Source'!S340="A+"),IF('Data Source'!AD340&gt;=5,"A+",IF('Data Source'!AD340&gt;=4,"A",IF('Data Source'!AD340&gt;=3.5,"A-",IF('Data Source'!AD340&gt;=3,"B",IF('Data Source'!AD340&gt;=2,"C",IF('Data Source'!AD340&gt;=1,"D","F")))))),"")</f>
        <v/>
      </c>
      <c r="M340" s="3">
        <f>IF(AND('Data Source'!B340&lt;&gt;"",'Data Source'!S340="A+"),IF('Data Source'!AE340&gt;=5,"A+",IF('Data Source'!AE340&gt;=4,"A",IF('Data Source'!AE340&gt;=3.5,"A-",IF('Data Source'!AE340&gt;=3,"B",IF('Data Source'!AE340&gt;=2,"C",IF('Data Source'!AE340&gt;=1,"D","F")))))),"")</f>
        <v/>
      </c>
      <c r="N340" s="3">
        <f>IF(AND('Data Source'!B340&lt;&gt;"",'Data Source'!S340="A+"),IF('Data Source'!AF340&gt;=5,"A+",IF('Data Source'!AF340&gt;=4,"A",IF('Data Source'!AF340&gt;=3.5,"A-",IF('Data Source'!AF340&gt;=3,"B",IF('Data Source'!AF340&gt;=2,"C",IF('Data Source'!AF340&gt;=1,"D","F")))))),"")</f>
        <v/>
      </c>
      <c r="O340" s="3">
        <f>IF(AND('Data Source'!B340&lt;&gt;"",'Data Source'!S340="A+"),IF('Data Source'!AG340&gt;=5,"A+",IF('Data Source'!AG340&gt;=4,"A",IF('Data Source'!AG340&gt;=3.5,"A-",IF('Data Source'!AG340&gt;=3,"B",IF('Data Source'!AG340&gt;=2,"C",IF('Data Source'!AG340&gt;=1,"D","F")))))),"")</f>
        <v/>
      </c>
      <c r="P340" s="5">
        <f>IF(AND('Data Source'!B340&lt;&gt;"",'Data Source'!S340="A+"),'Data Source'!R340,"")</f>
        <v/>
      </c>
      <c r="Q340" s="3">
        <f>IF(AND('Data Source'!B340&lt;&gt;"",'Data Source'!S340="A+"),'Data Source'!S340,"")</f>
        <v/>
      </c>
    </row>
    <row r="341">
      <c r="A341" s="3">
        <f>IF(AND('Data Source'!B341&lt;&gt;"",'Data Source'!S341="A+"),COUNTIF('Data Source'!$S$3:S341,"A+"),"")</f>
        <v/>
      </c>
      <c r="B341">
        <f>IF(AND('Data Source'!B341&lt;&gt;"",'Data Source'!S341="A+"),'Data Source'!B341,"")</f>
        <v/>
      </c>
      <c r="C341" s="3">
        <f>IF(AND('Data Source'!B341&lt;&gt;"",'Data Source'!S341="A+"),IF('Data Source'!U341&gt;=5,"A+",IF('Data Source'!U341&gt;=4,"A",IF('Data Source'!U341&gt;=3.5,"A-",IF('Data Source'!U341&gt;=3,"B",IF('Data Source'!U341&gt;=2,"C",IF('Data Source'!U341&gt;=1,"D","F")))))),"")</f>
        <v/>
      </c>
      <c r="D341" s="3">
        <f>IF(AND('Data Source'!B341&lt;&gt;"",'Data Source'!S341="A+"),IF('Data Source'!V341&gt;=5,"A+",IF('Data Source'!V341&gt;=4,"A",IF('Data Source'!V341&gt;=3.5,"A-",IF('Data Source'!V341&gt;=3,"B",IF('Data Source'!V341&gt;=2,"C",IF('Data Source'!V341&gt;=1,"D","F")))))),"")</f>
        <v/>
      </c>
      <c r="E341" s="3">
        <f>IF(AND('Data Source'!B341&lt;&gt;"",'Data Source'!S341="A+"),IF('Data Source'!W341&gt;=5,"A+",IF('Data Source'!W341&gt;=4,"A",IF('Data Source'!W341&gt;=3.5,"A-",IF('Data Source'!W341&gt;=3,"B",IF('Data Source'!W341&gt;=2,"C",IF('Data Source'!W341&gt;=1,"D","F")))))),"")</f>
        <v/>
      </c>
      <c r="F341" s="3">
        <f>IF(AND('Data Source'!B341&lt;&gt;"",'Data Source'!S341="A+"),IF('Data Source'!X341&gt;=5,"A+",IF('Data Source'!X341&gt;=4,"A",IF('Data Source'!X341&gt;=3.5,"A-",IF('Data Source'!X341&gt;=3,"B",IF('Data Source'!X341&gt;=2,"C",IF('Data Source'!X341&gt;=1,"D","F")))))),"")</f>
        <v/>
      </c>
      <c r="G341" s="3">
        <f>IF(AND('Data Source'!B341&lt;&gt;"",'Data Source'!S341="A+"),IF('Data Source'!Y341&gt;=5,"A+",IF('Data Source'!Y341&gt;=4,"A",IF('Data Source'!Y341&gt;=3.5,"A-",IF('Data Source'!Y341&gt;=3,"B",IF('Data Source'!Y341&gt;=2,"C",IF('Data Source'!Y341&gt;=1,"D","F")))))),"")</f>
        <v/>
      </c>
      <c r="H341" s="3">
        <f>IF(AND('Data Source'!B341&lt;&gt;"",'Data Source'!S341="A+"),IF('Data Source'!Z341&gt;=5,"A+",IF('Data Source'!Z341&gt;=4,"A",IF('Data Source'!Z341&gt;=3.5,"A-",IF('Data Source'!Z341&gt;=3,"B",IF('Data Source'!Z341&gt;=2,"C",IF('Data Source'!Z341&gt;=1,"D","F")))))),"")</f>
        <v/>
      </c>
      <c r="I341" s="3">
        <f>IF(AND('Data Source'!B341&lt;&gt;"",'Data Source'!S341="A+"),IF('Data Source'!AA341&gt;=5,"A+",IF('Data Source'!AA341&gt;=4,"A",IF('Data Source'!AA341&gt;=3.5,"A-",IF('Data Source'!AA341&gt;=3,"B",IF('Data Source'!AA341&gt;=2,"C",IF('Data Source'!AA341&gt;=1,"D","F")))))),"")</f>
        <v/>
      </c>
      <c r="J341" s="3">
        <f>IF(AND('Data Source'!B341&lt;&gt;"",'Data Source'!S341="A+"),IF('Data Source'!AB341&gt;=5,"A+",IF('Data Source'!AB341&gt;=4,"A",IF('Data Source'!AB341&gt;=3.5,"A-",IF('Data Source'!AB341&gt;=3,"B",IF('Data Source'!AB341&gt;=2,"C",IF('Data Source'!AB341&gt;=1,"D","F")))))),"")</f>
        <v/>
      </c>
      <c r="K341" s="3">
        <f>IF(AND('Data Source'!B341&lt;&gt;"",'Data Source'!S341="A+"),IF('Data Source'!AC341&gt;=5,"A+",IF('Data Source'!AC341&gt;=4,"A",IF('Data Source'!AC341&gt;=3.5,"A-",IF('Data Source'!AC341&gt;=3,"B",IF('Data Source'!AC341&gt;=2,"C",IF('Data Source'!AC341&gt;=1,"D","F")))))),"")</f>
        <v/>
      </c>
      <c r="L341" s="3">
        <f>IF(AND('Data Source'!B341&lt;&gt;"",'Data Source'!S341="A+"),IF('Data Source'!AD341&gt;=5,"A+",IF('Data Source'!AD341&gt;=4,"A",IF('Data Source'!AD341&gt;=3.5,"A-",IF('Data Source'!AD341&gt;=3,"B",IF('Data Source'!AD341&gt;=2,"C",IF('Data Source'!AD341&gt;=1,"D","F")))))),"")</f>
        <v/>
      </c>
      <c r="M341" s="3">
        <f>IF(AND('Data Source'!B341&lt;&gt;"",'Data Source'!S341="A+"),IF('Data Source'!AE341&gt;=5,"A+",IF('Data Source'!AE341&gt;=4,"A",IF('Data Source'!AE341&gt;=3.5,"A-",IF('Data Source'!AE341&gt;=3,"B",IF('Data Source'!AE341&gt;=2,"C",IF('Data Source'!AE341&gt;=1,"D","F")))))),"")</f>
        <v/>
      </c>
      <c r="N341" s="3">
        <f>IF(AND('Data Source'!B341&lt;&gt;"",'Data Source'!S341="A+"),IF('Data Source'!AF341&gt;=5,"A+",IF('Data Source'!AF341&gt;=4,"A",IF('Data Source'!AF341&gt;=3.5,"A-",IF('Data Source'!AF341&gt;=3,"B",IF('Data Source'!AF341&gt;=2,"C",IF('Data Source'!AF341&gt;=1,"D","F")))))),"")</f>
        <v/>
      </c>
      <c r="O341" s="3">
        <f>IF(AND('Data Source'!B341&lt;&gt;"",'Data Source'!S341="A+"),IF('Data Source'!AG341&gt;=5,"A+",IF('Data Source'!AG341&gt;=4,"A",IF('Data Source'!AG341&gt;=3.5,"A-",IF('Data Source'!AG341&gt;=3,"B",IF('Data Source'!AG341&gt;=2,"C",IF('Data Source'!AG341&gt;=1,"D","F")))))),"")</f>
        <v/>
      </c>
      <c r="P341" s="5">
        <f>IF(AND('Data Source'!B341&lt;&gt;"",'Data Source'!S341="A+"),'Data Source'!R341,"")</f>
        <v/>
      </c>
      <c r="Q341" s="3">
        <f>IF(AND('Data Source'!B341&lt;&gt;"",'Data Source'!S341="A+"),'Data Source'!S341,"")</f>
        <v/>
      </c>
    </row>
    <row r="342">
      <c r="A342" s="3">
        <f>IF(AND('Data Source'!B342&lt;&gt;"",'Data Source'!S342="A+"),COUNTIF('Data Source'!$S$3:S342,"A+"),"")</f>
        <v/>
      </c>
      <c r="B342">
        <f>IF(AND('Data Source'!B342&lt;&gt;"",'Data Source'!S342="A+"),'Data Source'!B342,"")</f>
        <v/>
      </c>
      <c r="C342" s="3">
        <f>IF(AND('Data Source'!B342&lt;&gt;"",'Data Source'!S342="A+"),IF('Data Source'!U342&gt;=5,"A+",IF('Data Source'!U342&gt;=4,"A",IF('Data Source'!U342&gt;=3.5,"A-",IF('Data Source'!U342&gt;=3,"B",IF('Data Source'!U342&gt;=2,"C",IF('Data Source'!U342&gt;=1,"D","F")))))),"")</f>
        <v/>
      </c>
      <c r="D342" s="3">
        <f>IF(AND('Data Source'!B342&lt;&gt;"",'Data Source'!S342="A+"),IF('Data Source'!V342&gt;=5,"A+",IF('Data Source'!V342&gt;=4,"A",IF('Data Source'!V342&gt;=3.5,"A-",IF('Data Source'!V342&gt;=3,"B",IF('Data Source'!V342&gt;=2,"C",IF('Data Source'!V342&gt;=1,"D","F")))))),"")</f>
        <v/>
      </c>
      <c r="E342" s="3">
        <f>IF(AND('Data Source'!B342&lt;&gt;"",'Data Source'!S342="A+"),IF('Data Source'!W342&gt;=5,"A+",IF('Data Source'!W342&gt;=4,"A",IF('Data Source'!W342&gt;=3.5,"A-",IF('Data Source'!W342&gt;=3,"B",IF('Data Source'!W342&gt;=2,"C",IF('Data Source'!W342&gt;=1,"D","F")))))),"")</f>
        <v/>
      </c>
      <c r="F342" s="3">
        <f>IF(AND('Data Source'!B342&lt;&gt;"",'Data Source'!S342="A+"),IF('Data Source'!X342&gt;=5,"A+",IF('Data Source'!X342&gt;=4,"A",IF('Data Source'!X342&gt;=3.5,"A-",IF('Data Source'!X342&gt;=3,"B",IF('Data Source'!X342&gt;=2,"C",IF('Data Source'!X342&gt;=1,"D","F")))))),"")</f>
        <v/>
      </c>
      <c r="G342" s="3">
        <f>IF(AND('Data Source'!B342&lt;&gt;"",'Data Source'!S342="A+"),IF('Data Source'!Y342&gt;=5,"A+",IF('Data Source'!Y342&gt;=4,"A",IF('Data Source'!Y342&gt;=3.5,"A-",IF('Data Source'!Y342&gt;=3,"B",IF('Data Source'!Y342&gt;=2,"C",IF('Data Source'!Y342&gt;=1,"D","F")))))),"")</f>
        <v/>
      </c>
      <c r="H342" s="3">
        <f>IF(AND('Data Source'!B342&lt;&gt;"",'Data Source'!S342="A+"),IF('Data Source'!Z342&gt;=5,"A+",IF('Data Source'!Z342&gt;=4,"A",IF('Data Source'!Z342&gt;=3.5,"A-",IF('Data Source'!Z342&gt;=3,"B",IF('Data Source'!Z342&gt;=2,"C",IF('Data Source'!Z342&gt;=1,"D","F")))))),"")</f>
        <v/>
      </c>
      <c r="I342" s="3">
        <f>IF(AND('Data Source'!B342&lt;&gt;"",'Data Source'!S342="A+"),IF('Data Source'!AA342&gt;=5,"A+",IF('Data Source'!AA342&gt;=4,"A",IF('Data Source'!AA342&gt;=3.5,"A-",IF('Data Source'!AA342&gt;=3,"B",IF('Data Source'!AA342&gt;=2,"C",IF('Data Source'!AA342&gt;=1,"D","F")))))),"")</f>
        <v/>
      </c>
      <c r="J342" s="3">
        <f>IF(AND('Data Source'!B342&lt;&gt;"",'Data Source'!S342="A+"),IF('Data Source'!AB342&gt;=5,"A+",IF('Data Source'!AB342&gt;=4,"A",IF('Data Source'!AB342&gt;=3.5,"A-",IF('Data Source'!AB342&gt;=3,"B",IF('Data Source'!AB342&gt;=2,"C",IF('Data Source'!AB342&gt;=1,"D","F")))))),"")</f>
        <v/>
      </c>
      <c r="K342" s="3">
        <f>IF(AND('Data Source'!B342&lt;&gt;"",'Data Source'!S342="A+"),IF('Data Source'!AC342&gt;=5,"A+",IF('Data Source'!AC342&gt;=4,"A",IF('Data Source'!AC342&gt;=3.5,"A-",IF('Data Source'!AC342&gt;=3,"B",IF('Data Source'!AC342&gt;=2,"C",IF('Data Source'!AC342&gt;=1,"D","F")))))),"")</f>
        <v/>
      </c>
      <c r="L342" s="3">
        <f>IF(AND('Data Source'!B342&lt;&gt;"",'Data Source'!S342="A+"),IF('Data Source'!AD342&gt;=5,"A+",IF('Data Source'!AD342&gt;=4,"A",IF('Data Source'!AD342&gt;=3.5,"A-",IF('Data Source'!AD342&gt;=3,"B",IF('Data Source'!AD342&gt;=2,"C",IF('Data Source'!AD342&gt;=1,"D","F")))))),"")</f>
        <v/>
      </c>
      <c r="M342" s="3">
        <f>IF(AND('Data Source'!B342&lt;&gt;"",'Data Source'!S342="A+"),IF('Data Source'!AE342&gt;=5,"A+",IF('Data Source'!AE342&gt;=4,"A",IF('Data Source'!AE342&gt;=3.5,"A-",IF('Data Source'!AE342&gt;=3,"B",IF('Data Source'!AE342&gt;=2,"C",IF('Data Source'!AE342&gt;=1,"D","F")))))),"")</f>
        <v/>
      </c>
      <c r="N342" s="3">
        <f>IF(AND('Data Source'!B342&lt;&gt;"",'Data Source'!S342="A+"),IF('Data Source'!AF342&gt;=5,"A+",IF('Data Source'!AF342&gt;=4,"A",IF('Data Source'!AF342&gt;=3.5,"A-",IF('Data Source'!AF342&gt;=3,"B",IF('Data Source'!AF342&gt;=2,"C",IF('Data Source'!AF342&gt;=1,"D","F")))))),"")</f>
        <v/>
      </c>
      <c r="O342" s="3">
        <f>IF(AND('Data Source'!B342&lt;&gt;"",'Data Source'!S342="A+"),IF('Data Source'!AG342&gt;=5,"A+",IF('Data Source'!AG342&gt;=4,"A",IF('Data Source'!AG342&gt;=3.5,"A-",IF('Data Source'!AG342&gt;=3,"B",IF('Data Source'!AG342&gt;=2,"C",IF('Data Source'!AG342&gt;=1,"D","F")))))),"")</f>
        <v/>
      </c>
      <c r="P342" s="5">
        <f>IF(AND('Data Source'!B342&lt;&gt;"",'Data Source'!S342="A+"),'Data Source'!R342,"")</f>
        <v/>
      </c>
      <c r="Q342" s="3">
        <f>IF(AND('Data Source'!B342&lt;&gt;"",'Data Source'!S342="A+"),'Data Source'!S342,"")</f>
        <v/>
      </c>
    </row>
    <row r="343">
      <c r="A343" s="3">
        <f>IF(AND('Data Source'!B343&lt;&gt;"",'Data Source'!S343="A+"),COUNTIF('Data Source'!$S$3:S343,"A+"),"")</f>
        <v/>
      </c>
      <c r="B343">
        <f>IF(AND('Data Source'!B343&lt;&gt;"",'Data Source'!S343="A+"),'Data Source'!B343,"")</f>
        <v/>
      </c>
      <c r="C343" s="3">
        <f>IF(AND('Data Source'!B343&lt;&gt;"",'Data Source'!S343="A+"),IF('Data Source'!U343&gt;=5,"A+",IF('Data Source'!U343&gt;=4,"A",IF('Data Source'!U343&gt;=3.5,"A-",IF('Data Source'!U343&gt;=3,"B",IF('Data Source'!U343&gt;=2,"C",IF('Data Source'!U343&gt;=1,"D","F")))))),"")</f>
        <v/>
      </c>
      <c r="D343" s="3">
        <f>IF(AND('Data Source'!B343&lt;&gt;"",'Data Source'!S343="A+"),IF('Data Source'!V343&gt;=5,"A+",IF('Data Source'!V343&gt;=4,"A",IF('Data Source'!V343&gt;=3.5,"A-",IF('Data Source'!V343&gt;=3,"B",IF('Data Source'!V343&gt;=2,"C",IF('Data Source'!V343&gt;=1,"D","F")))))),"")</f>
        <v/>
      </c>
      <c r="E343" s="3">
        <f>IF(AND('Data Source'!B343&lt;&gt;"",'Data Source'!S343="A+"),IF('Data Source'!W343&gt;=5,"A+",IF('Data Source'!W343&gt;=4,"A",IF('Data Source'!W343&gt;=3.5,"A-",IF('Data Source'!W343&gt;=3,"B",IF('Data Source'!W343&gt;=2,"C",IF('Data Source'!W343&gt;=1,"D","F")))))),"")</f>
        <v/>
      </c>
      <c r="F343" s="3">
        <f>IF(AND('Data Source'!B343&lt;&gt;"",'Data Source'!S343="A+"),IF('Data Source'!X343&gt;=5,"A+",IF('Data Source'!X343&gt;=4,"A",IF('Data Source'!X343&gt;=3.5,"A-",IF('Data Source'!X343&gt;=3,"B",IF('Data Source'!X343&gt;=2,"C",IF('Data Source'!X343&gt;=1,"D","F")))))),"")</f>
        <v/>
      </c>
      <c r="G343" s="3">
        <f>IF(AND('Data Source'!B343&lt;&gt;"",'Data Source'!S343="A+"),IF('Data Source'!Y343&gt;=5,"A+",IF('Data Source'!Y343&gt;=4,"A",IF('Data Source'!Y343&gt;=3.5,"A-",IF('Data Source'!Y343&gt;=3,"B",IF('Data Source'!Y343&gt;=2,"C",IF('Data Source'!Y343&gt;=1,"D","F")))))),"")</f>
        <v/>
      </c>
      <c r="H343" s="3">
        <f>IF(AND('Data Source'!B343&lt;&gt;"",'Data Source'!S343="A+"),IF('Data Source'!Z343&gt;=5,"A+",IF('Data Source'!Z343&gt;=4,"A",IF('Data Source'!Z343&gt;=3.5,"A-",IF('Data Source'!Z343&gt;=3,"B",IF('Data Source'!Z343&gt;=2,"C",IF('Data Source'!Z343&gt;=1,"D","F")))))),"")</f>
        <v/>
      </c>
      <c r="I343" s="3">
        <f>IF(AND('Data Source'!B343&lt;&gt;"",'Data Source'!S343="A+"),IF('Data Source'!AA343&gt;=5,"A+",IF('Data Source'!AA343&gt;=4,"A",IF('Data Source'!AA343&gt;=3.5,"A-",IF('Data Source'!AA343&gt;=3,"B",IF('Data Source'!AA343&gt;=2,"C",IF('Data Source'!AA343&gt;=1,"D","F")))))),"")</f>
        <v/>
      </c>
      <c r="J343" s="3">
        <f>IF(AND('Data Source'!B343&lt;&gt;"",'Data Source'!S343="A+"),IF('Data Source'!AB343&gt;=5,"A+",IF('Data Source'!AB343&gt;=4,"A",IF('Data Source'!AB343&gt;=3.5,"A-",IF('Data Source'!AB343&gt;=3,"B",IF('Data Source'!AB343&gt;=2,"C",IF('Data Source'!AB343&gt;=1,"D","F")))))),"")</f>
        <v/>
      </c>
      <c r="K343" s="3">
        <f>IF(AND('Data Source'!B343&lt;&gt;"",'Data Source'!S343="A+"),IF('Data Source'!AC343&gt;=5,"A+",IF('Data Source'!AC343&gt;=4,"A",IF('Data Source'!AC343&gt;=3.5,"A-",IF('Data Source'!AC343&gt;=3,"B",IF('Data Source'!AC343&gt;=2,"C",IF('Data Source'!AC343&gt;=1,"D","F")))))),"")</f>
        <v/>
      </c>
      <c r="L343" s="3">
        <f>IF(AND('Data Source'!B343&lt;&gt;"",'Data Source'!S343="A+"),IF('Data Source'!AD343&gt;=5,"A+",IF('Data Source'!AD343&gt;=4,"A",IF('Data Source'!AD343&gt;=3.5,"A-",IF('Data Source'!AD343&gt;=3,"B",IF('Data Source'!AD343&gt;=2,"C",IF('Data Source'!AD343&gt;=1,"D","F")))))),"")</f>
        <v/>
      </c>
      <c r="M343" s="3">
        <f>IF(AND('Data Source'!B343&lt;&gt;"",'Data Source'!S343="A+"),IF('Data Source'!AE343&gt;=5,"A+",IF('Data Source'!AE343&gt;=4,"A",IF('Data Source'!AE343&gt;=3.5,"A-",IF('Data Source'!AE343&gt;=3,"B",IF('Data Source'!AE343&gt;=2,"C",IF('Data Source'!AE343&gt;=1,"D","F")))))),"")</f>
        <v/>
      </c>
      <c r="N343" s="3">
        <f>IF(AND('Data Source'!B343&lt;&gt;"",'Data Source'!S343="A+"),IF('Data Source'!AF343&gt;=5,"A+",IF('Data Source'!AF343&gt;=4,"A",IF('Data Source'!AF343&gt;=3.5,"A-",IF('Data Source'!AF343&gt;=3,"B",IF('Data Source'!AF343&gt;=2,"C",IF('Data Source'!AF343&gt;=1,"D","F")))))),"")</f>
        <v/>
      </c>
      <c r="O343" s="3">
        <f>IF(AND('Data Source'!B343&lt;&gt;"",'Data Source'!S343="A+"),IF('Data Source'!AG343&gt;=5,"A+",IF('Data Source'!AG343&gt;=4,"A",IF('Data Source'!AG343&gt;=3.5,"A-",IF('Data Source'!AG343&gt;=3,"B",IF('Data Source'!AG343&gt;=2,"C",IF('Data Source'!AG343&gt;=1,"D","F")))))),"")</f>
        <v/>
      </c>
      <c r="P343" s="5">
        <f>IF(AND('Data Source'!B343&lt;&gt;"",'Data Source'!S343="A+"),'Data Source'!R343,"")</f>
        <v/>
      </c>
      <c r="Q343" s="3">
        <f>IF(AND('Data Source'!B343&lt;&gt;"",'Data Source'!S343="A+"),'Data Source'!S343,"")</f>
        <v/>
      </c>
    </row>
    <row r="344">
      <c r="A344" s="3">
        <f>IF(AND('Data Source'!B344&lt;&gt;"",'Data Source'!S344="A+"),COUNTIF('Data Source'!$S$3:S344,"A+"),"")</f>
        <v/>
      </c>
      <c r="B344">
        <f>IF(AND('Data Source'!B344&lt;&gt;"",'Data Source'!S344="A+"),'Data Source'!B344,"")</f>
        <v/>
      </c>
      <c r="C344" s="3">
        <f>IF(AND('Data Source'!B344&lt;&gt;"",'Data Source'!S344="A+"),IF('Data Source'!U344&gt;=5,"A+",IF('Data Source'!U344&gt;=4,"A",IF('Data Source'!U344&gt;=3.5,"A-",IF('Data Source'!U344&gt;=3,"B",IF('Data Source'!U344&gt;=2,"C",IF('Data Source'!U344&gt;=1,"D","F")))))),"")</f>
        <v/>
      </c>
      <c r="D344" s="3">
        <f>IF(AND('Data Source'!B344&lt;&gt;"",'Data Source'!S344="A+"),IF('Data Source'!V344&gt;=5,"A+",IF('Data Source'!V344&gt;=4,"A",IF('Data Source'!V344&gt;=3.5,"A-",IF('Data Source'!V344&gt;=3,"B",IF('Data Source'!V344&gt;=2,"C",IF('Data Source'!V344&gt;=1,"D","F")))))),"")</f>
        <v/>
      </c>
      <c r="E344" s="3">
        <f>IF(AND('Data Source'!B344&lt;&gt;"",'Data Source'!S344="A+"),IF('Data Source'!W344&gt;=5,"A+",IF('Data Source'!W344&gt;=4,"A",IF('Data Source'!W344&gt;=3.5,"A-",IF('Data Source'!W344&gt;=3,"B",IF('Data Source'!W344&gt;=2,"C",IF('Data Source'!W344&gt;=1,"D","F")))))),"")</f>
        <v/>
      </c>
      <c r="F344" s="3">
        <f>IF(AND('Data Source'!B344&lt;&gt;"",'Data Source'!S344="A+"),IF('Data Source'!X344&gt;=5,"A+",IF('Data Source'!X344&gt;=4,"A",IF('Data Source'!X344&gt;=3.5,"A-",IF('Data Source'!X344&gt;=3,"B",IF('Data Source'!X344&gt;=2,"C",IF('Data Source'!X344&gt;=1,"D","F")))))),"")</f>
        <v/>
      </c>
      <c r="G344" s="3">
        <f>IF(AND('Data Source'!B344&lt;&gt;"",'Data Source'!S344="A+"),IF('Data Source'!Y344&gt;=5,"A+",IF('Data Source'!Y344&gt;=4,"A",IF('Data Source'!Y344&gt;=3.5,"A-",IF('Data Source'!Y344&gt;=3,"B",IF('Data Source'!Y344&gt;=2,"C",IF('Data Source'!Y344&gt;=1,"D","F")))))),"")</f>
        <v/>
      </c>
      <c r="H344" s="3">
        <f>IF(AND('Data Source'!B344&lt;&gt;"",'Data Source'!S344="A+"),IF('Data Source'!Z344&gt;=5,"A+",IF('Data Source'!Z344&gt;=4,"A",IF('Data Source'!Z344&gt;=3.5,"A-",IF('Data Source'!Z344&gt;=3,"B",IF('Data Source'!Z344&gt;=2,"C",IF('Data Source'!Z344&gt;=1,"D","F")))))),"")</f>
        <v/>
      </c>
      <c r="I344" s="3">
        <f>IF(AND('Data Source'!B344&lt;&gt;"",'Data Source'!S344="A+"),IF('Data Source'!AA344&gt;=5,"A+",IF('Data Source'!AA344&gt;=4,"A",IF('Data Source'!AA344&gt;=3.5,"A-",IF('Data Source'!AA344&gt;=3,"B",IF('Data Source'!AA344&gt;=2,"C",IF('Data Source'!AA344&gt;=1,"D","F")))))),"")</f>
        <v/>
      </c>
      <c r="J344" s="3">
        <f>IF(AND('Data Source'!B344&lt;&gt;"",'Data Source'!S344="A+"),IF('Data Source'!AB344&gt;=5,"A+",IF('Data Source'!AB344&gt;=4,"A",IF('Data Source'!AB344&gt;=3.5,"A-",IF('Data Source'!AB344&gt;=3,"B",IF('Data Source'!AB344&gt;=2,"C",IF('Data Source'!AB344&gt;=1,"D","F")))))),"")</f>
        <v/>
      </c>
      <c r="K344" s="3">
        <f>IF(AND('Data Source'!B344&lt;&gt;"",'Data Source'!S344="A+"),IF('Data Source'!AC344&gt;=5,"A+",IF('Data Source'!AC344&gt;=4,"A",IF('Data Source'!AC344&gt;=3.5,"A-",IF('Data Source'!AC344&gt;=3,"B",IF('Data Source'!AC344&gt;=2,"C",IF('Data Source'!AC344&gt;=1,"D","F")))))),"")</f>
        <v/>
      </c>
      <c r="L344" s="3">
        <f>IF(AND('Data Source'!B344&lt;&gt;"",'Data Source'!S344="A+"),IF('Data Source'!AD344&gt;=5,"A+",IF('Data Source'!AD344&gt;=4,"A",IF('Data Source'!AD344&gt;=3.5,"A-",IF('Data Source'!AD344&gt;=3,"B",IF('Data Source'!AD344&gt;=2,"C",IF('Data Source'!AD344&gt;=1,"D","F")))))),"")</f>
        <v/>
      </c>
      <c r="M344" s="3">
        <f>IF(AND('Data Source'!B344&lt;&gt;"",'Data Source'!S344="A+"),IF('Data Source'!AE344&gt;=5,"A+",IF('Data Source'!AE344&gt;=4,"A",IF('Data Source'!AE344&gt;=3.5,"A-",IF('Data Source'!AE344&gt;=3,"B",IF('Data Source'!AE344&gt;=2,"C",IF('Data Source'!AE344&gt;=1,"D","F")))))),"")</f>
        <v/>
      </c>
      <c r="N344" s="3">
        <f>IF(AND('Data Source'!B344&lt;&gt;"",'Data Source'!S344="A+"),IF('Data Source'!AF344&gt;=5,"A+",IF('Data Source'!AF344&gt;=4,"A",IF('Data Source'!AF344&gt;=3.5,"A-",IF('Data Source'!AF344&gt;=3,"B",IF('Data Source'!AF344&gt;=2,"C",IF('Data Source'!AF344&gt;=1,"D","F")))))),"")</f>
        <v/>
      </c>
      <c r="O344" s="3">
        <f>IF(AND('Data Source'!B344&lt;&gt;"",'Data Source'!S344="A+"),IF('Data Source'!AG344&gt;=5,"A+",IF('Data Source'!AG344&gt;=4,"A",IF('Data Source'!AG344&gt;=3.5,"A-",IF('Data Source'!AG344&gt;=3,"B",IF('Data Source'!AG344&gt;=2,"C",IF('Data Source'!AG344&gt;=1,"D","F")))))),"")</f>
        <v/>
      </c>
      <c r="P344" s="5">
        <f>IF(AND('Data Source'!B344&lt;&gt;"",'Data Source'!S344="A+"),'Data Source'!R344,"")</f>
        <v/>
      </c>
      <c r="Q344" s="3">
        <f>IF(AND('Data Source'!B344&lt;&gt;"",'Data Source'!S344="A+"),'Data Source'!S344,"")</f>
        <v/>
      </c>
    </row>
    <row r="345">
      <c r="A345" s="3">
        <f>IF(AND('Data Source'!B345&lt;&gt;"",'Data Source'!S345="A+"),COUNTIF('Data Source'!$S$3:S345,"A+"),"")</f>
        <v/>
      </c>
      <c r="B345">
        <f>IF(AND('Data Source'!B345&lt;&gt;"",'Data Source'!S345="A+"),'Data Source'!B345,"")</f>
        <v/>
      </c>
      <c r="C345" s="3">
        <f>IF(AND('Data Source'!B345&lt;&gt;"",'Data Source'!S345="A+"),IF('Data Source'!U345&gt;=5,"A+",IF('Data Source'!U345&gt;=4,"A",IF('Data Source'!U345&gt;=3.5,"A-",IF('Data Source'!U345&gt;=3,"B",IF('Data Source'!U345&gt;=2,"C",IF('Data Source'!U345&gt;=1,"D","F")))))),"")</f>
        <v/>
      </c>
      <c r="D345" s="3">
        <f>IF(AND('Data Source'!B345&lt;&gt;"",'Data Source'!S345="A+"),IF('Data Source'!V345&gt;=5,"A+",IF('Data Source'!V345&gt;=4,"A",IF('Data Source'!V345&gt;=3.5,"A-",IF('Data Source'!V345&gt;=3,"B",IF('Data Source'!V345&gt;=2,"C",IF('Data Source'!V345&gt;=1,"D","F")))))),"")</f>
        <v/>
      </c>
      <c r="E345" s="3">
        <f>IF(AND('Data Source'!B345&lt;&gt;"",'Data Source'!S345="A+"),IF('Data Source'!W345&gt;=5,"A+",IF('Data Source'!W345&gt;=4,"A",IF('Data Source'!W345&gt;=3.5,"A-",IF('Data Source'!W345&gt;=3,"B",IF('Data Source'!W345&gt;=2,"C",IF('Data Source'!W345&gt;=1,"D","F")))))),"")</f>
        <v/>
      </c>
      <c r="F345" s="3">
        <f>IF(AND('Data Source'!B345&lt;&gt;"",'Data Source'!S345="A+"),IF('Data Source'!X345&gt;=5,"A+",IF('Data Source'!X345&gt;=4,"A",IF('Data Source'!X345&gt;=3.5,"A-",IF('Data Source'!X345&gt;=3,"B",IF('Data Source'!X345&gt;=2,"C",IF('Data Source'!X345&gt;=1,"D","F")))))),"")</f>
        <v/>
      </c>
      <c r="G345" s="3">
        <f>IF(AND('Data Source'!B345&lt;&gt;"",'Data Source'!S345="A+"),IF('Data Source'!Y345&gt;=5,"A+",IF('Data Source'!Y345&gt;=4,"A",IF('Data Source'!Y345&gt;=3.5,"A-",IF('Data Source'!Y345&gt;=3,"B",IF('Data Source'!Y345&gt;=2,"C",IF('Data Source'!Y345&gt;=1,"D","F")))))),"")</f>
        <v/>
      </c>
      <c r="H345" s="3">
        <f>IF(AND('Data Source'!B345&lt;&gt;"",'Data Source'!S345="A+"),IF('Data Source'!Z345&gt;=5,"A+",IF('Data Source'!Z345&gt;=4,"A",IF('Data Source'!Z345&gt;=3.5,"A-",IF('Data Source'!Z345&gt;=3,"B",IF('Data Source'!Z345&gt;=2,"C",IF('Data Source'!Z345&gt;=1,"D","F")))))),"")</f>
        <v/>
      </c>
      <c r="I345" s="3">
        <f>IF(AND('Data Source'!B345&lt;&gt;"",'Data Source'!S345="A+"),IF('Data Source'!AA345&gt;=5,"A+",IF('Data Source'!AA345&gt;=4,"A",IF('Data Source'!AA345&gt;=3.5,"A-",IF('Data Source'!AA345&gt;=3,"B",IF('Data Source'!AA345&gt;=2,"C",IF('Data Source'!AA345&gt;=1,"D","F")))))),"")</f>
        <v/>
      </c>
      <c r="J345" s="3">
        <f>IF(AND('Data Source'!B345&lt;&gt;"",'Data Source'!S345="A+"),IF('Data Source'!AB345&gt;=5,"A+",IF('Data Source'!AB345&gt;=4,"A",IF('Data Source'!AB345&gt;=3.5,"A-",IF('Data Source'!AB345&gt;=3,"B",IF('Data Source'!AB345&gt;=2,"C",IF('Data Source'!AB345&gt;=1,"D","F")))))),"")</f>
        <v/>
      </c>
      <c r="K345" s="3">
        <f>IF(AND('Data Source'!B345&lt;&gt;"",'Data Source'!S345="A+"),IF('Data Source'!AC345&gt;=5,"A+",IF('Data Source'!AC345&gt;=4,"A",IF('Data Source'!AC345&gt;=3.5,"A-",IF('Data Source'!AC345&gt;=3,"B",IF('Data Source'!AC345&gt;=2,"C",IF('Data Source'!AC345&gt;=1,"D","F")))))),"")</f>
        <v/>
      </c>
      <c r="L345" s="3">
        <f>IF(AND('Data Source'!B345&lt;&gt;"",'Data Source'!S345="A+"),IF('Data Source'!AD345&gt;=5,"A+",IF('Data Source'!AD345&gt;=4,"A",IF('Data Source'!AD345&gt;=3.5,"A-",IF('Data Source'!AD345&gt;=3,"B",IF('Data Source'!AD345&gt;=2,"C",IF('Data Source'!AD345&gt;=1,"D","F")))))),"")</f>
        <v/>
      </c>
      <c r="M345" s="3">
        <f>IF(AND('Data Source'!B345&lt;&gt;"",'Data Source'!S345="A+"),IF('Data Source'!AE345&gt;=5,"A+",IF('Data Source'!AE345&gt;=4,"A",IF('Data Source'!AE345&gt;=3.5,"A-",IF('Data Source'!AE345&gt;=3,"B",IF('Data Source'!AE345&gt;=2,"C",IF('Data Source'!AE345&gt;=1,"D","F")))))),"")</f>
        <v/>
      </c>
      <c r="N345" s="3">
        <f>IF(AND('Data Source'!B345&lt;&gt;"",'Data Source'!S345="A+"),IF('Data Source'!AF345&gt;=5,"A+",IF('Data Source'!AF345&gt;=4,"A",IF('Data Source'!AF345&gt;=3.5,"A-",IF('Data Source'!AF345&gt;=3,"B",IF('Data Source'!AF345&gt;=2,"C",IF('Data Source'!AF345&gt;=1,"D","F")))))),"")</f>
        <v/>
      </c>
      <c r="O345" s="3">
        <f>IF(AND('Data Source'!B345&lt;&gt;"",'Data Source'!S345="A+"),IF('Data Source'!AG345&gt;=5,"A+",IF('Data Source'!AG345&gt;=4,"A",IF('Data Source'!AG345&gt;=3.5,"A-",IF('Data Source'!AG345&gt;=3,"B",IF('Data Source'!AG345&gt;=2,"C",IF('Data Source'!AG345&gt;=1,"D","F")))))),"")</f>
        <v/>
      </c>
      <c r="P345" s="5">
        <f>IF(AND('Data Source'!B345&lt;&gt;"",'Data Source'!S345="A+"),'Data Source'!R345,"")</f>
        <v/>
      </c>
      <c r="Q345" s="3">
        <f>IF(AND('Data Source'!B345&lt;&gt;"",'Data Source'!S345="A+"),'Data Source'!S345,"")</f>
        <v/>
      </c>
    </row>
    <row r="346">
      <c r="A346" s="3">
        <f>IF(AND('Data Source'!B346&lt;&gt;"",'Data Source'!S346="A+"),COUNTIF('Data Source'!$S$3:S346,"A+"),"")</f>
        <v/>
      </c>
      <c r="B346">
        <f>IF(AND('Data Source'!B346&lt;&gt;"",'Data Source'!S346="A+"),'Data Source'!B346,"")</f>
        <v/>
      </c>
      <c r="C346" s="3">
        <f>IF(AND('Data Source'!B346&lt;&gt;"",'Data Source'!S346="A+"),IF('Data Source'!U346&gt;=5,"A+",IF('Data Source'!U346&gt;=4,"A",IF('Data Source'!U346&gt;=3.5,"A-",IF('Data Source'!U346&gt;=3,"B",IF('Data Source'!U346&gt;=2,"C",IF('Data Source'!U346&gt;=1,"D","F")))))),"")</f>
        <v/>
      </c>
      <c r="D346" s="3">
        <f>IF(AND('Data Source'!B346&lt;&gt;"",'Data Source'!S346="A+"),IF('Data Source'!V346&gt;=5,"A+",IF('Data Source'!V346&gt;=4,"A",IF('Data Source'!V346&gt;=3.5,"A-",IF('Data Source'!V346&gt;=3,"B",IF('Data Source'!V346&gt;=2,"C",IF('Data Source'!V346&gt;=1,"D","F")))))),"")</f>
        <v/>
      </c>
      <c r="E346" s="3">
        <f>IF(AND('Data Source'!B346&lt;&gt;"",'Data Source'!S346="A+"),IF('Data Source'!W346&gt;=5,"A+",IF('Data Source'!W346&gt;=4,"A",IF('Data Source'!W346&gt;=3.5,"A-",IF('Data Source'!W346&gt;=3,"B",IF('Data Source'!W346&gt;=2,"C",IF('Data Source'!W346&gt;=1,"D","F")))))),"")</f>
        <v/>
      </c>
      <c r="F346" s="3">
        <f>IF(AND('Data Source'!B346&lt;&gt;"",'Data Source'!S346="A+"),IF('Data Source'!X346&gt;=5,"A+",IF('Data Source'!X346&gt;=4,"A",IF('Data Source'!X346&gt;=3.5,"A-",IF('Data Source'!X346&gt;=3,"B",IF('Data Source'!X346&gt;=2,"C",IF('Data Source'!X346&gt;=1,"D","F")))))),"")</f>
        <v/>
      </c>
      <c r="G346" s="3">
        <f>IF(AND('Data Source'!B346&lt;&gt;"",'Data Source'!S346="A+"),IF('Data Source'!Y346&gt;=5,"A+",IF('Data Source'!Y346&gt;=4,"A",IF('Data Source'!Y346&gt;=3.5,"A-",IF('Data Source'!Y346&gt;=3,"B",IF('Data Source'!Y346&gt;=2,"C",IF('Data Source'!Y346&gt;=1,"D","F")))))),"")</f>
        <v/>
      </c>
      <c r="H346" s="3">
        <f>IF(AND('Data Source'!B346&lt;&gt;"",'Data Source'!S346="A+"),IF('Data Source'!Z346&gt;=5,"A+",IF('Data Source'!Z346&gt;=4,"A",IF('Data Source'!Z346&gt;=3.5,"A-",IF('Data Source'!Z346&gt;=3,"B",IF('Data Source'!Z346&gt;=2,"C",IF('Data Source'!Z346&gt;=1,"D","F")))))),"")</f>
        <v/>
      </c>
      <c r="I346" s="3">
        <f>IF(AND('Data Source'!B346&lt;&gt;"",'Data Source'!S346="A+"),IF('Data Source'!AA346&gt;=5,"A+",IF('Data Source'!AA346&gt;=4,"A",IF('Data Source'!AA346&gt;=3.5,"A-",IF('Data Source'!AA346&gt;=3,"B",IF('Data Source'!AA346&gt;=2,"C",IF('Data Source'!AA346&gt;=1,"D","F")))))),"")</f>
        <v/>
      </c>
      <c r="J346" s="3">
        <f>IF(AND('Data Source'!B346&lt;&gt;"",'Data Source'!S346="A+"),IF('Data Source'!AB346&gt;=5,"A+",IF('Data Source'!AB346&gt;=4,"A",IF('Data Source'!AB346&gt;=3.5,"A-",IF('Data Source'!AB346&gt;=3,"B",IF('Data Source'!AB346&gt;=2,"C",IF('Data Source'!AB346&gt;=1,"D","F")))))),"")</f>
        <v/>
      </c>
      <c r="K346" s="3">
        <f>IF(AND('Data Source'!B346&lt;&gt;"",'Data Source'!S346="A+"),IF('Data Source'!AC346&gt;=5,"A+",IF('Data Source'!AC346&gt;=4,"A",IF('Data Source'!AC346&gt;=3.5,"A-",IF('Data Source'!AC346&gt;=3,"B",IF('Data Source'!AC346&gt;=2,"C",IF('Data Source'!AC346&gt;=1,"D","F")))))),"")</f>
        <v/>
      </c>
      <c r="L346" s="3">
        <f>IF(AND('Data Source'!B346&lt;&gt;"",'Data Source'!S346="A+"),IF('Data Source'!AD346&gt;=5,"A+",IF('Data Source'!AD346&gt;=4,"A",IF('Data Source'!AD346&gt;=3.5,"A-",IF('Data Source'!AD346&gt;=3,"B",IF('Data Source'!AD346&gt;=2,"C",IF('Data Source'!AD346&gt;=1,"D","F")))))),"")</f>
        <v/>
      </c>
      <c r="M346" s="3">
        <f>IF(AND('Data Source'!B346&lt;&gt;"",'Data Source'!S346="A+"),IF('Data Source'!AE346&gt;=5,"A+",IF('Data Source'!AE346&gt;=4,"A",IF('Data Source'!AE346&gt;=3.5,"A-",IF('Data Source'!AE346&gt;=3,"B",IF('Data Source'!AE346&gt;=2,"C",IF('Data Source'!AE346&gt;=1,"D","F")))))),"")</f>
        <v/>
      </c>
      <c r="N346" s="3">
        <f>IF(AND('Data Source'!B346&lt;&gt;"",'Data Source'!S346="A+"),IF('Data Source'!AF346&gt;=5,"A+",IF('Data Source'!AF346&gt;=4,"A",IF('Data Source'!AF346&gt;=3.5,"A-",IF('Data Source'!AF346&gt;=3,"B",IF('Data Source'!AF346&gt;=2,"C",IF('Data Source'!AF346&gt;=1,"D","F")))))),"")</f>
        <v/>
      </c>
      <c r="O346" s="3">
        <f>IF(AND('Data Source'!B346&lt;&gt;"",'Data Source'!S346="A+"),IF('Data Source'!AG346&gt;=5,"A+",IF('Data Source'!AG346&gt;=4,"A",IF('Data Source'!AG346&gt;=3.5,"A-",IF('Data Source'!AG346&gt;=3,"B",IF('Data Source'!AG346&gt;=2,"C",IF('Data Source'!AG346&gt;=1,"D","F")))))),"")</f>
        <v/>
      </c>
      <c r="P346" s="5">
        <f>IF(AND('Data Source'!B346&lt;&gt;"",'Data Source'!S346="A+"),'Data Source'!R346,"")</f>
        <v/>
      </c>
      <c r="Q346" s="3">
        <f>IF(AND('Data Source'!B346&lt;&gt;"",'Data Source'!S346="A+"),'Data Source'!S346,"")</f>
        <v/>
      </c>
    </row>
    <row r="347">
      <c r="A347" s="3">
        <f>IF(AND('Data Source'!B347&lt;&gt;"",'Data Source'!S347="A+"),COUNTIF('Data Source'!$S$3:S347,"A+"),"")</f>
        <v/>
      </c>
      <c r="B347">
        <f>IF(AND('Data Source'!B347&lt;&gt;"",'Data Source'!S347="A+"),'Data Source'!B347,"")</f>
        <v/>
      </c>
      <c r="C347" s="3">
        <f>IF(AND('Data Source'!B347&lt;&gt;"",'Data Source'!S347="A+"),IF('Data Source'!U347&gt;=5,"A+",IF('Data Source'!U347&gt;=4,"A",IF('Data Source'!U347&gt;=3.5,"A-",IF('Data Source'!U347&gt;=3,"B",IF('Data Source'!U347&gt;=2,"C",IF('Data Source'!U347&gt;=1,"D","F")))))),"")</f>
        <v/>
      </c>
      <c r="D347" s="3">
        <f>IF(AND('Data Source'!B347&lt;&gt;"",'Data Source'!S347="A+"),IF('Data Source'!V347&gt;=5,"A+",IF('Data Source'!V347&gt;=4,"A",IF('Data Source'!V347&gt;=3.5,"A-",IF('Data Source'!V347&gt;=3,"B",IF('Data Source'!V347&gt;=2,"C",IF('Data Source'!V347&gt;=1,"D","F")))))),"")</f>
        <v/>
      </c>
      <c r="E347" s="3">
        <f>IF(AND('Data Source'!B347&lt;&gt;"",'Data Source'!S347="A+"),IF('Data Source'!W347&gt;=5,"A+",IF('Data Source'!W347&gt;=4,"A",IF('Data Source'!W347&gt;=3.5,"A-",IF('Data Source'!W347&gt;=3,"B",IF('Data Source'!W347&gt;=2,"C",IF('Data Source'!W347&gt;=1,"D","F")))))),"")</f>
        <v/>
      </c>
      <c r="F347" s="3">
        <f>IF(AND('Data Source'!B347&lt;&gt;"",'Data Source'!S347="A+"),IF('Data Source'!X347&gt;=5,"A+",IF('Data Source'!X347&gt;=4,"A",IF('Data Source'!X347&gt;=3.5,"A-",IF('Data Source'!X347&gt;=3,"B",IF('Data Source'!X347&gt;=2,"C",IF('Data Source'!X347&gt;=1,"D","F")))))),"")</f>
        <v/>
      </c>
      <c r="G347" s="3">
        <f>IF(AND('Data Source'!B347&lt;&gt;"",'Data Source'!S347="A+"),IF('Data Source'!Y347&gt;=5,"A+",IF('Data Source'!Y347&gt;=4,"A",IF('Data Source'!Y347&gt;=3.5,"A-",IF('Data Source'!Y347&gt;=3,"B",IF('Data Source'!Y347&gt;=2,"C",IF('Data Source'!Y347&gt;=1,"D","F")))))),"")</f>
        <v/>
      </c>
      <c r="H347" s="3">
        <f>IF(AND('Data Source'!B347&lt;&gt;"",'Data Source'!S347="A+"),IF('Data Source'!Z347&gt;=5,"A+",IF('Data Source'!Z347&gt;=4,"A",IF('Data Source'!Z347&gt;=3.5,"A-",IF('Data Source'!Z347&gt;=3,"B",IF('Data Source'!Z347&gt;=2,"C",IF('Data Source'!Z347&gt;=1,"D","F")))))),"")</f>
        <v/>
      </c>
      <c r="I347" s="3">
        <f>IF(AND('Data Source'!B347&lt;&gt;"",'Data Source'!S347="A+"),IF('Data Source'!AA347&gt;=5,"A+",IF('Data Source'!AA347&gt;=4,"A",IF('Data Source'!AA347&gt;=3.5,"A-",IF('Data Source'!AA347&gt;=3,"B",IF('Data Source'!AA347&gt;=2,"C",IF('Data Source'!AA347&gt;=1,"D","F")))))),"")</f>
        <v/>
      </c>
      <c r="J347" s="3">
        <f>IF(AND('Data Source'!B347&lt;&gt;"",'Data Source'!S347="A+"),IF('Data Source'!AB347&gt;=5,"A+",IF('Data Source'!AB347&gt;=4,"A",IF('Data Source'!AB347&gt;=3.5,"A-",IF('Data Source'!AB347&gt;=3,"B",IF('Data Source'!AB347&gt;=2,"C",IF('Data Source'!AB347&gt;=1,"D","F")))))),"")</f>
        <v/>
      </c>
      <c r="K347" s="3">
        <f>IF(AND('Data Source'!B347&lt;&gt;"",'Data Source'!S347="A+"),IF('Data Source'!AC347&gt;=5,"A+",IF('Data Source'!AC347&gt;=4,"A",IF('Data Source'!AC347&gt;=3.5,"A-",IF('Data Source'!AC347&gt;=3,"B",IF('Data Source'!AC347&gt;=2,"C",IF('Data Source'!AC347&gt;=1,"D","F")))))),"")</f>
        <v/>
      </c>
      <c r="L347" s="3">
        <f>IF(AND('Data Source'!B347&lt;&gt;"",'Data Source'!S347="A+"),IF('Data Source'!AD347&gt;=5,"A+",IF('Data Source'!AD347&gt;=4,"A",IF('Data Source'!AD347&gt;=3.5,"A-",IF('Data Source'!AD347&gt;=3,"B",IF('Data Source'!AD347&gt;=2,"C",IF('Data Source'!AD347&gt;=1,"D","F")))))),"")</f>
        <v/>
      </c>
      <c r="M347" s="3">
        <f>IF(AND('Data Source'!B347&lt;&gt;"",'Data Source'!S347="A+"),IF('Data Source'!AE347&gt;=5,"A+",IF('Data Source'!AE347&gt;=4,"A",IF('Data Source'!AE347&gt;=3.5,"A-",IF('Data Source'!AE347&gt;=3,"B",IF('Data Source'!AE347&gt;=2,"C",IF('Data Source'!AE347&gt;=1,"D","F")))))),"")</f>
        <v/>
      </c>
      <c r="N347" s="3">
        <f>IF(AND('Data Source'!B347&lt;&gt;"",'Data Source'!S347="A+"),IF('Data Source'!AF347&gt;=5,"A+",IF('Data Source'!AF347&gt;=4,"A",IF('Data Source'!AF347&gt;=3.5,"A-",IF('Data Source'!AF347&gt;=3,"B",IF('Data Source'!AF347&gt;=2,"C",IF('Data Source'!AF347&gt;=1,"D","F")))))),"")</f>
        <v/>
      </c>
      <c r="O347" s="3">
        <f>IF(AND('Data Source'!B347&lt;&gt;"",'Data Source'!S347="A+"),IF('Data Source'!AG347&gt;=5,"A+",IF('Data Source'!AG347&gt;=4,"A",IF('Data Source'!AG347&gt;=3.5,"A-",IF('Data Source'!AG347&gt;=3,"B",IF('Data Source'!AG347&gt;=2,"C",IF('Data Source'!AG347&gt;=1,"D","F")))))),"")</f>
        <v/>
      </c>
      <c r="P347" s="5">
        <f>IF(AND('Data Source'!B347&lt;&gt;"",'Data Source'!S347="A+"),'Data Source'!R347,"")</f>
        <v/>
      </c>
      <c r="Q347" s="3">
        <f>IF(AND('Data Source'!B347&lt;&gt;"",'Data Source'!S347="A+"),'Data Source'!S347,"")</f>
        <v/>
      </c>
    </row>
    <row r="348">
      <c r="A348" s="3">
        <f>IF(AND('Data Source'!B348&lt;&gt;"",'Data Source'!S348="A+"),COUNTIF('Data Source'!$S$3:S348,"A+"),"")</f>
        <v/>
      </c>
      <c r="B348">
        <f>IF(AND('Data Source'!B348&lt;&gt;"",'Data Source'!S348="A+"),'Data Source'!B348,"")</f>
        <v/>
      </c>
      <c r="C348" s="3">
        <f>IF(AND('Data Source'!B348&lt;&gt;"",'Data Source'!S348="A+"),IF('Data Source'!U348&gt;=5,"A+",IF('Data Source'!U348&gt;=4,"A",IF('Data Source'!U348&gt;=3.5,"A-",IF('Data Source'!U348&gt;=3,"B",IF('Data Source'!U348&gt;=2,"C",IF('Data Source'!U348&gt;=1,"D","F")))))),"")</f>
        <v/>
      </c>
      <c r="D348" s="3">
        <f>IF(AND('Data Source'!B348&lt;&gt;"",'Data Source'!S348="A+"),IF('Data Source'!V348&gt;=5,"A+",IF('Data Source'!V348&gt;=4,"A",IF('Data Source'!V348&gt;=3.5,"A-",IF('Data Source'!V348&gt;=3,"B",IF('Data Source'!V348&gt;=2,"C",IF('Data Source'!V348&gt;=1,"D","F")))))),"")</f>
        <v/>
      </c>
      <c r="E348" s="3">
        <f>IF(AND('Data Source'!B348&lt;&gt;"",'Data Source'!S348="A+"),IF('Data Source'!W348&gt;=5,"A+",IF('Data Source'!W348&gt;=4,"A",IF('Data Source'!W348&gt;=3.5,"A-",IF('Data Source'!W348&gt;=3,"B",IF('Data Source'!W348&gt;=2,"C",IF('Data Source'!W348&gt;=1,"D","F")))))),"")</f>
        <v/>
      </c>
      <c r="F348" s="3">
        <f>IF(AND('Data Source'!B348&lt;&gt;"",'Data Source'!S348="A+"),IF('Data Source'!X348&gt;=5,"A+",IF('Data Source'!X348&gt;=4,"A",IF('Data Source'!X348&gt;=3.5,"A-",IF('Data Source'!X348&gt;=3,"B",IF('Data Source'!X348&gt;=2,"C",IF('Data Source'!X348&gt;=1,"D","F")))))),"")</f>
        <v/>
      </c>
      <c r="G348" s="3">
        <f>IF(AND('Data Source'!B348&lt;&gt;"",'Data Source'!S348="A+"),IF('Data Source'!Y348&gt;=5,"A+",IF('Data Source'!Y348&gt;=4,"A",IF('Data Source'!Y348&gt;=3.5,"A-",IF('Data Source'!Y348&gt;=3,"B",IF('Data Source'!Y348&gt;=2,"C",IF('Data Source'!Y348&gt;=1,"D","F")))))),"")</f>
        <v/>
      </c>
      <c r="H348" s="3">
        <f>IF(AND('Data Source'!B348&lt;&gt;"",'Data Source'!S348="A+"),IF('Data Source'!Z348&gt;=5,"A+",IF('Data Source'!Z348&gt;=4,"A",IF('Data Source'!Z348&gt;=3.5,"A-",IF('Data Source'!Z348&gt;=3,"B",IF('Data Source'!Z348&gt;=2,"C",IF('Data Source'!Z348&gt;=1,"D","F")))))),"")</f>
        <v/>
      </c>
      <c r="I348" s="3">
        <f>IF(AND('Data Source'!B348&lt;&gt;"",'Data Source'!S348="A+"),IF('Data Source'!AA348&gt;=5,"A+",IF('Data Source'!AA348&gt;=4,"A",IF('Data Source'!AA348&gt;=3.5,"A-",IF('Data Source'!AA348&gt;=3,"B",IF('Data Source'!AA348&gt;=2,"C",IF('Data Source'!AA348&gt;=1,"D","F")))))),"")</f>
        <v/>
      </c>
      <c r="J348" s="3">
        <f>IF(AND('Data Source'!B348&lt;&gt;"",'Data Source'!S348="A+"),IF('Data Source'!AB348&gt;=5,"A+",IF('Data Source'!AB348&gt;=4,"A",IF('Data Source'!AB348&gt;=3.5,"A-",IF('Data Source'!AB348&gt;=3,"B",IF('Data Source'!AB348&gt;=2,"C",IF('Data Source'!AB348&gt;=1,"D","F")))))),"")</f>
        <v/>
      </c>
      <c r="K348" s="3">
        <f>IF(AND('Data Source'!B348&lt;&gt;"",'Data Source'!S348="A+"),IF('Data Source'!AC348&gt;=5,"A+",IF('Data Source'!AC348&gt;=4,"A",IF('Data Source'!AC348&gt;=3.5,"A-",IF('Data Source'!AC348&gt;=3,"B",IF('Data Source'!AC348&gt;=2,"C",IF('Data Source'!AC348&gt;=1,"D","F")))))),"")</f>
        <v/>
      </c>
      <c r="L348" s="3">
        <f>IF(AND('Data Source'!B348&lt;&gt;"",'Data Source'!S348="A+"),IF('Data Source'!AD348&gt;=5,"A+",IF('Data Source'!AD348&gt;=4,"A",IF('Data Source'!AD348&gt;=3.5,"A-",IF('Data Source'!AD348&gt;=3,"B",IF('Data Source'!AD348&gt;=2,"C",IF('Data Source'!AD348&gt;=1,"D","F")))))),"")</f>
        <v/>
      </c>
      <c r="M348" s="3">
        <f>IF(AND('Data Source'!B348&lt;&gt;"",'Data Source'!S348="A+"),IF('Data Source'!AE348&gt;=5,"A+",IF('Data Source'!AE348&gt;=4,"A",IF('Data Source'!AE348&gt;=3.5,"A-",IF('Data Source'!AE348&gt;=3,"B",IF('Data Source'!AE348&gt;=2,"C",IF('Data Source'!AE348&gt;=1,"D","F")))))),"")</f>
        <v/>
      </c>
      <c r="N348" s="3">
        <f>IF(AND('Data Source'!B348&lt;&gt;"",'Data Source'!S348="A+"),IF('Data Source'!AF348&gt;=5,"A+",IF('Data Source'!AF348&gt;=4,"A",IF('Data Source'!AF348&gt;=3.5,"A-",IF('Data Source'!AF348&gt;=3,"B",IF('Data Source'!AF348&gt;=2,"C",IF('Data Source'!AF348&gt;=1,"D","F")))))),"")</f>
        <v/>
      </c>
      <c r="O348" s="3">
        <f>IF(AND('Data Source'!B348&lt;&gt;"",'Data Source'!S348="A+"),IF('Data Source'!AG348&gt;=5,"A+",IF('Data Source'!AG348&gt;=4,"A",IF('Data Source'!AG348&gt;=3.5,"A-",IF('Data Source'!AG348&gt;=3,"B",IF('Data Source'!AG348&gt;=2,"C",IF('Data Source'!AG348&gt;=1,"D","F")))))),"")</f>
        <v/>
      </c>
      <c r="P348" s="5">
        <f>IF(AND('Data Source'!B348&lt;&gt;"",'Data Source'!S348="A+"),'Data Source'!R348,"")</f>
        <v/>
      </c>
      <c r="Q348" s="3">
        <f>IF(AND('Data Source'!B348&lt;&gt;"",'Data Source'!S348="A+"),'Data Source'!S348,"")</f>
        <v/>
      </c>
    </row>
    <row r="349">
      <c r="A349" s="3">
        <f>IF(AND('Data Source'!B349&lt;&gt;"",'Data Source'!S349="A+"),COUNTIF('Data Source'!$S$3:S349,"A+"),"")</f>
        <v/>
      </c>
      <c r="B349">
        <f>IF(AND('Data Source'!B349&lt;&gt;"",'Data Source'!S349="A+"),'Data Source'!B349,"")</f>
        <v/>
      </c>
      <c r="C349" s="3">
        <f>IF(AND('Data Source'!B349&lt;&gt;"",'Data Source'!S349="A+"),IF('Data Source'!U349&gt;=5,"A+",IF('Data Source'!U349&gt;=4,"A",IF('Data Source'!U349&gt;=3.5,"A-",IF('Data Source'!U349&gt;=3,"B",IF('Data Source'!U349&gt;=2,"C",IF('Data Source'!U349&gt;=1,"D","F")))))),"")</f>
        <v/>
      </c>
      <c r="D349" s="3">
        <f>IF(AND('Data Source'!B349&lt;&gt;"",'Data Source'!S349="A+"),IF('Data Source'!V349&gt;=5,"A+",IF('Data Source'!V349&gt;=4,"A",IF('Data Source'!V349&gt;=3.5,"A-",IF('Data Source'!V349&gt;=3,"B",IF('Data Source'!V349&gt;=2,"C",IF('Data Source'!V349&gt;=1,"D","F")))))),"")</f>
        <v/>
      </c>
      <c r="E349" s="3">
        <f>IF(AND('Data Source'!B349&lt;&gt;"",'Data Source'!S349="A+"),IF('Data Source'!W349&gt;=5,"A+",IF('Data Source'!W349&gt;=4,"A",IF('Data Source'!W349&gt;=3.5,"A-",IF('Data Source'!W349&gt;=3,"B",IF('Data Source'!W349&gt;=2,"C",IF('Data Source'!W349&gt;=1,"D","F")))))),"")</f>
        <v/>
      </c>
      <c r="F349" s="3">
        <f>IF(AND('Data Source'!B349&lt;&gt;"",'Data Source'!S349="A+"),IF('Data Source'!X349&gt;=5,"A+",IF('Data Source'!X349&gt;=4,"A",IF('Data Source'!X349&gt;=3.5,"A-",IF('Data Source'!X349&gt;=3,"B",IF('Data Source'!X349&gt;=2,"C",IF('Data Source'!X349&gt;=1,"D","F")))))),"")</f>
        <v/>
      </c>
      <c r="G349" s="3">
        <f>IF(AND('Data Source'!B349&lt;&gt;"",'Data Source'!S349="A+"),IF('Data Source'!Y349&gt;=5,"A+",IF('Data Source'!Y349&gt;=4,"A",IF('Data Source'!Y349&gt;=3.5,"A-",IF('Data Source'!Y349&gt;=3,"B",IF('Data Source'!Y349&gt;=2,"C",IF('Data Source'!Y349&gt;=1,"D","F")))))),"")</f>
        <v/>
      </c>
      <c r="H349" s="3">
        <f>IF(AND('Data Source'!B349&lt;&gt;"",'Data Source'!S349="A+"),IF('Data Source'!Z349&gt;=5,"A+",IF('Data Source'!Z349&gt;=4,"A",IF('Data Source'!Z349&gt;=3.5,"A-",IF('Data Source'!Z349&gt;=3,"B",IF('Data Source'!Z349&gt;=2,"C",IF('Data Source'!Z349&gt;=1,"D","F")))))),"")</f>
        <v/>
      </c>
      <c r="I349" s="3">
        <f>IF(AND('Data Source'!B349&lt;&gt;"",'Data Source'!S349="A+"),IF('Data Source'!AA349&gt;=5,"A+",IF('Data Source'!AA349&gt;=4,"A",IF('Data Source'!AA349&gt;=3.5,"A-",IF('Data Source'!AA349&gt;=3,"B",IF('Data Source'!AA349&gt;=2,"C",IF('Data Source'!AA349&gt;=1,"D","F")))))),"")</f>
        <v/>
      </c>
      <c r="J349" s="3">
        <f>IF(AND('Data Source'!B349&lt;&gt;"",'Data Source'!S349="A+"),IF('Data Source'!AB349&gt;=5,"A+",IF('Data Source'!AB349&gt;=4,"A",IF('Data Source'!AB349&gt;=3.5,"A-",IF('Data Source'!AB349&gt;=3,"B",IF('Data Source'!AB349&gt;=2,"C",IF('Data Source'!AB349&gt;=1,"D","F")))))),"")</f>
        <v/>
      </c>
      <c r="K349" s="3">
        <f>IF(AND('Data Source'!B349&lt;&gt;"",'Data Source'!S349="A+"),IF('Data Source'!AC349&gt;=5,"A+",IF('Data Source'!AC349&gt;=4,"A",IF('Data Source'!AC349&gt;=3.5,"A-",IF('Data Source'!AC349&gt;=3,"B",IF('Data Source'!AC349&gt;=2,"C",IF('Data Source'!AC349&gt;=1,"D","F")))))),"")</f>
        <v/>
      </c>
      <c r="L349" s="3">
        <f>IF(AND('Data Source'!B349&lt;&gt;"",'Data Source'!S349="A+"),IF('Data Source'!AD349&gt;=5,"A+",IF('Data Source'!AD349&gt;=4,"A",IF('Data Source'!AD349&gt;=3.5,"A-",IF('Data Source'!AD349&gt;=3,"B",IF('Data Source'!AD349&gt;=2,"C",IF('Data Source'!AD349&gt;=1,"D","F")))))),"")</f>
        <v/>
      </c>
      <c r="M349" s="3">
        <f>IF(AND('Data Source'!B349&lt;&gt;"",'Data Source'!S349="A+"),IF('Data Source'!AE349&gt;=5,"A+",IF('Data Source'!AE349&gt;=4,"A",IF('Data Source'!AE349&gt;=3.5,"A-",IF('Data Source'!AE349&gt;=3,"B",IF('Data Source'!AE349&gt;=2,"C",IF('Data Source'!AE349&gt;=1,"D","F")))))),"")</f>
        <v/>
      </c>
      <c r="N349" s="3">
        <f>IF(AND('Data Source'!B349&lt;&gt;"",'Data Source'!S349="A+"),IF('Data Source'!AF349&gt;=5,"A+",IF('Data Source'!AF349&gt;=4,"A",IF('Data Source'!AF349&gt;=3.5,"A-",IF('Data Source'!AF349&gt;=3,"B",IF('Data Source'!AF349&gt;=2,"C",IF('Data Source'!AF349&gt;=1,"D","F")))))),"")</f>
        <v/>
      </c>
      <c r="O349" s="3">
        <f>IF(AND('Data Source'!B349&lt;&gt;"",'Data Source'!S349="A+"),IF('Data Source'!AG349&gt;=5,"A+",IF('Data Source'!AG349&gt;=4,"A",IF('Data Source'!AG349&gt;=3.5,"A-",IF('Data Source'!AG349&gt;=3,"B",IF('Data Source'!AG349&gt;=2,"C",IF('Data Source'!AG349&gt;=1,"D","F")))))),"")</f>
        <v/>
      </c>
      <c r="P349" s="5">
        <f>IF(AND('Data Source'!B349&lt;&gt;"",'Data Source'!S349="A+"),'Data Source'!R349,"")</f>
        <v/>
      </c>
      <c r="Q349" s="3">
        <f>IF(AND('Data Source'!B349&lt;&gt;"",'Data Source'!S349="A+"),'Data Source'!S349,"")</f>
        <v/>
      </c>
    </row>
    <row r="350">
      <c r="A350" s="3">
        <f>IF(AND('Data Source'!B350&lt;&gt;"",'Data Source'!S350="A+"),COUNTIF('Data Source'!$S$3:S350,"A+"),"")</f>
        <v/>
      </c>
      <c r="B350">
        <f>IF(AND('Data Source'!B350&lt;&gt;"",'Data Source'!S350="A+"),'Data Source'!B350,"")</f>
        <v/>
      </c>
      <c r="C350" s="3">
        <f>IF(AND('Data Source'!B350&lt;&gt;"",'Data Source'!S350="A+"),IF('Data Source'!U350&gt;=5,"A+",IF('Data Source'!U350&gt;=4,"A",IF('Data Source'!U350&gt;=3.5,"A-",IF('Data Source'!U350&gt;=3,"B",IF('Data Source'!U350&gt;=2,"C",IF('Data Source'!U350&gt;=1,"D","F")))))),"")</f>
        <v/>
      </c>
      <c r="D350" s="3">
        <f>IF(AND('Data Source'!B350&lt;&gt;"",'Data Source'!S350="A+"),IF('Data Source'!V350&gt;=5,"A+",IF('Data Source'!V350&gt;=4,"A",IF('Data Source'!V350&gt;=3.5,"A-",IF('Data Source'!V350&gt;=3,"B",IF('Data Source'!V350&gt;=2,"C",IF('Data Source'!V350&gt;=1,"D","F")))))),"")</f>
        <v/>
      </c>
      <c r="E350" s="3">
        <f>IF(AND('Data Source'!B350&lt;&gt;"",'Data Source'!S350="A+"),IF('Data Source'!W350&gt;=5,"A+",IF('Data Source'!W350&gt;=4,"A",IF('Data Source'!W350&gt;=3.5,"A-",IF('Data Source'!W350&gt;=3,"B",IF('Data Source'!W350&gt;=2,"C",IF('Data Source'!W350&gt;=1,"D","F")))))),"")</f>
        <v/>
      </c>
      <c r="F350" s="3">
        <f>IF(AND('Data Source'!B350&lt;&gt;"",'Data Source'!S350="A+"),IF('Data Source'!X350&gt;=5,"A+",IF('Data Source'!X350&gt;=4,"A",IF('Data Source'!X350&gt;=3.5,"A-",IF('Data Source'!X350&gt;=3,"B",IF('Data Source'!X350&gt;=2,"C",IF('Data Source'!X350&gt;=1,"D","F")))))),"")</f>
        <v/>
      </c>
      <c r="G350" s="3">
        <f>IF(AND('Data Source'!B350&lt;&gt;"",'Data Source'!S350="A+"),IF('Data Source'!Y350&gt;=5,"A+",IF('Data Source'!Y350&gt;=4,"A",IF('Data Source'!Y350&gt;=3.5,"A-",IF('Data Source'!Y350&gt;=3,"B",IF('Data Source'!Y350&gt;=2,"C",IF('Data Source'!Y350&gt;=1,"D","F")))))),"")</f>
        <v/>
      </c>
      <c r="H350" s="3">
        <f>IF(AND('Data Source'!B350&lt;&gt;"",'Data Source'!S350="A+"),IF('Data Source'!Z350&gt;=5,"A+",IF('Data Source'!Z350&gt;=4,"A",IF('Data Source'!Z350&gt;=3.5,"A-",IF('Data Source'!Z350&gt;=3,"B",IF('Data Source'!Z350&gt;=2,"C",IF('Data Source'!Z350&gt;=1,"D","F")))))),"")</f>
        <v/>
      </c>
      <c r="I350" s="3">
        <f>IF(AND('Data Source'!B350&lt;&gt;"",'Data Source'!S350="A+"),IF('Data Source'!AA350&gt;=5,"A+",IF('Data Source'!AA350&gt;=4,"A",IF('Data Source'!AA350&gt;=3.5,"A-",IF('Data Source'!AA350&gt;=3,"B",IF('Data Source'!AA350&gt;=2,"C",IF('Data Source'!AA350&gt;=1,"D","F")))))),"")</f>
        <v/>
      </c>
      <c r="J350" s="3">
        <f>IF(AND('Data Source'!B350&lt;&gt;"",'Data Source'!S350="A+"),IF('Data Source'!AB350&gt;=5,"A+",IF('Data Source'!AB350&gt;=4,"A",IF('Data Source'!AB350&gt;=3.5,"A-",IF('Data Source'!AB350&gt;=3,"B",IF('Data Source'!AB350&gt;=2,"C",IF('Data Source'!AB350&gt;=1,"D","F")))))),"")</f>
        <v/>
      </c>
      <c r="K350" s="3">
        <f>IF(AND('Data Source'!B350&lt;&gt;"",'Data Source'!S350="A+"),IF('Data Source'!AC350&gt;=5,"A+",IF('Data Source'!AC350&gt;=4,"A",IF('Data Source'!AC350&gt;=3.5,"A-",IF('Data Source'!AC350&gt;=3,"B",IF('Data Source'!AC350&gt;=2,"C",IF('Data Source'!AC350&gt;=1,"D","F")))))),"")</f>
        <v/>
      </c>
      <c r="L350" s="3">
        <f>IF(AND('Data Source'!B350&lt;&gt;"",'Data Source'!S350="A+"),IF('Data Source'!AD350&gt;=5,"A+",IF('Data Source'!AD350&gt;=4,"A",IF('Data Source'!AD350&gt;=3.5,"A-",IF('Data Source'!AD350&gt;=3,"B",IF('Data Source'!AD350&gt;=2,"C",IF('Data Source'!AD350&gt;=1,"D","F")))))),"")</f>
        <v/>
      </c>
      <c r="M350" s="3">
        <f>IF(AND('Data Source'!B350&lt;&gt;"",'Data Source'!S350="A+"),IF('Data Source'!AE350&gt;=5,"A+",IF('Data Source'!AE350&gt;=4,"A",IF('Data Source'!AE350&gt;=3.5,"A-",IF('Data Source'!AE350&gt;=3,"B",IF('Data Source'!AE350&gt;=2,"C",IF('Data Source'!AE350&gt;=1,"D","F")))))),"")</f>
        <v/>
      </c>
      <c r="N350" s="3">
        <f>IF(AND('Data Source'!B350&lt;&gt;"",'Data Source'!S350="A+"),IF('Data Source'!AF350&gt;=5,"A+",IF('Data Source'!AF350&gt;=4,"A",IF('Data Source'!AF350&gt;=3.5,"A-",IF('Data Source'!AF350&gt;=3,"B",IF('Data Source'!AF350&gt;=2,"C",IF('Data Source'!AF350&gt;=1,"D","F")))))),"")</f>
        <v/>
      </c>
      <c r="O350" s="3">
        <f>IF(AND('Data Source'!B350&lt;&gt;"",'Data Source'!S350="A+"),IF('Data Source'!AG350&gt;=5,"A+",IF('Data Source'!AG350&gt;=4,"A",IF('Data Source'!AG350&gt;=3.5,"A-",IF('Data Source'!AG350&gt;=3,"B",IF('Data Source'!AG350&gt;=2,"C",IF('Data Source'!AG350&gt;=1,"D","F")))))),"")</f>
        <v/>
      </c>
      <c r="P350" s="5">
        <f>IF(AND('Data Source'!B350&lt;&gt;"",'Data Source'!S350="A+"),'Data Source'!R350,"")</f>
        <v/>
      </c>
      <c r="Q350" s="3">
        <f>IF(AND('Data Source'!B350&lt;&gt;"",'Data Source'!S350="A+"),'Data Source'!S350,"")</f>
        <v/>
      </c>
    </row>
    <row r="351">
      <c r="A351" s="3">
        <f>IF(AND('Data Source'!B351&lt;&gt;"",'Data Source'!S351="A+"),COUNTIF('Data Source'!$S$3:S351,"A+"),"")</f>
        <v/>
      </c>
      <c r="B351">
        <f>IF(AND('Data Source'!B351&lt;&gt;"",'Data Source'!S351="A+"),'Data Source'!B351,"")</f>
        <v/>
      </c>
      <c r="C351" s="3">
        <f>IF(AND('Data Source'!B351&lt;&gt;"",'Data Source'!S351="A+"),IF('Data Source'!U351&gt;=5,"A+",IF('Data Source'!U351&gt;=4,"A",IF('Data Source'!U351&gt;=3.5,"A-",IF('Data Source'!U351&gt;=3,"B",IF('Data Source'!U351&gt;=2,"C",IF('Data Source'!U351&gt;=1,"D","F")))))),"")</f>
        <v/>
      </c>
      <c r="D351" s="3">
        <f>IF(AND('Data Source'!B351&lt;&gt;"",'Data Source'!S351="A+"),IF('Data Source'!V351&gt;=5,"A+",IF('Data Source'!V351&gt;=4,"A",IF('Data Source'!V351&gt;=3.5,"A-",IF('Data Source'!V351&gt;=3,"B",IF('Data Source'!V351&gt;=2,"C",IF('Data Source'!V351&gt;=1,"D","F")))))),"")</f>
        <v/>
      </c>
      <c r="E351" s="3">
        <f>IF(AND('Data Source'!B351&lt;&gt;"",'Data Source'!S351="A+"),IF('Data Source'!W351&gt;=5,"A+",IF('Data Source'!W351&gt;=4,"A",IF('Data Source'!W351&gt;=3.5,"A-",IF('Data Source'!W351&gt;=3,"B",IF('Data Source'!W351&gt;=2,"C",IF('Data Source'!W351&gt;=1,"D","F")))))),"")</f>
        <v/>
      </c>
      <c r="F351" s="3">
        <f>IF(AND('Data Source'!B351&lt;&gt;"",'Data Source'!S351="A+"),IF('Data Source'!X351&gt;=5,"A+",IF('Data Source'!X351&gt;=4,"A",IF('Data Source'!X351&gt;=3.5,"A-",IF('Data Source'!X351&gt;=3,"B",IF('Data Source'!X351&gt;=2,"C",IF('Data Source'!X351&gt;=1,"D","F")))))),"")</f>
        <v/>
      </c>
      <c r="G351" s="3">
        <f>IF(AND('Data Source'!B351&lt;&gt;"",'Data Source'!S351="A+"),IF('Data Source'!Y351&gt;=5,"A+",IF('Data Source'!Y351&gt;=4,"A",IF('Data Source'!Y351&gt;=3.5,"A-",IF('Data Source'!Y351&gt;=3,"B",IF('Data Source'!Y351&gt;=2,"C",IF('Data Source'!Y351&gt;=1,"D","F")))))),"")</f>
        <v/>
      </c>
      <c r="H351" s="3">
        <f>IF(AND('Data Source'!B351&lt;&gt;"",'Data Source'!S351="A+"),IF('Data Source'!Z351&gt;=5,"A+",IF('Data Source'!Z351&gt;=4,"A",IF('Data Source'!Z351&gt;=3.5,"A-",IF('Data Source'!Z351&gt;=3,"B",IF('Data Source'!Z351&gt;=2,"C",IF('Data Source'!Z351&gt;=1,"D","F")))))),"")</f>
        <v/>
      </c>
      <c r="I351" s="3">
        <f>IF(AND('Data Source'!B351&lt;&gt;"",'Data Source'!S351="A+"),IF('Data Source'!AA351&gt;=5,"A+",IF('Data Source'!AA351&gt;=4,"A",IF('Data Source'!AA351&gt;=3.5,"A-",IF('Data Source'!AA351&gt;=3,"B",IF('Data Source'!AA351&gt;=2,"C",IF('Data Source'!AA351&gt;=1,"D","F")))))),"")</f>
        <v/>
      </c>
      <c r="J351" s="3">
        <f>IF(AND('Data Source'!B351&lt;&gt;"",'Data Source'!S351="A+"),IF('Data Source'!AB351&gt;=5,"A+",IF('Data Source'!AB351&gt;=4,"A",IF('Data Source'!AB351&gt;=3.5,"A-",IF('Data Source'!AB351&gt;=3,"B",IF('Data Source'!AB351&gt;=2,"C",IF('Data Source'!AB351&gt;=1,"D","F")))))),"")</f>
        <v/>
      </c>
      <c r="K351" s="3">
        <f>IF(AND('Data Source'!B351&lt;&gt;"",'Data Source'!S351="A+"),IF('Data Source'!AC351&gt;=5,"A+",IF('Data Source'!AC351&gt;=4,"A",IF('Data Source'!AC351&gt;=3.5,"A-",IF('Data Source'!AC351&gt;=3,"B",IF('Data Source'!AC351&gt;=2,"C",IF('Data Source'!AC351&gt;=1,"D","F")))))),"")</f>
        <v/>
      </c>
      <c r="L351" s="3">
        <f>IF(AND('Data Source'!B351&lt;&gt;"",'Data Source'!S351="A+"),IF('Data Source'!AD351&gt;=5,"A+",IF('Data Source'!AD351&gt;=4,"A",IF('Data Source'!AD351&gt;=3.5,"A-",IF('Data Source'!AD351&gt;=3,"B",IF('Data Source'!AD351&gt;=2,"C",IF('Data Source'!AD351&gt;=1,"D","F")))))),"")</f>
        <v/>
      </c>
      <c r="M351" s="3">
        <f>IF(AND('Data Source'!B351&lt;&gt;"",'Data Source'!S351="A+"),IF('Data Source'!AE351&gt;=5,"A+",IF('Data Source'!AE351&gt;=4,"A",IF('Data Source'!AE351&gt;=3.5,"A-",IF('Data Source'!AE351&gt;=3,"B",IF('Data Source'!AE351&gt;=2,"C",IF('Data Source'!AE351&gt;=1,"D","F")))))),"")</f>
        <v/>
      </c>
      <c r="N351" s="3">
        <f>IF(AND('Data Source'!B351&lt;&gt;"",'Data Source'!S351="A+"),IF('Data Source'!AF351&gt;=5,"A+",IF('Data Source'!AF351&gt;=4,"A",IF('Data Source'!AF351&gt;=3.5,"A-",IF('Data Source'!AF351&gt;=3,"B",IF('Data Source'!AF351&gt;=2,"C",IF('Data Source'!AF351&gt;=1,"D","F")))))),"")</f>
        <v/>
      </c>
      <c r="O351" s="3">
        <f>IF(AND('Data Source'!B351&lt;&gt;"",'Data Source'!S351="A+"),IF('Data Source'!AG351&gt;=5,"A+",IF('Data Source'!AG351&gt;=4,"A",IF('Data Source'!AG351&gt;=3.5,"A-",IF('Data Source'!AG351&gt;=3,"B",IF('Data Source'!AG351&gt;=2,"C",IF('Data Source'!AG351&gt;=1,"D","F")))))),"")</f>
        <v/>
      </c>
      <c r="P351" s="5">
        <f>IF(AND('Data Source'!B351&lt;&gt;"",'Data Source'!S351="A+"),'Data Source'!R351,"")</f>
        <v/>
      </c>
      <c r="Q351" s="3">
        <f>IF(AND('Data Source'!B351&lt;&gt;"",'Data Source'!S351="A+"),'Data Source'!S351,"")</f>
        <v/>
      </c>
    </row>
    <row r="352">
      <c r="A352" s="3">
        <f>IF(AND('Data Source'!B352&lt;&gt;"",'Data Source'!S352="A+"),COUNTIF('Data Source'!$S$3:S352,"A+"),"")</f>
        <v/>
      </c>
      <c r="B352">
        <f>IF(AND('Data Source'!B352&lt;&gt;"",'Data Source'!S352="A+"),'Data Source'!B352,"")</f>
        <v/>
      </c>
      <c r="C352" s="3">
        <f>IF(AND('Data Source'!B352&lt;&gt;"",'Data Source'!S352="A+"),IF('Data Source'!U352&gt;=5,"A+",IF('Data Source'!U352&gt;=4,"A",IF('Data Source'!U352&gt;=3.5,"A-",IF('Data Source'!U352&gt;=3,"B",IF('Data Source'!U352&gt;=2,"C",IF('Data Source'!U352&gt;=1,"D","F")))))),"")</f>
        <v/>
      </c>
      <c r="D352" s="3">
        <f>IF(AND('Data Source'!B352&lt;&gt;"",'Data Source'!S352="A+"),IF('Data Source'!V352&gt;=5,"A+",IF('Data Source'!V352&gt;=4,"A",IF('Data Source'!V352&gt;=3.5,"A-",IF('Data Source'!V352&gt;=3,"B",IF('Data Source'!V352&gt;=2,"C",IF('Data Source'!V352&gt;=1,"D","F")))))),"")</f>
        <v/>
      </c>
      <c r="E352" s="3">
        <f>IF(AND('Data Source'!B352&lt;&gt;"",'Data Source'!S352="A+"),IF('Data Source'!W352&gt;=5,"A+",IF('Data Source'!W352&gt;=4,"A",IF('Data Source'!W352&gt;=3.5,"A-",IF('Data Source'!W352&gt;=3,"B",IF('Data Source'!W352&gt;=2,"C",IF('Data Source'!W352&gt;=1,"D","F")))))),"")</f>
        <v/>
      </c>
      <c r="F352" s="3">
        <f>IF(AND('Data Source'!B352&lt;&gt;"",'Data Source'!S352="A+"),IF('Data Source'!X352&gt;=5,"A+",IF('Data Source'!X352&gt;=4,"A",IF('Data Source'!X352&gt;=3.5,"A-",IF('Data Source'!X352&gt;=3,"B",IF('Data Source'!X352&gt;=2,"C",IF('Data Source'!X352&gt;=1,"D","F")))))),"")</f>
        <v/>
      </c>
      <c r="G352" s="3">
        <f>IF(AND('Data Source'!B352&lt;&gt;"",'Data Source'!S352="A+"),IF('Data Source'!Y352&gt;=5,"A+",IF('Data Source'!Y352&gt;=4,"A",IF('Data Source'!Y352&gt;=3.5,"A-",IF('Data Source'!Y352&gt;=3,"B",IF('Data Source'!Y352&gt;=2,"C",IF('Data Source'!Y352&gt;=1,"D","F")))))),"")</f>
        <v/>
      </c>
      <c r="H352" s="3">
        <f>IF(AND('Data Source'!B352&lt;&gt;"",'Data Source'!S352="A+"),IF('Data Source'!Z352&gt;=5,"A+",IF('Data Source'!Z352&gt;=4,"A",IF('Data Source'!Z352&gt;=3.5,"A-",IF('Data Source'!Z352&gt;=3,"B",IF('Data Source'!Z352&gt;=2,"C",IF('Data Source'!Z352&gt;=1,"D","F")))))),"")</f>
        <v/>
      </c>
      <c r="I352" s="3">
        <f>IF(AND('Data Source'!B352&lt;&gt;"",'Data Source'!S352="A+"),IF('Data Source'!AA352&gt;=5,"A+",IF('Data Source'!AA352&gt;=4,"A",IF('Data Source'!AA352&gt;=3.5,"A-",IF('Data Source'!AA352&gt;=3,"B",IF('Data Source'!AA352&gt;=2,"C",IF('Data Source'!AA352&gt;=1,"D","F")))))),"")</f>
        <v/>
      </c>
      <c r="J352" s="3">
        <f>IF(AND('Data Source'!B352&lt;&gt;"",'Data Source'!S352="A+"),IF('Data Source'!AB352&gt;=5,"A+",IF('Data Source'!AB352&gt;=4,"A",IF('Data Source'!AB352&gt;=3.5,"A-",IF('Data Source'!AB352&gt;=3,"B",IF('Data Source'!AB352&gt;=2,"C",IF('Data Source'!AB352&gt;=1,"D","F")))))),"")</f>
        <v/>
      </c>
      <c r="K352" s="3">
        <f>IF(AND('Data Source'!B352&lt;&gt;"",'Data Source'!S352="A+"),IF('Data Source'!AC352&gt;=5,"A+",IF('Data Source'!AC352&gt;=4,"A",IF('Data Source'!AC352&gt;=3.5,"A-",IF('Data Source'!AC352&gt;=3,"B",IF('Data Source'!AC352&gt;=2,"C",IF('Data Source'!AC352&gt;=1,"D","F")))))),"")</f>
        <v/>
      </c>
      <c r="L352" s="3">
        <f>IF(AND('Data Source'!B352&lt;&gt;"",'Data Source'!S352="A+"),IF('Data Source'!AD352&gt;=5,"A+",IF('Data Source'!AD352&gt;=4,"A",IF('Data Source'!AD352&gt;=3.5,"A-",IF('Data Source'!AD352&gt;=3,"B",IF('Data Source'!AD352&gt;=2,"C",IF('Data Source'!AD352&gt;=1,"D","F")))))),"")</f>
        <v/>
      </c>
      <c r="M352" s="3">
        <f>IF(AND('Data Source'!B352&lt;&gt;"",'Data Source'!S352="A+"),IF('Data Source'!AE352&gt;=5,"A+",IF('Data Source'!AE352&gt;=4,"A",IF('Data Source'!AE352&gt;=3.5,"A-",IF('Data Source'!AE352&gt;=3,"B",IF('Data Source'!AE352&gt;=2,"C",IF('Data Source'!AE352&gt;=1,"D","F")))))),"")</f>
        <v/>
      </c>
      <c r="N352" s="3">
        <f>IF(AND('Data Source'!B352&lt;&gt;"",'Data Source'!S352="A+"),IF('Data Source'!AF352&gt;=5,"A+",IF('Data Source'!AF352&gt;=4,"A",IF('Data Source'!AF352&gt;=3.5,"A-",IF('Data Source'!AF352&gt;=3,"B",IF('Data Source'!AF352&gt;=2,"C",IF('Data Source'!AF352&gt;=1,"D","F")))))),"")</f>
        <v/>
      </c>
      <c r="O352" s="3">
        <f>IF(AND('Data Source'!B352&lt;&gt;"",'Data Source'!S352="A+"),IF('Data Source'!AG352&gt;=5,"A+",IF('Data Source'!AG352&gt;=4,"A",IF('Data Source'!AG352&gt;=3.5,"A-",IF('Data Source'!AG352&gt;=3,"B",IF('Data Source'!AG352&gt;=2,"C",IF('Data Source'!AG352&gt;=1,"D","F")))))),"")</f>
        <v/>
      </c>
      <c r="P352" s="5">
        <f>IF(AND('Data Source'!B352&lt;&gt;"",'Data Source'!S352="A+"),'Data Source'!R352,"")</f>
        <v/>
      </c>
      <c r="Q352" s="3">
        <f>IF(AND('Data Source'!B352&lt;&gt;"",'Data Source'!S352="A+"),'Data Source'!S352,"")</f>
        <v/>
      </c>
    </row>
    <row r="353">
      <c r="A353" s="3">
        <f>IF(AND('Data Source'!B353&lt;&gt;"",'Data Source'!S353="A+"),COUNTIF('Data Source'!$S$3:S353,"A+"),"")</f>
        <v/>
      </c>
      <c r="B353">
        <f>IF(AND('Data Source'!B353&lt;&gt;"",'Data Source'!S353="A+"),'Data Source'!B353,"")</f>
        <v/>
      </c>
      <c r="C353" s="3">
        <f>IF(AND('Data Source'!B353&lt;&gt;"",'Data Source'!S353="A+"),IF('Data Source'!U353&gt;=5,"A+",IF('Data Source'!U353&gt;=4,"A",IF('Data Source'!U353&gt;=3.5,"A-",IF('Data Source'!U353&gt;=3,"B",IF('Data Source'!U353&gt;=2,"C",IF('Data Source'!U353&gt;=1,"D","F")))))),"")</f>
        <v/>
      </c>
      <c r="D353" s="3">
        <f>IF(AND('Data Source'!B353&lt;&gt;"",'Data Source'!S353="A+"),IF('Data Source'!V353&gt;=5,"A+",IF('Data Source'!V353&gt;=4,"A",IF('Data Source'!V353&gt;=3.5,"A-",IF('Data Source'!V353&gt;=3,"B",IF('Data Source'!V353&gt;=2,"C",IF('Data Source'!V353&gt;=1,"D","F")))))),"")</f>
        <v/>
      </c>
      <c r="E353" s="3">
        <f>IF(AND('Data Source'!B353&lt;&gt;"",'Data Source'!S353="A+"),IF('Data Source'!W353&gt;=5,"A+",IF('Data Source'!W353&gt;=4,"A",IF('Data Source'!W353&gt;=3.5,"A-",IF('Data Source'!W353&gt;=3,"B",IF('Data Source'!W353&gt;=2,"C",IF('Data Source'!W353&gt;=1,"D","F")))))),"")</f>
        <v/>
      </c>
      <c r="F353" s="3">
        <f>IF(AND('Data Source'!B353&lt;&gt;"",'Data Source'!S353="A+"),IF('Data Source'!X353&gt;=5,"A+",IF('Data Source'!X353&gt;=4,"A",IF('Data Source'!X353&gt;=3.5,"A-",IF('Data Source'!X353&gt;=3,"B",IF('Data Source'!X353&gt;=2,"C",IF('Data Source'!X353&gt;=1,"D","F")))))),"")</f>
        <v/>
      </c>
      <c r="G353" s="3">
        <f>IF(AND('Data Source'!B353&lt;&gt;"",'Data Source'!S353="A+"),IF('Data Source'!Y353&gt;=5,"A+",IF('Data Source'!Y353&gt;=4,"A",IF('Data Source'!Y353&gt;=3.5,"A-",IF('Data Source'!Y353&gt;=3,"B",IF('Data Source'!Y353&gt;=2,"C",IF('Data Source'!Y353&gt;=1,"D","F")))))),"")</f>
        <v/>
      </c>
      <c r="H353" s="3">
        <f>IF(AND('Data Source'!B353&lt;&gt;"",'Data Source'!S353="A+"),IF('Data Source'!Z353&gt;=5,"A+",IF('Data Source'!Z353&gt;=4,"A",IF('Data Source'!Z353&gt;=3.5,"A-",IF('Data Source'!Z353&gt;=3,"B",IF('Data Source'!Z353&gt;=2,"C",IF('Data Source'!Z353&gt;=1,"D","F")))))),"")</f>
        <v/>
      </c>
      <c r="I353" s="3">
        <f>IF(AND('Data Source'!B353&lt;&gt;"",'Data Source'!S353="A+"),IF('Data Source'!AA353&gt;=5,"A+",IF('Data Source'!AA353&gt;=4,"A",IF('Data Source'!AA353&gt;=3.5,"A-",IF('Data Source'!AA353&gt;=3,"B",IF('Data Source'!AA353&gt;=2,"C",IF('Data Source'!AA353&gt;=1,"D","F")))))),"")</f>
        <v/>
      </c>
      <c r="J353" s="3">
        <f>IF(AND('Data Source'!B353&lt;&gt;"",'Data Source'!S353="A+"),IF('Data Source'!AB353&gt;=5,"A+",IF('Data Source'!AB353&gt;=4,"A",IF('Data Source'!AB353&gt;=3.5,"A-",IF('Data Source'!AB353&gt;=3,"B",IF('Data Source'!AB353&gt;=2,"C",IF('Data Source'!AB353&gt;=1,"D","F")))))),"")</f>
        <v/>
      </c>
      <c r="K353" s="3">
        <f>IF(AND('Data Source'!B353&lt;&gt;"",'Data Source'!S353="A+"),IF('Data Source'!AC353&gt;=5,"A+",IF('Data Source'!AC353&gt;=4,"A",IF('Data Source'!AC353&gt;=3.5,"A-",IF('Data Source'!AC353&gt;=3,"B",IF('Data Source'!AC353&gt;=2,"C",IF('Data Source'!AC353&gt;=1,"D","F")))))),"")</f>
        <v/>
      </c>
      <c r="L353" s="3">
        <f>IF(AND('Data Source'!B353&lt;&gt;"",'Data Source'!S353="A+"),IF('Data Source'!AD353&gt;=5,"A+",IF('Data Source'!AD353&gt;=4,"A",IF('Data Source'!AD353&gt;=3.5,"A-",IF('Data Source'!AD353&gt;=3,"B",IF('Data Source'!AD353&gt;=2,"C",IF('Data Source'!AD353&gt;=1,"D","F")))))),"")</f>
        <v/>
      </c>
      <c r="M353" s="3">
        <f>IF(AND('Data Source'!B353&lt;&gt;"",'Data Source'!S353="A+"),IF('Data Source'!AE353&gt;=5,"A+",IF('Data Source'!AE353&gt;=4,"A",IF('Data Source'!AE353&gt;=3.5,"A-",IF('Data Source'!AE353&gt;=3,"B",IF('Data Source'!AE353&gt;=2,"C",IF('Data Source'!AE353&gt;=1,"D","F")))))),"")</f>
        <v/>
      </c>
      <c r="N353" s="3">
        <f>IF(AND('Data Source'!B353&lt;&gt;"",'Data Source'!S353="A+"),IF('Data Source'!AF353&gt;=5,"A+",IF('Data Source'!AF353&gt;=4,"A",IF('Data Source'!AF353&gt;=3.5,"A-",IF('Data Source'!AF353&gt;=3,"B",IF('Data Source'!AF353&gt;=2,"C",IF('Data Source'!AF353&gt;=1,"D","F")))))),"")</f>
        <v/>
      </c>
      <c r="O353" s="3">
        <f>IF(AND('Data Source'!B353&lt;&gt;"",'Data Source'!S353="A+"),IF('Data Source'!AG353&gt;=5,"A+",IF('Data Source'!AG353&gt;=4,"A",IF('Data Source'!AG353&gt;=3.5,"A-",IF('Data Source'!AG353&gt;=3,"B",IF('Data Source'!AG353&gt;=2,"C",IF('Data Source'!AG353&gt;=1,"D","F")))))),"")</f>
        <v/>
      </c>
      <c r="P353" s="5">
        <f>IF(AND('Data Source'!B353&lt;&gt;"",'Data Source'!S353="A+"),'Data Source'!R353,"")</f>
        <v/>
      </c>
      <c r="Q353" s="3">
        <f>IF(AND('Data Source'!B353&lt;&gt;"",'Data Source'!S353="A+"),'Data Source'!S353,"")</f>
        <v/>
      </c>
    </row>
    <row r="354">
      <c r="A354" s="3">
        <f>IF(AND('Data Source'!B354&lt;&gt;"",'Data Source'!S354="A+"),COUNTIF('Data Source'!$S$3:S354,"A+"),"")</f>
        <v/>
      </c>
      <c r="B354">
        <f>IF(AND('Data Source'!B354&lt;&gt;"",'Data Source'!S354="A+"),'Data Source'!B354,"")</f>
        <v/>
      </c>
      <c r="C354" s="3">
        <f>IF(AND('Data Source'!B354&lt;&gt;"",'Data Source'!S354="A+"),IF('Data Source'!U354&gt;=5,"A+",IF('Data Source'!U354&gt;=4,"A",IF('Data Source'!U354&gt;=3.5,"A-",IF('Data Source'!U354&gt;=3,"B",IF('Data Source'!U354&gt;=2,"C",IF('Data Source'!U354&gt;=1,"D","F")))))),"")</f>
        <v/>
      </c>
      <c r="D354" s="3">
        <f>IF(AND('Data Source'!B354&lt;&gt;"",'Data Source'!S354="A+"),IF('Data Source'!V354&gt;=5,"A+",IF('Data Source'!V354&gt;=4,"A",IF('Data Source'!V354&gt;=3.5,"A-",IF('Data Source'!V354&gt;=3,"B",IF('Data Source'!V354&gt;=2,"C",IF('Data Source'!V354&gt;=1,"D","F")))))),"")</f>
        <v/>
      </c>
      <c r="E354" s="3">
        <f>IF(AND('Data Source'!B354&lt;&gt;"",'Data Source'!S354="A+"),IF('Data Source'!W354&gt;=5,"A+",IF('Data Source'!W354&gt;=4,"A",IF('Data Source'!W354&gt;=3.5,"A-",IF('Data Source'!W354&gt;=3,"B",IF('Data Source'!W354&gt;=2,"C",IF('Data Source'!W354&gt;=1,"D","F")))))),"")</f>
        <v/>
      </c>
      <c r="F354" s="3">
        <f>IF(AND('Data Source'!B354&lt;&gt;"",'Data Source'!S354="A+"),IF('Data Source'!X354&gt;=5,"A+",IF('Data Source'!X354&gt;=4,"A",IF('Data Source'!X354&gt;=3.5,"A-",IF('Data Source'!X354&gt;=3,"B",IF('Data Source'!X354&gt;=2,"C",IF('Data Source'!X354&gt;=1,"D","F")))))),"")</f>
        <v/>
      </c>
      <c r="G354" s="3">
        <f>IF(AND('Data Source'!B354&lt;&gt;"",'Data Source'!S354="A+"),IF('Data Source'!Y354&gt;=5,"A+",IF('Data Source'!Y354&gt;=4,"A",IF('Data Source'!Y354&gt;=3.5,"A-",IF('Data Source'!Y354&gt;=3,"B",IF('Data Source'!Y354&gt;=2,"C",IF('Data Source'!Y354&gt;=1,"D","F")))))),"")</f>
        <v/>
      </c>
      <c r="H354" s="3">
        <f>IF(AND('Data Source'!B354&lt;&gt;"",'Data Source'!S354="A+"),IF('Data Source'!Z354&gt;=5,"A+",IF('Data Source'!Z354&gt;=4,"A",IF('Data Source'!Z354&gt;=3.5,"A-",IF('Data Source'!Z354&gt;=3,"B",IF('Data Source'!Z354&gt;=2,"C",IF('Data Source'!Z354&gt;=1,"D","F")))))),"")</f>
        <v/>
      </c>
      <c r="I354" s="3">
        <f>IF(AND('Data Source'!B354&lt;&gt;"",'Data Source'!S354="A+"),IF('Data Source'!AA354&gt;=5,"A+",IF('Data Source'!AA354&gt;=4,"A",IF('Data Source'!AA354&gt;=3.5,"A-",IF('Data Source'!AA354&gt;=3,"B",IF('Data Source'!AA354&gt;=2,"C",IF('Data Source'!AA354&gt;=1,"D","F")))))),"")</f>
        <v/>
      </c>
      <c r="J354" s="3">
        <f>IF(AND('Data Source'!B354&lt;&gt;"",'Data Source'!S354="A+"),IF('Data Source'!AB354&gt;=5,"A+",IF('Data Source'!AB354&gt;=4,"A",IF('Data Source'!AB354&gt;=3.5,"A-",IF('Data Source'!AB354&gt;=3,"B",IF('Data Source'!AB354&gt;=2,"C",IF('Data Source'!AB354&gt;=1,"D","F")))))),"")</f>
        <v/>
      </c>
      <c r="K354" s="3">
        <f>IF(AND('Data Source'!B354&lt;&gt;"",'Data Source'!S354="A+"),IF('Data Source'!AC354&gt;=5,"A+",IF('Data Source'!AC354&gt;=4,"A",IF('Data Source'!AC354&gt;=3.5,"A-",IF('Data Source'!AC354&gt;=3,"B",IF('Data Source'!AC354&gt;=2,"C",IF('Data Source'!AC354&gt;=1,"D","F")))))),"")</f>
        <v/>
      </c>
      <c r="L354" s="3">
        <f>IF(AND('Data Source'!B354&lt;&gt;"",'Data Source'!S354="A+"),IF('Data Source'!AD354&gt;=5,"A+",IF('Data Source'!AD354&gt;=4,"A",IF('Data Source'!AD354&gt;=3.5,"A-",IF('Data Source'!AD354&gt;=3,"B",IF('Data Source'!AD354&gt;=2,"C",IF('Data Source'!AD354&gt;=1,"D","F")))))),"")</f>
        <v/>
      </c>
      <c r="M354" s="3">
        <f>IF(AND('Data Source'!B354&lt;&gt;"",'Data Source'!S354="A+"),IF('Data Source'!AE354&gt;=5,"A+",IF('Data Source'!AE354&gt;=4,"A",IF('Data Source'!AE354&gt;=3.5,"A-",IF('Data Source'!AE354&gt;=3,"B",IF('Data Source'!AE354&gt;=2,"C",IF('Data Source'!AE354&gt;=1,"D","F")))))),"")</f>
        <v/>
      </c>
      <c r="N354" s="3">
        <f>IF(AND('Data Source'!B354&lt;&gt;"",'Data Source'!S354="A+"),IF('Data Source'!AF354&gt;=5,"A+",IF('Data Source'!AF354&gt;=4,"A",IF('Data Source'!AF354&gt;=3.5,"A-",IF('Data Source'!AF354&gt;=3,"B",IF('Data Source'!AF354&gt;=2,"C",IF('Data Source'!AF354&gt;=1,"D","F")))))),"")</f>
        <v/>
      </c>
      <c r="O354" s="3">
        <f>IF(AND('Data Source'!B354&lt;&gt;"",'Data Source'!S354="A+"),IF('Data Source'!AG354&gt;=5,"A+",IF('Data Source'!AG354&gt;=4,"A",IF('Data Source'!AG354&gt;=3.5,"A-",IF('Data Source'!AG354&gt;=3,"B",IF('Data Source'!AG354&gt;=2,"C",IF('Data Source'!AG354&gt;=1,"D","F")))))),"")</f>
        <v/>
      </c>
      <c r="P354" s="5">
        <f>IF(AND('Data Source'!B354&lt;&gt;"",'Data Source'!S354="A+"),'Data Source'!R354,"")</f>
        <v/>
      </c>
      <c r="Q354" s="3">
        <f>IF(AND('Data Source'!B354&lt;&gt;"",'Data Source'!S354="A+"),'Data Source'!S354,"")</f>
        <v/>
      </c>
    </row>
    <row r="355">
      <c r="A355" s="3">
        <f>IF(AND('Data Source'!B355&lt;&gt;"",'Data Source'!S355="A+"),COUNTIF('Data Source'!$S$3:S355,"A+"),"")</f>
        <v/>
      </c>
      <c r="B355">
        <f>IF(AND('Data Source'!B355&lt;&gt;"",'Data Source'!S355="A+"),'Data Source'!B355,"")</f>
        <v/>
      </c>
      <c r="C355" s="3">
        <f>IF(AND('Data Source'!B355&lt;&gt;"",'Data Source'!S355="A+"),IF('Data Source'!U355&gt;=5,"A+",IF('Data Source'!U355&gt;=4,"A",IF('Data Source'!U355&gt;=3.5,"A-",IF('Data Source'!U355&gt;=3,"B",IF('Data Source'!U355&gt;=2,"C",IF('Data Source'!U355&gt;=1,"D","F")))))),"")</f>
        <v/>
      </c>
      <c r="D355" s="3">
        <f>IF(AND('Data Source'!B355&lt;&gt;"",'Data Source'!S355="A+"),IF('Data Source'!V355&gt;=5,"A+",IF('Data Source'!V355&gt;=4,"A",IF('Data Source'!V355&gt;=3.5,"A-",IF('Data Source'!V355&gt;=3,"B",IF('Data Source'!V355&gt;=2,"C",IF('Data Source'!V355&gt;=1,"D","F")))))),"")</f>
        <v/>
      </c>
      <c r="E355" s="3">
        <f>IF(AND('Data Source'!B355&lt;&gt;"",'Data Source'!S355="A+"),IF('Data Source'!W355&gt;=5,"A+",IF('Data Source'!W355&gt;=4,"A",IF('Data Source'!W355&gt;=3.5,"A-",IF('Data Source'!W355&gt;=3,"B",IF('Data Source'!W355&gt;=2,"C",IF('Data Source'!W355&gt;=1,"D","F")))))),"")</f>
        <v/>
      </c>
      <c r="F355" s="3">
        <f>IF(AND('Data Source'!B355&lt;&gt;"",'Data Source'!S355="A+"),IF('Data Source'!X355&gt;=5,"A+",IF('Data Source'!X355&gt;=4,"A",IF('Data Source'!X355&gt;=3.5,"A-",IF('Data Source'!X355&gt;=3,"B",IF('Data Source'!X355&gt;=2,"C",IF('Data Source'!X355&gt;=1,"D","F")))))),"")</f>
        <v/>
      </c>
      <c r="G355" s="3">
        <f>IF(AND('Data Source'!B355&lt;&gt;"",'Data Source'!S355="A+"),IF('Data Source'!Y355&gt;=5,"A+",IF('Data Source'!Y355&gt;=4,"A",IF('Data Source'!Y355&gt;=3.5,"A-",IF('Data Source'!Y355&gt;=3,"B",IF('Data Source'!Y355&gt;=2,"C",IF('Data Source'!Y355&gt;=1,"D","F")))))),"")</f>
        <v/>
      </c>
      <c r="H355" s="3">
        <f>IF(AND('Data Source'!B355&lt;&gt;"",'Data Source'!S355="A+"),IF('Data Source'!Z355&gt;=5,"A+",IF('Data Source'!Z355&gt;=4,"A",IF('Data Source'!Z355&gt;=3.5,"A-",IF('Data Source'!Z355&gt;=3,"B",IF('Data Source'!Z355&gt;=2,"C",IF('Data Source'!Z355&gt;=1,"D","F")))))),"")</f>
        <v/>
      </c>
      <c r="I355" s="3">
        <f>IF(AND('Data Source'!B355&lt;&gt;"",'Data Source'!S355="A+"),IF('Data Source'!AA355&gt;=5,"A+",IF('Data Source'!AA355&gt;=4,"A",IF('Data Source'!AA355&gt;=3.5,"A-",IF('Data Source'!AA355&gt;=3,"B",IF('Data Source'!AA355&gt;=2,"C",IF('Data Source'!AA355&gt;=1,"D","F")))))),"")</f>
        <v/>
      </c>
      <c r="J355" s="3">
        <f>IF(AND('Data Source'!B355&lt;&gt;"",'Data Source'!S355="A+"),IF('Data Source'!AB355&gt;=5,"A+",IF('Data Source'!AB355&gt;=4,"A",IF('Data Source'!AB355&gt;=3.5,"A-",IF('Data Source'!AB355&gt;=3,"B",IF('Data Source'!AB355&gt;=2,"C",IF('Data Source'!AB355&gt;=1,"D","F")))))),"")</f>
        <v/>
      </c>
      <c r="K355" s="3">
        <f>IF(AND('Data Source'!B355&lt;&gt;"",'Data Source'!S355="A+"),IF('Data Source'!AC355&gt;=5,"A+",IF('Data Source'!AC355&gt;=4,"A",IF('Data Source'!AC355&gt;=3.5,"A-",IF('Data Source'!AC355&gt;=3,"B",IF('Data Source'!AC355&gt;=2,"C",IF('Data Source'!AC355&gt;=1,"D","F")))))),"")</f>
        <v/>
      </c>
      <c r="L355" s="3">
        <f>IF(AND('Data Source'!B355&lt;&gt;"",'Data Source'!S355="A+"),IF('Data Source'!AD355&gt;=5,"A+",IF('Data Source'!AD355&gt;=4,"A",IF('Data Source'!AD355&gt;=3.5,"A-",IF('Data Source'!AD355&gt;=3,"B",IF('Data Source'!AD355&gt;=2,"C",IF('Data Source'!AD355&gt;=1,"D","F")))))),"")</f>
        <v/>
      </c>
      <c r="M355" s="3">
        <f>IF(AND('Data Source'!B355&lt;&gt;"",'Data Source'!S355="A+"),IF('Data Source'!AE355&gt;=5,"A+",IF('Data Source'!AE355&gt;=4,"A",IF('Data Source'!AE355&gt;=3.5,"A-",IF('Data Source'!AE355&gt;=3,"B",IF('Data Source'!AE355&gt;=2,"C",IF('Data Source'!AE355&gt;=1,"D","F")))))),"")</f>
        <v/>
      </c>
      <c r="N355" s="3">
        <f>IF(AND('Data Source'!B355&lt;&gt;"",'Data Source'!S355="A+"),IF('Data Source'!AF355&gt;=5,"A+",IF('Data Source'!AF355&gt;=4,"A",IF('Data Source'!AF355&gt;=3.5,"A-",IF('Data Source'!AF355&gt;=3,"B",IF('Data Source'!AF355&gt;=2,"C",IF('Data Source'!AF355&gt;=1,"D","F")))))),"")</f>
        <v/>
      </c>
      <c r="O355" s="3">
        <f>IF(AND('Data Source'!B355&lt;&gt;"",'Data Source'!S355="A+"),IF('Data Source'!AG355&gt;=5,"A+",IF('Data Source'!AG355&gt;=4,"A",IF('Data Source'!AG355&gt;=3.5,"A-",IF('Data Source'!AG355&gt;=3,"B",IF('Data Source'!AG355&gt;=2,"C",IF('Data Source'!AG355&gt;=1,"D","F")))))),"")</f>
        <v/>
      </c>
      <c r="P355" s="5">
        <f>IF(AND('Data Source'!B355&lt;&gt;"",'Data Source'!S355="A+"),'Data Source'!R355,"")</f>
        <v/>
      </c>
      <c r="Q355" s="3">
        <f>IF(AND('Data Source'!B355&lt;&gt;"",'Data Source'!S355="A+"),'Data Source'!S355,"")</f>
        <v/>
      </c>
    </row>
    <row r="356">
      <c r="A356" s="3">
        <f>IF(AND('Data Source'!B356&lt;&gt;"",'Data Source'!S356="A+"),COUNTIF('Data Source'!$S$3:S356,"A+"),"")</f>
        <v/>
      </c>
      <c r="B356">
        <f>IF(AND('Data Source'!B356&lt;&gt;"",'Data Source'!S356="A+"),'Data Source'!B356,"")</f>
        <v/>
      </c>
      <c r="C356" s="3">
        <f>IF(AND('Data Source'!B356&lt;&gt;"",'Data Source'!S356="A+"),IF('Data Source'!U356&gt;=5,"A+",IF('Data Source'!U356&gt;=4,"A",IF('Data Source'!U356&gt;=3.5,"A-",IF('Data Source'!U356&gt;=3,"B",IF('Data Source'!U356&gt;=2,"C",IF('Data Source'!U356&gt;=1,"D","F")))))),"")</f>
        <v/>
      </c>
      <c r="D356" s="3">
        <f>IF(AND('Data Source'!B356&lt;&gt;"",'Data Source'!S356="A+"),IF('Data Source'!V356&gt;=5,"A+",IF('Data Source'!V356&gt;=4,"A",IF('Data Source'!V356&gt;=3.5,"A-",IF('Data Source'!V356&gt;=3,"B",IF('Data Source'!V356&gt;=2,"C",IF('Data Source'!V356&gt;=1,"D","F")))))),"")</f>
        <v/>
      </c>
      <c r="E356" s="3">
        <f>IF(AND('Data Source'!B356&lt;&gt;"",'Data Source'!S356="A+"),IF('Data Source'!W356&gt;=5,"A+",IF('Data Source'!W356&gt;=4,"A",IF('Data Source'!W356&gt;=3.5,"A-",IF('Data Source'!W356&gt;=3,"B",IF('Data Source'!W356&gt;=2,"C",IF('Data Source'!W356&gt;=1,"D","F")))))),"")</f>
        <v/>
      </c>
      <c r="F356" s="3">
        <f>IF(AND('Data Source'!B356&lt;&gt;"",'Data Source'!S356="A+"),IF('Data Source'!X356&gt;=5,"A+",IF('Data Source'!X356&gt;=4,"A",IF('Data Source'!X356&gt;=3.5,"A-",IF('Data Source'!X356&gt;=3,"B",IF('Data Source'!X356&gt;=2,"C",IF('Data Source'!X356&gt;=1,"D","F")))))),"")</f>
        <v/>
      </c>
      <c r="G356" s="3">
        <f>IF(AND('Data Source'!B356&lt;&gt;"",'Data Source'!S356="A+"),IF('Data Source'!Y356&gt;=5,"A+",IF('Data Source'!Y356&gt;=4,"A",IF('Data Source'!Y356&gt;=3.5,"A-",IF('Data Source'!Y356&gt;=3,"B",IF('Data Source'!Y356&gt;=2,"C",IF('Data Source'!Y356&gt;=1,"D","F")))))),"")</f>
        <v/>
      </c>
      <c r="H356" s="3">
        <f>IF(AND('Data Source'!B356&lt;&gt;"",'Data Source'!S356="A+"),IF('Data Source'!Z356&gt;=5,"A+",IF('Data Source'!Z356&gt;=4,"A",IF('Data Source'!Z356&gt;=3.5,"A-",IF('Data Source'!Z356&gt;=3,"B",IF('Data Source'!Z356&gt;=2,"C",IF('Data Source'!Z356&gt;=1,"D","F")))))),"")</f>
        <v/>
      </c>
      <c r="I356" s="3">
        <f>IF(AND('Data Source'!B356&lt;&gt;"",'Data Source'!S356="A+"),IF('Data Source'!AA356&gt;=5,"A+",IF('Data Source'!AA356&gt;=4,"A",IF('Data Source'!AA356&gt;=3.5,"A-",IF('Data Source'!AA356&gt;=3,"B",IF('Data Source'!AA356&gt;=2,"C",IF('Data Source'!AA356&gt;=1,"D","F")))))),"")</f>
        <v/>
      </c>
      <c r="J356" s="3">
        <f>IF(AND('Data Source'!B356&lt;&gt;"",'Data Source'!S356="A+"),IF('Data Source'!AB356&gt;=5,"A+",IF('Data Source'!AB356&gt;=4,"A",IF('Data Source'!AB356&gt;=3.5,"A-",IF('Data Source'!AB356&gt;=3,"B",IF('Data Source'!AB356&gt;=2,"C",IF('Data Source'!AB356&gt;=1,"D","F")))))),"")</f>
        <v/>
      </c>
      <c r="K356" s="3">
        <f>IF(AND('Data Source'!B356&lt;&gt;"",'Data Source'!S356="A+"),IF('Data Source'!AC356&gt;=5,"A+",IF('Data Source'!AC356&gt;=4,"A",IF('Data Source'!AC356&gt;=3.5,"A-",IF('Data Source'!AC356&gt;=3,"B",IF('Data Source'!AC356&gt;=2,"C",IF('Data Source'!AC356&gt;=1,"D","F")))))),"")</f>
        <v/>
      </c>
      <c r="L356" s="3">
        <f>IF(AND('Data Source'!B356&lt;&gt;"",'Data Source'!S356="A+"),IF('Data Source'!AD356&gt;=5,"A+",IF('Data Source'!AD356&gt;=4,"A",IF('Data Source'!AD356&gt;=3.5,"A-",IF('Data Source'!AD356&gt;=3,"B",IF('Data Source'!AD356&gt;=2,"C",IF('Data Source'!AD356&gt;=1,"D","F")))))),"")</f>
        <v/>
      </c>
      <c r="M356" s="3">
        <f>IF(AND('Data Source'!B356&lt;&gt;"",'Data Source'!S356="A+"),IF('Data Source'!AE356&gt;=5,"A+",IF('Data Source'!AE356&gt;=4,"A",IF('Data Source'!AE356&gt;=3.5,"A-",IF('Data Source'!AE356&gt;=3,"B",IF('Data Source'!AE356&gt;=2,"C",IF('Data Source'!AE356&gt;=1,"D","F")))))),"")</f>
        <v/>
      </c>
      <c r="N356" s="3">
        <f>IF(AND('Data Source'!B356&lt;&gt;"",'Data Source'!S356="A+"),IF('Data Source'!AF356&gt;=5,"A+",IF('Data Source'!AF356&gt;=4,"A",IF('Data Source'!AF356&gt;=3.5,"A-",IF('Data Source'!AF356&gt;=3,"B",IF('Data Source'!AF356&gt;=2,"C",IF('Data Source'!AF356&gt;=1,"D","F")))))),"")</f>
        <v/>
      </c>
      <c r="O356" s="3">
        <f>IF(AND('Data Source'!B356&lt;&gt;"",'Data Source'!S356="A+"),IF('Data Source'!AG356&gt;=5,"A+",IF('Data Source'!AG356&gt;=4,"A",IF('Data Source'!AG356&gt;=3.5,"A-",IF('Data Source'!AG356&gt;=3,"B",IF('Data Source'!AG356&gt;=2,"C",IF('Data Source'!AG356&gt;=1,"D","F")))))),"")</f>
        <v/>
      </c>
      <c r="P356" s="5">
        <f>IF(AND('Data Source'!B356&lt;&gt;"",'Data Source'!S356="A+"),'Data Source'!R356,"")</f>
        <v/>
      </c>
      <c r="Q356" s="3">
        <f>IF(AND('Data Source'!B356&lt;&gt;"",'Data Source'!S356="A+"),'Data Source'!S356,"")</f>
        <v/>
      </c>
    </row>
    <row r="357">
      <c r="A357" s="3">
        <f>IF(AND('Data Source'!B357&lt;&gt;"",'Data Source'!S357="A+"),COUNTIF('Data Source'!$S$3:S357,"A+"),"")</f>
        <v/>
      </c>
      <c r="B357">
        <f>IF(AND('Data Source'!B357&lt;&gt;"",'Data Source'!S357="A+"),'Data Source'!B357,"")</f>
        <v/>
      </c>
      <c r="C357" s="3">
        <f>IF(AND('Data Source'!B357&lt;&gt;"",'Data Source'!S357="A+"),IF('Data Source'!U357&gt;=5,"A+",IF('Data Source'!U357&gt;=4,"A",IF('Data Source'!U357&gt;=3.5,"A-",IF('Data Source'!U357&gt;=3,"B",IF('Data Source'!U357&gt;=2,"C",IF('Data Source'!U357&gt;=1,"D","F")))))),"")</f>
        <v/>
      </c>
      <c r="D357" s="3">
        <f>IF(AND('Data Source'!B357&lt;&gt;"",'Data Source'!S357="A+"),IF('Data Source'!V357&gt;=5,"A+",IF('Data Source'!V357&gt;=4,"A",IF('Data Source'!V357&gt;=3.5,"A-",IF('Data Source'!V357&gt;=3,"B",IF('Data Source'!V357&gt;=2,"C",IF('Data Source'!V357&gt;=1,"D","F")))))),"")</f>
        <v/>
      </c>
      <c r="E357" s="3">
        <f>IF(AND('Data Source'!B357&lt;&gt;"",'Data Source'!S357="A+"),IF('Data Source'!W357&gt;=5,"A+",IF('Data Source'!W357&gt;=4,"A",IF('Data Source'!W357&gt;=3.5,"A-",IF('Data Source'!W357&gt;=3,"B",IF('Data Source'!W357&gt;=2,"C",IF('Data Source'!W357&gt;=1,"D","F")))))),"")</f>
        <v/>
      </c>
      <c r="F357" s="3">
        <f>IF(AND('Data Source'!B357&lt;&gt;"",'Data Source'!S357="A+"),IF('Data Source'!X357&gt;=5,"A+",IF('Data Source'!X357&gt;=4,"A",IF('Data Source'!X357&gt;=3.5,"A-",IF('Data Source'!X357&gt;=3,"B",IF('Data Source'!X357&gt;=2,"C",IF('Data Source'!X357&gt;=1,"D","F")))))),"")</f>
        <v/>
      </c>
      <c r="G357" s="3">
        <f>IF(AND('Data Source'!B357&lt;&gt;"",'Data Source'!S357="A+"),IF('Data Source'!Y357&gt;=5,"A+",IF('Data Source'!Y357&gt;=4,"A",IF('Data Source'!Y357&gt;=3.5,"A-",IF('Data Source'!Y357&gt;=3,"B",IF('Data Source'!Y357&gt;=2,"C",IF('Data Source'!Y357&gt;=1,"D","F")))))),"")</f>
        <v/>
      </c>
      <c r="H357" s="3">
        <f>IF(AND('Data Source'!B357&lt;&gt;"",'Data Source'!S357="A+"),IF('Data Source'!Z357&gt;=5,"A+",IF('Data Source'!Z357&gt;=4,"A",IF('Data Source'!Z357&gt;=3.5,"A-",IF('Data Source'!Z357&gt;=3,"B",IF('Data Source'!Z357&gt;=2,"C",IF('Data Source'!Z357&gt;=1,"D","F")))))),"")</f>
        <v/>
      </c>
      <c r="I357" s="3">
        <f>IF(AND('Data Source'!B357&lt;&gt;"",'Data Source'!S357="A+"),IF('Data Source'!AA357&gt;=5,"A+",IF('Data Source'!AA357&gt;=4,"A",IF('Data Source'!AA357&gt;=3.5,"A-",IF('Data Source'!AA357&gt;=3,"B",IF('Data Source'!AA357&gt;=2,"C",IF('Data Source'!AA357&gt;=1,"D","F")))))),"")</f>
        <v/>
      </c>
      <c r="J357" s="3">
        <f>IF(AND('Data Source'!B357&lt;&gt;"",'Data Source'!S357="A+"),IF('Data Source'!AB357&gt;=5,"A+",IF('Data Source'!AB357&gt;=4,"A",IF('Data Source'!AB357&gt;=3.5,"A-",IF('Data Source'!AB357&gt;=3,"B",IF('Data Source'!AB357&gt;=2,"C",IF('Data Source'!AB357&gt;=1,"D","F")))))),"")</f>
        <v/>
      </c>
      <c r="K357" s="3">
        <f>IF(AND('Data Source'!B357&lt;&gt;"",'Data Source'!S357="A+"),IF('Data Source'!AC357&gt;=5,"A+",IF('Data Source'!AC357&gt;=4,"A",IF('Data Source'!AC357&gt;=3.5,"A-",IF('Data Source'!AC357&gt;=3,"B",IF('Data Source'!AC357&gt;=2,"C",IF('Data Source'!AC357&gt;=1,"D","F")))))),"")</f>
        <v/>
      </c>
      <c r="L357" s="3">
        <f>IF(AND('Data Source'!B357&lt;&gt;"",'Data Source'!S357="A+"),IF('Data Source'!AD357&gt;=5,"A+",IF('Data Source'!AD357&gt;=4,"A",IF('Data Source'!AD357&gt;=3.5,"A-",IF('Data Source'!AD357&gt;=3,"B",IF('Data Source'!AD357&gt;=2,"C",IF('Data Source'!AD357&gt;=1,"D","F")))))),"")</f>
        <v/>
      </c>
      <c r="M357" s="3">
        <f>IF(AND('Data Source'!B357&lt;&gt;"",'Data Source'!S357="A+"),IF('Data Source'!AE357&gt;=5,"A+",IF('Data Source'!AE357&gt;=4,"A",IF('Data Source'!AE357&gt;=3.5,"A-",IF('Data Source'!AE357&gt;=3,"B",IF('Data Source'!AE357&gt;=2,"C",IF('Data Source'!AE357&gt;=1,"D","F")))))),"")</f>
        <v/>
      </c>
      <c r="N357" s="3">
        <f>IF(AND('Data Source'!B357&lt;&gt;"",'Data Source'!S357="A+"),IF('Data Source'!AF357&gt;=5,"A+",IF('Data Source'!AF357&gt;=4,"A",IF('Data Source'!AF357&gt;=3.5,"A-",IF('Data Source'!AF357&gt;=3,"B",IF('Data Source'!AF357&gt;=2,"C",IF('Data Source'!AF357&gt;=1,"D","F")))))),"")</f>
        <v/>
      </c>
      <c r="O357" s="3">
        <f>IF(AND('Data Source'!B357&lt;&gt;"",'Data Source'!S357="A+"),IF('Data Source'!AG357&gt;=5,"A+",IF('Data Source'!AG357&gt;=4,"A",IF('Data Source'!AG357&gt;=3.5,"A-",IF('Data Source'!AG357&gt;=3,"B",IF('Data Source'!AG357&gt;=2,"C",IF('Data Source'!AG357&gt;=1,"D","F")))))),"")</f>
        <v/>
      </c>
      <c r="P357" s="5">
        <f>IF(AND('Data Source'!B357&lt;&gt;"",'Data Source'!S357="A+"),'Data Source'!R357,"")</f>
        <v/>
      </c>
      <c r="Q357" s="3">
        <f>IF(AND('Data Source'!B357&lt;&gt;"",'Data Source'!S357="A+"),'Data Source'!S357,"")</f>
        <v/>
      </c>
    </row>
    <row r="358">
      <c r="A358" s="3">
        <f>IF(AND('Data Source'!B358&lt;&gt;"",'Data Source'!S358="A+"),COUNTIF('Data Source'!$S$3:S358,"A+"),"")</f>
        <v/>
      </c>
      <c r="B358">
        <f>IF(AND('Data Source'!B358&lt;&gt;"",'Data Source'!S358="A+"),'Data Source'!B358,"")</f>
        <v/>
      </c>
      <c r="C358" s="3">
        <f>IF(AND('Data Source'!B358&lt;&gt;"",'Data Source'!S358="A+"),IF('Data Source'!U358&gt;=5,"A+",IF('Data Source'!U358&gt;=4,"A",IF('Data Source'!U358&gt;=3.5,"A-",IF('Data Source'!U358&gt;=3,"B",IF('Data Source'!U358&gt;=2,"C",IF('Data Source'!U358&gt;=1,"D","F")))))),"")</f>
        <v/>
      </c>
      <c r="D358" s="3">
        <f>IF(AND('Data Source'!B358&lt;&gt;"",'Data Source'!S358="A+"),IF('Data Source'!V358&gt;=5,"A+",IF('Data Source'!V358&gt;=4,"A",IF('Data Source'!V358&gt;=3.5,"A-",IF('Data Source'!V358&gt;=3,"B",IF('Data Source'!V358&gt;=2,"C",IF('Data Source'!V358&gt;=1,"D","F")))))),"")</f>
        <v/>
      </c>
      <c r="E358" s="3">
        <f>IF(AND('Data Source'!B358&lt;&gt;"",'Data Source'!S358="A+"),IF('Data Source'!W358&gt;=5,"A+",IF('Data Source'!W358&gt;=4,"A",IF('Data Source'!W358&gt;=3.5,"A-",IF('Data Source'!W358&gt;=3,"B",IF('Data Source'!W358&gt;=2,"C",IF('Data Source'!W358&gt;=1,"D","F")))))),"")</f>
        <v/>
      </c>
      <c r="F358" s="3">
        <f>IF(AND('Data Source'!B358&lt;&gt;"",'Data Source'!S358="A+"),IF('Data Source'!X358&gt;=5,"A+",IF('Data Source'!X358&gt;=4,"A",IF('Data Source'!X358&gt;=3.5,"A-",IF('Data Source'!X358&gt;=3,"B",IF('Data Source'!X358&gt;=2,"C",IF('Data Source'!X358&gt;=1,"D","F")))))),"")</f>
        <v/>
      </c>
      <c r="G358" s="3">
        <f>IF(AND('Data Source'!B358&lt;&gt;"",'Data Source'!S358="A+"),IF('Data Source'!Y358&gt;=5,"A+",IF('Data Source'!Y358&gt;=4,"A",IF('Data Source'!Y358&gt;=3.5,"A-",IF('Data Source'!Y358&gt;=3,"B",IF('Data Source'!Y358&gt;=2,"C",IF('Data Source'!Y358&gt;=1,"D","F")))))),"")</f>
        <v/>
      </c>
      <c r="H358" s="3">
        <f>IF(AND('Data Source'!B358&lt;&gt;"",'Data Source'!S358="A+"),IF('Data Source'!Z358&gt;=5,"A+",IF('Data Source'!Z358&gt;=4,"A",IF('Data Source'!Z358&gt;=3.5,"A-",IF('Data Source'!Z358&gt;=3,"B",IF('Data Source'!Z358&gt;=2,"C",IF('Data Source'!Z358&gt;=1,"D","F")))))),"")</f>
        <v/>
      </c>
      <c r="I358" s="3">
        <f>IF(AND('Data Source'!B358&lt;&gt;"",'Data Source'!S358="A+"),IF('Data Source'!AA358&gt;=5,"A+",IF('Data Source'!AA358&gt;=4,"A",IF('Data Source'!AA358&gt;=3.5,"A-",IF('Data Source'!AA358&gt;=3,"B",IF('Data Source'!AA358&gt;=2,"C",IF('Data Source'!AA358&gt;=1,"D","F")))))),"")</f>
        <v/>
      </c>
      <c r="J358" s="3">
        <f>IF(AND('Data Source'!B358&lt;&gt;"",'Data Source'!S358="A+"),IF('Data Source'!AB358&gt;=5,"A+",IF('Data Source'!AB358&gt;=4,"A",IF('Data Source'!AB358&gt;=3.5,"A-",IF('Data Source'!AB358&gt;=3,"B",IF('Data Source'!AB358&gt;=2,"C",IF('Data Source'!AB358&gt;=1,"D","F")))))),"")</f>
        <v/>
      </c>
      <c r="K358" s="3">
        <f>IF(AND('Data Source'!B358&lt;&gt;"",'Data Source'!S358="A+"),IF('Data Source'!AC358&gt;=5,"A+",IF('Data Source'!AC358&gt;=4,"A",IF('Data Source'!AC358&gt;=3.5,"A-",IF('Data Source'!AC358&gt;=3,"B",IF('Data Source'!AC358&gt;=2,"C",IF('Data Source'!AC358&gt;=1,"D","F")))))),"")</f>
        <v/>
      </c>
      <c r="L358" s="3">
        <f>IF(AND('Data Source'!B358&lt;&gt;"",'Data Source'!S358="A+"),IF('Data Source'!AD358&gt;=5,"A+",IF('Data Source'!AD358&gt;=4,"A",IF('Data Source'!AD358&gt;=3.5,"A-",IF('Data Source'!AD358&gt;=3,"B",IF('Data Source'!AD358&gt;=2,"C",IF('Data Source'!AD358&gt;=1,"D","F")))))),"")</f>
        <v/>
      </c>
      <c r="M358" s="3">
        <f>IF(AND('Data Source'!B358&lt;&gt;"",'Data Source'!S358="A+"),IF('Data Source'!AE358&gt;=5,"A+",IF('Data Source'!AE358&gt;=4,"A",IF('Data Source'!AE358&gt;=3.5,"A-",IF('Data Source'!AE358&gt;=3,"B",IF('Data Source'!AE358&gt;=2,"C",IF('Data Source'!AE358&gt;=1,"D","F")))))),"")</f>
        <v/>
      </c>
      <c r="N358" s="3">
        <f>IF(AND('Data Source'!B358&lt;&gt;"",'Data Source'!S358="A+"),IF('Data Source'!AF358&gt;=5,"A+",IF('Data Source'!AF358&gt;=4,"A",IF('Data Source'!AF358&gt;=3.5,"A-",IF('Data Source'!AF358&gt;=3,"B",IF('Data Source'!AF358&gt;=2,"C",IF('Data Source'!AF358&gt;=1,"D","F")))))),"")</f>
        <v/>
      </c>
      <c r="O358" s="3">
        <f>IF(AND('Data Source'!B358&lt;&gt;"",'Data Source'!S358="A+"),IF('Data Source'!AG358&gt;=5,"A+",IF('Data Source'!AG358&gt;=4,"A",IF('Data Source'!AG358&gt;=3.5,"A-",IF('Data Source'!AG358&gt;=3,"B",IF('Data Source'!AG358&gt;=2,"C",IF('Data Source'!AG358&gt;=1,"D","F")))))),"")</f>
        <v/>
      </c>
      <c r="P358" s="5">
        <f>IF(AND('Data Source'!B358&lt;&gt;"",'Data Source'!S358="A+"),'Data Source'!R358,"")</f>
        <v/>
      </c>
      <c r="Q358" s="3">
        <f>IF(AND('Data Source'!B358&lt;&gt;"",'Data Source'!S358="A+"),'Data Source'!S358,"")</f>
        <v/>
      </c>
    </row>
    <row r="359">
      <c r="A359" s="3">
        <f>IF(AND('Data Source'!B359&lt;&gt;"",'Data Source'!S359="A+"),COUNTIF('Data Source'!$S$3:S359,"A+"),"")</f>
        <v/>
      </c>
      <c r="B359">
        <f>IF(AND('Data Source'!B359&lt;&gt;"",'Data Source'!S359="A+"),'Data Source'!B359,"")</f>
        <v/>
      </c>
      <c r="C359" s="3">
        <f>IF(AND('Data Source'!B359&lt;&gt;"",'Data Source'!S359="A+"),IF('Data Source'!U359&gt;=5,"A+",IF('Data Source'!U359&gt;=4,"A",IF('Data Source'!U359&gt;=3.5,"A-",IF('Data Source'!U359&gt;=3,"B",IF('Data Source'!U359&gt;=2,"C",IF('Data Source'!U359&gt;=1,"D","F")))))),"")</f>
        <v/>
      </c>
      <c r="D359" s="3">
        <f>IF(AND('Data Source'!B359&lt;&gt;"",'Data Source'!S359="A+"),IF('Data Source'!V359&gt;=5,"A+",IF('Data Source'!V359&gt;=4,"A",IF('Data Source'!V359&gt;=3.5,"A-",IF('Data Source'!V359&gt;=3,"B",IF('Data Source'!V359&gt;=2,"C",IF('Data Source'!V359&gt;=1,"D","F")))))),"")</f>
        <v/>
      </c>
      <c r="E359" s="3">
        <f>IF(AND('Data Source'!B359&lt;&gt;"",'Data Source'!S359="A+"),IF('Data Source'!W359&gt;=5,"A+",IF('Data Source'!W359&gt;=4,"A",IF('Data Source'!W359&gt;=3.5,"A-",IF('Data Source'!W359&gt;=3,"B",IF('Data Source'!W359&gt;=2,"C",IF('Data Source'!W359&gt;=1,"D","F")))))),"")</f>
        <v/>
      </c>
      <c r="F359" s="3">
        <f>IF(AND('Data Source'!B359&lt;&gt;"",'Data Source'!S359="A+"),IF('Data Source'!X359&gt;=5,"A+",IF('Data Source'!X359&gt;=4,"A",IF('Data Source'!X359&gt;=3.5,"A-",IF('Data Source'!X359&gt;=3,"B",IF('Data Source'!X359&gt;=2,"C",IF('Data Source'!X359&gt;=1,"D","F")))))),"")</f>
        <v/>
      </c>
      <c r="G359" s="3">
        <f>IF(AND('Data Source'!B359&lt;&gt;"",'Data Source'!S359="A+"),IF('Data Source'!Y359&gt;=5,"A+",IF('Data Source'!Y359&gt;=4,"A",IF('Data Source'!Y359&gt;=3.5,"A-",IF('Data Source'!Y359&gt;=3,"B",IF('Data Source'!Y359&gt;=2,"C",IF('Data Source'!Y359&gt;=1,"D","F")))))),"")</f>
        <v/>
      </c>
      <c r="H359" s="3">
        <f>IF(AND('Data Source'!B359&lt;&gt;"",'Data Source'!S359="A+"),IF('Data Source'!Z359&gt;=5,"A+",IF('Data Source'!Z359&gt;=4,"A",IF('Data Source'!Z359&gt;=3.5,"A-",IF('Data Source'!Z359&gt;=3,"B",IF('Data Source'!Z359&gt;=2,"C",IF('Data Source'!Z359&gt;=1,"D","F")))))),"")</f>
        <v/>
      </c>
      <c r="I359" s="3">
        <f>IF(AND('Data Source'!B359&lt;&gt;"",'Data Source'!S359="A+"),IF('Data Source'!AA359&gt;=5,"A+",IF('Data Source'!AA359&gt;=4,"A",IF('Data Source'!AA359&gt;=3.5,"A-",IF('Data Source'!AA359&gt;=3,"B",IF('Data Source'!AA359&gt;=2,"C",IF('Data Source'!AA359&gt;=1,"D","F")))))),"")</f>
        <v/>
      </c>
      <c r="J359" s="3">
        <f>IF(AND('Data Source'!B359&lt;&gt;"",'Data Source'!S359="A+"),IF('Data Source'!AB359&gt;=5,"A+",IF('Data Source'!AB359&gt;=4,"A",IF('Data Source'!AB359&gt;=3.5,"A-",IF('Data Source'!AB359&gt;=3,"B",IF('Data Source'!AB359&gt;=2,"C",IF('Data Source'!AB359&gt;=1,"D","F")))))),"")</f>
        <v/>
      </c>
      <c r="K359" s="3">
        <f>IF(AND('Data Source'!B359&lt;&gt;"",'Data Source'!S359="A+"),IF('Data Source'!AC359&gt;=5,"A+",IF('Data Source'!AC359&gt;=4,"A",IF('Data Source'!AC359&gt;=3.5,"A-",IF('Data Source'!AC359&gt;=3,"B",IF('Data Source'!AC359&gt;=2,"C",IF('Data Source'!AC359&gt;=1,"D","F")))))),"")</f>
        <v/>
      </c>
      <c r="L359" s="3">
        <f>IF(AND('Data Source'!B359&lt;&gt;"",'Data Source'!S359="A+"),IF('Data Source'!AD359&gt;=5,"A+",IF('Data Source'!AD359&gt;=4,"A",IF('Data Source'!AD359&gt;=3.5,"A-",IF('Data Source'!AD359&gt;=3,"B",IF('Data Source'!AD359&gt;=2,"C",IF('Data Source'!AD359&gt;=1,"D","F")))))),"")</f>
        <v/>
      </c>
      <c r="M359" s="3">
        <f>IF(AND('Data Source'!B359&lt;&gt;"",'Data Source'!S359="A+"),IF('Data Source'!AE359&gt;=5,"A+",IF('Data Source'!AE359&gt;=4,"A",IF('Data Source'!AE359&gt;=3.5,"A-",IF('Data Source'!AE359&gt;=3,"B",IF('Data Source'!AE359&gt;=2,"C",IF('Data Source'!AE359&gt;=1,"D","F")))))),"")</f>
        <v/>
      </c>
      <c r="N359" s="3">
        <f>IF(AND('Data Source'!B359&lt;&gt;"",'Data Source'!S359="A+"),IF('Data Source'!AF359&gt;=5,"A+",IF('Data Source'!AF359&gt;=4,"A",IF('Data Source'!AF359&gt;=3.5,"A-",IF('Data Source'!AF359&gt;=3,"B",IF('Data Source'!AF359&gt;=2,"C",IF('Data Source'!AF359&gt;=1,"D","F")))))),"")</f>
        <v/>
      </c>
      <c r="O359" s="3">
        <f>IF(AND('Data Source'!B359&lt;&gt;"",'Data Source'!S359="A+"),IF('Data Source'!AG359&gt;=5,"A+",IF('Data Source'!AG359&gt;=4,"A",IF('Data Source'!AG359&gt;=3.5,"A-",IF('Data Source'!AG359&gt;=3,"B",IF('Data Source'!AG359&gt;=2,"C",IF('Data Source'!AG359&gt;=1,"D","F")))))),"")</f>
        <v/>
      </c>
      <c r="P359" s="5">
        <f>IF(AND('Data Source'!B359&lt;&gt;"",'Data Source'!S359="A+"),'Data Source'!R359,"")</f>
        <v/>
      </c>
      <c r="Q359" s="3">
        <f>IF(AND('Data Source'!B359&lt;&gt;"",'Data Source'!S359="A+"),'Data Source'!S359,"")</f>
        <v/>
      </c>
    </row>
    <row r="360">
      <c r="A360" s="3">
        <f>IF(AND('Data Source'!B360&lt;&gt;"",'Data Source'!S360="A+"),COUNTIF('Data Source'!$S$3:S360,"A+"),"")</f>
        <v/>
      </c>
      <c r="B360">
        <f>IF(AND('Data Source'!B360&lt;&gt;"",'Data Source'!S360="A+"),'Data Source'!B360,"")</f>
        <v/>
      </c>
      <c r="C360" s="3">
        <f>IF(AND('Data Source'!B360&lt;&gt;"",'Data Source'!S360="A+"),IF('Data Source'!U360&gt;=5,"A+",IF('Data Source'!U360&gt;=4,"A",IF('Data Source'!U360&gt;=3.5,"A-",IF('Data Source'!U360&gt;=3,"B",IF('Data Source'!U360&gt;=2,"C",IF('Data Source'!U360&gt;=1,"D","F")))))),"")</f>
        <v/>
      </c>
      <c r="D360" s="3">
        <f>IF(AND('Data Source'!B360&lt;&gt;"",'Data Source'!S360="A+"),IF('Data Source'!V360&gt;=5,"A+",IF('Data Source'!V360&gt;=4,"A",IF('Data Source'!V360&gt;=3.5,"A-",IF('Data Source'!V360&gt;=3,"B",IF('Data Source'!V360&gt;=2,"C",IF('Data Source'!V360&gt;=1,"D","F")))))),"")</f>
        <v/>
      </c>
      <c r="E360" s="3">
        <f>IF(AND('Data Source'!B360&lt;&gt;"",'Data Source'!S360="A+"),IF('Data Source'!W360&gt;=5,"A+",IF('Data Source'!W360&gt;=4,"A",IF('Data Source'!W360&gt;=3.5,"A-",IF('Data Source'!W360&gt;=3,"B",IF('Data Source'!W360&gt;=2,"C",IF('Data Source'!W360&gt;=1,"D","F")))))),"")</f>
        <v/>
      </c>
      <c r="F360" s="3">
        <f>IF(AND('Data Source'!B360&lt;&gt;"",'Data Source'!S360="A+"),IF('Data Source'!X360&gt;=5,"A+",IF('Data Source'!X360&gt;=4,"A",IF('Data Source'!X360&gt;=3.5,"A-",IF('Data Source'!X360&gt;=3,"B",IF('Data Source'!X360&gt;=2,"C",IF('Data Source'!X360&gt;=1,"D","F")))))),"")</f>
        <v/>
      </c>
      <c r="G360" s="3">
        <f>IF(AND('Data Source'!B360&lt;&gt;"",'Data Source'!S360="A+"),IF('Data Source'!Y360&gt;=5,"A+",IF('Data Source'!Y360&gt;=4,"A",IF('Data Source'!Y360&gt;=3.5,"A-",IF('Data Source'!Y360&gt;=3,"B",IF('Data Source'!Y360&gt;=2,"C",IF('Data Source'!Y360&gt;=1,"D","F")))))),"")</f>
        <v/>
      </c>
      <c r="H360" s="3">
        <f>IF(AND('Data Source'!B360&lt;&gt;"",'Data Source'!S360="A+"),IF('Data Source'!Z360&gt;=5,"A+",IF('Data Source'!Z360&gt;=4,"A",IF('Data Source'!Z360&gt;=3.5,"A-",IF('Data Source'!Z360&gt;=3,"B",IF('Data Source'!Z360&gt;=2,"C",IF('Data Source'!Z360&gt;=1,"D","F")))))),"")</f>
        <v/>
      </c>
      <c r="I360" s="3">
        <f>IF(AND('Data Source'!B360&lt;&gt;"",'Data Source'!S360="A+"),IF('Data Source'!AA360&gt;=5,"A+",IF('Data Source'!AA360&gt;=4,"A",IF('Data Source'!AA360&gt;=3.5,"A-",IF('Data Source'!AA360&gt;=3,"B",IF('Data Source'!AA360&gt;=2,"C",IF('Data Source'!AA360&gt;=1,"D","F")))))),"")</f>
        <v/>
      </c>
      <c r="J360" s="3">
        <f>IF(AND('Data Source'!B360&lt;&gt;"",'Data Source'!S360="A+"),IF('Data Source'!AB360&gt;=5,"A+",IF('Data Source'!AB360&gt;=4,"A",IF('Data Source'!AB360&gt;=3.5,"A-",IF('Data Source'!AB360&gt;=3,"B",IF('Data Source'!AB360&gt;=2,"C",IF('Data Source'!AB360&gt;=1,"D","F")))))),"")</f>
        <v/>
      </c>
      <c r="K360" s="3">
        <f>IF(AND('Data Source'!B360&lt;&gt;"",'Data Source'!S360="A+"),IF('Data Source'!AC360&gt;=5,"A+",IF('Data Source'!AC360&gt;=4,"A",IF('Data Source'!AC360&gt;=3.5,"A-",IF('Data Source'!AC360&gt;=3,"B",IF('Data Source'!AC360&gt;=2,"C",IF('Data Source'!AC360&gt;=1,"D","F")))))),"")</f>
        <v/>
      </c>
      <c r="L360" s="3">
        <f>IF(AND('Data Source'!B360&lt;&gt;"",'Data Source'!S360="A+"),IF('Data Source'!AD360&gt;=5,"A+",IF('Data Source'!AD360&gt;=4,"A",IF('Data Source'!AD360&gt;=3.5,"A-",IF('Data Source'!AD360&gt;=3,"B",IF('Data Source'!AD360&gt;=2,"C",IF('Data Source'!AD360&gt;=1,"D","F")))))),"")</f>
        <v/>
      </c>
      <c r="M360" s="3">
        <f>IF(AND('Data Source'!B360&lt;&gt;"",'Data Source'!S360="A+"),IF('Data Source'!AE360&gt;=5,"A+",IF('Data Source'!AE360&gt;=4,"A",IF('Data Source'!AE360&gt;=3.5,"A-",IF('Data Source'!AE360&gt;=3,"B",IF('Data Source'!AE360&gt;=2,"C",IF('Data Source'!AE360&gt;=1,"D","F")))))),"")</f>
        <v/>
      </c>
      <c r="N360" s="3">
        <f>IF(AND('Data Source'!B360&lt;&gt;"",'Data Source'!S360="A+"),IF('Data Source'!AF360&gt;=5,"A+",IF('Data Source'!AF360&gt;=4,"A",IF('Data Source'!AF360&gt;=3.5,"A-",IF('Data Source'!AF360&gt;=3,"B",IF('Data Source'!AF360&gt;=2,"C",IF('Data Source'!AF360&gt;=1,"D","F")))))),"")</f>
        <v/>
      </c>
      <c r="O360" s="3">
        <f>IF(AND('Data Source'!B360&lt;&gt;"",'Data Source'!S360="A+"),IF('Data Source'!AG360&gt;=5,"A+",IF('Data Source'!AG360&gt;=4,"A",IF('Data Source'!AG360&gt;=3.5,"A-",IF('Data Source'!AG360&gt;=3,"B",IF('Data Source'!AG360&gt;=2,"C",IF('Data Source'!AG360&gt;=1,"D","F")))))),"")</f>
        <v/>
      </c>
      <c r="P360" s="5">
        <f>IF(AND('Data Source'!B360&lt;&gt;"",'Data Source'!S360="A+"),'Data Source'!R360,"")</f>
        <v/>
      </c>
      <c r="Q360" s="3">
        <f>IF(AND('Data Source'!B360&lt;&gt;"",'Data Source'!S360="A+"),'Data Source'!S360,"")</f>
        <v/>
      </c>
    </row>
    <row r="361">
      <c r="A361" s="3">
        <f>IF(AND('Data Source'!B361&lt;&gt;"",'Data Source'!S361="A+"),COUNTIF('Data Source'!$S$3:S361,"A+"),"")</f>
        <v/>
      </c>
      <c r="B361">
        <f>IF(AND('Data Source'!B361&lt;&gt;"",'Data Source'!S361="A+"),'Data Source'!B361,"")</f>
        <v/>
      </c>
      <c r="C361" s="3">
        <f>IF(AND('Data Source'!B361&lt;&gt;"",'Data Source'!S361="A+"),IF('Data Source'!U361&gt;=5,"A+",IF('Data Source'!U361&gt;=4,"A",IF('Data Source'!U361&gt;=3.5,"A-",IF('Data Source'!U361&gt;=3,"B",IF('Data Source'!U361&gt;=2,"C",IF('Data Source'!U361&gt;=1,"D","F")))))),"")</f>
        <v/>
      </c>
      <c r="D361" s="3">
        <f>IF(AND('Data Source'!B361&lt;&gt;"",'Data Source'!S361="A+"),IF('Data Source'!V361&gt;=5,"A+",IF('Data Source'!V361&gt;=4,"A",IF('Data Source'!V361&gt;=3.5,"A-",IF('Data Source'!V361&gt;=3,"B",IF('Data Source'!V361&gt;=2,"C",IF('Data Source'!V361&gt;=1,"D","F")))))),"")</f>
        <v/>
      </c>
      <c r="E361" s="3">
        <f>IF(AND('Data Source'!B361&lt;&gt;"",'Data Source'!S361="A+"),IF('Data Source'!W361&gt;=5,"A+",IF('Data Source'!W361&gt;=4,"A",IF('Data Source'!W361&gt;=3.5,"A-",IF('Data Source'!W361&gt;=3,"B",IF('Data Source'!W361&gt;=2,"C",IF('Data Source'!W361&gt;=1,"D","F")))))),"")</f>
        <v/>
      </c>
      <c r="F361" s="3">
        <f>IF(AND('Data Source'!B361&lt;&gt;"",'Data Source'!S361="A+"),IF('Data Source'!X361&gt;=5,"A+",IF('Data Source'!X361&gt;=4,"A",IF('Data Source'!X361&gt;=3.5,"A-",IF('Data Source'!X361&gt;=3,"B",IF('Data Source'!X361&gt;=2,"C",IF('Data Source'!X361&gt;=1,"D","F")))))),"")</f>
        <v/>
      </c>
      <c r="G361" s="3">
        <f>IF(AND('Data Source'!B361&lt;&gt;"",'Data Source'!S361="A+"),IF('Data Source'!Y361&gt;=5,"A+",IF('Data Source'!Y361&gt;=4,"A",IF('Data Source'!Y361&gt;=3.5,"A-",IF('Data Source'!Y361&gt;=3,"B",IF('Data Source'!Y361&gt;=2,"C",IF('Data Source'!Y361&gt;=1,"D","F")))))),"")</f>
        <v/>
      </c>
      <c r="H361" s="3">
        <f>IF(AND('Data Source'!B361&lt;&gt;"",'Data Source'!S361="A+"),IF('Data Source'!Z361&gt;=5,"A+",IF('Data Source'!Z361&gt;=4,"A",IF('Data Source'!Z361&gt;=3.5,"A-",IF('Data Source'!Z361&gt;=3,"B",IF('Data Source'!Z361&gt;=2,"C",IF('Data Source'!Z361&gt;=1,"D","F")))))),"")</f>
        <v/>
      </c>
      <c r="I361" s="3">
        <f>IF(AND('Data Source'!B361&lt;&gt;"",'Data Source'!S361="A+"),IF('Data Source'!AA361&gt;=5,"A+",IF('Data Source'!AA361&gt;=4,"A",IF('Data Source'!AA361&gt;=3.5,"A-",IF('Data Source'!AA361&gt;=3,"B",IF('Data Source'!AA361&gt;=2,"C",IF('Data Source'!AA361&gt;=1,"D","F")))))),"")</f>
        <v/>
      </c>
      <c r="J361" s="3">
        <f>IF(AND('Data Source'!B361&lt;&gt;"",'Data Source'!S361="A+"),IF('Data Source'!AB361&gt;=5,"A+",IF('Data Source'!AB361&gt;=4,"A",IF('Data Source'!AB361&gt;=3.5,"A-",IF('Data Source'!AB361&gt;=3,"B",IF('Data Source'!AB361&gt;=2,"C",IF('Data Source'!AB361&gt;=1,"D","F")))))),"")</f>
        <v/>
      </c>
      <c r="K361" s="3">
        <f>IF(AND('Data Source'!B361&lt;&gt;"",'Data Source'!S361="A+"),IF('Data Source'!AC361&gt;=5,"A+",IF('Data Source'!AC361&gt;=4,"A",IF('Data Source'!AC361&gt;=3.5,"A-",IF('Data Source'!AC361&gt;=3,"B",IF('Data Source'!AC361&gt;=2,"C",IF('Data Source'!AC361&gt;=1,"D","F")))))),"")</f>
        <v/>
      </c>
      <c r="L361" s="3">
        <f>IF(AND('Data Source'!B361&lt;&gt;"",'Data Source'!S361="A+"),IF('Data Source'!AD361&gt;=5,"A+",IF('Data Source'!AD361&gt;=4,"A",IF('Data Source'!AD361&gt;=3.5,"A-",IF('Data Source'!AD361&gt;=3,"B",IF('Data Source'!AD361&gt;=2,"C",IF('Data Source'!AD361&gt;=1,"D","F")))))),"")</f>
        <v/>
      </c>
      <c r="M361" s="3">
        <f>IF(AND('Data Source'!B361&lt;&gt;"",'Data Source'!S361="A+"),IF('Data Source'!AE361&gt;=5,"A+",IF('Data Source'!AE361&gt;=4,"A",IF('Data Source'!AE361&gt;=3.5,"A-",IF('Data Source'!AE361&gt;=3,"B",IF('Data Source'!AE361&gt;=2,"C",IF('Data Source'!AE361&gt;=1,"D","F")))))),"")</f>
        <v/>
      </c>
      <c r="N361" s="3">
        <f>IF(AND('Data Source'!B361&lt;&gt;"",'Data Source'!S361="A+"),IF('Data Source'!AF361&gt;=5,"A+",IF('Data Source'!AF361&gt;=4,"A",IF('Data Source'!AF361&gt;=3.5,"A-",IF('Data Source'!AF361&gt;=3,"B",IF('Data Source'!AF361&gt;=2,"C",IF('Data Source'!AF361&gt;=1,"D","F")))))),"")</f>
        <v/>
      </c>
      <c r="O361" s="3">
        <f>IF(AND('Data Source'!B361&lt;&gt;"",'Data Source'!S361="A+"),IF('Data Source'!AG361&gt;=5,"A+",IF('Data Source'!AG361&gt;=4,"A",IF('Data Source'!AG361&gt;=3.5,"A-",IF('Data Source'!AG361&gt;=3,"B",IF('Data Source'!AG361&gt;=2,"C",IF('Data Source'!AG361&gt;=1,"D","F")))))),"")</f>
        <v/>
      </c>
      <c r="P361" s="5">
        <f>IF(AND('Data Source'!B361&lt;&gt;"",'Data Source'!S361="A+"),'Data Source'!R361,"")</f>
        <v/>
      </c>
      <c r="Q361" s="3">
        <f>IF(AND('Data Source'!B361&lt;&gt;"",'Data Source'!S361="A+"),'Data Source'!S361,"")</f>
        <v/>
      </c>
    </row>
    <row r="362">
      <c r="A362" s="3">
        <f>IF(AND('Data Source'!B362&lt;&gt;"",'Data Source'!S362="A+"),COUNTIF('Data Source'!$S$3:S362,"A+"),"")</f>
        <v/>
      </c>
      <c r="B362">
        <f>IF(AND('Data Source'!B362&lt;&gt;"",'Data Source'!S362="A+"),'Data Source'!B362,"")</f>
        <v/>
      </c>
      <c r="C362" s="3">
        <f>IF(AND('Data Source'!B362&lt;&gt;"",'Data Source'!S362="A+"),IF('Data Source'!U362&gt;=5,"A+",IF('Data Source'!U362&gt;=4,"A",IF('Data Source'!U362&gt;=3.5,"A-",IF('Data Source'!U362&gt;=3,"B",IF('Data Source'!U362&gt;=2,"C",IF('Data Source'!U362&gt;=1,"D","F")))))),"")</f>
        <v/>
      </c>
      <c r="D362" s="3">
        <f>IF(AND('Data Source'!B362&lt;&gt;"",'Data Source'!S362="A+"),IF('Data Source'!V362&gt;=5,"A+",IF('Data Source'!V362&gt;=4,"A",IF('Data Source'!V362&gt;=3.5,"A-",IF('Data Source'!V362&gt;=3,"B",IF('Data Source'!V362&gt;=2,"C",IF('Data Source'!V362&gt;=1,"D","F")))))),"")</f>
        <v/>
      </c>
      <c r="E362" s="3">
        <f>IF(AND('Data Source'!B362&lt;&gt;"",'Data Source'!S362="A+"),IF('Data Source'!W362&gt;=5,"A+",IF('Data Source'!W362&gt;=4,"A",IF('Data Source'!W362&gt;=3.5,"A-",IF('Data Source'!W362&gt;=3,"B",IF('Data Source'!W362&gt;=2,"C",IF('Data Source'!W362&gt;=1,"D","F")))))),"")</f>
        <v/>
      </c>
      <c r="F362" s="3">
        <f>IF(AND('Data Source'!B362&lt;&gt;"",'Data Source'!S362="A+"),IF('Data Source'!X362&gt;=5,"A+",IF('Data Source'!X362&gt;=4,"A",IF('Data Source'!X362&gt;=3.5,"A-",IF('Data Source'!X362&gt;=3,"B",IF('Data Source'!X362&gt;=2,"C",IF('Data Source'!X362&gt;=1,"D","F")))))),"")</f>
        <v/>
      </c>
      <c r="G362" s="3">
        <f>IF(AND('Data Source'!B362&lt;&gt;"",'Data Source'!S362="A+"),IF('Data Source'!Y362&gt;=5,"A+",IF('Data Source'!Y362&gt;=4,"A",IF('Data Source'!Y362&gt;=3.5,"A-",IF('Data Source'!Y362&gt;=3,"B",IF('Data Source'!Y362&gt;=2,"C",IF('Data Source'!Y362&gt;=1,"D","F")))))),"")</f>
        <v/>
      </c>
      <c r="H362" s="3">
        <f>IF(AND('Data Source'!B362&lt;&gt;"",'Data Source'!S362="A+"),IF('Data Source'!Z362&gt;=5,"A+",IF('Data Source'!Z362&gt;=4,"A",IF('Data Source'!Z362&gt;=3.5,"A-",IF('Data Source'!Z362&gt;=3,"B",IF('Data Source'!Z362&gt;=2,"C",IF('Data Source'!Z362&gt;=1,"D","F")))))),"")</f>
        <v/>
      </c>
      <c r="I362" s="3">
        <f>IF(AND('Data Source'!B362&lt;&gt;"",'Data Source'!S362="A+"),IF('Data Source'!AA362&gt;=5,"A+",IF('Data Source'!AA362&gt;=4,"A",IF('Data Source'!AA362&gt;=3.5,"A-",IF('Data Source'!AA362&gt;=3,"B",IF('Data Source'!AA362&gt;=2,"C",IF('Data Source'!AA362&gt;=1,"D","F")))))),"")</f>
        <v/>
      </c>
      <c r="J362" s="3">
        <f>IF(AND('Data Source'!B362&lt;&gt;"",'Data Source'!S362="A+"),IF('Data Source'!AB362&gt;=5,"A+",IF('Data Source'!AB362&gt;=4,"A",IF('Data Source'!AB362&gt;=3.5,"A-",IF('Data Source'!AB362&gt;=3,"B",IF('Data Source'!AB362&gt;=2,"C",IF('Data Source'!AB362&gt;=1,"D","F")))))),"")</f>
        <v/>
      </c>
      <c r="K362" s="3">
        <f>IF(AND('Data Source'!B362&lt;&gt;"",'Data Source'!S362="A+"),IF('Data Source'!AC362&gt;=5,"A+",IF('Data Source'!AC362&gt;=4,"A",IF('Data Source'!AC362&gt;=3.5,"A-",IF('Data Source'!AC362&gt;=3,"B",IF('Data Source'!AC362&gt;=2,"C",IF('Data Source'!AC362&gt;=1,"D","F")))))),"")</f>
        <v/>
      </c>
      <c r="L362" s="3">
        <f>IF(AND('Data Source'!B362&lt;&gt;"",'Data Source'!S362="A+"),IF('Data Source'!AD362&gt;=5,"A+",IF('Data Source'!AD362&gt;=4,"A",IF('Data Source'!AD362&gt;=3.5,"A-",IF('Data Source'!AD362&gt;=3,"B",IF('Data Source'!AD362&gt;=2,"C",IF('Data Source'!AD362&gt;=1,"D","F")))))),"")</f>
        <v/>
      </c>
      <c r="M362" s="3">
        <f>IF(AND('Data Source'!B362&lt;&gt;"",'Data Source'!S362="A+"),IF('Data Source'!AE362&gt;=5,"A+",IF('Data Source'!AE362&gt;=4,"A",IF('Data Source'!AE362&gt;=3.5,"A-",IF('Data Source'!AE362&gt;=3,"B",IF('Data Source'!AE362&gt;=2,"C",IF('Data Source'!AE362&gt;=1,"D","F")))))),"")</f>
        <v/>
      </c>
      <c r="N362" s="3">
        <f>IF(AND('Data Source'!B362&lt;&gt;"",'Data Source'!S362="A+"),IF('Data Source'!AF362&gt;=5,"A+",IF('Data Source'!AF362&gt;=4,"A",IF('Data Source'!AF362&gt;=3.5,"A-",IF('Data Source'!AF362&gt;=3,"B",IF('Data Source'!AF362&gt;=2,"C",IF('Data Source'!AF362&gt;=1,"D","F")))))),"")</f>
        <v/>
      </c>
      <c r="O362" s="3">
        <f>IF(AND('Data Source'!B362&lt;&gt;"",'Data Source'!S362="A+"),IF('Data Source'!AG362&gt;=5,"A+",IF('Data Source'!AG362&gt;=4,"A",IF('Data Source'!AG362&gt;=3.5,"A-",IF('Data Source'!AG362&gt;=3,"B",IF('Data Source'!AG362&gt;=2,"C",IF('Data Source'!AG362&gt;=1,"D","F")))))),"")</f>
        <v/>
      </c>
      <c r="P362" s="5">
        <f>IF(AND('Data Source'!B362&lt;&gt;"",'Data Source'!S362="A+"),'Data Source'!R362,"")</f>
        <v/>
      </c>
      <c r="Q362" s="3">
        <f>IF(AND('Data Source'!B362&lt;&gt;"",'Data Source'!S362="A+"),'Data Source'!S362,"")</f>
        <v/>
      </c>
    </row>
    <row r="363">
      <c r="A363" s="3">
        <f>IF(AND('Data Source'!B363&lt;&gt;"",'Data Source'!S363="A+"),COUNTIF('Data Source'!$S$3:S363,"A+"),"")</f>
        <v/>
      </c>
      <c r="B363">
        <f>IF(AND('Data Source'!B363&lt;&gt;"",'Data Source'!S363="A+"),'Data Source'!B363,"")</f>
        <v/>
      </c>
      <c r="C363" s="3">
        <f>IF(AND('Data Source'!B363&lt;&gt;"",'Data Source'!S363="A+"),IF('Data Source'!U363&gt;=5,"A+",IF('Data Source'!U363&gt;=4,"A",IF('Data Source'!U363&gt;=3.5,"A-",IF('Data Source'!U363&gt;=3,"B",IF('Data Source'!U363&gt;=2,"C",IF('Data Source'!U363&gt;=1,"D","F")))))),"")</f>
        <v/>
      </c>
      <c r="D363" s="3">
        <f>IF(AND('Data Source'!B363&lt;&gt;"",'Data Source'!S363="A+"),IF('Data Source'!V363&gt;=5,"A+",IF('Data Source'!V363&gt;=4,"A",IF('Data Source'!V363&gt;=3.5,"A-",IF('Data Source'!V363&gt;=3,"B",IF('Data Source'!V363&gt;=2,"C",IF('Data Source'!V363&gt;=1,"D","F")))))),"")</f>
        <v/>
      </c>
      <c r="E363" s="3">
        <f>IF(AND('Data Source'!B363&lt;&gt;"",'Data Source'!S363="A+"),IF('Data Source'!W363&gt;=5,"A+",IF('Data Source'!W363&gt;=4,"A",IF('Data Source'!W363&gt;=3.5,"A-",IF('Data Source'!W363&gt;=3,"B",IF('Data Source'!W363&gt;=2,"C",IF('Data Source'!W363&gt;=1,"D","F")))))),"")</f>
        <v/>
      </c>
      <c r="F363" s="3">
        <f>IF(AND('Data Source'!B363&lt;&gt;"",'Data Source'!S363="A+"),IF('Data Source'!X363&gt;=5,"A+",IF('Data Source'!X363&gt;=4,"A",IF('Data Source'!X363&gt;=3.5,"A-",IF('Data Source'!X363&gt;=3,"B",IF('Data Source'!X363&gt;=2,"C",IF('Data Source'!X363&gt;=1,"D","F")))))),"")</f>
        <v/>
      </c>
      <c r="G363" s="3">
        <f>IF(AND('Data Source'!B363&lt;&gt;"",'Data Source'!S363="A+"),IF('Data Source'!Y363&gt;=5,"A+",IF('Data Source'!Y363&gt;=4,"A",IF('Data Source'!Y363&gt;=3.5,"A-",IF('Data Source'!Y363&gt;=3,"B",IF('Data Source'!Y363&gt;=2,"C",IF('Data Source'!Y363&gt;=1,"D","F")))))),"")</f>
        <v/>
      </c>
      <c r="H363" s="3">
        <f>IF(AND('Data Source'!B363&lt;&gt;"",'Data Source'!S363="A+"),IF('Data Source'!Z363&gt;=5,"A+",IF('Data Source'!Z363&gt;=4,"A",IF('Data Source'!Z363&gt;=3.5,"A-",IF('Data Source'!Z363&gt;=3,"B",IF('Data Source'!Z363&gt;=2,"C",IF('Data Source'!Z363&gt;=1,"D","F")))))),"")</f>
        <v/>
      </c>
      <c r="I363" s="3">
        <f>IF(AND('Data Source'!B363&lt;&gt;"",'Data Source'!S363="A+"),IF('Data Source'!AA363&gt;=5,"A+",IF('Data Source'!AA363&gt;=4,"A",IF('Data Source'!AA363&gt;=3.5,"A-",IF('Data Source'!AA363&gt;=3,"B",IF('Data Source'!AA363&gt;=2,"C",IF('Data Source'!AA363&gt;=1,"D","F")))))),"")</f>
        <v/>
      </c>
      <c r="J363" s="3">
        <f>IF(AND('Data Source'!B363&lt;&gt;"",'Data Source'!S363="A+"),IF('Data Source'!AB363&gt;=5,"A+",IF('Data Source'!AB363&gt;=4,"A",IF('Data Source'!AB363&gt;=3.5,"A-",IF('Data Source'!AB363&gt;=3,"B",IF('Data Source'!AB363&gt;=2,"C",IF('Data Source'!AB363&gt;=1,"D","F")))))),"")</f>
        <v/>
      </c>
      <c r="K363" s="3">
        <f>IF(AND('Data Source'!B363&lt;&gt;"",'Data Source'!S363="A+"),IF('Data Source'!AC363&gt;=5,"A+",IF('Data Source'!AC363&gt;=4,"A",IF('Data Source'!AC363&gt;=3.5,"A-",IF('Data Source'!AC363&gt;=3,"B",IF('Data Source'!AC363&gt;=2,"C",IF('Data Source'!AC363&gt;=1,"D","F")))))),"")</f>
        <v/>
      </c>
      <c r="L363" s="3">
        <f>IF(AND('Data Source'!B363&lt;&gt;"",'Data Source'!S363="A+"),IF('Data Source'!AD363&gt;=5,"A+",IF('Data Source'!AD363&gt;=4,"A",IF('Data Source'!AD363&gt;=3.5,"A-",IF('Data Source'!AD363&gt;=3,"B",IF('Data Source'!AD363&gt;=2,"C",IF('Data Source'!AD363&gt;=1,"D","F")))))),"")</f>
        <v/>
      </c>
      <c r="M363" s="3">
        <f>IF(AND('Data Source'!B363&lt;&gt;"",'Data Source'!S363="A+"),IF('Data Source'!AE363&gt;=5,"A+",IF('Data Source'!AE363&gt;=4,"A",IF('Data Source'!AE363&gt;=3.5,"A-",IF('Data Source'!AE363&gt;=3,"B",IF('Data Source'!AE363&gt;=2,"C",IF('Data Source'!AE363&gt;=1,"D","F")))))),"")</f>
        <v/>
      </c>
      <c r="N363" s="3">
        <f>IF(AND('Data Source'!B363&lt;&gt;"",'Data Source'!S363="A+"),IF('Data Source'!AF363&gt;=5,"A+",IF('Data Source'!AF363&gt;=4,"A",IF('Data Source'!AF363&gt;=3.5,"A-",IF('Data Source'!AF363&gt;=3,"B",IF('Data Source'!AF363&gt;=2,"C",IF('Data Source'!AF363&gt;=1,"D","F")))))),"")</f>
        <v/>
      </c>
      <c r="O363" s="3">
        <f>IF(AND('Data Source'!B363&lt;&gt;"",'Data Source'!S363="A+"),IF('Data Source'!AG363&gt;=5,"A+",IF('Data Source'!AG363&gt;=4,"A",IF('Data Source'!AG363&gt;=3.5,"A-",IF('Data Source'!AG363&gt;=3,"B",IF('Data Source'!AG363&gt;=2,"C",IF('Data Source'!AG363&gt;=1,"D","F")))))),"")</f>
        <v/>
      </c>
      <c r="P363" s="5">
        <f>IF(AND('Data Source'!B363&lt;&gt;"",'Data Source'!S363="A+"),'Data Source'!R363,"")</f>
        <v/>
      </c>
      <c r="Q363" s="3">
        <f>IF(AND('Data Source'!B363&lt;&gt;"",'Data Source'!S363="A+"),'Data Source'!S363,"")</f>
        <v/>
      </c>
    </row>
    <row r="364">
      <c r="A364" s="3">
        <f>IF(AND('Data Source'!B364&lt;&gt;"",'Data Source'!S364="A+"),COUNTIF('Data Source'!$S$3:S364,"A+"),"")</f>
        <v/>
      </c>
      <c r="B364">
        <f>IF(AND('Data Source'!B364&lt;&gt;"",'Data Source'!S364="A+"),'Data Source'!B364,"")</f>
        <v/>
      </c>
      <c r="C364" s="3">
        <f>IF(AND('Data Source'!B364&lt;&gt;"",'Data Source'!S364="A+"),IF('Data Source'!U364&gt;=5,"A+",IF('Data Source'!U364&gt;=4,"A",IF('Data Source'!U364&gt;=3.5,"A-",IF('Data Source'!U364&gt;=3,"B",IF('Data Source'!U364&gt;=2,"C",IF('Data Source'!U364&gt;=1,"D","F")))))),"")</f>
        <v/>
      </c>
      <c r="D364" s="3">
        <f>IF(AND('Data Source'!B364&lt;&gt;"",'Data Source'!S364="A+"),IF('Data Source'!V364&gt;=5,"A+",IF('Data Source'!V364&gt;=4,"A",IF('Data Source'!V364&gt;=3.5,"A-",IF('Data Source'!V364&gt;=3,"B",IF('Data Source'!V364&gt;=2,"C",IF('Data Source'!V364&gt;=1,"D","F")))))),"")</f>
        <v/>
      </c>
      <c r="E364" s="3">
        <f>IF(AND('Data Source'!B364&lt;&gt;"",'Data Source'!S364="A+"),IF('Data Source'!W364&gt;=5,"A+",IF('Data Source'!W364&gt;=4,"A",IF('Data Source'!W364&gt;=3.5,"A-",IF('Data Source'!W364&gt;=3,"B",IF('Data Source'!W364&gt;=2,"C",IF('Data Source'!W364&gt;=1,"D","F")))))),"")</f>
        <v/>
      </c>
      <c r="F364" s="3">
        <f>IF(AND('Data Source'!B364&lt;&gt;"",'Data Source'!S364="A+"),IF('Data Source'!X364&gt;=5,"A+",IF('Data Source'!X364&gt;=4,"A",IF('Data Source'!X364&gt;=3.5,"A-",IF('Data Source'!X364&gt;=3,"B",IF('Data Source'!X364&gt;=2,"C",IF('Data Source'!X364&gt;=1,"D","F")))))),"")</f>
        <v/>
      </c>
      <c r="G364" s="3">
        <f>IF(AND('Data Source'!B364&lt;&gt;"",'Data Source'!S364="A+"),IF('Data Source'!Y364&gt;=5,"A+",IF('Data Source'!Y364&gt;=4,"A",IF('Data Source'!Y364&gt;=3.5,"A-",IF('Data Source'!Y364&gt;=3,"B",IF('Data Source'!Y364&gt;=2,"C",IF('Data Source'!Y364&gt;=1,"D","F")))))),"")</f>
        <v/>
      </c>
      <c r="H364" s="3">
        <f>IF(AND('Data Source'!B364&lt;&gt;"",'Data Source'!S364="A+"),IF('Data Source'!Z364&gt;=5,"A+",IF('Data Source'!Z364&gt;=4,"A",IF('Data Source'!Z364&gt;=3.5,"A-",IF('Data Source'!Z364&gt;=3,"B",IF('Data Source'!Z364&gt;=2,"C",IF('Data Source'!Z364&gt;=1,"D","F")))))),"")</f>
        <v/>
      </c>
      <c r="I364" s="3">
        <f>IF(AND('Data Source'!B364&lt;&gt;"",'Data Source'!S364="A+"),IF('Data Source'!AA364&gt;=5,"A+",IF('Data Source'!AA364&gt;=4,"A",IF('Data Source'!AA364&gt;=3.5,"A-",IF('Data Source'!AA364&gt;=3,"B",IF('Data Source'!AA364&gt;=2,"C",IF('Data Source'!AA364&gt;=1,"D","F")))))),"")</f>
        <v/>
      </c>
      <c r="J364" s="3">
        <f>IF(AND('Data Source'!B364&lt;&gt;"",'Data Source'!S364="A+"),IF('Data Source'!AB364&gt;=5,"A+",IF('Data Source'!AB364&gt;=4,"A",IF('Data Source'!AB364&gt;=3.5,"A-",IF('Data Source'!AB364&gt;=3,"B",IF('Data Source'!AB364&gt;=2,"C",IF('Data Source'!AB364&gt;=1,"D","F")))))),"")</f>
        <v/>
      </c>
      <c r="K364" s="3">
        <f>IF(AND('Data Source'!B364&lt;&gt;"",'Data Source'!S364="A+"),IF('Data Source'!AC364&gt;=5,"A+",IF('Data Source'!AC364&gt;=4,"A",IF('Data Source'!AC364&gt;=3.5,"A-",IF('Data Source'!AC364&gt;=3,"B",IF('Data Source'!AC364&gt;=2,"C",IF('Data Source'!AC364&gt;=1,"D","F")))))),"")</f>
        <v/>
      </c>
      <c r="L364" s="3">
        <f>IF(AND('Data Source'!B364&lt;&gt;"",'Data Source'!S364="A+"),IF('Data Source'!AD364&gt;=5,"A+",IF('Data Source'!AD364&gt;=4,"A",IF('Data Source'!AD364&gt;=3.5,"A-",IF('Data Source'!AD364&gt;=3,"B",IF('Data Source'!AD364&gt;=2,"C",IF('Data Source'!AD364&gt;=1,"D","F")))))),"")</f>
        <v/>
      </c>
      <c r="M364" s="3">
        <f>IF(AND('Data Source'!B364&lt;&gt;"",'Data Source'!S364="A+"),IF('Data Source'!AE364&gt;=5,"A+",IF('Data Source'!AE364&gt;=4,"A",IF('Data Source'!AE364&gt;=3.5,"A-",IF('Data Source'!AE364&gt;=3,"B",IF('Data Source'!AE364&gt;=2,"C",IF('Data Source'!AE364&gt;=1,"D","F")))))),"")</f>
        <v/>
      </c>
      <c r="N364" s="3">
        <f>IF(AND('Data Source'!B364&lt;&gt;"",'Data Source'!S364="A+"),IF('Data Source'!AF364&gt;=5,"A+",IF('Data Source'!AF364&gt;=4,"A",IF('Data Source'!AF364&gt;=3.5,"A-",IF('Data Source'!AF364&gt;=3,"B",IF('Data Source'!AF364&gt;=2,"C",IF('Data Source'!AF364&gt;=1,"D","F")))))),"")</f>
        <v/>
      </c>
      <c r="O364" s="3">
        <f>IF(AND('Data Source'!B364&lt;&gt;"",'Data Source'!S364="A+"),IF('Data Source'!AG364&gt;=5,"A+",IF('Data Source'!AG364&gt;=4,"A",IF('Data Source'!AG364&gt;=3.5,"A-",IF('Data Source'!AG364&gt;=3,"B",IF('Data Source'!AG364&gt;=2,"C",IF('Data Source'!AG364&gt;=1,"D","F")))))),"")</f>
        <v/>
      </c>
      <c r="P364" s="5">
        <f>IF(AND('Data Source'!B364&lt;&gt;"",'Data Source'!S364="A+"),'Data Source'!R364,"")</f>
        <v/>
      </c>
      <c r="Q364" s="3">
        <f>IF(AND('Data Source'!B364&lt;&gt;"",'Data Source'!S364="A+"),'Data Source'!S364,"")</f>
        <v/>
      </c>
    </row>
    <row r="365">
      <c r="A365" s="3">
        <f>IF(AND('Data Source'!B365&lt;&gt;"",'Data Source'!S365="A+"),COUNTIF('Data Source'!$S$3:S365,"A+"),"")</f>
        <v/>
      </c>
      <c r="B365">
        <f>IF(AND('Data Source'!B365&lt;&gt;"",'Data Source'!S365="A+"),'Data Source'!B365,"")</f>
        <v/>
      </c>
      <c r="C365" s="3">
        <f>IF(AND('Data Source'!B365&lt;&gt;"",'Data Source'!S365="A+"),IF('Data Source'!U365&gt;=5,"A+",IF('Data Source'!U365&gt;=4,"A",IF('Data Source'!U365&gt;=3.5,"A-",IF('Data Source'!U365&gt;=3,"B",IF('Data Source'!U365&gt;=2,"C",IF('Data Source'!U365&gt;=1,"D","F")))))),"")</f>
        <v/>
      </c>
      <c r="D365" s="3">
        <f>IF(AND('Data Source'!B365&lt;&gt;"",'Data Source'!S365="A+"),IF('Data Source'!V365&gt;=5,"A+",IF('Data Source'!V365&gt;=4,"A",IF('Data Source'!V365&gt;=3.5,"A-",IF('Data Source'!V365&gt;=3,"B",IF('Data Source'!V365&gt;=2,"C",IF('Data Source'!V365&gt;=1,"D","F")))))),"")</f>
        <v/>
      </c>
      <c r="E365" s="3">
        <f>IF(AND('Data Source'!B365&lt;&gt;"",'Data Source'!S365="A+"),IF('Data Source'!W365&gt;=5,"A+",IF('Data Source'!W365&gt;=4,"A",IF('Data Source'!W365&gt;=3.5,"A-",IF('Data Source'!W365&gt;=3,"B",IF('Data Source'!W365&gt;=2,"C",IF('Data Source'!W365&gt;=1,"D","F")))))),"")</f>
        <v/>
      </c>
      <c r="F365" s="3">
        <f>IF(AND('Data Source'!B365&lt;&gt;"",'Data Source'!S365="A+"),IF('Data Source'!X365&gt;=5,"A+",IF('Data Source'!X365&gt;=4,"A",IF('Data Source'!X365&gt;=3.5,"A-",IF('Data Source'!X365&gt;=3,"B",IF('Data Source'!X365&gt;=2,"C",IF('Data Source'!X365&gt;=1,"D","F")))))),"")</f>
        <v/>
      </c>
      <c r="G365" s="3">
        <f>IF(AND('Data Source'!B365&lt;&gt;"",'Data Source'!S365="A+"),IF('Data Source'!Y365&gt;=5,"A+",IF('Data Source'!Y365&gt;=4,"A",IF('Data Source'!Y365&gt;=3.5,"A-",IF('Data Source'!Y365&gt;=3,"B",IF('Data Source'!Y365&gt;=2,"C",IF('Data Source'!Y365&gt;=1,"D","F")))))),"")</f>
        <v/>
      </c>
      <c r="H365" s="3">
        <f>IF(AND('Data Source'!B365&lt;&gt;"",'Data Source'!S365="A+"),IF('Data Source'!Z365&gt;=5,"A+",IF('Data Source'!Z365&gt;=4,"A",IF('Data Source'!Z365&gt;=3.5,"A-",IF('Data Source'!Z365&gt;=3,"B",IF('Data Source'!Z365&gt;=2,"C",IF('Data Source'!Z365&gt;=1,"D","F")))))),"")</f>
        <v/>
      </c>
      <c r="I365" s="3">
        <f>IF(AND('Data Source'!B365&lt;&gt;"",'Data Source'!S365="A+"),IF('Data Source'!AA365&gt;=5,"A+",IF('Data Source'!AA365&gt;=4,"A",IF('Data Source'!AA365&gt;=3.5,"A-",IF('Data Source'!AA365&gt;=3,"B",IF('Data Source'!AA365&gt;=2,"C",IF('Data Source'!AA365&gt;=1,"D","F")))))),"")</f>
        <v/>
      </c>
      <c r="J365" s="3">
        <f>IF(AND('Data Source'!B365&lt;&gt;"",'Data Source'!S365="A+"),IF('Data Source'!AB365&gt;=5,"A+",IF('Data Source'!AB365&gt;=4,"A",IF('Data Source'!AB365&gt;=3.5,"A-",IF('Data Source'!AB365&gt;=3,"B",IF('Data Source'!AB365&gt;=2,"C",IF('Data Source'!AB365&gt;=1,"D","F")))))),"")</f>
        <v/>
      </c>
      <c r="K365" s="3">
        <f>IF(AND('Data Source'!B365&lt;&gt;"",'Data Source'!S365="A+"),IF('Data Source'!AC365&gt;=5,"A+",IF('Data Source'!AC365&gt;=4,"A",IF('Data Source'!AC365&gt;=3.5,"A-",IF('Data Source'!AC365&gt;=3,"B",IF('Data Source'!AC365&gt;=2,"C",IF('Data Source'!AC365&gt;=1,"D","F")))))),"")</f>
        <v/>
      </c>
      <c r="L365" s="3">
        <f>IF(AND('Data Source'!B365&lt;&gt;"",'Data Source'!S365="A+"),IF('Data Source'!AD365&gt;=5,"A+",IF('Data Source'!AD365&gt;=4,"A",IF('Data Source'!AD365&gt;=3.5,"A-",IF('Data Source'!AD365&gt;=3,"B",IF('Data Source'!AD365&gt;=2,"C",IF('Data Source'!AD365&gt;=1,"D","F")))))),"")</f>
        <v/>
      </c>
      <c r="M365" s="3">
        <f>IF(AND('Data Source'!B365&lt;&gt;"",'Data Source'!S365="A+"),IF('Data Source'!AE365&gt;=5,"A+",IF('Data Source'!AE365&gt;=4,"A",IF('Data Source'!AE365&gt;=3.5,"A-",IF('Data Source'!AE365&gt;=3,"B",IF('Data Source'!AE365&gt;=2,"C",IF('Data Source'!AE365&gt;=1,"D","F")))))),"")</f>
        <v/>
      </c>
      <c r="N365" s="3">
        <f>IF(AND('Data Source'!B365&lt;&gt;"",'Data Source'!S365="A+"),IF('Data Source'!AF365&gt;=5,"A+",IF('Data Source'!AF365&gt;=4,"A",IF('Data Source'!AF365&gt;=3.5,"A-",IF('Data Source'!AF365&gt;=3,"B",IF('Data Source'!AF365&gt;=2,"C",IF('Data Source'!AF365&gt;=1,"D","F")))))),"")</f>
        <v/>
      </c>
      <c r="O365" s="3">
        <f>IF(AND('Data Source'!B365&lt;&gt;"",'Data Source'!S365="A+"),IF('Data Source'!AG365&gt;=5,"A+",IF('Data Source'!AG365&gt;=4,"A",IF('Data Source'!AG365&gt;=3.5,"A-",IF('Data Source'!AG365&gt;=3,"B",IF('Data Source'!AG365&gt;=2,"C",IF('Data Source'!AG365&gt;=1,"D","F")))))),"")</f>
        <v/>
      </c>
      <c r="P365" s="5">
        <f>IF(AND('Data Source'!B365&lt;&gt;"",'Data Source'!S365="A+"),'Data Source'!R365,"")</f>
        <v/>
      </c>
      <c r="Q365" s="3">
        <f>IF(AND('Data Source'!B365&lt;&gt;"",'Data Source'!S365="A+"),'Data Source'!S365,"")</f>
        <v/>
      </c>
    </row>
    <row r="366">
      <c r="A366" s="3">
        <f>IF(AND('Data Source'!B366&lt;&gt;"",'Data Source'!S366="A+"),COUNTIF('Data Source'!$S$3:S366,"A+"),"")</f>
        <v/>
      </c>
      <c r="B366">
        <f>IF(AND('Data Source'!B366&lt;&gt;"",'Data Source'!S366="A+"),'Data Source'!B366,"")</f>
        <v/>
      </c>
      <c r="C366" s="3">
        <f>IF(AND('Data Source'!B366&lt;&gt;"",'Data Source'!S366="A+"),IF('Data Source'!U366&gt;=5,"A+",IF('Data Source'!U366&gt;=4,"A",IF('Data Source'!U366&gt;=3.5,"A-",IF('Data Source'!U366&gt;=3,"B",IF('Data Source'!U366&gt;=2,"C",IF('Data Source'!U366&gt;=1,"D","F")))))),"")</f>
        <v/>
      </c>
      <c r="D366" s="3">
        <f>IF(AND('Data Source'!B366&lt;&gt;"",'Data Source'!S366="A+"),IF('Data Source'!V366&gt;=5,"A+",IF('Data Source'!V366&gt;=4,"A",IF('Data Source'!V366&gt;=3.5,"A-",IF('Data Source'!V366&gt;=3,"B",IF('Data Source'!V366&gt;=2,"C",IF('Data Source'!V366&gt;=1,"D","F")))))),"")</f>
        <v/>
      </c>
      <c r="E366" s="3">
        <f>IF(AND('Data Source'!B366&lt;&gt;"",'Data Source'!S366="A+"),IF('Data Source'!W366&gt;=5,"A+",IF('Data Source'!W366&gt;=4,"A",IF('Data Source'!W366&gt;=3.5,"A-",IF('Data Source'!W366&gt;=3,"B",IF('Data Source'!W366&gt;=2,"C",IF('Data Source'!W366&gt;=1,"D","F")))))),"")</f>
        <v/>
      </c>
      <c r="F366" s="3">
        <f>IF(AND('Data Source'!B366&lt;&gt;"",'Data Source'!S366="A+"),IF('Data Source'!X366&gt;=5,"A+",IF('Data Source'!X366&gt;=4,"A",IF('Data Source'!X366&gt;=3.5,"A-",IF('Data Source'!X366&gt;=3,"B",IF('Data Source'!X366&gt;=2,"C",IF('Data Source'!X366&gt;=1,"D","F")))))),"")</f>
        <v/>
      </c>
      <c r="G366" s="3">
        <f>IF(AND('Data Source'!B366&lt;&gt;"",'Data Source'!S366="A+"),IF('Data Source'!Y366&gt;=5,"A+",IF('Data Source'!Y366&gt;=4,"A",IF('Data Source'!Y366&gt;=3.5,"A-",IF('Data Source'!Y366&gt;=3,"B",IF('Data Source'!Y366&gt;=2,"C",IF('Data Source'!Y366&gt;=1,"D","F")))))),"")</f>
        <v/>
      </c>
      <c r="H366" s="3">
        <f>IF(AND('Data Source'!B366&lt;&gt;"",'Data Source'!S366="A+"),IF('Data Source'!Z366&gt;=5,"A+",IF('Data Source'!Z366&gt;=4,"A",IF('Data Source'!Z366&gt;=3.5,"A-",IF('Data Source'!Z366&gt;=3,"B",IF('Data Source'!Z366&gt;=2,"C",IF('Data Source'!Z366&gt;=1,"D","F")))))),"")</f>
        <v/>
      </c>
      <c r="I366" s="3">
        <f>IF(AND('Data Source'!B366&lt;&gt;"",'Data Source'!S366="A+"),IF('Data Source'!AA366&gt;=5,"A+",IF('Data Source'!AA366&gt;=4,"A",IF('Data Source'!AA366&gt;=3.5,"A-",IF('Data Source'!AA366&gt;=3,"B",IF('Data Source'!AA366&gt;=2,"C",IF('Data Source'!AA366&gt;=1,"D","F")))))),"")</f>
        <v/>
      </c>
      <c r="J366" s="3">
        <f>IF(AND('Data Source'!B366&lt;&gt;"",'Data Source'!S366="A+"),IF('Data Source'!AB366&gt;=5,"A+",IF('Data Source'!AB366&gt;=4,"A",IF('Data Source'!AB366&gt;=3.5,"A-",IF('Data Source'!AB366&gt;=3,"B",IF('Data Source'!AB366&gt;=2,"C",IF('Data Source'!AB366&gt;=1,"D","F")))))),"")</f>
        <v/>
      </c>
      <c r="K366" s="3">
        <f>IF(AND('Data Source'!B366&lt;&gt;"",'Data Source'!S366="A+"),IF('Data Source'!AC366&gt;=5,"A+",IF('Data Source'!AC366&gt;=4,"A",IF('Data Source'!AC366&gt;=3.5,"A-",IF('Data Source'!AC366&gt;=3,"B",IF('Data Source'!AC366&gt;=2,"C",IF('Data Source'!AC366&gt;=1,"D","F")))))),"")</f>
        <v/>
      </c>
      <c r="L366" s="3">
        <f>IF(AND('Data Source'!B366&lt;&gt;"",'Data Source'!S366="A+"),IF('Data Source'!AD366&gt;=5,"A+",IF('Data Source'!AD366&gt;=4,"A",IF('Data Source'!AD366&gt;=3.5,"A-",IF('Data Source'!AD366&gt;=3,"B",IF('Data Source'!AD366&gt;=2,"C",IF('Data Source'!AD366&gt;=1,"D","F")))))),"")</f>
        <v/>
      </c>
      <c r="M366" s="3">
        <f>IF(AND('Data Source'!B366&lt;&gt;"",'Data Source'!S366="A+"),IF('Data Source'!AE366&gt;=5,"A+",IF('Data Source'!AE366&gt;=4,"A",IF('Data Source'!AE366&gt;=3.5,"A-",IF('Data Source'!AE366&gt;=3,"B",IF('Data Source'!AE366&gt;=2,"C",IF('Data Source'!AE366&gt;=1,"D","F")))))),"")</f>
        <v/>
      </c>
      <c r="N366" s="3">
        <f>IF(AND('Data Source'!B366&lt;&gt;"",'Data Source'!S366="A+"),IF('Data Source'!AF366&gt;=5,"A+",IF('Data Source'!AF366&gt;=4,"A",IF('Data Source'!AF366&gt;=3.5,"A-",IF('Data Source'!AF366&gt;=3,"B",IF('Data Source'!AF366&gt;=2,"C",IF('Data Source'!AF366&gt;=1,"D","F")))))),"")</f>
        <v/>
      </c>
      <c r="O366" s="3">
        <f>IF(AND('Data Source'!B366&lt;&gt;"",'Data Source'!S366="A+"),IF('Data Source'!AG366&gt;=5,"A+",IF('Data Source'!AG366&gt;=4,"A",IF('Data Source'!AG366&gt;=3.5,"A-",IF('Data Source'!AG366&gt;=3,"B",IF('Data Source'!AG366&gt;=2,"C",IF('Data Source'!AG366&gt;=1,"D","F")))))),"")</f>
        <v/>
      </c>
      <c r="P366" s="5">
        <f>IF(AND('Data Source'!B366&lt;&gt;"",'Data Source'!S366="A+"),'Data Source'!R366,"")</f>
        <v/>
      </c>
      <c r="Q366" s="3">
        <f>IF(AND('Data Source'!B366&lt;&gt;"",'Data Source'!S366="A+"),'Data Source'!S366,"")</f>
        <v/>
      </c>
    </row>
    <row r="367">
      <c r="A367" s="3">
        <f>IF(AND('Data Source'!B367&lt;&gt;"",'Data Source'!S367="A+"),COUNTIF('Data Source'!$S$3:S367,"A+"),"")</f>
        <v/>
      </c>
      <c r="B367">
        <f>IF(AND('Data Source'!B367&lt;&gt;"",'Data Source'!S367="A+"),'Data Source'!B367,"")</f>
        <v/>
      </c>
      <c r="C367" s="3">
        <f>IF(AND('Data Source'!B367&lt;&gt;"",'Data Source'!S367="A+"),IF('Data Source'!U367&gt;=5,"A+",IF('Data Source'!U367&gt;=4,"A",IF('Data Source'!U367&gt;=3.5,"A-",IF('Data Source'!U367&gt;=3,"B",IF('Data Source'!U367&gt;=2,"C",IF('Data Source'!U367&gt;=1,"D","F")))))),"")</f>
        <v/>
      </c>
      <c r="D367" s="3">
        <f>IF(AND('Data Source'!B367&lt;&gt;"",'Data Source'!S367="A+"),IF('Data Source'!V367&gt;=5,"A+",IF('Data Source'!V367&gt;=4,"A",IF('Data Source'!V367&gt;=3.5,"A-",IF('Data Source'!V367&gt;=3,"B",IF('Data Source'!V367&gt;=2,"C",IF('Data Source'!V367&gt;=1,"D","F")))))),"")</f>
        <v/>
      </c>
      <c r="E367" s="3">
        <f>IF(AND('Data Source'!B367&lt;&gt;"",'Data Source'!S367="A+"),IF('Data Source'!W367&gt;=5,"A+",IF('Data Source'!W367&gt;=4,"A",IF('Data Source'!W367&gt;=3.5,"A-",IF('Data Source'!W367&gt;=3,"B",IF('Data Source'!W367&gt;=2,"C",IF('Data Source'!W367&gt;=1,"D","F")))))),"")</f>
        <v/>
      </c>
      <c r="F367" s="3">
        <f>IF(AND('Data Source'!B367&lt;&gt;"",'Data Source'!S367="A+"),IF('Data Source'!X367&gt;=5,"A+",IF('Data Source'!X367&gt;=4,"A",IF('Data Source'!X367&gt;=3.5,"A-",IF('Data Source'!X367&gt;=3,"B",IF('Data Source'!X367&gt;=2,"C",IF('Data Source'!X367&gt;=1,"D","F")))))),"")</f>
        <v/>
      </c>
      <c r="G367" s="3">
        <f>IF(AND('Data Source'!B367&lt;&gt;"",'Data Source'!S367="A+"),IF('Data Source'!Y367&gt;=5,"A+",IF('Data Source'!Y367&gt;=4,"A",IF('Data Source'!Y367&gt;=3.5,"A-",IF('Data Source'!Y367&gt;=3,"B",IF('Data Source'!Y367&gt;=2,"C",IF('Data Source'!Y367&gt;=1,"D","F")))))),"")</f>
        <v/>
      </c>
      <c r="H367" s="3">
        <f>IF(AND('Data Source'!B367&lt;&gt;"",'Data Source'!S367="A+"),IF('Data Source'!Z367&gt;=5,"A+",IF('Data Source'!Z367&gt;=4,"A",IF('Data Source'!Z367&gt;=3.5,"A-",IF('Data Source'!Z367&gt;=3,"B",IF('Data Source'!Z367&gt;=2,"C",IF('Data Source'!Z367&gt;=1,"D","F")))))),"")</f>
        <v/>
      </c>
      <c r="I367" s="3">
        <f>IF(AND('Data Source'!B367&lt;&gt;"",'Data Source'!S367="A+"),IF('Data Source'!AA367&gt;=5,"A+",IF('Data Source'!AA367&gt;=4,"A",IF('Data Source'!AA367&gt;=3.5,"A-",IF('Data Source'!AA367&gt;=3,"B",IF('Data Source'!AA367&gt;=2,"C",IF('Data Source'!AA367&gt;=1,"D","F")))))),"")</f>
        <v/>
      </c>
      <c r="J367" s="3">
        <f>IF(AND('Data Source'!B367&lt;&gt;"",'Data Source'!S367="A+"),IF('Data Source'!AB367&gt;=5,"A+",IF('Data Source'!AB367&gt;=4,"A",IF('Data Source'!AB367&gt;=3.5,"A-",IF('Data Source'!AB367&gt;=3,"B",IF('Data Source'!AB367&gt;=2,"C",IF('Data Source'!AB367&gt;=1,"D","F")))))),"")</f>
        <v/>
      </c>
      <c r="K367" s="3">
        <f>IF(AND('Data Source'!B367&lt;&gt;"",'Data Source'!S367="A+"),IF('Data Source'!AC367&gt;=5,"A+",IF('Data Source'!AC367&gt;=4,"A",IF('Data Source'!AC367&gt;=3.5,"A-",IF('Data Source'!AC367&gt;=3,"B",IF('Data Source'!AC367&gt;=2,"C",IF('Data Source'!AC367&gt;=1,"D","F")))))),"")</f>
        <v/>
      </c>
      <c r="L367" s="3">
        <f>IF(AND('Data Source'!B367&lt;&gt;"",'Data Source'!S367="A+"),IF('Data Source'!AD367&gt;=5,"A+",IF('Data Source'!AD367&gt;=4,"A",IF('Data Source'!AD367&gt;=3.5,"A-",IF('Data Source'!AD367&gt;=3,"B",IF('Data Source'!AD367&gt;=2,"C",IF('Data Source'!AD367&gt;=1,"D","F")))))),"")</f>
        <v/>
      </c>
      <c r="M367" s="3">
        <f>IF(AND('Data Source'!B367&lt;&gt;"",'Data Source'!S367="A+"),IF('Data Source'!AE367&gt;=5,"A+",IF('Data Source'!AE367&gt;=4,"A",IF('Data Source'!AE367&gt;=3.5,"A-",IF('Data Source'!AE367&gt;=3,"B",IF('Data Source'!AE367&gt;=2,"C",IF('Data Source'!AE367&gt;=1,"D","F")))))),"")</f>
        <v/>
      </c>
      <c r="N367" s="3">
        <f>IF(AND('Data Source'!B367&lt;&gt;"",'Data Source'!S367="A+"),IF('Data Source'!AF367&gt;=5,"A+",IF('Data Source'!AF367&gt;=4,"A",IF('Data Source'!AF367&gt;=3.5,"A-",IF('Data Source'!AF367&gt;=3,"B",IF('Data Source'!AF367&gt;=2,"C",IF('Data Source'!AF367&gt;=1,"D","F")))))),"")</f>
        <v/>
      </c>
      <c r="O367" s="3">
        <f>IF(AND('Data Source'!B367&lt;&gt;"",'Data Source'!S367="A+"),IF('Data Source'!AG367&gt;=5,"A+",IF('Data Source'!AG367&gt;=4,"A",IF('Data Source'!AG367&gt;=3.5,"A-",IF('Data Source'!AG367&gt;=3,"B",IF('Data Source'!AG367&gt;=2,"C",IF('Data Source'!AG367&gt;=1,"D","F")))))),"")</f>
        <v/>
      </c>
      <c r="P367" s="5">
        <f>IF(AND('Data Source'!B367&lt;&gt;"",'Data Source'!S367="A+"),'Data Source'!R367,"")</f>
        <v/>
      </c>
      <c r="Q367" s="3">
        <f>IF(AND('Data Source'!B367&lt;&gt;"",'Data Source'!S367="A+"),'Data Source'!S367,"")</f>
        <v/>
      </c>
    </row>
    <row r="368">
      <c r="A368" s="3">
        <f>IF(AND('Data Source'!B368&lt;&gt;"",'Data Source'!S368="A+"),COUNTIF('Data Source'!$S$3:S368,"A+"),"")</f>
        <v/>
      </c>
      <c r="B368">
        <f>IF(AND('Data Source'!B368&lt;&gt;"",'Data Source'!S368="A+"),'Data Source'!B368,"")</f>
        <v/>
      </c>
      <c r="C368" s="3">
        <f>IF(AND('Data Source'!B368&lt;&gt;"",'Data Source'!S368="A+"),IF('Data Source'!U368&gt;=5,"A+",IF('Data Source'!U368&gt;=4,"A",IF('Data Source'!U368&gt;=3.5,"A-",IF('Data Source'!U368&gt;=3,"B",IF('Data Source'!U368&gt;=2,"C",IF('Data Source'!U368&gt;=1,"D","F")))))),"")</f>
        <v/>
      </c>
      <c r="D368" s="3">
        <f>IF(AND('Data Source'!B368&lt;&gt;"",'Data Source'!S368="A+"),IF('Data Source'!V368&gt;=5,"A+",IF('Data Source'!V368&gt;=4,"A",IF('Data Source'!V368&gt;=3.5,"A-",IF('Data Source'!V368&gt;=3,"B",IF('Data Source'!V368&gt;=2,"C",IF('Data Source'!V368&gt;=1,"D","F")))))),"")</f>
        <v/>
      </c>
      <c r="E368" s="3">
        <f>IF(AND('Data Source'!B368&lt;&gt;"",'Data Source'!S368="A+"),IF('Data Source'!W368&gt;=5,"A+",IF('Data Source'!W368&gt;=4,"A",IF('Data Source'!W368&gt;=3.5,"A-",IF('Data Source'!W368&gt;=3,"B",IF('Data Source'!W368&gt;=2,"C",IF('Data Source'!W368&gt;=1,"D","F")))))),"")</f>
        <v/>
      </c>
      <c r="F368" s="3">
        <f>IF(AND('Data Source'!B368&lt;&gt;"",'Data Source'!S368="A+"),IF('Data Source'!X368&gt;=5,"A+",IF('Data Source'!X368&gt;=4,"A",IF('Data Source'!X368&gt;=3.5,"A-",IF('Data Source'!X368&gt;=3,"B",IF('Data Source'!X368&gt;=2,"C",IF('Data Source'!X368&gt;=1,"D","F")))))),"")</f>
        <v/>
      </c>
      <c r="G368" s="3">
        <f>IF(AND('Data Source'!B368&lt;&gt;"",'Data Source'!S368="A+"),IF('Data Source'!Y368&gt;=5,"A+",IF('Data Source'!Y368&gt;=4,"A",IF('Data Source'!Y368&gt;=3.5,"A-",IF('Data Source'!Y368&gt;=3,"B",IF('Data Source'!Y368&gt;=2,"C",IF('Data Source'!Y368&gt;=1,"D","F")))))),"")</f>
        <v/>
      </c>
      <c r="H368" s="3">
        <f>IF(AND('Data Source'!B368&lt;&gt;"",'Data Source'!S368="A+"),IF('Data Source'!Z368&gt;=5,"A+",IF('Data Source'!Z368&gt;=4,"A",IF('Data Source'!Z368&gt;=3.5,"A-",IF('Data Source'!Z368&gt;=3,"B",IF('Data Source'!Z368&gt;=2,"C",IF('Data Source'!Z368&gt;=1,"D","F")))))),"")</f>
        <v/>
      </c>
      <c r="I368" s="3">
        <f>IF(AND('Data Source'!B368&lt;&gt;"",'Data Source'!S368="A+"),IF('Data Source'!AA368&gt;=5,"A+",IF('Data Source'!AA368&gt;=4,"A",IF('Data Source'!AA368&gt;=3.5,"A-",IF('Data Source'!AA368&gt;=3,"B",IF('Data Source'!AA368&gt;=2,"C",IF('Data Source'!AA368&gt;=1,"D","F")))))),"")</f>
        <v/>
      </c>
      <c r="J368" s="3">
        <f>IF(AND('Data Source'!B368&lt;&gt;"",'Data Source'!S368="A+"),IF('Data Source'!AB368&gt;=5,"A+",IF('Data Source'!AB368&gt;=4,"A",IF('Data Source'!AB368&gt;=3.5,"A-",IF('Data Source'!AB368&gt;=3,"B",IF('Data Source'!AB368&gt;=2,"C",IF('Data Source'!AB368&gt;=1,"D","F")))))),"")</f>
        <v/>
      </c>
      <c r="K368" s="3">
        <f>IF(AND('Data Source'!B368&lt;&gt;"",'Data Source'!S368="A+"),IF('Data Source'!AC368&gt;=5,"A+",IF('Data Source'!AC368&gt;=4,"A",IF('Data Source'!AC368&gt;=3.5,"A-",IF('Data Source'!AC368&gt;=3,"B",IF('Data Source'!AC368&gt;=2,"C",IF('Data Source'!AC368&gt;=1,"D","F")))))),"")</f>
        <v/>
      </c>
      <c r="L368" s="3">
        <f>IF(AND('Data Source'!B368&lt;&gt;"",'Data Source'!S368="A+"),IF('Data Source'!AD368&gt;=5,"A+",IF('Data Source'!AD368&gt;=4,"A",IF('Data Source'!AD368&gt;=3.5,"A-",IF('Data Source'!AD368&gt;=3,"B",IF('Data Source'!AD368&gt;=2,"C",IF('Data Source'!AD368&gt;=1,"D","F")))))),"")</f>
        <v/>
      </c>
      <c r="M368" s="3">
        <f>IF(AND('Data Source'!B368&lt;&gt;"",'Data Source'!S368="A+"),IF('Data Source'!AE368&gt;=5,"A+",IF('Data Source'!AE368&gt;=4,"A",IF('Data Source'!AE368&gt;=3.5,"A-",IF('Data Source'!AE368&gt;=3,"B",IF('Data Source'!AE368&gt;=2,"C",IF('Data Source'!AE368&gt;=1,"D","F")))))),"")</f>
        <v/>
      </c>
      <c r="N368" s="3">
        <f>IF(AND('Data Source'!B368&lt;&gt;"",'Data Source'!S368="A+"),IF('Data Source'!AF368&gt;=5,"A+",IF('Data Source'!AF368&gt;=4,"A",IF('Data Source'!AF368&gt;=3.5,"A-",IF('Data Source'!AF368&gt;=3,"B",IF('Data Source'!AF368&gt;=2,"C",IF('Data Source'!AF368&gt;=1,"D","F")))))),"")</f>
        <v/>
      </c>
      <c r="O368" s="3">
        <f>IF(AND('Data Source'!B368&lt;&gt;"",'Data Source'!S368="A+"),IF('Data Source'!AG368&gt;=5,"A+",IF('Data Source'!AG368&gt;=4,"A",IF('Data Source'!AG368&gt;=3.5,"A-",IF('Data Source'!AG368&gt;=3,"B",IF('Data Source'!AG368&gt;=2,"C",IF('Data Source'!AG368&gt;=1,"D","F")))))),"")</f>
        <v/>
      </c>
      <c r="P368" s="5">
        <f>IF(AND('Data Source'!B368&lt;&gt;"",'Data Source'!S368="A+"),'Data Source'!R368,"")</f>
        <v/>
      </c>
      <c r="Q368" s="3">
        <f>IF(AND('Data Source'!B368&lt;&gt;"",'Data Source'!S368="A+"),'Data Source'!S368,"")</f>
        <v/>
      </c>
    </row>
    <row r="369">
      <c r="A369" s="3">
        <f>IF(AND('Data Source'!B369&lt;&gt;"",'Data Source'!S369="A+"),COUNTIF('Data Source'!$S$3:S369,"A+"),"")</f>
        <v/>
      </c>
      <c r="B369">
        <f>IF(AND('Data Source'!B369&lt;&gt;"",'Data Source'!S369="A+"),'Data Source'!B369,"")</f>
        <v/>
      </c>
      <c r="C369" s="3">
        <f>IF(AND('Data Source'!B369&lt;&gt;"",'Data Source'!S369="A+"),IF('Data Source'!U369&gt;=5,"A+",IF('Data Source'!U369&gt;=4,"A",IF('Data Source'!U369&gt;=3.5,"A-",IF('Data Source'!U369&gt;=3,"B",IF('Data Source'!U369&gt;=2,"C",IF('Data Source'!U369&gt;=1,"D","F")))))),"")</f>
        <v/>
      </c>
      <c r="D369" s="3">
        <f>IF(AND('Data Source'!B369&lt;&gt;"",'Data Source'!S369="A+"),IF('Data Source'!V369&gt;=5,"A+",IF('Data Source'!V369&gt;=4,"A",IF('Data Source'!V369&gt;=3.5,"A-",IF('Data Source'!V369&gt;=3,"B",IF('Data Source'!V369&gt;=2,"C",IF('Data Source'!V369&gt;=1,"D","F")))))),"")</f>
        <v/>
      </c>
      <c r="E369" s="3">
        <f>IF(AND('Data Source'!B369&lt;&gt;"",'Data Source'!S369="A+"),IF('Data Source'!W369&gt;=5,"A+",IF('Data Source'!W369&gt;=4,"A",IF('Data Source'!W369&gt;=3.5,"A-",IF('Data Source'!W369&gt;=3,"B",IF('Data Source'!W369&gt;=2,"C",IF('Data Source'!W369&gt;=1,"D","F")))))),"")</f>
        <v/>
      </c>
      <c r="F369" s="3">
        <f>IF(AND('Data Source'!B369&lt;&gt;"",'Data Source'!S369="A+"),IF('Data Source'!X369&gt;=5,"A+",IF('Data Source'!X369&gt;=4,"A",IF('Data Source'!X369&gt;=3.5,"A-",IF('Data Source'!X369&gt;=3,"B",IF('Data Source'!X369&gt;=2,"C",IF('Data Source'!X369&gt;=1,"D","F")))))),"")</f>
        <v/>
      </c>
      <c r="G369" s="3">
        <f>IF(AND('Data Source'!B369&lt;&gt;"",'Data Source'!S369="A+"),IF('Data Source'!Y369&gt;=5,"A+",IF('Data Source'!Y369&gt;=4,"A",IF('Data Source'!Y369&gt;=3.5,"A-",IF('Data Source'!Y369&gt;=3,"B",IF('Data Source'!Y369&gt;=2,"C",IF('Data Source'!Y369&gt;=1,"D","F")))))),"")</f>
        <v/>
      </c>
      <c r="H369" s="3">
        <f>IF(AND('Data Source'!B369&lt;&gt;"",'Data Source'!S369="A+"),IF('Data Source'!Z369&gt;=5,"A+",IF('Data Source'!Z369&gt;=4,"A",IF('Data Source'!Z369&gt;=3.5,"A-",IF('Data Source'!Z369&gt;=3,"B",IF('Data Source'!Z369&gt;=2,"C",IF('Data Source'!Z369&gt;=1,"D","F")))))),"")</f>
        <v/>
      </c>
      <c r="I369" s="3">
        <f>IF(AND('Data Source'!B369&lt;&gt;"",'Data Source'!S369="A+"),IF('Data Source'!AA369&gt;=5,"A+",IF('Data Source'!AA369&gt;=4,"A",IF('Data Source'!AA369&gt;=3.5,"A-",IF('Data Source'!AA369&gt;=3,"B",IF('Data Source'!AA369&gt;=2,"C",IF('Data Source'!AA369&gt;=1,"D","F")))))),"")</f>
        <v/>
      </c>
      <c r="J369" s="3">
        <f>IF(AND('Data Source'!B369&lt;&gt;"",'Data Source'!S369="A+"),IF('Data Source'!AB369&gt;=5,"A+",IF('Data Source'!AB369&gt;=4,"A",IF('Data Source'!AB369&gt;=3.5,"A-",IF('Data Source'!AB369&gt;=3,"B",IF('Data Source'!AB369&gt;=2,"C",IF('Data Source'!AB369&gt;=1,"D","F")))))),"")</f>
        <v/>
      </c>
      <c r="K369" s="3">
        <f>IF(AND('Data Source'!B369&lt;&gt;"",'Data Source'!S369="A+"),IF('Data Source'!AC369&gt;=5,"A+",IF('Data Source'!AC369&gt;=4,"A",IF('Data Source'!AC369&gt;=3.5,"A-",IF('Data Source'!AC369&gt;=3,"B",IF('Data Source'!AC369&gt;=2,"C",IF('Data Source'!AC369&gt;=1,"D","F")))))),"")</f>
        <v/>
      </c>
      <c r="L369" s="3">
        <f>IF(AND('Data Source'!B369&lt;&gt;"",'Data Source'!S369="A+"),IF('Data Source'!AD369&gt;=5,"A+",IF('Data Source'!AD369&gt;=4,"A",IF('Data Source'!AD369&gt;=3.5,"A-",IF('Data Source'!AD369&gt;=3,"B",IF('Data Source'!AD369&gt;=2,"C",IF('Data Source'!AD369&gt;=1,"D","F")))))),"")</f>
        <v/>
      </c>
      <c r="M369" s="3">
        <f>IF(AND('Data Source'!B369&lt;&gt;"",'Data Source'!S369="A+"),IF('Data Source'!AE369&gt;=5,"A+",IF('Data Source'!AE369&gt;=4,"A",IF('Data Source'!AE369&gt;=3.5,"A-",IF('Data Source'!AE369&gt;=3,"B",IF('Data Source'!AE369&gt;=2,"C",IF('Data Source'!AE369&gt;=1,"D","F")))))),"")</f>
        <v/>
      </c>
      <c r="N369" s="3">
        <f>IF(AND('Data Source'!B369&lt;&gt;"",'Data Source'!S369="A+"),IF('Data Source'!AF369&gt;=5,"A+",IF('Data Source'!AF369&gt;=4,"A",IF('Data Source'!AF369&gt;=3.5,"A-",IF('Data Source'!AF369&gt;=3,"B",IF('Data Source'!AF369&gt;=2,"C",IF('Data Source'!AF369&gt;=1,"D","F")))))),"")</f>
        <v/>
      </c>
      <c r="O369" s="3">
        <f>IF(AND('Data Source'!B369&lt;&gt;"",'Data Source'!S369="A+"),IF('Data Source'!AG369&gt;=5,"A+",IF('Data Source'!AG369&gt;=4,"A",IF('Data Source'!AG369&gt;=3.5,"A-",IF('Data Source'!AG369&gt;=3,"B",IF('Data Source'!AG369&gt;=2,"C",IF('Data Source'!AG369&gt;=1,"D","F")))))),"")</f>
        <v/>
      </c>
      <c r="P369" s="5">
        <f>IF(AND('Data Source'!B369&lt;&gt;"",'Data Source'!S369="A+"),'Data Source'!R369,"")</f>
        <v/>
      </c>
      <c r="Q369" s="3">
        <f>IF(AND('Data Source'!B369&lt;&gt;"",'Data Source'!S369="A+"),'Data Source'!S369,"")</f>
        <v/>
      </c>
    </row>
    <row r="370">
      <c r="A370" s="3">
        <f>IF(AND('Data Source'!B370&lt;&gt;"",'Data Source'!S370="A+"),COUNTIF('Data Source'!$S$3:S370,"A+"),"")</f>
        <v/>
      </c>
      <c r="B370">
        <f>IF(AND('Data Source'!B370&lt;&gt;"",'Data Source'!S370="A+"),'Data Source'!B370,"")</f>
        <v/>
      </c>
      <c r="C370" s="3">
        <f>IF(AND('Data Source'!B370&lt;&gt;"",'Data Source'!S370="A+"),IF('Data Source'!U370&gt;=5,"A+",IF('Data Source'!U370&gt;=4,"A",IF('Data Source'!U370&gt;=3.5,"A-",IF('Data Source'!U370&gt;=3,"B",IF('Data Source'!U370&gt;=2,"C",IF('Data Source'!U370&gt;=1,"D","F")))))),"")</f>
        <v/>
      </c>
      <c r="D370" s="3">
        <f>IF(AND('Data Source'!B370&lt;&gt;"",'Data Source'!S370="A+"),IF('Data Source'!V370&gt;=5,"A+",IF('Data Source'!V370&gt;=4,"A",IF('Data Source'!V370&gt;=3.5,"A-",IF('Data Source'!V370&gt;=3,"B",IF('Data Source'!V370&gt;=2,"C",IF('Data Source'!V370&gt;=1,"D","F")))))),"")</f>
        <v/>
      </c>
      <c r="E370" s="3">
        <f>IF(AND('Data Source'!B370&lt;&gt;"",'Data Source'!S370="A+"),IF('Data Source'!W370&gt;=5,"A+",IF('Data Source'!W370&gt;=4,"A",IF('Data Source'!W370&gt;=3.5,"A-",IF('Data Source'!W370&gt;=3,"B",IF('Data Source'!W370&gt;=2,"C",IF('Data Source'!W370&gt;=1,"D","F")))))),"")</f>
        <v/>
      </c>
      <c r="F370" s="3">
        <f>IF(AND('Data Source'!B370&lt;&gt;"",'Data Source'!S370="A+"),IF('Data Source'!X370&gt;=5,"A+",IF('Data Source'!X370&gt;=4,"A",IF('Data Source'!X370&gt;=3.5,"A-",IF('Data Source'!X370&gt;=3,"B",IF('Data Source'!X370&gt;=2,"C",IF('Data Source'!X370&gt;=1,"D","F")))))),"")</f>
        <v/>
      </c>
      <c r="G370" s="3">
        <f>IF(AND('Data Source'!B370&lt;&gt;"",'Data Source'!S370="A+"),IF('Data Source'!Y370&gt;=5,"A+",IF('Data Source'!Y370&gt;=4,"A",IF('Data Source'!Y370&gt;=3.5,"A-",IF('Data Source'!Y370&gt;=3,"B",IF('Data Source'!Y370&gt;=2,"C",IF('Data Source'!Y370&gt;=1,"D","F")))))),"")</f>
        <v/>
      </c>
      <c r="H370" s="3">
        <f>IF(AND('Data Source'!B370&lt;&gt;"",'Data Source'!S370="A+"),IF('Data Source'!Z370&gt;=5,"A+",IF('Data Source'!Z370&gt;=4,"A",IF('Data Source'!Z370&gt;=3.5,"A-",IF('Data Source'!Z370&gt;=3,"B",IF('Data Source'!Z370&gt;=2,"C",IF('Data Source'!Z370&gt;=1,"D","F")))))),"")</f>
        <v/>
      </c>
      <c r="I370" s="3">
        <f>IF(AND('Data Source'!B370&lt;&gt;"",'Data Source'!S370="A+"),IF('Data Source'!AA370&gt;=5,"A+",IF('Data Source'!AA370&gt;=4,"A",IF('Data Source'!AA370&gt;=3.5,"A-",IF('Data Source'!AA370&gt;=3,"B",IF('Data Source'!AA370&gt;=2,"C",IF('Data Source'!AA370&gt;=1,"D","F")))))),"")</f>
        <v/>
      </c>
      <c r="J370" s="3">
        <f>IF(AND('Data Source'!B370&lt;&gt;"",'Data Source'!S370="A+"),IF('Data Source'!AB370&gt;=5,"A+",IF('Data Source'!AB370&gt;=4,"A",IF('Data Source'!AB370&gt;=3.5,"A-",IF('Data Source'!AB370&gt;=3,"B",IF('Data Source'!AB370&gt;=2,"C",IF('Data Source'!AB370&gt;=1,"D","F")))))),"")</f>
        <v/>
      </c>
      <c r="K370" s="3">
        <f>IF(AND('Data Source'!B370&lt;&gt;"",'Data Source'!S370="A+"),IF('Data Source'!AC370&gt;=5,"A+",IF('Data Source'!AC370&gt;=4,"A",IF('Data Source'!AC370&gt;=3.5,"A-",IF('Data Source'!AC370&gt;=3,"B",IF('Data Source'!AC370&gt;=2,"C",IF('Data Source'!AC370&gt;=1,"D","F")))))),"")</f>
        <v/>
      </c>
      <c r="L370" s="3">
        <f>IF(AND('Data Source'!B370&lt;&gt;"",'Data Source'!S370="A+"),IF('Data Source'!AD370&gt;=5,"A+",IF('Data Source'!AD370&gt;=4,"A",IF('Data Source'!AD370&gt;=3.5,"A-",IF('Data Source'!AD370&gt;=3,"B",IF('Data Source'!AD370&gt;=2,"C",IF('Data Source'!AD370&gt;=1,"D","F")))))),"")</f>
        <v/>
      </c>
      <c r="M370" s="3">
        <f>IF(AND('Data Source'!B370&lt;&gt;"",'Data Source'!S370="A+"),IF('Data Source'!AE370&gt;=5,"A+",IF('Data Source'!AE370&gt;=4,"A",IF('Data Source'!AE370&gt;=3.5,"A-",IF('Data Source'!AE370&gt;=3,"B",IF('Data Source'!AE370&gt;=2,"C",IF('Data Source'!AE370&gt;=1,"D","F")))))),"")</f>
        <v/>
      </c>
      <c r="N370" s="3">
        <f>IF(AND('Data Source'!B370&lt;&gt;"",'Data Source'!S370="A+"),IF('Data Source'!AF370&gt;=5,"A+",IF('Data Source'!AF370&gt;=4,"A",IF('Data Source'!AF370&gt;=3.5,"A-",IF('Data Source'!AF370&gt;=3,"B",IF('Data Source'!AF370&gt;=2,"C",IF('Data Source'!AF370&gt;=1,"D","F")))))),"")</f>
        <v/>
      </c>
      <c r="O370" s="3">
        <f>IF(AND('Data Source'!B370&lt;&gt;"",'Data Source'!S370="A+"),IF('Data Source'!AG370&gt;=5,"A+",IF('Data Source'!AG370&gt;=4,"A",IF('Data Source'!AG370&gt;=3.5,"A-",IF('Data Source'!AG370&gt;=3,"B",IF('Data Source'!AG370&gt;=2,"C",IF('Data Source'!AG370&gt;=1,"D","F")))))),"")</f>
        <v/>
      </c>
      <c r="P370" s="5">
        <f>IF(AND('Data Source'!B370&lt;&gt;"",'Data Source'!S370="A+"),'Data Source'!R370,"")</f>
        <v/>
      </c>
      <c r="Q370" s="3">
        <f>IF(AND('Data Source'!B370&lt;&gt;"",'Data Source'!S370="A+"),'Data Source'!S370,"")</f>
        <v/>
      </c>
    </row>
    <row r="371">
      <c r="A371" s="3">
        <f>IF(AND('Data Source'!B371&lt;&gt;"",'Data Source'!S371="A+"),COUNTIF('Data Source'!$S$3:S371,"A+"),"")</f>
        <v/>
      </c>
      <c r="B371">
        <f>IF(AND('Data Source'!B371&lt;&gt;"",'Data Source'!S371="A+"),'Data Source'!B371,"")</f>
        <v/>
      </c>
      <c r="C371" s="3">
        <f>IF(AND('Data Source'!B371&lt;&gt;"",'Data Source'!S371="A+"),IF('Data Source'!U371&gt;=5,"A+",IF('Data Source'!U371&gt;=4,"A",IF('Data Source'!U371&gt;=3.5,"A-",IF('Data Source'!U371&gt;=3,"B",IF('Data Source'!U371&gt;=2,"C",IF('Data Source'!U371&gt;=1,"D","F")))))),"")</f>
        <v/>
      </c>
      <c r="D371" s="3">
        <f>IF(AND('Data Source'!B371&lt;&gt;"",'Data Source'!S371="A+"),IF('Data Source'!V371&gt;=5,"A+",IF('Data Source'!V371&gt;=4,"A",IF('Data Source'!V371&gt;=3.5,"A-",IF('Data Source'!V371&gt;=3,"B",IF('Data Source'!V371&gt;=2,"C",IF('Data Source'!V371&gt;=1,"D","F")))))),"")</f>
        <v/>
      </c>
      <c r="E371" s="3">
        <f>IF(AND('Data Source'!B371&lt;&gt;"",'Data Source'!S371="A+"),IF('Data Source'!W371&gt;=5,"A+",IF('Data Source'!W371&gt;=4,"A",IF('Data Source'!W371&gt;=3.5,"A-",IF('Data Source'!W371&gt;=3,"B",IF('Data Source'!W371&gt;=2,"C",IF('Data Source'!W371&gt;=1,"D","F")))))),"")</f>
        <v/>
      </c>
      <c r="F371" s="3">
        <f>IF(AND('Data Source'!B371&lt;&gt;"",'Data Source'!S371="A+"),IF('Data Source'!X371&gt;=5,"A+",IF('Data Source'!X371&gt;=4,"A",IF('Data Source'!X371&gt;=3.5,"A-",IF('Data Source'!X371&gt;=3,"B",IF('Data Source'!X371&gt;=2,"C",IF('Data Source'!X371&gt;=1,"D","F")))))),"")</f>
        <v/>
      </c>
      <c r="G371" s="3">
        <f>IF(AND('Data Source'!B371&lt;&gt;"",'Data Source'!S371="A+"),IF('Data Source'!Y371&gt;=5,"A+",IF('Data Source'!Y371&gt;=4,"A",IF('Data Source'!Y371&gt;=3.5,"A-",IF('Data Source'!Y371&gt;=3,"B",IF('Data Source'!Y371&gt;=2,"C",IF('Data Source'!Y371&gt;=1,"D","F")))))),"")</f>
        <v/>
      </c>
      <c r="H371" s="3">
        <f>IF(AND('Data Source'!B371&lt;&gt;"",'Data Source'!S371="A+"),IF('Data Source'!Z371&gt;=5,"A+",IF('Data Source'!Z371&gt;=4,"A",IF('Data Source'!Z371&gt;=3.5,"A-",IF('Data Source'!Z371&gt;=3,"B",IF('Data Source'!Z371&gt;=2,"C",IF('Data Source'!Z371&gt;=1,"D","F")))))),"")</f>
        <v/>
      </c>
      <c r="I371" s="3">
        <f>IF(AND('Data Source'!B371&lt;&gt;"",'Data Source'!S371="A+"),IF('Data Source'!AA371&gt;=5,"A+",IF('Data Source'!AA371&gt;=4,"A",IF('Data Source'!AA371&gt;=3.5,"A-",IF('Data Source'!AA371&gt;=3,"B",IF('Data Source'!AA371&gt;=2,"C",IF('Data Source'!AA371&gt;=1,"D","F")))))),"")</f>
        <v/>
      </c>
      <c r="J371" s="3">
        <f>IF(AND('Data Source'!B371&lt;&gt;"",'Data Source'!S371="A+"),IF('Data Source'!AB371&gt;=5,"A+",IF('Data Source'!AB371&gt;=4,"A",IF('Data Source'!AB371&gt;=3.5,"A-",IF('Data Source'!AB371&gt;=3,"B",IF('Data Source'!AB371&gt;=2,"C",IF('Data Source'!AB371&gt;=1,"D","F")))))),"")</f>
        <v/>
      </c>
      <c r="K371" s="3">
        <f>IF(AND('Data Source'!B371&lt;&gt;"",'Data Source'!S371="A+"),IF('Data Source'!AC371&gt;=5,"A+",IF('Data Source'!AC371&gt;=4,"A",IF('Data Source'!AC371&gt;=3.5,"A-",IF('Data Source'!AC371&gt;=3,"B",IF('Data Source'!AC371&gt;=2,"C",IF('Data Source'!AC371&gt;=1,"D","F")))))),"")</f>
        <v/>
      </c>
      <c r="L371" s="3">
        <f>IF(AND('Data Source'!B371&lt;&gt;"",'Data Source'!S371="A+"),IF('Data Source'!AD371&gt;=5,"A+",IF('Data Source'!AD371&gt;=4,"A",IF('Data Source'!AD371&gt;=3.5,"A-",IF('Data Source'!AD371&gt;=3,"B",IF('Data Source'!AD371&gt;=2,"C",IF('Data Source'!AD371&gt;=1,"D","F")))))),"")</f>
        <v/>
      </c>
      <c r="M371" s="3">
        <f>IF(AND('Data Source'!B371&lt;&gt;"",'Data Source'!S371="A+"),IF('Data Source'!AE371&gt;=5,"A+",IF('Data Source'!AE371&gt;=4,"A",IF('Data Source'!AE371&gt;=3.5,"A-",IF('Data Source'!AE371&gt;=3,"B",IF('Data Source'!AE371&gt;=2,"C",IF('Data Source'!AE371&gt;=1,"D","F")))))),"")</f>
        <v/>
      </c>
      <c r="N371" s="3">
        <f>IF(AND('Data Source'!B371&lt;&gt;"",'Data Source'!S371="A+"),IF('Data Source'!AF371&gt;=5,"A+",IF('Data Source'!AF371&gt;=4,"A",IF('Data Source'!AF371&gt;=3.5,"A-",IF('Data Source'!AF371&gt;=3,"B",IF('Data Source'!AF371&gt;=2,"C",IF('Data Source'!AF371&gt;=1,"D","F")))))),"")</f>
        <v/>
      </c>
      <c r="O371" s="3">
        <f>IF(AND('Data Source'!B371&lt;&gt;"",'Data Source'!S371="A+"),IF('Data Source'!AG371&gt;=5,"A+",IF('Data Source'!AG371&gt;=4,"A",IF('Data Source'!AG371&gt;=3.5,"A-",IF('Data Source'!AG371&gt;=3,"B",IF('Data Source'!AG371&gt;=2,"C",IF('Data Source'!AG371&gt;=1,"D","F")))))),"")</f>
        <v/>
      </c>
      <c r="P371" s="5">
        <f>IF(AND('Data Source'!B371&lt;&gt;"",'Data Source'!S371="A+"),'Data Source'!R371,"")</f>
        <v/>
      </c>
      <c r="Q371" s="3">
        <f>IF(AND('Data Source'!B371&lt;&gt;"",'Data Source'!S371="A+"),'Data Source'!S371,"")</f>
        <v/>
      </c>
    </row>
    <row r="372">
      <c r="A372" s="3">
        <f>IF(AND('Data Source'!B372&lt;&gt;"",'Data Source'!S372="A+"),COUNTIF('Data Source'!$S$3:S372,"A+"),"")</f>
        <v/>
      </c>
      <c r="B372">
        <f>IF(AND('Data Source'!B372&lt;&gt;"",'Data Source'!S372="A+"),'Data Source'!B372,"")</f>
        <v/>
      </c>
      <c r="C372" s="3">
        <f>IF(AND('Data Source'!B372&lt;&gt;"",'Data Source'!S372="A+"),IF('Data Source'!U372&gt;=5,"A+",IF('Data Source'!U372&gt;=4,"A",IF('Data Source'!U372&gt;=3.5,"A-",IF('Data Source'!U372&gt;=3,"B",IF('Data Source'!U372&gt;=2,"C",IF('Data Source'!U372&gt;=1,"D","F")))))),"")</f>
        <v/>
      </c>
      <c r="D372" s="3">
        <f>IF(AND('Data Source'!B372&lt;&gt;"",'Data Source'!S372="A+"),IF('Data Source'!V372&gt;=5,"A+",IF('Data Source'!V372&gt;=4,"A",IF('Data Source'!V372&gt;=3.5,"A-",IF('Data Source'!V372&gt;=3,"B",IF('Data Source'!V372&gt;=2,"C",IF('Data Source'!V372&gt;=1,"D","F")))))),"")</f>
        <v/>
      </c>
      <c r="E372" s="3">
        <f>IF(AND('Data Source'!B372&lt;&gt;"",'Data Source'!S372="A+"),IF('Data Source'!W372&gt;=5,"A+",IF('Data Source'!W372&gt;=4,"A",IF('Data Source'!W372&gt;=3.5,"A-",IF('Data Source'!W372&gt;=3,"B",IF('Data Source'!W372&gt;=2,"C",IF('Data Source'!W372&gt;=1,"D","F")))))),"")</f>
        <v/>
      </c>
      <c r="F372" s="3">
        <f>IF(AND('Data Source'!B372&lt;&gt;"",'Data Source'!S372="A+"),IF('Data Source'!X372&gt;=5,"A+",IF('Data Source'!X372&gt;=4,"A",IF('Data Source'!X372&gt;=3.5,"A-",IF('Data Source'!X372&gt;=3,"B",IF('Data Source'!X372&gt;=2,"C",IF('Data Source'!X372&gt;=1,"D","F")))))),"")</f>
        <v/>
      </c>
      <c r="G372" s="3">
        <f>IF(AND('Data Source'!B372&lt;&gt;"",'Data Source'!S372="A+"),IF('Data Source'!Y372&gt;=5,"A+",IF('Data Source'!Y372&gt;=4,"A",IF('Data Source'!Y372&gt;=3.5,"A-",IF('Data Source'!Y372&gt;=3,"B",IF('Data Source'!Y372&gt;=2,"C",IF('Data Source'!Y372&gt;=1,"D","F")))))),"")</f>
        <v/>
      </c>
      <c r="H372" s="3">
        <f>IF(AND('Data Source'!B372&lt;&gt;"",'Data Source'!S372="A+"),IF('Data Source'!Z372&gt;=5,"A+",IF('Data Source'!Z372&gt;=4,"A",IF('Data Source'!Z372&gt;=3.5,"A-",IF('Data Source'!Z372&gt;=3,"B",IF('Data Source'!Z372&gt;=2,"C",IF('Data Source'!Z372&gt;=1,"D","F")))))),"")</f>
        <v/>
      </c>
      <c r="I372" s="3">
        <f>IF(AND('Data Source'!B372&lt;&gt;"",'Data Source'!S372="A+"),IF('Data Source'!AA372&gt;=5,"A+",IF('Data Source'!AA372&gt;=4,"A",IF('Data Source'!AA372&gt;=3.5,"A-",IF('Data Source'!AA372&gt;=3,"B",IF('Data Source'!AA372&gt;=2,"C",IF('Data Source'!AA372&gt;=1,"D","F")))))),"")</f>
        <v/>
      </c>
      <c r="J372" s="3">
        <f>IF(AND('Data Source'!B372&lt;&gt;"",'Data Source'!S372="A+"),IF('Data Source'!AB372&gt;=5,"A+",IF('Data Source'!AB372&gt;=4,"A",IF('Data Source'!AB372&gt;=3.5,"A-",IF('Data Source'!AB372&gt;=3,"B",IF('Data Source'!AB372&gt;=2,"C",IF('Data Source'!AB372&gt;=1,"D","F")))))),"")</f>
        <v/>
      </c>
      <c r="K372" s="3">
        <f>IF(AND('Data Source'!B372&lt;&gt;"",'Data Source'!S372="A+"),IF('Data Source'!AC372&gt;=5,"A+",IF('Data Source'!AC372&gt;=4,"A",IF('Data Source'!AC372&gt;=3.5,"A-",IF('Data Source'!AC372&gt;=3,"B",IF('Data Source'!AC372&gt;=2,"C",IF('Data Source'!AC372&gt;=1,"D","F")))))),"")</f>
        <v/>
      </c>
      <c r="L372" s="3">
        <f>IF(AND('Data Source'!B372&lt;&gt;"",'Data Source'!S372="A+"),IF('Data Source'!AD372&gt;=5,"A+",IF('Data Source'!AD372&gt;=4,"A",IF('Data Source'!AD372&gt;=3.5,"A-",IF('Data Source'!AD372&gt;=3,"B",IF('Data Source'!AD372&gt;=2,"C",IF('Data Source'!AD372&gt;=1,"D","F")))))),"")</f>
        <v/>
      </c>
      <c r="M372" s="3">
        <f>IF(AND('Data Source'!B372&lt;&gt;"",'Data Source'!S372="A+"),IF('Data Source'!AE372&gt;=5,"A+",IF('Data Source'!AE372&gt;=4,"A",IF('Data Source'!AE372&gt;=3.5,"A-",IF('Data Source'!AE372&gt;=3,"B",IF('Data Source'!AE372&gt;=2,"C",IF('Data Source'!AE372&gt;=1,"D","F")))))),"")</f>
        <v/>
      </c>
      <c r="N372" s="3">
        <f>IF(AND('Data Source'!B372&lt;&gt;"",'Data Source'!S372="A+"),IF('Data Source'!AF372&gt;=5,"A+",IF('Data Source'!AF372&gt;=4,"A",IF('Data Source'!AF372&gt;=3.5,"A-",IF('Data Source'!AF372&gt;=3,"B",IF('Data Source'!AF372&gt;=2,"C",IF('Data Source'!AF372&gt;=1,"D","F")))))),"")</f>
        <v/>
      </c>
      <c r="O372" s="3">
        <f>IF(AND('Data Source'!B372&lt;&gt;"",'Data Source'!S372="A+"),IF('Data Source'!AG372&gt;=5,"A+",IF('Data Source'!AG372&gt;=4,"A",IF('Data Source'!AG372&gt;=3.5,"A-",IF('Data Source'!AG372&gt;=3,"B",IF('Data Source'!AG372&gt;=2,"C",IF('Data Source'!AG372&gt;=1,"D","F")))))),"")</f>
        <v/>
      </c>
      <c r="P372" s="5">
        <f>IF(AND('Data Source'!B372&lt;&gt;"",'Data Source'!S372="A+"),'Data Source'!R372,"")</f>
        <v/>
      </c>
      <c r="Q372" s="3">
        <f>IF(AND('Data Source'!B372&lt;&gt;"",'Data Source'!S372="A+"),'Data Source'!S372,"")</f>
        <v/>
      </c>
    </row>
    <row r="373">
      <c r="A373" s="3">
        <f>IF(AND('Data Source'!B373&lt;&gt;"",'Data Source'!S373="A+"),COUNTIF('Data Source'!$S$3:S373,"A+"),"")</f>
        <v/>
      </c>
      <c r="B373">
        <f>IF(AND('Data Source'!B373&lt;&gt;"",'Data Source'!S373="A+"),'Data Source'!B373,"")</f>
        <v/>
      </c>
      <c r="C373" s="3">
        <f>IF(AND('Data Source'!B373&lt;&gt;"",'Data Source'!S373="A+"),IF('Data Source'!U373&gt;=5,"A+",IF('Data Source'!U373&gt;=4,"A",IF('Data Source'!U373&gt;=3.5,"A-",IF('Data Source'!U373&gt;=3,"B",IF('Data Source'!U373&gt;=2,"C",IF('Data Source'!U373&gt;=1,"D","F")))))),"")</f>
        <v/>
      </c>
      <c r="D373" s="3">
        <f>IF(AND('Data Source'!B373&lt;&gt;"",'Data Source'!S373="A+"),IF('Data Source'!V373&gt;=5,"A+",IF('Data Source'!V373&gt;=4,"A",IF('Data Source'!V373&gt;=3.5,"A-",IF('Data Source'!V373&gt;=3,"B",IF('Data Source'!V373&gt;=2,"C",IF('Data Source'!V373&gt;=1,"D","F")))))),"")</f>
        <v/>
      </c>
      <c r="E373" s="3">
        <f>IF(AND('Data Source'!B373&lt;&gt;"",'Data Source'!S373="A+"),IF('Data Source'!W373&gt;=5,"A+",IF('Data Source'!W373&gt;=4,"A",IF('Data Source'!W373&gt;=3.5,"A-",IF('Data Source'!W373&gt;=3,"B",IF('Data Source'!W373&gt;=2,"C",IF('Data Source'!W373&gt;=1,"D","F")))))),"")</f>
        <v/>
      </c>
      <c r="F373" s="3">
        <f>IF(AND('Data Source'!B373&lt;&gt;"",'Data Source'!S373="A+"),IF('Data Source'!X373&gt;=5,"A+",IF('Data Source'!X373&gt;=4,"A",IF('Data Source'!X373&gt;=3.5,"A-",IF('Data Source'!X373&gt;=3,"B",IF('Data Source'!X373&gt;=2,"C",IF('Data Source'!X373&gt;=1,"D","F")))))),"")</f>
        <v/>
      </c>
      <c r="G373" s="3">
        <f>IF(AND('Data Source'!B373&lt;&gt;"",'Data Source'!S373="A+"),IF('Data Source'!Y373&gt;=5,"A+",IF('Data Source'!Y373&gt;=4,"A",IF('Data Source'!Y373&gt;=3.5,"A-",IF('Data Source'!Y373&gt;=3,"B",IF('Data Source'!Y373&gt;=2,"C",IF('Data Source'!Y373&gt;=1,"D","F")))))),"")</f>
        <v/>
      </c>
      <c r="H373" s="3">
        <f>IF(AND('Data Source'!B373&lt;&gt;"",'Data Source'!S373="A+"),IF('Data Source'!Z373&gt;=5,"A+",IF('Data Source'!Z373&gt;=4,"A",IF('Data Source'!Z373&gt;=3.5,"A-",IF('Data Source'!Z373&gt;=3,"B",IF('Data Source'!Z373&gt;=2,"C",IF('Data Source'!Z373&gt;=1,"D","F")))))),"")</f>
        <v/>
      </c>
      <c r="I373" s="3">
        <f>IF(AND('Data Source'!B373&lt;&gt;"",'Data Source'!S373="A+"),IF('Data Source'!AA373&gt;=5,"A+",IF('Data Source'!AA373&gt;=4,"A",IF('Data Source'!AA373&gt;=3.5,"A-",IF('Data Source'!AA373&gt;=3,"B",IF('Data Source'!AA373&gt;=2,"C",IF('Data Source'!AA373&gt;=1,"D","F")))))),"")</f>
        <v/>
      </c>
      <c r="J373" s="3">
        <f>IF(AND('Data Source'!B373&lt;&gt;"",'Data Source'!S373="A+"),IF('Data Source'!AB373&gt;=5,"A+",IF('Data Source'!AB373&gt;=4,"A",IF('Data Source'!AB373&gt;=3.5,"A-",IF('Data Source'!AB373&gt;=3,"B",IF('Data Source'!AB373&gt;=2,"C",IF('Data Source'!AB373&gt;=1,"D","F")))))),"")</f>
        <v/>
      </c>
      <c r="K373" s="3">
        <f>IF(AND('Data Source'!B373&lt;&gt;"",'Data Source'!S373="A+"),IF('Data Source'!AC373&gt;=5,"A+",IF('Data Source'!AC373&gt;=4,"A",IF('Data Source'!AC373&gt;=3.5,"A-",IF('Data Source'!AC373&gt;=3,"B",IF('Data Source'!AC373&gt;=2,"C",IF('Data Source'!AC373&gt;=1,"D","F")))))),"")</f>
        <v/>
      </c>
      <c r="L373" s="3">
        <f>IF(AND('Data Source'!B373&lt;&gt;"",'Data Source'!S373="A+"),IF('Data Source'!AD373&gt;=5,"A+",IF('Data Source'!AD373&gt;=4,"A",IF('Data Source'!AD373&gt;=3.5,"A-",IF('Data Source'!AD373&gt;=3,"B",IF('Data Source'!AD373&gt;=2,"C",IF('Data Source'!AD373&gt;=1,"D","F")))))),"")</f>
        <v/>
      </c>
      <c r="M373" s="3">
        <f>IF(AND('Data Source'!B373&lt;&gt;"",'Data Source'!S373="A+"),IF('Data Source'!AE373&gt;=5,"A+",IF('Data Source'!AE373&gt;=4,"A",IF('Data Source'!AE373&gt;=3.5,"A-",IF('Data Source'!AE373&gt;=3,"B",IF('Data Source'!AE373&gt;=2,"C",IF('Data Source'!AE373&gt;=1,"D","F")))))),"")</f>
        <v/>
      </c>
      <c r="N373" s="3">
        <f>IF(AND('Data Source'!B373&lt;&gt;"",'Data Source'!S373="A+"),IF('Data Source'!AF373&gt;=5,"A+",IF('Data Source'!AF373&gt;=4,"A",IF('Data Source'!AF373&gt;=3.5,"A-",IF('Data Source'!AF373&gt;=3,"B",IF('Data Source'!AF373&gt;=2,"C",IF('Data Source'!AF373&gt;=1,"D","F")))))),"")</f>
        <v/>
      </c>
      <c r="O373" s="3">
        <f>IF(AND('Data Source'!B373&lt;&gt;"",'Data Source'!S373="A+"),IF('Data Source'!AG373&gt;=5,"A+",IF('Data Source'!AG373&gt;=4,"A",IF('Data Source'!AG373&gt;=3.5,"A-",IF('Data Source'!AG373&gt;=3,"B",IF('Data Source'!AG373&gt;=2,"C",IF('Data Source'!AG373&gt;=1,"D","F")))))),"")</f>
        <v/>
      </c>
      <c r="P373" s="5">
        <f>IF(AND('Data Source'!B373&lt;&gt;"",'Data Source'!S373="A+"),'Data Source'!R373,"")</f>
        <v/>
      </c>
      <c r="Q373" s="3">
        <f>IF(AND('Data Source'!B373&lt;&gt;"",'Data Source'!S373="A+"),'Data Source'!S373,"")</f>
        <v/>
      </c>
    </row>
    <row r="374">
      <c r="A374" s="3">
        <f>IF(AND('Data Source'!B374&lt;&gt;"",'Data Source'!S374="A+"),COUNTIF('Data Source'!$S$3:S374,"A+"),"")</f>
        <v/>
      </c>
      <c r="B374">
        <f>IF(AND('Data Source'!B374&lt;&gt;"",'Data Source'!S374="A+"),'Data Source'!B374,"")</f>
        <v/>
      </c>
      <c r="C374" s="3">
        <f>IF(AND('Data Source'!B374&lt;&gt;"",'Data Source'!S374="A+"),IF('Data Source'!U374&gt;=5,"A+",IF('Data Source'!U374&gt;=4,"A",IF('Data Source'!U374&gt;=3.5,"A-",IF('Data Source'!U374&gt;=3,"B",IF('Data Source'!U374&gt;=2,"C",IF('Data Source'!U374&gt;=1,"D","F")))))),"")</f>
        <v/>
      </c>
      <c r="D374" s="3">
        <f>IF(AND('Data Source'!B374&lt;&gt;"",'Data Source'!S374="A+"),IF('Data Source'!V374&gt;=5,"A+",IF('Data Source'!V374&gt;=4,"A",IF('Data Source'!V374&gt;=3.5,"A-",IF('Data Source'!V374&gt;=3,"B",IF('Data Source'!V374&gt;=2,"C",IF('Data Source'!V374&gt;=1,"D","F")))))),"")</f>
        <v/>
      </c>
      <c r="E374" s="3">
        <f>IF(AND('Data Source'!B374&lt;&gt;"",'Data Source'!S374="A+"),IF('Data Source'!W374&gt;=5,"A+",IF('Data Source'!W374&gt;=4,"A",IF('Data Source'!W374&gt;=3.5,"A-",IF('Data Source'!W374&gt;=3,"B",IF('Data Source'!W374&gt;=2,"C",IF('Data Source'!W374&gt;=1,"D","F")))))),"")</f>
        <v/>
      </c>
      <c r="F374" s="3">
        <f>IF(AND('Data Source'!B374&lt;&gt;"",'Data Source'!S374="A+"),IF('Data Source'!X374&gt;=5,"A+",IF('Data Source'!X374&gt;=4,"A",IF('Data Source'!X374&gt;=3.5,"A-",IF('Data Source'!X374&gt;=3,"B",IF('Data Source'!X374&gt;=2,"C",IF('Data Source'!X374&gt;=1,"D","F")))))),"")</f>
        <v/>
      </c>
      <c r="G374" s="3">
        <f>IF(AND('Data Source'!B374&lt;&gt;"",'Data Source'!S374="A+"),IF('Data Source'!Y374&gt;=5,"A+",IF('Data Source'!Y374&gt;=4,"A",IF('Data Source'!Y374&gt;=3.5,"A-",IF('Data Source'!Y374&gt;=3,"B",IF('Data Source'!Y374&gt;=2,"C",IF('Data Source'!Y374&gt;=1,"D","F")))))),"")</f>
        <v/>
      </c>
      <c r="H374" s="3">
        <f>IF(AND('Data Source'!B374&lt;&gt;"",'Data Source'!S374="A+"),IF('Data Source'!Z374&gt;=5,"A+",IF('Data Source'!Z374&gt;=4,"A",IF('Data Source'!Z374&gt;=3.5,"A-",IF('Data Source'!Z374&gt;=3,"B",IF('Data Source'!Z374&gt;=2,"C",IF('Data Source'!Z374&gt;=1,"D","F")))))),"")</f>
        <v/>
      </c>
      <c r="I374" s="3">
        <f>IF(AND('Data Source'!B374&lt;&gt;"",'Data Source'!S374="A+"),IF('Data Source'!AA374&gt;=5,"A+",IF('Data Source'!AA374&gt;=4,"A",IF('Data Source'!AA374&gt;=3.5,"A-",IF('Data Source'!AA374&gt;=3,"B",IF('Data Source'!AA374&gt;=2,"C",IF('Data Source'!AA374&gt;=1,"D","F")))))),"")</f>
        <v/>
      </c>
      <c r="J374" s="3">
        <f>IF(AND('Data Source'!B374&lt;&gt;"",'Data Source'!S374="A+"),IF('Data Source'!AB374&gt;=5,"A+",IF('Data Source'!AB374&gt;=4,"A",IF('Data Source'!AB374&gt;=3.5,"A-",IF('Data Source'!AB374&gt;=3,"B",IF('Data Source'!AB374&gt;=2,"C",IF('Data Source'!AB374&gt;=1,"D","F")))))),"")</f>
        <v/>
      </c>
      <c r="K374" s="3">
        <f>IF(AND('Data Source'!B374&lt;&gt;"",'Data Source'!S374="A+"),IF('Data Source'!AC374&gt;=5,"A+",IF('Data Source'!AC374&gt;=4,"A",IF('Data Source'!AC374&gt;=3.5,"A-",IF('Data Source'!AC374&gt;=3,"B",IF('Data Source'!AC374&gt;=2,"C",IF('Data Source'!AC374&gt;=1,"D","F")))))),"")</f>
        <v/>
      </c>
      <c r="L374" s="3">
        <f>IF(AND('Data Source'!B374&lt;&gt;"",'Data Source'!S374="A+"),IF('Data Source'!AD374&gt;=5,"A+",IF('Data Source'!AD374&gt;=4,"A",IF('Data Source'!AD374&gt;=3.5,"A-",IF('Data Source'!AD374&gt;=3,"B",IF('Data Source'!AD374&gt;=2,"C",IF('Data Source'!AD374&gt;=1,"D","F")))))),"")</f>
        <v/>
      </c>
      <c r="M374" s="3">
        <f>IF(AND('Data Source'!B374&lt;&gt;"",'Data Source'!S374="A+"),IF('Data Source'!AE374&gt;=5,"A+",IF('Data Source'!AE374&gt;=4,"A",IF('Data Source'!AE374&gt;=3.5,"A-",IF('Data Source'!AE374&gt;=3,"B",IF('Data Source'!AE374&gt;=2,"C",IF('Data Source'!AE374&gt;=1,"D","F")))))),"")</f>
        <v/>
      </c>
      <c r="N374" s="3">
        <f>IF(AND('Data Source'!B374&lt;&gt;"",'Data Source'!S374="A+"),IF('Data Source'!AF374&gt;=5,"A+",IF('Data Source'!AF374&gt;=4,"A",IF('Data Source'!AF374&gt;=3.5,"A-",IF('Data Source'!AF374&gt;=3,"B",IF('Data Source'!AF374&gt;=2,"C",IF('Data Source'!AF374&gt;=1,"D","F")))))),"")</f>
        <v/>
      </c>
      <c r="O374" s="3">
        <f>IF(AND('Data Source'!B374&lt;&gt;"",'Data Source'!S374="A+"),IF('Data Source'!AG374&gt;=5,"A+",IF('Data Source'!AG374&gt;=4,"A",IF('Data Source'!AG374&gt;=3.5,"A-",IF('Data Source'!AG374&gt;=3,"B",IF('Data Source'!AG374&gt;=2,"C",IF('Data Source'!AG374&gt;=1,"D","F")))))),"")</f>
        <v/>
      </c>
      <c r="P374" s="5">
        <f>IF(AND('Data Source'!B374&lt;&gt;"",'Data Source'!S374="A+"),'Data Source'!R374,"")</f>
        <v/>
      </c>
      <c r="Q374" s="3">
        <f>IF(AND('Data Source'!B374&lt;&gt;"",'Data Source'!S374="A+"),'Data Source'!S374,"")</f>
        <v/>
      </c>
    </row>
    <row r="375">
      <c r="A375" s="3">
        <f>IF(AND('Data Source'!B375&lt;&gt;"",'Data Source'!S375="A+"),COUNTIF('Data Source'!$S$3:S375,"A+"),"")</f>
        <v/>
      </c>
      <c r="B375">
        <f>IF(AND('Data Source'!B375&lt;&gt;"",'Data Source'!S375="A+"),'Data Source'!B375,"")</f>
        <v/>
      </c>
      <c r="C375" s="3">
        <f>IF(AND('Data Source'!B375&lt;&gt;"",'Data Source'!S375="A+"),IF('Data Source'!U375&gt;=5,"A+",IF('Data Source'!U375&gt;=4,"A",IF('Data Source'!U375&gt;=3.5,"A-",IF('Data Source'!U375&gt;=3,"B",IF('Data Source'!U375&gt;=2,"C",IF('Data Source'!U375&gt;=1,"D","F")))))),"")</f>
        <v/>
      </c>
      <c r="D375" s="3">
        <f>IF(AND('Data Source'!B375&lt;&gt;"",'Data Source'!S375="A+"),IF('Data Source'!V375&gt;=5,"A+",IF('Data Source'!V375&gt;=4,"A",IF('Data Source'!V375&gt;=3.5,"A-",IF('Data Source'!V375&gt;=3,"B",IF('Data Source'!V375&gt;=2,"C",IF('Data Source'!V375&gt;=1,"D","F")))))),"")</f>
        <v/>
      </c>
      <c r="E375" s="3">
        <f>IF(AND('Data Source'!B375&lt;&gt;"",'Data Source'!S375="A+"),IF('Data Source'!W375&gt;=5,"A+",IF('Data Source'!W375&gt;=4,"A",IF('Data Source'!W375&gt;=3.5,"A-",IF('Data Source'!W375&gt;=3,"B",IF('Data Source'!W375&gt;=2,"C",IF('Data Source'!W375&gt;=1,"D","F")))))),"")</f>
        <v/>
      </c>
      <c r="F375" s="3">
        <f>IF(AND('Data Source'!B375&lt;&gt;"",'Data Source'!S375="A+"),IF('Data Source'!X375&gt;=5,"A+",IF('Data Source'!X375&gt;=4,"A",IF('Data Source'!X375&gt;=3.5,"A-",IF('Data Source'!X375&gt;=3,"B",IF('Data Source'!X375&gt;=2,"C",IF('Data Source'!X375&gt;=1,"D","F")))))),"")</f>
        <v/>
      </c>
      <c r="G375" s="3">
        <f>IF(AND('Data Source'!B375&lt;&gt;"",'Data Source'!S375="A+"),IF('Data Source'!Y375&gt;=5,"A+",IF('Data Source'!Y375&gt;=4,"A",IF('Data Source'!Y375&gt;=3.5,"A-",IF('Data Source'!Y375&gt;=3,"B",IF('Data Source'!Y375&gt;=2,"C",IF('Data Source'!Y375&gt;=1,"D","F")))))),"")</f>
        <v/>
      </c>
      <c r="H375" s="3">
        <f>IF(AND('Data Source'!B375&lt;&gt;"",'Data Source'!S375="A+"),IF('Data Source'!Z375&gt;=5,"A+",IF('Data Source'!Z375&gt;=4,"A",IF('Data Source'!Z375&gt;=3.5,"A-",IF('Data Source'!Z375&gt;=3,"B",IF('Data Source'!Z375&gt;=2,"C",IF('Data Source'!Z375&gt;=1,"D","F")))))),"")</f>
        <v/>
      </c>
      <c r="I375" s="3">
        <f>IF(AND('Data Source'!B375&lt;&gt;"",'Data Source'!S375="A+"),IF('Data Source'!AA375&gt;=5,"A+",IF('Data Source'!AA375&gt;=4,"A",IF('Data Source'!AA375&gt;=3.5,"A-",IF('Data Source'!AA375&gt;=3,"B",IF('Data Source'!AA375&gt;=2,"C",IF('Data Source'!AA375&gt;=1,"D","F")))))),"")</f>
        <v/>
      </c>
      <c r="J375" s="3">
        <f>IF(AND('Data Source'!B375&lt;&gt;"",'Data Source'!S375="A+"),IF('Data Source'!AB375&gt;=5,"A+",IF('Data Source'!AB375&gt;=4,"A",IF('Data Source'!AB375&gt;=3.5,"A-",IF('Data Source'!AB375&gt;=3,"B",IF('Data Source'!AB375&gt;=2,"C",IF('Data Source'!AB375&gt;=1,"D","F")))))),"")</f>
        <v/>
      </c>
      <c r="K375" s="3">
        <f>IF(AND('Data Source'!B375&lt;&gt;"",'Data Source'!S375="A+"),IF('Data Source'!AC375&gt;=5,"A+",IF('Data Source'!AC375&gt;=4,"A",IF('Data Source'!AC375&gt;=3.5,"A-",IF('Data Source'!AC375&gt;=3,"B",IF('Data Source'!AC375&gt;=2,"C",IF('Data Source'!AC375&gt;=1,"D","F")))))),"")</f>
        <v/>
      </c>
      <c r="L375" s="3">
        <f>IF(AND('Data Source'!B375&lt;&gt;"",'Data Source'!S375="A+"),IF('Data Source'!AD375&gt;=5,"A+",IF('Data Source'!AD375&gt;=4,"A",IF('Data Source'!AD375&gt;=3.5,"A-",IF('Data Source'!AD375&gt;=3,"B",IF('Data Source'!AD375&gt;=2,"C",IF('Data Source'!AD375&gt;=1,"D","F")))))),"")</f>
        <v/>
      </c>
      <c r="M375" s="3">
        <f>IF(AND('Data Source'!B375&lt;&gt;"",'Data Source'!S375="A+"),IF('Data Source'!AE375&gt;=5,"A+",IF('Data Source'!AE375&gt;=4,"A",IF('Data Source'!AE375&gt;=3.5,"A-",IF('Data Source'!AE375&gt;=3,"B",IF('Data Source'!AE375&gt;=2,"C",IF('Data Source'!AE375&gt;=1,"D","F")))))),"")</f>
        <v/>
      </c>
      <c r="N375" s="3">
        <f>IF(AND('Data Source'!B375&lt;&gt;"",'Data Source'!S375="A+"),IF('Data Source'!AF375&gt;=5,"A+",IF('Data Source'!AF375&gt;=4,"A",IF('Data Source'!AF375&gt;=3.5,"A-",IF('Data Source'!AF375&gt;=3,"B",IF('Data Source'!AF375&gt;=2,"C",IF('Data Source'!AF375&gt;=1,"D","F")))))),"")</f>
        <v/>
      </c>
      <c r="O375" s="3">
        <f>IF(AND('Data Source'!B375&lt;&gt;"",'Data Source'!S375="A+"),IF('Data Source'!AG375&gt;=5,"A+",IF('Data Source'!AG375&gt;=4,"A",IF('Data Source'!AG375&gt;=3.5,"A-",IF('Data Source'!AG375&gt;=3,"B",IF('Data Source'!AG375&gt;=2,"C",IF('Data Source'!AG375&gt;=1,"D","F")))))),"")</f>
        <v/>
      </c>
      <c r="P375" s="5">
        <f>IF(AND('Data Source'!B375&lt;&gt;"",'Data Source'!S375="A+"),'Data Source'!R375,"")</f>
        <v/>
      </c>
      <c r="Q375" s="3">
        <f>IF(AND('Data Source'!B375&lt;&gt;"",'Data Source'!S375="A+"),'Data Source'!S375,"")</f>
        <v/>
      </c>
    </row>
    <row r="376">
      <c r="A376" s="3">
        <f>IF(AND('Data Source'!B376&lt;&gt;"",'Data Source'!S376="A+"),COUNTIF('Data Source'!$S$3:S376,"A+"),"")</f>
        <v/>
      </c>
      <c r="B376">
        <f>IF(AND('Data Source'!B376&lt;&gt;"",'Data Source'!S376="A+"),'Data Source'!B376,"")</f>
        <v/>
      </c>
      <c r="C376" s="3">
        <f>IF(AND('Data Source'!B376&lt;&gt;"",'Data Source'!S376="A+"),IF('Data Source'!U376&gt;=5,"A+",IF('Data Source'!U376&gt;=4,"A",IF('Data Source'!U376&gt;=3.5,"A-",IF('Data Source'!U376&gt;=3,"B",IF('Data Source'!U376&gt;=2,"C",IF('Data Source'!U376&gt;=1,"D","F")))))),"")</f>
        <v/>
      </c>
      <c r="D376" s="3">
        <f>IF(AND('Data Source'!B376&lt;&gt;"",'Data Source'!S376="A+"),IF('Data Source'!V376&gt;=5,"A+",IF('Data Source'!V376&gt;=4,"A",IF('Data Source'!V376&gt;=3.5,"A-",IF('Data Source'!V376&gt;=3,"B",IF('Data Source'!V376&gt;=2,"C",IF('Data Source'!V376&gt;=1,"D","F")))))),"")</f>
        <v/>
      </c>
      <c r="E376" s="3">
        <f>IF(AND('Data Source'!B376&lt;&gt;"",'Data Source'!S376="A+"),IF('Data Source'!W376&gt;=5,"A+",IF('Data Source'!W376&gt;=4,"A",IF('Data Source'!W376&gt;=3.5,"A-",IF('Data Source'!W376&gt;=3,"B",IF('Data Source'!W376&gt;=2,"C",IF('Data Source'!W376&gt;=1,"D","F")))))),"")</f>
        <v/>
      </c>
      <c r="F376" s="3">
        <f>IF(AND('Data Source'!B376&lt;&gt;"",'Data Source'!S376="A+"),IF('Data Source'!X376&gt;=5,"A+",IF('Data Source'!X376&gt;=4,"A",IF('Data Source'!X376&gt;=3.5,"A-",IF('Data Source'!X376&gt;=3,"B",IF('Data Source'!X376&gt;=2,"C",IF('Data Source'!X376&gt;=1,"D","F")))))),"")</f>
        <v/>
      </c>
      <c r="G376" s="3">
        <f>IF(AND('Data Source'!B376&lt;&gt;"",'Data Source'!S376="A+"),IF('Data Source'!Y376&gt;=5,"A+",IF('Data Source'!Y376&gt;=4,"A",IF('Data Source'!Y376&gt;=3.5,"A-",IF('Data Source'!Y376&gt;=3,"B",IF('Data Source'!Y376&gt;=2,"C",IF('Data Source'!Y376&gt;=1,"D","F")))))),"")</f>
        <v/>
      </c>
      <c r="H376" s="3">
        <f>IF(AND('Data Source'!B376&lt;&gt;"",'Data Source'!S376="A+"),IF('Data Source'!Z376&gt;=5,"A+",IF('Data Source'!Z376&gt;=4,"A",IF('Data Source'!Z376&gt;=3.5,"A-",IF('Data Source'!Z376&gt;=3,"B",IF('Data Source'!Z376&gt;=2,"C",IF('Data Source'!Z376&gt;=1,"D","F")))))),"")</f>
        <v/>
      </c>
      <c r="I376" s="3">
        <f>IF(AND('Data Source'!B376&lt;&gt;"",'Data Source'!S376="A+"),IF('Data Source'!AA376&gt;=5,"A+",IF('Data Source'!AA376&gt;=4,"A",IF('Data Source'!AA376&gt;=3.5,"A-",IF('Data Source'!AA376&gt;=3,"B",IF('Data Source'!AA376&gt;=2,"C",IF('Data Source'!AA376&gt;=1,"D","F")))))),"")</f>
        <v/>
      </c>
      <c r="J376" s="3">
        <f>IF(AND('Data Source'!B376&lt;&gt;"",'Data Source'!S376="A+"),IF('Data Source'!AB376&gt;=5,"A+",IF('Data Source'!AB376&gt;=4,"A",IF('Data Source'!AB376&gt;=3.5,"A-",IF('Data Source'!AB376&gt;=3,"B",IF('Data Source'!AB376&gt;=2,"C",IF('Data Source'!AB376&gt;=1,"D","F")))))),"")</f>
        <v/>
      </c>
      <c r="K376" s="3">
        <f>IF(AND('Data Source'!B376&lt;&gt;"",'Data Source'!S376="A+"),IF('Data Source'!AC376&gt;=5,"A+",IF('Data Source'!AC376&gt;=4,"A",IF('Data Source'!AC376&gt;=3.5,"A-",IF('Data Source'!AC376&gt;=3,"B",IF('Data Source'!AC376&gt;=2,"C",IF('Data Source'!AC376&gt;=1,"D","F")))))),"")</f>
        <v/>
      </c>
      <c r="L376" s="3">
        <f>IF(AND('Data Source'!B376&lt;&gt;"",'Data Source'!S376="A+"),IF('Data Source'!AD376&gt;=5,"A+",IF('Data Source'!AD376&gt;=4,"A",IF('Data Source'!AD376&gt;=3.5,"A-",IF('Data Source'!AD376&gt;=3,"B",IF('Data Source'!AD376&gt;=2,"C",IF('Data Source'!AD376&gt;=1,"D","F")))))),"")</f>
        <v/>
      </c>
      <c r="M376" s="3">
        <f>IF(AND('Data Source'!B376&lt;&gt;"",'Data Source'!S376="A+"),IF('Data Source'!AE376&gt;=5,"A+",IF('Data Source'!AE376&gt;=4,"A",IF('Data Source'!AE376&gt;=3.5,"A-",IF('Data Source'!AE376&gt;=3,"B",IF('Data Source'!AE376&gt;=2,"C",IF('Data Source'!AE376&gt;=1,"D","F")))))),"")</f>
        <v/>
      </c>
      <c r="N376" s="3">
        <f>IF(AND('Data Source'!B376&lt;&gt;"",'Data Source'!S376="A+"),IF('Data Source'!AF376&gt;=5,"A+",IF('Data Source'!AF376&gt;=4,"A",IF('Data Source'!AF376&gt;=3.5,"A-",IF('Data Source'!AF376&gt;=3,"B",IF('Data Source'!AF376&gt;=2,"C",IF('Data Source'!AF376&gt;=1,"D","F")))))),"")</f>
        <v/>
      </c>
      <c r="O376" s="3">
        <f>IF(AND('Data Source'!B376&lt;&gt;"",'Data Source'!S376="A+"),IF('Data Source'!AG376&gt;=5,"A+",IF('Data Source'!AG376&gt;=4,"A",IF('Data Source'!AG376&gt;=3.5,"A-",IF('Data Source'!AG376&gt;=3,"B",IF('Data Source'!AG376&gt;=2,"C",IF('Data Source'!AG376&gt;=1,"D","F")))))),"")</f>
        <v/>
      </c>
      <c r="P376" s="5">
        <f>IF(AND('Data Source'!B376&lt;&gt;"",'Data Source'!S376="A+"),'Data Source'!R376,"")</f>
        <v/>
      </c>
      <c r="Q376" s="3">
        <f>IF(AND('Data Source'!B376&lt;&gt;"",'Data Source'!S376="A+"),'Data Source'!S376,"")</f>
        <v/>
      </c>
    </row>
    <row r="377">
      <c r="A377" s="3">
        <f>IF(AND('Data Source'!B377&lt;&gt;"",'Data Source'!S377="A+"),COUNTIF('Data Source'!$S$3:S377,"A+"),"")</f>
        <v/>
      </c>
      <c r="B377">
        <f>IF(AND('Data Source'!B377&lt;&gt;"",'Data Source'!S377="A+"),'Data Source'!B377,"")</f>
        <v/>
      </c>
      <c r="C377" s="3">
        <f>IF(AND('Data Source'!B377&lt;&gt;"",'Data Source'!S377="A+"),IF('Data Source'!U377&gt;=5,"A+",IF('Data Source'!U377&gt;=4,"A",IF('Data Source'!U377&gt;=3.5,"A-",IF('Data Source'!U377&gt;=3,"B",IF('Data Source'!U377&gt;=2,"C",IF('Data Source'!U377&gt;=1,"D","F")))))),"")</f>
        <v/>
      </c>
      <c r="D377" s="3">
        <f>IF(AND('Data Source'!B377&lt;&gt;"",'Data Source'!S377="A+"),IF('Data Source'!V377&gt;=5,"A+",IF('Data Source'!V377&gt;=4,"A",IF('Data Source'!V377&gt;=3.5,"A-",IF('Data Source'!V377&gt;=3,"B",IF('Data Source'!V377&gt;=2,"C",IF('Data Source'!V377&gt;=1,"D","F")))))),"")</f>
        <v/>
      </c>
      <c r="E377" s="3">
        <f>IF(AND('Data Source'!B377&lt;&gt;"",'Data Source'!S377="A+"),IF('Data Source'!W377&gt;=5,"A+",IF('Data Source'!W377&gt;=4,"A",IF('Data Source'!W377&gt;=3.5,"A-",IF('Data Source'!W377&gt;=3,"B",IF('Data Source'!W377&gt;=2,"C",IF('Data Source'!W377&gt;=1,"D","F")))))),"")</f>
        <v/>
      </c>
      <c r="F377" s="3">
        <f>IF(AND('Data Source'!B377&lt;&gt;"",'Data Source'!S377="A+"),IF('Data Source'!X377&gt;=5,"A+",IF('Data Source'!X377&gt;=4,"A",IF('Data Source'!X377&gt;=3.5,"A-",IF('Data Source'!X377&gt;=3,"B",IF('Data Source'!X377&gt;=2,"C",IF('Data Source'!X377&gt;=1,"D","F")))))),"")</f>
        <v/>
      </c>
      <c r="G377" s="3">
        <f>IF(AND('Data Source'!B377&lt;&gt;"",'Data Source'!S377="A+"),IF('Data Source'!Y377&gt;=5,"A+",IF('Data Source'!Y377&gt;=4,"A",IF('Data Source'!Y377&gt;=3.5,"A-",IF('Data Source'!Y377&gt;=3,"B",IF('Data Source'!Y377&gt;=2,"C",IF('Data Source'!Y377&gt;=1,"D","F")))))),"")</f>
        <v/>
      </c>
      <c r="H377" s="3">
        <f>IF(AND('Data Source'!B377&lt;&gt;"",'Data Source'!S377="A+"),IF('Data Source'!Z377&gt;=5,"A+",IF('Data Source'!Z377&gt;=4,"A",IF('Data Source'!Z377&gt;=3.5,"A-",IF('Data Source'!Z377&gt;=3,"B",IF('Data Source'!Z377&gt;=2,"C",IF('Data Source'!Z377&gt;=1,"D","F")))))),"")</f>
        <v/>
      </c>
      <c r="I377" s="3">
        <f>IF(AND('Data Source'!B377&lt;&gt;"",'Data Source'!S377="A+"),IF('Data Source'!AA377&gt;=5,"A+",IF('Data Source'!AA377&gt;=4,"A",IF('Data Source'!AA377&gt;=3.5,"A-",IF('Data Source'!AA377&gt;=3,"B",IF('Data Source'!AA377&gt;=2,"C",IF('Data Source'!AA377&gt;=1,"D","F")))))),"")</f>
        <v/>
      </c>
      <c r="J377" s="3">
        <f>IF(AND('Data Source'!B377&lt;&gt;"",'Data Source'!S377="A+"),IF('Data Source'!AB377&gt;=5,"A+",IF('Data Source'!AB377&gt;=4,"A",IF('Data Source'!AB377&gt;=3.5,"A-",IF('Data Source'!AB377&gt;=3,"B",IF('Data Source'!AB377&gt;=2,"C",IF('Data Source'!AB377&gt;=1,"D","F")))))),"")</f>
        <v/>
      </c>
      <c r="K377" s="3">
        <f>IF(AND('Data Source'!B377&lt;&gt;"",'Data Source'!S377="A+"),IF('Data Source'!AC377&gt;=5,"A+",IF('Data Source'!AC377&gt;=4,"A",IF('Data Source'!AC377&gt;=3.5,"A-",IF('Data Source'!AC377&gt;=3,"B",IF('Data Source'!AC377&gt;=2,"C",IF('Data Source'!AC377&gt;=1,"D","F")))))),"")</f>
        <v/>
      </c>
      <c r="L377" s="3">
        <f>IF(AND('Data Source'!B377&lt;&gt;"",'Data Source'!S377="A+"),IF('Data Source'!AD377&gt;=5,"A+",IF('Data Source'!AD377&gt;=4,"A",IF('Data Source'!AD377&gt;=3.5,"A-",IF('Data Source'!AD377&gt;=3,"B",IF('Data Source'!AD377&gt;=2,"C",IF('Data Source'!AD377&gt;=1,"D","F")))))),"")</f>
        <v/>
      </c>
      <c r="M377" s="3">
        <f>IF(AND('Data Source'!B377&lt;&gt;"",'Data Source'!S377="A+"),IF('Data Source'!AE377&gt;=5,"A+",IF('Data Source'!AE377&gt;=4,"A",IF('Data Source'!AE377&gt;=3.5,"A-",IF('Data Source'!AE377&gt;=3,"B",IF('Data Source'!AE377&gt;=2,"C",IF('Data Source'!AE377&gt;=1,"D","F")))))),"")</f>
        <v/>
      </c>
      <c r="N377" s="3">
        <f>IF(AND('Data Source'!B377&lt;&gt;"",'Data Source'!S377="A+"),IF('Data Source'!AF377&gt;=5,"A+",IF('Data Source'!AF377&gt;=4,"A",IF('Data Source'!AF377&gt;=3.5,"A-",IF('Data Source'!AF377&gt;=3,"B",IF('Data Source'!AF377&gt;=2,"C",IF('Data Source'!AF377&gt;=1,"D","F")))))),"")</f>
        <v/>
      </c>
      <c r="O377" s="3">
        <f>IF(AND('Data Source'!B377&lt;&gt;"",'Data Source'!S377="A+"),IF('Data Source'!AG377&gt;=5,"A+",IF('Data Source'!AG377&gt;=4,"A",IF('Data Source'!AG377&gt;=3.5,"A-",IF('Data Source'!AG377&gt;=3,"B",IF('Data Source'!AG377&gt;=2,"C",IF('Data Source'!AG377&gt;=1,"D","F")))))),"")</f>
        <v/>
      </c>
      <c r="P377" s="5">
        <f>IF(AND('Data Source'!B377&lt;&gt;"",'Data Source'!S377="A+"),'Data Source'!R377,"")</f>
        <v/>
      </c>
      <c r="Q377" s="3">
        <f>IF(AND('Data Source'!B377&lt;&gt;"",'Data Source'!S377="A+"),'Data Source'!S377,"")</f>
        <v/>
      </c>
    </row>
    <row r="378">
      <c r="A378" s="3">
        <f>IF(AND('Data Source'!B378&lt;&gt;"",'Data Source'!S378="A+"),COUNTIF('Data Source'!$S$3:S378,"A+"),"")</f>
        <v/>
      </c>
      <c r="B378">
        <f>IF(AND('Data Source'!B378&lt;&gt;"",'Data Source'!S378="A+"),'Data Source'!B378,"")</f>
        <v/>
      </c>
      <c r="C378" s="3">
        <f>IF(AND('Data Source'!B378&lt;&gt;"",'Data Source'!S378="A+"),IF('Data Source'!U378&gt;=5,"A+",IF('Data Source'!U378&gt;=4,"A",IF('Data Source'!U378&gt;=3.5,"A-",IF('Data Source'!U378&gt;=3,"B",IF('Data Source'!U378&gt;=2,"C",IF('Data Source'!U378&gt;=1,"D","F")))))),"")</f>
        <v/>
      </c>
      <c r="D378" s="3">
        <f>IF(AND('Data Source'!B378&lt;&gt;"",'Data Source'!S378="A+"),IF('Data Source'!V378&gt;=5,"A+",IF('Data Source'!V378&gt;=4,"A",IF('Data Source'!V378&gt;=3.5,"A-",IF('Data Source'!V378&gt;=3,"B",IF('Data Source'!V378&gt;=2,"C",IF('Data Source'!V378&gt;=1,"D","F")))))),"")</f>
        <v/>
      </c>
      <c r="E378" s="3">
        <f>IF(AND('Data Source'!B378&lt;&gt;"",'Data Source'!S378="A+"),IF('Data Source'!W378&gt;=5,"A+",IF('Data Source'!W378&gt;=4,"A",IF('Data Source'!W378&gt;=3.5,"A-",IF('Data Source'!W378&gt;=3,"B",IF('Data Source'!W378&gt;=2,"C",IF('Data Source'!W378&gt;=1,"D","F")))))),"")</f>
        <v/>
      </c>
      <c r="F378" s="3">
        <f>IF(AND('Data Source'!B378&lt;&gt;"",'Data Source'!S378="A+"),IF('Data Source'!X378&gt;=5,"A+",IF('Data Source'!X378&gt;=4,"A",IF('Data Source'!X378&gt;=3.5,"A-",IF('Data Source'!X378&gt;=3,"B",IF('Data Source'!X378&gt;=2,"C",IF('Data Source'!X378&gt;=1,"D","F")))))),"")</f>
        <v/>
      </c>
      <c r="G378" s="3">
        <f>IF(AND('Data Source'!B378&lt;&gt;"",'Data Source'!S378="A+"),IF('Data Source'!Y378&gt;=5,"A+",IF('Data Source'!Y378&gt;=4,"A",IF('Data Source'!Y378&gt;=3.5,"A-",IF('Data Source'!Y378&gt;=3,"B",IF('Data Source'!Y378&gt;=2,"C",IF('Data Source'!Y378&gt;=1,"D","F")))))),"")</f>
        <v/>
      </c>
      <c r="H378" s="3">
        <f>IF(AND('Data Source'!B378&lt;&gt;"",'Data Source'!S378="A+"),IF('Data Source'!Z378&gt;=5,"A+",IF('Data Source'!Z378&gt;=4,"A",IF('Data Source'!Z378&gt;=3.5,"A-",IF('Data Source'!Z378&gt;=3,"B",IF('Data Source'!Z378&gt;=2,"C",IF('Data Source'!Z378&gt;=1,"D","F")))))),"")</f>
        <v/>
      </c>
      <c r="I378" s="3">
        <f>IF(AND('Data Source'!B378&lt;&gt;"",'Data Source'!S378="A+"),IF('Data Source'!AA378&gt;=5,"A+",IF('Data Source'!AA378&gt;=4,"A",IF('Data Source'!AA378&gt;=3.5,"A-",IF('Data Source'!AA378&gt;=3,"B",IF('Data Source'!AA378&gt;=2,"C",IF('Data Source'!AA378&gt;=1,"D","F")))))),"")</f>
        <v/>
      </c>
      <c r="J378" s="3">
        <f>IF(AND('Data Source'!B378&lt;&gt;"",'Data Source'!S378="A+"),IF('Data Source'!AB378&gt;=5,"A+",IF('Data Source'!AB378&gt;=4,"A",IF('Data Source'!AB378&gt;=3.5,"A-",IF('Data Source'!AB378&gt;=3,"B",IF('Data Source'!AB378&gt;=2,"C",IF('Data Source'!AB378&gt;=1,"D","F")))))),"")</f>
        <v/>
      </c>
      <c r="K378" s="3">
        <f>IF(AND('Data Source'!B378&lt;&gt;"",'Data Source'!S378="A+"),IF('Data Source'!AC378&gt;=5,"A+",IF('Data Source'!AC378&gt;=4,"A",IF('Data Source'!AC378&gt;=3.5,"A-",IF('Data Source'!AC378&gt;=3,"B",IF('Data Source'!AC378&gt;=2,"C",IF('Data Source'!AC378&gt;=1,"D","F")))))),"")</f>
        <v/>
      </c>
      <c r="L378" s="3">
        <f>IF(AND('Data Source'!B378&lt;&gt;"",'Data Source'!S378="A+"),IF('Data Source'!AD378&gt;=5,"A+",IF('Data Source'!AD378&gt;=4,"A",IF('Data Source'!AD378&gt;=3.5,"A-",IF('Data Source'!AD378&gt;=3,"B",IF('Data Source'!AD378&gt;=2,"C",IF('Data Source'!AD378&gt;=1,"D","F")))))),"")</f>
        <v/>
      </c>
      <c r="M378" s="3">
        <f>IF(AND('Data Source'!B378&lt;&gt;"",'Data Source'!S378="A+"),IF('Data Source'!AE378&gt;=5,"A+",IF('Data Source'!AE378&gt;=4,"A",IF('Data Source'!AE378&gt;=3.5,"A-",IF('Data Source'!AE378&gt;=3,"B",IF('Data Source'!AE378&gt;=2,"C",IF('Data Source'!AE378&gt;=1,"D","F")))))),"")</f>
        <v/>
      </c>
      <c r="N378" s="3">
        <f>IF(AND('Data Source'!B378&lt;&gt;"",'Data Source'!S378="A+"),IF('Data Source'!AF378&gt;=5,"A+",IF('Data Source'!AF378&gt;=4,"A",IF('Data Source'!AF378&gt;=3.5,"A-",IF('Data Source'!AF378&gt;=3,"B",IF('Data Source'!AF378&gt;=2,"C",IF('Data Source'!AF378&gt;=1,"D","F")))))),"")</f>
        <v/>
      </c>
      <c r="O378" s="3">
        <f>IF(AND('Data Source'!B378&lt;&gt;"",'Data Source'!S378="A+"),IF('Data Source'!AG378&gt;=5,"A+",IF('Data Source'!AG378&gt;=4,"A",IF('Data Source'!AG378&gt;=3.5,"A-",IF('Data Source'!AG378&gt;=3,"B",IF('Data Source'!AG378&gt;=2,"C",IF('Data Source'!AG378&gt;=1,"D","F")))))),"")</f>
        <v/>
      </c>
      <c r="P378" s="5">
        <f>IF(AND('Data Source'!B378&lt;&gt;"",'Data Source'!S378="A+"),'Data Source'!R378,"")</f>
        <v/>
      </c>
      <c r="Q378" s="3">
        <f>IF(AND('Data Source'!B378&lt;&gt;"",'Data Source'!S378="A+"),'Data Source'!S378,"")</f>
        <v/>
      </c>
    </row>
    <row r="379">
      <c r="A379" s="3">
        <f>IF(AND('Data Source'!B379&lt;&gt;"",'Data Source'!S379="A+"),COUNTIF('Data Source'!$S$3:S379,"A+"),"")</f>
        <v/>
      </c>
      <c r="B379">
        <f>IF(AND('Data Source'!B379&lt;&gt;"",'Data Source'!S379="A+"),'Data Source'!B379,"")</f>
        <v/>
      </c>
      <c r="C379" s="3">
        <f>IF(AND('Data Source'!B379&lt;&gt;"",'Data Source'!S379="A+"),IF('Data Source'!U379&gt;=5,"A+",IF('Data Source'!U379&gt;=4,"A",IF('Data Source'!U379&gt;=3.5,"A-",IF('Data Source'!U379&gt;=3,"B",IF('Data Source'!U379&gt;=2,"C",IF('Data Source'!U379&gt;=1,"D","F")))))),"")</f>
        <v/>
      </c>
      <c r="D379" s="3">
        <f>IF(AND('Data Source'!B379&lt;&gt;"",'Data Source'!S379="A+"),IF('Data Source'!V379&gt;=5,"A+",IF('Data Source'!V379&gt;=4,"A",IF('Data Source'!V379&gt;=3.5,"A-",IF('Data Source'!V379&gt;=3,"B",IF('Data Source'!V379&gt;=2,"C",IF('Data Source'!V379&gt;=1,"D","F")))))),"")</f>
        <v/>
      </c>
      <c r="E379" s="3">
        <f>IF(AND('Data Source'!B379&lt;&gt;"",'Data Source'!S379="A+"),IF('Data Source'!W379&gt;=5,"A+",IF('Data Source'!W379&gt;=4,"A",IF('Data Source'!W379&gt;=3.5,"A-",IF('Data Source'!W379&gt;=3,"B",IF('Data Source'!W379&gt;=2,"C",IF('Data Source'!W379&gt;=1,"D","F")))))),"")</f>
        <v/>
      </c>
      <c r="F379" s="3">
        <f>IF(AND('Data Source'!B379&lt;&gt;"",'Data Source'!S379="A+"),IF('Data Source'!X379&gt;=5,"A+",IF('Data Source'!X379&gt;=4,"A",IF('Data Source'!X379&gt;=3.5,"A-",IF('Data Source'!X379&gt;=3,"B",IF('Data Source'!X379&gt;=2,"C",IF('Data Source'!X379&gt;=1,"D","F")))))),"")</f>
        <v/>
      </c>
      <c r="G379" s="3">
        <f>IF(AND('Data Source'!B379&lt;&gt;"",'Data Source'!S379="A+"),IF('Data Source'!Y379&gt;=5,"A+",IF('Data Source'!Y379&gt;=4,"A",IF('Data Source'!Y379&gt;=3.5,"A-",IF('Data Source'!Y379&gt;=3,"B",IF('Data Source'!Y379&gt;=2,"C",IF('Data Source'!Y379&gt;=1,"D","F")))))),"")</f>
        <v/>
      </c>
      <c r="H379" s="3">
        <f>IF(AND('Data Source'!B379&lt;&gt;"",'Data Source'!S379="A+"),IF('Data Source'!Z379&gt;=5,"A+",IF('Data Source'!Z379&gt;=4,"A",IF('Data Source'!Z379&gt;=3.5,"A-",IF('Data Source'!Z379&gt;=3,"B",IF('Data Source'!Z379&gt;=2,"C",IF('Data Source'!Z379&gt;=1,"D","F")))))),"")</f>
        <v/>
      </c>
      <c r="I379" s="3">
        <f>IF(AND('Data Source'!B379&lt;&gt;"",'Data Source'!S379="A+"),IF('Data Source'!AA379&gt;=5,"A+",IF('Data Source'!AA379&gt;=4,"A",IF('Data Source'!AA379&gt;=3.5,"A-",IF('Data Source'!AA379&gt;=3,"B",IF('Data Source'!AA379&gt;=2,"C",IF('Data Source'!AA379&gt;=1,"D","F")))))),"")</f>
        <v/>
      </c>
      <c r="J379" s="3">
        <f>IF(AND('Data Source'!B379&lt;&gt;"",'Data Source'!S379="A+"),IF('Data Source'!AB379&gt;=5,"A+",IF('Data Source'!AB379&gt;=4,"A",IF('Data Source'!AB379&gt;=3.5,"A-",IF('Data Source'!AB379&gt;=3,"B",IF('Data Source'!AB379&gt;=2,"C",IF('Data Source'!AB379&gt;=1,"D","F")))))),"")</f>
        <v/>
      </c>
      <c r="K379" s="3">
        <f>IF(AND('Data Source'!B379&lt;&gt;"",'Data Source'!S379="A+"),IF('Data Source'!AC379&gt;=5,"A+",IF('Data Source'!AC379&gt;=4,"A",IF('Data Source'!AC379&gt;=3.5,"A-",IF('Data Source'!AC379&gt;=3,"B",IF('Data Source'!AC379&gt;=2,"C",IF('Data Source'!AC379&gt;=1,"D","F")))))),"")</f>
        <v/>
      </c>
      <c r="L379" s="3">
        <f>IF(AND('Data Source'!B379&lt;&gt;"",'Data Source'!S379="A+"),IF('Data Source'!AD379&gt;=5,"A+",IF('Data Source'!AD379&gt;=4,"A",IF('Data Source'!AD379&gt;=3.5,"A-",IF('Data Source'!AD379&gt;=3,"B",IF('Data Source'!AD379&gt;=2,"C",IF('Data Source'!AD379&gt;=1,"D","F")))))),"")</f>
        <v/>
      </c>
      <c r="M379" s="3">
        <f>IF(AND('Data Source'!B379&lt;&gt;"",'Data Source'!S379="A+"),IF('Data Source'!AE379&gt;=5,"A+",IF('Data Source'!AE379&gt;=4,"A",IF('Data Source'!AE379&gt;=3.5,"A-",IF('Data Source'!AE379&gt;=3,"B",IF('Data Source'!AE379&gt;=2,"C",IF('Data Source'!AE379&gt;=1,"D","F")))))),"")</f>
        <v/>
      </c>
      <c r="N379" s="3">
        <f>IF(AND('Data Source'!B379&lt;&gt;"",'Data Source'!S379="A+"),IF('Data Source'!AF379&gt;=5,"A+",IF('Data Source'!AF379&gt;=4,"A",IF('Data Source'!AF379&gt;=3.5,"A-",IF('Data Source'!AF379&gt;=3,"B",IF('Data Source'!AF379&gt;=2,"C",IF('Data Source'!AF379&gt;=1,"D","F")))))),"")</f>
        <v/>
      </c>
      <c r="O379" s="3">
        <f>IF(AND('Data Source'!B379&lt;&gt;"",'Data Source'!S379="A+"),IF('Data Source'!AG379&gt;=5,"A+",IF('Data Source'!AG379&gt;=4,"A",IF('Data Source'!AG379&gt;=3.5,"A-",IF('Data Source'!AG379&gt;=3,"B",IF('Data Source'!AG379&gt;=2,"C",IF('Data Source'!AG379&gt;=1,"D","F")))))),"")</f>
        <v/>
      </c>
      <c r="P379" s="5">
        <f>IF(AND('Data Source'!B379&lt;&gt;"",'Data Source'!S379="A+"),'Data Source'!R379,"")</f>
        <v/>
      </c>
      <c r="Q379" s="3">
        <f>IF(AND('Data Source'!B379&lt;&gt;"",'Data Source'!S379="A+"),'Data Source'!S379,"")</f>
        <v/>
      </c>
    </row>
    <row r="380">
      <c r="A380" s="3">
        <f>IF(AND('Data Source'!B380&lt;&gt;"",'Data Source'!S380="A+"),COUNTIF('Data Source'!$S$3:S380,"A+"),"")</f>
        <v/>
      </c>
      <c r="B380">
        <f>IF(AND('Data Source'!B380&lt;&gt;"",'Data Source'!S380="A+"),'Data Source'!B380,"")</f>
        <v/>
      </c>
      <c r="C380" s="3">
        <f>IF(AND('Data Source'!B380&lt;&gt;"",'Data Source'!S380="A+"),IF('Data Source'!U380&gt;=5,"A+",IF('Data Source'!U380&gt;=4,"A",IF('Data Source'!U380&gt;=3.5,"A-",IF('Data Source'!U380&gt;=3,"B",IF('Data Source'!U380&gt;=2,"C",IF('Data Source'!U380&gt;=1,"D","F")))))),"")</f>
        <v/>
      </c>
      <c r="D380" s="3">
        <f>IF(AND('Data Source'!B380&lt;&gt;"",'Data Source'!S380="A+"),IF('Data Source'!V380&gt;=5,"A+",IF('Data Source'!V380&gt;=4,"A",IF('Data Source'!V380&gt;=3.5,"A-",IF('Data Source'!V380&gt;=3,"B",IF('Data Source'!V380&gt;=2,"C",IF('Data Source'!V380&gt;=1,"D","F")))))),"")</f>
        <v/>
      </c>
      <c r="E380" s="3">
        <f>IF(AND('Data Source'!B380&lt;&gt;"",'Data Source'!S380="A+"),IF('Data Source'!W380&gt;=5,"A+",IF('Data Source'!W380&gt;=4,"A",IF('Data Source'!W380&gt;=3.5,"A-",IF('Data Source'!W380&gt;=3,"B",IF('Data Source'!W380&gt;=2,"C",IF('Data Source'!W380&gt;=1,"D","F")))))),"")</f>
        <v/>
      </c>
      <c r="F380" s="3">
        <f>IF(AND('Data Source'!B380&lt;&gt;"",'Data Source'!S380="A+"),IF('Data Source'!X380&gt;=5,"A+",IF('Data Source'!X380&gt;=4,"A",IF('Data Source'!X380&gt;=3.5,"A-",IF('Data Source'!X380&gt;=3,"B",IF('Data Source'!X380&gt;=2,"C",IF('Data Source'!X380&gt;=1,"D","F")))))),"")</f>
        <v/>
      </c>
      <c r="G380" s="3">
        <f>IF(AND('Data Source'!B380&lt;&gt;"",'Data Source'!S380="A+"),IF('Data Source'!Y380&gt;=5,"A+",IF('Data Source'!Y380&gt;=4,"A",IF('Data Source'!Y380&gt;=3.5,"A-",IF('Data Source'!Y380&gt;=3,"B",IF('Data Source'!Y380&gt;=2,"C",IF('Data Source'!Y380&gt;=1,"D","F")))))),"")</f>
        <v/>
      </c>
      <c r="H380" s="3">
        <f>IF(AND('Data Source'!B380&lt;&gt;"",'Data Source'!S380="A+"),IF('Data Source'!Z380&gt;=5,"A+",IF('Data Source'!Z380&gt;=4,"A",IF('Data Source'!Z380&gt;=3.5,"A-",IF('Data Source'!Z380&gt;=3,"B",IF('Data Source'!Z380&gt;=2,"C",IF('Data Source'!Z380&gt;=1,"D","F")))))),"")</f>
        <v/>
      </c>
      <c r="I380" s="3">
        <f>IF(AND('Data Source'!B380&lt;&gt;"",'Data Source'!S380="A+"),IF('Data Source'!AA380&gt;=5,"A+",IF('Data Source'!AA380&gt;=4,"A",IF('Data Source'!AA380&gt;=3.5,"A-",IF('Data Source'!AA380&gt;=3,"B",IF('Data Source'!AA380&gt;=2,"C",IF('Data Source'!AA380&gt;=1,"D","F")))))),"")</f>
        <v/>
      </c>
      <c r="J380" s="3">
        <f>IF(AND('Data Source'!B380&lt;&gt;"",'Data Source'!S380="A+"),IF('Data Source'!AB380&gt;=5,"A+",IF('Data Source'!AB380&gt;=4,"A",IF('Data Source'!AB380&gt;=3.5,"A-",IF('Data Source'!AB380&gt;=3,"B",IF('Data Source'!AB380&gt;=2,"C",IF('Data Source'!AB380&gt;=1,"D","F")))))),"")</f>
        <v/>
      </c>
      <c r="K380" s="3">
        <f>IF(AND('Data Source'!B380&lt;&gt;"",'Data Source'!S380="A+"),IF('Data Source'!AC380&gt;=5,"A+",IF('Data Source'!AC380&gt;=4,"A",IF('Data Source'!AC380&gt;=3.5,"A-",IF('Data Source'!AC380&gt;=3,"B",IF('Data Source'!AC380&gt;=2,"C",IF('Data Source'!AC380&gt;=1,"D","F")))))),"")</f>
        <v/>
      </c>
      <c r="L380" s="3">
        <f>IF(AND('Data Source'!B380&lt;&gt;"",'Data Source'!S380="A+"),IF('Data Source'!AD380&gt;=5,"A+",IF('Data Source'!AD380&gt;=4,"A",IF('Data Source'!AD380&gt;=3.5,"A-",IF('Data Source'!AD380&gt;=3,"B",IF('Data Source'!AD380&gt;=2,"C",IF('Data Source'!AD380&gt;=1,"D","F")))))),"")</f>
        <v/>
      </c>
      <c r="M380" s="3">
        <f>IF(AND('Data Source'!B380&lt;&gt;"",'Data Source'!S380="A+"),IF('Data Source'!AE380&gt;=5,"A+",IF('Data Source'!AE380&gt;=4,"A",IF('Data Source'!AE380&gt;=3.5,"A-",IF('Data Source'!AE380&gt;=3,"B",IF('Data Source'!AE380&gt;=2,"C",IF('Data Source'!AE380&gt;=1,"D","F")))))),"")</f>
        <v/>
      </c>
      <c r="N380" s="3">
        <f>IF(AND('Data Source'!B380&lt;&gt;"",'Data Source'!S380="A+"),IF('Data Source'!AF380&gt;=5,"A+",IF('Data Source'!AF380&gt;=4,"A",IF('Data Source'!AF380&gt;=3.5,"A-",IF('Data Source'!AF380&gt;=3,"B",IF('Data Source'!AF380&gt;=2,"C",IF('Data Source'!AF380&gt;=1,"D","F")))))),"")</f>
        <v/>
      </c>
      <c r="O380" s="3">
        <f>IF(AND('Data Source'!B380&lt;&gt;"",'Data Source'!S380="A+"),IF('Data Source'!AG380&gt;=5,"A+",IF('Data Source'!AG380&gt;=4,"A",IF('Data Source'!AG380&gt;=3.5,"A-",IF('Data Source'!AG380&gt;=3,"B",IF('Data Source'!AG380&gt;=2,"C",IF('Data Source'!AG380&gt;=1,"D","F")))))),"")</f>
        <v/>
      </c>
      <c r="P380" s="5">
        <f>IF(AND('Data Source'!B380&lt;&gt;"",'Data Source'!S380="A+"),'Data Source'!R380,"")</f>
        <v/>
      </c>
      <c r="Q380" s="3">
        <f>IF(AND('Data Source'!B380&lt;&gt;"",'Data Source'!S380="A+"),'Data Source'!S380,"")</f>
        <v/>
      </c>
    </row>
    <row r="381">
      <c r="A381" s="3">
        <f>IF(AND('Data Source'!B381&lt;&gt;"",'Data Source'!S381="A+"),COUNTIF('Data Source'!$S$3:S381,"A+"),"")</f>
        <v/>
      </c>
      <c r="B381">
        <f>IF(AND('Data Source'!B381&lt;&gt;"",'Data Source'!S381="A+"),'Data Source'!B381,"")</f>
        <v/>
      </c>
      <c r="C381" s="3">
        <f>IF(AND('Data Source'!B381&lt;&gt;"",'Data Source'!S381="A+"),IF('Data Source'!U381&gt;=5,"A+",IF('Data Source'!U381&gt;=4,"A",IF('Data Source'!U381&gt;=3.5,"A-",IF('Data Source'!U381&gt;=3,"B",IF('Data Source'!U381&gt;=2,"C",IF('Data Source'!U381&gt;=1,"D","F")))))),"")</f>
        <v/>
      </c>
      <c r="D381" s="3">
        <f>IF(AND('Data Source'!B381&lt;&gt;"",'Data Source'!S381="A+"),IF('Data Source'!V381&gt;=5,"A+",IF('Data Source'!V381&gt;=4,"A",IF('Data Source'!V381&gt;=3.5,"A-",IF('Data Source'!V381&gt;=3,"B",IF('Data Source'!V381&gt;=2,"C",IF('Data Source'!V381&gt;=1,"D","F")))))),"")</f>
        <v/>
      </c>
      <c r="E381" s="3">
        <f>IF(AND('Data Source'!B381&lt;&gt;"",'Data Source'!S381="A+"),IF('Data Source'!W381&gt;=5,"A+",IF('Data Source'!W381&gt;=4,"A",IF('Data Source'!W381&gt;=3.5,"A-",IF('Data Source'!W381&gt;=3,"B",IF('Data Source'!W381&gt;=2,"C",IF('Data Source'!W381&gt;=1,"D","F")))))),"")</f>
        <v/>
      </c>
      <c r="F381" s="3">
        <f>IF(AND('Data Source'!B381&lt;&gt;"",'Data Source'!S381="A+"),IF('Data Source'!X381&gt;=5,"A+",IF('Data Source'!X381&gt;=4,"A",IF('Data Source'!X381&gt;=3.5,"A-",IF('Data Source'!X381&gt;=3,"B",IF('Data Source'!X381&gt;=2,"C",IF('Data Source'!X381&gt;=1,"D","F")))))),"")</f>
        <v/>
      </c>
      <c r="G381" s="3">
        <f>IF(AND('Data Source'!B381&lt;&gt;"",'Data Source'!S381="A+"),IF('Data Source'!Y381&gt;=5,"A+",IF('Data Source'!Y381&gt;=4,"A",IF('Data Source'!Y381&gt;=3.5,"A-",IF('Data Source'!Y381&gt;=3,"B",IF('Data Source'!Y381&gt;=2,"C",IF('Data Source'!Y381&gt;=1,"D","F")))))),"")</f>
        <v/>
      </c>
      <c r="H381" s="3">
        <f>IF(AND('Data Source'!B381&lt;&gt;"",'Data Source'!S381="A+"),IF('Data Source'!Z381&gt;=5,"A+",IF('Data Source'!Z381&gt;=4,"A",IF('Data Source'!Z381&gt;=3.5,"A-",IF('Data Source'!Z381&gt;=3,"B",IF('Data Source'!Z381&gt;=2,"C",IF('Data Source'!Z381&gt;=1,"D","F")))))),"")</f>
        <v/>
      </c>
      <c r="I381" s="3">
        <f>IF(AND('Data Source'!B381&lt;&gt;"",'Data Source'!S381="A+"),IF('Data Source'!AA381&gt;=5,"A+",IF('Data Source'!AA381&gt;=4,"A",IF('Data Source'!AA381&gt;=3.5,"A-",IF('Data Source'!AA381&gt;=3,"B",IF('Data Source'!AA381&gt;=2,"C",IF('Data Source'!AA381&gt;=1,"D","F")))))),"")</f>
        <v/>
      </c>
      <c r="J381" s="3">
        <f>IF(AND('Data Source'!B381&lt;&gt;"",'Data Source'!S381="A+"),IF('Data Source'!AB381&gt;=5,"A+",IF('Data Source'!AB381&gt;=4,"A",IF('Data Source'!AB381&gt;=3.5,"A-",IF('Data Source'!AB381&gt;=3,"B",IF('Data Source'!AB381&gt;=2,"C",IF('Data Source'!AB381&gt;=1,"D","F")))))),"")</f>
        <v/>
      </c>
      <c r="K381" s="3">
        <f>IF(AND('Data Source'!B381&lt;&gt;"",'Data Source'!S381="A+"),IF('Data Source'!AC381&gt;=5,"A+",IF('Data Source'!AC381&gt;=4,"A",IF('Data Source'!AC381&gt;=3.5,"A-",IF('Data Source'!AC381&gt;=3,"B",IF('Data Source'!AC381&gt;=2,"C",IF('Data Source'!AC381&gt;=1,"D","F")))))),"")</f>
        <v/>
      </c>
      <c r="L381" s="3">
        <f>IF(AND('Data Source'!B381&lt;&gt;"",'Data Source'!S381="A+"),IF('Data Source'!AD381&gt;=5,"A+",IF('Data Source'!AD381&gt;=4,"A",IF('Data Source'!AD381&gt;=3.5,"A-",IF('Data Source'!AD381&gt;=3,"B",IF('Data Source'!AD381&gt;=2,"C",IF('Data Source'!AD381&gt;=1,"D","F")))))),"")</f>
        <v/>
      </c>
      <c r="M381" s="3">
        <f>IF(AND('Data Source'!B381&lt;&gt;"",'Data Source'!S381="A+"),IF('Data Source'!AE381&gt;=5,"A+",IF('Data Source'!AE381&gt;=4,"A",IF('Data Source'!AE381&gt;=3.5,"A-",IF('Data Source'!AE381&gt;=3,"B",IF('Data Source'!AE381&gt;=2,"C",IF('Data Source'!AE381&gt;=1,"D","F")))))),"")</f>
        <v/>
      </c>
      <c r="N381" s="3">
        <f>IF(AND('Data Source'!B381&lt;&gt;"",'Data Source'!S381="A+"),IF('Data Source'!AF381&gt;=5,"A+",IF('Data Source'!AF381&gt;=4,"A",IF('Data Source'!AF381&gt;=3.5,"A-",IF('Data Source'!AF381&gt;=3,"B",IF('Data Source'!AF381&gt;=2,"C",IF('Data Source'!AF381&gt;=1,"D","F")))))),"")</f>
        <v/>
      </c>
      <c r="O381" s="3">
        <f>IF(AND('Data Source'!B381&lt;&gt;"",'Data Source'!S381="A+"),IF('Data Source'!AG381&gt;=5,"A+",IF('Data Source'!AG381&gt;=4,"A",IF('Data Source'!AG381&gt;=3.5,"A-",IF('Data Source'!AG381&gt;=3,"B",IF('Data Source'!AG381&gt;=2,"C",IF('Data Source'!AG381&gt;=1,"D","F")))))),"")</f>
        <v/>
      </c>
      <c r="P381" s="5">
        <f>IF(AND('Data Source'!B381&lt;&gt;"",'Data Source'!S381="A+"),'Data Source'!R381,"")</f>
        <v/>
      </c>
      <c r="Q381" s="3">
        <f>IF(AND('Data Source'!B381&lt;&gt;"",'Data Source'!S381="A+"),'Data Source'!S381,"")</f>
        <v/>
      </c>
    </row>
    <row r="382">
      <c r="A382" s="3">
        <f>IF(AND('Data Source'!B382&lt;&gt;"",'Data Source'!S382="A+"),COUNTIF('Data Source'!$S$3:S382,"A+"),"")</f>
        <v/>
      </c>
      <c r="B382">
        <f>IF(AND('Data Source'!B382&lt;&gt;"",'Data Source'!S382="A+"),'Data Source'!B382,"")</f>
        <v/>
      </c>
      <c r="C382" s="3">
        <f>IF(AND('Data Source'!B382&lt;&gt;"",'Data Source'!S382="A+"),IF('Data Source'!U382&gt;=5,"A+",IF('Data Source'!U382&gt;=4,"A",IF('Data Source'!U382&gt;=3.5,"A-",IF('Data Source'!U382&gt;=3,"B",IF('Data Source'!U382&gt;=2,"C",IF('Data Source'!U382&gt;=1,"D","F")))))),"")</f>
        <v/>
      </c>
      <c r="D382" s="3">
        <f>IF(AND('Data Source'!B382&lt;&gt;"",'Data Source'!S382="A+"),IF('Data Source'!V382&gt;=5,"A+",IF('Data Source'!V382&gt;=4,"A",IF('Data Source'!V382&gt;=3.5,"A-",IF('Data Source'!V382&gt;=3,"B",IF('Data Source'!V382&gt;=2,"C",IF('Data Source'!V382&gt;=1,"D","F")))))),"")</f>
        <v/>
      </c>
      <c r="E382" s="3">
        <f>IF(AND('Data Source'!B382&lt;&gt;"",'Data Source'!S382="A+"),IF('Data Source'!W382&gt;=5,"A+",IF('Data Source'!W382&gt;=4,"A",IF('Data Source'!W382&gt;=3.5,"A-",IF('Data Source'!W382&gt;=3,"B",IF('Data Source'!W382&gt;=2,"C",IF('Data Source'!W382&gt;=1,"D","F")))))),"")</f>
        <v/>
      </c>
      <c r="F382" s="3">
        <f>IF(AND('Data Source'!B382&lt;&gt;"",'Data Source'!S382="A+"),IF('Data Source'!X382&gt;=5,"A+",IF('Data Source'!X382&gt;=4,"A",IF('Data Source'!X382&gt;=3.5,"A-",IF('Data Source'!X382&gt;=3,"B",IF('Data Source'!X382&gt;=2,"C",IF('Data Source'!X382&gt;=1,"D","F")))))),"")</f>
        <v/>
      </c>
      <c r="G382" s="3">
        <f>IF(AND('Data Source'!B382&lt;&gt;"",'Data Source'!S382="A+"),IF('Data Source'!Y382&gt;=5,"A+",IF('Data Source'!Y382&gt;=4,"A",IF('Data Source'!Y382&gt;=3.5,"A-",IF('Data Source'!Y382&gt;=3,"B",IF('Data Source'!Y382&gt;=2,"C",IF('Data Source'!Y382&gt;=1,"D","F")))))),"")</f>
        <v/>
      </c>
      <c r="H382" s="3">
        <f>IF(AND('Data Source'!B382&lt;&gt;"",'Data Source'!S382="A+"),IF('Data Source'!Z382&gt;=5,"A+",IF('Data Source'!Z382&gt;=4,"A",IF('Data Source'!Z382&gt;=3.5,"A-",IF('Data Source'!Z382&gt;=3,"B",IF('Data Source'!Z382&gt;=2,"C",IF('Data Source'!Z382&gt;=1,"D","F")))))),"")</f>
        <v/>
      </c>
      <c r="I382" s="3">
        <f>IF(AND('Data Source'!B382&lt;&gt;"",'Data Source'!S382="A+"),IF('Data Source'!AA382&gt;=5,"A+",IF('Data Source'!AA382&gt;=4,"A",IF('Data Source'!AA382&gt;=3.5,"A-",IF('Data Source'!AA382&gt;=3,"B",IF('Data Source'!AA382&gt;=2,"C",IF('Data Source'!AA382&gt;=1,"D","F")))))),"")</f>
        <v/>
      </c>
      <c r="J382" s="3">
        <f>IF(AND('Data Source'!B382&lt;&gt;"",'Data Source'!S382="A+"),IF('Data Source'!AB382&gt;=5,"A+",IF('Data Source'!AB382&gt;=4,"A",IF('Data Source'!AB382&gt;=3.5,"A-",IF('Data Source'!AB382&gt;=3,"B",IF('Data Source'!AB382&gt;=2,"C",IF('Data Source'!AB382&gt;=1,"D","F")))))),"")</f>
        <v/>
      </c>
      <c r="K382" s="3">
        <f>IF(AND('Data Source'!B382&lt;&gt;"",'Data Source'!S382="A+"),IF('Data Source'!AC382&gt;=5,"A+",IF('Data Source'!AC382&gt;=4,"A",IF('Data Source'!AC382&gt;=3.5,"A-",IF('Data Source'!AC382&gt;=3,"B",IF('Data Source'!AC382&gt;=2,"C",IF('Data Source'!AC382&gt;=1,"D","F")))))),"")</f>
        <v/>
      </c>
      <c r="L382" s="3">
        <f>IF(AND('Data Source'!B382&lt;&gt;"",'Data Source'!S382="A+"),IF('Data Source'!AD382&gt;=5,"A+",IF('Data Source'!AD382&gt;=4,"A",IF('Data Source'!AD382&gt;=3.5,"A-",IF('Data Source'!AD382&gt;=3,"B",IF('Data Source'!AD382&gt;=2,"C",IF('Data Source'!AD382&gt;=1,"D","F")))))),"")</f>
        <v/>
      </c>
      <c r="M382" s="3">
        <f>IF(AND('Data Source'!B382&lt;&gt;"",'Data Source'!S382="A+"),IF('Data Source'!AE382&gt;=5,"A+",IF('Data Source'!AE382&gt;=4,"A",IF('Data Source'!AE382&gt;=3.5,"A-",IF('Data Source'!AE382&gt;=3,"B",IF('Data Source'!AE382&gt;=2,"C",IF('Data Source'!AE382&gt;=1,"D","F")))))),"")</f>
        <v/>
      </c>
      <c r="N382" s="3">
        <f>IF(AND('Data Source'!B382&lt;&gt;"",'Data Source'!S382="A+"),IF('Data Source'!AF382&gt;=5,"A+",IF('Data Source'!AF382&gt;=4,"A",IF('Data Source'!AF382&gt;=3.5,"A-",IF('Data Source'!AF382&gt;=3,"B",IF('Data Source'!AF382&gt;=2,"C",IF('Data Source'!AF382&gt;=1,"D","F")))))),"")</f>
        <v/>
      </c>
      <c r="O382" s="3">
        <f>IF(AND('Data Source'!B382&lt;&gt;"",'Data Source'!S382="A+"),IF('Data Source'!AG382&gt;=5,"A+",IF('Data Source'!AG382&gt;=4,"A",IF('Data Source'!AG382&gt;=3.5,"A-",IF('Data Source'!AG382&gt;=3,"B",IF('Data Source'!AG382&gt;=2,"C",IF('Data Source'!AG382&gt;=1,"D","F")))))),"")</f>
        <v/>
      </c>
      <c r="P382" s="5">
        <f>IF(AND('Data Source'!B382&lt;&gt;"",'Data Source'!S382="A+"),'Data Source'!R382,"")</f>
        <v/>
      </c>
      <c r="Q382" s="3">
        <f>IF(AND('Data Source'!B382&lt;&gt;"",'Data Source'!S382="A+"),'Data Source'!S382,"")</f>
        <v/>
      </c>
    </row>
    <row r="383">
      <c r="A383" s="3">
        <f>IF(AND('Data Source'!B383&lt;&gt;"",'Data Source'!S383="A+"),COUNTIF('Data Source'!$S$3:S383,"A+"),"")</f>
        <v/>
      </c>
      <c r="B383">
        <f>IF(AND('Data Source'!B383&lt;&gt;"",'Data Source'!S383="A+"),'Data Source'!B383,"")</f>
        <v/>
      </c>
      <c r="C383" s="3">
        <f>IF(AND('Data Source'!B383&lt;&gt;"",'Data Source'!S383="A+"),IF('Data Source'!U383&gt;=5,"A+",IF('Data Source'!U383&gt;=4,"A",IF('Data Source'!U383&gt;=3.5,"A-",IF('Data Source'!U383&gt;=3,"B",IF('Data Source'!U383&gt;=2,"C",IF('Data Source'!U383&gt;=1,"D","F")))))),"")</f>
        <v/>
      </c>
      <c r="D383" s="3">
        <f>IF(AND('Data Source'!B383&lt;&gt;"",'Data Source'!S383="A+"),IF('Data Source'!V383&gt;=5,"A+",IF('Data Source'!V383&gt;=4,"A",IF('Data Source'!V383&gt;=3.5,"A-",IF('Data Source'!V383&gt;=3,"B",IF('Data Source'!V383&gt;=2,"C",IF('Data Source'!V383&gt;=1,"D","F")))))),"")</f>
        <v/>
      </c>
      <c r="E383" s="3">
        <f>IF(AND('Data Source'!B383&lt;&gt;"",'Data Source'!S383="A+"),IF('Data Source'!W383&gt;=5,"A+",IF('Data Source'!W383&gt;=4,"A",IF('Data Source'!W383&gt;=3.5,"A-",IF('Data Source'!W383&gt;=3,"B",IF('Data Source'!W383&gt;=2,"C",IF('Data Source'!W383&gt;=1,"D","F")))))),"")</f>
        <v/>
      </c>
      <c r="F383" s="3">
        <f>IF(AND('Data Source'!B383&lt;&gt;"",'Data Source'!S383="A+"),IF('Data Source'!X383&gt;=5,"A+",IF('Data Source'!X383&gt;=4,"A",IF('Data Source'!X383&gt;=3.5,"A-",IF('Data Source'!X383&gt;=3,"B",IF('Data Source'!X383&gt;=2,"C",IF('Data Source'!X383&gt;=1,"D","F")))))),"")</f>
        <v/>
      </c>
      <c r="G383" s="3">
        <f>IF(AND('Data Source'!B383&lt;&gt;"",'Data Source'!S383="A+"),IF('Data Source'!Y383&gt;=5,"A+",IF('Data Source'!Y383&gt;=4,"A",IF('Data Source'!Y383&gt;=3.5,"A-",IF('Data Source'!Y383&gt;=3,"B",IF('Data Source'!Y383&gt;=2,"C",IF('Data Source'!Y383&gt;=1,"D","F")))))),"")</f>
        <v/>
      </c>
      <c r="H383" s="3">
        <f>IF(AND('Data Source'!B383&lt;&gt;"",'Data Source'!S383="A+"),IF('Data Source'!Z383&gt;=5,"A+",IF('Data Source'!Z383&gt;=4,"A",IF('Data Source'!Z383&gt;=3.5,"A-",IF('Data Source'!Z383&gt;=3,"B",IF('Data Source'!Z383&gt;=2,"C",IF('Data Source'!Z383&gt;=1,"D","F")))))),"")</f>
        <v/>
      </c>
      <c r="I383" s="3">
        <f>IF(AND('Data Source'!B383&lt;&gt;"",'Data Source'!S383="A+"),IF('Data Source'!AA383&gt;=5,"A+",IF('Data Source'!AA383&gt;=4,"A",IF('Data Source'!AA383&gt;=3.5,"A-",IF('Data Source'!AA383&gt;=3,"B",IF('Data Source'!AA383&gt;=2,"C",IF('Data Source'!AA383&gt;=1,"D","F")))))),"")</f>
        <v/>
      </c>
      <c r="J383" s="3">
        <f>IF(AND('Data Source'!B383&lt;&gt;"",'Data Source'!S383="A+"),IF('Data Source'!AB383&gt;=5,"A+",IF('Data Source'!AB383&gt;=4,"A",IF('Data Source'!AB383&gt;=3.5,"A-",IF('Data Source'!AB383&gt;=3,"B",IF('Data Source'!AB383&gt;=2,"C",IF('Data Source'!AB383&gt;=1,"D","F")))))),"")</f>
        <v/>
      </c>
      <c r="K383" s="3">
        <f>IF(AND('Data Source'!B383&lt;&gt;"",'Data Source'!S383="A+"),IF('Data Source'!AC383&gt;=5,"A+",IF('Data Source'!AC383&gt;=4,"A",IF('Data Source'!AC383&gt;=3.5,"A-",IF('Data Source'!AC383&gt;=3,"B",IF('Data Source'!AC383&gt;=2,"C",IF('Data Source'!AC383&gt;=1,"D","F")))))),"")</f>
        <v/>
      </c>
      <c r="L383" s="3">
        <f>IF(AND('Data Source'!B383&lt;&gt;"",'Data Source'!S383="A+"),IF('Data Source'!AD383&gt;=5,"A+",IF('Data Source'!AD383&gt;=4,"A",IF('Data Source'!AD383&gt;=3.5,"A-",IF('Data Source'!AD383&gt;=3,"B",IF('Data Source'!AD383&gt;=2,"C",IF('Data Source'!AD383&gt;=1,"D","F")))))),"")</f>
        <v/>
      </c>
      <c r="M383" s="3">
        <f>IF(AND('Data Source'!B383&lt;&gt;"",'Data Source'!S383="A+"),IF('Data Source'!AE383&gt;=5,"A+",IF('Data Source'!AE383&gt;=4,"A",IF('Data Source'!AE383&gt;=3.5,"A-",IF('Data Source'!AE383&gt;=3,"B",IF('Data Source'!AE383&gt;=2,"C",IF('Data Source'!AE383&gt;=1,"D","F")))))),"")</f>
        <v/>
      </c>
      <c r="N383" s="3">
        <f>IF(AND('Data Source'!B383&lt;&gt;"",'Data Source'!S383="A+"),IF('Data Source'!AF383&gt;=5,"A+",IF('Data Source'!AF383&gt;=4,"A",IF('Data Source'!AF383&gt;=3.5,"A-",IF('Data Source'!AF383&gt;=3,"B",IF('Data Source'!AF383&gt;=2,"C",IF('Data Source'!AF383&gt;=1,"D","F")))))),"")</f>
        <v/>
      </c>
      <c r="O383" s="3">
        <f>IF(AND('Data Source'!B383&lt;&gt;"",'Data Source'!S383="A+"),IF('Data Source'!AG383&gt;=5,"A+",IF('Data Source'!AG383&gt;=4,"A",IF('Data Source'!AG383&gt;=3.5,"A-",IF('Data Source'!AG383&gt;=3,"B",IF('Data Source'!AG383&gt;=2,"C",IF('Data Source'!AG383&gt;=1,"D","F")))))),"")</f>
        <v/>
      </c>
      <c r="P383" s="5">
        <f>IF(AND('Data Source'!B383&lt;&gt;"",'Data Source'!S383="A+"),'Data Source'!R383,"")</f>
        <v/>
      </c>
      <c r="Q383" s="3">
        <f>IF(AND('Data Source'!B383&lt;&gt;"",'Data Source'!S383="A+"),'Data Source'!S383,"")</f>
        <v/>
      </c>
    </row>
    <row r="384">
      <c r="A384" s="3">
        <f>IF(AND('Data Source'!B384&lt;&gt;"",'Data Source'!S384="A+"),COUNTIF('Data Source'!$S$3:S384,"A+"),"")</f>
        <v/>
      </c>
      <c r="B384">
        <f>IF(AND('Data Source'!B384&lt;&gt;"",'Data Source'!S384="A+"),'Data Source'!B384,"")</f>
        <v/>
      </c>
      <c r="C384" s="3">
        <f>IF(AND('Data Source'!B384&lt;&gt;"",'Data Source'!S384="A+"),IF('Data Source'!U384&gt;=5,"A+",IF('Data Source'!U384&gt;=4,"A",IF('Data Source'!U384&gt;=3.5,"A-",IF('Data Source'!U384&gt;=3,"B",IF('Data Source'!U384&gt;=2,"C",IF('Data Source'!U384&gt;=1,"D","F")))))),"")</f>
        <v/>
      </c>
      <c r="D384" s="3">
        <f>IF(AND('Data Source'!B384&lt;&gt;"",'Data Source'!S384="A+"),IF('Data Source'!V384&gt;=5,"A+",IF('Data Source'!V384&gt;=4,"A",IF('Data Source'!V384&gt;=3.5,"A-",IF('Data Source'!V384&gt;=3,"B",IF('Data Source'!V384&gt;=2,"C",IF('Data Source'!V384&gt;=1,"D","F")))))),"")</f>
        <v/>
      </c>
      <c r="E384" s="3">
        <f>IF(AND('Data Source'!B384&lt;&gt;"",'Data Source'!S384="A+"),IF('Data Source'!W384&gt;=5,"A+",IF('Data Source'!W384&gt;=4,"A",IF('Data Source'!W384&gt;=3.5,"A-",IF('Data Source'!W384&gt;=3,"B",IF('Data Source'!W384&gt;=2,"C",IF('Data Source'!W384&gt;=1,"D","F")))))),"")</f>
        <v/>
      </c>
      <c r="F384" s="3">
        <f>IF(AND('Data Source'!B384&lt;&gt;"",'Data Source'!S384="A+"),IF('Data Source'!X384&gt;=5,"A+",IF('Data Source'!X384&gt;=4,"A",IF('Data Source'!X384&gt;=3.5,"A-",IF('Data Source'!X384&gt;=3,"B",IF('Data Source'!X384&gt;=2,"C",IF('Data Source'!X384&gt;=1,"D","F")))))),"")</f>
        <v/>
      </c>
      <c r="G384" s="3">
        <f>IF(AND('Data Source'!B384&lt;&gt;"",'Data Source'!S384="A+"),IF('Data Source'!Y384&gt;=5,"A+",IF('Data Source'!Y384&gt;=4,"A",IF('Data Source'!Y384&gt;=3.5,"A-",IF('Data Source'!Y384&gt;=3,"B",IF('Data Source'!Y384&gt;=2,"C",IF('Data Source'!Y384&gt;=1,"D","F")))))),"")</f>
        <v/>
      </c>
      <c r="H384" s="3">
        <f>IF(AND('Data Source'!B384&lt;&gt;"",'Data Source'!S384="A+"),IF('Data Source'!Z384&gt;=5,"A+",IF('Data Source'!Z384&gt;=4,"A",IF('Data Source'!Z384&gt;=3.5,"A-",IF('Data Source'!Z384&gt;=3,"B",IF('Data Source'!Z384&gt;=2,"C",IF('Data Source'!Z384&gt;=1,"D","F")))))),"")</f>
        <v/>
      </c>
      <c r="I384" s="3">
        <f>IF(AND('Data Source'!B384&lt;&gt;"",'Data Source'!S384="A+"),IF('Data Source'!AA384&gt;=5,"A+",IF('Data Source'!AA384&gt;=4,"A",IF('Data Source'!AA384&gt;=3.5,"A-",IF('Data Source'!AA384&gt;=3,"B",IF('Data Source'!AA384&gt;=2,"C",IF('Data Source'!AA384&gt;=1,"D","F")))))),"")</f>
        <v/>
      </c>
      <c r="J384" s="3">
        <f>IF(AND('Data Source'!B384&lt;&gt;"",'Data Source'!S384="A+"),IF('Data Source'!AB384&gt;=5,"A+",IF('Data Source'!AB384&gt;=4,"A",IF('Data Source'!AB384&gt;=3.5,"A-",IF('Data Source'!AB384&gt;=3,"B",IF('Data Source'!AB384&gt;=2,"C",IF('Data Source'!AB384&gt;=1,"D","F")))))),"")</f>
        <v/>
      </c>
      <c r="K384" s="3">
        <f>IF(AND('Data Source'!B384&lt;&gt;"",'Data Source'!S384="A+"),IF('Data Source'!AC384&gt;=5,"A+",IF('Data Source'!AC384&gt;=4,"A",IF('Data Source'!AC384&gt;=3.5,"A-",IF('Data Source'!AC384&gt;=3,"B",IF('Data Source'!AC384&gt;=2,"C",IF('Data Source'!AC384&gt;=1,"D","F")))))),"")</f>
        <v/>
      </c>
      <c r="L384" s="3">
        <f>IF(AND('Data Source'!B384&lt;&gt;"",'Data Source'!S384="A+"),IF('Data Source'!AD384&gt;=5,"A+",IF('Data Source'!AD384&gt;=4,"A",IF('Data Source'!AD384&gt;=3.5,"A-",IF('Data Source'!AD384&gt;=3,"B",IF('Data Source'!AD384&gt;=2,"C",IF('Data Source'!AD384&gt;=1,"D","F")))))),"")</f>
        <v/>
      </c>
      <c r="M384" s="3">
        <f>IF(AND('Data Source'!B384&lt;&gt;"",'Data Source'!S384="A+"),IF('Data Source'!AE384&gt;=5,"A+",IF('Data Source'!AE384&gt;=4,"A",IF('Data Source'!AE384&gt;=3.5,"A-",IF('Data Source'!AE384&gt;=3,"B",IF('Data Source'!AE384&gt;=2,"C",IF('Data Source'!AE384&gt;=1,"D","F")))))),"")</f>
        <v/>
      </c>
      <c r="N384" s="3">
        <f>IF(AND('Data Source'!B384&lt;&gt;"",'Data Source'!S384="A+"),IF('Data Source'!AF384&gt;=5,"A+",IF('Data Source'!AF384&gt;=4,"A",IF('Data Source'!AF384&gt;=3.5,"A-",IF('Data Source'!AF384&gt;=3,"B",IF('Data Source'!AF384&gt;=2,"C",IF('Data Source'!AF384&gt;=1,"D","F")))))),"")</f>
        <v/>
      </c>
      <c r="O384" s="3">
        <f>IF(AND('Data Source'!B384&lt;&gt;"",'Data Source'!S384="A+"),IF('Data Source'!AG384&gt;=5,"A+",IF('Data Source'!AG384&gt;=4,"A",IF('Data Source'!AG384&gt;=3.5,"A-",IF('Data Source'!AG384&gt;=3,"B",IF('Data Source'!AG384&gt;=2,"C",IF('Data Source'!AG384&gt;=1,"D","F")))))),"")</f>
        <v/>
      </c>
      <c r="P384" s="5">
        <f>IF(AND('Data Source'!B384&lt;&gt;"",'Data Source'!S384="A+"),'Data Source'!R384,"")</f>
        <v/>
      </c>
      <c r="Q384" s="3">
        <f>IF(AND('Data Source'!B384&lt;&gt;"",'Data Source'!S384="A+"),'Data Source'!S384,"")</f>
        <v/>
      </c>
    </row>
    <row r="385">
      <c r="A385" s="3">
        <f>IF(AND('Data Source'!B385&lt;&gt;"",'Data Source'!S385="A+"),COUNTIF('Data Source'!$S$3:S385,"A+"),"")</f>
        <v/>
      </c>
      <c r="B385">
        <f>IF(AND('Data Source'!B385&lt;&gt;"",'Data Source'!S385="A+"),'Data Source'!B385,"")</f>
        <v/>
      </c>
      <c r="C385" s="3">
        <f>IF(AND('Data Source'!B385&lt;&gt;"",'Data Source'!S385="A+"),IF('Data Source'!U385&gt;=5,"A+",IF('Data Source'!U385&gt;=4,"A",IF('Data Source'!U385&gt;=3.5,"A-",IF('Data Source'!U385&gt;=3,"B",IF('Data Source'!U385&gt;=2,"C",IF('Data Source'!U385&gt;=1,"D","F")))))),"")</f>
        <v/>
      </c>
      <c r="D385" s="3">
        <f>IF(AND('Data Source'!B385&lt;&gt;"",'Data Source'!S385="A+"),IF('Data Source'!V385&gt;=5,"A+",IF('Data Source'!V385&gt;=4,"A",IF('Data Source'!V385&gt;=3.5,"A-",IF('Data Source'!V385&gt;=3,"B",IF('Data Source'!V385&gt;=2,"C",IF('Data Source'!V385&gt;=1,"D","F")))))),"")</f>
        <v/>
      </c>
      <c r="E385" s="3">
        <f>IF(AND('Data Source'!B385&lt;&gt;"",'Data Source'!S385="A+"),IF('Data Source'!W385&gt;=5,"A+",IF('Data Source'!W385&gt;=4,"A",IF('Data Source'!W385&gt;=3.5,"A-",IF('Data Source'!W385&gt;=3,"B",IF('Data Source'!W385&gt;=2,"C",IF('Data Source'!W385&gt;=1,"D","F")))))),"")</f>
        <v/>
      </c>
      <c r="F385" s="3">
        <f>IF(AND('Data Source'!B385&lt;&gt;"",'Data Source'!S385="A+"),IF('Data Source'!X385&gt;=5,"A+",IF('Data Source'!X385&gt;=4,"A",IF('Data Source'!X385&gt;=3.5,"A-",IF('Data Source'!X385&gt;=3,"B",IF('Data Source'!X385&gt;=2,"C",IF('Data Source'!X385&gt;=1,"D","F")))))),"")</f>
        <v/>
      </c>
      <c r="G385" s="3">
        <f>IF(AND('Data Source'!B385&lt;&gt;"",'Data Source'!S385="A+"),IF('Data Source'!Y385&gt;=5,"A+",IF('Data Source'!Y385&gt;=4,"A",IF('Data Source'!Y385&gt;=3.5,"A-",IF('Data Source'!Y385&gt;=3,"B",IF('Data Source'!Y385&gt;=2,"C",IF('Data Source'!Y385&gt;=1,"D","F")))))),"")</f>
        <v/>
      </c>
      <c r="H385" s="3">
        <f>IF(AND('Data Source'!B385&lt;&gt;"",'Data Source'!S385="A+"),IF('Data Source'!Z385&gt;=5,"A+",IF('Data Source'!Z385&gt;=4,"A",IF('Data Source'!Z385&gt;=3.5,"A-",IF('Data Source'!Z385&gt;=3,"B",IF('Data Source'!Z385&gt;=2,"C",IF('Data Source'!Z385&gt;=1,"D","F")))))),"")</f>
        <v/>
      </c>
      <c r="I385" s="3">
        <f>IF(AND('Data Source'!B385&lt;&gt;"",'Data Source'!S385="A+"),IF('Data Source'!AA385&gt;=5,"A+",IF('Data Source'!AA385&gt;=4,"A",IF('Data Source'!AA385&gt;=3.5,"A-",IF('Data Source'!AA385&gt;=3,"B",IF('Data Source'!AA385&gt;=2,"C",IF('Data Source'!AA385&gt;=1,"D","F")))))),"")</f>
        <v/>
      </c>
      <c r="J385" s="3">
        <f>IF(AND('Data Source'!B385&lt;&gt;"",'Data Source'!S385="A+"),IF('Data Source'!AB385&gt;=5,"A+",IF('Data Source'!AB385&gt;=4,"A",IF('Data Source'!AB385&gt;=3.5,"A-",IF('Data Source'!AB385&gt;=3,"B",IF('Data Source'!AB385&gt;=2,"C",IF('Data Source'!AB385&gt;=1,"D","F")))))),"")</f>
        <v/>
      </c>
      <c r="K385" s="3">
        <f>IF(AND('Data Source'!B385&lt;&gt;"",'Data Source'!S385="A+"),IF('Data Source'!AC385&gt;=5,"A+",IF('Data Source'!AC385&gt;=4,"A",IF('Data Source'!AC385&gt;=3.5,"A-",IF('Data Source'!AC385&gt;=3,"B",IF('Data Source'!AC385&gt;=2,"C",IF('Data Source'!AC385&gt;=1,"D","F")))))),"")</f>
        <v/>
      </c>
      <c r="L385" s="3">
        <f>IF(AND('Data Source'!B385&lt;&gt;"",'Data Source'!S385="A+"),IF('Data Source'!AD385&gt;=5,"A+",IF('Data Source'!AD385&gt;=4,"A",IF('Data Source'!AD385&gt;=3.5,"A-",IF('Data Source'!AD385&gt;=3,"B",IF('Data Source'!AD385&gt;=2,"C",IF('Data Source'!AD385&gt;=1,"D","F")))))),"")</f>
        <v/>
      </c>
      <c r="M385" s="3">
        <f>IF(AND('Data Source'!B385&lt;&gt;"",'Data Source'!S385="A+"),IF('Data Source'!AE385&gt;=5,"A+",IF('Data Source'!AE385&gt;=4,"A",IF('Data Source'!AE385&gt;=3.5,"A-",IF('Data Source'!AE385&gt;=3,"B",IF('Data Source'!AE385&gt;=2,"C",IF('Data Source'!AE385&gt;=1,"D","F")))))),"")</f>
        <v/>
      </c>
      <c r="N385" s="3">
        <f>IF(AND('Data Source'!B385&lt;&gt;"",'Data Source'!S385="A+"),IF('Data Source'!AF385&gt;=5,"A+",IF('Data Source'!AF385&gt;=4,"A",IF('Data Source'!AF385&gt;=3.5,"A-",IF('Data Source'!AF385&gt;=3,"B",IF('Data Source'!AF385&gt;=2,"C",IF('Data Source'!AF385&gt;=1,"D","F")))))),"")</f>
        <v/>
      </c>
      <c r="O385" s="3">
        <f>IF(AND('Data Source'!B385&lt;&gt;"",'Data Source'!S385="A+"),IF('Data Source'!AG385&gt;=5,"A+",IF('Data Source'!AG385&gt;=4,"A",IF('Data Source'!AG385&gt;=3.5,"A-",IF('Data Source'!AG385&gt;=3,"B",IF('Data Source'!AG385&gt;=2,"C",IF('Data Source'!AG385&gt;=1,"D","F")))))),"")</f>
        <v/>
      </c>
      <c r="P385" s="5">
        <f>IF(AND('Data Source'!B385&lt;&gt;"",'Data Source'!S385="A+"),'Data Source'!R385,"")</f>
        <v/>
      </c>
      <c r="Q385" s="3">
        <f>IF(AND('Data Source'!B385&lt;&gt;"",'Data Source'!S385="A+"),'Data Source'!S385,"")</f>
        <v/>
      </c>
    </row>
    <row r="386">
      <c r="A386" s="3">
        <f>IF(AND('Data Source'!B386&lt;&gt;"",'Data Source'!S386="A+"),COUNTIF('Data Source'!$S$3:S386,"A+"),"")</f>
        <v/>
      </c>
      <c r="B386">
        <f>IF(AND('Data Source'!B386&lt;&gt;"",'Data Source'!S386="A+"),'Data Source'!B386,"")</f>
        <v/>
      </c>
      <c r="C386" s="3">
        <f>IF(AND('Data Source'!B386&lt;&gt;"",'Data Source'!S386="A+"),IF('Data Source'!U386&gt;=5,"A+",IF('Data Source'!U386&gt;=4,"A",IF('Data Source'!U386&gt;=3.5,"A-",IF('Data Source'!U386&gt;=3,"B",IF('Data Source'!U386&gt;=2,"C",IF('Data Source'!U386&gt;=1,"D","F")))))),"")</f>
        <v/>
      </c>
      <c r="D386" s="3">
        <f>IF(AND('Data Source'!B386&lt;&gt;"",'Data Source'!S386="A+"),IF('Data Source'!V386&gt;=5,"A+",IF('Data Source'!V386&gt;=4,"A",IF('Data Source'!V386&gt;=3.5,"A-",IF('Data Source'!V386&gt;=3,"B",IF('Data Source'!V386&gt;=2,"C",IF('Data Source'!V386&gt;=1,"D","F")))))),"")</f>
        <v/>
      </c>
      <c r="E386" s="3">
        <f>IF(AND('Data Source'!B386&lt;&gt;"",'Data Source'!S386="A+"),IF('Data Source'!W386&gt;=5,"A+",IF('Data Source'!W386&gt;=4,"A",IF('Data Source'!W386&gt;=3.5,"A-",IF('Data Source'!W386&gt;=3,"B",IF('Data Source'!W386&gt;=2,"C",IF('Data Source'!W386&gt;=1,"D","F")))))),"")</f>
        <v/>
      </c>
      <c r="F386" s="3">
        <f>IF(AND('Data Source'!B386&lt;&gt;"",'Data Source'!S386="A+"),IF('Data Source'!X386&gt;=5,"A+",IF('Data Source'!X386&gt;=4,"A",IF('Data Source'!X386&gt;=3.5,"A-",IF('Data Source'!X386&gt;=3,"B",IF('Data Source'!X386&gt;=2,"C",IF('Data Source'!X386&gt;=1,"D","F")))))),"")</f>
        <v/>
      </c>
      <c r="G386" s="3">
        <f>IF(AND('Data Source'!B386&lt;&gt;"",'Data Source'!S386="A+"),IF('Data Source'!Y386&gt;=5,"A+",IF('Data Source'!Y386&gt;=4,"A",IF('Data Source'!Y386&gt;=3.5,"A-",IF('Data Source'!Y386&gt;=3,"B",IF('Data Source'!Y386&gt;=2,"C",IF('Data Source'!Y386&gt;=1,"D","F")))))),"")</f>
        <v/>
      </c>
      <c r="H386" s="3">
        <f>IF(AND('Data Source'!B386&lt;&gt;"",'Data Source'!S386="A+"),IF('Data Source'!Z386&gt;=5,"A+",IF('Data Source'!Z386&gt;=4,"A",IF('Data Source'!Z386&gt;=3.5,"A-",IF('Data Source'!Z386&gt;=3,"B",IF('Data Source'!Z386&gt;=2,"C",IF('Data Source'!Z386&gt;=1,"D","F")))))),"")</f>
        <v/>
      </c>
      <c r="I386" s="3">
        <f>IF(AND('Data Source'!B386&lt;&gt;"",'Data Source'!S386="A+"),IF('Data Source'!AA386&gt;=5,"A+",IF('Data Source'!AA386&gt;=4,"A",IF('Data Source'!AA386&gt;=3.5,"A-",IF('Data Source'!AA386&gt;=3,"B",IF('Data Source'!AA386&gt;=2,"C",IF('Data Source'!AA386&gt;=1,"D","F")))))),"")</f>
        <v/>
      </c>
      <c r="J386" s="3">
        <f>IF(AND('Data Source'!B386&lt;&gt;"",'Data Source'!S386="A+"),IF('Data Source'!AB386&gt;=5,"A+",IF('Data Source'!AB386&gt;=4,"A",IF('Data Source'!AB386&gt;=3.5,"A-",IF('Data Source'!AB386&gt;=3,"B",IF('Data Source'!AB386&gt;=2,"C",IF('Data Source'!AB386&gt;=1,"D","F")))))),"")</f>
        <v/>
      </c>
      <c r="K386" s="3">
        <f>IF(AND('Data Source'!B386&lt;&gt;"",'Data Source'!S386="A+"),IF('Data Source'!AC386&gt;=5,"A+",IF('Data Source'!AC386&gt;=4,"A",IF('Data Source'!AC386&gt;=3.5,"A-",IF('Data Source'!AC386&gt;=3,"B",IF('Data Source'!AC386&gt;=2,"C",IF('Data Source'!AC386&gt;=1,"D","F")))))),"")</f>
        <v/>
      </c>
      <c r="L386" s="3">
        <f>IF(AND('Data Source'!B386&lt;&gt;"",'Data Source'!S386="A+"),IF('Data Source'!AD386&gt;=5,"A+",IF('Data Source'!AD386&gt;=4,"A",IF('Data Source'!AD386&gt;=3.5,"A-",IF('Data Source'!AD386&gt;=3,"B",IF('Data Source'!AD386&gt;=2,"C",IF('Data Source'!AD386&gt;=1,"D","F")))))),"")</f>
        <v/>
      </c>
      <c r="M386" s="3">
        <f>IF(AND('Data Source'!B386&lt;&gt;"",'Data Source'!S386="A+"),IF('Data Source'!AE386&gt;=5,"A+",IF('Data Source'!AE386&gt;=4,"A",IF('Data Source'!AE386&gt;=3.5,"A-",IF('Data Source'!AE386&gt;=3,"B",IF('Data Source'!AE386&gt;=2,"C",IF('Data Source'!AE386&gt;=1,"D","F")))))),"")</f>
        <v/>
      </c>
      <c r="N386" s="3">
        <f>IF(AND('Data Source'!B386&lt;&gt;"",'Data Source'!S386="A+"),IF('Data Source'!AF386&gt;=5,"A+",IF('Data Source'!AF386&gt;=4,"A",IF('Data Source'!AF386&gt;=3.5,"A-",IF('Data Source'!AF386&gt;=3,"B",IF('Data Source'!AF386&gt;=2,"C",IF('Data Source'!AF386&gt;=1,"D","F")))))),"")</f>
        <v/>
      </c>
      <c r="O386" s="3">
        <f>IF(AND('Data Source'!B386&lt;&gt;"",'Data Source'!S386="A+"),IF('Data Source'!AG386&gt;=5,"A+",IF('Data Source'!AG386&gt;=4,"A",IF('Data Source'!AG386&gt;=3.5,"A-",IF('Data Source'!AG386&gt;=3,"B",IF('Data Source'!AG386&gt;=2,"C",IF('Data Source'!AG386&gt;=1,"D","F")))))),"")</f>
        <v/>
      </c>
      <c r="P386" s="5">
        <f>IF(AND('Data Source'!B386&lt;&gt;"",'Data Source'!S386="A+"),'Data Source'!R386,"")</f>
        <v/>
      </c>
      <c r="Q386" s="3">
        <f>IF(AND('Data Source'!B386&lt;&gt;"",'Data Source'!S386="A+"),'Data Source'!S386,"")</f>
        <v/>
      </c>
    </row>
    <row r="387">
      <c r="A387" s="3">
        <f>IF(AND('Data Source'!B387&lt;&gt;"",'Data Source'!S387="A+"),COUNTIF('Data Source'!$S$3:S387,"A+"),"")</f>
        <v/>
      </c>
      <c r="B387">
        <f>IF(AND('Data Source'!B387&lt;&gt;"",'Data Source'!S387="A+"),'Data Source'!B387,"")</f>
        <v/>
      </c>
      <c r="C387" s="3">
        <f>IF(AND('Data Source'!B387&lt;&gt;"",'Data Source'!S387="A+"),IF('Data Source'!U387&gt;=5,"A+",IF('Data Source'!U387&gt;=4,"A",IF('Data Source'!U387&gt;=3.5,"A-",IF('Data Source'!U387&gt;=3,"B",IF('Data Source'!U387&gt;=2,"C",IF('Data Source'!U387&gt;=1,"D","F")))))),"")</f>
        <v/>
      </c>
      <c r="D387" s="3">
        <f>IF(AND('Data Source'!B387&lt;&gt;"",'Data Source'!S387="A+"),IF('Data Source'!V387&gt;=5,"A+",IF('Data Source'!V387&gt;=4,"A",IF('Data Source'!V387&gt;=3.5,"A-",IF('Data Source'!V387&gt;=3,"B",IF('Data Source'!V387&gt;=2,"C",IF('Data Source'!V387&gt;=1,"D","F")))))),"")</f>
        <v/>
      </c>
      <c r="E387" s="3">
        <f>IF(AND('Data Source'!B387&lt;&gt;"",'Data Source'!S387="A+"),IF('Data Source'!W387&gt;=5,"A+",IF('Data Source'!W387&gt;=4,"A",IF('Data Source'!W387&gt;=3.5,"A-",IF('Data Source'!W387&gt;=3,"B",IF('Data Source'!W387&gt;=2,"C",IF('Data Source'!W387&gt;=1,"D","F")))))),"")</f>
        <v/>
      </c>
      <c r="F387" s="3">
        <f>IF(AND('Data Source'!B387&lt;&gt;"",'Data Source'!S387="A+"),IF('Data Source'!X387&gt;=5,"A+",IF('Data Source'!X387&gt;=4,"A",IF('Data Source'!X387&gt;=3.5,"A-",IF('Data Source'!X387&gt;=3,"B",IF('Data Source'!X387&gt;=2,"C",IF('Data Source'!X387&gt;=1,"D","F")))))),"")</f>
        <v/>
      </c>
      <c r="G387" s="3">
        <f>IF(AND('Data Source'!B387&lt;&gt;"",'Data Source'!S387="A+"),IF('Data Source'!Y387&gt;=5,"A+",IF('Data Source'!Y387&gt;=4,"A",IF('Data Source'!Y387&gt;=3.5,"A-",IF('Data Source'!Y387&gt;=3,"B",IF('Data Source'!Y387&gt;=2,"C",IF('Data Source'!Y387&gt;=1,"D","F")))))),"")</f>
        <v/>
      </c>
      <c r="H387" s="3">
        <f>IF(AND('Data Source'!B387&lt;&gt;"",'Data Source'!S387="A+"),IF('Data Source'!Z387&gt;=5,"A+",IF('Data Source'!Z387&gt;=4,"A",IF('Data Source'!Z387&gt;=3.5,"A-",IF('Data Source'!Z387&gt;=3,"B",IF('Data Source'!Z387&gt;=2,"C",IF('Data Source'!Z387&gt;=1,"D","F")))))),"")</f>
        <v/>
      </c>
      <c r="I387" s="3">
        <f>IF(AND('Data Source'!B387&lt;&gt;"",'Data Source'!S387="A+"),IF('Data Source'!AA387&gt;=5,"A+",IF('Data Source'!AA387&gt;=4,"A",IF('Data Source'!AA387&gt;=3.5,"A-",IF('Data Source'!AA387&gt;=3,"B",IF('Data Source'!AA387&gt;=2,"C",IF('Data Source'!AA387&gt;=1,"D","F")))))),"")</f>
        <v/>
      </c>
      <c r="J387" s="3">
        <f>IF(AND('Data Source'!B387&lt;&gt;"",'Data Source'!S387="A+"),IF('Data Source'!AB387&gt;=5,"A+",IF('Data Source'!AB387&gt;=4,"A",IF('Data Source'!AB387&gt;=3.5,"A-",IF('Data Source'!AB387&gt;=3,"B",IF('Data Source'!AB387&gt;=2,"C",IF('Data Source'!AB387&gt;=1,"D","F")))))),"")</f>
        <v/>
      </c>
      <c r="K387" s="3">
        <f>IF(AND('Data Source'!B387&lt;&gt;"",'Data Source'!S387="A+"),IF('Data Source'!AC387&gt;=5,"A+",IF('Data Source'!AC387&gt;=4,"A",IF('Data Source'!AC387&gt;=3.5,"A-",IF('Data Source'!AC387&gt;=3,"B",IF('Data Source'!AC387&gt;=2,"C",IF('Data Source'!AC387&gt;=1,"D","F")))))),"")</f>
        <v/>
      </c>
      <c r="L387" s="3">
        <f>IF(AND('Data Source'!B387&lt;&gt;"",'Data Source'!S387="A+"),IF('Data Source'!AD387&gt;=5,"A+",IF('Data Source'!AD387&gt;=4,"A",IF('Data Source'!AD387&gt;=3.5,"A-",IF('Data Source'!AD387&gt;=3,"B",IF('Data Source'!AD387&gt;=2,"C",IF('Data Source'!AD387&gt;=1,"D","F")))))),"")</f>
        <v/>
      </c>
      <c r="M387" s="3">
        <f>IF(AND('Data Source'!B387&lt;&gt;"",'Data Source'!S387="A+"),IF('Data Source'!AE387&gt;=5,"A+",IF('Data Source'!AE387&gt;=4,"A",IF('Data Source'!AE387&gt;=3.5,"A-",IF('Data Source'!AE387&gt;=3,"B",IF('Data Source'!AE387&gt;=2,"C",IF('Data Source'!AE387&gt;=1,"D","F")))))),"")</f>
        <v/>
      </c>
      <c r="N387" s="3">
        <f>IF(AND('Data Source'!B387&lt;&gt;"",'Data Source'!S387="A+"),IF('Data Source'!AF387&gt;=5,"A+",IF('Data Source'!AF387&gt;=4,"A",IF('Data Source'!AF387&gt;=3.5,"A-",IF('Data Source'!AF387&gt;=3,"B",IF('Data Source'!AF387&gt;=2,"C",IF('Data Source'!AF387&gt;=1,"D","F")))))),"")</f>
        <v/>
      </c>
      <c r="O387" s="3">
        <f>IF(AND('Data Source'!B387&lt;&gt;"",'Data Source'!S387="A+"),IF('Data Source'!AG387&gt;=5,"A+",IF('Data Source'!AG387&gt;=4,"A",IF('Data Source'!AG387&gt;=3.5,"A-",IF('Data Source'!AG387&gt;=3,"B",IF('Data Source'!AG387&gt;=2,"C",IF('Data Source'!AG387&gt;=1,"D","F")))))),"")</f>
        <v/>
      </c>
      <c r="P387" s="5">
        <f>IF(AND('Data Source'!B387&lt;&gt;"",'Data Source'!S387="A+"),'Data Source'!R387,"")</f>
        <v/>
      </c>
      <c r="Q387" s="3">
        <f>IF(AND('Data Source'!B387&lt;&gt;"",'Data Source'!S387="A+"),'Data Source'!S387,"")</f>
        <v/>
      </c>
    </row>
    <row r="388">
      <c r="A388" s="3">
        <f>IF(AND('Data Source'!B388&lt;&gt;"",'Data Source'!S388="A+"),COUNTIF('Data Source'!$S$3:S388,"A+"),"")</f>
        <v/>
      </c>
      <c r="B388">
        <f>IF(AND('Data Source'!B388&lt;&gt;"",'Data Source'!S388="A+"),'Data Source'!B388,"")</f>
        <v/>
      </c>
      <c r="C388" s="3">
        <f>IF(AND('Data Source'!B388&lt;&gt;"",'Data Source'!S388="A+"),IF('Data Source'!U388&gt;=5,"A+",IF('Data Source'!U388&gt;=4,"A",IF('Data Source'!U388&gt;=3.5,"A-",IF('Data Source'!U388&gt;=3,"B",IF('Data Source'!U388&gt;=2,"C",IF('Data Source'!U388&gt;=1,"D","F")))))),"")</f>
        <v/>
      </c>
      <c r="D388" s="3">
        <f>IF(AND('Data Source'!B388&lt;&gt;"",'Data Source'!S388="A+"),IF('Data Source'!V388&gt;=5,"A+",IF('Data Source'!V388&gt;=4,"A",IF('Data Source'!V388&gt;=3.5,"A-",IF('Data Source'!V388&gt;=3,"B",IF('Data Source'!V388&gt;=2,"C",IF('Data Source'!V388&gt;=1,"D","F")))))),"")</f>
        <v/>
      </c>
      <c r="E388" s="3">
        <f>IF(AND('Data Source'!B388&lt;&gt;"",'Data Source'!S388="A+"),IF('Data Source'!W388&gt;=5,"A+",IF('Data Source'!W388&gt;=4,"A",IF('Data Source'!W388&gt;=3.5,"A-",IF('Data Source'!W388&gt;=3,"B",IF('Data Source'!W388&gt;=2,"C",IF('Data Source'!W388&gt;=1,"D","F")))))),"")</f>
        <v/>
      </c>
      <c r="F388" s="3">
        <f>IF(AND('Data Source'!B388&lt;&gt;"",'Data Source'!S388="A+"),IF('Data Source'!X388&gt;=5,"A+",IF('Data Source'!X388&gt;=4,"A",IF('Data Source'!X388&gt;=3.5,"A-",IF('Data Source'!X388&gt;=3,"B",IF('Data Source'!X388&gt;=2,"C",IF('Data Source'!X388&gt;=1,"D","F")))))),"")</f>
        <v/>
      </c>
      <c r="G388" s="3">
        <f>IF(AND('Data Source'!B388&lt;&gt;"",'Data Source'!S388="A+"),IF('Data Source'!Y388&gt;=5,"A+",IF('Data Source'!Y388&gt;=4,"A",IF('Data Source'!Y388&gt;=3.5,"A-",IF('Data Source'!Y388&gt;=3,"B",IF('Data Source'!Y388&gt;=2,"C",IF('Data Source'!Y388&gt;=1,"D","F")))))),"")</f>
        <v/>
      </c>
      <c r="H388" s="3">
        <f>IF(AND('Data Source'!B388&lt;&gt;"",'Data Source'!S388="A+"),IF('Data Source'!Z388&gt;=5,"A+",IF('Data Source'!Z388&gt;=4,"A",IF('Data Source'!Z388&gt;=3.5,"A-",IF('Data Source'!Z388&gt;=3,"B",IF('Data Source'!Z388&gt;=2,"C",IF('Data Source'!Z388&gt;=1,"D","F")))))),"")</f>
        <v/>
      </c>
      <c r="I388" s="3">
        <f>IF(AND('Data Source'!B388&lt;&gt;"",'Data Source'!S388="A+"),IF('Data Source'!AA388&gt;=5,"A+",IF('Data Source'!AA388&gt;=4,"A",IF('Data Source'!AA388&gt;=3.5,"A-",IF('Data Source'!AA388&gt;=3,"B",IF('Data Source'!AA388&gt;=2,"C",IF('Data Source'!AA388&gt;=1,"D","F")))))),"")</f>
        <v/>
      </c>
      <c r="J388" s="3">
        <f>IF(AND('Data Source'!B388&lt;&gt;"",'Data Source'!S388="A+"),IF('Data Source'!AB388&gt;=5,"A+",IF('Data Source'!AB388&gt;=4,"A",IF('Data Source'!AB388&gt;=3.5,"A-",IF('Data Source'!AB388&gt;=3,"B",IF('Data Source'!AB388&gt;=2,"C",IF('Data Source'!AB388&gt;=1,"D","F")))))),"")</f>
        <v/>
      </c>
      <c r="K388" s="3">
        <f>IF(AND('Data Source'!B388&lt;&gt;"",'Data Source'!S388="A+"),IF('Data Source'!AC388&gt;=5,"A+",IF('Data Source'!AC388&gt;=4,"A",IF('Data Source'!AC388&gt;=3.5,"A-",IF('Data Source'!AC388&gt;=3,"B",IF('Data Source'!AC388&gt;=2,"C",IF('Data Source'!AC388&gt;=1,"D","F")))))),"")</f>
        <v/>
      </c>
      <c r="L388" s="3">
        <f>IF(AND('Data Source'!B388&lt;&gt;"",'Data Source'!S388="A+"),IF('Data Source'!AD388&gt;=5,"A+",IF('Data Source'!AD388&gt;=4,"A",IF('Data Source'!AD388&gt;=3.5,"A-",IF('Data Source'!AD388&gt;=3,"B",IF('Data Source'!AD388&gt;=2,"C",IF('Data Source'!AD388&gt;=1,"D","F")))))),"")</f>
        <v/>
      </c>
      <c r="M388" s="3">
        <f>IF(AND('Data Source'!B388&lt;&gt;"",'Data Source'!S388="A+"),IF('Data Source'!AE388&gt;=5,"A+",IF('Data Source'!AE388&gt;=4,"A",IF('Data Source'!AE388&gt;=3.5,"A-",IF('Data Source'!AE388&gt;=3,"B",IF('Data Source'!AE388&gt;=2,"C",IF('Data Source'!AE388&gt;=1,"D","F")))))),"")</f>
        <v/>
      </c>
      <c r="N388" s="3">
        <f>IF(AND('Data Source'!B388&lt;&gt;"",'Data Source'!S388="A+"),IF('Data Source'!AF388&gt;=5,"A+",IF('Data Source'!AF388&gt;=4,"A",IF('Data Source'!AF388&gt;=3.5,"A-",IF('Data Source'!AF388&gt;=3,"B",IF('Data Source'!AF388&gt;=2,"C",IF('Data Source'!AF388&gt;=1,"D","F")))))),"")</f>
        <v/>
      </c>
      <c r="O388" s="3">
        <f>IF(AND('Data Source'!B388&lt;&gt;"",'Data Source'!S388="A+"),IF('Data Source'!AG388&gt;=5,"A+",IF('Data Source'!AG388&gt;=4,"A",IF('Data Source'!AG388&gt;=3.5,"A-",IF('Data Source'!AG388&gt;=3,"B",IF('Data Source'!AG388&gt;=2,"C",IF('Data Source'!AG388&gt;=1,"D","F")))))),"")</f>
        <v/>
      </c>
      <c r="P388" s="5">
        <f>IF(AND('Data Source'!B388&lt;&gt;"",'Data Source'!S388="A+"),'Data Source'!R388,"")</f>
        <v/>
      </c>
      <c r="Q388" s="3">
        <f>IF(AND('Data Source'!B388&lt;&gt;"",'Data Source'!S388="A+"),'Data Source'!S388,"")</f>
        <v/>
      </c>
    </row>
    <row r="389">
      <c r="A389" s="3">
        <f>IF(AND('Data Source'!B389&lt;&gt;"",'Data Source'!S389="A+"),COUNTIF('Data Source'!$S$3:S389,"A+"),"")</f>
        <v/>
      </c>
      <c r="B389">
        <f>IF(AND('Data Source'!B389&lt;&gt;"",'Data Source'!S389="A+"),'Data Source'!B389,"")</f>
        <v/>
      </c>
      <c r="C389" s="3">
        <f>IF(AND('Data Source'!B389&lt;&gt;"",'Data Source'!S389="A+"),IF('Data Source'!U389&gt;=5,"A+",IF('Data Source'!U389&gt;=4,"A",IF('Data Source'!U389&gt;=3.5,"A-",IF('Data Source'!U389&gt;=3,"B",IF('Data Source'!U389&gt;=2,"C",IF('Data Source'!U389&gt;=1,"D","F")))))),"")</f>
        <v/>
      </c>
      <c r="D389" s="3">
        <f>IF(AND('Data Source'!B389&lt;&gt;"",'Data Source'!S389="A+"),IF('Data Source'!V389&gt;=5,"A+",IF('Data Source'!V389&gt;=4,"A",IF('Data Source'!V389&gt;=3.5,"A-",IF('Data Source'!V389&gt;=3,"B",IF('Data Source'!V389&gt;=2,"C",IF('Data Source'!V389&gt;=1,"D","F")))))),"")</f>
        <v/>
      </c>
      <c r="E389" s="3">
        <f>IF(AND('Data Source'!B389&lt;&gt;"",'Data Source'!S389="A+"),IF('Data Source'!W389&gt;=5,"A+",IF('Data Source'!W389&gt;=4,"A",IF('Data Source'!W389&gt;=3.5,"A-",IF('Data Source'!W389&gt;=3,"B",IF('Data Source'!W389&gt;=2,"C",IF('Data Source'!W389&gt;=1,"D","F")))))),"")</f>
        <v/>
      </c>
      <c r="F389" s="3">
        <f>IF(AND('Data Source'!B389&lt;&gt;"",'Data Source'!S389="A+"),IF('Data Source'!X389&gt;=5,"A+",IF('Data Source'!X389&gt;=4,"A",IF('Data Source'!X389&gt;=3.5,"A-",IF('Data Source'!X389&gt;=3,"B",IF('Data Source'!X389&gt;=2,"C",IF('Data Source'!X389&gt;=1,"D","F")))))),"")</f>
        <v/>
      </c>
      <c r="G389" s="3">
        <f>IF(AND('Data Source'!B389&lt;&gt;"",'Data Source'!S389="A+"),IF('Data Source'!Y389&gt;=5,"A+",IF('Data Source'!Y389&gt;=4,"A",IF('Data Source'!Y389&gt;=3.5,"A-",IF('Data Source'!Y389&gt;=3,"B",IF('Data Source'!Y389&gt;=2,"C",IF('Data Source'!Y389&gt;=1,"D","F")))))),"")</f>
        <v/>
      </c>
      <c r="H389" s="3">
        <f>IF(AND('Data Source'!B389&lt;&gt;"",'Data Source'!S389="A+"),IF('Data Source'!Z389&gt;=5,"A+",IF('Data Source'!Z389&gt;=4,"A",IF('Data Source'!Z389&gt;=3.5,"A-",IF('Data Source'!Z389&gt;=3,"B",IF('Data Source'!Z389&gt;=2,"C",IF('Data Source'!Z389&gt;=1,"D","F")))))),"")</f>
        <v/>
      </c>
      <c r="I389" s="3">
        <f>IF(AND('Data Source'!B389&lt;&gt;"",'Data Source'!S389="A+"),IF('Data Source'!AA389&gt;=5,"A+",IF('Data Source'!AA389&gt;=4,"A",IF('Data Source'!AA389&gt;=3.5,"A-",IF('Data Source'!AA389&gt;=3,"B",IF('Data Source'!AA389&gt;=2,"C",IF('Data Source'!AA389&gt;=1,"D","F")))))),"")</f>
        <v/>
      </c>
      <c r="J389" s="3">
        <f>IF(AND('Data Source'!B389&lt;&gt;"",'Data Source'!S389="A+"),IF('Data Source'!AB389&gt;=5,"A+",IF('Data Source'!AB389&gt;=4,"A",IF('Data Source'!AB389&gt;=3.5,"A-",IF('Data Source'!AB389&gt;=3,"B",IF('Data Source'!AB389&gt;=2,"C",IF('Data Source'!AB389&gt;=1,"D","F")))))),"")</f>
        <v/>
      </c>
      <c r="K389" s="3">
        <f>IF(AND('Data Source'!B389&lt;&gt;"",'Data Source'!S389="A+"),IF('Data Source'!AC389&gt;=5,"A+",IF('Data Source'!AC389&gt;=4,"A",IF('Data Source'!AC389&gt;=3.5,"A-",IF('Data Source'!AC389&gt;=3,"B",IF('Data Source'!AC389&gt;=2,"C",IF('Data Source'!AC389&gt;=1,"D","F")))))),"")</f>
        <v/>
      </c>
      <c r="L389" s="3">
        <f>IF(AND('Data Source'!B389&lt;&gt;"",'Data Source'!S389="A+"),IF('Data Source'!AD389&gt;=5,"A+",IF('Data Source'!AD389&gt;=4,"A",IF('Data Source'!AD389&gt;=3.5,"A-",IF('Data Source'!AD389&gt;=3,"B",IF('Data Source'!AD389&gt;=2,"C",IF('Data Source'!AD389&gt;=1,"D","F")))))),"")</f>
        <v/>
      </c>
      <c r="M389" s="3">
        <f>IF(AND('Data Source'!B389&lt;&gt;"",'Data Source'!S389="A+"),IF('Data Source'!AE389&gt;=5,"A+",IF('Data Source'!AE389&gt;=4,"A",IF('Data Source'!AE389&gt;=3.5,"A-",IF('Data Source'!AE389&gt;=3,"B",IF('Data Source'!AE389&gt;=2,"C",IF('Data Source'!AE389&gt;=1,"D","F")))))),"")</f>
        <v/>
      </c>
      <c r="N389" s="3">
        <f>IF(AND('Data Source'!B389&lt;&gt;"",'Data Source'!S389="A+"),IF('Data Source'!AF389&gt;=5,"A+",IF('Data Source'!AF389&gt;=4,"A",IF('Data Source'!AF389&gt;=3.5,"A-",IF('Data Source'!AF389&gt;=3,"B",IF('Data Source'!AF389&gt;=2,"C",IF('Data Source'!AF389&gt;=1,"D","F")))))),"")</f>
        <v/>
      </c>
      <c r="O389" s="3">
        <f>IF(AND('Data Source'!B389&lt;&gt;"",'Data Source'!S389="A+"),IF('Data Source'!AG389&gt;=5,"A+",IF('Data Source'!AG389&gt;=4,"A",IF('Data Source'!AG389&gt;=3.5,"A-",IF('Data Source'!AG389&gt;=3,"B",IF('Data Source'!AG389&gt;=2,"C",IF('Data Source'!AG389&gt;=1,"D","F")))))),"")</f>
        <v/>
      </c>
      <c r="P389" s="5">
        <f>IF(AND('Data Source'!B389&lt;&gt;"",'Data Source'!S389="A+"),'Data Source'!R389,"")</f>
        <v/>
      </c>
      <c r="Q389" s="3">
        <f>IF(AND('Data Source'!B389&lt;&gt;"",'Data Source'!S389="A+"),'Data Source'!S389,"")</f>
        <v/>
      </c>
    </row>
    <row r="390">
      <c r="A390" s="3">
        <f>IF(AND('Data Source'!B390&lt;&gt;"",'Data Source'!S390="A+"),COUNTIF('Data Source'!$S$3:S390,"A+"),"")</f>
        <v/>
      </c>
      <c r="B390">
        <f>IF(AND('Data Source'!B390&lt;&gt;"",'Data Source'!S390="A+"),'Data Source'!B390,"")</f>
        <v/>
      </c>
      <c r="C390" s="3">
        <f>IF(AND('Data Source'!B390&lt;&gt;"",'Data Source'!S390="A+"),IF('Data Source'!U390&gt;=5,"A+",IF('Data Source'!U390&gt;=4,"A",IF('Data Source'!U390&gt;=3.5,"A-",IF('Data Source'!U390&gt;=3,"B",IF('Data Source'!U390&gt;=2,"C",IF('Data Source'!U390&gt;=1,"D","F")))))),"")</f>
        <v/>
      </c>
      <c r="D390" s="3">
        <f>IF(AND('Data Source'!B390&lt;&gt;"",'Data Source'!S390="A+"),IF('Data Source'!V390&gt;=5,"A+",IF('Data Source'!V390&gt;=4,"A",IF('Data Source'!V390&gt;=3.5,"A-",IF('Data Source'!V390&gt;=3,"B",IF('Data Source'!V390&gt;=2,"C",IF('Data Source'!V390&gt;=1,"D","F")))))),"")</f>
        <v/>
      </c>
      <c r="E390" s="3">
        <f>IF(AND('Data Source'!B390&lt;&gt;"",'Data Source'!S390="A+"),IF('Data Source'!W390&gt;=5,"A+",IF('Data Source'!W390&gt;=4,"A",IF('Data Source'!W390&gt;=3.5,"A-",IF('Data Source'!W390&gt;=3,"B",IF('Data Source'!W390&gt;=2,"C",IF('Data Source'!W390&gt;=1,"D","F")))))),"")</f>
        <v/>
      </c>
      <c r="F390" s="3">
        <f>IF(AND('Data Source'!B390&lt;&gt;"",'Data Source'!S390="A+"),IF('Data Source'!X390&gt;=5,"A+",IF('Data Source'!X390&gt;=4,"A",IF('Data Source'!X390&gt;=3.5,"A-",IF('Data Source'!X390&gt;=3,"B",IF('Data Source'!X390&gt;=2,"C",IF('Data Source'!X390&gt;=1,"D","F")))))),"")</f>
        <v/>
      </c>
      <c r="G390" s="3">
        <f>IF(AND('Data Source'!B390&lt;&gt;"",'Data Source'!S390="A+"),IF('Data Source'!Y390&gt;=5,"A+",IF('Data Source'!Y390&gt;=4,"A",IF('Data Source'!Y390&gt;=3.5,"A-",IF('Data Source'!Y390&gt;=3,"B",IF('Data Source'!Y390&gt;=2,"C",IF('Data Source'!Y390&gt;=1,"D","F")))))),"")</f>
        <v/>
      </c>
      <c r="H390" s="3">
        <f>IF(AND('Data Source'!B390&lt;&gt;"",'Data Source'!S390="A+"),IF('Data Source'!Z390&gt;=5,"A+",IF('Data Source'!Z390&gt;=4,"A",IF('Data Source'!Z390&gt;=3.5,"A-",IF('Data Source'!Z390&gt;=3,"B",IF('Data Source'!Z390&gt;=2,"C",IF('Data Source'!Z390&gt;=1,"D","F")))))),"")</f>
        <v/>
      </c>
      <c r="I390" s="3">
        <f>IF(AND('Data Source'!B390&lt;&gt;"",'Data Source'!S390="A+"),IF('Data Source'!AA390&gt;=5,"A+",IF('Data Source'!AA390&gt;=4,"A",IF('Data Source'!AA390&gt;=3.5,"A-",IF('Data Source'!AA390&gt;=3,"B",IF('Data Source'!AA390&gt;=2,"C",IF('Data Source'!AA390&gt;=1,"D","F")))))),"")</f>
        <v/>
      </c>
      <c r="J390" s="3">
        <f>IF(AND('Data Source'!B390&lt;&gt;"",'Data Source'!S390="A+"),IF('Data Source'!AB390&gt;=5,"A+",IF('Data Source'!AB390&gt;=4,"A",IF('Data Source'!AB390&gt;=3.5,"A-",IF('Data Source'!AB390&gt;=3,"B",IF('Data Source'!AB390&gt;=2,"C",IF('Data Source'!AB390&gt;=1,"D","F")))))),"")</f>
        <v/>
      </c>
      <c r="K390" s="3">
        <f>IF(AND('Data Source'!B390&lt;&gt;"",'Data Source'!S390="A+"),IF('Data Source'!AC390&gt;=5,"A+",IF('Data Source'!AC390&gt;=4,"A",IF('Data Source'!AC390&gt;=3.5,"A-",IF('Data Source'!AC390&gt;=3,"B",IF('Data Source'!AC390&gt;=2,"C",IF('Data Source'!AC390&gt;=1,"D","F")))))),"")</f>
        <v/>
      </c>
      <c r="L390" s="3">
        <f>IF(AND('Data Source'!B390&lt;&gt;"",'Data Source'!S390="A+"),IF('Data Source'!AD390&gt;=5,"A+",IF('Data Source'!AD390&gt;=4,"A",IF('Data Source'!AD390&gt;=3.5,"A-",IF('Data Source'!AD390&gt;=3,"B",IF('Data Source'!AD390&gt;=2,"C",IF('Data Source'!AD390&gt;=1,"D","F")))))),"")</f>
        <v/>
      </c>
      <c r="M390" s="3">
        <f>IF(AND('Data Source'!B390&lt;&gt;"",'Data Source'!S390="A+"),IF('Data Source'!AE390&gt;=5,"A+",IF('Data Source'!AE390&gt;=4,"A",IF('Data Source'!AE390&gt;=3.5,"A-",IF('Data Source'!AE390&gt;=3,"B",IF('Data Source'!AE390&gt;=2,"C",IF('Data Source'!AE390&gt;=1,"D","F")))))),"")</f>
        <v/>
      </c>
      <c r="N390" s="3">
        <f>IF(AND('Data Source'!B390&lt;&gt;"",'Data Source'!S390="A+"),IF('Data Source'!AF390&gt;=5,"A+",IF('Data Source'!AF390&gt;=4,"A",IF('Data Source'!AF390&gt;=3.5,"A-",IF('Data Source'!AF390&gt;=3,"B",IF('Data Source'!AF390&gt;=2,"C",IF('Data Source'!AF390&gt;=1,"D","F")))))),"")</f>
        <v/>
      </c>
      <c r="O390" s="3">
        <f>IF(AND('Data Source'!B390&lt;&gt;"",'Data Source'!S390="A+"),IF('Data Source'!AG390&gt;=5,"A+",IF('Data Source'!AG390&gt;=4,"A",IF('Data Source'!AG390&gt;=3.5,"A-",IF('Data Source'!AG390&gt;=3,"B",IF('Data Source'!AG390&gt;=2,"C",IF('Data Source'!AG390&gt;=1,"D","F")))))),"")</f>
        <v/>
      </c>
      <c r="P390" s="5">
        <f>IF(AND('Data Source'!B390&lt;&gt;"",'Data Source'!S390="A+"),'Data Source'!R390,"")</f>
        <v/>
      </c>
      <c r="Q390" s="3">
        <f>IF(AND('Data Source'!B390&lt;&gt;"",'Data Source'!S390="A+"),'Data Source'!S390,"")</f>
        <v/>
      </c>
    </row>
    <row r="391">
      <c r="A391" s="3">
        <f>IF(AND('Data Source'!B391&lt;&gt;"",'Data Source'!S391="A+"),COUNTIF('Data Source'!$S$3:S391,"A+"),"")</f>
        <v/>
      </c>
      <c r="B391">
        <f>IF(AND('Data Source'!B391&lt;&gt;"",'Data Source'!S391="A+"),'Data Source'!B391,"")</f>
        <v/>
      </c>
      <c r="C391" s="3">
        <f>IF(AND('Data Source'!B391&lt;&gt;"",'Data Source'!S391="A+"),IF('Data Source'!U391&gt;=5,"A+",IF('Data Source'!U391&gt;=4,"A",IF('Data Source'!U391&gt;=3.5,"A-",IF('Data Source'!U391&gt;=3,"B",IF('Data Source'!U391&gt;=2,"C",IF('Data Source'!U391&gt;=1,"D","F")))))),"")</f>
        <v/>
      </c>
      <c r="D391" s="3">
        <f>IF(AND('Data Source'!B391&lt;&gt;"",'Data Source'!S391="A+"),IF('Data Source'!V391&gt;=5,"A+",IF('Data Source'!V391&gt;=4,"A",IF('Data Source'!V391&gt;=3.5,"A-",IF('Data Source'!V391&gt;=3,"B",IF('Data Source'!V391&gt;=2,"C",IF('Data Source'!V391&gt;=1,"D","F")))))),"")</f>
        <v/>
      </c>
      <c r="E391" s="3">
        <f>IF(AND('Data Source'!B391&lt;&gt;"",'Data Source'!S391="A+"),IF('Data Source'!W391&gt;=5,"A+",IF('Data Source'!W391&gt;=4,"A",IF('Data Source'!W391&gt;=3.5,"A-",IF('Data Source'!W391&gt;=3,"B",IF('Data Source'!W391&gt;=2,"C",IF('Data Source'!W391&gt;=1,"D","F")))))),"")</f>
        <v/>
      </c>
      <c r="F391" s="3">
        <f>IF(AND('Data Source'!B391&lt;&gt;"",'Data Source'!S391="A+"),IF('Data Source'!X391&gt;=5,"A+",IF('Data Source'!X391&gt;=4,"A",IF('Data Source'!X391&gt;=3.5,"A-",IF('Data Source'!X391&gt;=3,"B",IF('Data Source'!X391&gt;=2,"C",IF('Data Source'!X391&gt;=1,"D","F")))))),"")</f>
        <v/>
      </c>
      <c r="G391" s="3">
        <f>IF(AND('Data Source'!B391&lt;&gt;"",'Data Source'!S391="A+"),IF('Data Source'!Y391&gt;=5,"A+",IF('Data Source'!Y391&gt;=4,"A",IF('Data Source'!Y391&gt;=3.5,"A-",IF('Data Source'!Y391&gt;=3,"B",IF('Data Source'!Y391&gt;=2,"C",IF('Data Source'!Y391&gt;=1,"D","F")))))),"")</f>
        <v/>
      </c>
      <c r="H391" s="3">
        <f>IF(AND('Data Source'!B391&lt;&gt;"",'Data Source'!S391="A+"),IF('Data Source'!Z391&gt;=5,"A+",IF('Data Source'!Z391&gt;=4,"A",IF('Data Source'!Z391&gt;=3.5,"A-",IF('Data Source'!Z391&gt;=3,"B",IF('Data Source'!Z391&gt;=2,"C",IF('Data Source'!Z391&gt;=1,"D","F")))))),"")</f>
        <v/>
      </c>
      <c r="I391" s="3">
        <f>IF(AND('Data Source'!B391&lt;&gt;"",'Data Source'!S391="A+"),IF('Data Source'!AA391&gt;=5,"A+",IF('Data Source'!AA391&gt;=4,"A",IF('Data Source'!AA391&gt;=3.5,"A-",IF('Data Source'!AA391&gt;=3,"B",IF('Data Source'!AA391&gt;=2,"C",IF('Data Source'!AA391&gt;=1,"D","F")))))),"")</f>
        <v/>
      </c>
      <c r="J391" s="3">
        <f>IF(AND('Data Source'!B391&lt;&gt;"",'Data Source'!S391="A+"),IF('Data Source'!AB391&gt;=5,"A+",IF('Data Source'!AB391&gt;=4,"A",IF('Data Source'!AB391&gt;=3.5,"A-",IF('Data Source'!AB391&gt;=3,"B",IF('Data Source'!AB391&gt;=2,"C",IF('Data Source'!AB391&gt;=1,"D","F")))))),"")</f>
        <v/>
      </c>
      <c r="K391" s="3">
        <f>IF(AND('Data Source'!B391&lt;&gt;"",'Data Source'!S391="A+"),IF('Data Source'!AC391&gt;=5,"A+",IF('Data Source'!AC391&gt;=4,"A",IF('Data Source'!AC391&gt;=3.5,"A-",IF('Data Source'!AC391&gt;=3,"B",IF('Data Source'!AC391&gt;=2,"C",IF('Data Source'!AC391&gt;=1,"D","F")))))),"")</f>
        <v/>
      </c>
      <c r="L391" s="3">
        <f>IF(AND('Data Source'!B391&lt;&gt;"",'Data Source'!S391="A+"),IF('Data Source'!AD391&gt;=5,"A+",IF('Data Source'!AD391&gt;=4,"A",IF('Data Source'!AD391&gt;=3.5,"A-",IF('Data Source'!AD391&gt;=3,"B",IF('Data Source'!AD391&gt;=2,"C",IF('Data Source'!AD391&gt;=1,"D","F")))))),"")</f>
        <v/>
      </c>
      <c r="M391" s="3">
        <f>IF(AND('Data Source'!B391&lt;&gt;"",'Data Source'!S391="A+"),IF('Data Source'!AE391&gt;=5,"A+",IF('Data Source'!AE391&gt;=4,"A",IF('Data Source'!AE391&gt;=3.5,"A-",IF('Data Source'!AE391&gt;=3,"B",IF('Data Source'!AE391&gt;=2,"C",IF('Data Source'!AE391&gt;=1,"D","F")))))),"")</f>
        <v/>
      </c>
      <c r="N391" s="3">
        <f>IF(AND('Data Source'!B391&lt;&gt;"",'Data Source'!S391="A+"),IF('Data Source'!AF391&gt;=5,"A+",IF('Data Source'!AF391&gt;=4,"A",IF('Data Source'!AF391&gt;=3.5,"A-",IF('Data Source'!AF391&gt;=3,"B",IF('Data Source'!AF391&gt;=2,"C",IF('Data Source'!AF391&gt;=1,"D","F")))))),"")</f>
        <v/>
      </c>
      <c r="O391" s="3">
        <f>IF(AND('Data Source'!B391&lt;&gt;"",'Data Source'!S391="A+"),IF('Data Source'!AG391&gt;=5,"A+",IF('Data Source'!AG391&gt;=4,"A",IF('Data Source'!AG391&gt;=3.5,"A-",IF('Data Source'!AG391&gt;=3,"B",IF('Data Source'!AG391&gt;=2,"C",IF('Data Source'!AG391&gt;=1,"D","F")))))),"")</f>
        <v/>
      </c>
      <c r="P391" s="5">
        <f>IF(AND('Data Source'!B391&lt;&gt;"",'Data Source'!S391="A+"),'Data Source'!R391,"")</f>
        <v/>
      </c>
      <c r="Q391" s="3">
        <f>IF(AND('Data Source'!B391&lt;&gt;"",'Data Source'!S391="A+"),'Data Source'!S391,"")</f>
        <v/>
      </c>
    </row>
    <row r="392">
      <c r="A392" s="3">
        <f>IF(AND('Data Source'!B392&lt;&gt;"",'Data Source'!S392="A+"),COUNTIF('Data Source'!$S$3:S392,"A+"),"")</f>
        <v/>
      </c>
      <c r="B392">
        <f>IF(AND('Data Source'!B392&lt;&gt;"",'Data Source'!S392="A+"),'Data Source'!B392,"")</f>
        <v/>
      </c>
      <c r="C392" s="3">
        <f>IF(AND('Data Source'!B392&lt;&gt;"",'Data Source'!S392="A+"),IF('Data Source'!U392&gt;=5,"A+",IF('Data Source'!U392&gt;=4,"A",IF('Data Source'!U392&gt;=3.5,"A-",IF('Data Source'!U392&gt;=3,"B",IF('Data Source'!U392&gt;=2,"C",IF('Data Source'!U392&gt;=1,"D","F")))))),"")</f>
        <v/>
      </c>
      <c r="D392" s="3">
        <f>IF(AND('Data Source'!B392&lt;&gt;"",'Data Source'!S392="A+"),IF('Data Source'!V392&gt;=5,"A+",IF('Data Source'!V392&gt;=4,"A",IF('Data Source'!V392&gt;=3.5,"A-",IF('Data Source'!V392&gt;=3,"B",IF('Data Source'!V392&gt;=2,"C",IF('Data Source'!V392&gt;=1,"D","F")))))),"")</f>
        <v/>
      </c>
      <c r="E392" s="3">
        <f>IF(AND('Data Source'!B392&lt;&gt;"",'Data Source'!S392="A+"),IF('Data Source'!W392&gt;=5,"A+",IF('Data Source'!W392&gt;=4,"A",IF('Data Source'!W392&gt;=3.5,"A-",IF('Data Source'!W392&gt;=3,"B",IF('Data Source'!W392&gt;=2,"C",IF('Data Source'!W392&gt;=1,"D","F")))))),"")</f>
        <v/>
      </c>
      <c r="F392" s="3">
        <f>IF(AND('Data Source'!B392&lt;&gt;"",'Data Source'!S392="A+"),IF('Data Source'!X392&gt;=5,"A+",IF('Data Source'!X392&gt;=4,"A",IF('Data Source'!X392&gt;=3.5,"A-",IF('Data Source'!X392&gt;=3,"B",IF('Data Source'!X392&gt;=2,"C",IF('Data Source'!X392&gt;=1,"D","F")))))),"")</f>
        <v/>
      </c>
      <c r="G392" s="3">
        <f>IF(AND('Data Source'!B392&lt;&gt;"",'Data Source'!S392="A+"),IF('Data Source'!Y392&gt;=5,"A+",IF('Data Source'!Y392&gt;=4,"A",IF('Data Source'!Y392&gt;=3.5,"A-",IF('Data Source'!Y392&gt;=3,"B",IF('Data Source'!Y392&gt;=2,"C",IF('Data Source'!Y392&gt;=1,"D","F")))))),"")</f>
        <v/>
      </c>
      <c r="H392" s="3">
        <f>IF(AND('Data Source'!B392&lt;&gt;"",'Data Source'!S392="A+"),IF('Data Source'!Z392&gt;=5,"A+",IF('Data Source'!Z392&gt;=4,"A",IF('Data Source'!Z392&gt;=3.5,"A-",IF('Data Source'!Z392&gt;=3,"B",IF('Data Source'!Z392&gt;=2,"C",IF('Data Source'!Z392&gt;=1,"D","F")))))),"")</f>
        <v/>
      </c>
      <c r="I392" s="3">
        <f>IF(AND('Data Source'!B392&lt;&gt;"",'Data Source'!S392="A+"),IF('Data Source'!AA392&gt;=5,"A+",IF('Data Source'!AA392&gt;=4,"A",IF('Data Source'!AA392&gt;=3.5,"A-",IF('Data Source'!AA392&gt;=3,"B",IF('Data Source'!AA392&gt;=2,"C",IF('Data Source'!AA392&gt;=1,"D","F")))))),"")</f>
        <v/>
      </c>
      <c r="J392" s="3">
        <f>IF(AND('Data Source'!B392&lt;&gt;"",'Data Source'!S392="A+"),IF('Data Source'!AB392&gt;=5,"A+",IF('Data Source'!AB392&gt;=4,"A",IF('Data Source'!AB392&gt;=3.5,"A-",IF('Data Source'!AB392&gt;=3,"B",IF('Data Source'!AB392&gt;=2,"C",IF('Data Source'!AB392&gt;=1,"D","F")))))),"")</f>
        <v/>
      </c>
      <c r="K392" s="3">
        <f>IF(AND('Data Source'!B392&lt;&gt;"",'Data Source'!S392="A+"),IF('Data Source'!AC392&gt;=5,"A+",IF('Data Source'!AC392&gt;=4,"A",IF('Data Source'!AC392&gt;=3.5,"A-",IF('Data Source'!AC392&gt;=3,"B",IF('Data Source'!AC392&gt;=2,"C",IF('Data Source'!AC392&gt;=1,"D","F")))))),"")</f>
        <v/>
      </c>
      <c r="L392" s="3">
        <f>IF(AND('Data Source'!B392&lt;&gt;"",'Data Source'!S392="A+"),IF('Data Source'!AD392&gt;=5,"A+",IF('Data Source'!AD392&gt;=4,"A",IF('Data Source'!AD392&gt;=3.5,"A-",IF('Data Source'!AD392&gt;=3,"B",IF('Data Source'!AD392&gt;=2,"C",IF('Data Source'!AD392&gt;=1,"D","F")))))),"")</f>
        <v/>
      </c>
      <c r="M392" s="3">
        <f>IF(AND('Data Source'!B392&lt;&gt;"",'Data Source'!S392="A+"),IF('Data Source'!AE392&gt;=5,"A+",IF('Data Source'!AE392&gt;=4,"A",IF('Data Source'!AE392&gt;=3.5,"A-",IF('Data Source'!AE392&gt;=3,"B",IF('Data Source'!AE392&gt;=2,"C",IF('Data Source'!AE392&gt;=1,"D","F")))))),"")</f>
        <v/>
      </c>
      <c r="N392" s="3">
        <f>IF(AND('Data Source'!B392&lt;&gt;"",'Data Source'!S392="A+"),IF('Data Source'!AF392&gt;=5,"A+",IF('Data Source'!AF392&gt;=4,"A",IF('Data Source'!AF392&gt;=3.5,"A-",IF('Data Source'!AF392&gt;=3,"B",IF('Data Source'!AF392&gt;=2,"C",IF('Data Source'!AF392&gt;=1,"D","F")))))),"")</f>
        <v/>
      </c>
      <c r="O392" s="3">
        <f>IF(AND('Data Source'!B392&lt;&gt;"",'Data Source'!S392="A+"),IF('Data Source'!AG392&gt;=5,"A+",IF('Data Source'!AG392&gt;=4,"A",IF('Data Source'!AG392&gt;=3.5,"A-",IF('Data Source'!AG392&gt;=3,"B",IF('Data Source'!AG392&gt;=2,"C",IF('Data Source'!AG392&gt;=1,"D","F")))))),"")</f>
        <v/>
      </c>
      <c r="P392" s="5">
        <f>IF(AND('Data Source'!B392&lt;&gt;"",'Data Source'!S392="A+"),'Data Source'!R392,"")</f>
        <v/>
      </c>
      <c r="Q392" s="3">
        <f>IF(AND('Data Source'!B392&lt;&gt;"",'Data Source'!S392="A+"),'Data Source'!S392,"")</f>
        <v/>
      </c>
    </row>
    <row r="393">
      <c r="A393" s="3">
        <f>IF(AND('Data Source'!B393&lt;&gt;"",'Data Source'!S393="A+"),COUNTIF('Data Source'!$S$3:S393,"A+"),"")</f>
        <v/>
      </c>
      <c r="B393">
        <f>IF(AND('Data Source'!B393&lt;&gt;"",'Data Source'!S393="A+"),'Data Source'!B393,"")</f>
        <v/>
      </c>
      <c r="C393" s="3">
        <f>IF(AND('Data Source'!B393&lt;&gt;"",'Data Source'!S393="A+"),IF('Data Source'!U393&gt;=5,"A+",IF('Data Source'!U393&gt;=4,"A",IF('Data Source'!U393&gt;=3.5,"A-",IF('Data Source'!U393&gt;=3,"B",IF('Data Source'!U393&gt;=2,"C",IF('Data Source'!U393&gt;=1,"D","F")))))),"")</f>
        <v/>
      </c>
      <c r="D393" s="3">
        <f>IF(AND('Data Source'!B393&lt;&gt;"",'Data Source'!S393="A+"),IF('Data Source'!V393&gt;=5,"A+",IF('Data Source'!V393&gt;=4,"A",IF('Data Source'!V393&gt;=3.5,"A-",IF('Data Source'!V393&gt;=3,"B",IF('Data Source'!V393&gt;=2,"C",IF('Data Source'!V393&gt;=1,"D","F")))))),"")</f>
        <v/>
      </c>
      <c r="E393" s="3">
        <f>IF(AND('Data Source'!B393&lt;&gt;"",'Data Source'!S393="A+"),IF('Data Source'!W393&gt;=5,"A+",IF('Data Source'!W393&gt;=4,"A",IF('Data Source'!W393&gt;=3.5,"A-",IF('Data Source'!W393&gt;=3,"B",IF('Data Source'!W393&gt;=2,"C",IF('Data Source'!W393&gt;=1,"D","F")))))),"")</f>
        <v/>
      </c>
      <c r="F393" s="3">
        <f>IF(AND('Data Source'!B393&lt;&gt;"",'Data Source'!S393="A+"),IF('Data Source'!X393&gt;=5,"A+",IF('Data Source'!X393&gt;=4,"A",IF('Data Source'!X393&gt;=3.5,"A-",IF('Data Source'!X393&gt;=3,"B",IF('Data Source'!X393&gt;=2,"C",IF('Data Source'!X393&gt;=1,"D","F")))))),"")</f>
        <v/>
      </c>
      <c r="G393" s="3">
        <f>IF(AND('Data Source'!B393&lt;&gt;"",'Data Source'!S393="A+"),IF('Data Source'!Y393&gt;=5,"A+",IF('Data Source'!Y393&gt;=4,"A",IF('Data Source'!Y393&gt;=3.5,"A-",IF('Data Source'!Y393&gt;=3,"B",IF('Data Source'!Y393&gt;=2,"C",IF('Data Source'!Y393&gt;=1,"D","F")))))),"")</f>
        <v/>
      </c>
      <c r="H393" s="3">
        <f>IF(AND('Data Source'!B393&lt;&gt;"",'Data Source'!S393="A+"),IF('Data Source'!Z393&gt;=5,"A+",IF('Data Source'!Z393&gt;=4,"A",IF('Data Source'!Z393&gt;=3.5,"A-",IF('Data Source'!Z393&gt;=3,"B",IF('Data Source'!Z393&gt;=2,"C",IF('Data Source'!Z393&gt;=1,"D","F")))))),"")</f>
        <v/>
      </c>
      <c r="I393" s="3">
        <f>IF(AND('Data Source'!B393&lt;&gt;"",'Data Source'!S393="A+"),IF('Data Source'!AA393&gt;=5,"A+",IF('Data Source'!AA393&gt;=4,"A",IF('Data Source'!AA393&gt;=3.5,"A-",IF('Data Source'!AA393&gt;=3,"B",IF('Data Source'!AA393&gt;=2,"C",IF('Data Source'!AA393&gt;=1,"D","F")))))),"")</f>
        <v/>
      </c>
      <c r="J393" s="3">
        <f>IF(AND('Data Source'!B393&lt;&gt;"",'Data Source'!S393="A+"),IF('Data Source'!AB393&gt;=5,"A+",IF('Data Source'!AB393&gt;=4,"A",IF('Data Source'!AB393&gt;=3.5,"A-",IF('Data Source'!AB393&gt;=3,"B",IF('Data Source'!AB393&gt;=2,"C",IF('Data Source'!AB393&gt;=1,"D","F")))))),"")</f>
        <v/>
      </c>
      <c r="K393" s="3">
        <f>IF(AND('Data Source'!B393&lt;&gt;"",'Data Source'!S393="A+"),IF('Data Source'!AC393&gt;=5,"A+",IF('Data Source'!AC393&gt;=4,"A",IF('Data Source'!AC393&gt;=3.5,"A-",IF('Data Source'!AC393&gt;=3,"B",IF('Data Source'!AC393&gt;=2,"C",IF('Data Source'!AC393&gt;=1,"D","F")))))),"")</f>
        <v/>
      </c>
      <c r="L393" s="3">
        <f>IF(AND('Data Source'!B393&lt;&gt;"",'Data Source'!S393="A+"),IF('Data Source'!AD393&gt;=5,"A+",IF('Data Source'!AD393&gt;=4,"A",IF('Data Source'!AD393&gt;=3.5,"A-",IF('Data Source'!AD393&gt;=3,"B",IF('Data Source'!AD393&gt;=2,"C",IF('Data Source'!AD393&gt;=1,"D","F")))))),"")</f>
        <v/>
      </c>
      <c r="M393" s="3">
        <f>IF(AND('Data Source'!B393&lt;&gt;"",'Data Source'!S393="A+"),IF('Data Source'!AE393&gt;=5,"A+",IF('Data Source'!AE393&gt;=4,"A",IF('Data Source'!AE393&gt;=3.5,"A-",IF('Data Source'!AE393&gt;=3,"B",IF('Data Source'!AE393&gt;=2,"C",IF('Data Source'!AE393&gt;=1,"D","F")))))),"")</f>
        <v/>
      </c>
      <c r="N393" s="3">
        <f>IF(AND('Data Source'!B393&lt;&gt;"",'Data Source'!S393="A+"),IF('Data Source'!AF393&gt;=5,"A+",IF('Data Source'!AF393&gt;=4,"A",IF('Data Source'!AF393&gt;=3.5,"A-",IF('Data Source'!AF393&gt;=3,"B",IF('Data Source'!AF393&gt;=2,"C",IF('Data Source'!AF393&gt;=1,"D","F")))))),"")</f>
        <v/>
      </c>
      <c r="O393" s="3">
        <f>IF(AND('Data Source'!B393&lt;&gt;"",'Data Source'!S393="A+"),IF('Data Source'!AG393&gt;=5,"A+",IF('Data Source'!AG393&gt;=4,"A",IF('Data Source'!AG393&gt;=3.5,"A-",IF('Data Source'!AG393&gt;=3,"B",IF('Data Source'!AG393&gt;=2,"C",IF('Data Source'!AG393&gt;=1,"D","F")))))),"")</f>
        <v/>
      </c>
      <c r="P393" s="5">
        <f>IF(AND('Data Source'!B393&lt;&gt;"",'Data Source'!S393="A+"),'Data Source'!R393,"")</f>
        <v/>
      </c>
      <c r="Q393" s="3">
        <f>IF(AND('Data Source'!B393&lt;&gt;"",'Data Source'!S393="A+"),'Data Source'!S393,"")</f>
        <v/>
      </c>
    </row>
    <row r="394">
      <c r="A394" s="3">
        <f>IF(AND('Data Source'!B394&lt;&gt;"",'Data Source'!S394="A+"),COUNTIF('Data Source'!$S$3:S394,"A+"),"")</f>
        <v/>
      </c>
      <c r="B394">
        <f>IF(AND('Data Source'!B394&lt;&gt;"",'Data Source'!S394="A+"),'Data Source'!B394,"")</f>
        <v/>
      </c>
      <c r="C394" s="3">
        <f>IF(AND('Data Source'!B394&lt;&gt;"",'Data Source'!S394="A+"),IF('Data Source'!U394&gt;=5,"A+",IF('Data Source'!U394&gt;=4,"A",IF('Data Source'!U394&gt;=3.5,"A-",IF('Data Source'!U394&gt;=3,"B",IF('Data Source'!U394&gt;=2,"C",IF('Data Source'!U394&gt;=1,"D","F")))))),"")</f>
        <v/>
      </c>
      <c r="D394" s="3">
        <f>IF(AND('Data Source'!B394&lt;&gt;"",'Data Source'!S394="A+"),IF('Data Source'!V394&gt;=5,"A+",IF('Data Source'!V394&gt;=4,"A",IF('Data Source'!V394&gt;=3.5,"A-",IF('Data Source'!V394&gt;=3,"B",IF('Data Source'!V394&gt;=2,"C",IF('Data Source'!V394&gt;=1,"D","F")))))),"")</f>
        <v/>
      </c>
      <c r="E394" s="3">
        <f>IF(AND('Data Source'!B394&lt;&gt;"",'Data Source'!S394="A+"),IF('Data Source'!W394&gt;=5,"A+",IF('Data Source'!W394&gt;=4,"A",IF('Data Source'!W394&gt;=3.5,"A-",IF('Data Source'!W394&gt;=3,"B",IF('Data Source'!W394&gt;=2,"C",IF('Data Source'!W394&gt;=1,"D","F")))))),"")</f>
        <v/>
      </c>
      <c r="F394" s="3">
        <f>IF(AND('Data Source'!B394&lt;&gt;"",'Data Source'!S394="A+"),IF('Data Source'!X394&gt;=5,"A+",IF('Data Source'!X394&gt;=4,"A",IF('Data Source'!X394&gt;=3.5,"A-",IF('Data Source'!X394&gt;=3,"B",IF('Data Source'!X394&gt;=2,"C",IF('Data Source'!X394&gt;=1,"D","F")))))),"")</f>
        <v/>
      </c>
      <c r="G394" s="3">
        <f>IF(AND('Data Source'!B394&lt;&gt;"",'Data Source'!S394="A+"),IF('Data Source'!Y394&gt;=5,"A+",IF('Data Source'!Y394&gt;=4,"A",IF('Data Source'!Y394&gt;=3.5,"A-",IF('Data Source'!Y394&gt;=3,"B",IF('Data Source'!Y394&gt;=2,"C",IF('Data Source'!Y394&gt;=1,"D","F")))))),"")</f>
        <v/>
      </c>
      <c r="H394" s="3">
        <f>IF(AND('Data Source'!B394&lt;&gt;"",'Data Source'!S394="A+"),IF('Data Source'!Z394&gt;=5,"A+",IF('Data Source'!Z394&gt;=4,"A",IF('Data Source'!Z394&gt;=3.5,"A-",IF('Data Source'!Z394&gt;=3,"B",IF('Data Source'!Z394&gt;=2,"C",IF('Data Source'!Z394&gt;=1,"D","F")))))),"")</f>
        <v/>
      </c>
      <c r="I394" s="3">
        <f>IF(AND('Data Source'!B394&lt;&gt;"",'Data Source'!S394="A+"),IF('Data Source'!AA394&gt;=5,"A+",IF('Data Source'!AA394&gt;=4,"A",IF('Data Source'!AA394&gt;=3.5,"A-",IF('Data Source'!AA394&gt;=3,"B",IF('Data Source'!AA394&gt;=2,"C",IF('Data Source'!AA394&gt;=1,"D","F")))))),"")</f>
        <v/>
      </c>
      <c r="J394" s="3">
        <f>IF(AND('Data Source'!B394&lt;&gt;"",'Data Source'!S394="A+"),IF('Data Source'!AB394&gt;=5,"A+",IF('Data Source'!AB394&gt;=4,"A",IF('Data Source'!AB394&gt;=3.5,"A-",IF('Data Source'!AB394&gt;=3,"B",IF('Data Source'!AB394&gt;=2,"C",IF('Data Source'!AB394&gt;=1,"D","F")))))),"")</f>
        <v/>
      </c>
      <c r="K394" s="3">
        <f>IF(AND('Data Source'!B394&lt;&gt;"",'Data Source'!S394="A+"),IF('Data Source'!AC394&gt;=5,"A+",IF('Data Source'!AC394&gt;=4,"A",IF('Data Source'!AC394&gt;=3.5,"A-",IF('Data Source'!AC394&gt;=3,"B",IF('Data Source'!AC394&gt;=2,"C",IF('Data Source'!AC394&gt;=1,"D","F")))))),"")</f>
        <v/>
      </c>
      <c r="L394" s="3">
        <f>IF(AND('Data Source'!B394&lt;&gt;"",'Data Source'!S394="A+"),IF('Data Source'!AD394&gt;=5,"A+",IF('Data Source'!AD394&gt;=4,"A",IF('Data Source'!AD394&gt;=3.5,"A-",IF('Data Source'!AD394&gt;=3,"B",IF('Data Source'!AD394&gt;=2,"C",IF('Data Source'!AD394&gt;=1,"D","F")))))),"")</f>
        <v/>
      </c>
      <c r="M394" s="3">
        <f>IF(AND('Data Source'!B394&lt;&gt;"",'Data Source'!S394="A+"),IF('Data Source'!AE394&gt;=5,"A+",IF('Data Source'!AE394&gt;=4,"A",IF('Data Source'!AE394&gt;=3.5,"A-",IF('Data Source'!AE394&gt;=3,"B",IF('Data Source'!AE394&gt;=2,"C",IF('Data Source'!AE394&gt;=1,"D","F")))))),"")</f>
        <v/>
      </c>
      <c r="N394" s="3">
        <f>IF(AND('Data Source'!B394&lt;&gt;"",'Data Source'!S394="A+"),IF('Data Source'!AF394&gt;=5,"A+",IF('Data Source'!AF394&gt;=4,"A",IF('Data Source'!AF394&gt;=3.5,"A-",IF('Data Source'!AF394&gt;=3,"B",IF('Data Source'!AF394&gt;=2,"C",IF('Data Source'!AF394&gt;=1,"D","F")))))),"")</f>
        <v/>
      </c>
      <c r="O394" s="3">
        <f>IF(AND('Data Source'!B394&lt;&gt;"",'Data Source'!S394="A+"),IF('Data Source'!AG394&gt;=5,"A+",IF('Data Source'!AG394&gt;=4,"A",IF('Data Source'!AG394&gt;=3.5,"A-",IF('Data Source'!AG394&gt;=3,"B",IF('Data Source'!AG394&gt;=2,"C",IF('Data Source'!AG394&gt;=1,"D","F")))))),"")</f>
        <v/>
      </c>
      <c r="P394" s="5">
        <f>IF(AND('Data Source'!B394&lt;&gt;"",'Data Source'!S394="A+"),'Data Source'!R394,"")</f>
        <v/>
      </c>
      <c r="Q394" s="3">
        <f>IF(AND('Data Source'!B394&lt;&gt;"",'Data Source'!S394="A+"),'Data Source'!S394,"")</f>
        <v/>
      </c>
    </row>
    <row r="395">
      <c r="A395" s="3">
        <f>IF(AND('Data Source'!B395&lt;&gt;"",'Data Source'!S395="A+"),COUNTIF('Data Source'!$S$3:S395,"A+"),"")</f>
        <v/>
      </c>
      <c r="B395">
        <f>IF(AND('Data Source'!B395&lt;&gt;"",'Data Source'!S395="A+"),'Data Source'!B395,"")</f>
        <v/>
      </c>
      <c r="C395" s="3">
        <f>IF(AND('Data Source'!B395&lt;&gt;"",'Data Source'!S395="A+"),IF('Data Source'!U395&gt;=5,"A+",IF('Data Source'!U395&gt;=4,"A",IF('Data Source'!U395&gt;=3.5,"A-",IF('Data Source'!U395&gt;=3,"B",IF('Data Source'!U395&gt;=2,"C",IF('Data Source'!U395&gt;=1,"D","F")))))),"")</f>
        <v/>
      </c>
      <c r="D395" s="3">
        <f>IF(AND('Data Source'!B395&lt;&gt;"",'Data Source'!S395="A+"),IF('Data Source'!V395&gt;=5,"A+",IF('Data Source'!V395&gt;=4,"A",IF('Data Source'!V395&gt;=3.5,"A-",IF('Data Source'!V395&gt;=3,"B",IF('Data Source'!V395&gt;=2,"C",IF('Data Source'!V395&gt;=1,"D","F")))))),"")</f>
        <v/>
      </c>
      <c r="E395" s="3">
        <f>IF(AND('Data Source'!B395&lt;&gt;"",'Data Source'!S395="A+"),IF('Data Source'!W395&gt;=5,"A+",IF('Data Source'!W395&gt;=4,"A",IF('Data Source'!W395&gt;=3.5,"A-",IF('Data Source'!W395&gt;=3,"B",IF('Data Source'!W395&gt;=2,"C",IF('Data Source'!W395&gt;=1,"D","F")))))),"")</f>
        <v/>
      </c>
      <c r="F395" s="3">
        <f>IF(AND('Data Source'!B395&lt;&gt;"",'Data Source'!S395="A+"),IF('Data Source'!X395&gt;=5,"A+",IF('Data Source'!X395&gt;=4,"A",IF('Data Source'!X395&gt;=3.5,"A-",IF('Data Source'!X395&gt;=3,"B",IF('Data Source'!X395&gt;=2,"C",IF('Data Source'!X395&gt;=1,"D","F")))))),"")</f>
        <v/>
      </c>
      <c r="G395" s="3">
        <f>IF(AND('Data Source'!B395&lt;&gt;"",'Data Source'!S395="A+"),IF('Data Source'!Y395&gt;=5,"A+",IF('Data Source'!Y395&gt;=4,"A",IF('Data Source'!Y395&gt;=3.5,"A-",IF('Data Source'!Y395&gt;=3,"B",IF('Data Source'!Y395&gt;=2,"C",IF('Data Source'!Y395&gt;=1,"D","F")))))),"")</f>
        <v/>
      </c>
      <c r="H395" s="3">
        <f>IF(AND('Data Source'!B395&lt;&gt;"",'Data Source'!S395="A+"),IF('Data Source'!Z395&gt;=5,"A+",IF('Data Source'!Z395&gt;=4,"A",IF('Data Source'!Z395&gt;=3.5,"A-",IF('Data Source'!Z395&gt;=3,"B",IF('Data Source'!Z395&gt;=2,"C",IF('Data Source'!Z395&gt;=1,"D","F")))))),"")</f>
        <v/>
      </c>
      <c r="I395" s="3">
        <f>IF(AND('Data Source'!B395&lt;&gt;"",'Data Source'!S395="A+"),IF('Data Source'!AA395&gt;=5,"A+",IF('Data Source'!AA395&gt;=4,"A",IF('Data Source'!AA395&gt;=3.5,"A-",IF('Data Source'!AA395&gt;=3,"B",IF('Data Source'!AA395&gt;=2,"C",IF('Data Source'!AA395&gt;=1,"D","F")))))),"")</f>
        <v/>
      </c>
      <c r="J395" s="3">
        <f>IF(AND('Data Source'!B395&lt;&gt;"",'Data Source'!S395="A+"),IF('Data Source'!AB395&gt;=5,"A+",IF('Data Source'!AB395&gt;=4,"A",IF('Data Source'!AB395&gt;=3.5,"A-",IF('Data Source'!AB395&gt;=3,"B",IF('Data Source'!AB395&gt;=2,"C",IF('Data Source'!AB395&gt;=1,"D","F")))))),"")</f>
        <v/>
      </c>
      <c r="K395" s="3">
        <f>IF(AND('Data Source'!B395&lt;&gt;"",'Data Source'!S395="A+"),IF('Data Source'!AC395&gt;=5,"A+",IF('Data Source'!AC395&gt;=4,"A",IF('Data Source'!AC395&gt;=3.5,"A-",IF('Data Source'!AC395&gt;=3,"B",IF('Data Source'!AC395&gt;=2,"C",IF('Data Source'!AC395&gt;=1,"D","F")))))),"")</f>
        <v/>
      </c>
      <c r="L395" s="3">
        <f>IF(AND('Data Source'!B395&lt;&gt;"",'Data Source'!S395="A+"),IF('Data Source'!AD395&gt;=5,"A+",IF('Data Source'!AD395&gt;=4,"A",IF('Data Source'!AD395&gt;=3.5,"A-",IF('Data Source'!AD395&gt;=3,"B",IF('Data Source'!AD395&gt;=2,"C",IF('Data Source'!AD395&gt;=1,"D","F")))))),"")</f>
        <v/>
      </c>
      <c r="M395" s="3">
        <f>IF(AND('Data Source'!B395&lt;&gt;"",'Data Source'!S395="A+"),IF('Data Source'!AE395&gt;=5,"A+",IF('Data Source'!AE395&gt;=4,"A",IF('Data Source'!AE395&gt;=3.5,"A-",IF('Data Source'!AE395&gt;=3,"B",IF('Data Source'!AE395&gt;=2,"C",IF('Data Source'!AE395&gt;=1,"D","F")))))),"")</f>
        <v/>
      </c>
      <c r="N395" s="3">
        <f>IF(AND('Data Source'!B395&lt;&gt;"",'Data Source'!S395="A+"),IF('Data Source'!AF395&gt;=5,"A+",IF('Data Source'!AF395&gt;=4,"A",IF('Data Source'!AF395&gt;=3.5,"A-",IF('Data Source'!AF395&gt;=3,"B",IF('Data Source'!AF395&gt;=2,"C",IF('Data Source'!AF395&gt;=1,"D","F")))))),"")</f>
        <v/>
      </c>
      <c r="O395" s="3">
        <f>IF(AND('Data Source'!B395&lt;&gt;"",'Data Source'!S395="A+"),IF('Data Source'!AG395&gt;=5,"A+",IF('Data Source'!AG395&gt;=4,"A",IF('Data Source'!AG395&gt;=3.5,"A-",IF('Data Source'!AG395&gt;=3,"B",IF('Data Source'!AG395&gt;=2,"C",IF('Data Source'!AG395&gt;=1,"D","F")))))),"")</f>
        <v/>
      </c>
      <c r="P395" s="5">
        <f>IF(AND('Data Source'!B395&lt;&gt;"",'Data Source'!S395="A+"),'Data Source'!R395,"")</f>
        <v/>
      </c>
      <c r="Q395" s="3">
        <f>IF(AND('Data Source'!B395&lt;&gt;"",'Data Source'!S395="A+"),'Data Source'!S395,"")</f>
        <v/>
      </c>
    </row>
    <row r="396">
      <c r="A396" s="3">
        <f>IF(AND('Data Source'!B396&lt;&gt;"",'Data Source'!S396="A+"),COUNTIF('Data Source'!$S$3:S396,"A+"),"")</f>
        <v/>
      </c>
      <c r="B396">
        <f>IF(AND('Data Source'!B396&lt;&gt;"",'Data Source'!S396="A+"),'Data Source'!B396,"")</f>
        <v/>
      </c>
      <c r="C396" s="3">
        <f>IF(AND('Data Source'!B396&lt;&gt;"",'Data Source'!S396="A+"),IF('Data Source'!U396&gt;=5,"A+",IF('Data Source'!U396&gt;=4,"A",IF('Data Source'!U396&gt;=3.5,"A-",IF('Data Source'!U396&gt;=3,"B",IF('Data Source'!U396&gt;=2,"C",IF('Data Source'!U396&gt;=1,"D","F")))))),"")</f>
        <v/>
      </c>
      <c r="D396" s="3">
        <f>IF(AND('Data Source'!B396&lt;&gt;"",'Data Source'!S396="A+"),IF('Data Source'!V396&gt;=5,"A+",IF('Data Source'!V396&gt;=4,"A",IF('Data Source'!V396&gt;=3.5,"A-",IF('Data Source'!V396&gt;=3,"B",IF('Data Source'!V396&gt;=2,"C",IF('Data Source'!V396&gt;=1,"D","F")))))),"")</f>
        <v/>
      </c>
      <c r="E396" s="3">
        <f>IF(AND('Data Source'!B396&lt;&gt;"",'Data Source'!S396="A+"),IF('Data Source'!W396&gt;=5,"A+",IF('Data Source'!W396&gt;=4,"A",IF('Data Source'!W396&gt;=3.5,"A-",IF('Data Source'!W396&gt;=3,"B",IF('Data Source'!W396&gt;=2,"C",IF('Data Source'!W396&gt;=1,"D","F")))))),"")</f>
        <v/>
      </c>
      <c r="F396" s="3">
        <f>IF(AND('Data Source'!B396&lt;&gt;"",'Data Source'!S396="A+"),IF('Data Source'!X396&gt;=5,"A+",IF('Data Source'!X396&gt;=4,"A",IF('Data Source'!X396&gt;=3.5,"A-",IF('Data Source'!X396&gt;=3,"B",IF('Data Source'!X396&gt;=2,"C",IF('Data Source'!X396&gt;=1,"D","F")))))),"")</f>
        <v/>
      </c>
      <c r="G396" s="3">
        <f>IF(AND('Data Source'!B396&lt;&gt;"",'Data Source'!S396="A+"),IF('Data Source'!Y396&gt;=5,"A+",IF('Data Source'!Y396&gt;=4,"A",IF('Data Source'!Y396&gt;=3.5,"A-",IF('Data Source'!Y396&gt;=3,"B",IF('Data Source'!Y396&gt;=2,"C",IF('Data Source'!Y396&gt;=1,"D","F")))))),"")</f>
        <v/>
      </c>
      <c r="H396" s="3">
        <f>IF(AND('Data Source'!B396&lt;&gt;"",'Data Source'!S396="A+"),IF('Data Source'!Z396&gt;=5,"A+",IF('Data Source'!Z396&gt;=4,"A",IF('Data Source'!Z396&gt;=3.5,"A-",IF('Data Source'!Z396&gt;=3,"B",IF('Data Source'!Z396&gt;=2,"C",IF('Data Source'!Z396&gt;=1,"D","F")))))),"")</f>
        <v/>
      </c>
      <c r="I396" s="3">
        <f>IF(AND('Data Source'!B396&lt;&gt;"",'Data Source'!S396="A+"),IF('Data Source'!AA396&gt;=5,"A+",IF('Data Source'!AA396&gt;=4,"A",IF('Data Source'!AA396&gt;=3.5,"A-",IF('Data Source'!AA396&gt;=3,"B",IF('Data Source'!AA396&gt;=2,"C",IF('Data Source'!AA396&gt;=1,"D","F")))))),"")</f>
        <v/>
      </c>
      <c r="J396" s="3">
        <f>IF(AND('Data Source'!B396&lt;&gt;"",'Data Source'!S396="A+"),IF('Data Source'!AB396&gt;=5,"A+",IF('Data Source'!AB396&gt;=4,"A",IF('Data Source'!AB396&gt;=3.5,"A-",IF('Data Source'!AB396&gt;=3,"B",IF('Data Source'!AB396&gt;=2,"C",IF('Data Source'!AB396&gt;=1,"D","F")))))),"")</f>
        <v/>
      </c>
      <c r="K396" s="3">
        <f>IF(AND('Data Source'!B396&lt;&gt;"",'Data Source'!S396="A+"),IF('Data Source'!AC396&gt;=5,"A+",IF('Data Source'!AC396&gt;=4,"A",IF('Data Source'!AC396&gt;=3.5,"A-",IF('Data Source'!AC396&gt;=3,"B",IF('Data Source'!AC396&gt;=2,"C",IF('Data Source'!AC396&gt;=1,"D","F")))))),"")</f>
        <v/>
      </c>
      <c r="L396" s="3">
        <f>IF(AND('Data Source'!B396&lt;&gt;"",'Data Source'!S396="A+"),IF('Data Source'!AD396&gt;=5,"A+",IF('Data Source'!AD396&gt;=4,"A",IF('Data Source'!AD396&gt;=3.5,"A-",IF('Data Source'!AD396&gt;=3,"B",IF('Data Source'!AD396&gt;=2,"C",IF('Data Source'!AD396&gt;=1,"D","F")))))),"")</f>
        <v/>
      </c>
      <c r="M396" s="3">
        <f>IF(AND('Data Source'!B396&lt;&gt;"",'Data Source'!S396="A+"),IF('Data Source'!AE396&gt;=5,"A+",IF('Data Source'!AE396&gt;=4,"A",IF('Data Source'!AE396&gt;=3.5,"A-",IF('Data Source'!AE396&gt;=3,"B",IF('Data Source'!AE396&gt;=2,"C",IF('Data Source'!AE396&gt;=1,"D","F")))))),"")</f>
        <v/>
      </c>
      <c r="N396" s="3">
        <f>IF(AND('Data Source'!B396&lt;&gt;"",'Data Source'!S396="A+"),IF('Data Source'!AF396&gt;=5,"A+",IF('Data Source'!AF396&gt;=4,"A",IF('Data Source'!AF396&gt;=3.5,"A-",IF('Data Source'!AF396&gt;=3,"B",IF('Data Source'!AF396&gt;=2,"C",IF('Data Source'!AF396&gt;=1,"D","F")))))),"")</f>
        <v/>
      </c>
      <c r="O396" s="3">
        <f>IF(AND('Data Source'!B396&lt;&gt;"",'Data Source'!S396="A+"),IF('Data Source'!AG396&gt;=5,"A+",IF('Data Source'!AG396&gt;=4,"A",IF('Data Source'!AG396&gt;=3.5,"A-",IF('Data Source'!AG396&gt;=3,"B",IF('Data Source'!AG396&gt;=2,"C",IF('Data Source'!AG396&gt;=1,"D","F")))))),"")</f>
        <v/>
      </c>
      <c r="P396" s="5">
        <f>IF(AND('Data Source'!B396&lt;&gt;"",'Data Source'!S396="A+"),'Data Source'!R396,"")</f>
        <v/>
      </c>
      <c r="Q396" s="3">
        <f>IF(AND('Data Source'!B396&lt;&gt;"",'Data Source'!S396="A+"),'Data Source'!S396,"")</f>
        <v/>
      </c>
    </row>
    <row r="397">
      <c r="A397" s="3">
        <f>IF(AND('Data Source'!B397&lt;&gt;"",'Data Source'!S397="A+"),COUNTIF('Data Source'!$S$3:S397,"A+"),"")</f>
        <v/>
      </c>
      <c r="B397">
        <f>IF(AND('Data Source'!B397&lt;&gt;"",'Data Source'!S397="A+"),'Data Source'!B397,"")</f>
        <v/>
      </c>
      <c r="C397" s="3">
        <f>IF(AND('Data Source'!B397&lt;&gt;"",'Data Source'!S397="A+"),IF('Data Source'!U397&gt;=5,"A+",IF('Data Source'!U397&gt;=4,"A",IF('Data Source'!U397&gt;=3.5,"A-",IF('Data Source'!U397&gt;=3,"B",IF('Data Source'!U397&gt;=2,"C",IF('Data Source'!U397&gt;=1,"D","F")))))),"")</f>
        <v/>
      </c>
      <c r="D397" s="3">
        <f>IF(AND('Data Source'!B397&lt;&gt;"",'Data Source'!S397="A+"),IF('Data Source'!V397&gt;=5,"A+",IF('Data Source'!V397&gt;=4,"A",IF('Data Source'!V397&gt;=3.5,"A-",IF('Data Source'!V397&gt;=3,"B",IF('Data Source'!V397&gt;=2,"C",IF('Data Source'!V397&gt;=1,"D","F")))))),"")</f>
        <v/>
      </c>
      <c r="E397" s="3">
        <f>IF(AND('Data Source'!B397&lt;&gt;"",'Data Source'!S397="A+"),IF('Data Source'!W397&gt;=5,"A+",IF('Data Source'!W397&gt;=4,"A",IF('Data Source'!W397&gt;=3.5,"A-",IF('Data Source'!W397&gt;=3,"B",IF('Data Source'!W397&gt;=2,"C",IF('Data Source'!W397&gt;=1,"D","F")))))),"")</f>
        <v/>
      </c>
      <c r="F397" s="3">
        <f>IF(AND('Data Source'!B397&lt;&gt;"",'Data Source'!S397="A+"),IF('Data Source'!X397&gt;=5,"A+",IF('Data Source'!X397&gt;=4,"A",IF('Data Source'!X397&gt;=3.5,"A-",IF('Data Source'!X397&gt;=3,"B",IF('Data Source'!X397&gt;=2,"C",IF('Data Source'!X397&gt;=1,"D","F")))))),"")</f>
        <v/>
      </c>
      <c r="G397" s="3">
        <f>IF(AND('Data Source'!B397&lt;&gt;"",'Data Source'!S397="A+"),IF('Data Source'!Y397&gt;=5,"A+",IF('Data Source'!Y397&gt;=4,"A",IF('Data Source'!Y397&gt;=3.5,"A-",IF('Data Source'!Y397&gt;=3,"B",IF('Data Source'!Y397&gt;=2,"C",IF('Data Source'!Y397&gt;=1,"D","F")))))),"")</f>
        <v/>
      </c>
      <c r="H397" s="3">
        <f>IF(AND('Data Source'!B397&lt;&gt;"",'Data Source'!S397="A+"),IF('Data Source'!Z397&gt;=5,"A+",IF('Data Source'!Z397&gt;=4,"A",IF('Data Source'!Z397&gt;=3.5,"A-",IF('Data Source'!Z397&gt;=3,"B",IF('Data Source'!Z397&gt;=2,"C",IF('Data Source'!Z397&gt;=1,"D","F")))))),"")</f>
        <v/>
      </c>
      <c r="I397" s="3">
        <f>IF(AND('Data Source'!B397&lt;&gt;"",'Data Source'!S397="A+"),IF('Data Source'!AA397&gt;=5,"A+",IF('Data Source'!AA397&gt;=4,"A",IF('Data Source'!AA397&gt;=3.5,"A-",IF('Data Source'!AA397&gt;=3,"B",IF('Data Source'!AA397&gt;=2,"C",IF('Data Source'!AA397&gt;=1,"D","F")))))),"")</f>
        <v/>
      </c>
      <c r="J397" s="3">
        <f>IF(AND('Data Source'!B397&lt;&gt;"",'Data Source'!S397="A+"),IF('Data Source'!AB397&gt;=5,"A+",IF('Data Source'!AB397&gt;=4,"A",IF('Data Source'!AB397&gt;=3.5,"A-",IF('Data Source'!AB397&gt;=3,"B",IF('Data Source'!AB397&gt;=2,"C",IF('Data Source'!AB397&gt;=1,"D","F")))))),"")</f>
        <v/>
      </c>
      <c r="K397" s="3">
        <f>IF(AND('Data Source'!B397&lt;&gt;"",'Data Source'!S397="A+"),IF('Data Source'!AC397&gt;=5,"A+",IF('Data Source'!AC397&gt;=4,"A",IF('Data Source'!AC397&gt;=3.5,"A-",IF('Data Source'!AC397&gt;=3,"B",IF('Data Source'!AC397&gt;=2,"C",IF('Data Source'!AC397&gt;=1,"D","F")))))),"")</f>
        <v/>
      </c>
      <c r="L397" s="3">
        <f>IF(AND('Data Source'!B397&lt;&gt;"",'Data Source'!S397="A+"),IF('Data Source'!AD397&gt;=5,"A+",IF('Data Source'!AD397&gt;=4,"A",IF('Data Source'!AD397&gt;=3.5,"A-",IF('Data Source'!AD397&gt;=3,"B",IF('Data Source'!AD397&gt;=2,"C",IF('Data Source'!AD397&gt;=1,"D","F")))))),"")</f>
        <v/>
      </c>
      <c r="M397" s="3">
        <f>IF(AND('Data Source'!B397&lt;&gt;"",'Data Source'!S397="A+"),IF('Data Source'!AE397&gt;=5,"A+",IF('Data Source'!AE397&gt;=4,"A",IF('Data Source'!AE397&gt;=3.5,"A-",IF('Data Source'!AE397&gt;=3,"B",IF('Data Source'!AE397&gt;=2,"C",IF('Data Source'!AE397&gt;=1,"D","F")))))),"")</f>
        <v/>
      </c>
      <c r="N397" s="3">
        <f>IF(AND('Data Source'!B397&lt;&gt;"",'Data Source'!S397="A+"),IF('Data Source'!AF397&gt;=5,"A+",IF('Data Source'!AF397&gt;=4,"A",IF('Data Source'!AF397&gt;=3.5,"A-",IF('Data Source'!AF397&gt;=3,"B",IF('Data Source'!AF397&gt;=2,"C",IF('Data Source'!AF397&gt;=1,"D","F")))))),"")</f>
        <v/>
      </c>
      <c r="O397" s="3">
        <f>IF(AND('Data Source'!B397&lt;&gt;"",'Data Source'!S397="A+"),IF('Data Source'!AG397&gt;=5,"A+",IF('Data Source'!AG397&gt;=4,"A",IF('Data Source'!AG397&gt;=3.5,"A-",IF('Data Source'!AG397&gt;=3,"B",IF('Data Source'!AG397&gt;=2,"C",IF('Data Source'!AG397&gt;=1,"D","F")))))),"")</f>
        <v/>
      </c>
      <c r="P397" s="5">
        <f>IF(AND('Data Source'!B397&lt;&gt;"",'Data Source'!S397="A+"),'Data Source'!R397,"")</f>
        <v/>
      </c>
      <c r="Q397" s="3">
        <f>IF(AND('Data Source'!B397&lt;&gt;"",'Data Source'!S397="A+"),'Data Source'!S397,"")</f>
        <v/>
      </c>
    </row>
    <row r="398">
      <c r="A398" s="3">
        <f>IF(AND('Data Source'!B398&lt;&gt;"",'Data Source'!S398="A+"),COUNTIF('Data Source'!$S$3:S398,"A+"),"")</f>
        <v/>
      </c>
      <c r="B398">
        <f>IF(AND('Data Source'!B398&lt;&gt;"",'Data Source'!S398="A+"),'Data Source'!B398,"")</f>
        <v/>
      </c>
      <c r="C398" s="3">
        <f>IF(AND('Data Source'!B398&lt;&gt;"",'Data Source'!S398="A+"),IF('Data Source'!U398&gt;=5,"A+",IF('Data Source'!U398&gt;=4,"A",IF('Data Source'!U398&gt;=3.5,"A-",IF('Data Source'!U398&gt;=3,"B",IF('Data Source'!U398&gt;=2,"C",IF('Data Source'!U398&gt;=1,"D","F")))))),"")</f>
        <v/>
      </c>
      <c r="D398" s="3">
        <f>IF(AND('Data Source'!B398&lt;&gt;"",'Data Source'!S398="A+"),IF('Data Source'!V398&gt;=5,"A+",IF('Data Source'!V398&gt;=4,"A",IF('Data Source'!V398&gt;=3.5,"A-",IF('Data Source'!V398&gt;=3,"B",IF('Data Source'!V398&gt;=2,"C",IF('Data Source'!V398&gt;=1,"D","F")))))),"")</f>
        <v/>
      </c>
      <c r="E398" s="3">
        <f>IF(AND('Data Source'!B398&lt;&gt;"",'Data Source'!S398="A+"),IF('Data Source'!W398&gt;=5,"A+",IF('Data Source'!W398&gt;=4,"A",IF('Data Source'!W398&gt;=3.5,"A-",IF('Data Source'!W398&gt;=3,"B",IF('Data Source'!W398&gt;=2,"C",IF('Data Source'!W398&gt;=1,"D","F")))))),"")</f>
        <v/>
      </c>
      <c r="F398" s="3">
        <f>IF(AND('Data Source'!B398&lt;&gt;"",'Data Source'!S398="A+"),IF('Data Source'!X398&gt;=5,"A+",IF('Data Source'!X398&gt;=4,"A",IF('Data Source'!X398&gt;=3.5,"A-",IF('Data Source'!X398&gt;=3,"B",IF('Data Source'!X398&gt;=2,"C",IF('Data Source'!X398&gt;=1,"D","F")))))),"")</f>
        <v/>
      </c>
      <c r="G398" s="3">
        <f>IF(AND('Data Source'!B398&lt;&gt;"",'Data Source'!S398="A+"),IF('Data Source'!Y398&gt;=5,"A+",IF('Data Source'!Y398&gt;=4,"A",IF('Data Source'!Y398&gt;=3.5,"A-",IF('Data Source'!Y398&gt;=3,"B",IF('Data Source'!Y398&gt;=2,"C",IF('Data Source'!Y398&gt;=1,"D","F")))))),"")</f>
        <v/>
      </c>
      <c r="H398" s="3">
        <f>IF(AND('Data Source'!B398&lt;&gt;"",'Data Source'!S398="A+"),IF('Data Source'!Z398&gt;=5,"A+",IF('Data Source'!Z398&gt;=4,"A",IF('Data Source'!Z398&gt;=3.5,"A-",IF('Data Source'!Z398&gt;=3,"B",IF('Data Source'!Z398&gt;=2,"C",IF('Data Source'!Z398&gt;=1,"D","F")))))),"")</f>
        <v/>
      </c>
      <c r="I398" s="3">
        <f>IF(AND('Data Source'!B398&lt;&gt;"",'Data Source'!S398="A+"),IF('Data Source'!AA398&gt;=5,"A+",IF('Data Source'!AA398&gt;=4,"A",IF('Data Source'!AA398&gt;=3.5,"A-",IF('Data Source'!AA398&gt;=3,"B",IF('Data Source'!AA398&gt;=2,"C",IF('Data Source'!AA398&gt;=1,"D","F")))))),"")</f>
        <v/>
      </c>
      <c r="J398" s="3">
        <f>IF(AND('Data Source'!B398&lt;&gt;"",'Data Source'!S398="A+"),IF('Data Source'!AB398&gt;=5,"A+",IF('Data Source'!AB398&gt;=4,"A",IF('Data Source'!AB398&gt;=3.5,"A-",IF('Data Source'!AB398&gt;=3,"B",IF('Data Source'!AB398&gt;=2,"C",IF('Data Source'!AB398&gt;=1,"D","F")))))),"")</f>
        <v/>
      </c>
      <c r="K398" s="3">
        <f>IF(AND('Data Source'!B398&lt;&gt;"",'Data Source'!S398="A+"),IF('Data Source'!AC398&gt;=5,"A+",IF('Data Source'!AC398&gt;=4,"A",IF('Data Source'!AC398&gt;=3.5,"A-",IF('Data Source'!AC398&gt;=3,"B",IF('Data Source'!AC398&gt;=2,"C",IF('Data Source'!AC398&gt;=1,"D","F")))))),"")</f>
        <v/>
      </c>
      <c r="L398" s="3">
        <f>IF(AND('Data Source'!B398&lt;&gt;"",'Data Source'!S398="A+"),IF('Data Source'!AD398&gt;=5,"A+",IF('Data Source'!AD398&gt;=4,"A",IF('Data Source'!AD398&gt;=3.5,"A-",IF('Data Source'!AD398&gt;=3,"B",IF('Data Source'!AD398&gt;=2,"C",IF('Data Source'!AD398&gt;=1,"D","F")))))),"")</f>
        <v/>
      </c>
      <c r="M398" s="3">
        <f>IF(AND('Data Source'!B398&lt;&gt;"",'Data Source'!S398="A+"),IF('Data Source'!AE398&gt;=5,"A+",IF('Data Source'!AE398&gt;=4,"A",IF('Data Source'!AE398&gt;=3.5,"A-",IF('Data Source'!AE398&gt;=3,"B",IF('Data Source'!AE398&gt;=2,"C",IF('Data Source'!AE398&gt;=1,"D","F")))))),"")</f>
        <v/>
      </c>
      <c r="N398" s="3">
        <f>IF(AND('Data Source'!B398&lt;&gt;"",'Data Source'!S398="A+"),IF('Data Source'!AF398&gt;=5,"A+",IF('Data Source'!AF398&gt;=4,"A",IF('Data Source'!AF398&gt;=3.5,"A-",IF('Data Source'!AF398&gt;=3,"B",IF('Data Source'!AF398&gt;=2,"C",IF('Data Source'!AF398&gt;=1,"D","F")))))),"")</f>
        <v/>
      </c>
      <c r="O398" s="3">
        <f>IF(AND('Data Source'!B398&lt;&gt;"",'Data Source'!S398="A+"),IF('Data Source'!AG398&gt;=5,"A+",IF('Data Source'!AG398&gt;=4,"A",IF('Data Source'!AG398&gt;=3.5,"A-",IF('Data Source'!AG398&gt;=3,"B",IF('Data Source'!AG398&gt;=2,"C",IF('Data Source'!AG398&gt;=1,"D","F")))))),"")</f>
        <v/>
      </c>
      <c r="P398" s="5">
        <f>IF(AND('Data Source'!B398&lt;&gt;"",'Data Source'!S398="A+"),'Data Source'!R398,"")</f>
        <v/>
      </c>
      <c r="Q398" s="3">
        <f>IF(AND('Data Source'!B398&lt;&gt;"",'Data Source'!S398="A+"),'Data Source'!S398,"")</f>
        <v/>
      </c>
    </row>
    <row r="399">
      <c r="A399" s="3">
        <f>IF(AND('Data Source'!B399&lt;&gt;"",'Data Source'!S399="A+"),COUNTIF('Data Source'!$S$3:S399,"A+"),"")</f>
        <v/>
      </c>
      <c r="B399">
        <f>IF(AND('Data Source'!B399&lt;&gt;"",'Data Source'!S399="A+"),'Data Source'!B399,"")</f>
        <v/>
      </c>
      <c r="C399" s="3">
        <f>IF(AND('Data Source'!B399&lt;&gt;"",'Data Source'!S399="A+"),IF('Data Source'!U399&gt;=5,"A+",IF('Data Source'!U399&gt;=4,"A",IF('Data Source'!U399&gt;=3.5,"A-",IF('Data Source'!U399&gt;=3,"B",IF('Data Source'!U399&gt;=2,"C",IF('Data Source'!U399&gt;=1,"D","F")))))),"")</f>
        <v/>
      </c>
      <c r="D399" s="3">
        <f>IF(AND('Data Source'!B399&lt;&gt;"",'Data Source'!S399="A+"),IF('Data Source'!V399&gt;=5,"A+",IF('Data Source'!V399&gt;=4,"A",IF('Data Source'!V399&gt;=3.5,"A-",IF('Data Source'!V399&gt;=3,"B",IF('Data Source'!V399&gt;=2,"C",IF('Data Source'!V399&gt;=1,"D","F")))))),"")</f>
        <v/>
      </c>
      <c r="E399" s="3">
        <f>IF(AND('Data Source'!B399&lt;&gt;"",'Data Source'!S399="A+"),IF('Data Source'!W399&gt;=5,"A+",IF('Data Source'!W399&gt;=4,"A",IF('Data Source'!W399&gt;=3.5,"A-",IF('Data Source'!W399&gt;=3,"B",IF('Data Source'!W399&gt;=2,"C",IF('Data Source'!W399&gt;=1,"D","F")))))),"")</f>
        <v/>
      </c>
      <c r="F399" s="3">
        <f>IF(AND('Data Source'!B399&lt;&gt;"",'Data Source'!S399="A+"),IF('Data Source'!X399&gt;=5,"A+",IF('Data Source'!X399&gt;=4,"A",IF('Data Source'!X399&gt;=3.5,"A-",IF('Data Source'!X399&gt;=3,"B",IF('Data Source'!X399&gt;=2,"C",IF('Data Source'!X399&gt;=1,"D","F")))))),"")</f>
        <v/>
      </c>
      <c r="G399" s="3">
        <f>IF(AND('Data Source'!B399&lt;&gt;"",'Data Source'!S399="A+"),IF('Data Source'!Y399&gt;=5,"A+",IF('Data Source'!Y399&gt;=4,"A",IF('Data Source'!Y399&gt;=3.5,"A-",IF('Data Source'!Y399&gt;=3,"B",IF('Data Source'!Y399&gt;=2,"C",IF('Data Source'!Y399&gt;=1,"D","F")))))),"")</f>
        <v/>
      </c>
      <c r="H399" s="3">
        <f>IF(AND('Data Source'!B399&lt;&gt;"",'Data Source'!S399="A+"),IF('Data Source'!Z399&gt;=5,"A+",IF('Data Source'!Z399&gt;=4,"A",IF('Data Source'!Z399&gt;=3.5,"A-",IF('Data Source'!Z399&gt;=3,"B",IF('Data Source'!Z399&gt;=2,"C",IF('Data Source'!Z399&gt;=1,"D","F")))))),"")</f>
        <v/>
      </c>
      <c r="I399" s="3">
        <f>IF(AND('Data Source'!B399&lt;&gt;"",'Data Source'!S399="A+"),IF('Data Source'!AA399&gt;=5,"A+",IF('Data Source'!AA399&gt;=4,"A",IF('Data Source'!AA399&gt;=3.5,"A-",IF('Data Source'!AA399&gt;=3,"B",IF('Data Source'!AA399&gt;=2,"C",IF('Data Source'!AA399&gt;=1,"D","F")))))),"")</f>
        <v/>
      </c>
      <c r="J399" s="3">
        <f>IF(AND('Data Source'!B399&lt;&gt;"",'Data Source'!S399="A+"),IF('Data Source'!AB399&gt;=5,"A+",IF('Data Source'!AB399&gt;=4,"A",IF('Data Source'!AB399&gt;=3.5,"A-",IF('Data Source'!AB399&gt;=3,"B",IF('Data Source'!AB399&gt;=2,"C",IF('Data Source'!AB399&gt;=1,"D","F")))))),"")</f>
        <v/>
      </c>
      <c r="K399" s="3">
        <f>IF(AND('Data Source'!B399&lt;&gt;"",'Data Source'!S399="A+"),IF('Data Source'!AC399&gt;=5,"A+",IF('Data Source'!AC399&gt;=4,"A",IF('Data Source'!AC399&gt;=3.5,"A-",IF('Data Source'!AC399&gt;=3,"B",IF('Data Source'!AC399&gt;=2,"C",IF('Data Source'!AC399&gt;=1,"D","F")))))),"")</f>
        <v/>
      </c>
      <c r="L399" s="3">
        <f>IF(AND('Data Source'!B399&lt;&gt;"",'Data Source'!S399="A+"),IF('Data Source'!AD399&gt;=5,"A+",IF('Data Source'!AD399&gt;=4,"A",IF('Data Source'!AD399&gt;=3.5,"A-",IF('Data Source'!AD399&gt;=3,"B",IF('Data Source'!AD399&gt;=2,"C",IF('Data Source'!AD399&gt;=1,"D","F")))))),"")</f>
        <v/>
      </c>
      <c r="M399" s="3">
        <f>IF(AND('Data Source'!B399&lt;&gt;"",'Data Source'!S399="A+"),IF('Data Source'!AE399&gt;=5,"A+",IF('Data Source'!AE399&gt;=4,"A",IF('Data Source'!AE399&gt;=3.5,"A-",IF('Data Source'!AE399&gt;=3,"B",IF('Data Source'!AE399&gt;=2,"C",IF('Data Source'!AE399&gt;=1,"D","F")))))),"")</f>
        <v/>
      </c>
      <c r="N399" s="3">
        <f>IF(AND('Data Source'!B399&lt;&gt;"",'Data Source'!S399="A+"),IF('Data Source'!AF399&gt;=5,"A+",IF('Data Source'!AF399&gt;=4,"A",IF('Data Source'!AF399&gt;=3.5,"A-",IF('Data Source'!AF399&gt;=3,"B",IF('Data Source'!AF399&gt;=2,"C",IF('Data Source'!AF399&gt;=1,"D","F")))))),"")</f>
        <v/>
      </c>
      <c r="O399" s="3">
        <f>IF(AND('Data Source'!B399&lt;&gt;"",'Data Source'!S399="A+"),IF('Data Source'!AG399&gt;=5,"A+",IF('Data Source'!AG399&gt;=4,"A",IF('Data Source'!AG399&gt;=3.5,"A-",IF('Data Source'!AG399&gt;=3,"B",IF('Data Source'!AG399&gt;=2,"C",IF('Data Source'!AG399&gt;=1,"D","F")))))),"")</f>
        <v/>
      </c>
      <c r="P399" s="5">
        <f>IF(AND('Data Source'!B399&lt;&gt;"",'Data Source'!S399="A+"),'Data Source'!R399,"")</f>
        <v/>
      </c>
      <c r="Q399" s="3">
        <f>IF(AND('Data Source'!B399&lt;&gt;"",'Data Source'!S399="A+"),'Data Source'!S399,"")</f>
        <v/>
      </c>
    </row>
    <row r="400">
      <c r="A400" s="3">
        <f>IF(AND('Data Source'!B400&lt;&gt;"",'Data Source'!S400="A+"),COUNTIF('Data Source'!$S$3:S400,"A+"),"")</f>
        <v/>
      </c>
      <c r="B400">
        <f>IF(AND('Data Source'!B400&lt;&gt;"",'Data Source'!S400="A+"),'Data Source'!B400,"")</f>
        <v/>
      </c>
      <c r="C400" s="3">
        <f>IF(AND('Data Source'!B400&lt;&gt;"",'Data Source'!S400="A+"),IF('Data Source'!U400&gt;=5,"A+",IF('Data Source'!U400&gt;=4,"A",IF('Data Source'!U400&gt;=3.5,"A-",IF('Data Source'!U400&gt;=3,"B",IF('Data Source'!U400&gt;=2,"C",IF('Data Source'!U400&gt;=1,"D","F")))))),"")</f>
        <v/>
      </c>
      <c r="D400" s="3">
        <f>IF(AND('Data Source'!B400&lt;&gt;"",'Data Source'!S400="A+"),IF('Data Source'!V400&gt;=5,"A+",IF('Data Source'!V400&gt;=4,"A",IF('Data Source'!V400&gt;=3.5,"A-",IF('Data Source'!V400&gt;=3,"B",IF('Data Source'!V400&gt;=2,"C",IF('Data Source'!V400&gt;=1,"D","F")))))),"")</f>
        <v/>
      </c>
      <c r="E400" s="3">
        <f>IF(AND('Data Source'!B400&lt;&gt;"",'Data Source'!S400="A+"),IF('Data Source'!W400&gt;=5,"A+",IF('Data Source'!W400&gt;=4,"A",IF('Data Source'!W400&gt;=3.5,"A-",IF('Data Source'!W400&gt;=3,"B",IF('Data Source'!W400&gt;=2,"C",IF('Data Source'!W400&gt;=1,"D","F")))))),"")</f>
        <v/>
      </c>
      <c r="F400" s="3">
        <f>IF(AND('Data Source'!B400&lt;&gt;"",'Data Source'!S400="A+"),IF('Data Source'!X400&gt;=5,"A+",IF('Data Source'!X400&gt;=4,"A",IF('Data Source'!X400&gt;=3.5,"A-",IF('Data Source'!X400&gt;=3,"B",IF('Data Source'!X400&gt;=2,"C",IF('Data Source'!X400&gt;=1,"D","F")))))),"")</f>
        <v/>
      </c>
      <c r="G400" s="3">
        <f>IF(AND('Data Source'!B400&lt;&gt;"",'Data Source'!S400="A+"),IF('Data Source'!Y400&gt;=5,"A+",IF('Data Source'!Y400&gt;=4,"A",IF('Data Source'!Y400&gt;=3.5,"A-",IF('Data Source'!Y400&gt;=3,"B",IF('Data Source'!Y400&gt;=2,"C",IF('Data Source'!Y400&gt;=1,"D","F")))))),"")</f>
        <v/>
      </c>
      <c r="H400" s="3">
        <f>IF(AND('Data Source'!B400&lt;&gt;"",'Data Source'!S400="A+"),IF('Data Source'!Z400&gt;=5,"A+",IF('Data Source'!Z400&gt;=4,"A",IF('Data Source'!Z400&gt;=3.5,"A-",IF('Data Source'!Z400&gt;=3,"B",IF('Data Source'!Z400&gt;=2,"C",IF('Data Source'!Z400&gt;=1,"D","F")))))),"")</f>
        <v/>
      </c>
      <c r="I400" s="3">
        <f>IF(AND('Data Source'!B400&lt;&gt;"",'Data Source'!S400="A+"),IF('Data Source'!AA400&gt;=5,"A+",IF('Data Source'!AA400&gt;=4,"A",IF('Data Source'!AA400&gt;=3.5,"A-",IF('Data Source'!AA400&gt;=3,"B",IF('Data Source'!AA400&gt;=2,"C",IF('Data Source'!AA400&gt;=1,"D","F")))))),"")</f>
        <v/>
      </c>
      <c r="J400" s="3">
        <f>IF(AND('Data Source'!B400&lt;&gt;"",'Data Source'!S400="A+"),IF('Data Source'!AB400&gt;=5,"A+",IF('Data Source'!AB400&gt;=4,"A",IF('Data Source'!AB400&gt;=3.5,"A-",IF('Data Source'!AB400&gt;=3,"B",IF('Data Source'!AB400&gt;=2,"C",IF('Data Source'!AB400&gt;=1,"D","F")))))),"")</f>
        <v/>
      </c>
      <c r="K400" s="3">
        <f>IF(AND('Data Source'!B400&lt;&gt;"",'Data Source'!S400="A+"),IF('Data Source'!AC400&gt;=5,"A+",IF('Data Source'!AC400&gt;=4,"A",IF('Data Source'!AC400&gt;=3.5,"A-",IF('Data Source'!AC400&gt;=3,"B",IF('Data Source'!AC400&gt;=2,"C",IF('Data Source'!AC400&gt;=1,"D","F")))))),"")</f>
        <v/>
      </c>
      <c r="L400" s="3">
        <f>IF(AND('Data Source'!B400&lt;&gt;"",'Data Source'!S400="A+"),IF('Data Source'!AD400&gt;=5,"A+",IF('Data Source'!AD400&gt;=4,"A",IF('Data Source'!AD400&gt;=3.5,"A-",IF('Data Source'!AD400&gt;=3,"B",IF('Data Source'!AD400&gt;=2,"C",IF('Data Source'!AD400&gt;=1,"D","F")))))),"")</f>
        <v/>
      </c>
      <c r="M400" s="3">
        <f>IF(AND('Data Source'!B400&lt;&gt;"",'Data Source'!S400="A+"),IF('Data Source'!AE400&gt;=5,"A+",IF('Data Source'!AE400&gt;=4,"A",IF('Data Source'!AE400&gt;=3.5,"A-",IF('Data Source'!AE400&gt;=3,"B",IF('Data Source'!AE400&gt;=2,"C",IF('Data Source'!AE400&gt;=1,"D","F")))))),"")</f>
        <v/>
      </c>
      <c r="N400" s="3">
        <f>IF(AND('Data Source'!B400&lt;&gt;"",'Data Source'!S400="A+"),IF('Data Source'!AF400&gt;=5,"A+",IF('Data Source'!AF400&gt;=4,"A",IF('Data Source'!AF400&gt;=3.5,"A-",IF('Data Source'!AF400&gt;=3,"B",IF('Data Source'!AF400&gt;=2,"C",IF('Data Source'!AF400&gt;=1,"D","F")))))),"")</f>
        <v/>
      </c>
      <c r="O400" s="3">
        <f>IF(AND('Data Source'!B400&lt;&gt;"",'Data Source'!S400="A+"),IF('Data Source'!AG400&gt;=5,"A+",IF('Data Source'!AG400&gt;=4,"A",IF('Data Source'!AG400&gt;=3.5,"A-",IF('Data Source'!AG400&gt;=3,"B",IF('Data Source'!AG400&gt;=2,"C",IF('Data Source'!AG400&gt;=1,"D","F")))))),"")</f>
        <v/>
      </c>
      <c r="P400" s="5">
        <f>IF(AND('Data Source'!B400&lt;&gt;"",'Data Source'!S400="A+"),'Data Source'!R400,"")</f>
        <v/>
      </c>
      <c r="Q400" s="3">
        <f>IF(AND('Data Source'!B400&lt;&gt;"",'Data Source'!S400="A+"),'Data Source'!S400,"")</f>
        <v/>
      </c>
    </row>
    <row r="401">
      <c r="A401" s="3">
        <f>IF(AND('Data Source'!B401&lt;&gt;"",'Data Source'!S401="A+"),COUNTIF('Data Source'!$S$3:S401,"A+"),"")</f>
        <v/>
      </c>
      <c r="B401">
        <f>IF(AND('Data Source'!B401&lt;&gt;"",'Data Source'!S401="A+"),'Data Source'!B401,"")</f>
        <v/>
      </c>
      <c r="C401" s="3">
        <f>IF(AND('Data Source'!B401&lt;&gt;"",'Data Source'!S401="A+"),IF('Data Source'!U401&gt;=5,"A+",IF('Data Source'!U401&gt;=4,"A",IF('Data Source'!U401&gt;=3.5,"A-",IF('Data Source'!U401&gt;=3,"B",IF('Data Source'!U401&gt;=2,"C",IF('Data Source'!U401&gt;=1,"D","F")))))),"")</f>
        <v/>
      </c>
      <c r="D401" s="3">
        <f>IF(AND('Data Source'!B401&lt;&gt;"",'Data Source'!S401="A+"),IF('Data Source'!V401&gt;=5,"A+",IF('Data Source'!V401&gt;=4,"A",IF('Data Source'!V401&gt;=3.5,"A-",IF('Data Source'!V401&gt;=3,"B",IF('Data Source'!V401&gt;=2,"C",IF('Data Source'!V401&gt;=1,"D","F")))))),"")</f>
        <v/>
      </c>
      <c r="E401" s="3">
        <f>IF(AND('Data Source'!B401&lt;&gt;"",'Data Source'!S401="A+"),IF('Data Source'!W401&gt;=5,"A+",IF('Data Source'!W401&gt;=4,"A",IF('Data Source'!W401&gt;=3.5,"A-",IF('Data Source'!W401&gt;=3,"B",IF('Data Source'!W401&gt;=2,"C",IF('Data Source'!W401&gt;=1,"D","F")))))),"")</f>
        <v/>
      </c>
      <c r="F401" s="3">
        <f>IF(AND('Data Source'!B401&lt;&gt;"",'Data Source'!S401="A+"),IF('Data Source'!X401&gt;=5,"A+",IF('Data Source'!X401&gt;=4,"A",IF('Data Source'!X401&gt;=3.5,"A-",IF('Data Source'!X401&gt;=3,"B",IF('Data Source'!X401&gt;=2,"C",IF('Data Source'!X401&gt;=1,"D","F")))))),"")</f>
        <v/>
      </c>
      <c r="G401" s="3">
        <f>IF(AND('Data Source'!B401&lt;&gt;"",'Data Source'!S401="A+"),IF('Data Source'!Y401&gt;=5,"A+",IF('Data Source'!Y401&gt;=4,"A",IF('Data Source'!Y401&gt;=3.5,"A-",IF('Data Source'!Y401&gt;=3,"B",IF('Data Source'!Y401&gt;=2,"C",IF('Data Source'!Y401&gt;=1,"D","F")))))),"")</f>
        <v/>
      </c>
      <c r="H401" s="3">
        <f>IF(AND('Data Source'!B401&lt;&gt;"",'Data Source'!S401="A+"),IF('Data Source'!Z401&gt;=5,"A+",IF('Data Source'!Z401&gt;=4,"A",IF('Data Source'!Z401&gt;=3.5,"A-",IF('Data Source'!Z401&gt;=3,"B",IF('Data Source'!Z401&gt;=2,"C",IF('Data Source'!Z401&gt;=1,"D","F")))))),"")</f>
        <v/>
      </c>
      <c r="I401" s="3">
        <f>IF(AND('Data Source'!B401&lt;&gt;"",'Data Source'!S401="A+"),IF('Data Source'!AA401&gt;=5,"A+",IF('Data Source'!AA401&gt;=4,"A",IF('Data Source'!AA401&gt;=3.5,"A-",IF('Data Source'!AA401&gt;=3,"B",IF('Data Source'!AA401&gt;=2,"C",IF('Data Source'!AA401&gt;=1,"D","F")))))),"")</f>
        <v/>
      </c>
      <c r="J401" s="3">
        <f>IF(AND('Data Source'!B401&lt;&gt;"",'Data Source'!S401="A+"),IF('Data Source'!AB401&gt;=5,"A+",IF('Data Source'!AB401&gt;=4,"A",IF('Data Source'!AB401&gt;=3.5,"A-",IF('Data Source'!AB401&gt;=3,"B",IF('Data Source'!AB401&gt;=2,"C",IF('Data Source'!AB401&gt;=1,"D","F")))))),"")</f>
        <v/>
      </c>
      <c r="K401" s="3">
        <f>IF(AND('Data Source'!B401&lt;&gt;"",'Data Source'!S401="A+"),IF('Data Source'!AC401&gt;=5,"A+",IF('Data Source'!AC401&gt;=4,"A",IF('Data Source'!AC401&gt;=3.5,"A-",IF('Data Source'!AC401&gt;=3,"B",IF('Data Source'!AC401&gt;=2,"C",IF('Data Source'!AC401&gt;=1,"D","F")))))),"")</f>
        <v/>
      </c>
      <c r="L401" s="3">
        <f>IF(AND('Data Source'!B401&lt;&gt;"",'Data Source'!S401="A+"),IF('Data Source'!AD401&gt;=5,"A+",IF('Data Source'!AD401&gt;=4,"A",IF('Data Source'!AD401&gt;=3.5,"A-",IF('Data Source'!AD401&gt;=3,"B",IF('Data Source'!AD401&gt;=2,"C",IF('Data Source'!AD401&gt;=1,"D","F")))))),"")</f>
        <v/>
      </c>
      <c r="M401" s="3">
        <f>IF(AND('Data Source'!B401&lt;&gt;"",'Data Source'!S401="A+"),IF('Data Source'!AE401&gt;=5,"A+",IF('Data Source'!AE401&gt;=4,"A",IF('Data Source'!AE401&gt;=3.5,"A-",IF('Data Source'!AE401&gt;=3,"B",IF('Data Source'!AE401&gt;=2,"C",IF('Data Source'!AE401&gt;=1,"D","F")))))),"")</f>
        <v/>
      </c>
      <c r="N401" s="3">
        <f>IF(AND('Data Source'!B401&lt;&gt;"",'Data Source'!S401="A+"),IF('Data Source'!AF401&gt;=5,"A+",IF('Data Source'!AF401&gt;=4,"A",IF('Data Source'!AF401&gt;=3.5,"A-",IF('Data Source'!AF401&gt;=3,"B",IF('Data Source'!AF401&gt;=2,"C",IF('Data Source'!AF401&gt;=1,"D","F")))))),"")</f>
        <v/>
      </c>
      <c r="O401" s="3">
        <f>IF(AND('Data Source'!B401&lt;&gt;"",'Data Source'!S401="A+"),IF('Data Source'!AG401&gt;=5,"A+",IF('Data Source'!AG401&gt;=4,"A",IF('Data Source'!AG401&gt;=3.5,"A-",IF('Data Source'!AG401&gt;=3,"B",IF('Data Source'!AG401&gt;=2,"C",IF('Data Source'!AG401&gt;=1,"D","F")))))),"")</f>
        <v/>
      </c>
      <c r="P401" s="5">
        <f>IF(AND('Data Source'!B401&lt;&gt;"",'Data Source'!S401="A+"),'Data Source'!R401,"")</f>
        <v/>
      </c>
      <c r="Q401" s="3">
        <f>IF(AND('Data Source'!B401&lt;&gt;"",'Data Source'!S401="A+"),'Data Source'!S401,"")</f>
        <v/>
      </c>
    </row>
    <row r="402">
      <c r="A402" s="3">
        <f>IF(AND('Data Source'!B402&lt;&gt;"",'Data Source'!S402="A+"),COUNTIF('Data Source'!$S$3:S402,"A+"),"")</f>
        <v/>
      </c>
      <c r="B402">
        <f>IF(AND('Data Source'!B402&lt;&gt;"",'Data Source'!S402="A+"),'Data Source'!B402,"")</f>
        <v/>
      </c>
      <c r="C402" s="3">
        <f>IF(AND('Data Source'!B402&lt;&gt;"",'Data Source'!S402="A+"),IF('Data Source'!U402&gt;=5,"A+",IF('Data Source'!U402&gt;=4,"A",IF('Data Source'!U402&gt;=3.5,"A-",IF('Data Source'!U402&gt;=3,"B",IF('Data Source'!U402&gt;=2,"C",IF('Data Source'!U402&gt;=1,"D","F")))))),"")</f>
        <v/>
      </c>
      <c r="D402" s="3">
        <f>IF(AND('Data Source'!B402&lt;&gt;"",'Data Source'!S402="A+"),IF('Data Source'!V402&gt;=5,"A+",IF('Data Source'!V402&gt;=4,"A",IF('Data Source'!V402&gt;=3.5,"A-",IF('Data Source'!V402&gt;=3,"B",IF('Data Source'!V402&gt;=2,"C",IF('Data Source'!V402&gt;=1,"D","F")))))),"")</f>
        <v/>
      </c>
      <c r="E402" s="3">
        <f>IF(AND('Data Source'!B402&lt;&gt;"",'Data Source'!S402="A+"),IF('Data Source'!W402&gt;=5,"A+",IF('Data Source'!W402&gt;=4,"A",IF('Data Source'!W402&gt;=3.5,"A-",IF('Data Source'!W402&gt;=3,"B",IF('Data Source'!W402&gt;=2,"C",IF('Data Source'!W402&gt;=1,"D","F")))))),"")</f>
        <v/>
      </c>
      <c r="F402" s="3">
        <f>IF(AND('Data Source'!B402&lt;&gt;"",'Data Source'!S402="A+"),IF('Data Source'!X402&gt;=5,"A+",IF('Data Source'!X402&gt;=4,"A",IF('Data Source'!X402&gt;=3.5,"A-",IF('Data Source'!X402&gt;=3,"B",IF('Data Source'!X402&gt;=2,"C",IF('Data Source'!X402&gt;=1,"D","F")))))),"")</f>
        <v/>
      </c>
      <c r="G402" s="3">
        <f>IF(AND('Data Source'!B402&lt;&gt;"",'Data Source'!S402="A+"),IF('Data Source'!Y402&gt;=5,"A+",IF('Data Source'!Y402&gt;=4,"A",IF('Data Source'!Y402&gt;=3.5,"A-",IF('Data Source'!Y402&gt;=3,"B",IF('Data Source'!Y402&gt;=2,"C",IF('Data Source'!Y402&gt;=1,"D","F")))))),"")</f>
        <v/>
      </c>
      <c r="H402" s="3">
        <f>IF(AND('Data Source'!B402&lt;&gt;"",'Data Source'!S402="A+"),IF('Data Source'!Z402&gt;=5,"A+",IF('Data Source'!Z402&gt;=4,"A",IF('Data Source'!Z402&gt;=3.5,"A-",IF('Data Source'!Z402&gt;=3,"B",IF('Data Source'!Z402&gt;=2,"C",IF('Data Source'!Z402&gt;=1,"D","F")))))),"")</f>
        <v/>
      </c>
      <c r="I402" s="3">
        <f>IF(AND('Data Source'!B402&lt;&gt;"",'Data Source'!S402="A+"),IF('Data Source'!AA402&gt;=5,"A+",IF('Data Source'!AA402&gt;=4,"A",IF('Data Source'!AA402&gt;=3.5,"A-",IF('Data Source'!AA402&gt;=3,"B",IF('Data Source'!AA402&gt;=2,"C",IF('Data Source'!AA402&gt;=1,"D","F")))))),"")</f>
        <v/>
      </c>
      <c r="J402" s="3">
        <f>IF(AND('Data Source'!B402&lt;&gt;"",'Data Source'!S402="A+"),IF('Data Source'!AB402&gt;=5,"A+",IF('Data Source'!AB402&gt;=4,"A",IF('Data Source'!AB402&gt;=3.5,"A-",IF('Data Source'!AB402&gt;=3,"B",IF('Data Source'!AB402&gt;=2,"C",IF('Data Source'!AB402&gt;=1,"D","F")))))),"")</f>
        <v/>
      </c>
      <c r="K402" s="3">
        <f>IF(AND('Data Source'!B402&lt;&gt;"",'Data Source'!S402="A+"),IF('Data Source'!AC402&gt;=5,"A+",IF('Data Source'!AC402&gt;=4,"A",IF('Data Source'!AC402&gt;=3.5,"A-",IF('Data Source'!AC402&gt;=3,"B",IF('Data Source'!AC402&gt;=2,"C",IF('Data Source'!AC402&gt;=1,"D","F")))))),"")</f>
        <v/>
      </c>
      <c r="L402" s="3">
        <f>IF(AND('Data Source'!B402&lt;&gt;"",'Data Source'!S402="A+"),IF('Data Source'!AD402&gt;=5,"A+",IF('Data Source'!AD402&gt;=4,"A",IF('Data Source'!AD402&gt;=3.5,"A-",IF('Data Source'!AD402&gt;=3,"B",IF('Data Source'!AD402&gt;=2,"C",IF('Data Source'!AD402&gt;=1,"D","F")))))),"")</f>
        <v/>
      </c>
      <c r="M402" s="3">
        <f>IF(AND('Data Source'!B402&lt;&gt;"",'Data Source'!S402="A+"),IF('Data Source'!AE402&gt;=5,"A+",IF('Data Source'!AE402&gt;=4,"A",IF('Data Source'!AE402&gt;=3.5,"A-",IF('Data Source'!AE402&gt;=3,"B",IF('Data Source'!AE402&gt;=2,"C",IF('Data Source'!AE402&gt;=1,"D","F")))))),"")</f>
        <v/>
      </c>
      <c r="N402" s="3">
        <f>IF(AND('Data Source'!B402&lt;&gt;"",'Data Source'!S402="A+"),IF('Data Source'!AF402&gt;=5,"A+",IF('Data Source'!AF402&gt;=4,"A",IF('Data Source'!AF402&gt;=3.5,"A-",IF('Data Source'!AF402&gt;=3,"B",IF('Data Source'!AF402&gt;=2,"C",IF('Data Source'!AF402&gt;=1,"D","F")))))),"")</f>
        <v/>
      </c>
      <c r="O402" s="3">
        <f>IF(AND('Data Source'!B402&lt;&gt;"",'Data Source'!S402="A+"),IF('Data Source'!AG402&gt;=5,"A+",IF('Data Source'!AG402&gt;=4,"A",IF('Data Source'!AG402&gt;=3.5,"A-",IF('Data Source'!AG402&gt;=3,"B",IF('Data Source'!AG402&gt;=2,"C",IF('Data Source'!AG402&gt;=1,"D","F")))))),"")</f>
        <v/>
      </c>
      <c r="P402" s="5">
        <f>IF(AND('Data Source'!B402&lt;&gt;"",'Data Source'!S402="A+"),'Data Source'!R402,"")</f>
        <v/>
      </c>
      <c r="Q402" s="3">
        <f>IF(AND('Data Source'!B402&lt;&gt;"",'Data Source'!S402="A+"),'Data Source'!S402,"")</f>
        <v/>
      </c>
    </row>
    <row r="403">
      <c r="A403" s="3">
        <f>IF(AND('Data Source'!B403&lt;&gt;"",'Data Source'!S403="A+"),COUNTIF('Data Source'!$S$3:S403,"A+"),"")</f>
        <v/>
      </c>
      <c r="B403">
        <f>IF(AND('Data Source'!B403&lt;&gt;"",'Data Source'!S403="A+"),'Data Source'!B403,"")</f>
        <v/>
      </c>
      <c r="C403" s="3">
        <f>IF(AND('Data Source'!B403&lt;&gt;"",'Data Source'!S403="A+"),IF('Data Source'!U403&gt;=5,"A+",IF('Data Source'!U403&gt;=4,"A",IF('Data Source'!U403&gt;=3.5,"A-",IF('Data Source'!U403&gt;=3,"B",IF('Data Source'!U403&gt;=2,"C",IF('Data Source'!U403&gt;=1,"D","F")))))),"")</f>
        <v/>
      </c>
      <c r="D403" s="3">
        <f>IF(AND('Data Source'!B403&lt;&gt;"",'Data Source'!S403="A+"),IF('Data Source'!V403&gt;=5,"A+",IF('Data Source'!V403&gt;=4,"A",IF('Data Source'!V403&gt;=3.5,"A-",IF('Data Source'!V403&gt;=3,"B",IF('Data Source'!V403&gt;=2,"C",IF('Data Source'!V403&gt;=1,"D","F")))))),"")</f>
        <v/>
      </c>
      <c r="E403" s="3">
        <f>IF(AND('Data Source'!B403&lt;&gt;"",'Data Source'!S403="A+"),IF('Data Source'!W403&gt;=5,"A+",IF('Data Source'!W403&gt;=4,"A",IF('Data Source'!W403&gt;=3.5,"A-",IF('Data Source'!W403&gt;=3,"B",IF('Data Source'!W403&gt;=2,"C",IF('Data Source'!W403&gt;=1,"D","F")))))),"")</f>
        <v/>
      </c>
      <c r="F403" s="3">
        <f>IF(AND('Data Source'!B403&lt;&gt;"",'Data Source'!S403="A+"),IF('Data Source'!X403&gt;=5,"A+",IF('Data Source'!X403&gt;=4,"A",IF('Data Source'!X403&gt;=3.5,"A-",IF('Data Source'!X403&gt;=3,"B",IF('Data Source'!X403&gt;=2,"C",IF('Data Source'!X403&gt;=1,"D","F")))))),"")</f>
        <v/>
      </c>
      <c r="G403" s="3">
        <f>IF(AND('Data Source'!B403&lt;&gt;"",'Data Source'!S403="A+"),IF('Data Source'!Y403&gt;=5,"A+",IF('Data Source'!Y403&gt;=4,"A",IF('Data Source'!Y403&gt;=3.5,"A-",IF('Data Source'!Y403&gt;=3,"B",IF('Data Source'!Y403&gt;=2,"C",IF('Data Source'!Y403&gt;=1,"D","F")))))),"")</f>
        <v/>
      </c>
      <c r="H403" s="3">
        <f>IF(AND('Data Source'!B403&lt;&gt;"",'Data Source'!S403="A+"),IF('Data Source'!Z403&gt;=5,"A+",IF('Data Source'!Z403&gt;=4,"A",IF('Data Source'!Z403&gt;=3.5,"A-",IF('Data Source'!Z403&gt;=3,"B",IF('Data Source'!Z403&gt;=2,"C",IF('Data Source'!Z403&gt;=1,"D","F")))))),"")</f>
        <v/>
      </c>
      <c r="I403" s="3">
        <f>IF(AND('Data Source'!B403&lt;&gt;"",'Data Source'!S403="A+"),IF('Data Source'!AA403&gt;=5,"A+",IF('Data Source'!AA403&gt;=4,"A",IF('Data Source'!AA403&gt;=3.5,"A-",IF('Data Source'!AA403&gt;=3,"B",IF('Data Source'!AA403&gt;=2,"C",IF('Data Source'!AA403&gt;=1,"D","F")))))),"")</f>
        <v/>
      </c>
      <c r="J403" s="3">
        <f>IF(AND('Data Source'!B403&lt;&gt;"",'Data Source'!S403="A+"),IF('Data Source'!AB403&gt;=5,"A+",IF('Data Source'!AB403&gt;=4,"A",IF('Data Source'!AB403&gt;=3.5,"A-",IF('Data Source'!AB403&gt;=3,"B",IF('Data Source'!AB403&gt;=2,"C",IF('Data Source'!AB403&gt;=1,"D","F")))))),"")</f>
        <v/>
      </c>
      <c r="K403" s="3">
        <f>IF(AND('Data Source'!B403&lt;&gt;"",'Data Source'!S403="A+"),IF('Data Source'!AC403&gt;=5,"A+",IF('Data Source'!AC403&gt;=4,"A",IF('Data Source'!AC403&gt;=3.5,"A-",IF('Data Source'!AC403&gt;=3,"B",IF('Data Source'!AC403&gt;=2,"C",IF('Data Source'!AC403&gt;=1,"D","F")))))),"")</f>
        <v/>
      </c>
      <c r="L403" s="3">
        <f>IF(AND('Data Source'!B403&lt;&gt;"",'Data Source'!S403="A+"),IF('Data Source'!AD403&gt;=5,"A+",IF('Data Source'!AD403&gt;=4,"A",IF('Data Source'!AD403&gt;=3.5,"A-",IF('Data Source'!AD403&gt;=3,"B",IF('Data Source'!AD403&gt;=2,"C",IF('Data Source'!AD403&gt;=1,"D","F")))))),"")</f>
        <v/>
      </c>
      <c r="M403" s="3">
        <f>IF(AND('Data Source'!B403&lt;&gt;"",'Data Source'!S403="A+"),IF('Data Source'!AE403&gt;=5,"A+",IF('Data Source'!AE403&gt;=4,"A",IF('Data Source'!AE403&gt;=3.5,"A-",IF('Data Source'!AE403&gt;=3,"B",IF('Data Source'!AE403&gt;=2,"C",IF('Data Source'!AE403&gt;=1,"D","F")))))),"")</f>
        <v/>
      </c>
      <c r="N403" s="3">
        <f>IF(AND('Data Source'!B403&lt;&gt;"",'Data Source'!S403="A+"),IF('Data Source'!AF403&gt;=5,"A+",IF('Data Source'!AF403&gt;=4,"A",IF('Data Source'!AF403&gt;=3.5,"A-",IF('Data Source'!AF403&gt;=3,"B",IF('Data Source'!AF403&gt;=2,"C",IF('Data Source'!AF403&gt;=1,"D","F")))))),"")</f>
        <v/>
      </c>
      <c r="O403" s="3">
        <f>IF(AND('Data Source'!B403&lt;&gt;"",'Data Source'!S403="A+"),IF('Data Source'!AG403&gt;=5,"A+",IF('Data Source'!AG403&gt;=4,"A",IF('Data Source'!AG403&gt;=3.5,"A-",IF('Data Source'!AG403&gt;=3,"B",IF('Data Source'!AG403&gt;=2,"C",IF('Data Source'!AG403&gt;=1,"D","F")))))),"")</f>
        <v/>
      </c>
      <c r="P403" s="5">
        <f>IF(AND('Data Source'!B403&lt;&gt;"",'Data Source'!S403="A+"),'Data Source'!R403,"")</f>
        <v/>
      </c>
      <c r="Q403" s="3">
        <f>IF(AND('Data Source'!B403&lt;&gt;"",'Data Source'!S403="A+"),'Data Source'!S403,"")</f>
        <v/>
      </c>
    </row>
    <row r="404">
      <c r="A404" s="3">
        <f>IF(AND('Data Source'!B404&lt;&gt;"",'Data Source'!S404="A+"),COUNTIF('Data Source'!$S$3:S404,"A+"),"")</f>
        <v/>
      </c>
      <c r="B404">
        <f>IF(AND('Data Source'!B404&lt;&gt;"",'Data Source'!S404="A+"),'Data Source'!B404,"")</f>
        <v/>
      </c>
      <c r="C404" s="3">
        <f>IF(AND('Data Source'!B404&lt;&gt;"",'Data Source'!S404="A+"),IF('Data Source'!U404&gt;=5,"A+",IF('Data Source'!U404&gt;=4,"A",IF('Data Source'!U404&gt;=3.5,"A-",IF('Data Source'!U404&gt;=3,"B",IF('Data Source'!U404&gt;=2,"C",IF('Data Source'!U404&gt;=1,"D","F")))))),"")</f>
        <v/>
      </c>
      <c r="D404" s="3">
        <f>IF(AND('Data Source'!B404&lt;&gt;"",'Data Source'!S404="A+"),IF('Data Source'!V404&gt;=5,"A+",IF('Data Source'!V404&gt;=4,"A",IF('Data Source'!V404&gt;=3.5,"A-",IF('Data Source'!V404&gt;=3,"B",IF('Data Source'!V404&gt;=2,"C",IF('Data Source'!V404&gt;=1,"D","F")))))),"")</f>
        <v/>
      </c>
      <c r="E404" s="3">
        <f>IF(AND('Data Source'!B404&lt;&gt;"",'Data Source'!S404="A+"),IF('Data Source'!W404&gt;=5,"A+",IF('Data Source'!W404&gt;=4,"A",IF('Data Source'!W404&gt;=3.5,"A-",IF('Data Source'!W404&gt;=3,"B",IF('Data Source'!W404&gt;=2,"C",IF('Data Source'!W404&gt;=1,"D","F")))))),"")</f>
        <v/>
      </c>
      <c r="F404" s="3">
        <f>IF(AND('Data Source'!B404&lt;&gt;"",'Data Source'!S404="A+"),IF('Data Source'!X404&gt;=5,"A+",IF('Data Source'!X404&gt;=4,"A",IF('Data Source'!X404&gt;=3.5,"A-",IF('Data Source'!X404&gt;=3,"B",IF('Data Source'!X404&gt;=2,"C",IF('Data Source'!X404&gt;=1,"D","F")))))),"")</f>
        <v/>
      </c>
      <c r="G404" s="3">
        <f>IF(AND('Data Source'!B404&lt;&gt;"",'Data Source'!S404="A+"),IF('Data Source'!Y404&gt;=5,"A+",IF('Data Source'!Y404&gt;=4,"A",IF('Data Source'!Y404&gt;=3.5,"A-",IF('Data Source'!Y404&gt;=3,"B",IF('Data Source'!Y404&gt;=2,"C",IF('Data Source'!Y404&gt;=1,"D","F")))))),"")</f>
        <v/>
      </c>
      <c r="H404" s="3">
        <f>IF(AND('Data Source'!B404&lt;&gt;"",'Data Source'!S404="A+"),IF('Data Source'!Z404&gt;=5,"A+",IF('Data Source'!Z404&gt;=4,"A",IF('Data Source'!Z404&gt;=3.5,"A-",IF('Data Source'!Z404&gt;=3,"B",IF('Data Source'!Z404&gt;=2,"C",IF('Data Source'!Z404&gt;=1,"D","F")))))),"")</f>
        <v/>
      </c>
      <c r="I404" s="3">
        <f>IF(AND('Data Source'!B404&lt;&gt;"",'Data Source'!S404="A+"),IF('Data Source'!AA404&gt;=5,"A+",IF('Data Source'!AA404&gt;=4,"A",IF('Data Source'!AA404&gt;=3.5,"A-",IF('Data Source'!AA404&gt;=3,"B",IF('Data Source'!AA404&gt;=2,"C",IF('Data Source'!AA404&gt;=1,"D","F")))))),"")</f>
        <v/>
      </c>
      <c r="J404" s="3">
        <f>IF(AND('Data Source'!B404&lt;&gt;"",'Data Source'!S404="A+"),IF('Data Source'!AB404&gt;=5,"A+",IF('Data Source'!AB404&gt;=4,"A",IF('Data Source'!AB404&gt;=3.5,"A-",IF('Data Source'!AB404&gt;=3,"B",IF('Data Source'!AB404&gt;=2,"C",IF('Data Source'!AB404&gt;=1,"D","F")))))),"")</f>
        <v/>
      </c>
      <c r="K404" s="3">
        <f>IF(AND('Data Source'!B404&lt;&gt;"",'Data Source'!S404="A+"),IF('Data Source'!AC404&gt;=5,"A+",IF('Data Source'!AC404&gt;=4,"A",IF('Data Source'!AC404&gt;=3.5,"A-",IF('Data Source'!AC404&gt;=3,"B",IF('Data Source'!AC404&gt;=2,"C",IF('Data Source'!AC404&gt;=1,"D","F")))))),"")</f>
        <v/>
      </c>
      <c r="L404" s="3">
        <f>IF(AND('Data Source'!B404&lt;&gt;"",'Data Source'!S404="A+"),IF('Data Source'!AD404&gt;=5,"A+",IF('Data Source'!AD404&gt;=4,"A",IF('Data Source'!AD404&gt;=3.5,"A-",IF('Data Source'!AD404&gt;=3,"B",IF('Data Source'!AD404&gt;=2,"C",IF('Data Source'!AD404&gt;=1,"D","F")))))),"")</f>
        <v/>
      </c>
      <c r="M404" s="3">
        <f>IF(AND('Data Source'!B404&lt;&gt;"",'Data Source'!S404="A+"),IF('Data Source'!AE404&gt;=5,"A+",IF('Data Source'!AE404&gt;=4,"A",IF('Data Source'!AE404&gt;=3.5,"A-",IF('Data Source'!AE404&gt;=3,"B",IF('Data Source'!AE404&gt;=2,"C",IF('Data Source'!AE404&gt;=1,"D","F")))))),"")</f>
        <v/>
      </c>
      <c r="N404" s="3">
        <f>IF(AND('Data Source'!B404&lt;&gt;"",'Data Source'!S404="A+"),IF('Data Source'!AF404&gt;=5,"A+",IF('Data Source'!AF404&gt;=4,"A",IF('Data Source'!AF404&gt;=3.5,"A-",IF('Data Source'!AF404&gt;=3,"B",IF('Data Source'!AF404&gt;=2,"C",IF('Data Source'!AF404&gt;=1,"D","F")))))),"")</f>
        <v/>
      </c>
      <c r="O404" s="3">
        <f>IF(AND('Data Source'!B404&lt;&gt;"",'Data Source'!S404="A+"),IF('Data Source'!AG404&gt;=5,"A+",IF('Data Source'!AG404&gt;=4,"A",IF('Data Source'!AG404&gt;=3.5,"A-",IF('Data Source'!AG404&gt;=3,"B",IF('Data Source'!AG404&gt;=2,"C",IF('Data Source'!AG404&gt;=1,"D","F")))))),"")</f>
        <v/>
      </c>
      <c r="P404" s="5">
        <f>IF(AND('Data Source'!B404&lt;&gt;"",'Data Source'!S404="A+"),'Data Source'!R404,"")</f>
        <v/>
      </c>
      <c r="Q404" s="3">
        <f>IF(AND('Data Source'!B404&lt;&gt;"",'Data Source'!S404="A+"),'Data Source'!S404,"")</f>
        <v/>
      </c>
    </row>
    <row r="405">
      <c r="A405" s="3">
        <f>IF(AND('Data Source'!B405&lt;&gt;"",'Data Source'!S405="A+"),COUNTIF('Data Source'!$S$3:S405,"A+"),"")</f>
        <v/>
      </c>
      <c r="B405">
        <f>IF(AND('Data Source'!B405&lt;&gt;"",'Data Source'!S405="A+"),'Data Source'!B405,"")</f>
        <v/>
      </c>
      <c r="C405" s="3">
        <f>IF(AND('Data Source'!B405&lt;&gt;"",'Data Source'!S405="A+"),IF('Data Source'!U405&gt;=5,"A+",IF('Data Source'!U405&gt;=4,"A",IF('Data Source'!U405&gt;=3.5,"A-",IF('Data Source'!U405&gt;=3,"B",IF('Data Source'!U405&gt;=2,"C",IF('Data Source'!U405&gt;=1,"D","F")))))),"")</f>
        <v/>
      </c>
      <c r="D405" s="3">
        <f>IF(AND('Data Source'!B405&lt;&gt;"",'Data Source'!S405="A+"),IF('Data Source'!V405&gt;=5,"A+",IF('Data Source'!V405&gt;=4,"A",IF('Data Source'!V405&gt;=3.5,"A-",IF('Data Source'!V405&gt;=3,"B",IF('Data Source'!V405&gt;=2,"C",IF('Data Source'!V405&gt;=1,"D","F")))))),"")</f>
        <v/>
      </c>
      <c r="E405" s="3">
        <f>IF(AND('Data Source'!B405&lt;&gt;"",'Data Source'!S405="A+"),IF('Data Source'!W405&gt;=5,"A+",IF('Data Source'!W405&gt;=4,"A",IF('Data Source'!W405&gt;=3.5,"A-",IF('Data Source'!W405&gt;=3,"B",IF('Data Source'!W405&gt;=2,"C",IF('Data Source'!W405&gt;=1,"D","F")))))),"")</f>
        <v/>
      </c>
      <c r="F405" s="3">
        <f>IF(AND('Data Source'!B405&lt;&gt;"",'Data Source'!S405="A+"),IF('Data Source'!X405&gt;=5,"A+",IF('Data Source'!X405&gt;=4,"A",IF('Data Source'!X405&gt;=3.5,"A-",IF('Data Source'!X405&gt;=3,"B",IF('Data Source'!X405&gt;=2,"C",IF('Data Source'!X405&gt;=1,"D","F")))))),"")</f>
        <v/>
      </c>
      <c r="G405" s="3">
        <f>IF(AND('Data Source'!B405&lt;&gt;"",'Data Source'!S405="A+"),IF('Data Source'!Y405&gt;=5,"A+",IF('Data Source'!Y405&gt;=4,"A",IF('Data Source'!Y405&gt;=3.5,"A-",IF('Data Source'!Y405&gt;=3,"B",IF('Data Source'!Y405&gt;=2,"C",IF('Data Source'!Y405&gt;=1,"D","F")))))),"")</f>
        <v/>
      </c>
      <c r="H405" s="3">
        <f>IF(AND('Data Source'!B405&lt;&gt;"",'Data Source'!S405="A+"),IF('Data Source'!Z405&gt;=5,"A+",IF('Data Source'!Z405&gt;=4,"A",IF('Data Source'!Z405&gt;=3.5,"A-",IF('Data Source'!Z405&gt;=3,"B",IF('Data Source'!Z405&gt;=2,"C",IF('Data Source'!Z405&gt;=1,"D","F")))))),"")</f>
        <v/>
      </c>
      <c r="I405" s="3">
        <f>IF(AND('Data Source'!B405&lt;&gt;"",'Data Source'!S405="A+"),IF('Data Source'!AA405&gt;=5,"A+",IF('Data Source'!AA405&gt;=4,"A",IF('Data Source'!AA405&gt;=3.5,"A-",IF('Data Source'!AA405&gt;=3,"B",IF('Data Source'!AA405&gt;=2,"C",IF('Data Source'!AA405&gt;=1,"D","F")))))),"")</f>
        <v/>
      </c>
      <c r="J405" s="3">
        <f>IF(AND('Data Source'!B405&lt;&gt;"",'Data Source'!S405="A+"),IF('Data Source'!AB405&gt;=5,"A+",IF('Data Source'!AB405&gt;=4,"A",IF('Data Source'!AB405&gt;=3.5,"A-",IF('Data Source'!AB405&gt;=3,"B",IF('Data Source'!AB405&gt;=2,"C",IF('Data Source'!AB405&gt;=1,"D","F")))))),"")</f>
        <v/>
      </c>
      <c r="K405" s="3">
        <f>IF(AND('Data Source'!B405&lt;&gt;"",'Data Source'!S405="A+"),IF('Data Source'!AC405&gt;=5,"A+",IF('Data Source'!AC405&gt;=4,"A",IF('Data Source'!AC405&gt;=3.5,"A-",IF('Data Source'!AC405&gt;=3,"B",IF('Data Source'!AC405&gt;=2,"C",IF('Data Source'!AC405&gt;=1,"D","F")))))),"")</f>
        <v/>
      </c>
      <c r="L405" s="3">
        <f>IF(AND('Data Source'!B405&lt;&gt;"",'Data Source'!S405="A+"),IF('Data Source'!AD405&gt;=5,"A+",IF('Data Source'!AD405&gt;=4,"A",IF('Data Source'!AD405&gt;=3.5,"A-",IF('Data Source'!AD405&gt;=3,"B",IF('Data Source'!AD405&gt;=2,"C",IF('Data Source'!AD405&gt;=1,"D","F")))))),"")</f>
        <v/>
      </c>
      <c r="M405" s="3">
        <f>IF(AND('Data Source'!B405&lt;&gt;"",'Data Source'!S405="A+"),IF('Data Source'!AE405&gt;=5,"A+",IF('Data Source'!AE405&gt;=4,"A",IF('Data Source'!AE405&gt;=3.5,"A-",IF('Data Source'!AE405&gt;=3,"B",IF('Data Source'!AE405&gt;=2,"C",IF('Data Source'!AE405&gt;=1,"D","F")))))),"")</f>
        <v/>
      </c>
      <c r="N405" s="3">
        <f>IF(AND('Data Source'!B405&lt;&gt;"",'Data Source'!S405="A+"),IF('Data Source'!AF405&gt;=5,"A+",IF('Data Source'!AF405&gt;=4,"A",IF('Data Source'!AF405&gt;=3.5,"A-",IF('Data Source'!AF405&gt;=3,"B",IF('Data Source'!AF405&gt;=2,"C",IF('Data Source'!AF405&gt;=1,"D","F")))))),"")</f>
        <v/>
      </c>
      <c r="O405" s="3">
        <f>IF(AND('Data Source'!B405&lt;&gt;"",'Data Source'!S405="A+"),IF('Data Source'!AG405&gt;=5,"A+",IF('Data Source'!AG405&gt;=4,"A",IF('Data Source'!AG405&gt;=3.5,"A-",IF('Data Source'!AG405&gt;=3,"B",IF('Data Source'!AG405&gt;=2,"C",IF('Data Source'!AG405&gt;=1,"D","F")))))),"")</f>
        <v/>
      </c>
      <c r="P405" s="5">
        <f>IF(AND('Data Source'!B405&lt;&gt;"",'Data Source'!S405="A+"),'Data Source'!R405,"")</f>
        <v/>
      </c>
      <c r="Q405" s="3">
        <f>IF(AND('Data Source'!B405&lt;&gt;"",'Data Source'!S405="A+"),'Data Source'!S405,"")</f>
        <v/>
      </c>
    </row>
    <row r="406">
      <c r="A406" s="3">
        <f>IF(AND('Data Source'!B406&lt;&gt;"",'Data Source'!S406="A+"),COUNTIF('Data Source'!$S$3:S406,"A+"),"")</f>
        <v/>
      </c>
      <c r="B406">
        <f>IF(AND('Data Source'!B406&lt;&gt;"",'Data Source'!S406="A+"),'Data Source'!B406,"")</f>
        <v/>
      </c>
      <c r="C406" s="3">
        <f>IF(AND('Data Source'!B406&lt;&gt;"",'Data Source'!S406="A+"),IF('Data Source'!U406&gt;=5,"A+",IF('Data Source'!U406&gt;=4,"A",IF('Data Source'!U406&gt;=3.5,"A-",IF('Data Source'!U406&gt;=3,"B",IF('Data Source'!U406&gt;=2,"C",IF('Data Source'!U406&gt;=1,"D","F")))))),"")</f>
        <v/>
      </c>
      <c r="D406" s="3">
        <f>IF(AND('Data Source'!B406&lt;&gt;"",'Data Source'!S406="A+"),IF('Data Source'!V406&gt;=5,"A+",IF('Data Source'!V406&gt;=4,"A",IF('Data Source'!V406&gt;=3.5,"A-",IF('Data Source'!V406&gt;=3,"B",IF('Data Source'!V406&gt;=2,"C",IF('Data Source'!V406&gt;=1,"D","F")))))),"")</f>
        <v/>
      </c>
      <c r="E406" s="3">
        <f>IF(AND('Data Source'!B406&lt;&gt;"",'Data Source'!S406="A+"),IF('Data Source'!W406&gt;=5,"A+",IF('Data Source'!W406&gt;=4,"A",IF('Data Source'!W406&gt;=3.5,"A-",IF('Data Source'!W406&gt;=3,"B",IF('Data Source'!W406&gt;=2,"C",IF('Data Source'!W406&gt;=1,"D","F")))))),"")</f>
        <v/>
      </c>
      <c r="F406" s="3">
        <f>IF(AND('Data Source'!B406&lt;&gt;"",'Data Source'!S406="A+"),IF('Data Source'!X406&gt;=5,"A+",IF('Data Source'!X406&gt;=4,"A",IF('Data Source'!X406&gt;=3.5,"A-",IF('Data Source'!X406&gt;=3,"B",IF('Data Source'!X406&gt;=2,"C",IF('Data Source'!X406&gt;=1,"D","F")))))),"")</f>
        <v/>
      </c>
      <c r="G406" s="3">
        <f>IF(AND('Data Source'!B406&lt;&gt;"",'Data Source'!S406="A+"),IF('Data Source'!Y406&gt;=5,"A+",IF('Data Source'!Y406&gt;=4,"A",IF('Data Source'!Y406&gt;=3.5,"A-",IF('Data Source'!Y406&gt;=3,"B",IF('Data Source'!Y406&gt;=2,"C",IF('Data Source'!Y406&gt;=1,"D","F")))))),"")</f>
        <v/>
      </c>
      <c r="H406" s="3">
        <f>IF(AND('Data Source'!B406&lt;&gt;"",'Data Source'!S406="A+"),IF('Data Source'!Z406&gt;=5,"A+",IF('Data Source'!Z406&gt;=4,"A",IF('Data Source'!Z406&gt;=3.5,"A-",IF('Data Source'!Z406&gt;=3,"B",IF('Data Source'!Z406&gt;=2,"C",IF('Data Source'!Z406&gt;=1,"D","F")))))),"")</f>
        <v/>
      </c>
      <c r="I406" s="3">
        <f>IF(AND('Data Source'!B406&lt;&gt;"",'Data Source'!S406="A+"),IF('Data Source'!AA406&gt;=5,"A+",IF('Data Source'!AA406&gt;=4,"A",IF('Data Source'!AA406&gt;=3.5,"A-",IF('Data Source'!AA406&gt;=3,"B",IF('Data Source'!AA406&gt;=2,"C",IF('Data Source'!AA406&gt;=1,"D","F")))))),"")</f>
        <v/>
      </c>
      <c r="J406" s="3">
        <f>IF(AND('Data Source'!B406&lt;&gt;"",'Data Source'!S406="A+"),IF('Data Source'!AB406&gt;=5,"A+",IF('Data Source'!AB406&gt;=4,"A",IF('Data Source'!AB406&gt;=3.5,"A-",IF('Data Source'!AB406&gt;=3,"B",IF('Data Source'!AB406&gt;=2,"C",IF('Data Source'!AB406&gt;=1,"D","F")))))),"")</f>
        <v/>
      </c>
      <c r="K406" s="3">
        <f>IF(AND('Data Source'!B406&lt;&gt;"",'Data Source'!S406="A+"),IF('Data Source'!AC406&gt;=5,"A+",IF('Data Source'!AC406&gt;=4,"A",IF('Data Source'!AC406&gt;=3.5,"A-",IF('Data Source'!AC406&gt;=3,"B",IF('Data Source'!AC406&gt;=2,"C",IF('Data Source'!AC406&gt;=1,"D","F")))))),"")</f>
        <v/>
      </c>
      <c r="L406" s="3">
        <f>IF(AND('Data Source'!B406&lt;&gt;"",'Data Source'!S406="A+"),IF('Data Source'!AD406&gt;=5,"A+",IF('Data Source'!AD406&gt;=4,"A",IF('Data Source'!AD406&gt;=3.5,"A-",IF('Data Source'!AD406&gt;=3,"B",IF('Data Source'!AD406&gt;=2,"C",IF('Data Source'!AD406&gt;=1,"D","F")))))),"")</f>
        <v/>
      </c>
      <c r="M406" s="3">
        <f>IF(AND('Data Source'!B406&lt;&gt;"",'Data Source'!S406="A+"),IF('Data Source'!AE406&gt;=5,"A+",IF('Data Source'!AE406&gt;=4,"A",IF('Data Source'!AE406&gt;=3.5,"A-",IF('Data Source'!AE406&gt;=3,"B",IF('Data Source'!AE406&gt;=2,"C",IF('Data Source'!AE406&gt;=1,"D","F")))))),"")</f>
        <v/>
      </c>
      <c r="N406" s="3">
        <f>IF(AND('Data Source'!B406&lt;&gt;"",'Data Source'!S406="A+"),IF('Data Source'!AF406&gt;=5,"A+",IF('Data Source'!AF406&gt;=4,"A",IF('Data Source'!AF406&gt;=3.5,"A-",IF('Data Source'!AF406&gt;=3,"B",IF('Data Source'!AF406&gt;=2,"C",IF('Data Source'!AF406&gt;=1,"D","F")))))),"")</f>
        <v/>
      </c>
      <c r="O406" s="3">
        <f>IF(AND('Data Source'!B406&lt;&gt;"",'Data Source'!S406="A+"),IF('Data Source'!AG406&gt;=5,"A+",IF('Data Source'!AG406&gt;=4,"A",IF('Data Source'!AG406&gt;=3.5,"A-",IF('Data Source'!AG406&gt;=3,"B",IF('Data Source'!AG406&gt;=2,"C",IF('Data Source'!AG406&gt;=1,"D","F")))))),"")</f>
        <v/>
      </c>
      <c r="P406" s="5">
        <f>IF(AND('Data Source'!B406&lt;&gt;"",'Data Source'!S406="A+"),'Data Source'!R406,"")</f>
        <v/>
      </c>
      <c r="Q406" s="3">
        <f>IF(AND('Data Source'!B406&lt;&gt;"",'Data Source'!S406="A+"),'Data Source'!S406,"")</f>
        <v/>
      </c>
    </row>
    <row r="407">
      <c r="A407" s="3">
        <f>IF(AND('Data Source'!B407&lt;&gt;"",'Data Source'!S407="A+"),COUNTIF('Data Source'!$S$3:S407,"A+"),"")</f>
        <v/>
      </c>
      <c r="B407">
        <f>IF(AND('Data Source'!B407&lt;&gt;"",'Data Source'!S407="A+"),'Data Source'!B407,"")</f>
        <v/>
      </c>
      <c r="C407" s="3">
        <f>IF(AND('Data Source'!B407&lt;&gt;"",'Data Source'!S407="A+"),IF('Data Source'!U407&gt;=5,"A+",IF('Data Source'!U407&gt;=4,"A",IF('Data Source'!U407&gt;=3.5,"A-",IF('Data Source'!U407&gt;=3,"B",IF('Data Source'!U407&gt;=2,"C",IF('Data Source'!U407&gt;=1,"D","F")))))),"")</f>
        <v/>
      </c>
      <c r="D407" s="3">
        <f>IF(AND('Data Source'!B407&lt;&gt;"",'Data Source'!S407="A+"),IF('Data Source'!V407&gt;=5,"A+",IF('Data Source'!V407&gt;=4,"A",IF('Data Source'!V407&gt;=3.5,"A-",IF('Data Source'!V407&gt;=3,"B",IF('Data Source'!V407&gt;=2,"C",IF('Data Source'!V407&gt;=1,"D","F")))))),"")</f>
        <v/>
      </c>
      <c r="E407" s="3">
        <f>IF(AND('Data Source'!B407&lt;&gt;"",'Data Source'!S407="A+"),IF('Data Source'!W407&gt;=5,"A+",IF('Data Source'!W407&gt;=4,"A",IF('Data Source'!W407&gt;=3.5,"A-",IF('Data Source'!W407&gt;=3,"B",IF('Data Source'!W407&gt;=2,"C",IF('Data Source'!W407&gt;=1,"D","F")))))),"")</f>
        <v/>
      </c>
      <c r="F407" s="3">
        <f>IF(AND('Data Source'!B407&lt;&gt;"",'Data Source'!S407="A+"),IF('Data Source'!X407&gt;=5,"A+",IF('Data Source'!X407&gt;=4,"A",IF('Data Source'!X407&gt;=3.5,"A-",IF('Data Source'!X407&gt;=3,"B",IF('Data Source'!X407&gt;=2,"C",IF('Data Source'!X407&gt;=1,"D","F")))))),"")</f>
        <v/>
      </c>
      <c r="G407" s="3">
        <f>IF(AND('Data Source'!B407&lt;&gt;"",'Data Source'!S407="A+"),IF('Data Source'!Y407&gt;=5,"A+",IF('Data Source'!Y407&gt;=4,"A",IF('Data Source'!Y407&gt;=3.5,"A-",IF('Data Source'!Y407&gt;=3,"B",IF('Data Source'!Y407&gt;=2,"C",IF('Data Source'!Y407&gt;=1,"D","F")))))),"")</f>
        <v/>
      </c>
      <c r="H407" s="3">
        <f>IF(AND('Data Source'!B407&lt;&gt;"",'Data Source'!S407="A+"),IF('Data Source'!Z407&gt;=5,"A+",IF('Data Source'!Z407&gt;=4,"A",IF('Data Source'!Z407&gt;=3.5,"A-",IF('Data Source'!Z407&gt;=3,"B",IF('Data Source'!Z407&gt;=2,"C",IF('Data Source'!Z407&gt;=1,"D","F")))))),"")</f>
        <v/>
      </c>
      <c r="I407" s="3">
        <f>IF(AND('Data Source'!B407&lt;&gt;"",'Data Source'!S407="A+"),IF('Data Source'!AA407&gt;=5,"A+",IF('Data Source'!AA407&gt;=4,"A",IF('Data Source'!AA407&gt;=3.5,"A-",IF('Data Source'!AA407&gt;=3,"B",IF('Data Source'!AA407&gt;=2,"C",IF('Data Source'!AA407&gt;=1,"D","F")))))),"")</f>
        <v/>
      </c>
      <c r="J407" s="3">
        <f>IF(AND('Data Source'!B407&lt;&gt;"",'Data Source'!S407="A+"),IF('Data Source'!AB407&gt;=5,"A+",IF('Data Source'!AB407&gt;=4,"A",IF('Data Source'!AB407&gt;=3.5,"A-",IF('Data Source'!AB407&gt;=3,"B",IF('Data Source'!AB407&gt;=2,"C",IF('Data Source'!AB407&gt;=1,"D","F")))))),"")</f>
        <v/>
      </c>
      <c r="K407" s="3">
        <f>IF(AND('Data Source'!B407&lt;&gt;"",'Data Source'!S407="A+"),IF('Data Source'!AC407&gt;=5,"A+",IF('Data Source'!AC407&gt;=4,"A",IF('Data Source'!AC407&gt;=3.5,"A-",IF('Data Source'!AC407&gt;=3,"B",IF('Data Source'!AC407&gt;=2,"C",IF('Data Source'!AC407&gt;=1,"D","F")))))),"")</f>
        <v/>
      </c>
      <c r="L407" s="3">
        <f>IF(AND('Data Source'!B407&lt;&gt;"",'Data Source'!S407="A+"),IF('Data Source'!AD407&gt;=5,"A+",IF('Data Source'!AD407&gt;=4,"A",IF('Data Source'!AD407&gt;=3.5,"A-",IF('Data Source'!AD407&gt;=3,"B",IF('Data Source'!AD407&gt;=2,"C",IF('Data Source'!AD407&gt;=1,"D","F")))))),"")</f>
        <v/>
      </c>
      <c r="M407" s="3">
        <f>IF(AND('Data Source'!B407&lt;&gt;"",'Data Source'!S407="A+"),IF('Data Source'!AE407&gt;=5,"A+",IF('Data Source'!AE407&gt;=4,"A",IF('Data Source'!AE407&gt;=3.5,"A-",IF('Data Source'!AE407&gt;=3,"B",IF('Data Source'!AE407&gt;=2,"C",IF('Data Source'!AE407&gt;=1,"D","F")))))),"")</f>
        <v/>
      </c>
      <c r="N407" s="3">
        <f>IF(AND('Data Source'!B407&lt;&gt;"",'Data Source'!S407="A+"),IF('Data Source'!AF407&gt;=5,"A+",IF('Data Source'!AF407&gt;=4,"A",IF('Data Source'!AF407&gt;=3.5,"A-",IF('Data Source'!AF407&gt;=3,"B",IF('Data Source'!AF407&gt;=2,"C",IF('Data Source'!AF407&gt;=1,"D","F")))))),"")</f>
        <v/>
      </c>
      <c r="O407" s="3">
        <f>IF(AND('Data Source'!B407&lt;&gt;"",'Data Source'!S407="A+"),IF('Data Source'!AG407&gt;=5,"A+",IF('Data Source'!AG407&gt;=4,"A",IF('Data Source'!AG407&gt;=3.5,"A-",IF('Data Source'!AG407&gt;=3,"B",IF('Data Source'!AG407&gt;=2,"C",IF('Data Source'!AG407&gt;=1,"D","F")))))),"")</f>
        <v/>
      </c>
      <c r="P407" s="5">
        <f>IF(AND('Data Source'!B407&lt;&gt;"",'Data Source'!S407="A+"),'Data Source'!R407,"")</f>
        <v/>
      </c>
      <c r="Q407" s="3">
        <f>IF(AND('Data Source'!B407&lt;&gt;"",'Data Source'!S407="A+"),'Data Source'!S407,"")</f>
        <v/>
      </c>
    </row>
    <row r="408">
      <c r="A408" s="3">
        <f>IF(AND('Data Source'!B408&lt;&gt;"",'Data Source'!S408="A+"),COUNTIF('Data Source'!$S$3:S408,"A+"),"")</f>
        <v/>
      </c>
      <c r="B408">
        <f>IF(AND('Data Source'!B408&lt;&gt;"",'Data Source'!S408="A+"),'Data Source'!B408,"")</f>
        <v/>
      </c>
      <c r="C408" s="3">
        <f>IF(AND('Data Source'!B408&lt;&gt;"",'Data Source'!S408="A+"),IF('Data Source'!U408&gt;=5,"A+",IF('Data Source'!U408&gt;=4,"A",IF('Data Source'!U408&gt;=3.5,"A-",IF('Data Source'!U408&gt;=3,"B",IF('Data Source'!U408&gt;=2,"C",IF('Data Source'!U408&gt;=1,"D","F")))))),"")</f>
        <v/>
      </c>
      <c r="D408" s="3">
        <f>IF(AND('Data Source'!B408&lt;&gt;"",'Data Source'!S408="A+"),IF('Data Source'!V408&gt;=5,"A+",IF('Data Source'!V408&gt;=4,"A",IF('Data Source'!V408&gt;=3.5,"A-",IF('Data Source'!V408&gt;=3,"B",IF('Data Source'!V408&gt;=2,"C",IF('Data Source'!V408&gt;=1,"D","F")))))),"")</f>
        <v/>
      </c>
      <c r="E408" s="3">
        <f>IF(AND('Data Source'!B408&lt;&gt;"",'Data Source'!S408="A+"),IF('Data Source'!W408&gt;=5,"A+",IF('Data Source'!W408&gt;=4,"A",IF('Data Source'!W408&gt;=3.5,"A-",IF('Data Source'!W408&gt;=3,"B",IF('Data Source'!W408&gt;=2,"C",IF('Data Source'!W408&gt;=1,"D","F")))))),"")</f>
        <v/>
      </c>
      <c r="F408" s="3">
        <f>IF(AND('Data Source'!B408&lt;&gt;"",'Data Source'!S408="A+"),IF('Data Source'!X408&gt;=5,"A+",IF('Data Source'!X408&gt;=4,"A",IF('Data Source'!X408&gt;=3.5,"A-",IF('Data Source'!X408&gt;=3,"B",IF('Data Source'!X408&gt;=2,"C",IF('Data Source'!X408&gt;=1,"D","F")))))),"")</f>
        <v/>
      </c>
      <c r="G408" s="3">
        <f>IF(AND('Data Source'!B408&lt;&gt;"",'Data Source'!S408="A+"),IF('Data Source'!Y408&gt;=5,"A+",IF('Data Source'!Y408&gt;=4,"A",IF('Data Source'!Y408&gt;=3.5,"A-",IF('Data Source'!Y408&gt;=3,"B",IF('Data Source'!Y408&gt;=2,"C",IF('Data Source'!Y408&gt;=1,"D","F")))))),"")</f>
        <v/>
      </c>
      <c r="H408" s="3">
        <f>IF(AND('Data Source'!B408&lt;&gt;"",'Data Source'!S408="A+"),IF('Data Source'!Z408&gt;=5,"A+",IF('Data Source'!Z408&gt;=4,"A",IF('Data Source'!Z408&gt;=3.5,"A-",IF('Data Source'!Z408&gt;=3,"B",IF('Data Source'!Z408&gt;=2,"C",IF('Data Source'!Z408&gt;=1,"D","F")))))),"")</f>
        <v/>
      </c>
      <c r="I408" s="3">
        <f>IF(AND('Data Source'!B408&lt;&gt;"",'Data Source'!S408="A+"),IF('Data Source'!AA408&gt;=5,"A+",IF('Data Source'!AA408&gt;=4,"A",IF('Data Source'!AA408&gt;=3.5,"A-",IF('Data Source'!AA408&gt;=3,"B",IF('Data Source'!AA408&gt;=2,"C",IF('Data Source'!AA408&gt;=1,"D","F")))))),"")</f>
        <v/>
      </c>
      <c r="J408" s="3">
        <f>IF(AND('Data Source'!B408&lt;&gt;"",'Data Source'!S408="A+"),IF('Data Source'!AB408&gt;=5,"A+",IF('Data Source'!AB408&gt;=4,"A",IF('Data Source'!AB408&gt;=3.5,"A-",IF('Data Source'!AB408&gt;=3,"B",IF('Data Source'!AB408&gt;=2,"C",IF('Data Source'!AB408&gt;=1,"D","F")))))),"")</f>
        <v/>
      </c>
      <c r="K408" s="3">
        <f>IF(AND('Data Source'!B408&lt;&gt;"",'Data Source'!S408="A+"),IF('Data Source'!AC408&gt;=5,"A+",IF('Data Source'!AC408&gt;=4,"A",IF('Data Source'!AC408&gt;=3.5,"A-",IF('Data Source'!AC408&gt;=3,"B",IF('Data Source'!AC408&gt;=2,"C",IF('Data Source'!AC408&gt;=1,"D","F")))))),"")</f>
        <v/>
      </c>
      <c r="L408" s="3">
        <f>IF(AND('Data Source'!B408&lt;&gt;"",'Data Source'!S408="A+"),IF('Data Source'!AD408&gt;=5,"A+",IF('Data Source'!AD408&gt;=4,"A",IF('Data Source'!AD408&gt;=3.5,"A-",IF('Data Source'!AD408&gt;=3,"B",IF('Data Source'!AD408&gt;=2,"C",IF('Data Source'!AD408&gt;=1,"D","F")))))),"")</f>
        <v/>
      </c>
      <c r="M408" s="3">
        <f>IF(AND('Data Source'!B408&lt;&gt;"",'Data Source'!S408="A+"),IF('Data Source'!AE408&gt;=5,"A+",IF('Data Source'!AE408&gt;=4,"A",IF('Data Source'!AE408&gt;=3.5,"A-",IF('Data Source'!AE408&gt;=3,"B",IF('Data Source'!AE408&gt;=2,"C",IF('Data Source'!AE408&gt;=1,"D","F")))))),"")</f>
        <v/>
      </c>
      <c r="N408" s="3">
        <f>IF(AND('Data Source'!B408&lt;&gt;"",'Data Source'!S408="A+"),IF('Data Source'!AF408&gt;=5,"A+",IF('Data Source'!AF408&gt;=4,"A",IF('Data Source'!AF408&gt;=3.5,"A-",IF('Data Source'!AF408&gt;=3,"B",IF('Data Source'!AF408&gt;=2,"C",IF('Data Source'!AF408&gt;=1,"D","F")))))),"")</f>
        <v/>
      </c>
      <c r="O408" s="3">
        <f>IF(AND('Data Source'!B408&lt;&gt;"",'Data Source'!S408="A+"),IF('Data Source'!AG408&gt;=5,"A+",IF('Data Source'!AG408&gt;=4,"A",IF('Data Source'!AG408&gt;=3.5,"A-",IF('Data Source'!AG408&gt;=3,"B",IF('Data Source'!AG408&gt;=2,"C",IF('Data Source'!AG408&gt;=1,"D","F")))))),"")</f>
        <v/>
      </c>
      <c r="P408" s="5">
        <f>IF(AND('Data Source'!B408&lt;&gt;"",'Data Source'!S408="A+"),'Data Source'!R408,"")</f>
        <v/>
      </c>
      <c r="Q408" s="3">
        <f>IF(AND('Data Source'!B408&lt;&gt;"",'Data Source'!S408="A+"),'Data Source'!S408,"")</f>
        <v/>
      </c>
    </row>
    <row r="409">
      <c r="A409" s="3">
        <f>IF(AND('Data Source'!B409&lt;&gt;"",'Data Source'!S409="A+"),COUNTIF('Data Source'!$S$3:S409,"A+"),"")</f>
        <v/>
      </c>
      <c r="B409">
        <f>IF(AND('Data Source'!B409&lt;&gt;"",'Data Source'!S409="A+"),'Data Source'!B409,"")</f>
        <v/>
      </c>
      <c r="C409" s="3">
        <f>IF(AND('Data Source'!B409&lt;&gt;"",'Data Source'!S409="A+"),IF('Data Source'!U409&gt;=5,"A+",IF('Data Source'!U409&gt;=4,"A",IF('Data Source'!U409&gt;=3.5,"A-",IF('Data Source'!U409&gt;=3,"B",IF('Data Source'!U409&gt;=2,"C",IF('Data Source'!U409&gt;=1,"D","F")))))),"")</f>
        <v/>
      </c>
      <c r="D409" s="3">
        <f>IF(AND('Data Source'!B409&lt;&gt;"",'Data Source'!S409="A+"),IF('Data Source'!V409&gt;=5,"A+",IF('Data Source'!V409&gt;=4,"A",IF('Data Source'!V409&gt;=3.5,"A-",IF('Data Source'!V409&gt;=3,"B",IF('Data Source'!V409&gt;=2,"C",IF('Data Source'!V409&gt;=1,"D","F")))))),"")</f>
        <v/>
      </c>
      <c r="E409" s="3">
        <f>IF(AND('Data Source'!B409&lt;&gt;"",'Data Source'!S409="A+"),IF('Data Source'!W409&gt;=5,"A+",IF('Data Source'!W409&gt;=4,"A",IF('Data Source'!W409&gt;=3.5,"A-",IF('Data Source'!W409&gt;=3,"B",IF('Data Source'!W409&gt;=2,"C",IF('Data Source'!W409&gt;=1,"D","F")))))),"")</f>
        <v/>
      </c>
      <c r="F409" s="3">
        <f>IF(AND('Data Source'!B409&lt;&gt;"",'Data Source'!S409="A+"),IF('Data Source'!X409&gt;=5,"A+",IF('Data Source'!X409&gt;=4,"A",IF('Data Source'!X409&gt;=3.5,"A-",IF('Data Source'!X409&gt;=3,"B",IF('Data Source'!X409&gt;=2,"C",IF('Data Source'!X409&gt;=1,"D","F")))))),"")</f>
        <v/>
      </c>
      <c r="G409" s="3">
        <f>IF(AND('Data Source'!B409&lt;&gt;"",'Data Source'!S409="A+"),IF('Data Source'!Y409&gt;=5,"A+",IF('Data Source'!Y409&gt;=4,"A",IF('Data Source'!Y409&gt;=3.5,"A-",IF('Data Source'!Y409&gt;=3,"B",IF('Data Source'!Y409&gt;=2,"C",IF('Data Source'!Y409&gt;=1,"D","F")))))),"")</f>
        <v/>
      </c>
      <c r="H409" s="3">
        <f>IF(AND('Data Source'!B409&lt;&gt;"",'Data Source'!S409="A+"),IF('Data Source'!Z409&gt;=5,"A+",IF('Data Source'!Z409&gt;=4,"A",IF('Data Source'!Z409&gt;=3.5,"A-",IF('Data Source'!Z409&gt;=3,"B",IF('Data Source'!Z409&gt;=2,"C",IF('Data Source'!Z409&gt;=1,"D","F")))))),"")</f>
        <v/>
      </c>
      <c r="I409" s="3">
        <f>IF(AND('Data Source'!B409&lt;&gt;"",'Data Source'!S409="A+"),IF('Data Source'!AA409&gt;=5,"A+",IF('Data Source'!AA409&gt;=4,"A",IF('Data Source'!AA409&gt;=3.5,"A-",IF('Data Source'!AA409&gt;=3,"B",IF('Data Source'!AA409&gt;=2,"C",IF('Data Source'!AA409&gt;=1,"D","F")))))),"")</f>
        <v/>
      </c>
      <c r="J409" s="3">
        <f>IF(AND('Data Source'!B409&lt;&gt;"",'Data Source'!S409="A+"),IF('Data Source'!AB409&gt;=5,"A+",IF('Data Source'!AB409&gt;=4,"A",IF('Data Source'!AB409&gt;=3.5,"A-",IF('Data Source'!AB409&gt;=3,"B",IF('Data Source'!AB409&gt;=2,"C",IF('Data Source'!AB409&gt;=1,"D","F")))))),"")</f>
        <v/>
      </c>
      <c r="K409" s="3">
        <f>IF(AND('Data Source'!B409&lt;&gt;"",'Data Source'!S409="A+"),IF('Data Source'!AC409&gt;=5,"A+",IF('Data Source'!AC409&gt;=4,"A",IF('Data Source'!AC409&gt;=3.5,"A-",IF('Data Source'!AC409&gt;=3,"B",IF('Data Source'!AC409&gt;=2,"C",IF('Data Source'!AC409&gt;=1,"D","F")))))),"")</f>
        <v/>
      </c>
      <c r="L409" s="3">
        <f>IF(AND('Data Source'!B409&lt;&gt;"",'Data Source'!S409="A+"),IF('Data Source'!AD409&gt;=5,"A+",IF('Data Source'!AD409&gt;=4,"A",IF('Data Source'!AD409&gt;=3.5,"A-",IF('Data Source'!AD409&gt;=3,"B",IF('Data Source'!AD409&gt;=2,"C",IF('Data Source'!AD409&gt;=1,"D","F")))))),"")</f>
        <v/>
      </c>
      <c r="M409" s="3">
        <f>IF(AND('Data Source'!B409&lt;&gt;"",'Data Source'!S409="A+"),IF('Data Source'!AE409&gt;=5,"A+",IF('Data Source'!AE409&gt;=4,"A",IF('Data Source'!AE409&gt;=3.5,"A-",IF('Data Source'!AE409&gt;=3,"B",IF('Data Source'!AE409&gt;=2,"C",IF('Data Source'!AE409&gt;=1,"D","F")))))),"")</f>
        <v/>
      </c>
      <c r="N409" s="3">
        <f>IF(AND('Data Source'!B409&lt;&gt;"",'Data Source'!S409="A+"),IF('Data Source'!AF409&gt;=5,"A+",IF('Data Source'!AF409&gt;=4,"A",IF('Data Source'!AF409&gt;=3.5,"A-",IF('Data Source'!AF409&gt;=3,"B",IF('Data Source'!AF409&gt;=2,"C",IF('Data Source'!AF409&gt;=1,"D","F")))))),"")</f>
        <v/>
      </c>
      <c r="O409" s="3">
        <f>IF(AND('Data Source'!B409&lt;&gt;"",'Data Source'!S409="A+"),IF('Data Source'!AG409&gt;=5,"A+",IF('Data Source'!AG409&gt;=4,"A",IF('Data Source'!AG409&gt;=3.5,"A-",IF('Data Source'!AG409&gt;=3,"B",IF('Data Source'!AG409&gt;=2,"C",IF('Data Source'!AG409&gt;=1,"D","F")))))),"")</f>
        <v/>
      </c>
      <c r="P409" s="5">
        <f>IF(AND('Data Source'!B409&lt;&gt;"",'Data Source'!S409="A+"),'Data Source'!R409,"")</f>
        <v/>
      </c>
      <c r="Q409" s="3">
        <f>IF(AND('Data Source'!B409&lt;&gt;"",'Data Source'!S409="A+"),'Data Source'!S409,"")</f>
        <v/>
      </c>
    </row>
    <row r="410">
      <c r="A410" s="3">
        <f>IF(AND('Data Source'!B410&lt;&gt;"",'Data Source'!S410="A+"),COUNTIF('Data Source'!$S$3:S410,"A+"),"")</f>
        <v/>
      </c>
      <c r="B410">
        <f>IF(AND('Data Source'!B410&lt;&gt;"",'Data Source'!S410="A+"),'Data Source'!B410,"")</f>
        <v/>
      </c>
      <c r="C410" s="3">
        <f>IF(AND('Data Source'!B410&lt;&gt;"",'Data Source'!S410="A+"),IF('Data Source'!U410&gt;=5,"A+",IF('Data Source'!U410&gt;=4,"A",IF('Data Source'!U410&gt;=3.5,"A-",IF('Data Source'!U410&gt;=3,"B",IF('Data Source'!U410&gt;=2,"C",IF('Data Source'!U410&gt;=1,"D","F")))))),"")</f>
        <v/>
      </c>
      <c r="D410" s="3">
        <f>IF(AND('Data Source'!B410&lt;&gt;"",'Data Source'!S410="A+"),IF('Data Source'!V410&gt;=5,"A+",IF('Data Source'!V410&gt;=4,"A",IF('Data Source'!V410&gt;=3.5,"A-",IF('Data Source'!V410&gt;=3,"B",IF('Data Source'!V410&gt;=2,"C",IF('Data Source'!V410&gt;=1,"D","F")))))),"")</f>
        <v/>
      </c>
      <c r="E410" s="3">
        <f>IF(AND('Data Source'!B410&lt;&gt;"",'Data Source'!S410="A+"),IF('Data Source'!W410&gt;=5,"A+",IF('Data Source'!W410&gt;=4,"A",IF('Data Source'!W410&gt;=3.5,"A-",IF('Data Source'!W410&gt;=3,"B",IF('Data Source'!W410&gt;=2,"C",IF('Data Source'!W410&gt;=1,"D","F")))))),"")</f>
        <v/>
      </c>
      <c r="F410" s="3">
        <f>IF(AND('Data Source'!B410&lt;&gt;"",'Data Source'!S410="A+"),IF('Data Source'!X410&gt;=5,"A+",IF('Data Source'!X410&gt;=4,"A",IF('Data Source'!X410&gt;=3.5,"A-",IF('Data Source'!X410&gt;=3,"B",IF('Data Source'!X410&gt;=2,"C",IF('Data Source'!X410&gt;=1,"D","F")))))),"")</f>
        <v/>
      </c>
      <c r="G410" s="3">
        <f>IF(AND('Data Source'!B410&lt;&gt;"",'Data Source'!S410="A+"),IF('Data Source'!Y410&gt;=5,"A+",IF('Data Source'!Y410&gt;=4,"A",IF('Data Source'!Y410&gt;=3.5,"A-",IF('Data Source'!Y410&gt;=3,"B",IF('Data Source'!Y410&gt;=2,"C",IF('Data Source'!Y410&gt;=1,"D","F")))))),"")</f>
        <v/>
      </c>
      <c r="H410" s="3">
        <f>IF(AND('Data Source'!B410&lt;&gt;"",'Data Source'!S410="A+"),IF('Data Source'!Z410&gt;=5,"A+",IF('Data Source'!Z410&gt;=4,"A",IF('Data Source'!Z410&gt;=3.5,"A-",IF('Data Source'!Z410&gt;=3,"B",IF('Data Source'!Z410&gt;=2,"C",IF('Data Source'!Z410&gt;=1,"D","F")))))),"")</f>
        <v/>
      </c>
      <c r="I410" s="3">
        <f>IF(AND('Data Source'!B410&lt;&gt;"",'Data Source'!S410="A+"),IF('Data Source'!AA410&gt;=5,"A+",IF('Data Source'!AA410&gt;=4,"A",IF('Data Source'!AA410&gt;=3.5,"A-",IF('Data Source'!AA410&gt;=3,"B",IF('Data Source'!AA410&gt;=2,"C",IF('Data Source'!AA410&gt;=1,"D","F")))))),"")</f>
        <v/>
      </c>
      <c r="J410" s="3">
        <f>IF(AND('Data Source'!B410&lt;&gt;"",'Data Source'!S410="A+"),IF('Data Source'!AB410&gt;=5,"A+",IF('Data Source'!AB410&gt;=4,"A",IF('Data Source'!AB410&gt;=3.5,"A-",IF('Data Source'!AB410&gt;=3,"B",IF('Data Source'!AB410&gt;=2,"C",IF('Data Source'!AB410&gt;=1,"D","F")))))),"")</f>
        <v/>
      </c>
      <c r="K410" s="3">
        <f>IF(AND('Data Source'!B410&lt;&gt;"",'Data Source'!S410="A+"),IF('Data Source'!AC410&gt;=5,"A+",IF('Data Source'!AC410&gt;=4,"A",IF('Data Source'!AC410&gt;=3.5,"A-",IF('Data Source'!AC410&gt;=3,"B",IF('Data Source'!AC410&gt;=2,"C",IF('Data Source'!AC410&gt;=1,"D","F")))))),"")</f>
        <v/>
      </c>
      <c r="L410" s="3">
        <f>IF(AND('Data Source'!B410&lt;&gt;"",'Data Source'!S410="A+"),IF('Data Source'!AD410&gt;=5,"A+",IF('Data Source'!AD410&gt;=4,"A",IF('Data Source'!AD410&gt;=3.5,"A-",IF('Data Source'!AD410&gt;=3,"B",IF('Data Source'!AD410&gt;=2,"C",IF('Data Source'!AD410&gt;=1,"D","F")))))),"")</f>
        <v/>
      </c>
      <c r="M410" s="3">
        <f>IF(AND('Data Source'!B410&lt;&gt;"",'Data Source'!S410="A+"),IF('Data Source'!AE410&gt;=5,"A+",IF('Data Source'!AE410&gt;=4,"A",IF('Data Source'!AE410&gt;=3.5,"A-",IF('Data Source'!AE410&gt;=3,"B",IF('Data Source'!AE410&gt;=2,"C",IF('Data Source'!AE410&gt;=1,"D","F")))))),"")</f>
        <v/>
      </c>
      <c r="N410" s="3">
        <f>IF(AND('Data Source'!B410&lt;&gt;"",'Data Source'!S410="A+"),IF('Data Source'!AF410&gt;=5,"A+",IF('Data Source'!AF410&gt;=4,"A",IF('Data Source'!AF410&gt;=3.5,"A-",IF('Data Source'!AF410&gt;=3,"B",IF('Data Source'!AF410&gt;=2,"C",IF('Data Source'!AF410&gt;=1,"D","F")))))),"")</f>
        <v/>
      </c>
      <c r="O410" s="3">
        <f>IF(AND('Data Source'!B410&lt;&gt;"",'Data Source'!S410="A+"),IF('Data Source'!AG410&gt;=5,"A+",IF('Data Source'!AG410&gt;=4,"A",IF('Data Source'!AG410&gt;=3.5,"A-",IF('Data Source'!AG410&gt;=3,"B",IF('Data Source'!AG410&gt;=2,"C",IF('Data Source'!AG410&gt;=1,"D","F")))))),"")</f>
        <v/>
      </c>
      <c r="P410" s="5">
        <f>IF(AND('Data Source'!B410&lt;&gt;"",'Data Source'!S410="A+"),'Data Source'!R410,"")</f>
        <v/>
      </c>
      <c r="Q410" s="3">
        <f>IF(AND('Data Source'!B410&lt;&gt;"",'Data Source'!S410="A+"),'Data Source'!S410,"")</f>
        <v/>
      </c>
    </row>
    <row r="411">
      <c r="A411" s="3">
        <f>IF(AND('Data Source'!B411&lt;&gt;"",'Data Source'!S411="A+"),COUNTIF('Data Source'!$S$3:S411,"A+"),"")</f>
        <v/>
      </c>
      <c r="B411">
        <f>IF(AND('Data Source'!B411&lt;&gt;"",'Data Source'!S411="A+"),'Data Source'!B411,"")</f>
        <v/>
      </c>
      <c r="C411" s="3">
        <f>IF(AND('Data Source'!B411&lt;&gt;"",'Data Source'!S411="A+"),IF('Data Source'!U411&gt;=5,"A+",IF('Data Source'!U411&gt;=4,"A",IF('Data Source'!U411&gt;=3.5,"A-",IF('Data Source'!U411&gt;=3,"B",IF('Data Source'!U411&gt;=2,"C",IF('Data Source'!U411&gt;=1,"D","F")))))),"")</f>
        <v/>
      </c>
      <c r="D411" s="3">
        <f>IF(AND('Data Source'!B411&lt;&gt;"",'Data Source'!S411="A+"),IF('Data Source'!V411&gt;=5,"A+",IF('Data Source'!V411&gt;=4,"A",IF('Data Source'!V411&gt;=3.5,"A-",IF('Data Source'!V411&gt;=3,"B",IF('Data Source'!V411&gt;=2,"C",IF('Data Source'!V411&gt;=1,"D","F")))))),"")</f>
        <v/>
      </c>
      <c r="E411" s="3">
        <f>IF(AND('Data Source'!B411&lt;&gt;"",'Data Source'!S411="A+"),IF('Data Source'!W411&gt;=5,"A+",IF('Data Source'!W411&gt;=4,"A",IF('Data Source'!W411&gt;=3.5,"A-",IF('Data Source'!W411&gt;=3,"B",IF('Data Source'!W411&gt;=2,"C",IF('Data Source'!W411&gt;=1,"D","F")))))),"")</f>
        <v/>
      </c>
      <c r="F411" s="3">
        <f>IF(AND('Data Source'!B411&lt;&gt;"",'Data Source'!S411="A+"),IF('Data Source'!X411&gt;=5,"A+",IF('Data Source'!X411&gt;=4,"A",IF('Data Source'!X411&gt;=3.5,"A-",IF('Data Source'!X411&gt;=3,"B",IF('Data Source'!X411&gt;=2,"C",IF('Data Source'!X411&gt;=1,"D","F")))))),"")</f>
        <v/>
      </c>
      <c r="G411" s="3">
        <f>IF(AND('Data Source'!B411&lt;&gt;"",'Data Source'!S411="A+"),IF('Data Source'!Y411&gt;=5,"A+",IF('Data Source'!Y411&gt;=4,"A",IF('Data Source'!Y411&gt;=3.5,"A-",IF('Data Source'!Y411&gt;=3,"B",IF('Data Source'!Y411&gt;=2,"C",IF('Data Source'!Y411&gt;=1,"D","F")))))),"")</f>
        <v/>
      </c>
      <c r="H411" s="3">
        <f>IF(AND('Data Source'!B411&lt;&gt;"",'Data Source'!S411="A+"),IF('Data Source'!Z411&gt;=5,"A+",IF('Data Source'!Z411&gt;=4,"A",IF('Data Source'!Z411&gt;=3.5,"A-",IF('Data Source'!Z411&gt;=3,"B",IF('Data Source'!Z411&gt;=2,"C",IF('Data Source'!Z411&gt;=1,"D","F")))))),"")</f>
        <v/>
      </c>
      <c r="I411" s="3">
        <f>IF(AND('Data Source'!B411&lt;&gt;"",'Data Source'!S411="A+"),IF('Data Source'!AA411&gt;=5,"A+",IF('Data Source'!AA411&gt;=4,"A",IF('Data Source'!AA411&gt;=3.5,"A-",IF('Data Source'!AA411&gt;=3,"B",IF('Data Source'!AA411&gt;=2,"C",IF('Data Source'!AA411&gt;=1,"D","F")))))),"")</f>
        <v/>
      </c>
      <c r="J411" s="3">
        <f>IF(AND('Data Source'!B411&lt;&gt;"",'Data Source'!S411="A+"),IF('Data Source'!AB411&gt;=5,"A+",IF('Data Source'!AB411&gt;=4,"A",IF('Data Source'!AB411&gt;=3.5,"A-",IF('Data Source'!AB411&gt;=3,"B",IF('Data Source'!AB411&gt;=2,"C",IF('Data Source'!AB411&gt;=1,"D","F")))))),"")</f>
        <v/>
      </c>
      <c r="K411" s="3">
        <f>IF(AND('Data Source'!B411&lt;&gt;"",'Data Source'!S411="A+"),IF('Data Source'!AC411&gt;=5,"A+",IF('Data Source'!AC411&gt;=4,"A",IF('Data Source'!AC411&gt;=3.5,"A-",IF('Data Source'!AC411&gt;=3,"B",IF('Data Source'!AC411&gt;=2,"C",IF('Data Source'!AC411&gt;=1,"D","F")))))),"")</f>
        <v/>
      </c>
      <c r="L411" s="3">
        <f>IF(AND('Data Source'!B411&lt;&gt;"",'Data Source'!S411="A+"),IF('Data Source'!AD411&gt;=5,"A+",IF('Data Source'!AD411&gt;=4,"A",IF('Data Source'!AD411&gt;=3.5,"A-",IF('Data Source'!AD411&gt;=3,"B",IF('Data Source'!AD411&gt;=2,"C",IF('Data Source'!AD411&gt;=1,"D","F")))))),"")</f>
        <v/>
      </c>
      <c r="M411" s="3">
        <f>IF(AND('Data Source'!B411&lt;&gt;"",'Data Source'!S411="A+"),IF('Data Source'!AE411&gt;=5,"A+",IF('Data Source'!AE411&gt;=4,"A",IF('Data Source'!AE411&gt;=3.5,"A-",IF('Data Source'!AE411&gt;=3,"B",IF('Data Source'!AE411&gt;=2,"C",IF('Data Source'!AE411&gt;=1,"D","F")))))),"")</f>
        <v/>
      </c>
      <c r="N411" s="3">
        <f>IF(AND('Data Source'!B411&lt;&gt;"",'Data Source'!S411="A+"),IF('Data Source'!AF411&gt;=5,"A+",IF('Data Source'!AF411&gt;=4,"A",IF('Data Source'!AF411&gt;=3.5,"A-",IF('Data Source'!AF411&gt;=3,"B",IF('Data Source'!AF411&gt;=2,"C",IF('Data Source'!AF411&gt;=1,"D","F")))))),"")</f>
        <v/>
      </c>
      <c r="O411" s="3">
        <f>IF(AND('Data Source'!B411&lt;&gt;"",'Data Source'!S411="A+"),IF('Data Source'!AG411&gt;=5,"A+",IF('Data Source'!AG411&gt;=4,"A",IF('Data Source'!AG411&gt;=3.5,"A-",IF('Data Source'!AG411&gt;=3,"B",IF('Data Source'!AG411&gt;=2,"C",IF('Data Source'!AG411&gt;=1,"D","F")))))),"")</f>
        <v/>
      </c>
      <c r="P411" s="5">
        <f>IF(AND('Data Source'!B411&lt;&gt;"",'Data Source'!S411="A+"),'Data Source'!R411,"")</f>
        <v/>
      </c>
      <c r="Q411" s="3">
        <f>IF(AND('Data Source'!B411&lt;&gt;"",'Data Source'!S411="A+"),'Data Source'!S411,"")</f>
        <v/>
      </c>
    </row>
    <row r="412">
      <c r="A412" s="3">
        <f>IF(AND('Data Source'!B412&lt;&gt;"",'Data Source'!S412="A+"),COUNTIF('Data Source'!$S$3:S412,"A+"),"")</f>
        <v/>
      </c>
      <c r="B412">
        <f>IF(AND('Data Source'!B412&lt;&gt;"",'Data Source'!S412="A+"),'Data Source'!B412,"")</f>
        <v/>
      </c>
      <c r="C412" s="3">
        <f>IF(AND('Data Source'!B412&lt;&gt;"",'Data Source'!S412="A+"),IF('Data Source'!U412&gt;=5,"A+",IF('Data Source'!U412&gt;=4,"A",IF('Data Source'!U412&gt;=3.5,"A-",IF('Data Source'!U412&gt;=3,"B",IF('Data Source'!U412&gt;=2,"C",IF('Data Source'!U412&gt;=1,"D","F")))))),"")</f>
        <v/>
      </c>
      <c r="D412" s="3">
        <f>IF(AND('Data Source'!B412&lt;&gt;"",'Data Source'!S412="A+"),IF('Data Source'!V412&gt;=5,"A+",IF('Data Source'!V412&gt;=4,"A",IF('Data Source'!V412&gt;=3.5,"A-",IF('Data Source'!V412&gt;=3,"B",IF('Data Source'!V412&gt;=2,"C",IF('Data Source'!V412&gt;=1,"D","F")))))),"")</f>
        <v/>
      </c>
      <c r="E412" s="3">
        <f>IF(AND('Data Source'!B412&lt;&gt;"",'Data Source'!S412="A+"),IF('Data Source'!W412&gt;=5,"A+",IF('Data Source'!W412&gt;=4,"A",IF('Data Source'!W412&gt;=3.5,"A-",IF('Data Source'!W412&gt;=3,"B",IF('Data Source'!W412&gt;=2,"C",IF('Data Source'!W412&gt;=1,"D","F")))))),"")</f>
        <v/>
      </c>
      <c r="F412" s="3">
        <f>IF(AND('Data Source'!B412&lt;&gt;"",'Data Source'!S412="A+"),IF('Data Source'!X412&gt;=5,"A+",IF('Data Source'!X412&gt;=4,"A",IF('Data Source'!X412&gt;=3.5,"A-",IF('Data Source'!X412&gt;=3,"B",IF('Data Source'!X412&gt;=2,"C",IF('Data Source'!X412&gt;=1,"D","F")))))),"")</f>
        <v/>
      </c>
      <c r="G412" s="3">
        <f>IF(AND('Data Source'!B412&lt;&gt;"",'Data Source'!S412="A+"),IF('Data Source'!Y412&gt;=5,"A+",IF('Data Source'!Y412&gt;=4,"A",IF('Data Source'!Y412&gt;=3.5,"A-",IF('Data Source'!Y412&gt;=3,"B",IF('Data Source'!Y412&gt;=2,"C",IF('Data Source'!Y412&gt;=1,"D","F")))))),"")</f>
        <v/>
      </c>
      <c r="H412" s="3">
        <f>IF(AND('Data Source'!B412&lt;&gt;"",'Data Source'!S412="A+"),IF('Data Source'!Z412&gt;=5,"A+",IF('Data Source'!Z412&gt;=4,"A",IF('Data Source'!Z412&gt;=3.5,"A-",IF('Data Source'!Z412&gt;=3,"B",IF('Data Source'!Z412&gt;=2,"C",IF('Data Source'!Z412&gt;=1,"D","F")))))),"")</f>
        <v/>
      </c>
      <c r="I412" s="3">
        <f>IF(AND('Data Source'!B412&lt;&gt;"",'Data Source'!S412="A+"),IF('Data Source'!AA412&gt;=5,"A+",IF('Data Source'!AA412&gt;=4,"A",IF('Data Source'!AA412&gt;=3.5,"A-",IF('Data Source'!AA412&gt;=3,"B",IF('Data Source'!AA412&gt;=2,"C",IF('Data Source'!AA412&gt;=1,"D","F")))))),"")</f>
        <v/>
      </c>
      <c r="J412" s="3">
        <f>IF(AND('Data Source'!B412&lt;&gt;"",'Data Source'!S412="A+"),IF('Data Source'!AB412&gt;=5,"A+",IF('Data Source'!AB412&gt;=4,"A",IF('Data Source'!AB412&gt;=3.5,"A-",IF('Data Source'!AB412&gt;=3,"B",IF('Data Source'!AB412&gt;=2,"C",IF('Data Source'!AB412&gt;=1,"D","F")))))),"")</f>
        <v/>
      </c>
      <c r="K412" s="3">
        <f>IF(AND('Data Source'!B412&lt;&gt;"",'Data Source'!S412="A+"),IF('Data Source'!AC412&gt;=5,"A+",IF('Data Source'!AC412&gt;=4,"A",IF('Data Source'!AC412&gt;=3.5,"A-",IF('Data Source'!AC412&gt;=3,"B",IF('Data Source'!AC412&gt;=2,"C",IF('Data Source'!AC412&gt;=1,"D","F")))))),"")</f>
        <v/>
      </c>
      <c r="L412" s="3">
        <f>IF(AND('Data Source'!B412&lt;&gt;"",'Data Source'!S412="A+"),IF('Data Source'!AD412&gt;=5,"A+",IF('Data Source'!AD412&gt;=4,"A",IF('Data Source'!AD412&gt;=3.5,"A-",IF('Data Source'!AD412&gt;=3,"B",IF('Data Source'!AD412&gt;=2,"C",IF('Data Source'!AD412&gt;=1,"D","F")))))),"")</f>
        <v/>
      </c>
      <c r="M412" s="3">
        <f>IF(AND('Data Source'!B412&lt;&gt;"",'Data Source'!S412="A+"),IF('Data Source'!AE412&gt;=5,"A+",IF('Data Source'!AE412&gt;=4,"A",IF('Data Source'!AE412&gt;=3.5,"A-",IF('Data Source'!AE412&gt;=3,"B",IF('Data Source'!AE412&gt;=2,"C",IF('Data Source'!AE412&gt;=1,"D","F")))))),"")</f>
        <v/>
      </c>
      <c r="N412" s="3">
        <f>IF(AND('Data Source'!B412&lt;&gt;"",'Data Source'!S412="A+"),IF('Data Source'!AF412&gt;=5,"A+",IF('Data Source'!AF412&gt;=4,"A",IF('Data Source'!AF412&gt;=3.5,"A-",IF('Data Source'!AF412&gt;=3,"B",IF('Data Source'!AF412&gt;=2,"C",IF('Data Source'!AF412&gt;=1,"D","F")))))),"")</f>
        <v/>
      </c>
      <c r="O412" s="3">
        <f>IF(AND('Data Source'!B412&lt;&gt;"",'Data Source'!S412="A+"),IF('Data Source'!AG412&gt;=5,"A+",IF('Data Source'!AG412&gt;=4,"A",IF('Data Source'!AG412&gt;=3.5,"A-",IF('Data Source'!AG412&gt;=3,"B",IF('Data Source'!AG412&gt;=2,"C",IF('Data Source'!AG412&gt;=1,"D","F")))))),"")</f>
        <v/>
      </c>
      <c r="P412" s="5">
        <f>IF(AND('Data Source'!B412&lt;&gt;"",'Data Source'!S412="A+"),'Data Source'!R412,"")</f>
        <v/>
      </c>
      <c r="Q412" s="3">
        <f>IF(AND('Data Source'!B412&lt;&gt;"",'Data Source'!S412="A+"),'Data Source'!S412,"")</f>
        <v/>
      </c>
    </row>
    <row r="413">
      <c r="A413" s="3">
        <f>IF(AND('Data Source'!B413&lt;&gt;"",'Data Source'!S413="A+"),COUNTIF('Data Source'!$S$3:S413,"A+"),"")</f>
        <v/>
      </c>
      <c r="B413">
        <f>IF(AND('Data Source'!B413&lt;&gt;"",'Data Source'!S413="A+"),'Data Source'!B413,"")</f>
        <v/>
      </c>
      <c r="C413" s="3">
        <f>IF(AND('Data Source'!B413&lt;&gt;"",'Data Source'!S413="A+"),IF('Data Source'!U413&gt;=5,"A+",IF('Data Source'!U413&gt;=4,"A",IF('Data Source'!U413&gt;=3.5,"A-",IF('Data Source'!U413&gt;=3,"B",IF('Data Source'!U413&gt;=2,"C",IF('Data Source'!U413&gt;=1,"D","F")))))),"")</f>
        <v/>
      </c>
      <c r="D413" s="3">
        <f>IF(AND('Data Source'!B413&lt;&gt;"",'Data Source'!S413="A+"),IF('Data Source'!V413&gt;=5,"A+",IF('Data Source'!V413&gt;=4,"A",IF('Data Source'!V413&gt;=3.5,"A-",IF('Data Source'!V413&gt;=3,"B",IF('Data Source'!V413&gt;=2,"C",IF('Data Source'!V413&gt;=1,"D","F")))))),"")</f>
        <v/>
      </c>
      <c r="E413" s="3">
        <f>IF(AND('Data Source'!B413&lt;&gt;"",'Data Source'!S413="A+"),IF('Data Source'!W413&gt;=5,"A+",IF('Data Source'!W413&gt;=4,"A",IF('Data Source'!W413&gt;=3.5,"A-",IF('Data Source'!W413&gt;=3,"B",IF('Data Source'!W413&gt;=2,"C",IF('Data Source'!W413&gt;=1,"D","F")))))),"")</f>
        <v/>
      </c>
      <c r="F413" s="3">
        <f>IF(AND('Data Source'!B413&lt;&gt;"",'Data Source'!S413="A+"),IF('Data Source'!X413&gt;=5,"A+",IF('Data Source'!X413&gt;=4,"A",IF('Data Source'!X413&gt;=3.5,"A-",IF('Data Source'!X413&gt;=3,"B",IF('Data Source'!X413&gt;=2,"C",IF('Data Source'!X413&gt;=1,"D","F")))))),"")</f>
        <v/>
      </c>
      <c r="G413" s="3">
        <f>IF(AND('Data Source'!B413&lt;&gt;"",'Data Source'!S413="A+"),IF('Data Source'!Y413&gt;=5,"A+",IF('Data Source'!Y413&gt;=4,"A",IF('Data Source'!Y413&gt;=3.5,"A-",IF('Data Source'!Y413&gt;=3,"B",IF('Data Source'!Y413&gt;=2,"C",IF('Data Source'!Y413&gt;=1,"D","F")))))),"")</f>
        <v/>
      </c>
      <c r="H413" s="3">
        <f>IF(AND('Data Source'!B413&lt;&gt;"",'Data Source'!S413="A+"),IF('Data Source'!Z413&gt;=5,"A+",IF('Data Source'!Z413&gt;=4,"A",IF('Data Source'!Z413&gt;=3.5,"A-",IF('Data Source'!Z413&gt;=3,"B",IF('Data Source'!Z413&gt;=2,"C",IF('Data Source'!Z413&gt;=1,"D","F")))))),"")</f>
        <v/>
      </c>
      <c r="I413" s="3">
        <f>IF(AND('Data Source'!B413&lt;&gt;"",'Data Source'!S413="A+"),IF('Data Source'!AA413&gt;=5,"A+",IF('Data Source'!AA413&gt;=4,"A",IF('Data Source'!AA413&gt;=3.5,"A-",IF('Data Source'!AA413&gt;=3,"B",IF('Data Source'!AA413&gt;=2,"C",IF('Data Source'!AA413&gt;=1,"D","F")))))),"")</f>
        <v/>
      </c>
      <c r="J413" s="3">
        <f>IF(AND('Data Source'!B413&lt;&gt;"",'Data Source'!S413="A+"),IF('Data Source'!AB413&gt;=5,"A+",IF('Data Source'!AB413&gt;=4,"A",IF('Data Source'!AB413&gt;=3.5,"A-",IF('Data Source'!AB413&gt;=3,"B",IF('Data Source'!AB413&gt;=2,"C",IF('Data Source'!AB413&gt;=1,"D","F")))))),"")</f>
        <v/>
      </c>
      <c r="K413" s="3">
        <f>IF(AND('Data Source'!B413&lt;&gt;"",'Data Source'!S413="A+"),IF('Data Source'!AC413&gt;=5,"A+",IF('Data Source'!AC413&gt;=4,"A",IF('Data Source'!AC413&gt;=3.5,"A-",IF('Data Source'!AC413&gt;=3,"B",IF('Data Source'!AC413&gt;=2,"C",IF('Data Source'!AC413&gt;=1,"D","F")))))),"")</f>
        <v/>
      </c>
      <c r="L413" s="3">
        <f>IF(AND('Data Source'!B413&lt;&gt;"",'Data Source'!S413="A+"),IF('Data Source'!AD413&gt;=5,"A+",IF('Data Source'!AD413&gt;=4,"A",IF('Data Source'!AD413&gt;=3.5,"A-",IF('Data Source'!AD413&gt;=3,"B",IF('Data Source'!AD413&gt;=2,"C",IF('Data Source'!AD413&gt;=1,"D","F")))))),"")</f>
        <v/>
      </c>
      <c r="M413" s="3">
        <f>IF(AND('Data Source'!B413&lt;&gt;"",'Data Source'!S413="A+"),IF('Data Source'!AE413&gt;=5,"A+",IF('Data Source'!AE413&gt;=4,"A",IF('Data Source'!AE413&gt;=3.5,"A-",IF('Data Source'!AE413&gt;=3,"B",IF('Data Source'!AE413&gt;=2,"C",IF('Data Source'!AE413&gt;=1,"D","F")))))),"")</f>
        <v/>
      </c>
      <c r="N413" s="3">
        <f>IF(AND('Data Source'!B413&lt;&gt;"",'Data Source'!S413="A+"),IF('Data Source'!AF413&gt;=5,"A+",IF('Data Source'!AF413&gt;=4,"A",IF('Data Source'!AF413&gt;=3.5,"A-",IF('Data Source'!AF413&gt;=3,"B",IF('Data Source'!AF413&gt;=2,"C",IF('Data Source'!AF413&gt;=1,"D","F")))))),"")</f>
        <v/>
      </c>
      <c r="O413" s="3">
        <f>IF(AND('Data Source'!B413&lt;&gt;"",'Data Source'!S413="A+"),IF('Data Source'!AG413&gt;=5,"A+",IF('Data Source'!AG413&gt;=4,"A",IF('Data Source'!AG413&gt;=3.5,"A-",IF('Data Source'!AG413&gt;=3,"B",IF('Data Source'!AG413&gt;=2,"C",IF('Data Source'!AG413&gt;=1,"D","F")))))),"")</f>
        <v/>
      </c>
      <c r="P413" s="5">
        <f>IF(AND('Data Source'!B413&lt;&gt;"",'Data Source'!S413="A+"),'Data Source'!R413,"")</f>
        <v/>
      </c>
      <c r="Q413" s="3">
        <f>IF(AND('Data Source'!B413&lt;&gt;"",'Data Source'!S413="A+"),'Data Source'!S413,"")</f>
        <v/>
      </c>
    </row>
    <row r="414">
      <c r="A414" s="3">
        <f>IF(AND('Data Source'!B414&lt;&gt;"",'Data Source'!S414="A+"),COUNTIF('Data Source'!$S$3:S414,"A+"),"")</f>
        <v/>
      </c>
      <c r="B414">
        <f>IF(AND('Data Source'!B414&lt;&gt;"",'Data Source'!S414="A+"),'Data Source'!B414,"")</f>
        <v/>
      </c>
      <c r="C414" s="3">
        <f>IF(AND('Data Source'!B414&lt;&gt;"",'Data Source'!S414="A+"),IF('Data Source'!U414&gt;=5,"A+",IF('Data Source'!U414&gt;=4,"A",IF('Data Source'!U414&gt;=3.5,"A-",IF('Data Source'!U414&gt;=3,"B",IF('Data Source'!U414&gt;=2,"C",IF('Data Source'!U414&gt;=1,"D","F")))))),"")</f>
        <v/>
      </c>
      <c r="D414" s="3">
        <f>IF(AND('Data Source'!B414&lt;&gt;"",'Data Source'!S414="A+"),IF('Data Source'!V414&gt;=5,"A+",IF('Data Source'!V414&gt;=4,"A",IF('Data Source'!V414&gt;=3.5,"A-",IF('Data Source'!V414&gt;=3,"B",IF('Data Source'!V414&gt;=2,"C",IF('Data Source'!V414&gt;=1,"D","F")))))),"")</f>
        <v/>
      </c>
      <c r="E414" s="3">
        <f>IF(AND('Data Source'!B414&lt;&gt;"",'Data Source'!S414="A+"),IF('Data Source'!W414&gt;=5,"A+",IF('Data Source'!W414&gt;=4,"A",IF('Data Source'!W414&gt;=3.5,"A-",IF('Data Source'!W414&gt;=3,"B",IF('Data Source'!W414&gt;=2,"C",IF('Data Source'!W414&gt;=1,"D","F")))))),"")</f>
        <v/>
      </c>
      <c r="F414" s="3">
        <f>IF(AND('Data Source'!B414&lt;&gt;"",'Data Source'!S414="A+"),IF('Data Source'!X414&gt;=5,"A+",IF('Data Source'!X414&gt;=4,"A",IF('Data Source'!X414&gt;=3.5,"A-",IF('Data Source'!X414&gt;=3,"B",IF('Data Source'!X414&gt;=2,"C",IF('Data Source'!X414&gt;=1,"D","F")))))),"")</f>
        <v/>
      </c>
      <c r="G414" s="3">
        <f>IF(AND('Data Source'!B414&lt;&gt;"",'Data Source'!S414="A+"),IF('Data Source'!Y414&gt;=5,"A+",IF('Data Source'!Y414&gt;=4,"A",IF('Data Source'!Y414&gt;=3.5,"A-",IF('Data Source'!Y414&gt;=3,"B",IF('Data Source'!Y414&gt;=2,"C",IF('Data Source'!Y414&gt;=1,"D","F")))))),"")</f>
        <v/>
      </c>
      <c r="H414" s="3">
        <f>IF(AND('Data Source'!B414&lt;&gt;"",'Data Source'!S414="A+"),IF('Data Source'!Z414&gt;=5,"A+",IF('Data Source'!Z414&gt;=4,"A",IF('Data Source'!Z414&gt;=3.5,"A-",IF('Data Source'!Z414&gt;=3,"B",IF('Data Source'!Z414&gt;=2,"C",IF('Data Source'!Z414&gt;=1,"D","F")))))),"")</f>
        <v/>
      </c>
      <c r="I414" s="3">
        <f>IF(AND('Data Source'!B414&lt;&gt;"",'Data Source'!S414="A+"),IF('Data Source'!AA414&gt;=5,"A+",IF('Data Source'!AA414&gt;=4,"A",IF('Data Source'!AA414&gt;=3.5,"A-",IF('Data Source'!AA414&gt;=3,"B",IF('Data Source'!AA414&gt;=2,"C",IF('Data Source'!AA414&gt;=1,"D","F")))))),"")</f>
        <v/>
      </c>
      <c r="J414" s="3">
        <f>IF(AND('Data Source'!B414&lt;&gt;"",'Data Source'!S414="A+"),IF('Data Source'!AB414&gt;=5,"A+",IF('Data Source'!AB414&gt;=4,"A",IF('Data Source'!AB414&gt;=3.5,"A-",IF('Data Source'!AB414&gt;=3,"B",IF('Data Source'!AB414&gt;=2,"C",IF('Data Source'!AB414&gt;=1,"D","F")))))),"")</f>
        <v/>
      </c>
      <c r="K414" s="3">
        <f>IF(AND('Data Source'!B414&lt;&gt;"",'Data Source'!S414="A+"),IF('Data Source'!AC414&gt;=5,"A+",IF('Data Source'!AC414&gt;=4,"A",IF('Data Source'!AC414&gt;=3.5,"A-",IF('Data Source'!AC414&gt;=3,"B",IF('Data Source'!AC414&gt;=2,"C",IF('Data Source'!AC414&gt;=1,"D","F")))))),"")</f>
        <v/>
      </c>
      <c r="L414" s="3">
        <f>IF(AND('Data Source'!B414&lt;&gt;"",'Data Source'!S414="A+"),IF('Data Source'!AD414&gt;=5,"A+",IF('Data Source'!AD414&gt;=4,"A",IF('Data Source'!AD414&gt;=3.5,"A-",IF('Data Source'!AD414&gt;=3,"B",IF('Data Source'!AD414&gt;=2,"C",IF('Data Source'!AD414&gt;=1,"D","F")))))),"")</f>
        <v/>
      </c>
      <c r="M414" s="3">
        <f>IF(AND('Data Source'!B414&lt;&gt;"",'Data Source'!S414="A+"),IF('Data Source'!AE414&gt;=5,"A+",IF('Data Source'!AE414&gt;=4,"A",IF('Data Source'!AE414&gt;=3.5,"A-",IF('Data Source'!AE414&gt;=3,"B",IF('Data Source'!AE414&gt;=2,"C",IF('Data Source'!AE414&gt;=1,"D","F")))))),"")</f>
        <v/>
      </c>
      <c r="N414" s="3">
        <f>IF(AND('Data Source'!B414&lt;&gt;"",'Data Source'!S414="A+"),IF('Data Source'!AF414&gt;=5,"A+",IF('Data Source'!AF414&gt;=4,"A",IF('Data Source'!AF414&gt;=3.5,"A-",IF('Data Source'!AF414&gt;=3,"B",IF('Data Source'!AF414&gt;=2,"C",IF('Data Source'!AF414&gt;=1,"D","F")))))),"")</f>
        <v/>
      </c>
      <c r="O414" s="3">
        <f>IF(AND('Data Source'!B414&lt;&gt;"",'Data Source'!S414="A+"),IF('Data Source'!AG414&gt;=5,"A+",IF('Data Source'!AG414&gt;=4,"A",IF('Data Source'!AG414&gt;=3.5,"A-",IF('Data Source'!AG414&gt;=3,"B",IF('Data Source'!AG414&gt;=2,"C",IF('Data Source'!AG414&gt;=1,"D","F")))))),"")</f>
        <v/>
      </c>
      <c r="P414" s="5">
        <f>IF(AND('Data Source'!B414&lt;&gt;"",'Data Source'!S414="A+"),'Data Source'!R414,"")</f>
        <v/>
      </c>
      <c r="Q414" s="3">
        <f>IF(AND('Data Source'!B414&lt;&gt;"",'Data Source'!S414="A+"),'Data Source'!S414,"")</f>
        <v/>
      </c>
    </row>
    <row r="415">
      <c r="A415" s="3">
        <f>IF(AND('Data Source'!B415&lt;&gt;"",'Data Source'!S415="A+"),COUNTIF('Data Source'!$S$3:S415,"A+"),"")</f>
        <v/>
      </c>
      <c r="B415">
        <f>IF(AND('Data Source'!B415&lt;&gt;"",'Data Source'!S415="A+"),'Data Source'!B415,"")</f>
        <v/>
      </c>
      <c r="C415" s="3">
        <f>IF(AND('Data Source'!B415&lt;&gt;"",'Data Source'!S415="A+"),IF('Data Source'!U415&gt;=5,"A+",IF('Data Source'!U415&gt;=4,"A",IF('Data Source'!U415&gt;=3.5,"A-",IF('Data Source'!U415&gt;=3,"B",IF('Data Source'!U415&gt;=2,"C",IF('Data Source'!U415&gt;=1,"D","F")))))),"")</f>
        <v/>
      </c>
      <c r="D415" s="3">
        <f>IF(AND('Data Source'!B415&lt;&gt;"",'Data Source'!S415="A+"),IF('Data Source'!V415&gt;=5,"A+",IF('Data Source'!V415&gt;=4,"A",IF('Data Source'!V415&gt;=3.5,"A-",IF('Data Source'!V415&gt;=3,"B",IF('Data Source'!V415&gt;=2,"C",IF('Data Source'!V415&gt;=1,"D","F")))))),"")</f>
        <v/>
      </c>
      <c r="E415" s="3">
        <f>IF(AND('Data Source'!B415&lt;&gt;"",'Data Source'!S415="A+"),IF('Data Source'!W415&gt;=5,"A+",IF('Data Source'!W415&gt;=4,"A",IF('Data Source'!W415&gt;=3.5,"A-",IF('Data Source'!W415&gt;=3,"B",IF('Data Source'!W415&gt;=2,"C",IF('Data Source'!W415&gt;=1,"D","F")))))),"")</f>
        <v/>
      </c>
      <c r="F415" s="3">
        <f>IF(AND('Data Source'!B415&lt;&gt;"",'Data Source'!S415="A+"),IF('Data Source'!X415&gt;=5,"A+",IF('Data Source'!X415&gt;=4,"A",IF('Data Source'!X415&gt;=3.5,"A-",IF('Data Source'!X415&gt;=3,"B",IF('Data Source'!X415&gt;=2,"C",IF('Data Source'!X415&gt;=1,"D","F")))))),"")</f>
        <v/>
      </c>
      <c r="G415" s="3">
        <f>IF(AND('Data Source'!B415&lt;&gt;"",'Data Source'!S415="A+"),IF('Data Source'!Y415&gt;=5,"A+",IF('Data Source'!Y415&gt;=4,"A",IF('Data Source'!Y415&gt;=3.5,"A-",IF('Data Source'!Y415&gt;=3,"B",IF('Data Source'!Y415&gt;=2,"C",IF('Data Source'!Y415&gt;=1,"D","F")))))),"")</f>
        <v/>
      </c>
      <c r="H415" s="3">
        <f>IF(AND('Data Source'!B415&lt;&gt;"",'Data Source'!S415="A+"),IF('Data Source'!Z415&gt;=5,"A+",IF('Data Source'!Z415&gt;=4,"A",IF('Data Source'!Z415&gt;=3.5,"A-",IF('Data Source'!Z415&gt;=3,"B",IF('Data Source'!Z415&gt;=2,"C",IF('Data Source'!Z415&gt;=1,"D","F")))))),"")</f>
        <v/>
      </c>
      <c r="I415" s="3">
        <f>IF(AND('Data Source'!B415&lt;&gt;"",'Data Source'!S415="A+"),IF('Data Source'!AA415&gt;=5,"A+",IF('Data Source'!AA415&gt;=4,"A",IF('Data Source'!AA415&gt;=3.5,"A-",IF('Data Source'!AA415&gt;=3,"B",IF('Data Source'!AA415&gt;=2,"C",IF('Data Source'!AA415&gt;=1,"D","F")))))),"")</f>
        <v/>
      </c>
      <c r="J415" s="3">
        <f>IF(AND('Data Source'!B415&lt;&gt;"",'Data Source'!S415="A+"),IF('Data Source'!AB415&gt;=5,"A+",IF('Data Source'!AB415&gt;=4,"A",IF('Data Source'!AB415&gt;=3.5,"A-",IF('Data Source'!AB415&gt;=3,"B",IF('Data Source'!AB415&gt;=2,"C",IF('Data Source'!AB415&gt;=1,"D","F")))))),"")</f>
        <v/>
      </c>
      <c r="K415" s="3">
        <f>IF(AND('Data Source'!B415&lt;&gt;"",'Data Source'!S415="A+"),IF('Data Source'!AC415&gt;=5,"A+",IF('Data Source'!AC415&gt;=4,"A",IF('Data Source'!AC415&gt;=3.5,"A-",IF('Data Source'!AC415&gt;=3,"B",IF('Data Source'!AC415&gt;=2,"C",IF('Data Source'!AC415&gt;=1,"D","F")))))),"")</f>
        <v/>
      </c>
      <c r="L415" s="3">
        <f>IF(AND('Data Source'!B415&lt;&gt;"",'Data Source'!S415="A+"),IF('Data Source'!AD415&gt;=5,"A+",IF('Data Source'!AD415&gt;=4,"A",IF('Data Source'!AD415&gt;=3.5,"A-",IF('Data Source'!AD415&gt;=3,"B",IF('Data Source'!AD415&gt;=2,"C",IF('Data Source'!AD415&gt;=1,"D","F")))))),"")</f>
        <v/>
      </c>
      <c r="M415" s="3">
        <f>IF(AND('Data Source'!B415&lt;&gt;"",'Data Source'!S415="A+"),IF('Data Source'!AE415&gt;=5,"A+",IF('Data Source'!AE415&gt;=4,"A",IF('Data Source'!AE415&gt;=3.5,"A-",IF('Data Source'!AE415&gt;=3,"B",IF('Data Source'!AE415&gt;=2,"C",IF('Data Source'!AE415&gt;=1,"D","F")))))),"")</f>
        <v/>
      </c>
      <c r="N415" s="3">
        <f>IF(AND('Data Source'!B415&lt;&gt;"",'Data Source'!S415="A+"),IF('Data Source'!AF415&gt;=5,"A+",IF('Data Source'!AF415&gt;=4,"A",IF('Data Source'!AF415&gt;=3.5,"A-",IF('Data Source'!AF415&gt;=3,"B",IF('Data Source'!AF415&gt;=2,"C",IF('Data Source'!AF415&gt;=1,"D","F")))))),"")</f>
        <v/>
      </c>
      <c r="O415" s="3">
        <f>IF(AND('Data Source'!B415&lt;&gt;"",'Data Source'!S415="A+"),IF('Data Source'!AG415&gt;=5,"A+",IF('Data Source'!AG415&gt;=4,"A",IF('Data Source'!AG415&gt;=3.5,"A-",IF('Data Source'!AG415&gt;=3,"B",IF('Data Source'!AG415&gt;=2,"C",IF('Data Source'!AG415&gt;=1,"D","F")))))),"")</f>
        <v/>
      </c>
      <c r="P415" s="5">
        <f>IF(AND('Data Source'!B415&lt;&gt;"",'Data Source'!S415="A+"),'Data Source'!R415,"")</f>
        <v/>
      </c>
      <c r="Q415" s="3">
        <f>IF(AND('Data Source'!B415&lt;&gt;"",'Data Source'!S415="A+"),'Data Source'!S415,"")</f>
        <v/>
      </c>
    </row>
    <row r="416">
      <c r="A416" s="3">
        <f>IF(AND('Data Source'!B416&lt;&gt;"",'Data Source'!S416="A+"),COUNTIF('Data Source'!$S$3:S416,"A+"),"")</f>
        <v/>
      </c>
      <c r="B416">
        <f>IF(AND('Data Source'!B416&lt;&gt;"",'Data Source'!S416="A+"),'Data Source'!B416,"")</f>
        <v/>
      </c>
      <c r="C416" s="3">
        <f>IF(AND('Data Source'!B416&lt;&gt;"",'Data Source'!S416="A+"),IF('Data Source'!U416&gt;=5,"A+",IF('Data Source'!U416&gt;=4,"A",IF('Data Source'!U416&gt;=3.5,"A-",IF('Data Source'!U416&gt;=3,"B",IF('Data Source'!U416&gt;=2,"C",IF('Data Source'!U416&gt;=1,"D","F")))))),"")</f>
        <v/>
      </c>
      <c r="D416" s="3">
        <f>IF(AND('Data Source'!B416&lt;&gt;"",'Data Source'!S416="A+"),IF('Data Source'!V416&gt;=5,"A+",IF('Data Source'!V416&gt;=4,"A",IF('Data Source'!V416&gt;=3.5,"A-",IF('Data Source'!V416&gt;=3,"B",IF('Data Source'!V416&gt;=2,"C",IF('Data Source'!V416&gt;=1,"D","F")))))),"")</f>
        <v/>
      </c>
      <c r="E416" s="3">
        <f>IF(AND('Data Source'!B416&lt;&gt;"",'Data Source'!S416="A+"),IF('Data Source'!W416&gt;=5,"A+",IF('Data Source'!W416&gt;=4,"A",IF('Data Source'!W416&gt;=3.5,"A-",IF('Data Source'!W416&gt;=3,"B",IF('Data Source'!W416&gt;=2,"C",IF('Data Source'!W416&gt;=1,"D","F")))))),"")</f>
        <v/>
      </c>
      <c r="F416" s="3">
        <f>IF(AND('Data Source'!B416&lt;&gt;"",'Data Source'!S416="A+"),IF('Data Source'!X416&gt;=5,"A+",IF('Data Source'!X416&gt;=4,"A",IF('Data Source'!X416&gt;=3.5,"A-",IF('Data Source'!X416&gt;=3,"B",IF('Data Source'!X416&gt;=2,"C",IF('Data Source'!X416&gt;=1,"D","F")))))),"")</f>
        <v/>
      </c>
      <c r="G416" s="3">
        <f>IF(AND('Data Source'!B416&lt;&gt;"",'Data Source'!S416="A+"),IF('Data Source'!Y416&gt;=5,"A+",IF('Data Source'!Y416&gt;=4,"A",IF('Data Source'!Y416&gt;=3.5,"A-",IF('Data Source'!Y416&gt;=3,"B",IF('Data Source'!Y416&gt;=2,"C",IF('Data Source'!Y416&gt;=1,"D","F")))))),"")</f>
        <v/>
      </c>
      <c r="H416" s="3">
        <f>IF(AND('Data Source'!B416&lt;&gt;"",'Data Source'!S416="A+"),IF('Data Source'!Z416&gt;=5,"A+",IF('Data Source'!Z416&gt;=4,"A",IF('Data Source'!Z416&gt;=3.5,"A-",IF('Data Source'!Z416&gt;=3,"B",IF('Data Source'!Z416&gt;=2,"C",IF('Data Source'!Z416&gt;=1,"D","F")))))),"")</f>
        <v/>
      </c>
      <c r="I416" s="3">
        <f>IF(AND('Data Source'!B416&lt;&gt;"",'Data Source'!S416="A+"),IF('Data Source'!AA416&gt;=5,"A+",IF('Data Source'!AA416&gt;=4,"A",IF('Data Source'!AA416&gt;=3.5,"A-",IF('Data Source'!AA416&gt;=3,"B",IF('Data Source'!AA416&gt;=2,"C",IF('Data Source'!AA416&gt;=1,"D","F")))))),"")</f>
        <v/>
      </c>
      <c r="J416" s="3">
        <f>IF(AND('Data Source'!B416&lt;&gt;"",'Data Source'!S416="A+"),IF('Data Source'!AB416&gt;=5,"A+",IF('Data Source'!AB416&gt;=4,"A",IF('Data Source'!AB416&gt;=3.5,"A-",IF('Data Source'!AB416&gt;=3,"B",IF('Data Source'!AB416&gt;=2,"C",IF('Data Source'!AB416&gt;=1,"D","F")))))),"")</f>
        <v/>
      </c>
      <c r="K416" s="3">
        <f>IF(AND('Data Source'!B416&lt;&gt;"",'Data Source'!S416="A+"),IF('Data Source'!AC416&gt;=5,"A+",IF('Data Source'!AC416&gt;=4,"A",IF('Data Source'!AC416&gt;=3.5,"A-",IF('Data Source'!AC416&gt;=3,"B",IF('Data Source'!AC416&gt;=2,"C",IF('Data Source'!AC416&gt;=1,"D","F")))))),"")</f>
        <v/>
      </c>
      <c r="L416" s="3">
        <f>IF(AND('Data Source'!B416&lt;&gt;"",'Data Source'!S416="A+"),IF('Data Source'!AD416&gt;=5,"A+",IF('Data Source'!AD416&gt;=4,"A",IF('Data Source'!AD416&gt;=3.5,"A-",IF('Data Source'!AD416&gt;=3,"B",IF('Data Source'!AD416&gt;=2,"C",IF('Data Source'!AD416&gt;=1,"D","F")))))),"")</f>
        <v/>
      </c>
      <c r="M416" s="3">
        <f>IF(AND('Data Source'!B416&lt;&gt;"",'Data Source'!S416="A+"),IF('Data Source'!AE416&gt;=5,"A+",IF('Data Source'!AE416&gt;=4,"A",IF('Data Source'!AE416&gt;=3.5,"A-",IF('Data Source'!AE416&gt;=3,"B",IF('Data Source'!AE416&gt;=2,"C",IF('Data Source'!AE416&gt;=1,"D","F")))))),"")</f>
        <v/>
      </c>
      <c r="N416" s="3">
        <f>IF(AND('Data Source'!B416&lt;&gt;"",'Data Source'!S416="A+"),IF('Data Source'!AF416&gt;=5,"A+",IF('Data Source'!AF416&gt;=4,"A",IF('Data Source'!AF416&gt;=3.5,"A-",IF('Data Source'!AF416&gt;=3,"B",IF('Data Source'!AF416&gt;=2,"C",IF('Data Source'!AF416&gt;=1,"D","F")))))),"")</f>
        <v/>
      </c>
      <c r="O416" s="3">
        <f>IF(AND('Data Source'!B416&lt;&gt;"",'Data Source'!S416="A+"),IF('Data Source'!AG416&gt;=5,"A+",IF('Data Source'!AG416&gt;=4,"A",IF('Data Source'!AG416&gt;=3.5,"A-",IF('Data Source'!AG416&gt;=3,"B",IF('Data Source'!AG416&gt;=2,"C",IF('Data Source'!AG416&gt;=1,"D","F")))))),"")</f>
        <v/>
      </c>
      <c r="P416" s="5">
        <f>IF(AND('Data Source'!B416&lt;&gt;"",'Data Source'!S416="A+"),'Data Source'!R416,"")</f>
        <v/>
      </c>
      <c r="Q416" s="3">
        <f>IF(AND('Data Source'!B416&lt;&gt;"",'Data Source'!S416="A+"),'Data Source'!S416,"")</f>
        <v/>
      </c>
    </row>
    <row r="417">
      <c r="A417" s="3">
        <f>IF(AND('Data Source'!B417&lt;&gt;"",'Data Source'!S417="A+"),COUNTIF('Data Source'!$S$3:S417,"A+"),"")</f>
        <v/>
      </c>
      <c r="B417">
        <f>IF(AND('Data Source'!B417&lt;&gt;"",'Data Source'!S417="A+"),'Data Source'!B417,"")</f>
        <v/>
      </c>
      <c r="C417" s="3">
        <f>IF(AND('Data Source'!B417&lt;&gt;"",'Data Source'!S417="A+"),IF('Data Source'!U417&gt;=5,"A+",IF('Data Source'!U417&gt;=4,"A",IF('Data Source'!U417&gt;=3.5,"A-",IF('Data Source'!U417&gt;=3,"B",IF('Data Source'!U417&gt;=2,"C",IF('Data Source'!U417&gt;=1,"D","F")))))),"")</f>
        <v/>
      </c>
      <c r="D417" s="3">
        <f>IF(AND('Data Source'!B417&lt;&gt;"",'Data Source'!S417="A+"),IF('Data Source'!V417&gt;=5,"A+",IF('Data Source'!V417&gt;=4,"A",IF('Data Source'!V417&gt;=3.5,"A-",IF('Data Source'!V417&gt;=3,"B",IF('Data Source'!V417&gt;=2,"C",IF('Data Source'!V417&gt;=1,"D","F")))))),"")</f>
        <v/>
      </c>
      <c r="E417" s="3">
        <f>IF(AND('Data Source'!B417&lt;&gt;"",'Data Source'!S417="A+"),IF('Data Source'!W417&gt;=5,"A+",IF('Data Source'!W417&gt;=4,"A",IF('Data Source'!W417&gt;=3.5,"A-",IF('Data Source'!W417&gt;=3,"B",IF('Data Source'!W417&gt;=2,"C",IF('Data Source'!W417&gt;=1,"D","F")))))),"")</f>
        <v/>
      </c>
      <c r="F417" s="3">
        <f>IF(AND('Data Source'!B417&lt;&gt;"",'Data Source'!S417="A+"),IF('Data Source'!X417&gt;=5,"A+",IF('Data Source'!X417&gt;=4,"A",IF('Data Source'!X417&gt;=3.5,"A-",IF('Data Source'!X417&gt;=3,"B",IF('Data Source'!X417&gt;=2,"C",IF('Data Source'!X417&gt;=1,"D","F")))))),"")</f>
        <v/>
      </c>
      <c r="G417" s="3">
        <f>IF(AND('Data Source'!B417&lt;&gt;"",'Data Source'!S417="A+"),IF('Data Source'!Y417&gt;=5,"A+",IF('Data Source'!Y417&gt;=4,"A",IF('Data Source'!Y417&gt;=3.5,"A-",IF('Data Source'!Y417&gt;=3,"B",IF('Data Source'!Y417&gt;=2,"C",IF('Data Source'!Y417&gt;=1,"D","F")))))),"")</f>
        <v/>
      </c>
      <c r="H417" s="3">
        <f>IF(AND('Data Source'!B417&lt;&gt;"",'Data Source'!S417="A+"),IF('Data Source'!Z417&gt;=5,"A+",IF('Data Source'!Z417&gt;=4,"A",IF('Data Source'!Z417&gt;=3.5,"A-",IF('Data Source'!Z417&gt;=3,"B",IF('Data Source'!Z417&gt;=2,"C",IF('Data Source'!Z417&gt;=1,"D","F")))))),"")</f>
        <v/>
      </c>
      <c r="I417" s="3">
        <f>IF(AND('Data Source'!B417&lt;&gt;"",'Data Source'!S417="A+"),IF('Data Source'!AA417&gt;=5,"A+",IF('Data Source'!AA417&gt;=4,"A",IF('Data Source'!AA417&gt;=3.5,"A-",IF('Data Source'!AA417&gt;=3,"B",IF('Data Source'!AA417&gt;=2,"C",IF('Data Source'!AA417&gt;=1,"D","F")))))),"")</f>
        <v/>
      </c>
      <c r="J417" s="3">
        <f>IF(AND('Data Source'!B417&lt;&gt;"",'Data Source'!S417="A+"),IF('Data Source'!AB417&gt;=5,"A+",IF('Data Source'!AB417&gt;=4,"A",IF('Data Source'!AB417&gt;=3.5,"A-",IF('Data Source'!AB417&gt;=3,"B",IF('Data Source'!AB417&gt;=2,"C",IF('Data Source'!AB417&gt;=1,"D","F")))))),"")</f>
        <v/>
      </c>
      <c r="K417" s="3">
        <f>IF(AND('Data Source'!B417&lt;&gt;"",'Data Source'!S417="A+"),IF('Data Source'!AC417&gt;=5,"A+",IF('Data Source'!AC417&gt;=4,"A",IF('Data Source'!AC417&gt;=3.5,"A-",IF('Data Source'!AC417&gt;=3,"B",IF('Data Source'!AC417&gt;=2,"C",IF('Data Source'!AC417&gt;=1,"D","F")))))),"")</f>
        <v/>
      </c>
      <c r="L417" s="3">
        <f>IF(AND('Data Source'!B417&lt;&gt;"",'Data Source'!S417="A+"),IF('Data Source'!AD417&gt;=5,"A+",IF('Data Source'!AD417&gt;=4,"A",IF('Data Source'!AD417&gt;=3.5,"A-",IF('Data Source'!AD417&gt;=3,"B",IF('Data Source'!AD417&gt;=2,"C",IF('Data Source'!AD417&gt;=1,"D","F")))))),"")</f>
        <v/>
      </c>
      <c r="M417" s="3">
        <f>IF(AND('Data Source'!B417&lt;&gt;"",'Data Source'!S417="A+"),IF('Data Source'!AE417&gt;=5,"A+",IF('Data Source'!AE417&gt;=4,"A",IF('Data Source'!AE417&gt;=3.5,"A-",IF('Data Source'!AE417&gt;=3,"B",IF('Data Source'!AE417&gt;=2,"C",IF('Data Source'!AE417&gt;=1,"D","F")))))),"")</f>
        <v/>
      </c>
      <c r="N417" s="3">
        <f>IF(AND('Data Source'!B417&lt;&gt;"",'Data Source'!S417="A+"),IF('Data Source'!AF417&gt;=5,"A+",IF('Data Source'!AF417&gt;=4,"A",IF('Data Source'!AF417&gt;=3.5,"A-",IF('Data Source'!AF417&gt;=3,"B",IF('Data Source'!AF417&gt;=2,"C",IF('Data Source'!AF417&gt;=1,"D","F")))))),"")</f>
        <v/>
      </c>
      <c r="O417" s="3">
        <f>IF(AND('Data Source'!B417&lt;&gt;"",'Data Source'!S417="A+"),IF('Data Source'!AG417&gt;=5,"A+",IF('Data Source'!AG417&gt;=4,"A",IF('Data Source'!AG417&gt;=3.5,"A-",IF('Data Source'!AG417&gt;=3,"B",IF('Data Source'!AG417&gt;=2,"C",IF('Data Source'!AG417&gt;=1,"D","F")))))),"")</f>
        <v/>
      </c>
      <c r="P417" s="5">
        <f>IF(AND('Data Source'!B417&lt;&gt;"",'Data Source'!S417="A+"),'Data Source'!R417,"")</f>
        <v/>
      </c>
      <c r="Q417" s="3">
        <f>IF(AND('Data Source'!B417&lt;&gt;"",'Data Source'!S417="A+"),'Data Source'!S417,"")</f>
        <v/>
      </c>
    </row>
    <row r="418">
      <c r="A418" s="3">
        <f>IF(AND('Data Source'!B418&lt;&gt;"",'Data Source'!S418="A+"),COUNTIF('Data Source'!$S$3:S418,"A+"),"")</f>
        <v/>
      </c>
      <c r="B418">
        <f>IF(AND('Data Source'!B418&lt;&gt;"",'Data Source'!S418="A+"),'Data Source'!B418,"")</f>
        <v/>
      </c>
      <c r="C418" s="3">
        <f>IF(AND('Data Source'!B418&lt;&gt;"",'Data Source'!S418="A+"),IF('Data Source'!U418&gt;=5,"A+",IF('Data Source'!U418&gt;=4,"A",IF('Data Source'!U418&gt;=3.5,"A-",IF('Data Source'!U418&gt;=3,"B",IF('Data Source'!U418&gt;=2,"C",IF('Data Source'!U418&gt;=1,"D","F")))))),"")</f>
        <v/>
      </c>
      <c r="D418" s="3">
        <f>IF(AND('Data Source'!B418&lt;&gt;"",'Data Source'!S418="A+"),IF('Data Source'!V418&gt;=5,"A+",IF('Data Source'!V418&gt;=4,"A",IF('Data Source'!V418&gt;=3.5,"A-",IF('Data Source'!V418&gt;=3,"B",IF('Data Source'!V418&gt;=2,"C",IF('Data Source'!V418&gt;=1,"D","F")))))),"")</f>
        <v/>
      </c>
      <c r="E418" s="3">
        <f>IF(AND('Data Source'!B418&lt;&gt;"",'Data Source'!S418="A+"),IF('Data Source'!W418&gt;=5,"A+",IF('Data Source'!W418&gt;=4,"A",IF('Data Source'!W418&gt;=3.5,"A-",IF('Data Source'!W418&gt;=3,"B",IF('Data Source'!W418&gt;=2,"C",IF('Data Source'!W418&gt;=1,"D","F")))))),"")</f>
        <v/>
      </c>
      <c r="F418" s="3">
        <f>IF(AND('Data Source'!B418&lt;&gt;"",'Data Source'!S418="A+"),IF('Data Source'!X418&gt;=5,"A+",IF('Data Source'!X418&gt;=4,"A",IF('Data Source'!X418&gt;=3.5,"A-",IF('Data Source'!X418&gt;=3,"B",IF('Data Source'!X418&gt;=2,"C",IF('Data Source'!X418&gt;=1,"D","F")))))),"")</f>
        <v/>
      </c>
      <c r="G418" s="3">
        <f>IF(AND('Data Source'!B418&lt;&gt;"",'Data Source'!S418="A+"),IF('Data Source'!Y418&gt;=5,"A+",IF('Data Source'!Y418&gt;=4,"A",IF('Data Source'!Y418&gt;=3.5,"A-",IF('Data Source'!Y418&gt;=3,"B",IF('Data Source'!Y418&gt;=2,"C",IF('Data Source'!Y418&gt;=1,"D","F")))))),"")</f>
        <v/>
      </c>
      <c r="H418" s="3">
        <f>IF(AND('Data Source'!B418&lt;&gt;"",'Data Source'!S418="A+"),IF('Data Source'!Z418&gt;=5,"A+",IF('Data Source'!Z418&gt;=4,"A",IF('Data Source'!Z418&gt;=3.5,"A-",IF('Data Source'!Z418&gt;=3,"B",IF('Data Source'!Z418&gt;=2,"C",IF('Data Source'!Z418&gt;=1,"D","F")))))),"")</f>
        <v/>
      </c>
      <c r="I418" s="3">
        <f>IF(AND('Data Source'!B418&lt;&gt;"",'Data Source'!S418="A+"),IF('Data Source'!AA418&gt;=5,"A+",IF('Data Source'!AA418&gt;=4,"A",IF('Data Source'!AA418&gt;=3.5,"A-",IF('Data Source'!AA418&gt;=3,"B",IF('Data Source'!AA418&gt;=2,"C",IF('Data Source'!AA418&gt;=1,"D","F")))))),"")</f>
        <v/>
      </c>
      <c r="J418" s="3">
        <f>IF(AND('Data Source'!B418&lt;&gt;"",'Data Source'!S418="A+"),IF('Data Source'!AB418&gt;=5,"A+",IF('Data Source'!AB418&gt;=4,"A",IF('Data Source'!AB418&gt;=3.5,"A-",IF('Data Source'!AB418&gt;=3,"B",IF('Data Source'!AB418&gt;=2,"C",IF('Data Source'!AB418&gt;=1,"D","F")))))),"")</f>
        <v/>
      </c>
      <c r="K418" s="3">
        <f>IF(AND('Data Source'!B418&lt;&gt;"",'Data Source'!S418="A+"),IF('Data Source'!AC418&gt;=5,"A+",IF('Data Source'!AC418&gt;=4,"A",IF('Data Source'!AC418&gt;=3.5,"A-",IF('Data Source'!AC418&gt;=3,"B",IF('Data Source'!AC418&gt;=2,"C",IF('Data Source'!AC418&gt;=1,"D","F")))))),"")</f>
        <v/>
      </c>
      <c r="L418" s="3">
        <f>IF(AND('Data Source'!B418&lt;&gt;"",'Data Source'!S418="A+"),IF('Data Source'!AD418&gt;=5,"A+",IF('Data Source'!AD418&gt;=4,"A",IF('Data Source'!AD418&gt;=3.5,"A-",IF('Data Source'!AD418&gt;=3,"B",IF('Data Source'!AD418&gt;=2,"C",IF('Data Source'!AD418&gt;=1,"D","F")))))),"")</f>
        <v/>
      </c>
      <c r="M418" s="3">
        <f>IF(AND('Data Source'!B418&lt;&gt;"",'Data Source'!S418="A+"),IF('Data Source'!AE418&gt;=5,"A+",IF('Data Source'!AE418&gt;=4,"A",IF('Data Source'!AE418&gt;=3.5,"A-",IF('Data Source'!AE418&gt;=3,"B",IF('Data Source'!AE418&gt;=2,"C",IF('Data Source'!AE418&gt;=1,"D","F")))))),"")</f>
        <v/>
      </c>
      <c r="N418" s="3">
        <f>IF(AND('Data Source'!B418&lt;&gt;"",'Data Source'!S418="A+"),IF('Data Source'!AF418&gt;=5,"A+",IF('Data Source'!AF418&gt;=4,"A",IF('Data Source'!AF418&gt;=3.5,"A-",IF('Data Source'!AF418&gt;=3,"B",IF('Data Source'!AF418&gt;=2,"C",IF('Data Source'!AF418&gt;=1,"D","F")))))),"")</f>
        <v/>
      </c>
      <c r="O418" s="3">
        <f>IF(AND('Data Source'!B418&lt;&gt;"",'Data Source'!S418="A+"),IF('Data Source'!AG418&gt;=5,"A+",IF('Data Source'!AG418&gt;=4,"A",IF('Data Source'!AG418&gt;=3.5,"A-",IF('Data Source'!AG418&gt;=3,"B",IF('Data Source'!AG418&gt;=2,"C",IF('Data Source'!AG418&gt;=1,"D","F")))))),"")</f>
        <v/>
      </c>
      <c r="P418" s="5">
        <f>IF(AND('Data Source'!B418&lt;&gt;"",'Data Source'!S418="A+"),'Data Source'!R418,"")</f>
        <v/>
      </c>
      <c r="Q418" s="3">
        <f>IF(AND('Data Source'!B418&lt;&gt;"",'Data Source'!S418="A+"),'Data Source'!S418,"")</f>
        <v/>
      </c>
    </row>
    <row r="419">
      <c r="A419" s="3">
        <f>IF(AND('Data Source'!B419&lt;&gt;"",'Data Source'!S419="A+"),COUNTIF('Data Source'!$S$3:S419,"A+"),"")</f>
        <v/>
      </c>
      <c r="B419">
        <f>IF(AND('Data Source'!B419&lt;&gt;"",'Data Source'!S419="A+"),'Data Source'!B419,"")</f>
        <v/>
      </c>
      <c r="C419" s="3">
        <f>IF(AND('Data Source'!B419&lt;&gt;"",'Data Source'!S419="A+"),IF('Data Source'!U419&gt;=5,"A+",IF('Data Source'!U419&gt;=4,"A",IF('Data Source'!U419&gt;=3.5,"A-",IF('Data Source'!U419&gt;=3,"B",IF('Data Source'!U419&gt;=2,"C",IF('Data Source'!U419&gt;=1,"D","F")))))),"")</f>
        <v/>
      </c>
      <c r="D419" s="3">
        <f>IF(AND('Data Source'!B419&lt;&gt;"",'Data Source'!S419="A+"),IF('Data Source'!V419&gt;=5,"A+",IF('Data Source'!V419&gt;=4,"A",IF('Data Source'!V419&gt;=3.5,"A-",IF('Data Source'!V419&gt;=3,"B",IF('Data Source'!V419&gt;=2,"C",IF('Data Source'!V419&gt;=1,"D","F")))))),"")</f>
        <v/>
      </c>
      <c r="E419" s="3">
        <f>IF(AND('Data Source'!B419&lt;&gt;"",'Data Source'!S419="A+"),IF('Data Source'!W419&gt;=5,"A+",IF('Data Source'!W419&gt;=4,"A",IF('Data Source'!W419&gt;=3.5,"A-",IF('Data Source'!W419&gt;=3,"B",IF('Data Source'!W419&gt;=2,"C",IF('Data Source'!W419&gt;=1,"D","F")))))),"")</f>
        <v/>
      </c>
      <c r="F419" s="3">
        <f>IF(AND('Data Source'!B419&lt;&gt;"",'Data Source'!S419="A+"),IF('Data Source'!X419&gt;=5,"A+",IF('Data Source'!X419&gt;=4,"A",IF('Data Source'!X419&gt;=3.5,"A-",IF('Data Source'!X419&gt;=3,"B",IF('Data Source'!X419&gt;=2,"C",IF('Data Source'!X419&gt;=1,"D","F")))))),"")</f>
        <v/>
      </c>
      <c r="G419" s="3">
        <f>IF(AND('Data Source'!B419&lt;&gt;"",'Data Source'!S419="A+"),IF('Data Source'!Y419&gt;=5,"A+",IF('Data Source'!Y419&gt;=4,"A",IF('Data Source'!Y419&gt;=3.5,"A-",IF('Data Source'!Y419&gt;=3,"B",IF('Data Source'!Y419&gt;=2,"C",IF('Data Source'!Y419&gt;=1,"D","F")))))),"")</f>
        <v/>
      </c>
      <c r="H419" s="3">
        <f>IF(AND('Data Source'!B419&lt;&gt;"",'Data Source'!S419="A+"),IF('Data Source'!Z419&gt;=5,"A+",IF('Data Source'!Z419&gt;=4,"A",IF('Data Source'!Z419&gt;=3.5,"A-",IF('Data Source'!Z419&gt;=3,"B",IF('Data Source'!Z419&gt;=2,"C",IF('Data Source'!Z419&gt;=1,"D","F")))))),"")</f>
        <v/>
      </c>
      <c r="I419" s="3">
        <f>IF(AND('Data Source'!B419&lt;&gt;"",'Data Source'!S419="A+"),IF('Data Source'!AA419&gt;=5,"A+",IF('Data Source'!AA419&gt;=4,"A",IF('Data Source'!AA419&gt;=3.5,"A-",IF('Data Source'!AA419&gt;=3,"B",IF('Data Source'!AA419&gt;=2,"C",IF('Data Source'!AA419&gt;=1,"D","F")))))),"")</f>
        <v/>
      </c>
      <c r="J419" s="3">
        <f>IF(AND('Data Source'!B419&lt;&gt;"",'Data Source'!S419="A+"),IF('Data Source'!AB419&gt;=5,"A+",IF('Data Source'!AB419&gt;=4,"A",IF('Data Source'!AB419&gt;=3.5,"A-",IF('Data Source'!AB419&gt;=3,"B",IF('Data Source'!AB419&gt;=2,"C",IF('Data Source'!AB419&gt;=1,"D","F")))))),"")</f>
        <v/>
      </c>
      <c r="K419" s="3">
        <f>IF(AND('Data Source'!B419&lt;&gt;"",'Data Source'!S419="A+"),IF('Data Source'!AC419&gt;=5,"A+",IF('Data Source'!AC419&gt;=4,"A",IF('Data Source'!AC419&gt;=3.5,"A-",IF('Data Source'!AC419&gt;=3,"B",IF('Data Source'!AC419&gt;=2,"C",IF('Data Source'!AC419&gt;=1,"D","F")))))),"")</f>
        <v/>
      </c>
      <c r="L419" s="3">
        <f>IF(AND('Data Source'!B419&lt;&gt;"",'Data Source'!S419="A+"),IF('Data Source'!AD419&gt;=5,"A+",IF('Data Source'!AD419&gt;=4,"A",IF('Data Source'!AD419&gt;=3.5,"A-",IF('Data Source'!AD419&gt;=3,"B",IF('Data Source'!AD419&gt;=2,"C",IF('Data Source'!AD419&gt;=1,"D","F")))))),"")</f>
        <v/>
      </c>
      <c r="M419" s="3">
        <f>IF(AND('Data Source'!B419&lt;&gt;"",'Data Source'!S419="A+"),IF('Data Source'!AE419&gt;=5,"A+",IF('Data Source'!AE419&gt;=4,"A",IF('Data Source'!AE419&gt;=3.5,"A-",IF('Data Source'!AE419&gt;=3,"B",IF('Data Source'!AE419&gt;=2,"C",IF('Data Source'!AE419&gt;=1,"D","F")))))),"")</f>
        <v/>
      </c>
      <c r="N419" s="3">
        <f>IF(AND('Data Source'!B419&lt;&gt;"",'Data Source'!S419="A+"),IF('Data Source'!AF419&gt;=5,"A+",IF('Data Source'!AF419&gt;=4,"A",IF('Data Source'!AF419&gt;=3.5,"A-",IF('Data Source'!AF419&gt;=3,"B",IF('Data Source'!AF419&gt;=2,"C",IF('Data Source'!AF419&gt;=1,"D","F")))))),"")</f>
        <v/>
      </c>
      <c r="O419" s="3">
        <f>IF(AND('Data Source'!B419&lt;&gt;"",'Data Source'!S419="A+"),IF('Data Source'!AG419&gt;=5,"A+",IF('Data Source'!AG419&gt;=4,"A",IF('Data Source'!AG419&gt;=3.5,"A-",IF('Data Source'!AG419&gt;=3,"B",IF('Data Source'!AG419&gt;=2,"C",IF('Data Source'!AG419&gt;=1,"D","F")))))),"")</f>
        <v/>
      </c>
      <c r="P419" s="5">
        <f>IF(AND('Data Source'!B419&lt;&gt;"",'Data Source'!S419="A+"),'Data Source'!R419,"")</f>
        <v/>
      </c>
      <c r="Q419" s="3">
        <f>IF(AND('Data Source'!B419&lt;&gt;"",'Data Source'!S419="A+"),'Data Source'!S419,"")</f>
        <v/>
      </c>
    </row>
    <row r="420">
      <c r="A420" s="3">
        <f>IF(AND('Data Source'!B420&lt;&gt;"",'Data Source'!S420="A+"),COUNTIF('Data Source'!$S$3:S420,"A+"),"")</f>
        <v/>
      </c>
      <c r="B420">
        <f>IF(AND('Data Source'!B420&lt;&gt;"",'Data Source'!S420="A+"),'Data Source'!B420,"")</f>
        <v/>
      </c>
      <c r="C420" s="3">
        <f>IF(AND('Data Source'!B420&lt;&gt;"",'Data Source'!S420="A+"),IF('Data Source'!U420&gt;=5,"A+",IF('Data Source'!U420&gt;=4,"A",IF('Data Source'!U420&gt;=3.5,"A-",IF('Data Source'!U420&gt;=3,"B",IF('Data Source'!U420&gt;=2,"C",IF('Data Source'!U420&gt;=1,"D","F")))))),"")</f>
        <v/>
      </c>
      <c r="D420" s="3">
        <f>IF(AND('Data Source'!B420&lt;&gt;"",'Data Source'!S420="A+"),IF('Data Source'!V420&gt;=5,"A+",IF('Data Source'!V420&gt;=4,"A",IF('Data Source'!V420&gt;=3.5,"A-",IF('Data Source'!V420&gt;=3,"B",IF('Data Source'!V420&gt;=2,"C",IF('Data Source'!V420&gt;=1,"D","F")))))),"")</f>
        <v/>
      </c>
      <c r="E420" s="3">
        <f>IF(AND('Data Source'!B420&lt;&gt;"",'Data Source'!S420="A+"),IF('Data Source'!W420&gt;=5,"A+",IF('Data Source'!W420&gt;=4,"A",IF('Data Source'!W420&gt;=3.5,"A-",IF('Data Source'!W420&gt;=3,"B",IF('Data Source'!W420&gt;=2,"C",IF('Data Source'!W420&gt;=1,"D","F")))))),"")</f>
        <v/>
      </c>
      <c r="F420" s="3">
        <f>IF(AND('Data Source'!B420&lt;&gt;"",'Data Source'!S420="A+"),IF('Data Source'!X420&gt;=5,"A+",IF('Data Source'!X420&gt;=4,"A",IF('Data Source'!X420&gt;=3.5,"A-",IF('Data Source'!X420&gt;=3,"B",IF('Data Source'!X420&gt;=2,"C",IF('Data Source'!X420&gt;=1,"D","F")))))),"")</f>
        <v/>
      </c>
      <c r="G420" s="3">
        <f>IF(AND('Data Source'!B420&lt;&gt;"",'Data Source'!S420="A+"),IF('Data Source'!Y420&gt;=5,"A+",IF('Data Source'!Y420&gt;=4,"A",IF('Data Source'!Y420&gt;=3.5,"A-",IF('Data Source'!Y420&gt;=3,"B",IF('Data Source'!Y420&gt;=2,"C",IF('Data Source'!Y420&gt;=1,"D","F")))))),"")</f>
        <v/>
      </c>
      <c r="H420" s="3">
        <f>IF(AND('Data Source'!B420&lt;&gt;"",'Data Source'!S420="A+"),IF('Data Source'!Z420&gt;=5,"A+",IF('Data Source'!Z420&gt;=4,"A",IF('Data Source'!Z420&gt;=3.5,"A-",IF('Data Source'!Z420&gt;=3,"B",IF('Data Source'!Z420&gt;=2,"C",IF('Data Source'!Z420&gt;=1,"D","F")))))),"")</f>
        <v/>
      </c>
      <c r="I420" s="3">
        <f>IF(AND('Data Source'!B420&lt;&gt;"",'Data Source'!S420="A+"),IF('Data Source'!AA420&gt;=5,"A+",IF('Data Source'!AA420&gt;=4,"A",IF('Data Source'!AA420&gt;=3.5,"A-",IF('Data Source'!AA420&gt;=3,"B",IF('Data Source'!AA420&gt;=2,"C",IF('Data Source'!AA420&gt;=1,"D","F")))))),"")</f>
        <v/>
      </c>
      <c r="J420" s="3">
        <f>IF(AND('Data Source'!B420&lt;&gt;"",'Data Source'!S420="A+"),IF('Data Source'!AB420&gt;=5,"A+",IF('Data Source'!AB420&gt;=4,"A",IF('Data Source'!AB420&gt;=3.5,"A-",IF('Data Source'!AB420&gt;=3,"B",IF('Data Source'!AB420&gt;=2,"C",IF('Data Source'!AB420&gt;=1,"D","F")))))),"")</f>
        <v/>
      </c>
      <c r="K420" s="3">
        <f>IF(AND('Data Source'!B420&lt;&gt;"",'Data Source'!S420="A+"),IF('Data Source'!AC420&gt;=5,"A+",IF('Data Source'!AC420&gt;=4,"A",IF('Data Source'!AC420&gt;=3.5,"A-",IF('Data Source'!AC420&gt;=3,"B",IF('Data Source'!AC420&gt;=2,"C",IF('Data Source'!AC420&gt;=1,"D","F")))))),"")</f>
        <v/>
      </c>
      <c r="L420" s="3">
        <f>IF(AND('Data Source'!B420&lt;&gt;"",'Data Source'!S420="A+"),IF('Data Source'!AD420&gt;=5,"A+",IF('Data Source'!AD420&gt;=4,"A",IF('Data Source'!AD420&gt;=3.5,"A-",IF('Data Source'!AD420&gt;=3,"B",IF('Data Source'!AD420&gt;=2,"C",IF('Data Source'!AD420&gt;=1,"D","F")))))),"")</f>
        <v/>
      </c>
      <c r="M420" s="3">
        <f>IF(AND('Data Source'!B420&lt;&gt;"",'Data Source'!S420="A+"),IF('Data Source'!AE420&gt;=5,"A+",IF('Data Source'!AE420&gt;=4,"A",IF('Data Source'!AE420&gt;=3.5,"A-",IF('Data Source'!AE420&gt;=3,"B",IF('Data Source'!AE420&gt;=2,"C",IF('Data Source'!AE420&gt;=1,"D","F")))))),"")</f>
        <v/>
      </c>
      <c r="N420" s="3">
        <f>IF(AND('Data Source'!B420&lt;&gt;"",'Data Source'!S420="A+"),IF('Data Source'!AF420&gt;=5,"A+",IF('Data Source'!AF420&gt;=4,"A",IF('Data Source'!AF420&gt;=3.5,"A-",IF('Data Source'!AF420&gt;=3,"B",IF('Data Source'!AF420&gt;=2,"C",IF('Data Source'!AF420&gt;=1,"D","F")))))),"")</f>
        <v/>
      </c>
      <c r="O420" s="3">
        <f>IF(AND('Data Source'!B420&lt;&gt;"",'Data Source'!S420="A+"),IF('Data Source'!AG420&gt;=5,"A+",IF('Data Source'!AG420&gt;=4,"A",IF('Data Source'!AG420&gt;=3.5,"A-",IF('Data Source'!AG420&gt;=3,"B",IF('Data Source'!AG420&gt;=2,"C",IF('Data Source'!AG420&gt;=1,"D","F")))))),"")</f>
        <v/>
      </c>
      <c r="P420" s="5">
        <f>IF(AND('Data Source'!B420&lt;&gt;"",'Data Source'!S420="A+"),'Data Source'!R420,"")</f>
        <v/>
      </c>
      <c r="Q420" s="3">
        <f>IF(AND('Data Source'!B420&lt;&gt;"",'Data Source'!S420="A+"),'Data Source'!S420,"")</f>
        <v/>
      </c>
    </row>
    <row r="421">
      <c r="A421" s="3">
        <f>IF(AND('Data Source'!B421&lt;&gt;"",'Data Source'!S421="A+"),COUNTIF('Data Source'!$S$3:S421,"A+"),"")</f>
        <v/>
      </c>
      <c r="B421">
        <f>IF(AND('Data Source'!B421&lt;&gt;"",'Data Source'!S421="A+"),'Data Source'!B421,"")</f>
        <v/>
      </c>
      <c r="C421" s="3">
        <f>IF(AND('Data Source'!B421&lt;&gt;"",'Data Source'!S421="A+"),IF('Data Source'!U421&gt;=5,"A+",IF('Data Source'!U421&gt;=4,"A",IF('Data Source'!U421&gt;=3.5,"A-",IF('Data Source'!U421&gt;=3,"B",IF('Data Source'!U421&gt;=2,"C",IF('Data Source'!U421&gt;=1,"D","F")))))),"")</f>
        <v/>
      </c>
      <c r="D421" s="3">
        <f>IF(AND('Data Source'!B421&lt;&gt;"",'Data Source'!S421="A+"),IF('Data Source'!V421&gt;=5,"A+",IF('Data Source'!V421&gt;=4,"A",IF('Data Source'!V421&gt;=3.5,"A-",IF('Data Source'!V421&gt;=3,"B",IF('Data Source'!V421&gt;=2,"C",IF('Data Source'!V421&gt;=1,"D","F")))))),"")</f>
        <v/>
      </c>
      <c r="E421" s="3">
        <f>IF(AND('Data Source'!B421&lt;&gt;"",'Data Source'!S421="A+"),IF('Data Source'!W421&gt;=5,"A+",IF('Data Source'!W421&gt;=4,"A",IF('Data Source'!W421&gt;=3.5,"A-",IF('Data Source'!W421&gt;=3,"B",IF('Data Source'!W421&gt;=2,"C",IF('Data Source'!W421&gt;=1,"D","F")))))),"")</f>
        <v/>
      </c>
      <c r="F421" s="3">
        <f>IF(AND('Data Source'!B421&lt;&gt;"",'Data Source'!S421="A+"),IF('Data Source'!X421&gt;=5,"A+",IF('Data Source'!X421&gt;=4,"A",IF('Data Source'!X421&gt;=3.5,"A-",IF('Data Source'!X421&gt;=3,"B",IF('Data Source'!X421&gt;=2,"C",IF('Data Source'!X421&gt;=1,"D","F")))))),"")</f>
        <v/>
      </c>
      <c r="G421" s="3">
        <f>IF(AND('Data Source'!B421&lt;&gt;"",'Data Source'!S421="A+"),IF('Data Source'!Y421&gt;=5,"A+",IF('Data Source'!Y421&gt;=4,"A",IF('Data Source'!Y421&gt;=3.5,"A-",IF('Data Source'!Y421&gt;=3,"B",IF('Data Source'!Y421&gt;=2,"C",IF('Data Source'!Y421&gt;=1,"D","F")))))),"")</f>
        <v/>
      </c>
      <c r="H421" s="3">
        <f>IF(AND('Data Source'!B421&lt;&gt;"",'Data Source'!S421="A+"),IF('Data Source'!Z421&gt;=5,"A+",IF('Data Source'!Z421&gt;=4,"A",IF('Data Source'!Z421&gt;=3.5,"A-",IF('Data Source'!Z421&gt;=3,"B",IF('Data Source'!Z421&gt;=2,"C",IF('Data Source'!Z421&gt;=1,"D","F")))))),"")</f>
        <v/>
      </c>
      <c r="I421" s="3">
        <f>IF(AND('Data Source'!B421&lt;&gt;"",'Data Source'!S421="A+"),IF('Data Source'!AA421&gt;=5,"A+",IF('Data Source'!AA421&gt;=4,"A",IF('Data Source'!AA421&gt;=3.5,"A-",IF('Data Source'!AA421&gt;=3,"B",IF('Data Source'!AA421&gt;=2,"C",IF('Data Source'!AA421&gt;=1,"D","F")))))),"")</f>
        <v/>
      </c>
      <c r="J421" s="3">
        <f>IF(AND('Data Source'!B421&lt;&gt;"",'Data Source'!S421="A+"),IF('Data Source'!AB421&gt;=5,"A+",IF('Data Source'!AB421&gt;=4,"A",IF('Data Source'!AB421&gt;=3.5,"A-",IF('Data Source'!AB421&gt;=3,"B",IF('Data Source'!AB421&gt;=2,"C",IF('Data Source'!AB421&gt;=1,"D","F")))))),"")</f>
        <v/>
      </c>
      <c r="K421" s="3">
        <f>IF(AND('Data Source'!B421&lt;&gt;"",'Data Source'!S421="A+"),IF('Data Source'!AC421&gt;=5,"A+",IF('Data Source'!AC421&gt;=4,"A",IF('Data Source'!AC421&gt;=3.5,"A-",IF('Data Source'!AC421&gt;=3,"B",IF('Data Source'!AC421&gt;=2,"C",IF('Data Source'!AC421&gt;=1,"D","F")))))),"")</f>
        <v/>
      </c>
      <c r="L421" s="3">
        <f>IF(AND('Data Source'!B421&lt;&gt;"",'Data Source'!S421="A+"),IF('Data Source'!AD421&gt;=5,"A+",IF('Data Source'!AD421&gt;=4,"A",IF('Data Source'!AD421&gt;=3.5,"A-",IF('Data Source'!AD421&gt;=3,"B",IF('Data Source'!AD421&gt;=2,"C",IF('Data Source'!AD421&gt;=1,"D","F")))))),"")</f>
        <v/>
      </c>
      <c r="M421" s="3">
        <f>IF(AND('Data Source'!B421&lt;&gt;"",'Data Source'!S421="A+"),IF('Data Source'!AE421&gt;=5,"A+",IF('Data Source'!AE421&gt;=4,"A",IF('Data Source'!AE421&gt;=3.5,"A-",IF('Data Source'!AE421&gt;=3,"B",IF('Data Source'!AE421&gt;=2,"C",IF('Data Source'!AE421&gt;=1,"D","F")))))),"")</f>
        <v/>
      </c>
      <c r="N421" s="3">
        <f>IF(AND('Data Source'!B421&lt;&gt;"",'Data Source'!S421="A+"),IF('Data Source'!AF421&gt;=5,"A+",IF('Data Source'!AF421&gt;=4,"A",IF('Data Source'!AF421&gt;=3.5,"A-",IF('Data Source'!AF421&gt;=3,"B",IF('Data Source'!AF421&gt;=2,"C",IF('Data Source'!AF421&gt;=1,"D","F")))))),"")</f>
        <v/>
      </c>
      <c r="O421" s="3">
        <f>IF(AND('Data Source'!B421&lt;&gt;"",'Data Source'!S421="A+"),IF('Data Source'!AG421&gt;=5,"A+",IF('Data Source'!AG421&gt;=4,"A",IF('Data Source'!AG421&gt;=3.5,"A-",IF('Data Source'!AG421&gt;=3,"B",IF('Data Source'!AG421&gt;=2,"C",IF('Data Source'!AG421&gt;=1,"D","F")))))),"")</f>
        <v/>
      </c>
      <c r="P421" s="5">
        <f>IF(AND('Data Source'!B421&lt;&gt;"",'Data Source'!S421="A+"),'Data Source'!R421,"")</f>
        <v/>
      </c>
      <c r="Q421" s="3">
        <f>IF(AND('Data Source'!B421&lt;&gt;"",'Data Source'!S421="A+"),'Data Source'!S421,"")</f>
        <v/>
      </c>
    </row>
    <row r="422">
      <c r="A422" s="3">
        <f>IF(AND('Data Source'!B422&lt;&gt;"",'Data Source'!S422="A+"),COUNTIF('Data Source'!$S$3:S422,"A+"),"")</f>
        <v/>
      </c>
      <c r="B422">
        <f>IF(AND('Data Source'!B422&lt;&gt;"",'Data Source'!S422="A+"),'Data Source'!B422,"")</f>
        <v/>
      </c>
      <c r="C422" s="3">
        <f>IF(AND('Data Source'!B422&lt;&gt;"",'Data Source'!S422="A+"),IF('Data Source'!U422&gt;=5,"A+",IF('Data Source'!U422&gt;=4,"A",IF('Data Source'!U422&gt;=3.5,"A-",IF('Data Source'!U422&gt;=3,"B",IF('Data Source'!U422&gt;=2,"C",IF('Data Source'!U422&gt;=1,"D","F")))))),"")</f>
        <v/>
      </c>
      <c r="D422" s="3">
        <f>IF(AND('Data Source'!B422&lt;&gt;"",'Data Source'!S422="A+"),IF('Data Source'!V422&gt;=5,"A+",IF('Data Source'!V422&gt;=4,"A",IF('Data Source'!V422&gt;=3.5,"A-",IF('Data Source'!V422&gt;=3,"B",IF('Data Source'!V422&gt;=2,"C",IF('Data Source'!V422&gt;=1,"D","F")))))),"")</f>
        <v/>
      </c>
      <c r="E422" s="3">
        <f>IF(AND('Data Source'!B422&lt;&gt;"",'Data Source'!S422="A+"),IF('Data Source'!W422&gt;=5,"A+",IF('Data Source'!W422&gt;=4,"A",IF('Data Source'!W422&gt;=3.5,"A-",IF('Data Source'!W422&gt;=3,"B",IF('Data Source'!W422&gt;=2,"C",IF('Data Source'!W422&gt;=1,"D","F")))))),"")</f>
        <v/>
      </c>
      <c r="F422" s="3">
        <f>IF(AND('Data Source'!B422&lt;&gt;"",'Data Source'!S422="A+"),IF('Data Source'!X422&gt;=5,"A+",IF('Data Source'!X422&gt;=4,"A",IF('Data Source'!X422&gt;=3.5,"A-",IF('Data Source'!X422&gt;=3,"B",IF('Data Source'!X422&gt;=2,"C",IF('Data Source'!X422&gt;=1,"D","F")))))),"")</f>
        <v/>
      </c>
      <c r="G422" s="3">
        <f>IF(AND('Data Source'!B422&lt;&gt;"",'Data Source'!S422="A+"),IF('Data Source'!Y422&gt;=5,"A+",IF('Data Source'!Y422&gt;=4,"A",IF('Data Source'!Y422&gt;=3.5,"A-",IF('Data Source'!Y422&gt;=3,"B",IF('Data Source'!Y422&gt;=2,"C",IF('Data Source'!Y422&gt;=1,"D","F")))))),"")</f>
        <v/>
      </c>
      <c r="H422" s="3">
        <f>IF(AND('Data Source'!B422&lt;&gt;"",'Data Source'!S422="A+"),IF('Data Source'!Z422&gt;=5,"A+",IF('Data Source'!Z422&gt;=4,"A",IF('Data Source'!Z422&gt;=3.5,"A-",IF('Data Source'!Z422&gt;=3,"B",IF('Data Source'!Z422&gt;=2,"C",IF('Data Source'!Z422&gt;=1,"D","F")))))),"")</f>
        <v/>
      </c>
      <c r="I422" s="3">
        <f>IF(AND('Data Source'!B422&lt;&gt;"",'Data Source'!S422="A+"),IF('Data Source'!AA422&gt;=5,"A+",IF('Data Source'!AA422&gt;=4,"A",IF('Data Source'!AA422&gt;=3.5,"A-",IF('Data Source'!AA422&gt;=3,"B",IF('Data Source'!AA422&gt;=2,"C",IF('Data Source'!AA422&gt;=1,"D","F")))))),"")</f>
        <v/>
      </c>
      <c r="J422" s="3">
        <f>IF(AND('Data Source'!B422&lt;&gt;"",'Data Source'!S422="A+"),IF('Data Source'!AB422&gt;=5,"A+",IF('Data Source'!AB422&gt;=4,"A",IF('Data Source'!AB422&gt;=3.5,"A-",IF('Data Source'!AB422&gt;=3,"B",IF('Data Source'!AB422&gt;=2,"C",IF('Data Source'!AB422&gt;=1,"D","F")))))),"")</f>
        <v/>
      </c>
      <c r="K422" s="3">
        <f>IF(AND('Data Source'!B422&lt;&gt;"",'Data Source'!S422="A+"),IF('Data Source'!AC422&gt;=5,"A+",IF('Data Source'!AC422&gt;=4,"A",IF('Data Source'!AC422&gt;=3.5,"A-",IF('Data Source'!AC422&gt;=3,"B",IF('Data Source'!AC422&gt;=2,"C",IF('Data Source'!AC422&gt;=1,"D","F")))))),"")</f>
        <v/>
      </c>
      <c r="L422" s="3">
        <f>IF(AND('Data Source'!B422&lt;&gt;"",'Data Source'!S422="A+"),IF('Data Source'!AD422&gt;=5,"A+",IF('Data Source'!AD422&gt;=4,"A",IF('Data Source'!AD422&gt;=3.5,"A-",IF('Data Source'!AD422&gt;=3,"B",IF('Data Source'!AD422&gt;=2,"C",IF('Data Source'!AD422&gt;=1,"D","F")))))),"")</f>
        <v/>
      </c>
      <c r="M422" s="3">
        <f>IF(AND('Data Source'!B422&lt;&gt;"",'Data Source'!S422="A+"),IF('Data Source'!AE422&gt;=5,"A+",IF('Data Source'!AE422&gt;=4,"A",IF('Data Source'!AE422&gt;=3.5,"A-",IF('Data Source'!AE422&gt;=3,"B",IF('Data Source'!AE422&gt;=2,"C",IF('Data Source'!AE422&gt;=1,"D","F")))))),"")</f>
        <v/>
      </c>
      <c r="N422" s="3">
        <f>IF(AND('Data Source'!B422&lt;&gt;"",'Data Source'!S422="A+"),IF('Data Source'!AF422&gt;=5,"A+",IF('Data Source'!AF422&gt;=4,"A",IF('Data Source'!AF422&gt;=3.5,"A-",IF('Data Source'!AF422&gt;=3,"B",IF('Data Source'!AF422&gt;=2,"C",IF('Data Source'!AF422&gt;=1,"D","F")))))),"")</f>
        <v/>
      </c>
      <c r="O422" s="3">
        <f>IF(AND('Data Source'!B422&lt;&gt;"",'Data Source'!S422="A+"),IF('Data Source'!AG422&gt;=5,"A+",IF('Data Source'!AG422&gt;=4,"A",IF('Data Source'!AG422&gt;=3.5,"A-",IF('Data Source'!AG422&gt;=3,"B",IF('Data Source'!AG422&gt;=2,"C",IF('Data Source'!AG422&gt;=1,"D","F")))))),"")</f>
        <v/>
      </c>
      <c r="P422" s="5">
        <f>IF(AND('Data Source'!B422&lt;&gt;"",'Data Source'!S422="A+"),'Data Source'!R422,"")</f>
        <v/>
      </c>
      <c r="Q422" s="3">
        <f>IF(AND('Data Source'!B422&lt;&gt;"",'Data Source'!S422="A+"),'Data Source'!S422,"")</f>
        <v/>
      </c>
    </row>
    <row r="423">
      <c r="A423" s="3">
        <f>IF(AND('Data Source'!B423&lt;&gt;"",'Data Source'!S423="A+"),COUNTIF('Data Source'!$S$3:S423,"A+"),"")</f>
        <v/>
      </c>
      <c r="B423">
        <f>IF(AND('Data Source'!B423&lt;&gt;"",'Data Source'!S423="A+"),'Data Source'!B423,"")</f>
        <v/>
      </c>
      <c r="C423" s="3">
        <f>IF(AND('Data Source'!B423&lt;&gt;"",'Data Source'!S423="A+"),IF('Data Source'!U423&gt;=5,"A+",IF('Data Source'!U423&gt;=4,"A",IF('Data Source'!U423&gt;=3.5,"A-",IF('Data Source'!U423&gt;=3,"B",IF('Data Source'!U423&gt;=2,"C",IF('Data Source'!U423&gt;=1,"D","F")))))),"")</f>
        <v/>
      </c>
      <c r="D423" s="3">
        <f>IF(AND('Data Source'!B423&lt;&gt;"",'Data Source'!S423="A+"),IF('Data Source'!V423&gt;=5,"A+",IF('Data Source'!V423&gt;=4,"A",IF('Data Source'!V423&gt;=3.5,"A-",IF('Data Source'!V423&gt;=3,"B",IF('Data Source'!V423&gt;=2,"C",IF('Data Source'!V423&gt;=1,"D","F")))))),"")</f>
        <v/>
      </c>
      <c r="E423" s="3">
        <f>IF(AND('Data Source'!B423&lt;&gt;"",'Data Source'!S423="A+"),IF('Data Source'!W423&gt;=5,"A+",IF('Data Source'!W423&gt;=4,"A",IF('Data Source'!W423&gt;=3.5,"A-",IF('Data Source'!W423&gt;=3,"B",IF('Data Source'!W423&gt;=2,"C",IF('Data Source'!W423&gt;=1,"D","F")))))),"")</f>
        <v/>
      </c>
      <c r="F423" s="3">
        <f>IF(AND('Data Source'!B423&lt;&gt;"",'Data Source'!S423="A+"),IF('Data Source'!X423&gt;=5,"A+",IF('Data Source'!X423&gt;=4,"A",IF('Data Source'!X423&gt;=3.5,"A-",IF('Data Source'!X423&gt;=3,"B",IF('Data Source'!X423&gt;=2,"C",IF('Data Source'!X423&gt;=1,"D","F")))))),"")</f>
        <v/>
      </c>
      <c r="G423" s="3">
        <f>IF(AND('Data Source'!B423&lt;&gt;"",'Data Source'!S423="A+"),IF('Data Source'!Y423&gt;=5,"A+",IF('Data Source'!Y423&gt;=4,"A",IF('Data Source'!Y423&gt;=3.5,"A-",IF('Data Source'!Y423&gt;=3,"B",IF('Data Source'!Y423&gt;=2,"C",IF('Data Source'!Y423&gt;=1,"D","F")))))),"")</f>
        <v/>
      </c>
      <c r="H423" s="3">
        <f>IF(AND('Data Source'!B423&lt;&gt;"",'Data Source'!S423="A+"),IF('Data Source'!Z423&gt;=5,"A+",IF('Data Source'!Z423&gt;=4,"A",IF('Data Source'!Z423&gt;=3.5,"A-",IF('Data Source'!Z423&gt;=3,"B",IF('Data Source'!Z423&gt;=2,"C",IF('Data Source'!Z423&gt;=1,"D","F")))))),"")</f>
        <v/>
      </c>
      <c r="I423" s="3">
        <f>IF(AND('Data Source'!B423&lt;&gt;"",'Data Source'!S423="A+"),IF('Data Source'!AA423&gt;=5,"A+",IF('Data Source'!AA423&gt;=4,"A",IF('Data Source'!AA423&gt;=3.5,"A-",IF('Data Source'!AA423&gt;=3,"B",IF('Data Source'!AA423&gt;=2,"C",IF('Data Source'!AA423&gt;=1,"D","F")))))),"")</f>
        <v/>
      </c>
      <c r="J423" s="3">
        <f>IF(AND('Data Source'!B423&lt;&gt;"",'Data Source'!S423="A+"),IF('Data Source'!AB423&gt;=5,"A+",IF('Data Source'!AB423&gt;=4,"A",IF('Data Source'!AB423&gt;=3.5,"A-",IF('Data Source'!AB423&gt;=3,"B",IF('Data Source'!AB423&gt;=2,"C",IF('Data Source'!AB423&gt;=1,"D","F")))))),"")</f>
        <v/>
      </c>
      <c r="K423" s="3">
        <f>IF(AND('Data Source'!B423&lt;&gt;"",'Data Source'!S423="A+"),IF('Data Source'!AC423&gt;=5,"A+",IF('Data Source'!AC423&gt;=4,"A",IF('Data Source'!AC423&gt;=3.5,"A-",IF('Data Source'!AC423&gt;=3,"B",IF('Data Source'!AC423&gt;=2,"C",IF('Data Source'!AC423&gt;=1,"D","F")))))),"")</f>
        <v/>
      </c>
      <c r="L423" s="3">
        <f>IF(AND('Data Source'!B423&lt;&gt;"",'Data Source'!S423="A+"),IF('Data Source'!AD423&gt;=5,"A+",IF('Data Source'!AD423&gt;=4,"A",IF('Data Source'!AD423&gt;=3.5,"A-",IF('Data Source'!AD423&gt;=3,"B",IF('Data Source'!AD423&gt;=2,"C",IF('Data Source'!AD423&gt;=1,"D","F")))))),"")</f>
        <v/>
      </c>
      <c r="M423" s="3">
        <f>IF(AND('Data Source'!B423&lt;&gt;"",'Data Source'!S423="A+"),IF('Data Source'!AE423&gt;=5,"A+",IF('Data Source'!AE423&gt;=4,"A",IF('Data Source'!AE423&gt;=3.5,"A-",IF('Data Source'!AE423&gt;=3,"B",IF('Data Source'!AE423&gt;=2,"C",IF('Data Source'!AE423&gt;=1,"D","F")))))),"")</f>
        <v/>
      </c>
      <c r="N423" s="3">
        <f>IF(AND('Data Source'!B423&lt;&gt;"",'Data Source'!S423="A+"),IF('Data Source'!AF423&gt;=5,"A+",IF('Data Source'!AF423&gt;=4,"A",IF('Data Source'!AF423&gt;=3.5,"A-",IF('Data Source'!AF423&gt;=3,"B",IF('Data Source'!AF423&gt;=2,"C",IF('Data Source'!AF423&gt;=1,"D","F")))))),"")</f>
        <v/>
      </c>
      <c r="O423" s="3">
        <f>IF(AND('Data Source'!B423&lt;&gt;"",'Data Source'!S423="A+"),IF('Data Source'!AG423&gt;=5,"A+",IF('Data Source'!AG423&gt;=4,"A",IF('Data Source'!AG423&gt;=3.5,"A-",IF('Data Source'!AG423&gt;=3,"B",IF('Data Source'!AG423&gt;=2,"C",IF('Data Source'!AG423&gt;=1,"D","F")))))),"")</f>
        <v/>
      </c>
      <c r="P423" s="5">
        <f>IF(AND('Data Source'!B423&lt;&gt;"",'Data Source'!S423="A+"),'Data Source'!R423,"")</f>
        <v/>
      </c>
      <c r="Q423" s="3">
        <f>IF(AND('Data Source'!B423&lt;&gt;"",'Data Source'!S423="A+"),'Data Source'!S423,"")</f>
        <v/>
      </c>
    </row>
    <row r="424">
      <c r="A424" s="3">
        <f>IF(AND('Data Source'!B424&lt;&gt;"",'Data Source'!S424="A+"),COUNTIF('Data Source'!$S$3:S424,"A+"),"")</f>
        <v/>
      </c>
      <c r="B424">
        <f>IF(AND('Data Source'!B424&lt;&gt;"",'Data Source'!S424="A+"),'Data Source'!B424,"")</f>
        <v/>
      </c>
      <c r="C424" s="3">
        <f>IF(AND('Data Source'!B424&lt;&gt;"",'Data Source'!S424="A+"),IF('Data Source'!U424&gt;=5,"A+",IF('Data Source'!U424&gt;=4,"A",IF('Data Source'!U424&gt;=3.5,"A-",IF('Data Source'!U424&gt;=3,"B",IF('Data Source'!U424&gt;=2,"C",IF('Data Source'!U424&gt;=1,"D","F")))))),"")</f>
        <v/>
      </c>
      <c r="D424" s="3">
        <f>IF(AND('Data Source'!B424&lt;&gt;"",'Data Source'!S424="A+"),IF('Data Source'!V424&gt;=5,"A+",IF('Data Source'!V424&gt;=4,"A",IF('Data Source'!V424&gt;=3.5,"A-",IF('Data Source'!V424&gt;=3,"B",IF('Data Source'!V424&gt;=2,"C",IF('Data Source'!V424&gt;=1,"D","F")))))),"")</f>
        <v/>
      </c>
      <c r="E424" s="3">
        <f>IF(AND('Data Source'!B424&lt;&gt;"",'Data Source'!S424="A+"),IF('Data Source'!W424&gt;=5,"A+",IF('Data Source'!W424&gt;=4,"A",IF('Data Source'!W424&gt;=3.5,"A-",IF('Data Source'!W424&gt;=3,"B",IF('Data Source'!W424&gt;=2,"C",IF('Data Source'!W424&gt;=1,"D","F")))))),"")</f>
        <v/>
      </c>
      <c r="F424" s="3">
        <f>IF(AND('Data Source'!B424&lt;&gt;"",'Data Source'!S424="A+"),IF('Data Source'!X424&gt;=5,"A+",IF('Data Source'!X424&gt;=4,"A",IF('Data Source'!X424&gt;=3.5,"A-",IF('Data Source'!X424&gt;=3,"B",IF('Data Source'!X424&gt;=2,"C",IF('Data Source'!X424&gt;=1,"D","F")))))),"")</f>
        <v/>
      </c>
      <c r="G424" s="3">
        <f>IF(AND('Data Source'!B424&lt;&gt;"",'Data Source'!S424="A+"),IF('Data Source'!Y424&gt;=5,"A+",IF('Data Source'!Y424&gt;=4,"A",IF('Data Source'!Y424&gt;=3.5,"A-",IF('Data Source'!Y424&gt;=3,"B",IF('Data Source'!Y424&gt;=2,"C",IF('Data Source'!Y424&gt;=1,"D","F")))))),"")</f>
        <v/>
      </c>
      <c r="H424" s="3">
        <f>IF(AND('Data Source'!B424&lt;&gt;"",'Data Source'!S424="A+"),IF('Data Source'!Z424&gt;=5,"A+",IF('Data Source'!Z424&gt;=4,"A",IF('Data Source'!Z424&gt;=3.5,"A-",IF('Data Source'!Z424&gt;=3,"B",IF('Data Source'!Z424&gt;=2,"C",IF('Data Source'!Z424&gt;=1,"D","F")))))),"")</f>
        <v/>
      </c>
      <c r="I424" s="3">
        <f>IF(AND('Data Source'!B424&lt;&gt;"",'Data Source'!S424="A+"),IF('Data Source'!AA424&gt;=5,"A+",IF('Data Source'!AA424&gt;=4,"A",IF('Data Source'!AA424&gt;=3.5,"A-",IF('Data Source'!AA424&gt;=3,"B",IF('Data Source'!AA424&gt;=2,"C",IF('Data Source'!AA424&gt;=1,"D","F")))))),"")</f>
        <v/>
      </c>
      <c r="J424" s="3">
        <f>IF(AND('Data Source'!B424&lt;&gt;"",'Data Source'!S424="A+"),IF('Data Source'!AB424&gt;=5,"A+",IF('Data Source'!AB424&gt;=4,"A",IF('Data Source'!AB424&gt;=3.5,"A-",IF('Data Source'!AB424&gt;=3,"B",IF('Data Source'!AB424&gt;=2,"C",IF('Data Source'!AB424&gt;=1,"D","F")))))),"")</f>
        <v/>
      </c>
      <c r="K424" s="3">
        <f>IF(AND('Data Source'!B424&lt;&gt;"",'Data Source'!S424="A+"),IF('Data Source'!AC424&gt;=5,"A+",IF('Data Source'!AC424&gt;=4,"A",IF('Data Source'!AC424&gt;=3.5,"A-",IF('Data Source'!AC424&gt;=3,"B",IF('Data Source'!AC424&gt;=2,"C",IF('Data Source'!AC424&gt;=1,"D","F")))))),"")</f>
        <v/>
      </c>
      <c r="L424" s="3">
        <f>IF(AND('Data Source'!B424&lt;&gt;"",'Data Source'!S424="A+"),IF('Data Source'!AD424&gt;=5,"A+",IF('Data Source'!AD424&gt;=4,"A",IF('Data Source'!AD424&gt;=3.5,"A-",IF('Data Source'!AD424&gt;=3,"B",IF('Data Source'!AD424&gt;=2,"C",IF('Data Source'!AD424&gt;=1,"D","F")))))),"")</f>
        <v/>
      </c>
      <c r="M424" s="3">
        <f>IF(AND('Data Source'!B424&lt;&gt;"",'Data Source'!S424="A+"),IF('Data Source'!AE424&gt;=5,"A+",IF('Data Source'!AE424&gt;=4,"A",IF('Data Source'!AE424&gt;=3.5,"A-",IF('Data Source'!AE424&gt;=3,"B",IF('Data Source'!AE424&gt;=2,"C",IF('Data Source'!AE424&gt;=1,"D","F")))))),"")</f>
        <v/>
      </c>
      <c r="N424" s="3">
        <f>IF(AND('Data Source'!B424&lt;&gt;"",'Data Source'!S424="A+"),IF('Data Source'!AF424&gt;=5,"A+",IF('Data Source'!AF424&gt;=4,"A",IF('Data Source'!AF424&gt;=3.5,"A-",IF('Data Source'!AF424&gt;=3,"B",IF('Data Source'!AF424&gt;=2,"C",IF('Data Source'!AF424&gt;=1,"D","F")))))),"")</f>
        <v/>
      </c>
      <c r="O424" s="3">
        <f>IF(AND('Data Source'!B424&lt;&gt;"",'Data Source'!S424="A+"),IF('Data Source'!AG424&gt;=5,"A+",IF('Data Source'!AG424&gt;=4,"A",IF('Data Source'!AG424&gt;=3.5,"A-",IF('Data Source'!AG424&gt;=3,"B",IF('Data Source'!AG424&gt;=2,"C",IF('Data Source'!AG424&gt;=1,"D","F")))))),"")</f>
        <v/>
      </c>
      <c r="P424" s="5">
        <f>IF(AND('Data Source'!B424&lt;&gt;"",'Data Source'!S424="A+"),'Data Source'!R424,"")</f>
        <v/>
      </c>
      <c r="Q424" s="3">
        <f>IF(AND('Data Source'!B424&lt;&gt;"",'Data Source'!S424="A+"),'Data Source'!S424,"")</f>
        <v/>
      </c>
    </row>
    <row r="425">
      <c r="A425" s="3">
        <f>IF(AND('Data Source'!B425&lt;&gt;"",'Data Source'!S425="A+"),COUNTIF('Data Source'!$S$3:S425,"A+"),"")</f>
        <v/>
      </c>
      <c r="B425">
        <f>IF(AND('Data Source'!B425&lt;&gt;"",'Data Source'!S425="A+"),'Data Source'!B425,"")</f>
        <v/>
      </c>
      <c r="C425" s="3">
        <f>IF(AND('Data Source'!B425&lt;&gt;"",'Data Source'!S425="A+"),IF('Data Source'!U425&gt;=5,"A+",IF('Data Source'!U425&gt;=4,"A",IF('Data Source'!U425&gt;=3.5,"A-",IF('Data Source'!U425&gt;=3,"B",IF('Data Source'!U425&gt;=2,"C",IF('Data Source'!U425&gt;=1,"D","F")))))),"")</f>
        <v/>
      </c>
      <c r="D425" s="3">
        <f>IF(AND('Data Source'!B425&lt;&gt;"",'Data Source'!S425="A+"),IF('Data Source'!V425&gt;=5,"A+",IF('Data Source'!V425&gt;=4,"A",IF('Data Source'!V425&gt;=3.5,"A-",IF('Data Source'!V425&gt;=3,"B",IF('Data Source'!V425&gt;=2,"C",IF('Data Source'!V425&gt;=1,"D","F")))))),"")</f>
        <v/>
      </c>
      <c r="E425" s="3">
        <f>IF(AND('Data Source'!B425&lt;&gt;"",'Data Source'!S425="A+"),IF('Data Source'!W425&gt;=5,"A+",IF('Data Source'!W425&gt;=4,"A",IF('Data Source'!W425&gt;=3.5,"A-",IF('Data Source'!W425&gt;=3,"B",IF('Data Source'!W425&gt;=2,"C",IF('Data Source'!W425&gt;=1,"D","F")))))),"")</f>
        <v/>
      </c>
      <c r="F425" s="3">
        <f>IF(AND('Data Source'!B425&lt;&gt;"",'Data Source'!S425="A+"),IF('Data Source'!X425&gt;=5,"A+",IF('Data Source'!X425&gt;=4,"A",IF('Data Source'!X425&gt;=3.5,"A-",IF('Data Source'!X425&gt;=3,"B",IF('Data Source'!X425&gt;=2,"C",IF('Data Source'!X425&gt;=1,"D","F")))))),"")</f>
        <v/>
      </c>
      <c r="G425" s="3">
        <f>IF(AND('Data Source'!B425&lt;&gt;"",'Data Source'!S425="A+"),IF('Data Source'!Y425&gt;=5,"A+",IF('Data Source'!Y425&gt;=4,"A",IF('Data Source'!Y425&gt;=3.5,"A-",IF('Data Source'!Y425&gt;=3,"B",IF('Data Source'!Y425&gt;=2,"C",IF('Data Source'!Y425&gt;=1,"D","F")))))),"")</f>
        <v/>
      </c>
      <c r="H425" s="3">
        <f>IF(AND('Data Source'!B425&lt;&gt;"",'Data Source'!S425="A+"),IF('Data Source'!Z425&gt;=5,"A+",IF('Data Source'!Z425&gt;=4,"A",IF('Data Source'!Z425&gt;=3.5,"A-",IF('Data Source'!Z425&gt;=3,"B",IF('Data Source'!Z425&gt;=2,"C",IF('Data Source'!Z425&gt;=1,"D","F")))))),"")</f>
        <v/>
      </c>
      <c r="I425" s="3">
        <f>IF(AND('Data Source'!B425&lt;&gt;"",'Data Source'!S425="A+"),IF('Data Source'!AA425&gt;=5,"A+",IF('Data Source'!AA425&gt;=4,"A",IF('Data Source'!AA425&gt;=3.5,"A-",IF('Data Source'!AA425&gt;=3,"B",IF('Data Source'!AA425&gt;=2,"C",IF('Data Source'!AA425&gt;=1,"D","F")))))),"")</f>
        <v/>
      </c>
      <c r="J425" s="3">
        <f>IF(AND('Data Source'!B425&lt;&gt;"",'Data Source'!S425="A+"),IF('Data Source'!AB425&gt;=5,"A+",IF('Data Source'!AB425&gt;=4,"A",IF('Data Source'!AB425&gt;=3.5,"A-",IF('Data Source'!AB425&gt;=3,"B",IF('Data Source'!AB425&gt;=2,"C",IF('Data Source'!AB425&gt;=1,"D","F")))))),"")</f>
        <v/>
      </c>
      <c r="K425" s="3">
        <f>IF(AND('Data Source'!B425&lt;&gt;"",'Data Source'!S425="A+"),IF('Data Source'!AC425&gt;=5,"A+",IF('Data Source'!AC425&gt;=4,"A",IF('Data Source'!AC425&gt;=3.5,"A-",IF('Data Source'!AC425&gt;=3,"B",IF('Data Source'!AC425&gt;=2,"C",IF('Data Source'!AC425&gt;=1,"D","F")))))),"")</f>
        <v/>
      </c>
      <c r="L425" s="3">
        <f>IF(AND('Data Source'!B425&lt;&gt;"",'Data Source'!S425="A+"),IF('Data Source'!AD425&gt;=5,"A+",IF('Data Source'!AD425&gt;=4,"A",IF('Data Source'!AD425&gt;=3.5,"A-",IF('Data Source'!AD425&gt;=3,"B",IF('Data Source'!AD425&gt;=2,"C",IF('Data Source'!AD425&gt;=1,"D","F")))))),"")</f>
        <v/>
      </c>
      <c r="M425" s="3">
        <f>IF(AND('Data Source'!B425&lt;&gt;"",'Data Source'!S425="A+"),IF('Data Source'!AE425&gt;=5,"A+",IF('Data Source'!AE425&gt;=4,"A",IF('Data Source'!AE425&gt;=3.5,"A-",IF('Data Source'!AE425&gt;=3,"B",IF('Data Source'!AE425&gt;=2,"C",IF('Data Source'!AE425&gt;=1,"D","F")))))),"")</f>
        <v/>
      </c>
      <c r="N425" s="3">
        <f>IF(AND('Data Source'!B425&lt;&gt;"",'Data Source'!S425="A+"),IF('Data Source'!AF425&gt;=5,"A+",IF('Data Source'!AF425&gt;=4,"A",IF('Data Source'!AF425&gt;=3.5,"A-",IF('Data Source'!AF425&gt;=3,"B",IF('Data Source'!AF425&gt;=2,"C",IF('Data Source'!AF425&gt;=1,"D","F")))))),"")</f>
        <v/>
      </c>
      <c r="O425" s="3">
        <f>IF(AND('Data Source'!B425&lt;&gt;"",'Data Source'!S425="A+"),IF('Data Source'!AG425&gt;=5,"A+",IF('Data Source'!AG425&gt;=4,"A",IF('Data Source'!AG425&gt;=3.5,"A-",IF('Data Source'!AG425&gt;=3,"B",IF('Data Source'!AG425&gt;=2,"C",IF('Data Source'!AG425&gt;=1,"D","F")))))),"")</f>
        <v/>
      </c>
      <c r="P425" s="5">
        <f>IF(AND('Data Source'!B425&lt;&gt;"",'Data Source'!S425="A+"),'Data Source'!R425,"")</f>
        <v/>
      </c>
      <c r="Q425" s="3">
        <f>IF(AND('Data Source'!B425&lt;&gt;"",'Data Source'!S425="A+"),'Data Source'!S425,"")</f>
        <v/>
      </c>
    </row>
    <row r="426">
      <c r="A426" s="3">
        <f>IF(AND('Data Source'!B426&lt;&gt;"",'Data Source'!S426="A+"),COUNTIF('Data Source'!$S$3:S426,"A+"),"")</f>
        <v/>
      </c>
      <c r="B426">
        <f>IF(AND('Data Source'!B426&lt;&gt;"",'Data Source'!S426="A+"),'Data Source'!B426,"")</f>
        <v/>
      </c>
      <c r="C426" s="3">
        <f>IF(AND('Data Source'!B426&lt;&gt;"",'Data Source'!S426="A+"),IF('Data Source'!U426&gt;=5,"A+",IF('Data Source'!U426&gt;=4,"A",IF('Data Source'!U426&gt;=3.5,"A-",IF('Data Source'!U426&gt;=3,"B",IF('Data Source'!U426&gt;=2,"C",IF('Data Source'!U426&gt;=1,"D","F")))))),"")</f>
        <v/>
      </c>
      <c r="D426" s="3">
        <f>IF(AND('Data Source'!B426&lt;&gt;"",'Data Source'!S426="A+"),IF('Data Source'!V426&gt;=5,"A+",IF('Data Source'!V426&gt;=4,"A",IF('Data Source'!V426&gt;=3.5,"A-",IF('Data Source'!V426&gt;=3,"B",IF('Data Source'!V426&gt;=2,"C",IF('Data Source'!V426&gt;=1,"D","F")))))),"")</f>
        <v/>
      </c>
      <c r="E426" s="3">
        <f>IF(AND('Data Source'!B426&lt;&gt;"",'Data Source'!S426="A+"),IF('Data Source'!W426&gt;=5,"A+",IF('Data Source'!W426&gt;=4,"A",IF('Data Source'!W426&gt;=3.5,"A-",IF('Data Source'!W426&gt;=3,"B",IF('Data Source'!W426&gt;=2,"C",IF('Data Source'!W426&gt;=1,"D","F")))))),"")</f>
        <v/>
      </c>
      <c r="F426" s="3">
        <f>IF(AND('Data Source'!B426&lt;&gt;"",'Data Source'!S426="A+"),IF('Data Source'!X426&gt;=5,"A+",IF('Data Source'!X426&gt;=4,"A",IF('Data Source'!X426&gt;=3.5,"A-",IF('Data Source'!X426&gt;=3,"B",IF('Data Source'!X426&gt;=2,"C",IF('Data Source'!X426&gt;=1,"D","F")))))),"")</f>
        <v/>
      </c>
      <c r="G426" s="3">
        <f>IF(AND('Data Source'!B426&lt;&gt;"",'Data Source'!S426="A+"),IF('Data Source'!Y426&gt;=5,"A+",IF('Data Source'!Y426&gt;=4,"A",IF('Data Source'!Y426&gt;=3.5,"A-",IF('Data Source'!Y426&gt;=3,"B",IF('Data Source'!Y426&gt;=2,"C",IF('Data Source'!Y426&gt;=1,"D","F")))))),"")</f>
        <v/>
      </c>
      <c r="H426" s="3">
        <f>IF(AND('Data Source'!B426&lt;&gt;"",'Data Source'!S426="A+"),IF('Data Source'!Z426&gt;=5,"A+",IF('Data Source'!Z426&gt;=4,"A",IF('Data Source'!Z426&gt;=3.5,"A-",IF('Data Source'!Z426&gt;=3,"B",IF('Data Source'!Z426&gt;=2,"C",IF('Data Source'!Z426&gt;=1,"D","F")))))),"")</f>
        <v/>
      </c>
      <c r="I426" s="3">
        <f>IF(AND('Data Source'!B426&lt;&gt;"",'Data Source'!S426="A+"),IF('Data Source'!AA426&gt;=5,"A+",IF('Data Source'!AA426&gt;=4,"A",IF('Data Source'!AA426&gt;=3.5,"A-",IF('Data Source'!AA426&gt;=3,"B",IF('Data Source'!AA426&gt;=2,"C",IF('Data Source'!AA426&gt;=1,"D","F")))))),"")</f>
        <v/>
      </c>
      <c r="J426" s="3">
        <f>IF(AND('Data Source'!B426&lt;&gt;"",'Data Source'!S426="A+"),IF('Data Source'!AB426&gt;=5,"A+",IF('Data Source'!AB426&gt;=4,"A",IF('Data Source'!AB426&gt;=3.5,"A-",IF('Data Source'!AB426&gt;=3,"B",IF('Data Source'!AB426&gt;=2,"C",IF('Data Source'!AB426&gt;=1,"D","F")))))),"")</f>
        <v/>
      </c>
      <c r="K426" s="3">
        <f>IF(AND('Data Source'!B426&lt;&gt;"",'Data Source'!S426="A+"),IF('Data Source'!AC426&gt;=5,"A+",IF('Data Source'!AC426&gt;=4,"A",IF('Data Source'!AC426&gt;=3.5,"A-",IF('Data Source'!AC426&gt;=3,"B",IF('Data Source'!AC426&gt;=2,"C",IF('Data Source'!AC426&gt;=1,"D","F")))))),"")</f>
        <v/>
      </c>
      <c r="L426" s="3">
        <f>IF(AND('Data Source'!B426&lt;&gt;"",'Data Source'!S426="A+"),IF('Data Source'!AD426&gt;=5,"A+",IF('Data Source'!AD426&gt;=4,"A",IF('Data Source'!AD426&gt;=3.5,"A-",IF('Data Source'!AD426&gt;=3,"B",IF('Data Source'!AD426&gt;=2,"C",IF('Data Source'!AD426&gt;=1,"D","F")))))),"")</f>
        <v/>
      </c>
      <c r="M426" s="3">
        <f>IF(AND('Data Source'!B426&lt;&gt;"",'Data Source'!S426="A+"),IF('Data Source'!AE426&gt;=5,"A+",IF('Data Source'!AE426&gt;=4,"A",IF('Data Source'!AE426&gt;=3.5,"A-",IF('Data Source'!AE426&gt;=3,"B",IF('Data Source'!AE426&gt;=2,"C",IF('Data Source'!AE426&gt;=1,"D","F")))))),"")</f>
        <v/>
      </c>
      <c r="N426" s="3">
        <f>IF(AND('Data Source'!B426&lt;&gt;"",'Data Source'!S426="A+"),IF('Data Source'!AF426&gt;=5,"A+",IF('Data Source'!AF426&gt;=4,"A",IF('Data Source'!AF426&gt;=3.5,"A-",IF('Data Source'!AF426&gt;=3,"B",IF('Data Source'!AF426&gt;=2,"C",IF('Data Source'!AF426&gt;=1,"D","F")))))),"")</f>
        <v/>
      </c>
      <c r="O426" s="3">
        <f>IF(AND('Data Source'!B426&lt;&gt;"",'Data Source'!S426="A+"),IF('Data Source'!AG426&gt;=5,"A+",IF('Data Source'!AG426&gt;=4,"A",IF('Data Source'!AG426&gt;=3.5,"A-",IF('Data Source'!AG426&gt;=3,"B",IF('Data Source'!AG426&gt;=2,"C",IF('Data Source'!AG426&gt;=1,"D","F")))))),"")</f>
        <v/>
      </c>
      <c r="P426" s="5">
        <f>IF(AND('Data Source'!B426&lt;&gt;"",'Data Source'!S426="A+"),'Data Source'!R426,"")</f>
        <v/>
      </c>
      <c r="Q426" s="3">
        <f>IF(AND('Data Source'!B426&lt;&gt;"",'Data Source'!S426="A+"),'Data Source'!S426,"")</f>
        <v/>
      </c>
    </row>
    <row r="427">
      <c r="A427" s="3">
        <f>IF(AND('Data Source'!B427&lt;&gt;"",'Data Source'!S427="A+"),COUNTIF('Data Source'!$S$3:S427,"A+"),"")</f>
        <v/>
      </c>
      <c r="B427">
        <f>IF(AND('Data Source'!B427&lt;&gt;"",'Data Source'!S427="A+"),'Data Source'!B427,"")</f>
        <v/>
      </c>
      <c r="C427" s="3">
        <f>IF(AND('Data Source'!B427&lt;&gt;"",'Data Source'!S427="A+"),IF('Data Source'!U427&gt;=5,"A+",IF('Data Source'!U427&gt;=4,"A",IF('Data Source'!U427&gt;=3.5,"A-",IF('Data Source'!U427&gt;=3,"B",IF('Data Source'!U427&gt;=2,"C",IF('Data Source'!U427&gt;=1,"D","F")))))),"")</f>
        <v/>
      </c>
      <c r="D427" s="3">
        <f>IF(AND('Data Source'!B427&lt;&gt;"",'Data Source'!S427="A+"),IF('Data Source'!V427&gt;=5,"A+",IF('Data Source'!V427&gt;=4,"A",IF('Data Source'!V427&gt;=3.5,"A-",IF('Data Source'!V427&gt;=3,"B",IF('Data Source'!V427&gt;=2,"C",IF('Data Source'!V427&gt;=1,"D","F")))))),"")</f>
        <v/>
      </c>
      <c r="E427" s="3">
        <f>IF(AND('Data Source'!B427&lt;&gt;"",'Data Source'!S427="A+"),IF('Data Source'!W427&gt;=5,"A+",IF('Data Source'!W427&gt;=4,"A",IF('Data Source'!W427&gt;=3.5,"A-",IF('Data Source'!W427&gt;=3,"B",IF('Data Source'!W427&gt;=2,"C",IF('Data Source'!W427&gt;=1,"D","F")))))),"")</f>
        <v/>
      </c>
      <c r="F427" s="3">
        <f>IF(AND('Data Source'!B427&lt;&gt;"",'Data Source'!S427="A+"),IF('Data Source'!X427&gt;=5,"A+",IF('Data Source'!X427&gt;=4,"A",IF('Data Source'!X427&gt;=3.5,"A-",IF('Data Source'!X427&gt;=3,"B",IF('Data Source'!X427&gt;=2,"C",IF('Data Source'!X427&gt;=1,"D","F")))))),"")</f>
        <v/>
      </c>
      <c r="G427" s="3">
        <f>IF(AND('Data Source'!B427&lt;&gt;"",'Data Source'!S427="A+"),IF('Data Source'!Y427&gt;=5,"A+",IF('Data Source'!Y427&gt;=4,"A",IF('Data Source'!Y427&gt;=3.5,"A-",IF('Data Source'!Y427&gt;=3,"B",IF('Data Source'!Y427&gt;=2,"C",IF('Data Source'!Y427&gt;=1,"D","F")))))),"")</f>
        <v/>
      </c>
      <c r="H427" s="3">
        <f>IF(AND('Data Source'!B427&lt;&gt;"",'Data Source'!S427="A+"),IF('Data Source'!Z427&gt;=5,"A+",IF('Data Source'!Z427&gt;=4,"A",IF('Data Source'!Z427&gt;=3.5,"A-",IF('Data Source'!Z427&gt;=3,"B",IF('Data Source'!Z427&gt;=2,"C",IF('Data Source'!Z427&gt;=1,"D","F")))))),"")</f>
        <v/>
      </c>
      <c r="I427" s="3">
        <f>IF(AND('Data Source'!B427&lt;&gt;"",'Data Source'!S427="A+"),IF('Data Source'!AA427&gt;=5,"A+",IF('Data Source'!AA427&gt;=4,"A",IF('Data Source'!AA427&gt;=3.5,"A-",IF('Data Source'!AA427&gt;=3,"B",IF('Data Source'!AA427&gt;=2,"C",IF('Data Source'!AA427&gt;=1,"D","F")))))),"")</f>
        <v/>
      </c>
      <c r="J427" s="3">
        <f>IF(AND('Data Source'!B427&lt;&gt;"",'Data Source'!S427="A+"),IF('Data Source'!AB427&gt;=5,"A+",IF('Data Source'!AB427&gt;=4,"A",IF('Data Source'!AB427&gt;=3.5,"A-",IF('Data Source'!AB427&gt;=3,"B",IF('Data Source'!AB427&gt;=2,"C",IF('Data Source'!AB427&gt;=1,"D","F")))))),"")</f>
        <v/>
      </c>
      <c r="K427" s="3">
        <f>IF(AND('Data Source'!B427&lt;&gt;"",'Data Source'!S427="A+"),IF('Data Source'!AC427&gt;=5,"A+",IF('Data Source'!AC427&gt;=4,"A",IF('Data Source'!AC427&gt;=3.5,"A-",IF('Data Source'!AC427&gt;=3,"B",IF('Data Source'!AC427&gt;=2,"C",IF('Data Source'!AC427&gt;=1,"D","F")))))),"")</f>
        <v/>
      </c>
      <c r="L427" s="3">
        <f>IF(AND('Data Source'!B427&lt;&gt;"",'Data Source'!S427="A+"),IF('Data Source'!AD427&gt;=5,"A+",IF('Data Source'!AD427&gt;=4,"A",IF('Data Source'!AD427&gt;=3.5,"A-",IF('Data Source'!AD427&gt;=3,"B",IF('Data Source'!AD427&gt;=2,"C",IF('Data Source'!AD427&gt;=1,"D","F")))))),"")</f>
        <v/>
      </c>
      <c r="M427" s="3">
        <f>IF(AND('Data Source'!B427&lt;&gt;"",'Data Source'!S427="A+"),IF('Data Source'!AE427&gt;=5,"A+",IF('Data Source'!AE427&gt;=4,"A",IF('Data Source'!AE427&gt;=3.5,"A-",IF('Data Source'!AE427&gt;=3,"B",IF('Data Source'!AE427&gt;=2,"C",IF('Data Source'!AE427&gt;=1,"D","F")))))),"")</f>
        <v/>
      </c>
      <c r="N427" s="3">
        <f>IF(AND('Data Source'!B427&lt;&gt;"",'Data Source'!S427="A+"),IF('Data Source'!AF427&gt;=5,"A+",IF('Data Source'!AF427&gt;=4,"A",IF('Data Source'!AF427&gt;=3.5,"A-",IF('Data Source'!AF427&gt;=3,"B",IF('Data Source'!AF427&gt;=2,"C",IF('Data Source'!AF427&gt;=1,"D","F")))))),"")</f>
        <v/>
      </c>
      <c r="O427" s="3">
        <f>IF(AND('Data Source'!B427&lt;&gt;"",'Data Source'!S427="A+"),IF('Data Source'!AG427&gt;=5,"A+",IF('Data Source'!AG427&gt;=4,"A",IF('Data Source'!AG427&gt;=3.5,"A-",IF('Data Source'!AG427&gt;=3,"B",IF('Data Source'!AG427&gt;=2,"C",IF('Data Source'!AG427&gt;=1,"D","F")))))),"")</f>
        <v/>
      </c>
      <c r="P427" s="5">
        <f>IF(AND('Data Source'!B427&lt;&gt;"",'Data Source'!S427="A+"),'Data Source'!R427,"")</f>
        <v/>
      </c>
      <c r="Q427" s="3">
        <f>IF(AND('Data Source'!B427&lt;&gt;"",'Data Source'!S427="A+"),'Data Source'!S427,"")</f>
        <v/>
      </c>
    </row>
    <row r="428">
      <c r="A428" s="3">
        <f>IF(AND('Data Source'!B428&lt;&gt;"",'Data Source'!S428="A+"),COUNTIF('Data Source'!$S$3:S428,"A+"),"")</f>
        <v/>
      </c>
      <c r="B428">
        <f>IF(AND('Data Source'!B428&lt;&gt;"",'Data Source'!S428="A+"),'Data Source'!B428,"")</f>
        <v/>
      </c>
      <c r="C428" s="3">
        <f>IF(AND('Data Source'!B428&lt;&gt;"",'Data Source'!S428="A+"),IF('Data Source'!U428&gt;=5,"A+",IF('Data Source'!U428&gt;=4,"A",IF('Data Source'!U428&gt;=3.5,"A-",IF('Data Source'!U428&gt;=3,"B",IF('Data Source'!U428&gt;=2,"C",IF('Data Source'!U428&gt;=1,"D","F")))))),"")</f>
        <v/>
      </c>
      <c r="D428" s="3">
        <f>IF(AND('Data Source'!B428&lt;&gt;"",'Data Source'!S428="A+"),IF('Data Source'!V428&gt;=5,"A+",IF('Data Source'!V428&gt;=4,"A",IF('Data Source'!V428&gt;=3.5,"A-",IF('Data Source'!V428&gt;=3,"B",IF('Data Source'!V428&gt;=2,"C",IF('Data Source'!V428&gt;=1,"D","F")))))),"")</f>
        <v/>
      </c>
      <c r="E428" s="3">
        <f>IF(AND('Data Source'!B428&lt;&gt;"",'Data Source'!S428="A+"),IF('Data Source'!W428&gt;=5,"A+",IF('Data Source'!W428&gt;=4,"A",IF('Data Source'!W428&gt;=3.5,"A-",IF('Data Source'!W428&gt;=3,"B",IF('Data Source'!W428&gt;=2,"C",IF('Data Source'!W428&gt;=1,"D","F")))))),"")</f>
        <v/>
      </c>
      <c r="F428" s="3">
        <f>IF(AND('Data Source'!B428&lt;&gt;"",'Data Source'!S428="A+"),IF('Data Source'!X428&gt;=5,"A+",IF('Data Source'!X428&gt;=4,"A",IF('Data Source'!X428&gt;=3.5,"A-",IF('Data Source'!X428&gt;=3,"B",IF('Data Source'!X428&gt;=2,"C",IF('Data Source'!X428&gt;=1,"D","F")))))),"")</f>
        <v/>
      </c>
      <c r="G428" s="3">
        <f>IF(AND('Data Source'!B428&lt;&gt;"",'Data Source'!S428="A+"),IF('Data Source'!Y428&gt;=5,"A+",IF('Data Source'!Y428&gt;=4,"A",IF('Data Source'!Y428&gt;=3.5,"A-",IF('Data Source'!Y428&gt;=3,"B",IF('Data Source'!Y428&gt;=2,"C",IF('Data Source'!Y428&gt;=1,"D","F")))))),"")</f>
        <v/>
      </c>
      <c r="H428" s="3">
        <f>IF(AND('Data Source'!B428&lt;&gt;"",'Data Source'!S428="A+"),IF('Data Source'!Z428&gt;=5,"A+",IF('Data Source'!Z428&gt;=4,"A",IF('Data Source'!Z428&gt;=3.5,"A-",IF('Data Source'!Z428&gt;=3,"B",IF('Data Source'!Z428&gt;=2,"C",IF('Data Source'!Z428&gt;=1,"D","F")))))),"")</f>
        <v/>
      </c>
      <c r="I428" s="3">
        <f>IF(AND('Data Source'!B428&lt;&gt;"",'Data Source'!S428="A+"),IF('Data Source'!AA428&gt;=5,"A+",IF('Data Source'!AA428&gt;=4,"A",IF('Data Source'!AA428&gt;=3.5,"A-",IF('Data Source'!AA428&gt;=3,"B",IF('Data Source'!AA428&gt;=2,"C",IF('Data Source'!AA428&gt;=1,"D","F")))))),"")</f>
        <v/>
      </c>
      <c r="J428" s="3">
        <f>IF(AND('Data Source'!B428&lt;&gt;"",'Data Source'!S428="A+"),IF('Data Source'!AB428&gt;=5,"A+",IF('Data Source'!AB428&gt;=4,"A",IF('Data Source'!AB428&gt;=3.5,"A-",IF('Data Source'!AB428&gt;=3,"B",IF('Data Source'!AB428&gt;=2,"C",IF('Data Source'!AB428&gt;=1,"D","F")))))),"")</f>
        <v/>
      </c>
      <c r="K428" s="3">
        <f>IF(AND('Data Source'!B428&lt;&gt;"",'Data Source'!S428="A+"),IF('Data Source'!AC428&gt;=5,"A+",IF('Data Source'!AC428&gt;=4,"A",IF('Data Source'!AC428&gt;=3.5,"A-",IF('Data Source'!AC428&gt;=3,"B",IF('Data Source'!AC428&gt;=2,"C",IF('Data Source'!AC428&gt;=1,"D","F")))))),"")</f>
        <v/>
      </c>
      <c r="L428" s="3">
        <f>IF(AND('Data Source'!B428&lt;&gt;"",'Data Source'!S428="A+"),IF('Data Source'!AD428&gt;=5,"A+",IF('Data Source'!AD428&gt;=4,"A",IF('Data Source'!AD428&gt;=3.5,"A-",IF('Data Source'!AD428&gt;=3,"B",IF('Data Source'!AD428&gt;=2,"C",IF('Data Source'!AD428&gt;=1,"D","F")))))),"")</f>
        <v/>
      </c>
      <c r="M428" s="3">
        <f>IF(AND('Data Source'!B428&lt;&gt;"",'Data Source'!S428="A+"),IF('Data Source'!AE428&gt;=5,"A+",IF('Data Source'!AE428&gt;=4,"A",IF('Data Source'!AE428&gt;=3.5,"A-",IF('Data Source'!AE428&gt;=3,"B",IF('Data Source'!AE428&gt;=2,"C",IF('Data Source'!AE428&gt;=1,"D","F")))))),"")</f>
        <v/>
      </c>
      <c r="N428" s="3">
        <f>IF(AND('Data Source'!B428&lt;&gt;"",'Data Source'!S428="A+"),IF('Data Source'!AF428&gt;=5,"A+",IF('Data Source'!AF428&gt;=4,"A",IF('Data Source'!AF428&gt;=3.5,"A-",IF('Data Source'!AF428&gt;=3,"B",IF('Data Source'!AF428&gt;=2,"C",IF('Data Source'!AF428&gt;=1,"D","F")))))),"")</f>
        <v/>
      </c>
      <c r="O428" s="3">
        <f>IF(AND('Data Source'!B428&lt;&gt;"",'Data Source'!S428="A+"),IF('Data Source'!AG428&gt;=5,"A+",IF('Data Source'!AG428&gt;=4,"A",IF('Data Source'!AG428&gt;=3.5,"A-",IF('Data Source'!AG428&gt;=3,"B",IF('Data Source'!AG428&gt;=2,"C",IF('Data Source'!AG428&gt;=1,"D","F")))))),"")</f>
        <v/>
      </c>
      <c r="P428" s="5">
        <f>IF(AND('Data Source'!B428&lt;&gt;"",'Data Source'!S428="A+"),'Data Source'!R428,"")</f>
        <v/>
      </c>
      <c r="Q428" s="3">
        <f>IF(AND('Data Source'!B428&lt;&gt;"",'Data Source'!S428="A+"),'Data Source'!S428,"")</f>
        <v/>
      </c>
    </row>
    <row r="429">
      <c r="A429" s="3">
        <f>IF(AND('Data Source'!B429&lt;&gt;"",'Data Source'!S429="A+"),COUNTIF('Data Source'!$S$3:S429,"A+"),"")</f>
        <v/>
      </c>
      <c r="B429">
        <f>IF(AND('Data Source'!B429&lt;&gt;"",'Data Source'!S429="A+"),'Data Source'!B429,"")</f>
        <v/>
      </c>
      <c r="C429" s="3">
        <f>IF(AND('Data Source'!B429&lt;&gt;"",'Data Source'!S429="A+"),IF('Data Source'!U429&gt;=5,"A+",IF('Data Source'!U429&gt;=4,"A",IF('Data Source'!U429&gt;=3.5,"A-",IF('Data Source'!U429&gt;=3,"B",IF('Data Source'!U429&gt;=2,"C",IF('Data Source'!U429&gt;=1,"D","F")))))),"")</f>
        <v/>
      </c>
      <c r="D429" s="3">
        <f>IF(AND('Data Source'!B429&lt;&gt;"",'Data Source'!S429="A+"),IF('Data Source'!V429&gt;=5,"A+",IF('Data Source'!V429&gt;=4,"A",IF('Data Source'!V429&gt;=3.5,"A-",IF('Data Source'!V429&gt;=3,"B",IF('Data Source'!V429&gt;=2,"C",IF('Data Source'!V429&gt;=1,"D","F")))))),"")</f>
        <v/>
      </c>
      <c r="E429" s="3">
        <f>IF(AND('Data Source'!B429&lt;&gt;"",'Data Source'!S429="A+"),IF('Data Source'!W429&gt;=5,"A+",IF('Data Source'!W429&gt;=4,"A",IF('Data Source'!W429&gt;=3.5,"A-",IF('Data Source'!W429&gt;=3,"B",IF('Data Source'!W429&gt;=2,"C",IF('Data Source'!W429&gt;=1,"D","F")))))),"")</f>
        <v/>
      </c>
      <c r="F429" s="3">
        <f>IF(AND('Data Source'!B429&lt;&gt;"",'Data Source'!S429="A+"),IF('Data Source'!X429&gt;=5,"A+",IF('Data Source'!X429&gt;=4,"A",IF('Data Source'!X429&gt;=3.5,"A-",IF('Data Source'!X429&gt;=3,"B",IF('Data Source'!X429&gt;=2,"C",IF('Data Source'!X429&gt;=1,"D","F")))))),"")</f>
        <v/>
      </c>
      <c r="G429" s="3">
        <f>IF(AND('Data Source'!B429&lt;&gt;"",'Data Source'!S429="A+"),IF('Data Source'!Y429&gt;=5,"A+",IF('Data Source'!Y429&gt;=4,"A",IF('Data Source'!Y429&gt;=3.5,"A-",IF('Data Source'!Y429&gt;=3,"B",IF('Data Source'!Y429&gt;=2,"C",IF('Data Source'!Y429&gt;=1,"D","F")))))),"")</f>
        <v/>
      </c>
      <c r="H429" s="3">
        <f>IF(AND('Data Source'!B429&lt;&gt;"",'Data Source'!S429="A+"),IF('Data Source'!Z429&gt;=5,"A+",IF('Data Source'!Z429&gt;=4,"A",IF('Data Source'!Z429&gt;=3.5,"A-",IF('Data Source'!Z429&gt;=3,"B",IF('Data Source'!Z429&gt;=2,"C",IF('Data Source'!Z429&gt;=1,"D","F")))))),"")</f>
        <v/>
      </c>
      <c r="I429" s="3">
        <f>IF(AND('Data Source'!B429&lt;&gt;"",'Data Source'!S429="A+"),IF('Data Source'!AA429&gt;=5,"A+",IF('Data Source'!AA429&gt;=4,"A",IF('Data Source'!AA429&gt;=3.5,"A-",IF('Data Source'!AA429&gt;=3,"B",IF('Data Source'!AA429&gt;=2,"C",IF('Data Source'!AA429&gt;=1,"D","F")))))),"")</f>
        <v/>
      </c>
      <c r="J429" s="3">
        <f>IF(AND('Data Source'!B429&lt;&gt;"",'Data Source'!S429="A+"),IF('Data Source'!AB429&gt;=5,"A+",IF('Data Source'!AB429&gt;=4,"A",IF('Data Source'!AB429&gt;=3.5,"A-",IF('Data Source'!AB429&gt;=3,"B",IF('Data Source'!AB429&gt;=2,"C",IF('Data Source'!AB429&gt;=1,"D","F")))))),"")</f>
        <v/>
      </c>
      <c r="K429" s="3">
        <f>IF(AND('Data Source'!B429&lt;&gt;"",'Data Source'!S429="A+"),IF('Data Source'!AC429&gt;=5,"A+",IF('Data Source'!AC429&gt;=4,"A",IF('Data Source'!AC429&gt;=3.5,"A-",IF('Data Source'!AC429&gt;=3,"B",IF('Data Source'!AC429&gt;=2,"C",IF('Data Source'!AC429&gt;=1,"D","F")))))),"")</f>
        <v/>
      </c>
      <c r="L429" s="3">
        <f>IF(AND('Data Source'!B429&lt;&gt;"",'Data Source'!S429="A+"),IF('Data Source'!AD429&gt;=5,"A+",IF('Data Source'!AD429&gt;=4,"A",IF('Data Source'!AD429&gt;=3.5,"A-",IF('Data Source'!AD429&gt;=3,"B",IF('Data Source'!AD429&gt;=2,"C",IF('Data Source'!AD429&gt;=1,"D","F")))))),"")</f>
        <v/>
      </c>
      <c r="M429" s="3">
        <f>IF(AND('Data Source'!B429&lt;&gt;"",'Data Source'!S429="A+"),IF('Data Source'!AE429&gt;=5,"A+",IF('Data Source'!AE429&gt;=4,"A",IF('Data Source'!AE429&gt;=3.5,"A-",IF('Data Source'!AE429&gt;=3,"B",IF('Data Source'!AE429&gt;=2,"C",IF('Data Source'!AE429&gt;=1,"D","F")))))),"")</f>
        <v/>
      </c>
      <c r="N429" s="3">
        <f>IF(AND('Data Source'!B429&lt;&gt;"",'Data Source'!S429="A+"),IF('Data Source'!AF429&gt;=5,"A+",IF('Data Source'!AF429&gt;=4,"A",IF('Data Source'!AF429&gt;=3.5,"A-",IF('Data Source'!AF429&gt;=3,"B",IF('Data Source'!AF429&gt;=2,"C",IF('Data Source'!AF429&gt;=1,"D","F")))))),"")</f>
        <v/>
      </c>
      <c r="O429" s="3">
        <f>IF(AND('Data Source'!B429&lt;&gt;"",'Data Source'!S429="A+"),IF('Data Source'!AG429&gt;=5,"A+",IF('Data Source'!AG429&gt;=4,"A",IF('Data Source'!AG429&gt;=3.5,"A-",IF('Data Source'!AG429&gt;=3,"B",IF('Data Source'!AG429&gt;=2,"C",IF('Data Source'!AG429&gt;=1,"D","F")))))),"")</f>
        <v/>
      </c>
      <c r="P429" s="5">
        <f>IF(AND('Data Source'!B429&lt;&gt;"",'Data Source'!S429="A+"),'Data Source'!R429,"")</f>
        <v/>
      </c>
      <c r="Q429" s="3">
        <f>IF(AND('Data Source'!B429&lt;&gt;"",'Data Source'!S429="A+"),'Data Source'!S429,"")</f>
        <v/>
      </c>
    </row>
    <row r="430">
      <c r="A430" s="3">
        <f>IF(AND('Data Source'!B430&lt;&gt;"",'Data Source'!S430="A+"),COUNTIF('Data Source'!$S$3:S430,"A+"),"")</f>
        <v/>
      </c>
      <c r="B430">
        <f>IF(AND('Data Source'!B430&lt;&gt;"",'Data Source'!S430="A+"),'Data Source'!B430,"")</f>
        <v/>
      </c>
      <c r="C430" s="3">
        <f>IF(AND('Data Source'!B430&lt;&gt;"",'Data Source'!S430="A+"),IF('Data Source'!U430&gt;=5,"A+",IF('Data Source'!U430&gt;=4,"A",IF('Data Source'!U430&gt;=3.5,"A-",IF('Data Source'!U430&gt;=3,"B",IF('Data Source'!U430&gt;=2,"C",IF('Data Source'!U430&gt;=1,"D","F")))))),"")</f>
        <v/>
      </c>
      <c r="D430" s="3">
        <f>IF(AND('Data Source'!B430&lt;&gt;"",'Data Source'!S430="A+"),IF('Data Source'!V430&gt;=5,"A+",IF('Data Source'!V430&gt;=4,"A",IF('Data Source'!V430&gt;=3.5,"A-",IF('Data Source'!V430&gt;=3,"B",IF('Data Source'!V430&gt;=2,"C",IF('Data Source'!V430&gt;=1,"D","F")))))),"")</f>
        <v/>
      </c>
      <c r="E430" s="3">
        <f>IF(AND('Data Source'!B430&lt;&gt;"",'Data Source'!S430="A+"),IF('Data Source'!W430&gt;=5,"A+",IF('Data Source'!W430&gt;=4,"A",IF('Data Source'!W430&gt;=3.5,"A-",IF('Data Source'!W430&gt;=3,"B",IF('Data Source'!W430&gt;=2,"C",IF('Data Source'!W430&gt;=1,"D","F")))))),"")</f>
        <v/>
      </c>
      <c r="F430" s="3">
        <f>IF(AND('Data Source'!B430&lt;&gt;"",'Data Source'!S430="A+"),IF('Data Source'!X430&gt;=5,"A+",IF('Data Source'!X430&gt;=4,"A",IF('Data Source'!X430&gt;=3.5,"A-",IF('Data Source'!X430&gt;=3,"B",IF('Data Source'!X430&gt;=2,"C",IF('Data Source'!X430&gt;=1,"D","F")))))),"")</f>
        <v/>
      </c>
      <c r="G430" s="3">
        <f>IF(AND('Data Source'!B430&lt;&gt;"",'Data Source'!S430="A+"),IF('Data Source'!Y430&gt;=5,"A+",IF('Data Source'!Y430&gt;=4,"A",IF('Data Source'!Y430&gt;=3.5,"A-",IF('Data Source'!Y430&gt;=3,"B",IF('Data Source'!Y430&gt;=2,"C",IF('Data Source'!Y430&gt;=1,"D","F")))))),"")</f>
        <v/>
      </c>
      <c r="H430" s="3">
        <f>IF(AND('Data Source'!B430&lt;&gt;"",'Data Source'!S430="A+"),IF('Data Source'!Z430&gt;=5,"A+",IF('Data Source'!Z430&gt;=4,"A",IF('Data Source'!Z430&gt;=3.5,"A-",IF('Data Source'!Z430&gt;=3,"B",IF('Data Source'!Z430&gt;=2,"C",IF('Data Source'!Z430&gt;=1,"D","F")))))),"")</f>
        <v/>
      </c>
      <c r="I430" s="3">
        <f>IF(AND('Data Source'!B430&lt;&gt;"",'Data Source'!S430="A+"),IF('Data Source'!AA430&gt;=5,"A+",IF('Data Source'!AA430&gt;=4,"A",IF('Data Source'!AA430&gt;=3.5,"A-",IF('Data Source'!AA430&gt;=3,"B",IF('Data Source'!AA430&gt;=2,"C",IF('Data Source'!AA430&gt;=1,"D","F")))))),"")</f>
        <v/>
      </c>
      <c r="J430" s="3">
        <f>IF(AND('Data Source'!B430&lt;&gt;"",'Data Source'!S430="A+"),IF('Data Source'!AB430&gt;=5,"A+",IF('Data Source'!AB430&gt;=4,"A",IF('Data Source'!AB430&gt;=3.5,"A-",IF('Data Source'!AB430&gt;=3,"B",IF('Data Source'!AB430&gt;=2,"C",IF('Data Source'!AB430&gt;=1,"D","F")))))),"")</f>
        <v/>
      </c>
      <c r="K430" s="3">
        <f>IF(AND('Data Source'!B430&lt;&gt;"",'Data Source'!S430="A+"),IF('Data Source'!AC430&gt;=5,"A+",IF('Data Source'!AC430&gt;=4,"A",IF('Data Source'!AC430&gt;=3.5,"A-",IF('Data Source'!AC430&gt;=3,"B",IF('Data Source'!AC430&gt;=2,"C",IF('Data Source'!AC430&gt;=1,"D","F")))))),"")</f>
        <v/>
      </c>
      <c r="L430" s="3">
        <f>IF(AND('Data Source'!B430&lt;&gt;"",'Data Source'!S430="A+"),IF('Data Source'!AD430&gt;=5,"A+",IF('Data Source'!AD430&gt;=4,"A",IF('Data Source'!AD430&gt;=3.5,"A-",IF('Data Source'!AD430&gt;=3,"B",IF('Data Source'!AD430&gt;=2,"C",IF('Data Source'!AD430&gt;=1,"D","F")))))),"")</f>
        <v/>
      </c>
      <c r="M430" s="3">
        <f>IF(AND('Data Source'!B430&lt;&gt;"",'Data Source'!S430="A+"),IF('Data Source'!AE430&gt;=5,"A+",IF('Data Source'!AE430&gt;=4,"A",IF('Data Source'!AE430&gt;=3.5,"A-",IF('Data Source'!AE430&gt;=3,"B",IF('Data Source'!AE430&gt;=2,"C",IF('Data Source'!AE430&gt;=1,"D","F")))))),"")</f>
        <v/>
      </c>
      <c r="N430" s="3">
        <f>IF(AND('Data Source'!B430&lt;&gt;"",'Data Source'!S430="A+"),IF('Data Source'!AF430&gt;=5,"A+",IF('Data Source'!AF430&gt;=4,"A",IF('Data Source'!AF430&gt;=3.5,"A-",IF('Data Source'!AF430&gt;=3,"B",IF('Data Source'!AF430&gt;=2,"C",IF('Data Source'!AF430&gt;=1,"D","F")))))),"")</f>
        <v/>
      </c>
      <c r="O430" s="3">
        <f>IF(AND('Data Source'!B430&lt;&gt;"",'Data Source'!S430="A+"),IF('Data Source'!AG430&gt;=5,"A+",IF('Data Source'!AG430&gt;=4,"A",IF('Data Source'!AG430&gt;=3.5,"A-",IF('Data Source'!AG430&gt;=3,"B",IF('Data Source'!AG430&gt;=2,"C",IF('Data Source'!AG430&gt;=1,"D","F")))))),"")</f>
        <v/>
      </c>
      <c r="P430" s="5">
        <f>IF(AND('Data Source'!B430&lt;&gt;"",'Data Source'!S430="A+"),'Data Source'!R430,"")</f>
        <v/>
      </c>
      <c r="Q430" s="3">
        <f>IF(AND('Data Source'!B430&lt;&gt;"",'Data Source'!S430="A+"),'Data Source'!S430,"")</f>
        <v/>
      </c>
    </row>
    <row r="431">
      <c r="A431" s="3">
        <f>IF(AND('Data Source'!B431&lt;&gt;"",'Data Source'!S431="A+"),COUNTIF('Data Source'!$S$3:S431,"A+"),"")</f>
        <v/>
      </c>
      <c r="B431">
        <f>IF(AND('Data Source'!B431&lt;&gt;"",'Data Source'!S431="A+"),'Data Source'!B431,"")</f>
        <v/>
      </c>
      <c r="C431" s="3">
        <f>IF(AND('Data Source'!B431&lt;&gt;"",'Data Source'!S431="A+"),IF('Data Source'!U431&gt;=5,"A+",IF('Data Source'!U431&gt;=4,"A",IF('Data Source'!U431&gt;=3.5,"A-",IF('Data Source'!U431&gt;=3,"B",IF('Data Source'!U431&gt;=2,"C",IF('Data Source'!U431&gt;=1,"D","F")))))),"")</f>
        <v/>
      </c>
      <c r="D431" s="3">
        <f>IF(AND('Data Source'!B431&lt;&gt;"",'Data Source'!S431="A+"),IF('Data Source'!V431&gt;=5,"A+",IF('Data Source'!V431&gt;=4,"A",IF('Data Source'!V431&gt;=3.5,"A-",IF('Data Source'!V431&gt;=3,"B",IF('Data Source'!V431&gt;=2,"C",IF('Data Source'!V431&gt;=1,"D","F")))))),"")</f>
        <v/>
      </c>
      <c r="E431" s="3">
        <f>IF(AND('Data Source'!B431&lt;&gt;"",'Data Source'!S431="A+"),IF('Data Source'!W431&gt;=5,"A+",IF('Data Source'!W431&gt;=4,"A",IF('Data Source'!W431&gt;=3.5,"A-",IF('Data Source'!W431&gt;=3,"B",IF('Data Source'!W431&gt;=2,"C",IF('Data Source'!W431&gt;=1,"D","F")))))),"")</f>
        <v/>
      </c>
      <c r="F431" s="3">
        <f>IF(AND('Data Source'!B431&lt;&gt;"",'Data Source'!S431="A+"),IF('Data Source'!X431&gt;=5,"A+",IF('Data Source'!X431&gt;=4,"A",IF('Data Source'!X431&gt;=3.5,"A-",IF('Data Source'!X431&gt;=3,"B",IF('Data Source'!X431&gt;=2,"C",IF('Data Source'!X431&gt;=1,"D","F")))))),"")</f>
        <v/>
      </c>
      <c r="G431" s="3">
        <f>IF(AND('Data Source'!B431&lt;&gt;"",'Data Source'!S431="A+"),IF('Data Source'!Y431&gt;=5,"A+",IF('Data Source'!Y431&gt;=4,"A",IF('Data Source'!Y431&gt;=3.5,"A-",IF('Data Source'!Y431&gt;=3,"B",IF('Data Source'!Y431&gt;=2,"C",IF('Data Source'!Y431&gt;=1,"D","F")))))),"")</f>
        <v/>
      </c>
      <c r="H431" s="3">
        <f>IF(AND('Data Source'!B431&lt;&gt;"",'Data Source'!S431="A+"),IF('Data Source'!Z431&gt;=5,"A+",IF('Data Source'!Z431&gt;=4,"A",IF('Data Source'!Z431&gt;=3.5,"A-",IF('Data Source'!Z431&gt;=3,"B",IF('Data Source'!Z431&gt;=2,"C",IF('Data Source'!Z431&gt;=1,"D","F")))))),"")</f>
        <v/>
      </c>
      <c r="I431" s="3">
        <f>IF(AND('Data Source'!B431&lt;&gt;"",'Data Source'!S431="A+"),IF('Data Source'!AA431&gt;=5,"A+",IF('Data Source'!AA431&gt;=4,"A",IF('Data Source'!AA431&gt;=3.5,"A-",IF('Data Source'!AA431&gt;=3,"B",IF('Data Source'!AA431&gt;=2,"C",IF('Data Source'!AA431&gt;=1,"D","F")))))),"")</f>
        <v/>
      </c>
      <c r="J431" s="3">
        <f>IF(AND('Data Source'!B431&lt;&gt;"",'Data Source'!S431="A+"),IF('Data Source'!AB431&gt;=5,"A+",IF('Data Source'!AB431&gt;=4,"A",IF('Data Source'!AB431&gt;=3.5,"A-",IF('Data Source'!AB431&gt;=3,"B",IF('Data Source'!AB431&gt;=2,"C",IF('Data Source'!AB431&gt;=1,"D","F")))))),"")</f>
        <v/>
      </c>
      <c r="K431" s="3">
        <f>IF(AND('Data Source'!B431&lt;&gt;"",'Data Source'!S431="A+"),IF('Data Source'!AC431&gt;=5,"A+",IF('Data Source'!AC431&gt;=4,"A",IF('Data Source'!AC431&gt;=3.5,"A-",IF('Data Source'!AC431&gt;=3,"B",IF('Data Source'!AC431&gt;=2,"C",IF('Data Source'!AC431&gt;=1,"D","F")))))),"")</f>
        <v/>
      </c>
      <c r="L431" s="3">
        <f>IF(AND('Data Source'!B431&lt;&gt;"",'Data Source'!S431="A+"),IF('Data Source'!AD431&gt;=5,"A+",IF('Data Source'!AD431&gt;=4,"A",IF('Data Source'!AD431&gt;=3.5,"A-",IF('Data Source'!AD431&gt;=3,"B",IF('Data Source'!AD431&gt;=2,"C",IF('Data Source'!AD431&gt;=1,"D","F")))))),"")</f>
        <v/>
      </c>
      <c r="M431" s="3">
        <f>IF(AND('Data Source'!B431&lt;&gt;"",'Data Source'!S431="A+"),IF('Data Source'!AE431&gt;=5,"A+",IF('Data Source'!AE431&gt;=4,"A",IF('Data Source'!AE431&gt;=3.5,"A-",IF('Data Source'!AE431&gt;=3,"B",IF('Data Source'!AE431&gt;=2,"C",IF('Data Source'!AE431&gt;=1,"D","F")))))),"")</f>
        <v/>
      </c>
      <c r="N431" s="3">
        <f>IF(AND('Data Source'!B431&lt;&gt;"",'Data Source'!S431="A+"),IF('Data Source'!AF431&gt;=5,"A+",IF('Data Source'!AF431&gt;=4,"A",IF('Data Source'!AF431&gt;=3.5,"A-",IF('Data Source'!AF431&gt;=3,"B",IF('Data Source'!AF431&gt;=2,"C",IF('Data Source'!AF431&gt;=1,"D","F")))))),"")</f>
        <v/>
      </c>
      <c r="O431" s="3">
        <f>IF(AND('Data Source'!B431&lt;&gt;"",'Data Source'!S431="A+"),IF('Data Source'!AG431&gt;=5,"A+",IF('Data Source'!AG431&gt;=4,"A",IF('Data Source'!AG431&gt;=3.5,"A-",IF('Data Source'!AG431&gt;=3,"B",IF('Data Source'!AG431&gt;=2,"C",IF('Data Source'!AG431&gt;=1,"D","F")))))),"")</f>
        <v/>
      </c>
      <c r="P431" s="5">
        <f>IF(AND('Data Source'!B431&lt;&gt;"",'Data Source'!S431="A+"),'Data Source'!R431,"")</f>
        <v/>
      </c>
      <c r="Q431" s="3">
        <f>IF(AND('Data Source'!B431&lt;&gt;"",'Data Source'!S431="A+"),'Data Source'!S431,"")</f>
        <v/>
      </c>
    </row>
    <row r="432">
      <c r="A432" s="3">
        <f>IF(AND('Data Source'!B432&lt;&gt;"",'Data Source'!S432="A+"),COUNTIF('Data Source'!$S$3:S432,"A+"),"")</f>
        <v/>
      </c>
      <c r="B432">
        <f>IF(AND('Data Source'!B432&lt;&gt;"",'Data Source'!S432="A+"),'Data Source'!B432,"")</f>
        <v/>
      </c>
      <c r="C432" s="3">
        <f>IF(AND('Data Source'!B432&lt;&gt;"",'Data Source'!S432="A+"),IF('Data Source'!U432&gt;=5,"A+",IF('Data Source'!U432&gt;=4,"A",IF('Data Source'!U432&gt;=3.5,"A-",IF('Data Source'!U432&gt;=3,"B",IF('Data Source'!U432&gt;=2,"C",IF('Data Source'!U432&gt;=1,"D","F")))))),"")</f>
        <v/>
      </c>
      <c r="D432" s="3">
        <f>IF(AND('Data Source'!B432&lt;&gt;"",'Data Source'!S432="A+"),IF('Data Source'!V432&gt;=5,"A+",IF('Data Source'!V432&gt;=4,"A",IF('Data Source'!V432&gt;=3.5,"A-",IF('Data Source'!V432&gt;=3,"B",IF('Data Source'!V432&gt;=2,"C",IF('Data Source'!V432&gt;=1,"D","F")))))),"")</f>
        <v/>
      </c>
      <c r="E432" s="3">
        <f>IF(AND('Data Source'!B432&lt;&gt;"",'Data Source'!S432="A+"),IF('Data Source'!W432&gt;=5,"A+",IF('Data Source'!W432&gt;=4,"A",IF('Data Source'!W432&gt;=3.5,"A-",IF('Data Source'!W432&gt;=3,"B",IF('Data Source'!W432&gt;=2,"C",IF('Data Source'!W432&gt;=1,"D","F")))))),"")</f>
        <v/>
      </c>
      <c r="F432" s="3">
        <f>IF(AND('Data Source'!B432&lt;&gt;"",'Data Source'!S432="A+"),IF('Data Source'!X432&gt;=5,"A+",IF('Data Source'!X432&gt;=4,"A",IF('Data Source'!X432&gt;=3.5,"A-",IF('Data Source'!X432&gt;=3,"B",IF('Data Source'!X432&gt;=2,"C",IF('Data Source'!X432&gt;=1,"D","F")))))),"")</f>
        <v/>
      </c>
      <c r="G432" s="3">
        <f>IF(AND('Data Source'!B432&lt;&gt;"",'Data Source'!S432="A+"),IF('Data Source'!Y432&gt;=5,"A+",IF('Data Source'!Y432&gt;=4,"A",IF('Data Source'!Y432&gt;=3.5,"A-",IF('Data Source'!Y432&gt;=3,"B",IF('Data Source'!Y432&gt;=2,"C",IF('Data Source'!Y432&gt;=1,"D","F")))))),"")</f>
        <v/>
      </c>
      <c r="H432" s="3">
        <f>IF(AND('Data Source'!B432&lt;&gt;"",'Data Source'!S432="A+"),IF('Data Source'!Z432&gt;=5,"A+",IF('Data Source'!Z432&gt;=4,"A",IF('Data Source'!Z432&gt;=3.5,"A-",IF('Data Source'!Z432&gt;=3,"B",IF('Data Source'!Z432&gt;=2,"C",IF('Data Source'!Z432&gt;=1,"D","F")))))),"")</f>
        <v/>
      </c>
      <c r="I432" s="3">
        <f>IF(AND('Data Source'!B432&lt;&gt;"",'Data Source'!S432="A+"),IF('Data Source'!AA432&gt;=5,"A+",IF('Data Source'!AA432&gt;=4,"A",IF('Data Source'!AA432&gt;=3.5,"A-",IF('Data Source'!AA432&gt;=3,"B",IF('Data Source'!AA432&gt;=2,"C",IF('Data Source'!AA432&gt;=1,"D","F")))))),"")</f>
        <v/>
      </c>
      <c r="J432" s="3">
        <f>IF(AND('Data Source'!B432&lt;&gt;"",'Data Source'!S432="A+"),IF('Data Source'!AB432&gt;=5,"A+",IF('Data Source'!AB432&gt;=4,"A",IF('Data Source'!AB432&gt;=3.5,"A-",IF('Data Source'!AB432&gt;=3,"B",IF('Data Source'!AB432&gt;=2,"C",IF('Data Source'!AB432&gt;=1,"D","F")))))),"")</f>
        <v/>
      </c>
      <c r="K432" s="3">
        <f>IF(AND('Data Source'!B432&lt;&gt;"",'Data Source'!S432="A+"),IF('Data Source'!AC432&gt;=5,"A+",IF('Data Source'!AC432&gt;=4,"A",IF('Data Source'!AC432&gt;=3.5,"A-",IF('Data Source'!AC432&gt;=3,"B",IF('Data Source'!AC432&gt;=2,"C",IF('Data Source'!AC432&gt;=1,"D","F")))))),"")</f>
        <v/>
      </c>
      <c r="L432" s="3">
        <f>IF(AND('Data Source'!B432&lt;&gt;"",'Data Source'!S432="A+"),IF('Data Source'!AD432&gt;=5,"A+",IF('Data Source'!AD432&gt;=4,"A",IF('Data Source'!AD432&gt;=3.5,"A-",IF('Data Source'!AD432&gt;=3,"B",IF('Data Source'!AD432&gt;=2,"C",IF('Data Source'!AD432&gt;=1,"D","F")))))),"")</f>
        <v/>
      </c>
      <c r="M432" s="3">
        <f>IF(AND('Data Source'!B432&lt;&gt;"",'Data Source'!S432="A+"),IF('Data Source'!AE432&gt;=5,"A+",IF('Data Source'!AE432&gt;=4,"A",IF('Data Source'!AE432&gt;=3.5,"A-",IF('Data Source'!AE432&gt;=3,"B",IF('Data Source'!AE432&gt;=2,"C",IF('Data Source'!AE432&gt;=1,"D","F")))))),"")</f>
        <v/>
      </c>
      <c r="N432" s="3">
        <f>IF(AND('Data Source'!B432&lt;&gt;"",'Data Source'!S432="A+"),IF('Data Source'!AF432&gt;=5,"A+",IF('Data Source'!AF432&gt;=4,"A",IF('Data Source'!AF432&gt;=3.5,"A-",IF('Data Source'!AF432&gt;=3,"B",IF('Data Source'!AF432&gt;=2,"C",IF('Data Source'!AF432&gt;=1,"D","F")))))),"")</f>
        <v/>
      </c>
      <c r="O432" s="3">
        <f>IF(AND('Data Source'!B432&lt;&gt;"",'Data Source'!S432="A+"),IF('Data Source'!AG432&gt;=5,"A+",IF('Data Source'!AG432&gt;=4,"A",IF('Data Source'!AG432&gt;=3.5,"A-",IF('Data Source'!AG432&gt;=3,"B",IF('Data Source'!AG432&gt;=2,"C",IF('Data Source'!AG432&gt;=1,"D","F")))))),"")</f>
        <v/>
      </c>
      <c r="P432" s="5">
        <f>IF(AND('Data Source'!B432&lt;&gt;"",'Data Source'!S432="A+"),'Data Source'!R432,"")</f>
        <v/>
      </c>
      <c r="Q432" s="3">
        <f>IF(AND('Data Source'!B432&lt;&gt;"",'Data Source'!S432="A+"),'Data Source'!S432,"")</f>
        <v/>
      </c>
    </row>
    <row r="433">
      <c r="A433" s="3">
        <f>IF(AND('Data Source'!B433&lt;&gt;"",'Data Source'!S433="A+"),COUNTIF('Data Source'!$S$3:S433,"A+"),"")</f>
        <v/>
      </c>
      <c r="B433">
        <f>IF(AND('Data Source'!B433&lt;&gt;"",'Data Source'!S433="A+"),'Data Source'!B433,"")</f>
        <v/>
      </c>
      <c r="C433" s="3">
        <f>IF(AND('Data Source'!B433&lt;&gt;"",'Data Source'!S433="A+"),IF('Data Source'!U433&gt;=5,"A+",IF('Data Source'!U433&gt;=4,"A",IF('Data Source'!U433&gt;=3.5,"A-",IF('Data Source'!U433&gt;=3,"B",IF('Data Source'!U433&gt;=2,"C",IF('Data Source'!U433&gt;=1,"D","F")))))),"")</f>
        <v/>
      </c>
      <c r="D433" s="3">
        <f>IF(AND('Data Source'!B433&lt;&gt;"",'Data Source'!S433="A+"),IF('Data Source'!V433&gt;=5,"A+",IF('Data Source'!V433&gt;=4,"A",IF('Data Source'!V433&gt;=3.5,"A-",IF('Data Source'!V433&gt;=3,"B",IF('Data Source'!V433&gt;=2,"C",IF('Data Source'!V433&gt;=1,"D","F")))))),"")</f>
        <v/>
      </c>
      <c r="E433" s="3">
        <f>IF(AND('Data Source'!B433&lt;&gt;"",'Data Source'!S433="A+"),IF('Data Source'!W433&gt;=5,"A+",IF('Data Source'!W433&gt;=4,"A",IF('Data Source'!W433&gt;=3.5,"A-",IF('Data Source'!W433&gt;=3,"B",IF('Data Source'!W433&gt;=2,"C",IF('Data Source'!W433&gt;=1,"D","F")))))),"")</f>
        <v/>
      </c>
      <c r="F433" s="3">
        <f>IF(AND('Data Source'!B433&lt;&gt;"",'Data Source'!S433="A+"),IF('Data Source'!X433&gt;=5,"A+",IF('Data Source'!X433&gt;=4,"A",IF('Data Source'!X433&gt;=3.5,"A-",IF('Data Source'!X433&gt;=3,"B",IF('Data Source'!X433&gt;=2,"C",IF('Data Source'!X433&gt;=1,"D","F")))))),"")</f>
        <v/>
      </c>
      <c r="G433" s="3">
        <f>IF(AND('Data Source'!B433&lt;&gt;"",'Data Source'!S433="A+"),IF('Data Source'!Y433&gt;=5,"A+",IF('Data Source'!Y433&gt;=4,"A",IF('Data Source'!Y433&gt;=3.5,"A-",IF('Data Source'!Y433&gt;=3,"B",IF('Data Source'!Y433&gt;=2,"C",IF('Data Source'!Y433&gt;=1,"D","F")))))),"")</f>
        <v/>
      </c>
      <c r="H433" s="3">
        <f>IF(AND('Data Source'!B433&lt;&gt;"",'Data Source'!S433="A+"),IF('Data Source'!Z433&gt;=5,"A+",IF('Data Source'!Z433&gt;=4,"A",IF('Data Source'!Z433&gt;=3.5,"A-",IF('Data Source'!Z433&gt;=3,"B",IF('Data Source'!Z433&gt;=2,"C",IF('Data Source'!Z433&gt;=1,"D","F")))))),"")</f>
        <v/>
      </c>
      <c r="I433" s="3">
        <f>IF(AND('Data Source'!B433&lt;&gt;"",'Data Source'!S433="A+"),IF('Data Source'!AA433&gt;=5,"A+",IF('Data Source'!AA433&gt;=4,"A",IF('Data Source'!AA433&gt;=3.5,"A-",IF('Data Source'!AA433&gt;=3,"B",IF('Data Source'!AA433&gt;=2,"C",IF('Data Source'!AA433&gt;=1,"D","F")))))),"")</f>
        <v/>
      </c>
      <c r="J433" s="3">
        <f>IF(AND('Data Source'!B433&lt;&gt;"",'Data Source'!S433="A+"),IF('Data Source'!AB433&gt;=5,"A+",IF('Data Source'!AB433&gt;=4,"A",IF('Data Source'!AB433&gt;=3.5,"A-",IF('Data Source'!AB433&gt;=3,"B",IF('Data Source'!AB433&gt;=2,"C",IF('Data Source'!AB433&gt;=1,"D","F")))))),"")</f>
        <v/>
      </c>
      <c r="K433" s="3">
        <f>IF(AND('Data Source'!B433&lt;&gt;"",'Data Source'!S433="A+"),IF('Data Source'!AC433&gt;=5,"A+",IF('Data Source'!AC433&gt;=4,"A",IF('Data Source'!AC433&gt;=3.5,"A-",IF('Data Source'!AC433&gt;=3,"B",IF('Data Source'!AC433&gt;=2,"C",IF('Data Source'!AC433&gt;=1,"D","F")))))),"")</f>
        <v/>
      </c>
      <c r="L433" s="3">
        <f>IF(AND('Data Source'!B433&lt;&gt;"",'Data Source'!S433="A+"),IF('Data Source'!AD433&gt;=5,"A+",IF('Data Source'!AD433&gt;=4,"A",IF('Data Source'!AD433&gt;=3.5,"A-",IF('Data Source'!AD433&gt;=3,"B",IF('Data Source'!AD433&gt;=2,"C",IF('Data Source'!AD433&gt;=1,"D","F")))))),"")</f>
        <v/>
      </c>
      <c r="M433" s="3">
        <f>IF(AND('Data Source'!B433&lt;&gt;"",'Data Source'!S433="A+"),IF('Data Source'!AE433&gt;=5,"A+",IF('Data Source'!AE433&gt;=4,"A",IF('Data Source'!AE433&gt;=3.5,"A-",IF('Data Source'!AE433&gt;=3,"B",IF('Data Source'!AE433&gt;=2,"C",IF('Data Source'!AE433&gt;=1,"D","F")))))),"")</f>
        <v/>
      </c>
      <c r="N433" s="3">
        <f>IF(AND('Data Source'!B433&lt;&gt;"",'Data Source'!S433="A+"),IF('Data Source'!AF433&gt;=5,"A+",IF('Data Source'!AF433&gt;=4,"A",IF('Data Source'!AF433&gt;=3.5,"A-",IF('Data Source'!AF433&gt;=3,"B",IF('Data Source'!AF433&gt;=2,"C",IF('Data Source'!AF433&gt;=1,"D","F")))))),"")</f>
        <v/>
      </c>
      <c r="O433" s="3">
        <f>IF(AND('Data Source'!B433&lt;&gt;"",'Data Source'!S433="A+"),IF('Data Source'!AG433&gt;=5,"A+",IF('Data Source'!AG433&gt;=4,"A",IF('Data Source'!AG433&gt;=3.5,"A-",IF('Data Source'!AG433&gt;=3,"B",IF('Data Source'!AG433&gt;=2,"C",IF('Data Source'!AG433&gt;=1,"D","F")))))),"")</f>
        <v/>
      </c>
      <c r="P433" s="5">
        <f>IF(AND('Data Source'!B433&lt;&gt;"",'Data Source'!S433="A+"),'Data Source'!R433,"")</f>
        <v/>
      </c>
      <c r="Q433" s="3">
        <f>IF(AND('Data Source'!B433&lt;&gt;"",'Data Source'!S433="A+"),'Data Source'!S433,"")</f>
        <v/>
      </c>
    </row>
    <row r="434">
      <c r="A434" s="3">
        <f>IF(AND('Data Source'!B434&lt;&gt;"",'Data Source'!S434="A+"),COUNTIF('Data Source'!$S$3:S434,"A+"),"")</f>
        <v/>
      </c>
      <c r="B434">
        <f>IF(AND('Data Source'!B434&lt;&gt;"",'Data Source'!S434="A+"),'Data Source'!B434,"")</f>
        <v/>
      </c>
      <c r="C434" s="3">
        <f>IF(AND('Data Source'!B434&lt;&gt;"",'Data Source'!S434="A+"),IF('Data Source'!U434&gt;=5,"A+",IF('Data Source'!U434&gt;=4,"A",IF('Data Source'!U434&gt;=3.5,"A-",IF('Data Source'!U434&gt;=3,"B",IF('Data Source'!U434&gt;=2,"C",IF('Data Source'!U434&gt;=1,"D","F")))))),"")</f>
        <v/>
      </c>
      <c r="D434" s="3">
        <f>IF(AND('Data Source'!B434&lt;&gt;"",'Data Source'!S434="A+"),IF('Data Source'!V434&gt;=5,"A+",IF('Data Source'!V434&gt;=4,"A",IF('Data Source'!V434&gt;=3.5,"A-",IF('Data Source'!V434&gt;=3,"B",IF('Data Source'!V434&gt;=2,"C",IF('Data Source'!V434&gt;=1,"D","F")))))),"")</f>
        <v/>
      </c>
      <c r="E434" s="3">
        <f>IF(AND('Data Source'!B434&lt;&gt;"",'Data Source'!S434="A+"),IF('Data Source'!W434&gt;=5,"A+",IF('Data Source'!W434&gt;=4,"A",IF('Data Source'!W434&gt;=3.5,"A-",IF('Data Source'!W434&gt;=3,"B",IF('Data Source'!W434&gt;=2,"C",IF('Data Source'!W434&gt;=1,"D","F")))))),"")</f>
        <v/>
      </c>
      <c r="F434" s="3">
        <f>IF(AND('Data Source'!B434&lt;&gt;"",'Data Source'!S434="A+"),IF('Data Source'!X434&gt;=5,"A+",IF('Data Source'!X434&gt;=4,"A",IF('Data Source'!X434&gt;=3.5,"A-",IF('Data Source'!X434&gt;=3,"B",IF('Data Source'!X434&gt;=2,"C",IF('Data Source'!X434&gt;=1,"D","F")))))),"")</f>
        <v/>
      </c>
      <c r="G434" s="3">
        <f>IF(AND('Data Source'!B434&lt;&gt;"",'Data Source'!S434="A+"),IF('Data Source'!Y434&gt;=5,"A+",IF('Data Source'!Y434&gt;=4,"A",IF('Data Source'!Y434&gt;=3.5,"A-",IF('Data Source'!Y434&gt;=3,"B",IF('Data Source'!Y434&gt;=2,"C",IF('Data Source'!Y434&gt;=1,"D","F")))))),"")</f>
        <v/>
      </c>
      <c r="H434" s="3">
        <f>IF(AND('Data Source'!B434&lt;&gt;"",'Data Source'!S434="A+"),IF('Data Source'!Z434&gt;=5,"A+",IF('Data Source'!Z434&gt;=4,"A",IF('Data Source'!Z434&gt;=3.5,"A-",IF('Data Source'!Z434&gt;=3,"B",IF('Data Source'!Z434&gt;=2,"C",IF('Data Source'!Z434&gt;=1,"D","F")))))),"")</f>
        <v/>
      </c>
      <c r="I434" s="3">
        <f>IF(AND('Data Source'!B434&lt;&gt;"",'Data Source'!S434="A+"),IF('Data Source'!AA434&gt;=5,"A+",IF('Data Source'!AA434&gt;=4,"A",IF('Data Source'!AA434&gt;=3.5,"A-",IF('Data Source'!AA434&gt;=3,"B",IF('Data Source'!AA434&gt;=2,"C",IF('Data Source'!AA434&gt;=1,"D","F")))))),"")</f>
        <v/>
      </c>
      <c r="J434" s="3">
        <f>IF(AND('Data Source'!B434&lt;&gt;"",'Data Source'!S434="A+"),IF('Data Source'!AB434&gt;=5,"A+",IF('Data Source'!AB434&gt;=4,"A",IF('Data Source'!AB434&gt;=3.5,"A-",IF('Data Source'!AB434&gt;=3,"B",IF('Data Source'!AB434&gt;=2,"C",IF('Data Source'!AB434&gt;=1,"D","F")))))),"")</f>
        <v/>
      </c>
      <c r="K434" s="3">
        <f>IF(AND('Data Source'!B434&lt;&gt;"",'Data Source'!S434="A+"),IF('Data Source'!AC434&gt;=5,"A+",IF('Data Source'!AC434&gt;=4,"A",IF('Data Source'!AC434&gt;=3.5,"A-",IF('Data Source'!AC434&gt;=3,"B",IF('Data Source'!AC434&gt;=2,"C",IF('Data Source'!AC434&gt;=1,"D","F")))))),"")</f>
        <v/>
      </c>
      <c r="L434" s="3">
        <f>IF(AND('Data Source'!B434&lt;&gt;"",'Data Source'!S434="A+"),IF('Data Source'!AD434&gt;=5,"A+",IF('Data Source'!AD434&gt;=4,"A",IF('Data Source'!AD434&gt;=3.5,"A-",IF('Data Source'!AD434&gt;=3,"B",IF('Data Source'!AD434&gt;=2,"C",IF('Data Source'!AD434&gt;=1,"D","F")))))),"")</f>
        <v/>
      </c>
      <c r="M434" s="3">
        <f>IF(AND('Data Source'!B434&lt;&gt;"",'Data Source'!S434="A+"),IF('Data Source'!AE434&gt;=5,"A+",IF('Data Source'!AE434&gt;=4,"A",IF('Data Source'!AE434&gt;=3.5,"A-",IF('Data Source'!AE434&gt;=3,"B",IF('Data Source'!AE434&gt;=2,"C",IF('Data Source'!AE434&gt;=1,"D","F")))))),"")</f>
        <v/>
      </c>
      <c r="N434" s="3">
        <f>IF(AND('Data Source'!B434&lt;&gt;"",'Data Source'!S434="A+"),IF('Data Source'!AF434&gt;=5,"A+",IF('Data Source'!AF434&gt;=4,"A",IF('Data Source'!AF434&gt;=3.5,"A-",IF('Data Source'!AF434&gt;=3,"B",IF('Data Source'!AF434&gt;=2,"C",IF('Data Source'!AF434&gt;=1,"D","F")))))),"")</f>
        <v/>
      </c>
      <c r="O434" s="3">
        <f>IF(AND('Data Source'!B434&lt;&gt;"",'Data Source'!S434="A+"),IF('Data Source'!AG434&gt;=5,"A+",IF('Data Source'!AG434&gt;=4,"A",IF('Data Source'!AG434&gt;=3.5,"A-",IF('Data Source'!AG434&gt;=3,"B",IF('Data Source'!AG434&gt;=2,"C",IF('Data Source'!AG434&gt;=1,"D","F")))))),"")</f>
        <v/>
      </c>
      <c r="P434" s="5">
        <f>IF(AND('Data Source'!B434&lt;&gt;"",'Data Source'!S434="A+"),'Data Source'!R434,"")</f>
        <v/>
      </c>
      <c r="Q434" s="3">
        <f>IF(AND('Data Source'!B434&lt;&gt;"",'Data Source'!S434="A+"),'Data Source'!S434,"")</f>
        <v/>
      </c>
    </row>
    <row r="435">
      <c r="A435" s="3">
        <f>IF(AND('Data Source'!B435&lt;&gt;"",'Data Source'!S435="A+"),COUNTIF('Data Source'!$S$3:S435,"A+"),"")</f>
        <v/>
      </c>
      <c r="B435">
        <f>IF(AND('Data Source'!B435&lt;&gt;"",'Data Source'!S435="A+"),'Data Source'!B435,"")</f>
        <v/>
      </c>
      <c r="C435" s="3">
        <f>IF(AND('Data Source'!B435&lt;&gt;"",'Data Source'!S435="A+"),IF('Data Source'!U435&gt;=5,"A+",IF('Data Source'!U435&gt;=4,"A",IF('Data Source'!U435&gt;=3.5,"A-",IF('Data Source'!U435&gt;=3,"B",IF('Data Source'!U435&gt;=2,"C",IF('Data Source'!U435&gt;=1,"D","F")))))),"")</f>
        <v/>
      </c>
      <c r="D435" s="3">
        <f>IF(AND('Data Source'!B435&lt;&gt;"",'Data Source'!S435="A+"),IF('Data Source'!V435&gt;=5,"A+",IF('Data Source'!V435&gt;=4,"A",IF('Data Source'!V435&gt;=3.5,"A-",IF('Data Source'!V435&gt;=3,"B",IF('Data Source'!V435&gt;=2,"C",IF('Data Source'!V435&gt;=1,"D","F")))))),"")</f>
        <v/>
      </c>
      <c r="E435" s="3">
        <f>IF(AND('Data Source'!B435&lt;&gt;"",'Data Source'!S435="A+"),IF('Data Source'!W435&gt;=5,"A+",IF('Data Source'!W435&gt;=4,"A",IF('Data Source'!W435&gt;=3.5,"A-",IF('Data Source'!W435&gt;=3,"B",IF('Data Source'!W435&gt;=2,"C",IF('Data Source'!W435&gt;=1,"D","F")))))),"")</f>
        <v/>
      </c>
      <c r="F435" s="3">
        <f>IF(AND('Data Source'!B435&lt;&gt;"",'Data Source'!S435="A+"),IF('Data Source'!X435&gt;=5,"A+",IF('Data Source'!X435&gt;=4,"A",IF('Data Source'!X435&gt;=3.5,"A-",IF('Data Source'!X435&gt;=3,"B",IF('Data Source'!X435&gt;=2,"C",IF('Data Source'!X435&gt;=1,"D","F")))))),"")</f>
        <v/>
      </c>
      <c r="G435" s="3">
        <f>IF(AND('Data Source'!B435&lt;&gt;"",'Data Source'!S435="A+"),IF('Data Source'!Y435&gt;=5,"A+",IF('Data Source'!Y435&gt;=4,"A",IF('Data Source'!Y435&gt;=3.5,"A-",IF('Data Source'!Y435&gt;=3,"B",IF('Data Source'!Y435&gt;=2,"C",IF('Data Source'!Y435&gt;=1,"D","F")))))),"")</f>
        <v/>
      </c>
      <c r="H435" s="3">
        <f>IF(AND('Data Source'!B435&lt;&gt;"",'Data Source'!S435="A+"),IF('Data Source'!Z435&gt;=5,"A+",IF('Data Source'!Z435&gt;=4,"A",IF('Data Source'!Z435&gt;=3.5,"A-",IF('Data Source'!Z435&gt;=3,"B",IF('Data Source'!Z435&gt;=2,"C",IF('Data Source'!Z435&gt;=1,"D","F")))))),"")</f>
        <v/>
      </c>
      <c r="I435" s="3">
        <f>IF(AND('Data Source'!B435&lt;&gt;"",'Data Source'!S435="A+"),IF('Data Source'!AA435&gt;=5,"A+",IF('Data Source'!AA435&gt;=4,"A",IF('Data Source'!AA435&gt;=3.5,"A-",IF('Data Source'!AA435&gt;=3,"B",IF('Data Source'!AA435&gt;=2,"C",IF('Data Source'!AA435&gt;=1,"D","F")))))),"")</f>
        <v/>
      </c>
      <c r="J435" s="3">
        <f>IF(AND('Data Source'!B435&lt;&gt;"",'Data Source'!S435="A+"),IF('Data Source'!AB435&gt;=5,"A+",IF('Data Source'!AB435&gt;=4,"A",IF('Data Source'!AB435&gt;=3.5,"A-",IF('Data Source'!AB435&gt;=3,"B",IF('Data Source'!AB435&gt;=2,"C",IF('Data Source'!AB435&gt;=1,"D","F")))))),"")</f>
        <v/>
      </c>
      <c r="K435" s="3">
        <f>IF(AND('Data Source'!B435&lt;&gt;"",'Data Source'!S435="A+"),IF('Data Source'!AC435&gt;=5,"A+",IF('Data Source'!AC435&gt;=4,"A",IF('Data Source'!AC435&gt;=3.5,"A-",IF('Data Source'!AC435&gt;=3,"B",IF('Data Source'!AC435&gt;=2,"C",IF('Data Source'!AC435&gt;=1,"D","F")))))),"")</f>
        <v/>
      </c>
      <c r="L435" s="3">
        <f>IF(AND('Data Source'!B435&lt;&gt;"",'Data Source'!S435="A+"),IF('Data Source'!AD435&gt;=5,"A+",IF('Data Source'!AD435&gt;=4,"A",IF('Data Source'!AD435&gt;=3.5,"A-",IF('Data Source'!AD435&gt;=3,"B",IF('Data Source'!AD435&gt;=2,"C",IF('Data Source'!AD435&gt;=1,"D","F")))))),"")</f>
        <v/>
      </c>
      <c r="M435" s="3">
        <f>IF(AND('Data Source'!B435&lt;&gt;"",'Data Source'!S435="A+"),IF('Data Source'!AE435&gt;=5,"A+",IF('Data Source'!AE435&gt;=4,"A",IF('Data Source'!AE435&gt;=3.5,"A-",IF('Data Source'!AE435&gt;=3,"B",IF('Data Source'!AE435&gt;=2,"C",IF('Data Source'!AE435&gt;=1,"D","F")))))),"")</f>
        <v/>
      </c>
      <c r="N435" s="3">
        <f>IF(AND('Data Source'!B435&lt;&gt;"",'Data Source'!S435="A+"),IF('Data Source'!AF435&gt;=5,"A+",IF('Data Source'!AF435&gt;=4,"A",IF('Data Source'!AF435&gt;=3.5,"A-",IF('Data Source'!AF435&gt;=3,"B",IF('Data Source'!AF435&gt;=2,"C",IF('Data Source'!AF435&gt;=1,"D","F")))))),"")</f>
        <v/>
      </c>
      <c r="O435" s="3">
        <f>IF(AND('Data Source'!B435&lt;&gt;"",'Data Source'!S435="A+"),IF('Data Source'!AG435&gt;=5,"A+",IF('Data Source'!AG435&gt;=4,"A",IF('Data Source'!AG435&gt;=3.5,"A-",IF('Data Source'!AG435&gt;=3,"B",IF('Data Source'!AG435&gt;=2,"C",IF('Data Source'!AG435&gt;=1,"D","F")))))),"")</f>
        <v/>
      </c>
      <c r="P435" s="5">
        <f>IF(AND('Data Source'!B435&lt;&gt;"",'Data Source'!S435="A+"),'Data Source'!R435,"")</f>
        <v/>
      </c>
      <c r="Q435" s="3">
        <f>IF(AND('Data Source'!B435&lt;&gt;"",'Data Source'!S435="A+"),'Data Source'!S435,"")</f>
        <v/>
      </c>
    </row>
    <row r="436">
      <c r="A436" s="3">
        <f>IF(AND('Data Source'!B436&lt;&gt;"",'Data Source'!S436="A+"),COUNTIF('Data Source'!$S$3:S436,"A+"),"")</f>
        <v/>
      </c>
      <c r="B436">
        <f>IF(AND('Data Source'!B436&lt;&gt;"",'Data Source'!S436="A+"),'Data Source'!B436,"")</f>
        <v/>
      </c>
      <c r="C436" s="3">
        <f>IF(AND('Data Source'!B436&lt;&gt;"",'Data Source'!S436="A+"),IF('Data Source'!U436&gt;=5,"A+",IF('Data Source'!U436&gt;=4,"A",IF('Data Source'!U436&gt;=3.5,"A-",IF('Data Source'!U436&gt;=3,"B",IF('Data Source'!U436&gt;=2,"C",IF('Data Source'!U436&gt;=1,"D","F")))))),"")</f>
        <v/>
      </c>
      <c r="D436" s="3">
        <f>IF(AND('Data Source'!B436&lt;&gt;"",'Data Source'!S436="A+"),IF('Data Source'!V436&gt;=5,"A+",IF('Data Source'!V436&gt;=4,"A",IF('Data Source'!V436&gt;=3.5,"A-",IF('Data Source'!V436&gt;=3,"B",IF('Data Source'!V436&gt;=2,"C",IF('Data Source'!V436&gt;=1,"D","F")))))),"")</f>
        <v/>
      </c>
      <c r="E436" s="3">
        <f>IF(AND('Data Source'!B436&lt;&gt;"",'Data Source'!S436="A+"),IF('Data Source'!W436&gt;=5,"A+",IF('Data Source'!W436&gt;=4,"A",IF('Data Source'!W436&gt;=3.5,"A-",IF('Data Source'!W436&gt;=3,"B",IF('Data Source'!W436&gt;=2,"C",IF('Data Source'!W436&gt;=1,"D","F")))))),"")</f>
        <v/>
      </c>
      <c r="F436" s="3">
        <f>IF(AND('Data Source'!B436&lt;&gt;"",'Data Source'!S436="A+"),IF('Data Source'!X436&gt;=5,"A+",IF('Data Source'!X436&gt;=4,"A",IF('Data Source'!X436&gt;=3.5,"A-",IF('Data Source'!X436&gt;=3,"B",IF('Data Source'!X436&gt;=2,"C",IF('Data Source'!X436&gt;=1,"D","F")))))),"")</f>
        <v/>
      </c>
      <c r="G436" s="3">
        <f>IF(AND('Data Source'!B436&lt;&gt;"",'Data Source'!S436="A+"),IF('Data Source'!Y436&gt;=5,"A+",IF('Data Source'!Y436&gt;=4,"A",IF('Data Source'!Y436&gt;=3.5,"A-",IF('Data Source'!Y436&gt;=3,"B",IF('Data Source'!Y436&gt;=2,"C",IF('Data Source'!Y436&gt;=1,"D","F")))))),"")</f>
        <v/>
      </c>
      <c r="H436" s="3">
        <f>IF(AND('Data Source'!B436&lt;&gt;"",'Data Source'!S436="A+"),IF('Data Source'!Z436&gt;=5,"A+",IF('Data Source'!Z436&gt;=4,"A",IF('Data Source'!Z436&gt;=3.5,"A-",IF('Data Source'!Z436&gt;=3,"B",IF('Data Source'!Z436&gt;=2,"C",IF('Data Source'!Z436&gt;=1,"D","F")))))),"")</f>
        <v/>
      </c>
      <c r="I436" s="3">
        <f>IF(AND('Data Source'!B436&lt;&gt;"",'Data Source'!S436="A+"),IF('Data Source'!AA436&gt;=5,"A+",IF('Data Source'!AA436&gt;=4,"A",IF('Data Source'!AA436&gt;=3.5,"A-",IF('Data Source'!AA436&gt;=3,"B",IF('Data Source'!AA436&gt;=2,"C",IF('Data Source'!AA436&gt;=1,"D","F")))))),"")</f>
        <v/>
      </c>
      <c r="J436" s="3">
        <f>IF(AND('Data Source'!B436&lt;&gt;"",'Data Source'!S436="A+"),IF('Data Source'!AB436&gt;=5,"A+",IF('Data Source'!AB436&gt;=4,"A",IF('Data Source'!AB436&gt;=3.5,"A-",IF('Data Source'!AB436&gt;=3,"B",IF('Data Source'!AB436&gt;=2,"C",IF('Data Source'!AB436&gt;=1,"D","F")))))),"")</f>
        <v/>
      </c>
      <c r="K436" s="3">
        <f>IF(AND('Data Source'!B436&lt;&gt;"",'Data Source'!S436="A+"),IF('Data Source'!AC436&gt;=5,"A+",IF('Data Source'!AC436&gt;=4,"A",IF('Data Source'!AC436&gt;=3.5,"A-",IF('Data Source'!AC436&gt;=3,"B",IF('Data Source'!AC436&gt;=2,"C",IF('Data Source'!AC436&gt;=1,"D","F")))))),"")</f>
        <v/>
      </c>
      <c r="L436" s="3">
        <f>IF(AND('Data Source'!B436&lt;&gt;"",'Data Source'!S436="A+"),IF('Data Source'!AD436&gt;=5,"A+",IF('Data Source'!AD436&gt;=4,"A",IF('Data Source'!AD436&gt;=3.5,"A-",IF('Data Source'!AD436&gt;=3,"B",IF('Data Source'!AD436&gt;=2,"C",IF('Data Source'!AD436&gt;=1,"D","F")))))),"")</f>
        <v/>
      </c>
      <c r="M436" s="3">
        <f>IF(AND('Data Source'!B436&lt;&gt;"",'Data Source'!S436="A+"),IF('Data Source'!AE436&gt;=5,"A+",IF('Data Source'!AE436&gt;=4,"A",IF('Data Source'!AE436&gt;=3.5,"A-",IF('Data Source'!AE436&gt;=3,"B",IF('Data Source'!AE436&gt;=2,"C",IF('Data Source'!AE436&gt;=1,"D","F")))))),"")</f>
        <v/>
      </c>
      <c r="N436" s="3">
        <f>IF(AND('Data Source'!B436&lt;&gt;"",'Data Source'!S436="A+"),IF('Data Source'!AF436&gt;=5,"A+",IF('Data Source'!AF436&gt;=4,"A",IF('Data Source'!AF436&gt;=3.5,"A-",IF('Data Source'!AF436&gt;=3,"B",IF('Data Source'!AF436&gt;=2,"C",IF('Data Source'!AF436&gt;=1,"D","F")))))),"")</f>
        <v/>
      </c>
      <c r="O436" s="3">
        <f>IF(AND('Data Source'!B436&lt;&gt;"",'Data Source'!S436="A+"),IF('Data Source'!AG436&gt;=5,"A+",IF('Data Source'!AG436&gt;=4,"A",IF('Data Source'!AG436&gt;=3.5,"A-",IF('Data Source'!AG436&gt;=3,"B",IF('Data Source'!AG436&gt;=2,"C",IF('Data Source'!AG436&gt;=1,"D","F")))))),"")</f>
        <v/>
      </c>
      <c r="P436" s="5">
        <f>IF(AND('Data Source'!B436&lt;&gt;"",'Data Source'!S436="A+"),'Data Source'!R436,"")</f>
        <v/>
      </c>
      <c r="Q436" s="3">
        <f>IF(AND('Data Source'!B436&lt;&gt;"",'Data Source'!S436="A+"),'Data Source'!S436,"")</f>
        <v/>
      </c>
    </row>
    <row r="437">
      <c r="A437" s="3">
        <f>IF(AND('Data Source'!B437&lt;&gt;"",'Data Source'!S437="A+"),COUNTIF('Data Source'!$S$3:S437,"A+"),"")</f>
        <v/>
      </c>
      <c r="B437">
        <f>IF(AND('Data Source'!B437&lt;&gt;"",'Data Source'!S437="A+"),'Data Source'!B437,"")</f>
        <v/>
      </c>
      <c r="C437" s="3">
        <f>IF(AND('Data Source'!B437&lt;&gt;"",'Data Source'!S437="A+"),IF('Data Source'!U437&gt;=5,"A+",IF('Data Source'!U437&gt;=4,"A",IF('Data Source'!U437&gt;=3.5,"A-",IF('Data Source'!U437&gt;=3,"B",IF('Data Source'!U437&gt;=2,"C",IF('Data Source'!U437&gt;=1,"D","F")))))),"")</f>
        <v/>
      </c>
      <c r="D437" s="3">
        <f>IF(AND('Data Source'!B437&lt;&gt;"",'Data Source'!S437="A+"),IF('Data Source'!V437&gt;=5,"A+",IF('Data Source'!V437&gt;=4,"A",IF('Data Source'!V437&gt;=3.5,"A-",IF('Data Source'!V437&gt;=3,"B",IF('Data Source'!V437&gt;=2,"C",IF('Data Source'!V437&gt;=1,"D","F")))))),"")</f>
        <v/>
      </c>
      <c r="E437" s="3">
        <f>IF(AND('Data Source'!B437&lt;&gt;"",'Data Source'!S437="A+"),IF('Data Source'!W437&gt;=5,"A+",IF('Data Source'!W437&gt;=4,"A",IF('Data Source'!W437&gt;=3.5,"A-",IF('Data Source'!W437&gt;=3,"B",IF('Data Source'!W437&gt;=2,"C",IF('Data Source'!W437&gt;=1,"D","F")))))),"")</f>
        <v/>
      </c>
      <c r="F437" s="3">
        <f>IF(AND('Data Source'!B437&lt;&gt;"",'Data Source'!S437="A+"),IF('Data Source'!X437&gt;=5,"A+",IF('Data Source'!X437&gt;=4,"A",IF('Data Source'!X437&gt;=3.5,"A-",IF('Data Source'!X437&gt;=3,"B",IF('Data Source'!X437&gt;=2,"C",IF('Data Source'!X437&gt;=1,"D","F")))))),"")</f>
        <v/>
      </c>
      <c r="G437" s="3">
        <f>IF(AND('Data Source'!B437&lt;&gt;"",'Data Source'!S437="A+"),IF('Data Source'!Y437&gt;=5,"A+",IF('Data Source'!Y437&gt;=4,"A",IF('Data Source'!Y437&gt;=3.5,"A-",IF('Data Source'!Y437&gt;=3,"B",IF('Data Source'!Y437&gt;=2,"C",IF('Data Source'!Y437&gt;=1,"D","F")))))),"")</f>
        <v/>
      </c>
      <c r="H437" s="3">
        <f>IF(AND('Data Source'!B437&lt;&gt;"",'Data Source'!S437="A+"),IF('Data Source'!Z437&gt;=5,"A+",IF('Data Source'!Z437&gt;=4,"A",IF('Data Source'!Z437&gt;=3.5,"A-",IF('Data Source'!Z437&gt;=3,"B",IF('Data Source'!Z437&gt;=2,"C",IF('Data Source'!Z437&gt;=1,"D","F")))))),"")</f>
        <v/>
      </c>
      <c r="I437" s="3">
        <f>IF(AND('Data Source'!B437&lt;&gt;"",'Data Source'!S437="A+"),IF('Data Source'!AA437&gt;=5,"A+",IF('Data Source'!AA437&gt;=4,"A",IF('Data Source'!AA437&gt;=3.5,"A-",IF('Data Source'!AA437&gt;=3,"B",IF('Data Source'!AA437&gt;=2,"C",IF('Data Source'!AA437&gt;=1,"D","F")))))),"")</f>
        <v/>
      </c>
      <c r="J437" s="3">
        <f>IF(AND('Data Source'!B437&lt;&gt;"",'Data Source'!S437="A+"),IF('Data Source'!AB437&gt;=5,"A+",IF('Data Source'!AB437&gt;=4,"A",IF('Data Source'!AB437&gt;=3.5,"A-",IF('Data Source'!AB437&gt;=3,"B",IF('Data Source'!AB437&gt;=2,"C",IF('Data Source'!AB437&gt;=1,"D","F")))))),"")</f>
        <v/>
      </c>
      <c r="K437" s="3">
        <f>IF(AND('Data Source'!B437&lt;&gt;"",'Data Source'!S437="A+"),IF('Data Source'!AC437&gt;=5,"A+",IF('Data Source'!AC437&gt;=4,"A",IF('Data Source'!AC437&gt;=3.5,"A-",IF('Data Source'!AC437&gt;=3,"B",IF('Data Source'!AC437&gt;=2,"C",IF('Data Source'!AC437&gt;=1,"D","F")))))),"")</f>
        <v/>
      </c>
      <c r="L437" s="3">
        <f>IF(AND('Data Source'!B437&lt;&gt;"",'Data Source'!S437="A+"),IF('Data Source'!AD437&gt;=5,"A+",IF('Data Source'!AD437&gt;=4,"A",IF('Data Source'!AD437&gt;=3.5,"A-",IF('Data Source'!AD437&gt;=3,"B",IF('Data Source'!AD437&gt;=2,"C",IF('Data Source'!AD437&gt;=1,"D","F")))))),"")</f>
        <v/>
      </c>
      <c r="M437" s="3">
        <f>IF(AND('Data Source'!B437&lt;&gt;"",'Data Source'!S437="A+"),IF('Data Source'!AE437&gt;=5,"A+",IF('Data Source'!AE437&gt;=4,"A",IF('Data Source'!AE437&gt;=3.5,"A-",IF('Data Source'!AE437&gt;=3,"B",IF('Data Source'!AE437&gt;=2,"C",IF('Data Source'!AE437&gt;=1,"D","F")))))),"")</f>
        <v/>
      </c>
      <c r="N437" s="3">
        <f>IF(AND('Data Source'!B437&lt;&gt;"",'Data Source'!S437="A+"),IF('Data Source'!AF437&gt;=5,"A+",IF('Data Source'!AF437&gt;=4,"A",IF('Data Source'!AF437&gt;=3.5,"A-",IF('Data Source'!AF437&gt;=3,"B",IF('Data Source'!AF437&gt;=2,"C",IF('Data Source'!AF437&gt;=1,"D","F")))))),"")</f>
        <v/>
      </c>
      <c r="O437" s="3">
        <f>IF(AND('Data Source'!B437&lt;&gt;"",'Data Source'!S437="A+"),IF('Data Source'!AG437&gt;=5,"A+",IF('Data Source'!AG437&gt;=4,"A",IF('Data Source'!AG437&gt;=3.5,"A-",IF('Data Source'!AG437&gt;=3,"B",IF('Data Source'!AG437&gt;=2,"C",IF('Data Source'!AG437&gt;=1,"D","F")))))),"")</f>
        <v/>
      </c>
      <c r="P437" s="5">
        <f>IF(AND('Data Source'!B437&lt;&gt;"",'Data Source'!S437="A+"),'Data Source'!R437,"")</f>
        <v/>
      </c>
      <c r="Q437" s="3">
        <f>IF(AND('Data Source'!B437&lt;&gt;"",'Data Source'!S437="A+"),'Data Source'!S437,"")</f>
        <v/>
      </c>
    </row>
    <row r="438">
      <c r="A438" s="3">
        <f>IF(AND('Data Source'!B438&lt;&gt;"",'Data Source'!S438="A+"),COUNTIF('Data Source'!$S$3:S438,"A+"),"")</f>
        <v/>
      </c>
      <c r="B438">
        <f>IF(AND('Data Source'!B438&lt;&gt;"",'Data Source'!S438="A+"),'Data Source'!B438,"")</f>
        <v/>
      </c>
      <c r="C438" s="3">
        <f>IF(AND('Data Source'!B438&lt;&gt;"",'Data Source'!S438="A+"),IF('Data Source'!U438&gt;=5,"A+",IF('Data Source'!U438&gt;=4,"A",IF('Data Source'!U438&gt;=3.5,"A-",IF('Data Source'!U438&gt;=3,"B",IF('Data Source'!U438&gt;=2,"C",IF('Data Source'!U438&gt;=1,"D","F")))))),"")</f>
        <v/>
      </c>
      <c r="D438" s="3">
        <f>IF(AND('Data Source'!B438&lt;&gt;"",'Data Source'!S438="A+"),IF('Data Source'!V438&gt;=5,"A+",IF('Data Source'!V438&gt;=4,"A",IF('Data Source'!V438&gt;=3.5,"A-",IF('Data Source'!V438&gt;=3,"B",IF('Data Source'!V438&gt;=2,"C",IF('Data Source'!V438&gt;=1,"D","F")))))),"")</f>
        <v/>
      </c>
      <c r="E438" s="3">
        <f>IF(AND('Data Source'!B438&lt;&gt;"",'Data Source'!S438="A+"),IF('Data Source'!W438&gt;=5,"A+",IF('Data Source'!W438&gt;=4,"A",IF('Data Source'!W438&gt;=3.5,"A-",IF('Data Source'!W438&gt;=3,"B",IF('Data Source'!W438&gt;=2,"C",IF('Data Source'!W438&gt;=1,"D","F")))))),"")</f>
        <v/>
      </c>
      <c r="F438" s="3">
        <f>IF(AND('Data Source'!B438&lt;&gt;"",'Data Source'!S438="A+"),IF('Data Source'!X438&gt;=5,"A+",IF('Data Source'!X438&gt;=4,"A",IF('Data Source'!X438&gt;=3.5,"A-",IF('Data Source'!X438&gt;=3,"B",IF('Data Source'!X438&gt;=2,"C",IF('Data Source'!X438&gt;=1,"D","F")))))),"")</f>
        <v/>
      </c>
      <c r="G438" s="3">
        <f>IF(AND('Data Source'!B438&lt;&gt;"",'Data Source'!S438="A+"),IF('Data Source'!Y438&gt;=5,"A+",IF('Data Source'!Y438&gt;=4,"A",IF('Data Source'!Y438&gt;=3.5,"A-",IF('Data Source'!Y438&gt;=3,"B",IF('Data Source'!Y438&gt;=2,"C",IF('Data Source'!Y438&gt;=1,"D","F")))))),"")</f>
        <v/>
      </c>
      <c r="H438" s="3">
        <f>IF(AND('Data Source'!B438&lt;&gt;"",'Data Source'!S438="A+"),IF('Data Source'!Z438&gt;=5,"A+",IF('Data Source'!Z438&gt;=4,"A",IF('Data Source'!Z438&gt;=3.5,"A-",IF('Data Source'!Z438&gt;=3,"B",IF('Data Source'!Z438&gt;=2,"C",IF('Data Source'!Z438&gt;=1,"D","F")))))),"")</f>
        <v/>
      </c>
      <c r="I438" s="3">
        <f>IF(AND('Data Source'!B438&lt;&gt;"",'Data Source'!S438="A+"),IF('Data Source'!AA438&gt;=5,"A+",IF('Data Source'!AA438&gt;=4,"A",IF('Data Source'!AA438&gt;=3.5,"A-",IF('Data Source'!AA438&gt;=3,"B",IF('Data Source'!AA438&gt;=2,"C",IF('Data Source'!AA438&gt;=1,"D","F")))))),"")</f>
        <v/>
      </c>
      <c r="J438" s="3">
        <f>IF(AND('Data Source'!B438&lt;&gt;"",'Data Source'!S438="A+"),IF('Data Source'!AB438&gt;=5,"A+",IF('Data Source'!AB438&gt;=4,"A",IF('Data Source'!AB438&gt;=3.5,"A-",IF('Data Source'!AB438&gt;=3,"B",IF('Data Source'!AB438&gt;=2,"C",IF('Data Source'!AB438&gt;=1,"D","F")))))),"")</f>
        <v/>
      </c>
      <c r="K438" s="3">
        <f>IF(AND('Data Source'!B438&lt;&gt;"",'Data Source'!S438="A+"),IF('Data Source'!AC438&gt;=5,"A+",IF('Data Source'!AC438&gt;=4,"A",IF('Data Source'!AC438&gt;=3.5,"A-",IF('Data Source'!AC438&gt;=3,"B",IF('Data Source'!AC438&gt;=2,"C",IF('Data Source'!AC438&gt;=1,"D","F")))))),"")</f>
        <v/>
      </c>
      <c r="L438" s="3">
        <f>IF(AND('Data Source'!B438&lt;&gt;"",'Data Source'!S438="A+"),IF('Data Source'!AD438&gt;=5,"A+",IF('Data Source'!AD438&gt;=4,"A",IF('Data Source'!AD438&gt;=3.5,"A-",IF('Data Source'!AD438&gt;=3,"B",IF('Data Source'!AD438&gt;=2,"C",IF('Data Source'!AD438&gt;=1,"D","F")))))),"")</f>
        <v/>
      </c>
      <c r="M438" s="3">
        <f>IF(AND('Data Source'!B438&lt;&gt;"",'Data Source'!S438="A+"),IF('Data Source'!AE438&gt;=5,"A+",IF('Data Source'!AE438&gt;=4,"A",IF('Data Source'!AE438&gt;=3.5,"A-",IF('Data Source'!AE438&gt;=3,"B",IF('Data Source'!AE438&gt;=2,"C",IF('Data Source'!AE438&gt;=1,"D","F")))))),"")</f>
        <v/>
      </c>
      <c r="N438" s="3">
        <f>IF(AND('Data Source'!B438&lt;&gt;"",'Data Source'!S438="A+"),IF('Data Source'!AF438&gt;=5,"A+",IF('Data Source'!AF438&gt;=4,"A",IF('Data Source'!AF438&gt;=3.5,"A-",IF('Data Source'!AF438&gt;=3,"B",IF('Data Source'!AF438&gt;=2,"C",IF('Data Source'!AF438&gt;=1,"D","F")))))),"")</f>
        <v/>
      </c>
      <c r="O438" s="3">
        <f>IF(AND('Data Source'!B438&lt;&gt;"",'Data Source'!S438="A+"),IF('Data Source'!AG438&gt;=5,"A+",IF('Data Source'!AG438&gt;=4,"A",IF('Data Source'!AG438&gt;=3.5,"A-",IF('Data Source'!AG438&gt;=3,"B",IF('Data Source'!AG438&gt;=2,"C",IF('Data Source'!AG438&gt;=1,"D","F")))))),"")</f>
        <v/>
      </c>
      <c r="P438" s="5">
        <f>IF(AND('Data Source'!B438&lt;&gt;"",'Data Source'!S438="A+"),'Data Source'!R438,"")</f>
        <v/>
      </c>
      <c r="Q438" s="3">
        <f>IF(AND('Data Source'!B438&lt;&gt;"",'Data Source'!S438="A+"),'Data Source'!S438,"")</f>
        <v/>
      </c>
    </row>
    <row r="439">
      <c r="A439" s="3">
        <f>IF(AND('Data Source'!B439&lt;&gt;"",'Data Source'!S439="A+"),COUNTIF('Data Source'!$S$3:S439,"A+"),"")</f>
        <v/>
      </c>
      <c r="B439">
        <f>IF(AND('Data Source'!B439&lt;&gt;"",'Data Source'!S439="A+"),'Data Source'!B439,"")</f>
        <v/>
      </c>
      <c r="C439" s="3">
        <f>IF(AND('Data Source'!B439&lt;&gt;"",'Data Source'!S439="A+"),IF('Data Source'!U439&gt;=5,"A+",IF('Data Source'!U439&gt;=4,"A",IF('Data Source'!U439&gt;=3.5,"A-",IF('Data Source'!U439&gt;=3,"B",IF('Data Source'!U439&gt;=2,"C",IF('Data Source'!U439&gt;=1,"D","F")))))),"")</f>
        <v/>
      </c>
      <c r="D439" s="3">
        <f>IF(AND('Data Source'!B439&lt;&gt;"",'Data Source'!S439="A+"),IF('Data Source'!V439&gt;=5,"A+",IF('Data Source'!V439&gt;=4,"A",IF('Data Source'!V439&gt;=3.5,"A-",IF('Data Source'!V439&gt;=3,"B",IF('Data Source'!V439&gt;=2,"C",IF('Data Source'!V439&gt;=1,"D","F")))))),"")</f>
        <v/>
      </c>
      <c r="E439" s="3">
        <f>IF(AND('Data Source'!B439&lt;&gt;"",'Data Source'!S439="A+"),IF('Data Source'!W439&gt;=5,"A+",IF('Data Source'!W439&gt;=4,"A",IF('Data Source'!W439&gt;=3.5,"A-",IF('Data Source'!W439&gt;=3,"B",IF('Data Source'!W439&gt;=2,"C",IF('Data Source'!W439&gt;=1,"D","F")))))),"")</f>
        <v/>
      </c>
      <c r="F439" s="3">
        <f>IF(AND('Data Source'!B439&lt;&gt;"",'Data Source'!S439="A+"),IF('Data Source'!X439&gt;=5,"A+",IF('Data Source'!X439&gt;=4,"A",IF('Data Source'!X439&gt;=3.5,"A-",IF('Data Source'!X439&gt;=3,"B",IF('Data Source'!X439&gt;=2,"C",IF('Data Source'!X439&gt;=1,"D","F")))))),"")</f>
        <v/>
      </c>
      <c r="G439" s="3">
        <f>IF(AND('Data Source'!B439&lt;&gt;"",'Data Source'!S439="A+"),IF('Data Source'!Y439&gt;=5,"A+",IF('Data Source'!Y439&gt;=4,"A",IF('Data Source'!Y439&gt;=3.5,"A-",IF('Data Source'!Y439&gt;=3,"B",IF('Data Source'!Y439&gt;=2,"C",IF('Data Source'!Y439&gt;=1,"D","F")))))),"")</f>
        <v/>
      </c>
      <c r="H439" s="3">
        <f>IF(AND('Data Source'!B439&lt;&gt;"",'Data Source'!S439="A+"),IF('Data Source'!Z439&gt;=5,"A+",IF('Data Source'!Z439&gt;=4,"A",IF('Data Source'!Z439&gt;=3.5,"A-",IF('Data Source'!Z439&gt;=3,"B",IF('Data Source'!Z439&gt;=2,"C",IF('Data Source'!Z439&gt;=1,"D","F")))))),"")</f>
        <v/>
      </c>
      <c r="I439" s="3">
        <f>IF(AND('Data Source'!B439&lt;&gt;"",'Data Source'!S439="A+"),IF('Data Source'!AA439&gt;=5,"A+",IF('Data Source'!AA439&gt;=4,"A",IF('Data Source'!AA439&gt;=3.5,"A-",IF('Data Source'!AA439&gt;=3,"B",IF('Data Source'!AA439&gt;=2,"C",IF('Data Source'!AA439&gt;=1,"D","F")))))),"")</f>
        <v/>
      </c>
      <c r="J439" s="3">
        <f>IF(AND('Data Source'!B439&lt;&gt;"",'Data Source'!S439="A+"),IF('Data Source'!AB439&gt;=5,"A+",IF('Data Source'!AB439&gt;=4,"A",IF('Data Source'!AB439&gt;=3.5,"A-",IF('Data Source'!AB439&gt;=3,"B",IF('Data Source'!AB439&gt;=2,"C",IF('Data Source'!AB439&gt;=1,"D","F")))))),"")</f>
        <v/>
      </c>
      <c r="K439" s="3">
        <f>IF(AND('Data Source'!B439&lt;&gt;"",'Data Source'!S439="A+"),IF('Data Source'!AC439&gt;=5,"A+",IF('Data Source'!AC439&gt;=4,"A",IF('Data Source'!AC439&gt;=3.5,"A-",IF('Data Source'!AC439&gt;=3,"B",IF('Data Source'!AC439&gt;=2,"C",IF('Data Source'!AC439&gt;=1,"D","F")))))),"")</f>
        <v/>
      </c>
      <c r="L439" s="3">
        <f>IF(AND('Data Source'!B439&lt;&gt;"",'Data Source'!S439="A+"),IF('Data Source'!AD439&gt;=5,"A+",IF('Data Source'!AD439&gt;=4,"A",IF('Data Source'!AD439&gt;=3.5,"A-",IF('Data Source'!AD439&gt;=3,"B",IF('Data Source'!AD439&gt;=2,"C",IF('Data Source'!AD439&gt;=1,"D","F")))))),"")</f>
        <v/>
      </c>
      <c r="M439" s="3">
        <f>IF(AND('Data Source'!B439&lt;&gt;"",'Data Source'!S439="A+"),IF('Data Source'!AE439&gt;=5,"A+",IF('Data Source'!AE439&gt;=4,"A",IF('Data Source'!AE439&gt;=3.5,"A-",IF('Data Source'!AE439&gt;=3,"B",IF('Data Source'!AE439&gt;=2,"C",IF('Data Source'!AE439&gt;=1,"D","F")))))),"")</f>
        <v/>
      </c>
      <c r="N439" s="3">
        <f>IF(AND('Data Source'!B439&lt;&gt;"",'Data Source'!S439="A+"),IF('Data Source'!AF439&gt;=5,"A+",IF('Data Source'!AF439&gt;=4,"A",IF('Data Source'!AF439&gt;=3.5,"A-",IF('Data Source'!AF439&gt;=3,"B",IF('Data Source'!AF439&gt;=2,"C",IF('Data Source'!AF439&gt;=1,"D","F")))))),"")</f>
        <v/>
      </c>
      <c r="O439" s="3">
        <f>IF(AND('Data Source'!B439&lt;&gt;"",'Data Source'!S439="A+"),IF('Data Source'!AG439&gt;=5,"A+",IF('Data Source'!AG439&gt;=4,"A",IF('Data Source'!AG439&gt;=3.5,"A-",IF('Data Source'!AG439&gt;=3,"B",IF('Data Source'!AG439&gt;=2,"C",IF('Data Source'!AG439&gt;=1,"D","F")))))),"")</f>
        <v/>
      </c>
      <c r="P439" s="5">
        <f>IF(AND('Data Source'!B439&lt;&gt;"",'Data Source'!S439="A+"),'Data Source'!R439,"")</f>
        <v/>
      </c>
      <c r="Q439" s="3">
        <f>IF(AND('Data Source'!B439&lt;&gt;"",'Data Source'!S439="A+"),'Data Source'!S439,"")</f>
        <v/>
      </c>
    </row>
    <row r="440">
      <c r="A440" s="3">
        <f>IF(AND('Data Source'!B440&lt;&gt;"",'Data Source'!S440="A+"),COUNTIF('Data Source'!$S$3:S440,"A+"),"")</f>
        <v/>
      </c>
      <c r="B440">
        <f>IF(AND('Data Source'!B440&lt;&gt;"",'Data Source'!S440="A+"),'Data Source'!B440,"")</f>
        <v/>
      </c>
      <c r="C440" s="3">
        <f>IF(AND('Data Source'!B440&lt;&gt;"",'Data Source'!S440="A+"),IF('Data Source'!U440&gt;=5,"A+",IF('Data Source'!U440&gt;=4,"A",IF('Data Source'!U440&gt;=3.5,"A-",IF('Data Source'!U440&gt;=3,"B",IF('Data Source'!U440&gt;=2,"C",IF('Data Source'!U440&gt;=1,"D","F")))))),"")</f>
        <v/>
      </c>
      <c r="D440" s="3">
        <f>IF(AND('Data Source'!B440&lt;&gt;"",'Data Source'!S440="A+"),IF('Data Source'!V440&gt;=5,"A+",IF('Data Source'!V440&gt;=4,"A",IF('Data Source'!V440&gt;=3.5,"A-",IF('Data Source'!V440&gt;=3,"B",IF('Data Source'!V440&gt;=2,"C",IF('Data Source'!V440&gt;=1,"D","F")))))),"")</f>
        <v/>
      </c>
      <c r="E440" s="3">
        <f>IF(AND('Data Source'!B440&lt;&gt;"",'Data Source'!S440="A+"),IF('Data Source'!W440&gt;=5,"A+",IF('Data Source'!W440&gt;=4,"A",IF('Data Source'!W440&gt;=3.5,"A-",IF('Data Source'!W440&gt;=3,"B",IF('Data Source'!W440&gt;=2,"C",IF('Data Source'!W440&gt;=1,"D","F")))))),"")</f>
        <v/>
      </c>
      <c r="F440" s="3">
        <f>IF(AND('Data Source'!B440&lt;&gt;"",'Data Source'!S440="A+"),IF('Data Source'!X440&gt;=5,"A+",IF('Data Source'!X440&gt;=4,"A",IF('Data Source'!X440&gt;=3.5,"A-",IF('Data Source'!X440&gt;=3,"B",IF('Data Source'!X440&gt;=2,"C",IF('Data Source'!X440&gt;=1,"D","F")))))),"")</f>
        <v/>
      </c>
      <c r="G440" s="3">
        <f>IF(AND('Data Source'!B440&lt;&gt;"",'Data Source'!S440="A+"),IF('Data Source'!Y440&gt;=5,"A+",IF('Data Source'!Y440&gt;=4,"A",IF('Data Source'!Y440&gt;=3.5,"A-",IF('Data Source'!Y440&gt;=3,"B",IF('Data Source'!Y440&gt;=2,"C",IF('Data Source'!Y440&gt;=1,"D","F")))))),"")</f>
        <v/>
      </c>
      <c r="H440" s="3">
        <f>IF(AND('Data Source'!B440&lt;&gt;"",'Data Source'!S440="A+"),IF('Data Source'!Z440&gt;=5,"A+",IF('Data Source'!Z440&gt;=4,"A",IF('Data Source'!Z440&gt;=3.5,"A-",IF('Data Source'!Z440&gt;=3,"B",IF('Data Source'!Z440&gt;=2,"C",IF('Data Source'!Z440&gt;=1,"D","F")))))),"")</f>
        <v/>
      </c>
      <c r="I440" s="3">
        <f>IF(AND('Data Source'!B440&lt;&gt;"",'Data Source'!S440="A+"),IF('Data Source'!AA440&gt;=5,"A+",IF('Data Source'!AA440&gt;=4,"A",IF('Data Source'!AA440&gt;=3.5,"A-",IF('Data Source'!AA440&gt;=3,"B",IF('Data Source'!AA440&gt;=2,"C",IF('Data Source'!AA440&gt;=1,"D","F")))))),"")</f>
        <v/>
      </c>
      <c r="J440" s="3">
        <f>IF(AND('Data Source'!B440&lt;&gt;"",'Data Source'!S440="A+"),IF('Data Source'!AB440&gt;=5,"A+",IF('Data Source'!AB440&gt;=4,"A",IF('Data Source'!AB440&gt;=3.5,"A-",IF('Data Source'!AB440&gt;=3,"B",IF('Data Source'!AB440&gt;=2,"C",IF('Data Source'!AB440&gt;=1,"D","F")))))),"")</f>
        <v/>
      </c>
      <c r="K440" s="3">
        <f>IF(AND('Data Source'!B440&lt;&gt;"",'Data Source'!S440="A+"),IF('Data Source'!AC440&gt;=5,"A+",IF('Data Source'!AC440&gt;=4,"A",IF('Data Source'!AC440&gt;=3.5,"A-",IF('Data Source'!AC440&gt;=3,"B",IF('Data Source'!AC440&gt;=2,"C",IF('Data Source'!AC440&gt;=1,"D","F")))))),"")</f>
        <v/>
      </c>
      <c r="L440" s="3">
        <f>IF(AND('Data Source'!B440&lt;&gt;"",'Data Source'!S440="A+"),IF('Data Source'!AD440&gt;=5,"A+",IF('Data Source'!AD440&gt;=4,"A",IF('Data Source'!AD440&gt;=3.5,"A-",IF('Data Source'!AD440&gt;=3,"B",IF('Data Source'!AD440&gt;=2,"C",IF('Data Source'!AD440&gt;=1,"D","F")))))),"")</f>
        <v/>
      </c>
      <c r="M440" s="3">
        <f>IF(AND('Data Source'!B440&lt;&gt;"",'Data Source'!S440="A+"),IF('Data Source'!AE440&gt;=5,"A+",IF('Data Source'!AE440&gt;=4,"A",IF('Data Source'!AE440&gt;=3.5,"A-",IF('Data Source'!AE440&gt;=3,"B",IF('Data Source'!AE440&gt;=2,"C",IF('Data Source'!AE440&gt;=1,"D","F")))))),"")</f>
        <v/>
      </c>
      <c r="N440" s="3">
        <f>IF(AND('Data Source'!B440&lt;&gt;"",'Data Source'!S440="A+"),IF('Data Source'!AF440&gt;=5,"A+",IF('Data Source'!AF440&gt;=4,"A",IF('Data Source'!AF440&gt;=3.5,"A-",IF('Data Source'!AF440&gt;=3,"B",IF('Data Source'!AF440&gt;=2,"C",IF('Data Source'!AF440&gt;=1,"D","F")))))),"")</f>
        <v/>
      </c>
      <c r="O440" s="3">
        <f>IF(AND('Data Source'!B440&lt;&gt;"",'Data Source'!S440="A+"),IF('Data Source'!AG440&gt;=5,"A+",IF('Data Source'!AG440&gt;=4,"A",IF('Data Source'!AG440&gt;=3.5,"A-",IF('Data Source'!AG440&gt;=3,"B",IF('Data Source'!AG440&gt;=2,"C",IF('Data Source'!AG440&gt;=1,"D","F")))))),"")</f>
        <v/>
      </c>
      <c r="P440" s="5">
        <f>IF(AND('Data Source'!B440&lt;&gt;"",'Data Source'!S440="A+"),'Data Source'!R440,"")</f>
        <v/>
      </c>
      <c r="Q440" s="3">
        <f>IF(AND('Data Source'!B440&lt;&gt;"",'Data Source'!S440="A+"),'Data Source'!S440,"")</f>
        <v/>
      </c>
    </row>
    <row r="441">
      <c r="A441" s="3">
        <f>IF(AND('Data Source'!B441&lt;&gt;"",'Data Source'!S441="A+"),COUNTIF('Data Source'!$S$3:S441,"A+"),"")</f>
        <v/>
      </c>
      <c r="B441">
        <f>IF(AND('Data Source'!B441&lt;&gt;"",'Data Source'!S441="A+"),'Data Source'!B441,"")</f>
        <v/>
      </c>
      <c r="C441" s="3">
        <f>IF(AND('Data Source'!B441&lt;&gt;"",'Data Source'!S441="A+"),IF('Data Source'!U441&gt;=5,"A+",IF('Data Source'!U441&gt;=4,"A",IF('Data Source'!U441&gt;=3.5,"A-",IF('Data Source'!U441&gt;=3,"B",IF('Data Source'!U441&gt;=2,"C",IF('Data Source'!U441&gt;=1,"D","F")))))),"")</f>
        <v/>
      </c>
      <c r="D441" s="3">
        <f>IF(AND('Data Source'!B441&lt;&gt;"",'Data Source'!S441="A+"),IF('Data Source'!V441&gt;=5,"A+",IF('Data Source'!V441&gt;=4,"A",IF('Data Source'!V441&gt;=3.5,"A-",IF('Data Source'!V441&gt;=3,"B",IF('Data Source'!V441&gt;=2,"C",IF('Data Source'!V441&gt;=1,"D","F")))))),"")</f>
        <v/>
      </c>
      <c r="E441" s="3">
        <f>IF(AND('Data Source'!B441&lt;&gt;"",'Data Source'!S441="A+"),IF('Data Source'!W441&gt;=5,"A+",IF('Data Source'!W441&gt;=4,"A",IF('Data Source'!W441&gt;=3.5,"A-",IF('Data Source'!W441&gt;=3,"B",IF('Data Source'!W441&gt;=2,"C",IF('Data Source'!W441&gt;=1,"D","F")))))),"")</f>
        <v/>
      </c>
      <c r="F441" s="3">
        <f>IF(AND('Data Source'!B441&lt;&gt;"",'Data Source'!S441="A+"),IF('Data Source'!X441&gt;=5,"A+",IF('Data Source'!X441&gt;=4,"A",IF('Data Source'!X441&gt;=3.5,"A-",IF('Data Source'!X441&gt;=3,"B",IF('Data Source'!X441&gt;=2,"C",IF('Data Source'!X441&gt;=1,"D","F")))))),"")</f>
        <v/>
      </c>
      <c r="G441" s="3">
        <f>IF(AND('Data Source'!B441&lt;&gt;"",'Data Source'!S441="A+"),IF('Data Source'!Y441&gt;=5,"A+",IF('Data Source'!Y441&gt;=4,"A",IF('Data Source'!Y441&gt;=3.5,"A-",IF('Data Source'!Y441&gt;=3,"B",IF('Data Source'!Y441&gt;=2,"C",IF('Data Source'!Y441&gt;=1,"D","F")))))),"")</f>
        <v/>
      </c>
      <c r="H441" s="3">
        <f>IF(AND('Data Source'!B441&lt;&gt;"",'Data Source'!S441="A+"),IF('Data Source'!Z441&gt;=5,"A+",IF('Data Source'!Z441&gt;=4,"A",IF('Data Source'!Z441&gt;=3.5,"A-",IF('Data Source'!Z441&gt;=3,"B",IF('Data Source'!Z441&gt;=2,"C",IF('Data Source'!Z441&gt;=1,"D","F")))))),"")</f>
        <v/>
      </c>
      <c r="I441" s="3">
        <f>IF(AND('Data Source'!B441&lt;&gt;"",'Data Source'!S441="A+"),IF('Data Source'!AA441&gt;=5,"A+",IF('Data Source'!AA441&gt;=4,"A",IF('Data Source'!AA441&gt;=3.5,"A-",IF('Data Source'!AA441&gt;=3,"B",IF('Data Source'!AA441&gt;=2,"C",IF('Data Source'!AA441&gt;=1,"D","F")))))),"")</f>
        <v/>
      </c>
      <c r="J441" s="3">
        <f>IF(AND('Data Source'!B441&lt;&gt;"",'Data Source'!S441="A+"),IF('Data Source'!AB441&gt;=5,"A+",IF('Data Source'!AB441&gt;=4,"A",IF('Data Source'!AB441&gt;=3.5,"A-",IF('Data Source'!AB441&gt;=3,"B",IF('Data Source'!AB441&gt;=2,"C",IF('Data Source'!AB441&gt;=1,"D","F")))))),"")</f>
        <v/>
      </c>
      <c r="K441" s="3">
        <f>IF(AND('Data Source'!B441&lt;&gt;"",'Data Source'!S441="A+"),IF('Data Source'!AC441&gt;=5,"A+",IF('Data Source'!AC441&gt;=4,"A",IF('Data Source'!AC441&gt;=3.5,"A-",IF('Data Source'!AC441&gt;=3,"B",IF('Data Source'!AC441&gt;=2,"C",IF('Data Source'!AC441&gt;=1,"D","F")))))),"")</f>
        <v/>
      </c>
      <c r="L441" s="3">
        <f>IF(AND('Data Source'!B441&lt;&gt;"",'Data Source'!S441="A+"),IF('Data Source'!AD441&gt;=5,"A+",IF('Data Source'!AD441&gt;=4,"A",IF('Data Source'!AD441&gt;=3.5,"A-",IF('Data Source'!AD441&gt;=3,"B",IF('Data Source'!AD441&gt;=2,"C",IF('Data Source'!AD441&gt;=1,"D","F")))))),"")</f>
        <v/>
      </c>
      <c r="M441" s="3">
        <f>IF(AND('Data Source'!B441&lt;&gt;"",'Data Source'!S441="A+"),IF('Data Source'!AE441&gt;=5,"A+",IF('Data Source'!AE441&gt;=4,"A",IF('Data Source'!AE441&gt;=3.5,"A-",IF('Data Source'!AE441&gt;=3,"B",IF('Data Source'!AE441&gt;=2,"C",IF('Data Source'!AE441&gt;=1,"D","F")))))),"")</f>
        <v/>
      </c>
      <c r="N441" s="3">
        <f>IF(AND('Data Source'!B441&lt;&gt;"",'Data Source'!S441="A+"),IF('Data Source'!AF441&gt;=5,"A+",IF('Data Source'!AF441&gt;=4,"A",IF('Data Source'!AF441&gt;=3.5,"A-",IF('Data Source'!AF441&gt;=3,"B",IF('Data Source'!AF441&gt;=2,"C",IF('Data Source'!AF441&gt;=1,"D","F")))))),"")</f>
        <v/>
      </c>
      <c r="O441" s="3">
        <f>IF(AND('Data Source'!B441&lt;&gt;"",'Data Source'!S441="A+"),IF('Data Source'!AG441&gt;=5,"A+",IF('Data Source'!AG441&gt;=4,"A",IF('Data Source'!AG441&gt;=3.5,"A-",IF('Data Source'!AG441&gt;=3,"B",IF('Data Source'!AG441&gt;=2,"C",IF('Data Source'!AG441&gt;=1,"D","F")))))),"")</f>
        <v/>
      </c>
      <c r="P441" s="5">
        <f>IF(AND('Data Source'!B441&lt;&gt;"",'Data Source'!S441="A+"),'Data Source'!R441,"")</f>
        <v/>
      </c>
      <c r="Q441" s="3">
        <f>IF(AND('Data Source'!B441&lt;&gt;"",'Data Source'!S441="A+"),'Data Source'!S441,"")</f>
        <v/>
      </c>
    </row>
    <row r="442">
      <c r="A442" s="3">
        <f>IF(AND('Data Source'!B442&lt;&gt;"",'Data Source'!S442="A+"),COUNTIF('Data Source'!$S$3:S442,"A+"),"")</f>
        <v/>
      </c>
      <c r="B442">
        <f>IF(AND('Data Source'!B442&lt;&gt;"",'Data Source'!S442="A+"),'Data Source'!B442,"")</f>
        <v/>
      </c>
      <c r="C442" s="3">
        <f>IF(AND('Data Source'!B442&lt;&gt;"",'Data Source'!S442="A+"),IF('Data Source'!U442&gt;=5,"A+",IF('Data Source'!U442&gt;=4,"A",IF('Data Source'!U442&gt;=3.5,"A-",IF('Data Source'!U442&gt;=3,"B",IF('Data Source'!U442&gt;=2,"C",IF('Data Source'!U442&gt;=1,"D","F")))))),"")</f>
        <v/>
      </c>
      <c r="D442" s="3">
        <f>IF(AND('Data Source'!B442&lt;&gt;"",'Data Source'!S442="A+"),IF('Data Source'!V442&gt;=5,"A+",IF('Data Source'!V442&gt;=4,"A",IF('Data Source'!V442&gt;=3.5,"A-",IF('Data Source'!V442&gt;=3,"B",IF('Data Source'!V442&gt;=2,"C",IF('Data Source'!V442&gt;=1,"D","F")))))),"")</f>
        <v/>
      </c>
      <c r="E442" s="3">
        <f>IF(AND('Data Source'!B442&lt;&gt;"",'Data Source'!S442="A+"),IF('Data Source'!W442&gt;=5,"A+",IF('Data Source'!W442&gt;=4,"A",IF('Data Source'!W442&gt;=3.5,"A-",IF('Data Source'!W442&gt;=3,"B",IF('Data Source'!W442&gt;=2,"C",IF('Data Source'!W442&gt;=1,"D","F")))))),"")</f>
        <v/>
      </c>
      <c r="F442" s="3">
        <f>IF(AND('Data Source'!B442&lt;&gt;"",'Data Source'!S442="A+"),IF('Data Source'!X442&gt;=5,"A+",IF('Data Source'!X442&gt;=4,"A",IF('Data Source'!X442&gt;=3.5,"A-",IF('Data Source'!X442&gt;=3,"B",IF('Data Source'!X442&gt;=2,"C",IF('Data Source'!X442&gt;=1,"D","F")))))),"")</f>
        <v/>
      </c>
      <c r="G442" s="3">
        <f>IF(AND('Data Source'!B442&lt;&gt;"",'Data Source'!S442="A+"),IF('Data Source'!Y442&gt;=5,"A+",IF('Data Source'!Y442&gt;=4,"A",IF('Data Source'!Y442&gt;=3.5,"A-",IF('Data Source'!Y442&gt;=3,"B",IF('Data Source'!Y442&gt;=2,"C",IF('Data Source'!Y442&gt;=1,"D","F")))))),"")</f>
        <v/>
      </c>
      <c r="H442" s="3">
        <f>IF(AND('Data Source'!B442&lt;&gt;"",'Data Source'!S442="A+"),IF('Data Source'!Z442&gt;=5,"A+",IF('Data Source'!Z442&gt;=4,"A",IF('Data Source'!Z442&gt;=3.5,"A-",IF('Data Source'!Z442&gt;=3,"B",IF('Data Source'!Z442&gt;=2,"C",IF('Data Source'!Z442&gt;=1,"D","F")))))),"")</f>
        <v/>
      </c>
      <c r="I442" s="3">
        <f>IF(AND('Data Source'!B442&lt;&gt;"",'Data Source'!S442="A+"),IF('Data Source'!AA442&gt;=5,"A+",IF('Data Source'!AA442&gt;=4,"A",IF('Data Source'!AA442&gt;=3.5,"A-",IF('Data Source'!AA442&gt;=3,"B",IF('Data Source'!AA442&gt;=2,"C",IF('Data Source'!AA442&gt;=1,"D","F")))))),"")</f>
        <v/>
      </c>
      <c r="J442" s="3">
        <f>IF(AND('Data Source'!B442&lt;&gt;"",'Data Source'!S442="A+"),IF('Data Source'!AB442&gt;=5,"A+",IF('Data Source'!AB442&gt;=4,"A",IF('Data Source'!AB442&gt;=3.5,"A-",IF('Data Source'!AB442&gt;=3,"B",IF('Data Source'!AB442&gt;=2,"C",IF('Data Source'!AB442&gt;=1,"D","F")))))),"")</f>
        <v/>
      </c>
      <c r="K442" s="3">
        <f>IF(AND('Data Source'!B442&lt;&gt;"",'Data Source'!S442="A+"),IF('Data Source'!AC442&gt;=5,"A+",IF('Data Source'!AC442&gt;=4,"A",IF('Data Source'!AC442&gt;=3.5,"A-",IF('Data Source'!AC442&gt;=3,"B",IF('Data Source'!AC442&gt;=2,"C",IF('Data Source'!AC442&gt;=1,"D","F")))))),"")</f>
        <v/>
      </c>
      <c r="L442" s="3">
        <f>IF(AND('Data Source'!B442&lt;&gt;"",'Data Source'!S442="A+"),IF('Data Source'!AD442&gt;=5,"A+",IF('Data Source'!AD442&gt;=4,"A",IF('Data Source'!AD442&gt;=3.5,"A-",IF('Data Source'!AD442&gt;=3,"B",IF('Data Source'!AD442&gt;=2,"C",IF('Data Source'!AD442&gt;=1,"D","F")))))),"")</f>
        <v/>
      </c>
      <c r="M442" s="3">
        <f>IF(AND('Data Source'!B442&lt;&gt;"",'Data Source'!S442="A+"),IF('Data Source'!AE442&gt;=5,"A+",IF('Data Source'!AE442&gt;=4,"A",IF('Data Source'!AE442&gt;=3.5,"A-",IF('Data Source'!AE442&gt;=3,"B",IF('Data Source'!AE442&gt;=2,"C",IF('Data Source'!AE442&gt;=1,"D","F")))))),"")</f>
        <v/>
      </c>
      <c r="N442" s="3">
        <f>IF(AND('Data Source'!B442&lt;&gt;"",'Data Source'!S442="A+"),IF('Data Source'!AF442&gt;=5,"A+",IF('Data Source'!AF442&gt;=4,"A",IF('Data Source'!AF442&gt;=3.5,"A-",IF('Data Source'!AF442&gt;=3,"B",IF('Data Source'!AF442&gt;=2,"C",IF('Data Source'!AF442&gt;=1,"D","F")))))),"")</f>
        <v/>
      </c>
      <c r="O442" s="3">
        <f>IF(AND('Data Source'!B442&lt;&gt;"",'Data Source'!S442="A+"),IF('Data Source'!AG442&gt;=5,"A+",IF('Data Source'!AG442&gt;=4,"A",IF('Data Source'!AG442&gt;=3.5,"A-",IF('Data Source'!AG442&gt;=3,"B",IF('Data Source'!AG442&gt;=2,"C",IF('Data Source'!AG442&gt;=1,"D","F")))))),"")</f>
        <v/>
      </c>
      <c r="P442" s="5">
        <f>IF(AND('Data Source'!B442&lt;&gt;"",'Data Source'!S442="A+"),'Data Source'!R442,"")</f>
        <v/>
      </c>
      <c r="Q442" s="3">
        <f>IF(AND('Data Source'!B442&lt;&gt;"",'Data Source'!S442="A+"),'Data Source'!S442,"")</f>
        <v/>
      </c>
    </row>
    <row r="443">
      <c r="A443" s="3">
        <f>IF(AND('Data Source'!B443&lt;&gt;"",'Data Source'!S443="A+"),COUNTIF('Data Source'!$S$3:S443,"A+"),"")</f>
        <v/>
      </c>
      <c r="B443">
        <f>IF(AND('Data Source'!B443&lt;&gt;"",'Data Source'!S443="A+"),'Data Source'!B443,"")</f>
        <v/>
      </c>
      <c r="C443" s="3">
        <f>IF(AND('Data Source'!B443&lt;&gt;"",'Data Source'!S443="A+"),IF('Data Source'!U443&gt;=5,"A+",IF('Data Source'!U443&gt;=4,"A",IF('Data Source'!U443&gt;=3.5,"A-",IF('Data Source'!U443&gt;=3,"B",IF('Data Source'!U443&gt;=2,"C",IF('Data Source'!U443&gt;=1,"D","F")))))),"")</f>
        <v/>
      </c>
      <c r="D443" s="3">
        <f>IF(AND('Data Source'!B443&lt;&gt;"",'Data Source'!S443="A+"),IF('Data Source'!V443&gt;=5,"A+",IF('Data Source'!V443&gt;=4,"A",IF('Data Source'!V443&gt;=3.5,"A-",IF('Data Source'!V443&gt;=3,"B",IF('Data Source'!V443&gt;=2,"C",IF('Data Source'!V443&gt;=1,"D","F")))))),"")</f>
        <v/>
      </c>
      <c r="E443" s="3">
        <f>IF(AND('Data Source'!B443&lt;&gt;"",'Data Source'!S443="A+"),IF('Data Source'!W443&gt;=5,"A+",IF('Data Source'!W443&gt;=4,"A",IF('Data Source'!W443&gt;=3.5,"A-",IF('Data Source'!W443&gt;=3,"B",IF('Data Source'!W443&gt;=2,"C",IF('Data Source'!W443&gt;=1,"D","F")))))),"")</f>
        <v/>
      </c>
      <c r="F443" s="3">
        <f>IF(AND('Data Source'!B443&lt;&gt;"",'Data Source'!S443="A+"),IF('Data Source'!X443&gt;=5,"A+",IF('Data Source'!X443&gt;=4,"A",IF('Data Source'!X443&gt;=3.5,"A-",IF('Data Source'!X443&gt;=3,"B",IF('Data Source'!X443&gt;=2,"C",IF('Data Source'!X443&gt;=1,"D","F")))))),"")</f>
        <v/>
      </c>
      <c r="G443" s="3">
        <f>IF(AND('Data Source'!B443&lt;&gt;"",'Data Source'!S443="A+"),IF('Data Source'!Y443&gt;=5,"A+",IF('Data Source'!Y443&gt;=4,"A",IF('Data Source'!Y443&gt;=3.5,"A-",IF('Data Source'!Y443&gt;=3,"B",IF('Data Source'!Y443&gt;=2,"C",IF('Data Source'!Y443&gt;=1,"D","F")))))),"")</f>
        <v/>
      </c>
      <c r="H443" s="3">
        <f>IF(AND('Data Source'!B443&lt;&gt;"",'Data Source'!S443="A+"),IF('Data Source'!Z443&gt;=5,"A+",IF('Data Source'!Z443&gt;=4,"A",IF('Data Source'!Z443&gt;=3.5,"A-",IF('Data Source'!Z443&gt;=3,"B",IF('Data Source'!Z443&gt;=2,"C",IF('Data Source'!Z443&gt;=1,"D","F")))))),"")</f>
        <v/>
      </c>
      <c r="I443" s="3">
        <f>IF(AND('Data Source'!B443&lt;&gt;"",'Data Source'!S443="A+"),IF('Data Source'!AA443&gt;=5,"A+",IF('Data Source'!AA443&gt;=4,"A",IF('Data Source'!AA443&gt;=3.5,"A-",IF('Data Source'!AA443&gt;=3,"B",IF('Data Source'!AA443&gt;=2,"C",IF('Data Source'!AA443&gt;=1,"D","F")))))),"")</f>
        <v/>
      </c>
      <c r="J443" s="3">
        <f>IF(AND('Data Source'!B443&lt;&gt;"",'Data Source'!S443="A+"),IF('Data Source'!AB443&gt;=5,"A+",IF('Data Source'!AB443&gt;=4,"A",IF('Data Source'!AB443&gt;=3.5,"A-",IF('Data Source'!AB443&gt;=3,"B",IF('Data Source'!AB443&gt;=2,"C",IF('Data Source'!AB443&gt;=1,"D","F")))))),"")</f>
        <v/>
      </c>
      <c r="K443" s="3">
        <f>IF(AND('Data Source'!B443&lt;&gt;"",'Data Source'!S443="A+"),IF('Data Source'!AC443&gt;=5,"A+",IF('Data Source'!AC443&gt;=4,"A",IF('Data Source'!AC443&gt;=3.5,"A-",IF('Data Source'!AC443&gt;=3,"B",IF('Data Source'!AC443&gt;=2,"C",IF('Data Source'!AC443&gt;=1,"D","F")))))),"")</f>
        <v/>
      </c>
      <c r="L443" s="3">
        <f>IF(AND('Data Source'!B443&lt;&gt;"",'Data Source'!S443="A+"),IF('Data Source'!AD443&gt;=5,"A+",IF('Data Source'!AD443&gt;=4,"A",IF('Data Source'!AD443&gt;=3.5,"A-",IF('Data Source'!AD443&gt;=3,"B",IF('Data Source'!AD443&gt;=2,"C",IF('Data Source'!AD443&gt;=1,"D","F")))))),"")</f>
        <v/>
      </c>
      <c r="M443" s="3">
        <f>IF(AND('Data Source'!B443&lt;&gt;"",'Data Source'!S443="A+"),IF('Data Source'!AE443&gt;=5,"A+",IF('Data Source'!AE443&gt;=4,"A",IF('Data Source'!AE443&gt;=3.5,"A-",IF('Data Source'!AE443&gt;=3,"B",IF('Data Source'!AE443&gt;=2,"C",IF('Data Source'!AE443&gt;=1,"D","F")))))),"")</f>
        <v/>
      </c>
      <c r="N443" s="3">
        <f>IF(AND('Data Source'!B443&lt;&gt;"",'Data Source'!S443="A+"),IF('Data Source'!AF443&gt;=5,"A+",IF('Data Source'!AF443&gt;=4,"A",IF('Data Source'!AF443&gt;=3.5,"A-",IF('Data Source'!AF443&gt;=3,"B",IF('Data Source'!AF443&gt;=2,"C",IF('Data Source'!AF443&gt;=1,"D","F")))))),"")</f>
        <v/>
      </c>
      <c r="O443" s="3">
        <f>IF(AND('Data Source'!B443&lt;&gt;"",'Data Source'!S443="A+"),IF('Data Source'!AG443&gt;=5,"A+",IF('Data Source'!AG443&gt;=4,"A",IF('Data Source'!AG443&gt;=3.5,"A-",IF('Data Source'!AG443&gt;=3,"B",IF('Data Source'!AG443&gt;=2,"C",IF('Data Source'!AG443&gt;=1,"D","F")))))),"")</f>
        <v/>
      </c>
      <c r="P443" s="5">
        <f>IF(AND('Data Source'!B443&lt;&gt;"",'Data Source'!S443="A+"),'Data Source'!R443,"")</f>
        <v/>
      </c>
      <c r="Q443" s="3">
        <f>IF(AND('Data Source'!B443&lt;&gt;"",'Data Source'!S443="A+"),'Data Source'!S443,"")</f>
        <v/>
      </c>
    </row>
    <row r="444">
      <c r="A444" s="3">
        <f>IF(AND('Data Source'!B444&lt;&gt;"",'Data Source'!S444="A+"),COUNTIF('Data Source'!$S$3:S444,"A+"),"")</f>
        <v/>
      </c>
      <c r="B444">
        <f>IF(AND('Data Source'!B444&lt;&gt;"",'Data Source'!S444="A+"),'Data Source'!B444,"")</f>
        <v/>
      </c>
      <c r="C444" s="3">
        <f>IF(AND('Data Source'!B444&lt;&gt;"",'Data Source'!S444="A+"),IF('Data Source'!U444&gt;=5,"A+",IF('Data Source'!U444&gt;=4,"A",IF('Data Source'!U444&gt;=3.5,"A-",IF('Data Source'!U444&gt;=3,"B",IF('Data Source'!U444&gt;=2,"C",IF('Data Source'!U444&gt;=1,"D","F")))))),"")</f>
        <v/>
      </c>
      <c r="D444" s="3">
        <f>IF(AND('Data Source'!B444&lt;&gt;"",'Data Source'!S444="A+"),IF('Data Source'!V444&gt;=5,"A+",IF('Data Source'!V444&gt;=4,"A",IF('Data Source'!V444&gt;=3.5,"A-",IF('Data Source'!V444&gt;=3,"B",IF('Data Source'!V444&gt;=2,"C",IF('Data Source'!V444&gt;=1,"D","F")))))),"")</f>
        <v/>
      </c>
      <c r="E444" s="3">
        <f>IF(AND('Data Source'!B444&lt;&gt;"",'Data Source'!S444="A+"),IF('Data Source'!W444&gt;=5,"A+",IF('Data Source'!W444&gt;=4,"A",IF('Data Source'!W444&gt;=3.5,"A-",IF('Data Source'!W444&gt;=3,"B",IF('Data Source'!W444&gt;=2,"C",IF('Data Source'!W444&gt;=1,"D","F")))))),"")</f>
        <v/>
      </c>
      <c r="F444" s="3">
        <f>IF(AND('Data Source'!B444&lt;&gt;"",'Data Source'!S444="A+"),IF('Data Source'!X444&gt;=5,"A+",IF('Data Source'!X444&gt;=4,"A",IF('Data Source'!X444&gt;=3.5,"A-",IF('Data Source'!X444&gt;=3,"B",IF('Data Source'!X444&gt;=2,"C",IF('Data Source'!X444&gt;=1,"D","F")))))),"")</f>
        <v/>
      </c>
      <c r="G444" s="3">
        <f>IF(AND('Data Source'!B444&lt;&gt;"",'Data Source'!S444="A+"),IF('Data Source'!Y444&gt;=5,"A+",IF('Data Source'!Y444&gt;=4,"A",IF('Data Source'!Y444&gt;=3.5,"A-",IF('Data Source'!Y444&gt;=3,"B",IF('Data Source'!Y444&gt;=2,"C",IF('Data Source'!Y444&gt;=1,"D","F")))))),"")</f>
        <v/>
      </c>
      <c r="H444" s="3">
        <f>IF(AND('Data Source'!B444&lt;&gt;"",'Data Source'!S444="A+"),IF('Data Source'!Z444&gt;=5,"A+",IF('Data Source'!Z444&gt;=4,"A",IF('Data Source'!Z444&gt;=3.5,"A-",IF('Data Source'!Z444&gt;=3,"B",IF('Data Source'!Z444&gt;=2,"C",IF('Data Source'!Z444&gt;=1,"D","F")))))),"")</f>
        <v/>
      </c>
      <c r="I444" s="3">
        <f>IF(AND('Data Source'!B444&lt;&gt;"",'Data Source'!S444="A+"),IF('Data Source'!AA444&gt;=5,"A+",IF('Data Source'!AA444&gt;=4,"A",IF('Data Source'!AA444&gt;=3.5,"A-",IF('Data Source'!AA444&gt;=3,"B",IF('Data Source'!AA444&gt;=2,"C",IF('Data Source'!AA444&gt;=1,"D","F")))))),"")</f>
        <v/>
      </c>
      <c r="J444" s="3">
        <f>IF(AND('Data Source'!B444&lt;&gt;"",'Data Source'!S444="A+"),IF('Data Source'!AB444&gt;=5,"A+",IF('Data Source'!AB444&gt;=4,"A",IF('Data Source'!AB444&gt;=3.5,"A-",IF('Data Source'!AB444&gt;=3,"B",IF('Data Source'!AB444&gt;=2,"C",IF('Data Source'!AB444&gt;=1,"D","F")))))),"")</f>
        <v/>
      </c>
      <c r="K444" s="3">
        <f>IF(AND('Data Source'!B444&lt;&gt;"",'Data Source'!S444="A+"),IF('Data Source'!AC444&gt;=5,"A+",IF('Data Source'!AC444&gt;=4,"A",IF('Data Source'!AC444&gt;=3.5,"A-",IF('Data Source'!AC444&gt;=3,"B",IF('Data Source'!AC444&gt;=2,"C",IF('Data Source'!AC444&gt;=1,"D","F")))))),"")</f>
        <v/>
      </c>
      <c r="L444" s="3">
        <f>IF(AND('Data Source'!B444&lt;&gt;"",'Data Source'!S444="A+"),IF('Data Source'!AD444&gt;=5,"A+",IF('Data Source'!AD444&gt;=4,"A",IF('Data Source'!AD444&gt;=3.5,"A-",IF('Data Source'!AD444&gt;=3,"B",IF('Data Source'!AD444&gt;=2,"C",IF('Data Source'!AD444&gt;=1,"D","F")))))),"")</f>
        <v/>
      </c>
      <c r="M444" s="3">
        <f>IF(AND('Data Source'!B444&lt;&gt;"",'Data Source'!S444="A+"),IF('Data Source'!AE444&gt;=5,"A+",IF('Data Source'!AE444&gt;=4,"A",IF('Data Source'!AE444&gt;=3.5,"A-",IF('Data Source'!AE444&gt;=3,"B",IF('Data Source'!AE444&gt;=2,"C",IF('Data Source'!AE444&gt;=1,"D","F")))))),"")</f>
        <v/>
      </c>
      <c r="N444" s="3">
        <f>IF(AND('Data Source'!B444&lt;&gt;"",'Data Source'!S444="A+"),IF('Data Source'!AF444&gt;=5,"A+",IF('Data Source'!AF444&gt;=4,"A",IF('Data Source'!AF444&gt;=3.5,"A-",IF('Data Source'!AF444&gt;=3,"B",IF('Data Source'!AF444&gt;=2,"C",IF('Data Source'!AF444&gt;=1,"D","F")))))),"")</f>
        <v/>
      </c>
      <c r="O444" s="3">
        <f>IF(AND('Data Source'!B444&lt;&gt;"",'Data Source'!S444="A+"),IF('Data Source'!AG444&gt;=5,"A+",IF('Data Source'!AG444&gt;=4,"A",IF('Data Source'!AG444&gt;=3.5,"A-",IF('Data Source'!AG444&gt;=3,"B",IF('Data Source'!AG444&gt;=2,"C",IF('Data Source'!AG444&gt;=1,"D","F")))))),"")</f>
        <v/>
      </c>
      <c r="P444" s="5">
        <f>IF(AND('Data Source'!B444&lt;&gt;"",'Data Source'!S444="A+"),'Data Source'!R444,"")</f>
        <v/>
      </c>
      <c r="Q444" s="3">
        <f>IF(AND('Data Source'!B444&lt;&gt;"",'Data Source'!S444="A+"),'Data Source'!S444,"")</f>
        <v/>
      </c>
    </row>
    <row r="445">
      <c r="A445" s="3">
        <f>IF(AND('Data Source'!B445&lt;&gt;"",'Data Source'!S445="A+"),COUNTIF('Data Source'!$S$3:S445,"A+"),"")</f>
        <v/>
      </c>
      <c r="B445">
        <f>IF(AND('Data Source'!B445&lt;&gt;"",'Data Source'!S445="A+"),'Data Source'!B445,"")</f>
        <v/>
      </c>
      <c r="C445" s="3">
        <f>IF(AND('Data Source'!B445&lt;&gt;"",'Data Source'!S445="A+"),IF('Data Source'!U445&gt;=5,"A+",IF('Data Source'!U445&gt;=4,"A",IF('Data Source'!U445&gt;=3.5,"A-",IF('Data Source'!U445&gt;=3,"B",IF('Data Source'!U445&gt;=2,"C",IF('Data Source'!U445&gt;=1,"D","F")))))),"")</f>
        <v/>
      </c>
      <c r="D445" s="3">
        <f>IF(AND('Data Source'!B445&lt;&gt;"",'Data Source'!S445="A+"),IF('Data Source'!V445&gt;=5,"A+",IF('Data Source'!V445&gt;=4,"A",IF('Data Source'!V445&gt;=3.5,"A-",IF('Data Source'!V445&gt;=3,"B",IF('Data Source'!V445&gt;=2,"C",IF('Data Source'!V445&gt;=1,"D","F")))))),"")</f>
        <v/>
      </c>
      <c r="E445" s="3">
        <f>IF(AND('Data Source'!B445&lt;&gt;"",'Data Source'!S445="A+"),IF('Data Source'!W445&gt;=5,"A+",IF('Data Source'!W445&gt;=4,"A",IF('Data Source'!W445&gt;=3.5,"A-",IF('Data Source'!W445&gt;=3,"B",IF('Data Source'!W445&gt;=2,"C",IF('Data Source'!W445&gt;=1,"D","F")))))),"")</f>
        <v/>
      </c>
      <c r="F445" s="3">
        <f>IF(AND('Data Source'!B445&lt;&gt;"",'Data Source'!S445="A+"),IF('Data Source'!X445&gt;=5,"A+",IF('Data Source'!X445&gt;=4,"A",IF('Data Source'!X445&gt;=3.5,"A-",IF('Data Source'!X445&gt;=3,"B",IF('Data Source'!X445&gt;=2,"C",IF('Data Source'!X445&gt;=1,"D","F")))))),"")</f>
        <v/>
      </c>
      <c r="G445" s="3">
        <f>IF(AND('Data Source'!B445&lt;&gt;"",'Data Source'!S445="A+"),IF('Data Source'!Y445&gt;=5,"A+",IF('Data Source'!Y445&gt;=4,"A",IF('Data Source'!Y445&gt;=3.5,"A-",IF('Data Source'!Y445&gt;=3,"B",IF('Data Source'!Y445&gt;=2,"C",IF('Data Source'!Y445&gt;=1,"D","F")))))),"")</f>
        <v/>
      </c>
      <c r="H445" s="3">
        <f>IF(AND('Data Source'!B445&lt;&gt;"",'Data Source'!S445="A+"),IF('Data Source'!Z445&gt;=5,"A+",IF('Data Source'!Z445&gt;=4,"A",IF('Data Source'!Z445&gt;=3.5,"A-",IF('Data Source'!Z445&gt;=3,"B",IF('Data Source'!Z445&gt;=2,"C",IF('Data Source'!Z445&gt;=1,"D","F")))))),"")</f>
        <v/>
      </c>
      <c r="I445" s="3">
        <f>IF(AND('Data Source'!B445&lt;&gt;"",'Data Source'!S445="A+"),IF('Data Source'!AA445&gt;=5,"A+",IF('Data Source'!AA445&gt;=4,"A",IF('Data Source'!AA445&gt;=3.5,"A-",IF('Data Source'!AA445&gt;=3,"B",IF('Data Source'!AA445&gt;=2,"C",IF('Data Source'!AA445&gt;=1,"D","F")))))),"")</f>
        <v/>
      </c>
      <c r="J445" s="3">
        <f>IF(AND('Data Source'!B445&lt;&gt;"",'Data Source'!S445="A+"),IF('Data Source'!AB445&gt;=5,"A+",IF('Data Source'!AB445&gt;=4,"A",IF('Data Source'!AB445&gt;=3.5,"A-",IF('Data Source'!AB445&gt;=3,"B",IF('Data Source'!AB445&gt;=2,"C",IF('Data Source'!AB445&gt;=1,"D","F")))))),"")</f>
        <v/>
      </c>
      <c r="K445" s="3">
        <f>IF(AND('Data Source'!B445&lt;&gt;"",'Data Source'!S445="A+"),IF('Data Source'!AC445&gt;=5,"A+",IF('Data Source'!AC445&gt;=4,"A",IF('Data Source'!AC445&gt;=3.5,"A-",IF('Data Source'!AC445&gt;=3,"B",IF('Data Source'!AC445&gt;=2,"C",IF('Data Source'!AC445&gt;=1,"D","F")))))),"")</f>
        <v/>
      </c>
      <c r="L445" s="3">
        <f>IF(AND('Data Source'!B445&lt;&gt;"",'Data Source'!S445="A+"),IF('Data Source'!AD445&gt;=5,"A+",IF('Data Source'!AD445&gt;=4,"A",IF('Data Source'!AD445&gt;=3.5,"A-",IF('Data Source'!AD445&gt;=3,"B",IF('Data Source'!AD445&gt;=2,"C",IF('Data Source'!AD445&gt;=1,"D","F")))))),"")</f>
        <v/>
      </c>
      <c r="M445" s="3">
        <f>IF(AND('Data Source'!B445&lt;&gt;"",'Data Source'!S445="A+"),IF('Data Source'!AE445&gt;=5,"A+",IF('Data Source'!AE445&gt;=4,"A",IF('Data Source'!AE445&gt;=3.5,"A-",IF('Data Source'!AE445&gt;=3,"B",IF('Data Source'!AE445&gt;=2,"C",IF('Data Source'!AE445&gt;=1,"D","F")))))),"")</f>
        <v/>
      </c>
      <c r="N445" s="3">
        <f>IF(AND('Data Source'!B445&lt;&gt;"",'Data Source'!S445="A+"),IF('Data Source'!AF445&gt;=5,"A+",IF('Data Source'!AF445&gt;=4,"A",IF('Data Source'!AF445&gt;=3.5,"A-",IF('Data Source'!AF445&gt;=3,"B",IF('Data Source'!AF445&gt;=2,"C",IF('Data Source'!AF445&gt;=1,"D","F")))))),"")</f>
        <v/>
      </c>
      <c r="O445" s="3">
        <f>IF(AND('Data Source'!B445&lt;&gt;"",'Data Source'!S445="A+"),IF('Data Source'!AG445&gt;=5,"A+",IF('Data Source'!AG445&gt;=4,"A",IF('Data Source'!AG445&gt;=3.5,"A-",IF('Data Source'!AG445&gt;=3,"B",IF('Data Source'!AG445&gt;=2,"C",IF('Data Source'!AG445&gt;=1,"D","F")))))),"")</f>
        <v/>
      </c>
      <c r="P445" s="5">
        <f>IF(AND('Data Source'!B445&lt;&gt;"",'Data Source'!S445="A+"),'Data Source'!R445,"")</f>
        <v/>
      </c>
      <c r="Q445" s="3">
        <f>IF(AND('Data Source'!B445&lt;&gt;"",'Data Source'!S445="A+"),'Data Source'!S445,"")</f>
        <v/>
      </c>
    </row>
    <row r="446">
      <c r="A446" s="3">
        <f>IF(AND('Data Source'!B446&lt;&gt;"",'Data Source'!S446="A+"),COUNTIF('Data Source'!$S$3:S446,"A+"),"")</f>
        <v/>
      </c>
      <c r="B446">
        <f>IF(AND('Data Source'!B446&lt;&gt;"",'Data Source'!S446="A+"),'Data Source'!B446,"")</f>
        <v/>
      </c>
      <c r="C446" s="3">
        <f>IF(AND('Data Source'!B446&lt;&gt;"",'Data Source'!S446="A+"),IF('Data Source'!U446&gt;=5,"A+",IF('Data Source'!U446&gt;=4,"A",IF('Data Source'!U446&gt;=3.5,"A-",IF('Data Source'!U446&gt;=3,"B",IF('Data Source'!U446&gt;=2,"C",IF('Data Source'!U446&gt;=1,"D","F")))))),"")</f>
        <v/>
      </c>
      <c r="D446" s="3">
        <f>IF(AND('Data Source'!B446&lt;&gt;"",'Data Source'!S446="A+"),IF('Data Source'!V446&gt;=5,"A+",IF('Data Source'!V446&gt;=4,"A",IF('Data Source'!V446&gt;=3.5,"A-",IF('Data Source'!V446&gt;=3,"B",IF('Data Source'!V446&gt;=2,"C",IF('Data Source'!V446&gt;=1,"D","F")))))),"")</f>
        <v/>
      </c>
      <c r="E446" s="3">
        <f>IF(AND('Data Source'!B446&lt;&gt;"",'Data Source'!S446="A+"),IF('Data Source'!W446&gt;=5,"A+",IF('Data Source'!W446&gt;=4,"A",IF('Data Source'!W446&gt;=3.5,"A-",IF('Data Source'!W446&gt;=3,"B",IF('Data Source'!W446&gt;=2,"C",IF('Data Source'!W446&gt;=1,"D","F")))))),"")</f>
        <v/>
      </c>
      <c r="F446" s="3">
        <f>IF(AND('Data Source'!B446&lt;&gt;"",'Data Source'!S446="A+"),IF('Data Source'!X446&gt;=5,"A+",IF('Data Source'!X446&gt;=4,"A",IF('Data Source'!X446&gt;=3.5,"A-",IF('Data Source'!X446&gt;=3,"B",IF('Data Source'!X446&gt;=2,"C",IF('Data Source'!X446&gt;=1,"D","F")))))),"")</f>
        <v/>
      </c>
      <c r="G446" s="3">
        <f>IF(AND('Data Source'!B446&lt;&gt;"",'Data Source'!S446="A+"),IF('Data Source'!Y446&gt;=5,"A+",IF('Data Source'!Y446&gt;=4,"A",IF('Data Source'!Y446&gt;=3.5,"A-",IF('Data Source'!Y446&gt;=3,"B",IF('Data Source'!Y446&gt;=2,"C",IF('Data Source'!Y446&gt;=1,"D","F")))))),"")</f>
        <v/>
      </c>
      <c r="H446" s="3">
        <f>IF(AND('Data Source'!B446&lt;&gt;"",'Data Source'!S446="A+"),IF('Data Source'!Z446&gt;=5,"A+",IF('Data Source'!Z446&gt;=4,"A",IF('Data Source'!Z446&gt;=3.5,"A-",IF('Data Source'!Z446&gt;=3,"B",IF('Data Source'!Z446&gt;=2,"C",IF('Data Source'!Z446&gt;=1,"D","F")))))),"")</f>
        <v/>
      </c>
      <c r="I446" s="3">
        <f>IF(AND('Data Source'!B446&lt;&gt;"",'Data Source'!S446="A+"),IF('Data Source'!AA446&gt;=5,"A+",IF('Data Source'!AA446&gt;=4,"A",IF('Data Source'!AA446&gt;=3.5,"A-",IF('Data Source'!AA446&gt;=3,"B",IF('Data Source'!AA446&gt;=2,"C",IF('Data Source'!AA446&gt;=1,"D","F")))))),"")</f>
        <v/>
      </c>
      <c r="J446" s="3">
        <f>IF(AND('Data Source'!B446&lt;&gt;"",'Data Source'!S446="A+"),IF('Data Source'!AB446&gt;=5,"A+",IF('Data Source'!AB446&gt;=4,"A",IF('Data Source'!AB446&gt;=3.5,"A-",IF('Data Source'!AB446&gt;=3,"B",IF('Data Source'!AB446&gt;=2,"C",IF('Data Source'!AB446&gt;=1,"D","F")))))),"")</f>
        <v/>
      </c>
      <c r="K446" s="3">
        <f>IF(AND('Data Source'!B446&lt;&gt;"",'Data Source'!S446="A+"),IF('Data Source'!AC446&gt;=5,"A+",IF('Data Source'!AC446&gt;=4,"A",IF('Data Source'!AC446&gt;=3.5,"A-",IF('Data Source'!AC446&gt;=3,"B",IF('Data Source'!AC446&gt;=2,"C",IF('Data Source'!AC446&gt;=1,"D","F")))))),"")</f>
        <v/>
      </c>
      <c r="L446" s="3">
        <f>IF(AND('Data Source'!B446&lt;&gt;"",'Data Source'!S446="A+"),IF('Data Source'!AD446&gt;=5,"A+",IF('Data Source'!AD446&gt;=4,"A",IF('Data Source'!AD446&gt;=3.5,"A-",IF('Data Source'!AD446&gt;=3,"B",IF('Data Source'!AD446&gt;=2,"C",IF('Data Source'!AD446&gt;=1,"D","F")))))),"")</f>
        <v/>
      </c>
      <c r="M446" s="3">
        <f>IF(AND('Data Source'!B446&lt;&gt;"",'Data Source'!S446="A+"),IF('Data Source'!AE446&gt;=5,"A+",IF('Data Source'!AE446&gt;=4,"A",IF('Data Source'!AE446&gt;=3.5,"A-",IF('Data Source'!AE446&gt;=3,"B",IF('Data Source'!AE446&gt;=2,"C",IF('Data Source'!AE446&gt;=1,"D","F")))))),"")</f>
        <v/>
      </c>
      <c r="N446" s="3">
        <f>IF(AND('Data Source'!B446&lt;&gt;"",'Data Source'!S446="A+"),IF('Data Source'!AF446&gt;=5,"A+",IF('Data Source'!AF446&gt;=4,"A",IF('Data Source'!AF446&gt;=3.5,"A-",IF('Data Source'!AF446&gt;=3,"B",IF('Data Source'!AF446&gt;=2,"C",IF('Data Source'!AF446&gt;=1,"D","F")))))),"")</f>
        <v/>
      </c>
      <c r="O446" s="3">
        <f>IF(AND('Data Source'!B446&lt;&gt;"",'Data Source'!S446="A+"),IF('Data Source'!AG446&gt;=5,"A+",IF('Data Source'!AG446&gt;=4,"A",IF('Data Source'!AG446&gt;=3.5,"A-",IF('Data Source'!AG446&gt;=3,"B",IF('Data Source'!AG446&gt;=2,"C",IF('Data Source'!AG446&gt;=1,"D","F")))))),"")</f>
        <v/>
      </c>
      <c r="P446" s="5">
        <f>IF(AND('Data Source'!B446&lt;&gt;"",'Data Source'!S446="A+"),'Data Source'!R446,"")</f>
        <v/>
      </c>
      <c r="Q446" s="3">
        <f>IF(AND('Data Source'!B446&lt;&gt;"",'Data Source'!S446="A+"),'Data Source'!S446,"")</f>
        <v/>
      </c>
    </row>
    <row r="447">
      <c r="A447" s="3">
        <f>IF(AND('Data Source'!B447&lt;&gt;"",'Data Source'!S447="A+"),COUNTIF('Data Source'!$S$3:S447,"A+"),"")</f>
        <v/>
      </c>
      <c r="B447">
        <f>IF(AND('Data Source'!B447&lt;&gt;"",'Data Source'!S447="A+"),'Data Source'!B447,"")</f>
        <v/>
      </c>
      <c r="C447" s="3">
        <f>IF(AND('Data Source'!B447&lt;&gt;"",'Data Source'!S447="A+"),IF('Data Source'!U447&gt;=5,"A+",IF('Data Source'!U447&gt;=4,"A",IF('Data Source'!U447&gt;=3.5,"A-",IF('Data Source'!U447&gt;=3,"B",IF('Data Source'!U447&gt;=2,"C",IF('Data Source'!U447&gt;=1,"D","F")))))),"")</f>
        <v/>
      </c>
      <c r="D447" s="3">
        <f>IF(AND('Data Source'!B447&lt;&gt;"",'Data Source'!S447="A+"),IF('Data Source'!V447&gt;=5,"A+",IF('Data Source'!V447&gt;=4,"A",IF('Data Source'!V447&gt;=3.5,"A-",IF('Data Source'!V447&gt;=3,"B",IF('Data Source'!V447&gt;=2,"C",IF('Data Source'!V447&gt;=1,"D","F")))))),"")</f>
        <v/>
      </c>
      <c r="E447" s="3">
        <f>IF(AND('Data Source'!B447&lt;&gt;"",'Data Source'!S447="A+"),IF('Data Source'!W447&gt;=5,"A+",IF('Data Source'!W447&gt;=4,"A",IF('Data Source'!W447&gt;=3.5,"A-",IF('Data Source'!W447&gt;=3,"B",IF('Data Source'!W447&gt;=2,"C",IF('Data Source'!W447&gt;=1,"D","F")))))),"")</f>
        <v/>
      </c>
      <c r="F447" s="3">
        <f>IF(AND('Data Source'!B447&lt;&gt;"",'Data Source'!S447="A+"),IF('Data Source'!X447&gt;=5,"A+",IF('Data Source'!X447&gt;=4,"A",IF('Data Source'!X447&gt;=3.5,"A-",IF('Data Source'!X447&gt;=3,"B",IF('Data Source'!X447&gt;=2,"C",IF('Data Source'!X447&gt;=1,"D","F")))))),"")</f>
        <v/>
      </c>
      <c r="G447" s="3">
        <f>IF(AND('Data Source'!B447&lt;&gt;"",'Data Source'!S447="A+"),IF('Data Source'!Y447&gt;=5,"A+",IF('Data Source'!Y447&gt;=4,"A",IF('Data Source'!Y447&gt;=3.5,"A-",IF('Data Source'!Y447&gt;=3,"B",IF('Data Source'!Y447&gt;=2,"C",IF('Data Source'!Y447&gt;=1,"D","F")))))),"")</f>
        <v/>
      </c>
      <c r="H447" s="3">
        <f>IF(AND('Data Source'!B447&lt;&gt;"",'Data Source'!S447="A+"),IF('Data Source'!Z447&gt;=5,"A+",IF('Data Source'!Z447&gt;=4,"A",IF('Data Source'!Z447&gt;=3.5,"A-",IF('Data Source'!Z447&gt;=3,"B",IF('Data Source'!Z447&gt;=2,"C",IF('Data Source'!Z447&gt;=1,"D","F")))))),"")</f>
        <v/>
      </c>
      <c r="I447" s="3">
        <f>IF(AND('Data Source'!B447&lt;&gt;"",'Data Source'!S447="A+"),IF('Data Source'!AA447&gt;=5,"A+",IF('Data Source'!AA447&gt;=4,"A",IF('Data Source'!AA447&gt;=3.5,"A-",IF('Data Source'!AA447&gt;=3,"B",IF('Data Source'!AA447&gt;=2,"C",IF('Data Source'!AA447&gt;=1,"D","F")))))),"")</f>
        <v/>
      </c>
      <c r="J447" s="3">
        <f>IF(AND('Data Source'!B447&lt;&gt;"",'Data Source'!S447="A+"),IF('Data Source'!AB447&gt;=5,"A+",IF('Data Source'!AB447&gt;=4,"A",IF('Data Source'!AB447&gt;=3.5,"A-",IF('Data Source'!AB447&gt;=3,"B",IF('Data Source'!AB447&gt;=2,"C",IF('Data Source'!AB447&gt;=1,"D","F")))))),"")</f>
        <v/>
      </c>
      <c r="K447" s="3">
        <f>IF(AND('Data Source'!B447&lt;&gt;"",'Data Source'!S447="A+"),IF('Data Source'!AC447&gt;=5,"A+",IF('Data Source'!AC447&gt;=4,"A",IF('Data Source'!AC447&gt;=3.5,"A-",IF('Data Source'!AC447&gt;=3,"B",IF('Data Source'!AC447&gt;=2,"C",IF('Data Source'!AC447&gt;=1,"D","F")))))),"")</f>
        <v/>
      </c>
      <c r="L447" s="3">
        <f>IF(AND('Data Source'!B447&lt;&gt;"",'Data Source'!S447="A+"),IF('Data Source'!AD447&gt;=5,"A+",IF('Data Source'!AD447&gt;=4,"A",IF('Data Source'!AD447&gt;=3.5,"A-",IF('Data Source'!AD447&gt;=3,"B",IF('Data Source'!AD447&gt;=2,"C",IF('Data Source'!AD447&gt;=1,"D","F")))))),"")</f>
        <v/>
      </c>
      <c r="M447" s="3">
        <f>IF(AND('Data Source'!B447&lt;&gt;"",'Data Source'!S447="A+"),IF('Data Source'!AE447&gt;=5,"A+",IF('Data Source'!AE447&gt;=4,"A",IF('Data Source'!AE447&gt;=3.5,"A-",IF('Data Source'!AE447&gt;=3,"B",IF('Data Source'!AE447&gt;=2,"C",IF('Data Source'!AE447&gt;=1,"D","F")))))),"")</f>
        <v/>
      </c>
      <c r="N447" s="3">
        <f>IF(AND('Data Source'!B447&lt;&gt;"",'Data Source'!S447="A+"),IF('Data Source'!AF447&gt;=5,"A+",IF('Data Source'!AF447&gt;=4,"A",IF('Data Source'!AF447&gt;=3.5,"A-",IF('Data Source'!AF447&gt;=3,"B",IF('Data Source'!AF447&gt;=2,"C",IF('Data Source'!AF447&gt;=1,"D","F")))))),"")</f>
        <v/>
      </c>
      <c r="O447" s="3">
        <f>IF(AND('Data Source'!B447&lt;&gt;"",'Data Source'!S447="A+"),IF('Data Source'!AG447&gt;=5,"A+",IF('Data Source'!AG447&gt;=4,"A",IF('Data Source'!AG447&gt;=3.5,"A-",IF('Data Source'!AG447&gt;=3,"B",IF('Data Source'!AG447&gt;=2,"C",IF('Data Source'!AG447&gt;=1,"D","F")))))),"")</f>
        <v/>
      </c>
      <c r="P447" s="5">
        <f>IF(AND('Data Source'!B447&lt;&gt;"",'Data Source'!S447="A+"),'Data Source'!R447,"")</f>
        <v/>
      </c>
      <c r="Q447" s="3">
        <f>IF(AND('Data Source'!B447&lt;&gt;"",'Data Source'!S447="A+"),'Data Source'!S447,"")</f>
        <v/>
      </c>
    </row>
    <row r="448">
      <c r="A448" s="3">
        <f>IF(AND('Data Source'!B448&lt;&gt;"",'Data Source'!S448="A+"),COUNTIF('Data Source'!$S$3:S448,"A+"),"")</f>
        <v/>
      </c>
      <c r="B448">
        <f>IF(AND('Data Source'!B448&lt;&gt;"",'Data Source'!S448="A+"),'Data Source'!B448,"")</f>
        <v/>
      </c>
      <c r="C448" s="3">
        <f>IF(AND('Data Source'!B448&lt;&gt;"",'Data Source'!S448="A+"),IF('Data Source'!U448&gt;=5,"A+",IF('Data Source'!U448&gt;=4,"A",IF('Data Source'!U448&gt;=3.5,"A-",IF('Data Source'!U448&gt;=3,"B",IF('Data Source'!U448&gt;=2,"C",IF('Data Source'!U448&gt;=1,"D","F")))))),"")</f>
        <v/>
      </c>
      <c r="D448" s="3">
        <f>IF(AND('Data Source'!B448&lt;&gt;"",'Data Source'!S448="A+"),IF('Data Source'!V448&gt;=5,"A+",IF('Data Source'!V448&gt;=4,"A",IF('Data Source'!V448&gt;=3.5,"A-",IF('Data Source'!V448&gt;=3,"B",IF('Data Source'!V448&gt;=2,"C",IF('Data Source'!V448&gt;=1,"D","F")))))),"")</f>
        <v/>
      </c>
      <c r="E448" s="3">
        <f>IF(AND('Data Source'!B448&lt;&gt;"",'Data Source'!S448="A+"),IF('Data Source'!W448&gt;=5,"A+",IF('Data Source'!W448&gt;=4,"A",IF('Data Source'!W448&gt;=3.5,"A-",IF('Data Source'!W448&gt;=3,"B",IF('Data Source'!W448&gt;=2,"C",IF('Data Source'!W448&gt;=1,"D","F")))))),"")</f>
        <v/>
      </c>
      <c r="F448" s="3">
        <f>IF(AND('Data Source'!B448&lt;&gt;"",'Data Source'!S448="A+"),IF('Data Source'!X448&gt;=5,"A+",IF('Data Source'!X448&gt;=4,"A",IF('Data Source'!X448&gt;=3.5,"A-",IF('Data Source'!X448&gt;=3,"B",IF('Data Source'!X448&gt;=2,"C",IF('Data Source'!X448&gt;=1,"D","F")))))),"")</f>
        <v/>
      </c>
      <c r="G448" s="3">
        <f>IF(AND('Data Source'!B448&lt;&gt;"",'Data Source'!S448="A+"),IF('Data Source'!Y448&gt;=5,"A+",IF('Data Source'!Y448&gt;=4,"A",IF('Data Source'!Y448&gt;=3.5,"A-",IF('Data Source'!Y448&gt;=3,"B",IF('Data Source'!Y448&gt;=2,"C",IF('Data Source'!Y448&gt;=1,"D","F")))))),"")</f>
        <v/>
      </c>
      <c r="H448" s="3">
        <f>IF(AND('Data Source'!B448&lt;&gt;"",'Data Source'!S448="A+"),IF('Data Source'!Z448&gt;=5,"A+",IF('Data Source'!Z448&gt;=4,"A",IF('Data Source'!Z448&gt;=3.5,"A-",IF('Data Source'!Z448&gt;=3,"B",IF('Data Source'!Z448&gt;=2,"C",IF('Data Source'!Z448&gt;=1,"D","F")))))),"")</f>
        <v/>
      </c>
      <c r="I448" s="3">
        <f>IF(AND('Data Source'!B448&lt;&gt;"",'Data Source'!S448="A+"),IF('Data Source'!AA448&gt;=5,"A+",IF('Data Source'!AA448&gt;=4,"A",IF('Data Source'!AA448&gt;=3.5,"A-",IF('Data Source'!AA448&gt;=3,"B",IF('Data Source'!AA448&gt;=2,"C",IF('Data Source'!AA448&gt;=1,"D","F")))))),"")</f>
        <v/>
      </c>
      <c r="J448" s="3">
        <f>IF(AND('Data Source'!B448&lt;&gt;"",'Data Source'!S448="A+"),IF('Data Source'!AB448&gt;=5,"A+",IF('Data Source'!AB448&gt;=4,"A",IF('Data Source'!AB448&gt;=3.5,"A-",IF('Data Source'!AB448&gt;=3,"B",IF('Data Source'!AB448&gt;=2,"C",IF('Data Source'!AB448&gt;=1,"D","F")))))),"")</f>
        <v/>
      </c>
      <c r="K448" s="3">
        <f>IF(AND('Data Source'!B448&lt;&gt;"",'Data Source'!S448="A+"),IF('Data Source'!AC448&gt;=5,"A+",IF('Data Source'!AC448&gt;=4,"A",IF('Data Source'!AC448&gt;=3.5,"A-",IF('Data Source'!AC448&gt;=3,"B",IF('Data Source'!AC448&gt;=2,"C",IF('Data Source'!AC448&gt;=1,"D","F")))))),"")</f>
        <v/>
      </c>
      <c r="L448" s="3">
        <f>IF(AND('Data Source'!B448&lt;&gt;"",'Data Source'!S448="A+"),IF('Data Source'!AD448&gt;=5,"A+",IF('Data Source'!AD448&gt;=4,"A",IF('Data Source'!AD448&gt;=3.5,"A-",IF('Data Source'!AD448&gt;=3,"B",IF('Data Source'!AD448&gt;=2,"C",IF('Data Source'!AD448&gt;=1,"D","F")))))),"")</f>
        <v/>
      </c>
      <c r="M448" s="3">
        <f>IF(AND('Data Source'!B448&lt;&gt;"",'Data Source'!S448="A+"),IF('Data Source'!AE448&gt;=5,"A+",IF('Data Source'!AE448&gt;=4,"A",IF('Data Source'!AE448&gt;=3.5,"A-",IF('Data Source'!AE448&gt;=3,"B",IF('Data Source'!AE448&gt;=2,"C",IF('Data Source'!AE448&gt;=1,"D","F")))))),"")</f>
        <v/>
      </c>
      <c r="N448" s="3">
        <f>IF(AND('Data Source'!B448&lt;&gt;"",'Data Source'!S448="A+"),IF('Data Source'!AF448&gt;=5,"A+",IF('Data Source'!AF448&gt;=4,"A",IF('Data Source'!AF448&gt;=3.5,"A-",IF('Data Source'!AF448&gt;=3,"B",IF('Data Source'!AF448&gt;=2,"C",IF('Data Source'!AF448&gt;=1,"D","F")))))),"")</f>
        <v/>
      </c>
      <c r="O448" s="3">
        <f>IF(AND('Data Source'!B448&lt;&gt;"",'Data Source'!S448="A+"),IF('Data Source'!AG448&gt;=5,"A+",IF('Data Source'!AG448&gt;=4,"A",IF('Data Source'!AG448&gt;=3.5,"A-",IF('Data Source'!AG448&gt;=3,"B",IF('Data Source'!AG448&gt;=2,"C",IF('Data Source'!AG448&gt;=1,"D","F")))))),"")</f>
        <v/>
      </c>
      <c r="P448" s="5">
        <f>IF(AND('Data Source'!B448&lt;&gt;"",'Data Source'!S448="A+"),'Data Source'!R448,"")</f>
        <v/>
      </c>
      <c r="Q448" s="3">
        <f>IF(AND('Data Source'!B448&lt;&gt;"",'Data Source'!S448="A+"),'Data Source'!S448,"")</f>
        <v/>
      </c>
    </row>
    <row r="449">
      <c r="A449" s="3">
        <f>IF(AND('Data Source'!B449&lt;&gt;"",'Data Source'!S449="A+"),COUNTIF('Data Source'!$S$3:S449,"A+"),"")</f>
        <v/>
      </c>
      <c r="B449">
        <f>IF(AND('Data Source'!B449&lt;&gt;"",'Data Source'!S449="A+"),'Data Source'!B449,"")</f>
        <v/>
      </c>
      <c r="C449" s="3">
        <f>IF(AND('Data Source'!B449&lt;&gt;"",'Data Source'!S449="A+"),IF('Data Source'!U449&gt;=5,"A+",IF('Data Source'!U449&gt;=4,"A",IF('Data Source'!U449&gt;=3.5,"A-",IF('Data Source'!U449&gt;=3,"B",IF('Data Source'!U449&gt;=2,"C",IF('Data Source'!U449&gt;=1,"D","F")))))),"")</f>
        <v/>
      </c>
      <c r="D449" s="3">
        <f>IF(AND('Data Source'!B449&lt;&gt;"",'Data Source'!S449="A+"),IF('Data Source'!V449&gt;=5,"A+",IF('Data Source'!V449&gt;=4,"A",IF('Data Source'!V449&gt;=3.5,"A-",IF('Data Source'!V449&gt;=3,"B",IF('Data Source'!V449&gt;=2,"C",IF('Data Source'!V449&gt;=1,"D","F")))))),"")</f>
        <v/>
      </c>
      <c r="E449" s="3">
        <f>IF(AND('Data Source'!B449&lt;&gt;"",'Data Source'!S449="A+"),IF('Data Source'!W449&gt;=5,"A+",IF('Data Source'!W449&gt;=4,"A",IF('Data Source'!W449&gt;=3.5,"A-",IF('Data Source'!W449&gt;=3,"B",IF('Data Source'!W449&gt;=2,"C",IF('Data Source'!W449&gt;=1,"D","F")))))),"")</f>
        <v/>
      </c>
      <c r="F449" s="3">
        <f>IF(AND('Data Source'!B449&lt;&gt;"",'Data Source'!S449="A+"),IF('Data Source'!X449&gt;=5,"A+",IF('Data Source'!X449&gt;=4,"A",IF('Data Source'!X449&gt;=3.5,"A-",IF('Data Source'!X449&gt;=3,"B",IF('Data Source'!X449&gt;=2,"C",IF('Data Source'!X449&gt;=1,"D","F")))))),"")</f>
        <v/>
      </c>
      <c r="G449" s="3">
        <f>IF(AND('Data Source'!B449&lt;&gt;"",'Data Source'!S449="A+"),IF('Data Source'!Y449&gt;=5,"A+",IF('Data Source'!Y449&gt;=4,"A",IF('Data Source'!Y449&gt;=3.5,"A-",IF('Data Source'!Y449&gt;=3,"B",IF('Data Source'!Y449&gt;=2,"C",IF('Data Source'!Y449&gt;=1,"D","F")))))),"")</f>
        <v/>
      </c>
      <c r="H449" s="3">
        <f>IF(AND('Data Source'!B449&lt;&gt;"",'Data Source'!S449="A+"),IF('Data Source'!Z449&gt;=5,"A+",IF('Data Source'!Z449&gt;=4,"A",IF('Data Source'!Z449&gt;=3.5,"A-",IF('Data Source'!Z449&gt;=3,"B",IF('Data Source'!Z449&gt;=2,"C",IF('Data Source'!Z449&gt;=1,"D","F")))))),"")</f>
        <v/>
      </c>
      <c r="I449" s="3">
        <f>IF(AND('Data Source'!B449&lt;&gt;"",'Data Source'!S449="A+"),IF('Data Source'!AA449&gt;=5,"A+",IF('Data Source'!AA449&gt;=4,"A",IF('Data Source'!AA449&gt;=3.5,"A-",IF('Data Source'!AA449&gt;=3,"B",IF('Data Source'!AA449&gt;=2,"C",IF('Data Source'!AA449&gt;=1,"D","F")))))),"")</f>
        <v/>
      </c>
      <c r="J449" s="3">
        <f>IF(AND('Data Source'!B449&lt;&gt;"",'Data Source'!S449="A+"),IF('Data Source'!AB449&gt;=5,"A+",IF('Data Source'!AB449&gt;=4,"A",IF('Data Source'!AB449&gt;=3.5,"A-",IF('Data Source'!AB449&gt;=3,"B",IF('Data Source'!AB449&gt;=2,"C",IF('Data Source'!AB449&gt;=1,"D","F")))))),"")</f>
        <v/>
      </c>
      <c r="K449" s="3">
        <f>IF(AND('Data Source'!B449&lt;&gt;"",'Data Source'!S449="A+"),IF('Data Source'!AC449&gt;=5,"A+",IF('Data Source'!AC449&gt;=4,"A",IF('Data Source'!AC449&gt;=3.5,"A-",IF('Data Source'!AC449&gt;=3,"B",IF('Data Source'!AC449&gt;=2,"C",IF('Data Source'!AC449&gt;=1,"D","F")))))),"")</f>
        <v/>
      </c>
      <c r="L449" s="3">
        <f>IF(AND('Data Source'!B449&lt;&gt;"",'Data Source'!S449="A+"),IF('Data Source'!AD449&gt;=5,"A+",IF('Data Source'!AD449&gt;=4,"A",IF('Data Source'!AD449&gt;=3.5,"A-",IF('Data Source'!AD449&gt;=3,"B",IF('Data Source'!AD449&gt;=2,"C",IF('Data Source'!AD449&gt;=1,"D","F")))))),"")</f>
        <v/>
      </c>
      <c r="M449" s="3">
        <f>IF(AND('Data Source'!B449&lt;&gt;"",'Data Source'!S449="A+"),IF('Data Source'!AE449&gt;=5,"A+",IF('Data Source'!AE449&gt;=4,"A",IF('Data Source'!AE449&gt;=3.5,"A-",IF('Data Source'!AE449&gt;=3,"B",IF('Data Source'!AE449&gt;=2,"C",IF('Data Source'!AE449&gt;=1,"D","F")))))),"")</f>
        <v/>
      </c>
      <c r="N449" s="3">
        <f>IF(AND('Data Source'!B449&lt;&gt;"",'Data Source'!S449="A+"),IF('Data Source'!AF449&gt;=5,"A+",IF('Data Source'!AF449&gt;=4,"A",IF('Data Source'!AF449&gt;=3.5,"A-",IF('Data Source'!AF449&gt;=3,"B",IF('Data Source'!AF449&gt;=2,"C",IF('Data Source'!AF449&gt;=1,"D","F")))))),"")</f>
        <v/>
      </c>
      <c r="O449" s="3">
        <f>IF(AND('Data Source'!B449&lt;&gt;"",'Data Source'!S449="A+"),IF('Data Source'!AG449&gt;=5,"A+",IF('Data Source'!AG449&gt;=4,"A",IF('Data Source'!AG449&gt;=3.5,"A-",IF('Data Source'!AG449&gt;=3,"B",IF('Data Source'!AG449&gt;=2,"C",IF('Data Source'!AG449&gt;=1,"D","F")))))),"")</f>
        <v/>
      </c>
      <c r="P449" s="5">
        <f>IF(AND('Data Source'!B449&lt;&gt;"",'Data Source'!S449="A+"),'Data Source'!R449,"")</f>
        <v/>
      </c>
      <c r="Q449" s="3">
        <f>IF(AND('Data Source'!B449&lt;&gt;"",'Data Source'!S449="A+"),'Data Source'!S449,"")</f>
        <v/>
      </c>
    </row>
    <row r="450">
      <c r="A450" s="3">
        <f>IF(AND('Data Source'!B450&lt;&gt;"",'Data Source'!S450="A+"),COUNTIF('Data Source'!$S$3:S450,"A+"),"")</f>
        <v/>
      </c>
      <c r="B450">
        <f>IF(AND('Data Source'!B450&lt;&gt;"",'Data Source'!S450="A+"),'Data Source'!B450,"")</f>
        <v/>
      </c>
      <c r="C450" s="3">
        <f>IF(AND('Data Source'!B450&lt;&gt;"",'Data Source'!S450="A+"),IF('Data Source'!U450&gt;=5,"A+",IF('Data Source'!U450&gt;=4,"A",IF('Data Source'!U450&gt;=3.5,"A-",IF('Data Source'!U450&gt;=3,"B",IF('Data Source'!U450&gt;=2,"C",IF('Data Source'!U450&gt;=1,"D","F")))))),"")</f>
        <v/>
      </c>
      <c r="D450" s="3">
        <f>IF(AND('Data Source'!B450&lt;&gt;"",'Data Source'!S450="A+"),IF('Data Source'!V450&gt;=5,"A+",IF('Data Source'!V450&gt;=4,"A",IF('Data Source'!V450&gt;=3.5,"A-",IF('Data Source'!V450&gt;=3,"B",IF('Data Source'!V450&gt;=2,"C",IF('Data Source'!V450&gt;=1,"D","F")))))),"")</f>
        <v/>
      </c>
      <c r="E450" s="3">
        <f>IF(AND('Data Source'!B450&lt;&gt;"",'Data Source'!S450="A+"),IF('Data Source'!W450&gt;=5,"A+",IF('Data Source'!W450&gt;=4,"A",IF('Data Source'!W450&gt;=3.5,"A-",IF('Data Source'!W450&gt;=3,"B",IF('Data Source'!W450&gt;=2,"C",IF('Data Source'!W450&gt;=1,"D","F")))))),"")</f>
        <v/>
      </c>
      <c r="F450" s="3">
        <f>IF(AND('Data Source'!B450&lt;&gt;"",'Data Source'!S450="A+"),IF('Data Source'!X450&gt;=5,"A+",IF('Data Source'!X450&gt;=4,"A",IF('Data Source'!X450&gt;=3.5,"A-",IF('Data Source'!X450&gt;=3,"B",IF('Data Source'!X450&gt;=2,"C",IF('Data Source'!X450&gt;=1,"D","F")))))),"")</f>
        <v/>
      </c>
      <c r="G450" s="3">
        <f>IF(AND('Data Source'!B450&lt;&gt;"",'Data Source'!S450="A+"),IF('Data Source'!Y450&gt;=5,"A+",IF('Data Source'!Y450&gt;=4,"A",IF('Data Source'!Y450&gt;=3.5,"A-",IF('Data Source'!Y450&gt;=3,"B",IF('Data Source'!Y450&gt;=2,"C",IF('Data Source'!Y450&gt;=1,"D","F")))))),"")</f>
        <v/>
      </c>
      <c r="H450" s="3">
        <f>IF(AND('Data Source'!B450&lt;&gt;"",'Data Source'!S450="A+"),IF('Data Source'!Z450&gt;=5,"A+",IF('Data Source'!Z450&gt;=4,"A",IF('Data Source'!Z450&gt;=3.5,"A-",IF('Data Source'!Z450&gt;=3,"B",IF('Data Source'!Z450&gt;=2,"C",IF('Data Source'!Z450&gt;=1,"D","F")))))),"")</f>
        <v/>
      </c>
      <c r="I450" s="3">
        <f>IF(AND('Data Source'!B450&lt;&gt;"",'Data Source'!S450="A+"),IF('Data Source'!AA450&gt;=5,"A+",IF('Data Source'!AA450&gt;=4,"A",IF('Data Source'!AA450&gt;=3.5,"A-",IF('Data Source'!AA450&gt;=3,"B",IF('Data Source'!AA450&gt;=2,"C",IF('Data Source'!AA450&gt;=1,"D","F")))))),"")</f>
        <v/>
      </c>
      <c r="J450" s="3">
        <f>IF(AND('Data Source'!B450&lt;&gt;"",'Data Source'!S450="A+"),IF('Data Source'!AB450&gt;=5,"A+",IF('Data Source'!AB450&gt;=4,"A",IF('Data Source'!AB450&gt;=3.5,"A-",IF('Data Source'!AB450&gt;=3,"B",IF('Data Source'!AB450&gt;=2,"C",IF('Data Source'!AB450&gt;=1,"D","F")))))),"")</f>
        <v/>
      </c>
      <c r="K450" s="3">
        <f>IF(AND('Data Source'!B450&lt;&gt;"",'Data Source'!S450="A+"),IF('Data Source'!AC450&gt;=5,"A+",IF('Data Source'!AC450&gt;=4,"A",IF('Data Source'!AC450&gt;=3.5,"A-",IF('Data Source'!AC450&gt;=3,"B",IF('Data Source'!AC450&gt;=2,"C",IF('Data Source'!AC450&gt;=1,"D","F")))))),"")</f>
        <v/>
      </c>
      <c r="L450" s="3">
        <f>IF(AND('Data Source'!B450&lt;&gt;"",'Data Source'!S450="A+"),IF('Data Source'!AD450&gt;=5,"A+",IF('Data Source'!AD450&gt;=4,"A",IF('Data Source'!AD450&gt;=3.5,"A-",IF('Data Source'!AD450&gt;=3,"B",IF('Data Source'!AD450&gt;=2,"C",IF('Data Source'!AD450&gt;=1,"D","F")))))),"")</f>
        <v/>
      </c>
      <c r="M450" s="3">
        <f>IF(AND('Data Source'!B450&lt;&gt;"",'Data Source'!S450="A+"),IF('Data Source'!AE450&gt;=5,"A+",IF('Data Source'!AE450&gt;=4,"A",IF('Data Source'!AE450&gt;=3.5,"A-",IF('Data Source'!AE450&gt;=3,"B",IF('Data Source'!AE450&gt;=2,"C",IF('Data Source'!AE450&gt;=1,"D","F")))))),"")</f>
        <v/>
      </c>
      <c r="N450" s="3">
        <f>IF(AND('Data Source'!B450&lt;&gt;"",'Data Source'!S450="A+"),IF('Data Source'!AF450&gt;=5,"A+",IF('Data Source'!AF450&gt;=4,"A",IF('Data Source'!AF450&gt;=3.5,"A-",IF('Data Source'!AF450&gt;=3,"B",IF('Data Source'!AF450&gt;=2,"C",IF('Data Source'!AF450&gt;=1,"D","F")))))),"")</f>
        <v/>
      </c>
      <c r="O450" s="3">
        <f>IF(AND('Data Source'!B450&lt;&gt;"",'Data Source'!S450="A+"),IF('Data Source'!AG450&gt;=5,"A+",IF('Data Source'!AG450&gt;=4,"A",IF('Data Source'!AG450&gt;=3.5,"A-",IF('Data Source'!AG450&gt;=3,"B",IF('Data Source'!AG450&gt;=2,"C",IF('Data Source'!AG450&gt;=1,"D","F")))))),"")</f>
        <v/>
      </c>
      <c r="P450" s="5">
        <f>IF(AND('Data Source'!B450&lt;&gt;"",'Data Source'!S450="A+"),'Data Source'!R450,"")</f>
        <v/>
      </c>
      <c r="Q450" s="3">
        <f>IF(AND('Data Source'!B450&lt;&gt;"",'Data Source'!S450="A+"),'Data Source'!S450,"")</f>
        <v/>
      </c>
    </row>
    <row r="451">
      <c r="A451" s="3">
        <f>IF(AND('Data Source'!B451&lt;&gt;"",'Data Source'!S451="A+"),COUNTIF('Data Source'!$S$3:S451,"A+"),"")</f>
        <v/>
      </c>
      <c r="B451">
        <f>IF(AND('Data Source'!B451&lt;&gt;"",'Data Source'!S451="A+"),'Data Source'!B451,"")</f>
        <v/>
      </c>
      <c r="C451" s="3">
        <f>IF(AND('Data Source'!B451&lt;&gt;"",'Data Source'!S451="A+"),IF('Data Source'!U451&gt;=5,"A+",IF('Data Source'!U451&gt;=4,"A",IF('Data Source'!U451&gt;=3.5,"A-",IF('Data Source'!U451&gt;=3,"B",IF('Data Source'!U451&gt;=2,"C",IF('Data Source'!U451&gt;=1,"D","F")))))),"")</f>
        <v/>
      </c>
      <c r="D451" s="3">
        <f>IF(AND('Data Source'!B451&lt;&gt;"",'Data Source'!S451="A+"),IF('Data Source'!V451&gt;=5,"A+",IF('Data Source'!V451&gt;=4,"A",IF('Data Source'!V451&gt;=3.5,"A-",IF('Data Source'!V451&gt;=3,"B",IF('Data Source'!V451&gt;=2,"C",IF('Data Source'!V451&gt;=1,"D","F")))))),"")</f>
        <v/>
      </c>
      <c r="E451" s="3">
        <f>IF(AND('Data Source'!B451&lt;&gt;"",'Data Source'!S451="A+"),IF('Data Source'!W451&gt;=5,"A+",IF('Data Source'!W451&gt;=4,"A",IF('Data Source'!W451&gt;=3.5,"A-",IF('Data Source'!W451&gt;=3,"B",IF('Data Source'!W451&gt;=2,"C",IF('Data Source'!W451&gt;=1,"D","F")))))),"")</f>
        <v/>
      </c>
      <c r="F451" s="3">
        <f>IF(AND('Data Source'!B451&lt;&gt;"",'Data Source'!S451="A+"),IF('Data Source'!X451&gt;=5,"A+",IF('Data Source'!X451&gt;=4,"A",IF('Data Source'!X451&gt;=3.5,"A-",IF('Data Source'!X451&gt;=3,"B",IF('Data Source'!X451&gt;=2,"C",IF('Data Source'!X451&gt;=1,"D","F")))))),"")</f>
        <v/>
      </c>
      <c r="G451" s="3">
        <f>IF(AND('Data Source'!B451&lt;&gt;"",'Data Source'!S451="A+"),IF('Data Source'!Y451&gt;=5,"A+",IF('Data Source'!Y451&gt;=4,"A",IF('Data Source'!Y451&gt;=3.5,"A-",IF('Data Source'!Y451&gt;=3,"B",IF('Data Source'!Y451&gt;=2,"C",IF('Data Source'!Y451&gt;=1,"D","F")))))),"")</f>
        <v/>
      </c>
      <c r="H451" s="3">
        <f>IF(AND('Data Source'!B451&lt;&gt;"",'Data Source'!S451="A+"),IF('Data Source'!Z451&gt;=5,"A+",IF('Data Source'!Z451&gt;=4,"A",IF('Data Source'!Z451&gt;=3.5,"A-",IF('Data Source'!Z451&gt;=3,"B",IF('Data Source'!Z451&gt;=2,"C",IF('Data Source'!Z451&gt;=1,"D","F")))))),"")</f>
        <v/>
      </c>
      <c r="I451" s="3">
        <f>IF(AND('Data Source'!B451&lt;&gt;"",'Data Source'!S451="A+"),IF('Data Source'!AA451&gt;=5,"A+",IF('Data Source'!AA451&gt;=4,"A",IF('Data Source'!AA451&gt;=3.5,"A-",IF('Data Source'!AA451&gt;=3,"B",IF('Data Source'!AA451&gt;=2,"C",IF('Data Source'!AA451&gt;=1,"D","F")))))),"")</f>
        <v/>
      </c>
      <c r="J451" s="3">
        <f>IF(AND('Data Source'!B451&lt;&gt;"",'Data Source'!S451="A+"),IF('Data Source'!AB451&gt;=5,"A+",IF('Data Source'!AB451&gt;=4,"A",IF('Data Source'!AB451&gt;=3.5,"A-",IF('Data Source'!AB451&gt;=3,"B",IF('Data Source'!AB451&gt;=2,"C",IF('Data Source'!AB451&gt;=1,"D","F")))))),"")</f>
        <v/>
      </c>
      <c r="K451" s="3">
        <f>IF(AND('Data Source'!B451&lt;&gt;"",'Data Source'!S451="A+"),IF('Data Source'!AC451&gt;=5,"A+",IF('Data Source'!AC451&gt;=4,"A",IF('Data Source'!AC451&gt;=3.5,"A-",IF('Data Source'!AC451&gt;=3,"B",IF('Data Source'!AC451&gt;=2,"C",IF('Data Source'!AC451&gt;=1,"D","F")))))),"")</f>
        <v/>
      </c>
      <c r="L451" s="3">
        <f>IF(AND('Data Source'!B451&lt;&gt;"",'Data Source'!S451="A+"),IF('Data Source'!AD451&gt;=5,"A+",IF('Data Source'!AD451&gt;=4,"A",IF('Data Source'!AD451&gt;=3.5,"A-",IF('Data Source'!AD451&gt;=3,"B",IF('Data Source'!AD451&gt;=2,"C",IF('Data Source'!AD451&gt;=1,"D","F")))))),"")</f>
        <v/>
      </c>
      <c r="M451" s="3">
        <f>IF(AND('Data Source'!B451&lt;&gt;"",'Data Source'!S451="A+"),IF('Data Source'!AE451&gt;=5,"A+",IF('Data Source'!AE451&gt;=4,"A",IF('Data Source'!AE451&gt;=3.5,"A-",IF('Data Source'!AE451&gt;=3,"B",IF('Data Source'!AE451&gt;=2,"C",IF('Data Source'!AE451&gt;=1,"D","F")))))),"")</f>
        <v/>
      </c>
      <c r="N451" s="3">
        <f>IF(AND('Data Source'!B451&lt;&gt;"",'Data Source'!S451="A+"),IF('Data Source'!AF451&gt;=5,"A+",IF('Data Source'!AF451&gt;=4,"A",IF('Data Source'!AF451&gt;=3.5,"A-",IF('Data Source'!AF451&gt;=3,"B",IF('Data Source'!AF451&gt;=2,"C",IF('Data Source'!AF451&gt;=1,"D","F")))))),"")</f>
        <v/>
      </c>
      <c r="O451" s="3">
        <f>IF(AND('Data Source'!B451&lt;&gt;"",'Data Source'!S451="A+"),IF('Data Source'!AG451&gt;=5,"A+",IF('Data Source'!AG451&gt;=4,"A",IF('Data Source'!AG451&gt;=3.5,"A-",IF('Data Source'!AG451&gt;=3,"B",IF('Data Source'!AG451&gt;=2,"C",IF('Data Source'!AG451&gt;=1,"D","F")))))),"")</f>
        <v/>
      </c>
      <c r="P451" s="5">
        <f>IF(AND('Data Source'!B451&lt;&gt;"",'Data Source'!S451="A+"),'Data Source'!R451,"")</f>
        <v/>
      </c>
      <c r="Q451" s="3">
        <f>IF(AND('Data Source'!B451&lt;&gt;"",'Data Source'!S451="A+"),'Data Source'!S451,"")</f>
        <v/>
      </c>
    </row>
    <row r="452">
      <c r="A452" s="3">
        <f>IF(AND('Data Source'!B452&lt;&gt;"",'Data Source'!S452="A+"),COUNTIF('Data Source'!$S$3:S452,"A+"),"")</f>
        <v/>
      </c>
      <c r="B452">
        <f>IF(AND('Data Source'!B452&lt;&gt;"",'Data Source'!S452="A+"),'Data Source'!B452,"")</f>
        <v/>
      </c>
      <c r="C452" s="3">
        <f>IF(AND('Data Source'!B452&lt;&gt;"",'Data Source'!S452="A+"),IF('Data Source'!U452&gt;=5,"A+",IF('Data Source'!U452&gt;=4,"A",IF('Data Source'!U452&gt;=3.5,"A-",IF('Data Source'!U452&gt;=3,"B",IF('Data Source'!U452&gt;=2,"C",IF('Data Source'!U452&gt;=1,"D","F")))))),"")</f>
        <v/>
      </c>
      <c r="D452" s="3">
        <f>IF(AND('Data Source'!B452&lt;&gt;"",'Data Source'!S452="A+"),IF('Data Source'!V452&gt;=5,"A+",IF('Data Source'!V452&gt;=4,"A",IF('Data Source'!V452&gt;=3.5,"A-",IF('Data Source'!V452&gt;=3,"B",IF('Data Source'!V452&gt;=2,"C",IF('Data Source'!V452&gt;=1,"D","F")))))),"")</f>
        <v/>
      </c>
      <c r="E452" s="3">
        <f>IF(AND('Data Source'!B452&lt;&gt;"",'Data Source'!S452="A+"),IF('Data Source'!W452&gt;=5,"A+",IF('Data Source'!W452&gt;=4,"A",IF('Data Source'!W452&gt;=3.5,"A-",IF('Data Source'!W452&gt;=3,"B",IF('Data Source'!W452&gt;=2,"C",IF('Data Source'!W452&gt;=1,"D","F")))))),"")</f>
        <v/>
      </c>
      <c r="F452" s="3">
        <f>IF(AND('Data Source'!B452&lt;&gt;"",'Data Source'!S452="A+"),IF('Data Source'!X452&gt;=5,"A+",IF('Data Source'!X452&gt;=4,"A",IF('Data Source'!X452&gt;=3.5,"A-",IF('Data Source'!X452&gt;=3,"B",IF('Data Source'!X452&gt;=2,"C",IF('Data Source'!X452&gt;=1,"D","F")))))),"")</f>
        <v/>
      </c>
      <c r="G452" s="3">
        <f>IF(AND('Data Source'!B452&lt;&gt;"",'Data Source'!S452="A+"),IF('Data Source'!Y452&gt;=5,"A+",IF('Data Source'!Y452&gt;=4,"A",IF('Data Source'!Y452&gt;=3.5,"A-",IF('Data Source'!Y452&gt;=3,"B",IF('Data Source'!Y452&gt;=2,"C",IF('Data Source'!Y452&gt;=1,"D","F")))))),"")</f>
        <v/>
      </c>
      <c r="H452" s="3">
        <f>IF(AND('Data Source'!B452&lt;&gt;"",'Data Source'!S452="A+"),IF('Data Source'!Z452&gt;=5,"A+",IF('Data Source'!Z452&gt;=4,"A",IF('Data Source'!Z452&gt;=3.5,"A-",IF('Data Source'!Z452&gt;=3,"B",IF('Data Source'!Z452&gt;=2,"C",IF('Data Source'!Z452&gt;=1,"D","F")))))),"")</f>
        <v/>
      </c>
      <c r="I452" s="3">
        <f>IF(AND('Data Source'!B452&lt;&gt;"",'Data Source'!S452="A+"),IF('Data Source'!AA452&gt;=5,"A+",IF('Data Source'!AA452&gt;=4,"A",IF('Data Source'!AA452&gt;=3.5,"A-",IF('Data Source'!AA452&gt;=3,"B",IF('Data Source'!AA452&gt;=2,"C",IF('Data Source'!AA452&gt;=1,"D","F")))))),"")</f>
        <v/>
      </c>
      <c r="J452" s="3">
        <f>IF(AND('Data Source'!B452&lt;&gt;"",'Data Source'!S452="A+"),IF('Data Source'!AB452&gt;=5,"A+",IF('Data Source'!AB452&gt;=4,"A",IF('Data Source'!AB452&gt;=3.5,"A-",IF('Data Source'!AB452&gt;=3,"B",IF('Data Source'!AB452&gt;=2,"C",IF('Data Source'!AB452&gt;=1,"D","F")))))),"")</f>
        <v/>
      </c>
      <c r="K452" s="3">
        <f>IF(AND('Data Source'!B452&lt;&gt;"",'Data Source'!S452="A+"),IF('Data Source'!AC452&gt;=5,"A+",IF('Data Source'!AC452&gt;=4,"A",IF('Data Source'!AC452&gt;=3.5,"A-",IF('Data Source'!AC452&gt;=3,"B",IF('Data Source'!AC452&gt;=2,"C",IF('Data Source'!AC452&gt;=1,"D","F")))))),"")</f>
        <v/>
      </c>
      <c r="L452" s="3">
        <f>IF(AND('Data Source'!B452&lt;&gt;"",'Data Source'!S452="A+"),IF('Data Source'!AD452&gt;=5,"A+",IF('Data Source'!AD452&gt;=4,"A",IF('Data Source'!AD452&gt;=3.5,"A-",IF('Data Source'!AD452&gt;=3,"B",IF('Data Source'!AD452&gt;=2,"C",IF('Data Source'!AD452&gt;=1,"D","F")))))),"")</f>
        <v/>
      </c>
      <c r="M452" s="3">
        <f>IF(AND('Data Source'!B452&lt;&gt;"",'Data Source'!S452="A+"),IF('Data Source'!AE452&gt;=5,"A+",IF('Data Source'!AE452&gt;=4,"A",IF('Data Source'!AE452&gt;=3.5,"A-",IF('Data Source'!AE452&gt;=3,"B",IF('Data Source'!AE452&gt;=2,"C",IF('Data Source'!AE452&gt;=1,"D","F")))))),"")</f>
        <v/>
      </c>
      <c r="N452" s="3">
        <f>IF(AND('Data Source'!B452&lt;&gt;"",'Data Source'!S452="A+"),IF('Data Source'!AF452&gt;=5,"A+",IF('Data Source'!AF452&gt;=4,"A",IF('Data Source'!AF452&gt;=3.5,"A-",IF('Data Source'!AF452&gt;=3,"B",IF('Data Source'!AF452&gt;=2,"C",IF('Data Source'!AF452&gt;=1,"D","F")))))),"")</f>
        <v/>
      </c>
      <c r="O452" s="3">
        <f>IF(AND('Data Source'!B452&lt;&gt;"",'Data Source'!S452="A+"),IF('Data Source'!AG452&gt;=5,"A+",IF('Data Source'!AG452&gt;=4,"A",IF('Data Source'!AG452&gt;=3.5,"A-",IF('Data Source'!AG452&gt;=3,"B",IF('Data Source'!AG452&gt;=2,"C",IF('Data Source'!AG452&gt;=1,"D","F")))))),"")</f>
        <v/>
      </c>
      <c r="P452" s="5">
        <f>IF(AND('Data Source'!B452&lt;&gt;"",'Data Source'!S452="A+"),'Data Source'!R452,"")</f>
        <v/>
      </c>
      <c r="Q452" s="3">
        <f>IF(AND('Data Source'!B452&lt;&gt;"",'Data Source'!S452="A+"),'Data Source'!S452,"")</f>
        <v/>
      </c>
    </row>
    <row r="453">
      <c r="A453" s="3">
        <f>IF(AND('Data Source'!B453&lt;&gt;"",'Data Source'!S453="A+"),COUNTIF('Data Source'!$S$3:S453,"A+"),"")</f>
        <v/>
      </c>
      <c r="B453">
        <f>IF(AND('Data Source'!B453&lt;&gt;"",'Data Source'!S453="A+"),'Data Source'!B453,"")</f>
        <v/>
      </c>
      <c r="C453" s="3">
        <f>IF(AND('Data Source'!B453&lt;&gt;"",'Data Source'!S453="A+"),IF('Data Source'!U453&gt;=5,"A+",IF('Data Source'!U453&gt;=4,"A",IF('Data Source'!U453&gt;=3.5,"A-",IF('Data Source'!U453&gt;=3,"B",IF('Data Source'!U453&gt;=2,"C",IF('Data Source'!U453&gt;=1,"D","F")))))),"")</f>
        <v/>
      </c>
      <c r="D453" s="3">
        <f>IF(AND('Data Source'!B453&lt;&gt;"",'Data Source'!S453="A+"),IF('Data Source'!V453&gt;=5,"A+",IF('Data Source'!V453&gt;=4,"A",IF('Data Source'!V453&gt;=3.5,"A-",IF('Data Source'!V453&gt;=3,"B",IF('Data Source'!V453&gt;=2,"C",IF('Data Source'!V453&gt;=1,"D","F")))))),"")</f>
        <v/>
      </c>
      <c r="E453" s="3">
        <f>IF(AND('Data Source'!B453&lt;&gt;"",'Data Source'!S453="A+"),IF('Data Source'!W453&gt;=5,"A+",IF('Data Source'!W453&gt;=4,"A",IF('Data Source'!W453&gt;=3.5,"A-",IF('Data Source'!W453&gt;=3,"B",IF('Data Source'!W453&gt;=2,"C",IF('Data Source'!W453&gt;=1,"D","F")))))),"")</f>
        <v/>
      </c>
      <c r="F453" s="3">
        <f>IF(AND('Data Source'!B453&lt;&gt;"",'Data Source'!S453="A+"),IF('Data Source'!X453&gt;=5,"A+",IF('Data Source'!X453&gt;=4,"A",IF('Data Source'!X453&gt;=3.5,"A-",IF('Data Source'!X453&gt;=3,"B",IF('Data Source'!X453&gt;=2,"C",IF('Data Source'!X453&gt;=1,"D","F")))))),"")</f>
        <v/>
      </c>
      <c r="G453" s="3">
        <f>IF(AND('Data Source'!B453&lt;&gt;"",'Data Source'!S453="A+"),IF('Data Source'!Y453&gt;=5,"A+",IF('Data Source'!Y453&gt;=4,"A",IF('Data Source'!Y453&gt;=3.5,"A-",IF('Data Source'!Y453&gt;=3,"B",IF('Data Source'!Y453&gt;=2,"C",IF('Data Source'!Y453&gt;=1,"D","F")))))),"")</f>
        <v/>
      </c>
      <c r="H453" s="3">
        <f>IF(AND('Data Source'!B453&lt;&gt;"",'Data Source'!S453="A+"),IF('Data Source'!Z453&gt;=5,"A+",IF('Data Source'!Z453&gt;=4,"A",IF('Data Source'!Z453&gt;=3.5,"A-",IF('Data Source'!Z453&gt;=3,"B",IF('Data Source'!Z453&gt;=2,"C",IF('Data Source'!Z453&gt;=1,"D","F")))))),"")</f>
        <v/>
      </c>
      <c r="I453" s="3">
        <f>IF(AND('Data Source'!B453&lt;&gt;"",'Data Source'!S453="A+"),IF('Data Source'!AA453&gt;=5,"A+",IF('Data Source'!AA453&gt;=4,"A",IF('Data Source'!AA453&gt;=3.5,"A-",IF('Data Source'!AA453&gt;=3,"B",IF('Data Source'!AA453&gt;=2,"C",IF('Data Source'!AA453&gt;=1,"D","F")))))),"")</f>
        <v/>
      </c>
      <c r="J453" s="3">
        <f>IF(AND('Data Source'!B453&lt;&gt;"",'Data Source'!S453="A+"),IF('Data Source'!AB453&gt;=5,"A+",IF('Data Source'!AB453&gt;=4,"A",IF('Data Source'!AB453&gt;=3.5,"A-",IF('Data Source'!AB453&gt;=3,"B",IF('Data Source'!AB453&gt;=2,"C",IF('Data Source'!AB453&gt;=1,"D","F")))))),"")</f>
        <v/>
      </c>
      <c r="K453" s="3">
        <f>IF(AND('Data Source'!B453&lt;&gt;"",'Data Source'!S453="A+"),IF('Data Source'!AC453&gt;=5,"A+",IF('Data Source'!AC453&gt;=4,"A",IF('Data Source'!AC453&gt;=3.5,"A-",IF('Data Source'!AC453&gt;=3,"B",IF('Data Source'!AC453&gt;=2,"C",IF('Data Source'!AC453&gt;=1,"D","F")))))),"")</f>
        <v/>
      </c>
      <c r="L453" s="3">
        <f>IF(AND('Data Source'!B453&lt;&gt;"",'Data Source'!S453="A+"),IF('Data Source'!AD453&gt;=5,"A+",IF('Data Source'!AD453&gt;=4,"A",IF('Data Source'!AD453&gt;=3.5,"A-",IF('Data Source'!AD453&gt;=3,"B",IF('Data Source'!AD453&gt;=2,"C",IF('Data Source'!AD453&gt;=1,"D","F")))))),"")</f>
        <v/>
      </c>
      <c r="M453" s="3">
        <f>IF(AND('Data Source'!B453&lt;&gt;"",'Data Source'!S453="A+"),IF('Data Source'!AE453&gt;=5,"A+",IF('Data Source'!AE453&gt;=4,"A",IF('Data Source'!AE453&gt;=3.5,"A-",IF('Data Source'!AE453&gt;=3,"B",IF('Data Source'!AE453&gt;=2,"C",IF('Data Source'!AE453&gt;=1,"D","F")))))),"")</f>
        <v/>
      </c>
      <c r="N453" s="3">
        <f>IF(AND('Data Source'!B453&lt;&gt;"",'Data Source'!S453="A+"),IF('Data Source'!AF453&gt;=5,"A+",IF('Data Source'!AF453&gt;=4,"A",IF('Data Source'!AF453&gt;=3.5,"A-",IF('Data Source'!AF453&gt;=3,"B",IF('Data Source'!AF453&gt;=2,"C",IF('Data Source'!AF453&gt;=1,"D","F")))))),"")</f>
        <v/>
      </c>
      <c r="O453" s="3">
        <f>IF(AND('Data Source'!B453&lt;&gt;"",'Data Source'!S453="A+"),IF('Data Source'!AG453&gt;=5,"A+",IF('Data Source'!AG453&gt;=4,"A",IF('Data Source'!AG453&gt;=3.5,"A-",IF('Data Source'!AG453&gt;=3,"B",IF('Data Source'!AG453&gt;=2,"C",IF('Data Source'!AG453&gt;=1,"D","F")))))),"")</f>
        <v/>
      </c>
      <c r="P453" s="5">
        <f>IF(AND('Data Source'!B453&lt;&gt;"",'Data Source'!S453="A+"),'Data Source'!R453,"")</f>
        <v/>
      </c>
      <c r="Q453" s="3">
        <f>IF(AND('Data Source'!B453&lt;&gt;"",'Data Source'!S453="A+"),'Data Source'!S453,"")</f>
        <v/>
      </c>
    </row>
    <row r="454">
      <c r="A454" s="3">
        <f>IF(AND('Data Source'!B454&lt;&gt;"",'Data Source'!S454="A+"),COUNTIF('Data Source'!$S$3:S454,"A+"),"")</f>
        <v/>
      </c>
      <c r="B454">
        <f>IF(AND('Data Source'!B454&lt;&gt;"",'Data Source'!S454="A+"),'Data Source'!B454,"")</f>
        <v/>
      </c>
      <c r="C454" s="3">
        <f>IF(AND('Data Source'!B454&lt;&gt;"",'Data Source'!S454="A+"),IF('Data Source'!U454&gt;=5,"A+",IF('Data Source'!U454&gt;=4,"A",IF('Data Source'!U454&gt;=3.5,"A-",IF('Data Source'!U454&gt;=3,"B",IF('Data Source'!U454&gt;=2,"C",IF('Data Source'!U454&gt;=1,"D","F")))))),"")</f>
        <v/>
      </c>
      <c r="D454" s="3">
        <f>IF(AND('Data Source'!B454&lt;&gt;"",'Data Source'!S454="A+"),IF('Data Source'!V454&gt;=5,"A+",IF('Data Source'!V454&gt;=4,"A",IF('Data Source'!V454&gt;=3.5,"A-",IF('Data Source'!V454&gt;=3,"B",IF('Data Source'!V454&gt;=2,"C",IF('Data Source'!V454&gt;=1,"D","F")))))),"")</f>
        <v/>
      </c>
      <c r="E454" s="3">
        <f>IF(AND('Data Source'!B454&lt;&gt;"",'Data Source'!S454="A+"),IF('Data Source'!W454&gt;=5,"A+",IF('Data Source'!W454&gt;=4,"A",IF('Data Source'!W454&gt;=3.5,"A-",IF('Data Source'!W454&gt;=3,"B",IF('Data Source'!W454&gt;=2,"C",IF('Data Source'!W454&gt;=1,"D","F")))))),"")</f>
        <v/>
      </c>
      <c r="F454" s="3">
        <f>IF(AND('Data Source'!B454&lt;&gt;"",'Data Source'!S454="A+"),IF('Data Source'!X454&gt;=5,"A+",IF('Data Source'!X454&gt;=4,"A",IF('Data Source'!X454&gt;=3.5,"A-",IF('Data Source'!X454&gt;=3,"B",IF('Data Source'!X454&gt;=2,"C",IF('Data Source'!X454&gt;=1,"D","F")))))),"")</f>
        <v/>
      </c>
      <c r="G454" s="3">
        <f>IF(AND('Data Source'!B454&lt;&gt;"",'Data Source'!S454="A+"),IF('Data Source'!Y454&gt;=5,"A+",IF('Data Source'!Y454&gt;=4,"A",IF('Data Source'!Y454&gt;=3.5,"A-",IF('Data Source'!Y454&gt;=3,"B",IF('Data Source'!Y454&gt;=2,"C",IF('Data Source'!Y454&gt;=1,"D","F")))))),"")</f>
        <v/>
      </c>
      <c r="H454" s="3">
        <f>IF(AND('Data Source'!B454&lt;&gt;"",'Data Source'!S454="A+"),IF('Data Source'!Z454&gt;=5,"A+",IF('Data Source'!Z454&gt;=4,"A",IF('Data Source'!Z454&gt;=3.5,"A-",IF('Data Source'!Z454&gt;=3,"B",IF('Data Source'!Z454&gt;=2,"C",IF('Data Source'!Z454&gt;=1,"D","F")))))),"")</f>
        <v/>
      </c>
      <c r="I454" s="3">
        <f>IF(AND('Data Source'!B454&lt;&gt;"",'Data Source'!S454="A+"),IF('Data Source'!AA454&gt;=5,"A+",IF('Data Source'!AA454&gt;=4,"A",IF('Data Source'!AA454&gt;=3.5,"A-",IF('Data Source'!AA454&gt;=3,"B",IF('Data Source'!AA454&gt;=2,"C",IF('Data Source'!AA454&gt;=1,"D","F")))))),"")</f>
        <v/>
      </c>
      <c r="J454" s="3">
        <f>IF(AND('Data Source'!B454&lt;&gt;"",'Data Source'!S454="A+"),IF('Data Source'!AB454&gt;=5,"A+",IF('Data Source'!AB454&gt;=4,"A",IF('Data Source'!AB454&gt;=3.5,"A-",IF('Data Source'!AB454&gt;=3,"B",IF('Data Source'!AB454&gt;=2,"C",IF('Data Source'!AB454&gt;=1,"D","F")))))),"")</f>
        <v/>
      </c>
      <c r="K454" s="3">
        <f>IF(AND('Data Source'!B454&lt;&gt;"",'Data Source'!S454="A+"),IF('Data Source'!AC454&gt;=5,"A+",IF('Data Source'!AC454&gt;=4,"A",IF('Data Source'!AC454&gt;=3.5,"A-",IF('Data Source'!AC454&gt;=3,"B",IF('Data Source'!AC454&gt;=2,"C",IF('Data Source'!AC454&gt;=1,"D","F")))))),"")</f>
        <v/>
      </c>
      <c r="L454" s="3">
        <f>IF(AND('Data Source'!B454&lt;&gt;"",'Data Source'!S454="A+"),IF('Data Source'!AD454&gt;=5,"A+",IF('Data Source'!AD454&gt;=4,"A",IF('Data Source'!AD454&gt;=3.5,"A-",IF('Data Source'!AD454&gt;=3,"B",IF('Data Source'!AD454&gt;=2,"C",IF('Data Source'!AD454&gt;=1,"D","F")))))),"")</f>
        <v/>
      </c>
      <c r="M454" s="3">
        <f>IF(AND('Data Source'!B454&lt;&gt;"",'Data Source'!S454="A+"),IF('Data Source'!AE454&gt;=5,"A+",IF('Data Source'!AE454&gt;=4,"A",IF('Data Source'!AE454&gt;=3.5,"A-",IF('Data Source'!AE454&gt;=3,"B",IF('Data Source'!AE454&gt;=2,"C",IF('Data Source'!AE454&gt;=1,"D","F")))))),"")</f>
        <v/>
      </c>
      <c r="N454" s="3">
        <f>IF(AND('Data Source'!B454&lt;&gt;"",'Data Source'!S454="A+"),IF('Data Source'!AF454&gt;=5,"A+",IF('Data Source'!AF454&gt;=4,"A",IF('Data Source'!AF454&gt;=3.5,"A-",IF('Data Source'!AF454&gt;=3,"B",IF('Data Source'!AF454&gt;=2,"C",IF('Data Source'!AF454&gt;=1,"D","F")))))),"")</f>
        <v/>
      </c>
      <c r="O454" s="3">
        <f>IF(AND('Data Source'!B454&lt;&gt;"",'Data Source'!S454="A+"),IF('Data Source'!AG454&gt;=5,"A+",IF('Data Source'!AG454&gt;=4,"A",IF('Data Source'!AG454&gt;=3.5,"A-",IF('Data Source'!AG454&gt;=3,"B",IF('Data Source'!AG454&gt;=2,"C",IF('Data Source'!AG454&gt;=1,"D","F")))))),"")</f>
        <v/>
      </c>
      <c r="P454" s="5">
        <f>IF(AND('Data Source'!B454&lt;&gt;"",'Data Source'!S454="A+"),'Data Source'!R454,"")</f>
        <v/>
      </c>
      <c r="Q454" s="3">
        <f>IF(AND('Data Source'!B454&lt;&gt;"",'Data Source'!S454="A+"),'Data Source'!S454,"")</f>
        <v/>
      </c>
    </row>
    <row r="455">
      <c r="A455" s="3">
        <f>IF(AND('Data Source'!B455&lt;&gt;"",'Data Source'!S455="A+"),COUNTIF('Data Source'!$S$3:S455,"A+"),"")</f>
        <v/>
      </c>
      <c r="B455">
        <f>IF(AND('Data Source'!B455&lt;&gt;"",'Data Source'!S455="A+"),'Data Source'!B455,"")</f>
        <v/>
      </c>
      <c r="C455" s="3">
        <f>IF(AND('Data Source'!B455&lt;&gt;"",'Data Source'!S455="A+"),IF('Data Source'!U455&gt;=5,"A+",IF('Data Source'!U455&gt;=4,"A",IF('Data Source'!U455&gt;=3.5,"A-",IF('Data Source'!U455&gt;=3,"B",IF('Data Source'!U455&gt;=2,"C",IF('Data Source'!U455&gt;=1,"D","F")))))),"")</f>
        <v/>
      </c>
      <c r="D455" s="3">
        <f>IF(AND('Data Source'!B455&lt;&gt;"",'Data Source'!S455="A+"),IF('Data Source'!V455&gt;=5,"A+",IF('Data Source'!V455&gt;=4,"A",IF('Data Source'!V455&gt;=3.5,"A-",IF('Data Source'!V455&gt;=3,"B",IF('Data Source'!V455&gt;=2,"C",IF('Data Source'!V455&gt;=1,"D","F")))))),"")</f>
        <v/>
      </c>
      <c r="E455" s="3">
        <f>IF(AND('Data Source'!B455&lt;&gt;"",'Data Source'!S455="A+"),IF('Data Source'!W455&gt;=5,"A+",IF('Data Source'!W455&gt;=4,"A",IF('Data Source'!W455&gt;=3.5,"A-",IF('Data Source'!W455&gt;=3,"B",IF('Data Source'!W455&gt;=2,"C",IF('Data Source'!W455&gt;=1,"D","F")))))),"")</f>
        <v/>
      </c>
      <c r="F455" s="3">
        <f>IF(AND('Data Source'!B455&lt;&gt;"",'Data Source'!S455="A+"),IF('Data Source'!X455&gt;=5,"A+",IF('Data Source'!X455&gt;=4,"A",IF('Data Source'!X455&gt;=3.5,"A-",IF('Data Source'!X455&gt;=3,"B",IF('Data Source'!X455&gt;=2,"C",IF('Data Source'!X455&gt;=1,"D","F")))))),"")</f>
        <v/>
      </c>
      <c r="G455" s="3">
        <f>IF(AND('Data Source'!B455&lt;&gt;"",'Data Source'!S455="A+"),IF('Data Source'!Y455&gt;=5,"A+",IF('Data Source'!Y455&gt;=4,"A",IF('Data Source'!Y455&gt;=3.5,"A-",IF('Data Source'!Y455&gt;=3,"B",IF('Data Source'!Y455&gt;=2,"C",IF('Data Source'!Y455&gt;=1,"D","F")))))),"")</f>
        <v/>
      </c>
      <c r="H455" s="3">
        <f>IF(AND('Data Source'!B455&lt;&gt;"",'Data Source'!S455="A+"),IF('Data Source'!Z455&gt;=5,"A+",IF('Data Source'!Z455&gt;=4,"A",IF('Data Source'!Z455&gt;=3.5,"A-",IF('Data Source'!Z455&gt;=3,"B",IF('Data Source'!Z455&gt;=2,"C",IF('Data Source'!Z455&gt;=1,"D","F")))))),"")</f>
        <v/>
      </c>
      <c r="I455" s="3">
        <f>IF(AND('Data Source'!B455&lt;&gt;"",'Data Source'!S455="A+"),IF('Data Source'!AA455&gt;=5,"A+",IF('Data Source'!AA455&gt;=4,"A",IF('Data Source'!AA455&gt;=3.5,"A-",IF('Data Source'!AA455&gt;=3,"B",IF('Data Source'!AA455&gt;=2,"C",IF('Data Source'!AA455&gt;=1,"D","F")))))),"")</f>
        <v/>
      </c>
      <c r="J455" s="3">
        <f>IF(AND('Data Source'!B455&lt;&gt;"",'Data Source'!S455="A+"),IF('Data Source'!AB455&gt;=5,"A+",IF('Data Source'!AB455&gt;=4,"A",IF('Data Source'!AB455&gt;=3.5,"A-",IF('Data Source'!AB455&gt;=3,"B",IF('Data Source'!AB455&gt;=2,"C",IF('Data Source'!AB455&gt;=1,"D","F")))))),"")</f>
        <v/>
      </c>
      <c r="K455" s="3">
        <f>IF(AND('Data Source'!B455&lt;&gt;"",'Data Source'!S455="A+"),IF('Data Source'!AC455&gt;=5,"A+",IF('Data Source'!AC455&gt;=4,"A",IF('Data Source'!AC455&gt;=3.5,"A-",IF('Data Source'!AC455&gt;=3,"B",IF('Data Source'!AC455&gt;=2,"C",IF('Data Source'!AC455&gt;=1,"D","F")))))),"")</f>
        <v/>
      </c>
      <c r="L455" s="3">
        <f>IF(AND('Data Source'!B455&lt;&gt;"",'Data Source'!S455="A+"),IF('Data Source'!AD455&gt;=5,"A+",IF('Data Source'!AD455&gt;=4,"A",IF('Data Source'!AD455&gt;=3.5,"A-",IF('Data Source'!AD455&gt;=3,"B",IF('Data Source'!AD455&gt;=2,"C",IF('Data Source'!AD455&gt;=1,"D","F")))))),"")</f>
        <v/>
      </c>
      <c r="M455" s="3">
        <f>IF(AND('Data Source'!B455&lt;&gt;"",'Data Source'!S455="A+"),IF('Data Source'!AE455&gt;=5,"A+",IF('Data Source'!AE455&gt;=4,"A",IF('Data Source'!AE455&gt;=3.5,"A-",IF('Data Source'!AE455&gt;=3,"B",IF('Data Source'!AE455&gt;=2,"C",IF('Data Source'!AE455&gt;=1,"D","F")))))),"")</f>
        <v/>
      </c>
      <c r="N455" s="3">
        <f>IF(AND('Data Source'!B455&lt;&gt;"",'Data Source'!S455="A+"),IF('Data Source'!AF455&gt;=5,"A+",IF('Data Source'!AF455&gt;=4,"A",IF('Data Source'!AF455&gt;=3.5,"A-",IF('Data Source'!AF455&gt;=3,"B",IF('Data Source'!AF455&gt;=2,"C",IF('Data Source'!AF455&gt;=1,"D","F")))))),"")</f>
        <v/>
      </c>
      <c r="O455" s="3">
        <f>IF(AND('Data Source'!B455&lt;&gt;"",'Data Source'!S455="A+"),IF('Data Source'!AG455&gt;=5,"A+",IF('Data Source'!AG455&gt;=4,"A",IF('Data Source'!AG455&gt;=3.5,"A-",IF('Data Source'!AG455&gt;=3,"B",IF('Data Source'!AG455&gt;=2,"C",IF('Data Source'!AG455&gt;=1,"D","F")))))),"")</f>
        <v/>
      </c>
      <c r="P455" s="5">
        <f>IF(AND('Data Source'!B455&lt;&gt;"",'Data Source'!S455="A+"),'Data Source'!R455,"")</f>
        <v/>
      </c>
      <c r="Q455" s="3">
        <f>IF(AND('Data Source'!B455&lt;&gt;"",'Data Source'!S455="A+"),'Data Source'!S455,"")</f>
        <v/>
      </c>
    </row>
    <row r="456">
      <c r="A456" s="3">
        <f>IF(AND('Data Source'!B456&lt;&gt;"",'Data Source'!S456="A+"),COUNTIF('Data Source'!$S$3:S456,"A+"),"")</f>
        <v/>
      </c>
      <c r="B456">
        <f>IF(AND('Data Source'!B456&lt;&gt;"",'Data Source'!S456="A+"),'Data Source'!B456,"")</f>
        <v/>
      </c>
      <c r="C456" s="3">
        <f>IF(AND('Data Source'!B456&lt;&gt;"",'Data Source'!S456="A+"),IF('Data Source'!U456&gt;=5,"A+",IF('Data Source'!U456&gt;=4,"A",IF('Data Source'!U456&gt;=3.5,"A-",IF('Data Source'!U456&gt;=3,"B",IF('Data Source'!U456&gt;=2,"C",IF('Data Source'!U456&gt;=1,"D","F")))))),"")</f>
        <v/>
      </c>
      <c r="D456" s="3">
        <f>IF(AND('Data Source'!B456&lt;&gt;"",'Data Source'!S456="A+"),IF('Data Source'!V456&gt;=5,"A+",IF('Data Source'!V456&gt;=4,"A",IF('Data Source'!V456&gt;=3.5,"A-",IF('Data Source'!V456&gt;=3,"B",IF('Data Source'!V456&gt;=2,"C",IF('Data Source'!V456&gt;=1,"D","F")))))),"")</f>
        <v/>
      </c>
      <c r="E456" s="3">
        <f>IF(AND('Data Source'!B456&lt;&gt;"",'Data Source'!S456="A+"),IF('Data Source'!W456&gt;=5,"A+",IF('Data Source'!W456&gt;=4,"A",IF('Data Source'!W456&gt;=3.5,"A-",IF('Data Source'!W456&gt;=3,"B",IF('Data Source'!W456&gt;=2,"C",IF('Data Source'!W456&gt;=1,"D","F")))))),"")</f>
        <v/>
      </c>
      <c r="F456" s="3">
        <f>IF(AND('Data Source'!B456&lt;&gt;"",'Data Source'!S456="A+"),IF('Data Source'!X456&gt;=5,"A+",IF('Data Source'!X456&gt;=4,"A",IF('Data Source'!X456&gt;=3.5,"A-",IF('Data Source'!X456&gt;=3,"B",IF('Data Source'!X456&gt;=2,"C",IF('Data Source'!X456&gt;=1,"D","F")))))),"")</f>
        <v/>
      </c>
      <c r="G456" s="3">
        <f>IF(AND('Data Source'!B456&lt;&gt;"",'Data Source'!S456="A+"),IF('Data Source'!Y456&gt;=5,"A+",IF('Data Source'!Y456&gt;=4,"A",IF('Data Source'!Y456&gt;=3.5,"A-",IF('Data Source'!Y456&gt;=3,"B",IF('Data Source'!Y456&gt;=2,"C",IF('Data Source'!Y456&gt;=1,"D","F")))))),"")</f>
        <v/>
      </c>
      <c r="H456" s="3">
        <f>IF(AND('Data Source'!B456&lt;&gt;"",'Data Source'!S456="A+"),IF('Data Source'!Z456&gt;=5,"A+",IF('Data Source'!Z456&gt;=4,"A",IF('Data Source'!Z456&gt;=3.5,"A-",IF('Data Source'!Z456&gt;=3,"B",IF('Data Source'!Z456&gt;=2,"C",IF('Data Source'!Z456&gt;=1,"D","F")))))),"")</f>
        <v/>
      </c>
      <c r="I456" s="3">
        <f>IF(AND('Data Source'!B456&lt;&gt;"",'Data Source'!S456="A+"),IF('Data Source'!AA456&gt;=5,"A+",IF('Data Source'!AA456&gt;=4,"A",IF('Data Source'!AA456&gt;=3.5,"A-",IF('Data Source'!AA456&gt;=3,"B",IF('Data Source'!AA456&gt;=2,"C",IF('Data Source'!AA456&gt;=1,"D","F")))))),"")</f>
        <v/>
      </c>
      <c r="J456" s="3">
        <f>IF(AND('Data Source'!B456&lt;&gt;"",'Data Source'!S456="A+"),IF('Data Source'!AB456&gt;=5,"A+",IF('Data Source'!AB456&gt;=4,"A",IF('Data Source'!AB456&gt;=3.5,"A-",IF('Data Source'!AB456&gt;=3,"B",IF('Data Source'!AB456&gt;=2,"C",IF('Data Source'!AB456&gt;=1,"D","F")))))),"")</f>
        <v/>
      </c>
      <c r="K456" s="3">
        <f>IF(AND('Data Source'!B456&lt;&gt;"",'Data Source'!S456="A+"),IF('Data Source'!AC456&gt;=5,"A+",IF('Data Source'!AC456&gt;=4,"A",IF('Data Source'!AC456&gt;=3.5,"A-",IF('Data Source'!AC456&gt;=3,"B",IF('Data Source'!AC456&gt;=2,"C",IF('Data Source'!AC456&gt;=1,"D","F")))))),"")</f>
        <v/>
      </c>
      <c r="L456" s="3">
        <f>IF(AND('Data Source'!B456&lt;&gt;"",'Data Source'!S456="A+"),IF('Data Source'!AD456&gt;=5,"A+",IF('Data Source'!AD456&gt;=4,"A",IF('Data Source'!AD456&gt;=3.5,"A-",IF('Data Source'!AD456&gt;=3,"B",IF('Data Source'!AD456&gt;=2,"C",IF('Data Source'!AD456&gt;=1,"D","F")))))),"")</f>
        <v/>
      </c>
      <c r="M456" s="3">
        <f>IF(AND('Data Source'!B456&lt;&gt;"",'Data Source'!S456="A+"),IF('Data Source'!AE456&gt;=5,"A+",IF('Data Source'!AE456&gt;=4,"A",IF('Data Source'!AE456&gt;=3.5,"A-",IF('Data Source'!AE456&gt;=3,"B",IF('Data Source'!AE456&gt;=2,"C",IF('Data Source'!AE456&gt;=1,"D","F")))))),"")</f>
        <v/>
      </c>
      <c r="N456" s="3">
        <f>IF(AND('Data Source'!B456&lt;&gt;"",'Data Source'!S456="A+"),IF('Data Source'!AF456&gt;=5,"A+",IF('Data Source'!AF456&gt;=4,"A",IF('Data Source'!AF456&gt;=3.5,"A-",IF('Data Source'!AF456&gt;=3,"B",IF('Data Source'!AF456&gt;=2,"C",IF('Data Source'!AF456&gt;=1,"D","F")))))),"")</f>
        <v/>
      </c>
      <c r="O456" s="3">
        <f>IF(AND('Data Source'!B456&lt;&gt;"",'Data Source'!S456="A+"),IF('Data Source'!AG456&gt;=5,"A+",IF('Data Source'!AG456&gt;=4,"A",IF('Data Source'!AG456&gt;=3.5,"A-",IF('Data Source'!AG456&gt;=3,"B",IF('Data Source'!AG456&gt;=2,"C",IF('Data Source'!AG456&gt;=1,"D","F")))))),"")</f>
        <v/>
      </c>
      <c r="P456" s="5">
        <f>IF(AND('Data Source'!B456&lt;&gt;"",'Data Source'!S456="A+"),'Data Source'!R456,"")</f>
        <v/>
      </c>
      <c r="Q456" s="3">
        <f>IF(AND('Data Source'!B456&lt;&gt;"",'Data Source'!S456="A+"),'Data Source'!S456,"")</f>
        <v/>
      </c>
    </row>
    <row r="457">
      <c r="A457" s="3">
        <f>IF(AND('Data Source'!B457&lt;&gt;"",'Data Source'!S457="A+"),COUNTIF('Data Source'!$S$3:S457,"A+"),"")</f>
        <v/>
      </c>
      <c r="B457">
        <f>IF(AND('Data Source'!B457&lt;&gt;"",'Data Source'!S457="A+"),'Data Source'!B457,"")</f>
        <v/>
      </c>
      <c r="C457" s="3">
        <f>IF(AND('Data Source'!B457&lt;&gt;"",'Data Source'!S457="A+"),IF('Data Source'!U457&gt;=5,"A+",IF('Data Source'!U457&gt;=4,"A",IF('Data Source'!U457&gt;=3.5,"A-",IF('Data Source'!U457&gt;=3,"B",IF('Data Source'!U457&gt;=2,"C",IF('Data Source'!U457&gt;=1,"D","F")))))),"")</f>
        <v/>
      </c>
      <c r="D457" s="3">
        <f>IF(AND('Data Source'!B457&lt;&gt;"",'Data Source'!S457="A+"),IF('Data Source'!V457&gt;=5,"A+",IF('Data Source'!V457&gt;=4,"A",IF('Data Source'!V457&gt;=3.5,"A-",IF('Data Source'!V457&gt;=3,"B",IF('Data Source'!V457&gt;=2,"C",IF('Data Source'!V457&gt;=1,"D","F")))))),"")</f>
        <v/>
      </c>
      <c r="E457" s="3">
        <f>IF(AND('Data Source'!B457&lt;&gt;"",'Data Source'!S457="A+"),IF('Data Source'!W457&gt;=5,"A+",IF('Data Source'!W457&gt;=4,"A",IF('Data Source'!W457&gt;=3.5,"A-",IF('Data Source'!W457&gt;=3,"B",IF('Data Source'!W457&gt;=2,"C",IF('Data Source'!W457&gt;=1,"D","F")))))),"")</f>
        <v/>
      </c>
      <c r="F457" s="3">
        <f>IF(AND('Data Source'!B457&lt;&gt;"",'Data Source'!S457="A+"),IF('Data Source'!X457&gt;=5,"A+",IF('Data Source'!X457&gt;=4,"A",IF('Data Source'!X457&gt;=3.5,"A-",IF('Data Source'!X457&gt;=3,"B",IF('Data Source'!X457&gt;=2,"C",IF('Data Source'!X457&gt;=1,"D","F")))))),"")</f>
        <v/>
      </c>
      <c r="G457" s="3">
        <f>IF(AND('Data Source'!B457&lt;&gt;"",'Data Source'!S457="A+"),IF('Data Source'!Y457&gt;=5,"A+",IF('Data Source'!Y457&gt;=4,"A",IF('Data Source'!Y457&gt;=3.5,"A-",IF('Data Source'!Y457&gt;=3,"B",IF('Data Source'!Y457&gt;=2,"C",IF('Data Source'!Y457&gt;=1,"D","F")))))),"")</f>
        <v/>
      </c>
      <c r="H457" s="3">
        <f>IF(AND('Data Source'!B457&lt;&gt;"",'Data Source'!S457="A+"),IF('Data Source'!Z457&gt;=5,"A+",IF('Data Source'!Z457&gt;=4,"A",IF('Data Source'!Z457&gt;=3.5,"A-",IF('Data Source'!Z457&gt;=3,"B",IF('Data Source'!Z457&gt;=2,"C",IF('Data Source'!Z457&gt;=1,"D","F")))))),"")</f>
        <v/>
      </c>
      <c r="I457" s="3">
        <f>IF(AND('Data Source'!B457&lt;&gt;"",'Data Source'!S457="A+"),IF('Data Source'!AA457&gt;=5,"A+",IF('Data Source'!AA457&gt;=4,"A",IF('Data Source'!AA457&gt;=3.5,"A-",IF('Data Source'!AA457&gt;=3,"B",IF('Data Source'!AA457&gt;=2,"C",IF('Data Source'!AA457&gt;=1,"D","F")))))),"")</f>
        <v/>
      </c>
      <c r="J457" s="3">
        <f>IF(AND('Data Source'!B457&lt;&gt;"",'Data Source'!S457="A+"),IF('Data Source'!AB457&gt;=5,"A+",IF('Data Source'!AB457&gt;=4,"A",IF('Data Source'!AB457&gt;=3.5,"A-",IF('Data Source'!AB457&gt;=3,"B",IF('Data Source'!AB457&gt;=2,"C",IF('Data Source'!AB457&gt;=1,"D","F")))))),"")</f>
        <v/>
      </c>
      <c r="K457" s="3">
        <f>IF(AND('Data Source'!B457&lt;&gt;"",'Data Source'!S457="A+"),IF('Data Source'!AC457&gt;=5,"A+",IF('Data Source'!AC457&gt;=4,"A",IF('Data Source'!AC457&gt;=3.5,"A-",IF('Data Source'!AC457&gt;=3,"B",IF('Data Source'!AC457&gt;=2,"C",IF('Data Source'!AC457&gt;=1,"D","F")))))),"")</f>
        <v/>
      </c>
      <c r="L457" s="3">
        <f>IF(AND('Data Source'!B457&lt;&gt;"",'Data Source'!S457="A+"),IF('Data Source'!AD457&gt;=5,"A+",IF('Data Source'!AD457&gt;=4,"A",IF('Data Source'!AD457&gt;=3.5,"A-",IF('Data Source'!AD457&gt;=3,"B",IF('Data Source'!AD457&gt;=2,"C",IF('Data Source'!AD457&gt;=1,"D","F")))))),"")</f>
        <v/>
      </c>
      <c r="M457" s="3">
        <f>IF(AND('Data Source'!B457&lt;&gt;"",'Data Source'!S457="A+"),IF('Data Source'!AE457&gt;=5,"A+",IF('Data Source'!AE457&gt;=4,"A",IF('Data Source'!AE457&gt;=3.5,"A-",IF('Data Source'!AE457&gt;=3,"B",IF('Data Source'!AE457&gt;=2,"C",IF('Data Source'!AE457&gt;=1,"D","F")))))),"")</f>
        <v/>
      </c>
      <c r="N457" s="3">
        <f>IF(AND('Data Source'!B457&lt;&gt;"",'Data Source'!S457="A+"),IF('Data Source'!AF457&gt;=5,"A+",IF('Data Source'!AF457&gt;=4,"A",IF('Data Source'!AF457&gt;=3.5,"A-",IF('Data Source'!AF457&gt;=3,"B",IF('Data Source'!AF457&gt;=2,"C",IF('Data Source'!AF457&gt;=1,"D","F")))))),"")</f>
        <v/>
      </c>
      <c r="O457" s="3">
        <f>IF(AND('Data Source'!B457&lt;&gt;"",'Data Source'!S457="A+"),IF('Data Source'!AG457&gt;=5,"A+",IF('Data Source'!AG457&gt;=4,"A",IF('Data Source'!AG457&gt;=3.5,"A-",IF('Data Source'!AG457&gt;=3,"B",IF('Data Source'!AG457&gt;=2,"C",IF('Data Source'!AG457&gt;=1,"D","F")))))),"")</f>
        <v/>
      </c>
      <c r="P457" s="5">
        <f>IF(AND('Data Source'!B457&lt;&gt;"",'Data Source'!S457="A+"),'Data Source'!R457,"")</f>
        <v/>
      </c>
      <c r="Q457" s="3">
        <f>IF(AND('Data Source'!B457&lt;&gt;"",'Data Source'!S457="A+"),'Data Source'!S457,"")</f>
        <v/>
      </c>
    </row>
    <row r="458">
      <c r="A458" s="3">
        <f>IF(AND('Data Source'!B458&lt;&gt;"",'Data Source'!S458="A+"),COUNTIF('Data Source'!$S$3:S458,"A+"),"")</f>
        <v/>
      </c>
      <c r="B458">
        <f>IF(AND('Data Source'!B458&lt;&gt;"",'Data Source'!S458="A+"),'Data Source'!B458,"")</f>
        <v/>
      </c>
      <c r="C458" s="3">
        <f>IF(AND('Data Source'!B458&lt;&gt;"",'Data Source'!S458="A+"),IF('Data Source'!U458&gt;=5,"A+",IF('Data Source'!U458&gt;=4,"A",IF('Data Source'!U458&gt;=3.5,"A-",IF('Data Source'!U458&gt;=3,"B",IF('Data Source'!U458&gt;=2,"C",IF('Data Source'!U458&gt;=1,"D","F")))))),"")</f>
        <v/>
      </c>
      <c r="D458" s="3">
        <f>IF(AND('Data Source'!B458&lt;&gt;"",'Data Source'!S458="A+"),IF('Data Source'!V458&gt;=5,"A+",IF('Data Source'!V458&gt;=4,"A",IF('Data Source'!V458&gt;=3.5,"A-",IF('Data Source'!V458&gt;=3,"B",IF('Data Source'!V458&gt;=2,"C",IF('Data Source'!V458&gt;=1,"D","F")))))),"")</f>
        <v/>
      </c>
      <c r="E458" s="3">
        <f>IF(AND('Data Source'!B458&lt;&gt;"",'Data Source'!S458="A+"),IF('Data Source'!W458&gt;=5,"A+",IF('Data Source'!W458&gt;=4,"A",IF('Data Source'!W458&gt;=3.5,"A-",IF('Data Source'!W458&gt;=3,"B",IF('Data Source'!W458&gt;=2,"C",IF('Data Source'!W458&gt;=1,"D","F")))))),"")</f>
        <v/>
      </c>
      <c r="F458" s="3">
        <f>IF(AND('Data Source'!B458&lt;&gt;"",'Data Source'!S458="A+"),IF('Data Source'!X458&gt;=5,"A+",IF('Data Source'!X458&gt;=4,"A",IF('Data Source'!X458&gt;=3.5,"A-",IF('Data Source'!X458&gt;=3,"B",IF('Data Source'!X458&gt;=2,"C",IF('Data Source'!X458&gt;=1,"D","F")))))),"")</f>
        <v/>
      </c>
      <c r="G458" s="3">
        <f>IF(AND('Data Source'!B458&lt;&gt;"",'Data Source'!S458="A+"),IF('Data Source'!Y458&gt;=5,"A+",IF('Data Source'!Y458&gt;=4,"A",IF('Data Source'!Y458&gt;=3.5,"A-",IF('Data Source'!Y458&gt;=3,"B",IF('Data Source'!Y458&gt;=2,"C",IF('Data Source'!Y458&gt;=1,"D","F")))))),"")</f>
        <v/>
      </c>
      <c r="H458" s="3">
        <f>IF(AND('Data Source'!B458&lt;&gt;"",'Data Source'!S458="A+"),IF('Data Source'!Z458&gt;=5,"A+",IF('Data Source'!Z458&gt;=4,"A",IF('Data Source'!Z458&gt;=3.5,"A-",IF('Data Source'!Z458&gt;=3,"B",IF('Data Source'!Z458&gt;=2,"C",IF('Data Source'!Z458&gt;=1,"D","F")))))),"")</f>
        <v/>
      </c>
      <c r="I458" s="3">
        <f>IF(AND('Data Source'!B458&lt;&gt;"",'Data Source'!S458="A+"),IF('Data Source'!AA458&gt;=5,"A+",IF('Data Source'!AA458&gt;=4,"A",IF('Data Source'!AA458&gt;=3.5,"A-",IF('Data Source'!AA458&gt;=3,"B",IF('Data Source'!AA458&gt;=2,"C",IF('Data Source'!AA458&gt;=1,"D","F")))))),"")</f>
        <v/>
      </c>
      <c r="J458" s="3">
        <f>IF(AND('Data Source'!B458&lt;&gt;"",'Data Source'!S458="A+"),IF('Data Source'!AB458&gt;=5,"A+",IF('Data Source'!AB458&gt;=4,"A",IF('Data Source'!AB458&gt;=3.5,"A-",IF('Data Source'!AB458&gt;=3,"B",IF('Data Source'!AB458&gt;=2,"C",IF('Data Source'!AB458&gt;=1,"D","F")))))),"")</f>
        <v/>
      </c>
      <c r="K458" s="3">
        <f>IF(AND('Data Source'!B458&lt;&gt;"",'Data Source'!S458="A+"),IF('Data Source'!AC458&gt;=5,"A+",IF('Data Source'!AC458&gt;=4,"A",IF('Data Source'!AC458&gt;=3.5,"A-",IF('Data Source'!AC458&gt;=3,"B",IF('Data Source'!AC458&gt;=2,"C",IF('Data Source'!AC458&gt;=1,"D","F")))))),"")</f>
        <v/>
      </c>
      <c r="L458" s="3">
        <f>IF(AND('Data Source'!B458&lt;&gt;"",'Data Source'!S458="A+"),IF('Data Source'!AD458&gt;=5,"A+",IF('Data Source'!AD458&gt;=4,"A",IF('Data Source'!AD458&gt;=3.5,"A-",IF('Data Source'!AD458&gt;=3,"B",IF('Data Source'!AD458&gt;=2,"C",IF('Data Source'!AD458&gt;=1,"D","F")))))),"")</f>
        <v/>
      </c>
      <c r="M458" s="3">
        <f>IF(AND('Data Source'!B458&lt;&gt;"",'Data Source'!S458="A+"),IF('Data Source'!AE458&gt;=5,"A+",IF('Data Source'!AE458&gt;=4,"A",IF('Data Source'!AE458&gt;=3.5,"A-",IF('Data Source'!AE458&gt;=3,"B",IF('Data Source'!AE458&gt;=2,"C",IF('Data Source'!AE458&gt;=1,"D","F")))))),"")</f>
        <v/>
      </c>
      <c r="N458" s="3">
        <f>IF(AND('Data Source'!B458&lt;&gt;"",'Data Source'!S458="A+"),IF('Data Source'!AF458&gt;=5,"A+",IF('Data Source'!AF458&gt;=4,"A",IF('Data Source'!AF458&gt;=3.5,"A-",IF('Data Source'!AF458&gt;=3,"B",IF('Data Source'!AF458&gt;=2,"C",IF('Data Source'!AF458&gt;=1,"D","F")))))),"")</f>
        <v/>
      </c>
      <c r="O458" s="3">
        <f>IF(AND('Data Source'!B458&lt;&gt;"",'Data Source'!S458="A+"),IF('Data Source'!AG458&gt;=5,"A+",IF('Data Source'!AG458&gt;=4,"A",IF('Data Source'!AG458&gt;=3.5,"A-",IF('Data Source'!AG458&gt;=3,"B",IF('Data Source'!AG458&gt;=2,"C",IF('Data Source'!AG458&gt;=1,"D","F")))))),"")</f>
        <v/>
      </c>
      <c r="P458" s="5">
        <f>IF(AND('Data Source'!B458&lt;&gt;"",'Data Source'!S458="A+"),'Data Source'!R458,"")</f>
        <v/>
      </c>
      <c r="Q458" s="3">
        <f>IF(AND('Data Source'!B458&lt;&gt;"",'Data Source'!S458="A+"),'Data Source'!S458,"")</f>
        <v/>
      </c>
    </row>
    <row r="459">
      <c r="A459" s="3">
        <f>IF(AND('Data Source'!B459&lt;&gt;"",'Data Source'!S459="A+"),COUNTIF('Data Source'!$S$3:S459,"A+"),"")</f>
        <v/>
      </c>
      <c r="B459">
        <f>IF(AND('Data Source'!B459&lt;&gt;"",'Data Source'!S459="A+"),'Data Source'!B459,"")</f>
        <v/>
      </c>
      <c r="C459" s="3">
        <f>IF(AND('Data Source'!B459&lt;&gt;"",'Data Source'!S459="A+"),IF('Data Source'!U459&gt;=5,"A+",IF('Data Source'!U459&gt;=4,"A",IF('Data Source'!U459&gt;=3.5,"A-",IF('Data Source'!U459&gt;=3,"B",IF('Data Source'!U459&gt;=2,"C",IF('Data Source'!U459&gt;=1,"D","F")))))),"")</f>
        <v/>
      </c>
      <c r="D459" s="3">
        <f>IF(AND('Data Source'!B459&lt;&gt;"",'Data Source'!S459="A+"),IF('Data Source'!V459&gt;=5,"A+",IF('Data Source'!V459&gt;=4,"A",IF('Data Source'!V459&gt;=3.5,"A-",IF('Data Source'!V459&gt;=3,"B",IF('Data Source'!V459&gt;=2,"C",IF('Data Source'!V459&gt;=1,"D","F")))))),"")</f>
        <v/>
      </c>
      <c r="E459" s="3">
        <f>IF(AND('Data Source'!B459&lt;&gt;"",'Data Source'!S459="A+"),IF('Data Source'!W459&gt;=5,"A+",IF('Data Source'!W459&gt;=4,"A",IF('Data Source'!W459&gt;=3.5,"A-",IF('Data Source'!W459&gt;=3,"B",IF('Data Source'!W459&gt;=2,"C",IF('Data Source'!W459&gt;=1,"D","F")))))),"")</f>
        <v/>
      </c>
      <c r="F459" s="3">
        <f>IF(AND('Data Source'!B459&lt;&gt;"",'Data Source'!S459="A+"),IF('Data Source'!X459&gt;=5,"A+",IF('Data Source'!X459&gt;=4,"A",IF('Data Source'!X459&gt;=3.5,"A-",IF('Data Source'!X459&gt;=3,"B",IF('Data Source'!X459&gt;=2,"C",IF('Data Source'!X459&gt;=1,"D","F")))))),"")</f>
        <v/>
      </c>
      <c r="G459" s="3">
        <f>IF(AND('Data Source'!B459&lt;&gt;"",'Data Source'!S459="A+"),IF('Data Source'!Y459&gt;=5,"A+",IF('Data Source'!Y459&gt;=4,"A",IF('Data Source'!Y459&gt;=3.5,"A-",IF('Data Source'!Y459&gt;=3,"B",IF('Data Source'!Y459&gt;=2,"C",IF('Data Source'!Y459&gt;=1,"D","F")))))),"")</f>
        <v/>
      </c>
      <c r="H459" s="3">
        <f>IF(AND('Data Source'!B459&lt;&gt;"",'Data Source'!S459="A+"),IF('Data Source'!Z459&gt;=5,"A+",IF('Data Source'!Z459&gt;=4,"A",IF('Data Source'!Z459&gt;=3.5,"A-",IF('Data Source'!Z459&gt;=3,"B",IF('Data Source'!Z459&gt;=2,"C",IF('Data Source'!Z459&gt;=1,"D","F")))))),"")</f>
        <v/>
      </c>
      <c r="I459" s="3">
        <f>IF(AND('Data Source'!B459&lt;&gt;"",'Data Source'!S459="A+"),IF('Data Source'!AA459&gt;=5,"A+",IF('Data Source'!AA459&gt;=4,"A",IF('Data Source'!AA459&gt;=3.5,"A-",IF('Data Source'!AA459&gt;=3,"B",IF('Data Source'!AA459&gt;=2,"C",IF('Data Source'!AA459&gt;=1,"D","F")))))),"")</f>
        <v/>
      </c>
      <c r="J459" s="3">
        <f>IF(AND('Data Source'!B459&lt;&gt;"",'Data Source'!S459="A+"),IF('Data Source'!AB459&gt;=5,"A+",IF('Data Source'!AB459&gt;=4,"A",IF('Data Source'!AB459&gt;=3.5,"A-",IF('Data Source'!AB459&gt;=3,"B",IF('Data Source'!AB459&gt;=2,"C",IF('Data Source'!AB459&gt;=1,"D","F")))))),"")</f>
        <v/>
      </c>
      <c r="K459" s="3">
        <f>IF(AND('Data Source'!B459&lt;&gt;"",'Data Source'!S459="A+"),IF('Data Source'!AC459&gt;=5,"A+",IF('Data Source'!AC459&gt;=4,"A",IF('Data Source'!AC459&gt;=3.5,"A-",IF('Data Source'!AC459&gt;=3,"B",IF('Data Source'!AC459&gt;=2,"C",IF('Data Source'!AC459&gt;=1,"D","F")))))),"")</f>
        <v/>
      </c>
      <c r="L459" s="3">
        <f>IF(AND('Data Source'!B459&lt;&gt;"",'Data Source'!S459="A+"),IF('Data Source'!AD459&gt;=5,"A+",IF('Data Source'!AD459&gt;=4,"A",IF('Data Source'!AD459&gt;=3.5,"A-",IF('Data Source'!AD459&gt;=3,"B",IF('Data Source'!AD459&gt;=2,"C",IF('Data Source'!AD459&gt;=1,"D","F")))))),"")</f>
        <v/>
      </c>
      <c r="M459" s="3">
        <f>IF(AND('Data Source'!B459&lt;&gt;"",'Data Source'!S459="A+"),IF('Data Source'!AE459&gt;=5,"A+",IF('Data Source'!AE459&gt;=4,"A",IF('Data Source'!AE459&gt;=3.5,"A-",IF('Data Source'!AE459&gt;=3,"B",IF('Data Source'!AE459&gt;=2,"C",IF('Data Source'!AE459&gt;=1,"D","F")))))),"")</f>
        <v/>
      </c>
      <c r="N459" s="3">
        <f>IF(AND('Data Source'!B459&lt;&gt;"",'Data Source'!S459="A+"),IF('Data Source'!AF459&gt;=5,"A+",IF('Data Source'!AF459&gt;=4,"A",IF('Data Source'!AF459&gt;=3.5,"A-",IF('Data Source'!AF459&gt;=3,"B",IF('Data Source'!AF459&gt;=2,"C",IF('Data Source'!AF459&gt;=1,"D","F")))))),"")</f>
        <v/>
      </c>
      <c r="O459" s="3">
        <f>IF(AND('Data Source'!B459&lt;&gt;"",'Data Source'!S459="A+"),IF('Data Source'!AG459&gt;=5,"A+",IF('Data Source'!AG459&gt;=4,"A",IF('Data Source'!AG459&gt;=3.5,"A-",IF('Data Source'!AG459&gt;=3,"B",IF('Data Source'!AG459&gt;=2,"C",IF('Data Source'!AG459&gt;=1,"D","F")))))),"")</f>
        <v/>
      </c>
      <c r="P459" s="5">
        <f>IF(AND('Data Source'!B459&lt;&gt;"",'Data Source'!S459="A+"),'Data Source'!R459,"")</f>
        <v/>
      </c>
      <c r="Q459" s="3">
        <f>IF(AND('Data Source'!B459&lt;&gt;"",'Data Source'!S459="A+"),'Data Source'!S459,"")</f>
        <v/>
      </c>
    </row>
    <row r="460">
      <c r="A460" s="3">
        <f>IF(AND('Data Source'!B460&lt;&gt;"",'Data Source'!S460="A+"),COUNTIF('Data Source'!$S$3:S460,"A+"),"")</f>
        <v/>
      </c>
      <c r="B460">
        <f>IF(AND('Data Source'!B460&lt;&gt;"",'Data Source'!S460="A+"),'Data Source'!B460,"")</f>
        <v/>
      </c>
      <c r="C460" s="3">
        <f>IF(AND('Data Source'!B460&lt;&gt;"",'Data Source'!S460="A+"),IF('Data Source'!U460&gt;=5,"A+",IF('Data Source'!U460&gt;=4,"A",IF('Data Source'!U460&gt;=3.5,"A-",IF('Data Source'!U460&gt;=3,"B",IF('Data Source'!U460&gt;=2,"C",IF('Data Source'!U460&gt;=1,"D","F")))))),"")</f>
        <v/>
      </c>
      <c r="D460" s="3">
        <f>IF(AND('Data Source'!B460&lt;&gt;"",'Data Source'!S460="A+"),IF('Data Source'!V460&gt;=5,"A+",IF('Data Source'!V460&gt;=4,"A",IF('Data Source'!V460&gt;=3.5,"A-",IF('Data Source'!V460&gt;=3,"B",IF('Data Source'!V460&gt;=2,"C",IF('Data Source'!V460&gt;=1,"D","F")))))),"")</f>
        <v/>
      </c>
      <c r="E460" s="3">
        <f>IF(AND('Data Source'!B460&lt;&gt;"",'Data Source'!S460="A+"),IF('Data Source'!W460&gt;=5,"A+",IF('Data Source'!W460&gt;=4,"A",IF('Data Source'!W460&gt;=3.5,"A-",IF('Data Source'!W460&gt;=3,"B",IF('Data Source'!W460&gt;=2,"C",IF('Data Source'!W460&gt;=1,"D","F")))))),"")</f>
        <v/>
      </c>
      <c r="F460" s="3">
        <f>IF(AND('Data Source'!B460&lt;&gt;"",'Data Source'!S460="A+"),IF('Data Source'!X460&gt;=5,"A+",IF('Data Source'!X460&gt;=4,"A",IF('Data Source'!X460&gt;=3.5,"A-",IF('Data Source'!X460&gt;=3,"B",IF('Data Source'!X460&gt;=2,"C",IF('Data Source'!X460&gt;=1,"D","F")))))),"")</f>
        <v/>
      </c>
      <c r="G460" s="3">
        <f>IF(AND('Data Source'!B460&lt;&gt;"",'Data Source'!S460="A+"),IF('Data Source'!Y460&gt;=5,"A+",IF('Data Source'!Y460&gt;=4,"A",IF('Data Source'!Y460&gt;=3.5,"A-",IF('Data Source'!Y460&gt;=3,"B",IF('Data Source'!Y460&gt;=2,"C",IF('Data Source'!Y460&gt;=1,"D","F")))))),"")</f>
        <v/>
      </c>
      <c r="H460" s="3">
        <f>IF(AND('Data Source'!B460&lt;&gt;"",'Data Source'!S460="A+"),IF('Data Source'!Z460&gt;=5,"A+",IF('Data Source'!Z460&gt;=4,"A",IF('Data Source'!Z460&gt;=3.5,"A-",IF('Data Source'!Z460&gt;=3,"B",IF('Data Source'!Z460&gt;=2,"C",IF('Data Source'!Z460&gt;=1,"D","F")))))),"")</f>
        <v/>
      </c>
      <c r="I460" s="3">
        <f>IF(AND('Data Source'!B460&lt;&gt;"",'Data Source'!S460="A+"),IF('Data Source'!AA460&gt;=5,"A+",IF('Data Source'!AA460&gt;=4,"A",IF('Data Source'!AA460&gt;=3.5,"A-",IF('Data Source'!AA460&gt;=3,"B",IF('Data Source'!AA460&gt;=2,"C",IF('Data Source'!AA460&gt;=1,"D","F")))))),"")</f>
        <v/>
      </c>
      <c r="J460" s="3">
        <f>IF(AND('Data Source'!B460&lt;&gt;"",'Data Source'!S460="A+"),IF('Data Source'!AB460&gt;=5,"A+",IF('Data Source'!AB460&gt;=4,"A",IF('Data Source'!AB460&gt;=3.5,"A-",IF('Data Source'!AB460&gt;=3,"B",IF('Data Source'!AB460&gt;=2,"C",IF('Data Source'!AB460&gt;=1,"D","F")))))),"")</f>
        <v/>
      </c>
      <c r="K460" s="3">
        <f>IF(AND('Data Source'!B460&lt;&gt;"",'Data Source'!S460="A+"),IF('Data Source'!AC460&gt;=5,"A+",IF('Data Source'!AC460&gt;=4,"A",IF('Data Source'!AC460&gt;=3.5,"A-",IF('Data Source'!AC460&gt;=3,"B",IF('Data Source'!AC460&gt;=2,"C",IF('Data Source'!AC460&gt;=1,"D","F")))))),"")</f>
        <v/>
      </c>
      <c r="L460" s="3">
        <f>IF(AND('Data Source'!B460&lt;&gt;"",'Data Source'!S460="A+"),IF('Data Source'!AD460&gt;=5,"A+",IF('Data Source'!AD460&gt;=4,"A",IF('Data Source'!AD460&gt;=3.5,"A-",IF('Data Source'!AD460&gt;=3,"B",IF('Data Source'!AD460&gt;=2,"C",IF('Data Source'!AD460&gt;=1,"D","F")))))),"")</f>
        <v/>
      </c>
      <c r="M460" s="3">
        <f>IF(AND('Data Source'!B460&lt;&gt;"",'Data Source'!S460="A+"),IF('Data Source'!AE460&gt;=5,"A+",IF('Data Source'!AE460&gt;=4,"A",IF('Data Source'!AE460&gt;=3.5,"A-",IF('Data Source'!AE460&gt;=3,"B",IF('Data Source'!AE460&gt;=2,"C",IF('Data Source'!AE460&gt;=1,"D","F")))))),"")</f>
        <v/>
      </c>
      <c r="N460" s="3">
        <f>IF(AND('Data Source'!B460&lt;&gt;"",'Data Source'!S460="A+"),IF('Data Source'!AF460&gt;=5,"A+",IF('Data Source'!AF460&gt;=4,"A",IF('Data Source'!AF460&gt;=3.5,"A-",IF('Data Source'!AF460&gt;=3,"B",IF('Data Source'!AF460&gt;=2,"C",IF('Data Source'!AF460&gt;=1,"D","F")))))),"")</f>
        <v/>
      </c>
      <c r="O460" s="3">
        <f>IF(AND('Data Source'!B460&lt;&gt;"",'Data Source'!S460="A+"),IF('Data Source'!AG460&gt;=5,"A+",IF('Data Source'!AG460&gt;=4,"A",IF('Data Source'!AG460&gt;=3.5,"A-",IF('Data Source'!AG460&gt;=3,"B",IF('Data Source'!AG460&gt;=2,"C",IF('Data Source'!AG460&gt;=1,"D","F")))))),"")</f>
        <v/>
      </c>
      <c r="P460" s="5">
        <f>IF(AND('Data Source'!B460&lt;&gt;"",'Data Source'!S460="A+"),'Data Source'!R460,"")</f>
        <v/>
      </c>
      <c r="Q460" s="3">
        <f>IF(AND('Data Source'!B460&lt;&gt;"",'Data Source'!S460="A+"),'Data Source'!S460,"")</f>
        <v/>
      </c>
    </row>
    <row r="461">
      <c r="A461" s="3">
        <f>IF(AND('Data Source'!B461&lt;&gt;"",'Data Source'!S461="A+"),COUNTIF('Data Source'!$S$3:S461,"A+"),"")</f>
        <v/>
      </c>
      <c r="B461">
        <f>IF(AND('Data Source'!B461&lt;&gt;"",'Data Source'!S461="A+"),'Data Source'!B461,"")</f>
        <v/>
      </c>
      <c r="C461" s="3">
        <f>IF(AND('Data Source'!B461&lt;&gt;"",'Data Source'!S461="A+"),IF('Data Source'!U461&gt;=5,"A+",IF('Data Source'!U461&gt;=4,"A",IF('Data Source'!U461&gt;=3.5,"A-",IF('Data Source'!U461&gt;=3,"B",IF('Data Source'!U461&gt;=2,"C",IF('Data Source'!U461&gt;=1,"D","F")))))),"")</f>
        <v/>
      </c>
      <c r="D461" s="3">
        <f>IF(AND('Data Source'!B461&lt;&gt;"",'Data Source'!S461="A+"),IF('Data Source'!V461&gt;=5,"A+",IF('Data Source'!V461&gt;=4,"A",IF('Data Source'!V461&gt;=3.5,"A-",IF('Data Source'!V461&gt;=3,"B",IF('Data Source'!V461&gt;=2,"C",IF('Data Source'!V461&gt;=1,"D","F")))))),"")</f>
        <v/>
      </c>
      <c r="E461" s="3">
        <f>IF(AND('Data Source'!B461&lt;&gt;"",'Data Source'!S461="A+"),IF('Data Source'!W461&gt;=5,"A+",IF('Data Source'!W461&gt;=4,"A",IF('Data Source'!W461&gt;=3.5,"A-",IF('Data Source'!W461&gt;=3,"B",IF('Data Source'!W461&gt;=2,"C",IF('Data Source'!W461&gt;=1,"D","F")))))),"")</f>
        <v/>
      </c>
      <c r="F461" s="3">
        <f>IF(AND('Data Source'!B461&lt;&gt;"",'Data Source'!S461="A+"),IF('Data Source'!X461&gt;=5,"A+",IF('Data Source'!X461&gt;=4,"A",IF('Data Source'!X461&gt;=3.5,"A-",IF('Data Source'!X461&gt;=3,"B",IF('Data Source'!X461&gt;=2,"C",IF('Data Source'!X461&gt;=1,"D","F")))))),"")</f>
        <v/>
      </c>
      <c r="G461" s="3">
        <f>IF(AND('Data Source'!B461&lt;&gt;"",'Data Source'!S461="A+"),IF('Data Source'!Y461&gt;=5,"A+",IF('Data Source'!Y461&gt;=4,"A",IF('Data Source'!Y461&gt;=3.5,"A-",IF('Data Source'!Y461&gt;=3,"B",IF('Data Source'!Y461&gt;=2,"C",IF('Data Source'!Y461&gt;=1,"D","F")))))),"")</f>
        <v/>
      </c>
      <c r="H461" s="3">
        <f>IF(AND('Data Source'!B461&lt;&gt;"",'Data Source'!S461="A+"),IF('Data Source'!Z461&gt;=5,"A+",IF('Data Source'!Z461&gt;=4,"A",IF('Data Source'!Z461&gt;=3.5,"A-",IF('Data Source'!Z461&gt;=3,"B",IF('Data Source'!Z461&gt;=2,"C",IF('Data Source'!Z461&gt;=1,"D","F")))))),"")</f>
        <v/>
      </c>
      <c r="I461" s="3">
        <f>IF(AND('Data Source'!B461&lt;&gt;"",'Data Source'!S461="A+"),IF('Data Source'!AA461&gt;=5,"A+",IF('Data Source'!AA461&gt;=4,"A",IF('Data Source'!AA461&gt;=3.5,"A-",IF('Data Source'!AA461&gt;=3,"B",IF('Data Source'!AA461&gt;=2,"C",IF('Data Source'!AA461&gt;=1,"D","F")))))),"")</f>
        <v/>
      </c>
      <c r="J461" s="3">
        <f>IF(AND('Data Source'!B461&lt;&gt;"",'Data Source'!S461="A+"),IF('Data Source'!AB461&gt;=5,"A+",IF('Data Source'!AB461&gt;=4,"A",IF('Data Source'!AB461&gt;=3.5,"A-",IF('Data Source'!AB461&gt;=3,"B",IF('Data Source'!AB461&gt;=2,"C",IF('Data Source'!AB461&gt;=1,"D","F")))))),"")</f>
        <v/>
      </c>
      <c r="K461" s="3">
        <f>IF(AND('Data Source'!B461&lt;&gt;"",'Data Source'!S461="A+"),IF('Data Source'!AC461&gt;=5,"A+",IF('Data Source'!AC461&gt;=4,"A",IF('Data Source'!AC461&gt;=3.5,"A-",IF('Data Source'!AC461&gt;=3,"B",IF('Data Source'!AC461&gt;=2,"C",IF('Data Source'!AC461&gt;=1,"D","F")))))),"")</f>
        <v/>
      </c>
      <c r="L461" s="3">
        <f>IF(AND('Data Source'!B461&lt;&gt;"",'Data Source'!S461="A+"),IF('Data Source'!AD461&gt;=5,"A+",IF('Data Source'!AD461&gt;=4,"A",IF('Data Source'!AD461&gt;=3.5,"A-",IF('Data Source'!AD461&gt;=3,"B",IF('Data Source'!AD461&gt;=2,"C",IF('Data Source'!AD461&gt;=1,"D","F")))))),"")</f>
        <v/>
      </c>
      <c r="M461" s="3">
        <f>IF(AND('Data Source'!B461&lt;&gt;"",'Data Source'!S461="A+"),IF('Data Source'!AE461&gt;=5,"A+",IF('Data Source'!AE461&gt;=4,"A",IF('Data Source'!AE461&gt;=3.5,"A-",IF('Data Source'!AE461&gt;=3,"B",IF('Data Source'!AE461&gt;=2,"C",IF('Data Source'!AE461&gt;=1,"D","F")))))),"")</f>
        <v/>
      </c>
      <c r="N461" s="3">
        <f>IF(AND('Data Source'!B461&lt;&gt;"",'Data Source'!S461="A+"),IF('Data Source'!AF461&gt;=5,"A+",IF('Data Source'!AF461&gt;=4,"A",IF('Data Source'!AF461&gt;=3.5,"A-",IF('Data Source'!AF461&gt;=3,"B",IF('Data Source'!AF461&gt;=2,"C",IF('Data Source'!AF461&gt;=1,"D","F")))))),"")</f>
        <v/>
      </c>
      <c r="O461" s="3">
        <f>IF(AND('Data Source'!B461&lt;&gt;"",'Data Source'!S461="A+"),IF('Data Source'!AG461&gt;=5,"A+",IF('Data Source'!AG461&gt;=4,"A",IF('Data Source'!AG461&gt;=3.5,"A-",IF('Data Source'!AG461&gt;=3,"B",IF('Data Source'!AG461&gt;=2,"C",IF('Data Source'!AG461&gt;=1,"D","F")))))),"")</f>
        <v/>
      </c>
      <c r="P461" s="5">
        <f>IF(AND('Data Source'!B461&lt;&gt;"",'Data Source'!S461="A+"),'Data Source'!R461,"")</f>
        <v/>
      </c>
      <c r="Q461" s="3">
        <f>IF(AND('Data Source'!B461&lt;&gt;"",'Data Source'!S461="A+"),'Data Source'!S461,"")</f>
        <v/>
      </c>
    </row>
    <row r="462">
      <c r="A462" s="3">
        <f>IF(AND('Data Source'!B462&lt;&gt;"",'Data Source'!S462="A+"),COUNTIF('Data Source'!$S$3:S462,"A+"),"")</f>
        <v/>
      </c>
      <c r="B462">
        <f>IF(AND('Data Source'!B462&lt;&gt;"",'Data Source'!S462="A+"),'Data Source'!B462,"")</f>
        <v/>
      </c>
      <c r="C462" s="3">
        <f>IF(AND('Data Source'!B462&lt;&gt;"",'Data Source'!S462="A+"),IF('Data Source'!U462&gt;=5,"A+",IF('Data Source'!U462&gt;=4,"A",IF('Data Source'!U462&gt;=3.5,"A-",IF('Data Source'!U462&gt;=3,"B",IF('Data Source'!U462&gt;=2,"C",IF('Data Source'!U462&gt;=1,"D","F")))))),"")</f>
        <v/>
      </c>
      <c r="D462" s="3">
        <f>IF(AND('Data Source'!B462&lt;&gt;"",'Data Source'!S462="A+"),IF('Data Source'!V462&gt;=5,"A+",IF('Data Source'!V462&gt;=4,"A",IF('Data Source'!V462&gt;=3.5,"A-",IF('Data Source'!V462&gt;=3,"B",IF('Data Source'!V462&gt;=2,"C",IF('Data Source'!V462&gt;=1,"D","F")))))),"")</f>
        <v/>
      </c>
      <c r="E462" s="3">
        <f>IF(AND('Data Source'!B462&lt;&gt;"",'Data Source'!S462="A+"),IF('Data Source'!W462&gt;=5,"A+",IF('Data Source'!W462&gt;=4,"A",IF('Data Source'!W462&gt;=3.5,"A-",IF('Data Source'!W462&gt;=3,"B",IF('Data Source'!W462&gt;=2,"C",IF('Data Source'!W462&gt;=1,"D","F")))))),"")</f>
        <v/>
      </c>
      <c r="F462" s="3">
        <f>IF(AND('Data Source'!B462&lt;&gt;"",'Data Source'!S462="A+"),IF('Data Source'!X462&gt;=5,"A+",IF('Data Source'!X462&gt;=4,"A",IF('Data Source'!X462&gt;=3.5,"A-",IF('Data Source'!X462&gt;=3,"B",IF('Data Source'!X462&gt;=2,"C",IF('Data Source'!X462&gt;=1,"D","F")))))),"")</f>
        <v/>
      </c>
      <c r="G462" s="3">
        <f>IF(AND('Data Source'!B462&lt;&gt;"",'Data Source'!S462="A+"),IF('Data Source'!Y462&gt;=5,"A+",IF('Data Source'!Y462&gt;=4,"A",IF('Data Source'!Y462&gt;=3.5,"A-",IF('Data Source'!Y462&gt;=3,"B",IF('Data Source'!Y462&gt;=2,"C",IF('Data Source'!Y462&gt;=1,"D","F")))))),"")</f>
        <v/>
      </c>
      <c r="H462" s="3">
        <f>IF(AND('Data Source'!B462&lt;&gt;"",'Data Source'!S462="A+"),IF('Data Source'!Z462&gt;=5,"A+",IF('Data Source'!Z462&gt;=4,"A",IF('Data Source'!Z462&gt;=3.5,"A-",IF('Data Source'!Z462&gt;=3,"B",IF('Data Source'!Z462&gt;=2,"C",IF('Data Source'!Z462&gt;=1,"D","F")))))),"")</f>
        <v/>
      </c>
      <c r="I462" s="3">
        <f>IF(AND('Data Source'!B462&lt;&gt;"",'Data Source'!S462="A+"),IF('Data Source'!AA462&gt;=5,"A+",IF('Data Source'!AA462&gt;=4,"A",IF('Data Source'!AA462&gt;=3.5,"A-",IF('Data Source'!AA462&gt;=3,"B",IF('Data Source'!AA462&gt;=2,"C",IF('Data Source'!AA462&gt;=1,"D","F")))))),"")</f>
        <v/>
      </c>
      <c r="J462" s="3">
        <f>IF(AND('Data Source'!B462&lt;&gt;"",'Data Source'!S462="A+"),IF('Data Source'!AB462&gt;=5,"A+",IF('Data Source'!AB462&gt;=4,"A",IF('Data Source'!AB462&gt;=3.5,"A-",IF('Data Source'!AB462&gt;=3,"B",IF('Data Source'!AB462&gt;=2,"C",IF('Data Source'!AB462&gt;=1,"D","F")))))),"")</f>
        <v/>
      </c>
      <c r="K462" s="3">
        <f>IF(AND('Data Source'!B462&lt;&gt;"",'Data Source'!S462="A+"),IF('Data Source'!AC462&gt;=5,"A+",IF('Data Source'!AC462&gt;=4,"A",IF('Data Source'!AC462&gt;=3.5,"A-",IF('Data Source'!AC462&gt;=3,"B",IF('Data Source'!AC462&gt;=2,"C",IF('Data Source'!AC462&gt;=1,"D","F")))))),"")</f>
        <v/>
      </c>
      <c r="L462" s="3">
        <f>IF(AND('Data Source'!B462&lt;&gt;"",'Data Source'!S462="A+"),IF('Data Source'!AD462&gt;=5,"A+",IF('Data Source'!AD462&gt;=4,"A",IF('Data Source'!AD462&gt;=3.5,"A-",IF('Data Source'!AD462&gt;=3,"B",IF('Data Source'!AD462&gt;=2,"C",IF('Data Source'!AD462&gt;=1,"D","F")))))),"")</f>
        <v/>
      </c>
      <c r="M462" s="3">
        <f>IF(AND('Data Source'!B462&lt;&gt;"",'Data Source'!S462="A+"),IF('Data Source'!AE462&gt;=5,"A+",IF('Data Source'!AE462&gt;=4,"A",IF('Data Source'!AE462&gt;=3.5,"A-",IF('Data Source'!AE462&gt;=3,"B",IF('Data Source'!AE462&gt;=2,"C",IF('Data Source'!AE462&gt;=1,"D","F")))))),"")</f>
        <v/>
      </c>
      <c r="N462" s="3">
        <f>IF(AND('Data Source'!B462&lt;&gt;"",'Data Source'!S462="A+"),IF('Data Source'!AF462&gt;=5,"A+",IF('Data Source'!AF462&gt;=4,"A",IF('Data Source'!AF462&gt;=3.5,"A-",IF('Data Source'!AF462&gt;=3,"B",IF('Data Source'!AF462&gt;=2,"C",IF('Data Source'!AF462&gt;=1,"D","F")))))),"")</f>
        <v/>
      </c>
      <c r="O462" s="3">
        <f>IF(AND('Data Source'!B462&lt;&gt;"",'Data Source'!S462="A+"),IF('Data Source'!AG462&gt;=5,"A+",IF('Data Source'!AG462&gt;=4,"A",IF('Data Source'!AG462&gt;=3.5,"A-",IF('Data Source'!AG462&gt;=3,"B",IF('Data Source'!AG462&gt;=2,"C",IF('Data Source'!AG462&gt;=1,"D","F")))))),"")</f>
        <v/>
      </c>
      <c r="P462" s="5">
        <f>IF(AND('Data Source'!B462&lt;&gt;"",'Data Source'!S462="A+"),'Data Source'!R462,"")</f>
        <v/>
      </c>
      <c r="Q462" s="3">
        <f>IF(AND('Data Source'!B462&lt;&gt;"",'Data Source'!S462="A+"),'Data Source'!S462,"")</f>
        <v/>
      </c>
    </row>
    <row r="463">
      <c r="A463" s="3">
        <f>IF(AND('Data Source'!B463&lt;&gt;"",'Data Source'!S463="A+"),COUNTIF('Data Source'!$S$3:S463,"A+"),"")</f>
        <v/>
      </c>
      <c r="B463">
        <f>IF(AND('Data Source'!B463&lt;&gt;"",'Data Source'!S463="A+"),'Data Source'!B463,"")</f>
        <v/>
      </c>
      <c r="C463" s="3">
        <f>IF(AND('Data Source'!B463&lt;&gt;"",'Data Source'!S463="A+"),IF('Data Source'!U463&gt;=5,"A+",IF('Data Source'!U463&gt;=4,"A",IF('Data Source'!U463&gt;=3.5,"A-",IF('Data Source'!U463&gt;=3,"B",IF('Data Source'!U463&gt;=2,"C",IF('Data Source'!U463&gt;=1,"D","F")))))),"")</f>
        <v/>
      </c>
      <c r="D463" s="3">
        <f>IF(AND('Data Source'!B463&lt;&gt;"",'Data Source'!S463="A+"),IF('Data Source'!V463&gt;=5,"A+",IF('Data Source'!V463&gt;=4,"A",IF('Data Source'!V463&gt;=3.5,"A-",IF('Data Source'!V463&gt;=3,"B",IF('Data Source'!V463&gt;=2,"C",IF('Data Source'!V463&gt;=1,"D","F")))))),"")</f>
        <v/>
      </c>
      <c r="E463" s="3">
        <f>IF(AND('Data Source'!B463&lt;&gt;"",'Data Source'!S463="A+"),IF('Data Source'!W463&gt;=5,"A+",IF('Data Source'!W463&gt;=4,"A",IF('Data Source'!W463&gt;=3.5,"A-",IF('Data Source'!W463&gt;=3,"B",IF('Data Source'!W463&gt;=2,"C",IF('Data Source'!W463&gt;=1,"D","F")))))),"")</f>
        <v/>
      </c>
      <c r="F463" s="3">
        <f>IF(AND('Data Source'!B463&lt;&gt;"",'Data Source'!S463="A+"),IF('Data Source'!X463&gt;=5,"A+",IF('Data Source'!X463&gt;=4,"A",IF('Data Source'!X463&gt;=3.5,"A-",IF('Data Source'!X463&gt;=3,"B",IF('Data Source'!X463&gt;=2,"C",IF('Data Source'!X463&gt;=1,"D","F")))))),"")</f>
        <v/>
      </c>
      <c r="G463" s="3">
        <f>IF(AND('Data Source'!B463&lt;&gt;"",'Data Source'!S463="A+"),IF('Data Source'!Y463&gt;=5,"A+",IF('Data Source'!Y463&gt;=4,"A",IF('Data Source'!Y463&gt;=3.5,"A-",IF('Data Source'!Y463&gt;=3,"B",IF('Data Source'!Y463&gt;=2,"C",IF('Data Source'!Y463&gt;=1,"D","F")))))),"")</f>
        <v/>
      </c>
      <c r="H463" s="3">
        <f>IF(AND('Data Source'!B463&lt;&gt;"",'Data Source'!S463="A+"),IF('Data Source'!Z463&gt;=5,"A+",IF('Data Source'!Z463&gt;=4,"A",IF('Data Source'!Z463&gt;=3.5,"A-",IF('Data Source'!Z463&gt;=3,"B",IF('Data Source'!Z463&gt;=2,"C",IF('Data Source'!Z463&gt;=1,"D","F")))))),"")</f>
        <v/>
      </c>
      <c r="I463" s="3">
        <f>IF(AND('Data Source'!B463&lt;&gt;"",'Data Source'!S463="A+"),IF('Data Source'!AA463&gt;=5,"A+",IF('Data Source'!AA463&gt;=4,"A",IF('Data Source'!AA463&gt;=3.5,"A-",IF('Data Source'!AA463&gt;=3,"B",IF('Data Source'!AA463&gt;=2,"C",IF('Data Source'!AA463&gt;=1,"D","F")))))),"")</f>
        <v/>
      </c>
      <c r="J463" s="3">
        <f>IF(AND('Data Source'!B463&lt;&gt;"",'Data Source'!S463="A+"),IF('Data Source'!AB463&gt;=5,"A+",IF('Data Source'!AB463&gt;=4,"A",IF('Data Source'!AB463&gt;=3.5,"A-",IF('Data Source'!AB463&gt;=3,"B",IF('Data Source'!AB463&gt;=2,"C",IF('Data Source'!AB463&gt;=1,"D","F")))))),"")</f>
        <v/>
      </c>
      <c r="K463" s="3">
        <f>IF(AND('Data Source'!B463&lt;&gt;"",'Data Source'!S463="A+"),IF('Data Source'!AC463&gt;=5,"A+",IF('Data Source'!AC463&gt;=4,"A",IF('Data Source'!AC463&gt;=3.5,"A-",IF('Data Source'!AC463&gt;=3,"B",IF('Data Source'!AC463&gt;=2,"C",IF('Data Source'!AC463&gt;=1,"D","F")))))),"")</f>
        <v/>
      </c>
      <c r="L463" s="3">
        <f>IF(AND('Data Source'!B463&lt;&gt;"",'Data Source'!S463="A+"),IF('Data Source'!AD463&gt;=5,"A+",IF('Data Source'!AD463&gt;=4,"A",IF('Data Source'!AD463&gt;=3.5,"A-",IF('Data Source'!AD463&gt;=3,"B",IF('Data Source'!AD463&gt;=2,"C",IF('Data Source'!AD463&gt;=1,"D","F")))))),"")</f>
        <v/>
      </c>
      <c r="M463" s="3">
        <f>IF(AND('Data Source'!B463&lt;&gt;"",'Data Source'!S463="A+"),IF('Data Source'!AE463&gt;=5,"A+",IF('Data Source'!AE463&gt;=4,"A",IF('Data Source'!AE463&gt;=3.5,"A-",IF('Data Source'!AE463&gt;=3,"B",IF('Data Source'!AE463&gt;=2,"C",IF('Data Source'!AE463&gt;=1,"D","F")))))),"")</f>
        <v/>
      </c>
      <c r="N463" s="3">
        <f>IF(AND('Data Source'!B463&lt;&gt;"",'Data Source'!S463="A+"),IF('Data Source'!AF463&gt;=5,"A+",IF('Data Source'!AF463&gt;=4,"A",IF('Data Source'!AF463&gt;=3.5,"A-",IF('Data Source'!AF463&gt;=3,"B",IF('Data Source'!AF463&gt;=2,"C",IF('Data Source'!AF463&gt;=1,"D","F")))))),"")</f>
        <v/>
      </c>
      <c r="O463" s="3">
        <f>IF(AND('Data Source'!B463&lt;&gt;"",'Data Source'!S463="A+"),IF('Data Source'!AG463&gt;=5,"A+",IF('Data Source'!AG463&gt;=4,"A",IF('Data Source'!AG463&gt;=3.5,"A-",IF('Data Source'!AG463&gt;=3,"B",IF('Data Source'!AG463&gt;=2,"C",IF('Data Source'!AG463&gt;=1,"D","F")))))),"")</f>
        <v/>
      </c>
      <c r="P463" s="5">
        <f>IF(AND('Data Source'!B463&lt;&gt;"",'Data Source'!S463="A+"),'Data Source'!R463,"")</f>
        <v/>
      </c>
      <c r="Q463" s="3">
        <f>IF(AND('Data Source'!B463&lt;&gt;"",'Data Source'!S463="A+"),'Data Source'!S463,"")</f>
        <v/>
      </c>
    </row>
    <row r="464">
      <c r="A464" s="3">
        <f>IF(AND('Data Source'!B464&lt;&gt;"",'Data Source'!S464="A+"),COUNTIF('Data Source'!$S$3:S464,"A+"),"")</f>
        <v/>
      </c>
      <c r="B464">
        <f>IF(AND('Data Source'!B464&lt;&gt;"",'Data Source'!S464="A+"),'Data Source'!B464,"")</f>
        <v/>
      </c>
      <c r="C464" s="3">
        <f>IF(AND('Data Source'!B464&lt;&gt;"",'Data Source'!S464="A+"),IF('Data Source'!U464&gt;=5,"A+",IF('Data Source'!U464&gt;=4,"A",IF('Data Source'!U464&gt;=3.5,"A-",IF('Data Source'!U464&gt;=3,"B",IF('Data Source'!U464&gt;=2,"C",IF('Data Source'!U464&gt;=1,"D","F")))))),"")</f>
        <v/>
      </c>
      <c r="D464" s="3">
        <f>IF(AND('Data Source'!B464&lt;&gt;"",'Data Source'!S464="A+"),IF('Data Source'!V464&gt;=5,"A+",IF('Data Source'!V464&gt;=4,"A",IF('Data Source'!V464&gt;=3.5,"A-",IF('Data Source'!V464&gt;=3,"B",IF('Data Source'!V464&gt;=2,"C",IF('Data Source'!V464&gt;=1,"D","F")))))),"")</f>
        <v/>
      </c>
      <c r="E464" s="3">
        <f>IF(AND('Data Source'!B464&lt;&gt;"",'Data Source'!S464="A+"),IF('Data Source'!W464&gt;=5,"A+",IF('Data Source'!W464&gt;=4,"A",IF('Data Source'!W464&gt;=3.5,"A-",IF('Data Source'!W464&gt;=3,"B",IF('Data Source'!W464&gt;=2,"C",IF('Data Source'!W464&gt;=1,"D","F")))))),"")</f>
        <v/>
      </c>
      <c r="F464" s="3">
        <f>IF(AND('Data Source'!B464&lt;&gt;"",'Data Source'!S464="A+"),IF('Data Source'!X464&gt;=5,"A+",IF('Data Source'!X464&gt;=4,"A",IF('Data Source'!X464&gt;=3.5,"A-",IF('Data Source'!X464&gt;=3,"B",IF('Data Source'!X464&gt;=2,"C",IF('Data Source'!X464&gt;=1,"D","F")))))),"")</f>
        <v/>
      </c>
      <c r="G464" s="3">
        <f>IF(AND('Data Source'!B464&lt;&gt;"",'Data Source'!S464="A+"),IF('Data Source'!Y464&gt;=5,"A+",IF('Data Source'!Y464&gt;=4,"A",IF('Data Source'!Y464&gt;=3.5,"A-",IF('Data Source'!Y464&gt;=3,"B",IF('Data Source'!Y464&gt;=2,"C",IF('Data Source'!Y464&gt;=1,"D","F")))))),"")</f>
        <v/>
      </c>
      <c r="H464" s="3">
        <f>IF(AND('Data Source'!B464&lt;&gt;"",'Data Source'!S464="A+"),IF('Data Source'!Z464&gt;=5,"A+",IF('Data Source'!Z464&gt;=4,"A",IF('Data Source'!Z464&gt;=3.5,"A-",IF('Data Source'!Z464&gt;=3,"B",IF('Data Source'!Z464&gt;=2,"C",IF('Data Source'!Z464&gt;=1,"D","F")))))),"")</f>
        <v/>
      </c>
      <c r="I464" s="3">
        <f>IF(AND('Data Source'!B464&lt;&gt;"",'Data Source'!S464="A+"),IF('Data Source'!AA464&gt;=5,"A+",IF('Data Source'!AA464&gt;=4,"A",IF('Data Source'!AA464&gt;=3.5,"A-",IF('Data Source'!AA464&gt;=3,"B",IF('Data Source'!AA464&gt;=2,"C",IF('Data Source'!AA464&gt;=1,"D","F")))))),"")</f>
        <v/>
      </c>
      <c r="J464" s="3">
        <f>IF(AND('Data Source'!B464&lt;&gt;"",'Data Source'!S464="A+"),IF('Data Source'!AB464&gt;=5,"A+",IF('Data Source'!AB464&gt;=4,"A",IF('Data Source'!AB464&gt;=3.5,"A-",IF('Data Source'!AB464&gt;=3,"B",IF('Data Source'!AB464&gt;=2,"C",IF('Data Source'!AB464&gt;=1,"D","F")))))),"")</f>
        <v/>
      </c>
      <c r="K464" s="3">
        <f>IF(AND('Data Source'!B464&lt;&gt;"",'Data Source'!S464="A+"),IF('Data Source'!AC464&gt;=5,"A+",IF('Data Source'!AC464&gt;=4,"A",IF('Data Source'!AC464&gt;=3.5,"A-",IF('Data Source'!AC464&gt;=3,"B",IF('Data Source'!AC464&gt;=2,"C",IF('Data Source'!AC464&gt;=1,"D","F")))))),"")</f>
        <v/>
      </c>
      <c r="L464" s="3">
        <f>IF(AND('Data Source'!B464&lt;&gt;"",'Data Source'!S464="A+"),IF('Data Source'!AD464&gt;=5,"A+",IF('Data Source'!AD464&gt;=4,"A",IF('Data Source'!AD464&gt;=3.5,"A-",IF('Data Source'!AD464&gt;=3,"B",IF('Data Source'!AD464&gt;=2,"C",IF('Data Source'!AD464&gt;=1,"D","F")))))),"")</f>
        <v/>
      </c>
      <c r="M464" s="3">
        <f>IF(AND('Data Source'!B464&lt;&gt;"",'Data Source'!S464="A+"),IF('Data Source'!AE464&gt;=5,"A+",IF('Data Source'!AE464&gt;=4,"A",IF('Data Source'!AE464&gt;=3.5,"A-",IF('Data Source'!AE464&gt;=3,"B",IF('Data Source'!AE464&gt;=2,"C",IF('Data Source'!AE464&gt;=1,"D","F")))))),"")</f>
        <v/>
      </c>
      <c r="N464" s="3">
        <f>IF(AND('Data Source'!B464&lt;&gt;"",'Data Source'!S464="A+"),IF('Data Source'!AF464&gt;=5,"A+",IF('Data Source'!AF464&gt;=4,"A",IF('Data Source'!AF464&gt;=3.5,"A-",IF('Data Source'!AF464&gt;=3,"B",IF('Data Source'!AF464&gt;=2,"C",IF('Data Source'!AF464&gt;=1,"D","F")))))),"")</f>
        <v/>
      </c>
      <c r="O464" s="3">
        <f>IF(AND('Data Source'!B464&lt;&gt;"",'Data Source'!S464="A+"),IF('Data Source'!AG464&gt;=5,"A+",IF('Data Source'!AG464&gt;=4,"A",IF('Data Source'!AG464&gt;=3.5,"A-",IF('Data Source'!AG464&gt;=3,"B",IF('Data Source'!AG464&gt;=2,"C",IF('Data Source'!AG464&gt;=1,"D","F")))))),"")</f>
        <v/>
      </c>
      <c r="P464" s="5">
        <f>IF(AND('Data Source'!B464&lt;&gt;"",'Data Source'!S464="A+"),'Data Source'!R464,"")</f>
        <v/>
      </c>
      <c r="Q464" s="3">
        <f>IF(AND('Data Source'!B464&lt;&gt;"",'Data Source'!S464="A+"),'Data Source'!S464,"")</f>
        <v/>
      </c>
    </row>
    <row r="465">
      <c r="A465" s="3">
        <f>IF(AND('Data Source'!B465&lt;&gt;"",'Data Source'!S465="A+"),COUNTIF('Data Source'!$S$3:S465,"A+"),"")</f>
        <v/>
      </c>
      <c r="B465">
        <f>IF(AND('Data Source'!B465&lt;&gt;"",'Data Source'!S465="A+"),'Data Source'!B465,"")</f>
        <v/>
      </c>
      <c r="C465" s="3">
        <f>IF(AND('Data Source'!B465&lt;&gt;"",'Data Source'!S465="A+"),IF('Data Source'!U465&gt;=5,"A+",IF('Data Source'!U465&gt;=4,"A",IF('Data Source'!U465&gt;=3.5,"A-",IF('Data Source'!U465&gt;=3,"B",IF('Data Source'!U465&gt;=2,"C",IF('Data Source'!U465&gt;=1,"D","F")))))),"")</f>
        <v/>
      </c>
      <c r="D465" s="3">
        <f>IF(AND('Data Source'!B465&lt;&gt;"",'Data Source'!S465="A+"),IF('Data Source'!V465&gt;=5,"A+",IF('Data Source'!V465&gt;=4,"A",IF('Data Source'!V465&gt;=3.5,"A-",IF('Data Source'!V465&gt;=3,"B",IF('Data Source'!V465&gt;=2,"C",IF('Data Source'!V465&gt;=1,"D","F")))))),"")</f>
        <v/>
      </c>
      <c r="E465" s="3">
        <f>IF(AND('Data Source'!B465&lt;&gt;"",'Data Source'!S465="A+"),IF('Data Source'!W465&gt;=5,"A+",IF('Data Source'!W465&gt;=4,"A",IF('Data Source'!W465&gt;=3.5,"A-",IF('Data Source'!W465&gt;=3,"B",IF('Data Source'!W465&gt;=2,"C",IF('Data Source'!W465&gt;=1,"D","F")))))),"")</f>
        <v/>
      </c>
      <c r="F465" s="3">
        <f>IF(AND('Data Source'!B465&lt;&gt;"",'Data Source'!S465="A+"),IF('Data Source'!X465&gt;=5,"A+",IF('Data Source'!X465&gt;=4,"A",IF('Data Source'!X465&gt;=3.5,"A-",IF('Data Source'!X465&gt;=3,"B",IF('Data Source'!X465&gt;=2,"C",IF('Data Source'!X465&gt;=1,"D","F")))))),"")</f>
        <v/>
      </c>
      <c r="G465" s="3">
        <f>IF(AND('Data Source'!B465&lt;&gt;"",'Data Source'!S465="A+"),IF('Data Source'!Y465&gt;=5,"A+",IF('Data Source'!Y465&gt;=4,"A",IF('Data Source'!Y465&gt;=3.5,"A-",IF('Data Source'!Y465&gt;=3,"B",IF('Data Source'!Y465&gt;=2,"C",IF('Data Source'!Y465&gt;=1,"D","F")))))),"")</f>
        <v/>
      </c>
      <c r="H465" s="3">
        <f>IF(AND('Data Source'!B465&lt;&gt;"",'Data Source'!S465="A+"),IF('Data Source'!Z465&gt;=5,"A+",IF('Data Source'!Z465&gt;=4,"A",IF('Data Source'!Z465&gt;=3.5,"A-",IF('Data Source'!Z465&gt;=3,"B",IF('Data Source'!Z465&gt;=2,"C",IF('Data Source'!Z465&gt;=1,"D","F")))))),"")</f>
        <v/>
      </c>
      <c r="I465" s="3">
        <f>IF(AND('Data Source'!B465&lt;&gt;"",'Data Source'!S465="A+"),IF('Data Source'!AA465&gt;=5,"A+",IF('Data Source'!AA465&gt;=4,"A",IF('Data Source'!AA465&gt;=3.5,"A-",IF('Data Source'!AA465&gt;=3,"B",IF('Data Source'!AA465&gt;=2,"C",IF('Data Source'!AA465&gt;=1,"D","F")))))),"")</f>
        <v/>
      </c>
      <c r="J465" s="3">
        <f>IF(AND('Data Source'!B465&lt;&gt;"",'Data Source'!S465="A+"),IF('Data Source'!AB465&gt;=5,"A+",IF('Data Source'!AB465&gt;=4,"A",IF('Data Source'!AB465&gt;=3.5,"A-",IF('Data Source'!AB465&gt;=3,"B",IF('Data Source'!AB465&gt;=2,"C",IF('Data Source'!AB465&gt;=1,"D","F")))))),"")</f>
        <v/>
      </c>
      <c r="K465" s="3">
        <f>IF(AND('Data Source'!B465&lt;&gt;"",'Data Source'!S465="A+"),IF('Data Source'!AC465&gt;=5,"A+",IF('Data Source'!AC465&gt;=4,"A",IF('Data Source'!AC465&gt;=3.5,"A-",IF('Data Source'!AC465&gt;=3,"B",IF('Data Source'!AC465&gt;=2,"C",IF('Data Source'!AC465&gt;=1,"D","F")))))),"")</f>
        <v/>
      </c>
      <c r="L465" s="3">
        <f>IF(AND('Data Source'!B465&lt;&gt;"",'Data Source'!S465="A+"),IF('Data Source'!AD465&gt;=5,"A+",IF('Data Source'!AD465&gt;=4,"A",IF('Data Source'!AD465&gt;=3.5,"A-",IF('Data Source'!AD465&gt;=3,"B",IF('Data Source'!AD465&gt;=2,"C",IF('Data Source'!AD465&gt;=1,"D","F")))))),"")</f>
        <v/>
      </c>
      <c r="M465" s="3">
        <f>IF(AND('Data Source'!B465&lt;&gt;"",'Data Source'!S465="A+"),IF('Data Source'!AE465&gt;=5,"A+",IF('Data Source'!AE465&gt;=4,"A",IF('Data Source'!AE465&gt;=3.5,"A-",IF('Data Source'!AE465&gt;=3,"B",IF('Data Source'!AE465&gt;=2,"C",IF('Data Source'!AE465&gt;=1,"D","F")))))),"")</f>
        <v/>
      </c>
      <c r="N465" s="3">
        <f>IF(AND('Data Source'!B465&lt;&gt;"",'Data Source'!S465="A+"),IF('Data Source'!AF465&gt;=5,"A+",IF('Data Source'!AF465&gt;=4,"A",IF('Data Source'!AF465&gt;=3.5,"A-",IF('Data Source'!AF465&gt;=3,"B",IF('Data Source'!AF465&gt;=2,"C",IF('Data Source'!AF465&gt;=1,"D","F")))))),"")</f>
        <v/>
      </c>
      <c r="O465" s="3">
        <f>IF(AND('Data Source'!B465&lt;&gt;"",'Data Source'!S465="A+"),IF('Data Source'!AG465&gt;=5,"A+",IF('Data Source'!AG465&gt;=4,"A",IF('Data Source'!AG465&gt;=3.5,"A-",IF('Data Source'!AG465&gt;=3,"B",IF('Data Source'!AG465&gt;=2,"C",IF('Data Source'!AG465&gt;=1,"D","F")))))),"")</f>
        <v/>
      </c>
      <c r="P465" s="5">
        <f>IF(AND('Data Source'!B465&lt;&gt;"",'Data Source'!S465="A+"),'Data Source'!R465,"")</f>
        <v/>
      </c>
      <c r="Q465" s="3">
        <f>IF(AND('Data Source'!B465&lt;&gt;"",'Data Source'!S465="A+"),'Data Source'!S465,"")</f>
        <v/>
      </c>
    </row>
    <row r="466">
      <c r="A466" s="3">
        <f>IF(AND('Data Source'!B466&lt;&gt;"",'Data Source'!S466="A+"),COUNTIF('Data Source'!$S$3:S466,"A+"),"")</f>
        <v/>
      </c>
      <c r="B466">
        <f>IF(AND('Data Source'!B466&lt;&gt;"",'Data Source'!S466="A+"),'Data Source'!B466,"")</f>
        <v/>
      </c>
      <c r="C466" s="3">
        <f>IF(AND('Data Source'!B466&lt;&gt;"",'Data Source'!S466="A+"),IF('Data Source'!U466&gt;=5,"A+",IF('Data Source'!U466&gt;=4,"A",IF('Data Source'!U466&gt;=3.5,"A-",IF('Data Source'!U466&gt;=3,"B",IF('Data Source'!U466&gt;=2,"C",IF('Data Source'!U466&gt;=1,"D","F")))))),"")</f>
        <v/>
      </c>
      <c r="D466" s="3">
        <f>IF(AND('Data Source'!B466&lt;&gt;"",'Data Source'!S466="A+"),IF('Data Source'!V466&gt;=5,"A+",IF('Data Source'!V466&gt;=4,"A",IF('Data Source'!V466&gt;=3.5,"A-",IF('Data Source'!V466&gt;=3,"B",IF('Data Source'!V466&gt;=2,"C",IF('Data Source'!V466&gt;=1,"D","F")))))),"")</f>
        <v/>
      </c>
      <c r="E466" s="3">
        <f>IF(AND('Data Source'!B466&lt;&gt;"",'Data Source'!S466="A+"),IF('Data Source'!W466&gt;=5,"A+",IF('Data Source'!W466&gt;=4,"A",IF('Data Source'!W466&gt;=3.5,"A-",IF('Data Source'!W466&gt;=3,"B",IF('Data Source'!W466&gt;=2,"C",IF('Data Source'!W466&gt;=1,"D","F")))))),"")</f>
        <v/>
      </c>
      <c r="F466" s="3">
        <f>IF(AND('Data Source'!B466&lt;&gt;"",'Data Source'!S466="A+"),IF('Data Source'!X466&gt;=5,"A+",IF('Data Source'!X466&gt;=4,"A",IF('Data Source'!X466&gt;=3.5,"A-",IF('Data Source'!X466&gt;=3,"B",IF('Data Source'!X466&gt;=2,"C",IF('Data Source'!X466&gt;=1,"D","F")))))),"")</f>
        <v/>
      </c>
      <c r="G466" s="3">
        <f>IF(AND('Data Source'!B466&lt;&gt;"",'Data Source'!S466="A+"),IF('Data Source'!Y466&gt;=5,"A+",IF('Data Source'!Y466&gt;=4,"A",IF('Data Source'!Y466&gt;=3.5,"A-",IF('Data Source'!Y466&gt;=3,"B",IF('Data Source'!Y466&gt;=2,"C",IF('Data Source'!Y466&gt;=1,"D","F")))))),"")</f>
        <v/>
      </c>
      <c r="H466" s="3">
        <f>IF(AND('Data Source'!B466&lt;&gt;"",'Data Source'!S466="A+"),IF('Data Source'!Z466&gt;=5,"A+",IF('Data Source'!Z466&gt;=4,"A",IF('Data Source'!Z466&gt;=3.5,"A-",IF('Data Source'!Z466&gt;=3,"B",IF('Data Source'!Z466&gt;=2,"C",IF('Data Source'!Z466&gt;=1,"D","F")))))),"")</f>
        <v/>
      </c>
      <c r="I466" s="3">
        <f>IF(AND('Data Source'!B466&lt;&gt;"",'Data Source'!S466="A+"),IF('Data Source'!AA466&gt;=5,"A+",IF('Data Source'!AA466&gt;=4,"A",IF('Data Source'!AA466&gt;=3.5,"A-",IF('Data Source'!AA466&gt;=3,"B",IF('Data Source'!AA466&gt;=2,"C",IF('Data Source'!AA466&gt;=1,"D","F")))))),"")</f>
        <v/>
      </c>
      <c r="J466" s="3">
        <f>IF(AND('Data Source'!B466&lt;&gt;"",'Data Source'!S466="A+"),IF('Data Source'!AB466&gt;=5,"A+",IF('Data Source'!AB466&gt;=4,"A",IF('Data Source'!AB466&gt;=3.5,"A-",IF('Data Source'!AB466&gt;=3,"B",IF('Data Source'!AB466&gt;=2,"C",IF('Data Source'!AB466&gt;=1,"D","F")))))),"")</f>
        <v/>
      </c>
      <c r="K466" s="3">
        <f>IF(AND('Data Source'!B466&lt;&gt;"",'Data Source'!S466="A+"),IF('Data Source'!AC466&gt;=5,"A+",IF('Data Source'!AC466&gt;=4,"A",IF('Data Source'!AC466&gt;=3.5,"A-",IF('Data Source'!AC466&gt;=3,"B",IF('Data Source'!AC466&gt;=2,"C",IF('Data Source'!AC466&gt;=1,"D","F")))))),"")</f>
        <v/>
      </c>
      <c r="L466" s="3">
        <f>IF(AND('Data Source'!B466&lt;&gt;"",'Data Source'!S466="A+"),IF('Data Source'!AD466&gt;=5,"A+",IF('Data Source'!AD466&gt;=4,"A",IF('Data Source'!AD466&gt;=3.5,"A-",IF('Data Source'!AD466&gt;=3,"B",IF('Data Source'!AD466&gt;=2,"C",IF('Data Source'!AD466&gt;=1,"D","F")))))),"")</f>
        <v/>
      </c>
      <c r="M466" s="3">
        <f>IF(AND('Data Source'!B466&lt;&gt;"",'Data Source'!S466="A+"),IF('Data Source'!AE466&gt;=5,"A+",IF('Data Source'!AE466&gt;=4,"A",IF('Data Source'!AE466&gt;=3.5,"A-",IF('Data Source'!AE466&gt;=3,"B",IF('Data Source'!AE466&gt;=2,"C",IF('Data Source'!AE466&gt;=1,"D","F")))))),"")</f>
        <v/>
      </c>
      <c r="N466" s="3">
        <f>IF(AND('Data Source'!B466&lt;&gt;"",'Data Source'!S466="A+"),IF('Data Source'!AF466&gt;=5,"A+",IF('Data Source'!AF466&gt;=4,"A",IF('Data Source'!AF466&gt;=3.5,"A-",IF('Data Source'!AF466&gt;=3,"B",IF('Data Source'!AF466&gt;=2,"C",IF('Data Source'!AF466&gt;=1,"D","F")))))),"")</f>
        <v/>
      </c>
      <c r="O466" s="3">
        <f>IF(AND('Data Source'!B466&lt;&gt;"",'Data Source'!S466="A+"),IF('Data Source'!AG466&gt;=5,"A+",IF('Data Source'!AG466&gt;=4,"A",IF('Data Source'!AG466&gt;=3.5,"A-",IF('Data Source'!AG466&gt;=3,"B",IF('Data Source'!AG466&gt;=2,"C",IF('Data Source'!AG466&gt;=1,"D","F")))))),"")</f>
        <v/>
      </c>
      <c r="P466" s="5">
        <f>IF(AND('Data Source'!B466&lt;&gt;"",'Data Source'!S466="A+"),'Data Source'!R466,"")</f>
        <v/>
      </c>
      <c r="Q466" s="3">
        <f>IF(AND('Data Source'!B466&lt;&gt;"",'Data Source'!S466="A+"),'Data Source'!S466,"")</f>
        <v/>
      </c>
    </row>
    <row r="467">
      <c r="A467" s="3">
        <f>IF(AND('Data Source'!B467&lt;&gt;"",'Data Source'!S467="A+"),COUNTIF('Data Source'!$S$3:S467,"A+"),"")</f>
        <v/>
      </c>
      <c r="B467">
        <f>IF(AND('Data Source'!B467&lt;&gt;"",'Data Source'!S467="A+"),'Data Source'!B467,"")</f>
        <v/>
      </c>
      <c r="C467" s="3">
        <f>IF(AND('Data Source'!B467&lt;&gt;"",'Data Source'!S467="A+"),IF('Data Source'!U467&gt;=5,"A+",IF('Data Source'!U467&gt;=4,"A",IF('Data Source'!U467&gt;=3.5,"A-",IF('Data Source'!U467&gt;=3,"B",IF('Data Source'!U467&gt;=2,"C",IF('Data Source'!U467&gt;=1,"D","F")))))),"")</f>
        <v/>
      </c>
      <c r="D467" s="3">
        <f>IF(AND('Data Source'!B467&lt;&gt;"",'Data Source'!S467="A+"),IF('Data Source'!V467&gt;=5,"A+",IF('Data Source'!V467&gt;=4,"A",IF('Data Source'!V467&gt;=3.5,"A-",IF('Data Source'!V467&gt;=3,"B",IF('Data Source'!V467&gt;=2,"C",IF('Data Source'!V467&gt;=1,"D","F")))))),"")</f>
        <v/>
      </c>
      <c r="E467" s="3">
        <f>IF(AND('Data Source'!B467&lt;&gt;"",'Data Source'!S467="A+"),IF('Data Source'!W467&gt;=5,"A+",IF('Data Source'!W467&gt;=4,"A",IF('Data Source'!W467&gt;=3.5,"A-",IF('Data Source'!W467&gt;=3,"B",IF('Data Source'!W467&gt;=2,"C",IF('Data Source'!W467&gt;=1,"D","F")))))),"")</f>
        <v/>
      </c>
      <c r="F467" s="3">
        <f>IF(AND('Data Source'!B467&lt;&gt;"",'Data Source'!S467="A+"),IF('Data Source'!X467&gt;=5,"A+",IF('Data Source'!X467&gt;=4,"A",IF('Data Source'!X467&gt;=3.5,"A-",IF('Data Source'!X467&gt;=3,"B",IF('Data Source'!X467&gt;=2,"C",IF('Data Source'!X467&gt;=1,"D","F")))))),"")</f>
        <v/>
      </c>
      <c r="G467" s="3">
        <f>IF(AND('Data Source'!B467&lt;&gt;"",'Data Source'!S467="A+"),IF('Data Source'!Y467&gt;=5,"A+",IF('Data Source'!Y467&gt;=4,"A",IF('Data Source'!Y467&gt;=3.5,"A-",IF('Data Source'!Y467&gt;=3,"B",IF('Data Source'!Y467&gt;=2,"C",IF('Data Source'!Y467&gt;=1,"D","F")))))),"")</f>
        <v/>
      </c>
      <c r="H467" s="3">
        <f>IF(AND('Data Source'!B467&lt;&gt;"",'Data Source'!S467="A+"),IF('Data Source'!Z467&gt;=5,"A+",IF('Data Source'!Z467&gt;=4,"A",IF('Data Source'!Z467&gt;=3.5,"A-",IF('Data Source'!Z467&gt;=3,"B",IF('Data Source'!Z467&gt;=2,"C",IF('Data Source'!Z467&gt;=1,"D","F")))))),"")</f>
        <v/>
      </c>
      <c r="I467" s="3">
        <f>IF(AND('Data Source'!B467&lt;&gt;"",'Data Source'!S467="A+"),IF('Data Source'!AA467&gt;=5,"A+",IF('Data Source'!AA467&gt;=4,"A",IF('Data Source'!AA467&gt;=3.5,"A-",IF('Data Source'!AA467&gt;=3,"B",IF('Data Source'!AA467&gt;=2,"C",IF('Data Source'!AA467&gt;=1,"D","F")))))),"")</f>
        <v/>
      </c>
      <c r="J467" s="3">
        <f>IF(AND('Data Source'!B467&lt;&gt;"",'Data Source'!S467="A+"),IF('Data Source'!AB467&gt;=5,"A+",IF('Data Source'!AB467&gt;=4,"A",IF('Data Source'!AB467&gt;=3.5,"A-",IF('Data Source'!AB467&gt;=3,"B",IF('Data Source'!AB467&gt;=2,"C",IF('Data Source'!AB467&gt;=1,"D","F")))))),"")</f>
        <v/>
      </c>
      <c r="K467" s="3">
        <f>IF(AND('Data Source'!B467&lt;&gt;"",'Data Source'!S467="A+"),IF('Data Source'!AC467&gt;=5,"A+",IF('Data Source'!AC467&gt;=4,"A",IF('Data Source'!AC467&gt;=3.5,"A-",IF('Data Source'!AC467&gt;=3,"B",IF('Data Source'!AC467&gt;=2,"C",IF('Data Source'!AC467&gt;=1,"D","F")))))),"")</f>
        <v/>
      </c>
      <c r="L467" s="3">
        <f>IF(AND('Data Source'!B467&lt;&gt;"",'Data Source'!S467="A+"),IF('Data Source'!AD467&gt;=5,"A+",IF('Data Source'!AD467&gt;=4,"A",IF('Data Source'!AD467&gt;=3.5,"A-",IF('Data Source'!AD467&gt;=3,"B",IF('Data Source'!AD467&gt;=2,"C",IF('Data Source'!AD467&gt;=1,"D","F")))))),"")</f>
        <v/>
      </c>
      <c r="M467" s="3">
        <f>IF(AND('Data Source'!B467&lt;&gt;"",'Data Source'!S467="A+"),IF('Data Source'!AE467&gt;=5,"A+",IF('Data Source'!AE467&gt;=4,"A",IF('Data Source'!AE467&gt;=3.5,"A-",IF('Data Source'!AE467&gt;=3,"B",IF('Data Source'!AE467&gt;=2,"C",IF('Data Source'!AE467&gt;=1,"D","F")))))),"")</f>
        <v/>
      </c>
      <c r="N467" s="3">
        <f>IF(AND('Data Source'!B467&lt;&gt;"",'Data Source'!S467="A+"),IF('Data Source'!AF467&gt;=5,"A+",IF('Data Source'!AF467&gt;=4,"A",IF('Data Source'!AF467&gt;=3.5,"A-",IF('Data Source'!AF467&gt;=3,"B",IF('Data Source'!AF467&gt;=2,"C",IF('Data Source'!AF467&gt;=1,"D","F")))))),"")</f>
        <v/>
      </c>
      <c r="O467" s="3">
        <f>IF(AND('Data Source'!B467&lt;&gt;"",'Data Source'!S467="A+"),IF('Data Source'!AG467&gt;=5,"A+",IF('Data Source'!AG467&gt;=4,"A",IF('Data Source'!AG467&gt;=3.5,"A-",IF('Data Source'!AG467&gt;=3,"B",IF('Data Source'!AG467&gt;=2,"C",IF('Data Source'!AG467&gt;=1,"D","F")))))),"")</f>
        <v/>
      </c>
      <c r="P467" s="5">
        <f>IF(AND('Data Source'!B467&lt;&gt;"",'Data Source'!S467="A+"),'Data Source'!R467,"")</f>
        <v/>
      </c>
      <c r="Q467" s="3">
        <f>IF(AND('Data Source'!B467&lt;&gt;"",'Data Source'!S467="A+"),'Data Source'!S467,"")</f>
        <v/>
      </c>
    </row>
    <row r="468">
      <c r="A468" s="3">
        <f>IF(AND('Data Source'!B468&lt;&gt;"",'Data Source'!S468="A+"),COUNTIF('Data Source'!$S$3:S468,"A+"),"")</f>
        <v/>
      </c>
      <c r="B468">
        <f>IF(AND('Data Source'!B468&lt;&gt;"",'Data Source'!S468="A+"),'Data Source'!B468,"")</f>
        <v/>
      </c>
      <c r="C468" s="3">
        <f>IF(AND('Data Source'!B468&lt;&gt;"",'Data Source'!S468="A+"),IF('Data Source'!U468&gt;=5,"A+",IF('Data Source'!U468&gt;=4,"A",IF('Data Source'!U468&gt;=3.5,"A-",IF('Data Source'!U468&gt;=3,"B",IF('Data Source'!U468&gt;=2,"C",IF('Data Source'!U468&gt;=1,"D","F")))))),"")</f>
        <v/>
      </c>
      <c r="D468" s="3">
        <f>IF(AND('Data Source'!B468&lt;&gt;"",'Data Source'!S468="A+"),IF('Data Source'!V468&gt;=5,"A+",IF('Data Source'!V468&gt;=4,"A",IF('Data Source'!V468&gt;=3.5,"A-",IF('Data Source'!V468&gt;=3,"B",IF('Data Source'!V468&gt;=2,"C",IF('Data Source'!V468&gt;=1,"D","F")))))),"")</f>
        <v/>
      </c>
      <c r="E468" s="3">
        <f>IF(AND('Data Source'!B468&lt;&gt;"",'Data Source'!S468="A+"),IF('Data Source'!W468&gt;=5,"A+",IF('Data Source'!W468&gt;=4,"A",IF('Data Source'!W468&gt;=3.5,"A-",IF('Data Source'!W468&gt;=3,"B",IF('Data Source'!W468&gt;=2,"C",IF('Data Source'!W468&gt;=1,"D","F")))))),"")</f>
        <v/>
      </c>
      <c r="F468" s="3">
        <f>IF(AND('Data Source'!B468&lt;&gt;"",'Data Source'!S468="A+"),IF('Data Source'!X468&gt;=5,"A+",IF('Data Source'!X468&gt;=4,"A",IF('Data Source'!X468&gt;=3.5,"A-",IF('Data Source'!X468&gt;=3,"B",IF('Data Source'!X468&gt;=2,"C",IF('Data Source'!X468&gt;=1,"D","F")))))),"")</f>
        <v/>
      </c>
      <c r="G468" s="3">
        <f>IF(AND('Data Source'!B468&lt;&gt;"",'Data Source'!S468="A+"),IF('Data Source'!Y468&gt;=5,"A+",IF('Data Source'!Y468&gt;=4,"A",IF('Data Source'!Y468&gt;=3.5,"A-",IF('Data Source'!Y468&gt;=3,"B",IF('Data Source'!Y468&gt;=2,"C",IF('Data Source'!Y468&gt;=1,"D","F")))))),"")</f>
        <v/>
      </c>
      <c r="H468" s="3">
        <f>IF(AND('Data Source'!B468&lt;&gt;"",'Data Source'!S468="A+"),IF('Data Source'!Z468&gt;=5,"A+",IF('Data Source'!Z468&gt;=4,"A",IF('Data Source'!Z468&gt;=3.5,"A-",IF('Data Source'!Z468&gt;=3,"B",IF('Data Source'!Z468&gt;=2,"C",IF('Data Source'!Z468&gt;=1,"D","F")))))),"")</f>
        <v/>
      </c>
      <c r="I468" s="3">
        <f>IF(AND('Data Source'!B468&lt;&gt;"",'Data Source'!S468="A+"),IF('Data Source'!AA468&gt;=5,"A+",IF('Data Source'!AA468&gt;=4,"A",IF('Data Source'!AA468&gt;=3.5,"A-",IF('Data Source'!AA468&gt;=3,"B",IF('Data Source'!AA468&gt;=2,"C",IF('Data Source'!AA468&gt;=1,"D","F")))))),"")</f>
        <v/>
      </c>
      <c r="J468" s="3">
        <f>IF(AND('Data Source'!B468&lt;&gt;"",'Data Source'!S468="A+"),IF('Data Source'!AB468&gt;=5,"A+",IF('Data Source'!AB468&gt;=4,"A",IF('Data Source'!AB468&gt;=3.5,"A-",IF('Data Source'!AB468&gt;=3,"B",IF('Data Source'!AB468&gt;=2,"C",IF('Data Source'!AB468&gt;=1,"D","F")))))),"")</f>
        <v/>
      </c>
      <c r="K468" s="3">
        <f>IF(AND('Data Source'!B468&lt;&gt;"",'Data Source'!S468="A+"),IF('Data Source'!AC468&gt;=5,"A+",IF('Data Source'!AC468&gt;=4,"A",IF('Data Source'!AC468&gt;=3.5,"A-",IF('Data Source'!AC468&gt;=3,"B",IF('Data Source'!AC468&gt;=2,"C",IF('Data Source'!AC468&gt;=1,"D","F")))))),"")</f>
        <v/>
      </c>
      <c r="L468" s="3">
        <f>IF(AND('Data Source'!B468&lt;&gt;"",'Data Source'!S468="A+"),IF('Data Source'!AD468&gt;=5,"A+",IF('Data Source'!AD468&gt;=4,"A",IF('Data Source'!AD468&gt;=3.5,"A-",IF('Data Source'!AD468&gt;=3,"B",IF('Data Source'!AD468&gt;=2,"C",IF('Data Source'!AD468&gt;=1,"D","F")))))),"")</f>
        <v/>
      </c>
      <c r="M468" s="3">
        <f>IF(AND('Data Source'!B468&lt;&gt;"",'Data Source'!S468="A+"),IF('Data Source'!AE468&gt;=5,"A+",IF('Data Source'!AE468&gt;=4,"A",IF('Data Source'!AE468&gt;=3.5,"A-",IF('Data Source'!AE468&gt;=3,"B",IF('Data Source'!AE468&gt;=2,"C",IF('Data Source'!AE468&gt;=1,"D","F")))))),"")</f>
        <v/>
      </c>
      <c r="N468" s="3">
        <f>IF(AND('Data Source'!B468&lt;&gt;"",'Data Source'!S468="A+"),IF('Data Source'!AF468&gt;=5,"A+",IF('Data Source'!AF468&gt;=4,"A",IF('Data Source'!AF468&gt;=3.5,"A-",IF('Data Source'!AF468&gt;=3,"B",IF('Data Source'!AF468&gt;=2,"C",IF('Data Source'!AF468&gt;=1,"D","F")))))),"")</f>
        <v/>
      </c>
      <c r="O468" s="3">
        <f>IF(AND('Data Source'!B468&lt;&gt;"",'Data Source'!S468="A+"),IF('Data Source'!AG468&gt;=5,"A+",IF('Data Source'!AG468&gt;=4,"A",IF('Data Source'!AG468&gt;=3.5,"A-",IF('Data Source'!AG468&gt;=3,"B",IF('Data Source'!AG468&gt;=2,"C",IF('Data Source'!AG468&gt;=1,"D","F")))))),"")</f>
        <v/>
      </c>
      <c r="P468" s="5">
        <f>IF(AND('Data Source'!B468&lt;&gt;"",'Data Source'!S468="A+"),'Data Source'!R468,"")</f>
        <v/>
      </c>
      <c r="Q468" s="3">
        <f>IF(AND('Data Source'!B468&lt;&gt;"",'Data Source'!S468="A+"),'Data Source'!S468,"")</f>
        <v/>
      </c>
    </row>
    <row r="469">
      <c r="A469" s="3">
        <f>IF(AND('Data Source'!B469&lt;&gt;"",'Data Source'!S469="A+"),COUNTIF('Data Source'!$S$3:S469,"A+"),"")</f>
        <v/>
      </c>
      <c r="B469">
        <f>IF(AND('Data Source'!B469&lt;&gt;"",'Data Source'!S469="A+"),'Data Source'!B469,"")</f>
        <v/>
      </c>
      <c r="C469" s="3">
        <f>IF(AND('Data Source'!B469&lt;&gt;"",'Data Source'!S469="A+"),IF('Data Source'!U469&gt;=5,"A+",IF('Data Source'!U469&gt;=4,"A",IF('Data Source'!U469&gt;=3.5,"A-",IF('Data Source'!U469&gt;=3,"B",IF('Data Source'!U469&gt;=2,"C",IF('Data Source'!U469&gt;=1,"D","F")))))),"")</f>
        <v/>
      </c>
      <c r="D469" s="3">
        <f>IF(AND('Data Source'!B469&lt;&gt;"",'Data Source'!S469="A+"),IF('Data Source'!V469&gt;=5,"A+",IF('Data Source'!V469&gt;=4,"A",IF('Data Source'!V469&gt;=3.5,"A-",IF('Data Source'!V469&gt;=3,"B",IF('Data Source'!V469&gt;=2,"C",IF('Data Source'!V469&gt;=1,"D","F")))))),"")</f>
        <v/>
      </c>
      <c r="E469" s="3">
        <f>IF(AND('Data Source'!B469&lt;&gt;"",'Data Source'!S469="A+"),IF('Data Source'!W469&gt;=5,"A+",IF('Data Source'!W469&gt;=4,"A",IF('Data Source'!W469&gt;=3.5,"A-",IF('Data Source'!W469&gt;=3,"B",IF('Data Source'!W469&gt;=2,"C",IF('Data Source'!W469&gt;=1,"D","F")))))),"")</f>
        <v/>
      </c>
      <c r="F469" s="3">
        <f>IF(AND('Data Source'!B469&lt;&gt;"",'Data Source'!S469="A+"),IF('Data Source'!X469&gt;=5,"A+",IF('Data Source'!X469&gt;=4,"A",IF('Data Source'!X469&gt;=3.5,"A-",IF('Data Source'!X469&gt;=3,"B",IF('Data Source'!X469&gt;=2,"C",IF('Data Source'!X469&gt;=1,"D","F")))))),"")</f>
        <v/>
      </c>
      <c r="G469" s="3">
        <f>IF(AND('Data Source'!B469&lt;&gt;"",'Data Source'!S469="A+"),IF('Data Source'!Y469&gt;=5,"A+",IF('Data Source'!Y469&gt;=4,"A",IF('Data Source'!Y469&gt;=3.5,"A-",IF('Data Source'!Y469&gt;=3,"B",IF('Data Source'!Y469&gt;=2,"C",IF('Data Source'!Y469&gt;=1,"D","F")))))),"")</f>
        <v/>
      </c>
      <c r="H469" s="3">
        <f>IF(AND('Data Source'!B469&lt;&gt;"",'Data Source'!S469="A+"),IF('Data Source'!Z469&gt;=5,"A+",IF('Data Source'!Z469&gt;=4,"A",IF('Data Source'!Z469&gt;=3.5,"A-",IF('Data Source'!Z469&gt;=3,"B",IF('Data Source'!Z469&gt;=2,"C",IF('Data Source'!Z469&gt;=1,"D","F")))))),"")</f>
        <v/>
      </c>
      <c r="I469" s="3">
        <f>IF(AND('Data Source'!B469&lt;&gt;"",'Data Source'!S469="A+"),IF('Data Source'!AA469&gt;=5,"A+",IF('Data Source'!AA469&gt;=4,"A",IF('Data Source'!AA469&gt;=3.5,"A-",IF('Data Source'!AA469&gt;=3,"B",IF('Data Source'!AA469&gt;=2,"C",IF('Data Source'!AA469&gt;=1,"D","F")))))),"")</f>
        <v/>
      </c>
      <c r="J469" s="3">
        <f>IF(AND('Data Source'!B469&lt;&gt;"",'Data Source'!S469="A+"),IF('Data Source'!AB469&gt;=5,"A+",IF('Data Source'!AB469&gt;=4,"A",IF('Data Source'!AB469&gt;=3.5,"A-",IF('Data Source'!AB469&gt;=3,"B",IF('Data Source'!AB469&gt;=2,"C",IF('Data Source'!AB469&gt;=1,"D","F")))))),"")</f>
        <v/>
      </c>
      <c r="K469" s="3">
        <f>IF(AND('Data Source'!B469&lt;&gt;"",'Data Source'!S469="A+"),IF('Data Source'!AC469&gt;=5,"A+",IF('Data Source'!AC469&gt;=4,"A",IF('Data Source'!AC469&gt;=3.5,"A-",IF('Data Source'!AC469&gt;=3,"B",IF('Data Source'!AC469&gt;=2,"C",IF('Data Source'!AC469&gt;=1,"D","F")))))),"")</f>
        <v/>
      </c>
      <c r="L469" s="3">
        <f>IF(AND('Data Source'!B469&lt;&gt;"",'Data Source'!S469="A+"),IF('Data Source'!AD469&gt;=5,"A+",IF('Data Source'!AD469&gt;=4,"A",IF('Data Source'!AD469&gt;=3.5,"A-",IF('Data Source'!AD469&gt;=3,"B",IF('Data Source'!AD469&gt;=2,"C",IF('Data Source'!AD469&gt;=1,"D","F")))))),"")</f>
        <v/>
      </c>
      <c r="M469" s="3">
        <f>IF(AND('Data Source'!B469&lt;&gt;"",'Data Source'!S469="A+"),IF('Data Source'!AE469&gt;=5,"A+",IF('Data Source'!AE469&gt;=4,"A",IF('Data Source'!AE469&gt;=3.5,"A-",IF('Data Source'!AE469&gt;=3,"B",IF('Data Source'!AE469&gt;=2,"C",IF('Data Source'!AE469&gt;=1,"D","F")))))),"")</f>
        <v/>
      </c>
      <c r="N469" s="3">
        <f>IF(AND('Data Source'!B469&lt;&gt;"",'Data Source'!S469="A+"),IF('Data Source'!AF469&gt;=5,"A+",IF('Data Source'!AF469&gt;=4,"A",IF('Data Source'!AF469&gt;=3.5,"A-",IF('Data Source'!AF469&gt;=3,"B",IF('Data Source'!AF469&gt;=2,"C",IF('Data Source'!AF469&gt;=1,"D","F")))))),"")</f>
        <v/>
      </c>
      <c r="O469" s="3">
        <f>IF(AND('Data Source'!B469&lt;&gt;"",'Data Source'!S469="A+"),IF('Data Source'!AG469&gt;=5,"A+",IF('Data Source'!AG469&gt;=4,"A",IF('Data Source'!AG469&gt;=3.5,"A-",IF('Data Source'!AG469&gt;=3,"B",IF('Data Source'!AG469&gt;=2,"C",IF('Data Source'!AG469&gt;=1,"D","F")))))),"")</f>
        <v/>
      </c>
      <c r="P469" s="5">
        <f>IF(AND('Data Source'!B469&lt;&gt;"",'Data Source'!S469="A+"),'Data Source'!R469,"")</f>
        <v/>
      </c>
      <c r="Q469" s="3">
        <f>IF(AND('Data Source'!B469&lt;&gt;"",'Data Source'!S469="A+"),'Data Source'!S469,"")</f>
        <v/>
      </c>
    </row>
    <row r="470">
      <c r="A470" s="3">
        <f>IF(AND('Data Source'!B470&lt;&gt;"",'Data Source'!S470="A+"),COUNTIF('Data Source'!$S$3:S470,"A+"),"")</f>
        <v/>
      </c>
      <c r="B470">
        <f>IF(AND('Data Source'!B470&lt;&gt;"",'Data Source'!S470="A+"),'Data Source'!B470,"")</f>
        <v/>
      </c>
      <c r="C470" s="3">
        <f>IF(AND('Data Source'!B470&lt;&gt;"",'Data Source'!S470="A+"),IF('Data Source'!U470&gt;=5,"A+",IF('Data Source'!U470&gt;=4,"A",IF('Data Source'!U470&gt;=3.5,"A-",IF('Data Source'!U470&gt;=3,"B",IF('Data Source'!U470&gt;=2,"C",IF('Data Source'!U470&gt;=1,"D","F")))))),"")</f>
        <v/>
      </c>
      <c r="D470" s="3">
        <f>IF(AND('Data Source'!B470&lt;&gt;"",'Data Source'!S470="A+"),IF('Data Source'!V470&gt;=5,"A+",IF('Data Source'!V470&gt;=4,"A",IF('Data Source'!V470&gt;=3.5,"A-",IF('Data Source'!V470&gt;=3,"B",IF('Data Source'!V470&gt;=2,"C",IF('Data Source'!V470&gt;=1,"D","F")))))),"")</f>
        <v/>
      </c>
      <c r="E470" s="3">
        <f>IF(AND('Data Source'!B470&lt;&gt;"",'Data Source'!S470="A+"),IF('Data Source'!W470&gt;=5,"A+",IF('Data Source'!W470&gt;=4,"A",IF('Data Source'!W470&gt;=3.5,"A-",IF('Data Source'!W470&gt;=3,"B",IF('Data Source'!W470&gt;=2,"C",IF('Data Source'!W470&gt;=1,"D","F")))))),"")</f>
        <v/>
      </c>
      <c r="F470" s="3">
        <f>IF(AND('Data Source'!B470&lt;&gt;"",'Data Source'!S470="A+"),IF('Data Source'!X470&gt;=5,"A+",IF('Data Source'!X470&gt;=4,"A",IF('Data Source'!X470&gt;=3.5,"A-",IF('Data Source'!X470&gt;=3,"B",IF('Data Source'!X470&gt;=2,"C",IF('Data Source'!X470&gt;=1,"D","F")))))),"")</f>
        <v/>
      </c>
      <c r="G470" s="3">
        <f>IF(AND('Data Source'!B470&lt;&gt;"",'Data Source'!S470="A+"),IF('Data Source'!Y470&gt;=5,"A+",IF('Data Source'!Y470&gt;=4,"A",IF('Data Source'!Y470&gt;=3.5,"A-",IF('Data Source'!Y470&gt;=3,"B",IF('Data Source'!Y470&gt;=2,"C",IF('Data Source'!Y470&gt;=1,"D","F")))))),"")</f>
        <v/>
      </c>
      <c r="H470" s="3">
        <f>IF(AND('Data Source'!B470&lt;&gt;"",'Data Source'!S470="A+"),IF('Data Source'!Z470&gt;=5,"A+",IF('Data Source'!Z470&gt;=4,"A",IF('Data Source'!Z470&gt;=3.5,"A-",IF('Data Source'!Z470&gt;=3,"B",IF('Data Source'!Z470&gt;=2,"C",IF('Data Source'!Z470&gt;=1,"D","F")))))),"")</f>
        <v/>
      </c>
      <c r="I470" s="3">
        <f>IF(AND('Data Source'!B470&lt;&gt;"",'Data Source'!S470="A+"),IF('Data Source'!AA470&gt;=5,"A+",IF('Data Source'!AA470&gt;=4,"A",IF('Data Source'!AA470&gt;=3.5,"A-",IF('Data Source'!AA470&gt;=3,"B",IF('Data Source'!AA470&gt;=2,"C",IF('Data Source'!AA470&gt;=1,"D","F")))))),"")</f>
        <v/>
      </c>
      <c r="J470" s="3">
        <f>IF(AND('Data Source'!B470&lt;&gt;"",'Data Source'!S470="A+"),IF('Data Source'!AB470&gt;=5,"A+",IF('Data Source'!AB470&gt;=4,"A",IF('Data Source'!AB470&gt;=3.5,"A-",IF('Data Source'!AB470&gt;=3,"B",IF('Data Source'!AB470&gt;=2,"C",IF('Data Source'!AB470&gt;=1,"D","F")))))),"")</f>
        <v/>
      </c>
      <c r="K470" s="3">
        <f>IF(AND('Data Source'!B470&lt;&gt;"",'Data Source'!S470="A+"),IF('Data Source'!AC470&gt;=5,"A+",IF('Data Source'!AC470&gt;=4,"A",IF('Data Source'!AC470&gt;=3.5,"A-",IF('Data Source'!AC470&gt;=3,"B",IF('Data Source'!AC470&gt;=2,"C",IF('Data Source'!AC470&gt;=1,"D","F")))))),"")</f>
        <v/>
      </c>
      <c r="L470" s="3">
        <f>IF(AND('Data Source'!B470&lt;&gt;"",'Data Source'!S470="A+"),IF('Data Source'!AD470&gt;=5,"A+",IF('Data Source'!AD470&gt;=4,"A",IF('Data Source'!AD470&gt;=3.5,"A-",IF('Data Source'!AD470&gt;=3,"B",IF('Data Source'!AD470&gt;=2,"C",IF('Data Source'!AD470&gt;=1,"D","F")))))),"")</f>
        <v/>
      </c>
      <c r="M470" s="3">
        <f>IF(AND('Data Source'!B470&lt;&gt;"",'Data Source'!S470="A+"),IF('Data Source'!AE470&gt;=5,"A+",IF('Data Source'!AE470&gt;=4,"A",IF('Data Source'!AE470&gt;=3.5,"A-",IF('Data Source'!AE470&gt;=3,"B",IF('Data Source'!AE470&gt;=2,"C",IF('Data Source'!AE470&gt;=1,"D","F")))))),"")</f>
        <v/>
      </c>
      <c r="N470" s="3">
        <f>IF(AND('Data Source'!B470&lt;&gt;"",'Data Source'!S470="A+"),IF('Data Source'!AF470&gt;=5,"A+",IF('Data Source'!AF470&gt;=4,"A",IF('Data Source'!AF470&gt;=3.5,"A-",IF('Data Source'!AF470&gt;=3,"B",IF('Data Source'!AF470&gt;=2,"C",IF('Data Source'!AF470&gt;=1,"D","F")))))),"")</f>
        <v/>
      </c>
      <c r="O470" s="3">
        <f>IF(AND('Data Source'!B470&lt;&gt;"",'Data Source'!S470="A+"),IF('Data Source'!AG470&gt;=5,"A+",IF('Data Source'!AG470&gt;=4,"A",IF('Data Source'!AG470&gt;=3.5,"A-",IF('Data Source'!AG470&gt;=3,"B",IF('Data Source'!AG470&gt;=2,"C",IF('Data Source'!AG470&gt;=1,"D","F")))))),"")</f>
        <v/>
      </c>
      <c r="P470" s="5">
        <f>IF(AND('Data Source'!B470&lt;&gt;"",'Data Source'!S470="A+"),'Data Source'!R470,"")</f>
        <v/>
      </c>
      <c r="Q470" s="3">
        <f>IF(AND('Data Source'!B470&lt;&gt;"",'Data Source'!S470="A+"),'Data Source'!S470,"")</f>
        <v/>
      </c>
    </row>
    <row r="471">
      <c r="A471" s="3">
        <f>IF(AND('Data Source'!B471&lt;&gt;"",'Data Source'!S471="A+"),COUNTIF('Data Source'!$S$3:S471,"A+"),"")</f>
        <v/>
      </c>
      <c r="B471">
        <f>IF(AND('Data Source'!B471&lt;&gt;"",'Data Source'!S471="A+"),'Data Source'!B471,"")</f>
        <v/>
      </c>
      <c r="C471" s="3">
        <f>IF(AND('Data Source'!B471&lt;&gt;"",'Data Source'!S471="A+"),IF('Data Source'!U471&gt;=5,"A+",IF('Data Source'!U471&gt;=4,"A",IF('Data Source'!U471&gt;=3.5,"A-",IF('Data Source'!U471&gt;=3,"B",IF('Data Source'!U471&gt;=2,"C",IF('Data Source'!U471&gt;=1,"D","F")))))),"")</f>
        <v/>
      </c>
      <c r="D471" s="3">
        <f>IF(AND('Data Source'!B471&lt;&gt;"",'Data Source'!S471="A+"),IF('Data Source'!V471&gt;=5,"A+",IF('Data Source'!V471&gt;=4,"A",IF('Data Source'!V471&gt;=3.5,"A-",IF('Data Source'!V471&gt;=3,"B",IF('Data Source'!V471&gt;=2,"C",IF('Data Source'!V471&gt;=1,"D","F")))))),"")</f>
        <v/>
      </c>
      <c r="E471" s="3">
        <f>IF(AND('Data Source'!B471&lt;&gt;"",'Data Source'!S471="A+"),IF('Data Source'!W471&gt;=5,"A+",IF('Data Source'!W471&gt;=4,"A",IF('Data Source'!W471&gt;=3.5,"A-",IF('Data Source'!W471&gt;=3,"B",IF('Data Source'!W471&gt;=2,"C",IF('Data Source'!W471&gt;=1,"D","F")))))),"")</f>
        <v/>
      </c>
      <c r="F471" s="3">
        <f>IF(AND('Data Source'!B471&lt;&gt;"",'Data Source'!S471="A+"),IF('Data Source'!X471&gt;=5,"A+",IF('Data Source'!X471&gt;=4,"A",IF('Data Source'!X471&gt;=3.5,"A-",IF('Data Source'!X471&gt;=3,"B",IF('Data Source'!X471&gt;=2,"C",IF('Data Source'!X471&gt;=1,"D","F")))))),"")</f>
        <v/>
      </c>
      <c r="G471" s="3">
        <f>IF(AND('Data Source'!B471&lt;&gt;"",'Data Source'!S471="A+"),IF('Data Source'!Y471&gt;=5,"A+",IF('Data Source'!Y471&gt;=4,"A",IF('Data Source'!Y471&gt;=3.5,"A-",IF('Data Source'!Y471&gt;=3,"B",IF('Data Source'!Y471&gt;=2,"C",IF('Data Source'!Y471&gt;=1,"D","F")))))),"")</f>
        <v/>
      </c>
      <c r="H471" s="3">
        <f>IF(AND('Data Source'!B471&lt;&gt;"",'Data Source'!S471="A+"),IF('Data Source'!Z471&gt;=5,"A+",IF('Data Source'!Z471&gt;=4,"A",IF('Data Source'!Z471&gt;=3.5,"A-",IF('Data Source'!Z471&gt;=3,"B",IF('Data Source'!Z471&gt;=2,"C",IF('Data Source'!Z471&gt;=1,"D","F")))))),"")</f>
        <v/>
      </c>
      <c r="I471" s="3">
        <f>IF(AND('Data Source'!B471&lt;&gt;"",'Data Source'!S471="A+"),IF('Data Source'!AA471&gt;=5,"A+",IF('Data Source'!AA471&gt;=4,"A",IF('Data Source'!AA471&gt;=3.5,"A-",IF('Data Source'!AA471&gt;=3,"B",IF('Data Source'!AA471&gt;=2,"C",IF('Data Source'!AA471&gt;=1,"D","F")))))),"")</f>
        <v/>
      </c>
      <c r="J471" s="3">
        <f>IF(AND('Data Source'!B471&lt;&gt;"",'Data Source'!S471="A+"),IF('Data Source'!AB471&gt;=5,"A+",IF('Data Source'!AB471&gt;=4,"A",IF('Data Source'!AB471&gt;=3.5,"A-",IF('Data Source'!AB471&gt;=3,"B",IF('Data Source'!AB471&gt;=2,"C",IF('Data Source'!AB471&gt;=1,"D","F")))))),"")</f>
        <v/>
      </c>
      <c r="K471" s="3">
        <f>IF(AND('Data Source'!B471&lt;&gt;"",'Data Source'!S471="A+"),IF('Data Source'!AC471&gt;=5,"A+",IF('Data Source'!AC471&gt;=4,"A",IF('Data Source'!AC471&gt;=3.5,"A-",IF('Data Source'!AC471&gt;=3,"B",IF('Data Source'!AC471&gt;=2,"C",IF('Data Source'!AC471&gt;=1,"D","F")))))),"")</f>
        <v/>
      </c>
      <c r="L471" s="3">
        <f>IF(AND('Data Source'!B471&lt;&gt;"",'Data Source'!S471="A+"),IF('Data Source'!AD471&gt;=5,"A+",IF('Data Source'!AD471&gt;=4,"A",IF('Data Source'!AD471&gt;=3.5,"A-",IF('Data Source'!AD471&gt;=3,"B",IF('Data Source'!AD471&gt;=2,"C",IF('Data Source'!AD471&gt;=1,"D","F")))))),"")</f>
        <v/>
      </c>
      <c r="M471" s="3">
        <f>IF(AND('Data Source'!B471&lt;&gt;"",'Data Source'!S471="A+"),IF('Data Source'!AE471&gt;=5,"A+",IF('Data Source'!AE471&gt;=4,"A",IF('Data Source'!AE471&gt;=3.5,"A-",IF('Data Source'!AE471&gt;=3,"B",IF('Data Source'!AE471&gt;=2,"C",IF('Data Source'!AE471&gt;=1,"D","F")))))),"")</f>
        <v/>
      </c>
      <c r="N471" s="3">
        <f>IF(AND('Data Source'!B471&lt;&gt;"",'Data Source'!S471="A+"),IF('Data Source'!AF471&gt;=5,"A+",IF('Data Source'!AF471&gt;=4,"A",IF('Data Source'!AF471&gt;=3.5,"A-",IF('Data Source'!AF471&gt;=3,"B",IF('Data Source'!AF471&gt;=2,"C",IF('Data Source'!AF471&gt;=1,"D","F")))))),"")</f>
        <v/>
      </c>
      <c r="O471" s="3">
        <f>IF(AND('Data Source'!B471&lt;&gt;"",'Data Source'!S471="A+"),IF('Data Source'!AG471&gt;=5,"A+",IF('Data Source'!AG471&gt;=4,"A",IF('Data Source'!AG471&gt;=3.5,"A-",IF('Data Source'!AG471&gt;=3,"B",IF('Data Source'!AG471&gt;=2,"C",IF('Data Source'!AG471&gt;=1,"D","F")))))),"")</f>
        <v/>
      </c>
      <c r="P471" s="5">
        <f>IF(AND('Data Source'!B471&lt;&gt;"",'Data Source'!S471="A+"),'Data Source'!R471,"")</f>
        <v/>
      </c>
      <c r="Q471" s="3">
        <f>IF(AND('Data Source'!B471&lt;&gt;"",'Data Source'!S471="A+"),'Data Source'!S471,"")</f>
        <v/>
      </c>
    </row>
    <row r="472">
      <c r="A472" s="3">
        <f>IF(AND('Data Source'!B472&lt;&gt;"",'Data Source'!S472="A+"),COUNTIF('Data Source'!$S$3:S472,"A+"),"")</f>
        <v/>
      </c>
      <c r="B472">
        <f>IF(AND('Data Source'!B472&lt;&gt;"",'Data Source'!S472="A+"),'Data Source'!B472,"")</f>
        <v/>
      </c>
      <c r="C472" s="3">
        <f>IF(AND('Data Source'!B472&lt;&gt;"",'Data Source'!S472="A+"),IF('Data Source'!U472&gt;=5,"A+",IF('Data Source'!U472&gt;=4,"A",IF('Data Source'!U472&gt;=3.5,"A-",IF('Data Source'!U472&gt;=3,"B",IF('Data Source'!U472&gt;=2,"C",IF('Data Source'!U472&gt;=1,"D","F")))))),"")</f>
        <v/>
      </c>
      <c r="D472" s="3">
        <f>IF(AND('Data Source'!B472&lt;&gt;"",'Data Source'!S472="A+"),IF('Data Source'!V472&gt;=5,"A+",IF('Data Source'!V472&gt;=4,"A",IF('Data Source'!V472&gt;=3.5,"A-",IF('Data Source'!V472&gt;=3,"B",IF('Data Source'!V472&gt;=2,"C",IF('Data Source'!V472&gt;=1,"D","F")))))),"")</f>
        <v/>
      </c>
      <c r="E472" s="3">
        <f>IF(AND('Data Source'!B472&lt;&gt;"",'Data Source'!S472="A+"),IF('Data Source'!W472&gt;=5,"A+",IF('Data Source'!W472&gt;=4,"A",IF('Data Source'!W472&gt;=3.5,"A-",IF('Data Source'!W472&gt;=3,"B",IF('Data Source'!W472&gt;=2,"C",IF('Data Source'!W472&gt;=1,"D","F")))))),"")</f>
        <v/>
      </c>
      <c r="F472" s="3">
        <f>IF(AND('Data Source'!B472&lt;&gt;"",'Data Source'!S472="A+"),IF('Data Source'!X472&gt;=5,"A+",IF('Data Source'!X472&gt;=4,"A",IF('Data Source'!X472&gt;=3.5,"A-",IF('Data Source'!X472&gt;=3,"B",IF('Data Source'!X472&gt;=2,"C",IF('Data Source'!X472&gt;=1,"D","F")))))),"")</f>
        <v/>
      </c>
      <c r="G472" s="3">
        <f>IF(AND('Data Source'!B472&lt;&gt;"",'Data Source'!S472="A+"),IF('Data Source'!Y472&gt;=5,"A+",IF('Data Source'!Y472&gt;=4,"A",IF('Data Source'!Y472&gt;=3.5,"A-",IF('Data Source'!Y472&gt;=3,"B",IF('Data Source'!Y472&gt;=2,"C",IF('Data Source'!Y472&gt;=1,"D","F")))))),"")</f>
        <v/>
      </c>
      <c r="H472" s="3">
        <f>IF(AND('Data Source'!B472&lt;&gt;"",'Data Source'!S472="A+"),IF('Data Source'!Z472&gt;=5,"A+",IF('Data Source'!Z472&gt;=4,"A",IF('Data Source'!Z472&gt;=3.5,"A-",IF('Data Source'!Z472&gt;=3,"B",IF('Data Source'!Z472&gt;=2,"C",IF('Data Source'!Z472&gt;=1,"D","F")))))),"")</f>
        <v/>
      </c>
      <c r="I472" s="3">
        <f>IF(AND('Data Source'!B472&lt;&gt;"",'Data Source'!S472="A+"),IF('Data Source'!AA472&gt;=5,"A+",IF('Data Source'!AA472&gt;=4,"A",IF('Data Source'!AA472&gt;=3.5,"A-",IF('Data Source'!AA472&gt;=3,"B",IF('Data Source'!AA472&gt;=2,"C",IF('Data Source'!AA472&gt;=1,"D","F")))))),"")</f>
        <v/>
      </c>
      <c r="J472" s="3">
        <f>IF(AND('Data Source'!B472&lt;&gt;"",'Data Source'!S472="A+"),IF('Data Source'!AB472&gt;=5,"A+",IF('Data Source'!AB472&gt;=4,"A",IF('Data Source'!AB472&gt;=3.5,"A-",IF('Data Source'!AB472&gt;=3,"B",IF('Data Source'!AB472&gt;=2,"C",IF('Data Source'!AB472&gt;=1,"D","F")))))),"")</f>
        <v/>
      </c>
      <c r="K472" s="3">
        <f>IF(AND('Data Source'!B472&lt;&gt;"",'Data Source'!S472="A+"),IF('Data Source'!AC472&gt;=5,"A+",IF('Data Source'!AC472&gt;=4,"A",IF('Data Source'!AC472&gt;=3.5,"A-",IF('Data Source'!AC472&gt;=3,"B",IF('Data Source'!AC472&gt;=2,"C",IF('Data Source'!AC472&gt;=1,"D","F")))))),"")</f>
        <v/>
      </c>
      <c r="L472" s="3">
        <f>IF(AND('Data Source'!B472&lt;&gt;"",'Data Source'!S472="A+"),IF('Data Source'!AD472&gt;=5,"A+",IF('Data Source'!AD472&gt;=4,"A",IF('Data Source'!AD472&gt;=3.5,"A-",IF('Data Source'!AD472&gt;=3,"B",IF('Data Source'!AD472&gt;=2,"C",IF('Data Source'!AD472&gt;=1,"D","F")))))),"")</f>
        <v/>
      </c>
      <c r="M472" s="3">
        <f>IF(AND('Data Source'!B472&lt;&gt;"",'Data Source'!S472="A+"),IF('Data Source'!AE472&gt;=5,"A+",IF('Data Source'!AE472&gt;=4,"A",IF('Data Source'!AE472&gt;=3.5,"A-",IF('Data Source'!AE472&gt;=3,"B",IF('Data Source'!AE472&gt;=2,"C",IF('Data Source'!AE472&gt;=1,"D","F")))))),"")</f>
        <v/>
      </c>
      <c r="N472" s="3">
        <f>IF(AND('Data Source'!B472&lt;&gt;"",'Data Source'!S472="A+"),IF('Data Source'!AF472&gt;=5,"A+",IF('Data Source'!AF472&gt;=4,"A",IF('Data Source'!AF472&gt;=3.5,"A-",IF('Data Source'!AF472&gt;=3,"B",IF('Data Source'!AF472&gt;=2,"C",IF('Data Source'!AF472&gt;=1,"D","F")))))),"")</f>
        <v/>
      </c>
      <c r="O472" s="3">
        <f>IF(AND('Data Source'!B472&lt;&gt;"",'Data Source'!S472="A+"),IF('Data Source'!AG472&gt;=5,"A+",IF('Data Source'!AG472&gt;=4,"A",IF('Data Source'!AG472&gt;=3.5,"A-",IF('Data Source'!AG472&gt;=3,"B",IF('Data Source'!AG472&gt;=2,"C",IF('Data Source'!AG472&gt;=1,"D","F")))))),"")</f>
        <v/>
      </c>
      <c r="P472" s="5">
        <f>IF(AND('Data Source'!B472&lt;&gt;"",'Data Source'!S472="A+"),'Data Source'!R472,"")</f>
        <v/>
      </c>
      <c r="Q472" s="3">
        <f>IF(AND('Data Source'!B472&lt;&gt;"",'Data Source'!S472="A+"),'Data Source'!S472,"")</f>
        <v/>
      </c>
    </row>
    <row r="473">
      <c r="A473" s="3">
        <f>IF(AND('Data Source'!B473&lt;&gt;"",'Data Source'!S473="A+"),COUNTIF('Data Source'!$S$3:S473,"A+"),"")</f>
        <v/>
      </c>
      <c r="B473">
        <f>IF(AND('Data Source'!B473&lt;&gt;"",'Data Source'!S473="A+"),'Data Source'!B473,"")</f>
        <v/>
      </c>
      <c r="C473" s="3">
        <f>IF(AND('Data Source'!B473&lt;&gt;"",'Data Source'!S473="A+"),IF('Data Source'!U473&gt;=5,"A+",IF('Data Source'!U473&gt;=4,"A",IF('Data Source'!U473&gt;=3.5,"A-",IF('Data Source'!U473&gt;=3,"B",IF('Data Source'!U473&gt;=2,"C",IF('Data Source'!U473&gt;=1,"D","F")))))),"")</f>
        <v/>
      </c>
      <c r="D473" s="3">
        <f>IF(AND('Data Source'!B473&lt;&gt;"",'Data Source'!S473="A+"),IF('Data Source'!V473&gt;=5,"A+",IF('Data Source'!V473&gt;=4,"A",IF('Data Source'!V473&gt;=3.5,"A-",IF('Data Source'!V473&gt;=3,"B",IF('Data Source'!V473&gt;=2,"C",IF('Data Source'!V473&gt;=1,"D","F")))))),"")</f>
        <v/>
      </c>
      <c r="E473" s="3">
        <f>IF(AND('Data Source'!B473&lt;&gt;"",'Data Source'!S473="A+"),IF('Data Source'!W473&gt;=5,"A+",IF('Data Source'!W473&gt;=4,"A",IF('Data Source'!W473&gt;=3.5,"A-",IF('Data Source'!W473&gt;=3,"B",IF('Data Source'!W473&gt;=2,"C",IF('Data Source'!W473&gt;=1,"D","F")))))),"")</f>
        <v/>
      </c>
      <c r="F473" s="3">
        <f>IF(AND('Data Source'!B473&lt;&gt;"",'Data Source'!S473="A+"),IF('Data Source'!X473&gt;=5,"A+",IF('Data Source'!X473&gt;=4,"A",IF('Data Source'!X473&gt;=3.5,"A-",IF('Data Source'!X473&gt;=3,"B",IF('Data Source'!X473&gt;=2,"C",IF('Data Source'!X473&gt;=1,"D","F")))))),"")</f>
        <v/>
      </c>
      <c r="G473" s="3">
        <f>IF(AND('Data Source'!B473&lt;&gt;"",'Data Source'!S473="A+"),IF('Data Source'!Y473&gt;=5,"A+",IF('Data Source'!Y473&gt;=4,"A",IF('Data Source'!Y473&gt;=3.5,"A-",IF('Data Source'!Y473&gt;=3,"B",IF('Data Source'!Y473&gt;=2,"C",IF('Data Source'!Y473&gt;=1,"D","F")))))),"")</f>
        <v/>
      </c>
      <c r="H473" s="3">
        <f>IF(AND('Data Source'!B473&lt;&gt;"",'Data Source'!S473="A+"),IF('Data Source'!Z473&gt;=5,"A+",IF('Data Source'!Z473&gt;=4,"A",IF('Data Source'!Z473&gt;=3.5,"A-",IF('Data Source'!Z473&gt;=3,"B",IF('Data Source'!Z473&gt;=2,"C",IF('Data Source'!Z473&gt;=1,"D","F")))))),"")</f>
        <v/>
      </c>
      <c r="I473" s="3">
        <f>IF(AND('Data Source'!B473&lt;&gt;"",'Data Source'!S473="A+"),IF('Data Source'!AA473&gt;=5,"A+",IF('Data Source'!AA473&gt;=4,"A",IF('Data Source'!AA473&gt;=3.5,"A-",IF('Data Source'!AA473&gt;=3,"B",IF('Data Source'!AA473&gt;=2,"C",IF('Data Source'!AA473&gt;=1,"D","F")))))),"")</f>
        <v/>
      </c>
      <c r="J473" s="3">
        <f>IF(AND('Data Source'!B473&lt;&gt;"",'Data Source'!S473="A+"),IF('Data Source'!AB473&gt;=5,"A+",IF('Data Source'!AB473&gt;=4,"A",IF('Data Source'!AB473&gt;=3.5,"A-",IF('Data Source'!AB473&gt;=3,"B",IF('Data Source'!AB473&gt;=2,"C",IF('Data Source'!AB473&gt;=1,"D","F")))))),"")</f>
        <v/>
      </c>
      <c r="K473" s="3">
        <f>IF(AND('Data Source'!B473&lt;&gt;"",'Data Source'!S473="A+"),IF('Data Source'!AC473&gt;=5,"A+",IF('Data Source'!AC473&gt;=4,"A",IF('Data Source'!AC473&gt;=3.5,"A-",IF('Data Source'!AC473&gt;=3,"B",IF('Data Source'!AC473&gt;=2,"C",IF('Data Source'!AC473&gt;=1,"D","F")))))),"")</f>
        <v/>
      </c>
      <c r="L473" s="3">
        <f>IF(AND('Data Source'!B473&lt;&gt;"",'Data Source'!S473="A+"),IF('Data Source'!AD473&gt;=5,"A+",IF('Data Source'!AD473&gt;=4,"A",IF('Data Source'!AD473&gt;=3.5,"A-",IF('Data Source'!AD473&gt;=3,"B",IF('Data Source'!AD473&gt;=2,"C",IF('Data Source'!AD473&gt;=1,"D","F")))))),"")</f>
        <v/>
      </c>
      <c r="M473" s="3">
        <f>IF(AND('Data Source'!B473&lt;&gt;"",'Data Source'!S473="A+"),IF('Data Source'!AE473&gt;=5,"A+",IF('Data Source'!AE473&gt;=4,"A",IF('Data Source'!AE473&gt;=3.5,"A-",IF('Data Source'!AE473&gt;=3,"B",IF('Data Source'!AE473&gt;=2,"C",IF('Data Source'!AE473&gt;=1,"D","F")))))),"")</f>
        <v/>
      </c>
      <c r="N473" s="3">
        <f>IF(AND('Data Source'!B473&lt;&gt;"",'Data Source'!S473="A+"),IF('Data Source'!AF473&gt;=5,"A+",IF('Data Source'!AF473&gt;=4,"A",IF('Data Source'!AF473&gt;=3.5,"A-",IF('Data Source'!AF473&gt;=3,"B",IF('Data Source'!AF473&gt;=2,"C",IF('Data Source'!AF473&gt;=1,"D","F")))))),"")</f>
        <v/>
      </c>
      <c r="O473" s="3">
        <f>IF(AND('Data Source'!B473&lt;&gt;"",'Data Source'!S473="A+"),IF('Data Source'!AG473&gt;=5,"A+",IF('Data Source'!AG473&gt;=4,"A",IF('Data Source'!AG473&gt;=3.5,"A-",IF('Data Source'!AG473&gt;=3,"B",IF('Data Source'!AG473&gt;=2,"C",IF('Data Source'!AG473&gt;=1,"D","F")))))),"")</f>
        <v/>
      </c>
      <c r="P473" s="5">
        <f>IF(AND('Data Source'!B473&lt;&gt;"",'Data Source'!S473="A+"),'Data Source'!R473,"")</f>
        <v/>
      </c>
      <c r="Q473" s="3">
        <f>IF(AND('Data Source'!B473&lt;&gt;"",'Data Source'!S473="A+"),'Data Source'!S473,"")</f>
        <v/>
      </c>
    </row>
    <row r="474">
      <c r="A474" s="3">
        <f>IF(AND('Data Source'!B474&lt;&gt;"",'Data Source'!S474="A+"),COUNTIF('Data Source'!$S$3:S474,"A+"),"")</f>
        <v/>
      </c>
      <c r="B474">
        <f>IF(AND('Data Source'!B474&lt;&gt;"",'Data Source'!S474="A+"),'Data Source'!B474,"")</f>
        <v/>
      </c>
      <c r="C474" s="3">
        <f>IF(AND('Data Source'!B474&lt;&gt;"",'Data Source'!S474="A+"),IF('Data Source'!U474&gt;=5,"A+",IF('Data Source'!U474&gt;=4,"A",IF('Data Source'!U474&gt;=3.5,"A-",IF('Data Source'!U474&gt;=3,"B",IF('Data Source'!U474&gt;=2,"C",IF('Data Source'!U474&gt;=1,"D","F")))))),"")</f>
        <v/>
      </c>
      <c r="D474" s="3">
        <f>IF(AND('Data Source'!B474&lt;&gt;"",'Data Source'!S474="A+"),IF('Data Source'!V474&gt;=5,"A+",IF('Data Source'!V474&gt;=4,"A",IF('Data Source'!V474&gt;=3.5,"A-",IF('Data Source'!V474&gt;=3,"B",IF('Data Source'!V474&gt;=2,"C",IF('Data Source'!V474&gt;=1,"D","F")))))),"")</f>
        <v/>
      </c>
      <c r="E474" s="3">
        <f>IF(AND('Data Source'!B474&lt;&gt;"",'Data Source'!S474="A+"),IF('Data Source'!W474&gt;=5,"A+",IF('Data Source'!W474&gt;=4,"A",IF('Data Source'!W474&gt;=3.5,"A-",IF('Data Source'!W474&gt;=3,"B",IF('Data Source'!W474&gt;=2,"C",IF('Data Source'!W474&gt;=1,"D","F")))))),"")</f>
        <v/>
      </c>
      <c r="F474" s="3">
        <f>IF(AND('Data Source'!B474&lt;&gt;"",'Data Source'!S474="A+"),IF('Data Source'!X474&gt;=5,"A+",IF('Data Source'!X474&gt;=4,"A",IF('Data Source'!X474&gt;=3.5,"A-",IF('Data Source'!X474&gt;=3,"B",IF('Data Source'!X474&gt;=2,"C",IF('Data Source'!X474&gt;=1,"D","F")))))),"")</f>
        <v/>
      </c>
      <c r="G474" s="3">
        <f>IF(AND('Data Source'!B474&lt;&gt;"",'Data Source'!S474="A+"),IF('Data Source'!Y474&gt;=5,"A+",IF('Data Source'!Y474&gt;=4,"A",IF('Data Source'!Y474&gt;=3.5,"A-",IF('Data Source'!Y474&gt;=3,"B",IF('Data Source'!Y474&gt;=2,"C",IF('Data Source'!Y474&gt;=1,"D","F")))))),"")</f>
        <v/>
      </c>
      <c r="H474" s="3">
        <f>IF(AND('Data Source'!B474&lt;&gt;"",'Data Source'!S474="A+"),IF('Data Source'!Z474&gt;=5,"A+",IF('Data Source'!Z474&gt;=4,"A",IF('Data Source'!Z474&gt;=3.5,"A-",IF('Data Source'!Z474&gt;=3,"B",IF('Data Source'!Z474&gt;=2,"C",IF('Data Source'!Z474&gt;=1,"D","F")))))),"")</f>
        <v/>
      </c>
      <c r="I474" s="3">
        <f>IF(AND('Data Source'!B474&lt;&gt;"",'Data Source'!S474="A+"),IF('Data Source'!AA474&gt;=5,"A+",IF('Data Source'!AA474&gt;=4,"A",IF('Data Source'!AA474&gt;=3.5,"A-",IF('Data Source'!AA474&gt;=3,"B",IF('Data Source'!AA474&gt;=2,"C",IF('Data Source'!AA474&gt;=1,"D","F")))))),"")</f>
        <v/>
      </c>
      <c r="J474" s="3">
        <f>IF(AND('Data Source'!B474&lt;&gt;"",'Data Source'!S474="A+"),IF('Data Source'!AB474&gt;=5,"A+",IF('Data Source'!AB474&gt;=4,"A",IF('Data Source'!AB474&gt;=3.5,"A-",IF('Data Source'!AB474&gt;=3,"B",IF('Data Source'!AB474&gt;=2,"C",IF('Data Source'!AB474&gt;=1,"D","F")))))),"")</f>
        <v/>
      </c>
      <c r="K474" s="3">
        <f>IF(AND('Data Source'!B474&lt;&gt;"",'Data Source'!S474="A+"),IF('Data Source'!AC474&gt;=5,"A+",IF('Data Source'!AC474&gt;=4,"A",IF('Data Source'!AC474&gt;=3.5,"A-",IF('Data Source'!AC474&gt;=3,"B",IF('Data Source'!AC474&gt;=2,"C",IF('Data Source'!AC474&gt;=1,"D","F")))))),"")</f>
        <v/>
      </c>
      <c r="L474" s="3">
        <f>IF(AND('Data Source'!B474&lt;&gt;"",'Data Source'!S474="A+"),IF('Data Source'!AD474&gt;=5,"A+",IF('Data Source'!AD474&gt;=4,"A",IF('Data Source'!AD474&gt;=3.5,"A-",IF('Data Source'!AD474&gt;=3,"B",IF('Data Source'!AD474&gt;=2,"C",IF('Data Source'!AD474&gt;=1,"D","F")))))),"")</f>
        <v/>
      </c>
      <c r="M474" s="3">
        <f>IF(AND('Data Source'!B474&lt;&gt;"",'Data Source'!S474="A+"),IF('Data Source'!AE474&gt;=5,"A+",IF('Data Source'!AE474&gt;=4,"A",IF('Data Source'!AE474&gt;=3.5,"A-",IF('Data Source'!AE474&gt;=3,"B",IF('Data Source'!AE474&gt;=2,"C",IF('Data Source'!AE474&gt;=1,"D","F")))))),"")</f>
        <v/>
      </c>
      <c r="N474" s="3">
        <f>IF(AND('Data Source'!B474&lt;&gt;"",'Data Source'!S474="A+"),IF('Data Source'!AF474&gt;=5,"A+",IF('Data Source'!AF474&gt;=4,"A",IF('Data Source'!AF474&gt;=3.5,"A-",IF('Data Source'!AF474&gt;=3,"B",IF('Data Source'!AF474&gt;=2,"C",IF('Data Source'!AF474&gt;=1,"D","F")))))),"")</f>
        <v/>
      </c>
      <c r="O474" s="3">
        <f>IF(AND('Data Source'!B474&lt;&gt;"",'Data Source'!S474="A+"),IF('Data Source'!AG474&gt;=5,"A+",IF('Data Source'!AG474&gt;=4,"A",IF('Data Source'!AG474&gt;=3.5,"A-",IF('Data Source'!AG474&gt;=3,"B",IF('Data Source'!AG474&gt;=2,"C",IF('Data Source'!AG474&gt;=1,"D","F")))))),"")</f>
        <v/>
      </c>
      <c r="P474" s="5">
        <f>IF(AND('Data Source'!B474&lt;&gt;"",'Data Source'!S474="A+"),'Data Source'!R474,"")</f>
        <v/>
      </c>
      <c r="Q474" s="3">
        <f>IF(AND('Data Source'!B474&lt;&gt;"",'Data Source'!S474="A+"),'Data Source'!S474,"")</f>
        <v/>
      </c>
    </row>
    <row r="475">
      <c r="A475" s="3">
        <f>IF(AND('Data Source'!B475&lt;&gt;"",'Data Source'!S475="A+"),COUNTIF('Data Source'!$S$3:S475,"A+"),"")</f>
        <v/>
      </c>
      <c r="B475">
        <f>IF(AND('Data Source'!B475&lt;&gt;"",'Data Source'!S475="A+"),'Data Source'!B475,"")</f>
        <v/>
      </c>
      <c r="C475" s="3">
        <f>IF(AND('Data Source'!B475&lt;&gt;"",'Data Source'!S475="A+"),IF('Data Source'!U475&gt;=5,"A+",IF('Data Source'!U475&gt;=4,"A",IF('Data Source'!U475&gt;=3.5,"A-",IF('Data Source'!U475&gt;=3,"B",IF('Data Source'!U475&gt;=2,"C",IF('Data Source'!U475&gt;=1,"D","F")))))),"")</f>
        <v/>
      </c>
      <c r="D475" s="3">
        <f>IF(AND('Data Source'!B475&lt;&gt;"",'Data Source'!S475="A+"),IF('Data Source'!V475&gt;=5,"A+",IF('Data Source'!V475&gt;=4,"A",IF('Data Source'!V475&gt;=3.5,"A-",IF('Data Source'!V475&gt;=3,"B",IF('Data Source'!V475&gt;=2,"C",IF('Data Source'!V475&gt;=1,"D","F")))))),"")</f>
        <v/>
      </c>
      <c r="E475" s="3">
        <f>IF(AND('Data Source'!B475&lt;&gt;"",'Data Source'!S475="A+"),IF('Data Source'!W475&gt;=5,"A+",IF('Data Source'!W475&gt;=4,"A",IF('Data Source'!W475&gt;=3.5,"A-",IF('Data Source'!W475&gt;=3,"B",IF('Data Source'!W475&gt;=2,"C",IF('Data Source'!W475&gt;=1,"D","F")))))),"")</f>
        <v/>
      </c>
      <c r="F475" s="3">
        <f>IF(AND('Data Source'!B475&lt;&gt;"",'Data Source'!S475="A+"),IF('Data Source'!X475&gt;=5,"A+",IF('Data Source'!X475&gt;=4,"A",IF('Data Source'!X475&gt;=3.5,"A-",IF('Data Source'!X475&gt;=3,"B",IF('Data Source'!X475&gt;=2,"C",IF('Data Source'!X475&gt;=1,"D","F")))))),"")</f>
        <v/>
      </c>
      <c r="G475" s="3">
        <f>IF(AND('Data Source'!B475&lt;&gt;"",'Data Source'!S475="A+"),IF('Data Source'!Y475&gt;=5,"A+",IF('Data Source'!Y475&gt;=4,"A",IF('Data Source'!Y475&gt;=3.5,"A-",IF('Data Source'!Y475&gt;=3,"B",IF('Data Source'!Y475&gt;=2,"C",IF('Data Source'!Y475&gt;=1,"D","F")))))),"")</f>
        <v/>
      </c>
      <c r="H475" s="3">
        <f>IF(AND('Data Source'!B475&lt;&gt;"",'Data Source'!S475="A+"),IF('Data Source'!Z475&gt;=5,"A+",IF('Data Source'!Z475&gt;=4,"A",IF('Data Source'!Z475&gt;=3.5,"A-",IF('Data Source'!Z475&gt;=3,"B",IF('Data Source'!Z475&gt;=2,"C",IF('Data Source'!Z475&gt;=1,"D","F")))))),"")</f>
        <v/>
      </c>
      <c r="I475" s="3">
        <f>IF(AND('Data Source'!B475&lt;&gt;"",'Data Source'!S475="A+"),IF('Data Source'!AA475&gt;=5,"A+",IF('Data Source'!AA475&gt;=4,"A",IF('Data Source'!AA475&gt;=3.5,"A-",IF('Data Source'!AA475&gt;=3,"B",IF('Data Source'!AA475&gt;=2,"C",IF('Data Source'!AA475&gt;=1,"D","F")))))),"")</f>
        <v/>
      </c>
      <c r="J475" s="3">
        <f>IF(AND('Data Source'!B475&lt;&gt;"",'Data Source'!S475="A+"),IF('Data Source'!AB475&gt;=5,"A+",IF('Data Source'!AB475&gt;=4,"A",IF('Data Source'!AB475&gt;=3.5,"A-",IF('Data Source'!AB475&gt;=3,"B",IF('Data Source'!AB475&gt;=2,"C",IF('Data Source'!AB475&gt;=1,"D","F")))))),"")</f>
        <v/>
      </c>
      <c r="K475" s="3">
        <f>IF(AND('Data Source'!B475&lt;&gt;"",'Data Source'!S475="A+"),IF('Data Source'!AC475&gt;=5,"A+",IF('Data Source'!AC475&gt;=4,"A",IF('Data Source'!AC475&gt;=3.5,"A-",IF('Data Source'!AC475&gt;=3,"B",IF('Data Source'!AC475&gt;=2,"C",IF('Data Source'!AC475&gt;=1,"D","F")))))),"")</f>
        <v/>
      </c>
      <c r="L475" s="3">
        <f>IF(AND('Data Source'!B475&lt;&gt;"",'Data Source'!S475="A+"),IF('Data Source'!AD475&gt;=5,"A+",IF('Data Source'!AD475&gt;=4,"A",IF('Data Source'!AD475&gt;=3.5,"A-",IF('Data Source'!AD475&gt;=3,"B",IF('Data Source'!AD475&gt;=2,"C",IF('Data Source'!AD475&gt;=1,"D","F")))))),"")</f>
        <v/>
      </c>
      <c r="M475" s="3">
        <f>IF(AND('Data Source'!B475&lt;&gt;"",'Data Source'!S475="A+"),IF('Data Source'!AE475&gt;=5,"A+",IF('Data Source'!AE475&gt;=4,"A",IF('Data Source'!AE475&gt;=3.5,"A-",IF('Data Source'!AE475&gt;=3,"B",IF('Data Source'!AE475&gt;=2,"C",IF('Data Source'!AE475&gt;=1,"D","F")))))),"")</f>
        <v/>
      </c>
      <c r="N475" s="3">
        <f>IF(AND('Data Source'!B475&lt;&gt;"",'Data Source'!S475="A+"),IF('Data Source'!AF475&gt;=5,"A+",IF('Data Source'!AF475&gt;=4,"A",IF('Data Source'!AF475&gt;=3.5,"A-",IF('Data Source'!AF475&gt;=3,"B",IF('Data Source'!AF475&gt;=2,"C",IF('Data Source'!AF475&gt;=1,"D","F")))))),"")</f>
        <v/>
      </c>
      <c r="O475" s="3">
        <f>IF(AND('Data Source'!B475&lt;&gt;"",'Data Source'!S475="A+"),IF('Data Source'!AG475&gt;=5,"A+",IF('Data Source'!AG475&gt;=4,"A",IF('Data Source'!AG475&gt;=3.5,"A-",IF('Data Source'!AG475&gt;=3,"B",IF('Data Source'!AG475&gt;=2,"C",IF('Data Source'!AG475&gt;=1,"D","F")))))),"")</f>
        <v/>
      </c>
      <c r="P475" s="5">
        <f>IF(AND('Data Source'!B475&lt;&gt;"",'Data Source'!S475="A+"),'Data Source'!R475,"")</f>
        <v/>
      </c>
      <c r="Q475" s="3">
        <f>IF(AND('Data Source'!B475&lt;&gt;"",'Data Source'!S475="A+"),'Data Source'!S475,"")</f>
        <v/>
      </c>
    </row>
    <row r="476">
      <c r="A476" s="3">
        <f>IF(AND('Data Source'!B476&lt;&gt;"",'Data Source'!S476="A+"),COUNTIF('Data Source'!$S$3:S476,"A+"),"")</f>
        <v/>
      </c>
      <c r="B476">
        <f>IF(AND('Data Source'!B476&lt;&gt;"",'Data Source'!S476="A+"),'Data Source'!B476,"")</f>
        <v/>
      </c>
      <c r="C476" s="3">
        <f>IF(AND('Data Source'!B476&lt;&gt;"",'Data Source'!S476="A+"),IF('Data Source'!U476&gt;=5,"A+",IF('Data Source'!U476&gt;=4,"A",IF('Data Source'!U476&gt;=3.5,"A-",IF('Data Source'!U476&gt;=3,"B",IF('Data Source'!U476&gt;=2,"C",IF('Data Source'!U476&gt;=1,"D","F")))))),"")</f>
        <v/>
      </c>
      <c r="D476" s="3">
        <f>IF(AND('Data Source'!B476&lt;&gt;"",'Data Source'!S476="A+"),IF('Data Source'!V476&gt;=5,"A+",IF('Data Source'!V476&gt;=4,"A",IF('Data Source'!V476&gt;=3.5,"A-",IF('Data Source'!V476&gt;=3,"B",IF('Data Source'!V476&gt;=2,"C",IF('Data Source'!V476&gt;=1,"D","F")))))),"")</f>
        <v/>
      </c>
      <c r="E476" s="3">
        <f>IF(AND('Data Source'!B476&lt;&gt;"",'Data Source'!S476="A+"),IF('Data Source'!W476&gt;=5,"A+",IF('Data Source'!W476&gt;=4,"A",IF('Data Source'!W476&gt;=3.5,"A-",IF('Data Source'!W476&gt;=3,"B",IF('Data Source'!W476&gt;=2,"C",IF('Data Source'!W476&gt;=1,"D","F")))))),"")</f>
        <v/>
      </c>
      <c r="F476" s="3">
        <f>IF(AND('Data Source'!B476&lt;&gt;"",'Data Source'!S476="A+"),IF('Data Source'!X476&gt;=5,"A+",IF('Data Source'!X476&gt;=4,"A",IF('Data Source'!X476&gt;=3.5,"A-",IF('Data Source'!X476&gt;=3,"B",IF('Data Source'!X476&gt;=2,"C",IF('Data Source'!X476&gt;=1,"D","F")))))),"")</f>
        <v/>
      </c>
      <c r="G476" s="3">
        <f>IF(AND('Data Source'!B476&lt;&gt;"",'Data Source'!S476="A+"),IF('Data Source'!Y476&gt;=5,"A+",IF('Data Source'!Y476&gt;=4,"A",IF('Data Source'!Y476&gt;=3.5,"A-",IF('Data Source'!Y476&gt;=3,"B",IF('Data Source'!Y476&gt;=2,"C",IF('Data Source'!Y476&gt;=1,"D","F")))))),"")</f>
        <v/>
      </c>
      <c r="H476" s="3">
        <f>IF(AND('Data Source'!B476&lt;&gt;"",'Data Source'!S476="A+"),IF('Data Source'!Z476&gt;=5,"A+",IF('Data Source'!Z476&gt;=4,"A",IF('Data Source'!Z476&gt;=3.5,"A-",IF('Data Source'!Z476&gt;=3,"B",IF('Data Source'!Z476&gt;=2,"C",IF('Data Source'!Z476&gt;=1,"D","F")))))),"")</f>
        <v/>
      </c>
      <c r="I476" s="3">
        <f>IF(AND('Data Source'!B476&lt;&gt;"",'Data Source'!S476="A+"),IF('Data Source'!AA476&gt;=5,"A+",IF('Data Source'!AA476&gt;=4,"A",IF('Data Source'!AA476&gt;=3.5,"A-",IF('Data Source'!AA476&gt;=3,"B",IF('Data Source'!AA476&gt;=2,"C",IF('Data Source'!AA476&gt;=1,"D","F")))))),"")</f>
        <v/>
      </c>
      <c r="J476" s="3">
        <f>IF(AND('Data Source'!B476&lt;&gt;"",'Data Source'!S476="A+"),IF('Data Source'!AB476&gt;=5,"A+",IF('Data Source'!AB476&gt;=4,"A",IF('Data Source'!AB476&gt;=3.5,"A-",IF('Data Source'!AB476&gt;=3,"B",IF('Data Source'!AB476&gt;=2,"C",IF('Data Source'!AB476&gt;=1,"D","F")))))),"")</f>
        <v/>
      </c>
      <c r="K476" s="3">
        <f>IF(AND('Data Source'!B476&lt;&gt;"",'Data Source'!S476="A+"),IF('Data Source'!AC476&gt;=5,"A+",IF('Data Source'!AC476&gt;=4,"A",IF('Data Source'!AC476&gt;=3.5,"A-",IF('Data Source'!AC476&gt;=3,"B",IF('Data Source'!AC476&gt;=2,"C",IF('Data Source'!AC476&gt;=1,"D","F")))))),"")</f>
        <v/>
      </c>
      <c r="L476" s="3">
        <f>IF(AND('Data Source'!B476&lt;&gt;"",'Data Source'!S476="A+"),IF('Data Source'!AD476&gt;=5,"A+",IF('Data Source'!AD476&gt;=4,"A",IF('Data Source'!AD476&gt;=3.5,"A-",IF('Data Source'!AD476&gt;=3,"B",IF('Data Source'!AD476&gt;=2,"C",IF('Data Source'!AD476&gt;=1,"D","F")))))),"")</f>
        <v/>
      </c>
      <c r="M476" s="3">
        <f>IF(AND('Data Source'!B476&lt;&gt;"",'Data Source'!S476="A+"),IF('Data Source'!AE476&gt;=5,"A+",IF('Data Source'!AE476&gt;=4,"A",IF('Data Source'!AE476&gt;=3.5,"A-",IF('Data Source'!AE476&gt;=3,"B",IF('Data Source'!AE476&gt;=2,"C",IF('Data Source'!AE476&gt;=1,"D","F")))))),"")</f>
        <v/>
      </c>
      <c r="N476" s="3">
        <f>IF(AND('Data Source'!B476&lt;&gt;"",'Data Source'!S476="A+"),IF('Data Source'!AF476&gt;=5,"A+",IF('Data Source'!AF476&gt;=4,"A",IF('Data Source'!AF476&gt;=3.5,"A-",IF('Data Source'!AF476&gt;=3,"B",IF('Data Source'!AF476&gt;=2,"C",IF('Data Source'!AF476&gt;=1,"D","F")))))),"")</f>
        <v/>
      </c>
      <c r="O476" s="3">
        <f>IF(AND('Data Source'!B476&lt;&gt;"",'Data Source'!S476="A+"),IF('Data Source'!AG476&gt;=5,"A+",IF('Data Source'!AG476&gt;=4,"A",IF('Data Source'!AG476&gt;=3.5,"A-",IF('Data Source'!AG476&gt;=3,"B",IF('Data Source'!AG476&gt;=2,"C",IF('Data Source'!AG476&gt;=1,"D","F")))))),"")</f>
        <v/>
      </c>
      <c r="P476" s="5">
        <f>IF(AND('Data Source'!B476&lt;&gt;"",'Data Source'!S476="A+"),'Data Source'!R476,"")</f>
        <v/>
      </c>
      <c r="Q476" s="3">
        <f>IF(AND('Data Source'!B476&lt;&gt;"",'Data Source'!S476="A+"),'Data Source'!S476,"")</f>
        <v/>
      </c>
    </row>
    <row r="477">
      <c r="A477" s="3">
        <f>IF(AND('Data Source'!B477&lt;&gt;"",'Data Source'!S477="A+"),COUNTIF('Data Source'!$S$3:S477,"A+"),"")</f>
        <v/>
      </c>
      <c r="B477">
        <f>IF(AND('Data Source'!B477&lt;&gt;"",'Data Source'!S477="A+"),'Data Source'!B477,"")</f>
        <v/>
      </c>
      <c r="C477" s="3">
        <f>IF(AND('Data Source'!B477&lt;&gt;"",'Data Source'!S477="A+"),IF('Data Source'!U477&gt;=5,"A+",IF('Data Source'!U477&gt;=4,"A",IF('Data Source'!U477&gt;=3.5,"A-",IF('Data Source'!U477&gt;=3,"B",IF('Data Source'!U477&gt;=2,"C",IF('Data Source'!U477&gt;=1,"D","F")))))),"")</f>
        <v/>
      </c>
      <c r="D477" s="3">
        <f>IF(AND('Data Source'!B477&lt;&gt;"",'Data Source'!S477="A+"),IF('Data Source'!V477&gt;=5,"A+",IF('Data Source'!V477&gt;=4,"A",IF('Data Source'!V477&gt;=3.5,"A-",IF('Data Source'!V477&gt;=3,"B",IF('Data Source'!V477&gt;=2,"C",IF('Data Source'!V477&gt;=1,"D","F")))))),"")</f>
        <v/>
      </c>
      <c r="E477" s="3">
        <f>IF(AND('Data Source'!B477&lt;&gt;"",'Data Source'!S477="A+"),IF('Data Source'!W477&gt;=5,"A+",IF('Data Source'!W477&gt;=4,"A",IF('Data Source'!W477&gt;=3.5,"A-",IF('Data Source'!W477&gt;=3,"B",IF('Data Source'!W477&gt;=2,"C",IF('Data Source'!W477&gt;=1,"D","F")))))),"")</f>
        <v/>
      </c>
      <c r="F477" s="3">
        <f>IF(AND('Data Source'!B477&lt;&gt;"",'Data Source'!S477="A+"),IF('Data Source'!X477&gt;=5,"A+",IF('Data Source'!X477&gt;=4,"A",IF('Data Source'!X477&gt;=3.5,"A-",IF('Data Source'!X477&gt;=3,"B",IF('Data Source'!X477&gt;=2,"C",IF('Data Source'!X477&gt;=1,"D","F")))))),"")</f>
        <v/>
      </c>
      <c r="G477" s="3">
        <f>IF(AND('Data Source'!B477&lt;&gt;"",'Data Source'!S477="A+"),IF('Data Source'!Y477&gt;=5,"A+",IF('Data Source'!Y477&gt;=4,"A",IF('Data Source'!Y477&gt;=3.5,"A-",IF('Data Source'!Y477&gt;=3,"B",IF('Data Source'!Y477&gt;=2,"C",IF('Data Source'!Y477&gt;=1,"D","F")))))),"")</f>
        <v/>
      </c>
      <c r="H477" s="3">
        <f>IF(AND('Data Source'!B477&lt;&gt;"",'Data Source'!S477="A+"),IF('Data Source'!Z477&gt;=5,"A+",IF('Data Source'!Z477&gt;=4,"A",IF('Data Source'!Z477&gt;=3.5,"A-",IF('Data Source'!Z477&gt;=3,"B",IF('Data Source'!Z477&gt;=2,"C",IF('Data Source'!Z477&gt;=1,"D","F")))))),"")</f>
        <v/>
      </c>
      <c r="I477" s="3">
        <f>IF(AND('Data Source'!B477&lt;&gt;"",'Data Source'!S477="A+"),IF('Data Source'!AA477&gt;=5,"A+",IF('Data Source'!AA477&gt;=4,"A",IF('Data Source'!AA477&gt;=3.5,"A-",IF('Data Source'!AA477&gt;=3,"B",IF('Data Source'!AA477&gt;=2,"C",IF('Data Source'!AA477&gt;=1,"D","F")))))),"")</f>
        <v/>
      </c>
      <c r="J477" s="3">
        <f>IF(AND('Data Source'!B477&lt;&gt;"",'Data Source'!S477="A+"),IF('Data Source'!AB477&gt;=5,"A+",IF('Data Source'!AB477&gt;=4,"A",IF('Data Source'!AB477&gt;=3.5,"A-",IF('Data Source'!AB477&gt;=3,"B",IF('Data Source'!AB477&gt;=2,"C",IF('Data Source'!AB477&gt;=1,"D","F")))))),"")</f>
        <v/>
      </c>
      <c r="K477" s="3">
        <f>IF(AND('Data Source'!B477&lt;&gt;"",'Data Source'!S477="A+"),IF('Data Source'!AC477&gt;=5,"A+",IF('Data Source'!AC477&gt;=4,"A",IF('Data Source'!AC477&gt;=3.5,"A-",IF('Data Source'!AC477&gt;=3,"B",IF('Data Source'!AC477&gt;=2,"C",IF('Data Source'!AC477&gt;=1,"D","F")))))),"")</f>
        <v/>
      </c>
      <c r="L477" s="3">
        <f>IF(AND('Data Source'!B477&lt;&gt;"",'Data Source'!S477="A+"),IF('Data Source'!AD477&gt;=5,"A+",IF('Data Source'!AD477&gt;=4,"A",IF('Data Source'!AD477&gt;=3.5,"A-",IF('Data Source'!AD477&gt;=3,"B",IF('Data Source'!AD477&gt;=2,"C",IF('Data Source'!AD477&gt;=1,"D","F")))))),"")</f>
        <v/>
      </c>
      <c r="M477" s="3">
        <f>IF(AND('Data Source'!B477&lt;&gt;"",'Data Source'!S477="A+"),IF('Data Source'!AE477&gt;=5,"A+",IF('Data Source'!AE477&gt;=4,"A",IF('Data Source'!AE477&gt;=3.5,"A-",IF('Data Source'!AE477&gt;=3,"B",IF('Data Source'!AE477&gt;=2,"C",IF('Data Source'!AE477&gt;=1,"D","F")))))),"")</f>
        <v/>
      </c>
      <c r="N477" s="3">
        <f>IF(AND('Data Source'!B477&lt;&gt;"",'Data Source'!S477="A+"),IF('Data Source'!AF477&gt;=5,"A+",IF('Data Source'!AF477&gt;=4,"A",IF('Data Source'!AF477&gt;=3.5,"A-",IF('Data Source'!AF477&gt;=3,"B",IF('Data Source'!AF477&gt;=2,"C",IF('Data Source'!AF477&gt;=1,"D","F")))))),"")</f>
        <v/>
      </c>
      <c r="O477" s="3">
        <f>IF(AND('Data Source'!B477&lt;&gt;"",'Data Source'!S477="A+"),IF('Data Source'!AG477&gt;=5,"A+",IF('Data Source'!AG477&gt;=4,"A",IF('Data Source'!AG477&gt;=3.5,"A-",IF('Data Source'!AG477&gt;=3,"B",IF('Data Source'!AG477&gt;=2,"C",IF('Data Source'!AG477&gt;=1,"D","F")))))),"")</f>
        <v/>
      </c>
      <c r="P477" s="5">
        <f>IF(AND('Data Source'!B477&lt;&gt;"",'Data Source'!S477="A+"),'Data Source'!R477,"")</f>
        <v/>
      </c>
      <c r="Q477" s="3">
        <f>IF(AND('Data Source'!B477&lt;&gt;"",'Data Source'!S477="A+"),'Data Source'!S477,"")</f>
        <v/>
      </c>
    </row>
    <row r="478">
      <c r="A478" s="3">
        <f>IF(AND('Data Source'!B478&lt;&gt;"",'Data Source'!S478="A+"),COUNTIF('Data Source'!$S$3:S478,"A+"),"")</f>
        <v/>
      </c>
      <c r="B478">
        <f>IF(AND('Data Source'!B478&lt;&gt;"",'Data Source'!S478="A+"),'Data Source'!B478,"")</f>
        <v/>
      </c>
      <c r="C478" s="3">
        <f>IF(AND('Data Source'!B478&lt;&gt;"",'Data Source'!S478="A+"),IF('Data Source'!U478&gt;=5,"A+",IF('Data Source'!U478&gt;=4,"A",IF('Data Source'!U478&gt;=3.5,"A-",IF('Data Source'!U478&gt;=3,"B",IF('Data Source'!U478&gt;=2,"C",IF('Data Source'!U478&gt;=1,"D","F")))))),"")</f>
        <v/>
      </c>
      <c r="D478" s="3">
        <f>IF(AND('Data Source'!B478&lt;&gt;"",'Data Source'!S478="A+"),IF('Data Source'!V478&gt;=5,"A+",IF('Data Source'!V478&gt;=4,"A",IF('Data Source'!V478&gt;=3.5,"A-",IF('Data Source'!V478&gt;=3,"B",IF('Data Source'!V478&gt;=2,"C",IF('Data Source'!V478&gt;=1,"D","F")))))),"")</f>
        <v/>
      </c>
      <c r="E478" s="3">
        <f>IF(AND('Data Source'!B478&lt;&gt;"",'Data Source'!S478="A+"),IF('Data Source'!W478&gt;=5,"A+",IF('Data Source'!W478&gt;=4,"A",IF('Data Source'!W478&gt;=3.5,"A-",IF('Data Source'!W478&gt;=3,"B",IF('Data Source'!W478&gt;=2,"C",IF('Data Source'!W478&gt;=1,"D","F")))))),"")</f>
        <v/>
      </c>
      <c r="F478" s="3">
        <f>IF(AND('Data Source'!B478&lt;&gt;"",'Data Source'!S478="A+"),IF('Data Source'!X478&gt;=5,"A+",IF('Data Source'!X478&gt;=4,"A",IF('Data Source'!X478&gt;=3.5,"A-",IF('Data Source'!X478&gt;=3,"B",IF('Data Source'!X478&gt;=2,"C",IF('Data Source'!X478&gt;=1,"D","F")))))),"")</f>
        <v/>
      </c>
      <c r="G478" s="3">
        <f>IF(AND('Data Source'!B478&lt;&gt;"",'Data Source'!S478="A+"),IF('Data Source'!Y478&gt;=5,"A+",IF('Data Source'!Y478&gt;=4,"A",IF('Data Source'!Y478&gt;=3.5,"A-",IF('Data Source'!Y478&gt;=3,"B",IF('Data Source'!Y478&gt;=2,"C",IF('Data Source'!Y478&gt;=1,"D","F")))))),"")</f>
        <v/>
      </c>
      <c r="H478" s="3">
        <f>IF(AND('Data Source'!B478&lt;&gt;"",'Data Source'!S478="A+"),IF('Data Source'!Z478&gt;=5,"A+",IF('Data Source'!Z478&gt;=4,"A",IF('Data Source'!Z478&gt;=3.5,"A-",IF('Data Source'!Z478&gt;=3,"B",IF('Data Source'!Z478&gt;=2,"C",IF('Data Source'!Z478&gt;=1,"D","F")))))),"")</f>
        <v/>
      </c>
      <c r="I478" s="3">
        <f>IF(AND('Data Source'!B478&lt;&gt;"",'Data Source'!S478="A+"),IF('Data Source'!AA478&gt;=5,"A+",IF('Data Source'!AA478&gt;=4,"A",IF('Data Source'!AA478&gt;=3.5,"A-",IF('Data Source'!AA478&gt;=3,"B",IF('Data Source'!AA478&gt;=2,"C",IF('Data Source'!AA478&gt;=1,"D","F")))))),"")</f>
        <v/>
      </c>
      <c r="J478" s="3">
        <f>IF(AND('Data Source'!B478&lt;&gt;"",'Data Source'!S478="A+"),IF('Data Source'!AB478&gt;=5,"A+",IF('Data Source'!AB478&gt;=4,"A",IF('Data Source'!AB478&gt;=3.5,"A-",IF('Data Source'!AB478&gt;=3,"B",IF('Data Source'!AB478&gt;=2,"C",IF('Data Source'!AB478&gt;=1,"D","F")))))),"")</f>
        <v/>
      </c>
      <c r="K478" s="3">
        <f>IF(AND('Data Source'!B478&lt;&gt;"",'Data Source'!S478="A+"),IF('Data Source'!AC478&gt;=5,"A+",IF('Data Source'!AC478&gt;=4,"A",IF('Data Source'!AC478&gt;=3.5,"A-",IF('Data Source'!AC478&gt;=3,"B",IF('Data Source'!AC478&gt;=2,"C",IF('Data Source'!AC478&gt;=1,"D","F")))))),"")</f>
        <v/>
      </c>
      <c r="L478" s="3">
        <f>IF(AND('Data Source'!B478&lt;&gt;"",'Data Source'!S478="A+"),IF('Data Source'!AD478&gt;=5,"A+",IF('Data Source'!AD478&gt;=4,"A",IF('Data Source'!AD478&gt;=3.5,"A-",IF('Data Source'!AD478&gt;=3,"B",IF('Data Source'!AD478&gt;=2,"C",IF('Data Source'!AD478&gt;=1,"D","F")))))),"")</f>
        <v/>
      </c>
      <c r="M478" s="3">
        <f>IF(AND('Data Source'!B478&lt;&gt;"",'Data Source'!S478="A+"),IF('Data Source'!AE478&gt;=5,"A+",IF('Data Source'!AE478&gt;=4,"A",IF('Data Source'!AE478&gt;=3.5,"A-",IF('Data Source'!AE478&gt;=3,"B",IF('Data Source'!AE478&gt;=2,"C",IF('Data Source'!AE478&gt;=1,"D","F")))))),"")</f>
        <v/>
      </c>
      <c r="N478" s="3">
        <f>IF(AND('Data Source'!B478&lt;&gt;"",'Data Source'!S478="A+"),IF('Data Source'!AF478&gt;=5,"A+",IF('Data Source'!AF478&gt;=4,"A",IF('Data Source'!AF478&gt;=3.5,"A-",IF('Data Source'!AF478&gt;=3,"B",IF('Data Source'!AF478&gt;=2,"C",IF('Data Source'!AF478&gt;=1,"D","F")))))),"")</f>
        <v/>
      </c>
      <c r="O478" s="3">
        <f>IF(AND('Data Source'!B478&lt;&gt;"",'Data Source'!S478="A+"),IF('Data Source'!AG478&gt;=5,"A+",IF('Data Source'!AG478&gt;=4,"A",IF('Data Source'!AG478&gt;=3.5,"A-",IF('Data Source'!AG478&gt;=3,"B",IF('Data Source'!AG478&gt;=2,"C",IF('Data Source'!AG478&gt;=1,"D","F")))))),"")</f>
        <v/>
      </c>
      <c r="P478" s="5">
        <f>IF(AND('Data Source'!B478&lt;&gt;"",'Data Source'!S478="A+"),'Data Source'!R478,"")</f>
        <v/>
      </c>
      <c r="Q478" s="3">
        <f>IF(AND('Data Source'!B478&lt;&gt;"",'Data Source'!S478="A+"),'Data Source'!S478,"")</f>
        <v/>
      </c>
    </row>
    <row r="479">
      <c r="A479" s="3">
        <f>IF(AND('Data Source'!B479&lt;&gt;"",'Data Source'!S479="A+"),COUNTIF('Data Source'!$S$3:S479,"A+"),"")</f>
        <v/>
      </c>
      <c r="B479">
        <f>IF(AND('Data Source'!B479&lt;&gt;"",'Data Source'!S479="A+"),'Data Source'!B479,"")</f>
        <v/>
      </c>
      <c r="C479" s="3">
        <f>IF(AND('Data Source'!B479&lt;&gt;"",'Data Source'!S479="A+"),IF('Data Source'!U479&gt;=5,"A+",IF('Data Source'!U479&gt;=4,"A",IF('Data Source'!U479&gt;=3.5,"A-",IF('Data Source'!U479&gt;=3,"B",IF('Data Source'!U479&gt;=2,"C",IF('Data Source'!U479&gt;=1,"D","F")))))),"")</f>
        <v/>
      </c>
      <c r="D479" s="3">
        <f>IF(AND('Data Source'!B479&lt;&gt;"",'Data Source'!S479="A+"),IF('Data Source'!V479&gt;=5,"A+",IF('Data Source'!V479&gt;=4,"A",IF('Data Source'!V479&gt;=3.5,"A-",IF('Data Source'!V479&gt;=3,"B",IF('Data Source'!V479&gt;=2,"C",IF('Data Source'!V479&gt;=1,"D","F")))))),"")</f>
        <v/>
      </c>
      <c r="E479" s="3">
        <f>IF(AND('Data Source'!B479&lt;&gt;"",'Data Source'!S479="A+"),IF('Data Source'!W479&gt;=5,"A+",IF('Data Source'!W479&gt;=4,"A",IF('Data Source'!W479&gt;=3.5,"A-",IF('Data Source'!W479&gt;=3,"B",IF('Data Source'!W479&gt;=2,"C",IF('Data Source'!W479&gt;=1,"D","F")))))),"")</f>
        <v/>
      </c>
      <c r="F479" s="3">
        <f>IF(AND('Data Source'!B479&lt;&gt;"",'Data Source'!S479="A+"),IF('Data Source'!X479&gt;=5,"A+",IF('Data Source'!X479&gt;=4,"A",IF('Data Source'!X479&gt;=3.5,"A-",IF('Data Source'!X479&gt;=3,"B",IF('Data Source'!X479&gt;=2,"C",IF('Data Source'!X479&gt;=1,"D","F")))))),"")</f>
        <v/>
      </c>
      <c r="G479" s="3">
        <f>IF(AND('Data Source'!B479&lt;&gt;"",'Data Source'!S479="A+"),IF('Data Source'!Y479&gt;=5,"A+",IF('Data Source'!Y479&gt;=4,"A",IF('Data Source'!Y479&gt;=3.5,"A-",IF('Data Source'!Y479&gt;=3,"B",IF('Data Source'!Y479&gt;=2,"C",IF('Data Source'!Y479&gt;=1,"D","F")))))),"")</f>
        <v/>
      </c>
      <c r="H479" s="3">
        <f>IF(AND('Data Source'!B479&lt;&gt;"",'Data Source'!S479="A+"),IF('Data Source'!Z479&gt;=5,"A+",IF('Data Source'!Z479&gt;=4,"A",IF('Data Source'!Z479&gt;=3.5,"A-",IF('Data Source'!Z479&gt;=3,"B",IF('Data Source'!Z479&gt;=2,"C",IF('Data Source'!Z479&gt;=1,"D","F")))))),"")</f>
        <v/>
      </c>
      <c r="I479" s="3">
        <f>IF(AND('Data Source'!B479&lt;&gt;"",'Data Source'!S479="A+"),IF('Data Source'!AA479&gt;=5,"A+",IF('Data Source'!AA479&gt;=4,"A",IF('Data Source'!AA479&gt;=3.5,"A-",IF('Data Source'!AA479&gt;=3,"B",IF('Data Source'!AA479&gt;=2,"C",IF('Data Source'!AA479&gt;=1,"D","F")))))),"")</f>
        <v/>
      </c>
      <c r="J479" s="3">
        <f>IF(AND('Data Source'!B479&lt;&gt;"",'Data Source'!S479="A+"),IF('Data Source'!AB479&gt;=5,"A+",IF('Data Source'!AB479&gt;=4,"A",IF('Data Source'!AB479&gt;=3.5,"A-",IF('Data Source'!AB479&gt;=3,"B",IF('Data Source'!AB479&gt;=2,"C",IF('Data Source'!AB479&gt;=1,"D","F")))))),"")</f>
        <v/>
      </c>
      <c r="K479" s="3">
        <f>IF(AND('Data Source'!B479&lt;&gt;"",'Data Source'!S479="A+"),IF('Data Source'!AC479&gt;=5,"A+",IF('Data Source'!AC479&gt;=4,"A",IF('Data Source'!AC479&gt;=3.5,"A-",IF('Data Source'!AC479&gt;=3,"B",IF('Data Source'!AC479&gt;=2,"C",IF('Data Source'!AC479&gt;=1,"D","F")))))),"")</f>
        <v/>
      </c>
      <c r="L479" s="3">
        <f>IF(AND('Data Source'!B479&lt;&gt;"",'Data Source'!S479="A+"),IF('Data Source'!AD479&gt;=5,"A+",IF('Data Source'!AD479&gt;=4,"A",IF('Data Source'!AD479&gt;=3.5,"A-",IF('Data Source'!AD479&gt;=3,"B",IF('Data Source'!AD479&gt;=2,"C",IF('Data Source'!AD479&gt;=1,"D","F")))))),"")</f>
        <v/>
      </c>
      <c r="M479" s="3">
        <f>IF(AND('Data Source'!B479&lt;&gt;"",'Data Source'!S479="A+"),IF('Data Source'!AE479&gt;=5,"A+",IF('Data Source'!AE479&gt;=4,"A",IF('Data Source'!AE479&gt;=3.5,"A-",IF('Data Source'!AE479&gt;=3,"B",IF('Data Source'!AE479&gt;=2,"C",IF('Data Source'!AE479&gt;=1,"D","F")))))),"")</f>
        <v/>
      </c>
      <c r="N479" s="3">
        <f>IF(AND('Data Source'!B479&lt;&gt;"",'Data Source'!S479="A+"),IF('Data Source'!AF479&gt;=5,"A+",IF('Data Source'!AF479&gt;=4,"A",IF('Data Source'!AF479&gt;=3.5,"A-",IF('Data Source'!AF479&gt;=3,"B",IF('Data Source'!AF479&gt;=2,"C",IF('Data Source'!AF479&gt;=1,"D","F")))))),"")</f>
        <v/>
      </c>
      <c r="O479" s="3">
        <f>IF(AND('Data Source'!B479&lt;&gt;"",'Data Source'!S479="A+"),IF('Data Source'!AG479&gt;=5,"A+",IF('Data Source'!AG479&gt;=4,"A",IF('Data Source'!AG479&gt;=3.5,"A-",IF('Data Source'!AG479&gt;=3,"B",IF('Data Source'!AG479&gt;=2,"C",IF('Data Source'!AG479&gt;=1,"D","F")))))),"")</f>
        <v/>
      </c>
      <c r="P479" s="5">
        <f>IF(AND('Data Source'!B479&lt;&gt;"",'Data Source'!S479="A+"),'Data Source'!R479,"")</f>
        <v/>
      </c>
      <c r="Q479" s="3">
        <f>IF(AND('Data Source'!B479&lt;&gt;"",'Data Source'!S479="A+"),'Data Source'!S479,"")</f>
        <v/>
      </c>
    </row>
    <row r="480">
      <c r="A480" s="3">
        <f>IF(AND('Data Source'!B480&lt;&gt;"",'Data Source'!S480="A+"),COUNTIF('Data Source'!$S$3:S480,"A+"),"")</f>
        <v/>
      </c>
      <c r="B480">
        <f>IF(AND('Data Source'!B480&lt;&gt;"",'Data Source'!S480="A+"),'Data Source'!B480,"")</f>
        <v/>
      </c>
      <c r="C480" s="3">
        <f>IF(AND('Data Source'!B480&lt;&gt;"",'Data Source'!S480="A+"),IF('Data Source'!U480&gt;=5,"A+",IF('Data Source'!U480&gt;=4,"A",IF('Data Source'!U480&gt;=3.5,"A-",IF('Data Source'!U480&gt;=3,"B",IF('Data Source'!U480&gt;=2,"C",IF('Data Source'!U480&gt;=1,"D","F")))))),"")</f>
        <v/>
      </c>
      <c r="D480" s="3">
        <f>IF(AND('Data Source'!B480&lt;&gt;"",'Data Source'!S480="A+"),IF('Data Source'!V480&gt;=5,"A+",IF('Data Source'!V480&gt;=4,"A",IF('Data Source'!V480&gt;=3.5,"A-",IF('Data Source'!V480&gt;=3,"B",IF('Data Source'!V480&gt;=2,"C",IF('Data Source'!V480&gt;=1,"D","F")))))),"")</f>
        <v/>
      </c>
      <c r="E480" s="3">
        <f>IF(AND('Data Source'!B480&lt;&gt;"",'Data Source'!S480="A+"),IF('Data Source'!W480&gt;=5,"A+",IF('Data Source'!W480&gt;=4,"A",IF('Data Source'!W480&gt;=3.5,"A-",IF('Data Source'!W480&gt;=3,"B",IF('Data Source'!W480&gt;=2,"C",IF('Data Source'!W480&gt;=1,"D","F")))))),"")</f>
        <v/>
      </c>
      <c r="F480" s="3">
        <f>IF(AND('Data Source'!B480&lt;&gt;"",'Data Source'!S480="A+"),IF('Data Source'!X480&gt;=5,"A+",IF('Data Source'!X480&gt;=4,"A",IF('Data Source'!X480&gt;=3.5,"A-",IF('Data Source'!X480&gt;=3,"B",IF('Data Source'!X480&gt;=2,"C",IF('Data Source'!X480&gt;=1,"D","F")))))),"")</f>
        <v/>
      </c>
      <c r="G480" s="3">
        <f>IF(AND('Data Source'!B480&lt;&gt;"",'Data Source'!S480="A+"),IF('Data Source'!Y480&gt;=5,"A+",IF('Data Source'!Y480&gt;=4,"A",IF('Data Source'!Y480&gt;=3.5,"A-",IF('Data Source'!Y480&gt;=3,"B",IF('Data Source'!Y480&gt;=2,"C",IF('Data Source'!Y480&gt;=1,"D","F")))))),"")</f>
        <v/>
      </c>
      <c r="H480" s="3">
        <f>IF(AND('Data Source'!B480&lt;&gt;"",'Data Source'!S480="A+"),IF('Data Source'!Z480&gt;=5,"A+",IF('Data Source'!Z480&gt;=4,"A",IF('Data Source'!Z480&gt;=3.5,"A-",IF('Data Source'!Z480&gt;=3,"B",IF('Data Source'!Z480&gt;=2,"C",IF('Data Source'!Z480&gt;=1,"D","F")))))),"")</f>
        <v/>
      </c>
      <c r="I480" s="3">
        <f>IF(AND('Data Source'!B480&lt;&gt;"",'Data Source'!S480="A+"),IF('Data Source'!AA480&gt;=5,"A+",IF('Data Source'!AA480&gt;=4,"A",IF('Data Source'!AA480&gt;=3.5,"A-",IF('Data Source'!AA480&gt;=3,"B",IF('Data Source'!AA480&gt;=2,"C",IF('Data Source'!AA480&gt;=1,"D","F")))))),"")</f>
        <v/>
      </c>
      <c r="J480" s="3">
        <f>IF(AND('Data Source'!B480&lt;&gt;"",'Data Source'!S480="A+"),IF('Data Source'!AB480&gt;=5,"A+",IF('Data Source'!AB480&gt;=4,"A",IF('Data Source'!AB480&gt;=3.5,"A-",IF('Data Source'!AB480&gt;=3,"B",IF('Data Source'!AB480&gt;=2,"C",IF('Data Source'!AB480&gt;=1,"D","F")))))),"")</f>
        <v/>
      </c>
      <c r="K480" s="3">
        <f>IF(AND('Data Source'!B480&lt;&gt;"",'Data Source'!S480="A+"),IF('Data Source'!AC480&gt;=5,"A+",IF('Data Source'!AC480&gt;=4,"A",IF('Data Source'!AC480&gt;=3.5,"A-",IF('Data Source'!AC480&gt;=3,"B",IF('Data Source'!AC480&gt;=2,"C",IF('Data Source'!AC480&gt;=1,"D","F")))))),"")</f>
        <v/>
      </c>
      <c r="L480" s="3">
        <f>IF(AND('Data Source'!B480&lt;&gt;"",'Data Source'!S480="A+"),IF('Data Source'!AD480&gt;=5,"A+",IF('Data Source'!AD480&gt;=4,"A",IF('Data Source'!AD480&gt;=3.5,"A-",IF('Data Source'!AD480&gt;=3,"B",IF('Data Source'!AD480&gt;=2,"C",IF('Data Source'!AD480&gt;=1,"D","F")))))),"")</f>
        <v/>
      </c>
      <c r="M480" s="3">
        <f>IF(AND('Data Source'!B480&lt;&gt;"",'Data Source'!S480="A+"),IF('Data Source'!AE480&gt;=5,"A+",IF('Data Source'!AE480&gt;=4,"A",IF('Data Source'!AE480&gt;=3.5,"A-",IF('Data Source'!AE480&gt;=3,"B",IF('Data Source'!AE480&gt;=2,"C",IF('Data Source'!AE480&gt;=1,"D","F")))))),"")</f>
        <v/>
      </c>
      <c r="N480" s="3">
        <f>IF(AND('Data Source'!B480&lt;&gt;"",'Data Source'!S480="A+"),IF('Data Source'!AF480&gt;=5,"A+",IF('Data Source'!AF480&gt;=4,"A",IF('Data Source'!AF480&gt;=3.5,"A-",IF('Data Source'!AF480&gt;=3,"B",IF('Data Source'!AF480&gt;=2,"C",IF('Data Source'!AF480&gt;=1,"D","F")))))),"")</f>
        <v/>
      </c>
      <c r="O480" s="3">
        <f>IF(AND('Data Source'!B480&lt;&gt;"",'Data Source'!S480="A+"),IF('Data Source'!AG480&gt;=5,"A+",IF('Data Source'!AG480&gt;=4,"A",IF('Data Source'!AG480&gt;=3.5,"A-",IF('Data Source'!AG480&gt;=3,"B",IF('Data Source'!AG480&gt;=2,"C",IF('Data Source'!AG480&gt;=1,"D","F")))))),"")</f>
        <v/>
      </c>
      <c r="P480" s="5">
        <f>IF(AND('Data Source'!B480&lt;&gt;"",'Data Source'!S480="A+"),'Data Source'!R480,"")</f>
        <v/>
      </c>
      <c r="Q480" s="3">
        <f>IF(AND('Data Source'!B480&lt;&gt;"",'Data Source'!S480="A+"),'Data Source'!S480,"")</f>
        <v/>
      </c>
    </row>
    <row r="481">
      <c r="A481" s="3">
        <f>IF(AND('Data Source'!B481&lt;&gt;"",'Data Source'!S481="A+"),COUNTIF('Data Source'!$S$3:S481,"A+"),"")</f>
        <v/>
      </c>
      <c r="B481">
        <f>IF(AND('Data Source'!B481&lt;&gt;"",'Data Source'!S481="A+"),'Data Source'!B481,"")</f>
        <v/>
      </c>
      <c r="C481" s="3">
        <f>IF(AND('Data Source'!B481&lt;&gt;"",'Data Source'!S481="A+"),IF('Data Source'!U481&gt;=5,"A+",IF('Data Source'!U481&gt;=4,"A",IF('Data Source'!U481&gt;=3.5,"A-",IF('Data Source'!U481&gt;=3,"B",IF('Data Source'!U481&gt;=2,"C",IF('Data Source'!U481&gt;=1,"D","F")))))),"")</f>
        <v/>
      </c>
      <c r="D481" s="3">
        <f>IF(AND('Data Source'!B481&lt;&gt;"",'Data Source'!S481="A+"),IF('Data Source'!V481&gt;=5,"A+",IF('Data Source'!V481&gt;=4,"A",IF('Data Source'!V481&gt;=3.5,"A-",IF('Data Source'!V481&gt;=3,"B",IF('Data Source'!V481&gt;=2,"C",IF('Data Source'!V481&gt;=1,"D","F")))))),"")</f>
        <v/>
      </c>
      <c r="E481" s="3">
        <f>IF(AND('Data Source'!B481&lt;&gt;"",'Data Source'!S481="A+"),IF('Data Source'!W481&gt;=5,"A+",IF('Data Source'!W481&gt;=4,"A",IF('Data Source'!W481&gt;=3.5,"A-",IF('Data Source'!W481&gt;=3,"B",IF('Data Source'!W481&gt;=2,"C",IF('Data Source'!W481&gt;=1,"D","F")))))),"")</f>
        <v/>
      </c>
      <c r="F481" s="3">
        <f>IF(AND('Data Source'!B481&lt;&gt;"",'Data Source'!S481="A+"),IF('Data Source'!X481&gt;=5,"A+",IF('Data Source'!X481&gt;=4,"A",IF('Data Source'!X481&gt;=3.5,"A-",IF('Data Source'!X481&gt;=3,"B",IF('Data Source'!X481&gt;=2,"C",IF('Data Source'!X481&gt;=1,"D","F")))))),"")</f>
        <v/>
      </c>
      <c r="G481" s="3">
        <f>IF(AND('Data Source'!B481&lt;&gt;"",'Data Source'!S481="A+"),IF('Data Source'!Y481&gt;=5,"A+",IF('Data Source'!Y481&gt;=4,"A",IF('Data Source'!Y481&gt;=3.5,"A-",IF('Data Source'!Y481&gt;=3,"B",IF('Data Source'!Y481&gt;=2,"C",IF('Data Source'!Y481&gt;=1,"D","F")))))),"")</f>
        <v/>
      </c>
      <c r="H481" s="3">
        <f>IF(AND('Data Source'!B481&lt;&gt;"",'Data Source'!S481="A+"),IF('Data Source'!Z481&gt;=5,"A+",IF('Data Source'!Z481&gt;=4,"A",IF('Data Source'!Z481&gt;=3.5,"A-",IF('Data Source'!Z481&gt;=3,"B",IF('Data Source'!Z481&gt;=2,"C",IF('Data Source'!Z481&gt;=1,"D","F")))))),"")</f>
        <v/>
      </c>
      <c r="I481" s="3">
        <f>IF(AND('Data Source'!B481&lt;&gt;"",'Data Source'!S481="A+"),IF('Data Source'!AA481&gt;=5,"A+",IF('Data Source'!AA481&gt;=4,"A",IF('Data Source'!AA481&gt;=3.5,"A-",IF('Data Source'!AA481&gt;=3,"B",IF('Data Source'!AA481&gt;=2,"C",IF('Data Source'!AA481&gt;=1,"D","F")))))),"")</f>
        <v/>
      </c>
      <c r="J481" s="3">
        <f>IF(AND('Data Source'!B481&lt;&gt;"",'Data Source'!S481="A+"),IF('Data Source'!AB481&gt;=5,"A+",IF('Data Source'!AB481&gt;=4,"A",IF('Data Source'!AB481&gt;=3.5,"A-",IF('Data Source'!AB481&gt;=3,"B",IF('Data Source'!AB481&gt;=2,"C",IF('Data Source'!AB481&gt;=1,"D","F")))))),"")</f>
        <v/>
      </c>
      <c r="K481" s="3">
        <f>IF(AND('Data Source'!B481&lt;&gt;"",'Data Source'!S481="A+"),IF('Data Source'!AC481&gt;=5,"A+",IF('Data Source'!AC481&gt;=4,"A",IF('Data Source'!AC481&gt;=3.5,"A-",IF('Data Source'!AC481&gt;=3,"B",IF('Data Source'!AC481&gt;=2,"C",IF('Data Source'!AC481&gt;=1,"D","F")))))),"")</f>
        <v/>
      </c>
      <c r="L481" s="3">
        <f>IF(AND('Data Source'!B481&lt;&gt;"",'Data Source'!S481="A+"),IF('Data Source'!AD481&gt;=5,"A+",IF('Data Source'!AD481&gt;=4,"A",IF('Data Source'!AD481&gt;=3.5,"A-",IF('Data Source'!AD481&gt;=3,"B",IF('Data Source'!AD481&gt;=2,"C",IF('Data Source'!AD481&gt;=1,"D","F")))))),"")</f>
        <v/>
      </c>
      <c r="M481" s="3">
        <f>IF(AND('Data Source'!B481&lt;&gt;"",'Data Source'!S481="A+"),IF('Data Source'!AE481&gt;=5,"A+",IF('Data Source'!AE481&gt;=4,"A",IF('Data Source'!AE481&gt;=3.5,"A-",IF('Data Source'!AE481&gt;=3,"B",IF('Data Source'!AE481&gt;=2,"C",IF('Data Source'!AE481&gt;=1,"D","F")))))),"")</f>
        <v/>
      </c>
      <c r="N481" s="3">
        <f>IF(AND('Data Source'!B481&lt;&gt;"",'Data Source'!S481="A+"),IF('Data Source'!AF481&gt;=5,"A+",IF('Data Source'!AF481&gt;=4,"A",IF('Data Source'!AF481&gt;=3.5,"A-",IF('Data Source'!AF481&gt;=3,"B",IF('Data Source'!AF481&gt;=2,"C",IF('Data Source'!AF481&gt;=1,"D","F")))))),"")</f>
        <v/>
      </c>
      <c r="O481" s="3">
        <f>IF(AND('Data Source'!B481&lt;&gt;"",'Data Source'!S481="A+"),IF('Data Source'!AG481&gt;=5,"A+",IF('Data Source'!AG481&gt;=4,"A",IF('Data Source'!AG481&gt;=3.5,"A-",IF('Data Source'!AG481&gt;=3,"B",IF('Data Source'!AG481&gt;=2,"C",IF('Data Source'!AG481&gt;=1,"D","F")))))),"")</f>
        <v/>
      </c>
      <c r="P481" s="5">
        <f>IF(AND('Data Source'!B481&lt;&gt;"",'Data Source'!S481="A+"),'Data Source'!R481,"")</f>
        <v/>
      </c>
      <c r="Q481" s="3">
        <f>IF(AND('Data Source'!B481&lt;&gt;"",'Data Source'!S481="A+"),'Data Source'!S481,"")</f>
        <v/>
      </c>
    </row>
    <row r="482">
      <c r="A482" s="3">
        <f>IF(AND('Data Source'!B482&lt;&gt;"",'Data Source'!S482="A+"),COUNTIF('Data Source'!$S$3:S482,"A+"),"")</f>
        <v/>
      </c>
      <c r="B482">
        <f>IF(AND('Data Source'!B482&lt;&gt;"",'Data Source'!S482="A+"),'Data Source'!B482,"")</f>
        <v/>
      </c>
      <c r="C482" s="3">
        <f>IF(AND('Data Source'!B482&lt;&gt;"",'Data Source'!S482="A+"),IF('Data Source'!U482&gt;=5,"A+",IF('Data Source'!U482&gt;=4,"A",IF('Data Source'!U482&gt;=3.5,"A-",IF('Data Source'!U482&gt;=3,"B",IF('Data Source'!U482&gt;=2,"C",IF('Data Source'!U482&gt;=1,"D","F")))))),"")</f>
        <v/>
      </c>
      <c r="D482" s="3">
        <f>IF(AND('Data Source'!B482&lt;&gt;"",'Data Source'!S482="A+"),IF('Data Source'!V482&gt;=5,"A+",IF('Data Source'!V482&gt;=4,"A",IF('Data Source'!V482&gt;=3.5,"A-",IF('Data Source'!V482&gt;=3,"B",IF('Data Source'!V482&gt;=2,"C",IF('Data Source'!V482&gt;=1,"D","F")))))),"")</f>
        <v/>
      </c>
      <c r="E482" s="3">
        <f>IF(AND('Data Source'!B482&lt;&gt;"",'Data Source'!S482="A+"),IF('Data Source'!W482&gt;=5,"A+",IF('Data Source'!W482&gt;=4,"A",IF('Data Source'!W482&gt;=3.5,"A-",IF('Data Source'!W482&gt;=3,"B",IF('Data Source'!W482&gt;=2,"C",IF('Data Source'!W482&gt;=1,"D","F")))))),"")</f>
        <v/>
      </c>
      <c r="F482" s="3">
        <f>IF(AND('Data Source'!B482&lt;&gt;"",'Data Source'!S482="A+"),IF('Data Source'!X482&gt;=5,"A+",IF('Data Source'!X482&gt;=4,"A",IF('Data Source'!X482&gt;=3.5,"A-",IF('Data Source'!X482&gt;=3,"B",IF('Data Source'!X482&gt;=2,"C",IF('Data Source'!X482&gt;=1,"D","F")))))),"")</f>
        <v/>
      </c>
      <c r="G482" s="3">
        <f>IF(AND('Data Source'!B482&lt;&gt;"",'Data Source'!S482="A+"),IF('Data Source'!Y482&gt;=5,"A+",IF('Data Source'!Y482&gt;=4,"A",IF('Data Source'!Y482&gt;=3.5,"A-",IF('Data Source'!Y482&gt;=3,"B",IF('Data Source'!Y482&gt;=2,"C",IF('Data Source'!Y482&gt;=1,"D","F")))))),"")</f>
        <v/>
      </c>
      <c r="H482" s="3">
        <f>IF(AND('Data Source'!B482&lt;&gt;"",'Data Source'!S482="A+"),IF('Data Source'!Z482&gt;=5,"A+",IF('Data Source'!Z482&gt;=4,"A",IF('Data Source'!Z482&gt;=3.5,"A-",IF('Data Source'!Z482&gt;=3,"B",IF('Data Source'!Z482&gt;=2,"C",IF('Data Source'!Z482&gt;=1,"D","F")))))),"")</f>
        <v/>
      </c>
      <c r="I482" s="3">
        <f>IF(AND('Data Source'!B482&lt;&gt;"",'Data Source'!S482="A+"),IF('Data Source'!AA482&gt;=5,"A+",IF('Data Source'!AA482&gt;=4,"A",IF('Data Source'!AA482&gt;=3.5,"A-",IF('Data Source'!AA482&gt;=3,"B",IF('Data Source'!AA482&gt;=2,"C",IF('Data Source'!AA482&gt;=1,"D","F")))))),"")</f>
        <v/>
      </c>
      <c r="J482" s="3">
        <f>IF(AND('Data Source'!B482&lt;&gt;"",'Data Source'!S482="A+"),IF('Data Source'!AB482&gt;=5,"A+",IF('Data Source'!AB482&gt;=4,"A",IF('Data Source'!AB482&gt;=3.5,"A-",IF('Data Source'!AB482&gt;=3,"B",IF('Data Source'!AB482&gt;=2,"C",IF('Data Source'!AB482&gt;=1,"D","F")))))),"")</f>
        <v/>
      </c>
      <c r="K482" s="3">
        <f>IF(AND('Data Source'!B482&lt;&gt;"",'Data Source'!S482="A+"),IF('Data Source'!AC482&gt;=5,"A+",IF('Data Source'!AC482&gt;=4,"A",IF('Data Source'!AC482&gt;=3.5,"A-",IF('Data Source'!AC482&gt;=3,"B",IF('Data Source'!AC482&gt;=2,"C",IF('Data Source'!AC482&gt;=1,"D","F")))))),"")</f>
        <v/>
      </c>
      <c r="L482" s="3">
        <f>IF(AND('Data Source'!B482&lt;&gt;"",'Data Source'!S482="A+"),IF('Data Source'!AD482&gt;=5,"A+",IF('Data Source'!AD482&gt;=4,"A",IF('Data Source'!AD482&gt;=3.5,"A-",IF('Data Source'!AD482&gt;=3,"B",IF('Data Source'!AD482&gt;=2,"C",IF('Data Source'!AD482&gt;=1,"D","F")))))),"")</f>
        <v/>
      </c>
      <c r="M482" s="3">
        <f>IF(AND('Data Source'!B482&lt;&gt;"",'Data Source'!S482="A+"),IF('Data Source'!AE482&gt;=5,"A+",IF('Data Source'!AE482&gt;=4,"A",IF('Data Source'!AE482&gt;=3.5,"A-",IF('Data Source'!AE482&gt;=3,"B",IF('Data Source'!AE482&gt;=2,"C",IF('Data Source'!AE482&gt;=1,"D","F")))))),"")</f>
        <v/>
      </c>
      <c r="N482" s="3">
        <f>IF(AND('Data Source'!B482&lt;&gt;"",'Data Source'!S482="A+"),IF('Data Source'!AF482&gt;=5,"A+",IF('Data Source'!AF482&gt;=4,"A",IF('Data Source'!AF482&gt;=3.5,"A-",IF('Data Source'!AF482&gt;=3,"B",IF('Data Source'!AF482&gt;=2,"C",IF('Data Source'!AF482&gt;=1,"D","F")))))),"")</f>
        <v/>
      </c>
      <c r="O482" s="3">
        <f>IF(AND('Data Source'!B482&lt;&gt;"",'Data Source'!S482="A+"),IF('Data Source'!AG482&gt;=5,"A+",IF('Data Source'!AG482&gt;=4,"A",IF('Data Source'!AG482&gt;=3.5,"A-",IF('Data Source'!AG482&gt;=3,"B",IF('Data Source'!AG482&gt;=2,"C",IF('Data Source'!AG482&gt;=1,"D","F")))))),"")</f>
        <v/>
      </c>
      <c r="P482" s="5">
        <f>IF(AND('Data Source'!B482&lt;&gt;"",'Data Source'!S482="A+"),'Data Source'!R482,"")</f>
        <v/>
      </c>
      <c r="Q482" s="3">
        <f>IF(AND('Data Source'!B482&lt;&gt;"",'Data Source'!S482="A+"),'Data Source'!S482,"")</f>
        <v/>
      </c>
    </row>
    <row r="483">
      <c r="A483" s="3">
        <f>IF(AND('Data Source'!B483&lt;&gt;"",'Data Source'!S483="A+"),COUNTIF('Data Source'!$S$3:S483,"A+"),"")</f>
        <v/>
      </c>
      <c r="B483">
        <f>IF(AND('Data Source'!B483&lt;&gt;"",'Data Source'!S483="A+"),'Data Source'!B483,"")</f>
        <v/>
      </c>
      <c r="C483" s="3">
        <f>IF(AND('Data Source'!B483&lt;&gt;"",'Data Source'!S483="A+"),IF('Data Source'!U483&gt;=5,"A+",IF('Data Source'!U483&gt;=4,"A",IF('Data Source'!U483&gt;=3.5,"A-",IF('Data Source'!U483&gt;=3,"B",IF('Data Source'!U483&gt;=2,"C",IF('Data Source'!U483&gt;=1,"D","F")))))),"")</f>
        <v/>
      </c>
      <c r="D483" s="3">
        <f>IF(AND('Data Source'!B483&lt;&gt;"",'Data Source'!S483="A+"),IF('Data Source'!V483&gt;=5,"A+",IF('Data Source'!V483&gt;=4,"A",IF('Data Source'!V483&gt;=3.5,"A-",IF('Data Source'!V483&gt;=3,"B",IF('Data Source'!V483&gt;=2,"C",IF('Data Source'!V483&gt;=1,"D","F")))))),"")</f>
        <v/>
      </c>
      <c r="E483" s="3">
        <f>IF(AND('Data Source'!B483&lt;&gt;"",'Data Source'!S483="A+"),IF('Data Source'!W483&gt;=5,"A+",IF('Data Source'!W483&gt;=4,"A",IF('Data Source'!W483&gt;=3.5,"A-",IF('Data Source'!W483&gt;=3,"B",IF('Data Source'!W483&gt;=2,"C",IF('Data Source'!W483&gt;=1,"D","F")))))),"")</f>
        <v/>
      </c>
      <c r="F483" s="3">
        <f>IF(AND('Data Source'!B483&lt;&gt;"",'Data Source'!S483="A+"),IF('Data Source'!X483&gt;=5,"A+",IF('Data Source'!X483&gt;=4,"A",IF('Data Source'!X483&gt;=3.5,"A-",IF('Data Source'!X483&gt;=3,"B",IF('Data Source'!X483&gt;=2,"C",IF('Data Source'!X483&gt;=1,"D","F")))))),"")</f>
        <v/>
      </c>
      <c r="G483" s="3">
        <f>IF(AND('Data Source'!B483&lt;&gt;"",'Data Source'!S483="A+"),IF('Data Source'!Y483&gt;=5,"A+",IF('Data Source'!Y483&gt;=4,"A",IF('Data Source'!Y483&gt;=3.5,"A-",IF('Data Source'!Y483&gt;=3,"B",IF('Data Source'!Y483&gt;=2,"C",IF('Data Source'!Y483&gt;=1,"D","F")))))),"")</f>
        <v/>
      </c>
      <c r="H483" s="3">
        <f>IF(AND('Data Source'!B483&lt;&gt;"",'Data Source'!S483="A+"),IF('Data Source'!Z483&gt;=5,"A+",IF('Data Source'!Z483&gt;=4,"A",IF('Data Source'!Z483&gt;=3.5,"A-",IF('Data Source'!Z483&gt;=3,"B",IF('Data Source'!Z483&gt;=2,"C",IF('Data Source'!Z483&gt;=1,"D","F")))))),"")</f>
        <v/>
      </c>
      <c r="I483" s="3">
        <f>IF(AND('Data Source'!B483&lt;&gt;"",'Data Source'!S483="A+"),IF('Data Source'!AA483&gt;=5,"A+",IF('Data Source'!AA483&gt;=4,"A",IF('Data Source'!AA483&gt;=3.5,"A-",IF('Data Source'!AA483&gt;=3,"B",IF('Data Source'!AA483&gt;=2,"C",IF('Data Source'!AA483&gt;=1,"D","F")))))),"")</f>
        <v/>
      </c>
      <c r="J483" s="3">
        <f>IF(AND('Data Source'!B483&lt;&gt;"",'Data Source'!S483="A+"),IF('Data Source'!AB483&gt;=5,"A+",IF('Data Source'!AB483&gt;=4,"A",IF('Data Source'!AB483&gt;=3.5,"A-",IF('Data Source'!AB483&gt;=3,"B",IF('Data Source'!AB483&gt;=2,"C",IF('Data Source'!AB483&gt;=1,"D","F")))))),"")</f>
        <v/>
      </c>
      <c r="K483" s="3">
        <f>IF(AND('Data Source'!B483&lt;&gt;"",'Data Source'!S483="A+"),IF('Data Source'!AC483&gt;=5,"A+",IF('Data Source'!AC483&gt;=4,"A",IF('Data Source'!AC483&gt;=3.5,"A-",IF('Data Source'!AC483&gt;=3,"B",IF('Data Source'!AC483&gt;=2,"C",IF('Data Source'!AC483&gt;=1,"D","F")))))),"")</f>
        <v/>
      </c>
      <c r="L483" s="3">
        <f>IF(AND('Data Source'!B483&lt;&gt;"",'Data Source'!S483="A+"),IF('Data Source'!AD483&gt;=5,"A+",IF('Data Source'!AD483&gt;=4,"A",IF('Data Source'!AD483&gt;=3.5,"A-",IF('Data Source'!AD483&gt;=3,"B",IF('Data Source'!AD483&gt;=2,"C",IF('Data Source'!AD483&gt;=1,"D","F")))))),"")</f>
        <v/>
      </c>
      <c r="M483" s="3">
        <f>IF(AND('Data Source'!B483&lt;&gt;"",'Data Source'!S483="A+"),IF('Data Source'!AE483&gt;=5,"A+",IF('Data Source'!AE483&gt;=4,"A",IF('Data Source'!AE483&gt;=3.5,"A-",IF('Data Source'!AE483&gt;=3,"B",IF('Data Source'!AE483&gt;=2,"C",IF('Data Source'!AE483&gt;=1,"D","F")))))),"")</f>
        <v/>
      </c>
      <c r="N483" s="3">
        <f>IF(AND('Data Source'!B483&lt;&gt;"",'Data Source'!S483="A+"),IF('Data Source'!AF483&gt;=5,"A+",IF('Data Source'!AF483&gt;=4,"A",IF('Data Source'!AF483&gt;=3.5,"A-",IF('Data Source'!AF483&gt;=3,"B",IF('Data Source'!AF483&gt;=2,"C",IF('Data Source'!AF483&gt;=1,"D","F")))))),"")</f>
        <v/>
      </c>
      <c r="O483" s="3">
        <f>IF(AND('Data Source'!B483&lt;&gt;"",'Data Source'!S483="A+"),IF('Data Source'!AG483&gt;=5,"A+",IF('Data Source'!AG483&gt;=4,"A",IF('Data Source'!AG483&gt;=3.5,"A-",IF('Data Source'!AG483&gt;=3,"B",IF('Data Source'!AG483&gt;=2,"C",IF('Data Source'!AG483&gt;=1,"D","F")))))),"")</f>
        <v/>
      </c>
      <c r="P483" s="5">
        <f>IF(AND('Data Source'!B483&lt;&gt;"",'Data Source'!S483="A+"),'Data Source'!R483,"")</f>
        <v/>
      </c>
      <c r="Q483" s="3">
        <f>IF(AND('Data Source'!B483&lt;&gt;"",'Data Source'!S483="A+"),'Data Source'!S483,"")</f>
        <v/>
      </c>
    </row>
    <row r="484">
      <c r="A484" s="3">
        <f>IF(AND('Data Source'!B484&lt;&gt;"",'Data Source'!S484="A+"),COUNTIF('Data Source'!$S$3:S484,"A+"),"")</f>
        <v/>
      </c>
      <c r="B484">
        <f>IF(AND('Data Source'!B484&lt;&gt;"",'Data Source'!S484="A+"),'Data Source'!B484,"")</f>
        <v/>
      </c>
      <c r="C484" s="3">
        <f>IF(AND('Data Source'!B484&lt;&gt;"",'Data Source'!S484="A+"),IF('Data Source'!U484&gt;=5,"A+",IF('Data Source'!U484&gt;=4,"A",IF('Data Source'!U484&gt;=3.5,"A-",IF('Data Source'!U484&gt;=3,"B",IF('Data Source'!U484&gt;=2,"C",IF('Data Source'!U484&gt;=1,"D","F")))))),"")</f>
        <v/>
      </c>
      <c r="D484" s="3">
        <f>IF(AND('Data Source'!B484&lt;&gt;"",'Data Source'!S484="A+"),IF('Data Source'!V484&gt;=5,"A+",IF('Data Source'!V484&gt;=4,"A",IF('Data Source'!V484&gt;=3.5,"A-",IF('Data Source'!V484&gt;=3,"B",IF('Data Source'!V484&gt;=2,"C",IF('Data Source'!V484&gt;=1,"D","F")))))),"")</f>
        <v/>
      </c>
      <c r="E484" s="3">
        <f>IF(AND('Data Source'!B484&lt;&gt;"",'Data Source'!S484="A+"),IF('Data Source'!W484&gt;=5,"A+",IF('Data Source'!W484&gt;=4,"A",IF('Data Source'!W484&gt;=3.5,"A-",IF('Data Source'!W484&gt;=3,"B",IF('Data Source'!W484&gt;=2,"C",IF('Data Source'!W484&gt;=1,"D","F")))))),"")</f>
        <v/>
      </c>
      <c r="F484" s="3">
        <f>IF(AND('Data Source'!B484&lt;&gt;"",'Data Source'!S484="A+"),IF('Data Source'!X484&gt;=5,"A+",IF('Data Source'!X484&gt;=4,"A",IF('Data Source'!X484&gt;=3.5,"A-",IF('Data Source'!X484&gt;=3,"B",IF('Data Source'!X484&gt;=2,"C",IF('Data Source'!X484&gt;=1,"D","F")))))),"")</f>
        <v/>
      </c>
      <c r="G484" s="3">
        <f>IF(AND('Data Source'!B484&lt;&gt;"",'Data Source'!S484="A+"),IF('Data Source'!Y484&gt;=5,"A+",IF('Data Source'!Y484&gt;=4,"A",IF('Data Source'!Y484&gt;=3.5,"A-",IF('Data Source'!Y484&gt;=3,"B",IF('Data Source'!Y484&gt;=2,"C",IF('Data Source'!Y484&gt;=1,"D","F")))))),"")</f>
        <v/>
      </c>
      <c r="H484" s="3">
        <f>IF(AND('Data Source'!B484&lt;&gt;"",'Data Source'!S484="A+"),IF('Data Source'!Z484&gt;=5,"A+",IF('Data Source'!Z484&gt;=4,"A",IF('Data Source'!Z484&gt;=3.5,"A-",IF('Data Source'!Z484&gt;=3,"B",IF('Data Source'!Z484&gt;=2,"C",IF('Data Source'!Z484&gt;=1,"D","F")))))),"")</f>
        <v/>
      </c>
      <c r="I484" s="3">
        <f>IF(AND('Data Source'!B484&lt;&gt;"",'Data Source'!S484="A+"),IF('Data Source'!AA484&gt;=5,"A+",IF('Data Source'!AA484&gt;=4,"A",IF('Data Source'!AA484&gt;=3.5,"A-",IF('Data Source'!AA484&gt;=3,"B",IF('Data Source'!AA484&gt;=2,"C",IF('Data Source'!AA484&gt;=1,"D","F")))))),"")</f>
        <v/>
      </c>
      <c r="J484" s="3">
        <f>IF(AND('Data Source'!B484&lt;&gt;"",'Data Source'!S484="A+"),IF('Data Source'!AB484&gt;=5,"A+",IF('Data Source'!AB484&gt;=4,"A",IF('Data Source'!AB484&gt;=3.5,"A-",IF('Data Source'!AB484&gt;=3,"B",IF('Data Source'!AB484&gt;=2,"C",IF('Data Source'!AB484&gt;=1,"D","F")))))),"")</f>
        <v/>
      </c>
      <c r="K484" s="3">
        <f>IF(AND('Data Source'!B484&lt;&gt;"",'Data Source'!S484="A+"),IF('Data Source'!AC484&gt;=5,"A+",IF('Data Source'!AC484&gt;=4,"A",IF('Data Source'!AC484&gt;=3.5,"A-",IF('Data Source'!AC484&gt;=3,"B",IF('Data Source'!AC484&gt;=2,"C",IF('Data Source'!AC484&gt;=1,"D","F")))))),"")</f>
        <v/>
      </c>
      <c r="L484" s="3">
        <f>IF(AND('Data Source'!B484&lt;&gt;"",'Data Source'!S484="A+"),IF('Data Source'!AD484&gt;=5,"A+",IF('Data Source'!AD484&gt;=4,"A",IF('Data Source'!AD484&gt;=3.5,"A-",IF('Data Source'!AD484&gt;=3,"B",IF('Data Source'!AD484&gt;=2,"C",IF('Data Source'!AD484&gt;=1,"D","F")))))),"")</f>
        <v/>
      </c>
      <c r="M484" s="3">
        <f>IF(AND('Data Source'!B484&lt;&gt;"",'Data Source'!S484="A+"),IF('Data Source'!AE484&gt;=5,"A+",IF('Data Source'!AE484&gt;=4,"A",IF('Data Source'!AE484&gt;=3.5,"A-",IF('Data Source'!AE484&gt;=3,"B",IF('Data Source'!AE484&gt;=2,"C",IF('Data Source'!AE484&gt;=1,"D","F")))))),"")</f>
        <v/>
      </c>
      <c r="N484" s="3">
        <f>IF(AND('Data Source'!B484&lt;&gt;"",'Data Source'!S484="A+"),IF('Data Source'!AF484&gt;=5,"A+",IF('Data Source'!AF484&gt;=4,"A",IF('Data Source'!AF484&gt;=3.5,"A-",IF('Data Source'!AF484&gt;=3,"B",IF('Data Source'!AF484&gt;=2,"C",IF('Data Source'!AF484&gt;=1,"D","F")))))),"")</f>
        <v/>
      </c>
      <c r="O484" s="3">
        <f>IF(AND('Data Source'!B484&lt;&gt;"",'Data Source'!S484="A+"),IF('Data Source'!AG484&gt;=5,"A+",IF('Data Source'!AG484&gt;=4,"A",IF('Data Source'!AG484&gt;=3.5,"A-",IF('Data Source'!AG484&gt;=3,"B",IF('Data Source'!AG484&gt;=2,"C",IF('Data Source'!AG484&gt;=1,"D","F")))))),"")</f>
        <v/>
      </c>
      <c r="P484" s="5">
        <f>IF(AND('Data Source'!B484&lt;&gt;"",'Data Source'!S484="A+"),'Data Source'!R484,"")</f>
        <v/>
      </c>
      <c r="Q484" s="3">
        <f>IF(AND('Data Source'!B484&lt;&gt;"",'Data Source'!S484="A+"),'Data Source'!S484,"")</f>
        <v/>
      </c>
    </row>
    <row r="485">
      <c r="A485" s="3">
        <f>IF(AND('Data Source'!B485&lt;&gt;"",'Data Source'!S485="A+"),COUNTIF('Data Source'!$S$3:S485,"A+"),"")</f>
        <v/>
      </c>
      <c r="B485">
        <f>IF(AND('Data Source'!B485&lt;&gt;"",'Data Source'!S485="A+"),'Data Source'!B485,"")</f>
        <v/>
      </c>
      <c r="C485" s="3">
        <f>IF(AND('Data Source'!B485&lt;&gt;"",'Data Source'!S485="A+"),IF('Data Source'!U485&gt;=5,"A+",IF('Data Source'!U485&gt;=4,"A",IF('Data Source'!U485&gt;=3.5,"A-",IF('Data Source'!U485&gt;=3,"B",IF('Data Source'!U485&gt;=2,"C",IF('Data Source'!U485&gt;=1,"D","F")))))),"")</f>
        <v/>
      </c>
      <c r="D485" s="3">
        <f>IF(AND('Data Source'!B485&lt;&gt;"",'Data Source'!S485="A+"),IF('Data Source'!V485&gt;=5,"A+",IF('Data Source'!V485&gt;=4,"A",IF('Data Source'!V485&gt;=3.5,"A-",IF('Data Source'!V485&gt;=3,"B",IF('Data Source'!V485&gt;=2,"C",IF('Data Source'!V485&gt;=1,"D","F")))))),"")</f>
        <v/>
      </c>
      <c r="E485" s="3">
        <f>IF(AND('Data Source'!B485&lt;&gt;"",'Data Source'!S485="A+"),IF('Data Source'!W485&gt;=5,"A+",IF('Data Source'!W485&gt;=4,"A",IF('Data Source'!W485&gt;=3.5,"A-",IF('Data Source'!W485&gt;=3,"B",IF('Data Source'!W485&gt;=2,"C",IF('Data Source'!W485&gt;=1,"D","F")))))),"")</f>
        <v/>
      </c>
      <c r="F485" s="3">
        <f>IF(AND('Data Source'!B485&lt;&gt;"",'Data Source'!S485="A+"),IF('Data Source'!X485&gt;=5,"A+",IF('Data Source'!X485&gt;=4,"A",IF('Data Source'!X485&gt;=3.5,"A-",IF('Data Source'!X485&gt;=3,"B",IF('Data Source'!X485&gt;=2,"C",IF('Data Source'!X485&gt;=1,"D","F")))))),"")</f>
        <v/>
      </c>
      <c r="G485" s="3">
        <f>IF(AND('Data Source'!B485&lt;&gt;"",'Data Source'!S485="A+"),IF('Data Source'!Y485&gt;=5,"A+",IF('Data Source'!Y485&gt;=4,"A",IF('Data Source'!Y485&gt;=3.5,"A-",IF('Data Source'!Y485&gt;=3,"B",IF('Data Source'!Y485&gt;=2,"C",IF('Data Source'!Y485&gt;=1,"D","F")))))),"")</f>
        <v/>
      </c>
      <c r="H485" s="3">
        <f>IF(AND('Data Source'!B485&lt;&gt;"",'Data Source'!S485="A+"),IF('Data Source'!Z485&gt;=5,"A+",IF('Data Source'!Z485&gt;=4,"A",IF('Data Source'!Z485&gt;=3.5,"A-",IF('Data Source'!Z485&gt;=3,"B",IF('Data Source'!Z485&gt;=2,"C",IF('Data Source'!Z485&gt;=1,"D","F")))))),"")</f>
        <v/>
      </c>
      <c r="I485" s="3">
        <f>IF(AND('Data Source'!B485&lt;&gt;"",'Data Source'!S485="A+"),IF('Data Source'!AA485&gt;=5,"A+",IF('Data Source'!AA485&gt;=4,"A",IF('Data Source'!AA485&gt;=3.5,"A-",IF('Data Source'!AA485&gt;=3,"B",IF('Data Source'!AA485&gt;=2,"C",IF('Data Source'!AA485&gt;=1,"D","F")))))),"")</f>
        <v/>
      </c>
      <c r="J485" s="3">
        <f>IF(AND('Data Source'!B485&lt;&gt;"",'Data Source'!S485="A+"),IF('Data Source'!AB485&gt;=5,"A+",IF('Data Source'!AB485&gt;=4,"A",IF('Data Source'!AB485&gt;=3.5,"A-",IF('Data Source'!AB485&gt;=3,"B",IF('Data Source'!AB485&gt;=2,"C",IF('Data Source'!AB485&gt;=1,"D","F")))))),"")</f>
        <v/>
      </c>
      <c r="K485" s="3">
        <f>IF(AND('Data Source'!B485&lt;&gt;"",'Data Source'!S485="A+"),IF('Data Source'!AC485&gt;=5,"A+",IF('Data Source'!AC485&gt;=4,"A",IF('Data Source'!AC485&gt;=3.5,"A-",IF('Data Source'!AC485&gt;=3,"B",IF('Data Source'!AC485&gt;=2,"C",IF('Data Source'!AC485&gt;=1,"D","F")))))),"")</f>
        <v/>
      </c>
      <c r="L485" s="3">
        <f>IF(AND('Data Source'!B485&lt;&gt;"",'Data Source'!S485="A+"),IF('Data Source'!AD485&gt;=5,"A+",IF('Data Source'!AD485&gt;=4,"A",IF('Data Source'!AD485&gt;=3.5,"A-",IF('Data Source'!AD485&gt;=3,"B",IF('Data Source'!AD485&gt;=2,"C",IF('Data Source'!AD485&gt;=1,"D","F")))))),"")</f>
        <v/>
      </c>
      <c r="M485" s="3">
        <f>IF(AND('Data Source'!B485&lt;&gt;"",'Data Source'!S485="A+"),IF('Data Source'!AE485&gt;=5,"A+",IF('Data Source'!AE485&gt;=4,"A",IF('Data Source'!AE485&gt;=3.5,"A-",IF('Data Source'!AE485&gt;=3,"B",IF('Data Source'!AE485&gt;=2,"C",IF('Data Source'!AE485&gt;=1,"D","F")))))),"")</f>
        <v/>
      </c>
      <c r="N485" s="3">
        <f>IF(AND('Data Source'!B485&lt;&gt;"",'Data Source'!S485="A+"),IF('Data Source'!AF485&gt;=5,"A+",IF('Data Source'!AF485&gt;=4,"A",IF('Data Source'!AF485&gt;=3.5,"A-",IF('Data Source'!AF485&gt;=3,"B",IF('Data Source'!AF485&gt;=2,"C",IF('Data Source'!AF485&gt;=1,"D","F")))))),"")</f>
        <v/>
      </c>
      <c r="O485" s="3">
        <f>IF(AND('Data Source'!B485&lt;&gt;"",'Data Source'!S485="A+"),IF('Data Source'!AG485&gt;=5,"A+",IF('Data Source'!AG485&gt;=4,"A",IF('Data Source'!AG485&gt;=3.5,"A-",IF('Data Source'!AG485&gt;=3,"B",IF('Data Source'!AG485&gt;=2,"C",IF('Data Source'!AG485&gt;=1,"D","F")))))),"")</f>
        <v/>
      </c>
      <c r="P485" s="5">
        <f>IF(AND('Data Source'!B485&lt;&gt;"",'Data Source'!S485="A+"),'Data Source'!R485,"")</f>
        <v/>
      </c>
      <c r="Q485" s="3">
        <f>IF(AND('Data Source'!B485&lt;&gt;"",'Data Source'!S485="A+"),'Data Source'!S485,"")</f>
        <v/>
      </c>
    </row>
    <row r="486">
      <c r="A486" s="3">
        <f>IF(AND('Data Source'!B486&lt;&gt;"",'Data Source'!S486="A+"),COUNTIF('Data Source'!$S$3:S486,"A+"),"")</f>
        <v/>
      </c>
      <c r="B486">
        <f>IF(AND('Data Source'!B486&lt;&gt;"",'Data Source'!S486="A+"),'Data Source'!B486,"")</f>
        <v/>
      </c>
      <c r="C486" s="3">
        <f>IF(AND('Data Source'!B486&lt;&gt;"",'Data Source'!S486="A+"),IF('Data Source'!U486&gt;=5,"A+",IF('Data Source'!U486&gt;=4,"A",IF('Data Source'!U486&gt;=3.5,"A-",IF('Data Source'!U486&gt;=3,"B",IF('Data Source'!U486&gt;=2,"C",IF('Data Source'!U486&gt;=1,"D","F")))))),"")</f>
        <v/>
      </c>
      <c r="D486" s="3">
        <f>IF(AND('Data Source'!B486&lt;&gt;"",'Data Source'!S486="A+"),IF('Data Source'!V486&gt;=5,"A+",IF('Data Source'!V486&gt;=4,"A",IF('Data Source'!V486&gt;=3.5,"A-",IF('Data Source'!V486&gt;=3,"B",IF('Data Source'!V486&gt;=2,"C",IF('Data Source'!V486&gt;=1,"D","F")))))),"")</f>
        <v/>
      </c>
      <c r="E486" s="3">
        <f>IF(AND('Data Source'!B486&lt;&gt;"",'Data Source'!S486="A+"),IF('Data Source'!W486&gt;=5,"A+",IF('Data Source'!W486&gt;=4,"A",IF('Data Source'!W486&gt;=3.5,"A-",IF('Data Source'!W486&gt;=3,"B",IF('Data Source'!W486&gt;=2,"C",IF('Data Source'!W486&gt;=1,"D","F")))))),"")</f>
        <v/>
      </c>
      <c r="F486" s="3">
        <f>IF(AND('Data Source'!B486&lt;&gt;"",'Data Source'!S486="A+"),IF('Data Source'!X486&gt;=5,"A+",IF('Data Source'!X486&gt;=4,"A",IF('Data Source'!X486&gt;=3.5,"A-",IF('Data Source'!X486&gt;=3,"B",IF('Data Source'!X486&gt;=2,"C",IF('Data Source'!X486&gt;=1,"D","F")))))),"")</f>
        <v/>
      </c>
      <c r="G486" s="3">
        <f>IF(AND('Data Source'!B486&lt;&gt;"",'Data Source'!S486="A+"),IF('Data Source'!Y486&gt;=5,"A+",IF('Data Source'!Y486&gt;=4,"A",IF('Data Source'!Y486&gt;=3.5,"A-",IF('Data Source'!Y486&gt;=3,"B",IF('Data Source'!Y486&gt;=2,"C",IF('Data Source'!Y486&gt;=1,"D","F")))))),"")</f>
        <v/>
      </c>
      <c r="H486" s="3">
        <f>IF(AND('Data Source'!B486&lt;&gt;"",'Data Source'!S486="A+"),IF('Data Source'!Z486&gt;=5,"A+",IF('Data Source'!Z486&gt;=4,"A",IF('Data Source'!Z486&gt;=3.5,"A-",IF('Data Source'!Z486&gt;=3,"B",IF('Data Source'!Z486&gt;=2,"C",IF('Data Source'!Z486&gt;=1,"D","F")))))),"")</f>
        <v/>
      </c>
      <c r="I486" s="3">
        <f>IF(AND('Data Source'!B486&lt;&gt;"",'Data Source'!S486="A+"),IF('Data Source'!AA486&gt;=5,"A+",IF('Data Source'!AA486&gt;=4,"A",IF('Data Source'!AA486&gt;=3.5,"A-",IF('Data Source'!AA486&gt;=3,"B",IF('Data Source'!AA486&gt;=2,"C",IF('Data Source'!AA486&gt;=1,"D","F")))))),"")</f>
        <v/>
      </c>
      <c r="J486" s="3">
        <f>IF(AND('Data Source'!B486&lt;&gt;"",'Data Source'!S486="A+"),IF('Data Source'!AB486&gt;=5,"A+",IF('Data Source'!AB486&gt;=4,"A",IF('Data Source'!AB486&gt;=3.5,"A-",IF('Data Source'!AB486&gt;=3,"B",IF('Data Source'!AB486&gt;=2,"C",IF('Data Source'!AB486&gt;=1,"D","F")))))),"")</f>
        <v/>
      </c>
      <c r="K486" s="3">
        <f>IF(AND('Data Source'!B486&lt;&gt;"",'Data Source'!S486="A+"),IF('Data Source'!AC486&gt;=5,"A+",IF('Data Source'!AC486&gt;=4,"A",IF('Data Source'!AC486&gt;=3.5,"A-",IF('Data Source'!AC486&gt;=3,"B",IF('Data Source'!AC486&gt;=2,"C",IF('Data Source'!AC486&gt;=1,"D","F")))))),"")</f>
        <v/>
      </c>
      <c r="L486" s="3">
        <f>IF(AND('Data Source'!B486&lt;&gt;"",'Data Source'!S486="A+"),IF('Data Source'!AD486&gt;=5,"A+",IF('Data Source'!AD486&gt;=4,"A",IF('Data Source'!AD486&gt;=3.5,"A-",IF('Data Source'!AD486&gt;=3,"B",IF('Data Source'!AD486&gt;=2,"C",IF('Data Source'!AD486&gt;=1,"D","F")))))),"")</f>
        <v/>
      </c>
      <c r="M486" s="3">
        <f>IF(AND('Data Source'!B486&lt;&gt;"",'Data Source'!S486="A+"),IF('Data Source'!AE486&gt;=5,"A+",IF('Data Source'!AE486&gt;=4,"A",IF('Data Source'!AE486&gt;=3.5,"A-",IF('Data Source'!AE486&gt;=3,"B",IF('Data Source'!AE486&gt;=2,"C",IF('Data Source'!AE486&gt;=1,"D","F")))))),"")</f>
        <v/>
      </c>
      <c r="N486" s="3">
        <f>IF(AND('Data Source'!B486&lt;&gt;"",'Data Source'!S486="A+"),IF('Data Source'!AF486&gt;=5,"A+",IF('Data Source'!AF486&gt;=4,"A",IF('Data Source'!AF486&gt;=3.5,"A-",IF('Data Source'!AF486&gt;=3,"B",IF('Data Source'!AF486&gt;=2,"C",IF('Data Source'!AF486&gt;=1,"D","F")))))),"")</f>
        <v/>
      </c>
      <c r="O486" s="3">
        <f>IF(AND('Data Source'!B486&lt;&gt;"",'Data Source'!S486="A+"),IF('Data Source'!AG486&gt;=5,"A+",IF('Data Source'!AG486&gt;=4,"A",IF('Data Source'!AG486&gt;=3.5,"A-",IF('Data Source'!AG486&gt;=3,"B",IF('Data Source'!AG486&gt;=2,"C",IF('Data Source'!AG486&gt;=1,"D","F")))))),"")</f>
        <v/>
      </c>
      <c r="P486" s="5">
        <f>IF(AND('Data Source'!B486&lt;&gt;"",'Data Source'!S486="A+"),'Data Source'!R486,"")</f>
        <v/>
      </c>
      <c r="Q486" s="3">
        <f>IF(AND('Data Source'!B486&lt;&gt;"",'Data Source'!S486="A+"),'Data Source'!S486,"")</f>
        <v/>
      </c>
    </row>
    <row r="487">
      <c r="A487" s="3">
        <f>IF(AND('Data Source'!B487&lt;&gt;"",'Data Source'!S487="A+"),COUNTIF('Data Source'!$S$3:S487,"A+"),"")</f>
        <v/>
      </c>
      <c r="B487">
        <f>IF(AND('Data Source'!B487&lt;&gt;"",'Data Source'!S487="A+"),'Data Source'!B487,"")</f>
        <v/>
      </c>
      <c r="C487" s="3">
        <f>IF(AND('Data Source'!B487&lt;&gt;"",'Data Source'!S487="A+"),IF('Data Source'!U487&gt;=5,"A+",IF('Data Source'!U487&gt;=4,"A",IF('Data Source'!U487&gt;=3.5,"A-",IF('Data Source'!U487&gt;=3,"B",IF('Data Source'!U487&gt;=2,"C",IF('Data Source'!U487&gt;=1,"D","F")))))),"")</f>
        <v/>
      </c>
      <c r="D487" s="3">
        <f>IF(AND('Data Source'!B487&lt;&gt;"",'Data Source'!S487="A+"),IF('Data Source'!V487&gt;=5,"A+",IF('Data Source'!V487&gt;=4,"A",IF('Data Source'!V487&gt;=3.5,"A-",IF('Data Source'!V487&gt;=3,"B",IF('Data Source'!V487&gt;=2,"C",IF('Data Source'!V487&gt;=1,"D","F")))))),"")</f>
        <v/>
      </c>
      <c r="E487" s="3">
        <f>IF(AND('Data Source'!B487&lt;&gt;"",'Data Source'!S487="A+"),IF('Data Source'!W487&gt;=5,"A+",IF('Data Source'!W487&gt;=4,"A",IF('Data Source'!W487&gt;=3.5,"A-",IF('Data Source'!W487&gt;=3,"B",IF('Data Source'!W487&gt;=2,"C",IF('Data Source'!W487&gt;=1,"D","F")))))),"")</f>
        <v/>
      </c>
      <c r="F487" s="3">
        <f>IF(AND('Data Source'!B487&lt;&gt;"",'Data Source'!S487="A+"),IF('Data Source'!X487&gt;=5,"A+",IF('Data Source'!X487&gt;=4,"A",IF('Data Source'!X487&gt;=3.5,"A-",IF('Data Source'!X487&gt;=3,"B",IF('Data Source'!X487&gt;=2,"C",IF('Data Source'!X487&gt;=1,"D","F")))))),"")</f>
        <v/>
      </c>
      <c r="G487" s="3">
        <f>IF(AND('Data Source'!B487&lt;&gt;"",'Data Source'!S487="A+"),IF('Data Source'!Y487&gt;=5,"A+",IF('Data Source'!Y487&gt;=4,"A",IF('Data Source'!Y487&gt;=3.5,"A-",IF('Data Source'!Y487&gt;=3,"B",IF('Data Source'!Y487&gt;=2,"C",IF('Data Source'!Y487&gt;=1,"D","F")))))),"")</f>
        <v/>
      </c>
      <c r="H487" s="3">
        <f>IF(AND('Data Source'!B487&lt;&gt;"",'Data Source'!S487="A+"),IF('Data Source'!Z487&gt;=5,"A+",IF('Data Source'!Z487&gt;=4,"A",IF('Data Source'!Z487&gt;=3.5,"A-",IF('Data Source'!Z487&gt;=3,"B",IF('Data Source'!Z487&gt;=2,"C",IF('Data Source'!Z487&gt;=1,"D","F")))))),"")</f>
        <v/>
      </c>
      <c r="I487" s="3">
        <f>IF(AND('Data Source'!B487&lt;&gt;"",'Data Source'!S487="A+"),IF('Data Source'!AA487&gt;=5,"A+",IF('Data Source'!AA487&gt;=4,"A",IF('Data Source'!AA487&gt;=3.5,"A-",IF('Data Source'!AA487&gt;=3,"B",IF('Data Source'!AA487&gt;=2,"C",IF('Data Source'!AA487&gt;=1,"D","F")))))),"")</f>
        <v/>
      </c>
      <c r="J487" s="3">
        <f>IF(AND('Data Source'!B487&lt;&gt;"",'Data Source'!S487="A+"),IF('Data Source'!AB487&gt;=5,"A+",IF('Data Source'!AB487&gt;=4,"A",IF('Data Source'!AB487&gt;=3.5,"A-",IF('Data Source'!AB487&gt;=3,"B",IF('Data Source'!AB487&gt;=2,"C",IF('Data Source'!AB487&gt;=1,"D","F")))))),"")</f>
        <v/>
      </c>
      <c r="K487" s="3">
        <f>IF(AND('Data Source'!B487&lt;&gt;"",'Data Source'!S487="A+"),IF('Data Source'!AC487&gt;=5,"A+",IF('Data Source'!AC487&gt;=4,"A",IF('Data Source'!AC487&gt;=3.5,"A-",IF('Data Source'!AC487&gt;=3,"B",IF('Data Source'!AC487&gt;=2,"C",IF('Data Source'!AC487&gt;=1,"D","F")))))),"")</f>
        <v/>
      </c>
      <c r="L487" s="3">
        <f>IF(AND('Data Source'!B487&lt;&gt;"",'Data Source'!S487="A+"),IF('Data Source'!AD487&gt;=5,"A+",IF('Data Source'!AD487&gt;=4,"A",IF('Data Source'!AD487&gt;=3.5,"A-",IF('Data Source'!AD487&gt;=3,"B",IF('Data Source'!AD487&gt;=2,"C",IF('Data Source'!AD487&gt;=1,"D","F")))))),"")</f>
        <v/>
      </c>
      <c r="M487" s="3">
        <f>IF(AND('Data Source'!B487&lt;&gt;"",'Data Source'!S487="A+"),IF('Data Source'!AE487&gt;=5,"A+",IF('Data Source'!AE487&gt;=4,"A",IF('Data Source'!AE487&gt;=3.5,"A-",IF('Data Source'!AE487&gt;=3,"B",IF('Data Source'!AE487&gt;=2,"C",IF('Data Source'!AE487&gt;=1,"D","F")))))),"")</f>
        <v/>
      </c>
      <c r="N487" s="3">
        <f>IF(AND('Data Source'!B487&lt;&gt;"",'Data Source'!S487="A+"),IF('Data Source'!AF487&gt;=5,"A+",IF('Data Source'!AF487&gt;=4,"A",IF('Data Source'!AF487&gt;=3.5,"A-",IF('Data Source'!AF487&gt;=3,"B",IF('Data Source'!AF487&gt;=2,"C",IF('Data Source'!AF487&gt;=1,"D","F")))))),"")</f>
        <v/>
      </c>
      <c r="O487" s="3">
        <f>IF(AND('Data Source'!B487&lt;&gt;"",'Data Source'!S487="A+"),IF('Data Source'!AG487&gt;=5,"A+",IF('Data Source'!AG487&gt;=4,"A",IF('Data Source'!AG487&gt;=3.5,"A-",IF('Data Source'!AG487&gt;=3,"B",IF('Data Source'!AG487&gt;=2,"C",IF('Data Source'!AG487&gt;=1,"D","F")))))),"")</f>
        <v/>
      </c>
      <c r="P487" s="5">
        <f>IF(AND('Data Source'!B487&lt;&gt;"",'Data Source'!S487="A+"),'Data Source'!R487,"")</f>
        <v/>
      </c>
      <c r="Q487" s="3">
        <f>IF(AND('Data Source'!B487&lt;&gt;"",'Data Source'!S487="A+"),'Data Source'!S487,"")</f>
        <v/>
      </c>
    </row>
    <row r="488">
      <c r="A488" s="3">
        <f>IF(AND('Data Source'!B488&lt;&gt;"",'Data Source'!S488="A+"),COUNTIF('Data Source'!$S$3:S488,"A+"),"")</f>
        <v/>
      </c>
      <c r="B488">
        <f>IF(AND('Data Source'!B488&lt;&gt;"",'Data Source'!S488="A+"),'Data Source'!B488,"")</f>
        <v/>
      </c>
      <c r="C488" s="3">
        <f>IF(AND('Data Source'!B488&lt;&gt;"",'Data Source'!S488="A+"),IF('Data Source'!U488&gt;=5,"A+",IF('Data Source'!U488&gt;=4,"A",IF('Data Source'!U488&gt;=3.5,"A-",IF('Data Source'!U488&gt;=3,"B",IF('Data Source'!U488&gt;=2,"C",IF('Data Source'!U488&gt;=1,"D","F")))))),"")</f>
        <v/>
      </c>
      <c r="D488" s="3">
        <f>IF(AND('Data Source'!B488&lt;&gt;"",'Data Source'!S488="A+"),IF('Data Source'!V488&gt;=5,"A+",IF('Data Source'!V488&gt;=4,"A",IF('Data Source'!V488&gt;=3.5,"A-",IF('Data Source'!V488&gt;=3,"B",IF('Data Source'!V488&gt;=2,"C",IF('Data Source'!V488&gt;=1,"D","F")))))),"")</f>
        <v/>
      </c>
      <c r="E488" s="3">
        <f>IF(AND('Data Source'!B488&lt;&gt;"",'Data Source'!S488="A+"),IF('Data Source'!W488&gt;=5,"A+",IF('Data Source'!W488&gt;=4,"A",IF('Data Source'!W488&gt;=3.5,"A-",IF('Data Source'!W488&gt;=3,"B",IF('Data Source'!W488&gt;=2,"C",IF('Data Source'!W488&gt;=1,"D","F")))))),"")</f>
        <v/>
      </c>
      <c r="F488" s="3">
        <f>IF(AND('Data Source'!B488&lt;&gt;"",'Data Source'!S488="A+"),IF('Data Source'!X488&gt;=5,"A+",IF('Data Source'!X488&gt;=4,"A",IF('Data Source'!X488&gt;=3.5,"A-",IF('Data Source'!X488&gt;=3,"B",IF('Data Source'!X488&gt;=2,"C",IF('Data Source'!X488&gt;=1,"D","F")))))),"")</f>
        <v/>
      </c>
      <c r="G488" s="3">
        <f>IF(AND('Data Source'!B488&lt;&gt;"",'Data Source'!S488="A+"),IF('Data Source'!Y488&gt;=5,"A+",IF('Data Source'!Y488&gt;=4,"A",IF('Data Source'!Y488&gt;=3.5,"A-",IF('Data Source'!Y488&gt;=3,"B",IF('Data Source'!Y488&gt;=2,"C",IF('Data Source'!Y488&gt;=1,"D","F")))))),"")</f>
        <v/>
      </c>
      <c r="H488" s="3">
        <f>IF(AND('Data Source'!B488&lt;&gt;"",'Data Source'!S488="A+"),IF('Data Source'!Z488&gt;=5,"A+",IF('Data Source'!Z488&gt;=4,"A",IF('Data Source'!Z488&gt;=3.5,"A-",IF('Data Source'!Z488&gt;=3,"B",IF('Data Source'!Z488&gt;=2,"C",IF('Data Source'!Z488&gt;=1,"D","F")))))),"")</f>
        <v/>
      </c>
      <c r="I488" s="3">
        <f>IF(AND('Data Source'!B488&lt;&gt;"",'Data Source'!S488="A+"),IF('Data Source'!AA488&gt;=5,"A+",IF('Data Source'!AA488&gt;=4,"A",IF('Data Source'!AA488&gt;=3.5,"A-",IF('Data Source'!AA488&gt;=3,"B",IF('Data Source'!AA488&gt;=2,"C",IF('Data Source'!AA488&gt;=1,"D","F")))))),"")</f>
        <v/>
      </c>
      <c r="J488" s="3">
        <f>IF(AND('Data Source'!B488&lt;&gt;"",'Data Source'!S488="A+"),IF('Data Source'!AB488&gt;=5,"A+",IF('Data Source'!AB488&gt;=4,"A",IF('Data Source'!AB488&gt;=3.5,"A-",IF('Data Source'!AB488&gt;=3,"B",IF('Data Source'!AB488&gt;=2,"C",IF('Data Source'!AB488&gt;=1,"D","F")))))),"")</f>
        <v/>
      </c>
      <c r="K488" s="3">
        <f>IF(AND('Data Source'!B488&lt;&gt;"",'Data Source'!S488="A+"),IF('Data Source'!AC488&gt;=5,"A+",IF('Data Source'!AC488&gt;=4,"A",IF('Data Source'!AC488&gt;=3.5,"A-",IF('Data Source'!AC488&gt;=3,"B",IF('Data Source'!AC488&gt;=2,"C",IF('Data Source'!AC488&gt;=1,"D","F")))))),"")</f>
        <v/>
      </c>
      <c r="L488" s="3">
        <f>IF(AND('Data Source'!B488&lt;&gt;"",'Data Source'!S488="A+"),IF('Data Source'!AD488&gt;=5,"A+",IF('Data Source'!AD488&gt;=4,"A",IF('Data Source'!AD488&gt;=3.5,"A-",IF('Data Source'!AD488&gt;=3,"B",IF('Data Source'!AD488&gt;=2,"C",IF('Data Source'!AD488&gt;=1,"D","F")))))),"")</f>
        <v/>
      </c>
      <c r="M488" s="3">
        <f>IF(AND('Data Source'!B488&lt;&gt;"",'Data Source'!S488="A+"),IF('Data Source'!AE488&gt;=5,"A+",IF('Data Source'!AE488&gt;=4,"A",IF('Data Source'!AE488&gt;=3.5,"A-",IF('Data Source'!AE488&gt;=3,"B",IF('Data Source'!AE488&gt;=2,"C",IF('Data Source'!AE488&gt;=1,"D","F")))))),"")</f>
        <v/>
      </c>
      <c r="N488" s="3">
        <f>IF(AND('Data Source'!B488&lt;&gt;"",'Data Source'!S488="A+"),IF('Data Source'!AF488&gt;=5,"A+",IF('Data Source'!AF488&gt;=4,"A",IF('Data Source'!AF488&gt;=3.5,"A-",IF('Data Source'!AF488&gt;=3,"B",IF('Data Source'!AF488&gt;=2,"C",IF('Data Source'!AF488&gt;=1,"D","F")))))),"")</f>
        <v/>
      </c>
      <c r="O488" s="3">
        <f>IF(AND('Data Source'!B488&lt;&gt;"",'Data Source'!S488="A+"),IF('Data Source'!AG488&gt;=5,"A+",IF('Data Source'!AG488&gt;=4,"A",IF('Data Source'!AG488&gt;=3.5,"A-",IF('Data Source'!AG488&gt;=3,"B",IF('Data Source'!AG488&gt;=2,"C",IF('Data Source'!AG488&gt;=1,"D","F")))))),"")</f>
        <v/>
      </c>
      <c r="P488" s="5">
        <f>IF(AND('Data Source'!B488&lt;&gt;"",'Data Source'!S488="A+"),'Data Source'!R488,"")</f>
        <v/>
      </c>
      <c r="Q488" s="3">
        <f>IF(AND('Data Source'!B488&lt;&gt;"",'Data Source'!S488="A+"),'Data Source'!S488,"")</f>
        <v/>
      </c>
    </row>
    <row r="489">
      <c r="A489" s="3">
        <f>IF(AND('Data Source'!B489&lt;&gt;"",'Data Source'!S489="A+"),COUNTIF('Data Source'!$S$3:S489,"A+"),"")</f>
        <v/>
      </c>
      <c r="B489">
        <f>IF(AND('Data Source'!B489&lt;&gt;"",'Data Source'!S489="A+"),'Data Source'!B489,"")</f>
        <v/>
      </c>
      <c r="C489" s="3">
        <f>IF(AND('Data Source'!B489&lt;&gt;"",'Data Source'!S489="A+"),IF('Data Source'!U489&gt;=5,"A+",IF('Data Source'!U489&gt;=4,"A",IF('Data Source'!U489&gt;=3.5,"A-",IF('Data Source'!U489&gt;=3,"B",IF('Data Source'!U489&gt;=2,"C",IF('Data Source'!U489&gt;=1,"D","F")))))),"")</f>
        <v/>
      </c>
      <c r="D489" s="3">
        <f>IF(AND('Data Source'!B489&lt;&gt;"",'Data Source'!S489="A+"),IF('Data Source'!V489&gt;=5,"A+",IF('Data Source'!V489&gt;=4,"A",IF('Data Source'!V489&gt;=3.5,"A-",IF('Data Source'!V489&gt;=3,"B",IF('Data Source'!V489&gt;=2,"C",IF('Data Source'!V489&gt;=1,"D","F")))))),"")</f>
        <v/>
      </c>
      <c r="E489" s="3">
        <f>IF(AND('Data Source'!B489&lt;&gt;"",'Data Source'!S489="A+"),IF('Data Source'!W489&gt;=5,"A+",IF('Data Source'!W489&gt;=4,"A",IF('Data Source'!W489&gt;=3.5,"A-",IF('Data Source'!W489&gt;=3,"B",IF('Data Source'!W489&gt;=2,"C",IF('Data Source'!W489&gt;=1,"D","F")))))),"")</f>
        <v/>
      </c>
      <c r="F489" s="3">
        <f>IF(AND('Data Source'!B489&lt;&gt;"",'Data Source'!S489="A+"),IF('Data Source'!X489&gt;=5,"A+",IF('Data Source'!X489&gt;=4,"A",IF('Data Source'!X489&gt;=3.5,"A-",IF('Data Source'!X489&gt;=3,"B",IF('Data Source'!X489&gt;=2,"C",IF('Data Source'!X489&gt;=1,"D","F")))))),"")</f>
        <v/>
      </c>
      <c r="G489" s="3">
        <f>IF(AND('Data Source'!B489&lt;&gt;"",'Data Source'!S489="A+"),IF('Data Source'!Y489&gt;=5,"A+",IF('Data Source'!Y489&gt;=4,"A",IF('Data Source'!Y489&gt;=3.5,"A-",IF('Data Source'!Y489&gt;=3,"B",IF('Data Source'!Y489&gt;=2,"C",IF('Data Source'!Y489&gt;=1,"D","F")))))),"")</f>
        <v/>
      </c>
      <c r="H489" s="3">
        <f>IF(AND('Data Source'!B489&lt;&gt;"",'Data Source'!S489="A+"),IF('Data Source'!Z489&gt;=5,"A+",IF('Data Source'!Z489&gt;=4,"A",IF('Data Source'!Z489&gt;=3.5,"A-",IF('Data Source'!Z489&gt;=3,"B",IF('Data Source'!Z489&gt;=2,"C",IF('Data Source'!Z489&gt;=1,"D","F")))))),"")</f>
        <v/>
      </c>
      <c r="I489" s="3">
        <f>IF(AND('Data Source'!B489&lt;&gt;"",'Data Source'!S489="A+"),IF('Data Source'!AA489&gt;=5,"A+",IF('Data Source'!AA489&gt;=4,"A",IF('Data Source'!AA489&gt;=3.5,"A-",IF('Data Source'!AA489&gt;=3,"B",IF('Data Source'!AA489&gt;=2,"C",IF('Data Source'!AA489&gt;=1,"D","F")))))),"")</f>
        <v/>
      </c>
      <c r="J489" s="3">
        <f>IF(AND('Data Source'!B489&lt;&gt;"",'Data Source'!S489="A+"),IF('Data Source'!AB489&gt;=5,"A+",IF('Data Source'!AB489&gt;=4,"A",IF('Data Source'!AB489&gt;=3.5,"A-",IF('Data Source'!AB489&gt;=3,"B",IF('Data Source'!AB489&gt;=2,"C",IF('Data Source'!AB489&gt;=1,"D","F")))))),"")</f>
        <v/>
      </c>
      <c r="K489" s="3">
        <f>IF(AND('Data Source'!B489&lt;&gt;"",'Data Source'!S489="A+"),IF('Data Source'!AC489&gt;=5,"A+",IF('Data Source'!AC489&gt;=4,"A",IF('Data Source'!AC489&gt;=3.5,"A-",IF('Data Source'!AC489&gt;=3,"B",IF('Data Source'!AC489&gt;=2,"C",IF('Data Source'!AC489&gt;=1,"D","F")))))),"")</f>
        <v/>
      </c>
      <c r="L489" s="3">
        <f>IF(AND('Data Source'!B489&lt;&gt;"",'Data Source'!S489="A+"),IF('Data Source'!AD489&gt;=5,"A+",IF('Data Source'!AD489&gt;=4,"A",IF('Data Source'!AD489&gt;=3.5,"A-",IF('Data Source'!AD489&gt;=3,"B",IF('Data Source'!AD489&gt;=2,"C",IF('Data Source'!AD489&gt;=1,"D","F")))))),"")</f>
        <v/>
      </c>
      <c r="M489" s="3">
        <f>IF(AND('Data Source'!B489&lt;&gt;"",'Data Source'!S489="A+"),IF('Data Source'!AE489&gt;=5,"A+",IF('Data Source'!AE489&gt;=4,"A",IF('Data Source'!AE489&gt;=3.5,"A-",IF('Data Source'!AE489&gt;=3,"B",IF('Data Source'!AE489&gt;=2,"C",IF('Data Source'!AE489&gt;=1,"D","F")))))),"")</f>
        <v/>
      </c>
      <c r="N489" s="3">
        <f>IF(AND('Data Source'!B489&lt;&gt;"",'Data Source'!S489="A+"),IF('Data Source'!AF489&gt;=5,"A+",IF('Data Source'!AF489&gt;=4,"A",IF('Data Source'!AF489&gt;=3.5,"A-",IF('Data Source'!AF489&gt;=3,"B",IF('Data Source'!AF489&gt;=2,"C",IF('Data Source'!AF489&gt;=1,"D","F")))))),"")</f>
        <v/>
      </c>
      <c r="O489" s="3">
        <f>IF(AND('Data Source'!B489&lt;&gt;"",'Data Source'!S489="A+"),IF('Data Source'!AG489&gt;=5,"A+",IF('Data Source'!AG489&gt;=4,"A",IF('Data Source'!AG489&gt;=3.5,"A-",IF('Data Source'!AG489&gt;=3,"B",IF('Data Source'!AG489&gt;=2,"C",IF('Data Source'!AG489&gt;=1,"D","F")))))),"")</f>
        <v/>
      </c>
      <c r="P489" s="5">
        <f>IF(AND('Data Source'!B489&lt;&gt;"",'Data Source'!S489="A+"),'Data Source'!R489,"")</f>
        <v/>
      </c>
      <c r="Q489" s="3">
        <f>IF(AND('Data Source'!B489&lt;&gt;"",'Data Source'!S489="A+"),'Data Source'!S489,"")</f>
        <v/>
      </c>
    </row>
    <row r="490">
      <c r="A490" s="3">
        <f>IF(AND('Data Source'!B490&lt;&gt;"",'Data Source'!S490="A+"),COUNTIF('Data Source'!$S$3:S490,"A+"),"")</f>
        <v/>
      </c>
      <c r="B490">
        <f>IF(AND('Data Source'!B490&lt;&gt;"",'Data Source'!S490="A+"),'Data Source'!B490,"")</f>
        <v/>
      </c>
      <c r="C490" s="3">
        <f>IF(AND('Data Source'!B490&lt;&gt;"",'Data Source'!S490="A+"),IF('Data Source'!U490&gt;=5,"A+",IF('Data Source'!U490&gt;=4,"A",IF('Data Source'!U490&gt;=3.5,"A-",IF('Data Source'!U490&gt;=3,"B",IF('Data Source'!U490&gt;=2,"C",IF('Data Source'!U490&gt;=1,"D","F")))))),"")</f>
        <v/>
      </c>
      <c r="D490" s="3">
        <f>IF(AND('Data Source'!B490&lt;&gt;"",'Data Source'!S490="A+"),IF('Data Source'!V490&gt;=5,"A+",IF('Data Source'!V490&gt;=4,"A",IF('Data Source'!V490&gt;=3.5,"A-",IF('Data Source'!V490&gt;=3,"B",IF('Data Source'!V490&gt;=2,"C",IF('Data Source'!V490&gt;=1,"D","F")))))),"")</f>
        <v/>
      </c>
      <c r="E490" s="3">
        <f>IF(AND('Data Source'!B490&lt;&gt;"",'Data Source'!S490="A+"),IF('Data Source'!W490&gt;=5,"A+",IF('Data Source'!W490&gt;=4,"A",IF('Data Source'!W490&gt;=3.5,"A-",IF('Data Source'!W490&gt;=3,"B",IF('Data Source'!W490&gt;=2,"C",IF('Data Source'!W490&gt;=1,"D","F")))))),"")</f>
        <v/>
      </c>
      <c r="F490" s="3">
        <f>IF(AND('Data Source'!B490&lt;&gt;"",'Data Source'!S490="A+"),IF('Data Source'!X490&gt;=5,"A+",IF('Data Source'!X490&gt;=4,"A",IF('Data Source'!X490&gt;=3.5,"A-",IF('Data Source'!X490&gt;=3,"B",IF('Data Source'!X490&gt;=2,"C",IF('Data Source'!X490&gt;=1,"D","F")))))),"")</f>
        <v/>
      </c>
      <c r="G490" s="3">
        <f>IF(AND('Data Source'!B490&lt;&gt;"",'Data Source'!S490="A+"),IF('Data Source'!Y490&gt;=5,"A+",IF('Data Source'!Y490&gt;=4,"A",IF('Data Source'!Y490&gt;=3.5,"A-",IF('Data Source'!Y490&gt;=3,"B",IF('Data Source'!Y490&gt;=2,"C",IF('Data Source'!Y490&gt;=1,"D","F")))))),"")</f>
        <v/>
      </c>
      <c r="H490" s="3">
        <f>IF(AND('Data Source'!B490&lt;&gt;"",'Data Source'!S490="A+"),IF('Data Source'!Z490&gt;=5,"A+",IF('Data Source'!Z490&gt;=4,"A",IF('Data Source'!Z490&gt;=3.5,"A-",IF('Data Source'!Z490&gt;=3,"B",IF('Data Source'!Z490&gt;=2,"C",IF('Data Source'!Z490&gt;=1,"D","F")))))),"")</f>
        <v/>
      </c>
      <c r="I490" s="3">
        <f>IF(AND('Data Source'!B490&lt;&gt;"",'Data Source'!S490="A+"),IF('Data Source'!AA490&gt;=5,"A+",IF('Data Source'!AA490&gt;=4,"A",IF('Data Source'!AA490&gt;=3.5,"A-",IF('Data Source'!AA490&gt;=3,"B",IF('Data Source'!AA490&gt;=2,"C",IF('Data Source'!AA490&gt;=1,"D","F")))))),"")</f>
        <v/>
      </c>
      <c r="J490" s="3">
        <f>IF(AND('Data Source'!B490&lt;&gt;"",'Data Source'!S490="A+"),IF('Data Source'!AB490&gt;=5,"A+",IF('Data Source'!AB490&gt;=4,"A",IF('Data Source'!AB490&gt;=3.5,"A-",IF('Data Source'!AB490&gt;=3,"B",IF('Data Source'!AB490&gt;=2,"C",IF('Data Source'!AB490&gt;=1,"D","F")))))),"")</f>
        <v/>
      </c>
      <c r="K490" s="3">
        <f>IF(AND('Data Source'!B490&lt;&gt;"",'Data Source'!S490="A+"),IF('Data Source'!AC490&gt;=5,"A+",IF('Data Source'!AC490&gt;=4,"A",IF('Data Source'!AC490&gt;=3.5,"A-",IF('Data Source'!AC490&gt;=3,"B",IF('Data Source'!AC490&gt;=2,"C",IF('Data Source'!AC490&gt;=1,"D","F")))))),"")</f>
        <v/>
      </c>
      <c r="L490" s="3">
        <f>IF(AND('Data Source'!B490&lt;&gt;"",'Data Source'!S490="A+"),IF('Data Source'!AD490&gt;=5,"A+",IF('Data Source'!AD490&gt;=4,"A",IF('Data Source'!AD490&gt;=3.5,"A-",IF('Data Source'!AD490&gt;=3,"B",IF('Data Source'!AD490&gt;=2,"C",IF('Data Source'!AD490&gt;=1,"D","F")))))),"")</f>
        <v/>
      </c>
      <c r="M490" s="3">
        <f>IF(AND('Data Source'!B490&lt;&gt;"",'Data Source'!S490="A+"),IF('Data Source'!AE490&gt;=5,"A+",IF('Data Source'!AE490&gt;=4,"A",IF('Data Source'!AE490&gt;=3.5,"A-",IF('Data Source'!AE490&gt;=3,"B",IF('Data Source'!AE490&gt;=2,"C",IF('Data Source'!AE490&gt;=1,"D","F")))))),"")</f>
        <v/>
      </c>
      <c r="N490" s="3">
        <f>IF(AND('Data Source'!B490&lt;&gt;"",'Data Source'!S490="A+"),IF('Data Source'!AF490&gt;=5,"A+",IF('Data Source'!AF490&gt;=4,"A",IF('Data Source'!AF490&gt;=3.5,"A-",IF('Data Source'!AF490&gt;=3,"B",IF('Data Source'!AF490&gt;=2,"C",IF('Data Source'!AF490&gt;=1,"D","F")))))),"")</f>
        <v/>
      </c>
      <c r="O490" s="3">
        <f>IF(AND('Data Source'!B490&lt;&gt;"",'Data Source'!S490="A+"),IF('Data Source'!AG490&gt;=5,"A+",IF('Data Source'!AG490&gt;=4,"A",IF('Data Source'!AG490&gt;=3.5,"A-",IF('Data Source'!AG490&gt;=3,"B",IF('Data Source'!AG490&gt;=2,"C",IF('Data Source'!AG490&gt;=1,"D","F")))))),"")</f>
        <v/>
      </c>
      <c r="P490" s="5">
        <f>IF(AND('Data Source'!B490&lt;&gt;"",'Data Source'!S490="A+"),'Data Source'!R490,"")</f>
        <v/>
      </c>
      <c r="Q490" s="3">
        <f>IF(AND('Data Source'!B490&lt;&gt;"",'Data Source'!S490="A+"),'Data Source'!S490,"")</f>
        <v/>
      </c>
    </row>
    <row r="491">
      <c r="A491" s="3">
        <f>IF(AND('Data Source'!B491&lt;&gt;"",'Data Source'!S491="A+"),COUNTIF('Data Source'!$S$3:S491,"A+"),"")</f>
        <v/>
      </c>
      <c r="B491">
        <f>IF(AND('Data Source'!B491&lt;&gt;"",'Data Source'!S491="A+"),'Data Source'!B491,"")</f>
        <v/>
      </c>
      <c r="C491" s="3">
        <f>IF(AND('Data Source'!B491&lt;&gt;"",'Data Source'!S491="A+"),IF('Data Source'!U491&gt;=5,"A+",IF('Data Source'!U491&gt;=4,"A",IF('Data Source'!U491&gt;=3.5,"A-",IF('Data Source'!U491&gt;=3,"B",IF('Data Source'!U491&gt;=2,"C",IF('Data Source'!U491&gt;=1,"D","F")))))),"")</f>
        <v/>
      </c>
      <c r="D491" s="3">
        <f>IF(AND('Data Source'!B491&lt;&gt;"",'Data Source'!S491="A+"),IF('Data Source'!V491&gt;=5,"A+",IF('Data Source'!V491&gt;=4,"A",IF('Data Source'!V491&gt;=3.5,"A-",IF('Data Source'!V491&gt;=3,"B",IF('Data Source'!V491&gt;=2,"C",IF('Data Source'!V491&gt;=1,"D","F")))))),"")</f>
        <v/>
      </c>
      <c r="E491" s="3">
        <f>IF(AND('Data Source'!B491&lt;&gt;"",'Data Source'!S491="A+"),IF('Data Source'!W491&gt;=5,"A+",IF('Data Source'!W491&gt;=4,"A",IF('Data Source'!W491&gt;=3.5,"A-",IF('Data Source'!W491&gt;=3,"B",IF('Data Source'!W491&gt;=2,"C",IF('Data Source'!W491&gt;=1,"D","F")))))),"")</f>
        <v/>
      </c>
      <c r="F491" s="3">
        <f>IF(AND('Data Source'!B491&lt;&gt;"",'Data Source'!S491="A+"),IF('Data Source'!X491&gt;=5,"A+",IF('Data Source'!X491&gt;=4,"A",IF('Data Source'!X491&gt;=3.5,"A-",IF('Data Source'!X491&gt;=3,"B",IF('Data Source'!X491&gt;=2,"C",IF('Data Source'!X491&gt;=1,"D","F")))))),"")</f>
        <v/>
      </c>
      <c r="G491" s="3">
        <f>IF(AND('Data Source'!B491&lt;&gt;"",'Data Source'!S491="A+"),IF('Data Source'!Y491&gt;=5,"A+",IF('Data Source'!Y491&gt;=4,"A",IF('Data Source'!Y491&gt;=3.5,"A-",IF('Data Source'!Y491&gt;=3,"B",IF('Data Source'!Y491&gt;=2,"C",IF('Data Source'!Y491&gt;=1,"D","F")))))),"")</f>
        <v/>
      </c>
      <c r="H491" s="3">
        <f>IF(AND('Data Source'!B491&lt;&gt;"",'Data Source'!S491="A+"),IF('Data Source'!Z491&gt;=5,"A+",IF('Data Source'!Z491&gt;=4,"A",IF('Data Source'!Z491&gt;=3.5,"A-",IF('Data Source'!Z491&gt;=3,"B",IF('Data Source'!Z491&gt;=2,"C",IF('Data Source'!Z491&gt;=1,"D","F")))))),"")</f>
        <v/>
      </c>
      <c r="I491" s="3">
        <f>IF(AND('Data Source'!B491&lt;&gt;"",'Data Source'!S491="A+"),IF('Data Source'!AA491&gt;=5,"A+",IF('Data Source'!AA491&gt;=4,"A",IF('Data Source'!AA491&gt;=3.5,"A-",IF('Data Source'!AA491&gt;=3,"B",IF('Data Source'!AA491&gt;=2,"C",IF('Data Source'!AA491&gt;=1,"D","F")))))),"")</f>
        <v/>
      </c>
      <c r="J491" s="3">
        <f>IF(AND('Data Source'!B491&lt;&gt;"",'Data Source'!S491="A+"),IF('Data Source'!AB491&gt;=5,"A+",IF('Data Source'!AB491&gt;=4,"A",IF('Data Source'!AB491&gt;=3.5,"A-",IF('Data Source'!AB491&gt;=3,"B",IF('Data Source'!AB491&gt;=2,"C",IF('Data Source'!AB491&gt;=1,"D","F")))))),"")</f>
        <v/>
      </c>
      <c r="K491" s="3">
        <f>IF(AND('Data Source'!B491&lt;&gt;"",'Data Source'!S491="A+"),IF('Data Source'!AC491&gt;=5,"A+",IF('Data Source'!AC491&gt;=4,"A",IF('Data Source'!AC491&gt;=3.5,"A-",IF('Data Source'!AC491&gt;=3,"B",IF('Data Source'!AC491&gt;=2,"C",IF('Data Source'!AC491&gt;=1,"D","F")))))),"")</f>
        <v/>
      </c>
      <c r="L491" s="3">
        <f>IF(AND('Data Source'!B491&lt;&gt;"",'Data Source'!S491="A+"),IF('Data Source'!AD491&gt;=5,"A+",IF('Data Source'!AD491&gt;=4,"A",IF('Data Source'!AD491&gt;=3.5,"A-",IF('Data Source'!AD491&gt;=3,"B",IF('Data Source'!AD491&gt;=2,"C",IF('Data Source'!AD491&gt;=1,"D","F")))))),"")</f>
        <v/>
      </c>
      <c r="M491" s="3">
        <f>IF(AND('Data Source'!B491&lt;&gt;"",'Data Source'!S491="A+"),IF('Data Source'!AE491&gt;=5,"A+",IF('Data Source'!AE491&gt;=4,"A",IF('Data Source'!AE491&gt;=3.5,"A-",IF('Data Source'!AE491&gt;=3,"B",IF('Data Source'!AE491&gt;=2,"C",IF('Data Source'!AE491&gt;=1,"D","F")))))),"")</f>
        <v/>
      </c>
      <c r="N491" s="3">
        <f>IF(AND('Data Source'!B491&lt;&gt;"",'Data Source'!S491="A+"),IF('Data Source'!AF491&gt;=5,"A+",IF('Data Source'!AF491&gt;=4,"A",IF('Data Source'!AF491&gt;=3.5,"A-",IF('Data Source'!AF491&gt;=3,"B",IF('Data Source'!AF491&gt;=2,"C",IF('Data Source'!AF491&gt;=1,"D","F")))))),"")</f>
        <v/>
      </c>
      <c r="O491" s="3">
        <f>IF(AND('Data Source'!B491&lt;&gt;"",'Data Source'!S491="A+"),IF('Data Source'!AG491&gt;=5,"A+",IF('Data Source'!AG491&gt;=4,"A",IF('Data Source'!AG491&gt;=3.5,"A-",IF('Data Source'!AG491&gt;=3,"B",IF('Data Source'!AG491&gt;=2,"C",IF('Data Source'!AG491&gt;=1,"D","F")))))),"")</f>
        <v/>
      </c>
      <c r="P491" s="5">
        <f>IF(AND('Data Source'!B491&lt;&gt;"",'Data Source'!S491="A+"),'Data Source'!R491,"")</f>
        <v/>
      </c>
      <c r="Q491" s="3">
        <f>IF(AND('Data Source'!B491&lt;&gt;"",'Data Source'!S491="A+"),'Data Source'!S491,"")</f>
        <v/>
      </c>
    </row>
    <row r="492">
      <c r="A492" s="3">
        <f>IF(AND('Data Source'!B492&lt;&gt;"",'Data Source'!S492="A+"),COUNTIF('Data Source'!$S$3:S492,"A+"),"")</f>
        <v/>
      </c>
      <c r="B492">
        <f>IF(AND('Data Source'!B492&lt;&gt;"",'Data Source'!S492="A+"),'Data Source'!B492,"")</f>
        <v/>
      </c>
      <c r="C492" s="3">
        <f>IF(AND('Data Source'!B492&lt;&gt;"",'Data Source'!S492="A+"),IF('Data Source'!U492&gt;=5,"A+",IF('Data Source'!U492&gt;=4,"A",IF('Data Source'!U492&gt;=3.5,"A-",IF('Data Source'!U492&gt;=3,"B",IF('Data Source'!U492&gt;=2,"C",IF('Data Source'!U492&gt;=1,"D","F")))))),"")</f>
        <v/>
      </c>
      <c r="D492" s="3">
        <f>IF(AND('Data Source'!B492&lt;&gt;"",'Data Source'!S492="A+"),IF('Data Source'!V492&gt;=5,"A+",IF('Data Source'!V492&gt;=4,"A",IF('Data Source'!V492&gt;=3.5,"A-",IF('Data Source'!V492&gt;=3,"B",IF('Data Source'!V492&gt;=2,"C",IF('Data Source'!V492&gt;=1,"D","F")))))),"")</f>
        <v/>
      </c>
      <c r="E492" s="3">
        <f>IF(AND('Data Source'!B492&lt;&gt;"",'Data Source'!S492="A+"),IF('Data Source'!W492&gt;=5,"A+",IF('Data Source'!W492&gt;=4,"A",IF('Data Source'!W492&gt;=3.5,"A-",IF('Data Source'!W492&gt;=3,"B",IF('Data Source'!W492&gt;=2,"C",IF('Data Source'!W492&gt;=1,"D","F")))))),"")</f>
        <v/>
      </c>
      <c r="F492" s="3">
        <f>IF(AND('Data Source'!B492&lt;&gt;"",'Data Source'!S492="A+"),IF('Data Source'!X492&gt;=5,"A+",IF('Data Source'!X492&gt;=4,"A",IF('Data Source'!X492&gt;=3.5,"A-",IF('Data Source'!X492&gt;=3,"B",IF('Data Source'!X492&gt;=2,"C",IF('Data Source'!X492&gt;=1,"D","F")))))),"")</f>
        <v/>
      </c>
      <c r="G492" s="3">
        <f>IF(AND('Data Source'!B492&lt;&gt;"",'Data Source'!S492="A+"),IF('Data Source'!Y492&gt;=5,"A+",IF('Data Source'!Y492&gt;=4,"A",IF('Data Source'!Y492&gt;=3.5,"A-",IF('Data Source'!Y492&gt;=3,"B",IF('Data Source'!Y492&gt;=2,"C",IF('Data Source'!Y492&gt;=1,"D","F")))))),"")</f>
        <v/>
      </c>
      <c r="H492" s="3">
        <f>IF(AND('Data Source'!B492&lt;&gt;"",'Data Source'!S492="A+"),IF('Data Source'!Z492&gt;=5,"A+",IF('Data Source'!Z492&gt;=4,"A",IF('Data Source'!Z492&gt;=3.5,"A-",IF('Data Source'!Z492&gt;=3,"B",IF('Data Source'!Z492&gt;=2,"C",IF('Data Source'!Z492&gt;=1,"D","F")))))),"")</f>
        <v/>
      </c>
      <c r="I492" s="3">
        <f>IF(AND('Data Source'!B492&lt;&gt;"",'Data Source'!S492="A+"),IF('Data Source'!AA492&gt;=5,"A+",IF('Data Source'!AA492&gt;=4,"A",IF('Data Source'!AA492&gt;=3.5,"A-",IF('Data Source'!AA492&gt;=3,"B",IF('Data Source'!AA492&gt;=2,"C",IF('Data Source'!AA492&gt;=1,"D","F")))))),"")</f>
        <v/>
      </c>
      <c r="J492" s="3">
        <f>IF(AND('Data Source'!B492&lt;&gt;"",'Data Source'!S492="A+"),IF('Data Source'!AB492&gt;=5,"A+",IF('Data Source'!AB492&gt;=4,"A",IF('Data Source'!AB492&gt;=3.5,"A-",IF('Data Source'!AB492&gt;=3,"B",IF('Data Source'!AB492&gt;=2,"C",IF('Data Source'!AB492&gt;=1,"D","F")))))),"")</f>
        <v/>
      </c>
      <c r="K492" s="3">
        <f>IF(AND('Data Source'!B492&lt;&gt;"",'Data Source'!S492="A+"),IF('Data Source'!AC492&gt;=5,"A+",IF('Data Source'!AC492&gt;=4,"A",IF('Data Source'!AC492&gt;=3.5,"A-",IF('Data Source'!AC492&gt;=3,"B",IF('Data Source'!AC492&gt;=2,"C",IF('Data Source'!AC492&gt;=1,"D","F")))))),"")</f>
        <v/>
      </c>
      <c r="L492" s="3">
        <f>IF(AND('Data Source'!B492&lt;&gt;"",'Data Source'!S492="A+"),IF('Data Source'!AD492&gt;=5,"A+",IF('Data Source'!AD492&gt;=4,"A",IF('Data Source'!AD492&gt;=3.5,"A-",IF('Data Source'!AD492&gt;=3,"B",IF('Data Source'!AD492&gt;=2,"C",IF('Data Source'!AD492&gt;=1,"D","F")))))),"")</f>
        <v/>
      </c>
      <c r="M492" s="3">
        <f>IF(AND('Data Source'!B492&lt;&gt;"",'Data Source'!S492="A+"),IF('Data Source'!AE492&gt;=5,"A+",IF('Data Source'!AE492&gt;=4,"A",IF('Data Source'!AE492&gt;=3.5,"A-",IF('Data Source'!AE492&gt;=3,"B",IF('Data Source'!AE492&gt;=2,"C",IF('Data Source'!AE492&gt;=1,"D","F")))))),"")</f>
        <v/>
      </c>
      <c r="N492" s="3">
        <f>IF(AND('Data Source'!B492&lt;&gt;"",'Data Source'!S492="A+"),IF('Data Source'!AF492&gt;=5,"A+",IF('Data Source'!AF492&gt;=4,"A",IF('Data Source'!AF492&gt;=3.5,"A-",IF('Data Source'!AF492&gt;=3,"B",IF('Data Source'!AF492&gt;=2,"C",IF('Data Source'!AF492&gt;=1,"D","F")))))),"")</f>
        <v/>
      </c>
      <c r="O492" s="3">
        <f>IF(AND('Data Source'!B492&lt;&gt;"",'Data Source'!S492="A+"),IF('Data Source'!AG492&gt;=5,"A+",IF('Data Source'!AG492&gt;=4,"A",IF('Data Source'!AG492&gt;=3.5,"A-",IF('Data Source'!AG492&gt;=3,"B",IF('Data Source'!AG492&gt;=2,"C",IF('Data Source'!AG492&gt;=1,"D","F")))))),"")</f>
        <v/>
      </c>
      <c r="P492" s="5">
        <f>IF(AND('Data Source'!B492&lt;&gt;"",'Data Source'!S492="A+"),'Data Source'!R492,"")</f>
        <v/>
      </c>
      <c r="Q492" s="3">
        <f>IF(AND('Data Source'!B492&lt;&gt;"",'Data Source'!S492="A+"),'Data Source'!S492,"")</f>
        <v/>
      </c>
    </row>
    <row r="493">
      <c r="A493" s="3">
        <f>IF(AND('Data Source'!B493&lt;&gt;"",'Data Source'!S493="A+"),COUNTIF('Data Source'!$S$3:S493,"A+"),"")</f>
        <v/>
      </c>
      <c r="B493">
        <f>IF(AND('Data Source'!B493&lt;&gt;"",'Data Source'!S493="A+"),'Data Source'!B493,"")</f>
        <v/>
      </c>
      <c r="C493" s="3">
        <f>IF(AND('Data Source'!B493&lt;&gt;"",'Data Source'!S493="A+"),IF('Data Source'!U493&gt;=5,"A+",IF('Data Source'!U493&gt;=4,"A",IF('Data Source'!U493&gt;=3.5,"A-",IF('Data Source'!U493&gt;=3,"B",IF('Data Source'!U493&gt;=2,"C",IF('Data Source'!U493&gt;=1,"D","F")))))),"")</f>
        <v/>
      </c>
      <c r="D493" s="3">
        <f>IF(AND('Data Source'!B493&lt;&gt;"",'Data Source'!S493="A+"),IF('Data Source'!V493&gt;=5,"A+",IF('Data Source'!V493&gt;=4,"A",IF('Data Source'!V493&gt;=3.5,"A-",IF('Data Source'!V493&gt;=3,"B",IF('Data Source'!V493&gt;=2,"C",IF('Data Source'!V493&gt;=1,"D","F")))))),"")</f>
        <v/>
      </c>
      <c r="E493" s="3">
        <f>IF(AND('Data Source'!B493&lt;&gt;"",'Data Source'!S493="A+"),IF('Data Source'!W493&gt;=5,"A+",IF('Data Source'!W493&gt;=4,"A",IF('Data Source'!W493&gt;=3.5,"A-",IF('Data Source'!W493&gt;=3,"B",IF('Data Source'!W493&gt;=2,"C",IF('Data Source'!W493&gt;=1,"D","F")))))),"")</f>
        <v/>
      </c>
      <c r="F493" s="3">
        <f>IF(AND('Data Source'!B493&lt;&gt;"",'Data Source'!S493="A+"),IF('Data Source'!X493&gt;=5,"A+",IF('Data Source'!X493&gt;=4,"A",IF('Data Source'!X493&gt;=3.5,"A-",IF('Data Source'!X493&gt;=3,"B",IF('Data Source'!X493&gt;=2,"C",IF('Data Source'!X493&gt;=1,"D","F")))))),"")</f>
        <v/>
      </c>
      <c r="G493" s="3">
        <f>IF(AND('Data Source'!B493&lt;&gt;"",'Data Source'!S493="A+"),IF('Data Source'!Y493&gt;=5,"A+",IF('Data Source'!Y493&gt;=4,"A",IF('Data Source'!Y493&gt;=3.5,"A-",IF('Data Source'!Y493&gt;=3,"B",IF('Data Source'!Y493&gt;=2,"C",IF('Data Source'!Y493&gt;=1,"D","F")))))),"")</f>
        <v/>
      </c>
      <c r="H493" s="3">
        <f>IF(AND('Data Source'!B493&lt;&gt;"",'Data Source'!S493="A+"),IF('Data Source'!Z493&gt;=5,"A+",IF('Data Source'!Z493&gt;=4,"A",IF('Data Source'!Z493&gt;=3.5,"A-",IF('Data Source'!Z493&gt;=3,"B",IF('Data Source'!Z493&gt;=2,"C",IF('Data Source'!Z493&gt;=1,"D","F")))))),"")</f>
        <v/>
      </c>
      <c r="I493" s="3">
        <f>IF(AND('Data Source'!B493&lt;&gt;"",'Data Source'!S493="A+"),IF('Data Source'!AA493&gt;=5,"A+",IF('Data Source'!AA493&gt;=4,"A",IF('Data Source'!AA493&gt;=3.5,"A-",IF('Data Source'!AA493&gt;=3,"B",IF('Data Source'!AA493&gt;=2,"C",IF('Data Source'!AA493&gt;=1,"D","F")))))),"")</f>
        <v/>
      </c>
      <c r="J493" s="3">
        <f>IF(AND('Data Source'!B493&lt;&gt;"",'Data Source'!S493="A+"),IF('Data Source'!AB493&gt;=5,"A+",IF('Data Source'!AB493&gt;=4,"A",IF('Data Source'!AB493&gt;=3.5,"A-",IF('Data Source'!AB493&gt;=3,"B",IF('Data Source'!AB493&gt;=2,"C",IF('Data Source'!AB493&gt;=1,"D","F")))))),"")</f>
        <v/>
      </c>
      <c r="K493" s="3">
        <f>IF(AND('Data Source'!B493&lt;&gt;"",'Data Source'!S493="A+"),IF('Data Source'!AC493&gt;=5,"A+",IF('Data Source'!AC493&gt;=4,"A",IF('Data Source'!AC493&gt;=3.5,"A-",IF('Data Source'!AC493&gt;=3,"B",IF('Data Source'!AC493&gt;=2,"C",IF('Data Source'!AC493&gt;=1,"D","F")))))),"")</f>
        <v/>
      </c>
      <c r="L493" s="3">
        <f>IF(AND('Data Source'!B493&lt;&gt;"",'Data Source'!S493="A+"),IF('Data Source'!AD493&gt;=5,"A+",IF('Data Source'!AD493&gt;=4,"A",IF('Data Source'!AD493&gt;=3.5,"A-",IF('Data Source'!AD493&gt;=3,"B",IF('Data Source'!AD493&gt;=2,"C",IF('Data Source'!AD493&gt;=1,"D","F")))))),"")</f>
        <v/>
      </c>
      <c r="M493" s="3">
        <f>IF(AND('Data Source'!B493&lt;&gt;"",'Data Source'!S493="A+"),IF('Data Source'!AE493&gt;=5,"A+",IF('Data Source'!AE493&gt;=4,"A",IF('Data Source'!AE493&gt;=3.5,"A-",IF('Data Source'!AE493&gt;=3,"B",IF('Data Source'!AE493&gt;=2,"C",IF('Data Source'!AE493&gt;=1,"D","F")))))),"")</f>
        <v/>
      </c>
      <c r="N493" s="3">
        <f>IF(AND('Data Source'!B493&lt;&gt;"",'Data Source'!S493="A+"),IF('Data Source'!AF493&gt;=5,"A+",IF('Data Source'!AF493&gt;=4,"A",IF('Data Source'!AF493&gt;=3.5,"A-",IF('Data Source'!AF493&gt;=3,"B",IF('Data Source'!AF493&gt;=2,"C",IF('Data Source'!AF493&gt;=1,"D","F")))))),"")</f>
        <v/>
      </c>
      <c r="O493" s="3">
        <f>IF(AND('Data Source'!B493&lt;&gt;"",'Data Source'!S493="A+"),IF('Data Source'!AG493&gt;=5,"A+",IF('Data Source'!AG493&gt;=4,"A",IF('Data Source'!AG493&gt;=3.5,"A-",IF('Data Source'!AG493&gt;=3,"B",IF('Data Source'!AG493&gt;=2,"C",IF('Data Source'!AG493&gt;=1,"D","F")))))),"")</f>
        <v/>
      </c>
      <c r="P493" s="5">
        <f>IF(AND('Data Source'!B493&lt;&gt;"",'Data Source'!S493="A+"),'Data Source'!R493,"")</f>
        <v/>
      </c>
      <c r="Q493" s="3">
        <f>IF(AND('Data Source'!B493&lt;&gt;"",'Data Source'!S493="A+"),'Data Source'!S493,"")</f>
        <v/>
      </c>
    </row>
    <row r="494">
      <c r="A494" s="3">
        <f>IF(AND('Data Source'!B494&lt;&gt;"",'Data Source'!S494="A+"),COUNTIF('Data Source'!$S$3:S494,"A+"),"")</f>
        <v/>
      </c>
      <c r="B494">
        <f>IF(AND('Data Source'!B494&lt;&gt;"",'Data Source'!S494="A+"),'Data Source'!B494,"")</f>
        <v/>
      </c>
      <c r="C494" s="3">
        <f>IF(AND('Data Source'!B494&lt;&gt;"",'Data Source'!S494="A+"),IF('Data Source'!U494&gt;=5,"A+",IF('Data Source'!U494&gt;=4,"A",IF('Data Source'!U494&gt;=3.5,"A-",IF('Data Source'!U494&gt;=3,"B",IF('Data Source'!U494&gt;=2,"C",IF('Data Source'!U494&gt;=1,"D","F")))))),"")</f>
        <v/>
      </c>
      <c r="D494" s="3">
        <f>IF(AND('Data Source'!B494&lt;&gt;"",'Data Source'!S494="A+"),IF('Data Source'!V494&gt;=5,"A+",IF('Data Source'!V494&gt;=4,"A",IF('Data Source'!V494&gt;=3.5,"A-",IF('Data Source'!V494&gt;=3,"B",IF('Data Source'!V494&gt;=2,"C",IF('Data Source'!V494&gt;=1,"D","F")))))),"")</f>
        <v/>
      </c>
      <c r="E494" s="3">
        <f>IF(AND('Data Source'!B494&lt;&gt;"",'Data Source'!S494="A+"),IF('Data Source'!W494&gt;=5,"A+",IF('Data Source'!W494&gt;=4,"A",IF('Data Source'!W494&gt;=3.5,"A-",IF('Data Source'!W494&gt;=3,"B",IF('Data Source'!W494&gt;=2,"C",IF('Data Source'!W494&gt;=1,"D","F")))))),"")</f>
        <v/>
      </c>
      <c r="F494" s="3">
        <f>IF(AND('Data Source'!B494&lt;&gt;"",'Data Source'!S494="A+"),IF('Data Source'!X494&gt;=5,"A+",IF('Data Source'!X494&gt;=4,"A",IF('Data Source'!X494&gt;=3.5,"A-",IF('Data Source'!X494&gt;=3,"B",IF('Data Source'!X494&gt;=2,"C",IF('Data Source'!X494&gt;=1,"D","F")))))),"")</f>
        <v/>
      </c>
      <c r="G494" s="3">
        <f>IF(AND('Data Source'!B494&lt;&gt;"",'Data Source'!S494="A+"),IF('Data Source'!Y494&gt;=5,"A+",IF('Data Source'!Y494&gt;=4,"A",IF('Data Source'!Y494&gt;=3.5,"A-",IF('Data Source'!Y494&gt;=3,"B",IF('Data Source'!Y494&gt;=2,"C",IF('Data Source'!Y494&gt;=1,"D","F")))))),"")</f>
        <v/>
      </c>
      <c r="H494" s="3">
        <f>IF(AND('Data Source'!B494&lt;&gt;"",'Data Source'!S494="A+"),IF('Data Source'!Z494&gt;=5,"A+",IF('Data Source'!Z494&gt;=4,"A",IF('Data Source'!Z494&gt;=3.5,"A-",IF('Data Source'!Z494&gt;=3,"B",IF('Data Source'!Z494&gt;=2,"C",IF('Data Source'!Z494&gt;=1,"D","F")))))),"")</f>
        <v/>
      </c>
      <c r="I494" s="3">
        <f>IF(AND('Data Source'!B494&lt;&gt;"",'Data Source'!S494="A+"),IF('Data Source'!AA494&gt;=5,"A+",IF('Data Source'!AA494&gt;=4,"A",IF('Data Source'!AA494&gt;=3.5,"A-",IF('Data Source'!AA494&gt;=3,"B",IF('Data Source'!AA494&gt;=2,"C",IF('Data Source'!AA494&gt;=1,"D","F")))))),"")</f>
        <v/>
      </c>
      <c r="J494" s="3">
        <f>IF(AND('Data Source'!B494&lt;&gt;"",'Data Source'!S494="A+"),IF('Data Source'!AB494&gt;=5,"A+",IF('Data Source'!AB494&gt;=4,"A",IF('Data Source'!AB494&gt;=3.5,"A-",IF('Data Source'!AB494&gt;=3,"B",IF('Data Source'!AB494&gt;=2,"C",IF('Data Source'!AB494&gt;=1,"D","F")))))),"")</f>
        <v/>
      </c>
      <c r="K494" s="3">
        <f>IF(AND('Data Source'!B494&lt;&gt;"",'Data Source'!S494="A+"),IF('Data Source'!AC494&gt;=5,"A+",IF('Data Source'!AC494&gt;=4,"A",IF('Data Source'!AC494&gt;=3.5,"A-",IF('Data Source'!AC494&gt;=3,"B",IF('Data Source'!AC494&gt;=2,"C",IF('Data Source'!AC494&gt;=1,"D","F")))))),"")</f>
        <v/>
      </c>
      <c r="L494" s="3">
        <f>IF(AND('Data Source'!B494&lt;&gt;"",'Data Source'!S494="A+"),IF('Data Source'!AD494&gt;=5,"A+",IF('Data Source'!AD494&gt;=4,"A",IF('Data Source'!AD494&gt;=3.5,"A-",IF('Data Source'!AD494&gt;=3,"B",IF('Data Source'!AD494&gt;=2,"C",IF('Data Source'!AD494&gt;=1,"D","F")))))),"")</f>
        <v/>
      </c>
      <c r="M494" s="3">
        <f>IF(AND('Data Source'!B494&lt;&gt;"",'Data Source'!S494="A+"),IF('Data Source'!AE494&gt;=5,"A+",IF('Data Source'!AE494&gt;=4,"A",IF('Data Source'!AE494&gt;=3.5,"A-",IF('Data Source'!AE494&gt;=3,"B",IF('Data Source'!AE494&gt;=2,"C",IF('Data Source'!AE494&gt;=1,"D","F")))))),"")</f>
        <v/>
      </c>
      <c r="N494" s="3">
        <f>IF(AND('Data Source'!B494&lt;&gt;"",'Data Source'!S494="A+"),IF('Data Source'!AF494&gt;=5,"A+",IF('Data Source'!AF494&gt;=4,"A",IF('Data Source'!AF494&gt;=3.5,"A-",IF('Data Source'!AF494&gt;=3,"B",IF('Data Source'!AF494&gt;=2,"C",IF('Data Source'!AF494&gt;=1,"D","F")))))),"")</f>
        <v/>
      </c>
      <c r="O494" s="3">
        <f>IF(AND('Data Source'!B494&lt;&gt;"",'Data Source'!S494="A+"),IF('Data Source'!AG494&gt;=5,"A+",IF('Data Source'!AG494&gt;=4,"A",IF('Data Source'!AG494&gt;=3.5,"A-",IF('Data Source'!AG494&gt;=3,"B",IF('Data Source'!AG494&gt;=2,"C",IF('Data Source'!AG494&gt;=1,"D","F")))))),"")</f>
        <v/>
      </c>
      <c r="P494" s="5">
        <f>IF(AND('Data Source'!B494&lt;&gt;"",'Data Source'!S494="A+"),'Data Source'!R494,"")</f>
        <v/>
      </c>
      <c r="Q494" s="3">
        <f>IF(AND('Data Source'!B494&lt;&gt;"",'Data Source'!S494="A+"),'Data Source'!S494,"")</f>
        <v/>
      </c>
    </row>
    <row r="495">
      <c r="A495" s="3">
        <f>IF(AND('Data Source'!B495&lt;&gt;"",'Data Source'!S495="A+"),COUNTIF('Data Source'!$S$3:S495,"A+"),"")</f>
        <v/>
      </c>
      <c r="B495">
        <f>IF(AND('Data Source'!B495&lt;&gt;"",'Data Source'!S495="A+"),'Data Source'!B495,"")</f>
        <v/>
      </c>
      <c r="C495" s="3">
        <f>IF(AND('Data Source'!B495&lt;&gt;"",'Data Source'!S495="A+"),IF('Data Source'!U495&gt;=5,"A+",IF('Data Source'!U495&gt;=4,"A",IF('Data Source'!U495&gt;=3.5,"A-",IF('Data Source'!U495&gt;=3,"B",IF('Data Source'!U495&gt;=2,"C",IF('Data Source'!U495&gt;=1,"D","F")))))),"")</f>
        <v/>
      </c>
      <c r="D495" s="3">
        <f>IF(AND('Data Source'!B495&lt;&gt;"",'Data Source'!S495="A+"),IF('Data Source'!V495&gt;=5,"A+",IF('Data Source'!V495&gt;=4,"A",IF('Data Source'!V495&gt;=3.5,"A-",IF('Data Source'!V495&gt;=3,"B",IF('Data Source'!V495&gt;=2,"C",IF('Data Source'!V495&gt;=1,"D","F")))))),"")</f>
        <v/>
      </c>
      <c r="E495" s="3">
        <f>IF(AND('Data Source'!B495&lt;&gt;"",'Data Source'!S495="A+"),IF('Data Source'!W495&gt;=5,"A+",IF('Data Source'!W495&gt;=4,"A",IF('Data Source'!W495&gt;=3.5,"A-",IF('Data Source'!W495&gt;=3,"B",IF('Data Source'!W495&gt;=2,"C",IF('Data Source'!W495&gt;=1,"D","F")))))),"")</f>
        <v/>
      </c>
      <c r="F495" s="3">
        <f>IF(AND('Data Source'!B495&lt;&gt;"",'Data Source'!S495="A+"),IF('Data Source'!X495&gt;=5,"A+",IF('Data Source'!X495&gt;=4,"A",IF('Data Source'!X495&gt;=3.5,"A-",IF('Data Source'!X495&gt;=3,"B",IF('Data Source'!X495&gt;=2,"C",IF('Data Source'!X495&gt;=1,"D","F")))))),"")</f>
        <v/>
      </c>
      <c r="G495" s="3">
        <f>IF(AND('Data Source'!B495&lt;&gt;"",'Data Source'!S495="A+"),IF('Data Source'!Y495&gt;=5,"A+",IF('Data Source'!Y495&gt;=4,"A",IF('Data Source'!Y495&gt;=3.5,"A-",IF('Data Source'!Y495&gt;=3,"B",IF('Data Source'!Y495&gt;=2,"C",IF('Data Source'!Y495&gt;=1,"D","F")))))),"")</f>
        <v/>
      </c>
      <c r="H495" s="3">
        <f>IF(AND('Data Source'!B495&lt;&gt;"",'Data Source'!S495="A+"),IF('Data Source'!Z495&gt;=5,"A+",IF('Data Source'!Z495&gt;=4,"A",IF('Data Source'!Z495&gt;=3.5,"A-",IF('Data Source'!Z495&gt;=3,"B",IF('Data Source'!Z495&gt;=2,"C",IF('Data Source'!Z495&gt;=1,"D","F")))))),"")</f>
        <v/>
      </c>
      <c r="I495" s="3">
        <f>IF(AND('Data Source'!B495&lt;&gt;"",'Data Source'!S495="A+"),IF('Data Source'!AA495&gt;=5,"A+",IF('Data Source'!AA495&gt;=4,"A",IF('Data Source'!AA495&gt;=3.5,"A-",IF('Data Source'!AA495&gt;=3,"B",IF('Data Source'!AA495&gt;=2,"C",IF('Data Source'!AA495&gt;=1,"D","F")))))),"")</f>
        <v/>
      </c>
      <c r="J495" s="3">
        <f>IF(AND('Data Source'!B495&lt;&gt;"",'Data Source'!S495="A+"),IF('Data Source'!AB495&gt;=5,"A+",IF('Data Source'!AB495&gt;=4,"A",IF('Data Source'!AB495&gt;=3.5,"A-",IF('Data Source'!AB495&gt;=3,"B",IF('Data Source'!AB495&gt;=2,"C",IF('Data Source'!AB495&gt;=1,"D","F")))))),"")</f>
        <v/>
      </c>
      <c r="K495" s="3">
        <f>IF(AND('Data Source'!B495&lt;&gt;"",'Data Source'!S495="A+"),IF('Data Source'!AC495&gt;=5,"A+",IF('Data Source'!AC495&gt;=4,"A",IF('Data Source'!AC495&gt;=3.5,"A-",IF('Data Source'!AC495&gt;=3,"B",IF('Data Source'!AC495&gt;=2,"C",IF('Data Source'!AC495&gt;=1,"D","F")))))),"")</f>
        <v/>
      </c>
      <c r="L495" s="3">
        <f>IF(AND('Data Source'!B495&lt;&gt;"",'Data Source'!S495="A+"),IF('Data Source'!AD495&gt;=5,"A+",IF('Data Source'!AD495&gt;=4,"A",IF('Data Source'!AD495&gt;=3.5,"A-",IF('Data Source'!AD495&gt;=3,"B",IF('Data Source'!AD495&gt;=2,"C",IF('Data Source'!AD495&gt;=1,"D","F")))))),"")</f>
        <v/>
      </c>
      <c r="M495" s="3">
        <f>IF(AND('Data Source'!B495&lt;&gt;"",'Data Source'!S495="A+"),IF('Data Source'!AE495&gt;=5,"A+",IF('Data Source'!AE495&gt;=4,"A",IF('Data Source'!AE495&gt;=3.5,"A-",IF('Data Source'!AE495&gt;=3,"B",IF('Data Source'!AE495&gt;=2,"C",IF('Data Source'!AE495&gt;=1,"D","F")))))),"")</f>
        <v/>
      </c>
      <c r="N495" s="3">
        <f>IF(AND('Data Source'!B495&lt;&gt;"",'Data Source'!S495="A+"),IF('Data Source'!AF495&gt;=5,"A+",IF('Data Source'!AF495&gt;=4,"A",IF('Data Source'!AF495&gt;=3.5,"A-",IF('Data Source'!AF495&gt;=3,"B",IF('Data Source'!AF495&gt;=2,"C",IF('Data Source'!AF495&gt;=1,"D","F")))))),"")</f>
        <v/>
      </c>
      <c r="O495" s="3">
        <f>IF(AND('Data Source'!B495&lt;&gt;"",'Data Source'!S495="A+"),IF('Data Source'!AG495&gt;=5,"A+",IF('Data Source'!AG495&gt;=4,"A",IF('Data Source'!AG495&gt;=3.5,"A-",IF('Data Source'!AG495&gt;=3,"B",IF('Data Source'!AG495&gt;=2,"C",IF('Data Source'!AG495&gt;=1,"D","F")))))),"")</f>
        <v/>
      </c>
      <c r="P495" s="5">
        <f>IF(AND('Data Source'!B495&lt;&gt;"",'Data Source'!S495="A+"),'Data Source'!R495,"")</f>
        <v/>
      </c>
      <c r="Q495" s="3">
        <f>IF(AND('Data Source'!B495&lt;&gt;"",'Data Source'!S495="A+"),'Data Source'!S495,"")</f>
        <v/>
      </c>
    </row>
    <row r="496">
      <c r="A496" s="3">
        <f>IF(AND('Data Source'!B496&lt;&gt;"",'Data Source'!S496="A+"),COUNTIF('Data Source'!$S$3:S496,"A+"),"")</f>
        <v/>
      </c>
      <c r="B496">
        <f>IF(AND('Data Source'!B496&lt;&gt;"",'Data Source'!S496="A+"),'Data Source'!B496,"")</f>
        <v/>
      </c>
      <c r="C496" s="3">
        <f>IF(AND('Data Source'!B496&lt;&gt;"",'Data Source'!S496="A+"),IF('Data Source'!U496&gt;=5,"A+",IF('Data Source'!U496&gt;=4,"A",IF('Data Source'!U496&gt;=3.5,"A-",IF('Data Source'!U496&gt;=3,"B",IF('Data Source'!U496&gt;=2,"C",IF('Data Source'!U496&gt;=1,"D","F")))))),"")</f>
        <v/>
      </c>
      <c r="D496" s="3">
        <f>IF(AND('Data Source'!B496&lt;&gt;"",'Data Source'!S496="A+"),IF('Data Source'!V496&gt;=5,"A+",IF('Data Source'!V496&gt;=4,"A",IF('Data Source'!V496&gt;=3.5,"A-",IF('Data Source'!V496&gt;=3,"B",IF('Data Source'!V496&gt;=2,"C",IF('Data Source'!V496&gt;=1,"D","F")))))),"")</f>
        <v/>
      </c>
      <c r="E496" s="3">
        <f>IF(AND('Data Source'!B496&lt;&gt;"",'Data Source'!S496="A+"),IF('Data Source'!W496&gt;=5,"A+",IF('Data Source'!W496&gt;=4,"A",IF('Data Source'!W496&gt;=3.5,"A-",IF('Data Source'!W496&gt;=3,"B",IF('Data Source'!W496&gt;=2,"C",IF('Data Source'!W496&gt;=1,"D","F")))))),"")</f>
        <v/>
      </c>
      <c r="F496" s="3">
        <f>IF(AND('Data Source'!B496&lt;&gt;"",'Data Source'!S496="A+"),IF('Data Source'!X496&gt;=5,"A+",IF('Data Source'!X496&gt;=4,"A",IF('Data Source'!X496&gt;=3.5,"A-",IF('Data Source'!X496&gt;=3,"B",IF('Data Source'!X496&gt;=2,"C",IF('Data Source'!X496&gt;=1,"D","F")))))),"")</f>
        <v/>
      </c>
      <c r="G496" s="3">
        <f>IF(AND('Data Source'!B496&lt;&gt;"",'Data Source'!S496="A+"),IF('Data Source'!Y496&gt;=5,"A+",IF('Data Source'!Y496&gt;=4,"A",IF('Data Source'!Y496&gt;=3.5,"A-",IF('Data Source'!Y496&gt;=3,"B",IF('Data Source'!Y496&gt;=2,"C",IF('Data Source'!Y496&gt;=1,"D","F")))))),"")</f>
        <v/>
      </c>
      <c r="H496" s="3">
        <f>IF(AND('Data Source'!B496&lt;&gt;"",'Data Source'!S496="A+"),IF('Data Source'!Z496&gt;=5,"A+",IF('Data Source'!Z496&gt;=4,"A",IF('Data Source'!Z496&gt;=3.5,"A-",IF('Data Source'!Z496&gt;=3,"B",IF('Data Source'!Z496&gt;=2,"C",IF('Data Source'!Z496&gt;=1,"D","F")))))),"")</f>
        <v/>
      </c>
      <c r="I496" s="3">
        <f>IF(AND('Data Source'!B496&lt;&gt;"",'Data Source'!S496="A+"),IF('Data Source'!AA496&gt;=5,"A+",IF('Data Source'!AA496&gt;=4,"A",IF('Data Source'!AA496&gt;=3.5,"A-",IF('Data Source'!AA496&gt;=3,"B",IF('Data Source'!AA496&gt;=2,"C",IF('Data Source'!AA496&gt;=1,"D","F")))))),"")</f>
        <v/>
      </c>
      <c r="J496" s="3">
        <f>IF(AND('Data Source'!B496&lt;&gt;"",'Data Source'!S496="A+"),IF('Data Source'!AB496&gt;=5,"A+",IF('Data Source'!AB496&gt;=4,"A",IF('Data Source'!AB496&gt;=3.5,"A-",IF('Data Source'!AB496&gt;=3,"B",IF('Data Source'!AB496&gt;=2,"C",IF('Data Source'!AB496&gt;=1,"D","F")))))),"")</f>
        <v/>
      </c>
      <c r="K496" s="3">
        <f>IF(AND('Data Source'!B496&lt;&gt;"",'Data Source'!S496="A+"),IF('Data Source'!AC496&gt;=5,"A+",IF('Data Source'!AC496&gt;=4,"A",IF('Data Source'!AC496&gt;=3.5,"A-",IF('Data Source'!AC496&gt;=3,"B",IF('Data Source'!AC496&gt;=2,"C",IF('Data Source'!AC496&gt;=1,"D","F")))))),"")</f>
        <v/>
      </c>
      <c r="L496" s="3">
        <f>IF(AND('Data Source'!B496&lt;&gt;"",'Data Source'!S496="A+"),IF('Data Source'!AD496&gt;=5,"A+",IF('Data Source'!AD496&gt;=4,"A",IF('Data Source'!AD496&gt;=3.5,"A-",IF('Data Source'!AD496&gt;=3,"B",IF('Data Source'!AD496&gt;=2,"C",IF('Data Source'!AD496&gt;=1,"D","F")))))),"")</f>
        <v/>
      </c>
      <c r="M496" s="3">
        <f>IF(AND('Data Source'!B496&lt;&gt;"",'Data Source'!S496="A+"),IF('Data Source'!AE496&gt;=5,"A+",IF('Data Source'!AE496&gt;=4,"A",IF('Data Source'!AE496&gt;=3.5,"A-",IF('Data Source'!AE496&gt;=3,"B",IF('Data Source'!AE496&gt;=2,"C",IF('Data Source'!AE496&gt;=1,"D","F")))))),"")</f>
        <v/>
      </c>
      <c r="N496" s="3">
        <f>IF(AND('Data Source'!B496&lt;&gt;"",'Data Source'!S496="A+"),IF('Data Source'!AF496&gt;=5,"A+",IF('Data Source'!AF496&gt;=4,"A",IF('Data Source'!AF496&gt;=3.5,"A-",IF('Data Source'!AF496&gt;=3,"B",IF('Data Source'!AF496&gt;=2,"C",IF('Data Source'!AF496&gt;=1,"D","F")))))),"")</f>
        <v/>
      </c>
      <c r="O496" s="3">
        <f>IF(AND('Data Source'!B496&lt;&gt;"",'Data Source'!S496="A+"),IF('Data Source'!AG496&gt;=5,"A+",IF('Data Source'!AG496&gt;=4,"A",IF('Data Source'!AG496&gt;=3.5,"A-",IF('Data Source'!AG496&gt;=3,"B",IF('Data Source'!AG496&gt;=2,"C",IF('Data Source'!AG496&gt;=1,"D","F")))))),"")</f>
        <v/>
      </c>
      <c r="P496" s="5">
        <f>IF(AND('Data Source'!B496&lt;&gt;"",'Data Source'!S496="A+"),'Data Source'!R496,"")</f>
        <v/>
      </c>
      <c r="Q496" s="3">
        <f>IF(AND('Data Source'!B496&lt;&gt;"",'Data Source'!S496="A+"),'Data Source'!S496,"")</f>
        <v/>
      </c>
    </row>
    <row r="497">
      <c r="A497" s="3">
        <f>IF(AND('Data Source'!B497&lt;&gt;"",'Data Source'!S497="A+"),COUNTIF('Data Source'!$S$3:S497,"A+"),"")</f>
        <v/>
      </c>
      <c r="B497">
        <f>IF(AND('Data Source'!B497&lt;&gt;"",'Data Source'!S497="A+"),'Data Source'!B497,"")</f>
        <v/>
      </c>
      <c r="C497" s="3">
        <f>IF(AND('Data Source'!B497&lt;&gt;"",'Data Source'!S497="A+"),IF('Data Source'!U497&gt;=5,"A+",IF('Data Source'!U497&gt;=4,"A",IF('Data Source'!U497&gt;=3.5,"A-",IF('Data Source'!U497&gt;=3,"B",IF('Data Source'!U497&gt;=2,"C",IF('Data Source'!U497&gt;=1,"D","F")))))),"")</f>
        <v/>
      </c>
      <c r="D497" s="3">
        <f>IF(AND('Data Source'!B497&lt;&gt;"",'Data Source'!S497="A+"),IF('Data Source'!V497&gt;=5,"A+",IF('Data Source'!V497&gt;=4,"A",IF('Data Source'!V497&gt;=3.5,"A-",IF('Data Source'!V497&gt;=3,"B",IF('Data Source'!V497&gt;=2,"C",IF('Data Source'!V497&gt;=1,"D","F")))))),"")</f>
        <v/>
      </c>
      <c r="E497" s="3">
        <f>IF(AND('Data Source'!B497&lt;&gt;"",'Data Source'!S497="A+"),IF('Data Source'!W497&gt;=5,"A+",IF('Data Source'!W497&gt;=4,"A",IF('Data Source'!W497&gt;=3.5,"A-",IF('Data Source'!W497&gt;=3,"B",IF('Data Source'!W497&gt;=2,"C",IF('Data Source'!W497&gt;=1,"D","F")))))),"")</f>
        <v/>
      </c>
      <c r="F497" s="3">
        <f>IF(AND('Data Source'!B497&lt;&gt;"",'Data Source'!S497="A+"),IF('Data Source'!X497&gt;=5,"A+",IF('Data Source'!X497&gt;=4,"A",IF('Data Source'!X497&gt;=3.5,"A-",IF('Data Source'!X497&gt;=3,"B",IF('Data Source'!X497&gt;=2,"C",IF('Data Source'!X497&gt;=1,"D","F")))))),"")</f>
        <v/>
      </c>
      <c r="G497" s="3">
        <f>IF(AND('Data Source'!B497&lt;&gt;"",'Data Source'!S497="A+"),IF('Data Source'!Y497&gt;=5,"A+",IF('Data Source'!Y497&gt;=4,"A",IF('Data Source'!Y497&gt;=3.5,"A-",IF('Data Source'!Y497&gt;=3,"B",IF('Data Source'!Y497&gt;=2,"C",IF('Data Source'!Y497&gt;=1,"D","F")))))),"")</f>
        <v/>
      </c>
      <c r="H497" s="3">
        <f>IF(AND('Data Source'!B497&lt;&gt;"",'Data Source'!S497="A+"),IF('Data Source'!Z497&gt;=5,"A+",IF('Data Source'!Z497&gt;=4,"A",IF('Data Source'!Z497&gt;=3.5,"A-",IF('Data Source'!Z497&gt;=3,"B",IF('Data Source'!Z497&gt;=2,"C",IF('Data Source'!Z497&gt;=1,"D","F")))))),"")</f>
        <v/>
      </c>
      <c r="I497" s="3">
        <f>IF(AND('Data Source'!B497&lt;&gt;"",'Data Source'!S497="A+"),IF('Data Source'!AA497&gt;=5,"A+",IF('Data Source'!AA497&gt;=4,"A",IF('Data Source'!AA497&gt;=3.5,"A-",IF('Data Source'!AA497&gt;=3,"B",IF('Data Source'!AA497&gt;=2,"C",IF('Data Source'!AA497&gt;=1,"D","F")))))),"")</f>
        <v/>
      </c>
      <c r="J497" s="3">
        <f>IF(AND('Data Source'!B497&lt;&gt;"",'Data Source'!S497="A+"),IF('Data Source'!AB497&gt;=5,"A+",IF('Data Source'!AB497&gt;=4,"A",IF('Data Source'!AB497&gt;=3.5,"A-",IF('Data Source'!AB497&gt;=3,"B",IF('Data Source'!AB497&gt;=2,"C",IF('Data Source'!AB497&gt;=1,"D","F")))))),"")</f>
        <v/>
      </c>
      <c r="K497" s="3">
        <f>IF(AND('Data Source'!B497&lt;&gt;"",'Data Source'!S497="A+"),IF('Data Source'!AC497&gt;=5,"A+",IF('Data Source'!AC497&gt;=4,"A",IF('Data Source'!AC497&gt;=3.5,"A-",IF('Data Source'!AC497&gt;=3,"B",IF('Data Source'!AC497&gt;=2,"C",IF('Data Source'!AC497&gt;=1,"D","F")))))),"")</f>
        <v/>
      </c>
      <c r="L497" s="3">
        <f>IF(AND('Data Source'!B497&lt;&gt;"",'Data Source'!S497="A+"),IF('Data Source'!AD497&gt;=5,"A+",IF('Data Source'!AD497&gt;=4,"A",IF('Data Source'!AD497&gt;=3.5,"A-",IF('Data Source'!AD497&gt;=3,"B",IF('Data Source'!AD497&gt;=2,"C",IF('Data Source'!AD497&gt;=1,"D","F")))))),"")</f>
        <v/>
      </c>
      <c r="M497" s="3">
        <f>IF(AND('Data Source'!B497&lt;&gt;"",'Data Source'!S497="A+"),IF('Data Source'!AE497&gt;=5,"A+",IF('Data Source'!AE497&gt;=4,"A",IF('Data Source'!AE497&gt;=3.5,"A-",IF('Data Source'!AE497&gt;=3,"B",IF('Data Source'!AE497&gt;=2,"C",IF('Data Source'!AE497&gt;=1,"D","F")))))),"")</f>
        <v/>
      </c>
      <c r="N497" s="3">
        <f>IF(AND('Data Source'!B497&lt;&gt;"",'Data Source'!S497="A+"),IF('Data Source'!AF497&gt;=5,"A+",IF('Data Source'!AF497&gt;=4,"A",IF('Data Source'!AF497&gt;=3.5,"A-",IF('Data Source'!AF497&gt;=3,"B",IF('Data Source'!AF497&gt;=2,"C",IF('Data Source'!AF497&gt;=1,"D","F")))))),"")</f>
        <v/>
      </c>
      <c r="O497" s="3">
        <f>IF(AND('Data Source'!B497&lt;&gt;"",'Data Source'!S497="A+"),IF('Data Source'!AG497&gt;=5,"A+",IF('Data Source'!AG497&gt;=4,"A",IF('Data Source'!AG497&gt;=3.5,"A-",IF('Data Source'!AG497&gt;=3,"B",IF('Data Source'!AG497&gt;=2,"C",IF('Data Source'!AG497&gt;=1,"D","F")))))),"")</f>
        <v/>
      </c>
      <c r="P497" s="5">
        <f>IF(AND('Data Source'!B497&lt;&gt;"",'Data Source'!S497="A+"),'Data Source'!R497,"")</f>
        <v/>
      </c>
      <c r="Q497" s="3">
        <f>IF(AND('Data Source'!B497&lt;&gt;"",'Data Source'!S497="A+"),'Data Source'!S497,"")</f>
        <v/>
      </c>
    </row>
    <row r="498">
      <c r="A498" s="3">
        <f>IF(AND('Data Source'!B498&lt;&gt;"",'Data Source'!S498="A+"),COUNTIF('Data Source'!$S$3:S498,"A+"),"")</f>
        <v/>
      </c>
      <c r="B498">
        <f>IF(AND('Data Source'!B498&lt;&gt;"",'Data Source'!S498="A+"),'Data Source'!B498,"")</f>
        <v/>
      </c>
      <c r="C498" s="3">
        <f>IF(AND('Data Source'!B498&lt;&gt;"",'Data Source'!S498="A+"),IF('Data Source'!U498&gt;=5,"A+",IF('Data Source'!U498&gt;=4,"A",IF('Data Source'!U498&gt;=3.5,"A-",IF('Data Source'!U498&gt;=3,"B",IF('Data Source'!U498&gt;=2,"C",IF('Data Source'!U498&gt;=1,"D","F")))))),"")</f>
        <v/>
      </c>
      <c r="D498" s="3">
        <f>IF(AND('Data Source'!B498&lt;&gt;"",'Data Source'!S498="A+"),IF('Data Source'!V498&gt;=5,"A+",IF('Data Source'!V498&gt;=4,"A",IF('Data Source'!V498&gt;=3.5,"A-",IF('Data Source'!V498&gt;=3,"B",IF('Data Source'!V498&gt;=2,"C",IF('Data Source'!V498&gt;=1,"D","F")))))),"")</f>
        <v/>
      </c>
      <c r="E498" s="3">
        <f>IF(AND('Data Source'!B498&lt;&gt;"",'Data Source'!S498="A+"),IF('Data Source'!W498&gt;=5,"A+",IF('Data Source'!W498&gt;=4,"A",IF('Data Source'!W498&gt;=3.5,"A-",IF('Data Source'!W498&gt;=3,"B",IF('Data Source'!W498&gt;=2,"C",IF('Data Source'!W498&gt;=1,"D","F")))))),"")</f>
        <v/>
      </c>
      <c r="F498" s="3">
        <f>IF(AND('Data Source'!B498&lt;&gt;"",'Data Source'!S498="A+"),IF('Data Source'!X498&gt;=5,"A+",IF('Data Source'!X498&gt;=4,"A",IF('Data Source'!X498&gt;=3.5,"A-",IF('Data Source'!X498&gt;=3,"B",IF('Data Source'!X498&gt;=2,"C",IF('Data Source'!X498&gt;=1,"D","F")))))),"")</f>
        <v/>
      </c>
      <c r="G498" s="3">
        <f>IF(AND('Data Source'!B498&lt;&gt;"",'Data Source'!S498="A+"),IF('Data Source'!Y498&gt;=5,"A+",IF('Data Source'!Y498&gt;=4,"A",IF('Data Source'!Y498&gt;=3.5,"A-",IF('Data Source'!Y498&gt;=3,"B",IF('Data Source'!Y498&gt;=2,"C",IF('Data Source'!Y498&gt;=1,"D","F")))))),"")</f>
        <v/>
      </c>
      <c r="H498" s="3">
        <f>IF(AND('Data Source'!B498&lt;&gt;"",'Data Source'!S498="A+"),IF('Data Source'!Z498&gt;=5,"A+",IF('Data Source'!Z498&gt;=4,"A",IF('Data Source'!Z498&gt;=3.5,"A-",IF('Data Source'!Z498&gt;=3,"B",IF('Data Source'!Z498&gt;=2,"C",IF('Data Source'!Z498&gt;=1,"D","F")))))),"")</f>
        <v/>
      </c>
      <c r="I498" s="3">
        <f>IF(AND('Data Source'!B498&lt;&gt;"",'Data Source'!S498="A+"),IF('Data Source'!AA498&gt;=5,"A+",IF('Data Source'!AA498&gt;=4,"A",IF('Data Source'!AA498&gt;=3.5,"A-",IF('Data Source'!AA498&gt;=3,"B",IF('Data Source'!AA498&gt;=2,"C",IF('Data Source'!AA498&gt;=1,"D","F")))))),"")</f>
        <v/>
      </c>
      <c r="J498" s="3">
        <f>IF(AND('Data Source'!B498&lt;&gt;"",'Data Source'!S498="A+"),IF('Data Source'!AB498&gt;=5,"A+",IF('Data Source'!AB498&gt;=4,"A",IF('Data Source'!AB498&gt;=3.5,"A-",IF('Data Source'!AB498&gt;=3,"B",IF('Data Source'!AB498&gt;=2,"C",IF('Data Source'!AB498&gt;=1,"D","F")))))),"")</f>
        <v/>
      </c>
      <c r="K498" s="3">
        <f>IF(AND('Data Source'!B498&lt;&gt;"",'Data Source'!S498="A+"),IF('Data Source'!AC498&gt;=5,"A+",IF('Data Source'!AC498&gt;=4,"A",IF('Data Source'!AC498&gt;=3.5,"A-",IF('Data Source'!AC498&gt;=3,"B",IF('Data Source'!AC498&gt;=2,"C",IF('Data Source'!AC498&gt;=1,"D","F")))))),"")</f>
        <v/>
      </c>
      <c r="L498" s="3">
        <f>IF(AND('Data Source'!B498&lt;&gt;"",'Data Source'!S498="A+"),IF('Data Source'!AD498&gt;=5,"A+",IF('Data Source'!AD498&gt;=4,"A",IF('Data Source'!AD498&gt;=3.5,"A-",IF('Data Source'!AD498&gt;=3,"B",IF('Data Source'!AD498&gt;=2,"C",IF('Data Source'!AD498&gt;=1,"D","F")))))),"")</f>
        <v/>
      </c>
      <c r="M498" s="3">
        <f>IF(AND('Data Source'!B498&lt;&gt;"",'Data Source'!S498="A+"),IF('Data Source'!AE498&gt;=5,"A+",IF('Data Source'!AE498&gt;=4,"A",IF('Data Source'!AE498&gt;=3.5,"A-",IF('Data Source'!AE498&gt;=3,"B",IF('Data Source'!AE498&gt;=2,"C",IF('Data Source'!AE498&gt;=1,"D","F")))))),"")</f>
        <v/>
      </c>
      <c r="N498" s="3">
        <f>IF(AND('Data Source'!B498&lt;&gt;"",'Data Source'!S498="A+"),IF('Data Source'!AF498&gt;=5,"A+",IF('Data Source'!AF498&gt;=4,"A",IF('Data Source'!AF498&gt;=3.5,"A-",IF('Data Source'!AF498&gt;=3,"B",IF('Data Source'!AF498&gt;=2,"C",IF('Data Source'!AF498&gt;=1,"D","F")))))),"")</f>
        <v/>
      </c>
      <c r="O498" s="3">
        <f>IF(AND('Data Source'!B498&lt;&gt;"",'Data Source'!S498="A+"),IF('Data Source'!AG498&gt;=5,"A+",IF('Data Source'!AG498&gt;=4,"A",IF('Data Source'!AG498&gt;=3.5,"A-",IF('Data Source'!AG498&gt;=3,"B",IF('Data Source'!AG498&gt;=2,"C",IF('Data Source'!AG498&gt;=1,"D","F")))))),"")</f>
        <v/>
      </c>
      <c r="P498" s="5">
        <f>IF(AND('Data Source'!B498&lt;&gt;"",'Data Source'!S498="A+"),'Data Source'!R498,"")</f>
        <v/>
      </c>
      <c r="Q498" s="3">
        <f>IF(AND('Data Source'!B498&lt;&gt;"",'Data Source'!S498="A+"),'Data Source'!S498,"")</f>
        <v/>
      </c>
    </row>
    <row r="499">
      <c r="A499" s="3">
        <f>IF(AND('Data Source'!B499&lt;&gt;"",'Data Source'!S499="A+"),COUNTIF('Data Source'!$S$3:S499,"A+"),"")</f>
        <v/>
      </c>
      <c r="B499">
        <f>IF(AND('Data Source'!B499&lt;&gt;"",'Data Source'!S499="A+"),'Data Source'!B499,"")</f>
        <v/>
      </c>
      <c r="C499" s="3">
        <f>IF(AND('Data Source'!B499&lt;&gt;"",'Data Source'!S499="A+"),IF('Data Source'!U499&gt;=5,"A+",IF('Data Source'!U499&gt;=4,"A",IF('Data Source'!U499&gt;=3.5,"A-",IF('Data Source'!U499&gt;=3,"B",IF('Data Source'!U499&gt;=2,"C",IF('Data Source'!U499&gt;=1,"D","F")))))),"")</f>
        <v/>
      </c>
      <c r="D499" s="3">
        <f>IF(AND('Data Source'!B499&lt;&gt;"",'Data Source'!S499="A+"),IF('Data Source'!V499&gt;=5,"A+",IF('Data Source'!V499&gt;=4,"A",IF('Data Source'!V499&gt;=3.5,"A-",IF('Data Source'!V499&gt;=3,"B",IF('Data Source'!V499&gt;=2,"C",IF('Data Source'!V499&gt;=1,"D","F")))))),"")</f>
        <v/>
      </c>
      <c r="E499" s="3">
        <f>IF(AND('Data Source'!B499&lt;&gt;"",'Data Source'!S499="A+"),IF('Data Source'!W499&gt;=5,"A+",IF('Data Source'!W499&gt;=4,"A",IF('Data Source'!W499&gt;=3.5,"A-",IF('Data Source'!W499&gt;=3,"B",IF('Data Source'!W499&gt;=2,"C",IF('Data Source'!W499&gt;=1,"D","F")))))),"")</f>
        <v/>
      </c>
      <c r="F499" s="3">
        <f>IF(AND('Data Source'!B499&lt;&gt;"",'Data Source'!S499="A+"),IF('Data Source'!X499&gt;=5,"A+",IF('Data Source'!X499&gt;=4,"A",IF('Data Source'!X499&gt;=3.5,"A-",IF('Data Source'!X499&gt;=3,"B",IF('Data Source'!X499&gt;=2,"C",IF('Data Source'!X499&gt;=1,"D","F")))))),"")</f>
        <v/>
      </c>
      <c r="G499" s="3">
        <f>IF(AND('Data Source'!B499&lt;&gt;"",'Data Source'!S499="A+"),IF('Data Source'!Y499&gt;=5,"A+",IF('Data Source'!Y499&gt;=4,"A",IF('Data Source'!Y499&gt;=3.5,"A-",IF('Data Source'!Y499&gt;=3,"B",IF('Data Source'!Y499&gt;=2,"C",IF('Data Source'!Y499&gt;=1,"D","F")))))),"")</f>
        <v/>
      </c>
      <c r="H499" s="3">
        <f>IF(AND('Data Source'!B499&lt;&gt;"",'Data Source'!S499="A+"),IF('Data Source'!Z499&gt;=5,"A+",IF('Data Source'!Z499&gt;=4,"A",IF('Data Source'!Z499&gt;=3.5,"A-",IF('Data Source'!Z499&gt;=3,"B",IF('Data Source'!Z499&gt;=2,"C",IF('Data Source'!Z499&gt;=1,"D","F")))))),"")</f>
        <v/>
      </c>
      <c r="I499" s="3">
        <f>IF(AND('Data Source'!B499&lt;&gt;"",'Data Source'!S499="A+"),IF('Data Source'!AA499&gt;=5,"A+",IF('Data Source'!AA499&gt;=4,"A",IF('Data Source'!AA499&gt;=3.5,"A-",IF('Data Source'!AA499&gt;=3,"B",IF('Data Source'!AA499&gt;=2,"C",IF('Data Source'!AA499&gt;=1,"D","F")))))),"")</f>
        <v/>
      </c>
      <c r="J499" s="3">
        <f>IF(AND('Data Source'!B499&lt;&gt;"",'Data Source'!S499="A+"),IF('Data Source'!AB499&gt;=5,"A+",IF('Data Source'!AB499&gt;=4,"A",IF('Data Source'!AB499&gt;=3.5,"A-",IF('Data Source'!AB499&gt;=3,"B",IF('Data Source'!AB499&gt;=2,"C",IF('Data Source'!AB499&gt;=1,"D","F")))))),"")</f>
        <v/>
      </c>
      <c r="K499" s="3">
        <f>IF(AND('Data Source'!B499&lt;&gt;"",'Data Source'!S499="A+"),IF('Data Source'!AC499&gt;=5,"A+",IF('Data Source'!AC499&gt;=4,"A",IF('Data Source'!AC499&gt;=3.5,"A-",IF('Data Source'!AC499&gt;=3,"B",IF('Data Source'!AC499&gt;=2,"C",IF('Data Source'!AC499&gt;=1,"D","F")))))),"")</f>
        <v/>
      </c>
      <c r="L499" s="3">
        <f>IF(AND('Data Source'!B499&lt;&gt;"",'Data Source'!S499="A+"),IF('Data Source'!AD499&gt;=5,"A+",IF('Data Source'!AD499&gt;=4,"A",IF('Data Source'!AD499&gt;=3.5,"A-",IF('Data Source'!AD499&gt;=3,"B",IF('Data Source'!AD499&gt;=2,"C",IF('Data Source'!AD499&gt;=1,"D","F")))))),"")</f>
        <v/>
      </c>
      <c r="M499" s="3">
        <f>IF(AND('Data Source'!B499&lt;&gt;"",'Data Source'!S499="A+"),IF('Data Source'!AE499&gt;=5,"A+",IF('Data Source'!AE499&gt;=4,"A",IF('Data Source'!AE499&gt;=3.5,"A-",IF('Data Source'!AE499&gt;=3,"B",IF('Data Source'!AE499&gt;=2,"C",IF('Data Source'!AE499&gt;=1,"D","F")))))),"")</f>
        <v/>
      </c>
      <c r="N499" s="3">
        <f>IF(AND('Data Source'!B499&lt;&gt;"",'Data Source'!S499="A+"),IF('Data Source'!AF499&gt;=5,"A+",IF('Data Source'!AF499&gt;=4,"A",IF('Data Source'!AF499&gt;=3.5,"A-",IF('Data Source'!AF499&gt;=3,"B",IF('Data Source'!AF499&gt;=2,"C",IF('Data Source'!AF499&gt;=1,"D","F")))))),"")</f>
        <v/>
      </c>
      <c r="O499" s="3">
        <f>IF(AND('Data Source'!B499&lt;&gt;"",'Data Source'!S499="A+"),IF('Data Source'!AG499&gt;=5,"A+",IF('Data Source'!AG499&gt;=4,"A",IF('Data Source'!AG499&gt;=3.5,"A-",IF('Data Source'!AG499&gt;=3,"B",IF('Data Source'!AG499&gt;=2,"C",IF('Data Source'!AG499&gt;=1,"D","F")))))),"")</f>
        <v/>
      </c>
      <c r="P499" s="5">
        <f>IF(AND('Data Source'!B499&lt;&gt;"",'Data Source'!S499="A+"),'Data Source'!R499,"")</f>
        <v/>
      </c>
      <c r="Q499" s="3">
        <f>IF(AND('Data Source'!B499&lt;&gt;"",'Data Source'!S499="A+"),'Data Source'!S499,"")</f>
        <v/>
      </c>
    </row>
    <row r="500">
      <c r="A500" s="3">
        <f>IF(AND('Data Source'!B500&lt;&gt;"",'Data Source'!S500="A+"),COUNTIF('Data Source'!$S$3:S500,"A+"),"")</f>
        <v/>
      </c>
      <c r="B500">
        <f>IF(AND('Data Source'!B500&lt;&gt;"",'Data Source'!S500="A+"),'Data Source'!B500,"")</f>
        <v/>
      </c>
      <c r="C500" s="3">
        <f>IF(AND('Data Source'!B500&lt;&gt;"",'Data Source'!S500="A+"),IF('Data Source'!U500&gt;=5,"A+",IF('Data Source'!U500&gt;=4,"A",IF('Data Source'!U500&gt;=3.5,"A-",IF('Data Source'!U500&gt;=3,"B",IF('Data Source'!U500&gt;=2,"C",IF('Data Source'!U500&gt;=1,"D","F")))))),"")</f>
        <v/>
      </c>
      <c r="D500" s="3">
        <f>IF(AND('Data Source'!B500&lt;&gt;"",'Data Source'!S500="A+"),IF('Data Source'!V500&gt;=5,"A+",IF('Data Source'!V500&gt;=4,"A",IF('Data Source'!V500&gt;=3.5,"A-",IF('Data Source'!V500&gt;=3,"B",IF('Data Source'!V500&gt;=2,"C",IF('Data Source'!V500&gt;=1,"D","F")))))),"")</f>
        <v/>
      </c>
      <c r="E500" s="3">
        <f>IF(AND('Data Source'!B500&lt;&gt;"",'Data Source'!S500="A+"),IF('Data Source'!W500&gt;=5,"A+",IF('Data Source'!W500&gt;=4,"A",IF('Data Source'!W500&gt;=3.5,"A-",IF('Data Source'!W500&gt;=3,"B",IF('Data Source'!W500&gt;=2,"C",IF('Data Source'!W500&gt;=1,"D","F")))))),"")</f>
        <v/>
      </c>
      <c r="F500" s="3">
        <f>IF(AND('Data Source'!B500&lt;&gt;"",'Data Source'!S500="A+"),IF('Data Source'!X500&gt;=5,"A+",IF('Data Source'!X500&gt;=4,"A",IF('Data Source'!X500&gt;=3.5,"A-",IF('Data Source'!X500&gt;=3,"B",IF('Data Source'!X500&gt;=2,"C",IF('Data Source'!X500&gt;=1,"D","F")))))),"")</f>
        <v/>
      </c>
      <c r="G500" s="3">
        <f>IF(AND('Data Source'!B500&lt;&gt;"",'Data Source'!S500="A+"),IF('Data Source'!Y500&gt;=5,"A+",IF('Data Source'!Y500&gt;=4,"A",IF('Data Source'!Y500&gt;=3.5,"A-",IF('Data Source'!Y500&gt;=3,"B",IF('Data Source'!Y500&gt;=2,"C",IF('Data Source'!Y500&gt;=1,"D","F")))))),"")</f>
        <v/>
      </c>
      <c r="H500" s="3">
        <f>IF(AND('Data Source'!B500&lt;&gt;"",'Data Source'!S500="A+"),IF('Data Source'!Z500&gt;=5,"A+",IF('Data Source'!Z500&gt;=4,"A",IF('Data Source'!Z500&gt;=3.5,"A-",IF('Data Source'!Z500&gt;=3,"B",IF('Data Source'!Z500&gt;=2,"C",IF('Data Source'!Z500&gt;=1,"D","F")))))),"")</f>
        <v/>
      </c>
      <c r="I500" s="3">
        <f>IF(AND('Data Source'!B500&lt;&gt;"",'Data Source'!S500="A+"),IF('Data Source'!AA500&gt;=5,"A+",IF('Data Source'!AA500&gt;=4,"A",IF('Data Source'!AA500&gt;=3.5,"A-",IF('Data Source'!AA500&gt;=3,"B",IF('Data Source'!AA500&gt;=2,"C",IF('Data Source'!AA500&gt;=1,"D","F")))))),"")</f>
        <v/>
      </c>
      <c r="J500" s="3">
        <f>IF(AND('Data Source'!B500&lt;&gt;"",'Data Source'!S500="A+"),IF('Data Source'!AB500&gt;=5,"A+",IF('Data Source'!AB500&gt;=4,"A",IF('Data Source'!AB500&gt;=3.5,"A-",IF('Data Source'!AB500&gt;=3,"B",IF('Data Source'!AB500&gt;=2,"C",IF('Data Source'!AB500&gt;=1,"D","F")))))),"")</f>
        <v/>
      </c>
      <c r="K500" s="3">
        <f>IF(AND('Data Source'!B500&lt;&gt;"",'Data Source'!S500="A+"),IF('Data Source'!AC500&gt;=5,"A+",IF('Data Source'!AC500&gt;=4,"A",IF('Data Source'!AC500&gt;=3.5,"A-",IF('Data Source'!AC500&gt;=3,"B",IF('Data Source'!AC500&gt;=2,"C",IF('Data Source'!AC500&gt;=1,"D","F")))))),"")</f>
        <v/>
      </c>
      <c r="L500" s="3">
        <f>IF(AND('Data Source'!B500&lt;&gt;"",'Data Source'!S500="A+"),IF('Data Source'!AD500&gt;=5,"A+",IF('Data Source'!AD500&gt;=4,"A",IF('Data Source'!AD500&gt;=3.5,"A-",IF('Data Source'!AD500&gt;=3,"B",IF('Data Source'!AD500&gt;=2,"C",IF('Data Source'!AD500&gt;=1,"D","F")))))),"")</f>
        <v/>
      </c>
      <c r="M500" s="3">
        <f>IF(AND('Data Source'!B500&lt;&gt;"",'Data Source'!S500="A+"),IF('Data Source'!AE500&gt;=5,"A+",IF('Data Source'!AE500&gt;=4,"A",IF('Data Source'!AE500&gt;=3.5,"A-",IF('Data Source'!AE500&gt;=3,"B",IF('Data Source'!AE500&gt;=2,"C",IF('Data Source'!AE500&gt;=1,"D","F")))))),"")</f>
        <v/>
      </c>
      <c r="N500" s="3">
        <f>IF(AND('Data Source'!B500&lt;&gt;"",'Data Source'!S500="A+"),IF('Data Source'!AF500&gt;=5,"A+",IF('Data Source'!AF500&gt;=4,"A",IF('Data Source'!AF500&gt;=3.5,"A-",IF('Data Source'!AF500&gt;=3,"B",IF('Data Source'!AF500&gt;=2,"C",IF('Data Source'!AF500&gt;=1,"D","F")))))),"")</f>
        <v/>
      </c>
      <c r="O500" s="3">
        <f>IF(AND('Data Source'!B500&lt;&gt;"",'Data Source'!S500="A+"),IF('Data Source'!AG500&gt;=5,"A+",IF('Data Source'!AG500&gt;=4,"A",IF('Data Source'!AG500&gt;=3.5,"A-",IF('Data Source'!AG500&gt;=3,"B",IF('Data Source'!AG500&gt;=2,"C",IF('Data Source'!AG500&gt;=1,"D","F")))))),"")</f>
        <v/>
      </c>
      <c r="P500" s="5">
        <f>IF(AND('Data Source'!B500&lt;&gt;"",'Data Source'!S500="A+"),'Data Source'!R500,"")</f>
        <v/>
      </c>
      <c r="Q500" s="3">
        <f>IF(AND('Data Source'!B500&lt;&gt;"",'Data Source'!S500="A+"),'Data Source'!S500,"")</f>
        <v/>
      </c>
    </row>
    <row r="501">
      <c r="A501" s="3">
        <f>IF(AND('Data Source'!B501&lt;&gt;"",'Data Source'!S501="A+"),COUNTIF('Data Source'!$S$3:S501,"A+"),"")</f>
        <v/>
      </c>
      <c r="B501">
        <f>IF(AND('Data Source'!B501&lt;&gt;"",'Data Source'!S501="A+"),'Data Source'!B501,"")</f>
        <v/>
      </c>
      <c r="C501" s="3">
        <f>IF(AND('Data Source'!B501&lt;&gt;"",'Data Source'!S501="A+"),IF('Data Source'!U501&gt;=5,"A+",IF('Data Source'!U501&gt;=4,"A",IF('Data Source'!U501&gt;=3.5,"A-",IF('Data Source'!U501&gt;=3,"B",IF('Data Source'!U501&gt;=2,"C",IF('Data Source'!U501&gt;=1,"D","F")))))),"")</f>
        <v/>
      </c>
      <c r="D501" s="3">
        <f>IF(AND('Data Source'!B501&lt;&gt;"",'Data Source'!S501="A+"),IF('Data Source'!V501&gt;=5,"A+",IF('Data Source'!V501&gt;=4,"A",IF('Data Source'!V501&gt;=3.5,"A-",IF('Data Source'!V501&gt;=3,"B",IF('Data Source'!V501&gt;=2,"C",IF('Data Source'!V501&gt;=1,"D","F")))))),"")</f>
        <v/>
      </c>
      <c r="E501" s="3">
        <f>IF(AND('Data Source'!B501&lt;&gt;"",'Data Source'!S501="A+"),IF('Data Source'!W501&gt;=5,"A+",IF('Data Source'!W501&gt;=4,"A",IF('Data Source'!W501&gt;=3.5,"A-",IF('Data Source'!W501&gt;=3,"B",IF('Data Source'!W501&gt;=2,"C",IF('Data Source'!W501&gt;=1,"D","F")))))),"")</f>
        <v/>
      </c>
      <c r="F501" s="3">
        <f>IF(AND('Data Source'!B501&lt;&gt;"",'Data Source'!S501="A+"),IF('Data Source'!X501&gt;=5,"A+",IF('Data Source'!X501&gt;=4,"A",IF('Data Source'!X501&gt;=3.5,"A-",IF('Data Source'!X501&gt;=3,"B",IF('Data Source'!X501&gt;=2,"C",IF('Data Source'!X501&gt;=1,"D","F")))))),"")</f>
        <v/>
      </c>
      <c r="G501" s="3">
        <f>IF(AND('Data Source'!B501&lt;&gt;"",'Data Source'!S501="A+"),IF('Data Source'!Y501&gt;=5,"A+",IF('Data Source'!Y501&gt;=4,"A",IF('Data Source'!Y501&gt;=3.5,"A-",IF('Data Source'!Y501&gt;=3,"B",IF('Data Source'!Y501&gt;=2,"C",IF('Data Source'!Y501&gt;=1,"D","F")))))),"")</f>
        <v/>
      </c>
      <c r="H501" s="3">
        <f>IF(AND('Data Source'!B501&lt;&gt;"",'Data Source'!S501="A+"),IF('Data Source'!Z501&gt;=5,"A+",IF('Data Source'!Z501&gt;=4,"A",IF('Data Source'!Z501&gt;=3.5,"A-",IF('Data Source'!Z501&gt;=3,"B",IF('Data Source'!Z501&gt;=2,"C",IF('Data Source'!Z501&gt;=1,"D","F")))))),"")</f>
        <v/>
      </c>
      <c r="I501" s="3">
        <f>IF(AND('Data Source'!B501&lt;&gt;"",'Data Source'!S501="A+"),IF('Data Source'!AA501&gt;=5,"A+",IF('Data Source'!AA501&gt;=4,"A",IF('Data Source'!AA501&gt;=3.5,"A-",IF('Data Source'!AA501&gt;=3,"B",IF('Data Source'!AA501&gt;=2,"C",IF('Data Source'!AA501&gt;=1,"D","F")))))),"")</f>
        <v/>
      </c>
      <c r="J501" s="3">
        <f>IF(AND('Data Source'!B501&lt;&gt;"",'Data Source'!S501="A+"),IF('Data Source'!AB501&gt;=5,"A+",IF('Data Source'!AB501&gt;=4,"A",IF('Data Source'!AB501&gt;=3.5,"A-",IF('Data Source'!AB501&gt;=3,"B",IF('Data Source'!AB501&gt;=2,"C",IF('Data Source'!AB501&gt;=1,"D","F")))))),"")</f>
        <v/>
      </c>
      <c r="K501" s="3">
        <f>IF(AND('Data Source'!B501&lt;&gt;"",'Data Source'!S501="A+"),IF('Data Source'!AC501&gt;=5,"A+",IF('Data Source'!AC501&gt;=4,"A",IF('Data Source'!AC501&gt;=3.5,"A-",IF('Data Source'!AC501&gt;=3,"B",IF('Data Source'!AC501&gt;=2,"C",IF('Data Source'!AC501&gt;=1,"D","F")))))),"")</f>
        <v/>
      </c>
      <c r="L501" s="3">
        <f>IF(AND('Data Source'!B501&lt;&gt;"",'Data Source'!S501="A+"),IF('Data Source'!AD501&gt;=5,"A+",IF('Data Source'!AD501&gt;=4,"A",IF('Data Source'!AD501&gt;=3.5,"A-",IF('Data Source'!AD501&gt;=3,"B",IF('Data Source'!AD501&gt;=2,"C",IF('Data Source'!AD501&gt;=1,"D","F")))))),"")</f>
        <v/>
      </c>
      <c r="M501" s="3">
        <f>IF(AND('Data Source'!B501&lt;&gt;"",'Data Source'!S501="A+"),IF('Data Source'!AE501&gt;=5,"A+",IF('Data Source'!AE501&gt;=4,"A",IF('Data Source'!AE501&gt;=3.5,"A-",IF('Data Source'!AE501&gt;=3,"B",IF('Data Source'!AE501&gt;=2,"C",IF('Data Source'!AE501&gt;=1,"D","F")))))),"")</f>
        <v/>
      </c>
      <c r="N501" s="3">
        <f>IF(AND('Data Source'!B501&lt;&gt;"",'Data Source'!S501="A+"),IF('Data Source'!AF501&gt;=5,"A+",IF('Data Source'!AF501&gt;=4,"A",IF('Data Source'!AF501&gt;=3.5,"A-",IF('Data Source'!AF501&gt;=3,"B",IF('Data Source'!AF501&gt;=2,"C",IF('Data Source'!AF501&gt;=1,"D","F")))))),"")</f>
        <v/>
      </c>
      <c r="O501" s="3">
        <f>IF(AND('Data Source'!B501&lt;&gt;"",'Data Source'!S501="A+"),IF('Data Source'!AG501&gt;=5,"A+",IF('Data Source'!AG501&gt;=4,"A",IF('Data Source'!AG501&gt;=3.5,"A-",IF('Data Source'!AG501&gt;=3,"B",IF('Data Source'!AG501&gt;=2,"C",IF('Data Source'!AG501&gt;=1,"D","F")))))),"")</f>
        <v/>
      </c>
      <c r="P501" s="5">
        <f>IF(AND('Data Source'!B501&lt;&gt;"",'Data Source'!S501="A+"),'Data Source'!R501,"")</f>
        <v/>
      </c>
      <c r="Q501" s="3">
        <f>IF(AND('Data Source'!B501&lt;&gt;"",'Data Source'!S501="A+"),'Data Source'!S501,"")</f>
        <v/>
      </c>
    </row>
    <row r="502">
      <c r="A502" s="3">
        <f>IF(AND('Data Source'!B502&lt;&gt;"",'Data Source'!S502="A+"),COUNTIF('Data Source'!$S$3:S502,"A+"),"")</f>
        <v/>
      </c>
      <c r="B502">
        <f>IF(AND('Data Source'!B502&lt;&gt;"",'Data Source'!S502="A+"),'Data Source'!B502,"")</f>
        <v/>
      </c>
      <c r="C502" s="3">
        <f>IF(AND('Data Source'!B502&lt;&gt;"",'Data Source'!S502="A+"),IF('Data Source'!U502&gt;=5,"A+",IF('Data Source'!U502&gt;=4,"A",IF('Data Source'!U502&gt;=3.5,"A-",IF('Data Source'!U502&gt;=3,"B",IF('Data Source'!U502&gt;=2,"C",IF('Data Source'!U502&gt;=1,"D","F")))))),"")</f>
        <v/>
      </c>
      <c r="D502" s="3">
        <f>IF(AND('Data Source'!B502&lt;&gt;"",'Data Source'!S502="A+"),IF('Data Source'!V502&gt;=5,"A+",IF('Data Source'!V502&gt;=4,"A",IF('Data Source'!V502&gt;=3.5,"A-",IF('Data Source'!V502&gt;=3,"B",IF('Data Source'!V502&gt;=2,"C",IF('Data Source'!V502&gt;=1,"D","F")))))),"")</f>
        <v/>
      </c>
      <c r="E502" s="3">
        <f>IF(AND('Data Source'!B502&lt;&gt;"",'Data Source'!S502="A+"),IF('Data Source'!W502&gt;=5,"A+",IF('Data Source'!W502&gt;=4,"A",IF('Data Source'!W502&gt;=3.5,"A-",IF('Data Source'!W502&gt;=3,"B",IF('Data Source'!W502&gt;=2,"C",IF('Data Source'!W502&gt;=1,"D","F")))))),"")</f>
        <v/>
      </c>
      <c r="F502" s="3">
        <f>IF(AND('Data Source'!B502&lt;&gt;"",'Data Source'!S502="A+"),IF('Data Source'!X502&gt;=5,"A+",IF('Data Source'!X502&gt;=4,"A",IF('Data Source'!X502&gt;=3.5,"A-",IF('Data Source'!X502&gt;=3,"B",IF('Data Source'!X502&gt;=2,"C",IF('Data Source'!X502&gt;=1,"D","F")))))),"")</f>
        <v/>
      </c>
      <c r="G502" s="3">
        <f>IF(AND('Data Source'!B502&lt;&gt;"",'Data Source'!S502="A+"),IF('Data Source'!Y502&gt;=5,"A+",IF('Data Source'!Y502&gt;=4,"A",IF('Data Source'!Y502&gt;=3.5,"A-",IF('Data Source'!Y502&gt;=3,"B",IF('Data Source'!Y502&gt;=2,"C",IF('Data Source'!Y502&gt;=1,"D","F")))))),"")</f>
        <v/>
      </c>
      <c r="H502" s="3">
        <f>IF(AND('Data Source'!B502&lt;&gt;"",'Data Source'!S502="A+"),IF('Data Source'!Z502&gt;=5,"A+",IF('Data Source'!Z502&gt;=4,"A",IF('Data Source'!Z502&gt;=3.5,"A-",IF('Data Source'!Z502&gt;=3,"B",IF('Data Source'!Z502&gt;=2,"C",IF('Data Source'!Z502&gt;=1,"D","F")))))),"")</f>
        <v/>
      </c>
      <c r="I502" s="3">
        <f>IF(AND('Data Source'!B502&lt;&gt;"",'Data Source'!S502="A+"),IF('Data Source'!AA502&gt;=5,"A+",IF('Data Source'!AA502&gt;=4,"A",IF('Data Source'!AA502&gt;=3.5,"A-",IF('Data Source'!AA502&gt;=3,"B",IF('Data Source'!AA502&gt;=2,"C",IF('Data Source'!AA502&gt;=1,"D","F")))))),"")</f>
        <v/>
      </c>
      <c r="J502" s="3">
        <f>IF(AND('Data Source'!B502&lt;&gt;"",'Data Source'!S502="A+"),IF('Data Source'!AB502&gt;=5,"A+",IF('Data Source'!AB502&gt;=4,"A",IF('Data Source'!AB502&gt;=3.5,"A-",IF('Data Source'!AB502&gt;=3,"B",IF('Data Source'!AB502&gt;=2,"C",IF('Data Source'!AB502&gt;=1,"D","F")))))),"")</f>
        <v/>
      </c>
      <c r="K502" s="3">
        <f>IF(AND('Data Source'!B502&lt;&gt;"",'Data Source'!S502="A+"),IF('Data Source'!AC502&gt;=5,"A+",IF('Data Source'!AC502&gt;=4,"A",IF('Data Source'!AC502&gt;=3.5,"A-",IF('Data Source'!AC502&gt;=3,"B",IF('Data Source'!AC502&gt;=2,"C",IF('Data Source'!AC502&gt;=1,"D","F")))))),"")</f>
        <v/>
      </c>
      <c r="L502" s="3">
        <f>IF(AND('Data Source'!B502&lt;&gt;"",'Data Source'!S502="A+"),IF('Data Source'!AD502&gt;=5,"A+",IF('Data Source'!AD502&gt;=4,"A",IF('Data Source'!AD502&gt;=3.5,"A-",IF('Data Source'!AD502&gt;=3,"B",IF('Data Source'!AD502&gt;=2,"C",IF('Data Source'!AD502&gt;=1,"D","F")))))),"")</f>
        <v/>
      </c>
      <c r="M502" s="3">
        <f>IF(AND('Data Source'!B502&lt;&gt;"",'Data Source'!S502="A+"),IF('Data Source'!AE502&gt;=5,"A+",IF('Data Source'!AE502&gt;=4,"A",IF('Data Source'!AE502&gt;=3.5,"A-",IF('Data Source'!AE502&gt;=3,"B",IF('Data Source'!AE502&gt;=2,"C",IF('Data Source'!AE502&gt;=1,"D","F")))))),"")</f>
        <v/>
      </c>
      <c r="N502" s="3">
        <f>IF(AND('Data Source'!B502&lt;&gt;"",'Data Source'!S502="A+"),IF('Data Source'!AF502&gt;=5,"A+",IF('Data Source'!AF502&gt;=4,"A",IF('Data Source'!AF502&gt;=3.5,"A-",IF('Data Source'!AF502&gt;=3,"B",IF('Data Source'!AF502&gt;=2,"C",IF('Data Source'!AF502&gt;=1,"D","F")))))),"")</f>
        <v/>
      </c>
      <c r="O502" s="3">
        <f>IF(AND('Data Source'!B502&lt;&gt;"",'Data Source'!S502="A+"),IF('Data Source'!AG502&gt;=5,"A+",IF('Data Source'!AG502&gt;=4,"A",IF('Data Source'!AG502&gt;=3.5,"A-",IF('Data Source'!AG502&gt;=3,"B",IF('Data Source'!AG502&gt;=2,"C",IF('Data Source'!AG502&gt;=1,"D","F")))))),"")</f>
        <v/>
      </c>
      <c r="P502" s="5">
        <f>IF(AND('Data Source'!B502&lt;&gt;"",'Data Source'!S502="A+"),'Data Source'!R502,"")</f>
        <v/>
      </c>
      <c r="Q502" s="3">
        <f>IF(AND('Data Source'!B502&lt;&gt;"",'Data Source'!S502="A+"),'Data Source'!S502,"")</f>
        <v/>
      </c>
    </row>
    <row r="503">
      <c r="A503" s="3">
        <f>IF(AND('Data Source'!B503&lt;&gt;"",'Data Source'!S503="A+"),COUNTIF('Data Source'!$S$3:S503,"A+"),"")</f>
        <v/>
      </c>
      <c r="B503">
        <f>IF(AND('Data Source'!B503&lt;&gt;"",'Data Source'!S503="A+"),'Data Source'!B503,"")</f>
        <v/>
      </c>
      <c r="C503" s="3">
        <f>IF(AND('Data Source'!B503&lt;&gt;"",'Data Source'!S503="A+"),IF('Data Source'!U503&gt;=5,"A+",IF('Data Source'!U503&gt;=4,"A",IF('Data Source'!U503&gt;=3.5,"A-",IF('Data Source'!U503&gt;=3,"B",IF('Data Source'!U503&gt;=2,"C",IF('Data Source'!U503&gt;=1,"D","F")))))),"")</f>
        <v/>
      </c>
      <c r="D503" s="3">
        <f>IF(AND('Data Source'!B503&lt;&gt;"",'Data Source'!S503="A+"),IF('Data Source'!V503&gt;=5,"A+",IF('Data Source'!V503&gt;=4,"A",IF('Data Source'!V503&gt;=3.5,"A-",IF('Data Source'!V503&gt;=3,"B",IF('Data Source'!V503&gt;=2,"C",IF('Data Source'!V503&gt;=1,"D","F")))))),"")</f>
        <v/>
      </c>
      <c r="E503" s="3">
        <f>IF(AND('Data Source'!B503&lt;&gt;"",'Data Source'!S503="A+"),IF('Data Source'!W503&gt;=5,"A+",IF('Data Source'!W503&gt;=4,"A",IF('Data Source'!W503&gt;=3.5,"A-",IF('Data Source'!W503&gt;=3,"B",IF('Data Source'!W503&gt;=2,"C",IF('Data Source'!W503&gt;=1,"D","F")))))),"")</f>
        <v/>
      </c>
      <c r="F503" s="3">
        <f>IF(AND('Data Source'!B503&lt;&gt;"",'Data Source'!S503="A+"),IF('Data Source'!X503&gt;=5,"A+",IF('Data Source'!X503&gt;=4,"A",IF('Data Source'!X503&gt;=3.5,"A-",IF('Data Source'!X503&gt;=3,"B",IF('Data Source'!X503&gt;=2,"C",IF('Data Source'!X503&gt;=1,"D","F")))))),"")</f>
        <v/>
      </c>
      <c r="G503" s="3">
        <f>IF(AND('Data Source'!B503&lt;&gt;"",'Data Source'!S503="A+"),IF('Data Source'!Y503&gt;=5,"A+",IF('Data Source'!Y503&gt;=4,"A",IF('Data Source'!Y503&gt;=3.5,"A-",IF('Data Source'!Y503&gt;=3,"B",IF('Data Source'!Y503&gt;=2,"C",IF('Data Source'!Y503&gt;=1,"D","F")))))),"")</f>
        <v/>
      </c>
      <c r="H503" s="3">
        <f>IF(AND('Data Source'!B503&lt;&gt;"",'Data Source'!S503="A+"),IF('Data Source'!Z503&gt;=5,"A+",IF('Data Source'!Z503&gt;=4,"A",IF('Data Source'!Z503&gt;=3.5,"A-",IF('Data Source'!Z503&gt;=3,"B",IF('Data Source'!Z503&gt;=2,"C",IF('Data Source'!Z503&gt;=1,"D","F")))))),"")</f>
        <v/>
      </c>
      <c r="I503" s="3">
        <f>IF(AND('Data Source'!B503&lt;&gt;"",'Data Source'!S503="A+"),IF('Data Source'!AA503&gt;=5,"A+",IF('Data Source'!AA503&gt;=4,"A",IF('Data Source'!AA503&gt;=3.5,"A-",IF('Data Source'!AA503&gt;=3,"B",IF('Data Source'!AA503&gt;=2,"C",IF('Data Source'!AA503&gt;=1,"D","F")))))),"")</f>
        <v/>
      </c>
      <c r="J503" s="3">
        <f>IF(AND('Data Source'!B503&lt;&gt;"",'Data Source'!S503="A+"),IF('Data Source'!AB503&gt;=5,"A+",IF('Data Source'!AB503&gt;=4,"A",IF('Data Source'!AB503&gt;=3.5,"A-",IF('Data Source'!AB503&gt;=3,"B",IF('Data Source'!AB503&gt;=2,"C",IF('Data Source'!AB503&gt;=1,"D","F")))))),"")</f>
        <v/>
      </c>
      <c r="K503" s="3">
        <f>IF(AND('Data Source'!B503&lt;&gt;"",'Data Source'!S503="A+"),IF('Data Source'!AC503&gt;=5,"A+",IF('Data Source'!AC503&gt;=4,"A",IF('Data Source'!AC503&gt;=3.5,"A-",IF('Data Source'!AC503&gt;=3,"B",IF('Data Source'!AC503&gt;=2,"C",IF('Data Source'!AC503&gt;=1,"D","F")))))),"")</f>
        <v/>
      </c>
      <c r="L503" s="3">
        <f>IF(AND('Data Source'!B503&lt;&gt;"",'Data Source'!S503="A+"),IF('Data Source'!AD503&gt;=5,"A+",IF('Data Source'!AD503&gt;=4,"A",IF('Data Source'!AD503&gt;=3.5,"A-",IF('Data Source'!AD503&gt;=3,"B",IF('Data Source'!AD503&gt;=2,"C",IF('Data Source'!AD503&gt;=1,"D","F")))))),"")</f>
        <v/>
      </c>
      <c r="M503" s="3">
        <f>IF(AND('Data Source'!B503&lt;&gt;"",'Data Source'!S503="A+"),IF('Data Source'!AE503&gt;=5,"A+",IF('Data Source'!AE503&gt;=4,"A",IF('Data Source'!AE503&gt;=3.5,"A-",IF('Data Source'!AE503&gt;=3,"B",IF('Data Source'!AE503&gt;=2,"C",IF('Data Source'!AE503&gt;=1,"D","F")))))),"")</f>
        <v/>
      </c>
      <c r="N503" s="3">
        <f>IF(AND('Data Source'!B503&lt;&gt;"",'Data Source'!S503="A+"),IF('Data Source'!AF503&gt;=5,"A+",IF('Data Source'!AF503&gt;=4,"A",IF('Data Source'!AF503&gt;=3.5,"A-",IF('Data Source'!AF503&gt;=3,"B",IF('Data Source'!AF503&gt;=2,"C",IF('Data Source'!AF503&gt;=1,"D","F")))))),"")</f>
        <v/>
      </c>
      <c r="O503" s="3">
        <f>IF(AND('Data Source'!B503&lt;&gt;"",'Data Source'!S503="A+"),IF('Data Source'!AG503&gt;=5,"A+",IF('Data Source'!AG503&gt;=4,"A",IF('Data Source'!AG503&gt;=3.5,"A-",IF('Data Source'!AG503&gt;=3,"B",IF('Data Source'!AG503&gt;=2,"C",IF('Data Source'!AG503&gt;=1,"D","F")))))),"")</f>
        <v/>
      </c>
      <c r="P503" s="5">
        <f>IF(AND('Data Source'!B503&lt;&gt;"",'Data Source'!S503="A+"),'Data Source'!R503,"")</f>
        <v/>
      </c>
      <c r="Q503" s="3">
        <f>IF(AND('Data Source'!B503&lt;&gt;"",'Data Source'!S503="A+"),'Data Source'!S503,"")</f>
        <v/>
      </c>
    </row>
    <row r="504">
      <c r="A504" s="3">
        <f>IF(AND('Data Source'!B504&lt;&gt;"",'Data Source'!S504="A+"),COUNTIF('Data Source'!$S$3:S504,"A+"),"")</f>
        <v/>
      </c>
      <c r="B504">
        <f>IF(AND('Data Source'!B504&lt;&gt;"",'Data Source'!S504="A+"),'Data Source'!B504,"")</f>
        <v/>
      </c>
      <c r="C504" s="3">
        <f>IF(AND('Data Source'!B504&lt;&gt;"",'Data Source'!S504="A+"),IF('Data Source'!U504&gt;=5,"A+",IF('Data Source'!U504&gt;=4,"A",IF('Data Source'!U504&gt;=3.5,"A-",IF('Data Source'!U504&gt;=3,"B",IF('Data Source'!U504&gt;=2,"C",IF('Data Source'!U504&gt;=1,"D","F")))))),"")</f>
        <v/>
      </c>
      <c r="D504" s="3">
        <f>IF(AND('Data Source'!B504&lt;&gt;"",'Data Source'!S504="A+"),IF('Data Source'!V504&gt;=5,"A+",IF('Data Source'!V504&gt;=4,"A",IF('Data Source'!V504&gt;=3.5,"A-",IF('Data Source'!V504&gt;=3,"B",IF('Data Source'!V504&gt;=2,"C",IF('Data Source'!V504&gt;=1,"D","F")))))),"")</f>
        <v/>
      </c>
      <c r="E504" s="3">
        <f>IF(AND('Data Source'!B504&lt;&gt;"",'Data Source'!S504="A+"),IF('Data Source'!W504&gt;=5,"A+",IF('Data Source'!W504&gt;=4,"A",IF('Data Source'!W504&gt;=3.5,"A-",IF('Data Source'!W504&gt;=3,"B",IF('Data Source'!W504&gt;=2,"C",IF('Data Source'!W504&gt;=1,"D","F")))))),"")</f>
        <v/>
      </c>
      <c r="F504" s="3">
        <f>IF(AND('Data Source'!B504&lt;&gt;"",'Data Source'!S504="A+"),IF('Data Source'!X504&gt;=5,"A+",IF('Data Source'!X504&gt;=4,"A",IF('Data Source'!X504&gt;=3.5,"A-",IF('Data Source'!X504&gt;=3,"B",IF('Data Source'!X504&gt;=2,"C",IF('Data Source'!X504&gt;=1,"D","F")))))),"")</f>
        <v/>
      </c>
      <c r="G504" s="3">
        <f>IF(AND('Data Source'!B504&lt;&gt;"",'Data Source'!S504="A+"),IF('Data Source'!Y504&gt;=5,"A+",IF('Data Source'!Y504&gt;=4,"A",IF('Data Source'!Y504&gt;=3.5,"A-",IF('Data Source'!Y504&gt;=3,"B",IF('Data Source'!Y504&gt;=2,"C",IF('Data Source'!Y504&gt;=1,"D","F")))))),"")</f>
        <v/>
      </c>
      <c r="H504" s="3">
        <f>IF(AND('Data Source'!B504&lt;&gt;"",'Data Source'!S504="A+"),IF('Data Source'!Z504&gt;=5,"A+",IF('Data Source'!Z504&gt;=4,"A",IF('Data Source'!Z504&gt;=3.5,"A-",IF('Data Source'!Z504&gt;=3,"B",IF('Data Source'!Z504&gt;=2,"C",IF('Data Source'!Z504&gt;=1,"D","F")))))),"")</f>
        <v/>
      </c>
      <c r="I504" s="3">
        <f>IF(AND('Data Source'!B504&lt;&gt;"",'Data Source'!S504="A+"),IF('Data Source'!AA504&gt;=5,"A+",IF('Data Source'!AA504&gt;=4,"A",IF('Data Source'!AA504&gt;=3.5,"A-",IF('Data Source'!AA504&gt;=3,"B",IF('Data Source'!AA504&gt;=2,"C",IF('Data Source'!AA504&gt;=1,"D","F")))))),"")</f>
        <v/>
      </c>
      <c r="J504" s="3">
        <f>IF(AND('Data Source'!B504&lt;&gt;"",'Data Source'!S504="A+"),IF('Data Source'!AB504&gt;=5,"A+",IF('Data Source'!AB504&gt;=4,"A",IF('Data Source'!AB504&gt;=3.5,"A-",IF('Data Source'!AB504&gt;=3,"B",IF('Data Source'!AB504&gt;=2,"C",IF('Data Source'!AB504&gt;=1,"D","F")))))),"")</f>
        <v/>
      </c>
      <c r="K504" s="3">
        <f>IF(AND('Data Source'!B504&lt;&gt;"",'Data Source'!S504="A+"),IF('Data Source'!AC504&gt;=5,"A+",IF('Data Source'!AC504&gt;=4,"A",IF('Data Source'!AC504&gt;=3.5,"A-",IF('Data Source'!AC504&gt;=3,"B",IF('Data Source'!AC504&gt;=2,"C",IF('Data Source'!AC504&gt;=1,"D","F")))))),"")</f>
        <v/>
      </c>
      <c r="L504" s="3">
        <f>IF(AND('Data Source'!B504&lt;&gt;"",'Data Source'!S504="A+"),IF('Data Source'!AD504&gt;=5,"A+",IF('Data Source'!AD504&gt;=4,"A",IF('Data Source'!AD504&gt;=3.5,"A-",IF('Data Source'!AD504&gt;=3,"B",IF('Data Source'!AD504&gt;=2,"C",IF('Data Source'!AD504&gt;=1,"D","F")))))),"")</f>
        <v/>
      </c>
      <c r="M504" s="3">
        <f>IF(AND('Data Source'!B504&lt;&gt;"",'Data Source'!S504="A+"),IF('Data Source'!AE504&gt;=5,"A+",IF('Data Source'!AE504&gt;=4,"A",IF('Data Source'!AE504&gt;=3.5,"A-",IF('Data Source'!AE504&gt;=3,"B",IF('Data Source'!AE504&gt;=2,"C",IF('Data Source'!AE504&gt;=1,"D","F")))))),"")</f>
        <v/>
      </c>
      <c r="N504" s="3">
        <f>IF(AND('Data Source'!B504&lt;&gt;"",'Data Source'!S504="A+"),IF('Data Source'!AF504&gt;=5,"A+",IF('Data Source'!AF504&gt;=4,"A",IF('Data Source'!AF504&gt;=3.5,"A-",IF('Data Source'!AF504&gt;=3,"B",IF('Data Source'!AF504&gt;=2,"C",IF('Data Source'!AF504&gt;=1,"D","F")))))),"")</f>
        <v/>
      </c>
      <c r="O504" s="3">
        <f>IF(AND('Data Source'!B504&lt;&gt;"",'Data Source'!S504="A+"),IF('Data Source'!AG504&gt;=5,"A+",IF('Data Source'!AG504&gt;=4,"A",IF('Data Source'!AG504&gt;=3.5,"A-",IF('Data Source'!AG504&gt;=3,"B",IF('Data Source'!AG504&gt;=2,"C",IF('Data Source'!AG504&gt;=1,"D","F")))))),"")</f>
        <v/>
      </c>
      <c r="P504" s="5">
        <f>IF(AND('Data Source'!B504&lt;&gt;"",'Data Source'!S504="A+"),'Data Source'!R504,"")</f>
        <v/>
      </c>
      <c r="Q504" s="3">
        <f>IF(AND('Data Source'!B504&lt;&gt;"",'Data Source'!S504="A+"),'Data Source'!S504,"")</f>
        <v/>
      </c>
    </row>
    <row r="505">
      <c r="A505" s="3">
        <f>IF(AND('Data Source'!B505&lt;&gt;"",'Data Source'!S505="A+"),COUNTIF('Data Source'!$S$3:S505,"A+"),"")</f>
        <v/>
      </c>
      <c r="B505">
        <f>IF(AND('Data Source'!B505&lt;&gt;"",'Data Source'!S505="A+"),'Data Source'!B505,"")</f>
        <v/>
      </c>
      <c r="C505" s="3">
        <f>IF(AND('Data Source'!B505&lt;&gt;"",'Data Source'!S505="A+"),IF('Data Source'!U505&gt;=5,"A+",IF('Data Source'!U505&gt;=4,"A",IF('Data Source'!U505&gt;=3.5,"A-",IF('Data Source'!U505&gt;=3,"B",IF('Data Source'!U505&gt;=2,"C",IF('Data Source'!U505&gt;=1,"D","F")))))),"")</f>
        <v/>
      </c>
      <c r="D505" s="3">
        <f>IF(AND('Data Source'!B505&lt;&gt;"",'Data Source'!S505="A+"),IF('Data Source'!V505&gt;=5,"A+",IF('Data Source'!V505&gt;=4,"A",IF('Data Source'!V505&gt;=3.5,"A-",IF('Data Source'!V505&gt;=3,"B",IF('Data Source'!V505&gt;=2,"C",IF('Data Source'!V505&gt;=1,"D","F")))))),"")</f>
        <v/>
      </c>
      <c r="E505" s="3">
        <f>IF(AND('Data Source'!B505&lt;&gt;"",'Data Source'!S505="A+"),IF('Data Source'!W505&gt;=5,"A+",IF('Data Source'!W505&gt;=4,"A",IF('Data Source'!W505&gt;=3.5,"A-",IF('Data Source'!W505&gt;=3,"B",IF('Data Source'!W505&gt;=2,"C",IF('Data Source'!W505&gt;=1,"D","F")))))),"")</f>
        <v/>
      </c>
      <c r="F505" s="3">
        <f>IF(AND('Data Source'!B505&lt;&gt;"",'Data Source'!S505="A+"),IF('Data Source'!X505&gt;=5,"A+",IF('Data Source'!X505&gt;=4,"A",IF('Data Source'!X505&gt;=3.5,"A-",IF('Data Source'!X505&gt;=3,"B",IF('Data Source'!X505&gt;=2,"C",IF('Data Source'!X505&gt;=1,"D","F")))))),"")</f>
        <v/>
      </c>
      <c r="G505" s="3">
        <f>IF(AND('Data Source'!B505&lt;&gt;"",'Data Source'!S505="A+"),IF('Data Source'!Y505&gt;=5,"A+",IF('Data Source'!Y505&gt;=4,"A",IF('Data Source'!Y505&gt;=3.5,"A-",IF('Data Source'!Y505&gt;=3,"B",IF('Data Source'!Y505&gt;=2,"C",IF('Data Source'!Y505&gt;=1,"D","F")))))),"")</f>
        <v/>
      </c>
      <c r="H505" s="3">
        <f>IF(AND('Data Source'!B505&lt;&gt;"",'Data Source'!S505="A+"),IF('Data Source'!Z505&gt;=5,"A+",IF('Data Source'!Z505&gt;=4,"A",IF('Data Source'!Z505&gt;=3.5,"A-",IF('Data Source'!Z505&gt;=3,"B",IF('Data Source'!Z505&gt;=2,"C",IF('Data Source'!Z505&gt;=1,"D","F")))))),"")</f>
        <v/>
      </c>
      <c r="I505" s="3">
        <f>IF(AND('Data Source'!B505&lt;&gt;"",'Data Source'!S505="A+"),IF('Data Source'!AA505&gt;=5,"A+",IF('Data Source'!AA505&gt;=4,"A",IF('Data Source'!AA505&gt;=3.5,"A-",IF('Data Source'!AA505&gt;=3,"B",IF('Data Source'!AA505&gt;=2,"C",IF('Data Source'!AA505&gt;=1,"D","F")))))),"")</f>
        <v/>
      </c>
      <c r="J505" s="3">
        <f>IF(AND('Data Source'!B505&lt;&gt;"",'Data Source'!S505="A+"),IF('Data Source'!AB505&gt;=5,"A+",IF('Data Source'!AB505&gt;=4,"A",IF('Data Source'!AB505&gt;=3.5,"A-",IF('Data Source'!AB505&gt;=3,"B",IF('Data Source'!AB505&gt;=2,"C",IF('Data Source'!AB505&gt;=1,"D","F")))))),"")</f>
        <v/>
      </c>
      <c r="K505" s="3">
        <f>IF(AND('Data Source'!B505&lt;&gt;"",'Data Source'!S505="A+"),IF('Data Source'!AC505&gt;=5,"A+",IF('Data Source'!AC505&gt;=4,"A",IF('Data Source'!AC505&gt;=3.5,"A-",IF('Data Source'!AC505&gt;=3,"B",IF('Data Source'!AC505&gt;=2,"C",IF('Data Source'!AC505&gt;=1,"D","F")))))),"")</f>
        <v/>
      </c>
      <c r="L505" s="3">
        <f>IF(AND('Data Source'!B505&lt;&gt;"",'Data Source'!S505="A+"),IF('Data Source'!AD505&gt;=5,"A+",IF('Data Source'!AD505&gt;=4,"A",IF('Data Source'!AD505&gt;=3.5,"A-",IF('Data Source'!AD505&gt;=3,"B",IF('Data Source'!AD505&gt;=2,"C",IF('Data Source'!AD505&gt;=1,"D","F")))))),"")</f>
        <v/>
      </c>
      <c r="M505" s="3">
        <f>IF(AND('Data Source'!B505&lt;&gt;"",'Data Source'!S505="A+"),IF('Data Source'!AE505&gt;=5,"A+",IF('Data Source'!AE505&gt;=4,"A",IF('Data Source'!AE505&gt;=3.5,"A-",IF('Data Source'!AE505&gt;=3,"B",IF('Data Source'!AE505&gt;=2,"C",IF('Data Source'!AE505&gt;=1,"D","F")))))),"")</f>
        <v/>
      </c>
      <c r="N505" s="3">
        <f>IF(AND('Data Source'!B505&lt;&gt;"",'Data Source'!S505="A+"),IF('Data Source'!AF505&gt;=5,"A+",IF('Data Source'!AF505&gt;=4,"A",IF('Data Source'!AF505&gt;=3.5,"A-",IF('Data Source'!AF505&gt;=3,"B",IF('Data Source'!AF505&gt;=2,"C",IF('Data Source'!AF505&gt;=1,"D","F")))))),"")</f>
        <v/>
      </c>
      <c r="O505" s="3">
        <f>IF(AND('Data Source'!B505&lt;&gt;"",'Data Source'!S505="A+"),IF('Data Source'!AG505&gt;=5,"A+",IF('Data Source'!AG505&gt;=4,"A",IF('Data Source'!AG505&gt;=3.5,"A-",IF('Data Source'!AG505&gt;=3,"B",IF('Data Source'!AG505&gt;=2,"C",IF('Data Source'!AG505&gt;=1,"D","F")))))),"")</f>
        <v/>
      </c>
      <c r="P505" s="5">
        <f>IF(AND('Data Source'!B505&lt;&gt;"",'Data Source'!S505="A+"),'Data Source'!R505,"")</f>
        <v/>
      </c>
      <c r="Q505" s="3">
        <f>IF(AND('Data Source'!B505&lt;&gt;"",'Data Source'!S505="A+"),'Data Source'!S505,"")</f>
        <v/>
      </c>
    </row>
    <row r="506">
      <c r="A506" s="3">
        <f>IF(AND('Data Source'!B506&lt;&gt;"",'Data Source'!S506="A+"),COUNTIF('Data Source'!$S$3:S506,"A+"),"")</f>
        <v/>
      </c>
      <c r="B506">
        <f>IF(AND('Data Source'!B506&lt;&gt;"",'Data Source'!S506="A+"),'Data Source'!B506,"")</f>
        <v/>
      </c>
      <c r="C506" s="3">
        <f>IF(AND('Data Source'!B506&lt;&gt;"",'Data Source'!S506="A+"),IF('Data Source'!U506&gt;=5,"A+",IF('Data Source'!U506&gt;=4,"A",IF('Data Source'!U506&gt;=3.5,"A-",IF('Data Source'!U506&gt;=3,"B",IF('Data Source'!U506&gt;=2,"C",IF('Data Source'!U506&gt;=1,"D","F")))))),"")</f>
        <v/>
      </c>
      <c r="D506" s="3">
        <f>IF(AND('Data Source'!B506&lt;&gt;"",'Data Source'!S506="A+"),IF('Data Source'!V506&gt;=5,"A+",IF('Data Source'!V506&gt;=4,"A",IF('Data Source'!V506&gt;=3.5,"A-",IF('Data Source'!V506&gt;=3,"B",IF('Data Source'!V506&gt;=2,"C",IF('Data Source'!V506&gt;=1,"D","F")))))),"")</f>
        <v/>
      </c>
      <c r="E506" s="3">
        <f>IF(AND('Data Source'!B506&lt;&gt;"",'Data Source'!S506="A+"),IF('Data Source'!W506&gt;=5,"A+",IF('Data Source'!W506&gt;=4,"A",IF('Data Source'!W506&gt;=3.5,"A-",IF('Data Source'!W506&gt;=3,"B",IF('Data Source'!W506&gt;=2,"C",IF('Data Source'!W506&gt;=1,"D","F")))))),"")</f>
        <v/>
      </c>
      <c r="F506" s="3">
        <f>IF(AND('Data Source'!B506&lt;&gt;"",'Data Source'!S506="A+"),IF('Data Source'!X506&gt;=5,"A+",IF('Data Source'!X506&gt;=4,"A",IF('Data Source'!X506&gt;=3.5,"A-",IF('Data Source'!X506&gt;=3,"B",IF('Data Source'!X506&gt;=2,"C",IF('Data Source'!X506&gt;=1,"D","F")))))),"")</f>
        <v/>
      </c>
      <c r="G506" s="3">
        <f>IF(AND('Data Source'!B506&lt;&gt;"",'Data Source'!S506="A+"),IF('Data Source'!Y506&gt;=5,"A+",IF('Data Source'!Y506&gt;=4,"A",IF('Data Source'!Y506&gt;=3.5,"A-",IF('Data Source'!Y506&gt;=3,"B",IF('Data Source'!Y506&gt;=2,"C",IF('Data Source'!Y506&gt;=1,"D","F")))))),"")</f>
        <v/>
      </c>
      <c r="H506" s="3">
        <f>IF(AND('Data Source'!B506&lt;&gt;"",'Data Source'!S506="A+"),IF('Data Source'!Z506&gt;=5,"A+",IF('Data Source'!Z506&gt;=4,"A",IF('Data Source'!Z506&gt;=3.5,"A-",IF('Data Source'!Z506&gt;=3,"B",IF('Data Source'!Z506&gt;=2,"C",IF('Data Source'!Z506&gt;=1,"D","F")))))),"")</f>
        <v/>
      </c>
      <c r="I506" s="3">
        <f>IF(AND('Data Source'!B506&lt;&gt;"",'Data Source'!S506="A+"),IF('Data Source'!AA506&gt;=5,"A+",IF('Data Source'!AA506&gt;=4,"A",IF('Data Source'!AA506&gt;=3.5,"A-",IF('Data Source'!AA506&gt;=3,"B",IF('Data Source'!AA506&gt;=2,"C",IF('Data Source'!AA506&gt;=1,"D","F")))))),"")</f>
        <v/>
      </c>
      <c r="J506" s="3">
        <f>IF(AND('Data Source'!B506&lt;&gt;"",'Data Source'!S506="A+"),IF('Data Source'!AB506&gt;=5,"A+",IF('Data Source'!AB506&gt;=4,"A",IF('Data Source'!AB506&gt;=3.5,"A-",IF('Data Source'!AB506&gt;=3,"B",IF('Data Source'!AB506&gt;=2,"C",IF('Data Source'!AB506&gt;=1,"D","F")))))),"")</f>
        <v/>
      </c>
      <c r="K506" s="3">
        <f>IF(AND('Data Source'!B506&lt;&gt;"",'Data Source'!S506="A+"),IF('Data Source'!AC506&gt;=5,"A+",IF('Data Source'!AC506&gt;=4,"A",IF('Data Source'!AC506&gt;=3.5,"A-",IF('Data Source'!AC506&gt;=3,"B",IF('Data Source'!AC506&gt;=2,"C",IF('Data Source'!AC506&gt;=1,"D","F")))))),"")</f>
        <v/>
      </c>
      <c r="L506" s="3">
        <f>IF(AND('Data Source'!B506&lt;&gt;"",'Data Source'!S506="A+"),IF('Data Source'!AD506&gt;=5,"A+",IF('Data Source'!AD506&gt;=4,"A",IF('Data Source'!AD506&gt;=3.5,"A-",IF('Data Source'!AD506&gt;=3,"B",IF('Data Source'!AD506&gt;=2,"C",IF('Data Source'!AD506&gt;=1,"D","F")))))),"")</f>
        <v/>
      </c>
      <c r="M506" s="3">
        <f>IF(AND('Data Source'!B506&lt;&gt;"",'Data Source'!S506="A+"),IF('Data Source'!AE506&gt;=5,"A+",IF('Data Source'!AE506&gt;=4,"A",IF('Data Source'!AE506&gt;=3.5,"A-",IF('Data Source'!AE506&gt;=3,"B",IF('Data Source'!AE506&gt;=2,"C",IF('Data Source'!AE506&gt;=1,"D","F")))))),"")</f>
        <v/>
      </c>
      <c r="N506" s="3">
        <f>IF(AND('Data Source'!B506&lt;&gt;"",'Data Source'!S506="A+"),IF('Data Source'!AF506&gt;=5,"A+",IF('Data Source'!AF506&gt;=4,"A",IF('Data Source'!AF506&gt;=3.5,"A-",IF('Data Source'!AF506&gt;=3,"B",IF('Data Source'!AF506&gt;=2,"C",IF('Data Source'!AF506&gt;=1,"D","F")))))),"")</f>
        <v/>
      </c>
      <c r="O506" s="3">
        <f>IF(AND('Data Source'!B506&lt;&gt;"",'Data Source'!S506="A+"),IF('Data Source'!AG506&gt;=5,"A+",IF('Data Source'!AG506&gt;=4,"A",IF('Data Source'!AG506&gt;=3.5,"A-",IF('Data Source'!AG506&gt;=3,"B",IF('Data Source'!AG506&gt;=2,"C",IF('Data Source'!AG506&gt;=1,"D","F")))))),"")</f>
        <v/>
      </c>
      <c r="P506" s="5">
        <f>IF(AND('Data Source'!B506&lt;&gt;"",'Data Source'!S506="A+"),'Data Source'!R506,"")</f>
        <v/>
      </c>
      <c r="Q506" s="3">
        <f>IF(AND('Data Source'!B506&lt;&gt;"",'Data Source'!S506="A+"),'Data Source'!S506,"")</f>
        <v/>
      </c>
    </row>
    <row r="507">
      <c r="A507" s="3">
        <f>IF(AND('Data Source'!B507&lt;&gt;"",'Data Source'!S507="A+"),COUNTIF('Data Source'!$S$3:S507,"A+"),"")</f>
        <v/>
      </c>
      <c r="B507">
        <f>IF(AND('Data Source'!B507&lt;&gt;"",'Data Source'!S507="A+"),'Data Source'!B507,"")</f>
        <v/>
      </c>
      <c r="C507" s="3">
        <f>IF(AND('Data Source'!B507&lt;&gt;"",'Data Source'!S507="A+"),IF('Data Source'!U507&gt;=5,"A+",IF('Data Source'!U507&gt;=4,"A",IF('Data Source'!U507&gt;=3.5,"A-",IF('Data Source'!U507&gt;=3,"B",IF('Data Source'!U507&gt;=2,"C",IF('Data Source'!U507&gt;=1,"D","F")))))),"")</f>
        <v/>
      </c>
      <c r="D507" s="3">
        <f>IF(AND('Data Source'!B507&lt;&gt;"",'Data Source'!S507="A+"),IF('Data Source'!V507&gt;=5,"A+",IF('Data Source'!V507&gt;=4,"A",IF('Data Source'!V507&gt;=3.5,"A-",IF('Data Source'!V507&gt;=3,"B",IF('Data Source'!V507&gt;=2,"C",IF('Data Source'!V507&gt;=1,"D","F")))))),"")</f>
        <v/>
      </c>
      <c r="E507" s="3">
        <f>IF(AND('Data Source'!B507&lt;&gt;"",'Data Source'!S507="A+"),IF('Data Source'!W507&gt;=5,"A+",IF('Data Source'!W507&gt;=4,"A",IF('Data Source'!W507&gt;=3.5,"A-",IF('Data Source'!W507&gt;=3,"B",IF('Data Source'!W507&gt;=2,"C",IF('Data Source'!W507&gt;=1,"D","F")))))),"")</f>
        <v/>
      </c>
      <c r="F507" s="3">
        <f>IF(AND('Data Source'!B507&lt;&gt;"",'Data Source'!S507="A+"),IF('Data Source'!X507&gt;=5,"A+",IF('Data Source'!X507&gt;=4,"A",IF('Data Source'!X507&gt;=3.5,"A-",IF('Data Source'!X507&gt;=3,"B",IF('Data Source'!X507&gt;=2,"C",IF('Data Source'!X507&gt;=1,"D","F")))))),"")</f>
        <v/>
      </c>
      <c r="G507" s="3">
        <f>IF(AND('Data Source'!B507&lt;&gt;"",'Data Source'!S507="A+"),IF('Data Source'!Y507&gt;=5,"A+",IF('Data Source'!Y507&gt;=4,"A",IF('Data Source'!Y507&gt;=3.5,"A-",IF('Data Source'!Y507&gt;=3,"B",IF('Data Source'!Y507&gt;=2,"C",IF('Data Source'!Y507&gt;=1,"D","F")))))),"")</f>
        <v/>
      </c>
      <c r="H507" s="3">
        <f>IF(AND('Data Source'!B507&lt;&gt;"",'Data Source'!S507="A+"),IF('Data Source'!Z507&gt;=5,"A+",IF('Data Source'!Z507&gt;=4,"A",IF('Data Source'!Z507&gt;=3.5,"A-",IF('Data Source'!Z507&gt;=3,"B",IF('Data Source'!Z507&gt;=2,"C",IF('Data Source'!Z507&gt;=1,"D","F")))))),"")</f>
        <v/>
      </c>
      <c r="I507" s="3">
        <f>IF(AND('Data Source'!B507&lt;&gt;"",'Data Source'!S507="A+"),IF('Data Source'!AA507&gt;=5,"A+",IF('Data Source'!AA507&gt;=4,"A",IF('Data Source'!AA507&gt;=3.5,"A-",IF('Data Source'!AA507&gt;=3,"B",IF('Data Source'!AA507&gt;=2,"C",IF('Data Source'!AA507&gt;=1,"D","F")))))),"")</f>
        <v/>
      </c>
      <c r="J507" s="3">
        <f>IF(AND('Data Source'!B507&lt;&gt;"",'Data Source'!S507="A+"),IF('Data Source'!AB507&gt;=5,"A+",IF('Data Source'!AB507&gt;=4,"A",IF('Data Source'!AB507&gt;=3.5,"A-",IF('Data Source'!AB507&gt;=3,"B",IF('Data Source'!AB507&gt;=2,"C",IF('Data Source'!AB507&gt;=1,"D","F")))))),"")</f>
        <v/>
      </c>
      <c r="K507" s="3">
        <f>IF(AND('Data Source'!B507&lt;&gt;"",'Data Source'!S507="A+"),IF('Data Source'!AC507&gt;=5,"A+",IF('Data Source'!AC507&gt;=4,"A",IF('Data Source'!AC507&gt;=3.5,"A-",IF('Data Source'!AC507&gt;=3,"B",IF('Data Source'!AC507&gt;=2,"C",IF('Data Source'!AC507&gt;=1,"D","F")))))),"")</f>
        <v/>
      </c>
      <c r="L507" s="3">
        <f>IF(AND('Data Source'!B507&lt;&gt;"",'Data Source'!S507="A+"),IF('Data Source'!AD507&gt;=5,"A+",IF('Data Source'!AD507&gt;=4,"A",IF('Data Source'!AD507&gt;=3.5,"A-",IF('Data Source'!AD507&gt;=3,"B",IF('Data Source'!AD507&gt;=2,"C",IF('Data Source'!AD507&gt;=1,"D","F")))))),"")</f>
        <v/>
      </c>
      <c r="M507" s="3">
        <f>IF(AND('Data Source'!B507&lt;&gt;"",'Data Source'!S507="A+"),IF('Data Source'!AE507&gt;=5,"A+",IF('Data Source'!AE507&gt;=4,"A",IF('Data Source'!AE507&gt;=3.5,"A-",IF('Data Source'!AE507&gt;=3,"B",IF('Data Source'!AE507&gt;=2,"C",IF('Data Source'!AE507&gt;=1,"D","F")))))),"")</f>
        <v/>
      </c>
      <c r="N507" s="3">
        <f>IF(AND('Data Source'!B507&lt;&gt;"",'Data Source'!S507="A+"),IF('Data Source'!AF507&gt;=5,"A+",IF('Data Source'!AF507&gt;=4,"A",IF('Data Source'!AF507&gt;=3.5,"A-",IF('Data Source'!AF507&gt;=3,"B",IF('Data Source'!AF507&gt;=2,"C",IF('Data Source'!AF507&gt;=1,"D","F")))))),"")</f>
        <v/>
      </c>
      <c r="O507" s="3">
        <f>IF(AND('Data Source'!B507&lt;&gt;"",'Data Source'!S507="A+"),IF('Data Source'!AG507&gt;=5,"A+",IF('Data Source'!AG507&gt;=4,"A",IF('Data Source'!AG507&gt;=3.5,"A-",IF('Data Source'!AG507&gt;=3,"B",IF('Data Source'!AG507&gt;=2,"C",IF('Data Source'!AG507&gt;=1,"D","F")))))),"")</f>
        <v/>
      </c>
      <c r="P507" s="5">
        <f>IF(AND('Data Source'!B507&lt;&gt;"",'Data Source'!S507="A+"),'Data Source'!R507,"")</f>
        <v/>
      </c>
      <c r="Q507" s="3">
        <f>IF(AND('Data Source'!B507&lt;&gt;"",'Data Source'!S507="A+"),'Data Source'!S507,"")</f>
        <v/>
      </c>
    </row>
    <row r="508">
      <c r="A508" s="3">
        <f>IF(AND('Data Source'!B508&lt;&gt;"",'Data Source'!S508="A+"),COUNTIF('Data Source'!$S$3:S508,"A+"),"")</f>
        <v/>
      </c>
      <c r="B508">
        <f>IF(AND('Data Source'!B508&lt;&gt;"",'Data Source'!S508="A+"),'Data Source'!B508,"")</f>
        <v/>
      </c>
      <c r="C508" s="3">
        <f>IF(AND('Data Source'!B508&lt;&gt;"",'Data Source'!S508="A+"),IF('Data Source'!U508&gt;=5,"A+",IF('Data Source'!U508&gt;=4,"A",IF('Data Source'!U508&gt;=3.5,"A-",IF('Data Source'!U508&gt;=3,"B",IF('Data Source'!U508&gt;=2,"C",IF('Data Source'!U508&gt;=1,"D","F")))))),"")</f>
        <v/>
      </c>
      <c r="D508" s="3">
        <f>IF(AND('Data Source'!B508&lt;&gt;"",'Data Source'!S508="A+"),IF('Data Source'!V508&gt;=5,"A+",IF('Data Source'!V508&gt;=4,"A",IF('Data Source'!V508&gt;=3.5,"A-",IF('Data Source'!V508&gt;=3,"B",IF('Data Source'!V508&gt;=2,"C",IF('Data Source'!V508&gt;=1,"D","F")))))),"")</f>
        <v/>
      </c>
      <c r="E508" s="3">
        <f>IF(AND('Data Source'!B508&lt;&gt;"",'Data Source'!S508="A+"),IF('Data Source'!W508&gt;=5,"A+",IF('Data Source'!W508&gt;=4,"A",IF('Data Source'!W508&gt;=3.5,"A-",IF('Data Source'!W508&gt;=3,"B",IF('Data Source'!W508&gt;=2,"C",IF('Data Source'!W508&gt;=1,"D","F")))))),"")</f>
        <v/>
      </c>
      <c r="F508" s="3">
        <f>IF(AND('Data Source'!B508&lt;&gt;"",'Data Source'!S508="A+"),IF('Data Source'!X508&gt;=5,"A+",IF('Data Source'!X508&gt;=4,"A",IF('Data Source'!X508&gt;=3.5,"A-",IF('Data Source'!X508&gt;=3,"B",IF('Data Source'!X508&gt;=2,"C",IF('Data Source'!X508&gt;=1,"D","F")))))),"")</f>
        <v/>
      </c>
      <c r="G508" s="3">
        <f>IF(AND('Data Source'!B508&lt;&gt;"",'Data Source'!S508="A+"),IF('Data Source'!Y508&gt;=5,"A+",IF('Data Source'!Y508&gt;=4,"A",IF('Data Source'!Y508&gt;=3.5,"A-",IF('Data Source'!Y508&gt;=3,"B",IF('Data Source'!Y508&gt;=2,"C",IF('Data Source'!Y508&gt;=1,"D","F")))))),"")</f>
        <v/>
      </c>
      <c r="H508" s="3">
        <f>IF(AND('Data Source'!B508&lt;&gt;"",'Data Source'!S508="A+"),IF('Data Source'!Z508&gt;=5,"A+",IF('Data Source'!Z508&gt;=4,"A",IF('Data Source'!Z508&gt;=3.5,"A-",IF('Data Source'!Z508&gt;=3,"B",IF('Data Source'!Z508&gt;=2,"C",IF('Data Source'!Z508&gt;=1,"D","F")))))),"")</f>
        <v/>
      </c>
      <c r="I508" s="3">
        <f>IF(AND('Data Source'!B508&lt;&gt;"",'Data Source'!S508="A+"),IF('Data Source'!AA508&gt;=5,"A+",IF('Data Source'!AA508&gt;=4,"A",IF('Data Source'!AA508&gt;=3.5,"A-",IF('Data Source'!AA508&gt;=3,"B",IF('Data Source'!AA508&gt;=2,"C",IF('Data Source'!AA508&gt;=1,"D","F")))))),"")</f>
        <v/>
      </c>
      <c r="J508" s="3">
        <f>IF(AND('Data Source'!B508&lt;&gt;"",'Data Source'!S508="A+"),IF('Data Source'!AB508&gt;=5,"A+",IF('Data Source'!AB508&gt;=4,"A",IF('Data Source'!AB508&gt;=3.5,"A-",IF('Data Source'!AB508&gt;=3,"B",IF('Data Source'!AB508&gt;=2,"C",IF('Data Source'!AB508&gt;=1,"D","F")))))),"")</f>
        <v/>
      </c>
      <c r="K508" s="3">
        <f>IF(AND('Data Source'!B508&lt;&gt;"",'Data Source'!S508="A+"),IF('Data Source'!AC508&gt;=5,"A+",IF('Data Source'!AC508&gt;=4,"A",IF('Data Source'!AC508&gt;=3.5,"A-",IF('Data Source'!AC508&gt;=3,"B",IF('Data Source'!AC508&gt;=2,"C",IF('Data Source'!AC508&gt;=1,"D","F")))))),"")</f>
        <v/>
      </c>
      <c r="L508" s="3">
        <f>IF(AND('Data Source'!B508&lt;&gt;"",'Data Source'!S508="A+"),IF('Data Source'!AD508&gt;=5,"A+",IF('Data Source'!AD508&gt;=4,"A",IF('Data Source'!AD508&gt;=3.5,"A-",IF('Data Source'!AD508&gt;=3,"B",IF('Data Source'!AD508&gt;=2,"C",IF('Data Source'!AD508&gt;=1,"D","F")))))),"")</f>
        <v/>
      </c>
      <c r="M508" s="3">
        <f>IF(AND('Data Source'!B508&lt;&gt;"",'Data Source'!S508="A+"),IF('Data Source'!AE508&gt;=5,"A+",IF('Data Source'!AE508&gt;=4,"A",IF('Data Source'!AE508&gt;=3.5,"A-",IF('Data Source'!AE508&gt;=3,"B",IF('Data Source'!AE508&gt;=2,"C",IF('Data Source'!AE508&gt;=1,"D","F")))))),"")</f>
        <v/>
      </c>
      <c r="N508" s="3">
        <f>IF(AND('Data Source'!B508&lt;&gt;"",'Data Source'!S508="A+"),IF('Data Source'!AF508&gt;=5,"A+",IF('Data Source'!AF508&gt;=4,"A",IF('Data Source'!AF508&gt;=3.5,"A-",IF('Data Source'!AF508&gt;=3,"B",IF('Data Source'!AF508&gt;=2,"C",IF('Data Source'!AF508&gt;=1,"D","F")))))),"")</f>
        <v/>
      </c>
      <c r="O508" s="3">
        <f>IF(AND('Data Source'!B508&lt;&gt;"",'Data Source'!S508="A+"),IF('Data Source'!AG508&gt;=5,"A+",IF('Data Source'!AG508&gt;=4,"A",IF('Data Source'!AG508&gt;=3.5,"A-",IF('Data Source'!AG508&gt;=3,"B",IF('Data Source'!AG508&gt;=2,"C",IF('Data Source'!AG508&gt;=1,"D","F")))))),"")</f>
        <v/>
      </c>
      <c r="P508" s="5">
        <f>IF(AND('Data Source'!B508&lt;&gt;"",'Data Source'!S508="A+"),'Data Source'!R508,"")</f>
        <v/>
      </c>
      <c r="Q508" s="3">
        <f>IF(AND('Data Source'!B508&lt;&gt;"",'Data Source'!S508="A+"),'Data Source'!S508,"")</f>
        <v/>
      </c>
    </row>
    <row r="509">
      <c r="A509" s="3">
        <f>IF(AND('Data Source'!B509&lt;&gt;"",'Data Source'!S509="A+"),COUNTIF('Data Source'!$S$3:S509,"A+"),"")</f>
        <v/>
      </c>
      <c r="B509">
        <f>IF(AND('Data Source'!B509&lt;&gt;"",'Data Source'!S509="A+"),'Data Source'!B509,"")</f>
        <v/>
      </c>
      <c r="C509" s="3">
        <f>IF(AND('Data Source'!B509&lt;&gt;"",'Data Source'!S509="A+"),IF('Data Source'!U509&gt;=5,"A+",IF('Data Source'!U509&gt;=4,"A",IF('Data Source'!U509&gt;=3.5,"A-",IF('Data Source'!U509&gt;=3,"B",IF('Data Source'!U509&gt;=2,"C",IF('Data Source'!U509&gt;=1,"D","F")))))),"")</f>
        <v/>
      </c>
      <c r="D509" s="3">
        <f>IF(AND('Data Source'!B509&lt;&gt;"",'Data Source'!S509="A+"),IF('Data Source'!V509&gt;=5,"A+",IF('Data Source'!V509&gt;=4,"A",IF('Data Source'!V509&gt;=3.5,"A-",IF('Data Source'!V509&gt;=3,"B",IF('Data Source'!V509&gt;=2,"C",IF('Data Source'!V509&gt;=1,"D","F")))))),"")</f>
        <v/>
      </c>
      <c r="E509" s="3">
        <f>IF(AND('Data Source'!B509&lt;&gt;"",'Data Source'!S509="A+"),IF('Data Source'!W509&gt;=5,"A+",IF('Data Source'!W509&gt;=4,"A",IF('Data Source'!W509&gt;=3.5,"A-",IF('Data Source'!W509&gt;=3,"B",IF('Data Source'!W509&gt;=2,"C",IF('Data Source'!W509&gt;=1,"D","F")))))),"")</f>
        <v/>
      </c>
      <c r="F509" s="3">
        <f>IF(AND('Data Source'!B509&lt;&gt;"",'Data Source'!S509="A+"),IF('Data Source'!X509&gt;=5,"A+",IF('Data Source'!X509&gt;=4,"A",IF('Data Source'!X509&gt;=3.5,"A-",IF('Data Source'!X509&gt;=3,"B",IF('Data Source'!X509&gt;=2,"C",IF('Data Source'!X509&gt;=1,"D","F")))))),"")</f>
        <v/>
      </c>
      <c r="G509" s="3">
        <f>IF(AND('Data Source'!B509&lt;&gt;"",'Data Source'!S509="A+"),IF('Data Source'!Y509&gt;=5,"A+",IF('Data Source'!Y509&gt;=4,"A",IF('Data Source'!Y509&gt;=3.5,"A-",IF('Data Source'!Y509&gt;=3,"B",IF('Data Source'!Y509&gt;=2,"C",IF('Data Source'!Y509&gt;=1,"D","F")))))),"")</f>
        <v/>
      </c>
      <c r="H509" s="3">
        <f>IF(AND('Data Source'!B509&lt;&gt;"",'Data Source'!S509="A+"),IF('Data Source'!Z509&gt;=5,"A+",IF('Data Source'!Z509&gt;=4,"A",IF('Data Source'!Z509&gt;=3.5,"A-",IF('Data Source'!Z509&gt;=3,"B",IF('Data Source'!Z509&gt;=2,"C",IF('Data Source'!Z509&gt;=1,"D","F")))))),"")</f>
        <v/>
      </c>
      <c r="I509" s="3">
        <f>IF(AND('Data Source'!B509&lt;&gt;"",'Data Source'!S509="A+"),IF('Data Source'!AA509&gt;=5,"A+",IF('Data Source'!AA509&gt;=4,"A",IF('Data Source'!AA509&gt;=3.5,"A-",IF('Data Source'!AA509&gt;=3,"B",IF('Data Source'!AA509&gt;=2,"C",IF('Data Source'!AA509&gt;=1,"D","F")))))),"")</f>
        <v/>
      </c>
      <c r="J509" s="3">
        <f>IF(AND('Data Source'!B509&lt;&gt;"",'Data Source'!S509="A+"),IF('Data Source'!AB509&gt;=5,"A+",IF('Data Source'!AB509&gt;=4,"A",IF('Data Source'!AB509&gt;=3.5,"A-",IF('Data Source'!AB509&gt;=3,"B",IF('Data Source'!AB509&gt;=2,"C",IF('Data Source'!AB509&gt;=1,"D","F")))))),"")</f>
        <v/>
      </c>
      <c r="K509" s="3">
        <f>IF(AND('Data Source'!B509&lt;&gt;"",'Data Source'!S509="A+"),IF('Data Source'!AC509&gt;=5,"A+",IF('Data Source'!AC509&gt;=4,"A",IF('Data Source'!AC509&gt;=3.5,"A-",IF('Data Source'!AC509&gt;=3,"B",IF('Data Source'!AC509&gt;=2,"C",IF('Data Source'!AC509&gt;=1,"D","F")))))),"")</f>
        <v/>
      </c>
      <c r="L509" s="3">
        <f>IF(AND('Data Source'!B509&lt;&gt;"",'Data Source'!S509="A+"),IF('Data Source'!AD509&gt;=5,"A+",IF('Data Source'!AD509&gt;=4,"A",IF('Data Source'!AD509&gt;=3.5,"A-",IF('Data Source'!AD509&gt;=3,"B",IF('Data Source'!AD509&gt;=2,"C",IF('Data Source'!AD509&gt;=1,"D","F")))))),"")</f>
        <v/>
      </c>
      <c r="M509" s="3">
        <f>IF(AND('Data Source'!B509&lt;&gt;"",'Data Source'!S509="A+"),IF('Data Source'!AE509&gt;=5,"A+",IF('Data Source'!AE509&gt;=4,"A",IF('Data Source'!AE509&gt;=3.5,"A-",IF('Data Source'!AE509&gt;=3,"B",IF('Data Source'!AE509&gt;=2,"C",IF('Data Source'!AE509&gt;=1,"D","F")))))),"")</f>
        <v/>
      </c>
      <c r="N509" s="3">
        <f>IF(AND('Data Source'!B509&lt;&gt;"",'Data Source'!S509="A+"),IF('Data Source'!AF509&gt;=5,"A+",IF('Data Source'!AF509&gt;=4,"A",IF('Data Source'!AF509&gt;=3.5,"A-",IF('Data Source'!AF509&gt;=3,"B",IF('Data Source'!AF509&gt;=2,"C",IF('Data Source'!AF509&gt;=1,"D","F")))))),"")</f>
        <v/>
      </c>
      <c r="O509" s="3">
        <f>IF(AND('Data Source'!B509&lt;&gt;"",'Data Source'!S509="A+"),IF('Data Source'!AG509&gt;=5,"A+",IF('Data Source'!AG509&gt;=4,"A",IF('Data Source'!AG509&gt;=3.5,"A-",IF('Data Source'!AG509&gt;=3,"B",IF('Data Source'!AG509&gt;=2,"C",IF('Data Source'!AG509&gt;=1,"D","F")))))),"")</f>
        <v/>
      </c>
      <c r="P509" s="5">
        <f>IF(AND('Data Source'!B509&lt;&gt;"",'Data Source'!S509="A+"),'Data Source'!R509,"")</f>
        <v/>
      </c>
      <c r="Q509" s="3">
        <f>IF(AND('Data Source'!B509&lt;&gt;"",'Data Source'!S509="A+"),'Data Source'!S509,"")</f>
        <v/>
      </c>
    </row>
    <row r="510">
      <c r="A510" s="3">
        <f>IF(AND('Data Source'!B510&lt;&gt;"",'Data Source'!S510="A+"),COUNTIF('Data Source'!$S$3:S510,"A+"),"")</f>
        <v/>
      </c>
      <c r="B510">
        <f>IF(AND('Data Source'!B510&lt;&gt;"",'Data Source'!S510="A+"),'Data Source'!B510,"")</f>
        <v/>
      </c>
      <c r="C510" s="3">
        <f>IF(AND('Data Source'!B510&lt;&gt;"",'Data Source'!S510="A+"),IF('Data Source'!U510&gt;=5,"A+",IF('Data Source'!U510&gt;=4,"A",IF('Data Source'!U510&gt;=3.5,"A-",IF('Data Source'!U510&gt;=3,"B",IF('Data Source'!U510&gt;=2,"C",IF('Data Source'!U510&gt;=1,"D","F")))))),"")</f>
        <v/>
      </c>
      <c r="D510" s="3">
        <f>IF(AND('Data Source'!B510&lt;&gt;"",'Data Source'!S510="A+"),IF('Data Source'!V510&gt;=5,"A+",IF('Data Source'!V510&gt;=4,"A",IF('Data Source'!V510&gt;=3.5,"A-",IF('Data Source'!V510&gt;=3,"B",IF('Data Source'!V510&gt;=2,"C",IF('Data Source'!V510&gt;=1,"D","F")))))),"")</f>
        <v/>
      </c>
      <c r="E510" s="3">
        <f>IF(AND('Data Source'!B510&lt;&gt;"",'Data Source'!S510="A+"),IF('Data Source'!W510&gt;=5,"A+",IF('Data Source'!W510&gt;=4,"A",IF('Data Source'!W510&gt;=3.5,"A-",IF('Data Source'!W510&gt;=3,"B",IF('Data Source'!W510&gt;=2,"C",IF('Data Source'!W510&gt;=1,"D","F")))))),"")</f>
        <v/>
      </c>
      <c r="F510" s="3">
        <f>IF(AND('Data Source'!B510&lt;&gt;"",'Data Source'!S510="A+"),IF('Data Source'!X510&gt;=5,"A+",IF('Data Source'!X510&gt;=4,"A",IF('Data Source'!X510&gt;=3.5,"A-",IF('Data Source'!X510&gt;=3,"B",IF('Data Source'!X510&gt;=2,"C",IF('Data Source'!X510&gt;=1,"D","F")))))),"")</f>
        <v/>
      </c>
      <c r="G510" s="3">
        <f>IF(AND('Data Source'!B510&lt;&gt;"",'Data Source'!S510="A+"),IF('Data Source'!Y510&gt;=5,"A+",IF('Data Source'!Y510&gt;=4,"A",IF('Data Source'!Y510&gt;=3.5,"A-",IF('Data Source'!Y510&gt;=3,"B",IF('Data Source'!Y510&gt;=2,"C",IF('Data Source'!Y510&gt;=1,"D","F")))))),"")</f>
        <v/>
      </c>
      <c r="H510" s="3">
        <f>IF(AND('Data Source'!B510&lt;&gt;"",'Data Source'!S510="A+"),IF('Data Source'!Z510&gt;=5,"A+",IF('Data Source'!Z510&gt;=4,"A",IF('Data Source'!Z510&gt;=3.5,"A-",IF('Data Source'!Z510&gt;=3,"B",IF('Data Source'!Z510&gt;=2,"C",IF('Data Source'!Z510&gt;=1,"D","F")))))),"")</f>
        <v/>
      </c>
      <c r="I510" s="3">
        <f>IF(AND('Data Source'!B510&lt;&gt;"",'Data Source'!S510="A+"),IF('Data Source'!AA510&gt;=5,"A+",IF('Data Source'!AA510&gt;=4,"A",IF('Data Source'!AA510&gt;=3.5,"A-",IF('Data Source'!AA510&gt;=3,"B",IF('Data Source'!AA510&gt;=2,"C",IF('Data Source'!AA510&gt;=1,"D","F")))))),"")</f>
        <v/>
      </c>
      <c r="J510" s="3">
        <f>IF(AND('Data Source'!B510&lt;&gt;"",'Data Source'!S510="A+"),IF('Data Source'!AB510&gt;=5,"A+",IF('Data Source'!AB510&gt;=4,"A",IF('Data Source'!AB510&gt;=3.5,"A-",IF('Data Source'!AB510&gt;=3,"B",IF('Data Source'!AB510&gt;=2,"C",IF('Data Source'!AB510&gt;=1,"D","F")))))),"")</f>
        <v/>
      </c>
      <c r="K510" s="3">
        <f>IF(AND('Data Source'!B510&lt;&gt;"",'Data Source'!S510="A+"),IF('Data Source'!AC510&gt;=5,"A+",IF('Data Source'!AC510&gt;=4,"A",IF('Data Source'!AC510&gt;=3.5,"A-",IF('Data Source'!AC510&gt;=3,"B",IF('Data Source'!AC510&gt;=2,"C",IF('Data Source'!AC510&gt;=1,"D","F")))))),"")</f>
        <v/>
      </c>
      <c r="L510" s="3">
        <f>IF(AND('Data Source'!B510&lt;&gt;"",'Data Source'!S510="A+"),IF('Data Source'!AD510&gt;=5,"A+",IF('Data Source'!AD510&gt;=4,"A",IF('Data Source'!AD510&gt;=3.5,"A-",IF('Data Source'!AD510&gt;=3,"B",IF('Data Source'!AD510&gt;=2,"C",IF('Data Source'!AD510&gt;=1,"D","F")))))),"")</f>
        <v/>
      </c>
      <c r="M510" s="3">
        <f>IF(AND('Data Source'!B510&lt;&gt;"",'Data Source'!S510="A+"),IF('Data Source'!AE510&gt;=5,"A+",IF('Data Source'!AE510&gt;=4,"A",IF('Data Source'!AE510&gt;=3.5,"A-",IF('Data Source'!AE510&gt;=3,"B",IF('Data Source'!AE510&gt;=2,"C",IF('Data Source'!AE510&gt;=1,"D","F")))))),"")</f>
        <v/>
      </c>
      <c r="N510" s="3">
        <f>IF(AND('Data Source'!B510&lt;&gt;"",'Data Source'!S510="A+"),IF('Data Source'!AF510&gt;=5,"A+",IF('Data Source'!AF510&gt;=4,"A",IF('Data Source'!AF510&gt;=3.5,"A-",IF('Data Source'!AF510&gt;=3,"B",IF('Data Source'!AF510&gt;=2,"C",IF('Data Source'!AF510&gt;=1,"D","F")))))),"")</f>
        <v/>
      </c>
      <c r="O510" s="3">
        <f>IF(AND('Data Source'!B510&lt;&gt;"",'Data Source'!S510="A+"),IF('Data Source'!AG510&gt;=5,"A+",IF('Data Source'!AG510&gt;=4,"A",IF('Data Source'!AG510&gt;=3.5,"A-",IF('Data Source'!AG510&gt;=3,"B",IF('Data Source'!AG510&gt;=2,"C",IF('Data Source'!AG510&gt;=1,"D","F")))))),"")</f>
        <v/>
      </c>
      <c r="P510" s="5">
        <f>IF(AND('Data Source'!B510&lt;&gt;"",'Data Source'!S510="A+"),'Data Source'!R510,"")</f>
        <v/>
      </c>
      <c r="Q510" s="3">
        <f>IF(AND('Data Source'!B510&lt;&gt;"",'Data Source'!S510="A+"),'Data Source'!S510,"")</f>
        <v/>
      </c>
    </row>
    <row r="511">
      <c r="A511" s="3">
        <f>IF(AND('Data Source'!B511&lt;&gt;"",'Data Source'!S511="A+"),COUNTIF('Data Source'!$S$3:S511,"A+"),"")</f>
        <v/>
      </c>
      <c r="B511">
        <f>IF(AND('Data Source'!B511&lt;&gt;"",'Data Source'!S511="A+"),'Data Source'!B511,"")</f>
        <v/>
      </c>
      <c r="C511" s="3">
        <f>IF(AND('Data Source'!B511&lt;&gt;"",'Data Source'!S511="A+"),IF('Data Source'!U511&gt;=5,"A+",IF('Data Source'!U511&gt;=4,"A",IF('Data Source'!U511&gt;=3.5,"A-",IF('Data Source'!U511&gt;=3,"B",IF('Data Source'!U511&gt;=2,"C",IF('Data Source'!U511&gt;=1,"D","F")))))),"")</f>
        <v/>
      </c>
      <c r="D511" s="3">
        <f>IF(AND('Data Source'!B511&lt;&gt;"",'Data Source'!S511="A+"),IF('Data Source'!V511&gt;=5,"A+",IF('Data Source'!V511&gt;=4,"A",IF('Data Source'!V511&gt;=3.5,"A-",IF('Data Source'!V511&gt;=3,"B",IF('Data Source'!V511&gt;=2,"C",IF('Data Source'!V511&gt;=1,"D","F")))))),"")</f>
        <v/>
      </c>
      <c r="E511" s="3">
        <f>IF(AND('Data Source'!B511&lt;&gt;"",'Data Source'!S511="A+"),IF('Data Source'!W511&gt;=5,"A+",IF('Data Source'!W511&gt;=4,"A",IF('Data Source'!W511&gt;=3.5,"A-",IF('Data Source'!W511&gt;=3,"B",IF('Data Source'!W511&gt;=2,"C",IF('Data Source'!W511&gt;=1,"D","F")))))),"")</f>
        <v/>
      </c>
      <c r="F511" s="3">
        <f>IF(AND('Data Source'!B511&lt;&gt;"",'Data Source'!S511="A+"),IF('Data Source'!X511&gt;=5,"A+",IF('Data Source'!X511&gt;=4,"A",IF('Data Source'!X511&gt;=3.5,"A-",IF('Data Source'!X511&gt;=3,"B",IF('Data Source'!X511&gt;=2,"C",IF('Data Source'!X511&gt;=1,"D","F")))))),"")</f>
        <v/>
      </c>
      <c r="G511" s="3">
        <f>IF(AND('Data Source'!B511&lt;&gt;"",'Data Source'!S511="A+"),IF('Data Source'!Y511&gt;=5,"A+",IF('Data Source'!Y511&gt;=4,"A",IF('Data Source'!Y511&gt;=3.5,"A-",IF('Data Source'!Y511&gt;=3,"B",IF('Data Source'!Y511&gt;=2,"C",IF('Data Source'!Y511&gt;=1,"D","F")))))),"")</f>
        <v/>
      </c>
      <c r="H511" s="3">
        <f>IF(AND('Data Source'!B511&lt;&gt;"",'Data Source'!S511="A+"),IF('Data Source'!Z511&gt;=5,"A+",IF('Data Source'!Z511&gt;=4,"A",IF('Data Source'!Z511&gt;=3.5,"A-",IF('Data Source'!Z511&gt;=3,"B",IF('Data Source'!Z511&gt;=2,"C",IF('Data Source'!Z511&gt;=1,"D","F")))))),"")</f>
        <v/>
      </c>
      <c r="I511" s="3">
        <f>IF(AND('Data Source'!B511&lt;&gt;"",'Data Source'!S511="A+"),IF('Data Source'!AA511&gt;=5,"A+",IF('Data Source'!AA511&gt;=4,"A",IF('Data Source'!AA511&gt;=3.5,"A-",IF('Data Source'!AA511&gt;=3,"B",IF('Data Source'!AA511&gt;=2,"C",IF('Data Source'!AA511&gt;=1,"D","F")))))),"")</f>
        <v/>
      </c>
      <c r="J511" s="3">
        <f>IF(AND('Data Source'!B511&lt;&gt;"",'Data Source'!S511="A+"),IF('Data Source'!AB511&gt;=5,"A+",IF('Data Source'!AB511&gt;=4,"A",IF('Data Source'!AB511&gt;=3.5,"A-",IF('Data Source'!AB511&gt;=3,"B",IF('Data Source'!AB511&gt;=2,"C",IF('Data Source'!AB511&gt;=1,"D","F")))))),"")</f>
        <v/>
      </c>
      <c r="K511" s="3">
        <f>IF(AND('Data Source'!B511&lt;&gt;"",'Data Source'!S511="A+"),IF('Data Source'!AC511&gt;=5,"A+",IF('Data Source'!AC511&gt;=4,"A",IF('Data Source'!AC511&gt;=3.5,"A-",IF('Data Source'!AC511&gt;=3,"B",IF('Data Source'!AC511&gt;=2,"C",IF('Data Source'!AC511&gt;=1,"D","F")))))),"")</f>
        <v/>
      </c>
      <c r="L511" s="3">
        <f>IF(AND('Data Source'!B511&lt;&gt;"",'Data Source'!S511="A+"),IF('Data Source'!AD511&gt;=5,"A+",IF('Data Source'!AD511&gt;=4,"A",IF('Data Source'!AD511&gt;=3.5,"A-",IF('Data Source'!AD511&gt;=3,"B",IF('Data Source'!AD511&gt;=2,"C",IF('Data Source'!AD511&gt;=1,"D","F")))))),"")</f>
        <v/>
      </c>
      <c r="M511" s="3">
        <f>IF(AND('Data Source'!B511&lt;&gt;"",'Data Source'!S511="A+"),IF('Data Source'!AE511&gt;=5,"A+",IF('Data Source'!AE511&gt;=4,"A",IF('Data Source'!AE511&gt;=3.5,"A-",IF('Data Source'!AE511&gt;=3,"B",IF('Data Source'!AE511&gt;=2,"C",IF('Data Source'!AE511&gt;=1,"D","F")))))),"")</f>
        <v/>
      </c>
      <c r="N511" s="3">
        <f>IF(AND('Data Source'!B511&lt;&gt;"",'Data Source'!S511="A+"),IF('Data Source'!AF511&gt;=5,"A+",IF('Data Source'!AF511&gt;=4,"A",IF('Data Source'!AF511&gt;=3.5,"A-",IF('Data Source'!AF511&gt;=3,"B",IF('Data Source'!AF511&gt;=2,"C",IF('Data Source'!AF511&gt;=1,"D","F")))))),"")</f>
        <v/>
      </c>
      <c r="O511" s="3">
        <f>IF(AND('Data Source'!B511&lt;&gt;"",'Data Source'!S511="A+"),IF('Data Source'!AG511&gt;=5,"A+",IF('Data Source'!AG511&gt;=4,"A",IF('Data Source'!AG511&gt;=3.5,"A-",IF('Data Source'!AG511&gt;=3,"B",IF('Data Source'!AG511&gt;=2,"C",IF('Data Source'!AG511&gt;=1,"D","F")))))),"")</f>
        <v/>
      </c>
      <c r="P511" s="5">
        <f>IF(AND('Data Source'!B511&lt;&gt;"",'Data Source'!S511="A+"),'Data Source'!R511,"")</f>
        <v/>
      </c>
      <c r="Q511" s="3">
        <f>IF(AND('Data Source'!B511&lt;&gt;"",'Data Source'!S511="A+"),'Data Source'!S511,"")</f>
        <v/>
      </c>
    </row>
    <row r="512">
      <c r="A512" s="3">
        <f>IF(AND('Data Source'!B512&lt;&gt;"",'Data Source'!S512="A+"),COUNTIF('Data Source'!$S$3:S512,"A+"),"")</f>
        <v/>
      </c>
      <c r="B512">
        <f>IF(AND('Data Source'!B512&lt;&gt;"",'Data Source'!S512="A+"),'Data Source'!B512,"")</f>
        <v/>
      </c>
      <c r="C512" s="3">
        <f>IF(AND('Data Source'!B512&lt;&gt;"",'Data Source'!S512="A+"),IF('Data Source'!U512&gt;=5,"A+",IF('Data Source'!U512&gt;=4,"A",IF('Data Source'!U512&gt;=3.5,"A-",IF('Data Source'!U512&gt;=3,"B",IF('Data Source'!U512&gt;=2,"C",IF('Data Source'!U512&gt;=1,"D","F")))))),"")</f>
        <v/>
      </c>
      <c r="D512" s="3">
        <f>IF(AND('Data Source'!B512&lt;&gt;"",'Data Source'!S512="A+"),IF('Data Source'!V512&gt;=5,"A+",IF('Data Source'!V512&gt;=4,"A",IF('Data Source'!V512&gt;=3.5,"A-",IF('Data Source'!V512&gt;=3,"B",IF('Data Source'!V512&gt;=2,"C",IF('Data Source'!V512&gt;=1,"D","F")))))),"")</f>
        <v/>
      </c>
      <c r="E512" s="3">
        <f>IF(AND('Data Source'!B512&lt;&gt;"",'Data Source'!S512="A+"),IF('Data Source'!W512&gt;=5,"A+",IF('Data Source'!W512&gt;=4,"A",IF('Data Source'!W512&gt;=3.5,"A-",IF('Data Source'!W512&gt;=3,"B",IF('Data Source'!W512&gt;=2,"C",IF('Data Source'!W512&gt;=1,"D","F")))))),"")</f>
        <v/>
      </c>
      <c r="F512" s="3">
        <f>IF(AND('Data Source'!B512&lt;&gt;"",'Data Source'!S512="A+"),IF('Data Source'!X512&gt;=5,"A+",IF('Data Source'!X512&gt;=4,"A",IF('Data Source'!X512&gt;=3.5,"A-",IF('Data Source'!X512&gt;=3,"B",IF('Data Source'!X512&gt;=2,"C",IF('Data Source'!X512&gt;=1,"D","F")))))),"")</f>
        <v/>
      </c>
      <c r="G512" s="3">
        <f>IF(AND('Data Source'!B512&lt;&gt;"",'Data Source'!S512="A+"),IF('Data Source'!Y512&gt;=5,"A+",IF('Data Source'!Y512&gt;=4,"A",IF('Data Source'!Y512&gt;=3.5,"A-",IF('Data Source'!Y512&gt;=3,"B",IF('Data Source'!Y512&gt;=2,"C",IF('Data Source'!Y512&gt;=1,"D","F")))))),"")</f>
        <v/>
      </c>
      <c r="H512" s="3">
        <f>IF(AND('Data Source'!B512&lt;&gt;"",'Data Source'!S512="A+"),IF('Data Source'!Z512&gt;=5,"A+",IF('Data Source'!Z512&gt;=4,"A",IF('Data Source'!Z512&gt;=3.5,"A-",IF('Data Source'!Z512&gt;=3,"B",IF('Data Source'!Z512&gt;=2,"C",IF('Data Source'!Z512&gt;=1,"D","F")))))),"")</f>
        <v/>
      </c>
      <c r="I512" s="3">
        <f>IF(AND('Data Source'!B512&lt;&gt;"",'Data Source'!S512="A+"),IF('Data Source'!AA512&gt;=5,"A+",IF('Data Source'!AA512&gt;=4,"A",IF('Data Source'!AA512&gt;=3.5,"A-",IF('Data Source'!AA512&gt;=3,"B",IF('Data Source'!AA512&gt;=2,"C",IF('Data Source'!AA512&gt;=1,"D","F")))))),"")</f>
        <v/>
      </c>
      <c r="J512" s="3">
        <f>IF(AND('Data Source'!B512&lt;&gt;"",'Data Source'!S512="A+"),IF('Data Source'!AB512&gt;=5,"A+",IF('Data Source'!AB512&gt;=4,"A",IF('Data Source'!AB512&gt;=3.5,"A-",IF('Data Source'!AB512&gt;=3,"B",IF('Data Source'!AB512&gt;=2,"C",IF('Data Source'!AB512&gt;=1,"D","F")))))),"")</f>
        <v/>
      </c>
      <c r="K512" s="3">
        <f>IF(AND('Data Source'!B512&lt;&gt;"",'Data Source'!S512="A+"),IF('Data Source'!AC512&gt;=5,"A+",IF('Data Source'!AC512&gt;=4,"A",IF('Data Source'!AC512&gt;=3.5,"A-",IF('Data Source'!AC512&gt;=3,"B",IF('Data Source'!AC512&gt;=2,"C",IF('Data Source'!AC512&gt;=1,"D","F")))))),"")</f>
        <v/>
      </c>
      <c r="L512" s="3">
        <f>IF(AND('Data Source'!B512&lt;&gt;"",'Data Source'!S512="A+"),IF('Data Source'!AD512&gt;=5,"A+",IF('Data Source'!AD512&gt;=4,"A",IF('Data Source'!AD512&gt;=3.5,"A-",IF('Data Source'!AD512&gt;=3,"B",IF('Data Source'!AD512&gt;=2,"C",IF('Data Source'!AD512&gt;=1,"D","F")))))),"")</f>
        <v/>
      </c>
      <c r="M512" s="3">
        <f>IF(AND('Data Source'!B512&lt;&gt;"",'Data Source'!S512="A+"),IF('Data Source'!AE512&gt;=5,"A+",IF('Data Source'!AE512&gt;=4,"A",IF('Data Source'!AE512&gt;=3.5,"A-",IF('Data Source'!AE512&gt;=3,"B",IF('Data Source'!AE512&gt;=2,"C",IF('Data Source'!AE512&gt;=1,"D","F")))))),"")</f>
        <v/>
      </c>
      <c r="N512" s="3">
        <f>IF(AND('Data Source'!B512&lt;&gt;"",'Data Source'!S512="A+"),IF('Data Source'!AF512&gt;=5,"A+",IF('Data Source'!AF512&gt;=4,"A",IF('Data Source'!AF512&gt;=3.5,"A-",IF('Data Source'!AF512&gt;=3,"B",IF('Data Source'!AF512&gt;=2,"C",IF('Data Source'!AF512&gt;=1,"D","F")))))),"")</f>
        <v/>
      </c>
      <c r="O512" s="3">
        <f>IF(AND('Data Source'!B512&lt;&gt;"",'Data Source'!S512="A+"),IF('Data Source'!AG512&gt;=5,"A+",IF('Data Source'!AG512&gt;=4,"A",IF('Data Source'!AG512&gt;=3.5,"A-",IF('Data Source'!AG512&gt;=3,"B",IF('Data Source'!AG512&gt;=2,"C",IF('Data Source'!AG512&gt;=1,"D","F")))))),"")</f>
        <v/>
      </c>
      <c r="P512" s="5">
        <f>IF(AND('Data Source'!B512&lt;&gt;"",'Data Source'!S512="A+"),'Data Source'!R512,"")</f>
        <v/>
      </c>
      <c r="Q512" s="3">
        <f>IF(AND('Data Source'!B512&lt;&gt;"",'Data Source'!S512="A+"),'Data Source'!S512,"")</f>
        <v/>
      </c>
    </row>
    <row r="513">
      <c r="A513" s="3">
        <f>IF(AND('Data Source'!B513&lt;&gt;"",'Data Source'!S513="A+"),COUNTIF('Data Source'!$S$3:S513,"A+"),"")</f>
        <v/>
      </c>
      <c r="B513">
        <f>IF(AND('Data Source'!B513&lt;&gt;"",'Data Source'!S513="A+"),'Data Source'!B513,"")</f>
        <v/>
      </c>
      <c r="C513" s="3">
        <f>IF(AND('Data Source'!B513&lt;&gt;"",'Data Source'!S513="A+"),IF('Data Source'!U513&gt;=5,"A+",IF('Data Source'!U513&gt;=4,"A",IF('Data Source'!U513&gt;=3.5,"A-",IF('Data Source'!U513&gt;=3,"B",IF('Data Source'!U513&gt;=2,"C",IF('Data Source'!U513&gt;=1,"D","F")))))),"")</f>
        <v/>
      </c>
      <c r="D513" s="3">
        <f>IF(AND('Data Source'!B513&lt;&gt;"",'Data Source'!S513="A+"),IF('Data Source'!V513&gt;=5,"A+",IF('Data Source'!V513&gt;=4,"A",IF('Data Source'!V513&gt;=3.5,"A-",IF('Data Source'!V513&gt;=3,"B",IF('Data Source'!V513&gt;=2,"C",IF('Data Source'!V513&gt;=1,"D","F")))))),"")</f>
        <v/>
      </c>
      <c r="E513" s="3">
        <f>IF(AND('Data Source'!B513&lt;&gt;"",'Data Source'!S513="A+"),IF('Data Source'!W513&gt;=5,"A+",IF('Data Source'!W513&gt;=4,"A",IF('Data Source'!W513&gt;=3.5,"A-",IF('Data Source'!W513&gt;=3,"B",IF('Data Source'!W513&gt;=2,"C",IF('Data Source'!W513&gt;=1,"D","F")))))),"")</f>
        <v/>
      </c>
      <c r="F513" s="3">
        <f>IF(AND('Data Source'!B513&lt;&gt;"",'Data Source'!S513="A+"),IF('Data Source'!X513&gt;=5,"A+",IF('Data Source'!X513&gt;=4,"A",IF('Data Source'!X513&gt;=3.5,"A-",IF('Data Source'!X513&gt;=3,"B",IF('Data Source'!X513&gt;=2,"C",IF('Data Source'!X513&gt;=1,"D","F")))))),"")</f>
        <v/>
      </c>
      <c r="G513" s="3">
        <f>IF(AND('Data Source'!B513&lt;&gt;"",'Data Source'!S513="A+"),IF('Data Source'!Y513&gt;=5,"A+",IF('Data Source'!Y513&gt;=4,"A",IF('Data Source'!Y513&gt;=3.5,"A-",IF('Data Source'!Y513&gt;=3,"B",IF('Data Source'!Y513&gt;=2,"C",IF('Data Source'!Y513&gt;=1,"D","F")))))),"")</f>
        <v/>
      </c>
      <c r="H513" s="3">
        <f>IF(AND('Data Source'!B513&lt;&gt;"",'Data Source'!S513="A+"),IF('Data Source'!Z513&gt;=5,"A+",IF('Data Source'!Z513&gt;=4,"A",IF('Data Source'!Z513&gt;=3.5,"A-",IF('Data Source'!Z513&gt;=3,"B",IF('Data Source'!Z513&gt;=2,"C",IF('Data Source'!Z513&gt;=1,"D","F")))))),"")</f>
        <v/>
      </c>
      <c r="I513" s="3">
        <f>IF(AND('Data Source'!B513&lt;&gt;"",'Data Source'!S513="A+"),IF('Data Source'!AA513&gt;=5,"A+",IF('Data Source'!AA513&gt;=4,"A",IF('Data Source'!AA513&gt;=3.5,"A-",IF('Data Source'!AA513&gt;=3,"B",IF('Data Source'!AA513&gt;=2,"C",IF('Data Source'!AA513&gt;=1,"D","F")))))),"")</f>
        <v/>
      </c>
      <c r="J513" s="3">
        <f>IF(AND('Data Source'!B513&lt;&gt;"",'Data Source'!S513="A+"),IF('Data Source'!AB513&gt;=5,"A+",IF('Data Source'!AB513&gt;=4,"A",IF('Data Source'!AB513&gt;=3.5,"A-",IF('Data Source'!AB513&gt;=3,"B",IF('Data Source'!AB513&gt;=2,"C",IF('Data Source'!AB513&gt;=1,"D","F")))))),"")</f>
        <v/>
      </c>
      <c r="K513" s="3">
        <f>IF(AND('Data Source'!B513&lt;&gt;"",'Data Source'!S513="A+"),IF('Data Source'!AC513&gt;=5,"A+",IF('Data Source'!AC513&gt;=4,"A",IF('Data Source'!AC513&gt;=3.5,"A-",IF('Data Source'!AC513&gt;=3,"B",IF('Data Source'!AC513&gt;=2,"C",IF('Data Source'!AC513&gt;=1,"D","F")))))),"")</f>
        <v/>
      </c>
      <c r="L513" s="3">
        <f>IF(AND('Data Source'!B513&lt;&gt;"",'Data Source'!S513="A+"),IF('Data Source'!AD513&gt;=5,"A+",IF('Data Source'!AD513&gt;=4,"A",IF('Data Source'!AD513&gt;=3.5,"A-",IF('Data Source'!AD513&gt;=3,"B",IF('Data Source'!AD513&gt;=2,"C",IF('Data Source'!AD513&gt;=1,"D","F")))))),"")</f>
        <v/>
      </c>
      <c r="M513" s="3">
        <f>IF(AND('Data Source'!B513&lt;&gt;"",'Data Source'!S513="A+"),IF('Data Source'!AE513&gt;=5,"A+",IF('Data Source'!AE513&gt;=4,"A",IF('Data Source'!AE513&gt;=3.5,"A-",IF('Data Source'!AE513&gt;=3,"B",IF('Data Source'!AE513&gt;=2,"C",IF('Data Source'!AE513&gt;=1,"D","F")))))),"")</f>
        <v/>
      </c>
      <c r="N513" s="3">
        <f>IF(AND('Data Source'!B513&lt;&gt;"",'Data Source'!S513="A+"),IF('Data Source'!AF513&gt;=5,"A+",IF('Data Source'!AF513&gt;=4,"A",IF('Data Source'!AF513&gt;=3.5,"A-",IF('Data Source'!AF513&gt;=3,"B",IF('Data Source'!AF513&gt;=2,"C",IF('Data Source'!AF513&gt;=1,"D","F")))))),"")</f>
        <v/>
      </c>
      <c r="O513" s="3">
        <f>IF(AND('Data Source'!B513&lt;&gt;"",'Data Source'!S513="A+"),IF('Data Source'!AG513&gt;=5,"A+",IF('Data Source'!AG513&gt;=4,"A",IF('Data Source'!AG513&gt;=3.5,"A-",IF('Data Source'!AG513&gt;=3,"B",IF('Data Source'!AG513&gt;=2,"C",IF('Data Source'!AG513&gt;=1,"D","F")))))),"")</f>
        <v/>
      </c>
      <c r="P513" s="5">
        <f>IF(AND('Data Source'!B513&lt;&gt;"",'Data Source'!S513="A+"),'Data Source'!R513,"")</f>
        <v/>
      </c>
      <c r="Q513" s="3">
        <f>IF(AND('Data Source'!B513&lt;&gt;"",'Data Source'!S513="A+"),'Data Source'!S513,"")</f>
        <v/>
      </c>
    </row>
    <row r="514">
      <c r="A514" s="3">
        <f>IF(AND('Data Source'!B514&lt;&gt;"",'Data Source'!S514="A+"),COUNTIF('Data Source'!$S$3:S514,"A+"),"")</f>
        <v/>
      </c>
      <c r="B514">
        <f>IF(AND('Data Source'!B514&lt;&gt;"",'Data Source'!S514="A+"),'Data Source'!B514,"")</f>
        <v/>
      </c>
      <c r="C514" s="3">
        <f>IF(AND('Data Source'!B514&lt;&gt;"",'Data Source'!S514="A+"),IF('Data Source'!U514&gt;=5,"A+",IF('Data Source'!U514&gt;=4,"A",IF('Data Source'!U514&gt;=3.5,"A-",IF('Data Source'!U514&gt;=3,"B",IF('Data Source'!U514&gt;=2,"C",IF('Data Source'!U514&gt;=1,"D","F")))))),"")</f>
        <v/>
      </c>
      <c r="D514" s="3">
        <f>IF(AND('Data Source'!B514&lt;&gt;"",'Data Source'!S514="A+"),IF('Data Source'!V514&gt;=5,"A+",IF('Data Source'!V514&gt;=4,"A",IF('Data Source'!V514&gt;=3.5,"A-",IF('Data Source'!V514&gt;=3,"B",IF('Data Source'!V514&gt;=2,"C",IF('Data Source'!V514&gt;=1,"D","F")))))),"")</f>
        <v/>
      </c>
      <c r="E514" s="3">
        <f>IF(AND('Data Source'!B514&lt;&gt;"",'Data Source'!S514="A+"),IF('Data Source'!W514&gt;=5,"A+",IF('Data Source'!W514&gt;=4,"A",IF('Data Source'!W514&gt;=3.5,"A-",IF('Data Source'!W514&gt;=3,"B",IF('Data Source'!W514&gt;=2,"C",IF('Data Source'!W514&gt;=1,"D","F")))))),"")</f>
        <v/>
      </c>
      <c r="F514" s="3">
        <f>IF(AND('Data Source'!B514&lt;&gt;"",'Data Source'!S514="A+"),IF('Data Source'!X514&gt;=5,"A+",IF('Data Source'!X514&gt;=4,"A",IF('Data Source'!X514&gt;=3.5,"A-",IF('Data Source'!X514&gt;=3,"B",IF('Data Source'!X514&gt;=2,"C",IF('Data Source'!X514&gt;=1,"D","F")))))),"")</f>
        <v/>
      </c>
      <c r="G514" s="3">
        <f>IF(AND('Data Source'!B514&lt;&gt;"",'Data Source'!S514="A+"),IF('Data Source'!Y514&gt;=5,"A+",IF('Data Source'!Y514&gt;=4,"A",IF('Data Source'!Y514&gt;=3.5,"A-",IF('Data Source'!Y514&gt;=3,"B",IF('Data Source'!Y514&gt;=2,"C",IF('Data Source'!Y514&gt;=1,"D","F")))))),"")</f>
        <v/>
      </c>
      <c r="H514" s="3">
        <f>IF(AND('Data Source'!B514&lt;&gt;"",'Data Source'!S514="A+"),IF('Data Source'!Z514&gt;=5,"A+",IF('Data Source'!Z514&gt;=4,"A",IF('Data Source'!Z514&gt;=3.5,"A-",IF('Data Source'!Z514&gt;=3,"B",IF('Data Source'!Z514&gt;=2,"C",IF('Data Source'!Z514&gt;=1,"D","F")))))),"")</f>
        <v/>
      </c>
      <c r="I514" s="3">
        <f>IF(AND('Data Source'!B514&lt;&gt;"",'Data Source'!S514="A+"),IF('Data Source'!AA514&gt;=5,"A+",IF('Data Source'!AA514&gt;=4,"A",IF('Data Source'!AA514&gt;=3.5,"A-",IF('Data Source'!AA514&gt;=3,"B",IF('Data Source'!AA514&gt;=2,"C",IF('Data Source'!AA514&gt;=1,"D","F")))))),"")</f>
        <v/>
      </c>
      <c r="J514" s="3">
        <f>IF(AND('Data Source'!B514&lt;&gt;"",'Data Source'!S514="A+"),IF('Data Source'!AB514&gt;=5,"A+",IF('Data Source'!AB514&gt;=4,"A",IF('Data Source'!AB514&gt;=3.5,"A-",IF('Data Source'!AB514&gt;=3,"B",IF('Data Source'!AB514&gt;=2,"C",IF('Data Source'!AB514&gt;=1,"D","F")))))),"")</f>
        <v/>
      </c>
      <c r="K514" s="3">
        <f>IF(AND('Data Source'!B514&lt;&gt;"",'Data Source'!S514="A+"),IF('Data Source'!AC514&gt;=5,"A+",IF('Data Source'!AC514&gt;=4,"A",IF('Data Source'!AC514&gt;=3.5,"A-",IF('Data Source'!AC514&gt;=3,"B",IF('Data Source'!AC514&gt;=2,"C",IF('Data Source'!AC514&gt;=1,"D","F")))))),"")</f>
        <v/>
      </c>
      <c r="L514" s="3">
        <f>IF(AND('Data Source'!B514&lt;&gt;"",'Data Source'!S514="A+"),IF('Data Source'!AD514&gt;=5,"A+",IF('Data Source'!AD514&gt;=4,"A",IF('Data Source'!AD514&gt;=3.5,"A-",IF('Data Source'!AD514&gt;=3,"B",IF('Data Source'!AD514&gt;=2,"C",IF('Data Source'!AD514&gt;=1,"D","F")))))),"")</f>
        <v/>
      </c>
      <c r="M514" s="3">
        <f>IF(AND('Data Source'!B514&lt;&gt;"",'Data Source'!S514="A+"),IF('Data Source'!AE514&gt;=5,"A+",IF('Data Source'!AE514&gt;=4,"A",IF('Data Source'!AE514&gt;=3.5,"A-",IF('Data Source'!AE514&gt;=3,"B",IF('Data Source'!AE514&gt;=2,"C",IF('Data Source'!AE514&gt;=1,"D","F")))))),"")</f>
        <v/>
      </c>
      <c r="N514" s="3">
        <f>IF(AND('Data Source'!B514&lt;&gt;"",'Data Source'!S514="A+"),IF('Data Source'!AF514&gt;=5,"A+",IF('Data Source'!AF514&gt;=4,"A",IF('Data Source'!AF514&gt;=3.5,"A-",IF('Data Source'!AF514&gt;=3,"B",IF('Data Source'!AF514&gt;=2,"C",IF('Data Source'!AF514&gt;=1,"D","F")))))),"")</f>
        <v/>
      </c>
      <c r="O514" s="3">
        <f>IF(AND('Data Source'!B514&lt;&gt;"",'Data Source'!S514="A+"),IF('Data Source'!AG514&gt;=5,"A+",IF('Data Source'!AG514&gt;=4,"A",IF('Data Source'!AG514&gt;=3.5,"A-",IF('Data Source'!AG514&gt;=3,"B",IF('Data Source'!AG514&gt;=2,"C",IF('Data Source'!AG514&gt;=1,"D","F")))))),"")</f>
        <v/>
      </c>
      <c r="P514" s="5">
        <f>IF(AND('Data Source'!B514&lt;&gt;"",'Data Source'!S514="A+"),'Data Source'!R514,"")</f>
        <v/>
      </c>
      <c r="Q514" s="3">
        <f>IF(AND('Data Source'!B514&lt;&gt;"",'Data Source'!S514="A+"),'Data Source'!S514,"")</f>
        <v/>
      </c>
    </row>
    <row r="515">
      <c r="A515" s="3">
        <f>IF(AND('Data Source'!B515&lt;&gt;"",'Data Source'!S515="A+"),COUNTIF('Data Source'!$S$3:S515,"A+"),"")</f>
        <v/>
      </c>
      <c r="B515">
        <f>IF(AND('Data Source'!B515&lt;&gt;"",'Data Source'!S515="A+"),'Data Source'!B515,"")</f>
        <v/>
      </c>
      <c r="C515" s="3">
        <f>IF(AND('Data Source'!B515&lt;&gt;"",'Data Source'!S515="A+"),IF('Data Source'!U515&gt;=5,"A+",IF('Data Source'!U515&gt;=4,"A",IF('Data Source'!U515&gt;=3.5,"A-",IF('Data Source'!U515&gt;=3,"B",IF('Data Source'!U515&gt;=2,"C",IF('Data Source'!U515&gt;=1,"D","F")))))),"")</f>
        <v/>
      </c>
      <c r="D515" s="3">
        <f>IF(AND('Data Source'!B515&lt;&gt;"",'Data Source'!S515="A+"),IF('Data Source'!V515&gt;=5,"A+",IF('Data Source'!V515&gt;=4,"A",IF('Data Source'!V515&gt;=3.5,"A-",IF('Data Source'!V515&gt;=3,"B",IF('Data Source'!V515&gt;=2,"C",IF('Data Source'!V515&gt;=1,"D","F")))))),"")</f>
        <v/>
      </c>
      <c r="E515" s="3">
        <f>IF(AND('Data Source'!B515&lt;&gt;"",'Data Source'!S515="A+"),IF('Data Source'!W515&gt;=5,"A+",IF('Data Source'!W515&gt;=4,"A",IF('Data Source'!W515&gt;=3.5,"A-",IF('Data Source'!W515&gt;=3,"B",IF('Data Source'!W515&gt;=2,"C",IF('Data Source'!W515&gt;=1,"D","F")))))),"")</f>
        <v/>
      </c>
      <c r="F515" s="3">
        <f>IF(AND('Data Source'!B515&lt;&gt;"",'Data Source'!S515="A+"),IF('Data Source'!X515&gt;=5,"A+",IF('Data Source'!X515&gt;=4,"A",IF('Data Source'!X515&gt;=3.5,"A-",IF('Data Source'!X515&gt;=3,"B",IF('Data Source'!X515&gt;=2,"C",IF('Data Source'!X515&gt;=1,"D","F")))))),"")</f>
        <v/>
      </c>
      <c r="G515" s="3">
        <f>IF(AND('Data Source'!B515&lt;&gt;"",'Data Source'!S515="A+"),IF('Data Source'!Y515&gt;=5,"A+",IF('Data Source'!Y515&gt;=4,"A",IF('Data Source'!Y515&gt;=3.5,"A-",IF('Data Source'!Y515&gt;=3,"B",IF('Data Source'!Y515&gt;=2,"C",IF('Data Source'!Y515&gt;=1,"D","F")))))),"")</f>
        <v/>
      </c>
      <c r="H515" s="3">
        <f>IF(AND('Data Source'!B515&lt;&gt;"",'Data Source'!S515="A+"),IF('Data Source'!Z515&gt;=5,"A+",IF('Data Source'!Z515&gt;=4,"A",IF('Data Source'!Z515&gt;=3.5,"A-",IF('Data Source'!Z515&gt;=3,"B",IF('Data Source'!Z515&gt;=2,"C",IF('Data Source'!Z515&gt;=1,"D","F")))))),"")</f>
        <v/>
      </c>
      <c r="I515" s="3">
        <f>IF(AND('Data Source'!B515&lt;&gt;"",'Data Source'!S515="A+"),IF('Data Source'!AA515&gt;=5,"A+",IF('Data Source'!AA515&gt;=4,"A",IF('Data Source'!AA515&gt;=3.5,"A-",IF('Data Source'!AA515&gt;=3,"B",IF('Data Source'!AA515&gt;=2,"C",IF('Data Source'!AA515&gt;=1,"D","F")))))),"")</f>
        <v/>
      </c>
      <c r="J515" s="3">
        <f>IF(AND('Data Source'!B515&lt;&gt;"",'Data Source'!S515="A+"),IF('Data Source'!AB515&gt;=5,"A+",IF('Data Source'!AB515&gt;=4,"A",IF('Data Source'!AB515&gt;=3.5,"A-",IF('Data Source'!AB515&gt;=3,"B",IF('Data Source'!AB515&gt;=2,"C",IF('Data Source'!AB515&gt;=1,"D","F")))))),"")</f>
        <v/>
      </c>
      <c r="K515" s="3">
        <f>IF(AND('Data Source'!B515&lt;&gt;"",'Data Source'!S515="A+"),IF('Data Source'!AC515&gt;=5,"A+",IF('Data Source'!AC515&gt;=4,"A",IF('Data Source'!AC515&gt;=3.5,"A-",IF('Data Source'!AC515&gt;=3,"B",IF('Data Source'!AC515&gt;=2,"C",IF('Data Source'!AC515&gt;=1,"D","F")))))),"")</f>
        <v/>
      </c>
      <c r="L515" s="3">
        <f>IF(AND('Data Source'!B515&lt;&gt;"",'Data Source'!S515="A+"),IF('Data Source'!AD515&gt;=5,"A+",IF('Data Source'!AD515&gt;=4,"A",IF('Data Source'!AD515&gt;=3.5,"A-",IF('Data Source'!AD515&gt;=3,"B",IF('Data Source'!AD515&gt;=2,"C",IF('Data Source'!AD515&gt;=1,"D","F")))))),"")</f>
        <v/>
      </c>
      <c r="M515" s="3">
        <f>IF(AND('Data Source'!B515&lt;&gt;"",'Data Source'!S515="A+"),IF('Data Source'!AE515&gt;=5,"A+",IF('Data Source'!AE515&gt;=4,"A",IF('Data Source'!AE515&gt;=3.5,"A-",IF('Data Source'!AE515&gt;=3,"B",IF('Data Source'!AE515&gt;=2,"C",IF('Data Source'!AE515&gt;=1,"D","F")))))),"")</f>
        <v/>
      </c>
      <c r="N515" s="3">
        <f>IF(AND('Data Source'!B515&lt;&gt;"",'Data Source'!S515="A+"),IF('Data Source'!AF515&gt;=5,"A+",IF('Data Source'!AF515&gt;=4,"A",IF('Data Source'!AF515&gt;=3.5,"A-",IF('Data Source'!AF515&gt;=3,"B",IF('Data Source'!AF515&gt;=2,"C",IF('Data Source'!AF515&gt;=1,"D","F")))))),"")</f>
        <v/>
      </c>
      <c r="O515" s="3">
        <f>IF(AND('Data Source'!B515&lt;&gt;"",'Data Source'!S515="A+"),IF('Data Source'!AG515&gt;=5,"A+",IF('Data Source'!AG515&gt;=4,"A",IF('Data Source'!AG515&gt;=3.5,"A-",IF('Data Source'!AG515&gt;=3,"B",IF('Data Source'!AG515&gt;=2,"C",IF('Data Source'!AG515&gt;=1,"D","F")))))),"")</f>
        <v/>
      </c>
      <c r="P515" s="5">
        <f>IF(AND('Data Source'!B515&lt;&gt;"",'Data Source'!S515="A+"),'Data Source'!R515,"")</f>
        <v/>
      </c>
      <c r="Q515" s="3">
        <f>IF(AND('Data Source'!B515&lt;&gt;"",'Data Source'!S515="A+"),'Data Source'!S515,"")</f>
        <v/>
      </c>
    </row>
    <row r="516">
      <c r="A516" s="3">
        <f>IF(AND('Data Source'!B516&lt;&gt;"",'Data Source'!S516="A+"),COUNTIF('Data Source'!$S$3:S516,"A+"),"")</f>
        <v/>
      </c>
      <c r="B516">
        <f>IF(AND('Data Source'!B516&lt;&gt;"",'Data Source'!S516="A+"),'Data Source'!B516,"")</f>
        <v/>
      </c>
      <c r="C516" s="3">
        <f>IF(AND('Data Source'!B516&lt;&gt;"",'Data Source'!S516="A+"),IF('Data Source'!U516&gt;=5,"A+",IF('Data Source'!U516&gt;=4,"A",IF('Data Source'!U516&gt;=3.5,"A-",IF('Data Source'!U516&gt;=3,"B",IF('Data Source'!U516&gt;=2,"C",IF('Data Source'!U516&gt;=1,"D","F")))))),"")</f>
        <v/>
      </c>
      <c r="D516" s="3">
        <f>IF(AND('Data Source'!B516&lt;&gt;"",'Data Source'!S516="A+"),IF('Data Source'!V516&gt;=5,"A+",IF('Data Source'!V516&gt;=4,"A",IF('Data Source'!V516&gt;=3.5,"A-",IF('Data Source'!V516&gt;=3,"B",IF('Data Source'!V516&gt;=2,"C",IF('Data Source'!V516&gt;=1,"D","F")))))),"")</f>
        <v/>
      </c>
      <c r="E516" s="3">
        <f>IF(AND('Data Source'!B516&lt;&gt;"",'Data Source'!S516="A+"),IF('Data Source'!W516&gt;=5,"A+",IF('Data Source'!W516&gt;=4,"A",IF('Data Source'!W516&gt;=3.5,"A-",IF('Data Source'!W516&gt;=3,"B",IF('Data Source'!W516&gt;=2,"C",IF('Data Source'!W516&gt;=1,"D","F")))))),"")</f>
        <v/>
      </c>
      <c r="F516" s="3">
        <f>IF(AND('Data Source'!B516&lt;&gt;"",'Data Source'!S516="A+"),IF('Data Source'!X516&gt;=5,"A+",IF('Data Source'!X516&gt;=4,"A",IF('Data Source'!X516&gt;=3.5,"A-",IF('Data Source'!X516&gt;=3,"B",IF('Data Source'!X516&gt;=2,"C",IF('Data Source'!X516&gt;=1,"D","F")))))),"")</f>
        <v/>
      </c>
      <c r="G516" s="3">
        <f>IF(AND('Data Source'!B516&lt;&gt;"",'Data Source'!S516="A+"),IF('Data Source'!Y516&gt;=5,"A+",IF('Data Source'!Y516&gt;=4,"A",IF('Data Source'!Y516&gt;=3.5,"A-",IF('Data Source'!Y516&gt;=3,"B",IF('Data Source'!Y516&gt;=2,"C",IF('Data Source'!Y516&gt;=1,"D","F")))))),"")</f>
        <v/>
      </c>
      <c r="H516" s="3">
        <f>IF(AND('Data Source'!B516&lt;&gt;"",'Data Source'!S516="A+"),IF('Data Source'!Z516&gt;=5,"A+",IF('Data Source'!Z516&gt;=4,"A",IF('Data Source'!Z516&gt;=3.5,"A-",IF('Data Source'!Z516&gt;=3,"B",IF('Data Source'!Z516&gt;=2,"C",IF('Data Source'!Z516&gt;=1,"D","F")))))),"")</f>
        <v/>
      </c>
      <c r="I516" s="3">
        <f>IF(AND('Data Source'!B516&lt;&gt;"",'Data Source'!S516="A+"),IF('Data Source'!AA516&gt;=5,"A+",IF('Data Source'!AA516&gt;=4,"A",IF('Data Source'!AA516&gt;=3.5,"A-",IF('Data Source'!AA516&gt;=3,"B",IF('Data Source'!AA516&gt;=2,"C",IF('Data Source'!AA516&gt;=1,"D","F")))))),"")</f>
        <v/>
      </c>
      <c r="J516" s="3">
        <f>IF(AND('Data Source'!B516&lt;&gt;"",'Data Source'!S516="A+"),IF('Data Source'!AB516&gt;=5,"A+",IF('Data Source'!AB516&gt;=4,"A",IF('Data Source'!AB516&gt;=3.5,"A-",IF('Data Source'!AB516&gt;=3,"B",IF('Data Source'!AB516&gt;=2,"C",IF('Data Source'!AB516&gt;=1,"D","F")))))),"")</f>
        <v/>
      </c>
      <c r="K516" s="3">
        <f>IF(AND('Data Source'!B516&lt;&gt;"",'Data Source'!S516="A+"),IF('Data Source'!AC516&gt;=5,"A+",IF('Data Source'!AC516&gt;=4,"A",IF('Data Source'!AC516&gt;=3.5,"A-",IF('Data Source'!AC516&gt;=3,"B",IF('Data Source'!AC516&gt;=2,"C",IF('Data Source'!AC516&gt;=1,"D","F")))))),"")</f>
        <v/>
      </c>
      <c r="L516" s="3">
        <f>IF(AND('Data Source'!B516&lt;&gt;"",'Data Source'!S516="A+"),IF('Data Source'!AD516&gt;=5,"A+",IF('Data Source'!AD516&gt;=4,"A",IF('Data Source'!AD516&gt;=3.5,"A-",IF('Data Source'!AD516&gt;=3,"B",IF('Data Source'!AD516&gt;=2,"C",IF('Data Source'!AD516&gt;=1,"D","F")))))),"")</f>
        <v/>
      </c>
      <c r="M516" s="3">
        <f>IF(AND('Data Source'!B516&lt;&gt;"",'Data Source'!S516="A+"),IF('Data Source'!AE516&gt;=5,"A+",IF('Data Source'!AE516&gt;=4,"A",IF('Data Source'!AE516&gt;=3.5,"A-",IF('Data Source'!AE516&gt;=3,"B",IF('Data Source'!AE516&gt;=2,"C",IF('Data Source'!AE516&gt;=1,"D","F")))))),"")</f>
        <v/>
      </c>
      <c r="N516" s="3">
        <f>IF(AND('Data Source'!B516&lt;&gt;"",'Data Source'!S516="A+"),IF('Data Source'!AF516&gt;=5,"A+",IF('Data Source'!AF516&gt;=4,"A",IF('Data Source'!AF516&gt;=3.5,"A-",IF('Data Source'!AF516&gt;=3,"B",IF('Data Source'!AF516&gt;=2,"C",IF('Data Source'!AF516&gt;=1,"D","F")))))),"")</f>
        <v/>
      </c>
      <c r="O516" s="3">
        <f>IF(AND('Data Source'!B516&lt;&gt;"",'Data Source'!S516="A+"),IF('Data Source'!AG516&gt;=5,"A+",IF('Data Source'!AG516&gt;=4,"A",IF('Data Source'!AG516&gt;=3.5,"A-",IF('Data Source'!AG516&gt;=3,"B",IF('Data Source'!AG516&gt;=2,"C",IF('Data Source'!AG516&gt;=1,"D","F")))))),"")</f>
        <v/>
      </c>
      <c r="P516" s="5">
        <f>IF(AND('Data Source'!B516&lt;&gt;"",'Data Source'!S516="A+"),'Data Source'!R516,"")</f>
        <v/>
      </c>
      <c r="Q516" s="3">
        <f>IF(AND('Data Source'!B516&lt;&gt;"",'Data Source'!S516="A+"),'Data Source'!S516,"")</f>
        <v/>
      </c>
    </row>
    <row r="517">
      <c r="A517" s="3">
        <f>IF(AND('Data Source'!B517&lt;&gt;"",'Data Source'!S517="A+"),COUNTIF('Data Source'!$S$3:S517,"A+"),"")</f>
        <v/>
      </c>
      <c r="B517">
        <f>IF(AND('Data Source'!B517&lt;&gt;"",'Data Source'!S517="A+"),'Data Source'!B517,"")</f>
        <v/>
      </c>
      <c r="C517" s="3">
        <f>IF(AND('Data Source'!B517&lt;&gt;"",'Data Source'!S517="A+"),IF('Data Source'!U517&gt;=5,"A+",IF('Data Source'!U517&gt;=4,"A",IF('Data Source'!U517&gt;=3.5,"A-",IF('Data Source'!U517&gt;=3,"B",IF('Data Source'!U517&gt;=2,"C",IF('Data Source'!U517&gt;=1,"D","F")))))),"")</f>
        <v/>
      </c>
      <c r="D517" s="3">
        <f>IF(AND('Data Source'!B517&lt;&gt;"",'Data Source'!S517="A+"),IF('Data Source'!V517&gt;=5,"A+",IF('Data Source'!V517&gt;=4,"A",IF('Data Source'!V517&gt;=3.5,"A-",IF('Data Source'!V517&gt;=3,"B",IF('Data Source'!V517&gt;=2,"C",IF('Data Source'!V517&gt;=1,"D","F")))))),"")</f>
        <v/>
      </c>
      <c r="E517" s="3">
        <f>IF(AND('Data Source'!B517&lt;&gt;"",'Data Source'!S517="A+"),IF('Data Source'!W517&gt;=5,"A+",IF('Data Source'!W517&gt;=4,"A",IF('Data Source'!W517&gt;=3.5,"A-",IF('Data Source'!W517&gt;=3,"B",IF('Data Source'!W517&gt;=2,"C",IF('Data Source'!W517&gt;=1,"D","F")))))),"")</f>
        <v/>
      </c>
      <c r="F517" s="3">
        <f>IF(AND('Data Source'!B517&lt;&gt;"",'Data Source'!S517="A+"),IF('Data Source'!X517&gt;=5,"A+",IF('Data Source'!X517&gt;=4,"A",IF('Data Source'!X517&gt;=3.5,"A-",IF('Data Source'!X517&gt;=3,"B",IF('Data Source'!X517&gt;=2,"C",IF('Data Source'!X517&gt;=1,"D","F")))))),"")</f>
        <v/>
      </c>
      <c r="G517" s="3">
        <f>IF(AND('Data Source'!B517&lt;&gt;"",'Data Source'!S517="A+"),IF('Data Source'!Y517&gt;=5,"A+",IF('Data Source'!Y517&gt;=4,"A",IF('Data Source'!Y517&gt;=3.5,"A-",IF('Data Source'!Y517&gt;=3,"B",IF('Data Source'!Y517&gt;=2,"C",IF('Data Source'!Y517&gt;=1,"D","F")))))),"")</f>
        <v/>
      </c>
      <c r="H517" s="3">
        <f>IF(AND('Data Source'!B517&lt;&gt;"",'Data Source'!S517="A+"),IF('Data Source'!Z517&gt;=5,"A+",IF('Data Source'!Z517&gt;=4,"A",IF('Data Source'!Z517&gt;=3.5,"A-",IF('Data Source'!Z517&gt;=3,"B",IF('Data Source'!Z517&gt;=2,"C",IF('Data Source'!Z517&gt;=1,"D","F")))))),"")</f>
        <v/>
      </c>
      <c r="I517" s="3">
        <f>IF(AND('Data Source'!B517&lt;&gt;"",'Data Source'!S517="A+"),IF('Data Source'!AA517&gt;=5,"A+",IF('Data Source'!AA517&gt;=4,"A",IF('Data Source'!AA517&gt;=3.5,"A-",IF('Data Source'!AA517&gt;=3,"B",IF('Data Source'!AA517&gt;=2,"C",IF('Data Source'!AA517&gt;=1,"D","F")))))),"")</f>
        <v/>
      </c>
      <c r="J517" s="3">
        <f>IF(AND('Data Source'!B517&lt;&gt;"",'Data Source'!S517="A+"),IF('Data Source'!AB517&gt;=5,"A+",IF('Data Source'!AB517&gt;=4,"A",IF('Data Source'!AB517&gt;=3.5,"A-",IF('Data Source'!AB517&gt;=3,"B",IF('Data Source'!AB517&gt;=2,"C",IF('Data Source'!AB517&gt;=1,"D","F")))))),"")</f>
        <v/>
      </c>
      <c r="K517" s="3">
        <f>IF(AND('Data Source'!B517&lt;&gt;"",'Data Source'!S517="A+"),IF('Data Source'!AC517&gt;=5,"A+",IF('Data Source'!AC517&gt;=4,"A",IF('Data Source'!AC517&gt;=3.5,"A-",IF('Data Source'!AC517&gt;=3,"B",IF('Data Source'!AC517&gt;=2,"C",IF('Data Source'!AC517&gt;=1,"D","F")))))),"")</f>
        <v/>
      </c>
      <c r="L517" s="3">
        <f>IF(AND('Data Source'!B517&lt;&gt;"",'Data Source'!S517="A+"),IF('Data Source'!AD517&gt;=5,"A+",IF('Data Source'!AD517&gt;=4,"A",IF('Data Source'!AD517&gt;=3.5,"A-",IF('Data Source'!AD517&gt;=3,"B",IF('Data Source'!AD517&gt;=2,"C",IF('Data Source'!AD517&gt;=1,"D","F")))))),"")</f>
        <v/>
      </c>
      <c r="M517" s="3">
        <f>IF(AND('Data Source'!B517&lt;&gt;"",'Data Source'!S517="A+"),IF('Data Source'!AE517&gt;=5,"A+",IF('Data Source'!AE517&gt;=4,"A",IF('Data Source'!AE517&gt;=3.5,"A-",IF('Data Source'!AE517&gt;=3,"B",IF('Data Source'!AE517&gt;=2,"C",IF('Data Source'!AE517&gt;=1,"D","F")))))),"")</f>
        <v/>
      </c>
      <c r="N517" s="3">
        <f>IF(AND('Data Source'!B517&lt;&gt;"",'Data Source'!S517="A+"),IF('Data Source'!AF517&gt;=5,"A+",IF('Data Source'!AF517&gt;=4,"A",IF('Data Source'!AF517&gt;=3.5,"A-",IF('Data Source'!AF517&gt;=3,"B",IF('Data Source'!AF517&gt;=2,"C",IF('Data Source'!AF517&gt;=1,"D","F")))))),"")</f>
        <v/>
      </c>
      <c r="O517" s="3">
        <f>IF(AND('Data Source'!B517&lt;&gt;"",'Data Source'!S517="A+"),IF('Data Source'!AG517&gt;=5,"A+",IF('Data Source'!AG517&gt;=4,"A",IF('Data Source'!AG517&gt;=3.5,"A-",IF('Data Source'!AG517&gt;=3,"B",IF('Data Source'!AG517&gt;=2,"C",IF('Data Source'!AG517&gt;=1,"D","F")))))),"")</f>
        <v/>
      </c>
      <c r="P517" s="5">
        <f>IF(AND('Data Source'!B517&lt;&gt;"",'Data Source'!S517="A+"),'Data Source'!R517,"")</f>
        <v/>
      </c>
      <c r="Q517" s="3">
        <f>IF(AND('Data Source'!B517&lt;&gt;"",'Data Source'!S517="A+"),'Data Source'!S517,"")</f>
        <v/>
      </c>
    </row>
    <row r="518">
      <c r="A518" s="3">
        <f>IF(AND('Data Source'!B518&lt;&gt;"",'Data Source'!S518="A+"),COUNTIF('Data Source'!$S$3:S518,"A+"),"")</f>
        <v/>
      </c>
      <c r="B518">
        <f>IF(AND('Data Source'!B518&lt;&gt;"",'Data Source'!S518="A+"),'Data Source'!B518,"")</f>
        <v/>
      </c>
      <c r="C518" s="3">
        <f>IF(AND('Data Source'!B518&lt;&gt;"",'Data Source'!S518="A+"),IF('Data Source'!U518&gt;=5,"A+",IF('Data Source'!U518&gt;=4,"A",IF('Data Source'!U518&gt;=3.5,"A-",IF('Data Source'!U518&gt;=3,"B",IF('Data Source'!U518&gt;=2,"C",IF('Data Source'!U518&gt;=1,"D","F")))))),"")</f>
        <v/>
      </c>
      <c r="D518" s="3">
        <f>IF(AND('Data Source'!B518&lt;&gt;"",'Data Source'!S518="A+"),IF('Data Source'!V518&gt;=5,"A+",IF('Data Source'!V518&gt;=4,"A",IF('Data Source'!V518&gt;=3.5,"A-",IF('Data Source'!V518&gt;=3,"B",IF('Data Source'!V518&gt;=2,"C",IF('Data Source'!V518&gt;=1,"D","F")))))),"")</f>
        <v/>
      </c>
      <c r="E518" s="3">
        <f>IF(AND('Data Source'!B518&lt;&gt;"",'Data Source'!S518="A+"),IF('Data Source'!W518&gt;=5,"A+",IF('Data Source'!W518&gt;=4,"A",IF('Data Source'!W518&gt;=3.5,"A-",IF('Data Source'!W518&gt;=3,"B",IF('Data Source'!W518&gt;=2,"C",IF('Data Source'!W518&gt;=1,"D","F")))))),"")</f>
        <v/>
      </c>
      <c r="F518" s="3">
        <f>IF(AND('Data Source'!B518&lt;&gt;"",'Data Source'!S518="A+"),IF('Data Source'!X518&gt;=5,"A+",IF('Data Source'!X518&gt;=4,"A",IF('Data Source'!X518&gt;=3.5,"A-",IF('Data Source'!X518&gt;=3,"B",IF('Data Source'!X518&gt;=2,"C",IF('Data Source'!X518&gt;=1,"D","F")))))),"")</f>
        <v/>
      </c>
      <c r="G518" s="3">
        <f>IF(AND('Data Source'!B518&lt;&gt;"",'Data Source'!S518="A+"),IF('Data Source'!Y518&gt;=5,"A+",IF('Data Source'!Y518&gt;=4,"A",IF('Data Source'!Y518&gt;=3.5,"A-",IF('Data Source'!Y518&gt;=3,"B",IF('Data Source'!Y518&gt;=2,"C",IF('Data Source'!Y518&gt;=1,"D","F")))))),"")</f>
        <v/>
      </c>
      <c r="H518" s="3">
        <f>IF(AND('Data Source'!B518&lt;&gt;"",'Data Source'!S518="A+"),IF('Data Source'!Z518&gt;=5,"A+",IF('Data Source'!Z518&gt;=4,"A",IF('Data Source'!Z518&gt;=3.5,"A-",IF('Data Source'!Z518&gt;=3,"B",IF('Data Source'!Z518&gt;=2,"C",IF('Data Source'!Z518&gt;=1,"D","F")))))),"")</f>
        <v/>
      </c>
      <c r="I518" s="3">
        <f>IF(AND('Data Source'!B518&lt;&gt;"",'Data Source'!S518="A+"),IF('Data Source'!AA518&gt;=5,"A+",IF('Data Source'!AA518&gt;=4,"A",IF('Data Source'!AA518&gt;=3.5,"A-",IF('Data Source'!AA518&gt;=3,"B",IF('Data Source'!AA518&gt;=2,"C",IF('Data Source'!AA518&gt;=1,"D","F")))))),"")</f>
        <v/>
      </c>
      <c r="J518" s="3">
        <f>IF(AND('Data Source'!B518&lt;&gt;"",'Data Source'!S518="A+"),IF('Data Source'!AB518&gt;=5,"A+",IF('Data Source'!AB518&gt;=4,"A",IF('Data Source'!AB518&gt;=3.5,"A-",IF('Data Source'!AB518&gt;=3,"B",IF('Data Source'!AB518&gt;=2,"C",IF('Data Source'!AB518&gt;=1,"D","F")))))),"")</f>
        <v/>
      </c>
      <c r="K518" s="3">
        <f>IF(AND('Data Source'!B518&lt;&gt;"",'Data Source'!S518="A+"),IF('Data Source'!AC518&gt;=5,"A+",IF('Data Source'!AC518&gt;=4,"A",IF('Data Source'!AC518&gt;=3.5,"A-",IF('Data Source'!AC518&gt;=3,"B",IF('Data Source'!AC518&gt;=2,"C",IF('Data Source'!AC518&gt;=1,"D","F")))))),"")</f>
        <v/>
      </c>
      <c r="L518" s="3">
        <f>IF(AND('Data Source'!B518&lt;&gt;"",'Data Source'!S518="A+"),IF('Data Source'!AD518&gt;=5,"A+",IF('Data Source'!AD518&gt;=4,"A",IF('Data Source'!AD518&gt;=3.5,"A-",IF('Data Source'!AD518&gt;=3,"B",IF('Data Source'!AD518&gt;=2,"C",IF('Data Source'!AD518&gt;=1,"D","F")))))),"")</f>
        <v/>
      </c>
      <c r="M518" s="3">
        <f>IF(AND('Data Source'!B518&lt;&gt;"",'Data Source'!S518="A+"),IF('Data Source'!AE518&gt;=5,"A+",IF('Data Source'!AE518&gt;=4,"A",IF('Data Source'!AE518&gt;=3.5,"A-",IF('Data Source'!AE518&gt;=3,"B",IF('Data Source'!AE518&gt;=2,"C",IF('Data Source'!AE518&gt;=1,"D","F")))))),"")</f>
        <v/>
      </c>
      <c r="N518" s="3">
        <f>IF(AND('Data Source'!B518&lt;&gt;"",'Data Source'!S518="A+"),IF('Data Source'!AF518&gt;=5,"A+",IF('Data Source'!AF518&gt;=4,"A",IF('Data Source'!AF518&gt;=3.5,"A-",IF('Data Source'!AF518&gt;=3,"B",IF('Data Source'!AF518&gt;=2,"C",IF('Data Source'!AF518&gt;=1,"D","F")))))),"")</f>
        <v/>
      </c>
      <c r="O518" s="3">
        <f>IF(AND('Data Source'!B518&lt;&gt;"",'Data Source'!S518="A+"),IF('Data Source'!AG518&gt;=5,"A+",IF('Data Source'!AG518&gt;=4,"A",IF('Data Source'!AG518&gt;=3.5,"A-",IF('Data Source'!AG518&gt;=3,"B",IF('Data Source'!AG518&gt;=2,"C",IF('Data Source'!AG518&gt;=1,"D","F")))))),"")</f>
        <v/>
      </c>
      <c r="P518" s="5">
        <f>IF(AND('Data Source'!B518&lt;&gt;"",'Data Source'!S518="A+"),'Data Source'!R518,"")</f>
        <v/>
      </c>
      <c r="Q518" s="3">
        <f>IF(AND('Data Source'!B518&lt;&gt;"",'Data Source'!S518="A+"),'Data Source'!S518,"")</f>
        <v/>
      </c>
    </row>
    <row r="519">
      <c r="A519" s="3">
        <f>IF(AND('Data Source'!B519&lt;&gt;"",'Data Source'!S519="A+"),COUNTIF('Data Source'!$S$3:S519,"A+"),"")</f>
        <v/>
      </c>
      <c r="B519">
        <f>IF(AND('Data Source'!B519&lt;&gt;"",'Data Source'!S519="A+"),'Data Source'!B519,"")</f>
        <v/>
      </c>
      <c r="C519" s="3">
        <f>IF(AND('Data Source'!B519&lt;&gt;"",'Data Source'!S519="A+"),IF('Data Source'!U519&gt;=5,"A+",IF('Data Source'!U519&gt;=4,"A",IF('Data Source'!U519&gt;=3.5,"A-",IF('Data Source'!U519&gt;=3,"B",IF('Data Source'!U519&gt;=2,"C",IF('Data Source'!U519&gt;=1,"D","F")))))),"")</f>
        <v/>
      </c>
      <c r="D519" s="3">
        <f>IF(AND('Data Source'!B519&lt;&gt;"",'Data Source'!S519="A+"),IF('Data Source'!V519&gt;=5,"A+",IF('Data Source'!V519&gt;=4,"A",IF('Data Source'!V519&gt;=3.5,"A-",IF('Data Source'!V519&gt;=3,"B",IF('Data Source'!V519&gt;=2,"C",IF('Data Source'!V519&gt;=1,"D","F")))))),"")</f>
        <v/>
      </c>
      <c r="E519" s="3">
        <f>IF(AND('Data Source'!B519&lt;&gt;"",'Data Source'!S519="A+"),IF('Data Source'!W519&gt;=5,"A+",IF('Data Source'!W519&gt;=4,"A",IF('Data Source'!W519&gt;=3.5,"A-",IF('Data Source'!W519&gt;=3,"B",IF('Data Source'!W519&gt;=2,"C",IF('Data Source'!W519&gt;=1,"D","F")))))),"")</f>
        <v/>
      </c>
      <c r="F519" s="3">
        <f>IF(AND('Data Source'!B519&lt;&gt;"",'Data Source'!S519="A+"),IF('Data Source'!X519&gt;=5,"A+",IF('Data Source'!X519&gt;=4,"A",IF('Data Source'!X519&gt;=3.5,"A-",IF('Data Source'!X519&gt;=3,"B",IF('Data Source'!X519&gt;=2,"C",IF('Data Source'!X519&gt;=1,"D","F")))))),"")</f>
        <v/>
      </c>
      <c r="G519" s="3">
        <f>IF(AND('Data Source'!B519&lt;&gt;"",'Data Source'!S519="A+"),IF('Data Source'!Y519&gt;=5,"A+",IF('Data Source'!Y519&gt;=4,"A",IF('Data Source'!Y519&gt;=3.5,"A-",IF('Data Source'!Y519&gt;=3,"B",IF('Data Source'!Y519&gt;=2,"C",IF('Data Source'!Y519&gt;=1,"D","F")))))),"")</f>
        <v/>
      </c>
      <c r="H519" s="3">
        <f>IF(AND('Data Source'!B519&lt;&gt;"",'Data Source'!S519="A+"),IF('Data Source'!Z519&gt;=5,"A+",IF('Data Source'!Z519&gt;=4,"A",IF('Data Source'!Z519&gt;=3.5,"A-",IF('Data Source'!Z519&gt;=3,"B",IF('Data Source'!Z519&gt;=2,"C",IF('Data Source'!Z519&gt;=1,"D","F")))))),"")</f>
        <v/>
      </c>
      <c r="I519" s="3">
        <f>IF(AND('Data Source'!B519&lt;&gt;"",'Data Source'!S519="A+"),IF('Data Source'!AA519&gt;=5,"A+",IF('Data Source'!AA519&gt;=4,"A",IF('Data Source'!AA519&gt;=3.5,"A-",IF('Data Source'!AA519&gt;=3,"B",IF('Data Source'!AA519&gt;=2,"C",IF('Data Source'!AA519&gt;=1,"D","F")))))),"")</f>
        <v/>
      </c>
      <c r="J519" s="3">
        <f>IF(AND('Data Source'!B519&lt;&gt;"",'Data Source'!S519="A+"),IF('Data Source'!AB519&gt;=5,"A+",IF('Data Source'!AB519&gt;=4,"A",IF('Data Source'!AB519&gt;=3.5,"A-",IF('Data Source'!AB519&gt;=3,"B",IF('Data Source'!AB519&gt;=2,"C",IF('Data Source'!AB519&gt;=1,"D","F")))))),"")</f>
        <v/>
      </c>
      <c r="K519" s="3">
        <f>IF(AND('Data Source'!B519&lt;&gt;"",'Data Source'!S519="A+"),IF('Data Source'!AC519&gt;=5,"A+",IF('Data Source'!AC519&gt;=4,"A",IF('Data Source'!AC519&gt;=3.5,"A-",IF('Data Source'!AC519&gt;=3,"B",IF('Data Source'!AC519&gt;=2,"C",IF('Data Source'!AC519&gt;=1,"D","F")))))),"")</f>
        <v/>
      </c>
      <c r="L519" s="3">
        <f>IF(AND('Data Source'!B519&lt;&gt;"",'Data Source'!S519="A+"),IF('Data Source'!AD519&gt;=5,"A+",IF('Data Source'!AD519&gt;=4,"A",IF('Data Source'!AD519&gt;=3.5,"A-",IF('Data Source'!AD519&gt;=3,"B",IF('Data Source'!AD519&gt;=2,"C",IF('Data Source'!AD519&gt;=1,"D","F")))))),"")</f>
        <v/>
      </c>
      <c r="M519" s="3">
        <f>IF(AND('Data Source'!B519&lt;&gt;"",'Data Source'!S519="A+"),IF('Data Source'!AE519&gt;=5,"A+",IF('Data Source'!AE519&gt;=4,"A",IF('Data Source'!AE519&gt;=3.5,"A-",IF('Data Source'!AE519&gt;=3,"B",IF('Data Source'!AE519&gt;=2,"C",IF('Data Source'!AE519&gt;=1,"D","F")))))),"")</f>
        <v/>
      </c>
      <c r="N519" s="3">
        <f>IF(AND('Data Source'!B519&lt;&gt;"",'Data Source'!S519="A+"),IF('Data Source'!AF519&gt;=5,"A+",IF('Data Source'!AF519&gt;=4,"A",IF('Data Source'!AF519&gt;=3.5,"A-",IF('Data Source'!AF519&gt;=3,"B",IF('Data Source'!AF519&gt;=2,"C",IF('Data Source'!AF519&gt;=1,"D","F")))))),"")</f>
        <v/>
      </c>
      <c r="O519" s="3">
        <f>IF(AND('Data Source'!B519&lt;&gt;"",'Data Source'!S519="A+"),IF('Data Source'!AG519&gt;=5,"A+",IF('Data Source'!AG519&gt;=4,"A",IF('Data Source'!AG519&gt;=3.5,"A-",IF('Data Source'!AG519&gt;=3,"B",IF('Data Source'!AG519&gt;=2,"C",IF('Data Source'!AG519&gt;=1,"D","F")))))),"")</f>
        <v/>
      </c>
      <c r="P519" s="5">
        <f>IF(AND('Data Source'!B519&lt;&gt;"",'Data Source'!S519="A+"),'Data Source'!R519,"")</f>
        <v/>
      </c>
      <c r="Q519" s="3">
        <f>IF(AND('Data Source'!B519&lt;&gt;"",'Data Source'!S519="A+"),'Data Source'!S519,"")</f>
        <v/>
      </c>
    </row>
    <row r="520">
      <c r="A520" s="3">
        <f>IF(AND('Data Source'!B520&lt;&gt;"",'Data Source'!S520="A+"),COUNTIF('Data Source'!$S$3:S520,"A+"),"")</f>
        <v/>
      </c>
      <c r="B520">
        <f>IF(AND('Data Source'!B520&lt;&gt;"",'Data Source'!S520="A+"),'Data Source'!B520,"")</f>
        <v/>
      </c>
      <c r="C520" s="3">
        <f>IF(AND('Data Source'!B520&lt;&gt;"",'Data Source'!S520="A+"),IF('Data Source'!U520&gt;=5,"A+",IF('Data Source'!U520&gt;=4,"A",IF('Data Source'!U520&gt;=3.5,"A-",IF('Data Source'!U520&gt;=3,"B",IF('Data Source'!U520&gt;=2,"C",IF('Data Source'!U520&gt;=1,"D","F")))))),"")</f>
        <v/>
      </c>
      <c r="D520" s="3">
        <f>IF(AND('Data Source'!B520&lt;&gt;"",'Data Source'!S520="A+"),IF('Data Source'!V520&gt;=5,"A+",IF('Data Source'!V520&gt;=4,"A",IF('Data Source'!V520&gt;=3.5,"A-",IF('Data Source'!V520&gt;=3,"B",IF('Data Source'!V520&gt;=2,"C",IF('Data Source'!V520&gt;=1,"D","F")))))),"")</f>
        <v/>
      </c>
      <c r="E520" s="3">
        <f>IF(AND('Data Source'!B520&lt;&gt;"",'Data Source'!S520="A+"),IF('Data Source'!W520&gt;=5,"A+",IF('Data Source'!W520&gt;=4,"A",IF('Data Source'!W520&gt;=3.5,"A-",IF('Data Source'!W520&gt;=3,"B",IF('Data Source'!W520&gt;=2,"C",IF('Data Source'!W520&gt;=1,"D","F")))))),"")</f>
        <v/>
      </c>
      <c r="F520" s="3">
        <f>IF(AND('Data Source'!B520&lt;&gt;"",'Data Source'!S520="A+"),IF('Data Source'!X520&gt;=5,"A+",IF('Data Source'!X520&gt;=4,"A",IF('Data Source'!X520&gt;=3.5,"A-",IF('Data Source'!X520&gt;=3,"B",IF('Data Source'!X520&gt;=2,"C",IF('Data Source'!X520&gt;=1,"D","F")))))),"")</f>
        <v/>
      </c>
      <c r="G520" s="3">
        <f>IF(AND('Data Source'!B520&lt;&gt;"",'Data Source'!S520="A+"),IF('Data Source'!Y520&gt;=5,"A+",IF('Data Source'!Y520&gt;=4,"A",IF('Data Source'!Y520&gt;=3.5,"A-",IF('Data Source'!Y520&gt;=3,"B",IF('Data Source'!Y520&gt;=2,"C",IF('Data Source'!Y520&gt;=1,"D","F")))))),"")</f>
        <v/>
      </c>
      <c r="H520" s="3">
        <f>IF(AND('Data Source'!B520&lt;&gt;"",'Data Source'!S520="A+"),IF('Data Source'!Z520&gt;=5,"A+",IF('Data Source'!Z520&gt;=4,"A",IF('Data Source'!Z520&gt;=3.5,"A-",IF('Data Source'!Z520&gt;=3,"B",IF('Data Source'!Z520&gt;=2,"C",IF('Data Source'!Z520&gt;=1,"D","F")))))),"")</f>
        <v/>
      </c>
      <c r="I520" s="3">
        <f>IF(AND('Data Source'!B520&lt;&gt;"",'Data Source'!S520="A+"),IF('Data Source'!AA520&gt;=5,"A+",IF('Data Source'!AA520&gt;=4,"A",IF('Data Source'!AA520&gt;=3.5,"A-",IF('Data Source'!AA520&gt;=3,"B",IF('Data Source'!AA520&gt;=2,"C",IF('Data Source'!AA520&gt;=1,"D","F")))))),"")</f>
        <v/>
      </c>
      <c r="J520" s="3">
        <f>IF(AND('Data Source'!B520&lt;&gt;"",'Data Source'!S520="A+"),IF('Data Source'!AB520&gt;=5,"A+",IF('Data Source'!AB520&gt;=4,"A",IF('Data Source'!AB520&gt;=3.5,"A-",IF('Data Source'!AB520&gt;=3,"B",IF('Data Source'!AB520&gt;=2,"C",IF('Data Source'!AB520&gt;=1,"D","F")))))),"")</f>
        <v/>
      </c>
      <c r="K520" s="3">
        <f>IF(AND('Data Source'!B520&lt;&gt;"",'Data Source'!S520="A+"),IF('Data Source'!AC520&gt;=5,"A+",IF('Data Source'!AC520&gt;=4,"A",IF('Data Source'!AC520&gt;=3.5,"A-",IF('Data Source'!AC520&gt;=3,"B",IF('Data Source'!AC520&gt;=2,"C",IF('Data Source'!AC520&gt;=1,"D","F")))))),"")</f>
        <v/>
      </c>
      <c r="L520" s="3">
        <f>IF(AND('Data Source'!B520&lt;&gt;"",'Data Source'!S520="A+"),IF('Data Source'!AD520&gt;=5,"A+",IF('Data Source'!AD520&gt;=4,"A",IF('Data Source'!AD520&gt;=3.5,"A-",IF('Data Source'!AD520&gt;=3,"B",IF('Data Source'!AD520&gt;=2,"C",IF('Data Source'!AD520&gt;=1,"D","F")))))),"")</f>
        <v/>
      </c>
      <c r="M520" s="3">
        <f>IF(AND('Data Source'!B520&lt;&gt;"",'Data Source'!S520="A+"),IF('Data Source'!AE520&gt;=5,"A+",IF('Data Source'!AE520&gt;=4,"A",IF('Data Source'!AE520&gt;=3.5,"A-",IF('Data Source'!AE520&gt;=3,"B",IF('Data Source'!AE520&gt;=2,"C",IF('Data Source'!AE520&gt;=1,"D","F")))))),"")</f>
        <v/>
      </c>
      <c r="N520" s="3">
        <f>IF(AND('Data Source'!B520&lt;&gt;"",'Data Source'!S520="A+"),IF('Data Source'!AF520&gt;=5,"A+",IF('Data Source'!AF520&gt;=4,"A",IF('Data Source'!AF520&gt;=3.5,"A-",IF('Data Source'!AF520&gt;=3,"B",IF('Data Source'!AF520&gt;=2,"C",IF('Data Source'!AF520&gt;=1,"D","F")))))),"")</f>
        <v/>
      </c>
      <c r="O520" s="3">
        <f>IF(AND('Data Source'!B520&lt;&gt;"",'Data Source'!S520="A+"),IF('Data Source'!AG520&gt;=5,"A+",IF('Data Source'!AG520&gt;=4,"A",IF('Data Source'!AG520&gt;=3.5,"A-",IF('Data Source'!AG520&gt;=3,"B",IF('Data Source'!AG520&gt;=2,"C",IF('Data Source'!AG520&gt;=1,"D","F")))))),"")</f>
        <v/>
      </c>
      <c r="P520" s="5">
        <f>IF(AND('Data Source'!B520&lt;&gt;"",'Data Source'!S520="A+"),'Data Source'!R520,"")</f>
        <v/>
      </c>
      <c r="Q520" s="3">
        <f>IF(AND('Data Source'!B520&lt;&gt;"",'Data Source'!S520="A+"),'Data Source'!S520,"")</f>
        <v/>
      </c>
    </row>
    <row r="521">
      <c r="A521" s="3">
        <f>IF(AND('Data Source'!B521&lt;&gt;"",'Data Source'!S521="A+"),COUNTIF('Data Source'!$S$3:S521,"A+"),"")</f>
        <v/>
      </c>
      <c r="B521">
        <f>IF(AND('Data Source'!B521&lt;&gt;"",'Data Source'!S521="A+"),'Data Source'!B521,"")</f>
        <v/>
      </c>
      <c r="C521" s="3">
        <f>IF(AND('Data Source'!B521&lt;&gt;"",'Data Source'!S521="A+"),IF('Data Source'!U521&gt;=5,"A+",IF('Data Source'!U521&gt;=4,"A",IF('Data Source'!U521&gt;=3.5,"A-",IF('Data Source'!U521&gt;=3,"B",IF('Data Source'!U521&gt;=2,"C",IF('Data Source'!U521&gt;=1,"D","F")))))),"")</f>
        <v/>
      </c>
      <c r="D521" s="3">
        <f>IF(AND('Data Source'!B521&lt;&gt;"",'Data Source'!S521="A+"),IF('Data Source'!V521&gt;=5,"A+",IF('Data Source'!V521&gt;=4,"A",IF('Data Source'!V521&gt;=3.5,"A-",IF('Data Source'!V521&gt;=3,"B",IF('Data Source'!V521&gt;=2,"C",IF('Data Source'!V521&gt;=1,"D","F")))))),"")</f>
        <v/>
      </c>
      <c r="E521" s="3">
        <f>IF(AND('Data Source'!B521&lt;&gt;"",'Data Source'!S521="A+"),IF('Data Source'!W521&gt;=5,"A+",IF('Data Source'!W521&gt;=4,"A",IF('Data Source'!W521&gt;=3.5,"A-",IF('Data Source'!W521&gt;=3,"B",IF('Data Source'!W521&gt;=2,"C",IF('Data Source'!W521&gt;=1,"D","F")))))),"")</f>
        <v/>
      </c>
      <c r="F521" s="3">
        <f>IF(AND('Data Source'!B521&lt;&gt;"",'Data Source'!S521="A+"),IF('Data Source'!X521&gt;=5,"A+",IF('Data Source'!X521&gt;=4,"A",IF('Data Source'!X521&gt;=3.5,"A-",IF('Data Source'!X521&gt;=3,"B",IF('Data Source'!X521&gt;=2,"C",IF('Data Source'!X521&gt;=1,"D","F")))))),"")</f>
        <v/>
      </c>
      <c r="G521" s="3">
        <f>IF(AND('Data Source'!B521&lt;&gt;"",'Data Source'!S521="A+"),IF('Data Source'!Y521&gt;=5,"A+",IF('Data Source'!Y521&gt;=4,"A",IF('Data Source'!Y521&gt;=3.5,"A-",IF('Data Source'!Y521&gt;=3,"B",IF('Data Source'!Y521&gt;=2,"C",IF('Data Source'!Y521&gt;=1,"D","F")))))),"")</f>
        <v/>
      </c>
      <c r="H521" s="3">
        <f>IF(AND('Data Source'!B521&lt;&gt;"",'Data Source'!S521="A+"),IF('Data Source'!Z521&gt;=5,"A+",IF('Data Source'!Z521&gt;=4,"A",IF('Data Source'!Z521&gt;=3.5,"A-",IF('Data Source'!Z521&gt;=3,"B",IF('Data Source'!Z521&gt;=2,"C",IF('Data Source'!Z521&gt;=1,"D","F")))))),"")</f>
        <v/>
      </c>
      <c r="I521" s="3">
        <f>IF(AND('Data Source'!B521&lt;&gt;"",'Data Source'!S521="A+"),IF('Data Source'!AA521&gt;=5,"A+",IF('Data Source'!AA521&gt;=4,"A",IF('Data Source'!AA521&gt;=3.5,"A-",IF('Data Source'!AA521&gt;=3,"B",IF('Data Source'!AA521&gt;=2,"C",IF('Data Source'!AA521&gt;=1,"D","F")))))),"")</f>
        <v/>
      </c>
      <c r="J521" s="3">
        <f>IF(AND('Data Source'!B521&lt;&gt;"",'Data Source'!S521="A+"),IF('Data Source'!AB521&gt;=5,"A+",IF('Data Source'!AB521&gt;=4,"A",IF('Data Source'!AB521&gt;=3.5,"A-",IF('Data Source'!AB521&gt;=3,"B",IF('Data Source'!AB521&gt;=2,"C",IF('Data Source'!AB521&gt;=1,"D","F")))))),"")</f>
        <v/>
      </c>
      <c r="K521" s="3">
        <f>IF(AND('Data Source'!B521&lt;&gt;"",'Data Source'!S521="A+"),IF('Data Source'!AC521&gt;=5,"A+",IF('Data Source'!AC521&gt;=4,"A",IF('Data Source'!AC521&gt;=3.5,"A-",IF('Data Source'!AC521&gt;=3,"B",IF('Data Source'!AC521&gt;=2,"C",IF('Data Source'!AC521&gt;=1,"D","F")))))),"")</f>
        <v/>
      </c>
      <c r="L521" s="3">
        <f>IF(AND('Data Source'!B521&lt;&gt;"",'Data Source'!S521="A+"),IF('Data Source'!AD521&gt;=5,"A+",IF('Data Source'!AD521&gt;=4,"A",IF('Data Source'!AD521&gt;=3.5,"A-",IF('Data Source'!AD521&gt;=3,"B",IF('Data Source'!AD521&gt;=2,"C",IF('Data Source'!AD521&gt;=1,"D","F")))))),"")</f>
        <v/>
      </c>
      <c r="M521" s="3">
        <f>IF(AND('Data Source'!B521&lt;&gt;"",'Data Source'!S521="A+"),IF('Data Source'!AE521&gt;=5,"A+",IF('Data Source'!AE521&gt;=4,"A",IF('Data Source'!AE521&gt;=3.5,"A-",IF('Data Source'!AE521&gt;=3,"B",IF('Data Source'!AE521&gt;=2,"C",IF('Data Source'!AE521&gt;=1,"D","F")))))),"")</f>
        <v/>
      </c>
      <c r="N521" s="3">
        <f>IF(AND('Data Source'!B521&lt;&gt;"",'Data Source'!S521="A+"),IF('Data Source'!AF521&gt;=5,"A+",IF('Data Source'!AF521&gt;=4,"A",IF('Data Source'!AF521&gt;=3.5,"A-",IF('Data Source'!AF521&gt;=3,"B",IF('Data Source'!AF521&gt;=2,"C",IF('Data Source'!AF521&gt;=1,"D","F")))))),"")</f>
        <v/>
      </c>
      <c r="O521" s="3">
        <f>IF(AND('Data Source'!B521&lt;&gt;"",'Data Source'!S521="A+"),IF('Data Source'!AG521&gt;=5,"A+",IF('Data Source'!AG521&gt;=4,"A",IF('Data Source'!AG521&gt;=3.5,"A-",IF('Data Source'!AG521&gt;=3,"B",IF('Data Source'!AG521&gt;=2,"C",IF('Data Source'!AG521&gt;=1,"D","F")))))),"")</f>
        <v/>
      </c>
      <c r="P521" s="5">
        <f>IF(AND('Data Source'!B521&lt;&gt;"",'Data Source'!S521="A+"),'Data Source'!R521,"")</f>
        <v/>
      </c>
      <c r="Q521" s="3">
        <f>IF(AND('Data Source'!B521&lt;&gt;"",'Data Source'!S521="A+"),'Data Source'!S521,"")</f>
        <v/>
      </c>
    </row>
    <row r="522">
      <c r="A522" s="3">
        <f>IF(AND('Data Source'!B522&lt;&gt;"",'Data Source'!S522="A+"),COUNTIF('Data Source'!$S$3:S522,"A+"),"")</f>
        <v/>
      </c>
      <c r="B522">
        <f>IF(AND('Data Source'!B522&lt;&gt;"",'Data Source'!S522="A+"),'Data Source'!B522,"")</f>
        <v/>
      </c>
      <c r="C522" s="3">
        <f>IF(AND('Data Source'!B522&lt;&gt;"",'Data Source'!S522="A+"),IF('Data Source'!U522&gt;=5,"A+",IF('Data Source'!U522&gt;=4,"A",IF('Data Source'!U522&gt;=3.5,"A-",IF('Data Source'!U522&gt;=3,"B",IF('Data Source'!U522&gt;=2,"C",IF('Data Source'!U522&gt;=1,"D","F")))))),"")</f>
        <v/>
      </c>
      <c r="D522" s="3">
        <f>IF(AND('Data Source'!B522&lt;&gt;"",'Data Source'!S522="A+"),IF('Data Source'!V522&gt;=5,"A+",IF('Data Source'!V522&gt;=4,"A",IF('Data Source'!V522&gt;=3.5,"A-",IF('Data Source'!V522&gt;=3,"B",IF('Data Source'!V522&gt;=2,"C",IF('Data Source'!V522&gt;=1,"D","F")))))),"")</f>
        <v/>
      </c>
      <c r="E522" s="3">
        <f>IF(AND('Data Source'!B522&lt;&gt;"",'Data Source'!S522="A+"),IF('Data Source'!W522&gt;=5,"A+",IF('Data Source'!W522&gt;=4,"A",IF('Data Source'!W522&gt;=3.5,"A-",IF('Data Source'!W522&gt;=3,"B",IF('Data Source'!W522&gt;=2,"C",IF('Data Source'!W522&gt;=1,"D","F")))))),"")</f>
        <v/>
      </c>
      <c r="F522" s="3">
        <f>IF(AND('Data Source'!B522&lt;&gt;"",'Data Source'!S522="A+"),IF('Data Source'!X522&gt;=5,"A+",IF('Data Source'!X522&gt;=4,"A",IF('Data Source'!X522&gt;=3.5,"A-",IF('Data Source'!X522&gt;=3,"B",IF('Data Source'!X522&gt;=2,"C",IF('Data Source'!X522&gt;=1,"D","F")))))),"")</f>
        <v/>
      </c>
      <c r="G522" s="3">
        <f>IF(AND('Data Source'!B522&lt;&gt;"",'Data Source'!S522="A+"),IF('Data Source'!Y522&gt;=5,"A+",IF('Data Source'!Y522&gt;=4,"A",IF('Data Source'!Y522&gt;=3.5,"A-",IF('Data Source'!Y522&gt;=3,"B",IF('Data Source'!Y522&gt;=2,"C",IF('Data Source'!Y522&gt;=1,"D","F")))))),"")</f>
        <v/>
      </c>
      <c r="H522" s="3">
        <f>IF(AND('Data Source'!B522&lt;&gt;"",'Data Source'!S522="A+"),IF('Data Source'!Z522&gt;=5,"A+",IF('Data Source'!Z522&gt;=4,"A",IF('Data Source'!Z522&gt;=3.5,"A-",IF('Data Source'!Z522&gt;=3,"B",IF('Data Source'!Z522&gt;=2,"C",IF('Data Source'!Z522&gt;=1,"D","F")))))),"")</f>
        <v/>
      </c>
      <c r="I522" s="3">
        <f>IF(AND('Data Source'!B522&lt;&gt;"",'Data Source'!S522="A+"),IF('Data Source'!AA522&gt;=5,"A+",IF('Data Source'!AA522&gt;=4,"A",IF('Data Source'!AA522&gt;=3.5,"A-",IF('Data Source'!AA522&gt;=3,"B",IF('Data Source'!AA522&gt;=2,"C",IF('Data Source'!AA522&gt;=1,"D","F")))))),"")</f>
        <v/>
      </c>
      <c r="J522" s="3">
        <f>IF(AND('Data Source'!B522&lt;&gt;"",'Data Source'!S522="A+"),IF('Data Source'!AB522&gt;=5,"A+",IF('Data Source'!AB522&gt;=4,"A",IF('Data Source'!AB522&gt;=3.5,"A-",IF('Data Source'!AB522&gt;=3,"B",IF('Data Source'!AB522&gt;=2,"C",IF('Data Source'!AB522&gt;=1,"D","F")))))),"")</f>
        <v/>
      </c>
      <c r="K522" s="3">
        <f>IF(AND('Data Source'!B522&lt;&gt;"",'Data Source'!S522="A+"),IF('Data Source'!AC522&gt;=5,"A+",IF('Data Source'!AC522&gt;=4,"A",IF('Data Source'!AC522&gt;=3.5,"A-",IF('Data Source'!AC522&gt;=3,"B",IF('Data Source'!AC522&gt;=2,"C",IF('Data Source'!AC522&gt;=1,"D","F")))))),"")</f>
        <v/>
      </c>
      <c r="L522" s="3">
        <f>IF(AND('Data Source'!B522&lt;&gt;"",'Data Source'!S522="A+"),IF('Data Source'!AD522&gt;=5,"A+",IF('Data Source'!AD522&gt;=4,"A",IF('Data Source'!AD522&gt;=3.5,"A-",IF('Data Source'!AD522&gt;=3,"B",IF('Data Source'!AD522&gt;=2,"C",IF('Data Source'!AD522&gt;=1,"D","F")))))),"")</f>
        <v/>
      </c>
      <c r="M522" s="3">
        <f>IF(AND('Data Source'!B522&lt;&gt;"",'Data Source'!S522="A+"),IF('Data Source'!AE522&gt;=5,"A+",IF('Data Source'!AE522&gt;=4,"A",IF('Data Source'!AE522&gt;=3.5,"A-",IF('Data Source'!AE522&gt;=3,"B",IF('Data Source'!AE522&gt;=2,"C",IF('Data Source'!AE522&gt;=1,"D","F")))))),"")</f>
        <v/>
      </c>
      <c r="N522" s="3">
        <f>IF(AND('Data Source'!B522&lt;&gt;"",'Data Source'!S522="A+"),IF('Data Source'!AF522&gt;=5,"A+",IF('Data Source'!AF522&gt;=4,"A",IF('Data Source'!AF522&gt;=3.5,"A-",IF('Data Source'!AF522&gt;=3,"B",IF('Data Source'!AF522&gt;=2,"C",IF('Data Source'!AF522&gt;=1,"D","F")))))),"")</f>
        <v/>
      </c>
      <c r="O522" s="3">
        <f>IF(AND('Data Source'!B522&lt;&gt;"",'Data Source'!S522="A+"),IF('Data Source'!AG522&gt;=5,"A+",IF('Data Source'!AG522&gt;=4,"A",IF('Data Source'!AG522&gt;=3.5,"A-",IF('Data Source'!AG522&gt;=3,"B",IF('Data Source'!AG522&gt;=2,"C",IF('Data Source'!AG522&gt;=1,"D","F")))))),"")</f>
        <v/>
      </c>
      <c r="P522" s="5">
        <f>IF(AND('Data Source'!B522&lt;&gt;"",'Data Source'!S522="A+"),'Data Source'!R522,"")</f>
        <v/>
      </c>
      <c r="Q522" s="3">
        <f>IF(AND('Data Source'!B522&lt;&gt;"",'Data Source'!S522="A+"),'Data Source'!S522,"")</f>
        <v/>
      </c>
    </row>
    <row r="523">
      <c r="A523" s="3">
        <f>IF(AND('Data Source'!B523&lt;&gt;"",'Data Source'!S523="A+"),COUNTIF('Data Source'!$S$3:S523,"A+"),"")</f>
        <v/>
      </c>
      <c r="B523">
        <f>IF(AND('Data Source'!B523&lt;&gt;"",'Data Source'!S523="A+"),'Data Source'!B523,"")</f>
        <v/>
      </c>
      <c r="C523" s="3">
        <f>IF(AND('Data Source'!B523&lt;&gt;"",'Data Source'!S523="A+"),IF('Data Source'!U523&gt;=5,"A+",IF('Data Source'!U523&gt;=4,"A",IF('Data Source'!U523&gt;=3.5,"A-",IF('Data Source'!U523&gt;=3,"B",IF('Data Source'!U523&gt;=2,"C",IF('Data Source'!U523&gt;=1,"D","F")))))),"")</f>
        <v/>
      </c>
      <c r="D523" s="3">
        <f>IF(AND('Data Source'!B523&lt;&gt;"",'Data Source'!S523="A+"),IF('Data Source'!V523&gt;=5,"A+",IF('Data Source'!V523&gt;=4,"A",IF('Data Source'!V523&gt;=3.5,"A-",IF('Data Source'!V523&gt;=3,"B",IF('Data Source'!V523&gt;=2,"C",IF('Data Source'!V523&gt;=1,"D","F")))))),"")</f>
        <v/>
      </c>
      <c r="E523" s="3">
        <f>IF(AND('Data Source'!B523&lt;&gt;"",'Data Source'!S523="A+"),IF('Data Source'!W523&gt;=5,"A+",IF('Data Source'!W523&gt;=4,"A",IF('Data Source'!W523&gt;=3.5,"A-",IF('Data Source'!W523&gt;=3,"B",IF('Data Source'!W523&gt;=2,"C",IF('Data Source'!W523&gt;=1,"D","F")))))),"")</f>
        <v/>
      </c>
      <c r="F523" s="3">
        <f>IF(AND('Data Source'!B523&lt;&gt;"",'Data Source'!S523="A+"),IF('Data Source'!X523&gt;=5,"A+",IF('Data Source'!X523&gt;=4,"A",IF('Data Source'!X523&gt;=3.5,"A-",IF('Data Source'!X523&gt;=3,"B",IF('Data Source'!X523&gt;=2,"C",IF('Data Source'!X523&gt;=1,"D","F")))))),"")</f>
        <v/>
      </c>
      <c r="G523" s="3">
        <f>IF(AND('Data Source'!B523&lt;&gt;"",'Data Source'!S523="A+"),IF('Data Source'!Y523&gt;=5,"A+",IF('Data Source'!Y523&gt;=4,"A",IF('Data Source'!Y523&gt;=3.5,"A-",IF('Data Source'!Y523&gt;=3,"B",IF('Data Source'!Y523&gt;=2,"C",IF('Data Source'!Y523&gt;=1,"D","F")))))),"")</f>
        <v/>
      </c>
      <c r="H523" s="3">
        <f>IF(AND('Data Source'!B523&lt;&gt;"",'Data Source'!S523="A+"),IF('Data Source'!Z523&gt;=5,"A+",IF('Data Source'!Z523&gt;=4,"A",IF('Data Source'!Z523&gt;=3.5,"A-",IF('Data Source'!Z523&gt;=3,"B",IF('Data Source'!Z523&gt;=2,"C",IF('Data Source'!Z523&gt;=1,"D","F")))))),"")</f>
        <v/>
      </c>
      <c r="I523" s="3">
        <f>IF(AND('Data Source'!B523&lt;&gt;"",'Data Source'!S523="A+"),IF('Data Source'!AA523&gt;=5,"A+",IF('Data Source'!AA523&gt;=4,"A",IF('Data Source'!AA523&gt;=3.5,"A-",IF('Data Source'!AA523&gt;=3,"B",IF('Data Source'!AA523&gt;=2,"C",IF('Data Source'!AA523&gt;=1,"D","F")))))),"")</f>
        <v/>
      </c>
      <c r="J523" s="3">
        <f>IF(AND('Data Source'!B523&lt;&gt;"",'Data Source'!S523="A+"),IF('Data Source'!AB523&gt;=5,"A+",IF('Data Source'!AB523&gt;=4,"A",IF('Data Source'!AB523&gt;=3.5,"A-",IF('Data Source'!AB523&gt;=3,"B",IF('Data Source'!AB523&gt;=2,"C",IF('Data Source'!AB523&gt;=1,"D","F")))))),"")</f>
        <v/>
      </c>
      <c r="K523" s="3">
        <f>IF(AND('Data Source'!B523&lt;&gt;"",'Data Source'!S523="A+"),IF('Data Source'!AC523&gt;=5,"A+",IF('Data Source'!AC523&gt;=4,"A",IF('Data Source'!AC523&gt;=3.5,"A-",IF('Data Source'!AC523&gt;=3,"B",IF('Data Source'!AC523&gt;=2,"C",IF('Data Source'!AC523&gt;=1,"D","F")))))),"")</f>
        <v/>
      </c>
      <c r="L523" s="3">
        <f>IF(AND('Data Source'!B523&lt;&gt;"",'Data Source'!S523="A+"),IF('Data Source'!AD523&gt;=5,"A+",IF('Data Source'!AD523&gt;=4,"A",IF('Data Source'!AD523&gt;=3.5,"A-",IF('Data Source'!AD523&gt;=3,"B",IF('Data Source'!AD523&gt;=2,"C",IF('Data Source'!AD523&gt;=1,"D","F")))))),"")</f>
        <v/>
      </c>
      <c r="M523" s="3">
        <f>IF(AND('Data Source'!B523&lt;&gt;"",'Data Source'!S523="A+"),IF('Data Source'!AE523&gt;=5,"A+",IF('Data Source'!AE523&gt;=4,"A",IF('Data Source'!AE523&gt;=3.5,"A-",IF('Data Source'!AE523&gt;=3,"B",IF('Data Source'!AE523&gt;=2,"C",IF('Data Source'!AE523&gt;=1,"D","F")))))),"")</f>
        <v/>
      </c>
      <c r="N523" s="3">
        <f>IF(AND('Data Source'!B523&lt;&gt;"",'Data Source'!S523="A+"),IF('Data Source'!AF523&gt;=5,"A+",IF('Data Source'!AF523&gt;=4,"A",IF('Data Source'!AF523&gt;=3.5,"A-",IF('Data Source'!AF523&gt;=3,"B",IF('Data Source'!AF523&gt;=2,"C",IF('Data Source'!AF523&gt;=1,"D","F")))))),"")</f>
        <v/>
      </c>
      <c r="O523" s="3">
        <f>IF(AND('Data Source'!B523&lt;&gt;"",'Data Source'!S523="A+"),IF('Data Source'!AG523&gt;=5,"A+",IF('Data Source'!AG523&gt;=4,"A",IF('Data Source'!AG523&gt;=3.5,"A-",IF('Data Source'!AG523&gt;=3,"B",IF('Data Source'!AG523&gt;=2,"C",IF('Data Source'!AG523&gt;=1,"D","F")))))),"")</f>
        <v/>
      </c>
      <c r="P523" s="5">
        <f>IF(AND('Data Source'!B523&lt;&gt;"",'Data Source'!S523="A+"),'Data Source'!R523,"")</f>
        <v/>
      </c>
      <c r="Q523" s="3">
        <f>IF(AND('Data Source'!B523&lt;&gt;"",'Data Source'!S523="A+"),'Data Source'!S523,"")</f>
        <v/>
      </c>
    </row>
    <row r="524">
      <c r="A524" s="3">
        <f>IF(AND('Data Source'!B524&lt;&gt;"",'Data Source'!S524="A+"),COUNTIF('Data Source'!$S$3:S524,"A+"),"")</f>
        <v/>
      </c>
      <c r="B524">
        <f>IF(AND('Data Source'!B524&lt;&gt;"",'Data Source'!S524="A+"),'Data Source'!B524,"")</f>
        <v/>
      </c>
      <c r="C524" s="3">
        <f>IF(AND('Data Source'!B524&lt;&gt;"",'Data Source'!S524="A+"),IF('Data Source'!U524&gt;=5,"A+",IF('Data Source'!U524&gt;=4,"A",IF('Data Source'!U524&gt;=3.5,"A-",IF('Data Source'!U524&gt;=3,"B",IF('Data Source'!U524&gt;=2,"C",IF('Data Source'!U524&gt;=1,"D","F")))))),"")</f>
        <v/>
      </c>
      <c r="D524" s="3">
        <f>IF(AND('Data Source'!B524&lt;&gt;"",'Data Source'!S524="A+"),IF('Data Source'!V524&gt;=5,"A+",IF('Data Source'!V524&gt;=4,"A",IF('Data Source'!V524&gt;=3.5,"A-",IF('Data Source'!V524&gt;=3,"B",IF('Data Source'!V524&gt;=2,"C",IF('Data Source'!V524&gt;=1,"D","F")))))),"")</f>
        <v/>
      </c>
      <c r="E524" s="3">
        <f>IF(AND('Data Source'!B524&lt;&gt;"",'Data Source'!S524="A+"),IF('Data Source'!W524&gt;=5,"A+",IF('Data Source'!W524&gt;=4,"A",IF('Data Source'!W524&gt;=3.5,"A-",IF('Data Source'!W524&gt;=3,"B",IF('Data Source'!W524&gt;=2,"C",IF('Data Source'!W524&gt;=1,"D","F")))))),"")</f>
        <v/>
      </c>
      <c r="F524" s="3">
        <f>IF(AND('Data Source'!B524&lt;&gt;"",'Data Source'!S524="A+"),IF('Data Source'!X524&gt;=5,"A+",IF('Data Source'!X524&gt;=4,"A",IF('Data Source'!X524&gt;=3.5,"A-",IF('Data Source'!X524&gt;=3,"B",IF('Data Source'!X524&gt;=2,"C",IF('Data Source'!X524&gt;=1,"D","F")))))),"")</f>
        <v/>
      </c>
      <c r="G524" s="3">
        <f>IF(AND('Data Source'!B524&lt;&gt;"",'Data Source'!S524="A+"),IF('Data Source'!Y524&gt;=5,"A+",IF('Data Source'!Y524&gt;=4,"A",IF('Data Source'!Y524&gt;=3.5,"A-",IF('Data Source'!Y524&gt;=3,"B",IF('Data Source'!Y524&gt;=2,"C",IF('Data Source'!Y524&gt;=1,"D","F")))))),"")</f>
        <v/>
      </c>
      <c r="H524" s="3">
        <f>IF(AND('Data Source'!B524&lt;&gt;"",'Data Source'!S524="A+"),IF('Data Source'!Z524&gt;=5,"A+",IF('Data Source'!Z524&gt;=4,"A",IF('Data Source'!Z524&gt;=3.5,"A-",IF('Data Source'!Z524&gt;=3,"B",IF('Data Source'!Z524&gt;=2,"C",IF('Data Source'!Z524&gt;=1,"D","F")))))),"")</f>
        <v/>
      </c>
      <c r="I524" s="3">
        <f>IF(AND('Data Source'!B524&lt;&gt;"",'Data Source'!S524="A+"),IF('Data Source'!AA524&gt;=5,"A+",IF('Data Source'!AA524&gt;=4,"A",IF('Data Source'!AA524&gt;=3.5,"A-",IF('Data Source'!AA524&gt;=3,"B",IF('Data Source'!AA524&gt;=2,"C",IF('Data Source'!AA524&gt;=1,"D","F")))))),"")</f>
        <v/>
      </c>
      <c r="J524" s="3">
        <f>IF(AND('Data Source'!B524&lt;&gt;"",'Data Source'!S524="A+"),IF('Data Source'!AB524&gt;=5,"A+",IF('Data Source'!AB524&gt;=4,"A",IF('Data Source'!AB524&gt;=3.5,"A-",IF('Data Source'!AB524&gt;=3,"B",IF('Data Source'!AB524&gt;=2,"C",IF('Data Source'!AB524&gt;=1,"D","F")))))),"")</f>
        <v/>
      </c>
      <c r="K524" s="3">
        <f>IF(AND('Data Source'!B524&lt;&gt;"",'Data Source'!S524="A+"),IF('Data Source'!AC524&gt;=5,"A+",IF('Data Source'!AC524&gt;=4,"A",IF('Data Source'!AC524&gt;=3.5,"A-",IF('Data Source'!AC524&gt;=3,"B",IF('Data Source'!AC524&gt;=2,"C",IF('Data Source'!AC524&gt;=1,"D","F")))))),"")</f>
        <v/>
      </c>
      <c r="L524" s="3">
        <f>IF(AND('Data Source'!B524&lt;&gt;"",'Data Source'!S524="A+"),IF('Data Source'!AD524&gt;=5,"A+",IF('Data Source'!AD524&gt;=4,"A",IF('Data Source'!AD524&gt;=3.5,"A-",IF('Data Source'!AD524&gt;=3,"B",IF('Data Source'!AD524&gt;=2,"C",IF('Data Source'!AD524&gt;=1,"D","F")))))),"")</f>
        <v/>
      </c>
      <c r="M524" s="3">
        <f>IF(AND('Data Source'!B524&lt;&gt;"",'Data Source'!S524="A+"),IF('Data Source'!AE524&gt;=5,"A+",IF('Data Source'!AE524&gt;=4,"A",IF('Data Source'!AE524&gt;=3.5,"A-",IF('Data Source'!AE524&gt;=3,"B",IF('Data Source'!AE524&gt;=2,"C",IF('Data Source'!AE524&gt;=1,"D","F")))))),"")</f>
        <v/>
      </c>
      <c r="N524" s="3">
        <f>IF(AND('Data Source'!B524&lt;&gt;"",'Data Source'!S524="A+"),IF('Data Source'!AF524&gt;=5,"A+",IF('Data Source'!AF524&gt;=4,"A",IF('Data Source'!AF524&gt;=3.5,"A-",IF('Data Source'!AF524&gt;=3,"B",IF('Data Source'!AF524&gt;=2,"C",IF('Data Source'!AF524&gt;=1,"D","F")))))),"")</f>
        <v/>
      </c>
      <c r="O524" s="3">
        <f>IF(AND('Data Source'!B524&lt;&gt;"",'Data Source'!S524="A+"),IF('Data Source'!AG524&gt;=5,"A+",IF('Data Source'!AG524&gt;=4,"A",IF('Data Source'!AG524&gt;=3.5,"A-",IF('Data Source'!AG524&gt;=3,"B",IF('Data Source'!AG524&gt;=2,"C",IF('Data Source'!AG524&gt;=1,"D","F")))))),"")</f>
        <v/>
      </c>
      <c r="P524" s="5">
        <f>IF(AND('Data Source'!B524&lt;&gt;"",'Data Source'!S524="A+"),'Data Source'!R524,"")</f>
        <v/>
      </c>
      <c r="Q524" s="3">
        <f>IF(AND('Data Source'!B524&lt;&gt;"",'Data Source'!S524="A+"),'Data Source'!S524,"")</f>
        <v/>
      </c>
    </row>
    <row r="525">
      <c r="A525" s="3">
        <f>IF(AND('Data Source'!B525&lt;&gt;"",'Data Source'!S525="A+"),COUNTIF('Data Source'!$S$3:S525,"A+"),"")</f>
        <v/>
      </c>
      <c r="B525">
        <f>IF(AND('Data Source'!B525&lt;&gt;"",'Data Source'!S525="A+"),'Data Source'!B525,"")</f>
        <v/>
      </c>
      <c r="C525" s="3">
        <f>IF(AND('Data Source'!B525&lt;&gt;"",'Data Source'!S525="A+"),IF('Data Source'!U525&gt;=5,"A+",IF('Data Source'!U525&gt;=4,"A",IF('Data Source'!U525&gt;=3.5,"A-",IF('Data Source'!U525&gt;=3,"B",IF('Data Source'!U525&gt;=2,"C",IF('Data Source'!U525&gt;=1,"D","F")))))),"")</f>
        <v/>
      </c>
      <c r="D525" s="3">
        <f>IF(AND('Data Source'!B525&lt;&gt;"",'Data Source'!S525="A+"),IF('Data Source'!V525&gt;=5,"A+",IF('Data Source'!V525&gt;=4,"A",IF('Data Source'!V525&gt;=3.5,"A-",IF('Data Source'!V525&gt;=3,"B",IF('Data Source'!V525&gt;=2,"C",IF('Data Source'!V525&gt;=1,"D","F")))))),"")</f>
        <v/>
      </c>
      <c r="E525" s="3">
        <f>IF(AND('Data Source'!B525&lt;&gt;"",'Data Source'!S525="A+"),IF('Data Source'!W525&gt;=5,"A+",IF('Data Source'!W525&gt;=4,"A",IF('Data Source'!W525&gt;=3.5,"A-",IF('Data Source'!W525&gt;=3,"B",IF('Data Source'!W525&gt;=2,"C",IF('Data Source'!W525&gt;=1,"D","F")))))),"")</f>
        <v/>
      </c>
      <c r="F525" s="3">
        <f>IF(AND('Data Source'!B525&lt;&gt;"",'Data Source'!S525="A+"),IF('Data Source'!X525&gt;=5,"A+",IF('Data Source'!X525&gt;=4,"A",IF('Data Source'!X525&gt;=3.5,"A-",IF('Data Source'!X525&gt;=3,"B",IF('Data Source'!X525&gt;=2,"C",IF('Data Source'!X525&gt;=1,"D","F")))))),"")</f>
        <v/>
      </c>
      <c r="G525" s="3">
        <f>IF(AND('Data Source'!B525&lt;&gt;"",'Data Source'!S525="A+"),IF('Data Source'!Y525&gt;=5,"A+",IF('Data Source'!Y525&gt;=4,"A",IF('Data Source'!Y525&gt;=3.5,"A-",IF('Data Source'!Y525&gt;=3,"B",IF('Data Source'!Y525&gt;=2,"C",IF('Data Source'!Y525&gt;=1,"D","F")))))),"")</f>
        <v/>
      </c>
      <c r="H525" s="3">
        <f>IF(AND('Data Source'!B525&lt;&gt;"",'Data Source'!S525="A+"),IF('Data Source'!Z525&gt;=5,"A+",IF('Data Source'!Z525&gt;=4,"A",IF('Data Source'!Z525&gt;=3.5,"A-",IF('Data Source'!Z525&gt;=3,"B",IF('Data Source'!Z525&gt;=2,"C",IF('Data Source'!Z525&gt;=1,"D","F")))))),"")</f>
        <v/>
      </c>
      <c r="I525" s="3">
        <f>IF(AND('Data Source'!B525&lt;&gt;"",'Data Source'!S525="A+"),IF('Data Source'!AA525&gt;=5,"A+",IF('Data Source'!AA525&gt;=4,"A",IF('Data Source'!AA525&gt;=3.5,"A-",IF('Data Source'!AA525&gt;=3,"B",IF('Data Source'!AA525&gt;=2,"C",IF('Data Source'!AA525&gt;=1,"D","F")))))),"")</f>
        <v/>
      </c>
      <c r="J525" s="3">
        <f>IF(AND('Data Source'!B525&lt;&gt;"",'Data Source'!S525="A+"),IF('Data Source'!AB525&gt;=5,"A+",IF('Data Source'!AB525&gt;=4,"A",IF('Data Source'!AB525&gt;=3.5,"A-",IF('Data Source'!AB525&gt;=3,"B",IF('Data Source'!AB525&gt;=2,"C",IF('Data Source'!AB525&gt;=1,"D","F")))))),"")</f>
        <v/>
      </c>
      <c r="K525" s="3">
        <f>IF(AND('Data Source'!B525&lt;&gt;"",'Data Source'!S525="A+"),IF('Data Source'!AC525&gt;=5,"A+",IF('Data Source'!AC525&gt;=4,"A",IF('Data Source'!AC525&gt;=3.5,"A-",IF('Data Source'!AC525&gt;=3,"B",IF('Data Source'!AC525&gt;=2,"C",IF('Data Source'!AC525&gt;=1,"D","F")))))),"")</f>
        <v/>
      </c>
      <c r="L525" s="3">
        <f>IF(AND('Data Source'!B525&lt;&gt;"",'Data Source'!S525="A+"),IF('Data Source'!AD525&gt;=5,"A+",IF('Data Source'!AD525&gt;=4,"A",IF('Data Source'!AD525&gt;=3.5,"A-",IF('Data Source'!AD525&gt;=3,"B",IF('Data Source'!AD525&gt;=2,"C",IF('Data Source'!AD525&gt;=1,"D","F")))))),"")</f>
        <v/>
      </c>
      <c r="M525" s="3">
        <f>IF(AND('Data Source'!B525&lt;&gt;"",'Data Source'!S525="A+"),IF('Data Source'!AE525&gt;=5,"A+",IF('Data Source'!AE525&gt;=4,"A",IF('Data Source'!AE525&gt;=3.5,"A-",IF('Data Source'!AE525&gt;=3,"B",IF('Data Source'!AE525&gt;=2,"C",IF('Data Source'!AE525&gt;=1,"D","F")))))),"")</f>
        <v/>
      </c>
      <c r="N525" s="3">
        <f>IF(AND('Data Source'!B525&lt;&gt;"",'Data Source'!S525="A+"),IF('Data Source'!AF525&gt;=5,"A+",IF('Data Source'!AF525&gt;=4,"A",IF('Data Source'!AF525&gt;=3.5,"A-",IF('Data Source'!AF525&gt;=3,"B",IF('Data Source'!AF525&gt;=2,"C",IF('Data Source'!AF525&gt;=1,"D","F")))))),"")</f>
        <v/>
      </c>
      <c r="O525" s="3">
        <f>IF(AND('Data Source'!B525&lt;&gt;"",'Data Source'!S525="A+"),IF('Data Source'!AG525&gt;=5,"A+",IF('Data Source'!AG525&gt;=4,"A",IF('Data Source'!AG525&gt;=3.5,"A-",IF('Data Source'!AG525&gt;=3,"B",IF('Data Source'!AG525&gt;=2,"C",IF('Data Source'!AG525&gt;=1,"D","F")))))),"")</f>
        <v/>
      </c>
      <c r="P525" s="5">
        <f>IF(AND('Data Source'!B525&lt;&gt;"",'Data Source'!S525="A+"),'Data Source'!R525,"")</f>
        <v/>
      </c>
      <c r="Q525" s="3">
        <f>IF(AND('Data Source'!B525&lt;&gt;"",'Data Source'!S525="A+"),'Data Source'!S525,"")</f>
        <v/>
      </c>
    </row>
    <row r="526">
      <c r="A526" s="3">
        <f>IF(AND('Data Source'!B526&lt;&gt;"",'Data Source'!S526="A+"),COUNTIF('Data Source'!$S$3:S526,"A+"),"")</f>
        <v/>
      </c>
      <c r="B526">
        <f>IF(AND('Data Source'!B526&lt;&gt;"",'Data Source'!S526="A+"),'Data Source'!B526,"")</f>
        <v/>
      </c>
      <c r="C526" s="3">
        <f>IF(AND('Data Source'!B526&lt;&gt;"",'Data Source'!S526="A+"),IF('Data Source'!U526&gt;=5,"A+",IF('Data Source'!U526&gt;=4,"A",IF('Data Source'!U526&gt;=3.5,"A-",IF('Data Source'!U526&gt;=3,"B",IF('Data Source'!U526&gt;=2,"C",IF('Data Source'!U526&gt;=1,"D","F")))))),"")</f>
        <v/>
      </c>
      <c r="D526" s="3">
        <f>IF(AND('Data Source'!B526&lt;&gt;"",'Data Source'!S526="A+"),IF('Data Source'!V526&gt;=5,"A+",IF('Data Source'!V526&gt;=4,"A",IF('Data Source'!V526&gt;=3.5,"A-",IF('Data Source'!V526&gt;=3,"B",IF('Data Source'!V526&gt;=2,"C",IF('Data Source'!V526&gt;=1,"D","F")))))),"")</f>
        <v/>
      </c>
      <c r="E526" s="3">
        <f>IF(AND('Data Source'!B526&lt;&gt;"",'Data Source'!S526="A+"),IF('Data Source'!W526&gt;=5,"A+",IF('Data Source'!W526&gt;=4,"A",IF('Data Source'!W526&gt;=3.5,"A-",IF('Data Source'!W526&gt;=3,"B",IF('Data Source'!W526&gt;=2,"C",IF('Data Source'!W526&gt;=1,"D","F")))))),"")</f>
        <v/>
      </c>
      <c r="F526" s="3">
        <f>IF(AND('Data Source'!B526&lt;&gt;"",'Data Source'!S526="A+"),IF('Data Source'!X526&gt;=5,"A+",IF('Data Source'!X526&gt;=4,"A",IF('Data Source'!X526&gt;=3.5,"A-",IF('Data Source'!X526&gt;=3,"B",IF('Data Source'!X526&gt;=2,"C",IF('Data Source'!X526&gt;=1,"D","F")))))),"")</f>
        <v/>
      </c>
      <c r="G526" s="3">
        <f>IF(AND('Data Source'!B526&lt;&gt;"",'Data Source'!S526="A+"),IF('Data Source'!Y526&gt;=5,"A+",IF('Data Source'!Y526&gt;=4,"A",IF('Data Source'!Y526&gt;=3.5,"A-",IF('Data Source'!Y526&gt;=3,"B",IF('Data Source'!Y526&gt;=2,"C",IF('Data Source'!Y526&gt;=1,"D","F")))))),"")</f>
        <v/>
      </c>
      <c r="H526" s="3">
        <f>IF(AND('Data Source'!B526&lt;&gt;"",'Data Source'!S526="A+"),IF('Data Source'!Z526&gt;=5,"A+",IF('Data Source'!Z526&gt;=4,"A",IF('Data Source'!Z526&gt;=3.5,"A-",IF('Data Source'!Z526&gt;=3,"B",IF('Data Source'!Z526&gt;=2,"C",IF('Data Source'!Z526&gt;=1,"D","F")))))),"")</f>
        <v/>
      </c>
      <c r="I526" s="3">
        <f>IF(AND('Data Source'!B526&lt;&gt;"",'Data Source'!S526="A+"),IF('Data Source'!AA526&gt;=5,"A+",IF('Data Source'!AA526&gt;=4,"A",IF('Data Source'!AA526&gt;=3.5,"A-",IF('Data Source'!AA526&gt;=3,"B",IF('Data Source'!AA526&gt;=2,"C",IF('Data Source'!AA526&gt;=1,"D","F")))))),"")</f>
        <v/>
      </c>
      <c r="J526" s="3">
        <f>IF(AND('Data Source'!B526&lt;&gt;"",'Data Source'!S526="A+"),IF('Data Source'!AB526&gt;=5,"A+",IF('Data Source'!AB526&gt;=4,"A",IF('Data Source'!AB526&gt;=3.5,"A-",IF('Data Source'!AB526&gt;=3,"B",IF('Data Source'!AB526&gt;=2,"C",IF('Data Source'!AB526&gt;=1,"D","F")))))),"")</f>
        <v/>
      </c>
      <c r="K526" s="3">
        <f>IF(AND('Data Source'!B526&lt;&gt;"",'Data Source'!S526="A+"),IF('Data Source'!AC526&gt;=5,"A+",IF('Data Source'!AC526&gt;=4,"A",IF('Data Source'!AC526&gt;=3.5,"A-",IF('Data Source'!AC526&gt;=3,"B",IF('Data Source'!AC526&gt;=2,"C",IF('Data Source'!AC526&gt;=1,"D","F")))))),"")</f>
        <v/>
      </c>
      <c r="L526" s="3">
        <f>IF(AND('Data Source'!B526&lt;&gt;"",'Data Source'!S526="A+"),IF('Data Source'!AD526&gt;=5,"A+",IF('Data Source'!AD526&gt;=4,"A",IF('Data Source'!AD526&gt;=3.5,"A-",IF('Data Source'!AD526&gt;=3,"B",IF('Data Source'!AD526&gt;=2,"C",IF('Data Source'!AD526&gt;=1,"D","F")))))),"")</f>
        <v/>
      </c>
      <c r="M526" s="3">
        <f>IF(AND('Data Source'!B526&lt;&gt;"",'Data Source'!S526="A+"),IF('Data Source'!AE526&gt;=5,"A+",IF('Data Source'!AE526&gt;=4,"A",IF('Data Source'!AE526&gt;=3.5,"A-",IF('Data Source'!AE526&gt;=3,"B",IF('Data Source'!AE526&gt;=2,"C",IF('Data Source'!AE526&gt;=1,"D","F")))))),"")</f>
        <v/>
      </c>
      <c r="N526" s="3">
        <f>IF(AND('Data Source'!B526&lt;&gt;"",'Data Source'!S526="A+"),IF('Data Source'!AF526&gt;=5,"A+",IF('Data Source'!AF526&gt;=4,"A",IF('Data Source'!AF526&gt;=3.5,"A-",IF('Data Source'!AF526&gt;=3,"B",IF('Data Source'!AF526&gt;=2,"C",IF('Data Source'!AF526&gt;=1,"D","F")))))),"")</f>
        <v/>
      </c>
      <c r="O526" s="3">
        <f>IF(AND('Data Source'!B526&lt;&gt;"",'Data Source'!S526="A+"),IF('Data Source'!AG526&gt;=5,"A+",IF('Data Source'!AG526&gt;=4,"A",IF('Data Source'!AG526&gt;=3.5,"A-",IF('Data Source'!AG526&gt;=3,"B",IF('Data Source'!AG526&gt;=2,"C",IF('Data Source'!AG526&gt;=1,"D","F")))))),"")</f>
        <v/>
      </c>
      <c r="P526" s="5">
        <f>IF(AND('Data Source'!B526&lt;&gt;"",'Data Source'!S526="A+"),'Data Source'!R526,"")</f>
        <v/>
      </c>
      <c r="Q526" s="3">
        <f>IF(AND('Data Source'!B526&lt;&gt;"",'Data Source'!S526="A+"),'Data Source'!S526,"")</f>
        <v/>
      </c>
    </row>
    <row r="527">
      <c r="A527" s="3">
        <f>IF(AND('Data Source'!B527&lt;&gt;"",'Data Source'!S527="A+"),COUNTIF('Data Source'!$S$3:S527,"A+"),"")</f>
        <v/>
      </c>
      <c r="B527">
        <f>IF(AND('Data Source'!B527&lt;&gt;"",'Data Source'!S527="A+"),'Data Source'!B527,"")</f>
        <v/>
      </c>
      <c r="C527" s="3">
        <f>IF(AND('Data Source'!B527&lt;&gt;"",'Data Source'!S527="A+"),IF('Data Source'!U527&gt;=5,"A+",IF('Data Source'!U527&gt;=4,"A",IF('Data Source'!U527&gt;=3.5,"A-",IF('Data Source'!U527&gt;=3,"B",IF('Data Source'!U527&gt;=2,"C",IF('Data Source'!U527&gt;=1,"D","F")))))),"")</f>
        <v/>
      </c>
      <c r="D527" s="3">
        <f>IF(AND('Data Source'!B527&lt;&gt;"",'Data Source'!S527="A+"),IF('Data Source'!V527&gt;=5,"A+",IF('Data Source'!V527&gt;=4,"A",IF('Data Source'!V527&gt;=3.5,"A-",IF('Data Source'!V527&gt;=3,"B",IF('Data Source'!V527&gt;=2,"C",IF('Data Source'!V527&gt;=1,"D","F")))))),"")</f>
        <v/>
      </c>
      <c r="E527" s="3">
        <f>IF(AND('Data Source'!B527&lt;&gt;"",'Data Source'!S527="A+"),IF('Data Source'!W527&gt;=5,"A+",IF('Data Source'!W527&gt;=4,"A",IF('Data Source'!W527&gt;=3.5,"A-",IF('Data Source'!W527&gt;=3,"B",IF('Data Source'!W527&gt;=2,"C",IF('Data Source'!W527&gt;=1,"D","F")))))),"")</f>
        <v/>
      </c>
      <c r="F527" s="3">
        <f>IF(AND('Data Source'!B527&lt;&gt;"",'Data Source'!S527="A+"),IF('Data Source'!X527&gt;=5,"A+",IF('Data Source'!X527&gt;=4,"A",IF('Data Source'!X527&gt;=3.5,"A-",IF('Data Source'!X527&gt;=3,"B",IF('Data Source'!X527&gt;=2,"C",IF('Data Source'!X527&gt;=1,"D","F")))))),"")</f>
        <v/>
      </c>
      <c r="G527" s="3">
        <f>IF(AND('Data Source'!B527&lt;&gt;"",'Data Source'!S527="A+"),IF('Data Source'!Y527&gt;=5,"A+",IF('Data Source'!Y527&gt;=4,"A",IF('Data Source'!Y527&gt;=3.5,"A-",IF('Data Source'!Y527&gt;=3,"B",IF('Data Source'!Y527&gt;=2,"C",IF('Data Source'!Y527&gt;=1,"D","F")))))),"")</f>
        <v/>
      </c>
      <c r="H527" s="3">
        <f>IF(AND('Data Source'!B527&lt;&gt;"",'Data Source'!S527="A+"),IF('Data Source'!Z527&gt;=5,"A+",IF('Data Source'!Z527&gt;=4,"A",IF('Data Source'!Z527&gt;=3.5,"A-",IF('Data Source'!Z527&gt;=3,"B",IF('Data Source'!Z527&gt;=2,"C",IF('Data Source'!Z527&gt;=1,"D","F")))))),"")</f>
        <v/>
      </c>
      <c r="I527" s="3">
        <f>IF(AND('Data Source'!B527&lt;&gt;"",'Data Source'!S527="A+"),IF('Data Source'!AA527&gt;=5,"A+",IF('Data Source'!AA527&gt;=4,"A",IF('Data Source'!AA527&gt;=3.5,"A-",IF('Data Source'!AA527&gt;=3,"B",IF('Data Source'!AA527&gt;=2,"C",IF('Data Source'!AA527&gt;=1,"D","F")))))),"")</f>
        <v/>
      </c>
      <c r="J527" s="3">
        <f>IF(AND('Data Source'!B527&lt;&gt;"",'Data Source'!S527="A+"),IF('Data Source'!AB527&gt;=5,"A+",IF('Data Source'!AB527&gt;=4,"A",IF('Data Source'!AB527&gt;=3.5,"A-",IF('Data Source'!AB527&gt;=3,"B",IF('Data Source'!AB527&gt;=2,"C",IF('Data Source'!AB527&gt;=1,"D","F")))))),"")</f>
        <v/>
      </c>
      <c r="K527" s="3">
        <f>IF(AND('Data Source'!B527&lt;&gt;"",'Data Source'!S527="A+"),IF('Data Source'!AC527&gt;=5,"A+",IF('Data Source'!AC527&gt;=4,"A",IF('Data Source'!AC527&gt;=3.5,"A-",IF('Data Source'!AC527&gt;=3,"B",IF('Data Source'!AC527&gt;=2,"C",IF('Data Source'!AC527&gt;=1,"D","F")))))),"")</f>
        <v/>
      </c>
      <c r="L527" s="3">
        <f>IF(AND('Data Source'!B527&lt;&gt;"",'Data Source'!S527="A+"),IF('Data Source'!AD527&gt;=5,"A+",IF('Data Source'!AD527&gt;=4,"A",IF('Data Source'!AD527&gt;=3.5,"A-",IF('Data Source'!AD527&gt;=3,"B",IF('Data Source'!AD527&gt;=2,"C",IF('Data Source'!AD527&gt;=1,"D","F")))))),"")</f>
        <v/>
      </c>
      <c r="M527" s="3">
        <f>IF(AND('Data Source'!B527&lt;&gt;"",'Data Source'!S527="A+"),IF('Data Source'!AE527&gt;=5,"A+",IF('Data Source'!AE527&gt;=4,"A",IF('Data Source'!AE527&gt;=3.5,"A-",IF('Data Source'!AE527&gt;=3,"B",IF('Data Source'!AE527&gt;=2,"C",IF('Data Source'!AE527&gt;=1,"D","F")))))),"")</f>
        <v/>
      </c>
      <c r="N527" s="3">
        <f>IF(AND('Data Source'!B527&lt;&gt;"",'Data Source'!S527="A+"),IF('Data Source'!AF527&gt;=5,"A+",IF('Data Source'!AF527&gt;=4,"A",IF('Data Source'!AF527&gt;=3.5,"A-",IF('Data Source'!AF527&gt;=3,"B",IF('Data Source'!AF527&gt;=2,"C",IF('Data Source'!AF527&gt;=1,"D","F")))))),"")</f>
        <v/>
      </c>
      <c r="O527" s="3">
        <f>IF(AND('Data Source'!B527&lt;&gt;"",'Data Source'!S527="A+"),IF('Data Source'!AG527&gt;=5,"A+",IF('Data Source'!AG527&gt;=4,"A",IF('Data Source'!AG527&gt;=3.5,"A-",IF('Data Source'!AG527&gt;=3,"B",IF('Data Source'!AG527&gt;=2,"C",IF('Data Source'!AG527&gt;=1,"D","F")))))),"")</f>
        <v/>
      </c>
      <c r="P527" s="5">
        <f>IF(AND('Data Source'!B527&lt;&gt;"",'Data Source'!S527="A+"),'Data Source'!R527,"")</f>
        <v/>
      </c>
      <c r="Q527" s="3">
        <f>IF(AND('Data Source'!B527&lt;&gt;"",'Data Source'!S527="A+"),'Data Source'!S527,"")</f>
        <v/>
      </c>
    </row>
    <row r="528">
      <c r="A528" s="3">
        <f>IF(AND('Data Source'!B528&lt;&gt;"",'Data Source'!S528="A+"),COUNTIF('Data Source'!$S$3:S528,"A+"),"")</f>
        <v/>
      </c>
      <c r="B528">
        <f>IF(AND('Data Source'!B528&lt;&gt;"",'Data Source'!S528="A+"),'Data Source'!B528,"")</f>
        <v/>
      </c>
      <c r="C528" s="3">
        <f>IF(AND('Data Source'!B528&lt;&gt;"",'Data Source'!S528="A+"),IF('Data Source'!U528&gt;=5,"A+",IF('Data Source'!U528&gt;=4,"A",IF('Data Source'!U528&gt;=3.5,"A-",IF('Data Source'!U528&gt;=3,"B",IF('Data Source'!U528&gt;=2,"C",IF('Data Source'!U528&gt;=1,"D","F")))))),"")</f>
        <v/>
      </c>
      <c r="D528" s="3">
        <f>IF(AND('Data Source'!B528&lt;&gt;"",'Data Source'!S528="A+"),IF('Data Source'!V528&gt;=5,"A+",IF('Data Source'!V528&gt;=4,"A",IF('Data Source'!V528&gt;=3.5,"A-",IF('Data Source'!V528&gt;=3,"B",IF('Data Source'!V528&gt;=2,"C",IF('Data Source'!V528&gt;=1,"D","F")))))),"")</f>
        <v/>
      </c>
      <c r="E528" s="3">
        <f>IF(AND('Data Source'!B528&lt;&gt;"",'Data Source'!S528="A+"),IF('Data Source'!W528&gt;=5,"A+",IF('Data Source'!W528&gt;=4,"A",IF('Data Source'!W528&gt;=3.5,"A-",IF('Data Source'!W528&gt;=3,"B",IF('Data Source'!W528&gt;=2,"C",IF('Data Source'!W528&gt;=1,"D","F")))))),"")</f>
        <v/>
      </c>
      <c r="F528" s="3">
        <f>IF(AND('Data Source'!B528&lt;&gt;"",'Data Source'!S528="A+"),IF('Data Source'!X528&gt;=5,"A+",IF('Data Source'!X528&gt;=4,"A",IF('Data Source'!X528&gt;=3.5,"A-",IF('Data Source'!X528&gt;=3,"B",IF('Data Source'!X528&gt;=2,"C",IF('Data Source'!X528&gt;=1,"D","F")))))),"")</f>
        <v/>
      </c>
      <c r="G528" s="3">
        <f>IF(AND('Data Source'!B528&lt;&gt;"",'Data Source'!S528="A+"),IF('Data Source'!Y528&gt;=5,"A+",IF('Data Source'!Y528&gt;=4,"A",IF('Data Source'!Y528&gt;=3.5,"A-",IF('Data Source'!Y528&gt;=3,"B",IF('Data Source'!Y528&gt;=2,"C",IF('Data Source'!Y528&gt;=1,"D","F")))))),"")</f>
        <v/>
      </c>
      <c r="H528" s="3">
        <f>IF(AND('Data Source'!B528&lt;&gt;"",'Data Source'!S528="A+"),IF('Data Source'!Z528&gt;=5,"A+",IF('Data Source'!Z528&gt;=4,"A",IF('Data Source'!Z528&gt;=3.5,"A-",IF('Data Source'!Z528&gt;=3,"B",IF('Data Source'!Z528&gt;=2,"C",IF('Data Source'!Z528&gt;=1,"D","F")))))),"")</f>
        <v/>
      </c>
      <c r="I528" s="3">
        <f>IF(AND('Data Source'!B528&lt;&gt;"",'Data Source'!S528="A+"),IF('Data Source'!AA528&gt;=5,"A+",IF('Data Source'!AA528&gt;=4,"A",IF('Data Source'!AA528&gt;=3.5,"A-",IF('Data Source'!AA528&gt;=3,"B",IF('Data Source'!AA528&gt;=2,"C",IF('Data Source'!AA528&gt;=1,"D","F")))))),"")</f>
        <v/>
      </c>
      <c r="J528" s="3">
        <f>IF(AND('Data Source'!B528&lt;&gt;"",'Data Source'!S528="A+"),IF('Data Source'!AB528&gt;=5,"A+",IF('Data Source'!AB528&gt;=4,"A",IF('Data Source'!AB528&gt;=3.5,"A-",IF('Data Source'!AB528&gt;=3,"B",IF('Data Source'!AB528&gt;=2,"C",IF('Data Source'!AB528&gt;=1,"D","F")))))),"")</f>
        <v/>
      </c>
      <c r="K528" s="3">
        <f>IF(AND('Data Source'!B528&lt;&gt;"",'Data Source'!S528="A+"),IF('Data Source'!AC528&gt;=5,"A+",IF('Data Source'!AC528&gt;=4,"A",IF('Data Source'!AC528&gt;=3.5,"A-",IF('Data Source'!AC528&gt;=3,"B",IF('Data Source'!AC528&gt;=2,"C",IF('Data Source'!AC528&gt;=1,"D","F")))))),"")</f>
        <v/>
      </c>
      <c r="L528" s="3">
        <f>IF(AND('Data Source'!B528&lt;&gt;"",'Data Source'!S528="A+"),IF('Data Source'!AD528&gt;=5,"A+",IF('Data Source'!AD528&gt;=4,"A",IF('Data Source'!AD528&gt;=3.5,"A-",IF('Data Source'!AD528&gt;=3,"B",IF('Data Source'!AD528&gt;=2,"C",IF('Data Source'!AD528&gt;=1,"D","F")))))),"")</f>
        <v/>
      </c>
      <c r="M528" s="3">
        <f>IF(AND('Data Source'!B528&lt;&gt;"",'Data Source'!S528="A+"),IF('Data Source'!AE528&gt;=5,"A+",IF('Data Source'!AE528&gt;=4,"A",IF('Data Source'!AE528&gt;=3.5,"A-",IF('Data Source'!AE528&gt;=3,"B",IF('Data Source'!AE528&gt;=2,"C",IF('Data Source'!AE528&gt;=1,"D","F")))))),"")</f>
        <v/>
      </c>
      <c r="N528" s="3">
        <f>IF(AND('Data Source'!B528&lt;&gt;"",'Data Source'!S528="A+"),IF('Data Source'!AF528&gt;=5,"A+",IF('Data Source'!AF528&gt;=4,"A",IF('Data Source'!AF528&gt;=3.5,"A-",IF('Data Source'!AF528&gt;=3,"B",IF('Data Source'!AF528&gt;=2,"C",IF('Data Source'!AF528&gt;=1,"D","F")))))),"")</f>
        <v/>
      </c>
      <c r="O528" s="3">
        <f>IF(AND('Data Source'!B528&lt;&gt;"",'Data Source'!S528="A+"),IF('Data Source'!AG528&gt;=5,"A+",IF('Data Source'!AG528&gt;=4,"A",IF('Data Source'!AG528&gt;=3.5,"A-",IF('Data Source'!AG528&gt;=3,"B",IF('Data Source'!AG528&gt;=2,"C",IF('Data Source'!AG528&gt;=1,"D","F")))))),"")</f>
        <v/>
      </c>
      <c r="P528" s="5">
        <f>IF(AND('Data Source'!B528&lt;&gt;"",'Data Source'!S528="A+"),'Data Source'!R528,"")</f>
        <v/>
      </c>
      <c r="Q528" s="3">
        <f>IF(AND('Data Source'!B528&lt;&gt;"",'Data Source'!S528="A+"),'Data Source'!S528,"")</f>
        <v/>
      </c>
    </row>
    <row r="529">
      <c r="A529" s="3">
        <f>IF(AND('Data Source'!B529&lt;&gt;"",'Data Source'!S529="A+"),COUNTIF('Data Source'!$S$3:S529,"A+"),"")</f>
        <v/>
      </c>
      <c r="B529">
        <f>IF(AND('Data Source'!B529&lt;&gt;"",'Data Source'!S529="A+"),'Data Source'!B529,"")</f>
        <v/>
      </c>
      <c r="C529" s="3">
        <f>IF(AND('Data Source'!B529&lt;&gt;"",'Data Source'!S529="A+"),IF('Data Source'!U529&gt;=5,"A+",IF('Data Source'!U529&gt;=4,"A",IF('Data Source'!U529&gt;=3.5,"A-",IF('Data Source'!U529&gt;=3,"B",IF('Data Source'!U529&gt;=2,"C",IF('Data Source'!U529&gt;=1,"D","F")))))),"")</f>
        <v/>
      </c>
      <c r="D529" s="3">
        <f>IF(AND('Data Source'!B529&lt;&gt;"",'Data Source'!S529="A+"),IF('Data Source'!V529&gt;=5,"A+",IF('Data Source'!V529&gt;=4,"A",IF('Data Source'!V529&gt;=3.5,"A-",IF('Data Source'!V529&gt;=3,"B",IF('Data Source'!V529&gt;=2,"C",IF('Data Source'!V529&gt;=1,"D","F")))))),"")</f>
        <v/>
      </c>
      <c r="E529" s="3">
        <f>IF(AND('Data Source'!B529&lt;&gt;"",'Data Source'!S529="A+"),IF('Data Source'!W529&gt;=5,"A+",IF('Data Source'!W529&gt;=4,"A",IF('Data Source'!W529&gt;=3.5,"A-",IF('Data Source'!W529&gt;=3,"B",IF('Data Source'!W529&gt;=2,"C",IF('Data Source'!W529&gt;=1,"D","F")))))),"")</f>
        <v/>
      </c>
      <c r="F529" s="3">
        <f>IF(AND('Data Source'!B529&lt;&gt;"",'Data Source'!S529="A+"),IF('Data Source'!X529&gt;=5,"A+",IF('Data Source'!X529&gt;=4,"A",IF('Data Source'!X529&gt;=3.5,"A-",IF('Data Source'!X529&gt;=3,"B",IF('Data Source'!X529&gt;=2,"C",IF('Data Source'!X529&gt;=1,"D","F")))))),"")</f>
        <v/>
      </c>
      <c r="G529" s="3">
        <f>IF(AND('Data Source'!B529&lt;&gt;"",'Data Source'!S529="A+"),IF('Data Source'!Y529&gt;=5,"A+",IF('Data Source'!Y529&gt;=4,"A",IF('Data Source'!Y529&gt;=3.5,"A-",IF('Data Source'!Y529&gt;=3,"B",IF('Data Source'!Y529&gt;=2,"C",IF('Data Source'!Y529&gt;=1,"D","F")))))),"")</f>
        <v/>
      </c>
      <c r="H529" s="3">
        <f>IF(AND('Data Source'!B529&lt;&gt;"",'Data Source'!S529="A+"),IF('Data Source'!Z529&gt;=5,"A+",IF('Data Source'!Z529&gt;=4,"A",IF('Data Source'!Z529&gt;=3.5,"A-",IF('Data Source'!Z529&gt;=3,"B",IF('Data Source'!Z529&gt;=2,"C",IF('Data Source'!Z529&gt;=1,"D","F")))))),"")</f>
        <v/>
      </c>
      <c r="I529" s="3">
        <f>IF(AND('Data Source'!B529&lt;&gt;"",'Data Source'!S529="A+"),IF('Data Source'!AA529&gt;=5,"A+",IF('Data Source'!AA529&gt;=4,"A",IF('Data Source'!AA529&gt;=3.5,"A-",IF('Data Source'!AA529&gt;=3,"B",IF('Data Source'!AA529&gt;=2,"C",IF('Data Source'!AA529&gt;=1,"D","F")))))),"")</f>
        <v/>
      </c>
      <c r="J529" s="3">
        <f>IF(AND('Data Source'!B529&lt;&gt;"",'Data Source'!S529="A+"),IF('Data Source'!AB529&gt;=5,"A+",IF('Data Source'!AB529&gt;=4,"A",IF('Data Source'!AB529&gt;=3.5,"A-",IF('Data Source'!AB529&gt;=3,"B",IF('Data Source'!AB529&gt;=2,"C",IF('Data Source'!AB529&gt;=1,"D","F")))))),"")</f>
        <v/>
      </c>
      <c r="K529" s="3">
        <f>IF(AND('Data Source'!B529&lt;&gt;"",'Data Source'!S529="A+"),IF('Data Source'!AC529&gt;=5,"A+",IF('Data Source'!AC529&gt;=4,"A",IF('Data Source'!AC529&gt;=3.5,"A-",IF('Data Source'!AC529&gt;=3,"B",IF('Data Source'!AC529&gt;=2,"C",IF('Data Source'!AC529&gt;=1,"D","F")))))),"")</f>
        <v/>
      </c>
      <c r="L529" s="3">
        <f>IF(AND('Data Source'!B529&lt;&gt;"",'Data Source'!S529="A+"),IF('Data Source'!AD529&gt;=5,"A+",IF('Data Source'!AD529&gt;=4,"A",IF('Data Source'!AD529&gt;=3.5,"A-",IF('Data Source'!AD529&gt;=3,"B",IF('Data Source'!AD529&gt;=2,"C",IF('Data Source'!AD529&gt;=1,"D","F")))))),"")</f>
        <v/>
      </c>
      <c r="M529" s="3">
        <f>IF(AND('Data Source'!B529&lt;&gt;"",'Data Source'!S529="A+"),IF('Data Source'!AE529&gt;=5,"A+",IF('Data Source'!AE529&gt;=4,"A",IF('Data Source'!AE529&gt;=3.5,"A-",IF('Data Source'!AE529&gt;=3,"B",IF('Data Source'!AE529&gt;=2,"C",IF('Data Source'!AE529&gt;=1,"D","F")))))),"")</f>
        <v/>
      </c>
      <c r="N529" s="3">
        <f>IF(AND('Data Source'!B529&lt;&gt;"",'Data Source'!S529="A+"),IF('Data Source'!AF529&gt;=5,"A+",IF('Data Source'!AF529&gt;=4,"A",IF('Data Source'!AF529&gt;=3.5,"A-",IF('Data Source'!AF529&gt;=3,"B",IF('Data Source'!AF529&gt;=2,"C",IF('Data Source'!AF529&gt;=1,"D","F")))))),"")</f>
        <v/>
      </c>
      <c r="O529" s="3">
        <f>IF(AND('Data Source'!B529&lt;&gt;"",'Data Source'!S529="A+"),IF('Data Source'!AG529&gt;=5,"A+",IF('Data Source'!AG529&gt;=4,"A",IF('Data Source'!AG529&gt;=3.5,"A-",IF('Data Source'!AG529&gt;=3,"B",IF('Data Source'!AG529&gt;=2,"C",IF('Data Source'!AG529&gt;=1,"D","F")))))),"")</f>
        <v/>
      </c>
      <c r="P529" s="5">
        <f>IF(AND('Data Source'!B529&lt;&gt;"",'Data Source'!S529="A+"),'Data Source'!R529,"")</f>
        <v/>
      </c>
      <c r="Q529" s="3">
        <f>IF(AND('Data Source'!B529&lt;&gt;"",'Data Source'!S529="A+"),'Data Source'!S529,"")</f>
        <v/>
      </c>
    </row>
    <row r="530">
      <c r="A530" s="3">
        <f>IF(AND('Data Source'!B530&lt;&gt;"",'Data Source'!S530="A+"),COUNTIF('Data Source'!$S$3:S530,"A+"),"")</f>
        <v/>
      </c>
      <c r="B530">
        <f>IF(AND('Data Source'!B530&lt;&gt;"",'Data Source'!S530="A+"),'Data Source'!B530,"")</f>
        <v/>
      </c>
      <c r="C530" s="3">
        <f>IF(AND('Data Source'!B530&lt;&gt;"",'Data Source'!S530="A+"),IF('Data Source'!U530&gt;=5,"A+",IF('Data Source'!U530&gt;=4,"A",IF('Data Source'!U530&gt;=3.5,"A-",IF('Data Source'!U530&gt;=3,"B",IF('Data Source'!U530&gt;=2,"C",IF('Data Source'!U530&gt;=1,"D","F")))))),"")</f>
        <v/>
      </c>
      <c r="D530" s="3">
        <f>IF(AND('Data Source'!B530&lt;&gt;"",'Data Source'!S530="A+"),IF('Data Source'!V530&gt;=5,"A+",IF('Data Source'!V530&gt;=4,"A",IF('Data Source'!V530&gt;=3.5,"A-",IF('Data Source'!V530&gt;=3,"B",IF('Data Source'!V530&gt;=2,"C",IF('Data Source'!V530&gt;=1,"D","F")))))),"")</f>
        <v/>
      </c>
      <c r="E530" s="3">
        <f>IF(AND('Data Source'!B530&lt;&gt;"",'Data Source'!S530="A+"),IF('Data Source'!W530&gt;=5,"A+",IF('Data Source'!W530&gt;=4,"A",IF('Data Source'!W530&gt;=3.5,"A-",IF('Data Source'!W530&gt;=3,"B",IF('Data Source'!W530&gt;=2,"C",IF('Data Source'!W530&gt;=1,"D","F")))))),"")</f>
        <v/>
      </c>
      <c r="F530" s="3">
        <f>IF(AND('Data Source'!B530&lt;&gt;"",'Data Source'!S530="A+"),IF('Data Source'!X530&gt;=5,"A+",IF('Data Source'!X530&gt;=4,"A",IF('Data Source'!X530&gt;=3.5,"A-",IF('Data Source'!X530&gt;=3,"B",IF('Data Source'!X530&gt;=2,"C",IF('Data Source'!X530&gt;=1,"D","F")))))),"")</f>
        <v/>
      </c>
      <c r="G530" s="3">
        <f>IF(AND('Data Source'!B530&lt;&gt;"",'Data Source'!S530="A+"),IF('Data Source'!Y530&gt;=5,"A+",IF('Data Source'!Y530&gt;=4,"A",IF('Data Source'!Y530&gt;=3.5,"A-",IF('Data Source'!Y530&gt;=3,"B",IF('Data Source'!Y530&gt;=2,"C",IF('Data Source'!Y530&gt;=1,"D","F")))))),"")</f>
        <v/>
      </c>
      <c r="H530" s="3">
        <f>IF(AND('Data Source'!B530&lt;&gt;"",'Data Source'!S530="A+"),IF('Data Source'!Z530&gt;=5,"A+",IF('Data Source'!Z530&gt;=4,"A",IF('Data Source'!Z530&gt;=3.5,"A-",IF('Data Source'!Z530&gt;=3,"B",IF('Data Source'!Z530&gt;=2,"C",IF('Data Source'!Z530&gt;=1,"D","F")))))),"")</f>
        <v/>
      </c>
      <c r="I530" s="3">
        <f>IF(AND('Data Source'!B530&lt;&gt;"",'Data Source'!S530="A+"),IF('Data Source'!AA530&gt;=5,"A+",IF('Data Source'!AA530&gt;=4,"A",IF('Data Source'!AA530&gt;=3.5,"A-",IF('Data Source'!AA530&gt;=3,"B",IF('Data Source'!AA530&gt;=2,"C",IF('Data Source'!AA530&gt;=1,"D","F")))))),"")</f>
        <v/>
      </c>
      <c r="J530" s="3">
        <f>IF(AND('Data Source'!B530&lt;&gt;"",'Data Source'!S530="A+"),IF('Data Source'!AB530&gt;=5,"A+",IF('Data Source'!AB530&gt;=4,"A",IF('Data Source'!AB530&gt;=3.5,"A-",IF('Data Source'!AB530&gt;=3,"B",IF('Data Source'!AB530&gt;=2,"C",IF('Data Source'!AB530&gt;=1,"D","F")))))),"")</f>
        <v/>
      </c>
      <c r="K530" s="3">
        <f>IF(AND('Data Source'!B530&lt;&gt;"",'Data Source'!S530="A+"),IF('Data Source'!AC530&gt;=5,"A+",IF('Data Source'!AC530&gt;=4,"A",IF('Data Source'!AC530&gt;=3.5,"A-",IF('Data Source'!AC530&gt;=3,"B",IF('Data Source'!AC530&gt;=2,"C",IF('Data Source'!AC530&gt;=1,"D","F")))))),"")</f>
        <v/>
      </c>
      <c r="L530" s="3">
        <f>IF(AND('Data Source'!B530&lt;&gt;"",'Data Source'!S530="A+"),IF('Data Source'!AD530&gt;=5,"A+",IF('Data Source'!AD530&gt;=4,"A",IF('Data Source'!AD530&gt;=3.5,"A-",IF('Data Source'!AD530&gt;=3,"B",IF('Data Source'!AD530&gt;=2,"C",IF('Data Source'!AD530&gt;=1,"D","F")))))),"")</f>
        <v/>
      </c>
      <c r="M530" s="3">
        <f>IF(AND('Data Source'!B530&lt;&gt;"",'Data Source'!S530="A+"),IF('Data Source'!AE530&gt;=5,"A+",IF('Data Source'!AE530&gt;=4,"A",IF('Data Source'!AE530&gt;=3.5,"A-",IF('Data Source'!AE530&gt;=3,"B",IF('Data Source'!AE530&gt;=2,"C",IF('Data Source'!AE530&gt;=1,"D","F")))))),"")</f>
        <v/>
      </c>
      <c r="N530" s="3">
        <f>IF(AND('Data Source'!B530&lt;&gt;"",'Data Source'!S530="A+"),IF('Data Source'!AF530&gt;=5,"A+",IF('Data Source'!AF530&gt;=4,"A",IF('Data Source'!AF530&gt;=3.5,"A-",IF('Data Source'!AF530&gt;=3,"B",IF('Data Source'!AF530&gt;=2,"C",IF('Data Source'!AF530&gt;=1,"D","F")))))),"")</f>
        <v/>
      </c>
      <c r="O530" s="3">
        <f>IF(AND('Data Source'!B530&lt;&gt;"",'Data Source'!S530="A+"),IF('Data Source'!AG530&gt;=5,"A+",IF('Data Source'!AG530&gt;=4,"A",IF('Data Source'!AG530&gt;=3.5,"A-",IF('Data Source'!AG530&gt;=3,"B",IF('Data Source'!AG530&gt;=2,"C",IF('Data Source'!AG530&gt;=1,"D","F")))))),"")</f>
        <v/>
      </c>
      <c r="P530" s="5">
        <f>IF(AND('Data Source'!B530&lt;&gt;"",'Data Source'!S530="A+"),'Data Source'!R530,"")</f>
        <v/>
      </c>
      <c r="Q530" s="3">
        <f>IF(AND('Data Source'!B530&lt;&gt;"",'Data Source'!S530="A+"),'Data Source'!S530,"")</f>
        <v/>
      </c>
    </row>
    <row r="531">
      <c r="A531" s="3">
        <f>IF(AND('Data Source'!B531&lt;&gt;"",'Data Source'!S531="A+"),COUNTIF('Data Source'!$S$3:S531,"A+"),"")</f>
        <v/>
      </c>
      <c r="B531">
        <f>IF(AND('Data Source'!B531&lt;&gt;"",'Data Source'!S531="A+"),'Data Source'!B531,"")</f>
        <v/>
      </c>
      <c r="C531" s="3">
        <f>IF(AND('Data Source'!B531&lt;&gt;"",'Data Source'!S531="A+"),IF('Data Source'!U531&gt;=5,"A+",IF('Data Source'!U531&gt;=4,"A",IF('Data Source'!U531&gt;=3.5,"A-",IF('Data Source'!U531&gt;=3,"B",IF('Data Source'!U531&gt;=2,"C",IF('Data Source'!U531&gt;=1,"D","F")))))),"")</f>
        <v/>
      </c>
      <c r="D531" s="3">
        <f>IF(AND('Data Source'!B531&lt;&gt;"",'Data Source'!S531="A+"),IF('Data Source'!V531&gt;=5,"A+",IF('Data Source'!V531&gt;=4,"A",IF('Data Source'!V531&gt;=3.5,"A-",IF('Data Source'!V531&gt;=3,"B",IF('Data Source'!V531&gt;=2,"C",IF('Data Source'!V531&gt;=1,"D","F")))))),"")</f>
        <v/>
      </c>
      <c r="E531" s="3">
        <f>IF(AND('Data Source'!B531&lt;&gt;"",'Data Source'!S531="A+"),IF('Data Source'!W531&gt;=5,"A+",IF('Data Source'!W531&gt;=4,"A",IF('Data Source'!W531&gt;=3.5,"A-",IF('Data Source'!W531&gt;=3,"B",IF('Data Source'!W531&gt;=2,"C",IF('Data Source'!W531&gt;=1,"D","F")))))),"")</f>
        <v/>
      </c>
      <c r="F531" s="3">
        <f>IF(AND('Data Source'!B531&lt;&gt;"",'Data Source'!S531="A+"),IF('Data Source'!X531&gt;=5,"A+",IF('Data Source'!X531&gt;=4,"A",IF('Data Source'!X531&gt;=3.5,"A-",IF('Data Source'!X531&gt;=3,"B",IF('Data Source'!X531&gt;=2,"C",IF('Data Source'!X531&gt;=1,"D","F")))))),"")</f>
        <v/>
      </c>
      <c r="G531" s="3">
        <f>IF(AND('Data Source'!B531&lt;&gt;"",'Data Source'!S531="A+"),IF('Data Source'!Y531&gt;=5,"A+",IF('Data Source'!Y531&gt;=4,"A",IF('Data Source'!Y531&gt;=3.5,"A-",IF('Data Source'!Y531&gt;=3,"B",IF('Data Source'!Y531&gt;=2,"C",IF('Data Source'!Y531&gt;=1,"D","F")))))),"")</f>
        <v/>
      </c>
      <c r="H531" s="3">
        <f>IF(AND('Data Source'!B531&lt;&gt;"",'Data Source'!S531="A+"),IF('Data Source'!Z531&gt;=5,"A+",IF('Data Source'!Z531&gt;=4,"A",IF('Data Source'!Z531&gt;=3.5,"A-",IF('Data Source'!Z531&gt;=3,"B",IF('Data Source'!Z531&gt;=2,"C",IF('Data Source'!Z531&gt;=1,"D","F")))))),"")</f>
        <v/>
      </c>
      <c r="I531" s="3">
        <f>IF(AND('Data Source'!B531&lt;&gt;"",'Data Source'!S531="A+"),IF('Data Source'!AA531&gt;=5,"A+",IF('Data Source'!AA531&gt;=4,"A",IF('Data Source'!AA531&gt;=3.5,"A-",IF('Data Source'!AA531&gt;=3,"B",IF('Data Source'!AA531&gt;=2,"C",IF('Data Source'!AA531&gt;=1,"D","F")))))),"")</f>
        <v/>
      </c>
      <c r="J531" s="3">
        <f>IF(AND('Data Source'!B531&lt;&gt;"",'Data Source'!S531="A+"),IF('Data Source'!AB531&gt;=5,"A+",IF('Data Source'!AB531&gt;=4,"A",IF('Data Source'!AB531&gt;=3.5,"A-",IF('Data Source'!AB531&gt;=3,"B",IF('Data Source'!AB531&gt;=2,"C",IF('Data Source'!AB531&gt;=1,"D","F")))))),"")</f>
        <v/>
      </c>
      <c r="K531" s="3">
        <f>IF(AND('Data Source'!B531&lt;&gt;"",'Data Source'!S531="A+"),IF('Data Source'!AC531&gt;=5,"A+",IF('Data Source'!AC531&gt;=4,"A",IF('Data Source'!AC531&gt;=3.5,"A-",IF('Data Source'!AC531&gt;=3,"B",IF('Data Source'!AC531&gt;=2,"C",IF('Data Source'!AC531&gt;=1,"D","F")))))),"")</f>
        <v/>
      </c>
      <c r="L531" s="3">
        <f>IF(AND('Data Source'!B531&lt;&gt;"",'Data Source'!S531="A+"),IF('Data Source'!AD531&gt;=5,"A+",IF('Data Source'!AD531&gt;=4,"A",IF('Data Source'!AD531&gt;=3.5,"A-",IF('Data Source'!AD531&gt;=3,"B",IF('Data Source'!AD531&gt;=2,"C",IF('Data Source'!AD531&gt;=1,"D","F")))))),"")</f>
        <v/>
      </c>
      <c r="M531" s="3">
        <f>IF(AND('Data Source'!B531&lt;&gt;"",'Data Source'!S531="A+"),IF('Data Source'!AE531&gt;=5,"A+",IF('Data Source'!AE531&gt;=4,"A",IF('Data Source'!AE531&gt;=3.5,"A-",IF('Data Source'!AE531&gt;=3,"B",IF('Data Source'!AE531&gt;=2,"C",IF('Data Source'!AE531&gt;=1,"D","F")))))),"")</f>
        <v/>
      </c>
      <c r="N531" s="3">
        <f>IF(AND('Data Source'!B531&lt;&gt;"",'Data Source'!S531="A+"),IF('Data Source'!AF531&gt;=5,"A+",IF('Data Source'!AF531&gt;=4,"A",IF('Data Source'!AF531&gt;=3.5,"A-",IF('Data Source'!AF531&gt;=3,"B",IF('Data Source'!AF531&gt;=2,"C",IF('Data Source'!AF531&gt;=1,"D","F")))))),"")</f>
        <v/>
      </c>
      <c r="O531" s="3">
        <f>IF(AND('Data Source'!B531&lt;&gt;"",'Data Source'!S531="A+"),IF('Data Source'!AG531&gt;=5,"A+",IF('Data Source'!AG531&gt;=4,"A",IF('Data Source'!AG531&gt;=3.5,"A-",IF('Data Source'!AG531&gt;=3,"B",IF('Data Source'!AG531&gt;=2,"C",IF('Data Source'!AG531&gt;=1,"D","F")))))),"")</f>
        <v/>
      </c>
      <c r="P531" s="5">
        <f>IF(AND('Data Source'!B531&lt;&gt;"",'Data Source'!S531="A+"),'Data Source'!R531,"")</f>
        <v/>
      </c>
      <c r="Q531" s="3">
        <f>IF(AND('Data Source'!B531&lt;&gt;"",'Data Source'!S531="A+"),'Data Source'!S531,"")</f>
        <v/>
      </c>
    </row>
    <row r="532">
      <c r="A532" s="3">
        <f>IF(AND('Data Source'!B532&lt;&gt;"",'Data Source'!S532="A+"),COUNTIF('Data Source'!$S$3:S532,"A+"),"")</f>
        <v/>
      </c>
      <c r="B532">
        <f>IF(AND('Data Source'!B532&lt;&gt;"",'Data Source'!S532="A+"),'Data Source'!B532,"")</f>
        <v/>
      </c>
      <c r="C532" s="3">
        <f>IF(AND('Data Source'!B532&lt;&gt;"",'Data Source'!S532="A+"),IF('Data Source'!U532&gt;=5,"A+",IF('Data Source'!U532&gt;=4,"A",IF('Data Source'!U532&gt;=3.5,"A-",IF('Data Source'!U532&gt;=3,"B",IF('Data Source'!U532&gt;=2,"C",IF('Data Source'!U532&gt;=1,"D","F")))))),"")</f>
        <v/>
      </c>
      <c r="D532" s="3">
        <f>IF(AND('Data Source'!B532&lt;&gt;"",'Data Source'!S532="A+"),IF('Data Source'!V532&gt;=5,"A+",IF('Data Source'!V532&gt;=4,"A",IF('Data Source'!V532&gt;=3.5,"A-",IF('Data Source'!V532&gt;=3,"B",IF('Data Source'!V532&gt;=2,"C",IF('Data Source'!V532&gt;=1,"D","F")))))),"")</f>
        <v/>
      </c>
      <c r="E532" s="3">
        <f>IF(AND('Data Source'!B532&lt;&gt;"",'Data Source'!S532="A+"),IF('Data Source'!W532&gt;=5,"A+",IF('Data Source'!W532&gt;=4,"A",IF('Data Source'!W532&gt;=3.5,"A-",IF('Data Source'!W532&gt;=3,"B",IF('Data Source'!W532&gt;=2,"C",IF('Data Source'!W532&gt;=1,"D","F")))))),"")</f>
        <v/>
      </c>
      <c r="F532" s="3">
        <f>IF(AND('Data Source'!B532&lt;&gt;"",'Data Source'!S532="A+"),IF('Data Source'!X532&gt;=5,"A+",IF('Data Source'!X532&gt;=4,"A",IF('Data Source'!X532&gt;=3.5,"A-",IF('Data Source'!X532&gt;=3,"B",IF('Data Source'!X532&gt;=2,"C",IF('Data Source'!X532&gt;=1,"D","F")))))),"")</f>
        <v/>
      </c>
      <c r="G532" s="3">
        <f>IF(AND('Data Source'!B532&lt;&gt;"",'Data Source'!S532="A+"),IF('Data Source'!Y532&gt;=5,"A+",IF('Data Source'!Y532&gt;=4,"A",IF('Data Source'!Y532&gt;=3.5,"A-",IF('Data Source'!Y532&gt;=3,"B",IF('Data Source'!Y532&gt;=2,"C",IF('Data Source'!Y532&gt;=1,"D","F")))))),"")</f>
        <v/>
      </c>
      <c r="H532" s="3">
        <f>IF(AND('Data Source'!B532&lt;&gt;"",'Data Source'!S532="A+"),IF('Data Source'!Z532&gt;=5,"A+",IF('Data Source'!Z532&gt;=4,"A",IF('Data Source'!Z532&gt;=3.5,"A-",IF('Data Source'!Z532&gt;=3,"B",IF('Data Source'!Z532&gt;=2,"C",IF('Data Source'!Z532&gt;=1,"D","F")))))),"")</f>
        <v/>
      </c>
      <c r="I532" s="3">
        <f>IF(AND('Data Source'!B532&lt;&gt;"",'Data Source'!S532="A+"),IF('Data Source'!AA532&gt;=5,"A+",IF('Data Source'!AA532&gt;=4,"A",IF('Data Source'!AA532&gt;=3.5,"A-",IF('Data Source'!AA532&gt;=3,"B",IF('Data Source'!AA532&gt;=2,"C",IF('Data Source'!AA532&gt;=1,"D","F")))))),"")</f>
        <v/>
      </c>
      <c r="J532" s="3">
        <f>IF(AND('Data Source'!B532&lt;&gt;"",'Data Source'!S532="A+"),IF('Data Source'!AB532&gt;=5,"A+",IF('Data Source'!AB532&gt;=4,"A",IF('Data Source'!AB532&gt;=3.5,"A-",IF('Data Source'!AB532&gt;=3,"B",IF('Data Source'!AB532&gt;=2,"C",IF('Data Source'!AB532&gt;=1,"D","F")))))),"")</f>
        <v/>
      </c>
      <c r="K532" s="3">
        <f>IF(AND('Data Source'!B532&lt;&gt;"",'Data Source'!S532="A+"),IF('Data Source'!AC532&gt;=5,"A+",IF('Data Source'!AC532&gt;=4,"A",IF('Data Source'!AC532&gt;=3.5,"A-",IF('Data Source'!AC532&gt;=3,"B",IF('Data Source'!AC532&gt;=2,"C",IF('Data Source'!AC532&gt;=1,"D","F")))))),"")</f>
        <v/>
      </c>
      <c r="L532" s="3">
        <f>IF(AND('Data Source'!B532&lt;&gt;"",'Data Source'!S532="A+"),IF('Data Source'!AD532&gt;=5,"A+",IF('Data Source'!AD532&gt;=4,"A",IF('Data Source'!AD532&gt;=3.5,"A-",IF('Data Source'!AD532&gt;=3,"B",IF('Data Source'!AD532&gt;=2,"C",IF('Data Source'!AD532&gt;=1,"D","F")))))),"")</f>
        <v/>
      </c>
      <c r="M532" s="3">
        <f>IF(AND('Data Source'!B532&lt;&gt;"",'Data Source'!S532="A+"),IF('Data Source'!AE532&gt;=5,"A+",IF('Data Source'!AE532&gt;=4,"A",IF('Data Source'!AE532&gt;=3.5,"A-",IF('Data Source'!AE532&gt;=3,"B",IF('Data Source'!AE532&gt;=2,"C",IF('Data Source'!AE532&gt;=1,"D","F")))))),"")</f>
        <v/>
      </c>
      <c r="N532" s="3">
        <f>IF(AND('Data Source'!B532&lt;&gt;"",'Data Source'!S532="A+"),IF('Data Source'!AF532&gt;=5,"A+",IF('Data Source'!AF532&gt;=4,"A",IF('Data Source'!AF532&gt;=3.5,"A-",IF('Data Source'!AF532&gt;=3,"B",IF('Data Source'!AF532&gt;=2,"C",IF('Data Source'!AF532&gt;=1,"D","F")))))),"")</f>
        <v/>
      </c>
      <c r="O532" s="3">
        <f>IF(AND('Data Source'!B532&lt;&gt;"",'Data Source'!S532="A+"),IF('Data Source'!AG532&gt;=5,"A+",IF('Data Source'!AG532&gt;=4,"A",IF('Data Source'!AG532&gt;=3.5,"A-",IF('Data Source'!AG532&gt;=3,"B",IF('Data Source'!AG532&gt;=2,"C",IF('Data Source'!AG532&gt;=1,"D","F")))))),"")</f>
        <v/>
      </c>
      <c r="P532" s="5">
        <f>IF(AND('Data Source'!B532&lt;&gt;"",'Data Source'!S532="A+"),'Data Source'!R532,"")</f>
        <v/>
      </c>
      <c r="Q532" s="3">
        <f>IF(AND('Data Source'!B532&lt;&gt;"",'Data Source'!S532="A+"),'Data Source'!S532,"")</f>
        <v/>
      </c>
    </row>
    <row r="533">
      <c r="A533" s="3">
        <f>IF(AND('Data Source'!B533&lt;&gt;"",'Data Source'!S533="A+"),COUNTIF('Data Source'!$S$3:S533,"A+"),"")</f>
        <v/>
      </c>
      <c r="B533">
        <f>IF(AND('Data Source'!B533&lt;&gt;"",'Data Source'!S533="A+"),'Data Source'!B533,"")</f>
        <v/>
      </c>
      <c r="C533" s="3">
        <f>IF(AND('Data Source'!B533&lt;&gt;"",'Data Source'!S533="A+"),IF('Data Source'!U533&gt;=5,"A+",IF('Data Source'!U533&gt;=4,"A",IF('Data Source'!U533&gt;=3.5,"A-",IF('Data Source'!U533&gt;=3,"B",IF('Data Source'!U533&gt;=2,"C",IF('Data Source'!U533&gt;=1,"D","F")))))),"")</f>
        <v/>
      </c>
      <c r="D533" s="3">
        <f>IF(AND('Data Source'!B533&lt;&gt;"",'Data Source'!S533="A+"),IF('Data Source'!V533&gt;=5,"A+",IF('Data Source'!V533&gt;=4,"A",IF('Data Source'!V533&gt;=3.5,"A-",IF('Data Source'!V533&gt;=3,"B",IF('Data Source'!V533&gt;=2,"C",IF('Data Source'!V533&gt;=1,"D","F")))))),"")</f>
        <v/>
      </c>
      <c r="E533" s="3">
        <f>IF(AND('Data Source'!B533&lt;&gt;"",'Data Source'!S533="A+"),IF('Data Source'!W533&gt;=5,"A+",IF('Data Source'!W533&gt;=4,"A",IF('Data Source'!W533&gt;=3.5,"A-",IF('Data Source'!W533&gt;=3,"B",IF('Data Source'!W533&gt;=2,"C",IF('Data Source'!W533&gt;=1,"D","F")))))),"")</f>
        <v/>
      </c>
      <c r="F533" s="3">
        <f>IF(AND('Data Source'!B533&lt;&gt;"",'Data Source'!S533="A+"),IF('Data Source'!X533&gt;=5,"A+",IF('Data Source'!X533&gt;=4,"A",IF('Data Source'!X533&gt;=3.5,"A-",IF('Data Source'!X533&gt;=3,"B",IF('Data Source'!X533&gt;=2,"C",IF('Data Source'!X533&gt;=1,"D","F")))))),"")</f>
        <v/>
      </c>
      <c r="G533" s="3">
        <f>IF(AND('Data Source'!B533&lt;&gt;"",'Data Source'!S533="A+"),IF('Data Source'!Y533&gt;=5,"A+",IF('Data Source'!Y533&gt;=4,"A",IF('Data Source'!Y533&gt;=3.5,"A-",IF('Data Source'!Y533&gt;=3,"B",IF('Data Source'!Y533&gt;=2,"C",IF('Data Source'!Y533&gt;=1,"D","F")))))),"")</f>
        <v/>
      </c>
      <c r="H533" s="3">
        <f>IF(AND('Data Source'!B533&lt;&gt;"",'Data Source'!S533="A+"),IF('Data Source'!Z533&gt;=5,"A+",IF('Data Source'!Z533&gt;=4,"A",IF('Data Source'!Z533&gt;=3.5,"A-",IF('Data Source'!Z533&gt;=3,"B",IF('Data Source'!Z533&gt;=2,"C",IF('Data Source'!Z533&gt;=1,"D","F")))))),"")</f>
        <v/>
      </c>
      <c r="I533" s="3">
        <f>IF(AND('Data Source'!B533&lt;&gt;"",'Data Source'!S533="A+"),IF('Data Source'!AA533&gt;=5,"A+",IF('Data Source'!AA533&gt;=4,"A",IF('Data Source'!AA533&gt;=3.5,"A-",IF('Data Source'!AA533&gt;=3,"B",IF('Data Source'!AA533&gt;=2,"C",IF('Data Source'!AA533&gt;=1,"D","F")))))),"")</f>
        <v/>
      </c>
      <c r="J533" s="3">
        <f>IF(AND('Data Source'!B533&lt;&gt;"",'Data Source'!S533="A+"),IF('Data Source'!AB533&gt;=5,"A+",IF('Data Source'!AB533&gt;=4,"A",IF('Data Source'!AB533&gt;=3.5,"A-",IF('Data Source'!AB533&gt;=3,"B",IF('Data Source'!AB533&gt;=2,"C",IF('Data Source'!AB533&gt;=1,"D","F")))))),"")</f>
        <v/>
      </c>
      <c r="K533" s="3">
        <f>IF(AND('Data Source'!B533&lt;&gt;"",'Data Source'!S533="A+"),IF('Data Source'!AC533&gt;=5,"A+",IF('Data Source'!AC533&gt;=4,"A",IF('Data Source'!AC533&gt;=3.5,"A-",IF('Data Source'!AC533&gt;=3,"B",IF('Data Source'!AC533&gt;=2,"C",IF('Data Source'!AC533&gt;=1,"D","F")))))),"")</f>
        <v/>
      </c>
      <c r="L533" s="3">
        <f>IF(AND('Data Source'!B533&lt;&gt;"",'Data Source'!S533="A+"),IF('Data Source'!AD533&gt;=5,"A+",IF('Data Source'!AD533&gt;=4,"A",IF('Data Source'!AD533&gt;=3.5,"A-",IF('Data Source'!AD533&gt;=3,"B",IF('Data Source'!AD533&gt;=2,"C",IF('Data Source'!AD533&gt;=1,"D","F")))))),"")</f>
        <v/>
      </c>
      <c r="M533" s="3">
        <f>IF(AND('Data Source'!B533&lt;&gt;"",'Data Source'!S533="A+"),IF('Data Source'!AE533&gt;=5,"A+",IF('Data Source'!AE533&gt;=4,"A",IF('Data Source'!AE533&gt;=3.5,"A-",IF('Data Source'!AE533&gt;=3,"B",IF('Data Source'!AE533&gt;=2,"C",IF('Data Source'!AE533&gt;=1,"D","F")))))),"")</f>
        <v/>
      </c>
      <c r="N533" s="3">
        <f>IF(AND('Data Source'!B533&lt;&gt;"",'Data Source'!S533="A+"),IF('Data Source'!AF533&gt;=5,"A+",IF('Data Source'!AF533&gt;=4,"A",IF('Data Source'!AF533&gt;=3.5,"A-",IF('Data Source'!AF533&gt;=3,"B",IF('Data Source'!AF533&gt;=2,"C",IF('Data Source'!AF533&gt;=1,"D","F")))))),"")</f>
        <v/>
      </c>
      <c r="O533" s="3">
        <f>IF(AND('Data Source'!B533&lt;&gt;"",'Data Source'!S533="A+"),IF('Data Source'!AG533&gt;=5,"A+",IF('Data Source'!AG533&gt;=4,"A",IF('Data Source'!AG533&gt;=3.5,"A-",IF('Data Source'!AG533&gt;=3,"B",IF('Data Source'!AG533&gt;=2,"C",IF('Data Source'!AG533&gt;=1,"D","F")))))),"")</f>
        <v/>
      </c>
      <c r="P533" s="5">
        <f>IF(AND('Data Source'!B533&lt;&gt;"",'Data Source'!S533="A+"),'Data Source'!R533,"")</f>
        <v/>
      </c>
      <c r="Q533" s="3">
        <f>IF(AND('Data Source'!B533&lt;&gt;"",'Data Source'!S533="A+"),'Data Source'!S533,"")</f>
        <v/>
      </c>
    </row>
    <row r="534">
      <c r="A534" s="3">
        <f>IF(AND('Data Source'!B534&lt;&gt;"",'Data Source'!S534="A+"),COUNTIF('Data Source'!$S$3:S534,"A+"),"")</f>
        <v/>
      </c>
      <c r="B534">
        <f>IF(AND('Data Source'!B534&lt;&gt;"",'Data Source'!S534="A+"),'Data Source'!B534,"")</f>
        <v/>
      </c>
      <c r="C534" s="3">
        <f>IF(AND('Data Source'!B534&lt;&gt;"",'Data Source'!S534="A+"),IF('Data Source'!U534&gt;=5,"A+",IF('Data Source'!U534&gt;=4,"A",IF('Data Source'!U534&gt;=3.5,"A-",IF('Data Source'!U534&gt;=3,"B",IF('Data Source'!U534&gt;=2,"C",IF('Data Source'!U534&gt;=1,"D","F")))))),"")</f>
        <v/>
      </c>
      <c r="D534" s="3">
        <f>IF(AND('Data Source'!B534&lt;&gt;"",'Data Source'!S534="A+"),IF('Data Source'!V534&gt;=5,"A+",IF('Data Source'!V534&gt;=4,"A",IF('Data Source'!V534&gt;=3.5,"A-",IF('Data Source'!V534&gt;=3,"B",IF('Data Source'!V534&gt;=2,"C",IF('Data Source'!V534&gt;=1,"D","F")))))),"")</f>
        <v/>
      </c>
      <c r="E534" s="3">
        <f>IF(AND('Data Source'!B534&lt;&gt;"",'Data Source'!S534="A+"),IF('Data Source'!W534&gt;=5,"A+",IF('Data Source'!W534&gt;=4,"A",IF('Data Source'!W534&gt;=3.5,"A-",IF('Data Source'!W534&gt;=3,"B",IF('Data Source'!W534&gt;=2,"C",IF('Data Source'!W534&gt;=1,"D","F")))))),"")</f>
        <v/>
      </c>
      <c r="F534" s="3">
        <f>IF(AND('Data Source'!B534&lt;&gt;"",'Data Source'!S534="A+"),IF('Data Source'!X534&gt;=5,"A+",IF('Data Source'!X534&gt;=4,"A",IF('Data Source'!X534&gt;=3.5,"A-",IF('Data Source'!X534&gt;=3,"B",IF('Data Source'!X534&gt;=2,"C",IF('Data Source'!X534&gt;=1,"D","F")))))),"")</f>
        <v/>
      </c>
      <c r="G534" s="3">
        <f>IF(AND('Data Source'!B534&lt;&gt;"",'Data Source'!S534="A+"),IF('Data Source'!Y534&gt;=5,"A+",IF('Data Source'!Y534&gt;=4,"A",IF('Data Source'!Y534&gt;=3.5,"A-",IF('Data Source'!Y534&gt;=3,"B",IF('Data Source'!Y534&gt;=2,"C",IF('Data Source'!Y534&gt;=1,"D","F")))))),"")</f>
        <v/>
      </c>
      <c r="H534" s="3">
        <f>IF(AND('Data Source'!B534&lt;&gt;"",'Data Source'!S534="A+"),IF('Data Source'!Z534&gt;=5,"A+",IF('Data Source'!Z534&gt;=4,"A",IF('Data Source'!Z534&gt;=3.5,"A-",IF('Data Source'!Z534&gt;=3,"B",IF('Data Source'!Z534&gt;=2,"C",IF('Data Source'!Z534&gt;=1,"D","F")))))),"")</f>
        <v/>
      </c>
      <c r="I534" s="3">
        <f>IF(AND('Data Source'!B534&lt;&gt;"",'Data Source'!S534="A+"),IF('Data Source'!AA534&gt;=5,"A+",IF('Data Source'!AA534&gt;=4,"A",IF('Data Source'!AA534&gt;=3.5,"A-",IF('Data Source'!AA534&gt;=3,"B",IF('Data Source'!AA534&gt;=2,"C",IF('Data Source'!AA534&gt;=1,"D","F")))))),"")</f>
        <v/>
      </c>
      <c r="J534" s="3">
        <f>IF(AND('Data Source'!B534&lt;&gt;"",'Data Source'!S534="A+"),IF('Data Source'!AB534&gt;=5,"A+",IF('Data Source'!AB534&gt;=4,"A",IF('Data Source'!AB534&gt;=3.5,"A-",IF('Data Source'!AB534&gt;=3,"B",IF('Data Source'!AB534&gt;=2,"C",IF('Data Source'!AB534&gt;=1,"D","F")))))),"")</f>
        <v/>
      </c>
      <c r="K534" s="3">
        <f>IF(AND('Data Source'!B534&lt;&gt;"",'Data Source'!S534="A+"),IF('Data Source'!AC534&gt;=5,"A+",IF('Data Source'!AC534&gt;=4,"A",IF('Data Source'!AC534&gt;=3.5,"A-",IF('Data Source'!AC534&gt;=3,"B",IF('Data Source'!AC534&gt;=2,"C",IF('Data Source'!AC534&gt;=1,"D","F")))))),"")</f>
        <v/>
      </c>
      <c r="L534" s="3">
        <f>IF(AND('Data Source'!B534&lt;&gt;"",'Data Source'!S534="A+"),IF('Data Source'!AD534&gt;=5,"A+",IF('Data Source'!AD534&gt;=4,"A",IF('Data Source'!AD534&gt;=3.5,"A-",IF('Data Source'!AD534&gt;=3,"B",IF('Data Source'!AD534&gt;=2,"C",IF('Data Source'!AD534&gt;=1,"D","F")))))),"")</f>
        <v/>
      </c>
      <c r="M534" s="3">
        <f>IF(AND('Data Source'!B534&lt;&gt;"",'Data Source'!S534="A+"),IF('Data Source'!AE534&gt;=5,"A+",IF('Data Source'!AE534&gt;=4,"A",IF('Data Source'!AE534&gt;=3.5,"A-",IF('Data Source'!AE534&gt;=3,"B",IF('Data Source'!AE534&gt;=2,"C",IF('Data Source'!AE534&gt;=1,"D","F")))))),"")</f>
        <v/>
      </c>
      <c r="N534" s="3">
        <f>IF(AND('Data Source'!B534&lt;&gt;"",'Data Source'!S534="A+"),IF('Data Source'!AF534&gt;=5,"A+",IF('Data Source'!AF534&gt;=4,"A",IF('Data Source'!AF534&gt;=3.5,"A-",IF('Data Source'!AF534&gt;=3,"B",IF('Data Source'!AF534&gt;=2,"C",IF('Data Source'!AF534&gt;=1,"D","F")))))),"")</f>
        <v/>
      </c>
      <c r="O534" s="3">
        <f>IF(AND('Data Source'!B534&lt;&gt;"",'Data Source'!S534="A+"),IF('Data Source'!AG534&gt;=5,"A+",IF('Data Source'!AG534&gt;=4,"A",IF('Data Source'!AG534&gt;=3.5,"A-",IF('Data Source'!AG534&gt;=3,"B",IF('Data Source'!AG534&gt;=2,"C",IF('Data Source'!AG534&gt;=1,"D","F")))))),"")</f>
        <v/>
      </c>
      <c r="P534" s="5">
        <f>IF(AND('Data Source'!B534&lt;&gt;"",'Data Source'!S534="A+"),'Data Source'!R534,"")</f>
        <v/>
      </c>
      <c r="Q534" s="3">
        <f>IF(AND('Data Source'!B534&lt;&gt;"",'Data Source'!S534="A+"),'Data Source'!S534,"")</f>
        <v/>
      </c>
    </row>
    <row r="535">
      <c r="A535" s="3">
        <f>IF(AND('Data Source'!B535&lt;&gt;"",'Data Source'!S535="A+"),COUNTIF('Data Source'!$S$3:S535,"A+"),"")</f>
        <v/>
      </c>
      <c r="B535">
        <f>IF(AND('Data Source'!B535&lt;&gt;"",'Data Source'!S535="A+"),'Data Source'!B535,"")</f>
        <v/>
      </c>
      <c r="C535" s="3">
        <f>IF(AND('Data Source'!B535&lt;&gt;"",'Data Source'!S535="A+"),IF('Data Source'!U535&gt;=5,"A+",IF('Data Source'!U535&gt;=4,"A",IF('Data Source'!U535&gt;=3.5,"A-",IF('Data Source'!U535&gt;=3,"B",IF('Data Source'!U535&gt;=2,"C",IF('Data Source'!U535&gt;=1,"D","F")))))),"")</f>
        <v/>
      </c>
      <c r="D535" s="3">
        <f>IF(AND('Data Source'!B535&lt;&gt;"",'Data Source'!S535="A+"),IF('Data Source'!V535&gt;=5,"A+",IF('Data Source'!V535&gt;=4,"A",IF('Data Source'!V535&gt;=3.5,"A-",IF('Data Source'!V535&gt;=3,"B",IF('Data Source'!V535&gt;=2,"C",IF('Data Source'!V535&gt;=1,"D","F")))))),"")</f>
        <v/>
      </c>
      <c r="E535" s="3">
        <f>IF(AND('Data Source'!B535&lt;&gt;"",'Data Source'!S535="A+"),IF('Data Source'!W535&gt;=5,"A+",IF('Data Source'!W535&gt;=4,"A",IF('Data Source'!W535&gt;=3.5,"A-",IF('Data Source'!W535&gt;=3,"B",IF('Data Source'!W535&gt;=2,"C",IF('Data Source'!W535&gt;=1,"D","F")))))),"")</f>
        <v/>
      </c>
      <c r="F535" s="3">
        <f>IF(AND('Data Source'!B535&lt;&gt;"",'Data Source'!S535="A+"),IF('Data Source'!X535&gt;=5,"A+",IF('Data Source'!X535&gt;=4,"A",IF('Data Source'!X535&gt;=3.5,"A-",IF('Data Source'!X535&gt;=3,"B",IF('Data Source'!X535&gt;=2,"C",IF('Data Source'!X535&gt;=1,"D","F")))))),"")</f>
        <v/>
      </c>
      <c r="G535" s="3">
        <f>IF(AND('Data Source'!B535&lt;&gt;"",'Data Source'!S535="A+"),IF('Data Source'!Y535&gt;=5,"A+",IF('Data Source'!Y535&gt;=4,"A",IF('Data Source'!Y535&gt;=3.5,"A-",IF('Data Source'!Y535&gt;=3,"B",IF('Data Source'!Y535&gt;=2,"C",IF('Data Source'!Y535&gt;=1,"D","F")))))),"")</f>
        <v/>
      </c>
      <c r="H535" s="3">
        <f>IF(AND('Data Source'!B535&lt;&gt;"",'Data Source'!S535="A+"),IF('Data Source'!Z535&gt;=5,"A+",IF('Data Source'!Z535&gt;=4,"A",IF('Data Source'!Z535&gt;=3.5,"A-",IF('Data Source'!Z535&gt;=3,"B",IF('Data Source'!Z535&gt;=2,"C",IF('Data Source'!Z535&gt;=1,"D","F")))))),"")</f>
        <v/>
      </c>
      <c r="I535" s="3">
        <f>IF(AND('Data Source'!B535&lt;&gt;"",'Data Source'!S535="A+"),IF('Data Source'!AA535&gt;=5,"A+",IF('Data Source'!AA535&gt;=4,"A",IF('Data Source'!AA535&gt;=3.5,"A-",IF('Data Source'!AA535&gt;=3,"B",IF('Data Source'!AA535&gt;=2,"C",IF('Data Source'!AA535&gt;=1,"D","F")))))),"")</f>
        <v/>
      </c>
      <c r="J535" s="3">
        <f>IF(AND('Data Source'!B535&lt;&gt;"",'Data Source'!S535="A+"),IF('Data Source'!AB535&gt;=5,"A+",IF('Data Source'!AB535&gt;=4,"A",IF('Data Source'!AB535&gt;=3.5,"A-",IF('Data Source'!AB535&gt;=3,"B",IF('Data Source'!AB535&gt;=2,"C",IF('Data Source'!AB535&gt;=1,"D","F")))))),"")</f>
        <v/>
      </c>
      <c r="K535" s="3">
        <f>IF(AND('Data Source'!B535&lt;&gt;"",'Data Source'!S535="A+"),IF('Data Source'!AC535&gt;=5,"A+",IF('Data Source'!AC535&gt;=4,"A",IF('Data Source'!AC535&gt;=3.5,"A-",IF('Data Source'!AC535&gt;=3,"B",IF('Data Source'!AC535&gt;=2,"C",IF('Data Source'!AC535&gt;=1,"D","F")))))),"")</f>
        <v/>
      </c>
      <c r="L535" s="3">
        <f>IF(AND('Data Source'!B535&lt;&gt;"",'Data Source'!S535="A+"),IF('Data Source'!AD535&gt;=5,"A+",IF('Data Source'!AD535&gt;=4,"A",IF('Data Source'!AD535&gt;=3.5,"A-",IF('Data Source'!AD535&gt;=3,"B",IF('Data Source'!AD535&gt;=2,"C",IF('Data Source'!AD535&gt;=1,"D","F")))))),"")</f>
        <v/>
      </c>
      <c r="M535" s="3">
        <f>IF(AND('Data Source'!B535&lt;&gt;"",'Data Source'!S535="A+"),IF('Data Source'!AE535&gt;=5,"A+",IF('Data Source'!AE535&gt;=4,"A",IF('Data Source'!AE535&gt;=3.5,"A-",IF('Data Source'!AE535&gt;=3,"B",IF('Data Source'!AE535&gt;=2,"C",IF('Data Source'!AE535&gt;=1,"D","F")))))),"")</f>
        <v/>
      </c>
      <c r="N535" s="3">
        <f>IF(AND('Data Source'!B535&lt;&gt;"",'Data Source'!S535="A+"),IF('Data Source'!AF535&gt;=5,"A+",IF('Data Source'!AF535&gt;=4,"A",IF('Data Source'!AF535&gt;=3.5,"A-",IF('Data Source'!AF535&gt;=3,"B",IF('Data Source'!AF535&gt;=2,"C",IF('Data Source'!AF535&gt;=1,"D","F")))))),"")</f>
        <v/>
      </c>
      <c r="O535" s="3">
        <f>IF(AND('Data Source'!B535&lt;&gt;"",'Data Source'!S535="A+"),IF('Data Source'!AG535&gt;=5,"A+",IF('Data Source'!AG535&gt;=4,"A",IF('Data Source'!AG535&gt;=3.5,"A-",IF('Data Source'!AG535&gt;=3,"B",IF('Data Source'!AG535&gt;=2,"C",IF('Data Source'!AG535&gt;=1,"D","F")))))),"")</f>
        <v/>
      </c>
      <c r="P535" s="5">
        <f>IF(AND('Data Source'!B535&lt;&gt;"",'Data Source'!S535="A+"),'Data Source'!R535,"")</f>
        <v/>
      </c>
      <c r="Q535" s="3">
        <f>IF(AND('Data Source'!B535&lt;&gt;"",'Data Source'!S535="A+"),'Data Source'!S535,"")</f>
        <v/>
      </c>
    </row>
    <row r="536">
      <c r="A536" s="3">
        <f>IF(AND('Data Source'!B536&lt;&gt;"",'Data Source'!S536="A+"),COUNTIF('Data Source'!$S$3:S536,"A+"),"")</f>
        <v/>
      </c>
      <c r="B536">
        <f>IF(AND('Data Source'!B536&lt;&gt;"",'Data Source'!S536="A+"),'Data Source'!B536,"")</f>
        <v/>
      </c>
      <c r="C536" s="3">
        <f>IF(AND('Data Source'!B536&lt;&gt;"",'Data Source'!S536="A+"),IF('Data Source'!U536&gt;=5,"A+",IF('Data Source'!U536&gt;=4,"A",IF('Data Source'!U536&gt;=3.5,"A-",IF('Data Source'!U536&gt;=3,"B",IF('Data Source'!U536&gt;=2,"C",IF('Data Source'!U536&gt;=1,"D","F")))))),"")</f>
        <v/>
      </c>
      <c r="D536" s="3">
        <f>IF(AND('Data Source'!B536&lt;&gt;"",'Data Source'!S536="A+"),IF('Data Source'!V536&gt;=5,"A+",IF('Data Source'!V536&gt;=4,"A",IF('Data Source'!V536&gt;=3.5,"A-",IF('Data Source'!V536&gt;=3,"B",IF('Data Source'!V536&gt;=2,"C",IF('Data Source'!V536&gt;=1,"D","F")))))),"")</f>
        <v/>
      </c>
      <c r="E536" s="3">
        <f>IF(AND('Data Source'!B536&lt;&gt;"",'Data Source'!S536="A+"),IF('Data Source'!W536&gt;=5,"A+",IF('Data Source'!W536&gt;=4,"A",IF('Data Source'!W536&gt;=3.5,"A-",IF('Data Source'!W536&gt;=3,"B",IF('Data Source'!W536&gt;=2,"C",IF('Data Source'!W536&gt;=1,"D","F")))))),"")</f>
        <v/>
      </c>
      <c r="F536" s="3">
        <f>IF(AND('Data Source'!B536&lt;&gt;"",'Data Source'!S536="A+"),IF('Data Source'!X536&gt;=5,"A+",IF('Data Source'!X536&gt;=4,"A",IF('Data Source'!X536&gt;=3.5,"A-",IF('Data Source'!X536&gt;=3,"B",IF('Data Source'!X536&gt;=2,"C",IF('Data Source'!X536&gt;=1,"D","F")))))),"")</f>
        <v/>
      </c>
      <c r="G536" s="3">
        <f>IF(AND('Data Source'!B536&lt;&gt;"",'Data Source'!S536="A+"),IF('Data Source'!Y536&gt;=5,"A+",IF('Data Source'!Y536&gt;=4,"A",IF('Data Source'!Y536&gt;=3.5,"A-",IF('Data Source'!Y536&gt;=3,"B",IF('Data Source'!Y536&gt;=2,"C",IF('Data Source'!Y536&gt;=1,"D","F")))))),"")</f>
        <v/>
      </c>
      <c r="H536" s="3">
        <f>IF(AND('Data Source'!B536&lt;&gt;"",'Data Source'!S536="A+"),IF('Data Source'!Z536&gt;=5,"A+",IF('Data Source'!Z536&gt;=4,"A",IF('Data Source'!Z536&gt;=3.5,"A-",IF('Data Source'!Z536&gt;=3,"B",IF('Data Source'!Z536&gt;=2,"C",IF('Data Source'!Z536&gt;=1,"D","F")))))),"")</f>
        <v/>
      </c>
      <c r="I536" s="3">
        <f>IF(AND('Data Source'!B536&lt;&gt;"",'Data Source'!S536="A+"),IF('Data Source'!AA536&gt;=5,"A+",IF('Data Source'!AA536&gt;=4,"A",IF('Data Source'!AA536&gt;=3.5,"A-",IF('Data Source'!AA536&gt;=3,"B",IF('Data Source'!AA536&gt;=2,"C",IF('Data Source'!AA536&gt;=1,"D","F")))))),"")</f>
        <v/>
      </c>
      <c r="J536" s="3">
        <f>IF(AND('Data Source'!B536&lt;&gt;"",'Data Source'!S536="A+"),IF('Data Source'!AB536&gt;=5,"A+",IF('Data Source'!AB536&gt;=4,"A",IF('Data Source'!AB536&gt;=3.5,"A-",IF('Data Source'!AB536&gt;=3,"B",IF('Data Source'!AB536&gt;=2,"C",IF('Data Source'!AB536&gt;=1,"D","F")))))),"")</f>
        <v/>
      </c>
      <c r="K536" s="3">
        <f>IF(AND('Data Source'!B536&lt;&gt;"",'Data Source'!S536="A+"),IF('Data Source'!AC536&gt;=5,"A+",IF('Data Source'!AC536&gt;=4,"A",IF('Data Source'!AC536&gt;=3.5,"A-",IF('Data Source'!AC536&gt;=3,"B",IF('Data Source'!AC536&gt;=2,"C",IF('Data Source'!AC536&gt;=1,"D","F")))))),"")</f>
        <v/>
      </c>
      <c r="L536" s="3">
        <f>IF(AND('Data Source'!B536&lt;&gt;"",'Data Source'!S536="A+"),IF('Data Source'!AD536&gt;=5,"A+",IF('Data Source'!AD536&gt;=4,"A",IF('Data Source'!AD536&gt;=3.5,"A-",IF('Data Source'!AD536&gt;=3,"B",IF('Data Source'!AD536&gt;=2,"C",IF('Data Source'!AD536&gt;=1,"D","F")))))),"")</f>
        <v/>
      </c>
      <c r="M536" s="3">
        <f>IF(AND('Data Source'!B536&lt;&gt;"",'Data Source'!S536="A+"),IF('Data Source'!AE536&gt;=5,"A+",IF('Data Source'!AE536&gt;=4,"A",IF('Data Source'!AE536&gt;=3.5,"A-",IF('Data Source'!AE536&gt;=3,"B",IF('Data Source'!AE536&gt;=2,"C",IF('Data Source'!AE536&gt;=1,"D","F")))))),"")</f>
        <v/>
      </c>
      <c r="N536" s="3">
        <f>IF(AND('Data Source'!B536&lt;&gt;"",'Data Source'!S536="A+"),IF('Data Source'!AF536&gt;=5,"A+",IF('Data Source'!AF536&gt;=4,"A",IF('Data Source'!AF536&gt;=3.5,"A-",IF('Data Source'!AF536&gt;=3,"B",IF('Data Source'!AF536&gt;=2,"C",IF('Data Source'!AF536&gt;=1,"D","F")))))),"")</f>
        <v/>
      </c>
      <c r="O536" s="3">
        <f>IF(AND('Data Source'!B536&lt;&gt;"",'Data Source'!S536="A+"),IF('Data Source'!AG536&gt;=5,"A+",IF('Data Source'!AG536&gt;=4,"A",IF('Data Source'!AG536&gt;=3.5,"A-",IF('Data Source'!AG536&gt;=3,"B",IF('Data Source'!AG536&gt;=2,"C",IF('Data Source'!AG536&gt;=1,"D","F")))))),"")</f>
        <v/>
      </c>
      <c r="P536" s="5">
        <f>IF(AND('Data Source'!B536&lt;&gt;"",'Data Source'!S536="A+"),'Data Source'!R536,"")</f>
        <v/>
      </c>
      <c r="Q536" s="3">
        <f>IF(AND('Data Source'!B536&lt;&gt;"",'Data Source'!S536="A+"),'Data Source'!S536,"")</f>
        <v/>
      </c>
    </row>
    <row r="537">
      <c r="A537" s="3">
        <f>IF(AND('Data Source'!B537&lt;&gt;"",'Data Source'!S537="A+"),COUNTIF('Data Source'!$S$3:S537,"A+"),"")</f>
        <v/>
      </c>
      <c r="B537">
        <f>IF(AND('Data Source'!B537&lt;&gt;"",'Data Source'!S537="A+"),'Data Source'!B537,"")</f>
        <v/>
      </c>
      <c r="C537" s="3">
        <f>IF(AND('Data Source'!B537&lt;&gt;"",'Data Source'!S537="A+"),IF('Data Source'!U537&gt;=5,"A+",IF('Data Source'!U537&gt;=4,"A",IF('Data Source'!U537&gt;=3.5,"A-",IF('Data Source'!U537&gt;=3,"B",IF('Data Source'!U537&gt;=2,"C",IF('Data Source'!U537&gt;=1,"D","F")))))),"")</f>
        <v/>
      </c>
      <c r="D537" s="3">
        <f>IF(AND('Data Source'!B537&lt;&gt;"",'Data Source'!S537="A+"),IF('Data Source'!V537&gt;=5,"A+",IF('Data Source'!V537&gt;=4,"A",IF('Data Source'!V537&gt;=3.5,"A-",IF('Data Source'!V537&gt;=3,"B",IF('Data Source'!V537&gt;=2,"C",IF('Data Source'!V537&gt;=1,"D","F")))))),"")</f>
        <v/>
      </c>
      <c r="E537" s="3">
        <f>IF(AND('Data Source'!B537&lt;&gt;"",'Data Source'!S537="A+"),IF('Data Source'!W537&gt;=5,"A+",IF('Data Source'!W537&gt;=4,"A",IF('Data Source'!W537&gt;=3.5,"A-",IF('Data Source'!W537&gt;=3,"B",IF('Data Source'!W537&gt;=2,"C",IF('Data Source'!W537&gt;=1,"D","F")))))),"")</f>
        <v/>
      </c>
      <c r="F537" s="3">
        <f>IF(AND('Data Source'!B537&lt;&gt;"",'Data Source'!S537="A+"),IF('Data Source'!X537&gt;=5,"A+",IF('Data Source'!X537&gt;=4,"A",IF('Data Source'!X537&gt;=3.5,"A-",IF('Data Source'!X537&gt;=3,"B",IF('Data Source'!X537&gt;=2,"C",IF('Data Source'!X537&gt;=1,"D","F")))))),"")</f>
        <v/>
      </c>
      <c r="G537" s="3">
        <f>IF(AND('Data Source'!B537&lt;&gt;"",'Data Source'!S537="A+"),IF('Data Source'!Y537&gt;=5,"A+",IF('Data Source'!Y537&gt;=4,"A",IF('Data Source'!Y537&gt;=3.5,"A-",IF('Data Source'!Y537&gt;=3,"B",IF('Data Source'!Y537&gt;=2,"C",IF('Data Source'!Y537&gt;=1,"D","F")))))),"")</f>
        <v/>
      </c>
      <c r="H537" s="3">
        <f>IF(AND('Data Source'!B537&lt;&gt;"",'Data Source'!S537="A+"),IF('Data Source'!Z537&gt;=5,"A+",IF('Data Source'!Z537&gt;=4,"A",IF('Data Source'!Z537&gt;=3.5,"A-",IF('Data Source'!Z537&gt;=3,"B",IF('Data Source'!Z537&gt;=2,"C",IF('Data Source'!Z537&gt;=1,"D","F")))))),"")</f>
        <v/>
      </c>
      <c r="I537" s="3">
        <f>IF(AND('Data Source'!B537&lt;&gt;"",'Data Source'!S537="A+"),IF('Data Source'!AA537&gt;=5,"A+",IF('Data Source'!AA537&gt;=4,"A",IF('Data Source'!AA537&gt;=3.5,"A-",IF('Data Source'!AA537&gt;=3,"B",IF('Data Source'!AA537&gt;=2,"C",IF('Data Source'!AA537&gt;=1,"D","F")))))),"")</f>
        <v/>
      </c>
      <c r="J537" s="3">
        <f>IF(AND('Data Source'!B537&lt;&gt;"",'Data Source'!S537="A+"),IF('Data Source'!AB537&gt;=5,"A+",IF('Data Source'!AB537&gt;=4,"A",IF('Data Source'!AB537&gt;=3.5,"A-",IF('Data Source'!AB537&gt;=3,"B",IF('Data Source'!AB537&gt;=2,"C",IF('Data Source'!AB537&gt;=1,"D","F")))))),"")</f>
        <v/>
      </c>
      <c r="K537" s="3">
        <f>IF(AND('Data Source'!B537&lt;&gt;"",'Data Source'!S537="A+"),IF('Data Source'!AC537&gt;=5,"A+",IF('Data Source'!AC537&gt;=4,"A",IF('Data Source'!AC537&gt;=3.5,"A-",IF('Data Source'!AC537&gt;=3,"B",IF('Data Source'!AC537&gt;=2,"C",IF('Data Source'!AC537&gt;=1,"D","F")))))),"")</f>
        <v/>
      </c>
      <c r="L537" s="3">
        <f>IF(AND('Data Source'!B537&lt;&gt;"",'Data Source'!S537="A+"),IF('Data Source'!AD537&gt;=5,"A+",IF('Data Source'!AD537&gt;=4,"A",IF('Data Source'!AD537&gt;=3.5,"A-",IF('Data Source'!AD537&gt;=3,"B",IF('Data Source'!AD537&gt;=2,"C",IF('Data Source'!AD537&gt;=1,"D","F")))))),"")</f>
        <v/>
      </c>
      <c r="M537" s="3">
        <f>IF(AND('Data Source'!B537&lt;&gt;"",'Data Source'!S537="A+"),IF('Data Source'!AE537&gt;=5,"A+",IF('Data Source'!AE537&gt;=4,"A",IF('Data Source'!AE537&gt;=3.5,"A-",IF('Data Source'!AE537&gt;=3,"B",IF('Data Source'!AE537&gt;=2,"C",IF('Data Source'!AE537&gt;=1,"D","F")))))),"")</f>
        <v/>
      </c>
      <c r="N537" s="3">
        <f>IF(AND('Data Source'!B537&lt;&gt;"",'Data Source'!S537="A+"),IF('Data Source'!AF537&gt;=5,"A+",IF('Data Source'!AF537&gt;=4,"A",IF('Data Source'!AF537&gt;=3.5,"A-",IF('Data Source'!AF537&gt;=3,"B",IF('Data Source'!AF537&gt;=2,"C",IF('Data Source'!AF537&gt;=1,"D","F")))))),"")</f>
        <v/>
      </c>
      <c r="O537" s="3">
        <f>IF(AND('Data Source'!B537&lt;&gt;"",'Data Source'!S537="A+"),IF('Data Source'!AG537&gt;=5,"A+",IF('Data Source'!AG537&gt;=4,"A",IF('Data Source'!AG537&gt;=3.5,"A-",IF('Data Source'!AG537&gt;=3,"B",IF('Data Source'!AG537&gt;=2,"C",IF('Data Source'!AG537&gt;=1,"D","F")))))),"")</f>
        <v/>
      </c>
      <c r="P537" s="5">
        <f>IF(AND('Data Source'!B537&lt;&gt;"",'Data Source'!S537="A+"),'Data Source'!R537,"")</f>
        <v/>
      </c>
      <c r="Q537" s="3">
        <f>IF(AND('Data Source'!B537&lt;&gt;"",'Data Source'!S537="A+"),'Data Source'!S537,"")</f>
        <v/>
      </c>
    </row>
    <row r="538">
      <c r="A538" s="3">
        <f>IF(AND('Data Source'!B538&lt;&gt;"",'Data Source'!S538="A+"),COUNTIF('Data Source'!$S$3:S538,"A+"),"")</f>
        <v/>
      </c>
      <c r="B538">
        <f>IF(AND('Data Source'!B538&lt;&gt;"",'Data Source'!S538="A+"),'Data Source'!B538,"")</f>
        <v/>
      </c>
      <c r="C538" s="3">
        <f>IF(AND('Data Source'!B538&lt;&gt;"",'Data Source'!S538="A+"),IF('Data Source'!U538&gt;=5,"A+",IF('Data Source'!U538&gt;=4,"A",IF('Data Source'!U538&gt;=3.5,"A-",IF('Data Source'!U538&gt;=3,"B",IF('Data Source'!U538&gt;=2,"C",IF('Data Source'!U538&gt;=1,"D","F")))))),"")</f>
        <v/>
      </c>
      <c r="D538" s="3">
        <f>IF(AND('Data Source'!B538&lt;&gt;"",'Data Source'!S538="A+"),IF('Data Source'!V538&gt;=5,"A+",IF('Data Source'!V538&gt;=4,"A",IF('Data Source'!V538&gt;=3.5,"A-",IF('Data Source'!V538&gt;=3,"B",IF('Data Source'!V538&gt;=2,"C",IF('Data Source'!V538&gt;=1,"D","F")))))),"")</f>
        <v/>
      </c>
      <c r="E538" s="3">
        <f>IF(AND('Data Source'!B538&lt;&gt;"",'Data Source'!S538="A+"),IF('Data Source'!W538&gt;=5,"A+",IF('Data Source'!W538&gt;=4,"A",IF('Data Source'!W538&gt;=3.5,"A-",IF('Data Source'!W538&gt;=3,"B",IF('Data Source'!W538&gt;=2,"C",IF('Data Source'!W538&gt;=1,"D","F")))))),"")</f>
        <v/>
      </c>
      <c r="F538" s="3">
        <f>IF(AND('Data Source'!B538&lt;&gt;"",'Data Source'!S538="A+"),IF('Data Source'!X538&gt;=5,"A+",IF('Data Source'!X538&gt;=4,"A",IF('Data Source'!X538&gt;=3.5,"A-",IF('Data Source'!X538&gt;=3,"B",IF('Data Source'!X538&gt;=2,"C",IF('Data Source'!X538&gt;=1,"D","F")))))),"")</f>
        <v/>
      </c>
      <c r="G538" s="3">
        <f>IF(AND('Data Source'!B538&lt;&gt;"",'Data Source'!S538="A+"),IF('Data Source'!Y538&gt;=5,"A+",IF('Data Source'!Y538&gt;=4,"A",IF('Data Source'!Y538&gt;=3.5,"A-",IF('Data Source'!Y538&gt;=3,"B",IF('Data Source'!Y538&gt;=2,"C",IF('Data Source'!Y538&gt;=1,"D","F")))))),"")</f>
        <v/>
      </c>
      <c r="H538" s="3">
        <f>IF(AND('Data Source'!B538&lt;&gt;"",'Data Source'!S538="A+"),IF('Data Source'!Z538&gt;=5,"A+",IF('Data Source'!Z538&gt;=4,"A",IF('Data Source'!Z538&gt;=3.5,"A-",IF('Data Source'!Z538&gt;=3,"B",IF('Data Source'!Z538&gt;=2,"C",IF('Data Source'!Z538&gt;=1,"D","F")))))),"")</f>
        <v/>
      </c>
      <c r="I538" s="3">
        <f>IF(AND('Data Source'!B538&lt;&gt;"",'Data Source'!S538="A+"),IF('Data Source'!AA538&gt;=5,"A+",IF('Data Source'!AA538&gt;=4,"A",IF('Data Source'!AA538&gt;=3.5,"A-",IF('Data Source'!AA538&gt;=3,"B",IF('Data Source'!AA538&gt;=2,"C",IF('Data Source'!AA538&gt;=1,"D","F")))))),"")</f>
        <v/>
      </c>
      <c r="J538" s="3">
        <f>IF(AND('Data Source'!B538&lt;&gt;"",'Data Source'!S538="A+"),IF('Data Source'!AB538&gt;=5,"A+",IF('Data Source'!AB538&gt;=4,"A",IF('Data Source'!AB538&gt;=3.5,"A-",IF('Data Source'!AB538&gt;=3,"B",IF('Data Source'!AB538&gt;=2,"C",IF('Data Source'!AB538&gt;=1,"D","F")))))),"")</f>
        <v/>
      </c>
      <c r="K538" s="3">
        <f>IF(AND('Data Source'!B538&lt;&gt;"",'Data Source'!S538="A+"),IF('Data Source'!AC538&gt;=5,"A+",IF('Data Source'!AC538&gt;=4,"A",IF('Data Source'!AC538&gt;=3.5,"A-",IF('Data Source'!AC538&gt;=3,"B",IF('Data Source'!AC538&gt;=2,"C",IF('Data Source'!AC538&gt;=1,"D","F")))))),"")</f>
        <v/>
      </c>
      <c r="L538" s="3">
        <f>IF(AND('Data Source'!B538&lt;&gt;"",'Data Source'!S538="A+"),IF('Data Source'!AD538&gt;=5,"A+",IF('Data Source'!AD538&gt;=4,"A",IF('Data Source'!AD538&gt;=3.5,"A-",IF('Data Source'!AD538&gt;=3,"B",IF('Data Source'!AD538&gt;=2,"C",IF('Data Source'!AD538&gt;=1,"D","F")))))),"")</f>
        <v/>
      </c>
      <c r="M538" s="3">
        <f>IF(AND('Data Source'!B538&lt;&gt;"",'Data Source'!S538="A+"),IF('Data Source'!AE538&gt;=5,"A+",IF('Data Source'!AE538&gt;=4,"A",IF('Data Source'!AE538&gt;=3.5,"A-",IF('Data Source'!AE538&gt;=3,"B",IF('Data Source'!AE538&gt;=2,"C",IF('Data Source'!AE538&gt;=1,"D","F")))))),"")</f>
        <v/>
      </c>
      <c r="N538" s="3">
        <f>IF(AND('Data Source'!B538&lt;&gt;"",'Data Source'!S538="A+"),IF('Data Source'!AF538&gt;=5,"A+",IF('Data Source'!AF538&gt;=4,"A",IF('Data Source'!AF538&gt;=3.5,"A-",IF('Data Source'!AF538&gt;=3,"B",IF('Data Source'!AF538&gt;=2,"C",IF('Data Source'!AF538&gt;=1,"D","F")))))),"")</f>
        <v/>
      </c>
      <c r="O538" s="3">
        <f>IF(AND('Data Source'!B538&lt;&gt;"",'Data Source'!S538="A+"),IF('Data Source'!AG538&gt;=5,"A+",IF('Data Source'!AG538&gt;=4,"A",IF('Data Source'!AG538&gt;=3.5,"A-",IF('Data Source'!AG538&gt;=3,"B",IF('Data Source'!AG538&gt;=2,"C",IF('Data Source'!AG538&gt;=1,"D","F")))))),"")</f>
        <v/>
      </c>
      <c r="P538" s="5">
        <f>IF(AND('Data Source'!B538&lt;&gt;"",'Data Source'!S538="A+"),'Data Source'!R538,"")</f>
        <v/>
      </c>
      <c r="Q538" s="3">
        <f>IF(AND('Data Source'!B538&lt;&gt;"",'Data Source'!S538="A+"),'Data Source'!S538,"")</f>
        <v/>
      </c>
    </row>
    <row r="539">
      <c r="A539" s="3">
        <f>IF(AND('Data Source'!B539&lt;&gt;"",'Data Source'!S539="A+"),COUNTIF('Data Source'!$S$3:S539,"A+"),"")</f>
        <v/>
      </c>
      <c r="B539">
        <f>IF(AND('Data Source'!B539&lt;&gt;"",'Data Source'!S539="A+"),'Data Source'!B539,"")</f>
        <v/>
      </c>
      <c r="C539" s="3">
        <f>IF(AND('Data Source'!B539&lt;&gt;"",'Data Source'!S539="A+"),IF('Data Source'!U539&gt;=5,"A+",IF('Data Source'!U539&gt;=4,"A",IF('Data Source'!U539&gt;=3.5,"A-",IF('Data Source'!U539&gt;=3,"B",IF('Data Source'!U539&gt;=2,"C",IF('Data Source'!U539&gt;=1,"D","F")))))),"")</f>
        <v/>
      </c>
      <c r="D539" s="3">
        <f>IF(AND('Data Source'!B539&lt;&gt;"",'Data Source'!S539="A+"),IF('Data Source'!V539&gt;=5,"A+",IF('Data Source'!V539&gt;=4,"A",IF('Data Source'!V539&gt;=3.5,"A-",IF('Data Source'!V539&gt;=3,"B",IF('Data Source'!V539&gt;=2,"C",IF('Data Source'!V539&gt;=1,"D","F")))))),"")</f>
        <v/>
      </c>
      <c r="E539" s="3">
        <f>IF(AND('Data Source'!B539&lt;&gt;"",'Data Source'!S539="A+"),IF('Data Source'!W539&gt;=5,"A+",IF('Data Source'!W539&gt;=4,"A",IF('Data Source'!W539&gt;=3.5,"A-",IF('Data Source'!W539&gt;=3,"B",IF('Data Source'!W539&gt;=2,"C",IF('Data Source'!W539&gt;=1,"D","F")))))),"")</f>
        <v/>
      </c>
      <c r="F539" s="3">
        <f>IF(AND('Data Source'!B539&lt;&gt;"",'Data Source'!S539="A+"),IF('Data Source'!X539&gt;=5,"A+",IF('Data Source'!X539&gt;=4,"A",IF('Data Source'!X539&gt;=3.5,"A-",IF('Data Source'!X539&gt;=3,"B",IF('Data Source'!X539&gt;=2,"C",IF('Data Source'!X539&gt;=1,"D","F")))))),"")</f>
        <v/>
      </c>
      <c r="G539" s="3">
        <f>IF(AND('Data Source'!B539&lt;&gt;"",'Data Source'!S539="A+"),IF('Data Source'!Y539&gt;=5,"A+",IF('Data Source'!Y539&gt;=4,"A",IF('Data Source'!Y539&gt;=3.5,"A-",IF('Data Source'!Y539&gt;=3,"B",IF('Data Source'!Y539&gt;=2,"C",IF('Data Source'!Y539&gt;=1,"D","F")))))),"")</f>
        <v/>
      </c>
      <c r="H539" s="3">
        <f>IF(AND('Data Source'!B539&lt;&gt;"",'Data Source'!S539="A+"),IF('Data Source'!Z539&gt;=5,"A+",IF('Data Source'!Z539&gt;=4,"A",IF('Data Source'!Z539&gt;=3.5,"A-",IF('Data Source'!Z539&gt;=3,"B",IF('Data Source'!Z539&gt;=2,"C",IF('Data Source'!Z539&gt;=1,"D","F")))))),"")</f>
        <v/>
      </c>
      <c r="I539" s="3">
        <f>IF(AND('Data Source'!B539&lt;&gt;"",'Data Source'!S539="A+"),IF('Data Source'!AA539&gt;=5,"A+",IF('Data Source'!AA539&gt;=4,"A",IF('Data Source'!AA539&gt;=3.5,"A-",IF('Data Source'!AA539&gt;=3,"B",IF('Data Source'!AA539&gt;=2,"C",IF('Data Source'!AA539&gt;=1,"D","F")))))),"")</f>
        <v/>
      </c>
      <c r="J539" s="3">
        <f>IF(AND('Data Source'!B539&lt;&gt;"",'Data Source'!S539="A+"),IF('Data Source'!AB539&gt;=5,"A+",IF('Data Source'!AB539&gt;=4,"A",IF('Data Source'!AB539&gt;=3.5,"A-",IF('Data Source'!AB539&gt;=3,"B",IF('Data Source'!AB539&gt;=2,"C",IF('Data Source'!AB539&gt;=1,"D","F")))))),"")</f>
        <v/>
      </c>
      <c r="K539" s="3">
        <f>IF(AND('Data Source'!B539&lt;&gt;"",'Data Source'!S539="A+"),IF('Data Source'!AC539&gt;=5,"A+",IF('Data Source'!AC539&gt;=4,"A",IF('Data Source'!AC539&gt;=3.5,"A-",IF('Data Source'!AC539&gt;=3,"B",IF('Data Source'!AC539&gt;=2,"C",IF('Data Source'!AC539&gt;=1,"D","F")))))),"")</f>
        <v/>
      </c>
      <c r="L539" s="3">
        <f>IF(AND('Data Source'!B539&lt;&gt;"",'Data Source'!S539="A+"),IF('Data Source'!AD539&gt;=5,"A+",IF('Data Source'!AD539&gt;=4,"A",IF('Data Source'!AD539&gt;=3.5,"A-",IF('Data Source'!AD539&gt;=3,"B",IF('Data Source'!AD539&gt;=2,"C",IF('Data Source'!AD539&gt;=1,"D","F")))))),"")</f>
        <v/>
      </c>
      <c r="M539" s="3">
        <f>IF(AND('Data Source'!B539&lt;&gt;"",'Data Source'!S539="A+"),IF('Data Source'!AE539&gt;=5,"A+",IF('Data Source'!AE539&gt;=4,"A",IF('Data Source'!AE539&gt;=3.5,"A-",IF('Data Source'!AE539&gt;=3,"B",IF('Data Source'!AE539&gt;=2,"C",IF('Data Source'!AE539&gt;=1,"D","F")))))),"")</f>
        <v/>
      </c>
      <c r="N539" s="3">
        <f>IF(AND('Data Source'!B539&lt;&gt;"",'Data Source'!S539="A+"),IF('Data Source'!AF539&gt;=5,"A+",IF('Data Source'!AF539&gt;=4,"A",IF('Data Source'!AF539&gt;=3.5,"A-",IF('Data Source'!AF539&gt;=3,"B",IF('Data Source'!AF539&gt;=2,"C",IF('Data Source'!AF539&gt;=1,"D","F")))))),"")</f>
        <v/>
      </c>
      <c r="O539" s="3">
        <f>IF(AND('Data Source'!B539&lt;&gt;"",'Data Source'!S539="A+"),IF('Data Source'!AG539&gt;=5,"A+",IF('Data Source'!AG539&gt;=4,"A",IF('Data Source'!AG539&gt;=3.5,"A-",IF('Data Source'!AG539&gt;=3,"B",IF('Data Source'!AG539&gt;=2,"C",IF('Data Source'!AG539&gt;=1,"D","F")))))),"")</f>
        <v/>
      </c>
      <c r="P539" s="5">
        <f>IF(AND('Data Source'!B539&lt;&gt;"",'Data Source'!S539="A+"),'Data Source'!R539,"")</f>
        <v/>
      </c>
      <c r="Q539" s="3">
        <f>IF(AND('Data Source'!B539&lt;&gt;"",'Data Source'!S539="A+"),'Data Source'!S539,"")</f>
        <v/>
      </c>
    </row>
    <row r="540">
      <c r="A540" s="3">
        <f>IF(AND('Data Source'!B540&lt;&gt;"",'Data Source'!S540="A+"),COUNTIF('Data Source'!$S$3:S540,"A+"),"")</f>
        <v/>
      </c>
      <c r="B540">
        <f>IF(AND('Data Source'!B540&lt;&gt;"",'Data Source'!S540="A+"),'Data Source'!B540,"")</f>
        <v/>
      </c>
      <c r="C540" s="3">
        <f>IF(AND('Data Source'!B540&lt;&gt;"",'Data Source'!S540="A+"),IF('Data Source'!U540&gt;=5,"A+",IF('Data Source'!U540&gt;=4,"A",IF('Data Source'!U540&gt;=3.5,"A-",IF('Data Source'!U540&gt;=3,"B",IF('Data Source'!U540&gt;=2,"C",IF('Data Source'!U540&gt;=1,"D","F")))))),"")</f>
        <v/>
      </c>
      <c r="D540" s="3">
        <f>IF(AND('Data Source'!B540&lt;&gt;"",'Data Source'!S540="A+"),IF('Data Source'!V540&gt;=5,"A+",IF('Data Source'!V540&gt;=4,"A",IF('Data Source'!V540&gt;=3.5,"A-",IF('Data Source'!V540&gt;=3,"B",IF('Data Source'!V540&gt;=2,"C",IF('Data Source'!V540&gt;=1,"D","F")))))),"")</f>
        <v/>
      </c>
      <c r="E540" s="3">
        <f>IF(AND('Data Source'!B540&lt;&gt;"",'Data Source'!S540="A+"),IF('Data Source'!W540&gt;=5,"A+",IF('Data Source'!W540&gt;=4,"A",IF('Data Source'!W540&gt;=3.5,"A-",IF('Data Source'!W540&gt;=3,"B",IF('Data Source'!W540&gt;=2,"C",IF('Data Source'!W540&gt;=1,"D","F")))))),"")</f>
        <v/>
      </c>
      <c r="F540" s="3">
        <f>IF(AND('Data Source'!B540&lt;&gt;"",'Data Source'!S540="A+"),IF('Data Source'!X540&gt;=5,"A+",IF('Data Source'!X540&gt;=4,"A",IF('Data Source'!X540&gt;=3.5,"A-",IF('Data Source'!X540&gt;=3,"B",IF('Data Source'!X540&gt;=2,"C",IF('Data Source'!X540&gt;=1,"D","F")))))),"")</f>
        <v/>
      </c>
      <c r="G540" s="3">
        <f>IF(AND('Data Source'!B540&lt;&gt;"",'Data Source'!S540="A+"),IF('Data Source'!Y540&gt;=5,"A+",IF('Data Source'!Y540&gt;=4,"A",IF('Data Source'!Y540&gt;=3.5,"A-",IF('Data Source'!Y540&gt;=3,"B",IF('Data Source'!Y540&gt;=2,"C",IF('Data Source'!Y540&gt;=1,"D","F")))))),"")</f>
        <v/>
      </c>
      <c r="H540" s="3">
        <f>IF(AND('Data Source'!B540&lt;&gt;"",'Data Source'!S540="A+"),IF('Data Source'!Z540&gt;=5,"A+",IF('Data Source'!Z540&gt;=4,"A",IF('Data Source'!Z540&gt;=3.5,"A-",IF('Data Source'!Z540&gt;=3,"B",IF('Data Source'!Z540&gt;=2,"C",IF('Data Source'!Z540&gt;=1,"D","F")))))),"")</f>
        <v/>
      </c>
      <c r="I540" s="3">
        <f>IF(AND('Data Source'!B540&lt;&gt;"",'Data Source'!S540="A+"),IF('Data Source'!AA540&gt;=5,"A+",IF('Data Source'!AA540&gt;=4,"A",IF('Data Source'!AA540&gt;=3.5,"A-",IF('Data Source'!AA540&gt;=3,"B",IF('Data Source'!AA540&gt;=2,"C",IF('Data Source'!AA540&gt;=1,"D","F")))))),"")</f>
        <v/>
      </c>
      <c r="J540" s="3">
        <f>IF(AND('Data Source'!B540&lt;&gt;"",'Data Source'!S540="A+"),IF('Data Source'!AB540&gt;=5,"A+",IF('Data Source'!AB540&gt;=4,"A",IF('Data Source'!AB540&gt;=3.5,"A-",IF('Data Source'!AB540&gt;=3,"B",IF('Data Source'!AB540&gt;=2,"C",IF('Data Source'!AB540&gt;=1,"D","F")))))),"")</f>
        <v/>
      </c>
      <c r="K540" s="3">
        <f>IF(AND('Data Source'!B540&lt;&gt;"",'Data Source'!S540="A+"),IF('Data Source'!AC540&gt;=5,"A+",IF('Data Source'!AC540&gt;=4,"A",IF('Data Source'!AC540&gt;=3.5,"A-",IF('Data Source'!AC540&gt;=3,"B",IF('Data Source'!AC540&gt;=2,"C",IF('Data Source'!AC540&gt;=1,"D","F")))))),"")</f>
        <v/>
      </c>
      <c r="L540" s="3">
        <f>IF(AND('Data Source'!B540&lt;&gt;"",'Data Source'!S540="A+"),IF('Data Source'!AD540&gt;=5,"A+",IF('Data Source'!AD540&gt;=4,"A",IF('Data Source'!AD540&gt;=3.5,"A-",IF('Data Source'!AD540&gt;=3,"B",IF('Data Source'!AD540&gt;=2,"C",IF('Data Source'!AD540&gt;=1,"D","F")))))),"")</f>
        <v/>
      </c>
      <c r="M540" s="3">
        <f>IF(AND('Data Source'!B540&lt;&gt;"",'Data Source'!S540="A+"),IF('Data Source'!AE540&gt;=5,"A+",IF('Data Source'!AE540&gt;=4,"A",IF('Data Source'!AE540&gt;=3.5,"A-",IF('Data Source'!AE540&gt;=3,"B",IF('Data Source'!AE540&gt;=2,"C",IF('Data Source'!AE540&gt;=1,"D","F")))))),"")</f>
        <v/>
      </c>
      <c r="N540" s="3">
        <f>IF(AND('Data Source'!B540&lt;&gt;"",'Data Source'!S540="A+"),IF('Data Source'!AF540&gt;=5,"A+",IF('Data Source'!AF540&gt;=4,"A",IF('Data Source'!AF540&gt;=3.5,"A-",IF('Data Source'!AF540&gt;=3,"B",IF('Data Source'!AF540&gt;=2,"C",IF('Data Source'!AF540&gt;=1,"D","F")))))),"")</f>
        <v/>
      </c>
      <c r="O540" s="3">
        <f>IF(AND('Data Source'!B540&lt;&gt;"",'Data Source'!S540="A+"),IF('Data Source'!AG540&gt;=5,"A+",IF('Data Source'!AG540&gt;=4,"A",IF('Data Source'!AG540&gt;=3.5,"A-",IF('Data Source'!AG540&gt;=3,"B",IF('Data Source'!AG540&gt;=2,"C",IF('Data Source'!AG540&gt;=1,"D","F")))))),"")</f>
        <v/>
      </c>
      <c r="P540" s="5">
        <f>IF(AND('Data Source'!B540&lt;&gt;"",'Data Source'!S540="A+"),'Data Source'!R540,"")</f>
        <v/>
      </c>
      <c r="Q540" s="3">
        <f>IF(AND('Data Source'!B540&lt;&gt;"",'Data Source'!S540="A+"),'Data Source'!S540,"")</f>
        <v/>
      </c>
    </row>
    <row r="541">
      <c r="A541" s="3">
        <f>IF(AND('Data Source'!B541&lt;&gt;"",'Data Source'!S541="A+"),COUNTIF('Data Source'!$S$3:S541,"A+"),"")</f>
        <v/>
      </c>
      <c r="B541">
        <f>IF(AND('Data Source'!B541&lt;&gt;"",'Data Source'!S541="A+"),'Data Source'!B541,"")</f>
        <v/>
      </c>
      <c r="C541" s="3">
        <f>IF(AND('Data Source'!B541&lt;&gt;"",'Data Source'!S541="A+"),IF('Data Source'!U541&gt;=5,"A+",IF('Data Source'!U541&gt;=4,"A",IF('Data Source'!U541&gt;=3.5,"A-",IF('Data Source'!U541&gt;=3,"B",IF('Data Source'!U541&gt;=2,"C",IF('Data Source'!U541&gt;=1,"D","F")))))),"")</f>
        <v/>
      </c>
      <c r="D541" s="3">
        <f>IF(AND('Data Source'!B541&lt;&gt;"",'Data Source'!S541="A+"),IF('Data Source'!V541&gt;=5,"A+",IF('Data Source'!V541&gt;=4,"A",IF('Data Source'!V541&gt;=3.5,"A-",IF('Data Source'!V541&gt;=3,"B",IF('Data Source'!V541&gt;=2,"C",IF('Data Source'!V541&gt;=1,"D","F")))))),"")</f>
        <v/>
      </c>
      <c r="E541" s="3">
        <f>IF(AND('Data Source'!B541&lt;&gt;"",'Data Source'!S541="A+"),IF('Data Source'!W541&gt;=5,"A+",IF('Data Source'!W541&gt;=4,"A",IF('Data Source'!W541&gt;=3.5,"A-",IF('Data Source'!W541&gt;=3,"B",IF('Data Source'!W541&gt;=2,"C",IF('Data Source'!W541&gt;=1,"D","F")))))),"")</f>
        <v/>
      </c>
      <c r="F541" s="3">
        <f>IF(AND('Data Source'!B541&lt;&gt;"",'Data Source'!S541="A+"),IF('Data Source'!X541&gt;=5,"A+",IF('Data Source'!X541&gt;=4,"A",IF('Data Source'!X541&gt;=3.5,"A-",IF('Data Source'!X541&gt;=3,"B",IF('Data Source'!X541&gt;=2,"C",IF('Data Source'!X541&gt;=1,"D","F")))))),"")</f>
        <v/>
      </c>
      <c r="G541" s="3">
        <f>IF(AND('Data Source'!B541&lt;&gt;"",'Data Source'!S541="A+"),IF('Data Source'!Y541&gt;=5,"A+",IF('Data Source'!Y541&gt;=4,"A",IF('Data Source'!Y541&gt;=3.5,"A-",IF('Data Source'!Y541&gt;=3,"B",IF('Data Source'!Y541&gt;=2,"C",IF('Data Source'!Y541&gt;=1,"D","F")))))),"")</f>
        <v/>
      </c>
      <c r="H541" s="3">
        <f>IF(AND('Data Source'!B541&lt;&gt;"",'Data Source'!S541="A+"),IF('Data Source'!Z541&gt;=5,"A+",IF('Data Source'!Z541&gt;=4,"A",IF('Data Source'!Z541&gt;=3.5,"A-",IF('Data Source'!Z541&gt;=3,"B",IF('Data Source'!Z541&gt;=2,"C",IF('Data Source'!Z541&gt;=1,"D","F")))))),"")</f>
        <v/>
      </c>
      <c r="I541" s="3">
        <f>IF(AND('Data Source'!B541&lt;&gt;"",'Data Source'!S541="A+"),IF('Data Source'!AA541&gt;=5,"A+",IF('Data Source'!AA541&gt;=4,"A",IF('Data Source'!AA541&gt;=3.5,"A-",IF('Data Source'!AA541&gt;=3,"B",IF('Data Source'!AA541&gt;=2,"C",IF('Data Source'!AA541&gt;=1,"D","F")))))),"")</f>
        <v/>
      </c>
      <c r="J541" s="3">
        <f>IF(AND('Data Source'!B541&lt;&gt;"",'Data Source'!S541="A+"),IF('Data Source'!AB541&gt;=5,"A+",IF('Data Source'!AB541&gt;=4,"A",IF('Data Source'!AB541&gt;=3.5,"A-",IF('Data Source'!AB541&gt;=3,"B",IF('Data Source'!AB541&gt;=2,"C",IF('Data Source'!AB541&gt;=1,"D","F")))))),"")</f>
        <v/>
      </c>
      <c r="K541" s="3">
        <f>IF(AND('Data Source'!B541&lt;&gt;"",'Data Source'!S541="A+"),IF('Data Source'!AC541&gt;=5,"A+",IF('Data Source'!AC541&gt;=4,"A",IF('Data Source'!AC541&gt;=3.5,"A-",IF('Data Source'!AC541&gt;=3,"B",IF('Data Source'!AC541&gt;=2,"C",IF('Data Source'!AC541&gt;=1,"D","F")))))),"")</f>
        <v/>
      </c>
      <c r="L541" s="3">
        <f>IF(AND('Data Source'!B541&lt;&gt;"",'Data Source'!S541="A+"),IF('Data Source'!AD541&gt;=5,"A+",IF('Data Source'!AD541&gt;=4,"A",IF('Data Source'!AD541&gt;=3.5,"A-",IF('Data Source'!AD541&gt;=3,"B",IF('Data Source'!AD541&gt;=2,"C",IF('Data Source'!AD541&gt;=1,"D","F")))))),"")</f>
        <v/>
      </c>
      <c r="M541" s="3">
        <f>IF(AND('Data Source'!B541&lt;&gt;"",'Data Source'!S541="A+"),IF('Data Source'!AE541&gt;=5,"A+",IF('Data Source'!AE541&gt;=4,"A",IF('Data Source'!AE541&gt;=3.5,"A-",IF('Data Source'!AE541&gt;=3,"B",IF('Data Source'!AE541&gt;=2,"C",IF('Data Source'!AE541&gt;=1,"D","F")))))),"")</f>
        <v/>
      </c>
      <c r="N541" s="3">
        <f>IF(AND('Data Source'!B541&lt;&gt;"",'Data Source'!S541="A+"),IF('Data Source'!AF541&gt;=5,"A+",IF('Data Source'!AF541&gt;=4,"A",IF('Data Source'!AF541&gt;=3.5,"A-",IF('Data Source'!AF541&gt;=3,"B",IF('Data Source'!AF541&gt;=2,"C",IF('Data Source'!AF541&gt;=1,"D","F")))))),"")</f>
        <v/>
      </c>
      <c r="O541" s="3">
        <f>IF(AND('Data Source'!B541&lt;&gt;"",'Data Source'!S541="A+"),IF('Data Source'!AG541&gt;=5,"A+",IF('Data Source'!AG541&gt;=4,"A",IF('Data Source'!AG541&gt;=3.5,"A-",IF('Data Source'!AG541&gt;=3,"B",IF('Data Source'!AG541&gt;=2,"C",IF('Data Source'!AG541&gt;=1,"D","F")))))),"")</f>
        <v/>
      </c>
      <c r="P541" s="5">
        <f>IF(AND('Data Source'!B541&lt;&gt;"",'Data Source'!S541="A+"),'Data Source'!R541,"")</f>
        <v/>
      </c>
      <c r="Q541" s="3">
        <f>IF(AND('Data Source'!B541&lt;&gt;"",'Data Source'!S541="A+"),'Data Source'!S541,"")</f>
        <v/>
      </c>
    </row>
    <row r="542">
      <c r="A542" s="3">
        <f>IF(AND('Data Source'!B542&lt;&gt;"",'Data Source'!S542="A+"),COUNTIF('Data Source'!$S$3:S542,"A+"),"")</f>
        <v/>
      </c>
      <c r="B542">
        <f>IF(AND('Data Source'!B542&lt;&gt;"",'Data Source'!S542="A+"),'Data Source'!B542,"")</f>
        <v/>
      </c>
      <c r="C542" s="3">
        <f>IF(AND('Data Source'!B542&lt;&gt;"",'Data Source'!S542="A+"),IF('Data Source'!U542&gt;=5,"A+",IF('Data Source'!U542&gt;=4,"A",IF('Data Source'!U542&gt;=3.5,"A-",IF('Data Source'!U542&gt;=3,"B",IF('Data Source'!U542&gt;=2,"C",IF('Data Source'!U542&gt;=1,"D","F")))))),"")</f>
        <v/>
      </c>
      <c r="D542" s="3">
        <f>IF(AND('Data Source'!B542&lt;&gt;"",'Data Source'!S542="A+"),IF('Data Source'!V542&gt;=5,"A+",IF('Data Source'!V542&gt;=4,"A",IF('Data Source'!V542&gt;=3.5,"A-",IF('Data Source'!V542&gt;=3,"B",IF('Data Source'!V542&gt;=2,"C",IF('Data Source'!V542&gt;=1,"D","F")))))),"")</f>
        <v/>
      </c>
      <c r="E542" s="3">
        <f>IF(AND('Data Source'!B542&lt;&gt;"",'Data Source'!S542="A+"),IF('Data Source'!W542&gt;=5,"A+",IF('Data Source'!W542&gt;=4,"A",IF('Data Source'!W542&gt;=3.5,"A-",IF('Data Source'!W542&gt;=3,"B",IF('Data Source'!W542&gt;=2,"C",IF('Data Source'!W542&gt;=1,"D","F")))))),"")</f>
        <v/>
      </c>
      <c r="F542" s="3">
        <f>IF(AND('Data Source'!B542&lt;&gt;"",'Data Source'!S542="A+"),IF('Data Source'!X542&gt;=5,"A+",IF('Data Source'!X542&gt;=4,"A",IF('Data Source'!X542&gt;=3.5,"A-",IF('Data Source'!X542&gt;=3,"B",IF('Data Source'!X542&gt;=2,"C",IF('Data Source'!X542&gt;=1,"D","F")))))),"")</f>
        <v/>
      </c>
      <c r="G542" s="3">
        <f>IF(AND('Data Source'!B542&lt;&gt;"",'Data Source'!S542="A+"),IF('Data Source'!Y542&gt;=5,"A+",IF('Data Source'!Y542&gt;=4,"A",IF('Data Source'!Y542&gt;=3.5,"A-",IF('Data Source'!Y542&gt;=3,"B",IF('Data Source'!Y542&gt;=2,"C",IF('Data Source'!Y542&gt;=1,"D","F")))))),"")</f>
        <v/>
      </c>
      <c r="H542" s="3">
        <f>IF(AND('Data Source'!B542&lt;&gt;"",'Data Source'!S542="A+"),IF('Data Source'!Z542&gt;=5,"A+",IF('Data Source'!Z542&gt;=4,"A",IF('Data Source'!Z542&gt;=3.5,"A-",IF('Data Source'!Z542&gt;=3,"B",IF('Data Source'!Z542&gt;=2,"C",IF('Data Source'!Z542&gt;=1,"D","F")))))),"")</f>
        <v/>
      </c>
      <c r="I542" s="3">
        <f>IF(AND('Data Source'!B542&lt;&gt;"",'Data Source'!S542="A+"),IF('Data Source'!AA542&gt;=5,"A+",IF('Data Source'!AA542&gt;=4,"A",IF('Data Source'!AA542&gt;=3.5,"A-",IF('Data Source'!AA542&gt;=3,"B",IF('Data Source'!AA542&gt;=2,"C",IF('Data Source'!AA542&gt;=1,"D","F")))))),"")</f>
        <v/>
      </c>
      <c r="J542" s="3">
        <f>IF(AND('Data Source'!B542&lt;&gt;"",'Data Source'!S542="A+"),IF('Data Source'!AB542&gt;=5,"A+",IF('Data Source'!AB542&gt;=4,"A",IF('Data Source'!AB542&gt;=3.5,"A-",IF('Data Source'!AB542&gt;=3,"B",IF('Data Source'!AB542&gt;=2,"C",IF('Data Source'!AB542&gt;=1,"D","F")))))),"")</f>
        <v/>
      </c>
      <c r="K542" s="3">
        <f>IF(AND('Data Source'!B542&lt;&gt;"",'Data Source'!S542="A+"),IF('Data Source'!AC542&gt;=5,"A+",IF('Data Source'!AC542&gt;=4,"A",IF('Data Source'!AC542&gt;=3.5,"A-",IF('Data Source'!AC542&gt;=3,"B",IF('Data Source'!AC542&gt;=2,"C",IF('Data Source'!AC542&gt;=1,"D","F")))))),"")</f>
        <v/>
      </c>
      <c r="L542" s="3">
        <f>IF(AND('Data Source'!B542&lt;&gt;"",'Data Source'!S542="A+"),IF('Data Source'!AD542&gt;=5,"A+",IF('Data Source'!AD542&gt;=4,"A",IF('Data Source'!AD542&gt;=3.5,"A-",IF('Data Source'!AD542&gt;=3,"B",IF('Data Source'!AD542&gt;=2,"C",IF('Data Source'!AD542&gt;=1,"D","F")))))),"")</f>
        <v/>
      </c>
      <c r="M542" s="3">
        <f>IF(AND('Data Source'!B542&lt;&gt;"",'Data Source'!S542="A+"),IF('Data Source'!AE542&gt;=5,"A+",IF('Data Source'!AE542&gt;=4,"A",IF('Data Source'!AE542&gt;=3.5,"A-",IF('Data Source'!AE542&gt;=3,"B",IF('Data Source'!AE542&gt;=2,"C",IF('Data Source'!AE542&gt;=1,"D","F")))))),"")</f>
        <v/>
      </c>
      <c r="N542" s="3">
        <f>IF(AND('Data Source'!B542&lt;&gt;"",'Data Source'!S542="A+"),IF('Data Source'!AF542&gt;=5,"A+",IF('Data Source'!AF542&gt;=4,"A",IF('Data Source'!AF542&gt;=3.5,"A-",IF('Data Source'!AF542&gt;=3,"B",IF('Data Source'!AF542&gt;=2,"C",IF('Data Source'!AF542&gt;=1,"D","F")))))),"")</f>
        <v/>
      </c>
      <c r="O542" s="3">
        <f>IF(AND('Data Source'!B542&lt;&gt;"",'Data Source'!S542="A+"),IF('Data Source'!AG542&gt;=5,"A+",IF('Data Source'!AG542&gt;=4,"A",IF('Data Source'!AG542&gt;=3.5,"A-",IF('Data Source'!AG542&gt;=3,"B",IF('Data Source'!AG542&gt;=2,"C",IF('Data Source'!AG542&gt;=1,"D","F")))))),"")</f>
        <v/>
      </c>
      <c r="P542" s="5">
        <f>IF(AND('Data Source'!B542&lt;&gt;"",'Data Source'!S542="A+"),'Data Source'!R542,"")</f>
        <v/>
      </c>
      <c r="Q542" s="3">
        <f>IF(AND('Data Source'!B542&lt;&gt;"",'Data Source'!S542="A+"),'Data Source'!S542,"")</f>
        <v/>
      </c>
    </row>
    <row r="543">
      <c r="A543" s="3">
        <f>IF(AND('Data Source'!B543&lt;&gt;"",'Data Source'!S543="A+"),COUNTIF('Data Source'!$S$3:S543,"A+"),"")</f>
        <v/>
      </c>
      <c r="B543">
        <f>IF(AND('Data Source'!B543&lt;&gt;"",'Data Source'!S543="A+"),'Data Source'!B543,"")</f>
        <v/>
      </c>
      <c r="C543" s="3">
        <f>IF(AND('Data Source'!B543&lt;&gt;"",'Data Source'!S543="A+"),IF('Data Source'!U543&gt;=5,"A+",IF('Data Source'!U543&gt;=4,"A",IF('Data Source'!U543&gt;=3.5,"A-",IF('Data Source'!U543&gt;=3,"B",IF('Data Source'!U543&gt;=2,"C",IF('Data Source'!U543&gt;=1,"D","F")))))),"")</f>
        <v/>
      </c>
      <c r="D543" s="3">
        <f>IF(AND('Data Source'!B543&lt;&gt;"",'Data Source'!S543="A+"),IF('Data Source'!V543&gt;=5,"A+",IF('Data Source'!V543&gt;=4,"A",IF('Data Source'!V543&gt;=3.5,"A-",IF('Data Source'!V543&gt;=3,"B",IF('Data Source'!V543&gt;=2,"C",IF('Data Source'!V543&gt;=1,"D","F")))))),"")</f>
        <v/>
      </c>
      <c r="E543" s="3">
        <f>IF(AND('Data Source'!B543&lt;&gt;"",'Data Source'!S543="A+"),IF('Data Source'!W543&gt;=5,"A+",IF('Data Source'!W543&gt;=4,"A",IF('Data Source'!W543&gt;=3.5,"A-",IF('Data Source'!W543&gt;=3,"B",IF('Data Source'!W543&gt;=2,"C",IF('Data Source'!W543&gt;=1,"D","F")))))),"")</f>
        <v/>
      </c>
      <c r="F543" s="3">
        <f>IF(AND('Data Source'!B543&lt;&gt;"",'Data Source'!S543="A+"),IF('Data Source'!X543&gt;=5,"A+",IF('Data Source'!X543&gt;=4,"A",IF('Data Source'!X543&gt;=3.5,"A-",IF('Data Source'!X543&gt;=3,"B",IF('Data Source'!X543&gt;=2,"C",IF('Data Source'!X543&gt;=1,"D","F")))))),"")</f>
        <v/>
      </c>
      <c r="G543" s="3">
        <f>IF(AND('Data Source'!B543&lt;&gt;"",'Data Source'!S543="A+"),IF('Data Source'!Y543&gt;=5,"A+",IF('Data Source'!Y543&gt;=4,"A",IF('Data Source'!Y543&gt;=3.5,"A-",IF('Data Source'!Y543&gt;=3,"B",IF('Data Source'!Y543&gt;=2,"C",IF('Data Source'!Y543&gt;=1,"D","F")))))),"")</f>
        <v/>
      </c>
      <c r="H543" s="3">
        <f>IF(AND('Data Source'!B543&lt;&gt;"",'Data Source'!S543="A+"),IF('Data Source'!Z543&gt;=5,"A+",IF('Data Source'!Z543&gt;=4,"A",IF('Data Source'!Z543&gt;=3.5,"A-",IF('Data Source'!Z543&gt;=3,"B",IF('Data Source'!Z543&gt;=2,"C",IF('Data Source'!Z543&gt;=1,"D","F")))))),"")</f>
        <v/>
      </c>
      <c r="I543" s="3">
        <f>IF(AND('Data Source'!B543&lt;&gt;"",'Data Source'!S543="A+"),IF('Data Source'!AA543&gt;=5,"A+",IF('Data Source'!AA543&gt;=4,"A",IF('Data Source'!AA543&gt;=3.5,"A-",IF('Data Source'!AA543&gt;=3,"B",IF('Data Source'!AA543&gt;=2,"C",IF('Data Source'!AA543&gt;=1,"D","F")))))),"")</f>
        <v/>
      </c>
      <c r="J543" s="3">
        <f>IF(AND('Data Source'!B543&lt;&gt;"",'Data Source'!S543="A+"),IF('Data Source'!AB543&gt;=5,"A+",IF('Data Source'!AB543&gt;=4,"A",IF('Data Source'!AB543&gt;=3.5,"A-",IF('Data Source'!AB543&gt;=3,"B",IF('Data Source'!AB543&gt;=2,"C",IF('Data Source'!AB543&gt;=1,"D","F")))))),"")</f>
        <v/>
      </c>
      <c r="K543" s="3">
        <f>IF(AND('Data Source'!B543&lt;&gt;"",'Data Source'!S543="A+"),IF('Data Source'!AC543&gt;=5,"A+",IF('Data Source'!AC543&gt;=4,"A",IF('Data Source'!AC543&gt;=3.5,"A-",IF('Data Source'!AC543&gt;=3,"B",IF('Data Source'!AC543&gt;=2,"C",IF('Data Source'!AC543&gt;=1,"D","F")))))),"")</f>
        <v/>
      </c>
      <c r="L543" s="3">
        <f>IF(AND('Data Source'!B543&lt;&gt;"",'Data Source'!S543="A+"),IF('Data Source'!AD543&gt;=5,"A+",IF('Data Source'!AD543&gt;=4,"A",IF('Data Source'!AD543&gt;=3.5,"A-",IF('Data Source'!AD543&gt;=3,"B",IF('Data Source'!AD543&gt;=2,"C",IF('Data Source'!AD543&gt;=1,"D","F")))))),"")</f>
        <v/>
      </c>
      <c r="M543" s="3">
        <f>IF(AND('Data Source'!B543&lt;&gt;"",'Data Source'!S543="A+"),IF('Data Source'!AE543&gt;=5,"A+",IF('Data Source'!AE543&gt;=4,"A",IF('Data Source'!AE543&gt;=3.5,"A-",IF('Data Source'!AE543&gt;=3,"B",IF('Data Source'!AE543&gt;=2,"C",IF('Data Source'!AE543&gt;=1,"D","F")))))),"")</f>
        <v/>
      </c>
      <c r="N543" s="3">
        <f>IF(AND('Data Source'!B543&lt;&gt;"",'Data Source'!S543="A+"),IF('Data Source'!AF543&gt;=5,"A+",IF('Data Source'!AF543&gt;=4,"A",IF('Data Source'!AF543&gt;=3.5,"A-",IF('Data Source'!AF543&gt;=3,"B",IF('Data Source'!AF543&gt;=2,"C",IF('Data Source'!AF543&gt;=1,"D","F")))))),"")</f>
        <v/>
      </c>
      <c r="O543" s="3">
        <f>IF(AND('Data Source'!B543&lt;&gt;"",'Data Source'!S543="A+"),IF('Data Source'!AG543&gt;=5,"A+",IF('Data Source'!AG543&gt;=4,"A",IF('Data Source'!AG543&gt;=3.5,"A-",IF('Data Source'!AG543&gt;=3,"B",IF('Data Source'!AG543&gt;=2,"C",IF('Data Source'!AG543&gt;=1,"D","F")))))),"")</f>
        <v/>
      </c>
      <c r="P543" s="5">
        <f>IF(AND('Data Source'!B543&lt;&gt;"",'Data Source'!S543="A+"),'Data Source'!R543,"")</f>
        <v/>
      </c>
      <c r="Q543" s="3">
        <f>IF(AND('Data Source'!B543&lt;&gt;"",'Data Source'!S543="A+"),'Data Source'!S543,"")</f>
        <v/>
      </c>
    </row>
    <row r="544">
      <c r="A544" s="3">
        <f>IF(AND('Data Source'!B544&lt;&gt;"",'Data Source'!S544="A+"),COUNTIF('Data Source'!$S$3:S544,"A+"),"")</f>
        <v/>
      </c>
      <c r="B544">
        <f>IF(AND('Data Source'!B544&lt;&gt;"",'Data Source'!S544="A+"),'Data Source'!B544,"")</f>
        <v/>
      </c>
      <c r="C544" s="3">
        <f>IF(AND('Data Source'!B544&lt;&gt;"",'Data Source'!S544="A+"),IF('Data Source'!U544&gt;=5,"A+",IF('Data Source'!U544&gt;=4,"A",IF('Data Source'!U544&gt;=3.5,"A-",IF('Data Source'!U544&gt;=3,"B",IF('Data Source'!U544&gt;=2,"C",IF('Data Source'!U544&gt;=1,"D","F")))))),"")</f>
        <v/>
      </c>
      <c r="D544" s="3">
        <f>IF(AND('Data Source'!B544&lt;&gt;"",'Data Source'!S544="A+"),IF('Data Source'!V544&gt;=5,"A+",IF('Data Source'!V544&gt;=4,"A",IF('Data Source'!V544&gt;=3.5,"A-",IF('Data Source'!V544&gt;=3,"B",IF('Data Source'!V544&gt;=2,"C",IF('Data Source'!V544&gt;=1,"D","F")))))),"")</f>
        <v/>
      </c>
      <c r="E544" s="3">
        <f>IF(AND('Data Source'!B544&lt;&gt;"",'Data Source'!S544="A+"),IF('Data Source'!W544&gt;=5,"A+",IF('Data Source'!W544&gt;=4,"A",IF('Data Source'!W544&gt;=3.5,"A-",IF('Data Source'!W544&gt;=3,"B",IF('Data Source'!W544&gt;=2,"C",IF('Data Source'!W544&gt;=1,"D","F")))))),"")</f>
        <v/>
      </c>
      <c r="F544" s="3">
        <f>IF(AND('Data Source'!B544&lt;&gt;"",'Data Source'!S544="A+"),IF('Data Source'!X544&gt;=5,"A+",IF('Data Source'!X544&gt;=4,"A",IF('Data Source'!X544&gt;=3.5,"A-",IF('Data Source'!X544&gt;=3,"B",IF('Data Source'!X544&gt;=2,"C",IF('Data Source'!X544&gt;=1,"D","F")))))),"")</f>
        <v/>
      </c>
      <c r="G544" s="3">
        <f>IF(AND('Data Source'!B544&lt;&gt;"",'Data Source'!S544="A+"),IF('Data Source'!Y544&gt;=5,"A+",IF('Data Source'!Y544&gt;=4,"A",IF('Data Source'!Y544&gt;=3.5,"A-",IF('Data Source'!Y544&gt;=3,"B",IF('Data Source'!Y544&gt;=2,"C",IF('Data Source'!Y544&gt;=1,"D","F")))))),"")</f>
        <v/>
      </c>
      <c r="H544" s="3">
        <f>IF(AND('Data Source'!B544&lt;&gt;"",'Data Source'!S544="A+"),IF('Data Source'!Z544&gt;=5,"A+",IF('Data Source'!Z544&gt;=4,"A",IF('Data Source'!Z544&gt;=3.5,"A-",IF('Data Source'!Z544&gt;=3,"B",IF('Data Source'!Z544&gt;=2,"C",IF('Data Source'!Z544&gt;=1,"D","F")))))),"")</f>
        <v/>
      </c>
      <c r="I544" s="3">
        <f>IF(AND('Data Source'!B544&lt;&gt;"",'Data Source'!S544="A+"),IF('Data Source'!AA544&gt;=5,"A+",IF('Data Source'!AA544&gt;=4,"A",IF('Data Source'!AA544&gt;=3.5,"A-",IF('Data Source'!AA544&gt;=3,"B",IF('Data Source'!AA544&gt;=2,"C",IF('Data Source'!AA544&gt;=1,"D","F")))))),"")</f>
        <v/>
      </c>
      <c r="J544" s="3">
        <f>IF(AND('Data Source'!B544&lt;&gt;"",'Data Source'!S544="A+"),IF('Data Source'!AB544&gt;=5,"A+",IF('Data Source'!AB544&gt;=4,"A",IF('Data Source'!AB544&gt;=3.5,"A-",IF('Data Source'!AB544&gt;=3,"B",IF('Data Source'!AB544&gt;=2,"C",IF('Data Source'!AB544&gt;=1,"D","F")))))),"")</f>
        <v/>
      </c>
      <c r="K544" s="3">
        <f>IF(AND('Data Source'!B544&lt;&gt;"",'Data Source'!S544="A+"),IF('Data Source'!AC544&gt;=5,"A+",IF('Data Source'!AC544&gt;=4,"A",IF('Data Source'!AC544&gt;=3.5,"A-",IF('Data Source'!AC544&gt;=3,"B",IF('Data Source'!AC544&gt;=2,"C",IF('Data Source'!AC544&gt;=1,"D","F")))))),"")</f>
        <v/>
      </c>
      <c r="L544" s="3">
        <f>IF(AND('Data Source'!B544&lt;&gt;"",'Data Source'!S544="A+"),IF('Data Source'!AD544&gt;=5,"A+",IF('Data Source'!AD544&gt;=4,"A",IF('Data Source'!AD544&gt;=3.5,"A-",IF('Data Source'!AD544&gt;=3,"B",IF('Data Source'!AD544&gt;=2,"C",IF('Data Source'!AD544&gt;=1,"D","F")))))),"")</f>
        <v/>
      </c>
      <c r="M544" s="3">
        <f>IF(AND('Data Source'!B544&lt;&gt;"",'Data Source'!S544="A+"),IF('Data Source'!AE544&gt;=5,"A+",IF('Data Source'!AE544&gt;=4,"A",IF('Data Source'!AE544&gt;=3.5,"A-",IF('Data Source'!AE544&gt;=3,"B",IF('Data Source'!AE544&gt;=2,"C",IF('Data Source'!AE544&gt;=1,"D","F")))))),"")</f>
        <v/>
      </c>
      <c r="N544" s="3">
        <f>IF(AND('Data Source'!B544&lt;&gt;"",'Data Source'!S544="A+"),IF('Data Source'!AF544&gt;=5,"A+",IF('Data Source'!AF544&gt;=4,"A",IF('Data Source'!AF544&gt;=3.5,"A-",IF('Data Source'!AF544&gt;=3,"B",IF('Data Source'!AF544&gt;=2,"C",IF('Data Source'!AF544&gt;=1,"D","F")))))),"")</f>
        <v/>
      </c>
      <c r="O544" s="3">
        <f>IF(AND('Data Source'!B544&lt;&gt;"",'Data Source'!S544="A+"),IF('Data Source'!AG544&gt;=5,"A+",IF('Data Source'!AG544&gt;=4,"A",IF('Data Source'!AG544&gt;=3.5,"A-",IF('Data Source'!AG544&gt;=3,"B",IF('Data Source'!AG544&gt;=2,"C",IF('Data Source'!AG544&gt;=1,"D","F")))))),"")</f>
        <v/>
      </c>
      <c r="P544" s="5">
        <f>IF(AND('Data Source'!B544&lt;&gt;"",'Data Source'!S544="A+"),'Data Source'!R544,"")</f>
        <v/>
      </c>
      <c r="Q544" s="3">
        <f>IF(AND('Data Source'!B544&lt;&gt;"",'Data Source'!S544="A+"),'Data Source'!S544,"")</f>
        <v/>
      </c>
    </row>
    <row r="545">
      <c r="A545" s="3">
        <f>IF(AND('Data Source'!B545&lt;&gt;"",'Data Source'!S545="A+"),COUNTIF('Data Source'!$S$3:S545,"A+"),"")</f>
        <v/>
      </c>
      <c r="B545">
        <f>IF(AND('Data Source'!B545&lt;&gt;"",'Data Source'!S545="A+"),'Data Source'!B545,"")</f>
        <v/>
      </c>
      <c r="C545" s="3">
        <f>IF(AND('Data Source'!B545&lt;&gt;"",'Data Source'!S545="A+"),IF('Data Source'!U545&gt;=5,"A+",IF('Data Source'!U545&gt;=4,"A",IF('Data Source'!U545&gt;=3.5,"A-",IF('Data Source'!U545&gt;=3,"B",IF('Data Source'!U545&gt;=2,"C",IF('Data Source'!U545&gt;=1,"D","F")))))),"")</f>
        <v/>
      </c>
      <c r="D545" s="3">
        <f>IF(AND('Data Source'!B545&lt;&gt;"",'Data Source'!S545="A+"),IF('Data Source'!V545&gt;=5,"A+",IF('Data Source'!V545&gt;=4,"A",IF('Data Source'!V545&gt;=3.5,"A-",IF('Data Source'!V545&gt;=3,"B",IF('Data Source'!V545&gt;=2,"C",IF('Data Source'!V545&gt;=1,"D","F")))))),"")</f>
        <v/>
      </c>
      <c r="E545" s="3">
        <f>IF(AND('Data Source'!B545&lt;&gt;"",'Data Source'!S545="A+"),IF('Data Source'!W545&gt;=5,"A+",IF('Data Source'!W545&gt;=4,"A",IF('Data Source'!W545&gt;=3.5,"A-",IF('Data Source'!W545&gt;=3,"B",IF('Data Source'!W545&gt;=2,"C",IF('Data Source'!W545&gt;=1,"D","F")))))),"")</f>
        <v/>
      </c>
      <c r="F545" s="3">
        <f>IF(AND('Data Source'!B545&lt;&gt;"",'Data Source'!S545="A+"),IF('Data Source'!X545&gt;=5,"A+",IF('Data Source'!X545&gt;=4,"A",IF('Data Source'!X545&gt;=3.5,"A-",IF('Data Source'!X545&gt;=3,"B",IF('Data Source'!X545&gt;=2,"C",IF('Data Source'!X545&gt;=1,"D","F")))))),"")</f>
        <v/>
      </c>
      <c r="G545" s="3">
        <f>IF(AND('Data Source'!B545&lt;&gt;"",'Data Source'!S545="A+"),IF('Data Source'!Y545&gt;=5,"A+",IF('Data Source'!Y545&gt;=4,"A",IF('Data Source'!Y545&gt;=3.5,"A-",IF('Data Source'!Y545&gt;=3,"B",IF('Data Source'!Y545&gt;=2,"C",IF('Data Source'!Y545&gt;=1,"D","F")))))),"")</f>
        <v/>
      </c>
      <c r="H545" s="3">
        <f>IF(AND('Data Source'!B545&lt;&gt;"",'Data Source'!S545="A+"),IF('Data Source'!Z545&gt;=5,"A+",IF('Data Source'!Z545&gt;=4,"A",IF('Data Source'!Z545&gt;=3.5,"A-",IF('Data Source'!Z545&gt;=3,"B",IF('Data Source'!Z545&gt;=2,"C",IF('Data Source'!Z545&gt;=1,"D","F")))))),"")</f>
        <v/>
      </c>
      <c r="I545" s="3">
        <f>IF(AND('Data Source'!B545&lt;&gt;"",'Data Source'!S545="A+"),IF('Data Source'!AA545&gt;=5,"A+",IF('Data Source'!AA545&gt;=4,"A",IF('Data Source'!AA545&gt;=3.5,"A-",IF('Data Source'!AA545&gt;=3,"B",IF('Data Source'!AA545&gt;=2,"C",IF('Data Source'!AA545&gt;=1,"D","F")))))),"")</f>
        <v/>
      </c>
      <c r="J545" s="3">
        <f>IF(AND('Data Source'!B545&lt;&gt;"",'Data Source'!S545="A+"),IF('Data Source'!AB545&gt;=5,"A+",IF('Data Source'!AB545&gt;=4,"A",IF('Data Source'!AB545&gt;=3.5,"A-",IF('Data Source'!AB545&gt;=3,"B",IF('Data Source'!AB545&gt;=2,"C",IF('Data Source'!AB545&gt;=1,"D","F")))))),"")</f>
        <v/>
      </c>
      <c r="K545" s="3">
        <f>IF(AND('Data Source'!B545&lt;&gt;"",'Data Source'!S545="A+"),IF('Data Source'!AC545&gt;=5,"A+",IF('Data Source'!AC545&gt;=4,"A",IF('Data Source'!AC545&gt;=3.5,"A-",IF('Data Source'!AC545&gt;=3,"B",IF('Data Source'!AC545&gt;=2,"C",IF('Data Source'!AC545&gt;=1,"D","F")))))),"")</f>
        <v/>
      </c>
      <c r="L545" s="3">
        <f>IF(AND('Data Source'!B545&lt;&gt;"",'Data Source'!S545="A+"),IF('Data Source'!AD545&gt;=5,"A+",IF('Data Source'!AD545&gt;=4,"A",IF('Data Source'!AD545&gt;=3.5,"A-",IF('Data Source'!AD545&gt;=3,"B",IF('Data Source'!AD545&gt;=2,"C",IF('Data Source'!AD545&gt;=1,"D","F")))))),"")</f>
        <v/>
      </c>
      <c r="M545" s="3">
        <f>IF(AND('Data Source'!B545&lt;&gt;"",'Data Source'!S545="A+"),IF('Data Source'!AE545&gt;=5,"A+",IF('Data Source'!AE545&gt;=4,"A",IF('Data Source'!AE545&gt;=3.5,"A-",IF('Data Source'!AE545&gt;=3,"B",IF('Data Source'!AE545&gt;=2,"C",IF('Data Source'!AE545&gt;=1,"D","F")))))),"")</f>
        <v/>
      </c>
      <c r="N545" s="3">
        <f>IF(AND('Data Source'!B545&lt;&gt;"",'Data Source'!S545="A+"),IF('Data Source'!AF545&gt;=5,"A+",IF('Data Source'!AF545&gt;=4,"A",IF('Data Source'!AF545&gt;=3.5,"A-",IF('Data Source'!AF545&gt;=3,"B",IF('Data Source'!AF545&gt;=2,"C",IF('Data Source'!AF545&gt;=1,"D","F")))))),"")</f>
        <v/>
      </c>
      <c r="O545" s="3">
        <f>IF(AND('Data Source'!B545&lt;&gt;"",'Data Source'!S545="A+"),IF('Data Source'!AG545&gt;=5,"A+",IF('Data Source'!AG545&gt;=4,"A",IF('Data Source'!AG545&gt;=3.5,"A-",IF('Data Source'!AG545&gt;=3,"B",IF('Data Source'!AG545&gt;=2,"C",IF('Data Source'!AG545&gt;=1,"D","F")))))),"")</f>
        <v/>
      </c>
      <c r="P545" s="5">
        <f>IF(AND('Data Source'!B545&lt;&gt;"",'Data Source'!S545="A+"),'Data Source'!R545,"")</f>
        <v/>
      </c>
      <c r="Q545" s="3">
        <f>IF(AND('Data Source'!B545&lt;&gt;"",'Data Source'!S545="A+"),'Data Source'!S545,"")</f>
        <v/>
      </c>
    </row>
    <row r="546">
      <c r="A546" s="3">
        <f>IF(AND('Data Source'!B546&lt;&gt;"",'Data Source'!S546="A+"),COUNTIF('Data Source'!$S$3:S546,"A+"),"")</f>
        <v/>
      </c>
      <c r="B546">
        <f>IF(AND('Data Source'!B546&lt;&gt;"",'Data Source'!S546="A+"),'Data Source'!B546,"")</f>
        <v/>
      </c>
      <c r="C546" s="3">
        <f>IF(AND('Data Source'!B546&lt;&gt;"",'Data Source'!S546="A+"),IF('Data Source'!U546&gt;=5,"A+",IF('Data Source'!U546&gt;=4,"A",IF('Data Source'!U546&gt;=3.5,"A-",IF('Data Source'!U546&gt;=3,"B",IF('Data Source'!U546&gt;=2,"C",IF('Data Source'!U546&gt;=1,"D","F")))))),"")</f>
        <v/>
      </c>
      <c r="D546" s="3">
        <f>IF(AND('Data Source'!B546&lt;&gt;"",'Data Source'!S546="A+"),IF('Data Source'!V546&gt;=5,"A+",IF('Data Source'!V546&gt;=4,"A",IF('Data Source'!V546&gt;=3.5,"A-",IF('Data Source'!V546&gt;=3,"B",IF('Data Source'!V546&gt;=2,"C",IF('Data Source'!V546&gt;=1,"D","F")))))),"")</f>
        <v/>
      </c>
      <c r="E546" s="3">
        <f>IF(AND('Data Source'!B546&lt;&gt;"",'Data Source'!S546="A+"),IF('Data Source'!W546&gt;=5,"A+",IF('Data Source'!W546&gt;=4,"A",IF('Data Source'!W546&gt;=3.5,"A-",IF('Data Source'!W546&gt;=3,"B",IF('Data Source'!W546&gt;=2,"C",IF('Data Source'!W546&gt;=1,"D","F")))))),"")</f>
        <v/>
      </c>
      <c r="F546" s="3">
        <f>IF(AND('Data Source'!B546&lt;&gt;"",'Data Source'!S546="A+"),IF('Data Source'!X546&gt;=5,"A+",IF('Data Source'!X546&gt;=4,"A",IF('Data Source'!X546&gt;=3.5,"A-",IF('Data Source'!X546&gt;=3,"B",IF('Data Source'!X546&gt;=2,"C",IF('Data Source'!X546&gt;=1,"D","F")))))),"")</f>
        <v/>
      </c>
      <c r="G546" s="3">
        <f>IF(AND('Data Source'!B546&lt;&gt;"",'Data Source'!S546="A+"),IF('Data Source'!Y546&gt;=5,"A+",IF('Data Source'!Y546&gt;=4,"A",IF('Data Source'!Y546&gt;=3.5,"A-",IF('Data Source'!Y546&gt;=3,"B",IF('Data Source'!Y546&gt;=2,"C",IF('Data Source'!Y546&gt;=1,"D","F")))))),"")</f>
        <v/>
      </c>
      <c r="H546" s="3">
        <f>IF(AND('Data Source'!B546&lt;&gt;"",'Data Source'!S546="A+"),IF('Data Source'!Z546&gt;=5,"A+",IF('Data Source'!Z546&gt;=4,"A",IF('Data Source'!Z546&gt;=3.5,"A-",IF('Data Source'!Z546&gt;=3,"B",IF('Data Source'!Z546&gt;=2,"C",IF('Data Source'!Z546&gt;=1,"D","F")))))),"")</f>
        <v/>
      </c>
      <c r="I546" s="3">
        <f>IF(AND('Data Source'!B546&lt;&gt;"",'Data Source'!S546="A+"),IF('Data Source'!AA546&gt;=5,"A+",IF('Data Source'!AA546&gt;=4,"A",IF('Data Source'!AA546&gt;=3.5,"A-",IF('Data Source'!AA546&gt;=3,"B",IF('Data Source'!AA546&gt;=2,"C",IF('Data Source'!AA546&gt;=1,"D","F")))))),"")</f>
        <v/>
      </c>
      <c r="J546" s="3">
        <f>IF(AND('Data Source'!B546&lt;&gt;"",'Data Source'!S546="A+"),IF('Data Source'!AB546&gt;=5,"A+",IF('Data Source'!AB546&gt;=4,"A",IF('Data Source'!AB546&gt;=3.5,"A-",IF('Data Source'!AB546&gt;=3,"B",IF('Data Source'!AB546&gt;=2,"C",IF('Data Source'!AB546&gt;=1,"D","F")))))),"")</f>
        <v/>
      </c>
      <c r="K546" s="3">
        <f>IF(AND('Data Source'!B546&lt;&gt;"",'Data Source'!S546="A+"),IF('Data Source'!AC546&gt;=5,"A+",IF('Data Source'!AC546&gt;=4,"A",IF('Data Source'!AC546&gt;=3.5,"A-",IF('Data Source'!AC546&gt;=3,"B",IF('Data Source'!AC546&gt;=2,"C",IF('Data Source'!AC546&gt;=1,"D","F")))))),"")</f>
        <v/>
      </c>
      <c r="L546" s="3">
        <f>IF(AND('Data Source'!B546&lt;&gt;"",'Data Source'!S546="A+"),IF('Data Source'!AD546&gt;=5,"A+",IF('Data Source'!AD546&gt;=4,"A",IF('Data Source'!AD546&gt;=3.5,"A-",IF('Data Source'!AD546&gt;=3,"B",IF('Data Source'!AD546&gt;=2,"C",IF('Data Source'!AD546&gt;=1,"D","F")))))),"")</f>
        <v/>
      </c>
      <c r="M546" s="3">
        <f>IF(AND('Data Source'!B546&lt;&gt;"",'Data Source'!S546="A+"),IF('Data Source'!AE546&gt;=5,"A+",IF('Data Source'!AE546&gt;=4,"A",IF('Data Source'!AE546&gt;=3.5,"A-",IF('Data Source'!AE546&gt;=3,"B",IF('Data Source'!AE546&gt;=2,"C",IF('Data Source'!AE546&gt;=1,"D","F")))))),"")</f>
        <v/>
      </c>
      <c r="N546" s="3">
        <f>IF(AND('Data Source'!B546&lt;&gt;"",'Data Source'!S546="A+"),IF('Data Source'!AF546&gt;=5,"A+",IF('Data Source'!AF546&gt;=4,"A",IF('Data Source'!AF546&gt;=3.5,"A-",IF('Data Source'!AF546&gt;=3,"B",IF('Data Source'!AF546&gt;=2,"C",IF('Data Source'!AF546&gt;=1,"D","F")))))),"")</f>
        <v/>
      </c>
      <c r="O546" s="3">
        <f>IF(AND('Data Source'!B546&lt;&gt;"",'Data Source'!S546="A+"),IF('Data Source'!AG546&gt;=5,"A+",IF('Data Source'!AG546&gt;=4,"A",IF('Data Source'!AG546&gt;=3.5,"A-",IF('Data Source'!AG546&gt;=3,"B",IF('Data Source'!AG546&gt;=2,"C",IF('Data Source'!AG546&gt;=1,"D","F")))))),"")</f>
        <v/>
      </c>
      <c r="P546" s="5">
        <f>IF(AND('Data Source'!B546&lt;&gt;"",'Data Source'!S546="A+"),'Data Source'!R546,"")</f>
        <v/>
      </c>
      <c r="Q546" s="3">
        <f>IF(AND('Data Source'!B546&lt;&gt;"",'Data Source'!S546="A+"),'Data Source'!S546,"")</f>
        <v/>
      </c>
    </row>
    <row r="547">
      <c r="A547" s="3">
        <f>IF(AND('Data Source'!B547&lt;&gt;"",'Data Source'!S547="A+"),COUNTIF('Data Source'!$S$3:S547,"A+"),"")</f>
        <v/>
      </c>
      <c r="B547">
        <f>IF(AND('Data Source'!B547&lt;&gt;"",'Data Source'!S547="A+"),'Data Source'!B547,"")</f>
        <v/>
      </c>
      <c r="C547" s="3">
        <f>IF(AND('Data Source'!B547&lt;&gt;"",'Data Source'!S547="A+"),IF('Data Source'!U547&gt;=5,"A+",IF('Data Source'!U547&gt;=4,"A",IF('Data Source'!U547&gt;=3.5,"A-",IF('Data Source'!U547&gt;=3,"B",IF('Data Source'!U547&gt;=2,"C",IF('Data Source'!U547&gt;=1,"D","F")))))),"")</f>
        <v/>
      </c>
      <c r="D547" s="3">
        <f>IF(AND('Data Source'!B547&lt;&gt;"",'Data Source'!S547="A+"),IF('Data Source'!V547&gt;=5,"A+",IF('Data Source'!V547&gt;=4,"A",IF('Data Source'!V547&gt;=3.5,"A-",IF('Data Source'!V547&gt;=3,"B",IF('Data Source'!V547&gt;=2,"C",IF('Data Source'!V547&gt;=1,"D","F")))))),"")</f>
        <v/>
      </c>
      <c r="E547" s="3">
        <f>IF(AND('Data Source'!B547&lt;&gt;"",'Data Source'!S547="A+"),IF('Data Source'!W547&gt;=5,"A+",IF('Data Source'!W547&gt;=4,"A",IF('Data Source'!W547&gt;=3.5,"A-",IF('Data Source'!W547&gt;=3,"B",IF('Data Source'!W547&gt;=2,"C",IF('Data Source'!W547&gt;=1,"D","F")))))),"")</f>
        <v/>
      </c>
      <c r="F547" s="3">
        <f>IF(AND('Data Source'!B547&lt;&gt;"",'Data Source'!S547="A+"),IF('Data Source'!X547&gt;=5,"A+",IF('Data Source'!X547&gt;=4,"A",IF('Data Source'!X547&gt;=3.5,"A-",IF('Data Source'!X547&gt;=3,"B",IF('Data Source'!X547&gt;=2,"C",IF('Data Source'!X547&gt;=1,"D","F")))))),"")</f>
        <v/>
      </c>
      <c r="G547" s="3">
        <f>IF(AND('Data Source'!B547&lt;&gt;"",'Data Source'!S547="A+"),IF('Data Source'!Y547&gt;=5,"A+",IF('Data Source'!Y547&gt;=4,"A",IF('Data Source'!Y547&gt;=3.5,"A-",IF('Data Source'!Y547&gt;=3,"B",IF('Data Source'!Y547&gt;=2,"C",IF('Data Source'!Y547&gt;=1,"D","F")))))),"")</f>
        <v/>
      </c>
      <c r="H547" s="3">
        <f>IF(AND('Data Source'!B547&lt;&gt;"",'Data Source'!S547="A+"),IF('Data Source'!Z547&gt;=5,"A+",IF('Data Source'!Z547&gt;=4,"A",IF('Data Source'!Z547&gt;=3.5,"A-",IF('Data Source'!Z547&gt;=3,"B",IF('Data Source'!Z547&gt;=2,"C",IF('Data Source'!Z547&gt;=1,"D","F")))))),"")</f>
        <v/>
      </c>
      <c r="I547" s="3">
        <f>IF(AND('Data Source'!B547&lt;&gt;"",'Data Source'!S547="A+"),IF('Data Source'!AA547&gt;=5,"A+",IF('Data Source'!AA547&gt;=4,"A",IF('Data Source'!AA547&gt;=3.5,"A-",IF('Data Source'!AA547&gt;=3,"B",IF('Data Source'!AA547&gt;=2,"C",IF('Data Source'!AA547&gt;=1,"D","F")))))),"")</f>
        <v/>
      </c>
      <c r="J547" s="3">
        <f>IF(AND('Data Source'!B547&lt;&gt;"",'Data Source'!S547="A+"),IF('Data Source'!AB547&gt;=5,"A+",IF('Data Source'!AB547&gt;=4,"A",IF('Data Source'!AB547&gt;=3.5,"A-",IF('Data Source'!AB547&gt;=3,"B",IF('Data Source'!AB547&gt;=2,"C",IF('Data Source'!AB547&gt;=1,"D","F")))))),"")</f>
        <v/>
      </c>
      <c r="K547" s="3">
        <f>IF(AND('Data Source'!B547&lt;&gt;"",'Data Source'!S547="A+"),IF('Data Source'!AC547&gt;=5,"A+",IF('Data Source'!AC547&gt;=4,"A",IF('Data Source'!AC547&gt;=3.5,"A-",IF('Data Source'!AC547&gt;=3,"B",IF('Data Source'!AC547&gt;=2,"C",IF('Data Source'!AC547&gt;=1,"D","F")))))),"")</f>
        <v/>
      </c>
      <c r="L547" s="3">
        <f>IF(AND('Data Source'!B547&lt;&gt;"",'Data Source'!S547="A+"),IF('Data Source'!AD547&gt;=5,"A+",IF('Data Source'!AD547&gt;=4,"A",IF('Data Source'!AD547&gt;=3.5,"A-",IF('Data Source'!AD547&gt;=3,"B",IF('Data Source'!AD547&gt;=2,"C",IF('Data Source'!AD547&gt;=1,"D","F")))))),"")</f>
        <v/>
      </c>
      <c r="M547" s="3">
        <f>IF(AND('Data Source'!B547&lt;&gt;"",'Data Source'!S547="A+"),IF('Data Source'!AE547&gt;=5,"A+",IF('Data Source'!AE547&gt;=4,"A",IF('Data Source'!AE547&gt;=3.5,"A-",IF('Data Source'!AE547&gt;=3,"B",IF('Data Source'!AE547&gt;=2,"C",IF('Data Source'!AE547&gt;=1,"D","F")))))),"")</f>
        <v/>
      </c>
      <c r="N547" s="3">
        <f>IF(AND('Data Source'!B547&lt;&gt;"",'Data Source'!S547="A+"),IF('Data Source'!AF547&gt;=5,"A+",IF('Data Source'!AF547&gt;=4,"A",IF('Data Source'!AF547&gt;=3.5,"A-",IF('Data Source'!AF547&gt;=3,"B",IF('Data Source'!AF547&gt;=2,"C",IF('Data Source'!AF547&gt;=1,"D","F")))))),"")</f>
        <v/>
      </c>
      <c r="O547" s="3">
        <f>IF(AND('Data Source'!B547&lt;&gt;"",'Data Source'!S547="A+"),IF('Data Source'!AG547&gt;=5,"A+",IF('Data Source'!AG547&gt;=4,"A",IF('Data Source'!AG547&gt;=3.5,"A-",IF('Data Source'!AG547&gt;=3,"B",IF('Data Source'!AG547&gt;=2,"C",IF('Data Source'!AG547&gt;=1,"D","F")))))),"")</f>
        <v/>
      </c>
      <c r="P547" s="5">
        <f>IF(AND('Data Source'!B547&lt;&gt;"",'Data Source'!S547="A+"),'Data Source'!R547,"")</f>
        <v/>
      </c>
      <c r="Q547" s="3">
        <f>IF(AND('Data Source'!B547&lt;&gt;"",'Data Source'!S547="A+"),'Data Source'!S547,"")</f>
        <v/>
      </c>
    </row>
    <row r="548">
      <c r="A548" s="3">
        <f>IF(AND('Data Source'!B548&lt;&gt;"",'Data Source'!S548="A+"),COUNTIF('Data Source'!$S$3:S548,"A+"),"")</f>
        <v/>
      </c>
      <c r="B548">
        <f>IF(AND('Data Source'!B548&lt;&gt;"",'Data Source'!S548="A+"),'Data Source'!B548,"")</f>
        <v/>
      </c>
      <c r="C548" s="3">
        <f>IF(AND('Data Source'!B548&lt;&gt;"",'Data Source'!S548="A+"),IF('Data Source'!U548&gt;=5,"A+",IF('Data Source'!U548&gt;=4,"A",IF('Data Source'!U548&gt;=3.5,"A-",IF('Data Source'!U548&gt;=3,"B",IF('Data Source'!U548&gt;=2,"C",IF('Data Source'!U548&gt;=1,"D","F")))))),"")</f>
        <v/>
      </c>
      <c r="D548" s="3">
        <f>IF(AND('Data Source'!B548&lt;&gt;"",'Data Source'!S548="A+"),IF('Data Source'!V548&gt;=5,"A+",IF('Data Source'!V548&gt;=4,"A",IF('Data Source'!V548&gt;=3.5,"A-",IF('Data Source'!V548&gt;=3,"B",IF('Data Source'!V548&gt;=2,"C",IF('Data Source'!V548&gt;=1,"D","F")))))),"")</f>
        <v/>
      </c>
      <c r="E548" s="3">
        <f>IF(AND('Data Source'!B548&lt;&gt;"",'Data Source'!S548="A+"),IF('Data Source'!W548&gt;=5,"A+",IF('Data Source'!W548&gt;=4,"A",IF('Data Source'!W548&gt;=3.5,"A-",IF('Data Source'!W548&gt;=3,"B",IF('Data Source'!W548&gt;=2,"C",IF('Data Source'!W548&gt;=1,"D","F")))))),"")</f>
        <v/>
      </c>
      <c r="F548" s="3">
        <f>IF(AND('Data Source'!B548&lt;&gt;"",'Data Source'!S548="A+"),IF('Data Source'!X548&gt;=5,"A+",IF('Data Source'!X548&gt;=4,"A",IF('Data Source'!X548&gt;=3.5,"A-",IF('Data Source'!X548&gt;=3,"B",IF('Data Source'!X548&gt;=2,"C",IF('Data Source'!X548&gt;=1,"D","F")))))),"")</f>
        <v/>
      </c>
      <c r="G548" s="3">
        <f>IF(AND('Data Source'!B548&lt;&gt;"",'Data Source'!S548="A+"),IF('Data Source'!Y548&gt;=5,"A+",IF('Data Source'!Y548&gt;=4,"A",IF('Data Source'!Y548&gt;=3.5,"A-",IF('Data Source'!Y548&gt;=3,"B",IF('Data Source'!Y548&gt;=2,"C",IF('Data Source'!Y548&gt;=1,"D","F")))))),"")</f>
        <v/>
      </c>
      <c r="H548" s="3">
        <f>IF(AND('Data Source'!B548&lt;&gt;"",'Data Source'!S548="A+"),IF('Data Source'!Z548&gt;=5,"A+",IF('Data Source'!Z548&gt;=4,"A",IF('Data Source'!Z548&gt;=3.5,"A-",IF('Data Source'!Z548&gt;=3,"B",IF('Data Source'!Z548&gt;=2,"C",IF('Data Source'!Z548&gt;=1,"D","F")))))),"")</f>
        <v/>
      </c>
      <c r="I548" s="3">
        <f>IF(AND('Data Source'!B548&lt;&gt;"",'Data Source'!S548="A+"),IF('Data Source'!AA548&gt;=5,"A+",IF('Data Source'!AA548&gt;=4,"A",IF('Data Source'!AA548&gt;=3.5,"A-",IF('Data Source'!AA548&gt;=3,"B",IF('Data Source'!AA548&gt;=2,"C",IF('Data Source'!AA548&gt;=1,"D","F")))))),"")</f>
        <v/>
      </c>
      <c r="J548" s="3">
        <f>IF(AND('Data Source'!B548&lt;&gt;"",'Data Source'!S548="A+"),IF('Data Source'!AB548&gt;=5,"A+",IF('Data Source'!AB548&gt;=4,"A",IF('Data Source'!AB548&gt;=3.5,"A-",IF('Data Source'!AB548&gt;=3,"B",IF('Data Source'!AB548&gt;=2,"C",IF('Data Source'!AB548&gt;=1,"D","F")))))),"")</f>
        <v/>
      </c>
      <c r="K548" s="3">
        <f>IF(AND('Data Source'!B548&lt;&gt;"",'Data Source'!S548="A+"),IF('Data Source'!AC548&gt;=5,"A+",IF('Data Source'!AC548&gt;=4,"A",IF('Data Source'!AC548&gt;=3.5,"A-",IF('Data Source'!AC548&gt;=3,"B",IF('Data Source'!AC548&gt;=2,"C",IF('Data Source'!AC548&gt;=1,"D","F")))))),"")</f>
        <v/>
      </c>
      <c r="L548" s="3">
        <f>IF(AND('Data Source'!B548&lt;&gt;"",'Data Source'!S548="A+"),IF('Data Source'!AD548&gt;=5,"A+",IF('Data Source'!AD548&gt;=4,"A",IF('Data Source'!AD548&gt;=3.5,"A-",IF('Data Source'!AD548&gt;=3,"B",IF('Data Source'!AD548&gt;=2,"C",IF('Data Source'!AD548&gt;=1,"D","F")))))),"")</f>
        <v/>
      </c>
      <c r="M548" s="3">
        <f>IF(AND('Data Source'!B548&lt;&gt;"",'Data Source'!S548="A+"),IF('Data Source'!AE548&gt;=5,"A+",IF('Data Source'!AE548&gt;=4,"A",IF('Data Source'!AE548&gt;=3.5,"A-",IF('Data Source'!AE548&gt;=3,"B",IF('Data Source'!AE548&gt;=2,"C",IF('Data Source'!AE548&gt;=1,"D","F")))))),"")</f>
        <v/>
      </c>
      <c r="N548" s="3">
        <f>IF(AND('Data Source'!B548&lt;&gt;"",'Data Source'!S548="A+"),IF('Data Source'!AF548&gt;=5,"A+",IF('Data Source'!AF548&gt;=4,"A",IF('Data Source'!AF548&gt;=3.5,"A-",IF('Data Source'!AF548&gt;=3,"B",IF('Data Source'!AF548&gt;=2,"C",IF('Data Source'!AF548&gt;=1,"D","F")))))),"")</f>
        <v/>
      </c>
      <c r="O548" s="3">
        <f>IF(AND('Data Source'!B548&lt;&gt;"",'Data Source'!S548="A+"),IF('Data Source'!AG548&gt;=5,"A+",IF('Data Source'!AG548&gt;=4,"A",IF('Data Source'!AG548&gt;=3.5,"A-",IF('Data Source'!AG548&gt;=3,"B",IF('Data Source'!AG548&gt;=2,"C",IF('Data Source'!AG548&gt;=1,"D","F")))))),"")</f>
        <v/>
      </c>
      <c r="P548" s="5">
        <f>IF(AND('Data Source'!B548&lt;&gt;"",'Data Source'!S548="A+"),'Data Source'!R548,"")</f>
        <v/>
      </c>
      <c r="Q548" s="3">
        <f>IF(AND('Data Source'!B548&lt;&gt;"",'Data Source'!S548="A+"),'Data Source'!S548,"")</f>
        <v/>
      </c>
    </row>
    <row r="549">
      <c r="A549" s="3">
        <f>IF(AND('Data Source'!B549&lt;&gt;"",'Data Source'!S549="A+"),COUNTIF('Data Source'!$S$3:S549,"A+"),"")</f>
        <v/>
      </c>
      <c r="B549">
        <f>IF(AND('Data Source'!B549&lt;&gt;"",'Data Source'!S549="A+"),'Data Source'!B549,"")</f>
        <v/>
      </c>
      <c r="C549" s="3">
        <f>IF(AND('Data Source'!B549&lt;&gt;"",'Data Source'!S549="A+"),IF('Data Source'!U549&gt;=5,"A+",IF('Data Source'!U549&gt;=4,"A",IF('Data Source'!U549&gt;=3.5,"A-",IF('Data Source'!U549&gt;=3,"B",IF('Data Source'!U549&gt;=2,"C",IF('Data Source'!U549&gt;=1,"D","F")))))),"")</f>
        <v/>
      </c>
      <c r="D549" s="3">
        <f>IF(AND('Data Source'!B549&lt;&gt;"",'Data Source'!S549="A+"),IF('Data Source'!V549&gt;=5,"A+",IF('Data Source'!V549&gt;=4,"A",IF('Data Source'!V549&gt;=3.5,"A-",IF('Data Source'!V549&gt;=3,"B",IF('Data Source'!V549&gt;=2,"C",IF('Data Source'!V549&gt;=1,"D","F")))))),"")</f>
        <v/>
      </c>
      <c r="E549" s="3">
        <f>IF(AND('Data Source'!B549&lt;&gt;"",'Data Source'!S549="A+"),IF('Data Source'!W549&gt;=5,"A+",IF('Data Source'!W549&gt;=4,"A",IF('Data Source'!W549&gt;=3.5,"A-",IF('Data Source'!W549&gt;=3,"B",IF('Data Source'!W549&gt;=2,"C",IF('Data Source'!W549&gt;=1,"D","F")))))),"")</f>
        <v/>
      </c>
      <c r="F549" s="3">
        <f>IF(AND('Data Source'!B549&lt;&gt;"",'Data Source'!S549="A+"),IF('Data Source'!X549&gt;=5,"A+",IF('Data Source'!X549&gt;=4,"A",IF('Data Source'!X549&gt;=3.5,"A-",IF('Data Source'!X549&gt;=3,"B",IF('Data Source'!X549&gt;=2,"C",IF('Data Source'!X549&gt;=1,"D","F")))))),"")</f>
        <v/>
      </c>
      <c r="G549" s="3">
        <f>IF(AND('Data Source'!B549&lt;&gt;"",'Data Source'!S549="A+"),IF('Data Source'!Y549&gt;=5,"A+",IF('Data Source'!Y549&gt;=4,"A",IF('Data Source'!Y549&gt;=3.5,"A-",IF('Data Source'!Y549&gt;=3,"B",IF('Data Source'!Y549&gt;=2,"C",IF('Data Source'!Y549&gt;=1,"D","F")))))),"")</f>
        <v/>
      </c>
      <c r="H549" s="3">
        <f>IF(AND('Data Source'!B549&lt;&gt;"",'Data Source'!S549="A+"),IF('Data Source'!Z549&gt;=5,"A+",IF('Data Source'!Z549&gt;=4,"A",IF('Data Source'!Z549&gt;=3.5,"A-",IF('Data Source'!Z549&gt;=3,"B",IF('Data Source'!Z549&gt;=2,"C",IF('Data Source'!Z549&gt;=1,"D","F")))))),"")</f>
        <v/>
      </c>
      <c r="I549" s="3">
        <f>IF(AND('Data Source'!B549&lt;&gt;"",'Data Source'!S549="A+"),IF('Data Source'!AA549&gt;=5,"A+",IF('Data Source'!AA549&gt;=4,"A",IF('Data Source'!AA549&gt;=3.5,"A-",IF('Data Source'!AA549&gt;=3,"B",IF('Data Source'!AA549&gt;=2,"C",IF('Data Source'!AA549&gt;=1,"D","F")))))),"")</f>
        <v/>
      </c>
      <c r="J549" s="3">
        <f>IF(AND('Data Source'!B549&lt;&gt;"",'Data Source'!S549="A+"),IF('Data Source'!AB549&gt;=5,"A+",IF('Data Source'!AB549&gt;=4,"A",IF('Data Source'!AB549&gt;=3.5,"A-",IF('Data Source'!AB549&gt;=3,"B",IF('Data Source'!AB549&gt;=2,"C",IF('Data Source'!AB549&gt;=1,"D","F")))))),"")</f>
        <v/>
      </c>
      <c r="K549" s="3">
        <f>IF(AND('Data Source'!B549&lt;&gt;"",'Data Source'!S549="A+"),IF('Data Source'!AC549&gt;=5,"A+",IF('Data Source'!AC549&gt;=4,"A",IF('Data Source'!AC549&gt;=3.5,"A-",IF('Data Source'!AC549&gt;=3,"B",IF('Data Source'!AC549&gt;=2,"C",IF('Data Source'!AC549&gt;=1,"D","F")))))),"")</f>
        <v/>
      </c>
      <c r="L549" s="3">
        <f>IF(AND('Data Source'!B549&lt;&gt;"",'Data Source'!S549="A+"),IF('Data Source'!AD549&gt;=5,"A+",IF('Data Source'!AD549&gt;=4,"A",IF('Data Source'!AD549&gt;=3.5,"A-",IF('Data Source'!AD549&gt;=3,"B",IF('Data Source'!AD549&gt;=2,"C",IF('Data Source'!AD549&gt;=1,"D","F")))))),"")</f>
        <v/>
      </c>
      <c r="M549" s="3">
        <f>IF(AND('Data Source'!B549&lt;&gt;"",'Data Source'!S549="A+"),IF('Data Source'!AE549&gt;=5,"A+",IF('Data Source'!AE549&gt;=4,"A",IF('Data Source'!AE549&gt;=3.5,"A-",IF('Data Source'!AE549&gt;=3,"B",IF('Data Source'!AE549&gt;=2,"C",IF('Data Source'!AE549&gt;=1,"D","F")))))),"")</f>
        <v/>
      </c>
      <c r="N549" s="3">
        <f>IF(AND('Data Source'!B549&lt;&gt;"",'Data Source'!S549="A+"),IF('Data Source'!AF549&gt;=5,"A+",IF('Data Source'!AF549&gt;=4,"A",IF('Data Source'!AF549&gt;=3.5,"A-",IF('Data Source'!AF549&gt;=3,"B",IF('Data Source'!AF549&gt;=2,"C",IF('Data Source'!AF549&gt;=1,"D","F")))))),"")</f>
        <v/>
      </c>
      <c r="O549" s="3">
        <f>IF(AND('Data Source'!B549&lt;&gt;"",'Data Source'!S549="A+"),IF('Data Source'!AG549&gt;=5,"A+",IF('Data Source'!AG549&gt;=4,"A",IF('Data Source'!AG549&gt;=3.5,"A-",IF('Data Source'!AG549&gt;=3,"B",IF('Data Source'!AG549&gt;=2,"C",IF('Data Source'!AG549&gt;=1,"D","F")))))),"")</f>
        <v/>
      </c>
      <c r="P549" s="5">
        <f>IF(AND('Data Source'!B549&lt;&gt;"",'Data Source'!S549="A+"),'Data Source'!R549,"")</f>
        <v/>
      </c>
      <c r="Q549" s="3">
        <f>IF(AND('Data Source'!B549&lt;&gt;"",'Data Source'!S549="A+"),'Data Source'!S549,"")</f>
        <v/>
      </c>
    </row>
    <row r="550">
      <c r="A550" s="3">
        <f>IF(AND('Data Source'!B550&lt;&gt;"",'Data Source'!S550="A+"),COUNTIF('Data Source'!$S$3:S550,"A+"),"")</f>
        <v/>
      </c>
      <c r="B550">
        <f>IF(AND('Data Source'!B550&lt;&gt;"",'Data Source'!S550="A+"),'Data Source'!B550,"")</f>
        <v/>
      </c>
      <c r="C550" s="3">
        <f>IF(AND('Data Source'!B550&lt;&gt;"",'Data Source'!S550="A+"),IF('Data Source'!U550&gt;=5,"A+",IF('Data Source'!U550&gt;=4,"A",IF('Data Source'!U550&gt;=3.5,"A-",IF('Data Source'!U550&gt;=3,"B",IF('Data Source'!U550&gt;=2,"C",IF('Data Source'!U550&gt;=1,"D","F")))))),"")</f>
        <v/>
      </c>
      <c r="D550" s="3">
        <f>IF(AND('Data Source'!B550&lt;&gt;"",'Data Source'!S550="A+"),IF('Data Source'!V550&gt;=5,"A+",IF('Data Source'!V550&gt;=4,"A",IF('Data Source'!V550&gt;=3.5,"A-",IF('Data Source'!V550&gt;=3,"B",IF('Data Source'!V550&gt;=2,"C",IF('Data Source'!V550&gt;=1,"D","F")))))),"")</f>
        <v/>
      </c>
      <c r="E550" s="3">
        <f>IF(AND('Data Source'!B550&lt;&gt;"",'Data Source'!S550="A+"),IF('Data Source'!W550&gt;=5,"A+",IF('Data Source'!W550&gt;=4,"A",IF('Data Source'!W550&gt;=3.5,"A-",IF('Data Source'!W550&gt;=3,"B",IF('Data Source'!W550&gt;=2,"C",IF('Data Source'!W550&gt;=1,"D","F")))))),"")</f>
        <v/>
      </c>
      <c r="F550" s="3">
        <f>IF(AND('Data Source'!B550&lt;&gt;"",'Data Source'!S550="A+"),IF('Data Source'!X550&gt;=5,"A+",IF('Data Source'!X550&gt;=4,"A",IF('Data Source'!X550&gt;=3.5,"A-",IF('Data Source'!X550&gt;=3,"B",IF('Data Source'!X550&gt;=2,"C",IF('Data Source'!X550&gt;=1,"D","F")))))),"")</f>
        <v/>
      </c>
      <c r="G550" s="3">
        <f>IF(AND('Data Source'!B550&lt;&gt;"",'Data Source'!S550="A+"),IF('Data Source'!Y550&gt;=5,"A+",IF('Data Source'!Y550&gt;=4,"A",IF('Data Source'!Y550&gt;=3.5,"A-",IF('Data Source'!Y550&gt;=3,"B",IF('Data Source'!Y550&gt;=2,"C",IF('Data Source'!Y550&gt;=1,"D","F")))))),"")</f>
        <v/>
      </c>
      <c r="H550" s="3">
        <f>IF(AND('Data Source'!B550&lt;&gt;"",'Data Source'!S550="A+"),IF('Data Source'!Z550&gt;=5,"A+",IF('Data Source'!Z550&gt;=4,"A",IF('Data Source'!Z550&gt;=3.5,"A-",IF('Data Source'!Z550&gt;=3,"B",IF('Data Source'!Z550&gt;=2,"C",IF('Data Source'!Z550&gt;=1,"D","F")))))),"")</f>
        <v/>
      </c>
      <c r="I550" s="3">
        <f>IF(AND('Data Source'!B550&lt;&gt;"",'Data Source'!S550="A+"),IF('Data Source'!AA550&gt;=5,"A+",IF('Data Source'!AA550&gt;=4,"A",IF('Data Source'!AA550&gt;=3.5,"A-",IF('Data Source'!AA550&gt;=3,"B",IF('Data Source'!AA550&gt;=2,"C",IF('Data Source'!AA550&gt;=1,"D","F")))))),"")</f>
        <v/>
      </c>
      <c r="J550" s="3">
        <f>IF(AND('Data Source'!B550&lt;&gt;"",'Data Source'!S550="A+"),IF('Data Source'!AB550&gt;=5,"A+",IF('Data Source'!AB550&gt;=4,"A",IF('Data Source'!AB550&gt;=3.5,"A-",IF('Data Source'!AB550&gt;=3,"B",IF('Data Source'!AB550&gt;=2,"C",IF('Data Source'!AB550&gt;=1,"D","F")))))),"")</f>
        <v/>
      </c>
      <c r="K550" s="3">
        <f>IF(AND('Data Source'!B550&lt;&gt;"",'Data Source'!S550="A+"),IF('Data Source'!AC550&gt;=5,"A+",IF('Data Source'!AC550&gt;=4,"A",IF('Data Source'!AC550&gt;=3.5,"A-",IF('Data Source'!AC550&gt;=3,"B",IF('Data Source'!AC550&gt;=2,"C",IF('Data Source'!AC550&gt;=1,"D","F")))))),"")</f>
        <v/>
      </c>
      <c r="L550" s="3">
        <f>IF(AND('Data Source'!B550&lt;&gt;"",'Data Source'!S550="A+"),IF('Data Source'!AD550&gt;=5,"A+",IF('Data Source'!AD550&gt;=4,"A",IF('Data Source'!AD550&gt;=3.5,"A-",IF('Data Source'!AD550&gt;=3,"B",IF('Data Source'!AD550&gt;=2,"C",IF('Data Source'!AD550&gt;=1,"D","F")))))),"")</f>
        <v/>
      </c>
      <c r="M550" s="3">
        <f>IF(AND('Data Source'!B550&lt;&gt;"",'Data Source'!S550="A+"),IF('Data Source'!AE550&gt;=5,"A+",IF('Data Source'!AE550&gt;=4,"A",IF('Data Source'!AE550&gt;=3.5,"A-",IF('Data Source'!AE550&gt;=3,"B",IF('Data Source'!AE550&gt;=2,"C",IF('Data Source'!AE550&gt;=1,"D","F")))))),"")</f>
        <v/>
      </c>
      <c r="N550" s="3">
        <f>IF(AND('Data Source'!B550&lt;&gt;"",'Data Source'!S550="A+"),IF('Data Source'!AF550&gt;=5,"A+",IF('Data Source'!AF550&gt;=4,"A",IF('Data Source'!AF550&gt;=3.5,"A-",IF('Data Source'!AF550&gt;=3,"B",IF('Data Source'!AF550&gt;=2,"C",IF('Data Source'!AF550&gt;=1,"D","F")))))),"")</f>
        <v/>
      </c>
      <c r="O550" s="3">
        <f>IF(AND('Data Source'!B550&lt;&gt;"",'Data Source'!S550="A+"),IF('Data Source'!AG550&gt;=5,"A+",IF('Data Source'!AG550&gt;=4,"A",IF('Data Source'!AG550&gt;=3.5,"A-",IF('Data Source'!AG550&gt;=3,"B",IF('Data Source'!AG550&gt;=2,"C",IF('Data Source'!AG550&gt;=1,"D","F")))))),"")</f>
        <v/>
      </c>
      <c r="P550" s="5">
        <f>IF(AND('Data Source'!B550&lt;&gt;"",'Data Source'!S550="A+"),'Data Source'!R550,"")</f>
        <v/>
      </c>
      <c r="Q550" s="3">
        <f>IF(AND('Data Source'!B550&lt;&gt;"",'Data Source'!S550="A+"),'Data Source'!S550,"")</f>
        <v/>
      </c>
    </row>
    <row r="551">
      <c r="A551" s="3">
        <f>IF(AND('Data Source'!B551&lt;&gt;"",'Data Source'!S551="A+"),COUNTIF('Data Source'!$S$3:S551,"A+"),"")</f>
        <v/>
      </c>
      <c r="B551">
        <f>IF(AND('Data Source'!B551&lt;&gt;"",'Data Source'!S551="A+"),'Data Source'!B551,"")</f>
        <v/>
      </c>
      <c r="C551" s="3">
        <f>IF(AND('Data Source'!B551&lt;&gt;"",'Data Source'!S551="A+"),IF('Data Source'!U551&gt;=5,"A+",IF('Data Source'!U551&gt;=4,"A",IF('Data Source'!U551&gt;=3.5,"A-",IF('Data Source'!U551&gt;=3,"B",IF('Data Source'!U551&gt;=2,"C",IF('Data Source'!U551&gt;=1,"D","F")))))),"")</f>
        <v/>
      </c>
      <c r="D551" s="3">
        <f>IF(AND('Data Source'!B551&lt;&gt;"",'Data Source'!S551="A+"),IF('Data Source'!V551&gt;=5,"A+",IF('Data Source'!V551&gt;=4,"A",IF('Data Source'!V551&gt;=3.5,"A-",IF('Data Source'!V551&gt;=3,"B",IF('Data Source'!V551&gt;=2,"C",IF('Data Source'!V551&gt;=1,"D","F")))))),"")</f>
        <v/>
      </c>
      <c r="E551" s="3">
        <f>IF(AND('Data Source'!B551&lt;&gt;"",'Data Source'!S551="A+"),IF('Data Source'!W551&gt;=5,"A+",IF('Data Source'!W551&gt;=4,"A",IF('Data Source'!W551&gt;=3.5,"A-",IF('Data Source'!W551&gt;=3,"B",IF('Data Source'!W551&gt;=2,"C",IF('Data Source'!W551&gt;=1,"D","F")))))),"")</f>
        <v/>
      </c>
      <c r="F551" s="3">
        <f>IF(AND('Data Source'!B551&lt;&gt;"",'Data Source'!S551="A+"),IF('Data Source'!X551&gt;=5,"A+",IF('Data Source'!X551&gt;=4,"A",IF('Data Source'!X551&gt;=3.5,"A-",IF('Data Source'!X551&gt;=3,"B",IF('Data Source'!X551&gt;=2,"C",IF('Data Source'!X551&gt;=1,"D","F")))))),"")</f>
        <v/>
      </c>
      <c r="G551" s="3">
        <f>IF(AND('Data Source'!B551&lt;&gt;"",'Data Source'!S551="A+"),IF('Data Source'!Y551&gt;=5,"A+",IF('Data Source'!Y551&gt;=4,"A",IF('Data Source'!Y551&gt;=3.5,"A-",IF('Data Source'!Y551&gt;=3,"B",IF('Data Source'!Y551&gt;=2,"C",IF('Data Source'!Y551&gt;=1,"D","F")))))),"")</f>
        <v/>
      </c>
      <c r="H551" s="3">
        <f>IF(AND('Data Source'!B551&lt;&gt;"",'Data Source'!S551="A+"),IF('Data Source'!Z551&gt;=5,"A+",IF('Data Source'!Z551&gt;=4,"A",IF('Data Source'!Z551&gt;=3.5,"A-",IF('Data Source'!Z551&gt;=3,"B",IF('Data Source'!Z551&gt;=2,"C",IF('Data Source'!Z551&gt;=1,"D","F")))))),"")</f>
        <v/>
      </c>
      <c r="I551" s="3">
        <f>IF(AND('Data Source'!B551&lt;&gt;"",'Data Source'!S551="A+"),IF('Data Source'!AA551&gt;=5,"A+",IF('Data Source'!AA551&gt;=4,"A",IF('Data Source'!AA551&gt;=3.5,"A-",IF('Data Source'!AA551&gt;=3,"B",IF('Data Source'!AA551&gt;=2,"C",IF('Data Source'!AA551&gt;=1,"D","F")))))),"")</f>
        <v/>
      </c>
      <c r="J551" s="3">
        <f>IF(AND('Data Source'!B551&lt;&gt;"",'Data Source'!S551="A+"),IF('Data Source'!AB551&gt;=5,"A+",IF('Data Source'!AB551&gt;=4,"A",IF('Data Source'!AB551&gt;=3.5,"A-",IF('Data Source'!AB551&gt;=3,"B",IF('Data Source'!AB551&gt;=2,"C",IF('Data Source'!AB551&gt;=1,"D","F")))))),"")</f>
        <v/>
      </c>
      <c r="K551" s="3">
        <f>IF(AND('Data Source'!B551&lt;&gt;"",'Data Source'!S551="A+"),IF('Data Source'!AC551&gt;=5,"A+",IF('Data Source'!AC551&gt;=4,"A",IF('Data Source'!AC551&gt;=3.5,"A-",IF('Data Source'!AC551&gt;=3,"B",IF('Data Source'!AC551&gt;=2,"C",IF('Data Source'!AC551&gt;=1,"D","F")))))),"")</f>
        <v/>
      </c>
      <c r="L551" s="3">
        <f>IF(AND('Data Source'!B551&lt;&gt;"",'Data Source'!S551="A+"),IF('Data Source'!AD551&gt;=5,"A+",IF('Data Source'!AD551&gt;=4,"A",IF('Data Source'!AD551&gt;=3.5,"A-",IF('Data Source'!AD551&gt;=3,"B",IF('Data Source'!AD551&gt;=2,"C",IF('Data Source'!AD551&gt;=1,"D","F")))))),"")</f>
        <v/>
      </c>
      <c r="M551" s="3">
        <f>IF(AND('Data Source'!B551&lt;&gt;"",'Data Source'!S551="A+"),IF('Data Source'!AE551&gt;=5,"A+",IF('Data Source'!AE551&gt;=4,"A",IF('Data Source'!AE551&gt;=3.5,"A-",IF('Data Source'!AE551&gt;=3,"B",IF('Data Source'!AE551&gt;=2,"C",IF('Data Source'!AE551&gt;=1,"D","F")))))),"")</f>
        <v/>
      </c>
      <c r="N551" s="3">
        <f>IF(AND('Data Source'!B551&lt;&gt;"",'Data Source'!S551="A+"),IF('Data Source'!AF551&gt;=5,"A+",IF('Data Source'!AF551&gt;=4,"A",IF('Data Source'!AF551&gt;=3.5,"A-",IF('Data Source'!AF551&gt;=3,"B",IF('Data Source'!AF551&gt;=2,"C",IF('Data Source'!AF551&gt;=1,"D","F")))))),"")</f>
        <v/>
      </c>
      <c r="O551" s="3">
        <f>IF(AND('Data Source'!B551&lt;&gt;"",'Data Source'!S551="A+"),IF('Data Source'!AG551&gt;=5,"A+",IF('Data Source'!AG551&gt;=4,"A",IF('Data Source'!AG551&gt;=3.5,"A-",IF('Data Source'!AG551&gt;=3,"B",IF('Data Source'!AG551&gt;=2,"C",IF('Data Source'!AG551&gt;=1,"D","F")))))),"")</f>
        <v/>
      </c>
      <c r="P551" s="5">
        <f>IF(AND('Data Source'!B551&lt;&gt;"",'Data Source'!S551="A+"),'Data Source'!R551,"")</f>
        <v/>
      </c>
      <c r="Q551" s="3">
        <f>IF(AND('Data Source'!B551&lt;&gt;"",'Data Source'!S551="A+"),'Data Source'!S551,"")</f>
        <v/>
      </c>
    </row>
    <row r="552">
      <c r="A552" s="3">
        <f>IF(AND('Data Source'!B552&lt;&gt;"",'Data Source'!S552="A+"),COUNTIF('Data Source'!$S$3:S552,"A+"),"")</f>
        <v/>
      </c>
      <c r="B552">
        <f>IF(AND('Data Source'!B552&lt;&gt;"",'Data Source'!S552="A+"),'Data Source'!B552,"")</f>
        <v/>
      </c>
      <c r="C552" s="3">
        <f>IF(AND('Data Source'!B552&lt;&gt;"",'Data Source'!S552="A+"),IF('Data Source'!U552&gt;=5,"A+",IF('Data Source'!U552&gt;=4,"A",IF('Data Source'!U552&gt;=3.5,"A-",IF('Data Source'!U552&gt;=3,"B",IF('Data Source'!U552&gt;=2,"C",IF('Data Source'!U552&gt;=1,"D","F")))))),"")</f>
        <v/>
      </c>
      <c r="D552" s="3">
        <f>IF(AND('Data Source'!B552&lt;&gt;"",'Data Source'!S552="A+"),IF('Data Source'!V552&gt;=5,"A+",IF('Data Source'!V552&gt;=4,"A",IF('Data Source'!V552&gt;=3.5,"A-",IF('Data Source'!V552&gt;=3,"B",IF('Data Source'!V552&gt;=2,"C",IF('Data Source'!V552&gt;=1,"D","F")))))),"")</f>
        <v/>
      </c>
      <c r="E552" s="3">
        <f>IF(AND('Data Source'!B552&lt;&gt;"",'Data Source'!S552="A+"),IF('Data Source'!W552&gt;=5,"A+",IF('Data Source'!W552&gt;=4,"A",IF('Data Source'!W552&gt;=3.5,"A-",IF('Data Source'!W552&gt;=3,"B",IF('Data Source'!W552&gt;=2,"C",IF('Data Source'!W552&gt;=1,"D","F")))))),"")</f>
        <v/>
      </c>
      <c r="F552" s="3">
        <f>IF(AND('Data Source'!B552&lt;&gt;"",'Data Source'!S552="A+"),IF('Data Source'!X552&gt;=5,"A+",IF('Data Source'!X552&gt;=4,"A",IF('Data Source'!X552&gt;=3.5,"A-",IF('Data Source'!X552&gt;=3,"B",IF('Data Source'!X552&gt;=2,"C",IF('Data Source'!X552&gt;=1,"D","F")))))),"")</f>
        <v/>
      </c>
      <c r="G552" s="3">
        <f>IF(AND('Data Source'!B552&lt;&gt;"",'Data Source'!S552="A+"),IF('Data Source'!Y552&gt;=5,"A+",IF('Data Source'!Y552&gt;=4,"A",IF('Data Source'!Y552&gt;=3.5,"A-",IF('Data Source'!Y552&gt;=3,"B",IF('Data Source'!Y552&gt;=2,"C",IF('Data Source'!Y552&gt;=1,"D","F")))))),"")</f>
        <v/>
      </c>
      <c r="H552" s="3">
        <f>IF(AND('Data Source'!B552&lt;&gt;"",'Data Source'!S552="A+"),IF('Data Source'!Z552&gt;=5,"A+",IF('Data Source'!Z552&gt;=4,"A",IF('Data Source'!Z552&gt;=3.5,"A-",IF('Data Source'!Z552&gt;=3,"B",IF('Data Source'!Z552&gt;=2,"C",IF('Data Source'!Z552&gt;=1,"D","F")))))),"")</f>
        <v/>
      </c>
      <c r="I552" s="3">
        <f>IF(AND('Data Source'!B552&lt;&gt;"",'Data Source'!S552="A+"),IF('Data Source'!AA552&gt;=5,"A+",IF('Data Source'!AA552&gt;=4,"A",IF('Data Source'!AA552&gt;=3.5,"A-",IF('Data Source'!AA552&gt;=3,"B",IF('Data Source'!AA552&gt;=2,"C",IF('Data Source'!AA552&gt;=1,"D","F")))))),"")</f>
        <v/>
      </c>
      <c r="J552" s="3">
        <f>IF(AND('Data Source'!B552&lt;&gt;"",'Data Source'!S552="A+"),IF('Data Source'!AB552&gt;=5,"A+",IF('Data Source'!AB552&gt;=4,"A",IF('Data Source'!AB552&gt;=3.5,"A-",IF('Data Source'!AB552&gt;=3,"B",IF('Data Source'!AB552&gt;=2,"C",IF('Data Source'!AB552&gt;=1,"D","F")))))),"")</f>
        <v/>
      </c>
      <c r="K552" s="3">
        <f>IF(AND('Data Source'!B552&lt;&gt;"",'Data Source'!S552="A+"),IF('Data Source'!AC552&gt;=5,"A+",IF('Data Source'!AC552&gt;=4,"A",IF('Data Source'!AC552&gt;=3.5,"A-",IF('Data Source'!AC552&gt;=3,"B",IF('Data Source'!AC552&gt;=2,"C",IF('Data Source'!AC552&gt;=1,"D","F")))))),"")</f>
        <v/>
      </c>
      <c r="L552" s="3">
        <f>IF(AND('Data Source'!B552&lt;&gt;"",'Data Source'!S552="A+"),IF('Data Source'!AD552&gt;=5,"A+",IF('Data Source'!AD552&gt;=4,"A",IF('Data Source'!AD552&gt;=3.5,"A-",IF('Data Source'!AD552&gt;=3,"B",IF('Data Source'!AD552&gt;=2,"C",IF('Data Source'!AD552&gt;=1,"D","F")))))),"")</f>
        <v/>
      </c>
      <c r="M552" s="3">
        <f>IF(AND('Data Source'!B552&lt;&gt;"",'Data Source'!S552="A+"),IF('Data Source'!AE552&gt;=5,"A+",IF('Data Source'!AE552&gt;=4,"A",IF('Data Source'!AE552&gt;=3.5,"A-",IF('Data Source'!AE552&gt;=3,"B",IF('Data Source'!AE552&gt;=2,"C",IF('Data Source'!AE552&gt;=1,"D","F")))))),"")</f>
        <v/>
      </c>
      <c r="N552" s="3">
        <f>IF(AND('Data Source'!B552&lt;&gt;"",'Data Source'!S552="A+"),IF('Data Source'!AF552&gt;=5,"A+",IF('Data Source'!AF552&gt;=4,"A",IF('Data Source'!AF552&gt;=3.5,"A-",IF('Data Source'!AF552&gt;=3,"B",IF('Data Source'!AF552&gt;=2,"C",IF('Data Source'!AF552&gt;=1,"D","F")))))),"")</f>
        <v/>
      </c>
      <c r="O552" s="3">
        <f>IF(AND('Data Source'!B552&lt;&gt;"",'Data Source'!S552="A+"),IF('Data Source'!AG552&gt;=5,"A+",IF('Data Source'!AG552&gt;=4,"A",IF('Data Source'!AG552&gt;=3.5,"A-",IF('Data Source'!AG552&gt;=3,"B",IF('Data Source'!AG552&gt;=2,"C",IF('Data Source'!AG552&gt;=1,"D","F")))))),"")</f>
        <v/>
      </c>
      <c r="P552" s="5">
        <f>IF(AND('Data Source'!B552&lt;&gt;"",'Data Source'!S552="A+"),'Data Source'!R552,"")</f>
        <v/>
      </c>
      <c r="Q552" s="3">
        <f>IF(AND('Data Source'!B552&lt;&gt;"",'Data Source'!S552="A+"),'Data Source'!S552,"")</f>
        <v/>
      </c>
    </row>
    <row r="553">
      <c r="A553" s="3">
        <f>IF(AND('Data Source'!B553&lt;&gt;"",'Data Source'!S553="A+"),COUNTIF('Data Source'!$S$3:S553,"A+"),"")</f>
        <v/>
      </c>
      <c r="B553">
        <f>IF(AND('Data Source'!B553&lt;&gt;"",'Data Source'!S553="A+"),'Data Source'!B553,"")</f>
        <v/>
      </c>
      <c r="C553" s="3">
        <f>IF(AND('Data Source'!B553&lt;&gt;"",'Data Source'!S553="A+"),IF('Data Source'!U553&gt;=5,"A+",IF('Data Source'!U553&gt;=4,"A",IF('Data Source'!U553&gt;=3.5,"A-",IF('Data Source'!U553&gt;=3,"B",IF('Data Source'!U553&gt;=2,"C",IF('Data Source'!U553&gt;=1,"D","F")))))),"")</f>
        <v/>
      </c>
      <c r="D553" s="3">
        <f>IF(AND('Data Source'!B553&lt;&gt;"",'Data Source'!S553="A+"),IF('Data Source'!V553&gt;=5,"A+",IF('Data Source'!V553&gt;=4,"A",IF('Data Source'!V553&gt;=3.5,"A-",IF('Data Source'!V553&gt;=3,"B",IF('Data Source'!V553&gt;=2,"C",IF('Data Source'!V553&gt;=1,"D","F")))))),"")</f>
        <v/>
      </c>
      <c r="E553" s="3">
        <f>IF(AND('Data Source'!B553&lt;&gt;"",'Data Source'!S553="A+"),IF('Data Source'!W553&gt;=5,"A+",IF('Data Source'!W553&gt;=4,"A",IF('Data Source'!W553&gt;=3.5,"A-",IF('Data Source'!W553&gt;=3,"B",IF('Data Source'!W553&gt;=2,"C",IF('Data Source'!W553&gt;=1,"D","F")))))),"")</f>
        <v/>
      </c>
      <c r="F553" s="3">
        <f>IF(AND('Data Source'!B553&lt;&gt;"",'Data Source'!S553="A+"),IF('Data Source'!X553&gt;=5,"A+",IF('Data Source'!X553&gt;=4,"A",IF('Data Source'!X553&gt;=3.5,"A-",IF('Data Source'!X553&gt;=3,"B",IF('Data Source'!X553&gt;=2,"C",IF('Data Source'!X553&gt;=1,"D","F")))))),"")</f>
        <v/>
      </c>
      <c r="G553" s="3">
        <f>IF(AND('Data Source'!B553&lt;&gt;"",'Data Source'!S553="A+"),IF('Data Source'!Y553&gt;=5,"A+",IF('Data Source'!Y553&gt;=4,"A",IF('Data Source'!Y553&gt;=3.5,"A-",IF('Data Source'!Y553&gt;=3,"B",IF('Data Source'!Y553&gt;=2,"C",IF('Data Source'!Y553&gt;=1,"D","F")))))),"")</f>
        <v/>
      </c>
      <c r="H553" s="3">
        <f>IF(AND('Data Source'!B553&lt;&gt;"",'Data Source'!S553="A+"),IF('Data Source'!Z553&gt;=5,"A+",IF('Data Source'!Z553&gt;=4,"A",IF('Data Source'!Z553&gt;=3.5,"A-",IF('Data Source'!Z553&gt;=3,"B",IF('Data Source'!Z553&gt;=2,"C",IF('Data Source'!Z553&gt;=1,"D","F")))))),"")</f>
        <v/>
      </c>
      <c r="I553" s="3">
        <f>IF(AND('Data Source'!B553&lt;&gt;"",'Data Source'!S553="A+"),IF('Data Source'!AA553&gt;=5,"A+",IF('Data Source'!AA553&gt;=4,"A",IF('Data Source'!AA553&gt;=3.5,"A-",IF('Data Source'!AA553&gt;=3,"B",IF('Data Source'!AA553&gt;=2,"C",IF('Data Source'!AA553&gt;=1,"D","F")))))),"")</f>
        <v/>
      </c>
      <c r="J553" s="3">
        <f>IF(AND('Data Source'!B553&lt;&gt;"",'Data Source'!S553="A+"),IF('Data Source'!AB553&gt;=5,"A+",IF('Data Source'!AB553&gt;=4,"A",IF('Data Source'!AB553&gt;=3.5,"A-",IF('Data Source'!AB553&gt;=3,"B",IF('Data Source'!AB553&gt;=2,"C",IF('Data Source'!AB553&gt;=1,"D","F")))))),"")</f>
        <v/>
      </c>
      <c r="K553" s="3">
        <f>IF(AND('Data Source'!B553&lt;&gt;"",'Data Source'!S553="A+"),IF('Data Source'!AC553&gt;=5,"A+",IF('Data Source'!AC553&gt;=4,"A",IF('Data Source'!AC553&gt;=3.5,"A-",IF('Data Source'!AC553&gt;=3,"B",IF('Data Source'!AC553&gt;=2,"C",IF('Data Source'!AC553&gt;=1,"D","F")))))),"")</f>
        <v/>
      </c>
      <c r="L553" s="3">
        <f>IF(AND('Data Source'!B553&lt;&gt;"",'Data Source'!S553="A+"),IF('Data Source'!AD553&gt;=5,"A+",IF('Data Source'!AD553&gt;=4,"A",IF('Data Source'!AD553&gt;=3.5,"A-",IF('Data Source'!AD553&gt;=3,"B",IF('Data Source'!AD553&gt;=2,"C",IF('Data Source'!AD553&gt;=1,"D","F")))))),"")</f>
        <v/>
      </c>
      <c r="M553" s="3">
        <f>IF(AND('Data Source'!B553&lt;&gt;"",'Data Source'!S553="A+"),IF('Data Source'!AE553&gt;=5,"A+",IF('Data Source'!AE553&gt;=4,"A",IF('Data Source'!AE553&gt;=3.5,"A-",IF('Data Source'!AE553&gt;=3,"B",IF('Data Source'!AE553&gt;=2,"C",IF('Data Source'!AE553&gt;=1,"D","F")))))),"")</f>
        <v/>
      </c>
      <c r="N553" s="3">
        <f>IF(AND('Data Source'!B553&lt;&gt;"",'Data Source'!S553="A+"),IF('Data Source'!AF553&gt;=5,"A+",IF('Data Source'!AF553&gt;=4,"A",IF('Data Source'!AF553&gt;=3.5,"A-",IF('Data Source'!AF553&gt;=3,"B",IF('Data Source'!AF553&gt;=2,"C",IF('Data Source'!AF553&gt;=1,"D","F")))))),"")</f>
        <v/>
      </c>
      <c r="O553" s="3">
        <f>IF(AND('Data Source'!B553&lt;&gt;"",'Data Source'!S553="A+"),IF('Data Source'!AG553&gt;=5,"A+",IF('Data Source'!AG553&gt;=4,"A",IF('Data Source'!AG553&gt;=3.5,"A-",IF('Data Source'!AG553&gt;=3,"B",IF('Data Source'!AG553&gt;=2,"C",IF('Data Source'!AG553&gt;=1,"D","F")))))),"")</f>
        <v/>
      </c>
      <c r="P553" s="5">
        <f>IF(AND('Data Source'!B553&lt;&gt;"",'Data Source'!S553="A+"),'Data Source'!R553,"")</f>
        <v/>
      </c>
      <c r="Q553" s="3">
        <f>IF(AND('Data Source'!B553&lt;&gt;"",'Data Source'!S553="A+"),'Data Source'!S553,"")</f>
        <v/>
      </c>
    </row>
    <row r="554">
      <c r="A554" s="3">
        <f>IF(AND('Data Source'!B554&lt;&gt;"",'Data Source'!S554="A+"),COUNTIF('Data Source'!$S$3:S554,"A+"),"")</f>
        <v/>
      </c>
      <c r="B554">
        <f>IF(AND('Data Source'!B554&lt;&gt;"",'Data Source'!S554="A+"),'Data Source'!B554,"")</f>
        <v/>
      </c>
      <c r="C554" s="3">
        <f>IF(AND('Data Source'!B554&lt;&gt;"",'Data Source'!S554="A+"),IF('Data Source'!U554&gt;=5,"A+",IF('Data Source'!U554&gt;=4,"A",IF('Data Source'!U554&gt;=3.5,"A-",IF('Data Source'!U554&gt;=3,"B",IF('Data Source'!U554&gt;=2,"C",IF('Data Source'!U554&gt;=1,"D","F")))))),"")</f>
        <v/>
      </c>
      <c r="D554" s="3">
        <f>IF(AND('Data Source'!B554&lt;&gt;"",'Data Source'!S554="A+"),IF('Data Source'!V554&gt;=5,"A+",IF('Data Source'!V554&gt;=4,"A",IF('Data Source'!V554&gt;=3.5,"A-",IF('Data Source'!V554&gt;=3,"B",IF('Data Source'!V554&gt;=2,"C",IF('Data Source'!V554&gt;=1,"D","F")))))),"")</f>
        <v/>
      </c>
      <c r="E554" s="3">
        <f>IF(AND('Data Source'!B554&lt;&gt;"",'Data Source'!S554="A+"),IF('Data Source'!W554&gt;=5,"A+",IF('Data Source'!W554&gt;=4,"A",IF('Data Source'!W554&gt;=3.5,"A-",IF('Data Source'!W554&gt;=3,"B",IF('Data Source'!W554&gt;=2,"C",IF('Data Source'!W554&gt;=1,"D","F")))))),"")</f>
        <v/>
      </c>
      <c r="F554" s="3">
        <f>IF(AND('Data Source'!B554&lt;&gt;"",'Data Source'!S554="A+"),IF('Data Source'!X554&gt;=5,"A+",IF('Data Source'!X554&gt;=4,"A",IF('Data Source'!X554&gt;=3.5,"A-",IF('Data Source'!X554&gt;=3,"B",IF('Data Source'!X554&gt;=2,"C",IF('Data Source'!X554&gt;=1,"D","F")))))),"")</f>
        <v/>
      </c>
      <c r="G554" s="3">
        <f>IF(AND('Data Source'!B554&lt;&gt;"",'Data Source'!S554="A+"),IF('Data Source'!Y554&gt;=5,"A+",IF('Data Source'!Y554&gt;=4,"A",IF('Data Source'!Y554&gt;=3.5,"A-",IF('Data Source'!Y554&gt;=3,"B",IF('Data Source'!Y554&gt;=2,"C",IF('Data Source'!Y554&gt;=1,"D","F")))))),"")</f>
        <v/>
      </c>
      <c r="H554" s="3">
        <f>IF(AND('Data Source'!B554&lt;&gt;"",'Data Source'!S554="A+"),IF('Data Source'!Z554&gt;=5,"A+",IF('Data Source'!Z554&gt;=4,"A",IF('Data Source'!Z554&gt;=3.5,"A-",IF('Data Source'!Z554&gt;=3,"B",IF('Data Source'!Z554&gt;=2,"C",IF('Data Source'!Z554&gt;=1,"D","F")))))),"")</f>
        <v/>
      </c>
      <c r="I554" s="3">
        <f>IF(AND('Data Source'!B554&lt;&gt;"",'Data Source'!S554="A+"),IF('Data Source'!AA554&gt;=5,"A+",IF('Data Source'!AA554&gt;=4,"A",IF('Data Source'!AA554&gt;=3.5,"A-",IF('Data Source'!AA554&gt;=3,"B",IF('Data Source'!AA554&gt;=2,"C",IF('Data Source'!AA554&gt;=1,"D","F")))))),"")</f>
        <v/>
      </c>
      <c r="J554" s="3">
        <f>IF(AND('Data Source'!B554&lt;&gt;"",'Data Source'!S554="A+"),IF('Data Source'!AB554&gt;=5,"A+",IF('Data Source'!AB554&gt;=4,"A",IF('Data Source'!AB554&gt;=3.5,"A-",IF('Data Source'!AB554&gt;=3,"B",IF('Data Source'!AB554&gt;=2,"C",IF('Data Source'!AB554&gt;=1,"D","F")))))),"")</f>
        <v/>
      </c>
      <c r="K554" s="3">
        <f>IF(AND('Data Source'!B554&lt;&gt;"",'Data Source'!S554="A+"),IF('Data Source'!AC554&gt;=5,"A+",IF('Data Source'!AC554&gt;=4,"A",IF('Data Source'!AC554&gt;=3.5,"A-",IF('Data Source'!AC554&gt;=3,"B",IF('Data Source'!AC554&gt;=2,"C",IF('Data Source'!AC554&gt;=1,"D","F")))))),"")</f>
        <v/>
      </c>
      <c r="L554" s="3">
        <f>IF(AND('Data Source'!B554&lt;&gt;"",'Data Source'!S554="A+"),IF('Data Source'!AD554&gt;=5,"A+",IF('Data Source'!AD554&gt;=4,"A",IF('Data Source'!AD554&gt;=3.5,"A-",IF('Data Source'!AD554&gt;=3,"B",IF('Data Source'!AD554&gt;=2,"C",IF('Data Source'!AD554&gt;=1,"D","F")))))),"")</f>
        <v/>
      </c>
      <c r="M554" s="3">
        <f>IF(AND('Data Source'!B554&lt;&gt;"",'Data Source'!S554="A+"),IF('Data Source'!AE554&gt;=5,"A+",IF('Data Source'!AE554&gt;=4,"A",IF('Data Source'!AE554&gt;=3.5,"A-",IF('Data Source'!AE554&gt;=3,"B",IF('Data Source'!AE554&gt;=2,"C",IF('Data Source'!AE554&gt;=1,"D","F")))))),"")</f>
        <v/>
      </c>
      <c r="N554" s="3">
        <f>IF(AND('Data Source'!B554&lt;&gt;"",'Data Source'!S554="A+"),IF('Data Source'!AF554&gt;=5,"A+",IF('Data Source'!AF554&gt;=4,"A",IF('Data Source'!AF554&gt;=3.5,"A-",IF('Data Source'!AF554&gt;=3,"B",IF('Data Source'!AF554&gt;=2,"C",IF('Data Source'!AF554&gt;=1,"D","F")))))),"")</f>
        <v/>
      </c>
      <c r="O554" s="3">
        <f>IF(AND('Data Source'!B554&lt;&gt;"",'Data Source'!S554="A+"),IF('Data Source'!AG554&gt;=5,"A+",IF('Data Source'!AG554&gt;=4,"A",IF('Data Source'!AG554&gt;=3.5,"A-",IF('Data Source'!AG554&gt;=3,"B",IF('Data Source'!AG554&gt;=2,"C",IF('Data Source'!AG554&gt;=1,"D","F")))))),"")</f>
        <v/>
      </c>
      <c r="P554" s="5">
        <f>IF(AND('Data Source'!B554&lt;&gt;"",'Data Source'!S554="A+"),'Data Source'!R554,"")</f>
        <v/>
      </c>
      <c r="Q554" s="3">
        <f>IF(AND('Data Source'!B554&lt;&gt;"",'Data Source'!S554="A+"),'Data Source'!S554,"")</f>
        <v/>
      </c>
    </row>
    <row r="555">
      <c r="A555" s="3">
        <f>IF(AND('Data Source'!B555&lt;&gt;"",'Data Source'!S555="A+"),COUNTIF('Data Source'!$S$3:S555,"A+"),"")</f>
        <v/>
      </c>
      <c r="B555">
        <f>IF(AND('Data Source'!B555&lt;&gt;"",'Data Source'!S555="A+"),'Data Source'!B555,"")</f>
        <v/>
      </c>
      <c r="C555" s="3">
        <f>IF(AND('Data Source'!B555&lt;&gt;"",'Data Source'!S555="A+"),IF('Data Source'!U555&gt;=5,"A+",IF('Data Source'!U555&gt;=4,"A",IF('Data Source'!U555&gt;=3.5,"A-",IF('Data Source'!U555&gt;=3,"B",IF('Data Source'!U555&gt;=2,"C",IF('Data Source'!U555&gt;=1,"D","F")))))),"")</f>
        <v/>
      </c>
      <c r="D555" s="3">
        <f>IF(AND('Data Source'!B555&lt;&gt;"",'Data Source'!S555="A+"),IF('Data Source'!V555&gt;=5,"A+",IF('Data Source'!V555&gt;=4,"A",IF('Data Source'!V555&gt;=3.5,"A-",IF('Data Source'!V555&gt;=3,"B",IF('Data Source'!V555&gt;=2,"C",IF('Data Source'!V555&gt;=1,"D","F")))))),"")</f>
        <v/>
      </c>
      <c r="E555" s="3">
        <f>IF(AND('Data Source'!B555&lt;&gt;"",'Data Source'!S555="A+"),IF('Data Source'!W555&gt;=5,"A+",IF('Data Source'!W555&gt;=4,"A",IF('Data Source'!W555&gt;=3.5,"A-",IF('Data Source'!W555&gt;=3,"B",IF('Data Source'!W555&gt;=2,"C",IF('Data Source'!W555&gt;=1,"D","F")))))),"")</f>
        <v/>
      </c>
      <c r="F555" s="3">
        <f>IF(AND('Data Source'!B555&lt;&gt;"",'Data Source'!S555="A+"),IF('Data Source'!X555&gt;=5,"A+",IF('Data Source'!X555&gt;=4,"A",IF('Data Source'!X555&gt;=3.5,"A-",IF('Data Source'!X555&gt;=3,"B",IF('Data Source'!X555&gt;=2,"C",IF('Data Source'!X555&gt;=1,"D","F")))))),"")</f>
        <v/>
      </c>
      <c r="G555" s="3">
        <f>IF(AND('Data Source'!B555&lt;&gt;"",'Data Source'!S555="A+"),IF('Data Source'!Y555&gt;=5,"A+",IF('Data Source'!Y555&gt;=4,"A",IF('Data Source'!Y555&gt;=3.5,"A-",IF('Data Source'!Y555&gt;=3,"B",IF('Data Source'!Y555&gt;=2,"C",IF('Data Source'!Y555&gt;=1,"D","F")))))),"")</f>
        <v/>
      </c>
      <c r="H555" s="3">
        <f>IF(AND('Data Source'!B555&lt;&gt;"",'Data Source'!S555="A+"),IF('Data Source'!Z555&gt;=5,"A+",IF('Data Source'!Z555&gt;=4,"A",IF('Data Source'!Z555&gt;=3.5,"A-",IF('Data Source'!Z555&gt;=3,"B",IF('Data Source'!Z555&gt;=2,"C",IF('Data Source'!Z555&gt;=1,"D","F")))))),"")</f>
        <v/>
      </c>
      <c r="I555" s="3">
        <f>IF(AND('Data Source'!B555&lt;&gt;"",'Data Source'!S555="A+"),IF('Data Source'!AA555&gt;=5,"A+",IF('Data Source'!AA555&gt;=4,"A",IF('Data Source'!AA555&gt;=3.5,"A-",IF('Data Source'!AA555&gt;=3,"B",IF('Data Source'!AA555&gt;=2,"C",IF('Data Source'!AA555&gt;=1,"D","F")))))),"")</f>
        <v/>
      </c>
      <c r="J555" s="3">
        <f>IF(AND('Data Source'!B555&lt;&gt;"",'Data Source'!S555="A+"),IF('Data Source'!AB555&gt;=5,"A+",IF('Data Source'!AB555&gt;=4,"A",IF('Data Source'!AB555&gt;=3.5,"A-",IF('Data Source'!AB555&gt;=3,"B",IF('Data Source'!AB555&gt;=2,"C",IF('Data Source'!AB555&gt;=1,"D","F")))))),"")</f>
        <v/>
      </c>
      <c r="K555" s="3">
        <f>IF(AND('Data Source'!B555&lt;&gt;"",'Data Source'!S555="A+"),IF('Data Source'!AC555&gt;=5,"A+",IF('Data Source'!AC555&gt;=4,"A",IF('Data Source'!AC555&gt;=3.5,"A-",IF('Data Source'!AC555&gt;=3,"B",IF('Data Source'!AC555&gt;=2,"C",IF('Data Source'!AC555&gt;=1,"D","F")))))),"")</f>
        <v/>
      </c>
      <c r="L555" s="3">
        <f>IF(AND('Data Source'!B555&lt;&gt;"",'Data Source'!S555="A+"),IF('Data Source'!AD555&gt;=5,"A+",IF('Data Source'!AD555&gt;=4,"A",IF('Data Source'!AD555&gt;=3.5,"A-",IF('Data Source'!AD555&gt;=3,"B",IF('Data Source'!AD555&gt;=2,"C",IF('Data Source'!AD555&gt;=1,"D","F")))))),"")</f>
        <v/>
      </c>
      <c r="M555" s="3">
        <f>IF(AND('Data Source'!B555&lt;&gt;"",'Data Source'!S555="A+"),IF('Data Source'!AE555&gt;=5,"A+",IF('Data Source'!AE555&gt;=4,"A",IF('Data Source'!AE555&gt;=3.5,"A-",IF('Data Source'!AE555&gt;=3,"B",IF('Data Source'!AE555&gt;=2,"C",IF('Data Source'!AE555&gt;=1,"D","F")))))),"")</f>
        <v/>
      </c>
      <c r="N555" s="3">
        <f>IF(AND('Data Source'!B555&lt;&gt;"",'Data Source'!S555="A+"),IF('Data Source'!AF555&gt;=5,"A+",IF('Data Source'!AF555&gt;=4,"A",IF('Data Source'!AF555&gt;=3.5,"A-",IF('Data Source'!AF555&gt;=3,"B",IF('Data Source'!AF555&gt;=2,"C",IF('Data Source'!AF555&gt;=1,"D","F")))))),"")</f>
        <v/>
      </c>
      <c r="O555" s="3">
        <f>IF(AND('Data Source'!B555&lt;&gt;"",'Data Source'!S555="A+"),IF('Data Source'!AG555&gt;=5,"A+",IF('Data Source'!AG555&gt;=4,"A",IF('Data Source'!AG555&gt;=3.5,"A-",IF('Data Source'!AG555&gt;=3,"B",IF('Data Source'!AG555&gt;=2,"C",IF('Data Source'!AG555&gt;=1,"D","F")))))),"")</f>
        <v/>
      </c>
      <c r="P555" s="5">
        <f>IF(AND('Data Source'!B555&lt;&gt;"",'Data Source'!S555="A+"),'Data Source'!R555,"")</f>
        <v/>
      </c>
      <c r="Q555" s="3">
        <f>IF(AND('Data Source'!B555&lt;&gt;"",'Data Source'!S555="A+"),'Data Source'!S555,"")</f>
        <v/>
      </c>
    </row>
    <row r="556">
      <c r="A556" s="3">
        <f>IF(AND('Data Source'!B556&lt;&gt;"",'Data Source'!S556="A+"),COUNTIF('Data Source'!$S$3:S556,"A+"),"")</f>
        <v/>
      </c>
      <c r="B556">
        <f>IF(AND('Data Source'!B556&lt;&gt;"",'Data Source'!S556="A+"),'Data Source'!B556,"")</f>
        <v/>
      </c>
      <c r="C556" s="3">
        <f>IF(AND('Data Source'!B556&lt;&gt;"",'Data Source'!S556="A+"),IF('Data Source'!U556&gt;=5,"A+",IF('Data Source'!U556&gt;=4,"A",IF('Data Source'!U556&gt;=3.5,"A-",IF('Data Source'!U556&gt;=3,"B",IF('Data Source'!U556&gt;=2,"C",IF('Data Source'!U556&gt;=1,"D","F")))))),"")</f>
        <v/>
      </c>
      <c r="D556" s="3">
        <f>IF(AND('Data Source'!B556&lt;&gt;"",'Data Source'!S556="A+"),IF('Data Source'!V556&gt;=5,"A+",IF('Data Source'!V556&gt;=4,"A",IF('Data Source'!V556&gt;=3.5,"A-",IF('Data Source'!V556&gt;=3,"B",IF('Data Source'!V556&gt;=2,"C",IF('Data Source'!V556&gt;=1,"D","F")))))),"")</f>
        <v/>
      </c>
      <c r="E556" s="3">
        <f>IF(AND('Data Source'!B556&lt;&gt;"",'Data Source'!S556="A+"),IF('Data Source'!W556&gt;=5,"A+",IF('Data Source'!W556&gt;=4,"A",IF('Data Source'!W556&gt;=3.5,"A-",IF('Data Source'!W556&gt;=3,"B",IF('Data Source'!W556&gt;=2,"C",IF('Data Source'!W556&gt;=1,"D","F")))))),"")</f>
        <v/>
      </c>
      <c r="F556" s="3">
        <f>IF(AND('Data Source'!B556&lt;&gt;"",'Data Source'!S556="A+"),IF('Data Source'!X556&gt;=5,"A+",IF('Data Source'!X556&gt;=4,"A",IF('Data Source'!X556&gt;=3.5,"A-",IF('Data Source'!X556&gt;=3,"B",IF('Data Source'!X556&gt;=2,"C",IF('Data Source'!X556&gt;=1,"D","F")))))),"")</f>
        <v/>
      </c>
      <c r="G556" s="3">
        <f>IF(AND('Data Source'!B556&lt;&gt;"",'Data Source'!S556="A+"),IF('Data Source'!Y556&gt;=5,"A+",IF('Data Source'!Y556&gt;=4,"A",IF('Data Source'!Y556&gt;=3.5,"A-",IF('Data Source'!Y556&gt;=3,"B",IF('Data Source'!Y556&gt;=2,"C",IF('Data Source'!Y556&gt;=1,"D","F")))))),"")</f>
        <v/>
      </c>
      <c r="H556" s="3">
        <f>IF(AND('Data Source'!B556&lt;&gt;"",'Data Source'!S556="A+"),IF('Data Source'!Z556&gt;=5,"A+",IF('Data Source'!Z556&gt;=4,"A",IF('Data Source'!Z556&gt;=3.5,"A-",IF('Data Source'!Z556&gt;=3,"B",IF('Data Source'!Z556&gt;=2,"C",IF('Data Source'!Z556&gt;=1,"D","F")))))),"")</f>
        <v/>
      </c>
      <c r="I556" s="3">
        <f>IF(AND('Data Source'!B556&lt;&gt;"",'Data Source'!S556="A+"),IF('Data Source'!AA556&gt;=5,"A+",IF('Data Source'!AA556&gt;=4,"A",IF('Data Source'!AA556&gt;=3.5,"A-",IF('Data Source'!AA556&gt;=3,"B",IF('Data Source'!AA556&gt;=2,"C",IF('Data Source'!AA556&gt;=1,"D","F")))))),"")</f>
        <v/>
      </c>
      <c r="J556" s="3">
        <f>IF(AND('Data Source'!B556&lt;&gt;"",'Data Source'!S556="A+"),IF('Data Source'!AB556&gt;=5,"A+",IF('Data Source'!AB556&gt;=4,"A",IF('Data Source'!AB556&gt;=3.5,"A-",IF('Data Source'!AB556&gt;=3,"B",IF('Data Source'!AB556&gt;=2,"C",IF('Data Source'!AB556&gt;=1,"D","F")))))),"")</f>
        <v/>
      </c>
      <c r="K556" s="3">
        <f>IF(AND('Data Source'!B556&lt;&gt;"",'Data Source'!S556="A+"),IF('Data Source'!AC556&gt;=5,"A+",IF('Data Source'!AC556&gt;=4,"A",IF('Data Source'!AC556&gt;=3.5,"A-",IF('Data Source'!AC556&gt;=3,"B",IF('Data Source'!AC556&gt;=2,"C",IF('Data Source'!AC556&gt;=1,"D","F")))))),"")</f>
        <v/>
      </c>
      <c r="L556" s="3">
        <f>IF(AND('Data Source'!B556&lt;&gt;"",'Data Source'!S556="A+"),IF('Data Source'!AD556&gt;=5,"A+",IF('Data Source'!AD556&gt;=4,"A",IF('Data Source'!AD556&gt;=3.5,"A-",IF('Data Source'!AD556&gt;=3,"B",IF('Data Source'!AD556&gt;=2,"C",IF('Data Source'!AD556&gt;=1,"D","F")))))),"")</f>
        <v/>
      </c>
      <c r="M556" s="3">
        <f>IF(AND('Data Source'!B556&lt;&gt;"",'Data Source'!S556="A+"),IF('Data Source'!AE556&gt;=5,"A+",IF('Data Source'!AE556&gt;=4,"A",IF('Data Source'!AE556&gt;=3.5,"A-",IF('Data Source'!AE556&gt;=3,"B",IF('Data Source'!AE556&gt;=2,"C",IF('Data Source'!AE556&gt;=1,"D","F")))))),"")</f>
        <v/>
      </c>
      <c r="N556" s="3">
        <f>IF(AND('Data Source'!B556&lt;&gt;"",'Data Source'!S556="A+"),IF('Data Source'!AF556&gt;=5,"A+",IF('Data Source'!AF556&gt;=4,"A",IF('Data Source'!AF556&gt;=3.5,"A-",IF('Data Source'!AF556&gt;=3,"B",IF('Data Source'!AF556&gt;=2,"C",IF('Data Source'!AF556&gt;=1,"D","F")))))),"")</f>
        <v/>
      </c>
      <c r="O556" s="3">
        <f>IF(AND('Data Source'!B556&lt;&gt;"",'Data Source'!S556="A+"),IF('Data Source'!AG556&gt;=5,"A+",IF('Data Source'!AG556&gt;=4,"A",IF('Data Source'!AG556&gt;=3.5,"A-",IF('Data Source'!AG556&gt;=3,"B",IF('Data Source'!AG556&gt;=2,"C",IF('Data Source'!AG556&gt;=1,"D","F")))))),"")</f>
        <v/>
      </c>
      <c r="P556" s="5">
        <f>IF(AND('Data Source'!B556&lt;&gt;"",'Data Source'!S556="A+"),'Data Source'!R556,"")</f>
        <v/>
      </c>
      <c r="Q556" s="3">
        <f>IF(AND('Data Source'!B556&lt;&gt;"",'Data Source'!S556="A+"),'Data Source'!S556,"")</f>
        <v/>
      </c>
    </row>
    <row r="557">
      <c r="A557" s="3">
        <f>IF(AND('Data Source'!B557&lt;&gt;"",'Data Source'!S557="A+"),COUNTIF('Data Source'!$S$3:S557,"A+"),"")</f>
        <v/>
      </c>
      <c r="B557">
        <f>IF(AND('Data Source'!B557&lt;&gt;"",'Data Source'!S557="A+"),'Data Source'!B557,"")</f>
        <v/>
      </c>
      <c r="C557" s="3">
        <f>IF(AND('Data Source'!B557&lt;&gt;"",'Data Source'!S557="A+"),IF('Data Source'!U557&gt;=5,"A+",IF('Data Source'!U557&gt;=4,"A",IF('Data Source'!U557&gt;=3.5,"A-",IF('Data Source'!U557&gt;=3,"B",IF('Data Source'!U557&gt;=2,"C",IF('Data Source'!U557&gt;=1,"D","F")))))),"")</f>
        <v/>
      </c>
      <c r="D557" s="3">
        <f>IF(AND('Data Source'!B557&lt;&gt;"",'Data Source'!S557="A+"),IF('Data Source'!V557&gt;=5,"A+",IF('Data Source'!V557&gt;=4,"A",IF('Data Source'!V557&gt;=3.5,"A-",IF('Data Source'!V557&gt;=3,"B",IF('Data Source'!V557&gt;=2,"C",IF('Data Source'!V557&gt;=1,"D","F")))))),"")</f>
        <v/>
      </c>
      <c r="E557" s="3">
        <f>IF(AND('Data Source'!B557&lt;&gt;"",'Data Source'!S557="A+"),IF('Data Source'!W557&gt;=5,"A+",IF('Data Source'!W557&gt;=4,"A",IF('Data Source'!W557&gt;=3.5,"A-",IF('Data Source'!W557&gt;=3,"B",IF('Data Source'!W557&gt;=2,"C",IF('Data Source'!W557&gt;=1,"D","F")))))),"")</f>
        <v/>
      </c>
      <c r="F557" s="3">
        <f>IF(AND('Data Source'!B557&lt;&gt;"",'Data Source'!S557="A+"),IF('Data Source'!X557&gt;=5,"A+",IF('Data Source'!X557&gt;=4,"A",IF('Data Source'!X557&gt;=3.5,"A-",IF('Data Source'!X557&gt;=3,"B",IF('Data Source'!X557&gt;=2,"C",IF('Data Source'!X557&gt;=1,"D","F")))))),"")</f>
        <v/>
      </c>
      <c r="G557" s="3">
        <f>IF(AND('Data Source'!B557&lt;&gt;"",'Data Source'!S557="A+"),IF('Data Source'!Y557&gt;=5,"A+",IF('Data Source'!Y557&gt;=4,"A",IF('Data Source'!Y557&gt;=3.5,"A-",IF('Data Source'!Y557&gt;=3,"B",IF('Data Source'!Y557&gt;=2,"C",IF('Data Source'!Y557&gt;=1,"D","F")))))),"")</f>
        <v/>
      </c>
      <c r="H557" s="3">
        <f>IF(AND('Data Source'!B557&lt;&gt;"",'Data Source'!S557="A+"),IF('Data Source'!Z557&gt;=5,"A+",IF('Data Source'!Z557&gt;=4,"A",IF('Data Source'!Z557&gt;=3.5,"A-",IF('Data Source'!Z557&gt;=3,"B",IF('Data Source'!Z557&gt;=2,"C",IF('Data Source'!Z557&gt;=1,"D","F")))))),"")</f>
        <v/>
      </c>
      <c r="I557" s="3">
        <f>IF(AND('Data Source'!B557&lt;&gt;"",'Data Source'!S557="A+"),IF('Data Source'!AA557&gt;=5,"A+",IF('Data Source'!AA557&gt;=4,"A",IF('Data Source'!AA557&gt;=3.5,"A-",IF('Data Source'!AA557&gt;=3,"B",IF('Data Source'!AA557&gt;=2,"C",IF('Data Source'!AA557&gt;=1,"D","F")))))),"")</f>
        <v/>
      </c>
      <c r="J557" s="3">
        <f>IF(AND('Data Source'!B557&lt;&gt;"",'Data Source'!S557="A+"),IF('Data Source'!AB557&gt;=5,"A+",IF('Data Source'!AB557&gt;=4,"A",IF('Data Source'!AB557&gt;=3.5,"A-",IF('Data Source'!AB557&gt;=3,"B",IF('Data Source'!AB557&gt;=2,"C",IF('Data Source'!AB557&gt;=1,"D","F")))))),"")</f>
        <v/>
      </c>
      <c r="K557" s="3">
        <f>IF(AND('Data Source'!B557&lt;&gt;"",'Data Source'!S557="A+"),IF('Data Source'!AC557&gt;=5,"A+",IF('Data Source'!AC557&gt;=4,"A",IF('Data Source'!AC557&gt;=3.5,"A-",IF('Data Source'!AC557&gt;=3,"B",IF('Data Source'!AC557&gt;=2,"C",IF('Data Source'!AC557&gt;=1,"D","F")))))),"")</f>
        <v/>
      </c>
      <c r="L557" s="3">
        <f>IF(AND('Data Source'!B557&lt;&gt;"",'Data Source'!S557="A+"),IF('Data Source'!AD557&gt;=5,"A+",IF('Data Source'!AD557&gt;=4,"A",IF('Data Source'!AD557&gt;=3.5,"A-",IF('Data Source'!AD557&gt;=3,"B",IF('Data Source'!AD557&gt;=2,"C",IF('Data Source'!AD557&gt;=1,"D","F")))))),"")</f>
        <v/>
      </c>
      <c r="M557" s="3">
        <f>IF(AND('Data Source'!B557&lt;&gt;"",'Data Source'!S557="A+"),IF('Data Source'!AE557&gt;=5,"A+",IF('Data Source'!AE557&gt;=4,"A",IF('Data Source'!AE557&gt;=3.5,"A-",IF('Data Source'!AE557&gt;=3,"B",IF('Data Source'!AE557&gt;=2,"C",IF('Data Source'!AE557&gt;=1,"D","F")))))),"")</f>
        <v/>
      </c>
      <c r="N557" s="3">
        <f>IF(AND('Data Source'!B557&lt;&gt;"",'Data Source'!S557="A+"),IF('Data Source'!AF557&gt;=5,"A+",IF('Data Source'!AF557&gt;=4,"A",IF('Data Source'!AF557&gt;=3.5,"A-",IF('Data Source'!AF557&gt;=3,"B",IF('Data Source'!AF557&gt;=2,"C",IF('Data Source'!AF557&gt;=1,"D","F")))))),"")</f>
        <v/>
      </c>
      <c r="O557" s="3">
        <f>IF(AND('Data Source'!B557&lt;&gt;"",'Data Source'!S557="A+"),IF('Data Source'!AG557&gt;=5,"A+",IF('Data Source'!AG557&gt;=4,"A",IF('Data Source'!AG557&gt;=3.5,"A-",IF('Data Source'!AG557&gt;=3,"B",IF('Data Source'!AG557&gt;=2,"C",IF('Data Source'!AG557&gt;=1,"D","F")))))),"")</f>
        <v/>
      </c>
      <c r="P557" s="5">
        <f>IF(AND('Data Source'!B557&lt;&gt;"",'Data Source'!S557="A+"),'Data Source'!R557,"")</f>
        <v/>
      </c>
      <c r="Q557" s="3">
        <f>IF(AND('Data Source'!B557&lt;&gt;"",'Data Source'!S557="A+"),'Data Source'!S557,"")</f>
        <v/>
      </c>
    </row>
    <row r="558">
      <c r="A558" s="3">
        <f>IF(AND('Data Source'!B558&lt;&gt;"",'Data Source'!S558="A+"),COUNTIF('Data Source'!$S$3:S558,"A+"),"")</f>
        <v/>
      </c>
      <c r="B558">
        <f>IF(AND('Data Source'!B558&lt;&gt;"",'Data Source'!S558="A+"),'Data Source'!B558,"")</f>
        <v/>
      </c>
      <c r="C558" s="3">
        <f>IF(AND('Data Source'!B558&lt;&gt;"",'Data Source'!S558="A+"),IF('Data Source'!U558&gt;=5,"A+",IF('Data Source'!U558&gt;=4,"A",IF('Data Source'!U558&gt;=3.5,"A-",IF('Data Source'!U558&gt;=3,"B",IF('Data Source'!U558&gt;=2,"C",IF('Data Source'!U558&gt;=1,"D","F")))))),"")</f>
        <v/>
      </c>
      <c r="D558" s="3">
        <f>IF(AND('Data Source'!B558&lt;&gt;"",'Data Source'!S558="A+"),IF('Data Source'!V558&gt;=5,"A+",IF('Data Source'!V558&gt;=4,"A",IF('Data Source'!V558&gt;=3.5,"A-",IF('Data Source'!V558&gt;=3,"B",IF('Data Source'!V558&gt;=2,"C",IF('Data Source'!V558&gt;=1,"D","F")))))),"")</f>
        <v/>
      </c>
      <c r="E558" s="3">
        <f>IF(AND('Data Source'!B558&lt;&gt;"",'Data Source'!S558="A+"),IF('Data Source'!W558&gt;=5,"A+",IF('Data Source'!W558&gt;=4,"A",IF('Data Source'!W558&gt;=3.5,"A-",IF('Data Source'!W558&gt;=3,"B",IF('Data Source'!W558&gt;=2,"C",IF('Data Source'!W558&gt;=1,"D","F")))))),"")</f>
        <v/>
      </c>
      <c r="F558" s="3">
        <f>IF(AND('Data Source'!B558&lt;&gt;"",'Data Source'!S558="A+"),IF('Data Source'!X558&gt;=5,"A+",IF('Data Source'!X558&gt;=4,"A",IF('Data Source'!X558&gt;=3.5,"A-",IF('Data Source'!X558&gt;=3,"B",IF('Data Source'!X558&gt;=2,"C",IF('Data Source'!X558&gt;=1,"D","F")))))),"")</f>
        <v/>
      </c>
      <c r="G558" s="3">
        <f>IF(AND('Data Source'!B558&lt;&gt;"",'Data Source'!S558="A+"),IF('Data Source'!Y558&gt;=5,"A+",IF('Data Source'!Y558&gt;=4,"A",IF('Data Source'!Y558&gt;=3.5,"A-",IF('Data Source'!Y558&gt;=3,"B",IF('Data Source'!Y558&gt;=2,"C",IF('Data Source'!Y558&gt;=1,"D","F")))))),"")</f>
        <v/>
      </c>
      <c r="H558" s="3">
        <f>IF(AND('Data Source'!B558&lt;&gt;"",'Data Source'!S558="A+"),IF('Data Source'!Z558&gt;=5,"A+",IF('Data Source'!Z558&gt;=4,"A",IF('Data Source'!Z558&gt;=3.5,"A-",IF('Data Source'!Z558&gt;=3,"B",IF('Data Source'!Z558&gt;=2,"C",IF('Data Source'!Z558&gt;=1,"D","F")))))),"")</f>
        <v/>
      </c>
      <c r="I558" s="3">
        <f>IF(AND('Data Source'!B558&lt;&gt;"",'Data Source'!S558="A+"),IF('Data Source'!AA558&gt;=5,"A+",IF('Data Source'!AA558&gt;=4,"A",IF('Data Source'!AA558&gt;=3.5,"A-",IF('Data Source'!AA558&gt;=3,"B",IF('Data Source'!AA558&gt;=2,"C",IF('Data Source'!AA558&gt;=1,"D","F")))))),"")</f>
        <v/>
      </c>
      <c r="J558" s="3">
        <f>IF(AND('Data Source'!B558&lt;&gt;"",'Data Source'!S558="A+"),IF('Data Source'!AB558&gt;=5,"A+",IF('Data Source'!AB558&gt;=4,"A",IF('Data Source'!AB558&gt;=3.5,"A-",IF('Data Source'!AB558&gt;=3,"B",IF('Data Source'!AB558&gt;=2,"C",IF('Data Source'!AB558&gt;=1,"D","F")))))),"")</f>
        <v/>
      </c>
      <c r="K558" s="3">
        <f>IF(AND('Data Source'!B558&lt;&gt;"",'Data Source'!S558="A+"),IF('Data Source'!AC558&gt;=5,"A+",IF('Data Source'!AC558&gt;=4,"A",IF('Data Source'!AC558&gt;=3.5,"A-",IF('Data Source'!AC558&gt;=3,"B",IF('Data Source'!AC558&gt;=2,"C",IF('Data Source'!AC558&gt;=1,"D","F")))))),"")</f>
        <v/>
      </c>
      <c r="L558" s="3">
        <f>IF(AND('Data Source'!B558&lt;&gt;"",'Data Source'!S558="A+"),IF('Data Source'!AD558&gt;=5,"A+",IF('Data Source'!AD558&gt;=4,"A",IF('Data Source'!AD558&gt;=3.5,"A-",IF('Data Source'!AD558&gt;=3,"B",IF('Data Source'!AD558&gt;=2,"C",IF('Data Source'!AD558&gt;=1,"D","F")))))),"")</f>
        <v/>
      </c>
      <c r="M558" s="3">
        <f>IF(AND('Data Source'!B558&lt;&gt;"",'Data Source'!S558="A+"),IF('Data Source'!AE558&gt;=5,"A+",IF('Data Source'!AE558&gt;=4,"A",IF('Data Source'!AE558&gt;=3.5,"A-",IF('Data Source'!AE558&gt;=3,"B",IF('Data Source'!AE558&gt;=2,"C",IF('Data Source'!AE558&gt;=1,"D","F")))))),"")</f>
        <v/>
      </c>
      <c r="N558" s="3">
        <f>IF(AND('Data Source'!B558&lt;&gt;"",'Data Source'!S558="A+"),IF('Data Source'!AF558&gt;=5,"A+",IF('Data Source'!AF558&gt;=4,"A",IF('Data Source'!AF558&gt;=3.5,"A-",IF('Data Source'!AF558&gt;=3,"B",IF('Data Source'!AF558&gt;=2,"C",IF('Data Source'!AF558&gt;=1,"D","F")))))),"")</f>
        <v/>
      </c>
      <c r="O558" s="3">
        <f>IF(AND('Data Source'!B558&lt;&gt;"",'Data Source'!S558="A+"),IF('Data Source'!AG558&gt;=5,"A+",IF('Data Source'!AG558&gt;=4,"A",IF('Data Source'!AG558&gt;=3.5,"A-",IF('Data Source'!AG558&gt;=3,"B",IF('Data Source'!AG558&gt;=2,"C",IF('Data Source'!AG558&gt;=1,"D","F")))))),"")</f>
        <v/>
      </c>
      <c r="P558" s="5">
        <f>IF(AND('Data Source'!B558&lt;&gt;"",'Data Source'!S558="A+"),'Data Source'!R558,"")</f>
        <v/>
      </c>
      <c r="Q558" s="3">
        <f>IF(AND('Data Source'!B558&lt;&gt;"",'Data Source'!S558="A+"),'Data Source'!S558,"")</f>
        <v/>
      </c>
    </row>
    <row r="559">
      <c r="A559" s="3">
        <f>IF(AND('Data Source'!B559&lt;&gt;"",'Data Source'!S559="A+"),COUNTIF('Data Source'!$S$3:S559,"A+"),"")</f>
        <v/>
      </c>
      <c r="B559">
        <f>IF(AND('Data Source'!B559&lt;&gt;"",'Data Source'!S559="A+"),'Data Source'!B559,"")</f>
        <v/>
      </c>
      <c r="C559" s="3">
        <f>IF(AND('Data Source'!B559&lt;&gt;"",'Data Source'!S559="A+"),IF('Data Source'!U559&gt;=5,"A+",IF('Data Source'!U559&gt;=4,"A",IF('Data Source'!U559&gt;=3.5,"A-",IF('Data Source'!U559&gt;=3,"B",IF('Data Source'!U559&gt;=2,"C",IF('Data Source'!U559&gt;=1,"D","F")))))),"")</f>
        <v/>
      </c>
      <c r="D559" s="3">
        <f>IF(AND('Data Source'!B559&lt;&gt;"",'Data Source'!S559="A+"),IF('Data Source'!V559&gt;=5,"A+",IF('Data Source'!V559&gt;=4,"A",IF('Data Source'!V559&gt;=3.5,"A-",IF('Data Source'!V559&gt;=3,"B",IF('Data Source'!V559&gt;=2,"C",IF('Data Source'!V559&gt;=1,"D","F")))))),"")</f>
        <v/>
      </c>
      <c r="E559" s="3">
        <f>IF(AND('Data Source'!B559&lt;&gt;"",'Data Source'!S559="A+"),IF('Data Source'!W559&gt;=5,"A+",IF('Data Source'!W559&gt;=4,"A",IF('Data Source'!W559&gt;=3.5,"A-",IF('Data Source'!W559&gt;=3,"B",IF('Data Source'!W559&gt;=2,"C",IF('Data Source'!W559&gt;=1,"D","F")))))),"")</f>
        <v/>
      </c>
      <c r="F559" s="3">
        <f>IF(AND('Data Source'!B559&lt;&gt;"",'Data Source'!S559="A+"),IF('Data Source'!X559&gt;=5,"A+",IF('Data Source'!X559&gt;=4,"A",IF('Data Source'!X559&gt;=3.5,"A-",IF('Data Source'!X559&gt;=3,"B",IF('Data Source'!X559&gt;=2,"C",IF('Data Source'!X559&gt;=1,"D","F")))))),"")</f>
        <v/>
      </c>
      <c r="G559" s="3">
        <f>IF(AND('Data Source'!B559&lt;&gt;"",'Data Source'!S559="A+"),IF('Data Source'!Y559&gt;=5,"A+",IF('Data Source'!Y559&gt;=4,"A",IF('Data Source'!Y559&gt;=3.5,"A-",IF('Data Source'!Y559&gt;=3,"B",IF('Data Source'!Y559&gt;=2,"C",IF('Data Source'!Y559&gt;=1,"D","F")))))),"")</f>
        <v/>
      </c>
      <c r="H559" s="3">
        <f>IF(AND('Data Source'!B559&lt;&gt;"",'Data Source'!S559="A+"),IF('Data Source'!Z559&gt;=5,"A+",IF('Data Source'!Z559&gt;=4,"A",IF('Data Source'!Z559&gt;=3.5,"A-",IF('Data Source'!Z559&gt;=3,"B",IF('Data Source'!Z559&gt;=2,"C",IF('Data Source'!Z559&gt;=1,"D","F")))))),"")</f>
        <v/>
      </c>
      <c r="I559" s="3">
        <f>IF(AND('Data Source'!B559&lt;&gt;"",'Data Source'!S559="A+"),IF('Data Source'!AA559&gt;=5,"A+",IF('Data Source'!AA559&gt;=4,"A",IF('Data Source'!AA559&gt;=3.5,"A-",IF('Data Source'!AA559&gt;=3,"B",IF('Data Source'!AA559&gt;=2,"C",IF('Data Source'!AA559&gt;=1,"D","F")))))),"")</f>
        <v/>
      </c>
      <c r="J559" s="3">
        <f>IF(AND('Data Source'!B559&lt;&gt;"",'Data Source'!S559="A+"),IF('Data Source'!AB559&gt;=5,"A+",IF('Data Source'!AB559&gt;=4,"A",IF('Data Source'!AB559&gt;=3.5,"A-",IF('Data Source'!AB559&gt;=3,"B",IF('Data Source'!AB559&gt;=2,"C",IF('Data Source'!AB559&gt;=1,"D","F")))))),"")</f>
        <v/>
      </c>
      <c r="K559" s="3">
        <f>IF(AND('Data Source'!B559&lt;&gt;"",'Data Source'!S559="A+"),IF('Data Source'!AC559&gt;=5,"A+",IF('Data Source'!AC559&gt;=4,"A",IF('Data Source'!AC559&gt;=3.5,"A-",IF('Data Source'!AC559&gt;=3,"B",IF('Data Source'!AC559&gt;=2,"C",IF('Data Source'!AC559&gt;=1,"D","F")))))),"")</f>
        <v/>
      </c>
      <c r="L559" s="3">
        <f>IF(AND('Data Source'!B559&lt;&gt;"",'Data Source'!S559="A+"),IF('Data Source'!AD559&gt;=5,"A+",IF('Data Source'!AD559&gt;=4,"A",IF('Data Source'!AD559&gt;=3.5,"A-",IF('Data Source'!AD559&gt;=3,"B",IF('Data Source'!AD559&gt;=2,"C",IF('Data Source'!AD559&gt;=1,"D","F")))))),"")</f>
        <v/>
      </c>
      <c r="M559" s="3">
        <f>IF(AND('Data Source'!B559&lt;&gt;"",'Data Source'!S559="A+"),IF('Data Source'!AE559&gt;=5,"A+",IF('Data Source'!AE559&gt;=4,"A",IF('Data Source'!AE559&gt;=3.5,"A-",IF('Data Source'!AE559&gt;=3,"B",IF('Data Source'!AE559&gt;=2,"C",IF('Data Source'!AE559&gt;=1,"D","F")))))),"")</f>
        <v/>
      </c>
      <c r="N559" s="3">
        <f>IF(AND('Data Source'!B559&lt;&gt;"",'Data Source'!S559="A+"),IF('Data Source'!AF559&gt;=5,"A+",IF('Data Source'!AF559&gt;=4,"A",IF('Data Source'!AF559&gt;=3.5,"A-",IF('Data Source'!AF559&gt;=3,"B",IF('Data Source'!AF559&gt;=2,"C",IF('Data Source'!AF559&gt;=1,"D","F")))))),"")</f>
        <v/>
      </c>
      <c r="O559" s="3">
        <f>IF(AND('Data Source'!B559&lt;&gt;"",'Data Source'!S559="A+"),IF('Data Source'!AG559&gt;=5,"A+",IF('Data Source'!AG559&gt;=4,"A",IF('Data Source'!AG559&gt;=3.5,"A-",IF('Data Source'!AG559&gt;=3,"B",IF('Data Source'!AG559&gt;=2,"C",IF('Data Source'!AG559&gt;=1,"D","F")))))),"")</f>
        <v/>
      </c>
      <c r="P559" s="5">
        <f>IF(AND('Data Source'!B559&lt;&gt;"",'Data Source'!S559="A+"),'Data Source'!R559,"")</f>
        <v/>
      </c>
      <c r="Q559" s="3">
        <f>IF(AND('Data Source'!B559&lt;&gt;"",'Data Source'!S559="A+"),'Data Source'!S559,"")</f>
        <v/>
      </c>
    </row>
    <row r="560">
      <c r="A560" s="3">
        <f>IF(AND('Data Source'!B560&lt;&gt;"",'Data Source'!S560="A+"),COUNTIF('Data Source'!$S$3:S560,"A+"),"")</f>
        <v/>
      </c>
      <c r="B560">
        <f>IF(AND('Data Source'!B560&lt;&gt;"",'Data Source'!S560="A+"),'Data Source'!B560,"")</f>
        <v/>
      </c>
      <c r="C560" s="3">
        <f>IF(AND('Data Source'!B560&lt;&gt;"",'Data Source'!S560="A+"),IF('Data Source'!U560&gt;=5,"A+",IF('Data Source'!U560&gt;=4,"A",IF('Data Source'!U560&gt;=3.5,"A-",IF('Data Source'!U560&gt;=3,"B",IF('Data Source'!U560&gt;=2,"C",IF('Data Source'!U560&gt;=1,"D","F")))))),"")</f>
        <v/>
      </c>
      <c r="D560" s="3">
        <f>IF(AND('Data Source'!B560&lt;&gt;"",'Data Source'!S560="A+"),IF('Data Source'!V560&gt;=5,"A+",IF('Data Source'!V560&gt;=4,"A",IF('Data Source'!V560&gt;=3.5,"A-",IF('Data Source'!V560&gt;=3,"B",IF('Data Source'!V560&gt;=2,"C",IF('Data Source'!V560&gt;=1,"D","F")))))),"")</f>
        <v/>
      </c>
      <c r="E560" s="3">
        <f>IF(AND('Data Source'!B560&lt;&gt;"",'Data Source'!S560="A+"),IF('Data Source'!W560&gt;=5,"A+",IF('Data Source'!W560&gt;=4,"A",IF('Data Source'!W560&gt;=3.5,"A-",IF('Data Source'!W560&gt;=3,"B",IF('Data Source'!W560&gt;=2,"C",IF('Data Source'!W560&gt;=1,"D","F")))))),"")</f>
        <v/>
      </c>
      <c r="F560" s="3">
        <f>IF(AND('Data Source'!B560&lt;&gt;"",'Data Source'!S560="A+"),IF('Data Source'!X560&gt;=5,"A+",IF('Data Source'!X560&gt;=4,"A",IF('Data Source'!X560&gt;=3.5,"A-",IF('Data Source'!X560&gt;=3,"B",IF('Data Source'!X560&gt;=2,"C",IF('Data Source'!X560&gt;=1,"D","F")))))),"")</f>
        <v/>
      </c>
      <c r="G560" s="3">
        <f>IF(AND('Data Source'!B560&lt;&gt;"",'Data Source'!S560="A+"),IF('Data Source'!Y560&gt;=5,"A+",IF('Data Source'!Y560&gt;=4,"A",IF('Data Source'!Y560&gt;=3.5,"A-",IF('Data Source'!Y560&gt;=3,"B",IF('Data Source'!Y560&gt;=2,"C",IF('Data Source'!Y560&gt;=1,"D","F")))))),"")</f>
        <v/>
      </c>
      <c r="H560" s="3">
        <f>IF(AND('Data Source'!B560&lt;&gt;"",'Data Source'!S560="A+"),IF('Data Source'!Z560&gt;=5,"A+",IF('Data Source'!Z560&gt;=4,"A",IF('Data Source'!Z560&gt;=3.5,"A-",IF('Data Source'!Z560&gt;=3,"B",IF('Data Source'!Z560&gt;=2,"C",IF('Data Source'!Z560&gt;=1,"D","F")))))),"")</f>
        <v/>
      </c>
      <c r="I560" s="3">
        <f>IF(AND('Data Source'!B560&lt;&gt;"",'Data Source'!S560="A+"),IF('Data Source'!AA560&gt;=5,"A+",IF('Data Source'!AA560&gt;=4,"A",IF('Data Source'!AA560&gt;=3.5,"A-",IF('Data Source'!AA560&gt;=3,"B",IF('Data Source'!AA560&gt;=2,"C",IF('Data Source'!AA560&gt;=1,"D","F")))))),"")</f>
        <v/>
      </c>
      <c r="J560" s="3">
        <f>IF(AND('Data Source'!B560&lt;&gt;"",'Data Source'!S560="A+"),IF('Data Source'!AB560&gt;=5,"A+",IF('Data Source'!AB560&gt;=4,"A",IF('Data Source'!AB560&gt;=3.5,"A-",IF('Data Source'!AB560&gt;=3,"B",IF('Data Source'!AB560&gt;=2,"C",IF('Data Source'!AB560&gt;=1,"D","F")))))),"")</f>
        <v/>
      </c>
      <c r="K560" s="3">
        <f>IF(AND('Data Source'!B560&lt;&gt;"",'Data Source'!S560="A+"),IF('Data Source'!AC560&gt;=5,"A+",IF('Data Source'!AC560&gt;=4,"A",IF('Data Source'!AC560&gt;=3.5,"A-",IF('Data Source'!AC560&gt;=3,"B",IF('Data Source'!AC560&gt;=2,"C",IF('Data Source'!AC560&gt;=1,"D","F")))))),"")</f>
        <v/>
      </c>
      <c r="L560" s="3">
        <f>IF(AND('Data Source'!B560&lt;&gt;"",'Data Source'!S560="A+"),IF('Data Source'!AD560&gt;=5,"A+",IF('Data Source'!AD560&gt;=4,"A",IF('Data Source'!AD560&gt;=3.5,"A-",IF('Data Source'!AD560&gt;=3,"B",IF('Data Source'!AD560&gt;=2,"C",IF('Data Source'!AD560&gt;=1,"D","F")))))),"")</f>
        <v/>
      </c>
      <c r="M560" s="3">
        <f>IF(AND('Data Source'!B560&lt;&gt;"",'Data Source'!S560="A+"),IF('Data Source'!AE560&gt;=5,"A+",IF('Data Source'!AE560&gt;=4,"A",IF('Data Source'!AE560&gt;=3.5,"A-",IF('Data Source'!AE560&gt;=3,"B",IF('Data Source'!AE560&gt;=2,"C",IF('Data Source'!AE560&gt;=1,"D","F")))))),"")</f>
        <v/>
      </c>
      <c r="N560" s="3">
        <f>IF(AND('Data Source'!B560&lt;&gt;"",'Data Source'!S560="A+"),IF('Data Source'!AF560&gt;=5,"A+",IF('Data Source'!AF560&gt;=4,"A",IF('Data Source'!AF560&gt;=3.5,"A-",IF('Data Source'!AF560&gt;=3,"B",IF('Data Source'!AF560&gt;=2,"C",IF('Data Source'!AF560&gt;=1,"D","F")))))),"")</f>
        <v/>
      </c>
      <c r="O560" s="3">
        <f>IF(AND('Data Source'!B560&lt;&gt;"",'Data Source'!S560="A+"),IF('Data Source'!AG560&gt;=5,"A+",IF('Data Source'!AG560&gt;=4,"A",IF('Data Source'!AG560&gt;=3.5,"A-",IF('Data Source'!AG560&gt;=3,"B",IF('Data Source'!AG560&gt;=2,"C",IF('Data Source'!AG560&gt;=1,"D","F")))))),"")</f>
        <v/>
      </c>
      <c r="P560" s="5">
        <f>IF(AND('Data Source'!B560&lt;&gt;"",'Data Source'!S560="A+"),'Data Source'!R560,"")</f>
        <v/>
      </c>
      <c r="Q560" s="3">
        <f>IF(AND('Data Source'!B560&lt;&gt;"",'Data Source'!S560="A+"),'Data Source'!S560,"")</f>
        <v/>
      </c>
    </row>
    <row r="561">
      <c r="A561" s="3">
        <f>IF(AND('Data Source'!B561&lt;&gt;"",'Data Source'!S561="A+"),COUNTIF('Data Source'!$S$3:S561,"A+"),"")</f>
        <v/>
      </c>
      <c r="B561">
        <f>IF(AND('Data Source'!B561&lt;&gt;"",'Data Source'!S561="A+"),'Data Source'!B561,"")</f>
        <v/>
      </c>
      <c r="C561" s="3">
        <f>IF(AND('Data Source'!B561&lt;&gt;"",'Data Source'!S561="A+"),IF('Data Source'!U561&gt;=5,"A+",IF('Data Source'!U561&gt;=4,"A",IF('Data Source'!U561&gt;=3.5,"A-",IF('Data Source'!U561&gt;=3,"B",IF('Data Source'!U561&gt;=2,"C",IF('Data Source'!U561&gt;=1,"D","F")))))),"")</f>
        <v/>
      </c>
      <c r="D561" s="3">
        <f>IF(AND('Data Source'!B561&lt;&gt;"",'Data Source'!S561="A+"),IF('Data Source'!V561&gt;=5,"A+",IF('Data Source'!V561&gt;=4,"A",IF('Data Source'!V561&gt;=3.5,"A-",IF('Data Source'!V561&gt;=3,"B",IF('Data Source'!V561&gt;=2,"C",IF('Data Source'!V561&gt;=1,"D","F")))))),"")</f>
        <v/>
      </c>
      <c r="E561" s="3">
        <f>IF(AND('Data Source'!B561&lt;&gt;"",'Data Source'!S561="A+"),IF('Data Source'!W561&gt;=5,"A+",IF('Data Source'!W561&gt;=4,"A",IF('Data Source'!W561&gt;=3.5,"A-",IF('Data Source'!W561&gt;=3,"B",IF('Data Source'!W561&gt;=2,"C",IF('Data Source'!W561&gt;=1,"D","F")))))),"")</f>
        <v/>
      </c>
      <c r="F561" s="3">
        <f>IF(AND('Data Source'!B561&lt;&gt;"",'Data Source'!S561="A+"),IF('Data Source'!X561&gt;=5,"A+",IF('Data Source'!X561&gt;=4,"A",IF('Data Source'!X561&gt;=3.5,"A-",IF('Data Source'!X561&gt;=3,"B",IF('Data Source'!X561&gt;=2,"C",IF('Data Source'!X561&gt;=1,"D","F")))))),"")</f>
        <v/>
      </c>
      <c r="G561" s="3">
        <f>IF(AND('Data Source'!B561&lt;&gt;"",'Data Source'!S561="A+"),IF('Data Source'!Y561&gt;=5,"A+",IF('Data Source'!Y561&gt;=4,"A",IF('Data Source'!Y561&gt;=3.5,"A-",IF('Data Source'!Y561&gt;=3,"B",IF('Data Source'!Y561&gt;=2,"C",IF('Data Source'!Y561&gt;=1,"D","F")))))),"")</f>
        <v/>
      </c>
      <c r="H561" s="3">
        <f>IF(AND('Data Source'!B561&lt;&gt;"",'Data Source'!S561="A+"),IF('Data Source'!Z561&gt;=5,"A+",IF('Data Source'!Z561&gt;=4,"A",IF('Data Source'!Z561&gt;=3.5,"A-",IF('Data Source'!Z561&gt;=3,"B",IF('Data Source'!Z561&gt;=2,"C",IF('Data Source'!Z561&gt;=1,"D","F")))))),"")</f>
        <v/>
      </c>
      <c r="I561" s="3">
        <f>IF(AND('Data Source'!B561&lt;&gt;"",'Data Source'!S561="A+"),IF('Data Source'!AA561&gt;=5,"A+",IF('Data Source'!AA561&gt;=4,"A",IF('Data Source'!AA561&gt;=3.5,"A-",IF('Data Source'!AA561&gt;=3,"B",IF('Data Source'!AA561&gt;=2,"C",IF('Data Source'!AA561&gt;=1,"D","F")))))),"")</f>
        <v/>
      </c>
      <c r="J561" s="3">
        <f>IF(AND('Data Source'!B561&lt;&gt;"",'Data Source'!S561="A+"),IF('Data Source'!AB561&gt;=5,"A+",IF('Data Source'!AB561&gt;=4,"A",IF('Data Source'!AB561&gt;=3.5,"A-",IF('Data Source'!AB561&gt;=3,"B",IF('Data Source'!AB561&gt;=2,"C",IF('Data Source'!AB561&gt;=1,"D","F")))))),"")</f>
        <v/>
      </c>
      <c r="K561" s="3">
        <f>IF(AND('Data Source'!B561&lt;&gt;"",'Data Source'!S561="A+"),IF('Data Source'!AC561&gt;=5,"A+",IF('Data Source'!AC561&gt;=4,"A",IF('Data Source'!AC561&gt;=3.5,"A-",IF('Data Source'!AC561&gt;=3,"B",IF('Data Source'!AC561&gt;=2,"C",IF('Data Source'!AC561&gt;=1,"D","F")))))),"")</f>
        <v/>
      </c>
      <c r="L561" s="3">
        <f>IF(AND('Data Source'!B561&lt;&gt;"",'Data Source'!S561="A+"),IF('Data Source'!AD561&gt;=5,"A+",IF('Data Source'!AD561&gt;=4,"A",IF('Data Source'!AD561&gt;=3.5,"A-",IF('Data Source'!AD561&gt;=3,"B",IF('Data Source'!AD561&gt;=2,"C",IF('Data Source'!AD561&gt;=1,"D","F")))))),"")</f>
        <v/>
      </c>
      <c r="M561" s="3">
        <f>IF(AND('Data Source'!B561&lt;&gt;"",'Data Source'!S561="A+"),IF('Data Source'!AE561&gt;=5,"A+",IF('Data Source'!AE561&gt;=4,"A",IF('Data Source'!AE561&gt;=3.5,"A-",IF('Data Source'!AE561&gt;=3,"B",IF('Data Source'!AE561&gt;=2,"C",IF('Data Source'!AE561&gt;=1,"D","F")))))),"")</f>
        <v/>
      </c>
      <c r="N561" s="3">
        <f>IF(AND('Data Source'!B561&lt;&gt;"",'Data Source'!S561="A+"),IF('Data Source'!AF561&gt;=5,"A+",IF('Data Source'!AF561&gt;=4,"A",IF('Data Source'!AF561&gt;=3.5,"A-",IF('Data Source'!AF561&gt;=3,"B",IF('Data Source'!AF561&gt;=2,"C",IF('Data Source'!AF561&gt;=1,"D","F")))))),"")</f>
        <v/>
      </c>
      <c r="O561" s="3">
        <f>IF(AND('Data Source'!B561&lt;&gt;"",'Data Source'!S561="A+"),IF('Data Source'!AG561&gt;=5,"A+",IF('Data Source'!AG561&gt;=4,"A",IF('Data Source'!AG561&gt;=3.5,"A-",IF('Data Source'!AG561&gt;=3,"B",IF('Data Source'!AG561&gt;=2,"C",IF('Data Source'!AG561&gt;=1,"D","F")))))),"")</f>
        <v/>
      </c>
      <c r="P561" s="5">
        <f>IF(AND('Data Source'!B561&lt;&gt;"",'Data Source'!S561="A+"),'Data Source'!R561,"")</f>
        <v/>
      </c>
      <c r="Q561" s="3">
        <f>IF(AND('Data Source'!B561&lt;&gt;"",'Data Source'!S561="A+"),'Data Source'!S561,"")</f>
        <v/>
      </c>
    </row>
    <row r="562">
      <c r="A562" s="3">
        <f>IF(AND('Data Source'!B562&lt;&gt;"",'Data Source'!S562="A+"),COUNTIF('Data Source'!$S$3:S562,"A+"),"")</f>
        <v/>
      </c>
      <c r="B562">
        <f>IF(AND('Data Source'!B562&lt;&gt;"",'Data Source'!S562="A+"),'Data Source'!B562,"")</f>
        <v/>
      </c>
      <c r="C562" s="3">
        <f>IF(AND('Data Source'!B562&lt;&gt;"",'Data Source'!S562="A+"),IF('Data Source'!U562&gt;=5,"A+",IF('Data Source'!U562&gt;=4,"A",IF('Data Source'!U562&gt;=3.5,"A-",IF('Data Source'!U562&gt;=3,"B",IF('Data Source'!U562&gt;=2,"C",IF('Data Source'!U562&gt;=1,"D","F")))))),"")</f>
        <v/>
      </c>
      <c r="D562" s="3">
        <f>IF(AND('Data Source'!B562&lt;&gt;"",'Data Source'!S562="A+"),IF('Data Source'!V562&gt;=5,"A+",IF('Data Source'!V562&gt;=4,"A",IF('Data Source'!V562&gt;=3.5,"A-",IF('Data Source'!V562&gt;=3,"B",IF('Data Source'!V562&gt;=2,"C",IF('Data Source'!V562&gt;=1,"D","F")))))),"")</f>
        <v/>
      </c>
      <c r="E562" s="3">
        <f>IF(AND('Data Source'!B562&lt;&gt;"",'Data Source'!S562="A+"),IF('Data Source'!W562&gt;=5,"A+",IF('Data Source'!W562&gt;=4,"A",IF('Data Source'!W562&gt;=3.5,"A-",IF('Data Source'!W562&gt;=3,"B",IF('Data Source'!W562&gt;=2,"C",IF('Data Source'!W562&gt;=1,"D","F")))))),"")</f>
        <v/>
      </c>
      <c r="F562" s="3">
        <f>IF(AND('Data Source'!B562&lt;&gt;"",'Data Source'!S562="A+"),IF('Data Source'!X562&gt;=5,"A+",IF('Data Source'!X562&gt;=4,"A",IF('Data Source'!X562&gt;=3.5,"A-",IF('Data Source'!X562&gt;=3,"B",IF('Data Source'!X562&gt;=2,"C",IF('Data Source'!X562&gt;=1,"D","F")))))),"")</f>
        <v/>
      </c>
      <c r="G562" s="3">
        <f>IF(AND('Data Source'!B562&lt;&gt;"",'Data Source'!S562="A+"),IF('Data Source'!Y562&gt;=5,"A+",IF('Data Source'!Y562&gt;=4,"A",IF('Data Source'!Y562&gt;=3.5,"A-",IF('Data Source'!Y562&gt;=3,"B",IF('Data Source'!Y562&gt;=2,"C",IF('Data Source'!Y562&gt;=1,"D","F")))))),"")</f>
        <v/>
      </c>
      <c r="H562" s="3">
        <f>IF(AND('Data Source'!B562&lt;&gt;"",'Data Source'!S562="A+"),IF('Data Source'!Z562&gt;=5,"A+",IF('Data Source'!Z562&gt;=4,"A",IF('Data Source'!Z562&gt;=3.5,"A-",IF('Data Source'!Z562&gt;=3,"B",IF('Data Source'!Z562&gt;=2,"C",IF('Data Source'!Z562&gt;=1,"D","F")))))),"")</f>
        <v/>
      </c>
      <c r="I562" s="3">
        <f>IF(AND('Data Source'!B562&lt;&gt;"",'Data Source'!S562="A+"),IF('Data Source'!AA562&gt;=5,"A+",IF('Data Source'!AA562&gt;=4,"A",IF('Data Source'!AA562&gt;=3.5,"A-",IF('Data Source'!AA562&gt;=3,"B",IF('Data Source'!AA562&gt;=2,"C",IF('Data Source'!AA562&gt;=1,"D","F")))))),"")</f>
        <v/>
      </c>
      <c r="J562" s="3">
        <f>IF(AND('Data Source'!B562&lt;&gt;"",'Data Source'!S562="A+"),IF('Data Source'!AB562&gt;=5,"A+",IF('Data Source'!AB562&gt;=4,"A",IF('Data Source'!AB562&gt;=3.5,"A-",IF('Data Source'!AB562&gt;=3,"B",IF('Data Source'!AB562&gt;=2,"C",IF('Data Source'!AB562&gt;=1,"D","F")))))),"")</f>
        <v/>
      </c>
      <c r="K562" s="3">
        <f>IF(AND('Data Source'!B562&lt;&gt;"",'Data Source'!S562="A+"),IF('Data Source'!AC562&gt;=5,"A+",IF('Data Source'!AC562&gt;=4,"A",IF('Data Source'!AC562&gt;=3.5,"A-",IF('Data Source'!AC562&gt;=3,"B",IF('Data Source'!AC562&gt;=2,"C",IF('Data Source'!AC562&gt;=1,"D","F")))))),"")</f>
        <v/>
      </c>
      <c r="L562" s="3">
        <f>IF(AND('Data Source'!B562&lt;&gt;"",'Data Source'!S562="A+"),IF('Data Source'!AD562&gt;=5,"A+",IF('Data Source'!AD562&gt;=4,"A",IF('Data Source'!AD562&gt;=3.5,"A-",IF('Data Source'!AD562&gt;=3,"B",IF('Data Source'!AD562&gt;=2,"C",IF('Data Source'!AD562&gt;=1,"D","F")))))),"")</f>
        <v/>
      </c>
      <c r="M562" s="3">
        <f>IF(AND('Data Source'!B562&lt;&gt;"",'Data Source'!S562="A+"),IF('Data Source'!AE562&gt;=5,"A+",IF('Data Source'!AE562&gt;=4,"A",IF('Data Source'!AE562&gt;=3.5,"A-",IF('Data Source'!AE562&gt;=3,"B",IF('Data Source'!AE562&gt;=2,"C",IF('Data Source'!AE562&gt;=1,"D","F")))))),"")</f>
        <v/>
      </c>
      <c r="N562" s="3">
        <f>IF(AND('Data Source'!B562&lt;&gt;"",'Data Source'!S562="A+"),IF('Data Source'!AF562&gt;=5,"A+",IF('Data Source'!AF562&gt;=4,"A",IF('Data Source'!AF562&gt;=3.5,"A-",IF('Data Source'!AF562&gt;=3,"B",IF('Data Source'!AF562&gt;=2,"C",IF('Data Source'!AF562&gt;=1,"D","F")))))),"")</f>
        <v/>
      </c>
      <c r="O562" s="3">
        <f>IF(AND('Data Source'!B562&lt;&gt;"",'Data Source'!S562="A+"),IF('Data Source'!AG562&gt;=5,"A+",IF('Data Source'!AG562&gt;=4,"A",IF('Data Source'!AG562&gt;=3.5,"A-",IF('Data Source'!AG562&gt;=3,"B",IF('Data Source'!AG562&gt;=2,"C",IF('Data Source'!AG562&gt;=1,"D","F")))))),"")</f>
        <v/>
      </c>
      <c r="P562" s="5">
        <f>IF(AND('Data Source'!B562&lt;&gt;"",'Data Source'!S562="A+"),'Data Source'!R562,"")</f>
        <v/>
      </c>
      <c r="Q562" s="3">
        <f>IF(AND('Data Source'!B562&lt;&gt;"",'Data Source'!S562="A+"),'Data Source'!S562,"")</f>
        <v/>
      </c>
    </row>
    <row r="563">
      <c r="A563" s="3">
        <f>IF(AND('Data Source'!B563&lt;&gt;"",'Data Source'!S563="A+"),COUNTIF('Data Source'!$S$3:S563,"A+"),"")</f>
        <v/>
      </c>
      <c r="B563">
        <f>IF(AND('Data Source'!B563&lt;&gt;"",'Data Source'!S563="A+"),'Data Source'!B563,"")</f>
        <v/>
      </c>
      <c r="C563" s="3">
        <f>IF(AND('Data Source'!B563&lt;&gt;"",'Data Source'!S563="A+"),IF('Data Source'!U563&gt;=5,"A+",IF('Data Source'!U563&gt;=4,"A",IF('Data Source'!U563&gt;=3.5,"A-",IF('Data Source'!U563&gt;=3,"B",IF('Data Source'!U563&gt;=2,"C",IF('Data Source'!U563&gt;=1,"D","F")))))),"")</f>
        <v/>
      </c>
      <c r="D563" s="3">
        <f>IF(AND('Data Source'!B563&lt;&gt;"",'Data Source'!S563="A+"),IF('Data Source'!V563&gt;=5,"A+",IF('Data Source'!V563&gt;=4,"A",IF('Data Source'!V563&gt;=3.5,"A-",IF('Data Source'!V563&gt;=3,"B",IF('Data Source'!V563&gt;=2,"C",IF('Data Source'!V563&gt;=1,"D","F")))))),"")</f>
        <v/>
      </c>
      <c r="E563" s="3">
        <f>IF(AND('Data Source'!B563&lt;&gt;"",'Data Source'!S563="A+"),IF('Data Source'!W563&gt;=5,"A+",IF('Data Source'!W563&gt;=4,"A",IF('Data Source'!W563&gt;=3.5,"A-",IF('Data Source'!W563&gt;=3,"B",IF('Data Source'!W563&gt;=2,"C",IF('Data Source'!W563&gt;=1,"D","F")))))),"")</f>
        <v/>
      </c>
      <c r="F563" s="3">
        <f>IF(AND('Data Source'!B563&lt;&gt;"",'Data Source'!S563="A+"),IF('Data Source'!X563&gt;=5,"A+",IF('Data Source'!X563&gt;=4,"A",IF('Data Source'!X563&gt;=3.5,"A-",IF('Data Source'!X563&gt;=3,"B",IF('Data Source'!X563&gt;=2,"C",IF('Data Source'!X563&gt;=1,"D","F")))))),"")</f>
        <v/>
      </c>
      <c r="G563" s="3">
        <f>IF(AND('Data Source'!B563&lt;&gt;"",'Data Source'!S563="A+"),IF('Data Source'!Y563&gt;=5,"A+",IF('Data Source'!Y563&gt;=4,"A",IF('Data Source'!Y563&gt;=3.5,"A-",IF('Data Source'!Y563&gt;=3,"B",IF('Data Source'!Y563&gt;=2,"C",IF('Data Source'!Y563&gt;=1,"D","F")))))),"")</f>
        <v/>
      </c>
      <c r="H563" s="3">
        <f>IF(AND('Data Source'!B563&lt;&gt;"",'Data Source'!S563="A+"),IF('Data Source'!Z563&gt;=5,"A+",IF('Data Source'!Z563&gt;=4,"A",IF('Data Source'!Z563&gt;=3.5,"A-",IF('Data Source'!Z563&gt;=3,"B",IF('Data Source'!Z563&gt;=2,"C",IF('Data Source'!Z563&gt;=1,"D","F")))))),"")</f>
        <v/>
      </c>
      <c r="I563" s="3">
        <f>IF(AND('Data Source'!B563&lt;&gt;"",'Data Source'!S563="A+"),IF('Data Source'!AA563&gt;=5,"A+",IF('Data Source'!AA563&gt;=4,"A",IF('Data Source'!AA563&gt;=3.5,"A-",IF('Data Source'!AA563&gt;=3,"B",IF('Data Source'!AA563&gt;=2,"C",IF('Data Source'!AA563&gt;=1,"D","F")))))),"")</f>
        <v/>
      </c>
      <c r="J563" s="3">
        <f>IF(AND('Data Source'!B563&lt;&gt;"",'Data Source'!S563="A+"),IF('Data Source'!AB563&gt;=5,"A+",IF('Data Source'!AB563&gt;=4,"A",IF('Data Source'!AB563&gt;=3.5,"A-",IF('Data Source'!AB563&gt;=3,"B",IF('Data Source'!AB563&gt;=2,"C",IF('Data Source'!AB563&gt;=1,"D","F")))))),"")</f>
        <v/>
      </c>
      <c r="K563" s="3">
        <f>IF(AND('Data Source'!B563&lt;&gt;"",'Data Source'!S563="A+"),IF('Data Source'!AC563&gt;=5,"A+",IF('Data Source'!AC563&gt;=4,"A",IF('Data Source'!AC563&gt;=3.5,"A-",IF('Data Source'!AC563&gt;=3,"B",IF('Data Source'!AC563&gt;=2,"C",IF('Data Source'!AC563&gt;=1,"D","F")))))),"")</f>
        <v/>
      </c>
      <c r="L563" s="3">
        <f>IF(AND('Data Source'!B563&lt;&gt;"",'Data Source'!S563="A+"),IF('Data Source'!AD563&gt;=5,"A+",IF('Data Source'!AD563&gt;=4,"A",IF('Data Source'!AD563&gt;=3.5,"A-",IF('Data Source'!AD563&gt;=3,"B",IF('Data Source'!AD563&gt;=2,"C",IF('Data Source'!AD563&gt;=1,"D","F")))))),"")</f>
        <v/>
      </c>
      <c r="M563" s="3">
        <f>IF(AND('Data Source'!B563&lt;&gt;"",'Data Source'!S563="A+"),IF('Data Source'!AE563&gt;=5,"A+",IF('Data Source'!AE563&gt;=4,"A",IF('Data Source'!AE563&gt;=3.5,"A-",IF('Data Source'!AE563&gt;=3,"B",IF('Data Source'!AE563&gt;=2,"C",IF('Data Source'!AE563&gt;=1,"D","F")))))),"")</f>
        <v/>
      </c>
      <c r="N563" s="3">
        <f>IF(AND('Data Source'!B563&lt;&gt;"",'Data Source'!S563="A+"),IF('Data Source'!AF563&gt;=5,"A+",IF('Data Source'!AF563&gt;=4,"A",IF('Data Source'!AF563&gt;=3.5,"A-",IF('Data Source'!AF563&gt;=3,"B",IF('Data Source'!AF563&gt;=2,"C",IF('Data Source'!AF563&gt;=1,"D","F")))))),"")</f>
        <v/>
      </c>
      <c r="O563" s="3">
        <f>IF(AND('Data Source'!B563&lt;&gt;"",'Data Source'!S563="A+"),IF('Data Source'!AG563&gt;=5,"A+",IF('Data Source'!AG563&gt;=4,"A",IF('Data Source'!AG563&gt;=3.5,"A-",IF('Data Source'!AG563&gt;=3,"B",IF('Data Source'!AG563&gt;=2,"C",IF('Data Source'!AG563&gt;=1,"D","F")))))),"")</f>
        <v/>
      </c>
      <c r="P563" s="5">
        <f>IF(AND('Data Source'!B563&lt;&gt;"",'Data Source'!S563="A+"),'Data Source'!R563,"")</f>
        <v/>
      </c>
      <c r="Q563" s="3">
        <f>IF(AND('Data Source'!B563&lt;&gt;"",'Data Source'!S563="A+"),'Data Source'!S563,"")</f>
        <v/>
      </c>
    </row>
    <row r="564">
      <c r="A564" s="3">
        <f>IF(AND('Data Source'!B564&lt;&gt;"",'Data Source'!S564="A+"),COUNTIF('Data Source'!$S$3:S564,"A+"),"")</f>
        <v/>
      </c>
      <c r="B564">
        <f>IF(AND('Data Source'!B564&lt;&gt;"",'Data Source'!S564="A+"),'Data Source'!B564,"")</f>
        <v/>
      </c>
      <c r="C564" s="3">
        <f>IF(AND('Data Source'!B564&lt;&gt;"",'Data Source'!S564="A+"),IF('Data Source'!U564&gt;=5,"A+",IF('Data Source'!U564&gt;=4,"A",IF('Data Source'!U564&gt;=3.5,"A-",IF('Data Source'!U564&gt;=3,"B",IF('Data Source'!U564&gt;=2,"C",IF('Data Source'!U564&gt;=1,"D","F")))))),"")</f>
        <v/>
      </c>
      <c r="D564" s="3">
        <f>IF(AND('Data Source'!B564&lt;&gt;"",'Data Source'!S564="A+"),IF('Data Source'!V564&gt;=5,"A+",IF('Data Source'!V564&gt;=4,"A",IF('Data Source'!V564&gt;=3.5,"A-",IF('Data Source'!V564&gt;=3,"B",IF('Data Source'!V564&gt;=2,"C",IF('Data Source'!V564&gt;=1,"D","F")))))),"")</f>
        <v/>
      </c>
      <c r="E564" s="3">
        <f>IF(AND('Data Source'!B564&lt;&gt;"",'Data Source'!S564="A+"),IF('Data Source'!W564&gt;=5,"A+",IF('Data Source'!W564&gt;=4,"A",IF('Data Source'!W564&gt;=3.5,"A-",IF('Data Source'!W564&gt;=3,"B",IF('Data Source'!W564&gt;=2,"C",IF('Data Source'!W564&gt;=1,"D","F")))))),"")</f>
        <v/>
      </c>
      <c r="F564" s="3">
        <f>IF(AND('Data Source'!B564&lt;&gt;"",'Data Source'!S564="A+"),IF('Data Source'!X564&gt;=5,"A+",IF('Data Source'!X564&gt;=4,"A",IF('Data Source'!X564&gt;=3.5,"A-",IF('Data Source'!X564&gt;=3,"B",IF('Data Source'!X564&gt;=2,"C",IF('Data Source'!X564&gt;=1,"D","F")))))),"")</f>
        <v/>
      </c>
      <c r="G564" s="3">
        <f>IF(AND('Data Source'!B564&lt;&gt;"",'Data Source'!S564="A+"),IF('Data Source'!Y564&gt;=5,"A+",IF('Data Source'!Y564&gt;=4,"A",IF('Data Source'!Y564&gt;=3.5,"A-",IF('Data Source'!Y564&gt;=3,"B",IF('Data Source'!Y564&gt;=2,"C",IF('Data Source'!Y564&gt;=1,"D","F")))))),"")</f>
        <v/>
      </c>
      <c r="H564" s="3">
        <f>IF(AND('Data Source'!B564&lt;&gt;"",'Data Source'!S564="A+"),IF('Data Source'!Z564&gt;=5,"A+",IF('Data Source'!Z564&gt;=4,"A",IF('Data Source'!Z564&gt;=3.5,"A-",IF('Data Source'!Z564&gt;=3,"B",IF('Data Source'!Z564&gt;=2,"C",IF('Data Source'!Z564&gt;=1,"D","F")))))),"")</f>
        <v/>
      </c>
      <c r="I564" s="3">
        <f>IF(AND('Data Source'!B564&lt;&gt;"",'Data Source'!S564="A+"),IF('Data Source'!AA564&gt;=5,"A+",IF('Data Source'!AA564&gt;=4,"A",IF('Data Source'!AA564&gt;=3.5,"A-",IF('Data Source'!AA564&gt;=3,"B",IF('Data Source'!AA564&gt;=2,"C",IF('Data Source'!AA564&gt;=1,"D","F")))))),"")</f>
        <v/>
      </c>
      <c r="J564" s="3">
        <f>IF(AND('Data Source'!B564&lt;&gt;"",'Data Source'!S564="A+"),IF('Data Source'!AB564&gt;=5,"A+",IF('Data Source'!AB564&gt;=4,"A",IF('Data Source'!AB564&gt;=3.5,"A-",IF('Data Source'!AB564&gt;=3,"B",IF('Data Source'!AB564&gt;=2,"C",IF('Data Source'!AB564&gt;=1,"D","F")))))),"")</f>
        <v/>
      </c>
      <c r="K564" s="3">
        <f>IF(AND('Data Source'!B564&lt;&gt;"",'Data Source'!S564="A+"),IF('Data Source'!AC564&gt;=5,"A+",IF('Data Source'!AC564&gt;=4,"A",IF('Data Source'!AC564&gt;=3.5,"A-",IF('Data Source'!AC564&gt;=3,"B",IF('Data Source'!AC564&gt;=2,"C",IF('Data Source'!AC564&gt;=1,"D","F")))))),"")</f>
        <v/>
      </c>
      <c r="L564" s="3">
        <f>IF(AND('Data Source'!B564&lt;&gt;"",'Data Source'!S564="A+"),IF('Data Source'!AD564&gt;=5,"A+",IF('Data Source'!AD564&gt;=4,"A",IF('Data Source'!AD564&gt;=3.5,"A-",IF('Data Source'!AD564&gt;=3,"B",IF('Data Source'!AD564&gt;=2,"C",IF('Data Source'!AD564&gt;=1,"D","F")))))),"")</f>
        <v/>
      </c>
      <c r="M564" s="3">
        <f>IF(AND('Data Source'!B564&lt;&gt;"",'Data Source'!S564="A+"),IF('Data Source'!AE564&gt;=5,"A+",IF('Data Source'!AE564&gt;=4,"A",IF('Data Source'!AE564&gt;=3.5,"A-",IF('Data Source'!AE564&gt;=3,"B",IF('Data Source'!AE564&gt;=2,"C",IF('Data Source'!AE564&gt;=1,"D","F")))))),"")</f>
        <v/>
      </c>
      <c r="N564" s="3">
        <f>IF(AND('Data Source'!B564&lt;&gt;"",'Data Source'!S564="A+"),IF('Data Source'!AF564&gt;=5,"A+",IF('Data Source'!AF564&gt;=4,"A",IF('Data Source'!AF564&gt;=3.5,"A-",IF('Data Source'!AF564&gt;=3,"B",IF('Data Source'!AF564&gt;=2,"C",IF('Data Source'!AF564&gt;=1,"D","F")))))),"")</f>
        <v/>
      </c>
      <c r="O564" s="3">
        <f>IF(AND('Data Source'!B564&lt;&gt;"",'Data Source'!S564="A+"),IF('Data Source'!AG564&gt;=5,"A+",IF('Data Source'!AG564&gt;=4,"A",IF('Data Source'!AG564&gt;=3.5,"A-",IF('Data Source'!AG564&gt;=3,"B",IF('Data Source'!AG564&gt;=2,"C",IF('Data Source'!AG564&gt;=1,"D","F")))))),"")</f>
        <v/>
      </c>
      <c r="P564" s="5">
        <f>IF(AND('Data Source'!B564&lt;&gt;"",'Data Source'!S564="A+"),'Data Source'!R564,"")</f>
        <v/>
      </c>
      <c r="Q564" s="3">
        <f>IF(AND('Data Source'!B564&lt;&gt;"",'Data Source'!S564="A+"),'Data Source'!S564,"")</f>
        <v/>
      </c>
    </row>
    <row r="565">
      <c r="A565" s="3">
        <f>IF(AND('Data Source'!B565&lt;&gt;"",'Data Source'!S565="A+"),COUNTIF('Data Source'!$S$3:S565,"A+"),"")</f>
        <v/>
      </c>
      <c r="B565">
        <f>IF(AND('Data Source'!B565&lt;&gt;"",'Data Source'!S565="A+"),'Data Source'!B565,"")</f>
        <v/>
      </c>
      <c r="C565" s="3">
        <f>IF(AND('Data Source'!B565&lt;&gt;"",'Data Source'!S565="A+"),IF('Data Source'!U565&gt;=5,"A+",IF('Data Source'!U565&gt;=4,"A",IF('Data Source'!U565&gt;=3.5,"A-",IF('Data Source'!U565&gt;=3,"B",IF('Data Source'!U565&gt;=2,"C",IF('Data Source'!U565&gt;=1,"D","F")))))),"")</f>
        <v/>
      </c>
      <c r="D565" s="3">
        <f>IF(AND('Data Source'!B565&lt;&gt;"",'Data Source'!S565="A+"),IF('Data Source'!V565&gt;=5,"A+",IF('Data Source'!V565&gt;=4,"A",IF('Data Source'!V565&gt;=3.5,"A-",IF('Data Source'!V565&gt;=3,"B",IF('Data Source'!V565&gt;=2,"C",IF('Data Source'!V565&gt;=1,"D","F")))))),"")</f>
        <v/>
      </c>
      <c r="E565" s="3">
        <f>IF(AND('Data Source'!B565&lt;&gt;"",'Data Source'!S565="A+"),IF('Data Source'!W565&gt;=5,"A+",IF('Data Source'!W565&gt;=4,"A",IF('Data Source'!W565&gt;=3.5,"A-",IF('Data Source'!W565&gt;=3,"B",IF('Data Source'!W565&gt;=2,"C",IF('Data Source'!W565&gt;=1,"D","F")))))),"")</f>
        <v/>
      </c>
      <c r="F565" s="3">
        <f>IF(AND('Data Source'!B565&lt;&gt;"",'Data Source'!S565="A+"),IF('Data Source'!X565&gt;=5,"A+",IF('Data Source'!X565&gt;=4,"A",IF('Data Source'!X565&gt;=3.5,"A-",IF('Data Source'!X565&gt;=3,"B",IF('Data Source'!X565&gt;=2,"C",IF('Data Source'!X565&gt;=1,"D","F")))))),"")</f>
        <v/>
      </c>
      <c r="G565" s="3">
        <f>IF(AND('Data Source'!B565&lt;&gt;"",'Data Source'!S565="A+"),IF('Data Source'!Y565&gt;=5,"A+",IF('Data Source'!Y565&gt;=4,"A",IF('Data Source'!Y565&gt;=3.5,"A-",IF('Data Source'!Y565&gt;=3,"B",IF('Data Source'!Y565&gt;=2,"C",IF('Data Source'!Y565&gt;=1,"D","F")))))),"")</f>
        <v/>
      </c>
      <c r="H565" s="3">
        <f>IF(AND('Data Source'!B565&lt;&gt;"",'Data Source'!S565="A+"),IF('Data Source'!Z565&gt;=5,"A+",IF('Data Source'!Z565&gt;=4,"A",IF('Data Source'!Z565&gt;=3.5,"A-",IF('Data Source'!Z565&gt;=3,"B",IF('Data Source'!Z565&gt;=2,"C",IF('Data Source'!Z565&gt;=1,"D","F")))))),"")</f>
        <v/>
      </c>
      <c r="I565" s="3">
        <f>IF(AND('Data Source'!B565&lt;&gt;"",'Data Source'!S565="A+"),IF('Data Source'!AA565&gt;=5,"A+",IF('Data Source'!AA565&gt;=4,"A",IF('Data Source'!AA565&gt;=3.5,"A-",IF('Data Source'!AA565&gt;=3,"B",IF('Data Source'!AA565&gt;=2,"C",IF('Data Source'!AA565&gt;=1,"D","F")))))),"")</f>
        <v/>
      </c>
      <c r="J565" s="3">
        <f>IF(AND('Data Source'!B565&lt;&gt;"",'Data Source'!S565="A+"),IF('Data Source'!AB565&gt;=5,"A+",IF('Data Source'!AB565&gt;=4,"A",IF('Data Source'!AB565&gt;=3.5,"A-",IF('Data Source'!AB565&gt;=3,"B",IF('Data Source'!AB565&gt;=2,"C",IF('Data Source'!AB565&gt;=1,"D","F")))))),"")</f>
        <v/>
      </c>
      <c r="K565" s="3">
        <f>IF(AND('Data Source'!B565&lt;&gt;"",'Data Source'!S565="A+"),IF('Data Source'!AC565&gt;=5,"A+",IF('Data Source'!AC565&gt;=4,"A",IF('Data Source'!AC565&gt;=3.5,"A-",IF('Data Source'!AC565&gt;=3,"B",IF('Data Source'!AC565&gt;=2,"C",IF('Data Source'!AC565&gt;=1,"D","F")))))),"")</f>
        <v/>
      </c>
      <c r="L565" s="3">
        <f>IF(AND('Data Source'!B565&lt;&gt;"",'Data Source'!S565="A+"),IF('Data Source'!AD565&gt;=5,"A+",IF('Data Source'!AD565&gt;=4,"A",IF('Data Source'!AD565&gt;=3.5,"A-",IF('Data Source'!AD565&gt;=3,"B",IF('Data Source'!AD565&gt;=2,"C",IF('Data Source'!AD565&gt;=1,"D","F")))))),"")</f>
        <v/>
      </c>
      <c r="M565" s="3">
        <f>IF(AND('Data Source'!B565&lt;&gt;"",'Data Source'!S565="A+"),IF('Data Source'!AE565&gt;=5,"A+",IF('Data Source'!AE565&gt;=4,"A",IF('Data Source'!AE565&gt;=3.5,"A-",IF('Data Source'!AE565&gt;=3,"B",IF('Data Source'!AE565&gt;=2,"C",IF('Data Source'!AE565&gt;=1,"D","F")))))),"")</f>
        <v/>
      </c>
      <c r="N565" s="3">
        <f>IF(AND('Data Source'!B565&lt;&gt;"",'Data Source'!S565="A+"),IF('Data Source'!AF565&gt;=5,"A+",IF('Data Source'!AF565&gt;=4,"A",IF('Data Source'!AF565&gt;=3.5,"A-",IF('Data Source'!AF565&gt;=3,"B",IF('Data Source'!AF565&gt;=2,"C",IF('Data Source'!AF565&gt;=1,"D","F")))))),"")</f>
        <v/>
      </c>
      <c r="O565" s="3">
        <f>IF(AND('Data Source'!B565&lt;&gt;"",'Data Source'!S565="A+"),IF('Data Source'!AG565&gt;=5,"A+",IF('Data Source'!AG565&gt;=4,"A",IF('Data Source'!AG565&gt;=3.5,"A-",IF('Data Source'!AG565&gt;=3,"B",IF('Data Source'!AG565&gt;=2,"C",IF('Data Source'!AG565&gt;=1,"D","F")))))),"")</f>
        <v/>
      </c>
      <c r="P565" s="5">
        <f>IF(AND('Data Source'!B565&lt;&gt;"",'Data Source'!S565="A+"),'Data Source'!R565,"")</f>
        <v/>
      </c>
      <c r="Q565" s="3">
        <f>IF(AND('Data Source'!B565&lt;&gt;"",'Data Source'!S565="A+"),'Data Source'!S565,"")</f>
        <v/>
      </c>
    </row>
    <row r="566">
      <c r="A566" s="3">
        <f>IF(AND('Data Source'!B566&lt;&gt;"",'Data Source'!S566="A+"),COUNTIF('Data Source'!$S$3:S566,"A+"),"")</f>
        <v/>
      </c>
      <c r="B566">
        <f>IF(AND('Data Source'!B566&lt;&gt;"",'Data Source'!S566="A+"),'Data Source'!B566,"")</f>
        <v/>
      </c>
      <c r="C566" s="3">
        <f>IF(AND('Data Source'!B566&lt;&gt;"",'Data Source'!S566="A+"),IF('Data Source'!U566&gt;=5,"A+",IF('Data Source'!U566&gt;=4,"A",IF('Data Source'!U566&gt;=3.5,"A-",IF('Data Source'!U566&gt;=3,"B",IF('Data Source'!U566&gt;=2,"C",IF('Data Source'!U566&gt;=1,"D","F")))))),"")</f>
        <v/>
      </c>
      <c r="D566" s="3">
        <f>IF(AND('Data Source'!B566&lt;&gt;"",'Data Source'!S566="A+"),IF('Data Source'!V566&gt;=5,"A+",IF('Data Source'!V566&gt;=4,"A",IF('Data Source'!V566&gt;=3.5,"A-",IF('Data Source'!V566&gt;=3,"B",IF('Data Source'!V566&gt;=2,"C",IF('Data Source'!V566&gt;=1,"D","F")))))),"")</f>
        <v/>
      </c>
      <c r="E566" s="3">
        <f>IF(AND('Data Source'!B566&lt;&gt;"",'Data Source'!S566="A+"),IF('Data Source'!W566&gt;=5,"A+",IF('Data Source'!W566&gt;=4,"A",IF('Data Source'!W566&gt;=3.5,"A-",IF('Data Source'!W566&gt;=3,"B",IF('Data Source'!W566&gt;=2,"C",IF('Data Source'!W566&gt;=1,"D","F")))))),"")</f>
        <v/>
      </c>
      <c r="F566" s="3">
        <f>IF(AND('Data Source'!B566&lt;&gt;"",'Data Source'!S566="A+"),IF('Data Source'!X566&gt;=5,"A+",IF('Data Source'!X566&gt;=4,"A",IF('Data Source'!X566&gt;=3.5,"A-",IF('Data Source'!X566&gt;=3,"B",IF('Data Source'!X566&gt;=2,"C",IF('Data Source'!X566&gt;=1,"D","F")))))),"")</f>
        <v/>
      </c>
      <c r="G566" s="3">
        <f>IF(AND('Data Source'!B566&lt;&gt;"",'Data Source'!S566="A+"),IF('Data Source'!Y566&gt;=5,"A+",IF('Data Source'!Y566&gt;=4,"A",IF('Data Source'!Y566&gt;=3.5,"A-",IF('Data Source'!Y566&gt;=3,"B",IF('Data Source'!Y566&gt;=2,"C",IF('Data Source'!Y566&gt;=1,"D","F")))))),"")</f>
        <v/>
      </c>
      <c r="H566" s="3">
        <f>IF(AND('Data Source'!B566&lt;&gt;"",'Data Source'!S566="A+"),IF('Data Source'!Z566&gt;=5,"A+",IF('Data Source'!Z566&gt;=4,"A",IF('Data Source'!Z566&gt;=3.5,"A-",IF('Data Source'!Z566&gt;=3,"B",IF('Data Source'!Z566&gt;=2,"C",IF('Data Source'!Z566&gt;=1,"D","F")))))),"")</f>
        <v/>
      </c>
      <c r="I566" s="3">
        <f>IF(AND('Data Source'!B566&lt;&gt;"",'Data Source'!S566="A+"),IF('Data Source'!AA566&gt;=5,"A+",IF('Data Source'!AA566&gt;=4,"A",IF('Data Source'!AA566&gt;=3.5,"A-",IF('Data Source'!AA566&gt;=3,"B",IF('Data Source'!AA566&gt;=2,"C",IF('Data Source'!AA566&gt;=1,"D","F")))))),"")</f>
        <v/>
      </c>
      <c r="J566" s="3">
        <f>IF(AND('Data Source'!B566&lt;&gt;"",'Data Source'!S566="A+"),IF('Data Source'!AB566&gt;=5,"A+",IF('Data Source'!AB566&gt;=4,"A",IF('Data Source'!AB566&gt;=3.5,"A-",IF('Data Source'!AB566&gt;=3,"B",IF('Data Source'!AB566&gt;=2,"C",IF('Data Source'!AB566&gt;=1,"D","F")))))),"")</f>
        <v/>
      </c>
      <c r="K566" s="3">
        <f>IF(AND('Data Source'!B566&lt;&gt;"",'Data Source'!S566="A+"),IF('Data Source'!AC566&gt;=5,"A+",IF('Data Source'!AC566&gt;=4,"A",IF('Data Source'!AC566&gt;=3.5,"A-",IF('Data Source'!AC566&gt;=3,"B",IF('Data Source'!AC566&gt;=2,"C",IF('Data Source'!AC566&gt;=1,"D","F")))))),"")</f>
        <v/>
      </c>
      <c r="L566" s="3">
        <f>IF(AND('Data Source'!B566&lt;&gt;"",'Data Source'!S566="A+"),IF('Data Source'!AD566&gt;=5,"A+",IF('Data Source'!AD566&gt;=4,"A",IF('Data Source'!AD566&gt;=3.5,"A-",IF('Data Source'!AD566&gt;=3,"B",IF('Data Source'!AD566&gt;=2,"C",IF('Data Source'!AD566&gt;=1,"D","F")))))),"")</f>
        <v/>
      </c>
      <c r="M566" s="3">
        <f>IF(AND('Data Source'!B566&lt;&gt;"",'Data Source'!S566="A+"),IF('Data Source'!AE566&gt;=5,"A+",IF('Data Source'!AE566&gt;=4,"A",IF('Data Source'!AE566&gt;=3.5,"A-",IF('Data Source'!AE566&gt;=3,"B",IF('Data Source'!AE566&gt;=2,"C",IF('Data Source'!AE566&gt;=1,"D","F")))))),"")</f>
        <v/>
      </c>
      <c r="N566" s="3">
        <f>IF(AND('Data Source'!B566&lt;&gt;"",'Data Source'!S566="A+"),IF('Data Source'!AF566&gt;=5,"A+",IF('Data Source'!AF566&gt;=4,"A",IF('Data Source'!AF566&gt;=3.5,"A-",IF('Data Source'!AF566&gt;=3,"B",IF('Data Source'!AF566&gt;=2,"C",IF('Data Source'!AF566&gt;=1,"D","F")))))),"")</f>
        <v/>
      </c>
      <c r="O566" s="3">
        <f>IF(AND('Data Source'!B566&lt;&gt;"",'Data Source'!S566="A+"),IF('Data Source'!AG566&gt;=5,"A+",IF('Data Source'!AG566&gt;=4,"A",IF('Data Source'!AG566&gt;=3.5,"A-",IF('Data Source'!AG566&gt;=3,"B",IF('Data Source'!AG566&gt;=2,"C",IF('Data Source'!AG566&gt;=1,"D","F")))))),"")</f>
        <v/>
      </c>
      <c r="P566" s="5">
        <f>IF(AND('Data Source'!B566&lt;&gt;"",'Data Source'!S566="A+"),'Data Source'!R566,"")</f>
        <v/>
      </c>
      <c r="Q566" s="3">
        <f>IF(AND('Data Source'!B566&lt;&gt;"",'Data Source'!S566="A+"),'Data Source'!S566,"")</f>
        <v/>
      </c>
    </row>
    <row r="567">
      <c r="A567" s="3">
        <f>IF(AND('Data Source'!B567&lt;&gt;"",'Data Source'!S567="A+"),COUNTIF('Data Source'!$S$3:S567,"A+"),"")</f>
        <v/>
      </c>
      <c r="B567">
        <f>IF(AND('Data Source'!B567&lt;&gt;"",'Data Source'!S567="A+"),'Data Source'!B567,"")</f>
        <v/>
      </c>
      <c r="C567" s="3">
        <f>IF(AND('Data Source'!B567&lt;&gt;"",'Data Source'!S567="A+"),IF('Data Source'!U567&gt;=5,"A+",IF('Data Source'!U567&gt;=4,"A",IF('Data Source'!U567&gt;=3.5,"A-",IF('Data Source'!U567&gt;=3,"B",IF('Data Source'!U567&gt;=2,"C",IF('Data Source'!U567&gt;=1,"D","F")))))),"")</f>
        <v/>
      </c>
      <c r="D567" s="3">
        <f>IF(AND('Data Source'!B567&lt;&gt;"",'Data Source'!S567="A+"),IF('Data Source'!V567&gt;=5,"A+",IF('Data Source'!V567&gt;=4,"A",IF('Data Source'!V567&gt;=3.5,"A-",IF('Data Source'!V567&gt;=3,"B",IF('Data Source'!V567&gt;=2,"C",IF('Data Source'!V567&gt;=1,"D","F")))))),"")</f>
        <v/>
      </c>
      <c r="E567" s="3">
        <f>IF(AND('Data Source'!B567&lt;&gt;"",'Data Source'!S567="A+"),IF('Data Source'!W567&gt;=5,"A+",IF('Data Source'!W567&gt;=4,"A",IF('Data Source'!W567&gt;=3.5,"A-",IF('Data Source'!W567&gt;=3,"B",IF('Data Source'!W567&gt;=2,"C",IF('Data Source'!W567&gt;=1,"D","F")))))),"")</f>
        <v/>
      </c>
      <c r="F567" s="3">
        <f>IF(AND('Data Source'!B567&lt;&gt;"",'Data Source'!S567="A+"),IF('Data Source'!X567&gt;=5,"A+",IF('Data Source'!X567&gt;=4,"A",IF('Data Source'!X567&gt;=3.5,"A-",IF('Data Source'!X567&gt;=3,"B",IF('Data Source'!X567&gt;=2,"C",IF('Data Source'!X567&gt;=1,"D","F")))))),"")</f>
        <v/>
      </c>
      <c r="G567" s="3">
        <f>IF(AND('Data Source'!B567&lt;&gt;"",'Data Source'!S567="A+"),IF('Data Source'!Y567&gt;=5,"A+",IF('Data Source'!Y567&gt;=4,"A",IF('Data Source'!Y567&gt;=3.5,"A-",IF('Data Source'!Y567&gt;=3,"B",IF('Data Source'!Y567&gt;=2,"C",IF('Data Source'!Y567&gt;=1,"D","F")))))),"")</f>
        <v/>
      </c>
      <c r="H567" s="3">
        <f>IF(AND('Data Source'!B567&lt;&gt;"",'Data Source'!S567="A+"),IF('Data Source'!Z567&gt;=5,"A+",IF('Data Source'!Z567&gt;=4,"A",IF('Data Source'!Z567&gt;=3.5,"A-",IF('Data Source'!Z567&gt;=3,"B",IF('Data Source'!Z567&gt;=2,"C",IF('Data Source'!Z567&gt;=1,"D","F")))))),"")</f>
        <v/>
      </c>
      <c r="I567" s="3">
        <f>IF(AND('Data Source'!B567&lt;&gt;"",'Data Source'!S567="A+"),IF('Data Source'!AA567&gt;=5,"A+",IF('Data Source'!AA567&gt;=4,"A",IF('Data Source'!AA567&gt;=3.5,"A-",IF('Data Source'!AA567&gt;=3,"B",IF('Data Source'!AA567&gt;=2,"C",IF('Data Source'!AA567&gt;=1,"D","F")))))),"")</f>
        <v/>
      </c>
      <c r="J567" s="3">
        <f>IF(AND('Data Source'!B567&lt;&gt;"",'Data Source'!S567="A+"),IF('Data Source'!AB567&gt;=5,"A+",IF('Data Source'!AB567&gt;=4,"A",IF('Data Source'!AB567&gt;=3.5,"A-",IF('Data Source'!AB567&gt;=3,"B",IF('Data Source'!AB567&gt;=2,"C",IF('Data Source'!AB567&gt;=1,"D","F")))))),"")</f>
        <v/>
      </c>
      <c r="K567" s="3">
        <f>IF(AND('Data Source'!B567&lt;&gt;"",'Data Source'!S567="A+"),IF('Data Source'!AC567&gt;=5,"A+",IF('Data Source'!AC567&gt;=4,"A",IF('Data Source'!AC567&gt;=3.5,"A-",IF('Data Source'!AC567&gt;=3,"B",IF('Data Source'!AC567&gt;=2,"C",IF('Data Source'!AC567&gt;=1,"D","F")))))),"")</f>
        <v/>
      </c>
      <c r="L567" s="3">
        <f>IF(AND('Data Source'!B567&lt;&gt;"",'Data Source'!S567="A+"),IF('Data Source'!AD567&gt;=5,"A+",IF('Data Source'!AD567&gt;=4,"A",IF('Data Source'!AD567&gt;=3.5,"A-",IF('Data Source'!AD567&gt;=3,"B",IF('Data Source'!AD567&gt;=2,"C",IF('Data Source'!AD567&gt;=1,"D","F")))))),"")</f>
        <v/>
      </c>
      <c r="M567" s="3">
        <f>IF(AND('Data Source'!B567&lt;&gt;"",'Data Source'!S567="A+"),IF('Data Source'!AE567&gt;=5,"A+",IF('Data Source'!AE567&gt;=4,"A",IF('Data Source'!AE567&gt;=3.5,"A-",IF('Data Source'!AE567&gt;=3,"B",IF('Data Source'!AE567&gt;=2,"C",IF('Data Source'!AE567&gt;=1,"D","F")))))),"")</f>
        <v/>
      </c>
      <c r="N567" s="3">
        <f>IF(AND('Data Source'!B567&lt;&gt;"",'Data Source'!S567="A+"),IF('Data Source'!AF567&gt;=5,"A+",IF('Data Source'!AF567&gt;=4,"A",IF('Data Source'!AF567&gt;=3.5,"A-",IF('Data Source'!AF567&gt;=3,"B",IF('Data Source'!AF567&gt;=2,"C",IF('Data Source'!AF567&gt;=1,"D","F")))))),"")</f>
        <v/>
      </c>
      <c r="O567" s="3">
        <f>IF(AND('Data Source'!B567&lt;&gt;"",'Data Source'!S567="A+"),IF('Data Source'!AG567&gt;=5,"A+",IF('Data Source'!AG567&gt;=4,"A",IF('Data Source'!AG567&gt;=3.5,"A-",IF('Data Source'!AG567&gt;=3,"B",IF('Data Source'!AG567&gt;=2,"C",IF('Data Source'!AG567&gt;=1,"D","F")))))),"")</f>
        <v/>
      </c>
      <c r="P567" s="5">
        <f>IF(AND('Data Source'!B567&lt;&gt;"",'Data Source'!S567="A+"),'Data Source'!R567,"")</f>
        <v/>
      </c>
      <c r="Q567" s="3">
        <f>IF(AND('Data Source'!B567&lt;&gt;"",'Data Source'!S567="A+"),'Data Source'!S567,"")</f>
        <v/>
      </c>
    </row>
    <row r="568">
      <c r="A568" s="3">
        <f>IF(AND('Data Source'!B568&lt;&gt;"",'Data Source'!S568="A+"),COUNTIF('Data Source'!$S$3:S568,"A+"),"")</f>
        <v/>
      </c>
      <c r="B568">
        <f>IF(AND('Data Source'!B568&lt;&gt;"",'Data Source'!S568="A+"),'Data Source'!B568,"")</f>
        <v/>
      </c>
      <c r="C568" s="3">
        <f>IF(AND('Data Source'!B568&lt;&gt;"",'Data Source'!S568="A+"),IF('Data Source'!U568&gt;=5,"A+",IF('Data Source'!U568&gt;=4,"A",IF('Data Source'!U568&gt;=3.5,"A-",IF('Data Source'!U568&gt;=3,"B",IF('Data Source'!U568&gt;=2,"C",IF('Data Source'!U568&gt;=1,"D","F")))))),"")</f>
        <v/>
      </c>
      <c r="D568" s="3">
        <f>IF(AND('Data Source'!B568&lt;&gt;"",'Data Source'!S568="A+"),IF('Data Source'!V568&gt;=5,"A+",IF('Data Source'!V568&gt;=4,"A",IF('Data Source'!V568&gt;=3.5,"A-",IF('Data Source'!V568&gt;=3,"B",IF('Data Source'!V568&gt;=2,"C",IF('Data Source'!V568&gt;=1,"D","F")))))),"")</f>
        <v/>
      </c>
      <c r="E568" s="3">
        <f>IF(AND('Data Source'!B568&lt;&gt;"",'Data Source'!S568="A+"),IF('Data Source'!W568&gt;=5,"A+",IF('Data Source'!W568&gt;=4,"A",IF('Data Source'!W568&gt;=3.5,"A-",IF('Data Source'!W568&gt;=3,"B",IF('Data Source'!W568&gt;=2,"C",IF('Data Source'!W568&gt;=1,"D","F")))))),"")</f>
        <v/>
      </c>
      <c r="F568" s="3">
        <f>IF(AND('Data Source'!B568&lt;&gt;"",'Data Source'!S568="A+"),IF('Data Source'!X568&gt;=5,"A+",IF('Data Source'!X568&gt;=4,"A",IF('Data Source'!X568&gt;=3.5,"A-",IF('Data Source'!X568&gt;=3,"B",IF('Data Source'!X568&gt;=2,"C",IF('Data Source'!X568&gt;=1,"D","F")))))),"")</f>
        <v/>
      </c>
      <c r="G568" s="3">
        <f>IF(AND('Data Source'!B568&lt;&gt;"",'Data Source'!S568="A+"),IF('Data Source'!Y568&gt;=5,"A+",IF('Data Source'!Y568&gt;=4,"A",IF('Data Source'!Y568&gt;=3.5,"A-",IF('Data Source'!Y568&gt;=3,"B",IF('Data Source'!Y568&gt;=2,"C",IF('Data Source'!Y568&gt;=1,"D","F")))))),"")</f>
        <v/>
      </c>
      <c r="H568" s="3">
        <f>IF(AND('Data Source'!B568&lt;&gt;"",'Data Source'!S568="A+"),IF('Data Source'!Z568&gt;=5,"A+",IF('Data Source'!Z568&gt;=4,"A",IF('Data Source'!Z568&gt;=3.5,"A-",IF('Data Source'!Z568&gt;=3,"B",IF('Data Source'!Z568&gt;=2,"C",IF('Data Source'!Z568&gt;=1,"D","F")))))),"")</f>
        <v/>
      </c>
      <c r="I568" s="3">
        <f>IF(AND('Data Source'!B568&lt;&gt;"",'Data Source'!S568="A+"),IF('Data Source'!AA568&gt;=5,"A+",IF('Data Source'!AA568&gt;=4,"A",IF('Data Source'!AA568&gt;=3.5,"A-",IF('Data Source'!AA568&gt;=3,"B",IF('Data Source'!AA568&gt;=2,"C",IF('Data Source'!AA568&gt;=1,"D","F")))))),"")</f>
        <v/>
      </c>
      <c r="J568" s="3">
        <f>IF(AND('Data Source'!B568&lt;&gt;"",'Data Source'!S568="A+"),IF('Data Source'!AB568&gt;=5,"A+",IF('Data Source'!AB568&gt;=4,"A",IF('Data Source'!AB568&gt;=3.5,"A-",IF('Data Source'!AB568&gt;=3,"B",IF('Data Source'!AB568&gt;=2,"C",IF('Data Source'!AB568&gt;=1,"D","F")))))),"")</f>
        <v/>
      </c>
      <c r="K568" s="3">
        <f>IF(AND('Data Source'!B568&lt;&gt;"",'Data Source'!S568="A+"),IF('Data Source'!AC568&gt;=5,"A+",IF('Data Source'!AC568&gt;=4,"A",IF('Data Source'!AC568&gt;=3.5,"A-",IF('Data Source'!AC568&gt;=3,"B",IF('Data Source'!AC568&gt;=2,"C",IF('Data Source'!AC568&gt;=1,"D","F")))))),"")</f>
        <v/>
      </c>
      <c r="L568" s="3">
        <f>IF(AND('Data Source'!B568&lt;&gt;"",'Data Source'!S568="A+"),IF('Data Source'!AD568&gt;=5,"A+",IF('Data Source'!AD568&gt;=4,"A",IF('Data Source'!AD568&gt;=3.5,"A-",IF('Data Source'!AD568&gt;=3,"B",IF('Data Source'!AD568&gt;=2,"C",IF('Data Source'!AD568&gt;=1,"D","F")))))),"")</f>
        <v/>
      </c>
      <c r="M568" s="3">
        <f>IF(AND('Data Source'!B568&lt;&gt;"",'Data Source'!S568="A+"),IF('Data Source'!AE568&gt;=5,"A+",IF('Data Source'!AE568&gt;=4,"A",IF('Data Source'!AE568&gt;=3.5,"A-",IF('Data Source'!AE568&gt;=3,"B",IF('Data Source'!AE568&gt;=2,"C",IF('Data Source'!AE568&gt;=1,"D","F")))))),"")</f>
        <v/>
      </c>
      <c r="N568" s="3">
        <f>IF(AND('Data Source'!B568&lt;&gt;"",'Data Source'!S568="A+"),IF('Data Source'!AF568&gt;=5,"A+",IF('Data Source'!AF568&gt;=4,"A",IF('Data Source'!AF568&gt;=3.5,"A-",IF('Data Source'!AF568&gt;=3,"B",IF('Data Source'!AF568&gt;=2,"C",IF('Data Source'!AF568&gt;=1,"D","F")))))),"")</f>
        <v/>
      </c>
      <c r="O568" s="3">
        <f>IF(AND('Data Source'!B568&lt;&gt;"",'Data Source'!S568="A+"),IF('Data Source'!AG568&gt;=5,"A+",IF('Data Source'!AG568&gt;=4,"A",IF('Data Source'!AG568&gt;=3.5,"A-",IF('Data Source'!AG568&gt;=3,"B",IF('Data Source'!AG568&gt;=2,"C",IF('Data Source'!AG568&gt;=1,"D","F")))))),"")</f>
        <v/>
      </c>
      <c r="P568" s="5">
        <f>IF(AND('Data Source'!B568&lt;&gt;"",'Data Source'!S568="A+"),'Data Source'!R568,"")</f>
        <v/>
      </c>
      <c r="Q568" s="3">
        <f>IF(AND('Data Source'!B568&lt;&gt;"",'Data Source'!S568="A+"),'Data Source'!S568,"")</f>
        <v/>
      </c>
    </row>
    <row r="569">
      <c r="A569" s="3">
        <f>IF(AND('Data Source'!B569&lt;&gt;"",'Data Source'!S569="A+"),COUNTIF('Data Source'!$S$3:S569,"A+"),"")</f>
        <v/>
      </c>
      <c r="B569">
        <f>IF(AND('Data Source'!B569&lt;&gt;"",'Data Source'!S569="A+"),'Data Source'!B569,"")</f>
        <v/>
      </c>
      <c r="C569" s="3">
        <f>IF(AND('Data Source'!B569&lt;&gt;"",'Data Source'!S569="A+"),IF('Data Source'!U569&gt;=5,"A+",IF('Data Source'!U569&gt;=4,"A",IF('Data Source'!U569&gt;=3.5,"A-",IF('Data Source'!U569&gt;=3,"B",IF('Data Source'!U569&gt;=2,"C",IF('Data Source'!U569&gt;=1,"D","F")))))),"")</f>
        <v/>
      </c>
      <c r="D569" s="3">
        <f>IF(AND('Data Source'!B569&lt;&gt;"",'Data Source'!S569="A+"),IF('Data Source'!V569&gt;=5,"A+",IF('Data Source'!V569&gt;=4,"A",IF('Data Source'!V569&gt;=3.5,"A-",IF('Data Source'!V569&gt;=3,"B",IF('Data Source'!V569&gt;=2,"C",IF('Data Source'!V569&gt;=1,"D","F")))))),"")</f>
        <v/>
      </c>
      <c r="E569" s="3">
        <f>IF(AND('Data Source'!B569&lt;&gt;"",'Data Source'!S569="A+"),IF('Data Source'!W569&gt;=5,"A+",IF('Data Source'!W569&gt;=4,"A",IF('Data Source'!W569&gt;=3.5,"A-",IF('Data Source'!W569&gt;=3,"B",IF('Data Source'!W569&gt;=2,"C",IF('Data Source'!W569&gt;=1,"D","F")))))),"")</f>
        <v/>
      </c>
      <c r="F569" s="3">
        <f>IF(AND('Data Source'!B569&lt;&gt;"",'Data Source'!S569="A+"),IF('Data Source'!X569&gt;=5,"A+",IF('Data Source'!X569&gt;=4,"A",IF('Data Source'!X569&gt;=3.5,"A-",IF('Data Source'!X569&gt;=3,"B",IF('Data Source'!X569&gt;=2,"C",IF('Data Source'!X569&gt;=1,"D","F")))))),"")</f>
        <v/>
      </c>
      <c r="G569" s="3">
        <f>IF(AND('Data Source'!B569&lt;&gt;"",'Data Source'!S569="A+"),IF('Data Source'!Y569&gt;=5,"A+",IF('Data Source'!Y569&gt;=4,"A",IF('Data Source'!Y569&gt;=3.5,"A-",IF('Data Source'!Y569&gt;=3,"B",IF('Data Source'!Y569&gt;=2,"C",IF('Data Source'!Y569&gt;=1,"D","F")))))),"")</f>
        <v/>
      </c>
      <c r="H569" s="3">
        <f>IF(AND('Data Source'!B569&lt;&gt;"",'Data Source'!S569="A+"),IF('Data Source'!Z569&gt;=5,"A+",IF('Data Source'!Z569&gt;=4,"A",IF('Data Source'!Z569&gt;=3.5,"A-",IF('Data Source'!Z569&gt;=3,"B",IF('Data Source'!Z569&gt;=2,"C",IF('Data Source'!Z569&gt;=1,"D","F")))))),"")</f>
        <v/>
      </c>
      <c r="I569" s="3">
        <f>IF(AND('Data Source'!B569&lt;&gt;"",'Data Source'!S569="A+"),IF('Data Source'!AA569&gt;=5,"A+",IF('Data Source'!AA569&gt;=4,"A",IF('Data Source'!AA569&gt;=3.5,"A-",IF('Data Source'!AA569&gt;=3,"B",IF('Data Source'!AA569&gt;=2,"C",IF('Data Source'!AA569&gt;=1,"D","F")))))),"")</f>
        <v/>
      </c>
      <c r="J569" s="3">
        <f>IF(AND('Data Source'!B569&lt;&gt;"",'Data Source'!S569="A+"),IF('Data Source'!AB569&gt;=5,"A+",IF('Data Source'!AB569&gt;=4,"A",IF('Data Source'!AB569&gt;=3.5,"A-",IF('Data Source'!AB569&gt;=3,"B",IF('Data Source'!AB569&gt;=2,"C",IF('Data Source'!AB569&gt;=1,"D","F")))))),"")</f>
        <v/>
      </c>
      <c r="K569" s="3">
        <f>IF(AND('Data Source'!B569&lt;&gt;"",'Data Source'!S569="A+"),IF('Data Source'!AC569&gt;=5,"A+",IF('Data Source'!AC569&gt;=4,"A",IF('Data Source'!AC569&gt;=3.5,"A-",IF('Data Source'!AC569&gt;=3,"B",IF('Data Source'!AC569&gt;=2,"C",IF('Data Source'!AC569&gt;=1,"D","F")))))),"")</f>
        <v/>
      </c>
      <c r="L569" s="3">
        <f>IF(AND('Data Source'!B569&lt;&gt;"",'Data Source'!S569="A+"),IF('Data Source'!AD569&gt;=5,"A+",IF('Data Source'!AD569&gt;=4,"A",IF('Data Source'!AD569&gt;=3.5,"A-",IF('Data Source'!AD569&gt;=3,"B",IF('Data Source'!AD569&gt;=2,"C",IF('Data Source'!AD569&gt;=1,"D","F")))))),"")</f>
        <v/>
      </c>
      <c r="M569" s="3">
        <f>IF(AND('Data Source'!B569&lt;&gt;"",'Data Source'!S569="A+"),IF('Data Source'!AE569&gt;=5,"A+",IF('Data Source'!AE569&gt;=4,"A",IF('Data Source'!AE569&gt;=3.5,"A-",IF('Data Source'!AE569&gt;=3,"B",IF('Data Source'!AE569&gt;=2,"C",IF('Data Source'!AE569&gt;=1,"D","F")))))),"")</f>
        <v/>
      </c>
      <c r="N569" s="3">
        <f>IF(AND('Data Source'!B569&lt;&gt;"",'Data Source'!S569="A+"),IF('Data Source'!AF569&gt;=5,"A+",IF('Data Source'!AF569&gt;=4,"A",IF('Data Source'!AF569&gt;=3.5,"A-",IF('Data Source'!AF569&gt;=3,"B",IF('Data Source'!AF569&gt;=2,"C",IF('Data Source'!AF569&gt;=1,"D","F")))))),"")</f>
        <v/>
      </c>
      <c r="O569" s="3">
        <f>IF(AND('Data Source'!B569&lt;&gt;"",'Data Source'!S569="A+"),IF('Data Source'!AG569&gt;=5,"A+",IF('Data Source'!AG569&gt;=4,"A",IF('Data Source'!AG569&gt;=3.5,"A-",IF('Data Source'!AG569&gt;=3,"B",IF('Data Source'!AG569&gt;=2,"C",IF('Data Source'!AG569&gt;=1,"D","F")))))),"")</f>
        <v/>
      </c>
      <c r="P569" s="5">
        <f>IF(AND('Data Source'!B569&lt;&gt;"",'Data Source'!S569="A+"),'Data Source'!R569,"")</f>
        <v/>
      </c>
      <c r="Q569" s="3">
        <f>IF(AND('Data Source'!B569&lt;&gt;"",'Data Source'!S569="A+"),'Data Source'!S569,"")</f>
        <v/>
      </c>
    </row>
    <row r="570">
      <c r="A570" s="3">
        <f>IF(AND('Data Source'!B570&lt;&gt;"",'Data Source'!S570="A+"),COUNTIF('Data Source'!$S$3:S570,"A+"),"")</f>
        <v/>
      </c>
      <c r="B570">
        <f>IF(AND('Data Source'!B570&lt;&gt;"",'Data Source'!S570="A+"),'Data Source'!B570,"")</f>
        <v/>
      </c>
      <c r="C570" s="3">
        <f>IF(AND('Data Source'!B570&lt;&gt;"",'Data Source'!S570="A+"),IF('Data Source'!U570&gt;=5,"A+",IF('Data Source'!U570&gt;=4,"A",IF('Data Source'!U570&gt;=3.5,"A-",IF('Data Source'!U570&gt;=3,"B",IF('Data Source'!U570&gt;=2,"C",IF('Data Source'!U570&gt;=1,"D","F")))))),"")</f>
        <v/>
      </c>
      <c r="D570" s="3">
        <f>IF(AND('Data Source'!B570&lt;&gt;"",'Data Source'!S570="A+"),IF('Data Source'!V570&gt;=5,"A+",IF('Data Source'!V570&gt;=4,"A",IF('Data Source'!V570&gt;=3.5,"A-",IF('Data Source'!V570&gt;=3,"B",IF('Data Source'!V570&gt;=2,"C",IF('Data Source'!V570&gt;=1,"D","F")))))),"")</f>
        <v/>
      </c>
      <c r="E570" s="3">
        <f>IF(AND('Data Source'!B570&lt;&gt;"",'Data Source'!S570="A+"),IF('Data Source'!W570&gt;=5,"A+",IF('Data Source'!W570&gt;=4,"A",IF('Data Source'!W570&gt;=3.5,"A-",IF('Data Source'!W570&gt;=3,"B",IF('Data Source'!W570&gt;=2,"C",IF('Data Source'!W570&gt;=1,"D","F")))))),"")</f>
        <v/>
      </c>
      <c r="F570" s="3">
        <f>IF(AND('Data Source'!B570&lt;&gt;"",'Data Source'!S570="A+"),IF('Data Source'!X570&gt;=5,"A+",IF('Data Source'!X570&gt;=4,"A",IF('Data Source'!X570&gt;=3.5,"A-",IF('Data Source'!X570&gt;=3,"B",IF('Data Source'!X570&gt;=2,"C",IF('Data Source'!X570&gt;=1,"D","F")))))),"")</f>
        <v/>
      </c>
      <c r="G570" s="3">
        <f>IF(AND('Data Source'!B570&lt;&gt;"",'Data Source'!S570="A+"),IF('Data Source'!Y570&gt;=5,"A+",IF('Data Source'!Y570&gt;=4,"A",IF('Data Source'!Y570&gt;=3.5,"A-",IF('Data Source'!Y570&gt;=3,"B",IF('Data Source'!Y570&gt;=2,"C",IF('Data Source'!Y570&gt;=1,"D","F")))))),"")</f>
        <v/>
      </c>
      <c r="H570" s="3">
        <f>IF(AND('Data Source'!B570&lt;&gt;"",'Data Source'!S570="A+"),IF('Data Source'!Z570&gt;=5,"A+",IF('Data Source'!Z570&gt;=4,"A",IF('Data Source'!Z570&gt;=3.5,"A-",IF('Data Source'!Z570&gt;=3,"B",IF('Data Source'!Z570&gt;=2,"C",IF('Data Source'!Z570&gt;=1,"D","F")))))),"")</f>
        <v/>
      </c>
      <c r="I570" s="3">
        <f>IF(AND('Data Source'!B570&lt;&gt;"",'Data Source'!S570="A+"),IF('Data Source'!AA570&gt;=5,"A+",IF('Data Source'!AA570&gt;=4,"A",IF('Data Source'!AA570&gt;=3.5,"A-",IF('Data Source'!AA570&gt;=3,"B",IF('Data Source'!AA570&gt;=2,"C",IF('Data Source'!AA570&gt;=1,"D","F")))))),"")</f>
        <v/>
      </c>
      <c r="J570" s="3">
        <f>IF(AND('Data Source'!B570&lt;&gt;"",'Data Source'!S570="A+"),IF('Data Source'!AB570&gt;=5,"A+",IF('Data Source'!AB570&gt;=4,"A",IF('Data Source'!AB570&gt;=3.5,"A-",IF('Data Source'!AB570&gt;=3,"B",IF('Data Source'!AB570&gt;=2,"C",IF('Data Source'!AB570&gt;=1,"D","F")))))),"")</f>
        <v/>
      </c>
      <c r="K570" s="3">
        <f>IF(AND('Data Source'!B570&lt;&gt;"",'Data Source'!S570="A+"),IF('Data Source'!AC570&gt;=5,"A+",IF('Data Source'!AC570&gt;=4,"A",IF('Data Source'!AC570&gt;=3.5,"A-",IF('Data Source'!AC570&gt;=3,"B",IF('Data Source'!AC570&gt;=2,"C",IF('Data Source'!AC570&gt;=1,"D","F")))))),"")</f>
        <v/>
      </c>
      <c r="L570" s="3">
        <f>IF(AND('Data Source'!B570&lt;&gt;"",'Data Source'!S570="A+"),IF('Data Source'!AD570&gt;=5,"A+",IF('Data Source'!AD570&gt;=4,"A",IF('Data Source'!AD570&gt;=3.5,"A-",IF('Data Source'!AD570&gt;=3,"B",IF('Data Source'!AD570&gt;=2,"C",IF('Data Source'!AD570&gt;=1,"D","F")))))),"")</f>
        <v/>
      </c>
      <c r="M570" s="3">
        <f>IF(AND('Data Source'!B570&lt;&gt;"",'Data Source'!S570="A+"),IF('Data Source'!AE570&gt;=5,"A+",IF('Data Source'!AE570&gt;=4,"A",IF('Data Source'!AE570&gt;=3.5,"A-",IF('Data Source'!AE570&gt;=3,"B",IF('Data Source'!AE570&gt;=2,"C",IF('Data Source'!AE570&gt;=1,"D","F")))))),"")</f>
        <v/>
      </c>
      <c r="N570" s="3">
        <f>IF(AND('Data Source'!B570&lt;&gt;"",'Data Source'!S570="A+"),IF('Data Source'!AF570&gt;=5,"A+",IF('Data Source'!AF570&gt;=4,"A",IF('Data Source'!AF570&gt;=3.5,"A-",IF('Data Source'!AF570&gt;=3,"B",IF('Data Source'!AF570&gt;=2,"C",IF('Data Source'!AF570&gt;=1,"D","F")))))),"")</f>
        <v/>
      </c>
      <c r="O570" s="3">
        <f>IF(AND('Data Source'!B570&lt;&gt;"",'Data Source'!S570="A+"),IF('Data Source'!AG570&gt;=5,"A+",IF('Data Source'!AG570&gt;=4,"A",IF('Data Source'!AG570&gt;=3.5,"A-",IF('Data Source'!AG570&gt;=3,"B",IF('Data Source'!AG570&gt;=2,"C",IF('Data Source'!AG570&gt;=1,"D","F")))))),"")</f>
        <v/>
      </c>
      <c r="P570" s="5">
        <f>IF(AND('Data Source'!B570&lt;&gt;"",'Data Source'!S570="A+"),'Data Source'!R570,"")</f>
        <v/>
      </c>
      <c r="Q570" s="3">
        <f>IF(AND('Data Source'!B570&lt;&gt;"",'Data Source'!S570="A+"),'Data Source'!S570,"")</f>
        <v/>
      </c>
    </row>
    <row r="571">
      <c r="A571" s="3">
        <f>IF(AND('Data Source'!B571&lt;&gt;"",'Data Source'!S571="A+"),COUNTIF('Data Source'!$S$3:S571,"A+"),"")</f>
        <v/>
      </c>
      <c r="B571">
        <f>IF(AND('Data Source'!B571&lt;&gt;"",'Data Source'!S571="A+"),'Data Source'!B571,"")</f>
        <v/>
      </c>
      <c r="C571" s="3">
        <f>IF(AND('Data Source'!B571&lt;&gt;"",'Data Source'!S571="A+"),IF('Data Source'!U571&gt;=5,"A+",IF('Data Source'!U571&gt;=4,"A",IF('Data Source'!U571&gt;=3.5,"A-",IF('Data Source'!U571&gt;=3,"B",IF('Data Source'!U571&gt;=2,"C",IF('Data Source'!U571&gt;=1,"D","F")))))),"")</f>
        <v/>
      </c>
      <c r="D571" s="3">
        <f>IF(AND('Data Source'!B571&lt;&gt;"",'Data Source'!S571="A+"),IF('Data Source'!V571&gt;=5,"A+",IF('Data Source'!V571&gt;=4,"A",IF('Data Source'!V571&gt;=3.5,"A-",IF('Data Source'!V571&gt;=3,"B",IF('Data Source'!V571&gt;=2,"C",IF('Data Source'!V571&gt;=1,"D","F")))))),"")</f>
        <v/>
      </c>
      <c r="E571" s="3">
        <f>IF(AND('Data Source'!B571&lt;&gt;"",'Data Source'!S571="A+"),IF('Data Source'!W571&gt;=5,"A+",IF('Data Source'!W571&gt;=4,"A",IF('Data Source'!W571&gt;=3.5,"A-",IF('Data Source'!W571&gt;=3,"B",IF('Data Source'!W571&gt;=2,"C",IF('Data Source'!W571&gt;=1,"D","F")))))),"")</f>
        <v/>
      </c>
      <c r="F571" s="3">
        <f>IF(AND('Data Source'!B571&lt;&gt;"",'Data Source'!S571="A+"),IF('Data Source'!X571&gt;=5,"A+",IF('Data Source'!X571&gt;=4,"A",IF('Data Source'!X571&gt;=3.5,"A-",IF('Data Source'!X571&gt;=3,"B",IF('Data Source'!X571&gt;=2,"C",IF('Data Source'!X571&gt;=1,"D","F")))))),"")</f>
        <v/>
      </c>
      <c r="G571" s="3">
        <f>IF(AND('Data Source'!B571&lt;&gt;"",'Data Source'!S571="A+"),IF('Data Source'!Y571&gt;=5,"A+",IF('Data Source'!Y571&gt;=4,"A",IF('Data Source'!Y571&gt;=3.5,"A-",IF('Data Source'!Y571&gt;=3,"B",IF('Data Source'!Y571&gt;=2,"C",IF('Data Source'!Y571&gt;=1,"D","F")))))),"")</f>
        <v/>
      </c>
      <c r="H571" s="3">
        <f>IF(AND('Data Source'!B571&lt;&gt;"",'Data Source'!S571="A+"),IF('Data Source'!Z571&gt;=5,"A+",IF('Data Source'!Z571&gt;=4,"A",IF('Data Source'!Z571&gt;=3.5,"A-",IF('Data Source'!Z571&gt;=3,"B",IF('Data Source'!Z571&gt;=2,"C",IF('Data Source'!Z571&gt;=1,"D","F")))))),"")</f>
        <v/>
      </c>
      <c r="I571" s="3">
        <f>IF(AND('Data Source'!B571&lt;&gt;"",'Data Source'!S571="A+"),IF('Data Source'!AA571&gt;=5,"A+",IF('Data Source'!AA571&gt;=4,"A",IF('Data Source'!AA571&gt;=3.5,"A-",IF('Data Source'!AA571&gt;=3,"B",IF('Data Source'!AA571&gt;=2,"C",IF('Data Source'!AA571&gt;=1,"D","F")))))),"")</f>
        <v/>
      </c>
      <c r="J571" s="3">
        <f>IF(AND('Data Source'!B571&lt;&gt;"",'Data Source'!S571="A+"),IF('Data Source'!AB571&gt;=5,"A+",IF('Data Source'!AB571&gt;=4,"A",IF('Data Source'!AB571&gt;=3.5,"A-",IF('Data Source'!AB571&gt;=3,"B",IF('Data Source'!AB571&gt;=2,"C",IF('Data Source'!AB571&gt;=1,"D","F")))))),"")</f>
        <v/>
      </c>
      <c r="K571" s="3">
        <f>IF(AND('Data Source'!B571&lt;&gt;"",'Data Source'!S571="A+"),IF('Data Source'!AC571&gt;=5,"A+",IF('Data Source'!AC571&gt;=4,"A",IF('Data Source'!AC571&gt;=3.5,"A-",IF('Data Source'!AC571&gt;=3,"B",IF('Data Source'!AC571&gt;=2,"C",IF('Data Source'!AC571&gt;=1,"D","F")))))),"")</f>
        <v/>
      </c>
      <c r="L571" s="3">
        <f>IF(AND('Data Source'!B571&lt;&gt;"",'Data Source'!S571="A+"),IF('Data Source'!AD571&gt;=5,"A+",IF('Data Source'!AD571&gt;=4,"A",IF('Data Source'!AD571&gt;=3.5,"A-",IF('Data Source'!AD571&gt;=3,"B",IF('Data Source'!AD571&gt;=2,"C",IF('Data Source'!AD571&gt;=1,"D","F")))))),"")</f>
        <v/>
      </c>
      <c r="M571" s="3">
        <f>IF(AND('Data Source'!B571&lt;&gt;"",'Data Source'!S571="A+"),IF('Data Source'!AE571&gt;=5,"A+",IF('Data Source'!AE571&gt;=4,"A",IF('Data Source'!AE571&gt;=3.5,"A-",IF('Data Source'!AE571&gt;=3,"B",IF('Data Source'!AE571&gt;=2,"C",IF('Data Source'!AE571&gt;=1,"D","F")))))),"")</f>
        <v/>
      </c>
      <c r="N571" s="3">
        <f>IF(AND('Data Source'!B571&lt;&gt;"",'Data Source'!S571="A+"),IF('Data Source'!AF571&gt;=5,"A+",IF('Data Source'!AF571&gt;=4,"A",IF('Data Source'!AF571&gt;=3.5,"A-",IF('Data Source'!AF571&gt;=3,"B",IF('Data Source'!AF571&gt;=2,"C",IF('Data Source'!AF571&gt;=1,"D","F")))))),"")</f>
        <v/>
      </c>
      <c r="O571" s="3">
        <f>IF(AND('Data Source'!B571&lt;&gt;"",'Data Source'!S571="A+"),IF('Data Source'!AG571&gt;=5,"A+",IF('Data Source'!AG571&gt;=4,"A",IF('Data Source'!AG571&gt;=3.5,"A-",IF('Data Source'!AG571&gt;=3,"B",IF('Data Source'!AG571&gt;=2,"C",IF('Data Source'!AG571&gt;=1,"D","F")))))),"")</f>
        <v/>
      </c>
      <c r="P571" s="5">
        <f>IF(AND('Data Source'!B571&lt;&gt;"",'Data Source'!S571="A+"),'Data Source'!R571,"")</f>
        <v/>
      </c>
      <c r="Q571" s="3">
        <f>IF(AND('Data Source'!B571&lt;&gt;"",'Data Source'!S571="A+"),'Data Source'!S571,"")</f>
        <v/>
      </c>
    </row>
    <row r="572">
      <c r="A572" s="3">
        <f>IF(AND('Data Source'!B572&lt;&gt;"",'Data Source'!S572="A+"),COUNTIF('Data Source'!$S$3:S572,"A+"),"")</f>
        <v/>
      </c>
      <c r="B572">
        <f>IF(AND('Data Source'!B572&lt;&gt;"",'Data Source'!S572="A+"),'Data Source'!B572,"")</f>
        <v/>
      </c>
      <c r="C572" s="3">
        <f>IF(AND('Data Source'!B572&lt;&gt;"",'Data Source'!S572="A+"),IF('Data Source'!U572&gt;=5,"A+",IF('Data Source'!U572&gt;=4,"A",IF('Data Source'!U572&gt;=3.5,"A-",IF('Data Source'!U572&gt;=3,"B",IF('Data Source'!U572&gt;=2,"C",IF('Data Source'!U572&gt;=1,"D","F")))))),"")</f>
        <v/>
      </c>
      <c r="D572" s="3">
        <f>IF(AND('Data Source'!B572&lt;&gt;"",'Data Source'!S572="A+"),IF('Data Source'!V572&gt;=5,"A+",IF('Data Source'!V572&gt;=4,"A",IF('Data Source'!V572&gt;=3.5,"A-",IF('Data Source'!V572&gt;=3,"B",IF('Data Source'!V572&gt;=2,"C",IF('Data Source'!V572&gt;=1,"D","F")))))),"")</f>
        <v/>
      </c>
      <c r="E572" s="3">
        <f>IF(AND('Data Source'!B572&lt;&gt;"",'Data Source'!S572="A+"),IF('Data Source'!W572&gt;=5,"A+",IF('Data Source'!W572&gt;=4,"A",IF('Data Source'!W572&gt;=3.5,"A-",IF('Data Source'!W572&gt;=3,"B",IF('Data Source'!W572&gt;=2,"C",IF('Data Source'!W572&gt;=1,"D","F")))))),"")</f>
        <v/>
      </c>
      <c r="F572" s="3">
        <f>IF(AND('Data Source'!B572&lt;&gt;"",'Data Source'!S572="A+"),IF('Data Source'!X572&gt;=5,"A+",IF('Data Source'!X572&gt;=4,"A",IF('Data Source'!X572&gt;=3.5,"A-",IF('Data Source'!X572&gt;=3,"B",IF('Data Source'!X572&gt;=2,"C",IF('Data Source'!X572&gt;=1,"D","F")))))),"")</f>
        <v/>
      </c>
      <c r="G572" s="3">
        <f>IF(AND('Data Source'!B572&lt;&gt;"",'Data Source'!S572="A+"),IF('Data Source'!Y572&gt;=5,"A+",IF('Data Source'!Y572&gt;=4,"A",IF('Data Source'!Y572&gt;=3.5,"A-",IF('Data Source'!Y572&gt;=3,"B",IF('Data Source'!Y572&gt;=2,"C",IF('Data Source'!Y572&gt;=1,"D","F")))))),"")</f>
        <v/>
      </c>
      <c r="H572" s="3">
        <f>IF(AND('Data Source'!B572&lt;&gt;"",'Data Source'!S572="A+"),IF('Data Source'!Z572&gt;=5,"A+",IF('Data Source'!Z572&gt;=4,"A",IF('Data Source'!Z572&gt;=3.5,"A-",IF('Data Source'!Z572&gt;=3,"B",IF('Data Source'!Z572&gt;=2,"C",IF('Data Source'!Z572&gt;=1,"D","F")))))),"")</f>
        <v/>
      </c>
      <c r="I572" s="3">
        <f>IF(AND('Data Source'!B572&lt;&gt;"",'Data Source'!S572="A+"),IF('Data Source'!AA572&gt;=5,"A+",IF('Data Source'!AA572&gt;=4,"A",IF('Data Source'!AA572&gt;=3.5,"A-",IF('Data Source'!AA572&gt;=3,"B",IF('Data Source'!AA572&gt;=2,"C",IF('Data Source'!AA572&gt;=1,"D","F")))))),"")</f>
        <v/>
      </c>
      <c r="J572" s="3">
        <f>IF(AND('Data Source'!B572&lt;&gt;"",'Data Source'!S572="A+"),IF('Data Source'!AB572&gt;=5,"A+",IF('Data Source'!AB572&gt;=4,"A",IF('Data Source'!AB572&gt;=3.5,"A-",IF('Data Source'!AB572&gt;=3,"B",IF('Data Source'!AB572&gt;=2,"C",IF('Data Source'!AB572&gt;=1,"D","F")))))),"")</f>
        <v/>
      </c>
      <c r="K572" s="3">
        <f>IF(AND('Data Source'!B572&lt;&gt;"",'Data Source'!S572="A+"),IF('Data Source'!AC572&gt;=5,"A+",IF('Data Source'!AC572&gt;=4,"A",IF('Data Source'!AC572&gt;=3.5,"A-",IF('Data Source'!AC572&gt;=3,"B",IF('Data Source'!AC572&gt;=2,"C",IF('Data Source'!AC572&gt;=1,"D","F")))))),"")</f>
        <v/>
      </c>
      <c r="L572" s="3">
        <f>IF(AND('Data Source'!B572&lt;&gt;"",'Data Source'!S572="A+"),IF('Data Source'!AD572&gt;=5,"A+",IF('Data Source'!AD572&gt;=4,"A",IF('Data Source'!AD572&gt;=3.5,"A-",IF('Data Source'!AD572&gt;=3,"B",IF('Data Source'!AD572&gt;=2,"C",IF('Data Source'!AD572&gt;=1,"D","F")))))),"")</f>
        <v/>
      </c>
      <c r="M572" s="3">
        <f>IF(AND('Data Source'!B572&lt;&gt;"",'Data Source'!S572="A+"),IF('Data Source'!AE572&gt;=5,"A+",IF('Data Source'!AE572&gt;=4,"A",IF('Data Source'!AE572&gt;=3.5,"A-",IF('Data Source'!AE572&gt;=3,"B",IF('Data Source'!AE572&gt;=2,"C",IF('Data Source'!AE572&gt;=1,"D","F")))))),"")</f>
        <v/>
      </c>
      <c r="N572" s="3">
        <f>IF(AND('Data Source'!B572&lt;&gt;"",'Data Source'!S572="A+"),IF('Data Source'!AF572&gt;=5,"A+",IF('Data Source'!AF572&gt;=4,"A",IF('Data Source'!AF572&gt;=3.5,"A-",IF('Data Source'!AF572&gt;=3,"B",IF('Data Source'!AF572&gt;=2,"C",IF('Data Source'!AF572&gt;=1,"D","F")))))),"")</f>
        <v/>
      </c>
      <c r="O572" s="3">
        <f>IF(AND('Data Source'!B572&lt;&gt;"",'Data Source'!S572="A+"),IF('Data Source'!AG572&gt;=5,"A+",IF('Data Source'!AG572&gt;=4,"A",IF('Data Source'!AG572&gt;=3.5,"A-",IF('Data Source'!AG572&gt;=3,"B",IF('Data Source'!AG572&gt;=2,"C",IF('Data Source'!AG572&gt;=1,"D","F")))))),"")</f>
        <v/>
      </c>
      <c r="P572" s="5">
        <f>IF(AND('Data Source'!B572&lt;&gt;"",'Data Source'!S572="A+"),'Data Source'!R572,"")</f>
        <v/>
      </c>
      <c r="Q572" s="3">
        <f>IF(AND('Data Source'!B572&lt;&gt;"",'Data Source'!S572="A+"),'Data Source'!S572,"")</f>
        <v/>
      </c>
    </row>
    <row r="573">
      <c r="A573" s="3">
        <f>IF(AND('Data Source'!B573&lt;&gt;"",'Data Source'!S573="A+"),COUNTIF('Data Source'!$S$3:S573,"A+"),"")</f>
        <v/>
      </c>
      <c r="B573">
        <f>IF(AND('Data Source'!B573&lt;&gt;"",'Data Source'!S573="A+"),'Data Source'!B573,"")</f>
        <v/>
      </c>
      <c r="C573" s="3">
        <f>IF(AND('Data Source'!B573&lt;&gt;"",'Data Source'!S573="A+"),IF('Data Source'!U573&gt;=5,"A+",IF('Data Source'!U573&gt;=4,"A",IF('Data Source'!U573&gt;=3.5,"A-",IF('Data Source'!U573&gt;=3,"B",IF('Data Source'!U573&gt;=2,"C",IF('Data Source'!U573&gt;=1,"D","F")))))),"")</f>
        <v/>
      </c>
      <c r="D573" s="3">
        <f>IF(AND('Data Source'!B573&lt;&gt;"",'Data Source'!S573="A+"),IF('Data Source'!V573&gt;=5,"A+",IF('Data Source'!V573&gt;=4,"A",IF('Data Source'!V573&gt;=3.5,"A-",IF('Data Source'!V573&gt;=3,"B",IF('Data Source'!V573&gt;=2,"C",IF('Data Source'!V573&gt;=1,"D","F")))))),"")</f>
        <v/>
      </c>
      <c r="E573" s="3">
        <f>IF(AND('Data Source'!B573&lt;&gt;"",'Data Source'!S573="A+"),IF('Data Source'!W573&gt;=5,"A+",IF('Data Source'!W573&gt;=4,"A",IF('Data Source'!W573&gt;=3.5,"A-",IF('Data Source'!W573&gt;=3,"B",IF('Data Source'!W573&gt;=2,"C",IF('Data Source'!W573&gt;=1,"D","F")))))),"")</f>
        <v/>
      </c>
      <c r="F573" s="3">
        <f>IF(AND('Data Source'!B573&lt;&gt;"",'Data Source'!S573="A+"),IF('Data Source'!X573&gt;=5,"A+",IF('Data Source'!X573&gt;=4,"A",IF('Data Source'!X573&gt;=3.5,"A-",IF('Data Source'!X573&gt;=3,"B",IF('Data Source'!X573&gt;=2,"C",IF('Data Source'!X573&gt;=1,"D","F")))))),"")</f>
        <v/>
      </c>
      <c r="G573" s="3">
        <f>IF(AND('Data Source'!B573&lt;&gt;"",'Data Source'!S573="A+"),IF('Data Source'!Y573&gt;=5,"A+",IF('Data Source'!Y573&gt;=4,"A",IF('Data Source'!Y573&gt;=3.5,"A-",IF('Data Source'!Y573&gt;=3,"B",IF('Data Source'!Y573&gt;=2,"C",IF('Data Source'!Y573&gt;=1,"D","F")))))),"")</f>
        <v/>
      </c>
      <c r="H573" s="3">
        <f>IF(AND('Data Source'!B573&lt;&gt;"",'Data Source'!S573="A+"),IF('Data Source'!Z573&gt;=5,"A+",IF('Data Source'!Z573&gt;=4,"A",IF('Data Source'!Z573&gt;=3.5,"A-",IF('Data Source'!Z573&gt;=3,"B",IF('Data Source'!Z573&gt;=2,"C",IF('Data Source'!Z573&gt;=1,"D","F")))))),"")</f>
        <v/>
      </c>
      <c r="I573" s="3">
        <f>IF(AND('Data Source'!B573&lt;&gt;"",'Data Source'!S573="A+"),IF('Data Source'!AA573&gt;=5,"A+",IF('Data Source'!AA573&gt;=4,"A",IF('Data Source'!AA573&gt;=3.5,"A-",IF('Data Source'!AA573&gt;=3,"B",IF('Data Source'!AA573&gt;=2,"C",IF('Data Source'!AA573&gt;=1,"D","F")))))),"")</f>
        <v/>
      </c>
      <c r="J573" s="3">
        <f>IF(AND('Data Source'!B573&lt;&gt;"",'Data Source'!S573="A+"),IF('Data Source'!AB573&gt;=5,"A+",IF('Data Source'!AB573&gt;=4,"A",IF('Data Source'!AB573&gt;=3.5,"A-",IF('Data Source'!AB573&gt;=3,"B",IF('Data Source'!AB573&gt;=2,"C",IF('Data Source'!AB573&gt;=1,"D","F")))))),"")</f>
        <v/>
      </c>
      <c r="K573" s="3">
        <f>IF(AND('Data Source'!B573&lt;&gt;"",'Data Source'!S573="A+"),IF('Data Source'!AC573&gt;=5,"A+",IF('Data Source'!AC573&gt;=4,"A",IF('Data Source'!AC573&gt;=3.5,"A-",IF('Data Source'!AC573&gt;=3,"B",IF('Data Source'!AC573&gt;=2,"C",IF('Data Source'!AC573&gt;=1,"D","F")))))),"")</f>
        <v/>
      </c>
      <c r="L573" s="3">
        <f>IF(AND('Data Source'!B573&lt;&gt;"",'Data Source'!S573="A+"),IF('Data Source'!AD573&gt;=5,"A+",IF('Data Source'!AD573&gt;=4,"A",IF('Data Source'!AD573&gt;=3.5,"A-",IF('Data Source'!AD573&gt;=3,"B",IF('Data Source'!AD573&gt;=2,"C",IF('Data Source'!AD573&gt;=1,"D","F")))))),"")</f>
        <v/>
      </c>
      <c r="M573" s="3">
        <f>IF(AND('Data Source'!B573&lt;&gt;"",'Data Source'!S573="A+"),IF('Data Source'!AE573&gt;=5,"A+",IF('Data Source'!AE573&gt;=4,"A",IF('Data Source'!AE573&gt;=3.5,"A-",IF('Data Source'!AE573&gt;=3,"B",IF('Data Source'!AE573&gt;=2,"C",IF('Data Source'!AE573&gt;=1,"D","F")))))),"")</f>
        <v/>
      </c>
      <c r="N573" s="3">
        <f>IF(AND('Data Source'!B573&lt;&gt;"",'Data Source'!S573="A+"),IF('Data Source'!AF573&gt;=5,"A+",IF('Data Source'!AF573&gt;=4,"A",IF('Data Source'!AF573&gt;=3.5,"A-",IF('Data Source'!AF573&gt;=3,"B",IF('Data Source'!AF573&gt;=2,"C",IF('Data Source'!AF573&gt;=1,"D","F")))))),"")</f>
        <v/>
      </c>
      <c r="O573" s="3">
        <f>IF(AND('Data Source'!B573&lt;&gt;"",'Data Source'!S573="A+"),IF('Data Source'!AG573&gt;=5,"A+",IF('Data Source'!AG573&gt;=4,"A",IF('Data Source'!AG573&gt;=3.5,"A-",IF('Data Source'!AG573&gt;=3,"B",IF('Data Source'!AG573&gt;=2,"C",IF('Data Source'!AG573&gt;=1,"D","F")))))),"")</f>
        <v/>
      </c>
      <c r="P573" s="5">
        <f>IF(AND('Data Source'!B573&lt;&gt;"",'Data Source'!S573="A+"),'Data Source'!R573,"")</f>
        <v/>
      </c>
      <c r="Q573" s="3">
        <f>IF(AND('Data Source'!B573&lt;&gt;"",'Data Source'!S573="A+"),'Data Source'!S573,"")</f>
        <v/>
      </c>
    </row>
    <row r="574">
      <c r="A574" s="3">
        <f>IF(AND('Data Source'!B574&lt;&gt;"",'Data Source'!S574="A+"),COUNTIF('Data Source'!$S$3:S574,"A+"),"")</f>
        <v/>
      </c>
      <c r="B574">
        <f>IF(AND('Data Source'!B574&lt;&gt;"",'Data Source'!S574="A+"),'Data Source'!B574,"")</f>
        <v/>
      </c>
      <c r="C574" s="3">
        <f>IF(AND('Data Source'!B574&lt;&gt;"",'Data Source'!S574="A+"),IF('Data Source'!U574&gt;=5,"A+",IF('Data Source'!U574&gt;=4,"A",IF('Data Source'!U574&gt;=3.5,"A-",IF('Data Source'!U574&gt;=3,"B",IF('Data Source'!U574&gt;=2,"C",IF('Data Source'!U574&gt;=1,"D","F")))))),"")</f>
        <v/>
      </c>
      <c r="D574" s="3">
        <f>IF(AND('Data Source'!B574&lt;&gt;"",'Data Source'!S574="A+"),IF('Data Source'!V574&gt;=5,"A+",IF('Data Source'!V574&gt;=4,"A",IF('Data Source'!V574&gt;=3.5,"A-",IF('Data Source'!V574&gt;=3,"B",IF('Data Source'!V574&gt;=2,"C",IF('Data Source'!V574&gt;=1,"D","F")))))),"")</f>
        <v/>
      </c>
      <c r="E574" s="3">
        <f>IF(AND('Data Source'!B574&lt;&gt;"",'Data Source'!S574="A+"),IF('Data Source'!W574&gt;=5,"A+",IF('Data Source'!W574&gt;=4,"A",IF('Data Source'!W574&gt;=3.5,"A-",IF('Data Source'!W574&gt;=3,"B",IF('Data Source'!W574&gt;=2,"C",IF('Data Source'!W574&gt;=1,"D","F")))))),"")</f>
        <v/>
      </c>
      <c r="F574" s="3">
        <f>IF(AND('Data Source'!B574&lt;&gt;"",'Data Source'!S574="A+"),IF('Data Source'!X574&gt;=5,"A+",IF('Data Source'!X574&gt;=4,"A",IF('Data Source'!X574&gt;=3.5,"A-",IF('Data Source'!X574&gt;=3,"B",IF('Data Source'!X574&gt;=2,"C",IF('Data Source'!X574&gt;=1,"D","F")))))),"")</f>
        <v/>
      </c>
      <c r="G574" s="3">
        <f>IF(AND('Data Source'!B574&lt;&gt;"",'Data Source'!S574="A+"),IF('Data Source'!Y574&gt;=5,"A+",IF('Data Source'!Y574&gt;=4,"A",IF('Data Source'!Y574&gt;=3.5,"A-",IF('Data Source'!Y574&gt;=3,"B",IF('Data Source'!Y574&gt;=2,"C",IF('Data Source'!Y574&gt;=1,"D","F")))))),"")</f>
        <v/>
      </c>
      <c r="H574" s="3">
        <f>IF(AND('Data Source'!B574&lt;&gt;"",'Data Source'!S574="A+"),IF('Data Source'!Z574&gt;=5,"A+",IF('Data Source'!Z574&gt;=4,"A",IF('Data Source'!Z574&gt;=3.5,"A-",IF('Data Source'!Z574&gt;=3,"B",IF('Data Source'!Z574&gt;=2,"C",IF('Data Source'!Z574&gt;=1,"D","F")))))),"")</f>
        <v/>
      </c>
      <c r="I574" s="3">
        <f>IF(AND('Data Source'!B574&lt;&gt;"",'Data Source'!S574="A+"),IF('Data Source'!AA574&gt;=5,"A+",IF('Data Source'!AA574&gt;=4,"A",IF('Data Source'!AA574&gt;=3.5,"A-",IF('Data Source'!AA574&gt;=3,"B",IF('Data Source'!AA574&gt;=2,"C",IF('Data Source'!AA574&gt;=1,"D","F")))))),"")</f>
        <v/>
      </c>
      <c r="J574" s="3">
        <f>IF(AND('Data Source'!B574&lt;&gt;"",'Data Source'!S574="A+"),IF('Data Source'!AB574&gt;=5,"A+",IF('Data Source'!AB574&gt;=4,"A",IF('Data Source'!AB574&gt;=3.5,"A-",IF('Data Source'!AB574&gt;=3,"B",IF('Data Source'!AB574&gt;=2,"C",IF('Data Source'!AB574&gt;=1,"D","F")))))),"")</f>
        <v/>
      </c>
      <c r="K574" s="3">
        <f>IF(AND('Data Source'!B574&lt;&gt;"",'Data Source'!S574="A+"),IF('Data Source'!AC574&gt;=5,"A+",IF('Data Source'!AC574&gt;=4,"A",IF('Data Source'!AC574&gt;=3.5,"A-",IF('Data Source'!AC574&gt;=3,"B",IF('Data Source'!AC574&gt;=2,"C",IF('Data Source'!AC574&gt;=1,"D","F")))))),"")</f>
        <v/>
      </c>
      <c r="L574" s="3">
        <f>IF(AND('Data Source'!B574&lt;&gt;"",'Data Source'!S574="A+"),IF('Data Source'!AD574&gt;=5,"A+",IF('Data Source'!AD574&gt;=4,"A",IF('Data Source'!AD574&gt;=3.5,"A-",IF('Data Source'!AD574&gt;=3,"B",IF('Data Source'!AD574&gt;=2,"C",IF('Data Source'!AD574&gt;=1,"D","F")))))),"")</f>
        <v/>
      </c>
      <c r="M574" s="3">
        <f>IF(AND('Data Source'!B574&lt;&gt;"",'Data Source'!S574="A+"),IF('Data Source'!AE574&gt;=5,"A+",IF('Data Source'!AE574&gt;=4,"A",IF('Data Source'!AE574&gt;=3.5,"A-",IF('Data Source'!AE574&gt;=3,"B",IF('Data Source'!AE574&gt;=2,"C",IF('Data Source'!AE574&gt;=1,"D","F")))))),"")</f>
        <v/>
      </c>
      <c r="N574" s="3">
        <f>IF(AND('Data Source'!B574&lt;&gt;"",'Data Source'!S574="A+"),IF('Data Source'!AF574&gt;=5,"A+",IF('Data Source'!AF574&gt;=4,"A",IF('Data Source'!AF574&gt;=3.5,"A-",IF('Data Source'!AF574&gt;=3,"B",IF('Data Source'!AF574&gt;=2,"C",IF('Data Source'!AF574&gt;=1,"D","F")))))),"")</f>
        <v/>
      </c>
      <c r="O574" s="3">
        <f>IF(AND('Data Source'!B574&lt;&gt;"",'Data Source'!S574="A+"),IF('Data Source'!AG574&gt;=5,"A+",IF('Data Source'!AG574&gt;=4,"A",IF('Data Source'!AG574&gt;=3.5,"A-",IF('Data Source'!AG574&gt;=3,"B",IF('Data Source'!AG574&gt;=2,"C",IF('Data Source'!AG574&gt;=1,"D","F")))))),"")</f>
        <v/>
      </c>
      <c r="P574" s="5">
        <f>IF(AND('Data Source'!B574&lt;&gt;"",'Data Source'!S574="A+"),'Data Source'!R574,"")</f>
        <v/>
      </c>
      <c r="Q574" s="3">
        <f>IF(AND('Data Source'!B574&lt;&gt;"",'Data Source'!S574="A+"),'Data Source'!S574,"")</f>
        <v/>
      </c>
    </row>
    <row r="575">
      <c r="A575" s="3">
        <f>IF(AND('Data Source'!B575&lt;&gt;"",'Data Source'!S575="A+"),COUNTIF('Data Source'!$S$3:S575,"A+"),"")</f>
        <v/>
      </c>
      <c r="B575">
        <f>IF(AND('Data Source'!B575&lt;&gt;"",'Data Source'!S575="A+"),'Data Source'!B575,"")</f>
        <v/>
      </c>
      <c r="C575" s="3">
        <f>IF(AND('Data Source'!B575&lt;&gt;"",'Data Source'!S575="A+"),IF('Data Source'!U575&gt;=5,"A+",IF('Data Source'!U575&gt;=4,"A",IF('Data Source'!U575&gt;=3.5,"A-",IF('Data Source'!U575&gt;=3,"B",IF('Data Source'!U575&gt;=2,"C",IF('Data Source'!U575&gt;=1,"D","F")))))),"")</f>
        <v/>
      </c>
      <c r="D575" s="3">
        <f>IF(AND('Data Source'!B575&lt;&gt;"",'Data Source'!S575="A+"),IF('Data Source'!V575&gt;=5,"A+",IF('Data Source'!V575&gt;=4,"A",IF('Data Source'!V575&gt;=3.5,"A-",IF('Data Source'!V575&gt;=3,"B",IF('Data Source'!V575&gt;=2,"C",IF('Data Source'!V575&gt;=1,"D","F")))))),"")</f>
        <v/>
      </c>
      <c r="E575" s="3">
        <f>IF(AND('Data Source'!B575&lt;&gt;"",'Data Source'!S575="A+"),IF('Data Source'!W575&gt;=5,"A+",IF('Data Source'!W575&gt;=4,"A",IF('Data Source'!W575&gt;=3.5,"A-",IF('Data Source'!W575&gt;=3,"B",IF('Data Source'!W575&gt;=2,"C",IF('Data Source'!W575&gt;=1,"D","F")))))),"")</f>
        <v/>
      </c>
      <c r="F575" s="3">
        <f>IF(AND('Data Source'!B575&lt;&gt;"",'Data Source'!S575="A+"),IF('Data Source'!X575&gt;=5,"A+",IF('Data Source'!X575&gt;=4,"A",IF('Data Source'!X575&gt;=3.5,"A-",IF('Data Source'!X575&gt;=3,"B",IF('Data Source'!X575&gt;=2,"C",IF('Data Source'!X575&gt;=1,"D","F")))))),"")</f>
        <v/>
      </c>
      <c r="G575" s="3">
        <f>IF(AND('Data Source'!B575&lt;&gt;"",'Data Source'!S575="A+"),IF('Data Source'!Y575&gt;=5,"A+",IF('Data Source'!Y575&gt;=4,"A",IF('Data Source'!Y575&gt;=3.5,"A-",IF('Data Source'!Y575&gt;=3,"B",IF('Data Source'!Y575&gt;=2,"C",IF('Data Source'!Y575&gt;=1,"D","F")))))),"")</f>
        <v/>
      </c>
      <c r="H575" s="3">
        <f>IF(AND('Data Source'!B575&lt;&gt;"",'Data Source'!S575="A+"),IF('Data Source'!Z575&gt;=5,"A+",IF('Data Source'!Z575&gt;=4,"A",IF('Data Source'!Z575&gt;=3.5,"A-",IF('Data Source'!Z575&gt;=3,"B",IF('Data Source'!Z575&gt;=2,"C",IF('Data Source'!Z575&gt;=1,"D","F")))))),"")</f>
        <v/>
      </c>
      <c r="I575" s="3">
        <f>IF(AND('Data Source'!B575&lt;&gt;"",'Data Source'!S575="A+"),IF('Data Source'!AA575&gt;=5,"A+",IF('Data Source'!AA575&gt;=4,"A",IF('Data Source'!AA575&gt;=3.5,"A-",IF('Data Source'!AA575&gt;=3,"B",IF('Data Source'!AA575&gt;=2,"C",IF('Data Source'!AA575&gt;=1,"D","F")))))),"")</f>
        <v/>
      </c>
      <c r="J575" s="3">
        <f>IF(AND('Data Source'!B575&lt;&gt;"",'Data Source'!S575="A+"),IF('Data Source'!AB575&gt;=5,"A+",IF('Data Source'!AB575&gt;=4,"A",IF('Data Source'!AB575&gt;=3.5,"A-",IF('Data Source'!AB575&gt;=3,"B",IF('Data Source'!AB575&gt;=2,"C",IF('Data Source'!AB575&gt;=1,"D","F")))))),"")</f>
        <v/>
      </c>
      <c r="K575" s="3">
        <f>IF(AND('Data Source'!B575&lt;&gt;"",'Data Source'!S575="A+"),IF('Data Source'!AC575&gt;=5,"A+",IF('Data Source'!AC575&gt;=4,"A",IF('Data Source'!AC575&gt;=3.5,"A-",IF('Data Source'!AC575&gt;=3,"B",IF('Data Source'!AC575&gt;=2,"C",IF('Data Source'!AC575&gt;=1,"D","F")))))),"")</f>
        <v/>
      </c>
      <c r="L575" s="3">
        <f>IF(AND('Data Source'!B575&lt;&gt;"",'Data Source'!S575="A+"),IF('Data Source'!AD575&gt;=5,"A+",IF('Data Source'!AD575&gt;=4,"A",IF('Data Source'!AD575&gt;=3.5,"A-",IF('Data Source'!AD575&gt;=3,"B",IF('Data Source'!AD575&gt;=2,"C",IF('Data Source'!AD575&gt;=1,"D","F")))))),"")</f>
        <v/>
      </c>
      <c r="M575" s="3">
        <f>IF(AND('Data Source'!B575&lt;&gt;"",'Data Source'!S575="A+"),IF('Data Source'!AE575&gt;=5,"A+",IF('Data Source'!AE575&gt;=4,"A",IF('Data Source'!AE575&gt;=3.5,"A-",IF('Data Source'!AE575&gt;=3,"B",IF('Data Source'!AE575&gt;=2,"C",IF('Data Source'!AE575&gt;=1,"D","F")))))),"")</f>
        <v/>
      </c>
      <c r="N575" s="3">
        <f>IF(AND('Data Source'!B575&lt;&gt;"",'Data Source'!S575="A+"),IF('Data Source'!AF575&gt;=5,"A+",IF('Data Source'!AF575&gt;=4,"A",IF('Data Source'!AF575&gt;=3.5,"A-",IF('Data Source'!AF575&gt;=3,"B",IF('Data Source'!AF575&gt;=2,"C",IF('Data Source'!AF575&gt;=1,"D","F")))))),"")</f>
        <v/>
      </c>
      <c r="O575" s="3">
        <f>IF(AND('Data Source'!B575&lt;&gt;"",'Data Source'!S575="A+"),IF('Data Source'!AG575&gt;=5,"A+",IF('Data Source'!AG575&gt;=4,"A",IF('Data Source'!AG575&gt;=3.5,"A-",IF('Data Source'!AG575&gt;=3,"B",IF('Data Source'!AG575&gt;=2,"C",IF('Data Source'!AG575&gt;=1,"D","F")))))),"")</f>
        <v/>
      </c>
      <c r="P575" s="5">
        <f>IF(AND('Data Source'!B575&lt;&gt;"",'Data Source'!S575="A+"),'Data Source'!R575,"")</f>
        <v/>
      </c>
      <c r="Q575" s="3">
        <f>IF(AND('Data Source'!B575&lt;&gt;"",'Data Source'!S575="A+"),'Data Source'!S575,"")</f>
        <v/>
      </c>
    </row>
    <row r="576">
      <c r="A576" s="3">
        <f>IF(AND('Data Source'!B576&lt;&gt;"",'Data Source'!S576="A+"),COUNTIF('Data Source'!$S$3:S576,"A+"),"")</f>
        <v/>
      </c>
      <c r="B576">
        <f>IF(AND('Data Source'!B576&lt;&gt;"",'Data Source'!S576="A+"),'Data Source'!B576,"")</f>
        <v/>
      </c>
      <c r="C576" s="3">
        <f>IF(AND('Data Source'!B576&lt;&gt;"",'Data Source'!S576="A+"),IF('Data Source'!U576&gt;=5,"A+",IF('Data Source'!U576&gt;=4,"A",IF('Data Source'!U576&gt;=3.5,"A-",IF('Data Source'!U576&gt;=3,"B",IF('Data Source'!U576&gt;=2,"C",IF('Data Source'!U576&gt;=1,"D","F")))))),"")</f>
        <v/>
      </c>
      <c r="D576" s="3">
        <f>IF(AND('Data Source'!B576&lt;&gt;"",'Data Source'!S576="A+"),IF('Data Source'!V576&gt;=5,"A+",IF('Data Source'!V576&gt;=4,"A",IF('Data Source'!V576&gt;=3.5,"A-",IF('Data Source'!V576&gt;=3,"B",IF('Data Source'!V576&gt;=2,"C",IF('Data Source'!V576&gt;=1,"D","F")))))),"")</f>
        <v/>
      </c>
      <c r="E576" s="3">
        <f>IF(AND('Data Source'!B576&lt;&gt;"",'Data Source'!S576="A+"),IF('Data Source'!W576&gt;=5,"A+",IF('Data Source'!W576&gt;=4,"A",IF('Data Source'!W576&gt;=3.5,"A-",IF('Data Source'!W576&gt;=3,"B",IF('Data Source'!W576&gt;=2,"C",IF('Data Source'!W576&gt;=1,"D","F")))))),"")</f>
        <v/>
      </c>
      <c r="F576" s="3">
        <f>IF(AND('Data Source'!B576&lt;&gt;"",'Data Source'!S576="A+"),IF('Data Source'!X576&gt;=5,"A+",IF('Data Source'!X576&gt;=4,"A",IF('Data Source'!X576&gt;=3.5,"A-",IF('Data Source'!X576&gt;=3,"B",IF('Data Source'!X576&gt;=2,"C",IF('Data Source'!X576&gt;=1,"D","F")))))),"")</f>
        <v/>
      </c>
      <c r="G576" s="3">
        <f>IF(AND('Data Source'!B576&lt;&gt;"",'Data Source'!S576="A+"),IF('Data Source'!Y576&gt;=5,"A+",IF('Data Source'!Y576&gt;=4,"A",IF('Data Source'!Y576&gt;=3.5,"A-",IF('Data Source'!Y576&gt;=3,"B",IF('Data Source'!Y576&gt;=2,"C",IF('Data Source'!Y576&gt;=1,"D","F")))))),"")</f>
        <v/>
      </c>
      <c r="H576" s="3">
        <f>IF(AND('Data Source'!B576&lt;&gt;"",'Data Source'!S576="A+"),IF('Data Source'!Z576&gt;=5,"A+",IF('Data Source'!Z576&gt;=4,"A",IF('Data Source'!Z576&gt;=3.5,"A-",IF('Data Source'!Z576&gt;=3,"B",IF('Data Source'!Z576&gt;=2,"C",IF('Data Source'!Z576&gt;=1,"D","F")))))),"")</f>
        <v/>
      </c>
      <c r="I576" s="3">
        <f>IF(AND('Data Source'!B576&lt;&gt;"",'Data Source'!S576="A+"),IF('Data Source'!AA576&gt;=5,"A+",IF('Data Source'!AA576&gt;=4,"A",IF('Data Source'!AA576&gt;=3.5,"A-",IF('Data Source'!AA576&gt;=3,"B",IF('Data Source'!AA576&gt;=2,"C",IF('Data Source'!AA576&gt;=1,"D","F")))))),"")</f>
        <v/>
      </c>
      <c r="J576" s="3">
        <f>IF(AND('Data Source'!B576&lt;&gt;"",'Data Source'!S576="A+"),IF('Data Source'!AB576&gt;=5,"A+",IF('Data Source'!AB576&gt;=4,"A",IF('Data Source'!AB576&gt;=3.5,"A-",IF('Data Source'!AB576&gt;=3,"B",IF('Data Source'!AB576&gt;=2,"C",IF('Data Source'!AB576&gt;=1,"D","F")))))),"")</f>
        <v/>
      </c>
      <c r="K576" s="3">
        <f>IF(AND('Data Source'!B576&lt;&gt;"",'Data Source'!S576="A+"),IF('Data Source'!AC576&gt;=5,"A+",IF('Data Source'!AC576&gt;=4,"A",IF('Data Source'!AC576&gt;=3.5,"A-",IF('Data Source'!AC576&gt;=3,"B",IF('Data Source'!AC576&gt;=2,"C",IF('Data Source'!AC576&gt;=1,"D","F")))))),"")</f>
        <v/>
      </c>
      <c r="L576" s="3">
        <f>IF(AND('Data Source'!B576&lt;&gt;"",'Data Source'!S576="A+"),IF('Data Source'!AD576&gt;=5,"A+",IF('Data Source'!AD576&gt;=4,"A",IF('Data Source'!AD576&gt;=3.5,"A-",IF('Data Source'!AD576&gt;=3,"B",IF('Data Source'!AD576&gt;=2,"C",IF('Data Source'!AD576&gt;=1,"D","F")))))),"")</f>
        <v/>
      </c>
      <c r="M576" s="3">
        <f>IF(AND('Data Source'!B576&lt;&gt;"",'Data Source'!S576="A+"),IF('Data Source'!AE576&gt;=5,"A+",IF('Data Source'!AE576&gt;=4,"A",IF('Data Source'!AE576&gt;=3.5,"A-",IF('Data Source'!AE576&gt;=3,"B",IF('Data Source'!AE576&gt;=2,"C",IF('Data Source'!AE576&gt;=1,"D","F")))))),"")</f>
        <v/>
      </c>
      <c r="N576" s="3">
        <f>IF(AND('Data Source'!B576&lt;&gt;"",'Data Source'!S576="A+"),IF('Data Source'!AF576&gt;=5,"A+",IF('Data Source'!AF576&gt;=4,"A",IF('Data Source'!AF576&gt;=3.5,"A-",IF('Data Source'!AF576&gt;=3,"B",IF('Data Source'!AF576&gt;=2,"C",IF('Data Source'!AF576&gt;=1,"D","F")))))),"")</f>
        <v/>
      </c>
      <c r="O576" s="3">
        <f>IF(AND('Data Source'!B576&lt;&gt;"",'Data Source'!S576="A+"),IF('Data Source'!AG576&gt;=5,"A+",IF('Data Source'!AG576&gt;=4,"A",IF('Data Source'!AG576&gt;=3.5,"A-",IF('Data Source'!AG576&gt;=3,"B",IF('Data Source'!AG576&gt;=2,"C",IF('Data Source'!AG576&gt;=1,"D","F")))))),"")</f>
        <v/>
      </c>
      <c r="P576" s="5">
        <f>IF(AND('Data Source'!B576&lt;&gt;"",'Data Source'!S576="A+"),'Data Source'!R576,"")</f>
        <v/>
      </c>
      <c r="Q576" s="3">
        <f>IF(AND('Data Source'!B576&lt;&gt;"",'Data Source'!S576="A+"),'Data Source'!S576,"")</f>
        <v/>
      </c>
    </row>
    <row r="577">
      <c r="A577" s="3">
        <f>IF(AND('Data Source'!B577&lt;&gt;"",'Data Source'!S577="A+"),COUNTIF('Data Source'!$S$3:S577,"A+"),"")</f>
        <v/>
      </c>
      <c r="B577">
        <f>IF(AND('Data Source'!B577&lt;&gt;"",'Data Source'!S577="A+"),'Data Source'!B577,"")</f>
        <v/>
      </c>
      <c r="C577" s="3">
        <f>IF(AND('Data Source'!B577&lt;&gt;"",'Data Source'!S577="A+"),IF('Data Source'!U577&gt;=5,"A+",IF('Data Source'!U577&gt;=4,"A",IF('Data Source'!U577&gt;=3.5,"A-",IF('Data Source'!U577&gt;=3,"B",IF('Data Source'!U577&gt;=2,"C",IF('Data Source'!U577&gt;=1,"D","F")))))),"")</f>
        <v/>
      </c>
      <c r="D577" s="3">
        <f>IF(AND('Data Source'!B577&lt;&gt;"",'Data Source'!S577="A+"),IF('Data Source'!V577&gt;=5,"A+",IF('Data Source'!V577&gt;=4,"A",IF('Data Source'!V577&gt;=3.5,"A-",IF('Data Source'!V577&gt;=3,"B",IF('Data Source'!V577&gt;=2,"C",IF('Data Source'!V577&gt;=1,"D","F")))))),"")</f>
        <v/>
      </c>
      <c r="E577" s="3">
        <f>IF(AND('Data Source'!B577&lt;&gt;"",'Data Source'!S577="A+"),IF('Data Source'!W577&gt;=5,"A+",IF('Data Source'!W577&gt;=4,"A",IF('Data Source'!W577&gt;=3.5,"A-",IF('Data Source'!W577&gt;=3,"B",IF('Data Source'!W577&gt;=2,"C",IF('Data Source'!W577&gt;=1,"D","F")))))),"")</f>
        <v/>
      </c>
      <c r="F577" s="3">
        <f>IF(AND('Data Source'!B577&lt;&gt;"",'Data Source'!S577="A+"),IF('Data Source'!X577&gt;=5,"A+",IF('Data Source'!X577&gt;=4,"A",IF('Data Source'!X577&gt;=3.5,"A-",IF('Data Source'!X577&gt;=3,"B",IF('Data Source'!X577&gt;=2,"C",IF('Data Source'!X577&gt;=1,"D","F")))))),"")</f>
        <v/>
      </c>
      <c r="G577" s="3">
        <f>IF(AND('Data Source'!B577&lt;&gt;"",'Data Source'!S577="A+"),IF('Data Source'!Y577&gt;=5,"A+",IF('Data Source'!Y577&gt;=4,"A",IF('Data Source'!Y577&gt;=3.5,"A-",IF('Data Source'!Y577&gt;=3,"B",IF('Data Source'!Y577&gt;=2,"C",IF('Data Source'!Y577&gt;=1,"D","F")))))),"")</f>
        <v/>
      </c>
      <c r="H577" s="3">
        <f>IF(AND('Data Source'!B577&lt;&gt;"",'Data Source'!S577="A+"),IF('Data Source'!Z577&gt;=5,"A+",IF('Data Source'!Z577&gt;=4,"A",IF('Data Source'!Z577&gt;=3.5,"A-",IF('Data Source'!Z577&gt;=3,"B",IF('Data Source'!Z577&gt;=2,"C",IF('Data Source'!Z577&gt;=1,"D","F")))))),"")</f>
        <v/>
      </c>
      <c r="I577" s="3">
        <f>IF(AND('Data Source'!B577&lt;&gt;"",'Data Source'!S577="A+"),IF('Data Source'!AA577&gt;=5,"A+",IF('Data Source'!AA577&gt;=4,"A",IF('Data Source'!AA577&gt;=3.5,"A-",IF('Data Source'!AA577&gt;=3,"B",IF('Data Source'!AA577&gt;=2,"C",IF('Data Source'!AA577&gt;=1,"D","F")))))),"")</f>
        <v/>
      </c>
      <c r="J577" s="3">
        <f>IF(AND('Data Source'!B577&lt;&gt;"",'Data Source'!S577="A+"),IF('Data Source'!AB577&gt;=5,"A+",IF('Data Source'!AB577&gt;=4,"A",IF('Data Source'!AB577&gt;=3.5,"A-",IF('Data Source'!AB577&gt;=3,"B",IF('Data Source'!AB577&gt;=2,"C",IF('Data Source'!AB577&gt;=1,"D","F")))))),"")</f>
        <v/>
      </c>
      <c r="K577" s="3">
        <f>IF(AND('Data Source'!B577&lt;&gt;"",'Data Source'!S577="A+"),IF('Data Source'!AC577&gt;=5,"A+",IF('Data Source'!AC577&gt;=4,"A",IF('Data Source'!AC577&gt;=3.5,"A-",IF('Data Source'!AC577&gt;=3,"B",IF('Data Source'!AC577&gt;=2,"C",IF('Data Source'!AC577&gt;=1,"D","F")))))),"")</f>
        <v/>
      </c>
      <c r="L577" s="3">
        <f>IF(AND('Data Source'!B577&lt;&gt;"",'Data Source'!S577="A+"),IF('Data Source'!AD577&gt;=5,"A+",IF('Data Source'!AD577&gt;=4,"A",IF('Data Source'!AD577&gt;=3.5,"A-",IF('Data Source'!AD577&gt;=3,"B",IF('Data Source'!AD577&gt;=2,"C",IF('Data Source'!AD577&gt;=1,"D","F")))))),"")</f>
        <v/>
      </c>
      <c r="M577" s="3">
        <f>IF(AND('Data Source'!B577&lt;&gt;"",'Data Source'!S577="A+"),IF('Data Source'!AE577&gt;=5,"A+",IF('Data Source'!AE577&gt;=4,"A",IF('Data Source'!AE577&gt;=3.5,"A-",IF('Data Source'!AE577&gt;=3,"B",IF('Data Source'!AE577&gt;=2,"C",IF('Data Source'!AE577&gt;=1,"D","F")))))),"")</f>
        <v/>
      </c>
      <c r="N577" s="3">
        <f>IF(AND('Data Source'!B577&lt;&gt;"",'Data Source'!S577="A+"),IF('Data Source'!AF577&gt;=5,"A+",IF('Data Source'!AF577&gt;=4,"A",IF('Data Source'!AF577&gt;=3.5,"A-",IF('Data Source'!AF577&gt;=3,"B",IF('Data Source'!AF577&gt;=2,"C",IF('Data Source'!AF577&gt;=1,"D","F")))))),"")</f>
        <v/>
      </c>
      <c r="O577" s="3">
        <f>IF(AND('Data Source'!B577&lt;&gt;"",'Data Source'!S577="A+"),IF('Data Source'!AG577&gt;=5,"A+",IF('Data Source'!AG577&gt;=4,"A",IF('Data Source'!AG577&gt;=3.5,"A-",IF('Data Source'!AG577&gt;=3,"B",IF('Data Source'!AG577&gt;=2,"C",IF('Data Source'!AG577&gt;=1,"D","F")))))),"")</f>
        <v/>
      </c>
      <c r="P577" s="5">
        <f>IF(AND('Data Source'!B577&lt;&gt;"",'Data Source'!S577="A+"),'Data Source'!R577,"")</f>
        <v/>
      </c>
      <c r="Q577" s="3">
        <f>IF(AND('Data Source'!B577&lt;&gt;"",'Data Source'!S577="A+"),'Data Source'!S577,"")</f>
        <v/>
      </c>
    </row>
    <row r="578">
      <c r="A578" s="3">
        <f>IF(AND('Data Source'!B578&lt;&gt;"",'Data Source'!S578="A+"),COUNTIF('Data Source'!$S$3:S578,"A+"),"")</f>
        <v/>
      </c>
      <c r="B578">
        <f>IF(AND('Data Source'!B578&lt;&gt;"",'Data Source'!S578="A+"),'Data Source'!B578,"")</f>
        <v/>
      </c>
      <c r="C578" s="3">
        <f>IF(AND('Data Source'!B578&lt;&gt;"",'Data Source'!S578="A+"),IF('Data Source'!U578&gt;=5,"A+",IF('Data Source'!U578&gt;=4,"A",IF('Data Source'!U578&gt;=3.5,"A-",IF('Data Source'!U578&gt;=3,"B",IF('Data Source'!U578&gt;=2,"C",IF('Data Source'!U578&gt;=1,"D","F")))))),"")</f>
        <v/>
      </c>
      <c r="D578" s="3">
        <f>IF(AND('Data Source'!B578&lt;&gt;"",'Data Source'!S578="A+"),IF('Data Source'!V578&gt;=5,"A+",IF('Data Source'!V578&gt;=4,"A",IF('Data Source'!V578&gt;=3.5,"A-",IF('Data Source'!V578&gt;=3,"B",IF('Data Source'!V578&gt;=2,"C",IF('Data Source'!V578&gt;=1,"D","F")))))),"")</f>
        <v/>
      </c>
      <c r="E578" s="3">
        <f>IF(AND('Data Source'!B578&lt;&gt;"",'Data Source'!S578="A+"),IF('Data Source'!W578&gt;=5,"A+",IF('Data Source'!W578&gt;=4,"A",IF('Data Source'!W578&gt;=3.5,"A-",IF('Data Source'!W578&gt;=3,"B",IF('Data Source'!W578&gt;=2,"C",IF('Data Source'!W578&gt;=1,"D","F")))))),"")</f>
        <v/>
      </c>
      <c r="F578" s="3">
        <f>IF(AND('Data Source'!B578&lt;&gt;"",'Data Source'!S578="A+"),IF('Data Source'!X578&gt;=5,"A+",IF('Data Source'!X578&gt;=4,"A",IF('Data Source'!X578&gt;=3.5,"A-",IF('Data Source'!X578&gt;=3,"B",IF('Data Source'!X578&gt;=2,"C",IF('Data Source'!X578&gt;=1,"D","F")))))),"")</f>
        <v/>
      </c>
      <c r="G578" s="3">
        <f>IF(AND('Data Source'!B578&lt;&gt;"",'Data Source'!S578="A+"),IF('Data Source'!Y578&gt;=5,"A+",IF('Data Source'!Y578&gt;=4,"A",IF('Data Source'!Y578&gt;=3.5,"A-",IF('Data Source'!Y578&gt;=3,"B",IF('Data Source'!Y578&gt;=2,"C",IF('Data Source'!Y578&gt;=1,"D","F")))))),"")</f>
        <v/>
      </c>
      <c r="H578" s="3">
        <f>IF(AND('Data Source'!B578&lt;&gt;"",'Data Source'!S578="A+"),IF('Data Source'!Z578&gt;=5,"A+",IF('Data Source'!Z578&gt;=4,"A",IF('Data Source'!Z578&gt;=3.5,"A-",IF('Data Source'!Z578&gt;=3,"B",IF('Data Source'!Z578&gt;=2,"C",IF('Data Source'!Z578&gt;=1,"D","F")))))),"")</f>
        <v/>
      </c>
      <c r="I578" s="3">
        <f>IF(AND('Data Source'!B578&lt;&gt;"",'Data Source'!S578="A+"),IF('Data Source'!AA578&gt;=5,"A+",IF('Data Source'!AA578&gt;=4,"A",IF('Data Source'!AA578&gt;=3.5,"A-",IF('Data Source'!AA578&gt;=3,"B",IF('Data Source'!AA578&gt;=2,"C",IF('Data Source'!AA578&gt;=1,"D","F")))))),"")</f>
        <v/>
      </c>
      <c r="J578" s="3">
        <f>IF(AND('Data Source'!B578&lt;&gt;"",'Data Source'!S578="A+"),IF('Data Source'!AB578&gt;=5,"A+",IF('Data Source'!AB578&gt;=4,"A",IF('Data Source'!AB578&gt;=3.5,"A-",IF('Data Source'!AB578&gt;=3,"B",IF('Data Source'!AB578&gt;=2,"C",IF('Data Source'!AB578&gt;=1,"D","F")))))),"")</f>
        <v/>
      </c>
      <c r="K578" s="3">
        <f>IF(AND('Data Source'!B578&lt;&gt;"",'Data Source'!S578="A+"),IF('Data Source'!AC578&gt;=5,"A+",IF('Data Source'!AC578&gt;=4,"A",IF('Data Source'!AC578&gt;=3.5,"A-",IF('Data Source'!AC578&gt;=3,"B",IF('Data Source'!AC578&gt;=2,"C",IF('Data Source'!AC578&gt;=1,"D","F")))))),"")</f>
        <v/>
      </c>
      <c r="L578" s="3">
        <f>IF(AND('Data Source'!B578&lt;&gt;"",'Data Source'!S578="A+"),IF('Data Source'!AD578&gt;=5,"A+",IF('Data Source'!AD578&gt;=4,"A",IF('Data Source'!AD578&gt;=3.5,"A-",IF('Data Source'!AD578&gt;=3,"B",IF('Data Source'!AD578&gt;=2,"C",IF('Data Source'!AD578&gt;=1,"D","F")))))),"")</f>
        <v/>
      </c>
      <c r="M578" s="3">
        <f>IF(AND('Data Source'!B578&lt;&gt;"",'Data Source'!S578="A+"),IF('Data Source'!AE578&gt;=5,"A+",IF('Data Source'!AE578&gt;=4,"A",IF('Data Source'!AE578&gt;=3.5,"A-",IF('Data Source'!AE578&gt;=3,"B",IF('Data Source'!AE578&gt;=2,"C",IF('Data Source'!AE578&gt;=1,"D","F")))))),"")</f>
        <v/>
      </c>
      <c r="N578" s="3">
        <f>IF(AND('Data Source'!B578&lt;&gt;"",'Data Source'!S578="A+"),IF('Data Source'!AF578&gt;=5,"A+",IF('Data Source'!AF578&gt;=4,"A",IF('Data Source'!AF578&gt;=3.5,"A-",IF('Data Source'!AF578&gt;=3,"B",IF('Data Source'!AF578&gt;=2,"C",IF('Data Source'!AF578&gt;=1,"D","F")))))),"")</f>
        <v/>
      </c>
      <c r="O578" s="3">
        <f>IF(AND('Data Source'!B578&lt;&gt;"",'Data Source'!S578="A+"),IF('Data Source'!AG578&gt;=5,"A+",IF('Data Source'!AG578&gt;=4,"A",IF('Data Source'!AG578&gt;=3.5,"A-",IF('Data Source'!AG578&gt;=3,"B",IF('Data Source'!AG578&gt;=2,"C",IF('Data Source'!AG578&gt;=1,"D","F")))))),"")</f>
        <v/>
      </c>
      <c r="P578" s="5">
        <f>IF(AND('Data Source'!B578&lt;&gt;"",'Data Source'!S578="A+"),'Data Source'!R578,"")</f>
        <v/>
      </c>
      <c r="Q578" s="3">
        <f>IF(AND('Data Source'!B578&lt;&gt;"",'Data Source'!S578="A+"),'Data Source'!S578,"")</f>
        <v/>
      </c>
    </row>
    <row r="579">
      <c r="A579" s="3">
        <f>IF(AND('Data Source'!B579&lt;&gt;"",'Data Source'!S579="A+"),COUNTIF('Data Source'!$S$3:S579,"A+"),"")</f>
        <v/>
      </c>
      <c r="B579">
        <f>IF(AND('Data Source'!B579&lt;&gt;"",'Data Source'!S579="A+"),'Data Source'!B579,"")</f>
        <v/>
      </c>
      <c r="C579" s="3">
        <f>IF(AND('Data Source'!B579&lt;&gt;"",'Data Source'!S579="A+"),IF('Data Source'!U579&gt;=5,"A+",IF('Data Source'!U579&gt;=4,"A",IF('Data Source'!U579&gt;=3.5,"A-",IF('Data Source'!U579&gt;=3,"B",IF('Data Source'!U579&gt;=2,"C",IF('Data Source'!U579&gt;=1,"D","F")))))),"")</f>
        <v/>
      </c>
      <c r="D579" s="3">
        <f>IF(AND('Data Source'!B579&lt;&gt;"",'Data Source'!S579="A+"),IF('Data Source'!V579&gt;=5,"A+",IF('Data Source'!V579&gt;=4,"A",IF('Data Source'!V579&gt;=3.5,"A-",IF('Data Source'!V579&gt;=3,"B",IF('Data Source'!V579&gt;=2,"C",IF('Data Source'!V579&gt;=1,"D","F")))))),"")</f>
        <v/>
      </c>
      <c r="E579" s="3">
        <f>IF(AND('Data Source'!B579&lt;&gt;"",'Data Source'!S579="A+"),IF('Data Source'!W579&gt;=5,"A+",IF('Data Source'!W579&gt;=4,"A",IF('Data Source'!W579&gt;=3.5,"A-",IF('Data Source'!W579&gt;=3,"B",IF('Data Source'!W579&gt;=2,"C",IF('Data Source'!W579&gt;=1,"D","F")))))),"")</f>
        <v/>
      </c>
      <c r="F579" s="3">
        <f>IF(AND('Data Source'!B579&lt;&gt;"",'Data Source'!S579="A+"),IF('Data Source'!X579&gt;=5,"A+",IF('Data Source'!X579&gt;=4,"A",IF('Data Source'!X579&gt;=3.5,"A-",IF('Data Source'!X579&gt;=3,"B",IF('Data Source'!X579&gt;=2,"C",IF('Data Source'!X579&gt;=1,"D","F")))))),"")</f>
        <v/>
      </c>
      <c r="G579" s="3">
        <f>IF(AND('Data Source'!B579&lt;&gt;"",'Data Source'!S579="A+"),IF('Data Source'!Y579&gt;=5,"A+",IF('Data Source'!Y579&gt;=4,"A",IF('Data Source'!Y579&gt;=3.5,"A-",IF('Data Source'!Y579&gt;=3,"B",IF('Data Source'!Y579&gt;=2,"C",IF('Data Source'!Y579&gt;=1,"D","F")))))),"")</f>
        <v/>
      </c>
      <c r="H579" s="3">
        <f>IF(AND('Data Source'!B579&lt;&gt;"",'Data Source'!S579="A+"),IF('Data Source'!Z579&gt;=5,"A+",IF('Data Source'!Z579&gt;=4,"A",IF('Data Source'!Z579&gt;=3.5,"A-",IF('Data Source'!Z579&gt;=3,"B",IF('Data Source'!Z579&gt;=2,"C",IF('Data Source'!Z579&gt;=1,"D","F")))))),"")</f>
        <v/>
      </c>
      <c r="I579" s="3">
        <f>IF(AND('Data Source'!B579&lt;&gt;"",'Data Source'!S579="A+"),IF('Data Source'!AA579&gt;=5,"A+",IF('Data Source'!AA579&gt;=4,"A",IF('Data Source'!AA579&gt;=3.5,"A-",IF('Data Source'!AA579&gt;=3,"B",IF('Data Source'!AA579&gt;=2,"C",IF('Data Source'!AA579&gt;=1,"D","F")))))),"")</f>
        <v/>
      </c>
      <c r="J579" s="3">
        <f>IF(AND('Data Source'!B579&lt;&gt;"",'Data Source'!S579="A+"),IF('Data Source'!AB579&gt;=5,"A+",IF('Data Source'!AB579&gt;=4,"A",IF('Data Source'!AB579&gt;=3.5,"A-",IF('Data Source'!AB579&gt;=3,"B",IF('Data Source'!AB579&gt;=2,"C",IF('Data Source'!AB579&gt;=1,"D","F")))))),"")</f>
        <v/>
      </c>
      <c r="K579" s="3">
        <f>IF(AND('Data Source'!B579&lt;&gt;"",'Data Source'!S579="A+"),IF('Data Source'!AC579&gt;=5,"A+",IF('Data Source'!AC579&gt;=4,"A",IF('Data Source'!AC579&gt;=3.5,"A-",IF('Data Source'!AC579&gt;=3,"B",IF('Data Source'!AC579&gt;=2,"C",IF('Data Source'!AC579&gt;=1,"D","F")))))),"")</f>
        <v/>
      </c>
      <c r="L579" s="3">
        <f>IF(AND('Data Source'!B579&lt;&gt;"",'Data Source'!S579="A+"),IF('Data Source'!AD579&gt;=5,"A+",IF('Data Source'!AD579&gt;=4,"A",IF('Data Source'!AD579&gt;=3.5,"A-",IF('Data Source'!AD579&gt;=3,"B",IF('Data Source'!AD579&gt;=2,"C",IF('Data Source'!AD579&gt;=1,"D","F")))))),"")</f>
        <v/>
      </c>
      <c r="M579" s="3">
        <f>IF(AND('Data Source'!B579&lt;&gt;"",'Data Source'!S579="A+"),IF('Data Source'!AE579&gt;=5,"A+",IF('Data Source'!AE579&gt;=4,"A",IF('Data Source'!AE579&gt;=3.5,"A-",IF('Data Source'!AE579&gt;=3,"B",IF('Data Source'!AE579&gt;=2,"C",IF('Data Source'!AE579&gt;=1,"D","F")))))),"")</f>
        <v/>
      </c>
      <c r="N579" s="3">
        <f>IF(AND('Data Source'!B579&lt;&gt;"",'Data Source'!S579="A+"),IF('Data Source'!AF579&gt;=5,"A+",IF('Data Source'!AF579&gt;=4,"A",IF('Data Source'!AF579&gt;=3.5,"A-",IF('Data Source'!AF579&gt;=3,"B",IF('Data Source'!AF579&gt;=2,"C",IF('Data Source'!AF579&gt;=1,"D","F")))))),"")</f>
        <v/>
      </c>
      <c r="O579" s="3">
        <f>IF(AND('Data Source'!B579&lt;&gt;"",'Data Source'!S579="A+"),IF('Data Source'!AG579&gt;=5,"A+",IF('Data Source'!AG579&gt;=4,"A",IF('Data Source'!AG579&gt;=3.5,"A-",IF('Data Source'!AG579&gt;=3,"B",IF('Data Source'!AG579&gt;=2,"C",IF('Data Source'!AG579&gt;=1,"D","F")))))),"")</f>
        <v/>
      </c>
      <c r="P579" s="5">
        <f>IF(AND('Data Source'!B579&lt;&gt;"",'Data Source'!S579="A+"),'Data Source'!R579,"")</f>
        <v/>
      </c>
      <c r="Q579" s="3">
        <f>IF(AND('Data Source'!B579&lt;&gt;"",'Data Source'!S579="A+"),'Data Source'!S579,"")</f>
        <v/>
      </c>
    </row>
    <row r="580">
      <c r="A580" s="3">
        <f>IF(AND('Data Source'!B580&lt;&gt;"",'Data Source'!S580="A+"),COUNTIF('Data Source'!$S$3:S580,"A+"),"")</f>
        <v/>
      </c>
      <c r="B580">
        <f>IF(AND('Data Source'!B580&lt;&gt;"",'Data Source'!S580="A+"),'Data Source'!B580,"")</f>
        <v/>
      </c>
      <c r="C580" s="3">
        <f>IF(AND('Data Source'!B580&lt;&gt;"",'Data Source'!S580="A+"),IF('Data Source'!U580&gt;=5,"A+",IF('Data Source'!U580&gt;=4,"A",IF('Data Source'!U580&gt;=3.5,"A-",IF('Data Source'!U580&gt;=3,"B",IF('Data Source'!U580&gt;=2,"C",IF('Data Source'!U580&gt;=1,"D","F")))))),"")</f>
        <v/>
      </c>
      <c r="D580" s="3">
        <f>IF(AND('Data Source'!B580&lt;&gt;"",'Data Source'!S580="A+"),IF('Data Source'!V580&gt;=5,"A+",IF('Data Source'!V580&gt;=4,"A",IF('Data Source'!V580&gt;=3.5,"A-",IF('Data Source'!V580&gt;=3,"B",IF('Data Source'!V580&gt;=2,"C",IF('Data Source'!V580&gt;=1,"D","F")))))),"")</f>
        <v/>
      </c>
      <c r="E580" s="3">
        <f>IF(AND('Data Source'!B580&lt;&gt;"",'Data Source'!S580="A+"),IF('Data Source'!W580&gt;=5,"A+",IF('Data Source'!W580&gt;=4,"A",IF('Data Source'!W580&gt;=3.5,"A-",IF('Data Source'!W580&gt;=3,"B",IF('Data Source'!W580&gt;=2,"C",IF('Data Source'!W580&gt;=1,"D","F")))))),"")</f>
        <v/>
      </c>
      <c r="F580" s="3">
        <f>IF(AND('Data Source'!B580&lt;&gt;"",'Data Source'!S580="A+"),IF('Data Source'!X580&gt;=5,"A+",IF('Data Source'!X580&gt;=4,"A",IF('Data Source'!X580&gt;=3.5,"A-",IF('Data Source'!X580&gt;=3,"B",IF('Data Source'!X580&gt;=2,"C",IF('Data Source'!X580&gt;=1,"D","F")))))),"")</f>
        <v/>
      </c>
      <c r="G580" s="3">
        <f>IF(AND('Data Source'!B580&lt;&gt;"",'Data Source'!S580="A+"),IF('Data Source'!Y580&gt;=5,"A+",IF('Data Source'!Y580&gt;=4,"A",IF('Data Source'!Y580&gt;=3.5,"A-",IF('Data Source'!Y580&gt;=3,"B",IF('Data Source'!Y580&gt;=2,"C",IF('Data Source'!Y580&gt;=1,"D","F")))))),"")</f>
        <v/>
      </c>
      <c r="H580" s="3">
        <f>IF(AND('Data Source'!B580&lt;&gt;"",'Data Source'!S580="A+"),IF('Data Source'!Z580&gt;=5,"A+",IF('Data Source'!Z580&gt;=4,"A",IF('Data Source'!Z580&gt;=3.5,"A-",IF('Data Source'!Z580&gt;=3,"B",IF('Data Source'!Z580&gt;=2,"C",IF('Data Source'!Z580&gt;=1,"D","F")))))),"")</f>
        <v/>
      </c>
      <c r="I580" s="3">
        <f>IF(AND('Data Source'!B580&lt;&gt;"",'Data Source'!S580="A+"),IF('Data Source'!AA580&gt;=5,"A+",IF('Data Source'!AA580&gt;=4,"A",IF('Data Source'!AA580&gt;=3.5,"A-",IF('Data Source'!AA580&gt;=3,"B",IF('Data Source'!AA580&gt;=2,"C",IF('Data Source'!AA580&gt;=1,"D","F")))))),"")</f>
        <v/>
      </c>
      <c r="J580" s="3">
        <f>IF(AND('Data Source'!B580&lt;&gt;"",'Data Source'!S580="A+"),IF('Data Source'!AB580&gt;=5,"A+",IF('Data Source'!AB580&gt;=4,"A",IF('Data Source'!AB580&gt;=3.5,"A-",IF('Data Source'!AB580&gt;=3,"B",IF('Data Source'!AB580&gt;=2,"C",IF('Data Source'!AB580&gt;=1,"D","F")))))),"")</f>
        <v/>
      </c>
      <c r="K580" s="3">
        <f>IF(AND('Data Source'!B580&lt;&gt;"",'Data Source'!S580="A+"),IF('Data Source'!AC580&gt;=5,"A+",IF('Data Source'!AC580&gt;=4,"A",IF('Data Source'!AC580&gt;=3.5,"A-",IF('Data Source'!AC580&gt;=3,"B",IF('Data Source'!AC580&gt;=2,"C",IF('Data Source'!AC580&gt;=1,"D","F")))))),"")</f>
        <v/>
      </c>
      <c r="L580" s="3">
        <f>IF(AND('Data Source'!B580&lt;&gt;"",'Data Source'!S580="A+"),IF('Data Source'!AD580&gt;=5,"A+",IF('Data Source'!AD580&gt;=4,"A",IF('Data Source'!AD580&gt;=3.5,"A-",IF('Data Source'!AD580&gt;=3,"B",IF('Data Source'!AD580&gt;=2,"C",IF('Data Source'!AD580&gt;=1,"D","F")))))),"")</f>
        <v/>
      </c>
      <c r="M580" s="3">
        <f>IF(AND('Data Source'!B580&lt;&gt;"",'Data Source'!S580="A+"),IF('Data Source'!AE580&gt;=5,"A+",IF('Data Source'!AE580&gt;=4,"A",IF('Data Source'!AE580&gt;=3.5,"A-",IF('Data Source'!AE580&gt;=3,"B",IF('Data Source'!AE580&gt;=2,"C",IF('Data Source'!AE580&gt;=1,"D","F")))))),"")</f>
        <v/>
      </c>
      <c r="N580" s="3">
        <f>IF(AND('Data Source'!B580&lt;&gt;"",'Data Source'!S580="A+"),IF('Data Source'!AF580&gt;=5,"A+",IF('Data Source'!AF580&gt;=4,"A",IF('Data Source'!AF580&gt;=3.5,"A-",IF('Data Source'!AF580&gt;=3,"B",IF('Data Source'!AF580&gt;=2,"C",IF('Data Source'!AF580&gt;=1,"D","F")))))),"")</f>
        <v/>
      </c>
      <c r="O580" s="3">
        <f>IF(AND('Data Source'!B580&lt;&gt;"",'Data Source'!S580="A+"),IF('Data Source'!AG580&gt;=5,"A+",IF('Data Source'!AG580&gt;=4,"A",IF('Data Source'!AG580&gt;=3.5,"A-",IF('Data Source'!AG580&gt;=3,"B",IF('Data Source'!AG580&gt;=2,"C",IF('Data Source'!AG580&gt;=1,"D","F")))))),"")</f>
        <v/>
      </c>
      <c r="P580" s="5">
        <f>IF(AND('Data Source'!B580&lt;&gt;"",'Data Source'!S580="A+"),'Data Source'!R580,"")</f>
        <v/>
      </c>
      <c r="Q580" s="3">
        <f>IF(AND('Data Source'!B580&lt;&gt;"",'Data Source'!S580="A+"),'Data Source'!S580,"")</f>
        <v/>
      </c>
    </row>
    <row r="581">
      <c r="A581" s="3">
        <f>IF(AND('Data Source'!B581&lt;&gt;"",'Data Source'!S581="A+"),COUNTIF('Data Source'!$S$3:S581,"A+"),"")</f>
        <v/>
      </c>
      <c r="B581">
        <f>IF(AND('Data Source'!B581&lt;&gt;"",'Data Source'!S581="A+"),'Data Source'!B581,"")</f>
        <v/>
      </c>
      <c r="C581" s="3">
        <f>IF(AND('Data Source'!B581&lt;&gt;"",'Data Source'!S581="A+"),IF('Data Source'!U581&gt;=5,"A+",IF('Data Source'!U581&gt;=4,"A",IF('Data Source'!U581&gt;=3.5,"A-",IF('Data Source'!U581&gt;=3,"B",IF('Data Source'!U581&gt;=2,"C",IF('Data Source'!U581&gt;=1,"D","F")))))),"")</f>
        <v/>
      </c>
      <c r="D581" s="3">
        <f>IF(AND('Data Source'!B581&lt;&gt;"",'Data Source'!S581="A+"),IF('Data Source'!V581&gt;=5,"A+",IF('Data Source'!V581&gt;=4,"A",IF('Data Source'!V581&gt;=3.5,"A-",IF('Data Source'!V581&gt;=3,"B",IF('Data Source'!V581&gt;=2,"C",IF('Data Source'!V581&gt;=1,"D","F")))))),"")</f>
        <v/>
      </c>
      <c r="E581" s="3">
        <f>IF(AND('Data Source'!B581&lt;&gt;"",'Data Source'!S581="A+"),IF('Data Source'!W581&gt;=5,"A+",IF('Data Source'!W581&gt;=4,"A",IF('Data Source'!W581&gt;=3.5,"A-",IF('Data Source'!W581&gt;=3,"B",IF('Data Source'!W581&gt;=2,"C",IF('Data Source'!W581&gt;=1,"D","F")))))),"")</f>
        <v/>
      </c>
      <c r="F581" s="3">
        <f>IF(AND('Data Source'!B581&lt;&gt;"",'Data Source'!S581="A+"),IF('Data Source'!X581&gt;=5,"A+",IF('Data Source'!X581&gt;=4,"A",IF('Data Source'!X581&gt;=3.5,"A-",IF('Data Source'!X581&gt;=3,"B",IF('Data Source'!X581&gt;=2,"C",IF('Data Source'!X581&gt;=1,"D","F")))))),"")</f>
        <v/>
      </c>
      <c r="G581" s="3">
        <f>IF(AND('Data Source'!B581&lt;&gt;"",'Data Source'!S581="A+"),IF('Data Source'!Y581&gt;=5,"A+",IF('Data Source'!Y581&gt;=4,"A",IF('Data Source'!Y581&gt;=3.5,"A-",IF('Data Source'!Y581&gt;=3,"B",IF('Data Source'!Y581&gt;=2,"C",IF('Data Source'!Y581&gt;=1,"D","F")))))),"")</f>
        <v/>
      </c>
      <c r="H581" s="3">
        <f>IF(AND('Data Source'!B581&lt;&gt;"",'Data Source'!S581="A+"),IF('Data Source'!Z581&gt;=5,"A+",IF('Data Source'!Z581&gt;=4,"A",IF('Data Source'!Z581&gt;=3.5,"A-",IF('Data Source'!Z581&gt;=3,"B",IF('Data Source'!Z581&gt;=2,"C",IF('Data Source'!Z581&gt;=1,"D","F")))))),"")</f>
        <v/>
      </c>
      <c r="I581" s="3">
        <f>IF(AND('Data Source'!B581&lt;&gt;"",'Data Source'!S581="A+"),IF('Data Source'!AA581&gt;=5,"A+",IF('Data Source'!AA581&gt;=4,"A",IF('Data Source'!AA581&gt;=3.5,"A-",IF('Data Source'!AA581&gt;=3,"B",IF('Data Source'!AA581&gt;=2,"C",IF('Data Source'!AA581&gt;=1,"D","F")))))),"")</f>
        <v/>
      </c>
      <c r="J581" s="3">
        <f>IF(AND('Data Source'!B581&lt;&gt;"",'Data Source'!S581="A+"),IF('Data Source'!AB581&gt;=5,"A+",IF('Data Source'!AB581&gt;=4,"A",IF('Data Source'!AB581&gt;=3.5,"A-",IF('Data Source'!AB581&gt;=3,"B",IF('Data Source'!AB581&gt;=2,"C",IF('Data Source'!AB581&gt;=1,"D","F")))))),"")</f>
        <v/>
      </c>
      <c r="K581" s="3">
        <f>IF(AND('Data Source'!B581&lt;&gt;"",'Data Source'!S581="A+"),IF('Data Source'!AC581&gt;=5,"A+",IF('Data Source'!AC581&gt;=4,"A",IF('Data Source'!AC581&gt;=3.5,"A-",IF('Data Source'!AC581&gt;=3,"B",IF('Data Source'!AC581&gt;=2,"C",IF('Data Source'!AC581&gt;=1,"D","F")))))),"")</f>
        <v/>
      </c>
      <c r="L581" s="3">
        <f>IF(AND('Data Source'!B581&lt;&gt;"",'Data Source'!S581="A+"),IF('Data Source'!AD581&gt;=5,"A+",IF('Data Source'!AD581&gt;=4,"A",IF('Data Source'!AD581&gt;=3.5,"A-",IF('Data Source'!AD581&gt;=3,"B",IF('Data Source'!AD581&gt;=2,"C",IF('Data Source'!AD581&gt;=1,"D","F")))))),"")</f>
        <v/>
      </c>
      <c r="M581" s="3">
        <f>IF(AND('Data Source'!B581&lt;&gt;"",'Data Source'!S581="A+"),IF('Data Source'!AE581&gt;=5,"A+",IF('Data Source'!AE581&gt;=4,"A",IF('Data Source'!AE581&gt;=3.5,"A-",IF('Data Source'!AE581&gt;=3,"B",IF('Data Source'!AE581&gt;=2,"C",IF('Data Source'!AE581&gt;=1,"D","F")))))),"")</f>
        <v/>
      </c>
      <c r="N581" s="3">
        <f>IF(AND('Data Source'!B581&lt;&gt;"",'Data Source'!S581="A+"),IF('Data Source'!AF581&gt;=5,"A+",IF('Data Source'!AF581&gt;=4,"A",IF('Data Source'!AF581&gt;=3.5,"A-",IF('Data Source'!AF581&gt;=3,"B",IF('Data Source'!AF581&gt;=2,"C",IF('Data Source'!AF581&gt;=1,"D","F")))))),"")</f>
        <v/>
      </c>
      <c r="O581" s="3">
        <f>IF(AND('Data Source'!B581&lt;&gt;"",'Data Source'!S581="A+"),IF('Data Source'!AG581&gt;=5,"A+",IF('Data Source'!AG581&gt;=4,"A",IF('Data Source'!AG581&gt;=3.5,"A-",IF('Data Source'!AG581&gt;=3,"B",IF('Data Source'!AG581&gt;=2,"C",IF('Data Source'!AG581&gt;=1,"D","F")))))),"")</f>
        <v/>
      </c>
      <c r="P581" s="5">
        <f>IF(AND('Data Source'!B581&lt;&gt;"",'Data Source'!S581="A+"),'Data Source'!R581,"")</f>
        <v/>
      </c>
      <c r="Q581" s="3">
        <f>IF(AND('Data Source'!B581&lt;&gt;"",'Data Source'!S581="A+"),'Data Source'!S581,"")</f>
        <v/>
      </c>
    </row>
    <row r="582">
      <c r="A582" s="3">
        <f>IF(AND('Data Source'!B582&lt;&gt;"",'Data Source'!S582="A+"),COUNTIF('Data Source'!$S$3:S582,"A+"),"")</f>
        <v/>
      </c>
      <c r="B582">
        <f>IF(AND('Data Source'!B582&lt;&gt;"",'Data Source'!S582="A+"),'Data Source'!B582,"")</f>
        <v/>
      </c>
      <c r="C582" s="3">
        <f>IF(AND('Data Source'!B582&lt;&gt;"",'Data Source'!S582="A+"),IF('Data Source'!U582&gt;=5,"A+",IF('Data Source'!U582&gt;=4,"A",IF('Data Source'!U582&gt;=3.5,"A-",IF('Data Source'!U582&gt;=3,"B",IF('Data Source'!U582&gt;=2,"C",IF('Data Source'!U582&gt;=1,"D","F")))))),"")</f>
        <v/>
      </c>
      <c r="D582" s="3">
        <f>IF(AND('Data Source'!B582&lt;&gt;"",'Data Source'!S582="A+"),IF('Data Source'!V582&gt;=5,"A+",IF('Data Source'!V582&gt;=4,"A",IF('Data Source'!V582&gt;=3.5,"A-",IF('Data Source'!V582&gt;=3,"B",IF('Data Source'!V582&gt;=2,"C",IF('Data Source'!V582&gt;=1,"D","F")))))),"")</f>
        <v/>
      </c>
      <c r="E582" s="3">
        <f>IF(AND('Data Source'!B582&lt;&gt;"",'Data Source'!S582="A+"),IF('Data Source'!W582&gt;=5,"A+",IF('Data Source'!W582&gt;=4,"A",IF('Data Source'!W582&gt;=3.5,"A-",IF('Data Source'!W582&gt;=3,"B",IF('Data Source'!W582&gt;=2,"C",IF('Data Source'!W582&gt;=1,"D","F")))))),"")</f>
        <v/>
      </c>
      <c r="F582" s="3">
        <f>IF(AND('Data Source'!B582&lt;&gt;"",'Data Source'!S582="A+"),IF('Data Source'!X582&gt;=5,"A+",IF('Data Source'!X582&gt;=4,"A",IF('Data Source'!X582&gt;=3.5,"A-",IF('Data Source'!X582&gt;=3,"B",IF('Data Source'!X582&gt;=2,"C",IF('Data Source'!X582&gt;=1,"D","F")))))),"")</f>
        <v/>
      </c>
      <c r="G582" s="3">
        <f>IF(AND('Data Source'!B582&lt;&gt;"",'Data Source'!S582="A+"),IF('Data Source'!Y582&gt;=5,"A+",IF('Data Source'!Y582&gt;=4,"A",IF('Data Source'!Y582&gt;=3.5,"A-",IF('Data Source'!Y582&gt;=3,"B",IF('Data Source'!Y582&gt;=2,"C",IF('Data Source'!Y582&gt;=1,"D","F")))))),"")</f>
        <v/>
      </c>
      <c r="H582" s="3">
        <f>IF(AND('Data Source'!B582&lt;&gt;"",'Data Source'!S582="A+"),IF('Data Source'!Z582&gt;=5,"A+",IF('Data Source'!Z582&gt;=4,"A",IF('Data Source'!Z582&gt;=3.5,"A-",IF('Data Source'!Z582&gt;=3,"B",IF('Data Source'!Z582&gt;=2,"C",IF('Data Source'!Z582&gt;=1,"D","F")))))),"")</f>
        <v/>
      </c>
      <c r="I582" s="3">
        <f>IF(AND('Data Source'!B582&lt;&gt;"",'Data Source'!S582="A+"),IF('Data Source'!AA582&gt;=5,"A+",IF('Data Source'!AA582&gt;=4,"A",IF('Data Source'!AA582&gt;=3.5,"A-",IF('Data Source'!AA582&gt;=3,"B",IF('Data Source'!AA582&gt;=2,"C",IF('Data Source'!AA582&gt;=1,"D","F")))))),"")</f>
        <v/>
      </c>
      <c r="J582" s="3">
        <f>IF(AND('Data Source'!B582&lt;&gt;"",'Data Source'!S582="A+"),IF('Data Source'!AB582&gt;=5,"A+",IF('Data Source'!AB582&gt;=4,"A",IF('Data Source'!AB582&gt;=3.5,"A-",IF('Data Source'!AB582&gt;=3,"B",IF('Data Source'!AB582&gt;=2,"C",IF('Data Source'!AB582&gt;=1,"D","F")))))),"")</f>
        <v/>
      </c>
      <c r="K582" s="3">
        <f>IF(AND('Data Source'!B582&lt;&gt;"",'Data Source'!S582="A+"),IF('Data Source'!AC582&gt;=5,"A+",IF('Data Source'!AC582&gt;=4,"A",IF('Data Source'!AC582&gt;=3.5,"A-",IF('Data Source'!AC582&gt;=3,"B",IF('Data Source'!AC582&gt;=2,"C",IF('Data Source'!AC582&gt;=1,"D","F")))))),"")</f>
        <v/>
      </c>
      <c r="L582" s="3">
        <f>IF(AND('Data Source'!B582&lt;&gt;"",'Data Source'!S582="A+"),IF('Data Source'!AD582&gt;=5,"A+",IF('Data Source'!AD582&gt;=4,"A",IF('Data Source'!AD582&gt;=3.5,"A-",IF('Data Source'!AD582&gt;=3,"B",IF('Data Source'!AD582&gt;=2,"C",IF('Data Source'!AD582&gt;=1,"D","F")))))),"")</f>
        <v/>
      </c>
      <c r="M582" s="3">
        <f>IF(AND('Data Source'!B582&lt;&gt;"",'Data Source'!S582="A+"),IF('Data Source'!AE582&gt;=5,"A+",IF('Data Source'!AE582&gt;=4,"A",IF('Data Source'!AE582&gt;=3.5,"A-",IF('Data Source'!AE582&gt;=3,"B",IF('Data Source'!AE582&gt;=2,"C",IF('Data Source'!AE582&gt;=1,"D","F")))))),"")</f>
        <v/>
      </c>
      <c r="N582" s="3">
        <f>IF(AND('Data Source'!B582&lt;&gt;"",'Data Source'!S582="A+"),IF('Data Source'!AF582&gt;=5,"A+",IF('Data Source'!AF582&gt;=4,"A",IF('Data Source'!AF582&gt;=3.5,"A-",IF('Data Source'!AF582&gt;=3,"B",IF('Data Source'!AF582&gt;=2,"C",IF('Data Source'!AF582&gt;=1,"D","F")))))),"")</f>
        <v/>
      </c>
      <c r="O582" s="3">
        <f>IF(AND('Data Source'!B582&lt;&gt;"",'Data Source'!S582="A+"),IF('Data Source'!AG582&gt;=5,"A+",IF('Data Source'!AG582&gt;=4,"A",IF('Data Source'!AG582&gt;=3.5,"A-",IF('Data Source'!AG582&gt;=3,"B",IF('Data Source'!AG582&gt;=2,"C",IF('Data Source'!AG582&gt;=1,"D","F")))))),"")</f>
        <v/>
      </c>
      <c r="P582" s="5">
        <f>IF(AND('Data Source'!B582&lt;&gt;"",'Data Source'!S582="A+"),'Data Source'!R582,"")</f>
        <v/>
      </c>
      <c r="Q582" s="3">
        <f>IF(AND('Data Source'!B582&lt;&gt;"",'Data Source'!S582="A+"),'Data Source'!S582,"")</f>
        <v/>
      </c>
    </row>
    <row r="583">
      <c r="A583" s="3">
        <f>IF(AND('Data Source'!B583&lt;&gt;"",'Data Source'!S583="A+"),COUNTIF('Data Source'!$S$3:S583,"A+"),"")</f>
        <v/>
      </c>
      <c r="B583">
        <f>IF(AND('Data Source'!B583&lt;&gt;"",'Data Source'!S583="A+"),'Data Source'!B583,"")</f>
        <v/>
      </c>
      <c r="C583" s="3">
        <f>IF(AND('Data Source'!B583&lt;&gt;"",'Data Source'!S583="A+"),IF('Data Source'!U583&gt;=5,"A+",IF('Data Source'!U583&gt;=4,"A",IF('Data Source'!U583&gt;=3.5,"A-",IF('Data Source'!U583&gt;=3,"B",IF('Data Source'!U583&gt;=2,"C",IF('Data Source'!U583&gt;=1,"D","F")))))),"")</f>
        <v/>
      </c>
      <c r="D583" s="3">
        <f>IF(AND('Data Source'!B583&lt;&gt;"",'Data Source'!S583="A+"),IF('Data Source'!V583&gt;=5,"A+",IF('Data Source'!V583&gt;=4,"A",IF('Data Source'!V583&gt;=3.5,"A-",IF('Data Source'!V583&gt;=3,"B",IF('Data Source'!V583&gt;=2,"C",IF('Data Source'!V583&gt;=1,"D","F")))))),"")</f>
        <v/>
      </c>
      <c r="E583" s="3">
        <f>IF(AND('Data Source'!B583&lt;&gt;"",'Data Source'!S583="A+"),IF('Data Source'!W583&gt;=5,"A+",IF('Data Source'!W583&gt;=4,"A",IF('Data Source'!W583&gt;=3.5,"A-",IF('Data Source'!W583&gt;=3,"B",IF('Data Source'!W583&gt;=2,"C",IF('Data Source'!W583&gt;=1,"D","F")))))),"")</f>
        <v/>
      </c>
      <c r="F583" s="3">
        <f>IF(AND('Data Source'!B583&lt;&gt;"",'Data Source'!S583="A+"),IF('Data Source'!X583&gt;=5,"A+",IF('Data Source'!X583&gt;=4,"A",IF('Data Source'!X583&gt;=3.5,"A-",IF('Data Source'!X583&gt;=3,"B",IF('Data Source'!X583&gt;=2,"C",IF('Data Source'!X583&gt;=1,"D","F")))))),"")</f>
        <v/>
      </c>
      <c r="G583" s="3">
        <f>IF(AND('Data Source'!B583&lt;&gt;"",'Data Source'!S583="A+"),IF('Data Source'!Y583&gt;=5,"A+",IF('Data Source'!Y583&gt;=4,"A",IF('Data Source'!Y583&gt;=3.5,"A-",IF('Data Source'!Y583&gt;=3,"B",IF('Data Source'!Y583&gt;=2,"C",IF('Data Source'!Y583&gt;=1,"D","F")))))),"")</f>
        <v/>
      </c>
      <c r="H583" s="3">
        <f>IF(AND('Data Source'!B583&lt;&gt;"",'Data Source'!S583="A+"),IF('Data Source'!Z583&gt;=5,"A+",IF('Data Source'!Z583&gt;=4,"A",IF('Data Source'!Z583&gt;=3.5,"A-",IF('Data Source'!Z583&gt;=3,"B",IF('Data Source'!Z583&gt;=2,"C",IF('Data Source'!Z583&gt;=1,"D","F")))))),"")</f>
        <v/>
      </c>
      <c r="I583" s="3">
        <f>IF(AND('Data Source'!B583&lt;&gt;"",'Data Source'!S583="A+"),IF('Data Source'!AA583&gt;=5,"A+",IF('Data Source'!AA583&gt;=4,"A",IF('Data Source'!AA583&gt;=3.5,"A-",IF('Data Source'!AA583&gt;=3,"B",IF('Data Source'!AA583&gt;=2,"C",IF('Data Source'!AA583&gt;=1,"D","F")))))),"")</f>
        <v/>
      </c>
      <c r="J583" s="3">
        <f>IF(AND('Data Source'!B583&lt;&gt;"",'Data Source'!S583="A+"),IF('Data Source'!AB583&gt;=5,"A+",IF('Data Source'!AB583&gt;=4,"A",IF('Data Source'!AB583&gt;=3.5,"A-",IF('Data Source'!AB583&gt;=3,"B",IF('Data Source'!AB583&gt;=2,"C",IF('Data Source'!AB583&gt;=1,"D","F")))))),"")</f>
        <v/>
      </c>
      <c r="K583" s="3">
        <f>IF(AND('Data Source'!B583&lt;&gt;"",'Data Source'!S583="A+"),IF('Data Source'!AC583&gt;=5,"A+",IF('Data Source'!AC583&gt;=4,"A",IF('Data Source'!AC583&gt;=3.5,"A-",IF('Data Source'!AC583&gt;=3,"B",IF('Data Source'!AC583&gt;=2,"C",IF('Data Source'!AC583&gt;=1,"D","F")))))),"")</f>
        <v/>
      </c>
      <c r="L583" s="3">
        <f>IF(AND('Data Source'!B583&lt;&gt;"",'Data Source'!S583="A+"),IF('Data Source'!AD583&gt;=5,"A+",IF('Data Source'!AD583&gt;=4,"A",IF('Data Source'!AD583&gt;=3.5,"A-",IF('Data Source'!AD583&gt;=3,"B",IF('Data Source'!AD583&gt;=2,"C",IF('Data Source'!AD583&gt;=1,"D","F")))))),"")</f>
        <v/>
      </c>
      <c r="M583" s="3">
        <f>IF(AND('Data Source'!B583&lt;&gt;"",'Data Source'!S583="A+"),IF('Data Source'!AE583&gt;=5,"A+",IF('Data Source'!AE583&gt;=4,"A",IF('Data Source'!AE583&gt;=3.5,"A-",IF('Data Source'!AE583&gt;=3,"B",IF('Data Source'!AE583&gt;=2,"C",IF('Data Source'!AE583&gt;=1,"D","F")))))),"")</f>
        <v/>
      </c>
      <c r="N583" s="3">
        <f>IF(AND('Data Source'!B583&lt;&gt;"",'Data Source'!S583="A+"),IF('Data Source'!AF583&gt;=5,"A+",IF('Data Source'!AF583&gt;=4,"A",IF('Data Source'!AF583&gt;=3.5,"A-",IF('Data Source'!AF583&gt;=3,"B",IF('Data Source'!AF583&gt;=2,"C",IF('Data Source'!AF583&gt;=1,"D","F")))))),"")</f>
        <v/>
      </c>
      <c r="O583" s="3">
        <f>IF(AND('Data Source'!B583&lt;&gt;"",'Data Source'!S583="A+"),IF('Data Source'!AG583&gt;=5,"A+",IF('Data Source'!AG583&gt;=4,"A",IF('Data Source'!AG583&gt;=3.5,"A-",IF('Data Source'!AG583&gt;=3,"B",IF('Data Source'!AG583&gt;=2,"C",IF('Data Source'!AG583&gt;=1,"D","F")))))),"")</f>
        <v/>
      </c>
      <c r="P583" s="5">
        <f>IF(AND('Data Source'!B583&lt;&gt;"",'Data Source'!S583="A+"),'Data Source'!R583,"")</f>
        <v/>
      </c>
      <c r="Q583" s="3">
        <f>IF(AND('Data Source'!B583&lt;&gt;"",'Data Source'!S583="A+"),'Data Source'!S583,"")</f>
        <v/>
      </c>
    </row>
    <row r="584">
      <c r="A584" s="3">
        <f>IF(AND('Data Source'!B584&lt;&gt;"",'Data Source'!S584="A+"),COUNTIF('Data Source'!$S$3:S584,"A+"),"")</f>
        <v/>
      </c>
      <c r="B584">
        <f>IF(AND('Data Source'!B584&lt;&gt;"",'Data Source'!S584="A+"),'Data Source'!B584,"")</f>
        <v/>
      </c>
      <c r="C584" s="3">
        <f>IF(AND('Data Source'!B584&lt;&gt;"",'Data Source'!S584="A+"),IF('Data Source'!U584&gt;=5,"A+",IF('Data Source'!U584&gt;=4,"A",IF('Data Source'!U584&gt;=3.5,"A-",IF('Data Source'!U584&gt;=3,"B",IF('Data Source'!U584&gt;=2,"C",IF('Data Source'!U584&gt;=1,"D","F")))))),"")</f>
        <v/>
      </c>
      <c r="D584" s="3">
        <f>IF(AND('Data Source'!B584&lt;&gt;"",'Data Source'!S584="A+"),IF('Data Source'!V584&gt;=5,"A+",IF('Data Source'!V584&gt;=4,"A",IF('Data Source'!V584&gt;=3.5,"A-",IF('Data Source'!V584&gt;=3,"B",IF('Data Source'!V584&gt;=2,"C",IF('Data Source'!V584&gt;=1,"D","F")))))),"")</f>
        <v/>
      </c>
      <c r="E584" s="3">
        <f>IF(AND('Data Source'!B584&lt;&gt;"",'Data Source'!S584="A+"),IF('Data Source'!W584&gt;=5,"A+",IF('Data Source'!W584&gt;=4,"A",IF('Data Source'!W584&gt;=3.5,"A-",IF('Data Source'!W584&gt;=3,"B",IF('Data Source'!W584&gt;=2,"C",IF('Data Source'!W584&gt;=1,"D","F")))))),"")</f>
        <v/>
      </c>
      <c r="F584" s="3">
        <f>IF(AND('Data Source'!B584&lt;&gt;"",'Data Source'!S584="A+"),IF('Data Source'!X584&gt;=5,"A+",IF('Data Source'!X584&gt;=4,"A",IF('Data Source'!X584&gt;=3.5,"A-",IF('Data Source'!X584&gt;=3,"B",IF('Data Source'!X584&gt;=2,"C",IF('Data Source'!X584&gt;=1,"D","F")))))),"")</f>
        <v/>
      </c>
      <c r="G584" s="3">
        <f>IF(AND('Data Source'!B584&lt;&gt;"",'Data Source'!S584="A+"),IF('Data Source'!Y584&gt;=5,"A+",IF('Data Source'!Y584&gt;=4,"A",IF('Data Source'!Y584&gt;=3.5,"A-",IF('Data Source'!Y584&gt;=3,"B",IF('Data Source'!Y584&gt;=2,"C",IF('Data Source'!Y584&gt;=1,"D","F")))))),"")</f>
        <v/>
      </c>
      <c r="H584" s="3">
        <f>IF(AND('Data Source'!B584&lt;&gt;"",'Data Source'!S584="A+"),IF('Data Source'!Z584&gt;=5,"A+",IF('Data Source'!Z584&gt;=4,"A",IF('Data Source'!Z584&gt;=3.5,"A-",IF('Data Source'!Z584&gt;=3,"B",IF('Data Source'!Z584&gt;=2,"C",IF('Data Source'!Z584&gt;=1,"D","F")))))),"")</f>
        <v/>
      </c>
      <c r="I584" s="3">
        <f>IF(AND('Data Source'!B584&lt;&gt;"",'Data Source'!S584="A+"),IF('Data Source'!AA584&gt;=5,"A+",IF('Data Source'!AA584&gt;=4,"A",IF('Data Source'!AA584&gt;=3.5,"A-",IF('Data Source'!AA584&gt;=3,"B",IF('Data Source'!AA584&gt;=2,"C",IF('Data Source'!AA584&gt;=1,"D","F")))))),"")</f>
        <v/>
      </c>
      <c r="J584" s="3">
        <f>IF(AND('Data Source'!B584&lt;&gt;"",'Data Source'!S584="A+"),IF('Data Source'!AB584&gt;=5,"A+",IF('Data Source'!AB584&gt;=4,"A",IF('Data Source'!AB584&gt;=3.5,"A-",IF('Data Source'!AB584&gt;=3,"B",IF('Data Source'!AB584&gt;=2,"C",IF('Data Source'!AB584&gt;=1,"D","F")))))),"")</f>
        <v/>
      </c>
      <c r="K584" s="3">
        <f>IF(AND('Data Source'!B584&lt;&gt;"",'Data Source'!S584="A+"),IF('Data Source'!AC584&gt;=5,"A+",IF('Data Source'!AC584&gt;=4,"A",IF('Data Source'!AC584&gt;=3.5,"A-",IF('Data Source'!AC584&gt;=3,"B",IF('Data Source'!AC584&gt;=2,"C",IF('Data Source'!AC584&gt;=1,"D","F")))))),"")</f>
        <v/>
      </c>
      <c r="L584" s="3">
        <f>IF(AND('Data Source'!B584&lt;&gt;"",'Data Source'!S584="A+"),IF('Data Source'!AD584&gt;=5,"A+",IF('Data Source'!AD584&gt;=4,"A",IF('Data Source'!AD584&gt;=3.5,"A-",IF('Data Source'!AD584&gt;=3,"B",IF('Data Source'!AD584&gt;=2,"C",IF('Data Source'!AD584&gt;=1,"D","F")))))),"")</f>
        <v/>
      </c>
      <c r="M584" s="3">
        <f>IF(AND('Data Source'!B584&lt;&gt;"",'Data Source'!S584="A+"),IF('Data Source'!AE584&gt;=5,"A+",IF('Data Source'!AE584&gt;=4,"A",IF('Data Source'!AE584&gt;=3.5,"A-",IF('Data Source'!AE584&gt;=3,"B",IF('Data Source'!AE584&gt;=2,"C",IF('Data Source'!AE584&gt;=1,"D","F")))))),"")</f>
        <v/>
      </c>
      <c r="N584" s="3">
        <f>IF(AND('Data Source'!B584&lt;&gt;"",'Data Source'!S584="A+"),IF('Data Source'!AF584&gt;=5,"A+",IF('Data Source'!AF584&gt;=4,"A",IF('Data Source'!AF584&gt;=3.5,"A-",IF('Data Source'!AF584&gt;=3,"B",IF('Data Source'!AF584&gt;=2,"C",IF('Data Source'!AF584&gt;=1,"D","F")))))),"")</f>
        <v/>
      </c>
      <c r="O584" s="3">
        <f>IF(AND('Data Source'!B584&lt;&gt;"",'Data Source'!S584="A+"),IF('Data Source'!AG584&gt;=5,"A+",IF('Data Source'!AG584&gt;=4,"A",IF('Data Source'!AG584&gt;=3.5,"A-",IF('Data Source'!AG584&gt;=3,"B",IF('Data Source'!AG584&gt;=2,"C",IF('Data Source'!AG584&gt;=1,"D","F")))))),"")</f>
        <v/>
      </c>
      <c r="P584" s="5">
        <f>IF(AND('Data Source'!B584&lt;&gt;"",'Data Source'!S584="A+"),'Data Source'!R584,"")</f>
        <v/>
      </c>
      <c r="Q584" s="3">
        <f>IF(AND('Data Source'!B584&lt;&gt;"",'Data Source'!S584="A+"),'Data Source'!S584,"")</f>
        <v/>
      </c>
    </row>
    <row r="585">
      <c r="A585" s="3">
        <f>IF(AND('Data Source'!B585&lt;&gt;"",'Data Source'!S585="A+"),COUNTIF('Data Source'!$S$3:S585,"A+"),"")</f>
        <v/>
      </c>
      <c r="B585">
        <f>IF(AND('Data Source'!B585&lt;&gt;"",'Data Source'!S585="A+"),'Data Source'!B585,"")</f>
        <v/>
      </c>
      <c r="C585" s="3">
        <f>IF(AND('Data Source'!B585&lt;&gt;"",'Data Source'!S585="A+"),IF('Data Source'!U585&gt;=5,"A+",IF('Data Source'!U585&gt;=4,"A",IF('Data Source'!U585&gt;=3.5,"A-",IF('Data Source'!U585&gt;=3,"B",IF('Data Source'!U585&gt;=2,"C",IF('Data Source'!U585&gt;=1,"D","F")))))),"")</f>
        <v/>
      </c>
      <c r="D585" s="3">
        <f>IF(AND('Data Source'!B585&lt;&gt;"",'Data Source'!S585="A+"),IF('Data Source'!V585&gt;=5,"A+",IF('Data Source'!V585&gt;=4,"A",IF('Data Source'!V585&gt;=3.5,"A-",IF('Data Source'!V585&gt;=3,"B",IF('Data Source'!V585&gt;=2,"C",IF('Data Source'!V585&gt;=1,"D","F")))))),"")</f>
        <v/>
      </c>
      <c r="E585" s="3">
        <f>IF(AND('Data Source'!B585&lt;&gt;"",'Data Source'!S585="A+"),IF('Data Source'!W585&gt;=5,"A+",IF('Data Source'!W585&gt;=4,"A",IF('Data Source'!W585&gt;=3.5,"A-",IF('Data Source'!W585&gt;=3,"B",IF('Data Source'!W585&gt;=2,"C",IF('Data Source'!W585&gt;=1,"D","F")))))),"")</f>
        <v/>
      </c>
      <c r="F585" s="3">
        <f>IF(AND('Data Source'!B585&lt;&gt;"",'Data Source'!S585="A+"),IF('Data Source'!X585&gt;=5,"A+",IF('Data Source'!X585&gt;=4,"A",IF('Data Source'!X585&gt;=3.5,"A-",IF('Data Source'!X585&gt;=3,"B",IF('Data Source'!X585&gt;=2,"C",IF('Data Source'!X585&gt;=1,"D","F")))))),"")</f>
        <v/>
      </c>
      <c r="G585" s="3">
        <f>IF(AND('Data Source'!B585&lt;&gt;"",'Data Source'!S585="A+"),IF('Data Source'!Y585&gt;=5,"A+",IF('Data Source'!Y585&gt;=4,"A",IF('Data Source'!Y585&gt;=3.5,"A-",IF('Data Source'!Y585&gt;=3,"B",IF('Data Source'!Y585&gt;=2,"C",IF('Data Source'!Y585&gt;=1,"D","F")))))),"")</f>
        <v/>
      </c>
      <c r="H585" s="3">
        <f>IF(AND('Data Source'!B585&lt;&gt;"",'Data Source'!S585="A+"),IF('Data Source'!Z585&gt;=5,"A+",IF('Data Source'!Z585&gt;=4,"A",IF('Data Source'!Z585&gt;=3.5,"A-",IF('Data Source'!Z585&gt;=3,"B",IF('Data Source'!Z585&gt;=2,"C",IF('Data Source'!Z585&gt;=1,"D","F")))))),"")</f>
        <v/>
      </c>
      <c r="I585" s="3">
        <f>IF(AND('Data Source'!B585&lt;&gt;"",'Data Source'!S585="A+"),IF('Data Source'!AA585&gt;=5,"A+",IF('Data Source'!AA585&gt;=4,"A",IF('Data Source'!AA585&gt;=3.5,"A-",IF('Data Source'!AA585&gt;=3,"B",IF('Data Source'!AA585&gt;=2,"C",IF('Data Source'!AA585&gt;=1,"D","F")))))),"")</f>
        <v/>
      </c>
      <c r="J585" s="3">
        <f>IF(AND('Data Source'!B585&lt;&gt;"",'Data Source'!S585="A+"),IF('Data Source'!AB585&gt;=5,"A+",IF('Data Source'!AB585&gt;=4,"A",IF('Data Source'!AB585&gt;=3.5,"A-",IF('Data Source'!AB585&gt;=3,"B",IF('Data Source'!AB585&gt;=2,"C",IF('Data Source'!AB585&gt;=1,"D","F")))))),"")</f>
        <v/>
      </c>
      <c r="K585" s="3">
        <f>IF(AND('Data Source'!B585&lt;&gt;"",'Data Source'!S585="A+"),IF('Data Source'!AC585&gt;=5,"A+",IF('Data Source'!AC585&gt;=4,"A",IF('Data Source'!AC585&gt;=3.5,"A-",IF('Data Source'!AC585&gt;=3,"B",IF('Data Source'!AC585&gt;=2,"C",IF('Data Source'!AC585&gt;=1,"D","F")))))),"")</f>
        <v/>
      </c>
      <c r="L585" s="3">
        <f>IF(AND('Data Source'!B585&lt;&gt;"",'Data Source'!S585="A+"),IF('Data Source'!AD585&gt;=5,"A+",IF('Data Source'!AD585&gt;=4,"A",IF('Data Source'!AD585&gt;=3.5,"A-",IF('Data Source'!AD585&gt;=3,"B",IF('Data Source'!AD585&gt;=2,"C",IF('Data Source'!AD585&gt;=1,"D","F")))))),"")</f>
        <v/>
      </c>
      <c r="M585" s="3">
        <f>IF(AND('Data Source'!B585&lt;&gt;"",'Data Source'!S585="A+"),IF('Data Source'!AE585&gt;=5,"A+",IF('Data Source'!AE585&gt;=4,"A",IF('Data Source'!AE585&gt;=3.5,"A-",IF('Data Source'!AE585&gt;=3,"B",IF('Data Source'!AE585&gt;=2,"C",IF('Data Source'!AE585&gt;=1,"D","F")))))),"")</f>
        <v/>
      </c>
      <c r="N585" s="3">
        <f>IF(AND('Data Source'!B585&lt;&gt;"",'Data Source'!S585="A+"),IF('Data Source'!AF585&gt;=5,"A+",IF('Data Source'!AF585&gt;=4,"A",IF('Data Source'!AF585&gt;=3.5,"A-",IF('Data Source'!AF585&gt;=3,"B",IF('Data Source'!AF585&gt;=2,"C",IF('Data Source'!AF585&gt;=1,"D","F")))))),"")</f>
        <v/>
      </c>
      <c r="O585" s="3">
        <f>IF(AND('Data Source'!B585&lt;&gt;"",'Data Source'!S585="A+"),IF('Data Source'!AG585&gt;=5,"A+",IF('Data Source'!AG585&gt;=4,"A",IF('Data Source'!AG585&gt;=3.5,"A-",IF('Data Source'!AG585&gt;=3,"B",IF('Data Source'!AG585&gt;=2,"C",IF('Data Source'!AG585&gt;=1,"D","F")))))),"")</f>
        <v/>
      </c>
      <c r="P585" s="5">
        <f>IF(AND('Data Source'!B585&lt;&gt;"",'Data Source'!S585="A+"),'Data Source'!R585,"")</f>
        <v/>
      </c>
      <c r="Q585" s="3">
        <f>IF(AND('Data Source'!B585&lt;&gt;"",'Data Source'!S585="A+"),'Data Source'!S585,"")</f>
        <v/>
      </c>
    </row>
    <row r="586">
      <c r="A586" s="3">
        <f>IF(AND('Data Source'!B586&lt;&gt;"",'Data Source'!S586="A+"),COUNTIF('Data Source'!$S$3:S586,"A+"),"")</f>
        <v/>
      </c>
      <c r="B586">
        <f>IF(AND('Data Source'!B586&lt;&gt;"",'Data Source'!S586="A+"),'Data Source'!B586,"")</f>
        <v/>
      </c>
      <c r="C586" s="3">
        <f>IF(AND('Data Source'!B586&lt;&gt;"",'Data Source'!S586="A+"),IF('Data Source'!U586&gt;=5,"A+",IF('Data Source'!U586&gt;=4,"A",IF('Data Source'!U586&gt;=3.5,"A-",IF('Data Source'!U586&gt;=3,"B",IF('Data Source'!U586&gt;=2,"C",IF('Data Source'!U586&gt;=1,"D","F")))))),"")</f>
        <v/>
      </c>
      <c r="D586" s="3">
        <f>IF(AND('Data Source'!B586&lt;&gt;"",'Data Source'!S586="A+"),IF('Data Source'!V586&gt;=5,"A+",IF('Data Source'!V586&gt;=4,"A",IF('Data Source'!V586&gt;=3.5,"A-",IF('Data Source'!V586&gt;=3,"B",IF('Data Source'!V586&gt;=2,"C",IF('Data Source'!V586&gt;=1,"D","F")))))),"")</f>
        <v/>
      </c>
      <c r="E586" s="3">
        <f>IF(AND('Data Source'!B586&lt;&gt;"",'Data Source'!S586="A+"),IF('Data Source'!W586&gt;=5,"A+",IF('Data Source'!W586&gt;=4,"A",IF('Data Source'!W586&gt;=3.5,"A-",IF('Data Source'!W586&gt;=3,"B",IF('Data Source'!W586&gt;=2,"C",IF('Data Source'!W586&gt;=1,"D","F")))))),"")</f>
        <v/>
      </c>
      <c r="F586" s="3">
        <f>IF(AND('Data Source'!B586&lt;&gt;"",'Data Source'!S586="A+"),IF('Data Source'!X586&gt;=5,"A+",IF('Data Source'!X586&gt;=4,"A",IF('Data Source'!X586&gt;=3.5,"A-",IF('Data Source'!X586&gt;=3,"B",IF('Data Source'!X586&gt;=2,"C",IF('Data Source'!X586&gt;=1,"D","F")))))),"")</f>
        <v/>
      </c>
      <c r="G586" s="3">
        <f>IF(AND('Data Source'!B586&lt;&gt;"",'Data Source'!S586="A+"),IF('Data Source'!Y586&gt;=5,"A+",IF('Data Source'!Y586&gt;=4,"A",IF('Data Source'!Y586&gt;=3.5,"A-",IF('Data Source'!Y586&gt;=3,"B",IF('Data Source'!Y586&gt;=2,"C",IF('Data Source'!Y586&gt;=1,"D","F")))))),"")</f>
        <v/>
      </c>
      <c r="H586" s="3">
        <f>IF(AND('Data Source'!B586&lt;&gt;"",'Data Source'!S586="A+"),IF('Data Source'!Z586&gt;=5,"A+",IF('Data Source'!Z586&gt;=4,"A",IF('Data Source'!Z586&gt;=3.5,"A-",IF('Data Source'!Z586&gt;=3,"B",IF('Data Source'!Z586&gt;=2,"C",IF('Data Source'!Z586&gt;=1,"D","F")))))),"")</f>
        <v/>
      </c>
      <c r="I586" s="3">
        <f>IF(AND('Data Source'!B586&lt;&gt;"",'Data Source'!S586="A+"),IF('Data Source'!AA586&gt;=5,"A+",IF('Data Source'!AA586&gt;=4,"A",IF('Data Source'!AA586&gt;=3.5,"A-",IF('Data Source'!AA586&gt;=3,"B",IF('Data Source'!AA586&gt;=2,"C",IF('Data Source'!AA586&gt;=1,"D","F")))))),"")</f>
        <v/>
      </c>
      <c r="J586" s="3">
        <f>IF(AND('Data Source'!B586&lt;&gt;"",'Data Source'!S586="A+"),IF('Data Source'!AB586&gt;=5,"A+",IF('Data Source'!AB586&gt;=4,"A",IF('Data Source'!AB586&gt;=3.5,"A-",IF('Data Source'!AB586&gt;=3,"B",IF('Data Source'!AB586&gt;=2,"C",IF('Data Source'!AB586&gt;=1,"D","F")))))),"")</f>
        <v/>
      </c>
      <c r="K586" s="3">
        <f>IF(AND('Data Source'!B586&lt;&gt;"",'Data Source'!S586="A+"),IF('Data Source'!AC586&gt;=5,"A+",IF('Data Source'!AC586&gt;=4,"A",IF('Data Source'!AC586&gt;=3.5,"A-",IF('Data Source'!AC586&gt;=3,"B",IF('Data Source'!AC586&gt;=2,"C",IF('Data Source'!AC586&gt;=1,"D","F")))))),"")</f>
        <v/>
      </c>
      <c r="L586" s="3">
        <f>IF(AND('Data Source'!B586&lt;&gt;"",'Data Source'!S586="A+"),IF('Data Source'!AD586&gt;=5,"A+",IF('Data Source'!AD586&gt;=4,"A",IF('Data Source'!AD586&gt;=3.5,"A-",IF('Data Source'!AD586&gt;=3,"B",IF('Data Source'!AD586&gt;=2,"C",IF('Data Source'!AD586&gt;=1,"D","F")))))),"")</f>
        <v/>
      </c>
      <c r="M586" s="3">
        <f>IF(AND('Data Source'!B586&lt;&gt;"",'Data Source'!S586="A+"),IF('Data Source'!AE586&gt;=5,"A+",IF('Data Source'!AE586&gt;=4,"A",IF('Data Source'!AE586&gt;=3.5,"A-",IF('Data Source'!AE586&gt;=3,"B",IF('Data Source'!AE586&gt;=2,"C",IF('Data Source'!AE586&gt;=1,"D","F")))))),"")</f>
        <v/>
      </c>
      <c r="N586" s="3">
        <f>IF(AND('Data Source'!B586&lt;&gt;"",'Data Source'!S586="A+"),IF('Data Source'!AF586&gt;=5,"A+",IF('Data Source'!AF586&gt;=4,"A",IF('Data Source'!AF586&gt;=3.5,"A-",IF('Data Source'!AF586&gt;=3,"B",IF('Data Source'!AF586&gt;=2,"C",IF('Data Source'!AF586&gt;=1,"D","F")))))),"")</f>
        <v/>
      </c>
      <c r="O586" s="3">
        <f>IF(AND('Data Source'!B586&lt;&gt;"",'Data Source'!S586="A+"),IF('Data Source'!AG586&gt;=5,"A+",IF('Data Source'!AG586&gt;=4,"A",IF('Data Source'!AG586&gt;=3.5,"A-",IF('Data Source'!AG586&gt;=3,"B",IF('Data Source'!AG586&gt;=2,"C",IF('Data Source'!AG586&gt;=1,"D","F")))))),"")</f>
        <v/>
      </c>
      <c r="P586" s="5">
        <f>IF(AND('Data Source'!B586&lt;&gt;"",'Data Source'!S586="A+"),'Data Source'!R586,"")</f>
        <v/>
      </c>
      <c r="Q586" s="3">
        <f>IF(AND('Data Source'!B586&lt;&gt;"",'Data Source'!S586="A+"),'Data Source'!S586,"")</f>
        <v/>
      </c>
    </row>
    <row r="587">
      <c r="A587" s="3">
        <f>IF(AND('Data Source'!B587&lt;&gt;"",'Data Source'!S587="A+"),COUNTIF('Data Source'!$S$3:S587,"A+"),"")</f>
        <v/>
      </c>
      <c r="B587">
        <f>IF(AND('Data Source'!B587&lt;&gt;"",'Data Source'!S587="A+"),'Data Source'!B587,"")</f>
        <v/>
      </c>
      <c r="C587" s="3">
        <f>IF(AND('Data Source'!B587&lt;&gt;"",'Data Source'!S587="A+"),IF('Data Source'!U587&gt;=5,"A+",IF('Data Source'!U587&gt;=4,"A",IF('Data Source'!U587&gt;=3.5,"A-",IF('Data Source'!U587&gt;=3,"B",IF('Data Source'!U587&gt;=2,"C",IF('Data Source'!U587&gt;=1,"D","F")))))),"")</f>
        <v/>
      </c>
      <c r="D587" s="3">
        <f>IF(AND('Data Source'!B587&lt;&gt;"",'Data Source'!S587="A+"),IF('Data Source'!V587&gt;=5,"A+",IF('Data Source'!V587&gt;=4,"A",IF('Data Source'!V587&gt;=3.5,"A-",IF('Data Source'!V587&gt;=3,"B",IF('Data Source'!V587&gt;=2,"C",IF('Data Source'!V587&gt;=1,"D","F")))))),"")</f>
        <v/>
      </c>
      <c r="E587" s="3">
        <f>IF(AND('Data Source'!B587&lt;&gt;"",'Data Source'!S587="A+"),IF('Data Source'!W587&gt;=5,"A+",IF('Data Source'!W587&gt;=4,"A",IF('Data Source'!W587&gt;=3.5,"A-",IF('Data Source'!W587&gt;=3,"B",IF('Data Source'!W587&gt;=2,"C",IF('Data Source'!W587&gt;=1,"D","F")))))),"")</f>
        <v/>
      </c>
      <c r="F587" s="3">
        <f>IF(AND('Data Source'!B587&lt;&gt;"",'Data Source'!S587="A+"),IF('Data Source'!X587&gt;=5,"A+",IF('Data Source'!X587&gt;=4,"A",IF('Data Source'!X587&gt;=3.5,"A-",IF('Data Source'!X587&gt;=3,"B",IF('Data Source'!X587&gt;=2,"C",IF('Data Source'!X587&gt;=1,"D","F")))))),"")</f>
        <v/>
      </c>
      <c r="G587" s="3">
        <f>IF(AND('Data Source'!B587&lt;&gt;"",'Data Source'!S587="A+"),IF('Data Source'!Y587&gt;=5,"A+",IF('Data Source'!Y587&gt;=4,"A",IF('Data Source'!Y587&gt;=3.5,"A-",IF('Data Source'!Y587&gt;=3,"B",IF('Data Source'!Y587&gt;=2,"C",IF('Data Source'!Y587&gt;=1,"D","F")))))),"")</f>
        <v/>
      </c>
      <c r="H587" s="3">
        <f>IF(AND('Data Source'!B587&lt;&gt;"",'Data Source'!S587="A+"),IF('Data Source'!Z587&gt;=5,"A+",IF('Data Source'!Z587&gt;=4,"A",IF('Data Source'!Z587&gt;=3.5,"A-",IF('Data Source'!Z587&gt;=3,"B",IF('Data Source'!Z587&gt;=2,"C",IF('Data Source'!Z587&gt;=1,"D","F")))))),"")</f>
        <v/>
      </c>
      <c r="I587" s="3">
        <f>IF(AND('Data Source'!B587&lt;&gt;"",'Data Source'!S587="A+"),IF('Data Source'!AA587&gt;=5,"A+",IF('Data Source'!AA587&gt;=4,"A",IF('Data Source'!AA587&gt;=3.5,"A-",IF('Data Source'!AA587&gt;=3,"B",IF('Data Source'!AA587&gt;=2,"C",IF('Data Source'!AA587&gt;=1,"D","F")))))),"")</f>
        <v/>
      </c>
      <c r="J587" s="3">
        <f>IF(AND('Data Source'!B587&lt;&gt;"",'Data Source'!S587="A+"),IF('Data Source'!AB587&gt;=5,"A+",IF('Data Source'!AB587&gt;=4,"A",IF('Data Source'!AB587&gt;=3.5,"A-",IF('Data Source'!AB587&gt;=3,"B",IF('Data Source'!AB587&gt;=2,"C",IF('Data Source'!AB587&gt;=1,"D","F")))))),"")</f>
        <v/>
      </c>
      <c r="K587" s="3">
        <f>IF(AND('Data Source'!B587&lt;&gt;"",'Data Source'!S587="A+"),IF('Data Source'!AC587&gt;=5,"A+",IF('Data Source'!AC587&gt;=4,"A",IF('Data Source'!AC587&gt;=3.5,"A-",IF('Data Source'!AC587&gt;=3,"B",IF('Data Source'!AC587&gt;=2,"C",IF('Data Source'!AC587&gt;=1,"D","F")))))),"")</f>
        <v/>
      </c>
      <c r="L587" s="3">
        <f>IF(AND('Data Source'!B587&lt;&gt;"",'Data Source'!S587="A+"),IF('Data Source'!AD587&gt;=5,"A+",IF('Data Source'!AD587&gt;=4,"A",IF('Data Source'!AD587&gt;=3.5,"A-",IF('Data Source'!AD587&gt;=3,"B",IF('Data Source'!AD587&gt;=2,"C",IF('Data Source'!AD587&gt;=1,"D","F")))))),"")</f>
        <v/>
      </c>
      <c r="M587" s="3">
        <f>IF(AND('Data Source'!B587&lt;&gt;"",'Data Source'!S587="A+"),IF('Data Source'!AE587&gt;=5,"A+",IF('Data Source'!AE587&gt;=4,"A",IF('Data Source'!AE587&gt;=3.5,"A-",IF('Data Source'!AE587&gt;=3,"B",IF('Data Source'!AE587&gt;=2,"C",IF('Data Source'!AE587&gt;=1,"D","F")))))),"")</f>
        <v/>
      </c>
      <c r="N587" s="3">
        <f>IF(AND('Data Source'!B587&lt;&gt;"",'Data Source'!S587="A+"),IF('Data Source'!AF587&gt;=5,"A+",IF('Data Source'!AF587&gt;=4,"A",IF('Data Source'!AF587&gt;=3.5,"A-",IF('Data Source'!AF587&gt;=3,"B",IF('Data Source'!AF587&gt;=2,"C",IF('Data Source'!AF587&gt;=1,"D","F")))))),"")</f>
        <v/>
      </c>
      <c r="O587" s="3">
        <f>IF(AND('Data Source'!B587&lt;&gt;"",'Data Source'!S587="A+"),IF('Data Source'!AG587&gt;=5,"A+",IF('Data Source'!AG587&gt;=4,"A",IF('Data Source'!AG587&gt;=3.5,"A-",IF('Data Source'!AG587&gt;=3,"B",IF('Data Source'!AG587&gt;=2,"C",IF('Data Source'!AG587&gt;=1,"D","F")))))),"")</f>
        <v/>
      </c>
      <c r="P587" s="5">
        <f>IF(AND('Data Source'!B587&lt;&gt;"",'Data Source'!S587="A+"),'Data Source'!R587,"")</f>
        <v/>
      </c>
      <c r="Q587" s="3">
        <f>IF(AND('Data Source'!B587&lt;&gt;"",'Data Source'!S587="A+"),'Data Source'!S587,"")</f>
        <v/>
      </c>
    </row>
    <row r="588">
      <c r="A588" s="3">
        <f>IF(AND('Data Source'!B588&lt;&gt;"",'Data Source'!S588="A+"),COUNTIF('Data Source'!$S$3:S588,"A+"),"")</f>
        <v/>
      </c>
      <c r="B588">
        <f>IF(AND('Data Source'!B588&lt;&gt;"",'Data Source'!S588="A+"),'Data Source'!B588,"")</f>
        <v/>
      </c>
      <c r="C588" s="3">
        <f>IF(AND('Data Source'!B588&lt;&gt;"",'Data Source'!S588="A+"),IF('Data Source'!U588&gt;=5,"A+",IF('Data Source'!U588&gt;=4,"A",IF('Data Source'!U588&gt;=3.5,"A-",IF('Data Source'!U588&gt;=3,"B",IF('Data Source'!U588&gt;=2,"C",IF('Data Source'!U588&gt;=1,"D","F")))))),"")</f>
        <v/>
      </c>
      <c r="D588" s="3">
        <f>IF(AND('Data Source'!B588&lt;&gt;"",'Data Source'!S588="A+"),IF('Data Source'!V588&gt;=5,"A+",IF('Data Source'!V588&gt;=4,"A",IF('Data Source'!V588&gt;=3.5,"A-",IF('Data Source'!V588&gt;=3,"B",IF('Data Source'!V588&gt;=2,"C",IF('Data Source'!V588&gt;=1,"D","F")))))),"")</f>
        <v/>
      </c>
      <c r="E588" s="3">
        <f>IF(AND('Data Source'!B588&lt;&gt;"",'Data Source'!S588="A+"),IF('Data Source'!W588&gt;=5,"A+",IF('Data Source'!W588&gt;=4,"A",IF('Data Source'!W588&gt;=3.5,"A-",IF('Data Source'!W588&gt;=3,"B",IF('Data Source'!W588&gt;=2,"C",IF('Data Source'!W588&gt;=1,"D","F")))))),"")</f>
        <v/>
      </c>
      <c r="F588" s="3">
        <f>IF(AND('Data Source'!B588&lt;&gt;"",'Data Source'!S588="A+"),IF('Data Source'!X588&gt;=5,"A+",IF('Data Source'!X588&gt;=4,"A",IF('Data Source'!X588&gt;=3.5,"A-",IF('Data Source'!X588&gt;=3,"B",IF('Data Source'!X588&gt;=2,"C",IF('Data Source'!X588&gt;=1,"D","F")))))),"")</f>
        <v/>
      </c>
      <c r="G588" s="3">
        <f>IF(AND('Data Source'!B588&lt;&gt;"",'Data Source'!S588="A+"),IF('Data Source'!Y588&gt;=5,"A+",IF('Data Source'!Y588&gt;=4,"A",IF('Data Source'!Y588&gt;=3.5,"A-",IF('Data Source'!Y588&gt;=3,"B",IF('Data Source'!Y588&gt;=2,"C",IF('Data Source'!Y588&gt;=1,"D","F")))))),"")</f>
        <v/>
      </c>
      <c r="H588" s="3">
        <f>IF(AND('Data Source'!B588&lt;&gt;"",'Data Source'!S588="A+"),IF('Data Source'!Z588&gt;=5,"A+",IF('Data Source'!Z588&gt;=4,"A",IF('Data Source'!Z588&gt;=3.5,"A-",IF('Data Source'!Z588&gt;=3,"B",IF('Data Source'!Z588&gt;=2,"C",IF('Data Source'!Z588&gt;=1,"D","F")))))),"")</f>
        <v/>
      </c>
      <c r="I588" s="3">
        <f>IF(AND('Data Source'!B588&lt;&gt;"",'Data Source'!S588="A+"),IF('Data Source'!AA588&gt;=5,"A+",IF('Data Source'!AA588&gt;=4,"A",IF('Data Source'!AA588&gt;=3.5,"A-",IF('Data Source'!AA588&gt;=3,"B",IF('Data Source'!AA588&gt;=2,"C",IF('Data Source'!AA588&gt;=1,"D","F")))))),"")</f>
        <v/>
      </c>
      <c r="J588" s="3">
        <f>IF(AND('Data Source'!B588&lt;&gt;"",'Data Source'!S588="A+"),IF('Data Source'!AB588&gt;=5,"A+",IF('Data Source'!AB588&gt;=4,"A",IF('Data Source'!AB588&gt;=3.5,"A-",IF('Data Source'!AB588&gt;=3,"B",IF('Data Source'!AB588&gt;=2,"C",IF('Data Source'!AB588&gt;=1,"D","F")))))),"")</f>
        <v/>
      </c>
      <c r="K588" s="3">
        <f>IF(AND('Data Source'!B588&lt;&gt;"",'Data Source'!S588="A+"),IF('Data Source'!AC588&gt;=5,"A+",IF('Data Source'!AC588&gt;=4,"A",IF('Data Source'!AC588&gt;=3.5,"A-",IF('Data Source'!AC588&gt;=3,"B",IF('Data Source'!AC588&gt;=2,"C",IF('Data Source'!AC588&gt;=1,"D","F")))))),"")</f>
        <v/>
      </c>
      <c r="L588" s="3">
        <f>IF(AND('Data Source'!B588&lt;&gt;"",'Data Source'!S588="A+"),IF('Data Source'!AD588&gt;=5,"A+",IF('Data Source'!AD588&gt;=4,"A",IF('Data Source'!AD588&gt;=3.5,"A-",IF('Data Source'!AD588&gt;=3,"B",IF('Data Source'!AD588&gt;=2,"C",IF('Data Source'!AD588&gt;=1,"D","F")))))),"")</f>
        <v/>
      </c>
      <c r="M588" s="3">
        <f>IF(AND('Data Source'!B588&lt;&gt;"",'Data Source'!S588="A+"),IF('Data Source'!AE588&gt;=5,"A+",IF('Data Source'!AE588&gt;=4,"A",IF('Data Source'!AE588&gt;=3.5,"A-",IF('Data Source'!AE588&gt;=3,"B",IF('Data Source'!AE588&gt;=2,"C",IF('Data Source'!AE588&gt;=1,"D","F")))))),"")</f>
        <v/>
      </c>
      <c r="N588" s="3">
        <f>IF(AND('Data Source'!B588&lt;&gt;"",'Data Source'!S588="A+"),IF('Data Source'!AF588&gt;=5,"A+",IF('Data Source'!AF588&gt;=4,"A",IF('Data Source'!AF588&gt;=3.5,"A-",IF('Data Source'!AF588&gt;=3,"B",IF('Data Source'!AF588&gt;=2,"C",IF('Data Source'!AF588&gt;=1,"D","F")))))),"")</f>
        <v/>
      </c>
      <c r="O588" s="3">
        <f>IF(AND('Data Source'!B588&lt;&gt;"",'Data Source'!S588="A+"),IF('Data Source'!AG588&gt;=5,"A+",IF('Data Source'!AG588&gt;=4,"A",IF('Data Source'!AG588&gt;=3.5,"A-",IF('Data Source'!AG588&gt;=3,"B",IF('Data Source'!AG588&gt;=2,"C",IF('Data Source'!AG588&gt;=1,"D","F")))))),"")</f>
        <v/>
      </c>
      <c r="P588" s="5">
        <f>IF(AND('Data Source'!B588&lt;&gt;"",'Data Source'!S588="A+"),'Data Source'!R588,"")</f>
        <v/>
      </c>
      <c r="Q588" s="3">
        <f>IF(AND('Data Source'!B588&lt;&gt;"",'Data Source'!S588="A+"),'Data Source'!S588,"")</f>
        <v/>
      </c>
    </row>
    <row r="589">
      <c r="A589" s="3">
        <f>IF(AND('Data Source'!B589&lt;&gt;"",'Data Source'!S589="A+"),COUNTIF('Data Source'!$S$3:S589,"A+"),"")</f>
        <v/>
      </c>
      <c r="B589">
        <f>IF(AND('Data Source'!B589&lt;&gt;"",'Data Source'!S589="A+"),'Data Source'!B589,"")</f>
        <v/>
      </c>
      <c r="C589" s="3">
        <f>IF(AND('Data Source'!B589&lt;&gt;"",'Data Source'!S589="A+"),IF('Data Source'!U589&gt;=5,"A+",IF('Data Source'!U589&gt;=4,"A",IF('Data Source'!U589&gt;=3.5,"A-",IF('Data Source'!U589&gt;=3,"B",IF('Data Source'!U589&gt;=2,"C",IF('Data Source'!U589&gt;=1,"D","F")))))),"")</f>
        <v/>
      </c>
      <c r="D589" s="3">
        <f>IF(AND('Data Source'!B589&lt;&gt;"",'Data Source'!S589="A+"),IF('Data Source'!V589&gt;=5,"A+",IF('Data Source'!V589&gt;=4,"A",IF('Data Source'!V589&gt;=3.5,"A-",IF('Data Source'!V589&gt;=3,"B",IF('Data Source'!V589&gt;=2,"C",IF('Data Source'!V589&gt;=1,"D","F")))))),"")</f>
        <v/>
      </c>
      <c r="E589" s="3">
        <f>IF(AND('Data Source'!B589&lt;&gt;"",'Data Source'!S589="A+"),IF('Data Source'!W589&gt;=5,"A+",IF('Data Source'!W589&gt;=4,"A",IF('Data Source'!W589&gt;=3.5,"A-",IF('Data Source'!W589&gt;=3,"B",IF('Data Source'!W589&gt;=2,"C",IF('Data Source'!W589&gt;=1,"D","F")))))),"")</f>
        <v/>
      </c>
      <c r="F589" s="3">
        <f>IF(AND('Data Source'!B589&lt;&gt;"",'Data Source'!S589="A+"),IF('Data Source'!X589&gt;=5,"A+",IF('Data Source'!X589&gt;=4,"A",IF('Data Source'!X589&gt;=3.5,"A-",IF('Data Source'!X589&gt;=3,"B",IF('Data Source'!X589&gt;=2,"C",IF('Data Source'!X589&gt;=1,"D","F")))))),"")</f>
        <v/>
      </c>
      <c r="G589" s="3">
        <f>IF(AND('Data Source'!B589&lt;&gt;"",'Data Source'!S589="A+"),IF('Data Source'!Y589&gt;=5,"A+",IF('Data Source'!Y589&gt;=4,"A",IF('Data Source'!Y589&gt;=3.5,"A-",IF('Data Source'!Y589&gt;=3,"B",IF('Data Source'!Y589&gt;=2,"C",IF('Data Source'!Y589&gt;=1,"D","F")))))),"")</f>
        <v/>
      </c>
      <c r="H589" s="3">
        <f>IF(AND('Data Source'!B589&lt;&gt;"",'Data Source'!S589="A+"),IF('Data Source'!Z589&gt;=5,"A+",IF('Data Source'!Z589&gt;=4,"A",IF('Data Source'!Z589&gt;=3.5,"A-",IF('Data Source'!Z589&gt;=3,"B",IF('Data Source'!Z589&gt;=2,"C",IF('Data Source'!Z589&gt;=1,"D","F")))))),"")</f>
        <v/>
      </c>
      <c r="I589" s="3">
        <f>IF(AND('Data Source'!B589&lt;&gt;"",'Data Source'!S589="A+"),IF('Data Source'!AA589&gt;=5,"A+",IF('Data Source'!AA589&gt;=4,"A",IF('Data Source'!AA589&gt;=3.5,"A-",IF('Data Source'!AA589&gt;=3,"B",IF('Data Source'!AA589&gt;=2,"C",IF('Data Source'!AA589&gt;=1,"D","F")))))),"")</f>
        <v/>
      </c>
      <c r="J589" s="3">
        <f>IF(AND('Data Source'!B589&lt;&gt;"",'Data Source'!S589="A+"),IF('Data Source'!AB589&gt;=5,"A+",IF('Data Source'!AB589&gt;=4,"A",IF('Data Source'!AB589&gt;=3.5,"A-",IF('Data Source'!AB589&gt;=3,"B",IF('Data Source'!AB589&gt;=2,"C",IF('Data Source'!AB589&gt;=1,"D","F")))))),"")</f>
        <v/>
      </c>
      <c r="K589" s="3">
        <f>IF(AND('Data Source'!B589&lt;&gt;"",'Data Source'!S589="A+"),IF('Data Source'!AC589&gt;=5,"A+",IF('Data Source'!AC589&gt;=4,"A",IF('Data Source'!AC589&gt;=3.5,"A-",IF('Data Source'!AC589&gt;=3,"B",IF('Data Source'!AC589&gt;=2,"C",IF('Data Source'!AC589&gt;=1,"D","F")))))),"")</f>
        <v/>
      </c>
      <c r="L589" s="3">
        <f>IF(AND('Data Source'!B589&lt;&gt;"",'Data Source'!S589="A+"),IF('Data Source'!AD589&gt;=5,"A+",IF('Data Source'!AD589&gt;=4,"A",IF('Data Source'!AD589&gt;=3.5,"A-",IF('Data Source'!AD589&gt;=3,"B",IF('Data Source'!AD589&gt;=2,"C",IF('Data Source'!AD589&gt;=1,"D","F")))))),"")</f>
        <v/>
      </c>
      <c r="M589" s="3">
        <f>IF(AND('Data Source'!B589&lt;&gt;"",'Data Source'!S589="A+"),IF('Data Source'!AE589&gt;=5,"A+",IF('Data Source'!AE589&gt;=4,"A",IF('Data Source'!AE589&gt;=3.5,"A-",IF('Data Source'!AE589&gt;=3,"B",IF('Data Source'!AE589&gt;=2,"C",IF('Data Source'!AE589&gt;=1,"D","F")))))),"")</f>
        <v/>
      </c>
      <c r="N589" s="3">
        <f>IF(AND('Data Source'!B589&lt;&gt;"",'Data Source'!S589="A+"),IF('Data Source'!AF589&gt;=5,"A+",IF('Data Source'!AF589&gt;=4,"A",IF('Data Source'!AF589&gt;=3.5,"A-",IF('Data Source'!AF589&gt;=3,"B",IF('Data Source'!AF589&gt;=2,"C",IF('Data Source'!AF589&gt;=1,"D","F")))))),"")</f>
        <v/>
      </c>
      <c r="O589" s="3">
        <f>IF(AND('Data Source'!B589&lt;&gt;"",'Data Source'!S589="A+"),IF('Data Source'!AG589&gt;=5,"A+",IF('Data Source'!AG589&gt;=4,"A",IF('Data Source'!AG589&gt;=3.5,"A-",IF('Data Source'!AG589&gt;=3,"B",IF('Data Source'!AG589&gt;=2,"C",IF('Data Source'!AG589&gt;=1,"D","F")))))),"")</f>
        <v/>
      </c>
      <c r="P589" s="5">
        <f>IF(AND('Data Source'!B589&lt;&gt;"",'Data Source'!S589="A+"),'Data Source'!R589,"")</f>
        <v/>
      </c>
      <c r="Q589" s="3">
        <f>IF(AND('Data Source'!B589&lt;&gt;"",'Data Source'!S589="A+"),'Data Source'!S589,"")</f>
        <v/>
      </c>
    </row>
    <row r="590">
      <c r="A590" s="3">
        <f>IF(AND('Data Source'!B590&lt;&gt;"",'Data Source'!S590="A+"),COUNTIF('Data Source'!$S$3:S590,"A+"),"")</f>
        <v/>
      </c>
      <c r="B590">
        <f>IF(AND('Data Source'!B590&lt;&gt;"",'Data Source'!S590="A+"),'Data Source'!B590,"")</f>
        <v/>
      </c>
      <c r="C590" s="3">
        <f>IF(AND('Data Source'!B590&lt;&gt;"",'Data Source'!S590="A+"),IF('Data Source'!U590&gt;=5,"A+",IF('Data Source'!U590&gt;=4,"A",IF('Data Source'!U590&gt;=3.5,"A-",IF('Data Source'!U590&gt;=3,"B",IF('Data Source'!U590&gt;=2,"C",IF('Data Source'!U590&gt;=1,"D","F")))))),"")</f>
        <v/>
      </c>
      <c r="D590" s="3">
        <f>IF(AND('Data Source'!B590&lt;&gt;"",'Data Source'!S590="A+"),IF('Data Source'!V590&gt;=5,"A+",IF('Data Source'!V590&gt;=4,"A",IF('Data Source'!V590&gt;=3.5,"A-",IF('Data Source'!V590&gt;=3,"B",IF('Data Source'!V590&gt;=2,"C",IF('Data Source'!V590&gt;=1,"D","F")))))),"")</f>
        <v/>
      </c>
      <c r="E590" s="3">
        <f>IF(AND('Data Source'!B590&lt;&gt;"",'Data Source'!S590="A+"),IF('Data Source'!W590&gt;=5,"A+",IF('Data Source'!W590&gt;=4,"A",IF('Data Source'!W590&gt;=3.5,"A-",IF('Data Source'!W590&gt;=3,"B",IF('Data Source'!W590&gt;=2,"C",IF('Data Source'!W590&gt;=1,"D","F")))))),"")</f>
        <v/>
      </c>
      <c r="F590" s="3">
        <f>IF(AND('Data Source'!B590&lt;&gt;"",'Data Source'!S590="A+"),IF('Data Source'!X590&gt;=5,"A+",IF('Data Source'!X590&gt;=4,"A",IF('Data Source'!X590&gt;=3.5,"A-",IF('Data Source'!X590&gt;=3,"B",IF('Data Source'!X590&gt;=2,"C",IF('Data Source'!X590&gt;=1,"D","F")))))),"")</f>
        <v/>
      </c>
      <c r="G590" s="3">
        <f>IF(AND('Data Source'!B590&lt;&gt;"",'Data Source'!S590="A+"),IF('Data Source'!Y590&gt;=5,"A+",IF('Data Source'!Y590&gt;=4,"A",IF('Data Source'!Y590&gt;=3.5,"A-",IF('Data Source'!Y590&gt;=3,"B",IF('Data Source'!Y590&gt;=2,"C",IF('Data Source'!Y590&gt;=1,"D","F")))))),"")</f>
        <v/>
      </c>
      <c r="H590" s="3">
        <f>IF(AND('Data Source'!B590&lt;&gt;"",'Data Source'!S590="A+"),IF('Data Source'!Z590&gt;=5,"A+",IF('Data Source'!Z590&gt;=4,"A",IF('Data Source'!Z590&gt;=3.5,"A-",IF('Data Source'!Z590&gt;=3,"B",IF('Data Source'!Z590&gt;=2,"C",IF('Data Source'!Z590&gt;=1,"D","F")))))),"")</f>
        <v/>
      </c>
      <c r="I590" s="3">
        <f>IF(AND('Data Source'!B590&lt;&gt;"",'Data Source'!S590="A+"),IF('Data Source'!AA590&gt;=5,"A+",IF('Data Source'!AA590&gt;=4,"A",IF('Data Source'!AA590&gt;=3.5,"A-",IF('Data Source'!AA590&gt;=3,"B",IF('Data Source'!AA590&gt;=2,"C",IF('Data Source'!AA590&gt;=1,"D","F")))))),"")</f>
        <v/>
      </c>
      <c r="J590" s="3">
        <f>IF(AND('Data Source'!B590&lt;&gt;"",'Data Source'!S590="A+"),IF('Data Source'!AB590&gt;=5,"A+",IF('Data Source'!AB590&gt;=4,"A",IF('Data Source'!AB590&gt;=3.5,"A-",IF('Data Source'!AB590&gt;=3,"B",IF('Data Source'!AB590&gt;=2,"C",IF('Data Source'!AB590&gt;=1,"D","F")))))),"")</f>
        <v/>
      </c>
      <c r="K590" s="3">
        <f>IF(AND('Data Source'!B590&lt;&gt;"",'Data Source'!S590="A+"),IF('Data Source'!AC590&gt;=5,"A+",IF('Data Source'!AC590&gt;=4,"A",IF('Data Source'!AC590&gt;=3.5,"A-",IF('Data Source'!AC590&gt;=3,"B",IF('Data Source'!AC590&gt;=2,"C",IF('Data Source'!AC590&gt;=1,"D","F")))))),"")</f>
        <v/>
      </c>
      <c r="L590" s="3">
        <f>IF(AND('Data Source'!B590&lt;&gt;"",'Data Source'!S590="A+"),IF('Data Source'!AD590&gt;=5,"A+",IF('Data Source'!AD590&gt;=4,"A",IF('Data Source'!AD590&gt;=3.5,"A-",IF('Data Source'!AD590&gt;=3,"B",IF('Data Source'!AD590&gt;=2,"C",IF('Data Source'!AD590&gt;=1,"D","F")))))),"")</f>
        <v/>
      </c>
      <c r="M590" s="3">
        <f>IF(AND('Data Source'!B590&lt;&gt;"",'Data Source'!S590="A+"),IF('Data Source'!AE590&gt;=5,"A+",IF('Data Source'!AE590&gt;=4,"A",IF('Data Source'!AE590&gt;=3.5,"A-",IF('Data Source'!AE590&gt;=3,"B",IF('Data Source'!AE590&gt;=2,"C",IF('Data Source'!AE590&gt;=1,"D","F")))))),"")</f>
        <v/>
      </c>
      <c r="N590" s="3">
        <f>IF(AND('Data Source'!B590&lt;&gt;"",'Data Source'!S590="A+"),IF('Data Source'!AF590&gt;=5,"A+",IF('Data Source'!AF590&gt;=4,"A",IF('Data Source'!AF590&gt;=3.5,"A-",IF('Data Source'!AF590&gt;=3,"B",IF('Data Source'!AF590&gt;=2,"C",IF('Data Source'!AF590&gt;=1,"D","F")))))),"")</f>
        <v/>
      </c>
      <c r="O590" s="3">
        <f>IF(AND('Data Source'!B590&lt;&gt;"",'Data Source'!S590="A+"),IF('Data Source'!AG590&gt;=5,"A+",IF('Data Source'!AG590&gt;=4,"A",IF('Data Source'!AG590&gt;=3.5,"A-",IF('Data Source'!AG590&gt;=3,"B",IF('Data Source'!AG590&gt;=2,"C",IF('Data Source'!AG590&gt;=1,"D","F")))))),"")</f>
        <v/>
      </c>
      <c r="P590" s="5">
        <f>IF(AND('Data Source'!B590&lt;&gt;"",'Data Source'!S590="A+"),'Data Source'!R590,"")</f>
        <v/>
      </c>
      <c r="Q590" s="3">
        <f>IF(AND('Data Source'!B590&lt;&gt;"",'Data Source'!S590="A+"),'Data Source'!S590,"")</f>
        <v/>
      </c>
    </row>
    <row r="591">
      <c r="A591" s="3">
        <f>IF(AND('Data Source'!B591&lt;&gt;"",'Data Source'!S591="A+"),COUNTIF('Data Source'!$S$3:S591,"A+"),"")</f>
        <v/>
      </c>
      <c r="B591">
        <f>IF(AND('Data Source'!B591&lt;&gt;"",'Data Source'!S591="A+"),'Data Source'!B591,"")</f>
        <v/>
      </c>
      <c r="C591" s="3">
        <f>IF(AND('Data Source'!B591&lt;&gt;"",'Data Source'!S591="A+"),IF('Data Source'!U591&gt;=5,"A+",IF('Data Source'!U591&gt;=4,"A",IF('Data Source'!U591&gt;=3.5,"A-",IF('Data Source'!U591&gt;=3,"B",IF('Data Source'!U591&gt;=2,"C",IF('Data Source'!U591&gt;=1,"D","F")))))),"")</f>
        <v/>
      </c>
      <c r="D591" s="3">
        <f>IF(AND('Data Source'!B591&lt;&gt;"",'Data Source'!S591="A+"),IF('Data Source'!V591&gt;=5,"A+",IF('Data Source'!V591&gt;=4,"A",IF('Data Source'!V591&gt;=3.5,"A-",IF('Data Source'!V591&gt;=3,"B",IF('Data Source'!V591&gt;=2,"C",IF('Data Source'!V591&gt;=1,"D","F")))))),"")</f>
        <v/>
      </c>
      <c r="E591" s="3">
        <f>IF(AND('Data Source'!B591&lt;&gt;"",'Data Source'!S591="A+"),IF('Data Source'!W591&gt;=5,"A+",IF('Data Source'!W591&gt;=4,"A",IF('Data Source'!W591&gt;=3.5,"A-",IF('Data Source'!W591&gt;=3,"B",IF('Data Source'!W591&gt;=2,"C",IF('Data Source'!W591&gt;=1,"D","F")))))),"")</f>
        <v/>
      </c>
      <c r="F591" s="3">
        <f>IF(AND('Data Source'!B591&lt;&gt;"",'Data Source'!S591="A+"),IF('Data Source'!X591&gt;=5,"A+",IF('Data Source'!X591&gt;=4,"A",IF('Data Source'!X591&gt;=3.5,"A-",IF('Data Source'!X591&gt;=3,"B",IF('Data Source'!X591&gt;=2,"C",IF('Data Source'!X591&gt;=1,"D","F")))))),"")</f>
        <v/>
      </c>
      <c r="G591" s="3">
        <f>IF(AND('Data Source'!B591&lt;&gt;"",'Data Source'!S591="A+"),IF('Data Source'!Y591&gt;=5,"A+",IF('Data Source'!Y591&gt;=4,"A",IF('Data Source'!Y591&gt;=3.5,"A-",IF('Data Source'!Y591&gt;=3,"B",IF('Data Source'!Y591&gt;=2,"C",IF('Data Source'!Y591&gt;=1,"D","F")))))),"")</f>
        <v/>
      </c>
      <c r="H591" s="3">
        <f>IF(AND('Data Source'!B591&lt;&gt;"",'Data Source'!S591="A+"),IF('Data Source'!Z591&gt;=5,"A+",IF('Data Source'!Z591&gt;=4,"A",IF('Data Source'!Z591&gt;=3.5,"A-",IF('Data Source'!Z591&gt;=3,"B",IF('Data Source'!Z591&gt;=2,"C",IF('Data Source'!Z591&gt;=1,"D","F")))))),"")</f>
        <v/>
      </c>
      <c r="I591" s="3">
        <f>IF(AND('Data Source'!B591&lt;&gt;"",'Data Source'!S591="A+"),IF('Data Source'!AA591&gt;=5,"A+",IF('Data Source'!AA591&gt;=4,"A",IF('Data Source'!AA591&gt;=3.5,"A-",IF('Data Source'!AA591&gt;=3,"B",IF('Data Source'!AA591&gt;=2,"C",IF('Data Source'!AA591&gt;=1,"D","F")))))),"")</f>
        <v/>
      </c>
      <c r="J591" s="3">
        <f>IF(AND('Data Source'!B591&lt;&gt;"",'Data Source'!S591="A+"),IF('Data Source'!AB591&gt;=5,"A+",IF('Data Source'!AB591&gt;=4,"A",IF('Data Source'!AB591&gt;=3.5,"A-",IF('Data Source'!AB591&gt;=3,"B",IF('Data Source'!AB591&gt;=2,"C",IF('Data Source'!AB591&gt;=1,"D","F")))))),"")</f>
        <v/>
      </c>
      <c r="K591" s="3">
        <f>IF(AND('Data Source'!B591&lt;&gt;"",'Data Source'!S591="A+"),IF('Data Source'!AC591&gt;=5,"A+",IF('Data Source'!AC591&gt;=4,"A",IF('Data Source'!AC591&gt;=3.5,"A-",IF('Data Source'!AC591&gt;=3,"B",IF('Data Source'!AC591&gt;=2,"C",IF('Data Source'!AC591&gt;=1,"D","F")))))),"")</f>
        <v/>
      </c>
      <c r="L591" s="3">
        <f>IF(AND('Data Source'!B591&lt;&gt;"",'Data Source'!S591="A+"),IF('Data Source'!AD591&gt;=5,"A+",IF('Data Source'!AD591&gt;=4,"A",IF('Data Source'!AD591&gt;=3.5,"A-",IF('Data Source'!AD591&gt;=3,"B",IF('Data Source'!AD591&gt;=2,"C",IF('Data Source'!AD591&gt;=1,"D","F")))))),"")</f>
        <v/>
      </c>
      <c r="M591" s="3">
        <f>IF(AND('Data Source'!B591&lt;&gt;"",'Data Source'!S591="A+"),IF('Data Source'!AE591&gt;=5,"A+",IF('Data Source'!AE591&gt;=4,"A",IF('Data Source'!AE591&gt;=3.5,"A-",IF('Data Source'!AE591&gt;=3,"B",IF('Data Source'!AE591&gt;=2,"C",IF('Data Source'!AE591&gt;=1,"D","F")))))),"")</f>
        <v/>
      </c>
      <c r="N591" s="3">
        <f>IF(AND('Data Source'!B591&lt;&gt;"",'Data Source'!S591="A+"),IF('Data Source'!AF591&gt;=5,"A+",IF('Data Source'!AF591&gt;=4,"A",IF('Data Source'!AF591&gt;=3.5,"A-",IF('Data Source'!AF591&gt;=3,"B",IF('Data Source'!AF591&gt;=2,"C",IF('Data Source'!AF591&gt;=1,"D","F")))))),"")</f>
        <v/>
      </c>
      <c r="O591" s="3">
        <f>IF(AND('Data Source'!B591&lt;&gt;"",'Data Source'!S591="A+"),IF('Data Source'!AG591&gt;=5,"A+",IF('Data Source'!AG591&gt;=4,"A",IF('Data Source'!AG591&gt;=3.5,"A-",IF('Data Source'!AG591&gt;=3,"B",IF('Data Source'!AG591&gt;=2,"C",IF('Data Source'!AG591&gt;=1,"D","F")))))),"")</f>
        <v/>
      </c>
      <c r="P591" s="5">
        <f>IF(AND('Data Source'!B591&lt;&gt;"",'Data Source'!S591="A+"),'Data Source'!R591,"")</f>
        <v/>
      </c>
      <c r="Q591" s="3">
        <f>IF(AND('Data Source'!B591&lt;&gt;"",'Data Source'!S591="A+"),'Data Source'!S591,"")</f>
        <v/>
      </c>
    </row>
    <row r="592">
      <c r="A592" s="3">
        <f>IF(AND('Data Source'!B592&lt;&gt;"",'Data Source'!S592="A+"),COUNTIF('Data Source'!$S$3:S592,"A+"),"")</f>
        <v/>
      </c>
      <c r="B592">
        <f>IF(AND('Data Source'!B592&lt;&gt;"",'Data Source'!S592="A+"),'Data Source'!B592,"")</f>
        <v/>
      </c>
      <c r="C592" s="3">
        <f>IF(AND('Data Source'!B592&lt;&gt;"",'Data Source'!S592="A+"),IF('Data Source'!U592&gt;=5,"A+",IF('Data Source'!U592&gt;=4,"A",IF('Data Source'!U592&gt;=3.5,"A-",IF('Data Source'!U592&gt;=3,"B",IF('Data Source'!U592&gt;=2,"C",IF('Data Source'!U592&gt;=1,"D","F")))))),"")</f>
        <v/>
      </c>
      <c r="D592" s="3">
        <f>IF(AND('Data Source'!B592&lt;&gt;"",'Data Source'!S592="A+"),IF('Data Source'!V592&gt;=5,"A+",IF('Data Source'!V592&gt;=4,"A",IF('Data Source'!V592&gt;=3.5,"A-",IF('Data Source'!V592&gt;=3,"B",IF('Data Source'!V592&gt;=2,"C",IF('Data Source'!V592&gt;=1,"D","F")))))),"")</f>
        <v/>
      </c>
      <c r="E592" s="3">
        <f>IF(AND('Data Source'!B592&lt;&gt;"",'Data Source'!S592="A+"),IF('Data Source'!W592&gt;=5,"A+",IF('Data Source'!W592&gt;=4,"A",IF('Data Source'!W592&gt;=3.5,"A-",IF('Data Source'!W592&gt;=3,"B",IF('Data Source'!W592&gt;=2,"C",IF('Data Source'!W592&gt;=1,"D","F")))))),"")</f>
        <v/>
      </c>
      <c r="F592" s="3">
        <f>IF(AND('Data Source'!B592&lt;&gt;"",'Data Source'!S592="A+"),IF('Data Source'!X592&gt;=5,"A+",IF('Data Source'!X592&gt;=4,"A",IF('Data Source'!X592&gt;=3.5,"A-",IF('Data Source'!X592&gt;=3,"B",IF('Data Source'!X592&gt;=2,"C",IF('Data Source'!X592&gt;=1,"D","F")))))),"")</f>
        <v/>
      </c>
      <c r="G592" s="3">
        <f>IF(AND('Data Source'!B592&lt;&gt;"",'Data Source'!S592="A+"),IF('Data Source'!Y592&gt;=5,"A+",IF('Data Source'!Y592&gt;=4,"A",IF('Data Source'!Y592&gt;=3.5,"A-",IF('Data Source'!Y592&gt;=3,"B",IF('Data Source'!Y592&gt;=2,"C",IF('Data Source'!Y592&gt;=1,"D","F")))))),"")</f>
        <v/>
      </c>
      <c r="H592" s="3">
        <f>IF(AND('Data Source'!B592&lt;&gt;"",'Data Source'!S592="A+"),IF('Data Source'!Z592&gt;=5,"A+",IF('Data Source'!Z592&gt;=4,"A",IF('Data Source'!Z592&gt;=3.5,"A-",IF('Data Source'!Z592&gt;=3,"B",IF('Data Source'!Z592&gt;=2,"C",IF('Data Source'!Z592&gt;=1,"D","F")))))),"")</f>
        <v/>
      </c>
      <c r="I592" s="3">
        <f>IF(AND('Data Source'!B592&lt;&gt;"",'Data Source'!S592="A+"),IF('Data Source'!AA592&gt;=5,"A+",IF('Data Source'!AA592&gt;=4,"A",IF('Data Source'!AA592&gt;=3.5,"A-",IF('Data Source'!AA592&gt;=3,"B",IF('Data Source'!AA592&gt;=2,"C",IF('Data Source'!AA592&gt;=1,"D","F")))))),"")</f>
        <v/>
      </c>
      <c r="J592" s="3">
        <f>IF(AND('Data Source'!B592&lt;&gt;"",'Data Source'!S592="A+"),IF('Data Source'!AB592&gt;=5,"A+",IF('Data Source'!AB592&gt;=4,"A",IF('Data Source'!AB592&gt;=3.5,"A-",IF('Data Source'!AB592&gt;=3,"B",IF('Data Source'!AB592&gt;=2,"C",IF('Data Source'!AB592&gt;=1,"D","F")))))),"")</f>
        <v/>
      </c>
      <c r="K592" s="3">
        <f>IF(AND('Data Source'!B592&lt;&gt;"",'Data Source'!S592="A+"),IF('Data Source'!AC592&gt;=5,"A+",IF('Data Source'!AC592&gt;=4,"A",IF('Data Source'!AC592&gt;=3.5,"A-",IF('Data Source'!AC592&gt;=3,"B",IF('Data Source'!AC592&gt;=2,"C",IF('Data Source'!AC592&gt;=1,"D","F")))))),"")</f>
        <v/>
      </c>
      <c r="L592" s="3">
        <f>IF(AND('Data Source'!B592&lt;&gt;"",'Data Source'!S592="A+"),IF('Data Source'!AD592&gt;=5,"A+",IF('Data Source'!AD592&gt;=4,"A",IF('Data Source'!AD592&gt;=3.5,"A-",IF('Data Source'!AD592&gt;=3,"B",IF('Data Source'!AD592&gt;=2,"C",IF('Data Source'!AD592&gt;=1,"D","F")))))),"")</f>
        <v/>
      </c>
      <c r="M592" s="3">
        <f>IF(AND('Data Source'!B592&lt;&gt;"",'Data Source'!S592="A+"),IF('Data Source'!AE592&gt;=5,"A+",IF('Data Source'!AE592&gt;=4,"A",IF('Data Source'!AE592&gt;=3.5,"A-",IF('Data Source'!AE592&gt;=3,"B",IF('Data Source'!AE592&gt;=2,"C",IF('Data Source'!AE592&gt;=1,"D","F")))))),"")</f>
        <v/>
      </c>
      <c r="N592" s="3">
        <f>IF(AND('Data Source'!B592&lt;&gt;"",'Data Source'!S592="A+"),IF('Data Source'!AF592&gt;=5,"A+",IF('Data Source'!AF592&gt;=4,"A",IF('Data Source'!AF592&gt;=3.5,"A-",IF('Data Source'!AF592&gt;=3,"B",IF('Data Source'!AF592&gt;=2,"C",IF('Data Source'!AF592&gt;=1,"D","F")))))),"")</f>
        <v/>
      </c>
      <c r="O592" s="3">
        <f>IF(AND('Data Source'!B592&lt;&gt;"",'Data Source'!S592="A+"),IF('Data Source'!AG592&gt;=5,"A+",IF('Data Source'!AG592&gt;=4,"A",IF('Data Source'!AG592&gt;=3.5,"A-",IF('Data Source'!AG592&gt;=3,"B",IF('Data Source'!AG592&gt;=2,"C",IF('Data Source'!AG592&gt;=1,"D","F")))))),"")</f>
        <v/>
      </c>
      <c r="P592" s="5">
        <f>IF(AND('Data Source'!B592&lt;&gt;"",'Data Source'!S592="A+"),'Data Source'!R592,"")</f>
        <v/>
      </c>
      <c r="Q592" s="3">
        <f>IF(AND('Data Source'!B592&lt;&gt;"",'Data Source'!S592="A+"),'Data Source'!S592,"")</f>
        <v/>
      </c>
    </row>
    <row r="593">
      <c r="A593" s="3">
        <f>IF(AND('Data Source'!B593&lt;&gt;"",'Data Source'!S593="A+"),COUNTIF('Data Source'!$S$3:S593,"A+"),"")</f>
        <v/>
      </c>
      <c r="B593">
        <f>IF(AND('Data Source'!B593&lt;&gt;"",'Data Source'!S593="A+"),'Data Source'!B593,"")</f>
        <v/>
      </c>
      <c r="C593" s="3">
        <f>IF(AND('Data Source'!B593&lt;&gt;"",'Data Source'!S593="A+"),IF('Data Source'!U593&gt;=5,"A+",IF('Data Source'!U593&gt;=4,"A",IF('Data Source'!U593&gt;=3.5,"A-",IF('Data Source'!U593&gt;=3,"B",IF('Data Source'!U593&gt;=2,"C",IF('Data Source'!U593&gt;=1,"D","F")))))),"")</f>
        <v/>
      </c>
      <c r="D593" s="3">
        <f>IF(AND('Data Source'!B593&lt;&gt;"",'Data Source'!S593="A+"),IF('Data Source'!V593&gt;=5,"A+",IF('Data Source'!V593&gt;=4,"A",IF('Data Source'!V593&gt;=3.5,"A-",IF('Data Source'!V593&gt;=3,"B",IF('Data Source'!V593&gt;=2,"C",IF('Data Source'!V593&gt;=1,"D","F")))))),"")</f>
        <v/>
      </c>
      <c r="E593" s="3">
        <f>IF(AND('Data Source'!B593&lt;&gt;"",'Data Source'!S593="A+"),IF('Data Source'!W593&gt;=5,"A+",IF('Data Source'!W593&gt;=4,"A",IF('Data Source'!W593&gt;=3.5,"A-",IF('Data Source'!W593&gt;=3,"B",IF('Data Source'!W593&gt;=2,"C",IF('Data Source'!W593&gt;=1,"D","F")))))),"")</f>
        <v/>
      </c>
      <c r="F593" s="3">
        <f>IF(AND('Data Source'!B593&lt;&gt;"",'Data Source'!S593="A+"),IF('Data Source'!X593&gt;=5,"A+",IF('Data Source'!X593&gt;=4,"A",IF('Data Source'!X593&gt;=3.5,"A-",IF('Data Source'!X593&gt;=3,"B",IF('Data Source'!X593&gt;=2,"C",IF('Data Source'!X593&gt;=1,"D","F")))))),"")</f>
        <v/>
      </c>
      <c r="G593" s="3">
        <f>IF(AND('Data Source'!B593&lt;&gt;"",'Data Source'!S593="A+"),IF('Data Source'!Y593&gt;=5,"A+",IF('Data Source'!Y593&gt;=4,"A",IF('Data Source'!Y593&gt;=3.5,"A-",IF('Data Source'!Y593&gt;=3,"B",IF('Data Source'!Y593&gt;=2,"C",IF('Data Source'!Y593&gt;=1,"D","F")))))),"")</f>
        <v/>
      </c>
      <c r="H593" s="3">
        <f>IF(AND('Data Source'!B593&lt;&gt;"",'Data Source'!S593="A+"),IF('Data Source'!Z593&gt;=5,"A+",IF('Data Source'!Z593&gt;=4,"A",IF('Data Source'!Z593&gt;=3.5,"A-",IF('Data Source'!Z593&gt;=3,"B",IF('Data Source'!Z593&gt;=2,"C",IF('Data Source'!Z593&gt;=1,"D","F")))))),"")</f>
        <v/>
      </c>
      <c r="I593" s="3">
        <f>IF(AND('Data Source'!B593&lt;&gt;"",'Data Source'!S593="A+"),IF('Data Source'!AA593&gt;=5,"A+",IF('Data Source'!AA593&gt;=4,"A",IF('Data Source'!AA593&gt;=3.5,"A-",IF('Data Source'!AA593&gt;=3,"B",IF('Data Source'!AA593&gt;=2,"C",IF('Data Source'!AA593&gt;=1,"D","F")))))),"")</f>
        <v/>
      </c>
      <c r="J593" s="3">
        <f>IF(AND('Data Source'!B593&lt;&gt;"",'Data Source'!S593="A+"),IF('Data Source'!AB593&gt;=5,"A+",IF('Data Source'!AB593&gt;=4,"A",IF('Data Source'!AB593&gt;=3.5,"A-",IF('Data Source'!AB593&gt;=3,"B",IF('Data Source'!AB593&gt;=2,"C",IF('Data Source'!AB593&gt;=1,"D","F")))))),"")</f>
        <v/>
      </c>
      <c r="K593" s="3">
        <f>IF(AND('Data Source'!B593&lt;&gt;"",'Data Source'!S593="A+"),IF('Data Source'!AC593&gt;=5,"A+",IF('Data Source'!AC593&gt;=4,"A",IF('Data Source'!AC593&gt;=3.5,"A-",IF('Data Source'!AC593&gt;=3,"B",IF('Data Source'!AC593&gt;=2,"C",IF('Data Source'!AC593&gt;=1,"D","F")))))),"")</f>
        <v/>
      </c>
      <c r="L593" s="3">
        <f>IF(AND('Data Source'!B593&lt;&gt;"",'Data Source'!S593="A+"),IF('Data Source'!AD593&gt;=5,"A+",IF('Data Source'!AD593&gt;=4,"A",IF('Data Source'!AD593&gt;=3.5,"A-",IF('Data Source'!AD593&gt;=3,"B",IF('Data Source'!AD593&gt;=2,"C",IF('Data Source'!AD593&gt;=1,"D","F")))))),"")</f>
        <v/>
      </c>
      <c r="M593" s="3">
        <f>IF(AND('Data Source'!B593&lt;&gt;"",'Data Source'!S593="A+"),IF('Data Source'!AE593&gt;=5,"A+",IF('Data Source'!AE593&gt;=4,"A",IF('Data Source'!AE593&gt;=3.5,"A-",IF('Data Source'!AE593&gt;=3,"B",IF('Data Source'!AE593&gt;=2,"C",IF('Data Source'!AE593&gt;=1,"D","F")))))),"")</f>
        <v/>
      </c>
      <c r="N593" s="3">
        <f>IF(AND('Data Source'!B593&lt;&gt;"",'Data Source'!S593="A+"),IF('Data Source'!AF593&gt;=5,"A+",IF('Data Source'!AF593&gt;=4,"A",IF('Data Source'!AF593&gt;=3.5,"A-",IF('Data Source'!AF593&gt;=3,"B",IF('Data Source'!AF593&gt;=2,"C",IF('Data Source'!AF593&gt;=1,"D","F")))))),"")</f>
        <v/>
      </c>
      <c r="O593" s="3">
        <f>IF(AND('Data Source'!B593&lt;&gt;"",'Data Source'!S593="A+"),IF('Data Source'!AG593&gt;=5,"A+",IF('Data Source'!AG593&gt;=4,"A",IF('Data Source'!AG593&gt;=3.5,"A-",IF('Data Source'!AG593&gt;=3,"B",IF('Data Source'!AG593&gt;=2,"C",IF('Data Source'!AG593&gt;=1,"D","F")))))),"")</f>
        <v/>
      </c>
      <c r="P593" s="5">
        <f>IF(AND('Data Source'!B593&lt;&gt;"",'Data Source'!S593="A+"),'Data Source'!R593,"")</f>
        <v/>
      </c>
      <c r="Q593" s="3">
        <f>IF(AND('Data Source'!B593&lt;&gt;"",'Data Source'!S593="A+"),'Data Source'!S593,"")</f>
        <v/>
      </c>
    </row>
    <row r="594">
      <c r="A594" s="3">
        <f>IF(AND('Data Source'!B594&lt;&gt;"",'Data Source'!S594="A+"),COUNTIF('Data Source'!$S$3:S594,"A+"),"")</f>
        <v/>
      </c>
      <c r="B594">
        <f>IF(AND('Data Source'!B594&lt;&gt;"",'Data Source'!S594="A+"),'Data Source'!B594,"")</f>
        <v/>
      </c>
      <c r="C594" s="3">
        <f>IF(AND('Data Source'!B594&lt;&gt;"",'Data Source'!S594="A+"),IF('Data Source'!U594&gt;=5,"A+",IF('Data Source'!U594&gt;=4,"A",IF('Data Source'!U594&gt;=3.5,"A-",IF('Data Source'!U594&gt;=3,"B",IF('Data Source'!U594&gt;=2,"C",IF('Data Source'!U594&gt;=1,"D","F")))))),"")</f>
        <v/>
      </c>
      <c r="D594" s="3">
        <f>IF(AND('Data Source'!B594&lt;&gt;"",'Data Source'!S594="A+"),IF('Data Source'!V594&gt;=5,"A+",IF('Data Source'!V594&gt;=4,"A",IF('Data Source'!V594&gt;=3.5,"A-",IF('Data Source'!V594&gt;=3,"B",IF('Data Source'!V594&gt;=2,"C",IF('Data Source'!V594&gt;=1,"D","F")))))),"")</f>
        <v/>
      </c>
      <c r="E594" s="3">
        <f>IF(AND('Data Source'!B594&lt;&gt;"",'Data Source'!S594="A+"),IF('Data Source'!W594&gt;=5,"A+",IF('Data Source'!W594&gt;=4,"A",IF('Data Source'!W594&gt;=3.5,"A-",IF('Data Source'!W594&gt;=3,"B",IF('Data Source'!W594&gt;=2,"C",IF('Data Source'!W594&gt;=1,"D","F")))))),"")</f>
        <v/>
      </c>
      <c r="F594" s="3">
        <f>IF(AND('Data Source'!B594&lt;&gt;"",'Data Source'!S594="A+"),IF('Data Source'!X594&gt;=5,"A+",IF('Data Source'!X594&gt;=4,"A",IF('Data Source'!X594&gt;=3.5,"A-",IF('Data Source'!X594&gt;=3,"B",IF('Data Source'!X594&gt;=2,"C",IF('Data Source'!X594&gt;=1,"D","F")))))),"")</f>
        <v/>
      </c>
      <c r="G594" s="3">
        <f>IF(AND('Data Source'!B594&lt;&gt;"",'Data Source'!S594="A+"),IF('Data Source'!Y594&gt;=5,"A+",IF('Data Source'!Y594&gt;=4,"A",IF('Data Source'!Y594&gt;=3.5,"A-",IF('Data Source'!Y594&gt;=3,"B",IF('Data Source'!Y594&gt;=2,"C",IF('Data Source'!Y594&gt;=1,"D","F")))))),"")</f>
        <v/>
      </c>
      <c r="H594" s="3">
        <f>IF(AND('Data Source'!B594&lt;&gt;"",'Data Source'!S594="A+"),IF('Data Source'!Z594&gt;=5,"A+",IF('Data Source'!Z594&gt;=4,"A",IF('Data Source'!Z594&gt;=3.5,"A-",IF('Data Source'!Z594&gt;=3,"B",IF('Data Source'!Z594&gt;=2,"C",IF('Data Source'!Z594&gt;=1,"D","F")))))),"")</f>
        <v/>
      </c>
      <c r="I594" s="3">
        <f>IF(AND('Data Source'!B594&lt;&gt;"",'Data Source'!S594="A+"),IF('Data Source'!AA594&gt;=5,"A+",IF('Data Source'!AA594&gt;=4,"A",IF('Data Source'!AA594&gt;=3.5,"A-",IF('Data Source'!AA594&gt;=3,"B",IF('Data Source'!AA594&gt;=2,"C",IF('Data Source'!AA594&gt;=1,"D","F")))))),"")</f>
        <v/>
      </c>
      <c r="J594" s="3">
        <f>IF(AND('Data Source'!B594&lt;&gt;"",'Data Source'!S594="A+"),IF('Data Source'!AB594&gt;=5,"A+",IF('Data Source'!AB594&gt;=4,"A",IF('Data Source'!AB594&gt;=3.5,"A-",IF('Data Source'!AB594&gt;=3,"B",IF('Data Source'!AB594&gt;=2,"C",IF('Data Source'!AB594&gt;=1,"D","F")))))),"")</f>
        <v/>
      </c>
      <c r="K594" s="3">
        <f>IF(AND('Data Source'!B594&lt;&gt;"",'Data Source'!S594="A+"),IF('Data Source'!AC594&gt;=5,"A+",IF('Data Source'!AC594&gt;=4,"A",IF('Data Source'!AC594&gt;=3.5,"A-",IF('Data Source'!AC594&gt;=3,"B",IF('Data Source'!AC594&gt;=2,"C",IF('Data Source'!AC594&gt;=1,"D","F")))))),"")</f>
        <v/>
      </c>
      <c r="L594" s="3">
        <f>IF(AND('Data Source'!B594&lt;&gt;"",'Data Source'!S594="A+"),IF('Data Source'!AD594&gt;=5,"A+",IF('Data Source'!AD594&gt;=4,"A",IF('Data Source'!AD594&gt;=3.5,"A-",IF('Data Source'!AD594&gt;=3,"B",IF('Data Source'!AD594&gt;=2,"C",IF('Data Source'!AD594&gt;=1,"D","F")))))),"")</f>
        <v/>
      </c>
      <c r="M594" s="3">
        <f>IF(AND('Data Source'!B594&lt;&gt;"",'Data Source'!S594="A+"),IF('Data Source'!AE594&gt;=5,"A+",IF('Data Source'!AE594&gt;=4,"A",IF('Data Source'!AE594&gt;=3.5,"A-",IF('Data Source'!AE594&gt;=3,"B",IF('Data Source'!AE594&gt;=2,"C",IF('Data Source'!AE594&gt;=1,"D","F")))))),"")</f>
        <v/>
      </c>
      <c r="N594" s="3">
        <f>IF(AND('Data Source'!B594&lt;&gt;"",'Data Source'!S594="A+"),IF('Data Source'!AF594&gt;=5,"A+",IF('Data Source'!AF594&gt;=4,"A",IF('Data Source'!AF594&gt;=3.5,"A-",IF('Data Source'!AF594&gt;=3,"B",IF('Data Source'!AF594&gt;=2,"C",IF('Data Source'!AF594&gt;=1,"D","F")))))),"")</f>
        <v/>
      </c>
      <c r="O594" s="3">
        <f>IF(AND('Data Source'!B594&lt;&gt;"",'Data Source'!S594="A+"),IF('Data Source'!AG594&gt;=5,"A+",IF('Data Source'!AG594&gt;=4,"A",IF('Data Source'!AG594&gt;=3.5,"A-",IF('Data Source'!AG594&gt;=3,"B",IF('Data Source'!AG594&gt;=2,"C",IF('Data Source'!AG594&gt;=1,"D","F")))))),"")</f>
        <v/>
      </c>
      <c r="P594" s="5">
        <f>IF(AND('Data Source'!B594&lt;&gt;"",'Data Source'!S594="A+"),'Data Source'!R594,"")</f>
        <v/>
      </c>
      <c r="Q594" s="3">
        <f>IF(AND('Data Source'!B594&lt;&gt;"",'Data Source'!S594="A+"),'Data Source'!S594,"")</f>
        <v/>
      </c>
    </row>
    <row r="595">
      <c r="A595" s="3">
        <f>IF(AND('Data Source'!B595&lt;&gt;"",'Data Source'!S595="A+"),COUNTIF('Data Source'!$S$3:S595,"A+"),"")</f>
        <v/>
      </c>
      <c r="B595">
        <f>IF(AND('Data Source'!B595&lt;&gt;"",'Data Source'!S595="A+"),'Data Source'!B595,"")</f>
        <v/>
      </c>
      <c r="C595" s="3">
        <f>IF(AND('Data Source'!B595&lt;&gt;"",'Data Source'!S595="A+"),IF('Data Source'!U595&gt;=5,"A+",IF('Data Source'!U595&gt;=4,"A",IF('Data Source'!U595&gt;=3.5,"A-",IF('Data Source'!U595&gt;=3,"B",IF('Data Source'!U595&gt;=2,"C",IF('Data Source'!U595&gt;=1,"D","F")))))),"")</f>
        <v/>
      </c>
      <c r="D595" s="3">
        <f>IF(AND('Data Source'!B595&lt;&gt;"",'Data Source'!S595="A+"),IF('Data Source'!V595&gt;=5,"A+",IF('Data Source'!V595&gt;=4,"A",IF('Data Source'!V595&gt;=3.5,"A-",IF('Data Source'!V595&gt;=3,"B",IF('Data Source'!V595&gt;=2,"C",IF('Data Source'!V595&gt;=1,"D","F")))))),"")</f>
        <v/>
      </c>
      <c r="E595" s="3">
        <f>IF(AND('Data Source'!B595&lt;&gt;"",'Data Source'!S595="A+"),IF('Data Source'!W595&gt;=5,"A+",IF('Data Source'!W595&gt;=4,"A",IF('Data Source'!W595&gt;=3.5,"A-",IF('Data Source'!W595&gt;=3,"B",IF('Data Source'!W595&gt;=2,"C",IF('Data Source'!W595&gt;=1,"D","F")))))),"")</f>
        <v/>
      </c>
      <c r="F595" s="3">
        <f>IF(AND('Data Source'!B595&lt;&gt;"",'Data Source'!S595="A+"),IF('Data Source'!X595&gt;=5,"A+",IF('Data Source'!X595&gt;=4,"A",IF('Data Source'!X595&gt;=3.5,"A-",IF('Data Source'!X595&gt;=3,"B",IF('Data Source'!X595&gt;=2,"C",IF('Data Source'!X595&gt;=1,"D","F")))))),"")</f>
        <v/>
      </c>
      <c r="G595" s="3">
        <f>IF(AND('Data Source'!B595&lt;&gt;"",'Data Source'!S595="A+"),IF('Data Source'!Y595&gt;=5,"A+",IF('Data Source'!Y595&gt;=4,"A",IF('Data Source'!Y595&gt;=3.5,"A-",IF('Data Source'!Y595&gt;=3,"B",IF('Data Source'!Y595&gt;=2,"C",IF('Data Source'!Y595&gt;=1,"D","F")))))),"")</f>
        <v/>
      </c>
      <c r="H595" s="3">
        <f>IF(AND('Data Source'!B595&lt;&gt;"",'Data Source'!S595="A+"),IF('Data Source'!Z595&gt;=5,"A+",IF('Data Source'!Z595&gt;=4,"A",IF('Data Source'!Z595&gt;=3.5,"A-",IF('Data Source'!Z595&gt;=3,"B",IF('Data Source'!Z595&gt;=2,"C",IF('Data Source'!Z595&gt;=1,"D","F")))))),"")</f>
        <v/>
      </c>
      <c r="I595" s="3">
        <f>IF(AND('Data Source'!B595&lt;&gt;"",'Data Source'!S595="A+"),IF('Data Source'!AA595&gt;=5,"A+",IF('Data Source'!AA595&gt;=4,"A",IF('Data Source'!AA595&gt;=3.5,"A-",IF('Data Source'!AA595&gt;=3,"B",IF('Data Source'!AA595&gt;=2,"C",IF('Data Source'!AA595&gt;=1,"D","F")))))),"")</f>
        <v/>
      </c>
      <c r="J595" s="3">
        <f>IF(AND('Data Source'!B595&lt;&gt;"",'Data Source'!S595="A+"),IF('Data Source'!AB595&gt;=5,"A+",IF('Data Source'!AB595&gt;=4,"A",IF('Data Source'!AB595&gt;=3.5,"A-",IF('Data Source'!AB595&gt;=3,"B",IF('Data Source'!AB595&gt;=2,"C",IF('Data Source'!AB595&gt;=1,"D","F")))))),"")</f>
        <v/>
      </c>
      <c r="K595" s="3">
        <f>IF(AND('Data Source'!B595&lt;&gt;"",'Data Source'!S595="A+"),IF('Data Source'!AC595&gt;=5,"A+",IF('Data Source'!AC595&gt;=4,"A",IF('Data Source'!AC595&gt;=3.5,"A-",IF('Data Source'!AC595&gt;=3,"B",IF('Data Source'!AC595&gt;=2,"C",IF('Data Source'!AC595&gt;=1,"D","F")))))),"")</f>
        <v/>
      </c>
      <c r="L595" s="3">
        <f>IF(AND('Data Source'!B595&lt;&gt;"",'Data Source'!S595="A+"),IF('Data Source'!AD595&gt;=5,"A+",IF('Data Source'!AD595&gt;=4,"A",IF('Data Source'!AD595&gt;=3.5,"A-",IF('Data Source'!AD595&gt;=3,"B",IF('Data Source'!AD595&gt;=2,"C",IF('Data Source'!AD595&gt;=1,"D","F")))))),"")</f>
        <v/>
      </c>
      <c r="M595" s="3">
        <f>IF(AND('Data Source'!B595&lt;&gt;"",'Data Source'!S595="A+"),IF('Data Source'!AE595&gt;=5,"A+",IF('Data Source'!AE595&gt;=4,"A",IF('Data Source'!AE595&gt;=3.5,"A-",IF('Data Source'!AE595&gt;=3,"B",IF('Data Source'!AE595&gt;=2,"C",IF('Data Source'!AE595&gt;=1,"D","F")))))),"")</f>
        <v/>
      </c>
      <c r="N595" s="3">
        <f>IF(AND('Data Source'!B595&lt;&gt;"",'Data Source'!S595="A+"),IF('Data Source'!AF595&gt;=5,"A+",IF('Data Source'!AF595&gt;=4,"A",IF('Data Source'!AF595&gt;=3.5,"A-",IF('Data Source'!AF595&gt;=3,"B",IF('Data Source'!AF595&gt;=2,"C",IF('Data Source'!AF595&gt;=1,"D","F")))))),"")</f>
        <v/>
      </c>
      <c r="O595" s="3">
        <f>IF(AND('Data Source'!B595&lt;&gt;"",'Data Source'!S595="A+"),IF('Data Source'!AG595&gt;=5,"A+",IF('Data Source'!AG595&gt;=4,"A",IF('Data Source'!AG595&gt;=3.5,"A-",IF('Data Source'!AG595&gt;=3,"B",IF('Data Source'!AG595&gt;=2,"C",IF('Data Source'!AG595&gt;=1,"D","F")))))),"")</f>
        <v/>
      </c>
      <c r="P595" s="5">
        <f>IF(AND('Data Source'!B595&lt;&gt;"",'Data Source'!S595="A+"),'Data Source'!R595,"")</f>
        <v/>
      </c>
      <c r="Q595" s="3">
        <f>IF(AND('Data Source'!B595&lt;&gt;"",'Data Source'!S595="A+"),'Data Source'!S595,"")</f>
        <v/>
      </c>
    </row>
    <row r="596">
      <c r="A596" s="3">
        <f>IF(AND('Data Source'!B596&lt;&gt;"",'Data Source'!S596="A+"),COUNTIF('Data Source'!$S$3:S596,"A+"),"")</f>
        <v/>
      </c>
      <c r="B596">
        <f>IF(AND('Data Source'!B596&lt;&gt;"",'Data Source'!S596="A+"),'Data Source'!B596,"")</f>
        <v/>
      </c>
      <c r="C596" s="3">
        <f>IF(AND('Data Source'!B596&lt;&gt;"",'Data Source'!S596="A+"),IF('Data Source'!U596&gt;=5,"A+",IF('Data Source'!U596&gt;=4,"A",IF('Data Source'!U596&gt;=3.5,"A-",IF('Data Source'!U596&gt;=3,"B",IF('Data Source'!U596&gt;=2,"C",IF('Data Source'!U596&gt;=1,"D","F")))))),"")</f>
        <v/>
      </c>
      <c r="D596" s="3">
        <f>IF(AND('Data Source'!B596&lt;&gt;"",'Data Source'!S596="A+"),IF('Data Source'!V596&gt;=5,"A+",IF('Data Source'!V596&gt;=4,"A",IF('Data Source'!V596&gt;=3.5,"A-",IF('Data Source'!V596&gt;=3,"B",IF('Data Source'!V596&gt;=2,"C",IF('Data Source'!V596&gt;=1,"D","F")))))),"")</f>
        <v/>
      </c>
      <c r="E596" s="3">
        <f>IF(AND('Data Source'!B596&lt;&gt;"",'Data Source'!S596="A+"),IF('Data Source'!W596&gt;=5,"A+",IF('Data Source'!W596&gt;=4,"A",IF('Data Source'!W596&gt;=3.5,"A-",IF('Data Source'!W596&gt;=3,"B",IF('Data Source'!W596&gt;=2,"C",IF('Data Source'!W596&gt;=1,"D","F")))))),"")</f>
        <v/>
      </c>
      <c r="F596" s="3">
        <f>IF(AND('Data Source'!B596&lt;&gt;"",'Data Source'!S596="A+"),IF('Data Source'!X596&gt;=5,"A+",IF('Data Source'!X596&gt;=4,"A",IF('Data Source'!X596&gt;=3.5,"A-",IF('Data Source'!X596&gt;=3,"B",IF('Data Source'!X596&gt;=2,"C",IF('Data Source'!X596&gt;=1,"D","F")))))),"")</f>
        <v/>
      </c>
      <c r="G596" s="3">
        <f>IF(AND('Data Source'!B596&lt;&gt;"",'Data Source'!S596="A+"),IF('Data Source'!Y596&gt;=5,"A+",IF('Data Source'!Y596&gt;=4,"A",IF('Data Source'!Y596&gt;=3.5,"A-",IF('Data Source'!Y596&gt;=3,"B",IF('Data Source'!Y596&gt;=2,"C",IF('Data Source'!Y596&gt;=1,"D","F")))))),"")</f>
        <v/>
      </c>
      <c r="H596" s="3">
        <f>IF(AND('Data Source'!B596&lt;&gt;"",'Data Source'!S596="A+"),IF('Data Source'!Z596&gt;=5,"A+",IF('Data Source'!Z596&gt;=4,"A",IF('Data Source'!Z596&gt;=3.5,"A-",IF('Data Source'!Z596&gt;=3,"B",IF('Data Source'!Z596&gt;=2,"C",IF('Data Source'!Z596&gt;=1,"D","F")))))),"")</f>
        <v/>
      </c>
      <c r="I596" s="3">
        <f>IF(AND('Data Source'!B596&lt;&gt;"",'Data Source'!S596="A+"),IF('Data Source'!AA596&gt;=5,"A+",IF('Data Source'!AA596&gt;=4,"A",IF('Data Source'!AA596&gt;=3.5,"A-",IF('Data Source'!AA596&gt;=3,"B",IF('Data Source'!AA596&gt;=2,"C",IF('Data Source'!AA596&gt;=1,"D","F")))))),"")</f>
        <v/>
      </c>
      <c r="J596" s="3">
        <f>IF(AND('Data Source'!B596&lt;&gt;"",'Data Source'!S596="A+"),IF('Data Source'!AB596&gt;=5,"A+",IF('Data Source'!AB596&gt;=4,"A",IF('Data Source'!AB596&gt;=3.5,"A-",IF('Data Source'!AB596&gt;=3,"B",IF('Data Source'!AB596&gt;=2,"C",IF('Data Source'!AB596&gt;=1,"D","F")))))),"")</f>
        <v/>
      </c>
      <c r="K596" s="3">
        <f>IF(AND('Data Source'!B596&lt;&gt;"",'Data Source'!S596="A+"),IF('Data Source'!AC596&gt;=5,"A+",IF('Data Source'!AC596&gt;=4,"A",IF('Data Source'!AC596&gt;=3.5,"A-",IF('Data Source'!AC596&gt;=3,"B",IF('Data Source'!AC596&gt;=2,"C",IF('Data Source'!AC596&gt;=1,"D","F")))))),"")</f>
        <v/>
      </c>
      <c r="L596" s="3">
        <f>IF(AND('Data Source'!B596&lt;&gt;"",'Data Source'!S596="A+"),IF('Data Source'!AD596&gt;=5,"A+",IF('Data Source'!AD596&gt;=4,"A",IF('Data Source'!AD596&gt;=3.5,"A-",IF('Data Source'!AD596&gt;=3,"B",IF('Data Source'!AD596&gt;=2,"C",IF('Data Source'!AD596&gt;=1,"D","F")))))),"")</f>
        <v/>
      </c>
      <c r="M596" s="3">
        <f>IF(AND('Data Source'!B596&lt;&gt;"",'Data Source'!S596="A+"),IF('Data Source'!AE596&gt;=5,"A+",IF('Data Source'!AE596&gt;=4,"A",IF('Data Source'!AE596&gt;=3.5,"A-",IF('Data Source'!AE596&gt;=3,"B",IF('Data Source'!AE596&gt;=2,"C",IF('Data Source'!AE596&gt;=1,"D","F")))))),"")</f>
        <v/>
      </c>
      <c r="N596" s="3">
        <f>IF(AND('Data Source'!B596&lt;&gt;"",'Data Source'!S596="A+"),IF('Data Source'!AF596&gt;=5,"A+",IF('Data Source'!AF596&gt;=4,"A",IF('Data Source'!AF596&gt;=3.5,"A-",IF('Data Source'!AF596&gt;=3,"B",IF('Data Source'!AF596&gt;=2,"C",IF('Data Source'!AF596&gt;=1,"D","F")))))),"")</f>
        <v/>
      </c>
      <c r="O596" s="3">
        <f>IF(AND('Data Source'!B596&lt;&gt;"",'Data Source'!S596="A+"),IF('Data Source'!AG596&gt;=5,"A+",IF('Data Source'!AG596&gt;=4,"A",IF('Data Source'!AG596&gt;=3.5,"A-",IF('Data Source'!AG596&gt;=3,"B",IF('Data Source'!AG596&gt;=2,"C",IF('Data Source'!AG596&gt;=1,"D","F")))))),"")</f>
        <v/>
      </c>
      <c r="P596" s="5">
        <f>IF(AND('Data Source'!B596&lt;&gt;"",'Data Source'!S596="A+"),'Data Source'!R596,"")</f>
        <v/>
      </c>
      <c r="Q596" s="3">
        <f>IF(AND('Data Source'!B596&lt;&gt;"",'Data Source'!S596="A+"),'Data Source'!S596,"")</f>
        <v/>
      </c>
    </row>
    <row r="597">
      <c r="A597" s="3">
        <f>IF(AND('Data Source'!B597&lt;&gt;"",'Data Source'!S597="A+"),COUNTIF('Data Source'!$S$3:S597,"A+"),"")</f>
        <v/>
      </c>
      <c r="B597">
        <f>IF(AND('Data Source'!B597&lt;&gt;"",'Data Source'!S597="A+"),'Data Source'!B597,"")</f>
        <v/>
      </c>
      <c r="C597" s="3">
        <f>IF(AND('Data Source'!B597&lt;&gt;"",'Data Source'!S597="A+"),IF('Data Source'!U597&gt;=5,"A+",IF('Data Source'!U597&gt;=4,"A",IF('Data Source'!U597&gt;=3.5,"A-",IF('Data Source'!U597&gt;=3,"B",IF('Data Source'!U597&gt;=2,"C",IF('Data Source'!U597&gt;=1,"D","F")))))),"")</f>
        <v/>
      </c>
      <c r="D597" s="3">
        <f>IF(AND('Data Source'!B597&lt;&gt;"",'Data Source'!S597="A+"),IF('Data Source'!V597&gt;=5,"A+",IF('Data Source'!V597&gt;=4,"A",IF('Data Source'!V597&gt;=3.5,"A-",IF('Data Source'!V597&gt;=3,"B",IF('Data Source'!V597&gt;=2,"C",IF('Data Source'!V597&gt;=1,"D","F")))))),"")</f>
        <v/>
      </c>
      <c r="E597" s="3">
        <f>IF(AND('Data Source'!B597&lt;&gt;"",'Data Source'!S597="A+"),IF('Data Source'!W597&gt;=5,"A+",IF('Data Source'!W597&gt;=4,"A",IF('Data Source'!W597&gt;=3.5,"A-",IF('Data Source'!W597&gt;=3,"B",IF('Data Source'!W597&gt;=2,"C",IF('Data Source'!W597&gt;=1,"D","F")))))),"")</f>
        <v/>
      </c>
      <c r="F597" s="3">
        <f>IF(AND('Data Source'!B597&lt;&gt;"",'Data Source'!S597="A+"),IF('Data Source'!X597&gt;=5,"A+",IF('Data Source'!X597&gt;=4,"A",IF('Data Source'!X597&gt;=3.5,"A-",IF('Data Source'!X597&gt;=3,"B",IF('Data Source'!X597&gt;=2,"C",IF('Data Source'!X597&gt;=1,"D","F")))))),"")</f>
        <v/>
      </c>
      <c r="G597" s="3">
        <f>IF(AND('Data Source'!B597&lt;&gt;"",'Data Source'!S597="A+"),IF('Data Source'!Y597&gt;=5,"A+",IF('Data Source'!Y597&gt;=4,"A",IF('Data Source'!Y597&gt;=3.5,"A-",IF('Data Source'!Y597&gt;=3,"B",IF('Data Source'!Y597&gt;=2,"C",IF('Data Source'!Y597&gt;=1,"D","F")))))),"")</f>
        <v/>
      </c>
      <c r="H597" s="3">
        <f>IF(AND('Data Source'!B597&lt;&gt;"",'Data Source'!S597="A+"),IF('Data Source'!Z597&gt;=5,"A+",IF('Data Source'!Z597&gt;=4,"A",IF('Data Source'!Z597&gt;=3.5,"A-",IF('Data Source'!Z597&gt;=3,"B",IF('Data Source'!Z597&gt;=2,"C",IF('Data Source'!Z597&gt;=1,"D","F")))))),"")</f>
        <v/>
      </c>
      <c r="I597" s="3">
        <f>IF(AND('Data Source'!B597&lt;&gt;"",'Data Source'!S597="A+"),IF('Data Source'!AA597&gt;=5,"A+",IF('Data Source'!AA597&gt;=4,"A",IF('Data Source'!AA597&gt;=3.5,"A-",IF('Data Source'!AA597&gt;=3,"B",IF('Data Source'!AA597&gt;=2,"C",IF('Data Source'!AA597&gt;=1,"D","F")))))),"")</f>
        <v/>
      </c>
      <c r="J597" s="3">
        <f>IF(AND('Data Source'!B597&lt;&gt;"",'Data Source'!S597="A+"),IF('Data Source'!AB597&gt;=5,"A+",IF('Data Source'!AB597&gt;=4,"A",IF('Data Source'!AB597&gt;=3.5,"A-",IF('Data Source'!AB597&gt;=3,"B",IF('Data Source'!AB597&gt;=2,"C",IF('Data Source'!AB597&gt;=1,"D","F")))))),"")</f>
        <v/>
      </c>
      <c r="K597" s="3">
        <f>IF(AND('Data Source'!B597&lt;&gt;"",'Data Source'!S597="A+"),IF('Data Source'!AC597&gt;=5,"A+",IF('Data Source'!AC597&gt;=4,"A",IF('Data Source'!AC597&gt;=3.5,"A-",IF('Data Source'!AC597&gt;=3,"B",IF('Data Source'!AC597&gt;=2,"C",IF('Data Source'!AC597&gt;=1,"D","F")))))),"")</f>
        <v/>
      </c>
      <c r="L597" s="3">
        <f>IF(AND('Data Source'!B597&lt;&gt;"",'Data Source'!S597="A+"),IF('Data Source'!AD597&gt;=5,"A+",IF('Data Source'!AD597&gt;=4,"A",IF('Data Source'!AD597&gt;=3.5,"A-",IF('Data Source'!AD597&gt;=3,"B",IF('Data Source'!AD597&gt;=2,"C",IF('Data Source'!AD597&gt;=1,"D","F")))))),"")</f>
        <v/>
      </c>
      <c r="M597" s="3">
        <f>IF(AND('Data Source'!B597&lt;&gt;"",'Data Source'!S597="A+"),IF('Data Source'!AE597&gt;=5,"A+",IF('Data Source'!AE597&gt;=4,"A",IF('Data Source'!AE597&gt;=3.5,"A-",IF('Data Source'!AE597&gt;=3,"B",IF('Data Source'!AE597&gt;=2,"C",IF('Data Source'!AE597&gt;=1,"D","F")))))),"")</f>
        <v/>
      </c>
      <c r="N597" s="3">
        <f>IF(AND('Data Source'!B597&lt;&gt;"",'Data Source'!S597="A+"),IF('Data Source'!AF597&gt;=5,"A+",IF('Data Source'!AF597&gt;=4,"A",IF('Data Source'!AF597&gt;=3.5,"A-",IF('Data Source'!AF597&gt;=3,"B",IF('Data Source'!AF597&gt;=2,"C",IF('Data Source'!AF597&gt;=1,"D","F")))))),"")</f>
        <v/>
      </c>
      <c r="O597" s="3">
        <f>IF(AND('Data Source'!B597&lt;&gt;"",'Data Source'!S597="A+"),IF('Data Source'!AG597&gt;=5,"A+",IF('Data Source'!AG597&gt;=4,"A",IF('Data Source'!AG597&gt;=3.5,"A-",IF('Data Source'!AG597&gt;=3,"B",IF('Data Source'!AG597&gt;=2,"C",IF('Data Source'!AG597&gt;=1,"D","F")))))),"")</f>
        <v/>
      </c>
      <c r="P597" s="5">
        <f>IF(AND('Data Source'!B597&lt;&gt;"",'Data Source'!S597="A+"),'Data Source'!R597,"")</f>
        <v/>
      </c>
      <c r="Q597" s="3">
        <f>IF(AND('Data Source'!B597&lt;&gt;"",'Data Source'!S597="A+"),'Data Source'!S597,"")</f>
        <v/>
      </c>
    </row>
    <row r="598">
      <c r="A598" s="3">
        <f>IF(AND('Data Source'!B598&lt;&gt;"",'Data Source'!S598="A+"),COUNTIF('Data Source'!$S$3:S598,"A+"),"")</f>
        <v/>
      </c>
      <c r="B598">
        <f>IF(AND('Data Source'!B598&lt;&gt;"",'Data Source'!S598="A+"),'Data Source'!B598,"")</f>
        <v/>
      </c>
      <c r="C598" s="3">
        <f>IF(AND('Data Source'!B598&lt;&gt;"",'Data Source'!S598="A+"),IF('Data Source'!U598&gt;=5,"A+",IF('Data Source'!U598&gt;=4,"A",IF('Data Source'!U598&gt;=3.5,"A-",IF('Data Source'!U598&gt;=3,"B",IF('Data Source'!U598&gt;=2,"C",IF('Data Source'!U598&gt;=1,"D","F")))))),"")</f>
        <v/>
      </c>
      <c r="D598" s="3">
        <f>IF(AND('Data Source'!B598&lt;&gt;"",'Data Source'!S598="A+"),IF('Data Source'!V598&gt;=5,"A+",IF('Data Source'!V598&gt;=4,"A",IF('Data Source'!V598&gt;=3.5,"A-",IF('Data Source'!V598&gt;=3,"B",IF('Data Source'!V598&gt;=2,"C",IF('Data Source'!V598&gt;=1,"D","F")))))),"")</f>
        <v/>
      </c>
      <c r="E598" s="3">
        <f>IF(AND('Data Source'!B598&lt;&gt;"",'Data Source'!S598="A+"),IF('Data Source'!W598&gt;=5,"A+",IF('Data Source'!W598&gt;=4,"A",IF('Data Source'!W598&gt;=3.5,"A-",IF('Data Source'!W598&gt;=3,"B",IF('Data Source'!W598&gt;=2,"C",IF('Data Source'!W598&gt;=1,"D","F")))))),"")</f>
        <v/>
      </c>
      <c r="F598" s="3">
        <f>IF(AND('Data Source'!B598&lt;&gt;"",'Data Source'!S598="A+"),IF('Data Source'!X598&gt;=5,"A+",IF('Data Source'!X598&gt;=4,"A",IF('Data Source'!X598&gt;=3.5,"A-",IF('Data Source'!X598&gt;=3,"B",IF('Data Source'!X598&gt;=2,"C",IF('Data Source'!X598&gt;=1,"D","F")))))),"")</f>
        <v/>
      </c>
      <c r="G598" s="3">
        <f>IF(AND('Data Source'!B598&lt;&gt;"",'Data Source'!S598="A+"),IF('Data Source'!Y598&gt;=5,"A+",IF('Data Source'!Y598&gt;=4,"A",IF('Data Source'!Y598&gt;=3.5,"A-",IF('Data Source'!Y598&gt;=3,"B",IF('Data Source'!Y598&gt;=2,"C",IF('Data Source'!Y598&gt;=1,"D","F")))))),"")</f>
        <v/>
      </c>
      <c r="H598" s="3">
        <f>IF(AND('Data Source'!B598&lt;&gt;"",'Data Source'!S598="A+"),IF('Data Source'!Z598&gt;=5,"A+",IF('Data Source'!Z598&gt;=4,"A",IF('Data Source'!Z598&gt;=3.5,"A-",IF('Data Source'!Z598&gt;=3,"B",IF('Data Source'!Z598&gt;=2,"C",IF('Data Source'!Z598&gt;=1,"D","F")))))),"")</f>
        <v/>
      </c>
      <c r="I598" s="3">
        <f>IF(AND('Data Source'!B598&lt;&gt;"",'Data Source'!S598="A+"),IF('Data Source'!AA598&gt;=5,"A+",IF('Data Source'!AA598&gt;=4,"A",IF('Data Source'!AA598&gt;=3.5,"A-",IF('Data Source'!AA598&gt;=3,"B",IF('Data Source'!AA598&gt;=2,"C",IF('Data Source'!AA598&gt;=1,"D","F")))))),"")</f>
        <v/>
      </c>
      <c r="J598" s="3">
        <f>IF(AND('Data Source'!B598&lt;&gt;"",'Data Source'!S598="A+"),IF('Data Source'!AB598&gt;=5,"A+",IF('Data Source'!AB598&gt;=4,"A",IF('Data Source'!AB598&gt;=3.5,"A-",IF('Data Source'!AB598&gt;=3,"B",IF('Data Source'!AB598&gt;=2,"C",IF('Data Source'!AB598&gt;=1,"D","F")))))),"")</f>
        <v/>
      </c>
      <c r="K598" s="3">
        <f>IF(AND('Data Source'!B598&lt;&gt;"",'Data Source'!S598="A+"),IF('Data Source'!AC598&gt;=5,"A+",IF('Data Source'!AC598&gt;=4,"A",IF('Data Source'!AC598&gt;=3.5,"A-",IF('Data Source'!AC598&gt;=3,"B",IF('Data Source'!AC598&gt;=2,"C",IF('Data Source'!AC598&gt;=1,"D","F")))))),"")</f>
        <v/>
      </c>
      <c r="L598" s="3">
        <f>IF(AND('Data Source'!B598&lt;&gt;"",'Data Source'!S598="A+"),IF('Data Source'!AD598&gt;=5,"A+",IF('Data Source'!AD598&gt;=4,"A",IF('Data Source'!AD598&gt;=3.5,"A-",IF('Data Source'!AD598&gt;=3,"B",IF('Data Source'!AD598&gt;=2,"C",IF('Data Source'!AD598&gt;=1,"D","F")))))),"")</f>
        <v/>
      </c>
      <c r="M598" s="3">
        <f>IF(AND('Data Source'!B598&lt;&gt;"",'Data Source'!S598="A+"),IF('Data Source'!AE598&gt;=5,"A+",IF('Data Source'!AE598&gt;=4,"A",IF('Data Source'!AE598&gt;=3.5,"A-",IF('Data Source'!AE598&gt;=3,"B",IF('Data Source'!AE598&gt;=2,"C",IF('Data Source'!AE598&gt;=1,"D","F")))))),"")</f>
        <v/>
      </c>
      <c r="N598" s="3">
        <f>IF(AND('Data Source'!B598&lt;&gt;"",'Data Source'!S598="A+"),IF('Data Source'!AF598&gt;=5,"A+",IF('Data Source'!AF598&gt;=4,"A",IF('Data Source'!AF598&gt;=3.5,"A-",IF('Data Source'!AF598&gt;=3,"B",IF('Data Source'!AF598&gt;=2,"C",IF('Data Source'!AF598&gt;=1,"D","F")))))),"")</f>
        <v/>
      </c>
      <c r="O598" s="3">
        <f>IF(AND('Data Source'!B598&lt;&gt;"",'Data Source'!S598="A+"),IF('Data Source'!AG598&gt;=5,"A+",IF('Data Source'!AG598&gt;=4,"A",IF('Data Source'!AG598&gt;=3.5,"A-",IF('Data Source'!AG598&gt;=3,"B",IF('Data Source'!AG598&gt;=2,"C",IF('Data Source'!AG598&gt;=1,"D","F")))))),"")</f>
        <v/>
      </c>
      <c r="P598" s="5">
        <f>IF(AND('Data Source'!B598&lt;&gt;"",'Data Source'!S598="A+"),'Data Source'!R598,"")</f>
        <v/>
      </c>
      <c r="Q598" s="3">
        <f>IF(AND('Data Source'!B598&lt;&gt;"",'Data Source'!S598="A+"),'Data Source'!S598,"")</f>
        <v/>
      </c>
    </row>
    <row r="599">
      <c r="A599" s="3">
        <f>IF(AND('Data Source'!B599&lt;&gt;"",'Data Source'!S599="A+"),COUNTIF('Data Source'!$S$3:S599,"A+"),"")</f>
        <v/>
      </c>
      <c r="B599">
        <f>IF(AND('Data Source'!B599&lt;&gt;"",'Data Source'!S599="A+"),'Data Source'!B599,"")</f>
        <v/>
      </c>
      <c r="C599" s="3">
        <f>IF(AND('Data Source'!B599&lt;&gt;"",'Data Source'!S599="A+"),IF('Data Source'!U599&gt;=5,"A+",IF('Data Source'!U599&gt;=4,"A",IF('Data Source'!U599&gt;=3.5,"A-",IF('Data Source'!U599&gt;=3,"B",IF('Data Source'!U599&gt;=2,"C",IF('Data Source'!U599&gt;=1,"D","F")))))),"")</f>
        <v/>
      </c>
      <c r="D599" s="3">
        <f>IF(AND('Data Source'!B599&lt;&gt;"",'Data Source'!S599="A+"),IF('Data Source'!V599&gt;=5,"A+",IF('Data Source'!V599&gt;=4,"A",IF('Data Source'!V599&gt;=3.5,"A-",IF('Data Source'!V599&gt;=3,"B",IF('Data Source'!V599&gt;=2,"C",IF('Data Source'!V599&gt;=1,"D","F")))))),"")</f>
        <v/>
      </c>
      <c r="E599" s="3">
        <f>IF(AND('Data Source'!B599&lt;&gt;"",'Data Source'!S599="A+"),IF('Data Source'!W599&gt;=5,"A+",IF('Data Source'!W599&gt;=4,"A",IF('Data Source'!W599&gt;=3.5,"A-",IF('Data Source'!W599&gt;=3,"B",IF('Data Source'!W599&gt;=2,"C",IF('Data Source'!W599&gt;=1,"D","F")))))),"")</f>
        <v/>
      </c>
      <c r="F599" s="3">
        <f>IF(AND('Data Source'!B599&lt;&gt;"",'Data Source'!S599="A+"),IF('Data Source'!X599&gt;=5,"A+",IF('Data Source'!X599&gt;=4,"A",IF('Data Source'!X599&gt;=3.5,"A-",IF('Data Source'!X599&gt;=3,"B",IF('Data Source'!X599&gt;=2,"C",IF('Data Source'!X599&gt;=1,"D","F")))))),"")</f>
        <v/>
      </c>
      <c r="G599" s="3">
        <f>IF(AND('Data Source'!B599&lt;&gt;"",'Data Source'!S599="A+"),IF('Data Source'!Y599&gt;=5,"A+",IF('Data Source'!Y599&gt;=4,"A",IF('Data Source'!Y599&gt;=3.5,"A-",IF('Data Source'!Y599&gt;=3,"B",IF('Data Source'!Y599&gt;=2,"C",IF('Data Source'!Y599&gt;=1,"D","F")))))),"")</f>
        <v/>
      </c>
      <c r="H599" s="3">
        <f>IF(AND('Data Source'!B599&lt;&gt;"",'Data Source'!S599="A+"),IF('Data Source'!Z599&gt;=5,"A+",IF('Data Source'!Z599&gt;=4,"A",IF('Data Source'!Z599&gt;=3.5,"A-",IF('Data Source'!Z599&gt;=3,"B",IF('Data Source'!Z599&gt;=2,"C",IF('Data Source'!Z599&gt;=1,"D","F")))))),"")</f>
        <v/>
      </c>
      <c r="I599" s="3">
        <f>IF(AND('Data Source'!B599&lt;&gt;"",'Data Source'!S599="A+"),IF('Data Source'!AA599&gt;=5,"A+",IF('Data Source'!AA599&gt;=4,"A",IF('Data Source'!AA599&gt;=3.5,"A-",IF('Data Source'!AA599&gt;=3,"B",IF('Data Source'!AA599&gt;=2,"C",IF('Data Source'!AA599&gt;=1,"D","F")))))),"")</f>
        <v/>
      </c>
      <c r="J599" s="3">
        <f>IF(AND('Data Source'!B599&lt;&gt;"",'Data Source'!S599="A+"),IF('Data Source'!AB599&gt;=5,"A+",IF('Data Source'!AB599&gt;=4,"A",IF('Data Source'!AB599&gt;=3.5,"A-",IF('Data Source'!AB599&gt;=3,"B",IF('Data Source'!AB599&gt;=2,"C",IF('Data Source'!AB599&gt;=1,"D","F")))))),"")</f>
        <v/>
      </c>
      <c r="K599" s="3">
        <f>IF(AND('Data Source'!B599&lt;&gt;"",'Data Source'!S599="A+"),IF('Data Source'!AC599&gt;=5,"A+",IF('Data Source'!AC599&gt;=4,"A",IF('Data Source'!AC599&gt;=3.5,"A-",IF('Data Source'!AC599&gt;=3,"B",IF('Data Source'!AC599&gt;=2,"C",IF('Data Source'!AC599&gt;=1,"D","F")))))),"")</f>
        <v/>
      </c>
      <c r="L599" s="3">
        <f>IF(AND('Data Source'!B599&lt;&gt;"",'Data Source'!S599="A+"),IF('Data Source'!AD599&gt;=5,"A+",IF('Data Source'!AD599&gt;=4,"A",IF('Data Source'!AD599&gt;=3.5,"A-",IF('Data Source'!AD599&gt;=3,"B",IF('Data Source'!AD599&gt;=2,"C",IF('Data Source'!AD599&gt;=1,"D","F")))))),"")</f>
        <v/>
      </c>
      <c r="M599" s="3">
        <f>IF(AND('Data Source'!B599&lt;&gt;"",'Data Source'!S599="A+"),IF('Data Source'!AE599&gt;=5,"A+",IF('Data Source'!AE599&gt;=4,"A",IF('Data Source'!AE599&gt;=3.5,"A-",IF('Data Source'!AE599&gt;=3,"B",IF('Data Source'!AE599&gt;=2,"C",IF('Data Source'!AE599&gt;=1,"D","F")))))),"")</f>
        <v/>
      </c>
      <c r="N599" s="3">
        <f>IF(AND('Data Source'!B599&lt;&gt;"",'Data Source'!S599="A+"),IF('Data Source'!AF599&gt;=5,"A+",IF('Data Source'!AF599&gt;=4,"A",IF('Data Source'!AF599&gt;=3.5,"A-",IF('Data Source'!AF599&gt;=3,"B",IF('Data Source'!AF599&gt;=2,"C",IF('Data Source'!AF599&gt;=1,"D","F")))))),"")</f>
        <v/>
      </c>
      <c r="O599" s="3">
        <f>IF(AND('Data Source'!B599&lt;&gt;"",'Data Source'!S599="A+"),IF('Data Source'!AG599&gt;=5,"A+",IF('Data Source'!AG599&gt;=4,"A",IF('Data Source'!AG599&gt;=3.5,"A-",IF('Data Source'!AG599&gt;=3,"B",IF('Data Source'!AG599&gt;=2,"C",IF('Data Source'!AG599&gt;=1,"D","F")))))),"")</f>
        <v/>
      </c>
      <c r="P599" s="5">
        <f>IF(AND('Data Source'!B599&lt;&gt;"",'Data Source'!S599="A+"),'Data Source'!R599,"")</f>
        <v/>
      </c>
      <c r="Q599" s="3">
        <f>IF(AND('Data Source'!B599&lt;&gt;"",'Data Source'!S599="A+"),'Data Source'!S599,"")</f>
        <v/>
      </c>
    </row>
    <row r="600">
      <c r="A600" s="3">
        <f>IF(AND('Data Source'!B600&lt;&gt;"",'Data Source'!S600="A+"),COUNTIF('Data Source'!$S$3:S600,"A+"),"")</f>
        <v/>
      </c>
      <c r="B600">
        <f>IF(AND('Data Source'!B600&lt;&gt;"",'Data Source'!S600="A+"),'Data Source'!B600,"")</f>
        <v/>
      </c>
      <c r="C600" s="3">
        <f>IF(AND('Data Source'!B600&lt;&gt;"",'Data Source'!S600="A+"),IF('Data Source'!U600&gt;=5,"A+",IF('Data Source'!U600&gt;=4,"A",IF('Data Source'!U600&gt;=3.5,"A-",IF('Data Source'!U600&gt;=3,"B",IF('Data Source'!U600&gt;=2,"C",IF('Data Source'!U600&gt;=1,"D","F")))))),"")</f>
        <v/>
      </c>
      <c r="D600" s="3">
        <f>IF(AND('Data Source'!B600&lt;&gt;"",'Data Source'!S600="A+"),IF('Data Source'!V600&gt;=5,"A+",IF('Data Source'!V600&gt;=4,"A",IF('Data Source'!V600&gt;=3.5,"A-",IF('Data Source'!V600&gt;=3,"B",IF('Data Source'!V600&gt;=2,"C",IF('Data Source'!V600&gt;=1,"D","F")))))),"")</f>
        <v/>
      </c>
      <c r="E600" s="3">
        <f>IF(AND('Data Source'!B600&lt;&gt;"",'Data Source'!S600="A+"),IF('Data Source'!W600&gt;=5,"A+",IF('Data Source'!W600&gt;=4,"A",IF('Data Source'!W600&gt;=3.5,"A-",IF('Data Source'!W600&gt;=3,"B",IF('Data Source'!W600&gt;=2,"C",IF('Data Source'!W600&gt;=1,"D","F")))))),"")</f>
        <v/>
      </c>
      <c r="F600" s="3">
        <f>IF(AND('Data Source'!B600&lt;&gt;"",'Data Source'!S600="A+"),IF('Data Source'!X600&gt;=5,"A+",IF('Data Source'!X600&gt;=4,"A",IF('Data Source'!X600&gt;=3.5,"A-",IF('Data Source'!X600&gt;=3,"B",IF('Data Source'!X600&gt;=2,"C",IF('Data Source'!X600&gt;=1,"D","F")))))),"")</f>
        <v/>
      </c>
      <c r="G600" s="3">
        <f>IF(AND('Data Source'!B600&lt;&gt;"",'Data Source'!S600="A+"),IF('Data Source'!Y600&gt;=5,"A+",IF('Data Source'!Y600&gt;=4,"A",IF('Data Source'!Y600&gt;=3.5,"A-",IF('Data Source'!Y600&gt;=3,"B",IF('Data Source'!Y600&gt;=2,"C",IF('Data Source'!Y600&gt;=1,"D","F")))))),"")</f>
        <v/>
      </c>
      <c r="H600" s="3">
        <f>IF(AND('Data Source'!B600&lt;&gt;"",'Data Source'!S600="A+"),IF('Data Source'!Z600&gt;=5,"A+",IF('Data Source'!Z600&gt;=4,"A",IF('Data Source'!Z600&gt;=3.5,"A-",IF('Data Source'!Z600&gt;=3,"B",IF('Data Source'!Z600&gt;=2,"C",IF('Data Source'!Z600&gt;=1,"D","F")))))),"")</f>
        <v/>
      </c>
      <c r="I600" s="3">
        <f>IF(AND('Data Source'!B600&lt;&gt;"",'Data Source'!S600="A+"),IF('Data Source'!AA600&gt;=5,"A+",IF('Data Source'!AA600&gt;=4,"A",IF('Data Source'!AA600&gt;=3.5,"A-",IF('Data Source'!AA600&gt;=3,"B",IF('Data Source'!AA600&gt;=2,"C",IF('Data Source'!AA600&gt;=1,"D","F")))))),"")</f>
        <v/>
      </c>
      <c r="J600" s="3">
        <f>IF(AND('Data Source'!B600&lt;&gt;"",'Data Source'!S600="A+"),IF('Data Source'!AB600&gt;=5,"A+",IF('Data Source'!AB600&gt;=4,"A",IF('Data Source'!AB600&gt;=3.5,"A-",IF('Data Source'!AB600&gt;=3,"B",IF('Data Source'!AB600&gt;=2,"C",IF('Data Source'!AB600&gt;=1,"D","F")))))),"")</f>
        <v/>
      </c>
      <c r="K600" s="3">
        <f>IF(AND('Data Source'!B600&lt;&gt;"",'Data Source'!S600="A+"),IF('Data Source'!AC600&gt;=5,"A+",IF('Data Source'!AC600&gt;=4,"A",IF('Data Source'!AC600&gt;=3.5,"A-",IF('Data Source'!AC600&gt;=3,"B",IF('Data Source'!AC600&gt;=2,"C",IF('Data Source'!AC600&gt;=1,"D","F")))))),"")</f>
        <v/>
      </c>
      <c r="L600" s="3">
        <f>IF(AND('Data Source'!B600&lt;&gt;"",'Data Source'!S600="A+"),IF('Data Source'!AD600&gt;=5,"A+",IF('Data Source'!AD600&gt;=4,"A",IF('Data Source'!AD600&gt;=3.5,"A-",IF('Data Source'!AD600&gt;=3,"B",IF('Data Source'!AD600&gt;=2,"C",IF('Data Source'!AD600&gt;=1,"D","F")))))),"")</f>
        <v/>
      </c>
      <c r="M600" s="3">
        <f>IF(AND('Data Source'!B600&lt;&gt;"",'Data Source'!S600="A+"),IF('Data Source'!AE600&gt;=5,"A+",IF('Data Source'!AE600&gt;=4,"A",IF('Data Source'!AE600&gt;=3.5,"A-",IF('Data Source'!AE600&gt;=3,"B",IF('Data Source'!AE600&gt;=2,"C",IF('Data Source'!AE600&gt;=1,"D","F")))))),"")</f>
        <v/>
      </c>
      <c r="N600" s="3">
        <f>IF(AND('Data Source'!B600&lt;&gt;"",'Data Source'!S600="A+"),IF('Data Source'!AF600&gt;=5,"A+",IF('Data Source'!AF600&gt;=4,"A",IF('Data Source'!AF600&gt;=3.5,"A-",IF('Data Source'!AF600&gt;=3,"B",IF('Data Source'!AF600&gt;=2,"C",IF('Data Source'!AF600&gt;=1,"D","F")))))),"")</f>
        <v/>
      </c>
      <c r="O600" s="3">
        <f>IF(AND('Data Source'!B600&lt;&gt;"",'Data Source'!S600="A+"),IF('Data Source'!AG600&gt;=5,"A+",IF('Data Source'!AG600&gt;=4,"A",IF('Data Source'!AG600&gt;=3.5,"A-",IF('Data Source'!AG600&gt;=3,"B",IF('Data Source'!AG600&gt;=2,"C",IF('Data Source'!AG600&gt;=1,"D","F")))))),"")</f>
        <v/>
      </c>
      <c r="P600" s="5">
        <f>IF(AND('Data Source'!B600&lt;&gt;"",'Data Source'!S600="A+"),'Data Source'!R600,"")</f>
        <v/>
      </c>
      <c r="Q600" s="3">
        <f>IF(AND('Data Source'!B600&lt;&gt;"",'Data Source'!S600="A+"),'Data Source'!S600,"")</f>
        <v/>
      </c>
    </row>
    <row r="601">
      <c r="A601" s="3">
        <f>IF(AND('Data Source'!B601&lt;&gt;"",'Data Source'!S601="A+"),COUNTIF('Data Source'!$S$3:S601,"A+"),"")</f>
        <v/>
      </c>
      <c r="B601">
        <f>IF(AND('Data Source'!B601&lt;&gt;"",'Data Source'!S601="A+"),'Data Source'!B601,"")</f>
        <v/>
      </c>
      <c r="C601" s="3">
        <f>IF(AND('Data Source'!B601&lt;&gt;"",'Data Source'!S601="A+"),IF('Data Source'!U601&gt;=5,"A+",IF('Data Source'!U601&gt;=4,"A",IF('Data Source'!U601&gt;=3.5,"A-",IF('Data Source'!U601&gt;=3,"B",IF('Data Source'!U601&gt;=2,"C",IF('Data Source'!U601&gt;=1,"D","F")))))),"")</f>
        <v/>
      </c>
      <c r="D601" s="3">
        <f>IF(AND('Data Source'!B601&lt;&gt;"",'Data Source'!S601="A+"),IF('Data Source'!V601&gt;=5,"A+",IF('Data Source'!V601&gt;=4,"A",IF('Data Source'!V601&gt;=3.5,"A-",IF('Data Source'!V601&gt;=3,"B",IF('Data Source'!V601&gt;=2,"C",IF('Data Source'!V601&gt;=1,"D","F")))))),"")</f>
        <v/>
      </c>
      <c r="E601" s="3">
        <f>IF(AND('Data Source'!B601&lt;&gt;"",'Data Source'!S601="A+"),IF('Data Source'!W601&gt;=5,"A+",IF('Data Source'!W601&gt;=4,"A",IF('Data Source'!W601&gt;=3.5,"A-",IF('Data Source'!W601&gt;=3,"B",IF('Data Source'!W601&gt;=2,"C",IF('Data Source'!W601&gt;=1,"D","F")))))),"")</f>
        <v/>
      </c>
      <c r="F601" s="3">
        <f>IF(AND('Data Source'!B601&lt;&gt;"",'Data Source'!S601="A+"),IF('Data Source'!X601&gt;=5,"A+",IF('Data Source'!X601&gt;=4,"A",IF('Data Source'!X601&gt;=3.5,"A-",IF('Data Source'!X601&gt;=3,"B",IF('Data Source'!X601&gt;=2,"C",IF('Data Source'!X601&gt;=1,"D","F")))))),"")</f>
        <v/>
      </c>
      <c r="G601" s="3">
        <f>IF(AND('Data Source'!B601&lt;&gt;"",'Data Source'!S601="A+"),IF('Data Source'!Y601&gt;=5,"A+",IF('Data Source'!Y601&gt;=4,"A",IF('Data Source'!Y601&gt;=3.5,"A-",IF('Data Source'!Y601&gt;=3,"B",IF('Data Source'!Y601&gt;=2,"C",IF('Data Source'!Y601&gt;=1,"D","F")))))),"")</f>
        <v/>
      </c>
      <c r="H601" s="3">
        <f>IF(AND('Data Source'!B601&lt;&gt;"",'Data Source'!S601="A+"),IF('Data Source'!Z601&gt;=5,"A+",IF('Data Source'!Z601&gt;=4,"A",IF('Data Source'!Z601&gt;=3.5,"A-",IF('Data Source'!Z601&gt;=3,"B",IF('Data Source'!Z601&gt;=2,"C",IF('Data Source'!Z601&gt;=1,"D","F")))))),"")</f>
        <v/>
      </c>
      <c r="I601" s="3">
        <f>IF(AND('Data Source'!B601&lt;&gt;"",'Data Source'!S601="A+"),IF('Data Source'!AA601&gt;=5,"A+",IF('Data Source'!AA601&gt;=4,"A",IF('Data Source'!AA601&gt;=3.5,"A-",IF('Data Source'!AA601&gt;=3,"B",IF('Data Source'!AA601&gt;=2,"C",IF('Data Source'!AA601&gt;=1,"D","F")))))),"")</f>
        <v/>
      </c>
      <c r="J601" s="3">
        <f>IF(AND('Data Source'!B601&lt;&gt;"",'Data Source'!S601="A+"),IF('Data Source'!AB601&gt;=5,"A+",IF('Data Source'!AB601&gt;=4,"A",IF('Data Source'!AB601&gt;=3.5,"A-",IF('Data Source'!AB601&gt;=3,"B",IF('Data Source'!AB601&gt;=2,"C",IF('Data Source'!AB601&gt;=1,"D","F")))))),"")</f>
        <v/>
      </c>
      <c r="K601" s="3">
        <f>IF(AND('Data Source'!B601&lt;&gt;"",'Data Source'!S601="A+"),IF('Data Source'!AC601&gt;=5,"A+",IF('Data Source'!AC601&gt;=4,"A",IF('Data Source'!AC601&gt;=3.5,"A-",IF('Data Source'!AC601&gt;=3,"B",IF('Data Source'!AC601&gt;=2,"C",IF('Data Source'!AC601&gt;=1,"D","F")))))),"")</f>
        <v/>
      </c>
      <c r="L601" s="3">
        <f>IF(AND('Data Source'!B601&lt;&gt;"",'Data Source'!S601="A+"),IF('Data Source'!AD601&gt;=5,"A+",IF('Data Source'!AD601&gt;=4,"A",IF('Data Source'!AD601&gt;=3.5,"A-",IF('Data Source'!AD601&gt;=3,"B",IF('Data Source'!AD601&gt;=2,"C",IF('Data Source'!AD601&gt;=1,"D","F")))))),"")</f>
        <v/>
      </c>
      <c r="M601" s="3">
        <f>IF(AND('Data Source'!B601&lt;&gt;"",'Data Source'!S601="A+"),IF('Data Source'!AE601&gt;=5,"A+",IF('Data Source'!AE601&gt;=4,"A",IF('Data Source'!AE601&gt;=3.5,"A-",IF('Data Source'!AE601&gt;=3,"B",IF('Data Source'!AE601&gt;=2,"C",IF('Data Source'!AE601&gt;=1,"D","F")))))),"")</f>
        <v/>
      </c>
      <c r="N601" s="3">
        <f>IF(AND('Data Source'!B601&lt;&gt;"",'Data Source'!S601="A+"),IF('Data Source'!AF601&gt;=5,"A+",IF('Data Source'!AF601&gt;=4,"A",IF('Data Source'!AF601&gt;=3.5,"A-",IF('Data Source'!AF601&gt;=3,"B",IF('Data Source'!AF601&gt;=2,"C",IF('Data Source'!AF601&gt;=1,"D","F")))))),"")</f>
        <v/>
      </c>
      <c r="O601" s="3">
        <f>IF(AND('Data Source'!B601&lt;&gt;"",'Data Source'!S601="A+"),IF('Data Source'!AG601&gt;=5,"A+",IF('Data Source'!AG601&gt;=4,"A",IF('Data Source'!AG601&gt;=3.5,"A-",IF('Data Source'!AG601&gt;=3,"B",IF('Data Source'!AG601&gt;=2,"C",IF('Data Source'!AG601&gt;=1,"D","F")))))),"")</f>
        <v/>
      </c>
      <c r="P601" s="5">
        <f>IF(AND('Data Source'!B601&lt;&gt;"",'Data Source'!S601="A+"),'Data Source'!R601,"")</f>
        <v/>
      </c>
      <c r="Q601" s="3">
        <f>IF(AND('Data Source'!B601&lt;&gt;"",'Data Source'!S601="A+"),'Data Source'!S601,"")</f>
        <v/>
      </c>
    </row>
    <row r="602">
      <c r="A602" s="3">
        <f>IF(AND('Data Source'!B602&lt;&gt;"",'Data Source'!S602="A+"),COUNTIF('Data Source'!$S$3:S602,"A+"),"")</f>
        <v/>
      </c>
      <c r="B602">
        <f>IF(AND('Data Source'!B602&lt;&gt;"",'Data Source'!S602="A+"),'Data Source'!B602,"")</f>
        <v/>
      </c>
      <c r="C602" s="3">
        <f>IF(AND('Data Source'!B602&lt;&gt;"",'Data Source'!S602="A+"),IF('Data Source'!U602&gt;=5,"A+",IF('Data Source'!U602&gt;=4,"A",IF('Data Source'!U602&gt;=3.5,"A-",IF('Data Source'!U602&gt;=3,"B",IF('Data Source'!U602&gt;=2,"C",IF('Data Source'!U602&gt;=1,"D","F")))))),"")</f>
        <v/>
      </c>
      <c r="D602" s="3">
        <f>IF(AND('Data Source'!B602&lt;&gt;"",'Data Source'!S602="A+"),IF('Data Source'!V602&gt;=5,"A+",IF('Data Source'!V602&gt;=4,"A",IF('Data Source'!V602&gt;=3.5,"A-",IF('Data Source'!V602&gt;=3,"B",IF('Data Source'!V602&gt;=2,"C",IF('Data Source'!V602&gt;=1,"D","F")))))),"")</f>
        <v/>
      </c>
      <c r="E602" s="3">
        <f>IF(AND('Data Source'!B602&lt;&gt;"",'Data Source'!S602="A+"),IF('Data Source'!W602&gt;=5,"A+",IF('Data Source'!W602&gt;=4,"A",IF('Data Source'!W602&gt;=3.5,"A-",IF('Data Source'!W602&gt;=3,"B",IF('Data Source'!W602&gt;=2,"C",IF('Data Source'!W602&gt;=1,"D","F")))))),"")</f>
        <v/>
      </c>
      <c r="F602" s="3">
        <f>IF(AND('Data Source'!B602&lt;&gt;"",'Data Source'!S602="A+"),IF('Data Source'!X602&gt;=5,"A+",IF('Data Source'!X602&gt;=4,"A",IF('Data Source'!X602&gt;=3.5,"A-",IF('Data Source'!X602&gt;=3,"B",IF('Data Source'!X602&gt;=2,"C",IF('Data Source'!X602&gt;=1,"D","F")))))),"")</f>
        <v/>
      </c>
      <c r="G602" s="3">
        <f>IF(AND('Data Source'!B602&lt;&gt;"",'Data Source'!S602="A+"),IF('Data Source'!Y602&gt;=5,"A+",IF('Data Source'!Y602&gt;=4,"A",IF('Data Source'!Y602&gt;=3.5,"A-",IF('Data Source'!Y602&gt;=3,"B",IF('Data Source'!Y602&gt;=2,"C",IF('Data Source'!Y602&gt;=1,"D","F")))))),"")</f>
        <v/>
      </c>
      <c r="H602" s="3">
        <f>IF(AND('Data Source'!B602&lt;&gt;"",'Data Source'!S602="A+"),IF('Data Source'!Z602&gt;=5,"A+",IF('Data Source'!Z602&gt;=4,"A",IF('Data Source'!Z602&gt;=3.5,"A-",IF('Data Source'!Z602&gt;=3,"B",IF('Data Source'!Z602&gt;=2,"C",IF('Data Source'!Z602&gt;=1,"D","F")))))),"")</f>
        <v/>
      </c>
      <c r="I602" s="3">
        <f>IF(AND('Data Source'!B602&lt;&gt;"",'Data Source'!S602="A+"),IF('Data Source'!AA602&gt;=5,"A+",IF('Data Source'!AA602&gt;=4,"A",IF('Data Source'!AA602&gt;=3.5,"A-",IF('Data Source'!AA602&gt;=3,"B",IF('Data Source'!AA602&gt;=2,"C",IF('Data Source'!AA602&gt;=1,"D","F")))))),"")</f>
        <v/>
      </c>
      <c r="J602" s="3">
        <f>IF(AND('Data Source'!B602&lt;&gt;"",'Data Source'!S602="A+"),IF('Data Source'!AB602&gt;=5,"A+",IF('Data Source'!AB602&gt;=4,"A",IF('Data Source'!AB602&gt;=3.5,"A-",IF('Data Source'!AB602&gt;=3,"B",IF('Data Source'!AB602&gt;=2,"C",IF('Data Source'!AB602&gt;=1,"D","F")))))),"")</f>
        <v/>
      </c>
      <c r="K602" s="3">
        <f>IF(AND('Data Source'!B602&lt;&gt;"",'Data Source'!S602="A+"),IF('Data Source'!AC602&gt;=5,"A+",IF('Data Source'!AC602&gt;=4,"A",IF('Data Source'!AC602&gt;=3.5,"A-",IF('Data Source'!AC602&gt;=3,"B",IF('Data Source'!AC602&gt;=2,"C",IF('Data Source'!AC602&gt;=1,"D","F")))))),"")</f>
        <v/>
      </c>
      <c r="L602" s="3">
        <f>IF(AND('Data Source'!B602&lt;&gt;"",'Data Source'!S602="A+"),IF('Data Source'!AD602&gt;=5,"A+",IF('Data Source'!AD602&gt;=4,"A",IF('Data Source'!AD602&gt;=3.5,"A-",IF('Data Source'!AD602&gt;=3,"B",IF('Data Source'!AD602&gt;=2,"C",IF('Data Source'!AD602&gt;=1,"D","F")))))),"")</f>
        <v/>
      </c>
      <c r="M602" s="3">
        <f>IF(AND('Data Source'!B602&lt;&gt;"",'Data Source'!S602="A+"),IF('Data Source'!AE602&gt;=5,"A+",IF('Data Source'!AE602&gt;=4,"A",IF('Data Source'!AE602&gt;=3.5,"A-",IF('Data Source'!AE602&gt;=3,"B",IF('Data Source'!AE602&gt;=2,"C",IF('Data Source'!AE602&gt;=1,"D","F")))))),"")</f>
        <v/>
      </c>
      <c r="N602" s="3">
        <f>IF(AND('Data Source'!B602&lt;&gt;"",'Data Source'!S602="A+"),IF('Data Source'!AF602&gt;=5,"A+",IF('Data Source'!AF602&gt;=4,"A",IF('Data Source'!AF602&gt;=3.5,"A-",IF('Data Source'!AF602&gt;=3,"B",IF('Data Source'!AF602&gt;=2,"C",IF('Data Source'!AF602&gt;=1,"D","F")))))),"")</f>
        <v/>
      </c>
      <c r="O602" s="3">
        <f>IF(AND('Data Source'!B602&lt;&gt;"",'Data Source'!S602="A+"),IF('Data Source'!AG602&gt;=5,"A+",IF('Data Source'!AG602&gt;=4,"A",IF('Data Source'!AG602&gt;=3.5,"A-",IF('Data Source'!AG602&gt;=3,"B",IF('Data Source'!AG602&gt;=2,"C",IF('Data Source'!AG602&gt;=1,"D","F")))))),"")</f>
        <v/>
      </c>
      <c r="P602" s="5">
        <f>IF(AND('Data Source'!B602&lt;&gt;"",'Data Source'!S602="A+"),'Data Source'!R602,"")</f>
        <v/>
      </c>
      <c r="Q602" s="3">
        <f>IF(AND('Data Source'!B602&lt;&gt;"",'Data Source'!S602="A+"),'Data Source'!S602,"")</f>
        <v/>
      </c>
    </row>
    <row r="603">
      <c r="A603" s="3">
        <f>IF(AND('Data Source'!B603&lt;&gt;"",'Data Source'!S603="A+"),COUNTIF('Data Source'!$S$3:S603,"A+"),"")</f>
        <v/>
      </c>
      <c r="B603">
        <f>IF(AND('Data Source'!B603&lt;&gt;"",'Data Source'!S603="A+"),'Data Source'!B603,"")</f>
        <v/>
      </c>
      <c r="C603" s="3">
        <f>IF(AND('Data Source'!B603&lt;&gt;"",'Data Source'!S603="A+"),IF('Data Source'!U603&gt;=5,"A+",IF('Data Source'!U603&gt;=4,"A",IF('Data Source'!U603&gt;=3.5,"A-",IF('Data Source'!U603&gt;=3,"B",IF('Data Source'!U603&gt;=2,"C",IF('Data Source'!U603&gt;=1,"D","F")))))),"")</f>
        <v/>
      </c>
      <c r="D603" s="3">
        <f>IF(AND('Data Source'!B603&lt;&gt;"",'Data Source'!S603="A+"),IF('Data Source'!V603&gt;=5,"A+",IF('Data Source'!V603&gt;=4,"A",IF('Data Source'!V603&gt;=3.5,"A-",IF('Data Source'!V603&gt;=3,"B",IF('Data Source'!V603&gt;=2,"C",IF('Data Source'!V603&gt;=1,"D","F")))))),"")</f>
        <v/>
      </c>
      <c r="E603" s="3">
        <f>IF(AND('Data Source'!B603&lt;&gt;"",'Data Source'!S603="A+"),IF('Data Source'!W603&gt;=5,"A+",IF('Data Source'!W603&gt;=4,"A",IF('Data Source'!W603&gt;=3.5,"A-",IF('Data Source'!W603&gt;=3,"B",IF('Data Source'!W603&gt;=2,"C",IF('Data Source'!W603&gt;=1,"D","F")))))),"")</f>
        <v/>
      </c>
      <c r="F603" s="3">
        <f>IF(AND('Data Source'!B603&lt;&gt;"",'Data Source'!S603="A+"),IF('Data Source'!X603&gt;=5,"A+",IF('Data Source'!X603&gt;=4,"A",IF('Data Source'!X603&gt;=3.5,"A-",IF('Data Source'!X603&gt;=3,"B",IF('Data Source'!X603&gt;=2,"C",IF('Data Source'!X603&gt;=1,"D","F")))))),"")</f>
        <v/>
      </c>
      <c r="G603" s="3">
        <f>IF(AND('Data Source'!B603&lt;&gt;"",'Data Source'!S603="A+"),IF('Data Source'!Y603&gt;=5,"A+",IF('Data Source'!Y603&gt;=4,"A",IF('Data Source'!Y603&gt;=3.5,"A-",IF('Data Source'!Y603&gt;=3,"B",IF('Data Source'!Y603&gt;=2,"C",IF('Data Source'!Y603&gt;=1,"D","F")))))),"")</f>
        <v/>
      </c>
      <c r="H603" s="3">
        <f>IF(AND('Data Source'!B603&lt;&gt;"",'Data Source'!S603="A+"),IF('Data Source'!Z603&gt;=5,"A+",IF('Data Source'!Z603&gt;=4,"A",IF('Data Source'!Z603&gt;=3.5,"A-",IF('Data Source'!Z603&gt;=3,"B",IF('Data Source'!Z603&gt;=2,"C",IF('Data Source'!Z603&gt;=1,"D","F")))))),"")</f>
        <v/>
      </c>
      <c r="I603" s="3">
        <f>IF(AND('Data Source'!B603&lt;&gt;"",'Data Source'!S603="A+"),IF('Data Source'!AA603&gt;=5,"A+",IF('Data Source'!AA603&gt;=4,"A",IF('Data Source'!AA603&gt;=3.5,"A-",IF('Data Source'!AA603&gt;=3,"B",IF('Data Source'!AA603&gt;=2,"C",IF('Data Source'!AA603&gt;=1,"D","F")))))),"")</f>
        <v/>
      </c>
      <c r="J603" s="3">
        <f>IF(AND('Data Source'!B603&lt;&gt;"",'Data Source'!S603="A+"),IF('Data Source'!AB603&gt;=5,"A+",IF('Data Source'!AB603&gt;=4,"A",IF('Data Source'!AB603&gt;=3.5,"A-",IF('Data Source'!AB603&gt;=3,"B",IF('Data Source'!AB603&gt;=2,"C",IF('Data Source'!AB603&gt;=1,"D","F")))))),"")</f>
        <v/>
      </c>
      <c r="K603" s="3">
        <f>IF(AND('Data Source'!B603&lt;&gt;"",'Data Source'!S603="A+"),IF('Data Source'!AC603&gt;=5,"A+",IF('Data Source'!AC603&gt;=4,"A",IF('Data Source'!AC603&gt;=3.5,"A-",IF('Data Source'!AC603&gt;=3,"B",IF('Data Source'!AC603&gt;=2,"C",IF('Data Source'!AC603&gt;=1,"D","F")))))),"")</f>
        <v/>
      </c>
      <c r="L603" s="3">
        <f>IF(AND('Data Source'!B603&lt;&gt;"",'Data Source'!S603="A+"),IF('Data Source'!AD603&gt;=5,"A+",IF('Data Source'!AD603&gt;=4,"A",IF('Data Source'!AD603&gt;=3.5,"A-",IF('Data Source'!AD603&gt;=3,"B",IF('Data Source'!AD603&gt;=2,"C",IF('Data Source'!AD603&gt;=1,"D","F")))))),"")</f>
        <v/>
      </c>
      <c r="M603" s="3">
        <f>IF(AND('Data Source'!B603&lt;&gt;"",'Data Source'!S603="A+"),IF('Data Source'!AE603&gt;=5,"A+",IF('Data Source'!AE603&gt;=4,"A",IF('Data Source'!AE603&gt;=3.5,"A-",IF('Data Source'!AE603&gt;=3,"B",IF('Data Source'!AE603&gt;=2,"C",IF('Data Source'!AE603&gt;=1,"D","F")))))),"")</f>
        <v/>
      </c>
      <c r="N603" s="3">
        <f>IF(AND('Data Source'!B603&lt;&gt;"",'Data Source'!S603="A+"),IF('Data Source'!AF603&gt;=5,"A+",IF('Data Source'!AF603&gt;=4,"A",IF('Data Source'!AF603&gt;=3.5,"A-",IF('Data Source'!AF603&gt;=3,"B",IF('Data Source'!AF603&gt;=2,"C",IF('Data Source'!AF603&gt;=1,"D","F")))))),"")</f>
        <v/>
      </c>
      <c r="O603" s="3">
        <f>IF(AND('Data Source'!B603&lt;&gt;"",'Data Source'!S603="A+"),IF('Data Source'!AG603&gt;=5,"A+",IF('Data Source'!AG603&gt;=4,"A",IF('Data Source'!AG603&gt;=3.5,"A-",IF('Data Source'!AG603&gt;=3,"B",IF('Data Source'!AG603&gt;=2,"C",IF('Data Source'!AG603&gt;=1,"D","F")))))),"")</f>
        <v/>
      </c>
      <c r="P603" s="5">
        <f>IF(AND('Data Source'!B603&lt;&gt;"",'Data Source'!S603="A+"),'Data Source'!R603,"")</f>
        <v/>
      </c>
      <c r="Q603" s="3">
        <f>IF(AND('Data Source'!B603&lt;&gt;"",'Data Source'!S603="A+"),'Data Source'!S603,"")</f>
        <v/>
      </c>
    </row>
    <row r="604">
      <c r="A604" s="3">
        <f>IF(AND('Data Source'!B604&lt;&gt;"",'Data Source'!S604="A+"),COUNTIF('Data Source'!$S$3:S604,"A+"),"")</f>
        <v/>
      </c>
      <c r="B604">
        <f>IF(AND('Data Source'!B604&lt;&gt;"",'Data Source'!S604="A+"),'Data Source'!B604,"")</f>
        <v/>
      </c>
      <c r="C604" s="3">
        <f>IF(AND('Data Source'!B604&lt;&gt;"",'Data Source'!S604="A+"),IF('Data Source'!U604&gt;=5,"A+",IF('Data Source'!U604&gt;=4,"A",IF('Data Source'!U604&gt;=3.5,"A-",IF('Data Source'!U604&gt;=3,"B",IF('Data Source'!U604&gt;=2,"C",IF('Data Source'!U604&gt;=1,"D","F")))))),"")</f>
        <v/>
      </c>
      <c r="D604" s="3">
        <f>IF(AND('Data Source'!B604&lt;&gt;"",'Data Source'!S604="A+"),IF('Data Source'!V604&gt;=5,"A+",IF('Data Source'!V604&gt;=4,"A",IF('Data Source'!V604&gt;=3.5,"A-",IF('Data Source'!V604&gt;=3,"B",IF('Data Source'!V604&gt;=2,"C",IF('Data Source'!V604&gt;=1,"D","F")))))),"")</f>
        <v/>
      </c>
      <c r="E604" s="3">
        <f>IF(AND('Data Source'!B604&lt;&gt;"",'Data Source'!S604="A+"),IF('Data Source'!W604&gt;=5,"A+",IF('Data Source'!W604&gt;=4,"A",IF('Data Source'!W604&gt;=3.5,"A-",IF('Data Source'!W604&gt;=3,"B",IF('Data Source'!W604&gt;=2,"C",IF('Data Source'!W604&gt;=1,"D","F")))))),"")</f>
        <v/>
      </c>
      <c r="F604" s="3">
        <f>IF(AND('Data Source'!B604&lt;&gt;"",'Data Source'!S604="A+"),IF('Data Source'!X604&gt;=5,"A+",IF('Data Source'!X604&gt;=4,"A",IF('Data Source'!X604&gt;=3.5,"A-",IF('Data Source'!X604&gt;=3,"B",IF('Data Source'!X604&gt;=2,"C",IF('Data Source'!X604&gt;=1,"D","F")))))),"")</f>
        <v/>
      </c>
      <c r="G604" s="3">
        <f>IF(AND('Data Source'!B604&lt;&gt;"",'Data Source'!S604="A+"),IF('Data Source'!Y604&gt;=5,"A+",IF('Data Source'!Y604&gt;=4,"A",IF('Data Source'!Y604&gt;=3.5,"A-",IF('Data Source'!Y604&gt;=3,"B",IF('Data Source'!Y604&gt;=2,"C",IF('Data Source'!Y604&gt;=1,"D","F")))))),"")</f>
        <v/>
      </c>
      <c r="H604" s="3">
        <f>IF(AND('Data Source'!B604&lt;&gt;"",'Data Source'!S604="A+"),IF('Data Source'!Z604&gt;=5,"A+",IF('Data Source'!Z604&gt;=4,"A",IF('Data Source'!Z604&gt;=3.5,"A-",IF('Data Source'!Z604&gt;=3,"B",IF('Data Source'!Z604&gt;=2,"C",IF('Data Source'!Z604&gt;=1,"D","F")))))),"")</f>
        <v/>
      </c>
      <c r="I604" s="3">
        <f>IF(AND('Data Source'!B604&lt;&gt;"",'Data Source'!S604="A+"),IF('Data Source'!AA604&gt;=5,"A+",IF('Data Source'!AA604&gt;=4,"A",IF('Data Source'!AA604&gt;=3.5,"A-",IF('Data Source'!AA604&gt;=3,"B",IF('Data Source'!AA604&gt;=2,"C",IF('Data Source'!AA604&gt;=1,"D","F")))))),"")</f>
        <v/>
      </c>
      <c r="J604" s="3">
        <f>IF(AND('Data Source'!B604&lt;&gt;"",'Data Source'!S604="A+"),IF('Data Source'!AB604&gt;=5,"A+",IF('Data Source'!AB604&gt;=4,"A",IF('Data Source'!AB604&gt;=3.5,"A-",IF('Data Source'!AB604&gt;=3,"B",IF('Data Source'!AB604&gt;=2,"C",IF('Data Source'!AB604&gt;=1,"D","F")))))),"")</f>
        <v/>
      </c>
      <c r="K604" s="3">
        <f>IF(AND('Data Source'!B604&lt;&gt;"",'Data Source'!S604="A+"),IF('Data Source'!AC604&gt;=5,"A+",IF('Data Source'!AC604&gt;=4,"A",IF('Data Source'!AC604&gt;=3.5,"A-",IF('Data Source'!AC604&gt;=3,"B",IF('Data Source'!AC604&gt;=2,"C",IF('Data Source'!AC604&gt;=1,"D","F")))))),"")</f>
        <v/>
      </c>
      <c r="L604" s="3">
        <f>IF(AND('Data Source'!B604&lt;&gt;"",'Data Source'!S604="A+"),IF('Data Source'!AD604&gt;=5,"A+",IF('Data Source'!AD604&gt;=4,"A",IF('Data Source'!AD604&gt;=3.5,"A-",IF('Data Source'!AD604&gt;=3,"B",IF('Data Source'!AD604&gt;=2,"C",IF('Data Source'!AD604&gt;=1,"D","F")))))),"")</f>
        <v/>
      </c>
      <c r="M604" s="3">
        <f>IF(AND('Data Source'!B604&lt;&gt;"",'Data Source'!S604="A+"),IF('Data Source'!AE604&gt;=5,"A+",IF('Data Source'!AE604&gt;=4,"A",IF('Data Source'!AE604&gt;=3.5,"A-",IF('Data Source'!AE604&gt;=3,"B",IF('Data Source'!AE604&gt;=2,"C",IF('Data Source'!AE604&gt;=1,"D","F")))))),"")</f>
        <v/>
      </c>
      <c r="N604" s="3">
        <f>IF(AND('Data Source'!B604&lt;&gt;"",'Data Source'!S604="A+"),IF('Data Source'!AF604&gt;=5,"A+",IF('Data Source'!AF604&gt;=4,"A",IF('Data Source'!AF604&gt;=3.5,"A-",IF('Data Source'!AF604&gt;=3,"B",IF('Data Source'!AF604&gt;=2,"C",IF('Data Source'!AF604&gt;=1,"D","F")))))),"")</f>
        <v/>
      </c>
      <c r="O604" s="3">
        <f>IF(AND('Data Source'!B604&lt;&gt;"",'Data Source'!S604="A+"),IF('Data Source'!AG604&gt;=5,"A+",IF('Data Source'!AG604&gt;=4,"A",IF('Data Source'!AG604&gt;=3.5,"A-",IF('Data Source'!AG604&gt;=3,"B",IF('Data Source'!AG604&gt;=2,"C",IF('Data Source'!AG604&gt;=1,"D","F")))))),"")</f>
        <v/>
      </c>
      <c r="P604" s="5">
        <f>IF(AND('Data Source'!B604&lt;&gt;"",'Data Source'!S604="A+"),'Data Source'!R604,"")</f>
        <v/>
      </c>
      <c r="Q604" s="3">
        <f>IF(AND('Data Source'!B604&lt;&gt;"",'Data Source'!S604="A+"),'Data Source'!S604,"")</f>
        <v/>
      </c>
    </row>
    <row r="605">
      <c r="A605" s="3">
        <f>IF(AND('Data Source'!B605&lt;&gt;"",'Data Source'!S605="A+"),COUNTIF('Data Source'!$S$3:S605,"A+"),"")</f>
        <v/>
      </c>
      <c r="B605">
        <f>IF(AND('Data Source'!B605&lt;&gt;"",'Data Source'!S605="A+"),'Data Source'!B605,"")</f>
        <v/>
      </c>
      <c r="C605" s="3">
        <f>IF(AND('Data Source'!B605&lt;&gt;"",'Data Source'!S605="A+"),IF('Data Source'!U605&gt;=5,"A+",IF('Data Source'!U605&gt;=4,"A",IF('Data Source'!U605&gt;=3.5,"A-",IF('Data Source'!U605&gt;=3,"B",IF('Data Source'!U605&gt;=2,"C",IF('Data Source'!U605&gt;=1,"D","F")))))),"")</f>
        <v/>
      </c>
      <c r="D605" s="3">
        <f>IF(AND('Data Source'!B605&lt;&gt;"",'Data Source'!S605="A+"),IF('Data Source'!V605&gt;=5,"A+",IF('Data Source'!V605&gt;=4,"A",IF('Data Source'!V605&gt;=3.5,"A-",IF('Data Source'!V605&gt;=3,"B",IF('Data Source'!V605&gt;=2,"C",IF('Data Source'!V605&gt;=1,"D","F")))))),"")</f>
        <v/>
      </c>
      <c r="E605" s="3">
        <f>IF(AND('Data Source'!B605&lt;&gt;"",'Data Source'!S605="A+"),IF('Data Source'!W605&gt;=5,"A+",IF('Data Source'!W605&gt;=4,"A",IF('Data Source'!W605&gt;=3.5,"A-",IF('Data Source'!W605&gt;=3,"B",IF('Data Source'!W605&gt;=2,"C",IF('Data Source'!W605&gt;=1,"D","F")))))),"")</f>
        <v/>
      </c>
      <c r="F605" s="3">
        <f>IF(AND('Data Source'!B605&lt;&gt;"",'Data Source'!S605="A+"),IF('Data Source'!X605&gt;=5,"A+",IF('Data Source'!X605&gt;=4,"A",IF('Data Source'!X605&gt;=3.5,"A-",IF('Data Source'!X605&gt;=3,"B",IF('Data Source'!X605&gt;=2,"C",IF('Data Source'!X605&gt;=1,"D","F")))))),"")</f>
        <v/>
      </c>
      <c r="G605" s="3">
        <f>IF(AND('Data Source'!B605&lt;&gt;"",'Data Source'!S605="A+"),IF('Data Source'!Y605&gt;=5,"A+",IF('Data Source'!Y605&gt;=4,"A",IF('Data Source'!Y605&gt;=3.5,"A-",IF('Data Source'!Y605&gt;=3,"B",IF('Data Source'!Y605&gt;=2,"C",IF('Data Source'!Y605&gt;=1,"D","F")))))),"")</f>
        <v/>
      </c>
      <c r="H605" s="3">
        <f>IF(AND('Data Source'!B605&lt;&gt;"",'Data Source'!S605="A+"),IF('Data Source'!Z605&gt;=5,"A+",IF('Data Source'!Z605&gt;=4,"A",IF('Data Source'!Z605&gt;=3.5,"A-",IF('Data Source'!Z605&gt;=3,"B",IF('Data Source'!Z605&gt;=2,"C",IF('Data Source'!Z605&gt;=1,"D","F")))))),"")</f>
        <v/>
      </c>
      <c r="I605" s="3">
        <f>IF(AND('Data Source'!B605&lt;&gt;"",'Data Source'!S605="A+"),IF('Data Source'!AA605&gt;=5,"A+",IF('Data Source'!AA605&gt;=4,"A",IF('Data Source'!AA605&gt;=3.5,"A-",IF('Data Source'!AA605&gt;=3,"B",IF('Data Source'!AA605&gt;=2,"C",IF('Data Source'!AA605&gt;=1,"D","F")))))),"")</f>
        <v/>
      </c>
      <c r="J605" s="3">
        <f>IF(AND('Data Source'!B605&lt;&gt;"",'Data Source'!S605="A+"),IF('Data Source'!AB605&gt;=5,"A+",IF('Data Source'!AB605&gt;=4,"A",IF('Data Source'!AB605&gt;=3.5,"A-",IF('Data Source'!AB605&gt;=3,"B",IF('Data Source'!AB605&gt;=2,"C",IF('Data Source'!AB605&gt;=1,"D","F")))))),"")</f>
        <v/>
      </c>
      <c r="K605" s="3">
        <f>IF(AND('Data Source'!B605&lt;&gt;"",'Data Source'!S605="A+"),IF('Data Source'!AC605&gt;=5,"A+",IF('Data Source'!AC605&gt;=4,"A",IF('Data Source'!AC605&gt;=3.5,"A-",IF('Data Source'!AC605&gt;=3,"B",IF('Data Source'!AC605&gt;=2,"C",IF('Data Source'!AC605&gt;=1,"D","F")))))),"")</f>
        <v/>
      </c>
      <c r="L605" s="3">
        <f>IF(AND('Data Source'!B605&lt;&gt;"",'Data Source'!S605="A+"),IF('Data Source'!AD605&gt;=5,"A+",IF('Data Source'!AD605&gt;=4,"A",IF('Data Source'!AD605&gt;=3.5,"A-",IF('Data Source'!AD605&gt;=3,"B",IF('Data Source'!AD605&gt;=2,"C",IF('Data Source'!AD605&gt;=1,"D","F")))))),"")</f>
        <v/>
      </c>
      <c r="M605" s="3">
        <f>IF(AND('Data Source'!B605&lt;&gt;"",'Data Source'!S605="A+"),IF('Data Source'!AE605&gt;=5,"A+",IF('Data Source'!AE605&gt;=4,"A",IF('Data Source'!AE605&gt;=3.5,"A-",IF('Data Source'!AE605&gt;=3,"B",IF('Data Source'!AE605&gt;=2,"C",IF('Data Source'!AE605&gt;=1,"D","F")))))),"")</f>
        <v/>
      </c>
      <c r="N605" s="3">
        <f>IF(AND('Data Source'!B605&lt;&gt;"",'Data Source'!S605="A+"),IF('Data Source'!AF605&gt;=5,"A+",IF('Data Source'!AF605&gt;=4,"A",IF('Data Source'!AF605&gt;=3.5,"A-",IF('Data Source'!AF605&gt;=3,"B",IF('Data Source'!AF605&gt;=2,"C",IF('Data Source'!AF605&gt;=1,"D","F")))))),"")</f>
        <v/>
      </c>
      <c r="O605" s="3">
        <f>IF(AND('Data Source'!B605&lt;&gt;"",'Data Source'!S605="A+"),IF('Data Source'!AG605&gt;=5,"A+",IF('Data Source'!AG605&gt;=4,"A",IF('Data Source'!AG605&gt;=3.5,"A-",IF('Data Source'!AG605&gt;=3,"B",IF('Data Source'!AG605&gt;=2,"C",IF('Data Source'!AG605&gt;=1,"D","F")))))),"")</f>
        <v/>
      </c>
      <c r="P605" s="5">
        <f>IF(AND('Data Source'!B605&lt;&gt;"",'Data Source'!S605="A+"),'Data Source'!R605,"")</f>
        <v/>
      </c>
      <c r="Q605" s="3">
        <f>IF(AND('Data Source'!B605&lt;&gt;"",'Data Source'!S605="A+"),'Data Source'!S605,"")</f>
        <v/>
      </c>
    </row>
    <row r="606">
      <c r="A606" s="3">
        <f>IF(AND('Data Source'!B606&lt;&gt;"",'Data Source'!S606="A+"),COUNTIF('Data Source'!$S$3:S606,"A+"),"")</f>
        <v/>
      </c>
      <c r="B606">
        <f>IF(AND('Data Source'!B606&lt;&gt;"",'Data Source'!S606="A+"),'Data Source'!B606,"")</f>
        <v/>
      </c>
      <c r="C606" s="3">
        <f>IF(AND('Data Source'!B606&lt;&gt;"",'Data Source'!S606="A+"),IF('Data Source'!U606&gt;=5,"A+",IF('Data Source'!U606&gt;=4,"A",IF('Data Source'!U606&gt;=3.5,"A-",IF('Data Source'!U606&gt;=3,"B",IF('Data Source'!U606&gt;=2,"C",IF('Data Source'!U606&gt;=1,"D","F")))))),"")</f>
        <v/>
      </c>
      <c r="D606" s="3">
        <f>IF(AND('Data Source'!B606&lt;&gt;"",'Data Source'!S606="A+"),IF('Data Source'!V606&gt;=5,"A+",IF('Data Source'!V606&gt;=4,"A",IF('Data Source'!V606&gt;=3.5,"A-",IF('Data Source'!V606&gt;=3,"B",IF('Data Source'!V606&gt;=2,"C",IF('Data Source'!V606&gt;=1,"D","F")))))),"")</f>
        <v/>
      </c>
      <c r="E606" s="3">
        <f>IF(AND('Data Source'!B606&lt;&gt;"",'Data Source'!S606="A+"),IF('Data Source'!W606&gt;=5,"A+",IF('Data Source'!W606&gt;=4,"A",IF('Data Source'!W606&gt;=3.5,"A-",IF('Data Source'!W606&gt;=3,"B",IF('Data Source'!W606&gt;=2,"C",IF('Data Source'!W606&gt;=1,"D","F")))))),"")</f>
        <v/>
      </c>
      <c r="F606" s="3">
        <f>IF(AND('Data Source'!B606&lt;&gt;"",'Data Source'!S606="A+"),IF('Data Source'!X606&gt;=5,"A+",IF('Data Source'!X606&gt;=4,"A",IF('Data Source'!X606&gt;=3.5,"A-",IF('Data Source'!X606&gt;=3,"B",IF('Data Source'!X606&gt;=2,"C",IF('Data Source'!X606&gt;=1,"D","F")))))),"")</f>
        <v/>
      </c>
      <c r="G606" s="3">
        <f>IF(AND('Data Source'!B606&lt;&gt;"",'Data Source'!S606="A+"),IF('Data Source'!Y606&gt;=5,"A+",IF('Data Source'!Y606&gt;=4,"A",IF('Data Source'!Y606&gt;=3.5,"A-",IF('Data Source'!Y606&gt;=3,"B",IF('Data Source'!Y606&gt;=2,"C",IF('Data Source'!Y606&gt;=1,"D","F")))))),"")</f>
        <v/>
      </c>
      <c r="H606" s="3">
        <f>IF(AND('Data Source'!B606&lt;&gt;"",'Data Source'!S606="A+"),IF('Data Source'!Z606&gt;=5,"A+",IF('Data Source'!Z606&gt;=4,"A",IF('Data Source'!Z606&gt;=3.5,"A-",IF('Data Source'!Z606&gt;=3,"B",IF('Data Source'!Z606&gt;=2,"C",IF('Data Source'!Z606&gt;=1,"D","F")))))),"")</f>
        <v/>
      </c>
      <c r="I606" s="3">
        <f>IF(AND('Data Source'!B606&lt;&gt;"",'Data Source'!S606="A+"),IF('Data Source'!AA606&gt;=5,"A+",IF('Data Source'!AA606&gt;=4,"A",IF('Data Source'!AA606&gt;=3.5,"A-",IF('Data Source'!AA606&gt;=3,"B",IF('Data Source'!AA606&gt;=2,"C",IF('Data Source'!AA606&gt;=1,"D","F")))))),"")</f>
        <v/>
      </c>
      <c r="J606" s="3">
        <f>IF(AND('Data Source'!B606&lt;&gt;"",'Data Source'!S606="A+"),IF('Data Source'!AB606&gt;=5,"A+",IF('Data Source'!AB606&gt;=4,"A",IF('Data Source'!AB606&gt;=3.5,"A-",IF('Data Source'!AB606&gt;=3,"B",IF('Data Source'!AB606&gt;=2,"C",IF('Data Source'!AB606&gt;=1,"D","F")))))),"")</f>
        <v/>
      </c>
      <c r="K606" s="3">
        <f>IF(AND('Data Source'!B606&lt;&gt;"",'Data Source'!S606="A+"),IF('Data Source'!AC606&gt;=5,"A+",IF('Data Source'!AC606&gt;=4,"A",IF('Data Source'!AC606&gt;=3.5,"A-",IF('Data Source'!AC606&gt;=3,"B",IF('Data Source'!AC606&gt;=2,"C",IF('Data Source'!AC606&gt;=1,"D","F")))))),"")</f>
        <v/>
      </c>
      <c r="L606" s="3">
        <f>IF(AND('Data Source'!B606&lt;&gt;"",'Data Source'!S606="A+"),IF('Data Source'!AD606&gt;=5,"A+",IF('Data Source'!AD606&gt;=4,"A",IF('Data Source'!AD606&gt;=3.5,"A-",IF('Data Source'!AD606&gt;=3,"B",IF('Data Source'!AD606&gt;=2,"C",IF('Data Source'!AD606&gt;=1,"D","F")))))),"")</f>
        <v/>
      </c>
      <c r="M606" s="3">
        <f>IF(AND('Data Source'!B606&lt;&gt;"",'Data Source'!S606="A+"),IF('Data Source'!AE606&gt;=5,"A+",IF('Data Source'!AE606&gt;=4,"A",IF('Data Source'!AE606&gt;=3.5,"A-",IF('Data Source'!AE606&gt;=3,"B",IF('Data Source'!AE606&gt;=2,"C",IF('Data Source'!AE606&gt;=1,"D","F")))))),"")</f>
        <v/>
      </c>
      <c r="N606" s="3">
        <f>IF(AND('Data Source'!B606&lt;&gt;"",'Data Source'!S606="A+"),IF('Data Source'!AF606&gt;=5,"A+",IF('Data Source'!AF606&gt;=4,"A",IF('Data Source'!AF606&gt;=3.5,"A-",IF('Data Source'!AF606&gt;=3,"B",IF('Data Source'!AF606&gt;=2,"C",IF('Data Source'!AF606&gt;=1,"D","F")))))),"")</f>
        <v/>
      </c>
      <c r="O606" s="3">
        <f>IF(AND('Data Source'!B606&lt;&gt;"",'Data Source'!S606="A+"),IF('Data Source'!AG606&gt;=5,"A+",IF('Data Source'!AG606&gt;=4,"A",IF('Data Source'!AG606&gt;=3.5,"A-",IF('Data Source'!AG606&gt;=3,"B",IF('Data Source'!AG606&gt;=2,"C",IF('Data Source'!AG606&gt;=1,"D","F")))))),"")</f>
        <v/>
      </c>
      <c r="P606" s="5">
        <f>IF(AND('Data Source'!B606&lt;&gt;"",'Data Source'!S606="A+"),'Data Source'!R606,"")</f>
        <v/>
      </c>
      <c r="Q606" s="3">
        <f>IF(AND('Data Source'!B606&lt;&gt;"",'Data Source'!S606="A+"),'Data Source'!S606,"")</f>
        <v/>
      </c>
    </row>
    <row r="607">
      <c r="A607" s="3">
        <f>IF(AND('Data Source'!B607&lt;&gt;"",'Data Source'!S607="A+"),COUNTIF('Data Source'!$S$3:S607,"A+"),"")</f>
        <v/>
      </c>
      <c r="B607">
        <f>IF(AND('Data Source'!B607&lt;&gt;"",'Data Source'!S607="A+"),'Data Source'!B607,"")</f>
        <v/>
      </c>
      <c r="C607" s="3">
        <f>IF(AND('Data Source'!B607&lt;&gt;"",'Data Source'!S607="A+"),IF('Data Source'!U607&gt;=5,"A+",IF('Data Source'!U607&gt;=4,"A",IF('Data Source'!U607&gt;=3.5,"A-",IF('Data Source'!U607&gt;=3,"B",IF('Data Source'!U607&gt;=2,"C",IF('Data Source'!U607&gt;=1,"D","F")))))),"")</f>
        <v/>
      </c>
      <c r="D607" s="3">
        <f>IF(AND('Data Source'!B607&lt;&gt;"",'Data Source'!S607="A+"),IF('Data Source'!V607&gt;=5,"A+",IF('Data Source'!V607&gt;=4,"A",IF('Data Source'!V607&gt;=3.5,"A-",IF('Data Source'!V607&gt;=3,"B",IF('Data Source'!V607&gt;=2,"C",IF('Data Source'!V607&gt;=1,"D","F")))))),"")</f>
        <v/>
      </c>
      <c r="E607" s="3">
        <f>IF(AND('Data Source'!B607&lt;&gt;"",'Data Source'!S607="A+"),IF('Data Source'!W607&gt;=5,"A+",IF('Data Source'!W607&gt;=4,"A",IF('Data Source'!W607&gt;=3.5,"A-",IF('Data Source'!W607&gt;=3,"B",IF('Data Source'!W607&gt;=2,"C",IF('Data Source'!W607&gt;=1,"D","F")))))),"")</f>
        <v/>
      </c>
      <c r="F607" s="3">
        <f>IF(AND('Data Source'!B607&lt;&gt;"",'Data Source'!S607="A+"),IF('Data Source'!X607&gt;=5,"A+",IF('Data Source'!X607&gt;=4,"A",IF('Data Source'!X607&gt;=3.5,"A-",IF('Data Source'!X607&gt;=3,"B",IF('Data Source'!X607&gt;=2,"C",IF('Data Source'!X607&gt;=1,"D","F")))))),"")</f>
        <v/>
      </c>
      <c r="G607" s="3">
        <f>IF(AND('Data Source'!B607&lt;&gt;"",'Data Source'!S607="A+"),IF('Data Source'!Y607&gt;=5,"A+",IF('Data Source'!Y607&gt;=4,"A",IF('Data Source'!Y607&gt;=3.5,"A-",IF('Data Source'!Y607&gt;=3,"B",IF('Data Source'!Y607&gt;=2,"C",IF('Data Source'!Y607&gt;=1,"D","F")))))),"")</f>
        <v/>
      </c>
      <c r="H607" s="3">
        <f>IF(AND('Data Source'!B607&lt;&gt;"",'Data Source'!S607="A+"),IF('Data Source'!Z607&gt;=5,"A+",IF('Data Source'!Z607&gt;=4,"A",IF('Data Source'!Z607&gt;=3.5,"A-",IF('Data Source'!Z607&gt;=3,"B",IF('Data Source'!Z607&gt;=2,"C",IF('Data Source'!Z607&gt;=1,"D","F")))))),"")</f>
        <v/>
      </c>
      <c r="I607" s="3">
        <f>IF(AND('Data Source'!B607&lt;&gt;"",'Data Source'!S607="A+"),IF('Data Source'!AA607&gt;=5,"A+",IF('Data Source'!AA607&gt;=4,"A",IF('Data Source'!AA607&gt;=3.5,"A-",IF('Data Source'!AA607&gt;=3,"B",IF('Data Source'!AA607&gt;=2,"C",IF('Data Source'!AA607&gt;=1,"D","F")))))),"")</f>
        <v/>
      </c>
      <c r="J607" s="3">
        <f>IF(AND('Data Source'!B607&lt;&gt;"",'Data Source'!S607="A+"),IF('Data Source'!AB607&gt;=5,"A+",IF('Data Source'!AB607&gt;=4,"A",IF('Data Source'!AB607&gt;=3.5,"A-",IF('Data Source'!AB607&gt;=3,"B",IF('Data Source'!AB607&gt;=2,"C",IF('Data Source'!AB607&gt;=1,"D","F")))))),"")</f>
        <v/>
      </c>
      <c r="K607" s="3">
        <f>IF(AND('Data Source'!B607&lt;&gt;"",'Data Source'!S607="A+"),IF('Data Source'!AC607&gt;=5,"A+",IF('Data Source'!AC607&gt;=4,"A",IF('Data Source'!AC607&gt;=3.5,"A-",IF('Data Source'!AC607&gt;=3,"B",IF('Data Source'!AC607&gt;=2,"C",IF('Data Source'!AC607&gt;=1,"D","F")))))),"")</f>
        <v/>
      </c>
      <c r="L607" s="3">
        <f>IF(AND('Data Source'!B607&lt;&gt;"",'Data Source'!S607="A+"),IF('Data Source'!AD607&gt;=5,"A+",IF('Data Source'!AD607&gt;=4,"A",IF('Data Source'!AD607&gt;=3.5,"A-",IF('Data Source'!AD607&gt;=3,"B",IF('Data Source'!AD607&gt;=2,"C",IF('Data Source'!AD607&gt;=1,"D","F")))))),"")</f>
        <v/>
      </c>
      <c r="M607" s="3">
        <f>IF(AND('Data Source'!B607&lt;&gt;"",'Data Source'!S607="A+"),IF('Data Source'!AE607&gt;=5,"A+",IF('Data Source'!AE607&gt;=4,"A",IF('Data Source'!AE607&gt;=3.5,"A-",IF('Data Source'!AE607&gt;=3,"B",IF('Data Source'!AE607&gt;=2,"C",IF('Data Source'!AE607&gt;=1,"D","F")))))),"")</f>
        <v/>
      </c>
      <c r="N607" s="3">
        <f>IF(AND('Data Source'!B607&lt;&gt;"",'Data Source'!S607="A+"),IF('Data Source'!AF607&gt;=5,"A+",IF('Data Source'!AF607&gt;=4,"A",IF('Data Source'!AF607&gt;=3.5,"A-",IF('Data Source'!AF607&gt;=3,"B",IF('Data Source'!AF607&gt;=2,"C",IF('Data Source'!AF607&gt;=1,"D","F")))))),"")</f>
        <v/>
      </c>
      <c r="O607" s="3">
        <f>IF(AND('Data Source'!B607&lt;&gt;"",'Data Source'!S607="A+"),IF('Data Source'!AG607&gt;=5,"A+",IF('Data Source'!AG607&gt;=4,"A",IF('Data Source'!AG607&gt;=3.5,"A-",IF('Data Source'!AG607&gt;=3,"B",IF('Data Source'!AG607&gt;=2,"C",IF('Data Source'!AG607&gt;=1,"D","F")))))),"")</f>
        <v/>
      </c>
      <c r="P607" s="5">
        <f>IF(AND('Data Source'!B607&lt;&gt;"",'Data Source'!S607="A+"),'Data Source'!R607,"")</f>
        <v/>
      </c>
      <c r="Q607" s="3">
        <f>IF(AND('Data Source'!B607&lt;&gt;"",'Data Source'!S607="A+"),'Data Source'!S607,"")</f>
        <v/>
      </c>
    </row>
    <row r="608">
      <c r="A608" s="3">
        <f>IF(AND('Data Source'!B608&lt;&gt;"",'Data Source'!S608="A+"),COUNTIF('Data Source'!$S$3:S608,"A+"),"")</f>
        <v/>
      </c>
      <c r="B608">
        <f>IF(AND('Data Source'!B608&lt;&gt;"",'Data Source'!S608="A+"),'Data Source'!B608,"")</f>
        <v/>
      </c>
      <c r="C608" s="3">
        <f>IF(AND('Data Source'!B608&lt;&gt;"",'Data Source'!S608="A+"),IF('Data Source'!U608&gt;=5,"A+",IF('Data Source'!U608&gt;=4,"A",IF('Data Source'!U608&gt;=3.5,"A-",IF('Data Source'!U608&gt;=3,"B",IF('Data Source'!U608&gt;=2,"C",IF('Data Source'!U608&gt;=1,"D","F")))))),"")</f>
        <v/>
      </c>
      <c r="D608" s="3">
        <f>IF(AND('Data Source'!B608&lt;&gt;"",'Data Source'!S608="A+"),IF('Data Source'!V608&gt;=5,"A+",IF('Data Source'!V608&gt;=4,"A",IF('Data Source'!V608&gt;=3.5,"A-",IF('Data Source'!V608&gt;=3,"B",IF('Data Source'!V608&gt;=2,"C",IF('Data Source'!V608&gt;=1,"D","F")))))),"")</f>
        <v/>
      </c>
      <c r="E608" s="3">
        <f>IF(AND('Data Source'!B608&lt;&gt;"",'Data Source'!S608="A+"),IF('Data Source'!W608&gt;=5,"A+",IF('Data Source'!W608&gt;=4,"A",IF('Data Source'!W608&gt;=3.5,"A-",IF('Data Source'!W608&gt;=3,"B",IF('Data Source'!W608&gt;=2,"C",IF('Data Source'!W608&gt;=1,"D","F")))))),"")</f>
        <v/>
      </c>
      <c r="F608" s="3">
        <f>IF(AND('Data Source'!B608&lt;&gt;"",'Data Source'!S608="A+"),IF('Data Source'!X608&gt;=5,"A+",IF('Data Source'!X608&gt;=4,"A",IF('Data Source'!X608&gt;=3.5,"A-",IF('Data Source'!X608&gt;=3,"B",IF('Data Source'!X608&gt;=2,"C",IF('Data Source'!X608&gt;=1,"D","F")))))),"")</f>
        <v/>
      </c>
      <c r="G608" s="3">
        <f>IF(AND('Data Source'!B608&lt;&gt;"",'Data Source'!S608="A+"),IF('Data Source'!Y608&gt;=5,"A+",IF('Data Source'!Y608&gt;=4,"A",IF('Data Source'!Y608&gt;=3.5,"A-",IF('Data Source'!Y608&gt;=3,"B",IF('Data Source'!Y608&gt;=2,"C",IF('Data Source'!Y608&gt;=1,"D","F")))))),"")</f>
        <v/>
      </c>
      <c r="H608" s="3">
        <f>IF(AND('Data Source'!B608&lt;&gt;"",'Data Source'!S608="A+"),IF('Data Source'!Z608&gt;=5,"A+",IF('Data Source'!Z608&gt;=4,"A",IF('Data Source'!Z608&gt;=3.5,"A-",IF('Data Source'!Z608&gt;=3,"B",IF('Data Source'!Z608&gt;=2,"C",IF('Data Source'!Z608&gt;=1,"D","F")))))),"")</f>
        <v/>
      </c>
      <c r="I608" s="3">
        <f>IF(AND('Data Source'!B608&lt;&gt;"",'Data Source'!S608="A+"),IF('Data Source'!AA608&gt;=5,"A+",IF('Data Source'!AA608&gt;=4,"A",IF('Data Source'!AA608&gt;=3.5,"A-",IF('Data Source'!AA608&gt;=3,"B",IF('Data Source'!AA608&gt;=2,"C",IF('Data Source'!AA608&gt;=1,"D","F")))))),"")</f>
        <v/>
      </c>
      <c r="J608" s="3">
        <f>IF(AND('Data Source'!B608&lt;&gt;"",'Data Source'!S608="A+"),IF('Data Source'!AB608&gt;=5,"A+",IF('Data Source'!AB608&gt;=4,"A",IF('Data Source'!AB608&gt;=3.5,"A-",IF('Data Source'!AB608&gt;=3,"B",IF('Data Source'!AB608&gt;=2,"C",IF('Data Source'!AB608&gt;=1,"D","F")))))),"")</f>
        <v/>
      </c>
      <c r="K608" s="3">
        <f>IF(AND('Data Source'!B608&lt;&gt;"",'Data Source'!S608="A+"),IF('Data Source'!AC608&gt;=5,"A+",IF('Data Source'!AC608&gt;=4,"A",IF('Data Source'!AC608&gt;=3.5,"A-",IF('Data Source'!AC608&gt;=3,"B",IF('Data Source'!AC608&gt;=2,"C",IF('Data Source'!AC608&gt;=1,"D","F")))))),"")</f>
        <v/>
      </c>
      <c r="L608" s="3">
        <f>IF(AND('Data Source'!B608&lt;&gt;"",'Data Source'!S608="A+"),IF('Data Source'!AD608&gt;=5,"A+",IF('Data Source'!AD608&gt;=4,"A",IF('Data Source'!AD608&gt;=3.5,"A-",IF('Data Source'!AD608&gt;=3,"B",IF('Data Source'!AD608&gt;=2,"C",IF('Data Source'!AD608&gt;=1,"D","F")))))),"")</f>
        <v/>
      </c>
      <c r="M608" s="3">
        <f>IF(AND('Data Source'!B608&lt;&gt;"",'Data Source'!S608="A+"),IF('Data Source'!AE608&gt;=5,"A+",IF('Data Source'!AE608&gt;=4,"A",IF('Data Source'!AE608&gt;=3.5,"A-",IF('Data Source'!AE608&gt;=3,"B",IF('Data Source'!AE608&gt;=2,"C",IF('Data Source'!AE608&gt;=1,"D","F")))))),"")</f>
        <v/>
      </c>
      <c r="N608" s="3">
        <f>IF(AND('Data Source'!B608&lt;&gt;"",'Data Source'!S608="A+"),IF('Data Source'!AF608&gt;=5,"A+",IF('Data Source'!AF608&gt;=4,"A",IF('Data Source'!AF608&gt;=3.5,"A-",IF('Data Source'!AF608&gt;=3,"B",IF('Data Source'!AF608&gt;=2,"C",IF('Data Source'!AF608&gt;=1,"D","F")))))),"")</f>
        <v/>
      </c>
      <c r="O608" s="3">
        <f>IF(AND('Data Source'!B608&lt;&gt;"",'Data Source'!S608="A+"),IF('Data Source'!AG608&gt;=5,"A+",IF('Data Source'!AG608&gt;=4,"A",IF('Data Source'!AG608&gt;=3.5,"A-",IF('Data Source'!AG608&gt;=3,"B",IF('Data Source'!AG608&gt;=2,"C",IF('Data Source'!AG608&gt;=1,"D","F")))))),"")</f>
        <v/>
      </c>
      <c r="P608" s="5">
        <f>IF(AND('Data Source'!B608&lt;&gt;"",'Data Source'!S608="A+"),'Data Source'!R608,"")</f>
        <v/>
      </c>
      <c r="Q608" s="3">
        <f>IF(AND('Data Source'!B608&lt;&gt;"",'Data Source'!S608="A+"),'Data Source'!S608,"")</f>
        <v/>
      </c>
    </row>
    <row r="609">
      <c r="A609" s="3">
        <f>IF(AND('Data Source'!B609&lt;&gt;"",'Data Source'!S609="A+"),COUNTIF('Data Source'!$S$3:S609,"A+"),"")</f>
        <v/>
      </c>
      <c r="B609">
        <f>IF(AND('Data Source'!B609&lt;&gt;"",'Data Source'!S609="A+"),'Data Source'!B609,"")</f>
        <v/>
      </c>
      <c r="C609" s="3">
        <f>IF(AND('Data Source'!B609&lt;&gt;"",'Data Source'!S609="A+"),IF('Data Source'!U609&gt;=5,"A+",IF('Data Source'!U609&gt;=4,"A",IF('Data Source'!U609&gt;=3.5,"A-",IF('Data Source'!U609&gt;=3,"B",IF('Data Source'!U609&gt;=2,"C",IF('Data Source'!U609&gt;=1,"D","F")))))),"")</f>
        <v/>
      </c>
      <c r="D609" s="3">
        <f>IF(AND('Data Source'!B609&lt;&gt;"",'Data Source'!S609="A+"),IF('Data Source'!V609&gt;=5,"A+",IF('Data Source'!V609&gt;=4,"A",IF('Data Source'!V609&gt;=3.5,"A-",IF('Data Source'!V609&gt;=3,"B",IF('Data Source'!V609&gt;=2,"C",IF('Data Source'!V609&gt;=1,"D","F")))))),"")</f>
        <v/>
      </c>
      <c r="E609" s="3">
        <f>IF(AND('Data Source'!B609&lt;&gt;"",'Data Source'!S609="A+"),IF('Data Source'!W609&gt;=5,"A+",IF('Data Source'!W609&gt;=4,"A",IF('Data Source'!W609&gt;=3.5,"A-",IF('Data Source'!W609&gt;=3,"B",IF('Data Source'!W609&gt;=2,"C",IF('Data Source'!W609&gt;=1,"D","F")))))),"")</f>
        <v/>
      </c>
      <c r="F609" s="3">
        <f>IF(AND('Data Source'!B609&lt;&gt;"",'Data Source'!S609="A+"),IF('Data Source'!X609&gt;=5,"A+",IF('Data Source'!X609&gt;=4,"A",IF('Data Source'!X609&gt;=3.5,"A-",IF('Data Source'!X609&gt;=3,"B",IF('Data Source'!X609&gt;=2,"C",IF('Data Source'!X609&gt;=1,"D","F")))))),"")</f>
        <v/>
      </c>
      <c r="G609" s="3">
        <f>IF(AND('Data Source'!B609&lt;&gt;"",'Data Source'!S609="A+"),IF('Data Source'!Y609&gt;=5,"A+",IF('Data Source'!Y609&gt;=4,"A",IF('Data Source'!Y609&gt;=3.5,"A-",IF('Data Source'!Y609&gt;=3,"B",IF('Data Source'!Y609&gt;=2,"C",IF('Data Source'!Y609&gt;=1,"D","F")))))),"")</f>
        <v/>
      </c>
      <c r="H609" s="3">
        <f>IF(AND('Data Source'!B609&lt;&gt;"",'Data Source'!S609="A+"),IF('Data Source'!Z609&gt;=5,"A+",IF('Data Source'!Z609&gt;=4,"A",IF('Data Source'!Z609&gt;=3.5,"A-",IF('Data Source'!Z609&gt;=3,"B",IF('Data Source'!Z609&gt;=2,"C",IF('Data Source'!Z609&gt;=1,"D","F")))))),"")</f>
        <v/>
      </c>
      <c r="I609" s="3">
        <f>IF(AND('Data Source'!B609&lt;&gt;"",'Data Source'!S609="A+"),IF('Data Source'!AA609&gt;=5,"A+",IF('Data Source'!AA609&gt;=4,"A",IF('Data Source'!AA609&gt;=3.5,"A-",IF('Data Source'!AA609&gt;=3,"B",IF('Data Source'!AA609&gt;=2,"C",IF('Data Source'!AA609&gt;=1,"D","F")))))),"")</f>
        <v/>
      </c>
      <c r="J609" s="3">
        <f>IF(AND('Data Source'!B609&lt;&gt;"",'Data Source'!S609="A+"),IF('Data Source'!AB609&gt;=5,"A+",IF('Data Source'!AB609&gt;=4,"A",IF('Data Source'!AB609&gt;=3.5,"A-",IF('Data Source'!AB609&gt;=3,"B",IF('Data Source'!AB609&gt;=2,"C",IF('Data Source'!AB609&gt;=1,"D","F")))))),"")</f>
        <v/>
      </c>
      <c r="K609" s="3">
        <f>IF(AND('Data Source'!B609&lt;&gt;"",'Data Source'!S609="A+"),IF('Data Source'!AC609&gt;=5,"A+",IF('Data Source'!AC609&gt;=4,"A",IF('Data Source'!AC609&gt;=3.5,"A-",IF('Data Source'!AC609&gt;=3,"B",IF('Data Source'!AC609&gt;=2,"C",IF('Data Source'!AC609&gt;=1,"D","F")))))),"")</f>
        <v/>
      </c>
      <c r="L609" s="3">
        <f>IF(AND('Data Source'!B609&lt;&gt;"",'Data Source'!S609="A+"),IF('Data Source'!AD609&gt;=5,"A+",IF('Data Source'!AD609&gt;=4,"A",IF('Data Source'!AD609&gt;=3.5,"A-",IF('Data Source'!AD609&gt;=3,"B",IF('Data Source'!AD609&gt;=2,"C",IF('Data Source'!AD609&gt;=1,"D","F")))))),"")</f>
        <v/>
      </c>
      <c r="M609" s="3">
        <f>IF(AND('Data Source'!B609&lt;&gt;"",'Data Source'!S609="A+"),IF('Data Source'!AE609&gt;=5,"A+",IF('Data Source'!AE609&gt;=4,"A",IF('Data Source'!AE609&gt;=3.5,"A-",IF('Data Source'!AE609&gt;=3,"B",IF('Data Source'!AE609&gt;=2,"C",IF('Data Source'!AE609&gt;=1,"D","F")))))),"")</f>
        <v/>
      </c>
      <c r="N609" s="3">
        <f>IF(AND('Data Source'!B609&lt;&gt;"",'Data Source'!S609="A+"),IF('Data Source'!AF609&gt;=5,"A+",IF('Data Source'!AF609&gt;=4,"A",IF('Data Source'!AF609&gt;=3.5,"A-",IF('Data Source'!AF609&gt;=3,"B",IF('Data Source'!AF609&gt;=2,"C",IF('Data Source'!AF609&gt;=1,"D","F")))))),"")</f>
        <v/>
      </c>
      <c r="O609" s="3">
        <f>IF(AND('Data Source'!B609&lt;&gt;"",'Data Source'!S609="A+"),IF('Data Source'!AG609&gt;=5,"A+",IF('Data Source'!AG609&gt;=4,"A",IF('Data Source'!AG609&gt;=3.5,"A-",IF('Data Source'!AG609&gt;=3,"B",IF('Data Source'!AG609&gt;=2,"C",IF('Data Source'!AG609&gt;=1,"D","F")))))),"")</f>
        <v/>
      </c>
      <c r="P609" s="5">
        <f>IF(AND('Data Source'!B609&lt;&gt;"",'Data Source'!S609="A+"),'Data Source'!R609,"")</f>
        <v/>
      </c>
      <c r="Q609" s="3">
        <f>IF(AND('Data Source'!B609&lt;&gt;"",'Data Source'!S609="A+"),'Data Source'!S609,"")</f>
        <v/>
      </c>
    </row>
    <row r="610">
      <c r="A610" s="3">
        <f>IF(AND('Data Source'!B610&lt;&gt;"",'Data Source'!S610="A+"),COUNTIF('Data Source'!$S$3:S610,"A+"),"")</f>
        <v/>
      </c>
      <c r="B610">
        <f>IF(AND('Data Source'!B610&lt;&gt;"",'Data Source'!S610="A+"),'Data Source'!B610,"")</f>
        <v/>
      </c>
      <c r="C610" s="3">
        <f>IF(AND('Data Source'!B610&lt;&gt;"",'Data Source'!S610="A+"),IF('Data Source'!U610&gt;=5,"A+",IF('Data Source'!U610&gt;=4,"A",IF('Data Source'!U610&gt;=3.5,"A-",IF('Data Source'!U610&gt;=3,"B",IF('Data Source'!U610&gt;=2,"C",IF('Data Source'!U610&gt;=1,"D","F")))))),"")</f>
        <v/>
      </c>
      <c r="D610" s="3">
        <f>IF(AND('Data Source'!B610&lt;&gt;"",'Data Source'!S610="A+"),IF('Data Source'!V610&gt;=5,"A+",IF('Data Source'!V610&gt;=4,"A",IF('Data Source'!V610&gt;=3.5,"A-",IF('Data Source'!V610&gt;=3,"B",IF('Data Source'!V610&gt;=2,"C",IF('Data Source'!V610&gt;=1,"D","F")))))),"")</f>
        <v/>
      </c>
      <c r="E610" s="3">
        <f>IF(AND('Data Source'!B610&lt;&gt;"",'Data Source'!S610="A+"),IF('Data Source'!W610&gt;=5,"A+",IF('Data Source'!W610&gt;=4,"A",IF('Data Source'!W610&gt;=3.5,"A-",IF('Data Source'!W610&gt;=3,"B",IF('Data Source'!W610&gt;=2,"C",IF('Data Source'!W610&gt;=1,"D","F")))))),"")</f>
        <v/>
      </c>
      <c r="F610" s="3">
        <f>IF(AND('Data Source'!B610&lt;&gt;"",'Data Source'!S610="A+"),IF('Data Source'!X610&gt;=5,"A+",IF('Data Source'!X610&gt;=4,"A",IF('Data Source'!X610&gt;=3.5,"A-",IF('Data Source'!X610&gt;=3,"B",IF('Data Source'!X610&gt;=2,"C",IF('Data Source'!X610&gt;=1,"D","F")))))),"")</f>
        <v/>
      </c>
      <c r="G610" s="3">
        <f>IF(AND('Data Source'!B610&lt;&gt;"",'Data Source'!S610="A+"),IF('Data Source'!Y610&gt;=5,"A+",IF('Data Source'!Y610&gt;=4,"A",IF('Data Source'!Y610&gt;=3.5,"A-",IF('Data Source'!Y610&gt;=3,"B",IF('Data Source'!Y610&gt;=2,"C",IF('Data Source'!Y610&gt;=1,"D","F")))))),"")</f>
        <v/>
      </c>
      <c r="H610" s="3">
        <f>IF(AND('Data Source'!B610&lt;&gt;"",'Data Source'!S610="A+"),IF('Data Source'!Z610&gt;=5,"A+",IF('Data Source'!Z610&gt;=4,"A",IF('Data Source'!Z610&gt;=3.5,"A-",IF('Data Source'!Z610&gt;=3,"B",IF('Data Source'!Z610&gt;=2,"C",IF('Data Source'!Z610&gt;=1,"D","F")))))),"")</f>
        <v/>
      </c>
      <c r="I610" s="3">
        <f>IF(AND('Data Source'!B610&lt;&gt;"",'Data Source'!S610="A+"),IF('Data Source'!AA610&gt;=5,"A+",IF('Data Source'!AA610&gt;=4,"A",IF('Data Source'!AA610&gt;=3.5,"A-",IF('Data Source'!AA610&gt;=3,"B",IF('Data Source'!AA610&gt;=2,"C",IF('Data Source'!AA610&gt;=1,"D","F")))))),"")</f>
        <v/>
      </c>
      <c r="J610" s="3">
        <f>IF(AND('Data Source'!B610&lt;&gt;"",'Data Source'!S610="A+"),IF('Data Source'!AB610&gt;=5,"A+",IF('Data Source'!AB610&gt;=4,"A",IF('Data Source'!AB610&gt;=3.5,"A-",IF('Data Source'!AB610&gt;=3,"B",IF('Data Source'!AB610&gt;=2,"C",IF('Data Source'!AB610&gt;=1,"D","F")))))),"")</f>
        <v/>
      </c>
      <c r="K610" s="3">
        <f>IF(AND('Data Source'!B610&lt;&gt;"",'Data Source'!S610="A+"),IF('Data Source'!AC610&gt;=5,"A+",IF('Data Source'!AC610&gt;=4,"A",IF('Data Source'!AC610&gt;=3.5,"A-",IF('Data Source'!AC610&gt;=3,"B",IF('Data Source'!AC610&gt;=2,"C",IF('Data Source'!AC610&gt;=1,"D","F")))))),"")</f>
        <v/>
      </c>
      <c r="L610" s="3">
        <f>IF(AND('Data Source'!B610&lt;&gt;"",'Data Source'!S610="A+"),IF('Data Source'!AD610&gt;=5,"A+",IF('Data Source'!AD610&gt;=4,"A",IF('Data Source'!AD610&gt;=3.5,"A-",IF('Data Source'!AD610&gt;=3,"B",IF('Data Source'!AD610&gt;=2,"C",IF('Data Source'!AD610&gt;=1,"D","F")))))),"")</f>
        <v/>
      </c>
      <c r="M610" s="3">
        <f>IF(AND('Data Source'!B610&lt;&gt;"",'Data Source'!S610="A+"),IF('Data Source'!AE610&gt;=5,"A+",IF('Data Source'!AE610&gt;=4,"A",IF('Data Source'!AE610&gt;=3.5,"A-",IF('Data Source'!AE610&gt;=3,"B",IF('Data Source'!AE610&gt;=2,"C",IF('Data Source'!AE610&gt;=1,"D","F")))))),"")</f>
        <v/>
      </c>
      <c r="N610" s="3">
        <f>IF(AND('Data Source'!B610&lt;&gt;"",'Data Source'!S610="A+"),IF('Data Source'!AF610&gt;=5,"A+",IF('Data Source'!AF610&gt;=4,"A",IF('Data Source'!AF610&gt;=3.5,"A-",IF('Data Source'!AF610&gt;=3,"B",IF('Data Source'!AF610&gt;=2,"C",IF('Data Source'!AF610&gt;=1,"D","F")))))),"")</f>
        <v/>
      </c>
      <c r="O610" s="3">
        <f>IF(AND('Data Source'!B610&lt;&gt;"",'Data Source'!S610="A+"),IF('Data Source'!AG610&gt;=5,"A+",IF('Data Source'!AG610&gt;=4,"A",IF('Data Source'!AG610&gt;=3.5,"A-",IF('Data Source'!AG610&gt;=3,"B",IF('Data Source'!AG610&gt;=2,"C",IF('Data Source'!AG610&gt;=1,"D","F")))))),"")</f>
        <v/>
      </c>
      <c r="P610" s="5">
        <f>IF(AND('Data Source'!B610&lt;&gt;"",'Data Source'!S610="A+"),'Data Source'!R610,"")</f>
        <v/>
      </c>
      <c r="Q610" s="3">
        <f>IF(AND('Data Source'!B610&lt;&gt;"",'Data Source'!S610="A+"),'Data Source'!S610,"")</f>
        <v/>
      </c>
    </row>
    <row r="611">
      <c r="A611" s="3">
        <f>IF(AND('Data Source'!B611&lt;&gt;"",'Data Source'!S611="A+"),COUNTIF('Data Source'!$S$3:S611,"A+"),"")</f>
        <v/>
      </c>
      <c r="B611">
        <f>IF(AND('Data Source'!B611&lt;&gt;"",'Data Source'!S611="A+"),'Data Source'!B611,"")</f>
        <v/>
      </c>
      <c r="C611" s="3">
        <f>IF(AND('Data Source'!B611&lt;&gt;"",'Data Source'!S611="A+"),IF('Data Source'!U611&gt;=5,"A+",IF('Data Source'!U611&gt;=4,"A",IF('Data Source'!U611&gt;=3.5,"A-",IF('Data Source'!U611&gt;=3,"B",IF('Data Source'!U611&gt;=2,"C",IF('Data Source'!U611&gt;=1,"D","F")))))),"")</f>
        <v/>
      </c>
      <c r="D611" s="3">
        <f>IF(AND('Data Source'!B611&lt;&gt;"",'Data Source'!S611="A+"),IF('Data Source'!V611&gt;=5,"A+",IF('Data Source'!V611&gt;=4,"A",IF('Data Source'!V611&gt;=3.5,"A-",IF('Data Source'!V611&gt;=3,"B",IF('Data Source'!V611&gt;=2,"C",IF('Data Source'!V611&gt;=1,"D","F")))))),"")</f>
        <v/>
      </c>
      <c r="E611" s="3">
        <f>IF(AND('Data Source'!B611&lt;&gt;"",'Data Source'!S611="A+"),IF('Data Source'!W611&gt;=5,"A+",IF('Data Source'!W611&gt;=4,"A",IF('Data Source'!W611&gt;=3.5,"A-",IF('Data Source'!W611&gt;=3,"B",IF('Data Source'!W611&gt;=2,"C",IF('Data Source'!W611&gt;=1,"D","F")))))),"")</f>
        <v/>
      </c>
      <c r="F611" s="3">
        <f>IF(AND('Data Source'!B611&lt;&gt;"",'Data Source'!S611="A+"),IF('Data Source'!X611&gt;=5,"A+",IF('Data Source'!X611&gt;=4,"A",IF('Data Source'!X611&gt;=3.5,"A-",IF('Data Source'!X611&gt;=3,"B",IF('Data Source'!X611&gt;=2,"C",IF('Data Source'!X611&gt;=1,"D","F")))))),"")</f>
        <v/>
      </c>
      <c r="G611" s="3">
        <f>IF(AND('Data Source'!B611&lt;&gt;"",'Data Source'!S611="A+"),IF('Data Source'!Y611&gt;=5,"A+",IF('Data Source'!Y611&gt;=4,"A",IF('Data Source'!Y611&gt;=3.5,"A-",IF('Data Source'!Y611&gt;=3,"B",IF('Data Source'!Y611&gt;=2,"C",IF('Data Source'!Y611&gt;=1,"D","F")))))),"")</f>
        <v/>
      </c>
      <c r="H611" s="3">
        <f>IF(AND('Data Source'!B611&lt;&gt;"",'Data Source'!S611="A+"),IF('Data Source'!Z611&gt;=5,"A+",IF('Data Source'!Z611&gt;=4,"A",IF('Data Source'!Z611&gt;=3.5,"A-",IF('Data Source'!Z611&gt;=3,"B",IF('Data Source'!Z611&gt;=2,"C",IF('Data Source'!Z611&gt;=1,"D","F")))))),"")</f>
        <v/>
      </c>
      <c r="I611" s="3">
        <f>IF(AND('Data Source'!B611&lt;&gt;"",'Data Source'!S611="A+"),IF('Data Source'!AA611&gt;=5,"A+",IF('Data Source'!AA611&gt;=4,"A",IF('Data Source'!AA611&gt;=3.5,"A-",IF('Data Source'!AA611&gt;=3,"B",IF('Data Source'!AA611&gt;=2,"C",IF('Data Source'!AA611&gt;=1,"D","F")))))),"")</f>
        <v/>
      </c>
      <c r="J611" s="3">
        <f>IF(AND('Data Source'!B611&lt;&gt;"",'Data Source'!S611="A+"),IF('Data Source'!AB611&gt;=5,"A+",IF('Data Source'!AB611&gt;=4,"A",IF('Data Source'!AB611&gt;=3.5,"A-",IF('Data Source'!AB611&gt;=3,"B",IF('Data Source'!AB611&gt;=2,"C",IF('Data Source'!AB611&gt;=1,"D","F")))))),"")</f>
        <v/>
      </c>
      <c r="K611" s="3">
        <f>IF(AND('Data Source'!B611&lt;&gt;"",'Data Source'!S611="A+"),IF('Data Source'!AC611&gt;=5,"A+",IF('Data Source'!AC611&gt;=4,"A",IF('Data Source'!AC611&gt;=3.5,"A-",IF('Data Source'!AC611&gt;=3,"B",IF('Data Source'!AC611&gt;=2,"C",IF('Data Source'!AC611&gt;=1,"D","F")))))),"")</f>
        <v/>
      </c>
      <c r="L611" s="3">
        <f>IF(AND('Data Source'!B611&lt;&gt;"",'Data Source'!S611="A+"),IF('Data Source'!AD611&gt;=5,"A+",IF('Data Source'!AD611&gt;=4,"A",IF('Data Source'!AD611&gt;=3.5,"A-",IF('Data Source'!AD611&gt;=3,"B",IF('Data Source'!AD611&gt;=2,"C",IF('Data Source'!AD611&gt;=1,"D","F")))))),"")</f>
        <v/>
      </c>
      <c r="M611" s="3">
        <f>IF(AND('Data Source'!B611&lt;&gt;"",'Data Source'!S611="A+"),IF('Data Source'!AE611&gt;=5,"A+",IF('Data Source'!AE611&gt;=4,"A",IF('Data Source'!AE611&gt;=3.5,"A-",IF('Data Source'!AE611&gt;=3,"B",IF('Data Source'!AE611&gt;=2,"C",IF('Data Source'!AE611&gt;=1,"D","F")))))),"")</f>
        <v/>
      </c>
      <c r="N611" s="3">
        <f>IF(AND('Data Source'!B611&lt;&gt;"",'Data Source'!S611="A+"),IF('Data Source'!AF611&gt;=5,"A+",IF('Data Source'!AF611&gt;=4,"A",IF('Data Source'!AF611&gt;=3.5,"A-",IF('Data Source'!AF611&gt;=3,"B",IF('Data Source'!AF611&gt;=2,"C",IF('Data Source'!AF611&gt;=1,"D","F")))))),"")</f>
        <v/>
      </c>
      <c r="O611" s="3">
        <f>IF(AND('Data Source'!B611&lt;&gt;"",'Data Source'!S611="A+"),IF('Data Source'!AG611&gt;=5,"A+",IF('Data Source'!AG611&gt;=4,"A",IF('Data Source'!AG611&gt;=3.5,"A-",IF('Data Source'!AG611&gt;=3,"B",IF('Data Source'!AG611&gt;=2,"C",IF('Data Source'!AG611&gt;=1,"D","F")))))),"")</f>
        <v/>
      </c>
      <c r="P611" s="5">
        <f>IF(AND('Data Source'!B611&lt;&gt;"",'Data Source'!S611="A+"),'Data Source'!R611,"")</f>
        <v/>
      </c>
      <c r="Q611" s="3">
        <f>IF(AND('Data Source'!B611&lt;&gt;"",'Data Source'!S611="A+"),'Data Source'!S611,"")</f>
        <v/>
      </c>
    </row>
    <row r="612">
      <c r="A612" s="3">
        <f>IF(AND('Data Source'!B612&lt;&gt;"",'Data Source'!S612="A+"),COUNTIF('Data Source'!$S$3:S612,"A+"),"")</f>
        <v/>
      </c>
      <c r="B612">
        <f>IF(AND('Data Source'!B612&lt;&gt;"",'Data Source'!S612="A+"),'Data Source'!B612,"")</f>
        <v/>
      </c>
      <c r="C612" s="3">
        <f>IF(AND('Data Source'!B612&lt;&gt;"",'Data Source'!S612="A+"),IF('Data Source'!U612&gt;=5,"A+",IF('Data Source'!U612&gt;=4,"A",IF('Data Source'!U612&gt;=3.5,"A-",IF('Data Source'!U612&gt;=3,"B",IF('Data Source'!U612&gt;=2,"C",IF('Data Source'!U612&gt;=1,"D","F")))))),"")</f>
        <v/>
      </c>
      <c r="D612" s="3">
        <f>IF(AND('Data Source'!B612&lt;&gt;"",'Data Source'!S612="A+"),IF('Data Source'!V612&gt;=5,"A+",IF('Data Source'!V612&gt;=4,"A",IF('Data Source'!V612&gt;=3.5,"A-",IF('Data Source'!V612&gt;=3,"B",IF('Data Source'!V612&gt;=2,"C",IF('Data Source'!V612&gt;=1,"D","F")))))),"")</f>
        <v/>
      </c>
      <c r="E612" s="3">
        <f>IF(AND('Data Source'!B612&lt;&gt;"",'Data Source'!S612="A+"),IF('Data Source'!W612&gt;=5,"A+",IF('Data Source'!W612&gt;=4,"A",IF('Data Source'!W612&gt;=3.5,"A-",IF('Data Source'!W612&gt;=3,"B",IF('Data Source'!W612&gt;=2,"C",IF('Data Source'!W612&gt;=1,"D","F")))))),"")</f>
        <v/>
      </c>
      <c r="F612" s="3">
        <f>IF(AND('Data Source'!B612&lt;&gt;"",'Data Source'!S612="A+"),IF('Data Source'!X612&gt;=5,"A+",IF('Data Source'!X612&gt;=4,"A",IF('Data Source'!X612&gt;=3.5,"A-",IF('Data Source'!X612&gt;=3,"B",IF('Data Source'!X612&gt;=2,"C",IF('Data Source'!X612&gt;=1,"D","F")))))),"")</f>
        <v/>
      </c>
      <c r="G612" s="3">
        <f>IF(AND('Data Source'!B612&lt;&gt;"",'Data Source'!S612="A+"),IF('Data Source'!Y612&gt;=5,"A+",IF('Data Source'!Y612&gt;=4,"A",IF('Data Source'!Y612&gt;=3.5,"A-",IF('Data Source'!Y612&gt;=3,"B",IF('Data Source'!Y612&gt;=2,"C",IF('Data Source'!Y612&gt;=1,"D","F")))))),"")</f>
        <v/>
      </c>
      <c r="H612" s="3">
        <f>IF(AND('Data Source'!B612&lt;&gt;"",'Data Source'!S612="A+"),IF('Data Source'!Z612&gt;=5,"A+",IF('Data Source'!Z612&gt;=4,"A",IF('Data Source'!Z612&gt;=3.5,"A-",IF('Data Source'!Z612&gt;=3,"B",IF('Data Source'!Z612&gt;=2,"C",IF('Data Source'!Z612&gt;=1,"D","F")))))),"")</f>
        <v/>
      </c>
      <c r="I612" s="3">
        <f>IF(AND('Data Source'!B612&lt;&gt;"",'Data Source'!S612="A+"),IF('Data Source'!AA612&gt;=5,"A+",IF('Data Source'!AA612&gt;=4,"A",IF('Data Source'!AA612&gt;=3.5,"A-",IF('Data Source'!AA612&gt;=3,"B",IF('Data Source'!AA612&gt;=2,"C",IF('Data Source'!AA612&gt;=1,"D","F")))))),"")</f>
        <v/>
      </c>
      <c r="J612" s="3">
        <f>IF(AND('Data Source'!B612&lt;&gt;"",'Data Source'!S612="A+"),IF('Data Source'!AB612&gt;=5,"A+",IF('Data Source'!AB612&gt;=4,"A",IF('Data Source'!AB612&gt;=3.5,"A-",IF('Data Source'!AB612&gt;=3,"B",IF('Data Source'!AB612&gt;=2,"C",IF('Data Source'!AB612&gt;=1,"D","F")))))),"")</f>
        <v/>
      </c>
      <c r="K612" s="3">
        <f>IF(AND('Data Source'!B612&lt;&gt;"",'Data Source'!S612="A+"),IF('Data Source'!AC612&gt;=5,"A+",IF('Data Source'!AC612&gt;=4,"A",IF('Data Source'!AC612&gt;=3.5,"A-",IF('Data Source'!AC612&gt;=3,"B",IF('Data Source'!AC612&gt;=2,"C",IF('Data Source'!AC612&gt;=1,"D","F")))))),"")</f>
        <v/>
      </c>
      <c r="L612" s="3">
        <f>IF(AND('Data Source'!B612&lt;&gt;"",'Data Source'!S612="A+"),IF('Data Source'!AD612&gt;=5,"A+",IF('Data Source'!AD612&gt;=4,"A",IF('Data Source'!AD612&gt;=3.5,"A-",IF('Data Source'!AD612&gt;=3,"B",IF('Data Source'!AD612&gt;=2,"C",IF('Data Source'!AD612&gt;=1,"D","F")))))),"")</f>
        <v/>
      </c>
      <c r="M612" s="3">
        <f>IF(AND('Data Source'!B612&lt;&gt;"",'Data Source'!S612="A+"),IF('Data Source'!AE612&gt;=5,"A+",IF('Data Source'!AE612&gt;=4,"A",IF('Data Source'!AE612&gt;=3.5,"A-",IF('Data Source'!AE612&gt;=3,"B",IF('Data Source'!AE612&gt;=2,"C",IF('Data Source'!AE612&gt;=1,"D","F")))))),"")</f>
        <v/>
      </c>
      <c r="N612" s="3">
        <f>IF(AND('Data Source'!B612&lt;&gt;"",'Data Source'!S612="A+"),IF('Data Source'!AF612&gt;=5,"A+",IF('Data Source'!AF612&gt;=4,"A",IF('Data Source'!AF612&gt;=3.5,"A-",IF('Data Source'!AF612&gt;=3,"B",IF('Data Source'!AF612&gt;=2,"C",IF('Data Source'!AF612&gt;=1,"D","F")))))),"")</f>
        <v/>
      </c>
      <c r="O612" s="3">
        <f>IF(AND('Data Source'!B612&lt;&gt;"",'Data Source'!S612="A+"),IF('Data Source'!AG612&gt;=5,"A+",IF('Data Source'!AG612&gt;=4,"A",IF('Data Source'!AG612&gt;=3.5,"A-",IF('Data Source'!AG612&gt;=3,"B",IF('Data Source'!AG612&gt;=2,"C",IF('Data Source'!AG612&gt;=1,"D","F")))))),"")</f>
        <v/>
      </c>
      <c r="P612" s="5">
        <f>IF(AND('Data Source'!B612&lt;&gt;"",'Data Source'!S612="A+"),'Data Source'!R612,"")</f>
        <v/>
      </c>
      <c r="Q612" s="3">
        <f>IF(AND('Data Source'!B612&lt;&gt;"",'Data Source'!S612="A+"),'Data Source'!S612,"")</f>
        <v/>
      </c>
    </row>
    <row r="613">
      <c r="A613" s="3">
        <f>IF(AND('Data Source'!B613&lt;&gt;"",'Data Source'!S613="A+"),COUNTIF('Data Source'!$S$3:S613,"A+"),"")</f>
        <v/>
      </c>
      <c r="B613">
        <f>IF(AND('Data Source'!B613&lt;&gt;"",'Data Source'!S613="A+"),'Data Source'!B613,"")</f>
        <v/>
      </c>
      <c r="C613" s="3">
        <f>IF(AND('Data Source'!B613&lt;&gt;"",'Data Source'!S613="A+"),IF('Data Source'!U613&gt;=5,"A+",IF('Data Source'!U613&gt;=4,"A",IF('Data Source'!U613&gt;=3.5,"A-",IF('Data Source'!U613&gt;=3,"B",IF('Data Source'!U613&gt;=2,"C",IF('Data Source'!U613&gt;=1,"D","F")))))),"")</f>
        <v/>
      </c>
      <c r="D613" s="3">
        <f>IF(AND('Data Source'!B613&lt;&gt;"",'Data Source'!S613="A+"),IF('Data Source'!V613&gt;=5,"A+",IF('Data Source'!V613&gt;=4,"A",IF('Data Source'!V613&gt;=3.5,"A-",IF('Data Source'!V613&gt;=3,"B",IF('Data Source'!V613&gt;=2,"C",IF('Data Source'!V613&gt;=1,"D","F")))))),"")</f>
        <v/>
      </c>
      <c r="E613" s="3">
        <f>IF(AND('Data Source'!B613&lt;&gt;"",'Data Source'!S613="A+"),IF('Data Source'!W613&gt;=5,"A+",IF('Data Source'!W613&gt;=4,"A",IF('Data Source'!W613&gt;=3.5,"A-",IF('Data Source'!W613&gt;=3,"B",IF('Data Source'!W613&gt;=2,"C",IF('Data Source'!W613&gt;=1,"D","F")))))),"")</f>
        <v/>
      </c>
      <c r="F613" s="3">
        <f>IF(AND('Data Source'!B613&lt;&gt;"",'Data Source'!S613="A+"),IF('Data Source'!X613&gt;=5,"A+",IF('Data Source'!X613&gt;=4,"A",IF('Data Source'!X613&gt;=3.5,"A-",IF('Data Source'!X613&gt;=3,"B",IF('Data Source'!X613&gt;=2,"C",IF('Data Source'!X613&gt;=1,"D","F")))))),"")</f>
        <v/>
      </c>
      <c r="G613" s="3">
        <f>IF(AND('Data Source'!B613&lt;&gt;"",'Data Source'!S613="A+"),IF('Data Source'!Y613&gt;=5,"A+",IF('Data Source'!Y613&gt;=4,"A",IF('Data Source'!Y613&gt;=3.5,"A-",IF('Data Source'!Y613&gt;=3,"B",IF('Data Source'!Y613&gt;=2,"C",IF('Data Source'!Y613&gt;=1,"D","F")))))),"")</f>
        <v/>
      </c>
      <c r="H613" s="3">
        <f>IF(AND('Data Source'!B613&lt;&gt;"",'Data Source'!S613="A+"),IF('Data Source'!Z613&gt;=5,"A+",IF('Data Source'!Z613&gt;=4,"A",IF('Data Source'!Z613&gt;=3.5,"A-",IF('Data Source'!Z613&gt;=3,"B",IF('Data Source'!Z613&gt;=2,"C",IF('Data Source'!Z613&gt;=1,"D","F")))))),"")</f>
        <v/>
      </c>
      <c r="I613" s="3">
        <f>IF(AND('Data Source'!B613&lt;&gt;"",'Data Source'!S613="A+"),IF('Data Source'!AA613&gt;=5,"A+",IF('Data Source'!AA613&gt;=4,"A",IF('Data Source'!AA613&gt;=3.5,"A-",IF('Data Source'!AA613&gt;=3,"B",IF('Data Source'!AA613&gt;=2,"C",IF('Data Source'!AA613&gt;=1,"D","F")))))),"")</f>
        <v/>
      </c>
      <c r="J613" s="3">
        <f>IF(AND('Data Source'!B613&lt;&gt;"",'Data Source'!S613="A+"),IF('Data Source'!AB613&gt;=5,"A+",IF('Data Source'!AB613&gt;=4,"A",IF('Data Source'!AB613&gt;=3.5,"A-",IF('Data Source'!AB613&gt;=3,"B",IF('Data Source'!AB613&gt;=2,"C",IF('Data Source'!AB613&gt;=1,"D","F")))))),"")</f>
        <v/>
      </c>
      <c r="K613" s="3">
        <f>IF(AND('Data Source'!B613&lt;&gt;"",'Data Source'!S613="A+"),IF('Data Source'!AC613&gt;=5,"A+",IF('Data Source'!AC613&gt;=4,"A",IF('Data Source'!AC613&gt;=3.5,"A-",IF('Data Source'!AC613&gt;=3,"B",IF('Data Source'!AC613&gt;=2,"C",IF('Data Source'!AC613&gt;=1,"D","F")))))),"")</f>
        <v/>
      </c>
      <c r="L613" s="3">
        <f>IF(AND('Data Source'!B613&lt;&gt;"",'Data Source'!S613="A+"),IF('Data Source'!AD613&gt;=5,"A+",IF('Data Source'!AD613&gt;=4,"A",IF('Data Source'!AD613&gt;=3.5,"A-",IF('Data Source'!AD613&gt;=3,"B",IF('Data Source'!AD613&gt;=2,"C",IF('Data Source'!AD613&gt;=1,"D","F")))))),"")</f>
        <v/>
      </c>
      <c r="M613" s="3">
        <f>IF(AND('Data Source'!B613&lt;&gt;"",'Data Source'!S613="A+"),IF('Data Source'!AE613&gt;=5,"A+",IF('Data Source'!AE613&gt;=4,"A",IF('Data Source'!AE613&gt;=3.5,"A-",IF('Data Source'!AE613&gt;=3,"B",IF('Data Source'!AE613&gt;=2,"C",IF('Data Source'!AE613&gt;=1,"D","F")))))),"")</f>
        <v/>
      </c>
      <c r="N613" s="3">
        <f>IF(AND('Data Source'!B613&lt;&gt;"",'Data Source'!S613="A+"),IF('Data Source'!AF613&gt;=5,"A+",IF('Data Source'!AF613&gt;=4,"A",IF('Data Source'!AF613&gt;=3.5,"A-",IF('Data Source'!AF613&gt;=3,"B",IF('Data Source'!AF613&gt;=2,"C",IF('Data Source'!AF613&gt;=1,"D","F")))))),"")</f>
        <v/>
      </c>
      <c r="O613" s="3">
        <f>IF(AND('Data Source'!B613&lt;&gt;"",'Data Source'!S613="A+"),IF('Data Source'!AG613&gt;=5,"A+",IF('Data Source'!AG613&gt;=4,"A",IF('Data Source'!AG613&gt;=3.5,"A-",IF('Data Source'!AG613&gt;=3,"B",IF('Data Source'!AG613&gt;=2,"C",IF('Data Source'!AG613&gt;=1,"D","F")))))),"")</f>
        <v/>
      </c>
      <c r="P613" s="5">
        <f>IF(AND('Data Source'!B613&lt;&gt;"",'Data Source'!S613="A+"),'Data Source'!R613,"")</f>
        <v/>
      </c>
      <c r="Q613" s="3">
        <f>IF(AND('Data Source'!B613&lt;&gt;"",'Data Source'!S613="A+"),'Data Source'!S613,"")</f>
        <v/>
      </c>
    </row>
    <row r="614">
      <c r="A614" s="3">
        <f>IF(AND('Data Source'!B614&lt;&gt;"",'Data Source'!S614="A+"),COUNTIF('Data Source'!$S$3:S614,"A+"),"")</f>
        <v/>
      </c>
      <c r="B614">
        <f>IF(AND('Data Source'!B614&lt;&gt;"",'Data Source'!S614="A+"),'Data Source'!B614,"")</f>
        <v/>
      </c>
      <c r="C614" s="3">
        <f>IF(AND('Data Source'!B614&lt;&gt;"",'Data Source'!S614="A+"),IF('Data Source'!U614&gt;=5,"A+",IF('Data Source'!U614&gt;=4,"A",IF('Data Source'!U614&gt;=3.5,"A-",IF('Data Source'!U614&gt;=3,"B",IF('Data Source'!U614&gt;=2,"C",IF('Data Source'!U614&gt;=1,"D","F")))))),"")</f>
        <v/>
      </c>
      <c r="D614" s="3">
        <f>IF(AND('Data Source'!B614&lt;&gt;"",'Data Source'!S614="A+"),IF('Data Source'!V614&gt;=5,"A+",IF('Data Source'!V614&gt;=4,"A",IF('Data Source'!V614&gt;=3.5,"A-",IF('Data Source'!V614&gt;=3,"B",IF('Data Source'!V614&gt;=2,"C",IF('Data Source'!V614&gt;=1,"D","F")))))),"")</f>
        <v/>
      </c>
      <c r="E614" s="3">
        <f>IF(AND('Data Source'!B614&lt;&gt;"",'Data Source'!S614="A+"),IF('Data Source'!W614&gt;=5,"A+",IF('Data Source'!W614&gt;=4,"A",IF('Data Source'!W614&gt;=3.5,"A-",IF('Data Source'!W614&gt;=3,"B",IF('Data Source'!W614&gt;=2,"C",IF('Data Source'!W614&gt;=1,"D","F")))))),"")</f>
        <v/>
      </c>
      <c r="F614" s="3">
        <f>IF(AND('Data Source'!B614&lt;&gt;"",'Data Source'!S614="A+"),IF('Data Source'!X614&gt;=5,"A+",IF('Data Source'!X614&gt;=4,"A",IF('Data Source'!X614&gt;=3.5,"A-",IF('Data Source'!X614&gt;=3,"B",IF('Data Source'!X614&gt;=2,"C",IF('Data Source'!X614&gt;=1,"D","F")))))),"")</f>
        <v/>
      </c>
      <c r="G614" s="3">
        <f>IF(AND('Data Source'!B614&lt;&gt;"",'Data Source'!S614="A+"),IF('Data Source'!Y614&gt;=5,"A+",IF('Data Source'!Y614&gt;=4,"A",IF('Data Source'!Y614&gt;=3.5,"A-",IF('Data Source'!Y614&gt;=3,"B",IF('Data Source'!Y614&gt;=2,"C",IF('Data Source'!Y614&gt;=1,"D","F")))))),"")</f>
        <v/>
      </c>
      <c r="H614" s="3">
        <f>IF(AND('Data Source'!B614&lt;&gt;"",'Data Source'!S614="A+"),IF('Data Source'!Z614&gt;=5,"A+",IF('Data Source'!Z614&gt;=4,"A",IF('Data Source'!Z614&gt;=3.5,"A-",IF('Data Source'!Z614&gt;=3,"B",IF('Data Source'!Z614&gt;=2,"C",IF('Data Source'!Z614&gt;=1,"D","F")))))),"")</f>
        <v/>
      </c>
      <c r="I614" s="3">
        <f>IF(AND('Data Source'!B614&lt;&gt;"",'Data Source'!S614="A+"),IF('Data Source'!AA614&gt;=5,"A+",IF('Data Source'!AA614&gt;=4,"A",IF('Data Source'!AA614&gt;=3.5,"A-",IF('Data Source'!AA614&gt;=3,"B",IF('Data Source'!AA614&gt;=2,"C",IF('Data Source'!AA614&gt;=1,"D","F")))))),"")</f>
        <v/>
      </c>
      <c r="J614" s="3">
        <f>IF(AND('Data Source'!B614&lt;&gt;"",'Data Source'!S614="A+"),IF('Data Source'!AB614&gt;=5,"A+",IF('Data Source'!AB614&gt;=4,"A",IF('Data Source'!AB614&gt;=3.5,"A-",IF('Data Source'!AB614&gt;=3,"B",IF('Data Source'!AB614&gt;=2,"C",IF('Data Source'!AB614&gt;=1,"D","F")))))),"")</f>
        <v/>
      </c>
      <c r="K614" s="3">
        <f>IF(AND('Data Source'!B614&lt;&gt;"",'Data Source'!S614="A+"),IF('Data Source'!AC614&gt;=5,"A+",IF('Data Source'!AC614&gt;=4,"A",IF('Data Source'!AC614&gt;=3.5,"A-",IF('Data Source'!AC614&gt;=3,"B",IF('Data Source'!AC614&gt;=2,"C",IF('Data Source'!AC614&gt;=1,"D","F")))))),"")</f>
        <v/>
      </c>
      <c r="L614" s="3">
        <f>IF(AND('Data Source'!B614&lt;&gt;"",'Data Source'!S614="A+"),IF('Data Source'!AD614&gt;=5,"A+",IF('Data Source'!AD614&gt;=4,"A",IF('Data Source'!AD614&gt;=3.5,"A-",IF('Data Source'!AD614&gt;=3,"B",IF('Data Source'!AD614&gt;=2,"C",IF('Data Source'!AD614&gt;=1,"D","F")))))),"")</f>
        <v/>
      </c>
      <c r="M614" s="3">
        <f>IF(AND('Data Source'!B614&lt;&gt;"",'Data Source'!S614="A+"),IF('Data Source'!AE614&gt;=5,"A+",IF('Data Source'!AE614&gt;=4,"A",IF('Data Source'!AE614&gt;=3.5,"A-",IF('Data Source'!AE614&gt;=3,"B",IF('Data Source'!AE614&gt;=2,"C",IF('Data Source'!AE614&gt;=1,"D","F")))))),"")</f>
        <v/>
      </c>
      <c r="N614" s="3">
        <f>IF(AND('Data Source'!B614&lt;&gt;"",'Data Source'!S614="A+"),IF('Data Source'!AF614&gt;=5,"A+",IF('Data Source'!AF614&gt;=4,"A",IF('Data Source'!AF614&gt;=3.5,"A-",IF('Data Source'!AF614&gt;=3,"B",IF('Data Source'!AF614&gt;=2,"C",IF('Data Source'!AF614&gt;=1,"D","F")))))),"")</f>
        <v/>
      </c>
      <c r="O614" s="3">
        <f>IF(AND('Data Source'!B614&lt;&gt;"",'Data Source'!S614="A+"),IF('Data Source'!AG614&gt;=5,"A+",IF('Data Source'!AG614&gt;=4,"A",IF('Data Source'!AG614&gt;=3.5,"A-",IF('Data Source'!AG614&gt;=3,"B",IF('Data Source'!AG614&gt;=2,"C",IF('Data Source'!AG614&gt;=1,"D","F")))))),"")</f>
        <v/>
      </c>
      <c r="P614" s="5">
        <f>IF(AND('Data Source'!B614&lt;&gt;"",'Data Source'!S614="A+"),'Data Source'!R614,"")</f>
        <v/>
      </c>
      <c r="Q614" s="3">
        <f>IF(AND('Data Source'!B614&lt;&gt;"",'Data Source'!S614="A+"),'Data Source'!S614,"")</f>
        <v/>
      </c>
    </row>
    <row r="615">
      <c r="A615" s="3">
        <f>IF(AND('Data Source'!B615&lt;&gt;"",'Data Source'!S615="A+"),COUNTIF('Data Source'!$S$3:S615,"A+"),"")</f>
        <v/>
      </c>
      <c r="B615">
        <f>IF(AND('Data Source'!B615&lt;&gt;"",'Data Source'!S615="A+"),'Data Source'!B615,"")</f>
        <v/>
      </c>
      <c r="C615" s="3">
        <f>IF(AND('Data Source'!B615&lt;&gt;"",'Data Source'!S615="A+"),IF('Data Source'!U615&gt;=5,"A+",IF('Data Source'!U615&gt;=4,"A",IF('Data Source'!U615&gt;=3.5,"A-",IF('Data Source'!U615&gt;=3,"B",IF('Data Source'!U615&gt;=2,"C",IF('Data Source'!U615&gt;=1,"D","F")))))),"")</f>
        <v/>
      </c>
      <c r="D615" s="3">
        <f>IF(AND('Data Source'!B615&lt;&gt;"",'Data Source'!S615="A+"),IF('Data Source'!V615&gt;=5,"A+",IF('Data Source'!V615&gt;=4,"A",IF('Data Source'!V615&gt;=3.5,"A-",IF('Data Source'!V615&gt;=3,"B",IF('Data Source'!V615&gt;=2,"C",IF('Data Source'!V615&gt;=1,"D","F")))))),"")</f>
        <v/>
      </c>
      <c r="E615" s="3">
        <f>IF(AND('Data Source'!B615&lt;&gt;"",'Data Source'!S615="A+"),IF('Data Source'!W615&gt;=5,"A+",IF('Data Source'!W615&gt;=4,"A",IF('Data Source'!W615&gt;=3.5,"A-",IF('Data Source'!W615&gt;=3,"B",IF('Data Source'!W615&gt;=2,"C",IF('Data Source'!W615&gt;=1,"D","F")))))),"")</f>
        <v/>
      </c>
      <c r="F615" s="3">
        <f>IF(AND('Data Source'!B615&lt;&gt;"",'Data Source'!S615="A+"),IF('Data Source'!X615&gt;=5,"A+",IF('Data Source'!X615&gt;=4,"A",IF('Data Source'!X615&gt;=3.5,"A-",IF('Data Source'!X615&gt;=3,"B",IF('Data Source'!X615&gt;=2,"C",IF('Data Source'!X615&gt;=1,"D","F")))))),"")</f>
        <v/>
      </c>
      <c r="G615" s="3">
        <f>IF(AND('Data Source'!B615&lt;&gt;"",'Data Source'!S615="A+"),IF('Data Source'!Y615&gt;=5,"A+",IF('Data Source'!Y615&gt;=4,"A",IF('Data Source'!Y615&gt;=3.5,"A-",IF('Data Source'!Y615&gt;=3,"B",IF('Data Source'!Y615&gt;=2,"C",IF('Data Source'!Y615&gt;=1,"D","F")))))),"")</f>
        <v/>
      </c>
      <c r="H615" s="3">
        <f>IF(AND('Data Source'!B615&lt;&gt;"",'Data Source'!S615="A+"),IF('Data Source'!Z615&gt;=5,"A+",IF('Data Source'!Z615&gt;=4,"A",IF('Data Source'!Z615&gt;=3.5,"A-",IF('Data Source'!Z615&gt;=3,"B",IF('Data Source'!Z615&gt;=2,"C",IF('Data Source'!Z615&gt;=1,"D","F")))))),"")</f>
        <v/>
      </c>
      <c r="I615" s="3">
        <f>IF(AND('Data Source'!B615&lt;&gt;"",'Data Source'!S615="A+"),IF('Data Source'!AA615&gt;=5,"A+",IF('Data Source'!AA615&gt;=4,"A",IF('Data Source'!AA615&gt;=3.5,"A-",IF('Data Source'!AA615&gt;=3,"B",IF('Data Source'!AA615&gt;=2,"C",IF('Data Source'!AA615&gt;=1,"D","F")))))),"")</f>
        <v/>
      </c>
      <c r="J615" s="3">
        <f>IF(AND('Data Source'!B615&lt;&gt;"",'Data Source'!S615="A+"),IF('Data Source'!AB615&gt;=5,"A+",IF('Data Source'!AB615&gt;=4,"A",IF('Data Source'!AB615&gt;=3.5,"A-",IF('Data Source'!AB615&gt;=3,"B",IF('Data Source'!AB615&gt;=2,"C",IF('Data Source'!AB615&gt;=1,"D","F")))))),"")</f>
        <v/>
      </c>
      <c r="K615" s="3">
        <f>IF(AND('Data Source'!B615&lt;&gt;"",'Data Source'!S615="A+"),IF('Data Source'!AC615&gt;=5,"A+",IF('Data Source'!AC615&gt;=4,"A",IF('Data Source'!AC615&gt;=3.5,"A-",IF('Data Source'!AC615&gt;=3,"B",IF('Data Source'!AC615&gt;=2,"C",IF('Data Source'!AC615&gt;=1,"D","F")))))),"")</f>
        <v/>
      </c>
      <c r="L615" s="3">
        <f>IF(AND('Data Source'!B615&lt;&gt;"",'Data Source'!S615="A+"),IF('Data Source'!AD615&gt;=5,"A+",IF('Data Source'!AD615&gt;=4,"A",IF('Data Source'!AD615&gt;=3.5,"A-",IF('Data Source'!AD615&gt;=3,"B",IF('Data Source'!AD615&gt;=2,"C",IF('Data Source'!AD615&gt;=1,"D","F")))))),"")</f>
        <v/>
      </c>
      <c r="M615" s="3">
        <f>IF(AND('Data Source'!B615&lt;&gt;"",'Data Source'!S615="A+"),IF('Data Source'!AE615&gt;=5,"A+",IF('Data Source'!AE615&gt;=4,"A",IF('Data Source'!AE615&gt;=3.5,"A-",IF('Data Source'!AE615&gt;=3,"B",IF('Data Source'!AE615&gt;=2,"C",IF('Data Source'!AE615&gt;=1,"D","F")))))),"")</f>
        <v/>
      </c>
      <c r="N615" s="3">
        <f>IF(AND('Data Source'!B615&lt;&gt;"",'Data Source'!S615="A+"),IF('Data Source'!AF615&gt;=5,"A+",IF('Data Source'!AF615&gt;=4,"A",IF('Data Source'!AF615&gt;=3.5,"A-",IF('Data Source'!AF615&gt;=3,"B",IF('Data Source'!AF615&gt;=2,"C",IF('Data Source'!AF615&gt;=1,"D","F")))))),"")</f>
        <v/>
      </c>
      <c r="O615" s="3">
        <f>IF(AND('Data Source'!B615&lt;&gt;"",'Data Source'!S615="A+"),IF('Data Source'!AG615&gt;=5,"A+",IF('Data Source'!AG615&gt;=4,"A",IF('Data Source'!AG615&gt;=3.5,"A-",IF('Data Source'!AG615&gt;=3,"B",IF('Data Source'!AG615&gt;=2,"C",IF('Data Source'!AG615&gt;=1,"D","F")))))),"")</f>
        <v/>
      </c>
      <c r="P615" s="5">
        <f>IF(AND('Data Source'!B615&lt;&gt;"",'Data Source'!S615="A+"),'Data Source'!R615,"")</f>
        <v/>
      </c>
      <c r="Q615" s="3">
        <f>IF(AND('Data Source'!B615&lt;&gt;"",'Data Source'!S615="A+"),'Data Source'!S615,"")</f>
        <v/>
      </c>
    </row>
    <row r="616">
      <c r="A616" s="3">
        <f>IF(AND('Data Source'!B616&lt;&gt;"",'Data Source'!S616="A+"),COUNTIF('Data Source'!$S$3:S616,"A+"),"")</f>
        <v/>
      </c>
      <c r="B616">
        <f>IF(AND('Data Source'!B616&lt;&gt;"",'Data Source'!S616="A+"),'Data Source'!B616,"")</f>
        <v/>
      </c>
      <c r="C616" s="3">
        <f>IF(AND('Data Source'!B616&lt;&gt;"",'Data Source'!S616="A+"),IF('Data Source'!U616&gt;=5,"A+",IF('Data Source'!U616&gt;=4,"A",IF('Data Source'!U616&gt;=3.5,"A-",IF('Data Source'!U616&gt;=3,"B",IF('Data Source'!U616&gt;=2,"C",IF('Data Source'!U616&gt;=1,"D","F")))))),"")</f>
        <v/>
      </c>
      <c r="D616" s="3">
        <f>IF(AND('Data Source'!B616&lt;&gt;"",'Data Source'!S616="A+"),IF('Data Source'!V616&gt;=5,"A+",IF('Data Source'!V616&gt;=4,"A",IF('Data Source'!V616&gt;=3.5,"A-",IF('Data Source'!V616&gt;=3,"B",IF('Data Source'!V616&gt;=2,"C",IF('Data Source'!V616&gt;=1,"D","F")))))),"")</f>
        <v/>
      </c>
      <c r="E616" s="3">
        <f>IF(AND('Data Source'!B616&lt;&gt;"",'Data Source'!S616="A+"),IF('Data Source'!W616&gt;=5,"A+",IF('Data Source'!W616&gt;=4,"A",IF('Data Source'!W616&gt;=3.5,"A-",IF('Data Source'!W616&gt;=3,"B",IF('Data Source'!W616&gt;=2,"C",IF('Data Source'!W616&gt;=1,"D","F")))))),"")</f>
        <v/>
      </c>
      <c r="F616" s="3">
        <f>IF(AND('Data Source'!B616&lt;&gt;"",'Data Source'!S616="A+"),IF('Data Source'!X616&gt;=5,"A+",IF('Data Source'!X616&gt;=4,"A",IF('Data Source'!X616&gt;=3.5,"A-",IF('Data Source'!X616&gt;=3,"B",IF('Data Source'!X616&gt;=2,"C",IF('Data Source'!X616&gt;=1,"D","F")))))),"")</f>
        <v/>
      </c>
      <c r="G616" s="3">
        <f>IF(AND('Data Source'!B616&lt;&gt;"",'Data Source'!S616="A+"),IF('Data Source'!Y616&gt;=5,"A+",IF('Data Source'!Y616&gt;=4,"A",IF('Data Source'!Y616&gt;=3.5,"A-",IF('Data Source'!Y616&gt;=3,"B",IF('Data Source'!Y616&gt;=2,"C",IF('Data Source'!Y616&gt;=1,"D","F")))))),"")</f>
        <v/>
      </c>
      <c r="H616" s="3">
        <f>IF(AND('Data Source'!B616&lt;&gt;"",'Data Source'!S616="A+"),IF('Data Source'!Z616&gt;=5,"A+",IF('Data Source'!Z616&gt;=4,"A",IF('Data Source'!Z616&gt;=3.5,"A-",IF('Data Source'!Z616&gt;=3,"B",IF('Data Source'!Z616&gt;=2,"C",IF('Data Source'!Z616&gt;=1,"D","F")))))),"")</f>
        <v/>
      </c>
      <c r="I616" s="3">
        <f>IF(AND('Data Source'!B616&lt;&gt;"",'Data Source'!S616="A+"),IF('Data Source'!AA616&gt;=5,"A+",IF('Data Source'!AA616&gt;=4,"A",IF('Data Source'!AA616&gt;=3.5,"A-",IF('Data Source'!AA616&gt;=3,"B",IF('Data Source'!AA616&gt;=2,"C",IF('Data Source'!AA616&gt;=1,"D","F")))))),"")</f>
        <v/>
      </c>
      <c r="J616" s="3">
        <f>IF(AND('Data Source'!B616&lt;&gt;"",'Data Source'!S616="A+"),IF('Data Source'!AB616&gt;=5,"A+",IF('Data Source'!AB616&gt;=4,"A",IF('Data Source'!AB616&gt;=3.5,"A-",IF('Data Source'!AB616&gt;=3,"B",IF('Data Source'!AB616&gt;=2,"C",IF('Data Source'!AB616&gt;=1,"D","F")))))),"")</f>
        <v/>
      </c>
      <c r="K616" s="3">
        <f>IF(AND('Data Source'!B616&lt;&gt;"",'Data Source'!S616="A+"),IF('Data Source'!AC616&gt;=5,"A+",IF('Data Source'!AC616&gt;=4,"A",IF('Data Source'!AC616&gt;=3.5,"A-",IF('Data Source'!AC616&gt;=3,"B",IF('Data Source'!AC616&gt;=2,"C",IF('Data Source'!AC616&gt;=1,"D","F")))))),"")</f>
        <v/>
      </c>
      <c r="L616" s="3">
        <f>IF(AND('Data Source'!B616&lt;&gt;"",'Data Source'!S616="A+"),IF('Data Source'!AD616&gt;=5,"A+",IF('Data Source'!AD616&gt;=4,"A",IF('Data Source'!AD616&gt;=3.5,"A-",IF('Data Source'!AD616&gt;=3,"B",IF('Data Source'!AD616&gt;=2,"C",IF('Data Source'!AD616&gt;=1,"D","F")))))),"")</f>
        <v/>
      </c>
      <c r="M616" s="3">
        <f>IF(AND('Data Source'!B616&lt;&gt;"",'Data Source'!S616="A+"),IF('Data Source'!AE616&gt;=5,"A+",IF('Data Source'!AE616&gt;=4,"A",IF('Data Source'!AE616&gt;=3.5,"A-",IF('Data Source'!AE616&gt;=3,"B",IF('Data Source'!AE616&gt;=2,"C",IF('Data Source'!AE616&gt;=1,"D","F")))))),"")</f>
        <v/>
      </c>
      <c r="N616" s="3">
        <f>IF(AND('Data Source'!B616&lt;&gt;"",'Data Source'!S616="A+"),IF('Data Source'!AF616&gt;=5,"A+",IF('Data Source'!AF616&gt;=4,"A",IF('Data Source'!AF616&gt;=3.5,"A-",IF('Data Source'!AF616&gt;=3,"B",IF('Data Source'!AF616&gt;=2,"C",IF('Data Source'!AF616&gt;=1,"D","F")))))),"")</f>
        <v/>
      </c>
      <c r="O616" s="3">
        <f>IF(AND('Data Source'!B616&lt;&gt;"",'Data Source'!S616="A+"),IF('Data Source'!AG616&gt;=5,"A+",IF('Data Source'!AG616&gt;=4,"A",IF('Data Source'!AG616&gt;=3.5,"A-",IF('Data Source'!AG616&gt;=3,"B",IF('Data Source'!AG616&gt;=2,"C",IF('Data Source'!AG616&gt;=1,"D","F")))))),"")</f>
        <v/>
      </c>
      <c r="P616" s="5">
        <f>IF(AND('Data Source'!B616&lt;&gt;"",'Data Source'!S616="A+"),'Data Source'!R616,"")</f>
        <v/>
      </c>
      <c r="Q616" s="3">
        <f>IF(AND('Data Source'!B616&lt;&gt;"",'Data Source'!S616="A+"),'Data Source'!S616,"")</f>
        <v/>
      </c>
    </row>
    <row r="617">
      <c r="A617" s="3">
        <f>IF(AND('Data Source'!B617&lt;&gt;"",'Data Source'!S617="A+"),COUNTIF('Data Source'!$S$3:S617,"A+"),"")</f>
        <v/>
      </c>
      <c r="B617">
        <f>IF(AND('Data Source'!B617&lt;&gt;"",'Data Source'!S617="A+"),'Data Source'!B617,"")</f>
        <v/>
      </c>
      <c r="C617" s="3">
        <f>IF(AND('Data Source'!B617&lt;&gt;"",'Data Source'!S617="A+"),IF('Data Source'!U617&gt;=5,"A+",IF('Data Source'!U617&gt;=4,"A",IF('Data Source'!U617&gt;=3.5,"A-",IF('Data Source'!U617&gt;=3,"B",IF('Data Source'!U617&gt;=2,"C",IF('Data Source'!U617&gt;=1,"D","F")))))),"")</f>
        <v/>
      </c>
      <c r="D617" s="3">
        <f>IF(AND('Data Source'!B617&lt;&gt;"",'Data Source'!S617="A+"),IF('Data Source'!V617&gt;=5,"A+",IF('Data Source'!V617&gt;=4,"A",IF('Data Source'!V617&gt;=3.5,"A-",IF('Data Source'!V617&gt;=3,"B",IF('Data Source'!V617&gt;=2,"C",IF('Data Source'!V617&gt;=1,"D","F")))))),"")</f>
        <v/>
      </c>
      <c r="E617" s="3">
        <f>IF(AND('Data Source'!B617&lt;&gt;"",'Data Source'!S617="A+"),IF('Data Source'!W617&gt;=5,"A+",IF('Data Source'!W617&gt;=4,"A",IF('Data Source'!W617&gt;=3.5,"A-",IF('Data Source'!W617&gt;=3,"B",IF('Data Source'!W617&gt;=2,"C",IF('Data Source'!W617&gt;=1,"D","F")))))),"")</f>
        <v/>
      </c>
      <c r="F617" s="3">
        <f>IF(AND('Data Source'!B617&lt;&gt;"",'Data Source'!S617="A+"),IF('Data Source'!X617&gt;=5,"A+",IF('Data Source'!X617&gt;=4,"A",IF('Data Source'!X617&gt;=3.5,"A-",IF('Data Source'!X617&gt;=3,"B",IF('Data Source'!X617&gt;=2,"C",IF('Data Source'!X617&gt;=1,"D","F")))))),"")</f>
        <v/>
      </c>
      <c r="G617" s="3">
        <f>IF(AND('Data Source'!B617&lt;&gt;"",'Data Source'!S617="A+"),IF('Data Source'!Y617&gt;=5,"A+",IF('Data Source'!Y617&gt;=4,"A",IF('Data Source'!Y617&gt;=3.5,"A-",IF('Data Source'!Y617&gt;=3,"B",IF('Data Source'!Y617&gt;=2,"C",IF('Data Source'!Y617&gt;=1,"D","F")))))),"")</f>
        <v/>
      </c>
      <c r="H617" s="3">
        <f>IF(AND('Data Source'!B617&lt;&gt;"",'Data Source'!S617="A+"),IF('Data Source'!Z617&gt;=5,"A+",IF('Data Source'!Z617&gt;=4,"A",IF('Data Source'!Z617&gt;=3.5,"A-",IF('Data Source'!Z617&gt;=3,"B",IF('Data Source'!Z617&gt;=2,"C",IF('Data Source'!Z617&gt;=1,"D","F")))))),"")</f>
        <v/>
      </c>
      <c r="I617" s="3">
        <f>IF(AND('Data Source'!B617&lt;&gt;"",'Data Source'!S617="A+"),IF('Data Source'!AA617&gt;=5,"A+",IF('Data Source'!AA617&gt;=4,"A",IF('Data Source'!AA617&gt;=3.5,"A-",IF('Data Source'!AA617&gt;=3,"B",IF('Data Source'!AA617&gt;=2,"C",IF('Data Source'!AA617&gt;=1,"D","F")))))),"")</f>
        <v/>
      </c>
      <c r="J617" s="3">
        <f>IF(AND('Data Source'!B617&lt;&gt;"",'Data Source'!S617="A+"),IF('Data Source'!AB617&gt;=5,"A+",IF('Data Source'!AB617&gt;=4,"A",IF('Data Source'!AB617&gt;=3.5,"A-",IF('Data Source'!AB617&gt;=3,"B",IF('Data Source'!AB617&gt;=2,"C",IF('Data Source'!AB617&gt;=1,"D","F")))))),"")</f>
        <v/>
      </c>
      <c r="K617" s="3">
        <f>IF(AND('Data Source'!B617&lt;&gt;"",'Data Source'!S617="A+"),IF('Data Source'!AC617&gt;=5,"A+",IF('Data Source'!AC617&gt;=4,"A",IF('Data Source'!AC617&gt;=3.5,"A-",IF('Data Source'!AC617&gt;=3,"B",IF('Data Source'!AC617&gt;=2,"C",IF('Data Source'!AC617&gt;=1,"D","F")))))),"")</f>
        <v/>
      </c>
      <c r="L617" s="3">
        <f>IF(AND('Data Source'!B617&lt;&gt;"",'Data Source'!S617="A+"),IF('Data Source'!AD617&gt;=5,"A+",IF('Data Source'!AD617&gt;=4,"A",IF('Data Source'!AD617&gt;=3.5,"A-",IF('Data Source'!AD617&gt;=3,"B",IF('Data Source'!AD617&gt;=2,"C",IF('Data Source'!AD617&gt;=1,"D","F")))))),"")</f>
        <v/>
      </c>
      <c r="M617" s="3">
        <f>IF(AND('Data Source'!B617&lt;&gt;"",'Data Source'!S617="A+"),IF('Data Source'!AE617&gt;=5,"A+",IF('Data Source'!AE617&gt;=4,"A",IF('Data Source'!AE617&gt;=3.5,"A-",IF('Data Source'!AE617&gt;=3,"B",IF('Data Source'!AE617&gt;=2,"C",IF('Data Source'!AE617&gt;=1,"D","F")))))),"")</f>
        <v/>
      </c>
      <c r="N617" s="3">
        <f>IF(AND('Data Source'!B617&lt;&gt;"",'Data Source'!S617="A+"),IF('Data Source'!AF617&gt;=5,"A+",IF('Data Source'!AF617&gt;=4,"A",IF('Data Source'!AF617&gt;=3.5,"A-",IF('Data Source'!AF617&gt;=3,"B",IF('Data Source'!AF617&gt;=2,"C",IF('Data Source'!AF617&gt;=1,"D","F")))))),"")</f>
        <v/>
      </c>
      <c r="O617" s="3">
        <f>IF(AND('Data Source'!B617&lt;&gt;"",'Data Source'!S617="A+"),IF('Data Source'!AG617&gt;=5,"A+",IF('Data Source'!AG617&gt;=4,"A",IF('Data Source'!AG617&gt;=3.5,"A-",IF('Data Source'!AG617&gt;=3,"B",IF('Data Source'!AG617&gt;=2,"C",IF('Data Source'!AG617&gt;=1,"D","F")))))),"")</f>
        <v/>
      </c>
      <c r="P617" s="5">
        <f>IF(AND('Data Source'!B617&lt;&gt;"",'Data Source'!S617="A+"),'Data Source'!R617,"")</f>
        <v/>
      </c>
      <c r="Q617" s="3">
        <f>IF(AND('Data Source'!B617&lt;&gt;"",'Data Source'!S617="A+"),'Data Source'!S617,"")</f>
        <v/>
      </c>
    </row>
    <row r="618">
      <c r="A618" s="3">
        <f>IF(AND('Data Source'!B618&lt;&gt;"",'Data Source'!S618="A+"),COUNTIF('Data Source'!$S$3:S618,"A+"),"")</f>
        <v/>
      </c>
      <c r="B618">
        <f>IF(AND('Data Source'!B618&lt;&gt;"",'Data Source'!S618="A+"),'Data Source'!B618,"")</f>
        <v/>
      </c>
      <c r="C618" s="3">
        <f>IF(AND('Data Source'!B618&lt;&gt;"",'Data Source'!S618="A+"),IF('Data Source'!U618&gt;=5,"A+",IF('Data Source'!U618&gt;=4,"A",IF('Data Source'!U618&gt;=3.5,"A-",IF('Data Source'!U618&gt;=3,"B",IF('Data Source'!U618&gt;=2,"C",IF('Data Source'!U618&gt;=1,"D","F")))))),"")</f>
        <v/>
      </c>
      <c r="D618" s="3">
        <f>IF(AND('Data Source'!B618&lt;&gt;"",'Data Source'!S618="A+"),IF('Data Source'!V618&gt;=5,"A+",IF('Data Source'!V618&gt;=4,"A",IF('Data Source'!V618&gt;=3.5,"A-",IF('Data Source'!V618&gt;=3,"B",IF('Data Source'!V618&gt;=2,"C",IF('Data Source'!V618&gt;=1,"D","F")))))),"")</f>
        <v/>
      </c>
      <c r="E618" s="3">
        <f>IF(AND('Data Source'!B618&lt;&gt;"",'Data Source'!S618="A+"),IF('Data Source'!W618&gt;=5,"A+",IF('Data Source'!W618&gt;=4,"A",IF('Data Source'!W618&gt;=3.5,"A-",IF('Data Source'!W618&gt;=3,"B",IF('Data Source'!W618&gt;=2,"C",IF('Data Source'!W618&gt;=1,"D","F")))))),"")</f>
        <v/>
      </c>
      <c r="F618" s="3">
        <f>IF(AND('Data Source'!B618&lt;&gt;"",'Data Source'!S618="A+"),IF('Data Source'!X618&gt;=5,"A+",IF('Data Source'!X618&gt;=4,"A",IF('Data Source'!X618&gt;=3.5,"A-",IF('Data Source'!X618&gt;=3,"B",IF('Data Source'!X618&gt;=2,"C",IF('Data Source'!X618&gt;=1,"D","F")))))),"")</f>
        <v/>
      </c>
      <c r="G618" s="3">
        <f>IF(AND('Data Source'!B618&lt;&gt;"",'Data Source'!S618="A+"),IF('Data Source'!Y618&gt;=5,"A+",IF('Data Source'!Y618&gt;=4,"A",IF('Data Source'!Y618&gt;=3.5,"A-",IF('Data Source'!Y618&gt;=3,"B",IF('Data Source'!Y618&gt;=2,"C",IF('Data Source'!Y618&gt;=1,"D","F")))))),"")</f>
        <v/>
      </c>
      <c r="H618" s="3">
        <f>IF(AND('Data Source'!B618&lt;&gt;"",'Data Source'!S618="A+"),IF('Data Source'!Z618&gt;=5,"A+",IF('Data Source'!Z618&gt;=4,"A",IF('Data Source'!Z618&gt;=3.5,"A-",IF('Data Source'!Z618&gt;=3,"B",IF('Data Source'!Z618&gt;=2,"C",IF('Data Source'!Z618&gt;=1,"D","F")))))),"")</f>
        <v/>
      </c>
      <c r="I618" s="3">
        <f>IF(AND('Data Source'!B618&lt;&gt;"",'Data Source'!S618="A+"),IF('Data Source'!AA618&gt;=5,"A+",IF('Data Source'!AA618&gt;=4,"A",IF('Data Source'!AA618&gt;=3.5,"A-",IF('Data Source'!AA618&gt;=3,"B",IF('Data Source'!AA618&gt;=2,"C",IF('Data Source'!AA618&gt;=1,"D","F")))))),"")</f>
        <v/>
      </c>
      <c r="J618" s="3">
        <f>IF(AND('Data Source'!B618&lt;&gt;"",'Data Source'!S618="A+"),IF('Data Source'!AB618&gt;=5,"A+",IF('Data Source'!AB618&gt;=4,"A",IF('Data Source'!AB618&gt;=3.5,"A-",IF('Data Source'!AB618&gt;=3,"B",IF('Data Source'!AB618&gt;=2,"C",IF('Data Source'!AB618&gt;=1,"D","F")))))),"")</f>
        <v/>
      </c>
      <c r="K618" s="3">
        <f>IF(AND('Data Source'!B618&lt;&gt;"",'Data Source'!S618="A+"),IF('Data Source'!AC618&gt;=5,"A+",IF('Data Source'!AC618&gt;=4,"A",IF('Data Source'!AC618&gt;=3.5,"A-",IF('Data Source'!AC618&gt;=3,"B",IF('Data Source'!AC618&gt;=2,"C",IF('Data Source'!AC618&gt;=1,"D","F")))))),"")</f>
        <v/>
      </c>
      <c r="L618" s="3">
        <f>IF(AND('Data Source'!B618&lt;&gt;"",'Data Source'!S618="A+"),IF('Data Source'!AD618&gt;=5,"A+",IF('Data Source'!AD618&gt;=4,"A",IF('Data Source'!AD618&gt;=3.5,"A-",IF('Data Source'!AD618&gt;=3,"B",IF('Data Source'!AD618&gt;=2,"C",IF('Data Source'!AD618&gt;=1,"D","F")))))),"")</f>
        <v/>
      </c>
      <c r="M618" s="3">
        <f>IF(AND('Data Source'!B618&lt;&gt;"",'Data Source'!S618="A+"),IF('Data Source'!AE618&gt;=5,"A+",IF('Data Source'!AE618&gt;=4,"A",IF('Data Source'!AE618&gt;=3.5,"A-",IF('Data Source'!AE618&gt;=3,"B",IF('Data Source'!AE618&gt;=2,"C",IF('Data Source'!AE618&gt;=1,"D","F")))))),"")</f>
        <v/>
      </c>
      <c r="N618" s="3">
        <f>IF(AND('Data Source'!B618&lt;&gt;"",'Data Source'!S618="A+"),IF('Data Source'!AF618&gt;=5,"A+",IF('Data Source'!AF618&gt;=4,"A",IF('Data Source'!AF618&gt;=3.5,"A-",IF('Data Source'!AF618&gt;=3,"B",IF('Data Source'!AF618&gt;=2,"C",IF('Data Source'!AF618&gt;=1,"D","F")))))),"")</f>
        <v/>
      </c>
      <c r="O618" s="3">
        <f>IF(AND('Data Source'!B618&lt;&gt;"",'Data Source'!S618="A+"),IF('Data Source'!AG618&gt;=5,"A+",IF('Data Source'!AG618&gt;=4,"A",IF('Data Source'!AG618&gt;=3.5,"A-",IF('Data Source'!AG618&gt;=3,"B",IF('Data Source'!AG618&gt;=2,"C",IF('Data Source'!AG618&gt;=1,"D","F")))))),"")</f>
        <v/>
      </c>
      <c r="P618" s="5">
        <f>IF(AND('Data Source'!B618&lt;&gt;"",'Data Source'!S618="A+"),'Data Source'!R618,"")</f>
        <v/>
      </c>
      <c r="Q618" s="3">
        <f>IF(AND('Data Source'!B618&lt;&gt;"",'Data Source'!S618="A+"),'Data Source'!S618,"")</f>
        <v/>
      </c>
    </row>
    <row r="619">
      <c r="A619" s="3">
        <f>IF(AND('Data Source'!B619&lt;&gt;"",'Data Source'!S619="A+"),COUNTIF('Data Source'!$S$3:S619,"A+"),"")</f>
        <v/>
      </c>
      <c r="B619">
        <f>IF(AND('Data Source'!B619&lt;&gt;"",'Data Source'!S619="A+"),'Data Source'!B619,"")</f>
        <v/>
      </c>
      <c r="C619" s="3">
        <f>IF(AND('Data Source'!B619&lt;&gt;"",'Data Source'!S619="A+"),IF('Data Source'!U619&gt;=5,"A+",IF('Data Source'!U619&gt;=4,"A",IF('Data Source'!U619&gt;=3.5,"A-",IF('Data Source'!U619&gt;=3,"B",IF('Data Source'!U619&gt;=2,"C",IF('Data Source'!U619&gt;=1,"D","F")))))),"")</f>
        <v/>
      </c>
      <c r="D619" s="3">
        <f>IF(AND('Data Source'!B619&lt;&gt;"",'Data Source'!S619="A+"),IF('Data Source'!V619&gt;=5,"A+",IF('Data Source'!V619&gt;=4,"A",IF('Data Source'!V619&gt;=3.5,"A-",IF('Data Source'!V619&gt;=3,"B",IF('Data Source'!V619&gt;=2,"C",IF('Data Source'!V619&gt;=1,"D","F")))))),"")</f>
        <v/>
      </c>
      <c r="E619" s="3">
        <f>IF(AND('Data Source'!B619&lt;&gt;"",'Data Source'!S619="A+"),IF('Data Source'!W619&gt;=5,"A+",IF('Data Source'!W619&gt;=4,"A",IF('Data Source'!W619&gt;=3.5,"A-",IF('Data Source'!W619&gt;=3,"B",IF('Data Source'!W619&gt;=2,"C",IF('Data Source'!W619&gt;=1,"D","F")))))),"")</f>
        <v/>
      </c>
      <c r="F619" s="3">
        <f>IF(AND('Data Source'!B619&lt;&gt;"",'Data Source'!S619="A+"),IF('Data Source'!X619&gt;=5,"A+",IF('Data Source'!X619&gt;=4,"A",IF('Data Source'!X619&gt;=3.5,"A-",IF('Data Source'!X619&gt;=3,"B",IF('Data Source'!X619&gt;=2,"C",IF('Data Source'!X619&gt;=1,"D","F")))))),"")</f>
        <v/>
      </c>
      <c r="G619" s="3">
        <f>IF(AND('Data Source'!B619&lt;&gt;"",'Data Source'!S619="A+"),IF('Data Source'!Y619&gt;=5,"A+",IF('Data Source'!Y619&gt;=4,"A",IF('Data Source'!Y619&gt;=3.5,"A-",IF('Data Source'!Y619&gt;=3,"B",IF('Data Source'!Y619&gt;=2,"C",IF('Data Source'!Y619&gt;=1,"D","F")))))),"")</f>
        <v/>
      </c>
      <c r="H619" s="3">
        <f>IF(AND('Data Source'!B619&lt;&gt;"",'Data Source'!S619="A+"),IF('Data Source'!Z619&gt;=5,"A+",IF('Data Source'!Z619&gt;=4,"A",IF('Data Source'!Z619&gt;=3.5,"A-",IF('Data Source'!Z619&gt;=3,"B",IF('Data Source'!Z619&gt;=2,"C",IF('Data Source'!Z619&gt;=1,"D","F")))))),"")</f>
        <v/>
      </c>
      <c r="I619" s="3">
        <f>IF(AND('Data Source'!B619&lt;&gt;"",'Data Source'!S619="A+"),IF('Data Source'!AA619&gt;=5,"A+",IF('Data Source'!AA619&gt;=4,"A",IF('Data Source'!AA619&gt;=3.5,"A-",IF('Data Source'!AA619&gt;=3,"B",IF('Data Source'!AA619&gt;=2,"C",IF('Data Source'!AA619&gt;=1,"D","F")))))),"")</f>
        <v/>
      </c>
      <c r="J619" s="3">
        <f>IF(AND('Data Source'!B619&lt;&gt;"",'Data Source'!S619="A+"),IF('Data Source'!AB619&gt;=5,"A+",IF('Data Source'!AB619&gt;=4,"A",IF('Data Source'!AB619&gt;=3.5,"A-",IF('Data Source'!AB619&gt;=3,"B",IF('Data Source'!AB619&gt;=2,"C",IF('Data Source'!AB619&gt;=1,"D","F")))))),"")</f>
        <v/>
      </c>
      <c r="K619" s="3">
        <f>IF(AND('Data Source'!B619&lt;&gt;"",'Data Source'!S619="A+"),IF('Data Source'!AC619&gt;=5,"A+",IF('Data Source'!AC619&gt;=4,"A",IF('Data Source'!AC619&gt;=3.5,"A-",IF('Data Source'!AC619&gt;=3,"B",IF('Data Source'!AC619&gt;=2,"C",IF('Data Source'!AC619&gt;=1,"D","F")))))),"")</f>
        <v/>
      </c>
      <c r="L619" s="3">
        <f>IF(AND('Data Source'!B619&lt;&gt;"",'Data Source'!S619="A+"),IF('Data Source'!AD619&gt;=5,"A+",IF('Data Source'!AD619&gt;=4,"A",IF('Data Source'!AD619&gt;=3.5,"A-",IF('Data Source'!AD619&gt;=3,"B",IF('Data Source'!AD619&gt;=2,"C",IF('Data Source'!AD619&gt;=1,"D","F")))))),"")</f>
        <v/>
      </c>
      <c r="M619" s="3">
        <f>IF(AND('Data Source'!B619&lt;&gt;"",'Data Source'!S619="A+"),IF('Data Source'!AE619&gt;=5,"A+",IF('Data Source'!AE619&gt;=4,"A",IF('Data Source'!AE619&gt;=3.5,"A-",IF('Data Source'!AE619&gt;=3,"B",IF('Data Source'!AE619&gt;=2,"C",IF('Data Source'!AE619&gt;=1,"D","F")))))),"")</f>
        <v/>
      </c>
      <c r="N619" s="3">
        <f>IF(AND('Data Source'!B619&lt;&gt;"",'Data Source'!S619="A+"),IF('Data Source'!AF619&gt;=5,"A+",IF('Data Source'!AF619&gt;=4,"A",IF('Data Source'!AF619&gt;=3.5,"A-",IF('Data Source'!AF619&gt;=3,"B",IF('Data Source'!AF619&gt;=2,"C",IF('Data Source'!AF619&gt;=1,"D","F")))))),"")</f>
        <v/>
      </c>
      <c r="O619" s="3">
        <f>IF(AND('Data Source'!B619&lt;&gt;"",'Data Source'!S619="A+"),IF('Data Source'!AG619&gt;=5,"A+",IF('Data Source'!AG619&gt;=4,"A",IF('Data Source'!AG619&gt;=3.5,"A-",IF('Data Source'!AG619&gt;=3,"B",IF('Data Source'!AG619&gt;=2,"C",IF('Data Source'!AG619&gt;=1,"D","F")))))),"")</f>
        <v/>
      </c>
      <c r="P619" s="5">
        <f>IF(AND('Data Source'!B619&lt;&gt;"",'Data Source'!S619="A+"),'Data Source'!R619,"")</f>
        <v/>
      </c>
      <c r="Q619" s="3">
        <f>IF(AND('Data Source'!B619&lt;&gt;"",'Data Source'!S619="A+"),'Data Source'!S619,"")</f>
        <v/>
      </c>
    </row>
    <row r="620">
      <c r="A620" s="3">
        <f>IF(AND('Data Source'!B620&lt;&gt;"",'Data Source'!S620="A+"),COUNTIF('Data Source'!$S$3:S620,"A+"),"")</f>
        <v/>
      </c>
      <c r="B620">
        <f>IF(AND('Data Source'!B620&lt;&gt;"",'Data Source'!S620="A+"),'Data Source'!B620,"")</f>
        <v/>
      </c>
      <c r="C620" s="3">
        <f>IF(AND('Data Source'!B620&lt;&gt;"",'Data Source'!S620="A+"),IF('Data Source'!U620&gt;=5,"A+",IF('Data Source'!U620&gt;=4,"A",IF('Data Source'!U620&gt;=3.5,"A-",IF('Data Source'!U620&gt;=3,"B",IF('Data Source'!U620&gt;=2,"C",IF('Data Source'!U620&gt;=1,"D","F")))))),"")</f>
        <v/>
      </c>
      <c r="D620" s="3">
        <f>IF(AND('Data Source'!B620&lt;&gt;"",'Data Source'!S620="A+"),IF('Data Source'!V620&gt;=5,"A+",IF('Data Source'!V620&gt;=4,"A",IF('Data Source'!V620&gt;=3.5,"A-",IF('Data Source'!V620&gt;=3,"B",IF('Data Source'!V620&gt;=2,"C",IF('Data Source'!V620&gt;=1,"D","F")))))),"")</f>
        <v/>
      </c>
      <c r="E620" s="3">
        <f>IF(AND('Data Source'!B620&lt;&gt;"",'Data Source'!S620="A+"),IF('Data Source'!W620&gt;=5,"A+",IF('Data Source'!W620&gt;=4,"A",IF('Data Source'!W620&gt;=3.5,"A-",IF('Data Source'!W620&gt;=3,"B",IF('Data Source'!W620&gt;=2,"C",IF('Data Source'!W620&gt;=1,"D","F")))))),"")</f>
        <v/>
      </c>
      <c r="F620" s="3">
        <f>IF(AND('Data Source'!B620&lt;&gt;"",'Data Source'!S620="A+"),IF('Data Source'!X620&gt;=5,"A+",IF('Data Source'!X620&gt;=4,"A",IF('Data Source'!X620&gt;=3.5,"A-",IF('Data Source'!X620&gt;=3,"B",IF('Data Source'!X620&gt;=2,"C",IF('Data Source'!X620&gt;=1,"D","F")))))),"")</f>
        <v/>
      </c>
      <c r="G620" s="3">
        <f>IF(AND('Data Source'!B620&lt;&gt;"",'Data Source'!S620="A+"),IF('Data Source'!Y620&gt;=5,"A+",IF('Data Source'!Y620&gt;=4,"A",IF('Data Source'!Y620&gt;=3.5,"A-",IF('Data Source'!Y620&gt;=3,"B",IF('Data Source'!Y620&gt;=2,"C",IF('Data Source'!Y620&gt;=1,"D","F")))))),"")</f>
        <v/>
      </c>
      <c r="H620" s="3">
        <f>IF(AND('Data Source'!B620&lt;&gt;"",'Data Source'!S620="A+"),IF('Data Source'!Z620&gt;=5,"A+",IF('Data Source'!Z620&gt;=4,"A",IF('Data Source'!Z620&gt;=3.5,"A-",IF('Data Source'!Z620&gt;=3,"B",IF('Data Source'!Z620&gt;=2,"C",IF('Data Source'!Z620&gt;=1,"D","F")))))),"")</f>
        <v/>
      </c>
      <c r="I620" s="3">
        <f>IF(AND('Data Source'!B620&lt;&gt;"",'Data Source'!S620="A+"),IF('Data Source'!AA620&gt;=5,"A+",IF('Data Source'!AA620&gt;=4,"A",IF('Data Source'!AA620&gt;=3.5,"A-",IF('Data Source'!AA620&gt;=3,"B",IF('Data Source'!AA620&gt;=2,"C",IF('Data Source'!AA620&gt;=1,"D","F")))))),"")</f>
        <v/>
      </c>
      <c r="J620" s="3">
        <f>IF(AND('Data Source'!B620&lt;&gt;"",'Data Source'!S620="A+"),IF('Data Source'!AB620&gt;=5,"A+",IF('Data Source'!AB620&gt;=4,"A",IF('Data Source'!AB620&gt;=3.5,"A-",IF('Data Source'!AB620&gt;=3,"B",IF('Data Source'!AB620&gt;=2,"C",IF('Data Source'!AB620&gt;=1,"D","F")))))),"")</f>
        <v/>
      </c>
      <c r="K620" s="3">
        <f>IF(AND('Data Source'!B620&lt;&gt;"",'Data Source'!S620="A+"),IF('Data Source'!AC620&gt;=5,"A+",IF('Data Source'!AC620&gt;=4,"A",IF('Data Source'!AC620&gt;=3.5,"A-",IF('Data Source'!AC620&gt;=3,"B",IF('Data Source'!AC620&gt;=2,"C",IF('Data Source'!AC620&gt;=1,"D","F")))))),"")</f>
        <v/>
      </c>
      <c r="L620" s="3">
        <f>IF(AND('Data Source'!B620&lt;&gt;"",'Data Source'!S620="A+"),IF('Data Source'!AD620&gt;=5,"A+",IF('Data Source'!AD620&gt;=4,"A",IF('Data Source'!AD620&gt;=3.5,"A-",IF('Data Source'!AD620&gt;=3,"B",IF('Data Source'!AD620&gt;=2,"C",IF('Data Source'!AD620&gt;=1,"D","F")))))),"")</f>
        <v/>
      </c>
      <c r="M620" s="3">
        <f>IF(AND('Data Source'!B620&lt;&gt;"",'Data Source'!S620="A+"),IF('Data Source'!AE620&gt;=5,"A+",IF('Data Source'!AE620&gt;=4,"A",IF('Data Source'!AE620&gt;=3.5,"A-",IF('Data Source'!AE620&gt;=3,"B",IF('Data Source'!AE620&gt;=2,"C",IF('Data Source'!AE620&gt;=1,"D","F")))))),"")</f>
        <v/>
      </c>
      <c r="N620" s="3">
        <f>IF(AND('Data Source'!B620&lt;&gt;"",'Data Source'!S620="A+"),IF('Data Source'!AF620&gt;=5,"A+",IF('Data Source'!AF620&gt;=4,"A",IF('Data Source'!AF620&gt;=3.5,"A-",IF('Data Source'!AF620&gt;=3,"B",IF('Data Source'!AF620&gt;=2,"C",IF('Data Source'!AF620&gt;=1,"D","F")))))),"")</f>
        <v/>
      </c>
      <c r="O620" s="3">
        <f>IF(AND('Data Source'!B620&lt;&gt;"",'Data Source'!S620="A+"),IF('Data Source'!AG620&gt;=5,"A+",IF('Data Source'!AG620&gt;=4,"A",IF('Data Source'!AG620&gt;=3.5,"A-",IF('Data Source'!AG620&gt;=3,"B",IF('Data Source'!AG620&gt;=2,"C",IF('Data Source'!AG620&gt;=1,"D","F")))))),"")</f>
        <v/>
      </c>
      <c r="P620" s="5">
        <f>IF(AND('Data Source'!B620&lt;&gt;"",'Data Source'!S620="A+"),'Data Source'!R620,"")</f>
        <v/>
      </c>
      <c r="Q620" s="3">
        <f>IF(AND('Data Source'!B620&lt;&gt;"",'Data Source'!S620="A+"),'Data Source'!S620,"")</f>
        <v/>
      </c>
    </row>
    <row r="621">
      <c r="A621" s="3">
        <f>IF(AND('Data Source'!B621&lt;&gt;"",'Data Source'!S621="A+"),COUNTIF('Data Source'!$S$3:S621,"A+"),"")</f>
        <v/>
      </c>
      <c r="B621">
        <f>IF(AND('Data Source'!B621&lt;&gt;"",'Data Source'!S621="A+"),'Data Source'!B621,"")</f>
        <v/>
      </c>
      <c r="C621" s="3">
        <f>IF(AND('Data Source'!B621&lt;&gt;"",'Data Source'!S621="A+"),IF('Data Source'!U621&gt;=5,"A+",IF('Data Source'!U621&gt;=4,"A",IF('Data Source'!U621&gt;=3.5,"A-",IF('Data Source'!U621&gt;=3,"B",IF('Data Source'!U621&gt;=2,"C",IF('Data Source'!U621&gt;=1,"D","F")))))),"")</f>
        <v/>
      </c>
      <c r="D621" s="3">
        <f>IF(AND('Data Source'!B621&lt;&gt;"",'Data Source'!S621="A+"),IF('Data Source'!V621&gt;=5,"A+",IF('Data Source'!V621&gt;=4,"A",IF('Data Source'!V621&gt;=3.5,"A-",IF('Data Source'!V621&gt;=3,"B",IF('Data Source'!V621&gt;=2,"C",IF('Data Source'!V621&gt;=1,"D","F")))))),"")</f>
        <v/>
      </c>
      <c r="E621" s="3">
        <f>IF(AND('Data Source'!B621&lt;&gt;"",'Data Source'!S621="A+"),IF('Data Source'!W621&gt;=5,"A+",IF('Data Source'!W621&gt;=4,"A",IF('Data Source'!W621&gt;=3.5,"A-",IF('Data Source'!W621&gt;=3,"B",IF('Data Source'!W621&gt;=2,"C",IF('Data Source'!W621&gt;=1,"D","F")))))),"")</f>
        <v/>
      </c>
      <c r="F621" s="3">
        <f>IF(AND('Data Source'!B621&lt;&gt;"",'Data Source'!S621="A+"),IF('Data Source'!X621&gt;=5,"A+",IF('Data Source'!X621&gt;=4,"A",IF('Data Source'!X621&gt;=3.5,"A-",IF('Data Source'!X621&gt;=3,"B",IF('Data Source'!X621&gt;=2,"C",IF('Data Source'!X621&gt;=1,"D","F")))))),"")</f>
        <v/>
      </c>
      <c r="G621" s="3">
        <f>IF(AND('Data Source'!B621&lt;&gt;"",'Data Source'!S621="A+"),IF('Data Source'!Y621&gt;=5,"A+",IF('Data Source'!Y621&gt;=4,"A",IF('Data Source'!Y621&gt;=3.5,"A-",IF('Data Source'!Y621&gt;=3,"B",IF('Data Source'!Y621&gt;=2,"C",IF('Data Source'!Y621&gt;=1,"D","F")))))),"")</f>
        <v/>
      </c>
      <c r="H621" s="3">
        <f>IF(AND('Data Source'!B621&lt;&gt;"",'Data Source'!S621="A+"),IF('Data Source'!Z621&gt;=5,"A+",IF('Data Source'!Z621&gt;=4,"A",IF('Data Source'!Z621&gt;=3.5,"A-",IF('Data Source'!Z621&gt;=3,"B",IF('Data Source'!Z621&gt;=2,"C",IF('Data Source'!Z621&gt;=1,"D","F")))))),"")</f>
        <v/>
      </c>
      <c r="I621" s="3">
        <f>IF(AND('Data Source'!B621&lt;&gt;"",'Data Source'!S621="A+"),IF('Data Source'!AA621&gt;=5,"A+",IF('Data Source'!AA621&gt;=4,"A",IF('Data Source'!AA621&gt;=3.5,"A-",IF('Data Source'!AA621&gt;=3,"B",IF('Data Source'!AA621&gt;=2,"C",IF('Data Source'!AA621&gt;=1,"D","F")))))),"")</f>
        <v/>
      </c>
      <c r="J621" s="3">
        <f>IF(AND('Data Source'!B621&lt;&gt;"",'Data Source'!S621="A+"),IF('Data Source'!AB621&gt;=5,"A+",IF('Data Source'!AB621&gt;=4,"A",IF('Data Source'!AB621&gt;=3.5,"A-",IF('Data Source'!AB621&gt;=3,"B",IF('Data Source'!AB621&gt;=2,"C",IF('Data Source'!AB621&gt;=1,"D","F")))))),"")</f>
        <v/>
      </c>
      <c r="K621" s="3">
        <f>IF(AND('Data Source'!B621&lt;&gt;"",'Data Source'!S621="A+"),IF('Data Source'!AC621&gt;=5,"A+",IF('Data Source'!AC621&gt;=4,"A",IF('Data Source'!AC621&gt;=3.5,"A-",IF('Data Source'!AC621&gt;=3,"B",IF('Data Source'!AC621&gt;=2,"C",IF('Data Source'!AC621&gt;=1,"D","F")))))),"")</f>
        <v/>
      </c>
      <c r="L621" s="3">
        <f>IF(AND('Data Source'!B621&lt;&gt;"",'Data Source'!S621="A+"),IF('Data Source'!AD621&gt;=5,"A+",IF('Data Source'!AD621&gt;=4,"A",IF('Data Source'!AD621&gt;=3.5,"A-",IF('Data Source'!AD621&gt;=3,"B",IF('Data Source'!AD621&gt;=2,"C",IF('Data Source'!AD621&gt;=1,"D","F")))))),"")</f>
        <v/>
      </c>
      <c r="M621" s="3">
        <f>IF(AND('Data Source'!B621&lt;&gt;"",'Data Source'!S621="A+"),IF('Data Source'!AE621&gt;=5,"A+",IF('Data Source'!AE621&gt;=4,"A",IF('Data Source'!AE621&gt;=3.5,"A-",IF('Data Source'!AE621&gt;=3,"B",IF('Data Source'!AE621&gt;=2,"C",IF('Data Source'!AE621&gt;=1,"D","F")))))),"")</f>
        <v/>
      </c>
      <c r="N621" s="3">
        <f>IF(AND('Data Source'!B621&lt;&gt;"",'Data Source'!S621="A+"),IF('Data Source'!AF621&gt;=5,"A+",IF('Data Source'!AF621&gt;=4,"A",IF('Data Source'!AF621&gt;=3.5,"A-",IF('Data Source'!AF621&gt;=3,"B",IF('Data Source'!AF621&gt;=2,"C",IF('Data Source'!AF621&gt;=1,"D","F")))))),"")</f>
        <v/>
      </c>
      <c r="O621" s="3">
        <f>IF(AND('Data Source'!B621&lt;&gt;"",'Data Source'!S621="A+"),IF('Data Source'!AG621&gt;=5,"A+",IF('Data Source'!AG621&gt;=4,"A",IF('Data Source'!AG621&gt;=3.5,"A-",IF('Data Source'!AG621&gt;=3,"B",IF('Data Source'!AG621&gt;=2,"C",IF('Data Source'!AG621&gt;=1,"D","F")))))),"")</f>
        <v/>
      </c>
      <c r="P621" s="5">
        <f>IF(AND('Data Source'!B621&lt;&gt;"",'Data Source'!S621="A+"),'Data Source'!R621,"")</f>
        <v/>
      </c>
      <c r="Q621" s="3">
        <f>IF(AND('Data Source'!B621&lt;&gt;"",'Data Source'!S621="A+"),'Data Source'!S621,"")</f>
        <v/>
      </c>
    </row>
    <row r="622">
      <c r="A622" s="3">
        <f>IF(AND('Data Source'!B622&lt;&gt;"",'Data Source'!S622="A+"),COUNTIF('Data Source'!$S$3:S622,"A+"),"")</f>
        <v/>
      </c>
      <c r="B622">
        <f>IF(AND('Data Source'!B622&lt;&gt;"",'Data Source'!S622="A+"),'Data Source'!B622,"")</f>
        <v/>
      </c>
      <c r="C622" s="3">
        <f>IF(AND('Data Source'!B622&lt;&gt;"",'Data Source'!S622="A+"),IF('Data Source'!U622&gt;=5,"A+",IF('Data Source'!U622&gt;=4,"A",IF('Data Source'!U622&gt;=3.5,"A-",IF('Data Source'!U622&gt;=3,"B",IF('Data Source'!U622&gt;=2,"C",IF('Data Source'!U622&gt;=1,"D","F")))))),"")</f>
        <v/>
      </c>
      <c r="D622" s="3">
        <f>IF(AND('Data Source'!B622&lt;&gt;"",'Data Source'!S622="A+"),IF('Data Source'!V622&gt;=5,"A+",IF('Data Source'!V622&gt;=4,"A",IF('Data Source'!V622&gt;=3.5,"A-",IF('Data Source'!V622&gt;=3,"B",IF('Data Source'!V622&gt;=2,"C",IF('Data Source'!V622&gt;=1,"D","F")))))),"")</f>
        <v/>
      </c>
      <c r="E622" s="3">
        <f>IF(AND('Data Source'!B622&lt;&gt;"",'Data Source'!S622="A+"),IF('Data Source'!W622&gt;=5,"A+",IF('Data Source'!W622&gt;=4,"A",IF('Data Source'!W622&gt;=3.5,"A-",IF('Data Source'!W622&gt;=3,"B",IF('Data Source'!W622&gt;=2,"C",IF('Data Source'!W622&gt;=1,"D","F")))))),"")</f>
        <v/>
      </c>
      <c r="F622" s="3">
        <f>IF(AND('Data Source'!B622&lt;&gt;"",'Data Source'!S622="A+"),IF('Data Source'!X622&gt;=5,"A+",IF('Data Source'!X622&gt;=4,"A",IF('Data Source'!X622&gt;=3.5,"A-",IF('Data Source'!X622&gt;=3,"B",IF('Data Source'!X622&gt;=2,"C",IF('Data Source'!X622&gt;=1,"D","F")))))),"")</f>
        <v/>
      </c>
      <c r="G622" s="3">
        <f>IF(AND('Data Source'!B622&lt;&gt;"",'Data Source'!S622="A+"),IF('Data Source'!Y622&gt;=5,"A+",IF('Data Source'!Y622&gt;=4,"A",IF('Data Source'!Y622&gt;=3.5,"A-",IF('Data Source'!Y622&gt;=3,"B",IF('Data Source'!Y622&gt;=2,"C",IF('Data Source'!Y622&gt;=1,"D","F")))))),"")</f>
        <v/>
      </c>
      <c r="H622" s="3">
        <f>IF(AND('Data Source'!B622&lt;&gt;"",'Data Source'!S622="A+"),IF('Data Source'!Z622&gt;=5,"A+",IF('Data Source'!Z622&gt;=4,"A",IF('Data Source'!Z622&gt;=3.5,"A-",IF('Data Source'!Z622&gt;=3,"B",IF('Data Source'!Z622&gt;=2,"C",IF('Data Source'!Z622&gt;=1,"D","F")))))),"")</f>
        <v/>
      </c>
      <c r="I622" s="3">
        <f>IF(AND('Data Source'!B622&lt;&gt;"",'Data Source'!S622="A+"),IF('Data Source'!AA622&gt;=5,"A+",IF('Data Source'!AA622&gt;=4,"A",IF('Data Source'!AA622&gt;=3.5,"A-",IF('Data Source'!AA622&gt;=3,"B",IF('Data Source'!AA622&gt;=2,"C",IF('Data Source'!AA622&gt;=1,"D","F")))))),"")</f>
        <v/>
      </c>
      <c r="J622" s="3">
        <f>IF(AND('Data Source'!B622&lt;&gt;"",'Data Source'!S622="A+"),IF('Data Source'!AB622&gt;=5,"A+",IF('Data Source'!AB622&gt;=4,"A",IF('Data Source'!AB622&gt;=3.5,"A-",IF('Data Source'!AB622&gt;=3,"B",IF('Data Source'!AB622&gt;=2,"C",IF('Data Source'!AB622&gt;=1,"D","F")))))),"")</f>
        <v/>
      </c>
      <c r="K622" s="3">
        <f>IF(AND('Data Source'!B622&lt;&gt;"",'Data Source'!S622="A+"),IF('Data Source'!AC622&gt;=5,"A+",IF('Data Source'!AC622&gt;=4,"A",IF('Data Source'!AC622&gt;=3.5,"A-",IF('Data Source'!AC622&gt;=3,"B",IF('Data Source'!AC622&gt;=2,"C",IF('Data Source'!AC622&gt;=1,"D","F")))))),"")</f>
        <v/>
      </c>
      <c r="L622" s="3">
        <f>IF(AND('Data Source'!B622&lt;&gt;"",'Data Source'!S622="A+"),IF('Data Source'!AD622&gt;=5,"A+",IF('Data Source'!AD622&gt;=4,"A",IF('Data Source'!AD622&gt;=3.5,"A-",IF('Data Source'!AD622&gt;=3,"B",IF('Data Source'!AD622&gt;=2,"C",IF('Data Source'!AD622&gt;=1,"D","F")))))),"")</f>
        <v/>
      </c>
      <c r="M622" s="3">
        <f>IF(AND('Data Source'!B622&lt;&gt;"",'Data Source'!S622="A+"),IF('Data Source'!AE622&gt;=5,"A+",IF('Data Source'!AE622&gt;=4,"A",IF('Data Source'!AE622&gt;=3.5,"A-",IF('Data Source'!AE622&gt;=3,"B",IF('Data Source'!AE622&gt;=2,"C",IF('Data Source'!AE622&gt;=1,"D","F")))))),"")</f>
        <v/>
      </c>
      <c r="N622" s="3">
        <f>IF(AND('Data Source'!B622&lt;&gt;"",'Data Source'!S622="A+"),IF('Data Source'!AF622&gt;=5,"A+",IF('Data Source'!AF622&gt;=4,"A",IF('Data Source'!AF622&gt;=3.5,"A-",IF('Data Source'!AF622&gt;=3,"B",IF('Data Source'!AF622&gt;=2,"C",IF('Data Source'!AF622&gt;=1,"D","F")))))),"")</f>
        <v/>
      </c>
      <c r="O622" s="3">
        <f>IF(AND('Data Source'!B622&lt;&gt;"",'Data Source'!S622="A+"),IF('Data Source'!AG622&gt;=5,"A+",IF('Data Source'!AG622&gt;=4,"A",IF('Data Source'!AG622&gt;=3.5,"A-",IF('Data Source'!AG622&gt;=3,"B",IF('Data Source'!AG622&gt;=2,"C",IF('Data Source'!AG622&gt;=1,"D","F")))))),"")</f>
        <v/>
      </c>
      <c r="P622" s="5">
        <f>IF(AND('Data Source'!B622&lt;&gt;"",'Data Source'!S622="A+"),'Data Source'!R622,"")</f>
        <v/>
      </c>
      <c r="Q622" s="3">
        <f>IF(AND('Data Source'!B622&lt;&gt;"",'Data Source'!S622="A+"),'Data Source'!S622,"")</f>
        <v/>
      </c>
    </row>
    <row r="623">
      <c r="A623" s="3">
        <f>IF(AND('Data Source'!B623&lt;&gt;"",'Data Source'!S623="A+"),COUNTIF('Data Source'!$S$3:S623,"A+"),"")</f>
        <v/>
      </c>
      <c r="B623">
        <f>IF(AND('Data Source'!B623&lt;&gt;"",'Data Source'!S623="A+"),'Data Source'!B623,"")</f>
        <v/>
      </c>
      <c r="C623" s="3">
        <f>IF(AND('Data Source'!B623&lt;&gt;"",'Data Source'!S623="A+"),IF('Data Source'!U623&gt;=5,"A+",IF('Data Source'!U623&gt;=4,"A",IF('Data Source'!U623&gt;=3.5,"A-",IF('Data Source'!U623&gt;=3,"B",IF('Data Source'!U623&gt;=2,"C",IF('Data Source'!U623&gt;=1,"D","F")))))),"")</f>
        <v/>
      </c>
      <c r="D623" s="3">
        <f>IF(AND('Data Source'!B623&lt;&gt;"",'Data Source'!S623="A+"),IF('Data Source'!V623&gt;=5,"A+",IF('Data Source'!V623&gt;=4,"A",IF('Data Source'!V623&gt;=3.5,"A-",IF('Data Source'!V623&gt;=3,"B",IF('Data Source'!V623&gt;=2,"C",IF('Data Source'!V623&gt;=1,"D","F")))))),"")</f>
        <v/>
      </c>
      <c r="E623" s="3">
        <f>IF(AND('Data Source'!B623&lt;&gt;"",'Data Source'!S623="A+"),IF('Data Source'!W623&gt;=5,"A+",IF('Data Source'!W623&gt;=4,"A",IF('Data Source'!W623&gt;=3.5,"A-",IF('Data Source'!W623&gt;=3,"B",IF('Data Source'!W623&gt;=2,"C",IF('Data Source'!W623&gt;=1,"D","F")))))),"")</f>
        <v/>
      </c>
      <c r="F623" s="3">
        <f>IF(AND('Data Source'!B623&lt;&gt;"",'Data Source'!S623="A+"),IF('Data Source'!X623&gt;=5,"A+",IF('Data Source'!X623&gt;=4,"A",IF('Data Source'!X623&gt;=3.5,"A-",IF('Data Source'!X623&gt;=3,"B",IF('Data Source'!X623&gt;=2,"C",IF('Data Source'!X623&gt;=1,"D","F")))))),"")</f>
        <v/>
      </c>
      <c r="G623" s="3">
        <f>IF(AND('Data Source'!B623&lt;&gt;"",'Data Source'!S623="A+"),IF('Data Source'!Y623&gt;=5,"A+",IF('Data Source'!Y623&gt;=4,"A",IF('Data Source'!Y623&gt;=3.5,"A-",IF('Data Source'!Y623&gt;=3,"B",IF('Data Source'!Y623&gt;=2,"C",IF('Data Source'!Y623&gt;=1,"D","F")))))),"")</f>
        <v/>
      </c>
      <c r="H623" s="3">
        <f>IF(AND('Data Source'!B623&lt;&gt;"",'Data Source'!S623="A+"),IF('Data Source'!Z623&gt;=5,"A+",IF('Data Source'!Z623&gt;=4,"A",IF('Data Source'!Z623&gt;=3.5,"A-",IF('Data Source'!Z623&gt;=3,"B",IF('Data Source'!Z623&gt;=2,"C",IF('Data Source'!Z623&gt;=1,"D","F")))))),"")</f>
        <v/>
      </c>
      <c r="I623" s="3">
        <f>IF(AND('Data Source'!B623&lt;&gt;"",'Data Source'!S623="A+"),IF('Data Source'!AA623&gt;=5,"A+",IF('Data Source'!AA623&gt;=4,"A",IF('Data Source'!AA623&gt;=3.5,"A-",IF('Data Source'!AA623&gt;=3,"B",IF('Data Source'!AA623&gt;=2,"C",IF('Data Source'!AA623&gt;=1,"D","F")))))),"")</f>
        <v/>
      </c>
      <c r="J623" s="3">
        <f>IF(AND('Data Source'!B623&lt;&gt;"",'Data Source'!S623="A+"),IF('Data Source'!AB623&gt;=5,"A+",IF('Data Source'!AB623&gt;=4,"A",IF('Data Source'!AB623&gt;=3.5,"A-",IF('Data Source'!AB623&gt;=3,"B",IF('Data Source'!AB623&gt;=2,"C",IF('Data Source'!AB623&gt;=1,"D","F")))))),"")</f>
        <v/>
      </c>
      <c r="K623" s="3">
        <f>IF(AND('Data Source'!B623&lt;&gt;"",'Data Source'!S623="A+"),IF('Data Source'!AC623&gt;=5,"A+",IF('Data Source'!AC623&gt;=4,"A",IF('Data Source'!AC623&gt;=3.5,"A-",IF('Data Source'!AC623&gt;=3,"B",IF('Data Source'!AC623&gt;=2,"C",IF('Data Source'!AC623&gt;=1,"D","F")))))),"")</f>
        <v/>
      </c>
      <c r="L623" s="3">
        <f>IF(AND('Data Source'!B623&lt;&gt;"",'Data Source'!S623="A+"),IF('Data Source'!AD623&gt;=5,"A+",IF('Data Source'!AD623&gt;=4,"A",IF('Data Source'!AD623&gt;=3.5,"A-",IF('Data Source'!AD623&gt;=3,"B",IF('Data Source'!AD623&gt;=2,"C",IF('Data Source'!AD623&gt;=1,"D","F")))))),"")</f>
        <v/>
      </c>
      <c r="M623" s="3">
        <f>IF(AND('Data Source'!B623&lt;&gt;"",'Data Source'!S623="A+"),IF('Data Source'!AE623&gt;=5,"A+",IF('Data Source'!AE623&gt;=4,"A",IF('Data Source'!AE623&gt;=3.5,"A-",IF('Data Source'!AE623&gt;=3,"B",IF('Data Source'!AE623&gt;=2,"C",IF('Data Source'!AE623&gt;=1,"D","F")))))),"")</f>
        <v/>
      </c>
      <c r="N623" s="3">
        <f>IF(AND('Data Source'!B623&lt;&gt;"",'Data Source'!S623="A+"),IF('Data Source'!AF623&gt;=5,"A+",IF('Data Source'!AF623&gt;=4,"A",IF('Data Source'!AF623&gt;=3.5,"A-",IF('Data Source'!AF623&gt;=3,"B",IF('Data Source'!AF623&gt;=2,"C",IF('Data Source'!AF623&gt;=1,"D","F")))))),"")</f>
        <v/>
      </c>
      <c r="O623" s="3">
        <f>IF(AND('Data Source'!B623&lt;&gt;"",'Data Source'!S623="A+"),IF('Data Source'!AG623&gt;=5,"A+",IF('Data Source'!AG623&gt;=4,"A",IF('Data Source'!AG623&gt;=3.5,"A-",IF('Data Source'!AG623&gt;=3,"B",IF('Data Source'!AG623&gt;=2,"C",IF('Data Source'!AG623&gt;=1,"D","F")))))),"")</f>
        <v/>
      </c>
      <c r="P623" s="5">
        <f>IF(AND('Data Source'!B623&lt;&gt;"",'Data Source'!S623="A+"),'Data Source'!R623,"")</f>
        <v/>
      </c>
      <c r="Q623" s="3">
        <f>IF(AND('Data Source'!B623&lt;&gt;"",'Data Source'!S623="A+"),'Data Source'!S623,"")</f>
        <v/>
      </c>
    </row>
    <row r="624">
      <c r="A624" s="3">
        <f>IF(AND('Data Source'!B624&lt;&gt;"",'Data Source'!S624="A+"),COUNTIF('Data Source'!$S$3:S624,"A+"),"")</f>
        <v/>
      </c>
      <c r="B624">
        <f>IF(AND('Data Source'!B624&lt;&gt;"",'Data Source'!S624="A+"),'Data Source'!B624,"")</f>
        <v/>
      </c>
      <c r="C624" s="3">
        <f>IF(AND('Data Source'!B624&lt;&gt;"",'Data Source'!S624="A+"),IF('Data Source'!U624&gt;=5,"A+",IF('Data Source'!U624&gt;=4,"A",IF('Data Source'!U624&gt;=3.5,"A-",IF('Data Source'!U624&gt;=3,"B",IF('Data Source'!U624&gt;=2,"C",IF('Data Source'!U624&gt;=1,"D","F")))))),"")</f>
        <v/>
      </c>
      <c r="D624" s="3">
        <f>IF(AND('Data Source'!B624&lt;&gt;"",'Data Source'!S624="A+"),IF('Data Source'!V624&gt;=5,"A+",IF('Data Source'!V624&gt;=4,"A",IF('Data Source'!V624&gt;=3.5,"A-",IF('Data Source'!V624&gt;=3,"B",IF('Data Source'!V624&gt;=2,"C",IF('Data Source'!V624&gt;=1,"D","F")))))),"")</f>
        <v/>
      </c>
      <c r="E624" s="3">
        <f>IF(AND('Data Source'!B624&lt;&gt;"",'Data Source'!S624="A+"),IF('Data Source'!W624&gt;=5,"A+",IF('Data Source'!W624&gt;=4,"A",IF('Data Source'!W624&gt;=3.5,"A-",IF('Data Source'!W624&gt;=3,"B",IF('Data Source'!W624&gt;=2,"C",IF('Data Source'!W624&gt;=1,"D","F")))))),"")</f>
        <v/>
      </c>
      <c r="F624" s="3">
        <f>IF(AND('Data Source'!B624&lt;&gt;"",'Data Source'!S624="A+"),IF('Data Source'!X624&gt;=5,"A+",IF('Data Source'!X624&gt;=4,"A",IF('Data Source'!X624&gt;=3.5,"A-",IF('Data Source'!X624&gt;=3,"B",IF('Data Source'!X624&gt;=2,"C",IF('Data Source'!X624&gt;=1,"D","F")))))),"")</f>
        <v/>
      </c>
      <c r="G624" s="3">
        <f>IF(AND('Data Source'!B624&lt;&gt;"",'Data Source'!S624="A+"),IF('Data Source'!Y624&gt;=5,"A+",IF('Data Source'!Y624&gt;=4,"A",IF('Data Source'!Y624&gt;=3.5,"A-",IF('Data Source'!Y624&gt;=3,"B",IF('Data Source'!Y624&gt;=2,"C",IF('Data Source'!Y624&gt;=1,"D","F")))))),"")</f>
        <v/>
      </c>
      <c r="H624" s="3">
        <f>IF(AND('Data Source'!B624&lt;&gt;"",'Data Source'!S624="A+"),IF('Data Source'!Z624&gt;=5,"A+",IF('Data Source'!Z624&gt;=4,"A",IF('Data Source'!Z624&gt;=3.5,"A-",IF('Data Source'!Z624&gt;=3,"B",IF('Data Source'!Z624&gt;=2,"C",IF('Data Source'!Z624&gt;=1,"D","F")))))),"")</f>
        <v/>
      </c>
      <c r="I624" s="3">
        <f>IF(AND('Data Source'!B624&lt;&gt;"",'Data Source'!S624="A+"),IF('Data Source'!AA624&gt;=5,"A+",IF('Data Source'!AA624&gt;=4,"A",IF('Data Source'!AA624&gt;=3.5,"A-",IF('Data Source'!AA624&gt;=3,"B",IF('Data Source'!AA624&gt;=2,"C",IF('Data Source'!AA624&gt;=1,"D","F")))))),"")</f>
        <v/>
      </c>
      <c r="J624" s="3">
        <f>IF(AND('Data Source'!B624&lt;&gt;"",'Data Source'!S624="A+"),IF('Data Source'!AB624&gt;=5,"A+",IF('Data Source'!AB624&gt;=4,"A",IF('Data Source'!AB624&gt;=3.5,"A-",IF('Data Source'!AB624&gt;=3,"B",IF('Data Source'!AB624&gt;=2,"C",IF('Data Source'!AB624&gt;=1,"D","F")))))),"")</f>
        <v/>
      </c>
      <c r="K624" s="3">
        <f>IF(AND('Data Source'!B624&lt;&gt;"",'Data Source'!S624="A+"),IF('Data Source'!AC624&gt;=5,"A+",IF('Data Source'!AC624&gt;=4,"A",IF('Data Source'!AC624&gt;=3.5,"A-",IF('Data Source'!AC624&gt;=3,"B",IF('Data Source'!AC624&gt;=2,"C",IF('Data Source'!AC624&gt;=1,"D","F")))))),"")</f>
        <v/>
      </c>
      <c r="L624" s="3">
        <f>IF(AND('Data Source'!B624&lt;&gt;"",'Data Source'!S624="A+"),IF('Data Source'!AD624&gt;=5,"A+",IF('Data Source'!AD624&gt;=4,"A",IF('Data Source'!AD624&gt;=3.5,"A-",IF('Data Source'!AD624&gt;=3,"B",IF('Data Source'!AD624&gt;=2,"C",IF('Data Source'!AD624&gt;=1,"D","F")))))),"")</f>
        <v/>
      </c>
      <c r="M624" s="3">
        <f>IF(AND('Data Source'!B624&lt;&gt;"",'Data Source'!S624="A+"),IF('Data Source'!AE624&gt;=5,"A+",IF('Data Source'!AE624&gt;=4,"A",IF('Data Source'!AE624&gt;=3.5,"A-",IF('Data Source'!AE624&gt;=3,"B",IF('Data Source'!AE624&gt;=2,"C",IF('Data Source'!AE624&gt;=1,"D","F")))))),"")</f>
        <v/>
      </c>
      <c r="N624" s="3">
        <f>IF(AND('Data Source'!B624&lt;&gt;"",'Data Source'!S624="A+"),IF('Data Source'!AF624&gt;=5,"A+",IF('Data Source'!AF624&gt;=4,"A",IF('Data Source'!AF624&gt;=3.5,"A-",IF('Data Source'!AF624&gt;=3,"B",IF('Data Source'!AF624&gt;=2,"C",IF('Data Source'!AF624&gt;=1,"D","F")))))),"")</f>
        <v/>
      </c>
      <c r="O624" s="3">
        <f>IF(AND('Data Source'!B624&lt;&gt;"",'Data Source'!S624="A+"),IF('Data Source'!AG624&gt;=5,"A+",IF('Data Source'!AG624&gt;=4,"A",IF('Data Source'!AG624&gt;=3.5,"A-",IF('Data Source'!AG624&gt;=3,"B",IF('Data Source'!AG624&gt;=2,"C",IF('Data Source'!AG624&gt;=1,"D","F")))))),"")</f>
        <v/>
      </c>
      <c r="P624" s="5">
        <f>IF(AND('Data Source'!B624&lt;&gt;"",'Data Source'!S624="A+"),'Data Source'!R624,"")</f>
        <v/>
      </c>
      <c r="Q624" s="3">
        <f>IF(AND('Data Source'!B624&lt;&gt;"",'Data Source'!S624="A+"),'Data Source'!S624,"")</f>
        <v/>
      </c>
    </row>
    <row r="625">
      <c r="A625" s="3">
        <f>IF(AND('Data Source'!B625&lt;&gt;"",'Data Source'!S625="A+"),COUNTIF('Data Source'!$S$3:S625,"A+"),"")</f>
        <v/>
      </c>
      <c r="B625">
        <f>IF(AND('Data Source'!B625&lt;&gt;"",'Data Source'!S625="A+"),'Data Source'!B625,"")</f>
        <v/>
      </c>
      <c r="C625" s="3">
        <f>IF(AND('Data Source'!B625&lt;&gt;"",'Data Source'!S625="A+"),IF('Data Source'!U625&gt;=5,"A+",IF('Data Source'!U625&gt;=4,"A",IF('Data Source'!U625&gt;=3.5,"A-",IF('Data Source'!U625&gt;=3,"B",IF('Data Source'!U625&gt;=2,"C",IF('Data Source'!U625&gt;=1,"D","F")))))),"")</f>
        <v/>
      </c>
      <c r="D625" s="3">
        <f>IF(AND('Data Source'!B625&lt;&gt;"",'Data Source'!S625="A+"),IF('Data Source'!V625&gt;=5,"A+",IF('Data Source'!V625&gt;=4,"A",IF('Data Source'!V625&gt;=3.5,"A-",IF('Data Source'!V625&gt;=3,"B",IF('Data Source'!V625&gt;=2,"C",IF('Data Source'!V625&gt;=1,"D","F")))))),"")</f>
        <v/>
      </c>
      <c r="E625" s="3">
        <f>IF(AND('Data Source'!B625&lt;&gt;"",'Data Source'!S625="A+"),IF('Data Source'!W625&gt;=5,"A+",IF('Data Source'!W625&gt;=4,"A",IF('Data Source'!W625&gt;=3.5,"A-",IF('Data Source'!W625&gt;=3,"B",IF('Data Source'!W625&gt;=2,"C",IF('Data Source'!W625&gt;=1,"D","F")))))),"")</f>
        <v/>
      </c>
      <c r="F625" s="3">
        <f>IF(AND('Data Source'!B625&lt;&gt;"",'Data Source'!S625="A+"),IF('Data Source'!X625&gt;=5,"A+",IF('Data Source'!X625&gt;=4,"A",IF('Data Source'!X625&gt;=3.5,"A-",IF('Data Source'!X625&gt;=3,"B",IF('Data Source'!X625&gt;=2,"C",IF('Data Source'!X625&gt;=1,"D","F")))))),"")</f>
        <v/>
      </c>
      <c r="G625" s="3">
        <f>IF(AND('Data Source'!B625&lt;&gt;"",'Data Source'!S625="A+"),IF('Data Source'!Y625&gt;=5,"A+",IF('Data Source'!Y625&gt;=4,"A",IF('Data Source'!Y625&gt;=3.5,"A-",IF('Data Source'!Y625&gt;=3,"B",IF('Data Source'!Y625&gt;=2,"C",IF('Data Source'!Y625&gt;=1,"D","F")))))),"")</f>
        <v/>
      </c>
      <c r="H625" s="3">
        <f>IF(AND('Data Source'!B625&lt;&gt;"",'Data Source'!S625="A+"),IF('Data Source'!Z625&gt;=5,"A+",IF('Data Source'!Z625&gt;=4,"A",IF('Data Source'!Z625&gt;=3.5,"A-",IF('Data Source'!Z625&gt;=3,"B",IF('Data Source'!Z625&gt;=2,"C",IF('Data Source'!Z625&gt;=1,"D","F")))))),"")</f>
        <v/>
      </c>
      <c r="I625" s="3">
        <f>IF(AND('Data Source'!B625&lt;&gt;"",'Data Source'!S625="A+"),IF('Data Source'!AA625&gt;=5,"A+",IF('Data Source'!AA625&gt;=4,"A",IF('Data Source'!AA625&gt;=3.5,"A-",IF('Data Source'!AA625&gt;=3,"B",IF('Data Source'!AA625&gt;=2,"C",IF('Data Source'!AA625&gt;=1,"D","F")))))),"")</f>
        <v/>
      </c>
      <c r="J625" s="3">
        <f>IF(AND('Data Source'!B625&lt;&gt;"",'Data Source'!S625="A+"),IF('Data Source'!AB625&gt;=5,"A+",IF('Data Source'!AB625&gt;=4,"A",IF('Data Source'!AB625&gt;=3.5,"A-",IF('Data Source'!AB625&gt;=3,"B",IF('Data Source'!AB625&gt;=2,"C",IF('Data Source'!AB625&gt;=1,"D","F")))))),"")</f>
        <v/>
      </c>
      <c r="K625" s="3">
        <f>IF(AND('Data Source'!B625&lt;&gt;"",'Data Source'!S625="A+"),IF('Data Source'!AC625&gt;=5,"A+",IF('Data Source'!AC625&gt;=4,"A",IF('Data Source'!AC625&gt;=3.5,"A-",IF('Data Source'!AC625&gt;=3,"B",IF('Data Source'!AC625&gt;=2,"C",IF('Data Source'!AC625&gt;=1,"D","F")))))),"")</f>
        <v/>
      </c>
      <c r="L625" s="3">
        <f>IF(AND('Data Source'!B625&lt;&gt;"",'Data Source'!S625="A+"),IF('Data Source'!AD625&gt;=5,"A+",IF('Data Source'!AD625&gt;=4,"A",IF('Data Source'!AD625&gt;=3.5,"A-",IF('Data Source'!AD625&gt;=3,"B",IF('Data Source'!AD625&gt;=2,"C",IF('Data Source'!AD625&gt;=1,"D","F")))))),"")</f>
        <v/>
      </c>
      <c r="M625" s="3">
        <f>IF(AND('Data Source'!B625&lt;&gt;"",'Data Source'!S625="A+"),IF('Data Source'!AE625&gt;=5,"A+",IF('Data Source'!AE625&gt;=4,"A",IF('Data Source'!AE625&gt;=3.5,"A-",IF('Data Source'!AE625&gt;=3,"B",IF('Data Source'!AE625&gt;=2,"C",IF('Data Source'!AE625&gt;=1,"D","F")))))),"")</f>
        <v/>
      </c>
      <c r="N625" s="3">
        <f>IF(AND('Data Source'!B625&lt;&gt;"",'Data Source'!S625="A+"),IF('Data Source'!AF625&gt;=5,"A+",IF('Data Source'!AF625&gt;=4,"A",IF('Data Source'!AF625&gt;=3.5,"A-",IF('Data Source'!AF625&gt;=3,"B",IF('Data Source'!AF625&gt;=2,"C",IF('Data Source'!AF625&gt;=1,"D","F")))))),"")</f>
        <v/>
      </c>
      <c r="O625" s="3">
        <f>IF(AND('Data Source'!B625&lt;&gt;"",'Data Source'!S625="A+"),IF('Data Source'!AG625&gt;=5,"A+",IF('Data Source'!AG625&gt;=4,"A",IF('Data Source'!AG625&gt;=3.5,"A-",IF('Data Source'!AG625&gt;=3,"B",IF('Data Source'!AG625&gt;=2,"C",IF('Data Source'!AG625&gt;=1,"D","F")))))),"")</f>
        <v/>
      </c>
      <c r="P625" s="5">
        <f>IF(AND('Data Source'!B625&lt;&gt;"",'Data Source'!S625="A+"),'Data Source'!R625,"")</f>
        <v/>
      </c>
      <c r="Q625" s="3">
        <f>IF(AND('Data Source'!B625&lt;&gt;"",'Data Source'!S625="A+"),'Data Source'!S625,"")</f>
        <v/>
      </c>
    </row>
    <row r="626">
      <c r="A626" s="3">
        <f>IF(AND('Data Source'!B626&lt;&gt;"",'Data Source'!S626="A+"),COUNTIF('Data Source'!$S$3:S626,"A+"),"")</f>
        <v/>
      </c>
      <c r="B626">
        <f>IF(AND('Data Source'!B626&lt;&gt;"",'Data Source'!S626="A+"),'Data Source'!B626,"")</f>
        <v/>
      </c>
      <c r="C626" s="3">
        <f>IF(AND('Data Source'!B626&lt;&gt;"",'Data Source'!S626="A+"),IF('Data Source'!U626&gt;=5,"A+",IF('Data Source'!U626&gt;=4,"A",IF('Data Source'!U626&gt;=3.5,"A-",IF('Data Source'!U626&gt;=3,"B",IF('Data Source'!U626&gt;=2,"C",IF('Data Source'!U626&gt;=1,"D","F")))))),"")</f>
        <v/>
      </c>
      <c r="D626" s="3">
        <f>IF(AND('Data Source'!B626&lt;&gt;"",'Data Source'!S626="A+"),IF('Data Source'!V626&gt;=5,"A+",IF('Data Source'!V626&gt;=4,"A",IF('Data Source'!V626&gt;=3.5,"A-",IF('Data Source'!V626&gt;=3,"B",IF('Data Source'!V626&gt;=2,"C",IF('Data Source'!V626&gt;=1,"D","F")))))),"")</f>
        <v/>
      </c>
      <c r="E626" s="3">
        <f>IF(AND('Data Source'!B626&lt;&gt;"",'Data Source'!S626="A+"),IF('Data Source'!W626&gt;=5,"A+",IF('Data Source'!W626&gt;=4,"A",IF('Data Source'!W626&gt;=3.5,"A-",IF('Data Source'!W626&gt;=3,"B",IF('Data Source'!W626&gt;=2,"C",IF('Data Source'!W626&gt;=1,"D","F")))))),"")</f>
        <v/>
      </c>
      <c r="F626" s="3">
        <f>IF(AND('Data Source'!B626&lt;&gt;"",'Data Source'!S626="A+"),IF('Data Source'!X626&gt;=5,"A+",IF('Data Source'!X626&gt;=4,"A",IF('Data Source'!X626&gt;=3.5,"A-",IF('Data Source'!X626&gt;=3,"B",IF('Data Source'!X626&gt;=2,"C",IF('Data Source'!X626&gt;=1,"D","F")))))),"")</f>
        <v/>
      </c>
      <c r="G626" s="3">
        <f>IF(AND('Data Source'!B626&lt;&gt;"",'Data Source'!S626="A+"),IF('Data Source'!Y626&gt;=5,"A+",IF('Data Source'!Y626&gt;=4,"A",IF('Data Source'!Y626&gt;=3.5,"A-",IF('Data Source'!Y626&gt;=3,"B",IF('Data Source'!Y626&gt;=2,"C",IF('Data Source'!Y626&gt;=1,"D","F")))))),"")</f>
        <v/>
      </c>
      <c r="H626" s="3">
        <f>IF(AND('Data Source'!B626&lt;&gt;"",'Data Source'!S626="A+"),IF('Data Source'!Z626&gt;=5,"A+",IF('Data Source'!Z626&gt;=4,"A",IF('Data Source'!Z626&gt;=3.5,"A-",IF('Data Source'!Z626&gt;=3,"B",IF('Data Source'!Z626&gt;=2,"C",IF('Data Source'!Z626&gt;=1,"D","F")))))),"")</f>
        <v/>
      </c>
      <c r="I626" s="3">
        <f>IF(AND('Data Source'!B626&lt;&gt;"",'Data Source'!S626="A+"),IF('Data Source'!AA626&gt;=5,"A+",IF('Data Source'!AA626&gt;=4,"A",IF('Data Source'!AA626&gt;=3.5,"A-",IF('Data Source'!AA626&gt;=3,"B",IF('Data Source'!AA626&gt;=2,"C",IF('Data Source'!AA626&gt;=1,"D","F")))))),"")</f>
        <v/>
      </c>
      <c r="J626" s="3">
        <f>IF(AND('Data Source'!B626&lt;&gt;"",'Data Source'!S626="A+"),IF('Data Source'!AB626&gt;=5,"A+",IF('Data Source'!AB626&gt;=4,"A",IF('Data Source'!AB626&gt;=3.5,"A-",IF('Data Source'!AB626&gt;=3,"B",IF('Data Source'!AB626&gt;=2,"C",IF('Data Source'!AB626&gt;=1,"D","F")))))),"")</f>
        <v/>
      </c>
      <c r="K626" s="3">
        <f>IF(AND('Data Source'!B626&lt;&gt;"",'Data Source'!S626="A+"),IF('Data Source'!AC626&gt;=5,"A+",IF('Data Source'!AC626&gt;=4,"A",IF('Data Source'!AC626&gt;=3.5,"A-",IF('Data Source'!AC626&gt;=3,"B",IF('Data Source'!AC626&gt;=2,"C",IF('Data Source'!AC626&gt;=1,"D","F")))))),"")</f>
        <v/>
      </c>
      <c r="L626" s="3">
        <f>IF(AND('Data Source'!B626&lt;&gt;"",'Data Source'!S626="A+"),IF('Data Source'!AD626&gt;=5,"A+",IF('Data Source'!AD626&gt;=4,"A",IF('Data Source'!AD626&gt;=3.5,"A-",IF('Data Source'!AD626&gt;=3,"B",IF('Data Source'!AD626&gt;=2,"C",IF('Data Source'!AD626&gt;=1,"D","F")))))),"")</f>
        <v/>
      </c>
      <c r="M626" s="3">
        <f>IF(AND('Data Source'!B626&lt;&gt;"",'Data Source'!S626="A+"),IF('Data Source'!AE626&gt;=5,"A+",IF('Data Source'!AE626&gt;=4,"A",IF('Data Source'!AE626&gt;=3.5,"A-",IF('Data Source'!AE626&gt;=3,"B",IF('Data Source'!AE626&gt;=2,"C",IF('Data Source'!AE626&gt;=1,"D","F")))))),"")</f>
        <v/>
      </c>
      <c r="N626" s="3">
        <f>IF(AND('Data Source'!B626&lt;&gt;"",'Data Source'!S626="A+"),IF('Data Source'!AF626&gt;=5,"A+",IF('Data Source'!AF626&gt;=4,"A",IF('Data Source'!AF626&gt;=3.5,"A-",IF('Data Source'!AF626&gt;=3,"B",IF('Data Source'!AF626&gt;=2,"C",IF('Data Source'!AF626&gt;=1,"D","F")))))),"")</f>
        <v/>
      </c>
      <c r="O626" s="3">
        <f>IF(AND('Data Source'!B626&lt;&gt;"",'Data Source'!S626="A+"),IF('Data Source'!AG626&gt;=5,"A+",IF('Data Source'!AG626&gt;=4,"A",IF('Data Source'!AG626&gt;=3.5,"A-",IF('Data Source'!AG626&gt;=3,"B",IF('Data Source'!AG626&gt;=2,"C",IF('Data Source'!AG626&gt;=1,"D","F")))))),"")</f>
        <v/>
      </c>
      <c r="P626" s="5">
        <f>IF(AND('Data Source'!B626&lt;&gt;"",'Data Source'!S626="A+"),'Data Source'!R626,"")</f>
        <v/>
      </c>
      <c r="Q626" s="3">
        <f>IF(AND('Data Source'!B626&lt;&gt;"",'Data Source'!S626="A+"),'Data Source'!S626,"")</f>
        <v/>
      </c>
    </row>
    <row r="627">
      <c r="A627" s="3">
        <f>IF(AND('Data Source'!B627&lt;&gt;"",'Data Source'!S627="A+"),COUNTIF('Data Source'!$S$3:S627,"A+"),"")</f>
        <v/>
      </c>
      <c r="B627">
        <f>IF(AND('Data Source'!B627&lt;&gt;"",'Data Source'!S627="A+"),'Data Source'!B627,"")</f>
        <v/>
      </c>
      <c r="C627" s="3">
        <f>IF(AND('Data Source'!B627&lt;&gt;"",'Data Source'!S627="A+"),IF('Data Source'!U627&gt;=5,"A+",IF('Data Source'!U627&gt;=4,"A",IF('Data Source'!U627&gt;=3.5,"A-",IF('Data Source'!U627&gt;=3,"B",IF('Data Source'!U627&gt;=2,"C",IF('Data Source'!U627&gt;=1,"D","F")))))),"")</f>
        <v/>
      </c>
      <c r="D627" s="3">
        <f>IF(AND('Data Source'!B627&lt;&gt;"",'Data Source'!S627="A+"),IF('Data Source'!V627&gt;=5,"A+",IF('Data Source'!V627&gt;=4,"A",IF('Data Source'!V627&gt;=3.5,"A-",IF('Data Source'!V627&gt;=3,"B",IF('Data Source'!V627&gt;=2,"C",IF('Data Source'!V627&gt;=1,"D","F")))))),"")</f>
        <v/>
      </c>
      <c r="E627" s="3">
        <f>IF(AND('Data Source'!B627&lt;&gt;"",'Data Source'!S627="A+"),IF('Data Source'!W627&gt;=5,"A+",IF('Data Source'!W627&gt;=4,"A",IF('Data Source'!W627&gt;=3.5,"A-",IF('Data Source'!W627&gt;=3,"B",IF('Data Source'!W627&gt;=2,"C",IF('Data Source'!W627&gt;=1,"D","F")))))),"")</f>
        <v/>
      </c>
      <c r="F627" s="3">
        <f>IF(AND('Data Source'!B627&lt;&gt;"",'Data Source'!S627="A+"),IF('Data Source'!X627&gt;=5,"A+",IF('Data Source'!X627&gt;=4,"A",IF('Data Source'!X627&gt;=3.5,"A-",IF('Data Source'!X627&gt;=3,"B",IF('Data Source'!X627&gt;=2,"C",IF('Data Source'!X627&gt;=1,"D","F")))))),"")</f>
        <v/>
      </c>
      <c r="G627" s="3">
        <f>IF(AND('Data Source'!B627&lt;&gt;"",'Data Source'!S627="A+"),IF('Data Source'!Y627&gt;=5,"A+",IF('Data Source'!Y627&gt;=4,"A",IF('Data Source'!Y627&gt;=3.5,"A-",IF('Data Source'!Y627&gt;=3,"B",IF('Data Source'!Y627&gt;=2,"C",IF('Data Source'!Y627&gt;=1,"D","F")))))),"")</f>
        <v/>
      </c>
      <c r="H627" s="3">
        <f>IF(AND('Data Source'!B627&lt;&gt;"",'Data Source'!S627="A+"),IF('Data Source'!Z627&gt;=5,"A+",IF('Data Source'!Z627&gt;=4,"A",IF('Data Source'!Z627&gt;=3.5,"A-",IF('Data Source'!Z627&gt;=3,"B",IF('Data Source'!Z627&gt;=2,"C",IF('Data Source'!Z627&gt;=1,"D","F")))))),"")</f>
        <v/>
      </c>
      <c r="I627" s="3">
        <f>IF(AND('Data Source'!B627&lt;&gt;"",'Data Source'!S627="A+"),IF('Data Source'!AA627&gt;=5,"A+",IF('Data Source'!AA627&gt;=4,"A",IF('Data Source'!AA627&gt;=3.5,"A-",IF('Data Source'!AA627&gt;=3,"B",IF('Data Source'!AA627&gt;=2,"C",IF('Data Source'!AA627&gt;=1,"D","F")))))),"")</f>
        <v/>
      </c>
      <c r="J627" s="3">
        <f>IF(AND('Data Source'!B627&lt;&gt;"",'Data Source'!S627="A+"),IF('Data Source'!AB627&gt;=5,"A+",IF('Data Source'!AB627&gt;=4,"A",IF('Data Source'!AB627&gt;=3.5,"A-",IF('Data Source'!AB627&gt;=3,"B",IF('Data Source'!AB627&gt;=2,"C",IF('Data Source'!AB627&gt;=1,"D","F")))))),"")</f>
        <v/>
      </c>
      <c r="K627" s="3">
        <f>IF(AND('Data Source'!B627&lt;&gt;"",'Data Source'!S627="A+"),IF('Data Source'!AC627&gt;=5,"A+",IF('Data Source'!AC627&gt;=4,"A",IF('Data Source'!AC627&gt;=3.5,"A-",IF('Data Source'!AC627&gt;=3,"B",IF('Data Source'!AC627&gt;=2,"C",IF('Data Source'!AC627&gt;=1,"D","F")))))),"")</f>
        <v/>
      </c>
      <c r="L627" s="3">
        <f>IF(AND('Data Source'!B627&lt;&gt;"",'Data Source'!S627="A+"),IF('Data Source'!AD627&gt;=5,"A+",IF('Data Source'!AD627&gt;=4,"A",IF('Data Source'!AD627&gt;=3.5,"A-",IF('Data Source'!AD627&gt;=3,"B",IF('Data Source'!AD627&gt;=2,"C",IF('Data Source'!AD627&gt;=1,"D","F")))))),"")</f>
        <v/>
      </c>
      <c r="M627" s="3">
        <f>IF(AND('Data Source'!B627&lt;&gt;"",'Data Source'!S627="A+"),IF('Data Source'!AE627&gt;=5,"A+",IF('Data Source'!AE627&gt;=4,"A",IF('Data Source'!AE627&gt;=3.5,"A-",IF('Data Source'!AE627&gt;=3,"B",IF('Data Source'!AE627&gt;=2,"C",IF('Data Source'!AE627&gt;=1,"D","F")))))),"")</f>
        <v/>
      </c>
      <c r="N627" s="3">
        <f>IF(AND('Data Source'!B627&lt;&gt;"",'Data Source'!S627="A+"),IF('Data Source'!AF627&gt;=5,"A+",IF('Data Source'!AF627&gt;=4,"A",IF('Data Source'!AF627&gt;=3.5,"A-",IF('Data Source'!AF627&gt;=3,"B",IF('Data Source'!AF627&gt;=2,"C",IF('Data Source'!AF627&gt;=1,"D","F")))))),"")</f>
        <v/>
      </c>
      <c r="O627" s="3">
        <f>IF(AND('Data Source'!B627&lt;&gt;"",'Data Source'!S627="A+"),IF('Data Source'!AG627&gt;=5,"A+",IF('Data Source'!AG627&gt;=4,"A",IF('Data Source'!AG627&gt;=3.5,"A-",IF('Data Source'!AG627&gt;=3,"B",IF('Data Source'!AG627&gt;=2,"C",IF('Data Source'!AG627&gt;=1,"D","F")))))),"")</f>
        <v/>
      </c>
      <c r="P627" s="5">
        <f>IF(AND('Data Source'!B627&lt;&gt;"",'Data Source'!S627="A+"),'Data Source'!R627,"")</f>
        <v/>
      </c>
      <c r="Q627" s="3">
        <f>IF(AND('Data Source'!B627&lt;&gt;"",'Data Source'!S627="A+"),'Data Source'!S627,"")</f>
        <v/>
      </c>
    </row>
    <row r="628">
      <c r="A628" s="3">
        <f>IF(AND('Data Source'!B628&lt;&gt;"",'Data Source'!S628="A+"),COUNTIF('Data Source'!$S$3:S628,"A+"),"")</f>
        <v/>
      </c>
      <c r="B628">
        <f>IF(AND('Data Source'!B628&lt;&gt;"",'Data Source'!S628="A+"),'Data Source'!B628,"")</f>
        <v/>
      </c>
      <c r="C628" s="3">
        <f>IF(AND('Data Source'!B628&lt;&gt;"",'Data Source'!S628="A+"),IF('Data Source'!U628&gt;=5,"A+",IF('Data Source'!U628&gt;=4,"A",IF('Data Source'!U628&gt;=3.5,"A-",IF('Data Source'!U628&gt;=3,"B",IF('Data Source'!U628&gt;=2,"C",IF('Data Source'!U628&gt;=1,"D","F")))))),"")</f>
        <v/>
      </c>
      <c r="D628" s="3">
        <f>IF(AND('Data Source'!B628&lt;&gt;"",'Data Source'!S628="A+"),IF('Data Source'!V628&gt;=5,"A+",IF('Data Source'!V628&gt;=4,"A",IF('Data Source'!V628&gt;=3.5,"A-",IF('Data Source'!V628&gt;=3,"B",IF('Data Source'!V628&gt;=2,"C",IF('Data Source'!V628&gt;=1,"D","F")))))),"")</f>
        <v/>
      </c>
      <c r="E628" s="3">
        <f>IF(AND('Data Source'!B628&lt;&gt;"",'Data Source'!S628="A+"),IF('Data Source'!W628&gt;=5,"A+",IF('Data Source'!W628&gt;=4,"A",IF('Data Source'!W628&gt;=3.5,"A-",IF('Data Source'!W628&gt;=3,"B",IF('Data Source'!W628&gt;=2,"C",IF('Data Source'!W628&gt;=1,"D","F")))))),"")</f>
        <v/>
      </c>
      <c r="F628" s="3">
        <f>IF(AND('Data Source'!B628&lt;&gt;"",'Data Source'!S628="A+"),IF('Data Source'!X628&gt;=5,"A+",IF('Data Source'!X628&gt;=4,"A",IF('Data Source'!X628&gt;=3.5,"A-",IF('Data Source'!X628&gt;=3,"B",IF('Data Source'!X628&gt;=2,"C",IF('Data Source'!X628&gt;=1,"D","F")))))),"")</f>
        <v/>
      </c>
      <c r="G628" s="3">
        <f>IF(AND('Data Source'!B628&lt;&gt;"",'Data Source'!S628="A+"),IF('Data Source'!Y628&gt;=5,"A+",IF('Data Source'!Y628&gt;=4,"A",IF('Data Source'!Y628&gt;=3.5,"A-",IF('Data Source'!Y628&gt;=3,"B",IF('Data Source'!Y628&gt;=2,"C",IF('Data Source'!Y628&gt;=1,"D","F")))))),"")</f>
        <v/>
      </c>
      <c r="H628" s="3">
        <f>IF(AND('Data Source'!B628&lt;&gt;"",'Data Source'!S628="A+"),IF('Data Source'!Z628&gt;=5,"A+",IF('Data Source'!Z628&gt;=4,"A",IF('Data Source'!Z628&gt;=3.5,"A-",IF('Data Source'!Z628&gt;=3,"B",IF('Data Source'!Z628&gt;=2,"C",IF('Data Source'!Z628&gt;=1,"D","F")))))),"")</f>
        <v/>
      </c>
      <c r="I628" s="3">
        <f>IF(AND('Data Source'!B628&lt;&gt;"",'Data Source'!S628="A+"),IF('Data Source'!AA628&gt;=5,"A+",IF('Data Source'!AA628&gt;=4,"A",IF('Data Source'!AA628&gt;=3.5,"A-",IF('Data Source'!AA628&gt;=3,"B",IF('Data Source'!AA628&gt;=2,"C",IF('Data Source'!AA628&gt;=1,"D","F")))))),"")</f>
        <v/>
      </c>
      <c r="J628" s="3">
        <f>IF(AND('Data Source'!B628&lt;&gt;"",'Data Source'!S628="A+"),IF('Data Source'!AB628&gt;=5,"A+",IF('Data Source'!AB628&gt;=4,"A",IF('Data Source'!AB628&gt;=3.5,"A-",IF('Data Source'!AB628&gt;=3,"B",IF('Data Source'!AB628&gt;=2,"C",IF('Data Source'!AB628&gt;=1,"D","F")))))),"")</f>
        <v/>
      </c>
      <c r="K628" s="3">
        <f>IF(AND('Data Source'!B628&lt;&gt;"",'Data Source'!S628="A+"),IF('Data Source'!AC628&gt;=5,"A+",IF('Data Source'!AC628&gt;=4,"A",IF('Data Source'!AC628&gt;=3.5,"A-",IF('Data Source'!AC628&gt;=3,"B",IF('Data Source'!AC628&gt;=2,"C",IF('Data Source'!AC628&gt;=1,"D","F")))))),"")</f>
        <v/>
      </c>
      <c r="L628" s="3">
        <f>IF(AND('Data Source'!B628&lt;&gt;"",'Data Source'!S628="A+"),IF('Data Source'!AD628&gt;=5,"A+",IF('Data Source'!AD628&gt;=4,"A",IF('Data Source'!AD628&gt;=3.5,"A-",IF('Data Source'!AD628&gt;=3,"B",IF('Data Source'!AD628&gt;=2,"C",IF('Data Source'!AD628&gt;=1,"D","F")))))),"")</f>
        <v/>
      </c>
      <c r="M628" s="3">
        <f>IF(AND('Data Source'!B628&lt;&gt;"",'Data Source'!S628="A+"),IF('Data Source'!AE628&gt;=5,"A+",IF('Data Source'!AE628&gt;=4,"A",IF('Data Source'!AE628&gt;=3.5,"A-",IF('Data Source'!AE628&gt;=3,"B",IF('Data Source'!AE628&gt;=2,"C",IF('Data Source'!AE628&gt;=1,"D","F")))))),"")</f>
        <v/>
      </c>
      <c r="N628" s="3">
        <f>IF(AND('Data Source'!B628&lt;&gt;"",'Data Source'!S628="A+"),IF('Data Source'!AF628&gt;=5,"A+",IF('Data Source'!AF628&gt;=4,"A",IF('Data Source'!AF628&gt;=3.5,"A-",IF('Data Source'!AF628&gt;=3,"B",IF('Data Source'!AF628&gt;=2,"C",IF('Data Source'!AF628&gt;=1,"D","F")))))),"")</f>
        <v/>
      </c>
      <c r="O628" s="3">
        <f>IF(AND('Data Source'!B628&lt;&gt;"",'Data Source'!S628="A+"),IF('Data Source'!AG628&gt;=5,"A+",IF('Data Source'!AG628&gt;=4,"A",IF('Data Source'!AG628&gt;=3.5,"A-",IF('Data Source'!AG628&gt;=3,"B",IF('Data Source'!AG628&gt;=2,"C",IF('Data Source'!AG628&gt;=1,"D","F")))))),"")</f>
        <v/>
      </c>
      <c r="P628" s="5">
        <f>IF(AND('Data Source'!B628&lt;&gt;"",'Data Source'!S628="A+"),'Data Source'!R628,"")</f>
        <v/>
      </c>
      <c r="Q628" s="3">
        <f>IF(AND('Data Source'!B628&lt;&gt;"",'Data Source'!S628="A+"),'Data Source'!S628,"")</f>
        <v/>
      </c>
    </row>
    <row r="629">
      <c r="A629" s="3">
        <f>IF(AND('Data Source'!B629&lt;&gt;"",'Data Source'!S629="A+"),COUNTIF('Data Source'!$S$3:S629,"A+"),"")</f>
        <v/>
      </c>
      <c r="B629">
        <f>IF(AND('Data Source'!B629&lt;&gt;"",'Data Source'!S629="A+"),'Data Source'!B629,"")</f>
        <v/>
      </c>
      <c r="C629" s="3">
        <f>IF(AND('Data Source'!B629&lt;&gt;"",'Data Source'!S629="A+"),IF('Data Source'!U629&gt;=5,"A+",IF('Data Source'!U629&gt;=4,"A",IF('Data Source'!U629&gt;=3.5,"A-",IF('Data Source'!U629&gt;=3,"B",IF('Data Source'!U629&gt;=2,"C",IF('Data Source'!U629&gt;=1,"D","F")))))),"")</f>
        <v/>
      </c>
      <c r="D629" s="3">
        <f>IF(AND('Data Source'!B629&lt;&gt;"",'Data Source'!S629="A+"),IF('Data Source'!V629&gt;=5,"A+",IF('Data Source'!V629&gt;=4,"A",IF('Data Source'!V629&gt;=3.5,"A-",IF('Data Source'!V629&gt;=3,"B",IF('Data Source'!V629&gt;=2,"C",IF('Data Source'!V629&gt;=1,"D","F")))))),"")</f>
        <v/>
      </c>
      <c r="E629" s="3">
        <f>IF(AND('Data Source'!B629&lt;&gt;"",'Data Source'!S629="A+"),IF('Data Source'!W629&gt;=5,"A+",IF('Data Source'!W629&gt;=4,"A",IF('Data Source'!W629&gt;=3.5,"A-",IF('Data Source'!W629&gt;=3,"B",IF('Data Source'!W629&gt;=2,"C",IF('Data Source'!W629&gt;=1,"D","F")))))),"")</f>
        <v/>
      </c>
      <c r="F629" s="3">
        <f>IF(AND('Data Source'!B629&lt;&gt;"",'Data Source'!S629="A+"),IF('Data Source'!X629&gt;=5,"A+",IF('Data Source'!X629&gt;=4,"A",IF('Data Source'!X629&gt;=3.5,"A-",IF('Data Source'!X629&gt;=3,"B",IF('Data Source'!X629&gt;=2,"C",IF('Data Source'!X629&gt;=1,"D","F")))))),"")</f>
        <v/>
      </c>
      <c r="G629" s="3">
        <f>IF(AND('Data Source'!B629&lt;&gt;"",'Data Source'!S629="A+"),IF('Data Source'!Y629&gt;=5,"A+",IF('Data Source'!Y629&gt;=4,"A",IF('Data Source'!Y629&gt;=3.5,"A-",IF('Data Source'!Y629&gt;=3,"B",IF('Data Source'!Y629&gt;=2,"C",IF('Data Source'!Y629&gt;=1,"D","F")))))),"")</f>
        <v/>
      </c>
      <c r="H629" s="3">
        <f>IF(AND('Data Source'!B629&lt;&gt;"",'Data Source'!S629="A+"),IF('Data Source'!Z629&gt;=5,"A+",IF('Data Source'!Z629&gt;=4,"A",IF('Data Source'!Z629&gt;=3.5,"A-",IF('Data Source'!Z629&gt;=3,"B",IF('Data Source'!Z629&gt;=2,"C",IF('Data Source'!Z629&gt;=1,"D","F")))))),"")</f>
        <v/>
      </c>
      <c r="I629" s="3">
        <f>IF(AND('Data Source'!B629&lt;&gt;"",'Data Source'!S629="A+"),IF('Data Source'!AA629&gt;=5,"A+",IF('Data Source'!AA629&gt;=4,"A",IF('Data Source'!AA629&gt;=3.5,"A-",IF('Data Source'!AA629&gt;=3,"B",IF('Data Source'!AA629&gt;=2,"C",IF('Data Source'!AA629&gt;=1,"D","F")))))),"")</f>
        <v/>
      </c>
      <c r="J629" s="3">
        <f>IF(AND('Data Source'!B629&lt;&gt;"",'Data Source'!S629="A+"),IF('Data Source'!AB629&gt;=5,"A+",IF('Data Source'!AB629&gt;=4,"A",IF('Data Source'!AB629&gt;=3.5,"A-",IF('Data Source'!AB629&gt;=3,"B",IF('Data Source'!AB629&gt;=2,"C",IF('Data Source'!AB629&gt;=1,"D","F")))))),"")</f>
        <v/>
      </c>
      <c r="K629" s="3">
        <f>IF(AND('Data Source'!B629&lt;&gt;"",'Data Source'!S629="A+"),IF('Data Source'!AC629&gt;=5,"A+",IF('Data Source'!AC629&gt;=4,"A",IF('Data Source'!AC629&gt;=3.5,"A-",IF('Data Source'!AC629&gt;=3,"B",IF('Data Source'!AC629&gt;=2,"C",IF('Data Source'!AC629&gt;=1,"D","F")))))),"")</f>
        <v/>
      </c>
      <c r="L629" s="3">
        <f>IF(AND('Data Source'!B629&lt;&gt;"",'Data Source'!S629="A+"),IF('Data Source'!AD629&gt;=5,"A+",IF('Data Source'!AD629&gt;=4,"A",IF('Data Source'!AD629&gt;=3.5,"A-",IF('Data Source'!AD629&gt;=3,"B",IF('Data Source'!AD629&gt;=2,"C",IF('Data Source'!AD629&gt;=1,"D","F")))))),"")</f>
        <v/>
      </c>
      <c r="M629" s="3">
        <f>IF(AND('Data Source'!B629&lt;&gt;"",'Data Source'!S629="A+"),IF('Data Source'!AE629&gt;=5,"A+",IF('Data Source'!AE629&gt;=4,"A",IF('Data Source'!AE629&gt;=3.5,"A-",IF('Data Source'!AE629&gt;=3,"B",IF('Data Source'!AE629&gt;=2,"C",IF('Data Source'!AE629&gt;=1,"D","F")))))),"")</f>
        <v/>
      </c>
      <c r="N629" s="3">
        <f>IF(AND('Data Source'!B629&lt;&gt;"",'Data Source'!S629="A+"),IF('Data Source'!AF629&gt;=5,"A+",IF('Data Source'!AF629&gt;=4,"A",IF('Data Source'!AF629&gt;=3.5,"A-",IF('Data Source'!AF629&gt;=3,"B",IF('Data Source'!AF629&gt;=2,"C",IF('Data Source'!AF629&gt;=1,"D","F")))))),"")</f>
        <v/>
      </c>
      <c r="O629" s="3">
        <f>IF(AND('Data Source'!B629&lt;&gt;"",'Data Source'!S629="A+"),IF('Data Source'!AG629&gt;=5,"A+",IF('Data Source'!AG629&gt;=4,"A",IF('Data Source'!AG629&gt;=3.5,"A-",IF('Data Source'!AG629&gt;=3,"B",IF('Data Source'!AG629&gt;=2,"C",IF('Data Source'!AG629&gt;=1,"D","F")))))),"")</f>
        <v/>
      </c>
      <c r="P629" s="5">
        <f>IF(AND('Data Source'!B629&lt;&gt;"",'Data Source'!S629="A+"),'Data Source'!R629,"")</f>
        <v/>
      </c>
      <c r="Q629" s="3">
        <f>IF(AND('Data Source'!B629&lt;&gt;"",'Data Source'!S629="A+"),'Data Source'!S629,"")</f>
        <v/>
      </c>
    </row>
    <row r="630">
      <c r="A630" s="3">
        <f>IF(AND('Data Source'!B630&lt;&gt;"",'Data Source'!S630="A+"),COUNTIF('Data Source'!$S$3:S630,"A+"),"")</f>
        <v/>
      </c>
      <c r="B630">
        <f>IF(AND('Data Source'!B630&lt;&gt;"",'Data Source'!S630="A+"),'Data Source'!B630,"")</f>
        <v/>
      </c>
      <c r="C630" s="3">
        <f>IF(AND('Data Source'!B630&lt;&gt;"",'Data Source'!S630="A+"),IF('Data Source'!U630&gt;=5,"A+",IF('Data Source'!U630&gt;=4,"A",IF('Data Source'!U630&gt;=3.5,"A-",IF('Data Source'!U630&gt;=3,"B",IF('Data Source'!U630&gt;=2,"C",IF('Data Source'!U630&gt;=1,"D","F")))))),"")</f>
        <v/>
      </c>
      <c r="D630" s="3">
        <f>IF(AND('Data Source'!B630&lt;&gt;"",'Data Source'!S630="A+"),IF('Data Source'!V630&gt;=5,"A+",IF('Data Source'!V630&gt;=4,"A",IF('Data Source'!V630&gt;=3.5,"A-",IF('Data Source'!V630&gt;=3,"B",IF('Data Source'!V630&gt;=2,"C",IF('Data Source'!V630&gt;=1,"D","F")))))),"")</f>
        <v/>
      </c>
      <c r="E630" s="3">
        <f>IF(AND('Data Source'!B630&lt;&gt;"",'Data Source'!S630="A+"),IF('Data Source'!W630&gt;=5,"A+",IF('Data Source'!W630&gt;=4,"A",IF('Data Source'!W630&gt;=3.5,"A-",IF('Data Source'!W630&gt;=3,"B",IF('Data Source'!W630&gt;=2,"C",IF('Data Source'!W630&gt;=1,"D","F")))))),"")</f>
        <v/>
      </c>
      <c r="F630" s="3">
        <f>IF(AND('Data Source'!B630&lt;&gt;"",'Data Source'!S630="A+"),IF('Data Source'!X630&gt;=5,"A+",IF('Data Source'!X630&gt;=4,"A",IF('Data Source'!X630&gt;=3.5,"A-",IF('Data Source'!X630&gt;=3,"B",IF('Data Source'!X630&gt;=2,"C",IF('Data Source'!X630&gt;=1,"D","F")))))),"")</f>
        <v/>
      </c>
      <c r="G630" s="3">
        <f>IF(AND('Data Source'!B630&lt;&gt;"",'Data Source'!S630="A+"),IF('Data Source'!Y630&gt;=5,"A+",IF('Data Source'!Y630&gt;=4,"A",IF('Data Source'!Y630&gt;=3.5,"A-",IF('Data Source'!Y630&gt;=3,"B",IF('Data Source'!Y630&gt;=2,"C",IF('Data Source'!Y630&gt;=1,"D","F")))))),"")</f>
        <v/>
      </c>
      <c r="H630" s="3">
        <f>IF(AND('Data Source'!B630&lt;&gt;"",'Data Source'!S630="A+"),IF('Data Source'!Z630&gt;=5,"A+",IF('Data Source'!Z630&gt;=4,"A",IF('Data Source'!Z630&gt;=3.5,"A-",IF('Data Source'!Z630&gt;=3,"B",IF('Data Source'!Z630&gt;=2,"C",IF('Data Source'!Z630&gt;=1,"D","F")))))),"")</f>
        <v/>
      </c>
      <c r="I630" s="3">
        <f>IF(AND('Data Source'!B630&lt;&gt;"",'Data Source'!S630="A+"),IF('Data Source'!AA630&gt;=5,"A+",IF('Data Source'!AA630&gt;=4,"A",IF('Data Source'!AA630&gt;=3.5,"A-",IF('Data Source'!AA630&gt;=3,"B",IF('Data Source'!AA630&gt;=2,"C",IF('Data Source'!AA630&gt;=1,"D","F")))))),"")</f>
        <v/>
      </c>
      <c r="J630" s="3">
        <f>IF(AND('Data Source'!B630&lt;&gt;"",'Data Source'!S630="A+"),IF('Data Source'!AB630&gt;=5,"A+",IF('Data Source'!AB630&gt;=4,"A",IF('Data Source'!AB630&gt;=3.5,"A-",IF('Data Source'!AB630&gt;=3,"B",IF('Data Source'!AB630&gt;=2,"C",IF('Data Source'!AB630&gt;=1,"D","F")))))),"")</f>
        <v/>
      </c>
      <c r="K630" s="3">
        <f>IF(AND('Data Source'!B630&lt;&gt;"",'Data Source'!S630="A+"),IF('Data Source'!AC630&gt;=5,"A+",IF('Data Source'!AC630&gt;=4,"A",IF('Data Source'!AC630&gt;=3.5,"A-",IF('Data Source'!AC630&gt;=3,"B",IF('Data Source'!AC630&gt;=2,"C",IF('Data Source'!AC630&gt;=1,"D","F")))))),"")</f>
        <v/>
      </c>
      <c r="L630" s="3">
        <f>IF(AND('Data Source'!B630&lt;&gt;"",'Data Source'!S630="A+"),IF('Data Source'!AD630&gt;=5,"A+",IF('Data Source'!AD630&gt;=4,"A",IF('Data Source'!AD630&gt;=3.5,"A-",IF('Data Source'!AD630&gt;=3,"B",IF('Data Source'!AD630&gt;=2,"C",IF('Data Source'!AD630&gt;=1,"D","F")))))),"")</f>
        <v/>
      </c>
      <c r="M630" s="3">
        <f>IF(AND('Data Source'!B630&lt;&gt;"",'Data Source'!S630="A+"),IF('Data Source'!AE630&gt;=5,"A+",IF('Data Source'!AE630&gt;=4,"A",IF('Data Source'!AE630&gt;=3.5,"A-",IF('Data Source'!AE630&gt;=3,"B",IF('Data Source'!AE630&gt;=2,"C",IF('Data Source'!AE630&gt;=1,"D","F")))))),"")</f>
        <v/>
      </c>
      <c r="N630" s="3">
        <f>IF(AND('Data Source'!B630&lt;&gt;"",'Data Source'!S630="A+"),IF('Data Source'!AF630&gt;=5,"A+",IF('Data Source'!AF630&gt;=4,"A",IF('Data Source'!AF630&gt;=3.5,"A-",IF('Data Source'!AF630&gt;=3,"B",IF('Data Source'!AF630&gt;=2,"C",IF('Data Source'!AF630&gt;=1,"D","F")))))),"")</f>
        <v/>
      </c>
      <c r="O630" s="3">
        <f>IF(AND('Data Source'!B630&lt;&gt;"",'Data Source'!S630="A+"),IF('Data Source'!AG630&gt;=5,"A+",IF('Data Source'!AG630&gt;=4,"A",IF('Data Source'!AG630&gt;=3.5,"A-",IF('Data Source'!AG630&gt;=3,"B",IF('Data Source'!AG630&gt;=2,"C",IF('Data Source'!AG630&gt;=1,"D","F")))))),"")</f>
        <v/>
      </c>
      <c r="P630" s="5">
        <f>IF(AND('Data Source'!B630&lt;&gt;"",'Data Source'!S630="A+"),'Data Source'!R630,"")</f>
        <v/>
      </c>
      <c r="Q630" s="3">
        <f>IF(AND('Data Source'!B630&lt;&gt;"",'Data Source'!S630="A+"),'Data Source'!S630,"")</f>
        <v/>
      </c>
    </row>
    <row r="631">
      <c r="A631" s="3">
        <f>IF(AND('Data Source'!B631&lt;&gt;"",'Data Source'!S631="A+"),COUNTIF('Data Source'!$S$3:S631,"A+"),"")</f>
        <v/>
      </c>
      <c r="B631">
        <f>IF(AND('Data Source'!B631&lt;&gt;"",'Data Source'!S631="A+"),'Data Source'!B631,"")</f>
        <v/>
      </c>
      <c r="C631" s="3">
        <f>IF(AND('Data Source'!B631&lt;&gt;"",'Data Source'!S631="A+"),IF('Data Source'!U631&gt;=5,"A+",IF('Data Source'!U631&gt;=4,"A",IF('Data Source'!U631&gt;=3.5,"A-",IF('Data Source'!U631&gt;=3,"B",IF('Data Source'!U631&gt;=2,"C",IF('Data Source'!U631&gt;=1,"D","F")))))),"")</f>
        <v/>
      </c>
      <c r="D631" s="3">
        <f>IF(AND('Data Source'!B631&lt;&gt;"",'Data Source'!S631="A+"),IF('Data Source'!V631&gt;=5,"A+",IF('Data Source'!V631&gt;=4,"A",IF('Data Source'!V631&gt;=3.5,"A-",IF('Data Source'!V631&gt;=3,"B",IF('Data Source'!V631&gt;=2,"C",IF('Data Source'!V631&gt;=1,"D","F")))))),"")</f>
        <v/>
      </c>
      <c r="E631" s="3">
        <f>IF(AND('Data Source'!B631&lt;&gt;"",'Data Source'!S631="A+"),IF('Data Source'!W631&gt;=5,"A+",IF('Data Source'!W631&gt;=4,"A",IF('Data Source'!W631&gt;=3.5,"A-",IF('Data Source'!W631&gt;=3,"B",IF('Data Source'!W631&gt;=2,"C",IF('Data Source'!W631&gt;=1,"D","F")))))),"")</f>
        <v/>
      </c>
      <c r="F631" s="3">
        <f>IF(AND('Data Source'!B631&lt;&gt;"",'Data Source'!S631="A+"),IF('Data Source'!X631&gt;=5,"A+",IF('Data Source'!X631&gt;=4,"A",IF('Data Source'!X631&gt;=3.5,"A-",IF('Data Source'!X631&gt;=3,"B",IF('Data Source'!X631&gt;=2,"C",IF('Data Source'!X631&gt;=1,"D","F")))))),"")</f>
        <v/>
      </c>
      <c r="G631" s="3">
        <f>IF(AND('Data Source'!B631&lt;&gt;"",'Data Source'!S631="A+"),IF('Data Source'!Y631&gt;=5,"A+",IF('Data Source'!Y631&gt;=4,"A",IF('Data Source'!Y631&gt;=3.5,"A-",IF('Data Source'!Y631&gt;=3,"B",IF('Data Source'!Y631&gt;=2,"C",IF('Data Source'!Y631&gt;=1,"D","F")))))),"")</f>
        <v/>
      </c>
      <c r="H631" s="3">
        <f>IF(AND('Data Source'!B631&lt;&gt;"",'Data Source'!S631="A+"),IF('Data Source'!Z631&gt;=5,"A+",IF('Data Source'!Z631&gt;=4,"A",IF('Data Source'!Z631&gt;=3.5,"A-",IF('Data Source'!Z631&gt;=3,"B",IF('Data Source'!Z631&gt;=2,"C",IF('Data Source'!Z631&gt;=1,"D","F")))))),"")</f>
        <v/>
      </c>
      <c r="I631" s="3">
        <f>IF(AND('Data Source'!B631&lt;&gt;"",'Data Source'!S631="A+"),IF('Data Source'!AA631&gt;=5,"A+",IF('Data Source'!AA631&gt;=4,"A",IF('Data Source'!AA631&gt;=3.5,"A-",IF('Data Source'!AA631&gt;=3,"B",IF('Data Source'!AA631&gt;=2,"C",IF('Data Source'!AA631&gt;=1,"D","F")))))),"")</f>
        <v/>
      </c>
      <c r="J631" s="3">
        <f>IF(AND('Data Source'!B631&lt;&gt;"",'Data Source'!S631="A+"),IF('Data Source'!AB631&gt;=5,"A+",IF('Data Source'!AB631&gt;=4,"A",IF('Data Source'!AB631&gt;=3.5,"A-",IF('Data Source'!AB631&gt;=3,"B",IF('Data Source'!AB631&gt;=2,"C",IF('Data Source'!AB631&gt;=1,"D","F")))))),"")</f>
        <v/>
      </c>
      <c r="K631" s="3">
        <f>IF(AND('Data Source'!B631&lt;&gt;"",'Data Source'!S631="A+"),IF('Data Source'!AC631&gt;=5,"A+",IF('Data Source'!AC631&gt;=4,"A",IF('Data Source'!AC631&gt;=3.5,"A-",IF('Data Source'!AC631&gt;=3,"B",IF('Data Source'!AC631&gt;=2,"C",IF('Data Source'!AC631&gt;=1,"D","F")))))),"")</f>
        <v/>
      </c>
      <c r="L631" s="3">
        <f>IF(AND('Data Source'!B631&lt;&gt;"",'Data Source'!S631="A+"),IF('Data Source'!AD631&gt;=5,"A+",IF('Data Source'!AD631&gt;=4,"A",IF('Data Source'!AD631&gt;=3.5,"A-",IF('Data Source'!AD631&gt;=3,"B",IF('Data Source'!AD631&gt;=2,"C",IF('Data Source'!AD631&gt;=1,"D","F")))))),"")</f>
        <v/>
      </c>
      <c r="M631" s="3">
        <f>IF(AND('Data Source'!B631&lt;&gt;"",'Data Source'!S631="A+"),IF('Data Source'!AE631&gt;=5,"A+",IF('Data Source'!AE631&gt;=4,"A",IF('Data Source'!AE631&gt;=3.5,"A-",IF('Data Source'!AE631&gt;=3,"B",IF('Data Source'!AE631&gt;=2,"C",IF('Data Source'!AE631&gt;=1,"D","F")))))),"")</f>
        <v/>
      </c>
      <c r="N631" s="3">
        <f>IF(AND('Data Source'!B631&lt;&gt;"",'Data Source'!S631="A+"),IF('Data Source'!AF631&gt;=5,"A+",IF('Data Source'!AF631&gt;=4,"A",IF('Data Source'!AF631&gt;=3.5,"A-",IF('Data Source'!AF631&gt;=3,"B",IF('Data Source'!AF631&gt;=2,"C",IF('Data Source'!AF631&gt;=1,"D","F")))))),"")</f>
        <v/>
      </c>
      <c r="O631" s="3">
        <f>IF(AND('Data Source'!B631&lt;&gt;"",'Data Source'!S631="A+"),IF('Data Source'!AG631&gt;=5,"A+",IF('Data Source'!AG631&gt;=4,"A",IF('Data Source'!AG631&gt;=3.5,"A-",IF('Data Source'!AG631&gt;=3,"B",IF('Data Source'!AG631&gt;=2,"C",IF('Data Source'!AG631&gt;=1,"D","F")))))),"")</f>
        <v/>
      </c>
      <c r="P631" s="5">
        <f>IF(AND('Data Source'!B631&lt;&gt;"",'Data Source'!S631="A+"),'Data Source'!R631,"")</f>
        <v/>
      </c>
      <c r="Q631" s="3">
        <f>IF(AND('Data Source'!B631&lt;&gt;"",'Data Source'!S631="A+"),'Data Source'!S631,"")</f>
        <v/>
      </c>
    </row>
    <row r="632">
      <c r="A632" s="3">
        <f>IF(AND('Data Source'!B632&lt;&gt;"",'Data Source'!S632="A+"),COUNTIF('Data Source'!$S$3:S632,"A+"),"")</f>
        <v/>
      </c>
      <c r="B632">
        <f>IF(AND('Data Source'!B632&lt;&gt;"",'Data Source'!S632="A+"),'Data Source'!B632,"")</f>
        <v/>
      </c>
      <c r="C632" s="3">
        <f>IF(AND('Data Source'!B632&lt;&gt;"",'Data Source'!S632="A+"),IF('Data Source'!U632&gt;=5,"A+",IF('Data Source'!U632&gt;=4,"A",IF('Data Source'!U632&gt;=3.5,"A-",IF('Data Source'!U632&gt;=3,"B",IF('Data Source'!U632&gt;=2,"C",IF('Data Source'!U632&gt;=1,"D","F")))))),"")</f>
        <v/>
      </c>
      <c r="D632" s="3">
        <f>IF(AND('Data Source'!B632&lt;&gt;"",'Data Source'!S632="A+"),IF('Data Source'!V632&gt;=5,"A+",IF('Data Source'!V632&gt;=4,"A",IF('Data Source'!V632&gt;=3.5,"A-",IF('Data Source'!V632&gt;=3,"B",IF('Data Source'!V632&gt;=2,"C",IF('Data Source'!V632&gt;=1,"D","F")))))),"")</f>
        <v/>
      </c>
      <c r="E632" s="3">
        <f>IF(AND('Data Source'!B632&lt;&gt;"",'Data Source'!S632="A+"),IF('Data Source'!W632&gt;=5,"A+",IF('Data Source'!W632&gt;=4,"A",IF('Data Source'!W632&gt;=3.5,"A-",IF('Data Source'!W632&gt;=3,"B",IF('Data Source'!W632&gt;=2,"C",IF('Data Source'!W632&gt;=1,"D","F")))))),"")</f>
        <v/>
      </c>
      <c r="F632" s="3">
        <f>IF(AND('Data Source'!B632&lt;&gt;"",'Data Source'!S632="A+"),IF('Data Source'!X632&gt;=5,"A+",IF('Data Source'!X632&gt;=4,"A",IF('Data Source'!X632&gt;=3.5,"A-",IF('Data Source'!X632&gt;=3,"B",IF('Data Source'!X632&gt;=2,"C",IF('Data Source'!X632&gt;=1,"D","F")))))),"")</f>
        <v/>
      </c>
      <c r="G632" s="3">
        <f>IF(AND('Data Source'!B632&lt;&gt;"",'Data Source'!S632="A+"),IF('Data Source'!Y632&gt;=5,"A+",IF('Data Source'!Y632&gt;=4,"A",IF('Data Source'!Y632&gt;=3.5,"A-",IF('Data Source'!Y632&gt;=3,"B",IF('Data Source'!Y632&gt;=2,"C",IF('Data Source'!Y632&gt;=1,"D","F")))))),"")</f>
        <v/>
      </c>
      <c r="H632" s="3">
        <f>IF(AND('Data Source'!B632&lt;&gt;"",'Data Source'!S632="A+"),IF('Data Source'!Z632&gt;=5,"A+",IF('Data Source'!Z632&gt;=4,"A",IF('Data Source'!Z632&gt;=3.5,"A-",IF('Data Source'!Z632&gt;=3,"B",IF('Data Source'!Z632&gt;=2,"C",IF('Data Source'!Z632&gt;=1,"D","F")))))),"")</f>
        <v/>
      </c>
      <c r="I632" s="3">
        <f>IF(AND('Data Source'!B632&lt;&gt;"",'Data Source'!S632="A+"),IF('Data Source'!AA632&gt;=5,"A+",IF('Data Source'!AA632&gt;=4,"A",IF('Data Source'!AA632&gt;=3.5,"A-",IF('Data Source'!AA632&gt;=3,"B",IF('Data Source'!AA632&gt;=2,"C",IF('Data Source'!AA632&gt;=1,"D","F")))))),"")</f>
        <v/>
      </c>
      <c r="J632" s="3">
        <f>IF(AND('Data Source'!B632&lt;&gt;"",'Data Source'!S632="A+"),IF('Data Source'!AB632&gt;=5,"A+",IF('Data Source'!AB632&gt;=4,"A",IF('Data Source'!AB632&gt;=3.5,"A-",IF('Data Source'!AB632&gt;=3,"B",IF('Data Source'!AB632&gt;=2,"C",IF('Data Source'!AB632&gt;=1,"D","F")))))),"")</f>
        <v/>
      </c>
      <c r="K632" s="3">
        <f>IF(AND('Data Source'!B632&lt;&gt;"",'Data Source'!S632="A+"),IF('Data Source'!AC632&gt;=5,"A+",IF('Data Source'!AC632&gt;=4,"A",IF('Data Source'!AC632&gt;=3.5,"A-",IF('Data Source'!AC632&gt;=3,"B",IF('Data Source'!AC632&gt;=2,"C",IF('Data Source'!AC632&gt;=1,"D","F")))))),"")</f>
        <v/>
      </c>
      <c r="L632" s="3">
        <f>IF(AND('Data Source'!B632&lt;&gt;"",'Data Source'!S632="A+"),IF('Data Source'!AD632&gt;=5,"A+",IF('Data Source'!AD632&gt;=4,"A",IF('Data Source'!AD632&gt;=3.5,"A-",IF('Data Source'!AD632&gt;=3,"B",IF('Data Source'!AD632&gt;=2,"C",IF('Data Source'!AD632&gt;=1,"D","F")))))),"")</f>
        <v/>
      </c>
      <c r="M632" s="3">
        <f>IF(AND('Data Source'!B632&lt;&gt;"",'Data Source'!S632="A+"),IF('Data Source'!AE632&gt;=5,"A+",IF('Data Source'!AE632&gt;=4,"A",IF('Data Source'!AE632&gt;=3.5,"A-",IF('Data Source'!AE632&gt;=3,"B",IF('Data Source'!AE632&gt;=2,"C",IF('Data Source'!AE632&gt;=1,"D","F")))))),"")</f>
        <v/>
      </c>
      <c r="N632" s="3">
        <f>IF(AND('Data Source'!B632&lt;&gt;"",'Data Source'!S632="A+"),IF('Data Source'!AF632&gt;=5,"A+",IF('Data Source'!AF632&gt;=4,"A",IF('Data Source'!AF632&gt;=3.5,"A-",IF('Data Source'!AF632&gt;=3,"B",IF('Data Source'!AF632&gt;=2,"C",IF('Data Source'!AF632&gt;=1,"D","F")))))),"")</f>
        <v/>
      </c>
      <c r="O632" s="3">
        <f>IF(AND('Data Source'!B632&lt;&gt;"",'Data Source'!S632="A+"),IF('Data Source'!AG632&gt;=5,"A+",IF('Data Source'!AG632&gt;=4,"A",IF('Data Source'!AG632&gt;=3.5,"A-",IF('Data Source'!AG632&gt;=3,"B",IF('Data Source'!AG632&gt;=2,"C",IF('Data Source'!AG632&gt;=1,"D","F")))))),"")</f>
        <v/>
      </c>
      <c r="P632" s="5">
        <f>IF(AND('Data Source'!B632&lt;&gt;"",'Data Source'!S632="A+"),'Data Source'!R632,"")</f>
        <v/>
      </c>
      <c r="Q632" s="3">
        <f>IF(AND('Data Source'!B632&lt;&gt;"",'Data Source'!S632="A+"),'Data Source'!S632,"")</f>
        <v/>
      </c>
    </row>
    <row r="633">
      <c r="A633" s="3">
        <f>IF(AND('Data Source'!B633&lt;&gt;"",'Data Source'!S633="A+"),COUNTIF('Data Source'!$S$3:S633,"A+"),"")</f>
        <v/>
      </c>
      <c r="B633">
        <f>IF(AND('Data Source'!B633&lt;&gt;"",'Data Source'!S633="A+"),'Data Source'!B633,"")</f>
        <v/>
      </c>
      <c r="C633" s="3">
        <f>IF(AND('Data Source'!B633&lt;&gt;"",'Data Source'!S633="A+"),IF('Data Source'!U633&gt;=5,"A+",IF('Data Source'!U633&gt;=4,"A",IF('Data Source'!U633&gt;=3.5,"A-",IF('Data Source'!U633&gt;=3,"B",IF('Data Source'!U633&gt;=2,"C",IF('Data Source'!U633&gt;=1,"D","F")))))),"")</f>
        <v/>
      </c>
      <c r="D633" s="3">
        <f>IF(AND('Data Source'!B633&lt;&gt;"",'Data Source'!S633="A+"),IF('Data Source'!V633&gt;=5,"A+",IF('Data Source'!V633&gt;=4,"A",IF('Data Source'!V633&gt;=3.5,"A-",IF('Data Source'!V633&gt;=3,"B",IF('Data Source'!V633&gt;=2,"C",IF('Data Source'!V633&gt;=1,"D","F")))))),"")</f>
        <v/>
      </c>
      <c r="E633" s="3">
        <f>IF(AND('Data Source'!B633&lt;&gt;"",'Data Source'!S633="A+"),IF('Data Source'!W633&gt;=5,"A+",IF('Data Source'!W633&gt;=4,"A",IF('Data Source'!W633&gt;=3.5,"A-",IF('Data Source'!W633&gt;=3,"B",IF('Data Source'!W633&gt;=2,"C",IF('Data Source'!W633&gt;=1,"D","F")))))),"")</f>
        <v/>
      </c>
      <c r="F633" s="3">
        <f>IF(AND('Data Source'!B633&lt;&gt;"",'Data Source'!S633="A+"),IF('Data Source'!X633&gt;=5,"A+",IF('Data Source'!X633&gt;=4,"A",IF('Data Source'!X633&gt;=3.5,"A-",IF('Data Source'!X633&gt;=3,"B",IF('Data Source'!X633&gt;=2,"C",IF('Data Source'!X633&gt;=1,"D","F")))))),"")</f>
        <v/>
      </c>
      <c r="G633" s="3">
        <f>IF(AND('Data Source'!B633&lt;&gt;"",'Data Source'!S633="A+"),IF('Data Source'!Y633&gt;=5,"A+",IF('Data Source'!Y633&gt;=4,"A",IF('Data Source'!Y633&gt;=3.5,"A-",IF('Data Source'!Y633&gt;=3,"B",IF('Data Source'!Y633&gt;=2,"C",IF('Data Source'!Y633&gt;=1,"D","F")))))),"")</f>
        <v/>
      </c>
      <c r="H633" s="3">
        <f>IF(AND('Data Source'!B633&lt;&gt;"",'Data Source'!S633="A+"),IF('Data Source'!Z633&gt;=5,"A+",IF('Data Source'!Z633&gt;=4,"A",IF('Data Source'!Z633&gt;=3.5,"A-",IF('Data Source'!Z633&gt;=3,"B",IF('Data Source'!Z633&gt;=2,"C",IF('Data Source'!Z633&gt;=1,"D","F")))))),"")</f>
        <v/>
      </c>
      <c r="I633" s="3">
        <f>IF(AND('Data Source'!B633&lt;&gt;"",'Data Source'!S633="A+"),IF('Data Source'!AA633&gt;=5,"A+",IF('Data Source'!AA633&gt;=4,"A",IF('Data Source'!AA633&gt;=3.5,"A-",IF('Data Source'!AA633&gt;=3,"B",IF('Data Source'!AA633&gt;=2,"C",IF('Data Source'!AA633&gt;=1,"D","F")))))),"")</f>
        <v/>
      </c>
      <c r="J633" s="3">
        <f>IF(AND('Data Source'!B633&lt;&gt;"",'Data Source'!S633="A+"),IF('Data Source'!AB633&gt;=5,"A+",IF('Data Source'!AB633&gt;=4,"A",IF('Data Source'!AB633&gt;=3.5,"A-",IF('Data Source'!AB633&gt;=3,"B",IF('Data Source'!AB633&gt;=2,"C",IF('Data Source'!AB633&gt;=1,"D","F")))))),"")</f>
        <v/>
      </c>
      <c r="K633" s="3">
        <f>IF(AND('Data Source'!B633&lt;&gt;"",'Data Source'!S633="A+"),IF('Data Source'!AC633&gt;=5,"A+",IF('Data Source'!AC633&gt;=4,"A",IF('Data Source'!AC633&gt;=3.5,"A-",IF('Data Source'!AC633&gt;=3,"B",IF('Data Source'!AC633&gt;=2,"C",IF('Data Source'!AC633&gt;=1,"D","F")))))),"")</f>
        <v/>
      </c>
      <c r="L633" s="3">
        <f>IF(AND('Data Source'!B633&lt;&gt;"",'Data Source'!S633="A+"),IF('Data Source'!AD633&gt;=5,"A+",IF('Data Source'!AD633&gt;=4,"A",IF('Data Source'!AD633&gt;=3.5,"A-",IF('Data Source'!AD633&gt;=3,"B",IF('Data Source'!AD633&gt;=2,"C",IF('Data Source'!AD633&gt;=1,"D","F")))))),"")</f>
        <v/>
      </c>
      <c r="M633" s="3">
        <f>IF(AND('Data Source'!B633&lt;&gt;"",'Data Source'!S633="A+"),IF('Data Source'!AE633&gt;=5,"A+",IF('Data Source'!AE633&gt;=4,"A",IF('Data Source'!AE633&gt;=3.5,"A-",IF('Data Source'!AE633&gt;=3,"B",IF('Data Source'!AE633&gt;=2,"C",IF('Data Source'!AE633&gt;=1,"D","F")))))),"")</f>
        <v/>
      </c>
      <c r="N633" s="3">
        <f>IF(AND('Data Source'!B633&lt;&gt;"",'Data Source'!S633="A+"),IF('Data Source'!AF633&gt;=5,"A+",IF('Data Source'!AF633&gt;=4,"A",IF('Data Source'!AF633&gt;=3.5,"A-",IF('Data Source'!AF633&gt;=3,"B",IF('Data Source'!AF633&gt;=2,"C",IF('Data Source'!AF633&gt;=1,"D","F")))))),"")</f>
        <v/>
      </c>
      <c r="O633" s="3">
        <f>IF(AND('Data Source'!B633&lt;&gt;"",'Data Source'!S633="A+"),IF('Data Source'!AG633&gt;=5,"A+",IF('Data Source'!AG633&gt;=4,"A",IF('Data Source'!AG633&gt;=3.5,"A-",IF('Data Source'!AG633&gt;=3,"B",IF('Data Source'!AG633&gt;=2,"C",IF('Data Source'!AG633&gt;=1,"D","F")))))),"")</f>
        <v/>
      </c>
      <c r="P633" s="5">
        <f>IF(AND('Data Source'!B633&lt;&gt;"",'Data Source'!S633="A+"),'Data Source'!R633,"")</f>
        <v/>
      </c>
      <c r="Q633" s="3">
        <f>IF(AND('Data Source'!B633&lt;&gt;"",'Data Source'!S633="A+"),'Data Source'!S633,"")</f>
        <v/>
      </c>
    </row>
    <row r="634">
      <c r="A634" s="3">
        <f>IF(AND('Data Source'!B634&lt;&gt;"",'Data Source'!S634="A+"),COUNTIF('Data Source'!$S$3:S634,"A+"),"")</f>
        <v/>
      </c>
      <c r="B634">
        <f>IF(AND('Data Source'!B634&lt;&gt;"",'Data Source'!S634="A+"),'Data Source'!B634,"")</f>
        <v/>
      </c>
      <c r="C634" s="3">
        <f>IF(AND('Data Source'!B634&lt;&gt;"",'Data Source'!S634="A+"),IF('Data Source'!U634&gt;=5,"A+",IF('Data Source'!U634&gt;=4,"A",IF('Data Source'!U634&gt;=3.5,"A-",IF('Data Source'!U634&gt;=3,"B",IF('Data Source'!U634&gt;=2,"C",IF('Data Source'!U634&gt;=1,"D","F")))))),"")</f>
        <v/>
      </c>
      <c r="D634" s="3">
        <f>IF(AND('Data Source'!B634&lt;&gt;"",'Data Source'!S634="A+"),IF('Data Source'!V634&gt;=5,"A+",IF('Data Source'!V634&gt;=4,"A",IF('Data Source'!V634&gt;=3.5,"A-",IF('Data Source'!V634&gt;=3,"B",IF('Data Source'!V634&gt;=2,"C",IF('Data Source'!V634&gt;=1,"D","F")))))),"")</f>
        <v/>
      </c>
      <c r="E634" s="3">
        <f>IF(AND('Data Source'!B634&lt;&gt;"",'Data Source'!S634="A+"),IF('Data Source'!W634&gt;=5,"A+",IF('Data Source'!W634&gt;=4,"A",IF('Data Source'!W634&gt;=3.5,"A-",IF('Data Source'!W634&gt;=3,"B",IF('Data Source'!W634&gt;=2,"C",IF('Data Source'!W634&gt;=1,"D","F")))))),"")</f>
        <v/>
      </c>
      <c r="F634" s="3">
        <f>IF(AND('Data Source'!B634&lt;&gt;"",'Data Source'!S634="A+"),IF('Data Source'!X634&gt;=5,"A+",IF('Data Source'!X634&gt;=4,"A",IF('Data Source'!X634&gt;=3.5,"A-",IF('Data Source'!X634&gt;=3,"B",IF('Data Source'!X634&gt;=2,"C",IF('Data Source'!X634&gt;=1,"D","F")))))),"")</f>
        <v/>
      </c>
      <c r="G634" s="3">
        <f>IF(AND('Data Source'!B634&lt;&gt;"",'Data Source'!S634="A+"),IF('Data Source'!Y634&gt;=5,"A+",IF('Data Source'!Y634&gt;=4,"A",IF('Data Source'!Y634&gt;=3.5,"A-",IF('Data Source'!Y634&gt;=3,"B",IF('Data Source'!Y634&gt;=2,"C",IF('Data Source'!Y634&gt;=1,"D","F")))))),"")</f>
        <v/>
      </c>
      <c r="H634" s="3">
        <f>IF(AND('Data Source'!B634&lt;&gt;"",'Data Source'!S634="A+"),IF('Data Source'!Z634&gt;=5,"A+",IF('Data Source'!Z634&gt;=4,"A",IF('Data Source'!Z634&gt;=3.5,"A-",IF('Data Source'!Z634&gt;=3,"B",IF('Data Source'!Z634&gt;=2,"C",IF('Data Source'!Z634&gt;=1,"D","F")))))),"")</f>
        <v/>
      </c>
      <c r="I634" s="3">
        <f>IF(AND('Data Source'!B634&lt;&gt;"",'Data Source'!S634="A+"),IF('Data Source'!AA634&gt;=5,"A+",IF('Data Source'!AA634&gt;=4,"A",IF('Data Source'!AA634&gt;=3.5,"A-",IF('Data Source'!AA634&gt;=3,"B",IF('Data Source'!AA634&gt;=2,"C",IF('Data Source'!AA634&gt;=1,"D","F")))))),"")</f>
        <v/>
      </c>
      <c r="J634" s="3">
        <f>IF(AND('Data Source'!B634&lt;&gt;"",'Data Source'!S634="A+"),IF('Data Source'!AB634&gt;=5,"A+",IF('Data Source'!AB634&gt;=4,"A",IF('Data Source'!AB634&gt;=3.5,"A-",IF('Data Source'!AB634&gt;=3,"B",IF('Data Source'!AB634&gt;=2,"C",IF('Data Source'!AB634&gt;=1,"D","F")))))),"")</f>
        <v/>
      </c>
      <c r="K634" s="3">
        <f>IF(AND('Data Source'!B634&lt;&gt;"",'Data Source'!S634="A+"),IF('Data Source'!AC634&gt;=5,"A+",IF('Data Source'!AC634&gt;=4,"A",IF('Data Source'!AC634&gt;=3.5,"A-",IF('Data Source'!AC634&gt;=3,"B",IF('Data Source'!AC634&gt;=2,"C",IF('Data Source'!AC634&gt;=1,"D","F")))))),"")</f>
        <v/>
      </c>
      <c r="L634" s="3">
        <f>IF(AND('Data Source'!B634&lt;&gt;"",'Data Source'!S634="A+"),IF('Data Source'!AD634&gt;=5,"A+",IF('Data Source'!AD634&gt;=4,"A",IF('Data Source'!AD634&gt;=3.5,"A-",IF('Data Source'!AD634&gt;=3,"B",IF('Data Source'!AD634&gt;=2,"C",IF('Data Source'!AD634&gt;=1,"D","F")))))),"")</f>
        <v/>
      </c>
      <c r="M634" s="3">
        <f>IF(AND('Data Source'!B634&lt;&gt;"",'Data Source'!S634="A+"),IF('Data Source'!AE634&gt;=5,"A+",IF('Data Source'!AE634&gt;=4,"A",IF('Data Source'!AE634&gt;=3.5,"A-",IF('Data Source'!AE634&gt;=3,"B",IF('Data Source'!AE634&gt;=2,"C",IF('Data Source'!AE634&gt;=1,"D","F")))))),"")</f>
        <v/>
      </c>
      <c r="N634" s="3">
        <f>IF(AND('Data Source'!B634&lt;&gt;"",'Data Source'!S634="A+"),IF('Data Source'!AF634&gt;=5,"A+",IF('Data Source'!AF634&gt;=4,"A",IF('Data Source'!AF634&gt;=3.5,"A-",IF('Data Source'!AF634&gt;=3,"B",IF('Data Source'!AF634&gt;=2,"C",IF('Data Source'!AF634&gt;=1,"D","F")))))),"")</f>
        <v/>
      </c>
      <c r="O634" s="3">
        <f>IF(AND('Data Source'!B634&lt;&gt;"",'Data Source'!S634="A+"),IF('Data Source'!AG634&gt;=5,"A+",IF('Data Source'!AG634&gt;=4,"A",IF('Data Source'!AG634&gt;=3.5,"A-",IF('Data Source'!AG634&gt;=3,"B",IF('Data Source'!AG634&gt;=2,"C",IF('Data Source'!AG634&gt;=1,"D","F")))))),"")</f>
        <v/>
      </c>
      <c r="P634" s="5">
        <f>IF(AND('Data Source'!B634&lt;&gt;"",'Data Source'!S634="A+"),'Data Source'!R634,"")</f>
        <v/>
      </c>
      <c r="Q634" s="3">
        <f>IF(AND('Data Source'!B634&lt;&gt;"",'Data Source'!S634="A+"),'Data Source'!S634,"")</f>
        <v/>
      </c>
    </row>
    <row r="635">
      <c r="A635" s="3">
        <f>IF(AND('Data Source'!B635&lt;&gt;"",'Data Source'!S635="A+"),COUNTIF('Data Source'!$S$3:S635,"A+"),"")</f>
        <v/>
      </c>
      <c r="B635">
        <f>IF(AND('Data Source'!B635&lt;&gt;"",'Data Source'!S635="A+"),'Data Source'!B635,"")</f>
        <v/>
      </c>
      <c r="C635" s="3">
        <f>IF(AND('Data Source'!B635&lt;&gt;"",'Data Source'!S635="A+"),IF('Data Source'!U635&gt;=5,"A+",IF('Data Source'!U635&gt;=4,"A",IF('Data Source'!U635&gt;=3.5,"A-",IF('Data Source'!U635&gt;=3,"B",IF('Data Source'!U635&gt;=2,"C",IF('Data Source'!U635&gt;=1,"D","F")))))),"")</f>
        <v/>
      </c>
      <c r="D635" s="3">
        <f>IF(AND('Data Source'!B635&lt;&gt;"",'Data Source'!S635="A+"),IF('Data Source'!V635&gt;=5,"A+",IF('Data Source'!V635&gt;=4,"A",IF('Data Source'!V635&gt;=3.5,"A-",IF('Data Source'!V635&gt;=3,"B",IF('Data Source'!V635&gt;=2,"C",IF('Data Source'!V635&gt;=1,"D","F")))))),"")</f>
        <v/>
      </c>
      <c r="E635" s="3">
        <f>IF(AND('Data Source'!B635&lt;&gt;"",'Data Source'!S635="A+"),IF('Data Source'!W635&gt;=5,"A+",IF('Data Source'!W635&gt;=4,"A",IF('Data Source'!W635&gt;=3.5,"A-",IF('Data Source'!W635&gt;=3,"B",IF('Data Source'!W635&gt;=2,"C",IF('Data Source'!W635&gt;=1,"D","F")))))),"")</f>
        <v/>
      </c>
      <c r="F635" s="3">
        <f>IF(AND('Data Source'!B635&lt;&gt;"",'Data Source'!S635="A+"),IF('Data Source'!X635&gt;=5,"A+",IF('Data Source'!X635&gt;=4,"A",IF('Data Source'!X635&gt;=3.5,"A-",IF('Data Source'!X635&gt;=3,"B",IF('Data Source'!X635&gt;=2,"C",IF('Data Source'!X635&gt;=1,"D","F")))))),"")</f>
        <v/>
      </c>
      <c r="G635" s="3">
        <f>IF(AND('Data Source'!B635&lt;&gt;"",'Data Source'!S635="A+"),IF('Data Source'!Y635&gt;=5,"A+",IF('Data Source'!Y635&gt;=4,"A",IF('Data Source'!Y635&gt;=3.5,"A-",IF('Data Source'!Y635&gt;=3,"B",IF('Data Source'!Y635&gt;=2,"C",IF('Data Source'!Y635&gt;=1,"D","F")))))),"")</f>
        <v/>
      </c>
      <c r="H635" s="3">
        <f>IF(AND('Data Source'!B635&lt;&gt;"",'Data Source'!S635="A+"),IF('Data Source'!Z635&gt;=5,"A+",IF('Data Source'!Z635&gt;=4,"A",IF('Data Source'!Z635&gt;=3.5,"A-",IF('Data Source'!Z635&gt;=3,"B",IF('Data Source'!Z635&gt;=2,"C",IF('Data Source'!Z635&gt;=1,"D","F")))))),"")</f>
        <v/>
      </c>
      <c r="I635" s="3">
        <f>IF(AND('Data Source'!B635&lt;&gt;"",'Data Source'!S635="A+"),IF('Data Source'!AA635&gt;=5,"A+",IF('Data Source'!AA635&gt;=4,"A",IF('Data Source'!AA635&gt;=3.5,"A-",IF('Data Source'!AA635&gt;=3,"B",IF('Data Source'!AA635&gt;=2,"C",IF('Data Source'!AA635&gt;=1,"D","F")))))),"")</f>
        <v/>
      </c>
      <c r="J635" s="3">
        <f>IF(AND('Data Source'!B635&lt;&gt;"",'Data Source'!S635="A+"),IF('Data Source'!AB635&gt;=5,"A+",IF('Data Source'!AB635&gt;=4,"A",IF('Data Source'!AB635&gt;=3.5,"A-",IF('Data Source'!AB635&gt;=3,"B",IF('Data Source'!AB635&gt;=2,"C",IF('Data Source'!AB635&gt;=1,"D","F")))))),"")</f>
        <v/>
      </c>
      <c r="K635" s="3">
        <f>IF(AND('Data Source'!B635&lt;&gt;"",'Data Source'!S635="A+"),IF('Data Source'!AC635&gt;=5,"A+",IF('Data Source'!AC635&gt;=4,"A",IF('Data Source'!AC635&gt;=3.5,"A-",IF('Data Source'!AC635&gt;=3,"B",IF('Data Source'!AC635&gt;=2,"C",IF('Data Source'!AC635&gt;=1,"D","F")))))),"")</f>
        <v/>
      </c>
      <c r="L635" s="3">
        <f>IF(AND('Data Source'!B635&lt;&gt;"",'Data Source'!S635="A+"),IF('Data Source'!AD635&gt;=5,"A+",IF('Data Source'!AD635&gt;=4,"A",IF('Data Source'!AD635&gt;=3.5,"A-",IF('Data Source'!AD635&gt;=3,"B",IF('Data Source'!AD635&gt;=2,"C",IF('Data Source'!AD635&gt;=1,"D","F")))))),"")</f>
        <v/>
      </c>
      <c r="M635" s="3">
        <f>IF(AND('Data Source'!B635&lt;&gt;"",'Data Source'!S635="A+"),IF('Data Source'!AE635&gt;=5,"A+",IF('Data Source'!AE635&gt;=4,"A",IF('Data Source'!AE635&gt;=3.5,"A-",IF('Data Source'!AE635&gt;=3,"B",IF('Data Source'!AE635&gt;=2,"C",IF('Data Source'!AE635&gt;=1,"D","F")))))),"")</f>
        <v/>
      </c>
      <c r="N635" s="3">
        <f>IF(AND('Data Source'!B635&lt;&gt;"",'Data Source'!S635="A+"),IF('Data Source'!AF635&gt;=5,"A+",IF('Data Source'!AF635&gt;=4,"A",IF('Data Source'!AF635&gt;=3.5,"A-",IF('Data Source'!AF635&gt;=3,"B",IF('Data Source'!AF635&gt;=2,"C",IF('Data Source'!AF635&gt;=1,"D","F")))))),"")</f>
        <v/>
      </c>
      <c r="O635" s="3">
        <f>IF(AND('Data Source'!B635&lt;&gt;"",'Data Source'!S635="A+"),IF('Data Source'!AG635&gt;=5,"A+",IF('Data Source'!AG635&gt;=4,"A",IF('Data Source'!AG635&gt;=3.5,"A-",IF('Data Source'!AG635&gt;=3,"B",IF('Data Source'!AG635&gt;=2,"C",IF('Data Source'!AG635&gt;=1,"D","F")))))),"")</f>
        <v/>
      </c>
      <c r="P635" s="5">
        <f>IF(AND('Data Source'!B635&lt;&gt;"",'Data Source'!S635="A+"),'Data Source'!R635,"")</f>
        <v/>
      </c>
      <c r="Q635" s="3">
        <f>IF(AND('Data Source'!B635&lt;&gt;"",'Data Source'!S635="A+"),'Data Source'!S635,"")</f>
        <v/>
      </c>
    </row>
    <row r="636">
      <c r="A636" s="3">
        <f>IF(AND('Data Source'!B636&lt;&gt;"",'Data Source'!S636="A+"),COUNTIF('Data Source'!$S$3:S636,"A+"),"")</f>
        <v/>
      </c>
      <c r="B636">
        <f>IF(AND('Data Source'!B636&lt;&gt;"",'Data Source'!S636="A+"),'Data Source'!B636,"")</f>
        <v/>
      </c>
      <c r="C636" s="3">
        <f>IF(AND('Data Source'!B636&lt;&gt;"",'Data Source'!S636="A+"),IF('Data Source'!U636&gt;=5,"A+",IF('Data Source'!U636&gt;=4,"A",IF('Data Source'!U636&gt;=3.5,"A-",IF('Data Source'!U636&gt;=3,"B",IF('Data Source'!U636&gt;=2,"C",IF('Data Source'!U636&gt;=1,"D","F")))))),"")</f>
        <v/>
      </c>
      <c r="D636" s="3">
        <f>IF(AND('Data Source'!B636&lt;&gt;"",'Data Source'!S636="A+"),IF('Data Source'!V636&gt;=5,"A+",IF('Data Source'!V636&gt;=4,"A",IF('Data Source'!V636&gt;=3.5,"A-",IF('Data Source'!V636&gt;=3,"B",IF('Data Source'!V636&gt;=2,"C",IF('Data Source'!V636&gt;=1,"D","F")))))),"")</f>
        <v/>
      </c>
      <c r="E636" s="3">
        <f>IF(AND('Data Source'!B636&lt;&gt;"",'Data Source'!S636="A+"),IF('Data Source'!W636&gt;=5,"A+",IF('Data Source'!W636&gt;=4,"A",IF('Data Source'!W636&gt;=3.5,"A-",IF('Data Source'!W636&gt;=3,"B",IF('Data Source'!W636&gt;=2,"C",IF('Data Source'!W636&gt;=1,"D","F")))))),"")</f>
        <v/>
      </c>
      <c r="F636" s="3">
        <f>IF(AND('Data Source'!B636&lt;&gt;"",'Data Source'!S636="A+"),IF('Data Source'!X636&gt;=5,"A+",IF('Data Source'!X636&gt;=4,"A",IF('Data Source'!X636&gt;=3.5,"A-",IF('Data Source'!X636&gt;=3,"B",IF('Data Source'!X636&gt;=2,"C",IF('Data Source'!X636&gt;=1,"D","F")))))),"")</f>
        <v/>
      </c>
      <c r="G636" s="3">
        <f>IF(AND('Data Source'!B636&lt;&gt;"",'Data Source'!S636="A+"),IF('Data Source'!Y636&gt;=5,"A+",IF('Data Source'!Y636&gt;=4,"A",IF('Data Source'!Y636&gt;=3.5,"A-",IF('Data Source'!Y636&gt;=3,"B",IF('Data Source'!Y636&gt;=2,"C",IF('Data Source'!Y636&gt;=1,"D","F")))))),"")</f>
        <v/>
      </c>
      <c r="H636" s="3">
        <f>IF(AND('Data Source'!B636&lt;&gt;"",'Data Source'!S636="A+"),IF('Data Source'!Z636&gt;=5,"A+",IF('Data Source'!Z636&gt;=4,"A",IF('Data Source'!Z636&gt;=3.5,"A-",IF('Data Source'!Z636&gt;=3,"B",IF('Data Source'!Z636&gt;=2,"C",IF('Data Source'!Z636&gt;=1,"D","F")))))),"")</f>
        <v/>
      </c>
      <c r="I636" s="3">
        <f>IF(AND('Data Source'!B636&lt;&gt;"",'Data Source'!S636="A+"),IF('Data Source'!AA636&gt;=5,"A+",IF('Data Source'!AA636&gt;=4,"A",IF('Data Source'!AA636&gt;=3.5,"A-",IF('Data Source'!AA636&gt;=3,"B",IF('Data Source'!AA636&gt;=2,"C",IF('Data Source'!AA636&gt;=1,"D","F")))))),"")</f>
        <v/>
      </c>
      <c r="J636" s="3">
        <f>IF(AND('Data Source'!B636&lt;&gt;"",'Data Source'!S636="A+"),IF('Data Source'!AB636&gt;=5,"A+",IF('Data Source'!AB636&gt;=4,"A",IF('Data Source'!AB636&gt;=3.5,"A-",IF('Data Source'!AB636&gt;=3,"B",IF('Data Source'!AB636&gt;=2,"C",IF('Data Source'!AB636&gt;=1,"D","F")))))),"")</f>
        <v/>
      </c>
      <c r="K636" s="3">
        <f>IF(AND('Data Source'!B636&lt;&gt;"",'Data Source'!S636="A+"),IF('Data Source'!AC636&gt;=5,"A+",IF('Data Source'!AC636&gt;=4,"A",IF('Data Source'!AC636&gt;=3.5,"A-",IF('Data Source'!AC636&gt;=3,"B",IF('Data Source'!AC636&gt;=2,"C",IF('Data Source'!AC636&gt;=1,"D","F")))))),"")</f>
        <v/>
      </c>
      <c r="L636" s="3">
        <f>IF(AND('Data Source'!B636&lt;&gt;"",'Data Source'!S636="A+"),IF('Data Source'!AD636&gt;=5,"A+",IF('Data Source'!AD636&gt;=4,"A",IF('Data Source'!AD636&gt;=3.5,"A-",IF('Data Source'!AD636&gt;=3,"B",IF('Data Source'!AD636&gt;=2,"C",IF('Data Source'!AD636&gt;=1,"D","F")))))),"")</f>
        <v/>
      </c>
      <c r="M636" s="3">
        <f>IF(AND('Data Source'!B636&lt;&gt;"",'Data Source'!S636="A+"),IF('Data Source'!AE636&gt;=5,"A+",IF('Data Source'!AE636&gt;=4,"A",IF('Data Source'!AE636&gt;=3.5,"A-",IF('Data Source'!AE636&gt;=3,"B",IF('Data Source'!AE636&gt;=2,"C",IF('Data Source'!AE636&gt;=1,"D","F")))))),"")</f>
        <v/>
      </c>
      <c r="N636" s="3">
        <f>IF(AND('Data Source'!B636&lt;&gt;"",'Data Source'!S636="A+"),IF('Data Source'!AF636&gt;=5,"A+",IF('Data Source'!AF636&gt;=4,"A",IF('Data Source'!AF636&gt;=3.5,"A-",IF('Data Source'!AF636&gt;=3,"B",IF('Data Source'!AF636&gt;=2,"C",IF('Data Source'!AF636&gt;=1,"D","F")))))),"")</f>
        <v/>
      </c>
      <c r="O636" s="3">
        <f>IF(AND('Data Source'!B636&lt;&gt;"",'Data Source'!S636="A+"),IF('Data Source'!AG636&gt;=5,"A+",IF('Data Source'!AG636&gt;=4,"A",IF('Data Source'!AG636&gt;=3.5,"A-",IF('Data Source'!AG636&gt;=3,"B",IF('Data Source'!AG636&gt;=2,"C",IF('Data Source'!AG636&gt;=1,"D","F")))))),"")</f>
        <v/>
      </c>
      <c r="P636" s="5">
        <f>IF(AND('Data Source'!B636&lt;&gt;"",'Data Source'!S636="A+"),'Data Source'!R636,"")</f>
        <v/>
      </c>
      <c r="Q636" s="3">
        <f>IF(AND('Data Source'!B636&lt;&gt;"",'Data Source'!S636="A+"),'Data Source'!S636,"")</f>
        <v/>
      </c>
    </row>
    <row r="637">
      <c r="A637" s="3">
        <f>IF(AND('Data Source'!B637&lt;&gt;"",'Data Source'!S637="A+"),COUNTIF('Data Source'!$S$3:S637,"A+"),"")</f>
        <v/>
      </c>
      <c r="B637">
        <f>IF(AND('Data Source'!B637&lt;&gt;"",'Data Source'!S637="A+"),'Data Source'!B637,"")</f>
        <v/>
      </c>
      <c r="C637" s="3">
        <f>IF(AND('Data Source'!B637&lt;&gt;"",'Data Source'!S637="A+"),IF('Data Source'!U637&gt;=5,"A+",IF('Data Source'!U637&gt;=4,"A",IF('Data Source'!U637&gt;=3.5,"A-",IF('Data Source'!U637&gt;=3,"B",IF('Data Source'!U637&gt;=2,"C",IF('Data Source'!U637&gt;=1,"D","F")))))),"")</f>
        <v/>
      </c>
      <c r="D637" s="3">
        <f>IF(AND('Data Source'!B637&lt;&gt;"",'Data Source'!S637="A+"),IF('Data Source'!V637&gt;=5,"A+",IF('Data Source'!V637&gt;=4,"A",IF('Data Source'!V637&gt;=3.5,"A-",IF('Data Source'!V637&gt;=3,"B",IF('Data Source'!V637&gt;=2,"C",IF('Data Source'!V637&gt;=1,"D","F")))))),"")</f>
        <v/>
      </c>
      <c r="E637" s="3">
        <f>IF(AND('Data Source'!B637&lt;&gt;"",'Data Source'!S637="A+"),IF('Data Source'!W637&gt;=5,"A+",IF('Data Source'!W637&gt;=4,"A",IF('Data Source'!W637&gt;=3.5,"A-",IF('Data Source'!W637&gt;=3,"B",IF('Data Source'!W637&gt;=2,"C",IF('Data Source'!W637&gt;=1,"D","F")))))),"")</f>
        <v/>
      </c>
      <c r="F637" s="3">
        <f>IF(AND('Data Source'!B637&lt;&gt;"",'Data Source'!S637="A+"),IF('Data Source'!X637&gt;=5,"A+",IF('Data Source'!X637&gt;=4,"A",IF('Data Source'!X637&gt;=3.5,"A-",IF('Data Source'!X637&gt;=3,"B",IF('Data Source'!X637&gt;=2,"C",IF('Data Source'!X637&gt;=1,"D","F")))))),"")</f>
        <v/>
      </c>
      <c r="G637" s="3">
        <f>IF(AND('Data Source'!B637&lt;&gt;"",'Data Source'!S637="A+"),IF('Data Source'!Y637&gt;=5,"A+",IF('Data Source'!Y637&gt;=4,"A",IF('Data Source'!Y637&gt;=3.5,"A-",IF('Data Source'!Y637&gt;=3,"B",IF('Data Source'!Y637&gt;=2,"C",IF('Data Source'!Y637&gt;=1,"D","F")))))),"")</f>
        <v/>
      </c>
      <c r="H637" s="3">
        <f>IF(AND('Data Source'!B637&lt;&gt;"",'Data Source'!S637="A+"),IF('Data Source'!Z637&gt;=5,"A+",IF('Data Source'!Z637&gt;=4,"A",IF('Data Source'!Z637&gt;=3.5,"A-",IF('Data Source'!Z637&gt;=3,"B",IF('Data Source'!Z637&gt;=2,"C",IF('Data Source'!Z637&gt;=1,"D","F")))))),"")</f>
        <v/>
      </c>
      <c r="I637" s="3">
        <f>IF(AND('Data Source'!B637&lt;&gt;"",'Data Source'!S637="A+"),IF('Data Source'!AA637&gt;=5,"A+",IF('Data Source'!AA637&gt;=4,"A",IF('Data Source'!AA637&gt;=3.5,"A-",IF('Data Source'!AA637&gt;=3,"B",IF('Data Source'!AA637&gt;=2,"C",IF('Data Source'!AA637&gt;=1,"D","F")))))),"")</f>
        <v/>
      </c>
      <c r="J637" s="3">
        <f>IF(AND('Data Source'!B637&lt;&gt;"",'Data Source'!S637="A+"),IF('Data Source'!AB637&gt;=5,"A+",IF('Data Source'!AB637&gt;=4,"A",IF('Data Source'!AB637&gt;=3.5,"A-",IF('Data Source'!AB637&gt;=3,"B",IF('Data Source'!AB637&gt;=2,"C",IF('Data Source'!AB637&gt;=1,"D","F")))))),"")</f>
        <v/>
      </c>
      <c r="K637" s="3">
        <f>IF(AND('Data Source'!B637&lt;&gt;"",'Data Source'!S637="A+"),IF('Data Source'!AC637&gt;=5,"A+",IF('Data Source'!AC637&gt;=4,"A",IF('Data Source'!AC637&gt;=3.5,"A-",IF('Data Source'!AC637&gt;=3,"B",IF('Data Source'!AC637&gt;=2,"C",IF('Data Source'!AC637&gt;=1,"D","F")))))),"")</f>
        <v/>
      </c>
      <c r="L637" s="3">
        <f>IF(AND('Data Source'!B637&lt;&gt;"",'Data Source'!S637="A+"),IF('Data Source'!AD637&gt;=5,"A+",IF('Data Source'!AD637&gt;=4,"A",IF('Data Source'!AD637&gt;=3.5,"A-",IF('Data Source'!AD637&gt;=3,"B",IF('Data Source'!AD637&gt;=2,"C",IF('Data Source'!AD637&gt;=1,"D","F")))))),"")</f>
        <v/>
      </c>
      <c r="M637" s="3">
        <f>IF(AND('Data Source'!B637&lt;&gt;"",'Data Source'!S637="A+"),IF('Data Source'!AE637&gt;=5,"A+",IF('Data Source'!AE637&gt;=4,"A",IF('Data Source'!AE637&gt;=3.5,"A-",IF('Data Source'!AE637&gt;=3,"B",IF('Data Source'!AE637&gt;=2,"C",IF('Data Source'!AE637&gt;=1,"D","F")))))),"")</f>
        <v/>
      </c>
      <c r="N637" s="3">
        <f>IF(AND('Data Source'!B637&lt;&gt;"",'Data Source'!S637="A+"),IF('Data Source'!AF637&gt;=5,"A+",IF('Data Source'!AF637&gt;=4,"A",IF('Data Source'!AF637&gt;=3.5,"A-",IF('Data Source'!AF637&gt;=3,"B",IF('Data Source'!AF637&gt;=2,"C",IF('Data Source'!AF637&gt;=1,"D","F")))))),"")</f>
        <v/>
      </c>
      <c r="O637" s="3">
        <f>IF(AND('Data Source'!B637&lt;&gt;"",'Data Source'!S637="A+"),IF('Data Source'!AG637&gt;=5,"A+",IF('Data Source'!AG637&gt;=4,"A",IF('Data Source'!AG637&gt;=3.5,"A-",IF('Data Source'!AG637&gt;=3,"B",IF('Data Source'!AG637&gt;=2,"C",IF('Data Source'!AG637&gt;=1,"D","F")))))),"")</f>
        <v/>
      </c>
      <c r="P637" s="5">
        <f>IF(AND('Data Source'!B637&lt;&gt;"",'Data Source'!S637="A+"),'Data Source'!R637,"")</f>
        <v/>
      </c>
      <c r="Q637" s="3">
        <f>IF(AND('Data Source'!B637&lt;&gt;"",'Data Source'!S637="A+"),'Data Source'!S637,"")</f>
        <v/>
      </c>
    </row>
    <row r="638">
      <c r="A638" s="3">
        <f>IF(AND('Data Source'!B638&lt;&gt;"",'Data Source'!S638="A+"),COUNTIF('Data Source'!$S$3:S638,"A+"),"")</f>
        <v/>
      </c>
      <c r="B638">
        <f>IF(AND('Data Source'!B638&lt;&gt;"",'Data Source'!S638="A+"),'Data Source'!B638,"")</f>
        <v/>
      </c>
      <c r="C638" s="3">
        <f>IF(AND('Data Source'!B638&lt;&gt;"",'Data Source'!S638="A+"),IF('Data Source'!U638&gt;=5,"A+",IF('Data Source'!U638&gt;=4,"A",IF('Data Source'!U638&gt;=3.5,"A-",IF('Data Source'!U638&gt;=3,"B",IF('Data Source'!U638&gt;=2,"C",IF('Data Source'!U638&gt;=1,"D","F")))))),"")</f>
        <v/>
      </c>
      <c r="D638" s="3">
        <f>IF(AND('Data Source'!B638&lt;&gt;"",'Data Source'!S638="A+"),IF('Data Source'!V638&gt;=5,"A+",IF('Data Source'!V638&gt;=4,"A",IF('Data Source'!V638&gt;=3.5,"A-",IF('Data Source'!V638&gt;=3,"B",IF('Data Source'!V638&gt;=2,"C",IF('Data Source'!V638&gt;=1,"D","F")))))),"")</f>
        <v/>
      </c>
      <c r="E638" s="3">
        <f>IF(AND('Data Source'!B638&lt;&gt;"",'Data Source'!S638="A+"),IF('Data Source'!W638&gt;=5,"A+",IF('Data Source'!W638&gt;=4,"A",IF('Data Source'!W638&gt;=3.5,"A-",IF('Data Source'!W638&gt;=3,"B",IF('Data Source'!W638&gt;=2,"C",IF('Data Source'!W638&gt;=1,"D","F")))))),"")</f>
        <v/>
      </c>
      <c r="F638" s="3">
        <f>IF(AND('Data Source'!B638&lt;&gt;"",'Data Source'!S638="A+"),IF('Data Source'!X638&gt;=5,"A+",IF('Data Source'!X638&gt;=4,"A",IF('Data Source'!X638&gt;=3.5,"A-",IF('Data Source'!X638&gt;=3,"B",IF('Data Source'!X638&gt;=2,"C",IF('Data Source'!X638&gt;=1,"D","F")))))),"")</f>
        <v/>
      </c>
      <c r="G638" s="3">
        <f>IF(AND('Data Source'!B638&lt;&gt;"",'Data Source'!S638="A+"),IF('Data Source'!Y638&gt;=5,"A+",IF('Data Source'!Y638&gt;=4,"A",IF('Data Source'!Y638&gt;=3.5,"A-",IF('Data Source'!Y638&gt;=3,"B",IF('Data Source'!Y638&gt;=2,"C",IF('Data Source'!Y638&gt;=1,"D","F")))))),"")</f>
        <v/>
      </c>
      <c r="H638" s="3">
        <f>IF(AND('Data Source'!B638&lt;&gt;"",'Data Source'!S638="A+"),IF('Data Source'!Z638&gt;=5,"A+",IF('Data Source'!Z638&gt;=4,"A",IF('Data Source'!Z638&gt;=3.5,"A-",IF('Data Source'!Z638&gt;=3,"B",IF('Data Source'!Z638&gt;=2,"C",IF('Data Source'!Z638&gt;=1,"D","F")))))),"")</f>
        <v/>
      </c>
      <c r="I638" s="3">
        <f>IF(AND('Data Source'!B638&lt;&gt;"",'Data Source'!S638="A+"),IF('Data Source'!AA638&gt;=5,"A+",IF('Data Source'!AA638&gt;=4,"A",IF('Data Source'!AA638&gt;=3.5,"A-",IF('Data Source'!AA638&gt;=3,"B",IF('Data Source'!AA638&gt;=2,"C",IF('Data Source'!AA638&gt;=1,"D","F")))))),"")</f>
        <v/>
      </c>
      <c r="J638" s="3">
        <f>IF(AND('Data Source'!B638&lt;&gt;"",'Data Source'!S638="A+"),IF('Data Source'!AB638&gt;=5,"A+",IF('Data Source'!AB638&gt;=4,"A",IF('Data Source'!AB638&gt;=3.5,"A-",IF('Data Source'!AB638&gt;=3,"B",IF('Data Source'!AB638&gt;=2,"C",IF('Data Source'!AB638&gt;=1,"D","F")))))),"")</f>
        <v/>
      </c>
      <c r="K638" s="3">
        <f>IF(AND('Data Source'!B638&lt;&gt;"",'Data Source'!S638="A+"),IF('Data Source'!AC638&gt;=5,"A+",IF('Data Source'!AC638&gt;=4,"A",IF('Data Source'!AC638&gt;=3.5,"A-",IF('Data Source'!AC638&gt;=3,"B",IF('Data Source'!AC638&gt;=2,"C",IF('Data Source'!AC638&gt;=1,"D","F")))))),"")</f>
        <v/>
      </c>
      <c r="L638" s="3">
        <f>IF(AND('Data Source'!B638&lt;&gt;"",'Data Source'!S638="A+"),IF('Data Source'!AD638&gt;=5,"A+",IF('Data Source'!AD638&gt;=4,"A",IF('Data Source'!AD638&gt;=3.5,"A-",IF('Data Source'!AD638&gt;=3,"B",IF('Data Source'!AD638&gt;=2,"C",IF('Data Source'!AD638&gt;=1,"D","F")))))),"")</f>
        <v/>
      </c>
      <c r="M638" s="3">
        <f>IF(AND('Data Source'!B638&lt;&gt;"",'Data Source'!S638="A+"),IF('Data Source'!AE638&gt;=5,"A+",IF('Data Source'!AE638&gt;=4,"A",IF('Data Source'!AE638&gt;=3.5,"A-",IF('Data Source'!AE638&gt;=3,"B",IF('Data Source'!AE638&gt;=2,"C",IF('Data Source'!AE638&gt;=1,"D","F")))))),"")</f>
        <v/>
      </c>
      <c r="N638" s="3">
        <f>IF(AND('Data Source'!B638&lt;&gt;"",'Data Source'!S638="A+"),IF('Data Source'!AF638&gt;=5,"A+",IF('Data Source'!AF638&gt;=4,"A",IF('Data Source'!AF638&gt;=3.5,"A-",IF('Data Source'!AF638&gt;=3,"B",IF('Data Source'!AF638&gt;=2,"C",IF('Data Source'!AF638&gt;=1,"D","F")))))),"")</f>
        <v/>
      </c>
      <c r="O638" s="3">
        <f>IF(AND('Data Source'!B638&lt;&gt;"",'Data Source'!S638="A+"),IF('Data Source'!AG638&gt;=5,"A+",IF('Data Source'!AG638&gt;=4,"A",IF('Data Source'!AG638&gt;=3.5,"A-",IF('Data Source'!AG638&gt;=3,"B",IF('Data Source'!AG638&gt;=2,"C",IF('Data Source'!AG638&gt;=1,"D","F")))))),"")</f>
        <v/>
      </c>
      <c r="P638" s="5">
        <f>IF(AND('Data Source'!B638&lt;&gt;"",'Data Source'!S638="A+"),'Data Source'!R638,"")</f>
        <v/>
      </c>
      <c r="Q638" s="3">
        <f>IF(AND('Data Source'!B638&lt;&gt;"",'Data Source'!S638="A+"),'Data Source'!S638,"")</f>
        <v/>
      </c>
    </row>
    <row r="639">
      <c r="A639" s="3">
        <f>IF(AND('Data Source'!B639&lt;&gt;"",'Data Source'!S639="A+"),COUNTIF('Data Source'!$S$3:S639,"A+"),"")</f>
        <v/>
      </c>
      <c r="B639">
        <f>IF(AND('Data Source'!B639&lt;&gt;"",'Data Source'!S639="A+"),'Data Source'!B639,"")</f>
        <v/>
      </c>
      <c r="C639" s="3">
        <f>IF(AND('Data Source'!B639&lt;&gt;"",'Data Source'!S639="A+"),IF('Data Source'!U639&gt;=5,"A+",IF('Data Source'!U639&gt;=4,"A",IF('Data Source'!U639&gt;=3.5,"A-",IF('Data Source'!U639&gt;=3,"B",IF('Data Source'!U639&gt;=2,"C",IF('Data Source'!U639&gt;=1,"D","F")))))),"")</f>
        <v/>
      </c>
      <c r="D639" s="3">
        <f>IF(AND('Data Source'!B639&lt;&gt;"",'Data Source'!S639="A+"),IF('Data Source'!V639&gt;=5,"A+",IF('Data Source'!V639&gt;=4,"A",IF('Data Source'!V639&gt;=3.5,"A-",IF('Data Source'!V639&gt;=3,"B",IF('Data Source'!V639&gt;=2,"C",IF('Data Source'!V639&gt;=1,"D","F")))))),"")</f>
        <v/>
      </c>
      <c r="E639" s="3">
        <f>IF(AND('Data Source'!B639&lt;&gt;"",'Data Source'!S639="A+"),IF('Data Source'!W639&gt;=5,"A+",IF('Data Source'!W639&gt;=4,"A",IF('Data Source'!W639&gt;=3.5,"A-",IF('Data Source'!W639&gt;=3,"B",IF('Data Source'!W639&gt;=2,"C",IF('Data Source'!W639&gt;=1,"D","F")))))),"")</f>
        <v/>
      </c>
      <c r="F639" s="3">
        <f>IF(AND('Data Source'!B639&lt;&gt;"",'Data Source'!S639="A+"),IF('Data Source'!X639&gt;=5,"A+",IF('Data Source'!X639&gt;=4,"A",IF('Data Source'!X639&gt;=3.5,"A-",IF('Data Source'!X639&gt;=3,"B",IF('Data Source'!X639&gt;=2,"C",IF('Data Source'!X639&gt;=1,"D","F")))))),"")</f>
        <v/>
      </c>
      <c r="G639" s="3">
        <f>IF(AND('Data Source'!B639&lt;&gt;"",'Data Source'!S639="A+"),IF('Data Source'!Y639&gt;=5,"A+",IF('Data Source'!Y639&gt;=4,"A",IF('Data Source'!Y639&gt;=3.5,"A-",IF('Data Source'!Y639&gt;=3,"B",IF('Data Source'!Y639&gt;=2,"C",IF('Data Source'!Y639&gt;=1,"D","F")))))),"")</f>
        <v/>
      </c>
      <c r="H639" s="3">
        <f>IF(AND('Data Source'!B639&lt;&gt;"",'Data Source'!S639="A+"),IF('Data Source'!Z639&gt;=5,"A+",IF('Data Source'!Z639&gt;=4,"A",IF('Data Source'!Z639&gt;=3.5,"A-",IF('Data Source'!Z639&gt;=3,"B",IF('Data Source'!Z639&gt;=2,"C",IF('Data Source'!Z639&gt;=1,"D","F")))))),"")</f>
        <v/>
      </c>
      <c r="I639" s="3">
        <f>IF(AND('Data Source'!B639&lt;&gt;"",'Data Source'!S639="A+"),IF('Data Source'!AA639&gt;=5,"A+",IF('Data Source'!AA639&gt;=4,"A",IF('Data Source'!AA639&gt;=3.5,"A-",IF('Data Source'!AA639&gt;=3,"B",IF('Data Source'!AA639&gt;=2,"C",IF('Data Source'!AA639&gt;=1,"D","F")))))),"")</f>
        <v/>
      </c>
      <c r="J639" s="3">
        <f>IF(AND('Data Source'!B639&lt;&gt;"",'Data Source'!S639="A+"),IF('Data Source'!AB639&gt;=5,"A+",IF('Data Source'!AB639&gt;=4,"A",IF('Data Source'!AB639&gt;=3.5,"A-",IF('Data Source'!AB639&gt;=3,"B",IF('Data Source'!AB639&gt;=2,"C",IF('Data Source'!AB639&gt;=1,"D","F")))))),"")</f>
        <v/>
      </c>
      <c r="K639" s="3">
        <f>IF(AND('Data Source'!B639&lt;&gt;"",'Data Source'!S639="A+"),IF('Data Source'!AC639&gt;=5,"A+",IF('Data Source'!AC639&gt;=4,"A",IF('Data Source'!AC639&gt;=3.5,"A-",IF('Data Source'!AC639&gt;=3,"B",IF('Data Source'!AC639&gt;=2,"C",IF('Data Source'!AC639&gt;=1,"D","F")))))),"")</f>
        <v/>
      </c>
      <c r="L639" s="3">
        <f>IF(AND('Data Source'!B639&lt;&gt;"",'Data Source'!S639="A+"),IF('Data Source'!AD639&gt;=5,"A+",IF('Data Source'!AD639&gt;=4,"A",IF('Data Source'!AD639&gt;=3.5,"A-",IF('Data Source'!AD639&gt;=3,"B",IF('Data Source'!AD639&gt;=2,"C",IF('Data Source'!AD639&gt;=1,"D","F")))))),"")</f>
        <v/>
      </c>
      <c r="M639" s="3">
        <f>IF(AND('Data Source'!B639&lt;&gt;"",'Data Source'!S639="A+"),IF('Data Source'!AE639&gt;=5,"A+",IF('Data Source'!AE639&gt;=4,"A",IF('Data Source'!AE639&gt;=3.5,"A-",IF('Data Source'!AE639&gt;=3,"B",IF('Data Source'!AE639&gt;=2,"C",IF('Data Source'!AE639&gt;=1,"D","F")))))),"")</f>
        <v/>
      </c>
      <c r="N639" s="3">
        <f>IF(AND('Data Source'!B639&lt;&gt;"",'Data Source'!S639="A+"),IF('Data Source'!AF639&gt;=5,"A+",IF('Data Source'!AF639&gt;=4,"A",IF('Data Source'!AF639&gt;=3.5,"A-",IF('Data Source'!AF639&gt;=3,"B",IF('Data Source'!AF639&gt;=2,"C",IF('Data Source'!AF639&gt;=1,"D","F")))))),"")</f>
        <v/>
      </c>
      <c r="O639" s="3">
        <f>IF(AND('Data Source'!B639&lt;&gt;"",'Data Source'!S639="A+"),IF('Data Source'!AG639&gt;=5,"A+",IF('Data Source'!AG639&gt;=4,"A",IF('Data Source'!AG639&gt;=3.5,"A-",IF('Data Source'!AG639&gt;=3,"B",IF('Data Source'!AG639&gt;=2,"C",IF('Data Source'!AG639&gt;=1,"D","F")))))),"")</f>
        <v/>
      </c>
      <c r="P639" s="5">
        <f>IF(AND('Data Source'!B639&lt;&gt;"",'Data Source'!S639="A+"),'Data Source'!R639,"")</f>
        <v/>
      </c>
      <c r="Q639" s="3">
        <f>IF(AND('Data Source'!B639&lt;&gt;"",'Data Source'!S639="A+"),'Data Source'!S639,"")</f>
        <v/>
      </c>
    </row>
    <row r="640">
      <c r="A640" s="3">
        <f>IF(AND('Data Source'!B640&lt;&gt;"",'Data Source'!S640="A+"),COUNTIF('Data Source'!$S$3:S640,"A+"),"")</f>
        <v/>
      </c>
      <c r="B640">
        <f>IF(AND('Data Source'!B640&lt;&gt;"",'Data Source'!S640="A+"),'Data Source'!B640,"")</f>
        <v/>
      </c>
      <c r="C640" s="3">
        <f>IF(AND('Data Source'!B640&lt;&gt;"",'Data Source'!S640="A+"),IF('Data Source'!U640&gt;=5,"A+",IF('Data Source'!U640&gt;=4,"A",IF('Data Source'!U640&gt;=3.5,"A-",IF('Data Source'!U640&gt;=3,"B",IF('Data Source'!U640&gt;=2,"C",IF('Data Source'!U640&gt;=1,"D","F")))))),"")</f>
        <v/>
      </c>
      <c r="D640" s="3">
        <f>IF(AND('Data Source'!B640&lt;&gt;"",'Data Source'!S640="A+"),IF('Data Source'!V640&gt;=5,"A+",IF('Data Source'!V640&gt;=4,"A",IF('Data Source'!V640&gt;=3.5,"A-",IF('Data Source'!V640&gt;=3,"B",IF('Data Source'!V640&gt;=2,"C",IF('Data Source'!V640&gt;=1,"D","F")))))),"")</f>
        <v/>
      </c>
      <c r="E640" s="3">
        <f>IF(AND('Data Source'!B640&lt;&gt;"",'Data Source'!S640="A+"),IF('Data Source'!W640&gt;=5,"A+",IF('Data Source'!W640&gt;=4,"A",IF('Data Source'!W640&gt;=3.5,"A-",IF('Data Source'!W640&gt;=3,"B",IF('Data Source'!W640&gt;=2,"C",IF('Data Source'!W640&gt;=1,"D","F")))))),"")</f>
        <v/>
      </c>
      <c r="F640" s="3">
        <f>IF(AND('Data Source'!B640&lt;&gt;"",'Data Source'!S640="A+"),IF('Data Source'!X640&gt;=5,"A+",IF('Data Source'!X640&gt;=4,"A",IF('Data Source'!X640&gt;=3.5,"A-",IF('Data Source'!X640&gt;=3,"B",IF('Data Source'!X640&gt;=2,"C",IF('Data Source'!X640&gt;=1,"D","F")))))),"")</f>
        <v/>
      </c>
      <c r="G640" s="3">
        <f>IF(AND('Data Source'!B640&lt;&gt;"",'Data Source'!S640="A+"),IF('Data Source'!Y640&gt;=5,"A+",IF('Data Source'!Y640&gt;=4,"A",IF('Data Source'!Y640&gt;=3.5,"A-",IF('Data Source'!Y640&gt;=3,"B",IF('Data Source'!Y640&gt;=2,"C",IF('Data Source'!Y640&gt;=1,"D","F")))))),"")</f>
        <v/>
      </c>
      <c r="H640" s="3">
        <f>IF(AND('Data Source'!B640&lt;&gt;"",'Data Source'!S640="A+"),IF('Data Source'!Z640&gt;=5,"A+",IF('Data Source'!Z640&gt;=4,"A",IF('Data Source'!Z640&gt;=3.5,"A-",IF('Data Source'!Z640&gt;=3,"B",IF('Data Source'!Z640&gt;=2,"C",IF('Data Source'!Z640&gt;=1,"D","F")))))),"")</f>
        <v/>
      </c>
      <c r="I640" s="3">
        <f>IF(AND('Data Source'!B640&lt;&gt;"",'Data Source'!S640="A+"),IF('Data Source'!AA640&gt;=5,"A+",IF('Data Source'!AA640&gt;=4,"A",IF('Data Source'!AA640&gt;=3.5,"A-",IF('Data Source'!AA640&gt;=3,"B",IF('Data Source'!AA640&gt;=2,"C",IF('Data Source'!AA640&gt;=1,"D","F")))))),"")</f>
        <v/>
      </c>
      <c r="J640" s="3">
        <f>IF(AND('Data Source'!B640&lt;&gt;"",'Data Source'!S640="A+"),IF('Data Source'!AB640&gt;=5,"A+",IF('Data Source'!AB640&gt;=4,"A",IF('Data Source'!AB640&gt;=3.5,"A-",IF('Data Source'!AB640&gt;=3,"B",IF('Data Source'!AB640&gt;=2,"C",IF('Data Source'!AB640&gt;=1,"D","F")))))),"")</f>
        <v/>
      </c>
      <c r="K640" s="3">
        <f>IF(AND('Data Source'!B640&lt;&gt;"",'Data Source'!S640="A+"),IF('Data Source'!AC640&gt;=5,"A+",IF('Data Source'!AC640&gt;=4,"A",IF('Data Source'!AC640&gt;=3.5,"A-",IF('Data Source'!AC640&gt;=3,"B",IF('Data Source'!AC640&gt;=2,"C",IF('Data Source'!AC640&gt;=1,"D","F")))))),"")</f>
        <v/>
      </c>
      <c r="L640" s="3">
        <f>IF(AND('Data Source'!B640&lt;&gt;"",'Data Source'!S640="A+"),IF('Data Source'!AD640&gt;=5,"A+",IF('Data Source'!AD640&gt;=4,"A",IF('Data Source'!AD640&gt;=3.5,"A-",IF('Data Source'!AD640&gt;=3,"B",IF('Data Source'!AD640&gt;=2,"C",IF('Data Source'!AD640&gt;=1,"D","F")))))),"")</f>
        <v/>
      </c>
      <c r="M640" s="3">
        <f>IF(AND('Data Source'!B640&lt;&gt;"",'Data Source'!S640="A+"),IF('Data Source'!AE640&gt;=5,"A+",IF('Data Source'!AE640&gt;=4,"A",IF('Data Source'!AE640&gt;=3.5,"A-",IF('Data Source'!AE640&gt;=3,"B",IF('Data Source'!AE640&gt;=2,"C",IF('Data Source'!AE640&gt;=1,"D","F")))))),"")</f>
        <v/>
      </c>
      <c r="N640" s="3">
        <f>IF(AND('Data Source'!B640&lt;&gt;"",'Data Source'!S640="A+"),IF('Data Source'!AF640&gt;=5,"A+",IF('Data Source'!AF640&gt;=4,"A",IF('Data Source'!AF640&gt;=3.5,"A-",IF('Data Source'!AF640&gt;=3,"B",IF('Data Source'!AF640&gt;=2,"C",IF('Data Source'!AF640&gt;=1,"D","F")))))),"")</f>
        <v/>
      </c>
      <c r="O640" s="3">
        <f>IF(AND('Data Source'!B640&lt;&gt;"",'Data Source'!S640="A+"),IF('Data Source'!AG640&gt;=5,"A+",IF('Data Source'!AG640&gt;=4,"A",IF('Data Source'!AG640&gt;=3.5,"A-",IF('Data Source'!AG640&gt;=3,"B",IF('Data Source'!AG640&gt;=2,"C",IF('Data Source'!AG640&gt;=1,"D","F")))))),"")</f>
        <v/>
      </c>
      <c r="P640" s="5">
        <f>IF(AND('Data Source'!B640&lt;&gt;"",'Data Source'!S640="A+"),'Data Source'!R640,"")</f>
        <v/>
      </c>
      <c r="Q640" s="3">
        <f>IF(AND('Data Source'!B640&lt;&gt;"",'Data Source'!S640="A+"),'Data Source'!S640,"")</f>
        <v/>
      </c>
    </row>
    <row r="641">
      <c r="A641" s="3">
        <f>IF(AND('Data Source'!B641&lt;&gt;"",'Data Source'!S641="A+"),COUNTIF('Data Source'!$S$3:S641,"A+"),"")</f>
        <v/>
      </c>
      <c r="B641">
        <f>IF(AND('Data Source'!B641&lt;&gt;"",'Data Source'!S641="A+"),'Data Source'!B641,"")</f>
        <v/>
      </c>
      <c r="C641" s="3">
        <f>IF(AND('Data Source'!B641&lt;&gt;"",'Data Source'!S641="A+"),IF('Data Source'!U641&gt;=5,"A+",IF('Data Source'!U641&gt;=4,"A",IF('Data Source'!U641&gt;=3.5,"A-",IF('Data Source'!U641&gt;=3,"B",IF('Data Source'!U641&gt;=2,"C",IF('Data Source'!U641&gt;=1,"D","F")))))),"")</f>
        <v/>
      </c>
      <c r="D641" s="3">
        <f>IF(AND('Data Source'!B641&lt;&gt;"",'Data Source'!S641="A+"),IF('Data Source'!V641&gt;=5,"A+",IF('Data Source'!V641&gt;=4,"A",IF('Data Source'!V641&gt;=3.5,"A-",IF('Data Source'!V641&gt;=3,"B",IF('Data Source'!V641&gt;=2,"C",IF('Data Source'!V641&gt;=1,"D","F")))))),"")</f>
        <v/>
      </c>
      <c r="E641" s="3">
        <f>IF(AND('Data Source'!B641&lt;&gt;"",'Data Source'!S641="A+"),IF('Data Source'!W641&gt;=5,"A+",IF('Data Source'!W641&gt;=4,"A",IF('Data Source'!W641&gt;=3.5,"A-",IF('Data Source'!W641&gt;=3,"B",IF('Data Source'!W641&gt;=2,"C",IF('Data Source'!W641&gt;=1,"D","F")))))),"")</f>
        <v/>
      </c>
      <c r="F641" s="3">
        <f>IF(AND('Data Source'!B641&lt;&gt;"",'Data Source'!S641="A+"),IF('Data Source'!X641&gt;=5,"A+",IF('Data Source'!X641&gt;=4,"A",IF('Data Source'!X641&gt;=3.5,"A-",IF('Data Source'!X641&gt;=3,"B",IF('Data Source'!X641&gt;=2,"C",IF('Data Source'!X641&gt;=1,"D","F")))))),"")</f>
        <v/>
      </c>
      <c r="G641" s="3">
        <f>IF(AND('Data Source'!B641&lt;&gt;"",'Data Source'!S641="A+"),IF('Data Source'!Y641&gt;=5,"A+",IF('Data Source'!Y641&gt;=4,"A",IF('Data Source'!Y641&gt;=3.5,"A-",IF('Data Source'!Y641&gt;=3,"B",IF('Data Source'!Y641&gt;=2,"C",IF('Data Source'!Y641&gt;=1,"D","F")))))),"")</f>
        <v/>
      </c>
      <c r="H641" s="3">
        <f>IF(AND('Data Source'!B641&lt;&gt;"",'Data Source'!S641="A+"),IF('Data Source'!Z641&gt;=5,"A+",IF('Data Source'!Z641&gt;=4,"A",IF('Data Source'!Z641&gt;=3.5,"A-",IF('Data Source'!Z641&gt;=3,"B",IF('Data Source'!Z641&gt;=2,"C",IF('Data Source'!Z641&gt;=1,"D","F")))))),"")</f>
        <v/>
      </c>
      <c r="I641" s="3">
        <f>IF(AND('Data Source'!B641&lt;&gt;"",'Data Source'!S641="A+"),IF('Data Source'!AA641&gt;=5,"A+",IF('Data Source'!AA641&gt;=4,"A",IF('Data Source'!AA641&gt;=3.5,"A-",IF('Data Source'!AA641&gt;=3,"B",IF('Data Source'!AA641&gt;=2,"C",IF('Data Source'!AA641&gt;=1,"D","F")))))),"")</f>
        <v/>
      </c>
      <c r="J641" s="3">
        <f>IF(AND('Data Source'!B641&lt;&gt;"",'Data Source'!S641="A+"),IF('Data Source'!AB641&gt;=5,"A+",IF('Data Source'!AB641&gt;=4,"A",IF('Data Source'!AB641&gt;=3.5,"A-",IF('Data Source'!AB641&gt;=3,"B",IF('Data Source'!AB641&gt;=2,"C",IF('Data Source'!AB641&gt;=1,"D","F")))))),"")</f>
        <v/>
      </c>
      <c r="K641" s="3">
        <f>IF(AND('Data Source'!B641&lt;&gt;"",'Data Source'!S641="A+"),IF('Data Source'!AC641&gt;=5,"A+",IF('Data Source'!AC641&gt;=4,"A",IF('Data Source'!AC641&gt;=3.5,"A-",IF('Data Source'!AC641&gt;=3,"B",IF('Data Source'!AC641&gt;=2,"C",IF('Data Source'!AC641&gt;=1,"D","F")))))),"")</f>
        <v/>
      </c>
      <c r="L641" s="3">
        <f>IF(AND('Data Source'!B641&lt;&gt;"",'Data Source'!S641="A+"),IF('Data Source'!AD641&gt;=5,"A+",IF('Data Source'!AD641&gt;=4,"A",IF('Data Source'!AD641&gt;=3.5,"A-",IF('Data Source'!AD641&gt;=3,"B",IF('Data Source'!AD641&gt;=2,"C",IF('Data Source'!AD641&gt;=1,"D","F")))))),"")</f>
        <v/>
      </c>
      <c r="M641" s="3">
        <f>IF(AND('Data Source'!B641&lt;&gt;"",'Data Source'!S641="A+"),IF('Data Source'!AE641&gt;=5,"A+",IF('Data Source'!AE641&gt;=4,"A",IF('Data Source'!AE641&gt;=3.5,"A-",IF('Data Source'!AE641&gt;=3,"B",IF('Data Source'!AE641&gt;=2,"C",IF('Data Source'!AE641&gt;=1,"D","F")))))),"")</f>
        <v/>
      </c>
      <c r="N641" s="3">
        <f>IF(AND('Data Source'!B641&lt;&gt;"",'Data Source'!S641="A+"),IF('Data Source'!AF641&gt;=5,"A+",IF('Data Source'!AF641&gt;=4,"A",IF('Data Source'!AF641&gt;=3.5,"A-",IF('Data Source'!AF641&gt;=3,"B",IF('Data Source'!AF641&gt;=2,"C",IF('Data Source'!AF641&gt;=1,"D","F")))))),"")</f>
        <v/>
      </c>
      <c r="O641" s="3">
        <f>IF(AND('Data Source'!B641&lt;&gt;"",'Data Source'!S641="A+"),IF('Data Source'!AG641&gt;=5,"A+",IF('Data Source'!AG641&gt;=4,"A",IF('Data Source'!AG641&gt;=3.5,"A-",IF('Data Source'!AG641&gt;=3,"B",IF('Data Source'!AG641&gt;=2,"C",IF('Data Source'!AG641&gt;=1,"D","F")))))),"")</f>
        <v/>
      </c>
      <c r="P641" s="5">
        <f>IF(AND('Data Source'!B641&lt;&gt;"",'Data Source'!S641="A+"),'Data Source'!R641,"")</f>
        <v/>
      </c>
      <c r="Q641" s="3">
        <f>IF(AND('Data Source'!B641&lt;&gt;"",'Data Source'!S641="A+"),'Data Source'!S641,"")</f>
        <v/>
      </c>
    </row>
    <row r="642">
      <c r="A642" s="3">
        <f>IF(AND('Data Source'!B642&lt;&gt;"",'Data Source'!S642="A+"),COUNTIF('Data Source'!$S$3:S642,"A+"),"")</f>
        <v/>
      </c>
      <c r="B642">
        <f>IF(AND('Data Source'!B642&lt;&gt;"",'Data Source'!S642="A+"),'Data Source'!B642,"")</f>
        <v/>
      </c>
      <c r="C642" s="3">
        <f>IF(AND('Data Source'!B642&lt;&gt;"",'Data Source'!S642="A+"),IF('Data Source'!U642&gt;=5,"A+",IF('Data Source'!U642&gt;=4,"A",IF('Data Source'!U642&gt;=3.5,"A-",IF('Data Source'!U642&gt;=3,"B",IF('Data Source'!U642&gt;=2,"C",IF('Data Source'!U642&gt;=1,"D","F")))))),"")</f>
        <v/>
      </c>
      <c r="D642" s="3">
        <f>IF(AND('Data Source'!B642&lt;&gt;"",'Data Source'!S642="A+"),IF('Data Source'!V642&gt;=5,"A+",IF('Data Source'!V642&gt;=4,"A",IF('Data Source'!V642&gt;=3.5,"A-",IF('Data Source'!V642&gt;=3,"B",IF('Data Source'!V642&gt;=2,"C",IF('Data Source'!V642&gt;=1,"D","F")))))),"")</f>
        <v/>
      </c>
      <c r="E642" s="3">
        <f>IF(AND('Data Source'!B642&lt;&gt;"",'Data Source'!S642="A+"),IF('Data Source'!W642&gt;=5,"A+",IF('Data Source'!W642&gt;=4,"A",IF('Data Source'!W642&gt;=3.5,"A-",IF('Data Source'!W642&gt;=3,"B",IF('Data Source'!W642&gt;=2,"C",IF('Data Source'!W642&gt;=1,"D","F")))))),"")</f>
        <v/>
      </c>
      <c r="F642" s="3">
        <f>IF(AND('Data Source'!B642&lt;&gt;"",'Data Source'!S642="A+"),IF('Data Source'!X642&gt;=5,"A+",IF('Data Source'!X642&gt;=4,"A",IF('Data Source'!X642&gt;=3.5,"A-",IF('Data Source'!X642&gt;=3,"B",IF('Data Source'!X642&gt;=2,"C",IF('Data Source'!X642&gt;=1,"D","F")))))),"")</f>
        <v/>
      </c>
      <c r="G642" s="3">
        <f>IF(AND('Data Source'!B642&lt;&gt;"",'Data Source'!S642="A+"),IF('Data Source'!Y642&gt;=5,"A+",IF('Data Source'!Y642&gt;=4,"A",IF('Data Source'!Y642&gt;=3.5,"A-",IF('Data Source'!Y642&gt;=3,"B",IF('Data Source'!Y642&gt;=2,"C",IF('Data Source'!Y642&gt;=1,"D","F")))))),"")</f>
        <v/>
      </c>
      <c r="H642" s="3">
        <f>IF(AND('Data Source'!B642&lt;&gt;"",'Data Source'!S642="A+"),IF('Data Source'!Z642&gt;=5,"A+",IF('Data Source'!Z642&gt;=4,"A",IF('Data Source'!Z642&gt;=3.5,"A-",IF('Data Source'!Z642&gt;=3,"B",IF('Data Source'!Z642&gt;=2,"C",IF('Data Source'!Z642&gt;=1,"D","F")))))),"")</f>
        <v/>
      </c>
      <c r="I642" s="3">
        <f>IF(AND('Data Source'!B642&lt;&gt;"",'Data Source'!S642="A+"),IF('Data Source'!AA642&gt;=5,"A+",IF('Data Source'!AA642&gt;=4,"A",IF('Data Source'!AA642&gt;=3.5,"A-",IF('Data Source'!AA642&gt;=3,"B",IF('Data Source'!AA642&gt;=2,"C",IF('Data Source'!AA642&gt;=1,"D","F")))))),"")</f>
        <v/>
      </c>
      <c r="J642" s="3">
        <f>IF(AND('Data Source'!B642&lt;&gt;"",'Data Source'!S642="A+"),IF('Data Source'!AB642&gt;=5,"A+",IF('Data Source'!AB642&gt;=4,"A",IF('Data Source'!AB642&gt;=3.5,"A-",IF('Data Source'!AB642&gt;=3,"B",IF('Data Source'!AB642&gt;=2,"C",IF('Data Source'!AB642&gt;=1,"D","F")))))),"")</f>
        <v/>
      </c>
      <c r="K642" s="3">
        <f>IF(AND('Data Source'!B642&lt;&gt;"",'Data Source'!S642="A+"),IF('Data Source'!AC642&gt;=5,"A+",IF('Data Source'!AC642&gt;=4,"A",IF('Data Source'!AC642&gt;=3.5,"A-",IF('Data Source'!AC642&gt;=3,"B",IF('Data Source'!AC642&gt;=2,"C",IF('Data Source'!AC642&gt;=1,"D","F")))))),"")</f>
        <v/>
      </c>
      <c r="L642" s="3">
        <f>IF(AND('Data Source'!B642&lt;&gt;"",'Data Source'!S642="A+"),IF('Data Source'!AD642&gt;=5,"A+",IF('Data Source'!AD642&gt;=4,"A",IF('Data Source'!AD642&gt;=3.5,"A-",IF('Data Source'!AD642&gt;=3,"B",IF('Data Source'!AD642&gt;=2,"C",IF('Data Source'!AD642&gt;=1,"D","F")))))),"")</f>
        <v/>
      </c>
      <c r="M642" s="3">
        <f>IF(AND('Data Source'!B642&lt;&gt;"",'Data Source'!S642="A+"),IF('Data Source'!AE642&gt;=5,"A+",IF('Data Source'!AE642&gt;=4,"A",IF('Data Source'!AE642&gt;=3.5,"A-",IF('Data Source'!AE642&gt;=3,"B",IF('Data Source'!AE642&gt;=2,"C",IF('Data Source'!AE642&gt;=1,"D","F")))))),"")</f>
        <v/>
      </c>
      <c r="N642" s="3">
        <f>IF(AND('Data Source'!B642&lt;&gt;"",'Data Source'!S642="A+"),IF('Data Source'!AF642&gt;=5,"A+",IF('Data Source'!AF642&gt;=4,"A",IF('Data Source'!AF642&gt;=3.5,"A-",IF('Data Source'!AF642&gt;=3,"B",IF('Data Source'!AF642&gt;=2,"C",IF('Data Source'!AF642&gt;=1,"D","F")))))),"")</f>
        <v/>
      </c>
      <c r="O642" s="3">
        <f>IF(AND('Data Source'!B642&lt;&gt;"",'Data Source'!S642="A+"),IF('Data Source'!AG642&gt;=5,"A+",IF('Data Source'!AG642&gt;=4,"A",IF('Data Source'!AG642&gt;=3.5,"A-",IF('Data Source'!AG642&gt;=3,"B",IF('Data Source'!AG642&gt;=2,"C",IF('Data Source'!AG642&gt;=1,"D","F")))))),"")</f>
        <v/>
      </c>
      <c r="P642" s="5">
        <f>IF(AND('Data Source'!B642&lt;&gt;"",'Data Source'!S642="A+"),'Data Source'!R642,"")</f>
        <v/>
      </c>
      <c r="Q642" s="3">
        <f>IF(AND('Data Source'!B642&lt;&gt;"",'Data Source'!S642="A+"),'Data Source'!S642,"")</f>
        <v/>
      </c>
    </row>
    <row r="643">
      <c r="A643" s="3">
        <f>IF(AND('Data Source'!B643&lt;&gt;"",'Data Source'!S643="A+"),COUNTIF('Data Source'!$S$3:S643,"A+"),"")</f>
        <v/>
      </c>
      <c r="B643">
        <f>IF(AND('Data Source'!B643&lt;&gt;"",'Data Source'!S643="A+"),'Data Source'!B643,"")</f>
        <v/>
      </c>
      <c r="C643" s="3">
        <f>IF(AND('Data Source'!B643&lt;&gt;"",'Data Source'!S643="A+"),IF('Data Source'!U643&gt;=5,"A+",IF('Data Source'!U643&gt;=4,"A",IF('Data Source'!U643&gt;=3.5,"A-",IF('Data Source'!U643&gt;=3,"B",IF('Data Source'!U643&gt;=2,"C",IF('Data Source'!U643&gt;=1,"D","F")))))),"")</f>
        <v/>
      </c>
      <c r="D643" s="3">
        <f>IF(AND('Data Source'!B643&lt;&gt;"",'Data Source'!S643="A+"),IF('Data Source'!V643&gt;=5,"A+",IF('Data Source'!V643&gt;=4,"A",IF('Data Source'!V643&gt;=3.5,"A-",IF('Data Source'!V643&gt;=3,"B",IF('Data Source'!V643&gt;=2,"C",IF('Data Source'!V643&gt;=1,"D","F")))))),"")</f>
        <v/>
      </c>
      <c r="E643" s="3">
        <f>IF(AND('Data Source'!B643&lt;&gt;"",'Data Source'!S643="A+"),IF('Data Source'!W643&gt;=5,"A+",IF('Data Source'!W643&gt;=4,"A",IF('Data Source'!W643&gt;=3.5,"A-",IF('Data Source'!W643&gt;=3,"B",IF('Data Source'!W643&gt;=2,"C",IF('Data Source'!W643&gt;=1,"D","F")))))),"")</f>
        <v/>
      </c>
      <c r="F643" s="3">
        <f>IF(AND('Data Source'!B643&lt;&gt;"",'Data Source'!S643="A+"),IF('Data Source'!X643&gt;=5,"A+",IF('Data Source'!X643&gt;=4,"A",IF('Data Source'!X643&gt;=3.5,"A-",IF('Data Source'!X643&gt;=3,"B",IF('Data Source'!X643&gt;=2,"C",IF('Data Source'!X643&gt;=1,"D","F")))))),"")</f>
        <v/>
      </c>
      <c r="G643" s="3">
        <f>IF(AND('Data Source'!B643&lt;&gt;"",'Data Source'!S643="A+"),IF('Data Source'!Y643&gt;=5,"A+",IF('Data Source'!Y643&gt;=4,"A",IF('Data Source'!Y643&gt;=3.5,"A-",IF('Data Source'!Y643&gt;=3,"B",IF('Data Source'!Y643&gt;=2,"C",IF('Data Source'!Y643&gt;=1,"D","F")))))),"")</f>
        <v/>
      </c>
      <c r="H643" s="3">
        <f>IF(AND('Data Source'!B643&lt;&gt;"",'Data Source'!S643="A+"),IF('Data Source'!Z643&gt;=5,"A+",IF('Data Source'!Z643&gt;=4,"A",IF('Data Source'!Z643&gt;=3.5,"A-",IF('Data Source'!Z643&gt;=3,"B",IF('Data Source'!Z643&gt;=2,"C",IF('Data Source'!Z643&gt;=1,"D","F")))))),"")</f>
        <v/>
      </c>
      <c r="I643" s="3">
        <f>IF(AND('Data Source'!B643&lt;&gt;"",'Data Source'!S643="A+"),IF('Data Source'!AA643&gt;=5,"A+",IF('Data Source'!AA643&gt;=4,"A",IF('Data Source'!AA643&gt;=3.5,"A-",IF('Data Source'!AA643&gt;=3,"B",IF('Data Source'!AA643&gt;=2,"C",IF('Data Source'!AA643&gt;=1,"D","F")))))),"")</f>
        <v/>
      </c>
      <c r="J643" s="3">
        <f>IF(AND('Data Source'!B643&lt;&gt;"",'Data Source'!S643="A+"),IF('Data Source'!AB643&gt;=5,"A+",IF('Data Source'!AB643&gt;=4,"A",IF('Data Source'!AB643&gt;=3.5,"A-",IF('Data Source'!AB643&gt;=3,"B",IF('Data Source'!AB643&gt;=2,"C",IF('Data Source'!AB643&gt;=1,"D","F")))))),"")</f>
        <v/>
      </c>
      <c r="K643" s="3">
        <f>IF(AND('Data Source'!B643&lt;&gt;"",'Data Source'!S643="A+"),IF('Data Source'!AC643&gt;=5,"A+",IF('Data Source'!AC643&gt;=4,"A",IF('Data Source'!AC643&gt;=3.5,"A-",IF('Data Source'!AC643&gt;=3,"B",IF('Data Source'!AC643&gt;=2,"C",IF('Data Source'!AC643&gt;=1,"D","F")))))),"")</f>
        <v/>
      </c>
      <c r="L643" s="3">
        <f>IF(AND('Data Source'!B643&lt;&gt;"",'Data Source'!S643="A+"),IF('Data Source'!AD643&gt;=5,"A+",IF('Data Source'!AD643&gt;=4,"A",IF('Data Source'!AD643&gt;=3.5,"A-",IF('Data Source'!AD643&gt;=3,"B",IF('Data Source'!AD643&gt;=2,"C",IF('Data Source'!AD643&gt;=1,"D","F")))))),"")</f>
        <v/>
      </c>
      <c r="M643" s="3">
        <f>IF(AND('Data Source'!B643&lt;&gt;"",'Data Source'!S643="A+"),IF('Data Source'!AE643&gt;=5,"A+",IF('Data Source'!AE643&gt;=4,"A",IF('Data Source'!AE643&gt;=3.5,"A-",IF('Data Source'!AE643&gt;=3,"B",IF('Data Source'!AE643&gt;=2,"C",IF('Data Source'!AE643&gt;=1,"D","F")))))),"")</f>
        <v/>
      </c>
      <c r="N643" s="3">
        <f>IF(AND('Data Source'!B643&lt;&gt;"",'Data Source'!S643="A+"),IF('Data Source'!AF643&gt;=5,"A+",IF('Data Source'!AF643&gt;=4,"A",IF('Data Source'!AF643&gt;=3.5,"A-",IF('Data Source'!AF643&gt;=3,"B",IF('Data Source'!AF643&gt;=2,"C",IF('Data Source'!AF643&gt;=1,"D","F")))))),"")</f>
        <v/>
      </c>
      <c r="O643" s="3">
        <f>IF(AND('Data Source'!B643&lt;&gt;"",'Data Source'!S643="A+"),IF('Data Source'!AG643&gt;=5,"A+",IF('Data Source'!AG643&gt;=4,"A",IF('Data Source'!AG643&gt;=3.5,"A-",IF('Data Source'!AG643&gt;=3,"B",IF('Data Source'!AG643&gt;=2,"C",IF('Data Source'!AG643&gt;=1,"D","F")))))),"")</f>
        <v/>
      </c>
      <c r="P643" s="5">
        <f>IF(AND('Data Source'!B643&lt;&gt;"",'Data Source'!S643="A+"),'Data Source'!R643,"")</f>
        <v/>
      </c>
      <c r="Q643" s="3">
        <f>IF(AND('Data Source'!B643&lt;&gt;"",'Data Source'!S643="A+"),'Data Source'!S643,"")</f>
        <v/>
      </c>
    </row>
    <row r="644">
      <c r="A644" s="3">
        <f>IF(AND('Data Source'!B644&lt;&gt;"",'Data Source'!S644="A+"),COUNTIF('Data Source'!$S$3:S644,"A+"),"")</f>
        <v/>
      </c>
      <c r="B644">
        <f>IF(AND('Data Source'!B644&lt;&gt;"",'Data Source'!S644="A+"),'Data Source'!B644,"")</f>
        <v/>
      </c>
      <c r="C644" s="3">
        <f>IF(AND('Data Source'!B644&lt;&gt;"",'Data Source'!S644="A+"),IF('Data Source'!U644&gt;=5,"A+",IF('Data Source'!U644&gt;=4,"A",IF('Data Source'!U644&gt;=3.5,"A-",IF('Data Source'!U644&gt;=3,"B",IF('Data Source'!U644&gt;=2,"C",IF('Data Source'!U644&gt;=1,"D","F")))))),"")</f>
        <v/>
      </c>
      <c r="D644" s="3">
        <f>IF(AND('Data Source'!B644&lt;&gt;"",'Data Source'!S644="A+"),IF('Data Source'!V644&gt;=5,"A+",IF('Data Source'!V644&gt;=4,"A",IF('Data Source'!V644&gt;=3.5,"A-",IF('Data Source'!V644&gt;=3,"B",IF('Data Source'!V644&gt;=2,"C",IF('Data Source'!V644&gt;=1,"D","F")))))),"")</f>
        <v/>
      </c>
      <c r="E644" s="3">
        <f>IF(AND('Data Source'!B644&lt;&gt;"",'Data Source'!S644="A+"),IF('Data Source'!W644&gt;=5,"A+",IF('Data Source'!W644&gt;=4,"A",IF('Data Source'!W644&gt;=3.5,"A-",IF('Data Source'!W644&gt;=3,"B",IF('Data Source'!W644&gt;=2,"C",IF('Data Source'!W644&gt;=1,"D","F")))))),"")</f>
        <v/>
      </c>
      <c r="F644" s="3">
        <f>IF(AND('Data Source'!B644&lt;&gt;"",'Data Source'!S644="A+"),IF('Data Source'!X644&gt;=5,"A+",IF('Data Source'!X644&gt;=4,"A",IF('Data Source'!X644&gt;=3.5,"A-",IF('Data Source'!X644&gt;=3,"B",IF('Data Source'!X644&gt;=2,"C",IF('Data Source'!X644&gt;=1,"D","F")))))),"")</f>
        <v/>
      </c>
      <c r="G644" s="3">
        <f>IF(AND('Data Source'!B644&lt;&gt;"",'Data Source'!S644="A+"),IF('Data Source'!Y644&gt;=5,"A+",IF('Data Source'!Y644&gt;=4,"A",IF('Data Source'!Y644&gt;=3.5,"A-",IF('Data Source'!Y644&gt;=3,"B",IF('Data Source'!Y644&gt;=2,"C",IF('Data Source'!Y644&gt;=1,"D","F")))))),"")</f>
        <v/>
      </c>
      <c r="H644" s="3">
        <f>IF(AND('Data Source'!B644&lt;&gt;"",'Data Source'!S644="A+"),IF('Data Source'!Z644&gt;=5,"A+",IF('Data Source'!Z644&gt;=4,"A",IF('Data Source'!Z644&gt;=3.5,"A-",IF('Data Source'!Z644&gt;=3,"B",IF('Data Source'!Z644&gt;=2,"C",IF('Data Source'!Z644&gt;=1,"D","F")))))),"")</f>
        <v/>
      </c>
      <c r="I644" s="3">
        <f>IF(AND('Data Source'!B644&lt;&gt;"",'Data Source'!S644="A+"),IF('Data Source'!AA644&gt;=5,"A+",IF('Data Source'!AA644&gt;=4,"A",IF('Data Source'!AA644&gt;=3.5,"A-",IF('Data Source'!AA644&gt;=3,"B",IF('Data Source'!AA644&gt;=2,"C",IF('Data Source'!AA644&gt;=1,"D","F")))))),"")</f>
        <v/>
      </c>
      <c r="J644" s="3">
        <f>IF(AND('Data Source'!B644&lt;&gt;"",'Data Source'!S644="A+"),IF('Data Source'!AB644&gt;=5,"A+",IF('Data Source'!AB644&gt;=4,"A",IF('Data Source'!AB644&gt;=3.5,"A-",IF('Data Source'!AB644&gt;=3,"B",IF('Data Source'!AB644&gt;=2,"C",IF('Data Source'!AB644&gt;=1,"D","F")))))),"")</f>
        <v/>
      </c>
      <c r="K644" s="3">
        <f>IF(AND('Data Source'!B644&lt;&gt;"",'Data Source'!S644="A+"),IF('Data Source'!AC644&gt;=5,"A+",IF('Data Source'!AC644&gt;=4,"A",IF('Data Source'!AC644&gt;=3.5,"A-",IF('Data Source'!AC644&gt;=3,"B",IF('Data Source'!AC644&gt;=2,"C",IF('Data Source'!AC644&gt;=1,"D","F")))))),"")</f>
        <v/>
      </c>
      <c r="L644" s="3">
        <f>IF(AND('Data Source'!B644&lt;&gt;"",'Data Source'!S644="A+"),IF('Data Source'!AD644&gt;=5,"A+",IF('Data Source'!AD644&gt;=4,"A",IF('Data Source'!AD644&gt;=3.5,"A-",IF('Data Source'!AD644&gt;=3,"B",IF('Data Source'!AD644&gt;=2,"C",IF('Data Source'!AD644&gt;=1,"D","F")))))),"")</f>
        <v/>
      </c>
      <c r="M644" s="3">
        <f>IF(AND('Data Source'!B644&lt;&gt;"",'Data Source'!S644="A+"),IF('Data Source'!AE644&gt;=5,"A+",IF('Data Source'!AE644&gt;=4,"A",IF('Data Source'!AE644&gt;=3.5,"A-",IF('Data Source'!AE644&gt;=3,"B",IF('Data Source'!AE644&gt;=2,"C",IF('Data Source'!AE644&gt;=1,"D","F")))))),"")</f>
        <v/>
      </c>
      <c r="N644" s="3">
        <f>IF(AND('Data Source'!B644&lt;&gt;"",'Data Source'!S644="A+"),IF('Data Source'!AF644&gt;=5,"A+",IF('Data Source'!AF644&gt;=4,"A",IF('Data Source'!AF644&gt;=3.5,"A-",IF('Data Source'!AF644&gt;=3,"B",IF('Data Source'!AF644&gt;=2,"C",IF('Data Source'!AF644&gt;=1,"D","F")))))),"")</f>
        <v/>
      </c>
      <c r="O644" s="3">
        <f>IF(AND('Data Source'!B644&lt;&gt;"",'Data Source'!S644="A+"),IF('Data Source'!AG644&gt;=5,"A+",IF('Data Source'!AG644&gt;=4,"A",IF('Data Source'!AG644&gt;=3.5,"A-",IF('Data Source'!AG644&gt;=3,"B",IF('Data Source'!AG644&gt;=2,"C",IF('Data Source'!AG644&gt;=1,"D","F")))))),"")</f>
        <v/>
      </c>
      <c r="P644" s="5">
        <f>IF(AND('Data Source'!B644&lt;&gt;"",'Data Source'!S644="A+"),'Data Source'!R644,"")</f>
        <v/>
      </c>
      <c r="Q644" s="3">
        <f>IF(AND('Data Source'!B644&lt;&gt;"",'Data Source'!S644="A+"),'Data Source'!S644,"")</f>
        <v/>
      </c>
    </row>
    <row r="645">
      <c r="A645" s="3">
        <f>IF(AND('Data Source'!B645&lt;&gt;"",'Data Source'!S645="A+"),COUNTIF('Data Source'!$S$3:S645,"A+"),"")</f>
        <v/>
      </c>
      <c r="B645">
        <f>IF(AND('Data Source'!B645&lt;&gt;"",'Data Source'!S645="A+"),'Data Source'!B645,"")</f>
        <v/>
      </c>
      <c r="C645" s="3">
        <f>IF(AND('Data Source'!B645&lt;&gt;"",'Data Source'!S645="A+"),IF('Data Source'!U645&gt;=5,"A+",IF('Data Source'!U645&gt;=4,"A",IF('Data Source'!U645&gt;=3.5,"A-",IF('Data Source'!U645&gt;=3,"B",IF('Data Source'!U645&gt;=2,"C",IF('Data Source'!U645&gt;=1,"D","F")))))),"")</f>
        <v/>
      </c>
      <c r="D645" s="3">
        <f>IF(AND('Data Source'!B645&lt;&gt;"",'Data Source'!S645="A+"),IF('Data Source'!V645&gt;=5,"A+",IF('Data Source'!V645&gt;=4,"A",IF('Data Source'!V645&gt;=3.5,"A-",IF('Data Source'!V645&gt;=3,"B",IF('Data Source'!V645&gt;=2,"C",IF('Data Source'!V645&gt;=1,"D","F")))))),"")</f>
        <v/>
      </c>
      <c r="E645" s="3">
        <f>IF(AND('Data Source'!B645&lt;&gt;"",'Data Source'!S645="A+"),IF('Data Source'!W645&gt;=5,"A+",IF('Data Source'!W645&gt;=4,"A",IF('Data Source'!W645&gt;=3.5,"A-",IF('Data Source'!W645&gt;=3,"B",IF('Data Source'!W645&gt;=2,"C",IF('Data Source'!W645&gt;=1,"D","F")))))),"")</f>
        <v/>
      </c>
      <c r="F645" s="3">
        <f>IF(AND('Data Source'!B645&lt;&gt;"",'Data Source'!S645="A+"),IF('Data Source'!X645&gt;=5,"A+",IF('Data Source'!X645&gt;=4,"A",IF('Data Source'!X645&gt;=3.5,"A-",IF('Data Source'!X645&gt;=3,"B",IF('Data Source'!X645&gt;=2,"C",IF('Data Source'!X645&gt;=1,"D","F")))))),"")</f>
        <v/>
      </c>
      <c r="G645" s="3">
        <f>IF(AND('Data Source'!B645&lt;&gt;"",'Data Source'!S645="A+"),IF('Data Source'!Y645&gt;=5,"A+",IF('Data Source'!Y645&gt;=4,"A",IF('Data Source'!Y645&gt;=3.5,"A-",IF('Data Source'!Y645&gt;=3,"B",IF('Data Source'!Y645&gt;=2,"C",IF('Data Source'!Y645&gt;=1,"D","F")))))),"")</f>
        <v/>
      </c>
      <c r="H645" s="3">
        <f>IF(AND('Data Source'!B645&lt;&gt;"",'Data Source'!S645="A+"),IF('Data Source'!Z645&gt;=5,"A+",IF('Data Source'!Z645&gt;=4,"A",IF('Data Source'!Z645&gt;=3.5,"A-",IF('Data Source'!Z645&gt;=3,"B",IF('Data Source'!Z645&gt;=2,"C",IF('Data Source'!Z645&gt;=1,"D","F")))))),"")</f>
        <v/>
      </c>
      <c r="I645" s="3">
        <f>IF(AND('Data Source'!B645&lt;&gt;"",'Data Source'!S645="A+"),IF('Data Source'!AA645&gt;=5,"A+",IF('Data Source'!AA645&gt;=4,"A",IF('Data Source'!AA645&gt;=3.5,"A-",IF('Data Source'!AA645&gt;=3,"B",IF('Data Source'!AA645&gt;=2,"C",IF('Data Source'!AA645&gt;=1,"D","F")))))),"")</f>
        <v/>
      </c>
      <c r="J645" s="3">
        <f>IF(AND('Data Source'!B645&lt;&gt;"",'Data Source'!S645="A+"),IF('Data Source'!AB645&gt;=5,"A+",IF('Data Source'!AB645&gt;=4,"A",IF('Data Source'!AB645&gt;=3.5,"A-",IF('Data Source'!AB645&gt;=3,"B",IF('Data Source'!AB645&gt;=2,"C",IF('Data Source'!AB645&gt;=1,"D","F")))))),"")</f>
        <v/>
      </c>
      <c r="K645" s="3">
        <f>IF(AND('Data Source'!B645&lt;&gt;"",'Data Source'!S645="A+"),IF('Data Source'!AC645&gt;=5,"A+",IF('Data Source'!AC645&gt;=4,"A",IF('Data Source'!AC645&gt;=3.5,"A-",IF('Data Source'!AC645&gt;=3,"B",IF('Data Source'!AC645&gt;=2,"C",IF('Data Source'!AC645&gt;=1,"D","F")))))),"")</f>
        <v/>
      </c>
      <c r="L645" s="3">
        <f>IF(AND('Data Source'!B645&lt;&gt;"",'Data Source'!S645="A+"),IF('Data Source'!AD645&gt;=5,"A+",IF('Data Source'!AD645&gt;=4,"A",IF('Data Source'!AD645&gt;=3.5,"A-",IF('Data Source'!AD645&gt;=3,"B",IF('Data Source'!AD645&gt;=2,"C",IF('Data Source'!AD645&gt;=1,"D","F")))))),"")</f>
        <v/>
      </c>
      <c r="M645" s="3">
        <f>IF(AND('Data Source'!B645&lt;&gt;"",'Data Source'!S645="A+"),IF('Data Source'!AE645&gt;=5,"A+",IF('Data Source'!AE645&gt;=4,"A",IF('Data Source'!AE645&gt;=3.5,"A-",IF('Data Source'!AE645&gt;=3,"B",IF('Data Source'!AE645&gt;=2,"C",IF('Data Source'!AE645&gt;=1,"D","F")))))),"")</f>
        <v/>
      </c>
      <c r="N645" s="3">
        <f>IF(AND('Data Source'!B645&lt;&gt;"",'Data Source'!S645="A+"),IF('Data Source'!AF645&gt;=5,"A+",IF('Data Source'!AF645&gt;=4,"A",IF('Data Source'!AF645&gt;=3.5,"A-",IF('Data Source'!AF645&gt;=3,"B",IF('Data Source'!AF645&gt;=2,"C",IF('Data Source'!AF645&gt;=1,"D","F")))))),"")</f>
        <v/>
      </c>
      <c r="O645" s="3">
        <f>IF(AND('Data Source'!B645&lt;&gt;"",'Data Source'!S645="A+"),IF('Data Source'!AG645&gt;=5,"A+",IF('Data Source'!AG645&gt;=4,"A",IF('Data Source'!AG645&gt;=3.5,"A-",IF('Data Source'!AG645&gt;=3,"B",IF('Data Source'!AG645&gt;=2,"C",IF('Data Source'!AG645&gt;=1,"D","F")))))),"")</f>
        <v/>
      </c>
      <c r="P645" s="5">
        <f>IF(AND('Data Source'!B645&lt;&gt;"",'Data Source'!S645="A+"),'Data Source'!R645,"")</f>
        <v/>
      </c>
      <c r="Q645" s="3">
        <f>IF(AND('Data Source'!B645&lt;&gt;"",'Data Source'!S645="A+"),'Data Source'!S645,"")</f>
        <v/>
      </c>
    </row>
    <row r="646">
      <c r="A646" s="3">
        <f>IF(AND('Data Source'!B646&lt;&gt;"",'Data Source'!S646="A+"),COUNTIF('Data Source'!$S$3:S646,"A+"),"")</f>
        <v/>
      </c>
      <c r="B646">
        <f>IF(AND('Data Source'!B646&lt;&gt;"",'Data Source'!S646="A+"),'Data Source'!B646,"")</f>
        <v/>
      </c>
      <c r="C646" s="3">
        <f>IF(AND('Data Source'!B646&lt;&gt;"",'Data Source'!S646="A+"),IF('Data Source'!U646&gt;=5,"A+",IF('Data Source'!U646&gt;=4,"A",IF('Data Source'!U646&gt;=3.5,"A-",IF('Data Source'!U646&gt;=3,"B",IF('Data Source'!U646&gt;=2,"C",IF('Data Source'!U646&gt;=1,"D","F")))))),"")</f>
        <v/>
      </c>
      <c r="D646" s="3">
        <f>IF(AND('Data Source'!B646&lt;&gt;"",'Data Source'!S646="A+"),IF('Data Source'!V646&gt;=5,"A+",IF('Data Source'!V646&gt;=4,"A",IF('Data Source'!V646&gt;=3.5,"A-",IF('Data Source'!V646&gt;=3,"B",IF('Data Source'!V646&gt;=2,"C",IF('Data Source'!V646&gt;=1,"D","F")))))),"")</f>
        <v/>
      </c>
      <c r="E646" s="3">
        <f>IF(AND('Data Source'!B646&lt;&gt;"",'Data Source'!S646="A+"),IF('Data Source'!W646&gt;=5,"A+",IF('Data Source'!W646&gt;=4,"A",IF('Data Source'!W646&gt;=3.5,"A-",IF('Data Source'!W646&gt;=3,"B",IF('Data Source'!W646&gt;=2,"C",IF('Data Source'!W646&gt;=1,"D","F")))))),"")</f>
        <v/>
      </c>
      <c r="F646" s="3">
        <f>IF(AND('Data Source'!B646&lt;&gt;"",'Data Source'!S646="A+"),IF('Data Source'!X646&gt;=5,"A+",IF('Data Source'!X646&gt;=4,"A",IF('Data Source'!X646&gt;=3.5,"A-",IF('Data Source'!X646&gt;=3,"B",IF('Data Source'!X646&gt;=2,"C",IF('Data Source'!X646&gt;=1,"D","F")))))),"")</f>
        <v/>
      </c>
      <c r="G646" s="3">
        <f>IF(AND('Data Source'!B646&lt;&gt;"",'Data Source'!S646="A+"),IF('Data Source'!Y646&gt;=5,"A+",IF('Data Source'!Y646&gt;=4,"A",IF('Data Source'!Y646&gt;=3.5,"A-",IF('Data Source'!Y646&gt;=3,"B",IF('Data Source'!Y646&gt;=2,"C",IF('Data Source'!Y646&gt;=1,"D","F")))))),"")</f>
        <v/>
      </c>
      <c r="H646" s="3">
        <f>IF(AND('Data Source'!B646&lt;&gt;"",'Data Source'!S646="A+"),IF('Data Source'!Z646&gt;=5,"A+",IF('Data Source'!Z646&gt;=4,"A",IF('Data Source'!Z646&gt;=3.5,"A-",IF('Data Source'!Z646&gt;=3,"B",IF('Data Source'!Z646&gt;=2,"C",IF('Data Source'!Z646&gt;=1,"D","F")))))),"")</f>
        <v/>
      </c>
      <c r="I646" s="3">
        <f>IF(AND('Data Source'!B646&lt;&gt;"",'Data Source'!S646="A+"),IF('Data Source'!AA646&gt;=5,"A+",IF('Data Source'!AA646&gt;=4,"A",IF('Data Source'!AA646&gt;=3.5,"A-",IF('Data Source'!AA646&gt;=3,"B",IF('Data Source'!AA646&gt;=2,"C",IF('Data Source'!AA646&gt;=1,"D","F")))))),"")</f>
        <v/>
      </c>
      <c r="J646" s="3">
        <f>IF(AND('Data Source'!B646&lt;&gt;"",'Data Source'!S646="A+"),IF('Data Source'!AB646&gt;=5,"A+",IF('Data Source'!AB646&gt;=4,"A",IF('Data Source'!AB646&gt;=3.5,"A-",IF('Data Source'!AB646&gt;=3,"B",IF('Data Source'!AB646&gt;=2,"C",IF('Data Source'!AB646&gt;=1,"D","F")))))),"")</f>
        <v/>
      </c>
      <c r="K646" s="3">
        <f>IF(AND('Data Source'!B646&lt;&gt;"",'Data Source'!S646="A+"),IF('Data Source'!AC646&gt;=5,"A+",IF('Data Source'!AC646&gt;=4,"A",IF('Data Source'!AC646&gt;=3.5,"A-",IF('Data Source'!AC646&gt;=3,"B",IF('Data Source'!AC646&gt;=2,"C",IF('Data Source'!AC646&gt;=1,"D","F")))))),"")</f>
        <v/>
      </c>
      <c r="L646" s="3">
        <f>IF(AND('Data Source'!B646&lt;&gt;"",'Data Source'!S646="A+"),IF('Data Source'!AD646&gt;=5,"A+",IF('Data Source'!AD646&gt;=4,"A",IF('Data Source'!AD646&gt;=3.5,"A-",IF('Data Source'!AD646&gt;=3,"B",IF('Data Source'!AD646&gt;=2,"C",IF('Data Source'!AD646&gt;=1,"D","F")))))),"")</f>
        <v/>
      </c>
      <c r="M646" s="3">
        <f>IF(AND('Data Source'!B646&lt;&gt;"",'Data Source'!S646="A+"),IF('Data Source'!AE646&gt;=5,"A+",IF('Data Source'!AE646&gt;=4,"A",IF('Data Source'!AE646&gt;=3.5,"A-",IF('Data Source'!AE646&gt;=3,"B",IF('Data Source'!AE646&gt;=2,"C",IF('Data Source'!AE646&gt;=1,"D","F")))))),"")</f>
        <v/>
      </c>
      <c r="N646" s="3">
        <f>IF(AND('Data Source'!B646&lt;&gt;"",'Data Source'!S646="A+"),IF('Data Source'!AF646&gt;=5,"A+",IF('Data Source'!AF646&gt;=4,"A",IF('Data Source'!AF646&gt;=3.5,"A-",IF('Data Source'!AF646&gt;=3,"B",IF('Data Source'!AF646&gt;=2,"C",IF('Data Source'!AF646&gt;=1,"D","F")))))),"")</f>
        <v/>
      </c>
      <c r="O646" s="3">
        <f>IF(AND('Data Source'!B646&lt;&gt;"",'Data Source'!S646="A+"),IF('Data Source'!AG646&gt;=5,"A+",IF('Data Source'!AG646&gt;=4,"A",IF('Data Source'!AG646&gt;=3.5,"A-",IF('Data Source'!AG646&gt;=3,"B",IF('Data Source'!AG646&gt;=2,"C",IF('Data Source'!AG646&gt;=1,"D","F")))))),"")</f>
        <v/>
      </c>
      <c r="P646" s="5">
        <f>IF(AND('Data Source'!B646&lt;&gt;"",'Data Source'!S646="A+"),'Data Source'!R646,"")</f>
        <v/>
      </c>
      <c r="Q646" s="3">
        <f>IF(AND('Data Source'!B646&lt;&gt;"",'Data Source'!S646="A+"),'Data Source'!S646,"")</f>
        <v/>
      </c>
    </row>
    <row r="647">
      <c r="A647" s="3">
        <f>IF(AND('Data Source'!B647&lt;&gt;"",'Data Source'!S647="A+"),COUNTIF('Data Source'!$S$3:S647,"A+"),"")</f>
        <v/>
      </c>
      <c r="B647">
        <f>IF(AND('Data Source'!B647&lt;&gt;"",'Data Source'!S647="A+"),'Data Source'!B647,"")</f>
        <v/>
      </c>
      <c r="C647" s="3">
        <f>IF(AND('Data Source'!B647&lt;&gt;"",'Data Source'!S647="A+"),IF('Data Source'!U647&gt;=5,"A+",IF('Data Source'!U647&gt;=4,"A",IF('Data Source'!U647&gt;=3.5,"A-",IF('Data Source'!U647&gt;=3,"B",IF('Data Source'!U647&gt;=2,"C",IF('Data Source'!U647&gt;=1,"D","F")))))),"")</f>
        <v/>
      </c>
      <c r="D647" s="3">
        <f>IF(AND('Data Source'!B647&lt;&gt;"",'Data Source'!S647="A+"),IF('Data Source'!V647&gt;=5,"A+",IF('Data Source'!V647&gt;=4,"A",IF('Data Source'!V647&gt;=3.5,"A-",IF('Data Source'!V647&gt;=3,"B",IF('Data Source'!V647&gt;=2,"C",IF('Data Source'!V647&gt;=1,"D","F")))))),"")</f>
        <v/>
      </c>
      <c r="E647" s="3">
        <f>IF(AND('Data Source'!B647&lt;&gt;"",'Data Source'!S647="A+"),IF('Data Source'!W647&gt;=5,"A+",IF('Data Source'!W647&gt;=4,"A",IF('Data Source'!W647&gt;=3.5,"A-",IF('Data Source'!W647&gt;=3,"B",IF('Data Source'!W647&gt;=2,"C",IF('Data Source'!W647&gt;=1,"D","F")))))),"")</f>
        <v/>
      </c>
      <c r="F647" s="3">
        <f>IF(AND('Data Source'!B647&lt;&gt;"",'Data Source'!S647="A+"),IF('Data Source'!X647&gt;=5,"A+",IF('Data Source'!X647&gt;=4,"A",IF('Data Source'!X647&gt;=3.5,"A-",IF('Data Source'!X647&gt;=3,"B",IF('Data Source'!X647&gt;=2,"C",IF('Data Source'!X647&gt;=1,"D","F")))))),"")</f>
        <v/>
      </c>
      <c r="G647" s="3">
        <f>IF(AND('Data Source'!B647&lt;&gt;"",'Data Source'!S647="A+"),IF('Data Source'!Y647&gt;=5,"A+",IF('Data Source'!Y647&gt;=4,"A",IF('Data Source'!Y647&gt;=3.5,"A-",IF('Data Source'!Y647&gt;=3,"B",IF('Data Source'!Y647&gt;=2,"C",IF('Data Source'!Y647&gt;=1,"D","F")))))),"")</f>
        <v/>
      </c>
      <c r="H647" s="3">
        <f>IF(AND('Data Source'!B647&lt;&gt;"",'Data Source'!S647="A+"),IF('Data Source'!Z647&gt;=5,"A+",IF('Data Source'!Z647&gt;=4,"A",IF('Data Source'!Z647&gt;=3.5,"A-",IF('Data Source'!Z647&gt;=3,"B",IF('Data Source'!Z647&gt;=2,"C",IF('Data Source'!Z647&gt;=1,"D","F")))))),"")</f>
        <v/>
      </c>
      <c r="I647" s="3">
        <f>IF(AND('Data Source'!B647&lt;&gt;"",'Data Source'!S647="A+"),IF('Data Source'!AA647&gt;=5,"A+",IF('Data Source'!AA647&gt;=4,"A",IF('Data Source'!AA647&gt;=3.5,"A-",IF('Data Source'!AA647&gt;=3,"B",IF('Data Source'!AA647&gt;=2,"C",IF('Data Source'!AA647&gt;=1,"D","F")))))),"")</f>
        <v/>
      </c>
      <c r="J647" s="3">
        <f>IF(AND('Data Source'!B647&lt;&gt;"",'Data Source'!S647="A+"),IF('Data Source'!AB647&gt;=5,"A+",IF('Data Source'!AB647&gt;=4,"A",IF('Data Source'!AB647&gt;=3.5,"A-",IF('Data Source'!AB647&gt;=3,"B",IF('Data Source'!AB647&gt;=2,"C",IF('Data Source'!AB647&gt;=1,"D","F")))))),"")</f>
        <v/>
      </c>
      <c r="K647" s="3">
        <f>IF(AND('Data Source'!B647&lt;&gt;"",'Data Source'!S647="A+"),IF('Data Source'!AC647&gt;=5,"A+",IF('Data Source'!AC647&gt;=4,"A",IF('Data Source'!AC647&gt;=3.5,"A-",IF('Data Source'!AC647&gt;=3,"B",IF('Data Source'!AC647&gt;=2,"C",IF('Data Source'!AC647&gt;=1,"D","F")))))),"")</f>
        <v/>
      </c>
      <c r="L647" s="3">
        <f>IF(AND('Data Source'!B647&lt;&gt;"",'Data Source'!S647="A+"),IF('Data Source'!AD647&gt;=5,"A+",IF('Data Source'!AD647&gt;=4,"A",IF('Data Source'!AD647&gt;=3.5,"A-",IF('Data Source'!AD647&gt;=3,"B",IF('Data Source'!AD647&gt;=2,"C",IF('Data Source'!AD647&gt;=1,"D","F")))))),"")</f>
        <v/>
      </c>
      <c r="M647" s="3">
        <f>IF(AND('Data Source'!B647&lt;&gt;"",'Data Source'!S647="A+"),IF('Data Source'!AE647&gt;=5,"A+",IF('Data Source'!AE647&gt;=4,"A",IF('Data Source'!AE647&gt;=3.5,"A-",IF('Data Source'!AE647&gt;=3,"B",IF('Data Source'!AE647&gt;=2,"C",IF('Data Source'!AE647&gt;=1,"D","F")))))),"")</f>
        <v/>
      </c>
      <c r="N647" s="3">
        <f>IF(AND('Data Source'!B647&lt;&gt;"",'Data Source'!S647="A+"),IF('Data Source'!AF647&gt;=5,"A+",IF('Data Source'!AF647&gt;=4,"A",IF('Data Source'!AF647&gt;=3.5,"A-",IF('Data Source'!AF647&gt;=3,"B",IF('Data Source'!AF647&gt;=2,"C",IF('Data Source'!AF647&gt;=1,"D","F")))))),"")</f>
        <v/>
      </c>
      <c r="O647" s="3">
        <f>IF(AND('Data Source'!B647&lt;&gt;"",'Data Source'!S647="A+"),IF('Data Source'!AG647&gt;=5,"A+",IF('Data Source'!AG647&gt;=4,"A",IF('Data Source'!AG647&gt;=3.5,"A-",IF('Data Source'!AG647&gt;=3,"B",IF('Data Source'!AG647&gt;=2,"C",IF('Data Source'!AG647&gt;=1,"D","F")))))),"")</f>
        <v/>
      </c>
      <c r="P647" s="5">
        <f>IF(AND('Data Source'!B647&lt;&gt;"",'Data Source'!S647="A+"),'Data Source'!R647,"")</f>
        <v/>
      </c>
      <c r="Q647" s="3">
        <f>IF(AND('Data Source'!B647&lt;&gt;"",'Data Source'!S647="A+"),'Data Source'!S647,"")</f>
        <v/>
      </c>
    </row>
    <row r="648">
      <c r="A648" s="3">
        <f>IF(AND('Data Source'!B648&lt;&gt;"",'Data Source'!S648="A+"),COUNTIF('Data Source'!$S$3:S648,"A+"),"")</f>
        <v/>
      </c>
      <c r="B648">
        <f>IF(AND('Data Source'!B648&lt;&gt;"",'Data Source'!S648="A+"),'Data Source'!B648,"")</f>
        <v/>
      </c>
      <c r="C648" s="3">
        <f>IF(AND('Data Source'!B648&lt;&gt;"",'Data Source'!S648="A+"),IF('Data Source'!U648&gt;=5,"A+",IF('Data Source'!U648&gt;=4,"A",IF('Data Source'!U648&gt;=3.5,"A-",IF('Data Source'!U648&gt;=3,"B",IF('Data Source'!U648&gt;=2,"C",IF('Data Source'!U648&gt;=1,"D","F")))))),"")</f>
        <v/>
      </c>
      <c r="D648" s="3">
        <f>IF(AND('Data Source'!B648&lt;&gt;"",'Data Source'!S648="A+"),IF('Data Source'!V648&gt;=5,"A+",IF('Data Source'!V648&gt;=4,"A",IF('Data Source'!V648&gt;=3.5,"A-",IF('Data Source'!V648&gt;=3,"B",IF('Data Source'!V648&gt;=2,"C",IF('Data Source'!V648&gt;=1,"D","F")))))),"")</f>
        <v/>
      </c>
      <c r="E648" s="3">
        <f>IF(AND('Data Source'!B648&lt;&gt;"",'Data Source'!S648="A+"),IF('Data Source'!W648&gt;=5,"A+",IF('Data Source'!W648&gt;=4,"A",IF('Data Source'!W648&gt;=3.5,"A-",IF('Data Source'!W648&gt;=3,"B",IF('Data Source'!W648&gt;=2,"C",IF('Data Source'!W648&gt;=1,"D","F")))))),"")</f>
        <v/>
      </c>
      <c r="F648" s="3">
        <f>IF(AND('Data Source'!B648&lt;&gt;"",'Data Source'!S648="A+"),IF('Data Source'!X648&gt;=5,"A+",IF('Data Source'!X648&gt;=4,"A",IF('Data Source'!X648&gt;=3.5,"A-",IF('Data Source'!X648&gt;=3,"B",IF('Data Source'!X648&gt;=2,"C",IF('Data Source'!X648&gt;=1,"D","F")))))),"")</f>
        <v/>
      </c>
      <c r="G648" s="3">
        <f>IF(AND('Data Source'!B648&lt;&gt;"",'Data Source'!S648="A+"),IF('Data Source'!Y648&gt;=5,"A+",IF('Data Source'!Y648&gt;=4,"A",IF('Data Source'!Y648&gt;=3.5,"A-",IF('Data Source'!Y648&gt;=3,"B",IF('Data Source'!Y648&gt;=2,"C",IF('Data Source'!Y648&gt;=1,"D","F")))))),"")</f>
        <v/>
      </c>
      <c r="H648" s="3">
        <f>IF(AND('Data Source'!B648&lt;&gt;"",'Data Source'!S648="A+"),IF('Data Source'!Z648&gt;=5,"A+",IF('Data Source'!Z648&gt;=4,"A",IF('Data Source'!Z648&gt;=3.5,"A-",IF('Data Source'!Z648&gt;=3,"B",IF('Data Source'!Z648&gt;=2,"C",IF('Data Source'!Z648&gt;=1,"D","F")))))),"")</f>
        <v/>
      </c>
      <c r="I648" s="3">
        <f>IF(AND('Data Source'!B648&lt;&gt;"",'Data Source'!S648="A+"),IF('Data Source'!AA648&gt;=5,"A+",IF('Data Source'!AA648&gt;=4,"A",IF('Data Source'!AA648&gt;=3.5,"A-",IF('Data Source'!AA648&gt;=3,"B",IF('Data Source'!AA648&gt;=2,"C",IF('Data Source'!AA648&gt;=1,"D","F")))))),"")</f>
        <v/>
      </c>
      <c r="J648" s="3">
        <f>IF(AND('Data Source'!B648&lt;&gt;"",'Data Source'!S648="A+"),IF('Data Source'!AB648&gt;=5,"A+",IF('Data Source'!AB648&gt;=4,"A",IF('Data Source'!AB648&gt;=3.5,"A-",IF('Data Source'!AB648&gt;=3,"B",IF('Data Source'!AB648&gt;=2,"C",IF('Data Source'!AB648&gt;=1,"D","F")))))),"")</f>
        <v/>
      </c>
      <c r="K648" s="3">
        <f>IF(AND('Data Source'!B648&lt;&gt;"",'Data Source'!S648="A+"),IF('Data Source'!AC648&gt;=5,"A+",IF('Data Source'!AC648&gt;=4,"A",IF('Data Source'!AC648&gt;=3.5,"A-",IF('Data Source'!AC648&gt;=3,"B",IF('Data Source'!AC648&gt;=2,"C",IF('Data Source'!AC648&gt;=1,"D","F")))))),"")</f>
        <v/>
      </c>
      <c r="L648" s="3">
        <f>IF(AND('Data Source'!B648&lt;&gt;"",'Data Source'!S648="A+"),IF('Data Source'!AD648&gt;=5,"A+",IF('Data Source'!AD648&gt;=4,"A",IF('Data Source'!AD648&gt;=3.5,"A-",IF('Data Source'!AD648&gt;=3,"B",IF('Data Source'!AD648&gt;=2,"C",IF('Data Source'!AD648&gt;=1,"D","F")))))),"")</f>
        <v/>
      </c>
      <c r="M648" s="3">
        <f>IF(AND('Data Source'!B648&lt;&gt;"",'Data Source'!S648="A+"),IF('Data Source'!AE648&gt;=5,"A+",IF('Data Source'!AE648&gt;=4,"A",IF('Data Source'!AE648&gt;=3.5,"A-",IF('Data Source'!AE648&gt;=3,"B",IF('Data Source'!AE648&gt;=2,"C",IF('Data Source'!AE648&gt;=1,"D","F")))))),"")</f>
        <v/>
      </c>
      <c r="N648" s="3">
        <f>IF(AND('Data Source'!B648&lt;&gt;"",'Data Source'!S648="A+"),IF('Data Source'!AF648&gt;=5,"A+",IF('Data Source'!AF648&gt;=4,"A",IF('Data Source'!AF648&gt;=3.5,"A-",IF('Data Source'!AF648&gt;=3,"B",IF('Data Source'!AF648&gt;=2,"C",IF('Data Source'!AF648&gt;=1,"D","F")))))),"")</f>
        <v/>
      </c>
      <c r="O648" s="3">
        <f>IF(AND('Data Source'!B648&lt;&gt;"",'Data Source'!S648="A+"),IF('Data Source'!AG648&gt;=5,"A+",IF('Data Source'!AG648&gt;=4,"A",IF('Data Source'!AG648&gt;=3.5,"A-",IF('Data Source'!AG648&gt;=3,"B",IF('Data Source'!AG648&gt;=2,"C",IF('Data Source'!AG648&gt;=1,"D","F")))))),"")</f>
        <v/>
      </c>
      <c r="P648" s="5">
        <f>IF(AND('Data Source'!B648&lt;&gt;"",'Data Source'!S648="A+"),'Data Source'!R648,"")</f>
        <v/>
      </c>
      <c r="Q648" s="3">
        <f>IF(AND('Data Source'!B648&lt;&gt;"",'Data Source'!S648="A+"),'Data Source'!S648,"")</f>
        <v/>
      </c>
    </row>
    <row r="649">
      <c r="A649" s="3">
        <f>IF(AND('Data Source'!B649&lt;&gt;"",'Data Source'!S649="A+"),COUNTIF('Data Source'!$S$3:S649,"A+"),"")</f>
        <v/>
      </c>
      <c r="B649">
        <f>IF(AND('Data Source'!B649&lt;&gt;"",'Data Source'!S649="A+"),'Data Source'!B649,"")</f>
        <v/>
      </c>
      <c r="C649" s="3">
        <f>IF(AND('Data Source'!B649&lt;&gt;"",'Data Source'!S649="A+"),IF('Data Source'!U649&gt;=5,"A+",IF('Data Source'!U649&gt;=4,"A",IF('Data Source'!U649&gt;=3.5,"A-",IF('Data Source'!U649&gt;=3,"B",IF('Data Source'!U649&gt;=2,"C",IF('Data Source'!U649&gt;=1,"D","F")))))),"")</f>
        <v/>
      </c>
      <c r="D649" s="3">
        <f>IF(AND('Data Source'!B649&lt;&gt;"",'Data Source'!S649="A+"),IF('Data Source'!V649&gt;=5,"A+",IF('Data Source'!V649&gt;=4,"A",IF('Data Source'!V649&gt;=3.5,"A-",IF('Data Source'!V649&gt;=3,"B",IF('Data Source'!V649&gt;=2,"C",IF('Data Source'!V649&gt;=1,"D","F")))))),"")</f>
        <v/>
      </c>
      <c r="E649" s="3">
        <f>IF(AND('Data Source'!B649&lt;&gt;"",'Data Source'!S649="A+"),IF('Data Source'!W649&gt;=5,"A+",IF('Data Source'!W649&gt;=4,"A",IF('Data Source'!W649&gt;=3.5,"A-",IF('Data Source'!W649&gt;=3,"B",IF('Data Source'!W649&gt;=2,"C",IF('Data Source'!W649&gt;=1,"D","F")))))),"")</f>
        <v/>
      </c>
      <c r="F649" s="3">
        <f>IF(AND('Data Source'!B649&lt;&gt;"",'Data Source'!S649="A+"),IF('Data Source'!X649&gt;=5,"A+",IF('Data Source'!X649&gt;=4,"A",IF('Data Source'!X649&gt;=3.5,"A-",IF('Data Source'!X649&gt;=3,"B",IF('Data Source'!X649&gt;=2,"C",IF('Data Source'!X649&gt;=1,"D","F")))))),"")</f>
        <v/>
      </c>
      <c r="G649" s="3">
        <f>IF(AND('Data Source'!B649&lt;&gt;"",'Data Source'!S649="A+"),IF('Data Source'!Y649&gt;=5,"A+",IF('Data Source'!Y649&gt;=4,"A",IF('Data Source'!Y649&gt;=3.5,"A-",IF('Data Source'!Y649&gt;=3,"B",IF('Data Source'!Y649&gt;=2,"C",IF('Data Source'!Y649&gt;=1,"D","F")))))),"")</f>
        <v/>
      </c>
      <c r="H649" s="3">
        <f>IF(AND('Data Source'!B649&lt;&gt;"",'Data Source'!S649="A+"),IF('Data Source'!Z649&gt;=5,"A+",IF('Data Source'!Z649&gt;=4,"A",IF('Data Source'!Z649&gt;=3.5,"A-",IF('Data Source'!Z649&gt;=3,"B",IF('Data Source'!Z649&gt;=2,"C",IF('Data Source'!Z649&gt;=1,"D","F")))))),"")</f>
        <v/>
      </c>
      <c r="I649" s="3">
        <f>IF(AND('Data Source'!B649&lt;&gt;"",'Data Source'!S649="A+"),IF('Data Source'!AA649&gt;=5,"A+",IF('Data Source'!AA649&gt;=4,"A",IF('Data Source'!AA649&gt;=3.5,"A-",IF('Data Source'!AA649&gt;=3,"B",IF('Data Source'!AA649&gt;=2,"C",IF('Data Source'!AA649&gt;=1,"D","F")))))),"")</f>
        <v/>
      </c>
      <c r="J649" s="3">
        <f>IF(AND('Data Source'!B649&lt;&gt;"",'Data Source'!S649="A+"),IF('Data Source'!AB649&gt;=5,"A+",IF('Data Source'!AB649&gt;=4,"A",IF('Data Source'!AB649&gt;=3.5,"A-",IF('Data Source'!AB649&gt;=3,"B",IF('Data Source'!AB649&gt;=2,"C",IF('Data Source'!AB649&gt;=1,"D","F")))))),"")</f>
        <v/>
      </c>
      <c r="K649" s="3">
        <f>IF(AND('Data Source'!B649&lt;&gt;"",'Data Source'!S649="A+"),IF('Data Source'!AC649&gt;=5,"A+",IF('Data Source'!AC649&gt;=4,"A",IF('Data Source'!AC649&gt;=3.5,"A-",IF('Data Source'!AC649&gt;=3,"B",IF('Data Source'!AC649&gt;=2,"C",IF('Data Source'!AC649&gt;=1,"D","F")))))),"")</f>
        <v/>
      </c>
      <c r="L649" s="3">
        <f>IF(AND('Data Source'!B649&lt;&gt;"",'Data Source'!S649="A+"),IF('Data Source'!AD649&gt;=5,"A+",IF('Data Source'!AD649&gt;=4,"A",IF('Data Source'!AD649&gt;=3.5,"A-",IF('Data Source'!AD649&gt;=3,"B",IF('Data Source'!AD649&gt;=2,"C",IF('Data Source'!AD649&gt;=1,"D","F")))))),"")</f>
        <v/>
      </c>
      <c r="M649" s="3">
        <f>IF(AND('Data Source'!B649&lt;&gt;"",'Data Source'!S649="A+"),IF('Data Source'!AE649&gt;=5,"A+",IF('Data Source'!AE649&gt;=4,"A",IF('Data Source'!AE649&gt;=3.5,"A-",IF('Data Source'!AE649&gt;=3,"B",IF('Data Source'!AE649&gt;=2,"C",IF('Data Source'!AE649&gt;=1,"D","F")))))),"")</f>
        <v/>
      </c>
      <c r="N649" s="3">
        <f>IF(AND('Data Source'!B649&lt;&gt;"",'Data Source'!S649="A+"),IF('Data Source'!AF649&gt;=5,"A+",IF('Data Source'!AF649&gt;=4,"A",IF('Data Source'!AF649&gt;=3.5,"A-",IF('Data Source'!AF649&gt;=3,"B",IF('Data Source'!AF649&gt;=2,"C",IF('Data Source'!AF649&gt;=1,"D","F")))))),"")</f>
        <v/>
      </c>
      <c r="O649" s="3">
        <f>IF(AND('Data Source'!B649&lt;&gt;"",'Data Source'!S649="A+"),IF('Data Source'!AG649&gt;=5,"A+",IF('Data Source'!AG649&gt;=4,"A",IF('Data Source'!AG649&gt;=3.5,"A-",IF('Data Source'!AG649&gt;=3,"B",IF('Data Source'!AG649&gt;=2,"C",IF('Data Source'!AG649&gt;=1,"D","F")))))),"")</f>
        <v/>
      </c>
      <c r="P649" s="5">
        <f>IF(AND('Data Source'!B649&lt;&gt;"",'Data Source'!S649="A+"),'Data Source'!R649,"")</f>
        <v/>
      </c>
      <c r="Q649" s="3">
        <f>IF(AND('Data Source'!B649&lt;&gt;"",'Data Source'!S649="A+"),'Data Source'!S649,"")</f>
        <v/>
      </c>
    </row>
    <row r="650">
      <c r="A650" s="3">
        <f>IF(AND('Data Source'!B650&lt;&gt;"",'Data Source'!S650="A+"),COUNTIF('Data Source'!$S$3:S650,"A+"),"")</f>
        <v/>
      </c>
      <c r="B650">
        <f>IF(AND('Data Source'!B650&lt;&gt;"",'Data Source'!S650="A+"),'Data Source'!B650,"")</f>
        <v/>
      </c>
      <c r="C650" s="3">
        <f>IF(AND('Data Source'!B650&lt;&gt;"",'Data Source'!S650="A+"),IF('Data Source'!U650&gt;=5,"A+",IF('Data Source'!U650&gt;=4,"A",IF('Data Source'!U650&gt;=3.5,"A-",IF('Data Source'!U650&gt;=3,"B",IF('Data Source'!U650&gt;=2,"C",IF('Data Source'!U650&gt;=1,"D","F")))))),"")</f>
        <v/>
      </c>
      <c r="D650" s="3">
        <f>IF(AND('Data Source'!B650&lt;&gt;"",'Data Source'!S650="A+"),IF('Data Source'!V650&gt;=5,"A+",IF('Data Source'!V650&gt;=4,"A",IF('Data Source'!V650&gt;=3.5,"A-",IF('Data Source'!V650&gt;=3,"B",IF('Data Source'!V650&gt;=2,"C",IF('Data Source'!V650&gt;=1,"D","F")))))),"")</f>
        <v/>
      </c>
      <c r="E650" s="3">
        <f>IF(AND('Data Source'!B650&lt;&gt;"",'Data Source'!S650="A+"),IF('Data Source'!W650&gt;=5,"A+",IF('Data Source'!W650&gt;=4,"A",IF('Data Source'!W650&gt;=3.5,"A-",IF('Data Source'!W650&gt;=3,"B",IF('Data Source'!W650&gt;=2,"C",IF('Data Source'!W650&gt;=1,"D","F")))))),"")</f>
        <v/>
      </c>
      <c r="F650" s="3">
        <f>IF(AND('Data Source'!B650&lt;&gt;"",'Data Source'!S650="A+"),IF('Data Source'!X650&gt;=5,"A+",IF('Data Source'!X650&gt;=4,"A",IF('Data Source'!X650&gt;=3.5,"A-",IF('Data Source'!X650&gt;=3,"B",IF('Data Source'!X650&gt;=2,"C",IF('Data Source'!X650&gt;=1,"D","F")))))),"")</f>
        <v/>
      </c>
      <c r="G650" s="3">
        <f>IF(AND('Data Source'!B650&lt;&gt;"",'Data Source'!S650="A+"),IF('Data Source'!Y650&gt;=5,"A+",IF('Data Source'!Y650&gt;=4,"A",IF('Data Source'!Y650&gt;=3.5,"A-",IF('Data Source'!Y650&gt;=3,"B",IF('Data Source'!Y650&gt;=2,"C",IF('Data Source'!Y650&gt;=1,"D","F")))))),"")</f>
        <v/>
      </c>
      <c r="H650" s="3">
        <f>IF(AND('Data Source'!B650&lt;&gt;"",'Data Source'!S650="A+"),IF('Data Source'!Z650&gt;=5,"A+",IF('Data Source'!Z650&gt;=4,"A",IF('Data Source'!Z650&gt;=3.5,"A-",IF('Data Source'!Z650&gt;=3,"B",IF('Data Source'!Z650&gt;=2,"C",IF('Data Source'!Z650&gt;=1,"D","F")))))),"")</f>
        <v/>
      </c>
      <c r="I650" s="3">
        <f>IF(AND('Data Source'!B650&lt;&gt;"",'Data Source'!S650="A+"),IF('Data Source'!AA650&gt;=5,"A+",IF('Data Source'!AA650&gt;=4,"A",IF('Data Source'!AA650&gt;=3.5,"A-",IF('Data Source'!AA650&gt;=3,"B",IF('Data Source'!AA650&gt;=2,"C",IF('Data Source'!AA650&gt;=1,"D","F")))))),"")</f>
        <v/>
      </c>
      <c r="J650" s="3">
        <f>IF(AND('Data Source'!B650&lt;&gt;"",'Data Source'!S650="A+"),IF('Data Source'!AB650&gt;=5,"A+",IF('Data Source'!AB650&gt;=4,"A",IF('Data Source'!AB650&gt;=3.5,"A-",IF('Data Source'!AB650&gt;=3,"B",IF('Data Source'!AB650&gt;=2,"C",IF('Data Source'!AB650&gt;=1,"D","F")))))),"")</f>
        <v/>
      </c>
      <c r="K650" s="3">
        <f>IF(AND('Data Source'!B650&lt;&gt;"",'Data Source'!S650="A+"),IF('Data Source'!AC650&gt;=5,"A+",IF('Data Source'!AC650&gt;=4,"A",IF('Data Source'!AC650&gt;=3.5,"A-",IF('Data Source'!AC650&gt;=3,"B",IF('Data Source'!AC650&gt;=2,"C",IF('Data Source'!AC650&gt;=1,"D","F")))))),"")</f>
        <v/>
      </c>
      <c r="L650" s="3">
        <f>IF(AND('Data Source'!B650&lt;&gt;"",'Data Source'!S650="A+"),IF('Data Source'!AD650&gt;=5,"A+",IF('Data Source'!AD650&gt;=4,"A",IF('Data Source'!AD650&gt;=3.5,"A-",IF('Data Source'!AD650&gt;=3,"B",IF('Data Source'!AD650&gt;=2,"C",IF('Data Source'!AD650&gt;=1,"D","F")))))),"")</f>
        <v/>
      </c>
      <c r="M650" s="3">
        <f>IF(AND('Data Source'!B650&lt;&gt;"",'Data Source'!S650="A+"),IF('Data Source'!AE650&gt;=5,"A+",IF('Data Source'!AE650&gt;=4,"A",IF('Data Source'!AE650&gt;=3.5,"A-",IF('Data Source'!AE650&gt;=3,"B",IF('Data Source'!AE650&gt;=2,"C",IF('Data Source'!AE650&gt;=1,"D","F")))))),"")</f>
        <v/>
      </c>
      <c r="N650" s="3">
        <f>IF(AND('Data Source'!B650&lt;&gt;"",'Data Source'!S650="A+"),IF('Data Source'!AF650&gt;=5,"A+",IF('Data Source'!AF650&gt;=4,"A",IF('Data Source'!AF650&gt;=3.5,"A-",IF('Data Source'!AF650&gt;=3,"B",IF('Data Source'!AF650&gt;=2,"C",IF('Data Source'!AF650&gt;=1,"D","F")))))),"")</f>
        <v/>
      </c>
      <c r="O650" s="3">
        <f>IF(AND('Data Source'!B650&lt;&gt;"",'Data Source'!S650="A+"),IF('Data Source'!AG650&gt;=5,"A+",IF('Data Source'!AG650&gt;=4,"A",IF('Data Source'!AG650&gt;=3.5,"A-",IF('Data Source'!AG650&gt;=3,"B",IF('Data Source'!AG650&gt;=2,"C",IF('Data Source'!AG650&gt;=1,"D","F")))))),"")</f>
        <v/>
      </c>
      <c r="P650" s="5">
        <f>IF(AND('Data Source'!B650&lt;&gt;"",'Data Source'!S650="A+"),'Data Source'!R650,"")</f>
        <v/>
      </c>
      <c r="Q650" s="3">
        <f>IF(AND('Data Source'!B650&lt;&gt;"",'Data Source'!S650="A+"),'Data Source'!S650,"")</f>
        <v/>
      </c>
    </row>
    <row r="651">
      <c r="A651" s="3">
        <f>IF(AND('Data Source'!B651&lt;&gt;"",'Data Source'!S651="A+"),COUNTIF('Data Source'!$S$3:S651,"A+"),"")</f>
        <v/>
      </c>
      <c r="B651">
        <f>IF(AND('Data Source'!B651&lt;&gt;"",'Data Source'!S651="A+"),'Data Source'!B651,"")</f>
        <v/>
      </c>
      <c r="C651" s="3">
        <f>IF(AND('Data Source'!B651&lt;&gt;"",'Data Source'!S651="A+"),IF('Data Source'!U651&gt;=5,"A+",IF('Data Source'!U651&gt;=4,"A",IF('Data Source'!U651&gt;=3.5,"A-",IF('Data Source'!U651&gt;=3,"B",IF('Data Source'!U651&gt;=2,"C",IF('Data Source'!U651&gt;=1,"D","F")))))),"")</f>
        <v/>
      </c>
      <c r="D651" s="3">
        <f>IF(AND('Data Source'!B651&lt;&gt;"",'Data Source'!S651="A+"),IF('Data Source'!V651&gt;=5,"A+",IF('Data Source'!V651&gt;=4,"A",IF('Data Source'!V651&gt;=3.5,"A-",IF('Data Source'!V651&gt;=3,"B",IF('Data Source'!V651&gt;=2,"C",IF('Data Source'!V651&gt;=1,"D","F")))))),"")</f>
        <v/>
      </c>
      <c r="E651" s="3">
        <f>IF(AND('Data Source'!B651&lt;&gt;"",'Data Source'!S651="A+"),IF('Data Source'!W651&gt;=5,"A+",IF('Data Source'!W651&gt;=4,"A",IF('Data Source'!W651&gt;=3.5,"A-",IF('Data Source'!W651&gt;=3,"B",IF('Data Source'!W651&gt;=2,"C",IF('Data Source'!W651&gt;=1,"D","F")))))),"")</f>
        <v/>
      </c>
      <c r="F651" s="3">
        <f>IF(AND('Data Source'!B651&lt;&gt;"",'Data Source'!S651="A+"),IF('Data Source'!X651&gt;=5,"A+",IF('Data Source'!X651&gt;=4,"A",IF('Data Source'!X651&gt;=3.5,"A-",IF('Data Source'!X651&gt;=3,"B",IF('Data Source'!X651&gt;=2,"C",IF('Data Source'!X651&gt;=1,"D","F")))))),"")</f>
        <v/>
      </c>
      <c r="G651" s="3">
        <f>IF(AND('Data Source'!B651&lt;&gt;"",'Data Source'!S651="A+"),IF('Data Source'!Y651&gt;=5,"A+",IF('Data Source'!Y651&gt;=4,"A",IF('Data Source'!Y651&gt;=3.5,"A-",IF('Data Source'!Y651&gt;=3,"B",IF('Data Source'!Y651&gt;=2,"C",IF('Data Source'!Y651&gt;=1,"D","F")))))),"")</f>
        <v/>
      </c>
      <c r="H651" s="3">
        <f>IF(AND('Data Source'!B651&lt;&gt;"",'Data Source'!S651="A+"),IF('Data Source'!Z651&gt;=5,"A+",IF('Data Source'!Z651&gt;=4,"A",IF('Data Source'!Z651&gt;=3.5,"A-",IF('Data Source'!Z651&gt;=3,"B",IF('Data Source'!Z651&gt;=2,"C",IF('Data Source'!Z651&gt;=1,"D","F")))))),"")</f>
        <v/>
      </c>
      <c r="I651" s="3">
        <f>IF(AND('Data Source'!B651&lt;&gt;"",'Data Source'!S651="A+"),IF('Data Source'!AA651&gt;=5,"A+",IF('Data Source'!AA651&gt;=4,"A",IF('Data Source'!AA651&gt;=3.5,"A-",IF('Data Source'!AA651&gt;=3,"B",IF('Data Source'!AA651&gt;=2,"C",IF('Data Source'!AA651&gt;=1,"D","F")))))),"")</f>
        <v/>
      </c>
      <c r="J651" s="3">
        <f>IF(AND('Data Source'!B651&lt;&gt;"",'Data Source'!S651="A+"),IF('Data Source'!AB651&gt;=5,"A+",IF('Data Source'!AB651&gt;=4,"A",IF('Data Source'!AB651&gt;=3.5,"A-",IF('Data Source'!AB651&gt;=3,"B",IF('Data Source'!AB651&gt;=2,"C",IF('Data Source'!AB651&gt;=1,"D","F")))))),"")</f>
        <v/>
      </c>
      <c r="K651" s="3">
        <f>IF(AND('Data Source'!B651&lt;&gt;"",'Data Source'!S651="A+"),IF('Data Source'!AC651&gt;=5,"A+",IF('Data Source'!AC651&gt;=4,"A",IF('Data Source'!AC651&gt;=3.5,"A-",IF('Data Source'!AC651&gt;=3,"B",IF('Data Source'!AC651&gt;=2,"C",IF('Data Source'!AC651&gt;=1,"D","F")))))),"")</f>
        <v/>
      </c>
      <c r="L651" s="3">
        <f>IF(AND('Data Source'!B651&lt;&gt;"",'Data Source'!S651="A+"),IF('Data Source'!AD651&gt;=5,"A+",IF('Data Source'!AD651&gt;=4,"A",IF('Data Source'!AD651&gt;=3.5,"A-",IF('Data Source'!AD651&gt;=3,"B",IF('Data Source'!AD651&gt;=2,"C",IF('Data Source'!AD651&gt;=1,"D","F")))))),"")</f>
        <v/>
      </c>
      <c r="M651" s="3">
        <f>IF(AND('Data Source'!B651&lt;&gt;"",'Data Source'!S651="A+"),IF('Data Source'!AE651&gt;=5,"A+",IF('Data Source'!AE651&gt;=4,"A",IF('Data Source'!AE651&gt;=3.5,"A-",IF('Data Source'!AE651&gt;=3,"B",IF('Data Source'!AE651&gt;=2,"C",IF('Data Source'!AE651&gt;=1,"D","F")))))),"")</f>
        <v/>
      </c>
      <c r="N651" s="3">
        <f>IF(AND('Data Source'!B651&lt;&gt;"",'Data Source'!S651="A+"),IF('Data Source'!AF651&gt;=5,"A+",IF('Data Source'!AF651&gt;=4,"A",IF('Data Source'!AF651&gt;=3.5,"A-",IF('Data Source'!AF651&gt;=3,"B",IF('Data Source'!AF651&gt;=2,"C",IF('Data Source'!AF651&gt;=1,"D","F")))))),"")</f>
        <v/>
      </c>
      <c r="O651" s="3">
        <f>IF(AND('Data Source'!B651&lt;&gt;"",'Data Source'!S651="A+"),IF('Data Source'!AG651&gt;=5,"A+",IF('Data Source'!AG651&gt;=4,"A",IF('Data Source'!AG651&gt;=3.5,"A-",IF('Data Source'!AG651&gt;=3,"B",IF('Data Source'!AG651&gt;=2,"C",IF('Data Source'!AG651&gt;=1,"D","F")))))),"")</f>
        <v/>
      </c>
      <c r="P651" s="5">
        <f>IF(AND('Data Source'!B651&lt;&gt;"",'Data Source'!S651="A+"),'Data Source'!R651,"")</f>
        <v/>
      </c>
      <c r="Q651" s="3">
        <f>IF(AND('Data Source'!B651&lt;&gt;"",'Data Source'!S651="A+"),'Data Source'!S651,"")</f>
        <v/>
      </c>
    </row>
    <row r="652">
      <c r="A652" s="3">
        <f>IF(AND('Data Source'!B652&lt;&gt;"",'Data Source'!S652="A+"),COUNTIF('Data Source'!$S$3:S652,"A+"),"")</f>
        <v/>
      </c>
      <c r="B652">
        <f>IF(AND('Data Source'!B652&lt;&gt;"",'Data Source'!S652="A+"),'Data Source'!B652,"")</f>
        <v/>
      </c>
      <c r="C652" s="3">
        <f>IF(AND('Data Source'!B652&lt;&gt;"",'Data Source'!S652="A+"),IF('Data Source'!U652&gt;=5,"A+",IF('Data Source'!U652&gt;=4,"A",IF('Data Source'!U652&gt;=3.5,"A-",IF('Data Source'!U652&gt;=3,"B",IF('Data Source'!U652&gt;=2,"C",IF('Data Source'!U652&gt;=1,"D","F")))))),"")</f>
        <v/>
      </c>
      <c r="D652" s="3">
        <f>IF(AND('Data Source'!B652&lt;&gt;"",'Data Source'!S652="A+"),IF('Data Source'!V652&gt;=5,"A+",IF('Data Source'!V652&gt;=4,"A",IF('Data Source'!V652&gt;=3.5,"A-",IF('Data Source'!V652&gt;=3,"B",IF('Data Source'!V652&gt;=2,"C",IF('Data Source'!V652&gt;=1,"D","F")))))),"")</f>
        <v/>
      </c>
      <c r="E652" s="3">
        <f>IF(AND('Data Source'!B652&lt;&gt;"",'Data Source'!S652="A+"),IF('Data Source'!W652&gt;=5,"A+",IF('Data Source'!W652&gt;=4,"A",IF('Data Source'!W652&gt;=3.5,"A-",IF('Data Source'!W652&gt;=3,"B",IF('Data Source'!W652&gt;=2,"C",IF('Data Source'!W652&gt;=1,"D","F")))))),"")</f>
        <v/>
      </c>
      <c r="F652" s="3">
        <f>IF(AND('Data Source'!B652&lt;&gt;"",'Data Source'!S652="A+"),IF('Data Source'!X652&gt;=5,"A+",IF('Data Source'!X652&gt;=4,"A",IF('Data Source'!X652&gt;=3.5,"A-",IF('Data Source'!X652&gt;=3,"B",IF('Data Source'!X652&gt;=2,"C",IF('Data Source'!X652&gt;=1,"D","F")))))),"")</f>
        <v/>
      </c>
      <c r="G652" s="3">
        <f>IF(AND('Data Source'!B652&lt;&gt;"",'Data Source'!S652="A+"),IF('Data Source'!Y652&gt;=5,"A+",IF('Data Source'!Y652&gt;=4,"A",IF('Data Source'!Y652&gt;=3.5,"A-",IF('Data Source'!Y652&gt;=3,"B",IF('Data Source'!Y652&gt;=2,"C",IF('Data Source'!Y652&gt;=1,"D","F")))))),"")</f>
        <v/>
      </c>
      <c r="H652" s="3">
        <f>IF(AND('Data Source'!B652&lt;&gt;"",'Data Source'!S652="A+"),IF('Data Source'!Z652&gt;=5,"A+",IF('Data Source'!Z652&gt;=4,"A",IF('Data Source'!Z652&gt;=3.5,"A-",IF('Data Source'!Z652&gt;=3,"B",IF('Data Source'!Z652&gt;=2,"C",IF('Data Source'!Z652&gt;=1,"D","F")))))),"")</f>
        <v/>
      </c>
      <c r="I652" s="3">
        <f>IF(AND('Data Source'!B652&lt;&gt;"",'Data Source'!S652="A+"),IF('Data Source'!AA652&gt;=5,"A+",IF('Data Source'!AA652&gt;=4,"A",IF('Data Source'!AA652&gt;=3.5,"A-",IF('Data Source'!AA652&gt;=3,"B",IF('Data Source'!AA652&gt;=2,"C",IF('Data Source'!AA652&gt;=1,"D","F")))))),"")</f>
        <v/>
      </c>
      <c r="J652" s="3">
        <f>IF(AND('Data Source'!B652&lt;&gt;"",'Data Source'!S652="A+"),IF('Data Source'!AB652&gt;=5,"A+",IF('Data Source'!AB652&gt;=4,"A",IF('Data Source'!AB652&gt;=3.5,"A-",IF('Data Source'!AB652&gt;=3,"B",IF('Data Source'!AB652&gt;=2,"C",IF('Data Source'!AB652&gt;=1,"D","F")))))),"")</f>
        <v/>
      </c>
      <c r="K652" s="3">
        <f>IF(AND('Data Source'!B652&lt;&gt;"",'Data Source'!S652="A+"),IF('Data Source'!AC652&gt;=5,"A+",IF('Data Source'!AC652&gt;=4,"A",IF('Data Source'!AC652&gt;=3.5,"A-",IF('Data Source'!AC652&gt;=3,"B",IF('Data Source'!AC652&gt;=2,"C",IF('Data Source'!AC652&gt;=1,"D","F")))))),"")</f>
        <v/>
      </c>
      <c r="L652" s="3">
        <f>IF(AND('Data Source'!B652&lt;&gt;"",'Data Source'!S652="A+"),IF('Data Source'!AD652&gt;=5,"A+",IF('Data Source'!AD652&gt;=4,"A",IF('Data Source'!AD652&gt;=3.5,"A-",IF('Data Source'!AD652&gt;=3,"B",IF('Data Source'!AD652&gt;=2,"C",IF('Data Source'!AD652&gt;=1,"D","F")))))),"")</f>
        <v/>
      </c>
      <c r="M652" s="3">
        <f>IF(AND('Data Source'!B652&lt;&gt;"",'Data Source'!S652="A+"),IF('Data Source'!AE652&gt;=5,"A+",IF('Data Source'!AE652&gt;=4,"A",IF('Data Source'!AE652&gt;=3.5,"A-",IF('Data Source'!AE652&gt;=3,"B",IF('Data Source'!AE652&gt;=2,"C",IF('Data Source'!AE652&gt;=1,"D","F")))))),"")</f>
        <v/>
      </c>
      <c r="N652" s="3">
        <f>IF(AND('Data Source'!B652&lt;&gt;"",'Data Source'!S652="A+"),IF('Data Source'!AF652&gt;=5,"A+",IF('Data Source'!AF652&gt;=4,"A",IF('Data Source'!AF652&gt;=3.5,"A-",IF('Data Source'!AF652&gt;=3,"B",IF('Data Source'!AF652&gt;=2,"C",IF('Data Source'!AF652&gt;=1,"D","F")))))),"")</f>
        <v/>
      </c>
      <c r="O652" s="3">
        <f>IF(AND('Data Source'!B652&lt;&gt;"",'Data Source'!S652="A+"),IF('Data Source'!AG652&gt;=5,"A+",IF('Data Source'!AG652&gt;=4,"A",IF('Data Source'!AG652&gt;=3.5,"A-",IF('Data Source'!AG652&gt;=3,"B",IF('Data Source'!AG652&gt;=2,"C",IF('Data Source'!AG652&gt;=1,"D","F")))))),"")</f>
        <v/>
      </c>
      <c r="P652" s="5">
        <f>IF(AND('Data Source'!B652&lt;&gt;"",'Data Source'!S652="A+"),'Data Source'!R652,"")</f>
        <v/>
      </c>
      <c r="Q652" s="3">
        <f>IF(AND('Data Source'!B652&lt;&gt;"",'Data Source'!S652="A+"),'Data Source'!S652,"")</f>
        <v/>
      </c>
    </row>
    <row r="653">
      <c r="A653" s="3">
        <f>IF(AND('Data Source'!B653&lt;&gt;"",'Data Source'!S653="A+"),COUNTIF('Data Source'!$S$3:S653,"A+"),"")</f>
        <v/>
      </c>
      <c r="B653">
        <f>IF(AND('Data Source'!B653&lt;&gt;"",'Data Source'!S653="A+"),'Data Source'!B653,"")</f>
        <v/>
      </c>
      <c r="C653" s="3">
        <f>IF(AND('Data Source'!B653&lt;&gt;"",'Data Source'!S653="A+"),IF('Data Source'!U653&gt;=5,"A+",IF('Data Source'!U653&gt;=4,"A",IF('Data Source'!U653&gt;=3.5,"A-",IF('Data Source'!U653&gt;=3,"B",IF('Data Source'!U653&gt;=2,"C",IF('Data Source'!U653&gt;=1,"D","F")))))),"")</f>
        <v/>
      </c>
      <c r="D653" s="3">
        <f>IF(AND('Data Source'!B653&lt;&gt;"",'Data Source'!S653="A+"),IF('Data Source'!V653&gt;=5,"A+",IF('Data Source'!V653&gt;=4,"A",IF('Data Source'!V653&gt;=3.5,"A-",IF('Data Source'!V653&gt;=3,"B",IF('Data Source'!V653&gt;=2,"C",IF('Data Source'!V653&gt;=1,"D","F")))))),"")</f>
        <v/>
      </c>
      <c r="E653" s="3">
        <f>IF(AND('Data Source'!B653&lt;&gt;"",'Data Source'!S653="A+"),IF('Data Source'!W653&gt;=5,"A+",IF('Data Source'!W653&gt;=4,"A",IF('Data Source'!W653&gt;=3.5,"A-",IF('Data Source'!W653&gt;=3,"B",IF('Data Source'!W653&gt;=2,"C",IF('Data Source'!W653&gt;=1,"D","F")))))),"")</f>
        <v/>
      </c>
      <c r="F653" s="3">
        <f>IF(AND('Data Source'!B653&lt;&gt;"",'Data Source'!S653="A+"),IF('Data Source'!X653&gt;=5,"A+",IF('Data Source'!X653&gt;=4,"A",IF('Data Source'!X653&gt;=3.5,"A-",IF('Data Source'!X653&gt;=3,"B",IF('Data Source'!X653&gt;=2,"C",IF('Data Source'!X653&gt;=1,"D","F")))))),"")</f>
        <v/>
      </c>
      <c r="G653" s="3">
        <f>IF(AND('Data Source'!B653&lt;&gt;"",'Data Source'!S653="A+"),IF('Data Source'!Y653&gt;=5,"A+",IF('Data Source'!Y653&gt;=4,"A",IF('Data Source'!Y653&gt;=3.5,"A-",IF('Data Source'!Y653&gt;=3,"B",IF('Data Source'!Y653&gt;=2,"C",IF('Data Source'!Y653&gt;=1,"D","F")))))),"")</f>
        <v/>
      </c>
      <c r="H653" s="3">
        <f>IF(AND('Data Source'!B653&lt;&gt;"",'Data Source'!S653="A+"),IF('Data Source'!Z653&gt;=5,"A+",IF('Data Source'!Z653&gt;=4,"A",IF('Data Source'!Z653&gt;=3.5,"A-",IF('Data Source'!Z653&gt;=3,"B",IF('Data Source'!Z653&gt;=2,"C",IF('Data Source'!Z653&gt;=1,"D","F")))))),"")</f>
        <v/>
      </c>
      <c r="I653" s="3">
        <f>IF(AND('Data Source'!B653&lt;&gt;"",'Data Source'!S653="A+"),IF('Data Source'!AA653&gt;=5,"A+",IF('Data Source'!AA653&gt;=4,"A",IF('Data Source'!AA653&gt;=3.5,"A-",IF('Data Source'!AA653&gt;=3,"B",IF('Data Source'!AA653&gt;=2,"C",IF('Data Source'!AA653&gt;=1,"D","F")))))),"")</f>
        <v/>
      </c>
      <c r="J653" s="3">
        <f>IF(AND('Data Source'!B653&lt;&gt;"",'Data Source'!S653="A+"),IF('Data Source'!AB653&gt;=5,"A+",IF('Data Source'!AB653&gt;=4,"A",IF('Data Source'!AB653&gt;=3.5,"A-",IF('Data Source'!AB653&gt;=3,"B",IF('Data Source'!AB653&gt;=2,"C",IF('Data Source'!AB653&gt;=1,"D","F")))))),"")</f>
        <v/>
      </c>
      <c r="K653" s="3">
        <f>IF(AND('Data Source'!B653&lt;&gt;"",'Data Source'!S653="A+"),IF('Data Source'!AC653&gt;=5,"A+",IF('Data Source'!AC653&gt;=4,"A",IF('Data Source'!AC653&gt;=3.5,"A-",IF('Data Source'!AC653&gt;=3,"B",IF('Data Source'!AC653&gt;=2,"C",IF('Data Source'!AC653&gt;=1,"D","F")))))),"")</f>
        <v/>
      </c>
      <c r="L653" s="3">
        <f>IF(AND('Data Source'!B653&lt;&gt;"",'Data Source'!S653="A+"),IF('Data Source'!AD653&gt;=5,"A+",IF('Data Source'!AD653&gt;=4,"A",IF('Data Source'!AD653&gt;=3.5,"A-",IF('Data Source'!AD653&gt;=3,"B",IF('Data Source'!AD653&gt;=2,"C",IF('Data Source'!AD653&gt;=1,"D","F")))))),"")</f>
        <v/>
      </c>
      <c r="M653" s="3">
        <f>IF(AND('Data Source'!B653&lt;&gt;"",'Data Source'!S653="A+"),IF('Data Source'!AE653&gt;=5,"A+",IF('Data Source'!AE653&gt;=4,"A",IF('Data Source'!AE653&gt;=3.5,"A-",IF('Data Source'!AE653&gt;=3,"B",IF('Data Source'!AE653&gt;=2,"C",IF('Data Source'!AE653&gt;=1,"D","F")))))),"")</f>
        <v/>
      </c>
      <c r="N653" s="3">
        <f>IF(AND('Data Source'!B653&lt;&gt;"",'Data Source'!S653="A+"),IF('Data Source'!AF653&gt;=5,"A+",IF('Data Source'!AF653&gt;=4,"A",IF('Data Source'!AF653&gt;=3.5,"A-",IF('Data Source'!AF653&gt;=3,"B",IF('Data Source'!AF653&gt;=2,"C",IF('Data Source'!AF653&gt;=1,"D","F")))))),"")</f>
        <v/>
      </c>
      <c r="O653" s="3">
        <f>IF(AND('Data Source'!B653&lt;&gt;"",'Data Source'!S653="A+"),IF('Data Source'!AG653&gt;=5,"A+",IF('Data Source'!AG653&gt;=4,"A",IF('Data Source'!AG653&gt;=3.5,"A-",IF('Data Source'!AG653&gt;=3,"B",IF('Data Source'!AG653&gt;=2,"C",IF('Data Source'!AG653&gt;=1,"D","F")))))),"")</f>
        <v/>
      </c>
      <c r="P653" s="5">
        <f>IF(AND('Data Source'!B653&lt;&gt;"",'Data Source'!S653="A+"),'Data Source'!R653,"")</f>
        <v/>
      </c>
      <c r="Q653" s="3">
        <f>IF(AND('Data Source'!B653&lt;&gt;"",'Data Source'!S653="A+"),'Data Source'!S653,"")</f>
        <v/>
      </c>
    </row>
    <row r="654">
      <c r="A654" s="3">
        <f>IF(AND('Data Source'!B654&lt;&gt;"",'Data Source'!S654="A+"),COUNTIF('Data Source'!$S$3:S654,"A+"),"")</f>
        <v/>
      </c>
      <c r="B654">
        <f>IF(AND('Data Source'!B654&lt;&gt;"",'Data Source'!S654="A+"),'Data Source'!B654,"")</f>
        <v/>
      </c>
      <c r="C654" s="3">
        <f>IF(AND('Data Source'!B654&lt;&gt;"",'Data Source'!S654="A+"),IF('Data Source'!U654&gt;=5,"A+",IF('Data Source'!U654&gt;=4,"A",IF('Data Source'!U654&gt;=3.5,"A-",IF('Data Source'!U654&gt;=3,"B",IF('Data Source'!U654&gt;=2,"C",IF('Data Source'!U654&gt;=1,"D","F")))))),"")</f>
        <v/>
      </c>
      <c r="D654" s="3">
        <f>IF(AND('Data Source'!B654&lt;&gt;"",'Data Source'!S654="A+"),IF('Data Source'!V654&gt;=5,"A+",IF('Data Source'!V654&gt;=4,"A",IF('Data Source'!V654&gt;=3.5,"A-",IF('Data Source'!V654&gt;=3,"B",IF('Data Source'!V654&gt;=2,"C",IF('Data Source'!V654&gt;=1,"D","F")))))),"")</f>
        <v/>
      </c>
      <c r="E654" s="3">
        <f>IF(AND('Data Source'!B654&lt;&gt;"",'Data Source'!S654="A+"),IF('Data Source'!W654&gt;=5,"A+",IF('Data Source'!W654&gt;=4,"A",IF('Data Source'!W654&gt;=3.5,"A-",IF('Data Source'!W654&gt;=3,"B",IF('Data Source'!W654&gt;=2,"C",IF('Data Source'!W654&gt;=1,"D","F")))))),"")</f>
        <v/>
      </c>
      <c r="F654" s="3">
        <f>IF(AND('Data Source'!B654&lt;&gt;"",'Data Source'!S654="A+"),IF('Data Source'!X654&gt;=5,"A+",IF('Data Source'!X654&gt;=4,"A",IF('Data Source'!X654&gt;=3.5,"A-",IF('Data Source'!X654&gt;=3,"B",IF('Data Source'!X654&gt;=2,"C",IF('Data Source'!X654&gt;=1,"D","F")))))),"")</f>
        <v/>
      </c>
      <c r="G654" s="3">
        <f>IF(AND('Data Source'!B654&lt;&gt;"",'Data Source'!S654="A+"),IF('Data Source'!Y654&gt;=5,"A+",IF('Data Source'!Y654&gt;=4,"A",IF('Data Source'!Y654&gt;=3.5,"A-",IF('Data Source'!Y654&gt;=3,"B",IF('Data Source'!Y654&gt;=2,"C",IF('Data Source'!Y654&gt;=1,"D","F")))))),"")</f>
        <v/>
      </c>
      <c r="H654" s="3">
        <f>IF(AND('Data Source'!B654&lt;&gt;"",'Data Source'!S654="A+"),IF('Data Source'!Z654&gt;=5,"A+",IF('Data Source'!Z654&gt;=4,"A",IF('Data Source'!Z654&gt;=3.5,"A-",IF('Data Source'!Z654&gt;=3,"B",IF('Data Source'!Z654&gt;=2,"C",IF('Data Source'!Z654&gt;=1,"D","F")))))),"")</f>
        <v/>
      </c>
      <c r="I654" s="3">
        <f>IF(AND('Data Source'!B654&lt;&gt;"",'Data Source'!S654="A+"),IF('Data Source'!AA654&gt;=5,"A+",IF('Data Source'!AA654&gt;=4,"A",IF('Data Source'!AA654&gt;=3.5,"A-",IF('Data Source'!AA654&gt;=3,"B",IF('Data Source'!AA654&gt;=2,"C",IF('Data Source'!AA654&gt;=1,"D","F")))))),"")</f>
        <v/>
      </c>
      <c r="J654" s="3">
        <f>IF(AND('Data Source'!B654&lt;&gt;"",'Data Source'!S654="A+"),IF('Data Source'!AB654&gt;=5,"A+",IF('Data Source'!AB654&gt;=4,"A",IF('Data Source'!AB654&gt;=3.5,"A-",IF('Data Source'!AB654&gt;=3,"B",IF('Data Source'!AB654&gt;=2,"C",IF('Data Source'!AB654&gt;=1,"D","F")))))),"")</f>
        <v/>
      </c>
      <c r="K654" s="3">
        <f>IF(AND('Data Source'!B654&lt;&gt;"",'Data Source'!S654="A+"),IF('Data Source'!AC654&gt;=5,"A+",IF('Data Source'!AC654&gt;=4,"A",IF('Data Source'!AC654&gt;=3.5,"A-",IF('Data Source'!AC654&gt;=3,"B",IF('Data Source'!AC654&gt;=2,"C",IF('Data Source'!AC654&gt;=1,"D","F")))))),"")</f>
        <v/>
      </c>
      <c r="L654" s="3">
        <f>IF(AND('Data Source'!B654&lt;&gt;"",'Data Source'!S654="A+"),IF('Data Source'!AD654&gt;=5,"A+",IF('Data Source'!AD654&gt;=4,"A",IF('Data Source'!AD654&gt;=3.5,"A-",IF('Data Source'!AD654&gt;=3,"B",IF('Data Source'!AD654&gt;=2,"C",IF('Data Source'!AD654&gt;=1,"D","F")))))),"")</f>
        <v/>
      </c>
      <c r="M654" s="3">
        <f>IF(AND('Data Source'!B654&lt;&gt;"",'Data Source'!S654="A+"),IF('Data Source'!AE654&gt;=5,"A+",IF('Data Source'!AE654&gt;=4,"A",IF('Data Source'!AE654&gt;=3.5,"A-",IF('Data Source'!AE654&gt;=3,"B",IF('Data Source'!AE654&gt;=2,"C",IF('Data Source'!AE654&gt;=1,"D","F")))))),"")</f>
        <v/>
      </c>
      <c r="N654" s="3">
        <f>IF(AND('Data Source'!B654&lt;&gt;"",'Data Source'!S654="A+"),IF('Data Source'!AF654&gt;=5,"A+",IF('Data Source'!AF654&gt;=4,"A",IF('Data Source'!AF654&gt;=3.5,"A-",IF('Data Source'!AF654&gt;=3,"B",IF('Data Source'!AF654&gt;=2,"C",IF('Data Source'!AF654&gt;=1,"D","F")))))),"")</f>
        <v/>
      </c>
      <c r="O654" s="3">
        <f>IF(AND('Data Source'!B654&lt;&gt;"",'Data Source'!S654="A+"),IF('Data Source'!AG654&gt;=5,"A+",IF('Data Source'!AG654&gt;=4,"A",IF('Data Source'!AG654&gt;=3.5,"A-",IF('Data Source'!AG654&gt;=3,"B",IF('Data Source'!AG654&gt;=2,"C",IF('Data Source'!AG654&gt;=1,"D","F")))))),"")</f>
        <v/>
      </c>
      <c r="P654" s="5">
        <f>IF(AND('Data Source'!B654&lt;&gt;"",'Data Source'!S654="A+"),'Data Source'!R654,"")</f>
        <v/>
      </c>
      <c r="Q654" s="3">
        <f>IF(AND('Data Source'!B654&lt;&gt;"",'Data Source'!S654="A+"),'Data Source'!S654,"")</f>
        <v/>
      </c>
    </row>
    <row r="655">
      <c r="A655" s="3">
        <f>IF(AND('Data Source'!B655&lt;&gt;"",'Data Source'!S655="A+"),COUNTIF('Data Source'!$S$3:S655,"A+"),"")</f>
        <v/>
      </c>
      <c r="B655">
        <f>IF(AND('Data Source'!B655&lt;&gt;"",'Data Source'!S655="A+"),'Data Source'!B655,"")</f>
        <v/>
      </c>
      <c r="C655" s="3">
        <f>IF(AND('Data Source'!B655&lt;&gt;"",'Data Source'!S655="A+"),IF('Data Source'!U655&gt;=5,"A+",IF('Data Source'!U655&gt;=4,"A",IF('Data Source'!U655&gt;=3.5,"A-",IF('Data Source'!U655&gt;=3,"B",IF('Data Source'!U655&gt;=2,"C",IF('Data Source'!U655&gt;=1,"D","F")))))),"")</f>
        <v/>
      </c>
      <c r="D655" s="3">
        <f>IF(AND('Data Source'!B655&lt;&gt;"",'Data Source'!S655="A+"),IF('Data Source'!V655&gt;=5,"A+",IF('Data Source'!V655&gt;=4,"A",IF('Data Source'!V655&gt;=3.5,"A-",IF('Data Source'!V655&gt;=3,"B",IF('Data Source'!V655&gt;=2,"C",IF('Data Source'!V655&gt;=1,"D","F")))))),"")</f>
        <v/>
      </c>
      <c r="E655" s="3">
        <f>IF(AND('Data Source'!B655&lt;&gt;"",'Data Source'!S655="A+"),IF('Data Source'!W655&gt;=5,"A+",IF('Data Source'!W655&gt;=4,"A",IF('Data Source'!W655&gt;=3.5,"A-",IF('Data Source'!W655&gt;=3,"B",IF('Data Source'!W655&gt;=2,"C",IF('Data Source'!W655&gt;=1,"D","F")))))),"")</f>
        <v/>
      </c>
      <c r="F655" s="3">
        <f>IF(AND('Data Source'!B655&lt;&gt;"",'Data Source'!S655="A+"),IF('Data Source'!X655&gt;=5,"A+",IF('Data Source'!X655&gt;=4,"A",IF('Data Source'!X655&gt;=3.5,"A-",IF('Data Source'!X655&gt;=3,"B",IF('Data Source'!X655&gt;=2,"C",IF('Data Source'!X655&gt;=1,"D","F")))))),"")</f>
        <v/>
      </c>
      <c r="G655" s="3">
        <f>IF(AND('Data Source'!B655&lt;&gt;"",'Data Source'!S655="A+"),IF('Data Source'!Y655&gt;=5,"A+",IF('Data Source'!Y655&gt;=4,"A",IF('Data Source'!Y655&gt;=3.5,"A-",IF('Data Source'!Y655&gt;=3,"B",IF('Data Source'!Y655&gt;=2,"C",IF('Data Source'!Y655&gt;=1,"D","F")))))),"")</f>
        <v/>
      </c>
      <c r="H655" s="3">
        <f>IF(AND('Data Source'!B655&lt;&gt;"",'Data Source'!S655="A+"),IF('Data Source'!Z655&gt;=5,"A+",IF('Data Source'!Z655&gt;=4,"A",IF('Data Source'!Z655&gt;=3.5,"A-",IF('Data Source'!Z655&gt;=3,"B",IF('Data Source'!Z655&gt;=2,"C",IF('Data Source'!Z655&gt;=1,"D","F")))))),"")</f>
        <v/>
      </c>
      <c r="I655" s="3">
        <f>IF(AND('Data Source'!B655&lt;&gt;"",'Data Source'!S655="A+"),IF('Data Source'!AA655&gt;=5,"A+",IF('Data Source'!AA655&gt;=4,"A",IF('Data Source'!AA655&gt;=3.5,"A-",IF('Data Source'!AA655&gt;=3,"B",IF('Data Source'!AA655&gt;=2,"C",IF('Data Source'!AA655&gt;=1,"D","F")))))),"")</f>
        <v/>
      </c>
      <c r="J655" s="3">
        <f>IF(AND('Data Source'!B655&lt;&gt;"",'Data Source'!S655="A+"),IF('Data Source'!AB655&gt;=5,"A+",IF('Data Source'!AB655&gt;=4,"A",IF('Data Source'!AB655&gt;=3.5,"A-",IF('Data Source'!AB655&gt;=3,"B",IF('Data Source'!AB655&gt;=2,"C",IF('Data Source'!AB655&gt;=1,"D","F")))))),"")</f>
        <v/>
      </c>
      <c r="K655" s="3">
        <f>IF(AND('Data Source'!B655&lt;&gt;"",'Data Source'!S655="A+"),IF('Data Source'!AC655&gt;=5,"A+",IF('Data Source'!AC655&gt;=4,"A",IF('Data Source'!AC655&gt;=3.5,"A-",IF('Data Source'!AC655&gt;=3,"B",IF('Data Source'!AC655&gt;=2,"C",IF('Data Source'!AC655&gt;=1,"D","F")))))),"")</f>
        <v/>
      </c>
      <c r="L655" s="3">
        <f>IF(AND('Data Source'!B655&lt;&gt;"",'Data Source'!S655="A+"),IF('Data Source'!AD655&gt;=5,"A+",IF('Data Source'!AD655&gt;=4,"A",IF('Data Source'!AD655&gt;=3.5,"A-",IF('Data Source'!AD655&gt;=3,"B",IF('Data Source'!AD655&gt;=2,"C",IF('Data Source'!AD655&gt;=1,"D","F")))))),"")</f>
        <v/>
      </c>
      <c r="M655" s="3">
        <f>IF(AND('Data Source'!B655&lt;&gt;"",'Data Source'!S655="A+"),IF('Data Source'!AE655&gt;=5,"A+",IF('Data Source'!AE655&gt;=4,"A",IF('Data Source'!AE655&gt;=3.5,"A-",IF('Data Source'!AE655&gt;=3,"B",IF('Data Source'!AE655&gt;=2,"C",IF('Data Source'!AE655&gt;=1,"D","F")))))),"")</f>
        <v/>
      </c>
      <c r="N655" s="3">
        <f>IF(AND('Data Source'!B655&lt;&gt;"",'Data Source'!S655="A+"),IF('Data Source'!AF655&gt;=5,"A+",IF('Data Source'!AF655&gt;=4,"A",IF('Data Source'!AF655&gt;=3.5,"A-",IF('Data Source'!AF655&gt;=3,"B",IF('Data Source'!AF655&gt;=2,"C",IF('Data Source'!AF655&gt;=1,"D","F")))))),"")</f>
        <v/>
      </c>
      <c r="O655" s="3">
        <f>IF(AND('Data Source'!B655&lt;&gt;"",'Data Source'!S655="A+"),IF('Data Source'!AG655&gt;=5,"A+",IF('Data Source'!AG655&gt;=4,"A",IF('Data Source'!AG655&gt;=3.5,"A-",IF('Data Source'!AG655&gt;=3,"B",IF('Data Source'!AG655&gt;=2,"C",IF('Data Source'!AG655&gt;=1,"D","F")))))),"")</f>
        <v/>
      </c>
      <c r="P655" s="5">
        <f>IF(AND('Data Source'!B655&lt;&gt;"",'Data Source'!S655="A+"),'Data Source'!R655,"")</f>
        <v/>
      </c>
      <c r="Q655" s="3">
        <f>IF(AND('Data Source'!B655&lt;&gt;"",'Data Source'!S655="A+"),'Data Source'!S655,"")</f>
        <v/>
      </c>
    </row>
    <row r="656">
      <c r="A656" s="3">
        <f>IF(AND('Data Source'!B656&lt;&gt;"",'Data Source'!S656="A+"),COUNTIF('Data Source'!$S$3:S656,"A+"),"")</f>
        <v/>
      </c>
      <c r="B656">
        <f>IF(AND('Data Source'!B656&lt;&gt;"",'Data Source'!S656="A+"),'Data Source'!B656,"")</f>
        <v/>
      </c>
      <c r="C656" s="3">
        <f>IF(AND('Data Source'!B656&lt;&gt;"",'Data Source'!S656="A+"),IF('Data Source'!U656&gt;=5,"A+",IF('Data Source'!U656&gt;=4,"A",IF('Data Source'!U656&gt;=3.5,"A-",IF('Data Source'!U656&gt;=3,"B",IF('Data Source'!U656&gt;=2,"C",IF('Data Source'!U656&gt;=1,"D","F")))))),"")</f>
        <v/>
      </c>
      <c r="D656" s="3">
        <f>IF(AND('Data Source'!B656&lt;&gt;"",'Data Source'!S656="A+"),IF('Data Source'!V656&gt;=5,"A+",IF('Data Source'!V656&gt;=4,"A",IF('Data Source'!V656&gt;=3.5,"A-",IF('Data Source'!V656&gt;=3,"B",IF('Data Source'!V656&gt;=2,"C",IF('Data Source'!V656&gt;=1,"D","F")))))),"")</f>
        <v/>
      </c>
      <c r="E656" s="3">
        <f>IF(AND('Data Source'!B656&lt;&gt;"",'Data Source'!S656="A+"),IF('Data Source'!W656&gt;=5,"A+",IF('Data Source'!W656&gt;=4,"A",IF('Data Source'!W656&gt;=3.5,"A-",IF('Data Source'!W656&gt;=3,"B",IF('Data Source'!W656&gt;=2,"C",IF('Data Source'!W656&gt;=1,"D","F")))))),"")</f>
        <v/>
      </c>
      <c r="F656" s="3">
        <f>IF(AND('Data Source'!B656&lt;&gt;"",'Data Source'!S656="A+"),IF('Data Source'!X656&gt;=5,"A+",IF('Data Source'!X656&gt;=4,"A",IF('Data Source'!X656&gt;=3.5,"A-",IF('Data Source'!X656&gt;=3,"B",IF('Data Source'!X656&gt;=2,"C",IF('Data Source'!X656&gt;=1,"D","F")))))),"")</f>
        <v/>
      </c>
      <c r="G656" s="3">
        <f>IF(AND('Data Source'!B656&lt;&gt;"",'Data Source'!S656="A+"),IF('Data Source'!Y656&gt;=5,"A+",IF('Data Source'!Y656&gt;=4,"A",IF('Data Source'!Y656&gt;=3.5,"A-",IF('Data Source'!Y656&gt;=3,"B",IF('Data Source'!Y656&gt;=2,"C",IF('Data Source'!Y656&gt;=1,"D","F")))))),"")</f>
        <v/>
      </c>
      <c r="H656" s="3">
        <f>IF(AND('Data Source'!B656&lt;&gt;"",'Data Source'!S656="A+"),IF('Data Source'!Z656&gt;=5,"A+",IF('Data Source'!Z656&gt;=4,"A",IF('Data Source'!Z656&gt;=3.5,"A-",IF('Data Source'!Z656&gt;=3,"B",IF('Data Source'!Z656&gt;=2,"C",IF('Data Source'!Z656&gt;=1,"D","F")))))),"")</f>
        <v/>
      </c>
      <c r="I656" s="3">
        <f>IF(AND('Data Source'!B656&lt;&gt;"",'Data Source'!S656="A+"),IF('Data Source'!AA656&gt;=5,"A+",IF('Data Source'!AA656&gt;=4,"A",IF('Data Source'!AA656&gt;=3.5,"A-",IF('Data Source'!AA656&gt;=3,"B",IF('Data Source'!AA656&gt;=2,"C",IF('Data Source'!AA656&gt;=1,"D","F")))))),"")</f>
        <v/>
      </c>
      <c r="J656" s="3">
        <f>IF(AND('Data Source'!B656&lt;&gt;"",'Data Source'!S656="A+"),IF('Data Source'!AB656&gt;=5,"A+",IF('Data Source'!AB656&gt;=4,"A",IF('Data Source'!AB656&gt;=3.5,"A-",IF('Data Source'!AB656&gt;=3,"B",IF('Data Source'!AB656&gt;=2,"C",IF('Data Source'!AB656&gt;=1,"D","F")))))),"")</f>
        <v/>
      </c>
      <c r="K656" s="3">
        <f>IF(AND('Data Source'!B656&lt;&gt;"",'Data Source'!S656="A+"),IF('Data Source'!AC656&gt;=5,"A+",IF('Data Source'!AC656&gt;=4,"A",IF('Data Source'!AC656&gt;=3.5,"A-",IF('Data Source'!AC656&gt;=3,"B",IF('Data Source'!AC656&gt;=2,"C",IF('Data Source'!AC656&gt;=1,"D","F")))))),"")</f>
        <v/>
      </c>
      <c r="L656" s="3">
        <f>IF(AND('Data Source'!B656&lt;&gt;"",'Data Source'!S656="A+"),IF('Data Source'!AD656&gt;=5,"A+",IF('Data Source'!AD656&gt;=4,"A",IF('Data Source'!AD656&gt;=3.5,"A-",IF('Data Source'!AD656&gt;=3,"B",IF('Data Source'!AD656&gt;=2,"C",IF('Data Source'!AD656&gt;=1,"D","F")))))),"")</f>
        <v/>
      </c>
      <c r="M656" s="3">
        <f>IF(AND('Data Source'!B656&lt;&gt;"",'Data Source'!S656="A+"),IF('Data Source'!AE656&gt;=5,"A+",IF('Data Source'!AE656&gt;=4,"A",IF('Data Source'!AE656&gt;=3.5,"A-",IF('Data Source'!AE656&gt;=3,"B",IF('Data Source'!AE656&gt;=2,"C",IF('Data Source'!AE656&gt;=1,"D","F")))))),"")</f>
        <v/>
      </c>
      <c r="N656" s="3">
        <f>IF(AND('Data Source'!B656&lt;&gt;"",'Data Source'!S656="A+"),IF('Data Source'!AF656&gt;=5,"A+",IF('Data Source'!AF656&gt;=4,"A",IF('Data Source'!AF656&gt;=3.5,"A-",IF('Data Source'!AF656&gt;=3,"B",IF('Data Source'!AF656&gt;=2,"C",IF('Data Source'!AF656&gt;=1,"D","F")))))),"")</f>
        <v/>
      </c>
      <c r="O656" s="3">
        <f>IF(AND('Data Source'!B656&lt;&gt;"",'Data Source'!S656="A+"),IF('Data Source'!AG656&gt;=5,"A+",IF('Data Source'!AG656&gt;=4,"A",IF('Data Source'!AG656&gt;=3.5,"A-",IF('Data Source'!AG656&gt;=3,"B",IF('Data Source'!AG656&gt;=2,"C",IF('Data Source'!AG656&gt;=1,"D","F")))))),"")</f>
        <v/>
      </c>
      <c r="P656" s="5">
        <f>IF(AND('Data Source'!B656&lt;&gt;"",'Data Source'!S656="A+"),'Data Source'!R656,"")</f>
        <v/>
      </c>
      <c r="Q656" s="3">
        <f>IF(AND('Data Source'!B656&lt;&gt;"",'Data Source'!S656="A+"),'Data Source'!S656,"")</f>
        <v/>
      </c>
    </row>
    <row r="657">
      <c r="A657" s="3">
        <f>IF(AND('Data Source'!B657&lt;&gt;"",'Data Source'!S657="A+"),COUNTIF('Data Source'!$S$3:S657,"A+"),"")</f>
        <v/>
      </c>
      <c r="B657">
        <f>IF(AND('Data Source'!B657&lt;&gt;"",'Data Source'!S657="A+"),'Data Source'!B657,"")</f>
        <v/>
      </c>
      <c r="C657" s="3">
        <f>IF(AND('Data Source'!B657&lt;&gt;"",'Data Source'!S657="A+"),IF('Data Source'!U657&gt;=5,"A+",IF('Data Source'!U657&gt;=4,"A",IF('Data Source'!U657&gt;=3.5,"A-",IF('Data Source'!U657&gt;=3,"B",IF('Data Source'!U657&gt;=2,"C",IF('Data Source'!U657&gt;=1,"D","F")))))),"")</f>
        <v/>
      </c>
      <c r="D657" s="3">
        <f>IF(AND('Data Source'!B657&lt;&gt;"",'Data Source'!S657="A+"),IF('Data Source'!V657&gt;=5,"A+",IF('Data Source'!V657&gt;=4,"A",IF('Data Source'!V657&gt;=3.5,"A-",IF('Data Source'!V657&gt;=3,"B",IF('Data Source'!V657&gt;=2,"C",IF('Data Source'!V657&gt;=1,"D","F")))))),"")</f>
        <v/>
      </c>
      <c r="E657" s="3">
        <f>IF(AND('Data Source'!B657&lt;&gt;"",'Data Source'!S657="A+"),IF('Data Source'!W657&gt;=5,"A+",IF('Data Source'!W657&gt;=4,"A",IF('Data Source'!W657&gt;=3.5,"A-",IF('Data Source'!W657&gt;=3,"B",IF('Data Source'!W657&gt;=2,"C",IF('Data Source'!W657&gt;=1,"D","F")))))),"")</f>
        <v/>
      </c>
      <c r="F657" s="3">
        <f>IF(AND('Data Source'!B657&lt;&gt;"",'Data Source'!S657="A+"),IF('Data Source'!X657&gt;=5,"A+",IF('Data Source'!X657&gt;=4,"A",IF('Data Source'!X657&gt;=3.5,"A-",IF('Data Source'!X657&gt;=3,"B",IF('Data Source'!X657&gt;=2,"C",IF('Data Source'!X657&gt;=1,"D","F")))))),"")</f>
        <v/>
      </c>
      <c r="G657" s="3">
        <f>IF(AND('Data Source'!B657&lt;&gt;"",'Data Source'!S657="A+"),IF('Data Source'!Y657&gt;=5,"A+",IF('Data Source'!Y657&gt;=4,"A",IF('Data Source'!Y657&gt;=3.5,"A-",IF('Data Source'!Y657&gt;=3,"B",IF('Data Source'!Y657&gt;=2,"C",IF('Data Source'!Y657&gt;=1,"D","F")))))),"")</f>
        <v/>
      </c>
      <c r="H657" s="3">
        <f>IF(AND('Data Source'!B657&lt;&gt;"",'Data Source'!S657="A+"),IF('Data Source'!Z657&gt;=5,"A+",IF('Data Source'!Z657&gt;=4,"A",IF('Data Source'!Z657&gt;=3.5,"A-",IF('Data Source'!Z657&gt;=3,"B",IF('Data Source'!Z657&gt;=2,"C",IF('Data Source'!Z657&gt;=1,"D","F")))))),"")</f>
        <v/>
      </c>
      <c r="I657" s="3">
        <f>IF(AND('Data Source'!B657&lt;&gt;"",'Data Source'!S657="A+"),IF('Data Source'!AA657&gt;=5,"A+",IF('Data Source'!AA657&gt;=4,"A",IF('Data Source'!AA657&gt;=3.5,"A-",IF('Data Source'!AA657&gt;=3,"B",IF('Data Source'!AA657&gt;=2,"C",IF('Data Source'!AA657&gt;=1,"D","F")))))),"")</f>
        <v/>
      </c>
      <c r="J657" s="3">
        <f>IF(AND('Data Source'!B657&lt;&gt;"",'Data Source'!S657="A+"),IF('Data Source'!AB657&gt;=5,"A+",IF('Data Source'!AB657&gt;=4,"A",IF('Data Source'!AB657&gt;=3.5,"A-",IF('Data Source'!AB657&gt;=3,"B",IF('Data Source'!AB657&gt;=2,"C",IF('Data Source'!AB657&gt;=1,"D","F")))))),"")</f>
        <v/>
      </c>
      <c r="K657" s="3">
        <f>IF(AND('Data Source'!B657&lt;&gt;"",'Data Source'!S657="A+"),IF('Data Source'!AC657&gt;=5,"A+",IF('Data Source'!AC657&gt;=4,"A",IF('Data Source'!AC657&gt;=3.5,"A-",IF('Data Source'!AC657&gt;=3,"B",IF('Data Source'!AC657&gt;=2,"C",IF('Data Source'!AC657&gt;=1,"D","F")))))),"")</f>
        <v/>
      </c>
      <c r="L657" s="3">
        <f>IF(AND('Data Source'!B657&lt;&gt;"",'Data Source'!S657="A+"),IF('Data Source'!AD657&gt;=5,"A+",IF('Data Source'!AD657&gt;=4,"A",IF('Data Source'!AD657&gt;=3.5,"A-",IF('Data Source'!AD657&gt;=3,"B",IF('Data Source'!AD657&gt;=2,"C",IF('Data Source'!AD657&gt;=1,"D","F")))))),"")</f>
        <v/>
      </c>
      <c r="M657" s="3">
        <f>IF(AND('Data Source'!B657&lt;&gt;"",'Data Source'!S657="A+"),IF('Data Source'!AE657&gt;=5,"A+",IF('Data Source'!AE657&gt;=4,"A",IF('Data Source'!AE657&gt;=3.5,"A-",IF('Data Source'!AE657&gt;=3,"B",IF('Data Source'!AE657&gt;=2,"C",IF('Data Source'!AE657&gt;=1,"D","F")))))),"")</f>
        <v/>
      </c>
      <c r="N657" s="3">
        <f>IF(AND('Data Source'!B657&lt;&gt;"",'Data Source'!S657="A+"),IF('Data Source'!AF657&gt;=5,"A+",IF('Data Source'!AF657&gt;=4,"A",IF('Data Source'!AF657&gt;=3.5,"A-",IF('Data Source'!AF657&gt;=3,"B",IF('Data Source'!AF657&gt;=2,"C",IF('Data Source'!AF657&gt;=1,"D","F")))))),"")</f>
        <v/>
      </c>
      <c r="O657" s="3">
        <f>IF(AND('Data Source'!B657&lt;&gt;"",'Data Source'!S657="A+"),IF('Data Source'!AG657&gt;=5,"A+",IF('Data Source'!AG657&gt;=4,"A",IF('Data Source'!AG657&gt;=3.5,"A-",IF('Data Source'!AG657&gt;=3,"B",IF('Data Source'!AG657&gt;=2,"C",IF('Data Source'!AG657&gt;=1,"D","F")))))),"")</f>
        <v/>
      </c>
      <c r="P657" s="5">
        <f>IF(AND('Data Source'!B657&lt;&gt;"",'Data Source'!S657="A+"),'Data Source'!R657,"")</f>
        <v/>
      </c>
      <c r="Q657" s="3">
        <f>IF(AND('Data Source'!B657&lt;&gt;"",'Data Source'!S657="A+"),'Data Source'!S657,"")</f>
        <v/>
      </c>
    </row>
    <row r="658">
      <c r="A658" s="3">
        <f>IF(AND('Data Source'!B658&lt;&gt;"",'Data Source'!S658="A+"),COUNTIF('Data Source'!$S$3:S658,"A+"),"")</f>
        <v/>
      </c>
      <c r="B658">
        <f>IF(AND('Data Source'!B658&lt;&gt;"",'Data Source'!S658="A+"),'Data Source'!B658,"")</f>
        <v/>
      </c>
      <c r="C658" s="3">
        <f>IF(AND('Data Source'!B658&lt;&gt;"",'Data Source'!S658="A+"),IF('Data Source'!U658&gt;=5,"A+",IF('Data Source'!U658&gt;=4,"A",IF('Data Source'!U658&gt;=3.5,"A-",IF('Data Source'!U658&gt;=3,"B",IF('Data Source'!U658&gt;=2,"C",IF('Data Source'!U658&gt;=1,"D","F")))))),"")</f>
        <v/>
      </c>
      <c r="D658" s="3">
        <f>IF(AND('Data Source'!B658&lt;&gt;"",'Data Source'!S658="A+"),IF('Data Source'!V658&gt;=5,"A+",IF('Data Source'!V658&gt;=4,"A",IF('Data Source'!V658&gt;=3.5,"A-",IF('Data Source'!V658&gt;=3,"B",IF('Data Source'!V658&gt;=2,"C",IF('Data Source'!V658&gt;=1,"D","F")))))),"")</f>
        <v/>
      </c>
      <c r="E658" s="3">
        <f>IF(AND('Data Source'!B658&lt;&gt;"",'Data Source'!S658="A+"),IF('Data Source'!W658&gt;=5,"A+",IF('Data Source'!W658&gt;=4,"A",IF('Data Source'!W658&gt;=3.5,"A-",IF('Data Source'!W658&gt;=3,"B",IF('Data Source'!W658&gt;=2,"C",IF('Data Source'!W658&gt;=1,"D","F")))))),"")</f>
        <v/>
      </c>
      <c r="F658" s="3">
        <f>IF(AND('Data Source'!B658&lt;&gt;"",'Data Source'!S658="A+"),IF('Data Source'!X658&gt;=5,"A+",IF('Data Source'!X658&gt;=4,"A",IF('Data Source'!X658&gt;=3.5,"A-",IF('Data Source'!X658&gt;=3,"B",IF('Data Source'!X658&gt;=2,"C",IF('Data Source'!X658&gt;=1,"D","F")))))),"")</f>
        <v/>
      </c>
      <c r="G658" s="3">
        <f>IF(AND('Data Source'!B658&lt;&gt;"",'Data Source'!S658="A+"),IF('Data Source'!Y658&gt;=5,"A+",IF('Data Source'!Y658&gt;=4,"A",IF('Data Source'!Y658&gt;=3.5,"A-",IF('Data Source'!Y658&gt;=3,"B",IF('Data Source'!Y658&gt;=2,"C",IF('Data Source'!Y658&gt;=1,"D","F")))))),"")</f>
        <v/>
      </c>
      <c r="H658" s="3">
        <f>IF(AND('Data Source'!B658&lt;&gt;"",'Data Source'!S658="A+"),IF('Data Source'!Z658&gt;=5,"A+",IF('Data Source'!Z658&gt;=4,"A",IF('Data Source'!Z658&gt;=3.5,"A-",IF('Data Source'!Z658&gt;=3,"B",IF('Data Source'!Z658&gt;=2,"C",IF('Data Source'!Z658&gt;=1,"D","F")))))),"")</f>
        <v/>
      </c>
      <c r="I658" s="3">
        <f>IF(AND('Data Source'!B658&lt;&gt;"",'Data Source'!S658="A+"),IF('Data Source'!AA658&gt;=5,"A+",IF('Data Source'!AA658&gt;=4,"A",IF('Data Source'!AA658&gt;=3.5,"A-",IF('Data Source'!AA658&gt;=3,"B",IF('Data Source'!AA658&gt;=2,"C",IF('Data Source'!AA658&gt;=1,"D","F")))))),"")</f>
        <v/>
      </c>
      <c r="J658" s="3">
        <f>IF(AND('Data Source'!B658&lt;&gt;"",'Data Source'!S658="A+"),IF('Data Source'!AB658&gt;=5,"A+",IF('Data Source'!AB658&gt;=4,"A",IF('Data Source'!AB658&gt;=3.5,"A-",IF('Data Source'!AB658&gt;=3,"B",IF('Data Source'!AB658&gt;=2,"C",IF('Data Source'!AB658&gt;=1,"D","F")))))),"")</f>
        <v/>
      </c>
      <c r="K658" s="3">
        <f>IF(AND('Data Source'!B658&lt;&gt;"",'Data Source'!S658="A+"),IF('Data Source'!AC658&gt;=5,"A+",IF('Data Source'!AC658&gt;=4,"A",IF('Data Source'!AC658&gt;=3.5,"A-",IF('Data Source'!AC658&gt;=3,"B",IF('Data Source'!AC658&gt;=2,"C",IF('Data Source'!AC658&gt;=1,"D","F")))))),"")</f>
        <v/>
      </c>
      <c r="L658" s="3">
        <f>IF(AND('Data Source'!B658&lt;&gt;"",'Data Source'!S658="A+"),IF('Data Source'!AD658&gt;=5,"A+",IF('Data Source'!AD658&gt;=4,"A",IF('Data Source'!AD658&gt;=3.5,"A-",IF('Data Source'!AD658&gt;=3,"B",IF('Data Source'!AD658&gt;=2,"C",IF('Data Source'!AD658&gt;=1,"D","F")))))),"")</f>
        <v/>
      </c>
      <c r="M658" s="3">
        <f>IF(AND('Data Source'!B658&lt;&gt;"",'Data Source'!S658="A+"),IF('Data Source'!AE658&gt;=5,"A+",IF('Data Source'!AE658&gt;=4,"A",IF('Data Source'!AE658&gt;=3.5,"A-",IF('Data Source'!AE658&gt;=3,"B",IF('Data Source'!AE658&gt;=2,"C",IF('Data Source'!AE658&gt;=1,"D","F")))))),"")</f>
        <v/>
      </c>
      <c r="N658" s="3">
        <f>IF(AND('Data Source'!B658&lt;&gt;"",'Data Source'!S658="A+"),IF('Data Source'!AF658&gt;=5,"A+",IF('Data Source'!AF658&gt;=4,"A",IF('Data Source'!AF658&gt;=3.5,"A-",IF('Data Source'!AF658&gt;=3,"B",IF('Data Source'!AF658&gt;=2,"C",IF('Data Source'!AF658&gt;=1,"D","F")))))),"")</f>
        <v/>
      </c>
      <c r="O658" s="3">
        <f>IF(AND('Data Source'!B658&lt;&gt;"",'Data Source'!S658="A+"),IF('Data Source'!AG658&gt;=5,"A+",IF('Data Source'!AG658&gt;=4,"A",IF('Data Source'!AG658&gt;=3.5,"A-",IF('Data Source'!AG658&gt;=3,"B",IF('Data Source'!AG658&gt;=2,"C",IF('Data Source'!AG658&gt;=1,"D","F")))))),"")</f>
        <v/>
      </c>
      <c r="P658" s="5">
        <f>IF(AND('Data Source'!B658&lt;&gt;"",'Data Source'!S658="A+"),'Data Source'!R658,"")</f>
        <v/>
      </c>
      <c r="Q658" s="3">
        <f>IF(AND('Data Source'!B658&lt;&gt;"",'Data Source'!S658="A+"),'Data Source'!S658,"")</f>
        <v/>
      </c>
    </row>
    <row r="659">
      <c r="A659" s="3">
        <f>IF(AND('Data Source'!B659&lt;&gt;"",'Data Source'!S659="A+"),COUNTIF('Data Source'!$S$3:S659,"A+"),"")</f>
        <v/>
      </c>
      <c r="B659">
        <f>IF(AND('Data Source'!B659&lt;&gt;"",'Data Source'!S659="A+"),'Data Source'!B659,"")</f>
        <v/>
      </c>
      <c r="C659" s="3">
        <f>IF(AND('Data Source'!B659&lt;&gt;"",'Data Source'!S659="A+"),IF('Data Source'!U659&gt;=5,"A+",IF('Data Source'!U659&gt;=4,"A",IF('Data Source'!U659&gt;=3.5,"A-",IF('Data Source'!U659&gt;=3,"B",IF('Data Source'!U659&gt;=2,"C",IF('Data Source'!U659&gt;=1,"D","F")))))),"")</f>
        <v/>
      </c>
      <c r="D659" s="3">
        <f>IF(AND('Data Source'!B659&lt;&gt;"",'Data Source'!S659="A+"),IF('Data Source'!V659&gt;=5,"A+",IF('Data Source'!V659&gt;=4,"A",IF('Data Source'!V659&gt;=3.5,"A-",IF('Data Source'!V659&gt;=3,"B",IF('Data Source'!V659&gt;=2,"C",IF('Data Source'!V659&gt;=1,"D","F")))))),"")</f>
        <v/>
      </c>
      <c r="E659" s="3">
        <f>IF(AND('Data Source'!B659&lt;&gt;"",'Data Source'!S659="A+"),IF('Data Source'!W659&gt;=5,"A+",IF('Data Source'!W659&gt;=4,"A",IF('Data Source'!W659&gt;=3.5,"A-",IF('Data Source'!W659&gt;=3,"B",IF('Data Source'!W659&gt;=2,"C",IF('Data Source'!W659&gt;=1,"D","F")))))),"")</f>
        <v/>
      </c>
      <c r="F659" s="3">
        <f>IF(AND('Data Source'!B659&lt;&gt;"",'Data Source'!S659="A+"),IF('Data Source'!X659&gt;=5,"A+",IF('Data Source'!X659&gt;=4,"A",IF('Data Source'!X659&gt;=3.5,"A-",IF('Data Source'!X659&gt;=3,"B",IF('Data Source'!X659&gt;=2,"C",IF('Data Source'!X659&gt;=1,"D","F")))))),"")</f>
        <v/>
      </c>
      <c r="G659" s="3">
        <f>IF(AND('Data Source'!B659&lt;&gt;"",'Data Source'!S659="A+"),IF('Data Source'!Y659&gt;=5,"A+",IF('Data Source'!Y659&gt;=4,"A",IF('Data Source'!Y659&gt;=3.5,"A-",IF('Data Source'!Y659&gt;=3,"B",IF('Data Source'!Y659&gt;=2,"C",IF('Data Source'!Y659&gt;=1,"D","F")))))),"")</f>
        <v/>
      </c>
      <c r="H659" s="3">
        <f>IF(AND('Data Source'!B659&lt;&gt;"",'Data Source'!S659="A+"),IF('Data Source'!Z659&gt;=5,"A+",IF('Data Source'!Z659&gt;=4,"A",IF('Data Source'!Z659&gt;=3.5,"A-",IF('Data Source'!Z659&gt;=3,"B",IF('Data Source'!Z659&gt;=2,"C",IF('Data Source'!Z659&gt;=1,"D","F")))))),"")</f>
        <v/>
      </c>
      <c r="I659" s="3">
        <f>IF(AND('Data Source'!B659&lt;&gt;"",'Data Source'!S659="A+"),IF('Data Source'!AA659&gt;=5,"A+",IF('Data Source'!AA659&gt;=4,"A",IF('Data Source'!AA659&gt;=3.5,"A-",IF('Data Source'!AA659&gt;=3,"B",IF('Data Source'!AA659&gt;=2,"C",IF('Data Source'!AA659&gt;=1,"D","F")))))),"")</f>
        <v/>
      </c>
      <c r="J659" s="3">
        <f>IF(AND('Data Source'!B659&lt;&gt;"",'Data Source'!S659="A+"),IF('Data Source'!AB659&gt;=5,"A+",IF('Data Source'!AB659&gt;=4,"A",IF('Data Source'!AB659&gt;=3.5,"A-",IF('Data Source'!AB659&gt;=3,"B",IF('Data Source'!AB659&gt;=2,"C",IF('Data Source'!AB659&gt;=1,"D","F")))))),"")</f>
        <v/>
      </c>
      <c r="K659" s="3">
        <f>IF(AND('Data Source'!B659&lt;&gt;"",'Data Source'!S659="A+"),IF('Data Source'!AC659&gt;=5,"A+",IF('Data Source'!AC659&gt;=4,"A",IF('Data Source'!AC659&gt;=3.5,"A-",IF('Data Source'!AC659&gt;=3,"B",IF('Data Source'!AC659&gt;=2,"C",IF('Data Source'!AC659&gt;=1,"D","F")))))),"")</f>
        <v/>
      </c>
      <c r="L659" s="3">
        <f>IF(AND('Data Source'!B659&lt;&gt;"",'Data Source'!S659="A+"),IF('Data Source'!AD659&gt;=5,"A+",IF('Data Source'!AD659&gt;=4,"A",IF('Data Source'!AD659&gt;=3.5,"A-",IF('Data Source'!AD659&gt;=3,"B",IF('Data Source'!AD659&gt;=2,"C",IF('Data Source'!AD659&gt;=1,"D","F")))))),"")</f>
        <v/>
      </c>
      <c r="M659" s="3">
        <f>IF(AND('Data Source'!B659&lt;&gt;"",'Data Source'!S659="A+"),IF('Data Source'!AE659&gt;=5,"A+",IF('Data Source'!AE659&gt;=4,"A",IF('Data Source'!AE659&gt;=3.5,"A-",IF('Data Source'!AE659&gt;=3,"B",IF('Data Source'!AE659&gt;=2,"C",IF('Data Source'!AE659&gt;=1,"D","F")))))),"")</f>
        <v/>
      </c>
      <c r="N659" s="3">
        <f>IF(AND('Data Source'!B659&lt;&gt;"",'Data Source'!S659="A+"),IF('Data Source'!AF659&gt;=5,"A+",IF('Data Source'!AF659&gt;=4,"A",IF('Data Source'!AF659&gt;=3.5,"A-",IF('Data Source'!AF659&gt;=3,"B",IF('Data Source'!AF659&gt;=2,"C",IF('Data Source'!AF659&gt;=1,"D","F")))))),"")</f>
        <v/>
      </c>
      <c r="O659" s="3">
        <f>IF(AND('Data Source'!B659&lt;&gt;"",'Data Source'!S659="A+"),IF('Data Source'!AG659&gt;=5,"A+",IF('Data Source'!AG659&gt;=4,"A",IF('Data Source'!AG659&gt;=3.5,"A-",IF('Data Source'!AG659&gt;=3,"B",IF('Data Source'!AG659&gt;=2,"C",IF('Data Source'!AG659&gt;=1,"D","F")))))),"")</f>
        <v/>
      </c>
      <c r="P659" s="5">
        <f>IF(AND('Data Source'!B659&lt;&gt;"",'Data Source'!S659="A+"),'Data Source'!R659,"")</f>
        <v/>
      </c>
      <c r="Q659" s="3">
        <f>IF(AND('Data Source'!B659&lt;&gt;"",'Data Source'!S659="A+"),'Data Source'!S659,"")</f>
        <v/>
      </c>
    </row>
    <row r="660">
      <c r="A660" s="3">
        <f>IF(AND('Data Source'!B660&lt;&gt;"",'Data Source'!S660="A+"),COUNTIF('Data Source'!$S$3:S660,"A+"),"")</f>
        <v/>
      </c>
      <c r="B660">
        <f>IF(AND('Data Source'!B660&lt;&gt;"",'Data Source'!S660="A+"),'Data Source'!B660,"")</f>
        <v/>
      </c>
      <c r="C660" s="3">
        <f>IF(AND('Data Source'!B660&lt;&gt;"",'Data Source'!S660="A+"),IF('Data Source'!U660&gt;=5,"A+",IF('Data Source'!U660&gt;=4,"A",IF('Data Source'!U660&gt;=3.5,"A-",IF('Data Source'!U660&gt;=3,"B",IF('Data Source'!U660&gt;=2,"C",IF('Data Source'!U660&gt;=1,"D","F")))))),"")</f>
        <v/>
      </c>
      <c r="D660" s="3">
        <f>IF(AND('Data Source'!B660&lt;&gt;"",'Data Source'!S660="A+"),IF('Data Source'!V660&gt;=5,"A+",IF('Data Source'!V660&gt;=4,"A",IF('Data Source'!V660&gt;=3.5,"A-",IF('Data Source'!V660&gt;=3,"B",IF('Data Source'!V660&gt;=2,"C",IF('Data Source'!V660&gt;=1,"D","F")))))),"")</f>
        <v/>
      </c>
      <c r="E660" s="3">
        <f>IF(AND('Data Source'!B660&lt;&gt;"",'Data Source'!S660="A+"),IF('Data Source'!W660&gt;=5,"A+",IF('Data Source'!W660&gt;=4,"A",IF('Data Source'!W660&gt;=3.5,"A-",IF('Data Source'!W660&gt;=3,"B",IF('Data Source'!W660&gt;=2,"C",IF('Data Source'!W660&gt;=1,"D","F")))))),"")</f>
        <v/>
      </c>
      <c r="F660" s="3">
        <f>IF(AND('Data Source'!B660&lt;&gt;"",'Data Source'!S660="A+"),IF('Data Source'!X660&gt;=5,"A+",IF('Data Source'!X660&gt;=4,"A",IF('Data Source'!X660&gt;=3.5,"A-",IF('Data Source'!X660&gt;=3,"B",IF('Data Source'!X660&gt;=2,"C",IF('Data Source'!X660&gt;=1,"D","F")))))),"")</f>
        <v/>
      </c>
      <c r="G660" s="3">
        <f>IF(AND('Data Source'!B660&lt;&gt;"",'Data Source'!S660="A+"),IF('Data Source'!Y660&gt;=5,"A+",IF('Data Source'!Y660&gt;=4,"A",IF('Data Source'!Y660&gt;=3.5,"A-",IF('Data Source'!Y660&gt;=3,"B",IF('Data Source'!Y660&gt;=2,"C",IF('Data Source'!Y660&gt;=1,"D","F")))))),"")</f>
        <v/>
      </c>
      <c r="H660" s="3">
        <f>IF(AND('Data Source'!B660&lt;&gt;"",'Data Source'!S660="A+"),IF('Data Source'!Z660&gt;=5,"A+",IF('Data Source'!Z660&gt;=4,"A",IF('Data Source'!Z660&gt;=3.5,"A-",IF('Data Source'!Z660&gt;=3,"B",IF('Data Source'!Z660&gt;=2,"C",IF('Data Source'!Z660&gt;=1,"D","F")))))),"")</f>
        <v/>
      </c>
      <c r="I660" s="3">
        <f>IF(AND('Data Source'!B660&lt;&gt;"",'Data Source'!S660="A+"),IF('Data Source'!AA660&gt;=5,"A+",IF('Data Source'!AA660&gt;=4,"A",IF('Data Source'!AA660&gt;=3.5,"A-",IF('Data Source'!AA660&gt;=3,"B",IF('Data Source'!AA660&gt;=2,"C",IF('Data Source'!AA660&gt;=1,"D","F")))))),"")</f>
        <v/>
      </c>
      <c r="J660" s="3">
        <f>IF(AND('Data Source'!B660&lt;&gt;"",'Data Source'!S660="A+"),IF('Data Source'!AB660&gt;=5,"A+",IF('Data Source'!AB660&gt;=4,"A",IF('Data Source'!AB660&gt;=3.5,"A-",IF('Data Source'!AB660&gt;=3,"B",IF('Data Source'!AB660&gt;=2,"C",IF('Data Source'!AB660&gt;=1,"D","F")))))),"")</f>
        <v/>
      </c>
      <c r="K660" s="3">
        <f>IF(AND('Data Source'!B660&lt;&gt;"",'Data Source'!S660="A+"),IF('Data Source'!AC660&gt;=5,"A+",IF('Data Source'!AC660&gt;=4,"A",IF('Data Source'!AC660&gt;=3.5,"A-",IF('Data Source'!AC660&gt;=3,"B",IF('Data Source'!AC660&gt;=2,"C",IF('Data Source'!AC660&gt;=1,"D","F")))))),"")</f>
        <v/>
      </c>
      <c r="L660" s="3">
        <f>IF(AND('Data Source'!B660&lt;&gt;"",'Data Source'!S660="A+"),IF('Data Source'!AD660&gt;=5,"A+",IF('Data Source'!AD660&gt;=4,"A",IF('Data Source'!AD660&gt;=3.5,"A-",IF('Data Source'!AD660&gt;=3,"B",IF('Data Source'!AD660&gt;=2,"C",IF('Data Source'!AD660&gt;=1,"D","F")))))),"")</f>
        <v/>
      </c>
      <c r="M660" s="3">
        <f>IF(AND('Data Source'!B660&lt;&gt;"",'Data Source'!S660="A+"),IF('Data Source'!AE660&gt;=5,"A+",IF('Data Source'!AE660&gt;=4,"A",IF('Data Source'!AE660&gt;=3.5,"A-",IF('Data Source'!AE660&gt;=3,"B",IF('Data Source'!AE660&gt;=2,"C",IF('Data Source'!AE660&gt;=1,"D","F")))))),"")</f>
        <v/>
      </c>
      <c r="N660" s="3">
        <f>IF(AND('Data Source'!B660&lt;&gt;"",'Data Source'!S660="A+"),IF('Data Source'!AF660&gt;=5,"A+",IF('Data Source'!AF660&gt;=4,"A",IF('Data Source'!AF660&gt;=3.5,"A-",IF('Data Source'!AF660&gt;=3,"B",IF('Data Source'!AF660&gt;=2,"C",IF('Data Source'!AF660&gt;=1,"D","F")))))),"")</f>
        <v/>
      </c>
      <c r="O660" s="3">
        <f>IF(AND('Data Source'!B660&lt;&gt;"",'Data Source'!S660="A+"),IF('Data Source'!AG660&gt;=5,"A+",IF('Data Source'!AG660&gt;=4,"A",IF('Data Source'!AG660&gt;=3.5,"A-",IF('Data Source'!AG660&gt;=3,"B",IF('Data Source'!AG660&gt;=2,"C",IF('Data Source'!AG660&gt;=1,"D","F")))))),"")</f>
        <v/>
      </c>
      <c r="P660" s="5">
        <f>IF(AND('Data Source'!B660&lt;&gt;"",'Data Source'!S660="A+"),'Data Source'!R660,"")</f>
        <v/>
      </c>
      <c r="Q660" s="3">
        <f>IF(AND('Data Source'!B660&lt;&gt;"",'Data Source'!S660="A+"),'Data Source'!S660,"")</f>
        <v/>
      </c>
    </row>
    <row r="661">
      <c r="A661" s="3">
        <f>IF(AND('Data Source'!B661&lt;&gt;"",'Data Source'!S661="A+"),COUNTIF('Data Source'!$S$3:S661,"A+"),"")</f>
        <v/>
      </c>
      <c r="B661">
        <f>IF(AND('Data Source'!B661&lt;&gt;"",'Data Source'!S661="A+"),'Data Source'!B661,"")</f>
        <v/>
      </c>
      <c r="C661" s="3">
        <f>IF(AND('Data Source'!B661&lt;&gt;"",'Data Source'!S661="A+"),IF('Data Source'!U661&gt;=5,"A+",IF('Data Source'!U661&gt;=4,"A",IF('Data Source'!U661&gt;=3.5,"A-",IF('Data Source'!U661&gt;=3,"B",IF('Data Source'!U661&gt;=2,"C",IF('Data Source'!U661&gt;=1,"D","F")))))),"")</f>
        <v/>
      </c>
      <c r="D661" s="3">
        <f>IF(AND('Data Source'!B661&lt;&gt;"",'Data Source'!S661="A+"),IF('Data Source'!V661&gt;=5,"A+",IF('Data Source'!V661&gt;=4,"A",IF('Data Source'!V661&gt;=3.5,"A-",IF('Data Source'!V661&gt;=3,"B",IF('Data Source'!V661&gt;=2,"C",IF('Data Source'!V661&gt;=1,"D","F")))))),"")</f>
        <v/>
      </c>
      <c r="E661" s="3">
        <f>IF(AND('Data Source'!B661&lt;&gt;"",'Data Source'!S661="A+"),IF('Data Source'!W661&gt;=5,"A+",IF('Data Source'!W661&gt;=4,"A",IF('Data Source'!W661&gt;=3.5,"A-",IF('Data Source'!W661&gt;=3,"B",IF('Data Source'!W661&gt;=2,"C",IF('Data Source'!W661&gt;=1,"D","F")))))),"")</f>
        <v/>
      </c>
      <c r="F661" s="3">
        <f>IF(AND('Data Source'!B661&lt;&gt;"",'Data Source'!S661="A+"),IF('Data Source'!X661&gt;=5,"A+",IF('Data Source'!X661&gt;=4,"A",IF('Data Source'!X661&gt;=3.5,"A-",IF('Data Source'!X661&gt;=3,"B",IF('Data Source'!X661&gt;=2,"C",IF('Data Source'!X661&gt;=1,"D","F")))))),"")</f>
        <v/>
      </c>
      <c r="G661" s="3">
        <f>IF(AND('Data Source'!B661&lt;&gt;"",'Data Source'!S661="A+"),IF('Data Source'!Y661&gt;=5,"A+",IF('Data Source'!Y661&gt;=4,"A",IF('Data Source'!Y661&gt;=3.5,"A-",IF('Data Source'!Y661&gt;=3,"B",IF('Data Source'!Y661&gt;=2,"C",IF('Data Source'!Y661&gt;=1,"D","F")))))),"")</f>
        <v/>
      </c>
      <c r="H661" s="3">
        <f>IF(AND('Data Source'!B661&lt;&gt;"",'Data Source'!S661="A+"),IF('Data Source'!Z661&gt;=5,"A+",IF('Data Source'!Z661&gt;=4,"A",IF('Data Source'!Z661&gt;=3.5,"A-",IF('Data Source'!Z661&gt;=3,"B",IF('Data Source'!Z661&gt;=2,"C",IF('Data Source'!Z661&gt;=1,"D","F")))))),"")</f>
        <v/>
      </c>
      <c r="I661" s="3">
        <f>IF(AND('Data Source'!B661&lt;&gt;"",'Data Source'!S661="A+"),IF('Data Source'!AA661&gt;=5,"A+",IF('Data Source'!AA661&gt;=4,"A",IF('Data Source'!AA661&gt;=3.5,"A-",IF('Data Source'!AA661&gt;=3,"B",IF('Data Source'!AA661&gt;=2,"C",IF('Data Source'!AA661&gt;=1,"D","F")))))),"")</f>
        <v/>
      </c>
      <c r="J661" s="3">
        <f>IF(AND('Data Source'!B661&lt;&gt;"",'Data Source'!S661="A+"),IF('Data Source'!AB661&gt;=5,"A+",IF('Data Source'!AB661&gt;=4,"A",IF('Data Source'!AB661&gt;=3.5,"A-",IF('Data Source'!AB661&gt;=3,"B",IF('Data Source'!AB661&gt;=2,"C",IF('Data Source'!AB661&gt;=1,"D","F")))))),"")</f>
        <v/>
      </c>
      <c r="K661" s="3">
        <f>IF(AND('Data Source'!B661&lt;&gt;"",'Data Source'!S661="A+"),IF('Data Source'!AC661&gt;=5,"A+",IF('Data Source'!AC661&gt;=4,"A",IF('Data Source'!AC661&gt;=3.5,"A-",IF('Data Source'!AC661&gt;=3,"B",IF('Data Source'!AC661&gt;=2,"C",IF('Data Source'!AC661&gt;=1,"D","F")))))),"")</f>
        <v/>
      </c>
      <c r="L661" s="3">
        <f>IF(AND('Data Source'!B661&lt;&gt;"",'Data Source'!S661="A+"),IF('Data Source'!AD661&gt;=5,"A+",IF('Data Source'!AD661&gt;=4,"A",IF('Data Source'!AD661&gt;=3.5,"A-",IF('Data Source'!AD661&gt;=3,"B",IF('Data Source'!AD661&gt;=2,"C",IF('Data Source'!AD661&gt;=1,"D","F")))))),"")</f>
        <v/>
      </c>
      <c r="M661" s="3">
        <f>IF(AND('Data Source'!B661&lt;&gt;"",'Data Source'!S661="A+"),IF('Data Source'!AE661&gt;=5,"A+",IF('Data Source'!AE661&gt;=4,"A",IF('Data Source'!AE661&gt;=3.5,"A-",IF('Data Source'!AE661&gt;=3,"B",IF('Data Source'!AE661&gt;=2,"C",IF('Data Source'!AE661&gt;=1,"D","F")))))),"")</f>
        <v/>
      </c>
      <c r="N661" s="3">
        <f>IF(AND('Data Source'!B661&lt;&gt;"",'Data Source'!S661="A+"),IF('Data Source'!AF661&gt;=5,"A+",IF('Data Source'!AF661&gt;=4,"A",IF('Data Source'!AF661&gt;=3.5,"A-",IF('Data Source'!AF661&gt;=3,"B",IF('Data Source'!AF661&gt;=2,"C",IF('Data Source'!AF661&gt;=1,"D","F")))))),"")</f>
        <v/>
      </c>
      <c r="O661" s="3">
        <f>IF(AND('Data Source'!B661&lt;&gt;"",'Data Source'!S661="A+"),IF('Data Source'!AG661&gt;=5,"A+",IF('Data Source'!AG661&gt;=4,"A",IF('Data Source'!AG661&gt;=3.5,"A-",IF('Data Source'!AG661&gt;=3,"B",IF('Data Source'!AG661&gt;=2,"C",IF('Data Source'!AG661&gt;=1,"D","F")))))),"")</f>
        <v/>
      </c>
      <c r="P661" s="5">
        <f>IF(AND('Data Source'!B661&lt;&gt;"",'Data Source'!S661="A+"),'Data Source'!R661,"")</f>
        <v/>
      </c>
      <c r="Q661" s="3">
        <f>IF(AND('Data Source'!B661&lt;&gt;"",'Data Source'!S661="A+"),'Data Source'!S661,"")</f>
        <v/>
      </c>
    </row>
    <row r="662">
      <c r="A662" s="3">
        <f>IF(AND('Data Source'!B662&lt;&gt;"",'Data Source'!S662="A+"),COUNTIF('Data Source'!$S$3:S662,"A+"),"")</f>
        <v/>
      </c>
      <c r="B662">
        <f>IF(AND('Data Source'!B662&lt;&gt;"",'Data Source'!S662="A+"),'Data Source'!B662,"")</f>
        <v/>
      </c>
      <c r="C662" s="3">
        <f>IF(AND('Data Source'!B662&lt;&gt;"",'Data Source'!S662="A+"),IF('Data Source'!U662&gt;=5,"A+",IF('Data Source'!U662&gt;=4,"A",IF('Data Source'!U662&gt;=3.5,"A-",IF('Data Source'!U662&gt;=3,"B",IF('Data Source'!U662&gt;=2,"C",IF('Data Source'!U662&gt;=1,"D","F")))))),"")</f>
        <v/>
      </c>
      <c r="D662" s="3">
        <f>IF(AND('Data Source'!B662&lt;&gt;"",'Data Source'!S662="A+"),IF('Data Source'!V662&gt;=5,"A+",IF('Data Source'!V662&gt;=4,"A",IF('Data Source'!V662&gt;=3.5,"A-",IF('Data Source'!V662&gt;=3,"B",IF('Data Source'!V662&gt;=2,"C",IF('Data Source'!V662&gt;=1,"D","F")))))),"")</f>
        <v/>
      </c>
      <c r="E662" s="3">
        <f>IF(AND('Data Source'!B662&lt;&gt;"",'Data Source'!S662="A+"),IF('Data Source'!W662&gt;=5,"A+",IF('Data Source'!W662&gt;=4,"A",IF('Data Source'!W662&gt;=3.5,"A-",IF('Data Source'!W662&gt;=3,"B",IF('Data Source'!W662&gt;=2,"C",IF('Data Source'!W662&gt;=1,"D","F")))))),"")</f>
        <v/>
      </c>
      <c r="F662" s="3">
        <f>IF(AND('Data Source'!B662&lt;&gt;"",'Data Source'!S662="A+"),IF('Data Source'!X662&gt;=5,"A+",IF('Data Source'!X662&gt;=4,"A",IF('Data Source'!X662&gt;=3.5,"A-",IF('Data Source'!X662&gt;=3,"B",IF('Data Source'!X662&gt;=2,"C",IF('Data Source'!X662&gt;=1,"D","F")))))),"")</f>
        <v/>
      </c>
      <c r="G662" s="3">
        <f>IF(AND('Data Source'!B662&lt;&gt;"",'Data Source'!S662="A+"),IF('Data Source'!Y662&gt;=5,"A+",IF('Data Source'!Y662&gt;=4,"A",IF('Data Source'!Y662&gt;=3.5,"A-",IF('Data Source'!Y662&gt;=3,"B",IF('Data Source'!Y662&gt;=2,"C",IF('Data Source'!Y662&gt;=1,"D","F")))))),"")</f>
        <v/>
      </c>
      <c r="H662" s="3">
        <f>IF(AND('Data Source'!B662&lt;&gt;"",'Data Source'!S662="A+"),IF('Data Source'!Z662&gt;=5,"A+",IF('Data Source'!Z662&gt;=4,"A",IF('Data Source'!Z662&gt;=3.5,"A-",IF('Data Source'!Z662&gt;=3,"B",IF('Data Source'!Z662&gt;=2,"C",IF('Data Source'!Z662&gt;=1,"D","F")))))),"")</f>
        <v/>
      </c>
      <c r="I662" s="3">
        <f>IF(AND('Data Source'!B662&lt;&gt;"",'Data Source'!S662="A+"),IF('Data Source'!AA662&gt;=5,"A+",IF('Data Source'!AA662&gt;=4,"A",IF('Data Source'!AA662&gt;=3.5,"A-",IF('Data Source'!AA662&gt;=3,"B",IF('Data Source'!AA662&gt;=2,"C",IF('Data Source'!AA662&gt;=1,"D","F")))))),"")</f>
        <v/>
      </c>
      <c r="J662" s="3">
        <f>IF(AND('Data Source'!B662&lt;&gt;"",'Data Source'!S662="A+"),IF('Data Source'!AB662&gt;=5,"A+",IF('Data Source'!AB662&gt;=4,"A",IF('Data Source'!AB662&gt;=3.5,"A-",IF('Data Source'!AB662&gt;=3,"B",IF('Data Source'!AB662&gt;=2,"C",IF('Data Source'!AB662&gt;=1,"D","F")))))),"")</f>
        <v/>
      </c>
      <c r="K662" s="3">
        <f>IF(AND('Data Source'!B662&lt;&gt;"",'Data Source'!S662="A+"),IF('Data Source'!AC662&gt;=5,"A+",IF('Data Source'!AC662&gt;=4,"A",IF('Data Source'!AC662&gt;=3.5,"A-",IF('Data Source'!AC662&gt;=3,"B",IF('Data Source'!AC662&gt;=2,"C",IF('Data Source'!AC662&gt;=1,"D","F")))))),"")</f>
        <v/>
      </c>
      <c r="L662" s="3">
        <f>IF(AND('Data Source'!B662&lt;&gt;"",'Data Source'!S662="A+"),IF('Data Source'!AD662&gt;=5,"A+",IF('Data Source'!AD662&gt;=4,"A",IF('Data Source'!AD662&gt;=3.5,"A-",IF('Data Source'!AD662&gt;=3,"B",IF('Data Source'!AD662&gt;=2,"C",IF('Data Source'!AD662&gt;=1,"D","F")))))),"")</f>
        <v/>
      </c>
      <c r="M662" s="3">
        <f>IF(AND('Data Source'!B662&lt;&gt;"",'Data Source'!S662="A+"),IF('Data Source'!AE662&gt;=5,"A+",IF('Data Source'!AE662&gt;=4,"A",IF('Data Source'!AE662&gt;=3.5,"A-",IF('Data Source'!AE662&gt;=3,"B",IF('Data Source'!AE662&gt;=2,"C",IF('Data Source'!AE662&gt;=1,"D","F")))))),"")</f>
        <v/>
      </c>
      <c r="N662" s="3">
        <f>IF(AND('Data Source'!B662&lt;&gt;"",'Data Source'!S662="A+"),IF('Data Source'!AF662&gt;=5,"A+",IF('Data Source'!AF662&gt;=4,"A",IF('Data Source'!AF662&gt;=3.5,"A-",IF('Data Source'!AF662&gt;=3,"B",IF('Data Source'!AF662&gt;=2,"C",IF('Data Source'!AF662&gt;=1,"D","F")))))),"")</f>
        <v/>
      </c>
      <c r="O662" s="3">
        <f>IF(AND('Data Source'!B662&lt;&gt;"",'Data Source'!S662="A+"),IF('Data Source'!AG662&gt;=5,"A+",IF('Data Source'!AG662&gt;=4,"A",IF('Data Source'!AG662&gt;=3.5,"A-",IF('Data Source'!AG662&gt;=3,"B",IF('Data Source'!AG662&gt;=2,"C",IF('Data Source'!AG662&gt;=1,"D","F")))))),"")</f>
        <v/>
      </c>
      <c r="P662" s="5">
        <f>IF(AND('Data Source'!B662&lt;&gt;"",'Data Source'!S662="A+"),'Data Source'!R662,"")</f>
        <v/>
      </c>
      <c r="Q662" s="3">
        <f>IF(AND('Data Source'!B662&lt;&gt;"",'Data Source'!S662="A+"),'Data Source'!S662,"")</f>
        <v/>
      </c>
    </row>
    <row r="663">
      <c r="A663" s="3">
        <f>IF(AND('Data Source'!B663&lt;&gt;"",'Data Source'!S663="A+"),COUNTIF('Data Source'!$S$3:S663,"A+"),"")</f>
        <v/>
      </c>
      <c r="B663">
        <f>IF(AND('Data Source'!B663&lt;&gt;"",'Data Source'!S663="A+"),'Data Source'!B663,"")</f>
        <v/>
      </c>
      <c r="C663" s="3">
        <f>IF(AND('Data Source'!B663&lt;&gt;"",'Data Source'!S663="A+"),IF('Data Source'!U663&gt;=5,"A+",IF('Data Source'!U663&gt;=4,"A",IF('Data Source'!U663&gt;=3.5,"A-",IF('Data Source'!U663&gt;=3,"B",IF('Data Source'!U663&gt;=2,"C",IF('Data Source'!U663&gt;=1,"D","F")))))),"")</f>
        <v/>
      </c>
      <c r="D663" s="3">
        <f>IF(AND('Data Source'!B663&lt;&gt;"",'Data Source'!S663="A+"),IF('Data Source'!V663&gt;=5,"A+",IF('Data Source'!V663&gt;=4,"A",IF('Data Source'!V663&gt;=3.5,"A-",IF('Data Source'!V663&gt;=3,"B",IF('Data Source'!V663&gt;=2,"C",IF('Data Source'!V663&gt;=1,"D","F")))))),"")</f>
        <v/>
      </c>
      <c r="E663" s="3">
        <f>IF(AND('Data Source'!B663&lt;&gt;"",'Data Source'!S663="A+"),IF('Data Source'!W663&gt;=5,"A+",IF('Data Source'!W663&gt;=4,"A",IF('Data Source'!W663&gt;=3.5,"A-",IF('Data Source'!W663&gt;=3,"B",IF('Data Source'!W663&gt;=2,"C",IF('Data Source'!W663&gt;=1,"D","F")))))),"")</f>
        <v/>
      </c>
      <c r="F663" s="3">
        <f>IF(AND('Data Source'!B663&lt;&gt;"",'Data Source'!S663="A+"),IF('Data Source'!X663&gt;=5,"A+",IF('Data Source'!X663&gt;=4,"A",IF('Data Source'!X663&gt;=3.5,"A-",IF('Data Source'!X663&gt;=3,"B",IF('Data Source'!X663&gt;=2,"C",IF('Data Source'!X663&gt;=1,"D","F")))))),"")</f>
        <v/>
      </c>
      <c r="G663" s="3">
        <f>IF(AND('Data Source'!B663&lt;&gt;"",'Data Source'!S663="A+"),IF('Data Source'!Y663&gt;=5,"A+",IF('Data Source'!Y663&gt;=4,"A",IF('Data Source'!Y663&gt;=3.5,"A-",IF('Data Source'!Y663&gt;=3,"B",IF('Data Source'!Y663&gt;=2,"C",IF('Data Source'!Y663&gt;=1,"D","F")))))),"")</f>
        <v/>
      </c>
      <c r="H663" s="3">
        <f>IF(AND('Data Source'!B663&lt;&gt;"",'Data Source'!S663="A+"),IF('Data Source'!Z663&gt;=5,"A+",IF('Data Source'!Z663&gt;=4,"A",IF('Data Source'!Z663&gt;=3.5,"A-",IF('Data Source'!Z663&gt;=3,"B",IF('Data Source'!Z663&gt;=2,"C",IF('Data Source'!Z663&gt;=1,"D","F")))))),"")</f>
        <v/>
      </c>
      <c r="I663" s="3">
        <f>IF(AND('Data Source'!B663&lt;&gt;"",'Data Source'!S663="A+"),IF('Data Source'!AA663&gt;=5,"A+",IF('Data Source'!AA663&gt;=4,"A",IF('Data Source'!AA663&gt;=3.5,"A-",IF('Data Source'!AA663&gt;=3,"B",IF('Data Source'!AA663&gt;=2,"C",IF('Data Source'!AA663&gt;=1,"D","F")))))),"")</f>
        <v/>
      </c>
      <c r="J663" s="3">
        <f>IF(AND('Data Source'!B663&lt;&gt;"",'Data Source'!S663="A+"),IF('Data Source'!AB663&gt;=5,"A+",IF('Data Source'!AB663&gt;=4,"A",IF('Data Source'!AB663&gt;=3.5,"A-",IF('Data Source'!AB663&gt;=3,"B",IF('Data Source'!AB663&gt;=2,"C",IF('Data Source'!AB663&gt;=1,"D","F")))))),"")</f>
        <v/>
      </c>
      <c r="K663" s="3">
        <f>IF(AND('Data Source'!B663&lt;&gt;"",'Data Source'!S663="A+"),IF('Data Source'!AC663&gt;=5,"A+",IF('Data Source'!AC663&gt;=4,"A",IF('Data Source'!AC663&gt;=3.5,"A-",IF('Data Source'!AC663&gt;=3,"B",IF('Data Source'!AC663&gt;=2,"C",IF('Data Source'!AC663&gt;=1,"D","F")))))),"")</f>
        <v/>
      </c>
      <c r="L663" s="3">
        <f>IF(AND('Data Source'!B663&lt;&gt;"",'Data Source'!S663="A+"),IF('Data Source'!AD663&gt;=5,"A+",IF('Data Source'!AD663&gt;=4,"A",IF('Data Source'!AD663&gt;=3.5,"A-",IF('Data Source'!AD663&gt;=3,"B",IF('Data Source'!AD663&gt;=2,"C",IF('Data Source'!AD663&gt;=1,"D","F")))))),"")</f>
        <v/>
      </c>
      <c r="M663" s="3">
        <f>IF(AND('Data Source'!B663&lt;&gt;"",'Data Source'!S663="A+"),IF('Data Source'!AE663&gt;=5,"A+",IF('Data Source'!AE663&gt;=4,"A",IF('Data Source'!AE663&gt;=3.5,"A-",IF('Data Source'!AE663&gt;=3,"B",IF('Data Source'!AE663&gt;=2,"C",IF('Data Source'!AE663&gt;=1,"D","F")))))),"")</f>
        <v/>
      </c>
      <c r="N663" s="3">
        <f>IF(AND('Data Source'!B663&lt;&gt;"",'Data Source'!S663="A+"),IF('Data Source'!AF663&gt;=5,"A+",IF('Data Source'!AF663&gt;=4,"A",IF('Data Source'!AF663&gt;=3.5,"A-",IF('Data Source'!AF663&gt;=3,"B",IF('Data Source'!AF663&gt;=2,"C",IF('Data Source'!AF663&gt;=1,"D","F")))))),"")</f>
        <v/>
      </c>
      <c r="O663" s="3">
        <f>IF(AND('Data Source'!B663&lt;&gt;"",'Data Source'!S663="A+"),IF('Data Source'!AG663&gt;=5,"A+",IF('Data Source'!AG663&gt;=4,"A",IF('Data Source'!AG663&gt;=3.5,"A-",IF('Data Source'!AG663&gt;=3,"B",IF('Data Source'!AG663&gt;=2,"C",IF('Data Source'!AG663&gt;=1,"D","F")))))),"")</f>
        <v/>
      </c>
      <c r="P663" s="5">
        <f>IF(AND('Data Source'!B663&lt;&gt;"",'Data Source'!S663="A+"),'Data Source'!R663,"")</f>
        <v/>
      </c>
      <c r="Q663" s="3">
        <f>IF(AND('Data Source'!B663&lt;&gt;"",'Data Source'!S663="A+"),'Data Source'!S663,"")</f>
        <v/>
      </c>
    </row>
    <row r="664">
      <c r="A664" s="3">
        <f>IF(AND('Data Source'!B664&lt;&gt;"",'Data Source'!S664="A+"),COUNTIF('Data Source'!$S$3:S664,"A+"),"")</f>
        <v/>
      </c>
      <c r="B664">
        <f>IF(AND('Data Source'!B664&lt;&gt;"",'Data Source'!S664="A+"),'Data Source'!B664,"")</f>
        <v/>
      </c>
      <c r="C664" s="3">
        <f>IF(AND('Data Source'!B664&lt;&gt;"",'Data Source'!S664="A+"),IF('Data Source'!U664&gt;=5,"A+",IF('Data Source'!U664&gt;=4,"A",IF('Data Source'!U664&gt;=3.5,"A-",IF('Data Source'!U664&gt;=3,"B",IF('Data Source'!U664&gt;=2,"C",IF('Data Source'!U664&gt;=1,"D","F")))))),"")</f>
        <v/>
      </c>
      <c r="D664" s="3">
        <f>IF(AND('Data Source'!B664&lt;&gt;"",'Data Source'!S664="A+"),IF('Data Source'!V664&gt;=5,"A+",IF('Data Source'!V664&gt;=4,"A",IF('Data Source'!V664&gt;=3.5,"A-",IF('Data Source'!V664&gt;=3,"B",IF('Data Source'!V664&gt;=2,"C",IF('Data Source'!V664&gt;=1,"D","F")))))),"")</f>
        <v/>
      </c>
      <c r="E664" s="3">
        <f>IF(AND('Data Source'!B664&lt;&gt;"",'Data Source'!S664="A+"),IF('Data Source'!W664&gt;=5,"A+",IF('Data Source'!W664&gt;=4,"A",IF('Data Source'!W664&gt;=3.5,"A-",IF('Data Source'!W664&gt;=3,"B",IF('Data Source'!W664&gt;=2,"C",IF('Data Source'!W664&gt;=1,"D","F")))))),"")</f>
        <v/>
      </c>
      <c r="F664" s="3">
        <f>IF(AND('Data Source'!B664&lt;&gt;"",'Data Source'!S664="A+"),IF('Data Source'!X664&gt;=5,"A+",IF('Data Source'!X664&gt;=4,"A",IF('Data Source'!X664&gt;=3.5,"A-",IF('Data Source'!X664&gt;=3,"B",IF('Data Source'!X664&gt;=2,"C",IF('Data Source'!X664&gt;=1,"D","F")))))),"")</f>
        <v/>
      </c>
      <c r="G664" s="3">
        <f>IF(AND('Data Source'!B664&lt;&gt;"",'Data Source'!S664="A+"),IF('Data Source'!Y664&gt;=5,"A+",IF('Data Source'!Y664&gt;=4,"A",IF('Data Source'!Y664&gt;=3.5,"A-",IF('Data Source'!Y664&gt;=3,"B",IF('Data Source'!Y664&gt;=2,"C",IF('Data Source'!Y664&gt;=1,"D","F")))))),"")</f>
        <v/>
      </c>
      <c r="H664" s="3">
        <f>IF(AND('Data Source'!B664&lt;&gt;"",'Data Source'!S664="A+"),IF('Data Source'!Z664&gt;=5,"A+",IF('Data Source'!Z664&gt;=4,"A",IF('Data Source'!Z664&gt;=3.5,"A-",IF('Data Source'!Z664&gt;=3,"B",IF('Data Source'!Z664&gt;=2,"C",IF('Data Source'!Z664&gt;=1,"D","F")))))),"")</f>
        <v/>
      </c>
      <c r="I664" s="3">
        <f>IF(AND('Data Source'!B664&lt;&gt;"",'Data Source'!S664="A+"),IF('Data Source'!AA664&gt;=5,"A+",IF('Data Source'!AA664&gt;=4,"A",IF('Data Source'!AA664&gt;=3.5,"A-",IF('Data Source'!AA664&gt;=3,"B",IF('Data Source'!AA664&gt;=2,"C",IF('Data Source'!AA664&gt;=1,"D","F")))))),"")</f>
        <v/>
      </c>
      <c r="J664" s="3">
        <f>IF(AND('Data Source'!B664&lt;&gt;"",'Data Source'!S664="A+"),IF('Data Source'!AB664&gt;=5,"A+",IF('Data Source'!AB664&gt;=4,"A",IF('Data Source'!AB664&gt;=3.5,"A-",IF('Data Source'!AB664&gt;=3,"B",IF('Data Source'!AB664&gt;=2,"C",IF('Data Source'!AB664&gt;=1,"D","F")))))),"")</f>
        <v/>
      </c>
      <c r="K664" s="3">
        <f>IF(AND('Data Source'!B664&lt;&gt;"",'Data Source'!S664="A+"),IF('Data Source'!AC664&gt;=5,"A+",IF('Data Source'!AC664&gt;=4,"A",IF('Data Source'!AC664&gt;=3.5,"A-",IF('Data Source'!AC664&gt;=3,"B",IF('Data Source'!AC664&gt;=2,"C",IF('Data Source'!AC664&gt;=1,"D","F")))))),"")</f>
        <v/>
      </c>
      <c r="L664" s="3">
        <f>IF(AND('Data Source'!B664&lt;&gt;"",'Data Source'!S664="A+"),IF('Data Source'!AD664&gt;=5,"A+",IF('Data Source'!AD664&gt;=4,"A",IF('Data Source'!AD664&gt;=3.5,"A-",IF('Data Source'!AD664&gt;=3,"B",IF('Data Source'!AD664&gt;=2,"C",IF('Data Source'!AD664&gt;=1,"D","F")))))),"")</f>
        <v/>
      </c>
      <c r="M664" s="3">
        <f>IF(AND('Data Source'!B664&lt;&gt;"",'Data Source'!S664="A+"),IF('Data Source'!AE664&gt;=5,"A+",IF('Data Source'!AE664&gt;=4,"A",IF('Data Source'!AE664&gt;=3.5,"A-",IF('Data Source'!AE664&gt;=3,"B",IF('Data Source'!AE664&gt;=2,"C",IF('Data Source'!AE664&gt;=1,"D","F")))))),"")</f>
        <v/>
      </c>
      <c r="N664" s="3">
        <f>IF(AND('Data Source'!B664&lt;&gt;"",'Data Source'!S664="A+"),IF('Data Source'!AF664&gt;=5,"A+",IF('Data Source'!AF664&gt;=4,"A",IF('Data Source'!AF664&gt;=3.5,"A-",IF('Data Source'!AF664&gt;=3,"B",IF('Data Source'!AF664&gt;=2,"C",IF('Data Source'!AF664&gt;=1,"D","F")))))),"")</f>
        <v/>
      </c>
      <c r="O664" s="3">
        <f>IF(AND('Data Source'!B664&lt;&gt;"",'Data Source'!S664="A+"),IF('Data Source'!AG664&gt;=5,"A+",IF('Data Source'!AG664&gt;=4,"A",IF('Data Source'!AG664&gt;=3.5,"A-",IF('Data Source'!AG664&gt;=3,"B",IF('Data Source'!AG664&gt;=2,"C",IF('Data Source'!AG664&gt;=1,"D","F")))))),"")</f>
        <v/>
      </c>
      <c r="P664" s="5">
        <f>IF(AND('Data Source'!B664&lt;&gt;"",'Data Source'!S664="A+"),'Data Source'!R664,"")</f>
        <v/>
      </c>
      <c r="Q664" s="3">
        <f>IF(AND('Data Source'!B664&lt;&gt;"",'Data Source'!S664="A+"),'Data Source'!S664,"")</f>
        <v/>
      </c>
    </row>
    <row r="665">
      <c r="A665" s="3">
        <f>IF(AND('Data Source'!B665&lt;&gt;"",'Data Source'!S665="A+"),COUNTIF('Data Source'!$S$3:S665,"A+"),"")</f>
        <v/>
      </c>
      <c r="B665">
        <f>IF(AND('Data Source'!B665&lt;&gt;"",'Data Source'!S665="A+"),'Data Source'!B665,"")</f>
        <v/>
      </c>
      <c r="C665" s="3">
        <f>IF(AND('Data Source'!B665&lt;&gt;"",'Data Source'!S665="A+"),IF('Data Source'!U665&gt;=5,"A+",IF('Data Source'!U665&gt;=4,"A",IF('Data Source'!U665&gt;=3.5,"A-",IF('Data Source'!U665&gt;=3,"B",IF('Data Source'!U665&gt;=2,"C",IF('Data Source'!U665&gt;=1,"D","F")))))),"")</f>
        <v/>
      </c>
      <c r="D665" s="3">
        <f>IF(AND('Data Source'!B665&lt;&gt;"",'Data Source'!S665="A+"),IF('Data Source'!V665&gt;=5,"A+",IF('Data Source'!V665&gt;=4,"A",IF('Data Source'!V665&gt;=3.5,"A-",IF('Data Source'!V665&gt;=3,"B",IF('Data Source'!V665&gt;=2,"C",IF('Data Source'!V665&gt;=1,"D","F")))))),"")</f>
        <v/>
      </c>
      <c r="E665" s="3">
        <f>IF(AND('Data Source'!B665&lt;&gt;"",'Data Source'!S665="A+"),IF('Data Source'!W665&gt;=5,"A+",IF('Data Source'!W665&gt;=4,"A",IF('Data Source'!W665&gt;=3.5,"A-",IF('Data Source'!W665&gt;=3,"B",IF('Data Source'!W665&gt;=2,"C",IF('Data Source'!W665&gt;=1,"D","F")))))),"")</f>
        <v/>
      </c>
      <c r="F665" s="3">
        <f>IF(AND('Data Source'!B665&lt;&gt;"",'Data Source'!S665="A+"),IF('Data Source'!X665&gt;=5,"A+",IF('Data Source'!X665&gt;=4,"A",IF('Data Source'!X665&gt;=3.5,"A-",IF('Data Source'!X665&gt;=3,"B",IF('Data Source'!X665&gt;=2,"C",IF('Data Source'!X665&gt;=1,"D","F")))))),"")</f>
        <v/>
      </c>
      <c r="G665" s="3">
        <f>IF(AND('Data Source'!B665&lt;&gt;"",'Data Source'!S665="A+"),IF('Data Source'!Y665&gt;=5,"A+",IF('Data Source'!Y665&gt;=4,"A",IF('Data Source'!Y665&gt;=3.5,"A-",IF('Data Source'!Y665&gt;=3,"B",IF('Data Source'!Y665&gt;=2,"C",IF('Data Source'!Y665&gt;=1,"D","F")))))),"")</f>
        <v/>
      </c>
      <c r="H665" s="3">
        <f>IF(AND('Data Source'!B665&lt;&gt;"",'Data Source'!S665="A+"),IF('Data Source'!Z665&gt;=5,"A+",IF('Data Source'!Z665&gt;=4,"A",IF('Data Source'!Z665&gt;=3.5,"A-",IF('Data Source'!Z665&gt;=3,"B",IF('Data Source'!Z665&gt;=2,"C",IF('Data Source'!Z665&gt;=1,"D","F")))))),"")</f>
        <v/>
      </c>
      <c r="I665" s="3">
        <f>IF(AND('Data Source'!B665&lt;&gt;"",'Data Source'!S665="A+"),IF('Data Source'!AA665&gt;=5,"A+",IF('Data Source'!AA665&gt;=4,"A",IF('Data Source'!AA665&gt;=3.5,"A-",IF('Data Source'!AA665&gt;=3,"B",IF('Data Source'!AA665&gt;=2,"C",IF('Data Source'!AA665&gt;=1,"D","F")))))),"")</f>
        <v/>
      </c>
      <c r="J665" s="3">
        <f>IF(AND('Data Source'!B665&lt;&gt;"",'Data Source'!S665="A+"),IF('Data Source'!AB665&gt;=5,"A+",IF('Data Source'!AB665&gt;=4,"A",IF('Data Source'!AB665&gt;=3.5,"A-",IF('Data Source'!AB665&gt;=3,"B",IF('Data Source'!AB665&gt;=2,"C",IF('Data Source'!AB665&gt;=1,"D","F")))))),"")</f>
        <v/>
      </c>
      <c r="K665" s="3">
        <f>IF(AND('Data Source'!B665&lt;&gt;"",'Data Source'!S665="A+"),IF('Data Source'!AC665&gt;=5,"A+",IF('Data Source'!AC665&gt;=4,"A",IF('Data Source'!AC665&gt;=3.5,"A-",IF('Data Source'!AC665&gt;=3,"B",IF('Data Source'!AC665&gt;=2,"C",IF('Data Source'!AC665&gt;=1,"D","F")))))),"")</f>
        <v/>
      </c>
      <c r="L665" s="3">
        <f>IF(AND('Data Source'!B665&lt;&gt;"",'Data Source'!S665="A+"),IF('Data Source'!AD665&gt;=5,"A+",IF('Data Source'!AD665&gt;=4,"A",IF('Data Source'!AD665&gt;=3.5,"A-",IF('Data Source'!AD665&gt;=3,"B",IF('Data Source'!AD665&gt;=2,"C",IF('Data Source'!AD665&gt;=1,"D","F")))))),"")</f>
        <v/>
      </c>
      <c r="M665" s="3">
        <f>IF(AND('Data Source'!B665&lt;&gt;"",'Data Source'!S665="A+"),IF('Data Source'!AE665&gt;=5,"A+",IF('Data Source'!AE665&gt;=4,"A",IF('Data Source'!AE665&gt;=3.5,"A-",IF('Data Source'!AE665&gt;=3,"B",IF('Data Source'!AE665&gt;=2,"C",IF('Data Source'!AE665&gt;=1,"D","F")))))),"")</f>
        <v/>
      </c>
      <c r="N665" s="3">
        <f>IF(AND('Data Source'!B665&lt;&gt;"",'Data Source'!S665="A+"),IF('Data Source'!AF665&gt;=5,"A+",IF('Data Source'!AF665&gt;=4,"A",IF('Data Source'!AF665&gt;=3.5,"A-",IF('Data Source'!AF665&gt;=3,"B",IF('Data Source'!AF665&gt;=2,"C",IF('Data Source'!AF665&gt;=1,"D","F")))))),"")</f>
        <v/>
      </c>
      <c r="O665" s="3">
        <f>IF(AND('Data Source'!B665&lt;&gt;"",'Data Source'!S665="A+"),IF('Data Source'!AG665&gt;=5,"A+",IF('Data Source'!AG665&gt;=4,"A",IF('Data Source'!AG665&gt;=3.5,"A-",IF('Data Source'!AG665&gt;=3,"B",IF('Data Source'!AG665&gt;=2,"C",IF('Data Source'!AG665&gt;=1,"D","F")))))),"")</f>
        <v/>
      </c>
      <c r="P665" s="5">
        <f>IF(AND('Data Source'!B665&lt;&gt;"",'Data Source'!S665="A+"),'Data Source'!R665,"")</f>
        <v/>
      </c>
      <c r="Q665" s="3">
        <f>IF(AND('Data Source'!B665&lt;&gt;"",'Data Source'!S665="A+"),'Data Source'!S665,"")</f>
        <v/>
      </c>
    </row>
    <row r="666">
      <c r="A666" s="3">
        <f>IF(AND('Data Source'!B666&lt;&gt;"",'Data Source'!S666="A+"),COUNTIF('Data Source'!$S$3:S666,"A+"),"")</f>
        <v/>
      </c>
      <c r="B666">
        <f>IF(AND('Data Source'!B666&lt;&gt;"",'Data Source'!S666="A+"),'Data Source'!B666,"")</f>
        <v/>
      </c>
      <c r="C666" s="3">
        <f>IF(AND('Data Source'!B666&lt;&gt;"",'Data Source'!S666="A+"),IF('Data Source'!U666&gt;=5,"A+",IF('Data Source'!U666&gt;=4,"A",IF('Data Source'!U666&gt;=3.5,"A-",IF('Data Source'!U666&gt;=3,"B",IF('Data Source'!U666&gt;=2,"C",IF('Data Source'!U666&gt;=1,"D","F")))))),"")</f>
        <v/>
      </c>
      <c r="D666" s="3">
        <f>IF(AND('Data Source'!B666&lt;&gt;"",'Data Source'!S666="A+"),IF('Data Source'!V666&gt;=5,"A+",IF('Data Source'!V666&gt;=4,"A",IF('Data Source'!V666&gt;=3.5,"A-",IF('Data Source'!V666&gt;=3,"B",IF('Data Source'!V666&gt;=2,"C",IF('Data Source'!V666&gt;=1,"D","F")))))),"")</f>
        <v/>
      </c>
      <c r="E666" s="3">
        <f>IF(AND('Data Source'!B666&lt;&gt;"",'Data Source'!S666="A+"),IF('Data Source'!W666&gt;=5,"A+",IF('Data Source'!W666&gt;=4,"A",IF('Data Source'!W666&gt;=3.5,"A-",IF('Data Source'!W666&gt;=3,"B",IF('Data Source'!W666&gt;=2,"C",IF('Data Source'!W666&gt;=1,"D","F")))))),"")</f>
        <v/>
      </c>
      <c r="F666" s="3">
        <f>IF(AND('Data Source'!B666&lt;&gt;"",'Data Source'!S666="A+"),IF('Data Source'!X666&gt;=5,"A+",IF('Data Source'!X666&gt;=4,"A",IF('Data Source'!X666&gt;=3.5,"A-",IF('Data Source'!X666&gt;=3,"B",IF('Data Source'!X666&gt;=2,"C",IF('Data Source'!X666&gt;=1,"D","F")))))),"")</f>
        <v/>
      </c>
      <c r="G666" s="3">
        <f>IF(AND('Data Source'!B666&lt;&gt;"",'Data Source'!S666="A+"),IF('Data Source'!Y666&gt;=5,"A+",IF('Data Source'!Y666&gt;=4,"A",IF('Data Source'!Y666&gt;=3.5,"A-",IF('Data Source'!Y666&gt;=3,"B",IF('Data Source'!Y666&gt;=2,"C",IF('Data Source'!Y666&gt;=1,"D","F")))))),"")</f>
        <v/>
      </c>
      <c r="H666" s="3">
        <f>IF(AND('Data Source'!B666&lt;&gt;"",'Data Source'!S666="A+"),IF('Data Source'!Z666&gt;=5,"A+",IF('Data Source'!Z666&gt;=4,"A",IF('Data Source'!Z666&gt;=3.5,"A-",IF('Data Source'!Z666&gt;=3,"B",IF('Data Source'!Z666&gt;=2,"C",IF('Data Source'!Z666&gt;=1,"D","F")))))),"")</f>
        <v/>
      </c>
      <c r="I666" s="3">
        <f>IF(AND('Data Source'!B666&lt;&gt;"",'Data Source'!S666="A+"),IF('Data Source'!AA666&gt;=5,"A+",IF('Data Source'!AA666&gt;=4,"A",IF('Data Source'!AA666&gt;=3.5,"A-",IF('Data Source'!AA666&gt;=3,"B",IF('Data Source'!AA666&gt;=2,"C",IF('Data Source'!AA666&gt;=1,"D","F")))))),"")</f>
        <v/>
      </c>
      <c r="J666" s="3">
        <f>IF(AND('Data Source'!B666&lt;&gt;"",'Data Source'!S666="A+"),IF('Data Source'!AB666&gt;=5,"A+",IF('Data Source'!AB666&gt;=4,"A",IF('Data Source'!AB666&gt;=3.5,"A-",IF('Data Source'!AB666&gt;=3,"B",IF('Data Source'!AB666&gt;=2,"C",IF('Data Source'!AB666&gt;=1,"D","F")))))),"")</f>
        <v/>
      </c>
      <c r="K666" s="3">
        <f>IF(AND('Data Source'!B666&lt;&gt;"",'Data Source'!S666="A+"),IF('Data Source'!AC666&gt;=5,"A+",IF('Data Source'!AC666&gt;=4,"A",IF('Data Source'!AC666&gt;=3.5,"A-",IF('Data Source'!AC666&gt;=3,"B",IF('Data Source'!AC666&gt;=2,"C",IF('Data Source'!AC666&gt;=1,"D","F")))))),"")</f>
        <v/>
      </c>
      <c r="L666" s="3">
        <f>IF(AND('Data Source'!B666&lt;&gt;"",'Data Source'!S666="A+"),IF('Data Source'!AD666&gt;=5,"A+",IF('Data Source'!AD666&gt;=4,"A",IF('Data Source'!AD666&gt;=3.5,"A-",IF('Data Source'!AD666&gt;=3,"B",IF('Data Source'!AD666&gt;=2,"C",IF('Data Source'!AD666&gt;=1,"D","F")))))),"")</f>
        <v/>
      </c>
      <c r="M666" s="3">
        <f>IF(AND('Data Source'!B666&lt;&gt;"",'Data Source'!S666="A+"),IF('Data Source'!AE666&gt;=5,"A+",IF('Data Source'!AE666&gt;=4,"A",IF('Data Source'!AE666&gt;=3.5,"A-",IF('Data Source'!AE666&gt;=3,"B",IF('Data Source'!AE666&gt;=2,"C",IF('Data Source'!AE666&gt;=1,"D","F")))))),"")</f>
        <v/>
      </c>
      <c r="N666" s="3">
        <f>IF(AND('Data Source'!B666&lt;&gt;"",'Data Source'!S666="A+"),IF('Data Source'!AF666&gt;=5,"A+",IF('Data Source'!AF666&gt;=4,"A",IF('Data Source'!AF666&gt;=3.5,"A-",IF('Data Source'!AF666&gt;=3,"B",IF('Data Source'!AF666&gt;=2,"C",IF('Data Source'!AF666&gt;=1,"D","F")))))),"")</f>
        <v/>
      </c>
      <c r="O666" s="3">
        <f>IF(AND('Data Source'!B666&lt;&gt;"",'Data Source'!S666="A+"),IF('Data Source'!AG666&gt;=5,"A+",IF('Data Source'!AG666&gt;=4,"A",IF('Data Source'!AG666&gt;=3.5,"A-",IF('Data Source'!AG666&gt;=3,"B",IF('Data Source'!AG666&gt;=2,"C",IF('Data Source'!AG666&gt;=1,"D","F")))))),"")</f>
        <v/>
      </c>
      <c r="P666" s="5">
        <f>IF(AND('Data Source'!B666&lt;&gt;"",'Data Source'!S666="A+"),'Data Source'!R666,"")</f>
        <v/>
      </c>
      <c r="Q666" s="3">
        <f>IF(AND('Data Source'!B666&lt;&gt;"",'Data Source'!S666="A+"),'Data Source'!S666,"")</f>
        <v/>
      </c>
    </row>
    <row r="667">
      <c r="A667" s="3">
        <f>IF(AND('Data Source'!B667&lt;&gt;"",'Data Source'!S667="A+"),COUNTIF('Data Source'!$S$3:S667,"A+"),"")</f>
        <v/>
      </c>
      <c r="B667">
        <f>IF(AND('Data Source'!B667&lt;&gt;"",'Data Source'!S667="A+"),'Data Source'!B667,"")</f>
        <v/>
      </c>
      <c r="C667" s="3">
        <f>IF(AND('Data Source'!B667&lt;&gt;"",'Data Source'!S667="A+"),IF('Data Source'!U667&gt;=5,"A+",IF('Data Source'!U667&gt;=4,"A",IF('Data Source'!U667&gt;=3.5,"A-",IF('Data Source'!U667&gt;=3,"B",IF('Data Source'!U667&gt;=2,"C",IF('Data Source'!U667&gt;=1,"D","F")))))),"")</f>
        <v/>
      </c>
      <c r="D667" s="3">
        <f>IF(AND('Data Source'!B667&lt;&gt;"",'Data Source'!S667="A+"),IF('Data Source'!V667&gt;=5,"A+",IF('Data Source'!V667&gt;=4,"A",IF('Data Source'!V667&gt;=3.5,"A-",IF('Data Source'!V667&gt;=3,"B",IF('Data Source'!V667&gt;=2,"C",IF('Data Source'!V667&gt;=1,"D","F")))))),"")</f>
        <v/>
      </c>
      <c r="E667" s="3">
        <f>IF(AND('Data Source'!B667&lt;&gt;"",'Data Source'!S667="A+"),IF('Data Source'!W667&gt;=5,"A+",IF('Data Source'!W667&gt;=4,"A",IF('Data Source'!W667&gt;=3.5,"A-",IF('Data Source'!W667&gt;=3,"B",IF('Data Source'!W667&gt;=2,"C",IF('Data Source'!W667&gt;=1,"D","F")))))),"")</f>
        <v/>
      </c>
      <c r="F667" s="3">
        <f>IF(AND('Data Source'!B667&lt;&gt;"",'Data Source'!S667="A+"),IF('Data Source'!X667&gt;=5,"A+",IF('Data Source'!X667&gt;=4,"A",IF('Data Source'!X667&gt;=3.5,"A-",IF('Data Source'!X667&gt;=3,"B",IF('Data Source'!X667&gt;=2,"C",IF('Data Source'!X667&gt;=1,"D","F")))))),"")</f>
        <v/>
      </c>
      <c r="G667" s="3">
        <f>IF(AND('Data Source'!B667&lt;&gt;"",'Data Source'!S667="A+"),IF('Data Source'!Y667&gt;=5,"A+",IF('Data Source'!Y667&gt;=4,"A",IF('Data Source'!Y667&gt;=3.5,"A-",IF('Data Source'!Y667&gt;=3,"B",IF('Data Source'!Y667&gt;=2,"C",IF('Data Source'!Y667&gt;=1,"D","F")))))),"")</f>
        <v/>
      </c>
      <c r="H667" s="3">
        <f>IF(AND('Data Source'!B667&lt;&gt;"",'Data Source'!S667="A+"),IF('Data Source'!Z667&gt;=5,"A+",IF('Data Source'!Z667&gt;=4,"A",IF('Data Source'!Z667&gt;=3.5,"A-",IF('Data Source'!Z667&gt;=3,"B",IF('Data Source'!Z667&gt;=2,"C",IF('Data Source'!Z667&gt;=1,"D","F")))))),"")</f>
        <v/>
      </c>
      <c r="I667" s="3">
        <f>IF(AND('Data Source'!B667&lt;&gt;"",'Data Source'!S667="A+"),IF('Data Source'!AA667&gt;=5,"A+",IF('Data Source'!AA667&gt;=4,"A",IF('Data Source'!AA667&gt;=3.5,"A-",IF('Data Source'!AA667&gt;=3,"B",IF('Data Source'!AA667&gt;=2,"C",IF('Data Source'!AA667&gt;=1,"D","F")))))),"")</f>
        <v/>
      </c>
      <c r="J667" s="3">
        <f>IF(AND('Data Source'!B667&lt;&gt;"",'Data Source'!S667="A+"),IF('Data Source'!AB667&gt;=5,"A+",IF('Data Source'!AB667&gt;=4,"A",IF('Data Source'!AB667&gt;=3.5,"A-",IF('Data Source'!AB667&gt;=3,"B",IF('Data Source'!AB667&gt;=2,"C",IF('Data Source'!AB667&gt;=1,"D","F")))))),"")</f>
        <v/>
      </c>
      <c r="K667" s="3">
        <f>IF(AND('Data Source'!B667&lt;&gt;"",'Data Source'!S667="A+"),IF('Data Source'!AC667&gt;=5,"A+",IF('Data Source'!AC667&gt;=4,"A",IF('Data Source'!AC667&gt;=3.5,"A-",IF('Data Source'!AC667&gt;=3,"B",IF('Data Source'!AC667&gt;=2,"C",IF('Data Source'!AC667&gt;=1,"D","F")))))),"")</f>
        <v/>
      </c>
      <c r="L667" s="3">
        <f>IF(AND('Data Source'!B667&lt;&gt;"",'Data Source'!S667="A+"),IF('Data Source'!AD667&gt;=5,"A+",IF('Data Source'!AD667&gt;=4,"A",IF('Data Source'!AD667&gt;=3.5,"A-",IF('Data Source'!AD667&gt;=3,"B",IF('Data Source'!AD667&gt;=2,"C",IF('Data Source'!AD667&gt;=1,"D","F")))))),"")</f>
        <v/>
      </c>
      <c r="M667" s="3">
        <f>IF(AND('Data Source'!B667&lt;&gt;"",'Data Source'!S667="A+"),IF('Data Source'!AE667&gt;=5,"A+",IF('Data Source'!AE667&gt;=4,"A",IF('Data Source'!AE667&gt;=3.5,"A-",IF('Data Source'!AE667&gt;=3,"B",IF('Data Source'!AE667&gt;=2,"C",IF('Data Source'!AE667&gt;=1,"D","F")))))),"")</f>
        <v/>
      </c>
      <c r="N667" s="3">
        <f>IF(AND('Data Source'!B667&lt;&gt;"",'Data Source'!S667="A+"),IF('Data Source'!AF667&gt;=5,"A+",IF('Data Source'!AF667&gt;=4,"A",IF('Data Source'!AF667&gt;=3.5,"A-",IF('Data Source'!AF667&gt;=3,"B",IF('Data Source'!AF667&gt;=2,"C",IF('Data Source'!AF667&gt;=1,"D","F")))))),"")</f>
        <v/>
      </c>
      <c r="O667" s="3">
        <f>IF(AND('Data Source'!B667&lt;&gt;"",'Data Source'!S667="A+"),IF('Data Source'!AG667&gt;=5,"A+",IF('Data Source'!AG667&gt;=4,"A",IF('Data Source'!AG667&gt;=3.5,"A-",IF('Data Source'!AG667&gt;=3,"B",IF('Data Source'!AG667&gt;=2,"C",IF('Data Source'!AG667&gt;=1,"D","F")))))),"")</f>
        <v/>
      </c>
      <c r="P667" s="5">
        <f>IF(AND('Data Source'!B667&lt;&gt;"",'Data Source'!S667="A+"),'Data Source'!R667,"")</f>
        <v/>
      </c>
      <c r="Q667" s="3">
        <f>IF(AND('Data Source'!B667&lt;&gt;"",'Data Source'!S667="A+"),'Data Source'!S667,"")</f>
        <v/>
      </c>
    </row>
    <row r="668">
      <c r="A668" s="3">
        <f>IF(AND('Data Source'!B668&lt;&gt;"",'Data Source'!S668="A+"),COUNTIF('Data Source'!$S$3:S668,"A+"),"")</f>
        <v/>
      </c>
      <c r="B668">
        <f>IF(AND('Data Source'!B668&lt;&gt;"",'Data Source'!S668="A+"),'Data Source'!B668,"")</f>
        <v/>
      </c>
      <c r="C668" s="3">
        <f>IF(AND('Data Source'!B668&lt;&gt;"",'Data Source'!S668="A+"),IF('Data Source'!U668&gt;=5,"A+",IF('Data Source'!U668&gt;=4,"A",IF('Data Source'!U668&gt;=3.5,"A-",IF('Data Source'!U668&gt;=3,"B",IF('Data Source'!U668&gt;=2,"C",IF('Data Source'!U668&gt;=1,"D","F")))))),"")</f>
        <v/>
      </c>
      <c r="D668" s="3">
        <f>IF(AND('Data Source'!B668&lt;&gt;"",'Data Source'!S668="A+"),IF('Data Source'!V668&gt;=5,"A+",IF('Data Source'!V668&gt;=4,"A",IF('Data Source'!V668&gt;=3.5,"A-",IF('Data Source'!V668&gt;=3,"B",IF('Data Source'!V668&gt;=2,"C",IF('Data Source'!V668&gt;=1,"D","F")))))),"")</f>
        <v/>
      </c>
      <c r="E668" s="3">
        <f>IF(AND('Data Source'!B668&lt;&gt;"",'Data Source'!S668="A+"),IF('Data Source'!W668&gt;=5,"A+",IF('Data Source'!W668&gt;=4,"A",IF('Data Source'!W668&gt;=3.5,"A-",IF('Data Source'!W668&gt;=3,"B",IF('Data Source'!W668&gt;=2,"C",IF('Data Source'!W668&gt;=1,"D","F")))))),"")</f>
        <v/>
      </c>
      <c r="F668" s="3">
        <f>IF(AND('Data Source'!B668&lt;&gt;"",'Data Source'!S668="A+"),IF('Data Source'!X668&gt;=5,"A+",IF('Data Source'!X668&gt;=4,"A",IF('Data Source'!X668&gt;=3.5,"A-",IF('Data Source'!X668&gt;=3,"B",IF('Data Source'!X668&gt;=2,"C",IF('Data Source'!X668&gt;=1,"D","F")))))),"")</f>
        <v/>
      </c>
      <c r="G668" s="3">
        <f>IF(AND('Data Source'!B668&lt;&gt;"",'Data Source'!S668="A+"),IF('Data Source'!Y668&gt;=5,"A+",IF('Data Source'!Y668&gt;=4,"A",IF('Data Source'!Y668&gt;=3.5,"A-",IF('Data Source'!Y668&gt;=3,"B",IF('Data Source'!Y668&gt;=2,"C",IF('Data Source'!Y668&gt;=1,"D","F")))))),"")</f>
        <v/>
      </c>
      <c r="H668" s="3">
        <f>IF(AND('Data Source'!B668&lt;&gt;"",'Data Source'!S668="A+"),IF('Data Source'!Z668&gt;=5,"A+",IF('Data Source'!Z668&gt;=4,"A",IF('Data Source'!Z668&gt;=3.5,"A-",IF('Data Source'!Z668&gt;=3,"B",IF('Data Source'!Z668&gt;=2,"C",IF('Data Source'!Z668&gt;=1,"D","F")))))),"")</f>
        <v/>
      </c>
      <c r="I668" s="3">
        <f>IF(AND('Data Source'!B668&lt;&gt;"",'Data Source'!S668="A+"),IF('Data Source'!AA668&gt;=5,"A+",IF('Data Source'!AA668&gt;=4,"A",IF('Data Source'!AA668&gt;=3.5,"A-",IF('Data Source'!AA668&gt;=3,"B",IF('Data Source'!AA668&gt;=2,"C",IF('Data Source'!AA668&gt;=1,"D","F")))))),"")</f>
        <v/>
      </c>
      <c r="J668" s="3">
        <f>IF(AND('Data Source'!B668&lt;&gt;"",'Data Source'!S668="A+"),IF('Data Source'!AB668&gt;=5,"A+",IF('Data Source'!AB668&gt;=4,"A",IF('Data Source'!AB668&gt;=3.5,"A-",IF('Data Source'!AB668&gt;=3,"B",IF('Data Source'!AB668&gt;=2,"C",IF('Data Source'!AB668&gt;=1,"D","F")))))),"")</f>
        <v/>
      </c>
      <c r="K668" s="3">
        <f>IF(AND('Data Source'!B668&lt;&gt;"",'Data Source'!S668="A+"),IF('Data Source'!AC668&gt;=5,"A+",IF('Data Source'!AC668&gt;=4,"A",IF('Data Source'!AC668&gt;=3.5,"A-",IF('Data Source'!AC668&gt;=3,"B",IF('Data Source'!AC668&gt;=2,"C",IF('Data Source'!AC668&gt;=1,"D","F")))))),"")</f>
        <v/>
      </c>
      <c r="L668" s="3">
        <f>IF(AND('Data Source'!B668&lt;&gt;"",'Data Source'!S668="A+"),IF('Data Source'!AD668&gt;=5,"A+",IF('Data Source'!AD668&gt;=4,"A",IF('Data Source'!AD668&gt;=3.5,"A-",IF('Data Source'!AD668&gt;=3,"B",IF('Data Source'!AD668&gt;=2,"C",IF('Data Source'!AD668&gt;=1,"D","F")))))),"")</f>
        <v/>
      </c>
      <c r="M668" s="3">
        <f>IF(AND('Data Source'!B668&lt;&gt;"",'Data Source'!S668="A+"),IF('Data Source'!AE668&gt;=5,"A+",IF('Data Source'!AE668&gt;=4,"A",IF('Data Source'!AE668&gt;=3.5,"A-",IF('Data Source'!AE668&gt;=3,"B",IF('Data Source'!AE668&gt;=2,"C",IF('Data Source'!AE668&gt;=1,"D","F")))))),"")</f>
        <v/>
      </c>
      <c r="N668" s="3">
        <f>IF(AND('Data Source'!B668&lt;&gt;"",'Data Source'!S668="A+"),IF('Data Source'!AF668&gt;=5,"A+",IF('Data Source'!AF668&gt;=4,"A",IF('Data Source'!AF668&gt;=3.5,"A-",IF('Data Source'!AF668&gt;=3,"B",IF('Data Source'!AF668&gt;=2,"C",IF('Data Source'!AF668&gt;=1,"D","F")))))),"")</f>
        <v/>
      </c>
      <c r="O668" s="3">
        <f>IF(AND('Data Source'!B668&lt;&gt;"",'Data Source'!S668="A+"),IF('Data Source'!AG668&gt;=5,"A+",IF('Data Source'!AG668&gt;=4,"A",IF('Data Source'!AG668&gt;=3.5,"A-",IF('Data Source'!AG668&gt;=3,"B",IF('Data Source'!AG668&gt;=2,"C",IF('Data Source'!AG668&gt;=1,"D","F")))))),"")</f>
        <v/>
      </c>
      <c r="P668" s="5">
        <f>IF(AND('Data Source'!B668&lt;&gt;"",'Data Source'!S668="A+"),'Data Source'!R668,"")</f>
        <v/>
      </c>
      <c r="Q668" s="3">
        <f>IF(AND('Data Source'!B668&lt;&gt;"",'Data Source'!S668="A+"),'Data Source'!S668,"")</f>
        <v/>
      </c>
    </row>
    <row r="669">
      <c r="A669" s="3">
        <f>IF(AND('Data Source'!B669&lt;&gt;"",'Data Source'!S669="A+"),COUNTIF('Data Source'!$S$3:S669,"A+"),"")</f>
        <v/>
      </c>
      <c r="B669">
        <f>IF(AND('Data Source'!B669&lt;&gt;"",'Data Source'!S669="A+"),'Data Source'!B669,"")</f>
        <v/>
      </c>
      <c r="C669" s="3">
        <f>IF(AND('Data Source'!B669&lt;&gt;"",'Data Source'!S669="A+"),IF('Data Source'!U669&gt;=5,"A+",IF('Data Source'!U669&gt;=4,"A",IF('Data Source'!U669&gt;=3.5,"A-",IF('Data Source'!U669&gt;=3,"B",IF('Data Source'!U669&gt;=2,"C",IF('Data Source'!U669&gt;=1,"D","F")))))),"")</f>
        <v/>
      </c>
      <c r="D669" s="3">
        <f>IF(AND('Data Source'!B669&lt;&gt;"",'Data Source'!S669="A+"),IF('Data Source'!V669&gt;=5,"A+",IF('Data Source'!V669&gt;=4,"A",IF('Data Source'!V669&gt;=3.5,"A-",IF('Data Source'!V669&gt;=3,"B",IF('Data Source'!V669&gt;=2,"C",IF('Data Source'!V669&gt;=1,"D","F")))))),"")</f>
        <v/>
      </c>
      <c r="E669" s="3">
        <f>IF(AND('Data Source'!B669&lt;&gt;"",'Data Source'!S669="A+"),IF('Data Source'!W669&gt;=5,"A+",IF('Data Source'!W669&gt;=4,"A",IF('Data Source'!W669&gt;=3.5,"A-",IF('Data Source'!W669&gt;=3,"B",IF('Data Source'!W669&gt;=2,"C",IF('Data Source'!W669&gt;=1,"D","F")))))),"")</f>
        <v/>
      </c>
      <c r="F669" s="3">
        <f>IF(AND('Data Source'!B669&lt;&gt;"",'Data Source'!S669="A+"),IF('Data Source'!X669&gt;=5,"A+",IF('Data Source'!X669&gt;=4,"A",IF('Data Source'!X669&gt;=3.5,"A-",IF('Data Source'!X669&gt;=3,"B",IF('Data Source'!X669&gt;=2,"C",IF('Data Source'!X669&gt;=1,"D","F")))))),"")</f>
        <v/>
      </c>
      <c r="G669" s="3">
        <f>IF(AND('Data Source'!B669&lt;&gt;"",'Data Source'!S669="A+"),IF('Data Source'!Y669&gt;=5,"A+",IF('Data Source'!Y669&gt;=4,"A",IF('Data Source'!Y669&gt;=3.5,"A-",IF('Data Source'!Y669&gt;=3,"B",IF('Data Source'!Y669&gt;=2,"C",IF('Data Source'!Y669&gt;=1,"D","F")))))),"")</f>
        <v/>
      </c>
      <c r="H669" s="3">
        <f>IF(AND('Data Source'!B669&lt;&gt;"",'Data Source'!S669="A+"),IF('Data Source'!Z669&gt;=5,"A+",IF('Data Source'!Z669&gt;=4,"A",IF('Data Source'!Z669&gt;=3.5,"A-",IF('Data Source'!Z669&gt;=3,"B",IF('Data Source'!Z669&gt;=2,"C",IF('Data Source'!Z669&gt;=1,"D","F")))))),"")</f>
        <v/>
      </c>
      <c r="I669" s="3">
        <f>IF(AND('Data Source'!B669&lt;&gt;"",'Data Source'!S669="A+"),IF('Data Source'!AA669&gt;=5,"A+",IF('Data Source'!AA669&gt;=4,"A",IF('Data Source'!AA669&gt;=3.5,"A-",IF('Data Source'!AA669&gt;=3,"B",IF('Data Source'!AA669&gt;=2,"C",IF('Data Source'!AA669&gt;=1,"D","F")))))),"")</f>
        <v/>
      </c>
      <c r="J669" s="3">
        <f>IF(AND('Data Source'!B669&lt;&gt;"",'Data Source'!S669="A+"),IF('Data Source'!AB669&gt;=5,"A+",IF('Data Source'!AB669&gt;=4,"A",IF('Data Source'!AB669&gt;=3.5,"A-",IF('Data Source'!AB669&gt;=3,"B",IF('Data Source'!AB669&gt;=2,"C",IF('Data Source'!AB669&gt;=1,"D","F")))))),"")</f>
        <v/>
      </c>
      <c r="K669" s="3">
        <f>IF(AND('Data Source'!B669&lt;&gt;"",'Data Source'!S669="A+"),IF('Data Source'!AC669&gt;=5,"A+",IF('Data Source'!AC669&gt;=4,"A",IF('Data Source'!AC669&gt;=3.5,"A-",IF('Data Source'!AC669&gt;=3,"B",IF('Data Source'!AC669&gt;=2,"C",IF('Data Source'!AC669&gt;=1,"D","F")))))),"")</f>
        <v/>
      </c>
      <c r="L669" s="3">
        <f>IF(AND('Data Source'!B669&lt;&gt;"",'Data Source'!S669="A+"),IF('Data Source'!AD669&gt;=5,"A+",IF('Data Source'!AD669&gt;=4,"A",IF('Data Source'!AD669&gt;=3.5,"A-",IF('Data Source'!AD669&gt;=3,"B",IF('Data Source'!AD669&gt;=2,"C",IF('Data Source'!AD669&gt;=1,"D","F")))))),"")</f>
        <v/>
      </c>
      <c r="M669" s="3">
        <f>IF(AND('Data Source'!B669&lt;&gt;"",'Data Source'!S669="A+"),IF('Data Source'!AE669&gt;=5,"A+",IF('Data Source'!AE669&gt;=4,"A",IF('Data Source'!AE669&gt;=3.5,"A-",IF('Data Source'!AE669&gt;=3,"B",IF('Data Source'!AE669&gt;=2,"C",IF('Data Source'!AE669&gt;=1,"D","F")))))),"")</f>
        <v/>
      </c>
      <c r="N669" s="3">
        <f>IF(AND('Data Source'!B669&lt;&gt;"",'Data Source'!S669="A+"),IF('Data Source'!AF669&gt;=5,"A+",IF('Data Source'!AF669&gt;=4,"A",IF('Data Source'!AF669&gt;=3.5,"A-",IF('Data Source'!AF669&gt;=3,"B",IF('Data Source'!AF669&gt;=2,"C",IF('Data Source'!AF669&gt;=1,"D","F")))))),"")</f>
        <v/>
      </c>
      <c r="O669" s="3">
        <f>IF(AND('Data Source'!B669&lt;&gt;"",'Data Source'!S669="A+"),IF('Data Source'!AG669&gt;=5,"A+",IF('Data Source'!AG669&gt;=4,"A",IF('Data Source'!AG669&gt;=3.5,"A-",IF('Data Source'!AG669&gt;=3,"B",IF('Data Source'!AG669&gt;=2,"C",IF('Data Source'!AG669&gt;=1,"D","F")))))),"")</f>
        <v/>
      </c>
      <c r="P669" s="5">
        <f>IF(AND('Data Source'!B669&lt;&gt;"",'Data Source'!S669="A+"),'Data Source'!R669,"")</f>
        <v/>
      </c>
      <c r="Q669" s="3">
        <f>IF(AND('Data Source'!B669&lt;&gt;"",'Data Source'!S669="A+"),'Data Source'!S669,"")</f>
        <v/>
      </c>
    </row>
    <row r="670">
      <c r="A670" s="3">
        <f>IF(AND('Data Source'!B670&lt;&gt;"",'Data Source'!S670="A+"),COUNTIF('Data Source'!$S$3:S670,"A+"),"")</f>
        <v/>
      </c>
      <c r="B670">
        <f>IF(AND('Data Source'!B670&lt;&gt;"",'Data Source'!S670="A+"),'Data Source'!B670,"")</f>
        <v/>
      </c>
      <c r="C670" s="3">
        <f>IF(AND('Data Source'!B670&lt;&gt;"",'Data Source'!S670="A+"),IF('Data Source'!U670&gt;=5,"A+",IF('Data Source'!U670&gt;=4,"A",IF('Data Source'!U670&gt;=3.5,"A-",IF('Data Source'!U670&gt;=3,"B",IF('Data Source'!U670&gt;=2,"C",IF('Data Source'!U670&gt;=1,"D","F")))))),"")</f>
        <v/>
      </c>
      <c r="D670" s="3">
        <f>IF(AND('Data Source'!B670&lt;&gt;"",'Data Source'!S670="A+"),IF('Data Source'!V670&gt;=5,"A+",IF('Data Source'!V670&gt;=4,"A",IF('Data Source'!V670&gt;=3.5,"A-",IF('Data Source'!V670&gt;=3,"B",IF('Data Source'!V670&gt;=2,"C",IF('Data Source'!V670&gt;=1,"D","F")))))),"")</f>
        <v/>
      </c>
      <c r="E670" s="3">
        <f>IF(AND('Data Source'!B670&lt;&gt;"",'Data Source'!S670="A+"),IF('Data Source'!W670&gt;=5,"A+",IF('Data Source'!W670&gt;=4,"A",IF('Data Source'!W670&gt;=3.5,"A-",IF('Data Source'!W670&gt;=3,"B",IF('Data Source'!W670&gt;=2,"C",IF('Data Source'!W670&gt;=1,"D","F")))))),"")</f>
        <v/>
      </c>
      <c r="F670" s="3">
        <f>IF(AND('Data Source'!B670&lt;&gt;"",'Data Source'!S670="A+"),IF('Data Source'!X670&gt;=5,"A+",IF('Data Source'!X670&gt;=4,"A",IF('Data Source'!X670&gt;=3.5,"A-",IF('Data Source'!X670&gt;=3,"B",IF('Data Source'!X670&gt;=2,"C",IF('Data Source'!X670&gt;=1,"D","F")))))),"")</f>
        <v/>
      </c>
      <c r="G670" s="3">
        <f>IF(AND('Data Source'!B670&lt;&gt;"",'Data Source'!S670="A+"),IF('Data Source'!Y670&gt;=5,"A+",IF('Data Source'!Y670&gt;=4,"A",IF('Data Source'!Y670&gt;=3.5,"A-",IF('Data Source'!Y670&gt;=3,"B",IF('Data Source'!Y670&gt;=2,"C",IF('Data Source'!Y670&gt;=1,"D","F")))))),"")</f>
        <v/>
      </c>
      <c r="H670" s="3">
        <f>IF(AND('Data Source'!B670&lt;&gt;"",'Data Source'!S670="A+"),IF('Data Source'!Z670&gt;=5,"A+",IF('Data Source'!Z670&gt;=4,"A",IF('Data Source'!Z670&gt;=3.5,"A-",IF('Data Source'!Z670&gt;=3,"B",IF('Data Source'!Z670&gt;=2,"C",IF('Data Source'!Z670&gt;=1,"D","F")))))),"")</f>
        <v/>
      </c>
      <c r="I670" s="3">
        <f>IF(AND('Data Source'!B670&lt;&gt;"",'Data Source'!S670="A+"),IF('Data Source'!AA670&gt;=5,"A+",IF('Data Source'!AA670&gt;=4,"A",IF('Data Source'!AA670&gt;=3.5,"A-",IF('Data Source'!AA670&gt;=3,"B",IF('Data Source'!AA670&gt;=2,"C",IF('Data Source'!AA670&gt;=1,"D","F")))))),"")</f>
        <v/>
      </c>
      <c r="J670" s="3">
        <f>IF(AND('Data Source'!B670&lt;&gt;"",'Data Source'!S670="A+"),IF('Data Source'!AB670&gt;=5,"A+",IF('Data Source'!AB670&gt;=4,"A",IF('Data Source'!AB670&gt;=3.5,"A-",IF('Data Source'!AB670&gt;=3,"B",IF('Data Source'!AB670&gt;=2,"C",IF('Data Source'!AB670&gt;=1,"D","F")))))),"")</f>
        <v/>
      </c>
      <c r="K670" s="3">
        <f>IF(AND('Data Source'!B670&lt;&gt;"",'Data Source'!S670="A+"),IF('Data Source'!AC670&gt;=5,"A+",IF('Data Source'!AC670&gt;=4,"A",IF('Data Source'!AC670&gt;=3.5,"A-",IF('Data Source'!AC670&gt;=3,"B",IF('Data Source'!AC670&gt;=2,"C",IF('Data Source'!AC670&gt;=1,"D","F")))))),"")</f>
        <v/>
      </c>
      <c r="L670" s="3">
        <f>IF(AND('Data Source'!B670&lt;&gt;"",'Data Source'!S670="A+"),IF('Data Source'!AD670&gt;=5,"A+",IF('Data Source'!AD670&gt;=4,"A",IF('Data Source'!AD670&gt;=3.5,"A-",IF('Data Source'!AD670&gt;=3,"B",IF('Data Source'!AD670&gt;=2,"C",IF('Data Source'!AD670&gt;=1,"D","F")))))),"")</f>
        <v/>
      </c>
      <c r="M670" s="3">
        <f>IF(AND('Data Source'!B670&lt;&gt;"",'Data Source'!S670="A+"),IF('Data Source'!AE670&gt;=5,"A+",IF('Data Source'!AE670&gt;=4,"A",IF('Data Source'!AE670&gt;=3.5,"A-",IF('Data Source'!AE670&gt;=3,"B",IF('Data Source'!AE670&gt;=2,"C",IF('Data Source'!AE670&gt;=1,"D","F")))))),"")</f>
        <v/>
      </c>
      <c r="N670" s="3">
        <f>IF(AND('Data Source'!B670&lt;&gt;"",'Data Source'!S670="A+"),IF('Data Source'!AF670&gt;=5,"A+",IF('Data Source'!AF670&gt;=4,"A",IF('Data Source'!AF670&gt;=3.5,"A-",IF('Data Source'!AF670&gt;=3,"B",IF('Data Source'!AF670&gt;=2,"C",IF('Data Source'!AF670&gt;=1,"D","F")))))),"")</f>
        <v/>
      </c>
      <c r="O670" s="3">
        <f>IF(AND('Data Source'!B670&lt;&gt;"",'Data Source'!S670="A+"),IF('Data Source'!AG670&gt;=5,"A+",IF('Data Source'!AG670&gt;=4,"A",IF('Data Source'!AG670&gt;=3.5,"A-",IF('Data Source'!AG670&gt;=3,"B",IF('Data Source'!AG670&gt;=2,"C",IF('Data Source'!AG670&gt;=1,"D","F")))))),"")</f>
        <v/>
      </c>
      <c r="P670" s="5">
        <f>IF(AND('Data Source'!B670&lt;&gt;"",'Data Source'!S670="A+"),'Data Source'!R670,"")</f>
        <v/>
      </c>
      <c r="Q670" s="3">
        <f>IF(AND('Data Source'!B670&lt;&gt;"",'Data Source'!S670="A+"),'Data Source'!S670,"")</f>
        <v/>
      </c>
    </row>
    <row r="671">
      <c r="A671" s="3">
        <f>IF(AND('Data Source'!B671&lt;&gt;"",'Data Source'!S671="A+"),COUNTIF('Data Source'!$S$3:S671,"A+"),"")</f>
        <v/>
      </c>
      <c r="B671">
        <f>IF(AND('Data Source'!B671&lt;&gt;"",'Data Source'!S671="A+"),'Data Source'!B671,"")</f>
        <v/>
      </c>
      <c r="C671" s="3">
        <f>IF(AND('Data Source'!B671&lt;&gt;"",'Data Source'!S671="A+"),IF('Data Source'!U671&gt;=5,"A+",IF('Data Source'!U671&gt;=4,"A",IF('Data Source'!U671&gt;=3.5,"A-",IF('Data Source'!U671&gt;=3,"B",IF('Data Source'!U671&gt;=2,"C",IF('Data Source'!U671&gt;=1,"D","F")))))),"")</f>
        <v/>
      </c>
      <c r="D671" s="3">
        <f>IF(AND('Data Source'!B671&lt;&gt;"",'Data Source'!S671="A+"),IF('Data Source'!V671&gt;=5,"A+",IF('Data Source'!V671&gt;=4,"A",IF('Data Source'!V671&gt;=3.5,"A-",IF('Data Source'!V671&gt;=3,"B",IF('Data Source'!V671&gt;=2,"C",IF('Data Source'!V671&gt;=1,"D","F")))))),"")</f>
        <v/>
      </c>
      <c r="E671" s="3">
        <f>IF(AND('Data Source'!B671&lt;&gt;"",'Data Source'!S671="A+"),IF('Data Source'!W671&gt;=5,"A+",IF('Data Source'!W671&gt;=4,"A",IF('Data Source'!W671&gt;=3.5,"A-",IF('Data Source'!W671&gt;=3,"B",IF('Data Source'!W671&gt;=2,"C",IF('Data Source'!W671&gt;=1,"D","F")))))),"")</f>
        <v/>
      </c>
      <c r="F671" s="3">
        <f>IF(AND('Data Source'!B671&lt;&gt;"",'Data Source'!S671="A+"),IF('Data Source'!X671&gt;=5,"A+",IF('Data Source'!X671&gt;=4,"A",IF('Data Source'!X671&gt;=3.5,"A-",IF('Data Source'!X671&gt;=3,"B",IF('Data Source'!X671&gt;=2,"C",IF('Data Source'!X671&gt;=1,"D","F")))))),"")</f>
        <v/>
      </c>
      <c r="G671" s="3">
        <f>IF(AND('Data Source'!B671&lt;&gt;"",'Data Source'!S671="A+"),IF('Data Source'!Y671&gt;=5,"A+",IF('Data Source'!Y671&gt;=4,"A",IF('Data Source'!Y671&gt;=3.5,"A-",IF('Data Source'!Y671&gt;=3,"B",IF('Data Source'!Y671&gt;=2,"C",IF('Data Source'!Y671&gt;=1,"D","F")))))),"")</f>
        <v/>
      </c>
      <c r="H671" s="3">
        <f>IF(AND('Data Source'!B671&lt;&gt;"",'Data Source'!S671="A+"),IF('Data Source'!Z671&gt;=5,"A+",IF('Data Source'!Z671&gt;=4,"A",IF('Data Source'!Z671&gt;=3.5,"A-",IF('Data Source'!Z671&gt;=3,"B",IF('Data Source'!Z671&gt;=2,"C",IF('Data Source'!Z671&gt;=1,"D","F")))))),"")</f>
        <v/>
      </c>
      <c r="I671" s="3">
        <f>IF(AND('Data Source'!B671&lt;&gt;"",'Data Source'!S671="A+"),IF('Data Source'!AA671&gt;=5,"A+",IF('Data Source'!AA671&gt;=4,"A",IF('Data Source'!AA671&gt;=3.5,"A-",IF('Data Source'!AA671&gt;=3,"B",IF('Data Source'!AA671&gt;=2,"C",IF('Data Source'!AA671&gt;=1,"D","F")))))),"")</f>
        <v/>
      </c>
      <c r="J671" s="3">
        <f>IF(AND('Data Source'!B671&lt;&gt;"",'Data Source'!S671="A+"),IF('Data Source'!AB671&gt;=5,"A+",IF('Data Source'!AB671&gt;=4,"A",IF('Data Source'!AB671&gt;=3.5,"A-",IF('Data Source'!AB671&gt;=3,"B",IF('Data Source'!AB671&gt;=2,"C",IF('Data Source'!AB671&gt;=1,"D","F")))))),"")</f>
        <v/>
      </c>
      <c r="K671" s="3">
        <f>IF(AND('Data Source'!B671&lt;&gt;"",'Data Source'!S671="A+"),IF('Data Source'!AC671&gt;=5,"A+",IF('Data Source'!AC671&gt;=4,"A",IF('Data Source'!AC671&gt;=3.5,"A-",IF('Data Source'!AC671&gt;=3,"B",IF('Data Source'!AC671&gt;=2,"C",IF('Data Source'!AC671&gt;=1,"D","F")))))),"")</f>
        <v/>
      </c>
      <c r="L671" s="3">
        <f>IF(AND('Data Source'!B671&lt;&gt;"",'Data Source'!S671="A+"),IF('Data Source'!AD671&gt;=5,"A+",IF('Data Source'!AD671&gt;=4,"A",IF('Data Source'!AD671&gt;=3.5,"A-",IF('Data Source'!AD671&gt;=3,"B",IF('Data Source'!AD671&gt;=2,"C",IF('Data Source'!AD671&gt;=1,"D","F")))))),"")</f>
        <v/>
      </c>
      <c r="M671" s="3">
        <f>IF(AND('Data Source'!B671&lt;&gt;"",'Data Source'!S671="A+"),IF('Data Source'!AE671&gt;=5,"A+",IF('Data Source'!AE671&gt;=4,"A",IF('Data Source'!AE671&gt;=3.5,"A-",IF('Data Source'!AE671&gt;=3,"B",IF('Data Source'!AE671&gt;=2,"C",IF('Data Source'!AE671&gt;=1,"D","F")))))),"")</f>
        <v/>
      </c>
      <c r="N671" s="3">
        <f>IF(AND('Data Source'!B671&lt;&gt;"",'Data Source'!S671="A+"),IF('Data Source'!AF671&gt;=5,"A+",IF('Data Source'!AF671&gt;=4,"A",IF('Data Source'!AF671&gt;=3.5,"A-",IF('Data Source'!AF671&gt;=3,"B",IF('Data Source'!AF671&gt;=2,"C",IF('Data Source'!AF671&gt;=1,"D","F")))))),"")</f>
        <v/>
      </c>
      <c r="O671" s="3">
        <f>IF(AND('Data Source'!B671&lt;&gt;"",'Data Source'!S671="A+"),IF('Data Source'!AG671&gt;=5,"A+",IF('Data Source'!AG671&gt;=4,"A",IF('Data Source'!AG671&gt;=3.5,"A-",IF('Data Source'!AG671&gt;=3,"B",IF('Data Source'!AG671&gt;=2,"C",IF('Data Source'!AG671&gt;=1,"D","F")))))),"")</f>
        <v/>
      </c>
      <c r="P671" s="5">
        <f>IF(AND('Data Source'!B671&lt;&gt;"",'Data Source'!S671="A+"),'Data Source'!R671,"")</f>
        <v/>
      </c>
      <c r="Q671" s="3">
        <f>IF(AND('Data Source'!B671&lt;&gt;"",'Data Source'!S671="A+"),'Data Source'!S671,"")</f>
        <v/>
      </c>
    </row>
    <row r="672">
      <c r="A672" s="3">
        <f>IF(AND('Data Source'!B672&lt;&gt;"",'Data Source'!S672="A+"),COUNTIF('Data Source'!$S$3:S672,"A+"),"")</f>
        <v/>
      </c>
      <c r="B672">
        <f>IF(AND('Data Source'!B672&lt;&gt;"",'Data Source'!S672="A+"),'Data Source'!B672,"")</f>
        <v/>
      </c>
      <c r="C672" s="3">
        <f>IF(AND('Data Source'!B672&lt;&gt;"",'Data Source'!S672="A+"),IF('Data Source'!U672&gt;=5,"A+",IF('Data Source'!U672&gt;=4,"A",IF('Data Source'!U672&gt;=3.5,"A-",IF('Data Source'!U672&gt;=3,"B",IF('Data Source'!U672&gt;=2,"C",IF('Data Source'!U672&gt;=1,"D","F")))))),"")</f>
        <v/>
      </c>
      <c r="D672" s="3">
        <f>IF(AND('Data Source'!B672&lt;&gt;"",'Data Source'!S672="A+"),IF('Data Source'!V672&gt;=5,"A+",IF('Data Source'!V672&gt;=4,"A",IF('Data Source'!V672&gt;=3.5,"A-",IF('Data Source'!V672&gt;=3,"B",IF('Data Source'!V672&gt;=2,"C",IF('Data Source'!V672&gt;=1,"D","F")))))),"")</f>
        <v/>
      </c>
      <c r="E672" s="3">
        <f>IF(AND('Data Source'!B672&lt;&gt;"",'Data Source'!S672="A+"),IF('Data Source'!W672&gt;=5,"A+",IF('Data Source'!W672&gt;=4,"A",IF('Data Source'!W672&gt;=3.5,"A-",IF('Data Source'!W672&gt;=3,"B",IF('Data Source'!W672&gt;=2,"C",IF('Data Source'!W672&gt;=1,"D","F")))))),"")</f>
        <v/>
      </c>
      <c r="F672" s="3">
        <f>IF(AND('Data Source'!B672&lt;&gt;"",'Data Source'!S672="A+"),IF('Data Source'!X672&gt;=5,"A+",IF('Data Source'!X672&gt;=4,"A",IF('Data Source'!X672&gt;=3.5,"A-",IF('Data Source'!X672&gt;=3,"B",IF('Data Source'!X672&gt;=2,"C",IF('Data Source'!X672&gt;=1,"D","F")))))),"")</f>
        <v/>
      </c>
      <c r="G672" s="3">
        <f>IF(AND('Data Source'!B672&lt;&gt;"",'Data Source'!S672="A+"),IF('Data Source'!Y672&gt;=5,"A+",IF('Data Source'!Y672&gt;=4,"A",IF('Data Source'!Y672&gt;=3.5,"A-",IF('Data Source'!Y672&gt;=3,"B",IF('Data Source'!Y672&gt;=2,"C",IF('Data Source'!Y672&gt;=1,"D","F")))))),"")</f>
        <v/>
      </c>
      <c r="H672" s="3">
        <f>IF(AND('Data Source'!B672&lt;&gt;"",'Data Source'!S672="A+"),IF('Data Source'!Z672&gt;=5,"A+",IF('Data Source'!Z672&gt;=4,"A",IF('Data Source'!Z672&gt;=3.5,"A-",IF('Data Source'!Z672&gt;=3,"B",IF('Data Source'!Z672&gt;=2,"C",IF('Data Source'!Z672&gt;=1,"D","F")))))),"")</f>
        <v/>
      </c>
      <c r="I672" s="3">
        <f>IF(AND('Data Source'!B672&lt;&gt;"",'Data Source'!S672="A+"),IF('Data Source'!AA672&gt;=5,"A+",IF('Data Source'!AA672&gt;=4,"A",IF('Data Source'!AA672&gt;=3.5,"A-",IF('Data Source'!AA672&gt;=3,"B",IF('Data Source'!AA672&gt;=2,"C",IF('Data Source'!AA672&gt;=1,"D","F")))))),"")</f>
        <v/>
      </c>
      <c r="J672" s="3">
        <f>IF(AND('Data Source'!B672&lt;&gt;"",'Data Source'!S672="A+"),IF('Data Source'!AB672&gt;=5,"A+",IF('Data Source'!AB672&gt;=4,"A",IF('Data Source'!AB672&gt;=3.5,"A-",IF('Data Source'!AB672&gt;=3,"B",IF('Data Source'!AB672&gt;=2,"C",IF('Data Source'!AB672&gt;=1,"D","F")))))),"")</f>
        <v/>
      </c>
      <c r="K672" s="3">
        <f>IF(AND('Data Source'!B672&lt;&gt;"",'Data Source'!S672="A+"),IF('Data Source'!AC672&gt;=5,"A+",IF('Data Source'!AC672&gt;=4,"A",IF('Data Source'!AC672&gt;=3.5,"A-",IF('Data Source'!AC672&gt;=3,"B",IF('Data Source'!AC672&gt;=2,"C",IF('Data Source'!AC672&gt;=1,"D","F")))))),"")</f>
        <v/>
      </c>
      <c r="L672" s="3">
        <f>IF(AND('Data Source'!B672&lt;&gt;"",'Data Source'!S672="A+"),IF('Data Source'!AD672&gt;=5,"A+",IF('Data Source'!AD672&gt;=4,"A",IF('Data Source'!AD672&gt;=3.5,"A-",IF('Data Source'!AD672&gt;=3,"B",IF('Data Source'!AD672&gt;=2,"C",IF('Data Source'!AD672&gt;=1,"D","F")))))),"")</f>
        <v/>
      </c>
      <c r="M672" s="3">
        <f>IF(AND('Data Source'!B672&lt;&gt;"",'Data Source'!S672="A+"),IF('Data Source'!AE672&gt;=5,"A+",IF('Data Source'!AE672&gt;=4,"A",IF('Data Source'!AE672&gt;=3.5,"A-",IF('Data Source'!AE672&gt;=3,"B",IF('Data Source'!AE672&gt;=2,"C",IF('Data Source'!AE672&gt;=1,"D","F")))))),"")</f>
        <v/>
      </c>
      <c r="N672" s="3">
        <f>IF(AND('Data Source'!B672&lt;&gt;"",'Data Source'!S672="A+"),IF('Data Source'!AF672&gt;=5,"A+",IF('Data Source'!AF672&gt;=4,"A",IF('Data Source'!AF672&gt;=3.5,"A-",IF('Data Source'!AF672&gt;=3,"B",IF('Data Source'!AF672&gt;=2,"C",IF('Data Source'!AF672&gt;=1,"D","F")))))),"")</f>
        <v/>
      </c>
      <c r="O672" s="3">
        <f>IF(AND('Data Source'!B672&lt;&gt;"",'Data Source'!S672="A+"),IF('Data Source'!AG672&gt;=5,"A+",IF('Data Source'!AG672&gt;=4,"A",IF('Data Source'!AG672&gt;=3.5,"A-",IF('Data Source'!AG672&gt;=3,"B",IF('Data Source'!AG672&gt;=2,"C",IF('Data Source'!AG672&gt;=1,"D","F")))))),"")</f>
        <v/>
      </c>
      <c r="P672" s="5">
        <f>IF(AND('Data Source'!B672&lt;&gt;"",'Data Source'!S672="A+"),'Data Source'!R672,"")</f>
        <v/>
      </c>
      <c r="Q672" s="3">
        <f>IF(AND('Data Source'!B672&lt;&gt;"",'Data Source'!S672="A+"),'Data Source'!S672,"")</f>
        <v/>
      </c>
    </row>
    <row r="673">
      <c r="A673" s="3">
        <f>IF(AND('Data Source'!B673&lt;&gt;"",'Data Source'!S673="A+"),COUNTIF('Data Source'!$S$3:S673,"A+"),"")</f>
        <v/>
      </c>
      <c r="B673">
        <f>IF(AND('Data Source'!B673&lt;&gt;"",'Data Source'!S673="A+"),'Data Source'!B673,"")</f>
        <v/>
      </c>
      <c r="C673" s="3">
        <f>IF(AND('Data Source'!B673&lt;&gt;"",'Data Source'!S673="A+"),IF('Data Source'!U673&gt;=5,"A+",IF('Data Source'!U673&gt;=4,"A",IF('Data Source'!U673&gt;=3.5,"A-",IF('Data Source'!U673&gt;=3,"B",IF('Data Source'!U673&gt;=2,"C",IF('Data Source'!U673&gt;=1,"D","F")))))),"")</f>
        <v/>
      </c>
      <c r="D673" s="3">
        <f>IF(AND('Data Source'!B673&lt;&gt;"",'Data Source'!S673="A+"),IF('Data Source'!V673&gt;=5,"A+",IF('Data Source'!V673&gt;=4,"A",IF('Data Source'!V673&gt;=3.5,"A-",IF('Data Source'!V673&gt;=3,"B",IF('Data Source'!V673&gt;=2,"C",IF('Data Source'!V673&gt;=1,"D","F")))))),"")</f>
        <v/>
      </c>
      <c r="E673" s="3">
        <f>IF(AND('Data Source'!B673&lt;&gt;"",'Data Source'!S673="A+"),IF('Data Source'!W673&gt;=5,"A+",IF('Data Source'!W673&gt;=4,"A",IF('Data Source'!W673&gt;=3.5,"A-",IF('Data Source'!W673&gt;=3,"B",IF('Data Source'!W673&gt;=2,"C",IF('Data Source'!W673&gt;=1,"D","F")))))),"")</f>
        <v/>
      </c>
      <c r="F673" s="3">
        <f>IF(AND('Data Source'!B673&lt;&gt;"",'Data Source'!S673="A+"),IF('Data Source'!X673&gt;=5,"A+",IF('Data Source'!X673&gt;=4,"A",IF('Data Source'!X673&gt;=3.5,"A-",IF('Data Source'!X673&gt;=3,"B",IF('Data Source'!X673&gt;=2,"C",IF('Data Source'!X673&gt;=1,"D","F")))))),"")</f>
        <v/>
      </c>
      <c r="G673" s="3">
        <f>IF(AND('Data Source'!B673&lt;&gt;"",'Data Source'!S673="A+"),IF('Data Source'!Y673&gt;=5,"A+",IF('Data Source'!Y673&gt;=4,"A",IF('Data Source'!Y673&gt;=3.5,"A-",IF('Data Source'!Y673&gt;=3,"B",IF('Data Source'!Y673&gt;=2,"C",IF('Data Source'!Y673&gt;=1,"D","F")))))),"")</f>
        <v/>
      </c>
      <c r="H673" s="3">
        <f>IF(AND('Data Source'!B673&lt;&gt;"",'Data Source'!S673="A+"),IF('Data Source'!Z673&gt;=5,"A+",IF('Data Source'!Z673&gt;=4,"A",IF('Data Source'!Z673&gt;=3.5,"A-",IF('Data Source'!Z673&gt;=3,"B",IF('Data Source'!Z673&gt;=2,"C",IF('Data Source'!Z673&gt;=1,"D","F")))))),"")</f>
        <v/>
      </c>
      <c r="I673" s="3">
        <f>IF(AND('Data Source'!B673&lt;&gt;"",'Data Source'!S673="A+"),IF('Data Source'!AA673&gt;=5,"A+",IF('Data Source'!AA673&gt;=4,"A",IF('Data Source'!AA673&gt;=3.5,"A-",IF('Data Source'!AA673&gt;=3,"B",IF('Data Source'!AA673&gt;=2,"C",IF('Data Source'!AA673&gt;=1,"D","F")))))),"")</f>
        <v/>
      </c>
      <c r="J673" s="3">
        <f>IF(AND('Data Source'!B673&lt;&gt;"",'Data Source'!S673="A+"),IF('Data Source'!AB673&gt;=5,"A+",IF('Data Source'!AB673&gt;=4,"A",IF('Data Source'!AB673&gt;=3.5,"A-",IF('Data Source'!AB673&gt;=3,"B",IF('Data Source'!AB673&gt;=2,"C",IF('Data Source'!AB673&gt;=1,"D","F")))))),"")</f>
        <v/>
      </c>
      <c r="K673" s="3">
        <f>IF(AND('Data Source'!B673&lt;&gt;"",'Data Source'!S673="A+"),IF('Data Source'!AC673&gt;=5,"A+",IF('Data Source'!AC673&gt;=4,"A",IF('Data Source'!AC673&gt;=3.5,"A-",IF('Data Source'!AC673&gt;=3,"B",IF('Data Source'!AC673&gt;=2,"C",IF('Data Source'!AC673&gt;=1,"D","F")))))),"")</f>
        <v/>
      </c>
      <c r="L673" s="3">
        <f>IF(AND('Data Source'!B673&lt;&gt;"",'Data Source'!S673="A+"),IF('Data Source'!AD673&gt;=5,"A+",IF('Data Source'!AD673&gt;=4,"A",IF('Data Source'!AD673&gt;=3.5,"A-",IF('Data Source'!AD673&gt;=3,"B",IF('Data Source'!AD673&gt;=2,"C",IF('Data Source'!AD673&gt;=1,"D","F")))))),"")</f>
        <v/>
      </c>
      <c r="M673" s="3">
        <f>IF(AND('Data Source'!B673&lt;&gt;"",'Data Source'!S673="A+"),IF('Data Source'!AE673&gt;=5,"A+",IF('Data Source'!AE673&gt;=4,"A",IF('Data Source'!AE673&gt;=3.5,"A-",IF('Data Source'!AE673&gt;=3,"B",IF('Data Source'!AE673&gt;=2,"C",IF('Data Source'!AE673&gt;=1,"D","F")))))),"")</f>
        <v/>
      </c>
      <c r="N673" s="3">
        <f>IF(AND('Data Source'!B673&lt;&gt;"",'Data Source'!S673="A+"),IF('Data Source'!AF673&gt;=5,"A+",IF('Data Source'!AF673&gt;=4,"A",IF('Data Source'!AF673&gt;=3.5,"A-",IF('Data Source'!AF673&gt;=3,"B",IF('Data Source'!AF673&gt;=2,"C",IF('Data Source'!AF673&gt;=1,"D","F")))))),"")</f>
        <v/>
      </c>
      <c r="O673" s="3">
        <f>IF(AND('Data Source'!B673&lt;&gt;"",'Data Source'!S673="A+"),IF('Data Source'!AG673&gt;=5,"A+",IF('Data Source'!AG673&gt;=4,"A",IF('Data Source'!AG673&gt;=3.5,"A-",IF('Data Source'!AG673&gt;=3,"B",IF('Data Source'!AG673&gt;=2,"C",IF('Data Source'!AG673&gt;=1,"D","F")))))),"")</f>
        <v/>
      </c>
      <c r="P673" s="5">
        <f>IF(AND('Data Source'!B673&lt;&gt;"",'Data Source'!S673="A+"),'Data Source'!R673,"")</f>
        <v/>
      </c>
      <c r="Q673" s="3">
        <f>IF(AND('Data Source'!B673&lt;&gt;"",'Data Source'!S673="A+"),'Data Source'!S673,"")</f>
        <v/>
      </c>
    </row>
    <row r="674">
      <c r="A674" s="3">
        <f>IF(AND('Data Source'!B674&lt;&gt;"",'Data Source'!S674="A+"),COUNTIF('Data Source'!$S$3:S674,"A+"),"")</f>
        <v/>
      </c>
      <c r="B674">
        <f>IF(AND('Data Source'!B674&lt;&gt;"",'Data Source'!S674="A+"),'Data Source'!B674,"")</f>
        <v/>
      </c>
      <c r="C674" s="3">
        <f>IF(AND('Data Source'!B674&lt;&gt;"",'Data Source'!S674="A+"),IF('Data Source'!U674&gt;=5,"A+",IF('Data Source'!U674&gt;=4,"A",IF('Data Source'!U674&gt;=3.5,"A-",IF('Data Source'!U674&gt;=3,"B",IF('Data Source'!U674&gt;=2,"C",IF('Data Source'!U674&gt;=1,"D","F")))))),"")</f>
        <v/>
      </c>
      <c r="D674" s="3">
        <f>IF(AND('Data Source'!B674&lt;&gt;"",'Data Source'!S674="A+"),IF('Data Source'!V674&gt;=5,"A+",IF('Data Source'!V674&gt;=4,"A",IF('Data Source'!V674&gt;=3.5,"A-",IF('Data Source'!V674&gt;=3,"B",IF('Data Source'!V674&gt;=2,"C",IF('Data Source'!V674&gt;=1,"D","F")))))),"")</f>
        <v/>
      </c>
      <c r="E674" s="3">
        <f>IF(AND('Data Source'!B674&lt;&gt;"",'Data Source'!S674="A+"),IF('Data Source'!W674&gt;=5,"A+",IF('Data Source'!W674&gt;=4,"A",IF('Data Source'!W674&gt;=3.5,"A-",IF('Data Source'!W674&gt;=3,"B",IF('Data Source'!W674&gt;=2,"C",IF('Data Source'!W674&gt;=1,"D","F")))))),"")</f>
        <v/>
      </c>
      <c r="F674" s="3">
        <f>IF(AND('Data Source'!B674&lt;&gt;"",'Data Source'!S674="A+"),IF('Data Source'!X674&gt;=5,"A+",IF('Data Source'!X674&gt;=4,"A",IF('Data Source'!X674&gt;=3.5,"A-",IF('Data Source'!X674&gt;=3,"B",IF('Data Source'!X674&gt;=2,"C",IF('Data Source'!X674&gt;=1,"D","F")))))),"")</f>
        <v/>
      </c>
      <c r="G674" s="3">
        <f>IF(AND('Data Source'!B674&lt;&gt;"",'Data Source'!S674="A+"),IF('Data Source'!Y674&gt;=5,"A+",IF('Data Source'!Y674&gt;=4,"A",IF('Data Source'!Y674&gt;=3.5,"A-",IF('Data Source'!Y674&gt;=3,"B",IF('Data Source'!Y674&gt;=2,"C",IF('Data Source'!Y674&gt;=1,"D","F")))))),"")</f>
        <v/>
      </c>
      <c r="H674" s="3">
        <f>IF(AND('Data Source'!B674&lt;&gt;"",'Data Source'!S674="A+"),IF('Data Source'!Z674&gt;=5,"A+",IF('Data Source'!Z674&gt;=4,"A",IF('Data Source'!Z674&gt;=3.5,"A-",IF('Data Source'!Z674&gt;=3,"B",IF('Data Source'!Z674&gt;=2,"C",IF('Data Source'!Z674&gt;=1,"D","F")))))),"")</f>
        <v/>
      </c>
      <c r="I674" s="3">
        <f>IF(AND('Data Source'!B674&lt;&gt;"",'Data Source'!S674="A+"),IF('Data Source'!AA674&gt;=5,"A+",IF('Data Source'!AA674&gt;=4,"A",IF('Data Source'!AA674&gt;=3.5,"A-",IF('Data Source'!AA674&gt;=3,"B",IF('Data Source'!AA674&gt;=2,"C",IF('Data Source'!AA674&gt;=1,"D","F")))))),"")</f>
        <v/>
      </c>
      <c r="J674" s="3">
        <f>IF(AND('Data Source'!B674&lt;&gt;"",'Data Source'!S674="A+"),IF('Data Source'!AB674&gt;=5,"A+",IF('Data Source'!AB674&gt;=4,"A",IF('Data Source'!AB674&gt;=3.5,"A-",IF('Data Source'!AB674&gt;=3,"B",IF('Data Source'!AB674&gt;=2,"C",IF('Data Source'!AB674&gt;=1,"D","F")))))),"")</f>
        <v/>
      </c>
      <c r="K674" s="3">
        <f>IF(AND('Data Source'!B674&lt;&gt;"",'Data Source'!S674="A+"),IF('Data Source'!AC674&gt;=5,"A+",IF('Data Source'!AC674&gt;=4,"A",IF('Data Source'!AC674&gt;=3.5,"A-",IF('Data Source'!AC674&gt;=3,"B",IF('Data Source'!AC674&gt;=2,"C",IF('Data Source'!AC674&gt;=1,"D","F")))))),"")</f>
        <v/>
      </c>
      <c r="L674" s="3">
        <f>IF(AND('Data Source'!B674&lt;&gt;"",'Data Source'!S674="A+"),IF('Data Source'!AD674&gt;=5,"A+",IF('Data Source'!AD674&gt;=4,"A",IF('Data Source'!AD674&gt;=3.5,"A-",IF('Data Source'!AD674&gt;=3,"B",IF('Data Source'!AD674&gt;=2,"C",IF('Data Source'!AD674&gt;=1,"D","F")))))),"")</f>
        <v/>
      </c>
      <c r="M674" s="3">
        <f>IF(AND('Data Source'!B674&lt;&gt;"",'Data Source'!S674="A+"),IF('Data Source'!AE674&gt;=5,"A+",IF('Data Source'!AE674&gt;=4,"A",IF('Data Source'!AE674&gt;=3.5,"A-",IF('Data Source'!AE674&gt;=3,"B",IF('Data Source'!AE674&gt;=2,"C",IF('Data Source'!AE674&gt;=1,"D","F")))))),"")</f>
        <v/>
      </c>
      <c r="N674" s="3">
        <f>IF(AND('Data Source'!B674&lt;&gt;"",'Data Source'!S674="A+"),IF('Data Source'!AF674&gt;=5,"A+",IF('Data Source'!AF674&gt;=4,"A",IF('Data Source'!AF674&gt;=3.5,"A-",IF('Data Source'!AF674&gt;=3,"B",IF('Data Source'!AF674&gt;=2,"C",IF('Data Source'!AF674&gt;=1,"D","F")))))),"")</f>
        <v/>
      </c>
      <c r="O674" s="3">
        <f>IF(AND('Data Source'!B674&lt;&gt;"",'Data Source'!S674="A+"),IF('Data Source'!AG674&gt;=5,"A+",IF('Data Source'!AG674&gt;=4,"A",IF('Data Source'!AG674&gt;=3.5,"A-",IF('Data Source'!AG674&gt;=3,"B",IF('Data Source'!AG674&gt;=2,"C",IF('Data Source'!AG674&gt;=1,"D","F")))))),"")</f>
        <v/>
      </c>
      <c r="P674" s="5">
        <f>IF(AND('Data Source'!B674&lt;&gt;"",'Data Source'!S674="A+"),'Data Source'!R674,"")</f>
        <v/>
      </c>
      <c r="Q674" s="3">
        <f>IF(AND('Data Source'!B674&lt;&gt;"",'Data Source'!S674="A+"),'Data Source'!S674,"")</f>
        <v/>
      </c>
    </row>
    <row r="675">
      <c r="A675" s="3">
        <f>IF(AND('Data Source'!B675&lt;&gt;"",'Data Source'!S675="A+"),COUNTIF('Data Source'!$S$3:S675,"A+"),"")</f>
        <v/>
      </c>
      <c r="B675">
        <f>IF(AND('Data Source'!B675&lt;&gt;"",'Data Source'!S675="A+"),'Data Source'!B675,"")</f>
        <v/>
      </c>
      <c r="C675" s="3">
        <f>IF(AND('Data Source'!B675&lt;&gt;"",'Data Source'!S675="A+"),IF('Data Source'!U675&gt;=5,"A+",IF('Data Source'!U675&gt;=4,"A",IF('Data Source'!U675&gt;=3.5,"A-",IF('Data Source'!U675&gt;=3,"B",IF('Data Source'!U675&gt;=2,"C",IF('Data Source'!U675&gt;=1,"D","F")))))),"")</f>
        <v/>
      </c>
      <c r="D675" s="3">
        <f>IF(AND('Data Source'!B675&lt;&gt;"",'Data Source'!S675="A+"),IF('Data Source'!V675&gt;=5,"A+",IF('Data Source'!V675&gt;=4,"A",IF('Data Source'!V675&gt;=3.5,"A-",IF('Data Source'!V675&gt;=3,"B",IF('Data Source'!V675&gt;=2,"C",IF('Data Source'!V675&gt;=1,"D","F")))))),"")</f>
        <v/>
      </c>
      <c r="E675" s="3">
        <f>IF(AND('Data Source'!B675&lt;&gt;"",'Data Source'!S675="A+"),IF('Data Source'!W675&gt;=5,"A+",IF('Data Source'!W675&gt;=4,"A",IF('Data Source'!W675&gt;=3.5,"A-",IF('Data Source'!W675&gt;=3,"B",IF('Data Source'!W675&gt;=2,"C",IF('Data Source'!W675&gt;=1,"D","F")))))),"")</f>
        <v/>
      </c>
      <c r="F675" s="3">
        <f>IF(AND('Data Source'!B675&lt;&gt;"",'Data Source'!S675="A+"),IF('Data Source'!X675&gt;=5,"A+",IF('Data Source'!X675&gt;=4,"A",IF('Data Source'!X675&gt;=3.5,"A-",IF('Data Source'!X675&gt;=3,"B",IF('Data Source'!X675&gt;=2,"C",IF('Data Source'!X675&gt;=1,"D","F")))))),"")</f>
        <v/>
      </c>
      <c r="G675" s="3">
        <f>IF(AND('Data Source'!B675&lt;&gt;"",'Data Source'!S675="A+"),IF('Data Source'!Y675&gt;=5,"A+",IF('Data Source'!Y675&gt;=4,"A",IF('Data Source'!Y675&gt;=3.5,"A-",IF('Data Source'!Y675&gt;=3,"B",IF('Data Source'!Y675&gt;=2,"C",IF('Data Source'!Y675&gt;=1,"D","F")))))),"")</f>
        <v/>
      </c>
      <c r="H675" s="3">
        <f>IF(AND('Data Source'!B675&lt;&gt;"",'Data Source'!S675="A+"),IF('Data Source'!Z675&gt;=5,"A+",IF('Data Source'!Z675&gt;=4,"A",IF('Data Source'!Z675&gt;=3.5,"A-",IF('Data Source'!Z675&gt;=3,"B",IF('Data Source'!Z675&gt;=2,"C",IF('Data Source'!Z675&gt;=1,"D","F")))))),"")</f>
        <v/>
      </c>
      <c r="I675" s="3">
        <f>IF(AND('Data Source'!B675&lt;&gt;"",'Data Source'!S675="A+"),IF('Data Source'!AA675&gt;=5,"A+",IF('Data Source'!AA675&gt;=4,"A",IF('Data Source'!AA675&gt;=3.5,"A-",IF('Data Source'!AA675&gt;=3,"B",IF('Data Source'!AA675&gt;=2,"C",IF('Data Source'!AA675&gt;=1,"D","F")))))),"")</f>
        <v/>
      </c>
      <c r="J675" s="3">
        <f>IF(AND('Data Source'!B675&lt;&gt;"",'Data Source'!S675="A+"),IF('Data Source'!AB675&gt;=5,"A+",IF('Data Source'!AB675&gt;=4,"A",IF('Data Source'!AB675&gt;=3.5,"A-",IF('Data Source'!AB675&gt;=3,"B",IF('Data Source'!AB675&gt;=2,"C",IF('Data Source'!AB675&gt;=1,"D","F")))))),"")</f>
        <v/>
      </c>
      <c r="K675" s="3">
        <f>IF(AND('Data Source'!B675&lt;&gt;"",'Data Source'!S675="A+"),IF('Data Source'!AC675&gt;=5,"A+",IF('Data Source'!AC675&gt;=4,"A",IF('Data Source'!AC675&gt;=3.5,"A-",IF('Data Source'!AC675&gt;=3,"B",IF('Data Source'!AC675&gt;=2,"C",IF('Data Source'!AC675&gt;=1,"D","F")))))),"")</f>
        <v/>
      </c>
      <c r="L675" s="3">
        <f>IF(AND('Data Source'!B675&lt;&gt;"",'Data Source'!S675="A+"),IF('Data Source'!AD675&gt;=5,"A+",IF('Data Source'!AD675&gt;=4,"A",IF('Data Source'!AD675&gt;=3.5,"A-",IF('Data Source'!AD675&gt;=3,"B",IF('Data Source'!AD675&gt;=2,"C",IF('Data Source'!AD675&gt;=1,"D","F")))))),"")</f>
        <v/>
      </c>
      <c r="M675" s="3">
        <f>IF(AND('Data Source'!B675&lt;&gt;"",'Data Source'!S675="A+"),IF('Data Source'!AE675&gt;=5,"A+",IF('Data Source'!AE675&gt;=4,"A",IF('Data Source'!AE675&gt;=3.5,"A-",IF('Data Source'!AE675&gt;=3,"B",IF('Data Source'!AE675&gt;=2,"C",IF('Data Source'!AE675&gt;=1,"D","F")))))),"")</f>
        <v/>
      </c>
      <c r="N675" s="3">
        <f>IF(AND('Data Source'!B675&lt;&gt;"",'Data Source'!S675="A+"),IF('Data Source'!AF675&gt;=5,"A+",IF('Data Source'!AF675&gt;=4,"A",IF('Data Source'!AF675&gt;=3.5,"A-",IF('Data Source'!AF675&gt;=3,"B",IF('Data Source'!AF675&gt;=2,"C",IF('Data Source'!AF675&gt;=1,"D","F")))))),"")</f>
        <v/>
      </c>
      <c r="O675" s="3">
        <f>IF(AND('Data Source'!B675&lt;&gt;"",'Data Source'!S675="A+"),IF('Data Source'!AG675&gt;=5,"A+",IF('Data Source'!AG675&gt;=4,"A",IF('Data Source'!AG675&gt;=3.5,"A-",IF('Data Source'!AG675&gt;=3,"B",IF('Data Source'!AG675&gt;=2,"C",IF('Data Source'!AG675&gt;=1,"D","F")))))),"")</f>
        <v/>
      </c>
      <c r="P675" s="5">
        <f>IF(AND('Data Source'!B675&lt;&gt;"",'Data Source'!S675="A+"),'Data Source'!R675,"")</f>
        <v/>
      </c>
      <c r="Q675" s="3">
        <f>IF(AND('Data Source'!B675&lt;&gt;"",'Data Source'!S675="A+"),'Data Source'!S675,"")</f>
        <v/>
      </c>
    </row>
    <row r="676">
      <c r="A676" s="3">
        <f>IF(AND('Data Source'!B676&lt;&gt;"",'Data Source'!S676="A+"),COUNTIF('Data Source'!$S$3:S676,"A+"),"")</f>
        <v/>
      </c>
      <c r="B676">
        <f>IF(AND('Data Source'!B676&lt;&gt;"",'Data Source'!S676="A+"),'Data Source'!B676,"")</f>
        <v/>
      </c>
      <c r="C676" s="3">
        <f>IF(AND('Data Source'!B676&lt;&gt;"",'Data Source'!S676="A+"),IF('Data Source'!U676&gt;=5,"A+",IF('Data Source'!U676&gt;=4,"A",IF('Data Source'!U676&gt;=3.5,"A-",IF('Data Source'!U676&gt;=3,"B",IF('Data Source'!U676&gt;=2,"C",IF('Data Source'!U676&gt;=1,"D","F")))))),"")</f>
        <v/>
      </c>
      <c r="D676" s="3">
        <f>IF(AND('Data Source'!B676&lt;&gt;"",'Data Source'!S676="A+"),IF('Data Source'!V676&gt;=5,"A+",IF('Data Source'!V676&gt;=4,"A",IF('Data Source'!V676&gt;=3.5,"A-",IF('Data Source'!V676&gt;=3,"B",IF('Data Source'!V676&gt;=2,"C",IF('Data Source'!V676&gt;=1,"D","F")))))),"")</f>
        <v/>
      </c>
      <c r="E676" s="3">
        <f>IF(AND('Data Source'!B676&lt;&gt;"",'Data Source'!S676="A+"),IF('Data Source'!W676&gt;=5,"A+",IF('Data Source'!W676&gt;=4,"A",IF('Data Source'!W676&gt;=3.5,"A-",IF('Data Source'!W676&gt;=3,"B",IF('Data Source'!W676&gt;=2,"C",IF('Data Source'!W676&gt;=1,"D","F")))))),"")</f>
        <v/>
      </c>
      <c r="F676" s="3">
        <f>IF(AND('Data Source'!B676&lt;&gt;"",'Data Source'!S676="A+"),IF('Data Source'!X676&gt;=5,"A+",IF('Data Source'!X676&gt;=4,"A",IF('Data Source'!X676&gt;=3.5,"A-",IF('Data Source'!X676&gt;=3,"B",IF('Data Source'!X676&gt;=2,"C",IF('Data Source'!X676&gt;=1,"D","F")))))),"")</f>
        <v/>
      </c>
      <c r="G676" s="3">
        <f>IF(AND('Data Source'!B676&lt;&gt;"",'Data Source'!S676="A+"),IF('Data Source'!Y676&gt;=5,"A+",IF('Data Source'!Y676&gt;=4,"A",IF('Data Source'!Y676&gt;=3.5,"A-",IF('Data Source'!Y676&gt;=3,"B",IF('Data Source'!Y676&gt;=2,"C",IF('Data Source'!Y676&gt;=1,"D","F")))))),"")</f>
        <v/>
      </c>
      <c r="H676" s="3">
        <f>IF(AND('Data Source'!B676&lt;&gt;"",'Data Source'!S676="A+"),IF('Data Source'!Z676&gt;=5,"A+",IF('Data Source'!Z676&gt;=4,"A",IF('Data Source'!Z676&gt;=3.5,"A-",IF('Data Source'!Z676&gt;=3,"B",IF('Data Source'!Z676&gt;=2,"C",IF('Data Source'!Z676&gt;=1,"D","F")))))),"")</f>
        <v/>
      </c>
      <c r="I676" s="3">
        <f>IF(AND('Data Source'!B676&lt;&gt;"",'Data Source'!S676="A+"),IF('Data Source'!AA676&gt;=5,"A+",IF('Data Source'!AA676&gt;=4,"A",IF('Data Source'!AA676&gt;=3.5,"A-",IF('Data Source'!AA676&gt;=3,"B",IF('Data Source'!AA676&gt;=2,"C",IF('Data Source'!AA676&gt;=1,"D","F")))))),"")</f>
        <v/>
      </c>
      <c r="J676" s="3">
        <f>IF(AND('Data Source'!B676&lt;&gt;"",'Data Source'!S676="A+"),IF('Data Source'!AB676&gt;=5,"A+",IF('Data Source'!AB676&gt;=4,"A",IF('Data Source'!AB676&gt;=3.5,"A-",IF('Data Source'!AB676&gt;=3,"B",IF('Data Source'!AB676&gt;=2,"C",IF('Data Source'!AB676&gt;=1,"D","F")))))),"")</f>
        <v/>
      </c>
      <c r="K676" s="3">
        <f>IF(AND('Data Source'!B676&lt;&gt;"",'Data Source'!S676="A+"),IF('Data Source'!AC676&gt;=5,"A+",IF('Data Source'!AC676&gt;=4,"A",IF('Data Source'!AC676&gt;=3.5,"A-",IF('Data Source'!AC676&gt;=3,"B",IF('Data Source'!AC676&gt;=2,"C",IF('Data Source'!AC676&gt;=1,"D","F")))))),"")</f>
        <v/>
      </c>
      <c r="L676" s="3">
        <f>IF(AND('Data Source'!B676&lt;&gt;"",'Data Source'!S676="A+"),IF('Data Source'!AD676&gt;=5,"A+",IF('Data Source'!AD676&gt;=4,"A",IF('Data Source'!AD676&gt;=3.5,"A-",IF('Data Source'!AD676&gt;=3,"B",IF('Data Source'!AD676&gt;=2,"C",IF('Data Source'!AD676&gt;=1,"D","F")))))),"")</f>
        <v/>
      </c>
      <c r="M676" s="3">
        <f>IF(AND('Data Source'!B676&lt;&gt;"",'Data Source'!S676="A+"),IF('Data Source'!AE676&gt;=5,"A+",IF('Data Source'!AE676&gt;=4,"A",IF('Data Source'!AE676&gt;=3.5,"A-",IF('Data Source'!AE676&gt;=3,"B",IF('Data Source'!AE676&gt;=2,"C",IF('Data Source'!AE676&gt;=1,"D","F")))))),"")</f>
        <v/>
      </c>
      <c r="N676" s="3">
        <f>IF(AND('Data Source'!B676&lt;&gt;"",'Data Source'!S676="A+"),IF('Data Source'!AF676&gt;=5,"A+",IF('Data Source'!AF676&gt;=4,"A",IF('Data Source'!AF676&gt;=3.5,"A-",IF('Data Source'!AF676&gt;=3,"B",IF('Data Source'!AF676&gt;=2,"C",IF('Data Source'!AF676&gt;=1,"D","F")))))),"")</f>
        <v/>
      </c>
      <c r="O676" s="3">
        <f>IF(AND('Data Source'!B676&lt;&gt;"",'Data Source'!S676="A+"),IF('Data Source'!AG676&gt;=5,"A+",IF('Data Source'!AG676&gt;=4,"A",IF('Data Source'!AG676&gt;=3.5,"A-",IF('Data Source'!AG676&gt;=3,"B",IF('Data Source'!AG676&gt;=2,"C",IF('Data Source'!AG676&gt;=1,"D","F")))))),"")</f>
        <v/>
      </c>
      <c r="P676" s="5">
        <f>IF(AND('Data Source'!B676&lt;&gt;"",'Data Source'!S676="A+"),'Data Source'!R676,"")</f>
        <v/>
      </c>
      <c r="Q676" s="3">
        <f>IF(AND('Data Source'!B676&lt;&gt;"",'Data Source'!S676="A+"),'Data Source'!S676,"")</f>
        <v/>
      </c>
    </row>
    <row r="677">
      <c r="A677" s="3">
        <f>IF(AND('Data Source'!B677&lt;&gt;"",'Data Source'!S677="A+"),COUNTIF('Data Source'!$S$3:S677,"A+"),"")</f>
        <v/>
      </c>
      <c r="B677">
        <f>IF(AND('Data Source'!B677&lt;&gt;"",'Data Source'!S677="A+"),'Data Source'!B677,"")</f>
        <v/>
      </c>
      <c r="C677" s="3">
        <f>IF(AND('Data Source'!B677&lt;&gt;"",'Data Source'!S677="A+"),IF('Data Source'!U677&gt;=5,"A+",IF('Data Source'!U677&gt;=4,"A",IF('Data Source'!U677&gt;=3.5,"A-",IF('Data Source'!U677&gt;=3,"B",IF('Data Source'!U677&gt;=2,"C",IF('Data Source'!U677&gt;=1,"D","F")))))),"")</f>
        <v/>
      </c>
      <c r="D677" s="3">
        <f>IF(AND('Data Source'!B677&lt;&gt;"",'Data Source'!S677="A+"),IF('Data Source'!V677&gt;=5,"A+",IF('Data Source'!V677&gt;=4,"A",IF('Data Source'!V677&gt;=3.5,"A-",IF('Data Source'!V677&gt;=3,"B",IF('Data Source'!V677&gt;=2,"C",IF('Data Source'!V677&gt;=1,"D","F")))))),"")</f>
        <v/>
      </c>
      <c r="E677" s="3">
        <f>IF(AND('Data Source'!B677&lt;&gt;"",'Data Source'!S677="A+"),IF('Data Source'!W677&gt;=5,"A+",IF('Data Source'!W677&gt;=4,"A",IF('Data Source'!W677&gt;=3.5,"A-",IF('Data Source'!W677&gt;=3,"B",IF('Data Source'!W677&gt;=2,"C",IF('Data Source'!W677&gt;=1,"D","F")))))),"")</f>
        <v/>
      </c>
      <c r="F677" s="3">
        <f>IF(AND('Data Source'!B677&lt;&gt;"",'Data Source'!S677="A+"),IF('Data Source'!X677&gt;=5,"A+",IF('Data Source'!X677&gt;=4,"A",IF('Data Source'!X677&gt;=3.5,"A-",IF('Data Source'!X677&gt;=3,"B",IF('Data Source'!X677&gt;=2,"C",IF('Data Source'!X677&gt;=1,"D","F")))))),"")</f>
        <v/>
      </c>
      <c r="G677" s="3">
        <f>IF(AND('Data Source'!B677&lt;&gt;"",'Data Source'!S677="A+"),IF('Data Source'!Y677&gt;=5,"A+",IF('Data Source'!Y677&gt;=4,"A",IF('Data Source'!Y677&gt;=3.5,"A-",IF('Data Source'!Y677&gt;=3,"B",IF('Data Source'!Y677&gt;=2,"C",IF('Data Source'!Y677&gt;=1,"D","F")))))),"")</f>
        <v/>
      </c>
      <c r="H677" s="3">
        <f>IF(AND('Data Source'!B677&lt;&gt;"",'Data Source'!S677="A+"),IF('Data Source'!Z677&gt;=5,"A+",IF('Data Source'!Z677&gt;=4,"A",IF('Data Source'!Z677&gt;=3.5,"A-",IF('Data Source'!Z677&gt;=3,"B",IF('Data Source'!Z677&gt;=2,"C",IF('Data Source'!Z677&gt;=1,"D","F")))))),"")</f>
        <v/>
      </c>
      <c r="I677" s="3">
        <f>IF(AND('Data Source'!B677&lt;&gt;"",'Data Source'!S677="A+"),IF('Data Source'!AA677&gt;=5,"A+",IF('Data Source'!AA677&gt;=4,"A",IF('Data Source'!AA677&gt;=3.5,"A-",IF('Data Source'!AA677&gt;=3,"B",IF('Data Source'!AA677&gt;=2,"C",IF('Data Source'!AA677&gt;=1,"D","F")))))),"")</f>
        <v/>
      </c>
      <c r="J677" s="3">
        <f>IF(AND('Data Source'!B677&lt;&gt;"",'Data Source'!S677="A+"),IF('Data Source'!AB677&gt;=5,"A+",IF('Data Source'!AB677&gt;=4,"A",IF('Data Source'!AB677&gt;=3.5,"A-",IF('Data Source'!AB677&gt;=3,"B",IF('Data Source'!AB677&gt;=2,"C",IF('Data Source'!AB677&gt;=1,"D","F")))))),"")</f>
        <v/>
      </c>
      <c r="K677" s="3">
        <f>IF(AND('Data Source'!B677&lt;&gt;"",'Data Source'!S677="A+"),IF('Data Source'!AC677&gt;=5,"A+",IF('Data Source'!AC677&gt;=4,"A",IF('Data Source'!AC677&gt;=3.5,"A-",IF('Data Source'!AC677&gt;=3,"B",IF('Data Source'!AC677&gt;=2,"C",IF('Data Source'!AC677&gt;=1,"D","F")))))),"")</f>
        <v/>
      </c>
      <c r="L677" s="3">
        <f>IF(AND('Data Source'!B677&lt;&gt;"",'Data Source'!S677="A+"),IF('Data Source'!AD677&gt;=5,"A+",IF('Data Source'!AD677&gt;=4,"A",IF('Data Source'!AD677&gt;=3.5,"A-",IF('Data Source'!AD677&gt;=3,"B",IF('Data Source'!AD677&gt;=2,"C",IF('Data Source'!AD677&gt;=1,"D","F")))))),"")</f>
        <v/>
      </c>
      <c r="M677" s="3">
        <f>IF(AND('Data Source'!B677&lt;&gt;"",'Data Source'!S677="A+"),IF('Data Source'!AE677&gt;=5,"A+",IF('Data Source'!AE677&gt;=4,"A",IF('Data Source'!AE677&gt;=3.5,"A-",IF('Data Source'!AE677&gt;=3,"B",IF('Data Source'!AE677&gt;=2,"C",IF('Data Source'!AE677&gt;=1,"D","F")))))),"")</f>
        <v/>
      </c>
      <c r="N677" s="3">
        <f>IF(AND('Data Source'!B677&lt;&gt;"",'Data Source'!S677="A+"),IF('Data Source'!AF677&gt;=5,"A+",IF('Data Source'!AF677&gt;=4,"A",IF('Data Source'!AF677&gt;=3.5,"A-",IF('Data Source'!AF677&gt;=3,"B",IF('Data Source'!AF677&gt;=2,"C",IF('Data Source'!AF677&gt;=1,"D","F")))))),"")</f>
        <v/>
      </c>
      <c r="O677" s="3">
        <f>IF(AND('Data Source'!B677&lt;&gt;"",'Data Source'!S677="A+"),IF('Data Source'!AG677&gt;=5,"A+",IF('Data Source'!AG677&gt;=4,"A",IF('Data Source'!AG677&gt;=3.5,"A-",IF('Data Source'!AG677&gt;=3,"B",IF('Data Source'!AG677&gt;=2,"C",IF('Data Source'!AG677&gt;=1,"D","F")))))),"")</f>
        <v/>
      </c>
      <c r="P677" s="5">
        <f>IF(AND('Data Source'!B677&lt;&gt;"",'Data Source'!S677="A+"),'Data Source'!R677,"")</f>
        <v/>
      </c>
      <c r="Q677" s="3">
        <f>IF(AND('Data Source'!B677&lt;&gt;"",'Data Source'!S677="A+"),'Data Source'!S677,"")</f>
        <v/>
      </c>
    </row>
    <row r="678">
      <c r="A678" s="3">
        <f>IF(AND('Data Source'!B678&lt;&gt;"",'Data Source'!S678="A+"),COUNTIF('Data Source'!$S$3:S678,"A+"),"")</f>
        <v/>
      </c>
      <c r="B678">
        <f>IF(AND('Data Source'!B678&lt;&gt;"",'Data Source'!S678="A+"),'Data Source'!B678,"")</f>
        <v/>
      </c>
      <c r="C678" s="3">
        <f>IF(AND('Data Source'!B678&lt;&gt;"",'Data Source'!S678="A+"),IF('Data Source'!U678&gt;=5,"A+",IF('Data Source'!U678&gt;=4,"A",IF('Data Source'!U678&gt;=3.5,"A-",IF('Data Source'!U678&gt;=3,"B",IF('Data Source'!U678&gt;=2,"C",IF('Data Source'!U678&gt;=1,"D","F")))))),"")</f>
        <v/>
      </c>
      <c r="D678" s="3">
        <f>IF(AND('Data Source'!B678&lt;&gt;"",'Data Source'!S678="A+"),IF('Data Source'!V678&gt;=5,"A+",IF('Data Source'!V678&gt;=4,"A",IF('Data Source'!V678&gt;=3.5,"A-",IF('Data Source'!V678&gt;=3,"B",IF('Data Source'!V678&gt;=2,"C",IF('Data Source'!V678&gt;=1,"D","F")))))),"")</f>
        <v/>
      </c>
      <c r="E678" s="3">
        <f>IF(AND('Data Source'!B678&lt;&gt;"",'Data Source'!S678="A+"),IF('Data Source'!W678&gt;=5,"A+",IF('Data Source'!W678&gt;=4,"A",IF('Data Source'!W678&gt;=3.5,"A-",IF('Data Source'!W678&gt;=3,"B",IF('Data Source'!W678&gt;=2,"C",IF('Data Source'!W678&gt;=1,"D","F")))))),"")</f>
        <v/>
      </c>
      <c r="F678" s="3">
        <f>IF(AND('Data Source'!B678&lt;&gt;"",'Data Source'!S678="A+"),IF('Data Source'!X678&gt;=5,"A+",IF('Data Source'!X678&gt;=4,"A",IF('Data Source'!X678&gt;=3.5,"A-",IF('Data Source'!X678&gt;=3,"B",IF('Data Source'!X678&gt;=2,"C",IF('Data Source'!X678&gt;=1,"D","F")))))),"")</f>
        <v/>
      </c>
      <c r="G678" s="3">
        <f>IF(AND('Data Source'!B678&lt;&gt;"",'Data Source'!S678="A+"),IF('Data Source'!Y678&gt;=5,"A+",IF('Data Source'!Y678&gt;=4,"A",IF('Data Source'!Y678&gt;=3.5,"A-",IF('Data Source'!Y678&gt;=3,"B",IF('Data Source'!Y678&gt;=2,"C",IF('Data Source'!Y678&gt;=1,"D","F")))))),"")</f>
        <v/>
      </c>
      <c r="H678" s="3">
        <f>IF(AND('Data Source'!B678&lt;&gt;"",'Data Source'!S678="A+"),IF('Data Source'!Z678&gt;=5,"A+",IF('Data Source'!Z678&gt;=4,"A",IF('Data Source'!Z678&gt;=3.5,"A-",IF('Data Source'!Z678&gt;=3,"B",IF('Data Source'!Z678&gt;=2,"C",IF('Data Source'!Z678&gt;=1,"D","F")))))),"")</f>
        <v/>
      </c>
      <c r="I678" s="3">
        <f>IF(AND('Data Source'!B678&lt;&gt;"",'Data Source'!S678="A+"),IF('Data Source'!AA678&gt;=5,"A+",IF('Data Source'!AA678&gt;=4,"A",IF('Data Source'!AA678&gt;=3.5,"A-",IF('Data Source'!AA678&gt;=3,"B",IF('Data Source'!AA678&gt;=2,"C",IF('Data Source'!AA678&gt;=1,"D","F")))))),"")</f>
        <v/>
      </c>
      <c r="J678" s="3">
        <f>IF(AND('Data Source'!B678&lt;&gt;"",'Data Source'!S678="A+"),IF('Data Source'!AB678&gt;=5,"A+",IF('Data Source'!AB678&gt;=4,"A",IF('Data Source'!AB678&gt;=3.5,"A-",IF('Data Source'!AB678&gt;=3,"B",IF('Data Source'!AB678&gt;=2,"C",IF('Data Source'!AB678&gt;=1,"D","F")))))),"")</f>
        <v/>
      </c>
      <c r="K678" s="3">
        <f>IF(AND('Data Source'!B678&lt;&gt;"",'Data Source'!S678="A+"),IF('Data Source'!AC678&gt;=5,"A+",IF('Data Source'!AC678&gt;=4,"A",IF('Data Source'!AC678&gt;=3.5,"A-",IF('Data Source'!AC678&gt;=3,"B",IF('Data Source'!AC678&gt;=2,"C",IF('Data Source'!AC678&gt;=1,"D","F")))))),"")</f>
        <v/>
      </c>
      <c r="L678" s="3">
        <f>IF(AND('Data Source'!B678&lt;&gt;"",'Data Source'!S678="A+"),IF('Data Source'!AD678&gt;=5,"A+",IF('Data Source'!AD678&gt;=4,"A",IF('Data Source'!AD678&gt;=3.5,"A-",IF('Data Source'!AD678&gt;=3,"B",IF('Data Source'!AD678&gt;=2,"C",IF('Data Source'!AD678&gt;=1,"D","F")))))),"")</f>
        <v/>
      </c>
      <c r="M678" s="3">
        <f>IF(AND('Data Source'!B678&lt;&gt;"",'Data Source'!S678="A+"),IF('Data Source'!AE678&gt;=5,"A+",IF('Data Source'!AE678&gt;=4,"A",IF('Data Source'!AE678&gt;=3.5,"A-",IF('Data Source'!AE678&gt;=3,"B",IF('Data Source'!AE678&gt;=2,"C",IF('Data Source'!AE678&gt;=1,"D","F")))))),"")</f>
        <v/>
      </c>
      <c r="N678" s="3">
        <f>IF(AND('Data Source'!B678&lt;&gt;"",'Data Source'!S678="A+"),IF('Data Source'!AF678&gt;=5,"A+",IF('Data Source'!AF678&gt;=4,"A",IF('Data Source'!AF678&gt;=3.5,"A-",IF('Data Source'!AF678&gt;=3,"B",IF('Data Source'!AF678&gt;=2,"C",IF('Data Source'!AF678&gt;=1,"D","F")))))),"")</f>
        <v/>
      </c>
      <c r="O678" s="3">
        <f>IF(AND('Data Source'!B678&lt;&gt;"",'Data Source'!S678="A+"),IF('Data Source'!AG678&gt;=5,"A+",IF('Data Source'!AG678&gt;=4,"A",IF('Data Source'!AG678&gt;=3.5,"A-",IF('Data Source'!AG678&gt;=3,"B",IF('Data Source'!AG678&gt;=2,"C",IF('Data Source'!AG678&gt;=1,"D","F")))))),"")</f>
        <v/>
      </c>
      <c r="P678" s="5">
        <f>IF(AND('Data Source'!B678&lt;&gt;"",'Data Source'!S678="A+"),'Data Source'!R678,"")</f>
        <v/>
      </c>
      <c r="Q678" s="3">
        <f>IF(AND('Data Source'!B678&lt;&gt;"",'Data Source'!S678="A+"),'Data Source'!S678,"")</f>
        <v/>
      </c>
    </row>
    <row r="679">
      <c r="A679" s="3">
        <f>IF(AND('Data Source'!B679&lt;&gt;"",'Data Source'!S679="A+"),COUNTIF('Data Source'!$S$3:S679,"A+"),"")</f>
        <v/>
      </c>
      <c r="B679">
        <f>IF(AND('Data Source'!B679&lt;&gt;"",'Data Source'!S679="A+"),'Data Source'!B679,"")</f>
        <v/>
      </c>
      <c r="C679" s="3">
        <f>IF(AND('Data Source'!B679&lt;&gt;"",'Data Source'!S679="A+"),IF('Data Source'!U679&gt;=5,"A+",IF('Data Source'!U679&gt;=4,"A",IF('Data Source'!U679&gt;=3.5,"A-",IF('Data Source'!U679&gt;=3,"B",IF('Data Source'!U679&gt;=2,"C",IF('Data Source'!U679&gt;=1,"D","F")))))),"")</f>
        <v/>
      </c>
      <c r="D679" s="3">
        <f>IF(AND('Data Source'!B679&lt;&gt;"",'Data Source'!S679="A+"),IF('Data Source'!V679&gt;=5,"A+",IF('Data Source'!V679&gt;=4,"A",IF('Data Source'!V679&gt;=3.5,"A-",IF('Data Source'!V679&gt;=3,"B",IF('Data Source'!V679&gt;=2,"C",IF('Data Source'!V679&gt;=1,"D","F")))))),"")</f>
        <v/>
      </c>
      <c r="E679" s="3">
        <f>IF(AND('Data Source'!B679&lt;&gt;"",'Data Source'!S679="A+"),IF('Data Source'!W679&gt;=5,"A+",IF('Data Source'!W679&gt;=4,"A",IF('Data Source'!W679&gt;=3.5,"A-",IF('Data Source'!W679&gt;=3,"B",IF('Data Source'!W679&gt;=2,"C",IF('Data Source'!W679&gt;=1,"D","F")))))),"")</f>
        <v/>
      </c>
      <c r="F679" s="3">
        <f>IF(AND('Data Source'!B679&lt;&gt;"",'Data Source'!S679="A+"),IF('Data Source'!X679&gt;=5,"A+",IF('Data Source'!X679&gt;=4,"A",IF('Data Source'!X679&gt;=3.5,"A-",IF('Data Source'!X679&gt;=3,"B",IF('Data Source'!X679&gt;=2,"C",IF('Data Source'!X679&gt;=1,"D","F")))))),"")</f>
        <v/>
      </c>
      <c r="G679" s="3">
        <f>IF(AND('Data Source'!B679&lt;&gt;"",'Data Source'!S679="A+"),IF('Data Source'!Y679&gt;=5,"A+",IF('Data Source'!Y679&gt;=4,"A",IF('Data Source'!Y679&gt;=3.5,"A-",IF('Data Source'!Y679&gt;=3,"B",IF('Data Source'!Y679&gt;=2,"C",IF('Data Source'!Y679&gt;=1,"D","F")))))),"")</f>
        <v/>
      </c>
      <c r="H679" s="3">
        <f>IF(AND('Data Source'!B679&lt;&gt;"",'Data Source'!S679="A+"),IF('Data Source'!Z679&gt;=5,"A+",IF('Data Source'!Z679&gt;=4,"A",IF('Data Source'!Z679&gt;=3.5,"A-",IF('Data Source'!Z679&gt;=3,"B",IF('Data Source'!Z679&gt;=2,"C",IF('Data Source'!Z679&gt;=1,"D","F")))))),"")</f>
        <v/>
      </c>
      <c r="I679" s="3">
        <f>IF(AND('Data Source'!B679&lt;&gt;"",'Data Source'!S679="A+"),IF('Data Source'!AA679&gt;=5,"A+",IF('Data Source'!AA679&gt;=4,"A",IF('Data Source'!AA679&gt;=3.5,"A-",IF('Data Source'!AA679&gt;=3,"B",IF('Data Source'!AA679&gt;=2,"C",IF('Data Source'!AA679&gt;=1,"D","F")))))),"")</f>
        <v/>
      </c>
      <c r="J679" s="3">
        <f>IF(AND('Data Source'!B679&lt;&gt;"",'Data Source'!S679="A+"),IF('Data Source'!AB679&gt;=5,"A+",IF('Data Source'!AB679&gt;=4,"A",IF('Data Source'!AB679&gt;=3.5,"A-",IF('Data Source'!AB679&gt;=3,"B",IF('Data Source'!AB679&gt;=2,"C",IF('Data Source'!AB679&gt;=1,"D","F")))))),"")</f>
        <v/>
      </c>
      <c r="K679" s="3">
        <f>IF(AND('Data Source'!B679&lt;&gt;"",'Data Source'!S679="A+"),IF('Data Source'!AC679&gt;=5,"A+",IF('Data Source'!AC679&gt;=4,"A",IF('Data Source'!AC679&gt;=3.5,"A-",IF('Data Source'!AC679&gt;=3,"B",IF('Data Source'!AC679&gt;=2,"C",IF('Data Source'!AC679&gt;=1,"D","F")))))),"")</f>
        <v/>
      </c>
      <c r="L679" s="3">
        <f>IF(AND('Data Source'!B679&lt;&gt;"",'Data Source'!S679="A+"),IF('Data Source'!AD679&gt;=5,"A+",IF('Data Source'!AD679&gt;=4,"A",IF('Data Source'!AD679&gt;=3.5,"A-",IF('Data Source'!AD679&gt;=3,"B",IF('Data Source'!AD679&gt;=2,"C",IF('Data Source'!AD679&gt;=1,"D","F")))))),"")</f>
        <v/>
      </c>
      <c r="M679" s="3">
        <f>IF(AND('Data Source'!B679&lt;&gt;"",'Data Source'!S679="A+"),IF('Data Source'!AE679&gt;=5,"A+",IF('Data Source'!AE679&gt;=4,"A",IF('Data Source'!AE679&gt;=3.5,"A-",IF('Data Source'!AE679&gt;=3,"B",IF('Data Source'!AE679&gt;=2,"C",IF('Data Source'!AE679&gt;=1,"D","F")))))),"")</f>
        <v/>
      </c>
      <c r="N679" s="3">
        <f>IF(AND('Data Source'!B679&lt;&gt;"",'Data Source'!S679="A+"),IF('Data Source'!AF679&gt;=5,"A+",IF('Data Source'!AF679&gt;=4,"A",IF('Data Source'!AF679&gt;=3.5,"A-",IF('Data Source'!AF679&gt;=3,"B",IF('Data Source'!AF679&gt;=2,"C",IF('Data Source'!AF679&gt;=1,"D","F")))))),"")</f>
        <v/>
      </c>
      <c r="O679" s="3">
        <f>IF(AND('Data Source'!B679&lt;&gt;"",'Data Source'!S679="A+"),IF('Data Source'!AG679&gt;=5,"A+",IF('Data Source'!AG679&gt;=4,"A",IF('Data Source'!AG679&gt;=3.5,"A-",IF('Data Source'!AG679&gt;=3,"B",IF('Data Source'!AG679&gt;=2,"C",IF('Data Source'!AG679&gt;=1,"D","F")))))),"")</f>
        <v/>
      </c>
      <c r="P679" s="5">
        <f>IF(AND('Data Source'!B679&lt;&gt;"",'Data Source'!S679="A+"),'Data Source'!R679,"")</f>
        <v/>
      </c>
      <c r="Q679" s="3">
        <f>IF(AND('Data Source'!B679&lt;&gt;"",'Data Source'!S679="A+"),'Data Source'!S679,"")</f>
        <v/>
      </c>
    </row>
    <row r="680">
      <c r="A680" s="3">
        <f>IF(AND('Data Source'!B680&lt;&gt;"",'Data Source'!S680="A+"),COUNTIF('Data Source'!$S$3:S680,"A+"),"")</f>
        <v/>
      </c>
      <c r="B680">
        <f>IF(AND('Data Source'!B680&lt;&gt;"",'Data Source'!S680="A+"),'Data Source'!B680,"")</f>
        <v/>
      </c>
      <c r="C680" s="3">
        <f>IF(AND('Data Source'!B680&lt;&gt;"",'Data Source'!S680="A+"),IF('Data Source'!U680&gt;=5,"A+",IF('Data Source'!U680&gt;=4,"A",IF('Data Source'!U680&gt;=3.5,"A-",IF('Data Source'!U680&gt;=3,"B",IF('Data Source'!U680&gt;=2,"C",IF('Data Source'!U680&gt;=1,"D","F")))))),"")</f>
        <v/>
      </c>
      <c r="D680" s="3">
        <f>IF(AND('Data Source'!B680&lt;&gt;"",'Data Source'!S680="A+"),IF('Data Source'!V680&gt;=5,"A+",IF('Data Source'!V680&gt;=4,"A",IF('Data Source'!V680&gt;=3.5,"A-",IF('Data Source'!V680&gt;=3,"B",IF('Data Source'!V680&gt;=2,"C",IF('Data Source'!V680&gt;=1,"D","F")))))),"")</f>
        <v/>
      </c>
      <c r="E680" s="3">
        <f>IF(AND('Data Source'!B680&lt;&gt;"",'Data Source'!S680="A+"),IF('Data Source'!W680&gt;=5,"A+",IF('Data Source'!W680&gt;=4,"A",IF('Data Source'!W680&gt;=3.5,"A-",IF('Data Source'!W680&gt;=3,"B",IF('Data Source'!W680&gt;=2,"C",IF('Data Source'!W680&gt;=1,"D","F")))))),"")</f>
        <v/>
      </c>
      <c r="F680" s="3">
        <f>IF(AND('Data Source'!B680&lt;&gt;"",'Data Source'!S680="A+"),IF('Data Source'!X680&gt;=5,"A+",IF('Data Source'!X680&gt;=4,"A",IF('Data Source'!X680&gt;=3.5,"A-",IF('Data Source'!X680&gt;=3,"B",IF('Data Source'!X680&gt;=2,"C",IF('Data Source'!X680&gt;=1,"D","F")))))),"")</f>
        <v/>
      </c>
      <c r="G680" s="3">
        <f>IF(AND('Data Source'!B680&lt;&gt;"",'Data Source'!S680="A+"),IF('Data Source'!Y680&gt;=5,"A+",IF('Data Source'!Y680&gt;=4,"A",IF('Data Source'!Y680&gt;=3.5,"A-",IF('Data Source'!Y680&gt;=3,"B",IF('Data Source'!Y680&gt;=2,"C",IF('Data Source'!Y680&gt;=1,"D","F")))))),"")</f>
        <v/>
      </c>
      <c r="H680" s="3">
        <f>IF(AND('Data Source'!B680&lt;&gt;"",'Data Source'!S680="A+"),IF('Data Source'!Z680&gt;=5,"A+",IF('Data Source'!Z680&gt;=4,"A",IF('Data Source'!Z680&gt;=3.5,"A-",IF('Data Source'!Z680&gt;=3,"B",IF('Data Source'!Z680&gt;=2,"C",IF('Data Source'!Z680&gt;=1,"D","F")))))),"")</f>
        <v/>
      </c>
      <c r="I680" s="3">
        <f>IF(AND('Data Source'!B680&lt;&gt;"",'Data Source'!S680="A+"),IF('Data Source'!AA680&gt;=5,"A+",IF('Data Source'!AA680&gt;=4,"A",IF('Data Source'!AA680&gt;=3.5,"A-",IF('Data Source'!AA680&gt;=3,"B",IF('Data Source'!AA680&gt;=2,"C",IF('Data Source'!AA680&gt;=1,"D","F")))))),"")</f>
        <v/>
      </c>
      <c r="J680" s="3">
        <f>IF(AND('Data Source'!B680&lt;&gt;"",'Data Source'!S680="A+"),IF('Data Source'!AB680&gt;=5,"A+",IF('Data Source'!AB680&gt;=4,"A",IF('Data Source'!AB680&gt;=3.5,"A-",IF('Data Source'!AB680&gt;=3,"B",IF('Data Source'!AB680&gt;=2,"C",IF('Data Source'!AB680&gt;=1,"D","F")))))),"")</f>
        <v/>
      </c>
      <c r="K680" s="3">
        <f>IF(AND('Data Source'!B680&lt;&gt;"",'Data Source'!S680="A+"),IF('Data Source'!AC680&gt;=5,"A+",IF('Data Source'!AC680&gt;=4,"A",IF('Data Source'!AC680&gt;=3.5,"A-",IF('Data Source'!AC680&gt;=3,"B",IF('Data Source'!AC680&gt;=2,"C",IF('Data Source'!AC680&gt;=1,"D","F")))))),"")</f>
        <v/>
      </c>
      <c r="L680" s="3">
        <f>IF(AND('Data Source'!B680&lt;&gt;"",'Data Source'!S680="A+"),IF('Data Source'!AD680&gt;=5,"A+",IF('Data Source'!AD680&gt;=4,"A",IF('Data Source'!AD680&gt;=3.5,"A-",IF('Data Source'!AD680&gt;=3,"B",IF('Data Source'!AD680&gt;=2,"C",IF('Data Source'!AD680&gt;=1,"D","F")))))),"")</f>
        <v/>
      </c>
      <c r="M680" s="3">
        <f>IF(AND('Data Source'!B680&lt;&gt;"",'Data Source'!S680="A+"),IF('Data Source'!AE680&gt;=5,"A+",IF('Data Source'!AE680&gt;=4,"A",IF('Data Source'!AE680&gt;=3.5,"A-",IF('Data Source'!AE680&gt;=3,"B",IF('Data Source'!AE680&gt;=2,"C",IF('Data Source'!AE680&gt;=1,"D","F")))))),"")</f>
        <v/>
      </c>
      <c r="N680" s="3">
        <f>IF(AND('Data Source'!B680&lt;&gt;"",'Data Source'!S680="A+"),IF('Data Source'!AF680&gt;=5,"A+",IF('Data Source'!AF680&gt;=4,"A",IF('Data Source'!AF680&gt;=3.5,"A-",IF('Data Source'!AF680&gt;=3,"B",IF('Data Source'!AF680&gt;=2,"C",IF('Data Source'!AF680&gt;=1,"D","F")))))),"")</f>
        <v/>
      </c>
      <c r="O680" s="3">
        <f>IF(AND('Data Source'!B680&lt;&gt;"",'Data Source'!S680="A+"),IF('Data Source'!AG680&gt;=5,"A+",IF('Data Source'!AG680&gt;=4,"A",IF('Data Source'!AG680&gt;=3.5,"A-",IF('Data Source'!AG680&gt;=3,"B",IF('Data Source'!AG680&gt;=2,"C",IF('Data Source'!AG680&gt;=1,"D","F")))))),"")</f>
        <v/>
      </c>
      <c r="P680" s="5">
        <f>IF(AND('Data Source'!B680&lt;&gt;"",'Data Source'!S680="A+"),'Data Source'!R680,"")</f>
        <v/>
      </c>
      <c r="Q680" s="3">
        <f>IF(AND('Data Source'!B680&lt;&gt;"",'Data Source'!S680="A+"),'Data Source'!S680,"")</f>
        <v/>
      </c>
    </row>
    <row r="681">
      <c r="A681" s="3">
        <f>IF(AND('Data Source'!B681&lt;&gt;"",'Data Source'!S681="A+"),COUNTIF('Data Source'!$S$3:S681,"A+"),"")</f>
        <v/>
      </c>
      <c r="B681">
        <f>IF(AND('Data Source'!B681&lt;&gt;"",'Data Source'!S681="A+"),'Data Source'!B681,"")</f>
        <v/>
      </c>
      <c r="C681" s="3">
        <f>IF(AND('Data Source'!B681&lt;&gt;"",'Data Source'!S681="A+"),IF('Data Source'!U681&gt;=5,"A+",IF('Data Source'!U681&gt;=4,"A",IF('Data Source'!U681&gt;=3.5,"A-",IF('Data Source'!U681&gt;=3,"B",IF('Data Source'!U681&gt;=2,"C",IF('Data Source'!U681&gt;=1,"D","F")))))),"")</f>
        <v/>
      </c>
      <c r="D681" s="3">
        <f>IF(AND('Data Source'!B681&lt;&gt;"",'Data Source'!S681="A+"),IF('Data Source'!V681&gt;=5,"A+",IF('Data Source'!V681&gt;=4,"A",IF('Data Source'!V681&gt;=3.5,"A-",IF('Data Source'!V681&gt;=3,"B",IF('Data Source'!V681&gt;=2,"C",IF('Data Source'!V681&gt;=1,"D","F")))))),"")</f>
        <v/>
      </c>
      <c r="E681" s="3">
        <f>IF(AND('Data Source'!B681&lt;&gt;"",'Data Source'!S681="A+"),IF('Data Source'!W681&gt;=5,"A+",IF('Data Source'!W681&gt;=4,"A",IF('Data Source'!W681&gt;=3.5,"A-",IF('Data Source'!W681&gt;=3,"B",IF('Data Source'!W681&gt;=2,"C",IF('Data Source'!W681&gt;=1,"D","F")))))),"")</f>
        <v/>
      </c>
      <c r="F681" s="3">
        <f>IF(AND('Data Source'!B681&lt;&gt;"",'Data Source'!S681="A+"),IF('Data Source'!X681&gt;=5,"A+",IF('Data Source'!X681&gt;=4,"A",IF('Data Source'!X681&gt;=3.5,"A-",IF('Data Source'!X681&gt;=3,"B",IF('Data Source'!X681&gt;=2,"C",IF('Data Source'!X681&gt;=1,"D","F")))))),"")</f>
        <v/>
      </c>
      <c r="G681" s="3">
        <f>IF(AND('Data Source'!B681&lt;&gt;"",'Data Source'!S681="A+"),IF('Data Source'!Y681&gt;=5,"A+",IF('Data Source'!Y681&gt;=4,"A",IF('Data Source'!Y681&gt;=3.5,"A-",IF('Data Source'!Y681&gt;=3,"B",IF('Data Source'!Y681&gt;=2,"C",IF('Data Source'!Y681&gt;=1,"D","F")))))),"")</f>
        <v/>
      </c>
      <c r="H681" s="3">
        <f>IF(AND('Data Source'!B681&lt;&gt;"",'Data Source'!S681="A+"),IF('Data Source'!Z681&gt;=5,"A+",IF('Data Source'!Z681&gt;=4,"A",IF('Data Source'!Z681&gt;=3.5,"A-",IF('Data Source'!Z681&gt;=3,"B",IF('Data Source'!Z681&gt;=2,"C",IF('Data Source'!Z681&gt;=1,"D","F")))))),"")</f>
        <v/>
      </c>
      <c r="I681" s="3">
        <f>IF(AND('Data Source'!B681&lt;&gt;"",'Data Source'!S681="A+"),IF('Data Source'!AA681&gt;=5,"A+",IF('Data Source'!AA681&gt;=4,"A",IF('Data Source'!AA681&gt;=3.5,"A-",IF('Data Source'!AA681&gt;=3,"B",IF('Data Source'!AA681&gt;=2,"C",IF('Data Source'!AA681&gt;=1,"D","F")))))),"")</f>
        <v/>
      </c>
      <c r="J681" s="3">
        <f>IF(AND('Data Source'!B681&lt;&gt;"",'Data Source'!S681="A+"),IF('Data Source'!AB681&gt;=5,"A+",IF('Data Source'!AB681&gt;=4,"A",IF('Data Source'!AB681&gt;=3.5,"A-",IF('Data Source'!AB681&gt;=3,"B",IF('Data Source'!AB681&gt;=2,"C",IF('Data Source'!AB681&gt;=1,"D","F")))))),"")</f>
        <v/>
      </c>
      <c r="K681" s="3">
        <f>IF(AND('Data Source'!B681&lt;&gt;"",'Data Source'!S681="A+"),IF('Data Source'!AC681&gt;=5,"A+",IF('Data Source'!AC681&gt;=4,"A",IF('Data Source'!AC681&gt;=3.5,"A-",IF('Data Source'!AC681&gt;=3,"B",IF('Data Source'!AC681&gt;=2,"C",IF('Data Source'!AC681&gt;=1,"D","F")))))),"")</f>
        <v/>
      </c>
      <c r="L681" s="3">
        <f>IF(AND('Data Source'!B681&lt;&gt;"",'Data Source'!S681="A+"),IF('Data Source'!AD681&gt;=5,"A+",IF('Data Source'!AD681&gt;=4,"A",IF('Data Source'!AD681&gt;=3.5,"A-",IF('Data Source'!AD681&gt;=3,"B",IF('Data Source'!AD681&gt;=2,"C",IF('Data Source'!AD681&gt;=1,"D","F")))))),"")</f>
        <v/>
      </c>
      <c r="M681" s="3">
        <f>IF(AND('Data Source'!B681&lt;&gt;"",'Data Source'!S681="A+"),IF('Data Source'!AE681&gt;=5,"A+",IF('Data Source'!AE681&gt;=4,"A",IF('Data Source'!AE681&gt;=3.5,"A-",IF('Data Source'!AE681&gt;=3,"B",IF('Data Source'!AE681&gt;=2,"C",IF('Data Source'!AE681&gt;=1,"D","F")))))),"")</f>
        <v/>
      </c>
      <c r="N681" s="3">
        <f>IF(AND('Data Source'!B681&lt;&gt;"",'Data Source'!S681="A+"),IF('Data Source'!AF681&gt;=5,"A+",IF('Data Source'!AF681&gt;=4,"A",IF('Data Source'!AF681&gt;=3.5,"A-",IF('Data Source'!AF681&gt;=3,"B",IF('Data Source'!AF681&gt;=2,"C",IF('Data Source'!AF681&gt;=1,"D","F")))))),"")</f>
        <v/>
      </c>
      <c r="O681" s="3">
        <f>IF(AND('Data Source'!B681&lt;&gt;"",'Data Source'!S681="A+"),IF('Data Source'!AG681&gt;=5,"A+",IF('Data Source'!AG681&gt;=4,"A",IF('Data Source'!AG681&gt;=3.5,"A-",IF('Data Source'!AG681&gt;=3,"B",IF('Data Source'!AG681&gt;=2,"C",IF('Data Source'!AG681&gt;=1,"D","F")))))),"")</f>
        <v/>
      </c>
      <c r="P681" s="5">
        <f>IF(AND('Data Source'!B681&lt;&gt;"",'Data Source'!S681="A+"),'Data Source'!R681,"")</f>
        <v/>
      </c>
      <c r="Q681" s="3">
        <f>IF(AND('Data Source'!B681&lt;&gt;"",'Data Source'!S681="A+"),'Data Source'!S681,"")</f>
        <v/>
      </c>
    </row>
    <row r="682">
      <c r="A682" s="3">
        <f>IF(AND('Data Source'!B682&lt;&gt;"",'Data Source'!S682="A+"),COUNTIF('Data Source'!$S$3:S682,"A+"),"")</f>
        <v/>
      </c>
      <c r="B682">
        <f>IF(AND('Data Source'!B682&lt;&gt;"",'Data Source'!S682="A+"),'Data Source'!B682,"")</f>
        <v/>
      </c>
      <c r="C682" s="3">
        <f>IF(AND('Data Source'!B682&lt;&gt;"",'Data Source'!S682="A+"),IF('Data Source'!U682&gt;=5,"A+",IF('Data Source'!U682&gt;=4,"A",IF('Data Source'!U682&gt;=3.5,"A-",IF('Data Source'!U682&gt;=3,"B",IF('Data Source'!U682&gt;=2,"C",IF('Data Source'!U682&gt;=1,"D","F")))))),"")</f>
        <v/>
      </c>
      <c r="D682" s="3">
        <f>IF(AND('Data Source'!B682&lt;&gt;"",'Data Source'!S682="A+"),IF('Data Source'!V682&gt;=5,"A+",IF('Data Source'!V682&gt;=4,"A",IF('Data Source'!V682&gt;=3.5,"A-",IF('Data Source'!V682&gt;=3,"B",IF('Data Source'!V682&gt;=2,"C",IF('Data Source'!V682&gt;=1,"D","F")))))),"")</f>
        <v/>
      </c>
      <c r="E682" s="3">
        <f>IF(AND('Data Source'!B682&lt;&gt;"",'Data Source'!S682="A+"),IF('Data Source'!W682&gt;=5,"A+",IF('Data Source'!W682&gt;=4,"A",IF('Data Source'!W682&gt;=3.5,"A-",IF('Data Source'!W682&gt;=3,"B",IF('Data Source'!W682&gt;=2,"C",IF('Data Source'!W682&gt;=1,"D","F")))))),"")</f>
        <v/>
      </c>
      <c r="F682" s="3">
        <f>IF(AND('Data Source'!B682&lt;&gt;"",'Data Source'!S682="A+"),IF('Data Source'!X682&gt;=5,"A+",IF('Data Source'!X682&gt;=4,"A",IF('Data Source'!X682&gt;=3.5,"A-",IF('Data Source'!X682&gt;=3,"B",IF('Data Source'!X682&gt;=2,"C",IF('Data Source'!X682&gt;=1,"D","F")))))),"")</f>
        <v/>
      </c>
      <c r="G682" s="3">
        <f>IF(AND('Data Source'!B682&lt;&gt;"",'Data Source'!S682="A+"),IF('Data Source'!Y682&gt;=5,"A+",IF('Data Source'!Y682&gt;=4,"A",IF('Data Source'!Y682&gt;=3.5,"A-",IF('Data Source'!Y682&gt;=3,"B",IF('Data Source'!Y682&gt;=2,"C",IF('Data Source'!Y682&gt;=1,"D","F")))))),"")</f>
        <v/>
      </c>
      <c r="H682" s="3">
        <f>IF(AND('Data Source'!B682&lt;&gt;"",'Data Source'!S682="A+"),IF('Data Source'!Z682&gt;=5,"A+",IF('Data Source'!Z682&gt;=4,"A",IF('Data Source'!Z682&gt;=3.5,"A-",IF('Data Source'!Z682&gt;=3,"B",IF('Data Source'!Z682&gt;=2,"C",IF('Data Source'!Z682&gt;=1,"D","F")))))),"")</f>
        <v/>
      </c>
      <c r="I682" s="3">
        <f>IF(AND('Data Source'!B682&lt;&gt;"",'Data Source'!S682="A+"),IF('Data Source'!AA682&gt;=5,"A+",IF('Data Source'!AA682&gt;=4,"A",IF('Data Source'!AA682&gt;=3.5,"A-",IF('Data Source'!AA682&gt;=3,"B",IF('Data Source'!AA682&gt;=2,"C",IF('Data Source'!AA682&gt;=1,"D","F")))))),"")</f>
        <v/>
      </c>
      <c r="J682" s="3">
        <f>IF(AND('Data Source'!B682&lt;&gt;"",'Data Source'!S682="A+"),IF('Data Source'!AB682&gt;=5,"A+",IF('Data Source'!AB682&gt;=4,"A",IF('Data Source'!AB682&gt;=3.5,"A-",IF('Data Source'!AB682&gt;=3,"B",IF('Data Source'!AB682&gt;=2,"C",IF('Data Source'!AB682&gt;=1,"D","F")))))),"")</f>
        <v/>
      </c>
      <c r="K682" s="3">
        <f>IF(AND('Data Source'!B682&lt;&gt;"",'Data Source'!S682="A+"),IF('Data Source'!AC682&gt;=5,"A+",IF('Data Source'!AC682&gt;=4,"A",IF('Data Source'!AC682&gt;=3.5,"A-",IF('Data Source'!AC682&gt;=3,"B",IF('Data Source'!AC682&gt;=2,"C",IF('Data Source'!AC682&gt;=1,"D","F")))))),"")</f>
        <v/>
      </c>
      <c r="L682" s="3">
        <f>IF(AND('Data Source'!B682&lt;&gt;"",'Data Source'!S682="A+"),IF('Data Source'!AD682&gt;=5,"A+",IF('Data Source'!AD682&gt;=4,"A",IF('Data Source'!AD682&gt;=3.5,"A-",IF('Data Source'!AD682&gt;=3,"B",IF('Data Source'!AD682&gt;=2,"C",IF('Data Source'!AD682&gt;=1,"D","F")))))),"")</f>
        <v/>
      </c>
      <c r="M682" s="3">
        <f>IF(AND('Data Source'!B682&lt;&gt;"",'Data Source'!S682="A+"),IF('Data Source'!AE682&gt;=5,"A+",IF('Data Source'!AE682&gt;=4,"A",IF('Data Source'!AE682&gt;=3.5,"A-",IF('Data Source'!AE682&gt;=3,"B",IF('Data Source'!AE682&gt;=2,"C",IF('Data Source'!AE682&gt;=1,"D","F")))))),"")</f>
        <v/>
      </c>
      <c r="N682" s="3">
        <f>IF(AND('Data Source'!B682&lt;&gt;"",'Data Source'!S682="A+"),IF('Data Source'!AF682&gt;=5,"A+",IF('Data Source'!AF682&gt;=4,"A",IF('Data Source'!AF682&gt;=3.5,"A-",IF('Data Source'!AF682&gt;=3,"B",IF('Data Source'!AF682&gt;=2,"C",IF('Data Source'!AF682&gt;=1,"D","F")))))),"")</f>
        <v/>
      </c>
      <c r="O682" s="3">
        <f>IF(AND('Data Source'!B682&lt;&gt;"",'Data Source'!S682="A+"),IF('Data Source'!AG682&gt;=5,"A+",IF('Data Source'!AG682&gt;=4,"A",IF('Data Source'!AG682&gt;=3.5,"A-",IF('Data Source'!AG682&gt;=3,"B",IF('Data Source'!AG682&gt;=2,"C",IF('Data Source'!AG682&gt;=1,"D","F")))))),"")</f>
        <v/>
      </c>
      <c r="P682" s="5">
        <f>IF(AND('Data Source'!B682&lt;&gt;"",'Data Source'!S682="A+"),'Data Source'!R682,"")</f>
        <v/>
      </c>
      <c r="Q682" s="3">
        <f>IF(AND('Data Source'!B682&lt;&gt;"",'Data Source'!S682="A+"),'Data Source'!S682,"")</f>
        <v/>
      </c>
    </row>
    <row r="683">
      <c r="A683" s="3">
        <f>IF(AND('Data Source'!B683&lt;&gt;"",'Data Source'!S683="A+"),COUNTIF('Data Source'!$S$3:S683,"A+"),"")</f>
        <v/>
      </c>
      <c r="B683">
        <f>IF(AND('Data Source'!B683&lt;&gt;"",'Data Source'!S683="A+"),'Data Source'!B683,"")</f>
        <v/>
      </c>
      <c r="C683" s="3">
        <f>IF(AND('Data Source'!B683&lt;&gt;"",'Data Source'!S683="A+"),IF('Data Source'!U683&gt;=5,"A+",IF('Data Source'!U683&gt;=4,"A",IF('Data Source'!U683&gt;=3.5,"A-",IF('Data Source'!U683&gt;=3,"B",IF('Data Source'!U683&gt;=2,"C",IF('Data Source'!U683&gt;=1,"D","F")))))),"")</f>
        <v/>
      </c>
      <c r="D683" s="3">
        <f>IF(AND('Data Source'!B683&lt;&gt;"",'Data Source'!S683="A+"),IF('Data Source'!V683&gt;=5,"A+",IF('Data Source'!V683&gt;=4,"A",IF('Data Source'!V683&gt;=3.5,"A-",IF('Data Source'!V683&gt;=3,"B",IF('Data Source'!V683&gt;=2,"C",IF('Data Source'!V683&gt;=1,"D","F")))))),"")</f>
        <v/>
      </c>
      <c r="E683" s="3">
        <f>IF(AND('Data Source'!B683&lt;&gt;"",'Data Source'!S683="A+"),IF('Data Source'!W683&gt;=5,"A+",IF('Data Source'!W683&gt;=4,"A",IF('Data Source'!W683&gt;=3.5,"A-",IF('Data Source'!W683&gt;=3,"B",IF('Data Source'!W683&gt;=2,"C",IF('Data Source'!W683&gt;=1,"D","F")))))),"")</f>
        <v/>
      </c>
      <c r="F683" s="3">
        <f>IF(AND('Data Source'!B683&lt;&gt;"",'Data Source'!S683="A+"),IF('Data Source'!X683&gt;=5,"A+",IF('Data Source'!X683&gt;=4,"A",IF('Data Source'!X683&gt;=3.5,"A-",IF('Data Source'!X683&gt;=3,"B",IF('Data Source'!X683&gt;=2,"C",IF('Data Source'!X683&gt;=1,"D","F")))))),"")</f>
        <v/>
      </c>
      <c r="G683" s="3">
        <f>IF(AND('Data Source'!B683&lt;&gt;"",'Data Source'!S683="A+"),IF('Data Source'!Y683&gt;=5,"A+",IF('Data Source'!Y683&gt;=4,"A",IF('Data Source'!Y683&gt;=3.5,"A-",IF('Data Source'!Y683&gt;=3,"B",IF('Data Source'!Y683&gt;=2,"C",IF('Data Source'!Y683&gt;=1,"D","F")))))),"")</f>
        <v/>
      </c>
      <c r="H683" s="3">
        <f>IF(AND('Data Source'!B683&lt;&gt;"",'Data Source'!S683="A+"),IF('Data Source'!Z683&gt;=5,"A+",IF('Data Source'!Z683&gt;=4,"A",IF('Data Source'!Z683&gt;=3.5,"A-",IF('Data Source'!Z683&gt;=3,"B",IF('Data Source'!Z683&gt;=2,"C",IF('Data Source'!Z683&gt;=1,"D","F")))))),"")</f>
        <v/>
      </c>
      <c r="I683" s="3">
        <f>IF(AND('Data Source'!B683&lt;&gt;"",'Data Source'!S683="A+"),IF('Data Source'!AA683&gt;=5,"A+",IF('Data Source'!AA683&gt;=4,"A",IF('Data Source'!AA683&gt;=3.5,"A-",IF('Data Source'!AA683&gt;=3,"B",IF('Data Source'!AA683&gt;=2,"C",IF('Data Source'!AA683&gt;=1,"D","F")))))),"")</f>
        <v/>
      </c>
      <c r="J683" s="3">
        <f>IF(AND('Data Source'!B683&lt;&gt;"",'Data Source'!S683="A+"),IF('Data Source'!AB683&gt;=5,"A+",IF('Data Source'!AB683&gt;=4,"A",IF('Data Source'!AB683&gt;=3.5,"A-",IF('Data Source'!AB683&gt;=3,"B",IF('Data Source'!AB683&gt;=2,"C",IF('Data Source'!AB683&gt;=1,"D","F")))))),"")</f>
        <v/>
      </c>
      <c r="K683" s="3">
        <f>IF(AND('Data Source'!B683&lt;&gt;"",'Data Source'!S683="A+"),IF('Data Source'!AC683&gt;=5,"A+",IF('Data Source'!AC683&gt;=4,"A",IF('Data Source'!AC683&gt;=3.5,"A-",IF('Data Source'!AC683&gt;=3,"B",IF('Data Source'!AC683&gt;=2,"C",IF('Data Source'!AC683&gt;=1,"D","F")))))),"")</f>
        <v/>
      </c>
      <c r="L683" s="3">
        <f>IF(AND('Data Source'!B683&lt;&gt;"",'Data Source'!S683="A+"),IF('Data Source'!AD683&gt;=5,"A+",IF('Data Source'!AD683&gt;=4,"A",IF('Data Source'!AD683&gt;=3.5,"A-",IF('Data Source'!AD683&gt;=3,"B",IF('Data Source'!AD683&gt;=2,"C",IF('Data Source'!AD683&gt;=1,"D","F")))))),"")</f>
        <v/>
      </c>
      <c r="M683" s="3">
        <f>IF(AND('Data Source'!B683&lt;&gt;"",'Data Source'!S683="A+"),IF('Data Source'!AE683&gt;=5,"A+",IF('Data Source'!AE683&gt;=4,"A",IF('Data Source'!AE683&gt;=3.5,"A-",IF('Data Source'!AE683&gt;=3,"B",IF('Data Source'!AE683&gt;=2,"C",IF('Data Source'!AE683&gt;=1,"D","F")))))),"")</f>
        <v/>
      </c>
      <c r="N683" s="3">
        <f>IF(AND('Data Source'!B683&lt;&gt;"",'Data Source'!S683="A+"),IF('Data Source'!AF683&gt;=5,"A+",IF('Data Source'!AF683&gt;=4,"A",IF('Data Source'!AF683&gt;=3.5,"A-",IF('Data Source'!AF683&gt;=3,"B",IF('Data Source'!AF683&gt;=2,"C",IF('Data Source'!AF683&gt;=1,"D","F")))))),"")</f>
        <v/>
      </c>
      <c r="O683" s="3">
        <f>IF(AND('Data Source'!B683&lt;&gt;"",'Data Source'!S683="A+"),IF('Data Source'!AG683&gt;=5,"A+",IF('Data Source'!AG683&gt;=4,"A",IF('Data Source'!AG683&gt;=3.5,"A-",IF('Data Source'!AG683&gt;=3,"B",IF('Data Source'!AG683&gt;=2,"C",IF('Data Source'!AG683&gt;=1,"D","F")))))),"")</f>
        <v/>
      </c>
      <c r="P683" s="5">
        <f>IF(AND('Data Source'!B683&lt;&gt;"",'Data Source'!S683="A+"),'Data Source'!R683,"")</f>
        <v/>
      </c>
      <c r="Q683" s="3">
        <f>IF(AND('Data Source'!B683&lt;&gt;"",'Data Source'!S683="A+"),'Data Source'!S683,"")</f>
        <v/>
      </c>
    </row>
    <row r="684">
      <c r="A684" s="3">
        <f>IF(AND('Data Source'!B684&lt;&gt;"",'Data Source'!S684="A+"),COUNTIF('Data Source'!$S$3:S684,"A+"),"")</f>
        <v/>
      </c>
      <c r="B684">
        <f>IF(AND('Data Source'!B684&lt;&gt;"",'Data Source'!S684="A+"),'Data Source'!B684,"")</f>
        <v/>
      </c>
      <c r="C684" s="3">
        <f>IF(AND('Data Source'!B684&lt;&gt;"",'Data Source'!S684="A+"),IF('Data Source'!U684&gt;=5,"A+",IF('Data Source'!U684&gt;=4,"A",IF('Data Source'!U684&gt;=3.5,"A-",IF('Data Source'!U684&gt;=3,"B",IF('Data Source'!U684&gt;=2,"C",IF('Data Source'!U684&gt;=1,"D","F")))))),"")</f>
        <v/>
      </c>
      <c r="D684" s="3">
        <f>IF(AND('Data Source'!B684&lt;&gt;"",'Data Source'!S684="A+"),IF('Data Source'!V684&gt;=5,"A+",IF('Data Source'!V684&gt;=4,"A",IF('Data Source'!V684&gt;=3.5,"A-",IF('Data Source'!V684&gt;=3,"B",IF('Data Source'!V684&gt;=2,"C",IF('Data Source'!V684&gt;=1,"D","F")))))),"")</f>
        <v/>
      </c>
      <c r="E684" s="3">
        <f>IF(AND('Data Source'!B684&lt;&gt;"",'Data Source'!S684="A+"),IF('Data Source'!W684&gt;=5,"A+",IF('Data Source'!W684&gt;=4,"A",IF('Data Source'!W684&gt;=3.5,"A-",IF('Data Source'!W684&gt;=3,"B",IF('Data Source'!W684&gt;=2,"C",IF('Data Source'!W684&gt;=1,"D","F")))))),"")</f>
        <v/>
      </c>
      <c r="F684" s="3">
        <f>IF(AND('Data Source'!B684&lt;&gt;"",'Data Source'!S684="A+"),IF('Data Source'!X684&gt;=5,"A+",IF('Data Source'!X684&gt;=4,"A",IF('Data Source'!X684&gt;=3.5,"A-",IF('Data Source'!X684&gt;=3,"B",IF('Data Source'!X684&gt;=2,"C",IF('Data Source'!X684&gt;=1,"D","F")))))),"")</f>
        <v/>
      </c>
      <c r="G684" s="3">
        <f>IF(AND('Data Source'!B684&lt;&gt;"",'Data Source'!S684="A+"),IF('Data Source'!Y684&gt;=5,"A+",IF('Data Source'!Y684&gt;=4,"A",IF('Data Source'!Y684&gt;=3.5,"A-",IF('Data Source'!Y684&gt;=3,"B",IF('Data Source'!Y684&gt;=2,"C",IF('Data Source'!Y684&gt;=1,"D","F")))))),"")</f>
        <v/>
      </c>
      <c r="H684" s="3">
        <f>IF(AND('Data Source'!B684&lt;&gt;"",'Data Source'!S684="A+"),IF('Data Source'!Z684&gt;=5,"A+",IF('Data Source'!Z684&gt;=4,"A",IF('Data Source'!Z684&gt;=3.5,"A-",IF('Data Source'!Z684&gt;=3,"B",IF('Data Source'!Z684&gt;=2,"C",IF('Data Source'!Z684&gt;=1,"D","F")))))),"")</f>
        <v/>
      </c>
      <c r="I684" s="3">
        <f>IF(AND('Data Source'!B684&lt;&gt;"",'Data Source'!S684="A+"),IF('Data Source'!AA684&gt;=5,"A+",IF('Data Source'!AA684&gt;=4,"A",IF('Data Source'!AA684&gt;=3.5,"A-",IF('Data Source'!AA684&gt;=3,"B",IF('Data Source'!AA684&gt;=2,"C",IF('Data Source'!AA684&gt;=1,"D","F")))))),"")</f>
        <v/>
      </c>
      <c r="J684" s="3">
        <f>IF(AND('Data Source'!B684&lt;&gt;"",'Data Source'!S684="A+"),IF('Data Source'!AB684&gt;=5,"A+",IF('Data Source'!AB684&gt;=4,"A",IF('Data Source'!AB684&gt;=3.5,"A-",IF('Data Source'!AB684&gt;=3,"B",IF('Data Source'!AB684&gt;=2,"C",IF('Data Source'!AB684&gt;=1,"D","F")))))),"")</f>
        <v/>
      </c>
      <c r="K684" s="3">
        <f>IF(AND('Data Source'!B684&lt;&gt;"",'Data Source'!S684="A+"),IF('Data Source'!AC684&gt;=5,"A+",IF('Data Source'!AC684&gt;=4,"A",IF('Data Source'!AC684&gt;=3.5,"A-",IF('Data Source'!AC684&gt;=3,"B",IF('Data Source'!AC684&gt;=2,"C",IF('Data Source'!AC684&gt;=1,"D","F")))))),"")</f>
        <v/>
      </c>
      <c r="L684" s="3">
        <f>IF(AND('Data Source'!B684&lt;&gt;"",'Data Source'!S684="A+"),IF('Data Source'!AD684&gt;=5,"A+",IF('Data Source'!AD684&gt;=4,"A",IF('Data Source'!AD684&gt;=3.5,"A-",IF('Data Source'!AD684&gt;=3,"B",IF('Data Source'!AD684&gt;=2,"C",IF('Data Source'!AD684&gt;=1,"D","F")))))),"")</f>
        <v/>
      </c>
      <c r="M684" s="3">
        <f>IF(AND('Data Source'!B684&lt;&gt;"",'Data Source'!S684="A+"),IF('Data Source'!AE684&gt;=5,"A+",IF('Data Source'!AE684&gt;=4,"A",IF('Data Source'!AE684&gt;=3.5,"A-",IF('Data Source'!AE684&gt;=3,"B",IF('Data Source'!AE684&gt;=2,"C",IF('Data Source'!AE684&gt;=1,"D","F")))))),"")</f>
        <v/>
      </c>
      <c r="N684" s="3">
        <f>IF(AND('Data Source'!B684&lt;&gt;"",'Data Source'!S684="A+"),IF('Data Source'!AF684&gt;=5,"A+",IF('Data Source'!AF684&gt;=4,"A",IF('Data Source'!AF684&gt;=3.5,"A-",IF('Data Source'!AF684&gt;=3,"B",IF('Data Source'!AF684&gt;=2,"C",IF('Data Source'!AF684&gt;=1,"D","F")))))),"")</f>
        <v/>
      </c>
      <c r="O684" s="3">
        <f>IF(AND('Data Source'!B684&lt;&gt;"",'Data Source'!S684="A+"),IF('Data Source'!AG684&gt;=5,"A+",IF('Data Source'!AG684&gt;=4,"A",IF('Data Source'!AG684&gt;=3.5,"A-",IF('Data Source'!AG684&gt;=3,"B",IF('Data Source'!AG684&gt;=2,"C",IF('Data Source'!AG684&gt;=1,"D","F")))))),"")</f>
        <v/>
      </c>
      <c r="P684" s="5">
        <f>IF(AND('Data Source'!B684&lt;&gt;"",'Data Source'!S684="A+"),'Data Source'!R684,"")</f>
        <v/>
      </c>
      <c r="Q684" s="3">
        <f>IF(AND('Data Source'!B684&lt;&gt;"",'Data Source'!S684="A+"),'Data Source'!S684,"")</f>
        <v/>
      </c>
    </row>
    <row r="685">
      <c r="A685" s="3">
        <f>IF(AND('Data Source'!B685&lt;&gt;"",'Data Source'!S685="A+"),COUNTIF('Data Source'!$S$3:S685,"A+"),"")</f>
        <v/>
      </c>
      <c r="B685">
        <f>IF(AND('Data Source'!B685&lt;&gt;"",'Data Source'!S685="A+"),'Data Source'!B685,"")</f>
        <v/>
      </c>
      <c r="C685" s="3">
        <f>IF(AND('Data Source'!B685&lt;&gt;"",'Data Source'!S685="A+"),IF('Data Source'!U685&gt;=5,"A+",IF('Data Source'!U685&gt;=4,"A",IF('Data Source'!U685&gt;=3.5,"A-",IF('Data Source'!U685&gt;=3,"B",IF('Data Source'!U685&gt;=2,"C",IF('Data Source'!U685&gt;=1,"D","F")))))),"")</f>
        <v/>
      </c>
      <c r="D685" s="3">
        <f>IF(AND('Data Source'!B685&lt;&gt;"",'Data Source'!S685="A+"),IF('Data Source'!V685&gt;=5,"A+",IF('Data Source'!V685&gt;=4,"A",IF('Data Source'!V685&gt;=3.5,"A-",IF('Data Source'!V685&gt;=3,"B",IF('Data Source'!V685&gt;=2,"C",IF('Data Source'!V685&gt;=1,"D","F")))))),"")</f>
        <v/>
      </c>
      <c r="E685" s="3">
        <f>IF(AND('Data Source'!B685&lt;&gt;"",'Data Source'!S685="A+"),IF('Data Source'!W685&gt;=5,"A+",IF('Data Source'!W685&gt;=4,"A",IF('Data Source'!W685&gt;=3.5,"A-",IF('Data Source'!W685&gt;=3,"B",IF('Data Source'!W685&gt;=2,"C",IF('Data Source'!W685&gt;=1,"D","F")))))),"")</f>
        <v/>
      </c>
      <c r="F685" s="3">
        <f>IF(AND('Data Source'!B685&lt;&gt;"",'Data Source'!S685="A+"),IF('Data Source'!X685&gt;=5,"A+",IF('Data Source'!X685&gt;=4,"A",IF('Data Source'!X685&gt;=3.5,"A-",IF('Data Source'!X685&gt;=3,"B",IF('Data Source'!X685&gt;=2,"C",IF('Data Source'!X685&gt;=1,"D","F")))))),"")</f>
        <v/>
      </c>
      <c r="G685" s="3">
        <f>IF(AND('Data Source'!B685&lt;&gt;"",'Data Source'!S685="A+"),IF('Data Source'!Y685&gt;=5,"A+",IF('Data Source'!Y685&gt;=4,"A",IF('Data Source'!Y685&gt;=3.5,"A-",IF('Data Source'!Y685&gt;=3,"B",IF('Data Source'!Y685&gt;=2,"C",IF('Data Source'!Y685&gt;=1,"D","F")))))),"")</f>
        <v/>
      </c>
      <c r="H685" s="3">
        <f>IF(AND('Data Source'!B685&lt;&gt;"",'Data Source'!S685="A+"),IF('Data Source'!Z685&gt;=5,"A+",IF('Data Source'!Z685&gt;=4,"A",IF('Data Source'!Z685&gt;=3.5,"A-",IF('Data Source'!Z685&gt;=3,"B",IF('Data Source'!Z685&gt;=2,"C",IF('Data Source'!Z685&gt;=1,"D","F")))))),"")</f>
        <v/>
      </c>
      <c r="I685" s="3">
        <f>IF(AND('Data Source'!B685&lt;&gt;"",'Data Source'!S685="A+"),IF('Data Source'!AA685&gt;=5,"A+",IF('Data Source'!AA685&gt;=4,"A",IF('Data Source'!AA685&gt;=3.5,"A-",IF('Data Source'!AA685&gt;=3,"B",IF('Data Source'!AA685&gt;=2,"C",IF('Data Source'!AA685&gt;=1,"D","F")))))),"")</f>
        <v/>
      </c>
      <c r="J685" s="3">
        <f>IF(AND('Data Source'!B685&lt;&gt;"",'Data Source'!S685="A+"),IF('Data Source'!AB685&gt;=5,"A+",IF('Data Source'!AB685&gt;=4,"A",IF('Data Source'!AB685&gt;=3.5,"A-",IF('Data Source'!AB685&gt;=3,"B",IF('Data Source'!AB685&gt;=2,"C",IF('Data Source'!AB685&gt;=1,"D","F")))))),"")</f>
        <v/>
      </c>
      <c r="K685" s="3">
        <f>IF(AND('Data Source'!B685&lt;&gt;"",'Data Source'!S685="A+"),IF('Data Source'!AC685&gt;=5,"A+",IF('Data Source'!AC685&gt;=4,"A",IF('Data Source'!AC685&gt;=3.5,"A-",IF('Data Source'!AC685&gt;=3,"B",IF('Data Source'!AC685&gt;=2,"C",IF('Data Source'!AC685&gt;=1,"D","F")))))),"")</f>
        <v/>
      </c>
      <c r="L685" s="3">
        <f>IF(AND('Data Source'!B685&lt;&gt;"",'Data Source'!S685="A+"),IF('Data Source'!AD685&gt;=5,"A+",IF('Data Source'!AD685&gt;=4,"A",IF('Data Source'!AD685&gt;=3.5,"A-",IF('Data Source'!AD685&gt;=3,"B",IF('Data Source'!AD685&gt;=2,"C",IF('Data Source'!AD685&gt;=1,"D","F")))))),"")</f>
        <v/>
      </c>
      <c r="M685" s="3">
        <f>IF(AND('Data Source'!B685&lt;&gt;"",'Data Source'!S685="A+"),IF('Data Source'!AE685&gt;=5,"A+",IF('Data Source'!AE685&gt;=4,"A",IF('Data Source'!AE685&gt;=3.5,"A-",IF('Data Source'!AE685&gt;=3,"B",IF('Data Source'!AE685&gt;=2,"C",IF('Data Source'!AE685&gt;=1,"D","F")))))),"")</f>
        <v/>
      </c>
      <c r="N685" s="3">
        <f>IF(AND('Data Source'!B685&lt;&gt;"",'Data Source'!S685="A+"),IF('Data Source'!AF685&gt;=5,"A+",IF('Data Source'!AF685&gt;=4,"A",IF('Data Source'!AF685&gt;=3.5,"A-",IF('Data Source'!AF685&gt;=3,"B",IF('Data Source'!AF685&gt;=2,"C",IF('Data Source'!AF685&gt;=1,"D","F")))))),"")</f>
        <v/>
      </c>
      <c r="O685" s="3">
        <f>IF(AND('Data Source'!B685&lt;&gt;"",'Data Source'!S685="A+"),IF('Data Source'!AG685&gt;=5,"A+",IF('Data Source'!AG685&gt;=4,"A",IF('Data Source'!AG685&gt;=3.5,"A-",IF('Data Source'!AG685&gt;=3,"B",IF('Data Source'!AG685&gt;=2,"C",IF('Data Source'!AG685&gt;=1,"D","F")))))),"")</f>
        <v/>
      </c>
      <c r="P685" s="5">
        <f>IF(AND('Data Source'!B685&lt;&gt;"",'Data Source'!S685="A+"),'Data Source'!R685,"")</f>
        <v/>
      </c>
      <c r="Q685" s="3">
        <f>IF(AND('Data Source'!B685&lt;&gt;"",'Data Source'!S685="A+"),'Data Source'!S685,"")</f>
        <v/>
      </c>
    </row>
    <row r="686">
      <c r="A686" s="3">
        <f>IF(AND('Data Source'!B686&lt;&gt;"",'Data Source'!S686="A+"),COUNTIF('Data Source'!$S$3:S686,"A+"),"")</f>
        <v/>
      </c>
      <c r="B686">
        <f>IF(AND('Data Source'!B686&lt;&gt;"",'Data Source'!S686="A+"),'Data Source'!B686,"")</f>
        <v/>
      </c>
      <c r="C686" s="3">
        <f>IF(AND('Data Source'!B686&lt;&gt;"",'Data Source'!S686="A+"),IF('Data Source'!U686&gt;=5,"A+",IF('Data Source'!U686&gt;=4,"A",IF('Data Source'!U686&gt;=3.5,"A-",IF('Data Source'!U686&gt;=3,"B",IF('Data Source'!U686&gt;=2,"C",IF('Data Source'!U686&gt;=1,"D","F")))))),"")</f>
        <v/>
      </c>
      <c r="D686" s="3">
        <f>IF(AND('Data Source'!B686&lt;&gt;"",'Data Source'!S686="A+"),IF('Data Source'!V686&gt;=5,"A+",IF('Data Source'!V686&gt;=4,"A",IF('Data Source'!V686&gt;=3.5,"A-",IF('Data Source'!V686&gt;=3,"B",IF('Data Source'!V686&gt;=2,"C",IF('Data Source'!V686&gt;=1,"D","F")))))),"")</f>
        <v/>
      </c>
      <c r="E686" s="3">
        <f>IF(AND('Data Source'!B686&lt;&gt;"",'Data Source'!S686="A+"),IF('Data Source'!W686&gt;=5,"A+",IF('Data Source'!W686&gt;=4,"A",IF('Data Source'!W686&gt;=3.5,"A-",IF('Data Source'!W686&gt;=3,"B",IF('Data Source'!W686&gt;=2,"C",IF('Data Source'!W686&gt;=1,"D","F")))))),"")</f>
        <v/>
      </c>
      <c r="F686" s="3">
        <f>IF(AND('Data Source'!B686&lt;&gt;"",'Data Source'!S686="A+"),IF('Data Source'!X686&gt;=5,"A+",IF('Data Source'!X686&gt;=4,"A",IF('Data Source'!X686&gt;=3.5,"A-",IF('Data Source'!X686&gt;=3,"B",IF('Data Source'!X686&gt;=2,"C",IF('Data Source'!X686&gt;=1,"D","F")))))),"")</f>
        <v/>
      </c>
      <c r="G686" s="3">
        <f>IF(AND('Data Source'!B686&lt;&gt;"",'Data Source'!S686="A+"),IF('Data Source'!Y686&gt;=5,"A+",IF('Data Source'!Y686&gt;=4,"A",IF('Data Source'!Y686&gt;=3.5,"A-",IF('Data Source'!Y686&gt;=3,"B",IF('Data Source'!Y686&gt;=2,"C",IF('Data Source'!Y686&gt;=1,"D","F")))))),"")</f>
        <v/>
      </c>
      <c r="H686" s="3">
        <f>IF(AND('Data Source'!B686&lt;&gt;"",'Data Source'!S686="A+"),IF('Data Source'!Z686&gt;=5,"A+",IF('Data Source'!Z686&gt;=4,"A",IF('Data Source'!Z686&gt;=3.5,"A-",IF('Data Source'!Z686&gt;=3,"B",IF('Data Source'!Z686&gt;=2,"C",IF('Data Source'!Z686&gt;=1,"D","F")))))),"")</f>
        <v/>
      </c>
      <c r="I686" s="3">
        <f>IF(AND('Data Source'!B686&lt;&gt;"",'Data Source'!S686="A+"),IF('Data Source'!AA686&gt;=5,"A+",IF('Data Source'!AA686&gt;=4,"A",IF('Data Source'!AA686&gt;=3.5,"A-",IF('Data Source'!AA686&gt;=3,"B",IF('Data Source'!AA686&gt;=2,"C",IF('Data Source'!AA686&gt;=1,"D","F")))))),"")</f>
        <v/>
      </c>
      <c r="J686" s="3">
        <f>IF(AND('Data Source'!B686&lt;&gt;"",'Data Source'!S686="A+"),IF('Data Source'!AB686&gt;=5,"A+",IF('Data Source'!AB686&gt;=4,"A",IF('Data Source'!AB686&gt;=3.5,"A-",IF('Data Source'!AB686&gt;=3,"B",IF('Data Source'!AB686&gt;=2,"C",IF('Data Source'!AB686&gt;=1,"D","F")))))),"")</f>
        <v/>
      </c>
      <c r="K686" s="3">
        <f>IF(AND('Data Source'!B686&lt;&gt;"",'Data Source'!S686="A+"),IF('Data Source'!AC686&gt;=5,"A+",IF('Data Source'!AC686&gt;=4,"A",IF('Data Source'!AC686&gt;=3.5,"A-",IF('Data Source'!AC686&gt;=3,"B",IF('Data Source'!AC686&gt;=2,"C",IF('Data Source'!AC686&gt;=1,"D","F")))))),"")</f>
        <v/>
      </c>
      <c r="L686" s="3">
        <f>IF(AND('Data Source'!B686&lt;&gt;"",'Data Source'!S686="A+"),IF('Data Source'!AD686&gt;=5,"A+",IF('Data Source'!AD686&gt;=4,"A",IF('Data Source'!AD686&gt;=3.5,"A-",IF('Data Source'!AD686&gt;=3,"B",IF('Data Source'!AD686&gt;=2,"C",IF('Data Source'!AD686&gt;=1,"D","F")))))),"")</f>
        <v/>
      </c>
      <c r="M686" s="3">
        <f>IF(AND('Data Source'!B686&lt;&gt;"",'Data Source'!S686="A+"),IF('Data Source'!AE686&gt;=5,"A+",IF('Data Source'!AE686&gt;=4,"A",IF('Data Source'!AE686&gt;=3.5,"A-",IF('Data Source'!AE686&gt;=3,"B",IF('Data Source'!AE686&gt;=2,"C",IF('Data Source'!AE686&gt;=1,"D","F")))))),"")</f>
        <v/>
      </c>
      <c r="N686" s="3">
        <f>IF(AND('Data Source'!B686&lt;&gt;"",'Data Source'!S686="A+"),IF('Data Source'!AF686&gt;=5,"A+",IF('Data Source'!AF686&gt;=4,"A",IF('Data Source'!AF686&gt;=3.5,"A-",IF('Data Source'!AF686&gt;=3,"B",IF('Data Source'!AF686&gt;=2,"C",IF('Data Source'!AF686&gt;=1,"D","F")))))),"")</f>
        <v/>
      </c>
      <c r="O686" s="3">
        <f>IF(AND('Data Source'!B686&lt;&gt;"",'Data Source'!S686="A+"),IF('Data Source'!AG686&gt;=5,"A+",IF('Data Source'!AG686&gt;=4,"A",IF('Data Source'!AG686&gt;=3.5,"A-",IF('Data Source'!AG686&gt;=3,"B",IF('Data Source'!AG686&gt;=2,"C",IF('Data Source'!AG686&gt;=1,"D","F")))))),"")</f>
        <v/>
      </c>
      <c r="P686" s="5">
        <f>IF(AND('Data Source'!B686&lt;&gt;"",'Data Source'!S686="A+"),'Data Source'!R686,"")</f>
        <v/>
      </c>
      <c r="Q686" s="3">
        <f>IF(AND('Data Source'!B686&lt;&gt;"",'Data Source'!S686="A+"),'Data Source'!S686,"")</f>
        <v/>
      </c>
    </row>
    <row r="687">
      <c r="A687" s="3">
        <f>IF(AND('Data Source'!B687&lt;&gt;"",'Data Source'!S687="A+"),COUNTIF('Data Source'!$S$3:S687,"A+"),"")</f>
        <v/>
      </c>
      <c r="B687">
        <f>IF(AND('Data Source'!B687&lt;&gt;"",'Data Source'!S687="A+"),'Data Source'!B687,"")</f>
        <v/>
      </c>
      <c r="C687" s="3">
        <f>IF(AND('Data Source'!B687&lt;&gt;"",'Data Source'!S687="A+"),IF('Data Source'!U687&gt;=5,"A+",IF('Data Source'!U687&gt;=4,"A",IF('Data Source'!U687&gt;=3.5,"A-",IF('Data Source'!U687&gt;=3,"B",IF('Data Source'!U687&gt;=2,"C",IF('Data Source'!U687&gt;=1,"D","F")))))),"")</f>
        <v/>
      </c>
      <c r="D687" s="3">
        <f>IF(AND('Data Source'!B687&lt;&gt;"",'Data Source'!S687="A+"),IF('Data Source'!V687&gt;=5,"A+",IF('Data Source'!V687&gt;=4,"A",IF('Data Source'!V687&gt;=3.5,"A-",IF('Data Source'!V687&gt;=3,"B",IF('Data Source'!V687&gt;=2,"C",IF('Data Source'!V687&gt;=1,"D","F")))))),"")</f>
        <v/>
      </c>
      <c r="E687" s="3">
        <f>IF(AND('Data Source'!B687&lt;&gt;"",'Data Source'!S687="A+"),IF('Data Source'!W687&gt;=5,"A+",IF('Data Source'!W687&gt;=4,"A",IF('Data Source'!W687&gt;=3.5,"A-",IF('Data Source'!W687&gt;=3,"B",IF('Data Source'!W687&gt;=2,"C",IF('Data Source'!W687&gt;=1,"D","F")))))),"")</f>
        <v/>
      </c>
      <c r="F687" s="3">
        <f>IF(AND('Data Source'!B687&lt;&gt;"",'Data Source'!S687="A+"),IF('Data Source'!X687&gt;=5,"A+",IF('Data Source'!X687&gt;=4,"A",IF('Data Source'!X687&gt;=3.5,"A-",IF('Data Source'!X687&gt;=3,"B",IF('Data Source'!X687&gt;=2,"C",IF('Data Source'!X687&gt;=1,"D","F")))))),"")</f>
        <v/>
      </c>
      <c r="G687" s="3">
        <f>IF(AND('Data Source'!B687&lt;&gt;"",'Data Source'!S687="A+"),IF('Data Source'!Y687&gt;=5,"A+",IF('Data Source'!Y687&gt;=4,"A",IF('Data Source'!Y687&gt;=3.5,"A-",IF('Data Source'!Y687&gt;=3,"B",IF('Data Source'!Y687&gt;=2,"C",IF('Data Source'!Y687&gt;=1,"D","F")))))),"")</f>
        <v/>
      </c>
      <c r="H687" s="3">
        <f>IF(AND('Data Source'!B687&lt;&gt;"",'Data Source'!S687="A+"),IF('Data Source'!Z687&gt;=5,"A+",IF('Data Source'!Z687&gt;=4,"A",IF('Data Source'!Z687&gt;=3.5,"A-",IF('Data Source'!Z687&gt;=3,"B",IF('Data Source'!Z687&gt;=2,"C",IF('Data Source'!Z687&gt;=1,"D","F")))))),"")</f>
        <v/>
      </c>
      <c r="I687" s="3">
        <f>IF(AND('Data Source'!B687&lt;&gt;"",'Data Source'!S687="A+"),IF('Data Source'!AA687&gt;=5,"A+",IF('Data Source'!AA687&gt;=4,"A",IF('Data Source'!AA687&gt;=3.5,"A-",IF('Data Source'!AA687&gt;=3,"B",IF('Data Source'!AA687&gt;=2,"C",IF('Data Source'!AA687&gt;=1,"D","F")))))),"")</f>
        <v/>
      </c>
      <c r="J687" s="3">
        <f>IF(AND('Data Source'!B687&lt;&gt;"",'Data Source'!S687="A+"),IF('Data Source'!AB687&gt;=5,"A+",IF('Data Source'!AB687&gt;=4,"A",IF('Data Source'!AB687&gt;=3.5,"A-",IF('Data Source'!AB687&gt;=3,"B",IF('Data Source'!AB687&gt;=2,"C",IF('Data Source'!AB687&gt;=1,"D","F")))))),"")</f>
        <v/>
      </c>
      <c r="K687" s="3">
        <f>IF(AND('Data Source'!B687&lt;&gt;"",'Data Source'!S687="A+"),IF('Data Source'!AC687&gt;=5,"A+",IF('Data Source'!AC687&gt;=4,"A",IF('Data Source'!AC687&gt;=3.5,"A-",IF('Data Source'!AC687&gt;=3,"B",IF('Data Source'!AC687&gt;=2,"C",IF('Data Source'!AC687&gt;=1,"D","F")))))),"")</f>
        <v/>
      </c>
      <c r="L687" s="3">
        <f>IF(AND('Data Source'!B687&lt;&gt;"",'Data Source'!S687="A+"),IF('Data Source'!AD687&gt;=5,"A+",IF('Data Source'!AD687&gt;=4,"A",IF('Data Source'!AD687&gt;=3.5,"A-",IF('Data Source'!AD687&gt;=3,"B",IF('Data Source'!AD687&gt;=2,"C",IF('Data Source'!AD687&gt;=1,"D","F")))))),"")</f>
        <v/>
      </c>
      <c r="M687" s="3">
        <f>IF(AND('Data Source'!B687&lt;&gt;"",'Data Source'!S687="A+"),IF('Data Source'!AE687&gt;=5,"A+",IF('Data Source'!AE687&gt;=4,"A",IF('Data Source'!AE687&gt;=3.5,"A-",IF('Data Source'!AE687&gt;=3,"B",IF('Data Source'!AE687&gt;=2,"C",IF('Data Source'!AE687&gt;=1,"D","F")))))),"")</f>
        <v/>
      </c>
      <c r="N687" s="3">
        <f>IF(AND('Data Source'!B687&lt;&gt;"",'Data Source'!S687="A+"),IF('Data Source'!AF687&gt;=5,"A+",IF('Data Source'!AF687&gt;=4,"A",IF('Data Source'!AF687&gt;=3.5,"A-",IF('Data Source'!AF687&gt;=3,"B",IF('Data Source'!AF687&gt;=2,"C",IF('Data Source'!AF687&gt;=1,"D","F")))))),"")</f>
        <v/>
      </c>
      <c r="O687" s="3">
        <f>IF(AND('Data Source'!B687&lt;&gt;"",'Data Source'!S687="A+"),IF('Data Source'!AG687&gt;=5,"A+",IF('Data Source'!AG687&gt;=4,"A",IF('Data Source'!AG687&gt;=3.5,"A-",IF('Data Source'!AG687&gt;=3,"B",IF('Data Source'!AG687&gt;=2,"C",IF('Data Source'!AG687&gt;=1,"D","F")))))),"")</f>
        <v/>
      </c>
      <c r="P687" s="5">
        <f>IF(AND('Data Source'!B687&lt;&gt;"",'Data Source'!S687="A+"),'Data Source'!R687,"")</f>
        <v/>
      </c>
      <c r="Q687" s="3">
        <f>IF(AND('Data Source'!B687&lt;&gt;"",'Data Source'!S687="A+"),'Data Source'!S687,"")</f>
        <v/>
      </c>
    </row>
    <row r="688">
      <c r="A688" s="3">
        <f>IF(AND('Data Source'!B688&lt;&gt;"",'Data Source'!S688="A+"),COUNTIF('Data Source'!$S$3:S688,"A+"),"")</f>
        <v/>
      </c>
      <c r="B688">
        <f>IF(AND('Data Source'!B688&lt;&gt;"",'Data Source'!S688="A+"),'Data Source'!B688,"")</f>
        <v/>
      </c>
      <c r="C688" s="3">
        <f>IF(AND('Data Source'!B688&lt;&gt;"",'Data Source'!S688="A+"),IF('Data Source'!U688&gt;=5,"A+",IF('Data Source'!U688&gt;=4,"A",IF('Data Source'!U688&gt;=3.5,"A-",IF('Data Source'!U688&gt;=3,"B",IF('Data Source'!U688&gt;=2,"C",IF('Data Source'!U688&gt;=1,"D","F")))))),"")</f>
        <v/>
      </c>
      <c r="D688" s="3">
        <f>IF(AND('Data Source'!B688&lt;&gt;"",'Data Source'!S688="A+"),IF('Data Source'!V688&gt;=5,"A+",IF('Data Source'!V688&gt;=4,"A",IF('Data Source'!V688&gt;=3.5,"A-",IF('Data Source'!V688&gt;=3,"B",IF('Data Source'!V688&gt;=2,"C",IF('Data Source'!V688&gt;=1,"D","F")))))),"")</f>
        <v/>
      </c>
      <c r="E688" s="3">
        <f>IF(AND('Data Source'!B688&lt;&gt;"",'Data Source'!S688="A+"),IF('Data Source'!W688&gt;=5,"A+",IF('Data Source'!W688&gt;=4,"A",IF('Data Source'!W688&gt;=3.5,"A-",IF('Data Source'!W688&gt;=3,"B",IF('Data Source'!W688&gt;=2,"C",IF('Data Source'!W688&gt;=1,"D","F")))))),"")</f>
        <v/>
      </c>
      <c r="F688" s="3">
        <f>IF(AND('Data Source'!B688&lt;&gt;"",'Data Source'!S688="A+"),IF('Data Source'!X688&gt;=5,"A+",IF('Data Source'!X688&gt;=4,"A",IF('Data Source'!X688&gt;=3.5,"A-",IF('Data Source'!X688&gt;=3,"B",IF('Data Source'!X688&gt;=2,"C",IF('Data Source'!X688&gt;=1,"D","F")))))),"")</f>
        <v/>
      </c>
      <c r="G688" s="3">
        <f>IF(AND('Data Source'!B688&lt;&gt;"",'Data Source'!S688="A+"),IF('Data Source'!Y688&gt;=5,"A+",IF('Data Source'!Y688&gt;=4,"A",IF('Data Source'!Y688&gt;=3.5,"A-",IF('Data Source'!Y688&gt;=3,"B",IF('Data Source'!Y688&gt;=2,"C",IF('Data Source'!Y688&gt;=1,"D","F")))))),"")</f>
        <v/>
      </c>
      <c r="H688" s="3">
        <f>IF(AND('Data Source'!B688&lt;&gt;"",'Data Source'!S688="A+"),IF('Data Source'!Z688&gt;=5,"A+",IF('Data Source'!Z688&gt;=4,"A",IF('Data Source'!Z688&gt;=3.5,"A-",IF('Data Source'!Z688&gt;=3,"B",IF('Data Source'!Z688&gt;=2,"C",IF('Data Source'!Z688&gt;=1,"D","F")))))),"")</f>
        <v/>
      </c>
      <c r="I688" s="3">
        <f>IF(AND('Data Source'!B688&lt;&gt;"",'Data Source'!S688="A+"),IF('Data Source'!AA688&gt;=5,"A+",IF('Data Source'!AA688&gt;=4,"A",IF('Data Source'!AA688&gt;=3.5,"A-",IF('Data Source'!AA688&gt;=3,"B",IF('Data Source'!AA688&gt;=2,"C",IF('Data Source'!AA688&gt;=1,"D","F")))))),"")</f>
        <v/>
      </c>
      <c r="J688" s="3">
        <f>IF(AND('Data Source'!B688&lt;&gt;"",'Data Source'!S688="A+"),IF('Data Source'!AB688&gt;=5,"A+",IF('Data Source'!AB688&gt;=4,"A",IF('Data Source'!AB688&gt;=3.5,"A-",IF('Data Source'!AB688&gt;=3,"B",IF('Data Source'!AB688&gt;=2,"C",IF('Data Source'!AB688&gt;=1,"D","F")))))),"")</f>
        <v/>
      </c>
      <c r="K688" s="3">
        <f>IF(AND('Data Source'!B688&lt;&gt;"",'Data Source'!S688="A+"),IF('Data Source'!AC688&gt;=5,"A+",IF('Data Source'!AC688&gt;=4,"A",IF('Data Source'!AC688&gt;=3.5,"A-",IF('Data Source'!AC688&gt;=3,"B",IF('Data Source'!AC688&gt;=2,"C",IF('Data Source'!AC688&gt;=1,"D","F")))))),"")</f>
        <v/>
      </c>
      <c r="L688" s="3">
        <f>IF(AND('Data Source'!B688&lt;&gt;"",'Data Source'!S688="A+"),IF('Data Source'!AD688&gt;=5,"A+",IF('Data Source'!AD688&gt;=4,"A",IF('Data Source'!AD688&gt;=3.5,"A-",IF('Data Source'!AD688&gt;=3,"B",IF('Data Source'!AD688&gt;=2,"C",IF('Data Source'!AD688&gt;=1,"D","F")))))),"")</f>
        <v/>
      </c>
      <c r="M688" s="3">
        <f>IF(AND('Data Source'!B688&lt;&gt;"",'Data Source'!S688="A+"),IF('Data Source'!AE688&gt;=5,"A+",IF('Data Source'!AE688&gt;=4,"A",IF('Data Source'!AE688&gt;=3.5,"A-",IF('Data Source'!AE688&gt;=3,"B",IF('Data Source'!AE688&gt;=2,"C",IF('Data Source'!AE688&gt;=1,"D","F")))))),"")</f>
        <v/>
      </c>
      <c r="N688" s="3">
        <f>IF(AND('Data Source'!B688&lt;&gt;"",'Data Source'!S688="A+"),IF('Data Source'!AF688&gt;=5,"A+",IF('Data Source'!AF688&gt;=4,"A",IF('Data Source'!AF688&gt;=3.5,"A-",IF('Data Source'!AF688&gt;=3,"B",IF('Data Source'!AF688&gt;=2,"C",IF('Data Source'!AF688&gt;=1,"D","F")))))),"")</f>
        <v/>
      </c>
      <c r="O688" s="3">
        <f>IF(AND('Data Source'!B688&lt;&gt;"",'Data Source'!S688="A+"),IF('Data Source'!AG688&gt;=5,"A+",IF('Data Source'!AG688&gt;=4,"A",IF('Data Source'!AG688&gt;=3.5,"A-",IF('Data Source'!AG688&gt;=3,"B",IF('Data Source'!AG688&gt;=2,"C",IF('Data Source'!AG688&gt;=1,"D","F")))))),"")</f>
        <v/>
      </c>
      <c r="P688" s="5">
        <f>IF(AND('Data Source'!B688&lt;&gt;"",'Data Source'!S688="A+"),'Data Source'!R688,"")</f>
        <v/>
      </c>
      <c r="Q688" s="3">
        <f>IF(AND('Data Source'!B688&lt;&gt;"",'Data Source'!S688="A+"),'Data Source'!S688,"")</f>
        <v/>
      </c>
    </row>
    <row r="689">
      <c r="A689" s="3">
        <f>IF(AND('Data Source'!B689&lt;&gt;"",'Data Source'!S689="A+"),COUNTIF('Data Source'!$S$3:S689,"A+"),"")</f>
        <v/>
      </c>
      <c r="B689">
        <f>IF(AND('Data Source'!B689&lt;&gt;"",'Data Source'!S689="A+"),'Data Source'!B689,"")</f>
        <v/>
      </c>
      <c r="C689" s="3">
        <f>IF(AND('Data Source'!B689&lt;&gt;"",'Data Source'!S689="A+"),IF('Data Source'!U689&gt;=5,"A+",IF('Data Source'!U689&gt;=4,"A",IF('Data Source'!U689&gt;=3.5,"A-",IF('Data Source'!U689&gt;=3,"B",IF('Data Source'!U689&gt;=2,"C",IF('Data Source'!U689&gt;=1,"D","F")))))),"")</f>
        <v/>
      </c>
      <c r="D689" s="3">
        <f>IF(AND('Data Source'!B689&lt;&gt;"",'Data Source'!S689="A+"),IF('Data Source'!V689&gt;=5,"A+",IF('Data Source'!V689&gt;=4,"A",IF('Data Source'!V689&gt;=3.5,"A-",IF('Data Source'!V689&gt;=3,"B",IF('Data Source'!V689&gt;=2,"C",IF('Data Source'!V689&gt;=1,"D","F")))))),"")</f>
        <v/>
      </c>
      <c r="E689" s="3">
        <f>IF(AND('Data Source'!B689&lt;&gt;"",'Data Source'!S689="A+"),IF('Data Source'!W689&gt;=5,"A+",IF('Data Source'!W689&gt;=4,"A",IF('Data Source'!W689&gt;=3.5,"A-",IF('Data Source'!W689&gt;=3,"B",IF('Data Source'!W689&gt;=2,"C",IF('Data Source'!W689&gt;=1,"D","F")))))),"")</f>
        <v/>
      </c>
      <c r="F689" s="3">
        <f>IF(AND('Data Source'!B689&lt;&gt;"",'Data Source'!S689="A+"),IF('Data Source'!X689&gt;=5,"A+",IF('Data Source'!X689&gt;=4,"A",IF('Data Source'!X689&gt;=3.5,"A-",IF('Data Source'!X689&gt;=3,"B",IF('Data Source'!X689&gt;=2,"C",IF('Data Source'!X689&gt;=1,"D","F")))))),"")</f>
        <v/>
      </c>
      <c r="G689" s="3">
        <f>IF(AND('Data Source'!B689&lt;&gt;"",'Data Source'!S689="A+"),IF('Data Source'!Y689&gt;=5,"A+",IF('Data Source'!Y689&gt;=4,"A",IF('Data Source'!Y689&gt;=3.5,"A-",IF('Data Source'!Y689&gt;=3,"B",IF('Data Source'!Y689&gt;=2,"C",IF('Data Source'!Y689&gt;=1,"D","F")))))),"")</f>
        <v/>
      </c>
      <c r="H689" s="3">
        <f>IF(AND('Data Source'!B689&lt;&gt;"",'Data Source'!S689="A+"),IF('Data Source'!Z689&gt;=5,"A+",IF('Data Source'!Z689&gt;=4,"A",IF('Data Source'!Z689&gt;=3.5,"A-",IF('Data Source'!Z689&gt;=3,"B",IF('Data Source'!Z689&gt;=2,"C",IF('Data Source'!Z689&gt;=1,"D","F")))))),"")</f>
        <v/>
      </c>
      <c r="I689" s="3">
        <f>IF(AND('Data Source'!B689&lt;&gt;"",'Data Source'!S689="A+"),IF('Data Source'!AA689&gt;=5,"A+",IF('Data Source'!AA689&gt;=4,"A",IF('Data Source'!AA689&gt;=3.5,"A-",IF('Data Source'!AA689&gt;=3,"B",IF('Data Source'!AA689&gt;=2,"C",IF('Data Source'!AA689&gt;=1,"D","F")))))),"")</f>
        <v/>
      </c>
      <c r="J689" s="3">
        <f>IF(AND('Data Source'!B689&lt;&gt;"",'Data Source'!S689="A+"),IF('Data Source'!AB689&gt;=5,"A+",IF('Data Source'!AB689&gt;=4,"A",IF('Data Source'!AB689&gt;=3.5,"A-",IF('Data Source'!AB689&gt;=3,"B",IF('Data Source'!AB689&gt;=2,"C",IF('Data Source'!AB689&gt;=1,"D","F")))))),"")</f>
        <v/>
      </c>
      <c r="K689" s="3">
        <f>IF(AND('Data Source'!B689&lt;&gt;"",'Data Source'!S689="A+"),IF('Data Source'!AC689&gt;=5,"A+",IF('Data Source'!AC689&gt;=4,"A",IF('Data Source'!AC689&gt;=3.5,"A-",IF('Data Source'!AC689&gt;=3,"B",IF('Data Source'!AC689&gt;=2,"C",IF('Data Source'!AC689&gt;=1,"D","F")))))),"")</f>
        <v/>
      </c>
      <c r="L689" s="3">
        <f>IF(AND('Data Source'!B689&lt;&gt;"",'Data Source'!S689="A+"),IF('Data Source'!AD689&gt;=5,"A+",IF('Data Source'!AD689&gt;=4,"A",IF('Data Source'!AD689&gt;=3.5,"A-",IF('Data Source'!AD689&gt;=3,"B",IF('Data Source'!AD689&gt;=2,"C",IF('Data Source'!AD689&gt;=1,"D","F")))))),"")</f>
        <v/>
      </c>
      <c r="M689" s="3">
        <f>IF(AND('Data Source'!B689&lt;&gt;"",'Data Source'!S689="A+"),IF('Data Source'!AE689&gt;=5,"A+",IF('Data Source'!AE689&gt;=4,"A",IF('Data Source'!AE689&gt;=3.5,"A-",IF('Data Source'!AE689&gt;=3,"B",IF('Data Source'!AE689&gt;=2,"C",IF('Data Source'!AE689&gt;=1,"D","F")))))),"")</f>
        <v/>
      </c>
      <c r="N689" s="3">
        <f>IF(AND('Data Source'!B689&lt;&gt;"",'Data Source'!S689="A+"),IF('Data Source'!AF689&gt;=5,"A+",IF('Data Source'!AF689&gt;=4,"A",IF('Data Source'!AF689&gt;=3.5,"A-",IF('Data Source'!AF689&gt;=3,"B",IF('Data Source'!AF689&gt;=2,"C",IF('Data Source'!AF689&gt;=1,"D","F")))))),"")</f>
        <v/>
      </c>
      <c r="O689" s="3">
        <f>IF(AND('Data Source'!B689&lt;&gt;"",'Data Source'!S689="A+"),IF('Data Source'!AG689&gt;=5,"A+",IF('Data Source'!AG689&gt;=4,"A",IF('Data Source'!AG689&gt;=3.5,"A-",IF('Data Source'!AG689&gt;=3,"B",IF('Data Source'!AG689&gt;=2,"C",IF('Data Source'!AG689&gt;=1,"D","F")))))),"")</f>
        <v/>
      </c>
      <c r="P689" s="5">
        <f>IF(AND('Data Source'!B689&lt;&gt;"",'Data Source'!S689="A+"),'Data Source'!R689,"")</f>
        <v/>
      </c>
      <c r="Q689" s="3">
        <f>IF(AND('Data Source'!B689&lt;&gt;"",'Data Source'!S689="A+"),'Data Source'!S689,"")</f>
        <v/>
      </c>
    </row>
    <row r="690">
      <c r="A690" s="3">
        <f>IF(AND('Data Source'!B690&lt;&gt;"",'Data Source'!S690="A+"),COUNTIF('Data Source'!$S$3:S690,"A+"),"")</f>
        <v/>
      </c>
      <c r="B690">
        <f>IF(AND('Data Source'!B690&lt;&gt;"",'Data Source'!S690="A+"),'Data Source'!B690,"")</f>
        <v/>
      </c>
      <c r="C690" s="3">
        <f>IF(AND('Data Source'!B690&lt;&gt;"",'Data Source'!S690="A+"),IF('Data Source'!U690&gt;=5,"A+",IF('Data Source'!U690&gt;=4,"A",IF('Data Source'!U690&gt;=3.5,"A-",IF('Data Source'!U690&gt;=3,"B",IF('Data Source'!U690&gt;=2,"C",IF('Data Source'!U690&gt;=1,"D","F")))))),"")</f>
        <v/>
      </c>
      <c r="D690" s="3">
        <f>IF(AND('Data Source'!B690&lt;&gt;"",'Data Source'!S690="A+"),IF('Data Source'!V690&gt;=5,"A+",IF('Data Source'!V690&gt;=4,"A",IF('Data Source'!V690&gt;=3.5,"A-",IF('Data Source'!V690&gt;=3,"B",IF('Data Source'!V690&gt;=2,"C",IF('Data Source'!V690&gt;=1,"D","F")))))),"")</f>
        <v/>
      </c>
      <c r="E690" s="3">
        <f>IF(AND('Data Source'!B690&lt;&gt;"",'Data Source'!S690="A+"),IF('Data Source'!W690&gt;=5,"A+",IF('Data Source'!W690&gt;=4,"A",IF('Data Source'!W690&gt;=3.5,"A-",IF('Data Source'!W690&gt;=3,"B",IF('Data Source'!W690&gt;=2,"C",IF('Data Source'!W690&gt;=1,"D","F")))))),"")</f>
        <v/>
      </c>
      <c r="F690" s="3">
        <f>IF(AND('Data Source'!B690&lt;&gt;"",'Data Source'!S690="A+"),IF('Data Source'!X690&gt;=5,"A+",IF('Data Source'!X690&gt;=4,"A",IF('Data Source'!X690&gt;=3.5,"A-",IF('Data Source'!X690&gt;=3,"B",IF('Data Source'!X690&gt;=2,"C",IF('Data Source'!X690&gt;=1,"D","F")))))),"")</f>
        <v/>
      </c>
      <c r="G690" s="3">
        <f>IF(AND('Data Source'!B690&lt;&gt;"",'Data Source'!S690="A+"),IF('Data Source'!Y690&gt;=5,"A+",IF('Data Source'!Y690&gt;=4,"A",IF('Data Source'!Y690&gt;=3.5,"A-",IF('Data Source'!Y690&gt;=3,"B",IF('Data Source'!Y690&gt;=2,"C",IF('Data Source'!Y690&gt;=1,"D","F")))))),"")</f>
        <v/>
      </c>
      <c r="H690" s="3">
        <f>IF(AND('Data Source'!B690&lt;&gt;"",'Data Source'!S690="A+"),IF('Data Source'!Z690&gt;=5,"A+",IF('Data Source'!Z690&gt;=4,"A",IF('Data Source'!Z690&gt;=3.5,"A-",IF('Data Source'!Z690&gt;=3,"B",IF('Data Source'!Z690&gt;=2,"C",IF('Data Source'!Z690&gt;=1,"D","F")))))),"")</f>
        <v/>
      </c>
      <c r="I690" s="3">
        <f>IF(AND('Data Source'!B690&lt;&gt;"",'Data Source'!S690="A+"),IF('Data Source'!AA690&gt;=5,"A+",IF('Data Source'!AA690&gt;=4,"A",IF('Data Source'!AA690&gt;=3.5,"A-",IF('Data Source'!AA690&gt;=3,"B",IF('Data Source'!AA690&gt;=2,"C",IF('Data Source'!AA690&gt;=1,"D","F")))))),"")</f>
        <v/>
      </c>
      <c r="J690" s="3">
        <f>IF(AND('Data Source'!B690&lt;&gt;"",'Data Source'!S690="A+"),IF('Data Source'!AB690&gt;=5,"A+",IF('Data Source'!AB690&gt;=4,"A",IF('Data Source'!AB690&gt;=3.5,"A-",IF('Data Source'!AB690&gt;=3,"B",IF('Data Source'!AB690&gt;=2,"C",IF('Data Source'!AB690&gt;=1,"D","F")))))),"")</f>
        <v/>
      </c>
      <c r="K690" s="3">
        <f>IF(AND('Data Source'!B690&lt;&gt;"",'Data Source'!S690="A+"),IF('Data Source'!AC690&gt;=5,"A+",IF('Data Source'!AC690&gt;=4,"A",IF('Data Source'!AC690&gt;=3.5,"A-",IF('Data Source'!AC690&gt;=3,"B",IF('Data Source'!AC690&gt;=2,"C",IF('Data Source'!AC690&gt;=1,"D","F")))))),"")</f>
        <v/>
      </c>
      <c r="L690" s="3">
        <f>IF(AND('Data Source'!B690&lt;&gt;"",'Data Source'!S690="A+"),IF('Data Source'!AD690&gt;=5,"A+",IF('Data Source'!AD690&gt;=4,"A",IF('Data Source'!AD690&gt;=3.5,"A-",IF('Data Source'!AD690&gt;=3,"B",IF('Data Source'!AD690&gt;=2,"C",IF('Data Source'!AD690&gt;=1,"D","F")))))),"")</f>
        <v/>
      </c>
      <c r="M690" s="3">
        <f>IF(AND('Data Source'!B690&lt;&gt;"",'Data Source'!S690="A+"),IF('Data Source'!AE690&gt;=5,"A+",IF('Data Source'!AE690&gt;=4,"A",IF('Data Source'!AE690&gt;=3.5,"A-",IF('Data Source'!AE690&gt;=3,"B",IF('Data Source'!AE690&gt;=2,"C",IF('Data Source'!AE690&gt;=1,"D","F")))))),"")</f>
        <v/>
      </c>
      <c r="N690" s="3">
        <f>IF(AND('Data Source'!B690&lt;&gt;"",'Data Source'!S690="A+"),IF('Data Source'!AF690&gt;=5,"A+",IF('Data Source'!AF690&gt;=4,"A",IF('Data Source'!AF690&gt;=3.5,"A-",IF('Data Source'!AF690&gt;=3,"B",IF('Data Source'!AF690&gt;=2,"C",IF('Data Source'!AF690&gt;=1,"D","F")))))),"")</f>
        <v/>
      </c>
      <c r="O690" s="3">
        <f>IF(AND('Data Source'!B690&lt;&gt;"",'Data Source'!S690="A+"),IF('Data Source'!AG690&gt;=5,"A+",IF('Data Source'!AG690&gt;=4,"A",IF('Data Source'!AG690&gt;=3.5,"A-",IF('Data Source'!AG690&gt;=3,"B",IF('Data Source'!AG690&gt;=2,"C",IF('Data Source'!AG690&gt;=1,"D","F")))))),"")</f>
        <v/>
      </c>
      <c r="P690" s="5">
        <f>IF(AND('Data Source'!B690&lt;&gt;"",'Data Source'!S690="A+"),'Data Source'!R690,"")</f>
        <v/>
      </c>
      <c r="Q690" s="3">
        <f>IF(AND('Data Source'!B690&lt;&gt;"",'Data Source'!S690="A+"),'Data Source'!S690,"")</f>
        <v/>
      </c>
    </row>
    <row r="691">
      <c r="A691" s="3">
        <f>IF(AND('Data Source'!B691&lt;&gt;"",'Data Source'!S691="A+"),COUNTIF('Data Source'!$S$3:S691,"A+"),"")</f>
        <v/>
      </c>
      <c r="B691">
        <f>IF(AND('Data Source'!B691&lt;&gt;"",'Data Source'!S691="A+"),'Data Source'!B691,"")</f>
        <v/>
      </c>
      <c r="C691" s="3">
        <f>IF(AND('Data Source'!B691&lt;&gt;"",'Data Source'!S691="A+"),IF('Data Source'!U691&gt;=5,"A+",IF('Data Source'!U691&gt;=4,"A",IF('Data Source'!U691&gt;=3.5,"A-",IF('Data Source'!U691&gt;=3,"B",IF('Data Source'!U691&gt;=2,"C",IF('Data Source'!U691&gt;=1,"D","F")))))),"")</f>
        <v/>
      </c>
      <c r="D691" s="3">
        <f>IF(AND('Data Source'!B691&lt;&gt;"",'Data Source'!S691="A+"),IF('Data Source'!V691&gt;=5,"A+",IF('Data Source'!V691&gt;=4,"A",IF('Data Source'!V691&gt;=3.5,"A-",IF('Data Source'!V691&gt;=3,"B",IF('Data Source'!V691&gt;=2,"C",IF('Data Source'!V691&gt;=1,"D","F")))))),"")</f>
        <v/>
      </c>
      <c r="E691" s="3">
        <f>IF(AND('Data Source'!B691&lt;&gt;"",'Data Source'!S691="A+"),IF('Data Source'!W691&gt;=5,"A+",IF('Data Source'!W691&gt;=4,"A",IF('Data Source'!W691&gt;=3.5,"A-",IF('Data Source'!W691&gt;=3,"B",IF('Data Source'!W691&gt;=2,"C",IF('Data Source'!W691&gt;=1,"D","F")))))),"")</f>
        <v/>
      </c>
      <c r="F691" s="3">
        <f>IF(AND('Data Source'!B691&lt;&gt;"",'Data Source'!S691="A+"),IF('Data Source'!X691&gt;=5,"A+",IF('Data Source'!X691&gt;=4,"A",IF('Data Source'!X691&gt;=3.5,"A-",IF('Data Source'!X691&gt;=3,"B",IF('Data Source'!X691&gt;=2,"C",IF('Data Source'!X691&gt;=1,"D","F")))))),"")</f>
        <v/>
      </c>
      <c r="G691" s="3">
        <f>IF(AND('Data Source'!B691&lt;&gt;"",'Data Source'!S691="A+"),IF('Data Source'!Y691&gt;=5,"A+",IF('Data Source'!Y691&gt;=4,"A",IF('Data Source'!Y691&gt;=3.5,"A-",IF('Data Source'!Y691&gt;=3,"B",IF('Data Source'!Y691&gt;=2,"C",IF('Data Source'!Y691&gt;=1,"D","F")))))),"")</f>
        <v/>
      </c>
      <c r="H691" s="3">
        <f>IF(AND('Data Source'!B691&lt;&gt;"",'Data Source'!S691="A+"),IF('Data Source'!Z691&gt;=5,"A+",IF('Data Source'!Z691&gt;=4,"A",IF('Data Source'!Z691&gt;=3.5,"A-",IF('Data Source'!Z691&gt;=3,"B",IF('Data Source'!Z691&gt;=2,"C",IF('Data Source'!Z691&gt;=1,"D","F")))))),"")</f>
        <v/>
      </c>
      <c r="I691" s="3">
        <f>IF(AND('Data Source'!B691&lt;&gt;"",'Data Source'!S691="A+"),IF('Data Source'!AA691&gt;=5,"A+",IF('Data Source'!AA691&gt;=4,"A",IF('Data Source'!AA691&gt;=3.5,"A-",IF('Data Source'!AA691&gt;=3,"B",IF('Data Source'!AA691&gt;=2,"C",IF('Data Source'!AA691&gt;=1,"D","F")))))),"")</f>
        <v/>
      </c>
      <c r="J691" s="3">
        <f>IF(AND('Data Source'!B691&lt;&gt;"",'Data Source'!S691="A+"),IF('Data Source'!AB691&gt;=5,"A+",IF('Data Source'!AB691&gt;=4,"A",IF('Data Source'!AB691&gt;=3.5,"A-",IF('Data Source'!AB691&gt;=3,"B",IF('Data Source'!AB691&gt;=2,"C",IF('Data Source'!AB691&gt;=1,"D","F")))))),"")</f>
        <v/>
      </c>
      <c r="K691" s="3">
        <f>IF(AND('Data Source'!B691&lt;&gt;"",'Data Source'!S691="A+"),IF('Data Source'!AC691&gt;=5,"A+",IF('Data Source'!AC691&gt;=4,"A",IF('Data Source'!AC691&gt;=3.5,"A-",IF('Data Source'!AC691&gt;=3,"B",IF('Data Source'!AC691&gt;=2,"C",IF('Data Source'!AC691&gt;=1,"D","F")))))),"")</f>
        <v/>
      </c>
      <c r="L691" s="3">
        <f>IF(AND('Data Source'!B691&lt;&gt;"",'Data Source'!S691="A+"),IF('Data Source'!AD691&gt;=5,"A+",IF('Data Source'!AD691&gt;=4,"A",IF('Data Source'!AD691&gt;=3.5,"A-",IF('Data Source'!AD691&gt;=3,"B",IF('Data Source'!AD691&gt;=2,"C",IF('Data Source'!AD691&gt;=1,"D","F")))))),"")</f>
        <v/>
      </c>
      <c r="M691" s="3">
        <f>IF(AND('Data Source'!B691&lt;&gt;"",'Data Source'!S691="A+"),IF('Data Source'!AE691&gt;=5,"A+",IF('Data Source'!AE691&gt;=4,"A",IF('Data Source'!AE691&gt;=3.5,"A-",IF('Data Source'!AE691&gt;=3,"B",IF('Data Source'!AE691&gt;=2,"C",IF('Data Source'!AE691&gt;=1,"D","F")))))),"")</f>
        <v/>
      </c>
      <c r="N691" s="3">
        <f>IF(AND('Data Source'!B691&lt;&gt;"",'Data Source'!S691="A+"),IF('Data Source'!AF691&gt;=5,"A+",IF('Data Source'!AF691&gt;=4,"A",IF('Data Source'!AF691&gt;=3.5,"A-",IF('Data Source'!AF691&gt;=3,"B",IF('Data Source'!AF691&gt;=2,"C",IF('Data Source'!AF691&gt;=1,"D","F")))))),"")</f>
        <v/>
      </c>
      <c r="O691" s="3">
        <f>IF(AND('Data Source'!B691&lt;&gt;"",'Data Source'!S691="A+"),IF('Data Source'!AG691&gt;=5,"A+",IF('Data Source'!AG691&gt;=4,"A",IF('Data Source'!AG691&gt;=3.5,"A-",IF('Data Source'!AG691&gt;=3,"B",IF('Data Source'!AG691&gt;=2,"C",IF('Data Source'!AG691&gt;=1,"D","F")))))),"")</f>
        <v/>
      </c>
      <c r="P691" s="5">
        <f>IF(AND('Data Source'!B691&lt;&gt;"",'Data Source'!S691="A+"),'Data Source'!R691,"")</f>
        <v/>
      </c>
      <c r="Q691" s="3">
        <f>IF(AND('Data Source'!B691&lt;&gt;"",'Data Source'!S691="A+"),'Data Source'!S691,"")</f>
        <v/>
      </c>
    </row>
    <row r="692">
      <c r="A692" s="3">
        <f>IF(AND('Data Source'!B692&lt;&gt;"",'Data Source'!S692="A+"),COUNTIF('Data Source'!$S$3:S692,"A+"),"")</f>
        <v/>
      </c>
      <c r="B692">
        <f>IF(AND('Data Source'!B692&lt;&gt;"",'Data Source'!S692="A+"),'Data Source'!B692,"")</f>
        <v/>
      </c>
      <c r="C692" s="3">
        <f>IF(AND('Data Source'!B692&lt;&gt;"",'Data Source'!S692="A+"),IF('Data Source'!U692&gt;=5,"A+",IF('Data Source'!U692&gt;=4,"A",IF('Data Source'!U692&gt;=3.5,"A-",IF('Data Source'!U692&gt;=3,"B",IF('Data Source'!U692&gt;=2,"C",IF('Data Source'!U692&gt;=1,"D","F")))))),"")</f>
        <v/>
      </c>
      <c r="D692" s="3">
        <f>IF(AND('Data Source'!B692&lt;&gt;"",'Data Source'!S692="A+"),IF('Data Source'!V692&gt;=5,"A+",IF('Data Source'!V692&gt;=4,"A",IF('Data Source'!V692&gt;=3.5,"A-",IF('Data Source'!V692&gt;=3,"B",IF('Data Source'!V692&gt;=2,"C",IF('Data Source'!V692&gt;=1,"D","F")))))),"")</f>
        <v/>
      </c>
      <c r="E692" s="3">
        <f>IF(AND('Data Source'!B692&lt;&gt;"",'Data Source'!S692="A+"),IF('Data Source'!W692&gt;=5,"A+",IF('Data Source'!W692&gt;=4,"A",IF('Data Source'!W692&gt;=3.5,"A-",IF('Data Source'!W692&gt;=3,"B",IF('Data Source'!W692&gt;=2,"C",IF('Data Source'!W692&gt;=1,"D","F")))))),"")</f>
        <v/>
      </c>
      <c r="F692" s="3">
        <f>IF(AND('Data Source'!B692&lt;&gt;"",'Data Source'!S692="A+"),IF('Data Source'!X692&gt;=5,"A+",IF('Data Source'!X692&gt;=4,"A",IF('Data Source'!X692&gt;=3.5,"A-",IF('Data Source'!X692&gt;=3,"B",IF('Data Source'!X692&gt;=2,"C",IF('Data Source'!X692&gt;=1,"D","F")))))),"")</f>
        <v/>
      </c>
      <c r="G692" s="3">
        <f>IF(AND('Data Source'!B692&lt;&gt;"",'Data Source'!S692="A+"),IF('Data Source'!Y692&gt;=5,"A+",IF('Data Source'!Y692&gt;=4,"A",IF('Data Source'!Y692&gt;=3.5,"A-",IF('Data Source'!Y692&gt;=3,"B",IF('Data Source'!Y692&gt;=2,"C",IF('Data Source'!Y692&gt;=1,"D","F")))))),"")</f>
        <v/>
      </c>
      <c r="H692" s="3">
        <f>IF(AND('Data Source'!B692&lt;&gt;"",'Data Source'!S692="A+"),IF('Data Source'!Z692&gt;=5,"A+",IF('Data Source'!Z692&gt;=4,"A",IF('Data Source'!Z692&gt;=3.5,"A-",IF('Data Source'!Z692&gt;=3,"B",IF('Data Source'!Z692&gt;=2,"C",IF('Data Source'!Z692&gt;=1,"D","F")))))),"")</f>
        <v/>
      </c>
      <c r="I692" s="3">
        <f>IF(AND('Data Source'!B692&lt;&gt;"",'Data Source'!S692="A+"),IF('Data Source'!AA692&gt;=5,"A+",IF('Data Source'!AA692&gt;=4,"A",IF('Data Source'!AA692&gt;=3.5,"A-",IF('Data Source'!AA692&gt;=3,"B",IF('Data Source'!AA692&gt;=2,"C",IF('Data Source'!AA692&gt;=1,"D","F")))))),"")</f>
        <v/>
      </c>
      <c r="J692" s="3">
        <f>IF(AND('Data Source'!B692&lt;&gt;"",'Data Source'!S692="A+"),IF('Data Source'!AB692&gt;=5,"A+",IF('Data Source'!AB692&gt;=4,"A",IF('Data Source'!AB692&gt;=3.5,"A-",IF('Data Source'!AB692&gt;=3,"B",IF('Data Source'!AB692&gt;=2,"C",IF('Data Source'!AB692&gt;=1,"D","F")))))),"")</f>
        <v/>
      </c>
      <c r="K692" s="3">
        <f>IF(AND('Data Source'!B692&lt;&gt;"",'Data Source'!S692="A+"),IF('Data Source'!AC692&gt;=5,"A+",IF('Data Source'!AC692&gt;=4,"A",IF('Data Source'!AC692&gt;=3.5,"A-",IF('Data Source'!AC692&gt;=3,"B",IF('Data Source'!AC692&gt;=2,"C",IF('Data Source'!AC692&gt;=1,"D","F")))))),"")</f>
        <v/>
      </c>
      <c r="L692" s="3">
        <f>IF(AND('Data Source'!B692&lt;&gt;"",'Data Source'!S692="A+"),IF('Data Source'!AD692&gt;=5,"A+",IF('Data Source'!AD692&gt;=4,"A",IF('Data Source'!AD692&gt;=3.5,"A-",IF('Data Source'!AD692&gt;=3,"B",IF('Data Source'!AD692&gt;=2,"C",IF('Data Source'!AD692&gt;=1,"D","F")))))),"")</f>
        <v/>
      </c>
      <c r="M692" s="3">
        <f>IF(AND('Data Source'!B692&lt;&gt;"",'Data Source'!S692="A+"),IF('Data Source'!AE692&gt;=5,"A+",IF('Data Source'!AE692&gt;=4,"A",IF('Data Source'!AE692&gt;=3.5,"A-",IF('Data Source'!AE692&gt;=3,"B",IF('Data Source'!AE692&gt;=2,"C",IF('Data Source'!AE692&gt;=1,"D","F")))))),"")</f>
        <v/>
      </c>
      <c r="N692" s="3">
        <f>IF(AND('Data Source'!B692&lt;&gt;"",'Data Source'!S692="A+"),IF('Data Source'!AF692&gt;=5,"A+",IF('Data Source'!AF692&gt;=4,"A",IF('Data Source'!AF692&gt;=3.5,"A-",IF('Data Source'!AF692&gt;=3,"B",IF('Data Source'!AF692&gt;=2,"C",IF('Data Source'!AF692&gt;=1,"D","F")))))),"")</f>
        <v/>
      </c>
      <c r="O692" s="3">
        <f>IF(AND('Data Source'!B692&lt;&gt;"",'Data Source'!S692="A+"),IF('Data Source'!AG692&gt;=5,"A+",IF('Data Source'!AG692&gt;=4,"A",IF('Data Source'!AG692&gt;=3.5,"A-",IF('Data Source'!AG692&gt;=3,"B",IF('Data Source'!AG692&gt;=2,"C",IF('Data Source'!AG692&gt;=1,"D","F")))))),"")</f>
        <v/>
      </c>
      <c r="P692" s="5">
        <f>IF(AND('Data Source'!B692&lt;&gt;"",'Data Source'!S692="A+"),'Data Source'!R692,"")</f>
        <v/>
      </c>
      <c r="Q692" s="3">
        <f>IF(AND('Data Source'!B692&lt;&gt;"",'Data Source'!S692="A+"),'Data Source'!S692,"")</f>
        <v/>
      </c>
    </row>
    <row r="693">
      <c r="A693" s="3">
        <f>IF(AND('Data Source'!B693&lt;&gt;"",'Data Source'!S693="A+"),COUNTIF('Data Source'!$S$3:S693,"A+"),"")</f>
        <v/>
      </c>
      <c r="B693">
        <f>IF(AND('Data Source'!B693&lt;&gt;"",'Data Source'!S693="A+"),'Data Source'!B693,"")</f>
        <v/>
      </c>
      <c r="C693" s="3">
        <f>IF(AND('Data Source'!B693&lt;&gt;"",'Data Source'!S693="A+"),IF('Data Source'!U693&gt;=5,"A+",IF('Data Source'!U693&gt;=4,"A",IF('Data Source'!U693&gt;=3.5,"A-",IF('Data Source'!U693&gt;=3,"B",IF('Data Source'!U693&gt;=2,"C",IF('Data Source'!U693&gt;=1,"D","F")))))),"")</f>
        <v/>
      </c>
      <c r="D693" s="3">
        <f>IF(AND('Data Source'!B693&lt;&gt;"",'Data Source'!S693="A+"),IF('Data Source'!V693&gt;=5,"A+",IF('Data Source'!V693&gt;=4,"A",IF('Data Source'!V693&gt;=3.5,"A-",IF('Data Source'!V693&gt;=3,"B",IF('Data Source'!V693&gt;=2,"C",IF('Data Source'!V693&gt;=1,"D","F")))))),"")</f>
        <v/>
      </c>
      <c r="E693" s="3">
        <f>IF(AND('Data Source'!B693&lt;&gt;"",'Data Source'!S693="A+"),IF('Data Source'!W693&gt;=5,"A+",IF('Data Source'!W693&gt;=4,"A",IF('Data Source'!W693&gt;=3.5,"A-",IF('Data Source'!W693&gt;=3,"B",IF('Data Source'!W693&gt;=2,"C",IF('Data Source'!W693&gt;=1,"D","F")))))),"")</f>
        <v/>
      </c>
      <c r="F693" s="3">
        <f>IF(AND('Data Source'!B693&lt;&gt;"",'Data Source'!S693="A+"),IF('Data Source'!X693&gt;=5,"A+",IF('Data Source'!X693&gt;=4,"A",IF('Data Source'!X693&gt;=3.5,"A-",IF('Data Source'!X693&gt;=3,"B",IF('Data Source'!X693&gt;=2,"C",IF('Data Source'!X693&gt;=1,"D","F")))))),"")</f>
        <v/>
      </c>
      <c r="G693" s="3">
        <f>IF(AND('Data Source'!B693&lt;&gt;"",'Data Source'!S693="A+"),IF('Data Source'!Y693&gt;=5,"A+",IF('Data Source'!Y693&gt;=4,"A",IF('Data Source'!Y693&gt;=3.5,"A-",IF('Data Source'!Y693&gt;=3,"B",IF('Data Source'!Y693&gt;=2,"C",IF('Data Source'!Y693&gt;=1,"D","F")))))),"")</f>
        <v/>
      </c>
      <c r="H693" s="3">
        <f>IF(AND('Data Source'!B693&lt;&gt;"",'Data Source'!S693="A+"),IF('Data Source'!Z693&gt;=5,"A+",IF('Data Source'!Z693&gt;=4,"A",IF('Data Source'!Z693&gt;=3.5,"A-",IF('Data Source'!Z693&gt;=3,"B",IF('Data Source'!Z693&gt;=2,"C",IF('Data Source'!Z693&gt;=1,"D","F")))))),"")</f>
        <v/>
      </c>
      <c r="I693" s="3">
        <f>IF(AND('Data Source'!B693&lt;&gt;"",'Data Source'!S693="A+"),IF('Data Source'!AA693&gt;=5,"A+",IF('Data Source'!AA693&gt;=4,"A",IF('Data Source'!AA693&gt;=3.5,"A-",IF('Data Source'!AA693&gt;=3,"B",IF('Data Source'!AA693&gt;=2,"C",IF('Data Source'!AA693&gt;=1,"D","F")))))),"")</f>
        <v/>
      </c>
      <c r="J693" s="3">
        <f>IF(AND('Data Source'!B693&lt;&gt;"",'Data Source'!S693="A+"),IF('Data Source'!AB693&gt;=5,"A+",IF('Data Source'!AB693&gt;=4,"A",IF('Data Source'!AB693&gt;=3.5,"A-",IF('Data Source'!AB693&gt;=3,"B",IF('Data Source'!AB693&gt;=2,"C",IF('Data Source'!AB693&gt;=1,"D","F")))))),"")</f>
        <v/>
      </c>
      <c r="K693" s="3">
        <f>IF(AND('Data Source'!B693&lt;&gt;"",'Data Source'!S693="A+"),IF('Data Source'!AC693&gt;=5,"A+",IF('Data Source'!AC693&gt;=4,"A",IF('Data Source'!AC693&gt;=3.5,"A-",IF('Data Source'!AC693&gt;=3,"B",IF('Data Source'!AC693&gt;=2,"C",IF('Data Source'!AC693&gt;=1,"D","F")))))),"")</f>
        <v/>
      </c>
      <c r="L693" s="3">
        <f>IF(AND('Data Source'!B693&lt;&gt;"",'Data Source'!S693="A+"),IF('Data Source'!AD693&gt;=5,"A+",IF('Data Source'!AD693&gt;=4,"A",IF('Data Source'!AD693&gt;=3.5,"A-",IF('Data Source'!AD693&gt;=3,"B",IF('Data Source'!AD693&gt;=2,"C",IF('Data Source'!AD693&gt;=1,"D","F")))))),"")</f>
        <v/>
      </c>
      <c r="M693" s="3">
        <f>IF(AND('Data Source'!B693&lt;&gt;"",'Data Source'!S693="A+"),IF('Data Source'!AE693&gt;=5,"A+",IF('Data Source'!AE693&gt;=4,"A",IF('Data Source'!AE693&gt;=3.5,"A-",IF('Data Source'!AE693&gt;=3,"B",IF('Data Source'!AE693&gt;=2,"C",IF('Data Source'!AE693&gt;=1,"D","F")))))),"")</f>
        <v/>
      </c>
      <c r="N693" s="3">
        <f>IF(AND('Data Source'!B693&lt;&gt;"",'Data Source'!S693="A+"),IF('Data Source'!AF693&gt;=5,"A+",IF('Data Source'!AF693&gt;=4,"A",IF('Data Source'!AF693&gt;=3.5,"A-",IF('Data Source'!AF693&gt;=3,"B",IF('Data Source'!AF693&gt;=2,"C",IF('Data Source'!AF693&gt;=1,"D","F")))))),"")</f>
        <v/>
      </c>
      <c r="O693" s="3">
        <f>IF(AND('Data Source'!B693&lt;&gt;"",'Data Source'!S693="A+"),IF('Data Source'!AG693&gt;=5,"A+",IF('Data Source'!AG693&gt;=4,"A",IF('Data Source'!AG693&gt;=3.5,"A-",IF('Data Source'!AG693&gt;=3,"B",IF('Data Source'!AG693&gt;=2,"C",IF('Data Source'!AG693&gt;=1,"D","F")))))),"")</f>
        <v/>
      </c>
      <c r="P693" s="5">
        <f>IF(AND('Data Source'!B693&lt;&gt;"",'Data Source'!S693="A+"),'Data Source'!R693,"")</f>
        <v/>
      </c>
      <c r="Q693" s="3">
        <f>IF(AND('Data Source'!B693&lt;&gt;"",'Data Source'!S693="A+"),'Data Source'!S693,"")</f>
        <v/>
      </c>
    </row>
    <row r="694">
      <c r="A694" s="3">
        <f>IF(AND('Data Source'!B694&lt;&gt;"",'Data Source'!S694="A+"),COUNTIF('Data Source'!$S$3:S694,"A+"),"")</f>
        <v/>
      </c>
      <c r="B694">
        <f>IF(AND('Data Source'!B694&lt;&gt;"",'Data Source'!S694="A+"),'Data Source'!B694,"")</f>
        <v/>
      </c>
      <c r="C694" s="3">
        <f>IF(AND('Data Source'!B694&lt;&gt;"",'Data Source'!S694="A+"),IF('Data Source'!U694&gt;=5,"A+",IF('Data Source'!U694&gt;=4,"A",IF('Data Source'!U694&gt;=3.5,"A-",IF('Data Source'!U694&gt;=3,"B",IF('Data Source'!U694&gt;=2,"C",IF('Data Source'!U694&gt;=1,"D","F")))))),"")</f>
        <v/>
      </c>
      <c r="D694" s="3">
        <f>IF(AND('Data Source'!B694&lt;&gt;"",'Data Source'!S694="A+"),IF('Data Source'!V694&gt;=5,"A+",IF('Data Source'!V694&gt;=4,"A",IF('Data Source'!V694&gt;=3.5,"A-",IF('Data Source'!V694&gt;=3,"B",IF('Data Source'!V694&gt;=2,"C",IF('Data Source'!V694&gt;=1,"D","F")))))),"")</f>
        <v/>
      </c>
      <c r="E694" s="3">
        <f>IF(AND('Data Source'!B694&lt;&gt;"",'Data Source'!S694="A+"),IF('Data Source'!W694&gt;=5,"A+",IF('Data Source'!W694&gt;=4,"A",IF('Data Source'!W694&gt;=3.5,"A-",IF('Data Source'!W694&gt;=3,"B",IF('Data Source'!W694&gt;=2,"C",IF('Data Source'!W694&gt;=1,"D","F")))))),"")</f>
        <v/>
      </c>
      <c r="F694" s="3">
        <f>IF(AND('Data Source'!B694&lt;&gt;"",'Data Source'!S694="A+"),IF('Data Source'!X694&gt;=5,"A+",IF('Data Source'!X694&gt;=4,"A",IF('Data Source'!X694&gt;=3.5,"A-",IF('Data Source'!X694&gt;=3,"B",IF('Data Source'!X694&gt;=2,"C",IF('Data Source'!X694&gt;=1,"D","F")))))),"")</f>
        <v/>
      </c>
      <c r="G694" s="3">
        <f>IF(AND('Data Source'!B694&lt;&gt;"",'Data Source'!S694="A+"),IF('Data Source'!Y694&gt;=5,"A+",IF('Data Source'!Y694&gt;=4,"A",IF('Data Source'!Y694&gt;=3.5,"A-",IF('Data Source'!Y694&gt;=3,"B",IF('Data Source'!Y694&gt;=2,"C",IF('Data Source'!Y694&gt;=1,"D","F")))))),"")</f>
        <v/>
      </c>
      <c r="H694" s="3">
        <f>IF(AND('Data Source'!B694&lt;&gt;"",'Data Source'!S694="A+"),IF('Data Source'!Z694&gt;=5,"A+",IF('Data Source'!Z694&gt;=4,"A",IF('Data Source'!Z694&gt;=3.5,"A-",IF('Data Source'!Z694&gt;=3,"B",IF('Data Source'!Z694&gt;=2,"C",IF('Data Source'!Z694&gt;=1,"D","F")))))),"")</f>
        <v/>
      </c>
      <c r="I694" s="3">
        <f>IF(AND('Data Source'!B694&lt;&gt;"",'Data Source'!S694="A+"),IF('Data Source'!AA694&gt;=5,"A+",IF('Data Source'!AA694&gt;=4,"A",IF('Data Source'!AA694&gt;=3.5,"A-",IF('Data Source'!AA694&gt;=3,"B",IF('Data Source'!AA694&gt;=2,"C",IF('Data Source'!AA694&gt;=1,"D","F")))))),"")</f>
        <v/>
      </c>
      <c r="J694" s="3">
        <f>IF(AND('Data Source'!B694&lt;&gt;"",'Data Source'!S694="A+"),IF('Data Source'!AB694&gt;=5,"A+",IF('Data Source'!AB694&gt;=4,"A",IF('Data Source'!AB694&gt;=3.5,"A-",IF('Data Source'!AB694&gt;=3,"B",IF('Data Source'!AB694&gt;=2,"C",IF('Data Source'!AB694&gt;=1,"D","F")))))),"")</f>
        <v/>
      </c>
      <c r="K694" s="3">
        <f>IF(AND('Data Source'!B694&lt;&gt;"",'Data Source'!S694="A+"),IF('Data Source'!AC694&gt;=5,"A+",IF('Data Source'!AC694&gt;=4,"A",IF('Data Source'!AC694&gt;=3.5,"A-",IF('Data Source'!AC694&gt;=3,"B",IF('Data Source'!AC694&gt;=2,"C",IF('Data Source'!AC694&gt;=1,"D","F")))))),"")</f>
        <v/>
      </c>
      <c r="L694" s="3">
        <f>IF(AND('Data Source'!B694&lt;&gt;"",'Data Source'!S694="A+"),IF('Data Source'!AD694&gt;=5,"A+",IF('Data Source'!AD694&gt;=4,"A",IF('Data Source'!AD694&gt;=3.5,"A-",IF('Data Source'!AD694&gt;=3,"B",IF('Data Source'!AD694&gt;=2,"C",IF('Data Source'!AD694&gt;=1,"D","F")))))),"")</f>
        <v/>
      </c>
      <c r="M694" s="3">
        <f>IF(AND('Data Source'!B694&lt;&gt;"",'Data Source'!S694="A+"),IF('Data Source'!AE694&gt;=5,"A+",IF('Data Source'!AE694&gt;=4,"A",IF('Data Source'!AE694&gt;=3.5,"A-",IF('Data Source'!AE694&gt;=3,"B",IF('Data Source'!AE694&gt;=2,"C",IF('Data Source'!AE694&gt;=1,"D","F")))))),"")</f>
        <v/>
      </c>
      <c r="N694" s="3">
        <f>IF(AND('Data Source'!B694&lt;&gt;"",'Data Source'!S694="A+"),IF('Data Source'!AF694&gt;=5,"A+",IF('Data Source'!AF694&gt;=4,"A",IF('Data Source'!AF694&gt;=3.5,"A-",IF('Data Source'!AF694&gt;=3,"B",IF('Data Source'!AF694&gt;=2,"C",IF('Data Source'!AF694&gt;=1,"D","F")))))),"")</f>
        <v/>
      </c>
      <c r="O694" s="3">
        <f>IF(AND('Data Source'!B694&lt;&gt;"",'Data Source'!S694="A+"),IF('Data Source'!AG694&gt;=5,"A+",IF('Data Source'!AG694&gt;=4,"A",IF('Data Source'!AG694&gt;=3.5,"A-",IF('Data Source'!AG694&gt;=3,"B",IF('Data Source'!AG694&gt;=2,"C",IF('Data Source'!AG694&gt;=1,"D","F")))))),"")</f>
        <v/>
      </c>
      <c r="P694" s="5">
        <f>IF(AND('Data Source'!B694&lt;&gt;"",'Data Source'!S694="A+"),'Data Source'!R694,"")</f>
        <v/>
      </c>
      <c r="Q694" s="3">
        <f>IF(AND('Data Source'!B694&lt;&gt;"",'Data Source'!S694="A+"),'Data Source'!S694,"")</f>
        <v/>
      </c>
    </row>
    <row r="695">
      <c r="A695" s="3">
        <f>IF(AND('Data Source'!B695&lt;&gt;"",'Data Source'!S695="A+"),COUNTIF('Data Source'!$S$3:S695,"A+"),"")</f>
        <v/>
      </c>
      <c r="B695">
        <f>IF(AND('Data Source'!B695&lt;&gt;"",'Data Source'!S695="A+"),'Data Source'!B695,"")</f>
        <v/>
      </c>
      <c r="C695" s="3">
        <f>IF(AND('Data Source'!B695&lt;&gt;"",'Data Source'!S695="A+"),IF('Data Source'!U695&gt;=5,"A+",IF('Data Source'!U695&gt;=4,"A",IF('Data Source'!U695&gt;=3.5,"A-",IF('Data Source'!U695&gt;=3,"B",IF('Data Source'!U695&gt;=2,"C",IF('Data Source'!U695&gt;=1,"D","F")))))),"")</f>
        <v/>
      </c>
      <c r="D695" s="3">
        <f>IF(AND('Data Source'!B695&lt;&gt;"",'Data Source'!S695="A+"),IF('Data Source'!V695&gt;=5,"A+",IF('Data Source'!V695&gt;=4,"A",IF('Data Source'!V695&gt;=3.5,"A-",IF('Data Source'!V695&gt;=3,"B",IF('Data Source'!V695&gt;=2,"C",IF('Data Source'!V695&gt;=1,"D","F")))))),"")</f>
        <v/>
      </c>
      <c r="E695" s="3">
        <f>IF(AND('Data Source'!B695&lt;&gt;"",'Data Source'!S695="A+"),IF('Data Source'!W695&gt;=5,"A+",IF('Data Source'!W695&gt;=4,"A",IF('Data Source'!W695&gt;=3.5,"A-",IF('Data Source'!W695&gt;=3,"B",IF('Data Source'!W695&gt;=2,"C",IF('Data Source'!W695&gt;=1,"D","F")))))),"")</f>
        <v/>
      </c>
      <c r="F695" s="3">
        <f>IF(AND('Data Source'!B695&lt;&gt;"",'Data Source'!S695="A+"),IF('Data Source'!X695&gt;=5,"A+",IF('Data Source'!X695&gt;=4,"A",IF('Data Source'!X695&gt;=3.5,"A-",IF('Data Source'!X695&gt;=3,"B",IF('Data Source'!X695&gt;=2,"C",IF('Data Source'!X695&gt;=1,"D","F")))))),"")</f>
        <v/>
      </c>
      <c r="G695" s="3">
        <f>IF(AND('Data Source'!B695&lt;&gt;"",'Data Source'!S695="A+"),IF('Data Source'!Y695&gt;=5,"A+",IF('Data Source'!Y695&gt;=4,"A",IF('Data Source'!Y695&gt;=3.5,"A-",IF('Data Source'!Y695&gt;=3,"B",IF('Data Source'!Y695&gt;=2,"C",IF('Data Source'!Y695&gt;=1,"D","F")))))),"")</f>
        <v/>
      </c>
      <c r="H695" s="3">
        <f>IF(AND('Data Source'!B695&lt;&gt;"",'Data Source'!S695="A+"),IF('Data Source'!Z695&gt;=5,"A+",IF('Data Source'!Z695&gt;=4,"A",IF('Data Source'!Z695&gt;=3.5,"A-",IF('Data Source'!Z695&gt;=3,"B",IF('Data Source'!Z695&gt;=2,"C",IF('Data Source'!Z695&gt;=1,"D","F")))))),"")</f>
        <v/>
      </c>
      <c r="I695" s="3">
        <f>IF(AND('Data Source'!B695&lt;&gt;"",'Data Source'!S695="A+"),IF('Data Source'!AA695&gt;=5,"A+",IF('Data Source'!AA695&gt;=4,"A",IF('Data Source'!AA695&gt;=3.5,"A-",IF('Data Source'!AA695&gt;=3,"B",IF('Data Source'!AA695&gt;=2,"C",IF('Data Source'!AA695&gt;=1,"D","F")))))),"")</f>
        <v/>
      </c>
      <c r="J695" s="3">
        <f>IF(AND('Data Source'!B695&lt;&gt;"",'Data Source'!S695="A+"),IF('Data Source'!AB695&gt;=5,"A+",IF('Data Source'!AB695&gt;=4,"A",IF('Data Source'!AB695&gt;=3.5,"A-",IF('Data Source'!AB695&gt;=3,"B",IF('Data Source'!AB695&gt;=2,"C",IF('Data Source'!AB695&gt;=1,"D","F")))))),"")</f>
        <v/>
      </c>
      <c r="K695" s="3">
        <f>IF(AND('Data Source'!B695&lt;&gt;"",'Data Source'!S695="A+"),IF('Data Source'!AC695&gt;=5,"A+",IF('Data Source'!AC695&gt;=4,"A",IF('Data Source'!AC695&gt;=3.5,"A-",IF('Data Source'!AC695&gt;=3,"B",IF('Data Source'!AC695&gt;=2,"C",IF('Data Source'!AC695&gt;=1,"D","F")))))),"")</f>
        <v/>
      </c>
      <c r="L695" s="3">
        <f>IF(AND('Data Source'!B695&lt;&gt;"",'Data Source'!S695="A+"),IF('Data Source'!AD695&gt;=5,"A+",IF('Data Source'!AD695&gt;=4,"A",IF('Data Source'!AD695&gt;=3.5,"A-",IF('Data Source'!AD695&gt;=3,"B",IF('Data Source'!AD695&gt;=2,"C",IF('Data Source'!AD695&gt;=1,"D","F")))))),"")</f>
        <v/>
      </c>
      <c r="M695" s="3">
        <f>IF(AND('Data Source'!B695&lt;&gt;"",'Data Source'!S695="A+"),IF('Data Source'!AE695&gt;=5,"A+",IF('Data Source'!AE695&gt;=4,"A",IF('Data Source'!AE695&gt;=3.5,"A-",IF('Data Source'!AE695&gt;=3,"B",IF('Data Source'!AE695&gt;=2,"C",IF('Data Source'!AE695&gt;=1,"D","F")))))),"")</f>
        <v/>
      </c>
      <c r="N695" s="3">
        <f>IF(AND('Data Source'!B695&lt;&gt;"",'Data Source'!S695="A+"),IF('Data Source'!AF695&gt;=5,"A+",IF('Data Source'!AF695&gt;=4,"A",IF('Data Source'!AF695&gt;=3.5,"A-",IF('Data Source'!AF695&gt;=3,"B",IF('Data Source'!AF695&gt;=2,"C",IF('Data Source'!AF695&gt;=1,"D","F")))))),"")</f>
        <v/>
      </c>
      <c r="O695" s="3">
        <f>IF(AND('Data Source'!B695&lt;&gt;"",'Data Source'!S695="A+"),IF('Data Source'!AG695&gt;=5,"A+",IF('Data Source'!AG695&gt;=4,"A",IF('Data Source'!AG695&gt;=3.5,"A-",IF('Data Source'!AG695&gt;=3,"B",IF('Data Source'!AG695&gt;=2,"C",IF('Data Source'!AG695&gt;=1,"D","F")))))),"")</f>
        <v/>
      </c>
      <c r="P695" s="5">
        <f>IF(AND('Data Source'!B695&lt;&gt;"",'Data Source'!S695="A+"),'Data Source'!R695,"")</f>
        <v/>
      </c>
      <c r="Q695" s="3">
        <f>IF(AND('Data Source'!B695&lt;&gt;"",'Data Source'!S695="A+"),'Data Source'!S695,"")</f>
        <v/>
      </c>
    </row>
    <row r="696">
      <c r="A696" s="3">
        <f>IF(AND('Data Source'!B696&lt;&gt;"",'Data Source'!S696="A+"),COUNTIF('Data Source'!$S$3:S696,"A+"),"")</f>
        <v/>
      </c>
      <c r="B696">
        <f>IF(AND('Data Source'!B696&lt;&gt;"",'Data Source'!S696="A+"),'Data Source'!B696,"")</f>
        <v/>
      </c>
      <c r="C696" s="3">
        <f>IF(AND('Data Source'!B696&lt;&gt;"",'Data Source'!S696="A+"),IF('Data Source'!U696&gt;=5,"A+",IF('Data Source'!U696&gt;=4,"A",IF('Data Source'!U696&gt;=3.5,"A-",IF('Data Source'!U696&gt;=3,"B",IF('Data Source'!U696&gt;=2,"C",IF('Data Source'!U696&gt;=1,"D","F")))))),"")</f>
        <v/>
      </c>
      <c r="D696" s="3">
        <f>IF(AND('Data Source'!B696&lt;&gt;"",'Data Source'!S696="A+"),IF('Data Source'!V696&gt;=5,"A+",IF('Data Source'!V696&gt;=4,"A",IF('Data Source'!V696&gt;=3.5,"A-",IF('Data Source'!V696&gt;=3,"B",IF('Data Source'!V696&gt;=2,"C",IF('Data Source'!V696&gt;=1,"D","F")))))),"")</f>
        <v/>
      </c>
      <c r="E696" s="3">
        <f>IF(AND('Data Source'!B696&lt;&gt;"",'Data Source'!S696="A+"),IF('Data Source'!W696&gt;=5,"A+",IF('Data Source'!W696&gt;=4,"A",IF('Data Source'!W696&gt;=3.5,"A-",IF('Data Source'!W696&gt;=3,"B",IF('Data Source'!W696&gt;=2,"C",IF('Data Source'!W696&gt;=1,"D","F")))))),"")</f>
        <v/>
      </c>
      <c r="F696" s="3">
        <f>IF(AND('Data Source'!B696&lt;&gt;"",'Data Source'!S696="A+"),IF('Data Source'!X696&gt;=5,"A+",IF('Data Source'!X696&gt;=4,"A",IF('Data Source'!X696&gt;=3.5,"A-",IF('Data Source'!X696&gt;=3,"B",IF('Data Source'!X696&gt;=2,"C",IF('Data Source'!X696&gt;=1,"D","F")))))),"")</f>
        <v/>
      </c>
      <c r="G696" s="3">
        <f>IF(AND('Data Source'!B696&lt;&gt;"",'Data Source'!S696="A+"),IF('Data Source'!Y696&gt;=5,"A+",IF('Data Source'!Y696&gt;=4,"A",IF('Data Source'!Y696&gt;=3.5,"A-",IF('Data Source'!Y696&gt;=3,"B",IF('Data Source'!Y696&gt;=2,"C",IF('Data Source'!Y696&gt;=1,"D","F")))))),"")</f>
        <v/>
      </c>
      <c r="H696" s="3">
        <f>IF(AND('Data Source'!B696&lt;&gt;"",'Data Source'!S696="A+"),IF('Data Source'!Z696&gt;=5,"A+",IF('Data Source'!Z696&gt;=4,"A",IF('Data Source'!Z696&gt;=3.5,"A-",IF('Data Source'!Z696&gt;=3,"B",IF('Data Source'!Z696&gt;=2,"C",IF('Data Source'!Z696&gt;=1,"D","F")))))),"")</f>
        <v/>
      </c>
      <c r="I696" s="3">
        <f>IF(AND('Data Source'!B696&lt;&gt;"",'Data Source'!S696="A+"),IF('Data Source'!AA696&gt;=5,"A+",IF('Data Source'!AA696&gt;=4,"A",IF('Data Source'!AA696&gt;=3.5,"A-",IF('Data Source'!AA696&gt;=3,"B",IF('Data Source'!AA696&gt;=2,"C",IF('Data Source'!AA696&gt;=1,"D","F")))))),"")</f>
        <v/>
      </c>
      <c r="J696" s="3">
        <f>IF(AND('Data Source'!B696&lt;&gt;"",'Data Source'!S696="A+"),IF('Data Source'!AB696&gt;=5,"A+",IF('Data Source'!AB696&gt;=4,"A",IF('Data Source'!AB696&gt;=3.5,"A-",IF('Data Source'!AB696&gt;=3,"B",IF('Data Source'!AB696&gt;=2,"C",IF('Data Source'!AB696&gt;=1,"D","F")))))),"")</f>
        <v/>
      </c>
      <c r="K696" s="3">
        <f>IF(AND('Data Source'!B696&lt;&gt;"",'Data Source'!S696="A+"),IF('Data Source'!AC696&gt;=5,"A+",IF('Data Source'!AC696&gt;=4,"A",IF('Data Source'!AC696&gt;=3.5,"A-",IF('Data Source'!AC696&gt;=3,"B",IF('Data Source'!AC696&gt;=2,"C",IF('Data Source'!AC696&gt;=1,"D","F")))))),"")</f>
        <v/>
      </c>
      <c r="L696" s="3">
        <f>IF(AND('Data Source'!B696&lt;&gt;"",'Data Source'!S696="A+"),IF('Data Source'!AD696&gt;=5,"A+",IF('Data Source'!AD696&gt;=4,"A",IF('Data Source'!AD696&gt;=3.5,"A-",IF('Data Source'!AD696&gt;=3,"B",IF('Data Source'!AD696&gt;=2,"C",IF('Data Source'!AD696&gt;=1,"D","F")))))),"")</f>
        <v/>
      </c>
      <c r="M696" s="3">
        <f>IF(AND('Data Source'!B696&lt;&gt;"",'Data Source'!S696="A+"),IF('Data Source'!AE696&gt;=5,"A+",IF('Data Source'!AE696&gt;=4,"A",IF('Data Source'!AE696&gt;=3.5,"A-",IF('Data Source'!AE696&gt;=3,"B",IF('Data Source'!AE696&gt;=2,"C",IF('Data Source'!AE696&gt;=1,"D","F")))))),"")</f>
        <v/>
      </c>
      <c r="N696" s="3">
        <f>IF(AND('Data Source'!B696&lt;&gt;"",'Data Source'!S696="A+"),IF('Data Source'!AF696&gt;=5,"A+",IF('Data Source'!AF696&gt;=4,"A",IF('Data Source'!AF696&gt;=3.5,"A-",IF('Data Source'!AF696&gt;=3,"B",IF('Data Source'!AF696&gt;=2,"C",IF('Data Source'!AF696&gt;=1,"D","F")))))),"")</f>
        <v/>
      </c>
      <c r="O696" s="3">
        <f>IF(AND('Data Source'!B696&lt;&gt;"",'Data Source'!S696="A+"),IF('Data Source'!AG696&gt;=5,"A+",IF('Data Source'!AG696&gt;=4,"A",IF('Data Source'!AG696&gt;=3.5,"A-",IF('Data Source'!AG696&gt;=3,"B",IF('Data Source'!AG696&gt;=2,"C",IF('Data Source'!AG696&gt;=1,"D","F")))))),"")</f>
        <v/>
      </c>
      <c r="P696" s="5">
        <f>IF(AND('Data Source'!B696&lt;&gt;"",'Data Source'!S696="A+"),'Data Source'!R696,"")</f>
        <v/>
      </c>
      <c r="Q696" s="3">
        <f>IF(AND('Data Source'!B696&lt;&gt;"",'Data Source'!S696="A+"),'Data Source'!S696,"")</f>
        <v/>
      </c>
    </row>
    <row r="697">
      <c r="A697" s="3">
        <f>IF(AND('Data Source'!B697&lt;&gt;"",'Data Source'!S697="A+"),COUNTIF('Data Source'!$S$3:S697,"A+"),"")</f>
        <v/>
      </c>
      <c r="B697">
        <f>IF(AND('Data Source'!B697&lt;&gt;"",'Data Source'!S697="A+"),'Data Source'!B697,"")</f>
        <v/>
      </c>
      <c r="C697" s="3">
        <f>IF(AND('Data Source'!B697&lt;&gt;"",'Data Source'!S697="A+"),IF('Data Source'!U697&gt;=5,"A+",IF('Data Source'!U697&gt;=4,"A",IF('Data Source'!U697&gt;=3.5,"A-",IF('Data Source'!U697&gt;=3,"B",IF('Data Source'!U697&gt;=2,"C",IF('Data Source'!U697&gt;=1,"D","F")))))),"")</f>
        <v/>
      </c>
      <c r="D697" s="3">
        <f>IF(AND('Data Source'!B697&lt;&gt;"",'Data Source'!S697="A+"),IF('Data Source'!V697&gt;=5,"A+",IF('Data Source'!V697&gt;=4,"A",IF('Data Source'!V697&gt;=3.5,"A-",IF('Data Source'!V697&gt;=3,"B",IF('Data Source'!V697&gt;=2,"C",IF('Data Source'!V697&gt;=1,"D","F")))))),"")</f>
        <v/>
      </c>
      <c r="E697" s="3">
        <f>IF(AND('Data Source'!B697&lt;&gt;"",'Data Source'!S697="A+"),IF('Data Source'!W697&gt;=5,"A+",IF('Data Source'!W697&gt;=4,"A",IF('Data Source'!W697&gt;=3.5,"A-",IF('Data Source'!W697&gt;=3,"B",IF('Data Source'!W697&gt;=2,"C",IF('Data Source'!W697&gt;=1,"D","F")))))),"")</f>
        <v/>
      </c>
      <c r="F697" s="3">
        <f>IF(AND('Data Source'!B697&lt;&gt;"",'Data Source'!S697="A+"),IF('Data Source'!X697&gt;=5,"A+",IF('Data Source'!X697&gt;=4,"A",IF('Data Source'!X697&gt;=3.5,"A-",IF('Data Source'!X697&gt;=3,"B",IF('Data Source'!X697&gt;=2,"C",IF('Data Source'!X697&gt;=1,"D","F")))))),"")</f>
        <v/>
      </c>
      <c r="G697" s="3">
        <f>IF(AND('Data Source'!B697&lt;&gt;"",'Data Source'!S697="A+"),IF('Data Source'!Y697&gt;=5,"A+",IF('Data Source'!Y697&gt;=4,"A",IF('Data Source'!Y697&gt;=3.5,"A-",IF('Data Source'!Y697&gt;=3,"B",IF('Data Source'!Y697&gt;=2,"C",IF('Data Source'!Y697&gt;=1,"D","F")))))),"")</f>
        <v/>
      </c>
      <c r="H697" s="3">
        <f>IF(AND('Data Source'!B697&lt;&gt;"",'Data Source'!S697="A+"),IF('Data Source'!Z697&gt;=5,"A+",IF('Data Source'!Z697&gt;=4,"A",IF('Data Source'!Z697&gt;=3.5,"A-",IF('Data Source'!Z697&gt;=3,"B",IF('Data Source'!Z697&gt;=2,"C",IF('Data Source'!Z697&gt;=1,"D","F")))))),"")</f>
        <v/>
      </c>
      <c r="I697" s="3">
        <f>IF(AND('Data Source'!B697&lt;&gt;"",'Data Source'!S697="A+"),IF('Data Source'!AA697&gt;=5,"A+",IF('Data Source'!AA697&gt;=4,"A",IF('Data Source'!AA697&gt;=3.5,"A-",IF('Data Source'!AA697&gt;=3,"B",IF('Data Source'!AA697&gt;=2,"C",IF('Data Source'!AA697&gt;=1,"D","F")))))),"")</f>
        <v/>
      </c>
      <c r="J697" s="3">
        <f>IF(AND('Data Source'!B697&lt;&gt;"",'Data Source'!S697="A+"),IF('Data Source'!AB697&gt;=5,"A+",IF('Data Source'!AB697&gt;=4,"A",IF('Data Source'!AB697&gt;=3.5,"A-",IF('Data Source'!AB697&gt;=3,"B",IF('Data Source'!AB697&gt;=2,"C",IF('Data Source'!AB697&gt;=1,"D","F")))))),"")</f>
        <v/>
      </c>
      <c r="K697" s="3">
        <f>IF(AND('Data Source'!B697&lt;&gt;"",'Data Source'!S697="A+"),IF('Data Source'!AC697&gt;=5,"A+",IF('Data Source'!AC697&gt;=4,"A",IF('Data Source'!AC697&gt;=3.5,"A-",IF('Data Source'!AC697&gt;=3,"B",IF('Data Source'!AC697&gt;=2,"C",IF('Data Source'!AC697&gt;=1,"D","F")))))),"")</f>
        <v/>
      </c>
      <c r="L697" s="3">
        <f>IF(AND('Data Source'!B697&lt;&gt;"",'Data Source'!S697="A+"),IF('Data Source'!AD697&gt;=5,"A+",IF('Data Source'!AD697&gt;=4,"A",IF('Data Source'!AD697&gt;=3.5,"A-",IF('Data Source'!AD697&gt;=3,"B",IF('Data Source'!AD697&gt;=2,"C",IF('Data Source'!AD697&gt;=1,"D","F")))))),"")</f>
        <v/>
      </c>
      <c r="M697" s="3">
        <f>IF(AND('Data Source'!B697&lt;&gt;"",'Data Source'!S697="A+"),IF('Data Source'!AE697&gt;=5,"A+",IF('Data Source'!AE697&gt;=4,"A",IF('Data Source'!AE697&gt;=3.5,"A-",IF('Data Source'!AE697&gt;=3,"B",IF('Data Source'!AE697&gt;=2,"C",IF('Data Source'!AE697&gt;=1,"D","F")))))),"")</f>
        <v/>
      </c>
      <c r="N697" s="3">
        <f>IF(AND('Data Source'!B697&lt;&gt;"",'Data Source'!S697="A+"),IF('Data Source'!AF697&gt;=5,"A+",IF('Data Source'!AF697&gt;=4,"A",IF('Data Source'!AF697&gt;=3.5,"A-",IF('Data Source'!AF697&gt;=3,"B",IF('Data Source'!AF697&gt;=2,"C",IF('Data Source'!AF697&gt;=1,"D","F")))))),"")</f>
        <v/>
      </c>
      <c r="O697" s="3">
        <f>IF(AND('Data Source'!B697&lt;&gt;"",'Data Source'!S697="A+"),IF('Data Source'!AG697&gt;=5,"A+",IF('Data Source'!AG697&gt;=4,"A",IF('Data Source'!AG697&gt;=3.5,"A-",IF('Data Source'!AG697&gt;=3,"B",IF('Data Source'!AG697&gt;=2,"C",IF('Data Source'!AG697&gt;=1,"D","F")))))),"")</f>
        <v/>
      </c>
      <c r="P697" s="5">
        <f>IF(AND('Data Source'!B697&lt;&gt;"",'Data Source'!S697="A+"),'Data Source'!R697,"")</f>
        <v/>
      </c>
      <c r="Q697" s="3">
        <f>IF(AND('Data Source'!B697&lt;&gt;"",'Data Source'!S697="A+"),'Data Source'!S697,"")</f>
        <v/>
      </c>
    </row>
    <row r="698">
      <c r="A698" s="3">
        <f>IF(AND('Data Source'!B698&lt;&gt;"",'Data Source'!S698="A+"),COUNTIF('Data Source'!$S$3:S698,"A+"),"")</f>
        <v/>
      </c>
      <c r="B698">
        <f>IF(AND('Data Source'!B698&lt;&gt;"",'Data Source'!S698="A+"),'Data Source'!B698,"")</f>
        <v/>
      </c>
      <c r="C698" s="3">
        <f>IF(AND('Data Source'!B698&lt;&gt;"",'Data Source'!S698="A+"),IF('Data Source'!U698&gt;=5,"A+",IF('Data Source'!U698&gt;=4,"A",IF('Data Source'!U698&gt;=3.5,"A-",IF('Data Source'!U698&gt;=3,"B",IF('Data Source'!U698&gt;=2,"C",IF('Data Source'!U698&gt;=1,"D","F")))))),"")</f>
        <v/>
      </c>
      <c r="D698" s="3">
        <f>IF(AND('Data Source'!B698&lt;&gt;"",'Data Source'!S698="A+"),IF('Data Source'!V698&gt;=5,"A+",IF('Data Source'!V698&gt;=4,"A",IF('Data Source'!V698&gt;=3.5,"A-",IF('Data Source'!V698&gt;=3,"B",IF('Data Source'!V698&gt;=2,"C",IF('Data Source'!V698&gt;=1,"D","F")))))),"")</f>
        <v/>
      </c>
      <c r="E698" s="3">
        <f>IF(AND('Data Source'!B698&lt;&gt;"",'Data Source'!S698="A+"),IF('Data Source'!W698&gt;=5,"A+",IF('Data Source'!W698&gt;=4,"A",IF('Data Source'!W698&gt;=3.5,"A-",IF('Data Source'!W698&gt;=3,"B",IF('Data Source'!W698&gt;=2,"C",IF('Data Source'!W698&gt;=1,"D","F")))))),"")</f>
        <v/>
      </c>
      <c r="F698" s="3">
        <f>IF(AND('Data Source'!B698&lt;&gt;"",'Data Source'!S698="A+"),IF('Data Source'!X698&gt;=5,"A+",IF('Data Source'!X698&gt;=4,"A",IF('Data Source'!X698&gt;=3.5,"A-",IF('Data Source'!X698&gt;=3,"B",IF('Data Source'!X698&gt;=2,"C",IF('Data Source'!X698&gt;=1,"D","F")))))),"")</f>
        <v/>
      </c>
      <c r="G698" s="3">
        <f>IF(AND('Data Source'!B698&lt;&gt;"",'Data Source'!S698="A+"),IF('Data Source'!Y698&gt;=5,"A+",IF('Data Source'!Y698&gt;=4,"A",IF('Data Source'!Y698&gt;=3.5,"A-",IF('Data Source'!Y698&gt;=3,"B",IF('Data Source'!Y698&gt;=2,"C",IF('Data Source'!Y698&gt;=1,"D","F")))))),"")</f>
        <v/>
      </c>
      <c r="H698" s="3">
        <f>IF(AND('Data Source'!B698&lt;&gt;"",'Data Source'!S698="A+"),IF('Data Source'!Z698&gt;=5,"A+",IF('Data Source'!Z698&gt;=4,"A",IF('Data Source'!Z698&gt;=3.5,"A-",IF('Data Source'!Z698&gt;=3,"B",IF('Data Source'!Z698&gt;=2,"C",IF('Data Source'!Z698&gt;=1,"D","F")))))),"")</f>
        <v/>
      </c>
      <c r="I698" s="3">
        <f>IF(AND('Data Source'!B698&lt;&gt;"",'Data Source'!S698="A+"),IF('Data Source'!AA698&gt;=5,"A+",IF('Data Source'!AA698&gt;=4,"A",IF('Data Source'!AA698&gt;=3.5,"A-",IF('Data Source'!AA698&gt;=3,"B",IF('Data Source'!AA698&gt;=2,"C",IF('Data Source'!AA698&gt;=1,"D","F")))))),"")</f>
        <v/>
      </c>
      <c r="J698" s="3">
        <f>IF(AND('Data Source'!B698&lt;&gt;"",'Data Source'!S698="A+"),IF('Data Source'!AB698&gt;=5,"A+",IF('Data Source'!AB698&gt;=4,"A",IF('Data Source'!AB698&gt;=3.5,"A-",IF('Data Source'!AB698&gt;=3,"B",IF('Data Source'!AB698&gt;=2,"C",IF('Data Source'!AB698&gt;=1,"D","F")))))),"")</f>
        <v/>
      </c>
      <c r="K698" s="3">
        <f>IF(AND('Data Source'!B698&lt;&gt;"",'Data Source'!S698="A+"),IF('Data Source'!AC698&gt;=5,"A+",IF('Data Source'!AC698&gt;=4,"A",IF('Data Source'!AC698&gt;=3.5,"A-",IF('Data Source'!AC698&gt;=3,"B",IF('Data Source'!AC698&gt;=2,"C",IF('Data Source'!AC698&gt;=1,"D","F")))))),"")</f>
        <v/>
      </c>
      <c r="L698" s="3">
        <f>IF(AND('Data Source'!B698&lt;&gt;"",'Data Source'!S698="A+"),IF('Data Source'!AD698&gt;=5,"A+",IF('Data Source'!AD698&gt;=4,"A",IF('Data Source'!AD698&gt;=3.5,"A-",IF('Data Source'!AD698&gt;=3,"B",IF('Data Source'!AD698&gt;=2,"C",IF('Data Source'!AD698&gt;=1,"D","F")))))),"")</f>
        <v/>
      </c>
      <c r="M698" s="3">
        <f>IF(AND('Data Source'!B698&lt;&gt;"",'Data Source'!S698="A+"),IF('Data Source'!AE698&gt;=5,"A+",IF('Data Source'!AE698&gt;=4,"A",IF('Data Source'!AE698&gt;=3.5,"A-",IF('Data Source'!AE698&gt;=3,"B",IF('Data Source'!AE698&gt;=2,"C",IF('Data Source'!AE698&gt;=1,"D","F")))))),"")</f>
        <v/>
      </c>
      <c r="N698" s="3">
        <f>IF(AND('Data Source'!B698&lt;&gt;"",'Data Source'!S698="A+"),IF('Data Source'!AF698&gt;=5,"A+",IF('Data Source'!AF698&gt;=4,"A",IF('Data Source'!AF698&gt;=3.5,"A-",IF('Data Source'!AF698&gt;=3,"B",IF('Data Source'!AF698&gt;=2,"C",IF('Data Source'!AF698&gt;=1,"D","F")))))),"")</f>
        <v/>
      </c>
      <c r="O698" s="3">
        <f>IF(AND('Data Source'!B698&lt;&gt;"",'Data Source'!S698="A+"),IF('Data Source'!AG698&gt;=5,"A+",IF('Data Source'!AG698&gt;=4,"A",IF('Data Source'!AG698&gt;=3.5,"A-",IF('Data Source'!AG698&gt;=3,"B",IF('Data Source'!AG698&gt;=2,"C",IF('Data Source'!AG698&gt;=1,"D","F")))))),"")</f>
        <v/>
      </c>
      <c r="P698" s="5">
        <f>IF(AND('Data Source'!B698&lt;&gt;"",'Data Source'!S698="A+"),'Data Source'!R698,"")</f>
        <v/>
      </c>
      <c r="Q698" s="3">
        <f>IF(AND('Data Source'!B698&lt;&gt;"",'Data Source'!S698="A+"),'Data Source'!S698,"")</f>
        <v/>
      </c>
    </row>
    <row r="699">
      <c r="A699" s="3">
        <f>IF(AND('Data Source'!B699&lt;&gt;"",'Data Source'!S699="A+"),COUNTIF('Data Source'!$S$3:S699,"A+"),"")</f>
        <v/>
      </c>
      <c r="B699">
        <f>IF(AND('Data Source'!B699&lt;&gt;"",'Data Source'!S699="A+"),'Data Source'!B699,"")</f>
        <v/>
      </c>
      <c r="C699" s="3">
        <f>IF(AND('Data Source'!B699&lt;&gt;"",'Data Source'!S699="A+"),IF('Data Source'!U699&gt;=5,"A+",IF('Data Source'!U699&gt;=4,"A",IF('Data Source'!U699&gt;=3.5,"A-",IF('Data Source'!U699&gt;=3,"B",IF('Data Source'!U699&gt;=2,"C",IF('Data Source'!U699&gt;=1,"D","F")))))),"")</f>
        <v/>
      </c>
      <c r="D699" s="3">
        <f>IF(AND('Data Source'!B699&lt;&gt;"",'Data Source'!S699="A+"),IF('Data Source'!V699&gt;=5,"A+",IF('Data Source'!V699&gt;=4,"A",IF('Data Source'!V699&gt;=3.5,"A-",IF('Data Source'!V699&gt;=3,"B",IF('Data Source'!V699&gt;=2,"C",IF('Data Source'!V699&gt;=1,"D","F")))))),"")</f>
        <v/>
      </c>
      <c r="E699" s="3">
        <f>IF(AND('Data Source'!B699&lt;&gt;"",'Data Source'!S699="A+"),IF('Data Source'!W699&gt;=5,"A+",IF('Data Source'!W699&gt;=4,"A",IF('Data Source'!W699&gt;=3.5,"A-",IF('Data Source'!W699&gt;=3,"B",IF('Data Source'!W699&gt;=2,"C",IF('Data Source'!W699&gt;=1,"D","F")))))),"")</f>
        <v/>
      </c>
      <c r="F699" s="3">
        <f>IF(AND('Data Source'!B699&lt;&gt;"",'Data Source'!S699="A+"),IF('Data Source'!X699&gt;=5,"A+",IF('Data Source'!X699&gt;=4,"A",IF('Data Source'!X699&gt;=3.5,"A-",IF('Data Source'!X699&gt;=3,"B",IF('Data Source'!X699&gt;=2,"C",IF('Data Source'!X699&gt;=1,"D","F")))))),"")</f>
        <v/>
      </c>
      <c r="G699" s="3">
        <f>IF(AND('Data Source'!B699&lt;&gt;"",'Data Source'!S699="A+"),IF('Data Source'!Y699&gt;=5,"A+",IF('Data Source'!Y699&gt;=4,"A",IF('Data Source'!Y699&gt;=3.5,"A-",IF('Data Source'!Y699&gt;=3,"B",IF('Data Source'!Y699&gt;=2,"C",IF('Data Source'!Y699&gt;=1,"D","F")))))),"")</f>
        <v/>
      </c>
      <c r="H699" s="3">
        <f>IF(AND('Data Source'!B699&lt;&gt;"",'Data Source'!S699="A+"),IF('Data Source'!Z699&gt;=5,"A+",IF('Data Source'!Z699&gt;=4,"A",IF('Data Source'!Z699&gt;=3.5,"A-",IF('Data Source'!Z699&gt;=3,"B",IF('Data Source'!Z699&gt;=2,"C",IF('Data Source'!Z699&gt;=1,"D","F")))))),"")</f>
        <v/>
      </c>
      <c r="I699" s="3">
        <f>IF(AND('Data Source'!B699&lt;&gt;"",'Data Source'!S699="A+"),IF('Data Source'!AA699&gt;=5,"A+",IF('Data Source'!AA699&gt;=4,"A",IF('Data Source'!AA699&gt;=3.5,"A-",IF('Data Source'!AA699&gt;=3,"B",IF('Data Source'!AA699&gt;=2,"C",IF('Data Source'!AA699&gt;=1,"D","F")))))),"")</f>
        <v/>
      </c>
      <c r="J699" s="3">
        <f>IF(AND('Data Source'!B699&lt;&gt;"",'Data Source'!S699="A+"),IF('Data Source'!AB699&gt;=5,"A+",IF('Data Source'!AB699&gt;=4,"A",IF('Data Source'!AB699&gt;=3.5,"A-",IF('Data Source'!AB699&gt;=3,"B",IF('Data Source'!AB699&gt;=2,"C",IF('Data Source'!AB699&gt;=1,"D","F")))))),"")</f>
        <v/>
      </c>
      <c r="K699" s="3">
        <f>IF(AND('Data Source'!B699&lt;&gt;"",'Data Source'!S699="A+"),IF('Data Source'!AC699&gt;=5,"A+",IF('Data Source'!AC699&gt;=4,"A",IF('Data Source'!AC699&gt;=3.5,"A-",IF('Data Source'!AC699&gt;=3,"B",IF('Data Source'!AC699&gt;=2,"C",IF('Data Source'!AC699&gt;=1,"D","F")))))),"")</f>
        <v/>
      </c>
      <c r="L699" s="3">
        <f>IF(AND('Data Source'!B699&lt;&gt;"",'Data Source'!S699="A+"),IF('Data Source'!AD699&gt;=5,"A+",IF('Data Source'!AD699&gt;=4,"A",IF('Data Source'!AD699&gt;=3.5,"A-",IF('Data Source'!AD699&gt;=3,"B",IF('Data Source'!AD699&gt;=2,"C",IF('Data Source'!AD699&gt;=1,"D","F")))))),"")</f>
        <v/>
      </c>
      <c r="M699" s="3">
        <f>IF(AND('Data Source'!B699&lt;&gt;"",'Data Source'!S699="A+"),IF('Data Source'!AE699&gt;=5,"A+",IF('Data Source'!AE699&gt;=4,"A",IF('Data Source'!AE699&gt;=3.5,"A-",IF('Data Source'!AE699&gt;=3,"B",IF('Data Source'!AE699&gt;=2,"C",IF('Data Source'!AE699&gt;=1,"D","F")))))),"")</f>
        <v/>
      </c>
      <c r="N699" s="3">
        <f>IF(AND('Data Source'!B699&lt;&gt;"",'Data Source'!S699="A+"),IF('Data Source'!AF699&gt;=5,"A+",IF('Data Source'!AF699&gt;=4,"A",IF('Data Source'!AF699&gt;=3.5,"A-",IF('Data Source'!AF699&gt;=3,"B",IF('Data Source'!AF699&gt;=2,"C",IF('Data Source'!AF699&gt;=1,"D","F")))))),"")</f>
        <v/>
      </c>
      <c r="O699" s="3">
        <f>IF(AND('Data Source'!B699&lt;&gt;"",'Data Source'!S699="A+"),IF('Data Source'!AG699&gt;=5,"A+",IF('Data Source'!AG699&gt;=4,"A",IF('Data Source'!AG699&gt;=3.5,"A-",IF('Data Source'!AG699&gt;=3,"B",IF('Data Source'!AG699&gt;=2,"C",IF('Data Source'!AG699&gt;=1,"D","F")))))),"")</f>
        <v/>
      </c>
      <c r="P699" s="5">
        <f>IF(AND('Data Source'!B699&lt;&gt;"",'Data Source'!S699="A+"),'Data Source'!R699,"")</f>
        <v/>
      </c>
      <c r="Q699" s="3">
        <f>IF(AND('Data Source'!B699&lt;&gt;"",'Data Source'!S699="A+"),'Data Source'!S699,"")</f>
        <v/>
      </c>
    </row>
    <row r="700">
      <c r="A700" s="3">
        <f>IF(AND('Data Source'!B700&lt;&gt;"",'Data Source'!S700="A+"),COUNTIF('Data Source'!$S$3:S700,"A+"),"")</f>
        <v/>
      </c>
      <c r="B700">
        <f>IF(AND('Data Source'!B700&lt;&gt;"",'Data Source'!S700="A+"),'Data Source'!B700,"")</f>
        <v/>
      </c>
      <c r="C700" s="3">
        <f>IF(AND('Data Source'!B700&lt;&gt;"",'Data Source'!S700="A+"),IF('Data Source'!U700&gt;=5,"A+",IF('Data Source'!U700&gt;=4,"A",IF('Data Source'!U700&gt;=3.5,"A-",IF('Data Source'!U700&gt;=3,"B",IF('Data Source'!U700&gt;=2,"C",IF('Data Source'!U700&gt;=1,"D","F")))))),"")</f>
        <v/>
      </c>
      <c r="D700" s="3">
        <f>IF(AND('Data Source'!B700&lt;&gt;"",'Data Source'!S700="A+"),IF('Data Source'!V700&gt;=5,"A+",IF('Data Source'!V700&gt;=4,"A",IF('Data Source'!V700&gt;=3.5,"A-",IF('Data Source'!V700&gt;=3,"B",IF('Data Source'!V700&gt;=2,"C",IF('Data Source'!V700&gt;=1,"D","F")))))),"")</f>
        <v/>
      </c>
      <c r="E700" s="3">
        <f>IF(AND('Data Source'!B700&lt;&gt;"",'Data Source'!S700="A+"),IF('Data Source'!W700&gt;=5,"A+",IF('Data Source'!W700&gt;=4,"A",IF('Data Source'!W700&gt;=3.5,"A-",IF('Data Source'!W700&gt;=3,"B",IF('Data Source'!W700&gt;=2,"C",IF('Data Source'!W700&gt;=1,"D","F")))))),"")</f>
        <v/>
      </c>
      <c r="F700" s="3">
        <f>IF(AND('Data Source'!B700&lt;&gt;"",'Data Source'!S700="A+"),IF('Data Source'!X700&gt;=5,"A+",IF('Data Source'!X700&gt;=4,"A",IF('Data Source'!X700&gt;=3.5,"A-",IF('Data Source'!X700&gt;=3,"B",IF('Data Source'!X700&gt;=2,"C",IF('Data Source'!X700&gt;=1,"D","F")))))),"")</f>
        <v/>
      </c>
      <c r="G700" s="3">
        <f>IF(AND('Data Source'!B700&lt;&gt;"",'Data Source'!S700="A+"),IF('Data Source'!Y700&gt;=5,"A+",IF('Data Source'!Y700&gt;=4,"A",IF('Data Source'!Y700&gt;=3.5,"A-",IF('Data Source'!Y700&gt;=3,"B",IF('Data Source'!Y700&gt;=2,"C",IF('Data Source'!Y700&gt;=1,"D","F")))))),"")</f>
        <v/>
      </c>
      <c r="H700" s="3">
        <f>IF(AND('Data Source'!B700&lt;&gt;"",'Data Source'!S700="A+"),IF('Data Source'!Z700&gt;=5,"A+",IF('Data Source'!Z700&gt;=4,"A",IF('Data Source'!Z700&gt;=3.5,"A-",IF('Data Source'!Z700&gt;=3,"B",IF('Data Source'!Z700&gt;=2,"C",IF('Data Source'!Z700&gt;=1,"D","F")))))),"")</f>
        <v/>
      </c>
      <c r="I700" s="3">
        <f>IF(AND('Data Source'!B700&lt;&gt;"",'Data Source'!S700="A+"),IF('Data Source'!AA700&gt;=5,"A+",IF('Data Source'!AA700&gt;=4,"A",IF('Data Source'!AA700&gt;=3.5,"A-",IF('Data Source'!AA700&gt;=3,"B",IF('Data Source'!AA700&gt;=2,"C",IF('Data Source'!AA700&gt;=1,"D","F")))))),"")</f>
        <v/>
      </c>
      <c r="J700" s="3">
        <f>IF(AND('Data Source'!B700&lt;&gt;"",'Data Source'!S700="A+"),IF('Data Source'!AB700&gt;=5,"A+",IF('Data Source'!AB700&gt;=4,"A",IF('Data Source'!AB700&gt;=3.5,"A-",IF('Data Source'!AB700&gt;=3,"B",IF('Data Source'!AB700&gt;=2,"C",IF('Data Source'!AB700&gt;=1,"D","F")))))),"")</f>
        <v/>
      </c>
      <c r="K700" s="3">
        <f>IF(AND('Data Source'!B700&lt;&gt;"",'Data Source'!S700="A+"),IF('Data Source'!AC700&gt;=5,"A+",IF('Data Source'!AC700&gt;=4,"A",IF('Data Source'!AC700&gt;=3.5,"A-",IF('Data Source'!AC700&gt;=3,"B",IF('Data Source'!AC700&gt;=2,"C",IF('Data Source'!AC700&gt;=1,"D","F")))))),"")</f>
        <v/>
      </c>
      <c r="L700" s="3">
        <f>IF(AND('Data Source'!B700&lt;&gt;"",'Data Source'!S700="A+"),IF('Data Source'!AD700&gt;=5,"A+",IF('Data Source'!AD700&gt;=4,"A",IF('Data Source'!AD700&gt;=3.5,"A-",IF('Data Source'!AD700&gt;=3,"B",IF('Data Source'!AD700&gt;=2,"C",IF('Data Source'!AD700&gt;=1,"D","F")))))),"")</f>
        <v/>
      </c>
      <c r="M700" s="3">
        <f>IF(AND('Data Source'!B700&lt;&gt;"",'Data Source'!S700="A+"),IF('Data Source'!AE700&gt;=5,"A+",IF('Data Source'!AE700&gt;=4,"A",IF('Data Source'!AE700&gt;=3.5,"A-",IF('Data Source'!AE700&gt;=3,"B",IF('Data Source'!AE700&gt;=2,"C",IF('Data Source'!AE700&gt;=1,"D","F")))))),"")</f>
        <v/>
      </c>
      <c r="N700" s="3">
        <f>IF(AND('Data Source'!B700&lt;&gt;"",'Data Source'!S700="A+"),IF('Data Source'!AF700&gt;=5,"A+",IF('Data Source'!AF700&gt;=4,"A",IF('Data Source'!AF700&gt;=3.5,"A-",IF('Data Source'!AF700&gt;=3,"B",IF('Data Source'!AF700&gt;=2,"C",IF('Data Source'!AF700&gt;=1,"D","F")))))),"")</f>
        <v/>
      </c>
      <c r="O700" s="3">
        <f>IF(AND('Data Source'!B700&lt;&gt;"",'Data Source'!S700="A+"),IF('Data Source'!AG700&gt;=5,"A+",IF('Data Source'!AG700&gt;=4,"A",IF('Data Source'!AG700&gt;=3.5,"A-",IF('Data Source'!AG700&gt;=3,"B",IF('Data Source'!AG700&gt;=2,"C",IF('Data Source'!AG700&gt;=1,"D","F")))))),"")</f>
        <v/>
      </c>
      <c r="P700" s="5">
        <f>IF(AND('Data Source'!B700&lt;&gt;"",'Data Source'!S700="A+"),'Data Source'!R700,"")</f>
        <v/>
      </c>
      <c r="Q700" s="3">
        <f>IF(AND('Data Source'!B700&lt;&gt;"",'Data Source'!S700="A+"),'Data Source'!S700,"")</f>
        <v/>
      </c>
    </row>
    <row r="701">
      <c r="A701" s="3">
        <f>IF(AND('Data Source'!B701&lt;&gt;"",'Data Source'!S701="A+"),COUNTIF('Data Source'!$S$3:S701,"A+"),"")</f>
        <v/>
      </c>
      <c r="B701">
        <f>IF(AND('Data Source'!B701&lt;&gt;"",'Data Source'!S701="A+"),'Data Source'!B701,"")</f>
        <v/>
      </c>
      <c r="C701" s="3">
        <f>IF(AND('Data Source'!B701&lt;&gt;"",'Data Source'!S701="A+"),IF('Data Source'!U701&gt;=5,"A+",IF('Data Source'!U701&gt;=4,"A",IF('Data Source'!U701&gt;=3.5,"A-",IF('Data Source'!U701&gt;=3,"B",IF('Data Source'!U701&gt;=2,"C",IF('Data Source'!U701&gt;=1,"D","F")))))),"")</f>
        <v/>
      </c>
      <c r="D701" s="3">
        <f>IF(AND('Data Source'!B701&lt;&gt;"",'Data Source'!S701="A+"),IF('Data Source'!V701&gt;=5,"A+",IF('Data Source'!V701&gt;=4,"A",IF('Data Source'!V701&gt;=3.5,"A-",IF('Data Source'!V701&gt;=3,"B",IF('Data Source'!V701&gt;=2,"C",IF('Data Source'!V701&gt;=1,"D","F")))))),"")</f>
        <v/>
      </c>
      <c r="E701" s="3">
        <f>IF(AND('Data Source'!B701&lt;&gt;"",'Data Source'!S701="A+"),IF('Data Source'!W701&gt;=5,"A+",IF('Data Source'!W701&gt;=4,"A",IF('Data Source'!W701&gt;=3.5,"A-",IF('Data Source'!W701&gt;=3,"B",IF('Data Source'!W701&gt;=2,"C",IF('Data Source'!W701&gt;=1,"D","F")))))),"")</f>
        <v/>
      </c>
      <c r="F701" s="3">
        <f>IF(AND('Data Source'!B701&lt;&gt;"",'Data Source'!S701="A+"),IF('Data Source'!X701&gt;=5,"A+",IF('Data Source'!X701&gt;=4,"A",IF('Data Source'!X701&gt;=3.5,"A-",IF('Data Source'!X701&gt;=3,"B",IF('Data Source'!X701&gt;=2,"C",IF('Data Source'!X701&gt;=1,"D","F")))))),"")</f>
        <v/>
      </c>
      <c r="G701" s="3">
        <f>IF(AND('Data Source'!B701&lt;&gt;"",'Data Source'!S701="A+"),IF('Data Source'!Y701&gt;=5,"A+",IF('Data Source'!Y701&gt;=4,"A",IF('Data Source'!Y701&gt;=3.5,"A-",IF('Data Source'!Y701&gt;=3,"B",IF('Data Source'!Y701&gt;=2,"C",IF('Data Source'!Y701&gt;=1,"D","F")))))),"")</f>
        <v/>
      </c>
      <c r="H701" s="3">
        <f>IF(AND('Data Source'!B701&lt;&gt;"",'Data Source'!S701="A+"),IF('Data Source'!Z701&gt;=5,"A+",IF('Data Source'!Z701&gt;=4,"A",IF('Data Source'!Z701&gt;=3.5,"A-",IF('Data Source'!Z701&gt;=3,"B",IF('Data Source'!Z701&gt;=2,"C",IF('Data Source'!Z701&gt;=1,"D","F")))))),"")</f>
        <v/>
      </c>
      <c r="I701" s="3">
        <f>IF(AND('Data Source'!B701&lt;&gt;"",'Data Source'!S701="A+"),IF('Data Source'!AA701&gt;=5,"A+",IF('Data Source'!AA701&gt;=4,"A",IF('Data Source'!AA701&gt;=3.5,"A-",IF('Data Source'!AA701&gt;=3,"B",IF('Data Source'!AA701&gt;=2,"C",IF('Data Source'!AA701&gt;=1,"D","F")))))),"")</f>
        <v/>
      </c>
      <c r="J701" s="3">
        <f>IF(AND('Data Source'!B701&lt;&gt;"",'Data Source'!S701="A+"),IF('Data Source'!AB701&gt;=5,"A+",IF('Data Source'!AB701&gt;=4,"A",IF('Data Source'!AB701&gt;=3.5,"A-",IF('Data Source'!AB701&gt;=3,"B",IF('Data Source'!AB701&gt;=2,"C",IF('Data Source'!AB701&gt;=1,"D","F")))))),"")</f>
        <v/>
      </c>
      <c r="K701" s="3">
        <f>IF(AND('Data Source'!B701&lt;&gt;"",'Data Source'!S701="A+"),IF('Data Source'!AC701&gt;=5,"A+",IF('Data Source'!AC701&gt;=4,"A",IF('Data Source'!AC701&gt;=3.5,"A-",IF('Data Source'!AC701&gt;=3,"B",IF('Data Source'!AC701&gt;=2,"C",IF('Data Source'!AC701&gt;=1,"D","F")))))),"")</f>
        <v/>
      </c>
      <c r="L701" s="3">
        <f>IF(AND('Data Source'!B701&lt;&gt;"",'Data Source'!S701="A+"),IF('Data Source'!AD701&gt;=5,"A+",IF('Data Source'!AD701&gt;=4,"A",IF('Data Source'!AD701&gt;=3.5,"A-",IF('Data Source'!AD701&gt;=3,"B",IF('Data Source'!AD701&gt;=2,"C",IF('Data Source'!AD701&gt;=1,"D","F")))))),"")</f>
        <v/>
      </c>
      <c r="M701" s="3">
        <f>IF(AND('Data Source'!B701&lt;&gt;"",'Data Source'!S701="A+"),IF('Data Source'!AE701&gt;=5,"A+",IF('Data Source'!AE701&gt;=4,"A",IF('Data Source'!AE701&gt;=3.5,"A-",IF('Data Source'!AE701&gt;=3,"B",IF('Data Source'!AE701&gt;=2,"C",IF('Data Source'!AE701&gt;=1,"D","F")))))),"")</f>
        <v/>
      </c>
      <c r="N701" s="3">
        <f>IF(AND('Data Source'!B701&lt;&gt;"",'Data Source'!S701="A+"),IF('Data Source'!AF701&gt;=5,"A+",IF('Data Source'!AF701&gt;=4,"A",IF('Data Source'!AF701&gt;=3.5,"A-",IF('Data Source'!AF701&gt;=3,"B",IF('Data Source'!AF701&gt;=2,"C",IF('Data Source'!AF701&gt;=1,"D","F")))))),"")</f>
        <v/>
      </c>
      <c r="O701" s="3">
        <f>IF(AND('Data Source'!B701&lt;&gt;"",'Data Source'!S701="A+"),IF('Data Source'!AG701&gt;=5,"A+",IF('Data Source'!AG701&gt;=4,"A",IF('Data Source'!AG701&gt;=3.5,"A-",IF('Data Source'!AG701&gt;=3,"B",IF('Data Source'!AG701&gt;=2,"C",IF('Data Source'!AG701&gt;=1,"D","F")))))),"")</f>
        <v/>
      </c>
      <c r="P701" s="5">
        <f>IF(AND('Data Source'!B701&lt;&gt;"",'Data Source'!S701="A+"),'Data Source'!R701,"")</f>
        <v/>
      </c>
      <c r="Q701" s="3">
        <f>IF(AND('Data Source'!B701&lt;&gt;"",'Data Source'!S701="A+"),'Data Source'!S701,"")</f>
        <v/>
      </c>
    </row>
    <row r="702">
      <c r="A702" s="3">
        <f>IF(AND('Data Source'!B702&lt;&gt;"",'Data Source'!S702="A+"),COUNTIF('Data Source'!$S$3:S702,"A+"),"")</f>
        <v/>
      </c>
      <c r="B702">
        <f>IF(AND('Data Source'!B702&lt;&gt;"",'Data Source'!S702="A+"),'Data Source'!B702,"")</f>
        <v/>
      </c>
      <c r="C702" s="3">
        <f>IF(AND('Data Source'!B702&lt;&gt;"",'Data Source'!S702="A+"),IF('Data Source'!U702&gt;=5,"A+",IF('Data Source'!U702&gt;=4,"A",IF('Data Source'!U702&gt;=3.5,"A-",IF('Data Source'!U702&gt;=3,"B",IF('Data Source'!U702&gt;=2,"C",IF('Data Source'!U702&gt;=1,"D","F")))))),"")</f>
        <v/>
      </c>
      <c r="D702" s="3">
        <f>IF(AND('Data Source'!B702&lt;&gt;"",'Data Source'!S702="A+"),IF('Data Source'!V702&gt;=5,"A+",IF('Data Source'!V702&gt;=4,"A",IF('Data Source'!V702&gt;=3.5,"A-",IF('Data Source'!V702&gt;=3,"B",IF('Data Source'!V702&gt;=2,"C",IF('Data Source'!V702&gt;=1,"D","F")))))),"")</f>
        <v/>
      </c>
      <c r="E702" s="3">
        <f>IF(AND('Data Source'!B702&lt;&gt;"",'Data Source'!S702="A+"),IF('Data Source'!W702&gt;=5,"A+",IF('Data Source'!W702&gt;=4,"A",IF('Data Source'!W702&gt;=3.5,"A-",IF('Data Source'!W702&gt;=3,"B",IF('Data Source'!W702&gt;=2,"C",IF('Data Source'!W702&gt;=1,"D","F")))))),"")</f>
        <v/>
      </c>
      <c r="F702" s="3">
        <f>IF(AND('Data Source'!B702&lt;&gt;"",'Data Source'!S702="A+"),IF('Data Source'!X702&gt;=5,"A+",IF('Data Source'!X702&gt;=4,"A",IF('Data Source'!X702&gt;=3.5,"A-",IF('Data Source'!X702&gt;=3,"B",IF('Data Source'!X702&gt;=2,"C",IF('Data Source'!X702&gt;=1,"D","F")))))),"")</f>
        <v/>
      </c>
      <c r="G702" s="3">
        <f>IF(AND('Data Source'!B702&lt;&gt;"",'Data Source'!S702="A+"),IF('Data Source'!Y702&gt;=5,"A+",IF('Data Source'!Y702&gt;=4,"A",IF('Data Source'!Y702&gt;=3.5,"A-",IF('Data Source'!Y702&gt;=3,"B",IF('Data Source'!Y702&gt;=2,"C",IF('Data Source'!Y702&gt;=1,"D","F")))))),"")</f>
        <v/>
      </c>
      <c r="H702" s="3">
        <f>IF(AND('Data Source'!B702&lt;&gt;"",'Data Source'!S702="A+"),IF('Data Source'!Z702&gt;=5,"A+",IF('Data Source'!Z702&gt;=4,"A",IF('Data Source'!Z702&gt;=3.5,"A-",IF('Data Source'!Z702&gt;=3,"B",IF('Data Source'!Z702&gt;=2,"C",IF('Data Source'!Z702&gt;=1,"D","F")))))),"")</f>
        <v/>
      </c>
      <c r="I702" s="3">
        <f>IF(AND('Data Source'!B702&lt;&gt;"",'Data Source'!S702="A+"),IF('Data Source'!AA702&gt;=5,"A+",IF('Data Source'!AA702&gt;=4,"A",IF('Data Source'!AA702&gt;=3.5,"A-",IF('Data Source'!AA702&gt;=3,"B",IF('Data Source'!AA702&gt;=2,"C",IF('Data Source'!AA702&gt;=1,"D","F")))))),"")</f>
        <v/>
      </c>
      <c r="J702" s="3">
        <f>IF(AND('Data Source'!B702&lt;&gt;"",'Data Source'!S702="A+"),IF('Data Source'!AB702&gt;=5,"A+",IF('Data Source'!AB702&gt;=4,"A",IF('Data Source'!AB702&gt;=3.5,"A-",IF('Data Source'!AB702&gt;=3,"B",IF('Data Source'!AB702&gt;=2,"C",IF('Data Source'!AB702&gt;=1,"D","F")))))),"")</f>
        <v/>
      </c>
      <c r="K702" s="3">
        <f>IF(AND('Data Source'!B702&lt;&gt;"",'Data Source'!S702="A+"),IF('Data Source'!AC702&gt;=5,"A+",IF('Data Source'!AC702&gt;=4,"A",IF('Data Source'!AC702&gt;=3.5,"A-",IF('Data Source'!AC702&gt;=3,"B",IF('Data Source'!AC702&gt;=2,"C",IF('Data Source'!AC702&gt;=1,"D","F")))))),"")</f>
        <v/>
      </c>
      <c r="L702" s="3">
        <f>IF(AND('Data Source'!B702&lt;&gt;"",'Data Source'!S702="A+"),IF('Data Source'!AD702&gt;=5,"A+",IF('Data Source'!AD702&gt;=4,"A",IF('Data Source'!AD702&gt;=3.5,"A-",IF('Data Source'!AD702&gt;=3,"B",IF('Data Source'!AD702&gt;=2,"C",IF('Data Source'!AD702&gt;=1,"D","F")))))),"")</f>
        <v/>
      </c>
      <c r="M702" s="3">
        <f>IF(AND('Data Source'!B702&lt;&gt;"",'Data Source'!S702="A+"),IF('Data Source'!AE702&gt;=5,"A+",IF('Data Source'!AE702&gt;=4,"A",IF('Data Source'!AE702&gt;=3.5,"A-",IF('Data Source'!AE702&gt;=3,"B",IF('Data Source'!AE702&gt;=2,"C",IF('Data Source'!AE702&gt;=1,"D","F")))))),"")</f>
        <v/>
      </c>
      <c r="N702" s="3">
        <f>IF(AND('Data Source'!B702&lt;&gt;"",'Data Source'!S702="A+"),IF('Data Source'!AF702&gt;=5,"A+",IF('Data Source'!AF702&gt;=4,"A",IF('Data Source'!AF702&gt;=3.5,"A-",IF('Data Source'!AF702&gt;=3,"B",IF('Data Source'!AF702&gt;=2,"C",IF('Data Source'!AF702&gt;=1,"D","F")))))),"")</f>
        <v/>
      </c>
      <c r="O702" s="3">
        <f>IF(AND('Data Source'!B702&lt;&gt;"",'Data Source'!S702="A+"),IF('Data Source'!AG702&gt;=5,"A+",IF('Data Source'!AG702&gt;=4,"A",IF('Data Source'!AG702&gt;=3.5,"A-",IF('Data Source'!AG702&gt;=3,"B",IF('Data Source'!AG702&gt;=2,"C",IF('Data Source'!AG702&gt;=1,"D","F")))))),"")</f>
        <v/>
      </c>
      <c r="P702" s="5">
        <f>IF(AND('Data Source'!B702&lt;&gt;"",'Data Source'!S702="A+"),'Data Source'!R702,"")</f>
        <v/>
      </c>
      <c r="Q702" s="3">
        <f>IF(AND('Data Source'!B702&lt;&gt;"",'Data Source'!S702="A+"),'Data Source'!S702,"")</f>
        <v/>
      </c>
    </row>
    <row r="703">
      <c r="A703" s="3">
        <f>IF(AND('Data Source'!B703&lt;&gt;"",'Data Source'!S703="A+"),COUNTIF('Data Source'!$S$3:S703,"A+"),"")</f>
        <v/>
      </c>
      <c r="B703">
        <f>IF(AND('Data Source'!B703&lt;&gt;"",'Data Source'!S703="A+"),'Data Source'!B703,"")</f>
        <v/>
      </c>
      <c r="C703" s="3">
        <f>IF(AND('Data Source'!B703&lt;&gt;"",'Data Source'!S703="A+"),IF('Data Source'!U703&gt;=5,"A+",IF('Data Source'!U703&gt;=4,"A",IF('Data Source'!U703&gt;=3.5,"A-",IF('Data Source'!U703&gt;=3,"B",IF('Data Source'!U703&gt;=2,"C",IF('Data Source'!U703&gt;=1,"D","F")))))),"")</f>
        <v/>
      </c>
      <c r="D703" s="3">
        <f>IF(AND('Data Source'!B703&lt;&gt;"",'Data Source'!S703="A+"),IF('Data Source'!V703&gt;=5,"A+",IF('Data Source'!V703&gt;=4,"A",IF('Data Source'!V703&gt;=3.5,"A-",IF('Data Source'!V703&gt;=3,"B",IF('Data Source'!V703&gt;=2,"C",IF('Data Source'!V703&gt;=1,"D","F")))))),"")</f>
        <v/>
      </c>
      <c r="E703" s="3">
        <f>IF(AND('Data Source'!B703&lt;&gt;"",'Data Source'!S703="A+"),IF('Data Source'!W703&gt;=5,"A+",IF('Data Source'!W703&gt;=4,"A",IF('Data Source'!W703&gt;=3.5,"A-",IF('Data Source'!W703&gt;=3,"B",IF('Data Source'!W703&gt;=2,"C",IF('Data Source'!W703&gt;=1,"D","F")))))),"")</f>
        <v/>
      </c>
      <c r="F703" s="3">
        <f>IF(AND('Data Source'!B703&lt;&gt;"",'Data Source'!S703="A+"),IF('Data Source'!X703&gt;=5,"A+",IF('Data Source'!X703&gt;=4,"A",IF('Data Source'!X703&gt;=3.5,"A-",IF('Data Source'!X703&gt;=3,"B",IF('Data Source'!X703&gt;=2,"C",IF('Data Source'!X703&gt;=1,"D","F")))))),"")</f>
        <v/>
      </c>
      <c r="G703" s="3">
        <f>IF(AND('Data Source'!B703&lt;&gt;"",'Data Source'!S703="A+"),IF('Data Source'!Y703&gt;=5,"A+",IF('Data Source'!Y703&gt;=4,"A",IF('Data Source'!Y703&gt;=3.5,"A-",IF('Data Source'!Y703&gt;=3,"B",IF('Data Source'!Y703&gt;=2,"C",IF('Data Source'!Y703&gt;=1,"D","F")))))),"")</f>
        <v/>
      </c>
      <c r="H703" s="3">
        <f>IF(AND('Data Source'!B703&lt;&gt;"",'Data Source'!S703="A+"),IF('Data Source'!Z703&gt;=5,"A+",IF('Data Source'!Z703&gt;=4,"A",IF('Data Source'!Z703&gt;=3.5,"A-",IF('Data Source'!Z703&gt;=3,"B",IF('Data Source'!Z703&gt;=2,"C",IF('Data Source'!Z703&gt;=1,"D","F")))))),"")</f>
        <v/>
      </c>
      <c r="I703" s="3">
        <f>IF(AND('Data Source'!B703&lt;&gt;"",'Data Source'!S703="A+"),IF('Data Source'!AA703&gt;=5,"A+",IF('Data Source'!AA703&gt;=4,"A",IF('Data Source'!AA703&gt;=3.5,"A-",IF('Data Source'!AA703&gt;=3,"B",IF('Data Source'!AA703&gt;=2,"C",IF('Data Source'!AA703&gt;=1,"D","F")))))),"")</f>
        <v/>
      </c>
      <c r="J703" s="3">
        <f>IF(AND('Data Source'!B703&lt;&gt;"",'Data Source'!S703="A+"),IF('Data Source'!AB703&gt;=5,"A+",IF('Data Source'!AB703&gt;=4,"A",IF('Data Source'!AB703&gt;=3.5,"A-",IF('Data Source'!AB703&gt;=3,"B",IF('Data Source'!AB703&gt;=2,"C",IF('Data Source'!AB703&gt;=1,"D","F")))))),"")</f>
        <v/>
      </c>
      <c r="K703" s="3">
        <f>IF(AND('Data Source'!B703&lt;&gt;"",'Data Source'!S703="A+"),IF('Data Source'!AC703&gt;=5,"A+",IF('Data Source'!AC703&gt;=4,"A",IF('Data Source'!AC703&gt;=3.5,"A-",IF('Data Source'!AC703&gt;=3,"B",IF('Data Source'!AC703&gt;=2,"C",IF('Data Source'!AC703&gt;=1,"D","F")))))),"")</f>
        <v/>
      </c>
      <c r="L703" s="3">
        <f>IF(AND('Data Source'!B703&lt;&gt;"",'Data Source'!S703="A+"),IF('Data Source'!AD703&gt;=5,"A+",IF('Data Source'!AD703&gt;=4,"A",IF('Data Source'!AD703&gt;=3.5,"A-",IF('Data Source'!AD703&gt;=3,"B",IF('Data Source'!AD703&gt;=2,"C",IF('Data Source'!AD703&gt;=1,"D","F")))))),"")</f>
        <v/>
      </c>
      <c r="M703" s="3">
        <f>IF(AND('Data Source'!B703&lt;&gt;"",'Data Source'!S703="A+"),IF('Data Source'!AE703&gt;=5,"A+",IF('Data Source'!AE703&gt;=4,"A",IF('Data Source'!AE703&gt;=3.5,"A-",IF('Data Source'!AE703&gt;=3,"B",IF('Data Source'!AE703&gt;=2,"C",IF('Data Source'!AE703&gt;=1,"D","F")))))),"")</f>
        <v/>
      </c>
      <c r="N703" s="3">
        <f>IF(AND('Data Source'!B703&lt;&gt;"",'Data Source'!S703="A+"),IF('Data Source'!AF703&gt;=5,"A+",IF('Data Source'!AF703&gt;=4,"A",IF('Data Source'!AF703&gt;=3.5,"A-",IF('Data Source'!AF703&gt;=3,"B",IF('Data Source'!AF703&gt;=2,"C",IF('Data Source'!AF703&gt;=1,"D","F")))))),"")</f>
        <v/>
      </c>
      <c r="O703" s="3">
        <f>IF(AND('Data Source'!B703&lt;&gt;"",'Data Source'!S703="A+"),IF('Data Source'!AG703&gt;=5,"A+",IF('Data Source'!AG703&gt;=4,"A",IF('Data Source'!AG703&gt;=3.5,"A-",IF('Data Source'!AG703&gt;=3,"B",IF('Data Source'!AG703&gt;=2,"C",IF('Data Source'!AG703&gt;=1,"D","F")))))),"")</f>
        <v/>
      </c>
      <c r="P703" s="5">
        <f>IF(AND('Data Source'!B703&lt;&gt;"",'Data Source'!S703="A+"),'Data Source'!R703,"")</f>
        <v/>
      </c>
      <c r="Q703" s="3">
        <f>IF(AND('Data Source'!B703&lt;&gt;"",'Data Source'!S703="A+"),'Data Source'!S703,"")</f>
        <v/>
      </c>
    </row>
    <row r="704">
      <c r="A704" s="3">
        <f>IF(AND('Data Source'!B704&lt;&gt;"",'Data Source'!S704="A+"),COUNTIF('Data Source'!$S$3:S704,"A+"),"")</f>
        <v/>
      </c>
      <c r="B704">
        <f>IF(AND('Data Source'!B704&lt;&gt;"",'Data Source'!S704="A+"),'Data Source'!B704,"")</f>
        <v/>
      </c>
      <c r="C704" s="3">
        <f>IF(AND('Data Source'!B704&lt;&gt;"",'Data Source'!S704="A+"),IF('Data Source'!U704&gt;=5,"A+",IF('Data Source'!U704&gt;=4,"A",IF('Data Source'!U704&gt;=3.5,"A-",IF('Data Source'!U704&gt;=3,"B",IF('Data Source'!U704&gt;=2,"C",IF('Data Source'!U704&gt;=1,"D","F")))))),"")</f>
        <v/>
      </c>
      <c r="D704" s="3">
        <f>IF(AND('Data Source'!B704&lt;&gt;"",'Data Source'!S704="A+"),IF('Data Source'!V704&gt;=5,"A+",IF('Data Source'!V704&gt;=4,"A",IF('Data Source'!V704&gt;=3.5,"A-",IF('Data Source'!V704&gt;=3,"B",IF('Data Source'!V704&gt;=2,"C",IF('Data Source'!V704&gt;=1,"D","F")))))),"")</f>
        <v/>
      </c>
      <c r="E704" s="3">
        <f>IF(AND('Data Source'!B704&lt;&gt;"",'Data Source'!S704="A+"),IF('Data Source'!W704&gt;=5,"A+",IF('Data Source'!W704&gt;=4,"A",IF('Data Source'!W704&gt;=3.5,"A-",IF('Data Source'!W704&gt;=3,"B",IF('Data Source'!W704&gt;=2,"C",IF('Data Source'!W704&gt;=1,"D","F")))))),"")</f>
        <v/>
      </c>
      <c r="F704" s="3">
        <f>IF(AND('Data Source'!B704&lt;&gt;"",'Data Source'!S704="A+"),IF('Data Source'!X704&gt;=5,"A+",IF('Data Source'!X704&gt;=4,"A",IF('Data Source'!X704&gt;=3.5,"A-",IF('Data Source'!X704&gt;=3,"B",IF('Data Source'!X704&gt;=2,"C",IF('Data Source'!X704&gt;=1,"D","F")))))),"")</f>
        <v/>
      </c>
      <c r="G704" s="3">
        <f>IF(AND('Data Source'!B704&lt;&gt;"",'Data Source'!S704="A+"),IF('Data Source'!Y704&gt;=5,"A+",IF('Data Source'!Y704&gt;=4,"A",IF('Data Source'!Y704&gt;=3.5,"A-",IF('Data Source'!Y704&gt;=3,"B",IF('Data Source'!Y704&gt;=2,"C",IF('Data Source'!Y704&gt;=1,"D","F")))))),"")</f>
        <v/>
      </c>
      <c r="H704" s="3">
        <f>IF(AND('Data Source'!B704&lt;&gt;"",'Data Source'!S704="A+"),IF('Data Source'!Z704&gt;=5,"A+",IF('Data Source'!Z704&gt;=4,"A",IF('Data Source'!Z704&gt;=3.5,"A-",IF('Data Source'!Z704&gt;=3,"B",IF('Data Source'!Z704&gt;=2,"C",IF('Data Source'!Z704&gt;=1,"D","F")))))),"")</f>
        <v/>
      </c>
      <c r="I704" s="3">
        <f>IF(AND('Data Source'!B704&lt;&gt;"",'Data Source'!S704="A+"),IF('Data Source'!AA704&gt;=5,"A+",IF('Data Source'!AA704&gt;=4,"A",IF('Data Source'!AA704&gt;=3.5,"A-",IF('Data Source'!AA704&gt;=3,"B",IF('Data Source'!AA704&gt;=2,"C",IF('Data Source'!AA704&gt;=1,"D","F")))))),"")</f>
        <v/>
      </c>
      <c r="J704" s="3">
        <f>IF(AND('Data Source'!B704&lt;&gt;"",'Data Source'!S704="A+"),IF('Data Source'!AB704&gt;=5,"A+",IF('Data Source'!AB704&gt;=4,"A",IF('Data Source'!AB704&gt;=3.5,"A-",IF('Data Source'!AB704&gt;=3,"B",IF('Data Source'!AB704&gt;=2,"C",IF('Data Source'!AB704&gt;=1,"D","F")))))),"")</f>
        <v/>
      </c>
      <c r="K704" s="3">
        <f>IF(AND('Data Source'!B704&lt;&gt;"",'Data Source'!S704="A+"),IF('Data Source'!AC704&gt;=5,"A+",IF('Data Source'!AC704&gt;=4,"A",IF('Data Source'!AC704&gt;=3.5,"A-",IF('Data Source'!AC704&gt;=3,"B",IF('Data Source'!AC704&gt;=2,"C",IF('Data Source'!AC704&gt;=1,"D","F")))))),"")</f>
        <v/>
      </c>
      <c r="L704" s="3">
        <f>IF(AND('Data Source'!B704&lt;&gt;"",'Data Source'!S704="A+"),IF('Data Source'!AD704&gt;=5,"A+",IF('Data Source'!AD704&gt;=4,"A",IF('Data Source'!AD704&gt;=3.5,"A-",IF('Data Source'!AD704&gt;=3,"B",IF('Data Source'!AD704&gt;=2,"C",IF('Data Source'!AD704&gt;=1,"D","F")))))),"")</f>
        <v/>
      </c>
      <c r="M704" s="3">
        <f>IF(AND('Data Source'!B704&lt;&gt;"",'Data Source'!S704="A+"),IF('Data Source'!AE704&gt;=5,"A+",IF('Data Source'!AE704&gt;=4,"A",IF('Data Source'!AE704&gt;=3.5,"A-",IF('Data Source'!AE704&gt;=3,"B",IF('Data Source'!AE704&gt;=2,"C",IF('Data Source'!AE704&gt;=1,"D","F")))))),"")</f>
        <v/>
      </c>
      <c r="N704" s="3">
        <f>IF(AND('Data Source'!B704&lt;&gt;"",'Data Source'!S704="A+"),IF('Data Source'!AF704&gt;=5,"A+",IF('Data Source'!AF704&gt;=4,"A",IF('Data Source'!AF704&gt;=3.5,"A-",IF('Data Source'!AF704&gt;=3,"B",IF('Data Source'!AF704&gt;=2,"C",IF('Data Source'!AF704&gt;=1,"D","F")))))),"")</f>
        <v/>
      </c>
      <c r="O704" s="3">
        <f>IF(AND('Data Source'!B704&lt;&gt;"",'Data Source'!S704="A+"),IF('Data Source'!AG704&gt;=5,"A+",IF('Data Source'!AG704&gt;=4,"A",IF('Data Source'!AG704&gt;=3.5,"A-",IF('Data Source'!AG704&gt;=3,"B",IF('Data Source'!AG704&gt;=2,"C",IF('Data Source'!AG704&gt;=1,"D","F")))))),"")</f>
        <v/>
      </c>
      <c r="P704" s="5">
        <f>IF(AND('Data Source'!B704&lt;&gt;"",'Data Source'!S704="A+"),'Data Source'!R704,"")</f>
        <v/>
      </c>
      <c r="Q704" s="3">
        <f>IF(AND('Data Source'!B704&lt;&gt;"",'Data Source'!S704="A+"),'Data Source'!S704,"")</f>
        <v/>
      </c>
    </row>
    <row r="705">
      <c r="A705" s="3">
        <f>IF(AND('Data Source'!B705&lt;&gt;"",'Data Source'!S705="A+"),COUNTIF('Data Source'!$S$3:S705,"A+"),"")</f>
        <v/>
      </c>
      <c r="B705">
        <f>IF(AND('Data Source'!B705&lt;&gt;"",'Data Source'!S705="A+"),'Data Source'!B705,"")</f>
        <v/>
      </c>
      <c r="C705" s="3">
        <f>IF(AND('Data Source'!B705&lt;&gt;"",'Data Source'!S705="A+"),IF('Data Source'!U705&gt;=5,"A+",IF('Data Source'!U705&gt;=4,"A",IF('Data Source'!U705&gt;=3.5,"A-",IF('Data Source'!U705&gt;=3,"B",IF('Data Source'!U705&gt;=2,"C",IF('Data Source'!U705&gt;=1,"D","F")))))),"")</f>
        <v/>
      </c>
      <c r="D705" s="3">
        <f>IF(AND('Data Source'!B705&lt;&gt;"",'Data Source'!S705="A+"),IF('Data Source'!V705&gt;=5,"A+",IF('Data Source'!V705&gt;=4,"A",IF('Data Source'!V705&gt;=3.5,"A-",IF('Data Source'!V705&gt;=3,"B",IF('Data Source'!V705&gt;=2,"C",IF('Data Source'!V705&gt;=1,"D","F")))))),"")</f>
        <v/>
      </c>
      <c r="E705" s="3">
        <f>IF(AND('Data Source'!B705&lt;&gt;"",'Data Source'!S705="A+"),IF('Data Source'!W705&gt;=5,"A+",IF('Data Source'!W705&gt;=4,"A",IF('Data Source'!W705&gt;=3.5,"A-",IF('Data Source'!W705&gt;=3,"B",IF('Data Source'!W705&gt;=2,"C",IF('Data Source'!W705&gt;=1,"D","F")))))),"")</f>
        <v/>
      </c>
      <c r="F705" s="3">
        <f>IF(AND('Data Source'!B705&lt;&gt;"",'Data Source'!S705="A+"),IF('Data Source'!X705&gt;=5,"A+",IF('Data Source'!X705&gt;=4,"A",IF('Data Source'!X705&gt;=3.5,"A-",IF('Data Source'!X705&gt;=3,"B",IF('Data Source'!X705&gt;=2,"C",IF('Data Source'!X705&gt;=1,"D","F")))))),"")</f>
        <v/>
      </c>
      <c r="G705" s="3">
        <f>IF(AND('Data Source'!B705&lt;&gt;"",'Data Source'!S705="A+"),IF('Data Source'!Y705&gt;=5,"A+",IF('Data Source'!Y705&gt;=4,"A",IF('Data Source'!Y705&gt;=3.5,"A-",IF('Data Source'!Y705&gt;=3,"B",IF('Data Source'!Y705&gt;=2,"C",IF('Data Source'!Y705&gt;=1,"D","F")))))),"")</f>
        <v/>
      </c>
      <c r="H705" s="3">
        <f>IF(AND('Data Source'!B705&lt;&gt;"",'Data Source'!S705="A+"),IF('Data Source'!Z705&gt;=5,"A+",IF('Data Source'!Z705&gt;=4,"A",IF('Data Source'!Z705&gt;=3.5,"A-",IF('Data Source'!Z705&gt;=3,"B",IF('Data Source'!Z705&gt;=2,"C",IF('Data Source'!Z705&gt;=1,"D","F")))))),"")</f>
        <v/>
      </c>
      <c r="I705" s="3">
        <f>IF(AND('Data Source'!B705&lt;&gt;"",'Data Source'!S705="A+"),IF('Data Source'!AA705&gt;=5,"A+",IF('Data Source'!AA705&gt;=4,"A",IF('Data Source'!AA705&gt;=3.5,"A-",IF('Data Source'!AA705&gt;=3,"B",IF('Data Source'!AA705&gt;=2,"C",IF('Data Source'!AA705&gt;=1,"D","F")))))),"")</f>
        <v/>
      </c>
      <c r="J705" s="3">
        <f>IF(AND('Data Source'!B705&lt;&gt;"",'Data Source'!S705="A+"),IF('Data Source'!AB705&gt;=5,"A+",IF('Data Source'!AB705&gt;=4,"A",IF('Data Source'!AB705&gt;=3.5,"A-",IF('Data Source'!AB705&gt;=3,"B",IF('Data Source'!AB705&gt;=2,"C",IF('Data Source'!AB705&gt;=1,"D","F")))))),"")</f>
        <v/>
      </c>
      <c r="K705" s="3">
        <f>IF(AND('Data Source'!B705&lt;&gt;"",'Data Source'!S705="A+"),IF('Data Source'!AC705&gt;=5,"A+",IF('Data Source'!AC705&gt;=4,"A",IF('Data Source'!AC705&gt;=3.5,"A-",IF('Data Source'!AC705&gt;=3,"B",IF('Data Source'!AC705&gt;=2,"C",IF('Data Source'!AC705&gt;=1,"D","F")))))),"")</f>
        <v/>
      </c>
      <c r="L705" s="3">
        <f>IF(AND('Data Source'!B705&lt;&gt;"",'Data Source'!S705="A+"),IF('Data Source'!AD705&gt;=5,"A+",IF('Data Source'!AD705&gt;=4,"A",IF('Data Source'!AD705&gt;=3.5,"A-",IF('Data Source'!AD705&gt;=3,"B",IF('Data Source'!AD705&gt;=2,"C",IF('Data Source'!AD705&gt;=1,"D","F")))))),"")</f>
        <v/>
      </c>
      <c r="M705" s="3">
        <f>IF(AND('Data Source'!B705&lt;&gt;"",'Data Source'!S705="A+"),IF('Data Source'!AE705&gt;=5,"A+",IF('Data Source'!AE705&gt;=4,"A",IF('Data Source'!AE705&gt;=3.5,"A-",IF('Data Source'!AE705&gt;=3,"B",IF('Data Source'!AE705&gt;=2,"C",IF('Data Source'!AE705&gt;=1,"D","F")))))),"")</f>
        <v/>
      </c>
      <c r="N705" s="3">
        <f>IF(AND('Data Source'!B705&lt;&gt;"",'Data Source'!S705="A+"),IF('Data Source'!AF705&gt;=5,"A+",IF('Data Source'!AF705&gt;=4,"A",IF('Data Source'!AF705&gt;=3.5,"A-",IF('Data Source'!AF705&gt;=3,"B",IF('Data Source'!AF705&gt;=2,"C",IF('Data Source'!AF705&gt;=1,"D","F")))))),"")</f>
        <v/>
      </c>
      <c r="O705" s="3">
        <f>IF(AND('Data Source'!B705&lt;&gt;"",'Data Source'!S705="A+"),IF('Data Source'!AG705&gt;=5,"A+",IF('Data Source'!AG705&gt;=4,"A",IF('Data Source'!AG705&gt;=3.5,"A-",IF('Data Source'!AG705&gt;=3,"B",IF('Data Source'!AG705&gt;=2,"C",IF('Data Source'!AG705&gt;=1,"D","F")))))),"")</f>
        <v/>
      </c>
      <c r="P705" s="5">
        <f>IF(AND('Data Source'!B705&lt;&gt;"",'Data Source'!S705="A+"),'Data Source'!R705,"")</f>
        <v/>
      </c>
      <c r="Q705" s="3">
        <f>IF(AND('Data Source'!B705&lt;&gt;"",'Data Source'!S705="A+"),'Data Source'!S705,"")</f>
        <v/>
      </c>
    </row>
    <row r="706">
      <c r="A706" s="3">
        <f>IF(AND('Data Source'!B706&lt;&gt;"",'Data Source'!S706="A+"),COUNTIF('Data Source'!$S$3:S706,"A+"),"")</f>
        <v/>
      </c>
      <c r="B706">
        <f>IF(AND('Data Source'!B706&lt;&gt;"",'Data Source'!S706="A+"),'Data Source'!B706,"")</f>
        <v/>
      </c>
      <c r="C706" s="3">
        <f>IF(AND('Data Source'!B706&lt;&gt;"",'Data Source'!S706="A+"),IF('Data Source'!U706&gt;=5,"A+",IF('Data Source'!U706&gt;=4,"A",IF('Data Source'!U706&gt;=3.5,"A-",IF('Data Source'!U706&gt;=3,"B",IF('Data Source'!U706&gt;=2,"C",IF('Data Source'!U706&gt;=1,"D","F")))))),"")</f>
        <v/>
      </c>
      <c r="D706" s="3">
        <f>IF(AND('Data Source'!B706&lt;&gt;"",'Data Source'!S706="A+"),IF('Data Source'!V706&gt;=5,"A+",IF('Data Source'!V706&gt;=4,"A",IF('Data Source'!V706&gt;=3.5,"A-",IF('Data Source'!V706&gt;=3,"B",IF('Data Source'!V706&gt;=2,"C",IF('Data Source'!V706&gt;=1,"D","F")))))),"")</f>
        <v/>
      </c>
      <c r="E706" s="3">
        <f>IF(AND('Data Source'!B706&lt;&gt;"",'Data Source'!S706="A+"),IF('Data Source'!W706&gt;=5,"A+",IF('Data Source'!W706&gt;=4,"A",IF('Data Source'!W706&gt;=3.5,"A-",IF('Data Source'!W706&gt;=3,"B",IF('Data Source'!W706&gt;=2,"C",IF('Data Source'!W706&gt;=1,"D","F")))))),"")</f>
        <v/>
      </c>
      <c r="F706" s="3">
        <f>IF(AND('Data Source'!B706&lt;&gt;"",'Data Source'!S706="A+"),IF('Data Source'!X706&gt;=5,"A+",IF('Data Source'!X706&gt;=4,"A",IF('Data Source'!X706&gt;=3.5,"A-",IF('Data Source'!X706&gt;=3,"B",IF('Data Source'!X706&gt;=2,"C",IF('Data Source'!X706&gt;=1,"D","F")))))),"")</f>
        <v/>
      </c>
      <c r="G706" s="3">
        <f>IF(AND('Data Source'!B706&lt;&gt;"",'Data Source'!S706="A+"),IF('Data Source'!Y706&gt;=5,"A+",IF('Data Source'!Y706&gt;=4,"A",IF('Data Source'!Y706&gt;=3.5,"A-",IF('Data Source'!Y706&gt;=3,"B",IF('Data Source'!Y706&gt;=2,"C",IF('Data Source'!Y706&gt;=1,"D","F")))))),"")</f>
        <v/>
      </c>
      <c r="H706" s="3">
        <f>IF(AND('Data Source'!B706&lt;&gt;"",'Data Source'!S706="A+"),IF('Data Source'!Z706&gt;=5,"A+",IF('Data Source'!Z706&gt;=4,"A",IF('Data Source'!Z706&gt;=3.5,"A-",IF('Data Source'!Z706&gt;=3,"B",IF('Data Source'!Z706&gt;=2,"C",IF('Data Source'!Z706&gt;=1,"D","F")))))),"")</f>
        <v/>
      </c>
      <c r="I706" s="3">
        <f>IF(AND('Data Source'!B706&lt;&gt;"",'Data Source'!S706="A+"),IF('Data Source'!AA706&gt;=5,"A+",IF('Data Source'!AA706&gt;=4,"A",IF('Data Source'!AA706&gt;=3.5,"A-",IF('Data Source'!AA706&gt;=3,"B",IF('Data Source'!AA706&gt;=2,"C",IF('Data Source'!AA706&gt;=1,"D","F")))))),"")</f>
        <v/>
      </c>
      <c r="J706" s="3">
        <f>IF(AND('Data Source'!B706&lt;&gt;"",'Data Source'!S706="A+"),IF('Data Source'!AB706&gt;=5,"A+",IF('Data Source'!AB706&gt;=4,"A",IF('Data Source'!AB706&gt;=3.5,"A-",IF('Data Source'!AB706&gt;=3,"B",IF('Data Source'!AB706&gt;=2,"C",IF('Data Source'!AB706&gt;=1,"D","F")))))),"")</f>
        <v/>
      </c>
      <c r="K706" s="3">
        <f>IF(AND('Data Source'!B706&lt;&gt;"",'Data Source'!S706="A+"),IF('Data Source'!AC706&gt;=5,"A+",IF('Data Source'!AC706&gt;=4,"A",IF('Data Source'!AC706&gt;=3.5,"A-",IF('Data Source'!AC706&gt;=3,"B",IF('Data Source'!AC706&gt;=2,"C",IF('Data Source'!AC706&gt;=1,"D","F")))))),"")</f>
        <v/>
      </c>
      <c r="L706" s="3">
        <f>IF(AND('Data Source'!B706&lt;&gt;"",'Data Source'!S706="A+"),IF('Data Source'!AD706&gt;=5,"A+",IF('Data Source'!AD706&gt;=4,"A",IF('Data Source'!AD706&gt;=3.5,"A-",IF('Data Source'!AD706&gt;=3,"B",IF('Data Source'!AD706&gt;=2,"C",IF('Data Source'!AD706&gt;=1,"D","F")))))),"")</f>
        <v/>
      </c>
      <c r="M706" s="3">
        <f>IF(AND('Data Source'!B706&lt;&gt;"",'Data Source'!S706="A+"),IF('Data Source'!AE706&gt;=5,"A+",IF('Data Source'!AE706&gt;=4,"A",IF('Data Source'!AE706&gt;=3.5,"A-",IF('Data Source'!AE706&gt;=3,"B",IF('Data Source'!AE706&gt;=2,"C",IF('Data Source'!AE706&gt;=1,"D","F")))))),"")</f>
        <v/>
      </c>
      <c r="N706" s="3">
        <f>IF(AND('Data Source'!B706&lt;&gt;"",'Data Source'!S706="A+"),IF('Data Source'!AF706&gt;=5,"A+",IF('Data Source'!AF706&gt;=4,"A",IF('Data Source'!AF706&gt;=3.5,"A-",IF('Data Source'!AF706&gt;=3,"B",IF('Data Source'!AF706&gt;=2,"C",IF('Data Source'!AF706&gt;=1,"D","F")))))),"")</f>
        <v/>
      </c>
      <c r="O706" s="3">
        <f>IF(AND('Data Source'!B706&lt;&gt;"",'Data Source'!S706="A+"),IF('Data Source'!AG706&gt;=5,"A+",IF('Data Source'!AG706&gt;=4,"A",IF('Data Source'!AG706&gt;=3.5,"A-",IF('Data Source'!AG706&gt;=3,"B",IF('Data Source'!AG706&gt;=2,"C",IF('Data Source'!AG706&gt;=1,"D","F")))))),"")</f>
        <v/>
      </c>
      <c r="P706" s="5">
        <f>IF(AND('Data Source'!B706&lt;&gt;"",'Data Source'!S706="A+"),'Data Source'!R706,"")</f>
        <v/>
      </c>
      <c r="Q706" s="3">
        <f>IF(AND('Data Source'!B706&lt;&gt;"",'Data Source'!S706="A+"),'Data Source'!S706,"")</f>
        <v/>
      </c>
    </row>
    <row r="707">
      <c r="A707" s="3">
        <f>IF(AND('Data Source'!B707&lt;&gt;"",'Data Source'!S707="A+"),COUNTIF('Data Source'!$S$3:S707,"A+"),"")</f>
        <v/>
      </c>
      <c r="B707">
        <f>IF(AND('Data Source'!B707&lt;&gt;"",'Data Source'!S707="A+"),'Data Source'!B707,"")</f>
        <v/>
      </c>
      <c r="C707" s="3">
        <f>IF(AND('Data Source'!B707&lt;&gt;"",'Data Source'!S707="A+"),IF('Data Source'!U707&gt;=5,"A+",IF('Data Source'!U707&gt;=4,"A",IF('Data Source'!U707&gt;=3.5,"A-",IF('Data Source'!U707&gt;=3,"B",IF('Data Source'!U707&gt;=2,"C",IF('Data Source'!U707&gt;=1,"D","F")))))),"")</f>
        <v/>
      </c>
      <c r="D707" s="3">
        <f>IF(AND('Data Source'!B707&lt;&gt;"",'Data Source'!S707="A+"),IF('Data Source'!V707&gt;=5,"A+",IF('Data Source'!V707&gt;=4,"A",IF('Data Source'!V707&gt;=3.5,"A-",IF('Data Source'!V707&gt;=3,"B",IF('Data Source'!V707&gt;=2,"C",IF('Data Source'!V707&gt;=1,"D","F")))))),"")</f>
        <v/>
      </c>
      <c r="E707" s="3">
        <f>IF(AND('Data Source'!B707&lt;&gt;"",'Data Source'!S707="A+"),IF('Data Source'!W707&gt;=5,"A+",IF('Data Source'!W707&gt;=4,"A",IF('Data Source'!W707&gt;=3.5,"A-",IF('Data Source'!W707&gt;=3,"B",IF('Data Source'!W707&gt;=2,"C",IF('Data Source'!W707&gt;=1,"D","F")))))),"")</f>
        <v/>
      </c>
      <c r="F707" s="3">
        <f>IF(AND('Data Source'!B707&lt;&gt;"",'Data Source'!S707="A+"),IF('Data Source'!X707&gt;=5,"A+",IF('Data Source'!X707&gt;=4,"A",IF('Data Source'!X707&gt;=3.5,"A-",IF('Data Source'!X707&gt;=3,"B",IF('Data Source'!X707&gt;=2,"C",IF('Data Source'!X707&gt;=1,"D","F")))))),"")</f>
        <v/>
      </c>
      <c r="G707" s="3">
        <f>IF(AND('Data Source'!B707&lt;&gt;"",'Data Source'!S707="A+"),IF('Data Source'!Y707&gt;=5,"A+",IF('Data Source'!Y707&gt;=4,"A",IF('Data Source'!Y707&gt;=3.5,"A-",IF('Data Source'!Y707&gt;=3,"B",IF('Data Source'!Y707&gt;=2,"C",IF('Data Source'!Y707&gt;=1,"D","F")))))),"")</f>
        <v/>
      </c>
      <c r="H707" s="3">
        <f>IF(AND('Data Source'!B707&lt;&gt;"",'Data Source'!S707="A+"),IF('Data Source'!Z707&gt;=5,"A+",IF('Data Source'!Z707&gt;=4,"A",IF('Data Source'!Z707&gt;=3.5,"A-",IF('Data Source'!Z707&gt;=3,"B",IF('Data Source'!Z707&gt;=2,"C",IF('Data Source'!Z707&gt;=1,"D","F")))))),"")</f>
        <v/>
      </c>
      <c r="I707" s="3">
        <f>IF(AND('Data Source'!B707&lt;&gt;"",'Data Source'!S707="A+"),IF('Data Source'!AA707&gt;=5,"A+",IF('Data Source'!AA707&gt;=4,"A",IF('Data Source'!AA707&gt;=3.5,"A-",IF('Data Source'!AA707&gt;=3,"B",IF('Data Source'!AA707&gt;=2,"C",IF('Data Source'!AA707&gt;=1,"D","F")))))),"")</f>
        <v/>
      </c>
      <c r="J707" s="3">
        <f>IF(AND('Data Source'!B707&lt;&gt;"",'Data Source'!S707="A+"),IF('Data Source'!AB707&gt;=5,"A+",IF('Data Source'!AB707&gt;=4,"A",IF('Data Source'!AB707&gt;=3.5,"A-",IF('Data Source'!AB707&gt;=3,"B",IF('Data Source'!AB707&gt;=2,"C",IF('Data Source'!AB707&gt;=1,"D","F")))))),"")</f>
        <v/>
      </c>
      <c r="K707" s="3">
        <f>IF(AND('Data Source'!B707&lt;&gt;"",'Data Source'!S707="A+"),IF('Data Source'!AC707&gt;=5,"A+",IF('Data Source'!AC707&gt;=4,"A",IF('Data Source'!AC707&gt;=3.5,"A-",IF('Data Source'!AC707&gt;=3,"B",IF('Data Source'!AC707&gt;=2,"C",IF('Data Source'!AC707&gt;=1,"D","F")))))),"")</f>
        <v/>
      </c>
      <c r="L707" s="3">
        <f>IF(AND('Data Source'!B707&lt;&gt;"",'Data Source'!S707="A+"),IF('Data Source'!AD707&gt;=5,"A+",IF('Data Source'!AD707&gt;=4,"A",IF('Data Source'!AD707&gt;=3.5,"A-",IF('Data Source'!AD707&gt;=3,"B",IF('Data Source'!AD707&gt;=2,"C",IF('Data Source'!AD707&gt;=1,"D","F")))))),"")</f>
        <v/>
      </c>
      <c r="M707" s="3">
        <f>IF(AND('Data Source'!B707&lt;&gt;"",'Data Source'!S707="A+"),IF('Data Source'!AE707&gt;=5,"A+",IF('Data Source'!AE707&gt;=4,"A",IF('Data Source'!AE707&gt;=3.5,"A-",IF('Data Source'!AE707&gt;=3,"B",IF('Data Source'!AE707&gt;=2,"C",IF('Data Source'!AE707&gt;=1,"D","F")))))),"")</f>
        <v/>
      </c>
      <c r="N707" s="3">
        <f>IF(AND('Data Source'!B707&lt;&gt;"",'Data Source'!S707="A+"),IF('Data Source'!AF707&gt;=5,"A+",IF('Data Source'!AF707&gt;=4,"A",IF('Data Source'!AF707&gt;=3.5,"A-",IF('Data Source'!AF707&gt;=3,"B",IF('Data Source'!AF707&gt;=2,"C",IF('Data Source'!AF707&gt;=1,"D","F")))))),"")</f>
        <v/>
      </c>
      <c r="O707" s="3">
        <f>IF(AND('Data Source'!B707&lt;&gt;"",'Data Source'!S707="A+"),IF('Data Source'!AG707&gt;=5,"A+",IF('Data Source'!AG707&gt;=4,"A",IF('Data Source'!AG707&gt;=3.5,"A-",IF('Data Source'!AG707&gt;=3,"B",IF('Data Source'!AG707&gt;=2,"C",IF('Data Source'!AG707&gt;=1,"D","F")))))),"")</f>
        <v/>
      </c>
      <c r="P707" s="5">
        <f>IF(AND('Data Source'!B707&lt;&gt;"",'Data Source'!S707="A+"),'Data Source'!R707,"")</f>
        <v/>
      </c>
      <c r="Q707" s="3">
        <f>IF(AND('Data Source'!B707&lt;&gt;"",'Data Source'!S707="A+"),'Data Source'!S707,"")</f>
        <v/>
      </c>
    </row>
    <row r="708">
      <c r="A708" s="3">
        <f>IF(AND('Data Source'!B708&lt;&gt;"",'Data Source'!S708="A+"),COUNTIF('Data Source'!$S$3:S708,"A+"),"")</f>
        <v/>
      </c>
      <c r="B708">
        <f>IF(AND('Data Source'!B708&lt;&gt;"",'Data Source'!S708="A+"),'Data Source'!B708,"")</f>
        <v/>
      </c>
      <c r="C708" s="3">
        <f>IF(AND('Data Source'!B708&lt;&gt;"",'Data Source'!S708="A+"),IF('Data Source'!U708&gt;=5,"A+",IF('Data Source'!U708&gt;=4,"A",IF('Data Source'!U708&gt;=3.5,"A-",IF('Data Source'!U708&gt;=3,"B",IF('Data Source'!U708&gt;=2,"C",IF('Data Source'!U708&gt;=1,"D","F")))))),"")</f>
        <v/>
      </c>
      <c r="D708" s="3">
        <f>IF(AND('Data Source'!B708&lt;&gt;"",'Data Source'!S708="A+"),IF('Data Source'!V708&gt;=5,"A+",IF('Data Source'!V708&gt;=4,"A",IF('Data Source'!V708&gt;=3.5,"A-",IF('Data Source'!V708&gt;=3,"B",IF('Data Source'!V708&gt;=2,"C",IF('Data Source'!V708&gt;=1,"D","F")))))),"")</f>
        <v/>
      </c>
      <c r="E708" s="3">
        <f>IF(AND('Data Source'!B708&lt;&gt;"",'Data Source'!S708="A+"),IF('Data Source'!W708&gt;=5,"A+",IF('Data Source'!W708&gt;=4,"A",IF('Data Source'!W708&gt;=3.5,"A-",IF('Data Source'!W708&gt;=3,"B",IF('Data Source'!W708&gt;=2,"C",IF('Data Source'!W708&gt;=1,"D","F")))))),"")</f>
        <v/>
      </c>
      <c r="F708" s="3">
        <f>IF(AND('Data Source'!B708&lt;&gt;"",'Data Source'!S708="A+"),IF('Data Source'!X708&gt;=5,"A+",IF('Data Source'!X708&gt;=4,"A",IF('Data Source'!X708&gt;=3.5,"A-",IF('Data Source'!X708&gt;=3,"B",IF('Data Source'!X708&gt;=2,"C",IF('Data Source'!X708&gt;=1,"D","F")))))),"")</f>
        <v/>
      </c>
      <c r="G708" s="3">
        <f>IF(AND('Data Source'!B708&lt;&gt;"",'Data Source'!S708="A+"),IF('Data Source'!Y708&gt;=5,"A+",IF('Data Source'!Y708&gt;=4,"A",IF('Data Source'!Y708&gt;=3.5,"A-",IF('Data Source'!Y708&gt;=3,"B",IF('Data Source'!Y708&gt;=2,"C",IF('Data Source'!Y708&gt;=1,"D","F")))))),"")</f>
        <v/>
      </c>
      <c r="H708" s="3">
        <f>IF(AND('Data Source'!B708&lt;&gt;"",'Data Source'!S708="A+"),IF('Data Source'!Z708&gt;=5,"A+",IF('Data Source'!Z708&gt;=4,"A",IF('Data Source'!Z708&gt;=3.5,"A-",IF('Data Source'!Z708&gt;=3,"B",IF('Data Source'!Z708&gt;=2,"C",IF('Data Source'!Z708&gt;=1,"D","F")))))),"")</f>
        <v/>
      </c>
      <c r="I708" s="3">
        <f>IF(AND('Data Source'!B708&lt;&gt;"",'Data Source'!S708="A+"),IF('Data Source'!AA708&gt;=5,"A+",IF('Data Source'!AA708&gt;=4,"A",IF('Data Source'!AA708&gt;=3.5,"A-",IF('Data Source'!AA708&gt;=3,"B",IF('Data Source'!AA708&gt;=2,"C",IF('Data Source'!AA708&gt;=1,"D","F")))))),"")</f>
        <v/>
      </c>
      <c r="J708" s="3">
        <f>IF(AND('Data Source'!B708&lt;&gt;"",'Data Source'!S708="A+"),IF('Data Source'!AB708&gt;=5,"A+",IF('Data Source'!AB708&gt;=4,"A",IF('Data Source'!AB708&gt;=3.5,"A-",IF('Data Source'!AB708&gt;=3,"B",IF('Data Source'!AB708&gt;=2,"C",IF('Data Source'!AB708&gt;=1,"D","F")))))),"")</f>
        <v/>
      </c>
      <c r="K708" s="3">
        <f>IF(AND('Data Source'!B708&lt;&gt;"",'Data Source'!S708="A+"),IF('Data Source'!AC708&gt;=5,"A+",IF('Data Source'!AC708&gt;=4,"A",IF('Data Source'!AC708&gt;=3.5,"A-",IF('Data Source'!AC708&gt;=3,"B",IF('Data Source'!AC708&gt;=2,"C",IF('Data Source'!AC708&gt;=1,"D","F")))))),"")</f>
        <v/>
      </c>
      <c r="L708" s="3">
        <f>IF(AND('Data Source'!B708&lt;&gt;"",'Data Source'!S708="A+"),IF('Data Source'!AD708&gt;=5,"A+",IF('Data Source'!AD708&gt;=4,"A",IF('Data Source'!AD708&gt;=3.5,"A-",IF('Data Source'!AD708&gt;=3,"B",IF('Data Source'!AD708&gt;=2,"C",IF('Data Source'!AD708&gt;=1,"D","F")))))),"")</f>
        <v/>
      </c>
      <c r="M708" s="3">
        <f>IF(AND('Data Source'!B708&lt;&gt;"",'Data Source'!S708="A+"),IF('Data Source'!AE708&gt;=5,"A+",IF('Data Source'!AE708&gt;=4,"A",IF('Data Source'!AE708&gt;=3.5,"A-",IF('Data Source'!AE708&gt;=3,"B",IF('Data Source'!AE708&gt;=2,"C",IF('Data Source'!AE708&gt;=1,"D","F")))))),"")</f>
        <v/>
      </c>
      <c r="N708" s="3">
        <f>IF(AND('Data Source'!B708&lt;&gt;"",'Data Source'!S708="A+"),IF('Data Source'!AF708&gt;=5,"A+",IF('Data Source'!AF708&gt;=4,"A",IF('Data Source'!AF708&gt;=3.5,"A-",IF('Data Source'!AF708&gt;=3,"B",IF('Data Source'!AF708&gt;=2,"C",IF('Data Source'!AF708&gt;=1,"D","F")))))),"")</f>
        <v/>
      </c>
      <c r="O708" s="3">
        <f>IF(AND('Data Source'!B708&lt;&gt;"",'Data Source'!S708="A+"),IF('Data Source'!AG708&gt;=5,"A+",IF('Data Source'!AG708&gt;=4,"A",IF('Data Source'!AG708&gt;=3.5,"A-",IF('Data Source'!AG708&gt;=3,"B",IF('Data Source'!AG708&gt;=2,"C",IF('Data Source'!AG708&gt;=1,"D","F")))))),"")</f>
        <v/>
      </c>
      <c r="P708" s="5">
        <f>IF(AND('Data Source'!B708&lt;&gt;"",'Data Source'!S708="A+"),'Data Source'!R708,"")</f>
        <v/>
      </c>
      <c r="Q708" s="3">
        <f>IF(AND('Data Source'!B708&lt;&gt;"",'Data Source'!S708="A+"),'Data Source'!S708,"")</f>
        <v/>
      </c>
    </row>
    <row r="709">
      <c r="A709" s="3">
        <f>IF(AND('Data Source'!B709&lt;&gt;"",'Data Source'!S709="A+"),COUNTIF('Data Source'!$S$3:S709,"A+"),"")</f>
        <v/>
      </c>
      <c r="B709">
        <f>IF(AND('Data Source'!B709&lt;&gt;"",'Data Source'!S709="A+"),'Data Source'!B709,"")</f>
        <v/>
      </c>
      <c r="C709" s="3">
        <f>IF(AND('Data Source'!B709&lt;&gt;"",'Data Source'!S709="A+"),IF('Data Source'!U709&gt;=5,"A+",IF('Data Source'!U709&gt;=4,"A",IF('Data Source'!U709&gt;=3.5,"A-",IF('Data Source'!U709&gt;=3,"B",IF('Data Source'!U709&gt;=2,"C",IF('Data Source'!U709&gt;=1,"D","F")))))),"")</f>
        <v/>
      </c>
      <c r="D709" s="3">
        <f>IF(AND('Data Source'!B709&lt;&gt;"",'Data Source'!S709="A+"),IF('Data Source'!V709&gt;=5,"A+",IF('Data Source'!V709&gt;=4,"A",IF('Data Source'!V709&gt;=3.5,"A-",IF('Data Source'!V709&gt;=3,"B",IF('Data Source'!V709&gt;=2,"C",IF('Data Source'!V709&gt;=1,"D","F")))))),"")</f>
        <v/>
      </c>
      <c r="E709" s="3">
        <f>IF(AND('Data Source'!B709&lt;&gt;"",'Data Source'!S709="A+"),IF('Data Source'!W709&gt;=5,"A+",IF('Data Source'!W709&gt;=4,"A",IF('Data Source'!W709&gt;=3.5,"A-",IF('Data Source'!W709&gt;=3,"B",IF('Data Source'!W709&gt;=2,"C",IF('Data Source'!W709&gt;=1,"D","F")))))),"")</f>
        <v/>
      </c>
      <c r="F709" s="3">
        <f>IF(AND('Data Source'!B709&lt;&gt;"",'Data Source'!S709="A+"),IF('Data Source'!X709&gt;=5,"A+",IF('Data Source'!X709&gt;=4,"A",IF('Data Source'!X709&gt;=3.5,"A-",IF('Data Source'!X709&gt;=3,"B",IF('Data Source'!X709&gt;=2,"C",IF('Data Source'!X709&gt;=1,"D","F")))))),"")</f>
        <v/>
      </c>
      <c r="G709" s="3">
        <f>IF(AND('Data Source'!B709&lt;&gt;"",'Data Source'!S709="A+"),IF('Data Source'!Y709&gt;=5,"A+",IF('Data Source'!Y709&gt;=4,"A",IF('Data Source'!Y709&gt;=3.5,"A-",IF('Data Source'!Y709&gt;=3,"B",IF('Data Source'!Y709&gt;=2,"C",IF('Data Source'!Y709&gt;=1,"D","F")))))),"")</f>
        <v/>
      </c>
      <c r="H709" s="3">
        <f>IF(AND('Data Source'!B709&lt;&gt;"",'Data Source'!S709="A+"),IF('Data Source'!Z709&gt;=5,"A+",IF('Data Source'!Z709&gt;=4,"A",IF('Data Source'!Z709&gt;=3.5,"A-",IF('Data Source'!Z709&gt;=3,"B",IF('Data Source'!Z709&gt;=2,"C",IF('Data Source'!Z709&gt;=1,"D","F")))))),"")</f>
        <v/>
      </c>
      <c r="I709" s="3">
        <f>IF(AND('Data Source'!B709&lt;&gt;"",'Data Source'!S709="A+"),IF('Data Source'!AA709&gt;=5,"A+",IF('Data Source'!AA709&gt;=4,"A",IF('Data Source'!AA709&gt;=3.5,"A-",IF('Data Source'!AA709&gt;=3,"B",IF('Data Source'!AA709&gt;=2,"C",IF('Data Source'!AA709&gt;=1,"D","F")))))),"")</f>
        <v/>
      </c>
      <c r="J709" s="3">
        <f>IF(AND('Data Source'!B709&lt;&gt;"",'Data Source'!S709="A+"),IF('Data Source'!AB709&gt;=5,"A+",IF('Data Source'!AB709&gt;=4,"A",IF('Data Source'!AB709&gt;=3.5,"A-",IF('Data Source'!AB709&gt;=3,"B",IF('Data Source'!AB709&gt;=2,"C",IF('Data Source'!AB709&gt;=1,"D","F")))))),"")</f>
        <v/>
      </c>
      <c r="K709" s="3">
        <f>IF(AND('Data Source'!B709&lt;&gt;"",'Data Source'!S709="A+"),IF('Data Source'!AC709&gt;=5,"A+",IF('Data Source'!AC709&gt;=4,"A",IF('Data Source'!AC709&gt;=3.5,"A-",IF('Data Source'!AC709&gt;=3,"B",IF('Data Source'!AC709&gt;=2,"C",IF('Data Source'!AC709&gt;=1,"D","F")))))),"")</f>
        <v/>
      </c>
      <c r="L709" s="3">
        <f>IF(AND('Data Source'!B709&lt;&gt;"",'Data Source'!S709="A+"),IF('Data Source'!AD709&gt;=5,"A+",IF('Data Source'!AD709&gt;=4,"A",IF('Data Source'!AD709&gt;=3.5,"A-",IF('Data Source'!AD709&gt;=3,"B",IF('Data Source'!AD709&gt;=2,"C",IF('Data Source'!AD709&gt;=1,"D","F")))))),"")</f>
        <v/>
      </c>
      <c r="M709" s="3">
        <f>IF(AND('Data Source'!B709&lt;&gt;"",'Data Source'!S709="A+"),IF('Data Source'!AE709&gt;=5,"A+",IF('Data Source'!AE709&gt;=4,"A",IF('Data Source'!AE709&gt;=3.5,"A-",IF('Data Source'!AE709&gt;=3,"B",IF('Data Source'!AE709&gt;=2,"C",IF('Data Source'!AE709&gt;=1,"D","F")))))),"")</f>
        <v/>
      </c>
      <c r="N709" s="3">
        <f>IF(AND('Data Source'!B709&lt;&gt;"",'Data Source'!S709="A+"),IF('Data Source'!AF709&gt;=5,"A+",IF('Data Source'!AF709&gt;=4,"A",IF('Data Source'!AF709&gt;=3.5,"A-",IF('Data Source'!AF709&gt;=3,"B",IF('Data Source'!AF709&gt;=2,"C",IF('Data Source'!AF709&gt;=1,"D","F")))))),"")</f>
        <v/>
      </c>
      <c r="O709" s="3">
        <f>IF(AND('Data Source'!B709&lt;&gt;"",'Data Source'!S709="A+"),IF('Data Source'!AG709&gt;=5,"A+",IF('Data Source'!AG709&gt;=4,"A",IF('Data Source'!AG709&gt;=3.5,"A-",IF('Data Source'!AG709&gt;=3,"B",IF('Data Source'!AG709&gt;=2,"C",IF('Data Source'!AG709&gt;=1,"D","F")))))),"")</f>
        <v/>
      </c>
      <c r="P709" s="5">
        <f>IF(AND('Data Source'!B709&lt;&gt;"",'Data Source'!S709="A+"),'Data Source'!R709,"")</f>
        <v/>
      </c>
      <c r="Q709" s="3">
        <f>IF(AND('Data Source'!B709&lt;&gt;"",'Data Source'!S709="A+"),'Data Source'!S709,"")</f>
        <v/>
      </c>
    </row>
    <row r="710">
      <c r="A710" s="3">
        <f>IF(AND('Data Source'!B710&lt;&gt;"",'Data Source'!S710="A+"),COUNTIF('Data Source'!$S$3:S710,"A+"),"")</f>
        <v/>
      </c>
      <c r="B710">
        <f>IF(AND('Data Source'!B710&lt;&gt;"",'Data Source'!S710="A+"),'Data Source'!B710,"")</f>
        <v/>
      </c>
      <c r="C710" s="3">
        <f>IF(AND('Data Source'!B710&lt;&gt;"",'Data Source'!S710="A+"),IF('Data Source'!U710&gt;=5,"A+",IF('Data Source'!U710&gt;=4,"A",IF('Data Source'!U710&gt;=3.5,"A-",IF('Data Source'!U710&gt;=3,"B",IF('Data Source'!U710&gt;=2,"C",IF('Data Source'!U710&gt;=1,"D","F")))))),"")</f>
        <v/>
      </c>
      <c r="D710" s="3">
        <f>IF(AND('Data Source'!B710&lt;&gt;"",'Data Source'!S710="A+"),IF('Data Source'!V710&gt;=5,"A+",IF('Data Source'!V710&gt;=4,"A",IF('Data Source'!V710&gt;=3.5,"A-",IF('Data Source'!V710&gt;=3,"B",IF('Data Source'!V710&gt;=2,"C",IF('Data Source'!V710&gt;=1,"D","F")))))),"")</f>
        <v/>
      </c>
      <c r="E710" s="3">
        <f>IF(AND('Data Source'!B710&lt;&gt;"",'Data Source'!S710="A+"),IF('Data Source'!W710&gt;=5,"A+",IF('Data Source'!W710&gt;=4,"A",IF('Data Source'!W710&gt;=3.5,"A-",IF('Data Source'!W710&gt;=3,"B",IF('Data Source'!W710&gt;=2,"C",IF('Data Source'!W710&gt;=1,"D","F")))))),"")</f>
        <v/>
      </c>
      <c r="F710" s="3">
        <f>IF(AND('Data Source'!B710&lt;&gt;"",'Data Source'!S710="A+"),IF('Data Source'!X710&gt;=5,"A+",IF('Data Source'!X710&gt;=4,"A",IF('Data Source'!X710&gt;=3.5,"A-",IF('Data Source'!X710&gt;=3,"B",IF('Data Source'!X710&gt;=2,"C",IF('Data Source'!X710&gt;=1,"D","F")))))),"")</f>
        <v/>
      </c>
      <c r="G710" s="3">
        <f>IF(AND('Data Source'!B710&lt;&gt;"",'Data Source'!S710="A+"),IF('Data Source'!Y710&gt;=5,"A+",IF('Data Source'!Y710&gt;=4,"A",IF('Data Source'!Y710&gt;=3.5,"A-",IF('Data Source'!Y710&gt;=3,"B",IF('Data Source'!Y710&gt;=2,"C",IF('Data Source'!Y710&gt;=1,"D","F")))))),"")</f>
        <v/>
      </c>
      <c r="H710" s="3">
        <f>IF(AND('Data Source'!B710&lt;&gt;"",'Data Source'!S710="A+"),IF('Data Source'!Z710&gt;=5,"A+",IF('Data Source'!Z710&gt;=4,"A",IF('Data Source'!Z710&gt;=3.5,"A-",IF('Data Source'!Z710&gt;=3,"B",IF('Data Source'!Z710&gt;=2,"C",IF('Data Source'!Z710&gt;=1,"D","F")))))),"")</f>
        <v/>
      </c>
      <c r="I710" s="3">
        <f>IF(AND('Data Source'!B710&lt;&gt;"",'Data Source'!S710="A+"),IF('Data Source'!AA710&gt;=5,"A+",IF('Data Source'!AA710&gt;=4,"A",IF('Data Source'!AA710&gt;=3.5,"A-",IF('Data Source'!AA710&gt;=3,"B",IF('Data Source'!AA710&gt;=2,"C",IF('Data Source'!AA710&gt;=1,"D","F")))))),"")</f>
        <v/>
      </c>
      <c r="J710" s="3">
        <f>IF(AND('Data Source'!B710&lt;&gt;"",'Data Source'!S710="A+"),IF('Data Source'!AB710&gt;=5,"A+",IF('Data Source'!AB710&gt;=4,"A",IF('Data Source'!AB710&gt;=3.5,"A-",IF('Data Source'!AB710&gt;=3,"B",IF('Data Source'!AB710&gt;=2,"C",IF('Data Source'!AB710&gt;=1,"D","F")))))),"")</f>
        <v/>
      </c>
      <c r="K710" s="3">
        <f>IF(AND('Data Source'!B710&lt;&gt;"",'Data Source'!S710="A+"),IF('Data Source'!AC710&gt;=5,"A+",IF('Data Source'!AC710&gt;=4,"A",IF('Data Source'!AC710&gt;=3.5,"A-",IF('Data Source'!AC710&gt;=3,"B",IF('Data Source'!AC710&gt;=2,"C",IF('Data Source'!AC710&gt;=1,"D","F")))))),"")</f>
        <v/>
      </c>
      <c r="L710" s="3">
        <f>IF(AND('Data Source'!B710&lt;&gt;"",'Data Source'!S710="A+"),IF('Data Source'!AD710&gt;=5,"A+",IF('Data Source'!AD710&gt;=4,"A",IF('Data Source'!AD710&gt;=3.5,"A-",IF('Data Source'!AD710&gt;=3,"B",IF('Data Source'!AD710&gt;=2,"C",IF('Data Source'!AD710&gt;=1,"D","F")))))),"")</f>
        <v/>
      </c>
      <c r="M710" s="3">
        <f>IF(AND('Data Source'!B710&lt;&gt;"",'Data Source'!S710="A+"),IF('Data Source'!AE710&gt;=5,"A+",IF('Data Source'!AE710&gt;=4,"A",IF('Data Source'!AE710&gt;=3.5,"A-",IF('Data Source'!AE710&gt;=3,"B",IF('Data Source'!AE710&gt;=2,"C",IF('Data Source'!AE710&gt;=1,"D","F")))))),"")</f>
        <v/>
      </c>
      <c r="N710" s="3">
        <f>IF(AND('Data Source'!B710&lt;&gt;"",'Data Source'!S710="A+"),IF('Data Source'!AF710&gt;=5,"A+",IF('Data Source'!AF710&gt;=4,"A",IF('Data Source'!AF710&gt;=3.5,"A-",IF('Data Source'!AF710&gt;=3,"B",IF('Data Source'!AF710&gt;=2,"C",IF('Data Source'!AF710&gt;=1,"D","F")))))),"")</f>
        <v/>
      </c>
      <c r="O710" s="3">
        <f>IF(AND('Data Source'!B710&lt;&gt;"",'Data Source'!S710="A+"),IF('Data Source'!AG710&gt;=5,"A+",IF('Data Source'!AG710&gt;=4,"A",IF('Data Source'!AG710&gt;=3.5,"A-",IF('Data Source'!AG710&gt;=3,"B",IF('Data Source'!AG710&gt;=2,"C",IF('Data Source'!AG710&gt;=1,"D","F")))))),"")</f>
        <v/>
      </c>
      <c r="P710" s="5">
        <f>IF(AND('Data Source'!B710&lt;&gt;"",'Data Source'!S710="A+"),'Data Source'!R710,"")</f>
        <v/>
      </c>
      <c r="Q710" s="3">
        <f>IF(AND('Data Source'!B710&lt;&gt;"",'Data Source'!S710="A+"),'Data Source'!S710,"")</f>
        <v/>
      </c>
    </row>
    <row r="711">
      <c r="A711" s="3">
        <f>IF(AND('Data Source'!B711&lt;&gt;"",'Data Source'!S711="A+"),COUNTIF('Data Source'!$S$3:S711,"A+"),"")</f>
        <v/>
      </c>
      <c r="B711">
        <f>IF(AND('Data Source'!B711&lt;&gt;"",'Data Source'!S711="A+"),'Data Source'!B711,"")</f>
        <v/>
      </c>
      <c r="C711" s="3">
        <f>IF(AND('Data Source'!B711&lt;&gt;"",'Data Source'!S711="A+"),IF('Data Source'!U711&gt;=5,"A+",IF('Data Source'!U711&gt;=4,"A",IF('Data Source'!U711&gt;=3.5,"A-",IF('Data Source'!U711&gt;=3,"B",IF('Data Source'!U711&gt;=2,"C",IF('Data Source'!U711&gt;=1,"D","F")))))),"")</f>
        <v/>
      </c>
      <c r="D711" s="3">
        <f>IF(AND('Data Source'!B711&lt;&gt;"",'Data Source'!S711="A+"),IF('Data Source'!V711&gt;=5,"A+",IF('Data Source'!V711&gt;=4,"A",IF('Data Source'!V711&gt;=3.5,"A-",IF('Data Source'!V711&gt;=3,"B",IF('Data Source'!V711&gt;=2,"C",IF('Data Source'!V711&gt;=1,"D","F")))))),"")</f>
        <v/>
      </c>
      <c r="E711" s="3">
        <f>IF(AND('Data Source'!B711&lt;&gt;"",'Data Source'!S711="A+"),IF('Data Source'!W711&gt;=5,"A+",IF('Data Source'!W711&gt;=4,"A",IF('Data Source'!W711&gt;=3.5,"A-",IF('Data Source'!W711&gt;=3,"B",IF('Data Source'!W711&gt;=2,"C",IF('Data Source'!W711&gt;=1,"D","F")))))),"")</f>
        <v/>
      </c>
      <c r="F711" s="3">
        <f>IF(AND('Data Source'!B711&lt;&gt;"",'Data Source'!S711="A+"),IF('Data Source'!X711&gt;=5,"A+",IF('Data Source'!X711&gt;=4,"A",IF('Data Source'!X711&gt;=3.5,"A-",IF('Data Source'!X711&gt;=3,"B",IF('Data Source'!X711&gt;=2,"C",IF('Data Source'!X711&gt;=1,"D","F")))))),"")</f>
        <v/>
      </c>
      <c r="G711" s="3">
        <f>IF(AND('Data Source'!B711&lt;&gt;"",'Data Source'!S711="A+"),IF('Data Source'!Y711&gt;=5,"A+",IF('Data Source'!Y711&gt;=4,"A",IF('Data Source'!Y711&gt;=3.5,"A-",IF('Data Source'!Y711&gt;=3,"B",IF('Data Source'!Y711&gt;=2,"C",IF('Data Source'!Y711&gt;=1,"D","F")))))),"")</f>
        <v/>
      </c>
      <c r="H711" s="3">
        <f>IF(AND('Data Source'!B711&lt;&gt;"",'Data Source'!S711="A+"),IF('Data Source'!Z711&gt;=5,"A+",IF('Data Source'!Z711&gt;=4,"A",IF('Data Source'!Z711&gt;=3.5,"A-",IF('Data Source'!Z711&gt;=3,"B",IF('Data Source'!Z711&gt;=2,"C",IF('Data Source'!Z711&gt;=1,"D","F")))))),"")</f>
        <v/>
      </c>
      <c r="I711" s="3">
        <f>IF(AND('Data Source'!B711&lt;&gt;"",'Data Source'!S711="A+"),IF('Data Source'!AA711&gt;=5,"A+",IF('Data Source'!AA711&gt;=4,"A",IF('Data Source'!AA711&gt;=3.5,"A-",IF('Data Source'!AA711&gt;=3,"B",IF('Data Source'!AA711&gt;=2,"C",IF('Data Source'!AA711&gt;=1,"D","F")))))),"")</f>
        <v/>
      </c>
      <c r="J711" s="3">
        <f>IF(AND('Data Source'!B711&lt;&gt;"",'Data Source'!S711="A+"),IF('Data Source'!AB711&gt;=5,"A+",IF('Data Source'!AB711&gt;=4,"A",IF('Data Source'!AB711&gt;=3.5,"A-",IF('Data Source'!AB711&gt;=3,"B",IF('Data Source'!AB711&gt;=2,"C",IF('Data Source'!AB711&gt;=1,"D","F")))))),"")</f>
        <v/>
      </c>
      <c r="K711" s="3">
        <f>IF(AND('Data Source'!B711&lt;&gt;"",'Data Source'!S711="A+"),IF('Data Source'!AC711&gt;=5,"A+",IF('Data Source'!AC711&gt;=4,"A",IF('Data Source'!AC711&gt;=3.5,"A-",IF('Data Source'!AC711&gt;=3,"B",IF('Data Source'!AC711&gt;=2,"C",IF('Data Source'!AC711&gt;=1,"D","F")))))),"")</f>
        <v/>
      </c>
      <c r="L711" s="3">
        <f>IF(AND('Data Source'!B711&lt;&gt;"",'Data Source'!S711="A+"),IF('Data Source'!AD711&gt;=5,"A+",IF('Data Source'!AD711&gt;=4,"A",IF('Data Source'!AD711&gt;=3.5,"A-",IF('Data Source'!AD711&gt;=3,"B",IF('Data Source'!AD711&gt;=2,"C",IF('Data Source'!AD711&gt;=1,"D","F")))))),"")</f>
        <v/>
      </c>
      <c r="M711" s="3">
        <f>IF(AND('Data Source'!B711&lt;&gt;"",'Data Source'!S711="A+"),IF('Data Source'!AE711&gt;=5,"A+",IF('Data Source'!AE711&gt;=4,"A",IF('Data Source'!AE711&gt;=3.5,"A-",IF('Data Source'!AE711&gt;=3,"B",IF('Data Source'!AE711&gt;=2,"C",IF('Data Source'!AE711&gt;=1,"D","F")))))),"")</f>
        <v/>
      </c>
      <c r="N711" s="3">
        <f>IF(AND('Data Source'!B711&lt;&gt;"",'Data Source'!S711="A+"),IF('Data Source'!AF711&gt;=5,"A+",IF('Data Source'!AF711&gt;=4,"A",IF('Data Source'!AF711&gt;=3.5,"A-",IF('Data Source'!AF711&gt;=3,"B",IF('Data Source'!AF711&gt;=2,"C",IF('Data Source'!AF711&gt;=1,"D","F")))))),"")</f>
        <v/>
      </c>
      <c r="O711" s="3">
        <f>IF(AND('Data Source'!B711&lt;&gt;"",'Data Source'!S711="A+"),IF('Data Source'!AG711&gt;=5,"A+",IF('Data Source'!AG711&gt;=4,"A",IF('Data Source'!AG711&gt;=3.5,"A-",IF('Data Source'!AG711&gt;=3,"B",IF('Data Source'!AG711&gt;=2,"C",IF('Data Source'!AG711&gt;=1,"D","F")))))),"")</f>
        <v/>
      </c>
      <c r="P711" s="5">
        <f>IF(AND('Data Source'!B711&lt;&gt;"",'Data Source'!S711="A+"),'Data Source'!R711,"")</f>
        <v/>
      </c>
      <c r="Q711" s="3">
        <f>IF(AND('Data Source'!B711&lt;&gt;"",'Data Source'!S711="A+"),'Data Source'!S711,"")</f>
        <v/>
      </c>
    </row>
    <row r="712">
      <c r="A712" s="3">
        <f>IF(AND('Data Source'!B712&lt;&gt;"",'Data Source'!S712="A+"),COUNTIF('Data Source'!$S$3:S712,"A+"),"")</f>
        <v/>
      </c>
      <c r="B712">
        <f>IF(AND('Data Source'!B712&lt;&gt;"",'Data Source'!S712="A+"),'Data Source'!B712,"")</f>
        <v/>
      </c>
      <c r="C712" s="3">
        <f>IF(AND('Data Source'!B712&lt;&gt;"",'Data Source'!S712="A+"),IF('Data Source'!U712&gt;=5,"A+",IF('Data Source'!U712&gt;=4,"A",IF('Data Source'!U712&gt;=3.5,"A-",IF('Data Source'!U712&gt;=3,"B",IF('Data Source'!U712&gt;=2,"C",IF('Data Source'!U712&gt;=1,"D","F")))))),"")</f>
        <v/>
      </c>
      <c r="D712" s="3">
        <f>IF(AND('Data Source'!B712&lt;&gt;"",'Data Source'!S712="A+"),IF('Data Source'!V712&gt;=5,"A+",IF('Data Source'!V712&gt;=4,"A",IF('Data Source'!V712&gt;=3.5,"A-",IF('Data Source'!V712&gt;=3,"B",IF('Data Source'!V712&gt;=2,"C",IF('Data Source'!V712&gt;=1,"D","F")))))),"")</f>
        <v/>
      </c>
      <c r="E712" s="3">
        <f>IF(AND('Data Source'!B712&lt;&gt;"",'Data Source'!S712="A+"),IF('Data Source'!W712&gt;=5,"A+",IF('Data Source'!W712&gt;=4,"A",IF('Data Source'!W712&gt;=3.5,"A-",IF('Data Source'!W712&gt;=3,"B",IF('Data Source'!W712&gt;=2,"C",IF('Data Source'!W712&gt;=1,"D","F")))))),"")</f>
        <v/>
      </c>
      <c r="F712" s="3">
        <f>IF(AND('Data Source'!B712&lt;&gt;"",'Data Source'!S712="A+"),IF('Data Source'!X712&gt;=5,"A+",IF('Data Source'!X712&gt;=4,"A",IF('Data Source'!X712&gt;=3.5,"A-",IF('Data Source'!X712&gt;=3,"B",IF('Data Source'!X712&gt;=2,"C",IF('Data Source'!X712&gt;=1,"D","F")))))),"")</f>
        <v/>
      </c>
      <c r="G712" s="3">
        <f>IF(AND('Data Source'!B712&lt;&gt;"",'Data Source'!S712="A+"),IF('Data Source'!Y712&gt;=5,"A+",IF('Data Source'!Y712&gt;=4,"A",IF('Data Source'!Y712&gt;=3.5,"A-",IF('Data Source'!Y712&gt;=3,"B",IF('Data Source'!Y712&gt;=2,"C",IF('Data Source'!Y712&gt;=1,"D","F")))))),"")</f>
        <v/>
      </c>
      <c r="H712" s="3">
        <f>IF(AND('Data Source'!B712&lt;&gt;"",'Data Source'!S712="A+"),IF('Data Source'!Z712&gt;=5,"A+",IF('Data Source'!Z712&gt;=4,"A",IF('Data Source'!Z712&gt;=3.5,"A-",IF('Data Source'!Z712&gt;=3,"B",IF('Data Source'!Z712&gt;=2,"C",IF('Data Source'!Z712&gt;=1,"D","F")))))),"")</f>
        <v/>
      </c>
      <c r="I712" s="3">
        <f>IF(AND('Data Source'!B712&lt;&gt;"",'Data Source'!S712="A+"),IF('Data Source'!AA712&gt;=5,"A+",IF('Data Source'!AA712&gt;=4,"A",IF('Data Source'!AA712&gt;=3.5,"A-",IF('Data Source'!AA712&gt;=3,"B",IF('Data Source'!AA712&gt;=2,"C",IF('Data Source'!AA712&gt;=1,"D","F")))))),"")</f>
        <v/>
      </c>
      <c r="J712" s="3">
        <f>IF(AND('Data Source'!B712&lt;&gt;"",'Data Source'!S712="A+"),IF('Data Source'!AB712&gt;=5,"A+",IF('Data Source'!AB712&gt;=4,"A",IF('Data Source'!AB712&gt;=3.5,"A-",IF('Data Source'!AB712&gt;=3,"B",IF('Data Source'!AB712&gt;=2,"C",IF('Data Source'!AB712&gt;=1,"D","F")))))),"")</f>
        <v/>
      </c>
      <c r="K712" s="3">
        <f>IF(AND('Data Source'!B712&lt;&gt;"",'Data Source'!S712="A+"),IF('Data Source'!AC712&gt;=5,"A+",IF('Data Source'!AC712&gt;=4,"A",IF('Data Source'!AC712&gt;=3.5,"A-",IF('Data Source'!AC712&gt;=3,"B",IF('Data Source'!AC712&gt;=2,"C",IF('Data Source'!AC712&gt;=1,"D","F")))))),"")</f>
        <v/>
      </c>
      <c r="L712" s="3">
        <f>IF(AND('Data Source'!B712&lt;&gt;"",'Data Source'!S712="A+"),IF('Data Source'!AD712&gt;=5,"A+",IF('Data Source'!AD712&gt;=4,"A",IF('Data Source'!AD712&gt;=3.5,"A-",IF('Data Source'!AD712&gt;=3,"B",IF('Data Source'!AD712&gt;=2,"C",IF('Data Source'!AD712&gt;=1,"D","F")))))),"")</f>
        <v/>
      </c>
      <c r="M712" s="3">
        <f>IF(AND('Data Source'!B712&lt;&gt;"",'Data Source'!S712="A+"),IF('Data Source'!AE712&gt;=5,"A+",IF('Data Source'!AE712&gt;=4,"A",IF('Data Source'!AE712&gt;=3.5,"A-",IF('Data Source'!AE712&gt;=3,"B",IF('Data Source'!AE712&gt;=2,"C",IF('Data Source'!AE712&gt;=1,"D","F")))))),"")</f>
        <v/>
      </c>
      <c r="N712" s="3">
        <f>IF(AND('Data Source'!B712&lt;&gt;"",'Data Source'!S712="A+"),IF('Data Source'!AF712&gt;=5,"A+",IF('Data Source'!AF712&gt;=4,"A",IF('Data Source'!AF712&gt;=3.5,"A-",IF('Data Source'!AF712&gt;=3,"B",IF('Data Source'!AF712&gt;=2,"C",IF('Data Source'!AF712&gt;=1,"D","F")))))),"")</f>
        <v/>
      </c>
      <c r="O712" s="3">
        <f>IF(AND('Data Source'!B712&lt;&gt;"",'Data Source'!S712="A+"),IF('Data Source'!AG712&gt;=5,"A+",IF('Data Source'!AG712&gt;=4,"A",IF('Data Source'!AG712&gt;=3.5,"A-",IF('Data Source'!AG712&gt;=3,"B",IF('Data Source'!AG712&gt;=2,"C",IF('Data Source'!AG712&gt;=1,"D","F")))))),"")</f>
        <v/>
      </c>
      <c r="P712" s="5">
        <f>IF(AND('Data Source'!B712&lt;&gt;"",'Data Source'!S712="A+"),'Data Source'!R712,"")</f>
        <v/>
      </c>
      <c r="Q712" s="3">
        <f>IF(AND('Data Source'!B712&lt;&gt;"",'Data Source'!S712="A+"),'Data Source'!S712,"")</f>
        <v/>
      </c>
    </row>
    <row r="713">
      <c r="A713" s="3">
        <f>IF(AND('Data Source'!B713&lt;&gt;"",'Data Source'!S713="A+"),COUNTIF('Data Source'!$S$3:S713,"A+"),"")</f>
        <v/>
      </c>
      <c r="B713">
        <f>IF(AND('Data Source'!B713&lt;&gt;"",'Data Source'!S713="A+"),'Data Source'!B713,"")</f>
        <v/>
      </c>
      <c r="C713" s="3">
        <f>IF(AND('Data Source'!B713&lt;&gt;"",'Data Source'!S713="A+"),IF('Data Source'!U713&gt;=5,"A+",IF('Data Source'!U713&gt;=4,"A",IF('Data Source'!U713&gt;=3.5,"A-",IF('Data Source'!U713&gt;=3,"B",IF('Data Source'!U713&gt;=2,"C",IF('Data Source'!U713&gt;=1,"D","F")))))),"")</f>
        <v/>
      </c>
      <c r="D713" s="3">
        <f>IF(AND('Data Source'!B713&lt;&gt;"",'Data Source'!S713="A+"),IF('Data Source'!V713&gt;=5,"A+",IF('Data Source'!V713&gt;=4,"A",IF('Data Source'!V713&gt;=3.5,"A-",IF('Data Source'!V713&gt;=3,"B",IF('Data Source'!V713&gt;=2,"C",IF('Data Source'!V713&gt;=1,"D","F")))))),"")</f>
        <v/>
      </c>
      <c r="E713" s="3">
        <f>IF(AND('Data Source'!B713&lt;&gt;"",'Data Source'!S713="A+"),IF('Data Source'!W713&gt;=5,"A+",IF('Data Source'!W713&gt;=4,"A",IF('Data Source'!W713&gt;=3.5,"A-",IF('Data Source'!W713&gt;=3,"B",IF('Data Source'!W713&gt;=2,"C",IF('Data Source'!W713&gt;=1,"D","F")))))),"")</f>
        <v/>
      </c>
      <c r="F713" s="3">
        <f>IF(AND('Data Source'!B713&lt;&gt;"",'Data Source'!S713="A+"),IF('Data Source'!X713&gt;=5,"A+",IF('Data Source'!X713&gt;=4,"A",IF('Data Source'!X713&gt;=3.5,"A-",IF('Data Source'!X713&gt;=3,"B",IF('Data Source'!X713&gt;=2,"C",IF('Data Source'!X713&gt;=1,"D","F")))))),"")</f>
        <v/>
      </c>
      <c r="G713" s="3">
        <f>IF(AND('Data Source'!B713&lt;&gt;"",'Data Source'!S713="A+"),IF('Data Source'!Y713&gt;=5,"A+",IF('Data Source'!Y713&gt;=4,"A",IF('Data Source'!Y713&gt;=3.5,"A-",IF('Data Source'!Y713&gt;=3,"B",IF('Data Source'!Y713&gt;=2,"C",IF('Data Source'!Y713&gt;=1,"D","F")))))),"")</f>
        <v/>
      </c>
      <c r="H713" s="3">
        <f>IF(AND('Data Source'!B713&lt;&gt;"",'Data Source'!S713="A+"),IF('Data Source'!Z713&gt;=5,"A+",IF('Data Source'!Z713&gt;=4,"A",IF('Data Source'!Z713&gt;=3.5,"A-",IF('Data Source'!Z713&gt;=3,"B",IF('Data Source'!Z713&gt;=2,"C",IF('Data Source'!Z713&gt;=1,"D","F")))))),"")</f>
        <v/>
      </c>
      <c r="I713" s="3">
        <f>IF(AND('Data Source'!B713&lt;&gt;"",'Data Source'!S713="A+"),IF('Data Source'!AA713&gt;=5,"A+",IF('Data Source'!AA713&gt;=4,"A",IF('Data Source'!AA713&gt;=3.5,"A-",IF('Data Source'!AA713&gt;=3,"B",IF('Data Source'!AA713&gt;=2,"C",IF('Data Source'!AA713&gt;=1,"D","F")))))),"")</f>
        <v/>
      </c>
      <c r="J713" s="3">
        <f>IF(AND('Data Source'!B713&lt;&gt;"",'Data Source'!S713="A+"),IF('Data Source'!AB713&gt;=5,"A+",IF('Data Source'!AB713&gt;=4,"A",IF('Data Source'!AB713&gt;=3.5,"A-",IF('Data Source'!AB713&gt;=3,"B",IF('Data Source'!AB713&gt;=2,"C",IF('Data Source'!AB713&gt;=1,"D","F")))))),"")</f>
        <v/>
      </c>
      <c r="K713" s="3">
        <f>IF(AND('Data Source'!B713&lt;&gt;"",'Data Source'!S713="A+"),IF('Data Source'!AC713&gt;=5,"A+",IF('Data Source'!AC713&gt;=4,"A",IF('Data Source'!AC713&gt;=3.5,"A-",IF('Data Source'!AC713&gt;=3,"B",IF('Data Source'!AC713&gt;=2,"C",IF('Data Source'!AC713&gt;=1,"D","F")))))),"")</f>
        <v/>
      </c>
      <c r="L713" s="3">
        <f>IF(AND('Data Source'!B713&lt;&gt;"",'Data Source'!S713="A+"),IF('Data Source'!AD713&gt;=5,"A+",IF('Data Source'!AD713&gt;=4,"A",IF('Data Source'!AD713&gt;=3.5,"A-",IF('Data Source'!AD713&gt;=3,"B",IF('Data Source'!AD713&gt;=2,"C",IF('Data Source'!AD713&gt;=1,"D","F")))))),"")</f>
        <v/>
      </c>
      <c r="M713" s="3">
        <f>IF(AND('Data Source'!B713&lt;&gt;"",'Data Source'!S713="A+"),IF('Data Source'!AE713&gt;=5,"A+",IF('Data Source'!AE713&gt;=4,"A",IF('Data Source'!AE713&gt;=3.5,"A-",IF('Data Source'!AE713&gt;=3,"B",IF('Data Source'!AE713&gt;=2,"C",IF('Data Source'!AE713&gt;=1,"D","F")))))),"")</f>
        <v/>
      </c>
      <c r="N713" s="3">
        <f>IF(AND('Data Source'!B713&lt;&gt;"",'Data Source'!S713="A+"),IF('Data Source'!AF713&gt;=5,"A+",IF('Data Source'!AF713&gt;=4,"A",IF('Data Source'!AF713&gt;=3.5,"A-",IF('Data Source'!AF713&gt;=3,"B",IF('Data Source'!AF713&gt;=2,"C",IF('Data Source'!AF713&gt;=1,"D","F")))))),"")</f>
        <v/>
      </c>
      <c r="O713" s="3">
        <f>IF(AND('Data Source'!B713&lt;&gt;"",'Data Source'!S713="A+"),IF('Data Source'!AG713&gt;=5,"A+",IF('Data Source'!AG713&gt;=4,"A",IF('Data Source'!AG713&gt;=3.5,"A-",IF('Data Source'!AG713&gt;=3,"B",IF('Data Source'!AG713&gt;=2,"C",IF('Data Source'!AG713&gt;=1,"D","F")))))),"")</f>
        <v/>
      </c>
      <c r="P713" s="5">
        <f>IF(AND('Data Source'!B713&lt;&gt;"",'Data Source'!S713="A+"),'Data Source'!R713,"")</f>
        <v/>
      </c>
      <c r="Q713" s="3">
        <f>IF(AND('Data Source'!B713&lt;&gt;"",'Data Source'!S713="A+"),'Data Source'!S713,"")</f>
        <v/>
      </c>
    </row>
    <row r="714">
      <c r="A714" s="3">
        <f>IF(AND('Data Source'!B714&lt;&gt;"",'Data Source'!S714="A+"),COUNTIF('Data Source'!$S$3:S714,"A+"),"")</f>
        <v/>
      </c>
      <c r="B714">
        <f>IF(AND('Data Source'!B714&lt;&gt;"",'Data Source'!S714="A+"),'Data Source'!B714,"")</f>
        <v/>
      </c>
      <c r="C714" s="3">
        <f>IF(AND('Data Source'!B714&lt;&gt;"",'Data Source'!S714="A+"),IF('Data Source'!U714&gt;=5,"A+",IF('Data Source'!U714&gt;=4,"A",IF('Data Source'!U714&gt;=3.5,"A-",IF('Data Source'!U714&gt;=3,"B",IF('Data Source'!U714&gt;=2,"C",IF('Data Source'!U714&gt;=1,"D","F")))))),"")</f>
        <v/>
      </c>
      <c r="D714" s="3">
        <f>IF(AND('Data Source'!B714&lt;&gt;"",'Data Source'!S714="A+"),IF('Data Source'!V714&gt;=5,"A+",IF('Data Source'!V714&gt;=4,"A",IF('Data Source'!V714&gt;=3.5,"A-",IF('Data Source'!V714&gt;=3,"B",IF('Data Source'!V714&gt;=2,"C",IF('Data Source'!V714&gt;=1,"D","F")))))),"")</f>
        <v/>
      </c>
      <c r="E714" s="3">
        <f>IF(AND('Data Source'!B714&lt;&gt;"",'Data Source'!S714="A+"),IF('Data Source'!W714&gt;=5,"A+",IF('Data Source'!W714&gt;=4,"A",IF('Data Source'!W714&gt;=3.5,"A-",IF('Data Source'!W714&gt;=3,"B",IF('Data Source'!W714&gt;=2,"C",IF('Data Source'!W714&gt;=1,"D","F")))))),"")</f>
        <v/>
      </c>
      <c r="F714" s="3">
        <f>IF(AND('Data Source'!B714&lt;&gt;"",'Data Source'!S714="A+"),IF('Data Source'!X714&gt;=5,"A+",IF('Data Source'!X714&gt;=4,"A",IF('Data Source'!X714&gt;=3.5,"A-",IF('Data Source'!X714&gt;=3,"B",IF('Data Source'!X714&gt;=2,"C",IF('Data Source'!X714&gt;=1,"D","F")))))),"")</f>
        <v/>
      </c>
      <c r="G714" s="3">
        <f>IF(AND('Data Source'!B714&lt;&gt;"",'Data Source'!S714="A+"),IF('Data Source'!Y714&gt;=5,"A+",IF('Data Source'!Y714&gt;=4,"A",IF('Data Source'!Y714&gt;=3.5,"A-",IF('Data Source'!Y714&gt;=3,"B",IF('Data Source'!Y714&gt;=2,"C",IF('Data Source'!Y714&gt;=1,"D","F")))))),"")</f>
        <v/>
      </c>
      <c r="H714" s="3">
        <f>IF(AND('Data Source'!B714&lt;&gt;"",'Data Source'!S714="A+"),IF('Data Source'!Z714&gt;=5,"A+",IF('Data Source'!Z714&gt;=4,"A",IF('Data Source'!Z714&gt;=3.5,"A-",IF('Data Source'!Z714&gt;=3,"B",IF('Data Source'!Z714&gt;=2,"C",IF('Data Source'!Z714&gt;=1,"D","F")))))),"")</f>
        <v/>
      </c>
      <c r="I714" s="3">
        <f>IF(AND('Data Source'!B714&lt;&gt;"",'Data Source'!S714="A+"),IF('Data Source'!AA714&gt;=5,"A+",IF('Data Source'!AA714&gt;=4,"A",IF('Data Source'!AA714&gt;=3.5,"A-",IF('Data Source'!AA714&gt;=3,"B",IF('Data Source'!AA714&gt;=2,"C",IF('Data Source'!AA714&gt;=1,"D","F")))))),"")</f>
        <v/>
      </c>
      <c r="J714" s="3">
        <f>IF(AND('Data Source'!B714&lt;&gt;"",'Data Source'!S714="A+"),IF('Data Source'!AB714&gt;=5,"A+",IF('Data Source'!AB714&gt;=4,"A",IF('Data Source'!AB714&gt;=3.5,"A-",IF('Data Source'!AB714&gt;=3,"B",IF('Data Source'!AB714&gt;=2,"C",IF('Data Source'!AB714&gt;=1,"D","F")))))),"")</f>
        <v/>
      </c>
      <c r="K714" s="3">
        <f>IF(AND('Data Source'!B714&lt;&gt;"",'Data Source'!S714="A+"),IF('Data Source'!AC714&gt;=5,"A+",IF('Data Source'!AC714&gt;=4,"A",IF('Data Source'!AC714&gt;=3.5,"A-",IF('Data Source'!AC714&gt;=3,"B",IF('Data Source'!AC714&gt;=2,"C",IF('Data Source'!AC714&gt;=1,"D","F")))))),"")</f>
        <v/>
      </c>
      <c r="L714" s="3">
        <f>IF(AND('Data Source'!B714&lt;&gt;"",'Data Source'!S714="A+"),IF('Data Source'!AD714&gt;=5,"A+",IF('Data Source'!AD714&gt;=4,"A",IF('Data Source'!AD714&gt;=3.5,"A-",IF('Data Source'!AD714&gt;=3,"B",IF('Data Source'!AD714&gt;=2,"C",IF('Data Source'!AD714&gt;=1,"D","F")))))),"")</f>
        <v/>
      </c>
      <c r="M714" s="3">
        <f>IF(AND('Data Source'!B714&lt;&gt;"",'Data Source'!S714="A+"),IF('Data Source'!AE714&gt;=5,"A+",IF('Data Source'!AE714&gt;=4,"A",IF('Data Source'!AE714&gt;=3.5,"A-",IF('Data Source'!AE714&gt;=3,"B",IF('Data Source'!AE714&gt;=2,"C",IF('Data Source'!AE714&gt;=1,"D","F")))))),"")</f>
        <v/>
      </c>
      <c r="N714" s="3">
        <f>IF(AND('Data Source'!B714&lt;&gt;"",'Data Source'!S714="A+"),IF('Data Source'!AF714&gt;=5,"A+",IF('Data Source'!AF714&gt;=4,"A",IF('Data Source'!AF714&gt;=3.5,"A-",IF('Data Source'!AF714&gt;=3,"B",IF('Data Source'!AF714&gt;=2,"C",IF('Data Source'!AF714&gt;=1,"D","F")))))),"")</f>
        <v/>
      </c>
      <c r="O714" s="3">
        <f>IF(AND('Data Source'!B714&lt;&gt;"",'Data Source'!S714="A+"),IF('Data Source'!AG714&gt;=5,"A+",IF('Data Source'!AG714&gt;=4,"A",IF('Data Source'!AG714&gt;=3.5,"A-",IF('Data Source'!AG714&gt;=3,"B",IF('Data Source'!AG714&gt;=2,"C",IF('Data Source'!AG714&gt;=1,"D","F")))))),"")</f>
        <v/>
      </c>
      <c r="P714" s="5">
        <f>IF(AND('Data Source'!B714&lt;&gt;"",'Data Source'!S714="A+"),'Data Source'!R714,"")</f>
        <v/>
      </c>
      <c r="Q714" s="3">
        <f>IF(AND('Data Source'!B714&lt;&gt;"",'Data Source'!S714="A+"),'Data Source'!S714,"")</f>
        <v/>
      </c>
    </row>
    <row r="715">
      <c r="A715" s="3">
        <f>IF(AND('Data Source'!B715&lt;&gt;"",'Data Source'!S715="A+"),COUNTIF('Data Source'!$S$3:S715,"A+"),"")</f>
        <v/>
      </c>
      <c r="B715">
        <f>IF(AND('Data Source'!B715&lt;&gt;"",'Data Source'!S715="A+"),'Data Source'!B715,"")</f>
        <v/>
      </c>
      <c r="C715" s="3">
        <f>IF(AND('Data Source'!B715&lt;&gt;"",'Data Source'!S715="A+"),IF('Data Source'!U715&gt;=5,"A+",IF('Data Source'!U715&gt;=4,"A",IF('Data Source'!U715&gt;=3.5,"A-",IF('Data Source'!U715&gt;=3,"B",IF('Data Source'!U715&gt;=2,"C",IF('Data Source'!U715&gt;=1,"D","F")))))),"")</f>
        <v/>
      </c>
      <c r="D715" s="3">
        <f>IF(AND('Data Source'!B715&lt;&gt;"",'Data Source'!S715="A+"),IF('Data Source'!V715&gt;=5,"A+",IF('Data Source'!V715&gt;=4,"A",IF('Data Source'!V715&gt;=3.5,"A-",IF('Data Source'!V715&gt;=3,"B",IF('Data Source'!V715&gt;=2,"C",IF('Data Source'!V715&gt;=1,"D","F")))))),"")</f>
        <v/>
      </c>
      <c r="E715" s="3">
        <f>IF(AND('Data Source'!B715&lt;&gt;"",'Data Source'!S715="A+"),IF('Data Source'!W715&gt;=5,"A+",IF('Data Source'!W715&gt;=4,"A",IF('Data Source'!W715&gt;=3.5,"A-",IF('Data Source'!W715&gt;=3,"B",IF('Data Source'!W715&gt;=2,"C",IF('Data Source'!W715&gt;=1,"D","F")))))),"")</f>
        <v/>
      </c>
      <c r="F715" s="3">
        <f>IF(AND('Data Source'!B715&lt;&gt;"",'Data Source'!S715="A+"),IF('Data Source'!X715&gt;=5,"A+",IF('Data Source'!X715&gt;=4,"A",IF('Data Source'!X715&gt;=3.5,"A-",IF('Data Source'!X715&gt;=3,"B",IF('Data Source'!X715&gt;=2,"C",IF('Data Source'!X715&gt;=1,"D","F")))))),"")</f>
        <v/>
      </c>
      <c r="G715" s="3">
        <f>IF(AND('Data Source'!B715&lt;&gt;"",'Data Source'!S715="A+"),IF('Data Source'!Y715&gt;=5,"A+",IF('Data Source'!Y715&gt;=4,"A",IF('Data Source'!Y715&gt;=3.5,"A-",IF('Data Source'!Y715&gt;=3,"B",IF('Data Source'!Y715&gt;=2,"C",IF('Data Source'!Y715&gt;=1,"D","F")))))),"")</f>
        <v/>
      </c>
      <c r="H715" s="3">
        <f>IF(AND('Data Source'!B715&lt;&gt;"",'Data Source'!S715="A+"),IF('Data Source'!Z715&gt;=5,"A+",IF('Data Source'!Z715&gt;=4,"A",IF('Data Source'!Z715&gt;=3.5,"A-",IF('Data Source'!Z715&gt;=3,"B",IF('Data Source'!Z715&gt;=2,"C",IF('Data Source'!Z715&gt;=1,"D","F")))))),"")</f>
        <v/>
      </c>
      <c r="I715" s="3">
        <f>IF(AND('Data Source'!B715&lt;&gt;"",'Data Source'!S715="A+"),IF('Data Source'!AA715&gt;=5,"A+",IF('Data Source'!AA715&gt;=4,"A",IF('Data Source'!AA715&gt;=3.5,"A-",IF('Data Source'!AA715&gt;=3,"B",IF('Data Source'!AA715&gt;=2,"C",IF('Data Source'!AA715&gt;=1,"D","F")))))),"")</f>
        <v/>
      </c>
      <c r="J715" s="3">
        <f>IF(AND('Data Source'!B715&lt;&gt;"",'Data Source'!S715="A+"),IF('Data Source'!AB715&gt;=5,"A+",IF('Data Source'!AB715&gt;=4,"A",IF('Data Source'!AB715&gt;=3.5,"A-",IF('Data Source'!AB715&gt;=3,"B",IF('Data Source'!AB715&gt;=2,"C",IF('Data Source'!AB715&gt;=1,"D","F")))))),"")</f>
        <v/>
      </c>
      <c r="K715" s="3">
        <f>IF(AND('Data Source'!B715&lt;&gt;"",'Data Source'!S715="A+"),IF('Data Source'!AC715&gt;=5,"A+",IF('Data Source'!AC715&gt;=4,"A",IF('Data Source'!AC715&gt;=3.5,"A-",IF('Data Source'!AC715&gt;=3,"B",IF('Data Source'!AC715&gt;=2,"C",IF('Data Source'!AC715&gt;=1,"D","F")))))),"")</f>
        <v/>
      </c>
      <c r="L715" s="3">
        <f>IF(AND('Data Source'!B715&lt;&gt;"",'Data Source'!S715="A+"),IF('Data Source'!AD715&gt;=5,"A+",IF('Data Source'!AD715&gt;=4,"A",IF('Data Source'!AD715&gt;=3.5,"A-",IF('Data Source'!AD715&gt;=3,"B",IF('Data Source'!AD715&gt;=2,"C",IF('Data Source'!AD715&gt;=1,"D","F")))))),"")</f>
        <v/>
      </c>
      <c r="M715" s="3">
        <f>IF(AND('Data Source'!B715&lt;&gt;"",'Data Source'!S715="A+"),IF('Data Source'!AE715&gt;=5,"A+",IF('Data Source'!AE715&gt;=4,"A",IF('Data Source'!AE715&gt;=3.5,"A-",IF('Data Source'!AE715&gt;=3,"B",IF('Data Source'!AE715&gt;=2,"C",IF('Data Source'!AE715&gt;=1,"D","F")))))),"")</f>
        <v/>
      </c>
      <c r="N715" s="3">
        <f>IF(AND('Data Source'!B715&lt;&gt;"",'Data Source'!S715="A+"),IF('Data Source'!AF715&gt;=5,"A+",IF('Data Source'!AF715&gt;=4,"A",IF('Data Source'!AF715&gt;=3.5,"A-",IF('Data Source'!AF715&gt;=3,"B",IF('Data Source'!AF715&gt;=2,"C",IF('Data Source'!AF715&gt;=1,"D","F")))))),"")</f>
        <v/>
      </c>
      <c r="O715" s="3">
        <f>IF(AND('Data Source'!B715&lt;&gt;"",'Data Source'!S715="A+"),IF('Data Source'!AG715&gt;=5,"A+",IF('Data Source'!AG715&gt;=4,"A",IF('Data Source'!AG715&gt;=3.5,"A-",IF('Data Source'!AG715&gt;=3,"B",IF('Data Source'!AG715&gt;=2,"C",IF('Data Source'!AG715&gt;=1,"D","F")))))),"")</f>
        <v/>
      </c>
      <c r="P715" s="5">
        <f>IF(AND('Data Source'!B715&lt;&gt;"",'Data Source'!S715="A+"),'Data Source'!R715,"")</f>
        <v/>
      </c>
      <c r="Q715" s="3">
        <f>IF(AND('Data Source'!B715&lt;&gt;"",'Data Source'!S715="A+"),'Data Source'!S715,"")</f>
        <v/>
      </c>
    </row>
    <row r="716">
      <c r="A716" s="3">
        <f>IF(AND('Data Source'!B716&lt;&gt;"",'Data Source'!S716="A+"),COUNTIF('Data Source'!$S$3:S716,"A+"),"")</f>
        <v/>
      </c>
      <c r="B716">
        <f>IF(AND('Data Source'!B716&lt;&gt;"",'Data Source'!S716="A+"),'Data Source'!B716,"")</f>
        <v/>
      </c>
      <c r="C716" s="3">
        <f>IF(AND('Data Source'!B716&lt;&gt;"",'Data Source'!S716="A+"),IF('Data Source'!U716&gt;=5,"A+",IF('Data Source'!U716&gt;=4,"A",IF('Data Source'!U716&gt;=3.5,"A-",IF('Data Source'!U716&gt;=3,"B",IF('Data Source'!U716&gt;=2,"C",IF('Data Source'!U716&gt;=1,"D","F")))))),"")</f>
        <v/>
      </c>
      <c r="D716" s="3">
        <f>IF(AND('Data Source'!B716&lt;&gt;"",'Data Source'!S716="A+"),IF('Data Source'!V716&gt;=5,"A+",IF('Data Source'!V716&gt;=4,"A",IF('Data Source'!V716&gt;=3.5,"A-",IF('Data Source'!V716&gt;=3,"B",IF('Data Source'!V716&gt;=2,"C",IF('Data Source'!V716&gt;=1,"D","F")))))),"")</f>
        <v/>
      </c>
      <c r="E716" s="3">
        <f>IF(AND('Data Source'!B716&lt;&gt;"",'Data Source'!S716="A+"),IF('Data Source'!W716&gt;=5,"A+",IF('Data Source'!W716&gt;=4,"A",IF('Data Source'!W716&gt;=3.5,"A-",IF('Data Source'!W716&gt;=3,"B",IF('Data Source'!W716&gt;=2,"C",IF('Data Source'!W716&gt;=1,"D","F")))))),"")</f>
        <v/>
      </c>
      <c r="F716" s="3">
        <f>IF(AND('Data Source'!B716&lt;&gt;"",'Data Source'!S716="A+"),IF('Data Source'!X716&gt;=5,"A+",IF('Data Source'!X716&gt;=4,"A",IF('Data Source'!X716&gt;=3.5,"A-",IF('Data Source'!X716&gt;=3,"B",IF('Data Source'!X716&gt;=2,"C",IF('Data Source'!X716&gt;=1,"D","F")))))),"")</f>
        <v/>
      </c>
      <c r="G716" s="3">
        <f>IF(AND('Data Source'!B716&lt;&gt;"",'Data Source'!S716="A+"),IF('Data Source'!Y716&gt;=5,"A+",IF('Data Source'!Y716&gt;=4,"A",IF('Data Source'!Y716&gt;=3.5,"A-",IF('Data Source'!Y716&gt;=3,"B",IF('Data Source'!Y716&gt;=2,"C",IF('Data Source'!Y716&gt;=1,"D","F")))))),"")</f>
        <v/>
      </c>
      <c r="H716" s="3">
        <f>IF(AND('Data Source'!B716&lt;&gt;"",'Data Source'!S716="A+"),IF('Data Source'!Z716&gt;=5,"A+",IF('Data Source'!Z716&gt;=4,"A",IF('Data Source'!Z716&gt;=3.5,"A-",IF('Data Source'!Z716&gt;=3,"B",IF('Data Source'!Z716&gt;=2,"C",IF('Data Source'!Z716&gt;=1,"D","F")))))),"")</f>
        <v/>
      </c>
      <c r="I716" s="3">
        <f>IF(AND('Data Source'!B716&lt;&gt;"",'Data Source'!S716="A+"),IF('Data Source'!AA716&gt;=5,"A+",IF('Data Source'!AA716&gt;=4,"A",IF('Data Source'!AA716&gt;=3.5,"A-",IF('Data Source'!AA716&gt;=3,"B",IF('Data Source'!AA716&gt;=2,"C",IF('Data Source'!AA716&gt;=1,"D","F")))))),"")</f>
        <v/>
      </c>
      <c r="J716" s="3">
        <f>IF(AND('Data Source'!B716&lt;&gt;"",'Data Source'!S716="A+"),IF('Data Source'!AB716&gt;=5,"A+",IF('Data Source'!AB716&gt;=4,"A",IF('Data Source'!AB716&gt;=3.5,"A-",IF('Data Source'!AB716&gt;=3,"B",IF('Data Source'!AB716&gt;=2,"C",IF('Data Source'!AB716&gt;=1,"D","F")))))),"")</f>
        <v/>
      </c>
      <c r="K716" s="3">
        <f>IF(AND('Data Source'!B716&lt;&gt;"",'Data Source'!S716="A+"),IF('Data Source'!AC716&gt;=5,"A+",IF('Data Source'!AC716&gt;=4,"A",IF('Data Source'!AC716&gt;=3.5,"A-",IF('Data Source'!AC716&gt;=3,"B",IF('Data Source'!AC716&gt;=2,"C",IF('Data Source'!AC716&gt;=1,"D","F")))))),"")</f>
        <v/>
      </c>
      <c r="L716" s="3">
        <f>IF(AND('Data Source'!B716&lt;&gt;"",'Data Source'!S716="A+"),IF('Data Source'!AD716&gt;=5,"A+",IF('Data Source'!AD716&gt;=4,"A",IF('Data Source'!AD716&gt;=3.5,"A-",IF('Data Source'!AD716&gt;=3,"B",IF('Data Source'!AD716&gt;=2,"C",IF('Data Source'!AD716&gt;=1,"D","F")))))),"")</f>
        <v/>
      </c>
      <c r="M716" s="3">
        <f>IF(AND('Data Source'!B716&lt;&gt;"",'Data Source'!S716="A+"),IF('Data Source'!AE716&gt;=5,"A+",IF('Data Source'!AE716&gt;=4,"A",IF('Data Source'!AE716&gt;=3.5,"A-",IF('Data Source'!AE716&gt;=3,"B",IF('Data Source'!AE716&gt;=2,"C",IF('Data Source'!AE716&gt;=1,"D","F")))))),"")</f>
        <v/>
      </c>
      <c r="N716" s="3">
        <f>IF(AND('Data Source'!B716&lt;&gt;"",'Data Source'!S716="A+"),IF('Data Source'!AF716&gt;=5,"A+",IF('Data Source'!AF716&gt;=4,"A",IF('Data Source'!AF716&gt;=3.5,"A-",IF('Data Source'!AF716&gt;=3,"B",IF('Data Source'!AF716&gt;=2,"C",IF('Data Source'!AF716&gt;=1,"D","F")))))),"")</f>
        <v/>
      </c>
      <c r="O716" s="3">
        <f>IF(AND('Data Source'!B716&lt;&gt;"",'Data Source'!S716="A+"),IF('Data Source'!AG716&gt;=5,"A+",IF('Data Source'!AG716&gt;=4,"A",IF('Data Source'!AG716&gt;=3.5,"A-",IF('Data Source'!AG716&gt;=3,"B",IF('Data Source'!AG716&gt;=2,"C",IF('Data Source'!AG716&gt;=1,"D","F")))))),"")</f>
        <v/>
      </c>
      <c r="P716" s="5">
        <f>IF(AND('Data Source'!B716&lt;&gt;"",'Data Source'!S716="A+"),'Data Source'!R716,"")</f>
        <v/>
      </c>
      <c r="Q716" s="3">
        <f>IF(AND('Data Source'!B716&lt;&gt;"",'Data Source'!S716="A+"),'Data Source'!S716,"")</f>
        <v/>
      </c>
    </row>
    <row r="717">
      <c r="A717" s="3">
        <f>IF(AND('Data Source'!B717&lt;&gt;"",'Data Source'!S717="A+"),COUNTIF('Data Source'!$S$3:S717,"A+"),"")</f>
        <v/>
      </c>
      <c r="B717">
        <f>IF(AND('Data Source'!B717&lt;&gt;"",'Data Source'!S717="A+"),'Data Source'!B717,"")</f>
        <v/>
      </c>
      <c r="C717" s="3">
        <f>IF(AND('Data Source'!B717&lt;&gt;"",'Data Source'!S717="A+"),IF('Data Source'!U717&gt;=5,"A+",IF('Data Source'!U717&gt;=4,"A",IF('Data Source'!U717&gt;=3.5,"A-",IF('Data Source'!U717&gt;=3,"B",IF('Data Source'!U717&gt;=2,"C",IF('Data Source'!U717&gt;=1,"D","F")))))),"")</f>
        <v/>
      </c>
      <c r="D717" s="3">
        <f>IF(AND('Data Source'!B717&lt;&gt;"",'Data Source'!S717="A+"),IF('Data Source'!V717&gt;=5,"A+",IF('Data Source'!V717&gt;=4,"A",IF('Data Source'!V717&gt;=3.5,"A-",IF('Data Source'!V717&gt;=3,"B",IF('Data Source'!V717&gt;=2,"C",IF('Data Source'!V717&gt;=1,"D","F")))))),"")</f>
        <v/>
      </c>
      <c r="E717" s="3">
        <f>IF(AND('Data Source'!B717&lt;&gt;"",'Data Source'!S717="A+"),IF('Data Source'!W717&gt;=5,"A+",IF('Data Source'!W717&gt;=4,"A",IF('Data Source'!W717&gt;=3.5,"A-",IF('Data Source'!W717&gt;=3,"B",IF('Data Source'!W717&gt;=2,"C",IF('Data Source'!W717&gt;=1,"D","F")))))),"")</f>
        <v/>
      </c>
      <c r="F717" s="3">
        <f>IF(AND('Data Source'!B717&lt;&gt;"",'Data Source'!S717="A+"),IF('Data Source'!X717&gt;=5,"A+",IF('Data Source'!X717&gt;=4,"A",IF('Data Source'!X717&gt;=3.5,"A-",IF('Data Source'!X717&gt;=3,"B",IF('Data Source'!X717&gt;=2,"C",IF('Data Source'!X717&gt;=1,"D","F")))))),"")</f>
        <v/>
      </c>
      <c r="G717" s="3">
        <f>IF(AND('Data Source'!B717&lt;&gt;"",'Data Source'!S717="A+"),IF('Data Source'!Y717&gt;=5,"A+",IF('Data Source'!Y717&gt;=4,"A",IF('Data Source'!Y717&gt;=3.5,"A-",IF('Data Source'!Y717&gt;=3,"B",IF('Data Source'!Y717&gt;=2,"C",IF('Data Source'!Y717&gt;=1,"D","F")))))),"")</f>
        <v/>
      </c>
      <c r="H717" s="3">
        <f>IF(AND('Data Source'!B717&lt;&gt;"",'Data Source'!S717="A+"),IF('Data Source'!Z717&gt;=5,"A+",IF('Data Source'!Z717&gt;=4,"A",IF('Data Source'!Z717&gt;=3.5,"A-",IF('Data Source'!Z717&gt;=3,"B",IF('Data Source'!Z717&gt;=2,"C",IF('Data Source'!Z717&gt;=1,"D","F")))))),"")</f>
        <v/>
      </c>
      <c r="I717" s="3">
        <f>IF(AND('Data Source'!B717&lt;&gt;"",'Data Source'!S717="A+"),IF('Data Source'!AA717&gt;=5,"A+",IF('Data Source'!AA717&gt;=4,"A",IF('Data Source'!AA717&gt;=3.5,"A-",IF('Data Source'!AA717&gt;=3,"B",IF('Data Source'!AA717&gt;=2,"C",IF('Data Source'!AA717&gt;=1,"D","F")))))),"")</f>
        <v/>
      </c>
      <c r="J717" s="3">
        <f>IF(AND('Data Source'!B717&lt;&gt;"",'Data Source'!S717="A+"),IF('Data Source'!AB717&gt;=5,"A+",IF('Data Source'!AB717&gt;=4,"A",IF('Data Source'!AB717&gt;=3.5,"A-",IF('Data Source'!AB717&gt;=3,"B",IF('Data Source'!AB717&gt;=2,"C",IF('Data Source'!AB717&gt;=1,"D","F")))))),"")</f>
        <v/>
      </c>
      <c r="K717" s="3">
        <f>IF(AND('Data Source'!B717&lt;&gt;"",'Data Source'!S717="A+"),IF('Data Source'!AC717&gt;=5,"A+",IF('Data Source'!AC717&gt;=4,"A",IF('Data Source'!AC717&gt;=3.5,"A-",IF('Data Source'!AC717&gt;=3,"B",IF('Data Source'!AC717&gt;=2,"C",IF('Data Source'!AC717&gt;=1,"D","F")))))),"")</f>
        <v/>
      </c>
      <c r="L717" s="3">
        <f>IF(AND('Data Source'!B717&lt;&gt;"",'Data Source'!S717="A+"),IF('Data Source'!AD717&gt;=5,"A+",IF('Data Source'!AD717&gt;=4,"A",IF('Data Source'!AD717&gt;=3.5,"A-",IF('Data Source'!AD717&gt;=3,"B",IF('Data Source'!AD717&gt;=2,"C",IF('Data Source'!AD717&gt;=1,"D","F")))))),"")</f>
        <v/>
      </c>
      <c r="M717" s="3">
        <f>IF(AND('Data Source'!B717&lt;&gt;"",'Data Source'!S717="A+"),IF('Data Source'!AE717&gt;=5,"A+",IF('Data Source'!AE717&gt;=4,"A",IF('Data Source'!AE717&gt;=3.5,"A-",IF('Data Source'!AE717&gt;=3,"B",IF('Data Source'!AE717&gt;=2,"C",IF('Data Source'!AE717&gt;=1,"D","F")))))),"")</f>
        <v/>
      </c>
      <c r="N717" s="3">
        <f>IF(AND('Data Source'!B717&lt;&gt;"",'Data Source'!S717="A+"),IF('Data Source'!AF717&gt;=5,"A+",IF('Data Source'!AF717&gt;=4,"A",IF('Data Source'!AF717&gt;=3.5,"A-",IF('Data Source'!AF717&gt;=3,"B",IF('Data Source'!AF717&gt;=2,"C",IF('Data Source'!AF717&gt;=1,"D","F")))))),"")</f>
        <v/>
      </c>
      <c r="O717" s="3">
        <f>IF(AND('Data Source'!B717&lt;&gt;"",'Data Source'!S717="A+"),IF('Data Source'!AG717&gt;=5,"A+",IF('Data Source'!AG717&gt;=4,"A",IF('Data Source'!AG717&gt;=3.5,"A-",IF('Data Source'!AG717&gt;=3,"B",IF('Data Source'!AG717&gt;=2,"C",IF('Data Source'!AG717&gt;=1,"D","F")))))),"")</f>
        <v/>
      </c>
      <c r="P717" s="5">
        <f>IF(AND('Data Source'!B717&lt;&gt;"",'Data Source'!S717="A+"),'Data Source'!R717,"")</f>
        <v/>
      </c>
      <c r="Q717" s="3">
        <f>IF(AND('Data Source'!B717&lt;&gt;"",'Data Source'!S717="A+"),'Data Source'!S717,"")</f>
        <v/>
      </c>
    </row>
    <row r="718">
      <c r="A718" s="3">
        <f>IF(AND('Data Source'!B718&lt;&gt;"",'Data Source'!S718="A+"),COUNTIF('Data Source'!$S$3:S718,"A+"),"")</f>
        <v/>
      </c>
      <c r="B718">
        <f>IF(AND('Data Source'!B718&lt;&gt;"",'Data Source'!S718="A+"),'Data Source'!B718,"")</f>
        <v/>
      </c>
      <c r="C718" s="3">
        <f>IF(AND('Data Source'!B718&lt;&gt;"",'Data Source'!S718="A+"),IF('Data Source'!U718&gt;=5,"A+",IF('Data Source'!U718&gt;=4,"A",IF('Data Source'!U718&gt;=3.5,"A-",IF('Data Source'!U718&gt;=3,"B",IF('Data Source'!U718&gt;=2,"C",IF('Data Source'!U718&gt;=1,"D","F")))))),"")</f>
        <v/>
      </c>
      <c r="D718" s="3">
        <f>IF(AND('Data Source'!B718&lt;&gt;"",'Data Source'!S718="A+"),IF('Data Source'!V718&gt;=5,"A+",IF('Data Source'!V718&gt;=4,"A",IF('Data Source'!V718&gt;=3.5,"A-",IF('Data Source'!V718&gt;=3,"B",IF('Data Source'!V718&gt;=2,"C",IF('Data Source'!V718&gt;=1,"D","F")))))),"")</f>
        <v/>
      </c>
      <c r="E718" s="3">
        <f>IF(AND('Data Source'!B718&lt;&gt;"",'Data Source'!S718="A+"),IF('Data Source'!W718&gt;=5,"A+",IF('Data Source'!W718&gt;=4,"A",IF('Data Source'!W718&gt;=3.5,"A-",IF('Data Source'!W718&gt;=3,"B",IF('Data Source'!W718&gt;=2,"C",IF('Data Source'!W718&gt;=1,"D","F")))))),"")</f>
        <v/>
      </c>
      <c r="F718" s="3">
        <f>IF(AND('Data Source'!B718&lt;&gt;"",'Data Source'!S718="A+"),IF('Data Source'!X718&gt;=5,"A+",IF('Data Source'!X718&gt;=4,"A",IF('Data Source'!X718&gt;=3.5,"A-",IF('Data Source'!X718&gt;=3,"B",IF('Data Source'!X718&gt;=2,"C",IF('Data Source'!X718&gt;=1,"D","F")))))),"")</f>
        <v/>
      </c>
      <c r="G718" s="3">
        <f>IF(AND('Data Source'!B718&lt;&gt;"",'Data Source'!S718="A+"),IF('Data Source'!Y718&gt;=5,"A+",IF('Data Source'!Y718&gt;=4,"A",IF('Data Source'!Y718&gt;=3.5,"A-",IF('Data Source'!Y718&gt;=3,"B",IF('Data Source'!Y718&gt;=2,"C",IF('Data Source'!Y718&gt;=1,"D","F")))))),"")</f>
        <v/>
      </c>
      <c r="H718" s="3">
        <f>IF(AND('Data Source'!B718&lt;&gt;"",'Data Source'!S718="A+"),IF('Data Source'!Z718&gt;=5,"A+",IF('Data Source'!Z718&gt;=4,"A",IF('Data Source'!Z718&gt;=3.5,"A-",IF('Data Source'!Z718&gt;=3,"B",IF('Data Source'!Z718&gt;=2,"C",IF('Data Source'!Z718&gt;=1,"D","F")))))),"")</f>
        <v/>
      </c>
      <c r="I718" s="3">
        <f>IF(AND('Data Source'!B718&lt;&gt;"",'Data Source'!S718="A+"),IF('Data Source'!AA718&gt;=5,"A+",IF('Data Source'!AA718&gt;=4,"A",IF('Data Source'!AA718&gt;=3.5,"A-",IF('Data Source'!AA718&gt;=3,"B",IF('Data Source'!AA718&gt;=2,"C",IF('Data Source'!AA718&gt;=1,"D","F")))))),"")</f>
        <v/>
      </c>
      <c r="J718" s="3">
        <f>IF(AND('Data Source'!B718&lt;&gt;"",'Data Source'!S718="A+"),IF('Data Source'!AB718&gt;=5,"A+",IF('Data Source'!AB718&gt;=4,"A",IF('Data Source'!AB718&gt;=3.5,"A-",IF('Data Source'!AB718&gt;=3,"B",IF('Data Source'!AB718&gt;=2,"C",IF('Data Source'!AB718&gt;=1,"D","F")))))),"")</f>
        <v/>
      </c>
      <c r="K718" s="3">
        <f>IF(AND('Data Source'!B718&lt;&gt;"",'Data Source'!S718="A+"),IF('Data Source'!AC718&gt;=5,"A+",IF('Data Source'!AC718&gt;=4,"A",IF('Data Source'!AC718&gt;=3.5,"A-",IF('Data Source'!AC718&gt;=3,"B",IF('Data Source'!AC718&gt;=2,"C",IF('Data Source'!AC718&gt;=1,"D","F")))))),"")</f>
        <v/>
      </c>
      <c r="L718" s="3">
        <f>IF(AND('Data Source'!B718&lt;&gt;"",'Data Source'!S718="A+"),IF('Data Source'!AD718&gt;=5,"A+",IF('Data Source'!AD718&gt;=4,"A",IF('Data Source'!AD718&gt;=3.5,"A-",IF('Data Source'!AD718&gt;=3,"B",IF('Data Source'!AD718&gt;=2,"C",IF('Data Source'!AD718&gt;=1,"D","F")))))),"")</f>
        <v/>
      </c>
      <c r="M718" s="3">
        <f>IF(AND('Data Source'!B718&lt;&gt;"",'Data Source'!S718="A+"),IF('Data Source'!AE718&gt;=5,"A+",IF('Data Source'!AE718&gt;=4,"A",IF('Data Source'!AE718&gt;=3.5,"A-",IF('Data Source'!AE718&gt;=3,"B",IF('Data Source'!AE718&gt;=2,"C",IF('Data Source'!AE718&gt;=1,"D","F")))))),"")</f>
        <v/>
      </c>
      <c r="N718" s="3">
        <f>IF(AND('Data Source'!B718&lt;&gt;"",'Data Source'!S718="A+"),IF('Data Source'!AF718&gt;=5,"A+",IF('Data Source'!AF718&gt;=4,"A",IF('Data Source'!AF718&gt;=3.5,"A-",IF('Data Source'!AF718&gt;=3,"B",IF('Data Source'!AF718&gt;=2,"C",IF('Data Source'!AF718&gt;=1,"D","F")))))),"")</f>
        <v/>
      </c>
      <c r="O718" s="3">
        <f>IF(AND('Data Source'!B718&lt;&gt;"",'Data Source'!S718="A+"),IF('Data Source'!AG718&gt;=5,"A+",IF('Data Source'!AG718&gt;=4,"A",IF('Data Source'!AG718&gt;=3.5,"A-",IF('Data Source'!AG718&gt;=3,"B",IF('Data Source'!AG718&gt;=2,"C",IF('Data Source'!AG718&gt;=1,"D","F")))))),"")</f>
        <v/>
      </c>
      <c r="P718" s="5">
        <f>IF(AND('Data Source'!B718&lt;&gt;"",'Data Source'!S718="A+"),'Data Source'!R718,"")</f>
        <v/>
      </c>
      <c r="Q718" s="3">
        <f>IF(AND('Data Source'!B718&lt;&gt;"",'Data Source'!S718="A+"),'Data Source'!S718,"")</f>
        <v/>
      </c>
    </row>
    <row r="719">
      <c r="A719" s="3">
        <f>IF(AND('Data Source'!B719&lt;&gt;"",'Data Source'!S719="A+"),COUNTIF('Data Source'!$S$3:S719,"A+"),"")</f>
        <v/>
      </c>
      <c r="B719">
        <f>IF(AND('Data Source'!B719&lt;&gt;"",'Data Source'!S719="A+"),'Data Source'!B719,"")</f>
        <v/>
      </c>
      <c r="C719" s="3">
        <f>IF(AND('Data Source'!B719&lt;&gt;"",'Data Source'!S719="A+"),IF('Data Source'!U719&gt;=5,"A+",IF('Data Source'!U719&gt;=4,"A",IF('Data Source'!U719&gt;=3.5,"A-",IF('Data Source'!U719&gt;=3,"B",IF('Data Source'!U719&gt;=2,"C",IF('Data Source'!U719&gt;=1,"D","F")))))),"")</f>
        <v/>
      </c>
      <c r="D719" s="3">
        <f>IF(AND('Data Source'!B719&lt;&gt;"",'Data Source'!S719="A+"),IF('Data Source'!V719&gt;=5,"A+",IF('Data Source'!V719&gt;=4,"A",IF('Data Source'!V719&gt;=3.5,"A-",IF('Data Source'!V719&gt;=3,"B",IF('Data Source'!V719&gt;=2,"C",IF('Data Source'!V719&gt;=1,"D","F")))))),"")</f>
        <v/>
      </c>
      <c r="E719" s="3">
        <f>IF(AND('Data Source'!B719&lt;&gt;"",'Data Source'!S719="A+"),IF('Data Source'!W719&gt;=5,"A+",IF('Data Source'!W719&gt;=4,"A",IF('Data Source'!W719&gt;=3.5,"A-",IF('Data Source'!W719&gt;=3,"B",IF('Data Source'!W719&gt;=2,"C",IF('Data Source'!W719&gt;=1,"D","F")))))),"")</f>
        <v/>
      </c>
      <c r="F719" s="3">
        <f>IF(AND('Data Source'!B719&lt;&gt;"",'Data Source'!S719="A+"),IF('Data Source'!X719&gt;=5,"A+",IF('Data Source'!X719&gt;=4,"A",IF('Data Source'!X719&gt;=3.5,"A-",IF('Data Source'!X719&gt;=3,"B",IF('Data Source'!X719&gt;=2,"C",IF('Data Source'!X719&gt;=1,"D","F")))))),"")</f>
        <v/>
      </c>
      <c r="G719" s="3">
        <f>IF(AND('Data Source'!B719&lt;&gt;"",'Data Source'!S719="A+"),IF('Data Source'!Y719&gt;=5,"A+",IF('Data Source'!Y719&gt;=4,"A",IF('Data Source'!Y719&gt;=3.5,"A-",IF('Data Source'!Y719&gt;=3,"B",IF('Data Source'!Y719&gt;=2,"C",IF('Data Source'!Y719&gt;=1,"D","F")))))),"")</f>
        <v/>
      </c>
      <c r="H719" s="3">
        <f>IF(AND('Data Source'!B719&lt;&gt;"",'Data Source'!S719="A+"),IF('Data Source'!Z719&gt;=5,"A+",IF('Data Source'!Z719&gt;=4,"A",IF('Data Source'!Z719&gt;=3.5,"A-",IF('Data Source'!Z719&gt;=3,"B",IF('Data Source'!Z719&gt;=2,"C",IF('Data Source'!Z719&gt;=1,"D","F")))))),"")</f>
        <v/>
      </c>
      <c r="I719" s="3">
        <f>IF(AND('Data Source'!B719&lt;&gt;"",'Data Source'!S719="A+"),IF('Data Source'!AA719&gt;=5,"A+",IF('Data Source'!AA719&gt;=4,"A",IF('Data Source'!AA719&gt;=3.5,"A-",IF('Data Source'!AA719&gt;=3,"B",IF('Data Source'!AA719&gt;=2,"C",IF('Data Source'!AA719&gt;=1,"D","F")))))),"")</f>
        <v/>
      </c>
      <c r="J719" s="3">
        <f>IF(AND('Data Source'!B719&lt;&gt;"",'Data Source'!S719="A+"),IF('Data Source'!AB719&gt;=5,"A+",IF('Data Source'!AB719&gt;=4,"A",IF('Data Source'!AB719&gt;=3.5,"A-",IF('Data Source'!AB719&gt;=3,"B",IF('Data Source'!AB719&gt;=2,"C",IF('Data Source'!AB719&gt;=1,"D","F")))))),"")</f>
        <v/>
      </c>
      <c r="K719" s="3">
        <f>IF(AND('Data Source'!B719&lt;&gt;"",'Data Source'!S719="A+"),IF('Data Source'!AC719&gt;=5,"A+",IF('Data Source'!AC719&gt;=4,"A",IF('Data Source'!AC719&gt;=3.5,"A-",IF('Data Source'!AC719&gt;=3,"B",IF('Data Source'!AC719&gt;=2,"C",IF('Data Source'!AC719&gt;=1,"D","F")))))),"")</f>
        <v/>
      </c>
      <c r="L719" s="3">
        <f>IF(AND('Data Source'!B719&lt;&gt;"",'Data Source'!S719="A+"),IF('Data Source'!AD719&gt;=5,"A+",IF('Data Source'!AD719&gt;=4,"A",IF('Data Source'!AD719&gt;=3.5,"A-",IF('Data Source'!AD719&gt;=3,"B",IF('Data Source'!AD719&gt;=2,"C",IF('Data Source'!AD719&gt;=1,"D","F")))))),"")</f>
        <v/>
      </c>
      <c r="M719" s="3">
        <f>IF(AND('Data Source'!B719&lt;&gt;"",'Data Source'!S719="A+"),IF('Data Source'!AE719&gt;=5,"A+",IF('Data Source'!AE719&gt;=4,"A",IF('Data Source'!AE719&gt;=3.5,"A-",IF('Data Source'!AE719&gt;=3,"B",IF('Data Source'!AE719&gt;=2,"C",IF('Data Source'!AE719&gt;=1,"D","F")))))),"")</f>
        <v/>
      </c>
      <c r="N719" s="3">
        <f>IF(AND('Data Source'!B719&lt;&gt;"",'Data Source'!S719="A+"),IF('Data Source'!AF719&gt;=5,"A+",IF('Data Source'!AF719&gt;=4,"A",IF('Data Source'!AF719&gt;=3.5,"A-",IF('Data Source'!AF719&gt;=3,"B",IF('Data Source'!AF719&gt;=2,"C",IF('Data Source'!AF719&gt;=1,"D","F")))))),"")</f>
        <v/>
      </c>
      <c r="O719" s="3">
        <f>IF(AND('Data Source'!B719&lt;&gt;"",'Data Source'!S719="A+"),IF('Data Source'!AG719&gt;=5,"A+",IF('Data Source'!AG719&gt;=4,"A",IF('Data Source'!AG719&gt;=3.5,"A-",IF('Data Source'!AG719&gt;=3,"B",IF('Data Source'!AG719&gt;=2,"C",IF('Data Source'!AG719&gt;=1,"D","F")))))),"")</f>
        <v/>
      </c>
      <c r="P719" s="5">
        <f>IF(AND('Data Source'!B719&lt;&gt;"",'Data Source'!S719="A+"),'Data Source'!R719,"")</f>
        <v/>
      </c>
      <c r="Q719" s="3">
        <f>IF(AND('Data Source'!B719&lt;&gt;"",'Data Source'!S719="A+"),'Data Source'!S719,"")</f>
        <v/>
      </c>
    </row>
    <row r="720">
      <c r="A720" s="3">
        <f>IF(AND('Data Source'!B720&lt;&gt;"",'Data Source'!S720="A+"),COUNTIF('Data Source'!$S$3:S720,"A+"),"")</f>
        <v/>
      </c>
      <c r="B720">
        <f>IF(AND('Data Source'!B720&lt;&gt;"",'Data Source'!S720="A+"),'Data Source'!B720,"")</f>
        <v/>
      </c>
      <c r="C720" s="3">
        <f>IF(AND('Data Source'!B720&lt;&gt;"",'Data Source'!S720="A+"),IF('Data Source'!U720&gt;=5,"A+",IF('Data Source'!U720&gt;=4,"A",IF('Data Source'!U720&gt;=3.5,"A-",IF('Data Source'!U720&gt;=3,"B",IF('Data Source'!U720&gt;=2,"C",IF('Data Source'!U720&gt;=1,"D","F")))))),"")</f>
        <v/>
      </c>
      <c r="D720" s="3">
        <f>IF(AND('Data Source'!B720&lt;&gt;"",'Data Source'!S720="A+"),IF('Data Source'!V720&gt;=5,"A+",IF('Data Source'!V720&gt;=4,"A",IF('Data Source'!V720&gt;=3.5,"A-",IF('Data Source'!V720&gt;=3,"B",IF('Data Source'!V720&gt;=2,"C",IF('Data Source'!V720&gt;=1,"D","F")))))),"")</f>
        <v/>
      </c>
      <c r="E720" s="3">
        <f>IF(AND('Data Source'!B720&lt;&gt;"",'Data Source'!S720="A+"),IF('Data Source'!W720&gt;=5,"A+",IF('Data Source'!W720&gt;=4,"A",IF('Data Source'!W720&gt;=3.5,"A-",IF('Data Source'!W720&gt;=3,"B",IF('Data Source'!W720&gt;=2,"C",IF('Data Source'!W720&gt;=1,"D","F")))))),"")</f>
        <v/>
      </c>
      <c r="F720" s="3">
        <f>IF(AND('Data Source'!B720&lt;&gt;"",'Data Source'!S720="A+"),IF('Data Source'!X720&gt;=5,"A+",IF('Data Source'!X720&gt;=4,"A",IF('Data Source'!X720&gt;=3.5,"A-",IF('Data Source'!X720&gt;=3,"B",IF('Data Source'!X720&gt;=2,"C",IF('Data Source'!X720&gt;=1,"D","F")))))),"")</f>
        <v/>
      </c>
      <c r="G720" s="3">
        <f>IF(AND('Data Source'!B720&lt;&gt;"",'Data Source'!S720="A+"),IF('Data Source'!Y720&gt;=5,"A+",IF('Data Source'!Y720&gt;=4,"A",IF('Data Source'!Y720&gt;=3.5,"A-",IF('Data Source'!Y720&gt;=3,"B",IF('Data Source'!Y720&gt;=2,"C",IF('Data Source'!Y720&gt;=1,"D","F")))))),"")</f>
        <v/>
      </c>
      <c r="H720" s="3">
        <f>IF(AND('Data Source'!B720&lt;&gt;"",'Data Source'!S720="A+"),IF('Data Source'!Z720&gt;=5,"A+",IF('Data Source'!Z720&gt;=4,"A",IF('Data Source'!Z720&gt;=3.5,"A-",IF('Data Source'!Z720&gt;=3,"B",IF('Data Source'!Z720&gt;=2,"C",IF('Data Source'!Z720&gt;=1,"D","F")))))),"")</f>
        <v/>
      </c>
      <c r="I720" s="3">
        <f>IF(AND('Data Source'!B720&lt;&gt;"",'Data Source'!S720="A+"),IF('Data Source'!AA720&gt;=5,"A+",IF('Data Source'!AA720&gt;=4,"A",IF('Data Source'!AA720&gt;=3.5,"A-",IF('Data Source'!AA720&gt;=3,"B",IF('Data Source'!AA720&gt;=2,"C",IF('Data Source'!AA720&gt;=1,"D","F")))))),"")</f>
        <v/>
      </c>
      <c r="J720" s="3">
        <f>IF(AND('Data Source'!B720&lt;&gt;"",'Data Source'!S720="A+"),IF('Data Source'!AB720&gt;=5,"A+",IF('Data Source'!AB720&gt;=4,"A",IF('Data Source'!AB720&gt;=3.5,"A-",IF('Data Source'!AB720&gt;=3,"B",IF('Data Source'!AB720&gt;=2,"C",IF('Data Source'!AB720&gt;=1,"D","F")))))),"")</f>
        <v/>
      </c>
      <c r="K720" s="3">
        <f>IF(AND('Data Source'!B720&lt;&gt;"",'Data Source'!S720="A+"),IF('Data Source'!AC720&gt;=5,"A+",IF('Data Source'!AC720&gt;=4,"A",IF('Data Source'!AC720&gt;=3.5,"A-",IF('Data Source'!AC720&gt;=3,"B",IF('Data Source'!AC720&gt;=2,"C",IF('Data Source'!AC720&gt;=1,"D","F")))))),"")</f>
        <v/>
      </c>
      <c r="L720" s="3">
        <f>IF(AND('Data Source'!B720&lt;&gt;"",'Data Source'!S720="A+"),IF('Data Source'!AD720&gt;=5,"A+",IF('Data Source'!AD720&gt;=4,"A",IF('Data Source'!AD720&gt;=3.5,"A-",IF('Data Source'!AD720&gt;=3,"B",IF('Data Source'!AD720&gt;=2,"C",IF('Data Source'!AD720&gt;=1,"D","F")))))),"")</f>
        <v/>
      </c>
      <c r="M720" s="3">
        <f>IF(AND('Data Source'!B720&lt;&gt;"",'Data Source'!S720="A+"),IF('Data Source'!AE720&gt;=5,"A+",IF('Data Source'!AE720&gt;=4,"A",IF('Data Source'!AE720&gt;=3.5,"A-",IF('Data Source'!AE720&gt;=3,"B",IF('Data Source'!AE720&gt;=2,"C",IF('Data Source'!AE720&gt;=1,"D","F")))))),"")</f>
        <v/>
      </c>
      <c r="N720" s="3">
        <f>IF(AND('Data Source'!B720&lt;&gt;"",'Data Source'!S720="A+"),IF('Data Source'!AF720&gt;=5,"A+",IF('Data Source'!AF720&gt;=4,"A",IF('Data Source'!AF720&gt;=3.5,"A-",IF('Data Source'!AF720&gt;=3,"B",IF('Data Source'!AF720&gt;=2,"C",IF('Data Source'!AF720&gt;=1,"D","F")))))),"")</f>
        <v/>
      </c>
      <c r="O720" s="3">
        <f>IF(AND('Data Source'!B720&lt;&gt;"",'Data Source'!S720="A+"),IF('Data Source'!AG720&gt;=5,"A+",IF('Data Source'!AG720&gt;=4,"A",IF('Data Source'!AG720&gt;=3.5,"A-",IF('Data Source'!AG720&gt;=3,"B",IF('Data Source'!AG720&gt;=2,"C",IF('Data Source'!AG720&gt;=1,"D","F")))))),"")</f>
        <v/>
      </c>
      <c r="P720" s="5">
        <f>IF(AND('Data Source'!B720&lt;&gt;"",'Data Source'!S720="A+"),'Data Source'!R720,"")</f>
        <v/>
      </c>
      <c r="Q720" s="3">
        <f>IF(AND('Data Source'!B720&lt;&gt;"",'Data Source'!S720="A+"),'Data Source'!S720,"")</f>
        <v/>
      </c>
    </row>
    <row r="721">
      <c r="A721" s="3">
        <f>IF(AND('Data Source'!B721&lt;&gt;"",'Data Source'!S721="A+"),COUNTIF('Data Source'!$S$3:S721,"A+"),"")</f>
        <v/>
      </c>
      <c r="B721">
        <f>IF(AND('Data Source'!B721&lt;&gt;"",'Data Source'!S721="A+"),'Data Source'!B721,"")</f>
        <v/>
      </c>
      <c r="C721" s="3">
        <f>IF(AND('Data Source'!B721&lt;&gt;"",'Data Source'!S721="A+"),IF('Data Source'!U721&gt;=5,"A+",IF('Data Source'!U721&gt;=4,"A",IF('Data Source'!U721&gt;=3.5,"A-",IF('Data Source'!U721&gt;=3,"B",IF('Data Source'!U721&gt;=2,"C",IF('Data Source'!U721&gt;=1,"D","F")))))),"")</f>
        <v/>
      </c>
      <c r="D721" s="3">
        <f>IF(AND('Data Source'!B721&lt;&gt;"",'Data Source'!S721="A+"),IF('Data Source'!V721&gt;=5,"A+",IF('Data Source'!V721&gt;=4,"A",IF('Data Source'!V721&gt;=3.5,"A-",IF('Data Source'!V721&gt;=3,"B",IF('Data Source'!V721&gt;=2,"C",IF('Data Source'!V721&gt;=1,"D","F")))))),"")</f>
        <v/>
      </c>
      <c r="E721" s="3">
        <f>IF(AND('Data Source'!B721&lt;&gt;"",'Data Source'!S721="A+"),IF('Data Source'!W721&gt;=5,"A+",IF('Data Source'!W721&gt;=4,"A",IF('Data Source'!W721&gt;=3.5,"A-",IF('Data Source'!W721&gt;=3,"B",IF('Data Source'!W721&gt;=2,"C",IF('Data Source'!W721&gt;=1,"D","F")))))),"")</f>
        <v/>
      </c>
      <c r="F721" s="3">
        <f>IF(AND('Data Source'!B721&lt;&gt;"",'Data Source'!S721="A+"),IF('Data Source'!X721&gt;=5,"A+",IF('Data Source'!X721&gt;=4,"A",IF('Data Source'!X721&gt;=3.5,"A-",IF('Data Source'!X721&gt;=3,"B",IF('Data Source'!X721&gt;=2,"C",IF('Data Source'!X721&gt;=1,"D","F")))))),"")</f>
        <v/>
      </c>
      <c r="G721" s="3">
        <f>IF(AND('Data Source'!B721&lt;&gt;"",'Data Source'!S721="A+"),IF('Data Source'!Y721&gt;=5,"A+",IF('Data Source'!Y721&gt;=4,"A",IF('Data Source'!Y721&gt;=3.5,"A-",IF('Data Source'!Y721&gt;=3,"B",IF('Data Source'!Y721&gt;=2,"C",IF('Data Source'!Y721&gt;=1,"D","F")))))),"")</f>
        <v/>
      </c>
      <c r="H721" s="3">
        <f>IF(AND('Data Source'!B721&lt;&gt;"",'Data Source'!S721="A+"),IF('Data Source'!Z721&gt;=5,"A+",IF('Data Source'!Z721&gt;=4,"A",IF('Data Source'!Z721&gt;=3.5,"A-",IF('Data Source'!Z721&gt;=3,"B",IF('Data Source'!Z721&gt;=2,"C",IF('Data Source'!Z721&gt;=1,"D","F")))))),"")</f>
        <v/>
      </c>
      <c r="I721" s="3">
        <f>IF(AND('Data Source'!B721&lt;&gt;"",'Data Source'!S721="A+"),IF('Data Source'!AA721&gt;=5,"A+",IF('Data Source'!AA721&gt;=4,"A",IF('Data Source'!AA721&gt;=3.5,"A-",IF('Data Source'!AA721&gt;=3,"B",IF('Data Source'!AA721&gt;=2,"C",IF('Data Source'!AA721&gt;=1,"D","F")))))),"")</f>
        <v/>
      </c>
      <c r="J721" s="3">
        <f>IF(AND('Data Source'!B721&lt;&gt;"",'Data Source'!S721="A+"),IF('Data Source'!AB721&gt;=5,"A+",IF('Data Source'!AB721&gt;=4,"A",IF('Data Source'!AB721&gt;=3.5,"A-",IF('Data Source'!AB721&gt;=3,"B",IF('Data Source'!AB721&gt;=2,"C",IF('Data Source'!AB721&gt;=1,"D","F")))))),"")</f>
        <v/>
      </c>
      <c r="K721" s="3">
        <f>IF(AND('Data Source'!B721&lt;&gt;"",'Data Source'!S721="A+"),IF('Data Source'!AC721&gt;=5,"A+",IF('Data Source'!AC721&gt;=4,"A",IF('Data Source'!AC721&gt;=3.5,"A-",IF('Data Source'!AC721&gt;=3,"B",IF('Data Source'!AC721&gt;=2,"C",IF('Data Source'!AC721&gt;=1,"D","F")))))),"")</f>
        <v/>
      </c>
      <c r="L721" s="3">
        <f>IF(AND('Data Source'!B721&lt;&gt;"",'Data Source'!S721="A+"),IF('Data Source'!AD721&gt;=5,"A+",IF('Data Source'!AD721&gt;=4,"A",IF('Data Source'!AD721&gt;=3.5,"A-",IF('Data Source'!AD721&gt;=3,"B",IF('Data Source'!AD721&gt;=2,"C",IF('Data Source'!AD721&gt;=1,"D","F")))))),"")</f>
        <v/>
      </c>
      <c r="M721" s="3">
        <f>IF(AND('Data Source'!B721&lt;&gt;"",'Data Source'!S721="A+"),IF('Data Source'!AE721&gt;=5,"A+",IF('Data Source'!AE721&gt;=4,"A",IF('Data Source'!AE721&gt;=3.5,"A-",IF('Data Source'!AE721&gt;=3,"B",IF('Data Source'!AE721&gt;=2,"C",IF('Data Source'!AE721&gt;=1,"D","F")))))),"")</f>
        <v/>
      </c>
      <c r="N721" s="3">
        <f>IF(AND('Data Source'!B721&lt;&gt;"",'Data Source'!S721="A+"),IF('Data Source'!AF721&gt;=5,"A+",IF('Data Source'!AF721&gt;=4,"A",IF('Data Source'!AF721&gt;=3.5,"A-",IF('Data Source'!AF721&gt;=3,"B",IF('Data Source'!AF721&gt;=2,"C",IF('Data Source'!AF721&gt;=1,"D","F")))))),"")</f>
        <v/>
      </c>
      <c r="O721" s="3">
        <f>IF(AND('Data Source'!B721&lt;&gt;"",'Data Source'!S721="A+"),IF('Data Source'!AG721&gt;=5,"A+",IF('Data Source'!AG721&gt;=4,"A",IF('Data Source'!AG721&gt;=3.5,"A-",IF('Data Source'!AG721&gt;=3,"B",IF('Data Source'!AG721&gt;=2,"C",IF('Data Source'!AG721&gt;=1,"D","F")))))),"")</f>
        <v/>
      </c>
      <c r="P721" s="5">
        <f>IF(AND('Data Source'!B721&lt;&gt;"",'Data Source'!S721="A+"),'Data Source'!R721,"")</f>
        <v/>
      </c>
      <c r="Q721" s="3">
        <f>IF(AND('Data Source'!B721&lt;&gt;"",'Data Source'!S721="A+"),'Data Source'!S721,"")</f>
        <v/>
      </c>
    </row>
    <row r="722">
      <c r="A722" s="3">
        <f>IF(AND('Data Source'!B722&lt;&gt;"",'Data Source'!S722="A+"),COUNTIF('Data Source'!$S$3:S722,"A+"),"")</f>
        <v/>
      </c>
      <c r="B722">
        <f>IF(AND('Data Source'!B722&lt;&gt;"",'Data Source'!S722="A+"),'Data Source'!B722,"")</f>
        <v/>
      </c>
      <c r="C722" s="3">
        <f>IF(AND('Data Source'!B722&lt;&gt;"",'Data Source'!S722="A+"),IF('Data Source'!U722&gt;=5,"A+",IF('Data Source'!U722&gt;=4,"A",IF('Data Source'!U722&gt;=3.5,"A-",IF('Data Source'!U722&gt;=3,"B",IF('Data Source'!U722&gt;=2,"C",IF('Data Source'!U722&gt;=1,"D","F")))))),"")</f>
        <v/>
      </c>
      <c r="D722" s="3">
        <f>IF(AND('Data Source'!B722&lt;&gt;"",'Data Source'!S722="A+"),IF('Data Source'!V722&gt;=5,"A+",IF('Data Source'!V722&gt;=4,"A",IF('Data Source'!V722&gt;=3.5,"A-",IF('Data Source'!V722&gt;=3,"B",IF('Data Source'!V722&gt;=2,"C",IF('Data Source'!V722&gt;=1,"D","F")))))),"")</f>
        <v/>
      </c>
      <c r="E722" s="3">
        <f>IF(AND('Data Source'!B722&lt;&gt;"",'Data Source'!S722="A+"),IF('Data Source'!W722&gt;=5,"A+",IF('Data Source'!W722&gt;=4,"A",IF('Data Source'!W722&gt;=3.5,"A-",IF('Data Source'!W722&gt;=3,"B",IF('Data Source'!W722&gt;=2,"C",IF('Data Source'!W722&gt;=1,"D","F")))))),"")</f>
        <v/>
      </c>
      <c r="F722" s="3">
        <f>IF(AND('Data Source'!B722&lt;&gt;"",'Data Source'!S722="A+"),IF('Data Source'!X722&gt;=5,"A+",IF('Data Source'!X722&gt;=4,"A",IF('Data Source'!X722&gt;=3.5,"A-",IF('Data Source'!X722&gt;=3,"B",IF('Data Source'!X722&gt;=2,"C",IF('Data Source'!X722&gt;=1,"D","F")))))),"")</f>
        <v/>
      </c>
      <c r="G722" s="3">
        <f>IF(AND('Data Source'!B722&lt;&gt;"",'Data Source'!S722="A+"),IF('Data Source'!Y722&gt;=5,"A+",IF('Data Source'!Y722&gt;=4,"A",IF('Data Source'!Y722&gt;=3.5,"A-",IF('Data Source'!Y722&gt;=3,"B",IF('Data Source'!Y722&gt;=2,"C",IF('Data Source'!Y722&gt;=1,"D","F")))))),"")</f>
        <v/>
      </c>
      <c r="H722" s="3">
        <f>IF(AND('Data Source'!B722&lt;&gt;"",'Data Source'!S722="A+"),IF('Data Source'!Z722&gt;=5,"A+",IF('Data Source'!Z722&gt;=4,"A",IF('Data Source'!Z722&gt;=3.5,"A-",IF('Data Source'!Z722&gt;=3,"B",IF('Data Source'!Z722&gt;=2,"C",IF('Data Source'!Z722&gt;=1,"D","F")))))),"")</f>
        <v/>
      </c>
      <c r="I722" s="3">
        <f>IF(AND('Data Source'!B722&lt;&gt;"",'Data Source'!S722="A+"),IF('Data Source'!AA722&gt;=5,"A+",IF('Data Source'!AA722&gt;=4,"A",IF('Data Source'!AA722&gt;=3.5,"A-",IF('Data Source'!AA722&gt;=3,"B",IF('Data Source'!AA722&gt;=2,"C",IF('Data Source'!AA722&gt;=1,"D","F")))))),"")</f>
        <v/>
      </c>
      <c r="J722" s="3">
        <f>IF(AND('Data Source'!B722&lt;&gt;"",'Data Source'!S722="A+"),IF('Data Source'!AB722&gt;=5,"A+",IF('Data Source'!AB722&gt;=4,"A",IF('Data Source'!AB722&gt;=3.5,"A-",IF('Data Source'!AB722&gt;=3,"B",IF('Data Source'!AB722&gt;=2,"C",IF('Data Source'!AB722&gt;=1,"D","F")))))),"")</f>
        <v/>
      </c>
      <c r="K722" s="3">
        <f>IF(AND('Data Source'!B722&lt;&gt;"",'Data Source'!S722="A+"),IF('Data Source'!AC722&gt;=5,"A+",IF('Data Source'!AC722&gt;=4,"A",IF('Data Source'!AC722&gt;=3.5,"A-",IF('Data Source'!AC722&gt;=3,"B",IF('Data Source'!AC722&gt;=2,"C",IF('Data Source'!AC722&gt;=1,"D","F")))))),"")</f>
        <v/>
      </c>
      <c r="L722" s="3">
        <f>IF(AND('Data Source'!B722&lt;&gt;"",'Data Source'!S722="A+"),IF('Data Source'!AD722&gt;=5,"A+",IF('Data Source'!AD722&gt;=4,"A",IF('Data Source'!AD722&gt;=3.5,"A-",IF('Data Source'!AD722&gt;=3,"B",IF('Data Source'!AD722&gt;=2,"C",IF('Data Source'!AD722&gt;=1,"D","F")))))),"")</f>
        <v/>
      </c>
      <c r="M722" s="3">
        <f>IF(AND('Data Source'!B722&lt;&gt;"",'Data Source'!S722="A+"),IF('Data Source'!AE722&gt;=5,"A+",IF('Data Source'!AE722&gt;=4,"A",IF('Data Source'!AE722&gt;=3.5,"A-",IF('Data Source'!AE722&gt;=3,"B",IF('Data Source'!AE722&gt;=2,"C",IF('Data Source'!AE722&gt;=1,"D","F")))))),"")</f>
        <v/>
      </c>
      <c r="N722" s="3">
        <f>IF(AND('Data Source'!B722&lt;&gt;"",'Data Source'!S722="A+"),IF('Data Source'!AF722&gt;=5,"A+",IF('Data Source'!AF722&gt;=4,"A",IF('Data Source'!AF722&gt;=3.5,"A-",IF('Data Source'!AF722&gt;=3,"B",IF('Data Source'!AF722&gt;=2,"C",IF('Data Source'!AF722&gt;=1,"D","F")))))),"")</f>
        <v/>
      </c>
      <c r="O722" s="3">
        <f>IF(AND('Data Source'!B722&lt;&gt;"",'Data Source'!S722="A+"),IF('Data Source'!AG722&gt;=5,"A+",IF('Data Source'!AG722&gt;=4,"A",IF('Data Source'!AG722&gt;=3.5,"A-",IF('Data Source'!AG722&gt;=3,"B",IF('Data Source'!AG722&gt;=2,"C",IF('Data Source'!AG722&gt;=1,"D","F")))))),"")</f>
        <v/>
      </c>
      <c r="P722" s="5">
        <f>IF(AND('Data Source'!B722&lt;&gt;"",'Data Source'!S722="A+"),'Data Source'!R722,"")</f>
        <v/>
      </c>
      <c r="Q722" s="3">
        <f>IF(AND('Data Source'!B722&lt;&gt;"",'Data Source'!S722="A+"),'Data Source'!S722,"")</f>
        <v/>
      </c>
    </row>
    <row r="723">
      <c r="A723" s="3">
        <f>IF(AND('Data Source'!B723&lt;&gt;"",'Data Source'!S723="A+"),COUNTIF('Data Source'!$S$3:S723,"A+"),"")</f>
        <v/>
      </c>
      <c r="B723">
        <f>IF(AND('Data Source'!B723&lt;&gt;"",'Data Source'!S723="A+"),'Data Source'!B723,"")</f>
        <v/>
      </c>
      <c r="C723" s="3">
        <f>IF(AND('Data Source'!B723&lt;&gt;"",'Data Source'!S723="A+"),IF('Data Source'!U723&gt;=5,"A+",IF('Data Source'!U723&gt;=4,"A",IF('Data Source'!U723&gt;=3.5,"A-",IF('Data Source'!U723&gt;=3,"B",IF('Data Source'!U723&gt;=2,"C",IF('Data Source'!U723&gt;=1,"D","F")))))),"")</f>
        <v/>
      </c>
      <c r="D723" s="3">
        <f>IF(AND('Data Source'!B723&lt;&gt;"",'Data Source'!S723="A+"),IF('Data Source'!V723&gt;=5,"A+",IF('Data Source'!V723&gt;=4,"A",IF('Data Source'!V723&gt;=3.5,"A-",IF('Data Source'!V723&gt;=3,"B",IF('Data Source'!V723&gt;=2,"C",IF('Data Source'!V723&gt;=1,"D","F")))))),"")</f>
        <v/>
      </c>
      <c r="E723" s="3">
        <f>IF(AND('Data Source'!B723&lt;&gt;"",'Data Source'!S723="A+"),IF('Data Source'!W723&gt;=5,"A+",IF('Data Source'!W723&gt;=4,"A",IF('Data Source'!W723&gt;=3.5,"A-",IF('Data Source'!W723&gt;=3,"B",IF('Data Source'!W723&gt;=2,"C",IF('Data Source'!W723&gt;=1,"D","F")))))),"")</f>
        <v/>
      </c>
      <c r="F723" s="3">
        <f>IF(AND('Data Source'!B723&lt;&gt;"",'Data Source'!S723="A+"),IF('Data Source'!X723&gt;=5,"A+",IF('Data Source'!X723&gt;=4,"A",IF('Data Source'!X723&gt;=3.5,"A-",IF('Data Source'!X723&gt;=3,"B",IF('Data Source'!X723&gt;=2,"C",IF('Data Source'!X723&gt;=1,"D","F")))))),"")</f>
        <v/>
      </c>
      <c r="G723" s="3">
        <f>IF(AND('Data Source'!B723&lt;&gt;"",'Data Source'!S723="A+"),IF('Data Source'!Y723&gt;=5,"A+",IF('Data Source'!Y723&gt;=4,"A",IF('Data Source'!Y723&gt;=3.5,"A-",IF('Data Source'!Y723&gt;=3,"B",IF('Data Source'!Y723&gt;=2,"C",IF('Data Source'!Y723&gt;=1,"D","F")))))),"")</f>
        <v/>
      </c>
      <c r="H723" s="3">
        <f>IF(AND('Data Source'!B723&lt;&gt;"",'Data Source'!S723="A+"),IF('Data Source'!Z723&gt;=5,"A+",IF('Data Source'!Z723&gt;=4,"A",IF('Data Source'!Z723&gt;=3.5,"A-",IF('Data Source'!Z723&gt;=3,"B",IF('Data Source'!Z723&gt;=2,"C",IF('Data Source'!Z723&gt;=1,"D","F")))))),"")</f>
        <v/>
      </c>
      <c r="I723" s="3">
        <f>IF(AND('Data Source'!B723&lt;&gt;"",'Data Source'!S723="A+"),IF('Data Source'!AA723&gt;=5,"A+",IF('Data Source'!AA723&gt;=4,"A",IF('Data Source'!AA723&gt;=3.5,"A-",IF('Data Source'!AA723&gt;=3,"B",IF('Data Source'!AA723&gt;=2,"C",IF('Data Source'!AA723&gt;=1,"D","F")))))),"")</f>
        <v/>
      </c>
      <c r="J723" s="3">
        <f>IF(AND('Data Source'!B723&lt;&gt;"",'Data Source'!S723="A+"),IF('Data Source'!AB723&gt;=5,"A+",IF('Data Source'!AB723&gt;=4,"A",IF('Data Source'!AB723&gt;=3.5,"A-",IF('Data Source'!AB723&gt;=3,"B",IF('Data Source'!AB723&gt;=2,"C",IF('Data Source'!AB723&gt;=1,"D","F")))))),"")</f>
        <v/>
      </c>
      <c r="K723" s="3">
        <f>IF(AND('Data Source'!B723&lt;&gt;"",'Data Source'!S723="A+"),IF('Data Source'!AC723&gt;=5,"A+",IF('Data Source'!AC723&gt;=4,"A",IF('Data Source'!AC723&gt;=3.5,"A-",IF('Data Source'!AC723&gt;=3,"B",IF('Data Source'!AC723&gt;=2,"C",IF('Data Source'!AC723&gt;=1,"D","F")))))),"")</f>
        <v/>
      </c>
      <c r="L723" s="3">
        <f>IF(AND('Data Source'!B723&lt;&gt;"",'Data Source'!S723="A+"),IF('Data Source'!AD723&gt;=5,"A+",IF('Data Source'!AD723&gt;=4,"A",IF('Data Source'!AD723&gt;=3.5,"A-",IF('Data Source'!AD723&gt;=3,"B",IF('Data Source'!AD723&gt;=2,"C",IF('Data Source'!AD723&gt;=1,"D","F")))))),"")</f>
        <v/>
      </c>
      <c r="M723" s="3">
        <f>IF(AND('Data Source'!B723&lt;&gt;"",'Data Source'!S723="A+"),IF('Data Source'!AE723&gt;=5,"A+",IF('Data Source'!AE723&gt;=4,"A",IF('Data Source'!AE723&gt;=3.5,"A-",IF('Data Source'!AE723&gt;=3,"B",IF('Data Source'!AE723&gt;=2,"C",IF('Data Source'!AE723&gt;=1,"D","F")))))),"")</f>
        <v/>
      </c>
      <c r="N723" s="3">
        <f>IF(AND('Data Source'!B723&lt;&gt;"",'Data Source'!S723="A+"),IF('Data Source'!AF723&gt;=5,"A+",IF('Data Source'!AF723&gt;=4,"A",IF('Data Source'!AF723&gt;=3.5,"A-",IF('Data Source'!AF723&gt;=3,"B",IF('Data Source'!AF723&gt;=2,"C",IF('Data Source'!AF723&gt;=1,"D","F")))))),"")</f>
        <v/>
      </c>
      <c r="O723" s="3">
        <f>IF(AND('Data Source'!B723&lt;&gt;"",'Data Source'!S723="A+"),IF('Data Source'!AG723&gt;=5,"A+",IF('Data Source'!AG723&gt;=4,"A",IF('Data Source'!AG723&gt;=3.5,"A-",IF('Data Source'!AG723&gt;=3,"B",IF('Data Source'!AG723&gt;=2,"C",IF('Data Source'!AG723&gt;=1,"D","F")))))),"")</f>
        <v/>
      </c>
      <c r="P723" s="5">
        <f>IF(AND('Data Source'!B723&lt;&gt;"",'Data Source'!S723="A+"),'Data Source'!R723,"")</f>
        <v/>
      </c>
      <c r="Q723" s="3">
        <f>IF(AND('Data Source'!B723&lt;&gt;"",'Data Source'!S723="A+"),'Data Source'!S723,"")</f>
        <v/>
      </c>
    </row>
    <row r="724">
      <c r="A724" s="3">
        <f>IF(AND('Data Source'!B724&lt;&gt;"",'Data Source'!S724="A+"),COUNTIF('Data Source'!$S$3:S724,"A+"),"")</f>
        <v/>
      </c>
      <c r="B724">
        <f>IF(AND('Data Source'!B724&lt;&gt;"",'Data Source'!S724="A+"),'Data Source'!B724,"")</f>
        <v/>
      </c>
      <c r="C724" s="3">
        <f>IF(AND('Data Source'!B724&lt;&gt;"",'Data Source'!S724="A+"),IF('Data Source'!U724&gt;=5,"A+",IF('Data Source'!U724&gt;=4,"A",IF('Data Source'!U724&gt;=3.5,"A-",IF('Data Source'!U724&gt;=3,"B",IF('Data Source'!U724&gt;=2,"C",IF('Data Source'!U724&gt;=1,"D","F")))))),"")</f>
        <v/>
      </c>
      <c r="D724" s="3">
        <f>IF(AND('Data Source'!B724&lt;&gt;"",'Data Source'!S724="A+"),IF('Data Source'!V724&gt;=5,"A+",IF('Data Source'!V724&gt;=4,"A",IF('Data Source'!V724&gt;=3.5,"A-",IF('Data Source'!V724&gt;=3,"B",IF('Data Source'!V724&gt;=2,"C",IF('Data Source'!V724&gt;=1,"D","F")))))),"")</f>
        <v/>
      </c>
      <c r="E724" s="3">
        <f>IF(AND('Data Source'!B724&lt;&gt;"",'Data Source'!S724="A+"),IF('Data Source'!W724&gt;=5,"A+",IF('Data Source'!W724&gt;=4,"A",IF('Data Source'!W724&gt;=3.5,"A-",IF('Data Source'!W724&gt;=3,"B",IF('Data Source'!W724&gt;=2,"C",IF('Data Source'!W724&gt;=1,"D","F")))))),"")</f>
        <v/>
      </c>
      <c r="F724" s="3">
        <f>IF(AND('Data Source'!B724&lt;&gt;"",'Data Source'!S724="A+"),IF('Data Source'!X724&gt;=5,"A+",IF('Data Source'!X724&gt;=4,"A",IF('Data Source'!X724&gt;=3.5,"A-",IF('Data Source'!X724&gt;=3,"B",IF('Data Source'!X724&gt;=2,"C",IF('Data Source'!X724&gt;=1,"D","F")))))),"")</f>
        <v/>
      </c>
      <c r="G724" s="3">
        <f>IF(AND('Data Source'!B724&lt;&gt;"",'Data Source'!S724="A+"),IF('Data Source'!Y724&gt;=5,"A+",IF('Data Source'!Y724&gt;=4,"A",IF('Data Source'!Y724&gt;=3.5,"A-",IF('Data Source'!Y724&gt;=3,"B",IF('Data Source'!Y724&gt;=2,"C",IF('Data Source'!Y724&gt;=1,"D","F")))))),"")</f>
        <v/>
      </c>
      <c r="H724" s="3">
        <f>IF(AND('Data Source'!B724&lt;&gt;"",'Data Source'!S724="A+"),IF('Data Source'!Z724&gt;=5,"A+",IF('Data Source'!Z724&gt;=4,"A",IF('Data Source'!Z724&gt;=3.5,"A-",IF('Data Source'!Z724&gt;=3,"B",IF('Data Source'!Z724&gt;=2,"C",IF('Data Source'!Z724&gt;=1,"D","F")))))),"")</f>
        <v/>
      </c>
      <c r="I724" s="3">
        <f>IF(AND('Data Source'!B724&lt;&gt;"",'Data Source'!S724="A+"),IF('Data Source'!AA724&gt;=5,"A+",IF('Data Source'!AA724&gt;=4,"A",IF('Data Source'!AA724&gt;=3.5,"A-",IF('Data Source'!AA724&gt;=3,"B",IF('Data Source'!AA724&gt;=2,"C",IF('Data Source'!AA724&gt;=1,"D","F")))))),"")</f>
        <v/>
      </c>
      <c r="J724" s="3">
        <f>IF(AND('Data Source'!B724&lt;&gt;"",'Data Source'!S724="A+"),IF('Data Source'!AB724&gt;=5,"A+",IF('Data Source'!AB724&gt;=4,"A",IF('Data Source'!AB724&gt;=3.5,"A-",IF('Data Source'!AB724&gt;=3,"B",IF('Data Source'!AB724&gt;=2,"C",IF('Data Source'!AB724&gt;=1,"D","F")))))),"")</f>
        <v/>
      </c>
      <c r="K724" s="3">
        <f>IF(AND('Data Source'!B724&lt;&gt;"",'Data Source'!S724="A+"),IF('Data Source'!AC724&gt;=5,"A+",IF('Data Source'!AC724&gt;=4,"A",IF('Data Source'!AC724&gt;=3.5,"A-",IF('Data Source'!AC724&gt;=3,"B",IF('Data Source'!AC724&gt;=2,"C",IF('Data Source'!AC724&gt;=1,"D","F")))))),"")</f>
        <v/>
      </c>
      <c r="L724" s="3">
        <f>IF(AND('Data Source'!B724&lt;&gt;"",'Data Source'!S724="A+"),IF('Data Source'!AD724&gt;=5,"A+",IF('Data Source'!AD724&gt;=4,"A",IF('Data Source'!AD724&gt;=3.5,"A-",IF('Data Source'!AD724&gt;=3,"B",IF('Data Source'!AD724&gt;=2,"C",IF('Data Source'!AD724&gt;=1,"D","F")))))),"")</f>
        <v/>
      </c>
      <c r="M724" s="3">
        <f>IF(AND('Data Source'!B724&lt;&gt;"",'Data Source'!S724="A+"),IF('Data Source'!AE724&gt;=5,"A+",IF('Data Source'!AE724&gt;=4,"A",IF('Data Source'!AE724&gt;=3.5,"A-",IF('Data Source'!AE724&gt;=3,"B",IF('Data Source'!AE724&gt;=2,"C",IF('Data Source'!AE724&gt;=1,"D","F")))))),"")</f>
        <v/>
      </c>
      <c r="N724" s="3">
        <f>IF(AND('Data Source'!B724&lt;&gt;"",'Data Source'!S724="A+"),IF('Data Source'!AF724&gt;=5,"A+",IF('Data Source'!AF724&gt;=4,"A",IF('Data Source'!AF724&gt;=3.5,"A-",IF('Data Source'!AF724&gt;=3,"B",IF('Data Source'!AF724&gt;=2,"C",IF('Data Source'!AF724&gt;=1,"D","F")))))),"")</f>
        <v/>
      </c>
      <c r="O724" s="3">
        <f>IF(AND('Data Source'!B724&lt;&gt;"",'Data Source'!S724="A+"),IF('Data Source'!AG724&gt;=5,"A+",IF('Data Source'!AG724&gt;=4,"A",IF('Data Source'!AG724&gt;=3.5,"A-",IF('Data Source'!AG724&gt;=3,"B",IF('Data Source'!AG724&gt;=2,"C",IF('Data Source'!AG724&gt;=1,"D","F")))))),"")</f>
        <v/>
      </c>
      <c r="P724" s="5">
        <f>IF(AND('Data Source'!B724&lt;&gt;"",'Data Source'!S724="A+"),'Data Source'!R724,"")</f>
        <v/>
      </c>
      <c r="Q724" s="3">
        <f>IF(AND('Data Source'!B724&lt;&gt;"",'Data Source'!S724="A+"),'Data Source'!S724,"")</f>
        <v/>
      </c>
    </row>
    <row r="725">
      <c r="A725" s="3">
        <f>IF(AND('Data Source'!B725&lt;&gt;"",'Data Source'!S725="A+"),COUNTIF('Data Source'!$S$3:S725,"A+"),"")</f>
        <v/>
      </c>
      <c r="B725">
        <f>IF(AND('Data Source'!B725&lt;&gt;"",'Data Source'!S725="A+"),'Data Source'!B725,"")</f>
        <v/>
      </c>
      <c r="C725" s="3">
        <f>IF(AND('Data Source'!B725&lt;&gt;"",'Data Source'!S725="A+"),IF('Data Source'!U725&gt;=5,"A+",IF('Data Source'!U725&gt;=4,"A",IF('Data Source'!U725&gt;=3.5,"A-",IF('Data Source'!U725&gt;=3,"B",IF('Data Source'!U725&gt;=2,"C",IF('Data Source'!U725&gt;=1,"D","F")))))),"")</f>
        <v/>
      </c>
      <c r="D725" s="3">
        <f>IF(AND('Data Source'!B725&lt;&gt;"",'Data Source'!S725="A+"),IF('Data Source'!V725&gt;=5,"A+",IF('Data Source'!V725&gt;=4,"A",IF('Data Source'!V725&gt;=3.5,"A-",IF('Data Source'!V725&gt;=3,"B",IF('Data Source'!V725&gt;=2,"C",IF('Data Source'!V725&gt;=1,"D","F")))))),"")</f>
        <v/>
      </c>
      <c r="E725" s="3">
        <f>IF(AND('Data Source'!B725&lt;&gt;"",'Data Source'!S725="A+"),IF('Data Source'!W725&gt;=5,"A+",IF('Data Source'!W725&gt;=4,"A",IF('Data Source'!W725&gt;=3.5,"A-",IF('Data Source'!W725&gt;=3,"B",IF('Data Source'!W725&gt;=2,"C",IF('Data Source'!W725&gt;=1,"D","F")))))),"")</f>
        <v/>
      </c>
      <c r="F725" s="3">
        <f>IF(AND('Data Source'!B725&lt;&gt;"",'Data Source'!S725="A+"),IF('Data Source'!X725&gt;=5,"A+",IF('Data Source'!X725&gt;=4,"A",IF('Data Source'!X725&gt;=3.5,"A-",IF('Data Source'!X725&gt;=3,"B",IF('Data Source'!X725&gt;=2,"C",IF('Data Source'!X725&gt;=1,"D","F")))))),"")</f>
        <v/>
      </c>
      <c r="G725" s="3">
        <f>IF(AND('Data Source'!B725&lt;&gt;"",'Data Source'!S725="A+"),IF('Data Source'!Y725&gt;=5,"A+",IF('Data Source'!Y725&gt;=4,"A",IF('Data Source'!Y725&gt;=3.5,"A-",IF('Data Source'!Y725&gt;=3,"B",IF('Data Source'!Y725&gt;=2,"C",IF('Data Source'!Y725&gt;=1,"D","F")))))),"")</f>
        <v/>
      </c>
      <c r="H725" s="3">
        <f>IF(AND('Data Source'!B725&lt;&gt;"",'Data Source'!S725="A+"),IF('Data Source'!Z725&gt;=5,"A+",IF('Data Source'!Z725&gt;=4,"A",IF('Data Source'!Z725&gt;=3.5,"A-",IF('Data Source'!Z725&gt;=3,"B",IF('Data Source'!Z725&gt;=2,"C",IF('Data Source'!Z725&gt;=1,"D","F")))))),"")</f>
        <v/>
      </c>
      <c r="I725" s="3">
        <f>IF(AND('Data Source'!B725&lt;&gt;"",'Data Source'!S725="A+"),IF('Data Source'!AA725&gt;=5,"A+",IF('Data Source'!AA725&gt;=4,"A",IF('Data Source'!AA725&gt;=3.5,"A-",IF('Data Source'!AA725&gt;=3,"B",IF('Data Source'!AA725&gt;=2,"C",IF('Data Source'!AA725&gt;=1,"D","F")))))),"")</f>
        <v/>
      </c>
      <c r="J725" s="3">
        <f>IF(AND('Data Source'!B725&lt;&gt;"",'Data Source'!S725="A+"),IF('Data Source'!AB725&gt;=5,"A+",IF('Data Source'!AB725&gt;=4,"A",IF('Data Source'!AB725&gt;=3.5,"A-",IF('Data Source'!AB725&gt;=3,"B",IF('Data Source'!AB725&gt;=2,"C",IF('Data Source'!AB725&gt;=1,"D","F")))))),"")</f>
        <v/>
      </c>
      <c r="K725" s="3">
        <f>IF(AND('Data Source'!B725&lt;&gt;"",'Data Source'!S725="A+"),IF('Data Source'!AC725&gt;=5,"A+",IF('Data Source'!AC725&gt;=4,"A",IF('Data Source'!AC725&gt;=3.5,"A-",IF('Data Source'!AC725&gt;=3,"B",IF('Data Source'!AC725&gt;=2,"C",IF('Data Source'!AC725&gt;=1,"D","F")))))),"")</f>
        <v/>
      </c>
      <c r="L725" s="3">
        <f>IF(AND('Data Source'!B725&lt;&gt;"",'Data Source'!S725="A+"),IF('Data Source'!AD725&gt;=5,"A+",IF('Data Source'!AD725&gt;=4,"A",IF('Data Source'!AD725&gt;=3.5,"A-",IF('Data Source'!AD725&gt;=3,"B",IF('Data Source'!AD725&gt;=2,"C",IF('Data Source'!AD725&gt;=1,"D","F")))))),"")</f>
        <v/>
      </c>
      <c r="M725" s="3">
        <f>IF(AND('Data Source'!B725&lt;&gt;"",'Data Source'!S725="A+"),IF('Data Source'!AE725&gt;=5,"A+",IF('Data Source'!AE725&gt;=4,"A",IF('Data Source'!AE725&gt;=3.5,"A-",IF('Data Source'!AE725&gt;=3,"B",IF('Data Source'!AE725&gt;=2,"C",IF('Data Source'!AE725&gt;=1,"D","F")))))),"")</f>
        <v/>
      </c>
      <c r="N725" s="3">
        <f>IF(AND('Data Source'!B725&lt;&gt;"",'Data Source'!S725="A+"),IF('Data Source'!AF725&gt;=5,"A+",IF('Data Source'!AF725&gt;=4,"A",IF('Data Source'!AF725&gt;=3.5,"A-",IF('Data Source'!AF725&gt;=3,"B",IF('Data Source'!AF725&gt;=2,"C",IF('Data Source'!AF725&gt;=1,"D","F")))))),"")</f>
        <v/>
      </c>
      <c r="O725" s="3">
        <f>IF(AND('Data Source'!B725&lt;&gt;"",'Data Source'!S725="A+"),IF('Data Source'!AG725&gt;=5,"A+",IF('Data Source'!AG725&gt;=4,"A",IF('Data Source'!AG725&gt;=3.5,"A-",IF('Data Source'!AG725&gt;=3,"B",IF('Data Source'!AG725&gt;=2,"C",IF('Data Source'!AG725&gt;=1,"D","F")))))),"")</f>
        <v/>
      </c>
      <c r="P725" s="5">
        <f>IF(AND('Data Source'!B725&lt;&gt;"",'Data Source'!S725="A+"),'Data Source'!R725,"")</f>
        <v/>
      </c>
      <c r="Q725" s="3">
        <f>IF(AND('Data Source'!B725&lt;&gt;"",'Data Source'!S725="A+"),'Data Source'!S725,"")</f>
        <v/>
      </c>
    </row>
    <row r="726">
      <c r="A726" s="3">
        <f>IF(AND('Data Source'!B726&lt;&gt;"",'Data Source'!S726="A+"),COUNTIF('Data Source'!$S$3:S726,"A+"),"")</f>
        <v/>
      </c>
      <c r="B726">
        <f>IF(AND('Data Source'!B726&lt;&gt;"",'Data Source'!S726="A+"),'Data Source'!B726,"")</f>
        <v/>
      </c>
      <c r="C726" s="3">
        <f>IF(AND('Data Source'!B726&lt;&gt;"",'Data Source'!S726="A+"),IF('Data Source'!U726&gt;=5,"A+",IF('Data Source'!U726&gt;=4,"A",IF('Data Source'!U726&gt;=3.5,"A-",IF('Data Source'!U726&gt;=3,"B",IF('Data Source'!U726&gt;=2,"C",IF('Data Source'!U726&gt;=1,"D","F")))))),"")</f>
        <v/>
      </c>
      <c r="D726" s="3">
        <f>IF(AND('Data Source'!B726&lt;&gt;"",'Data Source'!S726="A+"),IF('Data Source'!V726&gt;=5,"A+",IF('Data Source'!V726&gt;=4,"A",IF('Data Source'!V726&gt;=3.5,"A-",IF('Data Source'!V726&gt;=3,"B",IF('Data Source'!V726&gt;=2,"C",IF('Data Source'!V726&gt;=1,"D","F")))))),"")</f>
        <v/>
      </c>
      <c r="E726" s="3">
        <f>IF(AND('Data Source'!B726&lt;&gt;"",'Data Source'!S726="A+"),IF('Data Source'!W726&gt;=5,"A+",IF('Data Source'!W726&gt;=4,"A",IF('Data Source'!W726&gt;=3.5,"A-",IF('Data Source'!W726&gt;=3,"B",IF('Data Source'!W726&gt;=2,"C",IF('Data Source'!W726&gt;=1,"D","F")))))),"")</f>
        <v/>
      </c>
      <c r="F726" s="3">
        <f>IF(AND('Data Source'!B726&lt;&gt;"",'Data Source'!S726="A+"),IF('Data Source'!X726&gt;=5,"A+",IF('Data Source'!X726&gt;=4,"A",IF('Data Source'!X726&gt;=3.5,"A-",IF('Data Source'!X726&gt;=3,"B",IF('Data Source'!X726&gt;=2,"C",IF('Data Source'!X726&gt;=1,"D","F")))))),"")</f>
        <v/>
      </c>
      <c r="G726" s="3">
        <f>IF(AND('Data Source'!B726&lt;&gt;"",'Data Source'!S726="A+"),IF('Data Source'!Y726&gt;=5,"A+",IF('Data Source'!Y726&gt;=4,"A",IF('Data Source'!Y726&gt;=3.5,"A-",IF('Data Source'!Y726&gt;=3,"B",IF('Data Source'!Y726&gt;=2,"C",IF('Data Source'!Y726&gt;=1,"D","F")))))),"")</f>
        <v/>
      </c>
      <c r="H726" s="3">
        <f>IF(AND('Data Source'!B726&lt;&gt;"",'Data Source'!S726="A+"),IF('Data Source'!Z726&gt;=5,"A+",IF('Data Source'!Z726&gt;=4,"A",IF('Data Source'!Z726&gt;=3.5,"A-",IF('Data Source'!Z726&gt;=3,"B",IF('Data Source'!Z726&gt;=2,"C",IF('Data Source'!Z726&gt;=1,"D","F")))))),"")</f>
        <v/>
      </c>
      <c r="I726" s="3">
        <f>IF(AND('Data Source'!B726&lt;&gt;"",'Data Source'!S726="A+"),IF('Data Source'!AA726&gt;=5,"A+",IF('Data Source'!AA726&gt;=4,"A",IF('Data Source'!AA726&gt;=3.5,"A-",IF('Data Source'!AA726&gt;=3,"B",IF('Data Source'!AA726&gt;=2,"C",IF('Data Source'!AA726&gt;=1,"D","F")))))),"")</f>
        <v/>
      </c>
      <c r="J726" s="3">
        <f>IF(AND('Data Source'!B726&lt;&gt;"",'Data Source'!S726="A+"),IF('Data Source'!AB726&gt;=5,"A+",IF('Data Source'!AB726&gt;=4,"A",IF('Data Source'!AB726&gt;=3.5,"A-",IF('Data Source'!AB726&gt;=3,"B",IF('Data Source'!AB726&gt;=2,"C",IF('Data Source'!AB726&gt;=1,"D","F")))))),"")</f>
        <v/>
      </c>
      <c r="K726" s="3">
        <f>IF(AND('Data Source'!B726&lt;&gt;"",'Data Source'!S726="A+"),IF('Data Source'!AC726&gt;=5,"A+",IF('Data Source'!AC726&gt;=4,"A",IF('Data Source'!AC726&gt;=3.5,"A-",IF('Data Source'!AC726&gt;=3,"B",IF('Data Source'!AC726&gt;=2,"C",IF('Data Source'!AC726&gt;=1,"D","F")))))),"")</f>
        <v/>
      </c>
      <c r="L726" s="3">
        <f>IF(AND('Data Source'!B726&lt;&gt;"",'Data Source'!S726="A+"),IF('Data Source'!AD726&gt;=5,"A+",IF('Data Source'!AD726&gt;=4,"A",IF('Data Source'!AD726&gt;=3.5,"A-",IF('Data Source'!AD726&gt;=3,"B",IF('Data Source'!AD726&gt;=2,"C",IF('Data Source'!AD726&gt;=1,"D","F")))))),"")</f>
        <v/>
      </c>
      <c r="M726" s="3">
        <f>IF(AND('Data Source'!B726&lt;&gt;"",'Data Source'!S726="A+"),IF('Data Source'!AE726&gt;=5,"A+",IF('Data Source'!AE726&gt;=4,"A",IF('Data Source'!AE726&gt;=3.5,"A-",IF('Data Source'!AE726&gt;=3,"B",IF('Data Source'!AE726&gt;=2,"C",IF('Data Source'!AE726&gt;=1,"D","F")))))),"")</f>
        <v/>
      </c>
      <c r="N726" s="3">
        <f>IF(AND('Data Source'!B726&lt;&gt;"",'Data Source'!S726="A+"),IF('Data Source'!AF726&gt;=5,"A+",IF('Data Source'!AF726&gt;=4,"A",IF('Data Source'!AF726&gt;=3.5,"A-",IF('Data Source'!AF726&gt;=3,"B",IF('Data Source'!AF726&gt;=2,"C",IF('Data Source'!AF726&gt;=1,"D","F")))))),"")</f>
        <v/>
      </c>
      <c r="O726" s="3">
        <f>IF(AND('Data Source'!B726&lt;&gt;"",'Data Source'!S726="A+"),IF('Data Source'!AG726&gt;=5,"A+",IF('Data Source'!AG726&gt;=4,"A",IF('Data Source'!AG726&gt;=3.5,"A-",IF('Data Source'!AG726&gt;=3,"B",IF('Data Source'!AG726&gt;=2,"C",IF('Data Source'!AG726&gt;=1,"D","F")))))),"")</f>
        <v/>
      </c>
      <c r="P726" s="5">
        <f>IF(AND('Data Source'!B726&lt;&gt;"",'Data Source'!S726="A+"),'Data Source'!R726,"")</f>
        <v/>
      </c>
      <c r="Q726" s="3">
        <f>IF(AND('Data Source'!B726&lt;&gt;"",'Data Source'!S726="A+"),'Data Source'!S726,"")</f>
        <v/>
      </c>
    </row>
    <row r="727">
      <c r="A727" s="3">
        <f>IF(AND('Data Source'!B727&lt;&gt;"",'Data Source'!S727="A+"),COUNTIF('Data Source'!$S$3:S727,"A+"),"")</f>
        <v/>
      </c>
      <c r="B727">
        <f>IF(AND('Data Source'!B727&lt;&gt;"",'Data Source'!S727="A+"),'Data Source'!B727,"")</f>
        <v/>
      </c>
      <c r="C727" s="3">
        <f>IF(AND('Data Source'!B727&lt;&gt;"",'Data Source'!S727="A+"),IF('Data Source'!U727&gt;=5,"A+",IF('Data Source'!U727&gt;=4,"A",IF('Data Source'!U727&gt;=3.5,"A-",IF('Data Source'!U727&gt;=3,"B",IF('Data Source'!U727&gt;=2,"C",IF('Data Source'!U727&gt;=1,"D","F")))))),"")</f>
        <v/>
      </c>
      <c r="D727" s="3">
        <f>IF(AND('Data Source'!B727&lt;&gt;"",'Data Source'!S727="A+"),IF('Data Source'!V727&gt;=5,"A+",IF('Data Source'!V727&gt;=4,"A",IF('Data Source'!V727&gt;=3.5,"A-",IF('Data Source'!V727&gt;=3,"B",IF('Data Source'!V727&gt;=2,"C",IF('Data Source'!V727&gt;=1,"D","F")))))),"")</f>
        <v/>
      </c>
      <c r="E727" s="3">
        <f>IF(AND('Data Source'!B727&lt;&gt;"",'Data Source'!S727="A+"),IF('Data Source'!W727&gt;=5,"A+",IF('Data Source'!W727&gt;=4,"A",IF('Data Source'!W727&gt;=3.5,"A-",IF('Data Source'!W727&gt;=3,"B",IF('Data Source'!W727&gt;=2,"C",IF('Data Source'!W727&gt;=1,"D","F")))))),"")</f>
        <v/>
      </c>
      <c r="F727" s="3">
        <f>IF(AND('Data Source'!B727&lt;&gt;"",'Data Source'!S727="A+"),IF('Data Source'!X727&gt;=5,"A+",IF('Data Source'!X727&gt;=4,"A",IF('Data Source'!X727&gt;=3.5,"A-",IF('Data Source'!X727&gt;=3,"B",IF('Data Source'!X727&gt;=2,"C",IF('Data Source'!X727&gt;=1,"D","F")))))),"")</f>
        <v/>
      </c>
      <c r="G727" s="3">
        <f>IF(AND('Data Source'!B727&lt;&gt;"",'Data Source'!S727="A+"),IF('Data Source'!Y727&gt;=5,"A+",IF('Data Source'!Y727&gt;=4,"A",IF('Data Source'!Y727&gt;=3.5,"A-",IF('Data Source'!Y727&gt;=3,"B",IF('Data Source'!Y727&gt;=2,"C",IF('Data Source'!Y727&gt;=1,"D","F")))))),"")</f>
        <v/>
      </c>
      <c r="H727" s="3">
        <f>IF(AND('Data Source'!B727&lt;&gt;"",'Data Source'!S727="A+"),IF('Data Source'!Z727&gt;=5,"A+",IF('Data Source'!Z727&gt;=4,"A",IF('Data Source'!Z727&gt;=3.5,"A-",IF('Data Source'!Z727&gt;=3,"B",IF('Data Source'!Z727&gt;=2,"C",IF('Data Source'!Z727&gt;=1,"D","F")))))),"")</f>
        <v/>
      </c>
      <c r="I727" s="3">
        <f>IF(AND('Data Source'!B727&lt;&gt;"",'Data Source'!S727="A+"),IF('Data Source'!AA727&gt;=5,"A+",IF('Data Source'!AA727&gt;=4,"A",IF('Data Source'!AA727&gt;=3.5,"A-",IF('Data Source'!AA727&gt;=3,"B",IF('Data Source'!AA727&gt;=2,"C",IF('Data Source'!AA727&gt;=1,"D","F")))))),"")</f>
        <v/>
      </c>
      <c r="J727" s="3">
        <f>IF(AND('Data Source'!B727&lt;&gt;"",'Data Source'!S727="A+"),IF('Data Source'!AB727&gt;=5,"A+",IF('Data Source'!AB727&gt;=4,"A",IF('Data Source'!AB727&gt;=3.5,"A-",IF('Data Source'!AB727&gt;=3,"B",IF('Data Source'!AB727&gt;=2,"C",IF('Data Source'!AB727&gt;=1,"D","F")))))),"")</f>
        <v/>
      </c>
      <c r="K727" s="3">
        <f>IF(AND('Data Source'!B727&lt;&gt;"",'Data Source'!S727="A+"),IF('Data Source'!AC727&gt;=5,"A+",IF('Data Source'!AC727&gt;=4,"A",IF('Data Source'!AC727&gt;=3.5,"A-",IF('Data Source'!AC727&gt;=3,"B",IF('Data Source'!AC727&gt;=2,"C",IF('Data Source'!AC727&gt;=1,"D","F")))))),"")</f>
        <v/>
      </c>
      <c r="L727" s="3">
        <f>IF(AND('Data Source'!B727&lt;&gt;"",'Data Source'!S727="A+"),IF('Data Source'!AD727&gt;=5,"A+",IF('Data Source'!AD727&gt;=4,"A",IF('Data Source'!AD727&gt;=3.5,"A-",IF('Data Source'!AD727&gt;=3,"B",IF('Data Source'!AD727&gt;=2,"C",IF('Data Source'!AD727&gt;=1,"D","F")))))),"")</f>
        <v/>
      </c>
      <c r="M727" s="3">
        <f>IF(AND('Data Source'!B727&lt;&gt;"",'Data Source'!S727="A+"),IF('Data Source'!AE727&gt;=5,"A+",IF('Data Source'!AE727&gt;=4,"A",IF('Data Source'!AE727&gt;=3.5,"A-",IF('Data Source'!AE727&gt;=3,"B",IF('Data Source'!AE727&gt;=2,"C",IF('Data Source'!AE727&gt;=1,"D","F")))))),"")</f>
        <v/>
      </c>
      <c r="N727" s="3">
        <f>IF(AND('Data Source'!B727&lt;&gt;"",'Data Source'!S727="A+"),IF('Data Source'!AF727&gt;=5,"A+",IF('Data Source'!AF727&gt;=4,"A",IF('Data Source'!AF727&gt;=3.5,"A-",IF('Data Source'!AF727&gt;=3,"B",IF('Data Source'!AF727&gt;=2,"C",IF('Data Source'!AF727&gt;=1,"D","F")))))),"")</f>
        <v/>
      </c>
      <c r="O727" s="3">
        <f>IF(AND('Data Source'!B727&lt;&gt;"",'Data Source'!S727="A+"),IF('Data Source'!AG727&gt;=5,"A+",IF('Data Source'!AG727&gt;=4,"A",IF('Data Source'!AG727&gt;=3.5,"A-",IF('Data Source'!AG727&gt;=3,"B",IF('Data Source'!AG727&gt;=2,"C",IF('Data Source'!AG727&gt;=1,"D","F")))))),"")</f>
        <v/>
      </c>
      <c r="P727" s="5">
        <f>IF(AND('Data Source'!B727&lt;&gt;"",'Data Source'!S727="A+"),'Data Source'!R727,"")</f>
        <v/>
      </c>
      <c r="Q727" s="3">
        <f>IF(AND('Data Source'!B727&lt;&gt;"",'Data Source'!S727="A+"),'Data Source'!S727,"")</f>
        <v/>
      </c>
    </row>
    <row r="728">
      <c r="A728" s="3">
        <f>IF(AND('Data Source'!B728&lt;&gt;"",'Data Source'!S728="A+"),COUNTIF('Data Source'!$S$3:S728,"A+"),"")</f>
        <v/>
      </c>
      <c r="B728">
        <f>IF(AND('Data Source'!B728&lt;&gt;"",'Data Source'!S728="A+"),'Data Source'!B728,"")</f>
        <v/>
      </c>
      <c r="C728" s="3">
        <f>IF(AND('Data Source'!B728&lt;&gt;"",'Data Source'!S728="A+"),IF('Data Source'!U728&gt;=5,"A+",IF('Data Source'!U728&gt;=4,"A",IF('Data Source'!U728&gt;=3.5,"A-",IF('Data Source'!U728&gt;=3,"B",IF('Data Source'!U728&gt;=2,"C",IF('Data Source'!U728&gt;=1,"D","F")))))),"")</f>
        <v/>
      </c>
      <c r="D728" s="3">
        <f>IF(AND('Data Source'!B728&lt;&gt;"",'Data Source'!S728="A+"),IF('Data Source'!V728&gt;=5,"A+",IF('Data Source'!V728&gt;=4,"A",IF('Data Source'!V728&gt;=3.5,"A-",IF('Data Source'!V728&gt;=3,"B",IF('Data Source'!V728&gt;=2,"C",IF('Data Source'!V728&gt;=1,"D","F")))))),"")</f>
        <v/>
      </c>
      <c r="E728" s="3">
        <f>IF(AND('Data Source'!B728&lt;&gt;"",'Data Source'!S728="A+"),IF('Data Source'!W728&gt;=5,"A+",IF('Data Source'!W728&gt;=4,"A",IF('Data Source'!W728&gt;=3.5,"A-",IF('Data Source'!W728&gt;=3,"B",IF('Data Source'!W728&gt;=2,"C",IF('Data Source'!W728&gt;=1,"D","F")))))),"")</f>
        <v/>
      </c>
      <c r="F728" s="3">
        <f>IF(AND('Data Source'!B728&lt;&gt;"",'Data Source'!S728="A+"),IF('Data Source'!X728&gt;=5,"A+",IF('Data Source'!X728&gt;=4,"A",IF('Data Source'!X728&gt;=3.5,"A-",IF('Data Source'!X728&gt;=3,"B",IF('Data Source'!X728&gt;=2,"C",IF('Data Source'!X728&gt;=1,"D","F")))))),"")</f>
        <v/>
      </c>
      <c r="G728" s="3">
        <f>IF(AND('Data Source'!B728&lt;&gt;"",'Data Source'!S728="A+"),IF('Data Source'!Y728&gt;=5,"A+",IF('Data Source'!Y728&gt;=4,"A",IF('Data Source'!Y728&gt;=3.5,"A-",IF('Data Source'!Y728&gt;=3,"B",IF('Data Source'!Y728&gt;=2,"C",IF('Data Source'!Y728&gt;=1,"D","F")))))),"")</f>
        <v/>
      </c>
      <c r="H728" s="3">
        <f>IF(AND('Data Source'!B728&lt;&gt;"",'Data Source'!S728="A+"),IF('Data Source'!Z728&gt;=5,"A+",IF('Data Source'!Z728&gt;=4,"A",IF('Data Source'!Z728&gt;=3.5,"A-",IF('Data Source'!Z728&gt;=3,"B",IF('Data Source'!Z728&gt;=2,"C",IF('Data Source'!Z728&gt;=1,"D","F")))))),"")</f>
        <v/>
      </c>
      <c r="I728" s="3">
        <f>IF(AND('Data Source'!B728&lt;&gt;"",'Data Source'!S728="A+"),IF('Data Source'!AA728&gt;=5,"A+",IF('Data Source'!AA728&gt;=4,"A",IF('Data Source'!AA728&gt;=3.5,"A-",IF('Data Source'!AA728&gt;=3,"B",IF('Data Source'!AA728&gt;=2,"C",IF('Data Source'!AA728&gt;=1,"D","F")))))),"")</f>
        <v/>
      </c>
      <c r="J728" s="3">
        <f>IF(AND('Data Source'!B728&lt;&gt;"",'Data Source'!S728="A+"),IF('Data Source'!AB728&gt;=5,"A+",IF('Data Source'!AB728&gt;=4,"A",IF('Data Source'!AB728&gt;=3.5,"A-",IF('Data Source'!AB728&gt;=3,"B",IF('Data Source'!AB728&gt;=2,"C",IF('Data Source'!AB728&gt;=1,"D","F")))))),"")</f>
        <v/>
      </c>
      <c r="K728" s="3">
        <f>IF(AND('Data Source'!B728&lt;&gt;"",'Data Source'!S728="A+"),IF('Data Source'!AC728&gt;=5,"A+",IF('Data Source'!AC728&gt;=4,"A",IF('Data Source'!AC728&gt;=3.5,"A-",IF('Data Source'!AC728&gt;=3,"B",IF('Data Source'!AC728&gt;=2,"C",IF('Data Source'!AC728&gt;=1,"D","F")))))),"")</f>
        <v/>
      </c>
      <c r="L728" s="3">
        <f>IF(AND('Data Source'!B728&lt;&gt;"",'Data Source'!S728="A+"),IF('Data Source'!AD728&gt;=5,"A+",IF('Data Source'!AD728&gt;=4,"A",IF('Data Source'!AD728&gt;=3.5,"A-",IF('Data Source'!AD728&gt;=3,"B",IF('Data Source'!AD728&gt;=2,"C",IF('Data Source'!AD728&gt;=1,"D","F")))))),"")</f>
        <v/>
      </c>
      <c r="M728" s="3">
        <f>IF(AND('Data Source'!B728&lt;&gt;"",'Data Source'!S728="A+"),IF('Data Source'!AE728&gt;=5,"A+",IF('Data Source'!AE728&gt;=4,"A",IF('Data Source'!AE728&gt;=3.5,"A-",IF('Data Source'!AE728&gt;=3,"B",IF('Data Source'!AE728&gt;=2,"C",IF('Data Source'!AE728&gt;=1,"D","F")))))),"")</f>
        <v/>
      </c>
      <c r="N728" s="3">
        <f>IF(AND('Data Source'!B728&lt;&gt;"",'Data Source'!S728="A+"),IF('Data Source'!AF728&gt;=5,"A+",IF('Data Source'!AF728&gt;=4,"A",IF('Data Source'!AF728&gt;=3.5,"A-",IF('Data Source'!AF728&gt;=3,"B",IF('Data Source'!AF728&gt;=2,"C",IF('Data Source'!AF728&gt;=1,"D","F")))))),"")</f>
        <v/>
      </c>
      <c r="O728" s="3">
        <f>IF(AND('Data Source'!B728&lt;&gt;"",'Data Source'!S728="A+"),IF('Data Source'!AG728&gt;=5,"A+",IF('Data Source'!AG728&gt;=4,"A",IF('Data Source'!AG728&gt;=3.5,"A-",IF('Data Source'!AG728&gt;=3,"B",IF('Data Source'!AG728&gt;=2,"C",IF('Data Source'!AG728&gt;=1,"D","F")))))),"")</f>
        <v/>
      </c>
      <c r="P728" s="5">
        <f>IF(AND('Data Source'!B728&lt;&gt;"",'Data Source'!S728="A+"),'Data Source'!R728,"")</f>
        <v/>
      </c>
      <c r="Q728" s="3">
        <f>IF(AND('Data Source'!B728&lt;&gt;"",'Data Source'!S728="A+"),'Data Source'!S728,"")</f>
        <v/>
      </c>
    </row>
    <row r="729">
      <c r="A729" s="3">
        <f>IF(AND('Data Source'!B729&lt;&gt;"",'Data Source'!S729="A+"),COUNTIF('Data Source'!$S$3:S729,"A+"),"")</f>
        <v/>
      </c>
      <c r="B729">
        <f>IF(AND('Data Source'!B729&lt;&gt;"",'Data Source'!S729="A+"),'Data Source'!B729,"")</f>
        <v/>
      </c>
      <c r="C729" s="3">
        <f>IF(AND('Data Source'!B729&lt;&gt;"",'Data Source'!S729="A+"),IF('Data Source'!U729&gt;=5,"A+",IF('Data Source'!U729&gt;=4,"A",IF('Data Source'!U729&gt;=3.5,"A-",IF('Data Source'!U729&gt;=3,"B",IF('Data Source'!U729&gt;=2,"C",IF('Data Source'!U729&gt;=1,"D","F")))))),"")</f>
        <v/>
      </c>
      <c r="D729" s="3">
        <f>IF(AND('Data Source'!B729&lt;&gt;"",'Data Source'!S729="A+"),IF('Data Source'!V729&gt;=5,"A+",IF('Data Source'!V729&gt;=4,"A",IF('Data Source'!V729&gt;=3.5,"A-",IF('Data Source'!V729&gt;=3,"B",IF('Data Source'!V729&gt;=2,"C",IF('Data Source'!V729&gt;=1,"D","F")))))),"")</f>
        <v/>
      </c>
      <c r="E729" s="3">
        <f>IF(AND('Data Source'!B729&lt;&gt;"",'Data Source'!S729="A+"),IF('Data Source'!W729&gt;=5,"A+",IF('Data Source'!W729&gt;=4,"A",IF('Data Source'!W729&gt;=3.5,"A-",IF('Data Source'!W729&gt;=3,"B",IF('Data Source'!W729&gt;=2,"C",IF('Data Source'!W729&gt;=1,"D","F")))))),"")</f>
        <v/>
      </c>
      <c r="F729" s="3">
        <f>IF(AND('Data Source'!B729&lt;&gt;"",'Data Source'!S729="A+"),IF('Data Source'!X729&gt;=5,"A+",IF('Data Source'!X729&gt;=4,"A",IF('Data Source'!X729&gt;=3.5,"A-",IF('Data Source'!X729&gt;=3,"B",IF('Data Source'!X729&gt;=2,"C",IF('Data Source'!X729&gt;=1,"D","F")))))),"")</f>
        <v/>
      </c>
      <c r="G729" s="3">
        <f>IF(AND('Data Source'!B729&lt;&gt;"",'Data Source'!S729="A+"),IF('Data Source'!Y729&gt;=5,"A+",IF('Data Source'!Y729&gt;=4,"A",IF('Data Source'!Y729&gt;=3.5,"A-",IF('Data Source'!Y729&gt;=3,"B",IF('Data Source'!Y729&gt;=2,"C",IF('Data Source'!Y729&gt;=1,"D","F")))))),"")</f>
        <v/>
      </c>
      <c r="H729" s="3">
        <f>IF(AND('Data Source'!B729&lt;&gt;"",'Data Source'!S729="A+"),IF('Data Source'!Z729&gt;=5,"A+",IF('Data Source'!Z729&gt;=4,"A",IF('Data Source'!Z729&gt;=3.5,"A-",IF('Data Source'!Z729&gt;=3,"B",IF('Data Source'!Z729&gt;=2,"C",IF('Data Source'!Z729&gt;=1,"D","F")))))),"")</f>
        <v/>
      </c>
      <c r="I729" s="3">
        <f>IF(AND('Data Source'!B729&lt;&gt;"",'Data Source'!S729="A+"),IF('Data Source'!AA729&gt;=5,"A+",IF('Data Source'!AA729&gt;=4,"A",IF('Data Source'!AA729&gt;=3.5,"A-",IF('Data Source'!AA729&gt;=3,"B",IF('Data Source'!AA729&gt;=2,"C",IF('Data Source'!AA729&gt;=1,"D","F")))))),"")</f>
        <v/>
      </c>
      <c r="J729" s="3">
        <f>IF(AND('Data Source'!B729&lt;&gt;"",'Data Source'!S729="A+"),IF('Data Source'!AB729&gt;=5,"A+",IF('Data Source'!AB729&gt;=4,"A",IF('Data Source'!AB729&gt;=3.5,"A-",IF('Data Source'!AB729&gt;=3,"B",IF('Data Source'!AB729&gt;=2,"C",IF('Data Source'!AB729&gt;=1,"D","F")))))),"")</f>
        <v/>
      </c>
      <c r="K729" s="3">
        <f>IF(AND('Data Source'!B729&lt;&gt;"",'Data Source'!S729="A+"),IF('Data Source'!AC729&gt;=5,"A+",IF('Data Source'!AC729&gt;=4,"A",IF('Data Source'!AC729&gt;=3.5,"A-",IF('Data Source'!AC729&gt;=3,"B",IF('Data Source'!AC729&gt;=2,"C",IF('Data Source'!AC729&gt;=1,"D","F")))))),"")</f>
        <v/>
      </c>
      <c r="L729" s="3">
        <f>IF(AND('Data Source'!B729&lt;&gt;"",'Data Source'!S729="A+"),IF('Data Source'!AD729&gt;=5,"A+",IF('Data Source'!AD729&gt;=4,"A",IF('Data Source'!AD729&gt;=3.5,"A-",IF('Data Source'!AD729&gt;=3,"B",IF('Data Source'!AD729&gt;=2,"C",IF('Data Source'!AD729&gt;=1,"D","F")))))),"")</f>
        <v/>
      </c>
      <c r="M729" s="3">
        <f>IF(AND('Data Source'!B729&lt;&gt;"",'Data Source'!S729="A+"),IF('Data Source'!AE729&gt;=5,"A+",IF('Data Source'!AE729&gt;=4,"A",IF('Data Source'!AE729&gt;=3.5,"A-",IF('Data Source'!AE729&gt;=3,"B",IF('Data Source'!AE729&gt;=2,"C",IF('Data Source'!AE729&gt;=1,"D","F")))))),"")</f>
        <v/>
      </c>
      <c r="N729" s="3">
        <f>IF(AND('Data Source'!B729&lt;&gt;"",'Data Source'!S729="A+"),IF('Data Source'!AF729&gt;=5,"A+",IF('Data Source'!AF729&gt;=4,"A",IF('Data Source'!AF729&gt;=3.5,"A-",IF('Data Source'!AF729&gt;=3,"B",IF('Data Source'!AF729&gt;=2,"C",IF('Data Source'!AF729&gt;=1,"D","F")))))),"")</f>
        <v/>
      </c>
      <c r="O729" s="3">
        <f>IF(AND('Data Source'!B729&lt;&gt;"",'Data Source'!S729="A+"),IF('Data Source'!AG729&gt;=5,"A+",IF('Data Source'!AG729&gt;=4,"A",IF('Data Source'!AG729&gt;=3.5,"A-",IF('Data Source'!AG729&gt;=3,"B",IF('Data Source'!AG729&gt;=2,"C",IF('Data Source'!AG729&gt;=1,"D","F")))))),"")</f>
        <v/>
      </c>
      <c r="P729" s="5">
        <f>IF(AND('Data Source'!B729&lt;&gt;"",'Data Source'!S729="A+"),'Data Source'!R729,"")</f>
        <v/>
      </c>
      <c r="Q729" s="3">
        <f>IF(AND('Data Source'!B729&lt;&gt;"",'Data Source'!S729="A+"),'Data Source'!S729,"")</f>
        <v/>
      </c>
    </row>
    <row r="730">
      <c r="A730" s="3">
        <f>IF(AND('Data Source'!B730&lt;&gt;"",'Data Source'!S730="A+"),COUNTIF('Data Source'!$S$3:S730,"A+"),"")</f>
        <v/>
      </c>
      <c r="B730">
        <f>IF(AND('Data Source'!B730&lt;&gt;"",'Data Source'!S730="A+"),'Data Source'!B730,"")</f>
        <v/>
      </c>
      <c r="C730" s="3">
        <f>IF(AND('Data Source'!B730&lt;&gt;"",'Data Source'!S730="A+"),IF('Data Source'!U730&gt;=5,"A+",IF('Data Source'!U730&gt;=4,"A",IF('Data Source'!U730&gt;=3.5,"A-",IF('Data Source'!U730&gt;=3,"B",IF('Data Source'!U730&gt;=2,"C",IF('Data Source'!U730&gt;=1,"D","F")))))),"")</f>
        <v/>
      </c>
      <c r="D730" s="3">
        <f>IF(AND('Data Source'!B730&lt;&gt;"",'Data Source'!S730="A+"),IF('Data Source'!V730&gt;=5,"A+",IF('Data Source'!V730&gt;=4,"A",IF('Data Source'!V730&gt;=3.5,"A-",IF('Data Source'!V730&gt;=3,"B",IF('Data Source'!V730&gt;=2,"C",IF('Data Source'!V730&gt;=1,"D","F")))))),"")</f>
        <v/>
      </c>
      <c r="E730" s="3">
        <f>IF(AND('Data Source'!B730&lt;&gt;"",'Data Source'!S730="A+"),IF('Data Source'!W730&gt;=5,"A+",IF('Data Source'!W730&gt;=4,"A",IF('Data Source'!W730&gt;=3.5,"A-",IF('Data Source'!W730&gt;=3,"B",IF('Data Source'!W730&gt;=2,"C",IF('Data Source'!W730&gt;=1,"D","F")))))),"")</f>
        <v/>
      </c>
      <c r="F730" s="3">
        <f>IF(AND('Data Source'!B730&lt;&gt;"",'Data Source'!S730="A+"),IF('Data Source'!X730&gt;=5,"A+",IF('Data Source'!X730&gt;=4,"A",IF('Data Source'!X730&gt;=3.5,"A-",IF('Data Source'!X730&gt;=3,"B",IF('Data Source'!X730&gt;=2,"C",IF('Data Source'!X730&gt;=1,"D","F")))))),"")</f>
        <v/>
      </c>
      <c r="G730" s="3">
        <f>IF(AND('Data Source'!B730&lt;&gt;"",'Data Source'!S730="A+"),IF('Data Source'!Y730&gt;=5,"A+",IF('Data Source'!Y730&gt;=4,"A",IF('Data Source'!Y730&gt;=3.5,"A-",IF('Data Source'!Y730&gt;=3,"B",IF('Data Source'!Y730&gt;=2,"C",IF('Data Source'!Y730&gt;=1,"D","F")))))),"")</f>
        <v/>
      </c>
      <c r="H730" s="3">
        <f>IF(AND('Data Source'!B730&lt;&gt;"",'Data Source'!S730="A+"),IF('Data Source'!Z730&gt;=5,"A+",IF('Data Source'!Z730&gt;=4,"A",IF('Data Source'!Z730&gt;=3.5,"A-",IF('Data Source'!Z730&gt;=3,"B",IF('Data Source'!Z730&gt;=2,"C",IF('Data Source'!Z730&gt;=1,"D","F")))))),"")</f>
        <v/>
      </c>
      <c r="I730" s="3">
        <f>IF(AND('Data Source'!B730&lt;&gt;"",'Data Source'!S730="A+"),IF('Data Source'!AA730&gt;=5,"A+",IF('Data Source'!AA730&gt;=4,"A",IF('Data Source'!AA730&gt;=3.5,"A-",IF('Data Source'!AA730&gt;=3,"B",IF('Data Source'!AA730&gt;=2,"C",IF('Data Source'!AA730&gt;=1,"D","F")))))),"")</f>
        <v/>
      </c>
      <c r="J730" s="3">
        <f>IF(AND('Data Source'!B730&lt;&gt;"",'Data Source'!S730="A+"),IF('Data Source'!AB730&gt;=5,"A+",IF('Data Source'!AB730&gt;=4,"A",IF('Data Source'!AB730&gt;=3.5,"A-",IF('Data Source'!AB730&gt;=3,"B",IF('Data Source'!AB730&gt;=2,"C",IF('Data Source'!AB730&gt;=1,"D","F")))))),"")</f>
        <v/>
      </c>
      <c r="K730" s="3">
        <f>IF(AND('Data Source'!B730&lt;&gt;"",'Data Source'!S730="A+"),IF('Data Source'!AC730&gt;=5,"A+",IF('Data Source'!AC730&gt;=4,"A",IF('Data Source'!AC730&gt;=3.5,"A-",IF('Data Source'!AC730&gt;=3,"B",IF('Data Source'!AC730&gt;=2,"C",IF('Data Source'!AC730&gt;=1,"D","F")))))),"")</f>
        <v/>
      </c>
      <c r="L730" s="3">
        <f>IF(AND('Data Source'!B730&lt;&gt;"",'Data Source'!S730="A+"),IF('Data Source'!AD730&gt;=5,"A+",IF('Data Source'!AD730&gt;=4,"A",IF('Data Source'!AD730&gt;=3.5,"A-",IF('Data Source'!AD730&gt;=3,"B",IF('Data Source'!AD730&gt;=2,"C",IF('Data Source'!AD730&gt;=1,"D","F")))))),"")</f>
        <v/>
      </c>
      <c r="M730" s="3">
        <f>IF(AND('Data Source'!B730&lt;&gt;"",'Data Source'!S730="A+"),IF('Data Source'!AE730&gt;=5,"A+",IF('Data Source'!AE730&gt;=4,"A",IF('Data Source'!AE730&gt;=3.5,"A-",IF('Data Source'!AE730&gt;=3,"B",IF('Data Source'!AE730&gt;=2,"C",IF('Data Source'!AE730&gt;=1,"D","F")))))),"")</f>
        <v/>
      </c>
      <c r="N730" s="3">
        <f>IF(AND('Data Source'!B730&lt;&gt;"",'Data Source'!S730="A+"),IF('Data Source'!AF730&gt;=5,"A+",IF('Data Source'!AF730&gt;=4,"A",IF('Data Source'!AF730&gt;=3.5,"A-",IF('Data Source'!AF730&gt;=3,"B",IF('Data Source'!AF730&gt;=2,"C",IF('Data Source'!AF730&gt;=1,"D","F")))))),"")</f>
        <v/>
      </c>
      <c r="O730" s="3">
        <f>IF(AND('Data Source'!B730&lt;&gt;"",'Data Source'!S730="A+"),IF('Data Source'!AG730&gt;=5,"A+",IF('Data Source'!AG730&gt;=4,"A",IF('Data Source'!AG730&gt;=3.5,"A-",IF('Data Source'!AG730&gt;=3,"B",IF('Data Source'!AG730&gt;=2,"C",IF('Data Source'!AG730&gt;=1,"D","F")))))),"")</f>
        <v/>
      </c>
      <c r="P730" s="5">
        <f>IF(AND('Data Source'!B730&lt;&gt;"",'Data Source'!S730="A+"),'Data Source'!R730,"")</f>
        <v/>
      </c>
      <c r="Q730" s="3">
        <f>IF(AND('Data Source'!B730&lt;&gt;"",'Data Source'!S730="A+"),'Data Source'!S730,"")</f>
        <v/>
      </c>
    </row>
    <row r="731">
      <c r="A731" s="3">
        <f>IF(AND('Data Source'!B731&lt;&gt;"",'Data Source'!S731="A+"),COUNTIF('Data Source'!$S$3:S731,"A+"),"")</f>
        <v/>
      </c>
      <c r="B731">
        <f>IF(AND('Data Source'!B731&lt;&gt;"",'Data Source'!S731="A+"),'Data Source'!B731,"")</f>
        <v/>
      </c>
      <c r="C731" s="3">
        <f>IF(AND('Data Source'!B731&lt;&gt;"",'Data Source'!S731="A+"),IF('Data Source'!U731&gt;=5,"A+",IF('Data Source'!U731&gt;=4,"A",IF('Data Source'!U731&gt;=3.5,"A-",IF('Data Source'!U731&gt;=3,"B",IF('Data Source'!U731&gt;=2,"C",IF('Data Source'!U731&gt;=1,"D","F")))))),"")</f>
        <v/>
      </c>
      <c r="D731" s="3">
        <f>IF(AND('Data Source'!B731&lt;&gt;"",'Data Source'!S731="A+"),IF('Data Source'!V731&gt;=5,"A+",IF('Data Source'!V731&gt;=4,"A",IF('Data Source'!V731&gt;=3.5,"A-",IF('Data Source'!V731&gt;=3,"B",IF('Data Source'!V731&gt;=2,"C",IF('Data Source'!V731&gt;=1,"D","F")))))),"")</f>
        <v/>
      </c>
      <c r="E731" s="3">
        <f>IF(AND('Data Source'!B731&lt;&gt;"",'Data Source'!S731="A+"),IF('Data Source'!W731&gt;=5,"A+",IF('Data Source'!W731&gt;=4,"A",IF('Data Source'!W731&gt;=3.5,"A-",IF('Data Source'!W731&gt;=3,"B",IF('Data Source'!W731&gt;=2,"C",IF('Data Source'!W731&gt;=1,"D","F")))))),"")</f>
        <v/>
      </c>
      <c r="F731" s="3">
        <f>IF(AND('Data Source'!B731&lt;&gt;"",'Data Source'!S731="A+"),IF('Data Source'!X731&gt;=5,"A+",IF('Data Source'!X731&gt;=4,"A",IF('Data Source'!X731&gt;=3.5,"A-",IF('Data Source'!X731&gt;=3,"B",IF('Data Source'!X731&gt;=2,"C",IF('Data Source'!X731&gt;=1,"D","F")))))),"")</f>
        <v/>
      </c>
      <c r="G731" s="3">
        <f>IF(AND('Data Source'!B731&lt;&gt;"",'Data Source'!S731="A+"),IF('Data Source'!Y731&gt;=5,"A+",IF('Data Source'!Y731&gt;=4,"A",IF('Data Source'!Y731&gt;=3.5,"A-",IF('Data Source'!Y731&gt;=3,"B",IF('Data Source'!Y731&gt;=2,"C",IF('Data Source'!Y731&gt;=1,"D","F")))))),"")</f>
        <v/>
      </c>
      <c r="H731" s="3">
        <f>IF(AND('Data Source'!B731&lt;&gt;"",'Data Source'!S731="A+"),IF('Data Source'!Z731&gt;=5,"A+",IF('Data Source'!Z731&gt;=4,"A",IF('Data Source'!Z731&gt;=3.5,"A-",IF('Data Source'!Z731&gt;=3,"B",IF('Data Source'!Z731&gt;=2,"C",IF('Data Source'!Z731&gt;=1,"D","F")))))),"")</f>
        <v/>
      </c>
      <c r="I731" s="3">
        <f>IF(AND('Data Source'!B731&lt;&gt;"",'Data Source'!S731="A+"),IF('Data Source'!AA731&gt;=5,"A+",IF('Data Source'!AA731&gt;=4,"A",IF('Data Source'!AA731&gt;=3.5,"A-",IF('Data Source'!AA731&gt;=3,"B",IF('Data Source'!AA731&gt;=2,"C",IF('Data Source'!AA731&gt;=1,"D","F")))))),"")</f>
        <v/>
      </c>
      <c r="J731" s="3">
        <f>IF(AND('Data Source'!B731&lt;&gt;"",'Data Source'!S731="A+"),IF('Data Source'!AB731&gt;=5,"A+",IF('Data Source'!AB731&gt;=4,"A",IF('Data Source'!AB731&gt;=3.5,"A-",IF('Data Source'!AB731&gt;=3,"B",IF('Data Source'!AB731&gt;=2,"C",IF('Data Source'!AB731&gt;=1,"D","F")))))),"")</f>
        <v/>
      </c>
      <c r="K731" s="3">
        <f>IF(AND('Data Source'!B731&lt;&gt;"",'Data Source'!S731="A+"),IF('Data Source'!AC731&gt;=5,"A+",IF('Data Source'!AC731&gt;=4,"A",IF('Data Source'!AC731&gt;=3.5,"A-",IF('Data Source'!AC731&gt;=3,"B",IF('Data Source'!AC731&gt;=2,"C",IF('Data Source'!AC731&gt;=1,"D","F")))))),"")</f>
        <v/>
      </c>
      <c r="L731" s="3">
        <f>IF(AND('Data Source'!B731&lt;&gt;"",'Data Source'!S731="A+"),IF('Data Source'!AD731&gt;=5,"A+",IF('Data Source'!AD731&gt;=4,"A",IF('Data Source'!AD731&gt;=3.5,"A-",IF('Data Source'!AD731&gt;=3,"B",IF('Data Source'!AD731&gt;=2,"C",IF('Data Source'!AD731&gt;=1,"D","F")))))),"")</f>
        <v/>
      </c>
      <c r="M731" s="3">
        <f>IF(AND('Data Source'!B731&lt;&gt;"",'Data Source'!S731="A+"),IF('Data Source'!AE731&gt;=5,"A+",IF('Data Source'!AE731&gt;=4,"A",IF('Data Source'!AE731&gt;=3.5,"A-",IF('Data Source'!AE731&gt;=3,"B",IF('Data Source'!AE731&gt;=2,"C",IF('Data Source'!AE731&gt;=1,"D","F")))))),"")</f>
        <v/>
      </c>
      <c r="N731" s="3">
        <f>IF(AND('Data Source'!B731&lt;&gt;"",'Data Source'!S731="A+"),IF('Data Source'!AF731&gt;=5,"A+",IF('Data Source'!AF731&gt;=4,"A",IF('Data Source'!AF731&gt;=3.5,"A-",IF('Data Source'!AF731&gt;=3,"B",IF('Data Source'!AF731&gt;=2,"C",IF('Data Source'!AF731&gt;=1,"D","F")))))),"")</f>
        <v/>
      </c>
      <c r="O731" s="3">
        <f>IF(AND('Data Source'!B731&lt;&gt;"",'Data Source'!S731="A+"),IF('Data Source'!AG731&gt;=5,"A+",IF('Data Source'!AG731&gt;=4,"A",IF('Data Source'!AG731&gt;=3.5,"A-",IF('Data Source'!AG731&gt;=3,"B",IF('Data Source'!AG731&gt;=2,"C",IF('Data Source'!AG731&gt;=1,"D","F")))))),"")</f>
        <v/>
      </c>
      <c r="P731" s="5">
        <f>IF(AND('Data Source'!B731&lt;&gt;"",'Data Source'!S731="A+"),'Data Source'!R731,"")</f>
        <v/>
      </c>
      <c r="Q731" s="3">
        <f>IF(AND('Data Source'!B731&lt;&gt;"",'Data Source'!S731="A+"),'Data Source'!S731,"")</f>
        <v/>
      </c>
    </row>
    <row r="732">
      <c r="A732" s="3">
        <f>IF(AND('Data Source'!B732&lt;&gt;"",'Data Source'!S732="A+"),COUNTIF('Data Source'!$S$3:S732,"A+"),"")</f>
        <v/>
      </c>
      <c r="B732">
        <f>IF(AND('Data Source'!B732&lt;&gt;"",'Data Source'!S732="A+"),'Data Source'!B732,"")</f>
        <v/>
      </c>
      <c r="C732" s="3">
        <f>IF(AND('Data Source'!B732&lt;&gt;"",'Data Source'!S732="A+"),IF('Data Source'!U732&gt;=5,"A+",IF('Data Source'!U732&gt;=4,"A",IF('Data Source'!U732&gt;=3.5,"A-",IF('Data Source'!U732&gt;=3,"B",IF('Data Source'!U732&gt;=2,"C",IF('Data Source'!U732&gt;=1,"D","F")))))),"")</f>
        <v/>
      </c>
      <c r="D732" s="3">
        <f>IF(AND('Data Source'!B732&lt;&gt;"",'Data Source'!S732="A+"),IF('Data Source'!V732&gt;=5,"A+",IF('Data Source'!V732&gt;=4,"A",IF('Data Source'!V732&gt;=3.5,"A-",IF('Data Source'!V732&gt;=3,"B",IF('Data Source'!V732&gt;=2,"C",IF('Data Source'!V732&gt;=1,"D","F")))))),"")</f>
        <v/>
      </c>
      <c r="E732" s="3">
        <f>IF(AND('Data Source'!B732&lt;&gt;"",'Data Source'!S732="A+"),IF('Data Source'!W732&gt;=5,"A+",IF('Data Source'!W732&gt;=4,"A",IF('Data Source'!W732&gt;=3.5,"A-",IF('Data Source'!W732&gt;=3,"B",IF('Data Source'!W732&gt;=2,"C",IF('Data Source'!W732&gt;=1,"D","F")))))),"")</f>
        <v/>
      </c>
      <c r="F732" s="3">
        <f>IF(AND('Data Source'!B732&lt;&gt;"",'Data Source'!S732="A+"),IF('Data Source'!X732&gt;=5,"A+",IF('Data Source'!X732&gt;=4,"A",IF('Data Source'!X732&gt;=3.5,"A-",IF('Data Source'!X732&gt;=3,"B",IF('Data Source'!X732&gt;=2,"C",IF('Data Source'!X732&gt;=1,"D","F")))))),"")</f>
        <v/>
      </c>
      <c r="G732" s="3">
        <f>IF(AND('Data Source'!B732&lt;&gt;"",'Data Source'!S732="A+"),IF('Data Source'!Y732&gt;=5,"A+",IF('Data Source'!Y732&gt;=4,"A",IF('Data Source'!Y732&gt;=3.5,"A-",IF('Data Source'!Y732&gt;=3,"B",IF('Data Source'!Y732&gt;=2,"C",IF('Data Source'!Y732&gt;=1,"D","F")))))),"")</f>
        <v/>
      </c>
      <c r="H732" s="3">
        <f>IF(AND('Data Source'!B732&lt;&gt;"",'Data Source'!S732="A+"),IF('Data Source'!Z732&gt;=5,"A+",IF('Data Source'!Z732&gt;=4,"A",IF('Data Source'!Z732&gt;=3.5,"A-",IF('Data Source'!Z732&gt;=3,"B",IF('Data Source'!Z732&gt;=2,"C",IF('Data Source'!Z732&gt;=1,"D","F")))))),"")</f>
        <v/>
      </c>
      <c r="I732" s="3">
        <f>IF(AND('Data Source'!B732&lt;&gt;"",'Data Source'!S732="A+"),IF('Data Source'!AA732&gt;=5,"A+",IF('Data Source'!AA732&gt;=4,"A",IF('Data Source'!AA732&gt;=3.5,"A-",IF('Data Source'!AA732&gt;=3,"B",IF('Data Source'!AA732&gt;=2,"C",IF('Data Source'!AA732&gt;=1,"D","F")))))),"")</f>
        <v/>
      </c>
      <c r="J732" s="3">
        <f>IF(AND('Data Source'!B732&lt;&gt;"",'Data Source'!S732="A+"),IF('Data Source'!AB732&gt;=5,"A+",IF('Data Source'!AB732&gt;=4,"A",IF('Data Source'!AB732&gt;=3.5,"A-",IF('Data Source'!AB732&gt;=3,"B",IF('Data Source'!AB732&gt;=2,"C",IF('Data Source'!AB732&gt;=1,"D","F")))))),"")</f>
        <v/>
      </c>
      <c r="K732" s="3">
        <f>IF(AND('Data Source'!B732&lt;&gt;"",'Data Source'!S732="A+"),IF('Data Source'!AC732&gt;=5,"A+",IF('Data Source'!AC732&gt;=4,"A",IF('Data Source'!AC732&gt;=3.5,"A-",IF('Data Source'!AC732&gt;=3,"B",IF('Data Source'!AC732&gt;=2,"C",IF('Data Source'!AC732&gt;=1,"D","F")))))),"")</f>
        <v/>
      </c>
      <c r="L732" s="3">
        <f>IF(AND('Data Source'!B732&lt;&gt;"",'Data Source'!S732="A+"),IF('Data Source'!AD732&gt;=5,"A+",IF('Data Source'!AD732&gt;=4,"A",IF('Data Source'!AD732&gt;=3.5,"A-",IF('Data Source'!AD732&gt;=3,"B",IF('Data Source'!AD732&gt;=2,"C",IF('Data Source'!AD732&gt;=1,"D","F")))))),"")</f>
        <v/>
      </c>
      <c r="M732" s="3">
        <f>IF(AND('Data Source'!B732&lt;&gt;"",'Data Source'!S732="A+"),IF('Data Source'!AE732&gt;=5,"A+",IF('Data Source'!AE732&gt;=4,"A",IF('Data Source'!AE732&gt;=3.5,"A-",IF('Data Source'!AE732&gt;=3,"B",IF('Data Source'!AE732&gt;=2,"C",IF('Data Source'!AE732&gt;=1,"D","F")))))),"")</f>
        <v/>
      </c>
      <c r="N732" s="3">
        <f>IF(AND('Data Source'!B732&lt;&gt;"",'Data Source'!S732="A+"),IF('Data Source'!AF732&gt;=5,"A+",IF('Data Source'!AF732&gt;=4,"A",IF('Data Source'!AF732&gt;=3.5,"A-",IF('Data Source'!AF732&gt;=3,"B",IF('Data Source'!AF732&gt;=2,"C",IF('Data Source'!AF732&gt;=1,"D","F")))))),"")</f>
        <v/>
      </c>
      <c r="O732" s="3">
        <f>IF(AND('Data Source'!B732&lt;&gt;"",'Data Source'!S732="A+"),IF('Data Source'!AG732&gt;=5,"A+",IF('Data Source'!AG732&gt;=4,"A",IF('Data Source'!AG732&gt;=3.5,"A-",IF('Data Source'!AG732&gt;=3,"B",IF('Data Source'!AG732&gt;=2,"C",IF('Data Source'!AG732&gt;=1,"D","F")))))),"")</f>
        <v/>
      </c>
      <c r="P732" s="5">
        <f>IF(AND('Data Source'!B732&lt;&gt;"",'Data Source'!S732="A+"),'Data Source'!R732,"")</f>
        <v/>
      </c>
      <c r="Q732" s="3">
        <f>IF(AND('Data Source'!B732&lt;&gt;"",'Data Source'!S732="A+"),'Data Source'!S732,"")</f>
        <v/>
      </c>
    </row>
    <row r="733">
      <c r="A733" s="3">
        <f>IF(AND('Data Source'!B733&lt;&gt;"",'Data Source'!S733="A+"),COUNTIF('Data Source'!$S$3:S733,"A+"),"")</f>
        <v/>
      </c>
      <c r="B733">
        <f>IF(AND('Data Source'!B733&lt;&gt;"",'Data Source'!S733="A+"),'Data Source'!B733,"")</f>
        <v/>
      </c>
      <c r="C733" s="3">
        <f>IF(AND('Data Source'!B733&lt;&gt;"",'Data Source'!S733="A+"),IF('Data Source'!U733&gt;=5,"A+",IF('Data Source'!U733&gt;=4,"A",IF('Data Source'!U733&gt;=3.5,"A-",IF('Data Source'!U733&gt;=3,"B",IF('Data Source'!U733&gt;=2,"C",IF('Data Source'!U733&gt;=1,"D","F")))))),"")</f>
        <v/>
      </c>
      <c r="D733" s="3">
        <f>IF(AND('Data Source'!B733&lt;&gt;"",'Data Source'!S733="A+"),IF('Data Source'!V733&gt;=5,"A+",IF('Data Source'!V733&gt;=4,"A",IF('Data Source'!V733&gt;=3.5,"A-",IF('Data Source'!V733&gt;=3,"B",IF('Data Source'!V733&gt;=2,"C",IF('Data Source'!V733&gt;=1,"D","F")))))),"")</f>
        <v/>
      </c>
      <c r="E733" s="3">
        <f>IF(AND('Data Source'!B733&lt;&gt;"",'Data Source'!S733="A+"),IF('Data Source'!W733&gt;=5,"A+",IF('Data Source'!W733&gt;=4,"A",IF('Data Source'!W733&gt;=3.5,"A-",IF('Data Source'!W733&gt;=3,"B",IF('Data Source'!W733&gt;=2,"C",IF('Data Source'!W733&gt;=1,"D","F")))))),"")</f>
        <v/>
      </c>
      <c r="F733" s="3">
        <f>IF(AND('Data Source'!B733&lt;&gt;"",'Data Source'!S733="A+"),IF('Data Source'!X733&gt;=5,"A+",IF('Data Source'!X733&gt;=4,"A",IF('Data Source'!X733&gt;=3.5,"A-",IF('Data Source'!X733&gt;=3,"B",IF('Data Source'!X733&gt;=2,"C",IF('Data Source'!X733&gt;=1,"D","F")))))),"")</f>
        <v/>
      </c>
      <c r="G733" s="3">
        <f>IF(AND('Data Source'!B733&lt;&gt;"",'Data Source'!S733="A+"),IF('Data Source'!Y733&gt;=5,"A+",IF('Data Source'!Y733&gt;=4,"A",IF('Data Source'!Y733&gt;=3.5,"A-",IF('Data Source'!Y733&gt;=3,"B",IF('Data Source'!Y733&gt;=2,"C",IF('Data Source'!Y733&gt;=1,"D","F")))))),"")</f>
        <v/>
      </c>
      <c r="H733" s="3">
        <f>IF(AND('Data Source'!B733&lt;&gt;"",'Data Source'!S733="A+"),IF('Data Source'!Z733&gt;=5,"A+",IF('Data Source'!Z733&gt;=4,"A",IF('Data Source'!Z733&gt;=3.5,"A-",IF('Data Source'!Z733&gt;=3,"B",IF('Data Source'!Z733&gt;=2,"C",IF('Data Source'!Z733&gt;=1,"D","F")))))),"")</f>
        <v/>
      </c>
      <c r="I733" s="3">
        <f>IF(AND('Data Source'!B733&lt;&gt;"",'Data Source'!S733="A+"),IF('Data Source'!AA733&gt;=5,"A+",IF('Data Source'!AA733&gt;=4,"A",IF('Data Source'!AA733&gt;=3.5,"A-",IF('Data Source'!AA733&gt;=3,"B",IF('Data Source'!AA733&gt;=2,"C",IF('Data Source'!AA733&gt;=1,"D","F")))))),"")</f>
        <v/>
      </c>
      <c r="J733" s="3">
        <f>IF(AND('Data Source'!B733&lt;&gt;"",'Data Source'!S733="A+"),IF('Data Source'!AB733&gt;=5,"A+",IF('Data Source'!AB733&gt;=4,"A",IF('Data Source'!AB733&gt;=3.5,"A-",IF('Data Source'!AB733&gt;=3,"B",IF('Data Source'!AB733&gt;=2,"C",IF('Data Source'!AB733&gt;=1,"D","F")))))),"")</f>
        <v/>
      </c>
      <c r="K733" s="3">
        <f>IF(AND('Data Source'!B733&lt;&gt;"",'Data Source'!S733="A+"),IF('Data Source'!AC733&gt;=5,"A+",IF('Data Source'!AC733&gt;=4,"A",IF('Data Source'!AC733&gt;=3.5,"A-",IF('Data Source'!AC733&gt;=3,"B",IF('Data Source'!AC733&gt;=2,"C",IF('Data Source'!AC733&gt;=1,"D","F")))))),"")</f>
        <v/>
      </c>
      <c r="L733" s="3">
        <f>IF(AND('Data Source'!B733&lt;&gt;"",'Data Source'!S733="A+"),IF('Data Source'!AD733&gt;=5,"A+",IF('Data Source'!AD733&gt;=4,"A",IF('Data Source'!AD733&gt;=3.5,"A-",IF('Data Source'!AD733&gt;=3,"B",IF('Data Source'!AD733&gt;=2,"C",IF('Data Source'!AD733&gt;=1,"D","F")))))),"")</f>
        <v/>
      </c>
      <c r="M733" s="3">
        <f>IF(AND('Data Source'!B733&lt;&gt;"",'Data Source'!S733="A+"),IF('Data Source'!AE733&gt;=5,"A+",IF('Data Source'!AE733&gt;=4,"A",IF('Data Source'!AE733&gt;=3.5,"A-",IF('Data Source'!AE733&gt;=3,"B",IF('Data Source'!AE733&gt;=2,"C",IF('Data Source'!AE733&gt;=1,"D","F")))))),"")</f>
        <v/>
      </c>
      <c r="N733" s="3">
        <f>IF(AND('Data Source'!B733&lt;&gt;"",'Data Source'!S733="A+"),IF('Data Source'!AF733&gt;=5,"A+",IF('Data Source'!AF733&gt;=4,"A",IF('Data Source'!AF733&gt;=3.5,"A-",IF('Data Source'!AF733&gt;=3,"B",IF('Data Source'!AF733&gt;=2,"C",IF('Data Source'!AF733&gt;=1,"D","F")))))),"")</f>
        <v/>
      </c>
      <c r="O733" s="3">
        <f>IF(AND('Data Source'!B733&lt;&gt;"",'Data Source'!S733="A+"),IF('Data Source'!AG733&gt;=5,"A+",IF('Data Source'!AG733&gt;=4,"A",IF('Data Source'!AG733&gt;=3.5,"A-",IF('Data Source'!AG733&gt;=3,"B",IF('Data Source'!AG733&gt;=2,"C",IF('Data Source'!AG733&gt;=1,"D","F")))))),"")</f>
        <v/>
      </c>
      <c r="P733" s="5">
        <f>IF(AND('Data Source'!B733&lt;&gt;"",'Data Source'!S733="A+"),'Data Source'!R733,"")</f>
        <v/>
      </c>
      <c r="Q733" s="3">
        <f>IF(AND('Data Source'!B733&lt;&gt;"",'Data Source'!S733="A+"),'Data Source'!S733,"")</f>
        <v/>
      </c>
    </row>
    <row r="734">
      <c r="A734" s="3">
        <f>IF(AND('Data Source'!B734&lt;&gt;"",'Data Source'!S734="A+"),COUNTIF('Data Source'!$S$3:S734,"A+"),"")</f>
        <v/>
      </c>
      <c r="B734">
        <f>IF(AND('Data Source'!B734&lt;&gt;"",'Data Source'!S734="A+"),'Data Source'!B734,"")</f>
        <v/>
      </c>
      <c r="C734" s="3">
        <f>IF(AND('Data Source'!B734&lt;&gt;"",'Data Source'!S734="A+"),IF('Data Source'!U734&gt;=5,"A+",IF('Data Source'!U734&gt;=4,"A",IF('Data Source'!U734&gt;=3.5,"A-",IF('Data Source'!U734&gt;=3,"B",IF('Data Source'!U734&gt;=2,"C",IF('Data Source'!U734&gt;=1,"D","F")))))),"")</f>
        <v/>
      </c>
      <c r="D734" s="3">
        <f>IF(AND('Data Source'!B734&lt;&gt;"",'Data Source'!S734="A+"),IF('Data Source'!V734&gt;=5,"A+",IF('Data Source'!V734&gt;=4,"A",IF('Data Source'!V734&gt;=3.5,"A-",IF('Data Source'!V734&gt;=3,"B",IF('Data Source'!V734&gt;=2,"C",IF('Data Source'!V734&gt;=1,"D","F")))))),"")</f>
        <v/>
      </c>
      <c r="E734" s="3">
        <f>IF(AND('Data Source'!B734&lt;&gt;"",'Data Source'!S734="A+"),IF('Data Source'!W734&gt;=5,"A+",IF('Data Source'!W734&gt;=4,"A",IF('Data Source'!W734&gt;=3.5,"A-",IF('Data Source'!W734&gt;=3,"B",IF('Data Source'!W734&gt;=2,"C",IF('Data Source'!W734&gt;=1,"D","F")))))),"")</f>
        <v/>
      </c>
      <c r="F734" s="3">
        <f>IF(AND('Data Source'!B734&lt;&gt;"",'Data Source'!S734="A+"),IF('Data Source'!X734&gt;=5,"A+",IF('Data Source'!X734&gt;=4,"A",IF('Data Source'!X734&gt;=3.5,"A-",IF('Data Source'!X734&gt;=3,"B",IF('Data Source'!X734&gt;=2,"C",IF('Data Source'!X734&gt;=1,"D","F")))))),"")</f>
        <v/>
      </c>
      <c r="G734" s="3">
        <f>IF(AND('Data Source'!B734&lt;&gt;"",'Data Source'!S734="A+"),IF('Data Source'!Y734&gt;=5,"A+",IF('Data Source'!Y734&gt;=4,"A",IF('Data Source'!Y734&gt;=3.5,"A-",IF('Data Source'!Y734&gt;=3,"B",IF('Data Source'!Y734&gt;=2,"C",IF('Data Source'!Y734&gt;=1,"D","F")))))),"")</f>
        <v/>
      </c>
      <c r="H734" s="3">
        <f>IF(AND('Data Source'!B734&lt;&gt;"",'Data Source'!S734="A+"),IF('Data Source'!Z734&gt;=5,"A+",IF('Data Source'!Z734&gt;=4,"A",IF('Data Source'!Z734&gt;=3.5,"A-",IF('Data Source'!Z734&gt;=3,"B",IF('Data Source'!Z734&gt;=2,"C",IF('Data Source'!Z734&gt;=1,"D","F")))))),"")</f>
        <v/>
      </c>
      <c r="I734" s="3">
        <f>IF(AND('Data Source'!B734&lt;&gt;"",'Data Source'!S734="A+"),IF('Data Source'!AA734&gt;=5,"A+",IF('Data Source'!AA734&gt;=4,"A",IF('Data Source'!AA734&gt;=3.5,"A-",IF('Data Source'!AA734&gt;=3,"B",IF('Data Source'!AA734&gt;=2,"C",IF('Data Source'!AA734&gt;=1,"D","F")))))),"")</f>
        <v/>
      </c>
      <c r="J734" s="3">
        <f>IF(AND('Data Source'!B734&lt;&gt;"",'Data Source'!S734="A+"),IF('Data Source'!AB734&gt;=5,"A+",IF('Data Source'!AB734&gt;=4,"A",IF('Data Source'!AB734&gt;=3.5,"A-",IF('Data Source'!AB734&gt;=3,"B",IF('Data Source'!AB734&gt;=2,"C",IF('Data Source'!AB734&gt;=1,"D","F")))))),"")</f>
        <v/>
      </c>
      <c r="K734" s="3">
        <f>IF(AND('Data Source'!B734&lt;&gt;"",'Data Source'!S734="A+"),IF('Data Source'!AC734&gt;=5,"A+",IF('Data Source'!AC734&gt;=4,"A",IF('Data Source'!AC734&gt;=3.5,"A-",IF('Data Source'!AC734&gt;=3,"B",IF('Data Source'!AC734&gt;=2,"C",IF('Data Source'!AC734&gt;=1,"D","F")))))),"")</f>
        <v/>
      </c>
      <c r="L734" s="3">
        <f>IF(AND('Data Source'!B734&lt;&gt;"",'Data Source'!S734="A+"),IF('Data Source'!AD734&gt;=5,"A+",IF('Data Source'!AD734&gt;=4,"A",IF('Data Source'!AD734&gt;=3.5,"A-",IF('Data Source'!AD734&gt;=3,"B",IF('Data Source'!AD734&gt;=2,"C",IF('Data Source'!AD734&gt;=1,"D","F")))))),"")</f>
        <v/>
      </c>
      <c r="M734" s="3">
        <f>IF(AND('Data Source'!B734&lt;&gt;"",'Data Source'!S734="A+"),IF('Data Source'!AE734&gt;=5,"A+",IF('Data Source'!AE734&gt;=4,"A",IF('Data Source'!AE734&gt;=3.5,"A-",IF('Data Source'!AE734&gt;=3,"B",IF('Data Source'!AE734&gt;=2,"C",IF('Data Source'!AE734&gt;=1,"D","F")))))),"")</f>
        <v/>
      </c>
      <c r="N734" s="3">
        <f>IF(AND('Data Source'!B734&lt;&gt;"",'Data Source'!S734="A+"),IF('Data Source'!AF734&gt;=5,"A+",IF('Data Source'!AF734&gt;=4,"A",IF('Data Source'!AF734&gt;=3.5,"A-",IF('Data Source'!AF734&gt;=3,"B",IF('Data Source'!AF734&gt;=2,"C",IF('Data Source'!AF734&gt;=1,"D","F")))))),"")</f>
        <v/>
      </c>
      <c r="O734" s="3">
        <f>IF(AND('Data Source'!B734&lt;&gt;"",'Data Source'!S734="A+"),IF('Data Source'!AG734&gt;=5,"A+",IF('Data Source'!AG734&gt;=4,"A",IF('Data Source'!AG734&gt;=3.5,"A-",IF('Data Source'!AG734&gt;=3,"B",IF('Data Source'!AG734&gt;=2,"C",IF('Data Source'!AG734&gt;=1,"D","F")))))),"")</f>
        <v/>
      </c>
      <c r="P734" s="5">
        <f>IF(AND('Data Source'!B734&lt;&gt;"",'Data Source'!S734="A+"),'Data Source'!R734,"")</f>
        <v/>
      </c>
      <c r="Q734" s="3">
        <f>IF(AND('Data Source'!B734&lt;&gt;"",'Data Source'!S734="A+"),'Data Source'!S734,"")</f>
        <v/>
      </c>
    </row>
    <row r="735">
      <c r="A735" s="3">
        <f>IF(AND('Data Source'!B735&lt;&gt;"",'Data Source'!S735="A+"),COUNTIF('Data Source'!$S$3:S735,"A+"),"")</f>
        <v/>
      </c>
      <c r="B735">
        <f>IF(AND('Data Source'!B735&lt;&gt;"",'Data Source'!S735="A+"),'Data Source'!B735,"")</f>
        <v/>
      </c>
      <c r="C735" s="3">
        <f>IF(AND('Data Source'!B735&lt;&gt;"",'Data Source'!S735="A+"),IF('Data Source'!U735&gt;=5,"A+",IF('Data Source'!U735&gt;=4,"A",IF('Data Source'!U735&gt;=3.5,"A-",IF('Data Source'!U735&gt;=3,"B",IF('Data Source'!U735&gt;=2,"C",IF('Data Source'!U735&gt;=1,"D","F")))))),"")</f>
        <v/>
      </c>
      <c r="D735" s="3">
        <f>IF(AND('Data Source'!B735&lt;&gt;"",'Data Source'!S735="A+"),IF('Data Source'!V735&gt;=5,"A+",IF('Data Source'!V735&gt;=4,"A",IF('Data Source'!V735&gt;=3.5,"A-",IF('Data Source'!V735&gt;=3,"B",IF('Data Source'!V735&gt;=2,"C",IF('Data Source'!V735&gt;=1,"D","F")))))),"")</f>
        <v/>
      </c>
      <c r="E735" s="3">
        <f>IF(AND('Data Source'!B735&lt;&gt;"",'Data Source'!S735="A+"),IF('Data Source'!W735&gt;=5,"A+",IF('Data Source'!W735&gt;=4,"A",IF('Data Source'!W735&gt;=3.5,"A-",IF('Data Source'!W735&gt;=3,"B",IF('Data Source'!W735&gt;=2,"C",IF('Data Source'!W735&gt;=1,"D","F")))))),"")</f>
        <v/>
      </c>
      <c r="F735" s="3">
        <f>IF(AND('Data Source'!B735&lt;&gt;"",'Data Source'!S735="A+"),IF('Data Source'!X735&gt;=5,"A+",IF('Data Source'!X735&gt;=4,"A",IF('Data Source'!X735&gt;=3.5,"A-",IF('Data Source'!X735&gt;=3,"B",IF('Data Source'!X735&gt;=2,"C",IF('Data Source'!X735&gt;=1,"D","F")))))),"")</f>
        <v/>
      </c>
      <c r="G735" s="3">
        <f>IF(AND('Data Source'!B735&lt;&gt;"",'Data Source'!S735="A+"),IF('Data Source'!Y735&gt;=5,"A+",IF('Data Source'!Y735&gt;=4,"A",IF('Data Source'!Y735&gt;=3.5,"A-",IF('Data Source'!Y735&gt;=3,"B",IF('Data Source'!Y735&gt;=2,"C",IF('Data Source'!Y735&gt;=1,"D","F")))))),"")</f>
        <v/>
      </c>
      <c r="H735" s="3">
        <f>IF(AND('Data Source'!B735&lt;&gt;"",'Data Source'!S735="A+"),IF('Data Source'!Z735&gt;=5,"A+",IF('Data Source'!Z735&gt;=4,"A",IF('Data Source'!Z735&gt;=3.5,"A-",IF('Data Source'!Z735&gt;=3,"B",IF('Data Source'!Z735&gt;=2,"C",IF('Data Source'!Z735&gt;=1,"D","F")))))),"")</f>
        <v/>
      </c>
      <c r="I735" s="3">
        <f>IF(AND('Data Source'!B735&lt;&gt;"",'Data Source'!S735="A+"),IF('Data Source'!AA735&gt;=5,"A+",IF('Data Source'!AA735&gt;=4,"A",IF('Data Source'!AA735&gt;=3.5,"A-",IF('Data Source'!AA735&gt;=3,"B",IF('Data Source'!AA735&gt;=2,"C",IF('Data Source'!AA735&gt;=1,"D","F")))))),"")</f>
        <v/>
      </c>
      <c r="J735" s="3">
        <f>IF(AND('Data Source'!B735&lt;&gt;"",'Data Source'!S735="A+"),IF('Data Source'!AB735&gt;=5,"A+",IF('Data Source'!AB735&gt;=4,"A",IF('Data Source'!AB735&gt;=3.5,"A-",IF('Data Source'!AB735&gt;=3,"B",IF('Data Source'!AB735&gt;=2,"C",IF('Data Source'!AB735&gt;=1,"D","F")))))),"")</f>
        <v/>
      </c>
      <c r="K735" s="3">
        <f>IF(AND('Data Source'!B735&lt;&gt;"",'Data Source'!S735="A+"),IF('Data Source'!AC735&gt;=5,"A+",IF('Data Source'!AC735&gt;=4,"A",IF('Data Source'!AC735&gt;=3.5,"A-",IF('Data Source'!AC735&gt;=3,"B",IF('Data Source'!AC735&gt;=2,"C",IF('Data Source'!AC735&gt;=1,"D","F")))))),"")</f>
        <v/>
      </c>
      <c r="L735" s="3">
        <f>IF(AND('Data Source'!B735&lt;&gt;"",'Data Source'!S735="A+"),IF('Data Source'!AD735&gt;=5,"A+",IF('Data Source'!AD735&gt;=4,"A",IF('Data Source'!AD735&gt;=3.5,"A-",IF('Data Source'!AD735&gt;=3,"B",IF('Data Source'!AD735&gt;=2,"C",IF('Data Source'!AD735&gt;=1,"D","F")))))),"")</f>
        <v/>
      </c>
      <c r="M735" s="3">
        <f>IF(AND('Data Source'!B735&lt;&gt;"",'Data Source'!S735="A+"),IF('Data Source'!AE735&gt;=5,"A+",IF('Data Source'!AE735&gt;=4,"A",IF('Data Source'!AE735&gt;=3.5,"A-",IF('Data Source'!AE735&gt;=3,"B",IF('Data Source'!AE735&gt;=2,"C",IF('Data Source'!AE735&gt;=1,"D","F")))))),"")</f>
        <v/>
      </c>
      <c r="N735" s="3">
        <f>IF(AND('Data Source'!B735&lt;&gt;"",'Data Source'!S735="A+"),IF('Data Source'!AF735&gt;=5,"A+",IF('Data Source'!AF735&gt;=4,"A",IF('Data Source'!AF735&gt;=3.5,"A-",IF('Data Source'!AF735&gt;=3,"B",IF('Data Source'!AF735&gt;=2,"C",IF('Data Source'!AF735&gt;=1,"D","F")))))),"")</f>
        <v/>
      </c>
      <c r="O735" s="3">
        <f>IF(AND('Data Source'!B735&lt;&gt;"",'Data Source'!S735="A+"),IF('Data Source'!AG735&gt;=5,"A+",IF('Data Source'!AG735&gt;=4,"A",IF('Data Source'!AG735&gt;=3.5,"A-",IF('Data Source'!AG735&gt;=3,"B",IF('Data Source'!AG735&gt;=2,"C",IF('Data Source'!AG735&gt;=1,"D","F")))))),"")</f>
        <v/>
      </c>
      <c r="P735" s="5">
        <f>IF(AND('Data Source'!B735&lt;&gt;"",'Data Source'!S735="A+"),'Data Source'!R735,"")</f>
        <v/>
      </c>
      <c r="Q735" s="3">
        <f>IF(AND('Data Source'!B735&lt;&gt;"",'Data Source'!S735="A+"),'Data Source'!S735,"")</f>
        <v/>
      </c>
    </row>
    <row r="736">
      <c r="A736" s="3">
        <f>IF(AND('Data Source'!B736&lt;&gt;"",'Data Source'!S736="A+"),COUNTIF('Data Source'!$S$3:S736,"A+"),"")</f>
        <v/>
      </c>
      <c r="B736">
        <f>IF(AND('Data Source'!B736&lt;&gt;"",'Data Source'!S736="A+"),'Data Source'!B736,"")</f>
        <v/>
      </c>
      <c r="C736" s="3">
        <f>IF(AND('Data Source'!B736&lt;&gt;"",'Data Source'!S736="A+"),IF('Data Source'!U736&gt;=5,"A+",IF('Data Source'!U736&gt;=4,"A",IF('Data Source'!U736&gt;=3.5,"A-",IF('Data Source'!U736&gt;=3,"B",IF('Data Source'!U736&gt;=2,"C",IF('Data Source'!U736&gt;=1,"D","F")))))),"")</f>
        <v/>
      </c>
      <c r="D736" s="3">
        <f>IF(AND('Data Source'!B736&lt;&gt;"",'Data Source'!S736="A+"),IF('Data Source'!V736&gt;=5,"A+",IF('Data Source'!V736&gt;=4,"A",IF('Data Source'!V736&gt;=3.5,"A-",IF('Data Source'!V736&gt;=3,"B",IF('Data Source'!V736&gt;=2,"C",IF('Data Source'!V736&gt;=1,"D","F")))))),"")</f>
        <v/>
      </c>
      <c r="E736" s="3">
        <f>IF(AND('Data Source'!B736&lt;&gt;"",'Data Source'!S736="A+"),IF('Data Source'!W736&gt;=5,"A+",IF('Data Source'!W736&gt;=4,"A",IF('Data Source'!W736&gt;=3.5,"A-",IF('Data Source'!W736&gt;=3,"B",IF('Data Source'!W736&gt;=2,"C",IF('Data Source'!W736&gt;=1,"D","F")))))),"")</f>
        <v/>
      </c>
      <c r="F736" s="3">
        <f>IF(AND('Data Source'!B736&lt;&gt;"",'Data Source'!S736="A+"),IF('Data Source'!X736&gt;=5,"A+",IF('Data Source'!X736&gt;=4,"A",IF('Data Source'!X736&gt;=3.5,"A-",IF('Data Source'!X736&gt;=3,"B",IF('Data Source'!X736&gt;=2,"C",IF('Data Source'!X736&gt;=1,"D","F")))))),"")</f>
        <v/>
      </c>
      <c r="G736" s="3">
        <f>IF(AND('Data Source'!B736&lt;&gt;"",'Data Source'!S736="A+"),IF('Data Source'!Y736&gt;=5,"A+",IF('Data Source'!Y736&gt;=4,"A",IF('Data Source'!Y736&gt;=3.5,"A-",IF('Data Source'!Y736&gt;=3,"B",IF('Data Source'!Y736&gt;=2,"C",IF('Data Source'!Y736&gt;=1,"D","F")))))),"")</f>
        <v/>
      </c>
      <c r="H736" s="3">
        <f>IF(AND('Data Source'!B736&lt;&gt;"",'Data Source'!S736="A+"),IF('Data Source'!Z736&gt;=5,"A+",IF('Data Source'!Z736&gt;=4,"A",IF('Data Source'!Z736&gt;=3.5,"A-",IF('Data Source'!Z736&gt;=3,"B",IF('Data Source'!Z736&gt;=2,"C",IF('Data Source'!Z736&gt;=1,"D","F")))))),"")</f>
        <v/>
      </c>
      <c r="I736" s="3">
        <f>IF(AND('Data Source'!B736&lt;&gt;"",'Data Source'!S736="A+"),IF('Data Source'!AA736&gt;=5,"A+",IF('Data Source'!AA736&gt;=4,"A",IF('Data Source'!AA736&gt;=3.5,"A-",IF('Data Source'!AA736&gt;=3,"B",IF('Data Source'!AA736&gt;=2,"C",IF('Data Source'!AA736&gt;=1,"D","F")))))),"")</f>
        <v/>
      </c>
      <c r="J736" s="3">
        <f>IF(AND('Data Source'!B736&lt;&gt;"",'Data Source'!S736="A+"),IF('Data Source'!AB736&gt;=5,"A+",IF('Data Source'!AB736&gt;=4,"A",IF('Data Source'!AB736&gt;=3.5,"A-",IF('Data Source'!AB736&gt;=3,"B",IF('Data Source'!AB736&gt;=2,"C",IF('Data Source'!AB736&gt;=1,"D","F")))))),"")</f>
        <v/>
      </c>
      <c r="K736" s="3">
        <f>IF(AND('Data Source'!B736&lt;&gt;"",'Data Source'!S736="A+"),IF('Data Source'!AC736&gt;=5,"A+",IF('Data Source'!AC736&gt;=4,"A",IF('Data Source'!AC736&gt;=3.5,"A-",IF('Data Source'!AC736&gt;=3,"B",IF('Data Source'!AC736&gt;=2,"C",IF('Data Source'!AC736&gt;=1,"D","F")))))),"")</f>
        <v/>
      </c>
      <c r="L736" s="3">
        <f>IF(AND('Data Source'!B736&lt;&gt;"",'Data Source'!S736="A+"),IF('Data Source'!AD736&gt;=5,"A+",IF('Data Source'!AD736&gt;=4,"A",IF('Data Source'!AD736&gt;=3.5,"A-",IF('Data Source'!AD736&gt;=3,"B",IF('Data Source'!AD736&gt;=2,"C",IF('Data Source'!AD736&gt;=1,"D","F")))))),"")</f>
        <v/>
      </c>
      <c r="M736" s="3">
        <f>IF(AND('Data Source'!B736&lt;&gt;"",'Data Source'!S736="A+"),IF('Data Source'!AE736&gt;=5,"A+",IF('Data Source'!AE736&gt;=4,"A",IF('Data Source'!AE736&gt;=3.5,"A-",IF('Data Source'!AE736&gt;=3,"B",IF('Data Source'!AE736&gt;=2,"C",IF('Data Source'!AE736&gt;=1,"D","F")))))),"")</f>
        <v/>
      </c>
      <c r="N736" s="3">
        <f>IF(AND('Data Source'!B736&lt;&gt;"",'Data Source'!S736="A+"),IF('Data Source'!AF736&gt;=5,"A+",IF('Data Source'!AF736&gt;=4,"A",IF('Data Source'!AF736&gt;=3.5,"A-",IF('Data Source'!AF736&gt;=3,"B",IF('Data Source'!AF736&gt;=2,"C",IF('Data Source'!AF736&gt;=1,"D","F")))))),"")</f>
        <v/>
      </c>
      <c r="O736" s="3">
        <f>IF(AND('Data Source'!B736&lt;&gt;"",'Data Source'!S736="A+"),IF('Data Source'!AG736&gt;=5,"A+",IF('Data Source'!AG736&gt;=4,"A",IF('Data Source'!AG736&gt;=3.5,"A-",IF('Data Source'!AG736&gt;=3,"B",IF('Data Source'!AG736&gt;=2,"C",IF('Data Source'!AG736&gt;=1,"D","F")))))),"")</f>
        <v/>
      </c>
      <c r="P736" s="5">
        <f>IF(AND('Data Source'!B736&lt;&gt;"",'Data Source'!S736="A+"),'Data Source'!R736,"")</f>
        <v/>
      </c>
      <c r="Q736" s="3">
        <f>IF(AND('Data Source'!B736&lt;&gt;"",'Data Source'!S736="A+"),'Data Source'!S736,"")</f>
        <v/>
      </c>
    </row>
    <row r="737">
      <c r="A737" s="3">
        <f>IF(AND('Data Source'!B737&lt;&gt;"",'Data Source'!S737="A+"),COUNTIF('Data Source'!$S$3:S737,"A+"),"")</f>
        <v/>
      </c>
      <c r="B737">
        <f>IF(AND('Data Source'!B737&lt;&gt;"",'Data Source'!S737="A+"),'Data Source'!B737,"")</f>
        <v/>
      </c>
      <c r="C737" s="3">
        <f>IF(AND('Data Source'!B737&lt;&gt;"",'Data Source'!S737="A+"),IF('Data Source'!U737&gt;=5,"A+",IF('Data Source'!U737&gt;=4,"A",IF('Data Source'!U737&gt;=3.5,"A-",IF('Data Source'!U737&gt;=3,"B",IF('Data Source'!U737&gt;=2,"C",IF('Data Source'!U737&gt;=1,"D","F")))))),"")</f>
        <v/>
      </c>
      <c r="D737" s="3">
        <f>IF(AND('Data Source'!B737&lt;&gt;"",'Data Source'!S737="A+"),IF('Data Source'!V737&gt;=5,"A+",IF('Data Source'!V737&gt;=4,"A",IF('Data Source'!V737&gt;=3.5,"A-",IF('Data Source'!V737&gt;=3,"B",IF('Data Source'!V737&gt;=2,"C",IF('Data Source'!V737&gt;=1,"D","F")))))),"")</f>
        <v/>
      </c>
      <c r="E737" s="3">
        <f>IF(AND('Data Source'!B737&lt;&gt;"",'Data Source'!S737="A+"),IF('Data Source'!W737&gt;=5,"A+",IF('Data Source'!W737&gt;=4,"A",IF('Data Source'!W737&gt;=3.5,"A-",IF('Data Source'!W737&gt;=3,"B",IF('Data Source'!W737&gt;=2,"C",IF('Data Source'!W737&gt;=1,"D","F")))))),"")</f>
        <v/>
      </c>
      <c r="F737" s="3">
        <f>IF(AND('Data Source'!B737&lt;&gt;"",'Data Source'!S737="A+"),IF('Data Source'!X737&gt;=5,"A+",IF('Data Source'!X737&gt;=4,"A",IF('Data Source'!X737&gt;=3.5,"A-",IF('Data Source'!X737&gt;=3,"B",IF('Data Source'!X737&gt;=2,"C",IF('Data Source'!X737&gt;=1,"D","F")))))),"")</f>
        <v/>
      </c>
      <c r="G737" s="3">
        <f>IF(AND('Data Source'!B737&lt;&gt;"",'Data Source'!S737="A+"),IF('Data Source'!Y737&gt;=5,"A+",IF('Data Source'!Y737&gt;=4,"A",IF('Data Source'!Y737&gt;=3.5,"A-",IF('Data Source'!Y737&gt;=3,"B",IF('Data Source'!Y737&gt;=2,"C",IF('Data Source'!Y737&gt;=1,"D","F")))))),"")</f>
        <v/>
      </c>
      <c r="H737" s="3">
        <f>IF(AND('Data Source'!B737&lt;&gt;"",'Data Source'!S737="A+"),IF('Data Source'!Z737&gt;=5,"A+",IF('Data Source'!Z737&gt;=4,"A",IF('Data Source'!Z737&gt;=3.5,"A-",IF('Data Source'!Z737&gt;=3,"B",IF('Data Source'!Z737&gt;=2,"C",IF('Data Source'!Z737&gt;=1,"D","F")))))),"")</f>
        <v/>
      </c>
      <c r="I737" s="3">
        <f>IF(AND('Data Source'!B737&lt;&gt;"",'Data Source'!S737="A+"),IF('Data Source'!AA737&gt;=5,"A+",IF('Data Source'!AA737&gt;=4,"A",IF('Data Source'!AA737&gt;=3.5,"A-",IF('Data Source'!AA737&gt;=3,"B",IF('Data Source'!AA737&gt;=2,"C",IF('Data Source'!AA737&gt;=1,"D","F")))))),"")</f>
        <v/>
      </c>
      <c r="J737" s="3">
        <f>IF(AND('Data Source'!B737&lt;&gt;"",'Data Source'!S737="A+"),IF('Data Source'!AB737&gt;=5,"A+",IF('Data Source'!AB737&gt;=4,"A",IF('Data Source'!AB737&gt;=3.5,"A-",IF('Data Source'!AB737&gt;=3,"B",IF('Data Source'!AB737&gt;=2,"C",IF('Data Source'!AB737&gt;=1,"D","F")))))),"")</f>
        <v/>
      </c>
      <c r="K737" s="3">
        <f>IF(AND('Data Source'!B737&lt;&gt;"",'Data Source'!S737="A+"),IF('Data Source'!AC737&gt;=5,"A+",IF('Data Source'!AC737&gt;=4,"A",IF('Data Source'!AC737&gt;=3.5,"A-",IF('Data Source'!AC737&gt;=3,"B",IF('Data Source'!AC737&gt;=2,"C",IF('Data Source'!AC737&gt;=1,"D","F")))))),"")</f>
        <v/>
      </c>
      <c r="L737" s="3">
        <f>IF(AND('Data Source'!B737&lt;&gt;"",'Data Source'!S737="A+"),IF('Data Source'!AD737&gt;=5,"A+",IF('Data Source'!AD737&gt;=4,"A",IF('Data Source'!AD737&gt;=3.5,"A-",IF('Data Source'!AD737&gt;=3,"B",IF('Data Source'!AD737&gt;=2,"C",IF('Data Source'!AD737&gt;=1,"D","F")))))),"")</f>
        <v/>
      </c>
      <c r="M737" s="3">
        <f>IF(AND('Data Source'!B737&lt;&gt;"",'Data Source'!S737="A+"),IF('Data Source'!AE737&gt;=5,"A+",IF('Data Source'!AE737&gt;=4,"A",IF('Data Source'!AE737&gt;=3.5,"A-",IF('Data Source'!AE737&gt;=3,"B",IF('Data Source'!AE737&gt;=2,"C",IF('Data Source'!AE737&gt;=1,"D","F")))))),"")</f>
        <v/>
      </c>
      <c r="N737" s="3">
        <f>IF(AND('Data Source'!B737&lt;&gt;"",'Data Source'!S737="A+"),IF('Data Source'!AF737&gt;=5,"A+",IF('Data Source'!AF737&gt;=4,"A",IF('Data Source'!AF737&gt;=3.5,"A-",IF('Data Source'!AF737&gt;=3,"B",IF('Data Source'!AF737&gt;=2,"C",IF('Data Source'!AF737&gt;=1,"D","F")))))),"")</f>
        <v/>
      </c>
      <c r="O737" s="3">
        <f>IF(AND('Data Source'!B737&lt;&gt;"",'Data Source'!S737="A+"),IF('Data Source'!AG737&gt;=5,"A+",IF('Data Source'!AG737&gt;=4,"A",IF('Data Source'!AG737&gt;=3.5,"A-",IF('Data Source'!AG737&gt;=3,"B",IF('Data Source'!AG737&gt;=2,"C",IF('Data Source'!AG737&gt;=1,"D","F")))))),"")</f>
        <v/>
      </c>
      <c r="P737" s="5">
        <f>IF(AND('Data Source'!B737&lt;&gt;"",'Data Source'!S737="A+"),'Data Source'!R737,"")</f>
        <v/>
      </c>
      <c r="Q737" s="3">
        <f>IF(AND('Data Source'!B737&lt;&gt;"",'Data Source'!S737="A+"),'Data Source'!S737,"")</f>
        <v/>
      </c>
    </row>
    <row r="738">
      <c r="A738" s="3">
        <f>IF(AND('Data Source'!B738&lt;&gt;"",'Data Source'!S738="A+"),COUNTIF('Data Source'!$S$3:S738,"A+"),"")</f>
        <v/>
      </c>
      <c r="B738">
        <f>IF(AND('Data Source'!B738&lt;&gt;"",'Data Source'!S738="A+"),'Data Source'!B738,"")</f>
        <v/>
      </c>
      <c r="C738" s="3">
        <f>IF(AND('Data Source'!B738&lt;&gt;"",'Data Source'!S738="A+"),IF('Data Source'!U738&gt;=5,"A+",IF('Data Source'!U738&gt;=4,"A",IF('Data Source'!U738&gt;=3.5,"A-",IF('Data Source'!U738&gt;=3,"B",IF('Data Source'!U738&gt;=2,"C",IF('Data Source'!U738&gt;=1,"D","F")))))),"")</f>
        <v/>
      </c>
      <c r="D738" s="3">
        <f>IF(AND('Data Source'!B738&lt;&gt;"",'Data Source'!S738="A+"),IF('Data Source'!V738&gt;=5,"A+",IF('Data Source'!V738&gt;=4,"A",IF('Data Source'!V738&gt;=3.5,"A-",IF('Data Source'!V738&gt;=3,"B",IF('Data Source'!V738&gt;=2,"C",IF('Data Source'!V738&gt;=1,"D","F")))))),"")</f>
        <v/>
      </c>
      <c r="E738" s="3">
        <f>IF(AND('Data Source'!B738&lt;&gt;"",'Data Source'!S738="A+"),IF('Data Source'!W738&gt;=5,"A+",IF('Data Source'!W738&gt;=4,"A",IF('Data Source'!W738&gt;=3.5,"A-",IF('Data Source'!W738&gt;=3,"B",IF('Data Source'!W738&gt;=2,"C",IF('Data Source'!W738&gt;=1,"D","F")))))),"")</f>
        <v/>
      </c>
      <c r="F738" s="3">
        <f>IF(AND('Data Source'!B738&lt;&gt;"",'Data Source'!S738="A+"),IF('Data Source'!X738&gt;=5,"A+",IF('Data Source'!X738&gt;=4,"A",IF('Data Source'!X738&gt;=3.5,"A-",IF('Data Source'!X738&gt;=3,"B",IF('Data Source'!X738&gt;=2,"C",IF('Data Source'!X738&gt;=1,"D","F")))))),"")</f>
        <v/>
      </c>
      <c r="G738" s="3">
        <f>IF(AND('Data Source'!B738&lt;&gt;"",'Data Source'!S738="A+"),IF('Data Source'!Y738&gt;=5,"A+",IF('Data Source'!Y738&gt;=4,"A",IF('Data Source'!Y738&gt;=3.5,"A-",IF('Data Source'!Y738&gt;=3,"B",IF('Data Source'!Y738&gt;=2,"C",IF('Data Source'!Y738&gt;=1,"D","F")))))),"")</f>
        <v/>
      </c>
      <c r="H738" s="3">
        <f>IF(AND('Data Source'!B738&lt;&gt;"",'Data Source'!S738="A+"),IF('Data Source'!Z738&gt;=5,"A+",IF('Data Source'!Z738&gt;=4,"A",IF('Data Source'!Z738&gt;=3.5,"A-",IF('Data Source'!Z738&gt;=3,"B",IF('Data Source'!Z738&gt;=2,"C",IF('Data Source'!Z738&gt;=1,"D","F")))))),"")</f>
        <v/>
      </c>
      <c r="I738" s="3">
        <f>IF(AND('Data Source'!B738&lt;&gt;"",'Data Source'!S738="A+"),IF('Data Source'!AA738&gt;=5,"A+",IF('Data Source'!AA738&gt;=4,"A",IF('Data Source'!AA738&gt;=3.5,"A-",IF('Data Source'!AA738&gt;=3,"B",IF('Data Source'!AA738&gt;=2,"C",IF('Data Source'!AA738&gt;=1,"D","F")))))),"")</f>
        <v/>
      </c>
      <c r="J738" s="3">
        <f>IF(AND('Data Source'!B738&lt;&gt;"",'Data Source'!S738="A+"),IF('Data Source'!AB738&gt;=5,"A+",IF('Data Source'!AB738&gt;=4,"A",IF('Data Source'!AB738&gt;=3.5,"A-",IF('Data Source'!AB738&gt;=3,"B",IF('Data Source'!AB738&gt;=2,"C",IF('Data Source'!AB738&gt;=1,"D","F")))))),"")</f>
        <v/>
      </c>
      <c r="K738" s="3">
        <f>IF(AND('Data Source'!B738&lt;&gt;"",'Data Source'!S738="A+"),IF('Data Source'!AC738&gt;=5,"A+",IF('Data Source'!AC738&gt;=4,"A",IF('Data Source'!AC738&gt;=3.5,"A-",IF('Data Source'!AC738&gt;=3,"B",IF('Data Source'!AC738&gt;=2,"C",IF('Data Source'!AC738&gt;=1,"D","F")))))),"")</f>
        <v/>
      </c>
      <c r="L738" s="3">
        <f>IF(AND('Data Source'!B738&lt;&gt;"",'Data Source'!S738="A+"),IF('Data Source'!AD738&gt;=5,"A+",IF('Data Source'!AD738&gt;=4,"A",IF('Data Source'!AD738&gt;=3.5,"A-",IF('Data Source'!AD738&gt;=3,"B",IF('Data Source'!AD738&gt;=2,"C",IF('Data Source'!AD738&gt;=1,"D","F")))))),"")</f>
        <v/>
      </c>
      <c r="M738" s="3">
        <f>IF(AND('Data Source'!B738&lt;&gt;"",'Data Source'!S738="A+"),IF('Data Source'!AE738&gt;=5,"A+",IF('Data Source'!AE738&gt;=4,"A",IF('Data Source'!AE738&gt;=3.5,"A-",IF('Data Source'!AE738&gt;=3,"B",IF('Data Source'!AE738&gt;=2,"C",IF('Data Source'!AE738&gt;=1,"D","F")))))),"")</f>
        <v/>
      </c>
      <c r="N738" s="3">
        <f>IF(AND('Data Source'!B738&lt;&gt;"",'Data Source'!S738="A+"),IF('Data Source'!AF738&gt;=5,"A+",IF('Data Source'!AF738&gt;=4,"A",IF('Data Source'!AF738&gt;=3.5,"A-",IF('Data Source'!AF738&gt;=3,"B",IF('Data Source'!AF738&gt;=2,"C",IF('Data Source'!AF738&gt;=1,"D","F")))))),"")</f>
        <v/>
      </c>
      <c r="O738" s="3">
        <f>IF(AND('Data Source'!B738&lt;&gt;"",'Data Source'!S738="A+"),IF('Data Source'!AG738&gt;=5,"A+",IF('Data Source'!AG738&gt;=4,"A",IF('Data Source'!AG738&gt;=3.5,"A-",IF('Data Source'!AG738&gt;=3,"B",IF('Data Source'!AG738&gt;=2,"C",IF('Data Source'!AG738&gt;=1,"D","F")))))),"")</f>
        <v/>
      </c>
      <c r="P738" s="5">
        <f>IF(AND('Data Source'!B738&lt;&gt;"",'Data Source'!S738="A+"),'Data Source'!R738,"")</f>
        <v/>
      </c>
      <c r="Q738" s="3">
        <f>IF(AND('Data Source'!B738&lt;&gt;"",'Data Source'!S738="A+"),'Data Source'!S738,"")</f>
        <v/>
      </c>
    </row>
    <row r="739">
      <c r="A739" s="3">
        <f>IF(AND('Data Source'!B739&lt;&gt;"",'Data Source'!S739="A+"),COUNTIF('Data Source'!$S$3:S739,"A+"),"")</f>
        <v/>
      </c>
      <c r="B739">
        <f>IF(AND('Data Source'!B739&lt;&gt;"",'Data Source'!S739="A+"),'Data Source'!B739,"")</f>
        <v/>
      </c>
      <c r="C739" s="3">
        <f>IF(AND('Data Source'!B739&lt;&gt;"",'Data Source'!S739="A+"),IF('Data Source'!U739&gt;=5,"A+",IF('Data Source'!U739&gt;=4,"A",IF('Data Source'!U739&gt;=3.5,"A-",IF('Data Source'!U739&gt;=3,"B",IF('Data Source'!U739&gt;=2,"C",IF('Data Source'!U739&gt;=1,"D","F")))))),"")</f>
        <v/>
      </c>
      <c r="D739" s="3">
        <f>IF(AND('Data Source'!B739&lt;&gt;"",'Data Source'!S739="A+"),IF('Data Source'!V739&gt;=5,"A+",IF('Data Source'!V739&gt;=4,"A",IF('Data Source'!V739&gt;=3.5,"A-",IF('Data Source'!V739&gt;=3,"B",IF('Data Source'!V739&gt;=2,"C",IF('Data Source'!V739&gt;=1,"D","F")))))),"")</f>
        <v/>
      </c>
      <c r="E739" s="3">
        <f>IF(AND('Data Source'!B739&lt;&gt;"",'Data Source'!S739="A+"),IF('Data Source'!W739&gt;=5,"A+",IF('Data Source'!W739&gt;=4,"A",IF('Data Source'!W739&gt;=3.5,"A-",IF('Data Source'!W739&gt;=3,"B",IF('Data Source'!W739&gt;=2,"C",IF('Data Source'!W739&gt;=1,"D","F")))))),"")</f>
        <v/>
      </c>
      <c r="F739" s="3">
        <f>IF(AND('Data Source'!B739&lt;&gt;"",'Data Source'!S739="A+"),IF('Data Source'!X739&gt;=5,"A+",IF('Data Source'!X739&gt;=4,"A",IF('Data Source'!X739&gt;=3.5,"A-",IF('Data Source'!X739&gt;=3,"B",IF('Data Source'!X739&gt;=2,"C",IF('Data Source'!X739&gt;=1,"D","F")))))),"")</f>
        <v/>
      </c>
      <c r="G739" s="3">
        <f>IF(AND('Data Source'!B739&lt;&gt;"",'Data Source'!S739="A+"),IF('Data Source'!Y739&gt;=5,"A+",IF('Data Source'!Y739&gt;=4,"A",IF('Data Source'!Y739&gt;=3.5,"A-",IF('Data Source'!Y739&gt;=3,"B",IF('Data Source'!Y739&gt;=2,"C",IF('Data Source'!Y739&gt;=1,"D","F")))))),"")</f>
        <v/>
      </c>
      <c r="H739" s="3">
        <f>IF(AND('Data Source'!B739&lt;&gt;"",'Data Source'!S739="A+"),IF('Data Source'!Z739&gt;=5,"A+",IF('Data Source'!Z739&gt;=4,"A",IF('Data Source'!Z739&gt;=3.5,"A-",IF('Data Source'!Z739&gt;=3,"B",IF('Data Source'!Z739&gt;=2,"C",IF('Data Source'!Z739&gt;=1,"D","F")))))),"")</f>
        <v/>
      </c>
      <c r="I739" s="3">
        <f>IF(AND('Data Source'!B739&lt;&gt;"",'Data Source'!S739="A+"),IF('Data Source'!AA739&gt;=5,"A+",IF('Data Source'!AA739&gt;=4,"A",IF('Data Source'!AA739&gt;=3.5,"A-",IF('Data Source'!AA739&gt;=3,"B",IF('Data Source'!AA739&gt;=2,"C",IF('Data Source'!AA739&gt;=1,"D","F")))))),"")</f>
        <v/>
      </c>
      <c r="J739" s="3">
        <f>IF(AND('Data Source'!B739&lt;&gt;"",'Data Source'!S739="A+"),IF('Data Source'!AB739&gt;=5,"A+",IF('Data Source'!AB739&gt;=4,"A",IF('Data Source'!AB739&gt;=3.5,"A-",IF('Data Source'!AB739&gt;=3,"B",IF('Data Source'!AB739&gt;=2,"C",IF('Data Source'!AB739&gt;=1,"D","F")))))),"")</f>
        <v/>
      </c>
      <c r="K739" s="3">
        <f>IF(AND('Data Source'!B739&lt;&gt;"",'Data Source'!S739="A+"),IF('Data Source'!AC739&gt;=5,"A+",IF('Data Source'!AC739&gt;=4,"A",IF('Data Source'!AC739&gt;=3.5,"A-",IF('Data Source'!AC739&gt;=3,"B",IF('Data Source'!AC739&gt;=2,"C",IF('Data Source'!AC739&gt;=1,"D","F")))))),"")</f>
        <v/>
      </c>
      <c r="L739" s="3">
        <f>IF(AND('Data Source'!B739&lt;&gt;"",'Data Source'!S739="A+"),IF('Data Source'!AD739&gt;=5,"A+",IF('Data Source'!AD739&gt;=4,"A",IF('Data Source'!AD739&gt;=3.5,"A-",IF('Data Source'!AD739&gt;=3,"B",IF('Data Source'!AD739&gt;=2,"C",IF('Data Source'!AD739&gt;=1,"D","F")))))),"")</f>
        <v/>
      </c>
      <c r="M739" s="3">
        <f>IF(AND('Data Source'!B739&lt;&gt;"",'Data Source'!S739="A+"),IF('Data Source'!AE739&gt;=5,"A+",IF('Data Source'!AE739&gt;=4,"A",IF('Data Source'!AE739&gt;=3.5,"A-",IF('Data Source'!AE739&gt;=3,"B",IF('Data Source'!AE739&gt;=2,"C",IF('Data Source'!AE739&gt;=1,"D","F")))))),"")</f>
        <v/>
      </c>
      <c r="N739" s="3">
        <f>IF(AND('Data Source'!B739&lt;&gt;"",'Data Source'!S739="A+"),IF('Data Source'!AF739&gt;=5,"A+",IF('Data Source'!AF739&gt;=4,"A",IF('Data Source'!AF739&gt;=3.5,"A-",IF('Data Source'!AF739&gt;=3,"B",IF('Data Source'!AF739&gt;=2,"C",IF('Data Source'!AF739&gt;=1,"D","F")))))),"")</f>
        <v/>
      </c>
      <c r="O739" s="3">
        <f>IF(AND('Data Source'!B739&lt;&gt;"",'Data Source'!S739="A+"),IF('Data Source'!AG739&gt;=5,"A+",IF('Data Source'!AG739&gt;=4,"A",IF('Data Source'!AG739&gt;=3.5,"A-",IF('Data Source'!AG739&gt;=3,"B",IF('Data Source'!AG739&gt;=2,"C",IF('Data Source'!AG739&gt;=1,"D","F")))))),"")</f>
        <v/>
      </c>
      <c r="P739" s="5">
        <f>IF(AND('Data Source'!B739&lt;&gt;"",'Data Source'!S739="A+"),'Data Source'!R739,"")</f>
        <v/>
      </c>
      <c r="Q739" s="3">
        <f>IF(AND('Data Source'!B739&lt;&gt;"",'Data Source'!S739="A+"),'Data Source'!S739,"")</f>
        <v/>
      </c>
    </row>
    <row r="740">
      <c r="A740" s="3">
        <f>IF(AND('Data Source'!B740&lt;&gt;"",'Data Source'!S740="A+"),COUNTIF('Data Source'!$S$3:S740,"A+"),"")</f>
        <v/>
      </c>
      <c r="B740">
        <f>IF(AND('Data Source'!B740&lt;&gt;"",'Data Source'!S740="A+"),'Data Source'!B740,"")</f>
        <v/>
      </c>
      <c r="C740" s="3">
        <f>IF(AND('Data Source'!B740&lt;&gt;"",'Data Source'!S740="A+"),IF('Data Source'!U740&gt;=5,"A+",IF('Data Source'!U740&gt;=4,"A",IF('Data Source'!U740&gt;=3.5,"A-",IF('Data Source'!U740&gt;=3,"B",IF('Data Source'!U740&gt;=2,"C",IF('Data Source'!U740&gt;=1,"D","F")))))),"")</f>
        <v/>
      </c>
      <c r="D740" s="3">
        <f>IF(AND('Data Source'!B740&lt;&gt;"",'Data Source'!S740="A+"),IF('Data Source'!V740&gt;=5,"A+",IF('Data Source'!V740&gt;=4,"A",IF('Data Source'!V740&gt;=3.5,"A-",IF('Data Source'!V740&gt;=3,"B",IF('Data Source'!V740&gt;=2,"C",IF('Data Source'!V740&gt;=1,"D","F")))))),"")</f>
        <v/>
      </c>
      <c r="E740" s="3">
        <f>IF(AND('Data Source'!B740&lt;&gt;"",'Data Source'!S740="A+"),IF('Data Source'!W740&gt;=5,"A+",IF('Data Source'!W740&gt;=4,"A",IF('Data Source'!W740&gt;=3.5,"A-",IF('Data Source'!W740&gt;=3,"B",IF('Data Source'!W740&gt;=2,"C",IF('Data Source'!W740&gt;=1,"D","F")))))),"")</f>
        <v/>
      </c>
      <c r="F740" s="3">
        <f>IF(AND('Data Source'!B740&lt;&gt;"",'Data Source'!S740="A+"),IF('Data Source'!X740&gt;=5,"A+",IF('Data Source'!X740&gt;=4,"A",IF('Data Source'!X740&gt;=3.5,"A-",IF('Data Source'!X740&gt;=3,"B",IF('Data Source'!X740&gt;=2,"C",IF('Data Source'!X740&gt;=1,"D","F")))))),"")</f>
        <v/>
      </c>
      <c r="G740" s="3">
        <f>IF(AND('Data Source'!B740&lt;&gt;"",'Data Source'!S740="A+"),IF('Data Source'!Y740&gt;=5,"A+",IF('Data Source'!Y740&gt;=4,"A",IF('Data Source'!Y740&gt;=3.5,"A-",IF('Data Source'!Y740&gt;=3,"B",IF('Data Source'!Y740&gt;=2,"C",IF('Data Source'!Y740&gt;=1,"D","F")))))),"")</f>
        <v/>
      </c>
      <c r="H740" s="3">
        <f>IF(AND('Data Source'!B740&lt;&gt;"",'Data Source'!S740="A+"),IF('Data Source'!Z740&gt;=5,"A+",IF('Data Source'!Z740&gt;=4,"A",IF('Data Source'!Z740&gt;=3.5,"A-",IF('Data Source'!Z740&gt;=3,"B",IF('Data Source'!Z740&gt;=2,"C",IF('Data Source'!Z740&gt;=1,"D","F")))))),"")</f>
        <v/>
      </c>
      <c r="I740" s="3">
        <f>IF(AND('Data Source'!B740&lt;&gt;"",'Data Source'!S740="A+"),IF('Data Source'!AA740&gt;=5,"A+",IF('Data Source'!AA740&gt;=4,"A",IF('Data Source'!AA740&gt;=3.5,"A-",IF('Data Source'!AA740&gt;=3,"B",IF('Data Source'!AA740&gt;=2,"C",IF('Data Source'!AA740&gt;=1,"D","F")))))),"")</f>
        <v/>
      </c>
      <c r="J740" s="3">
        <f>IF(AND('Data Source'!B740&lt;&gt;"",'Data Source'!S740="A+"),IF('Data Source'!AB740&gt;=5,"A+",IF('Data Source'!AB740&gt;=4,"A",IF('Data Source'!AB740&gt;=3.5,"A-",IF('Data Source'!AB740&gt;=3,"B",IF('Data Source'!AB740&gt;=2,"C",IF('Data Source'!AB740&gt;=1,"D","F")))))),"")</f>
        <v/>
      </c>
      <c r="K740" s="3">
        <f>IF(AND('Data Source'!B740&lt;&gt;"",'Data Source'!S740="A+"),IF('Data Source'!AC740&gt;=5,"A+",IF('Data Source'!AC740&gt;=4,"A",IF('Data Source'!AC740&gt;=3.5,"A-",IF('Data Source'!AC740&gt;=3,"B",IF('Data Source'!AC740&gt;=2,"C",IF('Data Source'!AC740&gt;=1,"D","F")))))),"")</f>
        <v/>
      </c>
      <c r="L740" s="3">
        <f>IF(AND('Data Source'!B740&lt;&gt;"",'Data Source'!S740="A+"),IF('Data Source'!AD740&gt;=5,"A+",IF('Data Source'!AD740&gt;=4,"A",IF('Data Source'!AD740&gt;=3.5,"A-",IF('Data Source'!AD740&gt;=3,"B",IF('Data Source'!AD740&gt;=2,"C",IF('Data Source'!AD740&gt;=1,"D","F")))))),"")</f>
        <v/>
      </c>
      <c r="M740" s="3">
        <f>IF(AND('Data Source'!B740&lt;&gt;"",'Data Source'!S740="A+"),IF('Data Source'!AE740&gt;=5,"A+",IF('Data Source'!AE740&gt;=4,"A",IF('Data Source'!AE740&gt;=3.5,"A-",IF('Data Source'!AE740&gt;=3,"B",IF('Data Source'!AE740&gt;=2,"C",IF('Data Source'!AE740&gt;=1,"D","F")))))),"")</f>
        <v/>
      </c>
      <c r="N740" s="3">
        <f>IF(AND('Data Source'!B740&lt;&gt;"",'Data Source'!S740="A+"),IF('Data Source'!AF740&gt;=5,"A+",IF('Data Source'!AF740&gt;=4,"A",IF('Data Source'!AF740&gt;=3.5,"A-",IF('Data Source'!AF740&gt;=3,"B",IF('Data Source'!AF740&gt;=2,"C",IF('Data Source'!AF740&gt;=1,"D","F")))))),"")</f>
        <v/>
      </c>
      <c r="O740" s="3">
        <f>IF(AND('Data Source'!B740&lt;&gt;"",'Data Source'!S740="A+"),IF('Data Source'!AG740&gt;=5,"A+",IF('Data Source'!AG740&gt;=4,"A",IF('Data Source'!AG740&gt;=3.5,"A-",IF('Data Source'!AG740&gt;=3,"B",IF('Data Source'!AG740&gt;=2,"C",IF('Data Source'!AG740&gt;=1,"D","F")))))),"")</f>
        <v/>
      </c>
      <c r="P740" s="5">
        <f>IF(AND('Data Source'!B740&lt;&gt;"",'Data Source'!S740="A+"),'Data Source'!R740,"")</f>
        <v/>
      </c>
      <c r="Q740" s="3">
        <f>IF(AND('Data Source'!B740&lt;&gt;"",'Data Source'!S740="A+"),'Data Source'!S740,"")</f>
        <v/>
      </c>
    </row>
    <row r="741">
      <c r="A741" s="3">
        <f>IF(AND('Data Source'!B741&lt;&gt;"",'Data Source'!S741="A+"),COUNTIF('Data Source'!$S$3:S741,"A+"),"")</f>
        <v/>
      </c>
      <c r="B741">
        <f>IF(AND('Data Source'!B741&lt;&gt;"",'Data Source'!S741="A+"),'Data Source'!B741,"")</f>
        <v/>
      </c>
      <c r="C741" s="3">
        <f>IF(AND('Data Source'!B741&lt;&gt;"",'Data Source'!S741="A+"),IF('Data Source'!U741&gt;=5,"A+",IF('Data Source'!U741&gt;=4,"A",IF('Data Source'!U741&gt;=3.5,"A-",IF('Data Source'!U741&gt;=3,"B",IF('Data Source'!U741&gt;=2,"C",IF('Data Source'!U741&gt;=1,"D","F")))))),"")</f>
        <v/>
      </c>
      <c r="D741" s="3">
        <f>IF(AND('Data Source'!B741&lt;&gt;"",'Data Source'!S741="A+"),IF('Data Source'!V741&gt;=5,"A+",IF('Data Source'!V741&gt;=4,"A",IF('Data Source'!V741&gt;=3.5,"A-",IF('Data Source'!V741&gt;=3,"B",IF('Data Source'!V741&gt;=2,"C",IF('Data Source'!V741&gt;=1,"D","F")))))),"")</f>
        <v/>
      </c>
      <c r="E741" s="3">
        <f>IF(AND('Data Source'!B741&lt;&gt;"",'Data Source'!S741="A+"),IF('Data Source'!W741&gt;=5,"A+",IF('Data Source'!W741&gt;=4,"A",IF('Data Source'!W741&gt;=3.5,"A-",IF('Data Source'!W741&gt;=3,"B",IF('Data Source'!W741&gt;=2,"C",IF('Data Source'!W741&gt;=1,"D","F")))))),"")</f>
        <v/>
      </c>
      <c r="F741" s="3">
        <f>IF(AND('Data Source'!B741&lt;&gt;"",'Data Source'!S741="A+"),IF('Data Source'!X741&gt;=5,"A+",IF('Data Source'!X741&gt;=4,"A",IF('Data Source'!X741&gt;=3.5,"A-",IF('Data Source'!X741&gt;=3,"B",IF('Data Source'!X741&gt;=2,"C",IF('Data Source'!X741&gt;=1,"D","F")))))),"")</f>
        <v/>
      </c>
      <c r="G741" s="3">
        <f>IF(AND('Data Source'!B741&lt;&gt;"",'Data Source'!S741="A+"),IF('Data Source'!Y741&gt;=5,"A+",IF('Data Source'!Y741&gt;=4,"A",IF('Data Source'!Y741&gt;=3.5,"A-",IF('Data Source'!Y741&gt;=3,"B",IF('Data Source'!Y741&gt;=2,"C",IF('Data Source'!Y741&gt;=1,"D","F")))))),"")</f>
        <v/>
      </c>
      <c r="H741" s="3">
        <f>IF(AND('Data Source'!B741&lt;&gt;"",'Data Source'!S741="A+"),IF('Data Source'!Z741&gt;=5,"A+",IF('Data Source'!Z741&gt;=4,"A",IF('Data Source'!Z741&gt;=3.5,"A-",IF('Data Source'!Z741&gt;=3,"B",IF('Data Source'!Z741&gt;=2,"C",IF('Data Source'!Z741&gt;=1,"D","F")))))),"")</f>
        <v/>
      </c>
      <c r="I741" s="3">
        <f>IF(AND('Data Source'!B741&lt;&gt;"",'Data Source'!S741="A+"),IF('Data Source'!AA741&gt;=5,"A+",IF('Data Source'!AA741&gt;=4,"A",IF('Data Source'!AA741&gt;=3.5,"A-",IF('Data Source'!AA741&gt;=3,"B",IF('Data Source'!AA741&gt;=2,"C",IF('Data Source'!AA741&gt;=1,"D","F")))))),"")</f>
        <v/>
      </c>
      <c r="J741" s="3">
        <f>IF(AND('Data Source'!B741&lt;&gt;"",'Data Source'!S741="A+"),IF('Data Source'!AB741&gt;=5,"A+",IF('Data Source'!AB741&gt;=4,"A",IF('Data Source'!AB741&gt;=3.5,"A-",IF('Data Source'!AB741&gt;=3,"B",IF('Data Source'!AB741&gt;=2,"C",IF('Data Source'!AB741&gt;=1,"D","F")))))),"")</f>
        <v/>
      </c>
      <c r="K741" s="3">
        <f>IF(AND('Data Source'!B741&lt;&gt;"",'Data Source'!S741="A+"),IF('Data Source'!AC741&gt;=5,"A+",IF('Data Source'!AC741&gt;=4,"A",IF('Data Source'!AC741&gt;=3.5,"A-",IF('Data Source'!AC741&gt;=3,"B",IF('Data Source'!AC741&gt;=2,"C",IF('Data Source'!AC741&gt;=1,"D","F")))))),"")</f>
        <v/>
      </c>
      <c r="L741" s="3">
        <f>IF(AND('Data Source'!B741&lt;&gt;"",'Data Source'!S741="A+"),IF('Data Source'!AD741&gt;=5,"A+",IF('Data Source'!AD741&gt;=4,"A",IF('Data Source'!AD741&gt;=3.5,"A-",IF('Data Source'!AD741&gt;=3,"B",IF('Data Source'!AD741&gt;=2,"C",IF('Data Source'!AD741&gt;=1,"D","F")))))),"")</f>
        <v/>
      </c>
      <c r="M741" s="3">
        <f>IF(AND('Data Source'!B741&lt;&gt;"",'Data Source'!S741="A+"),IF('Data Source'!AE741&gt;=5,"A+",IF('Data Source'!AE741&gt;=4,"A",IF('Data Source'!AE741&gt;=3.5,"A-",IF('Data Source'!AE741&gt;=3,"B",IF('Data Source'!AE741&gt;=2,"C",IF('Data Source'!AE741&gt;=1,"D","F")))))),"")</f>
        <v/>
      </c>
      <c r="N741" s="3">
        <f>IF(AND('Data Source'!B741&lt;&gt;"",'Data Source'!S741="A+"),IF('Data Source'!AF741&gt;=5,"A+",IF('Data Source'!AF741&gt;=4,"A",IF('Data Source'!AF741&gt;=3.5,"A-",IF('Data Source'!AF741&gt;=3,"B",IF('Data Source'!AF741&gt;=2,"C",IF('Data Source'!AF741&gt;=1,"D","F")))))),"")</f>
        <v/>
      </c>
      <c r="O741" s="3">
        <f>IF(AND('Data Source'!B741&lt;&gt;"",'Data Source'!S741="A+"),IF('Data Source'!AG741&gt;=5,"A+",IF('Data Source'!AG741&gt;=4,"A",IF('Data Source'!AG741&gt;=3.5,"A-",IF('Data Source'!AG741&gt;=3,"B",IF('Data Source'!AG741&gt;=2,"C",IF('Data Source'!AG741&gt;=1,"D","F")))))),"")</f>
        <v/>
      </c>
      <c r="P741" s="5">
        <f>IF(AND('Data Source'!B741&lt;&gt;"",'Data Source'!S741="A+"),'Data Source'!R741,"")</f>
        <v/>
      </c>
      <c r="Q741" s="3">
        <f>IF(AND('Data Source'!B741&lt;&gt;"",'Data Source'!S741="A+"),'Data Source'!S741,"")</f>
        <v/>
      </c>
    </row>
    <row r="742">
      <c r="A742" s="3">
        <f>IF(AND('Data Source'!B742&lt;&gt;"",'Data Source'!S742="A+"),COUNTIF('Data Source'!$S$3:S742,"A+"),"")</f>
        <v/>
      </c>
      <c r="B742">
        <f>IF(AND('Data Source'!B742&lt;&gt;"",'Data Source'!S742="A+"),'Data Source'!B742,"")</f>
        <v/>
      </c>
      <c r="C742" s="3">
        <f>IF(AND('Data Source'!B742&lt;&gt;"",'Data Source'!S742="A+"),IF('Data Source'!U742&gt;=5,"A+",IF('Data Source'!U742&gt;=4,"A",IF('Data Source'!U742&gt;=3.5,"A-",IF('Data Source'!U742&gt;=3,"B",IF('Data Source'!U742&gt;=2,"C",IF('Data Source'!U742&gt;=1,"D","F")))))),"")</f>
        <v/>
      </c>
      <c r="D742" s="3">
        <f>IF(AND('Data Source'!B742&lt;&gt;"",'Data Source'!S742="A+"),IF('Data Source'!V742&gt;=5,"A+",IF('Data Source'!V742&gt;=4,"A",IF('Data Source'!V742&gt;=3.5,"A-",IF('Data Source'!V742&gt;=3,"B",IF('Data Source'!V742&gt;=2,"C",IF('Data Source'!V742&gt;=1,"D","F")))))),"")</f>
        <v/>
      </c>
      <c r="E742" s="3">
        <f>IF(AND('Data Source'!B742&lt;&gt;"",'Data Source'!S742="A+"),IF('Data Source'!W742&gt;=5,"A+",IF('Data Source'!W742&gt;=4,"A",IF('Data Source'!W742&gt;=3.5,"A-",IF('Data Source'!W742&gt;=3,"B",IF('Data Source'!W742&gt;=2,"C",IF('Data Source'!W742&gt;=1,"D","F")))))),"")</f>
        <v/>
      </c>
      <c r="F742" s="3">
        <f>IF(AND('Data Source'!B742&lt;&gt;"",'Data Source'!S742="A+"),IF('Data Source'!X742&gt;=5,"A+",IF('Data Source'!X742&gt;=4,"A",IF('Data Source'!X742&gt;=3.5,"A-",IF('Data Source'!X742&gt;=3,"B",IF('Data Source'!X742&gt;=2,"C",IF('Data Source'!X742&gt;=1,"D","F")))))),"")</f>
        <v/>
      </c>
      <c r="G742" s="3">
        <f>IF(AND('Data Source'!B742&lt;&gt;"",'Data Source'!S742="A+"),IF('Data Source'!Y742&gt;=5,"A+",IF('Data Source'!Y742&gt;=4,"A",IF('Data Source'!Y742&gt;=3.5,"A-",IF('Data Source'!Y742&gt;=3,"B",IF('Data Source'!Y742&gt;=2,"C",IF('Data Source'!Y742&gt;=1,"D","F")))))),"")</f>
        <v/>
      </c>
      <c r="H742" s="3">
        <f>IF(AND('Data Source'!B742&lt;&gt;"",'Data Source'!S742="A+"),IF('Data Source'!Z742&gt;=5,"A+",IF('Data Source'!Z742&gt;=4,"A",IF('Data Source'!Z742&gt;=3.5,"A-",IF('Data Source'!Z742&gt;=3,"B",IF('Data Source'!Z742&gt;=2,"C",IF('Data Source'!Z742&gt;=1,"D","F")))))),"")</f>
        <v/>
      </c>
      <c r="I742" s="3">
        <f>IF(AND('Data Source'!B742&lt;&gt;"",'Data Source'!S742="A+"),IF('Data Source'!AA742&gt;=5,"A+",IF('Data Source'!AA742&gt;=4,"A",IF('Data Source'!AA742&gt;=3.5,"A-",IF('Data Source'!AA742&gt;=3,"B",IF('Data Source'!AA742&gt;=2,"C",IF('Data Source'!AA742&gt;=1,"D","F")))))),"")</f>
        <v/>
      </c>
      <c r="J742" s="3">
        <f>IF(AND('Data Source'!B742&lt;&gt;"",'Data Source'!S742="A+"),IF('Data Source'!AB742&gt;=5,"A+",IF('Data Source'!AB742&gt;=4,"A",IF('Data Source'!AB742&gt;=3.5,"A-",IF('Data Source'!AB742&gt;=3,"B",IF('Data Source'!AB742&gt;=2,"C",IF('Data Source'!AB742&gt;=1,"D","F")))))),"")</f>
        <v/>
      </c>
      <c r="K742" s="3">
        <f>IF(AND('Data Source'!B742&lt;&gt;"",'Data Source'!S742="A+"),IF('Data Source'!AC742&gt;=5,"A+",IF('Data Source'!AC742&gt;=4,"A",IF('Data Source'!AC742&gt;=3.5,"A-",IF('Data Source'!AC742&gt;=3,"B",IF('Data Source'!AC742&gt;=2,"C",IF('Data Source'!AC742&gt;=1,"D","F")))))),"")</f>
        <v/>
      </c>
      <c r="L742" s="3">
        <f>IF(AND('Data Source'!B742&lt;&gt;"",'Data Source'!S742="A+"),IF('Data Source'!AD742&gt;=5,"A+",IF('Data Source'!AD742&gt;=4,"A",IF('Data Source'!AD742&gt;=3.5,"A-",IF('Data Source'!AD742&gt;=3,"B",IF('Data Source'!AD742&gt;=2,"C",IF('Data Source'!AD742&gt;=1,"D","F")))))),"")</f>
        <v/>
      </c>
      <c r="M742" s="3">
        <f>IF(AND('Data Source'!B742&lt;&gt;"",'Data Source'!S742="A+"),IF('Data Source'!AE742&gt;=5,"A+",IF('Data Source'!AE742&gt;=4,"A",IF('Data Source'!AE742&gt;=3.5,"A-",IF('Data Source'!AE742&gt;=3,"B",IF('Data Source'!AE742&gt;=2,"C",IF('Data Source'!AE742&gt;=1,"D","F")))))),"")</f>
        <v/>
      </c>
      <c r="N742" s="3">
        <f>IF(AND('Data Source'!B742&lt;&gt;"",'Data Source'!S742="A+"),IF('Data Source'!AF742&gt;=5,"A+",IF('Data Source'!AF742&gt;=4,"A",IF('Data Source'!AF742&gt;=3.5,"A-",IF('Data Source'!AF742&gt;=3,"B",IF('Data Source'!AF742&gt;=2,"C",IF('Data Source'!AF742&gt;=1,"D","F")))))),"")</f>
        <v/>
      </c>
      <c r="O742" s="3">
        <f>IF(AND('Data Source'!B742&lt;&gt;"",'Data Source'!S742="A+"),IF('Data Source'!AG742&gt;=5,"A+",IF('Data Source'!AG742&gt;=4,"A",IF('Data Source'!AG742&gt;=3.5,"A-",IF('Data Source'!AG742&gt;=3,"B",IF('Data Source'!AG742&gt;=2,"C",IF('Data Source'!AG742&gt;=1,"D","F")))))),"")</f>
        <v/>
      </c>
      <c r="P742" s="5">
        <f>IF(AND('Data Source'!B742&lt;&gt;"",'Data Source'!S742="A+"),'Data Source'!R742,"")</f>
        <v/>
      </c>
      <c r="Q742" s="3">
        <f>IF(AND('Data Source'!B742&lt;&gt;"",'Data Source'!S742="A+"),'Data Source'!S742,"")</f>
        <v/>
      </c>
    </row>
    <row r="743">
      <c r="A743" s="3">
        <f>IF(AND('Data Source'!B743&lt;&gt;"",'Data Source'!S743="A+"),COUNTIF('Data Source'!$S$3:S743,"A+"),"")</f>
        <v/>
      </c>
      <c r="B743">
        <f>IF(AND('Data Source'!B743&lt;&gt;"",'Data Source'!S743="A+"),'Data Source'!B743,"")</f>
        <v/>
      </c>
      <c r="C743" s="3">
        <f>IF(AND('Data Source'!B743&lt;&gt;"",'Data Source'!S743="A+"),IF('Data Source'!U743&gt;=5,"A+",IF('Data Source'!U743&gt;=4,"A",IF('Data Source'!U743&gt;=3.5,"A-",IF('Data Source'!U743&gt;=3,"B",IF('Data Source'!U743&gt;=2,"C",IF('Data Source'!U743&gt;=1,"D","F")))))),"")</f>
        <v/>
      </c>
      <c r="D743" s="3">
        <f>IF(AND('Data Source'!B743&lt;&gt;"",'Data Source'!S743="A+"),IF('Data Source'!V743&gt;=5,"A+",IF('Data Source'!V743&gt;=4,"A",IF('Data Source'!V743&gt;=3.5,"A-",IF('Data Source'!V743&gt;=3,"B",IF('Data Source'!V743&gt;=2,"C",IF('Data Source'!V743&gt;=1,"D","F")))))),"")</f>
        <v/>
      </c>
      <c r="E743" s="3">
        <f>IF(AND('Data Source'!B743&lt;&gt;"",'Data Source'!S743="A+"),IF('Data Source'!W743&gt;=5,"A+",IF('Data Source'!W743&gt;=4,"A",IF('Data Source'!W743&gt;=3.5,"A-",IF('Data Source'!W743&gt;=3,"B",IF('Data Source'!W743&gt;=2,"C",IF('Data Source'!W743&gt;=1,"D","F")))))),"")</f>
        <v/>
      </c>
      <c r="F743" s="3">
        <f>IF(AND('Data Source'!B743&lt;&gt;"",'Data Source'!S743="A+"),IF('Data Source'!X743&gt;=5,"A+",IF('Data Source'!X743&gt;=4,"A",IF('Data Source'!X743&gt;=3.5,"A-",IF('Data Source'!X743&gt;=3,"B",IF('Data Source'!X743&gt;=2,"C",IF('Data Source'!X743&gt;=1,"D","F")))))),"")</f>
        <v/>
      </c>
      <c r="G743" s="3">
        <f>IF(AND('Data Source'!B743&lt;&gt;"",'Data Source'!S743="A+"),IF('Data Source'!Y743&gt;=5,"A+",IF('Data Source'!Y743&gt;=4,"A",IF('Data Source'!Y743&gt;=3.5,"A-",IF('Data Source'!Y743&gt;=3,"B",IF('Data Source'!Y743&gt;=2,"C",IF('Data Source'!Y743&gt;=1,"D","F")))))),"")</f>
        <v/>
      </c>
      <c r="H743" s="3">
        <f>IF(AND('Data Source'!B743&lt;&gt;"",'Data Source'!S743="A+"),IF('Data Source'!Z743&gt;=5,"A+",IF('Data Source'!Z743&gt;=4,"A",IF('Data Source'!Z743&gt;=3.5,"A-",IF('Data Source'!Z743&gt;=3,"B",IF('Data Source'!Z743&gt;=2,"C",IF('Data Source'!Z743&gt;=1,"D","F")))))),"")</f>
        <v/>
      </c>
      <c r="I743" s="3">
        <f>IF(AND('Data Source'!B743&lt;&gt;"",'Data Source'!S743="A+"),IF('Data Source'!AA743&gt;=5,"A+",IF('Data Source'!AA743&gt;=4,"A",IF('Data Source'!AA743&gt;=3.5,"A-",IF('Data Source'!AA743&gt;=3,"B",IF('Data Source'!AA743&gt;=2,"C",IF('Data Source'!AA743&gt;=1,"D","F")))))),"")</f>
        <v/>
      </c>
      <c r="J743" s="3">
        <f>IF(AND('Data Source'!B743&lt;&gt;"",'Data Source'!S743="A+"),IF('Data Source'!AB743&gt;=5,"A+",IF('Data Source'!AB743&gt;=4,"A",IF('Data Source'!AB743&gt;=3.5,"A-",IF('Data Source'!AB743&gt;=3,"B",IF('Data Source'!AB743&gt;=2,"C",IF('Data Source'!AB743&gt;=1,"D","F")))))),"")</f>
        <v/>
      </c>
      <c r="K743" s="3">
        <f>IF(AND('Data Source'!B743&lt;&gt;"",'Data Source'!S743="A+"),IF('Data Source'!AC743&gt;=5,"A+",IF('Data Source'!AC743&gt;=4,"A",IF('Data Source'!AC743&gt;=3.5,"A-",IF('Data Source'!AC743&gt;=3,"B",IF('Data Source'!AC743&gt;=2,"C",IF('Data Source'!AC743&gt;=1,"D","F")))))),"")</f>
        <v/>
      </c>
      <c r="L743" s="3">
        <f>IF(AND('Data Source'!B743&lt;&gt;"",'Data Source'!S743="A+"),IF('Data Source'!AD743&gt;=5,"A+",IF('Data Source'!AD743&gt;=4,"A",IF('Data Source'!AD743&gt;=3.5,"A-",IF('Data Source'!AD743&gt;=3,"B",IF('Data Source'!AD743&gt;=2,"C",IF('Data Source'!AD743&gt;=1,"D","F")))))),"")</f>
        <v/>
      </c>
      <c r="M743" s="3">
        <f>IF(AND('Data Source'!B743&lt;&gt;"",'Data Source'!S743="A+"),IF('Data Source'!AE743&gt;=5,"A+",IF('Data Source'!AE743&gt;=4,"A",IF('Data Source'!AE743&gt;=3.5,"A-",IF('Data Source'!AE743&gt;=3,"B",IF('Data Source'!AE743&gt;=2,"C",IF('Data Source'!AE743&gt;=1,"D","F")))))),"")</f>
        <v/>
      </c>
      <c r="N743" s="3">
        <f>IF(AND('Data Source'!B743&lt;&gt;"",'Data Source'!S743="A+"),IF('Data Source'!AF743&gt;=5,"A+",IF('Data Source'!AF743&gt;=4,"A",IF('Data Source'!AF743&gt;=3.5,"A-",IF('Data Source'!AF743&gt;=3,"B",IF('Data Source'!AF743&gt;=2,"C",IF('Data Source'!AF743&gt;=1,"D","F")))))),"")</f>
        <v/>
      </c>
      <c r="O743" s="3">
        <f>IF(AND('Data Source'!B743&lt;&gt;"",'Data Source'!S743="A+"),IF('Data Source'!AG743&gt;=5,"A+",IF('Data Source'!AG743&gt;=4,"A",IF('Data Source'!AG743&gt;=3.5,"A-",IF('Data Source'!AG743&gt;=3,"B",IF('Data Source'!AG743&gt;=2,"C",IF('Data Source'!AG743&gt;=1,"D","F")))))),"")</f>
        <v/>
      </c>
      <c r="P743" s="5">
        <f>IF(AND('Data Source'!B743&lt;&gt;"",'Data Source'!S743="A+"),'Data Source'!R743,"")</f>
        <v/>
      </c>
      <c r="Q743" s="3">
        <f>IF(AND('Data Source'!B743&lt;&gt;"",'Data Source'!S743="A+"),'Data Source'!S743,"")</f>
        <v/>
      </c>
    </row>
    <row r="744">
      <c r="A744" s="3">
        <f>IF(AND('Data Source'!B744&lt;&gt;"",'Data Source'!S744="A+"),COUNTIF('Data Source'!$S$3:S744,"A+"),"")</f>
        <v/>
      </c>
      <c r="B744">
        <f>IF(AND('Data Source'!B744&lt;&gt;"",'Data Source'!S744="A+"),'Data Source'!B744,"")</f>
        <v/>
      </c>
      <c r="C744" s="3">
        <f>IF(AND('Data Source'!B744&lt;&gt;"",'Data Source'!S744="A+"),IF('Data Source'!U744&gt;=5,"A+",IF('Data Source'!U744&gt;=4,"A",IF('Data Source'!U744&gt;=3.5,"A-",IF('Data Source'!U744&gt;=3,"B",IF('Data Source'!U744&gt;=2,"C",IF('Data Source'!U744&gt;=1,"D","F")))))),"")</f>
        <v/>
      </c>
      <c r="D744" s="3">
        <f>IF(AND('Data Source'!B744&lt;&gt;"",'Data Source'!S744="A+"),IF('Data Source'!V744&gt;=5,"A+",IF('Data Source'!V744&gt;=4,"A",IF('Data Source'!V744&gt;=3.5,"A-",IF('Data Source'!V744&gt;=3,"B",IF('Data Source'!V744&gt;=2,"C",IF('Data Source'!V744&gt;=1,"D","F")))))),"")</f>
        <v/>
      </c>
      <c r="E744" s="3">
        <f>IF(AND('Data Source'!B744&lt;&gt;"",'Data Source'!S744="A+"),IF('Data Source'!W744&gt;=5,"A+",IF('Data Source'!W744&gt;=4,"A",IF('Data Source'!W744&gt;=3.5,"A-",IF('Data Source'!W744&gt;=3,"B",IF('Data Source'!W744&gt;=2,"C",IF('Data Source'!W744&gt;=1,"D","F")))))),"")</f>
        <v/>
      </c>
      <c r="F744" s="3">
        <f>IF(AND('Data Source'!B744&lt;&gt;"",'Data Source'!S744="A+"),IF('Data Source'!X744&gt;=5,"A+",IF('Data Source'!X744&gt;=4,"A",IF('Data Source'!X744&gt;=3.5,"A-",IF('Data Source'!X744&gt;=3,"B",IF('Data Source'!X744&gt;=2,"C",IF('Data Source'!X744&gt;=1,"D","F")))))),"")</f>
        <v/>
      </c>
      <c r="G744" s="3">
        <f>IF(AND('Data Source'!B744&lt;&gt;"",'Data Source'!S744="A+"),IF('Data Source'!Y744&gt;=5,"A+",IF('Data Source'!Y744&gt;=4,"A",IF('Data Source'!Y744&gt;=3.5,"A-",IF('Data Source'!Y744&gt;=3,"B",IF('Data Source'!Y744&gt;=2,"C",IF('Data Source'!Y744&gt;=1,"D","F")))))),"")</f>
        <v/>
      </c>
      <c r="H744" s="3">
        <f>IF(AND('Data Source'!B744&lt;&gt;"",'Data Source'!S744="A+"),IF('Data Source'!Z744&gt;=5,"A+",IF('Data Source'!Z744&gt;=4,"A",IF('Data Source'!Z744&gt;=3.5,"A-",IF('Data Source'!Z744&gt;=3,"B",IF('Data Source'!Z744&gt;=2,"C",IF('Data Source'!Z744&gt;=1,"D","F")))))),"")</f>
        <v/>
      </c>
      <c r="I744" s="3">
        <f>IF(AND('Data Source'!B744&lt;&gt;"",'Data Source'!S744="A+"),IF('Data Source'!AA744&gt;=5,"A+",IF('Data Source'!AA744&gt;=4,"A",IF('Data Source'!AA744&gt;=3.5,"A-",IF('Data Source'!AA744&gt;=3,"B",IF('Data Source'!AA744&gt;=2,"C",IF('Data Source'!AA744&gt;=1,"D","F")))))),"")</f>
        <v/>
      </c>
      <c r="J744" s="3">
        <f>IF(AND('Data Source'!B744&lt;&gt;"",'Data Source'!S744="A+"),IF('Data Source'!AB744&gt;=5,"A+",IF('Data Source'!AB744&gt;=4,"A",IF('Data Source'!AB744&gt;=3.5,"A-",IF('Data Source'!AB744&gt;=3,"B",IF('Data Source'!AB744&gt;=2,"C",IF('Data Source'!AB744&gt;=1,"D","F")))))),"")</f>
        <v/>
      </c>
      <c r="K744" s="3">
        <f>IF(AND('Data Source'!B744&lt;&gt;"",'Data Source'!S744="A+"),IF('Data Source'!AC744&gt;=5,"A+",IF('Data Source'!AC744&gt;=4,"A",IF('Data Source'!AC744&gt;=3.5,"A-",IF('Data Source'!AC744&gt;=3,"B",IF('Data Source'!AC744&gt;=2,"C",IF('Data Source'!AC744&gt;=1,"D","F")))))),"")</f>
        <v/>
      </c>
      <c r="L744" s="3">
        <f>IF(AND('Data Source'!B744&lt;&gt;"",'Data Source'!S744="A+"),IF('Data Source'!AD744&gt;=5,"A+",IF('Data Source'!AD744&gt;=4,"A",IF('Data Source'!AD744&gt;=3.5,"A-",IF('Data Source'!AD744&gt;=3,"B",IF('Data Source'!AD744&gt;=2,"C",IF('Data Source'!AD744&gt;=1,"D","F")))))),"")</f>
        <v/>
      </c>
      <c r="M744" s="3">
        <f>IF(AND('Data Source'!B744&lt;&gt;"",'Data Source'!S744="A+"),IF('Data Source'!AE744&gt;=5,"A+",IF('Data Source'!AE744&gt;=4,"A",IF('Data Source'!AE744&gt;=3.5,"A-",IF('Data Source'!AE744&gt;=3,"B",IF('Data Source'!AE744&gt;=2,"C",IF('Data Source'!AE744&gt;=1,"D","F")))))),"")</f>
        <v/>
      </c>
      <c r="N744" s="3">
        <f>IF(AND('Data Source'!B744&lt;&gt;"",'Data Source'!S744="A+"),IF('Data Source'!AF744&gt;=5,"A+",IF('Data Source'!AF744&gt;=4,"A",IF('Data Source'!AF744&gt;=3.5,"A-",IF('Data Source'!AF744&gt;=3,"B",IF('Data Source'!AF744&gt;=2,"C",IF('Data Source'!AF744&gt;=1,"D","F")))))),"")</f>
        <v/>
      </c>
      <c r="O744" s="3">
        <f>IF(AND('Data Source'!B744&lt;&gt;"",'Data Source'!S744="A+"),IF('Data Source'!AG744&gt;=5,"A+",IF('Data Source'!AG744&gt;=4,"A",IF('Data Source'!AG744&gt;=3.5,"A-",IF('Data Source'!AG744&gt;=3,"B",IF('Data Source'!AG744&gt;=2,"C",IF('Data Source'!AG744&gt;=1,"D","F")))))),"")</f>
        <v/>
      </c>
      <c r="P744" s="5">
        <f>IF(AND('Data Source'!B744&lt;&gt;"",'Data Source'!S744="A+"),'Data Source'!R744,"")</f>
        <v/>
      </c>
      <c r="Q744" s="3">
        <f>IF(AND('Data Source'!B744&lt;&gt;"",'Data Source'!S744="A+"),'Data Source'!S744,"")</f>
        <v/>
      </c>
    </row>
    <row r="745">
      <c r="A745" s="3">
        <f>IF(AND('Data Source'!B745&lt;&gt;"",'Data Source'!S745="A+"),COUNTIF('Data Source'!$S$3:S745,"A+"),"")</f>
        <v/>
      </c>
      <c r="B745">
        <f>IF(AND('Data Source'!B745&lt;&gt;"",'Data Source'!S745="A+"),'Data Source'!B745,"")</f>
        <v/>
      </c>
      <c r="C745" s="3">
        <f>IF(AND('Data Source'!B745&lt;&gt;"",'Data Source'!S745="A+"),IF('Data Source'!U745&gt;=5,"A+",IF('Data Source'!U745&gt;=4,"A",IF('Data Source'!U745&gt;=3.5,"A-",IF('Data Source'!U745&gt;=3,"B",IF('Data Source'!U745&gt;=2,"C",IF('Data Source'!U745&gt;=1,"D","F")))))),"")</f>
        <v/>
      </c>
      <c r="D745" s="3">
        <f>IF(AND('Data Source'!B745&lt;&gt;"",'Data Source'!S745="A+"),IF('Data Source'!V745&gt;=5,"A+",IF('Data Source'!V745&gt;=4,"A",IF('Data Source'!V745&gt;=3.5,"A-",IF('Data Source'!V745&gt;=3,"B",IF('Data Source'!V745&gt;=2,"C",IF('Data Source'!V745&gt;=1,"D","F")))))),"")</f>
        <v/>
      </c>
      <c r="E745" s="3">
        <f>IF(AND('Data Source'!B745&lt;&gt;"",'Data Source'!S745="A+"),IF('Data Source'!W745&gt;=5,"A+",IF('Data Source'!W745&gt;=4,"A",IF('Data Source'!W745&gt;=3.5,"A-",IF('Data Source'!W745&gt;=3,"B",IF('Data Source'!W745&gt;=2,"C",IF('Data Source'!W745&gt;=1,"D","F")))))),"")</f>
        <v/>
      </c>
      <c r="F745" s="3">
        <f>IF(AND('Data Source'!B745&lt;&gt;"",'Data Source'!S745="A+"),IF('Data Source'!X745&gt;=5,"A+",IF('Data Source'!X745&gt;=4,"A",IF('Data Source'!X745&gt;=3.5,"A-",IF('Data Source'!X745&gt;=3,"B",IF('Data Source'!X745&gt;=2,"C",IF('Data Source'!X745&gt;=1,"D","F")))))),"")</f>
        <v/>
      </c>
      <c r="G745" s="3">
        <f>IF(AND('Data Source'!B745&lt;&gt;"",'Data Source'!S745="A+"),IF('Data Source'!Y745&gt;=5,"A+",IF('Data Source'!Y745&gt;=4,"A",IF('Data Source'!Y745&gt;=3.5,"A-",IF('Data Source'!Y745&gt;=3,"B",IF('Data Source'!Y745&gt;=2,"C",IF('Data Source'!Y745&gt;=1,"D","F")))))),"")</f>
        <v/>
      </c>
      <c r="H745" s="3">
        <f>IF(AND('Data Source'!B745&lt;&gt;"",'Data Source'!S745="A+"),IF('Data Source'!Z745&gt;=5,"A+",IF('Data Source'!Z745&gt;=4,"A",IF('Data Source'!Z745&gt;=3.5,"A-",IF('Data Source'!Z745&gt;=3,"B",IF('Data Source'!Z745&gt;=2,"C",IF('Data Source'!Z745&gt;=1,"D","F")))))),"")</f>
        <v/>
      </c>
      <c r="I745" s="3">
        <f>IF(AND('Data Source'!B745&lt;&gt;"",'Data Source'!S745="A+"),IF('Data Source'!AA745&gt;=5,"A+",IF('Data Source'!AA745&gt;=4,"A",IF('Data Source'!AA745&gt;=3.5,"A-",IF('Data Source'!AA745&gt;=3,"B",IF('Data Source'!AA745&gt;=2,"C",IF('Data Source'!AA745&gt;=1,"D","F")))))),"")</f>
        <v/>
      </c>
      <c r="J745" s="3">
        <f>IF(AND('Data Source'!B745&lt;&gt;"",'Data Source'!S745="A+"),IF('Data Source'!AB745&gt;=5,"A+",IF('Data Source'!AB745&gt;=4,"A",IF('Data Source'!AB745&gt;=3.5,"A-",IF('Data Source'!AB745&gt;=3,"B",IF('Data Source'!AB745&gt;=2,"C",IF('Data Source'!AB745&gt;=1,"D","F")))))),"")</f>
        <v/>
      </c>
      <c r="K745" s="3">
        <f>IF(AND('Data Source'!B745&lt;&gt;"",'Data Source'!S745="A+"),IF('Data Source'!AC745&gt;=5,"A+",IF('Data Source'!AC745&gt;=4,"A",IF('Data Source'!AC745&gt;=3.5,"A-",IF('Data Source'!AC745&gt;=3,"B",IF('Data Source'!AC745&gt;=2,"C",IF('Data Source'!AC745&gt;=1,"D","F")))))),"")</f>
        <v/>
      </c>
      <c r="L745" s="3">
        <f>IF(AND('Data Source'!B745&lt;&gt;"",'Data Source'!S745="A+"),IF('Data Source'!AD745&gt;=5,"A+",IF('Data Source'!AD745&gt;=4,"A",IF('Data Source'!AD745&gt;=3.5,"A-",IF('Data Source'!AD745&gt;=3,"B",IF('Data Source'!AD745&gt;=2,"C",IF('Data Source'!AD745&gt;=1,"D","F")))))),"")</f>
        <v/>
      </c>
      <c r="M745" s="3">
        <f>IF(AND('Data Source'!B745&lt;&gt;"",'Data Source'!S745="A+"),IF('Data Source'!AE745&gt;=5,"A+",IF('Data Source'!AE745&gt;=4,"A",IF('Data Source'!AE745&gt;=3.5,"A-",IF('Data Source'!AE745&gt;=3,"B",IF('Data Source'!AE745&gt;=2,"C",IF('Data Source'!AE745&gt;=1,"D","F")))))),"")</f>
        <v/>
      </c>
      <c r="N745" s="3">
        <f>IF(AND('Data Source'!B745&lt;&gt;"",'Data Source'!S745="A+"),IF('Data Source'!AF745&gt;=5,"A+",IF('Data Source'!AF745&gt;=4,"A",IF('Data Source'!AF745&gt;=3.5,"A-",IF('Data Source'!AF745&gt;=3,"B",IF('Data Source'!AF745&gt;=2,"C",IF('Data Source'!AF745&gt;=1,"D","F")))))),"")</f>
        <v/>
      </c>
      <c r="O745" s="3">
        <f>IF(AND('Data Source'!B745&lt;&gt;"",'Data Source'!S745="A+"),IF('Data Source'!AG745&gt;=5,"A+",IF('Data Source'!AG745&gt;=4,"A",IF('Data Source'!AG745&gt;=3.5,"A-",IF('Data Source'!AG745&gt;=3,"B",IF('Data Source'!AG745&gt;=2,"C",IF('Data Source'!AG745&gt;=1,"D","F")))))),"")</f>
        <v/>
      </c>
      <c r="P745" s="5">
        <f>IF(AND('Data Source'!B745&lt;&gt;"",'Data Source'!S745="A+"),'Data Source'!R745,"")</f>
        <v/>
      </c>
      <c r="Q745" s="3">
        <f>IF(AND('Data Source'!B745&lt;&gt;"",'Data Source'!S745="A+"),'Data Source'!S745,"")</f>
        <v/>
      </c>
    </row>
    <row r="746">
      <c r="A746" s="3">
        <f>IF(AND('Data Source'!B746&lt;&gt;"",'Data Source'!S746="A+"),COUNTIF('Data Source'!$S$3:S746,"A+"),"")</f>
        <v/>
      </c>
      <c r="B746">
        <f>IF(AND('Data Source'!B746&lt;&gt;"",'Data Source'!S746="A+"),'Data Source'!B746,"")</f>
        <v/>
      </c>
      <c r="C746" s="3">
        <f>IF(AND('Data Source'!B746&lt;&gt;"",'Data Source'!S746="A+"),IF('Data Source'!U746&gt;=5,"A+",IF('Data Source'!U746&gt;=4,"A",IF('Data Source'!U746&gt;=3.5,"A-",IF('Data Source'!U746&gt;=3,"B",IF('Data Source'!U746&gt;=2,"C",IF('Data Source'!U746&gt;=1,"D","F")))))),"")</f>
        <v/>
      </c>
      <c r="D746" s="3">
        <f>IF(AND('Data Source'!B746&lt;&gt;"",'Data Source'!S746="A+"),IF('Data Source'!V746&gt;=5,"A+",IF('Data Source'!V746&gt;=4,"A",IF('Data Source'!V746&gt;=3.5,"A-",IF('Data Source'!V746&gt;=3,"B",IF('Data Source'!V746&gt;=2,"C",IF('Data Source'!V746&gt;=1,"D","F")))))),"")</f>
        <v/>
      </c>
      <c r="E746" s="3">
        <f>IF(AND('Data Source'!B746&lt;&gt;"",'Data Source'!S746="A+"),IF('Data Source'!W746&gt;=5,"A+",IF('Data Source'!W746&gt;=4,"A",IF('Data Source'!W746&gt;=3.5,"A-",IF('Data Source'!W746&gt;=3,"B",IF('Data Source'!W746&gt;=2,"C",IF('Data Source'!W746&gt;=1,"D","F")))))),"")</f>
        <v/>
      </c>
      <c r="F746" s="3">
        <f>IF(AND('Data Source'!B746&lt;&gt;"",'Data Source'!S746="A+"),IF('Data Source'!X746&gt;=5,"A+",IF('Data Source'!X746&gt;=4,"A",IF('Data Source'!X746&gt;=3.5,"A-",IF('Data Source'!X746&gt;=3,"B",IF('Data Source'!X746&gt;=2,"C",IF('Data Source'!X746&gt;=1,"D","F")))))),"")</f>
        <v/>
      </c>
      <c r="G746" s="3">
        <f>IF(AND('Data Source'!B746&lt;&gt;"",'Data Source'!S746="A+"),IF('Data Source'!Y746&gt;=5,"A+",IF('Data Source'!Y746&gt;=4,"A",IF('Data Source'!Y746&gt;=3.5,"A-",IF('Data Source'!Y746&gt;=3,"B",IF('Data Source'!Y746&gt;=2,"C",IF('Data Source'!Y746&gt;=1,"D","F")))))),"")</f>
        <v/>
      </c>
      <c r="H746" s="3">
        <f>IF(AND('Data Source'!B746&lt;&gt;"",'Data Source'!S746="A+"),IF('Data Source'!Z746&gt;=5,"A+",IF('Data Source'!Z746&gt;=4,"A",IF('Data Source'!Z746&gt;=3.5,"A-",IF('Data Source'!Z746&gt;=3,"B",IF('Data Source'!Z746&gt;=2,"C",IF('Data Source'!Z746&gt;=1,"D","F")))))),"")</f>
        <v/>
      </c>
      <c r="I746" s="3">
        <f>IF(AND('Data Source'!B746&lt;&gt;"",'Data Source'!S746="A+"),IF('Data Source'!AA746&gt;=5,"A+",IF('Data Source'!AA746&gt;=4,"A",IF('Data Source'!AA746&gt;=3.5,"A-",IF('Data Source'!AA746&gt;=3,"B",IF('Data Source'!AA746&gt;=2,"C",IF('Data Source'!AA746&gt;=1,"D","F")))))),"")</f>
        <v/>
      </c>
      <c r="J746" s="3">
        <f>IF(AND('Data Source'!B746&lt;&gt;"",'Data Source'!S746="A+"),IF('Data Source'!AB746&gt;=5,"A+",IF('Data Source'!AB746&gt;=4,"A",IF('Data Source'!AB746&gt;=3.5,"A-",IF('Data Source'!AB746&gt;=3,"B",IF('Data Source'!AB746&gt;=2,"C",IF('Data Source'!AB746&gt;=1,"D","F")))))),"")</f>
        <v/>
      </c>
      <c r="K746" s="3">
        <f>IF(AND('Data Source'!B746&lt;&gt;"",'Data Source'!S746="A+"),IF('Data Source'!AC746&gt;=5,"A+",IF('Data Source'!AC746&gt;=4,"A",IF('Data Source'!AC746&gt;=3.5,"A-",IF('Data Source'!AC746&gt;=3,"B",IF('Data Source'!AC746&gt;=2,"C",IF('Data Source'!AC746&gt;=1,"D","F")))))),"")</f>
        <v/>
      </c>
      <c r="L746" s="3">
        <f>IF(AND('Data Source'!B746&lt;&gt;"",'Data Source'!S746="A+"),IF('Data Source'!AD746&gt;=5,"A+",IF('Data Source'!AD746&gt;=4,"A",IF('Data Source'!AD746&gt;=3.5,"A-",IF('Data Source'!AD746&gt;=3,"B",IF('Data Source'!AD746&gt;=2,"C",IF('Data Source'!AD746&gt;=1,"D","F")))))),"")</f>
        <v/>
      </c>
      <c r="M746" s="3">
        <f>IF(AND('Data Source'!B746&lt;&gt;"",'Data Source'!S746="A+"),IF('Data Source'!AE746&gt;=5,"A+",IF('Data Source'!AE746&gt;=4,"A",IF('Data Source'!AE746&gt;=3.5,"A-",IF('Data Source'!AE746&gt;=3,"B",IF('Data Source'!AE746&gt;=2,"C",IF('Data Source'!AE746&gt;=1,"D","F")))))),"")</f>
        <v/>
      </c>
      <c r="N746" s="3">
        <f>IF(AND('Data Source'!B746&lt;&gt;"",'Data Source'!S746="A+"),IF('Data Source'!AF746&gt;=5,"A+",IF('Data Source'!AF746&gt;=4,"A",IF('Data Source'!AF746&gt;=3.5,"A-",IF('Data Source'!AF746&gt;=3,"B",IF('Data Source'!AF746&gt;=2,"C",IF('Data Source'!AF746&gt;=1,"D","F")))))),"")</f>
        <v/>
      </c>
      <c r="O746" s="3">
        <f>IF(AND('Data Source'!B746&lt;&gt;"",'Data Source'!S746="A+"),IF('Data Source'!AG746&gt;=5,"A+",IF('Data Source'!AG746&gt;=4,"A",IF('Data Source'!AG746&gt;=3.5,"A-",IF('Data Source'!AG746&gt;=3,"B",IF('Data Source'!AG746&gt;=2,"C",IF('Data Source'!AG746&gt;=1,"D","F")))))),"")</f>
        <v/>
      </c>
      <c r="P746" s="5">
        <f>IF(AND('Data Source'!B746&lt;&gt;"",'Data Source'!S746="A+"),'Data Source'!R746,"")</f>
        <v/>
      </c>
      <c r="Q746" s="3">
        <f>IF(AND('Data Source'!B746&lt;&gt;"",'Data Source'!S746="A+"),'Data Source'!S746,"")</f>
        <v/>
      </c>
    </row>
    <row r="747">
      <c r="A747" s="3">
        <f>IF(AND('Data Source'!B747&lt;&gt;"",'Data Source'!S747="A+"),COUNTIF('Data Source'!$S$3:S747,"A+"),"")</f>
        <v/>
      </c>
      <c r="B747">
        <f>IF(AND('Data Source'!B747&lt;&gt;"",'Data Source'!S747="A+"),'Data Source'!B747,"")</f>
        <v/>
      </c>
      <c r="C747" s="3">
        <f>IF(AND('Data Source'!B747&lt;&gt;"",'Data Source'!S747="A+"),IF('Data Source'!U747&gt;=5,"A+",IF('Data Source'!U747&gt;=4,"A",IF('Data Source'!U747&gt;=3.5,"A-",IF('Data Source'!U747&gt;=3,"B",IF('Data Source'!U747&gt;=2,"C",IF('Data Source'!U747&gt;=1,"D","F")))))),"")</f>
        <v/>
      </c>
      <c r="D747" s="3">
        <f>IF(AND('Data Source'!B747&lt;&gt;"",'Data Source'!S747="A+"),IF('Data Source'!V747&gt;=5,"A+",IF('Data Source'!V747&gt;=4,"A",IF('Data Source'!V747&gt;=3.5,"A-",IF('Data Source'!V747&gt;=3,"B",IF('Data Source'!V747&gt;=2,"C",IF('Data Source'!V747&gt;=1,"D","F")))))),"")</f>
        <v/>
      </c>
      <c r="E747" s="3">
        <f>IF(AND('Data Source'!B747&lt;&gt;"",'Data Source'!S747="A+"),IF('Data Source'!W747&gt;=5,"A+",IF('Data Source'!W747&gt;=4,"A",IF('Data Source'!W747&gt;=3.5,"A-",IF('Data Source'!W747&gt;=3,"B",IF('Data Source'!W747&gt;=2,"C",IF('Data Source'!W747&gt;=1,"D","F")))))),"")</f>
        <v/>
      </c>
      <c r="F747" s="3">
        <f>IF(AND('Data Source'!B747&lt;&gt;"",'Data Source'!S747="A+"),IF('Data Source'!X747&gt;=5,"A+",IF('Data Source'!X747&gt;=4,"A",IF('Data Source'!X747&gt;=3.5,"A-",IF('Data Source'!X747&gt;=3,"B",IF('Data Source'!X747&gt;=2,"C",IF('Data Source'!X747&gt;=1,"D","F")))))),"")</f>
        <v/>
      </c>
      <c r="G747" s="3">
        <f>IF(AND('Data Source'!B747&lt;&gt;"",'Data Source'!S747="A+"),IF('Data Source'!Y747&gt;=5,"A+",IF('Data Source'!Y747&gt;=4,"A",IF('Data Source'!Y747&gt;=3.5,"A-",IF('Data Source'!Y747&gt;=3,"B",IF('Data Source'!Y747&gt;=2,"C",IF('Data Source'!Y747&gt;=1,"D","F")))))),"")</f>
        <v/>
      </c>
      <c r="H747" s="3">
        <f>IF(AND('Data Source'!B747&lt;&gt;"",'Data Source'!S747="A+"),IF('Data Source'!Z747&gt;=5,"A+",IF('Data Source'!Z747&gt;=4,"A",IF('Data Source'!Z747&gt;=3.5,"A-",IF('Data Source'!Z747&gt;=3,"B",IF('Data Source'!Z747&gt;=2,"C",IF('Data Source'!Z747&gt;=1,"D","F")))))),"")</f>
        <v/>
      </c>
      <c r="I747" s="3">
        <f>IF(AND('Data Source'!B747&lt;&gt;"",'Data Source'!S747="A+"),IF('Data Source'!AA747&gt;=5,"A+",IF('Data Source'!AA747&gt;=4,"A",IF('Data Source'!AA747&gt;=3.5,"A-",IF('Data Source'!AA747&gt;=3,"B",IF('Data Source'!AA747&gt;=2,"C",IF('Data Source'!AA747&gt;=1,"D","F")))))),"")</f>
        <v/>
      </c>
      <c r="J747" s="3">
        <f>IF(AND('Data Source'!B747&lt;&gt;"",'Data Source'!S747="A+"),IF('Data Source'!AB747&gt;=5,"A+",IF('Data Source'!AB747&gt;=4,"A",IF('Data Source'!AB747&gt;=3.5,"A-",IF('Data Source'!AB747&gt;=3,"B",IF('Data Source'!AB747&gt;=2,"C",IF('Data Source'!AB747&gt;=1,"D","F")))))),"")</f>
        <v/>
      </c>
      <c r="K747" s="3">
        <f>IF(AND('Data Source'!B747&lt;&gt;"",'Data Source'!S747="A+"),IF('Data Source'!AC747&gt;=5,"A+",IF('Data Source'!AC747&gt;=4,"A",IF('Data Source'!AC747&gt;=3.5,"A-",IF('Data Source'!AC747&gt;=3,"B",IF('Data Source'!AC747&gt;=2,"C",IF('Data Source'!AC747&gt;=1,"D","F")))))),"")</f>
        <v/>
      </c>
      <c r="L747" s="3">
        <f>IF(AND('Data Source'!B747&lt;&gt;"",'Data Source'!S747="A+"),IF('Data Source'!AD747&gt;=5,"A+",IF('Data Source'!AD747&gt;=4,"A",IF('Data Source'!AD747&gt;=3.5,"A-",IF('Data Source'!AD747&gt;=3,"B",IF('Data Source'!AD747&gt;=2,"C",IF('Data Source'!AD747&gt;=1,"D","F")))))),"")</f>
        <v/>
      </c>
      <c r="M747" s="3">
        <f>IF(AND('Data Source'!B747&lt;&gt;"",'Data Source'!S747="A+"),IF('Data Source'!AE747&gt;=5,"A+",IF('Data Source'!AE747&gt;=4,"A",IF('Data Source'!AE747&gt;=3.5,"A-",IF('Data Source'!AE747&gt;=3,"B",IF('Data Source'!AE747&gt;=2,"C",IF('Data Source'!AE747&gt;=1,"D","F")))))),"")</f>
        <v/>
      </c>
      <c r="N747" s="3">
        <f>IF(AND('Data Source'!B747&lt;&gt;"",'Data Source'!S747="A+"),IF('Data Source'!AF747&gt;=5,"A+",IF('Data Source'!AF747&gt;=4,"A",IF('Data Source'!AF747&gt;=3.5,"A-",IF('Data Source'!AF747&gt;=3,"B",IF('Data Source'!AF747&gt;=2,"C",IF('Data Source'!AF747&gt;=1,"D","F")))))),"")</f>
        <v/>
      </c>
      <c r="O747" s="3">
        <f>IF(AND('Data Source'!B747&lt;&gt;"",'Data Source'!S747="A+"),IF('Data Source'!AG747&gt;=5,"A+",IF('Data Source'!AG747&gt;=4,"A",IF('Data Source'!AG747&gt;=3.5,"A-",IF('Data Source'!AG747&gt;=3,"B",IF('Data Source'!AG747&gt;=2,"C",IF('Data Source'!AG747&gt;=1,"D","F")))))),"")</f>
        <v/>
      </c>
      <c r="P747" s="5">
        <f>IF(AND('Data Source'!B747&lt;&gt;"",'Data Source'!S747="A+"),'Data Source'!R747,"")</f>
        <v/>
      </c>
      <c r="Q747" s="3">
        <f>IF(AND('Data Source'!B747&lt;&gt;"",'Data Source'!S747="A+"),'Data Source'!S747,"")</f>
        <v/>
      </c>
    </row>
    <row r="748">
      <c r="A748" s="3">
        <f>IF(AND('Data Source'!B748&lt;&gt;"",'Data Source'!S748="A+"),COUNTIF('Data Source'!$S$3:S748,"A+"),"")</f>
        <v/>
      </c>
      <c r="B748">
        <f>IF(AND('Data Source'!B748&lt;&gt;"",'Data Source'!S748="A+"),'Data Source'!B748,"")</f>
        <v/>
      </c>
      <c r="C748" s="3">
        <f>IF(AND('Data Source'!B748&lt;&gt;"",'Data Source'!S748="A+"),IF('Data Source'!U748&gt;=5,"A+",IF('Data Source'!U748&gt;=4,"A",IF('Data Source'!U748&gt;=3.5,"A-",IF('Data Source'!U748&gt;=3,"B",IF('Data Source'!U748&gt;=2,"C",IF('Data Source'!U748&gt;=1,"D","F")))))),"")</f>
        <v/>
      </c>
      <c r="D748" s="3">
        <f>IF(AND('Data Source'!B748&lt;&gt;"",'Data Source'!S748="A+"),IF('Data Source'!V748&gt;=5,"A+",IF('Data Source'!V748&gt;=4,"A",IF('Data Source'!V748&gt;=3.5,"A-",IF('Data Source'!V748&gt;=3,"B",IF('Data Source'!V748&gt;=2,"C",IF('Data Source'!V748&gt;=1,"D","F")))))),"")</f>
        <v/>
      </c>
      <c r="E748" s="3">
        <f>IF(AND('Data Source'!B748&lt;&gt;"",'Data Source'!S748="A+"),IF('Data Source'!W748&gt;=5,"A+",IF('Data Source'!W748&gt;=4,"A",IF('Data Source'!W748&gt;=3.5,"A-",IF('Data Source'!W748&gt;=3,"B",IF('Data Source'!W748&gt;=2,"C",IF('Data Source'!W748&gt;=1,"D","F")))))),"")</f>
        <v/>
      </c>
      <c r="F748" s="3">
        <f>IF(AND('Data Source'!B748&lt;&gt;"",'Data Source'!S748="A+"),IF('Data Source'!X748&gt;=5,"A+",IF('Data Source'!X748&gt;=4,"A",IF('Data Source'!X748&gt;=3.5,"A-",IF('Data Source'!X748&gt;=3,"B",IF('Data Source'!X748&gt;=2,"C",IF('Data Source'!X748&gt;=1,"D","F")))))),"")</f>
        <v/>
      </c>
      <c r="G748" s="3">
        <f>IF(AND('Data Source'!B748&lt;&gt;"",'Data Source'!S748="A+"),IF('Data Source'!Y748&gt;=5,"A+",IF('Data Source'!Y748&gt;=4,"A",IF('Data Source'!Y748&gt;=3.5,"A-",IF('Data Source'!Y748&gt;=3,"B",IF('Data Source'!Y748&gt;=2,"C",IF('Data Source'!Y748&gt;=1,"D","F")))))),"")</f>
        <v/>
      </c>
      <c r="H748" s="3">
        <f>IF(AND('Data Source'!B748&lt;&gt;"",'Data Source'!S748="A+"),IF('Data Source'!Z748&gt;=5,"A+",IF('Data Source'!Z748&gt;=4,"A",IF('Data Source'!Z748&gt;=3.5,"A-",IF('Data Source'!Z748&gt;=3,"B",IF('Data Source'!Z748&gt;=2,"C",IF('Data Source'!Z748&gt;=1,"D","F")))))),"")</f>
        <v/>
      </c>
      <c r="I748" s="3">
        <f>IF(AND('Data Source'!B748&lt;&gt;"",'Data Source'!S748="A+"),IF('Data Source'!AA748&gt;=5,"A+",IF('Data Source'!AA748&gt;=4,"A",IF('Data Source'!AA748&gt;=3.5,"A-",IF('Data Source'!AA748&gt;=3,"B",IF('Data Source'!AA748&gt;=2,"C",IF('Data Source'!AA748&gt;=1,"D","F")))))),"")</f>
        <v/>
      </c>
      <c r="J748" s="3">
        <f>IF(AND('Data Source'!B748&lt;&gt;"",'Data Source'!S748="A+"),IF('Data Source'!AB748&gt;=5,"A+",IF('Data Source'!AB748&gt;=4,"A",IF('Data Source'!AB748&gt;=3.5,"A-",IF('Data Source'!AB748&gt;=3,"B",IF('Data Source'!AB748&gt;=2,"C",IF('Data Source'!AB748&gt;=1,"D","F")))))),"")</f>
        <v/>
      </c>
      <c r="K748" s="3">
        <f>IF(AND('Data Source'!B748&lt;&gt;"",'Data Source'!S748="A+"),IF('Data Source'!AC748&gt;=5,"A+",IF('Data Source'!AC748&gt;=4,"A",IF('Data Source'!AC748&gt;=3.5,"A-",IF('Data Source'!AC748&gt;=3,"B",IF('Data Source'!AC748&gt;=2,"C",IF('Data Source'!AC748&gt;=1,"D","F")))))),"")</f>
        <v/>
      </c>
      <c r="L748" s="3">
        <f>IF(AND('Data Source'!B748&lt;&gt;"",'Data Source'!S748="A+"),IF('Data Source'!AD748&gt;=5,"A+",IF('Data Source'!AD748&gt;=4,"A",IF('Data Source'!AD748&gt;=3.5,"A-",IF('Data Source'!AD748&gt;=3,"B",IF('Data Source'!AD748&gt;=2,"C",IF('Data Source'!AD748&gt;=1,"D","F")))))),"")</f>
        <v/>
      </c>
      <c r="M748" s="3">
        <f>IF(AND('Data Source'!B748&lt;&gt;"",'Data Source'!S748="A+"),IF('Data Source'!AE748&gt;=5,"A+",IF('Data Source'!AE748&gt;=4,"A",IF('Data Source'!AE748&gt;=3.5,"A-",IF('Data Source'!AE748&gt;=3,"B",IF('Data Source'!AE748&gt;=2,"C",IF('Data Source'!AE748&gt;=1,"D","F")))))),"")</f>
        <v/>
      </c>
      <c r="N748" s="3">
        <f>IF(AND('Data Source'!B748&lt;&gt;"",'Data Source'!S748="A+"),IF('Data Source'!AF748&gt;=5,"A+",IF('Data Source'!AF748&gt;=4,"A",IF('Data Source'!AF748&gt;=3.5,"A-",IF('Data Source'!AF748&gt;=3,"B",IF('Data Source'!AF748&gt;=2,"C",IF('Data Source'!AF748&gt;=1,"D","F")))))),"")</f>
        <v/>
      </c>
      <c r="O748" s="3">
        <f>IF(AND('Data Source'!B748&lt;&gt;"",'Data Source'!S748="A+"),IF('Data Source'!AG748&gt;=5,"A+",IF('Data Source'!AG748&gt;=4,"A",IF('Data Source'!AG748&gt;=3.5,"A-",IF('Data Source'!AG748&gt;=3,"B",IF('Data Source'!AG748&gt;=2,"C",IF('Data Source'!AG748&gt;=1,"D","F")))))),"")</f>
        <v/>
      </c>
      <c r="P748" s="5">
        <f>IF(AND('Data Source'!B748&lt;&gt;"",'Data Source'!S748="A+"),'Data Source'!R748,"")</f>
        <v/>
      </c>
      <c r="Q748" s="3">
        <f>IF(AND('Data Source'!B748&lt;&gt;"",'Data Source'!S748="A+"),'Data Source'!S748,"")</f>
        <v/>
      </c>
    </row>
    <row r="749">
      <c r="A749" s="3">
        <f>IF(AND('Data Source'!B749&lt;&gt;"",'Data Source'!S749="A+"),COUNTIF('Data Source'!$S$3:S749,"A+"),"")</f>
        <v/>
      </c>
      <c r="B749">
        <f>IF(AND('Data Source'!B749&lt;&gt;"",'Data Source'!S749="A+"),'Data Source'!B749,"")</f>
        <v/>
      </c>
      <c r="C749" s="3">
        <f>IF(AND('Data Source'!B749&lt;&gt;"",'Data Source'!S749="A+"),IF('Data Source'!U749&gt;=5,"A+",IF('Data Source'!U749&gt;=4,"A",IF('Data Source'!U749&gt;=3.5,"A-",IF('Data Source'!U749&gt;=3,"B",IF('Data Source'!U749&gt;=2,"C",IF('Data Source'!U749&gt;=1,"D","F")))))),"")</f>
        <v/>
      </c>
      <c r="D749" s="3">
        <f>IF(AND('Data Source'!B749&lt;&gt;"",'Data Source'!S749="A+"),IF('Data Source'!V749&gt;=5,"A+",IF('Data Source'!V749&gt;=4,"A",IF('Data Source'!V749&gt;=3.5,"A-",IF('Data Source'!V749&gt;=3,"B",IF('Data Source'!V749&gt;=2,"C",IF('Data Source'!V749&gt;=1,"D","F")))))),"")</f>
        <v/>
      </c>
      <c r="E749" s="3">
        <f>IF(AND('Data Source'!B749&lt;&gt;"",'Data Source'!S749="A+"),IF('Data Source'!W749&gt;=5,"A+",IF('Data Source'!W749&gt;=4,"A",IF('Data Source'!W749&gt;=3.5,"A-",IF('Data Source'!W749&gt;=3,"B",IF('Data Source'!W749&gt;=2,"C",IF('Data Source'!W749&gt;=1,"D","F")))))),"")</f>
        <v/>
      </c>
      <c r="F749" s="3">
        <f>IF(AND('Data Source'!B749&lt;&gt;"",'Data Source'!S749="A+"),IF('Data Source'!X749&gt;=5,"A+",IF('Data Source'!X749&gt;=4,"A",IF('Data Source'!X749&gt;=3.5,"A-",IF('Data Source'!X749&gt;=3,"B",IF('Data Source'!X749&gt;=2,"C",IF('Data Source'!X749&gt;=1,"D","F")))))),"")</f>
        <v/>
      </c>
      <c r="G749" s="3">
        <f>IF(AND('Data Source'!B749&lt;&gt;"",'Data Source'!S749="A+"),IF('Data Source'!Y749&gt;=5,"A+",IF('Data Source'!Y749&gt;=4,"A",IF('Data Source'!Y749&gt;=3.5,"A-",IF('Data Source'!Y749&gt;=3,"B",IF('Data Source'!Y749&gt;=2,"C",IF('Data Source'!Y749&gt;=1,"D","F")))))),"")</f>
        <v/>
      </c>
      <c r="H749" s="3">
        <f>IF(AND('Data Source'!B749&lt;&gt;"",'Data Source'!S749="A+"),IF('Data Source'!Z749&gt;=5,"A+",IF('Data Source'!Z749&gt;=4,"A",IF('Data Source'!Z749&gt;=3.5,"A-",IF('Data Source'!Z749&gt;=3,"B",IF('Data Source'!Z749&gt;=2,"C",IF('Data Source'!Z749&gt;=1,"D","F")))))),"")</f>
        <v/>
      </c>
      <c r="I749" s="3">
        <f>IF(AND('Data Source'!B749&lt;&gt;"",'Data Source'!S749="A+"),IF('Data Source'!AA749&gt;=5,"A+",IF('Data Source'!AA749&gt;=4,"A",IF('Data Source'!AA749&gt;=3.5,"A-",IF('Data Source'!AA749&gt;=3,"B",IF('Data Source'!AA749&gt;=2,"C",IF('Data Source'!AA749&gt;=1,"D","F")))))),"")</f>
        <v/>
      </c>
      <c r="J749" s="3">
        <f>IF(AND('Data Source'!B749&lt;&gt;"",'Data Source'!S749="A+"),IF('Data Source'!AB749&gt;=5,"A+",IF('Data Source'!AB749&gt;=4,"A",IF('Data Source'!AB749&gt;=3.5,"A-",IF('Data Source'!AB749&gt;=3,"B",IF('Data Source'!AB749&gt;=2,"C",IF('Data Source'!AB749&gt;=1,"D","F")))))),"")</f>
        <v/>
      </c>
      <c r="K749" s="3">
        <f>IF(AND('Data Source'!B749&lt;&gt;"",'Data Source'!S749="A+"),IF('Data Source'!AC749&gt;=5,"A+",IF('Data Source'!AC749&gt;=4,"A",IF('Data Source'!AC749&gt;=3.5,"A-",IF('Data Source'!AC749&gt;=3,"B",IF('Data Source'!AC749&gt;=2,"C",IF('Data Source'!AC749&gt;=1,"D","F")))))),"")</f>
        <v/>
      </c>
      <c r="L749" s="3">
        <f>IF(AND('Data Source'!B749&lt;&gt;"",'Data Source'!S749="A+"),IF('Data Source'!AD749&gt;=5,"A+",IF('Data Source'!AD749&gt;=4,"A",IF('Data Source'!AD749&gt;=3.5,"A-",IF('Data Source'!AD749&gt;=3,"B",IF('Data Source'!AD749&gt;=2,"C",IF('Data Source'!AD749&gt;=1,"D","F")))))),"")</f>
        <v/>
      </c>
      <c r="M749" s="3">
        <f>IF(AND('Data Source'!B749&lt;&gt;"",'Data Source'!S749="A+"),IF('Data Source'!AE749&gt;=5,"A+",IF('Data Source'!AE749&gt;=4,"A",IF('Data Source'!AE749&gt;=3.5,"A-",IF('Data Source'!AE749&gt;=3,"B",IF('Data Source'!AE749&gt;=2,"C",IF('Data Source'!AE749&gt;=1,"D","F")))))),"")</f>
        <v/>
      </c>
      <c r="N749" s="3">
        <f>IF(AND('Data Source'!B749&lt;&gt;"",'Data Source'!S749="A+"),IF('Data Source'!AF749&gt;=5,"A+",IF('Data Source'!AF749&gt;=4,"A",IF('Data Source'!AF749&gt;=3.5,"A-",IF('Data Source'!AF749&gt;=3,"B",IF('Data Source'!AF749&gt;=2,"C",IF('Data Source'!AF749&gt;=1,"D","F")))))),"")</f>
        <v/>
      </c>
      <c r="O749" s="3">
        <f>IF(AND('Data Source'!B749&lt;&gt;"",'Data Source'!S749="A+"),IF('Data Source'!AG749&gt;=5,"A+",IF('Data Source'!AG749&gt;=4,"A",IF('Data Source'!AG749&gt;=3.5,"A-",IF('Data Source'!AG749&gt;=3,"B",IF('Data Source'!AG749&gt;=2,"C",IF('Data Source'!AG749&gt;=1,"D","F")))))),"")</f>
        <v/>
      </c>
      <c r="P749" s="5">
        <f>IF(AND('Data Source'!B749&lt;&gt;"",'Data Source'!S749="A+"),'Data Source'!R749,"")</f>
        <v/>
      </c>
      <c r="Q749" s="3">
        <f>IF(AND('Data Source'!B749&lt;&gt;"",'Data Source'!S749="A+"),'Data Source'!S749,"")</f>
        <v/>
      </c>
    </row>
    <row r="750">
      <c r="A750" s="3">
        <f>IF(AND('Data Source'!B750&lt;&gt;"",'Data Source'!S750="A+"),COUNTIF('Data Source'!$S$3:S750,"A+"),"")</f>
        <v/>
      </c>
      <c r="B750">
        <f>IF(AND('Data Source'!B750&lt;&gt;"",'Data Source'!S750="A+"),'Data Source'!B750,"")</f>
        <v/>
      </c>
      <c r="C750" s="3">
        <f>IF(AND('Data Source'!B750&lt;&gt;"",'Data Source'!S750="A+"),IF('Data Source'!U750&gt;=5,"A+",IF('Data Source'!U750&gt;=4,"A",IF('Data Source'!U750&gt;=3.5,"A-",IF('Data Source'!U750&gt;=3,"B",IF('Data Source'!U750&gt;=2,"C",IF('Data Source'!U750&gt;=1,"D","F")))))),"")</f>
        <v/>
      </c>
      <c r="D750" s="3">
        <f>IF(AND('Data Source'!B750&lt;&gt;"",'Data Source'!S750="A+"),IF('Data Source'!V750&gt;=5,"A+",IF('Data Source'!V750&gt;=4,"A",IF('Data Source'!V750&gt;=3.5,"A-",IF('Data Source'!V750&gt;=3,"B",IF('Data Source'!V750&gt;=2,"C",IF('Data Source'!V750&gt;=1,"D","F")))))),"")</f>
        <v/>
      </c>
      <c r="E750" s="3">
        <f>IF(AND('Data Source'!B750&lt;&gt;"",'Data Source'!S750="A+"),IF('Data Source'!W750&gt;=5,"A+",IF('Data Source'!W750&gt;=4,"A",IF('Data Source'!W750&gt;=3.5,"A-",IF('Data Source'!W750&gt;=3,"B",IF('Data Source'!W750&gt;=2,"C",IF('Data Source'!W750&gt;=1,"D","F")))))),"")</f>
        <v/>
      </c>
      <c r="F750" s="3">
        <f>IF(AND('Data Source'!B750&lt;&gt;"",'Data Source'!S750="A+"),IF('Data Source'!X750&gt;=5,"A+",IF('Data Source'!X750&gt;=4,"A",IF('Data Source'!X750&gt;=3.5,"A-",IF('Data Source'!X750&gt;=3,"B",IF('Data Source'!X750&gt;=2,"C",IF('Data Source'!X750&gt;=1,"D","F")))))),"")</f>
        <v/>
      </c>
      <c r="G750" s="3">
        <f>IF(AND('Data Source'!B750&lt;&gt;"",'Data Source'!S750="A+"),IF('Data Source'!Y750&gt;=5,"A+",IF('Data Source'!Y750&gt;=4,"A",IF('Data Source'!Y750&gt;=3.5,"A-",IF('Data Source'!Y750&gt;=3,"B",IF('Data Source'!Y750&gt;=2,"C",IF('Data Source'!Y750&gt;=1,"D","F")))))),"")</f>
        <v/>
      </c>
      <c r="H750" s="3">
        <f>IF(AND('Data Source'!B750&lt;&gt;"",'Data Source'!S750="A+"),IF('Data Source'!Z750&gt;=5,"A+",IF('Data Source'!Z750&gt;=4,"A",IF('Data Source'!Z750&gt;=3.5,"A-",IF('Data Source'!Z750&gt;=3,"B",IF('Data Source'!Z750&gt;=2,"C",IF('Data Source'!Z750&gt;=1,"D","F")))))),"")</f>
        <v/>
      </c>
      <c r="I750" s="3">
        <f>IF(AND('Data Source'!B750&lt;&gt;"",'Data Source'!S750="A+"),IF('Data Source'!AA750&gt;=5,"A+",IF('Data Source'!AA750&gt;=4,"A",IF('Data Source'!AA750&gt;=3.5,"A-",IF('Data Source'!AA750&gt;=3,"B",IF('Data Source'!AA750&gt;=2,"C",IF('Data Source'!AA750&gt;=1,"D","F")))))),"")</f>
        <v/>
      </c>
      <c r="J750" s="3">
        <f>IF(AND('Data Source'!B750&lt;&gt;"",'Data Source'!S750="A+"),IF('Data Source'!AB750&gt;=5,"A+",IF('Data Source'!AB750&gt;=4,"A",IF('Data Source'!AB750&gt;=3.5,"A-",IF('Data Source'!AB750&gt;=3,"B",IF('Data Source'!AB750&gt;=2,"C",IF('Data Source'!AB750&gt;=1,"D","F")))))),"")</f>
        <v/>
      </c>
      <c r="K750" s="3">
        <f>IF(AND('Data Source'!B750&lt;&gt;"",'Data Source'!S750="A+"),IF('Data Source'!AC750&gt;=5,"A+",IF('Data Source'!AC750&gt;=4,"A",IF('Data Source'!AC750&gt;=3.5,"A-",IF('Data Source'!AC750&gt;=3,"B",IF('Data Source'!AC750&gt;=2,"C",IF('Data Source'!AC750&gt;=1,"D","F")))))),"")</f>
        <v/>
      </c>
      <c r="L750" s="3">
        <f>IF(AND('Data Source'!B750&lt;&gt;"",'Data Source'!S750="A+"),IF('Data Source'!AD750&gt;=5,"A+",IF('Data Source'!AD750&gt;=4,"A",IF('Data Source'!AD750&gt;=3.5,"A-",IF('Data Source'!AD750&gt;=3,"B",IF('Data Source'!AD750&gt;=2,"C",IF('Data Source'!AD750&gt;=1,"D","F")))))),"")</f>
        <v/>
      </c>
      <c r="M750" s="3">
        <f>IF(AND('Data Source'!B750&lt;&gt;"",'Data Source'!S750="A+"),IF('Data Source'!AE750&gt;=5,"A+",IF('Data Source'!AE750&gt;=4,"A",IF('Data Source'!AE750&gt;=3.5,"A-",IF('Data Source'!AE750&gt;=3,"B",IF('Data Source'!AE750&gt;=2,"C",IF('Data Source'!AE750&gt;=1,"D","F")))))),"")</f>
        <v/>
      </c>
      <c r="N750" s="3">
        <f>IF(AND('Data Source'!B750&lt;&gt;"",'Data Source'!S750="A+"),IF('Data Source'!AF750&gt;=5,"A+",IF('Data Source'!AF750&gt;=4,"A",IF('Data Source'!AF750&gt;=3.5,"A-",IF('Data Source'!AF750&gt;=3,"B",IF('Data Source'!AF750&gt;=2,"C",IF('Data Source'!AF750&gt;=1,"D","F")))))),"")</f>
        <v/>
      </c>
      <c r="O750" s="3">
        <f>IF(AND('Data Source'!B750&lt;&gt;"",'Data Source'!S750="A+"),IF('Data Source'!AG750&gt;=5,"A+",IF('Data Source'!AG750&gt;=4,"A",IF('Data Source'!AG750&gt;=3.5,"A-",IF('Data Source'!AG750&gt;=3,"B",IF('Data Source'!AG750&gt;=2,"C",IF('Data Source'!AG750&gt;=1,"D","F")))))),"")</f>
        <v/>
      </c>
      <c r="P750" s="5">
        <f>IF(AND('Data Source'!B750&lt;&gt;"",'Data Source'!S750="A+"),'Data Source'!R750,"")</f>
        <v/>
      </c>
      <c r="Q750" s="3">
        <f>IF(AND('Data Source'!B750&lt;&gt;"",'Data Source'!S750="A+"),'Data Source'!S750,"")</f>
        <v/>
      </c>
    </row>
    <row r="751">
      <c r="A751" s="3">
        <f>IF(AND('Data Source'!B751&lt;&gt;"",'Data Source'!S751="A+"),COUNTIF('Data Source'!$S$3:S751,"A+"),"")</f>
        <v/>
      </c>
      <c r="B751">
        <f>IF(AND('Data Source'!B751&lt;&gt;"",'Data Source'!S751="A+"),'Data Source'!B751,"")</f>
        <v/>
      </c>
      <c r="C751" s="3">
        <f>IF(AND('Data Source'!B751&lt;&gt;"",'Data Source'!S751="A+"),IF('Data Source'!U751&gt;=5,"A+",IF('Data Source'!U751&gt;=4,"A",IF('Data Source'!U751&gt;=3.5,"A-",IF('Data Source'!U751&gt;=3,"B",IF('Data Source'!U751&gt;=2,"C",IF('Data Source'!U751&gt;=1,"D","F")))))),"")</f>
        <v/>
      </c>
      <c r="D751" s="3">
        <f>IF(AND('Data Source'!B751&lt;&gt;"",'Data Source'!S751="A+"),IF('Data Source'!V751&gt;=5,"A+",IF('Data Source'!V751&gt;=4,"A",IF('Data Source'!V751&gt;=3.5,"A-",IF('Data Source'!V751&gt;=3,"B",IF('Data Source'!V751&gt;=2,"C",IF('Data Source'!V751&gt;=1,"D","F")))))),"")</f>
        <v/>
      </c>
      <c r="E751" s="3">
        <f>IF(AND('Data Source'!B751&lt;&gt;"",'Data Source'!S751="A+"),IF('Data Source'!W751&gt;=5,"A+",IF('Data Source'!W751&gt;=4,"A",IF('Data Source'!W751&gt;=3.5,"A-",IF('Data Source'!W751&gt;=3,"B",IF('Data Source'!W751&gt;=2,"C",IF('Data Source'!W751&gt;=1,"D","F")))))),"")</f>
        <v/>
      </c>
      <c r="F751" s="3">
        <f>IF(AND('Data Source'!B751&lt;&gt;"",'Data Source'!S751="A+"),IF('Data Source'!X751&gt;=5,"A+",IF('Data Source'!X751&gt;=4,"A",IF('Data Source'!X751&gt;=3.5,"A-",IF('Data Source'!X751&gt;=3,"B",IF('Data Source'!X751&gt;=2,"C",IF('Data Source'!X751&gt;=1,"D","F")))))),"")</f>
        <v/>
      </c>
      <c r="G751" s="3">
        <f>IF(AND('Data Source'!B751&lt;&gt;"",'Data Source'!S751="A+"),IF('Data Source'!Y751&gt;=5,"A+",IF('Data Source'!Y751&gt;=4,"A",IF('Data Source'!Y751&gt;=3.5,"A-",IF('Data Source'!Y751&gt;=3,"B",IF('Data Source'!Y751&gt;=2,"C",IF('Data Source'!Y751&gt;=1,"D","F")))))),"")</f>
        <v/>
      </c>
      <c r="H751" s="3">
        <f>IF(AND('Data Source'!B751&lt;&gt;"",'Data Source'!S751="A+"),IF('Data Source'!Z751&gt;=5,"A+",IF('Data Source'!Z751&gt;=4,"A",IF('Data Source'!Z751&gt;=3.5,"A-",IF('Data Source'!Z751&gt;=3,"B",IF('Data Source'!Z751&gt;=2,"C",IF('Data Source'!Z751&gt;=1,"D","F")))))),"")</f>
        <v/>
      </c>
      <c r="I751" s="3">
        <f>IF(AND('Data Source'!B751&lt;&gt;"",'Data Source'!S751="A+"),IF('Data Source'!AA751&gt;=5,"A+",IF('Data Source'!AA751&gt;=4,"A",IF('Data Source'!AA751&gt;=3.5,"A-",IF('Data Source'!AA751&gt;=3,"B",IF('Data Source'!AA751&gt;=2,"C",IF('Data Source'!AA751&gt;=1,"D","F")))))),"")</f>
        <v/>
      </c>
      <c r="J751" s="3">
        <f>IF(AND('Data Source'!B751&lt;&gt;"",'Data Source'!S751="A+"),IF('Data Source'!AB751&gt;=5,"A+",IF('Data Source'!AB751&gt;=4,"A",IF('Data Source'!AB751&gt;=3.5,"A-",IF('Data Source'!AB751&gt;=3,"B",IF('Data Source'!AB751&gt;=2,"C",IF('Data Source'!AB751&gt;=1,"D","F")))))),"")</f>
        <v/>
      </c>
      <c r="K751" s="3">
        <f>IF(AND('Data Source'!B751&lt;&gt;"",'Data Source'!S751="A+"),IF('Data Source'!AC751&gt;=5,"A+",IF('Data Source'!AC751&gt;=4,"A",IF('Data Source'!AC751&gt;=3.5,"A-",IF('Data Source'!AC751&gt;=3,"B",IF('Data Source'!AC751&gt;=2,"C",IF('Data Source'!AC751&gt;=1,"D","F")))))),"")</f>
        <v/>
      </c>
      <c r="L751" s="3">
        <f>IF(AND('Data Source'!B751&lt;&gt;"",'Data Source'!S751="A+"),IF('Data Source'!AD751&gt;=5,"A+",IF('Data Source'!AD751&gt;=4,"A",IF('Data Source'!AD751&gt;=3.5,"A-",IF('Data Source'!AD751&gt;=3,"B",IF('Data Source'!AD751&gt;=2,"C",IF('Data Source'!AD751&gt;=1,"D","F")))))),"")</f>
        <v/>
      </c>
      <c r="M751" s="3">
        <f>IF(AND('Data Source'!B751&lt;&gt;"",'Data Source'!S751="A+"),IF('Data Source'!AE751&gt;=5,"A+",IF('Data Source'!AE751&gt;=4,"A",IF('Data Source'!AE751&gt;=3.5,"A-",IF('Data Source'!AE751&gt;=3,"B",IF('Data Source'!AE751&gt;=2,"C",IF('Data Source'!AE751&gt;=1,"D","F")))))),"")</f>
        <v/>
      </c>
      <c r="N751" s="3">
        <f>IF(AND('Data Source'!B751&lt;&gt;"",'Data Source'!S751="A+"),IF('Data Source'!AF751&gt;=5,"A+",IF('Data Source'!AF751&gt;=4,"A",IF('Data Source'!AF751&gt;=3.5,"A-",IF('Data Source'!AF751&gt;=3,"B",IF('Data Source'!AF751&gt;=2,"C",IF('Data Source'!AF751&gt;=1,"D","F")))))),"")</f>
        <v/>
      </c>
      <c r="O751" s="3">
        <f>IF(AND('Data Source'!B751&lt;&gt;"",'Data Source'!S751="A+"),IF('Data Source'!AG751&gt;=5,"A+",IF('Data Source'!AG751&gt;=4,"A",IF('Data Source'!AG751&gt;=3.5,"A-",IF('Data Source'!AG751&gt;=3,"B",IF('Data Source'!AG751&gt;=2,"C",IF('Data Source'!AG751&gt;=1,"D","F")))))),"")</f>
        <v/>
      </c>
      <c r="P751" s="5">
        <f>IF(AND('Data Source'!B751&lt;&gt;"",'Data Source'!S751="A+"),'Data Source'!R751,"")</f>
        <v/>
      </c>
      <c r="Q751" s="3">
        <f>IF(AND('Data Source'!B751&lt;&gt;"",'Data Source'!S751="A+"),'Data Source'!S751,"")</f>
        <v/>
      </c>
    </row>
    <row r="752">
      <c r="A752" s="3">
        <f>IF(AND('Data Source'!B752&lt;&gt;"",'Data Source'!S752="A+"),COUNTIF('Data Source'!$S$3:S752,"A+"),"")</f>
        <v/>
      </c>
      <c r="B752">
        <f>IF(AND('Data Source'!B752&lt;&gt;"",'Data Source'!S752="A+"),'Data Source'!B752,"")</f>
        <v/>
      </c>
      <c r="C752" s="3">
        <f>IF(AND('Data Source'!B752&lt;&gt;"",'Data Source'!S752="A+"),IF('Data Source'!U752&gt;=5,"A+",IF('Data Source'!U752&gt;=4,"A",IF('Data Source'!U752&gt;=3.5,"A-",IF('Data Source'!U752&gt;=3,"B",IF('Data Source'!U752&gt;=2,"C",IF('Data Source'!U752&gt;=1,"D","F")))))),"")</f>
        <v/>
      </c>
      <c r="D752" s="3">
        <f>IF(AND('Data Source'!B752&lt;&gt;"",'Data Source'!S752="A+"),IF('Data Source'!V752&gt;=5,"A+",IF('Data Source'!V752&gt;=4,"A",IF('Data Source'!V752&gt;=3.5,"A-",IF('Data Source'!V752&gt;=3,"B",IF('Data Source'!V752&gt;=2,"C",IF('Data Source'!V752&gt;=1,"D","F")))))),"")</f>
        <v/>
      </c>
      <c r="E752" s="3">
        <f>IF(AND('Data Source'!B752&lt;&gt;"",'Data Source'!S752="A+"),IF('Data Source'!W752&gt;=5,"A+",IF('Data Source'!W752&gt;=4,"A",IF('Data Source'!W752&gt;=3.5,"A-",IF('Data Source'!W752&gt;=3,"B",IF('Data Source'!W752&gt;=2,"C",IF('Data Source'!W752&gt;=1,"D","F")))))),"")</f>
        <v/>
      </c>
      <c r="F752" s="3">
        <f>IF(AND('Data Source'!B752&lt;&gt;"",'Data Source'!S752="A+"),IF('Data Source'!X752&gt;=5,"A+",IF('Data Source'!X752&gt;=4,"A",IF('Data Source'!X752&gt;=3.5,"A-",IF('Data Source'!X752&gt;=3,"B",IF('Data Source'!X752&gt;=2,"C",IF('Data Source'!X752&gt;=1,"D","F")))))),"")</f>
        <v/>
      </c>
      <c r="G752" s="3">
        <f>IF(AND('Data Source'!B752&lt;&gt;"",'Data Source'!S752="A+"),IF('Data Source'!Y752&gt;=5,"A+",IF('Data Source'!Y752&gt;=4,"A",IF('Data Source'!Y752&gt;=3.5,"A-",IF('Data Source'!Y752&gt;=3,"B",IF('Data Source'!Y752&gt;=2,"C",IF('Data Source'!Y752&gt;=1,"D","F")))))),"")</f>
        <v/>
      </c>
      <c r="H752" s="3">
        <f>IF(AND('Data Source'!B752&lt;&gt;"",'Data Source'!S752="A+"),IF('Data Source'!Z752&gt;=5,"A+",IF('Data Source'!Z752&gt;=4,"A",IF('Data Source'!Z752&gt;=3.5,"A-",IF('Data Source'!Z752&gt;=3,"B",IF('Data Source'!Z752&gt;=2,"C",IF('Data Source'!Z752&gt;=1,"D","F")))))),"")</f>
        <v/>
      </c>
      <c r="I752" s="3">
        <f>IF(AND('Data Source'!B752&lt;&gt;"",'Data Source'!S752="A+"),IF('Data Source'!AA752&gt;=5,"A+",IF('Data Source'!AA752&gt;=4,"A",IF('Data Source'!AA752&gt;=3.5,"A-",IF('Data Source'!AA752&gt;=3,"B",IF('Data Source'!AA752&gt;=2,"C",IF('Data Source'!AA752&gt;=1,"D","F")))))),"")</f>
        <v/>
      </c>
      <c r="J752" s="3">
        <f>IF(AND('Data Source'!B752&lt;&gt;"",'Data Source'!S752="A+"),IF('Data Source'!AB752&gt;=5,"A+",IF('Data Source'!AB752&gt;=4,"A",IF('Data Source'!AB752&gt;=3.5,"A-",IF('Data Source'!AB752&gt;=3,"B",IF('Data Source'!AB752&gt;=2,"C",IF('Data Source'!AB752&gt;=1,"D","F")))))),"")</f>
        <v/>
      </c>
      <c r="K752" s="3">
        <f>IF(AND('Data Source'!B752&lt;&gt;"",'Data Source'!S752="A+"),IF('Data Source'!AC752&gt;=5,"A+",IF('Data Source'!AC752&gt;=4,"A",IF('Data Source'!AC752&gt;=3.5,"A-",IF('Data Source'!AC752&gt;=3,"B",IF('Data Source'!AC752&gt;=2,"C",IF('Data Source'!AC752&gt;=1,"D","F")))))),"")</f>
        <v/>
      </c>
      <c r="L752" s="3">
        <f>IF(AND('Data Source'!B752&lt;&gt;"",'Data Source'!S752="A+"),IF('Data Source'!AD752&gt;=5,"A+",IF('Data Source'!AD752&gt;=4,"A",IF('Data Source'!AD752&gt;=3.5,"A-",IF('Data Source'!AD752&gt;=3,"B",IF('Data Source'!AD752&gt;=2,"C",IF('Data Source'!AD752&gt;=1,"D","F")))))),"")</f>
        <v/>
      </c>
      <c r="M752" s="3">
        <f>IF(AND('Data Source'!B752&lt;&gt;"",'Data Source'!S752="A+"),IF('Data Source'!AE752&gt;=5,"A+",IF('Data Source'!AE752&gt;=4,"A",IF('Data Source'!AE752&gt;=3.5,"A-",IF('Data Source'!AE752&gt;=3,"B",IF('Data Source'!AE752&gt;=2,"C",IF('Data Source'!AE752&gt;=1,"D","F")))))),"")</f>
        <v/>
      </c>
      <c r="N752" s="3">
        <f>IF(AND('Data Source'!B752&lt;&gt;"",'Data Source'!S752="A+"),IF('Data Source'!AF752&gt;=5,"A+",IF('Data Source'!AF752&gt;=4,"A",IF('Data Source'!AF752&gt;=3.5,"A-",IF('Data Source'!AF752&gt;=3,"B",IF('Data Source'!AF752&gt;=2,"C",IF('Data Source'!AF752&gt;=1,"D","F")))))),"")</f>
        <v/>
      </c>
      <c r="O752" s="3">
        <f>IF(AND('Data Source'!B752&lt;&gt;"",'Data Source'!S752="A+"),IF('Data Source'!AG752&gt;=5,"A+",IF('Data Source'!AG752&gt;=4,"A",IF('Data Source'!AG752&gt;=3.5,"A-",IF('Data Source'!AG752&gt;=3,"B",IF('Data Source'!AG752&gt;=2,"C",IF('Data Source'!AG752&gt;=1,"D","F")))))),"")</f>
        <v/>
      </c>
      <c r="P752" s="5">
        <f>IF(AND('Data Source'!B752&lt;&gt;"",'Data Source'!S752="A+"),'Data Source'!R752,"")</f>
        <v/>
      </c>
      <c r="Q752" s="3">
        <f>IF(AND('Data Source'!B752&lt;&gt;"",'Data Source'!S752="A+"),'Data Source'!S752,"")</f>
        <v/>
      </c>
    </row>
    <row r="753">
      <c r="A753" s="3">
        <f>IF(AND('Data Source'!B753&lt;&gt;"",'Data Source'!S753="A+"),COUNTIF('Data Source'!$S$3:S753,"A+"),"")</f>
        <v/>
      </c>
      <c r="B753">
        <f>IF(AND('Data Source'!B753&lt;&gt;"",'Data Source'!S753="A+"),'Data Source'!B753,"")</f>
        <v/>
      </c>
      <c r="C753" s="3">
        <f>IF(AND('Data Source'!B753&lt;&gt;"",'Data Source'!S753="A+"),IF('Data Source'!U753&gt;=5,"A+",IF('Data Source'!U753&gt;=4,"A",IF('Data Source'!U753&gt;=3.5,"A-",IF('Data Source'!U753&gt;=3,"B",IF('Data Source'!U753&gt;=2,"C",IF('Data Source'!U753&gt;=1,"D","F")))))),"")</f>
        <v/>
      </c>
      <c r="D753" s="3">
        <f>IF(AND('Data Source'!B753&lt;&gt;"",'Data Source'!S753="A+"),IF('Data Source'!V753&gt;=5,"A+",IF('Data Source'!V753&gt;=4,"A",IF('Data Source'!V753&gt;=3.5,"A-",IF('Data Source'!V753&gt;=3,"B",IF('Data Source'!V753&gt;=2,"C",IF('Data Source'!V753&gt;=1,"D","F")))))),"")</f>
        <v/>
      </c>
      <c r="E753" s="3">
        <f>IF(AND('Data Source'!B753&lt;&gt;"",'Data Source'!S753="A+"),IF('Data Source'!W753&gt;=5,"A+",IF('Data Source'!W753&gt;=4,"A",IF('Data Source'!W753&gt;=3.5,"A-",IF('Data Source'!W753&gt;=3,"B",IF('Data Source'!W753&gt;=2,"C",IF('Data Source'!W753&gt;=1,"D","F")))))),"")</f>
        <v/>
      </c>
      <c r="F753" s="3">
        <f>IF(AND('Data Source'!B753&lt;&gt;"",'Data Source'!S753="A+"),IF('Data Source'!X753&gt;=5,"A+",IF('Data Source'!X753&gt;=4,"A",IF('Data Source'!X753&gt;=3.5,"A-",IF('Data Source'!X753&gt;=3,"B",IF('Data Source'!X753&gt;=2,"C",IF('Data Source'!X753&gt;=1,"D","F")))))),"")</f>
        <v/>
      </c>
      <c r="G753" s="3">
        <f>IF(AND('Data Source'!B753&lt;&gt;"",'Data Source'!S753="A+"),IF('Data Source'!Y753&gt;=5,"A+",IF('Data Source'!Y753&gt;=4,"A",IF('Data Source'!Y753&gt;=3.5,"A-",IF('Data Source'!Y753&gt;=3,"B",IF('Data Source'!Y753&gt;=2,"C",IF('Data Source'!Y753&gt;=1,"D","F")))))),"")</f>
        <v/>
      </c>
      <c r="H753" s="3">
        <f>IF(AND('Data Source'!B753&lt;&gt;"",'Data Source'!S753="A+"),IF('Data Source'!Z753&gt;=5,"A+",IF('Data Source'!Z753&gt;=4,"A",IF('Data Source'!Z753&gt;=3.5,"A-",IF('Data Source'!Z753&gt;=3,"B",IF('Data Source'!Z753&gt;=2,"C",IF('Data Source'!Z753&gt;=1,"D","F")))))),"")</f>
        <v/>
      </c>
      <c r="I753" s="3">
        <f>IF(AND('Data Source'!B753&lt;&gt;"",'Data Source'!S753="A+"),IF('Data Source'!AA753&gt;=5,"A+",IF('Data Source'!AA753&gt;=4,"A",IF('Data Source'!AA753&gt;=3.5,"A-",IF('Data Source'!AA753&gt;=3,"B",IF('Data Source'!AA753&gt;=2,"C",IF('Data Source'!AA753&gt;=1,"D","F")))))),"")</f>
        <v/>
      </c>
      <c r="J753" s="3">
        <f>IF(AND('Data Source'!B753&lt;&gt;"",'Data Source'!S753="A+"),IF('Data Source'!AB753&gt;=5,"A+",IF('Data Source'!AB753&gt;=4,"A",IF('Data Source'!AB753&gt;=3.5,"A-",IF('Data Source'!AB753&gt;=3,"B",IF('Data Source'!AB753&gt;=2,"C",IF('Data Source'!AB753&gt;=1,"D","F")))))),"")</f>
        <v/>
      </c>
      <c r="K753" s="3">
        <f>IF(AND('Data Source'!B753&lt;&gt;"",'Data Source'!S753="A+"),IF('Data Source'!AC753&gt;=5,"A+",IF('Data Source'!AC753&gt;=4,"A",IF('Data Source'!AC753&gt;=3.5,"A-",IF('Data Source'!AC753&gt;=3,"B",IF('Data Source'!AC753&gt;=2,"C",IF('Data Source'!AC753&gt;=1,"D","F")))))),"")</f>
        <v/>
      </c>
      <c r="L753" s="3">
        <f>IF(AND('Data Source'!B753&lt;&gt;"",'Data Source'!S753="A+"),IF('Data Source'!AD753&gt;=5,"A+",IF('Data Source'!AD753&gt;=4,"A",IF('Data Source'!AD753&gt;=3.5,"A-",IF('Data Source'!AD753&gt;=3,"B",IF('Data Source'!AD753&gt;=2,"C",IF('Data Source'!AD753&gt;=1,"D","F")))))),"")</f>
        <v/>
      </c>
      <c r="M753" s="3">
        <f>IF(AND('Data Source'!B753&lt;&gt;"",'Data Source'!S753="A+"),IF('Data Source'!AE753&gt;=5,"A+",IF('Data Source'!AE753&gt;=4,"A",IF('Data Source'!AE753&gt;=3.5,"A-",IF('Data Source'!AE753&gt;=3,"B",IF('Data Source'!AE753&gt;=2,"C",IF('Data Source'!AE753&gt;=1,"D","F")))))),"")</f>
        <v/>
      </c>
      <c r="N753" s="3">
        <f>IF(AND('Data Source'!B753&lt;&gt;"",'Data Source'!S753="A+"),IF('Data Source'!AF753&gt;=5,"A+",IF('Data Source'!AF753&gt;=4,"A",IF('Data Source'!AF753&gt;=3.5,"A-",IF('Data Source'!AF753&gt;=3,"B",IF('Data Source'!AF753&gt;=2,"C",IF('Data Source'!AF753&gt;=1,"D","F")))))),"")</f>
        <v/>
      </c>
      <c r="O753" s="3">
        <f>IF(AND('Data Source'!B753&lt;&gt;"",'Data Source'!S753="A+"),IF('Data Source'!AG753&gt;=5,"A+",IF('Data Source'!AG753&gt;=4,"A",IF('Data Source'!AG753&gt;=3.5,"A-",IF('Data Source'!AG753&gt;=3,"B",IF('Data Source'!AG753&gt;=2,"C",IF('Data Source'!AG753&gt;=1,"D","F")))))),"")</f>
        <v/>
      </c>
      <c r="P753" s="5">
        <f>IF(AND('Data Source'!B753&lt;&gt;"",'Data Source'!S753="A+"),'Data Source'!R753,"")</f>
        <v/>
      </c>
      <c r="Q753" s="3">
        <f>IF(AND('Data Source'!B753&lt;&gt;"",'Data Source'!S753="A+"),'Data Source'!S753,"")</f>
        <v/>
      </c>
    </row>
    <row r="754">
      <c r="A754" s="3">
        <f>IF(AND('Data Source'!B754&lt;&gt;"",'Data Source'!S754="A+"),COUNTIF('Data Source'!$S$3:S754,"A+"),"")</f>
        <v/>
      </c>
      <c r="B754">
        <f>IF(AND('Data Source'!B754&lt;&gt;"",'Data Source'!S754="A+"),'Data Source'!B754,"")</f>
        <v/>
      </c>
      <c r="C754" s="3">
        <f>IF(AND('Data Source'!B754&lt;&gt;"",'Data Source'!S754="A+"),IF('Data Source'!U754&gt;=5,"A+",IF('Data Source'!U754&gt;=4,"A",IF('Data Source'!U754&gt;=3.5,"A-",IF('Data Source'!U754&gt;=3,"B",IF('Data Source'!U754&gt;=2,"C",IF('Data Source'!U754&gt;=1,"D","F")))))),"")</f>
        <v/>
      </c>
      <c r="D754" s="3">
        <f>IF(AND('Data Source'!B754&lt;&gt;"",'Data Source'!S754="A+"),IF('Data Source'!V754&gt;=5,"A+",IF('Data Source'!V754&gt;=4,"A",IF('Data Source'!V754&gt;=3.5,"A-",IF('Data Source'!V754&gt;=3,"B",IF('Data Source'!V754&gt;=2,"C",IF('Data Source'!V754&gt;=1,"D","F")))))),"")</f>
        <v/>
      </c>
      <c r="E754" s="3">
        <f>IF(AND('Data Source'!B754&lt;&gt;"",'Data Source'!S754="A+"),IF('Data Source'!W754&gt;=5,"A+",IF('Data Source'!W754&gt;=4,"A",IF('Data Source'!W754&gt;=3.5,"A-",IF('Data Source'!W754&gt;=3,"B",IF('Data Source'!W754&gt;=2,"C",IF('Data Source'!W754&gt;=1,"D","F")))))),"")</f>
        <v/>
      </c>
      <c r="F754" s="3">
        <f>IF(AND('Data Source'!B754&lt;&gt;"",'Data Source'!S754="A+"),IF('Data Source'!X754&gt;=5,"A+",IF('Data Source'!X754&gt;=4,"A",IF('Data Source'!X754&gt;=3.5,"A-",IF('Data Source'!X754&gt;=3,"B",IF('Data Source'!X754&gt;=2,"C",IF('Data Source'!X754&gt;=1,"D","F")))))),"")</f>
        <v/>
      </c>
      <c r="G754" s="3">
        <f>IF(AND('Data Source'!B754&lt;&gt;"",'Data Source'!S754="A+"),IF('Data Source'!Y754&gt;=5,"A+",IF('Data Source'!Y754&gt;=4,"A",IF('Data Source'!Y754&gt;=3.5,"A-",IF('Data Source'!Y754&gt;=3,"B",IF('Data Source'!Y754&gt;=2,"C",IF('Data Source'!Y754&gt;=1,"D","F")))))),"")</f>
        <v/>
      </c>
      <c r="H754" s="3">
        <f>IF(AND('Data Source'!B754&lt;&gt;"",'Data Source'!S754="A+"),IF('Data Source'!Z754&gt;=5,"A+",IF('Data Source'!Z754&gt;=4,"A",IF('Data Source'!Z754&gt;=3.5,"A-",IF('Data Source'!Z754&gt;=3,"B",IF('Data Source'!Z754&gt;=2,"C",IF('Data Source'!Z754&gt;=1,"D","F")))))),"")</f>
        <v/>
      </c>
      <c r="I754" s="3">
        <f>IF(AND('Data Source'!B754&lt;&gt;"",'Data Source'!S754="A+"),IF('Data Source'!AA754&gt;=5,"A+",IF('Data Source'!AA754&gt;=4,"A",IF('Data Source'!AA754&gt;=3.5,"A-",IF('Data Source'!AA754&gt;=3,"B",IF('Data Source'!AA754&gt;=2,"C",IF('Data Source'!AA754&gt;=1,"D","F")))))),"")</f>
        <v/>
      </c>
      <c r="J754" s="3">
        <f>IF(AND('Data Source'!B754&lt;&gt;"",'Data Source'!S754="A+"),IF('Data Source'!AB754&gt;=5,"A+",IF('Data Source'!AB754&gt;=4,"A",IF('Data Source'!AB754&gt;=3.5,"A-",IF('Data Source'!AB754&gt;=3,"B",IF('Data Source'!AB754&gt;=2,"C",IF('Data Source'!AB754&gt;=1,"D","F")))))),"")</f>
        <v/>
      </c>
      <c r="K754" s="3">
        <f>IF(AND('Data Source'!B754&lt;&gt;"",'Data Source'!S754="A+"),IF('Data Source'!AC754&gt;=5,"A+",IF('Data Source'!AC754&gt;=4,"A",IF('Data Source'!AC754&gt;=3.5,"A-",IF('Data Source'!AC754&gt;=3,"B",IF('Data Source'!AC754&gt;=2,"C",IF('Data Source'!AC754&gt;=1,"D","F")))))),"")</f>
        <v/>
      </c>
      <c r="L754" s="3">
        <f>IF(AND('Data Source'!B754&lt;&gt;"",'Data Source'!S754="A+"),IF('Data Source'!AD754&gt;=5,"A+",IF('Data Source'!AD754&gt;=4,"A",IF('Data Source'!AD754&gt;=3.5,"A-",IF('Data Source'!AD754&gt;=3,"B",IF('Data Source'!AD754&gt;=2,"C",IF('Data Source'!AD754&gt;=1,"D","F")))))),"")</f>
        <v/>
      </c>
      <c r="M754" s="3">
        <f>IF(AND('Data Source'!B754&lt;&gt;"",'Data Source'!S754="A+"),IF('Data Source'!AE754&gt;=5,"A+",IF('Data Source'!AE754&gt;=4,"A",IF('Data Source'!AE754&gt;=3.5,"A-",IF('Data Source'!AE754&gt;=3,"B",IF('Data Source'!AE754&gt;=2,"C",IF('Data Source'!AE754&gt;=1,"D","F")))))),"")</f>
        <v/>
      </c>
      <c r="N754" s="3">
        <f>IF(AND('Data Source'!B754&lt;&gt;"",'Data Source'!S754="A+"),IF('Data Source'!AF754&gt;=5,"A+",IF('Data Source'!AF754&gt;=4,"A",IF('Data Source'!AF754&gt;=3.5,"A-",IF('Data Source'!AF754&gt;=3,"B",IF('Data Source'!AF754&gt;=2,"C",IF('Data Source'!AF754&gt;=1,"D","F")))))),"")</f>
        <v/>
      </c>
      <c r="O754" s="3">
        <f>IF(AND('Data Source'!B754&lt;&gt;"",'Data Source'!S754="A+"),IF('Data Source'!AG754&gt;=5,"A+",IF('Data Source'!AG754&gt;=4,"A",IF('Data Source'!AG754&gt;=3.5,"A-",IF('Data Source'!AG754&gt;=3,"B",IF('Data Source'!AG754&gt;=2,"C",IF('Data Source'!AG754&gt;=1,"D","F")))))),"")</f>
        <v/>
      </c>
      <c r="P754" s="5">
        <f>IF(AND('Data Source'!B754&lt;&gt;"",'Data Source'!S754="A+"),'Data Source'!R754,"")</f>
        <v/>
      </c>
      <c r="Q754" s="3">
        <f>IF(AND('Data Source'!B754&lt;&gt;"",'Data Source'!S754="A+"),'Data Source'!S754,"")</f>
        <v/>
      </c>
    </row>
    <row r="755">
      <c r="A755" s="3">
        <f>IF(AND('Data Source'!B755&lt;&gt;"",'Data Source'!S755="A+"),COUNTIF('Data Source'!$S$3:S755,"A+"),"")</f>
        <v/>
      </c>
      <c r="B755">
        <f>IF(AND('Data Source'!B755&lt;&gt;"",'Data Source'!S755="A+"),'Data Source'!B755,"")</f>
        <v/>
      </c>
      <c r="C755" s="3">
        <f>IF(AND('Data Source'!B755&lt;&gt;"",'Data Source'!S755="A+"),IF('Data Source'!U755&gt;=5,"A+",IF('Data Source'!U755&gt;=4,"A",IF('Data Source'!U755&gt;=3.5,"A-",IF('Data Source'!U755&gt;=3,"B",IF('Data Source'!U755&gt;=2,"C",IF('Data Source'!U755&gt;=1,"D","F")))))),"")</f>
        <v/>
      </c>
      <c r="D755" s="3">
        <f>IF(AND('Data Source'!B755&lt;&gt;"",'Data Source'!S755="A+"),IF('Data Source'!V755&gt;=5,"A+",IF('Data Source'!V755&gt;=4,"A",IF('Data Source'!V755&gt;=3.5,"A-",IF('Data Source'!V755&gt;=3,"B",IF('Data Source'!V755&gt;=2,"C",IF('Data Source'!V755&gt;=1,"D","F")))))),"")</f>
        <v/>
      </c>
      <c r="E755" s="3">
        <f>IF(AND('Data Source'!B755&lt;&gt;"",'Data Source'!S755="A+"),IF('Data Source'!W755&gt;=5,"A+",IF('Data Source'!W755&gt;=4,"A",IF('Data Source'!W755&gt;=3.5,"A-",IF('Data Source'!W755&gt;=3,"B",IF('Data Source'!W755&gt;=2,"C",IF('Data Source'!W755&gt;=1,"D","F")))))),"")</f>
        <v/>
      </c>
      <c r="F755" s="3">
        <f>IF(AND('Data Source'!B755&lt;&gt;"",'Data Source'!S755="A+"),IF('Data Source'!X755&gt;=5,"A+",IF('Data Source'!X755&gt;=4,"A",IF('Data Source'!X755&gt;=3.5,"A-",IF('Data Source'!X755&gt;=3,"B",IF('Data Source'!X755&gt;=2,"C",IF('Data Source'!X755&gt;=1,"D","F")))))),"")</f>
        <v/>
      </c>
      <c r="G755" s="3">
        <f>IF(AND('Data Source'!B755&lt;&gt;"",'Data Source'!S755="A+"),IF('Data Source'!Y755&gt;=5,"A+",IF('Data Source'!Y755&gt;=4,"A",IF('Data Source'!Y755&gt;=3.5,"A-",IF('Data Source'!Y755&gt;=3,"B",IF('Data Source'!Y755&gt;=2,"C",IF('Data Source'!Y755&gt;=1,"D","F")))))),"")</f>
        <v/>
      </c>
      <c r="H755" s="3">
        <f>IF(AND('Data Source'!B755&lt;&gt;"",'Data Source'!S755="A+"),IF('Data Source'!Z755&gt;=5,"A+",IF('Data Source'!Z755&gt;=4,"A",IF('Data Source'!Z755&gt;=3.5,"A-",IF('Data Source'!Z755&gt;=3,"B",IF('Data Source'!Z755&gt;=2,"C",IF('Data Source'!Z755&gt;=1,"D","F")))))),"")</f>
        <v/>
      </c>
      <c r="I755" s="3">
        <f>IF(AND('Data Source'!B755&lt;&gt;"",'Data Source'!S755="A+"),IF('Data Source'!AA755&gt;=5,"A+",IF('Data Source'!AA755&gt;=4,"A",IF('Data Source'!AA755&gt;=3.5,"A-",IF('Data Source'!AA755&gt;=3,"B",IF('Data Source'!AA755&gt;=2,"C",IF('Data Source'!AA755&gt;=1,"D","F")))))),"")</f>
        <v/>
      </c>
      <c r="J755" s="3">
        <f>IF(AND('Data Source'!B755&lt;&gt;"",'Data Source'!S755="A+"),IF('Data Source'!AB755&gt;=5,"A+",IF('Data Source'!AB755&gt;=4,"A",IF('Data Source'!AB755&gt;=3.5,"A-",IF('Data Source'!AB755&gt;=3,"B",IF('Data Source'!AB755&gt;=2,"C",IF('Data Source'!AB755&gt;=1,"D","F")))))),"")</f>
        <v/>
      </c>
      <c r="K755" s="3">
        <f>IF(AND('Data Source'!B755&lt;&gt;"",'Data Source'!S755="A+"),IF('Data Source'!AC755&gt;=5,"A+",IF('Data Source'!AC755&gt;=4,"A",IF('Data Source'!AC755&gt;=3.5,"A-",IF('Data Source'!AC755&gt;=3,"B",IF('Data Source'!AC755&gt;=2,"C",IF('Data Source'!AC755&gt;=1,"D","F")))))),"")</f>
        <v/>
      </c>
      <c r="L755" s="3">
        <f>IF(AND('Data Source'!B755&lt;&gt;"",'Data Source'!S755="A+"),IF('Data Source'!AD755&gt;=5,"A+",IF('Data Source'!AD755&gt;=4,"A",IF('Data Source'!AD755&gt;=3.5,"A-",IF('Data Source'!AD755&gt;=3,"B",IF('Data Source'!AD755&gt;=2,"C",IF('Data Source'!AD755&gt;=1,"D","F")))))),"")</f>
        <v/>
      </c>
      <c r="M755" s="3">
        <f>IF(AND('Data Source'!B755&lt;&gt;"",'Data Source'!S755="A+"),IF('Data Source'!AE755&gt;=5,"A+",IF('Data Source'!AE755&gt;=4,"A",IF('Data Source'!AE755&gt;=3.5,"A-",IF('Data Source'!AE755&gt;=3,"B",IF('Data Source'!AE755&gt;=2,"C",IF('Data Source'!AE755&gt;=1,"D","F")))))),"")</f>
        <v/>
      </c>
      <c r="N755" s="3">
        <f>IF(AND('Data Source'!B755&lt;&gt;"",'Data Source'!S755="A+"),IF('Data Source'!AF755&gt;=5,"A+",IF('Data Source'!AF755&gt;=4,"A",IF('Data Source'!AF755&gt;=3.5,"A-",IF('Data Source'!AF755&gt;=3,"B",IF('Data Source'!AF755&gt;=2,"C",IF('Data Source'!AF755&gt;=1,"D","F")))))),"")</f>
        <v/>
      </c>
      <c r="O755" s="3">
        <f>IF(AND('Data Source'!B755&lt;&gt;"",'Data Source'!S755="A+"),IF('Data Source'!AG755&gt;=5,"A+",IF('Data Source'!AG755&gt;=4,"A",IF('Data Source'!AG755&gt;=3.5,"A-",IF('Data Source'!AG755&gt;=3,"B",IF('Data Source'!AG755&gt;=2,"C",IF('Data Source'!AG755&gt;=1,"D","F")))))),"")</f>
        <v/>
      </c>
      <c r="P755" s="5">
        <f>IF(AND('Data Source'!B755&lt;&gt;"",'Data Source'!S755="A+"),'Data Source'!R755,"")</f>
        <v/>
      </c>
      <c r="Q755" s="3">
        <f>IF(AND('Data Source'!B755&lt;&gt;"",'Data Source'!S755="A+"),'Data Source'!S755,"")</f>
        <v/>
      </c>
    </row>
    <row r="756">
      <c r="A756" s="3">
        <f>IF(AND('Data Source'!B756&lt;&gt;"",'Data Source'!S756="A+"),COUNTIF('Data Source'!$S$3:S756,"A+"),"")</f>
        <v/>
      </c>
      <c r="B756">
        <f>IF(AND('Data Source'!B756&lt;&gt;"",'Data Source'!S756="A+"),'Data Source'!B756,"")</f>
        <v/>
      </c>
      <c r="C756" s="3">
        <f>IF(AND('Data Source'!B756&lt;&gt;"",'Data Source'!S756="A+"),IF('Data Source'!U756&gt;=5,"A+",IF('Data Source'!U756&gt;=4,"A",IF('Data Source'!U756&gt;=3.5,"A-",IF('Data Source'!U756&gt;=3,"B",IF('Data Source'!U756&gt;=2,"C",IF('Data Source'!U756&gt;=1,"D","F")))))),"")</f>
        <v/>
      </c>
      <c r="D756" s="3">
        <f>IF(AND('Data Source'!B756&lt;&gt;"",'Data Source'!S756="A+"),IF('Data Source'!V756&gt;=5,"A+",IF('Data Source'!V756&gt;=4,"A",IF('Data Source'!V756&gt;=3.5,"A-",IF('Data Source'!V756&gt;=3,"B",IF('Data Source'!V756&gt;=2,"C",IF('Data Source'!V756&gt;=1,"D","F")))))),"")</f>
        <v/>
      </c>
      <c r="E756" s="3">
        <f>IF(AND('Data Source'!B756&lt;&gt;"",'Data Source'!S756="A+"),IF('Data Source'!W756&gt;=5,"A+",IF('Data Source'!W756&gt;=4,"A",IF('Data Source'!W756&gt;=3.5,"A-",IF('Data Source'!W756&gt;=3,"B",IF('Data Source'!W756&gt;=2,"C",IF('Data Source'!W756&gt;=1,"D","F")))))),"")</f>
        <v/>
      </c>
      <c r="F756" s="3">
        <f>IF(AND('Data Source'!B756&lt;&gt;"",'Data Source'!S756="A+"),IF('Data Source'!X756&gt;=5,"A+",IF('Data Source'!X756&gt;=4,"A",IF('Data Source'!X756&gt;=3.5,"A-",IF('Data Source'!X756&gt;=3,"B",IF('Data Source'!X756&gt;=2,"C",IF('Data Source'!X756&gt;=1,"D","F")))))),"")</f>
        <v/>
      </c>
      <c r="G756" s="3">
        <f>IF(AND('Data Source'!B756&lt;&gt;"",'Data Source'!S756="A+"),IF('Data Source'!Y756&gt;=5,"A+",IF('Data Source'!Y756&gt;=4,"A",IF('Data Source'!Y756&gt;=3.5,"A-",IF('Data Source'!Y756&gt;=3,"B",IF('Data Source'!Y756&gt;=2,"C",IF('Data Source'!Y756&gt;=1,"D","F")))))),"")</f>
        <v/>
      </c>
      <c r="H756" s="3">
        <f>IF(AND('Data Source'!B756&lt;&gt;"",'Data Source'!S756="A+"),IF('Data Source'!Z756&gt;=5,"A+",IF('Data Source'!Z756&gt;=4,"A",IF('Data Source'!Z756&gt;=3.5,"A-",IF('Data Source'!Z756&gt;=3,"B",IF('Data Source'!Z756&gt;=2,"C",IF('Data Source'!Z756&gt;=1,"D","F")))))),"")</f>
        <v/>
      </c>
      <c r="I756" s="3">
        <f>IF(AND('Data Source'!B756&lt;&gt;"",'Data Source'!S756="A+"),IF('Data Source'!AA756&gt;=5,"A+",IF('Data Source'!AA756&gt;=4,"A",IF('Data Source'!AA756&gt;=3.5,"A-",IF('Data Source'!AA756&gt;=3,"B",IF('Data Source'!AA756&gt;=2,"C",IF('Data Source'!AA756&gt;=1,"D","F")))))),"")</f>
        <v/>
      </c>
      <c r="J756" s="3">
        <f>IF(AND('Data Source'!B756&lt;&gt;"",'Data Source'!S756="A+"),IF('Data Source'!AB756&gt;=5,"A+",IF('Data Source'!AB756&gt;=4,"A",IF('Data Source'!AB756&gt;=3.5,"A-",IF('Data Source'!AB756&gt;=3,"B",IF('Data Source'!AB756&gt;=2,"C",IF('Data Source'!AB756&gt;=1,"D","F")))))),"")</f>
        <v/>
      </c>
      <c r="K756" s="3">
        <f>IF(AND('Data Source'!B756&lt;&gt;"",'Data Source'!S756="A+"),IF('Data Source'!AC756&gt;=5,"A+",IF('Data Source'!AC756&gt;=4,"A",IF('Data Source'!AC756&gt;=3.5,"A-",IF('Data Source'!AC756&gt;=3,"B",IF('Data Source'!AC756&gt;=2,"C",IF('Data Source'!AC756&gt;=1,"D","F")))))),"")</f>
        <v/>
      </c>
      <c r="L756" s="3">
        <f>IF(AND('Data Source'!B756&lt;&gt;"",'Data Source'!S756="A+"),IF('Data Source'!AD756&gt;=5,"A+",IF('Data Source'!AD756&gt;=4,"A",IF('Data Source'!AD756&gt;=3.5,"A-",IF('Data Source'!AD756&gt;=3,"B",IF('Data Source'!AD756&gt;=2,"C",IF('Data Source'!AD756&gt;=1,"D","F")))))),"")</f>
        <v/>
      </c>
      <c r="M756" s="3">
        <f>IF(AND('Data Source'!B756&lt;&gt;"",'Data Source'!S756="A+"),IF('Data Source'!AE756&gt;=5,"A+",IF('Data Source'!AE756&gt;=4,"A",IF('Data Source'!AE756&gt;=3.5,"A-",IF('Data Source'!AE756&gt;=3,"B",IF('Data Source'!AE756&gt;=2,"C",IF('Data Source'!AE756&gt;=1,"D","F")))))),"")</f>
        <v/>
      </c>
      <c r="N756" s="3">
        <f>IF(AND('Data Source'!B756&lt;&gt;"",'Data Source'!S756="A+"),IF('Data Source'!AF756&gt;=5,"A+",IF('Data Source'!AF756&gt;=4,"A",IF('Data Source'!AF756&gt;=3.5,"A-",IF('Data Source'!AF756&gt;=3,"B",IF('Data Source'!AF756&gt;=2,"C",IF('Data Source'!AF756&gt;=1,"D","F")))))),"")</f>
        <v/>
      </c>
      <c r="O756" s="3">
        <f>IF(AND('Data Source'!B756&lt;&gt;"",'Data Source'!S756="A+"),IF('Data Source'!AG756&gt;=5,"A+",IF('Data Source'!AG756&gt;=4,"A",IF('Data Source'!AG756&gt;=3.5,"A-",IF('Data Source'!AG756&gt;=3,"B",IF('Data Source'!AG756&gt;=2,"C",IF('Data Source'!AG756&gt;=1,"D","F")))))),"")</f>
        <v/>
      </c>
      <c r="P756" s="5">
        <f>IF(AND('Data Source'!B756&lt;&gt;"",'Data Source'!S756="A+"),'Data Source'!R756,"")</f>
        <v/>
      </c>
      <c r="Q756" s="3">
        <f>IF(AND('Data Source'!B756&lt;&gt;"",'Data Source'!S756="A+"),'Data Source'!S756,"")</f>
        <v/>
      </c>
    </row>
    <row r="757">
      <c r="A757" s="3">
        <f>IF(AND('Data Source'!B757&lt;&gt;"",'Data Source'!S757="A+"),COUNTIF('Data Source'!$S$3:S757,"A+"),"")</f>
        <v/>
      </c>
      <c r="B757">
        <f>IF(AND('Data Source'!B757&lt;&gt;"",'Data Source'!S757="A+"),'Data Source'!B757,"")</f>
        <v/>
      </c>
      <c r="C757" s="3">
        <f>IF(AND('Data Source'!B757&lt;&gt;"",'Data Source'!S757="A+"),IF('Data Source'!U757&gt;=5,"A+",IF('Data Source'!U757&gt;=4,"A",IF('Data Source'!U757&gt;=3.5,"A-",IF('Data Source'!U757&gt;=3,"B",IF('Data Source'!U757&gt;=2,"C",IF('Data Source'!U757&gt;=1,"D","F")))))),"")</f>
        <v/>
      </c>
      <c r="D757" s="3">
        <f>IF(AND('Data Source'!B757&lt;&gt;"",'Data Source'!S757="A+"),IF('Data Source'!V757&gt;=5,"A+",IF('Data Source'!V757&gt;=4,"A",IF('Data Source'!V757&gt;=3.5,"A-",IF('Data Source'!V757&gt;=3,"B",IF('Data Source'!V757&gt;=2,"C",IF('Data Source'!V757&gt;=1,"D","F")))))),"")</f>
        <v/>
      </c>
      <c r="E757" s="3">
        <f>IF(AND('Data Source'!B757&lt;&gt;"",'Data Source'!S757="A+"),IF('Data Source'!W757&gt;=5,"A+",IF('Data Source'!W757&gt;=4,"A",IF('Data Source'!W757&gt;=3.5,"A-",IF('Data Source'!W757&gt;=3,"B",IF('Data Source'!W757&gt;=2,"C",IF('Data Source'!W757&gt;=1,"D","F")))))),"")</f>
        <v/>
      </c>
      <c r="F757" s="3">
        <f>IF(AND('Data Source'!B757&lt;&gt;"",'Data Source'!S757="A+"),IF('Data Source'!X757&gt;=5,"A+",IF('Data Source'!X757&gt;=4,"A",IF('Data Source'!X757&gt;=3.5,"A-",IF('Data Source'!X757&gt;=3,"B",IF('Data Source'!X757&gt;=2,"C",IF('Data Source'!X757&gt;=1,"D","F")))))),"")</f>
        <v/>
      </c>
      <c r="G757" s="3">
        <f>IF(AND('Data Source'!B757&lt;&gt;"",'Data Source'!S757="A+"),IF('Data Source'!Y757&gt;=5,"A+",IF('Data Source'!Y757&gt;=4,"A",IF('Data Source'!Y757&gt;=3.5,"A-",IF('Data Source'!Y757&gt;=3,"B",IF('Data Source'!Y757&gt;=2,"C",IF('Data Source'!Y757&gt;=1,"D","F")))))),"")</f>
        <v/>
      </c>
      <c r="H757" s="3">
        <f>IF(AND('Data Source'!B757&lt;&gt;"",'Data Source'!S757="A+"),IF('Data Source'!Z757&gt;=5,"A+",IF('Data Source'!Z757&gt;=4,"A",IF('Data Source'!Z757&gt;=3.5,"A-",IF('Data Source'!Z757&gt;=3,"B",IF('Data Source'!Z757&gt;=2,"C",IF('Data Source'!Z757&gt;=1,"D","F")))))),"")</f>
        <v/>
      </c>
      <c r="I757" s="3">
        <f>IF(AND('Data Source'!B757&lt;&gt;"",'Data Source'!S757="A+"),IF('Data Source'!AA757&gt;=5,"A+",IF('Data Source'!AA757&gt;=4,"A",IF('Data Source'!AA757&gt;=3.5,"A-",IF('Data Source'!AA757&gt;=3,"B",IF('Data Source'!AA757&gt;=2,"C",IF('Data Source'!AA757&gt;=1,"D","F")))))),"")</f>
        <v/>
      </c>
      <c r="J757" s="3">
        <f>IF(AND('Data Source'!B757&lt;&gt;"",'Data Source'!S757="A+"),IF('Data Source'!AB757&gt;=5,"A+",IF('Data Source'!AB757&gt;=4,"A",IF('Data Source'!AB757&gt;=3.5,"A-",IF('Data Source'!AB757&gt;=3,"B",IF('Data Source'!AB757&gt;=2,"C",IF('Data Source'!AB757&gt;=1,"D","F")))))),"")</f>
        <v/>
      </c>
      <c r="K757" s="3">
        <f>IF(AND('Data Source'!B757&lt;&gt;"",'Data Source'!S757="A+"),IF('Data Source'!AC757&gt;=5,"A+",IF('Data Source'!AC757&gt;=4,"A",IF('Data Source'!AC757&gt;=3.5,"A-",IF('Data Source'!AC757&gt;=3,"B",IF('Data Source'!AC757&gt;=2,"C",IF('Data Source'!AC757&gt;=1,"D","F")))))),"")</f>
        <v/>
      </c>
      <c r="L757" s="3">
        <f>IF(AND('Data Source'!B757&lt;&gt;"",'Data Source'!S757="A+"),IF('Data Source'!AD757&gt;=5,"A+",IF('Data Source'!AD757&gt;=4,"A",IF('Data Source'!AD757&gt;=3.5,"A-",IF('Data Source'!AD757&gt;=3,"B",IF('Data Source'!AD757&gt;=2,"C",IF('Data Source'!AD757&gt;=1,"D","F")))))),"")</f>
        <v/>
      </c>
      <c r="M757" s="3">
        <f>IF(AND('Data Source'!B757&lt;&gt;"",'Data Source'!S757="A+"),IF('Data Source'!AE757&gt;=5,"A+",IF('Data Source'!AE757&gt;=4,"A",IF('Data Source'!AE757&gt;=3.5,"A-",IF('Data Source'!AE757&gt;=3,"B",IF('Data Source'!AE757&gt;=2,"C",IF('Data Source'!AE757&gt;=1,"D","F")))))),"")</f>
        <v/>
      </c>
      <c r="N757" s="3">
        <f>IF(AND('Data Source'!B757&lt;&gt;"",'Data Source'!S757="A+"),IF('Data Source'!AF757&gt;=5,"A+",IF('Data Source'!AF757&gt;=4,"A",IF('Data Source'!AF757&gt;=3.5,"A-",IF('Data Source'!AF757&gt;=3,"B",IF('Data Source'!AF757&gt;=2,"C",IF('Data Source'!AF757&gt;=1,"D","F")))))),"")</f>
        <v/>
      </c>
      <c r="O757" s="3">
        <f>IF(AND('Data Source'!B757&lt;&gt;"",'Data Source'!S757="A+"),IF('Data Source'!AG757&gt;=5,"A+",IF('Data Source'!AG757&gt;=4,"A",IF('Data Source'!AG757&gt;=3.5,"A-",IF('Data Source'!AG757&gt;=3,"B",IF('Data Source'!AG757&gt;=2,"C",IF('Data Source'!AG757&gt;=1,"D","F")))))),"")</f>
        <v/>
      </c>
      <c r="P757" s="5">
        <f>IF(AND('Data Source'!B757&lt;&gt;"",'Data Source'!S757="A+"),'Data Source'!R757,"")</f>
        <v/>
      </c>
      <c r="Q757" s="3">
        <f>IF(AND('Data Source'!B757&lt;&gt;"",'Data Source'!S757="A+"),'Data Source'!S757,"")</f>
        <v/>
      </c>
    </row>
    <row r="758">
      <c r="A758" s="3">
        <f>IF(AND('Data Source'!B758&lt;&gt;"",'Data Source'!S758="A+"),COUNTIF('Data Source'!$S$3:S758,"A+"),"")</f>
        <v/>
      </c>
      <c r="B758">
        <f>IF(AND('Data Source'!B758&lt;&gt;"",'Data Source'!S758="A+"),'Data Source'!B758,"")</f>
        <v/>
      </c>
      <c r="C758" s="3">
        <f>IF(AND('Data Source'!B758&lt;&gt;"",'Data Source'!S758="A+"),IF('Data Source'!U758&gt;=5,"A+",IF('Data Source'!U758&gt;=4,"A",IF('Data Source'!U758&gt;=3.5,"A-",IF('Data Source'!U758&gt;=3,"B",IF('Data Source'!U758&gt;=2,"C",IF('Data Source'!U758&gt;=1,"D","F")))))),"")</f>
        <v/>
      </c>
      <c r="D758" s="3">
        <f>IF(AND('Data Source'!B758&lt;&gt;"",'Data Source'!S758="A+"),IF('Data Source'!V758&gt;=5,"A+",IF('Data Source'!V758&gt;=4,"A",IF('Data Source'!V758&gt;=3.5,"A-",IF('Data Source'!V758&gt;=3,"B",IF('Data Source'!V758&gt;=2,"C",IF('Data Source'!V758&gt;=1,"D","F")))))),"")</f>
        <v/>
      </c>
      <c r="E758" s="3">
        <f>IF(AND('Data Source'!B758&lt;&gt;"",'Data Source'!S758="A+"),IF('Data Source'!W758&gt;=5,"A+",IF('Data Source'!W758&gt;=4,"A",IF('Data Source'!W758&gt;=3.5,"A-",IF('Data Source'!W758&gt;=3,"B",IF('Data Source'!W758&gt;=2,"C",IF('Data Source'!W758&gt;=1,"D","F")))))),"")</f>
        <v/>
      </c>
      <c r="F758" s="3">
        <f>IF(AND('Data Source'!B758&lt;&gt;"",'Data Source'!S758="A+"),IF('Data Source'!X758&gt;=5,"A+",IF('Data Source'!X758&gt;=4,"A",IF('Data Source'!X758&gt;=3.5,"A-",IF('Data Source'!X758&gt;=3,"B",IF('Data Source'!X758&gt;=2,"C",IF('Data Source'!X758&gt;=1,"D","F")))))),"")</f>
        <v/>
      </c>
      <c r="G758" s="3">
        <f>IF(AND('Data Source'!B758&lt;&gt;"",'Data Source'!S758="A+"),IF('Data Source'!Y758&gt;=5,"A+",IF('Data Source'!Y758&gt;=4,"A",IF('Data Source'!Y758&gt;=3.5,"A-",IF('Data Source'!Y758&gt;=3,"B",IF('Data Source'!Y758&gt;=2,"C",IF('Data Source'!Y758&gt;=1,"D","F")))))),"")</f>
        <v/>
      </c>
      <c r="H758" s="3">
        <f>IF(AND('Data Source'!B758&lt;&gt;"",'Data Source'!S758="A+"),IF('Data Source'!Z758&gt;=5,"A+",IF('Data Source'!Z758&gt;=4,"A",IF('Data Source'!Z758&gt;=3.5,"A-",IF('Data Source'!Z758&gt;=3,"B",IF('Data Source'!Z758&gt;=2,"C",IF('Data Source'!Z758&gt;=1,"D","F")))))),"")</f>
        <v/>
      </c>
      <c r="I758" s="3">
        <f>IF(AND('Data Source'!B758&lt;&gt;"",'Data Source'!S758="A+"),IF('Data Source'!AA758&gt;=5,"A+",IF('Data Source'!AA758&gt;=4,"A",IF('Data Source'!AA758&gt;=3.5,"A-",IF('Data Source'!AA758&gt;=3,"B",IF('Data Source'!AA758&gt;=2,"C",IF('Data Source'!AA758&gt;=1,"D","F")))))),"")</f>
        <v/>
      </c>
      <c r="J758" s="3">
        <f>IF(AND('Data Source'!B758&lt;&gt;"",'Data Source'!S758="A+"),IF('Data Source'!AB758&gt;=5,"A+",IF('Data Source'!AB758&gt;=4,"A",IF('Data Source'!AB758&gt;=3.5,"A-",IF('Data Source'!AB758&gt;=3,"B",IF('Data Source'!AB758&gt;=2,"C",IF('Data Source'!AB758&gt;=1,"D","F")))))),"")</f>
        <v/>
      </c>
      <c r="K758" s="3">
        <f>IF(AND('Data Source'!B758&lt;&gt;"",'Data Source'!S758="A+"),IF('Data Source'!AC758&gt;=5,"A+",IF('Data Source'!AC758&gt;=4,"A",IF('Data Source'!AC758&gt;=3.5,"A-",IF('Data Source'!AC758&gt;=3,"B",IF('Data Source'!AC758&gt;=2,"C",IF('Data Source'!AC758&gt;=1,"D","F")))))),"")</f>
        <v/>
      </c>
      <c r="L758" s="3">
        <f>IF(AND('Data Source'!B758&lt;&gt;"",'Data Source'!S758="A+"),IF('Data Source'!AD758&gt;=5,"A+",IF('Data Source'!AD758&gt;=4,"A",IF('Data Source'!AD758&gt;=3.5,"A-",IF('Data Source'!AD758&gt;=3,"B",IF('Data Source'!AD758&gt;=2,"C",IF('Data Source'!AD758&gt;=1,"D","F")))))),"")</f>
        <v/>
      </c>
      <c r="M758" s="3">
        <f>IF(AND('Data Source'!B758&lt;&gt;"",'Data Source'!S758="A+"),IF('Data Source'!AE758&gt;=5,"A+",IF('Data Source'!AE758&gt;=4,"A",IF('Data Source'!AE758&gt;=3.5,"A-",IF('Data Source'!AE758&gt;=3,"B",IF('Data Source'!AE758&gt;=2,"C",IF('Data Source'!AE758&gt;=1,"D","F")))))),"")</f>
        <v/>
      </c>
      <c r="N758" s="3">
        <f>IF(AND('Data Source'!B758&lt;&gt;"",'Data Source'!S758="A+"),IF('Data Source'!AF758&gt;=5,"A+",IF('Data Source'!AF758&gt;=4,"A",IF('Data Source'!AF758&gt;=3.5,"A-",IF('Data Source'!AF758&gt;=3,"B",IF('Data Source'!AF758&gt;=2,"C",IF('Data Source'!AF758&gt;=1,"D","F")))))),"")</f>
        <v/>
      </c>
      <c r="O758" s="3">
        <f>IF(AND('Data Source'!B758&lt;&gt;"",'Data Source'!S758="A+"),IF('Data Source'!AG758&gt;=5,"A+",IF('Data Source'!AG758&gt;=4,"A",IF('Data Source'!AG758&gt;=3.5,"A-",IF('Data Source'!AG758&gt;=3,"B",IF('Data Source'!AG758&gt;=2,"C",IF('Data Source'!AG758&gt;=1,"D","F")))))),"")</f>
        <v/>
      </c>
      <c r="P758" s="5">
        <f>IF(AND('Data Source'!B758&lt;&gt;"",'Data Source'!S758="A+"),'Data Source'!R758,"")</f>
        <v/>
      </c>
      <c r="Q758" s="3">
        <f>IF(AND('Data Source'!B758&lt;&gt;"",'Data Source'!S758="A+"),'Data Source'!S758,"")</f>
        <v/>
      </c>
    </row>
    <row r="759">
      <c r="A759" s="3">
        <f>IF(AND('Data Source'!B759&lt;&gt;"",'Data Source'!S759="A+"),COUNTIF('Data Source'!$S$3:S759,"A+"),"")</f>
        <v/>
      </c>
      <c r="B759">
        <f>IF(AND('Data Source'!B759&lt;&gt;"",'Data Source'!S759="A+"),'Data Source'!B759,"")</f>
        <v/>
      </c>
      <c r="C759" s="3">
        <f>IF(AND('Data Source'!B759&lt;&gt;"",'Data Source'!S759="A+"),IF('Data Source'!U759&gt;=5,"A+",IF('Data Source'!U759&gt;=4,"A",IF('Data Source'!U759&gt;=3.5,"A-",IF('Data Source'!U759&gt;=3,"B",IF('Data Source'!U759&gt;=2,"C",IF('Data Source'!U759&gt;=1,"D","F")))))),"")</f>
        <v/>
      </c>
      <c r="D759" s="3">
        <f>IF(AND('Data Source'!B759&lt;&gt;"",'Data Source'!S759="A+"),IF('Data Source'!V759&gt;=5,"A+",IF('Data Source'!V759&gt;=4,"A",IF('Data Source'!V759&gt;=3.5,"A-",IF('Data Source'!V759&gt;=3,"B",IF('Data Source'!V759&gt;=2,"C",IF('Data Source'!V759&gt;=1,"D","F")))))),"")</f>
        <v/>
      </c>
      <c r="E759" s="3">
        <f>IF(AND('Data Source'!B759&lt;&gt;"",'Data Source'!S759="A+"),IF('Data Source'!W759&gt;=5,"A+",IF('Data Source'!W759&gt;=4,"A",IF('Data Source'!W759&gt;=3.5,"A-",IF('Data Source'!W759&gt;=3,"B",IF('Data Source'!W759&gt;=2,"C",IF('Data Source'!W759&gt;=1,"D","F")))))),"")</f>
        <v/>
      </c>
      <c r="F759" s="3">
        <f>IF(AND('Data Source'!B759&lt;&gt;"",'Data Source'!S759="A+"),IF('Data Source'!X759&gt;=5,"A+",IF('Data Source'!X759&gt;=4,"A",IF('Data Source'!X759&gt;=3.5,"A-",IF('Data Source'!X759&gt;=3,"B",IF('Data Source'!X759&gt;=2,"C",IF('Data Source'!X759&gt;=1,"D","F")))))),"")</f>
        <v/>
      </c>
      <c r="G759" s="3">
        <f>IF(AND('Data Source'!B759&lt;&gt;"",'Data Source'!S759="A+"),IF('Data Source'!Y759&gt;=5,"A+",IF('Data Source'!Y759&gt;=4,"A",IF('Data Source'!Y759&gt;=3.5,"A-",IF('Data Source'!Y759&gt;=3,"B",IF('Data Source'!Y759&gt;=2,"C",IF('Data Source'!Y759&gt;=1,"D","F")))))),"")</f>
        <v/>
      </c>
      <c r="H759" s="3">
        <f>IF(AND('Data Source'!B759&lt;&gt;"",'Data Source'!S759="A+"),IF('Data Source'!Z759&gt;=5,"A+",IF('Data Source'!Z759&gt;=4,"A",IF('Data Source'!Z759&gt;=3.5,"A-",IF('Data Source'!Z759&gt;=3,"B",IF('Data Source'!Z759&gt;=2,"C",IF('Data Source'!Z759&gt;=1,"D","F")))))),"")</f>
        <v/>
      </c>
      <c r="I759" s="3">
        <f>IF(AND('Data Source'!B759&lt;&gt;"",'Data Source'!S759="A+"),IF('Data Source'!AA759&gt;=5,"A+",IF('Data Source'!AA759&gt;=4,"A",IF('Data Source'!AA759&gt;=3.5,"A-",IF('Data Source'!AA759&gt;=3,"B",IF('Data Source'!AA759&gt;=2,"C",IF('Data Source'!AA759&gt;=1,"D","F")))))),"")</f>
        <v/>
      </c>
      <c r="J759" s="3">
        <f>IF(AND('Data Source'!B759&lt;&gt;"",'Data Source'!S759="A+"),IF('Data Source'!AB759&gt;=5,"A+",IF('Data Source'!AB759&gt;=4,"A",IF('Data Source'!AB759&gt;=3.5,"A-",IF('Data Source'!AB759&gt;=3,"B",IF('Data Source'!AB759&gt;=2,"C",IF('Data Source'!AB759&gt;=1,"D","F")))))),"")</f>
        <v/>
      </c>
      <c r="K759" s="3">
        <f>IF(AND('Data Source'!B759&lt;&gt;"",'Data Source'!S759="A+"),IF('Data Source'!AC759&gt;=5,"A+",IF('Data Source'!AC759&gt;=4,"A",IF('Data Source'!AC759&gt;=3.5,"A-",IF('Data Source'!AC759&gt;=3,"B",IF('Data Source'!AC759&gt;=2,"C",IF('Data Source'!AC759&gt;=1,"D","F")))))),"")</f>
        <v/>
      </c>
      <c r="L759" s="3">
        <f>IF(AND('Data Source'!B759&lt;&gt;"",'Data Source'!S759="A+"),IF('Data Source'!AD759&gt;=5,"A+",IF('Data Source'!AD759&gt;=4,"A",IF('Data Source'!AD759&gt;=3.5,"A-",IF('Data Source'!AD759&gt;=3,"B",IF('Data Source'!AD759&gt;=2,"C",IF('Data Source'!AD759&gt;=1,"D","F")))))),"")</f>
        <v/>
      </c>
      <c r="M759" s="3">
        <f>IF(AND('Data Source'!B759&lt;&gt;"",'Data Source'!S759="A+"),IF('Data Source'!AE759&gt;=5,"A+",IF('Data Source'!AE759&gt;=4,"A",IF('Data Source'!AE759&gt;=3.5,"A-",IF('Data Source'!AE759&gt;=3,"B",IF('Data Source'!AE759&gt;=2,"C",IF('Data Source'!AE759&gt;=1,"D","F")))))),"")</f>
        <v/>
      </c>
      <c r="N759" s="3">
        <f>IF(AND('Data Source'!B759&lt;&gt;"",'Data Source'!S759="A+"),IF('Data Source'!AF759&gt;=5,"A+",IF('Data Source'!AF759&gt;=4,"A",IF('Data Source'!AF759&gt;=3.5,"A-",IF('Data Source'!AF759&gt;=3,"B",IF('Data Source'!AF759&gt;=2,"C",IF('Data Source'!AF759&gt;=1,"D","F")))))),"")</f>
        <v/>
      </c>
      <c r="O759" s="3">
        <f>IF(AND('Data Source'!B759&lt;&gt;"",'Data Source'!S759="A+"),IF('Data Source'!AG759&gt;=5,"A+",IF('Data Source'!AG759&gt;=4,"A",IF('Data Source'!AG759&gt;=3.5,"A-",IF('Data Source'!AG759&gt;=3,"B",IF('Data Source'!AG759&gt;=2,"C",IF('Data Source'!AG759&gt;=1,"D","F")))))),"")</f>
        <v/>
      </c>
      <c r="P759" s="5">
        <f>IF(AND('Data Source'!B759&lt;&gt;"",'Data Source'!S759="A+"),'Data Source'!R759,"")</f>
        <v/>
      </c>
      <c r="Q759" s="3">
        <f>IF(AND('Data Source'!B759&lt;&gt;"",'Data Source'!S759="A+"),'Data Source'!S759,"")</f>
        <v/>
      </c>
    </row>
    <row r="760">
      <c r="A760" s="3">
        <f>IF(AND('Data Source'!B760&lt;&gt;"",'Data Source'!S760="A+"),COUNTIF('Data Source'!$S$3:S760,"A+"),"")</f>
        <v/>
      </c>
      <c r="B760">
        <f>IF(AND('Data Source'!B760&lt;&gt;"",'Data Source'!S760="A+"),'Data Source'!B760,"")</f>
        <v/>
      </c>
      <c r="C760" s="3">
        <f>IF(AND('Data Source'!B760&lt;&gt;"",'Data Source'!S760="A+"),IF('Data Source'!U760&gt;=5,"A+",IF('Data Source'!U760&gt;=4,"A",IF('Data Source'!U760&gt;=3.5,"A-",IF('Data Source'!U760&gt;=3,"B",IF('Data Source'!U760&gt;=2,"C",IF('Data Source'!U760&gt;=1,"D","F")))))),"")</f>
        <v/>
      </c>
      <c r="D760" s="3">
        <f>IF(AND('Data Source'!B760&lt;&gt;"",'Data Source'!S760="A+"),IF('Data Source'!V760&gt;=5,"A+",IF('Data Source'!V760&gt;=4,"A",IF('Data Source'!V760&gt;=3.5,"A-",IF('Data Source'!V760&gt;=3,"B",IF('Data Source'!V760&gt;=2,"C",IF('Data Source'!V760&gt;=1,"D","F")))))),"")</f>
        <v/>
      </c>
      <c r="E760" s="3">
        <f>IF(AND('Data Source'!B760&lt;&gt;"",'Data Source'!S760="A+"),IF('Data Source'!W760&gt;=5,"A+",IF('Data Source'!W760&gt;=4,"A",IF('Data Source'!W760&gt;=3.5,"A-",IF('Data Source'!W760&gt;=3,"B",IF('Data Source'!W760&gt;=2,"C",IF('Data Source'!W760&gt;=1,"D","F")))))),"")</f>
        <v/>
      </c>
      <c r="F760" s="3">
        <f>IF(AND('Data Source'!B760&lt;&gt;"",'Data Source'!S760="A+"),IF('Data Source'!X760&gt;=5,"A+",IF('Data Source'!X760&gt;=4,"A",IF('Data Source'!X760&gt;=3.5,"A-",IF('Data Source'!X760&gt;=3,"B",IF('Data Source'!X760&gt;=2,"C",IF('Data Source'!X760&gt;=1,"D","F")))))),"")</f>
        <v/>
      </c>
      <c r="G760" s="3">
        <f>IF(AND('Data Source'!B760&lt;&gt;"",'Data Source'!S760="A+"),IF('Data Source'!Y760&gt;=5,"A+",IF('Data Source'!Y760&gt;=4,"A",IF('Data Source'!Y760&gt;=3.5,"A-",IF('Data Source'!Y760&gt;=3,"B",IF('Data Source'!Y760&gt;=2,"C",IF('Data Source'!Y760&gt;=1,"D","F")))))),"")</f>
        <v/>
      </c>
      <c r="H760" s="3">
        <f>IF(AND('Data Source'!B760&lt;&gt;"",'Data Source'!S760="A+"),IF('Data Source'!Z760&gt;=5,"A+",IF('Data Source'!Z760&gt;=4,"A",IF('Data Source'!Z760&gt;=3.5,"A-",IF('Data Source'!Z760&gt;=3,"B",IF('Data Source'!Z760&gt;=2,"C",IF('Data Source'!Z760&gt;=1,"D","F")))))),"")</f>
        <v/>
      </c>
      <c r="I760" s="3">
        <f>IF(AND('Data Source'!B760&lt;&gt;"",'Data Source'!S760="A+"),IF('Data Source'!AA760&gt;=5,"A+",IF('Data Source'!AA760&gt;=4,"A",IF('Data Source'!AA760&gt;=3.5,"A-",IF('Data Source'!AA760&gt;=3,"B",IF('Data Source'!AA760&gt;=2,"C",IF('Data Source'!AA760&gt;=1,"D","F")))))),"")</f>
        <v/>
      </c>
      <c r="J760" s="3">
        <f>IF(AND('Data Source'!B760&lt;&gt;"",'Data Source'!S760="A+"),IF('Data Source'!AB760&gt;=5,"A+",IF('Data Source'!AB760&gt;=4,"A",IF('Data Source'!AB760&gt;=3.5,"A-",IF('Data Source'!AB760&gt;=3,"B",IF('Data Source'!AB760&gt;=2,"C",IF('Data Source'!AB760&gt;=1,"D","F")))))),"")</f>
        <v/>
      </c>
      <c r="K760" s="3">
        <f>IF(AND('Data Source'!B760&lt;&gt;"",'Data Source'!S760="A+"),IF('Data Source'!AC760&gt;=5,"A+",IF('Data Source'!AC760&gt;=4,"A",IF('Data Source'!AC760&gt;=3.5,"A-",IF('Data Source'!AC760&gt;=3,"B",IF('Data Source'!AC760&gt;=2,"C",IF('Data Source'!AC760&gt;=1,"D","F")))))),"")</f>
        <v/>
      </c>
      <c r="L760" s="3">
        <f>IF(AND('Data Source'!B760&lt;&gt;"",'Data Source'!S760="A+"),IF('Data Source'!AD760&gt;=5,"A+",IF('Data Source'!AD760&gt;=4,"A",IF('Data Source'!AD760&gt;=3.5,"A-",IF('Data Source'!AD760&gt;=3,"B",IF('Data Source'!AD760&gt;=2,"C",IF('Data Source'!AD760&gt;=1,"D","F")))))),"")</f>
        <v/>
      </c>
      <c r="M760" s="3">
        <f>IF(AND('Data Source'!B760&lt;&gt;"",'Data Source'!S760="A+"),IF('Data Source'!AE760&gt;=5,"A+",IF('Data Source'!AE760&gt;=4,"A",IF('Data Source'!AE760&gt;=3.5,"A-",IF('Data Source'!AE760&gt;=3,"B",IF('Data Source'!AE760&gt;=2,"C",IF('Data Source'!AE760&gt;=1,"D","F")))))),"")</f>
        <v/>
      </c>
      <c r="N760" s="3">
        <f>IF(AND('Data Source'!B760&lt;&gt;"",'Data Source'!S760="A+"),IF('Data Source'!AF760&gt;=5,"A+",IF('Data Source'!AF760&gt;=4,"A",IF('Data Source'!AF760&gt;=3.5,"A-",IF('Data Source'!AF760&gt;=3,"B",IF('Data Source'!AF760&gt;=2,"C",IF('Data Source'!AF760&gt;=1,"D","F")))))),"")</f>
        <v/>
      </c>
      <c r="O760" s="3">
        <f>IF(AND('Data Source'!B760&lt;&gt;"",'Data Source'!S760="A+"),IF('Data Source'!AG760&gt;=5,"A+",IF('Data Source'!AG760&gt;=4,"A",IF('Data Source'!AG760&gt;=3.5,"A-",IF('Data Source'!AG760&gt;=3,"B",IF('Data Source'!AG760&gt;=2,"C",IF('Data Source'!AG760&gt;=1,"D","F")))))),"")</f>
        <v/>
      </c>
      <c r="P760" s="5">
        <f>IF(AND('Data Source'!B760&lt;&gt;"",'Data Source'!S760="A+"),'Data Source'!R760,"")</f>
        <v/>
      </c>
      <c r="Q760" s="3">
        <f>IF(AND('Data Source'!B760&lt;&gt;"",'Data Source'!S760="A+"),'Data Source'!S760,"")</f>
        <v/>
      </c>
    </row>
    <row r="761">
      <c r="A761" s="3">
        <f>IF(AND('Data Source'!B761&lt;&gt;"",'Data Source'!S761="A+"),COUNTIF('Data Source'!$S$3:S761,"A+"),"")</f>
        <v/>
      </c>
      <c r="B761">
        <f>IF(AND('Data Source'!B761&lt;&gt;"",'Data Source'!S761="A+"),'Data Source'!B761,"")</f>
        <v/>
      </c>
      <c r="C761" s="3">
        <f>IF(AND('Data Source'!B761&lt;&gt;"",'Data Source'!S761="A+"),IF('Data Source'!U761&gt;=5,"A+",IF('Data Source'!U761&gt;=4,"A",IF('Data Source'!U761&gt;=3.5,"A-",IF('Data Source'!U761&gt;=3,"B",IF('Data Source'!U761&gt;=2,"C",IF('Data Source'!U761&gt;=1,"D","F")))))),"")</f>
        <v/>
      </c>
      <c r="D761" s="3">
        <f>IF(AND('Data Source'!B761&lt;&gt;"",'Data Source'!S761="A+"),IF('Data Source'!V761&gt;=5,"A+",IF('Data Source'!V761&gt;=4,"A",IF('Data Source'!V761&gt;=3.5,"A-",IF('Data Source'!V761&gt;=3,"B",IF('Data Source'!V761&gt;=2,"C",IF('Data Source'!V761&gt;=1,"D","F")))))),"")</f>
        <v/>
      </c>
      <c r="E761" s="3">
        <f>IF(AND('Data Source'!B761&lt;&gt;"",'Data Source'!S761="A+"),IF('Data Source'!W761&gt;=5,"A+",IF('Data Source'!W761&gt;=4,"A",IF('Data Source'!W761&gt;=3.5,"A-",IF('Data Source'!W761&gt;=3,"B",IF('Data Source'!W761&gt;=2,"C",IF('Data Source'!W761&gt;=1,"D","F")))))),"")</f>
        <v/>
      </c>
      <c r="F761" s="3">
        <f>IF(AND('Data Source'!B761&lt;&gt;"",'Data Source'!S761="A+"),IF('Data Source'!X761&gt;=5,"A+",IF('Data Source'!X761&gt;=4,"A",IF('Data Source'!X761&gt;=3.5,"A-",IF('Data Source'!X761&gt;=3,"B",IF('Data Source'!X761&gt;=2,"C",IF('Data Source'!X761&gt;=1,"D","F")))))),"")</f>
        <v/>
      </c>
      <c r="G761" s="3">
        <f>IF(AND('Data Source'!B761&lt;&gt;"",'Data Source'!S761="A+"),IF('Data Source'!Y761&gt;=5,"A+",IF('Data Source'!Y761&gt;=4,"A",IF('Data Source'!Y761&gt;=3.5,"A-",IF('Data Source'!Y761&gt;=3,"B",IF('Data Source'!Y761&gt;=2,"C",IF('Data Source'!Y761&gt;=1,"D","F")))))),"")</f>
        <v/>
      </c>
      <c r="H761" s="3">
        <f>IF(AND('Data Source'!B761&lt;&gt;"",'Data Source'!S761="A+"),IF('Data Source'!Z761&gt;=5,"A+",IF('Data Source'!Z761&gt;=4,"A",IF('Data Source'!Z761&gt;=3.5,"A-",IF('Data Source'!Z761&gt;=3,"B",IF('Data Source'!Z761&gt;=2,"C",IF('Data Source'!Z761&gt;=1,"D","F")))))),"")</f>
        <v/>
      </c>
      <c r="I761" s="3">
        <f>IF(AND('Data Source'!B761&lt;&gt;"",'Data Source'!S761="A+"),IF('Data Source'!AA761&gt;=5,"A+",IF('Data Source'!AA761&gt;=4,"A",IF('Data Source'!AA761&gt;=3.5,"A-",IF('Data Source'!AA761&gt;=3,"B",IF('Data Source'!AA761&gt;=2,"C",IF('Data Source'!AA761&gt;=1,"D","F")))))),"")</f>
        <v/>
      </c>
      <c r="J761" s="3">
        <f>IF(AND('Data Source'!B761&lt;&gt;"",'Data Source'!S761="A+"),IF('Data Source'!AB761&gt;=5,"A+",IF('Data Source'!AB761&gt;=4,"A",IF('Data Source'!AB761&gt;=3.5,"A-",IF('Data Source'!AB761&gt;=3,"B",IF('Data Source'!AB761&gt;=2,"C",IF('Data Source'!AB761&gt;=1,"D","F")))))),"")</f>
        <v/>
      </c>
      <c r="K761" s="3">
        <f>IF(AND('Data Source'!B761&lt;&gt;"",'Data Source'!S761="A+"),IF('Data Source'!AC761&gt;=5,"A+",IF('Data Source'!AC761&gt;=4,"A",IF('Data Source'!AC761&gt;=3.5,"A-",IF('Data Source'!AC761&gt;=3,"B",IF('Data Source'!AC761&gt;=2,"C",IF('Data Source'!AC761&gt;=1,"D","F")))))),"")</f>
        <v/>
      </c>
      <c r="L761" s="3">
        <f>IF(AND('Data Source'!B761&lt;&gt;"",'Data Source'!S761="A+"),IF('Data Source'!AD761&gt;=5,"A+",IF('Data Source'!AD761&gt;=4,"A",IF('Data Source'!AD761&gt;=3.5,"A-",IF('Data Source'!AD761&gt;=3,"B",IF('Data Source'!AD761&gt;=2,"C",IF('Data Source'!AD761&gt;=1,"D","F")))))),"")</f>
        <v/>
      </c>
      <c r="M761" s="3">
        <f>IF(AND('Data Source'!B761&lt;&gt;"",'Data Source'!S761="A+"),IF('Data Source'!AE761&gt;=5,"A+",IF('Data Source'!AE761&gt;=4,"A",IF('Data Source'!AE761&gt;=3.5,"A-",IF('Data Source'!AE761&gt;=3,"B",IF('Data Source'!AE761&gt;=2,"C",IF('Data Source'!AE761&gt;=1,"D","F")))))),"")</f>
        <v/>
      </c>
      <c r="N761" s="3">
        <f>IF(AND('Data Source'!B761&lt;&gt;"",'Data Source'!S761="A+"),IF('Data Source'!AF761&gt;=5,"A+",IF('Data Source'!AF761&gt;=4,"A",IF('Data Source'!AF761&gt;=3.5,"A-",IF('Data Source'!AF761&gt;=3,"B",IF('Data Source'!AF761&gt;=2,"C",IF('Data Source'!AF761&gt;=1,"D","F")))))),"")</f>
        <v/>
      </c>
      <c r="O761" s="3">
        <f>IF(AND('Data Source'!B761&lt;&gt;"",'Data Source'!S761="A+"),IF('Data Source'!AG761&gt;=5,"A+",IF('Data Source'!AG761&gt;=4,"A",IF('Data Source'!AG761&gt;=3.5,"A-",IF('Data Source'!AG761&gt;=3,"B",IF('Data Source'!AG761&gt;=2,"C",IF('Data Source'!AG761&gt;=1,"D","F")))))),"")</f>
        <v/>
      </c>
      <c r="P761" s="5">
        <f>IF(AND('Data Source'!B761&lt;&gt;"",'Data Source'!S761="A+"),'Data Source'!R761,"")</f>
        <v/>
      </c>
      <c r="Q761" s="3">
        <f>IF(AND('Data Source'!B761&lt;&gt;"",'Data Source'!S761="A+"),'Data Source'!S761,"")</f>
        <v/>
      </c>
    </row>
    <row r="762">
      <c r="A762" s="3">
        <f>IF(AND('Data Source'!B762&lt;&gt;"",'Data Source'!S762="A+"),COUNTIF('Data Source'!$S$3:S762,"A+"),"")</f>
        <v/>
      </c>
      <c r="B762">
        <f>IF(AND('Data Source'!B762&lt;&gt;"",'Data Source'!S762="A+"),'Data Source'!B762,"")</f>
        <v/>
      </c>
      <c r="C762" s="3">
        <f>IF(AND('Data Source'!B762&lt;&gt;"",'Data Source'!S762="A+"),IF('Data Source'!U762&gt;=5,"A+",IF('Data Source'!U762&gt;=4,"A",IF('Data Source'!U762&gt;=3.5,"A-",IF('Data Source'!U762&gt;=3,"B",IF('Data Source'!U762&gt;=2,"C",IF('Data Source'!U762&gt;=1,"D","F")))))),"")</f>
        <v/>
      </c>
      <c r="D762" s="3">
        <f>IF(AND('Data Source'!B762&lt;&gt;"",'Data Source'!S762="A+"),IF('Data Source'!V762&gt;=5,"A+",IF('Data Source'!V762&gt;=4,"A",IF('Data Source'!V762&gt;=3.5,"A-",IF('Data Source'!V762&gt;=3,"B",IF('Data Source'!V762&gt;=2,"C",IF('Data Source'!V762&gt;=1,"D","F")))))),"")</f>
        <v/>
      </c>
      <c r="E762" s="3">
        <f>IF(AND('Data Source'!B762&lt;&gt;"",'Data Source'!S762="A+"),IF('Data Source'!W762&gt;=5,"A+",IF('Data Source'!W762&gt;=4,"A",IF('Data Source'!W762&gt;=3.5,"A-",IF('Data Source'!W762&gt;=3,"B",IF('Data Source'!W762&gt;=2,"C",IF('Data Source'!W762&gt;=1,"D","F")))))),"")</f>
        <v/>
      </c>
      <c r="F762" s="3">
        <f>IF(AND('Data Source'!B762&lt;&gt;"",'Data Source'!S762="A+"),IF('Data Source'!X762&gt;=5,"A+",IF('Data Source'!X762&gt;=4,"A",IF('Data Source'!X762&gt;=3.5,"A-",IF('Data Source'!X762&gt;=3,"B",IF('Data Source'!X762&gt;=2,"C",IF('Data Source'!X762&gt;=1,"D","F")))))),"")</f>
        <v/>
      </c>
      <c r="G762" s="3">
        <f>IF(AND('Data Source'!B762&lt;&gt;"",'Data Source'!S762="A+"),IF('Data Source'!Y762&gt;=5,"A+",IF('Data Source'!Y762&gt;=4,"A",IF('Data Source'!Y762&gt;=3.5,"A-",IF('Data Source'!Y762&gt;=3,"B",IF('Data Source'!Y762&gt;=2,"C",IF('Data Source'!Y762&gt;=1,"D","F")))))),"")</f>
        <v/>
      </c>
      <c r="H762" s="3">
        <f>IF(AND('Data Source'!B762&lt;&gt;"",'Data Source'!S762="A+"),IF('Data Source'!Z762&gt;=5,"A+",IF('Data Source'!Z762&gt;=4,"A",IF('Data Source'!Z762&gt;=3.5,"A-",IF('Data Source'!Z762&gt;=3,"B",IF('Data Source'!Z762&gt;=2,"C",IF('Data Source'!Z762&gt;=1,"D","F")))))),"")</f>
        <v/>
      </c>
      <c r="I762" s="3">
        <f>IF(AND('Data Source'!B762&lt;&gt;"",'Data Source'!S762="A+"),IF('Data Source'!AA762&gt;=5,"A+",IF('Data Source'!AA762&gt;=4,"A",IF('Data Source'!AA762&gt;=3.5,"A-",IF('Data Source'!AA762&gt;=3,"B",IF('Data Source'!AA762&gt;=2,"C",IF('Data Source'!AA762&gt;=1,"D","F")))))),"")</f>
        <v/>
      </c>
      <c r="J762" s="3">
        <f>IF(AND('Data Source'!B762&lt;&gt;"",'Data Source'!S762="A+"),IF('Data Source'!AB762&gt;=5,"A+",IF('Data Source'!AB762&gt;=4,"A",IF('Data Source'!AB762&gt;=3.5,"A-",IF('Data Source'!AB762&gt;=3,"B",IF('Data Source'!AB762&gt;=2,"C",IF('Data Source'!AB762&gt;=1,"D","F")))))),"")</f>
        <v/>
      </c>
      <c r="K762" s="3">
        <f>IF(AND('Data Source'!B762&lt;&gt;"",'Data Source'!S762="A+"),IF('Data Source'!AC762&gt;=5,"A+",IF('Data Source'!AC762&gt;=4,"A",IF('Data Source'!AC762&gt;=3.5,"A-",IF('Data Source'!AC762&gt;=3,"B",IF('Data Source'!AC762&gt;=2,"C",IF('Data Source'!AC762&gt;=1,"D","F")))))),"")</f>
        <v/>
      </c>
      <c r="L762" s="3">
        <f>IF(AND('Data Source'!B762&lt;&gt;"",'Data Source'!S762="A+"),IF('Data Source'!AD762&gt;=5,"A+",IF('Data Source'!AD762&gt;=4,"A",IF('Data Source'!AD762&gt;=3.5,"A-",IF('Data Source'!AD762&gt;=3,"B",IF('Data Source'!AD762&gt;=2,"C",IF('Data Source'!AD762&gt;=1,"D","F")))))),"")</f>
        <v/>
      </c>
      <c r="M762" s="3">
        <f>IF(AND('Data Source'!B762&lt;&gt;"",'Data Source'!S762="A+"),IF('Data Source'!AE762&gt;=5,"A+",IF('Data Source'!AE762&gt;=4,"A",IF('Data Source'!AE762&gt;=3.5,"A-",IF('Data Source'!AE762&gt;=3,"B",IF('Data Source'!AE762&gt;=2,"C",IF('Data Source'!AE762&gt;=1,"D","F")))))),"")</f>
        <v/>
      </c>
      <c r="N762" s="3">
        <f>IF(AND('Data Source'!B762&lt;&gt;"",'Data Source'!S762="A+"),IF('Data Source'!AF762&gt;=5,"A+",IF('Data Source'!AF762&gt;=4,"A",IF('Data Source'!AF762&gt;=3.5,"A-",IF('Data Source'!AF762&gt;=3,"B",IF('Data Source'!AF762&gt;=2,"C",IF('Data Source'!AF762&gt;=1,"D","F")))))),"")</f>
        <v/>
      </c>
      <c r="O762" s="3">
        <f>IF(AND('Data Source'!B762&lt;&gt;"",'Data Source'!S762="A+"),IF('Data Source'!AG762&gt;=5,"A+",IF('Data Source'!AG762&gt;=4,"A",IF('Data Source'!AG762&gt;=3.5,"A-",IF('Data Source'!AG762&gt;=3,"B",IF('Data Source'!AG762&gt;=2,"C",IF('Data Source'!AG762&gt;=1,"D","F")))))),"")</f>
        <v/>
      </c>
      <c r="P762" s="5">
        <f>IF(AND('Data Source'!B762&lt;&gt;"",'Data Source'!S762="A+"),'Data Source'!R762,"")</f>
        <v/>
      </c>
      <c r="Q762" s="3">
        <f>IF(AND('Data Source'!B762&lt;&gt;"",'Data Source'!S762="A+"),'Data Source'!S762,"")</f>
        <v/>
      </c>
    </row>
    <row r="763">
      <c r="A763" s="3">
        <f>IF(AND('Data Source'!B763&lt;&gt;"",'Data Source'!S763="A+"),COUNTIF('Data Source'!$S$3:S763,"A+"),"")</f>
        <v/>
      </c>
      <c r="B763">
        <f>IF(AND('Data Source'!B763&lt;&gt;"",'Data Source'!S763="A+"),'Data Source'!B763,"")</f>
        <v/>
      </c>
      <c r="C763" s="3">
        <f>IF(AND('Data Source'!B763&lt;&gt;"",'Data Source'!S763="A+"),IF('Data Source'!U763&gt;=5,"A+",IF('Data Source'!U763&gt;=4,"A",IF('Data Source'!U763&gt;=3.5,"A-",IF('Data Source'!U763&gt;=3,"B",IF('Data Source'!U763&gt;=2,"C",IF('Data Source'!U763&gt;=1,"D","F")))))),"")</f>
        <v/>
      </c>
      <c r="D763" s="3">
        <f>IF(AND('Data Source'!B763&lt;&gt;"",'Data Source'!S763="A+"),IF('Data Source'!V763&gt;=5,"A+",IF('Data Source'!V763&gt;=4,"A",IF('Data Source'!V763&gt;=3.5,"A-",IF('Data Source'!V763&gt;=3,"B",IF('Data Source'!V763&gt;=2,"C",IF('Data Source'!V763&gt;=1,"D","F")))))),"")</f>
        <v/>
      </c>
      <c r="E763" s="3">
        <f>IF(AND('Data Source'!B763&lt;&gt;"",'Data Source'!S763="A+"),IF('Data Source'!W763&gt;=5,"A+",IF('Data Source'!W763&gt;=4,"A",IF('Data Source'!W763&gt;=3.5,"A-",IF('Data Source'!W763&gt;=3,"B",IF('Data Source'!W763&gt;=2,"C",IF('Data Source'!W763&gt;=1,"D","F")))))),"")</f>
        <v/>
      </c>
      <c r="F763" s="3">
        <f>IF(AND('Data Source'!B763&lt;&gt;"",'Data Source'!S763="A+"),IF('Data Source'!X763&gt;=5,"A+",IF('Data Source'!X763&gt;=4,"A",IF('Data Source'!X763&gt;=3.5,"A-",IF('Data Source'!X763&gt;=3,"B",IF('Data Source'!X763&gt;=2,"C",IF('Data Source'!X763&gt;=1,"D","F")))))),"")</f>
        <v/>
      </c>
      <c r="G763" s="3">
        <f>IF(AND('Data Source'!B763&lt;&gt;"",'Data Source'!S763="A+"),IF('Data Source'!Y763&gt;=5,"A+",IF('Data Source'!Y763&gt;=4,"A",IF('Data Source'!Y763&gt;=3.5,"A-",IF('Data Source'!Y763&gt;=3,"B",IF('Data Source'!Y763&gt;=2,"C",IF('Data Source'!Y763&gt;=1,"D","F")))))),"")</f>
        <v/>
      </c>
      <c r="H763" s="3">
        <f>IF(AND('Data Source'!B763&lt;&gt;"",'Data Source'!S763="A+"),IF('Data Source'!Z763&gt;=5,"A+",IF('Data Source'!Z763&gt;=4,"A",IF('Data Source'!Z763&gt;=3.5,"A-",IF('Data Source'!Z763&gt;=3,"B",IF('Data Source'!Z763&gt;=2,"C",IF('Data Source'!Z763&gt;=1,"D","F")))))),"")</f>
        <v/>
      </c>
      <c r="I763" s="3">
        <f>IF(AND('Data Source'!B763&lt;&gt;"",'Data Source'!S763="A+"),IF('Data Source'!AA763&gt;=5,"A+",IF('Data Source'!AA763&gt;=4,"A",IF('Data Source'!AA763&gt;=3.5,"A-",IF('Data Source'!AA763&gt;=3,"B",IF('Data Source'!AA763&gt;=2,"C",IF('Data Source'!AA763&gt;=1,"D","F")))))),"")</f>
        <v/>
      </c>
      <c r="J763" s="3">
        <f>IF(AND('Data Source'!B763&lt;&gt;"",'Data Source'!S763="A+"),IF('Data Source'!AB763&gt;=5,"A+",IF('Data Source'!AB763&gt;=4,"A",IF('Data Source'!AB763&gt;=3.5,"A-",IF('Data Source'!AB763&gt;=3,"B",IF('Data Source'!AB763&gt;=2,"C",IF('Data Source'!AB763&gt;=1,"D","F")))))),"")</f>
        <v/>
      </c>
      <c r="K763" s="3">
        <f>IF(AND('Data Source'!B763&lt;&gt;"",'Data Source'!S763="A+"),IF('Data Source'!AC763&gt;=5,"A+",IF('Data Source'!AC763&gt;=4,"A",IF('Data Source'!AC763&gt;=3.5,"A-",IF('Data Source'!AC763&gt;=3,"B",IF('Data Source'!AC763&gt;=2,"C",IF('Data Source'!AC763&gt;=1,"D","F")))))),"")</f>
        <v/>
      </c>
      <c r="L763" s="3">
        <f>IF(AND('Data Source'!B763&lt;&gt;"",'Data Source'!S763="A+"),IF('Data Source'!AD763&gt;=5,"A+",IF('Data Source'!AD763&gt;=4,"A",IF('Data Source'!AD763&gt;=3.5,"A-",IF('Data Source'!AD763&gt;=3,"B",IF('Data Source'!AD763&gt;=2,"C",IF('Data Source'!AD763&gt;=1,"D","F")))))),"")</f>
        <v/>
      </c>
      <c r="M763" s="3">
        <f>IF(AND('Data Source'!B763&lt;&gt;"",'Data Source'!S763="A+"),IF('Data Source'!AE763&gt;=5,"A+",IF('Data Source'!AE763&gt;=4,"A",IF('Data Source'!AE763&gt;=3.5,"A-",IF('Data Source'!AE763&gt;=3,"B",IF('Data Source'!AE763&gt;=2,"C",IF('Data Source'!AE763&gt;=1,"D","F")))))),"")</f>
        <v/>
      </c>
      <c r="N763" s="3">
        <f>IF(AND('Data Source'!B763&lt;&gt;"",'Data Source'!S763="A+"),IF('Data Source'!AF763&gt;=5,"A+",IF('Data Source'!AF763&gt;=4,"A",IF('Data Source'!AF763&gt;=3.5,"A-",IF('Data Source'!AF763&gt;=3,"B",IF('Data Source'!AF763&gt;=2,"C",IF('Data Source'!AF763&gt;=1,"D","F")))))),"")</f>
        <v/>
      </c>
      <c r="O763" s="3">
        <f>IF(AND('Data Source'!B763&lt;&gt;"",'Data Source'!S763="A+"),IF('Data Source'!AG763&gt;=5,"A+",IF('Data Source'!AG763&gt;=4,"A",IF('Data Source'!AG763&gt;=3.5,"A-",IF('Data Source'!AG763&gt;=3,"B",IF('Data Source'!AG763&gt;=2,"C",IF('Data Source'!AG763&gt;=1,"D","F")))))),"")</f>
        <v/>
      </c>
      <c r="P763" s="5">
        <f>IF(AND('Data Source'!B763&lt;&gt;"",'Data Source'!S763="A+"),'Data Source'!R763,"")</f>
        <v/>
      </c>
      <c r="Q763" s="3">
        <f>IF(AND('Data Source'!B763&lt;&gt;"",'Data Source'!S763="A+"),'Data Source'!S763,"")</f>
        <v/>
      </c>
    </row>
    <row r="764">
      <c r="A764" s="3">
        <f>IF(AND('Data Source'!B764&lt;&gt;"",'Data Source'!S764="A+"),COUNTIF('Data Source'!$S$3:S764,"A+"),"")</f>
        <v/>
      </c>
      <c r="B764">
        <f>IF(AND('Data Source'!B764&lt;&gt;"",'Data Source'!S764="A+"),'Data Source'!B764,"")</f>
        <v/>
      </c>
      <c r="C764" s="3">
        <f>IF(AND('Data Source'!B764&lt;&gt;"",'Data Source'!S764="A+"),IF('Data Source'!U764&gt;=5,"A+",IF('Data Source'!U764&gt;=4,"A",IF('Data Source'!U764&gt;=3.5,"A-",IF('Data Source'!U764&gt;=3,"B",IF('Data Source'!U764&gt;=2,"C",IF('Data Source'!U764&gt;=1,"D","F")))))),"")</f>
        <v/>
      </c>
      <c r="D764" s="3">
        <f>IF(AND('Data Source'!B764&lt;&gt;"",'Data Source'!S764="A+"),IF('Data Source'!V764&gt;=5,"A+",IF('Data Source'!V764&gt;=4,"A",IF('Data Source'!V764&gt;=3.5,"A-",IF('Data Source'!V764&gt;=3,"B",IF('Data Source'!V764&gt;=2,"C",IF('Data Source'!V764&gt;=1,"D","F")))))),"")</f>
        <v/>
      </c>
      <c r="E764" s="3">
        <f>IF(AND('Data Source'!B764&lt;&gt;"",'Data Source'!S764="A+"),IF('Data Source'!W764&gt;=5,"A+",IF('Data Source'!W764&gt;=4,"A",IF('Data Source'!W764&gt;=3.5,"A-",IF('Data Source'!W764&gt;=3,"B",IF('Data Source'!W764&gt;=2,"C",IF('Data Source'!W764&gt;=1,"D","F")))))),"")</f>
        <v/>
      </c>
      <c r="F764" s="3">
        <f>IF(AND('Data Source'!B764&lt;&gt;"",'Data Source'!S764="A+"),IF('Data Source'!X764&gt;=5,"A+",IF('Data Source'!X764&gt;=4,"A",IF('Data Source'!X764&gt;=3.5,"A-",IF('Data Source'!X764&gt;=3,"B",IF('Data Source'!X764&gt;=2,"C",IF('Data Source'!X764&gt;=1,"D","F")))))),"")</f>
        <v/>
      </c>
      <c r="G764" s="3">
        <f>IF(AND('Data Source'!B764&lt;&gt;"",'Data Source'!S764="A+"),IF('Data Source'!Y764&gt;=5,"A+",IF('Data Source'!Y764&gt;=4,"A",IF('Data Source'!Y764&gt;=3.5,"A-",IF('Data Source'!Y764&gt;=3,"B",IF('Data Source'!Y764&gt;=2,"C",IF('Data Source'!Y764&gt;=1,"D","F")))))),"")</f>
        <v/>
      </c>
      <c r="H764" s="3">
        <f>IF(AND('Data Source'!B764&lt;&gt;"",'Data Source'!S764="A+"),IF('Data Source'!Z764&gt;=5,"A+",IF('Data Source'!Z764&gt;=4,"A",IF('Data Source'!Z764&gt;=3.5,"A-",IF('Data Source'!Z764&gt;=3,"B",IF('Data Source'!Z764&gt;=2,"C",IF('Data Source'!Z764&gt;=1,"D","F")))))),"")</f>
        <v/>
      </c>
      <c r="I764" s="3">
        <f>IF(AND('Data Source'!B764&lt;&gt;"",'Data Source'!S764="A+"),IF('Data Source'!AA764&gt;=5,"A+",IF('Data Source'!AA764&gt;=4,"A",IF('Data Source'!AA764&gt;=3.5,"A-",IF('Data Source'!AA764&gt;=3,"B",IF('Data Source'!AA764&gt;=2,"C",IF('Data Source'!AA764&gt;=1,"D","F")))))),"")</f>
        <v/>
      </c>
      <c r="J764" s="3">
        <f>IF(AND('Data Source'!B764&lt;&gt;"",'Data Source'!S764="A+"),IF('Data Source'!AB764&gt;=5,"A+",IF('Data Source'!AB764&gt;=4,"A",IF('Data Source'!AB764&gt;=3.5,"A-",IF('Data Source'!AB764&gt;=3,"B",IF('Data Source'!AB764&gt;=2,"C",IF('Data Source'!AB764&gt;=1,"D","F")))))),"")</f>
        <v/>
      </c>
      <c r="K764" s="3">
        <f>IF(AND('Data Source'!B764&lt;&gt;"",'Data Source'!S764="A+"),IF('Data Source'!AC764&gt;=5,"A+",IF('Data Source'!AC764&gt;=4,"A",IF('Data Source'!AC764&gt;=3.5,"A-",IF('Data Source'!AC764&gt;=3,"B",IF('Data Source'!AC764&gt;=2,"C",IF('Data Source'!AC764&gt;=1,"D","F")))))),"")</f>
        <v/>
      </c>
      <c r="L764" s="3">
        <f>IF(AND('Data Source'!B764&lt;&gt;"",'Data Source'!S764="A+"),IF('Data Source'!AD764&gt;=5,"A+",IF('Data Source'!AD764&gt;=4,"A",IF('Data Source'!AD764&gt;=3.5,"A-",IF('Data Source'!AD764&gt;=3,"B",IF('Data Source'!AD764&gt;=2,"C",IF('Data Source'!AD764&gt;=1,"D","F")))))),"")</f>
        <v/>
      </c>
      <c r="M764" s="3">
        <f>IF(AND('Data Source'!B764&lt;&gt;"",'Data Source'!S764="A+"),IF('Data Source'!AE764&gt;=5,"A+",IF('Data Source'!AE764&gt;=4,"A",IF('Data Source'!AE764&gt;=3.5,"A-",IF('Data Source'!AE764&gt;=3,"B",IF('Data Source'!AE764&gt;=2,"C",IF('Data Source'!AE764&gt;=1,"D","F")))))),"")</f>
        <v/>
      </c>
      <c r="N764" s="3">
        <f>IF(AND('Data Source'!B764&lt;&gt;"",'Data Source'!S764="A+"),IF('Data Source'!AF764&gt;=5,"A+",IF('Data Source'!AF764&gt;=4,"A",IF('Data Source'!AF764&gt;=3.5,"A-",IF('Data Source'!AF764&gt;=3,"B",IF('Data Source'!AF764&gt;=2,"C",IF('Data Source'!AF764&gt;=1,"D","F")))))),"")</f>
        <v/>
      </c>
      <c r="O764" s="3">
        <f>IF(AND('Data Source'!B764&lt;&gt;"",'Data Source'!S764="A+"),IF('Data Source'!AG764&gt;=5,"A+",IF('Data Source'!AG764&gt;=4,"A",IF('Data Source'!AG764&gt;=3.5,"A-",IF('Data Source'!AG764&gt;=3,"B",IF('Data Source'!AG764&gt;=2,"C",IF('Data Source'!AG764&gt;=1,"D","F")))))),"")</f>
        <v/>
      </c>
      <c r="P764" s="5">
        <f>IF(AND('Data Source'!B764&lt;&gt;"",'Data Source'!S764="A+"),'Data Source'!R764,"")</f>
        <v/>
      </c>
      <c r="Q764" s="3">
        <f>IF(AND('Data Source'!B764&lt;&gt;"",'Data Source'!S764="A+"),'Data Source'!S764,"")</f>
        <v/>
      </c>
    </row>
    <row r="765">
      <c r="A765" s="3">
        <f>IF(AND('Data Source'!B765&lt;&gt;"",'Data Source'!S765="A+"),COUNTIF('Data Source'!$S$3:S765,"A+"),"")</f>
        <v/>
      </c>
      <c r="B765">
        <f>IF(AND('Data Source'!B765&lt;&gt;"",'Data Source'!S765="A+"),'Data Source'!B765,"")</f>
        <v/>
      </c>
      <c r="C765" s="3">
        <f>IF(AND('Data Source'!B765&lt;&gt;"",'Data Source'!S765="A+"),IF('Data Source'!U765&gt;=5,"A+",IF('Data Source'!U765&gt;=4,"A",IF('Data Source'!U765&gt;=3.5,"A-",IF('Data Source'!U765&gt;=3,"B",IF('Data Source'!U765&gt;=2,"C",IF('Data Source'!U765&gt;=1,"D","F")))))),"")</f>
        <v/>
      </c>
      <c r="D765" s="3">
        <f>IF(AND('Data Source'!B765&lt;&gt;"",'Data Source'!S765="A+"),IF('Data Source'!V765&gt;=5,"A+",IF('Data Source'!V765&gt;=4,"A",IF('Data Source'!V765&gt;=3.5,"A-",IF('Data Source'!V765&gt;=3,"B",IF('Data Source'!V765&gt;=2,"C",IF('Data Source'!V765&gt;=1,"D","F")))))),"")</f>
        <v/>
      </c>
      <c r="E765" s="3">
        <f>IF(AND('Data Source'!B765&lt;&gt;"",'Data Source'!S765="A+"),IF('Data Source'!W765&gt;=5,"A+",IF('Data Source'!W765&gt;=4,"A",IF('Data Source'!W765&gt;=3.5,"A-",IF('Data Source'!W765&gt;=3,"B",IF('Data Source'!W765&gt;=2,"C",IF('Data Source'!W765&gt;=1,"D","F")))))),"")</f>
        <v/>
      </c>
      <c r="F765" s="3">
        <f>IF(AND('Data Source'!B765&lt;&gt;"",'Data Source'!S765="A+"),IF('Data Source'!X765&gt;=5,"A+",IF('Data Source'!X765&gt;=4,"A",IF('Data Source'!X765&gt;=3.5,"A-",IF('Data Source'!X765&gt;=3,"B",IF('Data Source'!X765&gt;=2,"C",IF('Data Source'!X765&gt;=1,"D","F")))))),"")</f>
        <v/>
      </c>
      <c r="G765" s="3">
        <f>IF(AND('Data Source'!B765&lt;&gt;"",'Data Source'!S765="A+"),IF('Data Source'!Y765&gt;=5,"A+",IF('Data Source'!Y765&gt;=4,"A",IF('Data Source'!Y765&gt;=3.5,"A-",IF('Data Source'!Y765&gt;=3,"B",IF('Data Source'!Y765&gt;=2,"C",IF('Data Source'!Y765&gt;=1,"D","F")))))),"")</f>
        <v/>
      </c>
      <c r="H765" s="3">
        <f>IF(AND('Data Source'!B765&lt;&gt;"",'Data Source'!S765="A+"),IF('Data Source'!Z765&gt;=5,"A+",IF('Data Source'!Z765&gt;=4,"A",IF('Data Source'!Z765&gt;=3.5,"A-",IF('Data Source'!Z765&gt;=3,"B",IF('Data Source'!Z765&gt;=2,"C",IF('Data Source'!Z765&gt;=1,"D","F")))))),"")</f>
        <v/>
      </c>
      <c r="I765" s="3">
        <f>IF(AND('Data Source'!B765&lt;&gt;"",'Data Source'!S765="A+"),IF('Data Source'!AA765&gt;=5,"A+",IF('Data Source'!AA765&gt;=4,"A",IF('Data Source'!AA765&gt;=3.5,"A-",IF('Data Source'!AA765&gt;=3,"B",IF('Data Source'!AA765&gt;=2,"C",IF('Data Source'!AA765&gt;=1,"D","F")))))),"")</f>
        <v/>
      </c>
      <c r="J765" s="3">
        <f>IF(AND('Data Source'!B765&lt;&gt;"",'Data Source'!S765="A+"),IF('Data Source'!AB765&gt;=5,"A+",IF('Data Source'!AB765&gt;=4,"A",IF('Data Source'!AB765&gt;=3.5,"A-",IF('Data Source'!AB765&gt;=3,"B",IF('Data Source'!AB765&gt;=2,"C",IF('Data Source'!AB765&gt;=1,"D","F")))))),"")</f>
        <v/>
      </c>
      <c r="K765" s="3">
        <f>IF(AND('Data Source'!B765&lt;&gt;"",'Data Source'!S765="A+"),IF('Data Source'!AC765&gt;=5,"A+",IF('Data Source'!AC765&gt;=4,"A",IF('Data Source'!AC765&gt;=3.5,"A-",IF('Data Source'!AC765&gt;=3,"B",IF('Data Source'!AC765&gt;=2,"C",IF('Data Source'!AC765&gt;=1,"D","F")))))),"")</f>
        <v/>
      </c>
      <c r="L765" s="3">
        <f>IF(AND('Data Source'!B765&lt;&gt;"",'Data Source'!S765="A+"),IF('Data Source'!AD765&gt;=5,"A+",IF('Data Source'!AD765&gt;=4,"A",IF('Data Source'!AD765&gt;=3.5,"A-",IF('Data Source'!AD765&gt;=3,"B",IF('Data Source'!AD765&gt;=2,"C",IF('Data Source'!AD765&gt;=1,"D","F")))))),"")</f>
        <v/>
      </c>
      <c r="M765" s="3">
        <f>IF(AND('Data Source'!B765&lt;&gt;"",'Data Source'!S765="A+"),IF('Data Source'!AE765&gt;=5,"A+",IF('Data Source'!AE765&gt;=4,"A",IF('Data Source'!AE765&gt;=3.5,"A-",IF('Data Source'!AE765&gt;=3,"B",IF('Data Source'!AE765&gt;=2,"C",IF('Data Source'!AE765&gt;=1,"D","F")))))),"")</f>
        <v/>
      </c>
      <c r="N765" s="3">
        <f>IF(AND('Data Source'!B765&lt;&gt;"",'Data Source'!S765="A+"),IF('Data Source'!AF765&gt;=5,"A+",IF('Data Source'!AF765&gt;=4,"A",IF('Data Source'!AF765&gt;=3.5,"A-",IF('Data Source'!AF765&gt;=3,"B",IF('Data Source'!AF765&gt;=2,"C",IF('Data Source'!AF765&gt;=1,"D","F")))))),"")</f>
        <v/>
      </c>
      <c r="O765" s="3">
        <f>IF(AND('Data Source'!B765&lt;&gt;"",'Data Source'!S765="A+"),IF('Data Source'!AG765&gt;=5,"A+",IF('Data Source'!AG765&gt;=4,"A",IF('Data Source'!AG765&gt;=3.5,"A-",IF('Data Source'!AG765&gt;=3,"B",IF('Data Source'!AG765&gt;=2,"C",IF('Data Source'!AG765&gt;=1,"D","F")))))),"")</f>
        <v/>
      </c>
      <c r="P765" s="5">
        <f>IF(AND('Data Source'!B765&lt;&gt;"",'Data Source'!S765="A+"),'Data Source'!R765,"")</f>
        <v/>
      </c>
      <c r="Q765" s="3">
        <f>IF(AND('Data Source'!B765&lt;&gt;"",'Data Source'!S765="A+"),'Data Source'!S765,"")</f>
        <v/>
      </c>
    </row>
    <row r="766">
      <c r="A766" s="3">
        <f>IF(AND('Data Source'!B766&lt;&gt;"",'Data Source'!S766="A+"),COUNTIF('Data Source'!$S$3:S766,"A+"),"")</f>
        <v/>
      </c>
      <c r="B766">
        <f>IF(AND('Data Source'!B766&lt;&gt;"",'Data Source'!S766="A+"),'Data Source'!B766,"")</f>
        <v/>
      </c>
      <c r="C766" s="3">
        <f>IF(AND('Data Source'!B766&lt;&gt;"",'Data Source'!S766="A+"),IF('Data Source'!U766&gt;=5,"A+",IF('Data Source'!U766&gt;=4,"A",IF('Data Source'!U766&gt;=3.5,"A-",IF('Data Source'!U766&gt;=3,"B",IF('Data Source'!U766&gt;=2,"C",IF('Data Source'!U766&gt;=1,"D","F")))))),"")</f>
        <v/>
      </c>
      <c r="D766" s="3">
        <f>IF(AND('Data Source'!B766&lt;&gt;"",'Data Source'!S766="A+"),IF('Data Source'!V766&gt;=5,"A+",IF('Data Source'!V766&gt;=4,"A",IF('Data Source'!V766&gt;=3.5,"A-",IF('Data Source'!V766&gt;=3,"B",IF('Data Source'!V766&gt;=2,"C",IF('Data Source'!V766&gt;=1,"D","F")))))),"")</f>
        <v/>
      </c>
      <c r="E766" s="3">
        <f>IF(AND('Data Source'!B766&lt;&gt;"",'Data Source'!S766="A+"),IF('Data Source'!W766&gt;=5,"A+",IF('Data Source'!W766&gt;=4,"A",IF('Data Source'!W766&gt;=3.5,"A-",IF('Data Source'!W766&gt;=3,"B",IF('Data Source'!W766&gt;=2,"C",IF('Data Source'!W766&gt;=1,"D","F")))))),"")</f>
        <v/>
      </c>
      <c r="F766" s="3">
        <f>IF(AND('Data Source'!B766&lt;&gt;"",'Data Source'!S766="A+"),IF('Data Source'!X766&gt;=5,"A+",IF('Data Source'!X766&gt;=4,"A",IF('Data Source'!X766&gt;=3.5,"A-",IF('Data Source'!X766&gt;=3,"B",IF('Data Source'!X766&gt;=2,"C",IF('Data Source'!X766&gt;=1,"D","F")))))),"")</f>
        <v/>
      </c>
      <c r="G766" s="3">
        <f>IF(AND('Data Source'!B766&lt;&gt;"",'Data Source'!S766="A+"),IF('Data Source'!Y766&gt;=5,"A+",IF('Data Source'!Y766&gt;=4,"A",IF('Data Source'!Y766&gt;=3.5,"A-",IF('Data Source'!Y766&gt;=3,"B",IF('Data Source'!Y766&gt;=2,"C",IF('Data Source'!Y766&gt;=1,"D","F")))))),"")</f>
        <v/>
      </c>
      <c r="H766" s="3">
        <f>IF(AND('Data Source'!B766&lt;&gt;"",'Data Source'!S766="A+"),IF('Data Source'!Z766&gt;=5,"A+",IF('Data Source'!Z766&gt;=4,"A",IF('Data Source'!Z766&gt;=3.5,"A-",IF('Data Source'!Z766&gt;=3,"B",IF('Data Source'!Z766&gt;=2,"C",IF('Data Source'!Z766&gt;=1,"D","F")))))),"")</f>
        <v/>
      </c>
      <c r="I766" s="3">
        <f>IF(AND('Data Source'!B766&lt;&gt;"",'Data Source'!S766="A+"),IF('Data Source'!AA766&gt;=5,"A+",IF('Data Source'!AA766&gt;=4,"A",IF('Data Source'!AA766&gt;=3.5,"A-",IF('Data Source'!AA766&gt;=3,"B",IF('Data Source'!AA766&gt;=2,"C",IF('Data Source'!AA766&gt;=1,"D","F")))))),"")</f>
        <v/>
      </c>
      <c r="J766" s="3">
        <f>IF(AND('Data Source'!B766&lt;&gt;"",'Data Source'!S766="A+"),IF('Data Source'!AB766&gt;=5,"A+",IF('Data Source'!AB766&gt;=4,"A",IF('Data Source'!AB766&gt;=3.5,"A-",IF('Data Source'!AB766&gt;=3,"B",IF('Data Source'!AB766&gt;=2,"C",IF('Data Source'!AB766&gt;=1,"D","F")))))),"")</f>
        <v/>
      </c>
      <c r="K766" s="3">
        <f>IF(AND('Data Source'!B766&lt;&gt;"",'Data Source'!S766="A+"),IF('Data Source'!AC766&gt;=5,"A+",IF('Data Source'!AC766&gt;=4,"A",IF('Data Source'!AC766&gt;=3.5,"A-",IF('Data Source'!AC766&gt;=3,"B",IF('Data Source'!AC766&gt;=2,"C",IF('Data Source'!AC766&gt;=1,"D","F")))))),"")</f>
        <v/>
      </c>
      <c r="L766" s="3">
        <f>IF(AND('Data Source'!B766&lt;&gt;"",'Data Source'!S766="A+"),IF('Data Source'!AD766&gt;=5,"A+",IF('Data Source'!AD766&gt;=4,"A",IF('Data Source'!AD766&gt;=3.5,"A-",IF('Data Source'!AD766&gt;=3,"B",IF('Data Source'!AD766&gt;=2,"C",IF('Data Source'!AD766&gt;=1,"D","F")))))),"")</f>
        <v/>
      </c>
      <c r="M766" s="3">
        <f>IF(AND('Data Source'!B766&lt;&gt;"",'Data Source'!S766="A+"),IF('Data Source'!AE766&gt;=5,"A+",IF('Data Source'!AE766&gt;=4,"A",IF('Data Source'!AE766&gt;=3.5,"A-",IF('Data Source'!AE766&gt;=3,"B",IF('Data Source'!AE766&gt;=2,"C",IF('Data Source'!AE766&gt;=1,"D","F")))))),"")</f>
        <v/>
      </c>
      <c r="N766" s="3">
        <f>IF(AND('Data Source'!B766&lt;&gt;"",'Data Source'!S766="A+"),IF('Data Source'!AF766&gt;=5,"A+",IF('Data Source'!AF766&gt;=4,"A",IF('Data Source'!AF766&gt;=3.5,"A-",IF('Data Source'!AF766&gt;=3,"B",IF('Data Source'!AF766&gt;=2,"C",IF('Data Source'!AF766&gt;=1,"D","F")))))),"")</f>
        <v/>
      </c>
      <c r="O766" s="3">
        <f>IF(AND('Data Source'!B766&lt;&gt;"",'Data Source'!S766="A+"),IF('Data Source'!AG766&gt;=5,"A+",IF('Data Source'!AG766&gt;=4,"A",IF('Data Source'!AG766&gt;=3.5,"A-",IF('Data Source'!AG766&gt;=3,"B",IF('Data Source'!AG766&gt;=2,"C",IF('Data Source'!AG766&gt;=1,"D","F")))))),"")</f>
        <v/>
      </c>
      <c r="P766" s="5">
        <f>IF(AND('Data Source'!B766&lt;&gt;"",'Data Source'!S766="A+"),'Data Source'!R766,"")</f>
        <v/>
      </c>
      <c r="Q766" s="3">
        <f>IF(AND('Data Source'!B766&lt;&gt;"",'Data Source'!S766="A+"),'Data Source'!S766,"")</f>
        <v/>
      </c>
    </row>
    <row r="767">
      <c r="A767" s="3">
        <f>IF(AND('Data Source'!B767&lt;&gt;"",'Data Source'!S767="A+"),COUNTIF('Data Source'!$S$3:S767,"A+"),"")</f>
        <v/>
      </c>
      <c r="B767">
        <f>IF(AND('Data Source'!B767&lt;&gt;"",'Data Source'!S767="A+"),'Data Source'!B767,"")</f>
        <v/>
      </c>
      <c r="C767" s="3">
        <f>IF(AND('Data Source'!B767&lt;&gt;"",'Data Source'!S767="A+"),IF('Data Source'!U767&gt;=5,"A+",IF('Data Source'!U767&gt;=4,"A",IF('Data Source'!U767&gt;=3.5,"A-",IF('Data Source'!U767&gt;=3,"B",IF('Data Source'!U767&gt;=2,"C",IF('Data Source'!U767&gt;=1,"D","F")))))),"")</f>
        <v/>
      </c>
      <c r="D767" s="3">
        <f>IF(AND('Data Source'!B767&lt;&gt;"",'Data Source'!S767="A+"),IF('Data Source'!V767&gt;=5,"A+",IF('Data Source'!V767&gt;=4,"A",IF('Data Source'!V767&gt;=3.5,"A-",IF('Data Source'!V767&gt;=3,"B",IF('Data Source'!V767&gt;=2,"C",IF('Data Source'!V767&gt;=1,"D","F")))))),"")</f>
        <v/>
      </c>
      <c r="E767" s="3">
        <f>IF(AND('Data Source'!B767&lt;&gt;"",'Data Source'!S767="A+"),IF('Data Source'!W767&gt;=5,"A+",IF('Data Source'!W767&gt;=4,"A",IF('Data Source'!W767&gt;=3.5,"A-",IF('Data Source'!W767&gt;=3,"B",IF('Data Source'!W767&gt;=2,"C",IF('Data Source'!W767&gt;=1,"D","F")))))),"")</f>
        <v/>
      </c>
      <c r="F767" s="3">
        <f>IF(AND('Data Source'!B767&lt;&gt;"",'Data Source'!S767="A+"),IF('Data Source'!X767&gt;=5,"A+",IF('Data Source'!X767&gt;=4,"A",IF('Data Source'!X767&gt;=3.5,"A-",IF('Data Source'!X767&gt;=3,"B",IF('Data Source'!X767&gt;=2,"C",IF('Data Source'!X767&gt;=1,"D","F")))))),"")</f>
        <v/>
      </c>
      <c r="G767" s="3">
        <f>IF(AND('Data Source'!B767&lt;&gt;"",'Data Source'!S767="A+"),IF('Data Source'!Y767&gt;=5,"A+",IF('Data Source'!Y767&gt;=4,"A",IF('Data Source'!Y767&gt;=3.5,"A-",IF('Data Source'!Y767&gt;=3,"B",IF('Data Source'!Y767&gt;=2,"C",IF('Data Source'!Y767&gt;=1,"D","F")))))),"")</f>
        <v/>
      </c>
      <c r="H767" s="3">
        <f>IF(AND('Data Source'!B767&lt;&gt;"",'Data Source'!S767="A+"),IF('Data Source'!Z767&gt;=5,"A+",IF('Data Source'!Z767&gt;=4,"A",IF('Data Source'!Z767&gt;=3.5,"A-",IF('Data Source'!Z767&gt;=3,"B",IF('Data Source'!Z767&gt;=2,"C",IF('Data Source'!Z767&gt;=1,"D","F")))))),"")</f>
        <v/>
      </c>
      <c r="I767" s="3">
        <f>IF(AND('Data Source'!B767&lt;&gt;"",'Data Source'!S767="A+"),IF('Data Source'!AA767&gt;=5,"A+",IF('Data Source'!AA767&gt;=4,"A",IF('Data Source'!AA767&gt;=3.5,"A-",IF('Data Source'!AA767&gt;=3,"B",IF('Data Source'!AA767&gt;=2,"C",IF('Data Source'!AA767&gt;=1,"D","F")))))),"")</f>
        <v/>
      </c>
      <c r="J767" s="3">
        <f>IF(AND('Data Source'!B767&lt;&gt;"",'Data Source'!S767="A+"),IF('Data Source'!AB767&gt;=5,"A+",IF('Data Source'!AB767&gt;=4,"A",IF('Data Source'!AB767&gt;=3.5,"A-",IF('Data Source'!AB767&gt;=3,"B",IF('Data Source'!AB767&gt;=2,"C",IF('Data Source'!AB767&gt;=1,"D","F")))))),"")</f>
        <v/>
      </c>
      <c r="K767" s="3">
        <f>IF(AND('Data Source'!B767&lt;&gt;"",'Data Source'!S767="A+"),IF('Data Source'!AC767&gt;=5,"A+",IF('Data Source'!AC767&gt;=4,"A",IF('Data Source'!AC767&gt;=3.5,"A-",IF('Data Source'!AC767&gt;=3,"B",IF('Data Source'!AC767&gt;=2,"C",IF('Data Source'!AC767&gt;=1,"D","F")))))),"")</f>
        <v/>
      </c>
      <c r="L767" s="3">
        <f>IF(AND('Data Source'!B767&lt;&gt;"",'Data Source'!S767="A+"),IF('Data Source'!AD767&gt;=5,"A+",IF('Data Source'!AD767&gt;=4,"A",IF('Data Source'!AD767&gt;=3.5,"A-",IF('Data Source'!AD767&gt;=3,"B",IF('Data Source'!AD767&gt;=2,"C",IF('Data Source'!AD767&gt;=1,"D","F")))))),"")</f>
        <v/>
      </c>
      <c r="M767" s="3">
        <f>IF(AND('Data Source'!B767&lt;&gt;"",'Data Source'!S767="A+"),IF('Data Source'!AE767&gt;=5,"A+",IF('Data Source'!AE767&gt;=4,"A",IF('Data Source'!AE767&gt;=3.5,"A-",IF('Data Source'!AE767&gt;=3,"B",IF('Data Source'!AE767&gt;=2,"C",IF('Data Source'!AE767&gt;=1,"D","F")))))),"")</f>
        <v/>
      </c>
      <c r="N767" s="3">
        <f>IF(AND('Data Source'!B767&lt;&gt;"",'Data Source'!S767="A+"),IF('Data Source'!AF767&gt;=5,"A+",IF('Data Source'!AF767&gt;=4,"A",IF('Data Source'!AF767&gt;=3.5,"A-",IF('Data Source'!AF767&gt;=3,"B",IF('Data Source'!AF767&gt;=2,"C",IF('Data Source'!AF767&gt;=1,"D","F")))))),"")</f>
        <v/>
      </c>
      <c r="O767" s="3">
        <f>IF(AND('Data Source'!B767&lt;&gt;"",'Data Source'!S767="A+"),IF('Data Source'!AG767&gt;=5,"A+",IF('Data Source'!AG767&gt;=4,"A",IF('Data Source'!AG767&gt;=3.5,"A-",IF('Data Source'!AG767&gt;=3,"B",IF('Data Source'!AG767&gt;=2,"C",IF('Data Source'!AG767&gt;=1,"D","F")))))),"")</f>
        <v/>
      </c>
      <c r="P767" s="5">
        <f>IF(AND('Data Source'!B767&lt;&gt;"",'Data Source'!S767="A+"),'Data Source'!R767,"")</f>
        <v/>
      </c>
      <c r="Q767" s="3">
        <f>IF(AND('Data Source'!B767&lt;&gt;"",'Data Source'!S767="A+"),'Data Source'!S767,"")</f>
        <v/>
      </c>
    </row>
    <row r="768">
      <c r="A768" s="3">
        <f>IF(AND('Data Source'!B768&lt;&gt;"",'Data Source'!S768="A+"),COUNTIF('Data Source'!$S$3:S768,"A+"),"")</f>
        <v/>
      </c>
      <c r="B768">
        <f>IF(AND('Data Source'!B768&lt;&gt;"",'Data Source'!S768="A+"),'Data Source'!B768,"")</f>
        <v/>
      </c>
      <c r="C768" s="3">
        <f>IF(AND('Data Source'!B768&lt;&gt;"",'Data Source'!S768="A+"),IF('Data Source'!U768&gt;=5,"A+",IF('Data Source'!U768&gt;=4,"A",IF('Data Source'!U768&gt;=3.5,"A-",IF('Data Source'!U768&gt;=3,"B",IF('Data Source'!U768&gt;=2,"C",IF('Data Source'!U768&gt;=1,"D","F")))))),"")</f>
        <v/>
      </c>
      <c r="D768" s="3">
        <f>IF(AND('Data Source'!B768&lt;&gt;"",'Data Source'!S768="A+"),IF('Data Source'!V768&gt;=5,"A+",IF('Data Source'!V768&gt;=4,"A",IF('Data Source'!V768&gt;=3.5,"A-",IF('Data Source'!V768&gt;=3,"B",IF('Data Source'!V768&gt;=2,"C",IF('Data Source'!V768&gt;=1,"D","F")))))),"")</f>
        <v/>
      </c>
      <c r="E768" s="3">
        <f>IF(AND('Data Source'!B768&lt;&gt;"",'Data Source'!S768="A+"),IF('Data Source'!W768&gt;=5,"A+",IF('Data Source'!W768&gt;=4,"A",IF('Data Source'!W768&gt;=3.5,"A-",IF('Data Source'!W768&gt;=3,"B",IF('Data Source'!W768&gt;=2,"C",IF('Data Source'!W768&gt;=1,"D","F")))))),"")</f>
        <v/>
      </c>
      <c r="F768" s="3">
        <f>IF(AND('Data Source'!B768&lt;&gt;"",'Data Source'!S768="A+"),IF('Data Source'!X768&gt;=5,"A+",IF('Data Source'!X768&gt;=4,"A",IF('Data Source'!X768&gt;=3.5,"A-",IF('Data Source'!X768&gt;=3,"B",IF('Data Source'!X768&gt;=2,"C",IF('Data Source'!X768&gt;=1,"D","F")))))),"")</f>
        <v/>
      </c>
      <c r="G768" s="3">
        <f>IF(AND('Data Source'!B768&lt;&gt;"",'Data Source'!S768="A+"),IF('Data Source'!Y768&gt;=5,"A+",IF('Data Source'!Y768&gt;=4,"A",IF('Data Source'!Y768&gt;=3.5,"A-",IF('Data Source'!Y768&gt;=3,"B",IF('Data Source'!Y768&gt;=2,"C",IF('Data Source'!Y768&gt;=1,"D","F")))))),"")</f>
        <v/>
      </c>
      <c r="H768" s="3">
        <f>IF(AND('Data Source'!B768&lt;&gt;"",'Data Source'!S768="A+"),IF('Data Source'!Z768&gt;=5,"A+",IF('Data Source'!Z768&gt;=4,"A",IF('Data Source'!Z768&gt;=3.5,"A-",IF('Data Source'!Z768&gt;=3,"B",IF('Data Source'!Z768&gt;=2,"C",IF('Data Source'!Z768&gt;=1,"D","F")))))),"")</f>
        <v/>
      </c>
      <c r="I768" s="3">
        <f>IF(AND('Data Source'!B768&lt;&gt;"",'Data Source'!S768="A+"),IF('Data Source'!AA768&gt;=5,"A+",IF('Data Source'!AA768&gt;=4,"A",IF('Data Source'!AA768&gt;=3.5,"A-",IF('Data Source'!AA768&gt;=3,"B",IF('Data Source'!AA768&gt;=2,"C",IF('Data Source'!AA768&gt;=1,"D","F")))))),"")</f>
        <v/>
      </c>
      <c r="J768" s="3">
        <f>IF(AND('Data Source'!B768&lt;&gt;"",'Data Source'!S768="A+"),IF('Data Source'!AB768&gt;=5,"A+",IF('Data Source'!AB768&gt;=4,"A",IF('Data Source'!AB768&gt;=3.5,"A-",IF('Data Source'!AB768&gt;=3,"B",IF('Data Source'!AB768&gt;=2,"C",IF('Data Source'!AB768&gt;=1,"D","F")))))),"")</f>
        <v/>
      </c>
      <c r="K768" s="3">
        <f>IF(AND('Data Source'!B768&lt;&gt;"",'Data Source'!S768="A+"),IF('Data Source'!AC768&gt;=5,"A+",IF('Data Source'!AC768&gt;=4,"A",IF('Data Source'!AC768&gt;=3.5,"A-",IF('Data Source'!AC768&gt;=3,"B",IF('Data Source'!AC768&gt;=2,"C",IF('Data Source'!AC768&gt;=1,"D","F")))))),"")</f>
        <v/>
      </c>
      <c r="L768" s="3">
        <f>IF(AND('Data Source'!B768&lt;&gt;"",'Data Source'!S768="A+"),IF('Data Source'!AD768&gt;=5,"A+",IF('Data Source'!AD768&gt;=4,"A",IF('Data Source'!AD768&gt;=3.5,"A-",IF('Data Source'!AD768&gt;=3,"B",IF('Data Source'!AD768&gt;=2,"C",IF('Data Source'!AD768&gt;=1,"D","F")))))),"")</f>
        <v/>
      </c>
      <c r="M768" s="3">
        <f>IF(AND('Data Source'!B768&lt;&gt;"",'Data Source'!S768="A+"),IF('Data Source'!AE768&gt;=5,"A+",IF('Data Source'!AE768&gt;=4,"A",IF('Data Source'!AE768&gt;=3.5,"A-",IF('Data Source'!AE768&gt;=3,"B",IF('Data Source'!AE768&gt;=2,"C",IF('Data Source'!AE768&gt;=1,"D","F")))))),"")</f>
        <v/>
      </c>
      <c r="N768" s="3">
        <f>IF(AND('Data Source'!B768&lt;&gt;"",'Data Source'!S768="A+"),IF('Data Source'!AF768&gt;=5,"A+",IF('Data Source'!AF768&gt;=4,"A",IF('Data Source'!AF768&gt;=3.5,"A-",IF('Data Source'!AF768&gt;=3,"B",IF('Data Source'!AF768&gt;=2,"C",IF('Data Source'!AF768&gt;=1,"D","F")))))),"")</f>
        <v/>
      </c>
      <c r="O768" s="3">
        <f>IF(AND('Data Source'!B768&lt;&gt;"",'Data Source'!S768="A+"),IF('Data Source'!AG768&gt;=5,"A+",IF('Data Source'!AG768&gt;=4,"A",IF('Data Source'!AG768&gt;=3.5,"A-",IF('Data Source'!AG768&gt;=3,"B",IF('Data Source'!AG768&gt;=2,"C",IF('Data Source'!AG768&gt;=1,"D","F")))))),"")</f>
        <v/>
      </c>
      <c r="P768" s="5">
        <f>IF(AND('Data Source'!B768&lt;&gt;"",'Data Source'!S768="A+"),'Data Source'!R768,"")</f>
        <v/>
      </c>
      <c r="Q768" s="3">
        <f>IF(AND('Data Source'!B768&lt;&gt;"",'Data Source'!S768="A+"),'Data Source'!S768,"")</f>
        <v/>
      </c>
    </row>
    <row r="769">
      <c r="A769" s="3">
        <f>IF(AND('Data Source'!B769&lt;&gt;"",'Data Source'!S769="A+"),COUNTIF('Data Source'!$S$3:S769,"A+"),"")</f>
        <v/>
      </c>
      <c r="B769">
        <f>IF(AND('Data Source'!B769&lt;&gt;"",'Data Source'!S769="A+"),'Data Source'!B769,"")</f>
        <v/>
      </c>
      <c r="C769" s="3">
        <f>IF(AND('Data Source'!B769&lt;&gt;"",'Data Source'!S769="A+"),IF('Data Source'!U769&gt;=5,"A+",IF('Data Source'!U769&gt;=4,"A",IF('Data Source'!U769&gt;=3.5,"A-",IF('Data Source'!U769&gt;=3,"B",IF('Data Source'!U769&gt;=2,"C",IF('Data Source'!U769&gt;=1,"D","F")))))),"")</f>
        <v/>
      </c>
      <c r="D769" s="3">
        <f>IF(AND('Data Source'!B769&lt;&gt;"",'Data Source'!S769="A+"),IF('Data Source'!V769&gt;=5,"A+",IF('Data Source'!V769&gt;=4,"A",IF('Data Source'!V769&gt;=3.5,"A-",IF('Data Source'!V769&gt;=3,"B",IF('Data Source'!V769&gt;=2,"C",IF('Data Source'!V769&gt;=1,"D","F")))))),"")</f>
        <v/>
      </c>
      <c r="E769" s="3">
        <f>IF(AND('Data Source'!B769&lt;&gt;"",'Data Source'!S769="A+"),IF('Data Source'!W769&gt;=5,"A+",IF('Data Source'!W769&gt;=4,"A",IF('Data Source'!W769&gt;=3.5,"A-",IF('Data Source'!W769&gt;=3,"B",IF('Data Source'!W769&gt;=2,"C",IF('Data Source'!W769&gt;=1,"D","F")))))),"")</f>
        <v/>
      </c>
      <c r="F769" s="3">
        <f>IF(AND('Data Source'!B769&lt;&gt;"",'Data Source'!S769="A+"),IF('Data Source'!X769&gt;=5,"A+",IF('Data Source'!X769&gt;=4,"A",IF('Data Source'!X769&gt;=3.5,"A-",IF('Data Source'!X769&gt;=3,"B",IF('Data Source'!X769&gt;=2,"C",IF('Data Source'!X769&gt;=1,"D","F")))))),"")</f>
        <v/>
      </c>
      <c r="G769" s="3">
        <f>IF(AND('Data Source'!B769&lt;&gt;"",'Data Source'!S769="A+"),IF('Data Source'!Y769&gt;=5,"A+",IF('Data Source'!Y769&gt;=4,"A",IF('Data Source'!Y769&gt;=3.5,"A-",IF('Data Source'!Y769&gt;=3,"B",IF('Data Source'!Y769&gt;=2,"C",IF('Data Source'!Y769&gt;=1,"D","F")))))),"")</f>
        <v/>
      </c>
      <c r="H769" s="3">
        <f>IF(AND('Data Source'!B769&lt;&gt;"",'Data Source'!S769="A+"),IF('Data Source'!Z769&gt;=5,"A+",IF('Data Source'!Z769&gt;=4,"A",IF('Data Source'!Z769&gt;=3.5,"A-",IF('Data Source'!Z769&gt;=3,"B",IF('Data Source'!Z769&gt;=2,"C",IF('Data Source'!Z769&gt;=1,"D","F")))))),"")</f>
        <v/>
      </c>
      <c r="I769" s="3">
        <f>IF(AND('Data Source'!B769&lt;&gt;"",'Data Source'!S769="A+"),IF('Data Source'!AA769&gt;=5,"A+",IF('Data Source'!AA769&gt;=4,"A",IF('Data Source'!AA769&gt;=3.5,"A-",IF('Data Source'!AA769&gt;=3,"B",IF('Data Source'!AA769&gt;=2,"C",IF('Data Source'!AA769&gt;=1,"D","F")))))),"")</f>
        <v/>
      </c>
      <c r="J769" s="3">
        <f>IF(AND('Data Source'!B769&lt;&gt;"",'Data Source'!S769="A+"),IF('Data Source'!AB769&gt;=5,"A+",IF('Data Source'!AB769&gt;=4,"A",IF('Data Source'!AB769&gt;=3.5,"A-",IF('Data Source'!AB769&gt;=3,"B",IF('Data Source'!AB769&gt;=2,"C",IF('Data Source'!AB769&gt;=1,"D","F")))))),"")</f>
        <v/>
      </c>
      <c r="K769" s="3">
        <f>IF(AND('Data Source'!B769&lt;&gt;"",'Data Source'!S769="A+"),IF('Data Source'!AC769&gt;=5,"A+",IF('Data Source'!AC769&gt;=4,"A",IF('Data Source'!AC769&gt;=3.5,"A-",IF('Data Source'!AC769&gt;=3,"B",IF('Data Source'!AC769&gt;=2,"C",IF('Data Source'!AC769&gt;=1,"D","F")))))),"")</f>
        <v/>
      </c>
      <c r="L769" s="3">
        <f>IF(AND('Data Source'!B769&lt;&gt;"",'Data Source'!S769="A+"),IF('Data Source'!AD769&gt;=5,"A+",IF('Data Source'!AD769&gt;=4,"A",IF('Data Source'!AD769&gt;=3.5,"A-",IF('Data Source'!AD769&gt;=3,"B",IF('Data Source'!AD769&gt;=2,"C",IF('Data Source'!AD769&gt;=1,"D","F")))))),"")</f>
        <v/>
      </c>
      <c r="M769" s="3">
        <f>IF(AND('Data Source'!B769&lt;&gt;"",'Data Source'!S769="A+"),IF('Data Source'!AE769&gt;=5,"A+",IF('Data Source'!AE769&gt;=4,"A",IF('Data Source'!AE769&gt;=3.5,"A-",IF('Data Source'!AE769&gt;=3,"B",IF('Data Source'!AE769&gt;=2,"C",IF('Data Source'!AE769&gt;=1,"D","F")))))),"")</f>
        <v/>
      </c>
      <c r="N769" s="3">
        <f>IF(AND('Data Source'!B769&lt;&gt;"",'Data Source'!S769="A+"),IF('Data Source'!AF769&gt;=5,"A+",IF('Data Source'!AF769&gt;=4,"A",IF('Data Source'!AF769&gt;=3.5,"A-",IF('Data Source'!AF769&gt;=3,"B",IF('Data Source'!AF769&gt;=2,"C",IF('Data Source'!AF769&gt;=1,"D","F")))))),"")</f>
        <v/>
      </c>
      <c r="O769" s="3">
        <f>IF(AND('Data Source'!B769&lt;&gt;"",'Data Source'!S769="A+"),IF('Data Source'!AG769&gt;=5,"A+",IF('Data Source'!AG769&gt;=4,"A",IF('Data Source'!AG769&gt;=3.5,"A-",IF('Data Source'!AG769&gt;=3,"B",IF('Data Source'!AG769&gt;=2,"C",IF('Data Source'!AG769&gt;=1,"D","F")))))),"")</f>
        <v/>
      </c>
      <c r="P769" s="5">
        <f>IF(AND('Data Source'!B769&lt;&gt;"",'Data Source'!S769="A+"),'Data Source'!R769,"")</f>
        <v/>
      </c>
      <c r="Q769" s="3">
        <f>IF(AND('Data Source'!B769&lt;&gt;"",'Data Source'!S769="A+"),'Data Source'!S769,"")</f>
        <v/>
      </c>
    </row>
    <row r="770">
      <c r="A770" s="3">
        <f>IF(AND('Data Source'!B770&lt;&gt;"",'Data Source'!S770="A+"),COUNTIF('Data Source'!$S$3:S770,"A+"),"")</f>
        <v/>
      </c>
      <c r="B770">
        <f>IF(AND('Data Source'!B770&lt;&gt;"",'Data Source'!S770="A+"),'Data Source'!B770,"")</f>
        <v/>
      </c>
      <c r="C770" s="3">
        <f>IF(AND('Data Source'!B770&lt;&gt;"",'Data Source'!S770="A+"),IF('Data Source'!U770&gt;=5,"A+",IF('Data Source'!U770&gt;=4,"A",IF('Data Source'!U770&gt;=3.5,"A-",IF('Data Source'!U770&gt;=3,"B",IF('Data Source'!U770&gt;=2,"C",IF('Data Source'!U770&gt;=1,"D","F")))))),"")</f>
        <v/>
      </c>
      <c r="D770" s="3">
        <f>IF(AND('Data Source'!B770&lt;&gt;"",'Data Source'!S770="A+"),IF('Data Source'!V770&gt;=5,"A+",IF('Data Source'!V770&gt;=4,"A",IF('Data Source'!V770&gt;=3.5,"A-",IF('Data Source'!V770&gt;=3,"B",IF('Data Source'!V770&gt;=2,"C",IF('Data Source'!V770&gt;=1,"D","F")))))),"")</f>
        <v/>
      </c>
      <c r="E770" s="3">
        <f>IF(AND('Data Source'!B770&lt;&gt;"",'Data Source'!S770="A+"),IF('Data Source'!W770&gt;=5,"A+",IF('Data Source'!W770&gt;=4,"A",IF('Data Source'!W770&gt;=3.5,"A-",IF('Data Source'!W770&gt;=3,"B",IF('Data Source'!W770&gt;=2,"C",IF('Data Source'!W770&gt;=1,"D","F")))))),"")</f>
        <v/>
      </c>
      <c r="F770" s="3">
        <f>IF(AND('Data Source'!B770&lt;&gt;"",'Data Source'!S770="A+"),IF('Data Source'!X770&gt;=5,"A+",IF('Data Source'!X770&gt;=4,"A",IF('Data Source'!X770&gt;=3.5,"A-",IF('Data Source'!X770&gt;=3,"B",IF('Data Source'!X770&gt;=2,"C",IF('Data Source'!X770&gt;=1,"D","F")))))),"")</f>
        <v/>
      </c>
      <c r="G770" s="3">
        <f>IF(AND('Data Source'!B770&lt;&gt;"",'Data Source'!S770="A+"),IF('Data Source'!Y770&gt;=5,"A+",IF('Data Source'!Y770&gt;=4,"A",IF('Data Source'!Y770&gt;=3.5,"A-",IF('Data Source'!Y770&gt;=3,"B",IF('Data Source'!Y770&gt;=2,"C",IF('Data Source'!Y770&gt;=1,"D","F")))))),"")</f>
        <v/>
      </c>
      <c r="H770" s="3">
        <f>IF(AND('Data Source'!B770&lt;&gt;"",'Data Source'!S770="A+"),IF('Data Source'!Z770&gt;=5,"A+",IF('Data Source'!Z770&gt;=4,"A",IF('Data Source'!Z770&gt;=3.5,"A-",IF('Data Source'!Z770&gt;=3,"B",IF('Data Source'!Z770&gt;=2,"C",IF('Data Source'!Z770&gt;=1,"D","F")))))),"")</f>
        <v/>
      </c>
      <c r="I770" s="3">
        <f>IF(AND('Data Source'!B770&lt;&gt;"",'Data Source'!S770="A+"),IF('Data Source'!AA770&gt;=5,"A+",IF('Data Source'!AA770&gt;=4,"A",IF('Data Source'!AA770&gt;=3.5,"A-",IF('Data Source'!AA770&gt;=3,"B",IF('Data Source'!AA770&gt;=2,"C",IF('Data Source'!AA770&gt;=1,"D","F")))))),"")</f>
        <v/>
      </c>
      <c r="J770" s="3">
        <f>IF(AND('Data Source'!B770&lt;&gt;"",'Data Source'!S770="A+"),IF('Data Source'!AB770&gt;=5,"A+",IF('Data Source'!AB770&gt;=4,"A",IF('Data Source'!AB770&gt;=3.5,"A-",IF('Data Source'!AB770&gt;=3,"B",IF('Data Source'!AB770&gt;=2,"C",IF('Data Source'!AB770&gt;=1,"D","F")))))),"")</f>
        <v/>
      </c>
      <c r="K770" s="3">
        <f>IF(AND('Data Source'!B770&lt;&gt;"",'Data Source'!S770="A+"),IF('Data Source'!AC770&gt;=5,"A+",IF('Data Source'!AC770&gt;=4,"A",IF('Data Source'!AC770&gt;=3.5,"A-",IF('Data Source'!AC770&gt;=3,"B",IF('Data Source'!AC770&gt;=2,"C",IF('Data Source'!AC770&gt;=1,"D","F")))))),"")</f>
        <v/>
      </c>
      <c r="L770" s="3">
        <f>IF(AND('Data Source'!B770&lt;&gt;"",'Data Source'!S770="A+"),IF('Data Source'!AD770&gt;=5,"A+",IF('Data Source'!AD770&gt;=4,"A",IF('Data Source'!AD770&gt;=3.5,"A-",IF('Data Source'!AD770&gt;=3,"B",IF('Data Source'!AD770&gt;=2,"C",IF('Data Source'!AD770&gt;=1,"D","F")))))),"")</f>
        <v/>
      </c>
      <c r="M770" s="3">
        <f>IF(AND('Data Source'!B770&lt;&gt;"",'Data Source'!S770="A+"),IF('Data Source'!AE770&gt;=5,"A+",IF('Data Source'!AE770&gt;=4,"A",IF('Data Source'!AE770&gt;=3.5,"A-",IF('Data Source'!AE770&gt;=3,"B",IF('Data Source'!AE770&gt;=2,"C",IF('Data Source'!AE770&gt;=1,"D","F")))))),"")</f>
        <v/>
      </c>
      <c r="N770" s="3">
        <f>IF(AND('Data Source'!B770&lt;&gt;"",'Data Source'!S770="A+"),IF('Data Source'!AF770&gt;=5,"A+",IF('Data Source'!AF770&gt;=4,"A",IF('Data Source'!AF770&gt;=3.5,"A-",IF('Data Source'!AF770&gt;=3,"B",IF('Data Source'!AF770&gt;=2,"C",IF('Data Source'!AF770&gt;=1,"D","F")))))),"")</f>
        <v/>
      </c>
      <c r="O770" s="3">
        <f>IF(AND('Data Source'!B770&lt;&gt;"",'Data Source'!S770="A+"),IF('Data Source'!AG770&gt;=5,"A+",IF('Data Source'!AG770&gt;=4,"A",IF('Data Source'!AG770&gt;=3.5,"A-",IF('Data Source'!AG770&gt;=3,"B",IF('Data Source'!AG770&gt;=2,"C",IF('Data Source'!AG770&gt;=1,"D","F")))))),"")</f>
        <v/>
      </c>
      <c r="P770" s="5">
        <f>IF(AND('Data Source'!B770&lt;&gt;"",'Data Source'!S770="A+"),'Data Source'!R770,"")</f>
        <v/>
      </c>
      <c r="Q770" s="3">
        <f>IF(AND('Data Source'!B770&lt;&gt;"",'Data Source'!S770="A+"),'Data Source'!S770,"")</f>
        <v/>
      </c>
    </row>
    <row r="771">
      <c r="A771" s="3">
        <f>IF(AND('Data Source'!B771&lt;&gt;"",'Data Source'!S771="A+"),COUNTIF('Data Source'!$S$3:S771,"A+"),"")</f>
        <v/>
      </c>
      <c r="B771">
        <f>IF(AND('Data Source'!B771&lt;&gt;"",'Data Source'!S771="A+"),'Data Source'!B771,"")</f>
        <v/>
      </c>
      <c r="C771" s="3">
        <f>IF(AND('Data Source'!B771&lt;&gt;"",'Data Source'!S771="A+"),IF('Data Source'!U771&gt;=5,"A+",IF('Data Source'!U771&gt;=4,"A",IF('Data Source'!U771&gt;=3.5,"A-",IF('Data Source'!U771&gt;=3,"B",IF('Data Source'!U771&gt;=2,"C",IF('Data Source'!U771&gt;=1,"D","F")))))),"")</f>
        <v/>
      </c>
      <c r="D771" s="3">
        <f>IF(AND('Data Source'!B771&lt;&gt;"",'Data Source'!S771="A+"),IF('Data Source'!V771&gt;=5,"A+",IF('Data Source'!V771&gt;=4,"A",IF('Data Source'!V771&gt;=3.5,"A-",IF('Data Source'!V771&gt;=3,"B",IF('Data Source'!V771&gt;=2,"C",IF('Data Source'!V771&gt;=1,"D","F")))))),"")</f>
        <v/>
      </c>
      <c r="E771" s="3">
        <f>IF(AND('Data Source'!B771&lt;&gt;"",'Data Source'!S771="A+"),IF('Data Source'!W771&gt;=5,"A+",IF('Data Source'!W771&gt;=4,"A",IF('Data Source'!W771&gt;=3.5,"A-",IF('Data Source'!W771&gt;=3,"B",IF('Data Source'!W771&gt;=2,"C",IF('Data Source'!W771&gt;=1,"D","F")))))),"")</f>
        <v/>
      </c>
      <c r="F771" s="3">
        <f>IF(AND('Data Source'!B771&lt;&gt;"",'Data Source'!S771="A+"),IF('Data Source'!X771&gt;=5,"A+",IF('Data Source'!X771&gt;=4,"A",IF('Data Source'!X771&gt;=3.5,"A-",IF('Data Source'!X771&gt;=3,"B",IF('Data Source'!X771&gt;=2,"C",IF('Data Source'!X771&gt;=1,"D","F")))))),"")</f>
        <v/>
      </c>
      <c r="G771" s="3">
        <f>IF(AND('Data Source'!B771&lt;&gt;"",'Data Source'!S771="A+"),IF('Data Source'!Y771&gt;=5,"A+",IF('Data Source'!Y771&gt;=4,"A",IF('Data Source'!Y771&gt;=3.5,"A-",IF('Data Source'!Y771&gt;=3,"B",IF('Data Source'!Y771&gt;=2,"C",IF('Data Source'!Y771&gt;=1,"D","F")))))),"")</f>
        <v/>
      </c>
      <c r="H771" s="3">
        <f>IF(AND('Data Source'!B771&lt;&gt;"",'Data Source'!S771="A+"),IF('Data Source'!Z771&gt;=5,"A+",IF('Data Source'!Z771&gt;=4,"A",IF('Data Source'!Z771&gt;=3.5,"A-",IF('Data Source'!Z771&gt;=3,"B",IF('Data Source'!Z771&gt;=2,"C",IF('Data Source'!Z771&gt;=1,"D","F")))))),"")</f>
        <v/>
      </c>
      <c r="I771" s="3">
        <f>IF(AND('Data Source'!B771&lt;&gt;"",'Data Source'!S771="A+"),IF('Data Source'!AA771&gt;=5,"A+",IF('Data Source'!AA771&gt;=4,"A",IF('Data Source'!AA771&gt;=3.5,"A-",IF('Data Source'!AA771&gt;=3,"B",IF('Data Source'!AA771&gt;=2,"C",IF('Data Source'!AA771&gt;=1,"D","F")))))),"")</f>
        <v/>
      </c>
      <c r="J771" s="3">
        <f>IF(AND('Data Source'!B771&lt;&gt;"",'Data Source'!S771="A+"),IF('Data Source'!AB771&gt;=5,"A+",IF('Data Source'!AB771&gt;=4,"A",IF('Data Source'!AB771&gt;=3.5,"A-",IF('Data Source'!AB771&gt;=3,"B",IF('Data Source'!AB771&gt;=2,"C",IF('Data Source'!AB771&gt;=1,"D","F")))))),"")</f>
        <v/>
      </c>
      <c r="K771" s="3">
        <f>IF(AND('Data Source'!B771&lt;&gt;"",'Data Source'!S771="A+"),IF('Data Source'!AC771&gt;=5,"A+",IF('Data Source'!AC771&gt;=4,"A",IF('Data Source'!AC771&gt;=3.5,"A-",IF('Data Source'!AC771&gt;=3,"B",IF('Data Source'!AC771&gt;=2,"C",IF('Data Source'!AC771&gt;=1,"D","F")))))),"")</f>
        <v/>
      </c>
      <c r="L771" s="3">
        <f>IF(AND('Data Source'!B771&lt;&gt;"",'Data Source'!S771="A+"),IF('Data Source'!AD771&gt;=5,"A+",IF('Data Source'!AD771&gt;=4,"A",IF('Data Source'!AD771&gt;=3.5,"A-",IF('Data Source'!AD771&gt;=3,"B",IF('Data Source'!AD771&gt;=2,"C",IF('Data Source'!AD771&gt;=1,"D","F")))))),"")</f>
        <v/>
      </c>
      <c r="M771" s="3">
        <f>IF(AND('Data Source'!B771&lt;&gt;"",'Data Source'!S771="A+"),IF('Data Source'!AE771&gt;=5,"A+",IF('Data Source'!AE771&gt;=4,"A",IF('Data Source'!AE771&gt;=3.5,"A-",IF('Data Source'!AE771&gt;=3,"B",IF('Data Source'!AE771&gt;=2,"C",IF('Data Source'!AE771&gt;=1,"D","F")))))),"")</f>
        <v/>
      </c>
      <c r="N771" s="3">
        <f>IF(AND('Data Source'!B771&lt;&gt;"",'Data Source'!S771="A+"),IF('Data Source'!AF771&gt;=5,"A+",IF('Data Source'!AF771&gt;=4,"A",IF('Data Source'!AF771&gt;=3.5,"A-",IF('Data Source'!AF771&gt;=3,"B",IF('Data Source'!AF771&gt;=2,"C",IF('Data Source'!AF771&gt;=1,"D","F")))))),"")</f>
        <v/>
      </c>
      <c r="O771" s="3">
        <f>IF(AND('Data Source'!B771&lt;&gt;"",'Data Source'!S771="A+"),IF('Data Source'!AG771&gt;=5,"A+",IF('Data Source'!AG771&gt;=4,"A",IF('Data Source'!AG771&gt;=3.5,"A-",IF('Data Source'!AG771&gt;=3,"B",IF('Data Source'!AG771&gt;=2,"C",IF('Data Source'!AG771&gt;=1,"D","F")))))),"")</f>
        <v/>
      </c>
      <c r="P771" s="5">
        <f>IF(AND('Data Source'!B771&lt;&gt;"",'Data Source'!S771="A+"),'Data Source'!R771,"")</f>
        <v/>
      </c>
      <c r="Q771" s="3">
        <f>IF(AND('Data Source'!B771&lt;&gt;"",'Data Source'!S771="A+"),'Data Source'!S771,"")</f>
        <v/>
      </c>
    </row>
    <row r="772">
      <c r="A772" s="3">
        <f>IF(AND('Data Source'!B772&lt;&gt;"",'Data Source'!S772="A+"),COUNTIF('Data Source'!$S$3:S772,"A+"),"")</f>
        <v/>
      </c>
      <c r="B772">
        <f>IF(AND('Data Source'!B772&lt;&gt;"",'Data Source'!S772="A+"),'Data Source'!B772,"")</f>
        <v/>
      </c>
      <c r="C772" s="3">
        <f>IF(AND('Data Source'!B772&lt;&gt;"",'Data Source'!S772="A+"),IF('Data Source'!U772&gt;=5,"A+",IF('Data Source'!U772&gt;=4,"A",IF('Data Source'!U772&gt;=3.5,"A-",IF('Data Source'!U772&gt;=3,"B",IF('Data Source'!U772&gt;=2,"C",IF('Data Source'!U772&gt;=1,"D","F")))))),"")</f>
        <v/>
      </c>
      <c r="D772" s="3">
        <f>IF(AND('Data Source'!B772&lt;&gt;"",'Data Source'!S772="A+"),IF('Data Source'!V772&gt;=5,"A+",IF('Data Source'!V772&gt;=4,"A",IF('Data Source'!V772&gt;=3.5,"A-",IF('Data Source'!V772&gt;=3,"B",IF('Data Source'!V772&gt;=2,"C",IF('Data Source'!V772&gt;=1,"D","F")))))),"")</f>
        <v/>
      </c>
      <c r="E772" s="3">
        <f>IF(AND('Data Source'!B772&lt;&gt;"",'Data Source'!S772="A+"),IF('Data Source'!W772&gt;=5,"A+",IF('Data Source'!W772&gt;=4,"A",IF('Data Source'!W772&gt;=3.5,"A-",IF('Data Source'!W772&gt;=3,"B",IF('Data Source'!W772&gt;=2,"C",IF('Data Source'!W772&gt;=1,"D","F")))))),"")</f>
        <v/>
      </c>
      <c r="F772" s="3">
        <f>IF(AND('Data Source'!B772&lt;&gt;"",'Data Source'!S772="A+"),IF('Data Source'!X772&gt;=5,"A+",IF('Data Source'!X772&gt;=4,"A",IF('Data Source'!X772&gt;=3.5,"A-",IF('Data Source'!X772&gt;=3,"B",IF('Data Source'!X772&gt;=2,"C",IF('Data Source'!X772&gt;=1,"D","F")))))),"")</f>
        <v/>
      </c>
      <c r="G772" s="3">
        <f>IF(AND('Data Source'!B772&lt;&gt;"",'Data Source'!S772="A+"),IF('Data Source'!Y772&gt;=5,"A+",IF('Data Source'!Y772&gt;=4,"A",IF('Data Source'!Y772&gt;=3.5,"A-",IF('Data Source'!Y772&gt;=3,"B",IF('Data Source'!Y772&gt;=2,"C",IF('Data Source'!Y772&gt;=1,"D","F")))))),"")</f>
        <v/>
      </c>
      <c r="H772" s="3">
        <f>IF(AND('Data Source'!B772&lt;&gt;"",'Data Source'!S772="A+"),IF('Data Source'!Z772&gt;=5,"A+",IF('Data Source'!Z772&gt;=4,"A",IF('Data Source'!Z772&gt;=3.5,"A-",IF('Data Source'!Z772&gt;=3,"B",IF('Data Source'!Z772&gt;=2,"C",IF('Data Source'!Z772&gt;=1,"D","F")))))),"")</f>
        <v/>
      </c>
      <c r="I772" s="3">
        <f>IF(AND('Data Source'!B772&lt;&gt;"",'Data Source'!S772="A+"),IF('Data Source'!AA772&gt;=5,"A+",IF('Data Source'!AA772&gt;=4,"A",IF('Data Source'!AA772&gt;=3.5,"A-",IF('Data Source'!AA772&gt;=3,"B",IF('Data Source'!AA772&gt;=2,"C",IF('Data Source'!AA772&gt;=1,"D","F")))))),"")</f>
        <v/>
      </c>
      <c r="J772" s="3">
        <f>IF(AND('Data Source'!B772&lt;&gt;"",'Data Source'!S772="A+"),IF('Data Source'!AB772&gt;=5,"A+",IF('Data Source'!AB772&gt;=4,"A",IF('Data Source'!AB772&gt;=3.5,"A-",IF('Data Source'!AB772&gt;=3,"B",IF('Data Source'!AB772&gt;=2,"C",IF('Data Source'!AB772&gt;=1,"D","F")))))),"")</f>
        <v/>
      </c>
      <c r="K772" s="3">
        <f>IF(AND('Data Source'!B772&lt;&gt;"",'Data Source'!S772="A+"),IF('Data Source'!AC772&gt;=5,"A+",IF('Data Source'!AC772&gt;=4,"A",IF('Data Source'!AC772&gt;=3.5,"A-",IF('Data Source'!AC772&gt;=3,"B",IF('Data Source'!AC772&gt;=2,"C",IF('Data Source'!AC772&gt;=1,"D","F")))))),"")</f>
        <v/>
      </c>
      <c r="L772" s="3">
        <f>IF(AND('Data Source'!B772&lt;&gt;"",'Data Source'!S772="A+"),IF('Data Source'!AD772&gt;=5,"A+",IF('Data Source'!AD772&gt;=4,"A",IF('Data Source'!AD772&gt;=3.5,"A-",IF('Data Source'!AD772&gt;=3,"B",IF('Data Source'!AD772&gt;=2,"C",IF('Data Source'!AD772&gt;=1,"D","F")))))),"")</f>
        <v/>
      </c>
      <c r="M772" s="3">
        <f>IF(AND('Data Source'!B772&lt;&gt;"",'Data Source'!S772="A+"),IF('Data Source'!AE772&gt;=5,"A+",IF('Data Source'!AE772&gt;=4,"A",IF('Data Source'!AE772&gt;=3.5,"A-",IF('Data Source'!AE772&gt;=3,"B",IF('Data Source'!AE772&gt;=2,"C",IF('Data Source'!AE772&gt;=1,"D","F")))))),"")</f>
        <v/>
      </c>
      <c r="N772" s="3">
        <f>IF(AND('Data Source'!B772&lt;&gt;"",'Data Source'!S772="A+"),IF('Data Source'!AF772&gt;=5,"A+",IF('Data Source'!AF772&gt;=4,"A",IF('Data Source'!AF772&gt;=3.5,"A-",IF('Data Source'!AF772&gt;=3,"B",IF('Data Source'!AF772&gt;=2,"C",IF('Data Source'!AF772&gt;=1,"D","F")))))),"")</f>
        <v/>
      </c>
      <c r="O772" s="3">
        <f>IF(AND('Data Source'!B772&lt;&gt;"",'Data Source'!S772="A+"),IF('Data Source'!AG772&gt;=5,"A+",IF('Data Source'!AG772&gt;=4,"A",IF('Data Source'!AG772&gt;=3.5,"A-",IF('Data Source'!AG772&gt;=3,"B",IF('Data Source'!AG772&gt;=2,"C",IF('Data Source'!AG772&gt;=1,"D","F")))))),"")</f>
        <v/>
      </c>
      <c r="P772" s="5">
        <f>IF(AND('Data Source'!B772&lt;&gt;"",'Data Source'!S772="A+"),'Data Source'!R772,"")</f>
        <v/>
      </c>
      <c r="Q772" s="3">
        <f>IF(AND('Data Source'!B772&lt;&gt;"",'Data Source'!S772="A+"),'Data Source'!S772,"")</f>
        <v/>
      </c>
    </row>
    <row r="773">
      <c r="A773" s="3">
        <f>IF(AND('Data Source'!B773&lt;&gt;"",'Data Source'!S773="A+"),COUNTIF('Data Source'!$S$3:S773,"A+"),"")</f>
        <v/>
      </c>
      <c r="B773">
        <f>IF(AND('Data Source'!B773&lt;&gt;"",'Data Source'!S773="A+"),'Data Source'!B773,"")</f>
        <v/>
      </c>
      <c r="C773" s="3">
        <f>IF(AND('Data Source'!B773&lt;&gt;"",'Data Source'!S773="A+"),IF('Data Source'!U773&gt;=5,"A+",IF('Data Source'!U773&gt;=4,"A",IF('Data Source'!U773&gt;=3.5,"A-",IF('Data Source'!U773&gt;=3,"B",IF('Data Source'!U773&gt;=2,"C",IF('Data Source'!U773&gt;=1,"D","F")))))),"")</f>
        <v/>
      </c>
      <c r="D773" s="3">
        <f>IF(AND('Data Source'!B773&lt;&gt;"",'Data Source'!S773="A+"),IF('Data Source'!V773&gt;=5,"A+",IF('Data Source'!V773&gt;=4,"A",IF('Data Source'!V773&gt;=3.5,"A-",IF('Data Source'!V773&gt;=3,"B",IF('Data Source'!V773&gt;=2,"C",IF('Data Source'!V773&gt;=1,"D","F")))))),"")</f>
        <v/>
      </c>
      <c r="E773" s="3">
        <f>IF(AND('Data Source'!B773&lt;&gt;"",'Data Source'!S773="A+"),IF('Data Source'!W773&gt;=5,"A+",IF('Data Source'!W773&gt;=4,"A",IF('Data Source'!W773&gt;=3.5,"A-",IF('Data Source'!W773&gt;=3,"B",IF('Data Source'!W773&gt;=2,"C",IF('Data Source'!W773&gt;=1,"D","F")))))),"")</f>
        <v/>
      </c>
      <c r="F773" s="3">
        <f>IF(AND('Data Source'!B773&lt;&gt;"",'Data Source'!S773="A+"),IF('Data Source'!X773&gt;=5,"A+",IF('Data Source'!X773&gt;=4,"A",IF('Data Source'!X773&gt;=3.5,"A-",IF('Data Source'!X773&gt;=3,"B",IF('Data Source'!X773&gt;=2,"C",IF('Data Source'!X773&gt;=1,"D","F")))))),"")</f>
        <v/>
      </c>
      <c r="G773" s="3">
        <f>IF(AND('Data Source'!B773&lt;&gt;"",'Data Source'!S773="A+"),IF('Data Source'!Y773&gt;=5,"A+",IF('Data Source'!Y773&gt;=4,"A",IF('Data Source'!Y773&gt;=3.5,"A-",IF('Data Source'!Y773&gt;=3,"B",IF('Data Source'!Y773&gt;=2,"C",IF('Data Source'!Y773&gt;=1,"D","F")))))),"")</f>
        <v/>
      </c>
      <c r="H773" s="3">
        <f>IF(AND('Data Source'!B773&lt;&gt;"",'Data Source'!S773="A+"),IF('Data Source'!Z773&gt;=5,"A+",IF('Data Source'!Z773&gt;=4,"A",IF('Data Source'!Z773&gt;=3.5,"A-",IF('Data Source'!Z773&gt;=3,"B",IF('Data Source'!Z773&gt;=2,"C",IF('Data Source'!Z773&gt;=1,"D","F")))))),"")</f>
        <v/>
      </c>
      <c r="I773" s="3">
        <f>IF(AND('Data Source'!B773&lt;&gt;"",'Data Source'!S773="A+"),IF('Data Source'!AA773&gt;=5,"A+",IF('Data Source'!AA773&gt;=4,"A",IF('Data Source'!AA773&gt;=3.5,"A-",IF('Data Source'!AA773&gt;=3,"B",IF('Data Source'!AA773&gt;=2,"C",IF('Data Source'!AA773&gt;=1,"D","F")))))),"")</f>
        <v/>
      </c>
      <c r="J773" s="3">
        <f>IF(AND('Data Source'!B773&lt;&gt;"",'Data Source'!S773="A+"),IF('Data Source'!AB773&gt;=5,"A+",IF('Data Source'!AB773&gt;=4,"A",IF('Data Source'!AB773&gt;=3.5,"A-",IF('Data Source'!AB773&gt;=3,"B",IF('Data Source'!AB773&gt;=2,"C",IF('Data Source'!AB773&gt;=1,"D","F")))))),"")</f>
        <v/>
      </c>
      <c r="K773" s="3">
        <f>IF(AND('Data Source'!B773&lt;&gt;"",'Data Source'!S773="A+"),IF('Data Source'!AC773&gt;=5,"A+",IF('Data Source'!AC773&gt;=4,"A",IF('Data Source'!AC773&gt;=3.5,"A-",IF('Data Source'!AC773&gt;=3,"B",IF('Data Source'!AC773&gt;=2,"C",IF('Data Source'!AC773&gt;=1,"D","F")))))),"")</f>
        <v/>
      </c>
      <c r="L773" s="3">
        <f>IF(AND('Data Source'!B773&lt;&gt;"",'Data Source'!S773="A+"),IF('Data Source'!AD773&gt;=5,"A+",IF('Data Source'!AD773&gt;=4,"A",IF('Data Source'!AD773&gt;=3.5,"A-",IF('Data Source'!AD773&gt;=3,"B",IF('Data Source'!AD773&gt;=2,"C",IF('Data Source'!AD773&gt;=1,"D","F")))))),"")</f>
        <v/>
      </c>
      <c r="M773" s="3">
        <f>IF(AND('Data Source'!B773&lt;&gt;"",'Data Source'!S773="A+"),IF('Data Source'!AE773&gt;=5,"A+",IF('Data Source'!AE773&gt;=4,"A",IF('Data Source'!AE773&gt;=3.5,"A-",IF('Data Source'!AE773&gt;=3,"B",IF('Data Source'!AE773&gt;=2,"C",IF('Data Source'!AE773&gt;=1,"D","F")))))),"")</f>
        <v/>
      </c>
      <c r="N773" s="3">
        <f>IF(AND('Data Source'!B773&lt;&gt;"",'Data Source'!S773="A+"),IF('Data Source'!AF773&gt;=5,"A+",IF('Data Source'!AF773&gt;=4,"A",IF('Data Source'!AF773&gt;=3.5,"A-",IF('Data Source'!AF773&gt;=3,"B",IF('Data Source'!AF773&gt;=2,"C",IF('Data Source'!AF773&gt;=1,"D","F")))))),"")</f>
        <v/>
      </c>
      <c r="O773" s="3">
        <f>IF(AND('Data Source'!B773&lt;&gt;"",'Data Source'!S773="A+"),IF('Data Source'!AG773&gt;=5,"A+",IF('Data Source'!AG773&gt;=4,"A",IF('Data Source'!AG773&gt;=3.5,"A-",IF('Data Source'!AG773&gt;=3,"B",IF('Data Source'!AG773&gt;=2,"C",IF('Data Source'!AG773&gt;=1,"D","F")))))),"")</f>
        <v/>
      </c>
      <c r="P773" s="5">
        <f>IF(AND('Data Source'!B773&lt;&gt;"",'Data Source'!S773="A+"),'Data Source'!R773,"")</f>
        <v/>
      </c>
      <c r="Q773" s="3">
        <f>IF(AND('Data Source'!B773&lt;&gt;"",'Data Source'!S773="A+"),'Data Source'!S773,"")</f>
        <v/>
      </c>
    </row>
    <row r="774">
      <c r="A774" s="3">
        <f>IF(AND('Data Source'!B774&lt;&gt;"",'Data Source'!S774="A+"),COUNTIF('Data Source'!$S$3:S774,"A+"),"")</f>
        <v/>
      </c>
      <c r="B774">
        <f>IF(AND('Data Source'!B774&lt;&gt;"",'Data Source'!S774="A+"),'Data Source'!B774,"")</f>
        <v/>
      </c>
      <c r="C774" s="3">
        <f>IF(AND('Data Source'!B774&lt;&gt;"",'Data Source'!S774="A+"),IF('Data Source'!U774&gt;=5,"A+",IF('Data Source'!U774&gt;=4,"A",IF('Data Source'!U774&gt;=3.5,"A-",IF('Data Source'!U774&gt;=3,"B",IF('Data Source'!U774&gt;=2,"C",IF('Data Source'!U774&gt;=1,"D","F")))))),"")</f>
        <v/>
      </c>
      <c r="D774" s="3">
        <f>IF(AND('Data Source'!B774&lt;&gt;"",'Data Source'!S774="A+"),IF('Data Source'!V774&gt;=5,"A+",IF('Data Source'!V774&gt;=4,"A",IF('Data Source'!V774&gt;=3.5,"A-",IF('Data Source'!V774&gt;=3,"B",IF('Data Source'!V774&gt;=2,"C",IF('Data Source'!V774&gt;=1,"D","F")))))),"")</f>
        <v/>
      </c>
      <c r="E774" s="3">
        <f>IF(AND('Data Source'!B774&lt;&gt;"",'Data Source'!S774="A+"),IF('Data Source'!W774&gt;=5,"A+",IF('Data Source'!W774&gt;=4,"A",IF('Data Source'!W774&gt;=3.5,"A-",IF('Data Source'!W774&gt;=3,"B",IF('Data Source'!W774&gt;=2,"C",IF('Data Source'!W774&gt;=1,"D","F")))))),"")</f>
        <v/>
      </c>
      <c r="F774" s="3">
        <f>IF(AND('Data Source'!B774&lt;&gt;"",'Data Source'!S774="A+"),IF('Data Source'!X774&gt;=5,"A+",IF('Data Source'!X774&gt;=4,"A",IF('Data Source'!X774&gt;=3.5,"A-",IF('Data Source'!X774&gt;=3,"B",IF('Data Source'!X774&gt;=2,"C",IF('Data Source'!X774&gt;=1,"D","F")))))),"")</f>
        <v/>
      </c>
      <c r="G774" s="3">
        <f>IF(AND('Data Source'!B774&lt;&gt;"",'Data Source'!S774="A+"),IF('Data Source'!Y774&gt;=5,"A+",IF('Data Source'!Y774&gt;=4,"A",IF('Data Source'!Y774&gt;=3.5,"A-",IF('Data Source'!Y774&gt;=3,"B",IF('Data Source'!Y774&gt;=2,"C",IF('Data Source'!Y774&gt;=1,"D","F")))))),"")</f>
        <v/>
      </c>
      <c r="H774" s="3">
        <f>IF(AND('Data Source'!B774&lt;&gt;"",'Data Source'!S774="A+"),IF('Data Source'!Z774&gt;=5,"A+",IF('Data Source'!Z774&gt;=4,"A",IF('Data Source'!Z774&gt;=3.5,"A-",IF('Data Source'!Z774&gt;=3,"B",IF('Data Source'!Z774&gt;=2,"C",IF('Data Source'!Z774&gt;=1,"D","F")))))),"")</f>
        <v/>
      </c>
      <c r="I774" s="3">
        <f>IF(AND('Data Source'!B774&lt;&gt;"",'Data Source'!S774="A+"),IF('Data Source'!AA774&gt;=5,"A+",IF('Data Source'!AA774&gt;=4,"A",IF('Data Source'!AA774&gt;=3.5,"A-",IF('Data Source'!AA774&gt;=3,"B",IF('Data Source'!AA774&gt;=2,"C",IF('Data Source'!AA774&gt;=1,"D","F")))))),"")</f>
        <v/>
      </c>
      <c r="J774" s="3">
        <f>IF(AND('Data Source'!B774&lt;&gt;"",'Data Source'!S774="A+"),IF('Data Source'!AB774&gt;=5,"A+",IF('Data Source'!AB774&gt;=4,"A",IF('Data Source'!AB774&gt;=3.5,"A-",IF('Data Source'!AB774&gt;=3,"B",IF('Data Source'!AB774&gt;=2,"C",IF('Data Source'!AB774&gt;=1,"D","F")))))),"")</f>
        <v/>
      </c>
      <c r="K774" s="3">
        <f>IF(AND('Data Source'!B774&lt;&gt;"",'Data Source'!S774="A+"),IF('Data Source'!AC774&gt;=5,"A+",IF('Data Source'!AC774&gt;=4,"A",IF('Data Source'!AC774&gt;=3.5,"A-",IF('Data Source'!AC774&gt;=3,"B",IF('Data Source'!AC774&gt;=2,"C",IF('Data Source'!AC774&gt;=1,"D","F")))))),"")</f>
        <v/>
      </c>
      <c r="L774" s="3">
        <f>IF(AND('Data Source'!B774&lt;&gt;"",'Data Source'!S774="A+"),IF('Data Source'!AD774&gt;=5,"A+",IF('Data Source'!AD774&gt;=4,"A",IF('Data Source'!AD774&gt;=3.5,"A-",IF('Data Source'!AD774&gt;=3,"B",IF('Data Source'!AD774&gt;=2,"C",IF('Data Source'!AD774&gt;=1,"D","F")))))),"")</f>
        <v/>
      </c>
      <c r="M774" s="3">
        <f>IF(AND('Data Source'!B774&lt;&gt;"",'Data Source'!S774="A+"),IF('Data Source'!AE774&gt;=5,"A+",IF('Data Source'!AE774&gt;=4,"A",IF('Data Source'!AE774&gt;=3.5,"A-",IF('Data Source'!AE774&gt;=3,"B",IF('Data Source'!AE774&gt;=2,"C",IF('Data Source'!AE774&gt;=1,"D","F")))))),"")</f>
        <v/>
      </c>
      <c r="N774" s="3">
        <f>IF(AND('Data Source'!B774&lt;&gt;"",'Data Source'!S774="A+"),IF('Data Source'!AF774&gt;=5,"A+",IF('Data Source'!AF774&gt;=4,"A",IF('Data Source'!AF774&gt;=3.5,"A-",IF('Data Source'!AF774&gt;=3,"B",IF('Data Source'!AF774&gt;=2,"C",IF('Data Source'!AF774&gt;=1,"D","F")))))),"")</f>
        <v/>
      </c>
      <c r="O774" s="3">
        <f>IF(AND('Data Source'!B774&lt;&gt;"",'Data Source'!S774="A+"),IF('Data Source'!AG774&gt;=5,"A+",IF('Data Source'!AG774&gt;=4,"A",IF('Data Source'!AG774&gt;=3.5,"A-",IF('Data Source'!AG774&gt;=3,"B",IF('Data Source'!AG774&gt;=2,"C",IF('Data Source'!AG774&gt;=1,"D","F")))))),"")</f>
        <v/>
      </c>
      <c r="P774" s="5">
        <f>IF(AND('Data Source'!B774&lt;&gt;"",'Data Source'!S774="A+"),'Data Source'!R774,"")</f>
        <v/>
      </c>
      <c r="Q774" s="3">
        <f>IF(AND('Data Source'!B774&lt;&gt;"",'Data Source'!S774="A+"),'Data Source'!S774,"")</f>
        <v/>
      </c>
    </row>
    <row r="775">
      <c r="A775" s="3">
        <f>IF(AND('Data Source'!B775&lt;&gt;"",'Data Source'!S775="A+"),COUNTIF('Data Source'!$S$3:S775,"A+"),"")</f>
        <v/>
      </c>
      <c r="B775">
        <f>IF(AND('Data Source'!B775&lt;&gt;"",'Data Source'!S775="A+"),'Data Source'!B775,"")</f>
        <v/>
      </c>
      <c r="C775" s="3">
        <f>IF(AND('Data Source'!B775&lt;&gt;"",'Data Source'!S775="A+"),IF('Data Source'!U775&gt;=5,"A+",IF('Data Source'!U775&gt;=4,"A",IF('Data Source'!U775&gt;=3.5,"A-",IF('Data Source'!U775&gt;=3,"B",IF('Data Source'!U775&gt;=2,"C",IF('Data Source'!U775&gt;=1,"D","F")))))),"")</f>
        <v/>
      </c>
      <c r="D775" s="3">
        <f>IF(AND('Data Source'!B775&lt;&gt;"",'Data Source'!S775="A+"),IF('Data Source'!V775&gt;=5,"A+",IF('Data Source'!V775&gt;=4,"A",IF('Data Source'!V775&gt;=3.5,"A-",IF('Data Source'!V775&gt;=3,"B",IF('Data Source'!V775&gt;=2,"C",IF('Data Source'!V775&gt;=1,"D","F")))))),"")</f>
        <v/>
      </c>
      <c r="E775" s="3">
        <f>IF(AND('Data Source'!B775&lt;&gt;"",'Data Source'!S775="A+"),IF('Data Source'!W775&gt;=5,"A+",IF('Data Source'!W775&gt;=4,"A",IF('Data Source'!W775&gt;=3.5,"A-",IF('Data Source'!W775&gt;=3,"B",IF('Data Source'!W775&gt;=2,"C",IF('Data Source'!W775&gt;=1,"D","F")))))),"")</f>
        <v/>
      </c>
      <c r="F775" s="3">
        <f>IF(AND('Data Source'!B775&lt;&gt;"",'Data Source'!S775="A+"),IF('Data Source'!X775&gt;=5,"A+",IF('Data Source'!X775&gt;=4,"A",IF('Data Source'!X775&gt;=3.5,"A-",IF('Data Source'!X775&gt;=3,"B",IF('Data Source'!X775&gt;=2,"C",IF('Data Source'!X775&gt;=1,"D","F")))))),"")</f>
        <v/>
      </c>
      <c r="G775" s="3">
        <f>IF(AND('Data Source'!B775&lt;&gt;"",'Data Source'!S775="A+"),IF('Data Source'!Y775&gt;=5,"A+",IF('Data Source'!Y775&gt;=4,"A",IF('Data Source'!Y775&gt;=3.5,"A-",IF('Data Source'!Y775&gt;=3,"B",IF('Data Source'!Y775&gt;=2,"C",IF('Data Source'!Y775&gt;=1,"D","F")))))),"")</f>
        <v/>
      </c>
      <c r="H775" s="3">
        <f>IF(AND('Data Source'!B775&lt;&gt;"",'Data Source'!S775="A+"),IF('Data Source'!Z775&gt;=5,"A+",IF('Data Source'!Z775&gt;=4,"A",IF('Data Source'!Z775&gt;=3.5,"A-",IF('Data Source'!Z775&gt;=3,"B",IF('Data Source'!Z775&gt;=2,"C",IF('Data Source'!Z775&gt;=1,"D","F")))))),"")</f>
        <v/>
      </c>
      <c r="I775" s="3">
        <f>IF(AND('Data Source'!B775&lt;&gt;"",'Data Source'!S775="A+"),IF('Data Source'!AA775&gt;=5,"A+",IF('Data Source'!AA775&gt;=4,"A",IF('Data Source'!AA775&gt;=3.5,"A-",IF('Data Source'!AA775&gt;=3,"B",IF('Data Source'!AA775&gt;=2,"C",IF('Data Source'!AA775&gt;=1,"D","F")))))),"")</f>
        <v/>
      </c>
      <c r="J775" s="3">
        <f>IF(AND('Data Source'!B775&lt;&gt;"",'Data Source'!S775="A+"),IF('Data Source'!AB775&gt;=5,"A+",IF('Data Source'!AB775&gt;=4,"A",IF('Data Source'!AB775&gt;=3.5,"A-",IF('Data Source'!AB775&gt;=3,"B",IF('Data Source'!AB775&gt;=2,"C",IF('Data Source'!AB775&gt;=1,"D","F")))))),"")</f>
        <v/>
      </c>
      <c r="K775" s="3">
        <f>IF(AND('Data Source'!B775&lt;&gt;"",'Data Source'!S775="A+"),IF('Data Source'!AC775&gt;=5,"A+",IF('Data Source'!AC775&gt;=4,"A",IF('Data Source'!AC775&gt;=3.5,"A-",IF('Data Source'!AC775&gt;=3,"B",IF('Data Source'!AC775&gt;=2,"C",IF('Data Source'!AC775&gt;=1,"D","F")))))),"")</f>
        <v/>
      </c>
      <c r="L775" s="3">
        <f>IF(AND('Data Source'!B775&lt;&gt;"",'Data Source'!S775="A+"),IF('Data Source'!AD775&gt;=5,"A+",IF('Data Source'!AD775&gt;=4,"A",IF('Data Source'!AD775&gt;=3.5,"A-",IF('Data Source'!AD775&gt;=3,"B",IF('Data Source'!AD775&gt;=2,"C",IF('Data Source'!AD775&gt;=1,"D","F")))))),"")</f>
        <v/>
      </c>
      <c r="M775" s="3">
        <f>IF(AND('Data Source'!B775&lt;&gt;"",'Data Source'!S775="A+"),IF('Data Source'!AE775&gt;=5,"A+",IF('Data Source'!AE775&gt;=4,"A",IF('Data Source'!AE775&gt;=3.5,"A-",IF('Data Source'!AE775&gt;=3,"B",IF('Data Source'!AE775&gt;=2,"C",IF('Data Source'!AE775&gt;=1,"D","F")))))),"")</f>
        <v/>
      </c>
      <c r="N775" s="3">
        <f>IF(AND('Data Source'!B775&lt;&gt;"",'Data Source'!S775="A+"),IF('Data Source'!AF775&gt;=5,"A+",IF('Data Source'!AF775&gt;=4,"A",IF('Data Source'!AF775&gt;=3.5,"A-",IF('Data Source'!AF775&gt;=3,"B",IF('Data Source'!AF775&gt;=2,"C",IF('Data Source'!AF775&gt;=1,"D","F")))))),"")</f>
        <v/>
      </c>
      <c r="O775" s="3">
        <f>IF(AND('Data Source'!B775&lt;&gt;"",'Data Source'!S775="A+"),IF('Data Source'!AG775&gt;=5,"A+",IF('Data Source'!AG775&gt;=4,"A",IF('Data Source'!AG775&gt;=3.5,"A-",IF('Data Source'!AG775&gt;=3,"B",IF('Data Source'!AG775&gt;=2,"C",IF('Data Source'!AG775&gt;=1,"D","F")))))),"")</f>
        <v/>
      </c>
      <c r="P775" s="5">
        <f>IF(AND('Data Source'!B775&lt;&gt;"",'Data Source'!S775="A+"),'Data Source'!R775,"")</f>
        <v/>
      </c>
      <c r="Q775" s="3">
        <f>IF(AND('Data Source'!B775&lt;&gt;"",'Data Source'!S775="A+"),'Data Source'!S775,"")</f>
        <v/>
      </c>
    </row>
    <row r="776">
      <c r="A776" s="3">
        <f>IF(AND('Data Source'!B776&lt;&gt;"",'Data Source'!S776="A+"),COUNTIF('Data Source'!$S$3:S776,"A+"),"")</f>
        <v/>
      </c>
      <c r="B776">
        <f>IF(AND('Data Source'!B776&lt;&gt;"",'Data Source'!S776="A+"),'Data Source'!B776,"")</f>
        <v/>
      </c>
      <c r="C776" s="3">
        <f>IF(AND('Data Source'!B776&lt;&gt;"",'Data Source'!S776="A+"),IF('Data Source'!U776&gt;=5,"A+",IF('Data Source'!U776&gt;=4,"A",IF('Data Source'!U776&gt;=3.5,"A-",IF('Data Source'!U776&gt;=3,"B",IF('Data Source'!U776&gt;=2,"C",IF('Data Source'!U776&gt;=1,"D","F")))))),"")</f>
        <v/>
      </c>
      <c r="D776" s="3">
        <f>IF(AND('Data Source'!B776&lt;&gt;"",'Data Source'!S776="A+"),IF('Data Source'!V776&gt;=5,"A+",IF('Data Source'!V776&gt;=4,"A",IF('Data Source'!V776&gt;=3.5,"A-",IF('Data Source'!V776&gt;=3,"B",IF('Data Source'!V776&gt;=2,"C",IF('Data Source'!V776&gt;=1,"D","F")))))),"")</f>
        <v/>
      </c>
      <c r="E776" s="3">
        <f>IF(AND('Data Source'!B776&lt;&gt;"",'Data Source'!S776="A+"),IF('Data Source'!W776&gt;=5,"A+",IF('Data Source'!W776&gt;=4,"A",IF('Data Source'!W776&gt;=3.5,"A-",IF('Data Source'!W776&gt;=3,"B",IF('Data Source'!W776&gt;=2,"C",IF('Data Source'!W776&gt;=1,"D","F")))))),"")</f>
        <v/>
      </c>
      <c r="F776" s="3">
        <f>IF(AND('Data Source'!B776&lt;&gt;"",'Data Source'!S776="A+"),IF('Data Source'!X776&gt;=5,"A+",IF('Data Source'!X776&gt;=4,"A",IF('Data Source'!X776&gt;=3.5,"A-",IF('Data Source'!X776&gt;=3,"B",IF('Data Source'!X776&gt;=2,"C",IF('Data Source'!X776&gt;=1,"D","F")))))),"")</f>
        <v/>
      </c>
      <c r="G776" s="3">
        <f>IF(AND('Data Source'!B776&lt;&gt;"",'Data Source'!S776="A+"),IF('Data Source'!Y776&gt;=5,"A+",IF('Data Source'!Y776&gt;=4,"A",IF('Data Source'!Y776&gt;=3.5,"A-",IF('Data Source'!Y776&gt;=3,"B",IF('Data Source'!Y776&gt;=2,"C",IF('Data Source'!Y776&gt;=1,"D","F")))))),"")</f>
        <v/>
      </c>
      <c r="H776" s="3">
        <f>IF(AND('Data Source'!B776&lt;&gt;"",'Data Source'!S776="A+"),IF('Data Source'!Z776&gt;=5,"A+",IF('Data Source'!Z776&gt;=4,"A",IF('Data Source'!Z776&gt;=3.5,"A-",IF('Data Source'!Z776&gt;=3,"B",IF('Data Source'!Z776&gt;=2,"C",IF('Data Source'!Z776&gt;=1,"D","F")))))),"")</f>
        <v/>
      </c>
      <c r="I776" s="3">
        <f>IF(AND('Data Source'!B776&lt;&gt;"",'Data Source'!S776="A+"),IF('Data Source'!AA776&gt;=5,"A+",IF('Data Source'!AA776&gt;=4,"A",IF('Data Source'!AA776&gt;=3.5,"A-",IF('Data Source'!AA776&gt;=3,"B",IF('Data Source'!AA776&gt;=2,"C",IF('Data Source'!AA776&gt;=1,"D","F")))))),"")</f>
        <v/>
      </c>
      <c r="J776" s="3">
        <f>IF(AND('Data Source'!B776&lt;&gt;"",'Data Source'!S776="A+"),IF('Data Source'!AB776&gt;=5,"A+",IF('Data Source'!AB776&gt;=4,"A",IF('Data Source'!AB776&gt;=3.5,"A-",IF('Data Source'!AB776&gt;=3,"B",IF('Data Source'!AB776&gt;=2,"C",IF('Data Source'!AB776&gt;=1,"D","F")))))),"")</f>
        <v/>
      </c>
      <c r="K776" s="3">
        <f>IF(AND('Data Source'!B776&lt;&gt;"",'Data Source'!S776="A+"),IF('Data Source'!AC776&gt;=5,"A+",IF('Data Source'!AC776&gt;=4,"A",IF('Data Source'!AC776&gt;=3.5,"A-",IF('Data Source'!AC776&gt;=3,"B",IF('Data Source'!AC776&gt;=2,"C",IF('Data Source'!AC776&gt;=1,"D","F")))))),"")</f>
        <v/>
      </c>
      <c r="L776" s="3">
        <f>IF(AND('Data Source'!B776&lt;&gt;"",'Data Source'!S776="A+"),IF('Data Source'!AD776&gt;=5,"A+",IF('Data Source'!AD776&gt;=4,"A",IF('Data Source'!AD776&gt;=3.5,"A-",IF('Data Source'!AD776&gt;=3,"B",IF('Data Source'!AD776&gt;=2,"C",IF('Data Source'!AD776&gt;=1,"D","F")))))),"")</f>
        <v/>
      </c>
      <c r="M776" s="3">
        <f>IF(AND('Data Source'!B776&lt;&gt;"",'Data Source'!S776="A+"),IF('Data Source'!AE776&gt;=5,"A+",IF('Data Source'!AE776&gt;=4,"A",IF('Data Source'!AE776&gt;=3.5,"A-",IF('Data Source'!AE776&gt;=3,"B",IF('Data Source'!AE776&gt;=2,"C",IF('Data Source'!AE776&gt;=1,"D","F")))))),"")</f>
        <v/>
      </c>
      <c r="N776" s="3">
        <f>IF(AND('Data Source'!B776&lt;&gt;"",'Data Source'!S776="A+"),IF('Data Source'!AF776&gt;=5,"A+",IF('Data Source'!AF776&gt;=4,"A",IF('Data Source'!AF776&gt;=3.5,"A-",IF('Data Source'!AF776&gt;=3,"B",IF('Data Source'!AF776&gt;=2,"C",IF('Data Source'!AF776&gt;=1,"D","F")))))),"")</f>
        <v/>
      </c>
      <c r="O776" s="3">
        <f>IF(AND('Data Source'!B776&lt;&gt;"",'Data Source'!S776="A+"),IF('Data Source'!AG776&gt;=5,"A+",IF('Data Source'!AG776&gt;=4,"A",IF('Data Source'!AG776&gt;=3.5,"A-",IF('Data Source'!AG776&gt;=3,"B",IF('Data Source'!AG776&gt;=2,"C",IF('Data Source'!AG776&gt;=1,"D","F")))))),"")</f>
        <v/>
      </c>
      <c r="P776" s="5">
        <f>IF(AND('Data Source'!B776&lt;&gt;"",'Data Source'!S776="A+"),'Data Source'!R776,"")</f>
        <v/>
      </c>
      <c r="Q776" s="3">
        <f>IF(AND('Data Source'!B776&lt;&gt;"",'Data Source'!S776="A+"),'Data Source'!S776,"")</f>
        <v/>
      </c>
    </row>
    <row r="777">
      <c r="A777" s="3">
        <f>IF(AND('Data Source'!B777&lt;&gt;"",'Data Source'!S777="A+"),COUNTIF('Data Source'!$S$3:S777,"A+"),"")</f>
        <v/>
      </c>
      <c r="B777">
        <f>IF(AND('Data Source'!B777&lt;&gt;"",'Data Source'!S777="A+"),'Data Source'!B777,"")</f>
        <v/>
      </c>
      <c r="C777" s="3">
        <f>IF(AND('Data Source'!B777&lt;&gt;"",'Data Source'!S777="A+"),IF('Data Source'!U777&gt;=5,"A+",IF('Data Source'!U777&gt;=4,"A",IF('Data Source'!U777&gt;=3.5,"A-",IF('Data Source'!U777&gt;=3,"B",IF('Data Source'!U777&gt;=2,"C",IF('Data Source'!U777&gt;=1,"D","F")))))),"")</f>
        <v/>
      </c>
      <c r="D777" s="3">
        <f>IF(AND('Data Source'!B777&lt;&gt;"",'Data Source'!S777="A+"),IF('Data Source'!V777&gt;=5,"A+",IF('Data Source'!V777&gt;=4,"A",IF('Data Source'!V777&gt;=3.5,"A-",IF('Data Source'!V777&gt;=3,"B",IF('Data Source'!V777&gt;=2,"C",IF('Data Source'!V777&gt;=1,"D","F")))))),"")</f>
        <v/>
      </c>
      <c r="E777" s="3">
        <f>IF(AND('Data Source'!B777&lt;&gt;"",'Data Source'!S777="A+"),IF('Data Source'!W777&gt;=5,"A+",IF('Data Source'!W777&gt;=4,"A",IF('Data Source'!W777&gt;=3.5,"A-",IF('Data Source'!W777&gt;=3,"B",IF('Data Source'!W777&gt;=2,"C",IF('Data Source'!W777&gt;=1,"D","F")))))),"")</f>
        <v/>
      </c>
      <c r="F777" s="3">
        <f>IF(AND('Data Source'!B777&lt;&gt;"",'Data Source'!S777="A+"),IF('Data Source'!X777&gt;=5,"A+",IF('Data Source'!X777&gt;=4,"A",IF('Data Source'!X777&gt;=3.5,"A-",IF('Data Source'!X777&gt;=3,"B",IF('Data Source'!X777&gt;=2,"C",IF('Data Source'!X777&gt;=1,"D","F")))))),"")</f>
        <v/>
      </c>
      <c r="G777" s="3">
        <f>IF(AND('Data Source'!B777&lt;&gt;"",'Data Source'!S777="A+"),IF('Data Source'!Y777&gt;=5,"A+",IF('Data Source'!Y777&gt;=4,"A",IF('Data Source'!Y777&gt;=3.5,"A-",IF('Data Source'!Y777&gt;=3,"B",IF('Data Source'!Y777&gt;=2,"C",IF('Data Source'!Y777&gt;=1,"D","F")))))),"")</f>
        <v/>
      </c>
      <c r="H777" s="3">
        <f>IF(AND('Data Source'!B777&lt;&gt;"",'Data Source'!S777="A+"),IF('Data Source'!Z777&gt;=5,"A+",IF('Data Source'!Z777&gt;=4,"A",IF('Data Source'!Z777&gt;=3.5,"A-",IF('Data Source'!Z777&gt;=3,"B",IF('Data Source'!Z777&gt;=2,"C",IF('Data Source'!Z777&gt;=1,"D","F")))))),"")</f>
        <v/>
      </c>
      <c r="I777" s="3">
        <f>IF(AND('Data Source'!B777&lt;&gt;"",'Data Source'!S777="A+"),IF('Data Source'!AA777&gt;=5,"A+",IF('Data Source'!AA777&gt;=4,"A",IF('Data Source'!AA777&gt;=3.5,"A-",IF('Data Source'!AA777&gt;=3,"B",IF('Data Source'!AA777&gt;=2,"C",IF('Data Source'!AA777&gt;=1,"D","F")))))),"")</f>
        <v/>
      </c>
      <c r="J777" s="3">
        <f>IF(AND('Data Source'!B777&lt;&gt;"",'Data Source'!S777="A+"),IF('Data Source'!AB777&gt;=5,"A+",IF('Data Source'!AB777&gt;=4,"A",IF('Data Source'!AB777&gt;=3.5,"A-",IF('Data Source'!AB777&gt;=3,"B",IF('Data Source'!AB777&gt;=2,"C",IF('Data Source'!AB777&gt;=1,"D","F")))))),"")</f>
        <v/>
      </c>
      <c r="K777" s="3">
        <f>IF(AND('Data Source'!B777&lt;&gt;"",'Data Source'!S777="A+"),IF('Data Source'!AC777&gt;=5,"A+",IF('Data Source'!AC777&gt;=4,"A",IF('Data Source'!AC777&gt;=3.5,"A-",IF('Data Source'!AC777&gt;=3,"B",IF('Data Source'!AC777&gt;=2,"C",IF('Data Source'!AC777&gt;=1,"D","F")))))),"")</f>
        <v/>
      </c>
      <c r="L777" s="3">
        <f>IF(AND('Data Source'!B777&lt;&gt;"",'Data Source'!S777="A+"),IF('Data Source'!AD777&gt;=5,"A+",IF('Data Source'!AD777&gt;=4,"A",IF('Data Source'!AD777&gt;=3.5,"A-",IF('Data Source'!AD777&gt;=3,"B",IF('Data Source'!AD777&gt;=2,"C",IF('Data Source'!AD777&gt;=1,"D","F")))))),"")</f>
        <v/>
      </c>
      <c r="M777" s="3">
        <f>IF(AND('Data Source'!B777&lt;&gt;"",'Data Source'!S777="A+"),IF('Data Source'!AE777&gt;=5,"A+",IF('Data Source'!AE777&gt;=4,"A",IF('Data Source'!AE777&gt;=3.5,"A-",IF('Data Source'!AE777&gt;=3,"B",IF('Data Source'!AE777&gt;=2,"C",IF('Data Source'!AE777&gt;=1,"D","F")))))),"")</f>
        <v/>
      </c>
      <c r="N777" s="3">
        <f>IF(AND('Data Source'!B777&lt;&gt;"",'Data Source'!S777="A+"),IF('Data Source'!AF777&gt;=5,"A+",IF('Data Source'!AF777&gt;=4,"A",IF('Data Source'!AF777&gt;=3.5,"A-",IF('Data Source'!AF777&gt;=3,"B",IF('Data Source'!AF777&gt;=2,"C",IF('Data Source'!AF777&gt;=1,"D","F")))))),"")</f>
        <v/>
      </c>
      <c r="O777" s="3">
        <f>IF(AND('Data Source'!B777&lt;&gt;"",'Data Source'!S777="A+"),IF('Data Source'!AG777&gt;=5,"A+",IF('Data Source'!AG777&gt;=4,"A",IF('Data Source'!AG777&gt;=3.5,"A-",IF('Data Source'!AG777&gt;=3,"B",IF('Data Source'!AG777&gt;=2,"C",IF('Data Source'!AG777&gt;=1,"D","F")))))),"")</f>
        <v/>
      </c>
      <c r="P777" s="5">
        <f>IF(AND('Data Source'!B777&lt;&gt;"",'Data Source'!S777="A+"),'Data Source'!R777,"")</f>
        <v/>
      </c>
      <c r="Q777" s="3">
        <f>IF(AND('Data Source'!B777&lt;&gt;"",'Data Source'!S777="A+"),'Data Source'!S777,"")</f>
        <v/>
      </c>
    </row>
    <row r="778">
      <c r="A778" s="3">
        <f>IF(AND('Data Source'!B778&lt;&gt;"",'Data Source'!S778="A+"),COUNTIF('Data Source'!$S$3:S778,"A+"),"")</f>
        <v/>
      </c>
      <c r="B778">
        <f>IF(AND('Data Source'!B778&lt;&gt;"",'Data Source'!S778="A+"),'Data Source'!B778,"")</f>
        <v/>
      </c>
      <c r="C778" s="3">
        <f>IF(AND('Data Source'!B778&lt;&gt;"",'Data Source'!S778="A+"),IF('Data Source'!U778&gt;=5,"A+",IF('Data Source'!U778&gt;=4,"A",IF('Data Source'!U778&gt;=3.5,"A-",IF('Data Source'!U778&gt;=3,"B",IF('Data Source'!U778&gt;=2,"C",IF('Data Source'!U778&gt;=1,"D","F")))))),"")</f>
        <v/>
      </c>
      <c r="D778" s="3">
        <f>IF(AND('Data Source'!B778&lt;&gt;"",'Data Source'!S778="A+"),IF('Data Source'!V778&gt;=5,"A+",IF('Data Source'!V778&gt;=4,"A",IF('Data Source'!V778&gt;=3.5,"A-",IF('Data Source'!V778&gt;=3,"B",IF('Data Source'!V778&gt;=2,"C",IF('Data Source'!V778&gt;=1,"D","F")))))),"")</f>
        <v/>
      </c>
      <c r="E778" s="3">
        <f>IF(AND('Data Source'!B778&lt;&gt;"",'Data Source'!S778="A+"),IF('Data Source'!W778&gt;=5,"A+",IF('Data Source'!W778&gt;=4,"A",IF('Data Source'!W778&gt;=3.5,"A-",IF('Data Source'!W778&gt;=3,"B",IF('Data Source'!W778&gt;=2,"C",IF('Data Source'!W778&gt;=1,"D","F")))))),"")</f>
        <v/>
      </c>
      <c r="F778" s="3">
        <f>IF(AND('Data Source'!B778&lt;&gt;"",'Data Source'!S778="A+"),IF('Data Source'!X778&gt;=5,"A+",IF('Data Source'!X778&gt;=4,"A",IF('Data Source'!X778&gt;=3.5,"A-",IF('Data Source'!X778&gt;=3,"B",IF('Data Source'!X778&gt;=2,"C",IF('Data Source'!X778&gt;=1,"D","F")))))),"")</f>
        <v/>
      </c>
      <c r="G778" s="3">
        <f>IF(AND('Data Source'!B778&lt;&gt;"",'Data Source'!S778="A+"),IF('Data Source'!Y778&gt;=5,"A+",IF('Data Source'!Y778&gt;=4,"A",IF('Data Source'!Y778&gt;=3.5,"A-",IF('Data Source'!Y778&gt;=3,"B",IF('Data Source'!Y778&gt;=2,"C",IF('Data Source'!Y778&gt;=1,"D","F")))))),"")</f>
        <v/>
      </c>
      <c r="H778" s="3">
        <f>IF(AND('Data Source'!B778&lt;&gt;"",'Data Source'!S778="A+"),IF('Data Source'!Z778&gt;=5,"A+",IF('Data Source'!Z778&gt;=4,"A",IF('Data Source'!Z778&gt;=3.5,"A-",IF('Data Source'!Z778&gt;=3,"B",IF('Data Source'!Z778&gt;=2,"C",IF('Data Source'!Z778&gt;=1,"D","F")))))),"")</f>
        <v/>
      </c>
      <c r="I778" s="3">
        <f>IF(AND('Data Source'!B778&lt;&gt;"",'Data Source'!S778="A+"),IF('Data Source'!AA778&gt;=5,"A+",IF('Data Source'!AA778&gt;=4,"A",IF('Data Source'!AA778&gt;=3.5,"A-",IF('Data Source'!AA778&gt;=3,"B",IF('Data Source'!AA778&gt;=2,"C",IF('Data Source'!AA778&gt;=1,"D","F")))))),"")</f>
        <v/>
      </c>
      <c r="J778" s="3">
        <f>IF(AND('Data Source'!B778&lt;&gt;"",'Data Source'!S778="A+"),IF('Data Source'!AB778&gt;=5,"A+",IF('Data Source'!AB778&gt;=4,"A",IF('Data Source'!AB778&gt;=3.5,"A-",IF('Data Source'!AB778&gt;=3,"B",IF('Data Source'!AB778&gt;=2,"C",IF('Data Source'!AB778&gt;=1,"D","F")))))),"")</f>
        <v/>
      </c>
      <c r="K778" s="3">
        <f>IF(AND('Data Source'!B778&lt;&gt;"",'Data Source'!S778="A+"),IF('Data Source'!AC778&gt;=5,"A+",IF('Data Source'!AC778&gt;=4,"A",IF('Data Source'!AC778&gt;=3.5,"A-",IF('Data Source'!AC778&gt;=3,"B",IF('Data Source'!AC778&gt;=2,"C",IF('Data Source'!AC778&gt;=1,"D","F")))))),"")</f>
        <v/>
      </c>
      <c r="L778" s="3">
        <f>IF(AND('Data Source'!B778&lt;&gt;"",'Data Source'!S778="A+"),IF('Data Source'!AD778&gt;=5,"A+",IF('Data Source'!AD778&gt;=4,"A",IF('Data Source'!AD778&gt;=3.5,"A-",IF('Data Source'!AD778&gt;=3,"B",IF('Data Source'!AD778&gt;=2,"C",IF('Data Source'!AD778&gt;=1,"D","F")))))),"")</f>
        <v/>
      </c>
      <c r="M778" s="3">
        <f>IF(AND('Data Source'!B778&lt;&gt;"",'Data Source'!S778="A+"),IF('Data Source'!AE778&gt;=5,"A+",IF('Data Source'!AE778&gt;=4,"A",IF('Data Source'!AE778&gt;=3.5,"A-",IF('Data Source'!AE778&gt;=3,"B",IF('Data Source'!AE778&gt;=2,"C",IF('Data Source'!AE778&gt;=1,"D","F")))))),"")</f>
        <v/>
      </c>
      <c r="N778" s="3">
        <f>IF(AND('Data Source'!B778&lt;&gt;"",'Data Source'!S778="A+"),IF('Data Source'!AF778&gt;=5,"A+",IF('Data Source'!AF778&gt;=4,"A",IF('Data Source'!AF778&gt;=3.5,"A-",IF('Data Source'!AF778&gt;=3,"B",IF('Data Source'!AF778&gt;=2,"C",IF('Data Source'!AF778&gt;=1,"D","F")))))),"")</f>
        <v/>
      </c>
      <c r="O778" s="3">
        <f>IF(AND('Data Source'!B778&lt;&gt;"",'Data Source'!S778="A+"),IF('Data Source'!AG778&gt;=5,"A+",IF('Data Source'!AG778&gt;=4,"A",IF('Data Source'!AG778&gt;=3.5,"A-",IF('Data Source'!AG778&gt;=3,"B",IF('Data Source'!AG778&gt;=2,"C",IF('Data Source'!AG778&gt;=1,"D","F")))))),"")</f>
        <v/>
      </c>
      <c r="P778" s="5">
        <f>IF(AND('Data Source'!B778&lt;&gt;"",'Data Source'!S778="A+"),'Data Source'!R778,"")</f>
        <v/>
      </c>
      <c r="Q778" s="3">
        <f>IF(AND('Data Source'!B778&lt;&gt;"",'Data Source'!S778="A+"),'Data Source'!S778,"")</f>
        <v/>
      </c>
    </row>
    <row r="779">
      <c r="A779" s="3">
        <f>IF(AND('Data Source'!B779&lt;&gt;"",'Data Source'!S779="A+"),COUNTIF('Data Source'!$S$3:S779,"A+"),"")</f>
        <v/>
      </c>
      <c r="B779">
        <f>IF(AND('Data Source'!B779&lt;&gt;"",'Data Source'!S779="A+"),'Data Source'!B779,"")</f>
        <v/>
      </c>
      <c r="C779" s="3">
        <f>IF(AND('Data Source'!B779&lt;&gt;"",'Data Source'!S779="A+"),IF('Data Source'!U779&gt;=5,"A+",IF('Data Source'!U779&gt;=4,"A",IF('Data Source'!U779&gt;=3.5,"A-",IF('Data Source'!U779&gt;=3,"B",IF('Data Source'!U779&gt;=2,"C",IF('Data Source'!U779&gt;=1,"D","F")))))),"")</f>
        <v/>
      </c>
      <c r="D779" s="3">
        <f>IF(AND('Data Source'!B779&lt;&gt;"",'Data Source'!S779="A+"),IF('Data Source'!V779&gt;=5,"A+",IF('Data Source'!V779&gt;=4,"A",IF('Data Source'!V779&gt;=3.5,"A-",IF('Data Source'!V779&gt;=3,"B",IF('Data Source'!V779&gt;=2,"C",IF('Data Source'!V779&gt;=1,"D","F")))))),"")</f>
        <v/>
      </c>
      <c r="E779" s="3">
        <f>IF(AND('Data Source'!B779&lt;&gt;"",'Data Source'!S779="A+"),IF('Data Source'!W779&gt;=5,"A+",IF('Data Source'!W779&gt;=4,"A",IF('Data Source'!W779&gt;=3.5,"A-",IF('Data Source'!W779&gt;=3,"B",IF('Data Source'!W779&gt;=2,"C",IF('Data Source'!W779&gt;=1,"D","F")))))),"")</f>
        <v/>
      </c>
      <c r="F779" s="3">
        <f>IF(AND('Data Source'!B779&lt;&gt;"",'Data Source'!S779="A+"),IF('Data Source'!X779&gt;=5,"A+",IF('Data Source'!X779&gt;=4,"A",IF('Data Source'!X779&gt;=3.5,"A-",IF('Data Source'!X779&gt;=3,"B",IF('Data Source'!X779&gt;=2,"C",IF('Data Source'!X779&gt;=1,"D","F")))))),"")</f>
        <v/>
      </c>
      <c r="G779" s="3">
        <f>IF(AND('Data Source'!B779&lt;&gt;"",'Data Source'!S779="A+"),IF('Data Source'!Y779&gt;=5,"A+",IF('Data Source'!Y779&gt;=4,"A",IF('Data Source'!Y779&gt;=3.5,"A-",IF('Data Source'!Y779&gt;=3,"B",IF('Data Source'!Y779&gt;=2,"C",IF('Data Source'!Y779&gt;=1,"D","F")))))),"")</f>
        <v/>
      </c>
      <c r="H779" s="3">
        <f>IF(AND('Data Source'!B779&lt;&gt;"",'Data Source'!S779="A+"),IF('Data Source'!Z779&gt;=5,"A+",IF('Data Source'!Z779&gt;=4,"A",IF('Data Source'!Z779&gt;=3.5,"A-",IF('Data Source'!Z779&gt;=3,"B",IF('Data Source'!Z779&gt;=2,"C",IF('Data Source'!Z779&gt;=1,"D","F")))))),"")</f>
        <v/>
      </c>
      <c r="I779" s="3">
        <f>IF(AND('Data Source'!B779&lt;&gt;"",'Data Source'!S779="A+"),IF('Data Source'!AA779&gt;=5,"A+",IF('Data Source'!AA779&gt;=4,"A",IF('Data Source'!AA779&gt;=3.5,"A-",IF('Data Source'!AA779&gt;=3,"B",IF('Data Source'!AA779&gt;=2,"C",IF('Data Source'!AA779&gt;=1,"D","F")))))),"")</f>
        <v/>
      </c>
      <c r="J779" s="3">
        <f>IF(AND('Data Source'!B779&lt;&gt;"",'Data Source'!S779="A+"),IF('Data Source'!AB779&gt;=5,"A+",IF('Data Source'!AB779&gt;=4,"A",IF('Data Source'!AB779&gt;=3.5,"A-",IF('Data Source'!AB779&gt;=3,"B",IF('Data Source'!AB779&gt;=2,"C",IF('Data Source'!AB779&gt;=1,"D","F")))))),"")</f>
        <v/>
      </c>
      <c r="K779" s="3">
        <f>IF(AND('Data Source'!B779&lt;&gt;"",'Data Source'!S779="A+"),IF('Data Source'!AC779&gt;=5,"A+",IF('Data Source'!AC779&gt;=4,"A",IF('Data Source'!AC779&gt;=3.5,"A-",IF('Data Source'!AC779&gt;=3,"B",IF('Data Source'!AC779&gt;=2,"C",IF('Data Source'!AC779&gt;=1,"D","F")))))),"")</f>
        <v/>
      </c>
      <c r="L779" s="3">
        <f>IF(AND('Data Source'!B779&lt;&gt;"",'Data Source'!S779="A+"),IF('Data Source'!AD779&gt;=5,"A+",IF('Data Source'!AD779&gt;=4,"A",IF('Data Source'!AD779&gt;=3.5,"A-",IF('Data Source'!AD779&gt;=3,"B",IF('Data Source'!AD779&gt;=2,"C",IF('Data Source'!AD779&gt;=1,"D","F")))))),"")</f>
        <v/>
      </c>
      <c r="M779" s="3">
        <f>IF(AND('Data Source'!B779&lt;&gt;"",'Data Source'!S779="A+"),IF('Data Source'!AE779&gt;=5,"A+",IF('Data Source'!AE779&gt;=4,"A",IF('Data Source'!AE779&gt;=3.5,"A-",IF('Data Source'!AE779&gt;=3,"B",IF('Data Source'!AE779&gt;=2,"C",IF('Data Source'!AE779&gt;=1,"D","F")))))),"")</f>
        <v/>
      </c>
      <c r="N779" s="3">
        <f>IF(AND('Data Source'!B779&lt;&gt;"",'Data Source'!S779="A+"),IF('Data Source'!AF779&gt;=5,"A+",IF('Data Source'!AF779&gt;=4,"A",IF('Data Source'!AF779&gt;=3.5,"A-",IF('Data Source'!AF779&gt;=3,"B",IF('Data Source'!AF779&gt;=2,"C",IF('Data Source'!AF779&gt;=1,"D","F")))))),"")</f>
        <v/>
      </c>
      <c r="O779" s="3">
        <f>IF(AND('Data Source'!B779&lt;&gt;"",'Data Source'!S779="A+"),IF('Data Source'!AG779&gt;=5,"A+",IF('Data Source'!AG779&gt;=4,"A",IF('Data Source'!AG779&gt;=3.5,"A-",IF('Data Source'!AG779&gt;=3,"B",IF('Data Source'!AG779&gt;=2,"C",IF('Data Source'!AG779&gt;=1,"D","F")))))),"")</f>
        <v/>
      </c>
      <c r="P779" s="5">
        <f>IF(AND('Data Source'!B779&lt;&gt;"",'Data Source'!S779="A+"),'Data Source'!R779,"")</f>
        <v/>
      </c>
      <c r="Q779" s="3">
        <f>IF(AND('Data Source'!B779&lt;&gt;"",'Data Source'!S779="A+"),'Data Source'!S779,"")</f>
        <v/>
      </c>
    </row>
    <row r="780">
      <c r="A780" s="3">
        <f>IF(AND('Data Source'!B780&lt;&gt;"",'Data Source'!S780="A+"),COUNTIF('Data Source'!$S$3:S780,"A+"),"")</f>
        <v/>
      </c>
      <c r="B780">
        <f>IF(AND('Data Source'!B780&lt;&gt;"",'Data Source'!S780="A+"),'Data Source'!B780,"")</f>
        <v/>
      </c>
      <c r="C780" s="3">
        <f>IF(AND('Data Source'!B780&lt;&gt;"",'Data Source'!S780="A+"),IF('Data Source'!U780&gt;=5,"A+",IF('Data Source'!U780&gt;=4,"A",IF('Data Source'!U780&gt;=3.5,"A-",IF('Data Source'!U780&gt;=3,"B",IF('Data Source'!U780&gt;=2,"C",IF('Data Source'!U780&gt;=1,"D","F")))))),"")</f>
        <v/>
      </c>
      <c r="D780" s="3">
        <f>IF(AND('Data Source'!B780&lt;&gt;"",'Data Source'!S780="A+"),IF('Data Source'!V780&gt;=5,"A+",IF('Data Source'!V780&gt;=4,"A",IF('Data Source'!V780&gt;=3.5,"A-",IF('Data Source'!V780&gt;=3,"B",IF('Data Source'!V780&gt;=2,"C",IF('Data Source'!V780&gt;=1,"D","F")))))),"")</f>
        <v/>
      </c>
      <c r="E780" s="3">
        <f>IF(AND('Data Source'!B780&lt;&gt;"",'Data Source'!S780="A+"),IF('Data Source'!W780&gt;=5,"A+",IF('Data Source'!W780&gt;=4,"A",IF('Data Source'!W780&gt;=3.5,"A-",IF('Data Source'!W780&gt;=3,"B",IF('Data Source'!W780&gt;=2,"C",IF('Data Source'!W780&gt;=1,"D","F")))))),"")</f>
        <v/>
      </c>
      <c r="F780" s="3">
        <f>IF(AND('Data Source'!B780&lt;&gt;"",'Data Source'!S780="A+"),IF('Data Source'!X780&gt;=5,"A+",IF('Data Source'!X780&gt;=4,"A",IF('Data Source'!X780&gt;=3.5,"A-",IF('Data Source'!X780&gt;=3,"B",IF('Data Source'!X780&gt;=2,"C",IF('Data Source'!X780&gt;=1,"D","F")))))),"")</f>
        <v/>
      </c>
      <c r="G780" s="3">
        <f>IF(AND('Data Source'!B780&lt;&gt;"",'Data Source'!S780="A+"),IF('Data Source'!Y780&gt;=5,"A+",IF('Data Source'!Y780&gt;=4,"A",IF('Data Source'!Y780&gt;=3.5,"A-",IF('Data Source'!Y780&gt;=3,"B",IF('Data Source'!Y780&gt;=2,"C",IF('Data Source'!Y780&gt;=1,"D","F")))))),"")</f>
        <v/>
      </c>
      <c r="H780" s="3">
        <f>IF(AND('Data Source'!B780&lt;&gt;"",'Data Source'!S780="A+"),IF('Data Source'!Z780&gt;=5,"A+",IF('Data Source'!Z780&gt;=4,"A",IF('Data Source'!Z780&gt;=3.5,"A-",IF('Data Source'!Z780&gt;=3,"B",IF('Data Source'!Z780&gt;=2,"C",IF('Data Source'!Z780&gt;=1,"D","F")))))),"")</f>
        <v/>
      </c>
      <c r="I780" s="3">
        <f>IF(AND('Data Source'!B780&lt;&gt;"",'Data Source'!S780="A+"),IF('Data Source'!AA780&gt;=5,"A+",IF('Data Source'!AA780&gt;=4,"A",IF('Data Source'!AA780&gt;=3.5,"A-",IF('Data Source'!AA780&gt;=3,"B",IF('Data Source'!AA780&gt;=2,"C",IF('Data Source'!AA780&gt;=1,"D","F")))))),"")</f>
        <v/>
      </c>
      <c r="J780" s="3">
        <f>IF(AND('Data Source'!B780&lt;&gt;"",'Data Source'!S780="A+"),IF('Data Source'!AB780&gt;=5,"A+",IF('Data Source'!AB780&gt;=4,"A",IF('Data Source'!AB780&gt;=3.5,"A-",IF('Data Source'!AB780&gt;=3,"B",IF('Data Source'!AB780&gt;=2,"C",IF('Data Source'!AB780&gt;=1,"D","F")))))),"")</f>
        <v/>
      </c>
      <c r="K780" s="3">
        <f>IF(AND('Data Source'!B780&lt;&gt;"",'Data Source'!S780="A+"),IF('Data Source'!AC780&gt;=5,"A+",IF('Data Source'!AC780&gt;=4,"A",IF('Data Source'!AC780&gt;=3.5,"A-",IF('Data Source'!AC780&gt;=3,"B",IF('Data Source'!AC780&gt;=2,"C",IF('Data Source'!AC780&gt;=1,"D","F")))))),"")</f>
        <v/>
      </c>
      <c r="L780" s="3">
        <f>IF(AND('Data Source'!B780&lt;&gt;"",'Data Source'!S780="A+"),IF('Data Source'!AD780&gt;=5,"A+",IF('Data Source'!AD780&gt;=4,"A",IF('Data Source'!AD780&gt;=3.5,"A-",IF('Data Source'!AD780&gt;=3,"B",IF('Data Source'!AD780&gt;=2,"C",IF('Data Source'!AD780&gt;=1,"D","F")))))),"")</f>
        <v/>
      </c>
      <c r="M780" s="3">
        <f>IF(AND('Data Source'!B780&lt;&gt;"",'Data Source'!S780="A+"),IF('Data Source'!AE780&gt;=5,"A+",IF('Data Source'!AE780&gt;=4,"A",IF('Data Source'!AE780&gt;=3.5,"A-",IF('Data Source'!AE780&gt;=3,"B",IF('Data Source'!AE780&gt;=2,"C",IF('Data Source'!AE780&gt;=1,"D","F")))))),"")</f>
        <v/>
      </c>
      <c r="N780" s="3">
        <f>IF(AND('Data Source'!B780&lt;&gt;"",'Data Source'!S780="A+"),IF('Data Source'!AF780&gt;=5,"A+",IF('Data Source'!AF780&gt;=4,"A",IF('Data Source'!AF780&gt;=3.5,"A-",IF('Data Source'!AF780&gt;=3,"B",IF('Data Source'!AF780&gt;=2,"C",IF('Data Source'!AF780&gt;=1,"D","F")))))),"")</f>
        <v/>
      </c>
      <c r="O780" s="3">
        <f>IF(AND('Data Source'!B780&lt;&gt;"",'Data Source'!S780="A+"),IF('Data Source'!AG780&gt;=5,"A+",IF('Data Source'!AG780&gt;=4,"A",IF('Data Source'!AG780&gt;=3.5,"A-",IF('Data Source'!AG780&gt;=3,"B",IF('Data Source'!AG780&gt;=2,"C",IF('Data Source'!AG780&gt;=1,"D","F")))))),"")</f>
        <v/>
      </c>
      <c r="P780" s="5">
        <f>IF(AND('Data Source'!B780&lt;&gt;"",'Data Source'!S780="A+"),'Data Source'!R780,"")</f>
        <v/>
      </c>
      <c r="Q780" s="3">
        <f>IF(AND('Data Source'!B780&lt;&gt;"",'Data Source'!S780="A+"),'Data Source'!S780,"")</f>
        <v/>
      </c>
    </row>
    <row r="781">
      <c r="A781" s="3">
        <f>IF(AND('Data Source'!B781&lt;&gt;"",'Data Source'!S781="A+"),COUNTIF('Data Source'!$S$3:S781,"A+"),"")</f>
        <v/>
      </c>
      <c r="B781">
        <f>IF(AND('Data Source'!B781&lt;&gt;"",'Data Source'!S781="A+"),'Data Source'!B781,"")</f>
        <v/>
      </c>
      <c r="C781" s="3">
        <f>IF(AND('Data Source'!B781&lt;&gt;"",'Data Source'!S781="A+"),IF('Data Source'!U781&gt;=5,"A+",IF('Data Source'!U781&gt;=4,"A",IF('Data Source'!U781&gt;=3.5,"A-",IF('Data Source'!U781&gt;=3,"B",IF('Data Source'!U781&gt;=2,"C",IF('Data Source'!U781&gt;=1,"D","F")))))),"")</f>
        <v/>
      </c>
      <c r="D781" s="3">
        <f>IF(AND('Data Source'!B781&lt;&gt;"",'Data Source'!S781="A+"),IF('Data Source'!V781&gt;=5,"A+",IF('Data Source'!V781&gt;=4,"A",IF('Data Source'!V781&gt;=3.5,"A-",IF('Data Source'!V781&gt;=3,"B",IF('Data Source'!V781&gt;=2,"C",IF('Data Source'!V781&gt;=1,"D","F")))))),"")</f>
        <v/>
      </c>
      <c r="E781" s="3">
        <f>IF(AND('Data Source'!B781&lt;&gt;"",'Data Source'!S781="A+"),IF('Data Source'!W781&gt;=5,"A+",IF('Data Source'!W781&gt;=4,"A",IF('Data Source'!W781&gt;=3.5,"A-",IF('Data Source'!W781&gt;=3,"B",IF('Data Source'!W781&gt;=2,"C",IF('Data Source'!W781&gt;=1,"D","F")))))),"")</f>
        <v/>
      </c>
      <c r="F781" s="3">
        <f>IF(AND('Data Source'!B781&lt;&gt;"",'Data Source'!S781="A+"),IF('Data Source'!X781&gt;=5,"A+",IF('Data Source'!X781&gt;=4,"A",IF('Data Source'!X781&gt;=3.5,"A-",IF('Data Source'!X781&gt;=3,"B",IF('Data Source'!X781&gt;=2,"C",IF('Data Source'!X781&gt;=1,"D","F")))))),"")</f>
        <v/>
      </c>
      <c r="G781" s="3">
        <f>IF(AND('Data Source'!B781&lt;&gt;"",'Data Source'!S781="A+"),IF('Data Source'!Y781&gt;=5,"A+",IF('Data Source'!Y781&gt;=4,"A",IF('Data Source'!Y781&gt;=3.5,"A-",IF('Data Source'!Y781&gt;=3,"B",IF('Data Source'!Y781&gt;=2,"C",IF('Data Source'!Y781&gt;=1,"D","F")))))),"")</f>
        <v/>
      </c>
      <c r="H781" s="3">
        <f>IF(AND('Data Source'!B781&lt;&gt;"",'Data Source'!S781="A+"),IF('Data Source'!Z781&gt;=5,"A+",IF('Data Source'!Z781&gt;=4,"A",IF('Data Source'!Z781&gt;=3.5,"A-",IF('Data Source'!Z781&gt;=3,"B",IF('Data Source'!Z781&gt;=2,"C",IF('Data Source'!Z781&gt;=1,"D","F")))))),"")</f>
        <v/>
      </c>
      <c r="I781" s="3">
        <f>IF(AND('Data Source'!B781&lt;&gt;"",'Data Source'!S781="A+"),IF('Data Source'!AA781&gt;=5,"A+",IF('Data Source'!AA781&gt;=4,"A",IF('Data Source'!AA781&gt;=3.5,"A-",IF('Data Source'!AA781&gt;=3,"B",IF('Data Source'!AA781&gt;=2,"C",IF('Data Source'!AA781&gt;=1,"D","F")))))),"")</f>
        <v/>
      </c>
      <c r="J781" s="3">
        <f>IF(AND('Data Source'!B781&lt;&gt;"",'Data Source'!S781="A+"),IF('Data Source'!AB781&gt;=5,"A+",IF('Data Source'!AB781&gt;=4,"A",IF('Data Source'!AB781&gt;=3.5,"A-",IF('Data Source'!AB781&gt;=3,"B",IF('Data Source'!AB781&gt;=2,"C",IF('Data Source'!AB781&gt;=1,"D","F")))))),"")</f>
        <v/>
      </c>
      <c r="K781" s="3">
        <f>IF(AND('Data Source'!B781&lt;&gt;"",'Data Source'!S781="A+"),IF('Data Source'!AC781&gt;=5,"A+",IF('Data Source'!AC781&gt;=4,"A",IF('Data Source'!AC781&gt;=3.5,"A-",IF('Data Source'!AC781&gt;=3,"B",IF('Data Source'!AC781&gt;=2,"C",IF('Data Source'!AC781&gt;=1,"D","F")))))),"")</f>
        <v/>
      </c>
      <c r="L781" s="3">
        <f>IF(AND('Data Source'!B781&lt;&gt;"",'Data Source'!S781="A+"),IF('Data Source'!AD781&gt;=5,"A+",IF('Data Source'!AD781&gt;=4,"A",IF('Data Source'!AD781&gt;=3.5,"A-",IF('Data Source'!AD781&gt;=3,"B",IF('Data Source'!AD781&gt;=2,"C",IF('Data Source'!AD781&gt;=1,"D","F")))))),"")</f>
        <v/>
      </c>
      <c r="M781" s="3">
        <f>IF(AND('Data Source'!B781&lt;&gt;"",'Data Source'!S781="A+"),IF('Data Source'!AE781&gt;=5,"A+",IF('Data Source'!AE781&gt;=4,"A",IF('Data Source'!AE781&gt;=3.5,"A-",IF('Data Source'!AE781&gt;=3,"B",IF('Data Source'!AE781&gt;=2,"C",IF('Data Source'!AE781&gt;=1,"D","F")))))),"")</f>
        <v/>
      </c>
      <c r="N781" s="3">
        <f>IF(AND('Data Source'!B781&lt;&gt;"",'Data Source'!S781="A+"),IF('Data Source'!AF781&gt;=5,"A+",IF('Data Source'!AF781&gt;=4,"A",IF('Data Source'!AF781&gt;=3.5,"A-",IF('Data Source'!AF781&gt;=3,"B",IF('Data Source'!AF781&gt;=2,"C",IF('Data Source'!AF781&gt;=1,"D","F")))))),"")</f>
        <v/>
      </c>
      <c r="O781" s="3">
        <f>IF(AND('Data Source'!B781&lt;&gt;"",'Data Source'!S781="A+"),IF('Data Source'!AG781&gt;=5,"A+",IF('Data Source'!AG781&gt;=4,"A",IF('Data Source'!AG781&gt;=3.5,"A-",IF('Data Source'!AG781&gt;=3,"B",IF('Data Source'!AG781&gt;=2,"C",IF('Data Source'!AG781&gt;=1,"D","F")))))),"")</f>
        <v/>
      </c>
      <c r="P781" s="5">
        <f>IF(AND('Data Source'!B781&lt;&gt;"",'Data Source'!S781="A+"),'Data Source'!R781,"")</f>
        <v/>
      </c>
      <c r="Q781" s="3">
        <f>IF(AND('Data Source'!B781&lt;&gt;"",'Data Source'!S781="A+"),'Data Source'!S781,"")</f>
        <v/>
      </c>
    </row>
    <row r="782">
      <c r="A782" s="3">
        <f>IF(AND('Data Source'!B782&lt;&gt;"",'Data Source'!S782="A+"),COUNTIF('Data Source'!$S$3:S782,"A+"),"")</f>
        <v/>
      </c>
      <c r="B782">
        <f>IF(AND('Data Source'!B782&lt;&gt;"",'Data Source'!S782="A+"),'Data Source'!B782,"")</f>
        <v/>
      </c>
      <c r="C782" s="3">
        <f>IF(AND('Data Source'!B782&lt;&gt;"",'Data Source'!S782="A+"),IF('Data Source'!U782&gt;=5,"A+",IF('Data Source'!U782&gt;=4,"A",IF('Data Source'!U782&gt;=3.5,"A-",IF('Data Source'!U782&gt;=3,"B",IF('Data Source'!U782&gt;=2,"C",IF('Data Source'!U782&gt;=1,"D","F")))))),"")</f>
        <v/>
      </c>
      <c r="D782" s="3">
        <f>IF(AND('Data Source'!B782&lt;&gt;"",'Data Source'!S782="A+"),IF('Data Source'!V782&gt;=5,"A+",IF('Data Source'!V782&gt;=4,"A",IF('Data Source'!V782&gt;=3.5,"A-",IF('Data Source'!V782&gt;=3,"B",IF('Data Source'!V782&gt;=2,"C",IF('Data Source'!V782&gt;=1,"D","F")))))),"")</f>
        <v/>
      </c>
      <c r="E782" s="3">
        <f>IF(AND('Data Source'!B782&lt;&gt;"",'Data Source'!S782="A+"),IF('Data Source'!W782&gt;=5,"A+",IF('Data Source'!W782&gt;=4,"A",IF('Data Source'!W782&gt;=3.5,"A-",IF('Data Source'!W782&gt;=3,"B",IF('Data Source'!W782&gt;=2,"C",IF('Data Source'!W782&gt;=1,"D","F")))))),"")</f>
        <v/>
      </c>
      <c r="F782" s="3">
        <f>IF(AND('Data Source'!B782&lt;&gt;"",'Data Source'!S782="A+"),IF('Data Source'!X782&gt;=5,"A+",IF('Data Source'!X782&gt;=4,"A",IF('Data Source'!X782&gt;=3.5,"A-",IF('Data Source'!X782&gt;=3,"B",IF('Data Source'!X782&gt;=2,"C",IF('Data Source'!X782&gt;=1,"D","F")))))),"")</f>
        <v/>
      </c>
      <c r="G782" s="3">
        <f>IF(AND('Data Source'!B782&lt;&gt;"",'Data Source'!S782="A+"),IF('Data Source'!Y782&gt;=5,"A+",IF('Data Source'!Y782&gt;=4,"A",IF('Data Source'!Y782&gt;=3.5,"A-",IF('Data Source'!Y782&gt;=3,"B",IF('Data Source'!Y782&gt;=2,"C",IF('Data Source'!Y782&gt;=1,"D","F")))))),"")</f>
        <v/>
      </c>
      <c r="H782" s="3">
        <f>IF(AND('Data Source'!B782&lt;&gt;"",'Data Source'!S782="A+"),IF('Data Source'!Z782&gt;=5,"A+",IF('Data Source'!Z782&gt;=4,"A",IF('Data Source'!Z782&gt;=3.5,"A-",IF('Data Source'!Z782&gt;=3,"B",IF('Data Source'!Z782&gt;=2,"C",IF('Data Source'!Z782&gt;=1,"D","F")))))),"")</f>
        <v/>
      </c>
      <c r="I782" s="3">
        <f>IF(AND('Data Source'!B782&lt;&gt;"",'Data Source'!S782="A+"),IF('Data Source'!AA782&gt;=5,"A+",IF('Data Source'!AA782&gt;=4,"A",IF('Data Source'!AA782&gt;=3.5,"A-",IF('Data Source'!AA782&gt;=3,"B",IF('Data Source'!AA782&gt;=2,"C",IF('Data Source'!AA782&gt;=1,"D","F")))))),"")</f>
        <v/>
      </c>
      <c r="J782" s="3">
        <f>IF(AND('Data Source'!B782&lt;&gt;"",'Data Source'!S782="A+"),IF('Data Source'!AB782&gt;=5,"A+",IF('Data Source'!AB782&gt;=4,"A",IF('Data Source'!AB782&gt;=3.5,"A-",IF('Data Source'!AB782&gt;=3,"B",IF('Data Source'!AB782&gt;=2,"C",IF('Data Source'!AB782&gt;=1,"D","F")))))),"")</f>
        <v/>
      </c>
      <c r="K782" s="3">
        <f>IF(AND('Data Source'!B782&lt;&gt;"",'Data Source'!S782="A+"),IF('Data Source'!AC782&gt;=5,"A+",IF('Data Source'!AC782&gt;=4,"A",IF('Data Source'!AC782&gt;=3.5,"A-",IF('Data Source'!AC782&gt;=3,"B",IF('Data Source'!AC782&gt;=2,"C",IF('Data Source'!AC782&gt;=1,"D","F")))))),"")</f>
        <v/>
      </c>
      <c r="L782" s="3">
        <f>IF(AND('Data Source'!B782&lt;&gt;"",'Data Source'!S782="A+"),IF('Data Source'!AD782&gt;=5,"A+",IF('Data Source'!AD782&gt;=4,"A",IF('Data Source'!AD782&gt;=3.5,"A-",IF('Data Source'!AD782&gt;=3,"B",IF('Data Source'!AD782&gt;=2,"C",IF('Data Source'!AD782&gt;=1,"D","F")))))),"")</f>
        <v/>
      </c>
      <c r="M782" s="3">
        <f>IF(AND('Data Source'!B782&lt;&gt;"",'Data Source'!S782="A+"),IF('Data Source'!AE782&gt;=5,"A+",IF('Data Source'!AE782&gt;=4,"A",IF('Data Source'!AE782&gt;=3.5,"A-",IF('Data Source'!AE782&gt;=3,"B",IF('Data Source'!AE782&gt;=2,"C",IF('Data Source'!AE782&gt;=1,"D","F")))))),"")</f>
        <v/>
      </c>
      <c r="N782" s="3">
        <f>IF(AND('Data Source'!B782&lt;&gt;"",'Data Source'!S782="A+"),IF('Data Source'!AF782&gt;=5,"A+",IF('Data Source'!AF782&gt;=4,"A",IF('Data Source'!AF782&gt;=3.5,"A-",IF('Data Source'!AF782&gt;=3,"B",IF('Data Source'!AF782&gt;=2,"C",IF('Data Source'!AF782&gt;=1,"D","F")))))),"")</f>
        <v/>
      </c>
      <c r="O782" s="3">
        <f>IF(AND('Data Source'!B782&lt;&gt;"",'Data Source'!S782="A+"),IF('Data Source'!AG782&gt;=5,"A+",IF('Data Source'!AG782&gt;=4,"A",IF('Data Source'!AG782&gt;=3.5,"A-",IF('Data Source'!AG782&gt;=3,"B",IF('Data Source'!AG782&gt;=2,"C",IF('Data Source'!AG782&gt;=1,"D","F")))))),"")</f>
        <v/>
      </c>
      <c r="P782" s="5">
        <f>IF(AND('Data Source'!B782&lt;&gt;"",'Data Source'!S782="A+"),'Data Source'!R782,"")</f>
        <v/>
      </c>
      <c r="Q782" s="3">
        <f>IF(AND('Data Source'!B782&lt;&gt;"",'Data Source'!S782="A+"),'Data Source'!S782,"")</f>
        <v/>
      </c>
    </row>
    <row r="783">
      <c r="A783" s="3">
        <f>IF(AND('Data Source'!B783&lt;&gt;"",'Data Source'!S783="A+"),COUNTIF('Data Source'!$S$3:S783,"A+"),"")</f>
        <v/>
      </c>
      <c r="B783">
        <f>IF(AND('Data Source'!B783&lt;&gt;"",'Data Source'!S783="A+"),'Data Source'!B783,"")</f>
        <v/>
      </c>
      <c r="C783" s="3">
        <f>IF(AND('Data Source'!B783&lt;&gt;"",'Data Source'!S783="A+"),IF('Data Source'!U783&gt;=5,"A+",IF('Data Source'!U783&gt;=4,"A",IF('Data Source'!U783&gt;=3.5,"A-",IF('Data Source'!U783&gt;=3,"B",IF('Data Source'!U783&gt;=2,"C",IF('Data Source'!U783&gt;=1,"D","F")))))),"")</f>
        <v/>
      </c>
      <c r="D783" s="3">
        <f>IF(AND('Data Source'!B783&lt;&gt;"",'Data Source'!S783="A+"),IF('Data Source'!V783&gt;=5,"A+",IF('Data Source'!V783&gt;=4,"A",IF('Data Source'!V783&gt;=3.5,"A-",IF('Data Source'!V783&gt;=3,"B",IF('Data Source'!V783&gt;=2,"C",IF('Data Source'!V783&gt;=1,"D","F")))))),"")</f>
        <v/>
      </c>
      <c r="E783" s="3">
        <f>IF(AND('Data Source'!B783&lt;&gt;"",'Data Source'!S783="A+"),IF('Data Source'!W783&gt;=5,"A+",IF('Data Source'!W783&gt;=4,"A",IF('Data Source'!W783&gt;=3.5,"A-",IF('Data Source'!W783&gt;=3,"B",IF('Data Source'!W783&gt;=2,"C",IF('Data Source'!W783&gt;=1,"D","F")))))),"")</f>
        <v/>
      </c>
      <c r="F783" s="3">
        <f>IF(AND('Data Source'!B783&lt;&gt;"",'Data Source'!S783="A+"),IF('Data Source'!X783&gt;=5,"A+",IF('Data Source'!X783&gt;=4,"A",IF('Data Source'!X783&gt;=3.5,"A-",IF('Data Source'!X783&gt;=3,"B",IF('Data Source'!X783&gt;=2,"C",IF('Data Source'!X783&gt;=1,"D","F")))))),"")</f>
        <v/>
      </c>
      <c r="G783" s="3">
        <f>IF(AND('Data Source'!B783&lt;&gt;"",'Data Source'!S783="A+"),IF('Data Source'!Y783&gt;=5,"A+",IF('Data Source'!Y783&gt;=4,"A",IF('Data Source'!Y783&gt;=3.5,"A-",IF('Data Source'!Y783&gt;=3,"B",IF('Data Source'!Y783&gt;=2,"C",IF('Data Source'!Y783&gt;=1,"D","F")))))),"")</f>
        <v/>
      </c>
      <c r="H783" s="3">
        <f>IF(AND('Data Source'!B783&lt;&gt;"",'Data Source'!S783="A+"),IF('Data Source'!Z783&gt;=5,"A+",IF('Data Source'!Z783&gt;=4,"A",IF('Data Source'!Z783&gt;=3.5,"A-",IF('Data Source'!Z783&gt;=3,"B",IF('Data Source'!Z783&gt;=2,"C",IF('Data Source'!Z783&gt;=1,"D","F")))))),"")</f>
        <v/>
      </c>
      <c r="I783" s="3">
        <f>IF(AND('Data Source'!B783&lt;&gt;"",'Data Source'!S783="A+"),IF('Data Source'!AA783&gt;=5,"A+",IF('Data Source'!AA783&gt;=4,"A",IF('Data Source'!AA783&gt;=3.5,"A-",IF('Data Source'!AA783&gt;=3,"B",IF('Data Source'!AA783&gt;=2,"C",IF('Data Source'!AA783&gt;=1,"D","F")))))),"")</f>
        <v/>
      </c>
      <c r="J783" s="3">
        <f>IF(AND('Data Source'!B783&lt;&gt;"",'Data Source'!S783="A+"),IF('Data Source'!AB783&gt;=5,"A+",IF('Data Source'!AB783&gt;=4,"A",IF('Data Source'!AB783&gt;=3.5,"A-",IF('Data Source'!AB783&gt;=3,"B",IF('Data Source'!AB783&gt;=2,"C",IF('Data Source'!AB783&gt;=1,"D","F")))))),"")</f>
        <v/>
      </c>
      <c r="K783" s="3">
        <f>IF(AND('Data Source'!B783&lt;&gt;"",'Data Source'!S783="A+"),IF('Data Source'!AC783&gt;=5,"A+",IF('Data Source'!AC783&gt;=4,"A",IF('Data Source'!AC783&gt;=3.5,"A-",IF('Data Source'!AC783&gt;=3,"B",IF('Data Source'!AC783&gt;=2,"C",IF('Data Source'!AC783&gt;=1,"D","F")))))),"")</f>
        <v/>
      </c>
      <c r="L783" s="3">
        <f>IF(AND('Data Source'!B783&lt;&gt;"",'Data Source'!S783="A+"),IF('Data Source'!AD783&gt;=5,"A+",IF('Data Source'!AD783&gt;=4,"A",IF('Data Source'!AD783&gt;=3.5,"A-",IF('Data Source'!AD783&gt;=3,"B",IF('Data Source'!AD783&gt;=2,"C",IF('Data Source'!AD783&gt;=1,"D","F")))))),"")</f>
        <v/>
      </c>
      <c r="M783" s="3">
        <f>IF(AND('Data Source'!B783&lt;&gt;"",'Data Source'!S783="A+"),IF('Data Source'!AE783&gt;=5,"A+",IF('Data Source'!AE783&gt;=4,"A",IF('Data Source'!AE783&gt;=3.5,"A-",IF('Data Source'!AE783&gt;=3,"B",IF('Data Source'!AE783&gt;=2,"C",IF('Data Source'!AE783&gt;=1,"D","F")))))),"")</f>
        <v/>
      </c>
      <c r="N783" s="3">
        <f>IF(AND('Data Source'!B783&lt;&gt;"",'Data Source'!S783="A+"),IF('Data Source'!AF783&gt;=5,"A+",IF('Data Source'!AF783&gt;=4,"A",IF('Data Source'!AF783&gt;=3.5,"A-",IF('Data Source'!AF783&gt;=3,"B",IF('Data Source'!AF783&gt;=2,"C",IF('Data Source'!AF783&gt;=1,"D","F")))))),"")</f>
        <v/>
      </c>
      <c r="O783" s="3">
        <f>IF(AND('Data Source'!B783&lt;&gt;"",'Data Source'!S783="A+"),IF('Data Source'!AG783&gt;=5,"A+",IF('Data Source'!AG783&gt;=4,"A",IF('Data Source'!AG783&gt;=3.5,"A-",IF('Data Source'!AG783&gt;=3,"B",IF('Data Source'!AG783&gt;=2,"C",IF('Data Source'!AG783&gt;=1,"D","F")))))),"")</f>
        <v/>
      </c>
      <c r="P783" s="5">
        <f>IF(AND('Data Source'!B783&lt;&gt;"",'Data Source'!S783="A+"),'Data Source'!R783,"")</f>
        <v/>
      </c>
      <c r="Q783" s="3">
        <f>IF(AND('Data Source'!B783&lt;&gt;"",'Data Source'!S783="A+"),'Data Source'!S783,"")</f>
        <v/>
      </c>
    </row>
    <row r="784">
      <c r="A784" s="3">
        <f>IF(AND('Data Source'!B784&lt;&gt;"",'Data Source'!S784="A+"),COUNTIF('Data Source'!$S$3:S784,"A+"),"")</f>
        <v/>
      </c>
      <c r="B784">
        <f>IF(AND('Data Source'!B784&lt;&gt;"",'Data Source'!S784="A+"),'Data Source'!B784,"")</f>
        <v/>
      </c>
      <c r="C784" s="3">
        <f>IF(AND('Data Source'!B784&lt;&gt;"",'Data Source'!S784="A+"),IF('Data Source'!U784&gt;=5,"A+",IF('Data Source'!U784&gt;=4,"A",IF('Data Source'!U784&gt;=3.5,"A-",IF('Data Source'!U784&gt;=3,"B",IF('Data Source'!U784&gt;=2,"C",IF('Data Source'!U784&gt;=1,"D","F")))))),"")</f>
        <v/>
      </c>
      <c r="D784" s="3">
        <f>IF(AND('Data Source'!B784&lt;&gt;"",'Data Source'!S784="A+"),IF('Data Source'!V784&gt;=5,"A+",IF('Data Source'!V784&gt;=4,"A",IF('Data Source'!V784&gt;=3.5,"A-",IF('Data Source'!V784&gt;=3,"B",IF('Data Source'!V784&gt;=2,"C",IF('Data Source'!V784&gt;=1,"D","F")))))),"")</f>
        <v/>
      </c>
      <c r="E784" s="3">
        <f>IF(AND('Data Source'!B784&lt;&gt;"",'Data Source'!S784="A+"),IF('Data Source'!W784&gt;=5,"A+",IF('Data Source'!W784&gt;=4,"A",IF('Data Source'!W784&gt;=3.5,"A-",IF('Data Source'!W784&gt;=3,"B",IF('Data Source'!W784&gt;=2,"C",IF('Data Source'!W784&gt;=1,"D","F")))))),"")</f>
        <v/>
      </c>
      <c r="F784" s="3">
        <f>IF(AND('Data Source'!B784&lt;&gt;"",'Data Source'!S784="A+"),IF('Data Source'!X784&gt;=5,"A+",IF('Data Source'!X784&gt;=4,"A",IF('Data Source'!X784&gt;=3.5,"A-",IF('Data Source'!X784&gt;=3,"B",IF('Data Source'!X784&gt;=2,"C",IF('Data Source'!X784&gt;=1,"D","F")))))),"")</f>
        <v/>
      </c>
      <c r="G784" s="3">
        <f>IF(AND('Data Source'!B784&lt;&gt;"",'Data Source'!S784="A+"),IF('Data Source'!Y784&gt;=5,"A+",IF('Data Source'!Y784&gt;=4,"A",IF('Data Source'!Y784&gt;=3.5,"A-",IF('Data Source'!Y784&gt;=3,"B",IF('Data Source'!Y784&gt;=2,"C",IF('Data Source'!Y784&gt;=1,"D","F")))))),"")</f>
        <v/>
      </c>
      <c r="H784" s="3">
        <f>IF(AND('Data Source'!B784&lt;&gt;"",'Data Source'!S784="A+"),IF('Data Source'!Z784&gt;=5,"A+",IF('Data Source'!Z784&gt;=4,"A",IF('Data Source'!Z784&gt;=3.5,"A-",IF('Data Source'!Z784&gt;=3,"B",IF('Data Source'!Z784&gt;=2,"C",IF('Data Source'!Z784&gt;=1,"D","F")))))),"")</f>
        <v/>
      </c>
      <c r="I784" s="3">
        <f>IF(AND('Data Source'!B784&lt;&gt;"",'Data Source'!S784="A+"),IF('Data Source'!AA784&gt;=5,"A+",IF('Data Source'!AA784&gt;=4,"A",IF('Data Source'!AA784&gt;=3.5,"A-",IF('Data Source'!AA784&gt;=3,"B",IF('Data Source'!AA784&gt;=2,"C",IF('Data Source'!AA784&gt;=1,"D","F")))))),"")</f>
        <v/>
      </c>
      <c r="J784" s="3">
        <f>IF(AND('Data Source'!B784&lt;&gt;"",'Data Source'!S784="A+"),IF('Data Source'!AB784&gt;=5,"A+",IF('Data Source'!AB784&gt;=4,"A",IF('Data Source'!AB784&gt;=3.5,"A-",IF('Data Source'!AB784&gt;=3,"B",IF('Data Source'!AB784&gt;=2,"C",IF('Data Source'!AB784&gt;=1,"D","F")))))),"")</f>
        <v/>
      </c>
      <c r="K784" s="3">
        <f>IF(AND('Data Source'!B784&lt;&gt;"",'Data Source'!S784="A+"),IF('Data Source'!AC784&gt;=5,"A+",IF('Data Source'!AC784&gt;=4,"A",IF('Data Source'!AC784&gt;=3.5,"A-",IF('Data Source'!AC784&gt;=3,"B",IF('Data Source'!AC784&gt;=2,"C",IF('Data Source'!AC784&gt;=1,"D","F")))))),"")</f>
        <v/>
      </c>
      <c r="L784" s="3">
        <f>IF(AND('Data Source'!B784&lt;&gt;"",'Data Source'!S784="A+"),IF('Data Source'!AD784&gt;=5,"A+",IF('Data Source'!AD784&gt;=4,"A",IF('Data Source'!AD784&gt;=3.5,"A-",IF('Data Source'!AD784&gt;=3,"B",IF('Data Source'!AD784&gt;=2,"C",IF('Data Source'!AD784&gt;=1,"D","F")))))),"")</f>
        <v/>
      </c>
      <c r="M784" s="3">
        <f>IF(AND('Data Source'!B784&lt;&gt;"",'Data Source'!S784="A+"),IF('Data Source'!AE784&gt;=5,"A+",IF('Data Source'!AE784&gt;=4,"A",IF('Data Source'!AE784&gt;=3.5,"A-",IF('Data Source'!AE784&gt;=3,"B",IF('Data Source'!AE784&gt;=2,"C",IF('Data Source'!AE784&gt;=1,"D","F")))))),"")</f>
        <v/>
      </c>
      <c r="N784" s="3">
        <f>IF(AND('Data Source'!B784&lt;&gt;"",'Data Source'!S784="A+"),IF('Data Source'!AF784&gt;=5,"A+",IF('Data Source'!AF784&gt;=4,"A",IF('Data Source'!AF784&gt;=3.5,"A-",IF('Data Source'!AF784&gt;=3,"B",IF('Data Source'!AF784&gt;=2,"C",IF('Data Source'!AF784&gt;=1,"D","F")))))),"")</f>
        <v/>
      </c>
      <c r="O784" s="3">
        <f>IF(AND('Data Source'!B784&lt;&gt;"",'Data Source'!S784="A+"),IF('Data Source'!AG784&gt;=5,"A+",IF('Data Source'!AG784&gt;=4,"A",IF('Data Source'!AG784&gt;=3.5,"A-",IF('Data Source'!AG784&gt;=3,"B",IF('Data Source'!AG784&gt;=2,"C",IF('Data Source'!AG784&gt;=1,"D","F")))))),"")</f>
        <v/>
      </c>
      <c r="P784" s="5">
        <f>IF(AND('Data Source'!B784&lt;&gt;"",'Data Source'!S784="A+"),'Data Source'!R784,"")</f>
        <v/>
      </c>
      <c r="Q784" s="3">
        <f>IF(AND('Data Source'!B784&lt;&gt;"",'Data Source'!S784="A+"),'Data Source'!S784,"")</f>
        <v/>
      </c>
    </row>
    <row r="785">
      <c r="A785" s="3">
        <f>IF(AND('Data Source'!B785&lt;&gt;"",'Data Source'!S785="A+"),COUNTIF('Data Source'!$S$3:S785,"A+"),"")</f>
        <v/>
      </c>
      <c r="B785">
        <f>IF(AND('Data Source'!B785&lt;&gt;"",'Data Source'!S785="A+"),'Data Source'!B785,"")</f>
        <v/>
      </c>
      <c r="C785" s="3">
        <f>IF(AND('Data Source'!B785&lt;&gt;"",'Data Source'!S785="A+"),IF('Data Source'!U785&gt;=5,"A+",IF('Data Source'!U785&gt;=4,"A",IF('Data Source'!U785&gt;=3.5,"A-",IF('Data Source'!U785&gt;=3,"B",IF('Data Source'!U785&gt;=2,"C",IF('Data Source'!U785&gt;=1,"D","F")))))),"")</f>
        <v/>
      </c>
      <c r="D785" s="3">
        <f>IF(AND('Data Source'!B785&lt;&gt;"",'Data Source'!S785="A+"),IF('Data Source'!V785&gt;=5,"A+",IF('Data Source'!V785&gt;=4,"A",IF('Data Source'!V785&gt;=3.5,"A-",IF('Data Source'!V785&gt;=3,"B",IF('Data Source'!V785&gt;=2,"C",IF('Data Source'!V785&gt;=1,"D","F")))))),"")</f>
        <v/>
      </c>
      <c r="E785" s="3">
        <f>IF(AND('Data Source'!B785&lt;&gt;"",'Data Source'!S785="A+"),IF('Data Source'!W785&gt;=5,"A+",IF('Data Source'!W785&gt;=4,"A",IF('Data Source'!W785&gt;=3.5,"A-",IF('Data Source'!W785&gt;=3,"B",IF('Data Source'!W785&gt;=2,"C",IF('Data Source'!W785&gt;=1,"D","F")))))),"")</f>
        <v/>
      </c>
      <c r="F785" s="3">
        <f>IF(AND('Data Source'!B785&lt;&gt;"",'Data Source'!S785="A+"),IF('Data Source'!X785&gt;=5,"A+",IF('Data Source'!X785&gt;=4,"A",IF('Data Source'!X785&gt;=3.5,"A-",IF('Data Source'!X785&gt;=3,"B",IF('Data Source'!X785&gt;=2,"C",IF('Data Source'!X785&gt;=1,"D","F")))))),"")</f>
        <v/>
      </c>
      <c r="G785" s="3">
        <f>IF(AND('Data Source'!B785&lt;&gt;"",'Data Source'!S785="A+"),IF('Data Source'!Y785&gt;=5,"A+",IF('Data Source'!Y785&gt;=4,"A",IF('Data Source'!Y785&gt;=3.5,"A-",IF('Data Source'!Y785&gt;=3,"B",IF('Data Source'!Y785&gt;=2,"C",IF('Data Source'!Y785&gt;=1,"D","F")))))),"")</f>
        <v/>
      </c>
      <c r="H785" s="3">
        <f>IF(AND('Data Source'!B785&lt;&gt;"",'Data Source'!S785="A+"),IF('Data Source'!Z785&gt;=5,"A+",IF('Data Source'!Z785&gt;=4,"A",IF('Data Source'!Z785&gt;=3.5,"A-",IF('Data Source'!Z785&gt;=3,"B",IF('Data Source'!Z785&gt;=2,"C",IF('Data Source'!Z785&gt;=1,"D","F")))))),"")</f>
        <v/>
      </c>
      <c r="I785" s="3">
        <f>IF(AND('Data Source'!B785&lt;&gt;"",'Data Source'!S785="A+"),IF('Data Source'!AA785&gt;=5,"A+",IF('Data Source'!AA785&gt;=4,"A",IF('Data Source'!AA785&gt;=3.5,"A-",IF('Data Source'!AA785&gt;=3,"B",IF('Data Source'!AA785&gt;=2,"C",IF('Data Source'!AA785&gt;=1,"D","F")))))),"")</f>
        <v/>
      </c>
      <c r="J785" s="3">
        <f>IF(AND('Data Source'!B785&lt;&gt;"",'Data Source'!S785="A+"),IF('Data Source'!AB785&gt;=5,"A+",IF('Data Source'!AB785&gt;=4,"A",IF('Data Source'!AB785&gt;=3.5,"A-",IF('Data Source'!AB785&gt;=3,"B",IF('Data Source'!AB785&gt;=2,"C",IF('Data Source'!AB785&gt;=1,"D","F")))))),"")</f>
        <v/>
      </c>
      <c r="K785" s="3">
        <f>IF(AND('Data Source'!B785&lt;&gt;"",'Data Source'!S785="A+"),IF('Data Source'!AC785&gt;=5,"A+",IF('Data Source'!AC785&gt;=4,"A",IF('Data Source'!AC785&gt;=3.5,"A-",IF('Data Source'!AC785&gt;=3,"B",IF('Data Source'!AC785&gt;=2,"C",IF('Data Source'!AC785&gt;=1,"D","F")))))),"")</f>
        <v/>
      </c>
      <c r="L785" s="3">
        <f>IF(AND('Data Source'!B785&lt;&gt;"",'Data Source'!S785="A+"),IF('Data Source'!AD785&gt;=5,"A+",IF('Data Source'!AD785&gt;=4,"A",IF('Data Source'!AD785&gt;=3.5,"A-",IF('Data Source'!AD785&gt;=3,"B",IF('Data Source'!AD785&gt;=2,"C",IF('Data Source'!AD785&gt;=1,"D","F")))))),"")</f>
        <v/>
      </c>
      <c r="M785" s="3">
        <f>IF(AND('Data Source'!B785&lt;&gt;"",'Data Source'!S785="A+"),IF('Data Source'!AE785&gt;=5,"A+",IF('Data Source'!AE785&gt;=4,"A",IF('Data Source'!AE785&gt;=3.5,"A-",IF('Data Source'!AE785&gt;=3,"B",IF('Data Source'!AE785&gt;=2,"C",IF('Data Source'!AE785&gt;=1,"D","F")))))),"")</f>
        <v/>
      </c>
      <c r="N785" s="3">
        <f>IF(AND('Data Source'!B785&lt;&gt;"",'Data Source'!S785="A+"),IF('Data Source'!AF785&gt;=5,"A+",IF('Data Source'!AF785&gt;=4,"A",IF('Data Source'!AF785&gt;=3.5,"A-",IF('Data Source'!AF785&gt;=3,"B",IF('Data Source'!AF785&gt;=2,"C",IF('Data Source'!AF785&gt;=1,"D","F")))))),"")</f>
        <v/>
      </c>
      <c r="O785" s="3">
        <f>IF(AND('Data Source'!B785&lt;&gt;"",'Data Source'!S785="A+"),IF('Data Source'!AG785&gt;=5,"A+",IF('Data Source'!AG785&gt;=4,"A",IF('Data Source'!AG785&gt;=3.5,"A-",IF('Data Source'!AG785&gt;=3,"B",IF('Data Source'!AG785&gt;=2,"C",IF('Data Source'!AG785&gt;=1,"D","F")))))),"")</f>
        <v/>
      </c>
      <c r="P785" s="5">
        <f>IF(AND('Data Source'!B785&lt;&gt;"",'Data Source'!S785="A+"),'Data Source'!R785,"")</f>
        <v/>
      </c>
      <c r="Q785" s="3">
        <f>IF(AND('Data Source'!B785&lt;&gt;"",'Data Source'!S785="A+"),'Data Source'!S785,"")</f>
        <v/>
      </c>
    </row>
    <row r="786">
      <c r="A786" s="3">
        <f>IF(AND('Data Source'!B786&lt;&gt;"",'Data Source'!S786="A+"),COUNTIF('Data Source'!$S$3:S786,"A+"),"")</f>
        <v/>
      </c>
      <c r="B786">
        <f>IF(AND('Data Source'!B786&lt;&gt;"",'Data Source'!S786="A+"),'Data Source'!B786,"")</f>
        <v/>
      </c>
      <c r="C786" s="3">
        <f>IF(AND('Data Source'!B786&lt;&gt;"",'Data Source'!S786="A+"),IF('Data Source'!U786&gt;=5,"A+",IF('Data Source'!U786&gt;=4,"A",IF('Data Source'!U786&gt;=3.5,"A-",IF('Data Source'!U786&gt;=3,"B",IF('Data Source'!U786&gt;=2,"C",IF('Data Source'!U786&gt;=1,"D","F")))))),"")</f>
        <v/>
      </c>
      <c r="D786" s="3">
        <f>IF(AND('Data Source'!B786&lt;&gt;"",'Data Source'!S786="A+"),IF('Data Source'!V786&gt;=5,"A+",IF('Data Source'!V786&gt;=4,"A",IF('Data Source'!V786&gt;=3.5,"A-",IF('Data Source'!V786&gt;=3,"B",IF('Data Source'!V786&gt;=2,"C",IF('Data Source'!V786&gt;=1,"D","F")))))),"")</f>
        <v/>
      </c>
      <c r="E786" s="3">
        <f>IF(AND('Data Source'!B786&lt;&gt;"",'Data Source'!S786="A+"),IF('Data Source'!W786&gt;=5,"A+",IF('Data Source'!W786&gt;=4,"A",IF('Data Source'!W786&gt;=3.5,"A-",IF('Data Source'!W786&gt;=3,"B",IF('Data Source'!W786&gt;=2,"C",IF('Data Source'!W786&gt;=1,"D","F")))))),"")</f>
        <v/>
      </c>
      <c r="F786" s="3">
        <f>IF(AND('Data Source'!B786&lt;&gt;"",'Data Source'!S786="A+"),IF('Data Source'!X786&gt;=5,"A+",IF('Data Source'!X786&gt;=4,"A",IF('Data Source'!X786&gt;=3.5,"A-",IF('Data Source'!X786&gt;=3,"B",IF('Data Source'!X786&gt;=2,"C",IF('Data Source'!X786&gt;=1,"D","F")))))),"")</f>
        <v/>
      </c>
      <c r="G786" s="3">
        <f>IF(AND('Data Source'!B786&lt;&gt;"",'Data Source'!S786="A+"),IF('Data Source'!Y786&gt;=5,"A+",IF('Data Source'!Y786&gt;=4,"A",IF('Data Source'!Y786&gt;=3.5,"A-",IF('Data Source'!Y786&gt;=3,"B",IF('Data Source'!Y786&gt;=2,"C",IF('Data Source'!Y786&gt;=1,"D","F")))))),"")</f>
        <v/>
      </c>
      <c r="H786" s="3">
        <f>IF(AND('Data Source'!B786&lt;&gt;"",'Data Source'!S786="A+"),IF('Data Source'!Z786&gt;=5,"A+",IF('Data Source'!Z786&gt;=4,"A",IF('Data Source'!Z786&gt;=3.5,"A-",IF('Data Source'!Z786&gt;=3,"B",IF('Data Source'!Z786&gt;=2,"C",IF('Data Source'!Z786&gt;=1,"D","F")))))),"")</f>
        <v/>
      </c>
      <c r="I786" s="3">
        <f>IF(AND('Data Source'!B786&lt;&gt;"",'Data Source'!S786="A+"),IF('Data Source'!AA786&gt;=5,"A+",IF('Data Source'!AA786&gt;=4,"A",IF('Data Source'!AA786&gt;=3.5,"A-",IF('Data Source'!AA786&gt;=3,"B",IF('Data Source'!AA786&gt;=2,"C",IF('Data Source'!AA786&gt;=1,"D","F")))))),"")</f>
        <v/>
      </c>
      <c r="J786" s="3">
        <f>IF(AND('Data Source'!B786&lt;&gt;"",'Data Source'!S786="A+"),IF('Data Source'!AB786&gt;=5,"A+",IF('Data Source'!AB786&gt;=4,"A",IF('Data Source'!AB786&gt;=3.5,"A-",IF('Data Source'!AB786&gt;=3,"B",IF('Data Source'!AB786&gt;=2,"C",IF('Data Source'!AB786&gt;=1,"D","F")))))),"")</f>
        <v/>
      </c>
      <c r="K786" s="3">
        <f>IF(AND('Data Source'!B786&lt;&gt;"",'Data Source'!S786="A+"),IF('Data Source'!AC786&gt;=5,"A+",IF('Data Source'!AC786&gt;=4,"A",IF('Data Source'!AC786&gt;=3.5,"A-",IF('Data Source'!AC786&gt;=3,"B",IF('Data Source'!AC786&gt;=2,"C",IF('Data Source'!AC786&gt;=1,"D","F")))))),"")</f>
        <v/>
      </c>
      <c r="L786" s="3">
        <f>IF(AND('Data Source'!B786&lt;&gt;"",'Data Source'!S786="A+"),IF('Data Source'!AD786&gt;=5,"A+",IF('Data Source'!AD786&gt;=4,"A",IF('Data Source'!AD786&gt;=3.5,"A-",IF('Data Source'!AD786&gt;=3,"B",IF('Data Source'!AD786&gt;=2,"C",IF('Data Source'!AD786&gt;=1,"D","F")))))),"")</f>
        <v/>
      </c>
      <c r="M786" s="3">
        <f>IF(AND('Data Source'!B786&lt;&gt;"",'Data Source'!S786="A+"),IF('Data Source'!AE786&gt;=5,"A+",IF('Data Source'!AE786&gt;=4,"A",IF('Data Source'!AE786&gt;=3.5,"A-",IF('Data Source'!AE786&gt;=3,"B",IF('Data Source'!AE786&gt;=2,"C",IF('Data Source'!AE786&gt;=1,"D","F")))))),"")</f>
        <v/>
      </c>
      <c r="N786" s="3">
        <f>IF(AND('Data Source'!B786&lt;&gt;"",'Data Source'!S786="A+"),IF('Data Source'!AF786&gt;=5,"A+",IF('Data Source'!AF786&gt;=4,"A",IF('Data Source'!AF786&gt;=3.5,"A-",IF('Data Source'!AF786&gt;=3,"B",IF('Data Source'!AF786&gt;=2,"C",IF('Data Source'!AF786&gt;=1,"D","F")))))),"")</f>
        <v/>
      </c>
      <c r="O786" s="3">
        <f>IF(AND('Data Source'!B786&lt;&gt;"",'Data Source'!S786="A+"),IF('Data Source'!AG786&gt;=5,"A+",IF('Data Source'!AG786&gt;=4,"A",IF('Data Source'!AG786&gt;=3.5,"A-",IF('Data Source'!AG786&gt;=3,"B",IF('Data Source'!AG786&gt;=2,"C",IF('Data Source'!AG786&gt;=1,"D","F")))))),"")</f>
        <v/>
      </c>
      <c r="P786" s="5">
        <f>IF(AND('Data Source'!B786&lt;&gt;"",'Data Source'!S786="A+"),'Data Source'!R786,"")</f>
        <v/>
      </c>
      <c r="Q786" s="3">
        <f>IF(AND('Data Source'!B786&lt;&gt;"",'Data Source'!S786="A+"),'Data Source'!S786,"")</f>
        <v/>
      </c>
    </row>
    <row r="787">
      <c r="A787" s="3">
        <f>IF(AND('Data Source'!B787&lt;&gt;"",'Data Source'!S787="A+"),COUNTIF('Data Source'!$S$3:S787,"A+"),"")</f>
        <v/>
      </c>
      <c r="B787">
        <f>IF(AND('Data Source'!B787&lt;&gt;"",'Data Source'!S787="A+"),'Data Source'!B787,"")</f>
        <v/>
      </c>
      <c r="C787" s="3">
        <f>IF(AND('Data Source'!B787&lt;&gt;"",'Data Source'!S787="A+"),IF('Data Source'!U787&gt;=5,"A+",IF('Data Source'!U787&gt;=4,"A",IF('Data Source'!U787&gt;=3.5,"A-",IF('Data Source'!U787&gt;=3,"B",IF('Data Source'!U787&gt;=2,"C",IF('Data Source'!U787&gt;=1,"D","F")))))),"")</f>
        <v/>
      </c>
      <c r="D787" s="3">
        <f>IF(AND('Data Source'!B787&lt;&gt;"",'Data Source'!S787="A+"),IF('Data Source'!V787&gt;=5,"A+",IF('Data Source'!V787&gt;=4,"A",IF('Data Source'!V787&gt;=3.5,"A-",IF('Data Source'!V787&gt;=3,"B",IF('Data Source'!V787&gt;=2,"C",IF('Data Source'!V787&gt;=1,"D","F")))))),"")</f>
        <v/>
      </c>
      <c r="E787" s="3">
        <f>IF(AND('Data Source'!B787&lt;&gt;"",'Data Source'!S787="A+"),IF('Data Source'!W787&gt;=5,"A+",IF('Data Source'!W787&gt;=4,"A",IF('Data Source'!W787&gt;=3.5,"A-",IF('Data Source'!W787&gt;=3,"B",IF('Data Source'!W787&gt;=2,"C",IF('Data Source'!W787&gt;=1,"D","F")))))),"")</f>
        <v/>
      </c>
      <c r="F787" s="3">
        <f>IF(AND('Data Source'!B787&lt;&gt;"",'Data Source'!S787="A+"),IF('Data Source'!X787&gt;=5,"A+",IF('Data Source'!X787&gt;=4,"A",IF('Data Source'!X787&gt;=3.5,"A-",IF('Data Source'!X787&gt;=3,"B",IF('Data Source'!X787&gt;=2,"C",IF('Data Source'!X787&gt;=1,"D","F")))))),"")</f>
        <v/>
      </c>
      <c r="G787" s="3">
        <f>IF(AND('Data Source'!B787&lt;&gt;"",'Data Source'!S787="A+"),IF('Data Source'!Y787&gt;=5,"A+",IF('Data Source'!Y787&gt;=4,"A",IF('Data Source'!Y787&gt;=3.5,"A-",IF('Data Source'!Y787&gt;=3,"B",IF('Data Source'!Y787&gt;=2,"C",IF('Data Source'!Y787&gt;=1,"D","F")))))),"")</f>
        <v/>
      </c>
      <c r="H787" s="3">
        <f>IF(AND('Data Source'!B787&lt;&gt;"",'Data Source'!S787="A+"),IF('Data Source'!Z787&gt;=5,"A+",IF('Data Source'!Z787&gt;=4,"A",IF('Data Source'!Z787&gt;=3.5,"A-",IF('Data Source'!Z787&gt;=3,"B",IF('Data Source'!Z787&gt;=2,"C",IF('Data Source'!Z787&gt;=1,"D","F")))))),"")</f>
        <v/>
      </c>
      <c r="I787" s="3">
        <f>IF(AND('Data Source'!B787&lt;&gt;"",'Data Source'!S787="A+"),IF('Data Source'!AA787&gt;=5,"A+",IF('Data Source'!AA787&gt;=4,"A",IF('Data Source'!AA787&gt;=3.5,"A-",IF('Data Source'!AA787&gt;=3,"B",IF('Data Source'!AA787&gt;=2,"C",IF('Data Source'!AA787&gt;=1,"D","F")))))),"")</f>
        <v/>
      </c>
      <c r="J787" s="3">
        <f>IF(AND('Data Source'!B787&lt;&gt;"",'Data Source'!S787="A+"),IF('Data Source'!AB787&gt;=5,"A+",IF('Data Source'!AB787&gt;=4,"A",IF('Data Source'!AB787&gt;=3.5,"A-",IF('Data Source'!AB787&gt;=3,"B",IF('Data Source'!AB787&gt;=2,"C",IF('Data Source'!AB787&gt;=1,"D","F")))))),"")</f>
        <v/>
      </c>
      <c r="K787" s="3">
        <f>IF(AND('Data Source'!B787&lt;&gt;"",'Data Source'!S787="A+"),IF('Data Source'!AC787&gt;=5,"A+",IF('Data Source'!AC787&gt;=4,"A",IF('Data Source'!AC787&gt;=3.5,"A-",IF('Data Source'!AC787&gt;=3,"B",IF('Data Source'!AC787&gt;=2,"C",IF('Data Source'!AC787&gt;=1,"D","F")))))),"")</f>
        <v/>
      </c>
      <c r="L787" s="3">
        <f>IF(AND('Data Source'!B787&lt;&gt;"",'Data Source'!S787="A+"),IF('Data Source'!AD787&gt;=5,"A+",IF('Data Source'!AD787&gt;=4,"A",IF('Data Source'!AD787&gt;=3.5,"A-",IF('Data Source'!AD787&gt;=3,"B",IF('Data Source'!AD787&gt;=2,"C",IF('Data Source'!AD787&gt;=1,"D","F")))))),"")</f>
        <v/>
      </c>
      <c r="M787" s="3">
        <f>IF(AND('Data Source'!B787&lt;&gt;"",'Data Source'!S787="A+"),IF('Data Source'!AE787&gt;=5,"A+",IF('Data Source'!AE787&gt;=4,"A",IF('Data Source'!AE787&gt;=3.5,"A-",IF('Data Source'!AE787&gt;=3,"B",IF('Data Source'!AE787&gt;=2,"C",IF('Data Source'!AE787&gt;=1,"D","F")))))),"")</f>
        <v/>
      </c>
      <c r="N787" s="3">
        <f>IF(AND('Data Source'!B787&lt;&gt;"",'Data Source'!S787="A+"),IF('Data Source'!AF787&gt;=5,"A+",IF('Data Source'!AF787&gt;=4,"A",IF('Data Source'!AF787&gt;=3.5,"A-",IF('Data Source'!AF787&gt;=3,"B",IF('Data Source'!AF787&gt;=2,"C",IF('Data Source'!AF787&gt;=1,"D","F")))))),"")</f>
        <v/>
      </c>
      <c r="O787" s="3">
        <f>IF(AND('Data Source'!B787&lt;&gt;"",'Data Source'!S787="A+"),IF('Data Source'!AG787&gt;=5,"A+",IF('Data Source'!AG787&gt;=4,"A",IF('Data Source'!AG787&gt;=3.5,"A-",IF('Data Source'!AG787&gt;=3,"B",IF('Data Source'!AG787&gt;=2,"C",IF('Data Source'!AG787&gt;=1,"D","F")))))),"")</f>
        <v/>
      </c>
      <c r="P787" s="5">
        <f>IF(AND('Data Source'!B787&lt;&gt;"",'Data Source'!S787="A+"),'Data Source'!R787,"")</f>
        <v/>
      </c>
      <c r="Q787" s="3">
        <f>IF(AND('Data Source'!B787&lt;&gt;"",'Data Source'!S787="A+"),'Data Source'!S787,"")</f>
        <v/>
      </c>
    </row>
    <row r="788">
      <c r="A788" s="3">
        <f>IF(AND('Data Source'!B788&lt;&gt;"",'Data Source'!S788="A+"),COUNTIF('Data Source'!$S$3:S788,"A+"),"")</f>
        <v/>
      </c>
      <c r="B788">
        <f>IF(AND('Data Source'!B788&lt;&gt;"",'Data Source'!S788="A+"),'Data Source'!B788,"")</f>
        <v/>
      </c>
      <c r="C788" s="3">
        <f>IF(AND('Data Source'!B788&lt;&gt;"",'Data Source'!S788="A+"),IF('Data Source'!U788&gt;=5,"A+",IF('Data Source'!U788&gt;=4,"A",IF('Data Source'!U788&gt;=3.5,"A-",IF('Data Source'!U788&gt;=3,"B",IF('Data Source'!U788&gt;=2,"C",IF('Data Source'!U788&gt;=1,"D","F")))))),"")</f>
        <v/>
      </c>
      <c r="D788" s="3">
        <f>IF(AND('Data Source'!B788&lt;&gt;"",'Data Source'!S788="A+"),IF('Data Source'!V788&gt;=5,"A+",IF('Data Source'!V788&gt;=4,"A",IF('Data Source'!V788&gt;=3.5,"A-",IF('Data Source'!V788&gt;=3,"B",IF('Data Source'!V788&gt;=2,"C",IF('Data Source'!V788&gt;=1,"D","F")))))),"")</f>
        <v/>
      </c>
      <c r="E788" s="3">
        <f>IF(AND('Data Source'!B788&lt;&gt;"",'Data Source'!S788="A+"),IF('Data Source'!W788&gt;=5,"A+",IF('Data Source'!W788&gt;=4,"A",IF('Data Source'!W788&gt;=3.5,"A-",IF('Data Source'!W788&gt;=3,"B",IF('Data Source'!W788&gt;=2,"C",IF('Data Source'!W788&gt;=1,"D","F")))))),"")</f>
        <v/>
      </c>
      <c r="F788" s="3">
        <f>IF(AND('Data Source'!B788&lt;&gt;"",'Data Source'!S788="A+"),IF('Data Source'!X788&gt;=5,"A+",IF('Data Source'!X788&gt;=4,"A",IF('Data Source'!X788&gt;=3.5,"A-",IF('Data Source'!X788&gt;=3,"B",IF('Data Source'!X788&gt;=2,"C",IF('Data Source'!X788&gt;=1,"D","F")))))),"")</f>
        <v/>
      </c>
      <c r="G788" s="3">
        <f>IF(AND('Data Source'!B788&lt;&gt;"",'Data Source'!S788="A+"),IF('Data Source'!Y788&gt;=5,"A+",IF('Data Source'!Y788&gt;=4,"A",IF('Data Source'!Y788&gt;=3.5,"A-",IF('Data Source'!Y788&gt;=3,"B",IF('Data Source'!Y788&gt;=2,"C",IF('Data Source'!Y788&gt;=1,"D","F")))))),"")</f>
        <v/>
      </c>
      <c r="H788" s="3">
        <f>IF(AND('Data Source'!B788&lt;&gt;"",'Data Source'!S788="A+"),IF('Data Source'!Z788&gt;=5,"A+",IF('Data Source'!Z788&gt;=4,"A",IF('Data Source'!Z788&gt;=3.5,"A-",IF('Data Source'!Z788&gt;=3,"B",IF('Data Source'!Z788&gt;=2,"C",IF('Data Source'!Z788&gt;=1,"D","F")))))),"")</f>
        <v/>
      </c>
      <c r="I788" s="3">
        <f>IF(AND('Data Source'!B788&lt;&gt;"",'Data Source'!S788="A+"),IF('Data Source'!AA788&gt;=5,"A+",IF('Data Source'!AA788&gt;=4,"A",IF('Data Source'!AA788&gt;=3.5,"A-",IF('Data Source'!AA788&gt;=3,"B",IF('Data Source'!AA788&gt;=2,"C",IF('Data Source'!AA788&gt;=1,"D","F")))))),"")</f>
        <v/>
      </c>
      <c r="J788" s="3">
        <f>IF(AND('Data Source'!B788&lt;&gt;"",'Data Source'!S788="A+"),IF('Data Source'!AB788&gt;=5,"A+",IF('Data Source'!AB788&gt;=4,"A",IF('Data Source'!AB788&gt;=3.5,"A-",IF('Data Source'!AB788&gt;=3,"B",IF('Data Source'!AB788&gt;=2,"C",IF('Data Source'!AB788&gt;=1,"D","F")))))),"")</f>
        <v/>
      </c>
      <c r="K788" s="3">
        <f>IF(AND('Data Source'!B788&lt;&gt;"",'Data Source'!S788="A+"),IF('Data Source'!AC788&gt;=5,"A+",IF('Data Source'!AC788&gt;=4,"A",IF('Data Source'!AC788&gt;=3.5,"A-",IF('Data Source'!AC788&gt;=3,"B",IF('Data Source'!AC788&gt;=2,"C",IF('Data Source'!AC788&gt;=1,"D","F")))))),"")</f>
        <v/>
      </c>
      <c r="L788" s="3">
        <f>IF(AND('Data Source'!B788&lt;&gt;"",'Data Source'!S788="A+"),IF('Data Source'!AD788&gt;=5,"A+",IF('Data Source'!AD788&gt;=4,"A",IF('Data Source'!AD788&gt;=3.5,"A-",IF('Data Source'!AD788&gt;=3,"B",IF('Data Source'!AD788&gt;=2,"C",IF('Data Source'!AD788&gt;=1,"D","F")))))),"")</f>
        <v/>
      </c>
      <c r="M788" s="3">
        <f>IF(AND('Data Source'!B788&lt;&gt;"",'Data Source'!S788="A+"),IF('Data Source'!AE788&gt;=5,"A+",IF('Data Source'!AE788&gt;=4,"A",IF('Data Source'!AE788&gt;=3.5,"A-",IF('Data Source'!AE788&gt;=3,"B",IF('Data Source'!AE788&gt;=2,"C",IF('Data Source'!AE788&gt;=1,"D","F")))))),"")</f>
        <v/>
      </c>
      <c r="N788" s="3">
        <f>IF(AND('Data Source'!B788&lt;&gt;"",'Data Source'!S788="A+"),IF('Data Source'!AF788&gt;=5,"A+",IF('Data Source'!AF788&gt;=4,"A",IF('Data Source'!AF788&gt;=3.5,"A-",IF('Data Source'!AF788&gt;=3,"B",IF('Data Source'!AF788&gt;=2,"C",IF('Data Source'!AF788&gt;=1,"D","F")))))),"")</f>
        <v/>
      </c>
      <c r="O788" s="3">
        <f>IF(AND('Data Source'!B788&lt;&gt;"",'Data Source'!S788="A+"),IF('Data Source'!AG788&gt;=5,"A+",IF('Data Source'!AG788&gt;=4,"A",IF('Data Source'!AG788&gt;=3.5,"A-",IF('Data Source'!AG788&gt;=3,"B",IF('Data Source'!AG788&gt;=2,"C",IF('Data Source'!AG788&gt;=1,"D","F")))))),"")</f>
        <v/>
      </c>
      <c r="P788" s="5">
        <f>IF(AND('Data Source'!B788&lt;&gt;"",'Data Source'!S788="A+"),'Data Source'!R788,"")</f>
        <v/>
      </c>
      <c r="Q788" s="3">
        <f>IF(AND('Data Source'!B788&lt;&gt;"",'Data Source'!S788="A+"),'Data Source'!S788,"")</f>
        <v/>
      </c>
    </row>
    <row r="789">
      <c r="A789" s="3">
        <f>IF(AND('Data Source'!B789&lt;&gt;"",'Data Source'!S789="A+"),COUNTIF('Data Source'!$S$3:S789,"A+"),"")</f>
        <v/>
      </c>
      <c r="B789">
        <f>IF(AND('Data Source'!B789&lt;&gt;"",'Data Source'!S789="A+"),'Data Source'!B789,"")</f>
        <v/>
      </c>
      <c r="C789" s="3">
        <f>IF(AND('Data Source'!B789&lt;&gt;"",'Data Source'!S789="A+"),IF('Data Source'!U789&gt;=5,"A+",IF('Data Source'!U789&gt;=4,"A",IF('Data Source'!U789&gt;=3.5,"A-",IF('Data Source'!U789&gt;=3,"B",IF('Data Source'!U789&gt;=2,"C",IF('Data Source'!U789&gt;=1,"D","F")))))),"")</f>
        <v/>
      </c>
      <c r="D789" s="3">
        <f>IF(AND('Data Source'!B789&lt;&gt;"",'Data Source'!S789="A+"),IF('Data Source'!V789&gt;=5,"A+",IF('Data Source'!V789&gt;=4,"A",IF('Data Source'!V789&gt;=3.5,"A-",IF('Data Source'!V789&gt;=3,"B",IF('Data Source'!V789&gt;=2,"C",IF('Data Source'!V789&gt;=1,"D","F")))))),"")</f>
        <v/>
      </c>
      <c r="E789" s="3">
        <f>IF(AND('Data Source'!B789&lt;&gt;"",'Data Source'!S789="A+"),IF('Data Source'!W789&gt;=5,"A+",IF('Data Source'!W789&gt;=4,"A",IF('Data Source'!W789&gt;=3.5,"A-",IF('Data Source'!W789&gt;=3,"B",IF('Data Source'!W789&gt;=2,"C",IF('Data Source'!W789&gt;=1,"D","F")))))),"")</f>
        <v/>
      </c>
      <c r="F789" s="3">
        <f>IF(AND('Data Source'!B789&lt;&gt;"",'Data Source'!S789="A+"),IF('Data Source'!X789&gt;=5,"A+",IF('Data Source'!X789&gt;=4,"A",IF('Data Source'!X789&gt;=3.5,"A-",IF('Data Source'!X789&gt;=3,"B",IF('Data Source'!X789&gt;=2,"C",IF('Data Source'!X789&gt;=1,"D","F")))))),"")</f>
        <v/>
      </c>
      <c r="G789" s="3">
        <f>IF(AND('Data Source'!B789&lt;&gt;"",'Data Source'!S789="A+"),IF('Data Source'!Y789&gt;=5,"A+",IF('Data Source'!Y789&gt;=4,"A",IF('Data Source'!Y789&gt;=3.5,"A-",IF('Data Source'!Y789&gt;=3,"B",IF('Data Source'!Y789&gt;=2,"C",IF('Data Source'!Y789&gt;=1,"D","F")))))),"")</f>
        <v/>
      </c>
      <c r="H789" s="3">
        <f>IF(AND('Data Source'!B789&lt;&gt;"",'Data Source'!S789="A+"),IF('Data Source'!Z789&gt;=5,"A+",IF('Data Source'!Z789&gt;=4,"A",IF('Data Source'!Z789&gt;=3.5,"A-",IF('Data Source'!Z789&gt;=3,"B",IF('Data Source'!Z789&gt;=2,"C",IF('Data Source'!Z789&gt;=1,"D","F")))))),"")</f>
        <v/>
      </c>
      <c r="I789" s="3">
        <f>IF(AND('Data Source'!B789&lt;&gt;"",'Data Source'!S789="A+"),IF('Data Source'!AA789&gt;=5,"A+",IF('Data Source'!AA789&gt;=4,"A",IF('Data Source'!AA789&gt;=3.5,"A-",IF('Data Source'!AA789&gt;=3,"B",IF('Data Source'!AA789&gt;=2,"C",IF('Data Source'!AA789&gt;=1,"D","F")))))),"")</f>
        <v/>
      </c>
      <c r="J789" s="3">
        <f>IF(AND('Data Source'!B789&lt;&gt;"",'Data Source'!S789="A+"),IF('Data Source'!AB789&gt;=5,"A+",IF('Data Source'!AB789&gt;=4,"A",IF('Data Source'!AB789&gt;=3.5,"A-",IF('Data Source'!AB789&gt;=3,"B",IF('Data Source'!AB789&gt;=2,"C",IF('Data Source'!AB789&gt;=1,"D","F")))))),"")</f>
        <v/>
      </c>
      <c r="K789" s="3">
        <f>IF(AND('Data Source'!B789&lt;&gt;"",'Data Source'!S789="A+"),IF('Data Source'!AC789&gt;=5,"A+",IF('Data Source'!AC789&gt;=4,"A",IF('Data Source'!AC789&gt;=3.5,"A-",IF('Data Source'!AC789&gt;=3,"B",IF('Data Source'!AC789&gt;=2,"C",IF('Data Source'!AC789&gt;=1,"D","F")))))),"")</f>
        <v/>
      </c>
      <c r="L789" s="3">
        <f>IF(AND('Data Source'!B789&lt;&gt;"",'Data Source'!S789="A+"),IF('Data Source'!AD789&gt;=5,"A+",IF('Data Source'!AD789&gt;=4,"A",IF('Data Source'!AD789&gt;=3.5,"A-",IF('Data Source'!AD789&gt;=3,"B",IF('Data Source'!AD789&gt;=2,"C",IF('Data Source'!AD789&gt;=1,"D","F")))))),"")</f>
        <v/>
      </c>
      <c r="M789" s="3">
        <f>IF(AND('Data Source'!B789&lt;&gt;"",'Data Source'!S789="A+"),IF('Data Source'!AE789&gt;=5,"A+",IF('Data Source'!AE789&gt;=4,"A",IF('Data Source'!AE789&gt;=3.5,"A-",IF('Data Source'!AE789&gt;=3,"B",IF('Data Source'!AE789&gt;=2,"C",IF('Data Source'!AE789&gt;=1,"D","F")))))),"")</f>
        <v/>
      </c>
      <c r="N789" s="3">
        <f>IF(AND('Data Source'!B789&lt;&gt;"",'Data Source'!S789="A+"),IF('Data Source'!AF789&gt;=5,"A+",IF('Data Source'!AF789&gt;=4,"A",IF('Data Source'!AF789&gt;=3.5,"A-",IF('Data Source'!AF789&gt;=3,"B",IF('Data Source'!AF789&gt;=2,"C",IF('Data Source'!AF789&gt;=1,"D","F")))))),"")</f>
        <v/>
      </c>
      <c r="O789" s="3">
        <f>IF(AND('Data Source'!B789&lt;&gt;"",'Data Source'!S789="A+"),IF('Data Source'!AG789&gt;=5,"A+",IF('Data Source'!AG789&gt;=4,"A",IF('Data Source'!AG789&gt;=3.5,"A-",IF('Data Source'!AG789&gt;=3,"B",IF('Data Source'!AG789&gt;=2,"C",IF('Data Source'!AG789&gt;=1,"D","F")))))),"")</f>
        <v/>
      </c>
      <c r="P789" s="5">
        <f>IF(AND('Data Source'!B789&lt;&gt;"",'Data Source'!S789="A+"),'Data Source'!R789,"")</f>
        <v/>
      </c>
      <c r="Q789" s="3">
        <f>IF(AND('Data Source'!B789&lt;&gt;"",'Data Source'!S789="A+"),'Data Source'!S789,"")</f>
        <v/>
      </c>
    </row>
    <row r="790">
      <c r="A790" s="3">
        <f>IF(AND('Data Source'!B790&lt;&gt;"",'Data Source'!S790="A+"),COUNTIF('Data Source'!$S$3:S790,"A+"),"")</f>
        <v/>
      </c>
      <c r="B790">
        <f>IF(AND('Data Source'!B790&lt;&gt;"",'Data Source'!S790="A+"),'Data Source'!B790,"")</f>
        <v/>
      </c>
      <c r="C790" s="3">
        <f>IF(AND('Data Source'!B790&lt;&gt;"",'Data Source'!S790="A+"),IF('Data Source'!U790&gt;=5,"A+",IF('Data Source'!U790&gt;=4,"A",IF('Data Source'!U790&gt;=3.5,"A-",IF('Data Source'!U790&gt;=3,"B",IF('Data Source'!U790&gt;=2,"C",IF('Data Source'!U790&gt;=1,"D","F")))))),"")</f>
        <v/>
      </c>
      <c r="D790" s="3">
        <f>IF(AND('Data Source'!B790&lt;&gt;"",'Data Source'!S790="A+"),IF('Data Source'!V790&gt;=5,"A+",IF('Data Source'!V790&gt;=4,"A",IF('Data Source'!V790&gt;=3.5,"A-",IF('Data Source'!V790&gt;=3,"B",IF('Data Source'!V790&gt;=2,"C",IF('Data Source'!V790&gt;=1,"D","F")))))),"")</f>
        <v/>
      </c>
      <c r="E790" s="3">
        <f>IF(AND('Data Source'!B790&lt;&gt;"",'Data Source'!S790="A+"),IF('Data Source'!W790&gt;=5,"A+",IF('Data Source'!W790&gt;=4,"A",IF('Data Source'!W790&gt;=3.5,"A-",IF('Data Source'!W790&gt;=3,"B",IF('Data Source'!W790&gt;=2,"C",IF('Data Source'!W790&gt;=1,"D","F")))))),"")</f>
        <v/>
      </c>
      <c r="F790" s="3">
        <f>IF(AND('Data Source'!B790&lt;&gt;"",'Data Source'!S790="A+"),IF('Data Source'!X790&gt;=5,"A+",IF('Data Source'!X790&gt;=4,"A",IF('Data Source'!X790&gt;=3.5,"A-",IF('Data Source'!X790&gt;=3,"B",IF('Data Source'!X790&gt;=2,"C",IF('Data Source'!X790&gt;=1,"D","F")))))),"")</f>
        <v/>
      </c>
      <c r="G790" s="3">
        <f>IF(AND('Data Source'!B790&lt;&gt;"",'Data Source'!S790="A+"),IF('Data Source'!Y790&gt;=5,"A+",IF('Data Source'!Y790&gt;=4,"A",IF('Data Source'!Y790&gt;=3.5,"A-",IF('Data Source'!Y790&gt;=3,"B",IF('Data Source'!Y790&gt;=2,"C",IF('Data Source'!Y790&gt;=1,"D","F")))))),"")</f>
        <v/>
      </c>
      <c r="H790" s="3">
        <f>IF(AND('Data Source'!B790&lt;&gt;"",'Data Source'!S790="A+"),IF('Data Source'!Z790&gt;=5,"A+",IF('Data Source'!Z790&gt;=4,"A",IF('Data Source'!Z790&gt;=3.5,"A-",IF('Data Source'!Z790&gt;=3,"B",IF('Data Source'!Z790&gt;=2,"C",IF('Data Source'!Z790&gt;=1,"D","F")))))),"")</f>
        <v/>
      </c>
      <c r="I790" s="3">
        <f>IF(AND('Data Source'!B790&lt;&gt;"",'Data Source'!S790="A+"),IF('Data Source'!AA790&gt;=5,"A+",IF('Data Source'!AA790&gt;=4,"A",IF('Data Source'!AA790&gt;=3.5,"A-",IF('Data Source'!AA790&gt;=3,"B",IF('Data Source'!AA790&gt;=2,"C",IF('Data Source'!AA790&gt;=1,"D","F")))))),"")</f>
        <v/>
      </c>
      <c r="J790" s="3">
        <f>IF(AND('Data Source'!B790&lt;&gt;"",'Data Source'!S790="A+"),IF('Data Source'!AB790&gt;=5,"A+",IF('Data Source'!AB790&gt;=4,"A",IF('Data Source'!AB790&gt;=3.5,"A-",IF('Data Source'!AB790&gt;=3,"B",IF('Data Source'!AB790&gt;=2,"C",IF('Data Source'!AB790&gt;=1,"D","F")))))),"")</f>
        <v/>
      </c>
      <c r="K790" s="3">
        <f>IF(AND('Data Source'!B790&lt;&gt;"",'Data Source'!S790="A+"),IF('Data Source'!AC790&gt;=5,"A+",IF('Data Source'!AC790&gt;=4,"A",IF('Data Source'!AC790&gt;=3.5,"A-",IF('Data Source'!AC790&gt;=3,"B",IF('Data Source'!AC790&gt;=2,"C",IF('Data Source'!AC790&gt;=1,"D","F")))))),"")</f>
        <v/>
      </c>
      <c r="L790" s="3">
        <f>IF(AND('Data Source'!B790&lt;&gt;"",'Data Source'!S790="A+"),IF('Data Source'!AD790&gt;=5,"A+",IF('Data Source'!AD790&gt;=4,"A",IF('Data Source'!AD790&gt;=3.5,"A-",IF('Data Source'!AD790&gt;=3,"B",IF('Data Source'!AD790&gt;=2,"C",IF('Data Source'!AD790&gt;=1,"D","F")))))),"")</f>
        <v/>
      </c>
      <c r="M790" s="3">
        <f>IF(AND('Data Source'!B790&lt;&gt;"",'Data Source'!S790="A+"),IF('Data Source'!AE790&gt;=5,"A+",IF('Data Source'!AE790&gt;=4,"A",IF('Data Source'!AE790&gt;=3.5,"A-",IF('Data Source'!AE790&gt;=3,"B",IF('Data Source'!AE790&gt;=2,"C",IF('Data Source'!AE790&gt;=1,"D","F")))))),"")</f>
        <v/>
      </c>
      <c r="N790" s="3">
        <f>IF(AND('Data Source'!B790&lt;&gt;"",'Data Source'!S790="A+"),IF('Data Source'!AF790&gt;=5,"A+",IF('Data Source'!AF790&gt;=4,"A",IF('Data Source'!AF790&gt;=3.5,"A-",IF('Data Source'!AF790&gt;=3,"B",IF('Data Source'!AF790&gt;=2,"C",IF('Data Source'!AF790&gt;=1,"D","F")))))),"")</f>
        <v/>
      </c>
      <c r="O790" s="3">
        <f>IF(AND('Data Source'!B790&lt;&gt;"",'Data Source'!S790="A+"),IF('Data Source'!AG790&gt;=5,"A+",IF('Data Source'!AG790&gt;=4,"A",IF('Data Source'!AG790&gt;=3.5,"A-",IF('Data Source'!AG790&gt;=3,"B",IF('Data Source'!AG790&gt;=2,"C",IF('Data Source'!AG790&gt;=1,"D","F")))))),"")</f>
        <v/>
      </c>
      <c r="P790" s="5">
        <f>IF(AND('Data Source'!B790&lt;&gt;"",'Data Source'!S790="A+"),'Data Source'!R790,"")</f>
        <v/>
      </c>
      <c r="Q790" s="3">
        <f>IF(AND('Data Source'!B790&lt;&gt;"",'Data Source'!S790="A+"),'Data Source'!S790,"")</f>
        <v/>
      </c>
    </row>
    <row r="791">
      <c r="A791" s="3">
        <f>IF(AND('Data Source'!B791&lt;&gt;"",'Data Source'!S791="A+"),COUNTIF('Data Source'!$S$3:S791,"A+"),"")</f>
        <v/>
      </c>
      <c r="B791">
        <f>IF(AND('Data Source'!B791&lt;&gt;"",'Data Source'!S791="A+"),'Data Source'!B791,"")</f>
        <v/>
      </c>
      <c r="C791" s="3">
        <f>IF(AND('Data Source'!B791&lt;&gt;"",'Data Source'!S791="A+"),IF('Data Source'!U791&gt;=5,"A+",IF('Data Source'!U791&gt;=4,"A",IF('Data Source'!U791&gt;=3.5,"A-",IF('Data Source'!U791&gt;=3,"B",IF('Data Source'!U791&gt;=2,"C",IF('Data Source'!U791&gt;=1,"D","F")))))),"")</f>
        <v/>
      </c>
      <c r="D791" s="3">
        <f>IF(AND('Data Source'!B791&lt;&gt;"",'Data Source'!S791="A+"),IF('Data Source'!V791&gt;=5,"A+",IF('Data Source'!V791&gt;=4,"A",IF('Data Source'!V791&gt;=3.5,"A-",IF('Data Source'!V791&gt;=3,"B",IF('Data Source'!V791&gt;=2,"C",IF('Data Source'!V791&gt;=1,"D","F")))))),"")</f>
        <v/>
      </c>
      <c r="E791" s="3">
        <f>IF(AND('Data Source'!B791&lt;&gt;"",'Data Source'!S791="A+"),IF('Data Source'!W791&gt;=5,"A+",IF('Data Source'!W791&gt;=4,"A",IF('Data Source'!W791&gt;=3.5,"A-",IF('Data Source'!W791&gt;=3,"B",IF('Data Source'!W791&gt;=2,"C",IF('Data Source'!W791&gt;=1,"D","F")))))),"")</f>
        <v/>
      </c>
      <c r="F791" s="3">
        <f>IF(AND('Data Source'!B791&lt;&gt;"",'Data Source'!S791="A+"),IF('Data Source'!X791&gt;=5,"A+",IF('Data Source'!X791&gt;=4,"A",IF('Data Source'!X791&gt;=3.5,"A-",IF('Data Source'!X791&gt;=3,"B",IF('Data Source'!X791&gt;=2,"C",IF('Data Source'!X791&gt;=1,"D","F")))))),"")</f>
        <v/>
      </c>
      <c r="G791" s="3">
        <f>IF(AND('Data Source'!B791&lt;&gt;"",'Data Source'!S791="A+"),IF('Data Source'!Y791&gt;=5,"A+",IF('Data Source'!Y791&gt;=4,"A",IF('Data Source'!Y791&gt;=3.5,"A-",IF('Data Source'!Y791&gt;=3,"B",IF('Data Source'!Y791&gt;=2,"C",IF('Data Source'!Y791&gt;=1,"D","F")))))),"")</f>
        <v/>
      </c>
      <c r="H791" s="3">
        <f>IF(AND('Data Source'!B791&lt;&gt;"",'Data Source'!S791="A+"),IF('Data Source'!Z791&gt;=5,"A+",IF('Data Source'!Z791&gt;=4,"A",IF('Data Source'!Z791&gt;=3.5,"A-",IF('Data Source'!Z791&gt;=3,"B",IF('Data Source'!Z791&gt;=2,"C",IF('Data Source'!Z791&gt;=1,"D","F")))))),"")</f>
        <v/>
      </c>
      <c r="I791" s="3">
        <f>IF(AND('Data Source'!B791&lt;&gt;"",'Data Source'!S791="A+"),IF('Data Source'!AA791&gt;=5,"A+",IF('Data Source'!AA791&gt;=4,"A",IF('Data Source'!AA791&gt;=3.5,"A-",IF('Data Source'!AA791&gt;=3,"B",IF('Data Source'!AA791&gt;=2,"C",IF('Data Source'!AA791&gt;=1,"D","F")))))),"")</f>
        <v/>
      </c>
      <c r="J791" s="3">
        <f>IF(AND('Data Source'!B791&lt;&gt;"",'Data Source'!S791="A+"),IF('Data Source'!AB791&gt;=5,"A+",IF('Data Source'!AB791&gt;=4,"A",IF('Data Source'!AB791&gt;=3.5,"A-",IF('Data Source'!AB791&gt;=3,"B",IF('Data Source'!AB791&gt;=2,"C",IF('Data Source'!AB791&gt;=1,"D","F")))))),"")</f>
        <v/>
      </c>
      <c r="K791" s="3">
        <f>IF(AND('Data Source'!B791&lt;&gt;"",'Data Source'!S791="A+"),IF('Data Source'!AC791&gt;=5,"A+",IF('Data Source'!AC791&gt;=4,"A",IF('Data Source'!AC791&gt;=3.5,"A-",IF('Data Source'!AC791&gt;=3,"B",IF('Data Source'!AC791&gt;=2,"C",IF('Data Source'!AC791&gt;=1,"D","F")))))),"")</f>
        <v/>
      </c>
      <c r="L791" s="3">
        <f>IF(AND('Data Source'!B791&lt;&gt;"",'Data Source'!S791="A+"),IF('Data Source'!AD791&gt;=5,"A+",IF('Data Source'!AD791&gt;=4,"A",IF('Data Source'!AD791&gt;=3.5,"A-",IF('Data Source'!AD791&gt;=3,"B",IF('Data Source'!AD791&gt;=2,"C",IF('Data Source'!AD791&gt;=1,"D","F")))))),"")</f>
        <v/>
      </c>
      <c r="M791" s="3">
        <f>IF(AND('Data Source'!B791&lt;&gt;"",'Data Source'!S791="A+"),IF('Data Source'!AE791&gt;=5,"A+",IF('Data Source'!AE791&gt;=4,"A",IF('Data Source'!AE791&gt;=3.5,"A-",IF('Data Source'!AE791&gt;=3,"B",IF('Data Source'!AE791&gt;=2,"C",IF('Data Source'!AE791&gt;=1,"D","F")))))),"")</f>
        <v/>
      </c>
      <c r="N791" s="3">
        <f>IF(AND('Data Source'!B791&lt;&gt;"",'Data Source'!S791="A+"),IF('Data Source'!AF791&gt;=5,"A+",IF('Data Source'!AF791&gt;=4,"A",IF('Data Source'!AF791&gt;=3.5,"A-",IF('Data Source'!AF791&gt;=3,"B",IF('Data Source'!AF791&gt;=2,"C",IF('Data Source'!AF791&gt;=1,"D","F")))))),"")</f>
        <v/>
      </c>
      <c r="O791" s="3">
        <f>IF(AND('Data Source'!B791&lt;&gt;"",'Data Source'!S791="A+"),IF('Data Source'!AG791&gt;=5,"A+",IF('Data Source'!AG791&gt;=4,"A",IF('Data Source'!AG791&gt;=3.5,"A-",IF('Data Source'!AG791&gt;=3,"B",IF('Data Source'!AG791&gt;=2,"C",IF('Data Source'!AG791&gt;=1,"D","F")))))),"")</f>
        <v/>
      </c>
      <c r="P791" s="5">
        <f>IF(AND('Data Source'!B791&lt;&gt;"",'Data Source'!S791="A+"),'Data Source'!R791,"")</f>
        <v/>
      </c>
      <c r="Q791" s="3">
        <f>IF(AND('Data Source'!B791&lt;&gt;"",'Data Source'!S791="A+"),'Data Source'!S791,"")</f>
        <v/>
      </c>
    </row>
    <row r="792">
      <c r="A792" s="3">
        <f>IF(AND('Data Source'!B792&lt;&gt;"",'Data Source'!S792="A+"),COUNTIF('Data Source'!$S$3:S792,"A+"),"")</f>
        <v/>
      </c>
      <c r="B792">
        <f>IF(AND('Data Source'!B792&lt;&gt;"",'Data Source'!S792="A+"),'Data Source'!B792,"")</f>
        <v/>
      </c>
      <c r="C792" s="3">
        <f>IF(AND('Data Source'!B792&lt;&gt;"",'Data Source'!S792="A+"),IF('Data Source'!U792&gt;=5,"A+",IF('Data Source'!U792&gt;=4,"A",IF('Data Source'!U792&gt;=3.5,"A-",IF('Data Source'!U792&gt;=3,"B",IF('Data Source'!U792&gt;=2,"C",IF('Data Source'!U792&gt;=1,"D","F")))))),"")</f>
        <v/>
      </c>
      <c r="D792" s="3">
        <f>IF(AND('Data Source'!B792&lt;&gt;"",'Data Source'!S792="A+"),IF('Data Source'!V792&gt;=5,"A+",IF('Data Source'!V792&gt;=4,"A",IF('Data Source'!V792&gt;=3.5,"A-",IF('Data Source'!V792&gt;=3,"B",IF('Data Source'!V792&gt;=2,"C",IF('Data Source'!V792&gt;=1,"D","F")))))),"")</f>
        <v/>
      </c>
      <c r="E792" s="3">
        <f>IF(AND('Data Source'!B792&lt;&gt;"",'Data Source'!S792="A+"),IF('Data Source'!W792&gt;=5,"A+",IF('Data Source'!W792&gt;=4,"A",IF('Data Source'!W792&gt;=3.5,"A-",IF('Data Source'!W792&gt;=3,"B",IF('Data Source'!W792&gt;=2,"C",IF('Data Source'!W792&gt;=1,"D","F")))))),"")</f>
        <v/>
      </c>
      <c r="F792" s="3">
        <f>IF(AND('Data Source'!B792&lt;&gt;"",'Data Source'!S792="A+"),IF('Data Source'!X792&gt;=5,"A+",IF('Data Source'!X792&gt;=4,"A",IF('Data Source'!X792&gt;=3.5,"A-",IF('Data Source'!X792&gt;=3,"B",IF('Data Source'!X792&gt;=2,"C",IF('Data Source'!X792&gt;=1,"D","F")))))),"")</f>
        <v/>
      </c>
      <c r="G792" s="3">
        <f>IF(AND('Data Source'!B792&lt;&gt;"",'Data Source'!S792="A+"),IF('Data Source'!Y792&gt;=5,"A+",IF('Data Source'!Y792&gt;=4,"A",IF('Data Source'!Y792&gt;=3.5,"A-",IF('Data Source'!Y792&gt;=3,"B",IF('Data Source'!Y792&gt;=2,"C",IF('Data Source'!Y792&gt;=1,"D","F")))))),"")</f>
        <v/>
      </c>
      <c r="H792" s="3">
        <f>IF(AND('Data Source'!B792&lt;&gt;"",'Data Source'!S792="A+"),IF('Data Source'!Z792&gt;=5,"A+",IF('Data Source'!Z792&gt;=4,"A",IF('Data Source'!Z792&gt;=3.5,"A-",IF('Data Source'!Z792&gt;=3,"B",IF('Data Source'!Z792&gt;=2,"C",IF('Data Source'!Z792&gt;=1,"D","F")))))),"")</f>
        <v/>
      </c>
      <c r="I792" s="3">
        <f>IF(AND('Data Source'!B792&lt;&gt;"",'Data Source'!S792="A+"),IF('Data Source'!AA792&gt;=5,"A+",IF('Data Source'!AA792&gt;=4,"A",IF('Data Source'!AA792&gt;=3.5,"A-",IF('Data Source'!AA792&gt;=3,"B",IF('Data Source'!AA792&gt;=2,"C",IF('Data Source'!AA792&gt;=1,"D","F")))))),"")</f>
        <v/>
      </c>
      <c r="J792" s="3">
        <f>IF(AND('Data Source'!B792&lt;&gt;"",'Data Source'!S792="A+"),IF('Data Source'!AB792&gt;=5,"A+",IF('Data Source'!AB792&gt;=4,"A",IF('Data Source'!AB792&gt;=3.5,"A-",IF('Data Source'!AB792&gt;=3,"B",IF('Data Source'!AB792&gt;=2,"C",IF('Data Source'!AB792&gt;=1,"D","F")))))),"")</f>
        <v/>
      </c>
      <c r="K792" s="3">
        <f>IF(AND('Data Source'!B792&lt;&gt;"",'Data Source'!S792="A+"),IF('Data Source'!AC792&gt;=5,"A+",IF('Data Source'!AC792&gt;=4,"A",IF('Data Source'!AC792&gt;=3.5,"A-",IF('Data Source'!AC792&gt;=3,"B",IF('Data Source'!AC792&gt;=2,"C",IF('Data Source'!AC792&gt;=1,"D","F")))))),"")</f>
        <v/>
      </c>
      <c r="L792" s="3">
        <f>IF(AND('Data Source'!B792&lt;&gt;"",'Data Source'!S792="A+"),IF('Data Source'!AD792&gt;=5,"A+",IF('Data Source'!AD792&gt;=4,"A",IF('Data Source'!AD792&gt;=3.5,"A-",IF('Data Source'!AD792&gt;=3,"B",IF('Data Source'!AD792&gt;=2,"C",IF('Data Source'!AD792&gt;=1,"D","F")))))),"")</f>
        <v/>
      </c>
      <c r="M792" s="3">
        <f>IF(AND('Data Source'!B792&lt;&gt;"",'Data Source'!S792="A+"),IF('Data Source'!AE792&gt;=5,"A+",IF('Data Source'!AE792&gt;=4,"A",IF('Data Source'!AE792&gt;=3.5,"A-",IF('Data Source'!AE792&gt;=3,"B",IF('Data Source'!AE792&gt;=2,"C",IF('Data Source'!AE792&gt;=1,"D","F")))))),"")</f>
        <v/>
      </c>
      <c r="N792" s="3">
        <f>IF(AND('Data Source'!B792&lt;&gt;"",'Data Source'!S792="A+"),IF('Data Source'!AF792&gt;=5,"A+",IF('Data Source'!AF792&gt;=4,"A",IF('Data Source'!AF792&gt;=3.5,"A-",IF('Data Source'!AF792&gt;=3,"B",IF('Data Source'!AF792&gt;=2,"C",IF('Data Source'!AF792&gt;=1,"D","F")))))),"")</f>
        <v/>
      </c>
      <c r="O792" s="3">
        <f>IF(AND('Data Source'!B792&lt;&gt;"",'Data Source'!S792="A+"),IF('Data Source'!AG792&gt;=5,"A+",IF('Data Source'!AG792&gt;=4,"A",IF('Data Source'!AG792&gt;=3.5,"A-",IF('Data Source'!AG792&gt;=3,"B",IF('Data Source'!AG792&gt;=2,"C",IF('Data Source'!AG792&gt;=1,"D","F")))))),"")</f>
        <v/>
      </c>
      <c r="P792" s="5">
        <f>IF(AND('Data Source'!B792&lt;&gt;"",'Data Source'!S792="A+"),'Data Source'!R792,"")</f>
        <v/>
      </c>
      <c r="Q792" s="3">
        <f>IF(AND('Data Source'!B792&lt;&gt;"",'Data Source'!S792="A+"),'Data Source'!S792,"")</f>
        <v/>
      </c>
    </row>
    <row r="793">
      <c r="A793" s="3">
        <f>IF(AND('Data Source'!B793&lt;&gt;"",'Data Source'!S793="A+"),COUNTIF('Data Source'!$S$3:S793,"A+"),"")</f>
        <v/>
      </c>
      <c r="B793">
        <f>IF(AND('Data Source'!B793&lt;&gt;"",'Data Source'!S793="A+"),'Data Source'!B793,"")</f>
        <v/>
      </c>
      <c r="C793" s="3">
        <f>IF(AND('Data Source'!B793&lt;&gt;"",'Data Source'!S793="A+"),IF('Data Source'!U793&gt;=5,"A+",IF('Data Source'!U793&gt;=4,"A",IF('Data Source'!U793&gt;=3.5,"A-",IF('Data Source'!U793&gt;=3,"B",IF('Data Source'!U793&gt;=2,"C",IF('Data Source'!U793&gt;=1,"D","F")))))),"")</f>
        <v/>
      </c>
      <c r="D793" s="3">
        <f>IF(AND('Data Source'!B793&lt;&gt;"",'Data Source'!S793="A+"),IF('Data Source'!V793&gt;=5,"A+",IF('Data Source'!V793&gt;=4,"A",IF('Data Source'!V793&gt;=3.5,"A-",IF('Data Source'!V793&gt;=3,"B",IF('Data Source'!V793&gt;=2,"C",IF('Data Source'!V793&gt;=1,"D","F")))))),"")</f>
        <v/>
      </c>
      <c r="E793" s="3">
        <f>IF(AND('Data Source'!B793&lt;&gt;"",'Data Source'!S793="A+"),IF('Data Source'!W793&gt;=5,"A+",IF('Data Source'!W793&gt;=4,"A",IF('Data Source'!W793&gt;=3.5,"A-",IF('Data Source'!W793&gt;=3,"B",IF('Data Source'!W793&gt;=2,"C",IF('Data Source'!W793&gt;=1,"D","F")))))),"")</f>
        <v/>
      </c>
      <c r="F793" s="3">
        <f>IF(AND('Data Source'!B793&lt;&gt;"",'Data Source'!S793="A+"),IF('Data Source'!X793&gt;=5,"A+",IF('Data Source'!X793&gt;=4,"A",IF('Data Source'!X793&gt;=3.5,"A-",IF('Data Source'!X793&gt;=3,"B",IF('Data Source'!X793&gt;=2,"C",IF('Data Source'!X793&gt;=1,"D","F")))))),"")</f>
        <v/>
      </c>
      <c r="G793" s="3">
        <f>IF(AND('Data Source'!B793&lt;&gt;"",'Data Source'!S793="A+"),IF('Data Source'!Y793&gt;=5,"A+",IF('Data Source'!Y793&gt;=4,"A",IF('Data Source'!Y793&gt;=3.5,"A-",IF('Data Source'!Y793&gt;=3,"B",IF('Data Source'!Y793&gt;=2,"C",IF('Data Source'!Y793&gt;=1,"D","F")))))),"")</f>
        <v/>
      </c>
      <c r="H793" s="3">
        <f>IF(AND('Data Source'!B793&lt;&gt;"",'Data Source'!S793="A+"),IF('Data Source'!Z793&gt;=5,"A+",IF('Data Source'!Z793&gt;=4,"A",IF('Data Source'!Z793&gt;=3.5,"A-",IF('Data Source'!Z793&gt;=3,"B",IF('Data Source'!Z793&gt;=2,"C",IF('Data Source'!Z793&gt;=1,"D","F")))))),"")</f>
        <v/>
      </c>
      <c r="I793" s="3">
        <f>IF(AND('Data Source'!B793&lt;&gt;"",'Data Source'!S793="A+"),IF('Data Source'!AA793&gt;=5,"A+",IF('Data Source'!AA793&gt;=4,"A",IF('Data Source'!AA793&gt;=3.5,"A-",IF('Data Source'!AA793&gt;=3,"B",IF('Data Source'!AA793&gt;=2,"C",IF('Data Source'!AA793&gt;=1,"D","F")))))),"")</f>
        <v/>
      </c>
      <c r="J793" s="3">
        <f>IF(AND('Data Source'!B793&lt;&gt;"",'Data Source'!S793="A+"),IF('Data Source'!AB793&gt;=5,"A+",IF('Data Source'!AB793&gt;=4,"A",IF('Data Source'!AB793&gt;=3.5,"A-",IF('Data Source'!AB793&gt;=3,"B",IF('Data Source'!AB793&gt;=2,"C",IF('Data Source'!AB793&gt;=1,"D","F")))))),"")</f>
        <v/>
      </c>
      <c r="K793" s="3">
        <f>IF(AND('Data Source'!B793&lt;&gt;"",'Data Source'!S793="A+"),IF('Data Source'!AC793&gt;=5,"A+",IF('Data Source'!AC793&gt;=4,"A",IF('Data Source'!AC793&gt;=3.5,"A-",IF('Data Source'!AC793&gt;=3,"B",IF('Data Source'!AC793&gt;=2,"C",IF('Data Source'!AC793&gt;=1,"D","F")))))),"")</f>
        <v/>
      </c>
      <c r="L793" s="3">
        <f>IF(AND('Data Source'!B793&lt;&gt;"",'Data Source'!S793="A+"),IF('Data Source'!AD793&gt;=5,"A+",IF('Data Source'!AD793&gt;=4,"A",IF('Data Source'!AD793&gt;=3.5,"A-",IF('Data Source'!AD793&gt;=3,"B",IF('Data Source'!AD793&gt;=2,"C",IF('Data Source'!AD793&gt;=1,"D","F")))))),"")</f>
        <v/>
      </c>
      <c r="M793" s="3">
        <f>IF(AND('Data Source'!B793&lt;&gt;"",'Data Source'!S793="A+"),IF('Data Source'!AE793&gt;=5,"A+",IF('Data Source'!AE793&gt;=4,"A",IF('Data Source'!AE793&gt;=3.5,"A-",IF('Data Source'!AE793&gt;=3,"B",IF('Data Source'!AE793&gt;=2,"C",IF('Data Source'!AE793&gt;=1,"D","F")))))),"")</f>
        <v/>
      </c>
      <c r="N793" s="3">
        <f>IF(AND('Data Source'!B793&lt;&gt;"",'Data Source'!S793="A+"),IF('Data Source'!AF793&gt;=5,"A+",IF('Data Source'!AF793&gt;=4,"A",IF('Data Source'!AF793&gt;=3.5,"A-",IF('Data Source'!AF793&gt;=3,"B",IF('Data Source'!AF793&gt;=2,"C",IF('Data Source'!AF793&gt;=1,"D","F")))))),"")</f>
        <v/>
      </c>
      <c r="O793" s="3">
        <f>IF(AND('Data Source'!B793&lt;&gt;"",'Data Source'!S793="A+"),IF('Data Source'!AG793&gt;=5,"A+",IF('Data Source'!AG793&gt;=4,"A",IF('Data Source'!AG793&gt;=3.5,"A-",IF('Data Source'!AG793&gt;=3,"B",IF('Data Source'!AG793&gt;=2,"C",IF('Data Source'!AG793&gt;=1,"D","F")))))),"")</f>
        <v/>
      </c>
      <c r="P793" s="5">
        <f>IF(AND('Data Source'!B793&lt;&gt;"",'Data Source'!S793="A+"),'Data Source'!R793,"")</f>
        <v/>
      </c>
      <c r="Q793" s="3">
        <f>IF(AND('Data Source'!B793&lt;&gt;"",'Data Source'!S793="A+"),'Data Source'!S793,"")</f>
        <v/>
      </c>
    </row>
    <row r="794">
      <c r="A794" s="3">
        <f>IF(AND('Data Source'!B794&lt;&gt;"",'Data Source'!S794="A+"),COUNTIF('Data Source'!$S$3:S794,"A+"),"")</f>
        <v/>
      </c>
      <c r="B794">
        <f>IF(AND('Data Source'!B794&lt;&gt;"",'Data Source'!S794="A+"),'Data Source'!B794,"")</f>
        <v/>
      </c>
      <c r="C794" s="3">
        <f>IF(AND('Data Source'!B794&lt;&gt;"",'Data Source'!S794="A+"),IF('Data Source'!U794&gt;=5,"A+",IF('Data Source'!U794&gt;=4,"A",IF('Data Source'!U794&gt;=3.5,"A-",IF('Data Source'!U794&gt;=3,"B",IF('Data Source'!U794&gt;=2,"C",IF('Data Source'!U794&gt;=1,"D","F")))))),"")</f>
        <v/>
      </c>
      <c r="D794" s="3">
        <f>IF(AND('Data Source'!B794&lt;&gt;"",'Data Source'!S794="A+"),IF('Data Source'!V794&gt;=5,"A+",IF('Data Source'!V794&gt;=4,"A",IF('Data Source'!V794&gt;=3.5,"A-",IF('Data Source'!V794&gt;=3,"B",IF('Data Source'!V794&gt;=2,"C",IF('Data Source'!V794&gt;=1,"D","F")))))),"")</f>
        <v/>
      </c>
      <c r="E794" s="3">
        <f>IF(AND('Data Source'!B794&lt;&gt;"",'Data Source'!S794="A+"),IF('Data Source'!W794&gt;=5,"A+",IF('Data Source'!W794&gt;=4,"A",IF('Data Source'!W794&gt;=3.5,"A-",IF('Data Source'!W794&gt;=3,"B",IF('Data Source'!W794&gt;=2,"C",IF('Data Source'!W794&gt;=1,"D","F")))))),"")</f>
        <v/>
      </c>
      <c r="F794" s="3">
        <f>IF(AND('Data Source'!B794&lt;&gt;"",'Data Source'!S794="A+"),IF('Data Source'!X794&gt;=5,"A+",IF('Data Source'!X794&gt;=4,"A",IF('Data Source'!X794&gt;=3.5,"A-",IF('Data Source'!X794&gt;=3,"B",IF('Data Source'!X794&gt;=2,"C",IF('Data Source'!X794&gt;=1,"D","F")))))),"")</f>
        <v/>
      </c>
      <c r="G794" s="3">
        <f>IF(AND('Data Source'!B794&lt;&gt;"",'Data Source'!S794="A+"),IF('Data Source'!Y794&gt;=5,"A+",IF('Data Source'!Y794&gt;=4,"A",IF('Data Source'!Y794&gt;=3.5,"A-",IF('Data Source'!Y794&gt;=3,"B",IF('Data Source'!Y794&gt;=2,"C",IF('Data Source'!Y794&gt;=1,"D","F")))))),"")</f>
        <v/>
      </c>
      <c r="H794" s="3">
        <f>IF(AND('Data Source'!B794&lt;&gt;"",'Data Source'!S794="A+"),IF('Data Source'!Z794&gt;=5,"A+",IF('Data Source'!Z794&gt;=4,"A",IF('Data Source'!Z794&gt;=3.5,"A-",IF('Data Source'!Z794&gt;=3,"B",IF('Data Source'!Z794&gt;=2,"C",IF('Data Source'!Z794&gt;=1,"D","F")))))),"")</f>
        <v/>
      </c>
      <c r="I794" s="3">
        <f>IF(AND('Data Source'!B794&lt;&gt;"",'Data Source'!S794="A+"),IF('Data Source'!AA794&gt;=5,"A+",IF('Data Source'!AA794&gt;=4,"A",IF('Data Source'!AA794&gt;=3.5,"A-",IF('Data Source'!AA794&gt;=3,"B",IF('Data Source'!AA794&gt;=2,"C",IF('Data Source'!AA794&gt;=1,"D","F")))))),"")</f>
        <v/>
      </c>
      <c r="J794" s="3">
        <f>IF(AND('Data Source'!B794&lt;&gt;"",'Data Source'!S794="A+"),IF('Data Source'!AB794&gt;=5,"A+",IF('Data Source'!AB794&gt;=4,"A",IF('Data Source'!AB794&gt;=3.5,"A-",IF('Data Source'!AB794&gt;=3,"B",IF('Data Source'!AB794&gt;=2,"C",IF('Data Source'!AB794&gt;=1,"D","F")))))),"")</f>
        <v/>
      </c>
      <c r="K794" s="3">
        <f>IF(AND('Data Source'!B794&lt;&gt;"",'Data Source'!S794="A+"),IF('Data Source'!AC794&gt;=5,"A+",IF('Data Source'!AC794&gt;=4,"A",IF('Data Source'!AC794&gt;=3.5,"A-",IF('Data Source'!AC794&gt;=3,"B",IF('Data Source'!AC794&gt;=2,"C",IF('Data Source'!AC794&gt;=1,"D","F")))))),"")</f>
        <v/>
      </c>
      <c r="L794" s="3">
        <f>IF(AND('Data Source'!B794&lt;&gt;"",'Data Source'!S794="A+"),IF('Data Source'!AD794&gt;=5,"A+",IF('Data Source'!AD794&gt;=4,"A",IF('Data Source'!AD794&gt;=3.5,"A-",IF('Data Source'!AD794&gt;=3,"B",IF('Data Source'!AD794&gt;=2,"C",IF('Data Source'!AD794&gt;=1,"D","F")))))),"")</f>
        <v/>
      </c>
      <c r="M794" s="3">
        <f>IF(AND('Data Source'!B794&lt;&gt;"",'Data Source'!S794="A+"),IF('Data Source'!AE794&gt;=5,"A+",IF('Data Source'!AE794&gt;=4,"A",IF('Data Source'!AE794&gt;=3.5,"A-",IF('Data Source'!AE794&gt;=3,"B",IF('Data Source'!AE794&gt;=2,"C",IF('Data Source'!AE794&gt;=1,"D","F")))))),"")</f>
        <v/>
      </c>
      <c r="N794" s="3">
        <f>IF(AND('Data Source'!B794&lt;&gt;"",'Data Source'!S794="A+"),IF('Data Source'!AF794&gt;=5,"A+",IF('Data Source'!AF794&gt;=4,"A",IF('Data Source'!AF794&gt;=3.5,"A-",IF('Data Source'!AF794&gt;=3,"B",IF('Data Source'!AF794&gt;=2,"C",IF('Data Source'!AF794&gt;=1,"D","F")))))),"")</f>
        <v/>
      </c>
      <c r="O794" s="3">
        <f>IF(AND('Data Source'!B794&lt;&gt;"",'Data Source'!S794="A+"),IF('Data Source'!AG794&gt;=5,"A+",IF('Data Source'!AG794&gt;=4,"A",IF('Data Source'!AG794&gt;=3.5,"A-",IF('Data Source'!AG794&gt;=3,"B",IF('Data Source'!AG794&gt;=2,"C",IF('Data Source'!AG794&gt;=1,"D","F")))))),"")</f>
        <v/>
      </c>
      <c r="P794" s="5">
        <f>IF(AND('Data Source'!B794&lt;&gt;"",'Data Source'!S794="A+"),'Data Source'!R794,"")</f>
        <v/>
      </c>
      <c r="Q794" s="3">
        <f>IF(AND('Data Source'!B794&lt;&gt;"",'Data Source'!S794="A+"),'Data Source'!S794,"")</f>
        <v/>
      </c>
    </row>
    <row r="795">
      <c r="A795" s="3">
        <f>IF(AND('Data Source'!B795&lt;&gt;"",'Data Source'!S795="A+"),COUNTIF('Data Source'!$S$3:S795,"A+"),"")</f>
        <v/>
      </c>
      <c r="B795">
        <f>IF(AND('Data Source'!B795&lt;&gt;"",'Data Source'!S795="A+"),'Data Source'!B795,"")</f>
        <v/>
      </c>
      <c r="C795" s="3">
        <f>IF(AND('Data Source'!B795&lt;&gt;"",'Data Source'!S795="A+"),IF('Data Source'!U795&gt;=5,"A+",IF('Data Source'!U795&gt;=4,"A",IF('Data Source'!U795&gt;=3.5,"A-",IF('Data Source'!U795&gt;=3,"B",IF('Data Source'!U795&gt;=2,"C",IF('Data Source'!U795&gt;=1,"D","F")))))),"")</f>
        <v/>
      </c>
      <c r="D795" s="3">
        <f>IF(AND('Data Source'!B795&lt;&gt;"",'Data Source'!S795="A+"),IF('Data Source'!V795&gt;=5,"A+",IF('Data Source'!V795&gt;=4,"A",IF('Data Source'!V795&gt;=3.5,"A-",IF('Data Source'!V795&gt;=3,"B",IF('Data Source'!V795&gt;=2,"C",IF('Data Source'!V795&gt;=1,"D","F")))))),"")</f>
        <v/>
      </c>
      <c r="E795" s="3">
        <f>IF(AND('Data Source'!B795&lt;&gt;"",'Data Source'!S795="A+"),IF('Data Source'!W795&gt;=5,"A+",IF('Data Source'!W795&gt;=4,"A",IF('Data Source'!W795&gt;=3.5,"A-",IF('Data Source'!W795&gt;=3,"B",IF('Data Source'!W795&gt;=2,"C",IF('Data Source'!W795&gt;=1,"D","F")))))),"")</f>
        <v/>
      </c>
      <c r="F795" s="3">
        <f>IF(AND('Data Source'!B795&lt;&gt;"",'Data Source'!S795="A+"),IF('Data Source'!X795&gt;=5,"A+",IF('Data Source'!X795&gt;=4,"A",IF('Data Source'!X795&gt;=3.5,"A-",IF('Data Source'!X795&gt;=3,"B",IF('Data Source'!X795&gt;=2,"C",IF('Data Source'!X795&gt;=1,"D","F")))))),"")</f>
        <v/>
      </c>
      <c r="G795" s="3">
        <f>IF(AND('Data Source'!B795&lt;&gt;"",'Data Source'!S795="A+"),IF('Data Source'!Y795&gt;=5,"A+",IF('Data Source'!Y795&gt;=4,"A",IF('Data Source'!Y795&gt;=3.5,"A-",IF('Data Source'!Y795&gt;=3,"B",IF('Data Source'!Y795&gt;=2,"C",IF('Data Source'!Y795&gt;=1,"D","F")))))),"")</f>
        <v/>
      </c>
      <c r="H795" s="3">
        <f>IF(AND('Data Source'!B795&lt;&gt;"",'Data Source'!S795="A+"),IF('Data Source'!Z795&gt;=5,"A+",IF('Data Source'!Z795&gt;=4,"A",IF('Data Source'!Z795&gt;=3.5,"A-",IF('Data Source'!Z795&gt;=3,"B",IF('Data Source'!Z795&gt;=2,"C",IF('Data Source'!Z795&gt;=1,"D","F")))))),"")</f>
        <v/>
      </c>
      <c r="I795" s="3">
        <f>IF(AND('Data Source'!B795&lt;&gt;"",'Data Source'!S795="A+"),IF('Data Source'!AA795&gt;=5,"A+",IF('Data Source'!AA795&gt;=4,"A",IF('Data Source'!AA795&gt;=3.5,"A-",IF('Data Source'!AA795&gt;=3,"B",IF('Data Source'!AA795&gt;=2,"C",IF('Data Source'!AA795&gt;=1,"D","F")))))),"")</f>
        <v/>
      </c>
      <c r="J795" s="3">
        <f>IF(AND('Data Source'!B795&lt;&gt;"",'Data Source'!S795="A+"),IF('Data Source'!AB795&gt;=5,"A+",IF('Data Source'!AB795&gt;=4,"A",IF('Data Source'!AB795&gt;=3.5,"A-",IF('Data Source'!AB795&gt;=3,"B",IF('Data Source'!AB795&gt;=2,"C",IF('Data Source'!AB795&gt;=1,"D","F")))))),"")</f>
        <v/>
      </c>
      <c r="K795" s="3">
        <f>IF(AND('Data Source'!B795&lt;&gt;"",'Data Source'!S795="A+"),IF('Data Source'!AC795&gt;=5,"A+",IF('Data Source'!AC795&gt;=4,"A",IF('Data Source'!AC795&gt;=3.5,"A-",IF('Data Source'!AC795&gt;=3,"B",IF('Data Source'!AC795&gt;=2,"C",IF('Data Source'!AC795&gt;=1,"D","F")))))),"")</f>
        <v/>
      </c>
      <c r="L795" s="3">
        <f>IF(AND('Data Source'!B795&lt;&gt;"",'Data Source'!S795="A+"),IF('Data Source'!AD795&gt;=5,"A+",IF('Data Source'!AD795&gt;=4,"A",IF('Data Source'!AD795&gt;=3.5,"A-",IF('Data Source'!AD795&gt;=3,"B",IF('Data Source'!AD795&gt;=2,"C",IF('Data Source'!AD795&gt;=1,"D","F")))))),"")</f>
        <v/>
      </c>
      <c r="M795" s="3">
        <f>IF(AND('Data Source'!B795&lt;&gt;"",'Data Source'!S795="A+"),IF('Data Source'!AE795&gt;=5,"A+",IF('Data Source'!AE795&gt;=4,"A",IF('Data Source'!AE795&gt;=3.5,"A-",IF('Data Source'!AE795&gt;=3,"B",IF('Data Source'!AE795&gt;=2,"C",IF('Data Source'!AE795&gt;=1,"D","F")))))),"")</f>
        <v/>
      </c>
      <c r="N795" s="3">
        <f>IF(AND('Data Source'!B795&lt;&gt;"",'Data Source'!S795="A+"),IF('Data Source'!AF795&gt;=5,"A+",IF('Data Source'!AF795&gt;=4,"A",IF('Data Source'!AF795&gt;=3.5,"A-",IF('Data Source'!AF795&gt;=3,"B",IF('Data Source'!AF795&gt;=2,"C",IF('Data Source'!AF795&gt;=1,"D","F")))))),"")</f>
        <v/>
      </c>
      <c r="O795" s="3">
        <f>IF(AND('Data Source'!B795&lt;&gt;"",'Data Source'!S795="A+"),IF('Data Source'!AG795&gt;=5,"A+",IF('Data Source'!AG795&gt;=4,"A",IF('Data Source'!AG795&gt;=3.5,"A-",IF('Data Source'!AG795&gt;=3,"B",IF('Data Source'!AG795&gt;=2,"C",IF('Data Source'!AG795&gt;=1,"D","F")))))),"")</f>
        <v/>
      </c>
      <c r="P795" s="5">
        <f>IF(AND('Data Source'!B795&lt;&gt;"",'Data Source'!S795="A+"),'Data Source'!R795,"")</f>
        <v/>
      </c>
      <c r="Q795" s="3">
        <f>IF(AND('Data Source'!B795&lt;&gt;"",'Data Source'!S795="A+"),'Data Source'!S795,"")</f>
        <v/>
      </c>
    </row>
    <row r="796">
      <c r="A796" s="3">
        <f>IF(AND('Data Source'!B796&lt;&gt;"",'Data Source'!S796="A+"),COUNTIF('Data Source'!$S$3:S796,"A+"),"")</f>
        <v/>
      </c>
      <c r="B796">
        <f>IF(AND('Data Source'!B796&lt;&gt;"",'Data Source'!S796="A+"),'Data Source'!B796,"")</f>
        <v/>
      </c>
      <c r="C796" s="3">
        <f>IF(AND('Data Source'!B796&lt;&gt;"",'Data Source'!S796="A+"),IF('Data Source'!U796&gt;=5,"A+",IF('Data Source'!U796&gt;=4,"A",IF('Data Source'!U796&gt;=3.5,"A-",IF('Data Source'!U796&gt;=3,"B",IF('Data Source'!U796&gt;=2,"C",IF('Data Source'!U796&gt;=1,"D","F")))))),"")</f>
        <v/>
      </c>
      <c r="D796" s="3">
        <f>IF(AND('Data Source'!B796&lt;&gt;"",'Data Source'!S796="A+"),IF('Data Source'!V796&gt;=5,"A+",IF('Data Source'!V796&gt;=4,"A",IF('Data Source'!V796&gt;=3.5,"A-",IF('Data Source'!V796&gt;=3,"B",IF('Data Source'!V796&gt;=2,"C",IF('Data Source'!V796&gt;=1,"D","F")))))),"")</f>
        <v/>
      </c>
      <c r="E796" s="3">
        <f>IF(AND('Data Source'!B796&lt;&gt;"",'Data Source'!S796="A+"),IF('Data Source'!W796&gt;=5,"A+",IF('Data Source'!W796&gt;=4,"A",IF('Data Source'!W796&gt;=3.5,"A-",IF('Data Source'!W796&gt;=3,"B",IF('Data Source'!W796&gt;=2,"C",IF('Data Source'!W796&gt;=1,"D","F")))))),"")</f>
        <v/>
      </c>
      <c r="F796" s="3">
        <f>IF(AND('Data Source'!B796&lt;&gt;"",'Data Source'!S796="A+"),IF('Data Source'!X796&gt;=5,"A+",IF('Data Source'!X796&gt;=4,"A",IF('Data Source'!X796&gt;=3.5,"A-",IF('Data Source'!X796&gt;=3,"B",IF('Data Source'!X796&gt;=2,"C",IF('Data Source'!X796&gt;=1,"D","F")))))),"")</f>
        <v/>
      </c>
      <c r="G796" s="3">
        <f>IF(AND('Data Source'!B796&lt;&gt;"",'Data Source'!S796="A+"),IF('Data Source'!Y796&gt;=5,"A+",IF('Data Source'!Y796&gt;=4,"A",IF('Data Source'!Y796&gt;=3.5,"A-",IF('Data Source'!Y796&gt;=3,"B",IF('Data Source'!Y796&gt;=2,"C",IF('Data Source'!Y796&gt;=1,"D","F")))))),"")</f>
        <v/>
      </c>
      <c r="H796" s="3">
        <f>IF(AND('Data Source'!B796&lt;&gt;"",'Data Source'!S796="A+"),IF('Data Source'!Z796&gt;=5,"A+",IF('Data Source'!Z796&gt;=4,"A",IF('Data Source'!Z796&gt;=3.5,"A-",IF('Data Source'!Z796&gt;=3,"B",IF('Data Source'!Z796&gt;=2,"C",IF('Data Source'!Z796&gt;=1,"D","F")))))),"")</f>
        <v/>
      </c>
      <c r="I796" s="3">
        <f>IF(AND('Data Source'!B796&lt;&gt;"",'Data Source'!S796="A+"),IF('Data Source'!AA796&gt;=5,"A+",IF('Data Source'!AA796&gt;=4,"A",IF('Data Source'!AA796&gt;=3.5,"A-",IF('Data Source'!AA796&gt;=3,"B",IF('Data Source'!AA796&gt;=2,"C",IF('Data Source'!AA796&gt;=1,"D","F")))))),"")</f>
        <v/>
      </c>
      <c r="J796" s="3">
        <f>IF(AND('Data Source'!B796&lt;&gt;"",'Data Source'!S796="A+"),IF('Data Source'!AB796&gt;=5,"A+",IF('Data Source'!AB796&gt;=4,"A",IF('Data Source'!AB796&gt;=3.5,"A-",IF('Data Source'!AB796&gt;=3,"B",IF('Data Source'!AB796&gt;=2,"C",IF('Data Source'!AB796&gt;=1,"D","F")))))),"")</f>
        <v/>
      </c>
      <c r="K796" s="3">
        <f>IF(AND('Data Source'!B796&lt;&gt;"",'Data Source'!S796="A+"),IF('Data Source'!AC796&gt;=5,"A+",IF('Data Source'!AC796&gt;=4,"A",IF('Data Source'!AC796&gt;=3.5,"A-",IF('Data Source'!AC796&gt;=3,"B",IF('Data Source'!AC796&gt;=2,"C",IF('Data Source'!AC796&gt;=1,"D","F")))))),"")</f>
        <v/>
      </c>
      <c r="L796" s="3">
        <f>IF(AND('Data Source'!B796&lt;&gt;"",'Data Source'!S796="A+"),IF('Data Source'!AD796&gt;=5,"A+",IF('Data Source'!AD796&gt;=4,"A",IF('Data Source'!AD796&gt;=3.5,"A-",IF('Data Source'!AD796&gt;=3,"B",IF('Data Source'!AD796&gt;=2,"C",IF('Data Source'!AD796&gt;=1,"D","F")))))),"")</f>
        <v/>
      </c>
      <c r="M796" s="3">
        <f>IF(AND('Data Source'!B796&lt;&gt;"",'Data Source'!S796="A+"),IF('Data Source'!AE796&gt;=5,"A+",IF('Data Source'!AE796&gt;=4,"A",IF('Data Source'!AE796&gt;=3.5,"A-",IF('Data Source'!AE796&gt;=3,"B",IF('Data Source'!AE796&gt;=2,"C",IF('Data Source'!AE796&gt;=1,"D","F")))))),"")</f>
        <v/>
      </c>
      <c r="N796" s="3">
        <f>IF(AND('Data Source'!B796&lt;&gt;"",'Data Source'!S796="A+"),IF('Data Source'!AF796&gt;=5,"A+",IF('Data Source'!AF796&gt;=4,"A",IF('Data Source'!AF796&gt;=3.5,"A-",IF('Data Source'!AF796&gt;=3,"B",IF('Data Source'!AF796&gt;=2,"C",IF('Data Source'!AF796&gt;=1,"D","F")))))),"")</f>
        <v/>
      </c>
      <c r="O796" s="3">
        <f>IF(AND('Data Source'!B796&lt;&gt;"",'Data Source'!S796="A+"),IF('Data Source'!AG796&gt;=5,"A+",IF('Data Source'!AG796&gt;=4,"A",IF('Data Source'!AG796&gt;=3.5,"A-",IF('Data Source'!AG796&gt;=3,"B",IF('Data Source'!AG796&gt;=2,"C",IF('Data Source'!AG796&gt;=1,"D","F")))))),"")</f>
        <v/>
      </c>
      <c r="P796" s="5">
        <f>IF(AND('Data Source'!B796&lt;&gt;"",'Data Source'!S796="A+"),'Data Source'!R796,"")</f>
        <v/>
      </c>
      <c r="Q796" s="3">
        <f>IF(AND('Data Source'!B796&lt;&gt;"",'Data Source'!S796="A+"),'Data Source'!S796,"")</f>
        <v/>
      </c>
    </row>
    <row r="797">
      <c r="A797" s="3">
        <f>IF(AND('Data Source'!B797&lt;&gt;"",'Data Source'!S797="A+"),COUNTIF('Data Source'!$S$3:S797,"A+"),"")</f>
        <v/>
      </c>
      <c r="B797">
        <f>IF(AND('Data Source'!B797&lt;&gt;"",'Data Source'!S797="A+"),'Data Source'!B797,"")</f>
        <v/>
      </c>
      <c r="C797" s="3">
        <f>IF(AND('Data Source'!B797&lt;&gt;"",'Data Source'!S797="A+"),IF('Data Source'!U797&gt;=5,"A+",IF('Data Source'!U797&gt;=4,"A",IF('Data Source'!U797&gt;=3.5,"A-",IF('Data Source'!U797&gt;=3,"B",IF('Data Source'!U797&gt;=2,"C",IF('Data Source'!U797&gt;=1,"D","F")))))),"")</f>
        <v/>
      </c>
      <c r="D797" s="3">
        <f>IF(AND('Data Source'!B797&lt;&gt;"",'Data Source'!S797="A+"),IF('Data Source'!V797&gt;=5,"A+",IF('Data Source'!V797&gt;=4,"A",IF('Data Source'!V797&gt;=3.5,"A-",IF('Data Source'!V797&gt;=3,"B",IF('Data Source'!V797&gt;=2,"C",IF('Data Source'!V797&gt;=1,"D","F")))))),"")</f>
        <v/>
      </c>
      <c r="E797" s="3">
        <f>IF(AND('Data Source'!B797&lt;&gt;"",'Data Source'!S797="A+"),IF('Data Source'!W797&gt;=5,"A+",IF('Data Source'!W797&gt;=4,"A",IF('Data Source'!W797&gt;=3.5,"A-",IF('Data Source'!W797&gt;=3,"B",IF('Data Source'!W797&gt;=2,"C",IF('Data Source'!W797&gt;=1,"D","F")))))),"")</f>
        <v/>
      </c>
      <c r="F797" s="3">
        <f>IF(AND('Data Source'!B797&lt;&gt;"",'Data Source'!S797="A+"),IF('Data Source'!X797&gt;=5,"A+",IF('Data Source'!X797&gt;=4,"A",IF('Data Source'!X797&gt;=3.5,"A-",IF('Data Source'!X797&gt;=3,"B",IF('Data Source'!X797&gt;=2,"C",IF('Data Source'!X797&gt;=1,"D","F")))))),"")</f>
        <v/>
      </c>
      <c r="G797" s="3">
        <f>IF(AND('Data Source'!B797&lt;&gt;"",'Data Source'!S797="A+"),IF('Data Source'!Y797&gt;=5,"A+",IF('Data Source'!Y797&gt;=4,"A",IF('Data Source'!Y797&gt;=3.5,"A-",IF('Data Source'!Y797&gt;=3,"B",IF('Data Source'!Y797&gt;=2,"C",IF('Data Source'!Y797&gt;=1,"D","F")))))),"")</f>
        <v/>
      </c>
      <c r="H797" s="3">
        <f>IF(AND('Data Source'!B797&lt;&gt;"",'Data Source'!S797="A+"),IF('Data Source'!Z797&gt;=5,"A+",IF('Data Source'!Z797&gt;=4,"A",IF('Data Source'!Z797&gt;=3.5,"A-",IF('Data Source'!Z797&gt;=3,"B",IF('Data Source'!Z797&gt;=2,"C",IF('Data Source'!Z797&gt;=1,"D","F")))))),"")</f>
        <v/>
      </c>
      <c r="I797" s="3">
        <f>IF(AND('Data Source'!B797&lt;&gt;"",'Data Source'!S797="A+"),IF('Data Source'!AA797&gt;=5,"A+",IF('Data Source'!AA797&gt;=4,"A",IF('Data Source'!AA797&gt;=3.5,"A-",IF('Data Source'!AA797&gt;=3,"B",IF('Data Source'!AA797&gt;=2,"C",IF('Data Source'!AA797&gt;=1,"D","F")))))),"")</f>
        <v/>
      </c>
      <c r="J797" s="3">
        <f>IF(AND('Data Source'!B797&lt;&gt;"",'Data Source'!S797="A+"),IF('Data Source'!AB797&gt;=5,"A+",IF('Data Source'!AB797&gt;=4,"A",IF('Data Source'!AB797&gt;=3.5,"A-",IF('Data Source'!AB797&gt;=3,"B",IF('Data Source'!AB797&gt;=2,"C",IF('Data Source'!AB797&gt;=1,"D","F")))))),"")</f>
        <v/>
      </c>
      <c r="K797" s="3">
        <f>IF(AND('Data Source'!B797&lt;&gt;"",'Data Source'!S797="A+"),IF('Data Source'!AC797&gt;=5,"A+",IF('Data Source'!AC797&gt;=4,"A",IF('Data Source'!AC797&gt;=3.5,"A-",IF('Data Source'!AC797&gt;=3,"B",IF('Data Source'!AC797&gt;=2,"C",IF('Data Source'!AC797&gt;=1,"D","F")))))),"")</f>
        <v/>
      </c>
      <c r="L797" s="3">
        <f>IF(AND('Data Source'!B797&lt;&gt;"",'Data Source'!S797="A+"),IF('Data Source'!AD797&gt;=5,"A+",IF('Data Source'!AD797&gt;=4,"A",IF('Data Source'!AD797&gt;=3.5,"A-",IF('Data Source'!AD797&gt;=3,"B",IF('Data Source'!AD797&gt;=2,"C",IF('Data Source'!AD797&gt;=1,"D","F")))))),"")</f>
        <v/>
      </c>
      <c r="M797" s="3">
        <f>IF(AND('Data Source'!B797&lt;&gt;"",'Data Source'!S797="A+"),IF('Data Source'!AE797&gt;=5,"A+",IF('Data Source'!AE797&gt;=4,"A",IF('Data Source'!AE797&gt;=3.5,"A-",IF('Data Source'!AE797&gt;=3,"B",IF('Data Source'!AE797&gt;=2,"C",IF('Data Source'!AE797&gt;=1,"D","F")))))),"")</f>
        <v/>
      </c>
      <c r="N797" s="3">
        <f>IF(AND('Data Source'!B797&lt;&gt;"",'Data Source'!S797="A+"),IF('Data Source'!AF797&gt;=5,"A+",IF('Data Source'!AF797&gt;=4,"A",IF('Data Source'!AF797&gt;=3.5,"A-",IF('Data Source'!AF797&gt;=3,"B",IF('Data Source'!AF797&gt;=2,"C",IF('Data Source'!AF797&gt;=1,"D","F")))))),"")</f>
        <v/>
      </c>
      <c r="O797" s="3">
        <f>IF(AND('Data Source'!B797&lt;&gt;"",'Data Source'!S797="A+"),IF('Data Source'!AG797&gt;=5,"A+",IF('Data Source'!AG797&gt;=4,"A",IF('Data Source'!AG797&gt;=3.5,"A-",IF('Data Source'!AG797&gt;=3,"B",IF('Data Source'!AG797&gt;=2,"C",IF('Data Source'!AG797&gt;=1,"D","F")))))),"")</f>
        <v/>
      </c>
      <c r="P797" s="5">
        <f>IF(AND('Data Source'!B797&lt;&gt;"",'Data Source'!S797="A+"),'Data Source'!R797,"")</f>
        <v/>
      </c>
      <c r="Q797" s="3">
        <f>IF(AND('Data Source'!B797&lt;&gt;"",'Data Source'!S797="A+"),'Data Source'!S797,"")</f>
        <v/>
      </c>
    </row>
    <row r="798">
      <c r="A798" s="3">
        <f>IF(AND('Data Source'!B798&lt;&gt;"",'Data Source'!S798="A+"),COUNTIF('Data Source'!$S$3:S798,"A+"),"")</f>
        <v/>
      </c>
      <c r="B798">
        <f>IF(AND('Data Source'!B798&lt;&gt;"",'Data Source'!S798="A+"),'Data Source'!B798,"")</f>
        <v/>
      </c>
      <c r="C798" s="3">
        <f>IF(AND('Data Source'!B798&lt;&gt;"",'Data Source'!S798="A+"),IF('Data Source'!U798&gt;=5,"A+",IF('Data Source'!U798&gt;=4,"A",IF('Data Source'!U798&gt;=3.5,"A-",IF('Data Source'!U798&gt;=3,"B",IF('Data Source'!U798&gt;=2,"C",IF('Data Source'!U798&gt;=1,"D","F")))))),"")</f>
        <v/>
      </c>
      <c r="D798" s="3">
        <f>IF(AND('Data Source'!B798&lt;&gt;"",'Data Source'!S798="A+"),IF('Data Source'!V798&gt;=5,"A+",IF('Data Source'!V798&gt;=4,"A",IF('Data Source'!V798&gt;=3.5,"A-",IF('Data Source'!V798&gt;=3,"B",IF('Data Source'!V798&gt;=2,"C",IF('Data Source'!V798&gt;=1,"D","F")))))),"")</f>
        <v/>
      </c>
      <c r="E798" s="3">
        <f>IF(AND('Data Source'!B798&lt;&gt;"",'Data Source'!S798="A+"),IF('Data Source'!W798&gt;=5,"A+",IF('Data Source'!W798&gt;=4,"A",IF('Data Source'!W798&gt;=3.5,"A-",IF('Data Source'!W798&gt;=3,"B",IF('Data Source'!W798&gt;=2,"C",IF('Data Source'!W798&gt;=1,"D","F")))))),"")</f>
        <v/>
      </c>
      <c r="F798" s="3">
        <f>IF(AND('Data Source'!B798&lt;&gt;"",'Data Source'!S798="A+"),IF('Data Source'!X798&gt;=5,"A+",IF('Data Source'!X798&gt;=4,"A",IF('Data Source'!X798&gt;=3.5,"A-",IF('Data Source'!X798&gt;=3,"B",IF('Data Source'!X798&gt;=2,"C",IF('Data Source'!X798&gt;=1,"D","F")))))),"")</f>
        <v/>
      </c>
      <c r="G798" s="3">
        <f>IF(AND('Data Source'!B798&lt;&gt;"",'Data Source'!S798="A+"),IF('Data Source'!Y798&gt;=5,"A+",IF('Data Source'!Y798&gt;=4,"A",IF('Data Source'!Y798&gt;=3.5,"A-",IF('Data Source'!Y798&gt;=3,"B",IF('Data Source'!Y798&gt;=2,"C",IF('Data Source'!Y798&gt;=1,"D","F")))))),"")</f>
        <v/>
      </c>
      <c r="H798" s="3">
        <f>IF(AND('Data Source'!B798&lt;&gt;"",'Data Source'!S798="A+"),IF('Data Source'!Z798&gt;=5,"A+",IF('Data Source'!Z798&gt;=4,"A",IF('Data Source'!Z798&gt;=3.5,"A-",IF('Data Source'!Z798&gt;=3,"B",IF('Data Source'!Z798&gt;=2,"C",IF('Data Source'!Z798&gt;=1,"D","F")))))),"")</f>
        <v/>
      </c>
      <c r="I798" s="3">
        <f>IF(AND('Data Source'!B798&lt;&gt;"",'Data Source'!S798="A+"),IF('Data Source'!AA798&gt;=5,"A+",IF('Data Source'!AA798&gt;=4,"A",IF('Data Source'!AA798&gt;=3.5,"A-",IF('Data Source'!AA798&gt;=3,"B",IF('Data Source'!AA798&gt;=2,"C",IF('Data Source'!AA798&gt;=1,"D","F")))))),"")</f>
        <v/>
      </c>
      <c r="J798" s="3">
        <f>IF(AND('Data Source'!B798&lt;&gt;"",'Data Source'!S798="A+"),IF('Data Source'!AB798&gt;=5,"A+",IF('Data Source'!AB798&gt;=4,"A",IF('Data Source'!AB798&gt;=3.5,"A-",IF('Data Source'!AB798&gt;=3,"B",IF('Data Source'!AB798&gt;=2,"C",IF('Data Source'!AB798&gt;=1,"D","F")))))),"")</f>
        <v/>
      </c>
      <c r="K798" s="3">
        <f>IF(AND('Data Source'!B798&lt;&gt;"",'Data Source'!S798="A+"),IF('Data Source'!AC798&gt;=5,"A+",IF('Data Source'!AC798&gt;=4,"A",IF('Data Source'!AC798&gt;=3.5,"A-",IF('Data Source'!AC798&gt;=3,"B",IF('Data Source'!AC798&gt;=2,"C",IF('Data Source'!AC798&gt;=1,"D","F")))))),"")</f>
        <v/>
      </c>
      <c r="L798" s="3">
        <f>IF(AND('Data Source'!B798&lt;&gt;"",'Data Source'!S798="A+"),IF('Data Source'!AD798&gt;=5,"A+",IF('Data Source'!AD798&gt;=4,"A",IF('Data Source'!AD798&gt;=3.5,"A-",IF('Data Source'!AD798&gt;=3,"B",IF('Data Source'!AD798&gt;=2,"C",IF('Data Source'!AD798&gt;=1,"D","F")))))),"")</f>
        <v/>
      </c>
      <c r="M798" s="3">
        <f>IF(AND('Data Source'!B798&lt;&gt;"",'Data Source'!S798="A+"),IF('Data Source'!AE798&gt;=5,"A+",IF('Data Source'!AE798&gt;=4,"A",IF('Data Source'!AE798&gt;=3.5,"A-",IF('Data Source'!AE798&gt;=3,"B",IF('Data Source'!AE798&gt;=2,"C",IF('Data Source'!AE798&gt;=1,"D","F")))))),"")</f>
        <v/>
      </c>
      <c r="N798" s="3">
        <f>IF(AND('Data Source'!B798&lt;&gt;"",'Data Source'!S798="A+"),IF('Data Source'!AF798&gt;=5,"A+",IF('Data Source'!AF798&gt;=4,"A",IF('Data Source'!AF798&gt;=3.5,"A-",IF('Data Source'!AF798&gt;=3,"B",IF('Data Source'!AF798&gt;=2,"C",IF('Data Source'!AF798&gt;=1,"D","F")))))),"")</f>
        <v/>
      </c>
      <c r="O798" s="3">
        <f>IF(AND('Data Source'!B798&lt;&gt;"",'Data Source'!S798="A+"),IF('Data Source'!AG798&gt;=5,"A+",IF('Data Source'!AG798&gt;=4,"A",IF('Data Source'!AG798&gt;=3.5,"A-",IF('Data Source'!AG798&gt;=3,"B",IF('Data Source'!AG798&gt;=2,"C",IF('Data Source'!AG798&gt;=1,"D","F")))))),"")</f>
        <v/>
      </c>
      <c r="P798" s="5">
        <f>IF(AND('Data Source'!B798&lt;&gt;"",'Data Source'!S798="A+"),'Data Source'!R798,"")</f>
        <v/>
      </c>
      <c r="Q798" s="3">
        <f>IF(AND('Data Source'!B798&lt;&gt;"",'Data Source'!S798="A+"),'Data Source'!S798,"")</f>
        <v/>
      </c>
    </row>
    <row r="799">
      <c r="A799" s="3">
        <f>IF(AND('Data Source'!B799&lt;&gt;"",'Data Source'!S799="A+"),COUNTIF('Data Source'!$S$3:S799,"A+"),"")</f>
        <v/>
      </c>
      <c r="B799">
        <f>IF(AND('Data Source'!B799&lt;&gt;"",'Data Source'!S799="A+"),'Data Source'!B799,"")</f>
        <v/>
      </c>
      <c r="C799" s="3">
        <f>IF(AND('Data Source'!B799&lt;&gt;"",'Data Source'!S799="A+"),IF('Data Source'!U799&gt;=5,"A+",IF('Data Source'!U799&gt;=4,"A",IF('Data Source'!U799&gt;=3.5,"A-",IF('Data Source'!U799&gt;=3,"B",IF('Data Source'!U799&gt;=2,"C",IF('Data Source'!U799&gt;=1,"D","F")))))),"")</f>
        <v/>
      </c>
      <c r="D799" s="3">
        <f>IF(AND('Data Source'!B799&lt;&gt;"",'Data Source'!S799="A+"),IF('Data Source'!V799&gt;=5,"A+",IF('Data Source'!V799&gt;=4,"A",IF('Data Source'!V799&gt;=3.5,"A-",IF('Data Source'!V799&gt;=3,"B",IF('Data Source'!V799&gt;=2,"C",IF('Data Source'!V799&gt;=1,"D","F")))))),"")</f>
        <v/>
      </c>
      <c r="E799" s="3">
        <f>IF(AND('Data Source'!B799&lt;&gt;"",'Data Source'!S799="A+"),IF('Data Source'!W799&gt;=5,"A+",IF('Data Source'!W799&gt;=4,"A",IF('Data Source'!W799&gt;=3.5,"A-",IF('Data Source'!W799&gt;=3,"B",IF('Data Source'!W799&gt;=2,"C",IF('Data Source'!W799&gt;=1,"D","F")))))),"")</f>
        <v/>
      </c>
      <c r="F799" s="3">
        <f>IF(AND('Data Source'!B799&lt;&gt;"",'Data Source'!S799="A+"),IF('Data Source'!X799&gt;=5,"A+",IF('Data Source'!X799&gt;=4,"A",IF('Data Source'!X799&gt;=3.5,"A-",IF('Data Source'!X799&gt;=3,"B",IF('Data Source'!X799&gt;=2,"C",IF('Data Source'!X799&gt;=1,"D","F")))))),"")</f>
        <v/>
      </c>
      <c r="G799" s="3">
        <f>IF(AND('Data Source'!B799&lt;&gt;"",'Data Source'!S799="A+"),IF('Data Source'!Y799&gt;=5,"A+",IF('Data Source'!Y799&gt;=4,"A",IF('Data Source'!Y799&gt;=3.5,"A-",IF('Data Source'!Y799&gt;=3,"B",IF('Data Source'!Y799&gt;=2,"C",IF('Data Source'!Y799&gt;=1,"D","F")))))),"")</f>
        <v/>
      </c>
      <c r="H799" s="3">
        <f>IF(AND('Data Source'!B799&lt;&gt;"",'Data Source'!S799="A+"),IF('Data Source'!Z799&gt;=5,"A+",IF('Data Source'!Z799&gt;=4,"A",IF('Data Source'!Z799&gt;=3.5,"A-",IF('Data Source'!Z799&gt;=3,"B",IF('Data Source'!Z799&gt;=2,"C",IF('Data Source'!Z799&gt;=1,"D","F")))))),"")</f>
        <v/>
      </c>
      <c r="I799" s="3">
        <f>IF(AND('Data Source'!B799&lt;&gt;"",'Data Source'!S799="A+"),IF('Data Source'!AA799&gt;=5,"A+",IF('Data Source'!AA799&gt;=4,"A",IF('Data Source'!AA799&gt;=3.5,"A-",IF('Data Source'!AA799&gt;=3,"B",IF('Data Source'!AA799&gt;=2,"C",IF('Data Source'!AA799&gt;=1,"D","F")))))),"")</f>
        <v/>
      </c>
      <c r="J799" s="3">
        <f>IF(AND('Data Source'!B799&lt;&gt;"",'Data Source'!S799="A+"),IF('Data Source'!AB799&gt;=5,"A+",IF('Data Source'!AB799&gt;=4,"A",IF('Data Source'!AB799&gt;=3.5,"A-",IF('Data Source'!AB799&gt;=3,"B",IF('Data Source'!AB799&gt;=2,"C",IF('Data Source'!AB799&gt;=1,"D","F")))))),"")</f>
        <v/>
      </c>
      <c r="K799" s="3">
        <f>IF(AND('Data Source'!B799&lt;&gt;"",'Data Source'!S799="A+"),IF('Data Source'!AC799&gt;=5,"A+",IF('Data Source'!AC799&gt;=4,"A",IF('Data Source'!AC799&gt;=3.5,"A-",IF('Data Source'!AC799&gt;=3,"B",IF('Data Source'!AC799&gt;=2,"C",IF('Data Source'!AC799&gt;=1,"D","F")))))),"")</f>
        <v/>
      </c>
      <c r="L799" s="3">
        <f>IF(AND('Data Source'!B799&lt;&gt;"",'Data Source'!S799="A+"),IF('Data Source'!AD799&gt;=5,"A+",IF('Data Source'!AD799&gt;=4,"A",IF('Data Source'!AD799&gt;=3.5,"A-",IF('Data Source'!AD799&gt;=3,"B",IF('Data Source'!AD799&gt;=2,"C",IF('Data Source'!AD799&gt;=1,"D","F")))))),"")</f>
        <v/>
      </c>
      <c r="M799" s="3">
        <f>IF(AND('Data Source'!B799&lt;&gt;"",'Data Source'!S799="A+"),IF('Data Source'!AE799&gt;=5,"A+",IF('Data Source'!AE799&gt;=4,"A",IF('Data Source'!AE799&gt;=3.5,"A-",IF('Data Source'!AE799&gt;=3,"B",IF('Data Source'!AE799&gt;=2,"C",IF('Data Source'!AE799&gt;=1,"D","F")))))),"")</f>
        <v/>
      </c>
      <c r="N799" s="3">
        <f>IF(AND('Data Source'!B799&lt;&gt;"",'Data Source'!S799="A+"),IF('Data Source'!AF799&gt;=5,"A+",IF('Data Source'!AF799&gt;=4,"A",IF('Data Source'!AF799&gt;=3.5,"A-",IF('Data Source'!AF799&gt;=3,"B",IF('Data Source'!AF799&gt;=2,"C",IF('Data Source'!AF799&gt;=1,"D","F")))))),"")</f>
        <v/>
      </c>
      <c r="O799" s="3">
        <f>IF(AND('Data Source'!B799&lt;&gt;"",'Data Source'!S799="A+"),IF('Data Source'!AG799&gt;=5,"A+",IF('Data Source'!AG799&gt;=4,"A",IF('Data Source'!AG799&gt;=3.5,"A-",IF('Data Source'!AG799&gt;=3,"B",IF('Data Source'!AG799&gt;=2,"C",IF('Data Source'!AG799&gt;=1,"D","F")))))),"")</f>
        <v/>
      </c>
      <c r="P799" s="5">
        <f>IF(AND('Data Source'!B799&lt;&gt;"",'Data Source'!S799="A+"),'Data Source'!R799,"")</f>
        <v/>
      </c>
      <c r="Q799" s="3">
        <f>IF(AND('Data Source'!B799&lt;&gt;"",'Data Source'!S799="A+"),'Data Source'!S799,"")</f>
        <v/>
      </c>
    </row>
    <row r="800">
      <c r="A800" s="3">
        <f>IF(AND('Data Source'!B800&lt;&gt;"",'Data Source'!S800="A+"),COUNTIF('Data Source'!$S$3:S800,"A+"),"")</f>
        <v/>
      </c>
      <c r="B800">
        <f>IF(AND('Data Source'!B800&lt;&gt;"",'Data Source'!S800="A+"),'Data Source'!B800,"")</f>
        <v/>
      </c>
      <c r="C800" s="3">
        <f>IF(AND('Data Source'!B800&lt;&gt;"",'Data Source'!S800="A+"),IF('Data Source'!U800&gt;=5,"A+",IF('Data Source'!U800&gt;=4,"A",IF('Data Source'!U800&gt;=3.5,"A-",IF('Data Source'!U800&gt;=3,"B",IF('Data Source'!U800&gt;=2,"C",IF('Data Source'!U800&gt;=1,"D","F")))))),"")</f>
        <v/>
      </c>
      <c r="D800" s="3">
        <f>IF(AND('Data Source'!B800&lt;&gt;"",'Data Source'!S800="A+"),IF('Data Source'!V800&gt;=5,"A+",IF('Data Source'!V800&gt;=4,"A",IF('Data Source'!V800&gt;=3.5,"A-",IF('Data Source'!V800&gt;=3,"B",IF('Data Source'!V800&gt;=2,"C",IF('Data Source'!V800&gt;=1,"D","F")))))),"")</f>
        <v/>
      </c>
      <c r="E800" s="3">
        <f>IF(AND('Data Source'!B800&lt;&gt;"",'Data Source'!S800="A+"),IF('Data Source'!W800&gt;=5,"A+",IF('Data Source'!W800&gt;=4,"A",IF('Data Source'!W800&gt;=3.5,"A-",IF('Data Source'!W800&gt;=3,"B",IF('Data Source'!W800&gt;=2,"C",IF('Data Source'!W800&gt;=1,"D","F")))))),"")</f>
        <v/>
      </c>
      <c r="F800" s="3">
        <f>IF(AND('Data Source'!B800&lt;&gt;"",'Data Source'!S800="A+"),IF('Data Source'!X800&gt;=5,"A+",IF('Data Source'!X800&gt;=4,"A",IF('Data Source'!X800&gt;=3.5,"A-",IF('Data Source'!X800&gt;=3,"B",IF('Data Source'!X800&gt;=2,"C",IF('Data Source'!X800&gt;=1,"D","F")))))),"")</f>
        <v/>
      </c>
      <c r="G800" s="3">
        <f>IF(AND('Data Source'!B800&lt;&gt;"",'Data Source'!S800="A+"),IF('Data Source'!Y800&gt;=5,"A+",IF('Data Source'!Y800&gt;=4,"A",IF('Data Source'!Y800&gt;=3.5,"A-",IF('Data Source'!Y800&gt;=3,"B",IF('Data Source'!Y800&gt;=2,"C",IF('Data Source'!Y800&gt;=1,"D","F")))))),"")</f>
        <v/>
      </c>
      <c r="H800" s="3">
        <f>IF(AND('Data Source'!B800&lt;&gt;"",'Data Source'!S800="A+"),IF('Data Source'!Z800&gt;=5,"A+",IF('Data Source'!Z800&gt;=4,"A",IF('Data Source'!Z800&gt;=3.5,"A-",IF('Data Source'!Z800&gt;=3,"B",IF('Data Source'!Z800&gt;=2,"C",IF('Data Source'!Z800&gt;=1,"D","F")))))),"")</f>
        <v/>
      </c>
      <c r="I800" s="3">
        <f>IF(AND('Data Source'!B800&lt;&gt;"",'Data Source'!S800="A+"),IF('Data Source'!AA800&gt;=5,"A+",IF('Data Source'!AA800&gt;=4,"A",IF('Data Source'!AA800&gt;=3.5,"A-",IF('Data Source'!AA800&gt;=3,"B",IF('Data Source'!AA800&gt;=2,"C",IF('Data Source'!AA800&gt;=1,"D","F")))))),"")</f>
        <v/>
      </c>
      <c r="J800" s="3">
        <f>IF(AND('Data Source'!B800&lt;&gt;"",'Data Source'!S800="A+"),IF('Data Source'!AB800&gt;=5,"A+",IF('Data Source'!AB800&gt;=4,"A",IF('Data Source'!AB800&gt;=3.5,"A-",IF('Data Source'!AB800&gt;=3,"B",IF('Data Source'!AB800&gt;=2,"C",IF('Data Source'!AB800&gt;=1,"D","F")))))),"")</f>
        <v/>
      </c>
      <c r="K800" s="3">
        <f>IF(AND('Data Source'!B800&lt;&gt;"",'Data Source'!S800="A+"),IF('Data Source'!AC800&gt;=5,"A+",IF('Data Source'!AC800&gt;=4,"A",IF('Data Source'!AC800&gt;=3.5,"A-",IF('Data Source'!AC800&gt;=3,"B",IF('Data Source'!AC800&gt;=2,"C",IF('Data Source'!AC800&gt;=1,"D","F")))))),"")</f>
        <v/>
      </c>
      <c r="L800" s="3">
        <f>IF(AND('Data Source'!B800&lt;&gt;"",'Data Source'!S800="A+"),IF('Data Source'!AD800&gt;=5,"A+",IF('Data Source'!AD800&gt;=4,"A",IF('Data Source'!AD800&gt;=3.5,"A-",IF('Data Source'!AD800&gt;=3,"B",IF('Data Source'!AD800&gt;=2,"C",IF('Data Source'!AD800&gt;=1,"D","F")))))),"")</f>
        <v/>
      </c>
      <c r="M800" s="3">
        <f>IF(AND('Data Source'!B800&lt;&gt;"",'Data Source'!S800="A+"),IF('Data Source'!AE800&gt;=5,"A+",IF('Data Source'!AE800&gt;=4,"A",IF('Data Source'!AE800&gt;=3.5,"A-",IF('Data Source'!AE800&gt;=3,"B",IF('Data Source'!AE800&gt;=2,"C",IF('Data Source'!AE800&gt;=1,"D","F")))))),"")</f>
        <v/>
      </c>
      <c r="N800" s="3">
        <f>IF(AND('Data Source'!B800&lt;&gt;"",'Data Source'!S800="A+"),IF('Data Source'!AF800&gt;=5,"A+",IF('Data Source'!AF800&gt;=4,"A",IF('Data Source'!AF800&gt;=3.5,"A-",IF('Data Source'!AF800&gt;=3,"B",IF('Data Source'!AF800&gt;=2,"C",IF('Data Source'!AF800&gt;=1,"D","F")))))),"")</f>
        <v/>
      </c>
      <c r="O800" s="3">
        <f>IF(AND('Data Source'!B800&lt;&gt;"",'Data Source'!S800="A+"),IF('Data Source'!AG800&gt;=5,"A+",IF('Data Source'!AG800&gt;=4,"A",IF('Data Source'!AG800&gt;=3.5,"A-",IF('Data Source'!AG800&gt;=3,"B",IF('Data Source'!AG800&gt;=2,"C",IF('Data Source'!AG800&gt;=1,"D","F")))))),"")</f>
        <v/>
      </c>
      <c r="P800" s="5">
        <f>IF(AND('Data Source'!B800&lt;&gt;"",'Data Source'!S800="A+"),'Data Source'!R800,"")</f>
        <v/>
      </c>
      <c r="Q800" s="3">
        <f>IF(AND('Data Source'!B800&lt;&gt;"",'Data Source'!S800="A+"),'Data Source'!S800,"")</f>
        <v/>
      </c>
    </row>
    <row r="801">
      <c r="A801" s="3">
        <f>IF(AND('Data Source'!B801&lt;&gt;"",'Data Source'!S801="A+"),COUNTIF('Data Source'!$S$3:S801,"A+"),"")</f>
        <v/>
      </c>
      <c r="B801">
        <f>IF(AND('Data Source'!B801&lt;&gt;"",'Data Source'!S801="A+"),'Data Source'!B801,"")</f>
        <v/>
      </c>
      <c r="C801" s="3">
        <f>IF(AND('Data Source'!B801&lt;&gt;"",'Data Source'!S801="A+"),IF('Data Source'!U801&gt;=5,"A+",IF('Data Source'!U801&gt;=4,"A",IF('Data Source'!U801&gt;=3.5,"A-",IF('Data Source'!U801&gt;=3,"B",IF('Data Source'!U801&gt;=2,"C",IF('Data Source'!U801&gt;=1,"D","F")))))),"")</f>
        <v/>
      </c>
      <c r="D801" s="3">
        <f>IF(AND('Data Source'!B801&lt;&gt;"",'Data Source'!S801="A+"),IF('Data Source'!V801&gt;=5,"A+",IF('Data Source'!V801&gt;=4,"A",IF('Data Source'!V801&gt;=3.5,"A-",IF('Data Source'!V801&gt;=3,"B",IF('Data Source'!V801&gt;=2,"C",IF('Data Source'!V801&gt;=1,"D","F")))))),"")</f>
        <v/>
      </c>
      <c r="E801" s="3">
        <f>IF(AND('Data Source'!B801&lt;&gt;"",'Data Source'!S801="A+"),IF('Data Source'!W801&gt;=5,"A+",IF('Data Source'!W801&gt;=4,"A",IF('Data Source'!W801&gt;=3.5,"A-",IF('Data Source'!W801&gt;=3,"B",IF('Data Source'!W801&gt;=2,"C",IF('Data Source'!W801&gt;=1,"D","F")))))),"")</f>
        <v/>
      </c>
      <c r="F801" s="3">
        <f>IF(AND('Data Source'!B801&lt;&gt;"",'Data Source'!S801="A+"),IF('Data Source'!X801&gt;=5,"A+",IF('Data Source'!X801&gt;=4,"A",IF('Data Source'!X801&gt;=3.5,"A-",IF('Data Source'!X801&gt;=3,"B",IF('Data Source'!X801&gt;=2,"C",IF('Data Source'!X801&gt;=1,"D","F")))))),"")</f>
        <v/>
      </c>
      <c r="G801" s="3">
        <f>IF(AND('Data Source'!B801&lt;&gt;"",'Data Source'!S801="A+"),IF('Data Source'!Y801&gt;=5,"A+",IF('Data Source'!Y801&gt;=4,"A",IF('Data Source'!Y801&gt;=3.5,"A-",IF('Data Source'!Y801&gt;=3,"B",IF('Data Source'!Y801&gt;=2,"C",IF('Data Source'!Y801&gt;=1,"D","F")))))),"")</f>
        <v/>
      </c>
      <c r="H801" s="3">
        <f>IF(AND('Data Source'!B801&lt;&gt;"",'Data Source'!S801="A+"),IF('Data Source'!Z801&gt;=5,"A+",IF('Data Source'!Z801&gt;=4,"A",IF('Data Source'!Z801&gt;=3.5,"A-",IF('Data Source'!Z801&gt;=3,"B",IF('Data Source'!Z801&gt;=2,"C",IF('Data Source'!Z801&gt;=1,"D","F")))))),"")</f>
        <v/>
      </c>
      <c r="I801" s="3">
        <f>IF(AND('Data Source'!B801&lt;&gt;"",'Data Source'!S801="A+"),IF('Data Source'!AA801&gt;=5,"A+",IF('Data Source'!AA801&gt;=4,"A",IF('Data Source'!AA801&gt;=3.5,"A-",IF('Data Source'!AA801&gt;=3,"B",IF('Data Source'!AA801&gt;=2,"C",IF('Data Source'!AA801&gt;=1,"D","F")))))),"")</f>
        <v/>
      </c>
      <c r="J801" s="3">
        <f>IF(AND('Data Source'!B801&lt;&gt;"",'Data Source'!S801="A+"),IF('Data Source'!AB801&gt;=5,"A+",IF('Data Source'!AB801&gt;=4,"A",IF('Data Source'!AB801&gt;=3.5,"A-",IF('Data Source'!AB801&gt;=3,"B",IF('Data Source'!AB801&gt;=2,"C",IF('Data Source'!AB801&gt;=1,"D","F")))))),"")</f>
        <v/>
      </c>
      <c r="K801" s="3">
        <f>IF(AND('Data Source'!B801&lt;&gt;"",'Data Source'!S801="A+"),IF('Data Source'!AC801&gt;=5,"A+",IF('Data Source'!AC801&gt;=4,"A",IF('Data Source'!AC801&gt;=3.5,"A-",IF('Data Source'!AC801&gt;=3,"B",IF('Data Source'!AC801&gt;=2,"C",IF('Data Source'!AC801&gt;=1,"D","F")))))),"")</f>
        <v/>
      </c>
      <c r="L801" s="3">
        <f>IF(AND('Data Source'!B801&lt;&gt;"",'Data Source'!S801="A+"),IF('Data Source'!AD801&gt;=5,"A+",IF('Data Source'!AD801&gt;=4,"A",IF('Data Source'!AD801&gt;=3.5,"A-",IF('Data Source'!AD801&gt;=3,"B",IF('Data Source'!AD801&gt;=2,"C",IF('Data Source'!AD801&gt;=1,"D","F")))))),"")</f>
        <v/>
      </c>
      <c r="M801" s="3">
        <f>IF(AND('Data Source'!B801&lt;&gt;"",'Data Source'!S801="A+"),IF('Data Source'!AE801&gt;=5,"A+",IF('Data Source'!AE801&gt;=4,"A",IF('Data Source'!AE801&gt;=3.5,"A-",IF('Data Source'!AE801&gt;=3,"B",IF('Data Source'!AE801&gt;=2,"C",IF('Data Source'!AE801&gt;=1,"D","F")))))),"")</f>
        <v/>
      </c>
      <c r="N801" s="3">
        <f>IF(AND('Data Source'!B801&lt;&gt;"",'Data Source'!S801="A+"),IF('Data Source'!AF801&gt;=5,"A+",IF('Data Source'!AF801&gt;=4,"A",IF('Data Source'!AF801&gt;=3.5,"A-",IF('Data Source'!AF801&gt;=3,"B",IF('Data Source'!AF801&gt;=2,"C",IF('Data Source'!AF801&gt;=1,"D","F")))))),"")</f>
        <v/>
      </c>
      <c r="O801" s="3">
        <f>IF(AND('Data Source'!B801&lt;&gt;"",'Data Source'!S801="A+"),IF('Data Source'!AG801&gt;=5,"A+",IF('Data Source'!AG801&gt;=4,"A",IF('Data Source'!AG801&gt;=3.5,"A-",IF('Data Source'!AG801&gt;=3,"B",IF('Data Source'!AG801&gt;=2,"C",IF('Data Source'!AG801&gt;=1,"D","F")))))),"")</f>
        <v/>
      </c>
      <c r="P801" s="5">
        <f>IF(AND('Data Source'!B801&lt;&gt;"",'Data Source'!S801="A+"),'Data Source'!R801,"")</f>
        <v/>
      </c>
      <c r="Q801" s="3">
        <f>IF(AND('Data Source'!B801&lt;&gt;"",'Data Source'!S801="A+"),'Data Source'!S801,"")</f>
        <v/>
      </c>
    </row>
    <row r="802">
      <c r="A802" s="3">
        <f>IF(AND('Data Source'!B802&lt;&gt;"",'Data Source'!S802="A+"),COUNTIF('Data Source'!$S$3:S802,"A+"),"")</f>
        <v/>
      </c>
      <c r="B802">
        <f>IF(AND('Data Source'!B802&lt;&gt;"",'Data Source'!S802="A+"),'Data Source'!B802,"")</f>
        <v/>
      </c>
      <c r="C802" s="3">
        <f>IF(AND('Data Source'!B802&lt;&gt;"",'Data Source'!S802="A+"),IF('Data Source'!U802&gt;=5,"A+",IF('Data Source'!U802&gt;=4,"A",IF('Data Source'!U802&gt;=3.5,"A-",IF('Data Source'!U802&gt;=3,"B",IF('Data Source'!U802&gt;=2,"C",IF('Data Source'!U802&gt;=1,"D","F")))))),"")</f>
        <v/>
      </c>
      <c r="D802" s="3">
        <f>IF(AND('Data Source'!B802&lt;&gt;"",'Data Source'!S802="A+"),IF('Data Source'!V802&gt;=5,"A+",IF('Data Source'!V802&gt;=4,"A",IF('Data Source'!V802&gt;=3.5,"A-",IF('Data Source'!V802&gt;=3,"B",IF('Data Source'!V802&gt;=2,"C",IF('Data Source'!V802&gt;=1,"D","F")))))),"")</f>
        <v/>
      </c>
      <c r="E802" s="3">
        <f>IF(AND('Data Source'!B802&lt;&gt;"",'Data Source'!S802="A+"),IF('Data Source'!W802&gt;=5,"A+",IF('Data Source'!W802&gt;=4,"A",IF('Data Source'!W802&gt;=3.5,"A-",IF('Data Source'!W802&gt;=3,"B",IF('Data Source'!W802&gt;=2,"C",IF('Data Source'!W802&gt;=1,"D","F")))))),"")</f>
        <v/>
      </c>
      <c r="F802" s="3">
        <f>IF(AND('Data Source'!B802&lt;&gt;"",'Data Source'!S802="A+"),IF('Data Source'!X802&gt;=5,"A+",IF('Data Source'!X802&gt;=4,"A",IF('Data Source'!X802&gt;=3.5,"A-",IF('Data Source'!X802&gt;=3,"B",IF('Data Source'!X802&gt;=2,"C",IF('Data Source'!X802&gt;=1,"D","F")))))),"")</f>
        <v/>
      </c>
      <c r="G802" s="3">
        <f>IF(AND('Data Source'!B802&lt;&gt;"",'Data Source'!S802="A+"),IF('Data Source'!Y802&gt;=5,"A+",IF('Data Source'!Y802&gt;=4,"A",IF('Data Source'!Y802&gt;=3.5,"A-",IF('Data Source'!Y802&gt;=3,"B",IF('Data Source'!Y802&gt;=2,"C",IF('Data Source'!Y802&gt;=1,"D","F")))))),"")</f>
        <v/>
      </c>
      <c r="H802" s="3">
        <f>IF(AND('Data Source'!B802&lt;&gt;"",'Data Source'!S802="A+"),IF('Data Source'!Z802&gt;=5,"A+",IF('Data Source'!Z802&gt;=4,"A",IF('Data Source'!Z802&gt;=3.5,"A-",IF('Data Source'!Z802&gt;=3,"B",IF('Data Source'!Z802&gt;=2,"C",IF('Data Source'!Z802&gt;=1,"D","F")))))),"")</f>
        <v/>
      </c>
      <c r="I802" s="3">
        <f>IF(AND('Data Source'!B802&lt;&gt;"",'Data Source'!S802="A+"),IF('Data Source'!AA802&gt;=5,"A+",IF('Data Source'!AA802&gt;=4,"A",IF('Data Source'!AA802&gt;=3.5,"A-",IF('Data Source'!AA802&gt;=3,"B",IF('Data Source'!AA802&gt;=2,"C",IF('Data Source'!AA802&gt;=1,"D","F")))))),"")</f>
        <v/>
      </c>
      <c r="J802" s="3">
        <f>IF(AND('Data Source'!B802&lt;&gt;"",'Data Source'!S802="A+"),IF('Data Source'!AB802&gt;=5,"A+",IF('Data Source'!AB802&gt;=4,"A",IF('Data Source'!AB802&gt;=3.5,"A-",IF('Data Source'!AB802&gt;=3,"B",IF('Data Source'!AB802&gt;=2,"C",IF('Data Source'!AB802&gt;=1,"D","F")))))),"")</f>
        <v/>
      </c>
      <c r="K802" s="3">
        <f>IF(AND('Data Source'!B802&lt;&gt;"",'Data Source'!S802="A+"),IF('Data Source'!AC802&gt;=5,"A+",IF('Data Source'!AC802&gt;=4,"A",IF('Data Source'!AC802&gt;=3.5,"A-",IF('Data Source'!AC802&gt;=3,"B",IF('Data Source'!AC802&gt;=2,"C",IF('Data Source'!AC802&gt;=1,"D","F")))))),"")</f>
        <v/>
      </c>
      <c r="L802" s="3">
        <f>IF(AND('Data Source'!B802&lt;&gt;"",'Data Source'!S802="A+"),IF('Data Source'!AD802&gt;=5,"A+",IF('Data Source'!AD802&gt;=4,"A",IF('Data Source'!AD802&gt;=3.5,"A-",IF('Data Source'!AD802&gt;=3,"B",IF('Data Source'!AD802&gt;=2,"C",IF('Data Source'!AD802&gt;=1,"D","F")))))),"")</f>
        <v/>
      </c>
      <c r="M802" s="3">
        <f>IF(AND('Data Source'!B802&lt;&gt;"",'Data Source'!S802="A+"),IF('Data Source'!AE802&gt;=5,"A+",IF('Data Source'!AE802&gt;=4,"A",IF('Data Source'!AE802&gt;=3.5,"A-",IF('Data Source'!AE802&gt;=3,"B",IF('Data Source'!AE802&gt;=2,"C",IF('Data Source'!AE802&gt;=1,"D","F")))))),"")</f>
        <v/>
      </c>
      <c r="N802" s="3">
        <f>IF(AND('Data Source'!B802&lt;&gt;"",'Data Source'!S802="A+"),IF('Data Source'!AF802&gt;=5,"A+",IF('Data Source'!AF802&gt;=4,"A",IF('Data Source'!AF802&gt;=3.5,"A-",IF('Data Source'!AF802&gt;=3,"B",IF('Data Source'!AF802&gt;=2,"C",IF('Data Source'!AF802&gt;=1,"D","F")))))),"")</f>
        <v/>
      </c>
      <c r="O802" s="3">
        <f>IF(AND('Data Source'!B802&lt;&gt;"",'Data Source'!S802="A+"),IF('Data Source'!AG802&gt;=5,"A+",IF('Data Source'!AG802&gt;=4,"A",IF('Data Source'!AG802&gt;=3.5,"A-",IF('Data Source'!AG802&gt;=3,"B",IF('Data Source'!AG802&gt;=2,"C",IF('Data Source'!AG802&gt;=1,"D","F")))))),"")</f>
        <v/>
      </c>
      <c r="P802" s="5">
        <f>IF(AND('Data Source'!B802&lt;&gt;"",'Data Source'!S802="A+"),'Data Source'!R802,"")</f>
        <v/>
      </c>
      <c r="Q802" s="3">
        <f>IF(AND('Data Source'!B802&lt;&gt;"",'Data Source'!S802="A+"),'Data Source'!S802,"")</f>
        <v/>
      </c>
    </row>
    <row r="803">
      <c r="A803" s="3">
        <f>IF(AND('Data Source'!B803&lt;&gt;"",'Data Source'!S803="A+"),COUNTIF('Data Source'!$S$3:S803,"A+"),"")</f>
        <v/>
      </c>
      <c r="B803">
        <f>IF(AND('Data Source'!B803&lt;&gt;"",'Data Source'!S803="A+"),'Data Source'!B803,"")</f>
        <v/>
      </c>
      <c r="C803" s="3">
        <f>IF(AND('Data Source'!B803&lt;&gt;"",'Data Source'!S803="A+"),IF('Data Source'!U803&gt;=5,"A+",IF('Data Source'!U803&gt;=4,"A",IF('Data Source'!U803&gt;=3.5,"A-",IF('Data Source'!U803&gt;=3,"B",IF('Data Source'!U803&gt;=2,"C",IF('Data Source'!U803&gt;=1,"D","F")))))),"")</f>
        <v/>
      </c>
      <c r="D803" s="3">
        <f>IF(AND('Data Source'!B803&lt;&gt;"",'Data Source'!S803="A+"),IF('Data Source'!V803&gt;=5,"A+",IF('Data Source'!V803&gt;=4,"A",IF('Data Source'!V803&gt;=3.5,"A-",IF('Data Source'!V803&gt;=3,"B",IF('Data Source'!V803&gt;=2,"C",IF('Data Source'!V803&gt;=1,"D","F")))))),"")</f>
        <v/>
      </c>
      <c r="E803" s="3">
        <f>IF(AND('Data Source'!B803&lt;&gt;"",'Data Source'!S803="A+"),IF('Data Source'!W803&gt;=5,"A+",IF('Data Source'!W803&gt;=4,"A",IF('Data Source'!W803&gt;=3.5,"A-",IF('Data Source'!W803&gt;=3,"B",IF('Data Source'!W803&gt;=2,"C",IF('Data Source'!W803&gt;=1,"D","F")))))),"")</f>
        <v/>
      </c>
      <c r="F803" s="3">
        <f>IF(AND('Data Source'!B803&lt;&gt;"",'Data Source'!S803="A+"),IF('Data Source'!X803&gt;=5,"A+",IF('Data Source'!X803&gt;=4,"A",IF('Data Source'!X803&gt;=3.5,"A-",IF('Data Source'!X803&gt;=3,"B",IF('Data Source'!X803&gt;=2,"C",IF('Data Source'!X803&gt;=1,"D","F")))))),"")</f>
        <v/>
      </c>
      <c r="G803" s="3">
        <f>IF(AND('Data Source'!B803&lt;&gt;"",'Data Source'!S803="A+"),IF('Data Source'!Y803&gt;=5,"A+",IF('Data Source'!Y803&gt;=4,"A",IF('Data Source'!Y803&gt;=3.5,"A-",IF('Data Source'!Y803&gt;=3,"B",IF('Data Source'!Y803&gt;=2,"C",IF('Data Source'!Y803&gt;=1,"D","F")))))),"")</f>
        <v/>
      </c>
      <c r="H803" s="3">
        <f>IF(AND('Data Source'!B803&lt;&gt;"",'Data Source'!S803="A+"),IF('Data Source'!Z803&gt;=5,"A+",IF('Data Source'!Z803&gt;=4,"A",IF('Data Source'!Z803&gt;=3.5,"A-",IF('Data Source'!Z803&gt;=3,"B",IF('Data Source'!Z803&gt;=2,"C",IF('Data Source'!Z803&gt;=1,"D","F")))))),"")</f>
        <v/>
      </c>
      <c r="I803" s="3">
        <f>IF(AND('Data Source'!B803&lt;&gt;"",'Data Source'!S803="A+"),IF('Data Source'!AA803&gt;=5,"A+",IF('Data Source'!AA803&gt;=4,"A",IF('Data Source'!AA803&gt;=3.5,"A-",IF('Data Source'!AA803&gt;=3,"B",IF('Data Source'!AA803&gt;=2,"C",IF('Data Source'!AA803&gt;=1,"D","F")))))),"")</f>
        <v/>
      </c>
      <c r="J803" s="3">
        <f>IF(AND('Data Source'!B803&lt;&gt;"",'Data Source'!S803="A+"),IF('Data Source'!AB803&gt;=5,"A+",IF('Data Source'!AB803&gt;=4,"A",IF('Data Source'!AB803&gt;=3.5,"A-",IF('Data Source'!AB803&gt;=3,"B",IF('Data Source'!AB803&gt;=2,"C",IF('Data Source'!AB803&gt;=1,"D","F")))))),"")</f>
        <v/>
      </c>
      <c r="K803" s="3">
        <f>IF(AND('Data Source'!B803&lt;&gt;"",'Data Source'!S803="A+"),IF('Data Source'!AC803&gt;=5,"A+",IF('Data Source'!AC803&gt;=4,"A",IF('Data Source'!AC803&gt;=3.5,"A-",IF('Data Source'!AC803&gt;=3,"B",IF('Data Source'!AC803&gt;=2,"C",IF('Data Source'!AC803&gt;=1,"D","F")))))),"")</f>
        <v/>
      </c>
      <c r="L803" s="3">
        <f>IF(AND('Data Source'!B803&lt;&gt;"",'Data Source'!S803="A+"),IF('Data Source'!AD803&gt;=5,"A+",IF('Data Source'!AD803&gt;=4,"A",IF('Data Source'!AD803&gt;=3.5,"A-",IF('Data Source'!AD803&gt;=3,"B",IF('Data Source'!AD803&gt;=2,"C",IF('Data Source'!AD803&gt;=1,"D","F")))))),"")</f>
        <v/>
      </c>
      <c r="M803" s="3">
        <f>IF(AND('Data Source'!B803&lt;&gt;"",'Data Source'!S803="A+"),IF('Data Source'!AE803&gt;=5,"A+",IF('Data Source'!AE803&gt;=4,"A",IF('Data Source'!AE803&gt;=3.5,"A-",IF('Data Source'!AE803&gt;=3,"B",IF('Data Source'!AE803&gt;=2,"C",IF('Data Source'!AE803&gt;=1,"D","F")))))),"")</f>
        <v/>
      </c>
      <c r="N803" s="3">
        <f>IF(AND('Data Source'!B803&lt;&gt;"",'Data Source'!S803="A+"),IF('Data Source'!AF803&gt;=5,"A+",IF('Data Source'!AF803&gt;=4,"A",IF('Data Source'!AF803&gt;=3.5,"A-",IF('Data Source'!AF803&gt;=3,"B",IF('Data Source'!AF803&gt;=2,"C",IF('Data Source'!AF803&gt;=1,"D","F")))))),"")</f>
        <v/>
      </c>
      <c r="O803" s="3">
        <f>IF(AND('Data Source'!B803&lt;&gt;"",'Data Source'!S803="A+"),IF('Data Source'!AG803&gt;=5,"A+",IF('Data Source'!AG803&gt;=4,"A",IF('Data Source'!AG803&gt;=3.5,"A-",IF('Data Source'!AG803&gt;=3,"B",IF('Data Source'!AG803&gt;=2,"C",IF('Data Source'!AG803&gt;=1,"D","F")))))),"")</f>
        <v/>
      </c>
      <c r="P803" s="5">
        <f>IF(AND('Data Source'!B803&lt;&gt;"",'Data Source'!S803="A+"),'Data Source'!R803,"")</f>
        <v/>
      </c>
      <c r="Q803" s="3">
        <f>IF(AND('Data Source'!B803&lt;&gt;"",'Data Source'!S803="A+"),'Data Source'!S803,"")</f>
        <v/>
      </c>
    </row>
    <row r="804">
      <c r="A804" s="3">
        <f>IF(AND('Data Source'!B804&lt;&gt;"",'Data Source'!S804="A+"),COUNTIF('Data Source'!$S$3:S804,"A+"),"")</f>
        <v/>
      </c>
      <c r="B804">
        <f>IF(AND('Data Source'!B804&lt;&gt;"",'Data Source'!S804="A+"),'Data Source'!B804,"")</f>
        <v/>
      </c>
      <c r="C804" s="3">
        <f>IF(AND('Data Source'!B804&lt;&gt;"",'Data Source'!S804="A+"),IF('Data Source'!U804&gt;=5,"A+",IF('Data Source'!U804&gt;=4,"A",IF('Data Source'!U804&gt;=3.5,"A-",IF('Data Source'!U804&gt;=3,"B",IF('Data Source'!U804&gt;=2,"C",IF('Data Source'!U804&gt;=1,"D","F")))))),"")</f>
        <v/>
      </c>
      <c r="D804" s="3">
        <f>IF(AND('Data Source'!B804&lt;&gt;"",'Data Source'!S804="A+"),IF('Data Source'!V804&gt;=5,"A+",IF('Data Source'!V804&gt;=4,"A",IF('Data Source'!V804&gt;=3.5,"A-",IF('Data Source'!V804&gt;=3,"B",IF('Data Source'!V804&gt;=2,"C",IF('Data Source'!V804&gt;=1,"D","F")))))),"")</f>
        <v/>
      </c>
      <c r="E804" s="3">
        <f>IF(AND('Data Source'!B804&lt;&gt;"",'Data Source'!S804="A+"),IF('Data Source'!W804&gt;=5,"A+",IF('Data Source'!W804&gt;=4,"A",IF('Data Source'!W804&gt;=3.5,"A-",IF('Data Source'!W804&gt;=3,"B",IF('Data Source'!W804&gt;=2,"C",IF('Data Source'!W804&gt;=1,"D","F")))))),"")</f>
        <v/>
      </c>
      <c r="F804" s="3">
        <f>IF(AND('Data Source'!B804&lt;&gt;"",'Data Source'!S804="A+"),IF('Data Source'!X804&gt;=5,"A+",IF('Data Source'!X804&gt;=4,"A",IF('Data Source'!X804&gt;=3.5,"A-",IF('Data Source'!X804&gt;=3,"B",IF('Data Source'!X804&gt;=2,"C",IF('Data Source'!X804&gt;=1,"D","F")))))),"")</f>
        <v/>
      </c>
      <c r="G804" s="3">
        <f>IF(AND('Data Source'!B804&lt;&gt;"",'Data Source'!S804="A+"),IF('Data Source'!Y804&gt;=5,"A+",IF('Data Source'!Y804&gt;=4,"A",IF('Data Source'!Y804&gt;=3.5,"A-",IF('Data Source'!Y804&gt;=3,"B",IF('Data Source'!Y804&gt;=2,"C",IF('Data Source'!Y804&gt;=1,"D","F")))))),"")</f>
        <v/>
      </c>
      <c r="H804" s="3">
        <f>IF(AND('Data Source'!B804&lt;&gt;"",'Data Source'!S804="A+"),IF('Data Source'!Z804&gt;=5,"A+",IF('Data Source'!Z804&gt;=4,"A",IF('Data Source'!Z804&gt;=3.5,"A-",IF('Data Source'!Z804&gt;=3,"B",IF('Data Source'!Z804&gt;=2,"C",IF('Data Source'!Z804&gt;=1,"D","F")))))),"")</f>
        <v/>
      </c>
      <c r="I804" s="3">
        <f>IF(AND('Data Source'!B804&lt;&gt;"",'Data Source'!S804="A+"),IF('Data Source'!AA804&gt;=5,"A+",IF('Data Source'!AA804&gt;=4,"A",IF('Data Source'!AA804&gt;=3.5,"A-",IF('Data Source'!AA804&gt;=3,"B",IF('Data Source'!AA804&gt;=2,"C",IF('Data Source'!AA804&gt;=1,"D","F")))))),"")</f>
        <v/>
      </c>
      <c r="J804" s="3">
        <f>IF(AND('Data Source'!B804&lt;&gt;"",'Data Source'!S804="A+"),IF('Data Source'!AB804&gt;=5,"A+",IF('Data Source'!AB804&gt;=4,"A",IF('Data Source'!AB804&gt;=3.5,"A-",IF('Data Source'!AB804&gt;=3,"B",IF('Data Source'!AB804&gt;=2,"C",IF('Data Source'!AB804&gt;=1,"D","F")))))),"")</f>
        <v/>
      </c>
      <c r="K804" s="3">
        <f>IF(AND('Data Source'!B804&lt;&gt;"",'Data Source'!S804="A+"),IF('Data Source'!AC804&gt;=5,"A+",IF('Data Source'!AC804&gt;=4,"A",IF('Data Source'!AC804&gt;=3.5,"A-",IF('Data Source'!AC804&gt;=3,"B",IF('Data Source'!AC804&gt;=2,"C",IF('Data Source'!AC804&gt;=1,"D","F")))))),"")</f>
        <v/>
      </c>
      <c r="L804" s="3">
        <f>IF(AND('Data Source'!B804&lt;&gt;"",'Data Source'!S804="A+"),IF('Data Source'!AD804&gt;=5,"A+",IF('Data Source'!AD804&gt;=4,"A",IF('Data Source'!AD804&gt;=3.5,"A-",IF('Data Source'!AD804&gt;=3,"B",IF('Data Source'!AD804&gt;=2,"C",IF('Data Source'!AD804&gt;=1,"D","F")))))),"")</f>
        <v/>
      </c>
      <c r="M804" s="3">
        <f>IF(AND('Data Source'!B804&lt;&gt;"",'Data Source'!S804="A+"),IF('Data Source'!AE804&gt;=5,"A+",IF('Data Source'!AE804&gt;=4,"A",IF('Data Source'!AE804&gt;=3.5,"A-",IF('Data Source'!AE804&gt;=3,"B",IF('Data Source'!AE804&gt;=2,"C",IF('Data Source'!AE804&gt;=1,"D","F")))))),"")</f>
        <v/>
      </c>
      <c r="N804" s="3">
        <f>IF(AND('Data Source'!B804&lt;&gt;"",'Data Source'!S804="A+"),IF('Data Source'!AF804&gt;=5,"A+",IF('Data Source'!AF804&gt;=4,"A",IF('Data Source'!AF804&gt;=3.5,"A-",IF('Data Source'!AF804&gt;=3,"B",IF('Data Source'!AF804&gt;=2,"C",IF('Data Source'!AF804&gt;=1,"D","F")))))),"")</f>
        <v/>
      </c>
      <c r="O804" s="3">
        <f>IF(AND('Data Source'!B804&lt;&gt;"",'Data Source'!S804="A+"),IF('Data Source'!AG804&gt;=5,"A+",IF('Data Source'!AG804&gt;=4,"A",IF('Data Source'!AG804&gt;=3.5,"A-",IF('Data Source'!AG804&gt;=3,"B",IF('Data Source'!AG804&gt;=2,"C",IF('Data Source'!AG804&gt;=1,"D","F")))))),"")</f>
        <v/>
      </c>
      <c r="P804" s="5">
        <f>IF(AND('Data Source'!B804&lt;&gt;"",'Data Source'!S804="A+"),'Data Source'!R804,"")</f>
        <v/>
      </c>
      <c r="Q804" s="3">
        <f>IF(AND('Data Source'!B804&lt;&gt;"",'Data Source'!S804="A+"),'Data Source'!S804,"")</f>
        <v/>
      </c>
    </row>
    <row r="805">
      <c r="A805" s="3">
        <f>IF(AND('Data Source'!B805&lt;&gt;"",'Data Source'!S805="A+"),COUNTIF('Data Source'!$S$3:S805,"A+"),"")</f>
        <v/>
      </c>
      <c r="B805">
        <f>IF(AND('Data Source'!B805&lt;&gt;"",'Data Source'!S805="A+"),'Data Source'!B805,"")</f>
        <v/>
      </c>
      <c r="C805" s="3">
        <f>IF(AND('Data Source'!B805&lt;&gt;"",'Data Source'!S805="A+"),IF('Data Source'!U805&gt;=5,"A+",IF('Data Source'!U805&gt;=4,"A",IF('Data Source'!U805&gt;=3.5,"A-",IF('Data Source'!U805&gt;=3,"B",IF('Data Source'!U805&gt;=2,"C",IF('Data Source'!U805&gt;=1,"D","F")))))),"")</f>
        <v/>
      </c>
      <c r="D805" s="3">
        <f>IF(AND('Data Source'!B805&lt;&gt;"",'Data Source'!S805="A+"),IF('Data Source'!V805&gt;=5,"A+",IF('Data Source'!V805&gt;=4,"A",IF('Data Source'!V805&gt;=3.5,"A-",IF('Data Source'!V805&gt;=3,"B",IF('Data Source'!V805&gt;=2,"C",IF('Data Source'!V805&gt;=1,"D","F")))))),"")</f>
        <v/>
      </c>
      <c r="E805" s="3">
        <f>IF(AND('Data Source'!B805&lt;&gt;"",'Data Source'!S805="A+"),IF('Data Source'!W805&gt;=5,"A+",IF('Data Source'!W805&gt;=4,"A",IF('Data Source'!W805&gt;=3.5,"A-",IF('Data Source'!W805&gt;=3,"B",IF('Data Source'!W805&gt;=2,"C",IF('Data Source'!W805&gt;=1,"D","F")))))),"")</f>
        <v/>
      </c>
      <c r="F805" s="3">
        <f>IF(AND('Data Source'!B805&lt;&gt;"",'Data Source'!S805="A+"),IF('Data Source'!X805&gt;=5,"A+",IF('Data Source'!X805&gt;=4,"A",IF('Data Source'!X805&gt;=3.5,"A-",IF('Data Source'!X805&gt;=3,"B",IF('Data Source'!X805&gt;=2,"C",IF('Data Source'!X805&gt;=1,"D","F")))))),"")</f>
        <v/>
      </c>
      <c r="G805" s="3">
        <f>IF(AND('Data Source'!B805&lt;&gt;"",'Data Source'!S805="A+"),IF('Data Source'!Y805&gt;=5,"A+",IF('Data Source'!Y805&gt;=4,"A",IF('Data Source'!Y805&gt;=3.5,"A-",IF('Data Source'!Y805&gt;=3,"B",IF('Data Source'!Y805&gt;=2,"C",IF('Data Source'!Y805&gt;=1,"D","F")))))),"")</f>
        <v/>
      </c>
      <c r="H805" s="3">
        <f>IF(AND('Data Source'!B805&lt;&gt;"",'Data Source'!S805="A+"),IF('Data Source'!Z805&gt;=5,"A+",IF('Data Source'!Z805&gt;=4,"A",IF('Data Source'!Z805&gt;=3.5,"A-",IF('Data Source'!Z805&gt;=3,"B",IF('Data Source'!Z805&gt;=2,"C",IF('Data Source'!Z805&gt;=1,"D","F")))))),"")</f>
        <v/>
      </c>
      <c r="I805" s="3">
        <f>IF(AND('Data Source'!B805&lt;&gt;"",'Data Source'!S805="A+"),IF('Data Source'!AA805&gt;=5,"A+",IF('Data Source'!AA805&gt;=4,"A",IF('Data Source'!AA805&gt;=3.5,"A-",IF('Data Source'!AA805&gt;=3,"B",IF('Data Source'!AA805&gt;=2,"C",IF('Data Source'!AA805&gt;=1,"D","F")))))),"")</f>
        <v/>
      </c>
      <c r="J805" s="3">
        <f>IF(AND('Data Source'!B805&lt;&gt;"",'Data Source'!S805="A+"),IF('Data Source'!AB805&gt;=5,"A+",IF('Data Source'!AB805&gt;=4,"A",IF('Data Source'!AB805&gt;=3.5,"A-",IF('Data Source'!AB805&gt;=3,"B",IF('Data Source'!AB805&gt;=2,"C",IF('Data Source'!AB805&gt;=1,"D","F")))))),"")</f>
        <v/>
      </c>
      <c r="K805" s="3">
        <f>IF(AND('Data Source'!B805&lt;&gt;"",'Data Source'!S805="A+"),IF('Data Source'!AC805&gt;=5,"A+",IF('Data Source'!AC805&gt;=4,"A",IF('Data Source'!AC805&gt;=3.5,"A-",IF('Data Source'!AC805&gt;=3,"B",IF('Data Source'!AC805&gt;=2,"C",IF('Data Source'!AC805&gt;=1,"D","F")))))),"")</f>
        <v/>
      </c>
      <c r="L805" s="3">
        <f>IF(AND('Data Source'!B805&lt;&gt;"",'Data Source'!S805="A+"),IF('Data Source'!AD805&gt;=5,"A+",IF('Data Source'!AD805&gt;=4,"A",IF('Data Source'!AD805&gt;=3.5,"A-",IF('Data Source'!AD805&gt;=3,"B",IF('Data Source'!AD805&gt;=2,"C",IF('Data Source'!AD805&gt;=1,"D","F")))))),"")</f>
        <v/>
      </c>
      <c r="M805" s="3">
        <f>IF(AND('Data Source'!B805&lt;&gt;"",'Data Source'!S805="A+"),IF('Data Source'!AE805&gt;=5,"A+",IF('Data Source'!AE805&gt;=4,"A",IF('Data Source'!AE805&gt;=3.5,"A-",IF('Data Source'!AE805&gt;=3,"B",IF('Data Source'!AE805&gt;=2,"C",IF('Data Source'!AE805&gt;=1,"D","F")))))),"")</f>
        <v/>
      </c>
      <c r="N805" s="3">
        <f>IF(AND('Data Source'!B805&lt;&gt;"",'Data Source'!S805="A+"),IF('Data Source'!AF805&gt;=5,"A+",IF('Data Source'!AF805&gt;=4,"A",IF('Data Source'!AF805&gt;=3.5,"A-",IF('Data Source'!AF805&gt;=3,"B",IF('Data Source'!AF805&gt;=2,"C",IF('Data Source'!AF805&gt;=1,"D","F")))))),"")</f>
        <v/>
      </c>
      <c r="O805" s="3">
        <f>IF(AND('Data Source'!B805&lt;&gt;"",'Data Source'!S805="A+"),IF('Data Source'!AG805&gt;=5,"A+",IF('Data Source'!AG805&gt;=4,"A",IF('Data Source'!AG805&gt;=3.5,"A-",IF('Data Source'!AG805&gt;=3,"B",IF('Data Source'!AG805&gt;=2,"C",IF('Data Source'!AG805&gt;=1,"D","F")))))),"")</f>
        <v/>
      </c>
      <c r="P805" s="5">
        <f>IF(AND('Data Source'!B805&lt;&gt;"",'Data Source'!S805="A+"),'Data Source'!R805,"")</f>
        <v/>
      </c>
      <c r="Q805" s="3">
        <f>IF(AND('Data Source'!B805&lt;&gt;"",'Data Source'!S805="A+"),'Data Source'!S805,"")</f>
        <v/>
      </c>
    </row>
    <row r="806">
      <c r="A806" s="3">
        <f>IF(AND('Data Source'!B806&lt;&gt;"",'Data Source'!S806="A+"),COUNTIF('Data Source'!$S$3:S806,"A+"),"")</f>
        <v/>
      </c>
      <c r="B806">
        <f>IF(AND('Data Source'!B806&lt;&gt;"",'Data Source'!S806="A+"),'Data Source'!B806,"")</f>
        <v/>
      </c>
      <c r="C806" s="3">
        <f>IF(AND('Data Source'!B806&lt;&gt;"",'Data Source'!S806="A+"),IF('Data Source'!U806&gt;=5,"A+",IF('Data Source'!U806&gt;=4,"A",IF('Data Source'!U806&gt;=3.5,"A-",IF('Data Source'!U806&gt;=3,"B",IF('Data Source'!U806&gt;=2,"C",IF('Data Source'!U806&gt;=1,"D","F")))))),"")</f>
        <v/>
      </c>
      <c r="D806" s="3">
        <f>IF(AND('Data Source'!B806&lt;&gt;"",'Data Source'!S806="A+"),IF('Data Source'!V806&gt;=5,"A+",IF('Data Source'!V806&gt;=4,"A",IF('Data Source'!V806&gt;=3.5,"A-",IF('Data Source'!V806&gt;=3,"B",IF('Data Source'!V806&gt;=2,"C",IF('Data Source'!V806&gt;=1,"D","F")))))),"")</f>
        <v/>
      </c>
      <c r="E806" s="3">
        <f>IF(AND('Data Source'!B806&lt;&gt;"",'Data Source'!S806="A+"),IF('Data Source'!W806&gt;=5,"A+",IF('Data Source'!W806&gt;=4,"A",IF('Data Source'!W806&gt;=3.5,"A-",IF('Data Source'!W806&gt;=3,"B",IF('Data Source'!W806&gt;=2,"C",IF('Data Source'!W806&gt;=1,"D","F")))))),"")</f>
        <v/>
      </c>
      <c r="F806" s="3">
        <f>IF(AND('Data Source'!B806&lt;&gt;"",'Data Source'!S806="A+"),IF('Data Source'!X806&gt;=5,"A+",IF('Data Source'!X806&gt;=4,"A",IF('Data Source'!X806&gt;=3.5,"A-",IF('Data Source'!X806&gt;=3,"B",IF('Data Source'!X806&gt;=2,"C",IF('Data Source'!X806&gt;=1,"D","F")))))),"")</f>
        <v/>
      </c>
      <c r="G806" s="3">
        <f>IF(AND('Data Source'!B806&lt;&gt;"",'Data Source'!S806="A+"),IF('Data Source'!Y806&gt;=5,"A+",IF('Data Source'!Y806&gt;=4,"A",IF('Data Source'!Y806&gt;=3.5,"A-",IF('Data Source'!Y806&gt;=3,"B",IF('Data Source'!Y806&gt;=2,"C",IF('Data Source'!Y806&gt;=1,"D","F")))))),"")</f>
        <v/>
      </c>
      <c r="H806" s="3">
        <f>IF(AND('Data Source'!B806&lt;&gt;"",'Data Source'!S806="A+"),IF('Data Source'!Z806&gt;=5,"A+",IF('Data Source'!Z806&gt;=4,"A",IF('Data Source'!Z806&gt;=3.5,"A-",IF('Data Source'!Z806&gt;=3,"B",IF('Data Source'!Z806&gt;=2,"C",IF('Data Source'!Z806&gt;=1,"D","F")))))),"")</f>
        <v/>
      </c>
      <c r="I806" s="3">
        <f>IF(AND('Data Source'!B806&lt;&gt;"",'Data Source'!S806="A+"),IF('Data Source'!AA806&gt;=5,"A+",IF('Data Source'!AA806&gt;=4,"A",IF('Data Source'!AA806&gt;=3.5,"A-",IF('Data Source'!AA806&gt;=3,"B",IF('Data Source'!AA806&gt;=2,"C",IF('Data Source'!AA806&gt;=1,"D","F")))))),"")</f>
        <v/>
      </c>
      <c r="J806" s="3">
        <f>IF(AND('Data Source'!B806&lt;&gt;"",'Data Source'!S806="A+"),IF('Data Source'!AB806&gt;=5,"A+",IF('Data Source'!AB806&gt;=4,"A",IF('Data Source'!AB806&gt;=3.5,"A-",IF('Data Source'!AB806&gt;=3,"B",IF('Data Source'!AB806&gt;=2,"C",IF('Data Source'!AB806&gt;=1,"D","F")))))),"")</f>
        <v/>
      </c>
      <c r="K806" s="3">
        <f>IF(AND('Data Source'!B806&lt;&gt;"",'Data Source'!S806="A+"),IF('Data Source'!AC806&gt;=5,"A+",IF('Data Source'!AC806&gt;=4,"A",IF('Data Source'!AC806&gt;=3.5,"A-",IF('Data Source'!AC806&gt;=3,"B",IF('Data Source'!AC806&gt;=2,"C",IF('Data Source'!AC806&gt;=1,"D","F")))))),"")</f>
        <v/>
      </c>
      <c r="L806" s="3">
        <f>IF(AND('Data Source'!B806&lt;&gt;"",'Data Source'!S806="A+"),IF('Data Source'!AD806&gt;=5,"A+",IF('Data Source'!AD806&gt;=4,"A",IF('Data Source'!AD806&gt;=3.5,"A-",IF('Data Source'!AD806&gt;=3,"B",IF('Data Source'!AD806&gt;=2,"C",IF('Data Source'!AD806&gt;=1,"D","F")))))),"")</f>
        <v/>
      </c>
      <c r="M806" s="3">
        <f>IF(AND('Data Source'!B806&lt;&gt;"",'Data Source'!S806="A+"),IF('Data Source'!AE806&gt;=5,"A+",IF('Data Source'!AE806&gt;=4,"A",IF('Data Source'!AE806&gt;=3.5,"A-",IF('Data Source'!AE806&gt;=3,"B",IF('Data Source'!AE806&gt;=2,"C",IF('Data Source'!AE806&gt;=1,"D","F")))))),"")</f>
        <v/>
      </c>
      <c r="N806" s="3">
        <f>IF(AND('Data Source'!B806&lt;&gt;"",'Data Source'!S806="A+"),IF('Data Source'!AF806&gt;=5,"A+",IF('Data Source'!AF806&gt;=4,"A",IF('Data Source'!AF806&gt;=3.5,"A-",IF('Data Source'!AF806&gt;=3,"B",IF('Data Source'!AF806&gt;=2,"C",IF('Data Source'!AF806&gt;=1,"D","F")))))),"")</f>
        <v/>
      </c>
      <c r="O806" s="3">
        <f>IF(AND('Data Source'!B806&lt;&gt;"",'Data Source'!S806="A+"),IF('Data Source'!AG806&gt;=5,"A+",IF('Data Source'!AG806&gt;=4,"A",IF('Data Source'!AG806&gt;=3.5,"A-",IF('Data Source'!AG806&gt;=3,"B",IF('Data Source'!AG806&gt;=2,"C",IF('Data Source'!AG806&gt;=1,"D","F")))))),"")</f>
        <v/>
      </c>
      <c r="P806" s="5">
        <f>IF(AND('Data Source'!B806&lt;&gt;"",'Data Source'!S806="A+"),'Data Source'!R806,"")</f>
        <v/>
      </c>
      <c r="Q806" s="3">
        <f>IF(AND('Data Source'!B806&lt;&gt;"",'Data Source'!S806="A+"),'Data Source'!S806,"")</f>
        <v/>
      </c>
    </row>
    <row r="807">
      <c r="A807" s="3">
        <f>IF(AND('Data Source'!B807&lt;&gt;"",'Data Source'!S807="A+"),COUNTIF('Data Source'!$S$3:S807,"A+"),"")</f>
        <v/>
      </c>
      <c r="B807">
        <f>IF(AND('Data Source'!B807&lt;&gt;"",'Data Source'!S807="A+"),'Data Source'!B807,"")</f>
        <v/>
      </c>
      <c r="C807" s="3">
        <f>IF(AND('Data Source'!B807&lt;&gt;"",'Data Source'!S807="A+"),IF('Data Source'!U807&gt;=5,"A+",IF('Data Source'!U807&gt;=4,"A",IF('Data Source'!U807&gt;=3.5,"A-",IF('Data Source'!U807&gt;=3,"B",IF('Data Source'!U807&gt;=2,"C",IF('Data Source'!U807&gt;=1,"D","F")))))),"")</f>
        <v/>
      </c>
      <c r="D807" s="3">
        <f>IF(AND('Data Source'!B807&lt;&gt;"",'Data Source'!S807="A+"),IF('Data Source'!V807&gt;=5,"A+",IF('Data Source'!V807&gt;=4,"A",IF('Data Source'!V807&gt;=3.5,"A-",IF('Data Source'!V807&gt;=3,"B",IF('Data Source'!V807&gt;=2,"C",IF('Data Source'!V807&gt;=1,"D","F")))))),"")</f>
        <v/>
      </c>
      <c r="E807" s="3">
        <f>IF(AND('Data Source'!B807&lt;&gt;"",'Data Source'!S807="A+"),IF('Data Source'!W807&gt;=5,"A+",IF('Data Source'!W807&gt;=4,"A",IF('Data Source'!W807&gt;=3.5,"A-",IF('Data Source'!W807&gt;=3,"B",IF('Data Source'!W807&gt;=2,"C",IF('Data Source'!W807&gt;=1,"D","F")))))),"")</f>
        <v/>
      </c>
      <c r="F807" s="3">
        <f>IF(AND('Data Source'!B807&lt;&gt;"",'Data Source'!S807="A+"),IF('Data Source'!X807&gt;=5,"A+",IF('Data Source'!X807&gt;=4,"A",IF('Data Source'!X807&gt;=3.5,"A-",IF('Data Source'!X807&gt;=3,"B",IF('Data Source'!X807&gt;=2,"C",IF('Data Source'!X807&gt;=1,"D","F")))))),"")</f>
        <v/>
      </c>
      <c r="G807" s="3">
        <f>IF(AND('Data Source'!B807&lt;&gt;"",'Data Source'!S807="A+"),IF('Data Source'!Y807&gt;=5,"A+",IF('Data Source'!Y807&gt;=4,"A",IF('Data Source'!Y807&gt;=3.5,"A-",IF('Data Source'!Y807&gt;=3,"B",IF('Data Source'!Y807&gt;=2,"C",IF('Data Source'!Y807&gt;=1,"D","F")))))),"")</f>
        <v/>
      </c>
      <c r="H807" s="3">
        <f>IF(AND('Data Source'!B807&lt;&gt;"",'Data Source'!S807="A+"),IF('Data Source'!Z807&gt;=5,"A+",IF('Data Source'!Z807&gt;=4,"A",IF('Data Source'!Z807&gt;=3.5,"A-",IF('Data Source'!Z807&gt;=3,"B",IF('Data Source'!Z807&gt;=2,"C",IF('Data Source'!Z807&gt;=1,"D","F")))))),"")</f>
        <v/>
      </c>
      <c r="I807" s="3">
        <f>IF(AND('Data Source'!B807&lt;&gt;"",'Data Source'!S807="A+"),IF('Data Source'!AA807&gt;=5,"A+",IF('Data Source'!AA807&gt;=4,"A",IF('Data Source'!AA807&gt;=3.5,"A-",IF('Data Source'!AA807&gt;=3,"B",IF('Data Source'!AA807&gt;=2,"C",IF('Data Source'!AA807&gt;=1,"D","F")))))),"")</f>
        <v/>
      </c>
      <c r="J807" s="3">
        <f>IF(AND('Data Source'!B807&lt;&gt;"",'Data Source'!S807="A+"),IF('Data Source'!AB807&gt;=5,"A+",IF('Data Source'!AB807&gt;=4,"A",IF('Data Source'!AB807&gt;=3.5,"A-",IF('Data Source'!AB807&gt;=3,"B",IF('Data Source'!AB807&gt;=2,"C",IF('Data Source'!AB807&gt;=1,"D","F")))))),"")</f>
        <v/>
      </c>
      <c r="K807" s="3">
        <f>IF(AND('Data Source'!B807&lt;&gt;"",'Data Source'!S807="A+"),IF('Data Source'!AC807&gt;=5,"A+",IF('Data Source'!AC807&gt;=4,"A",IF('Data Source'!AC807&gt;=3.5,"A-",IF('Data Source'!AC807&gt;=3,"B",IF('Data Source'!AC807&gt;=2,"C",IF('Data Source'!AC807&gt;=1,"D","F")))))),"")</f>
        <v/>
      </c>
      <c r="L807" s="3">
        <f>IF(AND('Data Source'!B807&lt;&gt;"",'Data Source'!S807="A+"),IF('Data Source'!AD807&gt;=5,"A+",IF('Data Source'!AD807&gt;=4,"A",IF('Data Source'!AD807&gt;=3.5,"A-",IF('Data Source'!AD807&gt;=3,"B",IF('Data Source'!AD807&gt;=2,"C",IF('Data Source'!AD807&gt;=1,"D","F")))))),"")</f>
        <v/>
      </c>
      <c r="M807" s="3">
        <f>IF(AND('Data Source'!B807&lt;&gt;"",'Data Source'!S807="A+"),IF('Data Source'!AE807&gt;=5,"A+",IF('Data Source'!AE807&gt;=4,"A",IF('Data Source'!AE807&gt;=3.5,"A-",IF('Data Source'!AE807&gt;=3,"B",IF('Data Source'!AE807&gt;=2,"C",IF('Data Source'!AE807&gt;=1,"D","F")))))),"")</f>
        <v/>
      </c>
      <c r="N807" s="3">
        <f>IF(AND('Data Source'!B807&lt;&gt;"",'Data Source'!S807="A+"),IF('Data Source'!AF807&gt;=5,"A+",IF('Data Source'!AF807&gt;=4,"A",IF('Data Source'!AF807&gt;=3.5,"A-",IF('Data Source'!AF807&gt;=3,"B",IF('Data Source'!AF807&gt;=2,"C",IF('Data Source'!AF807&gt;=1,"D","F")))))),"")</f>
        <v/>
      </c>
      <c r="O807" s="3">
        <f>IF(AND('Data Source'!B807&lt;&gt;"",'Data Source'!S807="A+"),IF('Data Source'!AG807&gt;=5,"A+",IF('Data Source'!AG807&gt;=4,"A",IF('Data Source'!AG807&gt;=3.5,"A-",IF('Data Source'!AG807&gt;=3,"B",IF('Data Source'!AG807&gt;=2,"C",IF('Data Source'!AG807&gt;=1,"D","F")))))),"")</f>
        <v/>
      </c>
      <c r="P807" s="5">
        <f>IF(AND('Data Source'!B807&lt;&gt;"",'Data Source'!S807="A+"),'Data Source'!R807,"")</f>
        <v/>
      </c>
      <c r="Q807" s="3">
        <f>IF(AND('Data Source'!B807&lt;&gt;"",'Data Source'!S807="A+"),'Data Source'!S807,"")</f>
        <v/>
      </c>
    </row>
    <row r="808">
      <c r="A808" s="3">
        <f>IF(AND('Data Source'!B808&lt;&gt;"",'Data Source'!S808="A+"),COUNTIF('Data Source'!$S$3:S808,"A+"),"")</f>
        <v/>
      </c>
      <c r="B808">
        <f>IF(AND('Data Source'!B808&lt;&gt;"",'Data Source'!S808="A+"),'Data Source'!B808,"")</f>
        <v/>
      </c>
      <c r="C808" s="3">
        <f>IF(AND('Data Source'!B808&lt;&gt;"",'Data Source'!S808="A+"),IF('Data Source'!U808&gt;=5,"A+",IF('Data Source'!U808&gt;=4,"A",IF('Data Source'!U808&gt;=3.5,"A-",IF('Data Source'!U808&gt;=3,"B",IF('Data Source'!U808&gt;=2,"C",IF('Data Source'!U808&gt;=1,"D","F")))))),"")</f>
        <v/>
      </c>
      <c r="D808" s="3">
        <f>IF(AND('Data Source'!B808&lt;&gt;"",'Data Source'!S808="A+"),IF('Data Source'!V808&gt;=5,"A+",IF('Data Source'!V808&gt;=4,"A",IF('Data Source'!V808&gt;=3.5,"A-",IF('Data Source'!V808&gt;=3,"B",IF('Data Source'!V808&gt;=2,"C",IF('Data Source'!V808&gt;=1,"D","F")))))),"")</f>
        <v/>
      </c>
      <c r="E808" s="3">
        <f>IF(AND('Data Source'!B808&lt;&gt;"",'Data Source'!S808="A+"),IF('Data Source'!W808&gt;=5,"A+",IF('Data Source'!W808&gt;=4,"A",IF('Data Source'!W808&gt;=3.5,"A-",IF('Data Source'!W808&gt;=3,"B",IF('Data Source'!W808&gt;=2,"C",IF('Data Source'!W808&gt;=1,"D","F")))))),"")</f>
        <v/>
      </c>
      <c r="F808" s="3">
        <f>IF(AND('Data Source'!B808&lt;&gt;"",'Data Source'!S808="A+"),IF('Data Source'!X808&gt;=5,"A+",IF('Data Source'!X808&gt;=4,"A",IF('Data Source'!X808&gt;=3.5,"A-",IF('Data Source'!X808&gt;=3,"B",IF('Data Source'!X808&gt;=2,"C",IF('Data Source'!X808&gt;=1,"D","F")))))),"")</f>
        <v/>
      </c>
      <c r="G808" s="3">
        <f>IF(AND('Data Source'!B808&lt;&gt;"",'Data Source'!S808="A+"),IF('Data Source'!Y808&gt;=5,"A+",IF('Data Source'!Y808&gt;=4,"A",IF('Data Source'!Y808&gt;=3.5,"A-",IF('Data Source'!Y808&gt;=3,"B",IF('Data Source'!Y808&gt;=2,"C",IF('Data Source'!Y808&gt;=1,"D","F")))))),"")</f>
        <v/>
      </c>
      <c r="H808" s="3">
        <f>IF(AND('Data Source'!B808&lt;&gt;"",'Data Source'!S808="A+"),IF('Data Source'!Z808&gt;=5,"A+",IF('Data Source'!Z808&gt;=4,"A",IF('Data Source'!Z808&gt;=3.5,"A-",IF('Data Source'!Z808&gt;=3,"B",IF('Data Source'!Z808&gt;=2,"C",IF('Data Source'!Z808&gt;=1,"D","F")))))),"")</f>
        <v/>
      </c>
      <c r="I808" s="3">
        <f>IF(AND('Data Source'!B808&lt;&gt;"",'Data Source'!S808="A+"),IF('Data Source'!AA808&gt;=5,"A+",IF('Data Source'!AA808&gt;=4,"A",IF('Data Source'!AA808&gt;=3.5,"A-",IF('Data Source'!AA808&gt;=3,"B",IF('Data Source'!AA808&gt;=2,"C",IF('Data Source'!AA808&gt;=1,"D","F")))))),"")</f>
        <v/>
      </c>
      <c r="J808" s="3">
        <f>IF(AND('Data Source'!B808&lt;&gt;"",'Data Source'!S808="A+"),IF('Data Source'!AB808&gt;=5,"A+",IF('Data Source'!AB808&gt;=4,"A",IF('Data Source'!AB808&gt;=3.5,"A-",IF('Data Source'!AB808&gt;=3,"B",IF('Data Source'!AB808&gt;=2,"C",IF('Data Source'!AB808&gt;=1,"D","F")))))),"")</f>
        <v/>
      </c>
      <c r="K808" s="3">
        <f>IF(AND('Data Source'!B808&lt;&gt;"",'Data Source'!S808="A+"),IF('Data Source'!AC808&gt;=5,"A+",IF('Data Source'!AC808&gt;=4,"A",IF('Data Source'!AC808&gt;=3.5,"A-",IF('Data Source'!AC808&gt;=3,"B",IF('Data Source'!AC808&gt;=2,"C",IF('Data Source'!AC808&gt;=1,"D","F")))))),"")</f>
        <v/>
      </c>
      <c r="L808" s="3">
        <f>IF(AND('Data Source'!B808&lt;&gt;"",'Data Source'!S808="A+"),IF('Data Source'!AD808&gt;=5,"A+",IF('Data Source'!AD808&gt;=4,"A",IF('Data Source'!AD808&gt;=3.5,"A-",IF('Data Source'!AD808&gt;=3,"B",IF('Data Source'!AD808&gt;=2,"C",IF('Data Source'!AD808&gt;=1,"D","F")))))),"")</f>
        <v/>
      </c>
      <c r="M808" s="3">
        <f>IF(AND('Data Source'!B808&lt;&gt;"",'Data Source'!S808="A+"),IF('Data Source'!AE808&gt;=5,"A+",IF('Data Source'!AE808&gt;=4,"A",IF('Data Source'!AE808&gt;=3.5,"A-",IF('Data Source'!AE808&gt;=3,"B",IF('Data Source'!AE808&gt;=2,"C",IF('Data Source'!AE808&gt;=1,"D","F")))))),"")</f>
        <v/>
      </c>
      <c r="N808" s="3">
        <f>IF(AND('Data Source'!B808&lt;&gt;"",'Data Source'!S808="A+"),IF('Data Source'!AF808&gt;=5,"A+",IF('Data Source'!AF808&gt;=4,"A",IF('Data Source'!AF808&gt;=3.5,"A-",IF('Data Source'!AF808&gt;=3,"B",IF('Data Source'!AF808&gt;=2,"C",IF('Data Source'!AF808&gt;=1,"D","F")))))),"")</f>
        <v/>
      </c>
      <c r="O808" s="3">
        <f>IF(AND('Data Source'!B808&lt;&gt;"",'Data Source'!S808="A+"),IF('Data Source'!AG808&gt;=5,"A+",IF('Data Source'!AG808&gt;=4,"A",IF('Data Source'!AG808&gt;=3.5,"A-",IF('Data Source'!AG808&gt;=3,"B",IF('Data Source'!AG808&gt;=2,"C",IF('Data Source'!AG808&gt;=1,"D","F")))))),"")</f>
        <v/>
      </c>
      <c r="P808" s="5">
        <f>IF(AND('Data Source'!B808&lt;&gt;"",'Data Source'!S808="A+"),'Data Source'!R808,"")</f>
        <v/>
      </c>
      <c r="Q808" s="3">
        <f>IF(AND('Data Source'!B808&lt;&gt;"",'Data Source'!S808="A+"),'Data Source'!S808,"")</f>
        <v/>
      </c>
    </row>
    <row r="809">
      <c r="A809" s="3">
        <f>IF(AND('Data Source'!B809&lt;&gt;"",'Data Source'!S809="A+"),COUNTIF('Data Source'!$S$3:S809,"A+"),"")</f>
        <v/>
      </c>
      <c r="B809">
        <f>IF(AND('Data Source'!B809&lt;&gt;"",'Data Source'!S809="A+"),'Data Source'!B809,"")</f>
        <v/>
      </c>
      <c r="C809" s="3">
        <f>IF(AND('Data Source'!B809&lt;&gt;"",'Data Source'!S809="A+"),IF('Data Source'!U809&gt;=5,"A+",IF('Data Source'!U809&gt;=4,"A",IF('Data Source'!U809&gt;=3.5,"A-",IF('Data Source'!U809&gt;=3,"B",IF('Data Source'!U809&gt;=2,"C",IF('Data Source'!U809&gt;=1,"D","F")))))),"")</f>
        <v/>
      </c>
      <c r="D809" s="3">
        <f>IF(AND('Data Source'!B809&lt;&gt;"",'Data Source'!S809="A+"),IF('Data Source'!V809&gt;=5,"A+",IF('Data Source'!V809&gt;=4,"A",IF('Data Source'!V809&gt;=3.5,"A-",IF('Data Source'!V809&gt;=3,"B",IF('Data Source'!V809&gt;=2,"C",IF('Data Source'!V809&gt;=1,"D","F")))))),"")</f>
        <v/>
      </c>
      <c r="E809" s="3">
        <f>IF(AND('Data Source'!B809&lt;&gt;"",'Data Source'!S809="A+"),IF('Data Source'!W809&gt;=5,"A+",IF('Data Source'!W809&gt;=4,"A",IF('Data Source'!W809&gt;=3.5,"A-",IF('Data Source'!W809&gt;=3,"B",IF('Data Source'!W809&gt;=2,"C",IF('Data Source'!W809&gt;=1,"D","F")))))),"")</f>
        <v/>
      </c>
      <c r="F809" s="3">
        <f>IF(AND('Data Source'!B809&lt;&gt;"",'Data Source'!S809="A+"),IF('Data Source'!X809&gt;=5,"A+",IF('Data Source'!X809&gt;=4,"A",IF('Data Source'!X809&gt;=3.5,"A-",IF('Data Source'!X809&gt;=3,"B",IF('Data Source'!X809&gt;=2,"C",IF('Data Source'!X809&gt;=1,"D","F")))))),"")</f>
        <v/>
      </c>
      <c r="G809" s="3">
        <f>IF(AND('Data Source'!B809&lt;&gt;"",'Data Source'!S809="A+"),IF('Data Source'!Y809&gt;=5,"A+",IF('Data Source'!Y809&gt;=4,"A",IF('Data Source'!Y809&gt;=3.5,"A-",IF('Data Source'!Y809&gt;=3,"B",IF('Data Source'!Y809&gt;=2,"C",IF('Data Source'!Y809&gt;=1,"D","F")))))),"")</f>
        <v/>
      </c>
      <c r="H809" s="3">
        <f>IF(AND('Data Source'!B809&lt;&gt;"",'Data Source'!S809="A+"),IF('Data Source'!Z809&gt;=5,"A+",IF('Data Source'!Z809&gt;=4,"A",IF('Data Source'!Z809&gt;=3.5,"A-",IF('Data Source'!Z809&gt;=3,"B",IF('Data Source'!Z809&gt;=2,"C",IF('Data Source'!Z809&gt;=1,"D","F")))))),"")</f>
        <v/>
      </c>
      <c r="I809" s="3">
        <f>IF(AND('Data Source'!B809&lt;&gt;"",'Data Source'!S809="A+"),IF('Data Source'!AA809&gt;=5,"A+",IF('Data Source'!AA809&gt;=4,"A",IF('Data Source'!AA809&gt;=3.5,"A-",IF('Data Source'!AA809&gt;=3,"B",IF('Data Source'!AA809&gt;=2,"C",IF('Data Source'!AA809&gt;=1,"D","F")))))),"")</f>
        <v/>
      </c>
      <c r="J809" s="3">
        <f>IF(AND('Data Source'!B809&lt;&gt;"",'Data Source'!S809="A+"),IF('Data Source'!AB809&gt;=5,"A+",IF('Data Source'!AB809&gt;=4,"A",IF('Data Source'!AB809&gt;=3.5,"A-",IF('Data Source'!AB809&gt;=3,"B",IF('Data Source'!AB809&gt;=2,"C",IF('Data Source'!AB809&gt;=1,"D","F")))))),"")</f>
        <v/>
      </c>
      <c r="K809" s="3">
        <f>IF(AND('Data Source'!B809&lt;&gt;"",'Data Source'!S809="A+"),IF('Data Source'!AC809&gt;=5,"A+",IF('Data Source'!AC809&gt;=4,"A",IF('Data Source'!AC809&gt;=3.5,"A-",IF('Data Source'!AC809&gt;=3,"B",IF('Data Source'!AC809&gt;=2,"C",IF('Data Source'!AC809&gt;=1,"D","F")))))),"")</f>
        <v/>
      </c>
      <c r="L809" s="3">
        <f>IF(AND('Data Source'!B809&lt;&gt;"",'Data Source'!S809="A+"),IF('Data Source'!AD809&gt;=5,"A+",IF('Data Source'!AD809&gt;=4,"A",IF('Data Source'!AD809&gt;=3.5,"A-",IF('Data Source'!AD809&gt;=3,"B",IF('Data Source'!AD809&gt;=2,"C",IF('Data Source'!AD809&gt;=1,"D","F")))))),"")</f>
        <v/>
      </c>
      <c r="M809" s="3">
        <f>IF(AND('Data Source'!B809&lt;&gt;"",'Data Source'!S809="A+"),IF('Data Source'!AE809&gt;=5,"A+",IF('Data Source'!AE809&gt;=4,"A",IF('Data Source'!AE809&gt;=3.5,"A-",IF('Data Source'!AE809&gt;=3,"B",IF('Data Source'!AE809&gt;=2,"C",IF('Data Source'!AE809&gt;=1,"D","F")))))),"")</f>
        <v/>
      </c>
      <c r="N809" s="3">
        <f>IF(AND('Data Source'!B809&lt;&gt;"",'Data Source'!S809="A+"),IF('Data Source'!AF809&gt;=5,"A+",IF('Data Source'!AF809&gt;=4,"A",IF('Data Source'!AF809&gt;=3.5,"A-",IF('Data Source'!AF809&gt;=3,"B",IF('Data Source'!AF809&gt;=2,"C",IF('Data Source'!AF809&gt;=1,"D","F")))))),"")</f>
        <v/>
      </c>
      <c r="O809" s="3">
        <f>IF(AND('Data Source'!B809&lt;&gt;"",'Data Source'!S809="A+"),IF('Data Source'!AG809&gt;=5,"A+",IF('Data Source'!AG809&gt;=4,"A",IF('Data Source'!AG809&gt;=3.5,"A-",IF('Data Source'!AG809&gt;=3,"B",IF('Data Source'!AG809&gt;=2,"C",IF('Data Source'!AG809&gt;=1,"D","F")))))),"")</f>
        <v/>
      </c>
      <c r="P809" s="5">
        <f>IF(AND('Data Source'!B809&lt;&gt;"",'Data Source'!S809="A+"),'Data Source'!R809,"")</f>
        <v/>
      </c>
      <c r="Q809" s="3">
        <f>IF(AND('Data Source'!B809&lt;&gt;"",'Data Source'!S809="A+"),'Data Source'!S809,"")</f>
        <v/>
      </c>
    </row>
    <row r="810">
      <c r="A810" s="3">
        <f>IF(AND('Data Source'!B810&lt;&gt;"",'Data Source'!S810="A+"),COUNTIF('Data Source'!$S$3:S810,"A+"),"")</f>
        <v/>
      </c>
      <c r="B810">
        <f>IF(AND('Data Source'!B810&lt;&gt;"",'Data Source'!S810="A+"),'Data Source'!B810,"")</f>
        <v/>
      </c>
      <c r="C810" s="3">
        <f>IF(AND('Data Source'!B810&lt;&gt;"",'Data Source'!S810="A+"),IF('Data Source'!U810&gt;=5,"A+",IF('Data Source'!U810&gt;=4,"A",IF('Data Source'!U810&gt;=3.5,"A-",IF('Data Source'!U810&gt;=3,"B",IF('Data Source'!U810&gt;=2,"C",IF('Data Source'!U810&gt;=1,"D","F")))))),"")</f>
        <v/>
      </c>
      <c r="D810" s="3">
        <f>IF(AND('Data Source'!B810&lt;&gt;"",'Data Source'!S810="A+"),IF('Data Source'!V810&gt;=5,"A+",IF('Data Source'!V810&gt;=4,"A",IF('Data Source'!V810&gt;=3.5,"A-",IF('Data Source'!V810&gt;=3,"B",IF('Data Source'!V810&gt;=2,"C",IF('Data Source'!V810&gt;=1,"D","F")))))),"")</f>
        <v/>
      </c>
      <c r="E810" s="3">
        <f>IF(AND('Data Source'!B810&lt;&gt;"",'Data Source'!S810="A+"),IF('Data Source'!W810&gt;=5,"A+",IF('Data Source'!W810&gt;=4,"A",IF('Data Source'!W810&gt;=3.5,"A-",IF('Data Source'!W810&gt;=3,"B",IF('Data Source'!W810&gt;=2,"C",IF('Data Source'!W810&gt;=1,"D","F")))))),"")</f>
        <v/>
      </c>
      <c r="F810" s="3">
        <f>IF(AND('Data Source'!B810&lt;&gt;"",'Data Source'!S810="A+"),IF('Data Source'!X810&gt;=5,"A+",IF('Data Source'!X810&gt;=4,"A",IF('Data Source'!X810&gt;=3.5,"A-",IF('Data Source'!X810&gt;=3,"B",IF('Data Source'!X810&gt;=2,"C",IF('Data Source'!X810&gt;=1,"D","F")))))),"")</f>
        <v/>
      </c>
      <c r="G810" s="3">
        <f>IF(AND('Data Source'!B810&lt;&gt;"",'Data Source'!S810="A+"),IF('Data Source'!Y810&gt;=5,"A+",IF('Data Source'!Y810&gt;=4,"A",IF('Data Source'!Y810&gt;=3.5,"A-",IF('Data Source'!Y810&gt;=3,"B",IF('Data Source'!Y810&gt;=2,"C",IF('Data Source'!Y810&gt;=1,"D","F")))))),"")</f>
        <v/>
      </c>
      <c r="H810" s="3">
        <f>IF(AND('Data Source'!B810&lt;&gt;"",'Data Source'!S810="A+"),IF('Data Source'!Z810&gt;=5,"A+",IF('Data Source'!Z810&gt;=4,"A",IF('Data Source'!Z810&gt;=3.5,"A-",IF('Data Source'!Z810&gt;=3,"B",IF('Data Source'!Z810&gt;=2,"C",IF('Data Source'!Z810&gt;=1,"D","F")))))),"")</f>
        <v/>
      </c>
      <c r="I810" s="3">
        <f>IF(AND('Data Source'!B810&lt;&gt;"",'Data Source'!S810="A+"),IF('Data Source'!AA810&gt;=5,"A+",IF('Data Source'!AA810&gt;=4,"A",IF('Data Source'!AA810&gt;=3.5,"A-",IF('Data Source'!AA810&gt;=3,"B",IF('Data Source'!AA810&gt;=2,"C",IF('Data Source'!AA810&gt;=1,"D","F")))))),"")</f>
        <v/>
      </c>
      <c r="J810" s="3">
        <f>IF(AND('Data Source'!B810&lt;&gt;"",'Data Source'!S810="A+"),IF('Data Source'!AB810&gt;=5,"A+",IF('Data Source'!AB810&gt;=4,"A",IF('Data Source'!AB810&gt;=3.5,"A-",IF('Data Source'!AB810&gt;=3,"B",IF('Data Source'!AB810&gt;=2,"C",IF('Data Source'!AB810&gt;=1,"D","F")))))),"")</f>
        <v/>
      </c>
      <c r="K810" s="3">
        <f>IF(AND('Data Source'!B810&lt;&gt;"",'Data Source'!S810="A+"),IF('Data Source'!AC810&gt;=5,"A+",IF('Data Source'!AC810&gt;=4,"A",IF('Data Source'!AC810&gt;=3.5,"A-",IF('Data Source'!AC810&gt;=3,"B",IF('Data Source'!AC810&gt;=2,"C",IF('Data Source'!AC810&gt;=1,"D","F")))))),"")</f>
        <v/>
      </c>
      <c r="L810" s="3">
        <f>IF(AND('Data Source'!B810&lt;&gt;"",'Data Source'!S810="A+"),IF('Data Source'!AD810&gt;=5,"A+",IF('Data Source'!AD810&gt;=4,"A",IF('Data Source'!AD810&gt;=3.5,"A-",IF('Data Source'!AD810&gt;=3,"B",IF('Data Source'!AD810&gt;=2,"C",IF('Data Source'!AD810&gt;=1,"D","F")))))),"")</f>
        <v/>
      </c>
      <c r="M810" s="3">
        <f>IF(AND('Data Source'!B810&lt;&gt;"",'Data Source'!S810="A+"),IF('Data Source'!AE810&gt;=5,"A+",IF('Data Source'!AE810&gt;=4,"A",IF('Data Source'!AE810&gt;=3.5,"A-",IF('Data Source'!AE810&gt;=3,"B",IF('Data Source'!AE810&gt;=2,"C",IF('Data Source'!AE810&gt;=1,"D","F")))))),"")</f>
        <v/>
      </c>
      <c r="N810" s="3">
        <f>IF(AND('Data Source'!B810&lt;&gt;"",'Data Source'!S810="A+"),IF('Data Source'!AF810&gt;=5,"A+",IF('Data Source'!AF810&gt;=4,"A",IF('Data Source'!AF810&gt;=3.5,"A-",IF('Data Source'!AF810&gt;=3,"B",IF('Data Source'!AF810&gt;=2,"C",IF('Data Source'!AF810&gt;=1,"D","F")))))),"")</f>
        <v/>
      </c>
      <c r="O810" s="3">
        <f>IF(AND('Data Source'!B810&lt;&gt;"",'Data Source'!S810="A+"),IF('Data Source'!AG810&gt;=5,"A+",IF('Data Source'!AG810&gt;=4,"A",IF('Data Source'!AG810&gt;=3.5,"A-",IF('Data Source'!AG810&gt;=3,"B",IF('Data Source'!AG810&gt;=2,"C",IF('Data Source'!AG810&gt;=1,"D","F")))))),"")</f>
        <v/>
      </c>
      <c r="P810" s="5">
        <f>IF(AND('Data Source'!B810&lt;&gt;"",'Data Source'!S810="A+"),'Data Source'!R810,"")</f>
        <v/>
      </c>
      <c r="Q810" s="3">
        <f>IF(AND('Data Source'!B810&lt;&gt;"",'Data Source'!S810="A+"),'Data Source'!S810,"")</f>
        <v/>
      </c>
    </row>
    <row r="811">
      <c r="A811" s="3">
        <f>IF(AND('Data Source'!B811&lt;&gt;"",'Data Source'!S811="A+"),COUNTIF('Data Source'!$S$3:S811,"A+"),"")</f>
        <v/>
      </c>
      <c r="B811">
        <f>IF(AND('Data Source'!B811&lt;&gt;"",'Data Source'!S811="A+"),'Data Source'!B811,"")</f>
        <v/>
      </c>
      <c r="C811" s="3">
        <f>IF(AND('Data Source'!B811&lt;&gt;"",'Data Source'!S811="A+"),IF('Data Source'!U811&gt;=5,"A+",IF('Data Source'!U811&gt;=4,"A",IF('Data Source'!U811&gt;=3.5,"A-",IF('Data Source'!U811&gt;=3,"B",IF('Data Source'!U811&gt;=2,"C",IF('Data Source'!U811&gt;=1,"D","F")))))),"")</f>
        <v/>
      </c>
      <c r="D811" s="3">
        <f>IF(AND('Data Source'!B811&lt;&gt;"",'Data Source'!S811="A+"),IF('Data Source'!V811&gt;=5,"A+",IF('Data Source'!V811&gt;=4,"A",IF('Data Source'!V811&gt;=3.5,"A-",IF('Data Source'!V811&gt;=3,"B",IF('Data Source'!V811&gt;=2,"C",IF('Data Source'!V811&gt;=1,"D","F")))))),"")</f>
        <v/>
      </c>
      <c r="E811" s="3">
        <f>IF(AND('Data Source'!B811&lt;&gt;"",'Data Source'!S811="A+"),IF('Data Source'!W811&gt;=5,"A+",IF('Data Source'!W811&gt;=4,"A",IF('Data Source'!W811&gt;=3.5,"A-",IF('Data Source'!W811&gt;=3,"B",IF('Data Source'!W811&gt;=2,"C",IF('Data Source'!W811&gt;=1,"D","F")))))),"")</f>
        <v/>
      </c>
      <c r="F811" s="3">
        <f>IF(AND('Data Source'!B811&lt;&gt;"",'Data Source'!S811="A+"),IF('Data Source'!X811&gt;=5,"A+",IF('Data Source'!X811&gt;=4,"A",IF('Data Source'!X811&gt;=3.5,"A-",IF('Data Source'!X811&gt;=3,"B",IF('Data Source'!X811&gt;=2,"C",IF('Data Source'!X811&gt;=1,"D","F")))))),"")</f>
        <v/>
      </c>
      <c r="G811" s="3">
        <f>IF(AND('Data Source'!B811&lt;&gt;"",'Data Source'!S811="A+"),IF('Data Source'!Y811&gt;=5,"A+",IF('Data Source'!Y811&gt;=4,"A",IF('Data Source'!Y811&gt;=3.5,"A-",IF('Data Source'!Y811&gt;=3,"B",IF('Data Source'!Y811&gt;=2,"C",IF('Data Source'!Y811&gt;=1,"D","F")))))),"")</f>
        <v/>
      </c>
      <c r="H811" s="3">
        <f>IF(AND('Data Source'!B811&lt;&gt;"",'Data Source'!S811="A+"),IF('Data Source'!Z811&gt;=5,"A+",IF('Data Source'!Z811&gt;=4,"A",IF('Data Source'!Z811&gt;=3.5,"A-",IF('Data Source'!Z811&gt;=3,"B",IF('Data Source'!Z811&gt;=2,"C",IF('Data Source'!Z811&gt;=1,"D","F")))))),"")</f>
        <v/>
      </c>
      <c r="I811" s="3">
        <f>IF(AND('Data Source'!B811&lt;&gt;"",'Data Source'!S811="A+"),IF('Data Source'!AA811&gt;=5,"A+",IF('Data Source'!AA811&gt;=4,"A",IF('Data Source'!AA811&gt;=3.5,"A-",IF('Data Source'!AA811&gt;=3,"B",IF('Data Source'!AA811&gt;=2,"C",IF('Data Source'!AA811&gt;=1,"D","F")))))),"")</f>
        <v/>
      </c>
      <c r="J811" s="3">
        <f>IF(AND('Data Source'!B811&lt;&gt;"",'Data Source'!S811="A+"),IF('Data Source'!AB811&gt;=5,"A+",IF('Data Source'!AB811&gt;=4,"A",IF('Data Source'!AB811&gt;=3.5,"A-",IF('Data Source'!AB811&gt;=3,"B",IF('Data Source'!AB811&gt;=2,"C",IF('Data Source'!AB811&gt;=1,"D","F")))))),"")</f>
        <v/>
      </c>
      <c r="K811" s="3">
        <f>IF(AND('Data Source'!B811&lt;&gt;"",'Data Source'!S811="A+"),IF('Data Source'!AC811&gt;=5,"A+",IF('Data Source'!AC811&gt;=4,"A",IF('Data Source'!AC811&gt;=3.5,"A-",IF('Data Source'!AC811&gt;=3,"B",IF('Data Source'!AC811&gt;=2,"C",IF('Data Source'!AC811&gt;=1,"D","F")))))),"")</f>
        <v/>
      </c>
      <c r="L811" s="3">
        <f>IF(AND('Data Source'!B811&lt;&gt;"",'Data Source'!S811="A+"),IF('Data Source'!AD811&gt;=5,"A+",IF('Data Source'!AD811&gt;=4,"A",IF('Data Source'!AD811&gt;=3.5,"A-",IF('Data Source'!AD811&gt;=3,"B",IF('Data Source'!AD811&gt;=2,"C",IF('Data Source'!AD811&gt;=1,"D","F")))))),"")</f>
        <v/>
      </c>
      <c r="M811" s="3">
        <f>IF(AND('Data Source'!B811&lt;&gt;"",'Data Source'!S811="A+"),IF('Data Source'!AE811&gt;=5,"A+",IF('Data Source'!AE811&gt;=4,"A",IF('Data Source'!AE811&gt;=3.5,"A-",IF('Data Source'!AE811&gt;=3,"B",IF('Data Source'!AE811&gt;=2,"C",IF('Data Source'!AE811&gt;=1,"D","F")))))),"")</f>
        <v/>
      </c>
      <c r="N811" s="3">
        <f>IF(AND('Data Source'!B811&lt;&gt;"",'Data Source'!S811="A+"),IF('Data Source'!AF811&gt;=5,"A+",IF('Data Source'!AF811&gt;=4,"A",IF('Data Source'!AF811&gt;=3.5,"A-",IF('Data Source'!AF811&gt;=3,"B",IF('Data Source'!AF811&gt;=2,"C",IF('Data Source'!AF811&gt;=1,"D","F")))))),"")</f>
        <v/>
      </c>
      <c r="O811" s="3">
        <f>IF(AND('Data Source'!B811&lt;&gt;"",'Data Source'!S811="A+"),IF('Data Source'!AG811&gt;=5,"A+",IF('Data Source'!AG811&gt;=4,"A",IF('Data Source'!AG811&gt;=3.5,"A-",IF('Data Source'!AG811&gt;=3,"B",IF('Data Source'!AG811&gt;=2,"C",IF('Data Source'!AG811&gt;=1,"D","F")))))),"")</f>
        <v/>
      </c>
      <c r="P811" s="5">
        <f>IF(AND('Data Source'!B811&lt;&gt;"",'Data Source'!S811="A+"),'Data Source'!R811,"")</f>
        <v/>
      </c>
      <c r="Q811" s="3">
        <f>IF(AND('Data Source'!B811&lt;&gt;"",'Data Source'!S811="A+"),'Data Source'!S811,"")</f>
        <v/>
      </c>
    </row>
    <row r="812">
      <c r="A812" s="3">
        <f>IF(AND('Data Source'!B812&lt;&gt;"",'Data Source'!S812="A+"),COUNTIF('Data Source'!$S$3:S812,"A+"),"")</f>
        <v/>
      </c>
      <c r="B812">
        <f>IF(AND('Data Source'!B812&lt;&gt;"",'Data Source'!S812="A+"),'Data Source'!B812,"")</f>
        <v/>
      </c>
      <c r="C812" s="3">
        <f>IF(AND('Data Source'!B812&lt;&gt;"",'Data Source'!S812="A+"),IF('Data Source'!U812&gt;=5,"A+",IF('Data Source'!U812&gt;=4,"A",IF('Data Source'!U812&gt;=3.5,"A-",IF('Data Source'!U812&gt;=3,"B",IF('Data Source'!U812&gt;=2,"C",IF('Data Source'!U812&gt;=1,"D","F")))))),"")</f>
        <v/>
      </c>
      <c r="D812" s="3">
        <f>IF(AND('Data Source'!B812&lt;&gt;"",'Data Source'!S812="A+"),IF('Data Source'!V812&gt;=5,"A+",IF('Data Source'!V812&gt;=4,"A",IF('Data Source'!V812&gt;=3.5,"A-",IF('Data Source'!V812&gt;=3,"B",IF('Data Source'!V812&gt;=2,"C",IF('Data Source'!V812&gt;=1,"D","F")))))),"")</f>
        <v/>
      </c>
      <c r="E812" s="3">
        <f>IF(AND('Data Source'!B812&lt;&gt;"",'Data Source'!S812="A+"),IF('Data Source'!W812&gt;=5,"A+",IF('Data Source'!W812&gt;=4,"A",IF('Data Source'!W812&gt;=3.5,"A-",IF('Data Source'!W812&gt;=3,"B",IF('Data Source'!W812&gt;=2,"C",IF('Data Source'!W812&gt;=1,"D","F")))))),"")</f>
        <v/>
      </c>
      <c r="F812" s="3">
        <f>IF(AND('Data Source'!B812&lt;&gt;"",'Data Source'!S812="A+"),IF('Data Source'!X812&gt;=5,"A+",IF('Data Source'!X812&gt;=4,"A",IF('Data Source'!X812&gt;=3.5,"A-",IF('Data Source'!X812&gt;=3,"B",IF('Data Source'!X812&gt;=2,"C",IF('Data Source'!X812&gt;=1,"D","F")))))),"")</f>
        <v/>
      </c>
      <c r="G812" s="3">
        <f>IF(AND('Data Source'!B812&lt;&gt;"",'Data Source'!S812="A+"),IF('Data Source'!Y812&gt;=5,"A+",IF('Data Source'!Y812&gt;=4,"A",IF('Data Source'!Y812&gt;=3.5,"A-",IF('Data Source'!Y812&gt;=3,"B",IF('Data Source'!Y812&gt;=2,"C",IF('Data Source'!Y812&gt;=1,"D","F")))))),"")</f>
        <v/>
      </c>
      <c r="H812" s="3">
        <f>IF(AND('Data Source'!B812&lt;&gt;"",'Data Source'!S812="A+"),IF('Data Source'!Z812&gt;=5,"A+",IF('Data Source'!Z812&gt;=4,"A",IF('Data Source'!Z812&gt;=3.5,"A-",IF('Data Source'!Z812&gt;=3,"B",IF('Data Source'!Z812&gt;=2,"C",IF('Data Source'!Z812&gt;=1,"D","F")))))),"")</f>
        <v/>
      </c>
      <c r="I812" s="3">
        <f>IF(AND('Data Source'!B812&lt;&gt;"",'Data Source'!S812="A+"),IF('Data Source'!AA812&gt;=5,"A+",IF('Data Source'!AA812&gt;=4,"A",IF('Data Source'!AA812&gt;=3.5,"A-",IF('Data Source'!AA812&gt;=3,"B",IF('Data Source'!AA812&gt;=2,"C",IF('Data Source'!AA812&gt;=1,"D","F")))))),"")</f>
        <v/>
      </c>
      <c r="J812" s="3">
        <f>IF(AND('Data Source'!B812&lt;&gt;"",'Data Source'!S812="A+"),IF('Data Source'!AB812&gt;=5,"A+",IF('Data Source'!AB812&gt;=4,"A",IF('Data Source'!AB812&gt;=3.5,"A-",IF('Data Source'!AB812&gt;=3,"B",IF('Data Source'!AB812&gt;=2,"C",IF('Data Source'!AB812&gt;=1,"D","F")))))),"")</f>
        <v/>
      </c>
      <c r="K812" s="3">
        <f>IF(AND('Data Source'!B812&lt;&gt;"",'Data Source'!S812="A+"),IF('Data Source'!AC812&gt;=5,"A+",IF('Data Source'!AC812&gt;=4,"A",IF('Data Source'!AC812&gt;=3.5,"A-",IF('Data Source'!AC812&gt;=3,"B",IF('Data Source'!AC812&gt;=2,"C",IF('Data Source'!AC812&gt;=1,"D","F")))))),"")</f>
        <v/>
      </c>
      <c r="L812" s="3">
        <f>IF(AND('Data Source'!B812&lt;&gt;"",'Data Source'!S812="A+"),IF('Data Source'!AD812&gt;=5,"A+",IF('Data Source'!AD812&gt;=4,"A",IF('Data Source'!AD812&gt;=3.5,"A-",IF('Data Source'!AD812&gt;=3,"B",IF('Data Source'!AD812&gt;=2,"C",IF('Data Source'!AD812&gt;=1,"D","F")))))),"")</f>
        <v/>
      </c>
      <c r="M812" s="3">
        <f>IF(AND('Data Source'!B812&lt;&gt;"",'Data Source'!S812="A+"),IF('Data Source'!AE812&gt;=5,"A+",IF('Data Source'!AE812&gt;=4,"A",IF('Data Source'!AE812&gt;=3.5,"A-",IF('Data Source'!AE812&gt;=3,"B",IF('Data Source'!AE812&gt;=2,"C",IF('Data Source'!AE812&gt;=1,"D","F")))))),"")</f>
        <v/>
      </c>
      <c r="N812" s="3">
        <f>IF(AND('Data Source'!B812&lt;&gt;"",'Data Source'!S812="A+"),IF('Data Source'!AF812&gt;=5,"A+",IF('Data Source'!AF812&gt;=4,"A",IF('Data Source'!AF812&gt;=3.5,"A-",IF('Data Source'!AF812&gt;=3,"B",IF('Data Source'!AF812&gt;=2,"C",IF('Data Source'!AF812&gt;=1,"D","F")))))),"")</f>
        <v/>
      </c>
      <c r="O812" s="3">
        <f>IF(AND('Data Source'!B812&lt;&gt;"",'Data Source'!S812="A+"),IF('Data Source'!AG812&gt;=5,"A+",IF('Data Source'!AG812&gt;=4,"A",IF('Data Source'!AG812&gt;=3.5,"A-",IF('Data Source'!AG812&gt;=3,"B",IF('Data Source'!AG812&gt;=2,"C",IF('Data Source'!AG812&gt;=1,"D","F")))))),"")</f>
        <v/>
      </c>
      <c r="P812" s="5">
        <f>IF(AND('Data Source'!B812&lt;&gt;"",'Data Source'!S812="A+"),'Data Source'!R812,"")</f>
        <v/>
      </c>
      <c r="Q812" s="3">
        <f>IF(AND('Data Source'!B812&lt;&gt;"",'Data Source'!S812="A+"),'Data Source'!S812,"")</f>
        <v/>
      </c>
    </row>
    <row r="813">
      <c r="A813" s="3">
        <f>IF(AND('Data Source'!B813&lt;&gt;"",'Data Source'!S813="A+"),COUNTIF('Data Source'!$S$3:S813,"A+"),"")</f>
        <v/>
      </c>
      <c r="B813">
        <f>IF(AND('Data Source'!B813&lt;&gt;"",'Data Source'!S813="A+"),'Data Source'!B813,"")</f>
        <v/>
      </c>
      <c r="C813" s="3">
        <f>IF(AND('Data Source'!B813&lt;&gt;"",'Data Source'!S813="A+"),IF('Data Source'!U813&gt;=5,"A+",IF('Data Source'!U813&gt;=4,"A",IF('Data Source'!U813&gt;=3.5,"A-",IF('Data Source'!U813&gt;=3,"B",IF('Data Source'!U813&gt;=2,"C",IF('Data Source'!U813&gt;=1,"D","F")))))),"")</f>
        <v/>
      </c>
      <c r="D813" s="3">
        <f>IF(AND('Data Source'!B813&lt;&gt;"",'Data Source'!S813="A+"),IF('Data Source'!V813&gt;=5,"A+",IF('Data Source'!V813&gt;=4,"A",IF('Data Source'!V813&gt;=3.5,"A-",IF('Data Source'!V813&gt;=3,"B",IF('Data Source'!V813&gt;=2,"C",IF('Data Source'!V813&gt;=1,"D","F")))))),"")</f>
        <v/>
      </c>
      <c r="E813" s="3">
        <f>IF(AND('Data Source'!B813&lt;&gt;"",'Data Source'!S813="A+"),IF('Data Source'!W813&gt;=5,"A+",IF('Data Source'!W813&gt;=4,"A",IF('Data Source'!W813&gt;=3.5,"A-",IF('Data Source'!W813&gt;=3,"B",IF('Data Source'!W813&gt;=2,"C",IF('Data Source'!W813&gt;=1,"D","F")))))),"")</f>
        <v/>
      </c>
      <c r="F813" s="3">
        <f>IF(AND('Data Source'!B813&lt;&gt;"",'Data Source'!S813="A+"),IF('Data Source'!X813&gt;=5,"A+",IF('Data Source'!X813&gt;=4,"A",IF('Data Source'!X813&gt;=3.5,"A-",IF('Data Source'!X813&gt;=3,"B",IF('Data Source'!X813&gt;=2,"C",IF('Data Source'!X813&gt;=1,"D","F")))))),"")</f>
        <v/>
      </c>
      <c r="G813" s="3">
        <f>IF(AND('Data Source'!B813&lt;&gt;"",'Data Source'!S813="A+"),IF('Data Source'!Y813&gt;=5,"A+",IF('Data Source'!Y813&gt;=4,"A",IF('Data Source'!Y813&gt;=3.5,"A-",IF('Data Source'!Y813&gt;=3,"B",IF('Data Source'!Y813&gt;=2,"C",IF('Data Source'!Y813&gt;=1,"D","F")))))),"")</f>
        <v/>
      </c>
      <c r="H813" s="3">
        <f>IF(AND('Data Source'!B813&lt;&gt;"",'Data Source'!S813="A+"),IF('Data Source'!Z813&gt;=5,"A+",IF('Data Source'!Z813&gt;=4,"A",IF('Data Source'!Z813&gt;=3.5,"A-",IF('Data Source'!Z813&gt;=3,"B",IF('Data Source'!Z813&gt;=2,"C",IF('Data Source'!Z813&gt;=1,"D","F")))))),"")</f>
        <v/>
      </c>
      <c r="I813" s="3">
        <f>IF(AND('Data Source'!B813&lt;&gt;"",'Data Source'!S813="A+"),IF('Data Source'!AA813&gt;=5,"A+",IF('Data Source'!AA813&gt;=4,"A",IF('Data Source'!AA813&gt;=3.5,"A-",IF('Data Source'!AA813&gt;=3,"B",IF('Data Source'!AA813&gt;=2,"C",IF('Data Source'!AA813&gt;=1,"D","F")))))),"")</f>
        <v/>
      </c>
      <c r="J813" s="3">
        <f>IF(AND('Data Source'!B813&lt;&gt;"",'Data Source'!S813="A+"),IF('Data Source'!AB813&gt;=5,"A+",IF('Data Source'!AB813&gt;=4,"A",IF('Data Source'!AB813&gt;=3.5,"A-",IF('Data Source'!AB813&gt;=3,"B",IF('Data Source'!AB813&gt;=2,"C",IF('Data Source'!AB813&gt;=1,"D","F")))))),"")</f>
        <v/>
      </c>
      <c r="K813" s="3">
        <f>IF(AND('Data Source'!B813&lt;&gt;"",'Data Source'!S813="A+"),IF('Data Source'!AC813&gt;=5,"A+",IF('Data Source'!AC813&gt;=4,"A",IF('Data Source'!AC813&gt;=3.5,"A-",IF('Data Source'!AC813&gt;=3,"B",IF('Data Source'!AC813&gt;=2,"C",IF('Data Source'!AC813&gt;=1,"D","F")))))),"")</f>
        <v/>
      </c>
      <c r="L813" s="3">
        <f>IF(AND('Data Source'!B813&lt;&gt;"",'Data Source'!S813="A+"),IF('Data Source'!AD813&gt;=5,"A+",IF('Data Source'!AD813&gt;=4,"A",IF('Data Source'!AD813&gt;=3.5,"A-",IF('Data Source'!AD813&gt;=3,"B",IF('Data Source'!AD813&gt;=2,"C",IF('Data Source'!AD813&gt;=1,"D","F")))))),"")</f>
        <v/>
      </c>
      <c r="M813" s="3">
        <f>IF(AND('Data Source'!B813&lt;&gt;"",'Data Source'!S813="A+"),IF('Data Source'!AE813&gt;=5,"A+",IF('Data Source'!AE813&gt;=4,"A",IF('Data Source'!AE813&gt;=3.5,"A-",IF('Data Source'!AE813&gt;=3,"B",IF('Data Source'!AE813&gt;=2,"C",IF('Data Source'!AE813&gt;=1,"D","F")))))),"")</f>
        <v/>
      </c>
      <c r="N813" s="3">
        <f>IF(AND('Data Source'!B813&lt;&gt;"",'Data Source'!S813="A+"),IF('Data Source'!AF813&gt;=5,"A+",IF('Data Source'!AF813&gt;=4,"A",IF('Data Source'!AF813&gt;=3.5,"A-",IF('Data Source'!AF813&gt;=3,"B",IF('Data Source'!AF813&gt;=2,"C",IF('Data Source'!AF813&gt;=1,"D","F")))))),"")</f>
        <v/>
      </c>
      <c r="O813" s="3">
        <f>IF(AND('Data Source'!B813&lt;&gt;"",'Data Source'!S813="A+"),IF('Data Source'!AG813&gt;=5,"A+",IF('Data Source'!AG813&gt;=4,"A",IF('Data Source'!AG813&gt;=3.5,"A-",IF('Data Source'!AG813&gt;=3,"B",IF('Data Source'!AG813&gt;=2,"C",IF('Data Source'!AG813&gt;=1,"D","F")))))),"")</f>
        <v/>
      </c>
      <c r="P813" s="5">
        <f>IF(AND('Data Source'!B813&lt;&gt;"",'Data Source'!S813="A+"),'Data Source'!R813,"")</f>
        <v/>
      </c>
      <c r="Q813" s="3">
        <f>IF(AND('Data Source'!B813&lt;&gt;"",'Data Source'!S813="A+"),'Data Source'!S813,"")</f>
        <v/>
      </c>
    </row>
    <row r="814">
      <c r="A814" s="3">
        <f>IF(AND('Data Source'!B814&lt;&gt;"",'Data Source'!S814="A+"),COUNTIF('Data Source'!$S$3:S814,"A+"),"")</f>
        <v/>
      </c>
      <c r="B814">
        <f>IF(AND('Data Source'!B814&lt;&gt;"",'Data Source'!S814="A+"),'Data Source'!B814,"")</f>
        <v/>
      </c>
      <c r="C814" s="3">
        <f>IF(AND('Data Source'!B814&lt;&gt;"",'Data Source'!S814="A+"),IF('Data Source'!U814&gt;=5,"A+",IF('Data Source'!U814&gt;=4,"A",IF('Data Source'!U814&gt;=3.5,"A-",IF('Data Source'!U814&gt;=3,"B",IF('Data Source'!U814&gt;=2,"C",IF('Data Source'!U814&gt;=1,"D","F")))))),"")</f>
        <v/>
      </c>
      <c r="D814" s="3">
        <f>IF(AND('Data Source'!B814&lt;&gt;"",'Data Source'!S814="A+"),IF('Data Source'!V814&gt;=5,"A+",IF('Data Source'!V814&gt;=4,"A",IF('Data Source'!V814&gt;=3.5,"A-",IF('Data Source'!V814&gt;=3,"B",IF('Data Source'!V814&gt;=2,"C",IF('Data Source'!V814&gt;=1,"D","F")))))),"")</f>
        <v/>
      </c>
      <c r="E814" s="3">
        <f>IF(AND('Data Source'!B814&lt;&gt;"",'Data Source'!S814="A+"),IF('Data Source'!W814&gt;=5,"A+",IF('Data Source'!W814&gt;=4,"A",IF('Data Source'!W814&gt;=3.5,"A-",IF('Data Source'!W814&gt;=3,"B",IF('Data Source'!W814&gt;=2,"C",IF('Data Source'!W814&gt;=1,"D","F")))))),"")</f>
        <v/>
      </c>
      <c r="F814" s="3">
        <f>IF(AND('Data Source'!B814&lt;&gt;"",'Data Source'!S814="A+"),IF('Data Source'!X814&gt;=5,"A+",IF('Data Source'!X814&gt;=4,"A",IF('Data Source'!X814&gt;=3.5,"A-",IF('Data Source'!X814&gt;=3,"B",IF('Data Source'!X814&gt;=2,"C",IF('Data Source'!X814&gt;=1,"D","F")))))),"")</f>
        <v/>
      </c>
      <c r="G814" s="3">
        <f>IF(AND('Data Source'!B814&lt;&gt;"",'Data Source'!S814="A+"),IF('Data Source'!Y814&gt;=5,"A+",IF('Data Source'!Y814&gt;=4,"A",IF('Data Source'!Y814&gt;=3.5,"A-",IF('Data Source'!Y814&gt;=3,"B",IF('Data Source'!Y814&gt;=2,"C",IF('Data Source'!Y814&gt;=1,"D","F")))))),"")</f>
        <v/>
      </c>
      <c r="H814" s="3">
        <f>IF(AND('Data Source'!B814&lt;&gt;"",'Data Source'!S814="A+"),IF('Data Source'!Z814&gt;=5,"A+",IF('Data Source'!Z814&gt;=4,"A",IF('Data Source'!Z814&gt;=3.5,"A-",IF('Data Source'!Z814&gt;=3,"B",IF('Data Source'!Z814&gt;=2,"C",IF('Data Source'!Z814&gt;=1,"D","F")))))),"")</f>
        <v/>
      </c>
      <c r="I814" s="3">
        <f>IF(AND('Data Source'!B814&lt;&gt;"",'Data Source'!S814="A+"),IF('Data Source'!AA814&gt;=5,"A+",IF('Data Source'!AA814&gt;=4,"A",IF('Data Source'!AA814&gt;=3.5,"A-",IF('Data Source'!AA814&gt;=3,"B",IF('Data Source'!AA814&gt;=2,"C",IF('Data Source'!AA814&gt;=1,"D","F")))))),"")</f>
        <v/>
      </c>
      <c r="J814" s="3">
        <f>IF(AND('Data Source'!B814&lt;&gt;"",'Data Source'!S814="A+"),IF('Data Source'!AB814&gt;=5,"A+",IF('Data Source'!AB814&gt;=4,"A",IF('Data Source'!AB814&gt;=3.5,"A-",IF('Data Source'!AB814&gt;=3,"B",IF('Data Source'!AB814&gt;=2,"C",IF('Data Source'!AB814&gt;=1,"D","F")))))),"")</f>
        <v/>
      </c>
      <c r="K814" s="3">
        <f>IF(AND('Data Source'!B814&lt;&gt;"",'Data Source'!S814="A+"),IF('Data Source'!AC814&gt;=5,"A+",IF('Data Source'!AC814&gt;=4,"A",IF('Data Source'!AC814&gt;=3.5,"A-",IF('Data Source'!AC814&gt;=3,"B",IF('Data Source'!AC814&gt;=2,"C",IF('Data Source'!AC814&gt;=1,"D","F")))))),"")</f>
        <v/>
      </c>
      <c r="L814" s="3">
        <f>IF(AND('Data Source'!B814&lt;&gt;"",'Data Source'!S814="A+"),IF('Data Source'!AD814&gt;=5,"A+",IF('Data Source'!AD814&gt;=4,"A",IF('Data Source'!AD814&gt;=3.5,"A-",IF('Data Source'!AD814&gt;=3,"B",IF('Data Source'!AD814&gt;=2,"C",IF('Data Source'!AD814&gt;=1,"D","F")))))),"")</f>
        <v/>
      </c>
      <c r="M814" s="3">
        <f>IF(AND('Data Source'!B814&lt;&gt;"",'Data Source'!S814="A+"),IF('Data Source'!AE814&gt;=5,"A+",IF('Data Source'!AE814&gt;=4,"A",IF('Data Source'!AE814&gt;=3.5,"A-",IF('Data Source'!AE814&gt;=3,"B",IF('Data Source'!AE814&gt;=2,"C",IF('Data Source'!AE814&gt;=1,"D","F")))))),"")</f>
        <v/>
      </c>
      <c r="N814" s="3">
        <f>IF(AND('Data Source'!B814&lt;&gt;"",'Data Source'!S814="A+"),IF('Data Source'!AF814&gt;=5,"A+",IF('Data Source'!AF814&gt;=4,"A",IF('Data Source'!AF814&gt;=3.5,"A-",IF('Data Source'!AF814&gt;=3,"B",IF('Data Source'!AF814&gt;=2,"C",IF('Data Source'!AF814&gt;=1,"D","F")))))),"")</f>
        <v/>
      </c>
      <c r="O814" s="3">
        <f>IF(AND('Data Source'!B814&lt;&gt;"",'Data Source'!S814="A+"),IF('Data Source'!AG814&gt;=5,"A+",IF('Data Source'!AG814&gt;=4,"A",IF('Data Source'!AG814&gt;=3.5,"A-",IF('Data Source'!AG814&gt;=3,"B",IF('Data Source'!AG814&gt;=2,"C",IF('Data Source'!AG814&gt;=1,"D","F")))))),"")</f>
        <v/>
      </c>
      <c r="P814" s="5">
        <f>IF(AND('Data Source'!B814&lt;&gt;"",'Data Source'!S814="A+"),'Data Source'!R814,"")</f>
        <v/>
      </c>
      <c r="Q814" s="3">
        <f>IF(AND('Data Source'!B814&lt;&gt;"",'Data Source'!S814="A+"),'Data Source'!S814,"")</f>
        <v/>
      </c>
    </row>
    <row r="815">
      <c r="A815" s="3">
        <f>IF(AND('Data Source'!B815&lt;&gt;"",'Data Source'!S815="A+"),COUNTIF('Data Source'!$S$3:S815,"A+"),"")</f>
        <v/>
      </c>
      <c r="B815">
        <f>IF(AND('Data Source'!B815&lt;&gt;"",'Data Source'!S815="A+"),'Data Source'!B815,"")</f>
        <v/>
      </c>
      <c r="C815" s="3">
        <f>IF(AND('Data Source'!B815&lt;&gt;"",'Data Source'!S815="A+"),IF('Data Source'!U815&gt;=5,"A+",IF('Data Source'!U815&gt;=4,"A",IF('Data Source'!U815&gt;=3.5,"A-",IF('Data Source'!U815&gt;=3,"B",IF('Data Source'!U815&gt;=2,"C",IF('Data Source'!U815&gt;=1,"D","F")))))),"")</f>
        <v/>
      </c>
      <c r="D815" s="3">
        <f>IF(AND('Data Source'!B815&lt;&gt;"",'Data Source'!S815="A+"),IF('Data Source'!V815&gt;=5,"A+",IF('Data Source'!V815&gt;=4,"A",IF('Data Source'!V815&gt;=3.5,"A-",IF('Data Source'!V815&gt;=3,"B",IF('Data Source'!V815&gt;=2,"C",IF('Data Source'!V815&gt;=1,"D","F")))))),"")</f>
        <v/>
      </c>
      <c r="E815" s="3">
        <f>IF(AND('Data Source'!B815&lt;&gt;"",'Data Source'!S815="A+"),IF('Data Source'!W815&gt;=5,"A+",IF('Data Source'!W815&gt;=4,"A",IF('Data Source'!W815&gt;=3.5,"A-",IF('Data Source'!W815&gt;=3,"B",IF('Data Source'!W815&gt;=2,"C",IF('Data Source'!W815&gt;=1,"D","F")))))),"")</f>
        <v/>
      </c>
      <c r="F815" s="3">
        <f>IF(AND('Data Source'!B815&lt;&gt;"",'Data Source'!S815="A+"),IF('Data Source'!X815&gt;=5,"A+",IF('Data Source'!X815&gt;=4,"A",IF('Data Source'!X815&gt;=3.5,"A-",IF('Data Source'!X815&gt;=3,"B",IF('Data Source'!X815&gt;=2,"C",IF('Data Source'!X815&gt;=1,"D","F")))))),"")</f>
        <v/>
      </c>
      <c r="G815" s="3">
        <f>IF(AND('Data Source'!B815&lt;&gt;"",'Data Source'!S815="A+"),IF('Data Source'!Y815&gt;=5,"A+",IF('Data Source'!Y815&gt;=4,"A",IF('Data Source'!Y815&gt;=3.5,"A-",IF('Data Source'!Y815&gt;=3,"B",IF('Data Source'!Y815&gt;=2,"C",IF('Data Source'!Y815&gt;=1,"D","F")))))),"")</f>
        <v/>
      </c>
      <c r="H815" s="3">
        <f>IF(AND('Data Source'!B815&lt;&gt;"",'Data Source'!S815="A+"),IF('Data Source'!Z815&gt;=5,"A+",IF('Data Source'!Z815&gt;=4,"A",IF('Data Source'!Z815&gt;=3.5,"A-",IF('Data Source'!Z815&gt;=3,"B",IF('Data Source'!Z815&gt;=2,"C",IF('Data Source'!Z815&gt;=1,"D","F")))))),"")</f>
        <v/>
      </c>
      <c r="I815" s="3">
        <f>IF(AND('Data Source'!B815&lt;&gt;"",'Data Source'!S815="A+"),IF('Data Source'!AA815&gt;=5,"A+",IF('Data Source'!AA815&gt;=4,"A",IF('Data Source'!AA815&gt;=3.5,"A-",IF('Data Source'!AA815&gt;=3,"B",IF('Data Source'!AA815&gt;=2,"C",IF('Data Source'!AA815&gt;=1,"D","F")))))),"")</f>
        <v/>
      </c>
      <c r="J815" s="3">
        <f>IF(AND('Data Source'!B815&lt;&gt;"",'Data Source'!S815="A+"),IF('Data Source'!AB815&gt;=5,"A+",IF('Data Source'!AB815&gt;=4,"A",IF('Data Source'!AB815&gt;=3.5,"A-",IF('Data Source'!AB815&gt;=3,"B",IF('Data Source'!AB815&gt;=2,"C",IF('Data Source'!AB815&gt;=1,"D","F")))))),"")</f>
        <v/>
      </c>
      <c r="K815" s="3">
        <f>IF(AND('Data Source'!B815&lt;&gt;"",'Data Source'!S815="A+"),IF('Data Source'!AC815&gt;=5,"A+",IF('Data Source'!AC815&gt;=4,"A",IF('Data Source'!AC815&gt;=3.5,"A-",IF('Data Source'!AC815&gt;=3,"B",IF('Data Source'!AC815&gt;=2,"C",IF('Data Source'!AC815&gt;=1,"D","F")))))),"")</f>
        <v/>
      </c>
      <c r="L815" s="3">
        <f>IF(AND('Data Source'!B815&lt;&gt;"",'Data Source'!S815="A+"),IF('Data Source'!AD815&gt;=5,"A+",IF('Data Source'!AD815&gt;=4,"A",IF('Data Source'!AD815&gt;=3.5,"A-",IF('Data Source'!AD815&gt;=3,"B",IF('Data Source'!AD815&gt;=2,"C",IF('Data Source'!AD815&gt;=1,"D","F")))))),"")</f>
        <v/>
      </c>
      <c r="M815" s="3">
        <f>IF(AND('Data Source'!B815&lt;&gt;"",'Data Source'!S815="A+"),IF('Data Source'!AE815&gt;=5,"A+",IF('Data Source'!AE815&gt;=4,"A",IF('Data Source'!AE815&gt;=3.5,"A-",IF('Data Source'!AE815&gt;=3,"B",IF('Data Source'!AE815&gt;=2,"C",IF('Data Source'!AE815&gt;=1,"D","F")))))),"")</f>
        <v/>
      </c>
      <c r="N815" s="3">
        <f>IF(AND('Data Source'!B815&lt;&gt;"",'Data Source'!S815="A+"),IF('Data Source'!AF815&gt;=5,"A+",IF('Data Source'!AF815&gt;=4,"A",IF('Data Source'!AF815&gt;=3.5,"A-",IF('Data Source'!AF815&gt;=3,"B",IF('Data Source'!AF815&gt;=2,"C",IF('Data Source'!AF815&gt;=1,"D","F")))))),"")</f>
        <v/>
      </c>
      <c r="O815" s="3">
        <f>IF(AND('Data Source'!B815&lt;&gt;"",'Data Source'!S815="A+"),IF('Data Source'!AG815&gt;=5,"A+",IF('Data Source'!AG815&gt;=4,"A",IF('Data Source'!AG815&gt;=3.5,"A-",IF('Data Source'!AG815&gt;=3,"B",IF('Data Source'!AG815&gt;=2,"C",IF('Data Source'!AG815&gt;=1,"D","F")))))),"")</f>
        <v/>
      </c>
      <c r="P815" s="5">
        <f>IF(AND('Data Source'!B815&lt;&gt;"",'Data Source'!S815="A+"),'Data Source'!R815,"")</f>
        <v/>
      </c>
      <c r="Q815" s="3">
        <f>IF(AND('Data Source'!B815&lt;&gt;"",'Data Source'!S815="A+"),'Data Source'!S815,"")</f>
        <v/>
      </c>
    </row>
    <row r="816">
      <c r="A816" s="3">
        <f>IF(AND('Data Source'!B816&lt;&gt;"",'Data Source'!S816="A+"),COUNTIF('Data Source'!$S$3:S816,"A+"),"")</f>
        <v/>
      </c>
      <c r="B816">
        <f>IF(AND('Data Source'!B816&lt;&gt;"",'Data Source'!S816="A+"),'Data Source'!B816,"")</f>
        <v/>
      </c>
      <c r="C816" s="3">
        <f>IF(AND('Data Source'!B816&lt;&gt;"",'Data Source'!S816="A+"),IF('Data Source'!U816&gt;=5,"A+",IF('Data Source'!U816&gt;=4,"A",IF('Data Source'!U816&gt;=3.5,"A-",IF('Data Source'!U816&gt;=3,"B",IF('Data Source'!U816&gt;=2,"C",IF('Data Source'!U816&gt;=1,"D","F")))))),"")</f>
        <v/>
      </c>
      <c r="D816" s="3">
        <f>IF(AND('Data Source'!B816&lt;&gt;"",'Data Source'!S816="A+"),IF('Data Source'!V816&gt;=5,"A+",IF('Data Source'!V816&gt;=4,"A",IF('Data Source'!V816&gt;=3.5,"A-",IF('Data Source'!V816&gt;=3,"B",IF('Data Source'!V816&gt;=2,"C",IF('Data Source'!V816&gt;=1,"D","F")))))),"")</f>
        <v/>
      </c>
      <c r="E816" s="3">
        <f>IF(AND('Data Source'!B816&lt;&gt;"",'Data Source'!S816="A+"),IF('Data Source'!W816&gt;=5,"A+",IF('Data Source'!W816&gt;=4,"A",IF('Data Source'!W816&gt;=3.5,"A-",IF('Data Source'!W816&gt;=3,"B",IF('Data Source'!W816&gt;=2,"C",IF('Data Source'!W816&gt;=1,"D","F")))))),"")</f>
        <v/>
      </c>
      <c r="F816" s="3">
        <f>IF(AND('Data Source'!B816&lt;&gt;"",'Data Source'!S816="A+"),IF('Data Source'!X816&gt;=5,"A+",IF('Data Source'!X816&gt;=4,"A",IF('Data Source'!X816&gt;=3.5,"A-",IF('Data Source'!X816&gt;=3,"B",IF('Data Source'!X816&gt;=2,"C",IF('Data Source'!X816&gt;=1,"D","F")))))),"")</f>
        <v/>
      </c>
      <c r="G816" s="3">
        <f>IF(AND('Data Source'!B816&lt;&gt;"",'Data Source'!S816="A+"),IF('Data Source'!Y816&gt;=5,"A+",IF('Data Source'!Y816&gt;=4,"A",IF('Data Source'!Y816&gt;=3.5,"A-",IF('Data Source'!Y816&gt;=3,"B",IF('Data Source'!Y816&gt;=2,"C",IF('Data Source'!Y816&gt;=1,"D","F")))))),"")</f>
        <v/>
      </c>
      <c r="H816" s="3">
        <f>IF(AND('Data Source'!B816&lt;&gt;"",'Data Source'!S816="A+"),IF('Data Source'!Z816&gt;=5,"A+",IF('Data Source'!Z816&gt;=4,"A",IF('Data Source'!Z816&gt;=3.5,"A-",IF('Data Source'!Z816&gt;=3,"B",IF('Data Source'!Z816&gt;=2,"C",IF('Data Source'!Z816&gt;=1,"D","F")))))),"")</f>
        <v/>
      </c>
      <c r="I816" s="3">
        <f>IF(AND('Data Source'!B816&lt;&gt;"",'Data Source'!S816="A+"),IF('Data Source'!AA816&gt;=5,"A+",IF('Data Source'!AA816&gt;=4,"A",IF('Data Source'!AA816&gt;=3.5,"A-",IF('Data Source'!AA816&gt;=3,"B",IF('Data Source'!AA816&gt;=2,"C",IF('Data Source'!AA816&gt;=1,"D","F")))))),"")</f>
        <v/>
      </c>
      <c r="J816" s="3">
        <f>IF(AND('Data Source'!B816&lt;&gt;"",'Data Source'!S816="A+"),IF('Data Source'!AB816&gt;=5,"A+",IF('Data Source'!AB816&gt;=4,"A",IF('Data Source'!AB816&gt;=3.5,"A-",IF('Data Source'!AB816&gt;=3,"B",IF('Data Source'!AB816&gt;=2,"C",IF('Data Source'!AB816&gt;=1,"D","F")))))),"")</f>
        <v/>
      </c>
      <c r="K816" s="3">
        <f>IF(AND('Data Source'!B816&lt;&gt;"",'Data Source'!S816="A+"),IF('Data Source'!AC816&gt;=5,"A+",IF('Data Source'!AC816&gt;=4,"A",IF('Data Source'!AC816&gt;=3.5,"A-",IF('Data Source'!AC816&gt;=3,"B",IF('Data Source'!AC816&gt;=2,"C",IF('Data Source'!AC816&gt;=1,"D","F")))))),"")</f>
        <v/>
      </c>
      <c r="L816" s="3">
        <f>IF(AND('Data Source'!B816&lt;&gt;"",'Data Source'!S816="A+"),IF('Data Source'!AD816&gt;=5,"A+",IF('Data Source'!AD816&gt;=4,"A",IF('Data Source'!AD816&gt;=3.5,"A-",IF('Data Source'!AD816&gt;=3,"B",IF('Data Source'!AD816&gt;=2,"C",IF('Data Source'!AD816&gt;=1,"D","F")))))),"")</f>
        <v/>
      </c>
      <c r="M816" s="3">
        <f>IF(AND('Data Source'!B816&lt;&gt;"",'Data Source'!S816="A+"),IF('Data Source'!AE816&gt;=5,"A+",IF('Data Source'!AE816&gt;=4,"A",IF('Data Source'!AE816&gt;=3.5,"A-",IF('Data Source'!AE816&gt;=3,"B",IF('Data Source'!AE816&gt;=2,"C",IF('Data Source'!AE816&gt;=1,"D","F")))))),"")</f>
        <v/>
      </c>
      <c r="N816" s="3">
        <f>IF(AND('Data Source'!B816&lt;&gt;"",'Data Source'!S816="A+"),IF('Data Source'!AF816&gt;=5,"A+",IF('Data Source'!AF816&gt;=4,"A",IF('Data Source'!AF816&gt;=3.5,"A-",IF('Data Source'!AF816&gt;=3,"B",IF('Data Source'!AF816&gt;=2,"C",IF('Data Source'!AF816&gt;=1,"D","F")))))),"")</f>
        <v/>
      </c>
      <c r="O816" s="3">
        <f>IF(AND('Data Source'!B816&lt;&gt;"",'Data Source'!S816="A+"),IF('Data Source'!AG816&gt;=5,"A+",IF('Data Source'!AG816&gt;=4,"A",IF('Data Source'!AG816&gt;=3.5,"A-",IF('Data Source'!AG816&gt;=3,"B",IF('Data Source'!AG816&gt;=2,"C",IF('Data Source'!AG816&gt;=1,"D","F")))))),"")</f>
        <v/>
      </c>
      <c r="P816" s="5">
        <f>IF(AND('Data Source'!B816&lt;&gt;"",'Data Source'!S816="A+"),'Data Source'!R816,"")</f>
        <v/>
      </c>
      <c r="Q816" s="3">
        <f>IF(AND('Data Source'!B816&lt;&gt;"",'Data Source'!S816="A+"),'Data Source'!S816,"")</f>
        <v/>
      </c>
    </row>
    <row r="817">
      <c r="A817" s="3">
        <f>IF(AND('Data Source'!B817&lt;&gt;"",'Data Source'!S817="A+"),COUNTIF('Data Source'!$S$3:S817,"A+"),"")</f>
        <v/>
      </c>
      <c r="B817">
        <f>IF(AND('Data Source'!B817&lt;&gt;"",'Data Source'!S817="A+"),'Data Source'!B817,"")</f>
        <v/>
      </c>
      <c r="C817" s="3">
        <f>IF(AND('Data Source'!B817&lt;&gt;"",'Data Source'!S817="A+"),IF('Data Source'!U817&gt;=5,"A+",IF('Data Source'!U817&gt;=4,"A",IF('Data Source'!U817&gt;=3.5,"A-",IF('Data Source'!U817&gt;=3,"B",IF('Data Source'!U817&gt;=2,"C",IF('Data Source'!U817&gt;=1,"D","F")))))),"")</f>
        <v/>
      </c>
      <c r="D817" s="3">
        <f>IF(AND('Data Source'!B817&lt;&gt;"",'Data Source'!S817="A+"),IF('Data Source'!V817&gt;=5,"A+",IF('Data Source'!V817&gt;=4,"A",IF('Data Source'!V817&gt;=3.5,"A-",IF('Data Source'!V817&gt;=3,"B",IF('Data Source'!V817&gt;=2,"C",IF('Data Source'!V817&gt;=1,"D","F")))))),"")</f>
        <v/>
      </c>
      <c r="E817" s="3">
        <f>IF(AND('Data Source'!B817&lt;&gt;"",'Data Source'!S817="A+"),IF('Data Source'!W817&gt;=5,"A+",IF('Data Source'!W817&gt;=4,"A",IF('Data Source'!W817&gt;=3.5,"A-",IF('Data Source'!W817&gt;=3,"B",IF('Data Source'!W817&gt;=2,"C",IF('Data Source'!W817&gt;=1,"D","F")))))),"")</f>
        <v/>
      </c>
      <c r="F817" s="3">
        <f>IF(AND('Data Source'!B817&lt;&gt;"",'Data Source'!S817="A+"),IF('Data Source'!X817&gt;=5,"A+",IF('Data Source'!X817&gt;=4,"A",IF('Data Source'!X817&gt;=3.5,"A-",IF('Data Source'!X817&gt;=3,"B",IF('Data Source'!X817&gt;=2,"C",IF('Data Source'!X817&gt;=1,"D","F")))))),"")</f>
        <v/>
      </c>
      <c r="G817" s="3">
        <f>IF(AND('Data Source'!B817&lt;&gt;"",'Data Source'!S817="A+"),IF('Data Source'!Y817&gt;=5,"A+",IF('Data Source'!Y817&gt;=4,"A",IF('Data Source'!Y817&gt;=3.5,"A-",IF('Data Source'!Y817&gt;=3,"B",IF('Data Source'!Y817&gt;=2,"C",IF('Data Source'!Y817&gt;=1,"D","F")))))),"")</f>
        <v/>
      </c>
      <c r="H817" s="3">
        <f>IF(AND('Data Source'!B817&lt;&gt;"",'Data Source'!S817="A+"),IF('Data Source'!Z817&gt;=5,"A+",IF('Data Source'!Z817&gt;=4,"A",IF('Data Source'!Z817&gt;=3.5,"A-",IF('Data Source'!Z817&gt;=3,"B",IF('Data Source'!Z817&gt;=2,"C",IF('Data Source'!Z817&gt;=1,"D","F")))))),"")</f>
        <v/>
      </c>
      <c r="I817" s="3">
        <f>IF(AND('Data Source'!B817&lt;&gt;"",'Data Source'!S817="A+"),IF('Data Source'!AA817&gt;=5,"A+",IF('Data Source'!AA817&gt;=4,"A",IF('Data Source'!AA817&gt;=3.5,"A-",IF('Data Source'!AA817&gt;=3,"B",IF('Data Source'!AA817&gt;=2,"C",IF('Data Source'!AA817&gt;=1,"D","F")))))),"")</f>
        <v/>
      </c>
      <c r="J817" s="3">
        <f>IF(AND('Data Source'!B817&lt;&gt;"",'Data Source'!S817="A+"),IF('Data Source'!AB817&gt;=5,"A+",IF('Data Source'!AB817&gt;=4,"A",IF('Data Source'!AB817&gt;=3.5,"A-",IF('Data Source'!AB817&gt;=3,"B",IF('Data Source'!AB817&gt;=2,"C",IF('Data Source'!AB817&gt;=1,"D","F")))))),"")</f>
        <v/>
      </c>
      <c r="K817" s="3">
        <f>IF(AND('Data Source'!B817&lt;&gt;"",'Data Source'!S817="A+"),IF('Data Source'!AC817&gt;=5,"A+",IF('Data Source'!AC817&gt;=4,"A",IF('Data Source'!AC817&gt;=3.5,"A-",IF('Data Source'!AC817&gt;=3,"B",IF('Data Source'!AC817&gt;=2,"C",IF('Data Source'!AC817&gt;=1,"D","F")))))),"")</f>
        <v/>
      </c>
      <c r="L817" s="3">
        <f>IF(AND('Data Source'!B817&lt;&gt;"",'Data Source'!S817="A+"),IF('Data Source'!AD817&gt;=5,"A+",IF('Data Source'!AD817&gt;=4,"A",IF('Data Source'!AD817&gt;=3.5,"A-",IF('Data Source'!AD817&gt;=3,"B",IF('Data Source'!AD817&gt;=2,"C",IF('Data Source'!AD817&gt;=1,"D","F")))))),"")</f>
        <v/>
      </c>
      <c r="M817" s="3">
        <f>IF(AND('Data Source'!B817&lt;&gt;"",'Data Source'!S817="A+"),IF('Data Source'!AE817&gt;=5,"A+",IF('Data Source'!AE817&gt;=4,"A",IF('Data Source'!AE817&gt;=3.5,"A-",IF('Data Source'!AE817&gt;=3,"B",IF('Data Source'!AE817&gt;=2,"C",IF('Data Source'!AE817&gt;=1,"D","F")))))),"")</f>
        <v/>
      </c>
      <c r="N817" s="3">
        <f>IF(AND('Data Source'!B817&lt;&gt;"",'Data Source'!S817="A+"),IF('Data Source'!AF817&gt;=5,"A+",IF('Data Source'!AF817&gt;=4,"A",IF('Data Source'!AF817&gt;=3.5,"A-",IF('Data Source'!AF817&gt;=3,"B",IF('Data Source'!AF817&gt;=2,"C",IF('Data Source'!AF817&gt;=1,"D","F")))))),"")</f>
        <v/>
      </c>
      <c r="O817" s="3">
        <f>IF(AND('Data Source'!B817&lt;&gt;"",'Data Source'!S817="A+"),IF('Data Source'!AG817&gt;=5,"A+",IF('Data Source'!AG817&gt;=4,"A",IF('Data Source'!AG817&gt;=3.5,"A-",IF('Data Source'!AG817&gt;=3,"B",IF('Data Source'!AG817&gt;=2,"C",IF('Data Source'!AG817&gt;=1,"D","F")))))),"")</f>
        <v/>
      </c>
      <c r="P817" s="5">
        <f>IF(AND('Data Source'!B817&lt;&gt;"",'Data Source'!S817="A+"),'Data Source'!R817,"")</f>
        <v/>
      </c>
      <c r="Q817" s="3">
        <f>IF(AND('Data Source'!B817&lt;&gt;"",'Data Source'!S817="A+"),'Data Source'!S817,"")</f>
        <v/>
      </c>
    </row>
    <row r="818">
      <c r="A818" s="3">
        <f>IF(AND('Data Source'!B818&lt;&gt;"",'Data Source'!S818="A+"),COUNTIF('Data Source'!$S$3:S818,"A+"),"")</f>
        <v/>
      </c>
      <c r="B818">
        <f>IF(AND('Data Source'!B818&lt;&gt;"",'Data Source'!S818="A+"),'Data Source'!B818,"")</f>
        <v/>
      </c>
      <c r="C818" s="3">
        <f>IF(AND('Data Source'!B818&lt;&gt;"",'Data Source'!S818="A+"),IF('Data Source'!U818&gt;=5,"A+",IF('Data Source'!U818&gt;=4,"A",IF('Data Source'!U818&gt;=3.5,"A-",IF('Data Source'!U818&gt;=3,"B",IF('Data Source'!U818&gt;=2,"C",IF('Data Source'!U818&gt;=1,"D","F")))))),"")</f>
        <v/>
      </c>
      <c r="D818" s="3">
        <f>IF(AND('Data Source'!B818&lt;&gt;"",'Data Source'!S818="A+"),IF('Data Source'!V818&gt;=5,"A+",IF('Data Source'!V818&gt;=4,"A",IF('Data Source'!V818&gt;=3.5,"A-",IF('Data Source'!V818&gt;=3,"B",IF('Data Source'!V818&gt;=2,"C",IF('Data Source'!V818&gt;=1,"D","F")))))),"")</f>
        <v/>
      </c>
      <c r="E818" s="3">
        <f>IF(AND('Data Source'!B818&lt;&gt;"",'Data Source'!S818="A+"),IF('Data Source'!W818&gt;=5,"A+",IF('Data Source'!W818&gt;=4,"A",IF('Data Source'!W818&gt;=3.5,"A-",IF('Data Source'!W818&gt;=3,"B",IF('Data Source'!W818&gt;=2,"C",IF('Data Source'!W818&gt;=1,"D","F")))))),"")</f>
        <v/>
      </c>
      <c r="F818" s="3">
        <f>IF(AND('Data Source'!B818&lt;&gt;"",'Data Source'!S818="A+"),IF('Data Source'!X818&gt;=5,"A+",IF('Data Source'!X818&gt;=4,"A",IF('Data Source'!X818&gt;=3.5,"A-",IF('Data Source'!X818&gt;=3,"B",IF('Data Source'!X818&gt;=2,"C",IF('Data Source'!X818&gt;=1,"D","F")))))),"")</f>
        <v/>
      </c>
      <c r="G818" s="3">
        <f>IF(AND('Data Source'!B818&lt;&gt;"",'Data Source'!S818="A+"),IF('Data Source'!Y818&gt;=5,"A+",IF('Data Source'!Y818&gt;=4,"A",IF('Data Source'!Y818&gt;=3.5,"A-",IF('Data Source'!Y818&gt;=3,"B",IF('Data Source'!Y818&gt;=2,"C",IF('Data Source'!Y818&gt;=1,"D","F")))))),"")</f>
        <v/>
      </c>
      <c r="H818" s="3">
        <f>IF(AND('Data Source'!B818&lt;&gt;"",'Data Source'!S818="A+"),IF('Data Source'!Z818&gt;=5,"A+",IF('Data Source'!Z818&gt;=4,"A",IF('Data Source'!Z818&gt;=3.5,"A-",IF('Data Source'!Z818&gt;=3,"B",IF('Data Source'!Z818&gt;=2,"C",IF('Data Source'!Z818&gt;=1,"D","F")))))),"")</f>
        <v/>
      </c>
      <c r="I818" s="3">
        <f>IF(AND('Data Source'!B818&lt;&gt;"",'Data Source'!S818="A+"),IF('Data Source'!AA818&gt;=5,"A+",IF('Data Source'!AA818&gt;=4,"A",IF('Data Source'!AA818&gt;=3.5,"A-",IF('Data Source'!AA818&gt;=3,"B",IF('Data Source'!AA818&gt;=2,"C",IF('Data Source'!AA818&gt;=1,"D","F")))))),"")</f>
        <v/>
      </c>
      <c r="J818" s="3">
        <f>IF(AND('Data Source'!B818&lt;&gt;"",'Data Source'!S818="A+"),IF('Data Source'!AB818&gt;=5,"A+",IF('Data Source'!AB818&gt;=4,"A",IF('Data Source'!AB818&gt;=3.5,"A-",IF('Data Source'!AB818&gt;=3,"B",IF('Data Source'!AB818&gt;=2,"C",IF('Data Source'!AB818&gt;=1,"D","F")))))),"")</f>
        <v/>
      </c>
      <c r="K818" s="3">
        <f>IF(AND('Data Source'!B818&lt;&gt;"",'Data Source'!S818="A+"),IF('Data Source'!AC818&gt;=5,"A+",IF('Data Source'!AC818&gt;=4,"A",IF('Data Source'!AC818&gt;=3.5,"A-",IF('Data Source'!AC818&gt;=3,"B",IF('Data Source'!AC818&gt;=2,"C",IF('Data Source'!AC818&gt;=1,"D","F")))))),"")</f>
        <v/>
      </c>
      <c r="L818" s="3">
        <f>IF(AND('Data Source'!B818&lt;&gt;"",'Data Source'!S818="A+"),IF('Data Source'!AD818&gt;=5,"A+",IF('Data Source'!AD818&gt;=4,"A",IF('Data Source'!AD818&gt;=3.5,"A-",IF('Data Source'!AD818&gt;=3,"B",IF('Data Source'!AD818&gt;=2,"C",IF('Data Source'!AD818&gt;=1,"D","F")))))),"")</f>
        <v/>
      </c>
      <c r="M818" s="3">
        <f>IF(AND('Data Source'!B818&lt;&gt;"",'Data Source'!S818="A+"),IF('Data Source'!AE818&gt;=5,"A+",IF('Data Source'!AE818&gt;=4,"A",IF('Data Source'!AE818&gt;=3.5,"A-",IF('Data Source'!AE818&gt;=3,"B",IF('Data Source'!AE818&gt;=2,"C",IF('Data Source'!AE818&gt;=1,"D","F")))))),"")</f>
        <v/>
      </c>
      <c r="N818" s="3">
        <f>IF(AND('Data Source'!B818&lt;&gt;"",'Data Source'!S818="A+"),IF('Data Source'!AF818&gt;=5,"A+",IF('Data Source'!AF818&gt;=4,"A",IF('Data Source'!AF818&gt;=3.5,"A-",IF('Data Source'!AF818&gt;=3,"B",IF('Data Source'!AF818&gt;=2,"C",IF('Data Source'!AF818&gt;=1,"D","F")))))),"")</f>
        <v/>
      </c>
      <c r="O818" s="3">
        <f>IF(AND('Data Source'!B818&lt;&gt;"",'Data Source'!S818="A+"),IF('Data Source'!AG818&gt;=5,"A+",IF('Data Source'!AG818&gt;=4,"A",IF('Data Source'!AG818&gt;=3.5,"A-",IF('Data Source'!AG818&gt;=3,"B",IF('Data Source'!AG818&gt;=2,"C",IF('Data Source'!AG818&gt;=1,"D","F")))))),"")</f>
        <v/>
      </c>
      <c r="P818" s="5">
        <f>IF(AND('Data Source'!B818&lt;&gt;"",'Data Source'!S818="A+"),'Data Source'!R818,"")</f>
        <v/>
      </c>
      <c r="Q818" s="3">
        <f>IF(AND('Data Source'!B818&lt;&gt;"",'Data Source'!S818="A+"),'Data Source'!S818,"")</f>
        <v/>
      </c>
    </row>
    <row r="819">
      <c r="A819" s="3">
        <f>IF(AND('Data Source'!B819&lt;&gt;"",'Data Source'!S819="A+"),COUNTIF('Data Source'!$S$3:S819,"A+"),"")</f>
        <v/>
      </c>
      <c r="B819">
        <f>IF(AND('Data Source'!B819&lt;&gt;"",'Data Source'!S819="A+"),'Data Source'!B819,"")</f>
        <v/>
      </c>
      <c r="C819" s="3">
        <f>IF(AND('Data Source'!B819&lt;&gt;"",'Data Source'!S819="A+"),IF('Data Source'!U819&gt;=5,"A+",IF('Data Source'!U819&gt;=4,"A",IF('Data Source'!U819&gt;=3.5,"A-",IF('Data Source'!U819&gt;=3,"B",IF('Data Source'!U819&gt;=2,"C",IF('Data Source'!U819&gt;=1,"D","F")))))),"")</f>
        <v/>
      </c>
      <c r="D819" s="3">
        <f>IF(AND('Data Source'!B819&lt;&gt;"",'Data Source'!S819="A+"),IF('Data Source'!V819&gt;=5,"A+",IF('Data Source'!V819&gt;=4,"A",IF('Data Source'!V819&gt;=3.5,"A-",IF('Data Source'!V819&gt;=3,"B",IF('Data Source'!V819&gt;=2,"C",IF('Data Source'!V819&gt;=1,"D","F")))))),"")</f>
        <v/>
      </c>
      <c r="E819" s="3">
        <f>IF(AND('Data Source'!B819&lt;&gt;"",'Data Source'!S819="A+"),IF('Data Source'!W819&gt;=5,"A+",IF('Data Source'!W819&gt;=4,"A",IF('Data Source'!W819&gt;=3.5,"A-",IF('Data Source'!W819&gt;=3,"B",IF('Data Source'!W819&gt;=2,"C",IF('Data Source'!W819&gt;=1,"D","F")))))),"")</f>
        <v/>
      </c>
      <c r="F819" s="3">
        <f>IF(AND('Data Source'!B819&lt;&gt;"",'Data Source'!S819="A+"),IF('Data Source'!X819&gt;=5,"A+",IF('Data Source'!X819&gt;=4,"A",IF('Data Source'!X819&gt;=3.5,"A-",IF('Data Source'!X819&gt;=3,"B",IF('Data Source'!X819&gt;=2,"C",IF('Data Source'!X819&gt;=1,"D","F")))))),"")</f>
        <v/>
      </c>
      <c r="G819" s="3">
        <f>IF(AND('Data Source'!B819&lt;&gt;"",'Data Source'!S819="A+"),IF('Data Source'!Y819&gt;=5,"A+",IF('Data Source'!Y819&gt;=4,"A",IF('Data Source'!Y819&gt;=3.5,"A-",IF('Data Source'!Y819&gt;=3,"B",IF('Data Source'!Y819&gt;=2,"C",IF('Data Source'!Y819&gt;=1,"D","F")))))),"")</f>
        <v/>
      </c>
      <c r="H819" s="3">
        <f>IF(AND('Data Source'!B819&lt;&gt;"",'Data Source'!S819="A+"),IF('Data Source'!Z819&gt;=5,"A+",IF('Data Source'!Z819&gt;=4,"A",IF('Data Source'!Z819&gt;=3.5,"A-",IF('Data Source'!Z819&gt;=3,"B",IF('Data Source'!Z819&gt;=2,"C",IF('Data Source'!Z819&gt;=1,"D","F")))))),"")</f>
        <v/>
      </c>
      <c r="I819" s="3">
        <f>IF(AND('Data Source'!B819&lt;&gt;"",'Data Source'!S819="A+"),IF('Data Source'!AA819&gt;=5,"A+",IF('Data Source'!AA819&gt;=4,"A",IF('Data Source'!AA819&gt;=3.5,"A-",IF('Data Source'!AA819&gt;=3,"B",IF('Data Source'!AA819&gt;=2,"C",IF('Data Source'!AA819&gt;=1,"D","F")))))),"")</f>
        <v/>
      </c>
      <c r="J819" s="3">
        <f>IF(AND('Data Source'!B819&lt;&gt;"",'Data Source'!S819="A+"),IF('Data Source'!AB819&gt;=5,"A+",IF('Data Source'!AB819&gt;=4,"A",IF('Data Source'!AB819&gt;=3.5,"A-",IF('Data Source'!AB819&gt;=3,"B",IF('Data Source'!AB819&gt;=2,"C",IF('Data Source'!AB819&gt;=1,"D","F")))))),"")</f>
        <v/>
      </c>
      <c r="K819" s="3">
        <f>IF(AND('Data Source'!B819&lt;&gt;"",'Data Source'!S819="A+"),IF('Data Source'!AC819&gt;=5,"A+",IF('Data Source'!AC819&gt;=4,"A",IF('Data Source'!AC819&gt;=3.5,"A-",IF('Data Source'!AC819&gt;=3,"B",IF('Data Source'!AC819&gt;=2,"C",IF('Data Source'!AC819&gt;=1,"D","F")))))),"")</f>
        <v/>
      </c>
      <c r="L819" s="3">
        <f>IF(AND('Data Source'!B819&lt;&gt;"",'Data Source'!S819="A+"),IF('Data Source'!AD819&gt;=5,"A+",IF('Data Source'!AD819&gt;=4,"A",IF('Data Source'!AD819&gt;=3.5,"A-",IF('Data Source'!AD819&gt;=3,"B",IF('Data Source'!AD819&gt;=2,"C",IF('Data Source'!AD819&gt;=1,"D","F")))))),"")</f>
        <v/>
      </c>
      <c r="M819" s="3">
        <f>IF(AND('Data Source'!B819&lt;&gt;"",'Data Source'!S819="A+"),IF('Data Source'!AE819&gt;=5,"A+",IF('Data Source'!AE819&gt;=4,"A",IF('Data Source'!AE819&gt;=3.5,"A-",IF('Data Source'!AE819&gt;=3,"B",IF('Data Source'!AE819&gt;=2,"C",IF('Data Source'!AE819&gt;=1,"D","F")))))),"")</f>
        <v/>
      </c>
      <c r="N819" s="3">
        <f>IF(AND('Data Source'!B819&lt;&gt;"",'Data Source'!S819="A+"),IF('Data Source'!AF819&gt;=5,"A+",IF('Data Source'!AF819&gt;=4,"A",IF('Data Source'!AF819&gt;=3.5,"A-",IF('Data Source'!AF819&gt;=3,"B",IF('Data Source'!AF819&gt;=2,"C",IF('Data Source'!AF819&gt;=1,"D","F")))))),"")</f>
        <v/>
      </c>
      <c r="O819" s="3">
        <f>IF(AND('Data Source'!B819&lt;&gt;"",'Data Source'!S819="A+"),IF('Data Source'!AG819&gt;=5,"A+",IF('Data Source'!AG819&gt;=4,"A",IF('Data Source'!AG819&gt;=3.5,"A-",IF('Data Source'!AG819&gt;=3,"B",IF('Data Source'!AG819&gt;=2,"C",IF('Data Source'!AG819&gt;=1,"D","F")))))),"")</f>
        <v/>
      </c>
      <c r="P819" s="5">
        <f>IF(AND('Data Source'!B819&lt;&gt;"",'Data Source'!S819="A+"),'Data Source'!R819,"")</f>
        <v/>
      </c>
      <c r="Q819" s="3">
        <f>IF(AND('Data Source'!B819&lt;&gt;"",'Data Source'!S819="A+"),'Data Source'!S819,"")</f>
        <v/>
      </c>
    </row>
    <row r="820">
      <c r="A820" s="3">
        <f>IF(AND('Data Source'!B820&lt;&gt;"",'Data Source'!S820="A+"),COUNTIF('Data Source'!$S$3:S820,"A+"),"")</f>
        <v/>
      </c>
      <c r="B820">
        <f>IF(AND('Data Source'!B820&lt;&gt;"",'Data Source'!S820="A+"),'Data Source'!B820,"")</f>
        <v/>
      </c>
      <c r="C820" s="3">
        <f>IF(AND('Data Source'!B820&lt;&gt;"",'Data Source'!S820="A+"),IF('Data Source'!U820&gt;=5,"A+",IF('Data Source'!U820&gt;=4,"A",IF('Data Source'!U820&gt;=3.5,"A-",IF('Data Source'!U820&gt;=3,"B",IF('Data Source'!U820&gt;=2,"C",IF('Data Source'!U820&gt;=1,"D","F")))))),"")</f>
        <v/>
      </c>
      <c r="D820" s="3">
        <f>IF(AND('Data Source'!B820&lt;&gt;"",'Data Source'!S820="A+"),IF('Data Source'!V820&gt;=5,"A+",IF('Data Source'!V820&gt;=4,"A",IF('Data Source'!V820&gt;=3.5,"A-",IF('Data Source'!V820&gt;=3,"B",IF('Data Source'!V820&gt;=2,"C",IF('Data Source'!V820&gt;=1,"D","F")))))),"")</f>
        <v/>
      </c>
      <c r="E820" s="3">
        <f>IF(AND('Data Source'!B820&lt;&gt;"",'Data Source'!S820="A+"),IF('Data Source'!W820&gt;=5,"A+",IF('Data Source'!W820&gt;=4,"A",IF('Data Source'!W820&gt;=3.5,"A-",IF('Data Source'!W820&gt;=3,"B",IF('Data Source'!W820&gt;=2,"C",IF('Data Source'!W820&gt;=1,"D","F")))))),"")</f>
        <v/>
      </c>
      <c r="F820" s="3">
        <f>IF(AND('Data Source'!B820&lt;&gt;"",'Data Source'!S820="A+"),IF('Data Source'!X820&gt;=5,"A+",IF('Data Source'!X820&gt;=4,"A",IF('Data Source'!X820&gt;=3.5,"A-",IF('Data Source'!X820&gt;=3,"B",IF('Data Source'!X820&gt;=2,"C",IF('Data Source'!X820&gt;=1,"D","F")))))),"")</f>
        <v/>
      </c>
      <c r="G820" s="3">
        <f>IF(AND('Data Source'!B820&lt;&gt;"",'Data Source'!S820="A+"),IF('Data Source'!Y820&gt;=5,"A+",IF('Data Source'!Y820&gt;=4,"A",IF('Data Source'!Y820&gt;=3.5,"A-",IF('Data Source'!Y820&gt;=3,"B",IF('Data Source'!Y820&gt;=2,"C",IF('Data Source'!Y820&gt;=1,"D","F")))))),"")</f>
        <v/>
      </c>
      <c r="H820" s="3">
        <f>IF(AND('Data Source'!B820&lt;&gt;"",'Data Source'!S820="A+"),IF('Data Source'!Z820&gt;=5,"A+",IF('Data Source'!Z820&gt;=4,"A",IF('Data Source'!Z820&gt;=3.5,"A-",IF('Data Source'!Z820&gt;=3,"B",IF('Data Source'!Z820&gt;=2,"C",IF('Data Source'!Z820&gt;=1,"D","F")))))),"")</f>
        <v/>
      </c>
      <c r="I820" s="3">
        <f>IF(AND('Data Source'!B820&lt;&gt;"",'Data Source'!S820="A+"),IF('Data Source'!AA820&gt;=5,"A+",IF('Data Source'!AA820&gt;=4,"A",IF('Data Source'!AA820&gt;=3.5,"A-",IF('Data Source'!AA820&gt;=3,"B",IF('Data Source'!AA820&gt;=2,"C",IF('Data Source'!AA820&gt;=1,"D","F")))))),"")</f>
        <v/>
      </c>
      <c r="J820" s="3">
        <f>IF(AND('Data Source'!B820&lt;&gt;"",'Data Source'!S820="A+"),IF('Data Source'!AB820&gt;=5,"A+",IF('Data Source'!AB820&gt;=4,"A",IF('Data Source'!AB820&gt;=3.5,"A-",IF('Data Source'!AB820&gt;=3,"B",IF('Data Source'!AB820&gt;=2,"C",IF('Data Source'!AB820&gt;=1,"D","F")))))),"")</f>
        <v/>
      </c>
      <c r="K820" s="3">
        <f>IF(AND('Data Source'!B820&lt;&gt;"",'Data Source'!S820="A+"),IF('Data Source'!AC820&gt;=5,"A+",IF('Data Source'!AC820&gt;=4,"A",IF('Data Source'!AC820&gt;=3.5,"A-",IF('Data Source'!AC820&gt;=3,"B",IF('Data Source'!AC820&gt;=2,"C",IF('Data Source'!AC820&gt;=1,"D","F")))))),"")</f>
        <v/>
      </c>
      <c r="L820" s="3">
        <f>IF(AND('Data Source'!B820&lt;&gt;"",'Data Source'!S820="A+"),IF('Data Source'!AD820&gt;=5,"A+",IF('Data Source'!AD820&gt;=4,"A",IF('Data Source'!AD820&gt;=3.5,"A-",IF('Data Source'!AD820&gt;=3,"B",IF('Data Source'!AD820&gt;=2,"C",IF('Data Source'!AD820&gt;=1,"D","F")))))),"")</f>
        <v/>
      </c>
      <c r="M820" s="3">
        <f>IF(AND('Data Source'!B820&lt;&gt;"",'Data Source'!S820="A+"),IF('Data Source'!AE820&gt;=5,"A+",IF('Data Source'!AE820&gt;=4,"A",IF('Data Source'!AE820&gt;=3.5,"A-",IF('Data Source'!AE820&gt;=3,"B",IF('Data Source'!AE820&gt;=2,"C",IF('Data Source'!AE820&gt;=1,"D","F")))))),"")</f>
        <v/>
      </c>
      <c r="N820" s="3">
        <f>IF(AND('Data Source'!B820&lt;&gt;"",'Data Source'!S820="A+"),IF('Data Source'!AF820&gt;=5,"A+",IF('Data Source'!AF820&gt;=4,"A",IF('Data Source'!AF820&gt;=3.5,"A-",IF('Data Source'!AF820&gt;=3,"B",IF('Data Source'!AF820&gt;=2,"C",IF('Data Source'!AF820&gt;=1,"D","F")))))),"")</f>
        <v/>
      </c>
      <c r="O820" s="3">
        <f>IF(AND('Data Source'!B820&lt;&gt;"",'Data Source'!S820="A+"),IF('Data Source'!AG820&gt;=5,"A+",IF('Data Source'!AG820&gt;=4,"A",IF('Data Source'!AG820&gt;=3.5,"A-",IF('Data Source'!AG820&gt;=3,"B",IF('Data Source'!AG820&gt;=2,"C",IF('Data Source'!AG820&gt;=1,"D","F")))))),"")</f>
        <v/>
      </c>
      <c r="P820" s="5">
        <f>IF(AND('Data Source'!B820&lt;&gt;"",'Data Source'!S820="A+"),'Data Source'!R820,"")</f>
        <v/>
      </c>
      <c r="Q820" s="3">
        <f>IF(AND('Data Source'!B820&lt;&gt;"",'Data Source'!S820="A+"),'Data Source'!S820,"")</f>
        <v/>
      </c>
    </row>
    <row r="821">
      <c r="A821" s="3">
        <f>IF(AND('Data Source'!B821&lt;&gt;"",'Data Source'!S821="A+"),COUNTIF('Data Source'!$S$3:S821,"A+"),"")</f>
        <v/>
      </c>
      <c r="B821">
        <f>IF(AND('Data Source'!B821&lt;&gt;"",'Data Source'!S821="A+"),'Data Source'!B821,"")</f>
        <v/>
      </c>
      <c r="C821" s="3">
        <f>IF(AND('Data Source'!B821&lt;&gt;"",'Data Source'!S821="A+"),IF('Data Source'!U821&gt;=5,"A+",IF('Data Source'!U821&gt;=4,"A",IF('Data Source'!U821&gt;=3.5,"A-",IF('Data Source'!U821&gt;=3,"B",IF('Data Source'!U821&gt;=2,"C",IF('Data Source'!U821&gt;=1,"D","F")))))),"")</f>
        <v/>
      </c>
      <c r="D821" s="3">
        <f>IF(AND('Data Source'!B821&lt;&gt;"",'Data Source'!S821="A+"),IF('Data Source'!V821&gt;=5,"A+",IF('Data Source'!V821&gt;=4,"A",IF('Data Source'!V821&gt;=3.5,"A-",IF('Data Source'!V821&gt;=3,"B",IF('Data Source'!V821&gt;=2,"C",IF('Data Source'!V821&gt;=1,"D","F")))))),"")</f>
        <v/>
      </c>
      <c r="E821" s="3">
        <f>IF(AND('Data Source'!B821&lt;&gt;"",'Data Source'!S821="A+"),IF('Data Source'!W821&gt;=5,"A+",IF('Data Source'!W821&gt;=4,"A",IF('Data Source'!W821&gt;=3.5,"A-",IF('Data Source'!W821&gt;=3,"B",IF('Data Source'!W821&gt;=2,"C",IF('Data Source'!W821&gt;=1,"D","F")))))),"")</f>
        <v/>
      </c>
      <c r="F821" s="3">
        <f>IF(AND('Data Source'!B821&lt;&gt;"",'Data Source'!S821="A+"),IF('Data Source'!X821&gt;=5,"A+",IF('Data Source'!X821&gt;=4,"A",IF('Data Source'!X821&gt;=3.5,"A-",IF('Data Source'!X821&gt;=3,"B",IF('Data Source'!X821&gt;=2,"C",IF('Data Source'!X821&gt;=1,"D","F")))))),"")</f>
        <v/>
      </c>
      <c r="G821" s="3">
        <f>IF(AND('Data Source'!B821&lt;&gt;"",'Data Source'!S821="A+"),IF('Data Source'!Y821&gt;=5,"A+",IF('Data Source'!Y821&gt;=4,"A",IF('Data Source'!Y821&gt;=3.5,"A-",IF('Data Source'!Y821&gt;=3,"B",IF('Data Source'!Y821&gt;=2,"C",IF('Data Source'!Y821&gt;=1,"D","F")))))),"")</f>
        <v/>
      </c>
      <c r="H821" s="3">
        <f>IF(AND('Data Source'!B821&lt;&gt;"",'Data Source'!S821="A+"),IF('Data Source'!Z821&gt;=5,"A+",IF('Data Source'!Z821&gt;=4,"A",IF('Data Source'!Z821&gt;=3.5,"A-",IF('Data Source'!Z821&gt;=3,"B",IF('Data Source'!Z821&gt;=2,"C",IF('Data Source'!Z821&gt;=1,"D","F")))))),"")</f>
        <v/>
      </c>
      <c r="I821" s="3">
        <f>IF(AND('Data Source'!B821&lt;&gt;"",'Data Source'!S821="A+"),IF('Data Source'!AA821&gt;=5,"A+",IF('Data Source'!AA821&gt;=4,"A",IF('Data Source'!AA821&gt;=3.5,"A-",IF('Data Source'!AA821&gt;=3,"B",IF('Data Source'!AA821&gt;=2,"C",IF('Data Source'!AA821&gt;=1,"D","F")))))),"")</f>
        <v/>
      </c>
      <c r="J821" s="3">
        <f>IF(AND('Data Source'!B821&lt;&gt;"",'Data Source'!S821="A+"),IF('Data Source'!AB821&gt;=5,"A+",IF('Data Source'!AB821&gt;=4,"A",IF('Data Source'!AB821&gt;=3.5,"A-",IF('Data Source'!AB821&gt;=3,"B",IF('Data Source'!AB821&gt;=2,"C",IF('Data Source'!AB821&gt;=1,"D","F")))))),"")</f>
        <v/>
      </c>
      <c r="K821" s="3">
        <f>IF(AND('Data Source'!B821&lt;&gt;"",'Data Source'!S821="A+"),IF('Data Source'!AC821&gt;=5,"A+",IF('Data Source'!AC821&gt;=4,"A",IF('Data Source'!AC821&gt;=3.5,"A-",IF('Data Source'!AC821&gt;=3,"B",IF('Data Source'!AC821&gt;=2,"C",IF('Data Source'!AC821&gt;=1,"D","F")))))),"")</f>
        <v/>
      </c>
      <c r="L821" s="3">
        <f>IF(AND('Data Source'!B821&lt;&gt;"",'Data Source'!S821="A+"),IF('Data Source'!AD821&gt;=5,"A+",IF('Data Source'!AD821&gt;=4,"A",IF('Data Source'!AD821&gt;=3.5,"A-",IF('Data Source'!AD821&gt;=3,"B",IF('Data Source'!AD821&gt;=2,"C",IF('Data Source'!AD821&gt;=1,"D","F")))))),"")</f>
        <v/>
      </c>
      <c r="M821" s="3">
        <f>IF(AND('Data Source'!B821&lt;&gt;"",'Data Source'!S821="A+"),IF('Data Source'!AE821&gt;=5,"A+",IF('Data Source'!AE821&gt;=4,"A",IF('Data Source'!AE821&gt;=3.5,"A-",IF('Data Source'!AE821&gt;=3,"B",IF('Data Source'!AE821&gt;=2,"C",IF('Data Source'!AE821&gt;=1,"D","F")))))),"")</f>
        <v/>
      </c>
      <c r="N821" s="3">
        <f>IF(AND('Data Source'!B821&lt;&gt;"",'Data Source'!S821="A+"),IF('Data Source'!AF821&gt;=5,"A+",IF('Data Source'!AF821&gt;=4,"A",IF('Data Source'!AF821&gt;=3.5,"A-",IF('Data Source'!AF821&gt;=3,"B",IF('Data Source'!AF821&gt;=2,"C",IF('Data Source'!AF821&gt;=1,"D","F")))))),"")</f>
        <v/>
      </c>
      <c r="O821" s="3">
        <f>IF(AND('Data Source'!B821&lt;&gt;"",'Data Source'!S821="A+"),IF('Data Source'!AG821&gt;=5,"A+",IF('Data Source'!AG821&gt;=4,"A",IF('Data Source'!AG821&gt;=3.5,"A-",IF('Data Source'!AG821&gt;=3,"B",IF('Data Source'!AG821&gt;=2,"C",IF('Data Source'!AG821&gt;=1,"D","F")))))),"")</f>
        <v/>
      </c>
      <c r="P821" s="5">
        <f>IF(AND('Data Source'!B821&lt;&gt;"",'Data Source'!S821="A+"),'Data Source'!R821,"")</f>
        <v/>
      </c>
      <c r="Q821" s="3">
        <f>IF(AND('Data Source'!B821&lt;&gt;"",'Data Source'!S821="A+"),'Data Source'!S821,"")</f>
        <v/>
      </c>
    </row>
    <row r="822">
      <c r="A822" s="3">
        <f>IF(AND('Data Source'!B822&lt;&gt;"",'Data Source'!S822="A+"),COUNTIF('Data Source'!$S$3:S822,"A+"),"")</f>
        <v/>
      </c>
      <c r="B822">
        <f>IF(AND('Data Source'!B822&lt;&gt;"",'Data Source'!S822="A+"),'Data Source'!B822,"")</f>
        <v/>
      </c>
      <c r="C822" s="3">
        <f>IF(AND('Data Source'!B822&lt;&gt;"",'Data Source'!S822="A+"),IF('Data Source'!U822&gt;=5,"A+",IF('Data Source'!U822&gt;=4,"A",IF('Data Source'!U822&gt;=3.5,"A-",IF('Data Source'!U822&gt;=3,"B",IF('Data Source'!U822&gt;=2,"C",IF('Data Source'!U822&gt;=1,"D","F")))))),"")</f>
        <v/>
      </c>
      <c r="D822" s="3">
        <f>IF(AND('Data Source'!B822&lt;&gt;"",'Data Source'!S822="A+"),IF('Data Source'!V822&gt;=5,"A+",IF('Data Source'!V822&gt;=4,"A",IF('Data Source'!V822&gt;=3.5,"A-",IF('Data Source'!V822&gt;=3,"B",IF('Data Source'!V822&gt;=2,"C",IF('Data Source'!V822&gt;=1,"D","F")))))),"")</f>
        <v/>
      </c>
      <c r="E822" s="3">
        <f>IF(AND('Data Source'!B822&lt;&gt;"",'Data Source'!S822="A+"),IF('Data Source'!W822&gt;=5,"A+",IF('Data Source'!W822&gt;=4,"A",IF('Data Source'!W822&gt;=3.5,"A-",IF('Data Source'!W822&gt;=3,"B",IF('Data Source'!W822&gt;=2,"C",IF('Data Source'!W822&gt;=1,"D","F")))))),"")</f>
        <v/>
      </c>
      <c r="F822" s="3">
        <f>IF(AND('Data Source'!B822&lt;&gt;"",'Data Source'!S822="A+"),IF('Data Source'!X822&gt;=5,"A+",IF('Data Source'!X822&gt;=4,"A",IF('Data Source'!X822&gt;=3.5,"A-",IF('Data Source'!X822&gt;=3,"B",IF('Data Source'!X822&gt;=2,"C",IF('Data Source'!X822&gt;=1,"D","F")))))),"")</f>
        <v/>
      </c>
      <c r="G822" s="3">
        <f>IF(AND('Data Source'!B822&lt;&gt;"",'Data Source'!S822="A+"),IF('Data Source'!Y822&gt;=5,"A+",IF('Data Source'!Y822&gt;=4,"A",IF('Data Source'!Y822&gt;=3.5,"A-",IF('Data Source'!Y822&gt;=3,"B",IF('Data Source'!Y822&gt;=2,"C",IF('Data Source'!Y822&gt;=1,"D","F")))))),"")</f>
        <v/>
      </c>
      <c r="H822" s="3">
        <f>IF(AND('Data Source'!B822&lt;&gt;"",'Data Source'!S822="A+"),IF('Data Source'!Z822&gt;=5,"A+",IF('Data Source'!Z822&gt;=4,"A",IF('Data Source'!Z822&gt;=3.5,"A-",IF('Data Source'!Z822&gt;=3,"B",IF('Data Source'!Z822&gt;=2,"C",IF('Data Source'!Z822&gt;=1,"D","F")))))),"")</f>
        <v/>
      </c>
      <c r="I822" s="3">
        <f>IF(AND('Data Source'!B822&lt;&gt;"",'Data Source'!S822="A+"),IF('Data Source'!AA822&gt;=5,"A+",IF('Data Source'!AA822&gt;=4,"A",IF('Data Source'!AA822&gt;=3.5,"A-",IF('Data Source'!AA822&gt;=3,"B",IF('Data Source'!AA822&gt;=2,"C",IF('Data Source'!AA822&gt;=1,"D","F")))))),"")</f>
        <v/>
      </c>
      <c r="J822" s="3">
        <f>IF(AND('Data Source'!B822&lt;&gt;"",'Data Source'!S822="A+"),IF('Data Source'!AB822&gt;=5,"A+",IF('Data Source'!AB822&gt;=4,"A",IF('Data Source'!AB822&gt;=3.5,"A-",IF('Data Source'!AB822&gt;=3,"B",IF('Data Source'!AB822&gt;=2,"C",IF('Data Source'!AB822&gt;=1,"D","F")))))),"")</f>
        <v/>
      </c>
      <c r="K822" s="3">
        <f>IF(AND('Data Source'!B822&lt;&gt;"",'Data Source'!S822="A+"),IF('Data Source'!AC822&gt;=5,"A+",IF('Data Source'!AC822&gt;=4,"A",IF('Data Source'!AC822&gt;=3.5,"A-",IF('Data Source'!AC822&gt;=3,"B",IF('Data Source'!AC822&gt;=2,"C",IF('Data Source'!AC822&gt;=1,"D","F")))))),"")</f>
        <v/>
      </c>
      <c r="L822" s="3">
        <f>IF(AND('Data Source'!B822&lt;&gt;"",'Data Source'!S822="A+"),IF('Data Source'!AD822&gt;=5,"A+",IF('Data Source'!AD822&gt;=4,"A",IF('Data Source'!AD822&gt;=3.5,"A-",IF('Data Source'!AD822&gt;=3,"B",IF('Data Source'!AD822&gt;=2,"C",IF('Data Source'!AD822&gt;=1,"D","F")))))),"")</f>
        <v/>
      </c>
      <c r="M822" s="3">
        <f>IF(AND('Data Source'!B822&lt;&gt;"",'Data Source'!S822="A+"),IF('Data Source'!AE822&gt;=5,"A+",IF('Data Source'!AE822&gt;=4,"A",IF('Data Source'!AE822&gt;=3.5,"A-",IF('Data Source'!AE822&gt;=3,"B",IF('Data Source'!AE822&gt;=2,"C",IF('Data Source'!AE822&gt;=1,"D","F")))))),"")</f>
        <v/>
      </c>
      <c r="N822" s="3">
        <f>IF(AND('Data Source'!B822&lt;&gt;"",'Data Source'!S822="A+"),IF('Data Source'!AF822&gt;=5,"A+",IF('Data Source'!AF822&gt;=4,"A",IF('Data Source'!AF822&gt;=3.5,"A-",IF('Data Source'!AF822&gt;=3,"B",IF('Data Source'!AF822&gt;=2,"C",IF('Data Source'!AF822&gt;=1,"D","F")))))),"")</f>
        <v/>
      </c>
      <c r="O822" s="3">
        <f>IF(AND('Data Source'!B822&lt;&gt;"",'Data Source'!S822="A+"),IF('Data Source'!AG822&gt;=5,"A+",IF('Data Source'!AG822&gt;=4,"A",IF('Data Source'!AG822&gt;=3.5,"A-",IF('Data Source'!AG822&gt;=3,"B",IF('Data Source'!AG822&gt;=2,"C",IF('Data Source'!AG822&gt;=1,"D","F")))))),"")</f>
        <v/>
      </c>
      <c r="P822" s="5">
        <f>IF(AND('Data Source'!B822&lt;&gt;"",'Data Source'!S822="A+"),'Data Source'!R822,"")</f>
        <v/>
      </c>
      <c r="Q822" s="3">
        <f>IF(AND('Data Source'!B822&lt;&gt;"",'Data Source'!S822="A+"),'Data Source'!S822,"")</f>
        <v/>
      </c>
    </row>
    <row r="823">
      <c r="A823" s="3">
        <f>IF(AND('Data Source'!B823&lt;&gt;"",'Data Source'!S823="A+"),COUNTIF('Data Source'!$S$3:S823,"A+"),"")</f>
        <v/>
      </c>
      <c r="B823">
        <f>IF(AND('Data Source'!B823&lt;&gt;"",'Data Source'!S823="A+"),'Data Source'!B823,"")</f>
        <v/>
      </c>
      <c r="C823" s="3">
        <f>IF(AND('Data Source'!B823&lt;&gt;"",'Data Source'!S823="A+"),IF('Data Source'!U823&gt;=5,"A+",IF('Data Source'!U823&gt;=4,"A",IF('Data Source'!U823&gt;=3.5,"A-",IF('Data Source'!U823&gt;=3,"B",IF('Data Source'!U823&gt;=2,"C",IF('Data Source'!U823&gt;=1,"D","F")))))),"")</f>
        <v/>
      </c>
      <c r="D823" s="3">
        <f>IF(AND('Data Source'!B823&lt;&gt;"",'Data Source'!S823="A+"),IF('Data Source'!V823&gt;=5,"A+",IF('Data Source'!V823&gt;=4,"A",IF('Data Source'!V823&gt;=3.5,"A-",IF('Data Source'!V823&gt;=3,"B",IF('Data Source'!V823&gt;=2,"C",IF('Data Source'!V823&gt;=1,"D","F")))))),"")</f>
        <v/>
      </c>
      <c r="E823" s="3">
        <f>IF(AND('Data Source'!B823&lt;&gt;"",'Data Source'!S823="A+"),IF('Data Source'!W823&gt;=5,"A+",IF('Data Source'!W823&gt;=4,"A",IF('Data Source'!W823&gt;=3.5,"A-",IF('Data Source'!W823&gt;=3,"B",IF('Data Source'!W823&gt;=2,"C",IF('Data Source'!W823&gt;=1,"D","F")))))),"")</f>
        <v/>
      </c>
      <c r="F823" s="3">
        <f>IF(AND('Data Source'!B823&lt;&gt;"",'Data Source'!S823="A+"),IF('Data Source'!X823&gt;=5,"A+",IF('Data Source'!X823&gt;=4,"A",IF('Data Source'!X823&gt;=3.5,"A-",IF('Data Source'!X823&gt;=3,"B",IF('Data Source'!X823&gt;=2,"C",IF('Data Source'!X823&gt;=1,"D","F")))))),"")</f>
        <v/>
      </c>
      <c r="G823" s="3">
        <f>IF(AND('Data Source'!B823&lt;&gt;"",'Data Source'!S823="A+"),IF('Data Source'!Y823&gt;=5,"A+",IF('Data Source'!Y823&gt;=4,"A",IF('Data Source'!Y823&gt;=3.5,"A-",IF('Data Source'!Y823&gt;=3,"B",IF('Data Source'!Y823&gt;=2,"C",IF('Data Source'!Y823&gt;=1,"D","F")))))),"")</f>
        <v/>
      </c>
      <c r="H823" s="3">
        <f>IF(AND('Data Source'!B823&lt;&gt;"",'Data Source'!S823="A+"),IF('Data Source'!Z823&gt;=5,"A+",IF('Data Source'!Z823&gt;=4,"A",IF('Data Source'!Z823&gt;=3.5,"A-",IF('Data Source'!Z823&gt;=3,"B",IF('Data Source'!Z823&gt;=2,"C",IF('Data Source'!Z823&gt;=1,"D","F")))))),"")</f>
        <v/>
      </c>
      <c r="I823" s="3">
        <f>IF(AND('Data Source'!B823&lt;&gt;"",'Data Source'!S823="A+"),IF('Data Source'!AA823&gt;=5,"A+",IF('Data Source'!AA823&gt;=4,"A",IF('Data Source'!AA823&gt;=3.5,"A-",IF('Data Source'!AA823&gt;=3,"B",IF('Data Source'!AA823&gt;=2,"C",IF('Data Source'!AA823&gt;=1,"D","F")))))),"")</f>
        <v/>
      </c>
      <c r="J823" s="3">
        <f>IF(AND('Data Source'!B823&lt;&gt;"",'Data Source'!S823="A+"),IF('Data Source'!AB823&gt;=5,"A+",IF('Data Source'!AB823&gt;=4,"A",IF('Data Source'!AB823&gt;=3.5,"A-",IF('Data Source'!AB823&gt;=3,"B",IF('Data Source'!AB823&gt;=2,"C",IF('Data Source'!AB823&gt;=1,"D","F")))))),"")</f>
        <v/>
      </c>
      <c r="K823" s="3">
        <f>IF(AND('Data Source'!B823&lt;&gt;"",'Data Source'!S823="A+"),IF('Data Source'!AC823&gt;=5,"A+",IF('Data Source'!AC823&gt;=4,"A",IF('Data Source'!AC823&gt;=3.5,"A-",IF('Data Source'!AC823&gt;=3,"B",IF('Data Source'!AC823&gt;=2,"C",IF('Data Source'!AC823&gt;=1,"D","F")))))),"")</f>
        <v/>
      </c>
      <c r="L823" s="3">
        <f>IF(AND('Data Source'!B823&lt;&gt;"",'Data Source'!S823="A+"),IF('Data Source'!AD823&gt;=5,"A+",IF('Data Source'!AD823&gt;=4,"A",IF('Data Source'!AD823&gt;=3.5,"A-",IF('Data Source'!AD823&gt;=3,"B",IF('Data Source'!AD823&gt;=2,"C",IF('Data Source'!AD823&gt;=1,"D","F")))))),"")</f>
        <v/>
      </c>
      <c r="M823" s="3">
        <f>IF(AND('Data Source'!B823&lt;&gt;"",'Data Source'!S823="A+"),IF('Data Source'!AE823&gt;=5,"A+",IF('Data Source'!AE823&gt;=4,"A",IF('Data Source'!AE823&gt;=3.5,"A-",IF('Data Source'!AE823&gt;=3,"B",IF('Data Source'!AE823&gt;=2,"C",IF('Data Source'!AE823&gt;=1,"D","F")))))),"")</f>
        <v/>
      </c>
      <c r="N823" s="3">
        <f>IF(AND('Data Source'!B823&lt;&gt;"",'Data Source'!S823="A+"),IF('Data Source'!AF823&gt;=5,"A+",IF('Data Source'!AF823&gt;=4,"A",IF('Data Source'!AF823&gt;=3.5,"A-",IF('Data Source'!AF823&gt;=3,"B",IF('Data Source'!AF823&gt;=2,"C",IF('Data Source'!AF823&gt;=1,"D","F")))))),"")</f>
        <v/>
      </c>
      <c r="O823" s="3">
        <f>IF(AND('Data Source'!B823&lt;&gt;"",'Data Source'!S823="A+"),IF('Data Source'!AG823&gt;=5,"A+",IF('Data Source'!AG823&gt;=4,"A",IF('Data Source'!AG823&gt;=3.5,"A-",IF('Data Source'!AG823&gt;=3,"B",IF('Data Source'!AG823&gt;=2,"C",IF('Data Source'!AG823&gt;=1,"D","F")))))),"")</f>
        <v/>
      </c>
      <c r="P823" s="5">
        <f>IF(AND('Data Source'!B823&lt;&gt;"",'Data Source'!S823="A+"),'Data Source'!R823,"")</f>
        <v/>
      </c>
      <c r="Q823" s="3">
        <f>IF(AND('Data Source'!B823&lt;&gt;"",'Data Source'!S823="A+"),'Data Source'!S823,"")</f>
        <v/>
      </c>
    </row>
    <row r="824">
      <c r="A824" s="3">
        <f>IF(AND('Data Source'!B824&lt;&gt;"",'Data Source'!S824="A+"),COUNTIF('Data Source'!$S$3:S824,"A+"),"")</f>
        <v/>
      </c>
      <c r="B824">
        <f>IF(AND('Data Source'!B824&lt;&gt;"",'Data Source'!S824="A+"),'Data Source'!B824,"")</f>
        <v/>
      </c>
      <c r="C824" s="3">
        <f>IF(AND('Data Source'!B824&lt;&gt;"",'Data Source'!S824="A+"),IF('Data Source'!U824&gt;=5,"A+",IF('Data Source'!U824&gt;=4,"A",IF('Data Source'!U824&gt;=3.5,"A-",IF('Data Source'!U824&gt;=3,"B",IF('Data Source'!U824&gt;=2,"C",IF('Data Source'!U824&gt;=1,"D","F")))))),"")</f>
        <v/>
      </c>
      <c r="D824" s="3">
        <f>IF(AND('Data Source'!B824&lt;&gt;"",'Data Source'!S824="A+"),IF('Data Source'!V824&gt;=5,"A+",IF('Data Source'!V824&gt;=4,"A",IF('Data Source'!V824&gt;=3.5,"A-",IF('Data Source'!V824&gt;=3,"B",IF('Data Source'!V824&gt;=2,"C",IF('Data Source'!V824&gt;=1,"D","F")))))),"")</f>
        <v/>
      </c>
      <c r="E824" s="3">
        <f>IF(AND('Data Source'!B824&lt;&gt;"",'Data Source'!S824="A+"),IF('Data Source'!W824&gt;=5,"A+",IF('Data Source'!W824&gt;=4,"A",IF('Data Source'!W824&gt;=3.5,"A-",IF('Data Source'!W824&gt;=3,"B",IF('Data Source'!W824&gt;=2,"C",IF('Data Source'!W824&gt;=1,"D","F")))))),"")</f>
        <v/>
      </c>
      <c r="F824" s="3">
        <f>IF(AND('Data Source'!B824&lt;&gt;"",'Data Source'!S824="A+"),IF('Data Source'!X824&gt;=5,"A+",IF('Data Source'!X824&gt;=4,"A",IF('Data Source'!X824&gt;=3.5,"A-",IF('Data Source'!X824&gt;=3,"B",IF('Data Source'!X824&gt;=2,"C",IF('Data Source'!X824&gt;=1,"D","F")))))),"")</f>
        <v/>
      </c>
      <c r="G824" s="3">
        <f>IF(AND('Data Source'!B824&lt;&gt;"",'Data Source'!S824="A+"),IF('Data Source'!Y824&gt;=5,"A+",IF('Data Source'!Y824&gt;=4,"A",IF('Data Source'!Y824&gt;=3.5,"A-",IF('Data Source'!Y824&gt;=3,"B",IF('Data Source'!Y824&gt;=2,"C",IF('Data Source'!Y824&gt;=1,"D","F")))))),"")</f>
        <v/>
      </c>
      <c r="H824" s="3">
        <f>IF(AND('Data Source'!B824&lt;&gt;"",'Data Source'!S824="A+"),IF('Data Source'!Z824&gt;=5,"A+",IF('Data Source'!Z824&gt;=4,"A",IF('Data Source'!Z824&gt;=3.5,"A-",IF('Data Source'!Z824&gt;=3,"B",IF('Data Source'!Z824&gt;=2,"C",IF('Data Source'!Z824&gt;=1,"D","F")))))),"")</f>
        <v/>
      </c>
      <c r="I824" s="3">
        <f>IF(AND('Data Source'!B824&lt;&gt;"",'Data Source'!S824="A+"),IF('Data Source'!AA824&gt;=5,"A+",IF('Data Source'!AA824&gt;=4,"A",IF('Data Source'!AA824&gt;=3.5,"A-",IF('Data Source'!AA824&gt;=3,"B",IF('Data Source'!AA824&gt;=2,"C",IF('Data Source'!AA824&gt;=1,"D","F")))))),"")</f>
        <v/>
      </c>
      <c r="J824" s="3">
        <f>IF(AND('Data Source'!B824&lt;&gt;"",'Data Source'!S824="A+"),IF('Data Source'!AB824&gt;=5,"A+",IF('Data Source'!AB824&gt;=4,"A",IF('Data Source'!AB824&gt;=3.5,"A-",IF('Data Source'!AB824&gt;=3,"B",IF('Data Source'!AB824&gt;=2,"C",IF('Data Source'!AB824&gt;=1,"D","F")))))),"")</f>
        <v/>
      </c>
      <c r="K824" s="3">
        <f>IF(AND('Data Source'!B824&lt;&gt;"",'Data Source'!S824="A+"),IF('Data Source'!AC824&gt;=5,"A+",IF('Data Source'!AC824&gt;=4,"A",IF('Data Source'!AC824&gt;=3.5,"A-",IF('Data Source'!AC824&gt;=3,"B",IF('Data Source'!AC824&gt;=2,"C",IF('Data Source'!AC824&gt;=1,"D","F")))))),"")</f>
        <v/>
      </c>
      <c r="L824" s="3">
        <f>IF(AND('Data Source'!B824&lt;&gt;"",'Data Source'!S824="A+"),IF('Data Source'!AD824&gt;=5,"A+",IF('Data Source'!AD824&gt;=4,"A",IF('Data Source'!AD824&gt;=3.5,"A-",IF('Data Source'!AD824&gt;=3,"B",IF('Data Source'!AD824&gt;=2,"C",IF('Data Source'!AD824&gt;=1,"D","F")))))),"")</f>
        <v/>
      </c>
      <c r="M824" s="3">
        <f>IF(AND('Data Source'!B824&lt;&gt;"",'Data Source'!S824="A+"),IF('Data Source'!AE824&gt;=5,"A+",IF('Data Source'!AE824&gt;=4,"A",IF('Data Source'!AE824&gt;=3.5,"A-",IF('Data Source'!AE824&gt;=3,"B",IF('Data Source'!AE824&gt;=2,"C",IF('Data Source'!AE824&gt;=1,"D","F")))))),"")</f>
        <v/>
      </c>
      <c r="N824" s="3">
        <f>IF(AND('Data Source'!B824&lt;&gt;"",'Data Source'!S824="A+"),IF('Data Source'!AF824&gt;=5,"A+",IF('Data Source'!AF824&gt;=4,"A",IF('Data Source'!AF824&gt;=3.5,"A-",IF('Data Source'!AF824&gt;=3,"B",IF('Data Source'!AF824&gt;=2,"C",IF('Data Source'!AF824&gt;=1,"D","F")))))),"")</f>
        <v/>
      </c>
      <c r="O824" s="3">
        <f>IF(AND('Data Source'!B824&lt;&gt;"",'Data Source'!S824="A+"),IF('Data Source'!AG824&gt;=5,"A+",IF('Data Source'!AG824&gt;=4,"A",IF('Data Source'!AG824&gt;=3.5,"A-",IF('Data Source'!AG824&gt;=3,"B",IF('Data Source'!AG824&gt;=2,"C",IF('Data Source'!AG824&gt;=1,"D","F")))))),"")</f>
        <v/>
      </c>
      <c r="P824" s="5">
        <f>IF(AND('Data Source'!B824&lt;&gt;"",'Data Source'!S824="A+"),'Data Source'!R824,"")</f>
        <v/>
      </c>
      <c r="Q824" s="3">
        <f>IF(AND('Data Source'!B824&lt;&gt;"",'Data Source'!S824="A+"),'Data Source'!S824,"")</f>
        <v/>
      </c>
    </row>
    <row r="825">
      <c r="A825" s="3">
        <f>IF(AND('Data Source'!B825&lt;&gt;"",'Data Source'!S825="A+"),COUNTIF('Data Source'!$S$3:S825,"A+"),"")</f>
        <v/>
      </c>
      <c r="B825">
        <f>IF(AND('Data Source'!B825&lt;&gt;"",'Data Source'!S825="A+"),'Data Source'!B825,"")</f>
        <v/>
      </c>
      <c r="C825" s="3">
        <f>IF(AND('Data Source'!B825&lt;&gt;"",'Data Source'!S825="A+"),IF('Data Source'!U825&gt;=5,"A+",IF('Data Source'!U825&gt;=4,"A",IF('Data Source'!U825&gt;=3.5,"A-",IF('Data Source'!U825&gt;=3,"B",IF('Data Source'!U825&gt;=2,"C",IF('Data Source'!U825&gt;=1,"D","F")))))),"")</f>
        <v/>
      </c>
      <c r="D825" s="3">
        <f>IF(AND('Data Source'!B825&lt;&gt;"",'Data Source'!S825="A+"),IF('Data Source'!V825&gt;=5,"A+",IF('Data Source'!V825&gt;=4,"A",IF('Data Source'!V825&gt;=3.5,"A-",IF('Data Source'!V825&gt;=3,"B",IF('Data Source'!V825&gt;=2,"C",IF('Data Source'!V825&gt;=1,"D","F")))))),"")</f>
        <v/>
      </c>
      <c r="E825" s="3">
        <f>IF(AND('Data Source'!B825&lt;&gt;"",'Data Source'!S825="A+"),IF('Data Source'!W825&gt;=5,"A+",IF('Data Source'!W825&gt;=4,"A",IF('Data Source'!W825&gt;=3.5,"A-",IF('Data Source'!W825&gt;=3,"B",IF('Data Source'!W825&gt;=2,"C",IF('Data Source'!W825&gt;=1,"D","F")))))),"")</f>
        <v/>
      </c>
      <c r="F825" s="3">
        <f>IF(AND('Data Source'!B825&lt;&gt;"",'Data Source'!S825="A+"),IF('Data Source'!X825&gt;=5,"A+",IF('Data Source'!X825&gt;=4,"A",IF('Data Source'!X825&gt;=3.5,"A-",IF('Data Source'!X825&gt;=3,"B",IF('Data Source'!X825&gt;=2,"C",IF('Data Source'!X825&gt;=1,"D","F")))))),"")</f>
        <v/>
      </c>
      <c r="G825" s="3">
        <f>IF(AND('Data Source'!B825&lt;&gt;"",'Data Source'!S825="A+"),IF('Data Source'!Y825&gt;=5,"A+",IF('Data Source'!Y825&gt;=4,"A",IF('Data Source'!Y825&gt;=3.5,"A-",IF('Data Source'!Y825&gt;=3,"B",IF('Data Source'!Y825&gt;=2,"C",IF('Data Source'!Y825&gt;=1,"D","F")))))),"")</f>
        <v/>
      </c>
      <c r="H825" s="3">
        <f>IF(AND('Data Source'!B825&lt;&gt;"",'Data Source'!S825="A+"),IF('Data Source'!Z825&gt;=5,"A+",IF('Data Source'!Z825&gt;=4,"A",IF('Data Source'!Z825&gt;=3.5,"A-",IF('Data Source'!Z825&gt;=3,"B",IF('Data Source'!Z825&gt;=2,"C",IF('Data Source'!Z825&gt;=1,"D","F")))))),"")</f>
        <v/>
      </c>
      <c r="I825" s="3">
        <f>IF(AND('Data Source'!B825&lt;&gt;"",'Data Source'!S825="A+"),IF('Data Source'!AA825&gt;=5,"A+",IF('Data Source'!AA825&gt;=4,"A",IF('Data Source'!AA825&gt;=3.5,"A-",IF('Data Source'!AA825&gt;=3,"B",IF('Data Source'!AA825&gt;=2,"C",IF('Data Source'!AA825&gt;=1,"D","F")))))),"")</f>
        <v/>
      </c>
      <c r="J825" s="3">
        <f>IF(AND('Data Source'!B825&lt;&gt;"",'Data Source'!S825="A+"),IF('Data Source'!AB825&gt;=5,"A+",IF('Data Source'!AB825&gt;=4,"A",IF('Data Source'!AB825&gt;=3.5,"A-",IF('Data Source'!AB825&gt;=3,"B",IF('Data Source'!AB825&gt;=2,"C",IF('Data Source'!AB825&gt;=1,"D","F")))))),"")</f>
        <v/>
      </c>
      <c r="K825" s="3">
        <f>IF(AND('Data Source'!B825&lt;&gt;"",'Data Source'!S825="A+"),IF('Data Source'!AC825&gt;=5,"A+",IF('Data Source'!AC825&gt;=4,"A",IF('Data Source'!AC825&gt;=3.5,"A-",IF('Data Source'!AC825&gt;=3,"B",IF('Data Source'!AC825&gt;=2,"C",IF('Data Source'!AC825&gt;=1,"D","F")))))),"")</f>
        <v/>
      </c>
      <c r="L825" s="3">
        <f>IF(AND('Data Source'!B825&lt;&gt;"",'Data Source'!S825="A+"),IF('Data Source'!AD825&gt;=5,"A+",IF('Data Source'!AD825&gt;=4,"A",IF('Data Source'!AD825&gt;=3.5,"A-",IF('Data Source'!AD825&gt;=3,"B",IF('Data Source'!AD825&gt;=2,"C",IF('Data Source'!AD825&gt;=1,"D","F")))))),"")</f>
        <v/>
      </c>
      <c r="M825" s="3">
        <f>IF(AND('Data Source'!B825&lt;&gt;"",'Data Source'!S825="A+"),IF('Data Source'!AE825&gt;=5,"A+",IF('Data Source'!AE825&gt;=4,"A",IF('Data Source'!AE825&gt;=3.5,"A-",IF('Data Source'!AE825&gt;=3,"B",IF('Data Source'!AE825&gt;=2,"C",IF('Data Source'!AE825&gt;=1,"D","F")))))),"")</f>
        <v/>
      </c>
      <c r="N825" s="3">
        <f>IF(AND('Data Source'!B825&lt;&gt;"",'Data Source'!S825="A+"),IF('Data Source'!AF825&gt;=5,"A+",IF('Data Source'!AF825&gt;=4,"A",IF('Data Source'!AF825&gt;=3.5,"A-",IF('Data Source'!AF825&gt;=3,"B",IF('Data Source'!AF825&gt;=2,"C",IF('Data Source'!AF825&gt;=1,"D","F")))))),"")</f>
        <v/>
      </c>
      <c r="O825" s="3">
        <f>IF(AND('Data Source'!B825&lt;&gt;"",'Data Source'!S825="A+"),IF('Data Source'!AG825&gt;=5,"A+",IF('Data Source'!AG825&gt;=4,"A",IF('Data Source'!AG825&gt;=3.5,"A-",IF('Data Source'!AG825&gt;=3,"B",IF('Data Source'!AG825&gt;=2,"C",IF('Data Source'!AG825&gt;=1,"D","F")))))),"")</f>
        <v/>
      </c>
      <c r="P825" s="5">
        <f>IF(AND('Data Source'!B825&lt;&gt;"",'Data Source'!S825="A+"),'Data Source'!R825,"")</f>
        <v/>
      </c>
      <c r="Q825" s="3">
        <f>IF(AND('Data Source'!B825&lt;&gt;"",'Data Source'!S825="A+"),'Data Source'!S825,"")</f>
        <v/>
      </c>
    </row>
    <row r="826">
      <c r="A826" s="3">
        <f>IF(AND('Data Source'!B826&lt;&gt;"",'Data Source'!S826="A+"),COUNTIF('Data Source'!$S$3:S826,"A+"),"")</f>
        <v/>
      </c>
      <c r="B826">
        <f>IF(AND('Data Source'!B826&lt;&gt;"",'Data Source'!S826="A+"),'Data Source'!B826,"")</f>
        <v/>
      </c>
      <c r="C826" s="3">
        <f>IF(AND('Data Source'!B826&lt;&gt;"",'Data Source'!S826="A+"),IF('Data Source'!U826&gt;=5,"A+",IF('Data Source'!U826&gt;=4,"A",IF('Data Source'!U826&gt;=3.5,"A-",IF('Data Source'!U826&gt;=3,"B",IF('Data Source'!U826&gt;=2,"C",IF('Data Source'!U826&gt;=1,"D","F")))))),"")</f>
        <v/>
      </c>
      <c r="D826" s="3">
        <f>IF(AND('Data Source'!B826&lt;&gt;"",'Data Source'!S826="A+"),IF('Data Source'!V826&gt;=5,"A+",IF('Data Source'!V826&gt;=4,"A",IF('Data Source'!V826&gt;=3.5,"A-",IF('Data Source'!V826&gt;=3,"B",IF('Data Source'!V826&gt;=2,"C",IF('Data Source'!V826&gt;=1,"D","F")))))),"")</f>
        <v/>
      </c>
      <c r="E826" s="3">
        <f>IF(AND('Data Source'!B826&lt;&gt;"",'Data Source'!S826="A+"),IF('Data Source'!W826&gt;=5,"A+",IF('Data Source'!W826&gt;=4,"A",IF('Data Source'!W826&gt;=3.5,"A-",IF('Data Source'!W826&gt;=3,"B",IF('Data Source'!W826&gt;=2,"C",IF('Data Source'!W826&gt;=1,"D","F")))))),"")</f>
        <v/>
      </c>
      <c r="F826" s="3">
        <f>IF(AND('Data Source'!B826&lt;&gt;"",'Data Source'!S826="A+"),IF('Data Source'!X826&gt;=5,"A+",IF('Data Source'!X826&gt;=4,"A",IF('Data Source'!X826&gt;=3.5,"A-",IF('Data Source'!X826&gt;=3,"B",IF('Data Source'!X826&gt;=2,"C",IF('Data Source'!X826&gt;=1,"D","F")))))),"")</f>
        <v/>
      </c>
      <c r="G826" s="3">
        <f>IF(AND('Data Source'!B826&lt;&gt;"",'Data Source'!S826="A+"),IF('Data Source'!Y826&gt;=5,"A+",IF('Data Source'!Y826&gt;=4,"A",IF('Data Source'!Y826&gt;=3.5,"A-",IF('Data Source'!Y826&gt;=3,"B",IF('Data Source'!Y826&gt;=2,"C",IF('Data Source'!Y826&gt;=1,"D","F")))))),"")</f>
        <v/>
      </c>
      <c r="H826" s="3">
        <f>IF(AND('Data Source'!B826&lt;&gt;"",'Data Source'!S826="A+"),IF('Data Source'!Z826&gt;=5,"A+",IF('Data Source'!Z826&gt;=4,"A",IF('Data Source'!Z826&gt;=3.5,"A-",IF('Data Source'!Z826&gt;=3,"B",IF('Data Source'!Z826&gt;=2,"C",IF('Data Source'!Z826&gt;=1,"D","F")))))),"")</f>
        <v/>
      </c>
      <c r="I826" s="3">
        <f>IF(AND('Data Source'!B826&lt;&gt;"",'Data Source'!S826="A+"),IF('Data Source'!AA826&gt;=5,"A+",IF('Data Source'!AA826&gt;=4,"A",IF('Data Source'!AA826&gt;=3.5,"A-",IF('Data Source'!AA826&gt;=3,"B",IF('Data Source'!AA826&gt;=2,"C",IF('Data Source'!AA826&gt;=1,"D","F")))))),"")</f>
        <v/>
      </c>
      <c r="J826" s="3">
        <f>IF(AND('Data Source'!B826&lt;&gt;"",'Data Source'!S826="A+"),IF('Data Source'!AB826&gt;=5,"A+",IF('Data Source'!AB826&gt;=4,"A",IF('Data Source'!AB826&gt;=3.5,"A-",IF('Data Source'!AB826&gt;=3,"B",IF('Data Source'!AB826&gt;=2,"C",IF('Data Source'!AB826&gt;=1,"D","F")))))),"")</f>
        <v/>
      </c>
      <c r="K826" s="3">
        <f>IF(AND('Data Source'!B826&lt;&gt;"",'Data Source'!S826="A+"),IF('Data Source'!AC826&gt;=5,"A+",IF('Data Source'!AC826&gt;=4,"A",IF('Data Source'!AC826&gt;=3.5,"A-",IF('Data Source'!AC826&gt;=3,"B",IF('Data Source'!AC826&gt;=2,"C",IF('Data Source'!AC826&gt;=1,"D","F")))))),"")</f>
        <v/>
      </c>
      <c r="L826" s="3">
        <f>IF(AND('Data Source'!B826&lt;&gt;"",'Data Source'!S826="A+"),IF('Data Source'!AD826&gt;=5,"A+",IF('Data Source'!AD826&gt;=4,"A",IF('Data Source'!AD826&gt;=3.5,"A-",IF('Data Source'!AD826&gt;=3,"B",IF('Data Source'!AD826&gt;=2,"C",IF('Data Source'!AD826&gt;=1,"D","F")))))),"")</f>
        <v/>
      </c>
      <c r="M826" s="3">
        <f>IF(AND('Data Source'!B826&lt;&gt;"",'Data Source'!S826="A+"),IF('Data Source'!AE826&gt;=5,"A+",IF('Data Source'!AE826&gt;=4,"A",IF('Data Source'!AE826&gt;=3.5,"A-",IF('Data Source'!AE826&gt;=3,"B",IF('Data Source'!AE826&gt;=2,"C",IF('Data Source'!AE826&gt;=1,"D","F")))))),"")</f>
        <v/>
      </c>
      <c r="N826" s="3">
        <f>IF(AND('Data Source'!B826&lt;&gt;"",'Data Source'!S826="A+"),IF('Data Source'!AF826&gt;=5,"A+",IF('Data Source'!AF826&gt;=4,"A",IF('Data Source'!AF826&gt;=3.5,"A-",IF('Data Source'!AF826&gt;=3,"B",IF('Data Source'!AF826&gt;=2,"C",IF('Data Source'!AF826&gt;=1,"D","F")))))),"")</f>
        <v/>
      </c>
      <c r="O826" s="3">
        <f>IF(AND('Data Source'!B826&lt;&gt;"",'Data Source'!S826="A+"),IF('Data Source'!AG826&gt;=5,"A+",IF('Data Source'!AG826&gt;=4,"A",IF('Data Source'!AG826&gt;=3.5,"A-",IF('Data Source'!AG826&gt;=3,"B",IF('Data Source'!AG826&gt;=2,"C",IF('Data Source'!AG826&gt;=1,"D","F")))))),"")</f>
        <v/>
      </c>
      <c r="P826" s="5">
        <f>IF(AND('Data Source'!B826&lt;&gt;"",'Data Source'!S826="A+"),'Data Source'!R826,"")</f>
        <v/>
      </c>
      <c r="Q826" s="3">
        <f>IF(AND('Data Source'!B826&lt;&gt;"",'Data Source'!S826="A+"),'Data Source'!S826,"")</f>
        <v/>
      </c>
    </row>
    <row r="827">
      <c r="A827" s="3">
        <f>IF(AND('Data Source'!B827&lt;&gt;"",'Data Source'!S827="A+"),COUNTIF('Data Source'!$S$3:S827,"A+"),"")</f>
        <v/>
      </c>
      <c r="B827">
        <f>IF(AND('Data Source'!B827&lt;&gt;"",'Data Source'!S827="A+"),'Data Source'!B827,"")</f>
        <v/>
      </c>
      <c r="C827" s="3">
        <f>IF(AND('Data Source'!B827&lt;&gt;"",'Data Source'!S827="A+"),IF('Data Source'!U827&gt;=5,"A+",IF('Data Source'!U827&gt;=4,"A",IF('Data Source'!U827&gt;=3.5,"A-",IF('Data Source'!U827&gt;=3,"B",IF('Data Source'!U827&gt;=2,"C",IF('Data Source'!U827&gt;=1,"D","F")))))),"")</f>
        <v/>
      </c>
      <c r="D827" s="3">
        <f>IF(AND('Data Source'!B827&lt;&gt;"",'Data Source'!S827="A+"),IF('Data Source'!V827&gt;=5,"A+",IF('Data Source'!V827&gt;=4,"A",IF('Data Source'!V827&gt;=3.5,"A-",IF('Data Source'!V827&gt;=3,"B",IF('Data Source'!V827&gt;=2,"C",IF('Data Source'!V827&gt;=1,"D","F")))))),"")</f>
        <v/>
      </c>
      <c r="E827" s="3">
        <f>IF(AND('Data Source'!B827&lt;&gt;"",'Data Source'!S827="A+"),IF('Data Source'!W827&gt;=5,"A+",IF('Data Source'!W827&gt;=4,"A",IF('Data Source'!W827&gt;=3.5,"A-",IF('Data Source'!W827&gt;=3,"B",IF('Data Source'!W827&gt;=2,"C",IF('Data Source'!W827&gt;=1,"D","F")))))),"")</f>
        <v/>
      </c>
      <c r="F827" s="3">
        <f>IF(AND('Data Source'!B827&lt;&gt;"",'Data Source'!S827="A+"),IF('Data Source'!X827&gt;=5,"A+",IF('Data Source'!X827&gt;=4,"A",IF('Data Source'!X827&gt;=3.5,"A-",IF('Data Source'!X827&gt;=3,"B",IF('Data Source'!X827&gt;=2,"C",IF('Data Source'!X827&gt;=1,"D","F")))))),"")</f>
        <v/>
      </c>
      <c r="G827" s="3">
        <f>IF(AND('Data Source'!B827&lt;&gt;"",'Data Source'!S827="A+"),IF('Data Source'!Y827&gt;=5,"A+",IF('Data Source'!Y827&gt;=4,"A",IF('Data Source'!Y827&gt;=3.5,"A-",IF('Data Source'!Y827&gt;=3,"B",IF('Data Source'!Y827&gt;=2,"C",IF('Data Source'!Y827&gt;=1,"D","F")))))),"")</f>
        <v/>
      </c>
      <c r="H827" s="3">
        <f>IF(AND('Data Source'!B827&lt;&gt;"",'Data Source'!S827="A+"),IF('Data Source'!Z827&gt;=5,"A+",IF('Data Source'!Z827&gt;=4,"A",IF('Data Source'!Z827&gt;=3.5,"A-",IF('Data Source'!Z827&gt;=3,"B",IF('Data Source'!Z827&gt;=2,"C",IF('Data Source'!Z827&gt;=1,"D","F")))))),"")</f>
        <v/>
      </c>
      <c r="I827" s="3">
        <f>IF(AND('Data Source'!B827&lt;&gt;"",'Data Source'!S827="A+"),IF('Data Source'!AA827&gt;=5,"A+",IF('Data Source'!AA827&gt;=4,"A",IF('Data Source'!AA827&gt;=3.5,"A-",IF('Data Source'!AA827&gt;=3,"B",IF('Data Source'!AA827&gt;=2,"C",IF('Data Source'!AA827&gt;=1,"D","F")))))),"")</f>
        <v/>
      </c>
      <c r="J827" s="3">
        <f>IF(AND('Data Source'!B827&lt;&gt;"",'Data Source'!S827="A+"),IF('Data Source'!AB827&gt;=5,"A+",IF('Data Source'!AB827&gt;=4,"A",IF('Data Source'!AB827&gt;=3.5,"A-",IF('Data Source'!AB827&gt;=3,"B",IF('Data Source'!AB827&gt;=2,"C",IF('Data Source'!AB827&gt;=1,"D","F")))))),"")</f>
        <v/>
      </c>
      <c r="K827" s="3">
        <f>IF(AND('Data Source'!B827&lt;&gt;"",'Data Source'!S827="A+"),IF('Data Source'!AC827&gt;=5,"A+",IF('Data Source'!AC827&gt;=4,"A",IF('Data Source'!AC827&gt;=3.5,"A-",IF('Data Source'!AC827&gt;=3,"B",IF('Data Source'!AC827&gt;=2,"C",IF('Data Source'!AC827&gt;=1,"D","F")))))),"")</f>
        <v/>
      </c>
      <c r="L827" s="3">
        <f>IF(AND('Data Source'!B827&lt;&gt;"",'Data Source'!S827="A+"),IF('Data Source'!AD827&gt;=5,"A+",IF('Data Source'!AD827&gt;=4,"A",IF('Data Source'!AD827&gt;=3.5,"A-",IF('Data Source'!AD827&gt;=3,"B",IF('Data Source'!AD827&gt;=2,"C",IF('Data Source'!AD827&gt;=1,"D","F")))))),"")</f>
        <v/>
      </c>
      <c r="M827" s="3">
        <f>IF(AND('Data Source'!B827&lt;&gt;"",'Data Source'!S827="A+"),IF('Data Source'!AE827&gt;=5,"A+",IF('Data Source'!AE827&gt;=4,"A",IF('Data Source'!AE827&gt;=3.5,"A-",IF('Data Source'!AE827&gt;=3,"B",IF('Data Source'!AE827&gt;=2,"C",IF('Data Source'!AE827&gt;=1,"D","F")))))),"")</f>
        <v/>
      </c>
      <c r="N827" s="3">
        <f>IF(AND('Data Source'!B827&lt;&gt;"",'Data Source'!S827="A+"),IF('Data Source'!AF827&gt;=5,"A+",IF('Data Source'!AF827&gt;=4,"A",IF('Data Source'!AF827&gt;=3.5,"A-",IF('Data Source'!AF827&gt;=3,"B",IF('Data Source'!AF827&gt;=2,"C",IF('Data Source'!AF827&gt;=1,"D","F")))))),"")</f>
        <v/>
      </c>
      <c r="O827" s="3">
        <f>IF(AND('Data Source'!B827&lt;&gt;"",'Data Source'!S827="A+"),IF('Data Source'!AG827&gt;=5,"A+",IF('Data Source'!AG827&gt;=4,"A",IF('Data Source'!AG827&gt;=3.5,"A-",IF('Data Source'!AG827&gt;=3,"B",IF('Data Source'!AG827&gt;=2,"C",IF('Data Source'!AG827&gt;=1,"D","F")))))),"")</f>
        <v/>
      </c>
      <c r="P827" s="5">
        <f>IF(AND('Data Source'!B827&lt;&gt;"",'Data Source'!S827="A+"),'Data Source'!R827,"")</f>
        <v/>
      </c>
      <c r="Q827" s="3">
        <f>IF(AND('Data Source'!B827&lt;&gt;"",'Data Source'!S827="A+"),'Data Source'!S827,"")</f>
        <v/>
      </c>
    </row>
    <row r="828">
      <c r="A828" s="3">
        <f>IF(AND('Data Source'!B828&lt;&gt;"",'Data Source'!S828="A+"),COUNTIF('Data Source'!$S$3:S828,"A+"),"")</f>
        <v/>
      </c>
      <c r="B828">
        <f>IF(AND('Data Source'!B828&lt;&gt;"",'Data Source'!S828="A+"),'Data Source'!B828,"")</f>
        <v/>
      </c>
      <c r="C828" s="3">
        <f>IF(AND('Data Source'!B828&lt;&gt;"",'Data Source'!S828="A+"),IF('Data Source'!U828&gt;=5,"A+",IF('Data Source'!U828&gt;=4,"A",IF('Data Source'!U828&gt;=3.5,"A-",IF('Data Source'!U828&gt;=3,"B",IF('Data Source'!U828&gt;=2,"C",IF('Data Source'!U828&gt;=1,"D","F")))))),"")</f>
        <v/>
      </c>
      <c r="D828" s="3">
        <f>IF(AND('Data Source'!B828&lt;&gt;"",'Data Source'!S828="A+"),IF('Data Source'!V828&gt;=5,"A+",IF('Data Source'!V828&gt;=4,"A",IF('Data Source'!V828&gt;=3.5,"A-",IF('Data Source'!V828&gt;=3,"B",IF('Data Source'!V828&gt;=2,"C",IF('Data Source'!V828&gt;=1,"D","F")))))),"")</f>
        <v/>
      </c>
      <c r="E828" s="3">
        <f>IF(AND('Data Source'!B828&lt;&gt;"",'Data Source'!S828="A+"),IF('Data Source'!W828&gt;=5,"A+",IF('Data Source'!W828&gt;=4,"A",IF('Data Source'!W828&gt;=3.5,"A-",IF('Data Source'!W828&gt;=3,"B",IF('Data Source'!W828&gt;=2,"C",IF('Data Source'!W828&gt;=1,"D","F")))))),"")</f>
        <v/>
      </c>
      <c r="F828" s="3">
        <f>IF(AND('Data Source'!B828&lt;&gt;"",'Data Source'!S828="A+"),IF('Data Source'!X828&gt;=5,"A+",IF('Data Source'!X828&gt;=4,"A",IF('Data Source'!X828&gt;=3.5,"A-",IF('Data Source'!X828&gt;=3,"B",IF('Data Source'!X828&gt;=2,"C",IF('Data Source'!X828&gt;=1,"D","F")))))),"")</f>
        <v/>
      </c>
      <c r="G828" s="3">
        <f>IF(AND('Data Source'!B828&lt;&gt;"",'Data Source'!S828="A+"),IF('Data Source'!Y828&gt;=5,"A+",IF('Data Source'!Y828&gt;=4,"A",IF('Data Source'!Y828&gt;=3.5,"A-",IF('Data Source'!Y828&gt;=3,"B",IF('Data Source'!Y828&gt;=2,"C",IF('Data Source'!Y828&gt;=1,"D","F")))))),"")</f>
        <v/>
      </c>
      <c r="H828" s="3">
        <f>IF(AND('Data Source'!B828&lt;&gt;"",'Data Source'!S828="A+"),IF('Data Source'!Z828&gt;=5,"A+",IF('Data Source'!Z828&gt;=4,"A",IF('Data Source'!Z828&gt;=3.5,"A-",IF('Data Source'!Z828&gt;=3,"B",IF('Data Source'!Z828&gt;=2,"C",IF('Data Source'!Z828&gt;=1,"D","F")))))),"")</f>
        <v/>
      </c>
      <c r="I828" s="3">
        <f>IF(AND('Data Source'!B828&lt;&gt;"",'Data Source'!S828="A+"),IF('Data Source'!AA828&gt;=5,"A+",IF('Data Source'!AA828&gt;=4,"A",IF('Data Source'!AA828&gt;=3.5,"A-",IF('Data Source'!AA828&gt;=3,"B",IF('Data Source'!AA828&gt;=2,"C",IF('Data Source'!AA828&gt;=1,"D","F")))))),"")</f>
        <v/>
      </c>
      <c r="J828" s="3">
        <f>IF(AND('Data Source'!B828&lt;&gt;"",'Data Source'!S828="A+"),IF('Data Source'!AB828&gt;=5,"A+",IF('Data Source'!AB828&gt;=4,"A",IF('Data Source'!AB828&gt;=3.5,"A-",IF('Data Source'!AB828&gt;=3,"B",IF('Data Source'!AB828&gt;=2,"C",IF('Data Source'!AB828&gt;=1,"D","F")))))),"")</f>
        <v/>
      </c>
      <c r="K828" s="3">
        <f>IF(AND('Data Source'!B828&lt;&gt;"",'Data Source'!S828="A+"),IF('Data Source'!AC828&gt;=5,"A+",IF('Data Source'!AC828&gt;=4,"A",IF('Data Source'!AC828&gt;=3.5,"A-",IF('Data Source'!AC828&gt;=3,"B",IF('Data Source'!AC828&gt;=2,"C",IF('Data Source'!AC828&gt;=1,"D","F")))))),"")</f>
        <v/>
      </c>
      <c r="L828" s="3">
        <f>IF(AND('Data Source'!B828&lt;&gt;"",'Data Source'!S828="A+"),IF('Data Source'!AD828&gt;=5,"A+",IF('Data Source'!AD828&gt;=4,"A",IF('Data Source'!AD828&gt;=3.5,"A-",IF('Data Source'!AD828&gt;=3,"B",IF('Data Source'!AD828&gt;=2,"C",IF('Data Source'!AD828&gt;=1,"D","F")))))),"")</f>
        <v/>
      </c>
      <c r="M828" s="3">
        <f>IF(AND('Data Source'!B828&lt;&gt;"",'Data Source'!S828="A+"),IF('Data Source'!AE828&gt;=5,"A+",IF('Data Source'!AE828&gt;=4,"A",IF('Data Source'!AE828&gt;=3.5,"A-",IF('Data Source'!AE828&gt;=3,"B",IF('Data Source'!AE828&gt;=2,"C",IF('Data Source'!AE828&gt;=1,"D","F")))))),"")</f>
        <v/>
      </c>
      <c r="N828" s="3">
        <f>IF(AND('Data Source'!B828&lt;&gt;"",'Data Source'!S828="A+"),IF('Data Source'!AF828&gt;=5,"A+",IF('Data Source'!AF828&gt;=4,"A",IF('Data Source'!AF828&gt;=3.5,"A-",IF('Data Source'!AF828&gt;=3,"B",IF('Data Source'!AF828&gt;=2,"C",IF('Data Source'!AF828&gt;=1,"D","F")))))),"")</f>
        <v/>
      </c>
      <c r="O828" s="3">
        <f>IF(AND('Data Source'!B828&lt;&gt;"",'Data Source'!S828="A+"),IF('Data Source'!AG828&gt;=5,"A+",IF('Data Source'!AG828&gt;=4,"A",IF('Data Source'!AG828&gt;=3.5,"A-",IF('Data Source'!AG828&gt;=3,"B",IF('Data Source'!AG828&gt;=2,"C",IF('Data Source'!AG828&gt;=1,"D","F")))))),"")</f>
        <v/>
      </c>
      <c r="P828" s="5">
        <f>IF(AND('Data Source'!B828&lt;&gt;"",'Data Source'!S828="A+"),'Data Source'!R828,"")</f>
        <v/>
      </c>
      <c r="Q828" s="3">
        <f>IF(AND('Data Source'!B828&lt;&gt;"",'Data Source'!S828="A+"),'Data Source'!S828,"")</f>
        <v/>
      </c>
    </row>
    <row r="829">
      <c r="A829" s="3">
        <f>IF(AND('Data Source'!B829&lt;&gt;"",'Data Source'!S829="A+"),COUNTIF('Data Source'!$S$3:S829,"A+"),"")</f>
        <v/>
      </c>
      <c r="B829">
        <f>IF(AND('Data Source'!B829&lt;&gt;"",'Data Source'!S829="A+"),'Data Source'!B829,"")</f>
        <v/>
      </c>
      <c r="C829" s="3">
        <f>IF(AND('Data Source'!B829&lt;&gt;"",'Data Source'!S829="A+"),IF('Data Source'!U829&gt;=5,"A+",IF('Data Source'!U829&gt;=4,"A",IF('Data Source'!U829&gt;=3.5,"A-",IF('Data Source'!U829&gt;=3,"B",IF('Data Source'!U829&gt;=2,"C",IF('Data Source'!U829&gt;=1,"D","F")))))),"")</f>
        <v/>
      </c>
      <c r="D829" s="3">
        <f>IF(AND('Data Source'!B829&lt;&gt;"",'Data Source'!S829="A+"),IF('Data Source'!V829&gt;=5,"A+",IF('Data Source'!V829&gt;=4,"A",IF('Data Source'!V829&gt;=3.5,"A-",IF('Data Source'!V829&gt;=3,"B",IF('Data Source'!V829&gt;=2,"C",IF('Data Source'!V829&gt;=1,"D","F")))))),"")</f>
        <v/>
      </c>
      <c r="E829" s="3">
        <f>IF(AND('Data Source'!B829&lt;&gt;"",'Data Source'!S829="A+"),IF('Data Source'!W829&gt;=5,"A+",IF('Data Source'!W829&gt;=4,"A",IF('Data Source'!W829&gt;=3.5,"A-",IF('Data Source'!W829&gt;=3,"B",IF('Data Source'!W829&gt;=2,"C",IF('Data Source'!W829&gt;=1,"D","F")))))),"")</f>
        <v/>
      </c>
      <c r="F829" s="3">
        <f>IF(AND('Data Source'!B829&lt;&gt;"",'Data Source'!S829="A+"),IF('Data Source'!X829&gt;=5,"A+",IF('Data Source'!X829&gt;=4,"A",IF('Data Source'!X829&gt;=3.5,"A-",IF('Data Source'!X829&gt;=3,"B",IF('Data Source'!X829&gt;=2,"C",IF('Data Source'!X829&gt;=1,"D","F")))))),"")</f>
        <v/>
      </c>
      <c r="G829" s="3">
        <f>IF(AND('Data Source'!B829&lt;&gt;"",'Data Source'!S829="A+"),IF('Data Source'!Y829&gt;=5,"A+",IF('Data Source'!Y829&gt;=4,"A",IF('Data Source'!Y829&gt;=3.5,"A-",IF('Data Source'!Y829&gt;=3,"B",IF('Data Source'!Y829&gt;=2,"C",IF('Data Source'!Y829&gt;=1,"D","F")))))),"")</f>
        <v/>
      </c>
      <c r="H829" s="3">
        <f>IF(AND('Data Source'!B829&lt;&gt;"",'Data Source'!S829="A+"),IF('Data Source'!Z829&gt;=5,"A+",IF('Data Source'!Z829&gt;=4,"A",IF('Data Source'!Z829&gt;=3.5,"A-",IF('Data Source'!Z829&gt;=3,"B",IF('Data Source'!Z829&gt;=2,"C",IF('Data Source'!Z829&gt;=1,"D","F")))))),"")</f>
        <v/>
      </c>
      <c r="I829" s="3">
        <f>IF(AND('Data Source'!B829&lt;&gt;"",'Data Source'!S829="A+"),IF('Data Source'!AA829&gt;=5,"A+",IF('Data Source'!AA829&gt;=4,"A",IF('Data Source'!AA829&gt;=3.5,"A-",IF('Data Source'!AA829&gt;=3,"B",IF('Data Source'!AA829&gt;=2,"C",IF('Data Source'!AA829&gt;=1,"D","F")))))),"")</f>
        <v/>
      </c>
      <c r="J829" s="3">
        <f>IF(AND('Data Source'!B829&lt;&gt;"",'Data Source'!S829="A+"),IF('Data Source'!AB829&gt;=5,"A+",IF('Data Source'!AB829&gt;=4,"A",IF('Data Source'!AB829&gt;=3.5,"A-",IF('Data Source'!AB829&gt;=3,"B",IF('Data Source'!AB829&gt;=2,"C",IF('Data Source'!AB829&gt;=1,"D","F")))))),"")</f>
        <v/>
      </c>
      <c r="K829" s="3">
        <f>IF(AND('Data Source'!B829&lt;&gt;"",'Data Source'!S829="A+"),IF('Data Source'!AC829&gt;=5,"A+",IF('Data Source'!AC829&gt;=4,"A",IF('Data Source'!AC829&gt;=3.5,"A-",IF('Data Source'!AC829&gt;=3,"B",IF('Data Source'!AC829&gt;=2,"C",IF('Data Source'!AC829&gt;=1,"D","F")))))),"")</f>
        <v/>
      </c>
      <c r="L829" s="3">
        <f>IF(AND('Data Source'!B829&lt;&gt;"",'Data Source'!S829="A+"),IF('Data Source'!AD829&gt;=5,"A+",IF('Data Source'!AD829&gt;=4,"A",IF('Data Source'!AD829&gt;=3.5,"A-",IF('Data Source'!AD829&gt;=3,"B",IF('Data Source'!AD829&gt;=2,"C",IF('Data Source'!AD829&gt;=1,"D","F")))))),"")</f>
        <v/>
      </c>
      <c r="M829" s="3">
        <f>IF(AND('Data Source'!B829&lt;&gt;"",'Data Source'!S829="A+"),IF('Data Source'!AE829&gt;=5,"A+",IF('Data Source'!AE829&gt;=4,"A",IF('Data Source'!AE829&gt;=3.5,"A-",IF('Data Source'!AE829&gt;=3,"B",IF('Data Source'!AE829&gt;=2,"C",IF('Data Source'!AE829&gt;=1,"D","F")))))),"")</f>
        <v/>
      </c>
      <c r="N829" s="3">
        <f>IF(AND('Data Source'!B829&lt;&gt;"",'Data Source'!S829="A+"),IF('Data Source'!AF829&gt;=5,"A+",IF('Data Source'!AF829&gt;=4,"A",IF('Data Source'!AF829&gt;=3.5,"A-",IF('Data Source'!AF829&gt;=3,"B",IF('Data Source'!AF829&gt;=2,"C",IF('Data Source'!AF829&gt;=1,"D","F")))))),"")</f>
        <v/>
      </c>
      <c r="O829" s="3">
        <f>IF(AND('Data Source'!B829&lt;&gt;"",'Data Source'!S829="A+"),IF('Data Source'!AG829&gt;=5,"A+",IF('Data Source'!AG829&gt;=4,"A",IF('Data Source'!AG829&gt;=3.5,"A-",IF('Data Source'!AG829&gt;=3,"B",IF('Data Source'!AG829&gt;=2,"C",IF('Data Source'!AG829&gt;=1,"D","F")))))),"")</f>
        <v/>
      </c>
      <c r="P829" s="5">
        <f>IF(AND('Data Source'!B829&lt;&gt;"",'Data Source'!S829="A+"),'Data Source'!R829,"")</f>
        <v/>
      </c>
      <c r="Q829" s="3">
        <f>IF(AND('Data Source'!B829&lt;&gt;"",'Data Source'!S829="A+"),'Data Source'!S829,"")</f>
        <v/>
      </c>
    </row>
    <row r="830">
      <c r="A830" s="3">
        <f>IF(AND('Data Source'!B830&lt;&gt;"",'Data Source'!S830="A+"),COUNTIF('Data Source'!$S$3:S830,"A+"),"")</f>
        <v/>
      </c>
      <c r="B830">
        <f>IF(AND('Data Source'!B830&lt;&gt;"",'Data Source'!S830="A+"),'Data Source'!B830,"")</f>
        <v/>
      </c>
      <c r="C830" s="3">
        <f>IF(AND('Data Source'!B830&lt;&gt;"",'Data Source'!S830="A+"),IF('Data Source'!U830&gt;=5,"A+",IF('Data Source'!U830&gt;=4,"A",IF('Data Source'!U830&gt;=3.5,"A-",IF('Data Source'!U830&gt;=3,"B",IF('Data Source'!U830&gt;=2,"C",IF('Data Source'!U830&gt;=1,"D","F")))))),"")</f>
        <v/>
      </c>
      <c r="D830" s="3">
        <f>IF(AND('Data Source'!B830&lt;&gt;"",'Data Source'!S830="A+"),IF('Data Source'!V830&gt;=5,"A+",IF('Data Source'!V830&gt;=4,"A",IF('Data Source'!V830&gt;=3.5,"A-",IF('Data Source'!V830&gt;=3,"B",IF('Data Source'!V830&gt;=2,"C",IF('Data Source'!V830&gt;=1,"D","F")))))),"")</f>
        <v/>
      </c>
      <c r="E830" s="3">
        <f>IF(AND('Data Source'!B830&lt;&gt;"",'Data Source'!S830="A+"),IF('Data Source'!W830&gt;=5,"A+",IF('Data Source'!W830&gt;=4,"A",IF('Data Source'!W830&gt;=3.5,"A-",IF('Data Source'!W830&gt;=3,"B",IF('Data Source'!W830&gt;=2,"C",IF('Data Source'!W830&gt;=1,"D","F")))))),"")</f>
        <v/>
      </c>
      <c r="F830" s="3">
        <f>IF(AND('Data Source'!B830&lt;&gt;"",'Data Source'!S830="A+"),IF('Data Source'!X830&gt;=5,"A+",IF('Data Source'!X830&gt;=4,"A",IF('Data Source'!X830&gt;=3.5,"A-",IF('Data Source'!X830&gt;=3,"B",IF('Data Source'!X830&gt;=2,"C",IF('Data Source'!X830&gt;=1,"D","F")))))),"")</f>
        <v/>
      </c>
      <c r="G830" s="3">
        <f>IF(AND('Data Source'!B830&lt;&gt;"",'Data Source'!S830="A+"),IF('Data Source'!Y830&gt;=5,"A+",IF('Data Source'!Y830&gt;=4,"A",IF('Data Source'!Y830&gt;=3.5,"A-",IF('Data Source'!Y830&gt;=3,"B",IF('Data Source'!Y830&gt;=2,"C",IF('Data Source'!Y830&gt;=1,"D","F")))))),"")</f>
        <v/>
      </c>
      <c r="H830" s="3">
        <f>IF(AND('Data Source'!B830&lt;&gt;"",'Data Source'!S830="A+"),IF('Data Source'!Z830&gt;=5,"A+",IF('Data Source'!Z830&gt;=4,"A",IF('Data Source'!Z830&gt;=3.5,"A-",IF('Data Source'!Z830&gt;=3,"B",IF('Data Source'!Z830&gt;=2,"C",IF('Data Source'!Z830&gt;=1,"D","F")))))),"")</f>
        <v/>
      </c>
      <c r="I830" s="3">
        <f>IF(AND('Data Source'!B830&lt;&gt;"",'Data Source'!S830="A+"),IF('Data Source'!AA830&gt;=5,"A+",IF('Data Source'!AA830&gt;=4,"A",IF('Data Source'!AA830&gt;=3.5,"A-",IF('Data Source'!AA830&gt;=3,"B",IF('Data Source'!AA830&gt;=2,"C",IF('Data Source'!AA830&gt;=1,"D","F")))))),"")</f>
        <v/>
      </c>
      <c r="J830" s="3">
        <f>IF(AND('Data Source'!B830&lt;&gt;"",'Data Source'!S830="A+"),IF('Data Source'!AB830&gt;=5,"A+",IF('Data Source'!AB830&gt;=4,"A",IF('Data Source'!AB830&gt;=3.5,"A-",IF('Data Source'!AB830&gt;=3,"B",IF('Data Source'!AB830&gt;=2,"C",IF('Data Source'!AB830&gt;=1,"D","F")))))),"")</f>
        <v/>
      </c>
      <c r="K830" s="3">
        <f>IF(AND('Data Source'!B830&lt;&gt;"",'Data Source'!S830="A+"),IF('Data Source'!AC830&gt;=5,"A+",IF('Data Source'!AC830&gt;=4,"A",IF('Data Source'!AC830&gt;=3.5,"A-",IF('Data Source'!AC830&gt;=3,"B",IF('Data Source'!AC830&gt;=2,"C",IF('Data Source'!AC830&gt;=1,"D","F")))))),"")</f>
        <v/>
      </c>
      <c r="L830" s="3">
        <f>IF(AND('Data Source'!B830&lt;&gt;"",'Data Source'!S830="A+"),IF('Data Source'!AD830&gt;=5,"A+",IF('Data Source'!AD830&gt;=4,"A",IF('Data Source'!AD830&gt;=3.5,"A-",IF('Data Source'!AD830&gt;=3,"B",IF('Data Source'!AD830&gt;=2,"C",IF('Data Source'!AD830&gt;=1,"D","F")))))),"")</f>
        <v/>
      </c>
      <c r="M830" s="3">
        <f>IF(AND('Data Source'!B830&lt;&gt;"",'Data Source'!S830="A+"),IF('Data Source'!AE830&gt;=5,"A+",IF('Data Source'!AE830&gt;=4,"A",IF('Data Source'!AE830&gt;=3.5,"A-",IF('Data Source'!AE830&gt;=3,"B",IF('Data Source'!AE830&gt;=2,"C",IF('Data Source'!AE830&gt;=1,"D","F")))))),"")</f>
        <v/>
      </c>
      <c r="N830" s="3">
        <f>IF(AND('Data Source'!B830&lt;&gt;"",'Data Source'!S830="A+"),IF('Data Source'!AF830&gt;=5,"A+",IF('Data Source'!AF830&gt;=4,"A",IF('Data Source'!AF830&gt;=3.5,"A-",IF('Data Source'!AF830&gt;=3,"B",IF('Data Source'!AF830&gt;=2,"C",IF('Data Source'!AF830&gt;=1,"D","F")))))),"")</f>
        <v/>
      </c>
      <c r="O830" s="3">
        <f>IF(AND('Data Source'!B830&lt;&gt;"",'Data Source'!S830="A+"),IF('Data Source'!AG830&gt;=5,"A+",IF('Data Source'!AG830&gt;=4,"A",IF('Data Source'!AG830&gt;=3.5,"A-",IF('Data Source'!AG830&gt;=3,"B",IF('Data Source'!AG830&gt;=2,"C",IF('Data Source'!AG830&gt;=1,"D","F")))))),"")</f>
        <v/>
      </c>
      <c r="P830" s="5">
        <f>IF(AND('Data Source'!B830&lt;&gt;"",'Data Source'!S830="A+"),'Data Source'!R830,"")</f>
        <v/>
      </c>
      <c r="Q830" s="3">
        <f>IF(AND('Data Source'!B830&lt;&gt;"",'Data Source'!S830="A+"),'Data Source'!S830,"")</f>
        <v/>
      </c>
    </row>
    <row r="831">
      <c r="A831" s="3">
        <f>IF(AND('Data Source'!B831&lt;&gt;"",'Data Source'!S831="A+"),COUNTIF('Data Source'!$S$3:S831,"A+"),"")</f>
        <v/>
      </c>
      <c r="B831">
        <f>IF(AND('Data Source'!B831&lt;&gt;"",'Data Source'!S831="A+"),'Data Source'!B831,"")</f>
        <v/>
      </c>
      <c r="C831" s="3">
        <f>IF(AND('Data Source'!B831&lt;&gt;"",'Data Source'!S831="A+"),IF('Data Source'!U831&gt;=5,"A+",IF('Data Source'!U831&gt;=4,"A",IF('Data Source'!U831&gt;=3.5,"A-",IF('Data Source'!U831&gt;=3,"B",IF('Data Source'!U831&gt;=2,"C",IF('Data Source'!U831&gt;=1,"D","F")))))),"")</f>
        <v/>
      </c>
      <c r="D831" s="3">
        <f>IF(AND('Data Source'!B831&lt;&gt;"",'Data Source'!S831="A+"),IF('Data Source'!V831&gt;=5,"A+",IF('Data Source'!V831&gt;=4,"A",IF('Data Source'!V831&gt;=3.5,"A-",IF('Data Source'!V831&gt;=3,"B",IF('Data Source'!V831&gt;=2,"C",IF('Data Source'!V831&gt;=1,"D","F")))))),"")</f>
        <v/>
      </c>
      <c r="E831" s="3">
        <f>IF(AND('Data Source'!B831&lt;&gt;"",'Data Source'!S831="A+"),IF('Data Source'!W831&gt;=5,"A+",IF('Data Source'!W831&gt;=4,"A",IF('Data Source'!W831&gt;=3.5,"A-",IF('Data Source'!W831&gt;=3,"B",IF('Data Source'!W831&gt;=2,"C",IF('Data Source'!W831&gt;=1,"D","F")))))),"")</f>
        <v/>
      </c>
      <c r="F831" s="3">
        <f>IF(AND('Data Source'!B831&lt;&gt;"",'Data Source'!S831="A+"),IF('Data Source'!X831&gt;=5,"A+",IF('Data Source'!X831&gt;=4,"A",IF('Data Source'!X831&gt;=3.5,"A-",IF('Data Source'!X831&gt;=3,"B",IF('Data Source'!X831&gt;=2,"C",IF('Data Source'!X831&gt;=1,"D","F")))))),"")</f>
        <v/>
      </c>
      <c r="G831" s="3">
        <f>IF(AND('Data Source'!B831&lt;&gt;"",'Data Source'!S831="A+"),IF('Data Source'!Y831&gt;=5,"A+",IF('Data Source'!Y831&gt;=4,"A",IF('Data Source'!Y831&gt;=3.5,"A-",IF('Data Source'!Y831&gt;=3,"B",IF('Data Source'!Y831&gt;=2,"C",IF('Data Source'!Y831&gt;=1,"D","F")))))),"")</f>
        <v/>
      </c>
      <c r="H831" s="3">
        <f>IF(AND('Data Source'!B831&lt;&gt;"",'Data Source'!S831="A+"),IF('Data Source'!Z831&gt;=5,"A+",IF('Data Source'!Z831&gt;=4,"A",IF('Data Source'!Z831&gt;=3.5,"A-",IF('Data Source'!Z831&gt;=3,"B",IF('Data Source'!Z831&gt;=2,"C",IF('Data Source'!Z831&gt;=1,"D","F")))))),"")</f>
        <v/>
      </c>
      <c r="I831" s="3">
        <f>IF(AND('Data Source'!B831&lt;&gt;"",'Data Source'!S831="A+"),IF('Data Source'!AA831&gt;=5,"A+",IF('Data Source'!AA831&gt;=4,"A",IF('Data Source'!AA831&gt;=3.5,"A-",IF('Data Source'!AA831&gt;=3,"B",IF('Data Source'!AA831&gt;=2,"C",IF('Data Source'!AA831&gt;=1,"D","F")))))),"")</f>
        <v/>
      </c>
      <c r="J831" s="3">
        <f>IF(AND('Data Source'!B831&lt;&gt;"",'Data Source'!S831="A+"),IF('Data Source'!AB831&gt;=5,"A+",IF('Data Source'!AB831&gt;=4,"A",IF('Data Source'!AB831&gt;=3.5,"A-",IF('Data Source'!AB831&gt;=3,"B",IF('Data Source'!AB831&gt;=2,"C",IF('Data Source'!AB831&gt;=1,"D","F")))))),"")</f>
        <v/>
      </c>
      <c r="K831" s="3">
        <f>IF(AND('Data Source'!B831&lt;&gt;"",'Data Source'!S831="A+"),IF('Data Source'!AC831&gt;=5,"A+",IF('Data Source'!AC831&gt;=4,"A",IF('Data Source'!AC831&gt;=3.5,"A-",IF('Data Source'!AC831&gt;=3,"B",IF('Data Source'!AC831&gt;=2,"C",IF('Data Source'!AC831&gt;=1,"D","F")))))),"")</f>
        <v/>
      </c>
      <c r="L831" s="3">
        <f>IF(AND('Data Source'!B831&lt;&gt;"",'Data Source'!S831="A+"),IF('Data Source'!AD831&gt;=5,"A+",IF('Data Source'!AD831&gt;=4,"A",IF('Data Source'!AD831&gt;=3.5,"A-",IF('Data Source'!AD831&gt;=3,"B",IF('Data Source'!AD831&gt;=2,"C",IF('Data Source'!AD831&gt;=1,"D","F")))))),"")</f>
        <v/>
      </c>
      <c r="M831" s="3">
        <f>IF(AND('Data Source'!B831&lt;&gt;"",'Data Source'!S831="A+"),IF('Data Source'!AE831&gt;=5,"A+",IF('Data Source'!AE831&gt;=4,"A",IF('Data Source'!AE831&gt;=3.5,"A-",IF('Data Source'!AE831&gt;=3,"B",IF('Data Source'!AE831&gt;=2,"C",IF('Data Source'!AE831&gt;=1,"D","F")))))),"")</f>
        <v/>
      </c>
      <c r="N831" s="3">
        <f>IF(AND('Data Source'!B831&lt;&gt;"",'Data Source'!S831="A+"),IF('Data Source'!AF831&gt;=5,"A+",IF('Data Source'!AF831&gt;=4,"A",IF('Data Source'!AF831&gt;=3.5,"A-",IF('Data Source'!AF831&gt;=3,"B",IF('Data Source'!AF831&gt;=2,"C",IF('Data Source'!AF831&gt;=1,"D","F")))))),"")</f>
        <v/>
      </c>
      <c r="O831" s="3">
        <f>IF(AND('Data Source'!B831&lt;&gt;"",'Data Source'!S831="A+"),IF('Data Source'!AG831&gt;=5,"A+",IF('Data Source'!AG831&gt;=4,"A",IF('Data Source'!AG831&gt;=3.5,"A-",IF('Data Source'!AG831&gt;=3,"B",IF('Data Source'!AG831&gt;=2,"C",IF('Data Source'!AG831&gt;=1,"D","F")))))),"")</f>
        <v/>
      </c>
      <c r="P831" s="5">
        <f>IF(AND('Data Source'!B831&lt;&gt;"",'Data Source'!S831="A+"),'Data Source'!R831,"")</f>
        <v/>
      </c>
      <c r="Q831" s="3">
        <f>IF(AND('Data Source'!B831&lt;&gt;"",'Data Source'!S831="A+"),'Data Source'!S831,"")</f>
        <v/>
      </c>
    </row>
    <row r="832">
      <c r="A832" s="3">
        <f>IF(AND('Data Source'!B832&lt;&gt;"",'Data Source'!S832="A+"),COUNTIF('Data Source'!$S$3:S832,"A+"),"")</f>
        <v/>
      </c>
      <c r="B832">
        <f>IF(AND('Data Source'!B832&lt;&gt;"",'Data Source'!S832="A+"),'Data Source'!B832,"")</f>
        <v/>
      </c>
      <c r="C832" s="3">
        <f>IF(AND('Data Source'!B832&lt;&gt;"",'Data Source'!S832="A+"),IF('Data Source'!U832&gt;=5,"A+",IF('Data Source'!U832&gt;=4,"A",IF('Data Source'!U832&gt;=3.5,"A-",IF('Data Source'!U832&gt;=3,"B",IF('Data Source'!U832&gt;=2,"C",IF('Data Source'!U832&gt;=1,"D","F")))))),"")</f>
        <v/>
      </c>
      <c r="D832" s="3">
        <f>IF(AND('Data Source'!B832&lt;&gt;"",'Data Source'!S832="A+"),IF('Data Source'!V832&gt;=5,"A+",IF('Data Source'!V832&gt;=4,"A",IF('Data Source'!V832&gt;=3.5,"A-",IF('Data Source'!V832&gt;=3,"B",IF('Data Source'!V832&gt;=2,"C",IF('Data Source'!V832&gt;=1,"D","F")))))),"")</f>
        <v/>
      </c>
      <c r="E832" s="3">
        <f>IF(AND('Data Source'!B832&lt;&gt;"",'Data Source'!S832="A+"),IF('Data Source'!W832&gt;=5,"A+",IF('Data Source'!W832&gt;=4,"A",IF('Data Source'!W832&gt;=3.5,"A-",IF('Data Source'!W832&gt;=3,"B",IF('Data Source'!W832&gt;=2,"C",IF('Data Source'!W832&gt;=1,"D","F")))))),"")</f>
        <v/>
      </c>
      <c r="F832" s="3">
        <f>IF(AND('Data Source'!B832&lt;&gt;"",'Data Source'!S832="A+"),IF('Data Source'!X832&gt;=5,"A+",IF('Data Source'!X832&gt;=4,"A",IF('Data Source'!X832&gt;=3.5,"A-",IF('Data Source'!X832&gt;=3,"B",IF('Data Source'!X832&gt;=2,"C",IF('Data Source'!X832&gt;=1,"D","F")))))),"")</f>
        <v/>
      </c>
      <c r="G832" s="3">
        <f>IF(AND('Data Source'!B832&lt;&gt;"",'Data Source'!S832="A+"),IF('Data Source'!Y832&gt;=5,"A+",IF('Data Source'!Y832&gt;=4,"A",IF('Data Source'!Y832&gt;=3.5,"A-",IF('Data Source'!Y832&gt;=3,"B",IF('Data Source'!Y832&gt;=2,"C",IF('Data Source'!Y832&gt;=1,"D","F")))))),"")</f>
        <v/>
      </c>
      <c r="H832" s="3">
        <f>IF(AND('Data Source'!B832&lt;&gt;"",'Data Source'!S832="A+"),IF('Data Source'!Z832&gt;=5,"A+",IF('Data Source'!Z832&gt;=4,"A",IF('Data Source'!Z832&gt;=3.5,"A-",IF('Data Source'!Z832&gt;=3,"B",IF('Data Source'!Z832&gt;=2,"C",IF('Data Source'!Z832&gt;=1,"D","F")))))),"")</f>
        <v/>
      </c>
      <c r="I832" s="3">
        <f>IF(AND('Data Source'!B832&lt;&gt;"",'Data Source'!S832="A+"),IF('Data Source'!AA832&gt;=5,"A+",IF('Data Source'!AA832&gt;=4,"A",IF('Data Source'!AA832&gt;=3.5,"A-",IF('Data Source'!AA832&gt;=3,"B",IF('Data Source'!AA832&gt;=2,"C",IF('Data Source'!AA832&gt;=1,"D","F")))))),"")</f>
        <v/>
      </c>
      <c r="J832" s="3">
        <f>IF(AND('Data Source'!B832&lt;&gt;"",'Data Source'!S832="A+"),IF('Data Source'!AB832&gt;=5,"A+",IF('Data Source'!AB832&gt;=4,"A",IF('Data Source'!AB832&gt;=3.5,"A-",IF('Data Source'!AB832&gt;=3,"B",IF('Data Source'!AB832&gt;=2,"C",IF('Data Source'!AB832&gt;=1,"D","F")))))),"")</f>
        <v/>
      </c>
      <c r="K832" s="3">
        <f>IF(AND('Data Source'!B832&lt;&gt;"",'Data Source'!S832="A+"),IF('Data Source'!AC832&gt;=5,"A+",IF('Data Source'!AC832&gt;=4,"A",IF('Data Source'!AC832&gt;=3.5,"A-",IF('Data Source'!AC832&gt;=3,"B",IF('Data Source'!AC832&gt;=2,"C",IF('Data Source'!AC832&gt;=1,"D","F")))))),"")</f>
        <v/>
      </c>
      <c r="L832" s="3">
        <f>IF(AND('Data Source'!B832&lt;&gt;"",'Data Source'!S832="A+"),IF('Data Source'!AD832&gt;=5,"A+",IF('Data Source'!AD832&gt;=4,"A",IF('Data Source'!AD832&gt;=3.5,"A-",IF('Data Source'!AD832&gt;=3,"B",IF('Data Source'!AD832&gt;=2,"C",IF('Data Source'!AD832&gt;=1,"D","F")))))),"")</f>
        <v/>
      </c>
      <c r="M832" s="3">
        <f>IF(AND('Data Source'!B832&lt;&gt;"",'Data Source'!S832="A+"),IF('Data Source'!AE832&gt;=5,"A+",IF('Data Source'!AE832&gt;=4,"A",IF('Data Source'!AE832&gt;=3.5,"A-",IF('Data Source'!AE832&gt;=3,"B",IF('Data Source'!AE832&gt;=2,"C",IF('Data Source'!AE832&gt;=1,"D","F")))))),"")</f>
        <v/>
      </c>
      <c r="N832" s="3">
        <f>IF(AND('Data Source'!B832&lt;&gt;"",'Data Source'!S832="A+"),IF('Data Source'!AF832&gt;=5,"A+",IF('Data Source'!AF832&gt;=4,"A",IF('Data Source'!AF832&gt;=3.5,"A-",IF('Data Source'!AF832&gt;=3,"B",IF('Data Source'!AF832&gt;=2,"C",IF('Data Source'!AF832&gt;=1,"D","F")))))),"")</f>
        <v/>
      </c>
      <c r="O832" s="3">
        <f>IF(AND('Data Source'!B832&lt;&gt;"",'Data Source'!S832="A+"),IF('Data Source'!AG832&gt;=5,"A+",IF('Data Source'!AG832&gt;=4,"A",IF('Data Source'!AG832&gt;=3.5,"A-",IF('Data Source'!AG832&gt;=3,"B",IF('Data Source'!AG832&gt;=2,"C",IF('Data Source'!AG832&gt;=1,"D","F")))))),"")</f>
        <v/>
      </c>
      <c r="P832" s="5">
        <f>IF(AND('Data Source'!B832&lt;&gt;"",'Data Source'!S832="A+"),'Data Source'!R832,"")</f>
        <v/>
      </c>
      <c r="Q832" s="3">
        <f>IF(AND('Data Source'!B832&lt;&gt;"",'Data Source'!S832="A+"),'Data Source'!S832,"")</f>
        <v/>
      </c>
    </row>
    <row r="833">
      <c r="A833" s="3">
        <f>IF(AND('Data Source'!B833&lt;&gt;"",'Data Source'!S833="A+"),COUNTIF('Data Source'!$S$3:S833,"A+"),"")</f>
        <v/>
      </c>
      <c r="B833">
        <f>IF(AND('Data Source'!B833&lt;&gt;"",'Data Source'!S833="A+"),'Data Source'!B833,"")</f>
        <v/>
      </c>
      <c r="C833" s="3">
        <f>IF(AND('Data Source'!B833&lt;&gt;"",'Data Source'!S833="A+"),IF('Data Source'!U833&gt;=5,"A+",IF('Data Source'!U833&gt;=4,"A",IF('Data Source'!U833&gt;=3.5,"A-",IF('Data Source'!U833&gt;=3,"B",IF('Data Source'!U833&gt;=2,"C",IF('Data Source'!U833&gt;=1,"D","F")))))),"")</f>
        <v/>
      </c>
      <c r="D833" s="3">
        <f>IF(AND('Data Source'!B833&lt;&gt;"",'Data Source'!S833="A+"),IF('Data Source'!V833&gt;=5,"A+",IF('Data Source'!V833&gt;=4,"A",IF('Data Source'!V833&gt;=3.5,"A-",IF('Data Source'!V833&gt;=3,"B",IF('Data Source'!V833&gt;=2,"C",IF('Data Source'!V833&gt;=1,"D","F")))))),"")</f>
        <v/>
      </c>
      <c r="E833" s="3">
        <f>IF(AND('Data Source'!B833&lt;&gt;"",'Data Source'!S833="A+"),IF('Data Source'!W833&gt;=5,"A+",IF('Data Source'!W833&gt;=4,"A",IF('Data Source'!W833&gt;=3.5,"A-",IF('Data Source'!W833&gt;=3,"B",IF('Data Source'!W833&gt;=2,"C",IF('Data Source'!W833&gt;=1,"D","F")))))),"")</f>
        <v/>
      </c>
      <c r="F833" s="3">
        <f>IF(AND('Data Source'!B833&lt;&gt;"",'Data Source'!S833="A+"),IF('Data Source'!X833&gt;=5,"A+",IF('Data Source'!X833&gt;=4,"A",IF('Data Source'!X833&gt;=3.5,"A-",IF('Data Source'!X833&gt;=3,"B",IF('Data Source'!X833&gt;=2,"C",IF('Data Source'!X833&gt;=1,"D","F")))))),"")</f>
        <v/>
      </c>
      <c r="G833" s="3">
        <f>IF(AND('Data Source'!B833&lt;&gt;"",'Data Source'!S833="A+"),IF('Data Source'!Y833&gt;=5,"A+",IF('Data Source'!Y833&gt;=4,"A",IF('Data Source'!Y833&gt;=3.5,"A-",IF('Data Source'!Y833&gt;=3,"B",IF('Data Source'!Y833&gt;=2,"C",IF('Data Source'!Y833&gt;=1,"D","F")))))),"")</f>
        <v/>
      </c>
      <c r="H833" s="3">
        <f>IF(AND('Data Source'!B833&lt;&gt;"",'Data Source'!S833="A+"),IF('Data Source'!Z833&gt;=5,"A+",IF('Data Source'!Z833&gt;=4,"A",IF('Data Source'!Z833&gt;=3.5,"A-",IF('Data Source'!Z833&gt;=3,"B",IF('Data Source'!Z833&gt;=2,"C",IF('Data Source'!Z833&gt;=1,"D","F")))))),"")</f>
        <v/>
      </c>
      <c r="I833" s="3">
        <f>IF(AND('Data Source'!B833&lt;&gt;"",'Data Source'!S833="A+"),IF('Data Source'!AA833&gt;=5,"A+",IF('Data Source'!AA833&gt;=4,"A",IF('Data Source'!AA833&gt;=3.5,"A-",IF('Data Source'!AA833&gt;=3,"B",IF('Data Source'!AA833&gt;=2,"C",IF('Data Source'!AA833&gt;=1,"D","F")))))),"")</f>
        <v/>
      </c>
      <c r="J833" s="3">
        <f>IF(AND('Data Source'!B833&lt;&gt;"",'Data Source'!S833="A+"),IF('Data Source'!AB833&gt;=5,"A+",IF('Data Source'!AB833&gt;=4,"A",IF('Data Source'!AB833&gt;=3.5,"A-",IF('Data Source'!AB833&gt;=3,"B",IF('Data Source'!AB833&gt;=2,"C",IF('Data Source'!AB833&gt;=1,"D","F")))))),"")</f>
        <v/>
      </c>
      <c r="K833" s="3">
        <f>IF(AND('Data Source'!B833&lt;&gt;"",'Data Source'!S833="A+"),IF('Data Source'!AC833&gt;=5,"A+",IF('Data Source'!AC833&gt;=4,"A",IF('Data Source'!AC833&gt;=3.5,"A-",IF('Data Source'!AC833&gt;=3,"B",IF('Data Source'!AC833&gt;=2,"C",IF('Data Source'!AC833&gt;=1,"D","F")))))),"")</f>
        <v/>
      </c>
      <c r="L833" s="3">
        <f>IF(AND('Data Source'!B833&lt;&gt;"",'Data Source'!S833="A+"),IF('Data Source'!AD833&gt;=5,"A+",IF('Data Source'!AD833&gt;=4,"A",IF('Data Source'!AD833&gt;=3.5,"A-",IF('Data Source'!AD833&gt;=3,"B",IF('Data Source'!AD833&gt;=2,"C",IF('Data Source'!AD833&gt;=1,"D","F")))))),"")</f>
        <v/>
      </c>
      <c r="M833" s="3">
        <f>IF(AND('Data Source'!B833&lt;&gt;"",'Data Source'!S833="A+"),IF('Data Source'!AE833&gt;=5,"A+",IF('Data Source'!AE833&gt;=4,"A",IF('Data Source'!AE833&gt;=3.5,"A-",IF('Data Source'!AE833&gt;=3,"B",IF('Data Source'!AE833&gt;=2,"C",IF('Data Source'!AE833&gt;=1,"D","F")))))),"")</f>
        <v/>
      </c>
      <c r="N833" s="3">
        <f>IF(AND('Data Source'!B833&lt;&gt;"",'Data Source'!S833="A+"),IF('Data Source'!AF833&gt;=5,"A+",IF('Data Source'!AF833&gt;=4,"A",IF('Data Source'!AF833&gt;=3.5,"A-",IF('Data Source'!AF833&gt;=3,"B",IF('Data Source'!AF833&gt;=2,"C",IF('Data Source'!AF833&gt;=1,"D","F")))))),"")</f>
        <v/>
      </c>
      <c r="O833" s="3">
        <f>IF(AND('Data Source'!B833&lt;&gt;"",'Data Source'!S833="A+"),IF('Data Source'!AG833&gt;=5,"A+",IF('Data Source'!AG833&gt;=4,"A",IF('Data Source'!AG833&gt;=3.5,"A-",IF('Data Source'!AG833&gt;=3,"B",IF('Data Source'!AG833&gt;=2,"C",IF('Data Source'!AG833&gt;=1,"D","F")))))),"")</f>
        <v/>
      </c>
      <c r="P833" s="5">
        <f>IF(AND('Data Source'!B833&lt;&gt;"",'Data Source'!S833="A+"),'Data Source'!R833,"")</f>
        <v/>
      </c>
      <c r="Q833" s="3">
        <f>IF(AND('Data Source'!B833&lt;&gt;"",'Data Source'!S833="A+"),'Data Source'!S833,"")</f>
        <v/>
      </c>
    </row>
    <row r="834">
      <c r="A834" s="3">
        <f>IF(AND('Data Source'!B834&lt;&gt;"",'Data Source'!S834="A+"),COUNTIF('Data Source'!$S$3:S834,"A+"),"")</f>
        <v/>
      </c>
      <c r="B834">
        <f>IF(AND('Data Source'!B834&lt;&gt;"",'Data Source'!S834="A+"),'Data Source'!B834,"")</f>
        <v/>
      </c>
      <c r="C834" s="3">
        <f>IF(AND('Data Source'!B834&lt;&gt;"",'Data Source'!S834="A+"),IF('Data Source'!U834&gt;=5,"A+",IF('Data Source'!U834&gt;=4,"A",IF('Data Source'!U834&gt;=3.5,"A-",IF('Data Source'!U834&gt;=3,"B",IF('Data Source'!U834&gt;=2,"C",IF('Data Source'!U834&gt;=1,"D","F")))))),"")</f>
        <v/>
      </c>
      <c r="D834" s="3">
        <f>IF(AND('Data Source'!B834&lt;&gt;"",'Data Source'!S834="A+"),IF('Data Source'!V834&gt;=5,"A+",IF('Data Source'!V834&gt;=4,"A",IF('Data Source'!V834&gt;=3.5,"A-",IF('Data Source'!V834&gt;=3,"B",IF('Data Source'!V834&gt;=2,"C",IF('Data Source'!V834&gt;=1,"D","F")))))),"")</f>
        <v/>
      </c>
      <c r="E834" s="3">
        <f>IF(AND('Data Source'!B834&lt;&gt;"",'Data Source'!S834="A+"),IF('Data Source'!W834&gt;=5,"A+",IF('Data Source'!W834&gt;=4,"A",IF('Data Source'!W834&gt;=3.5,"A-",IF('Data Source'!W834&gt;=3,"B",IF('Data Source'!W834&gt;=2,"C",IF('Data Source'!W834&gt;=1,"D","F")))))),"")</f>
        <v/>
      </c>
      <c r="F834" s="3">
        <f>IF(AND('Data Source'!B834&lt;&gt;"",'Data Source'!S834="A+"),IF('Data Source'!X834&gt;=5,"A+",IF('Data Source'!X834&gt;=4,"A",IF('Data Source'!X834&gt;=3.5,"A-",IF('Data Source'!X834&gt;=3,"B",IF('Data Source'!X834&gt;=2,"C",IF('Data Source'!X834&gt;=1,"D","F")))))),"")</f>
        <v/>
      </c>
      <c r="G834" s="3">
        <f>IF(AND('Data Source'!B834&lt;&gt;"",'Data Source'!S834="A+"),IF('Data Source'!Y834&gt;=5,"A+",IF('Data Source'!Y834&gt;=4,"A",IF('Data Source'!Y834&gt;=3.5,"A-",IF('Data Source'!Y834&gt;=3,"B",IF('Data Source'!Y834&gt;=2,"C",IF('Data Source'!Y834&gt;=1,"D","F")))))),"")</f>
        <v/>
      </c>
      <c r="H834" s="3">
        <f>IF(AND('Data Source'!B834&lt;&gt;"",'Data Source'!S834="A+"),IF('Data Source'!Z834&gt;=5,"A+",IF('Data Source'!Z834&gt;=4,"A",IF('Data Source'!Z834&gt;=3.5,"A-",IF('Data Source'!Z834&gt;=3,"B",IF('Data Source'!Z834&gt;=2,"C",IF('Data Source'!Z834&gt;=1,"D","F")))))),"")</f>
        <v/>
      </c>
      <c r="I834" s="3">
        <f>IF(AND('Data Source'!B834&lt;&gt;"",'Data Source'!S834="A+"),IF('Data Source'!AA834&gt;=5,"A+",IF('Data Source'!AA834&gt;=4,"A",IF('Data Source'!AA834&gt;=3.5,"A-",IF('Data Source'!AA834&gt;=3,"B",IF('Data Source'!AA834&gt;=2,"C",IF('Data Source'!AA834&gt;=1,"D","F")))))),"")</f>
        <v/>
      </c>
      <c r="J834" s="3">
        <f>IF(AND('Data Source'!B834&lt;&gt;"",'Data Source'!S834="A+"),IF('Data Source'!AB834&gt;=5,"A+",IF('Data Source'!AB834&gt;=4,"A",IF('Data Source'!AB834&gt;=3.5,"A-",IF('Data Source'!AB834&gt;=3,"B",IF('Data Source'!AB834&gt;=2,"C",IF('Data Source'!AB834&gt;=1,"D","F")))))),"")</f>
        <v/>
      </c>
      <c r="K834" s="3">
        <f>IF(AND('Data Source'!B834&lt;&gt;"",'Data Source'!S834="A+"),IF('Data Source'!AC834&gt;=5,"A+",IF('Data Source'!AC834&gt;=4,"A",IF('Data Source'!AC834&gt;=3.5,"A-",IF('Data Source'!AC834&gt;=3,"B",IF('Data Source'!AC834&gt;=2,"C",IF('Data Source'!AC834&gt;=1,"D","F")))))),"")</f>
        <v/>
      </c>
      <c r="L834" s="3">
        <f>IF(AND('Data Source'!B834&lt;&gt;"",'Data Source'!S834="A+"),IF('Data Source'!AD834&gt;=5,"A+",IF('Data Source'!AD834&gt;=4,"A",IF('Data Source'!AD834&gt;=3.5,"A-",IF('Data Source'!AD834&gt;=3,"B",IF('Data Source'!AD834&gt;=2,"C",IF('Data Source'!AD834&gt;=1,"D","F")))))),"")</f>
        <v/>
      </c>
      <c r="M834" s="3">
        <f>IF(AND('Data Source'!B834&lt;&gt;"",'Data Source'!S834="A+"),IF('Data Source'!AE834&gt;=5,"A+",IF('Data Source'!AE834&gt;=4,"A",IF('Data Source'!AE834&gt;=3.5,"A-",IF('Data Source'!AE834&gt;=3,"B",IF('Data Source'!AE834&gt;=2,"C",IF('Data Source'!AE834&gt;=1,"D","F")))))),"")</f>
        <v/>
      </c>
      <c r="N834" s="3">
        <f>IF(AND('Data Source'!B834&lt;&gt;"",'Data Source'!S834="A+"),IF('Data Source'!AF834&gt;=5,"A+",IF('Data Source'!AF834&gt;=4,"A",IF('Data Source'!AF834&gt;=3.5,"A-",IF('Data Source'!AF834&gt;=3,"B",IF('Data Source'!AF834&gt;=2,"C",IF('Data Source'!AF834&gt;=1,"D","F")))))),"")</f>
        <v/>
      </c>
      <c r="O834" s="3">
        <f>IF(AND('Data Source'!B834&lt;&gt;"",'Data Source'!S834="A+"),IF('Data Source'!AG834&gt;=5,"A+",IF('Data Source'!AG834&gt;=4,"A",IF('Data Source'!AG834&gt;=3.5,"A-",IF('Data Source'!AG834&gt;=3,"B",IF('Data Source'!AG834&gt;=2,"C",IF('Data Source'!AG834&gt;=1,"D","F")))))),"")</f>
        <v/>
      </c>
      <c r="P834" s="5">
        <f>IF(AND('Data Source'!B834&lt;&gt;"",'Data Source'!S834="A+"),'Data Source'!R834,"")</f>
        <v/>
      </c>
      <c r="Q834" s="3">
        <f>IF(AND('Data Source'!B834&lt;&gt;"",'Data Source'!S834="A+"),'Data Source'!S834,"")</f>
        <v/>
      </c>
    </row>
    <row r="835">
      <c r="A835" s="3">
        <f>IF(AND('Data Source'!B835&lt;&gt;"",'Data Source'!S835="A+"),COUNTIF('Data Source'!$S$3:S835,"A+"),"")</f>
        <v/>
      </c>
      <c r="B835">
        <f>IF(AND('Data Source'!B835&lt;&gt;"",'Data Source'!S835="A+"),'Data Source'!B835,"")</f>
        <v/>
      </c>
      <c r="C835" s="3">
        <f>IF(AND('Data Source'!B835&lt;&gt;"",'Data Source'!S835="A+"),IF('Data Source'!U835&gt;=5,"A+",IF('Data Source'!U835&gt;=4,"A",IF('Data Source'!U835&gt;=3.5,"A-",IF('Data Source'!U835&gt;=3,"B",IF('Data Source'!U835&gt;=2,"C",IF('Data Source'!U835&gt;=1,"D","F")))))),"")</f>
        <v/>
      </c>
      <c r="D835" s="3">
        <f>IF(AND('Data Source'!B835&lt;&gt;"",'Data Source'!S835="A+"),IF('Data Source'!V835&gt;=5,"A+",IF('Data Source'!V835&gt;=4,"A",IF('Data Source'!V835&gt;=3.5,"A-",IF('Data Source'!V835&gt;=3,"B",IF('Data Source'!V835&gt;=2,"C",IF('Data Source'!V835&gt;=1,"D","F")))))),"")</f>
        <v/>
      </c>
      <c r="E835" s="3">
        <f>IF(AND('Data Source'!B835&lt;&gt;"",'Data Source'!S835="A+"),IF('Data Source'!W835&gt;=5,"A+",IF('Data Source'!W835&gt;=4,"A",IF('Data Source'!W835&gt;=3.5,"A-",IF('Data Source'!W835&gt;=3,"B",IF('Data Source'!W835&gt;=2,"C",IF('Data Source'!W835&gt;=1,"D","F")))))),"")</f>
        <v/>
      </c>
      <c r="F835" s="3">
        <f>IF(AND('Data Source'!B835&lt;&gt;"",'Data Source'!S835="A+"),IF('Data Source'!X835&gt;=5,"A+",IF('Data Source'!X835&gt;=4,"A",IF('Data Source'!X835&gt;=3.5,"A-",IF('Data Source'!X835&gt;=3,"B",IF('Data Source'!X835&gt;=2,"C",IF('Data Source'!X835&gt;=1,"D","F")))))),"")</f>
        <v/>
      </c>
      <c r="G835" s="3">
        <f>IF(AND('Data Source'!B835&lt;&gt;"",'Data Source'!S835="A+"),IF('Data Source'!Y835&gt;=5,"A+",IF('Data Source'!Y835&gt;=4,"A",IF('Data Source'!Y835&gt;=3.5,"A-",IF('Data Source'!Y835&gt;=3,"B",IF('Data Source'!Y835&gt;=2,"C",IF('Data Source'!Y835&gt;=1,"D","F")))))),"")</f>
        <v/>
      </c>
      <c r="H835" s="3">
        <f>IF(AND('Data Source'!B835&lt;&gt;"",'Data Source'!S835="A+"),IF('Data Source'!Z835&gt;=5,"A+",IF('Data Source'!Z835&gt;=4,"A",IF('Data Source'!Z835&gt;=3.5,"A-",IF('Data Source'!Z835&gt;=3,"B",IF('Data Source'!Z835&gt;=2,"C",IF('Data Source'!Z835&gt;=1,"D","F")))))),"")</f>
        <v/>
      </c>
      <c r="I835" s="3">
        <f>IF(AND('Data Source'!B835&lt;&gt;"",'Data Source'!S835="A+"),IF('Data Source'!AA835&gt;=5,"A+",IF('Data Source'!AA835&gt;=4,"A",IF('Data Source'!AA835&gt;=3.5,"A-",IF('Data Source'!AA835&gt;=3,"B",IF('Data Source'!AA835&gt;=2,"C",IF('Data Source'!AA835&gt;=1,"D","F")))))),"")</f>
        <v/>
      </c>
      <c r="J835" s="3">
        <f>IF(AND('Data Source'!B835&lt;&gt;"",'Data Source'!S835="A+"),IF('Data Source'!AB835&gt;=5,"A+",IF('Data Source'!AB835&gt;=4,"A",IF('Data Source'!AB835&gt;=3.5,"A-",IF('Data Source'!AB835&gt;=3,"B",IF('Data Source'!AB835&gt;=2,"C",IF('Data Source'!AB835&gt;=1,"D","F")))))),"")</f>
        <v/>
      </c>
      <c r="K835" s="3">
        <f>IF(AND('Data Source'!B835&lt;&gt;"",'Data Source'!S835="A+"),IF('Data Source'!AC835&gt;=5,"A+",IF('Data Source'!AC835&gt;=4,"A",IF('Data Source'!AC835&gt;=3.5,"A-",IF('Data Source'!AC835&gt;=3,"B",IF('Data Source'!AC835&gt;=2,"C",IF('Data Source'!AC835&gt;=1,"D","F")))))),"")</f>
        <v/>
      </c>
      <c r="L835" s="3">
        <f>IF(AND('Data Source'!B835&lt;&gt;"",'Data Source'!S835="A+"),IF('Data Source'!AD835&gt;=5,"A+",IF('Data Source'!AD835&gt;=4,"A",IF('Data Source'!AD835&gt;=3.5,"A-",IF('Data Source'!AD835&gt;=3,"B",IF('Data Source'!AD835&gt;=2,"C",IF('Data Source'!AD835&gt;=1,"D","F")))))),"")</f>
        <v/>
      </c>
      <c r="M835" s="3">
        <f>IF(AND('Data Source'!B835&lt;&gt;"",'Data Source'!S835="A+"),IF('Data Source'!AE835&gt;=5,"A+",IF('Data Source'!AE835&gt;=4,"A",IF('Data Source'!AE835&gt;=3.5,"A-",IF('Data Source'!AE835&gt;=3,"B",IF('Data Source'!AE835&gt;=2,"C",IF('Data Source'!AE835&gt;=1,"D","F")))))),"")</f>
        <v/>
      </c>
      <c r="N835" s="3">
        <f>IF(AND('Data Source'!B835&lt;&gt;"",'Data Source'!S835="A+"),IF('Data Source'!AF835&gt;=5,"A+",IF('Data Source'!AF835&gt;=4,"A",IF('Data Source'!AF835&gt;=3.5,"A-",IF('Data Source'!AF835&gt;=3,"B",IF('Data Source'!AF835&gt;=2,"C",IF('Data Source'!AF835&gt;=1,"D","F")))))),"")</f>
        <v/>
      </c>
      <c r="O835" s="3">
        <f>IF(AND('Data Source'!B835&lt;&gt;"",'Data Source'!S835="A+"),IF('Data Source'!AG835&gt;=5,"A+",IF('Data Source'!AG835&gt;=4,"A",IF('Data Source'!AG835&gt;=3.5,"A-",IF('Data Source'!AG835&gt;=3,"B",IF('Data Source'!AG835&gt;=2,"C",IF('Data Source'!AG835&gt;=1,"D","F")))))),"")</f>
        <v/>
      </c>
      <c r="P835" s="5">
        <f>IF(AND('Data Source'!B835&lt;&gt;"",'Data Source'!S835="A+"),'Data Source'!R835,"")</f>
        <v/>
      </c>
      <c r="Q835" s="3">
        <f>IF(AND('Data Source'!B835&lt;&gt;"",'Data Source'!S835="A+"),'Data Source'!S835,"")</f>
        <v/>
      </c>
    </row>
    <row r="836">
      <c r="A836" s="3">
        <f>IF(AND('Data Source'!B836&lt;&gt;"",'Data Source'!S836="A+"),COUNTIF('Data Source'!$S$3:S836,"A+"),"")</f>
        <v/>
      </c>
      <c r="B836">
        <f>IF(AND('Data Source'!B836&lt;&gt;"",'Data Source'!S836="A+"),'Data Source'!B836,"")</f>
        <v/>
      </c>
      <c r="C836" s="3">
        <f>IF(AND('Data Source'!B836&lt;&gt;"",'Data Source'!S836="A+"),IF('Data Source'!U836&gt;=5,"A+",IF('Data Source'!U836&gt;=4,"A",IF('Data Source'!U836&gt;=3.5,"A-",IF('Data Source'!U836&gt;=3,"B",IF('Data Source'!U836&gt;=2,"C",IF('Data Source'!U836&gt;=1,"D","F")))))),"")</f>
        <v/>
      </c>
      <c r="D836" s="3">
        <f>IF(AND('Data Source'!B836&lt;&gt;"",'Data Source'!S836="A+"),IF('Data Source'!V836&gt;=5,"A+",IF('Data Source'!V836&gt;=4,"A",IF('Data Source'!V836&gt;=3.5,"A-",IF('Data Source'!V836&gt;=3,"B",IF('Data Source'!V836&gt;=2,"C",IF('Data Source'!V836&gt;=1,"D","F")))))),"")</f>
        <v/>
      </c>
      <c r="E836" s="3">
        <f>IF(AND('Data Source'!B836&lt;&gt;"",'Data Source'!S836="A+"),IF('Data Source'!W836&gt;=5,"A+",IF('Data Source'!W836&gt;=4,"A",IF('Data Source'!W836&gt;=3.5,"A-",IF('Data Source'!W836&gt;=3,"B",IF('Data Source'!W836&gt;=2,"C",IF('Data Source'!W836&gt;=1,"D","F")))))),"")</f>
        <v/>
      </c>
      <c r="F836" s="3">
        <f>IF(AND('Data Source'!B836&lt;&gt;"",'Data Source'!S836="A+"),IF('Data Source'!X836&gt;=5,"A+",IF('Data Source'!X836&gt;=4,"A",IF('Data Source'!X836&gt;=3.5,"A-",IF('Data Source'!X836&gt;=3,"B",IF('Data Source'!X836&gt;=2,"C",IF('Data Source'!X836&gt;=1,"D","F")))))),"")</f>
        <v/>
      </c>
      <c r="G836" s="3">
        <f>IF(AND('Data Source'!B836&lt;&gt;"",'Data Source'!S836="A+"),IF('Data Source'!Y836&gt;=5,"A+",IF('Data Source'!Y836&gt;=4,"A",IF('Data Source'!Y836&gt;=3.5,"A-",IF('Data Source'!Y836&gt;=3,"B",IF('Data Source'!Y836&gt;=2,"C",IF('Data Source'!Y836&gt;=1,"D","F")))))),"")</f>
        <v/>
      </c>
      <c r="H836" s="3">
        <f>IF(AND('Data Source'!B836&lt;&gt;"",'Data Source'!S836="A+"),IF('Data Source'!Z836&gt;=5,"A+",IF('Data Source'!Z836&gt;=4,"A",IF('Data Source'!Z836&gt;=3.5,"A-",IF('Data Source'!Z836&gt;=3,"B",IF('Data Source'!Z836&gt;=2,"C",IF('Data Source'!Z836&gt;=1,"D","F")))))),"")</f>
        <v/>
      </c>
      <c r="I836" s="3">
        <f>IF(AND('Data Source'!B836&lt;&gt;"",'Data Source'!S836="A+"),IF('Data Source'!AA836&gt;=5,"A+",IF('Data Source'!AA836&gt;=4,"A",IF('Data Source'!AA836&gt;=3.5,"A-",IF('Data Source'!AA836&gt;=3,"B",IF('Data Source'!AA836&gt;=2,"C",IF('Data Source'!AA836&gt;=1,"D","F")))))),"")</f>
        <v/>
      </c>
      <c r="J836" s="3">
        <f>IF(AND('Data Source'!B836&lt;&gt;"",'Data Source'!S836="A+"),IF('Data Source'!AB836&gt;=5,"A+",IF('Data Source'!AB836&gt;=4,"A",IF('Data Source'!AB836&gt;=3.5,"A-",IF('Data Source'!AB836&gt;=3,"B",IF('Data Source'!AB836&gt;=2,"C",IF('Data Source'!AB836&gt;=1,"D","F")))))),"")</f>
        <v/>
      </c>
      <c r="K836" s="3">
        <f>IF(AND('Data Source'!B836&lt;&gt;"",'Data Source'!S836="A+"),IF('Data Source'!AC836&gt;=5,"A+",IF('Data Source'!AC836&gt;=4,"A",IF('Data Source'!AC836&gt;=3.5,"A-",IF('Data Source'!AC836&gt;=3,"B",IF('Data Source'!AC836&gt;=2,"C",IF('Data Source'!AC836&gt;=1,"D","F")))))),"")</f>
        <v/>
      </c>
      <c r="L836" s="3">
        <f>IF(AND('Data Source'!B836&lt;&gt;"",'Data Source'!S836="A+"),IF('Data Source'!AD836&gt;=5,"A+",IF('Data Source'!AD836&gt;=4,"A",IF('Data Source'!AD836&gt;=3.5,"A-",IF('Data Source'!AD836&gt;=3,"B",IF('Data Source'!AD836&gt;=2,"C",IF('Data Source'!AD836&gt;=1,"D","F")))))),"")</f>
        <v/>
      </c>
      <c r="M836" s="3">
        <f>IF(AND('Data Source'!B836&lt;&gt;"",'Data Source'!S836="A+"),IF('Data Source'!AE836&gt;=5,"A+",IF('Data Source'!AE836&gt;=4,"A",IF('Data Source'!AE836&gt;=3.5,"A-",IF('Data Source'!AE836&gt;=3,"B",IF('Data Source'!AE836&gt;=2,"C",IF('Data Source'!AE836&gt;=1,"D","F")))))),"")</f>
        <v/>
      </c>
      <c r="N836" s="3">
        <f>IF(AND('Data Source'!B836&lt;&gt;"",'Data Source'!S836="A+"),IF('Data Source'!AF836&gt;=5,"A+",IF('Data Source'!AF836&gt;=4,"A",IF('Data Source'!AF836&gt;=3.5,"A-",IF('Data Source'!AF836&gt;=3,"B",IF('Data Source'!AF836&gt;=2,"C",IF('Data Source'!AF836&gt;=1,"D","F")))))),"")</f>
        <v/>
      </c>
      <c r="O836" s="3">
        <f>IF(AND('Data Source'!B836&lt;&gt;"",'Data Source'!S836="A+"),IF('Data Source'!AG836&gt;=5,"A+",IF('Data Source'!AG836&gt;=4,"A",IF('Data Source'!AG836&gt;=3.5,"A-",IF('Data Source'!AG836&gt;=3,"B",IF('Data Source'!AG836&gt;=2,"C",IF('Data Source'!AG836&gt;=1,"D","F")))))),"")</f>
        <v/>
      </c>
      <c r="P836" s="5">
        <f>IF(AND('Data Source'!B836&lt;&gt;"",'Data Source'!S836="A+"),'Data Source'!R836,"")</f>
        <v/>
      </c>
      <c r="Q836" s="3">
        <f>IF(AND('Data Source'!B836&lt;&gt;"",'Data Source'!S836="A+"),'Data Source'!S836,"")</f>
        <v/>
      </c>
    </row>
    <row r="837">
      <c r="A837" s="3">
        <f>IF(AND('Data Source'!B837&lt;&gt;"",'Data Source'!S837="A+"),COUNTIF('Data Source'!$S$3:S837,"A+"),"")</f>
        <v/>
      </c>
      <c r="B837">
        <f>IF(AND('Data Source'!B837&lt;&gt;"",'Data Source'!S837="A+"),'Data Source'!B837,"")</f>
        <v/>
      </c>
      <c r="C837" s="3">
        <f>IF(AND('Data Source'!B837&lt;&gt;"",'Data Source'!S837="A+"),IF('Data Source'!U837&gt;=5,"A+",IF('Data Source'!U837&gt;=4,"A",IF('Data Source'!U837&gt;=3.5,"A-",IF('Data Source'!U837&gt;=3,"B",IF('Data Source'!U837&gt;=2,"C",IF('Data Source'!U837&gt;=1,"D","F")))))),"")</f>
        <v/>
      </c>
      <c r="D837" s="3">
        <f>IF(AND('Data Source'!B837&lt;&gt;"",'Data Source'!S837="A+"),IF('Data Source'!V837&gt;=5,"A+",IF('Data Source'!V837&gt;=4,"A",IF('Data Source'!V837&gt;=3.5,"A-",IF('Data Source'!V837&gt;=3,"B",IF('Data Source'!V837&gt;=2,"C",IF('Data Source'!V837&gt;=1,"D","F")))))),"")</f>
        <v/>
      </c>
      <c r="E837" s="3">
        <f>IF(AND('Data Source'!B837&lt;&gt;"",'Data Source'!S837="A+"),IF('Data Source'!W837&gt;=5,"A+",IF('Data Source'!W837&gt;=4,"A",IF('Data Source'!W837&gt;=3.5,"A-",IF('Data Source'!W837&gt;=3,"B",IF('Data Source'!W837&gt;=2,"C",IF('Data Source'!W837&gt;=1,"D","F")))))),"")</f>
        <v/>
      </c>
      <c r="F837" s="3">
        <f>IF(AND('Data Source'!B837&lt;&gt;"",'Data Source'!S837="A+"),IF('Data Source'!X837&gt;=5,"A+",IF('Data Source'!X837&gt;=4,"A",IF('Data Source'!X837&gt;=3.5,"A-",IF('Data Source'!X837&gt;=3,"B",IF('Data Source'!X837&gt;=2,"C",IF('Data Source'!X837&gt;=1,"D","F")))))),"")</f>
        <v/>
      </c>
      <c r="G837" s="3">
        <f>IF(AND('Data Source'!B837&lt;&gt;"",'Data Source'!S837="A+"),IF('Data Source'!Y837&gt;=5,"A+",IF('Data Source'!Y837&gt;=4,"A",IF('Data Source'!Y837&gt;=3.5,"A-",IF('Data Source'!Y837&gt;=3,"B",IF('Data Source'!Y837&gt;=2,"C",IF('Data Source'!Y837&gt;=1,"D","F")))))),"")</f>
        <v/>
      </c>
      <c r="H837" s="3">
        <f>IF(AND('Data Source'!B837&lt;&gt;"",'Data Source'!S837="A+"),IF('Data Source'!Z837&gt;=5,"A+",IF('Data Source'!Z837&gt;=4,"A",IF('Data Source'!Z837&gt;=3.5,"A-",IF('Data Source'!Z837&gt;=3,"B",IF('Data Source'!Z837&gt;=2,"C",IF('Data Source'!Z837&gt;=1,"D","F")))))),"")</f>
        <v/>
      </c>
      <c r="I837" s="3">
        <f>IF(AND('Data Source'!B837&lt;&gt;"",'Data Source'!S837="A+"),IF('Data Source'!AA837&gt;=5,"A+",IF('Data Source'!AA837&gt;=4,"A",IF('Data Source'!AA837&gt;=3.5,"A-",IF('Data Source'!AA837&gt;=3,"B",IF('Data Source'!AA837&gt;=2,"C",IF('Data Source'!AA837&gt;=1,"D","F")))))),"")</f>
        <v/>
      </c>
      <c r="J837" s="3">
        <f>IF(AND('Data Source'!B837&lt;&gt;"",'Data Source'!S837="A+"),IF('Data Source'!AB837&gt;=5,"A+",IF('Data Source'!AB837&gt;=4,"A",IF('Data Source'!AB837&gt;=3.5,"A-",IF('Data Source'!AB837&gt;=3,"B",IF('Data Source'!AB837&gt;=2,"C",IF('Data Source'!AB837&gt;=1,"D","F")))))),"")</f>
        <v/>
      </c>
      <c r="K837" s="3">
        <f>IF(AND('Data Source'!B837&lt;&gt;"",'Data Source'!S837="A+"),IF('Data Source'!AC837&gt;=5,"A+",IF('Data Source'!AC837&gt;=4,"A",IF('Data Source'!AC837&gt;=3.5,"A-",IF('Data Source'!AC837&gt;=3,"B",IF('Data Source'!AC837&gt;=2,"C",IF('Data Source'!AC837&gt;=1,"D","F")))))),"")</f>
        <v/>
      </c>
      <c r="L837" s="3">
        <f>IF(AND('Data Source'!B837&lt;&gt;"",'Data Source'!S837="A+"),IF('Data Source'!AD837&gt;=5,"A+",IF('Data Source'!AD837&gt;=4,"A",IF('Data Source'!AD837&gt;=3.5,"A-",IF('Data Source'!AD837&gt;=3,"B",IF('Data Source'!AD837&gt;=2,"C",IF('Data Source'!AD837&gt;=1,"D","F")))))),"")</f>
        <v/>
      </c>
      <c r="M837" s="3">
        <f>IF(AND('Data Source'!B837&lt;&gt;"",'Data Source'!S837="A+"),IF('Data Source'!AE837&gt;=5,"A+",IF('Data Source'!AE837&gt;=4,"A",IF('Data Source'!AE837&gt;=3.5,"A-",IF('Data Source'!AE837&gt;=3,"B",IF('Data Source'!AE837&gt;=2,"C",IF('Data Source'!AE837&gt;=1,"D","F")))))),"")</f>
        <v/>
      </c>
      <c r="N837" s="3">
        <f>IF(AND('Data Source'!B837&lt;&gt;"",'Data Source'!S837="A+"),IF('Data Source'!AF837&gt;=5,"A+",IF('Data Source'!AF837&gt;=4,"A",IF('Data Source'!AF837&gt;=3.5,"A-",IF('Data Source'!AF837&gt;=3,"B",IF('Data Source'!AF837&gt;=2,"C",IF('Data Source'!AF837&gt;=1,"D","F")))))),"")</f>
        <v/>
      </c>
      <c r="O837" s="3">
        <f>IF(AND('Data Source'!B837&lt;&gt;"",'Data Source'!S837="A+"),IF('Data Source'!AG837&gt;=5,"A+",IF('Data Source'!AG837&gt;=4,"A",IF('Data Source'!AG837&gt;=3.5,"A-",IF('Data Source'!AG837&gt;=3,"B",IF('Data Source'!AG837&gt;=2,"C",IF('Data Source'!AG837&gt;=1,"D","F")))))),"")</f>
        <v/>
      </c>
      <c r="P837" s="5">
        <f>IF(AND('Data Source'!B837&lt;&gt;"",'Data Source'!S837="A+"),'Data Source'!R837,"")</f>
        <v/>
      </c>
      <c r="Q837" s="3">
        <f>IF(AND('Data Source'!B837&lt;&gt;"",'Data Source'!S837="A+"),'Data Source'!S837,"")</f>
        <v/>
      </c>
    </row>
    <row r="838">
      <c r="A838" s="3">
        <f>IF(AND('Data Source'!B838&lt;&gt;"",'Data Source'!S838="A+"),COUNTIF('Data Source'!$S$3:S838,"A+"),"")</f>
        <v/>
      </c>
      <c r="B838">
        <f>IF(AND('Data Source'!B838&lt;&gt;"",'Data Source'!S838="A+"),'Data Source'!B838,"")</f>
        <v/>
      </c>
      <c r="C838" s="3">
        <f>IF(AND('Data Source'!B838&lt;&gt;"",'Data Source'!S838="A+"),IF('Data Source'!U838&gt;=5,"A+",IF('Data Source'!U838&gt;=4,"A",IF('Data Source'!U838&gt;=3.5,"A-",IF('Data Source'!U838&gt;=3,"B",IF('Data Source'!U838&gt;=2,"C",IF('Data Source'!U838&gt;=1,"D","F")))))),"")</f>
        <v/>
      </c>
      <c r="D838" s="3">
        <f>IF(AND('Data Source'!B838&lt;&gt;"",'Data Source'!S838="A+"),IF('Data Source'!V838&gt;=5,"A+",IF('Data Source'!V838&gt;=4,"A",IF('Data Source'!V838&gt;=3.5,"A-",IF('Data Source'!V838&gt;=3,"B",IF('Data Source'!V838&gt;=2,"C",IF('Data Source'!V838&gt;=1,"D","F")))))),"")</f>
        <v/>
      </c>
      <c r="E838" s="3">
        <f>IF(AND('Data Source'!B838&lt;&gt;"",'Data Source'!S838="A+"),IF('Data Source'!W838&gt;=5,"A+",IF('Data Source'!W838&gt;=4,"A",IF('Data Source'!W838&gt;=3.5,"A-",IF('Data Source'!W838&gt;=3,"B",IF('Data Source'!W838&gt;=2,"C",IF('Data Source'!W838&gt;=1,"D","F")))))),"")</f>
        <v/>
      </c>
      <c r="F838" s="3">
        <f>IF(AND('Data Source'!B838&lt;&gt;"",'Data Source'!S838="A+"),IF('Data Source'!X838&gt;=5,"A+",IF('Data Source'!X838&gt;=4,"A",IF('Data Source'!X838&gt;=3.5,"A-",IF('Data Source'!X838&gt;=3,"B",IF('Data Source'!X838&gt;=2,"C",IF('Data Source'!X838&gt;=1,"D","F")))))),"")</f>
        <v/>
      </c>
      <c r="G838" s="3">
        <f>IF(AND('Data Source'!B838&lt;&gt;"",'Data Source'!S838="A+"),IF('Data Source'!Y838&gt;=5,"A+",IF('Data Source'!Y838&gt;=4,"A",IF('Data Source'!Y838&gt;=3.5,"A-",IF('Data Source'!Y838&gt;=3,"B",IF('Data Source'!Y838&gt;=2,"C",IF('Data Source'!Y838&gt;=1,"D","F")))))),"")</f>
        <v/>
      </c>
      <c r="H838" s="3">
        <f>IF(AND('Data Source'!B838&lt;&gt;"",'Data Source'!S838="A+"),IF('Data Source'!Z838&gt;=5,"A+",IF('Data Source'!Z838&gt;=4,"A",IF('Data Source'!Z838&gt;=3.5,"A-",IF('Data Source'!Z838&gt;=3,"B",IF('Data Source'!Z838&gt;=2,"C",IF('Data Source'!Z838&gt;=1,"D","F")))))),"")</f>
        <v/>
      </c>
      <c r="I838" s="3">
        <f>IF(AND('Data Source'!B838&lt;&gt;"",'Data Source'!S838="A+"),IF('Data Source'!AA838&gt;=5,"A+",IF('Data Source'!AA838&gt;=4,"A",IF('Data Source'!AA838&gt;=3.5,"A-",IF('Data Source'!AA838&gt;=3,"B",IF('Data Source'!AA838&gt;=2,"C",IF('Data Source'!AA838&gt;=1,"D","F")))))),"")</f>
        <v/>
      </c>
      <c r="J838" s="3">
        <f>IF(AND('Data Source'!B838&lt;&gt;"",'Data Source'!S838="A+"),IF('Data Source'!AB838&gt;=5,"A+",IF('Data Source'!AB838&gt;=4,"A",IF('Data Source'!AB838&gt;=3.5,"A-",IF('Data Source'!AB838&gt;=3,"B",IF('Data Source'!AB838&gt;=2,"C",IF('Data Source'!AB838&gt;=1,"D","F")))))),"")</f>
        <v/>
      </c>
      <c r="K838" s="3">
        <f>IF(AND('Data Source'!B838&lt;&gt;"",'Data Source'!S838="A+"),IF('Data Source'!AC838&gt;=5,"A+",IF('Data Source'!AC838&gt;=4,"A",IF('Data Source'!AC838&gt;=3.5,"A-",IF('Data Source'!AC838&gt;=3,"B",IF('Data Source'!AC838&gt;=2,"C",IF('Data Source'!AC838&gt;=1,"D","F")))))),"")</f>
        <v/>
      </c>
      <c r="L838" s="3">
        <f>IF(AND('Data Source'!B838&lt;&gt;"",'Data Source'!S838="A+"),IF('Data Source'!AD838&gt;=5,"A+",IF('Data Source'!AD838&gt;=4,"A",IF('Data Source'!AD838&gt;=3.5,"A-",IF('Data Source'!AD838&gt;=3,"B",IF('Data Source'!AD838&gt;=2,"C",IF('Data Source'!AD838&gt;=1,"D","F")))))),"")</f>
        <v/>
      </c>
      <c r="M838" s="3">
        <f>IF(AND('Data Source'!B838&lt;&gt;"",'Data Source'!S838="A+"),IF('Data Source'!AE838&gt;=5,"A+",IF('Data Source'!AE838&gt;=4,"A",IF('Data Source'!AE838&gt;=3.5,"A-",IF('Data Source'!AE838&gt;=3,"B",IF('Data Source'!AE838&gt;=2,"C",IF('Data Source'!AE838&gt;=1,"D","F")))))),"")</f>
        <v/>
      </c>
      <c r="N838" s="3">
        <f>IF(AND('Data Source'!B838&lt;&gt;"",'Data Source'!S838="A+"),IF('Data Source'!AF838&gt;=5,"A+",IF('Data Source'!AF838&gt;=4,"A",IF('Data Source'!AF838&gt;=3.5,"A-",IF('Data Source'!AF838&gt;=3,"B",IF('Data Source'!AF838&gt;=2,"C",IF('Data Source'!AF838&gt;=1,"D","F")))))),"")</f>
        <v/>
      </c>
      <c r="O838" s="3">
        <f>IF(AND('Data Source'!B838&lt;&gt;"",'Data Source'!S838="A+"),IF('Data Source'!AG838&gt;=5,"A+",IF('Data Source'!AG838&gt;=4,"A",IF('Data Source'!AG838&gt;=3.5,"A-",IF('Data Source'!AG838&gt;=3,"B",IF('Data Source'!AG838&gt;=2,"C",IF('Data Source'!AG838&gt;=1,"D","F")))))),"")</f>
        <v/>
      </c>
      <c r="P838" s="5">
        <f>IF(AND('Data Source'!B838&lt;&gt;"",'Data Source'!S838="A+"),'Data Source'!R838,"")</f>
        <v/>
      </c>
      <c r="Q838" s="3">
        <f>IF(AND('Data Source'!B838&lt;&gt;"",'Data Source'!S838="A+"),'Data Source'!S838,"")</f>
        <v/>
      </c>
    </row>
    <row r="839">
      <c r="A839" s="3">
        <f>IF(AND('Data Source'!B839&lt;&gt;"",'Data Source'!S839="A+"),COUNTIF('Data Source'!$S$3:S839,"A+"),"")</f>
        <v/>
      </c>
      <c r="B839">
        <f>IF(AND('Data Source'!B839&lt;&gt;"",'Data Source'!S839="A+"),'Data Source'!B839,"")</f>
        <v/>
      </c>
      <c r="C839" s="3">
        <f>IF(AND('Data Source'!B839&lt;&gt;"",'Data Source'!S839="A+"),IF('Data Source'!U839&gt;=5,"A+",IF('Data Source'!U839&gt;=4,"A",IF('Data Source'!U839&gt;=3.5,"A-",IF('Data Source'!U839&gt;=3,"B",IF('Data Source'!U839&gt;=2,"C",IF('Data Source'!U839&gt;=1,"D","F")))))),"")</f>
        <v/>
      </c>
      <c r="D839" s="3">
        <f>IF(AND('Data Source'!B839&lt;&gt;"",'Data Source'!S839="A+"),IF('Data Source'!V839&gt;=5,"A+",IF('Data Source'!V839&gt;=4,"A",IF('Data Source'!V839&gt;=3.5,"A-",IF('Data Source'!V839&gt;=3,"B",IF('Data Source'!V839&gt;=2,"C",IF('Data Source'!V839&gt;=1,"D","F")))))),"")</f>
        <v/>
      </c>
      <c r="E839" s="3">
        <f>IF(AND('Data Source'!B839&lt;&gt;"",'Data Source'!S839="A+"),IF('Data Source'!W839&gt;=5,"A+",IF('Data Source'!W839&gt;=4,"A",IF('Data Source'!W839&gt;=3.5,"A-",IF('Data Source'!W839&gt;=3,"B",IF('Data Source'!W839&gt;=2,"C",IF('Data Source'!W839&gt;=1,"D","F")))))),"")</f>
        <v/>
      </c>
      <c r="F839" s="3">
        <f>IF(AND('Data Source'!B839&lt;&gt;"",'Data Source'!S839="A+"),IF('Data Source'!X839&gt;=5,"A+",IF('Data Source'!X839&gt;=4,"A",IF('Data Source'!X839&gt;=3.5,"A-",IF('Data Source'!X839&gt;=3,"B",IF('Data Source'!X839&gt;=2,"C",IF('Data Source'!X839&gt;=1,"D","F")))))),"")</f>
        <v/>
      </c>
      <c r="G839" s="3">
        <f>IF(AND('Data Source'!B839&lt;&gt;"",'Data Source'!S839="A+"),IF('Data Source'!Y839&gt;=5,"A+",IF('Data Source'!Y839&gt;=4,"A",IF('Data Source'!Y839&gt;=3.5,"A-",IF('Data Source'!Y839&gt;=3,"B",IF('Data Source'!Y839&gt;=2,"C",IF('Data Source'!Y839&gt;=1,"D","F")))))),"")</f>
        <v/>
      </c>
      <c r="H839" s="3">
        <f>IF(AND('Data Source'!B839&lt;&gt;"",'Data Source'!S839="A+"),IF('Data Source'!Z839&gt;=5,"A+",IF('Data Source'!Z839&gt;=4,"A",IF('Data Source'!Z839&gt;=3.5,"A-",IF('Data Source'!Z839&gt;=3,"B",IF('Data Source'!Z839&gt;=2,"C",IF('Data Source'!Z839&gt;=1,"D","F")))))),"")</f>
        <v/>
      </c>
      <c r="I839" s="3">
        <f>IF(AND('Data Source'!B839&lt;&gt;"",'Data Source'!S839="A+"),IF('Data Source'!AA839&gt;=5,"A+",IF('Data Source'!AA839&gt;=4,"A",IF('Data Source'!AA839&gt;=3.5,"A-",IF('Data Source'!AA839&gt;=3,"B",IF('Data Source'!AA839&gt;=2,"C",IF('Data Source'!AA839&gt;=1,"D","F")))))),"")</f>
        <v/>
      </c>
      <c r="J839" s="3">
        <f>IF(AND('Data Source'!B839&lt;&gt;"",'Data Source'!S839="A+"),IF('Data Source'!AB839&gt;=5,"A+",IF('Data Source'!AB839&gt;=4,"A",IF('Data Source'!AB839&gt;=3.5,"A-",IF('Data Source'!AB839&gt;=3,"B",IF('Data Source'!AB839&gt;=2,"C",IF('Data Source'!AB839&gt;=1,"D","F")))))),"")</f>
        <v/>
      </c>
      <c r="K839" s="3">
        <f>IF(AND('Data Source'!B839&lt;&gt;"",'Data Source'!S839="A+"),IF('Data Source'!AC839&gt;=5,"A+",IF('Data Source'!AC839&gt;=4,"A",IF('Data Source'!AC839&gt;=3.5,"A-",IF('Data Source'!AC839&gt;=3,"B",IF('Data Source'!AC839&gt;=2,"C",IF('Data Source'!AC839&gt;=1,"D","F")))))),"")</f>
        <v/>
      </c>
      <c r="L839" s="3">
        <f>IF(AND('Data Source'!B839&lt;&gt;"",'Data Source'!S839="A+"),IF('Data Source'!AD839&gt;=5,"A+",IF('Data Source'!AD839&gt;=4,"A",IF('Data Source'!AD839&gt;=3.5,"A-",IF('Data Source'!AD839&gt;=3,"B",IF('Data Source'!AD839&gt;=2,"C",IF('Data Source'!AD839&gt;=1,"D","F")))))),"")</f>
        <v/>
      </c>
      <c r="M839" s="3">
        <f>IF(AND('Data Source'!B839&lt;&gt;"",'Data Source'!S839="A+"),IF('Data Source'!AE839&gt;=5,"A+",IF('Data Source'!AE839&gt;=4,"A",IF('Data Source'!AE839&gt;=3.5,"A-",IF('Data Source'!AE839&gt;=3,"B",IF('Data Source'!AE839&gt;=2,"C",IF('Data Source'!AE839&gt;=1,"D","F")))))),"")</f>
        <v/>
      </c>
      <c r="N839" s="3">
        <f>IF(AND('Data Source'!B839&lt;&gt;"",'Data Source'!S839="A+"),IF('Data Source'!AF839&gt;=5,"A+",IF('Data Source'!AF839&gt;=4,"A",IF('Data Source'!AF839&gt;=3.5,"A-",IF('Data Source'!AF839&gt;=3,"B",IF('Data Source'!AF839&gt;=2,"C",IF('Data Source'!AF839&gt;=1,"D","F")))))),"")</f>
        <v/>
      </c>
      <c r="O839" s="3">
        <f>IF(AND('Data Source'!B839&lt;&gt;"",'Data Source'!S839="A+"),IF('Data Source'!AG839&gt;=5,"A+",IF('Data Source'!AG839&gt;=4,"A",IF('Data Source'!AG839&gt;=3.5,"A-",IF('Data Source'!AG839&gt;=3,"B",IF('Data Source'!AG839&gt;=2,"C",IF('Data Source'!AG839&gt;=1,"D","F")))))),"")</f>
        <v/>
      </c>
      <c r="P839" s="5">
        <f>IF(AND('Data Source'!B839&lt;&gt;"",'Data Source'!S839="A+"),'Data Source'!R839,"")</f>
        <v/>
      </c>
      <c r="Q839" s="3">
        <f>IF(AND('Data Source'!B839&lt;&gt;"",'Data Source'!S839="A+"),'Data Source'!S839,"")</f>
        <v/>
      </c>
    </row>
    <row r="840">
      <c r="A840" s="3">
        <f>IF(AND('Data Source'!B840&lt;&gt;"",'Data Source'!S840="A+"),COUNTIF('Data Source'!$S$3:S840,"A+"),"")</f>
        <v/>
      </c>
      <c r="B840">
        <f>IF(AND('Data Source'!B840&lt;&gt;"",'Data Source'!S840="A+"),'Data Source'!B840,"")</f>
        <v/>
      </c>
      <c r="C840" s="3">
        <f>IF(AND('Data Source'!B840&lt;&gt;"",'Data Source'!S840="A+"),IF('Data Source'!U840&gt;=5,"A+",IF('Data Source'!U840&gt;=4,"A",IF('Data Source'!U840&gt;=3.5,"A-",IF('Data Source'!U840&gt;=3,"B",IF('Data Source'!U840&gt;=2,"C",IF('Data Source'!U840&gt;=1,"D","F")))))),"")</f>
        <v/>
      </c>
      <c r="D840" s="3">
        <f>IF(AND('Data Source'!B840&lt;&gt;"",'Data Source'!S840="A+"),IF('Data Source'!V840&gt;=5,"A+",IF('Data Source'!V840&gt;=4,"A",IF('Data Source'!V840&gt;=3.5,"A-",IF('Data Source'!V840&gt;=3,"B",IF('Data Source'!V840&gt;=2,"C",IF('Data Source'!V840&gt;=1,"D","F")))))),"")</f>
        <v/>
      </c>
      <c r="E840" s="3">
        <f>IF(AND('Data Source'!B840&lt;&gt;"",'Data Source'!S840="A+"),IF('Data Source'!W840&gt;=5,"A+",IF('Data Source'!W840&gt;=4,"A",IF('Data Source'!W840&gt;=3.5,"A-",IF('Data Source'!W840&gt;=3,"B",IF('Data Source'!W840&gt;=2,"C",IF('Data Source'!W840&gt;=1,"D","F")))))),"")</f>
        <v/>
      </c>
      <c r="F840" s="3">
        <f>IF(AND('Data Source'!B840&lt;&gt;"",'Data Source'!S840="A+"),IF('Data Source'!X840&gt;=5,"A+",IF('Data Source'!X840&gt;=4,"A",IF('Data Source'!X840&gt;=3.5,"A-",IF('Data Source'!X840&gt;=3,"B",IF('Data Source'!X840&gt;=2,"C",IF('Data Source'!X840&gt;=1,"D","F")))))),"")</f>
        <v/>
      </c>
      <c r="G840" s="3">
        <f>IF(AND('Data Source'!B840&lt;&gt;"",'Data Source'!S840="A+"),IF('Data Source'!Y840&gt;=5,"A+",IF('Data Source'!Y840&gt;=4,"A",IF('Data Source'!Y840&gt;=3.5,"A-",IF('Data Source'!Y840&gt;=3,"B",IF('Data Source'!Y840&gt;=2,"C",IF('Data Source'!Y840&gt;=1,"D","F")))))),"")</f>
        <v/>
      </c>
      <c r="H840" s="3">
        <f>IF(AND('Data Source'!B840&lt;&gt;"",'Data Source'!S840="A+"),IF('Data Source'!Z840&gt;=5,"A+",IF('Data Source'!Z840&gt;=4,"A",IF('Data Source'!Z840&gt;=3.5,"A-",IF('Data Source'!Z840&gt;=3,"B",IF('Data Source'!Z840&gt;=2,"C",IF('Data Source'!Z840&gt;=1,"D","F")))))),"")</f>
        <v/>
      </c>
      <c r="I840" s="3">
        <f>IF(AND('Data Source'!B840&lt;&gt;"",'Data Source'!S840="A+"),IF('Data Source'!AA840&gt;=5,"A+",IF('Data Source'!AA840&gt;=4,"A",IF('Data Source'!AA840&gt;=3.5,"A-",IF('Data Source'!AA840&gt;=3,"B",IF('Data Source'!AA840&gt;=2,"C",IF('Data Source'!AA840&gt;=1,"D","F")))))),"")</f>
        <v/>
      </c>
      <c r="J840" s="3">
        <f>IF(AND('Data Source'!B840&lt;&gt;"",'Data Source'!S840="A+"),IF('Data Source'!AB840&gt;=5,"A+",IF('Data Source'!AB840&gt;=4,"A",IF('Data Source'!AB840&gt;=3.5,"A-",IF('Data Source'!AB840&gt;=3,"B",IF('Data Source'!AB840&gt;=2,"C",IF('Data Source'!AB840&gt;=1,"D","F")))))),"")</f>
        <v/>
      </c>
      <c r="K840" s="3">
        <f>IF(AND('Data Source'!B840&lt;&gt;"",'Data Source'!S840="A+"),IF('Data Source'!AC840&gt;=5,"A+",IF('Data Source'!AC840&gt;=4,"A",IF('Data Source'!AC840&gt;=3.5,"A-",IF('Data Source'!AC840&gt;=3,"B",IF('Data Source'!AC840&gt;=2,"C",IF('Data Source'!AC840&gt;=1,"D","F")))))),"")</f>
        <v/>
      </c>
      <c r="L840" s="3">
        <f>IF(AND('Data Source'!B840&lt;&gt;"",'Data Source'!S840="A+"),IF('Data Source'!AD840&gt;=5,"A+",IF('Data Source'!AD840&gt;=4,"A",IF('Data Source'!AD840&gt;=3.5,"A-",IF('Data Source'!AD840&gt;=3,"B",IF('Data Source'!AD840&gt;=2,"C",IF('Data Source'!AD840&gt;=1,"D","F")))))),"")</f>
        <v/>
      </c>
      <c r="M840" s="3">
        <f>IF(AND('Data Source'!B840&lt;&gt;"",'Data Source'!S840="A+"),IF('Data Source'!AE840&gt;=5,"A+",IF('Data Source'!AE840&gt;=4,"A",IF('Data Source'!AE840&gt;=3.5,"A-",IF('Data Source'!AE840&gt;=3,"B",IF('Data Source'!AE840&gt;=2,"C",IF('Data Source'!AE840&gt;=1,"D","F")))))),"")</f>
        <v/>
      </c>
      <c r="N840" s="3">
        <f>IF(AND('Data Source'!B840&lt;&gt;"",'Data Source'!S840="A+"),IF('Data Source'!AF840&gt;=5,"A+",IF('Data Source'!AF840&gt;=4,"A",IF('Data Source'!AF840&gt;=3.5,"A-",IF('Data Source'!AF840&gt;=3,"B",IF('Data Source'!AF840&gt;=2,"C",IF('Data Source'!AF840&gt;=1,"D","F")))))),"")</f>
        <v/>
      </c>
      <c r="O840" s="3">
        <f>IF(AND('Data Source'!B840&lt;&gt;"",'Data Source'!S840="A+"),IF('Data Source'!AG840&gt;=5,"A+",IF('Data Source'!AG840&gt;=4,"A",IF('Data Source'!AG840&gt;=3.5,"A-",IF('Data Source'!AG840&gt;=3,"B",IF('Data Source'!AG840&gt;=2,"C",IF('Data Source'!AG840&gt;=1,"D","F")))))),"")</f>
        <v/>
      </c>
      <c r="P840" s="5">
        <f>IF(AND('Data Source'!B840&lt;&gt;"",'Data Source'!S840="A+"),'Data Source'!R840,"")</f>
        <v/>
      </c>
      <c r="Q840" s="3">
        <f>IF(AND('Data Source'!B840&lt;&gt;"",'Data Source'!S840="A+"),'Data Source'!S840,"")</f>
        <v/>
      </c>
    </row>
    <row r="841">
      <c r="A841" s="3">
        <f>IF(AND('Data Source'!B841&lt;&gt;"",'Data Source'!S841="A+"),COUNTIF('Data Source'!$S$3:S841,"A+"),"")</f>
        <v/>
      </c>
      <c r="B841">
        <f>IF(AND('Data Source'!B841&lt;&gt;"",'Data Source'!S841="A+"),'Data Source'!B841,"")</f>
        <v/>
      </c>
      <c r="C841" s="3">
        <f>IF(AND('Data Source'!B841&lt;&gt;"",'Data Source'!S841="A+"),IF('Data Source'!U841&gt;=5,"A+",IF('Data Source'!U841&gt;=4,"A",IF('Data Source'!U841&gt;=3.5,"A-",IF('Data Source'!U841&gt;=3,"B",IF('Data Source'!U841&gt;=2,"C",IF('Data Source'!U841&gt;=1,"D","F")))))),"")</f>
        <v/>
      </c>
      <c r="D841" s="3">
        <f>IF(AND('Data Source'!B841&lt;&gt;"",'Data Source'!S841="A+"),IF('Data Source'!V841&gt;=5,"A+",IF('Data Source'!V841&gt;=4,"A",IF('Data Source'!V841&gt;=3.5,"A-",IF('Data Source'!V841&gt;=3,"B",IF('Data Source'!V841&gt;=2,"C",IF('Data Source'!V841&gt;=1,"D","F")))))),"")</f>
        <v/>
      </c>
      <c r="E841" s="3">
        <f>IF(AND('Data Source'!B841&lt;&gt;"",'Data Source'!S841="A+"),IF('Data Source'!W841&gt;=5,"A+",IF('Data Source'!W841&gt;=4,"A",IF('Data Source'!W841&gt;=3.5,"A-",IF('Data Source'!W841&gt;=3,"B",IF('Data Source'!W841&gt;=2,"C",IF('Data Source'!W841&gt;=1,"D","F")))))),"")</f>
        <v/>
      </c>
      <c r="F841" s="3">
        <f>IF(AND('Data Source'!B841&lt;&gt;"",'Data Source'!S841="A+"),IF('Data Source'!X841&gt;=5,"A+",IF('Data Source'!X841&gt;=4,"A",IF('Data Source'!X841&gt;=3.5,"A-",IF('Data Source'!X841&gt;=3,"B",IF('Data Source'!X841&gt;=2,"C",IF('Data Source'!X841&gt;=1,"D","F")))))),"")</f>
        <v/>
      </c>
      <c r="G841" s="3">
        <f>IF(AND('Data Source'!B841&lt;&gt;"",'Data Source'!S841="A+"),IF('Data Source'!Y841&gt;=5,"A+",IF('Data Source'!Y841&gt;=4,"A",IF('Data Source'!Y841&gt;=3.5,"A-",IF('Data Source'!Y841&gt;=3,"B",IF('Data Source'!Y841&gt;=2,"C",IF('Data Source'!Y841&gt;=1,"D","F")))))),"")</f>
        <v/>
      </c>
      <c r="H841" s="3">
        <f>IF(AND('Data Source'!B841&lt;&gt;"",'Data Source'!S841="A+"),IF('Data Source'!Z841&gt;=5,"A+",IF('Data Source'!Z841&gt;=4,"A",IF('Data Source'!Z841&gt;=3.5,"A-",IF('Data Source'!Z841&gt;=3,"B",IF('Data Source'!Z841&gt;=2,"C",IF('Data Source'!Z841&gt;=1,"D","F")))))),"")</f>
        <v/>
      </c>
      <c r="I841" s="3">
        <f>IF(AND('Data Source'!B841&lt;&gt;"",'Data Source'!S841="A+"),IF('Data Source'!AA841&gt;=5,"A+",IF('Data Source'!AA841&gt;=4,"A",IF('Data Source'!AA841&gt;=3.5,"A-",IF('Data Source'!AA841&gt;=3,"B",IF('Data Source'!AA841&gt;=2,"C",IF('Data Source'!AA841&gt;=1,"D","F")))))),"")</f>
        <v/>
      </c>
      <c r="J841" s="3">
        <f>IF(AND('Data Source'!B841&lt;&gt;"",'Data Source'!S841="A+"),IF('Data Source'!AB841&gt;=5,"A+",IF('Data Source'!AB841&gt;=4,"A",IF('Data Source'!AB841&gt;=3.5,"A-",IF('Data Source'!AB841&gt;=3,"B",IF('Data Source'!AB841&gt;=2,"C",IF('Data Source'!AB841&gt;=1,"D","F")))))),"")</f>
        <v/>
      </c>
      <c r="K841" s="3">
        <f>IF(AND('Data Source'!B841&lt;&gt;"",'Data Source'!S841="A+"),IF('Data Source'!AC841&gt;=5,"A+",IF('Data Source'!AC841&gt;=4,"A",IF('Data Source'!AC841&gt;=3.5,"A-",IF('Data Source'!AC841&gt;=3,"B",IF('Data Source'!AC841&gt;=2,"C",IF('Data Source'!AC841&gt;=1,"D","F")))))),"")</f>
        <v/>
      </c>
      <c r="L841" s="3">
        <f>IF(AND('Data Source'!B841&lt;&gt;"",'Data Source'!S841="A+"),IF('Data Source'!AD841&gt;=5,"A+",IF('Data Source'!AD841&gt;=4,"A",IF('Data Source'!AD841&gt;=3.5,"A-",IF('Data Source'!AD841&gt;=3,"B",IF('Data Source'!AD841&gt;=2,"C",IF('Data Source'!AD841&gt;=1,"D","F")))))),"")</f>
        <v/>
      </c>
      <c r="M841" s="3">
        <f>IF(AND('Data Source'!B841&lt;&gt;"",'Data Source'!S841="A+"),IF('Data Source'!AE841&gt;=5,"A+",IF('Data Source'!AE841&gt;=4,"A",IF('Data Source'!AE841&gt;=3.5,"A-",IF('Data Source'!AE841&gt;=3,"B",IF('Data Source'!AE841&gt;=2,"C",IF('Data Source'!AE841&gt;=1,"D","F")))))),"")</f>
        <v/>
      </c>
      <c r="N841" s="3">
        <f>IF(AND('Data Source'!B841&lt;&gt;"",'Data Source'!S841="A+"),IF('Data Source'!AF841&gt;=5,"A+",IF('Data Source'!AF841&gt;=4,"A",IF('Data Source'!AF841&gt;=3.5,"A-",IF('Data Source'!AF841&gt;=3,"B",IF('Data Source'!AF841&gt;=2,"C",IF('Data Source'!AF841&gt;=1,"D","F")))))),"")</f>
        <v/>
      </c>
      <c r="O841" s="3">
        <f>IF(AND('Data Source'!B841&lt;&gt;"",'Data Source'!S841="A+"),IF('Data Source'!AG841&gt;=5,"A+",IF('Data Source'!AG841&gt;=4,"A",IF('Data Source'!AG841&gt;=3.5,"A-",IF('Data Source'!AG841&gt;=3,"B",IF('Data Source'!AG841&gt;=2,"C",IF('Data Source'!AG841&gt;=1,"D","F")))))),"")</f>
        <v/>
      </c>
      <c r="P841" s="5">
        <f>IF(AND('Data Source'!B841&lt;&gt;"",'Data Source'!S841="A+"),'Data Source'!R841,"")</f>
        <v/>
      </c>
      <c r="Q841" s="3">
        <f>IF(AND('Data Source'!B841&lt;&gt;"",'Data Source'!S841="A+"),'Data Source'!S841,"")</f>
        <v/>
      </c>
    </row>
    <row r="842">
      <c r="A842" s="3">
        <f>IF(AND('Data Source'!B842&lt;&gt;"",'Data Source'!S842="A+"),COUNTIF('Data Source'!$S$3:S842,"A+"),"")</f>
        <v/>
      </c>
      <c r="B842">
        <f>IF(AND('Data Source'!B842&lt;&gt;"",'Data Source'!S842="A+"),'Data Source'!B842,"")</f>
        <v/>
      </c>
      <c r="C842" s="3">
        <f>IF(AND('Data Source'!B842&lt;&gt;"",'Data Source'!S842="A+"),IF('Data Source'!U842&gt;=5,"A+",IF('Data Source'!U842&gt;=4,"A",IF('Data Source'!U842&gt;=3.5,"A-",IF('Data Source'!U842&gt;=3,"B",IF('Data Source'!U842&gt;=2,"C",IF('Data Source'!U842&gt;=1,"D","F")))))),"")</f>
        <v/>
      </c>
      <c r="D842" s="3">
        <f>IF(AND('Data Source'!B842&lt;&gt;"",'Data Source'!S842="A+"),IF('Data Source'!V842&gt;=5,"A+",IF('Data Source'!V842&gt;=4,"A",IF('Data Source'!V842&gt;=3.5,"A-",IF('Data Source'!V842&gt;=3,"B",IF('Data Source'!V842&gt;=2,"C",IF('Data Source'!V842&gt;=1,"D","F")))))),"")</f>
        <v/>
      </c>
      <c r="E842" s="3">
        <f>IF(AND('Data Source'!B842&lt;&gt;"",'Data Source'!S842="A+"),IF('Data Source'!W842&gt;=5,"A+",IF('Data Source'!W842&gt;=4,"A",IF('Data Source'!W842&gt;=3.5,"A-",IF('Data Source'!W842&gt;=3,"B",IF('Data Source'!W842&gt;=2,"C",IF('Data Source'!W842&gt;=1,"D","F")))))),"")</f>
        <v/>
      </c>
      <c r="F842" s="3">
        <f>IF(AND('Data Source'!B842&lt;&gt;"",'Data Source'!S842="A+"),IF('Data Source'!X842&gt;=5,"A+",IF('Data Source'!X842&gt;=4,"A",IF('Data Source'!X842&gt;=3.5,"A-",IF('Data Source'!X842&gt;=3,"B",IF('Data Source'!X842&gt;=2,"C",IF('Data Source'!X842&gt;=1,"D","F")))))),"")</f>
        <v/>
      </c>
      <c r="G842" s="3">
        <f>IF(AND('Data Source'!B842&lt;&gt;"",'Data Source'!S842="A+"),IF('Data Source'!Y842&gt;=5,"A+",IF('Data Source'!Y842&gt;=4,"A",IF('Data Source'!Y842&gt;=3.5,"A-",IF('Data Source'!Y842&gt;=3,"B",IF('Data Source'!Y842&gt;=2,"C",IF('Data Source'!Y842&gt;=1,"D","F")))))),"")</f>
        <v/>
      </c>
      <c r="H842" s="3">
        <f>IF(AND('Data Source'!B842&lt;&gt;"",'Data Source'!S842="A+"),IF('Data Source'!Z842&gt;=5,"A+",IF('Data Source'!Z842&gt;=4,"A",IF('Data Source'!Z842&gt;=3.5,"A-",IF('Data Source'!Z842&gt;=3,"B",IF('Data Source'!Z842&gt;=2,"C",IF('Data Source'!Z842&gt;=1,"D","F")))))),"")</f>
        <v/>
      </c>
      <c r="I842" s="3">
        <f>IF(AND('Data Source'!B842&lt;&gt;"",'Data Source'!S842="A+"),IF('Data Source'!AA842&gt;=5,"A+",IF('Data Source'!AA842&gt;=4,"A",IF('Data Source'!AA842&gt;=3.5,"A-",IF('Data Source'!AA842&gt;=3,"B",IF('Data Source'!AA842&gt;=2,"C",IF('Data Source'!AA842&gt;=1,"D","F")))))),"")</f>
        <v/>
      </c>
      <c r="J842" s="3">
        <f>IF(AND('Data Source'!B842&lt;&gt;"",'Data Source'!S842="A+"),IF('Data Source'!AB842&gt;=5,"A+",IF('Data Source'!AB842&gt;=4,"A",IF('Data Source'!AB842&gt;=3.5,"A-",IF('Data Source'!AB842&gt;=3,"B",IF('Data Source'!AB842&gt;=2,"C",IF('Data Source'!AB842&gt;=1,"D","F")))))),"")</f>
        <v/>
      </c>
      <c r="K842" s="3">
        <f>IF(AND('Data Source'!B842&lt;&gt;"",'Data Source'!S842="A+"),IF('Data Source'!AC842&gt;=5,"A+",IF('Data Source'!AC842&gt;=4,"A",IF('Data Source'!AC842&gt;=3.5,"A-",IF('Data Source'!AC842&gt;=3,"B",IF('Data Source'!AC842&gt;=2,"C",IF('Data Source'!AC842&gt;=1,"D","F")))))),"")</f>
        <v/>
      </c>
      <c r="L842" s="3">
        <f>IF(AND('Data Source'!B842&lt;&gt;"",'Data Source'!S842="A+"),IF('Data Source'!AD842&gt;=5,"A+",IF('Data Source'!AD842&gt;=4,"A",IF('Data Source'!AD842&gt;=3.5,"A-",IF('Data Source'!AD842&gt;=3,"B",IF('Data Source'!AD842&gt;=2,"C",IF('Data Source'!AD842&gt;=1,"D","F")))))),"")</f>
        <v/>
      </c>
      <c r="M842" s="3">
        <f>IF(AND('Data Source'!B842&lt;&gt;"",'Data Source'!S842="A+"),IF('Data Source'!AE842&gt;=5,"A+",IF('Data Source'!AE842&gt;=4,"A",IF('Data Source'!AE842&gt;=3.5,"A-",IF('Data Source'!AE842&gt;=3,"B",IF('Data Source'!AE842&gt;=2,"C",IF('Data Source'!AE842&gt;=1,"D","F")))))),"")</f>
        <v/>
      </c>
      <c r="N842" s="3">
        <f>IF(AND('Data Source'!B842&lt;&gt;"",'Data Source'!S842="A+"),IF('Data Source'!AF842&gt;=5,"A+",IF('Data Source'!AF842&gt;=4,"A",IF('Data Source'!AF842&gt;=3.5,"A-",IF('Data Source'!AF842&gt;=3,"B",IF('Data Source'!AF842&gt;=2,"C",IF('Data Source'!AF842&gt;=1,"D","F")))))),"")</f>
        <v/>
      </c>
      <c r="O842" s="3">
        <f>IF(AND('Data Source'!B842&lt;&gt;"",'Data Source'!S842="A+"),IF('Data Source'!AG842&gt;=5,"A+",IF('Data Source'!AG842&gt;=4,"A",IF('Data Source'!AG842&gt;=3.5,"A-",IF('Data Source'!AG842&gt;=3,"B",IF('Data Source'!AG842&gt;=2,"C",IF('Data Source'!AG842&gt;=1,"D","F")))))),"")</f>
        <v/>
      </c>
      <c r="P842" s="5">
        <f>IF(AND('Data Source'!B842&lt;&gt;"",'Data Source'!S842="A+"),'Data Source'!R842,"")</f>
        <v/>
      </c>
      <c r="Q842" s="3">
        <f>IF(AND('Data Source'!B842&lt;&gt;"",'Data Source'!S842="A+"),'Data Source'!S842,"")</f>
        <v/>
      </c>
    </row>
    <row r="843">
      <c r="A843" s="3">
        <f>IF(AND('Data Source'!B843&lt;&gt;"",'Data Source'!S843="A+"),COUNTIF('Data Source'!$S$3:S843,"A+"),"")</f>
        <v/>
      </c>
      <c r="B843">
        <f>IF(AND('Data Source'!B843&lt;&gt;"",'Data Source'!S843="A+"),'Data Source'!B843,"")</f>
        <v/>
      </c>
      <c r="C843" s="3">
        <f>IF(AND('Data Source'!B843&lt;&gt;"",'Data Source'!S843="A+"),IF('Data Source'!U843&gt;=5,"A+",IF('Data Source'!U843&gt;=4,"A",IF('Data Source'!U843&gt;=3.5,"A-",IF('Data Source'!U843&gt;=3,"B",IF('Data Source'!U843&gt;=2,"C",IF('Data Source'!U843&gt;=1,"D","F")))))),"")</f>
        <v/>
      </c>
      <c r="D843" s="3">
        <f>IF(AND('Data Source'!B843&lt;&gt;"",'Data Source'!S843="A+"),IF('Data Source'!V843&gt;=5,"A+",IF('Data Source'!V843&gt;=4,"A",IF('Data Source'!V843&gt;=3.5,"A-",IF('Data Source'!V843&gt;=3,"B",IF('Data Source'!V843&gt;=2,"C",IF('Data Source'!V843&gt;=1,"D","F")))))),"")</f>
        <v/>
      </c>
      <c r="E843" s="3">
        <f>IF(AND('Data Source'!B843&lt;&gt;"",'Data Source'!S843="A+"),IF('Data Source'!W843&gt;=5,"A+",IF('Data Source'!W843&gt;=4,"A",IF('Data Source'!W843&gt;=3.5,"A-",IF('Data Source'!W843&gt;=3,"B",IF('Data Source'!W843&gt;=2,"C",IF('Data Source'!W843&gt;=1,"D","F")))))),"")</f>
        <v/>
      </c>
      <c r="F843" s="3">
        <f>IF(AND('Data Source'!B843&lt;&gt;"",'Data Source'!S843="A+"),IF('Data Source'!X843&gt;=5,"A+",IF('Data Source'!X843&gt;=4,"A",IF('Data Source'!X843&gt;=3.5,"A-",IF('Data Source'!X843&gt;=3,"B",IF('Data Source'!X843&gt;=2,"C",IF('Data Source'!X843&gt;=1,"D","F")))))),"")</f>
        <v/>
      </c>
      <c r="G843" s="3">
        <f>IF(AND('Data Source'!B843&lt;&gt;"",'Data Source'!S843="A+"),IF('Data Source'!Y843&gt;=5,"A+",IF('Data Source'!Y843&gt;=4,"A",IF('Data Source'!Y843&gt;=3.5,"A-",IF('Data Source'!Y843&gt;=3,"B",IF('Data Source'!Y843&gt;=2,"C",IF('Data Source'!Y843&gt;=1,"D","F")))))),"")</f>
        <v/>
      </c>
      <c r="H843" s="3">
        <f>IF(AND('Data Source'!B843&lt;&gt;"",'Data Source'!S843="A+"),IF('Data Source'!Z843&gt;=5,"A+",IF('Data Source'!Z843&gt;=4,"A",IF('Data Source'!Z843&gt;=3.5,"A-",IF('Data Source'!Z843&gt;=3,"B",IF('Data Source'!Z843&gt;=2,"C",IF('Data Source'!Z843&gt;=1,"D","F")))))),"")</f>
        <v/>
      </c>
      <c r="I843" s="3">
        <f>IF(AND('Data Source'!B843&lt;&gt;"",'Data Source'!S843="A+"),IF('Data Source'!AA843&gt;=5,"A+",IF('Data Source'!AA843&gt;=4,"A",IF('Data Source'!AA843&gt;=3.5,"A-",IF('Data Source'!AA843&gt;=3,"B",IF('Data Source'!AA843&gt;=2,"C",IF('Data Source'!AA843&gt;=1,"D","F")))))),"")</f>
        <v/>
      </c>
      <c r="J843" s="3">
        <f>IF(AND('Data Source'!B843&lt;&gt;"",'Data Source'!S843="A+"),IF('Data Source'!AB843&gt;=5,"A+",IF('Data Source'!AB843&gt;=4,"A",IF('Data Source'!AB843&gt;=3.5,"A-",IF('Data Source'!AB843&gt;=3,"B",IF('Data Source'!AB843&gt;=2,"C",IF('Data Source'!AB843&gt;=1,"D","F")))))),"")</f>
        <v/>
      </c>
      <c r="K843" s="3">
        <f>IF(AND('Data Source'!B843&lt;&gt;"",'Data Source'!S843="A+"),IF('Data Source'!AC843&gt;=5,"A+",IF('Data Source'!AC843&gt;=4,"A",IF('Data Source'!AC843&gt;=3.5,"A-",IF('Data Source'!AC843&gt;=3,"B",IF('Data Source'!AC843&gt;=2,"C",IF('Data Source'!AC843&gt;=1,"D","F")))))),"")</f>
        <v/>
      </c>
      <c r="L843" s="3">
        <f>IF(AND('Data Source'!B843&lt;&gt;"",'Data Source'!S843="A+"),IF('Data Source'!AD843&gt;=5,"A+",IF('Data Source'!AD843&gt;=4,"A",IF('Data Source'!AD843&gt;=3.5,"A-",IF('Data Source'!AD843&gt;=3,"B",IF('Data Source'!AD843&gt;=2,"C",IF('Data Source'!AD843&gt;=1,"D","F")))))),"")</f>
        <v/>
      </c>
      <c r="M843" s="3">
        <f>IF(AND('Data Source'!B843&lt;&gt;"",'Data Source'!S843="A+"),IF('Data Source'!AE843&gt;=5,"A+",IF('Data Source'!AE843&gt;=4,"A",IF('Data Source'!AE843&gt;=3.5,"A-",IF('Data Source'!AE843&gt;=3,"B",IF('Data Source'!AE843&gt;=2,"C",IF('Data Source'!AE843&gt;=1,"D","F")))))),"")</f>
        <v/>
      </c>
      <c r="N843" s="3">
        <f>IF(AND('Data Source'!B843&lt;&gt;"",'Data Source'!S843="A+"),IF('Data Source'!AF843&gt;=5,"A+",IF('Data Source'!AF843&gt;=4,"A",IF('Data Source'!AF843&gt;=3.5,"A-",IF('Data Source'!AF843&gt;=3,"B",IF('Data Source'!AF843&gt;=2,"C",IF('Data Source'!AF843&gt;=1,"D","F")))))),"")</f>
        <v/>
      </c>
      <c r="O843" s="3">
        <f>IF(AND('Data Source'!B843&lt;&gt;"",'Data Source'!S843="A+"),IF('Data Source'!AG843&gt;=5,"A+",IF('Data Source'!AG843&gt;=4,"A",IF('Data Source'!AG843&gt;=3.5,"A-",IF('Data Source'!AG843&gt;=3,"B",IF('Data Source'!AG843&gt;=2,"C",IF('Data Source'!AG843&gt;=1,"D","F")))))),"")</f>
        <v/>
      </c>
      <c r="P843" s="5">
        <f>IF(AND('Data Source'!B843&lt;&gt;"",'Data Source'!S843="A+"),'Data Source'!R843,"")</f>
        <v/>
      </c>
      <c r="Q843" s="3">
        <f>IF(AND('Data Source'!B843&lt;&gt;"",'Data Source'!S843="A+"),'Data Source'!S843,"")</f>
        <v/>
      </c>
    </row>
    <row r="844">
      <c r="A844" s="3">
        <f>IF(AND('Data Source'!B844&lt;&gt;"",'Data Source'!S844="A+"),COUNTIF('Data Source'!$S$3:S844,"A+"),"")</f>
        <v/>
      </c>
      <c r="B844">
        <f>IF(AND('Data Source'!B844&lt;&gt;"",'Data Source'!S844="A+"),'Data Source'!B844,"")</f>
        <v/>
      </c>
      <c r="C844" s="3">
        <f>IF(AND('Data Source'!B844&lt;&gt;"",'Data Source'!S844="A+"),IF('Data Source'!U844&gt;=5,"A+",IF('Data Source'!U844&gt;=4,"A",IF('Data Source'!U844&gt;=3.5,"A-",IF('Data Source'!U844&gt;=3,"B",IF('Data Source'!U844&gt;=2,"C",IF('Data Source'!U844&gt;=1,"D","F")))))),"")</f>
        <v/>
      </c>
      <c r="D844" s="3">
        <f>IF(AND('Data Source'!B844&lt;&gt;"",'Data Source'!S844="A+"),IF('Data Source'!V844&gt;=5,"A+",IF('Data Source'!V844&gt;=4,"A",IF('Data Source'!V844&gt;=3.5,"A-",IF('Data Source'!V844&gt;=3,"B",IF('Data Source'!V844&gt;=2,"C",IF('Data Source'!V844&gt;=1,"D","F")))))),"")</f>
        <v/>
      </c>
      <c r="E844" s="3">
        <f>IF(AND('Data Source'!B844&lt;&gt;"",'Data Source'!S844="A+"),IF('Data Source'!W844&gt;=5,"A+",IF('Data Source'!W844&gt;=4,"A",IF('Data Source'!W844&gt;=3.5,"A-",IF('Data Source'!W844&gt;=3,"B",IF('Data Source'!W844&gt;=2,"C",IF('Data Source'!W844&gt;=1,"D","F")))))),"")</f>
        <v/>
      </c>
      <c r="F844" s="3">
        <f>IF(AND('Data Source'!B844&lt;&gt;"",'Data Source'!S844="A+"),IF('Data Source'!X844&gt;=5,"A+",IF('Data Source'!X844&gt;=4,"A",IF('Data Source'!X844&gt;=3.5,"A-",IF('Data Source'!X844&gt;=3,"B",IF('Data Source'!X844&gt;=2,"C",IF('Data Source'!X844&gt;=1,"D","F")))))),"")</f>
        <v/>
      </c>
      <c r="G844" s="3">
        <f>IF(AND('Data Source'!B844&lt;&gt;"",'Data Source'!S844="A+"),IF('Data Source'!Y844&gt;=5,"A+",IF('Data Source'!Y844&gt;=4,"A",IF('Data Source'!Y844&gt;=3.5,"A-",IF('Data Source'!Y844&gt;=3,"B",IF('Data Source'!Y844&gt;=2,"C",IF('Data Source'!Y844&gt;=1,"D","F")))))),"")</f>
        <v/>
      </c>
      <c r="H844" s="3">
        <f>IF(AND('Data Source'!B844&lt;&gt;"",'Data Source'!S844="A+"),IF('Data Source'!Z844&gt;=5,"A+",IF('Data Source'!Z844&gt;=4,"A",IF('Data Source'!Z844&gt;=3.5,"A-",IF('Data Source'!Z844&gt;=3,"B",IF('Data Source'!Z844&gt;=2,"C",IF('Data Source'!Z844&gt;=1,"D","F")))))),"")</f>
        <v/>
      </c>
      <c r="I844" s="3">
        <f>IF(AND('Data Source'!B844&lt;&gt;"",'Data Source'!S844="A+"),IF('Data Source'!AA844&gt;=5,"A+",IF('Data Source'!AA844&gt;=4,"A",IF('Data Source'!AA844&gt;=3.5,"A-",IF('Data Source'!AA844&gt;=3,"B",IF('Data Source'!AA844&gt;=2,"C",IF('Data Source'!AA844&gt;=1,"D","F")))))),"")</f>
        <v/>
      </c>
      <c r="J844" s="3">
        <f>IF(AND('Data Source'!B844&lt;&gt;"",'Data Source'!S844="A+"),IF('Data Source'!AB844&gt;=5,"A+",IF('Data Source'!AB844&gt;=4,"A",IF('Data Source'!AB844&gt;=3.5,"A-",IF('Data Source'!AB844&gt;=3,"B",IF('Data Source'!AB844&gt;=2,"C",IF('Data Source'!AB844&gt;=1,"D","F")))))),"")</f>
        <v/>
      </c>
      <c r="K844" s="3">
        <f>IF(AND('Data Source'!B844&lt;&gt;"",'Data Source'!S844="A+"),IF('Data Source'!AC844&gt;=5,"A+",IF('Data Source'!AC844&gt;=4,"A",IF('Data Source'!AC844&gt;=3.5,"A-",IF('Data Source'!AC844&gt;=3,"B",IF('Data Source'!AC844&gt;=2,"C",IF('Data Source'!AC844&gt;=1,"D","F")))))),"")</f>
        <v/>
      </c>
      <c r="L844" s="3">
        <f>IF(AND('Data Source'!B844&lt;&gt;"",'Data Source'!S844="A+"),IF('Data Source'!AD844&gt;=5,"A+",IF('Data Source'!AD844&gt;=4,"A",IF('Data Source'!AD844&gt;=3.5,"A-",IF('Data Source'!AD844&gt;=3,"B",IF('Data Source'!AD844&gt;=2,"C",IF('Data Source'!AD844&gt;=1,"D","F")))))),"")</f>
        <v/>
      </c>
      <c r="M844" s="3">
        <f>IF(AND('Data Source'!B844&lt;&gt;"",'Data Source'!S844="A+"),IF('Data Source'!AE844&gt;=5,"A+",IF('Data Source'!AE844&gt;=4,"A",IF('Data Source'!AE844&gt;=3.5,"A-",IF('Data Source'!AE844&gt;=3,"B",IF('Data Source'!AE844&gt;=2,"C",IF('Data Source'!AE844&gt;=1,"D","F")))))),"")</f>
        <v/>
      </c>
      <c r="N844" s="3">
        <f>IF(AND('Data Source'!B844&lt;&gt;"",'Data Source'!S844="A+"),IF('Data Source'!AF844&gt;=5,"A+",IF('Data Source'!AF844&gt;=4,"A",IF('Data Source'!AF844&gt;=3.5,"A-",IF('Data Source'!AF844&gt;=3,"B",IF('Data Source'!AF844&gt;=2,"C",IF('Data Source'!AF844&gt;=1,"D","F")))))),"")</f>
        <v/>
      </c>
      <c r="O844" s="3">
        <f>IF(AND('Data Source'!B844&lt;&gt;"",'Data Source'!S844="A+"),IF('Data Source'!AG844&gt;=5,"A+",IF('Data Source'!AG844&gt;=4,"A",IF('Data Source'!AG844&gt;=3.5,"A-",IF('Data Source'!AG844&gt;=3,"B",IF('Data Source'!AG844&gt;=2,"C",IF('Data Source'!AG844&gt;=1,"D","F")))))),"")</f>
        <v/>
      </c>
      <c r="P844" s="5">
        <f>IF(AND('Data Source'!B844&lt;&gt;"",'Data Source'!S844="A+"),'Data Source'!R844,"")</f>
        <v/>
      </c>
      <c r="Q844" s="3">
        <f>IF(AND('Data Source'!B844&lt;&gt;"",'Data Source'!S844="A+"),'Data Source'!S844,"")</f>
        <v/>
      </c>
    </row>
    <row r="845">
      <c r="A845" s="3">
        <f>IF(AND('Data Source'!B845&lt;&gt;"",'Data Source'!S845="A+"),COUNTIF('Data Source'!$S$3:S845,"A+"),"")</f>
        <v/>
      </c>
      <c r="B845">
        <f>IF(AND('Data Source'!B845&lt;&gt;"",'Data Source'!S845="A+"),'Data Source'!B845,"")</f>
        <v/>
      </c>
      <c r="C845" s="3">
        <f>IF(AND('Data Source'!B845&lt;&gt;"",'Data Source'!S845="A+"),IF('Data Source'!U845&gt;=5,"A+",IF('Data Source'!U845&gt;=4,"A",IF('Data Source'!U845&gt;=3.5,"A-",IF('Data Source'!U845&gt;=3,"B",IF('Data Source'!U845&gt;=2,"C",IF('Data Source'!U845&gt;=1,"D","F")))))),"")</f>
        <v/>
      </c>
      <c r="D845" s="3">
        <f>IF(AND('Data Source'!B845&lt;&gt;"",'Data Source'!S845="A+"),IF('Data Source'!V845&gt;=5,"A+",IF('Data Source'!V845&gt;=4,"A",IF('Data Source'!V845&gt;=3.5,"A-",IF('Data Source'!V845&gt;=3,"B",IF('Data Source'!V845&gt;=2,"C",IF('Data Source'!V845&gt;=1,"D","F")))))),"")</f>
        <v/>
      </c>
      <c r="E845" s="3">
        <f>IF(AND('Data Source'!B845&lt;&gt;"",'Data Source'!S845="A+"),IF('Data Source'!W845&gt;=5,"A+",IF('Data Source'!W845&gt;=4,"A",IF('Data Source'!W845&gt;=3.5,"A-",IF('Data Source'!W845&gt;=3,"B",IF('Data Source'!W845&gt;=2,"C",IF('Data Source'!W845&gt;=1,"D","F")))))),"")</f>
        <v/>
      </c>
      <c r="F845" s="3">
        <f>IF(AND('Data Source'!B845&lt;&gt;"",'Data Source'!S845="A+"),IF('Data Source'!X845&gt;=5,"A+",IF('Data Source'!X845&gt;=4,"A",IF('Data Source'!X845&gt;=3.5,"A-",IF('Data Source'!X845&gt;=3,"B",IF('Data Source'!X845&gt;=2,"C",IF('Data Source'!X845&gt;=1,"D","F")))))),"")</f>
        <v/>
      </c>
      <c r="G845" s="3">
        <f>IF(AND('Data Source'!B845&lt;&gt;"",'Data Source'!S845="A+"),IF('Data Source'!Y845&gt;=5,"A+",IF('Data Source'!Y845&gt;=4,"A",IF('Data Source'!Y845&gt;=3.5,"A-",IF('Data Source'!Y845&gt;=3,"B",IF('Data Source'!Y845&gt;=2,"C",IF('Data Source'!Y845&gt;=1,"D","F")))))),"")</f>
        <v/>
      </c>
      <c r="H845" s="3">
        <f>IF(AND('Data Source'!B845&lt;&gt;"",'Data Source'!S845="A+"),IF('Data Source'!Z845&gt;=5,"A+",IF('Data Source'!Z845&gt;=4,"A",IF('Data Source'!Z845&gt;=3.5,"A-",IF('Data Source'!Z845&gt;=3,"B",IF('Data Source'!Z845&gt;=2,"C",IF('Data Source'!Z845&gt;=1,"D","F")))))),"")</f>
        <v/>
      </c>
      <c r="I845" s="3">
        <f>IF(AND('Data Source'!B845&lt;&gt;"",'Data Source'!S845="A+"),IF('Data Source'!AA845&gt;=5,"A+",IF('Data Source'!AA845&gt;=4,"A",IF('Data Source'!AA845&gt;=3.5,"A-",IF('Data Source'!AA845&gt;=3,"B",IF('Data Source'!AA845&gt;=2,"C",IF('Data Source'!AA845&gt;=1,"D","F")))))),"")</f>
        <v/>
      </c>
      <c r="J845" s="3">
        <f>IF(AND('Data Source'!B845&lt;&gt;"",'Data Source'!S845="A+"),IF('Data Source'!AB845&gt;=5,"A+",IF('Data Source'!AB845&gt;=4,"A",IF('Data Source'!AB845&gt;=3.5,"A-",IF('Data Source'!AB845&gt;=3,"B",IF('Data Source'!AB845&gt;=2,"C",IF('Data Source'!AB845&gt;=1,"D","F")))))),"")</f>
        <v/>
      </c>
      <c r="K845" s="3">
        <f>IF(AND('Data Source'!B845&lt;&gt;"",'Data Source'!S845="A+"),IF('Data Source'!AC845&gt;=5,"A+",IF('Data Source'!AC845&gt;=4,"A",IF('Data Source'!AC845&gt;=3.5,"A-",IF('Data Source'!AC845&gt;=3,"B",IF('Data Source'!AC845&gt;=2,"C",IF('Data Source'!AC845&gt;=1,"D","F")))))),"")</f>
        <v/>
      </c>
      <c r="L845" s="3">
        <f>IF(AND('Data Source'!B845&lt;&gt;"",'Data Source'!S845="A+"),IF('Data Source'!AD845&gt;=5,"A+",IF('Data Source'!AD845&gt;=4,"A",IF('Data Source'!AD845&gt;=3.5,"A-",IF('Data Source'!AD845&gt;=3,"B",IF('Data Source'!AD845&gt;=2,"C",IF('Data Source'!AD845&gt;=1,"D","F")))))),"")</f>
        <v/>
      </c>
      <c r="M845" s="3">
        <f>IF(AND('Data Source'!B845&lt;&gt;"",'Data Source'!S845="A+"),IF('Data Source'!AE845&gt;=5,"A+",IF('Data Source'!AE845&gt;=4,"A",IF('Data Source'!AE845&gt;=3.5,"A-",IF('Data Source'!AE845&gt;=3,"B",IF('Data Source'!AE845&gt;=2,"C",IF('Data Source'!AE845&gt;=1,"D","F")))))),"")</f>
        <v/>
      </c>
      <c r="N845" s="3">
        <f>IF(AND('Data Source'!B845&lt;&gt;"",'Data Source'!S845="A+"),IF('Data Source'!AF845&gt;=5,"A+",IF('Data Source'!AF845&gt;=4,"A",IF('Data Source'!AF845&gt;=3.5,"A-",IF('Data Source'!AF845&gt;=3,"B",IF('Data Source'!AF845&gt;=2,"C",IF('Data Source'!AF845&gt;=1,"D","F")))))),"")</f>
        <v/>
      </c>
      <c r="O845" s="3">
        <f>IF(AND('Data Source'!B845&lt;&gt;"",'Data Source'!S845="A+"),IF('Data Source'!AG845&gt;=5,"A+",IF('Data Source'!AG845&gt;=4,"A",IF('Data Source'!AG845&gt;=3.5,"A-",IF('Data Source'!AG845&gt;=3,"B",IF('Data Source'!AG845&gt;=2,"C",IF('Data Source'!AG845&gt;=1,"D","F")))))),"")</f>
        <v/>
      </c>
      <c r="P845" s="5">
        <f>IF(AND('Data Source'!B845&lt;&gt;"",'Data Source'!S845="A+"),'Data Source'!R845,"")</f>
        <v/>
      </c>
      <c r="Q845" s="3">
        <f>IF(AND('Data Source'!B845&lt;&gt;"",'Data Source'!S845="A+"),'Data Source'!S845,"")</f>
        <v/>
      </c>
    </row>
    <row r="846">
      <c r="A846" s="3">
        <f>IF(AND('Data Source'!B846&lt;&gt;"",'Data Source'!S846="A+"),COUNTIF('Data Source'!$S$3:S846,"A+"),"")</f>
        <v/>
      </c>
      <c r="B846">
        <f>IF(AND('Data Source'!B846&lt;&gt;"",'Data Source'!S846="A+"),'Data Source'!B846,"")</f>
        <v/>
      </c>
      <c r="C846" s="3">
        <f>IF(AND('Data Source'!B846&lt;&gt;"",'Data Source'!S846="A+"),IF('Data Source'!U846&gt;=5,"A+",IF('Data Source'!U846&gt;=4,"A",IF('Data Source'!U846&gt;=3.5,"A-",IF('Data Source'!U846&gt;=3,"B",IF('Data Source'!U846&gt;=2,"C",IF('Data Source'!U846&gt;=1,"D","F")))))),"")</f>
        <v/>
      </c>
      <c r="D846" s="3">
        <f>IF(AND('Data Source'!B846&lt;&gt;"",'Data Source'!S846="A+"),IF('Data Source'!V846&gt;=5,"A+",IF('Data Source'!V846&gt;=4,"A",IF('Data Source'!V846&gt;=3.5,"A-",IF('Data Source'!V846&gt;=3,"B",IF('Data Source'!V846&gt;=2,"C",IF('Data Source'!V846&gt;=1,"D","F")))))),"")</f>
        <v/>
      </c>
      <c r="E846" s="3">
        <f>IF(AND('Data Source'!B846&lt;&gt;"",'Data Source'!S846="A+"),IF('Data Source'!W846&gt;=5,"A+",IF('Data Source'!W846&gt;=4,"A",IF('Data Source'!W846&gt;=3.5,"A-",IF('Data Source'!W846&gt;=3,"B",IF('Data Source'!W846&gt;=2,"C",IF('Data Source'!W846&gt;=1,"D","F")))))),"")</f>
        <v/>
      </c>
      <c r="F846" s="3">
        <f>IF(AND('Data Source'!B846&lt;&gt;"",'Data Source'!S846="A+"),IF('Data Source'!X846&gt;=5,"A+",IF('Data Source'!X846&gt;=4,"A",IF('Data Source'!X846&gt;=3.5,"A-",IF('Data Source'!X846&gt;=3,"B",IF('Data Source'!X846&gt;=2,"C",IF('Data Source'!X846&gt;=1,"D","F")))))),"")</f>
        <v/>
      </c>
      <c r="G846" s="3">
        <f>IF(AND('Data Source'!B846&lt;&gt;"",'Data Source'!S846="A+"),IF('Data Source'!Y846&gt;=5,"A+",IF('Data Source'!Y846&gt;=4,"A",IF('Data Source'!Y846&gt;=3.5,"A-",IF('Data Source'!Y846&gt;=3,"B",IF('Data Source'!Y846&gt;=2,"C",IF('Data Source'!Y846&gt;=1,"D","F")))))),"")</f>
        <v/>
      </c>
      <c r="H846" s="3">
        <f>IF(AND('Data Source'!B846&lt;&gt;"",'Data Source'!S846="A+"),IF('Data Source'!Z846&gt;=5,"A+",IF('Data Source'!Z846&gt;=4,"A",IF('Data Source'!Z846&gt;=3.5,"A-",IF('Data Source'!Z846&gt;=3,"B",IF('Data Source'!Z846&gt;=2,"C",IF('Data Source'!Z846&gt;=1,"D","F")))))),"")</f>
        <v/>
      </c>
      <c r="I846" s="3">
        <f>IF(AND('Data Source'!B846&lt;&gt;"",'Data Source'!S846="A+"),IF('Data Source'!AA846&gt;=5,"A+",IF('Data Source'!AA846&gt;=4,"A",IF('Data Source'!AA846&gt;=3.5,"A-",IF('Data Source'!AA846&gt;=3,"B",IF('Data Source'!AA846&gt;=2,"C",IF('Data Source'!AA846&gt;=1,"D","F")))))),"")</f>
        <v/>
      </c>
      <c r="J846" s="3">
        <f>IF(AND('Data Source'!B846&lt;&gt;"",'Data Source'!S846="A+"),IF('Data Source'!AB846&gt;=5,"A+",IF('Data Source'!AB846&gt;=4,"A",IF('Data Source'!AB846&gt;=3.5,"A-",IF('Data Source'!AB846&gt;=3,"B",IF('Data Source'!AB846&gt;=2,"C",IF('Data Source'!AB846&gt;=1,"D","F")))))),"")</f>
        <v/>
      </c>
      <c r="K846" s="3">
        <f>IF(AND('Data Source'!B846&lt;&gt;"",'Data Source'!S846="A+"),IF('Data Source'!AC846&gt;=5,"A+",IF('Data Source'!AC846&gt;=4,"A",IF('Data Source'!AC846&gt;=3.5,"A-",IF('Data Source'!AC846&gt;=3,"B",IF('Data Source'!AC846&gt;=2,"C",IF('Data Source'!AC846&gt;=1,"D","F")))))),"")</f>
        <v/>
      </c>
      <c r="L846" s="3">
        <f>IF(AND('Data Source'!B846&lt;&gt;"",'Data Source'!S846="A+"),IF('Data Source'!AD846&gt;=5,"A+",IF('Data Source'!AD846&gt;=4,"A",IF('Data Source'!AD846&gt;=3.5,"A-",IF('Data Source'!AD846&gt;=3,"B",IF('Data Source'!AD846&gt;=2,"C",IF('Data Source'!AD846&gt;=1,"D","F")))))),"")</f>
        <v/>
      </c>
      <c r="M846" s="3">
        <f>IF(AND('Data Source'!B846&lt;&gt;"",'Data Source'!S846="A+"),IF('Data Source'!AE846&gt;=5,"A+",IF('Data Source'!AE846&gt;=4,"A",IF('Data Source'!AE846&gt;=3.5,"A-",IF('Data Source'!AE846&gt;=3,"B",IF('Data Source'!AE846&gt;=2,"C",IF('Data Source'!AE846&gt;=1,"D","F")))))),"")</f>
        <v/>
      </c>
      <c r="N846" s="3">
        <f>IF(AND('Data Source'!B846&lt;&gt;"",'Data Source'!S846="A+"),IF('Data Source'!AF846&gt;=5,"A+",IF('Data Source'!AF846&gt;=4,"A",IF('Data Source'!AF846&gt;=3.5,"A-",IF('Data Source'!AF846&gt;=3,"B",IF('Data Source'!AF846&gt;=2,"C",IF('Data Source'!AF846&gt;=1,"D","F")))))),"")</f>
        <v/>
      </c>
      <c r="O846" s="3">
        <f>IF(AND('Data Source'!B846&lt;&gt;"",'Data Source'!S846="A+"),IF('Data Source'!AG846&gt;=5,"A+",IF('Data Source'!AG846&gt;=4,"A",IF('Data Source'!AG846&gt;=3.5,"A-",IF('Data Source'!AG846&gt;=3,"B",IF('Data Source'!AG846&gt;=2,"C",IF('Data Source'!AG846&gt;=1,"D","F")))))),"")</f>
        <v/>
      </c>
      <c r="P846" s="5">
        <f>IF(AND('Data Source'!B846&lt;&gt;"",'Data Source'!S846="A+"),'Data Source'!R846,"")</f>
        <v/>
      </c>
      <c r="Q846" s="3">
        <f>IF(AND('Data Source'!B846&lt;&gt;"",'Data Source'!S846="A+"),'Data Source'!S846,"")</f>
        <v/>
      </c>
    </row>
    <row r="847">
      <c r="A847" s="3">
        <f>IF(AND('Data Source'!B847&lt;&gt;"",'Data Source'!S847="A+"),COUNTIF('Data Source'!$S$3:S847,"A+"),"")</f>
        <v/>
      </c>
      <c r="B847">
        <f>IF(AND('Data Source'!B847&lt;&gt;"",'Data Source'!S847="A+"),'Data Source'!B847,"")</f>
        <v/>
      </c>
      <c r="C847" s="3">
        <f>IF(AND('Data Source'!B847&lt;&gt;"",'Data Source'!S847="A+"),IF('Data Source'!U847&gt;=5,"A+",IF('Data Source'!U847&gt;=4,"A",IF('Data Source'!U847&gt;=3.5,"A-",IF('Data Source'!U847&gt;=3,"B",IF('Data Source'!U847&gt;=2,"C",IF('Data Source'!U847&gt;=1,"D","F")))))),"")</f>
        <v/>
      </c>
      <c r="D847" s="3">
        <f>IF(AND('Data Source'!B847&lt;&gt;"",'Data Source'!S847="A+"),IF('Data Source'!V847&gt;=5,"A+",IF('Data Source'!V847&gt;=4,"A",IF('Data Source'!V847&gt;=3.5,"A-",IF('Data Source'!V847&gt;=3,"B",IF('Data Source'!V847&gt;=2,"C",IF('Data Source'!V847&gt;=1,"D","F")))))),"")</f>
        <v/>
      </c>
      <c r="E847" s="3">
        <f>IF(AND('Data Source'!B847&lt;&gt;"",'Data Source'!S847="A+"),IF('Data Source'!W847&gt;=5,"A+",IF('Data Source'!W847&gt;=4,"A",IF('Data Source'!W847&gt;=3.5,"A-",IF('Data Source'!W847&gt;=3,"B",IF('Data Source'!W847&gt;=2,"C",IF('Data Source'!W847&gt;=1,"D","F")))))),"")</f>
        <v/>
      </c>
      <c r="F847" s="3">
        <f>IF(AND('Data Source'!B847&lt;&gt;"",'Data Source'!S847="A+"),IF('Data Source'!X847&gt;=5,"A+",IF('Data Source'!X847&gt;=4,"A",IF('Data Source'!X847&gt;=3.5,"A-",IF('Data Source'!X847&gt;=3,"B",IF('Data Source'!X847&gt;=2,"C",IF('Data Source'!X847&gt;=1,"D","F")))))),"")</f>
        <v/>
      </c>
      <c r="G847" s="3">
        <f>IF(AND('Data Source'!B847&lt;&gt;"",'Data Source'!S847="A+"),IF('Data Source'!Y847&gt;=5,"A+",IF('Data Source'!Y847&gt;=4,"A",IF('Data Source'!Y847&gt;=3.5,"A-",IF('Data Source'!Y847&gt;=3,"B",IF('Data Source'!Y847&gt;=2,"C",IF('Data Source'!Y847&gt;=1,"D","F")))))),"")</f>
        <v/>
      </c>
      <c r="H847" s="3">
        <f>IF(AND('Data Source'!B847&lt;&gt;"",'Data Source'!S847="A+"),IF('Data Source'!Z847&gt;=5,"A+",IF('Data Source'!Z847&gt;=4,"A",IF('Data Source'!Z847&gt;=3.5,"A-",IF('Data Source'!Z847&gt;=3,"B",IF('Data Source'!Z847&gt;=2,"C",IF('Data Source'!Z847&gt;=1,"D","F")))))),"")</f>
        <v/>
      </c>
      <c r="I847" s="3">
        <f>IF(AND('Data Source'!B847&lt;&gt;"",'Data Source'!S847="A+"),IF('Data Source'!AA847&gt;=5,"A+",IF('Data Source'!AA847&gt;=4,"A",IF('Data Source'!AA847&gt;=3.5,"A-",IF('Data Source'!AA847&gt;=3,"B",IF('Data Source'!AA847&gt;=2,"C",IF('Data Source'!AA847&gt;=1,"D","F")))))),"")</f>
        <v/>
      </c>
      <c r="J847" s="3">
        <f>IF(AND('Data Source'!B847&lt;&gt;"",'Data Source'!S847="A+"),IF('Data Source'!AB847&gt;=5,"A+",IF('Data Source'!AB847&gt;=4,"A",IF('Data Source'!AB847&gt;=3.5,"A-",IF('Data Source'!AB847&gt;=3,"B",IF('Data Source'!AB847&gt;=2,"C",IF('Data Source'!AB847&gt;=1,"D","F")))))),"")</f>
        <v/>
      </c>
      <c r="K847" s="3">
        <f>IF(AND('Data Source'!B847&lt;&gt;"",'Data Source'!S847="A+"),IF('Data Source'!AC847&gt;=5,"A+",IF('Data Source'!AC847&gt;=4,"A",IF('Data Source'!AC847&gt;=3.5,"A-",IF('Data Source'!AC847&gt;=3,"B",IF('Data Source'!AC847&gt;=2,"C",IF('Data Source'!AC847&gt;=1,"D","F")))))),"")</f>
        <v/>
      </c>
      <c r="L847" s="3">
        <f>IF(AND('Data Source'!B847&lt;&gt;"",'Data Source'!S847="A+"),IF('Data Source'!AD847&gt;=5,"A+",IF('Data Source'!AD847&gt;=4,"A",IF('Data Source'!AD847&gt;=3.5,"A-",IF('Data Source'!AD847&gt;=3,"B",IF('Data Source'!AD847&gt;=2,"C",IF('Data Source'!AD847&gt;=1,"D","F")))))),"")</f>
        <v/>
      </c>
      <c r="M847" s="3">
        <f>IF(AND('Data Source'!B847&lt;&gt;"",'Data Source'!S847="A+"),IF('Data Source'!AE847&gt;=5,"A+",IF('Data Source'!AE847&gt;=4,"A",IF('Data Source'!AE847&gt;=3.5,"A-",IF('Data Source'!AE847&gt;=3,"B",IF('Data Source'!AE847&gt;=2,"C",IF('Data Source'!AE847&gt;=1,"D","F")))))),"")</f>
        <v/>
      </c>
      <c r="N847" s="3">
        <f>IF(AND('Data Source'!B847&lt;&gt;"",'Data Source'!S847="A+"),IF('Data Source'!AF847&gt;=5,"A+",IF('Data Source'!AF847&gt;=4,"A",IF('Data Source'!AF847&gt;=3.5,"A-",IF('Data Source'!AF847&gt;=3,"B",IF('Data Source'!AF847&gt;=2,"C",IF('Data Source'!AF847&gt;=1,"D","F")))))),"")</f>
        <v/>
      </c>
      <c r="O847" s="3">
        <f>IF(AND('Data Source'!B847&lt;&gt;"",'Data Source'!S847="A+"),IF('Data Source'!AG847&gt;=5,"A+",IF('Data Source'!AG847&gt;=4,"A",IF('Data Source'!AG847&gt;=3.5,"A-",IF('Data Source'!AG847&gt;=3,"B",IF('Data Source'!AG847&gt;=2,"C",IF('Data Source'!AG847&gt;=1,"D","F")))))),"")</f>
        <v/>
      </c>
      <c r="P847" s="5">
        <f>IF(AND('Data Source'!B847&lt;&gt;"",'Data Source'!S847="A+"),'Data Source'!R847,"")</f>
        <v/>
      </c>
      <c r="Q847" s="3">
        <f>IF(AND('Data Source'!B847&lt;&gt;"",'Data Source'!S847="A+"),'Data Source'!S847,"")</f>
        <v/>
      </c>
    </row>
    <row r="848">
      <c r="A848" s="3">
        <f>IF(AND('Data Source'!B848&lt;&gt;"",'Data Source'!S848="A+"),COUNTIF('Data Source'!$S$3:S848,"A+"),"")</f>
        <v/>
      </c>
      <c r="B848">
        <f>IF(AND('Data Source'!B848&lt;&gt;"",'Data Source'!S848="A+"),'Data Source'!B848,"")</f>
        <v/>
      </c>
      <c r="C848" s="3">
        <f>IF(AND('Data Source'!B848&lt;&gt;"",'Data Source'!S848="A+"),IF('Data Source'!U848&gt;=5,"A+",IF('Data Source'!U848&gt;=4,"A",IF('Data Source'!U848&gt;=3.5,"A-",IF('Data Source'!U848&gt;=3,"B",IF('Data Source'!U848&gt;=2,"C",IF('Data Source'!U848&gt;=1,"D","F")))))),"")</f>
        <v/>
      </c>
      <c r="D848" s="3">
        <f>IF(AND('Data Source'!B848&lt;&gt;"",'Data Source'!S848="A+"),IF('Data Source'!V848&gt;=5,"A+",IF('Data Source'!V848&gt;=4,"A",IF('Data Source'!V848&gt;=3.5,"A-",IF('Data Source'!V848&gt;=3,"B",IF('Data Source'!V848&gt;=2,"C",IF('Data Source'!V848&gt;=1,"D","F")))))),"")</f>
        <v/>
      </c>
      <c r="E848" s="3">
        <f>IF(AND('Data Source'!B848&lt;&gt;"",'Data Source'!S848="A+"),IF('Data Source'!W848&gt;=5,"A+",IF('Data Source'!W848&gt;=4,"A",IF('Data Source'!W848&gt;=3.5,"A-",IF('Data Source'!W848&gt;=3,"B",IF('Data Source'!W848&gt;=2,"C",IF('Data Source'!W848&gt;=1,"D","F")))))),"")</f>
        <v/>
      </c>
      <c r="F848" s="3">
        <f>IF(AND('Data Source'!B848&lt;&gt;"",'Data Source'!S848="A+"),IF('Data Source'!X848&gt;=5,"A+",IF('Data Source'!X848&gt;=4,"A",IF('Data Source'!X848&gt;=3.5,"A-",IF('Data Source'!X848&gt;=3,"B",IF('Data Source'!X848&gt;=2,"C",IF('Data Source'!X848&gt;=1,"D","F")))))),"")</f>
        <v/>
      </c>
      <c r="G848" s="3">
        <f>IF(AND('Data Source'!B848&lt;&gt;"",'Data Source'!S848="A+"),IF('Data Source'!Y848&gt;=5,"A+",IF('Data Source'!Y848&gt;=4,"A",IF('Data Source'!Y848&gt;=3.5,"A-",IF('Data Source'!Y848&gt;=3,"B",IF('Data Source'!Y848&gt;=2,"C",IF('Data Source'!Y848&gt;=1,"D","F")))))),"")</f>
        <v/>
      </c>
      <c r="H848" s="3">
        <f>IF(AND('Data Source'!B848&lt;&gt;"",'Data Source'!S848="A+"),IF('Data Source'!Z848&gt;=5,"A+",IF('Data Source'!Z848&gt;=4,"A",IF('Data Source'!Z848&gt;=3.5,"A-",IF('Data Source'!Z848&gt;=3,"B",IF('Data Source'!Z848&gt;=2,"C",IF('Data Source'!Z848&gt;=1,"D","F")))))),"")</f>
        <v/>
      </c>
      <c r="I848" s="3">
        <f>IF(AND('Data Source'!B848&lt;&gt;"",'Data Source'!S848="A+"),IF('Data Source'!AA848&gt;=5,"A+",IF('Data Source'!AA848&gt;=4,"A",IF('Data Source'!AA848&gt;=3.5,"A-",IF('Data Source'!AA848&gt;=3,"B",IF('Data Source'!AA848&gt;=2,"C",IF('Data Source'!AA848&gt;=1,"D","F")))))),"")</f>
        <v/>
      </c>
      <c r="J848" s="3">
        <f>IF(AND('Data Source'!B848&lt;&gt;"",'Data Source'!S848="A+"),IF('Data Source'!AB848&gt;=5,"A+",IF('Data Source'!AB848&gt;=4,"A",IF('Data Source'!AB848&gt;=3.5,"A-",IF('Data Source'!AB848&gt;=3,"B",IF('Data Source'!AB848&gt;=2,"C",IF('Data Source'!AB848&gt;=1,"D","F")))))),"")</f>
        <v/>
      </c>
      <c r="K848" s="3">
        <f>IF(AND('Data Source'!B848&lt;&gt;"",'Data Source'!S848="A+"),IF('Data Source'!AC848&gt;=5,"A+",IF('Data Source'!AC848&gt;=4,"A",IF('Data Source'!AC848&gt;=3.5,"A-",IF('Data Source'!AC848&gt;=3,"B",IF('Data Source'!AC848&gt;=2,"C",IF('Data Source'!AC848&gt;=1,"D","F")))))),"")</f>
        <v/>
      </c>
      <c r="L848" s="3">
        <f>IF(AND('Data Source'!B848&lt;&gt;"",'Data Source'!S848="A+"),IF('Data Source'!AD848&gt;=5,"A+",IF('Data Source'!AD848&gt;=4,"A",IF('Data Source'!AD848&gt;=3.5,"A-",IF('Data Source'!AD848&gt;=3,"B",IF('Data Source'!AD848&gt;=2,"C",IF('Data Source'!AD848&gt;=1,"D","F")))))),"")</f>
        <v/>
      </c>
      <c r="M848" s="3">
        <f>IF(AND('Data Source'!B848&lt;&gt;"",'Data Source'!S848="A+"),IF('Data Source'!AE848&gt;=5,"A+",IF('Data Source'!AE848&gt;=4,"A",IF('Data Source'!AE848&gt;=3.5,"A-",IF('Data Source'!AE848&gt;=3,"B",IF('Data Source'!AE848&gt;=2,"C",IF('Data Source'!AE848&gt;=1,"D","F")))))),"")</f>
        <v/>
      </c>
      <c r="N848" s="3">
        <f>IF(AND('Data Source'!B848&lt;&gt;"",'Data Source'!S848="A+"),IF('Data Source'!AF848&gt;=5,"A+",IF('Data Source'!AF848&gt;=4,"A",IF('Data Source'!AF848&gt;=3.5,"A-",IF('Data Source'!AF848&gt;=3,"B",IF('Data Source'!AF848&gt;=2,"C",IF('Data Source'!AF848&gt;=1,"D","F")))))),"")</f>
        <v/>
      </c>
      <c r="O848" s="3">
        <f>IF(AND('Data Source'!B848&lt;&gt;"",'Data Source'!S848="A+"),IF('Data Source'!AG848&gt;=5,"A+",IF('Data Source'!AG848&gt;=4,"A",IF('Data Source'!AG848&gt;=3.5,"A-",IF('Data Source'!AG848&gt;=3,"B",IF('Data Source'!AG848&gt;=2,"C",IF('Data Source'!AG848&gt;=1,"D","F")))))),"")</f>
        <v/>
      </c>
      <c r="P848" s="5">
        <f>IF(AND('Data Source'!B848&lt;&gt;"",'Data Source'!S848="A+"),'Data Source'!R848,"")</f>
        <v/>
      </c>
      <c r="Q848" s="3">
        <f>IF(AND('Data Source'!B848&lt;&gt;"",'Data Source'!S848="A+"),'Data Source'!S848,"")</f>
        <v/>
      </c>
    </row>
    <row r="849">
      <c r="A849" s="3">
        <f>IF(AND('Data Source'!B849&lt;&gt;"",'Data Source'!S849="A+"),COUNTIF('Data Source'!$S$3:S849,"A+"),"")</f>
        <v/>
      </c>
      <c r="B849">
        <f>IF(AND('Data Source'!B849&lt;&gt;"",'Data Source'!S849="A+"),'Data Source'!B849,"")</f>
        <v/>
      </c>
      <c r="C849" s="3">
        <f>IF(AND('Data Source'!B849&lt;&gt;"",'Data Source'!S849="A+"),IF('Data Source'!U849&gt;=5,"A+",IF('Data Source'!U849&gt;=4,"A",IF('Data Source'!U849&gt;=3.5,"A-",IF('Data Source'!U849&gt;=3,"B",IF('Data Source'!U849&gt;=2,"C",IF('Data Source'!U849&gt;=1,"D","F")))))),"")</f>
        <v/>
      </c>
      <c r="D849" s="3">
        <f>IF(AND('Data Source'!B849&lt;&gt;"",'Data Source'!S849="A+"),IF('Data Source'!V849&gt;=5,"A+",IF('Data Source'!V849&gt;=4,"A",IF('Data Source'!V849&gt;=3.5,"A-",IF('Data Source'!V849&gt;=3,"B",IF('Data Source'!V849&gt;=2,"C",IF('Data Source'!V849&gt;=1,"D","F")))))),"")</f>
        <v/>
      </c>
      <c r="E849" s="3">
        <f>IF(AND('Data Source'!B849&lt;&gt;"",'Data Source'!S849="A+"),IF('Data Source'!W849&gt;=5,"A+",IF('Data Source'!W849&gt;=4,"A",IF('Data Source'!W849&gt;=3.5,"A-",IF('Data Source'!W849&gt;=3,"B",IF('Data Source'!W849&gt;=2,"C",IF('Data Source'!W849&gt;=1,"D","F")))))),"")</f>
        <v/>
      </c>
      <c r="F849" s="3">
        <f>IF(AND('Data Source'!B849&lt;&gt;"",'Data Source'!S849="A+"),IF('Data Source'!X849&gt;=5,"A+",IF('Data Source'!X849&gt;=4,"A",IF('Data Source'!X849&gt;=3.5,"A-",IF('Data Source'!X849&gt;=3,"B",IF('Data Source'!X849&gt;=2,"C",IF('Data Source'!X849&gt;=1,"D","F")))))),"")</f>
        <v/>
      </c>
      <c r="G849" s="3">
        <f>IF(AND('Data Source'!B849&lt;&gt;"",'Data Source'!S849="A+"),IF('Data Source'!Y849&gt;=5,"A+",IF('Data Source'!Y849&gt;=4,"A",IF('Data Source'!Y849&gt;=3.5,"A-",IF('Data Source'!Y849&gt;=3,"B",IF('Data Source'!Y849&gt;=2,"C",IF('Data Source'!Y849&gt;=1,"D","F")))))),"")</f>
        <v/>
      </c>
      <c r="H849" s="3">
        <f>IF(AND('Data Source'!B849&lt;&gt;"",'Data Source'!S849="A+"),IF('Data Source'!Z849&gt;=5,"A+",IF('Data Source'!Z849&gt;=4,"A",IF('Data Source'!Z849&gt;=3.5,"A-",IF('Data Source'!Z849&gt;=3,"B",IF('Data Source'!Z849&gt;=2,"C",IF('Data Source'!Z849&gt;=1,"D","F")))))),"")</f>
        <v/>
      </c>
      <c r="I849" s="3">
        <f>IF(AND('Data Source'!B849&lt;&gt;"",'Data Source'!S849="A+"),IF('Data Source'!AA849&gt;=5,"A+",IF('Data Source'!AA849&gt;=4,"A",IF('Data Source'!AA849&gt;=3.5,"A-",IF('Data Source'!AA849&gt;=3,"B",IF('Data Source'!AA849&gt;=2,"C",IF('Data Source'!AA849&gt;=1,"D","F")))))),"")</f>
        <v/>
      </c>
      <c r="J849" s="3">
        <f>IF(AND('Data Source'!B849&lt;&gt;"",'Data Source'!S849="A+"),IF('Data Source'!AB849&gt;=5,"A+",IF('Data Source'!AB849&gt;=4,"A",IF('Data Source'!AB849&gt;=3.5,"A-",IF('Data Source'!AB849&gt;=3,"B",IF('Data Source'!AB849&gt;=2,"C",IF('Data Source'!AB849&gt;=1,"D","F")))))),"")</f>
        <v/>
      </c>
      <c r="K849" s="3">
        <f>IF(AND('Data Source'!B849&lt;&gt;"",'Data Source'!S849="A+"),IF('Data Source'!AC849&gt;=5,"A+",IF('Data Source'!AC849&gt;=4,"A",IF('Data Source'!AC849&gt;=3.5,"A-",IF('Data Source'!AC849&gt;=3,"B",IF('Data Source'!AC849&gt;=2,"C",IF('Data Source'!AC849&gt;=1,"D","F")))))),"")</f>
        <v/>
      </c>
      <c r="L849" s="3">
        <f>IF(AND('Data Source'!B849&lt;&gt;"",'Data Source'!S849="A+"),IF('Data Source'!AD849&gt;=5,"A+",IF('Data Source'!AD849&gt;=4,"A",IF('Data Source'!AD849&gt;=3.5,"A-",IF('Data Source'!AD849&gt;=3,"B",IF('Data Source'!AD849&gt;=2,"C",IF('Data Source'!AD849&gt;=1,"D","F")))))),"")</f>
        <v/>
      </c>
      <c r="M849" s="3">
        <f>IF(AND('Data Source'!B849&lt;&gt;"",'Data Source'!S849="A+"),IF('Data Source'!AE849&gt;=5,"A+",IF('Data Source'!AE849&gt;=4,"A",IF('Data Source'!AE849&gt;=3.5,"A-",IF('Data Source'!AE849&gt;=3,"B",IF('Data Source'!AE849&gt;=2,"C",IF('Data Source'!AE849&gt;=1,"D","F")))))),"")</f>
        <v/>
      </c>
      <c r="N849" s="3">
        <f>IF(AND('Data Source'!B849&lt;&gt;"",'Data Source'!S849="A+"),IF('Data Source'!AF849&gt;=5,"A+",IF('Data Source'!AF849&gt;=4,"A",IF('Data Source'!AF849&gt;=3.5,"A-",IF('Data Source'!AF849&gt;=3,"B",IF('Data Source'!AF849&gt;=2,"C",IF('Data Source'!AF849&gt;=1,"D","F")))))),"")</f>
        <v/>
      </c>
      <c r="O849" s="3">
        <f>IF(AND('Data Source'!B849&lt;&gt;"",'Data Source'!S849="A+"),IF('Data Source'!AG849&gt;=5,"A+",IF('Data Source'!AG849&gt;=4,"A",IF('Data Source'!AG849&gt;=3.5,"A-",IF('Data Source'!AG849&gt;=3,"B",IF('Data Source'!AG849&gt;=2,"C",IF('Data Source'!AG849&gt;=1,"D","F")))))),"")</f>
        <v/>
      </c>
      <c r="P849" s="5">
        <f>IF(AND('Data Source'!B849&lt;&gt;"",'Data Source'!S849="A+"),'Data Source'!R849,"")</f>
        <v/>
      </c>
      <c r="Q849" s="3">
        <f>IF(AND('Data Source'!B849&lt;&gt;"",'Data Source'!S849="A+"),'Data Source'!S849,"")</f>
        <v/>
      </c>
    </row>
    <row r="850">
      <c r="A850" s="3">
        <f>IF(AND('Data Source'!B850&lt;&gt;"",'Data Source'!S850="A+"),COUNTIF('Data Source'!$S$3:S850,"A+"),"")</f>
        <v/>
      </c>
      <c r="B850">
        <f>IF(AND('Data Source'!B850&lt;&gt;"",'Data Source'!S850="A+"),'Data Source'!B850,"")</f>
        <v/>
      </c>
      <c r="C850" s="3">
        <f>IF(AND('Data Source'!B850&lt;&gt;"",'Data Source'!S850="A+"),IF('Data Source'!U850&gt;=5,"A+",IF('Data Source'!U850&gt;=4,"A",IF('Data Source'!U850&gt;=3.5,"A-",IF('Data Source'!U850&gt;=3,"B",IF('Data Source'!U850&gt;=2,"C",IF('Data Source'!U850&gt;=1,"D","F")))))),"")</f>
        <v/>
      </c>
      <c r="D850" s="3">
        <f>IF(AND('Data Source'!B850&lt;&gt;"",'Data Source'!S850="A+"),IF('Data Source'!V850&gt;=5,"A+",IF('Data Source'!V850&gt;=4,"A",IF('Data Source'!V850&gt;=3.5,"A-",IF('Data Source'!V850&gt;=3,"B",IF('Data Source'!V850&gt;=2,"C",IF('Data Source'!V850&gt;=1,"D","F")))))),"")</f>
        <v/>
      </c>
      <c r="E850" s="3">
        <f>IF(AND('Data Source'!B850&lt;&gt;"",'Data Source'!S850="A+"),IF('Data Source'!W850&gt;=5,"A+",IF('Data Source'!W850&gt;=4,"A",IF('Data Source'!W850&gt;=3.5,"A-",IF('Data Source'!W850&gt;=3,"B",IF('Data Source'!W850&gt;=2,"C",IF('Data Source'!W850&gt;=1,"D","F")))))),"")</f>
        <v/>
      </c>
      <c r="F850" s="3">
        <f>IF(AND('Data Source'!B850&lt;&gt;"",'Data Source'!S850="A+"),IF('Data Source'!X850&gt;=5,"A+",IF('Data Source'!X850&gt;=4,"A",IF('Data Source'!X850&gt;=3.5,"A-",IF('Data Source'!X850&gt;=3,"B",IF('Data Source'!X850&gt;=2,"C",IF('Data Source'!X850&gt;=1,"D","F")))))),"")</f>
        <v/>
      </c>
      <c r="G850" s="3">
        <f>IF(AND('Data Source'!B850&lt;&gt;"",'Data Source'!S850="A+"),IF('Data Source'!Y850&gt;=5,"A+",IF('Data Source'!Y850&gt;=4,"A",IF('Data Source'!Y850&gt;=3.5,"A-",IF('Data Source'!Y850&gt;=3,"B",IF('Data Source'!Y850&gt;=2,"C",IF('Data Source'!Y850&gt;=1,"D","F")))))),"")</f>
        <v/>
      </c>
      <c r="H850" s="3">
        <f>IF(AND('Data Source'!B850&lt;&gt;"",'Data Source'!S850="A+"),IF('Data Source'!Z850&gt;=5,"A+",IF('Data Source'!Z850&gt;=4,"A",IF('Data Source'!Z850&gt;=3.5,"A-",IF('Data Source'!Z850&gt;=3,"B",IF('Data Source'!Z850&gt;=2,"C",IF('Data Source'!Z850&gt;=1,"D","F")))))),"")</f>
        <v/>
      </c>
      <c r="I850" s="3">
        <f>IF(AND('Data Source'!B850&lt;&gt;"",'Data Source'!S850="A+"),IF('Data Source'!AA850&gt;=5,"A+",IF('Data Source'!AA850&gt;=4,"A",IF('Data Source'!AA850&gt;=3.5,"A-",IF('Data Source'!AA850&gt;=3,"B",IF('Data Source'!AA850&gt;=2,"C",IF('Data Source'!AA850&gt;=1,"D","F")))))),"")</f>
        <v/>
      </c>
      <c r="J850" s="3">
        <f>IF(AND('Data Source'!B850&lt;&gt;"",'Data Source'!S850="A+"),IF('Data Source'!AB850&gt;=5,"A+",IF('Data Source'!AB850&gt;=4,"A",IF('Data Source'!AB850&gt;=3.5,"A-",IF('Data Source'!AB850&gt;=3,"B",IF('Data Source'!AB850&gt;=2,"C",IF('Data Source'!AB850&gt;=1,"D","F")))))),"")</f>
        <v/>
      </c>
      <c r="K850" s="3">
        <f>IF(AND('Data Source'!B850&lt;&gt;"",'Data Source'!S850="A+"),IF('Data Source'!AC850&gt;=5,"A+",IF('Data Source'!AC850&gt;=4,"A",IF('Data Source'!AC850&gt;=3.5,"A-",IF('Data Source'!AC850&gt;=3,"B",IF('Data Source'!AC850&gt;=2,"C",IF('Data Source'!AC850&gt;=1,"D","F")))))),"")</f>
        <v/>
      </c>
      <c r="L850" s="3">
        <f>IF(AND('Data Source'!B850&lt;&gt;"",'Data Source'!S850="A+"),IF('Data Source'!AD850&gt;=5,"A+",IF('Data Source'!AD850&gt;=4,"A",IF('Data Source'!AD850&gt;=3.5,"A-",IF('Data Source'!AD850&gt;=3,"B",IF('Data Source'!AD850&gt;=2,"C",IF('Data Source'!AD850&gt;=1,"D","F")))))),"")</f>
        <v/>
      </c>
      <c r="M850" s="3">
        <f>IF(AND('Data Source'!B850&lt;&gt;"",'Data Source'!S850="A+"),IF('Data Source'!AE850&gt;=5,"A+",IF('Data Source'!AE850&gt;=4,"A",IF('Data Source'!AE850&gt;=3.5,"A-",IF('Data Source'!AE850&gt;=3,"B",IF('Data Source'!AE850&gt;=2,"C",IF('Data Source'!AE850&gt;=1,"D","F")))))),"")</f>
        <v/>
      </c>
      <c r="N850" s="3">
        <f>IF(AND('Data Source'!B850&lt;&gt;"",'Data Source'!S850="A+"),IF('Data Source'!AF850&gt;=5,"A+",IF('Data Source'!AF850&gt;=4,"A",IF('Data Source'!AF850&gt;=3.5,"A-",IF('Data Source'!AF850&gt;=3,"B",IF('Data Source'!AF850&gt;=2,"C",IF('Data Source'!AF850&gt;=1,"D","F")))))),"")</f>
        <v/>
      </c>
      <c r="O850" s="3">
        <f>IF(AND('Data Source'!B850&lt;&gt;"",'Data Source'!S850="A+"),IF('Data Source'!AG850&gt;=5,"A+",IF('Data Source'!AG850&gt;=4,"A",IF('Data Source'!AG850&gt;=3.5,"A-",IF('Data Source'!AG850&gt;=3,"B",IF('Data Source'!AG850&gt;=2,"C",IF('Data Source'!AG850&gt;=1,"D","F")))))),"")</f>
        <v/>
      </c>
      <c r="P850" s="5">
        <f>IF(AND('Data Source'!B850&lt;&gt;"",'Data Source'!S850="A+"),'Data Source'!R850,"")</f>
        <v/>
      </c>
      <c r="Q850" s="3">
        <f>IF(AND('Data Source'!B850&lt;&gt;"",'Data Source'!S850="A+"),'Data Source'!S850,"")</f>
        <v/>
      </c>
    </row>
    <row r="851">
      <c r="A851" s="3">
        <f>IF(AND('Data Source'!B851&lt;&gt;"",'Data Source'!S851="A+"),COUNTIF('Data Source'!$S$3:S851,"A+"),"")</f>
        <v/>
      </c>
      <c r="B851">
        <f>IF(AND('Data Source'!B851&lt;&gt;"",'Data Source'!S851="A+"),'Data Source'!B851,"")</f>
        <v/>
      </c>
      <c r="C851" s="3">
        <f>IF(AND('Data Source'!B851&lt;&gt;"",'Data Source'!S851="A+"),IF('Data Source'!U851&gt;=5,"A+",IF('Data Source'!U851&gt;=4,"A",IF('Data Source'!U851&gt;=3.5,"A-",IF('Data Source'!U851&gt;=3,"B",IF('Data Source'!U851&gt;=2,"C",IF('Data Source'!U851&gt;=1,"D","F")))))),"")</f>
        <v/>
      </c>
      <c r="D851" s="3">
        <f>IF(AND('Data Source'!B851&lt;&gt;"",'Data Source'!S851="A+"),IF('Data Source'!V851&gt;=5,"A+",IF('Data Source'!V851&gt;=4,"A",IF('Data Source'!V851&gt;=3.5,"A-",IF('Data Source'!V851&gt;=3,"B",IF('Data Source'!V851&gt;=2,"C",IF('Data Source'!V851&gt;=1,"D","F")))))),"")</f>
        <v/>
      </c>
      <c r="E851" s="3">
        <f>IF(AND('Data Source'!B851&lt;&gt;"",'Data Source'!S851="A+"),IF('Data Source'!W851&gt;=5,"A+",IF('Data Source'!W851&gt;=4,"A",IF('Data Source'!W851&gt;=3.5,"A-",IF('Data Source'!W851&gt;=3,"B",IF('Data Source'!W851&gt;=2,"C",IF('Data Source'!W851&gt;=1,"D","F")))))),"")</f>
        <v/>
      </c>
      <c r="F851" s="3">
        <f>IF(AND('Data Source'!B851&lt;&gt;"",'Data Source'!S851="A+"),IF('Data Source'!X851&gt;=5,"A+",IF('Data Source'!X851&gt;=4,"A",IF('Data Source'!X851&gt;=3.5,"A-",IF('Data Source'!X851&gt;=3,"B",IF('Data Source'!X851&gt;=2,"C",IF('Data Source'!X851&gt;=1,"D","F")))))),"")</f>
        <v/>
      </c>
      <c r="G851" s="3">
        <f>IF(AND('Data Source'!B851&lt;&gt;"",'Data Source'!S851="A+"),IF('Data Source'!Y851&gt;=5,"A+",IF('Data Source'!Y851&gt;=4,"A",IF('Data Source'!Y851&gt;=3.5,"A-",IF('Data Source'!Y851&gt;=3,"B",IF('Data Source'!Y851&gt;=2,"C",IF('Data Source'!Y851&gt;=1,"D","F")))))),"")</f>
        <v/>
      </c>
      <c r="H851" s="3">
        <f>IF(AND('Data Source'!B851&lt;&gt;"",'Data Source'!S851="A+"),IF('Data Source'!Z851&gt;=5,"A+",IF('Data Source'!Z851&gt;=4,"A",IF('Data Source'!Z851&gt;=3.5,"A-",IF('Data Source'!Z851&gt;=3,"B",IF('Data Source'!Z851&gt;=2,"C",IF('Data Source'!Z851&gt;=1,"D","F")))))),"")</f>
        <v/>
      </c>
      <c r="I851" s="3">
        <f>IF(AND('Data Source'!B851&lt;&gt;"",'Data Source'!S851="A+"),IF('Data Source'!AA851&gt;=5,"A+",IF('Data Source'!AA851&gt;=4,"A",IF('Data Source'!AA851&gt;=3.5,"A-",IF('Data Source'!AA851&gt;=3,"B",IF('Data Source'!AA851&gt;=2,"C",IF('Data Source'!AA851&gt;=1,"D","F")))))),"")</f>
        <v/>
      </c>
      <c r="J851" s="3">
        <f>IF(AND('Data Source'!B851&lt;&gt;"",'Data Source'!S851="A+"),IF('Data Source'!AB851&gt;=5,"A+",IF('Data Source'!AB851&gt;=4,"A",IF('Data Source'!AB851&gt;=3.5,"A-",IF('Data Source'!AB851&gt;=3,"B",IF('Data Source'!AB851&gt;=2,"C",IF('Data Source'!AB851&gt;=1,"D","F")))))),"")</f>
        <v/>
      </c>
      <c r="K851" s="3">
        <f>IF(AND('Data Source'!B851&lt;&gt;"",'Data Source'!S851="A+"),IF('Data Source'!AC851&gt;=5,"A+",IF('Data Source'!AC851&gt;=4,"A",IF('Data Source'!AC851&gt;=3.5,"A-",IF('Data Source'!AC851&gt;=3,"B",IF('Data Source'!AC851&gt;=2,"C",IF('Data Source'!AC851&gt;=1,"D","F")))))),"")</f>
        <v/>
      </c>
      <c r="L851" s="3">
        <f>IF(AND('Data Source'!B851&lt;&gt;"",'Data Source'!S851="A+"),IF('Data Source'!AD851&gt;=5,"A+",IF('Data Source'!AD851&gt;=4,"A",IF('Data Source'!AD851&gt;=3.5,"A-",IF('Data Source'!AD851&gt;=3,"B",IF('Data Source'!AD851&gt;=2,"C",IF('Data Source'!AD851&gt;=1,"D","F")))))),"")</f>
        <v/>
      </c>
      <c r="M851" s="3">
        <f>IF(AND('Data Source'!B851&lt;&gt;"",'Data Source'!S851="A+"),IF('Data Source'!AE851&gt;=5,"A+",IF('Data Source'!AE851&gt;=4,"A",IF('Data Source'!AE851&gt;=3.5,"A-",IF('Data Source'!AE851&gt;=3,"B",IF('Data Source'!AE851&gt;=2,"C",IF('Data Source'!AE851&gt;=1,"D","F")))))),"")</f>
        <v/>
      </c>
      <c r="N851" s="3">
        <f>IF(AND('Data Source'!B851&lt;&gt;"",'Data Source'!S851="A+"),IF('Data Source'!AF851&gt;=5,"A+",IF('Data Source'!AF851&gt;=4,"A",IF('Data Source'!AF851&gt;=3.5,"A-",IF('Data Source'!AF851&gt;=3,"B",IF('Data Source'!AF851&gt;=2,"C",IF('Data Source'!AF851&gt;=1,"D","F")))))),"")</f>
        <v/>
      </c>
      <c r="O851" s="3">
        <f>IF(AND('Data Source'!B851&lt;&gt;"",'Data Source'!S851="A+"),IF('Data Source'!AG851&gt;=5,"A+",IF('Data Source'!AG851&gt;=4,"A",IF('Data Source'!AG851&gt;=3.5,"A-",IF('Data Source'!AG851&gt;=3,"B",IF('Data Source'!AG851&gt;=2,"C",IF('Data Source'!AG851&gt;=1,"D","F")))))),"")</f>
        <v/>
      </c>
      <c r="P851" s="5">
        <f>IF(AND('Data Source'!B851&lt;&gt;"",'Data Source'!S851="A+"),'Data Source'!R851,"")</f>
        <v/>
      </c>
      <c r="Q851" s="3">
        <f>IF(AND('Data Source'!B851&lt;&gt;"",'Data Source'!S851="A+"),'Data Source'!S851,"")</f>
        <v/>
      </c>
    </row>
    <row r="852">
      <c r="A852" s="3">
        <f>IF(AND('Data Source'!B852&lt;&gt;"",'Data Source'!S852="A+"),COUNTIF('Data Source'!$S$3:S852,"A+"),"")</f>
        <v/>
      </c>
      <c r="B852">
        <f>IF(AND('Data Source'!B852&lt;&gt;"",'Data Source'!S852="A+"),'Data Source'!B852,"")</f>
        <v/>
      </c>
      <c r="C852" s="3">
        <f>IF(AND('Data Source'!B852&lt;&gt;"",'Data Source'!S852="A+"),IF('Data Source'!U852&gt;=5,"A+",IF('Data Source'!U852&gt;=4,"A",IF('Data Source'!U852&gt;=3.5,"A-",IF('Data Source'!U852&gt;=3,"B",IF('Data Source'!U852&gt;=2,"C",IF('Data Source'!U852&gt;=1,"D","F")))))),"")</f>
        <v/>
      </c>
      <c r="D852" s="3">
        <f>IF(AND('Data Source'!B852&lt;&gt;"",'Data Source'!S852="A+"),IF('Data Source'!V852&gt;=5,"A+",IF('Data Source'!V852&gt;=4,"A",IF('Data Source'!V852&gt;=3.5,"A-",IF('Data Source'!V852&gt;=3,"B",IF('Data Source'!V852&gt;=2,"C",IF('Data Source'!V852&gt;=1,"D","F")))))),"")</f>
        <v/>
      </c>
      <c r="E852" s="3">
        <f>IF(AND('Data Source'!B852&lt;&gt;"",'Data Source'!S852="A+"),IF('Data Source'!W852&gt;=5,"A+",IF('Data Source'!W852&gt;=4,"A",IF('Data Source'!W852&gt;=3.5,"A-",IF('Data Source'!W852&gt;=3,"B",IF('Data Source'!W852&gt;=2,"C",IF('Data Source'!W852&gt;=1,"D","F")))))),"")</f>
        <v/>
      </c>
      <c r="F852" s="3">
        <f>IF(AND('Data Source'!B852&lt;&gt;"",'Data Source'!S852="A+"),IF('Data Source'!X852&gt;=5,"A+",IF('Data Source'!X852&gt;=4,"A",IF('Data Source'!X852&gt;=3.5,"A-",IF('Data Source'!X852&gt;=3,"B",IF('Data Source'!X852&gt;=2,"C",IF('Data Source'!X852&gt;=1,"D","F")))))),"")</f>
        <v/>
      </c>
      <c r="G852" s="3">
        <f>IF(AND('Data Source'!B852&lt;&gt;"",'Data Source'!S852="A+"),IF('Data Source'!Y852&gt;=5,"A+",IF('Data Source'!Y852&gt;=4,"A",IF('Data Source'!Y852&gt;=3.5,"A-",IF('Data Source'!Y852&gt;=3,"B",IF('Data Source'!Y852&gt;=2,"C",IF('Data Source'!Y852&gt;=1,"D","F")))))),"")</f>
        <v/>
      </c>
      <c r="H852" s="3">
        <f>IF(AND('Data Source'!B852&lt;&gt;"",'Data Source'!S852="A+"),IF('Data Source'!Z852&gt;=5,"A+",IF('Data Source'!Z852&gt;=4,"A",IF('Data Source'!Z852&gt;=3.5,"A-",IF('Data Source'!Z852&gt;=3,"B",IF('Data Source'!Z852&gt;=2,"C",IF('Data Source'!Z852&gt;=1,"D","F")))))),"")</f>
        <v/>
      </c>
      <c r="I852" s="3">
        <f>IF(AND('Data Source'!B852&lt;&gt;"",'Data Source'!S852="A+"),IF('Data Source'!AA852&gt;=5,"A+",IF('Data Source'!AA852&gt;=4,"A",IF('Data Source'!AA852&gt;=3.5,"A-",IF('Data Source'!AA852&gt;=3,"B",IF('Data Source'!AA852&gt;=2,"C",IF('Data Source'!AA852&gt;=1,"D","F")))))),"")</f>
        <v/>
      </c>
      <c r="J852" s="3">
        <f>IF(AND('Data Source'!B852&lt;&gt;"",'Data Source'!S852="A+"),IF('Data Source'!AB852&gt;=5,"A+",IF('Data Source'!AB852&gt;=4,"A",IF('Data Source'!AB852&gt;=3.5,"A-",IF('Data Source'!AB852&gt;=3,"B",IF('Data Source'!AB852&gt;=2,"C",IF('Data Source'!AB852&gt;=1,"D","F")))))),"")</f>
        <v/>
      </c>
      <c r="K852" s="3">
        <f>IF(AND('Data Source'!B852&lt;&gt;"",'Data Source'!S852="A+"),IF('Data Source'!AC852&gt;=5,"A+",IF('Data Source'!AC852&gt;=4,"A",IF('Data Source'!AC852&gt;=3.5,"A-",IF('Data Source'!AC852&gt;=3,"B",IF('Data Source'!AC852&gt;=2,"C",IF('Data Source'!AC852&gt;=1,"D","F")))))),"")</f>
        <v/>
      </c>
      <c r="L852" s="3">
        <f>IF(AND('Data Source'!B852&lt;&gt;"",'Data Source'!S852="A+"),IF('Data Source'!AD852&gt;=5,"A+",IF('Data Source'!AD852&gt;=4,"A",IF('Data Source'!AD852&gt;=3.5,"A-",IF('Data Source'!AD852&gt;=3,"B",IF('Data Source'!AD852&gt;=2,"C",IF('Data Source'!AD852&gt;=1,"D","F")))))),"")</f>
        <v/>
      </c>
      <c r="M852" s="3">
        <f>IF(AND('Data Source'!B852&lt;&gt;"",'Data Source'!S852="A+"),IF('Data Source'!AE852&gt;=5,"A+",IF('Data Source'!AE852&gt;=4,"A",IF('Data Source'!AE852&gt;=3.5,"A-",IF('Data Source'!AE852&gt;=3,"B",IF('Data Source'!AE852&gt;=2,"C",IF('Data Source'!AE852&gt;=1,"D","F")))))),"")</f>
        <v/>
      </c>
      <c r="N852" s="3">
        <f>IF(AND('Data Source'!B852&lt;&gt;"",'Data Source'!S852="A+"),IF('Data Source'!AF852&gt;=5,"A+",IF('Data Source'!AF852&gt;=4,"A",IF('Data Source'!AF852&gt;=3.5,"A-",IF('Data Source'!AF852&gt;=3,"B",IF('Data Source'!AF852&gt;=2,"C",IF('Data Source'!AF852&gt;=1,"D","F")))))),"")</f>
        <v/>
      </c>
      <c r="O852" s="3">
        <f>IF(AND('Data Source'!B852&lt;&gt;"",'Data Source'!S852="A+"),IF('Data Source'!AG852&gt;=5,"A+",IF('Data Source'!AG852&gt;=4,"A",IF('Data Source'!AG852&gt;=3.5,"A-",IF('Data Source'!AG852&gt;=3,"B",IF('Data Source'!AG852&gt;=2,"C",IF('Data Source'!AG852&gt;=1,"D","F")))))),"")</f>
        <v/>
      </c>
      <c r="P852" s="5">
        <f>IF(AND('Data Source'!B852&lt;&gt;"",'Data Source'!S852="A+"),'Data Source'!R852,"")</f>
        <v/>
      </c>
      <c r="Q852" s="3">
        <f>IF(AND('Data Source'!B852&lt;&gt;"",'Data Source'!S852="A+"),'Data Source'!S852,"")</f>
        <v/>
      </c>
    </row>
    <row r="853">
      <c r="A853" s="3">
        <f>IF(AND('Data Source'!B853&lt;&gt;"",'Data Source'!S853="A+"),COUNTIF('Data Source'!$S$3:S853,"A+"),"")</f>
        <v/>
      </c>
      <c r="B853">
        <f>IF(AND('Data Source'!B853&lt;&gt;"",'Data Source'!S853="A+"),'Data Source'!B853,"")</f>
        <v/>
      </c>
      <c r="C853" s="3">
        <f>IF(AND('Data Source'!B853&lt;&gt;"",'Data Source'!S853="A+"),IF('Data Source'!U853&gt;=5,"A+",IF('Data Source'!U853&gt;=4,"A",IF('Data Source'!U853&gt;=3.5,"A-",IF('Data Source'!U853&gt;=3,"B",IF('Data Source'!U853&gt;=2,"C",IF('Data Source'!U853&gt;=1,"D","F")))))),"")</f>
        <v/>
      </c>
      <c r="D853" s="3">
        <f>IF(AND('Data Source'!B853&lt;&gt;"",'Data Source'!S853="A+"),IF('Data Source'!V853&gt;=5,"A+",IF('Data Source'!V853&gt;=4,"A",IF('Data Source'!V853&gt;=3.5,"A-",IF('Data Source'!V853&gt;=3,"B",IF('Data Source'!V853&gt;=2,"C",IF('Data Source'!V853&gt;=1,"D","F")))))),"")</f>
        <v/>
      </c>
      <c r="E853" s="3">
        <f>IF(AND('Data Source'!B853&lt;&gt;"",'Data Source'!S853="A+"),IF('Data Source'!W853&gt;=5,"A+",IF('Data Source'!W853&gt;=4,"A",IF('Data Source'!W853&gt;=3.5,"A-",IF('Data Source'!W853&gt;=3,"B",IF('Data Source'!W853&gt;=2,"C",IF('Data Source'!W853&gt;=1,"D","F")))))),"")</f>
        <v/>
      </c>
      <c r="F853" s="3">
        <f>IF(AND('Data Source'!B853&lt;&gt;"",'Data Source'!S853="A+"),IF('Data Source'!X853&gt;=5,"A+",IF('Data Source'!X853&gt;=4,"A",IF('Data Source'!X853&gt;=3.5,"A-",IF('Data Source'!X853&gt;=3,"B",IF('Data Source'!X853&gt;=2,"C",IF('Data Source'!X853&gt;=1,"D","F")))))),"")</f>
        <v/>
      </c>
      <c r="G853" s="3">
        <f>IF(AND('Data Source'!B853&lt;&gt;"",'Data Source'!S853="A+"),IF('Data Source'!Y853&gt;=5,"A+",IF('Data Source'!Y853&gt;=4,"A",IF('Data Source'!Y853&gt;=3.5,"A-",IF('Data Source'!Y853&gt;=3,"B",IF('Data Source'!Y853&gt;=2,"C",IF('Data Source'!Y853&gt;=1,"D","F")))))),"")</f>
        <v/>
      </c>
      <c r="H853" s="3">
        <f>IF(AND('Data Source'!B853&lt;&gt;"",'Data Source'!S853="A+"),IF('Data Source'!Z853&gt;=5,"A+",IF('Data Source'!Z853&gt;=4,"A",IF('Data Source'!Z853&gt;=3.5,"A-",IF('Data Source'!Z853&gt;=3,"B",IF('Data Source'!Z853&gt;=2,"C",IF('Data Source'!Z853&gt;=1,"D","F")))))),"")</f>
        <v/>
      </c>
      <c r="I853" s="3">
        <f>IF(AND('Data Source'!B853&lt;&gt;"",'Data Source'!S853="A+"),IF('Data Source'!AA853&gt;=5,"A+",IF('Data Source'!AA853&gt;=4,"A",IF('Data Source'!AA853&gt;=3.5,"A-",IF('Data Source'!AA853&gt;=3,"B",IF('Data Source'!AA853&gt;=2,"C",IF('Data Source'!AA853&gt;=1,"D","F")))))),"")</f>
        <v/>
      </c>
      <c r="J853" s="3">
        <f>IF(AND('Data Source'!B853&lt;&gt;"",'Data Source'!S853="A+"),IF('Data Source'!AB853&gt;=5,"A+",IF('Data Source'!AB853&gt;=4,"A",IF('Data Source'!AB853&gt;=3.5,"A-",IF('Data Source'!AB853&gt;=3,"B",IF('Data Source'!AB853&gt;=2,"C",IF('Data Source'!AB853&gt;=1,"D","F")))))),"")</f>
        <v/>
      </c>
      <c r="K853" s="3">
        <f>IF(AND('Data Source'!B853&lt;&gt;"",'Data Source'!S853="A+"),IF('Data Source'!AC853&gt;=5,"A+",IF('Data Source'!AC853&gt;=4,"A",IF('Data Source'!AC853&gt;=3.5,"A-",IF('Data Source'!AC853&gt;=3,"B",IF('Data Source'!AC853&gt;=2,"C",IF('Data Source'!AC853&gt;=1,"D","F")))))),"")</f>
        <v/>
      </c>
      <c r="L853" s="3">
        <f>IF(AND('Data Source'!B853&lt;&gt;"",'Data Source'!S853="A+"),IF('Data Source'!AD853&gt;=5,"A+",IF('Data Source'!AD853&gt;=4,"A",IF('Data Source'!AD853&gt;=3.5,"A-",IF('Data Source'!AD853&gt;=3,"B",IF('Data Source'!AD853&gt;=2,"C",IF('Data Source'!AD853&gt;=1,"D","F")))))),"")</f>
        <v/>
      </c>
      <c r="M853" s="3">
        <f>IF(AND('Data Source'!B853&lt;&gt;"",'Data Source'!S853="A+"),IF('Data Source'!AE853&gt;=5,"A+",IF('Data Source'!AE853&gt;=4,"A",IF('Data Source'!AE853&gt;=3.5,"A-",IF('Data Source'!AE853&gt;=3,"B",IF('Data Source'!AE853&gt;=2,"C",IF('Data Source'!AE853&gt;=1,"D","F")))))),"")</f>
        <v/>
      </c>
      <c r="N853" s="3">
        <f>IF(AND('Data Source'!B853&lt;&gt;"",'Data Source'!S853="A+"),IF('Data Source'!AF853&gt;=5,"A+",IF('Data Source'!AF853&gt;=4,"A",IF('Data Source'!AF853&gt;=3.5,"A-",IF('Data Source'!AF853&gt;=3,"B",IF('Data Source'!AF853&gt;=2,"C",IF('Data Source'!AF853&gt;=1,"D","F")))))),"")</f>
        <v/>
      </c>
      <c r="O853" s="3">
        <f>IF(AND('Data Source'!B853&lt;&gt;"",'Data Source'!S853="A+"),IF('Data Source'!AG853&gt;=5,"A+",IF('Data Source'!AG853&gt;=4,"A",IF('Data Source'!AG853&gt;=3.5,"A-",IF('Data Source'!AG853&gt;=3,"B",IF('Data Source'!AG853&gt;=2,"C",IF('Data Source'!AG853&gt;=1,"D","F")))))),"")</f>
        <v/>
      </c>
      <c r="P853" s="5">
        <f>IF(AND('Data Source'!B853&lt;&gt;"",'Data Source'!S853="A+"),'Data Source'!R853,"")</f>
        <v/>
      </c>
      <c r="Q853" s="3">
        <f>IF(AND('Data Source'!B853&lt;&gt;"",'Data Source'!S853="A+"),'Data Source'!S853,"")</f>
        <v/>
      </c>
    </row>
    <row r="854">
      <c r="A854" s="3">
        <f>IF(AND('Data Source'!B854&lt;&gt;"",'Data Source'!S854="A+"),COUNTIF('Data Source'!$S$3:S854,"A+"),"")</f>
        <v/>
      </c>
      <c r="B854">
        <f>IF(AND('Data Source'!B854&lt;&gt;"",'Data Source'!S854="A+"),'Data Source'!B854,"")</f>
        <v/>
      </c>
      <c r="C854" s="3">
        <f>IF(AND('Data Source'!B854&lt;&gt;"",'Data Source'!S854="A+"),IF('Data Source'!U854&gt;=5,"A+",IF('Data Source'!U854&gt;=4,"A",IF('Data Source'!U854&gt;=3.5,"A-",IF('Data Source'!U854&gt;=3,"B",IF('Data Source'!U854&gt;=2,"C",IF('Data Source'!U854&gt;=1,"D","F")))))),"")</f>
        <v/>
      </c>
      <c r="D854" s="3">
        <f>IF(AND('Data Source'!B854&lt;&gt;"",'Data Source'!S854="A+"),IF('Data Source'!V854&gt;=5,"A+",IF('Data Source'!V854&gt;=4,"A",IF('Data Source'!V854&gt;=3.5,"A-",IF('Data Source'!V854&gt;=3,"B",IF('Data Source'!V854&gt;=2,"C",IF('Data Source'!V854&gt;=1,"D","F")))))),"")</f>
        <v/>
      </c>
      <c r="E854" s="3">
        <f>IF(AND('Data Source'!B854&lt;&gt;"",'Data Source'!S854="A+"),IF('Data Source'!W854&gt;=5,"A+",IF('Data Source'!W854&gt;=4,"A",IF('Data Source'!W854&gt;=3.5,"A-",IF('Data Source'!W854&gt;=3,"B",IF('Data Source'!W854&gt;=2,"C",IF('Data Source'!W854&gt;=1,"D","F")))))),"")</f>
        <v/>
      </c>
      <c r="F854" s="3">
        <f>IF(AND('Data Source'!B854&lt;&gt;"",'Data Source'!S854="A+"),IF('Data Source'!X854&gt;=5,"A+",IF('Data Source'!X854&gt;=4,"A",IF('Data Source'!X854&gt;=3.5,"A-",IF('Data Source'!X854&gt;=3,"B",IF('Data Source'!X854&gt;=2,"C",IF('Data Source'!X854&gt;=1,"D","F")))))),"")</f>
        <v/>
      </c>
      <c r="G854" s="3">
        <f>IF(AND('Data Source'!B854&lt;&gt;"",'Data Source'!S854="A+"),IF('Data Source'!Y854&gt;=5,"A+",IF('Data Source'!Y854&gt;=4,"A",IF('Data Source'!Y854&gt;=3.5,"A-",IF('Data Source'!Y854&gt;=3,"B",IF('Data Source'!Y854&gt;=2,"C",IF('Data Source'!Y854&gt;=1,"D","F")))))),"")</f>
        <v/>
      </c>
      <c r="H854" s="3">
        <f>IF(AND('Data Source'!B854&lt;&gt;"",'Data Source'!S854="A+"),IF('Data Source'!Z854&gt;=5,"A+",IF('Data Source'!Z854&gt;=4,"A",IF('Data Source'!Z854&gt;=3.5,"A-",IF('Data Source'!Z854&gt;=3,"B",IF('Data Source'!Z854&gt;=2,"C",IF('Data Source'!Z854&gt;=1,"D","F")))))),"")</f>
        <v/>
      </c>
      <c r="I854" s="3">
        <f>IF(AND('Data Source'!B854&lt;&gt;"",'Data Source'!S854="A+"),IF('Data Source'!AA854&gt;=5,"A+",IF('Data Source'!AA854&gt;=4,"A",IF('Data Source'!AA854&gt;=3.5,"A-",IF('Data Source'!AA854&gt;=3,"B",IF('Data Source'!AA854&gt;=2,"C",IF('Data Source'!AA854&gt;=1,"D","F")))))),"")</f>
        <v/>
      </c>
      <c r="J854" s="3">
        <f>IF(AND('Data Source'!B854&lt;&gt;"",'Data Source'!S854="A+"),IF('Data Source'!AB854&gt;=5,"A+",IF('Data Source'!AB854&gt;=4,"A",IF('Data Source'!AB854&gt;=3.5,"A-",IF('Data Source'!AB854&gt;=3,"B",IF('Data Source'!AB854&gt;=2,"C",IF('Data Source'!AB854&gt;=1,"D","F")))))),"")</f>
        <v/>
      </c>
      <c r="K854" s="3">
        <f>IF(AND('Data Source'!B854&lt;&gt;"",'Data Source'!S854="A+"),IF('Data Source'!AC854&gt;=5,"A+",IF('Data Source'!AC854&gt;=4,"A",IF('Data Source'!AC854&gt;=3.5,"A-",IF('Data Source'!AC854&gt;=3,"B",IF('Data Source'!AC854&gt;=2,"C",IF('Data Source'!AC854&gt;=1,"D","F")))))),"")</f>
        <v/>
      </c>
      <c r="L854" s="3">
        <f>IF(AND('Data Source'!B854&lt;&gt;"",'Data Source'!S854="A+"),IF('Data Source'!AD854&gt;=5,"A+",IF('Data Source'!AD854&gt;=4,"A",IF('Data Source'!AD854&gt;=3.5,"A-",IF('Data Source'!AD854&gt;=3,"B",IF('Data Source'!AD854&gt;=2,"C",IF('Data Source'!AD854&gt;=1,"D","F")))))),"")</f>
        <v/>
      </c>
      <c r="M854" s="3">
        <f>IF(AND('Data Source'!B854&lt;&gt;"",'Data Source'!S854="A+"),IF('Data Source'!AE854&gt;=5,"A+",IF('Data Source'!AE854&gt;=4,"A",IF('Data Source'!AE854&gt;=3.5,"A-",IF('Data Source'!AE854&gt;=3,"B",IF('Data Source'!AE854&gt;=2,"C",IF('Data Source'!AE854&gt;=1,"D","F")))))),"")</f>
        <v/>
      </c>
      <c r="N854" s="3">
        <f>IF(AND('Data Source'!B854&lt;&gt;"",'Data Source'!S854="A+"),IF('Data Source'!AF854&gt;=5,"A+",IF('Data Source'!AF854&gt;=4,"A",IF('Data Source'!AF854&gt;=3.5,"A-",IF('Data Source'!AF854&gt;=3,"B",IF('Data Source'!AF854&gt;=2,"C",IF('Data Source'!AF854&gt;=1,"D","F")))))),"")</f>
        <v/>
      </c>
      <c r="O854" s="3">
        <f>IF(AND('Data Source'!B854&lt;&gt;"",'Data Source'!S854="A+"),IF('Data Source'!AG854&gt;=5,"A+",IF('Data Source'!AG854&gt;=4,"A",IF('Data Source'!AG854&gt;=3.5,"A-",IF('Data Source'!AG854&gt;=3,"B",IF('Data Source'!AG854&gt;=2,"C",IF('Data Source'!AG854&gt;=1,"D","F")))))),"")</f>
        <v/>
      </c>
      <c r="P854" s="5">
        <f>IF(AND('Data Source'!B854&lt;&gt;"",'Data Source'!S854="A+"),'Data Source'!R854,"")</f>
        <v/>
      </c>
      <c r="Q854" s="3">
        <f>IF(AND('Data Source'!B854&lt;&gt;"",'Data Source'!S854="A+"),'Data Source'!S854,"")</f>
        <v/>
      </c>
    </row>
    <row r="855">
      <c r="A855" s="3">
        <f>IF(AND('Data Source'!B855&lt;&gt;"",'Data Source'!S855="A+"),COUNTIF('Data Source'!$S$3:S855,"A+"),"")</f>
        <v/>
      </c>
      <c r="B855">
        <f>IF(AND('Data Source'!B855&lt;&gt;"",'Data Source'!S855="A+"),'Data Source'!B855,"")</f>
        <v/>
      </c>
      <c r="C855" s="3">
        <f>IF(AND('Data Source'!B855&lt;&gt;"",'Data Source'!S855="A+"),IF('Data Source'!U855&gt;=5,"A+",IF('Data Source'!U855&gt;=4,"A",IF('Data Source'!U855&gt;=3.5,"A-",IF('Data Source'!U855&gt;=3,"B",IF('Data Source'!U855&gt;=2,"C",IF('Data Source'!U855&gt;=1,"D","F")))))),"")</f>
        <v/>
      </c>
      <c r="D855" s="3">
        <f>IF(AND('Data Source'!B855&lt;&gt;"",'Data Source'!S855="A+"),IF('Data Source'!V855&gt;=5,"A+",IF('Data Source'!V855&gt;=4,"A",IF('Data Source'!V855&gt;=3.5,"A-",IF('Data Source'!V855&gt;=3,"B",IF('Data Source'!V855&gt;=2,"C",IF('Data Source'!V855&gt;=1,"D","F")))))),"")</f>
        <v/>
      </c>
      <c r="E855" s="3">
        <f>IF(AND('Data Source'!B855&lt;&gt;"",'Data Source'!S855="A+"),IF('Data Source'!W855&gt;=5,"A+",IF('Data Source'!W855&gt;=4,"A",IF('Data Source'!W855&gt;=3.5,"A-",IF('Data Source'!W855&gt;=3,"B",IF('Data Source'!W855&gt;=2,"C",IF('Data Source'!W855&gt;=1,"D","F")))))),"")</f>
        <v/>
      </c>
      <c r="F855" s="3">
        <f>IF(AND('Data Source'!B855&lt;&gt;"",'Data Source'!S855="A+"),IF('Data Source'!X855&gt;=5,"A+",IF('Data Source'!X855&gt;=4,"A",IF('Data Source'!X855&gt;=3.5,"A-",IF('Data Source'!X855&gt;=3,"B",IF('Data Source'!X855&gt;=2,"C",IF('Data Source'!X855&gt;=1,"D","F")))))),"")</f>
        <v/>
      </c>
      <c r="G855" s="3">
        <f>IF(AND('Data Source'!B855&lt;&gt;"",'Data Source'!S855="A+"),IF('Data Source'!Y855&gt;=5,"A+",IF('Data Source'!Y855&gt;=4,"A",IF('Data Source'!Y855&gt;=3.5,"A-",IF('Data Source'!Y855&gt;=3,"B",IF('Data Source'!Y855&gt;=2,"C",IF('Data Source'!Y855&gt;=1,"D","F")))))),"")</f>
        <v/>
      </c>
      <c r="H855" s="3">
        <f>IF(AND('Data Source'!B855&lt;&gt;"",'Data Source'!S855="A+"),IF('Data Source'!Z855&gt;=5,"A+",IF('Data Source'!Z855&gt;=4,"A",IF('Data Source'!Z855&gt;=3.5,"A-",IF('Data Source'!Z855&gt;=3,"B",IF('Data Source'!Z855&gt;=2,"C",IF('Data Source'!Z855&gt;=1,"D","F")))))),"")</f>
        <v/>
      </c>
      <c r="I855" s="3">
        <f>IF(AND('Data Source'!B855&lt;&gt;"",'Data Source'!S855="A+"),IF('Data Source'!AA855&gt;=5,"A+",IF('Data Source'!AA855&gt;=4,"A",IF('Data Source'!AA855&gt;=3.5,"A-",IF('Data Source'!AA855&gt;=3,"B",IF('Data Source'!AA855&gt;=2,"C",IF('Data Source'!AA855&gt;=1,"D","F")))))),"")</f>
        <v/>
      </c>
      <c r="J855" s="3">
        <f>IF(AND('Data Source'!B855&lt;&gt;"",'Data Source'!S855="A+"),IF('Data Source'!AB855&gt;=5,"A+",IF('Data Source'!AB855&gt;=4,"A",IF('Data Source'!AB855&gt;=3.5,"A-",IF('Data Source'!AB855&gt;=3,"B",IF('Data Source'!AB855&gt;=2,"C",IF('Data Source'!AB855&gt;=1,"D","F")))))),"")</f>
        <v/>
      </c>
      <c r="K855" s="3">
        <f>IF(AND('Data Source'!B855&lt;&gt;"",'Data Source'!S855="A+"),IF('Data Source'!AC855&gt;=5,"A+",IF('Data Source'!AC855&gt;=4,"A",IF('Data Source'!AC855&gt;=3.5,"A-",IF('Data Source'!AC855&gt;=3,"B",IF('Data Source'!AC855&gt;=2,"C",IF('Data Source'!AC855&gt;=1,"D","F")))))),"")</f>
        <v/>
      </c>
      <c r="L855" s="3">
        <f>IF(AND('Data Source'!B855&lt;&gt;"",'Data Source'!S855="A+"),IF('Data Source'!AD855&gt;=5,"A+",IF('Data Source'!AD855&gt;=4,"A",IF('Data Source'!AD855&gt;=3.5,"A-",IF('Data Source'!AD855&gt;=3,"B",IF('Data Source'!AD855&gt;=2,"C",IF('Data Source'!AD855&gt;=1,"D","F")))))),"")</f>
        <v/>
      </c>
      <c r="M855" s="3">
        <f>IF(AND('Data Source'!B855&lt;&gt;"",'Data Source'!S855="A+"),IF('Data Source'!AE855&gt;=5,"A+",IF('Data Source'!AE855&gt;=4,"A",IF('Data Source'!AE855&gt;=3.5,"A-",IF('Data Source'!AE855&gt;=3,"B",IF('Data Source'!AE855&gt;=2,"C",IF('Data Source'!AE855&gt;=1,"D","F")))))),"")</f>
        <v/>
      </c>
      <c r="N855" s="3">
        <f>IF(AND('Data Source'!B855&lt;&gt;"",'Data Source'!S855="A+"),IF('Data Source'!AF855&gt;=5,"A+",IF('Data Source'!AF855&gt;=4,"A",IF('Data Source'!AF855&gt;=3.5,"A-",IF('Data Source'!AF855&gt;=3,"B",IF('Data Source'!AF855&gt;=2,"C",IF('Data Source'!AF855&gt;=1,"D","F")))))),"")</f>
        <v/>
      </c>
      <c r="O855" s="3">
        <f>IF(AND('Data Source'!B855&lt;&gt;"",'Data Source'!S855="A+"),IF('Data Source'!AG855&gt;=5,"A+",IF('Data Source'!AG855&gt;=4,"A",IF('Data Source'!AG855&gt;=3.5,"A-",IF('Data Source'!AG855&gt;=3,"B",IF('Data Source'!AG855&gt;=2,"C",IF('Data Source'!AG855&gt;=1,"D","F")))))),"")</f>
        <v/>
      </c>
      <c r="P855" s="5">
        <f>IF(AND('Data Source'!B855&lt;&gt;"",'Data Source'!S855="A+"),'Data Source'!R855,"")</f>
        <v/>
      </c>
      <c r="Q855" s="3">
        <f>IF(AND('Data Source'!B855&lt;&gt;"",'Data Source'!S855="A+"),'Data Source'!S855,"")</f>
        <v/>
      </c>
    </row>
    <row r="856">
      <c r="A856" s="3">
        <f>IF(AND('Data Source'!B856&lt;&gt;"",'Data Source'!S856="A+"),COUNTIF('Data Source'!$S$3:S856,"A+"),"")</f>
        <v/>
      </c>
      <c r="B856">
        <f>IF(AND('Data Source'!B856&lt;&gt;"",'Data Source'!S856="A+"),'Data Source'!B856,"")</f>
        <v/>
      </c>
      <c r="C856" s="3">
        <f>IF(AND('Data Source'!B856&lt;&gt;"",'Data Source'!S856="A+"),IF('Data Source'!U856&gt;=5,"A+",IF('Data Source'!U856&gt;=4,"A",IF('Data Source'!U856&gt;=3.5,"A-",IF('Data Source'!U856&gt;=3,"B",IF('Data Source'!U856&gt;=2,"C",IF('Data Source'!U856&gt;=1,"D","F")))))),"")</f>
        <v/>
      </c>
      <c r="D856" s="3">
        <f>IF(AND('Data Source'!B856&lt;&gt;"",'Data Source'!S856="A+"),IF('Data Source'!V856&gt;=5,"A+",IF('Data Source'!V856&gt;=4,"A",IF('Data Source'!V856&gt;=3.5,"A-",IF('Data Source'!V856&gt;=3,"B",IF('Data Source'!V856&gt;=2,"C",IF('Data Source'!V856&gt;=1,"D","F")))))),"")</f>
        <v/>
      </c>
      <c r="E856" s="3">
        <f>IF(AND('Data Source'!B856&lt;&gt;"",'Data Source'!S856="A+"),IF('Data Source'!W856&gt;=5,"A+",IF('Data Source'!W856&gt;=4,"A",IF('Data Source'!W856&gt;=3.5,"A-",IF('Data Source'!W856&gt;=3,"B",IF('Data Source'!W856&gt;=2,"C",IF('Data Source'!W856&gt;=1,"D","F")))))),"")</f>
        <v/>
      </c>
      <c r="F856" s="3">
        <f>IF(AND('Data Source'!B856&lt;&gt;"",'Data Source'!S856="A+"),IF('Data Source'!X856&gt;=5,"A+",IF('Data Source'!X856&gt;=4,"A",IF('Data Source'!X856&gt;=3.5,"A-",IF('Data Source'!X856&gt;=3,"B",IF('Data Source'!X856&gt;=2,"C",IF('Data Source'!X856&gt;=1,"D","F")))))),"")</f>
        <v/>
      </c>
      <c r="G856" s="3">
        <f>IF(AND('Data Source'!B856&lt;&gt;"",'Data Source'!S856="A+"),IF('Data Source'!Y856&gt;=5,"A+",IF('Data Source'!Y856&gt;=4,"A",IF('Data Source'!Y856&gt;=3.5,"A-",IF('Data Source'!Y856&gt;=3,"B",IF('Data Source'!Y856&gt;=2,"C",IF('Data Source'!Y856&gt;=1,"D","F")))))),"")</f>
        <v/>
      </c>
      <c r="H856" s="3">
        <f>IF(AND('Data Source'!B856&lt;&gt;"",'Data Source'!S856="A+"),IF('Data Source'!Z856&gt;=5,"A+",IF('Data Source'!Z856&gt;=4,"A",IF('Data Source'!Z856&gt;=3.5,"A-",IF('Data Source'!Z856&gt;=3,"B",IF('Data Source'!Z856&gt;=2,"C",IF('Data Source'!Z856&gt;=1,"D","F")))))),"")</f>
        <v/>
      </c>
      <c r="I856" s="3">
        <f>IF(AND('Data Source'!B856&lt;&gt;"",'Data Source'!S856="A+"),IF('Data Source'!AA856&gt;=5,"A+",IF('Data Source'!AA856&gt;=4,"A",IF('Data Source'!AA856&gt;=3.5,"A-",IF('Data Source'!AA856&gt;=3,"B",IF('Data Source'!AA856&gt;=2,"C",IF('Data Source'!AA856&gt;=1,"D","F")))))),"")</f>
        <v/>
      </c>
      <c r="J856" s="3">
        <f>IF(AND('Data Source'!B856&lt;&gt;"",'Data Source'!S856="A+"),IF('Data Source'!AB856&gt;=5,"A+",IF('Data Source'!AB856&gt;=4,"A",IF('Data Source'!AB856&gt;=3.5,"A-",IF('Data Source'!AB856&gt;=3,"B",IF('Data Source'!AB856&gt;=2,"C",IF('Data Source'!AB856&gt;=1,"D","F")))))),"")</f>
        <v/>
      </c>
      <c r="K856" s="3">
        <f>IF(AND('Data Source'!B856&lt;&gt;"",'Data Source'!S856="A+"),IF('Data Source'!AC856&gt;=5,"A+",IF('Data Source'!AC856&gt;=4,"A",IF('Data Source'!AC856&gt;=3.5,"A-",IF('Data Source'!AC856&gt;=3,"B",IF('Data Source'!AC856&gt;=2,"C",IF('Data Source'!AC856&gt;=1,"D","F")))))),"")</f>
        <v/>
      </c>
      <c r="L856" s="3">
        <f>IF(AND('Data Source'!B856&lt;&gt;"",'Data Source'!S856="A+"),IF('Data Source'!AD856&gt;=5,"A+",IF('Data Source'!AD856&gt;=4,"A",IF('Data Source'!AD856&gt;=3.5,"A-",IF('Data Source'!AD856&gt;=3,"B",IF('Data Source'!AD856&gt;=2,"C",IF('Data Source'!AD856&gt;=1,"D","F")))))),"")</f>
        <v/>
      </c>
      <c r="M856" s="3">
        <f>IF(AND('Data Source'!B856&lt;&gt;"",'Data Source'!S856="A+"),IF('Data Source'!AE856&gt;=5,"A+",IF('Data Source'!AE856&gt;=4,"A",IF('Data Source'!AE856&gt;=3.5,"A-",IF('Data Source'!AE856&gt;=3,"B",IF('Data Source'!AE856&gt;=2,"C",IF('Data Source'!AE856&gt;=1,"D","F")))))),"")</f>
        <v/>
      </c>
      <c r="N856" s="3">
        <f>IF(AND('Data Source'!B856&lt;&gt;"",'Data Source'!S856="A+"),IF('Data Source'!AF856&gt;=5,"A+",IF('Data Source'!AF856&gt;=4,"A",IF('Data Source'!AF856&gt;=3.5,"A-",IF('Data Source'!AF856&gt;=3,"B",IF('Data Source'!AF856&gt;=2,"C",IF('Data Source'!AF856&gt;=1,"D","F")))))),"")</f>
        <v/>
      </c>
      <c r="O856" s="3">
        <f>IF(AND('Data Source'!B856&lt;&gt;"",'Data Source'!S856="A+"),IF('Data Source'!AG856&gt;=5,"A+",IF('Data Source'!AG856&gt;=4,"A",IF('Data Source'!AG856&gt;=3.5,"A-",IF('Data Source'!AG856&gt;=3,"B",IF('Data Source'!AG856&gt;=2,"C",IF('Data Source'!AG856&gt;=1,"D","F")))))),"")</f>
        <v/>
      </c>
      <c r="P856" s="5">
        <f>IF(AND('Data Source'!B856&lt;&gt;"",'Data Source'!S856="A+"),'Data Source'!R856,"")</f>
        <v/>
      </c>
      <c r="Q856" s="3">
        <f>IF(AND('Data Source'!B856&lt;&gt;"",'Data Source'!S856="A+"),'Data Source'!S856,"")</f>
        <v/>
      </c>
    </row>
    <row r="857">
      <c r="A857" s="3">
        <f>IF(AND('Data Source'!B857&lt;&gt;"",'Data Source'!S857="A+"),COUNTIF('Data Source'!$S$3:S857,"A+"),"")</f>
        <v/>
      </c>
      <c r="B857">
        <f>IF(AND('Data Source'!B857&lt;&gt;"",'Data Source'!S857="A+"),'Data Source'!B857,"")</f>
        <v/>
      </c>
      <c r="C857" s="3">
        <f>IF(AND('Data Source'!B857&lt;&gt;"",'Data Source'!S857="A+"),IF('Data Source'!U857&gt;=5,"A+",IF('Data Source'!U857&gt;=4,"A",IF('Data Source'!U857&gt;=3.5,"A-",IF('Data Source'!U857&gt;=3,"B",IF('Data Source'!U857&gt;=2,"C",IF('Data Source'!U857&gt;=1,"D","F")))))),"")</f>
        <v/>
      </c>
      <c r="D857" s="3">
        <f>IF(AND('Data Source'!B857&lt;&gt;"",'Data Source'!S857="A+"),IF('Data Source'!V857&gt;=5,"A+",IF('Data Source'!V857&gt;=4,"A",IF('Data Source'!V857&gt;=3.5,"A-",IF('Data Source'!V857&gt;=3,"B",IF('Data Source'!V857&gt;=2,"C",IF('Data Source'!V857&gt;=1,"D","F")))))),"")</f>
        <v/>
      </c>
      <c r="E857" s="3">
        <f>IF(AND('Data Source'!B857&lt;&gt;"",'Data Source'!S857="A+"),IF('Data Source'!W857&gt;=5,"A+",IF('Data Source'!W857&gt;=4,"A",IF('Data Source'!W857&gt;=3.5,"A-",IF('Data Source'!W857&gt;=3,"B",IF('Data Source'!W857&gt;=2,"C",IF('Data Source'!W857&gt;=1,"D","F")))))),"")</f>
        <v/>
      </c>
      <c r="F857" s="3">
        <f>IF(AND('Data Source'!B857&lt;&gt;"",'Data Source'!S857="A+"),IF('Data Source'!X857&gt;=5,"A+",IF('Data Source'!X857&gt;=4,"A",IF('Data Source'!X857&gt;=3.5,"A-",IF('Data Source'!X857&gt;=3,"B",IF('Data Source'!X857&gt;=2,"C",IF('Data Source'!X857&gt;=1,"D","F")))))),"")</f>
        <v/>
      </c>
      <c r="G857" s="3">
        <f>IF(AND('Data Source'!B857&lt;&gt;"",'Data Source'!S857="A+"),IF('Data Source'!Y857&gt;=5,"A+",IF('Data Source'!Y857&gt;=4,"A",IF('Data Source'!Y857&gt;=3.5,"A-",IF('Data Source'!Y857&gt;=3,"B",IF('Data Source'!Y857&gt;=2,"C",IF('Data Source'!Y857&gt;=1,"D","F")))))),"")</f>
        <v/>
      </c>
      <c r="H857" s="3">
        <f>IF(AND('Data Source'!B857&lt;&gt;"",'Data Source'!S857="A+"),IF('Data Source'!Z857&gt;=5,"A+",IF('Data Source'!Z857&gt;=4,"A",IF('Data Source'!Z857&gt;=3.5,"A-",IF('Data Source'!Z857&gt;=3,"B",IF('Data Source'!Z857&gt;=2,"C",IF('Data Source'!Z857&gt;=1,"D","F")))))),"")</f>
        <v/>
      </c>
      <c r="I857" s="3">
        <f>IF(AND('Data Source'!B857&lt;&gt;"",'Data Source'!S857="A+"),IF('Data Source'!AA857&gt;=5,"A+",IF('Data Source'!AA857&gt;=4,"A",IF('Data Source'!AA857&gt;=3.5,"A-",IF('Data Source'!AA857&gt;=3,"B",IF('Data Source'!AA857&gt;=2,"C",IF('Data Source'!AA857&gt;=1,"D","F")))))),"")</f>
        <v/>
      </c>
      <c r="J857" s="3">
        <f>IF(AND('Data Source'!B857&lt;&gt;"",'Data Source'!S857="A+"),IF('Data Source'!AB857&gt;=5,"A+",IF('Data Source'!AB857&gt;=4,"A",IF('Data Source'!AB857&gt;=3.5,"A-",IF('Data Source'!AB857&gt;=3,"B",IF('Data Source'!AB857&gt;=2,"C",IF('Data Source'!AB857&gt;=1,"D","F")))))),"")</f>
        <v/>
      </c>
      <c r="K857" s="3">
        <f>IF(AND('Data Source'!B857&lt;&gt;"",'Data Source'!S857="A+"),IF('Data Source'!AC857&gt;=5,"A+",IF('Data Source'!AC857&gt;=4,"A",IF('Data Source'!AC857&gt;=3.5,"A-",IF('Data Source'!AC857&gt;=3,"B",IF('Data Source'!AC857&gt;=2,"C",IF('Data Source'!AC857&gt;=1,"D","F")))))),"")</f>
        <v/>
      </c>
      <c r="L857" s="3">
        <f>IF(AND('Data Source'!B857&lt;&gt;"",'Data Source'!S857="A+"),IF('Data Source'!AD857&gt;=5,"A+",IF('Data Source'!AD857&gt;=4,"A",IF('Data Source'!AD857&gt;=3.5,"A-",IF('Data Source'!AD857&gt;=3,"B",IF('Data Source'!AD857&gt;=2,"C",IF('Data Source'!AD857&gt;=1,"D","F")))))),"")</f>
        <v/>
      </c>
      <c r="M857" s="3">
        <f>IF(AND('Data Source'!B857&lt;&gt;"",'Data Source'!S857="A+"),IF('Data Source'!AE857&gt;=5,"A+",IF('Data Source'!AE857&gt;=4,"A",IF('Data Source'!AE857&gt;=3.5,"A-",IF('Data Source'!AE857&gt;=3,"B",IF('Data Source'!AE857&gt;=2,"C",IF('Data Source'!AE857&gt;=1,"D","F")))))),"")</f>
        <v/>
      </c>
      <c r="N857" s="3">
        <f>IF(AND('Data Source'!B857&lt;&gt;"",'Data Source'!S857="A+"),IF('Data Source'!AF857&gt;=5,"A+",IF('Data Source'!AF857&gt;=4,"A",IF('Data Source'!AF857&gt;=3.5,"A-",IF('Data Source'!AF857&gt;=3,"B",IF('Data Source'!AF857&gt;=2,"C",IF('Data Source'!AF857&gt;=1,"D","F")))))),"")</f>
        <v/>
      </c>
      <c r="O857" s="3">
        <f>IF(AND('Data Source'!B857&lt;&gt;"",'Data Source'!S857="A+"),IF('Data Source'!AG857&gt;=5,"A+",IF('Data Source'!AG857&gt;=4,"A",IF('Data Source'!AG857&gt;=3.5,"A-",IF('Data Source'!AG857&gt;=3,"B",IF('Data Source'!AG857&gt;=2,"C",IF('Data Source'!AG857&gt;=1,"D","F")))))),"")</f>
        <v/>
      </c>
      <c r="P857" s="5">
        <f>IF(AND('Data Source'!B857&lt;&gt;"",'Data Source'!S857="A+"),'Data Source'!R857,"")</f>
        <v/>
      </c>
      <c r="Q857" s="3">
        <f>IF(AND('Data Source'!B857&lt;&gt;"",'Data Source'!S857="A+"),'Data Source'!S857,"")</f>
        <v/>
      </c>
    </row>
    <row r="858">
      <c r="A858" s="3">
        <f>IF(AND('Data Source'!B858&lt;&gt;"",'Data Source'!S858="A+"),COUNTIF('Data Source'!$S$3:S858,"A+"),"")</f>
        <v/>
      </c>
      <c r="B858">
        <f>IF(AND('Data Source'!B858&lt;&gt;"",'Data Source'!S858="A+"),'Data Source'!B858,"")</f>
        <v/>
      </c>
      <c r="C858" s="3">
        <f>IF(AND('Data Source'!B858&lt;&gt;"",'Data Source'!S858="A+"),IF('Data Source'!U858&gt;=5,"A+",IF('Data Source'!U858&gt;=4,"A",IF('Data Source'!U858&gt;=3.5,"A-",IF('Data Source'!U858&gt;=3,"B",IF('Data Source'!U858&gt;=2,"C",IF('Data Source'!U858&gt;=1,"D","F")))))),"")</f>
        <v/>
      </c>
      <c r="D858" s="3">
        <f>IF(AND('Data Source'!B858&lt;&gt;"",'Data Source'!S858="A+"),IF('Data Source'!V858&gt;=5,"A+",IF('Data Source'!V858&gt;=4,"A",IF('Data Source'!V858&gt;=3.5,"A-",IF('Data Source'!V858&gt;=3,"B",IF('Data Source'!V858&gt;=2,"C",IF('Data Source'!V858&gt;=1,"D","F")))))),"")</f>
        <v/>
      </c>
      <c r="E858" s="3">
        <f>IF(AND('Data Source'!B858&lt;&gt;"",'Data Source'!S858="A+"),IF('Data Source'!W858&gt;=5,"A+",IF('Data Source'!W858&gt;=4,"A",IF('Data Source'!W858&gt;=3.5,"A-",IF('Data Source'!W858&gt;=3,"B",IF('Data Source'!W858&gt;=2,"C",IF('Data Source'!W858&gt;=1,"D","F")))))),"")</f>
        <v/>
      </c>
      <c r="F858" s="3">
        <f>IF(AND('Data Source'!B858&lt;&gt;"",'Data Source'!S858="A+"),IF('Data Source'!X858&gt;=5,"A+",IF('Data Source'!X858&gt;=4,"A",IF('Data Source'!X858&gt;=3.5,"A-",IF('Data Source'!X858&gt;=3,"B",IF('Data Source'!X858&gt;=2,"C",IF('Data Source'!X858&gt;=1,"D","F")))))),"")</f>
        <v/>
      </c>
      <c r="G858" s="3">
        <f>IF(AND('Data Source'!B858&lt;&gt;"",'Data Source'!S858="A+"),IF('Data Source'!Y858&gt;=5,"A+",IF('Data Source'!Y858&gt;=4,"A",IF('Data Source'!Y858&gt;=3.5,"A-",IF('Data Source'!Y858&gt;=3,"B",IF('Data Source'!Y858&gt;=2,"C",IF('Data Source'!Y858&gt;=1,"D","F")))))),"")</f>
        <v/>
      </c>
      <c r="H858" s="3">
        <f>IF(AND('Data Source'!B858&lt;&gt;"",'Data Source'!S858="A+"),IF('Data Source'!Z858&gt;=5,"A+",IF('Data Source'!Z858&gt;=4,"A",IF('Data Source'!Z858&gt;=3.5,"A-",IF('Data Source'!Z858&gt;=3,"B",IF('Data Source'!Z858&gt;=2,"C",IF('Data Source'!Z858&gt;=1,"D","F")))))),"")</f>
        <v/>
      </c>
      <c r="I858" s="3">
        <f>IF(AND('Data Source'!B858&lt;&gt;"",'Data Source'!S858="A+"),IF('Data Source'!AA858&gt;=5,"A+",IF('Data Source'!AA858&gt;=4,"A",IF('Data Source'!AA858&gt;=3.5,"A-",IF('Data Source'!AA858&gt;=3,"B",IF('Data Source'!AA858&gt;=2,"C",IF('Data Source'!AA858&gt;=1,"D","F")))))),"")</f>
        <v/>
      </c>
      <c r="J858" s="3">
        <f>IF(AND('Data Source'!B858&lt;&gt;"",'Data Source'!S858="A+"),IF('Data Source'!AB858&gt;=5,"A+",IF('Data Source'!AB858&gt;=4,"A",IF('Data Source'!AB858&gt;=3.5,"A-",IF('Data Source'!AB858&gt;=3,"B",IF('Data Source'!AB858&gt;=2,"C",IF('Data Source'!AB858&gt;=1,"D","F")))))),"")</f>
        <v/>
      </c>
      <c r="K858" s="3">
        <f>IF(AND('Data Source'!B858&lt;&gt;"",'Data Source'!S858="A+"),IF('Data Source'!AC858&gt;=5,"A+",IF('Data Source'!AC858&gt;=4,"A",IF('Data Source'!AC858&gt;=3.5,"A-",IF('Data Source'!AC858&gt;=3,"B",IF('Data Source'!AC858&gt;=2,"C",IF('Data Source'!AC858&gt;=1,"D","F")))))),"")</f>
        <v/>
      </c>
      <c r="L858" s="3">
        <f>IF(AND('Data Source'!B858&lt;&gt;"",'Data Source'!S858="A+"),IF('Data Source'!AD858&gt;=5,"A+",IF('Data Source'!AD858&gt;=4,"A",IF('Data Source'!AD858&gt;=3.5,"A-",IF('Data Source'!AD858&gt;=3,"B",IF('Data Source'!AD858&gt;=2,"C",IF('Data Source'!AD858&gt;=1,"D","F")))))),"")</f>
        <v/>
      </c>
      <c r="M858" s="3">
        <f>IF(AND('Data Source'!B858&lt;&gt;"",'Data Source'!S858="A+"),IF('Data Source'!AE858&gt;=5,"A+",IF('Data Source'!AE858&gt;=4,"A",IF('Data Source'!AE858&gt;=3.5,"A-",IF('Data Source'!AE858&gt;=3,"B",IF('Data Source'!AE858&gt;=2,"C",IF('Data Source'!AE858&gt;=1,"D","F")))))),"")</f>
        <v/>
      </c>
      <c r="N858" s="3">
        <f>IF(AND('Data Source'!B858&lt;&gt;"",'Data Source'!S858="A+"),IF('Data Source'!AF858&gt;=5,"A+",IF('Data Source'!AF858&gt;=4,"A",IF('Data Source'!AF858&gt;=3.5,"A-",IF('Data Source'!AF858&gt;=3,"B",IF('Data Source'!AF858&gt;=2,"C",IF('Data Source'!AF858&gt;=1,"D","F")))))),"")</f>
        <v/>
      </c>
      <c r="O858" s="3">
        <f>IF(AND('Data Source'!B858&lt;&gt;"",'Data Source'!S858="A+"),IF('Data Source'!AG858&gt;=5,"A+",IF('Data Source'!AG858&gt;=4,"A",IF('Data Source'!AG858&gt;=3.5,"A-",IF('Data Source'!AG858&gt;=3,"B",IF('Data Source'!AG858&gt;=2,"C",IF('Data Source'!AG858&gt;=1,"D","F")))))),"")</f>
        <v/>
      </c>
      <c r="P858" s="5">
        <f>IF(AND('Data Source'!B858&lt;&gt;"",'Data Source'!S858="A+"),'Data Source'!R858,"")</f>
        <v/>
      </c>
      <c r="Q858" s="3">
        <f>IF(AND('Data Source'!B858&lt;&gt;"",'Data Source'!S858="A+"),'Data Source'!S858,"")</f>
        <v/>
      </c>
    </row>
    <row r="859">
      <c r="A859" s="3">
        <f>IF(AND('Data Source'!B859&lt;&gt;"",'Data Source'!S859="A+"),COUNTIF('Data Source'!$S$3:S859,"A+"),"")</f>
        <v/>
      </c>
      <c r="B859">
        <f>IF(AND('Data Source'!B859&lt;&gt;"",'Data Source'!S859="A+"),'Data Source'!B859,"")</f>
        <v/>
      </c>
      <c r="C859" s="3">
        <f>IF(AND('Data Source'!B859&lt;&gt;"",'Data Source'!S859="A+"),IF('Data Source'!U859&gt;=5,"A+",IF('Data Source'!U859&gt;=4,"A",IF('Data Source'!U859&gt;=3.5,"A-",IF('Data Source'!U859&gt;=3,"B",IF('Data Source'!U859&gt;=2,"C",IF('Data Source'!U859&gt;=1,"D","F")))))),"")</f>
        <v/>
      </c>
      <c r="D859" s="3">
        <f>IF(AND('Data Source'!B859&lt;&gt;"",'Data Source'!S859="A+"),IF('Data Source'!V859&gt;=5,"A+",IF('Data Source'!V859&gt;=4,"A",IF('Data Source'!V859&gt;=3.5,"A-",IF('Data Source'!V859&gt;=3,"B",IF('Data Source'!V859&gt;=2,"C",IF('Data Source'!V859&gt;=1,"D","F")))))),"")</f>
        <v/>
      </c>
      <c r="E859" s="3">
        <f>IF(AND('Data Source'!B859&lt;&gt;"",'Data Source'!S859="A+"),IF('Data Source'!W859&gt;=5,"A+",IF('Data Source'!W859&gt;=4,"A",IF('Data Source'!W859&gt;=3.5,"A-",IF('Data Source'!W859&gt;=3,"B",IF('Data Source'!W859&gt;=2,"C",IF('Data Source'!W859&gt;=1,"D","F")))))),"")</f>
        <v/>
      </c>
      <c r="F859" s="3">
        <f>IF(AND('Data Source'!B859&lt;&gt;"",'Data Source'!S859="A+"),IF('Data Source'!X859&gt;=5,"A+",IF('Data Source'!X859&gt;=4,"A",IF('Data Source'!X859&gt;=3.5,"A-",IF('Data Source'!X859&gt;=3,"B",IF('Data Source'!X859&gt;=2,"C",IF('Data Source'!X859&gt;=1,"D","F")))))),"")</f>
        <v/>
      </c>
      <c r="G859" s="3">
        <f>IF(AND('Data Source'!B859&lt;&gt;"",'Data Source'!S859="A+"),IF('Data Source'!Y859&gt;=5,"A+",IF('Data Source'!Y859&gt;=4,"A",IF('Data Source'!Y859&gt;=3.5,"A-",IF('Data Source'!Y859&gt;=3,"B",IF('Data Source'!Y859&gt;=2,"C",IF('Data Source'!Y859&gt;=1,"D","F")))))),"")</f>
        <v/>
      </c>
      <c r="H859" s="3">
        <f>IF(AND('Data Source'!B859&lt;&gt;"",'Data Source'!S859="A+"),IF('Data Source'!Z859&gt;=5,"A+",IF('Data Source'!Z859&gt;=4,"A",IF('Data Source'!Z859&gt;=3.5,"A-",IF('Data Source'!Z859&gt;=3,"B",IF('Data Source'!Z859&gt;=2,"C",IF('Data Source'!Z859&gt;=1,"D","F")))))),"")</f>
        <v/>
      </c>
      <c r="I859" s="3">
        <f>IF(AND('Data Source'!B859&lt;&gt;"",'Data Source'!S859="A+"),IF('Data Source'!AA859&gt;=5,"A+",IF('Data Source'!AA859&gt;=4,"A",IF('Data Source'!AA859&gt;=3.5,"A-",IF('Data Source'!AA859&gt;=3,"B",IF('Data Source'!AA859&gt;=2,"C",IF('Data Source'!AA859&gt;=1,"D","F")))))),"")</f>
        <v/>
      </c>
      <c r="J859" s="3">
        <f>IF(AND('Data Source'!B859&lt;&gt;"",'Data Source'!S859="A+"),IF('Data Source'!AB859&gt;=5,"A+",IF('Data Source'!AB859&gt;=4,"A",IF('Data Source'!AB859&gt;=3.5,"A-",IF('Data Source'!AB859&gt;=3,"B",IF('Data Source'!AB859&gt;=2,"C",IF('Data Source'!AB859&gt;=1,"D","F")))))),"")</f>
        <v/>
      </c>
      <c r="K859" s="3">
        <f>IF(AND('Data Source'!B859&lt;&gt;"",'Data Source'!S859="A+"),IF('Data Source'!AC859&gt;=5,"A+",IF('Data Source'!AC859&gt;=4,"A",IF('Data Source'!AC859&gt;=3.5,"A-",IF('Data Source'!AC859&gt;=3,"B",IF('Data Source'!AC859&gt;=2,"C",IF('Data Source'!AC859&gt;=1,"D","F")))))),"")</f>
        <v/>
      </c>
      <c r="L859" s="3">
        <f>IF(AND('Data Source'!B859&lt;&gt;"",'Data Source'!S859="A+"),IF('Data Source'!AD859&gt;=5,"A+",IF('Data Source'!AD859&gt;=4,"A",IF('Data Source'!AD859&gt;=3.5,"A-",IF('Data Source'!AD859&gt;=3,"B",IF('Data Source'!AD859&gt;=2,"C",IF('Data Source'!AD859&gt;=1,"D","F")))))),"")</f>
        <v/>
      </c>
      <c r="M859" s="3">
        <f>IF(AND('Data Source'!B859&lt;&gt;"",'Data Source'!S859="A+"),IF('Data Source'!AE859&gt;=5,"A+",IF('Data Source'!AE859&gt;=4,"A",IF('Data Source'!AE859&gt;=3.5,"A-",IF('Data Source'!AE859&gt;=3,"B",IF('Data Source'!AE859&gt;=2,"C",IF('Data Source'!AE859&gt;=1,"D","F")))))),"")</f>
        <v/>
      </c>
      <c r="N859" s="3">
        <f>IF(AND('Data Source'!B859&lt;&gt;"",'Data Source'!S859="A+"),IF('Data Source'!AF859&gt;=5,"A+",IF('Data Source'!AF859&gt;=4,"A",IF('Data Source'!AF859&gt;=3.5,"A-",IF('Data Source'!AF859&gt;=3,"B",IF('Data Source'!AF859&gt;=2,"C",IF('Data Source'!AF859&gt;=1,"D","F")))))),"")</f>
        <v/>
      </c>
      <c r="O859" s="3">
        <f>IF(AND('Data Source'!B859&lt;&gt;"",'Data Source'!S859="A+"),IF('Data Source'!AG859&gt;=5,"A+",IF('Data Source'!AG859&gt;=4,"A",IF('Data Source'!AG859&gt;=3.5,"A-",IF('Data Source'!AG859&gt;=3,"B",IF('Data Source'!AG859&gt;=2,"C",IF('Data Source'!AG859&gt;=1,"D","F")))))),"")</f>
        <v/>
      </c>
      <c r="P859" s="5">
        <f>IF(AND('Data Source'!B859&lt;&gt;"",'Data Source'!S859="A+"),'Data Source'!R859,"")</f>
        <v/>
      </c>
      <c r="Q859" s="3">
        <f>IF(AND('Data Source'!B859&lt;&gt;"",'Data Source'!S859="A+"),'Data Source'!S859,"")</f>
        <v/>
      </c>
    </row>
    <row r="860">
      <c r="A860" s="3">
        <f>IF(AND('Data Source'!B860&lt;&gt;"",'Data Source'!S860="A+"),COUNTIF('Data Source'!$S$3:S860,"A+"),"")</f>
        <v/>
      </c>
      <c r="B860">
        <f>IF(AND('Data Source'!B860&lt;&gt;"",'Data Source'!S860="A+"),'Data Source'!B860,"")</f>
        <v/>
      </c>
      <c r="C860" s="3">
        <f>IF(AND('Data Source'!B860&lt;&gt;"",'Data Source'!S860="A+"),IF('Data Source'!U860&gt;=5,"A+",IF('Data Source'!U860&gt;=4,"A",IF('Data Source'!U860&gt;=3.5,"A-",IF('Data Source'!U860&gt;=3,"B",IF('Data Source'!U860&gt;=2,"C",IF('Data Source'!U860&gt;=1,"D","F")))))),"")</f>
        <v/>
      </c>
      <c r="D860" s="3">
        <f>IF(AND('Data Source'!B860&lt;&gt;"",'Data Source'!S860="A+"),IF('Data Source'!V860&gt;=5,"A+",IF('Data Source'!V860&gt;=4,"A",IF('Data Source'!V860&gt;=3.5,"A-",IF('Data Source'!V860&gt;=3,"B",IF('Data Source'!V860&gt;=2,"C",IF('Data Source'!V860&gt;=1,"D","F")))))),"")</f>
        <v/>
      </c>
      <c r="E860" s="3">
        <f>IF(AND('Data Source'!B860&lt;&gt;"",'Data Source'!S860="A+"),IF('Data Source'!W860&gt;=5,"A+",IF('Data Source'!W860&gt;=4,"A",IF('Data Source'!W860&gt;=3.5,"A-",IF('Data Source'!W860&gt;=3,"B",IF('Data Source'!W860&gt;=2,"C",IF('Data Source'!W860&gt;=1,"D","F")))))),"")</f>
        <v/>
      </c>
      <c r="F860" s="3">
        <f>IF(AND('Data Source'!B860&lt;&gt;"",'Data Source'!S860="A+"),IF('Data Source'!X860&gt;=5,"A+",IF('Data Source'!X860&gt;=4,"A",IF('Data Source'!X860&gt;=3.5,"A-",IF('Data Source'!X860&gt;=3,"B",IF('Data Source'!X860&gt;=2,"C",IF('Data Source'!X860&gt;=1,"D","F")))))),"")</f>
        <v/>
      </c>
      <c r="G860" s="3">
        <f>IF(AND('Data Source'!B860&lt;&gt;"",'Data Source'!S860="A+"),IF('Data Source'!Y860&gt;=5,"A+",IF('Data Source'!Y860&gt;=4,"A",IF('Data Source'!Y860&gt;=3.5,"A-",IF('Data Source'!Y860&gt;=3,"B",IF('Data Source'!Y860&gt;=2,"C",IF('Data Source'!Y860&gt;=1,"D","F")))))),"")</f>
        <v/>
      </c>
      <c r="H860" s="3">
        <f>IF(AND('Data Source'!B860&lt;&gt;"",'Data Source'!S860="A+"),IF('Data Source'!Z860&gt;=5,"A+",IF('Data Source'!Z860&gt;=4,"A",IF('Data Source'!Z860&gt;=3.5,"A-",IF('Data Source'!Z860&gt;=3,"B",IF('Data Source'!Z860&gt;=2,"C",IF('Data Source'!Z860&gt;=1,"D","F")))))),"")</f>
        <v/>
      </c>
      <c r="I860" s="3">
        <f>IF(AND('Data Source'!B860&lt;&gt;"",'Data Source'!S860="A+"),IF('Data Source'!AA860&gt;=5,"A+",IF('Data Source'!AA860&gt;=4,"A",IF('Data Source'!AA860&gt;=3.5,"A-",IF('Data Source'!AA860&gt;=3,"B",IF('Data Source'!AA860&gt;=2,"C",IF('Data Source'!AA860&gt;=1,"D","F")))))),"")</f>
        <v/>
      </c>
      <c r="J860" s="3">
        <f>IF(AND('Data Source'!B860&lt;&gt;"",'Data Source'!S860="A+"),IF('Data Source'!AB860&gt;=5,"A+",IF('Data Source'!AB860&gt;=4,"A",IF('Data Source'!AB860&gt;=3.5,"A-",IF('Data Source'!AB860&gt;=3,"B",IF('Data Source'!AB860&gt;=2,"C",IF('Data Source'!AB860&gt;=1,"D","F")))))),"")</f>
        <v/>
      </c>
      <c r="K860" s="3">
        <f>IF(AND('Data Source'!B860&lt;&gt;"",'Data Source'!S860="A+"),IF('Data Source'!AC860&gt;=5,"A+",IF('Data Source'!AC860&gt;=4,"A",IF('Data Source'!AC860&gt;=3.5,"A-",IF('Data Source'!AC860&gt;=3,"B",IF('Data Source'!AC860&gt;=2,"C",IF('Data Source'!AC860&gt;=1,"D","F")))))),"")</f>
        <v/>
      </c>
      <c r="L860" s="3">
        <f>IF(AND('Data Source'!B860&lt;&gt;"",'Data Source'!S860="A+"),IF('Data Source'!AD860&gt;=5,"A+",IF('Data Source'!AD860&gt;=4,"A",IF('Data Source'!AD860&gt;=3.5,"A-",IF('Data Source'!AD860&gt;=3,"B",IF('Data Source'!AD860&gt;=2,"C",IF('Data Source'!AD860&gt;=1,"D","F")))))),"")</f>
        <v/>
      </c>
      <c r="M860" s="3">
        <f>IF(AND('Data Source'!B860&lt;&gt;"",'Data Source'!S860="A+"),IF('Data Source'!AE860&gt;=5,"A+",IF('Data Source'!AE860&gt;=4,"A",IF('Data Source'!AE860&gt;=3.5,"A-",IF('Data Source'!AE860&gt;=3,"B",IF('Data Source'!AE860&gt;=2,"C",IF('Data Source'!AE860&gt;=1,"D","F")))))),"")</f>
        <v/>
      </c>
      <c r="N860" s="3">
        <f>IF(AND('Data Source'!B860&lt;&gt;"",'Data Source'!S860="A+"),IF('Data Source'!AF860&gt;=5,"A+",IF('Data Source'!AF860&gt;=4,"A",IF('Data Source'!AF860&gt;=3.5,"A-",IF('Data Source'!AF860&gt;=3,"B",IF('Data Source'!AF860&gt;=2,"C",IF('Data Source'!AF860&gt;=1,"D","F")))))),"")</f>
        <v/>
      </c>
      <c r="O860" s="3">
        <f>IF(AND('Data Source'!B860&lt;&gt;"",'Data Source'!S860="A+"),IF('Data Source'!AG860&gt;=5,"A+",IF('Data Source'!AG860&gt;=4,"A",IF('Data Source'!AG860&gt;=3.5,"A-",IF('Data Source'!AG860&gt;=3,"B",IF('Data Source'!AG860&gt;=2,"C",IF('Data Source'!AG860&gt;=1,"D","F")))))),"")</f>
        <v/>
      </c>
      <c r="P860" s="5">
        <f>IF(AND('Data Source'!B860&lt;&gt;"",'Data Source'!S860="A+"),'Data Source'!R860,"")</f>
        <v/>
      </c>
      <c r="Q860" s="3">
        <f>IF(AND('Data Source'!B860&lt;&gt;"",'Data Source'!S860="A+"),'Data Source'!S860,"")</f>
        <v/>
      </c>
    </row>
    <row r="861">
      <c r="A861" s="3">
        <f>IF(AND('Data Source'!B861&lt;&gt;"",'Data Source'!S861="A+"),COUNTIF('Data Source'!$S$3:S861,"A+"),"")</f>
        <v/>
      </c>
      <c r="B861">
        <f>IF(AND('Data Source'!B861&lt;&gt;"",'Data Source'!S861="A+"),'Data Source'!B861,"")</f>
        <v/>
      </c>
      <c r="C861" s="3">
        <f>IF(AND('Data Source'!B861&lt;&gt;"",'Data Source'!S861="A+"),IF('Data Source'!U861&gt;=5,"A+",IF('Data Source'!U861&gt;=4,"A",IF('Data Source'!U861&gt;=3.5,"A-",IF('Data Source'!U861&gt;=3,"B",IF('Data Source'!U861&gt;=2,"C",IF('Data Source'!U861&gt;=1,"D","F")))))),"")</f>
        <v/>
      </c>
      <c r="D861" s="3">
        <f>IF(AND('Data Source'!B861&lt;&gt;"",'Data Source'!S861="A+"),IF('Data Source'!V861&gt;=5,"A+",IF('Data Source'!V861&gt;=4,"A",IF('Data Source'!V861&gt;=3.5,"A-",IF('Data Source'!V861&gt;=3,"B",IF('Data Source'!V861&gt;=2,"C",IF('Data Source'!V861&gt;=1,"D","F")))))),"")</f>
        <v/>
      </c>
      <c r="E861" s="3">
        <f>IF(AND('Data Source'!B861&lt;&gt;"",'Data Source'!S861="A+"),IF('Data Source'!W861&gt;=5,"A+",IF('Data Source'!W861&gt;=4,"A",IF('Data Source'!W861&gt;=3.5,"A-",IF('Data Source'!W861&gt;=3,"B",IF('Data Source'!W861&gt;=2,"C",IF('Data Source'!W861&gt;=1,"D","F")))))),"")</f>
        <v/>
      </c>
      <c r="F861" s="3">
        <f>IF(AND('Data Source'!B861&lt;&gt;"",'Data Source'!S861="A+"),IF('Data Source'!X861&gt;=5,"A+",IF('Data Source'!X861&gt;=4,"A",IF('Data Source'!X861&gt;=3.5,"A-",IF('Data Source'!X861&gt;=3,"B",IF('Data Source'!X861&gt;=2,"C",IF('Data Source'!X861&gt;=1,"D","F")))))),"")</f>
        <v/>
      </c>
      <c r="G861" s="3">
        <f>IF(AND('Data Source'!B861&lt;&gt;"",'Data Source'!S861="A+"),IF('Data Source'!Y861&gt;=5,"A+",IF('Data Source'!Y861&gt;=4,"A",IF('Data Source'!Y861&gt;=3.5,"A-",IF('Data Source'!Y861&gt;=3,"B",IF('Data Source'!Y861&gt;=2,"C",IF('Data Source'!Y861&gt;=1,"D","F")))))),"")</f>
        <v/>
      </c>
      <c r="H861" s="3">
        <f>IF(AND('Data Source'!B861&lt;&gt;"",'Data Source'!S861="A+"),IF('Data Source'!Z861&gt;=5,"A+",IF('Data Source'!Z861&gt;=4,"A",IF('Data Source'!Z861&gt;=3.5,"A-",IF('Data Source'!Z861&gt;=3,"B",IF('Data Source'!Z861&gt;=2,"C",IF('Data Source'!Z861&gt;=1,"D","F")))))),"")</f>
        <v/>
      </c>
      <c r="I861" s="3">
        <f>IF(AND('Data Source'!B861&lt;&gt;"",'Data Source'!S861="A+"),IF('Data Source'!AA861&gt;=5,"A+",IF('Data Source'!AA861&gt;=4,"A",IF('Data Source'!AA861&gt;=3.5,"A-",IF('Data Source'!AA861&gt;=3,"B",IF('Data Source'!AA861&gt;=2,"C",IF('Data Source'!AA861&gt;=1,"D","F")))))),"")</f>
        <v/>
      </c>
      <c r="J861" s="3">
        <f>IF(AND('Data Source'!B861&lt;&gt;"",'Data Source'!S861="A+"),IF('Data Source'!AB861&gt;=5,"A+",IF('Data Source'!AB861&gt;=4,"A",IF('Data Source'!AB861&gt;=3.5,"A-",IF('Data Source'!AB861&gt;=3,"B",IF('Data Source'!AB861&gt;=2,"C",IF('Data Source'!AB861&gt;=1,"D","F")))))),"")</f>
        <v/>
      </c>
      <c r="K861" s="3">
        <f>IF(AND('Data Source'!B861&lt;&gt;"",'Data Source'!S861="A+"),IF('Data Source'!AC861&gt;=5,"A+",IF('Data Source'!AC861&gt;=4,"A",IF('Data Source'!AC861&gt;=3.5,"A-",IF('Data Source'!AC861&gt;=3,"B",IF('Data Source'!AC861&gt;=2,"C",IF('Data Source'!AC861&gt;=1,"D","F")))))),"")</f>
        <v/>
      </c>
      <c r="L861" s="3">
        <f>IF(AND('Data Source'!B861&lt;&gt;"",'Data Source'!S861="A+"),IF('Data Source'!AD861&gt;=5,"A+",IF('Data Source'!AD861&gt;=4,"A",IF('Data Source'!AD861&gt;=3.5,"A-",IF('Data Source'!AD861&gt;=3,"B",IF('Data Source'!AD861&gt;=2,"C",IF('Data Source'!AD861&gt;=1,"D","F")))))),"")</f>
        <v/>
      </c>
      <c r="M861" s="3">
        <f>IF(AND('Data Source'!B861&lt;&gt;"",'Data Source'!S861="A+"),IF('Data Source'!AE861&gt;=5,"A+",IF('Data Source'!AE861&gt;=4,"A",IF('Data Source'!AE861&gt;=3.5,"A-",IF('Data Source'!AE861&gt;=3,"B",IF('Data Source'!AE861&gt;=2,"C",IF('Data Source'!AE861&gt;=1,"D","F")))))),"")</f>
        <v/>
      </c>
      <c r="N861" s="3">
        <f>IF(AND('Data Source'!B861&lt;&gt;"",'Data Source'!S861="A+"),IF('Data Source'!AF861&gt;=5,"A+",IF('Data Source'!AF861&gt;=4,"A",IF('Data Source'!AF861&gt;=3.5,"A-",IF('Data Source'!AF861&gt;=3,"B",IF('Data Source'!AF861&gt;=2,"C",IF('Data Source'!AF861&gt;=1,"D","F")))))),"")</f>
        <v/>
      </c>
      <c r="O861" s="3">
        <f>IF(AND('Data Source'!B861&lt;&gt;"",'Data Source'!S861="A+"),IF('Data Source'!AG861&gt;=5,"A+",IF('Data Source'!AG861&gt;=4,"A",IF('Data Source'!AG861&gt;=3.5,"A-",IF('Data Source'!AG861&gt;=3,"B",IF('Data Source'!AG861&gt;=2,"C",IF('Data Source'!AG861&gt;=1,"D","F")))))),"")</f>
        <v/>
      </c>
      <c r="P861" s="5">
        <f>IF(AND('Data Source'!B861&lt;&gt;"",'Data Source'!S861="A+"),'Data Source'!R861,"")</f>
        <v/>
      </c>
      <c r="Q861" s="3">
        <f>IF(AND('Data Source'!B861&lt;&gt;"",'Data Source'!S861="A+"),'Data Source'!S861,"")</f>
        <v/>
      </c>
    </row>
    <row r="862">
      <c r="A862" s="3">
        <f>IF(AND('Data Source'!B862&lt;&gt;"",'Data Source'!S862="A+"),COUNTIF('Data Source'!$S$3:S862,"A+"),"")</f>
        <v/>
      </c>
      <c r="B862">
        <f>IF(AND('Data Source'!B862&lt;&gt;"",'Data Source'!S862="A+"),'Data Source'!B862,"")</f>
        <v/>
      </c>
      <c r="C862" s="3">
        <f>IF(AND('Data Source'!B862&lt;&gt;"",'Data Source'!S862="A+"),IF('Data Source'!U862&gt;=5,"A+",IF('Data Source'!U862&gt;=4,"A",IF('Data Source'!U862&gt;=3.5,"A-",IF('Data Source'!U862&gt;=3,"B",IF('Data Source'!U862&gt;=2,"C",IF('Data Source'!U862&gt;=1,"D","F")))))),"")</f>
        <v/>
      </c>
      <c r="D862" s="3">
        <f>IF(AND('Data Source'!B862&lt;&gt;"",'Data Source'!S862="A+"),IF('Data Source'!V862&gt;=5,"A+",IF('Data Source'!V862&gt;=4,"A",IF('Data Source'!V862&gt;=3.5,"A-",IF('Data Source'!V862&gt;=3,"B",IF('Data Source'!V862&gt;=2,"C",IF('Data Source'!V862&gt;=1,"D","F")))))),"")</f>
        <v/>
      </c>
      <c r="E862" s="3">
        <f>IF(AND('Data Source'!B862&lt;&gt;"",'Data Source'!S862="A+"),IF('Data Source'!W862&gt;=5,"A+",IF('Data Source'!W862&gt;=4,"A",IF('Data Source'!W862&gt;=3.5,"A-",IF('Data Source'!W862&gt;=3,"B",IF('Data Source'!W862&gt;=2,"C",IF('Data Source'!W862&gt;=1,"D","F")))))),"")</f>
        <v/>
      </c>
      <c r="F862" s="3">
        <f>IF(AND('Data Source'!B862&lt;&gt;"",'Data Source'!S862="A+"),IF('Data Source'!X862&gt;=5,"A+",IF('Data Source'!X862&gt;=4,"A",IF('Data Source'!X862&gt;=3.5,"A-",IF('Data Source'!X862&gt;=3,"B",IF('Data Source'!X862&gt;=2,"C",IF('Data Source'!X862&gt;=1,"D","F")))))),"")</f>
        <v/>
      </c>
      <c r="G862" s="3">
        <f>IF(AND('Data Source'!B862&lt;&gt;"",'Data Source'!S862="A+"),IF('Data Source'!Y862&gt;=5,"A+",IF('Data Source'!Y862&gt;=4,"A",IF('Data Source'!Y862&gt;=3.5,"A-",IF('Data Source'!Y862&gt;=3,"B",IF('Data Source'!Y862&gt;=2,"C",IF('Data Source'!Y862&gt;=1,"D","F")))))),"")</f>
        <v/>
      </c>
      <c r="H862" s="3">
        <f>IF(AND('Data Source'!B862&lt;&gt;"",'Data Source'!S862="A+"),IF('Data Source'!Z862&gt;=5,"A+",IF('Data Source'!Z862&gt;=4,"A",IF('Data Source'!Z862&gt;=3.5,"A-",IF('Data Source'!Z862&gt;=3,"B",IF('Data Source'!Z862&gt;=2,"C",IF('Data Source'!Z862&gt;=1,"D","F")))))),"")</f>
        <v/>
      </c>
      <c r="I862" s="3">
        <f>IF(AND('Data Source'!B862&lt;&gt;"",'Data Source'!S862="A+"),IF('Data Source'!AA862&gt;=5,"A+",IF('Data Source'!AA862&gt;=4,"A",IF('Data Source'!AA862&gt;=3.5,"A-",IF('Data Source'!AA862&gt;=3,"B",IF('Data Source'!AA862&gt;=2,"C",IF('Data Source'!AA862&gt;=1,"D","F")))))),"")</f>
        <v/>
      </c>
      <c r="J862" s="3">
        <f>IF(AND('Data Source'!B862&lt;&gt;"",'Data Source'!S862="A+"),IF('Data Source'!AB862&gt;=5,"A+",IF('Data Source'!AB862&gt;=4,"A",IF('Data Source'!AB862&gt;=3.5,"A-",IF('Data Source'!AB862&gt;=3,"B",IF('Data Source'!AB862&gt;=2,"C",IF('Data Source'!AB862&gt;=1,"D","F")))))),"")</f>
        <v/>
      </c>
      <c r="K862" s="3">
        <f>IF(AND('Data Source'!B862&lt;&gt;"",'Data Source'!S862="A+"),IF('Data Source'!AC862&gt;=5,"A+",IF('Data Source'!AC862&gt;=4,"A",IF('Data Source'!AC862&gt;=3.5,"A-",IF('Data Source'!AC862&gt;=3,"B",IF('Data Source'!AC862&gt;=2,"C",IF('Data Source'!AC862&gt;=1,"D","F")))))),"")</f>
        <v/>
      </c>
      <c r="L862" s="3">
        <f>IF(AND('Data Source'!B862&lt;&gt;"",'Data Source'!S862="A+"),IF('Data Source'!AD862&gt;=5,"A+",IF('Data Source'!AD862&gt;=4,"A",IF('Data Source'!AD862&gt;=3.5,"A-",IF('Data Source'!AD862&gt;=3,"B",IF('Data Source'!AD862&gt;=2,"C",IF('Data Source'!AD862&gt;=1,"D","F")))))),"")</f>
        <v/>
      </c>
      <c r="M862" s="3">
        <f>IF(AND('Data Source'!B862&lt;&gt;"",'Data Source'!S862="A+"),IF('Data Source'!AE862&gt;=5,"A+",IF('Data Source'!AE862&gt;=4,"A",IF('Data Source'!AE862&gt;=3.5,"A-",IF('Data Source'!AE862&gt;=3,"B",IF('Data Source'!AE862&gt;=2,"C",IF('Data Source'!AE862&gt;=1,"D","F")))))),"")</f>
        <v/>
      </c>
      <c r="N862" s="3">
        <f>IF(AND('Data Source'!B862&lt;&gt;"",'Data Source'!S862="A+"),IF('Data Source'!AF862&gt;=5,"A+",IF('Data Source'!AF862&gt;=4,"A",IF('Data Source'!AF862&gt;=3.5,"A-",IF('Data Source'!AF862&gt;=3,"B",IF('Data Source'!AF862&gt;=2,"C",IF('Data Source'!AF862&gt;=1,"D","F")))))),"")</f>
        <v/>
      </c>
      <c r="O862" s="3">
        <f>IF(AND('Data Source'!B862&lt;&gt;"",'Data Source'!S862="A+"),IF('Data Source'!AG862&gt;=5,"A+",IF('Data Source'!AG862&gt;=4,"A",IF('Data Source'!AG862&gt;=3.5,"A-",IF('Data Source'!AG862&gt;=3,"B",IF('Data Source'!AG862&gt;=2,"C",IF('Data Source'!AG862&gt;=1,"D","F")))))),"")</f>
        <v/>
      </c>
      <c r="P862" s="5">
        <f>IF(AND('Data Source'!B862&lt;&gt;"",'Data Source'!S862="A+"),'Data Source'!R862,"")</f>
        <v/>
      </c>
      <c r="Q862" s="3">
        <f>IF(AND('Data Source'!B862&lt;&gt;"",'Data Source'!S862="A+"),'Data Source'!S862,"")</f>
        <v/>
      </c>
    </row>
    <row r="863">
      <c r="A863" s="3">
        <f>IF(AND('Data Source'!B863&lt;&gt;"",'Data Source'!S863="A+"),COUNTIF('Data Source'!$S$3:S863,"A+"),"")</f>
        <v/>
      </c>
      <c r="B863">
        <f>IF(AND('Data Source'!B863&lt;&gt;"",'Data Source'!S863="A+"),'Data Source'!B863,"")</f>
        <v/>
      </c>
      <c r="C863" s="3">
        <f>IF(AND('Data Source'!B863&lt;&gt;"",'Data Source'!S863="A+"),IF('Data Source'!U863&gt;=5,"A+",IF('Data Source'!U863&gt;=4,"A",IF('Data Source'!U863&gt;=3.5,"A-",IF('Data Source'!U863&gt;=3,"B",IF('Data Source'!U863&gt;=2,"C",IF('Data Source'!U863&gt;=1,"D","F")))))),"")</f>
        <v/>
      </c>
      <c r="D863" s="3">
        <f>IF(AND('Data Source'!B863&lt;&gt;"",'Data Source'!S863="A+"),IF('Data Source'!V863&gt;=5,"A+",IF('Data Source'!V863&gt;=4,"A",IF('Data Source'!V863&gt;=3.5,"A-",IF('Data Source'!V863&gt;=3,"B",IF('Data Source'!V863&gt;=2,"C",IF('Data Source'!V863&gt;=1,"D","F")))))),"")</f>
        <v/>
      </c>
      <c r="E863" s="3">
        <f>IF(AND('Data Source'!B863&lt;&gt;"",'Data Source'!S863="A+"),IF('Data Source'!W863&gt;=5,"A+",IF('Data Source'!W863&gt;=4,"A",IF('Data Source'!W863&gt;=3.5,"A-",IF('Data Source'!W863&gt;=3,"B",IF('Data Source'!W863&gt;=2,"C",IF('Data Source'!W863&gt;=1,"D","F")))))),"")</f>
        <v/>
      </c>
      <c r="F863" s="3">
        <f>IF(AND('Data Source'!B863&lt;&gt;"",'Data Source'!S863="A+"),IF('Data Source'!X863&gt;=5,"A+",IF('Data Source'!X863&gt;=4,"A",IF('Data Source'!X863&gt;=3.5,"A-",IF('Data Source'!X863&gt;=3,"B",IF('Data Source'!X863&gt;=2,"C",IF('Data Source'!X863&gt;=1,"D","F")))))),"")</f>
        <v/>
      </c>
      <c r="G863" s="3">
        <f>IF(AND('Data Source'!B863&lt;&gt;"",'Data Source'!S863="A+"),IF('Data Source'!Y863&gt;=5,"A+",IF('Data Source'!Y863&gt;=4,"A",IF('Data Source'!Y863&gt;=3.5,"A-",IF('Data Source'!Y863&gt;=3,"B",IF('Data Source'!Y863&gt;=2,"C",IF('Data Source'!Y863&gt;=1,"D","F")))))),"")</f>
        <v/>
      </c>
      <c r="H863" s="3">
        <f>IF(AND('Data Source'!B863&lt;&gt;"",'Data Source'!S863="A+"),IF('Data Source'!Z863&gt;=5,"A+",IF('Data Source'!Z863&gt;=4,"A",IF('Data Source'!Z863&gt;=3.5,"A-",IF('Data Source'!Z863&gt;=3,"B",IF('Data Source'!Z863&gt;=2,"C",IF('Data Source'!Z863&gt;=1,"D","F")))))),"")</f>
        <v/>
      </c>
      <c r="I863" s="3">
        <f>IF(AND('Data Source'!B863&lt;&gt;"",'Data Source'!S863="A+"),IF('Data Source'!AA863&gt;=5,"A+",IF('Data Source'!AA863&gt;=4,"A",IF('Data Source'!AA863&gt;=3.5,"A-",IF('Data Source'!AA863&gt;=3,"B",IF('Data Source'!AA863&gt;=2,"C",IF('Data Source'!AA863&gt;=1,"D","F")))))),"")</f>
        <v/>
      </c>
      <c r="J863" s="3">
        <f>IF(AND('Data Source'!B863&lt;&gt;"",'Data Source'!S863="A+"),IF('Data Source'!AB863&gt;=5,"A+",IF('Data Source'!AB863&gt;=4,"A",IF('Data Source'!AB863&gt;=3.5,"A-",IF('Data Source'!AB863&gt;=3,"B",IF('Data Source'!AB863&gt;=2,"C",IF('Data Source'!AB863&gt;=1,"D","F")))))),"")</f>
        <v/>
      </c>
      <c r="K863" s="3">
        <f>IF(AND('Data Source'!B863&lt;&gt;"",'Data Source'!S863="A+"),IF('Data Source'!AC863&gt;=5,"A+",IF('Data Source'!AC863&gt;=4,"A",IF('Data Source'!AC863&gt;=3.5,"A-",IF('Data Source'!AC863&gt;=3,"B",IF('Data Source'!AC863&gt;=2,"C",IF('Data Source'!AC863&gt;=1,"D","F")))))),"")</f>
        <v/>
      </c>
      <c r="L863" s="3">
        <f>IF(AND('Data Source'!B863&lt;&gt;"",'Data Source'!S863="A+"),IF('Data Source'!AD863&gt;=5,"A+",IF('Data Source'!AD863&gt;=4,"A",IF('Data Source'!AD863&gt;=3.5,"A-",IF('Data Source'!AD863&gt;=3,"B",IF('Data Source'!AD863&gt;=2,"C",IF('Data Source'!AD863&gt;=1,"D","F")))))),"")</f>
        <v/>
      </c>
      <c r="M863" s="3">
        <f>IF(AND('Data Source'!B863&lt;&gt;"",'Data Source'!S863="A+"),IF('Data Source'!AE863&gt;=5,"A+",IF('Data Source'!AE863&gt;=4,"A",IF('Data Source'!AE863&gt;=3.5,"A-",IF('Data Source'!AE863&gt;=3,"B",IF('Data Source'!AE863&gt;=2,"C",IF('Data Source'!AE863&gt;=1,"D","F")))))),"")</f>
        <v/>
      </c>
      <c r="N863" s="3">
        <f>IF(AND('Data Source'!B863&lt;&gt;"",'Data Source'!S863="A+"),IF('Data Source'!AF863&gt;=5,"A+",IF('Data Source'!AF863&gt;=4,"A",IF('Data Source'!AF863&gt;=3.5,"A-",IF('Data Source'!AF863&gt;=3,"B",IF('Data Source'!AF863&gt;=2,"C",IF('Data Source'!AF863&gt;=1,"D","F")))))),"")</f>
        <v/>
      </c>
      <c r="O863" s="3">
        <f>IF(AND('Data Source'!B863&lt;&gt;"",'Data Source'!S863="A+"),IF('Data Source'!AG863&gt;=5,"A+",IF('Data Source'!AG863&gt;=4,"A",IF('Data Source'!AG863&gt;=3.5,"A-",IF('Data Source'!AG863&gt;=3,"B",IF('Data Source'!AG863&gt;=2,"C",IF('Data Source'!AG863&gt;=1,"D","F")))))),"")</f>
        <v/>
      </c>
      <c r="P863" s="5">
        <f>IF(AND('Data Source'!B863&lt;&gt;"",'Data Source'!S863="A+"),'Data Source'!R863,"")</f>
        <v/>
      </c>
      <c r="Q863" s="3">
        <f>IF(AND('Data Source'!B863&lt;&gt;"",'Data Source'!S863="A+"),'Data Source'!S863,"")</f>
        <v/>
      </c>
    </row>
    <row r="864">
      <c r="A864" s="3">
        <f>IF(AND('Data Source'!B864&lt;&gt;"",'Data Source'!S864="A+"),COUNTIF('Data Source'!$S$3:S864,"A+"),"")</f>
        <v/>
      </c>
      <c r="B864">
        <f>IF(AND('Data Source'!B864&lt;&gt;"",'Data Source'!S864="A+"),'Data Source'!B864,"")</f>
        <v/>
      </c>
      <c r="C864" s="3">
        <f>IF(AND('Data Source'!B864&lt;&gt;"",'Data Source'!S864="A+"),IF('Data Source'!U864&gt;=5,"A+",IF('Data Source'!U864&gt;=4,"A",IF('Data Source'!U864&gt;=3.5,"A-",IF('Data Source'!U864&gt;=3,"B",IF('Data Source'!U864&gt;=2,"C",IF('Data Source'!U864&gt;=1,"D","F")))))),"")</f>
        <v/>
      </c>
      <c r="D864" s="3">
        <f>IF(AND('Data Source'!B864&lt;&gt;"",'Data Source'!S864="A+"),IF('Data Source'!V864&gt;=5,"A+",IF('Data Source'!V864&gt;=4,"A",IF('Data Source'!V864&gt;=3.5,"A-",IF('Data Source'!V864&gt;=3,"B",IF('Data Source'!V864&gt;=2,"C",IF('Data Source'!V864&gt;=1,"D","F")))))),"")</f>
        <v/>
      </c>
      <c r="E864" s="3">
        <f>IF(AND('Data Source'!B864&lt;&gt;"",'Data Source'!S864="A+"),IF('Data Source'!W864&gt;=5,"A+",IF('Data Source'!W864&gt;=4,"A",IF('Data Source'!W864&gt;=3.5,"A-",IF('Data Source'!W864&gt;=3,"B",IF('Data Source'!W864&gt;=2,"C",IF('Data Source'!W864&gt;=1,"D","F")))))),"")</f>
        <v/>
      </c>
      <c r="F864" s="3">
        <f>IF(AND('Data Source'!B864&lt;&gt;"",'Data Source'!S864="A+"),IF('Data Source'!X864&gt;=5,"A+",IF('Data Source'!X864&gt;=4,"A",IF('Data Source'!X864&gt;=3.5,"A-",IF('Data Source'!X864&gt;=3,"B",IF('Data Source'!X864&gt;=2,"C",IF('Data Source'!X864&gt;=1,"D","F")))))),"")</f>
        <v/>
      </c>
      <c r="G864" s="3">
        <f>IF(AND('Data Source'!B864&lt;&gt;"",'Data Source'!S864="A+"),IF('Data Source'!Y864&gt;=5,"A+",IF('Data Source'!Y864&gt;=4,"A",IF('Data Source'!Y864&gt;=3.5,"A-",IF('Data Source'!Y864&gt;=3,"B",IF('Data Source'!Y864&gt;=2,"C",IF('Data Source'!Y864&gt;=1,"D","F")))))),"")</f>
        <v/>
      </c>
      <c r="H864" s="3">
        <f>IF(AND('Data Source'!B864&lt;&gt;"",'Data Source'!S864="A+"),IF('Data Source'!Z864&gt;=5,"A+",IF('Data Source'!Z864&gt;=4,"A",IF('Data Source'!Z864&gt;=3.5,"A-",IF('Data Source'!Z864&gt;=3,"B",IF('Data Source'!Z864&gt;=2,"C",IF('Data Source'!Z864&gt;=1,"D","F")))))),"")</f>
        <v/>
      </c>
      <c r="I864" s="3">
        <f>IF(AND('Data Source'!B864&lt;&gt;"",'Data Source'!S864="A+"),IF('Data Source'!AA864&gt;=5,"A+",IF('Data Source'!AA864&gt;=4,"A",IF('Data Source'!AA864&gt;=3.5,"A-",IF('Data Source'!AA864&gt;=3,"B",IF('Data Source'!AA864&gt;=2,"C",IF('Data Source'!AA864&gt;=1,"D","F")))))),"")</f>
        <v/>
      </c>
      <c r="J864" s="3">
        <f>IF(AND('Data Source'!B864&lt;&gt;"",'Data Source'!S864="A+"),IF('Data Source'!AB864&gt;=5,"A+",IF('Data Source'!AB864&gt;=4,"A",IF('Data Source'!AB864&gt;=3.5,"A-",IF('Data Source'!AB864&gt;=3,"B",IF('Data Source'!AB864&gt;=2,"C",IF('Data Source'!AB864&gt;=1,"D","F")))))),"")</f>
        <v/>
      </c>
      <c r="K864" s="3">
        <f>IF(AND('Data Source'!B864&lt;&gt;"",'Data Source'!S864="A+"),IF('Data Source'!AC864&gt;=5,"A+",IF('Data Source'!AC864&gt;=4,"A",IF('Data Source'!AC864&gt;=3.5,"A-",IF('Data Source'!AC864&gt;=3,"B",IF('Data Source'!AC864&gt;=2,"C",IF('Data Source'!AC864&gt;=1,"D","F")))))),"")</f>
        <v/>
      </c>
      <c r="L864" s="3">
        <f>IF(AND('Data Source'!B864&lt;&gt;"",'Data Source'!S864="A+"),IF('Data Source'!AD864&gt;=5,"A+",IF('Data Source'!AD864&gt;=4,"A",IF('Data Source'!AD864&gt;=3.5,"A-",IF('Data Source'!AD864&gt;=3,"B",IF('Data Source'!AD864&gt;=2,"C",IF('Data Source'!AD864&gt;=1,"D","F")))))),"")</f>
        <v/>
      </c>
      <c r="M864" s="3">
        <f>IF(AND('Data Source'!B864&lt;&gt;"",'Data Source'!S864="A+"),IF('Data Source'!AE864&gt;=5,"A+",IF('Data Source'!AE864&gt;=4,"A",IF('Data Source'!AE864&gt;=3.5,"A-",IF('Data Source'!AE864&gt;=3,"B",IF('Data Source'!AE864&gt;=2,"C",IF('Data Source'!AE864&gt;=1,"D","F")))))),"")</f>
        <v/>
      </c>
      <c r="N864" s="3">
        <f>IF(AND('Data Source'!B864&lt;&gt;"",'Data Source'!S864="A+"),IF('Data Source'!AF864&gt;=5,"A+",IF('Data Source'!AF864&gt;=4,"A",IF('Data Source'!AF864&gt;=3.5,"A-",IF('Data Source'!AF864&gt;=3,"B",IF('Data Source'!AF864&gt;=2,"C",IF('Data Source'!AF864&gt;=1,"D","F")))))),"")</f>
        <v/>
      </c>
      <c r="O864" s="3">
        <f>IF(AND('Data Source'!B864&lt;&gt;"",'Data Source'!S864="A+"),IF('Data Source'!AG864&gt;=5,"A+",IF('Data Source'!AG864&gt;=4,"A",IF('Data Source'!AG864&gt;=3.5,"A-",IF('Data Source'!AG864&gt;=3,"B",IF('Data Source'!AG864&gt;=2,"C",IF('Data Source'!AG864&gt;=1,"D","F")))))),"")</f>
        <v/>
      </c>
      <c r="P864" s="5">
        <f>IF(AND('Data Source'!B864&lt;&gt;"",'Data Source'!S864="A+"),'Data Source'!R864,"")</f>
        <v/>
      </c>
      <c r="Q864" s="3">
        <f>IF(AND('Data Source'!B864&lt;&gt;"",'Data Source'!S864="A+"),'Data Source'!S864,"")</f>
        <v/>
      </c>
    </row>
    <row r="865">
      <c r="A865" s="3">
        <f>IF(AND('Data Source'!B865&lt;&gt;"",'Data Source'!S865="A+"),COUNTIF('Data Source'!$S$3:S865,"A+"),"")</f>
        <v/>
      </c>
      <c r="B865">
        <f>IF(AND('Data Source'!B865&lt;&gt;"",'Data Source'!S865="A+"),'Data Source'!B865,"")</f>
        <v/>
      </c>
      <c r="C865" s="3">
        <f>IF(AND('Data Source'!B865&lt;&gt;"",'Data Source'!S865="A+"),IF('Data Source'!U865&gt;=5,"A+",IF('Data Source'!U865&gt;=4,"A",IF('Data Source'!U865&gt;=3.5,"A-",IF('Data Source'!U865&gt;=3,"B",IF('Data Source'!U865&gt;=2,"C",IF('Data Source'!U865&gt;=1,"D","F")))))),"")</f>
        <v/>
      </c>
      <c r="D865" s="3">
        <f>IF(AND('Data Source'!B865&lt;&gt;"",'Data Source'!S865="A+"),IF('Data Source'!V865&gt;=5,"A+",IF('Data Source'!V865&gt;=4,"A",IF('Data Source'!V865&gt;=3.5,"A-",IF('Data Source'!V865&gt;=3,"B",IF('Data Source'!V865&gt;=2,"C",IF('Data Source'!V865&gt;=1,"D","F")))))),"")</f>
        <v/>
      </c>
      <c r="E865" s="3">
        <f>IF(AND('Data Source'!B865&lt;&gt;"",'Data Source'!S865="A+"),IF('Data Source'!W865&gt;=5,"A+",IF('Data Source'!W865&gt;=4,"A",IF('Data Source'!W865&gt;=3.5,"A-",IF('Data Source'!W865&gt;=3,"B",IF('Data Source'!W865&gt;=2,"C",IF('Data Source'!W865&gt;=1,"D","F")))))),"")</f>
        <v/>
      </c>
      <c r="F865" s="3">
        <f>IF(AND('Data Source'!B865&lt;&gt;"",'Data Source'!S865="A+"),IF('Data Source'!X865&gt;=5,"A+",IF('Data Source'!X865&gt;=4,"A",IF('Data Source'!X865&gt;=3.5,"A-",IF('Data Source'!X865&gt;=3,"B",IF('Data Source'!X865&gt;=2,"C",IF('Data Source'!X865&gt;=1,"D","F")))))),"")</f>
        <v/>
      </c>
      <c r="G865" s="3">
        <f>IF(AND('Data Source'!B865&lt;&gt;"",'Data Source'!S865="A+"),IF('Data Source'!Y865&gt;=5,"A+",IF('Data Source'!Y865&gt;=4,"A",IF('Data Source'!Y865&gt;=3.5,"A-",IF('Data Source'!Y865&gt;=3,"B",IF('Data Source'!Y865&gt;=2,"C",IF('Data Source'!Y865&gt;=1,"D","F")))))),"")</f>
        <v/>
      </c>
      <c r="H865" s="3">
        <f>IF(AND('Data Source'!B865&lt;&gt;"",'Data Source'!S865="A+"),IF('Data Source'!Z865&gt;=5,"A+",IF('Data Source'!Z865&gt;=4,"A",IF('Data Source'!Z865&gt;=3.5,"A-",IF('Data Source'!Z865&gt;=3,"B",IF('Data Source'!Z865&gt;=2,"C",IF('Data Source'!Z865&gt;=1,"D","F")))))),"")</f>
        <v/>
      </c>
      <c r="I865" s="3">
        <f>IF(AND('Data Source'!B865&lt;&gt;"",'Data Source'!S865="A+"),IF('Data Source'!AA865&gt;=5,"A+",IF('Data Source'!AA865&gt;=4,"A",IF('Data Source'!AA865&gt;=3.5,"A-",IF('Data Source'!AA865&gt;=3,"B",IF('Data Source'!AA865&gt;=2,"C",IF('Data Source'!AA865&gt;=1,"D","F")))))),"")</f>
        <v/>
      </c>
      <c r="J865" s="3">
        <f>IF(AND('Data Source'!B865&lt;&gt;"",'Data Source'!S865="A+"),IF('Data Source'!AB865&gt;=5,"A+",IF('Data Source'!AB865&gt;=4,"A",IF('Data Source'!AB865&gt;=3.5,"A-",IF('Data Source'!AB865&gt;=3,"B",IF('Data Source'!AB865&gt;=2,"C",IF('Data Source'!AB865&gt;=1,"D","F")))))),"")</f>
        <v/>
      </c>
      <c r="K865" s="3">
        <f>IF(AND('Data Source'!B865&lt;&gt;"",'Data Source'!S865="A+"),IF('Data Source'!AC865&gt;=5,"A+",IF('Data Source'!AC865&gt;=4,"A",IF('Data Source'!AC865&gt;=3.5,"A-",IF('Data Source'!AC865&gt;=3,"B",IF('Data Source'!AC865&gt;=2,"C",IF('Data Source'!AC865&gt;=1,"D","F")))))),"")</f>
        <v/>
      </c>
      <c r="L865" s="3">
        <f>IF(AND('Data Source'!B865&lt;&gt;"",'Data Source'!S865="A+"),IF('Data Source'!AD865&gt;=5,"A+",IF('Data Source'!AD865&gt;=4,"A",IF('Data Source'!AD865&gt;=3.5,"A-",IF('Data Source'!AD865&gt;=3,"B",IF('Data Source'!AD865&gt;=2,"C",IF('Data Source'!AD865&gt;=1,"D","F")))))),"")</f>
        <v/>
      </c>
      <c r="M865" s="3">
        <f>IF(AND('Data Source'!B865&lt;&gt;"",'Data Source'!S865="A+"),IF('Data Source'!AE865&gt;=5,"A+",IF('Data Source'!AE865&gt;=4,"A",IF('Data Source'!AE865&gt;=3.5,"A-",IF('Data Source'!AE865&gt;=3,"B",IF('Data Source'!AE865&gt;=2,"C",IF('Data Source'!AE865&gt;=1,"D","F")))))),"")</f>
        <v/>
      </c>
      <c r="N865" s="3">
        <f>IF(AND('Data Source'!B865&lt;&gt;"",'Data Source'!S865="A+"),IF('Data Source'!AF865&gt;=5,"A+",IF('Data Source'!AF865&gt;=4,"A",IF('Data Source'!AF865&gt;=3.5,"A-",IF('Data Source'!AF865&gt;=3,"B",IF('Data Source'!AF865&gt;=2,"C",IF('Data Source'!AF865&gt;=1,"D","F")))))),"")</f>
        <v/>
      </c>
      <c r="O865" s="3">
        <f>IF(AND('Data Source'!B865&lt;&gt;"",'Data Source'!S865="A+"),IF('Data Source'!AG865&gt;=5,"A+",IF('Data Source'!AG865&gt;=4,"A",IF('Data Source'!AG865&gt;=3.5,"A-",IF('Data Source'!AG865&gt;=3,"B",IF('Data Source'!AG865&gt;=2,"C",IF('Data Source'!AG865&gt;=1,"D","F")))))),"")</f>
        <v/>
      </c>
      <c r="P865" s="5">
        <f>IF(AND('Data Source'!B865&lt;&gt;"",'Data Source'!S865="A+"),'Data Source'!R865,"")</f>
        <v/>
      </c>
      <c r="Q865" s="3">
        <f>IF(AND('Data Source'!B865&lt;&gt;"",'Data Source'!S865="A+"),'Data Source'!S865,"")</f>
        <v/>
      </c>
    </row>
    <row r="866">
      <c r="A866" s="3">
        <f>IF(AND('Data Source'!B866&lt;&gt;"",'Data Source'!S866="A+"),COUNTIF('Data Source'!$S$3:S866,"A+"),"")</f>
        <v/>
      </c>
      <c r="B866">
        <f>IF(AND('Data Source'!B866&lt;&gt;"",'Data Source'!S866="A+"),'Data Source'!B866,"")</f>
        <v/>
      </c>
      <c r="C866" s="3">
        <f>IF(AND('Data Source'!B866&lt;&gt;"",'Data Source'!S866="A+"),IF('Data Source'!U866&gt;=5,"A+",IF('Data Source'!U866&gt;=4,"A",IF('Data Source'!U866&gt;=3.5,"A-",IF('Data Source'!U866&gt;=3,"B",IF('Data Source'!U866&gt;=2,"C",IF('Data Source'!U866&gt;=1,"D","F")))))),"")</f>
        <v/>
      </c>
      <c r="D866" s="3">
        <f>IF(AND('Data Source'!B866&lt;&gt;"",'Data Source'!S866="A+"),IF('Data Source'!V866&gt;=5,"A+",IF('Data Source'!V866&gt;=4,"A",IF('Data Source'!V866&gt;=3.5,"A-",IF('Data Source'!V866&gt;=3,"B",IF('Data Source'!V866&gt;=2,"C",IF('Data Source'!V866&gt;=1,"D","F")))))),"")</f>
        <v/>
      </c>
      <c r="E866" s="3">
        <f>IF(AND('Data Source'!B866&lt;&gt;"",'Data Source'!S866="A+"),IF('Data Source'!W866&gt;=5,"A+",IF('Data Source'!W866&gt;=4,"A",IF('Data Source'!W866&gt;=3.5,"A-",IF('Data Source'!W866&gt;=3,"B",IF('Data Source'!W866&gt;=2,"C",IF('Data Source'!W866&gt;=1,"D","F")))))),"")</f>
        <v/>
      </c>
      <c r="F866" s="3">
        <f>IF(AND('Data Source'!B866&lt;&gt;"",'Data Source'!S866="A+"),IF('Data Source'!X866&gt;=5,"A+",IF('Data Source'!X866&gt;=4,"A",IF('Data Source'!X866&gt;=3.5,"A-",IF('Data Source'!X866&gt;=3,"B",IF('Data Source'!X866&gt;=2,"C",IF('Data Source'!X866&gt;=1,"D","F")))))),"")</f>
        <v/>
      </c>
      <c r="G866" s="3">
        <f>IF(AND('Data Source'!B866&lt;&gt;"",'Data Source'!S866="A+"),IF('Data Source'!Y866&gt;=5,"A+",IF('Data Source'!Y866&gt;=4,"A",IF('Data Source'!Y866&gt;=3.5,"A-",IF('Data Source'!Y866&gt;=3,"B",IF('Data Source'!Y866&gt;=2,"C",IF('Data Source'!Y866&gt;=1,"D","F")))))),"")</f>
        <v/>
      </c>
      <c r="H866" s="3">
        <f>IF(AND('Data Source'!B866&lt;&gt;"",'Data Source'!S866="A+"),IF('Data Source'!Z866&gt;=5,"A+",IF('Data Source'!Z866&gt;=4,"A",IF('Data Source'!Z866&gt;=3.5,"A-",IF('Data Source'!Z866&gt;=3,"B",IF('Data Source'!Z866&gt;=2,"C",IF('Data Source'!Z866&gt;=1,"D","F")))))),"")</f>
        <v/>
      </c>
      <c r="I866" s="3">
        <f>IF(AND('Data Source'!B866&lt;&gt;"",'Data Source'!S866="A+"),IF('Data Source'!AA866&gt;=5,"A+",IF('Data Source'!AA866&gt;=4,"A",IF('Data Source'!AA866&gt;=3.5,"A-",IF('Data Source'!AA866&gt;=3,"B",IF('Data Source'!AA866&gt;=2,"C",IF('Data Source'!AA866&gt;=1,"D","F")))))),"")</f>
        <v/>
      </c>
      <c r="J866" s="3">
        <f>IF(AND('Data Source'!B866&lt;&gt;"",'Data Source'!S866="A+"),IF('Data Source'!AB866&gt;=5,"A+",IF('Data Source'!AB866&gt;=4,"A",IF('Data Source'!AB866&gt;=3.5,"A-",IF('Data Source'!AB866&gt;=3,"B",IF('Data Source'!AB866&gt;=2,"C",IF('Data Source'!AB866&gt;=1,"D","F")))))),"")</f>
        <v/>
      </c>
      <c r="K866" s="3">
        <f>IF(AND('Data Source'!B866&lt;&gt;"",'Data Source'!S866="A+"),IF('Data Source'!AC866&gt;=5,"A+",IF('Data Source'!AC866&gt;=4,"A",IF('Data Source'!AC866&gt;=3.5,"A-",IF('Data Source'!AC866&gt;=3,"B",IF('Data Source'!AC866&gt;=2,"C",IF('Data Source'!AC866&gt;=1,"D","F")))))),"")</f>
        <v/>
      </c>
      <c r="L866" s="3">
        <f>IF(AND('Data Source'!B866&lt;&gt;"",'Data Source'!S866="A+"),IF('Data Source'!AD866&gt;=5,"A+",IF('Data Source'!AD866&gt;=4,"A",IF('Data Source'!AD866&gt;=3.5,"A-",IF('Data Source'!AD866&gt;=3,"B",IF('Data Source'!AD866&gt;=2,"C",IF('Data Source'!AD866&gt;=1,"D","F")))))),"")</f>
        <v/>
      </c>
      <c r="M866" s="3">
        <f>IF(AND('Data Source'!B866&lt;&gt;"",'Data Source'!S866="A+"),IF('Data Source'!AE866&gt;=5,"A+",IF('Data Source'!AE866&gt;=4,"A",IF('Data Source'!AE866&gt;=3.5,"A-",IF('Data Source'!AE866&gt;=3,"B",IF('Data Source'!AE866&gt;=2,"C",IF('Data Source'!AE866&gt;=1,"D","F")))))),"")</f>
        <v/>
      </c>
      <c r="N866" s="3">
        <f>IF(AND('Data Source'!B866&lt;&gt;"",'Data Source'!S866="A+"),IF('Data Source'!AF866&gt;=5,"A+",IF('Data Source'!AF866&gt;=4,"A",IF('Data Source'!AF866&gt;=3.5,"A-",IF('Data Source'!AF866&gt;=3,"B",IF('Data Source'!AF866&gt;=2,"C",IF('Data Source'!AF866&gt;=1,"D","F")))))),"")</f>
        <v/>
      </c>
      <c r="O866" s="3">
        <f>IF(AND('Data Source'!B866&lt;&gt;"",'Data Source'!S866="A+"),IF('Data Source'!AG866&gt;=5,"A+",IF('Data Source'!AG866&gt;=4,"A",IF('Data Source'!AG866&gt;=3.5,"A-",IF('Data Source'!AG866&gt;=3,"B",IF('Data Source'!AG866&gt;=2,"C",IF('Data Source'!AG866&gt;=1,"D","F")))))),"")</f>
        <v/>
      </c>
      <c r="P866" s="5">
        <f>IF(AND('Data Source'!B866&lt;&gt;"",'Data Source'!S866="A+"),'Data Source'!R866,"")</f>
        <v/>
      </c>
      <c r="Q866" s="3">
        <f>IF(AND('Data Source'!B866&lt;&gt;"",'Data Source'!S866="A+"),'Data Source'!S866,"")</f>
        <v/>
      </c>
    </row>
    <row r="867">
      <c r="A867" s="3">
        <f>IF(AND('Data Source'!B867&lt;&gt;"",'Data Source'!S867="A+"),COUNTIF('Data Source'!$S$3:S867,"A+"),"")</f>
        <v/>
      </c>
      <c r="B867">
        <f>IF(AND('Data Source'!B867&lt;&gt;"",'Data Source'!S867="A+"),'Data Source'!B867,"")</f>
        <v/>
      </c>
      <c r="C867" s="3">
        <f>IF(AND('Data Source'!B867&lt;&gt;"",'Data Source'!S867="A+"),IF('Data Source'!U867&gt;=5,"A+",IF('Data Source'!U867&gt;=4,"A",IF('Data Source'!U867&gt;=3.5,"A-",IF('Data Source'!U867&gt;=3,"B",IF('Data Source'!U867&gt;=2,"C",IF('Data Source'!U867&gt;=1,"D","F")))))),"")</f>
        <v/>
      </c>
      <c r="D867" s="3">
        <f>IF(AND('Data Source'!B867&lt;&gt;"",'Data Source'!S867="A+"),IF('Data Source'!V867&gt;=5,"A+",IF('Data Source'!V867&gt;=4,"A",IF('Data Source'!V867&gt;=3.5,"A-",IF('Data Source'!V867&gt;=3,"B",IF('Data Source'!V867&gt;=2,"C",IF('Data Source'!V867&gt;=1,"D","F")))))),"")</f>
        <v/>
      </c>
      <c r="E867" s="3">
        <f>IF(AND('Data Source'!B867&lt;&gt;"",'Data Source'!S867="A+"),IF('Data Source'!W867&gt;=5,"A+",IF('Data Source'!W867&gt;=4,"A",IF('Data Source'!W867&gt;=3.5,"A-",IF('Data Source'!W867&gt;=3,"B",IF('Data Source'!W867&gt;=2,"C",IF('Data Source'!W867&gt;=1,"D","F")))))),"")</f>
        <v/>
      </c>
      <c r="F867" s="3">
        <f>IF(AND('Data Source'!B867&lt;&gt;"",'Data Source'!S867="A+"),IF('Data Source'!X867&gt;=5,"A+",IF('Data Source'!X867&gt;=4,"A",IF('Data Source'!X867&gt;=3.5,"A-",IF('Data Source'!X867&gt;=3,"B",IF('Data Source'!X867&gt;=2,"C",IF('Data Source'!X867&gt;=1,"D","F")))))),"")</f>
        <v/>
      </c>
      <c r="G867" s="3">
        <f>IF(AND('Data Source'!B867&lt;&gt;"",'Data Source'!S867="A+"),IF('Data Source'!Y867&gt;=5,"A+",IF('Data Source'!Y867&gt;=4,"A",IF('Data Source'!Y867&gt;=3.5,"A-",IF('Data Source'!Y867&gt;=3,"B",IF('Data Source'!Y867&gt;=2,"C",IF('Data Source'!Y867&gt;=1,"D","F")))))),"")</f>
        <v/>
      </c>
      <c r="H867" s="3">
        <f>IF(AND('Data Source'!B867&lt;&gt;"",'Data Source'!S867="A+"),IF('Data Source'!Z867&gt;=5,"A+",IF('Data Source'!Z867&gt;=4,"A",IF('Data Source'!Z867&gt;=3.5,"A-",IF('Data Source'!Z867&gt;=3,"B",IF('Data Source'!Z867&gt;=2,"C",IF('Data Source'!Z867&gt;=1,"D","F")))))),"")</f>
        <v/>
      </c>
      <c r="I867" s="3">
        <f>IF(AND('Data Source'!B867&lt;&gt;"",'Data Source'!S867="A+"),IF('Data Source'!AA867&gt;=5,"A+",IF('Data Source'!AA867&gt;=4,"A",IF('Data Source'!AA867&gt;=3.5,"A-",IF('Data Source'!AA867&gt;=3,"B",IF('Data Source'!AA867&gt;=2,"C",IF('Data Source'!AA867&gt;=1,"D","F")))))),"")</f>
        <v/>
      </c>
      <c r="J867" s="3">
        <f>IF(AND('Data Source'!B867&lt;&gt;"",'Data Source'!S867="A+"),IF('Data Source'!AB867&gt;=5,"A+",IF('Data Source'!AB867&gt;=4,"A",IF('Data Source'!AB867&gt;=3.5,"A-",IF('Data Source'!AB867&gt;=3,"B",IF('Data Source'!AB867&gt;=2,"C",IF('Data Source'!AB867&gt;=1,"D","F")))))),"")</f>
        <v/>
      </c>
      <c r="K867" s="3">
        <f>IF(AND('Data Source'!B867&lt;&gt;"",'Data Source'!S867="A+"),IF('Data Source'!AC867&gt;=5,"A+",IF('Data Source'!AC867&gt;=4,"A",IF('Data Source'!AC867&gt;=3.5,"A-",IF('Data Source'!AC867&gt;=3,"B",IF('Data Source'!AC867&gt;=2,"C",IF('Data Source'!AC867&gt;=1,"D","F")))))),"")</f>
        <v/>
      </c>
      <c r="L867" s="3">
        <f>IF(AND('Data Source'!B867&lt;&gt;"",'Data Source'!S867="A+"),IF('Data Source'!AD867&gt;=5,"A+",IF('Data Source'!AD867&gt;=4,"A",IF('Data Source'!AD867&gt;=3.5,"A-",IF('Data Source'!AD867&gt;=3,"B",IF('Data Source'!AD867&gt;=2,"C",IF('Data Source'!AD867&gt;=1,"D","F")))))),"")</f>
        <v/>
      </c>
      <c r="M867" s="3">
        <f>IF(AND('Data Source'!B867&lt;&gt;"",'Data Source'!S867="A+"),IF('Data Source'!AE867&gt;=5,"A+",IF('Data Source'!AE867&gt;=4,"A",IF('Data Source'!AE867&gt;=3.5,"A-",IF('Data Source'!AE867&gt;=3,"B",IF('Data Source'!AE867&gt;=2,"C",IF('Data Source'!AE867&gt;=1,"D","F")))))),"")</f>
        <v/>
      </c>
      <c r="N867" s="3">
        <f>IF(AND('Data Source'!B867&lt;&gt;"",'Data Source'!S867="A+"),IF('Data Source'!AF867&gt;=5,"A+",IF('Data Source'!AF867&gt;=4,"A",IF('Data Source'!AF867&gt;=3.5,"A-",IF('Data Source'!AF867&gt;=3,"B",IF('Data Source'!AF867&gt;=2,"C",IF('Data Source'!AF867&gt;=1,"D","F")))))),"")</f>
        <v/>
      </c>
      <c r="O867" s="3">
        <f>IF(AND('Data Source'!B867&lt;&gt;"",'Data Source'!S867="A+"),IF('Data Source'!AG867&gt;=5,"A+",IF('Data Source'!AG867&gt;=4,"A",IF('Data Source'!AG867&gt;=3.5,"A-",IF('Data Source'!AG867&gt;=3,"B",IF('Data Source'!AG867&gt;=2,"C",IF('Data Source'!AG867&gt;=1,"D","F")))))),"")</f>
        <v/>
      </c>
      <c r="P867" s="5">
        <f>IF(AND('Data Source'!B867&lt;&gt;"",'Data Source'!S867="A+"),'Data Source'!R867,"")</f>
        <v/>
      </c>
      <c r="Q867" s="3">
        <f>IF(AND('Data Source'!B867&lt;&gt;"",'Data Source'!S867="A+"),'Data Source'!S867,"")</f>
        <v/>
      </c>
    </row>
    <row r="868">
      <c r="A868" s="3">
        <f>IF(AND('Data Source'!B868&lt;&gt;"",'Data Source'!S868="A+"),COUNTIF('Data Source'!$S$3:S868,"A+"),"")</f>
        <v/>
      </c>
      <c r="B868">
        <f>IF(AND('Data Source'!B868&lt;&gt;"",'Data Source'!S868="A+"),'Data Source'!B868,"")</f>
        <v/>
      </c>
      <c r="C868" s="3">
        <f>IF(AND('Data Source'!B868&lt;&gt;"",'Data Source'!S868="A+"),IF('Data Source'!U868&gt;=5,"A+",IF('Data Source'!U868&gt;=4,"A",IF('Data Source'!U868&gt;=3.5,"A-",IF('Data Source'!U868&gt;=3,"B",IF('Data Source'!U868&gt;=2,"C",IF('Data Source'!U868&gt;=1,"D","F")))))),"")</f>
        <v/>
      </c>
      <c r="D868" s="3">
        <f>IF(AND('Data Source'!B868&lt;&gt;"",'Data Source'!S868="A+"),IF('Data Source'!V868&gt;=5,"A+",IF('Data Source'!V868&gt;=4,"A",IF('Data Source'!V868&gt;=3.5,"A-",IF('Data Source'!V868&gt;=3,"B",IF('Data Source'!V868&gt;=2,"C",IF('Data Source'!V868&gt;=1,"D","F")))))),"")</f>
        <v/>
      </c>
      <c r="E868" s="3">
        <f>IF(AND('Data Source'!B868&lt;&gt;"",'Data Source'!S868="A+"),IF('Data Source'!W868&gt;=5,"A+",IF('Data Source'!W868&gt;=4,"A",IF('Data Source'!W868&gt;=3.5,"A-",IF('Data Source'!W868&gt;=3,"B",IF('Data Source'!W868&gt;=2,"C",IF('Data Source'!W868&gt;=1,"D","F")))))),"")</f>
        <v/>
      </c>
      <c r="F868" s="3">
        <f>IF(AND('Data Source'!B868&lt;&gt;"",'Data Source'!S868="A+"),IF('Data Source'!X868&gt;=5,"A+",IF('Data Source'!X868&gt;=4,"A",IF('Data Source'!X868&gt;=3.5,"A-",IF('Data Source'!X868&gt;=3,"B",IF('Data Source'!X868&gt;=2,"C",IF('Data Source'!X868&gt;=1,"D","F")))))),"")</f>
        <v/>
      </c>
      <c r="G868" s="3">
        <f>IF(AND('Data Source'!B868&lt;&gt;"",'Data Source'!S868="A+"),IF('Data Source'!Y868&gt;=5,"A+",IF('Data Source'!Y868&gt;=4,"A",IF('Data Source'!Y868&gt;=3.5,"A-",IF('Data Source'!Y868&gt;=3,"B",IF('Data Source'!Y868&gt;=2,"C",IF('Data Source'!Y868&gt;=1,"D","F")))))),"")</f>
        <v/>
      </c>
      <c r="H868" s="3">
        <f>IF(AND('Data Source'!B868&lt;&gt;"",'Data Source'!S868="A+"),IF('Data Source'!Z868&gt;=5,"A+",IF('Data Source'!Z868&gt;=4,"A",IF('Data Source'!Z868&gt;=3.5,"A-",IF('Data Source'!Z868&gt;=3,"B",IF('Data Source'!Z868&gt;=2,"C",IF('Data Source'!Z868&gt;=1,"D","F")))))),"")</f>
        <v/>
      </c>
      <c r="I868" s="3">
        <f>IF(AND('Data Source'!B868&lt;&gt;"",'Data Source'!S868="A+"),IF('Data Source'!AA868&gt;=5,"A+",IF('Data Source'!AA868&gt;=4,"A",IF('Data Source'!AA868&gt;=3.5,"A-",IF('Data Source'!AA868&gt;=3,"B",IF('Data Source'!AA868&gt;=2,"C",IF('Data Source'!AA868&gt;=1,"D","F")))))),"")</f>
        <v/>
      </c>
      <c r="J868" s="3">
        <f>IF(AND('Data Source'!B868&lt;&gt;"",'Data Source'!S868="A+"),IF('Data Source'!AB868&gt;=5,"A+",IF('Data Source'!AB868&gt;=4,"A",IF('Data Source'!AB868&gt;=3.5,"A-",IF('Data Source'!AB868&gt;=3,"B",IF('Data Source'!AB868&gt;=2,"C",IF('Data Source'!AB868&gt;=1,"D","F")))))),"")</f>
        <v/>
      </c>
      <c r="K868" s="3">
        <f>IF(AND('Data Source'!B868&lt;&gt;"",'Data Source'!S868="A+"),IF('Data Source'!AC868&gt;=5,"A+",IF('Data Source'!AC868&gt;=4,"A",IF('Data Source'!AC868&gt;=3.5,"A-",IF('Data Source'!AC868&gt;=3,"B",IF('Data Source'!AC868&gt;=2,"C",IF('Data Source'!AC868&gt;=1,"D","F")))))),"")</f>
        <v/>
      </c>
      <c r="L868" s="3">
        <f>IF(AND('Data Source'!B868&lt;&gt;"",'Data Source'!S868="A+"),IF('Data Source'!AD868&gt;=5,"A+",IF('Data Source'!AD868&gt;=4,"A",IF('Data Source'!AD868&gt;=3.5,"A-",IF('Data Source'!AD868&gt;=3,"B",IF('Data Source'!AD868&gt;=2,"C",IF('Data Source'!AD868&gt;=1,"D","F")))))),"")</f>
        <v/>
      </c>
      <c r="M868" s="3">
        <f>IF(AND('Data Source'!B868&lt;&gt;"",'Data Source'!S868="A+"),IF('Data Source'!AE868&gt;=5,"A+",IF('Data Source'!AE868&gt;=4,"A",IF('Data Source'!AE868&gt;=3.5,"A-",IF('Data Source'!AE868&gt;=3,"B",IF('Data Source'!AE868&gt;=2,"C",IF('Data Source'!AE868&gt;=1,"D","F")))))),"")</f>
        <v/>
      </c>
      <c r="N868" s="3">
        <f>IF(AND('Data Source'!B868&lt;&gt;"",'Data Source'!S868="A+"),IF('Data Source'!AF868&gt;=5,"A+",IF('Data Source'!AF868&gt;=4,"A",IF('Data Source'!AF868&gt;=3.5,"A-",IF('Data Source'!AF868&gt;=3,"B",IF('Data Source'!AF868&gt;=2,"C",IF('Data Source'!AF868&gt;=1,"D","F")))))),"")</f>
        <v/>
      </c>
      <c r="O868" s="3">
        <f>IF(AND('Data Source'!B868&lt;&gt;"",'Data Source'!S868="A+"),IF('Data Source'!AG868&gt;=5,"A+",IF('Data Source'!AG868&gt;=4,"A",IF('Data Source'!AG868&gt;=3.5,"A-",IF('Data Source'!AG868&gt;=3,"B",IF('Data Source'!AG868&gt;=2,"C",IF('Data Source'!AG868&gt;=1,"D","F")))))),"")</f>
        <v/>
      </c>
      <c r="P868" s="5">
        <f>IF(AND('Data Source'!B868&lt;&gt;"",'Data Source'!S868="A+"),'Data Source'!R868,"")</f>
        <v/>
      </c>
      <c r="Q868" s="3">
        <f>IF(AND('Data Source'!B868&lt;&gt;"",'Data Source'!S868="A+"),'Data Source'!S868,"")</f>
        <v/>
      </c>
    </row>
    <row r="869">
      <c r="A869" s="3">
        <f>IF(AND('Data Source'!B869&lt;&gt;"",'Data Source'!S869="A+"),COUNTIF('Data Source'!$S$3:S869,"A+"),"")</f>
        <v/>
      </c>
      <c r="B869">
        <f>IF(AND('Data Source'!B869&lt;&gt;"",'Data Source'!S869="A+"),'Data Source'!B869,"")</f>
        <v/>
      </c>
      <c r="C869" s="3">
        <f>IF(AND('Data Source'!B869&lt;&gt;"",'Data Source'!S869="A+"),IF('Data Source'!U869&gt;=5,"A+",IF('Data Source'!U869&gt;=4,"A",IF('Data Source'!U869&gt;=3.5,"A-",IF('Data Source'!U869&gt;=3,"B",IF('Data Source'!U869&gt;=2,"C",IF('Data Source'!U869&gt;=1,"D","F")))))),"")</f>
        <v/>
      </c>
      <c r="D869" s="3">
        <f>IF(AND('Data Source'!B869&lt;&gt;"",'Data Source'!S869="A+"),IF('Data Source'!V869&gt;=5,"A+",IF('Data Source'!V869&gt;=4,"A",IF('Data Source'!V869&gt;=3.5,"A-",IF('Data Source'!V869&gt;=3,"B",IF('Data Source'!V869&gt;=2,"C",IF('Data Source'!V869&gt;=1,"D","F")))))),"")</f>
        <v/>
      </c>
      <c r="E869" s="3">
        <f>IF(AND('Data Source'!B869&lt;&gt;"",'Data Source'!S869="A+"),IF('Data Source'!W869&gt;=5,"A+",IF('Data Source'!W869&gt;=4,"A",IF('Data Source'!W869&gt;=3.5,"A-",IF('Data Source'!W869&gt;=3,"B",IF('Data Source'!W869&gt;=2,"C",IF('Data Source'!W869&gt;=1,"D","F")))))),"")</f>
        <v/>
      </c>
      <c r="F869" s="3">
        <f>IF(AND('Data Source'!B869&lt;&gt;"",'Data Source'!S869="A+"),IF('Data Source'!X869&gt;=5,"A+",IF('Data Source'!X869&gt;=4,"A",IF('Data Source'!X869&gt;=3.5,"A-",IF('Data Source'!X869&gt;=3,"B",IF('Data Source'!X869&gt;=2,"C",IF('Data Source'!X869&gt;=1,"D","F")))))),"")</f>
        <v/>
      </c>
      <c r="G869" s="3">
        <f>IF(AND('Data Source'!B869&lt;&gt;"",'Data Source'!S869="A+"),IF('Data Source'!Y869&gt;=5,"A+",IF('Data Source'!Y869&gt;=4,"A",IF('Data Source'!Y869&gt;=3.5,"A-",IF('Data Source'!Y869&gt;=3,"B",IF('Data Source'!Y869&gt;=2,"C",IF('Data Source'!Y869&gt;=1,"D","F")))))),"")</f>
        <v/>
      </c>
      <c r="H869" s="3">
        <f>IF(AND('Data Source'!B869&lt;&gt;"",'Data Source'!S869="A+"),IF('Data Source'!Z869&gt;=5,"A+",IF('Data Source'!Z869&gt;=4,"A",IF('Data Source'!Z869&gt;=3.5,"A-",IF('Data Source'!Z869&gt;=3,"B",IF('Data Source'!Z869&gt;=2,"C",IF('Data Source'!Z869&gt;=1,"D","F")))))),"")</f>
        <v/>
      </c>
      <c r="I869" s="3">
        <f>IF(AND('Data Source'!B869&lt;&gt;"",'Data Source'!S869="A+"),IF('Data Source'!AA869&gt;=5,"A+",IF('Data Source'!AA869&gt;=4,"A",IF('Data Source'!AA869&gt;=3.5,"A-",IF('Data Source'!AA869&gt;=3,"B",IF('Data Source'!AA869&gt;=2,"C",IF('Data Source'!AA869&gt;=1,"D","F")))))),"")</f>
        <v/>
      </c>
      <c r="J869" s="3">
        <f>IF(AND('Data Source'!B869&lt;&gt;"",'Data Source'!S869="A+"),IF('Data Source'!AB869&gt;=5,"A+",IF('Data Source'!AB869&gt;=4,"A",IF('Data Source'!AB869&gt;=3.5,"A-",IF('Data Source'!AB869&gt;=3,"B",IF('Data Source'!AB869&gt;=2,"C",IF('Data Source'!AB869&gt;=1,"D","F")))))),"")</f>
        <v/>
      </c>
      <c r="K869" s="3">
        <f>IF(AND('Data Source'!B869&lt;&gt;"",'Data Source'!S869="A+"),IF('Data Source'!AC869&gt;=5,"A+",IF('Data Source'!AC869&gt;=4,"A",IF('Data Source'!AC869&gt;=3.5,"A-",IF('Data Source'!AC869&gt;=3,"B",IF('Data Source'!AC869&gt;=2,"C",IF('Data Source'!AC869&gt;=1,"D","F")))))),"")</f>
        <v/>
      </c>
      <c r="L869" s="3">
        <f>IF(AND('Data Source'!B869&lt;&gt;"",'Data Source'!S869="A+"),IF('Data Source'!AD869&gt;=5,"A+",IF('Data Source'!AD869&gt;=4,"A",IF('Data Source'!AD869&gt;=3.5,"A-",IF('Data Source'!AD869&gt;=3,"B",IF('Data Source'!AD869&gt;=2,"C",IF('Data Source'!AD869&gt;=1,"D","F")))))),"")</f>
        <v/>
      </c>
      <c r="M869" s="3">
        <f>IF(AND('Data Source'!B869&lt;&gt;"",'Data Source'!S869="A+"),IF('Data Source'!AE869&gt;=5,"A+",IF('Data Source'!AE869&gt;=4,"A",IF('Data Source'!AE869&gt;=3.5,"A-",IF('Data Source'!AE869&gt;=3,"B",IF('Data Source'!AE869&gt;=2,"C",IF('Data Source'!AE869&gt;=1,"D","F")))))),"")</f>
        <v/>
      </c>
      <c r="N869" s="3">
        <f>IF(AND('Data Source'!B869&lt;&gt;"",'Data Source'!S869="A+"),IF('Data Source'!AF869&gt;=5,"A+",IF('Data Source'!AF869&gt;=4,"A",IF('Data Source'!AF869&gt;=3.5,"A-",IF('Data Source'!AF869&gt;=3,"B",IF('Data Source'!AF869&gt;=2,"C",IF('Data Source'!AF869&gt;=1,"D","F")))))),"")</f>
        <v/>
      </c>
      <c r="O869" s="3">
        <f>IF(AND('Data Source'!B869&lt;&gt;"",'Data Source'!S869="A+"),IF('Data Source'!AG869&gt;=5,"A+",IF('Data Source'!AG869&gt;=4,"A",IF('Data Source'!AG869&gt;=3.5,"A-",IF('Data Source'!AG869&gt;=3,"B",IF('Data Source'!AG869&gt;=2,"C",IF('Data Source'!AG869&gt;=1,"D","F")))))),"")</f>
        <v/>
      </c>
      <c r="P869" s="5">
        <f>IF(AND('Data Source'!B869&lt;&gt;"",'Data Source'!S869="A+"),'Data Source'!R869,"")</f>
        <v/>
      </c>
      <c r="Q869" s="3">
        <f>IF(AND('Data Source'!B869&lt;&gt;"",'Data Source'!S869="A+"),'Data Source'!S869,"")</f>
        <v/>
      </c>
    </row>
    <row r="870">
      <c r="A870" s="3">
        <f>IF(AND('Data Source'!B870&lt;&gt;"",'Data Source'!S870="A+"),COUNTIF('Data Source'!$S$3:S870,"A+"),"")</f>
        <v/>
      </c>
      <c r="B870">
        <f>IF(AND('Data Source'!B870&lt;&gt;"",'Data Source'!S870="A+"),'Data Source'!B870,"")</f>
        <v/>
      </c>
      <c r="C870" s="3">
        <f>IF(AND('Data Source'!B870&lt;&gt;"",'Data Source'!S870="A+"),IF('Data Source'!U870&gt;=5,"A+",IF('Data Source'!U870&gt;=4,"A",IF('Data Source'!U870&gt;=3.5,"A-",IF('Data Source'!U870&gt;=3,"B",IF('Data Source'!U870&gt;=2,"C",IF('Data Source'!U870&gt;=1,"D","F")))))),"")</f>
        <v/>
      </c>
      <c r="D870" s="3">
        <f>IF(AND('Data Source'!B870&lt;&gt;"",'Data Source'!S870="A+"),IF('Data Source'!V870&gt;=5,"A+",IF('Data Source'!V870&gt;=4,"A",IF('Data Source'!V870&gt;=3.5,"A-",IF('Data Source'!V870&gt;=3,"B",IF('Data Source'!V870&gt;=2,"C",IF('Data Source'!V870&gt;=1,"D","F")))))),"")</f>
        <v/>
      </c>
      <c r="E870" s="3">
        <f>IF(AND('Data Source'!B870&lt;&gt;"",'Data Source'!S870="A+"),IF('Data Source'!W870&gt;=5,"A+",IF('Data Source'!W870&gt;=4,"A",IF('Data Source'!W870&gt;=3.5,"A-",IF('Data Source'!W870&gt;=3,"B",IF('Data Source'!W870&gt;=2,"C",IF('Data Source'!W870&gt;=1,"D","F")))))),"")</f>
        <v/>
      </c>
      <c r="F870" s="3">
        <f>IF(AND('Data Source'!B870&lt;&gt;"",'Data Source'!S870="A+"),IF('Data Source'!X870&gt;=5,"A+",IF('Data Source'!X870&gt;=4,"A",IF('Data Source'!X870&gt;=3.5,"A-",IF('Data Source'!X870&gt;=3,"B",IF('Data Source'!X870&gt;=2,"C",IF('Data Source'!X870&gt;=1,"D","F")))))),"")</f>
        <v/>
      </c>
      <c r="G870" s="3">
        <f>IF(AND('Data Source'!B870&lt;&gt;"",'Data Source'!S870="A+"),IF('Data Source'!Y870&gt;=5,"A+",IF('Data Source'!Y870&gt;=4,"A",IF('Data Source'!Y870&gt;=3.5,"A-",IF('Data Source'!Y870&gt;=3,"B",IF('Data Source'!Y870&gt;=2,"C",IF('Data Source'!Y870&gt;=1,"D","F")))))),"")</f>
        <v/>
      </c>
      <c r="H870" s="3">
        <f>IF(AND('Data Source'!B870&lt;&gt;"",'Data Source'!S870="A+"),IF('Data Source'!Z870&gt;=5,"A+",IF('Data Source'!Z870&gt;=4,"A",IF('Data Source'!Z870&gt;=3.5,"A-",IF('Data Source'!Z870&gt;=3,"B",IF('Data Source'!Z870&gt;=2,"C",IF('Data Source'!Z870&gt;=1,"D","F")))))),"")</f>
        <v/>
      </c>
      <c r="I870" s="3">
        <f>IF(AND('Data Source'!B870&lt;&gt;"",'Data Source'!S870="A+"),IF('Data Source'!AA870&gt;=5,"A+",IF('Data Source'!AA870&gt;=4,"A",IF('Data Source'!AA870&gt;=3.5,"A-",IF('Data Source'!AA870&gt;=3,"B",IF('Data Source'!AA870&gt;=2,"C",IF('Data Source'!AA870&gt;=1,"D","F")))))),"")</f>
        <v/>
      </c>
      <c r="J870" s="3">
        <f>IF(AND('Data Source'!B870&lt;&gt;"",'Data Source'!S870="A+"),IF('Data Source'!AB870&gt;=5,"A+",IF('Data Source'!AB870&gt;=4,"A",IF('Data Source'!AB870&gt;=3.5,"A-",IF('Data Source'!AB870&gt;=3,"B",IF('Data Source'!AB870&gt;=2,"C",IF('Data Source'!AB870&gt;=1,"D","F")))))),"")</f>
        <v/>
      </c>
      <c r="K870" s="3">
        <f>IF(AND('Data Source'!B870&lt;&gt;"",'Data Source'!S870="A+"),IF('Data Source'!AC870&gt;=5,"A+",IF('Data Source'!AC870&gt;=4,"A",IF('Data Source'!AC870&gt;=3.5,"A-",IF('Data Source'!AC870&gt;=3,"B",IF('Data Source'!AC870&gt;=2,"C",IF('Data Source'!AC870&gt;=1,"D","F")))))),"")</f>
        <v/>
      </c>
      <c r="L870" s="3">
        <f>IF(AND('Data Source'!B870&lt;&gt;"",'Data Source'!S870="A+"),IF('Data Source'!AD870&gt;=5,"A+",IF('Data Source'!AD870&gt;=4,"A",IF('Data Source'!AD870&gt;=3.5,"A-",IF('Data Source'!AD870&gt;=3,"B",IF('Data Source'!AD870&gt;=2,"C",IF('Data Source'!AD870&gt;=1,"D","F")))))),"")</f>
        <v/>
      </c>
      <c r="M870" s="3">
        <f>IF(AND('Data Source'!B870&lt;&gt;"",'Data Source'!S870="A+"),IF('Data Source'!AE870&gt;=5,"A+",IF('Data Source'!AE870&gt;=4,"A",IF('Data Source'!AE870&gt;=3.5,"A-",IF('Data Source'!AE870&gt;=3,"B",IF('Data Source'!AE870&gt;=2,"C",IF('Data Source'!AE870&gt;=1,"D","F")))))),"")</f>
        <v/>
      </c>
      <c r="N870" s="3">
        <f>IF(AND('Data Source'!B870&lt;&gt;"",'Data Source'!S870="A+"),IF('Data Source'!AF870&gt;=5,"A+",IF('Data Source'!AF870&gt;=4,"A",IF('Data Source'!AF870&gt;=3.5,"A-",IF('Data Source'!AF870&gt;=3,"B",IF('Data Source'!AF870&gt;=2,"C",IF('Data Source'!AF870&gt;=1,"D","F")))))),"")</f>
        <v/>
      </c>
      <c r="O870" s="3">
        <f>IF(AND('Data Source'!B870&lt;&gt;"",'Data Source'!S870="A+"),IF('Data Source'!AG870&gt;=5,"A+",IF('Data Source'!AG870&gt;=4,"A",IF('Data Source'!AG870&gt;=3.5,"A-",IF('Data Source'!AG870&gt;=3,"B",IF('Data Source'!AG870&gt;=2,"C",IF('Data Source'!AG870&gt;=1,"D","F")))))),"")</f>
        <v/>
      </c>
      <c r="P870" s="5">
        <f>IF(AND('Data Source'!B870&lt;&gt;"",'Data Source'!S870="A+"),'Data Source'!R870,"")</f>
        <v/>
      </c>
      <c r="Q870" s="3">
        <f>IF(AND('Data Source'!B870&lt;&gt;"",'Data Source'!S870="A+"),'Data Source'!S870,"")</f>
        <v/>
      </c>
    </row>
    <row r="871">
      <c r="A871" s="3">
        <f>IF(AND('Data Source'!B871&lt;&gt;"",'Data Source'!S871="A+"),COUNTIF('Data Source'!$S$3:S871,"A+"),"")</f>
        <v/>
      </c>
      <c r="B871">
        <f>IF(AND('Data Source'!B871&lt;&gt;"",'Data Source'!S871="A+"),'Data Source'!B871,"")</f>
        <v/>
      </c>
      <c r="C871" s="3">
        <f>IF(AND('Data Source'!B871&lt;&gt;"",'Data Source'!S871="A+"),IF('Data Source'!U871&gt;=5,"A+",IF('Data Source'!U871&gt;=4,"A",IF('Data Source'!U871&gt;=3.5,"A-",IF('Data Source'!U871&gt;=3,"B",IF('Data Source'!U871&gt;=2,"C",IF('Data Source'!U871&gt;=1,"D","F")))))),"")</f>
        <v/>
      </c>
      <c r="D871" s="3">
        <f>IF(AND('Data Source'!B871&lt;&gt;"",'Data Source'!S871="A+"),IF('Data Source'!V871&gt;=5,"A+",IF('Data Source'!V871&gt;=4,"A",IF('Data Source'!V871&gt;=3.5,"A-",IF('Data Source'!V871&gt;=3,"B",IF('Data Source'!V871&gt;=2,"C",IF('Data Source'!V871&gt;=1,"D","F")))))),"")</f>
        <v/>
      </c>
      <c r="E871" s="3">
        <f>IF(AND('Data Source'!B871&lt;&gt;"",'Data Source'!S871="A+"),IF('Data Source'!W871&gt;=5,"A+",IF('Data Source'!W871&gt;=4,"A",IF('Data Source'!W871&gt;=3.5,"A-",IF('Data Source'!W871&gt;=3,"B",IF('Data Source'!W871&gt;=2,"C",IF('Data Source'!W871&gt;=1,"D","F")))))),"")</f>
        <v/>
      </c>
      <c r="F871" s="3">
        <f>IF(AND('Data Source'!B871&lt;&gt;"",'Data Source'!S871="A+"),IF('Data Source'!X871&gt;=5,"A+",IF('Data Source'!X871&gt;=4,"A",IF('Data Source'!X871&gt;=3.5,"A-",IF('Data Source'!X871&gt;=3,"B",IF('Data Source'!X871&gt;=2,"C",IF('Data Source'!X871&gt;=1,"D","F")))))),"")</f>
        <v/>
      </c>
      <c r="G871" s="3">
        <f>IF(AND('Data Source'!B871&lt;&gt;"",'Data Source'!S871="A+"),IF('Data Source'!Y871&gt;=5,"A+",IF('Data Source'!Y871&gt;=4,"A",IF('Data Source'!Y871&gt;=3.5,"A-",IF('Data Source'!Y871&gt;=3,"B",IF('Data Source'!Y871&gt;=2,"C",IF('Data Source'!Y871&gt;=1,"D","F")))))),"")</f>
        <v/>
      </c>
      <c r="H871" s="3">
        <f>IF(AND('Data Source'!B871&lt;&gt;"",'Data Source'!S871="A+"),IF('Data Source'!Z871&gt;=5,"A+",IF('Data Source'!Z871&gt;=4,"A",IF('Data Source'!Z871&gt;=3.5,"A-",IF('Data Source'!Z871&gt;=3,"B",IF('Data Source'!Z871&gt;=2,"C",IF('Data Source'!Z871&gt;=1,"D","F")))))),"")</f>
        <v/>
      </c>
      <c r="I871" s="3">
        <f>IF(AND('Data Source'!B871&lt;&gt;"",'Data Source'!S871="A+"),IF('Data Source'!AA871&gt;=5,"A+",IF('Data Source'!AA871&gt;=4,"A",IF('Data Source'!AA871&gt;=3.5,"A-",IF('Data Source'!AA871&gt;=3,"B",IF('Data Source'!AA871&gt;=2,"C",IF('Data Source'!AA871&gt;=1,"D","F")))))),"")</f>
        <v/>
      </c>
      <c r="J871" s="3">
        <f>IF(AND('Data Source'!B871&lt;&gt;"",'Data Source'!S871="A+"),IF('Data Source'!AB871&gt;=5,"A+",IF('Data Source'!AB871&gt;=4,"A",IF('Data Source'!AB871&gt;=3.5,"A-",IF('Data Source'!AB871&gt;=3,"B",IF('Data Source'!AB871&gt;=2,"C",IF('Data Source'!AB871&gt;=1,"D","F")))))),"")</f>
        <v/>
      </c>
      <c r="K871" s="3">
        <f>IF(AND('Data Source'!B871&lt;&gt;"",'Data Source'!S871="A+"),IF('Data Source'!AC871&gt;=5,"A+",IF('Data Source'!AC871&gt;=4,"A",IF('Data Source'!AC871&gt;=3.5,"A-",IF('Data Source'!AC871&gt;=3,"B",IF('Data Source'!AC871&gt;=2,"C",IF('Data Source'!AC871&gt;=1,"D","F")))))),"")</f>
        <v/>
      </c>
      <c r="L871" s="3">
        <f>IF(AND('Data Source'!B871&lt;&gt;"",'Data Source'!S871="A+"),IF('Data Source'!AD871&gt;=5,"A+",IF('Data Source'!AD871&gt;=4,"A",IF('Data Source'!AD871&gt;=3.5,"A-",IF('Data Source'!AD871&gt;=3,"B",IF('Data Source'!AD871&gt;=2,"C",IF('Data Source'!AD871&gt;=1,"D","F")))))),"")</f>
        <v/>
      </c>
      <c r="M871" s="3">
        <f>IF(AND('Data Source'!B871&lt;&gt;"",'Data Source'!S871="A+"),IF('Data Source'!AE871&gt;=5,"A+",IF('Data Source'!AE871&gt;=4,"A",IF('Data Source'!AE871&gt;=3.5,"A-",IF('Data Source'!AE871&gt;=3,"B",IF('Data Source'!AE871&gt;=2,"C",IF('Data Source'!AE871&gt;=1,"D","F")))))),"")</f>
        <v/>
      </c>
      <c r="N871" s="3">
        <f>IF(AND('Data Source'!B871&lt;&gt;"",'Data Source'!S871="A+"),IF('Data Source'!AF871&gt;=5,"A+",IF('Data Source'!AF871&gt;=4,"A",IF('Data Source'!AF871&gt;=3.5,"A-",IF('Data Source'!AF871&gt;=3,"B",IF('Data Source'!AF871&gt;=2,"C",IF('Data Source'!AF871&gt;=1,"D","F")))))),"")</f>
        <v/>
      </c>
      <c r="O871" s="3">
        <f>IF(AND('Data Source'!B871&lt;&gt;"",'Data Source'!S871="A+"),IF('Data Source'!AG871&gt;=5,"A+",IF('Data Source'!AG871&gt;=4,"A",IF('Data Source'!AG871&gt;=3.5,"A-",IF('Data Source'!AG871&gt;=3,"B",IF('Data Source'!AG871&gt;=2,"C",IF('Data Source'!AG871&gt;=1,"D","F")))))),"")</f>
        <v/>
      </c>
      <c r="P871" s="5">
        <f>IF(AND('Data Source'!B871&lt;&gt;"",'Data Source'!S871="A+"),'Data Source'!R871,"")</f>
        <v/>
      </c>
      <c r="Q871" s="3">
        <f>IF(AND('Data Source'!B871&lt;&gt;"",'Data Source'!S871="A+"),'Data Source'!S871,"")</f>
        <v/>
      </c>
    </row>
    <row r="872">
      <c r="A872" s="3">
        <f>IF(AND('Data Source'!B872&lt;&gt;"",'Data Source'!S872="A+"),COUNTIF('Data Source'!$S$3:S872,"A+"),"")</f>
        <v/>
      </c>
      <c r="B872">
        <f>IF(AND('Data Source'!B872&lt;&gt;"",'Data Source'!S872="A+"),'Data Source'!B872,"")</f>
        <v/>
      </c>
      <c r="C872" s="3">
        <f>IF(AND('Data Source'!B872&lt;&gt;"",'Data Source'!S872="A+"),IF('Data Source'!U872&gt;=5,"A+",IF('Data Source'!U872&gt;=4,"A",IF('Data Source'!U872&gt;=3.5,"A-",IF('Data Source'!U872&gt;=3,"B",IF('Data Source'!U872&gt;=2,"C",IF('Data Source'!U872&gt;=1,"D","F")))))),"")</f>
        <v/>
      </c>
      <c r="D872" s="3">
        <f>IF(AND('Data Source'!B872&lt;&gt;"",'Data Source'!S872="A+"),IF('Data Source'!V872&gt;=5,"A+",IF('Data Source'!V872&gt;=4,"A",IF('Data Source'!V872&gt;=3.5,"A-",IF('Data Source'!V872&gt;=3,"B",IF('Data Source'!V872&gt;=2,"C",IF('Data Source'!V872&gt;=1,"D","F")))))),"")</f>
        <v/>
      </c>
      <c r="E872" s="3">
        <f>IF(AND('Data Source'!B872&lt;&gt;"",'Data Source'!S872="A+"),IF('Data Source'!W872&gt;=5,"A+",IF('Data Source'!W872&gt;=4,"A",IF('Data Source'!W872&gt;=3.5,"A-",IF('Data Source'!W872&gt;=3,"B",IF('Data Source'!W872&gt;=2,"C",IF('Data Source'!W872&gt;=1,"D","F")))))),"")</f>
        <v/>
      </c>
      <c r="F872" s="3">
        <f>IF(AND('Data Source'!B872&lt;&gt;"",'Data Source'!S872="A+"),IF('Data Source'!X872&gt;=5,"A+",IF('Data Source'!X872&gt;=4,"A",IF('Data Source'!X872&gt;=3.5,"A-",IF('Data Source'!X872&gt;=3,"B",IF('Data Source'!X872&gt;=2,"C",IF('Data Source'!X872&gt;=1,"D","F")))))),"")</f>
        <v/>
      </c>
      <c r="G872" s="3">
        <f>IF(AND('Data Source'!B872&lt;&gt;"",'Data Source'!S872="A+"),IF('Data Source'!Y872&gt;=5,"A+",IF('Data Source'!Y872&gt;=4,"A",IF('Data Source'!Y872&gt;=3.5,"A-",IF('Data Source'!Y872&gt;=3,"B",IF('Data Source'!Y872&gt;=2,"C",IF('Data Source'!Y872&gt;=1,"D","F")))))),"")</f>
        <v/>
      </c>
      <c r="H872" s="3">
        <f>IF(AND('Data Source'!B872&lt;&gt;"",'Data Source'!S872="A+"),IF('Data Source'!Z872&gt;=5,"A+",IF('Data Source'!Z872&gt;=4,"A",IF('Data Source'!Z872&gt;=3.5,"A-",IF('Data Source'!Z872&gt;=3,"B",IF('Data Source'!Z872&gt;=2,"C",IF('Data Source'!Z872&gt;=1,"D","F")))))),"")</f>
        <v/>
      </c>
      <c r="I872" s="3">
        <f>IF(AND('Data Source'!B872&lt;&gt;"",'Data Source'!S872="A+"),IF('Data Source'!AA872&gt;=5,"A+",IF('Data Source'!AA872&gt;=4,"A",IF('Data Source'!AA872&gt;=3.5,"A-",IF('Data Source'!AA872&gt;=3,"B",IF('Data Source'!AA872&gt;=2,"C",IF('Data Source'!AA872&gt;=1,"D","F")))))),"")</f>
        <v/>
      </c>
      <c r="J872" s="3">
        <f>IF(AND('Data Source'!B872&lt;&gt;"",'Data Source'!S872="A+"),IF('Data Source'!AB872&gt;=5,"A+",IF('Data Source'!AB872&gt;=4,"A",IF('Data Source'!AB872&gt;=3.5,"A-",IF('Data Source'!AB872&gt;=3,"B",IF('Data Source'!AB872&gt;=2,"C",IF('Data Source'!AB872&gt;=1,"D","F")))))),"")</f>
        <v/>
      </c>
      <c r="K872" s="3">
        <f>IF(AND('Data Source'!B872&lt;&gt;"",'Data Source'!S872="A+"),IF('Data Source'!AC872&gt;=5,"A+",IF('Data Source'!AC872&gt;=4,"A",IF('Data Source'!AC872&gt;=3.5,"A-",IF('Data Source'!AC872&gt;=3,"B",IF('Data Source'!AC872&gt;=2,"C",IF('Data Source'!AC872&gt;=1,"D","F")))))),"")</f>
        <v/>
      </c>
      <c r="L872" s="3">
        <f>IF(AND('Data Source'!B872&lt;&gt;"",'Data Source'!S872="A+"),IF('Data Source'!AD872&gt;=5,"A+",IF('Data Source'!AD872&gt;=4,"A",IF('Data Source'!AD872&gt;=3.5,"A-",IF('Data Source'!AD872&gt;=3,"B",IF('Data Source'!AD872&gt;=2,"C",IF('Data Source'!AD872&gt;=1,"D","F")))))),"")</f>
        <v/>
      </c>
      <c r="M872" s="3">
        <f>IF(AND('Data Source'!B872&lt;&gt;"",'Data Source'!S872="A+"),IF('Data Source'!AE872&gt;=5,"A+",IF('Data Source'!AE872&gt;=4,"A",IF('Data Source'!AE872&gt;=3.5,"A-",IF('Data Source'!AE872&gt;=3,"B",IF('Data Source'!AE872&gt;=2,"C",IF('Data Source'!AE872&gt;=1,"D","F")))))),"")</f>
        <v/>
      </c>
      <c r="N872" s="3">
        <f>IF(AND('Data Source'!B872&lt;&gt;"",'Data Source'!S872="A+"),IF('Data Source'!AF872&gt;=5,"A+",IF('Data Source'!AF872&gt;=4,"A",IF('Data Source'!AF872&gt;=3.5,"A-",IF('Data Source'!AF872&gt;=3,"B",IF('Data Source'!AF872&gt;=2,"C",IF('Data Source'!AF872&gt;=1,"D","F")))))),"")</f>
        <v/>
      </c>
      <c r="O872" s="3">
        <f>IF(AND('Data Source'!B872&lt;&gt;"",'Data Source'!S872="A+"),IF('Data Source'!AG872&gt;=5,"A+",IF('Data Source'!AG872&gt;=4,"A",IF('Data Source'!AG872&gt;=3.5,"A-",IF('Data Source'!AG872&gt;=3,"B",IF('Data Source'!AG872&gt;=2,"C",IF('Data Source'!AG872&gt;=1,"D","F")))))),"")</f>
        <v/>
      </c>
      <c r="P872" s="5">
        <f>IF(AND('Data Source'!B872&lt;&gt;"",'Data Source'!S872="A+"),'Data Source'!R872,"")</f>
        <v/>
      </c>
      <c r="Q872" s="3">
        <f>IF(AND('Data Source'!B872&lt;&gt;"",'Data Source'!S872="A+"),'Data Source'!S872,"")</f>
        <v/>
      </c>
    </row>
    <row r="873">
      <c r="A873" s="3">
        <f>IF(AND('Data Source'!B873&lt;&gt;"",'Data Source'!S873="A+"),COUNTIF('Data Source'!$S$3:S873,"A+"),"")</f>
        <v/>
      </c>
      <c r="B873">
        <f>IF(AND('Data Source'!B873&lt;&gt;"",'Data Source'!S873="A+"),'Data Source'!B873,"")</f>
        <v/>
      </c>
      <c r="C873" s="3">
        <f>IF(AND('Data Source'!B873&lt;&gt;"",'Data Source'!S873="A+"),IF('Data Source'!U873&gt;=5,"A+",IF('Data Source'!U873&gt;=4,"A",IF('Data Source'!U873&gt;=3.5,"A-",IF('Data Source'!U873&gt;=3,"B",IF('Data Source'!U873&gt;=2,"C",IF('Data Source'!U873&gt;=1,"D","F")))))),"")</f>
        <v/>
      </c>
      <c r="D873" s="3">
        <f>IF(AND('Data Source'!B873&lt;&gt;"",'Data Source'!S873="A+"),IF('Data Source'!V873&gt;=5,"A+",IF('Data Source'!V873&gt;=4,"A",IF('Data Source'!V873&gt;=3.5,"A-",IF('Data Source'!V873&gt;=3,"B",IF('Data Source'!V873&gt;=2,"C",IF('Data Source'!V873&gt;=1,"D","F")))))),"")</f>
        <v/>
      </c>
      <c r="E873" s="3">
        <f>IF(AND('Data Source'!B873&lt;&gt;"",'Data Source'!S873="A+"),IF('Data Source'!W873&gt;=5,"A+",IF('Data Source'!W873&gt;=4,"A",IF('Data Source'!W873&gt;=3.5,"A-",IF('Data Source'!W873&gt;=3,"B",IF('Data Source'!W873&gt;=2,"C",IF('Data Source'!W873&gt;=1,"D","F")))))),"")</f>
        <v/>
      </c>
      <c r="F873" s="3">
        <f>IF(AND('Data Source'!B873&lt;&gt;"",'Data Source'!S873="A+"),IF('Data Source'!X873&gt;=5,"A+",IF('Data Source'!X873&gt;=4,"A",IF('Data Source'!X873&gt;=3.5,"A-",IF('Data Source'!X873&gt;=3,"B",IF('Data Source'!X873&gt;=2,"C",IF('Data Source'!X873&gt;=1,"D","F")))))),"")</f>
        <v/>
      </c>
      <c r="G873" s="3">
        <f>IF(AND('Data Source'!B873&lt;&gt;"",'Data Source'!S873="A+"),IF('Data Source'!Y873&gt;=5,"A+",IF('Data Source'!Y873&gt;=4,"A",IF('Data Source'!Y873&gt;=3.5,"A-",IF('Data Source'!Y873&gt;=3,"B",IF('Data Source'!Y873&gt;=2,"C",IF('Data Source'!Y873&gt;=1,"D","F")))))),"")</f>
        <v/>
      </c>
      <c r="H873" s="3">
        <f>IF(AND('Data Source'!B873&lt;&gt;"",'Data Source'!S873="A+"),IF('Data Source'!Z873&gt;=5,"A+",IF('Data Source'!Z873&gt;=4,"A",IF('Data Source'!Z873&gt;=3.5,"A-",IF('Data Source'!Z873&gt;=3,"B",IF('Data Source'!Z873&gt;=2,"C",IF('Data Source'!Z873&gt;=1,"D","F")))))),"")</f>
        <v/>
      </c>
      <c r="I873" s="3">
        <f>IF(AND('Data Source'!B873&lt;&gt;"",'Data Source'!S873="A+"),IF('Data Source'!AA873&gt;=5,"A+",IF('Data Source'!AA873&gt;=4,"A",IF('Data Source'!AA873&gt;=3.5,"A-",IF('Data Source'!AA873&gt;=3,"B",IF('Data Source'!AA873&gt;=2,"C",IF('Data Source'!AA873&gt;=1,"D","F")))))),"")</f>
        <v/>
      </c>
      <c r="J873" s="3">
        <f>IF(AND('Data Source'!B873&lt;&gt;"",'Data Source'!S873="A+"),IF('Data Source'!AB873&gt;=5,"A+",IF('Data Source'!AB873&gt;=4,"A",IF('Data Source'!AB873&gt;=3.5,"A-",IF('Data Source'!AB873&gt;=3,"B",IF('Data Source'!AB873&gt;=2,"C",IF('Data Source'!AB873&gt;=1,"D","F")))))),"")</f>
        <v/>
      </c>
      <c r="K873" s="3">
        <f>IF(AND('Data Source'!B873&lt;&gt;"",'Data Source'!S873="A+"),IF('Data Source'!AC873&gt;=5,"A+",IF('Data Source'!AC873&gt;=4,"A",IF('Data Source'!AC873&gt;=3.5,"A-",IF('Data Source'!AC873&gt;=3,"B",IF('Data Source'!AC873&gt;=2,"C",IF('Data Source'!AC873&gt;=1,"D","F")))))),"")</f>
        <v/>
      </c>
      <c r="L873" s="3">
        <f>IF(AND('Data Source'!B873&lt;&gt;"",'Data Source'!S873="A+"),IF('Data Source'!AD873&gt;=5,"A+",IF('Data Source'!AD873&gt;=4,"A",IF('Data Source'!AD873&gt;=3.5,"A-",IF('Data Source'!AD873&gt;=3,"B",IF('Data Source'!AD873&gt;=2,"C",IF('Data Source'!AD873&gt;=1,"D","F")))))),"")</f>
        <v/>
      </c>
      <c r="M873" s="3">
        <f>IF(AND('Data Source'!B873&lt;&gt;"",'Data Source'!S873="A+"),IF('Data Source'!AE873&gt;=5,"A+",IF('Data Source'!AE873&gt;=4,"A",IF('Data Source'!AE873&gt;=3.5,"A-",IF('Data Source'!AE873&gt;=3,"B",IF('Data Source'!AE873&gt;=2,"C",IF('Data Source'!AE873&gt;=1,"D","F")))))),"")</f>
        <v/>
      </c>
      <c r="N873" s="3">
        <f>IF(AND('Data Source'!B873&lt;&gt;"",'Data Source'!S873="A+"),IF('Data Source'!AF873&gt;=5,"A+",IF('Data Source'!AF873&gt;=4,"A",IF('Data Source'!AF873&gt;=3.5,"A-",IF('Data Source'!AF873&gt;=3,"B",IF('Data Source'!AF873&gt;=2,"C",IF('Data Source'!AF873&gt;=1,"D","F")))))),"")</f>
        <v/>
      </c>
      <c r="O873" s="3">
        <f>IF(AND('Data Source'!B873&lt;&gt;"",'Data Source'!S873="A+"),IF('Data Source'!AG873&gt;=5,"A+",IF('Data Source'!AG873&gt;=4,"A",IF('Data Source'!AG873&gt;=3.5,"A-",IF('Data Source'!AG873&gt;=3,"B",IF('Data Source'!AG873&gt;=2,"C",IF('Data Source'!AG873&gt;=1,"D","F")))))),"")</f>
        <v/>
      </c>
      <c r="P873" s="5">
        <f>IF(AND('Data Source'!B873&lt;&gt;"",'Data Source'!S873="A+"),'Data Source'!R873,"")</f>
        <v/>
      </c>
      <c r="Q873" s="3">
        <f>IF(AND('Data Source'!B873&lt;&gt;"",'Data Source'!S873="A+"),'Data Source'!S873,"")</f>
        <v/>
      </c>
    </row>
    <row r="874">
      <c r="A874" s="3">
        <f>IF(AND('Data Source'!B874&lt;&gt;"",'Data Source'!S874="A+"),COUNTIF('Data Source'!$S$3:S874,"A+"),"")</f>
        <v/>
      </c>
      <c r="B874">
        <f>IF(AND('Data Source'!B874&lt;&gt;"",'Data Source'!S874="A+"),'Data Source'!B874,"")</f>
        <v/>
      </c>
      <c r="C874" s="3">
        <f>IF(AND('Data Source'!B874&lt;&gt;"",'Data Source'!S874="A+"),IF('Data Source'!U874&gt;=5,"A+",IF('Data Source'!U874&gt;=4,"A",IF('Data Source'!U874&gt;=3.5,"A-",IF('Data Source'!U874&gt;=3,"B",IF('Data Source'!U874&gt;=2,"C",IF('Data Source'!U874&gt;=1,"D","F")))))),"")</f>
        <v/>
      </c>
      <c r="D874" s="3">
        <f>IF(AND('Data Source'!B874&lt;&gt;"",'Data Source'!S874="A+"),IF('Data Source'!V874&gt;=5,"A+",IF('Data Source'!V874&gt;=4,"A",IF('Data Source'!V874&gt;=3.5,"A-",IF('Data Source'!V874&gt;=3,"B",IF('Data Source'!V874&gt;=2,"C",IF('Data Source'!V874&gt;=1,"D","F")))))),"")</f>
        <v/>
      </c>
      <c r="E874" s="3">
        <f>IF(AND('Data Source'!B874&lt;&gt;"",'Data Source'!S874="A+"),IF('Data Source'!W874&gt;=5,"A+",IF('Data Source'!W874&gt;=4,"A",IF('Data Source'!W874&gt;=3.5,"A-",IF('Data Source'!W874&gt;=3,"B",IF('Data Source'!W874&gt;=2,"C",IF('Data Source'!W874&gt;=1,"D","F")))))),"")</f>
        <v/>
      </c>
      <c r="F874" s="3">
        <f>IF(AND('Data Source'!B874&lt;&gt;"",'Data Source'!S874="A+"),IF('Data Source'!X874&gt;=5,"A+",IF('Data Source'!X874&gt;=4,"A",IF('Data Source'!X874&gt;=3.5,"A-",IF('Data Source'!X874&gt;=3,"B",IF('Data Source'!X874&gt;=2,"C",IF('Data Source'!X874&gt;=1,"D","F")))))),"")</f>
        <v/>
      </c>
      <c r="G874" s="3">
        <f>IF(AND('Data Source'!B874&lt;&gt;"",'Data Source'!S874="A+"),IF('Data Source'!Y874&gt;=5,"A+",IF('Data Source'!Y874&gt;=4,"A",IF('Data Source'!Y874&gt;=3.5,"A-",IF('Data Source'!Y874&gt;=3,"B",IF('Data Source'!Y874&gt;=2,"C",IF('Data Source'!Y874&gt;=1,"D","F")))))),"")</f>
        <v/>
      </c>
      <c r="H874" s="3">
        <f>IF(AND('Data Source'!B874&lt;&gt;"",'Data Source'!S874="A+"),IF('Data Source'!Z874&gt;=5,"A+",IF('Data Source'!Z874&gt;=4,"A",IF('Data Source'!Z874&gt;=3.5,"A-",IF('Data Source'!Z874&gt;=3,"B",IF('Data Source'!Z874&gt;=2,"C",IF('Data Source'!Z874&gt;=1,"D","F")))))),"")</f>
        <v/>
      </c>
      <c r="I874" s="3">
        <f>IF(AND('Data Source'!B874&lt;&gt;"",'Data Source'!S874="A+"),IF('Data Source'!AA874&gt;=5,"A+",IF('Data Source'!AA874&gt;=4,"A",IF('Data Source'!AA874&gt;=3.5,"A-",IF('Data Source'!AA874&gt;=3,"B",IF('Data Source'!AA874&gt;=2,"C",IF('Data Source'!AA874&gt;=1,"D","F")))))),"")</f>
        <v/>
      </c>
      <c r="J874" s="3">
        <f>IF(AND('Data Source'!B874&lt;&gt;"",'Data Source'!S874="A+"),IF('Data Source'!AB874&gt;=5,"A+",IF('Data Source'!AB874&gt;=4,"A",IF('Data Source'!AB874&gt;=3.5,"A-",IF('Data Source'!AB874&gt;=3,"B",IF('Data Source'!AB874&gt;=2,"C",IF('Data Source'!AB874&gt;=1,"D","F")))))),"")</f>
        <v/>
      </c>
      <c r="K874" s="3">
        <f>IF(AND('Data Source'!B874&lt;&gt;"",'Data Source'!S874="A+"),IF('Data Source'!AC874&gt;=5,"A+",IF('Data Source'!AC874&gt;=4,"A",IF('Data Source'!AC874&gt;=3.5,"A-",IF('Data Source'!AC874&gt;=3,"B",IF('Data Source'!AC874&gt;=2,"C",IF('Data Source'!AC874&gt;=1,"D","F")))))),"")</f>
        <v/>
      </c>
      <c r="L874" s="3">
        <f>IF(AND('Data Source'!B874&lt;&gt;"",'Data Source'!S874="A+"),IF('Data Source'!AD874&gt;=5,"A+",IF('Data Source'!AD874&gt;=4,"A",IF('Data Source'!AD874&gt;=3.5,"A-",IF('Data Source'!AD874&gt;=3,"B",IF('Data Source'!AD874&gt;=2,"C",IF('Data Source'!AD874&gt;=1,"D","F")))))),"")</f>
        <v/>
      </c>
      <c r="M874" s="3">
        <f>IF(AND('Data Source'!B874&lt;&gt;"",'Data Source'!S874="A+"),IF('Data Source'!AE874&gt;=5,"A+",IF('Data Source'!AE874&gt;=4,"A",IF('Data Source'!AE874&gt;=3.5,"A-",IF('Data Source'!AE874&gt;=3,"B",IF('Data Source'!AE874&gt;=2,"C",IF('Data Source'!AE874&gt;=1,"D","F")))))),"")</f>
        <v/>
      </c>
      <c r="N874" s="3">
        <f>IF(AND('Data Source'!B874&lt;&gt;"",'Data Source'!S874="A+"),IF('Data Source'!AF874&gt;=5,"A+",IF('Data Source'!AF874&gt;=4,"A",IF('Data Source'!AF874&gt;=3.5,"A-",IF('Data Source'!AF874&gt;=3,"B",IF('Data Source'!AF874&gt;=2,"C",IF('Data Source'!AF874&gt;=1,"D","F")))))),"")</f>
        <v/>
      </c>
      <c r="O874" s="3">
        <f>IF(AND('Data Source'!B874&lt;&gt;"",'Data Source'!S874="A+"),IF('Data Source'!AG874&gt;=5,"A+",IF('Data Source'!AG874&gt;=4,"A",IF('Data Source'!AG874&gt;=3.5,"A-",IF('Data Source'!AG874&gt;=3,"B",IF('Data Source'!AG874&gt;=2,"C",IF('Data Source'!AG874&gt;=1,"D","F")))))),"")</f>
        <v/>
      </c>
      <c r="P874" s="5">
        <f>IF(AND('Data Source'!B874&lt;&gt;"",'Data Source'!S874="A+"),'Data Source'!R874,"")</f>
        <v/>
      </c>
      <c r="Q874" s="3">
        <f>IF(AND('Data Source'!B874&lt;&gt;"",'Data Source'!S874="A+"),'Data Source'!S874,"")</f>
        <v/>
      </c>
    </row>
    <row r="875">
      <c r="A875" s="3">
        <f>IF(AND('Data Source'!B875&lt;&gt;"",'Data Source'!S875="A+"),COUNTIF('Data Source'!$S$3:S875,"A+"),"")</f>
        <v/>
      </c>
      <c r="B875">
        <f>IF(AND('Data Source'!B875&lt;&gt;"",'Data Source'!S875="A+"),'Data Source'!B875,"")</f>
        <v/>
      </c>
      <c r="C875" s="3">
        <f>IF(AND('Data Source'!B875&lt;&gt;"",'Data Source'!S875="A+"),IF('Data Source'!U875&gt;=5,"A+",IF('Data Source'!U875&gt;=4,"A",IF('Data Source'!U875&gt;=3.5,"A-",IF('Data Source'!U875&gt;=3,"B",IF('Data Source'!U875&gt;=2,"C",IF('Data Source'!U875&gt;=1,"D","F")))))),"")</f>
        <v/>
      </c>
      <c r="D875" s="3">
        <f>IF(AND('Data Source'!B875&lt;&gt;"",'Data Source'!S875="A+"),IF('Data Source'!V875&gt;=5,"A+",IF('Data Source'!V875&gt;=4,"A",IF('Data Source'!V875&gt;=3.5,"A-",IF('Data Source'!V875&gt;=3,"B",IF('Data Source'!V875&gt;=2,"C",IF('Data Source'!V875&gt;=1,"D","F")))))),"")</f>
        <v/>
      </c>
      <c r="E875" s="3">
        <f>IF(AND('Data Source'!B875&lt;&gt;"",'Data Source'!S875="A+"),IF('Data Source'!W875&gt;=5,"A+",IF('Data Source'!W875&gt;=4,"A",IF('Data Source'!W875&gt;=3.5,"A-",IF('Data Source'!W875&gt;=3,"B",IF('Data Source'!W875&gt;=2,"C",IF('Data Source'!W875&gt;=1,"D","F")))))),"")</f>
        <v/>
      </c>
      <c r="F875" s="3">
        <f>IF(AND('Data Source'!B875&lt;&gt;"",'Data Source'!S875="A+"),IF('Data Source'!X875&gt;=5,"A+",IF('Data Source'!X875&gt;=4,"A",IF('Data Source'!X875&gt;=3.5,"A-",IF('Data Source'!X875&gt;=3,"B",IF('Data Source'!X875&gt;=2,"C",IF('Data Source'!X875&gt;=1,"D","F")))))),"")</f>
        <v/>
      </c>
      <c r="G875" s="3">
        <f>IF(AND('Data Source'!B875&lt;&gt;"",'Data Source'!S875="A+"),IF('Data Source'!Y875&gt;=5,"A+",IF('Data Source'!Y875&gt;=4,"A",IF('Data Source'!Y875&gt;=3.5,"A-",IF('Data Source'!Y875&gt;=3,"B",IF('Data Source'!Y875&gt;=2,"C",IF('Data Source'!Y875&gt;=1,"D","F")))))),"")</f>
        <v/>
      </c>
      <c r="H875" s="3">
        <f>IF(AND('Data Source'!B875&lt;&gt;"",'Data Source'!S875="A+"),IF('Data Source'!Z875&gt;=5,"A+",IF('Data Source'!Z875&gt;=4,"A",IF('Data Source'!Z875&gt;=3.5,"A-",IF('Data Source'!Z875&gt;=3,"B",IF('Data Source'!Z875&gt;=2,"C",IF('Data Source'!Z875&gt;=1,"D","F")))))),"")</f>
        <v/>
      </c>
      <c r="I875" s="3">
        <f>IF(AND('Data Source'!B875&lt;&gt;"",'Data Source'!S875="A+"),IF('Data Source'!AA875&gt;=5,"A+",IF('Data Source'!AA875&gt;=4,"A",IF('Data Source'!AA875&gt;=3.5,"A-",IF('Data Source'!AA875&gt;=3,"B",IF('Data Source'!AA875&gt;=2,"C",IF('Data Source'!AA875&gt;=1,"D","F")))))),"")</f>
        <v/>
      </c>
      <c r="J875" s="3">
        <f>IF(AND('Data Source'!B875&lt;&gt;"",'Data Source'!S875="A+"),IF('Data Source'!AB875&gt;=5,"A+",IF('Data Source'!AB875&gt;=4,"A",IF('Data Source'!AB875&gt;=3.5,"A-",IF('Data Source'!AB875&gt;=3,"B",IF('Data Source'!AB875&gt;=2,"C",IF('Data Source'!AB875&gt;=1,"D","F")))))),"")</f>
        <v/>
      </c>
      <c r="K875" s="3">
        <f>IF(AND('Data Source'!B875&lt;&gt;"",'Data Source'!S875="A+"),IF('Data Source'!AC875&gt;=5,"A+",IF('Data Source'!AC875&gt;=4,"A",IF('Data Source'!AC875&gt;=3.5,"A-",IF('Data Source'!AC875&gt;=3,"B",IF('Data Source'!AC875&gt;=2,"C",IF('Data Source'!AC875&gt;=1,"D","F")))))),"")</f>
        <v/>
      </c>
      <c r="L875" s="3">
        <f>IF(AND('Data Source'!B875&lt;&gt;"",'Data Source'!S875="A+"),IF('Data Source'!AD875&gt;=5,"A+",IF('Data Source'!AD875&gt;=4,"A",IF('Data Source'!AD875&gt;=3.5,"A-",IF('Data Source'!AD875&gt;=3,"B",IF('Data Source'!AD875&gt;=2,"C",IF('Data Source'!AD875&gt;=1,"D","F")))))),"")</f>
        <v/>
      </c>
      <c r="M875" s="3">
        <f>IF(AND('Data Source'!B875&lt;&gt;"",'Data Source'!S875="A+"),IF('Data Source'!AE875&gt;=5,"A+",IF('Data Source'!AE875&gt;=4,"A",IF('Data Source'!AE875&gt;=3.5,"A-",IF('Data Source'!AE875&gt;=3,"B",IF('Data Source'!AE875&gt;=2,"C",IF('Data Source'!AE875&gt;=1,"D","F")))))),"")</f>
        <v/>
      </c>
      <c r="N875" s="3">
        <f>IF(AND('Data Source'!B875&lt;&gt;"",'Data Source'!S875="A+"),IF('Data Source'!AF875&gt;=5,"A+",IF('Data Source'!AF875&gt;=4,"A",IF('Data Source'!AF875&gt;=3.5,"A-",IF('Data Source'!AF875&gt;=3,"B",IF('Data Source'!AF875&gt;=2,"C",IF('Data Source'!AF875&gt;=1,"D","F")))))),"")</f>
        <v/>
      </c>
      <c r="O875" s="3">
        <f>IF(AND('Data Source'!B875&lt;&gt;"",'Data Source'!S875="A+"),IF('Data Source'!AG875&gt;=5,"A+",IF('Data Source'!AG875&gt;=4,"A",IF('Data Source'!AG875&gt;=3.5,"A-",IF('Data Source'!AG875&gt;=3,"B",IF('Data Source'!AG875&gt;=2,"C",IF('Data Source'!AG875&gt;=1,"D","F")))))),"")</f>
        <v/>
      </c>
      <c r="P875" s="5">
        <f>IF(AND('Data Source'!B875&lt;&gt;"",'Data Source'!S875="A+"),'Data Source'!R875,"")</f>
        <v/>
      </c>
      <c r="Q875" s="3">
        <f>IF(AND('Data Source'!B875&lt;&gt;"",'Data Source'!S875="A+"),'Data Source'!S875,"")</f>
        <v/>
      </c>
    </row>
    <row r="876">
      <c r="A876" s="3">
        <f>IF(AND('Data Source'!B876&lt;&gt;"",'Data Source'!S876="A+"),COUNTIF('Data Source'!$S$3:S876,"A+"),"")</f>
        <v/>
      </c>
      <c r="B876">
        <f>IF(AND('Data Source'!B876&lt;&gt;"",'Data Source'!S876="A+"),'Data Source'!B876,"")</f>
        <v/>
      </c>
      <c r="C876" s="3">
        <f>IF(AND('Data Source'!B876&lt;&gt;"",'Data Source'!S876="A+"),IF('Data Source'!U876&gt;=5,"A+",IF('Data Source'!U876&gt;=4,"A",IF('Data Source'!U876&gt;=3.5,"A-",IF('Data Source'!U876&gt;=3,"B",IF('Data Source'!U876&gt;=2,"C",IF('Data Source'!U876&gt;=1,"D","F")))))),"")</f>
        <v/>
      </c>
      <c r="D876" s="3">
        <f>IF(AND('Data Source'!B876&lt;&gt;"",'Data Source'!S876="A+"),IF('Data Source'!V876&gt;=5,"A+",IF('Data Source'!V876&gt;=4,"A",IF('Data Source'!V876&gt;=3.5,"A-",IF('Data Source'!V876&gt;=3,"B",IF('Data Source'!V876&gt;=2,"C",IF('Data Source'!V876&gt;=1,"D","F")))))),"")</f>
        <v/>
      </c>
      <c r="E876" s="3">
        <f>IF(AND('Data Source'!B876&lt;&gt;"",'Data Source'!S876="A+"),IF('Data Source'!W876&gt;=5,"A+",IF('Data Source'!W876&gt;=4,"A",IF('Data Source'!W876&gt;=3.5,"A-",IF('Data Source'!W876&gt;=3,"B",IF('Data Source'!W876&gt;=2,"C",IF('Data Source'!W876&gt;=1,"D","F")))))),"")</f>
        <v/>
      </c>
      <c r="F876" s="3">
        <f>IF(AND('Data Source'!B876&lt;&gt;"",'Data Source'!S876="A+"),IF('Data Source'!X876&gt;=5,"A+",IF('Data Source'!X876&gt;=4,"A",IF('Data Source'!X876&gt;=3.5,"A-",IF('Data Source'!X876&gt;=3,"B",IF('Data Source'!X876&gt;=2,"C",IF('Data Source'!X876&gt;=1,"D","F")))))),"")</f>
        <v/>
      </c>
      <c r="G876" s="3">
        <f>IF(AND('Data Source'!B876&lt;&gt;"",'Data Source'!S876="A+"),IF('Data Source'!Y876&gt;=5,"A+",IF('Data Source'!Y876&gt;=4,"A",IF('Data Source'!Y876&gt;=3.5,"A-",IF('Data Source'!Y876&gt;=3,"B",IF('Data Source'!Y876&gt;=2,"C",IF('Data Source'!Y876&gt;=1,"D","F")))))),"")</f>
        <v/>
      </c>
      <c r="H876" s="3">
        <f>IF(AND('Data Source'!B876&lt;&gt;"",'Data Source'!S876="A+"),IF('Data Source'!Z876&gt;=5,"A+",IF('Data Source'!Z876&gt;=4,"A",IF('Data Source'!Z876&gt;=3.5,"A-",IF('Data Source'!Z876&gt;=3,"B",IF('Data Source'!Z876&gt;=2,"C",IF('Data Source'!Z876&gt;=1,"D","F")))))),"")</f>
        <v/>
      </c>
      <c r="I876" s="3">
        <f>IF(AND('Data Source'!B876&lt;&gt;"",'Data Source'!S876="A+"),IF('Data Source'!AA876&gt;=5,"A+",IF('Data Source'!AA876&gt;=4,"A",IF('Data Source'!AA876&gt;=3.5,"A-",IF('Data Source'!AA876&gt;=3,"B",IF('Data Source'!AA876&gt;=2,"C",IF('Data Source'!AA876&gt;=1,"D","F")))))),"")</f>
        <v/>
      </c>
      <c r="J876" s="3">
        <f>IF(AND('Data Source'!B876&lt;&gt;"",'Data Source'!S876="A+"),IF('Data Source'!AB876&gt;=5,"A+",IF('Data Source'!AB876&gt;=4,"A",IF('Data Source'!AB876&gt;=3.5,"A-",IF('Data Source'!AB876&gt;=3,"B",IF('Data Source'!AB876&gt;=2,"C",IF('Data Source'!AB876&gt;=1,"D","F")))))),"")</f>
        <v/>
      </c>
      <c r="K876" s="3">
        <f>IF(AND('Data Source'!B876&lt;&gt;"",'Data Source'!S876="A+"),IF('Data Source'!AC876&gt;=5,"A+",IF('Data Source'!AC876&gt;=4,"A",IF('Data Source'!AC876&gt;=3.5,"A-",IF('Data Source'!AC876&gt;=3,"B",IF('Data Source'!AC876&gt;=2,"C",IF('Data Source'!AC876&gt;=1,"D","F")))))),"")</f>
        <v/>
      </c>
      <c r="L876" s="3">
        <f>IF(AND('Data Source'!B876&lt;&gt;"",'Data Source'!S876="A+"),IF('Data Source'!AD876&gt;=5,"A+",IF('Data Source'!AD876&gt;=4,"A",IF('Data Source'!AD876&gt;=3.5,"A-",IF('Data Source'!AD876&gt;=3,"B",IF('Data Source'!AD876&gt;=2,"C",IF('Data Source'!AD876&gt;=1,"D","F")))))),"")</f>
        <v/>
      </c>
      <c r="M876" s="3">
        <f>IF(AND('Data Source'!B876&lt;&gt;"",'Data Source'!S876="A+"),IF('Data Source'!AE876&gt;=5,"A+",IF('Data Source'!AE876&gt;=4,"A",IF('Data Source'!AE876&gt;=3.5,"A-",IF('Data Source'!AE876&gt;=3,"B",IF('Data Source'!AE876&gt;=2,"C",IF('Data Source'!AE876&gt;=1,"D","F")))))),"")</f>
        <v/>
      </c>
      <c r="N876" s="3">
        <f>IF(AND('Data Source'!B876&lt;&gt;"",'Data Source'!S876="A+"),IF('Data Source'!AF876&gt;=5,"A+",IF('Data Source'!AF876&gt;=4,"A",IF('Data Source'!AF876&gt;=3.5,"A-",IF('Data Source'!AF876&gt;=3,"B",IF('Data Source'!AF876&gt;=2,"C",IF('Data Source'!AF876&gt;=1,"D","F")))))),"")</f>
        <v/>
      </c>
      <c r="O876" s="3">
        <f>IF(AND('Data Source'!B876&lt;&gt;"",'Data Source'!S876="A+"),IF('Data Source'!AG876&gt;=5,"A+",IF('Data Source'!AG876&gt;=4,"A",IF('Data Source'!AG876&gt;=3.5,"A-",IF('Data Source'!AG876&gt;=3,"B",IF('Data Source'!AG876&gt;=2,"C",IF('Data Source'!AG876&gt;=1,"D","F")))))),"")</f>
        <v/>
      </c>
      <c r="P876" s="5">
        <f>IF(AND('Data Source'!B876&lt;&gt;"",'Data Source'!S876="A+"),'Data Source'!R876,"")</f>
        <v/>
      </c>
      <c r="Q876" s="3">
        <f>IF(AND('Data Source'!B876&lt;&gt;"",'Data Source'!S876="A+"),'Data Source'!S876,"")</f>
        <v/>
      </c>
    </row>
    <row r="877">
      <c r="A877" s="3">
        <f>IF(AND('Data Source'!B877&lt;&gt;"",'Data Source'!S877="A+"),COUNTIF('Data Source'!$S$3:S877,"A+"),"")</f>
        <v/>
      </c>
      <c r="B877">
        <f>IF(AND('Data Source'!B877&lt;&gt;"",'Data Source'!S877="A+"),'Data Source'!B877,"")</f>
        <v/>
      </c>
      <c r="C877" s="3">
        <f>IF(AND('Data Source'!B877&lt;&gt;"",'Data Source'!S877="A+"),IF('Data Source'!U877&gt;=5,"A+",IF('Data Source'!U877&gt;=4,"A",IF('Data Source'!U877&gt;=3.5,"A-",IF('Data Source'!U877&gt;=3,"B",IF('Data Source'!U877&gt;=2,"C",IF('Data Source'!U877&gt;=1,"D","F")))))),"")</f>
        <v/>
      </c>
      <c r="D877" s="3">
        <f>IF(AND('Data Source'!B877&lt;&gt;"",'Data Source'!S877="A+"),IF('Data Source'!V877&gt;=5,"A+",IF('Data Source'!V877&gt;=4,"A",IF('Data Source'!V877&gt;=3.5,"A-",IF('Data Source'!V877&gt;=3,"B",IF('Data Source'!V877&gt;=2,"C",IF('Data Source'!V877&gt;=1,"D","F")))))),"")</f>
        <v/>
      </c>
      <c r="E877" s="3">
        <f>IF(AND('Data Source'!B877&lt;&gt;"",'Data Source'!S877="A+"),IF('Data Source'!W877&gt;=5,"A+",IF('Data Source'!W877&gt;=4,"A",IF('Data Source'!W877&gt;=3.5,"A-",IF('Data Source'!W877&gt;=3,"B",IF('Data Source'!W877&gt;=2,"C",IF('Data Source'!W877&gt;=1,"D","F")))))),"")</f>
        <v/>
      </c>
      <c r="F877" s="3">
        <f>IF(AND('Data Source'!B877&lt;&gt;"",'Data Source'!S877="A+"),IF('Data Source'!X877&gt;=5,"A+",IF('Data Source'!X877&gt;=4,"A",IF('Data Source'!X877&gt;=3.5,"A-",IF('Data Source'!X877&gt;=3,"B",IF('Data Source'!X877&gt;=2,"C",IF('Data Source'!X877&gt;=1,"D","F")))))),"")</f>
        <v/>
      </c>
      <c r="G877" s="3">
        <f>IF(AND('Data Source'!B877&lt;&gt;"",'Data Source'!S877="A+"),IF('Data Source'!Y877&gt;=5,"A+",IF('Data Source'!Y877&gt;=4,"A",IF('Data Source'!Y877&gt;=3.5,"A-",IF('Data Source'!Y877&gt;=3,"B",IF('Data Source'!Y877&gt;=2,"C",IF('Data Source'!Y877&gt;=1,"D","F")))))),"")</f>
        <v/>
      </c>
      <c r="H877" s="3">
        <f>IF(AND('Data Source'!B877&lt;&gt;"",'Data Source'!S877="A+"),IF('Data Source'!Z877&gt;=5,"A+",IF('Data Source'!Z877&gt;=4,"A",IF('Data Source'!Z877&gt;=3.5,"A-",IF('Data Source'!Z877&gt;=3,"B",IF('Data Source'!Z877&gt;=2,"C",IF('Data Source'!Z877&gt;=1,"D","F")))))),"")</f>
        <v/>
      </c>
      <c r="I877" s="3">
        <f>IF(AND('Data Source'!B877&lt;&gt;"",'Data Source'!S877="A+"),IF('Data Source'!AA877&gt;=5,"A+",IF('Data Source'!AA877&gt;=4,"A",IF('Data Source'!AA877&gt;=3.5,"A-",IF('Data Source'!AA877&gt;=3,"B",IF('Data Source'!AA877&gt;=2,"C",IF('Data Source'!AA877&gt;=1,"D","F")))))),"")</f>
        <v/>
      </c>
      <c r="J877" s="3">
        <f>IF(AND('Data Source'!B877&lt;&gt;"",'Data Source'!S877="A+"),IF('Data Source'!AB877&gt;=5,"A+",IF('Data Source'!AB877&gt;=4,"A",IF('Data Source'!AB877&gt;=3.5,"A-",IF('Data Source'!AB877&gt;=3,"B",IF('Data Source'!AB877&gt;=2,"C",IF('Data Source'!AB877&gt;=1,"D","F")))))),"")</f>
        <v/>
      </c>
      <c r="K877" s="3">
        <f>IF(AND('Data Source'!B877&lt;&gt;"",'Data Source'!S877="A+"),IF('Data Source'!AC877&gt;=5,"A+",IF('Data Source'!AC877&gt;=4,"A",IF('Data Source'!AC877&gt;=3.5,"A-",IF('Data Source'!AC877&gt;=3,"B",IF('Data Source'!AC877&gt;=2,"C",IF('Data Source'!AC877&gt;=1,"D","F")))))),"")</f>
        <v/>
      </c>
      <c r="L877" s="3">
        <f>IF(AND('Data Source'!B877&lt;&gt;"",'Data Source'!S877="A+"),IF('Data Source'!AD877&gt;=5,"A+",IF('Data Source'!AD877&gt;=4,"A",IF('Data Source'!AD877&gt;=3.5,"A-",IF('Data Source'!AD877&gt;=3,"B",IF('Data Source'!AD877&gt;=2,"C",IF('Data Source'!AD877&gt;=1,"D","F")))))),"")</f>
        <v/>
      </c>
      <c r="M877" s="3">
        <f>IF(AND('Data Source'!B877&lt;&gt;"",'Data Source'!S877="A+"),IF('Data Source'!AE877&gt;=5,"A+",IF('Data Source'!AE877&gt;=4,"A",IF('Data Source'!AE877&gt;=3.5,"A-",IF('Data Source'!AE877&gt;=3,"B",IF('Data Source'!AE877&gt;=2,"C",IF('Data Source'!AE877&gt;=1,"D","F")))))),"")</f>
        <v/>
      </c>
      <c r="N877" s="3">
        <f>IF(AND('Data Source'!B877&lt;&gt;"",'Data Source'!S877="A+"),IF('Data Source'!AF877&gt;=5,"A+",IF('Data Source'!AF877&gt;=4,"A",IF('Data Source'!AF877&gt;=3.5,"A-",IF('Data Source'!AF877&gt;=3,"B",IF('Data Source'!AF877&gt;=2,"C",IF('Data Source'!AF877&gt;=1,"D","F")))))),"")</f>
        <v/>
      </c>
      <c r="O877" s="3">
        <f>IF(AND('Data Source'!B877&lt;&gt;"",'Data Source'!S877="A+"),IF('Data Source'!AG877&gt;=5,"A+",IF('Data Source'!AG877&gt;=4,"A",IF('Data Source'!AG877&gt;=3.5,"A-",IF('Data Source'!AG877&gt;=3,"B",IF('Data Source'!AG877&gt;=2,"C",IF('Data Source'!AG877&gt;=1,"D","F")))))),"")</f>
        <v/>
      </c>
      <c r="P877" s="5">
        <f>IF(AND('Data Source'!B877&lt;&gt;"",'Data Source'!S877="A+"),'Data Source'!R877,"")</f>
        <v/>
      </c>
      <c r="Q877" s="3">
        <f>IF(AND('Data Source'!B877&lt;&gt;"",'Data Source'!S877="A+"),'Data Source'!S877,"")</f>
        <v/>
      </c>
    </row>
    <row r="878">
      <c r="A878" s="3">
        <f>IF(AND('Data Source'!B878&lt;&gt;"",'Data Source'!S878="A+"),COUNTIF('Data Source'!$S$3:S878,"A+"),"")</f>
        <v/>
      </c>
      <c r="B878">
        <f>IF(AND('Data Source'!B878&lt;&gt;"",'Data Source'!S878="A+"),'Data Source'!B878,"")</f>
        <v/>
      </c>
      <c r="C878" s="3">
        <f>IF(AND('Data Source'!B878&lt;&gt;"",'Data Source'!S878="A+"),IF('Data Source'!U878&gt;=5,"A+",IF('Data Source'!U878&gt;=4,"A",IF('Data Source'!U878&gt;=3.5,"A-",IF('Data Source'!U878&gt;=3,"B",IF('Data Source'!U878&gt;=2,"C",IF('Data Source'!U878&gt;=1,"D","F")))))),"")</f>
        <v/>
      </c>
      <c r="D878" s="3">
        <f>IF(AND('Data Source'!B878&lt;&gt;"",'Data Source'!S878="A+"),IF('Data Source'!V878&gt;=5,"A+",IF('Data Source'!V878&gt;=4,"A",IF('Data Source'!V878&gt;=3.5,"A-",IF('Data Source'!V878&gt;=3,"B",IF('Data Source'!V878&gt;=2,"C",IF('Data Source'!V878&gt;=1,"D","F")))))),"")</f>
        <v/>
      </c>
      <c r="E878" s="3">
        <f>IF(AND('Data Source'!B878&lt;&gt;"",'Data Source'!S878="A+"),IF('Data Source'!W878&gt;=5,"A+",IF('Data Source'!W878&gt;=4,"A",IF('Data Source'!W878&gt;=3.5,"A-",IF('Data Source'!W878&gt;=3,"B",IF('Data Source'!W878&gt;=2,"C",IF('Data Source'!W878&gt;=1,"D","F")))))),"")</f>
        <v/>
      </c>
      <c r="F878" s="3">
        <f>IF(AND('Data Source'!B878&lt;&gt;"",'Data Source'!S878="A+"),IF('Data Source'!X878&gt;=5,"A+",IF('Data Source'!X878&gt;=4,"A",IF('Data Source'!X878&gt;=3.5,"A-",IF('Data Source'!X878&gt;=3,"B",IF('Data Source'!X878&gt;=2,"C",IF('Data Source'!X878&gt;=1,"D","F")))))),"")</f>
        <v/>
      </c>
      <c r="G878" s="3">
        <f>IF(AND('Data Source'!B878&lt;&gt;"",'Data Source'!S878="A+"),IF('Data Source'!Y878&gt;=5,"A+",IF('Data Source'!Y878&gt;=4,"A",IF('Data Source'!Y878&gt;=3.5,"A-",IF('Data Source'!Y878&gt;=3,"B",IF('Data Source'!Y878&gt;=2,"C",IF('Data Source'!Y878&gt;=1,"D","F")))))),"")</f>
        <v/>
      </c>
      <c r="H878" s="3">
        <f>IF(AND('Data Source'!B878&lt;&gt;"",'Data Source'!S878="A+"),IF('Data Source'!Z878&gt;=5,"A+",IF('Data Source'!Z878&gt;=4,"A",IF('Data Source'!Z878&gt;=3.5,"A-",IF('Data Source'!Z878&gt;=3,"B",IF('Data Source'!Z878&gt;=2,"C",IF('Data Source'!Z878&gt;=1,"D","F")))))),"")</f>
        <v/>
      </c>
      <c r="I878" s="3">
        <f>IF(AND('Data Source'!B878&lt;&gt;"",'Data Source'!S878="A+"),IF('Data Source'!AA878&gt;=5,"A+",IF('Data Source'!AA878&gt;=4,"A",IF('Data Source'!AA878&gt;=3.5,"A-",IF('Data Source'!AA878&gt;=3,"B",IF('Data Source'!AA878&gt;=2,"C",IF('Data Source'!AA878&gt;=1,"D","F")))))),"")</f>
        <v/>
      </c>
      <c r="J878" s="3">
        <f>IF(AND('Data Source'!B878&lt;&gt;"",'Data Source'!S878="A+"),IF('Data Source'!AB878&gt;=5,"A+",IF('Data Source'!AB878&gt;=4,"A",IF('Data Source'!AB878&gt;=3.5,"A-",IF('Data Source'!AB878&gt;=3,"B",IF('Data Source'!AB878&gt;=2,"C",IF('Data Source'!AB878&gt;=1,"D","F")))))),"")</f>
        <v/>
      </c>
      <c r="K878" s="3">
        <f>IF(AND('Data Source'!B878&lt;&gt;"",'Data Source'!S878="A+"),IF('Data Source'!AC878&gt;=5,"A+",IF('Data Source'!AC878&gt;=4,"A",IF('Data Source'!AC878&gt;=3.5,"A-",IF('Data Source'!AC878&gt;=3,"B",IF('Data Source'!AC878&gt;=2,"C",IF('Data Source'!AC878&gt;=1,"D","F")))))),"")</f>
        <v/>
      </c>
      <c r="L878" s="3">
        <f>IF(AND('Data Source'!B878&lt;&gt;"",'Data Source'!S878="A+"),IF('Data Source'!AD878&gt;=5,"A+",IF('Data Source'!AD878&gt;=4,"A",IF('Data Source'!AD878&gt;=3.5,"A-",IF('Data Source'!AD878&gt;=3,"B",IF('Data Source'!AD878&gt;=2,"C",IF('Data Source'!AD878&gt;=1,"D","F")))))),"")</f>
        <v/>
      </c>
      <c r="M878" s="3">
        <f>IF(AND('Data Source'!B878&lt;&gt;"",'Data Source'!S878="A+"),IF('Data Source'!AE878&gt;=5,"A+",IF('Data Source'!AE878&gt;=4,"A",IF('Data Source'!AE878&gt;=3.5,"A-",IF('Data Source'!AE878&gt;=3,"B",IF('Data Source'!AE878&gt;=2,"C",IF('Data Source'!AE878&gt;=1,"D","F")))))),"")</f>
        <v/>
      </c>
      <c r="N878" s="3">
        <f>IF(AND('Data Source'!B878&lt;&gt;"",'Data Source'!S878="A+"),IF('Data Source'!AF878&gt;=5,"A+",IF('Data Source'!AF878&gt;=4,"A",IF('Data Source'!AF878&gt;=3.5,"A-",IF('Data Source'!AF878&gt;=3,"B",IF('Data Source'!AF878&gt;=2,"C",IF('Data Source'!AF878&gt;=1,"D","F")))))),"")</f>
        <v/>
      </c>
      <c r="O878" s="3">
        <f>IF(AND('Data Source'!B878&lt;&gt;"",'Data Source'!S878="A+"),IF('Data Source'!AG878&gt;=5,"A+",IF('Data Source'!AG878&gt;=4,"A",IF('Data Source'!AG878&gt;=3.5,"A-",IF('Data Source'!AG878&gt;=3,"B",IF('Data Source'!AG878&gt;=2,"C",IF('Data Source'!AG878&gt;=1,"D","F")))))),"")</f>
        <v/>
      </c>
      <c r="P878" s="5">
        <f>IF(AND('Data Source'!B878&lt;&gt;"",'Data Source'!S878="A+"),'Data Source'!R878,"")</f>
        <v/>
      </c>
      <c r="Q878" s="3">
        <f>IF(AND('Data Source'!B878&lt;&gt;"",'Data Source'!S878="A+"),'Data Source'!S878,"")</f>
        <v/>
      </c>
    </row>
    <row r="879">
      <c r="A879" s="3">
        <f>IF(AND('Data Source'!B879&lt;&gt;"",'Data Source'!S879="A+"),COUNTIF('Data Source'!$S$3:S879,"A+"),"")</f>
        <v/>
      </c>
      <c r="B879">
        <f>IF(AND('Data Source'!B879&lt;&gt;"",'Data Source'!S879="A+"),'Data Source'!B879,"")</f>
        <v/>
      </c>
      <c r="C879" s="3">
        <f>IF(AND('Data Source'!B879&lt;&gt;"",'Data Source'!S879="A+"),IF('Data Source'!U879&gt;=5,"A+",IF('Data Source'!U879&gt;=4,"A",IF('Data Source'!U879&gt;=3.5,"A-",IF('Data Source'!U879&gt;=3,"B",IF('Data Source'!U879&gt;=2,"C",IF('Data Source'!U879&gt;=1,"D","F")))))),"")</f>
        <v/>
      </c>
      <c r="D879" s="3">
        <f>IF(AND('Data Source'!B879&lt;&gt;"",'Data Source'!S879="A+"),IF('Data Source'!V879&gt;=5,"A+",IF('Data Source'!V879&gt;=4,"A",IF('Data Source'!V879&gt;=3.5,"A-",IF('Data Source'!V879&gt;=3,"B",IF('Data Source'!V879&gt;=2,"C",IF('Data Source'!V879&gt;=1,"D","F")))))),"")</f>
        <v/>
      </c>
      <c r="E879" s="3">
        <f>IF(AND('Data Source'!B879&lt;&gt;"",'Data Source'!S879="A+"),IF('Data Source'!W879&gt;=5,"A+",IF('Data Source'!W879&gt;=4,"A",IF('Data Source'!W879&gt;=3.5,"A-",IF('Data Source'!W879&gt;=3,"B",IF('Data Source'!W879&gt;=2,"C",IF('Data Source'!W879&gt;=1,"D","F")))))),"")</f>
        <v/>
      </c>
      <c r="F879" s="3">
        <f>IF(AND('Data Source'!B879&lt;&gt;"",'Data Source'!S879="A+"),IF('Data Source'!X879&gt;=5,"A+",IF('Data Source'!X879&gt;=4,"A",IF('Data Source'!X879&gt;=3.5,"A-",IF('Data Source'!X879&gt;=3,"B",IF('Data Source'!X879&gt;=2,"C",IF('Data Source'!X879&gt;=1,"D","F")))))),"")</f>
        <v/>
      </c>
      <c r="G879" s="3">
        <f>IF(AND('Data Source'!B879&lt;&gt;"",'Data Source'!S879="A+"),IF('Data Source'!Y879&gt;=5,"A+",IF('Data Source'!Y879&gt;=4,"A",IF('Data Source'!Y879&gt;=3.5,"A-",IF('Data Source'!Y879&gt;=3,"B",IF('Data Source'!Y879&gt;=2,"C",IF('Data Source'!Y879&gt;=1,"D","F")))))),"")</f>
        <v/>
      </c>
      <c r="H879" s="3">
        <f>IF(AND('Data Source'!B879&lt;&gt;"",'Data Source'!S879="A+"),IF('Data Source'!Z879&gt;=5,"A+",IF('Data Source'!Z879&gt;=4,"A",IF('Data Source'!Z879&gt;=3.5,"A-",IF('Data Source'!Z879&gt;=3,"B",IF('Data Source'!Z879&gt;=2,"C",IF('Data Source'!Z879&gt;=1,"D","F")))))),"")</f>
        <v/>
      </c>
      <c r="I879" s="3">
        <f>IF(AND('Data Source'!B879&lt;&gt;"",'Data Source'!S879="A+"),IF('Data Source'!AA879&gt;=5,"A+",IF('Data Source'!AA879&gt;=4,"A",IF('Data Source'!AA879&gt;=3.5,"A-",IF('Data Source'!AA879&gt;=3,"B",IF('Data Source'!AA879&gt;=2,"C",IF('Data Source'!AA879&gt;=1,"D","F")))))),"")</f>
        <v/>
      </c>
      <c r="J879" s="3">
        <f>IF(AND('Data Source'!B879&lt;&gt;"",'Data Source'!S879="A+"),IF('Data Source'!AB879&gt;=5,"A+",IF('Data Source'!AB879&gt;=4,"A",IF('Data Source'!AB879&gt;=3.5,"A-",IF('Data Source'!AB879&gt;=3,"B",IF('Data Source'!AB879&gt;=2,"C",IF('Data Source'!AB879&gt;=1,"D","F")))))),"")</f>
        <v/>
      </c>
      <c r="K879" s="3">
        <f>IF(AND('Data Source'!B879&lt;&gt;"",'Data Source'!S879="A+"),IF('Data Source'!AC879&gt;=5,"A+",IF('Data Source'!AC879&gt;=4,"A",IF('Data Source'!AC879&gt;=3.5,"A-",IF('Data Source'!AC879&gt;=3,"B",IF('Data Source'!AC879&gt;=2,"C",IF('Data Source'!AC879&gt;=1,"D","F")))))),"")</f>
        <v/>
      </c>
      <c r="L879" s="3">
        <f>IF(AND('Data Source'!B879&lt;&gt;"",'Data Source'!S879="A+"),IF('Data Source'!AD879&gt;=5,"A+",IF('Data Source'!AD879&gt;=4,"A",IF('Data Source'!AD879&gt;=3.5,"A-",IF('Data Source'!AD879&gt;=3,"B",IF('Data Source'!AD879&gt;=2,"C",IF('Data Source'!AD879&gt;=1,"D","F")))))),"")</f>
        <v/>
      </c>
      <c r="M879" s="3">
        <f>IF(AND('Data Source'!B879&lt;&gt;"",'Data Source'!S879="A+"),IF('Data Source'!AE879&gt;=5,"A+",IF('Data Source'!AE879&gt;=4,"A",IF('Data Source'!AE879&gt;=3.5,"A-",IF('Data Source'!AE879&gt;=3,"B",IF('Data Source'!AE879&gt;=2,"C",IF('Data Source'!AE879&gt;=1,"D","F")))))),"")</f>
        <v/>
      </c>
      <c r="N879" s="3">
        <f>IF(AND('Data Source'!B879&lt;&gt;"",'Data Source'!S879="A+"),IF('Data Source'!AF879&gt;=5,"A+",IF('Data Source'!AF879&gt;=4,"A",IF('Data Source'!AF879&gt;=3.5,"A-",IF('Data Source'!AF879&gt;=3,"B",IF('Data Source'!AF879&gt;=2,"C",IF('Data Source'!AF879&gt;=1,"D","F")))))),"")</f>
        <v/>
      </c>
      <c r="O879" s="3">
        <f>IF(AND('Data Source'!B879&lt;&gt;"",'Data Source'!S879="A+"),IF('Data Source'!AG879&gt;=5,"A+",IF('Data Source'!AG879&gt;=4,"A",IF('Data Source'!AG879&gt;=3.5,"A-",IF('Data Source'!AG879&gt;=3,"B",IF('Data Source'!AG879&gt;=2,"C",IF('Data Source'!AG879&gt;=1,"D","F")))))),"")</f>
        <v/>
      </c>
      <c r="P879" s="5">
        <f>IF(AND('Data Source'!B879&lt;&gt;"",'Data Source'!S879="A+"),'Data Source'!R879,"")</f>
        <v/>
      </c>
      <c r="Q879" s="3">
        <f>IF(AND('Data Source'!B879&lt;&gt;"",'Data Source'!S879="A+"),'Data Source'!S879,"")</f>
        <v/>
      </c>
    </row>
    <row r="880">
      <c r="A880" s="3">
        <f>IF(AND('Data Source'!B880&lt;&gt;"",'Data Source'!S880="A+"),COUNTIF('Data Source'!$S$3:S880,"A+"),"")</f>
        <v/>
      </c>
      <c r="B880">
        <f>IF(AND('Data Source'!B880&lt;&gt;"",'Data Source'!S880="A+"),'Data Source'!B880,"")</f>
        <v/>
      </c>
      <c r="C880" s="3">
        <f>IF(AND('Data Source'!B880&lt;&gt;"",'Data Source'!S880="A+"),IF('Data Source'!U880&gt;=5,"A+",IF('Data Source'!U880&gt;=4,"A",IF('Data Source'!U880&gt;=3.5,"A-",IF('Data Source'!U880&gt;=3,"B",IF('Data Source'!U880&gt;=2,"C",IF('Data Source'!U880&gt;=1,"D","F")))))),"")</f>
        <v/>
      </c>
      <c r="D880" s="3">
        <f>IF(AND('Data Source'!B880&lt;&gt;"",'Data Source'!S880="A+"),IF('Data Source'!V880&gt;=5,"A+",IF('Data Source'!V880&gt;=4,"A",IF('Data Source'!V880&gt;=3.5,"A-",IF('Data Source'!V880&gt;=3,"B",IF('Data Source'!V880&gt;=2,"C",IF('Data Source'!V880&gt;=1,"D","F")))))),"")</f>
        <v/>
      </c>
      <c r="E880" s="3">
        <f>IF(AND('Data Source'!B880&lt;&gt;"",'Data Source'!S880="A+"),IF('Data Source'!W880&gt;=5,"A+",IF('Data Source'!W880&gt;=4,"A",IF('Data Source'!W880&gt;=3.5,"A-",IF('Data Source'!W880&gt;=3,"B",IF('Data Source'!W880&gt;=2,"C",IF('Data Source'!W880&gt;=1,"D","F")))))),"")</f>
        <v/>
      </c>
      <c r="F880" s="3">
        <f>IF(AND('Data Source'!B880&lt;&gt;"",'Data Source'!S880="A+"),IF('Data Source'!X880&gt;=5,"A+",IF('Data Source'!X880&gt;=4,"A",IF('Data Source'!X880&gt;=3.5,"A-",IF('Data Source'!X880&gt;=3,"B",IF('Data Source'!X880&gt;=2,"C",IF('Data Source'!X880&gt;=1,"D","F")))))),"")</f>
        <v/>
      </c>
      <c r="G880" s="3">
        <f>IF(AND('Data Source'!B880&lt;&gt;"",'Data Source'!S880="A+"),IF('Data Source'!Y880&gt;=5,"A+",IF('Data Source'!Y880&gt;=4,"A",IF('Data Source'!Y880&gt;=3.5,"A-",IF('Data Source'!Y880&gt;=3,"B",IF('Data Source'!Y880&gt;=2,"C",IF('Data Source'!Y880&gt;=1,"D","F")))))),"")</f>
        <v/>
      </c>
      <c r="H880" s="3">
        <f>IF(AND('Data Source'!B880&lt;&gt;"",'Data Source'!S880="A+"),IF('Data Source'!Z880&gt;=5,"A+",IF('Data Source'!Z880&gt;=4,"A",IF('Data Source'!Z880&gt;=3.5,"A-",IF('Data Source'!Z880&gt;=3,"B",IF('Data Source'!Z880&gt;=2,"C",IF('Data Source'!Z880&gt;=1,"D","F")))))),"")</f>
        <v/>
      </c>
      <c r="I880" s="3">
        <f>IF(AND('Data Source'!B880&lt;&gt;"",'Data Source'!S880="A+"),IF('Data Source'!AA880&gt;=5,"A+",IF('Data Source'!AA880&gt;=4,"A",IF('Data Source'!AA880&gt;=3.5,"A-",IF('Data Source'!AA880&gt;=3,"B",IF('Data Source'!AA880&gt;=2,"C",IF('Data Source'!AA880&gt;=1,"D","F")))))),"")</f>
        <v/>
      </c>
      <c r="J880" s="3">
        <f>IF(AND('Data Source'!B880&lt;&gt;"",'Data Source'!S880="A+"),IF('Data Source'!AB880&gt;=5,"A+",IF('Data Source'!AB880&gt;=4,"A",IF('Data Source'!AB880&gt;=3.5,"A-",IF('Data Source'!AB880&gt;=3,"B",IF('Data Source'!AB880&gt;=2,"C",IF('Data Source'!AB880&gt;=1,"D","F")))))),"")</f>
        <v/>
      </c>
      <c r="K880" s="3">
        <f>IF(AND('Data Source'!B880&lt;&gt;"",'Data Source'!S880="A+"),IF('Data Source'!AC880&gt;=5,"A+",IF('Data Source'!AC880&gt;=4,"A",IF('Data Source'!AC880&gt;=3.5,"A-",IF('Data Source'!AC880&gt;=3,"B",IF('Data Source'!AC880&gt;=2,"C",IF('Data Source'!AC880&gt;=1,"D","F")))))),"")</f>
        <v/>
      </c>
      <c r="L880" s="3">
        <f>IF(AND('Data Source'!B880&lt;&gt;"",'Data Source'!S880="A+"),IF('Data Source'!AD880&gt;=5,"A+",IF('Data Source'!AD880&gt;=4,"A",IF('Data Source'!AD880&gt;=3.5,"A-",IF('Data Source'!AD880&gt;=3,"B",IF('Data Source'!AD880&gt;=2,"C",IF('Data Source'!AD880&gt;=1,"D","F")))))),"")</f>
        <v/>
      </c>
      <c r="M880" s="3">
        <f>IF(AND('Data Source'!B880&lt;&gt;"",'Data Source'!S880="A+"),IF('Data Source'!AE880&gt;=5,"A+",IF('Data Source'!AE880&gt;=4,"A",IF('Data Source'!AE880&gt;=3.5,"A-",IF('Data Source'!AE880&gt;=3,"B",IF('Data Source'!AE880&gt;=2,"C",IF('Data Source'!AE880&gt;=1,"D","F")))))),"")</f>
        <v/>
      </c>
      <c r="N880" s="3">
        <f>IF(AND('Data Source'!B880&lt;&gt;"",'Data Source'!S880="A+"),IF('Data Source'!AF880&gt;=5,"A+",IF('Data Source'!AF880&gt;=4,"A",IF('Data Source'!AF880&gt;=3.5,"A-",IF('Data Source'!AF880&gt;=3,"B",IF('Data Source'!AF880&gt;=2,"C",IF('Data Source'!AF880&gt;=1,"D","F")))))),"")</f>
        <v/>
      </c>
      <c r="O880" s="3">
        <f>IF(AND('Data Source'!B880&lt;&gt;"",'Data Source'!S880="A+"),IF('Data Source'!AG880&gt;=5,"A+",IF('Data Source'!AG880&gt;=4,"A",IF('Data Source'!AG880&gt;=3.5,"A-",IF('Data Source'!AG880&gt;=3,"B",IF('Data Source'!AG880&gt;=2,"C",IF('Data Source'!AG880&gt;=1,"D","F")))))),"")</f>
        <v/>
      </c>
      <c r="P880" s="5">
        <f>IF(AND('Data Source'!B880&lt;&gt;"",'Data Source'!S880="A+"),'Data Source'!R880,"")</f>
        <v/>
      </c>
      <c r="Q880" s="3">
        <f>IF(AND('Data Source'!B880&lt;&gt;"",'Data Source'!S880="A+"),'Data Source'!S880,"")</f>
        <v/>
      </c>
    </row>
    <row r="881">
      <c r="A881" s="3">
        <f>IF(AND('Data Source'!B881&lt;&gt;"",'Data Source'!S881="A+"),COUNTIF('Data Source'!$S$3:S881,"A+"),"")</f>
        <v/>
      </c>
      <c r="B881">
        <f>IF(AND('Data Source'!B881&lt;&gt;"",'Data Source'!S881="A+"),'Data Source'!B881,"")</f>
        <v/>
      </c>
      <c r="C881" s="3">
        <f>IF(AND('Data Source'!B881&lt;&gt;"",'Data Source'!S881="A+"),IF('Data Source'!U881&gt;=5,"A+",IF('Data Source'!U881&gt;=4,"A",IF('Data Source'!U881&gt;=3.5,"A-",IF('Data Source'!U881&gt;=3,"B",IF('Data Source'!U881&gt;=2,"C",IF('Data Source'!U881&gt;=1,"D","F")))))),"")</f>
        <v/>
      </c>
      <c r="D881" s="3">
        <f>IF(AND('Data Source'!B881&lt;&gt;"",'Data Source'!S881="A+"),IF('Data Source'!V881&gt;=5,"A+",IF('Data Source'!V881&gt;=4,"A",IF('Data Source'!V881&gt;=3.5,"A-",IF('Data Source'!V881&gt;=3,"B",IF('Data Source'!V881&gt;=2,"C",IF('Data Source'!V881&gt;=1,"D","F")))))),"")</f>
        <v/>
      </c>
      <c r="E881" s="3">
        <f>IF(AND('Data Source'!B881&lt;&gt;"",'Data Source'!S881="A+"),IF('Data Source'!W881&gt;=5,"A+",IF('Data Source'!W881&gt;=4,"A",IF('Data Source'!W881&gt;=3.5,"A-",IF('Data Source'!W881&gt;=3,"B",IF('Data Source'!W881&gt;=2,"C",IF('Data Source'!W881&gt;=1,"D","F")))))),"")</f>
        <v/>
      </c>
      <c r="F881" s="3">
        <f>IF(AND('Data Source'!B881&lt;&gt;"",'Data Source'!S881="A+"),IF('Data Source'!X881&gt;=5,"A+",IF('Data Source'!X881&gt;=4,"A",IF('Data Source'!X881&gt;=3.5,"A-",IF('Data Source'!X881&gt;=3,"B",IF('Data Source'!X881&gt;=2,"C",IF('Data Source'!X881&gt;=1,"D","F")))))),"")</f>
        <v/>
      </c>
      <c r="G881" s="3">
        <f>IF(AND('Data Source'!B881&lt;&gt;"",'Data Source'!S881="A+"),IF('Data Source'!Y881&gt;=5,"A+",IF('Data Source'!Y881&gt;=4,"A",IF('Data Source'!Y881&gt;=3.5,"A-",IF('Data Source'!Y881&gt;=3,"B",IF('Data Source'!Y881&gt;=2,"C",IF('Data Source'!Y881&gt;=1,"D","F")))))),"")</f>
        <v/>
      </c>
      <c r="H881" s="3">
        <f>IF(AND('Data Source'!B881&lt;&gt;"",'Data Source'!S881="A+"),IF('Data Source'!Z881&gt;=5,"A+",IF('Data Source'!Z881&gt;=4,"A",IF('Data Source'!Z881&gt;=3.5,"A-",IF('Data Source'!Z881&gt;=3,"B",IF('Data Source'!Z881&gt;=2,"C",IF('Data Source'!Z881&gt;=1,"D","F")))))),"")</f>
        <v/>
      </c>
      <c r="I881" s="3">
        <f>IF(AND('Data Source'!B881&lt;&gt;"",'Data Source'!S881="A+"),IF('Data Source'!AA881&gt;=5,"A+",IF('Data Source'!AA881&gt;=4,"A",IF('Data Source'!AA881&gt;=3.5,"A-",IF('Data Source'!AA881&gt;=3,"B",IF('Data Source'!AA881&gt;=2,"C",IF('Data Source'!AA881&gt;=1,"D","F")))))),"")</f>
        <v/>
      </c>
      <c r="J881" s="3">
        <f>IF(AND('Data Source'!B881&lt;&gt;"",'Data Source'!S881="A+"),IF('Data Source'!AB881&gt;=5,"A+",IF('Data Source'!AB881&gt;=4,"A",IF('Data Source'!AB881&gt;=3.5,"A-",IF('Data Source'!AB881&gt;=3,"B",IF('Data Source'!AB881&gt;=2,"C",IF('Data Source'!AB881&gt;=1,"D","F")))))),"")</f>
        <v/>
      </c>
      <c r="K881" s="3">
        <f>IF(AND('Data Source'!B881&lt;&gt;"",'Data Source'!S881="A+"),IF('Data Source'!AC881&gt;=5,"A+",IF('Data Source'!AC881&gt;=4,"A",IF('Data Source'!AC881&gt;=3.5,"A-",IF('Data Source'!AC881&gt;=3,"B",IF('Data Source'!AC881&gt;=2,"C",IF('Data Source'!AC881&gt;=1,"D","F")))))),"")</f>
        <v/>
      </c>
      <c r="L881" s="3">
        <f>IF(AND('Data Source'!B881&lt;&gt;"",'Data Source'!S881="A+"),IF('Data Source'!AD881&gt;=5,"A+",IF('Data Source'!AD881&gt;=4,"A",IF('Data Source'!AD881&gt;=3.5,"A-",IF('Data Source'!AD881&gt;=3,"B",IF('Data Source'!AD881&gt;=2,"C",IF('Data Source'!AD881&gt;=1,"D","F")))))),"")</f>
        <v/>
      </c>
      <c r="M881" s="3">
        <f>IF(AND('Data Source'!B881&lt;&gt;"",'Data Source'!S881="A+"),IF('Data Source'!AE881&gt;=5,"A+",IF('Data Source'!AE881&gt;=4,"A",IF('Data Source'!AE881&gt;=3.5,"A-",IF('Data Source'!AE881&gt;=3,"B",IF('Data Source'!AE881&gt;=2,"C",IF('Data Source'!AE881&gt;=1,"D","F")))))),"")</f>
        <v/>
      </c>
      <c r="N881" s="3">
        <f>IF(AND('Data Source'!B881&lt;&gt;"",'Data Source'!S881="A+"),IF('Data Source'!AF881&gt;=5,"A+",IF('Data Source'!AF881&gt;=4,"A",IF('Data Source'!AF881&gt;=3.5,"A-",IF('Data Source'!AF881&gt;=3,"B",IF('Data Source'!AF881&gt;=2,"C",IF('Data Source'!AF881&gt;=1,"D","F")))))),"")</f>
        <v/>
      </c>
      <c r="O881" s="3">
        <f>IF(AND('Data Source'!B881&lt;&gt;"",'Data Source'!S881="A+"),IF('Data Source'!AG881&gt;=5,"A+",IF('Data Source'!AG881&gt;=4,"A",IF('Data Source'!AG881&gt;=3.5,"A-",IF('Data Source'!AG881&gt;=3,"B",IF('Data Source'!AG881&gt;=2,"C",IF('Data Source'!AG881&gt;=1,"D","F")))))),"")</f>
        <v/>
      </c>
      <c r="P881" s="5">
        <f>IF(AND('Data Source'!B881&lt;&gt;"",'Data Source'!S881="A+"),'Data Source'!R881,"")</f>
        <v/>
      </c>
      <c r="Q881" s="3">
        <f>IF(AND('Data Source'!B881&lt;&gt;"",'Data Source'!S881="A+"),'Data Source'!S881,"")</f>
        <v/>
      </c>
    </row>
    <row r="882">
      <c r="A882" s="3">
        <f>IF(AND('Data Source'!B882&lt;&gt;"",'Data Source'!S882="A+"),COUNTIF('Data Source'!$S$3:S882,"A+"),"")</f>
        <v/>
      </c>
      <c r="B882">
        <f>IF(AND('Data Source'!B882&lt;&gt;"",'Data Source'!S882="A+"),'Data Source'!B882,"")</f>
        <v/>
      </c>
      <c r="C882" s="3">
        <f>IF(AND('Data Source'!B882&lt;&gt;"",'Data Source'!S882="A+"),IF('Data Source'!U882&gt;=5,"A+",IF('Data Source'!U882&gt;=4,"A",IF('Data Source'!U882&gt;=3.5,"A-",IF('Data Source'!U882&gt;=3,"B",IF('Data Source'!U882&gt;=2,"C",IF('Data Source'!U882&gt;=1,"D","F")))))),"")</f>
        <v/>
      </c>
      <c r="D882" s="3">
        <f>IF(AND('Data Source'!B882&lt;&gt;"",'Data Source'!S882="A+"),IF('Data Source'!V882&gt;=5,"A+",IF('Data Source'!V882&gt;=4,"A",IF('Data Source'!V882&gt;=3.5,"A-",IF('Data Source'!V882&gt;=3,"B",IF('Data Source'!V882&gt;=2,"C",IF('Data Source'!V882&gt;=1,"D","F")))))),"")</f>
        <v/>
      </c>
      <c r="E882" s="3">
        <f>IF(AND('Data Source'!B882&lt;&gt;"",'Data Source'!S882="A+"),IF('Data Source'!W882&gt;=5,"A+",IF('Data Source'!W882&gt;=4,"A",IF('Data Source'!W882&gt;=3.5,"A-",IF('Data Source'!W882&gt;=3,"B",IF('Data Source'!W882&gt;=2,"C",IF('Data Source'!W882&gt;=1,"D","F")))))),"")</f>
        <v/>
      </c>
      <c r="F882" s="3">
        <f>IF(AND('Data Source'!B882&lt;&gt;"",'Data Source'!S882="A+"),IF('Data Source'!X882&gt;=5,"A+",IF('Data Source'!X882&gt;=4,"A",IF('Data Source'!X882&gt;=3.5,"A-",IF('Data Source'!X882&gt;=3,"B",IF('Data Source'!X882&gt;=2,"C",IF('Data Source'!X882&gt;=1,"D","F")))))),"")</f>
        <v/>
      </c>
      <c r="G882" s="3">
        <f>IF(AND('Data Source'!B882&lt;&gt;"",'Data Source'!S882="A+"),IF('Data Source'!Y882&gt;=5,"A+",IF('Data Source'!Y882&gt;=4,"A",IF('Data Source'!Y882&gt;=3.5,"A-",IF('Data Source'!Y882&gt;=3,"B",IF('Data Source'!Y882&gt;=2,"C",IF('Data Source'!Y882&gt;=1,"D","F")))))),"")</f>
        <v/>
      </c>
      <c r="H882" s="3">
        <f>IF(AND('Data Source'!B882&lt;&gt;"",'Data Source'!S882="A+"),IF('Data Source'!Z882&gt;=5,"A+",IF('Data Source'!Z882&gt;=4,"A",IF('Data Source'!Z882&gt;=3.5,"A-",IF('Data Source'!Z882&gt;=3,"B",IF('Data Source'!Z882&gt;=2,"C",IF('Data Source'!Z882&gt;=1,"D","F")))))),"")</f>
        <v/>
      </c>
      <c r="I882" s="3">
        <f>IF(AND('Data Source'!B882&lt;&gt;"",'Data Source'!S882="A+"),IF('Data Source'!AA882&gt;=5,"A+",IF('Data Source'!AA882&gt;=4,"A",IF('Data Source'!AA882&gt;=3.5,"A-",IF('Data Source'!AA882&gt;=3,"B",IF('Data Source'!AA882&gt;=2,"C",IF('Data Source'!AA882&gt;=1,"D","F")))))),"")</f>
        <v/>
      </c>
      <c r="J882" s="3">
        <f>IF(AND('Data Source'!B882&lt;&gt;"",'Data Source'!S882="A+"),IF('Data Source'!AB882&gt;=5,"A+",IF('Data Source'!AB882&gt;=4,"A",IF('Data Source'!AB882&gt;=3.5,"A-",IF('Data Source'!AB882&gt;=3,"B",IF('Data Source'!AB882&gt;=2,"C",IF('Data Source'!AB882&gt;=1,"D","F")))))),"")</f>
        <v/>
      </c>
      <c r="K882" s="3">
        <f>IF(AND('Data Source'!B882&lt;&gt;"",'Data Source'!S882="A+"),IF('Data Source'!AC882&gt;=5,"A+",IF('Data Source'!AC882&gt;=4,"A",IF('Data Source'!AC882&gt;=3.5,"A-",IF('Data Source'!AC882&gt;=3,"B",IF('Data Source'!AC882&gt;=2,"C",IF('Data Source'!AC882&gt;=1,"D","F")))))),"")</f>
        <v/>
      </c>
      <c r="L882" s="3">
        <f>IF(AND('Data Source'!B882&lt;&gt;"",'Data Source'!S882="A+"),IF('Data Source'!AD882&gt;=5,"A+",IF('Data Source'!AD882&gt;=4,"A",IF('Data Source'!AD882&gt;=3.5,"A-",IF('Data Source'!AD882&gt;=3,"B",IF('Data Source'!AD882&gt;=2,"C",IF('Data Source'!AD882&gt;=1,"D","F")))))),"")</f>
        <v/>
      </c>
      <c r="M882" s="3">
        <f>IF(AND('Data Source'!B882&lt;&gt;"",'Data Source'!S882="A+"),IF('Data Source'!AE882&gt;=5,"A+",IF('Data Source'!AE882&gt;=4,"A",IF('Data Source'!AE882&gt;=3.5,"A-",IF('Data Source'!AE882&gt;=3,"B",IF('Data Source'!AE882&gt;=2,"C",IF('Data Source'!AE882&gt;=1,"D","F")))))),"")</f>
        <v/>
      </c>
      <c r="N882" s="3">
        <f>IF(AND('Data Source'!B882&lt;&gt;"",'Data Source'!S882="A+"),IF('Data Source'!AF882&gt;=5,"A+",IF('Data Source'!AF882&gt;=4,"A",IF('Data Source'!AF882&gt;=3.5,"A-",IF('Data Source'!AF882&gt;=3,"B",IF('Data Source'!AF882&gt;=2,"C",IF('Data Source'!AF882&gt;=1,"D","F")))))),"")</f>
        <v/>
      </c>
      <c r="O882" s="3">
        <f>IF(AND('Data Source'!B882&lt;&gt;"",'Data Source'!S882="A+"),IF('Data Source'!AG882&gt;=5,"A+",IF('Data Source'!AG882&gt;=4,"A",IF('Data Source'!AG882&gt;=3.5,"A-",IF('Data Source'!AG882&gt;=3,"B",IF('Data Source'!AG882&gt;=2,"C",IF('Data Source'!AG882&gt;=1,"D","F")))))),"")</f>
        <v/>
      </c>
      <c r="P882" s="5">
        <f>IF(AND('Data Source'!B882&lt;&gt;"",'Data Source'!S882="A+"),'Data Source'!R882,"")</f>
        <v/>
      </c>
      <c r="Q882" s="3">
        <f>IF(AND('Data Source'!B882&lt;&gt;"",'Data Source'!S882="A+"),'Data Source'!S882,"")</f>
        <v/>
      </c>
    </row>
    <row r="883">
      <c r="A883" s="3">
        <f>IF(AND('Data Source'!B883&lt;&gt;"",'Data Source'!S883="A+"),COUNTIF('Data Source'!$S$3:S883,"A+"),"")</f>
        <v/>
      </c>
      <c r="B883">
        <f>IF(AND('Data Source'!B883&lt;&gt;"",'Data Source'!S883="A+"),'Data Source'!B883,"")</f>
        <v/>
      </c>
      <c r="C883" s="3">
        <f>IF(AND('Data Source'!B883&lt;&gt;"",'Data Source'!S883="A+"),IF('Data Source'!U883&gt;=5,"A+",IF('Data Source'!U883&gt;=4,"A",IF('Data Source'!U883&gt;=3.5,"A-",IF('Data Source'!U883&gt;=3,"B",IF('Data Source'!U883&gt;=2,"C",IF('Data Source'!U883&gt;=1,"D","F")))))),"")</f>
        <v/>
      </c>
      <c r="D883" s="3">
        <f>IF(AND('Data Source'!B883&lt;&gt;"",'Data Source'!S883="A+"),IF('Data Source'!V883&gt;=5,"A+",IF('Data Source'!V883&gt;=4,"A",IF('Data Source'!V883&gt;=3.5,"A-",IF('Data Source'!V883&gt;=3,"B",IF('Data Source'!V883&gt;=2,"C",IF('Data Source'!V883&gt;=1,"D","F")))))),"")</f>
        <v/>
      </c>
      <c r="E883" s="3">
        <f>IF(AND('Data Source'!B883&lt;&gt;"",'Data Source'!S883="A+"),IF('Data Source'!W883&gt;=5,"A+",IF('Data Source'!W883&gt;=4,"A",IF('Data Source'!W883&gt;=3.5,"A-",IF('Data Source'!W883&gt;=3,"B",IF('Data Source'!W883&gt;=2,"C",IF('Data Source'!W883&gt;=1,"D","F")))))),"")</f>
        <v/>
      </c>
      <c r="F883" s="3">
        <f>IF(AND('Data Source'!B883&lt;&gt;"",'Data Source'!S883="A+"),IF('Data Source'!X883&gt;=5,"A+",IF('Data Source'!X883&gt;=4,"A",IF('Data Source'!X883&gt;=3.5,"A-",IF('Data Source'!X883&gt;=3,"B",IF('Data Source'!X883&gt;=2,"C",IF('Data Source'!X883&gt;=1,"D","F")))))),"")</f>
        <v/>
      </c>
      <c r="G883" s="3">
        <f>IF(AND('Data Source'!B883&lt;&gt;"",'Data Source'!S883="A+"),IF('Data Source'!Y883&gt;=5,"A+",IF('Data Source'!Y883&gt;=4,"A",IF('Data Source'!Y883&gt;=3.5,"A-",IF('Data Source'!Y883&gt;=3,"B",IF('Data Source'!Y883&gt;=2,"C",IF('Data Source'!Y883&gt;=1,"D","F")))))),"")</f>
        <v/>
      </c>
      <c r="H883" s="3">
        <f>IF(AND('Data Source'!B883&lt;&gt;"",'Data Source'!S883="A+"),IF('Data Source'!Z883&gt;=5,"A+",IF('Data Source'!Z883&gt;=4,"A",IF('Data Source'!Z883&gt;=3.5,"A-",IF('Data Source'!Z883&gt;=3,"B",IF('Data Source'!Z883&gt;=2,"C",IF('Data Source'!Z883&gt;=1,"D","F")))))),"")</f>
        <v/>
      </c>
      <c r="I883" s="3">
        <f>IF(AND('Data Source'!B883&lt;&gt;"",'Data Source'!S883="A+"),IF('Data Source'!AA883&gt;=5,"A+",IF('Data Source'!AA883&gt;=4,"A",IF('Data Source'!AA883&gt;=3.5,"A-",IF('Data Source'!AA883&gt;=3,"B",IF('Data Source'!AA883&gt;=2,"C",IF('Data Source'!AA883&gt;=1,"D","F")))))),"")</f>
        <v/>
      </c>
      <c r="J883" s="3">
        <f>IF(AND('Data Source'!B883&lt;&gt;"",'Data Source'!S883="A+"),IF('Data Source'!AB883&gt;=5,"A+",IF('Data Source'!AB883&gt;=4,"A",IF('Data Source'!AB883&gt;=3.5,"A-",IF('Data Source'!AB883&gt;=3,"B",IF('Data Source'!AB883&gt;=2,"C",IF('Data Source'!AB883&gt;=1,"D","F")))))),"")</f>
        <v/>
      </c>
      <c r="K883" s="3">
        <f>IF(AND('Data Source'!B883&lt;&gt;"",'Data Source'!S883="A+"),IF('Data Source'!AC883&gt;=5,"A+",IF('Data Source'!AC883&gt;=4,"A",IF('Data Source'!AC883&gt;=3.5,"A-",IF('Data Source'!AC883&gt;=3,"B",IF('Data Source'!AC883&gt;=2,"C",IF('Data Source'!AC883&gt;=1,"D","F")))))),"")</f>
        <v/>
      </c>
      <c r="L883" s="3">
        <f>IF(AND('Data Source'!B883&lt;&gt;"",'Data Source'!S883="A+"),IF('Data Source'!AD883&gt;=5,"A+",IF('Data Source'!AD883&gt;=4,"A",IF('Data Source'!AD883&gt;=3.5,"A-",IF('Data Source'!AD883&gt;=3,"B",IF('Data Source'!AD883&gt;=2,"C",IF('Data Source'!AD883&gt;=1,"D","F")))))),"")</f>
        <v/>
      </c>
      <c r="M883" s="3">
        <f>IF(AND('Data Source'!B883&lt;&gt;"",'Data Source'!S883="A+"),IF('Data Source'!AE883&gt;=5,"A+",IF('Data Source'!AE883&gt;=4,"A",IF('Data Source'!AE883&gt;=3.5,"A-",IF('Data Source'!AE883&gt;=3,"B",IF('Data Source'!AE883&gt;=2,"C",IF('Data Source'!AE883&gt;=1,"D","F")))))),"")</f>
        <v/>
      </c>
      <c r="N883" s="3">
        <f>IF(AND('Data Source'!B883&lt;&gt;"",'Data Source'!S883="A+"),IF('Data Source'!AF883&gt;=5,"A+",IF('Data Source'!AF883&gt;=4,"A",IF('Data Source'!AF883&gt;=3.5,"A-",IF('Data Source'!AF883&gt;=3,"B",IF('Data Source'!AF883&gt;=2,"C",IF('Data Source'!AF883&gt;=1,"D","F")))))),"")</f>
        <v/>
      </c>
      <c r="O883" s="3">
        <f>IF(AND('Data Source'!B883&lt;&gt;"",'Data Source'!S883="A+"),IF('Data Source'!AG883&gt;=5,"A+",IF('Data Source'!AG883&gt;=4,"A",IF('Data Source'!AG883&gt;=3.5,"A-",IF('Data Source'!AG883&gt;=3,"B",IF('Data Source'!AG883&gt;=2,"C",IF('Data Source'!AG883&gt;=1,"D","F")))))),"")</f>
        <v/>
      </c>
      <c r="P883" s="5">
        <f>IF(AND('Data Source'!B883&lt;&gt;"",'Data Source'!S883="A+"),'Data Source'!R883,"")</f>
        <v/>
      </c>
      <c r="Q883" s="3">
        <f>IF(AND('Data Source'!B883&lt;&gt;"",'Data Source'!S883="A+"),'Data Source'!S883,"")</f>
        <v/>
      </c>
    </row>
    <row r="884">
      <c r="A884" s="3">
        <f>IF(AND('Data Source'!B884&lt;&gt;"",'Data Source'!S884="A+"),COUNTIF('Data Source'!$S$3:S884,"A+"),"")</f>
        <v/>
      </c>
      <c r="B884">
        <f>IF(AND('Data Source'!B884&lt;&gt;"",'Data Source'!S884="A+"),'Data Source'!B884,"")</f>
        <v/>
      </c>
      <c r="C884" s="3">
        <f>IF(AND('Data Source'!B884&lt;&gt;"",'Data Source'!S884="A+"),IF('Data Source'!U884&gt;=5,"A+",IF('Data Source'!U884&gt;=4,"A",IF('Data Source'!U884&gt;=3.5,"A-",IF('Data Source'!U884&gt;=3,"B",IF('Data Source'!U884&gt;=2,"C",IF('Data Source'!U884&gt;=1,"D","F")))))),"")</f>
        <v/>
      </c>
      <c r="D884" s="3">
        <f>IF(AND('Data Source'!B884&lt;&gt;"",'Data Source'!S884="A+"),IF('Data Source'!V884&gt;=5,"A+",IF('Data Source'!V884&gt;=4,"A",IF('Data Source'!V884&gt;=3.5,"A-",IF('Data Source'!V884&gt;=3,"B",IF('Data Source'!V884&gt;=2,"C",IF('Data Source'!V884&gt;=1,"D","F")))))),"")</f>
        <v/>
      </c>
      <c r="E884" s="3">
        <f>IF(AND('Data Source'!B884&lt;&gt;"",'Data Source'!S884="A+"),IF('Data Source'!W884&gt;=5,"A+",IF('Data Source'!W884&gt;=4,"A",IF('Data Source'!W884&gt;=3.5,"A-",IF('Data Source'!W884&gt;=3,"B",IF('Data Source'!W884&gt;=2,"C",IF('Data Source'!W884&gt;=1,"D","F")))))),"")</f>
        <v/>
      </c>
      <c r="F884" s="3">
        <f>IF(AND('Data Source'!B884&lt;&gt;"",'Data Source'!S884="A+"),IF('Data Source'!X884&gt;=5,"A+",IF('Data Source'!X884&gt;=4,"A",IF('Data Source'!X884&gt;=3.5,"A-",IF('Data Source'!X884&gt;=3,"B",IF('Data Source'!X884&gt;=2,"C",IF('Data Source'!X884&gt;=1,"D","F")))))),"")</f>
        <v/>
      </c>
      <c r="G884" s="3">
        <f>IF(AND('Data Source'!B884&lt;&gt;"",'Data Source'!S884="A+"),IF('Data Source'!Y884&gt;=5,"A+",IF('Data Source'!Y884&gt;=4,"A",IF('Data Source'!Y884&gt;=3.5,"A-",IF('Data Source'!Y884&gt;=3,"B",IF('Data Source'!Y884&gt;=2,"C",IF('Data Source'!Y884&gt;=1,"D","F")))))),"")</f>
        <v/>
      </c>
      <c r="H884" s="3">
        <f>IF(AND('Data Source'!B884&lt;&gt;"",'Data Source'!S884="A+"),IF('Data Source'!Z884&gt;=5,"A+",IF('Data Source'!Z884&gt;=4,"A",IF('Data Source'!Z884&gt;=3.5,"A-",IF('Data Source'!Z884&gt;=3,"B",IF('Data Source'!Z884&gt;=2,"C",IF('Data Source'!Z884&gt;=1,"D","F")))))),"")</f>
        <v/>
      </c>
      <c r="I884" s="3">
        <f>IF(AND('Data Source'!B884&lt;&gt;"",'Data Source'!S884="A+"),IF('Data Source'!AA884&gt;=5,"A+",IF('Data Source'!AA884&gt;=4,"A",IF('Data Source'!AA884&gt;=3.5,"A-",IF('Data Source'!AA884&gt;=3,"B",IF('Data Source'!AA884&gt;=2,"C",IF('Data Source'!AA884&gt;=1,"D","F")))))),"")</f>
        <v/>
      </c>
      <c r="J884" s="3">
        <f>IF(AND('Data Source'!B884&lt;&gt;"",'Data Source'!S884="A+"),IF('Data Source'!AB884&gt;=5,"A+",IF('Data Source'!AB884&gt;=4,"A",IF('Data Source'!AB884&gt;=3.5,"A-",IF('Data Source'!AB884&gt;=3,"B",IF('Data Source'!AB884&gt;=2,"C",IF('Data Source'!AB884&gt;=1,"D","F")))))),"")</f>
        <v/>
      </c>
      <c r="K884" s="3">
        <f>IF(AND('Data Source'!B884&lt;&gt;"",'Data Source'!S884="A+"),IF('Data Source'!AC884&gt;=5,"A+",IF('Data Source'!AC884&gt;=4,"A",IF('Data Source'!AC884&gt;=3.5,"A-",IF('Data Source'!AC884&gt;=3,"B",IF('Data Source'!AC884&gt;=2,"C",IF('Data Source'!AC884&gt;=1,"D","F")))))),"")</f>
        <v/>
      </c>
      <c r="L884" s="3">
        <f>IF(AND('Data Source'!B884&lt;&gt;"",'Data Source'!S884="A+"),IF('Data Source'!AD884&gt;=5,"A+",IF('Data Source'!AD884&gt;=4,"A",IF('Data Source'!AD884&gt;=3.5,"A-",IF('Data Source'!AD884&gt;=3,"B",IF('Data Source'!AD884&gt;=2,"C",IF('Data Source'!AD884&gt;=1,"D","F")))))),"")</f>
        <v/>
      </c>
      <c r="M884" s="3">
        <f>IF(AND('Data Source'!B884&lt;&gt;"",'Data Source'!S884="A+"),IF('Data Source'!AE884&gt;=5,"A+",IF('Data Source'!AE884&gt;=4,"A",IF('Data Source'!AE884&gt;=3.5,"A-",IF('Data Source'!AE884&gt;=3,"B",IF('Data Source'!AE884&gt;=2,"C",IF('Data Source'!AE884&gt;=1,"D","F")))))),"")</f>
        <v/>
      </c>
      <c r="N884" s="3">
        <f>IF(AND('Data Source'!B884&lt;&gt;"",'Data Source'!S884="A+"),IF('Data Source'!AF884&gt;=5,"A+",IF('Data Source'!AF884&gt;=4,"A",IF('Data Source'!AF884&gt;=3.5,"A-",IF('Data Source'!AF884&gt;=3,"B",IF('Data Source'!AF884&gt;=2,"C",IF('Data Source'!AF884&gt;=1,"D","F")))))),"")</f>
        <v/>
      </c>
      <c r="O884" s="3">
        <f>IF(AND('Data Source'!B884&lt;&gt;"",'Data Source'!S884="A+"),IF('Data Source'!AG884&gt;=5,"A+",IF('Data Source'!AG884&gt;=4,"A",IF('Data Source'!AG884&gt;=3.5,"A-",IF('Data Source'!AG884&gt;=3,"B",IF('Data Source'!AG884&gt;=2,"C",IF('Data Source'!AG884&gt;=1,"D","F")))))),"")</f>
        <v/>
      </c>
      <c r="P884" s="5">
        <f>IF(AND('Data Source'!B884&lt;&gt;"",'Data Source'!S884="A+"),'Data Source'!R884,"")</f>
        <v/>
      </c>
      <c r="Q884" s="3">
        <f>IF(AND('Data Source'!B884&lt;&gt;"",'Data Source'!S884="A+"),'Data Source'!S884,"")</f>
        <v/>
      </c>
    </row>
    <row r="885">
      <c r="A885" s="3">
        <f>IF(AND('Data Source'!B885&lt;&gt;"",'Data Source'!S885="A+"),COUNTIF('Data Source'!$S$3:S885,"A+"),"")</f>
        <v/>
      </c>
      <c r="B885">
        <f>IF(AND('Data Source'!B885&lt;&gt;"",'Data Source'!S885="A+"),'Data Source'!B885,"")</f>
        <v/>
      </c>
      <c r="C885" s="3">
        <f>IF(AND('Data Source'!B885&lt;&gt;"",'Data Source'!S885="A+"),IF('Data Source'!U885&gt;=5,"A+",IF('Data Source'!U885&gt;=4,"A",IF('Data Source'!U885&gt;=3.5,"A-",IF('Data Source'!U885&gt;=3,"B",IF('Data Source'!U885&gt;=2,"C",IF('Data Source'!U885&gt;=1,"D","F")))))),"")</f>
        <v/>
      </c>
      <c r="D885" s="3">
        <f>IF(AND('Data Source'!B885&lt;&gt;"",'Data Source'!S885="A+"),IF('Data Source'!V885&gt;=5,"A+",IF('Data Source'!V885&gt;=4,"A",IF('Data Source'!V885&gt;=3.5,"A-",IF('Data Source'!V885&gt;=3,"B",IF('Data Source'!V885&gt;=2,"C",IF('Data Source'!V885&gt;=1,"D","F")))))),"")</f>
        <v/>
      </c>
      <c r="E885" s="3">
        <f>IF(AND('Data Source'!B885&lt;&gt;"",'Data Source'!S885="A+"),IF('Data Source'!W885&gt;=5,"A+",IF('Data Source'!W885&gt;=4,"A",IF('Data Source'!W885&gt;=3.5,"A-",IF('Data Source'!W885&gt;=3,"B",IF('Data Source'!W885&gt;=2,"C",IF('Data Source'!W885&gt;=1,"D","F")))))),"")</f>
        <v/>
      </c>
      <c r="F885" s="3">
        <f>IF(AND('Data Source'!B885&lt;&gt;"",'Data Source'!S885="A+"),IF('Data Source'!X885&gt;=5,"A+",IF('Data Source'!X885&gt;=4,"A",IF('Data Source'!X885&gt;=3.5,"A-",IF('Data Source'!X885&gt;=3,"B",IF('Data Source'!X885&gt;=2,"C",IF('Data Source'!X885&gt;=1,"D","F")))))),"")</f>
        <v/>
      </c>
      <c r="G885" s="3">
        <f>IF(AND('Data Source'!B885&lt;&gt;"",'Data Source'!S885="A+"),IF('Data Source'!Y885&gt;=5,"A+",IF('Data Source'!Y885&gt;=4,"A",IF('Data Source'!Y885&gt;=3.5,"A-",IF('Data Source'!Y885&gt;=3,"B",IF('Data Source'!Y885&gt;=2,"C",IF('Data Source'!Y885&gt;=1,"D","F")))))),"")</f>
        <v/>
      </c>
      <c r="H885" s="3">
        <f>IF(AND('Data Source'!B885&lt;&gt;"",'Data Source'!S885="A+"),IF('Data Source'!Z885&gt;=5,"A+",IF('Data Source'!Z885&gt;=4,"A",IF('Data Source'!Z885&gt;=3.5,"A-",IF('Data Source'!Z885&gt;=3,"B",IF('Data Source'!Z885&gt;=2,"C",IF('Data Source'!Z885&gt;=1,"D","F")))))),"")</f>
        <v/>
      </c>
      <c r="I885" s="3">
        <f>IF(AND('Data Source'!B885&lt;&gt;"",'Data Source'!S885="A+"),IF('Data Source'!AA885&gt;=5,"A+",IF('Data Source'!AA885&gt;=4,"A",IF('Data Source'!AA885&gt;=3.5,"A-",IF('Data Source'!AA885&gt;=3,"B",IF('Data Source'!AA885&gt;=2,"C",IF('Data Source'!AA885&gt;=1,"D","F")))))),"")</f>
        <v/>
      </c>
      <c r="J885" s="3">
        <f>IF(AND('Data Source'!B885&lt;&gt;"",'Data Source'!S885="A+"),IF('Data Source'!AB885&gt;=5,"A+",IF('Data Source'!AB885&gt;=4,"A",IF('Data Source'!AB885&gt;=3.5,"A-",IF('Data Source'!AB885&gt;=3,"B",IF('Data Source'!AB885&gt;=2,"C",IF('Data Source'!AB885&gt;=1,"D","F")))))),"")</f>
        <v/>
      </c>
      <c r="K885" s="3">
        <f>IF(AND('Data Source'!B885&lt;&gt;"",'Data Source'!S885="A+"),IF('Data Source'!AC885&gt;=5,"A+",IF('Data Source'!AC885&gt;=4,"A",IF('Data Source'!AC885&gt;=3.5,"A-",IF('Data Source'!AC885&gt;=3,"B",IF('Data Source'!AC885&gt;=2,"C",IF('Data Source'!AC885&gt;=1,"D","F")))))),"")</f>
        <v/>
      </c>
      <c r="L885" s="3">
        <f>IF(AND('Data Source'!B885&lt;&gt;"",'Data Source'!S885="A+"),IF('Data Source'!AD885&gt;=5,"A+",IF('Data Source'!AD885&gt;=4,"A",IF('Data Source'!AD885&gt;=3.5,"A-",IF('Data Source'!AD885&gt;=3,"B",IF('Data Source'!AD885&gt;=2,"C",IF('Data Source'!AD885&gt;=1,"D","F")))))),"")</f>
        <v/>
      </c>
      <c r="M885" s="3">
        <f>IF(AND('Data Source'!B885&lt;&gt;"",'Data Source'!S885="A+"),IF('Data Source'!AE885&gt;=5,"A+",IF('Data Source'!AE885&gt;=4,"A",IF('Data Source'!AE885&gt;=3.5,"A-",IF('Data Source'!AE885&gt;=3,"B",IF('Data Source'!AE885&gt;=2,"C",IF('Data Source'!AE885&gt;=1,"D","F")))))),"")</f>
        <v/>
      </c>
      <c r="N885" s="3">
        <f>IF(AND('Data Source'!B885&lt;&gt;"",'Data Source'!S885="A+"),IF('Data Source'!AF885&gt;=5,"A+",IF('Data Source'!AF885&gt;=4,"A",IF('Data Source'!AF885&gt;=3.5,"A-",IF('Data Source'!AF885&gt;=3,"B",IF('Data Source'!AF885&gt;=2,"C",IF('Data Source'!AF885&gt;=1,"D","F")))))),"")</f>
        <v/>
      </c>
      <c r="O885" s="3">
        <f>IF(AND('Data Source'!B885&lt;&gt;"",'Data Source'!S885="A+"),IF('Data Source'!AG885&gt;=5,"A+",IF('Data Source'!AG885&gt;=4,"A",IF('Data Source'!AG885&gt;=3.5,"A-",IF('Data Source'!AG885&gt;=3,"B",IF('Data Source'!AG885&gt;=2,"C",IF('Data Source'!AG885&gt;=1,"D","F")))))),"")</f>
        <v/>
      </c>
      <c r="P885" s="5">
        <f>IF(AND('Data Source'!B885&lt;&gt;"",'Data Source'!S885="A+"),'Data Source'!R885,"")</f>
        <v/>
      </c>
      <c r="Q885" s="3">
        <f>IF(AND('Data Source'!B885&lt;&gt;"",'Data Source'!S885="A+"),'Data Source'!S885,"")</f>
        <v/>
      </c>
    </row>
    <row r="886">
      <c r="A886" s="3">
        <f>IF(AND('Data Source'!B886&lt;&gt;"",'Data Source'!S886="A+"),COUNTIF('Data Source'!$S$3:S886,"A+"),"")</f>
        <v/>
      </c>
      <c r="B886">
        <f>IF(AND('Data Source'!B886&lt;&gt;"",'Data Source'!S886="A+"),'Data Source'!B886,"")</f>
        <v/>
      </c>
      <c r="C886" s="3">
        <f>IF(AND('Data Source'!B886&lt;&gt;"",'Data Source'!S886="A+"),IF('Data Source'!U886&gt;=5,"A+",IF('Data Source'!U886&gt;=4,"A",IF('Data Source'!U886&gt;=3.5,"A-",IF('Data Source'!U886&gt;=3,"B",IF('Data Source'!U886&gt;=2,"C",IF('Data Source'!U886&gt;=1,"D","F")))))),"")</f>
        <v/>
      </c>
      <c r="D886" s="3">
        <f>IF(AND('Data Source'!B886&lt;&gt;"",'Data Source'!S886="A+"),IF('Data Source'!V886&gt;=5,"A+",IF('Data Source'!V886&gt;=4,"A",IF('Data Source'!V886&gt;=3.5,"A-",IF('Data Source'!V886&gt;=3,"B",IF('Data Source'!V886&gt;=2,"C",IF('Data Source'!V886&gt;=1,"D","F")))))),"")</f>
        <v/>
      </c>
      <c r="E886" s="3">
        <f>IF(AND('Data Source'!B886&lt;&gt;"",'Data Source'!S886="A+"),IF('Data Source'!W886&gt;=5,"A+",IF('Data Source'!W886&gt;=4,"A",IF('Data Source'!W886&gt;=3.5,"A-",IF('Data Source'!W886&gt;=3,"B",IF('Data Source'!W886&gt;=2,"C",IF('Data Source'!W886&gt;=1,"D","F")))))),"")</f>
        <v/>
      </c>
      <c r="F886" s="3">
        <f>IF(AND('Data Source'!B886&lt;&gt;"",'Data Source'!S886="A+"),IF('Data Source'!X886&gt;=5,"A+",IF('Data Source'!X886&gt;=4,"A",IF('Data Source'!X886&gt;=3.5,"A-",IF('Data Source'!X886&gt;=3,"B",IF('Data Source'!X886&gt;=2,"C",IF('Data Source'!X886&gt;=1,"D","F")))))),"")</f>
        <v/>
      </c>
      <c r="G886" s="3">
        <f>IF(AND('Data Source'!B886&lt;&gt;"",'Data Source'!S886="A+"),IF('Data Source'!Y886&gt;=5,"A+",IF('Data Source'!Y886&gt;=4,"A",IF('Data Source'!Y886&gt;=3.5,"A-",IF('Data Source'!Y886&gt;=3,"B",IF('Data Source'!Y886&gt;=2,"C",IF('Data Source'!Y886&gt;=1,"D","F")))))),"")</f>
        <v/>
      </c>
      <c r="H886" s="3">
        <f>IF(AND('Data Source'!B886&lt;&gt;"",'Data Source'!S886="A+"),IF('Data Source'!Z886&gt;=5,"A+",IF('Data Source'!Z886&gt;=4,"A",IF('Data Source'!Z886&gt;=3.5,"A-",IF('Data Source'!Z886&gt;=3,"B",IF('Data Source'!Z886&gt;=2,"C",IF('Data Source'!Z886&gt;=1,"D","F")))))),"")</f>
        <v/>
      </c>
      <c r="I886" s="3">
        <f>IF(AND('Data Source'!B886&lt;&gt;"",'Data Source'!S886="A+"),IF('Data Source'!AA886&gt;=5,"A+",IF('Data Source'!AA886&gt;=4,"A",IF('Data Source'!AA886&gt;=3.5,"A-",IF('Data Source'!AA886&gt;=3,"B",IF('Data Source'!AA886&gt;=2,"C",IF('Data Source'!AA886&gt;=1,"D","F")))))),"")</f>
        <v/>
      </c>
      <c r="J886" s="3">
        <f>IF(AND('Data Source'!B886&lt;&gt;"",'Data Source'!S886="A+"),IF('Data Source'!AB886&gt;=5,"A+",IF('Data Source'!AB886&gt;=4,"A",IF('Data Source'!AB886&gt;=3.5,"A-",IF('Data Source'!AB886&gt;=3,"B",IF('Data Source'!AB886&gt;=2,"C",IF('Data Source'!AB886&gt;=1,"D","F")))))),"")</f>
        <v/>
      </c>
      <c r="K886" s="3">
        <f>IF(AND('Data Source'!B886&lt;&gt;"",'Data Source'!S886="A+"),IF('Data Source'!AC886&gt;=5,"A+",IF('Data Source'!AC886&gt;=4,"A",IF('Data Source'!AC886&gt;=3.5,"A-",IF('Data Source'!AC886&gt;=3,"B",IF('Data Source'!AC886&gt;=2,"C",IF('Data Source'!AC886&gt;=1,"D","F")))))),"")</f>
        <v/>
      </c>
      <c r="L886" s="3">
        <f>IF(AND('Data Source'!B886&lt;&gt;"",'Data Source'!S886="A+"),IF('Data Source'!AD886&gt;=5,"A+",IF('Data Source'!AD886&gt;=4,"A",IF('Data Source'!AD886&gt;=3.5,"A-",IF('Data Source'!AD886&gt;=3,"B",IF('Data Source'!AD886&gt;=2,"C",IF('Data Source'!AD886&gt;=1,"D","F")))))),"")</f>
        <v/>
      </c>
      <c r="M886" s="3">
        <f>IF(AND('Data Source'!B886&lt;&gt;"",'Data Source'!S886="A+"),IF('Data Source'!AE886&gt;=5,"A+",IF('Data Source'!AE886&gt;=4,"A",IF('Data Source'!AE886&gt;=3.5,"A-",IF('Data Source'!AE886&gt;=3,"B",IF('Data Source'!AE886&gt;=2,"C",IF('Data Source'!AE886&gt;=1,"D","F")))))),"")</f>
        <v/>
      </c>
      <c r="N886" s="3">
        <f>IF(AND('Data Source'!B886&lt;&gt;"",'Data Source'!S886="A+"),IF('Data Source'!AF886&gt;=5,"A+",IF('Data Source'!AF886&gt;=4,"A",IF('Data Source'!AF886&gt;=3.5,"A-",IF('Data Source'!AF886&gt;=3,"B",IF('Data Source'!AF886&gt;=2,"C",IF('Data Source'!AF886&gt;=1,"D","F")))))),"")</f>
        <v/>
      </c>
      <c r="O886" s="3">
        <f>IF(AND('Data Source'!B886&lt;&gt;"",'Data Source'!S886="A+"),IF('Data Source'!AG886&gt;=5,"A+",IF('Data Source'!AG886&gt;=4,"A",IF('Data Source'!AG886&gt;=3.5,"A-",IF('Data Source'!AG886&gt;=3,"B",IF('Data Source'!AG886&gt;=2,"C",IF('Data Source'!AG886&gt;=1,"D","F")))))),"")</f>
        <v/>
      </c>
      <c r="P886" s="5">
        <f>IF(AND('Data Source'!B886&lt;&gt;"",'Data Source'!S886="A+"),'Data Source'!R886,"")</f>
        <v/>
      </c>
      <c r="Q886" s="3">
        <f>IF(AND('Data Source'!B886&lt;&gt;"",'Data Source'!S886="A+"),'Data Source'!S886,"")</f>
        <v/>
      </c>
    </row>
    <row r="887">
      <c r="A887" s="3">
        <f>IF(AND('Data Source'!B887&lt;&gt;"",'Data Source'!S887="A+"),COUNTIF('Data Source'!$S$3:S887,"A+"),"")</f>
        <v/>
      </c>
      <c r="B887">
        <f>IF(AND('Data Source'!B887&lt;&gt;"",'Data Source'!S887="A+"),'Data Source'!B887,"")</f>
        <v/>
      </c>
      <c r="C887" s="3">
        <f>IF(AND('Data Source'!B887&lt;&gt;"",'Data Source'!S887="A+"),IF('Data Source'!U887&gt;=5,"A+",IF('Data Source'!U887&gt;=4,"A",IF('Data Source'!U887&gt;=3.5,"A-",IF('Data Source'!U887&gt;=3,"B",IF('Data Source'!U887&gt;=2,"C",IF('Data Source'!U887&gt;=1,"D","F")))))),"")</f>
        <v/>
      </c>
      <c r="D887" s="3">
        <f>IF(AND('Data Source'!B887&lt;&gt;"",'Data Source'!S887="A+"),IF('Data Source'!V887&gt;=5,"A+",IF('Data Source'!V887&gt;=4,"A",IF('Data Source'!V887&gt;=3.5,"A-",IF('Data Source'!V887&gt;=3,"B",IF('Data Source'!V887&gt;=2,"C",IF('Data Source'!V887&gt;=1,"D","F")))))),"")</f>
        <v/>
      </c>
      <c r="E887" s="3">
        <f>IF(AND('Data Source'!B887&lt;&gt;"",'Data Source'!S887="A+"),IF('Data Source'!W887&gt;=5,"A+",IF('Data Source'!W887&gt;=4,"A",IF('Data Source'!W887&gt;=3.5,"A-",IF('Data Source'!W887&gt;=3,"B",IF('Data Source'!W887&gt;=2,"C",IF('Data Source'!W887&gt;=1,"D","F")))))),"")</f>
        <v/>
      </c>
      <c r="F887" s="3">
        <f>IF(AND('Data Source'!B887&lt;&gt;"",'Data Source'!S887="A+"),IF('Data Source'!X887&gt;=5,"A+",IF('Data Source'!X887&gt;=4,"A",IF('Data Source'!X887&gt;=3.5,"A-",IF('Data Source'!X887&gt;=3,"B",IF('Data Source'!X887&gt;=2,"C",IF('Data Source'!X887&gt;=1,"D","F")))))),"")</f>
        <v/>
      </c>
      <c r="G887" s="3">
        <f>IF(AND('Data Source'!B887&lt;&gt;"",'Data Source'!S887="A+"),IF('Data Source'!Y887&gt;=5,"A+",IF('Data Source'!Y887&gt;=4,"A",IF('Data Source'!Y887&gt;=3.5,"A-",IF('Data Source'!Y887&gt;=3,"B",IF('Data Source'!Y887&gt;=2,"C",IF('Data Source'!Y887&gt;=1,"D","F")))))),"")</f>
        <v/>
      </c>
      <c r="H887" s="3">
        <f>IF(AND('Data Source'!B887&lt;&gt;"",'Data Source'!S887="A+"),IF('Data Source'!Z887&gt;=5,"A+",IF('Data Source'!Z887&gt;=4,"A",IF('Data Source'!Z887&gt;=3.5,"A-",IF('Data Source'!Z887&gt;=3,"B",IF('Data Source'!Z887&gt;=2,"C",IF('Data Source'!Z887&gt;=1,"D","F")))))),"")</f>
        <v/>
      </c>
      <c r="I887" s="3">
        <f>IF(AND('Data Source'!B887&lt;&gt;"",'Data Source'!S887="A+"),IF('Data Source'!AA887&gt;=5,"A+",IF('Data Source'!AA887&gt;=4,"A",IF('Data Source'!AA887&gt;=3.5,"A-",IF('Data Source'!AA887&gt;=3,"B",IF('Data Source'!AA887&gt;=2,"C",IF('Data Source'!AA887&gt;=1,"D","F")))))),"")</f>
        <v/>
      </c>
      <c r="J887" s="3">
        <f>IF(AND('Data Source'!B887&lt;&gt;"",'Data Source'!S887="A+"),IF('Data Source'!AB887&gt;=5,"A+",IF('Data Source'!AB887&gt;=4,"A",IF('Data Source'!AB887&gt;=3.5,"A-",IF('Data Source'!AB887&gt;=3,"B",IF('Data Source'!AB887&gt;=2,"C",IF('Data Source'!AB887&gt;=1,"D","F")))))),"")</f>
        <v/>
      </c>
      <c r="K887" s="3">
        <f>IF(AND('Data Source'!B887&lt;&gt;"",'Data Source'!S887="A+"),IF('Data Source'!AC887&gt;=5,"A+",IF('Data Source'!AC887&gt;=4,"A",IF('Data Source'!AC887&gt;=3.5,"A-",IF('Data Source'!AC887&gt;=3,"B",IF('Data Source'!AC887&gt;=2,"C",IF('Data Source'!AC887&gt;=1,"D","F")))))),"")</f>
        <v/>
      </c>
      <c r="L887" s="3">
        <f>IF(AND('Data Source'!B887&lt;&gt;"",'Data Source'!S887="A+"),IF('Data Source'!AD887&gt;=5,"A+",IF('Data Source'!AD887&gt;=4,"A",IF('Data Source'!AD887&gt;=3.5,"A-",IF('Data Source'!AD887&gt;=3,"B",IF('Data Source'!AD887&gt;=2,"C",IF('Data Source'!AD887&gt;=1,"D","F")))))),"")</f>
        <v/>
      </c>
      <c r="M887" s="3">
        <f>IF(AND('Data Source'!B887&lt;&gt;"",'Data Source'!S887="A+"),IF('Data Source'!AE887&gt;=5,"A+",IF('Data Source'!AE887&gt;=4,"A",IF('Data Source'!AE887&gt;=3.5,"A-",IF('Data Source'!AE887&gt;=3,"B",IF('Data Source'!AE887&gt;=2,"C",IF('Data Source'!AE887&gt;=1,"D","F")))))),"")</f>
        <v/>
      </c>
      <c r="N887" s="3">
        <f>IF(AND('Data Source'!B887&lt;&gt;"",'Data Source'!S887="A+"),IF('Data Source'!AF887&gt;=5,"A+",IF('Data Source'!AF887&gt;=4,"A",IF('Data Source'!AF887&gt;=3.5,"A-",IF('Data Source'!AF887&gt;=3,"B",IF('Data Source'!AF887&gt;=2,"C",IF('Data Source'!AF887&gt;=1,"D","F")))))),"")</f>
        <v/>
      </c>
      <c r="O887" s="3">
        <f>IF(AND('Data Source'!B887&lt;&gt;"",'Data Source'!S887="A+"),IF('Data Source'!AG887&gt;=5,"A+",IF('Data Source'!AG887&gt;=4,"A",IF('Data Source'!AG887&gt;=3.5,"A-",IF('Data Source'!AG887&gt;=3,"B",IF('Data Source'!AG887&gt;=2,"C",IF('Data Source'!AG887&gt;=1,"D","F")))))),"")</f>
        <v/>
      </c>
      <c r="P887" s="5">
        <f>IF(AND('Data Source'!B887&lt;&gt;"",'Data Source'!S887="A+"),'Data Source'!R887,"")</f>
        <v/>
      </c>
      <c r="Q887" s="3">
        <f>IF(AND('Data Source'!B887&lt;&gt;"",'Data Source'!S887="A+"),'Data Source'!S887,"")</f>
        <v/>
      </c>
    </row>
    <row r="888">
      <c r="A888" s="3">
        <f>IF(AND('Data Source'!B888&lt;&gt;"",'Data Source'!S888="A+"),COUNTIF('Data Source'!$S$3:S888,"A+"),"")</f>
        <v/>
      </c>
      <c r="B888">
        <f>IF(AND('Data Source'!B888&lt;&gt;"",'Data Source'!S888="A+"),'Data Source'!B888,"")</f>
        <v/>
      </c>
      <c r="C888" s="3">
        <f>IF(AND('Data Source'!B888&lt;&gt;"",'Data Source'!S888="A+"),IF('Data Source'!U888&gt;=5,"A+",IF('Data Source'!U888&gt;=4,"A",IF('Data Source'!U888&gt;=3.5,"A-",IF('Data Source'!U888&gt;=3,"B",IF('Data Source'!U888&gt;=2,"C",IF('Data Source'!U888&gt;=1,"D","F")))))),"")</f>
        <v/>
      </c>
      <c r="D888" s="3">
        <f>IF(AND('Data Source'!B888&lt;&gt;"",'Data Source'!S888="A+"),IF('Data Source'!V888&gt;=5,"A+",IF('Data Source'!V888&gt;=4,"A",IF('Data Source'!V888&gt;=3.5,"A-",IF('Data Source'!V888&gt;=3,"B",IF('Data Source'!V888&gt;=2,"C",IF('Data Source'!V888&gt;=1,"D","F")))))),"")</f>
        <v/>
      </c>
      <c r="E888" s="3">
        <f>IF(AND('Data Source'!B888&lt;&gt;"",'Data Source'!S888="A+"),IF('Data Source'!W888&gt;=5,"A+",IF('Data Source'!W888&gt;=4,"A",IF('Data Source'!W888&gt;=3.5,"A-",IF('Data Source'!W888&gt;=3,"B",IF('Data Source'!W888&gt;=2,"C",IF('Data Source'!W888&gt;=1,"D","F")))))),"")</f>
        <v/>
      </c>
      <c r="F888" s="3">
        <f>IF(AND('Data Source'!B888&lt;&gt;"",'Data Source'!S888="A+"),IF('Data Source'!X888&gt;=5,"A+",IF('Data Source'!X888&gt;=4,"A",IF('Data Source'!X888&gt;=3.5,"A-",IF('Data Source'!X888&gt;=3,"B",IF('Data Source'!X888&gt;=2,"C",IF('Data Source'!X888&gt;=1,"D","F")))))),"")</f>
        <v/>
      </c>
      <c r="G888" s="3">
        <f>IF(AND('Data Source'!B888&lt;&gt;"",'Data Source'!S888="A+"),IF('Data Source'!Y888&gt;=5,"A+",IF('Data Source'!Y888&gt;=4,"A",IF('Data Source'!Y888&gt;=3.5,"A-",IF('Data Source'!Y888&gt;=3,"B",IF('Data Source'!Y888&gt;=2,"C",IF('Data Source'!Y888&gt;=1,"D","F")))))),"")</f>
        <v/>
      </c>
      <c r="H888" s="3">
        <f>IF(AND('Data Source'!B888&lt;&gt;"",'Data Source'!S888="A+"),IF('Data Source'!Z888&gt;=5,"A+",IF('Data Source'!Z888&gt;=4,"A",IF('Data Source'!Z888&gt;=3.5,"A-",IF('Data Source'!Z888&gt;=3,"B",IF('Data Source'!Z888&gt;=2,"C",IF('Data Source'!Z888&gt;=1,"D","F")))))),"")</f>
        <v/>
      </c>
      <c r="I888" s="3">
        <f>IF(AND('Data Source'!B888&lt;&gt;"",'Data Source'!S888="A+"),IF('Data Source'!AA888&gt;=5,"A+",IF('Data Source'!AA888&gt;=4,"A",IF('Data Source'!AA888&gt;=3.5,"A-",IF('Data Source'!AA888&gt;=3,"B",IF('Data Source'!AA888&gt;=2,"C",IF('Data Source'!AA888&gt;=1,"D","F")))))),"")</f>
        <v/>
      </c>
      <c r="J888" s="3">
        <f>IF(AND('Data Source'!B888&lt;&gt;"",'Data Source'!S888="A+"),IF('Data Source'!AB888&gt;=5,"A+",IF('Data Source'!AB888&gt;=4,"A",IF('Data Source'!AB888&gt;=3.5,"A-",IF('Data Source'!AB888&gt;=3,"B",IF('Data Source'!AB888&gt;=2,"C",IF('Data Source'!AB888&gt;=1,"D","F")))))),"")</f>
        <v/>
      </c>
      <c r="K888" s="3">
        <f>IF(AND('Data Source'!B888&lt;&gt;"",'Data Source'!S888="A+"),IF('Data Source'!AC888&gt;=5,"A+",IF('Data Source'!AC888&gt;=4,"A",IF('Data Source'!AC888&gt;=3.5,"A-",IF('Data Source'!AC888&gt;=3,"B",IF('Data Source'!AC888&gt;=2,"C",IF('Data Source'!AC888&gt;=1,"D","F")))))),"")</f>
        <v/>
      </c>
      <c r="L888" s="3">
        <f>IF(AND('Data Source'!B888&lt;&gt;"",'Data Source'!S888="A+"),IF('Data Source'!AD888&gt;=5,"A+",IF('Data Source'!AD888&gt;=4,"A",IF('Data Source'!AD888&gt;=3.5,"A-",IF('Data Source'!AD888&gt;=3,"B",IF('Data Source'!AD888&gt;=2,"C",IF('Data Source'!AD888&gt;=1,"D","F")))))),"")</f>
        <v/>
      </c>
      <c r="M888" s="3">
        <f>IF(AND('Data Source'!B888&lt;&gt;"",'Data Source'!S888="A+"),IF('Data Source'!AE888&gt;=5,"A+",IF('Data Source'!AE888&gt;=4,"A",IF('Data Source'!AE888&gt;=3.5,"A-",IF('Data Source'!AE888&gt;=3,"B",IF('Data Source'!AE888&gt;=2,"C",IF('Data Source'!AE888&gt;=1,"D","F")))))),"")</f>
        <v/>
      </c>
      <c r="N888" s="3">
        <f>IF(AND('Data Source'!B888&lt;&gt;"",'Data Source'!S888="A+"),IF('Data Source'!AF888&gt;=5,"A+",IF('Data Source'!AF888&gt;=4,"A",IF('Data Source'!AF888&gt;=3.5,"A-",IF('Data Source'!AF888&gt;=3,"B",IF('Data Source'!AF888&gt;=2,"C",IF('Data Source'!AF888&gt;=1,"D","F")))))),"")</f>
        <v/>
      </c>
      <c r="O888" s="3">
        <f>IF(AND('Data Source'!B888&lt;&gt;"",'Data Source'!S888="A+"),IF('Data Source'!AG888&gt;=5,"A+",IF('Data Source'!AG888&gt;=4,"A",IF('Data Source'!AG888&gt;=3.5,"A-",IF('Data Source'!AG888&gt;=3,"B",IF('Data Source'!AG888&gt;=2,"C",IF('Data Source'!AG888&gt;=1,"D","F")))))),"")</f>
        <v/>
      </c>
      <c r="P888" s="5">
        <f>IF(AND('Data Source'!B888&lt;&gt;"",'Data Source'!S888="A+"),'Data Source'!R888,"")</f>
        <v/>
      </c>
      <c r="Q888" s="3">
        <f>IF(AND('Data Source'!B888&lt;&gt;"",'Data Source'!S888="A+"),'Data Source'!S888,"")</f>
        <v/>
      </c>
    </row>
    <row r="889">
      <c r="A889" s="3">
        <f>IF(AND('Data Source'!B889&lt;&gt;"",'Data Source'!S889="A+"),COUNTIF('Data Source'!$S$3:S889,"A+"),"")</f>
        <v/>
      </c>
      <c r="B889">
        <f>IF(AND('Data Source'!B889&lt;&gt;"",'Data Source'!S889="A+"),'Data Source'!B889,"")</f>
        <v/>
      </c>
      <c r="C889" s="3">
        <f>IF(AND('Data Source'!B889&lt;&gt;"",'Data Source'!S889="A+"),IF('Data Source'!U889&gt;=5,"A+",IF('Data Source'!U889&gt;=4,"A",IF('Data Source'!U889&gt;=3.5,"A-",IF('Data Source'!U889&gt;=3,"B",IF('Data Source'!U889&gt;=2,"C",IF('Data Source'!U889&gt;=1,"D","F")))))),"")</f>
        <v/>
      </c>
      <c r="D889" s="3">
        <f>IF(AND('Data Source'!B889&lt;&gt;"",'Data Source'!S889="A+"),IF('Data Source'!V889&gt;=5,"A+",IF('Data Source'!V889&gt;=4,"A",IF('Data Source'!V889&gt;=3.5,"A-",IF('Data Source'!V889&gt;=3,"B",IF('Data Source'!V889&gt;=2,"C",IF('Data Source'!V889&gt;=1,"D","F")))))),"")</f>
        <v/>
      </c>
      <c r="E889" s="3">
        <f>IF(AND('Data Source'!B889&lt;&gt;"",'Data Source'!S889="A+"),IF('Data Source'!W889&gt;=5,"A+",IF('Data Source'!W889&gt;=4,"A",IF('Data Source'!W889&gt;=3.5,"A-",IF('Data Source'!W889&gt;=3,"B",IF('Data Source'!W889&gt;=2,"C",IF('Data Source'!W889&gt;=1,"D","F")))))),"")</f>
        <v/>
      </c>
      <c r="F889" s="3">
        <f>IF(AND('Data Source'!B889&lt;&gt;"",'Data Source'!S889="A+"),IF('Data Source'!X889&gt;=5,"A+",IF('Data Source'!X889&gt;=4,"A",IF('Data Source'!X889&gt;=3.5,"A-",IF('Data Source'!X889&gt;=3,"B",IF('Data Source'!X889&gt;=2,"C",IF('Data Source'!X889&gt;=1,"D","F")))))),"")</f>
        <v/>
      </c>
      <c r="G889" s="3">
        <f>IF(AND('Data Source'!B889&lt;&gt;"",'Data Source'!S889="A+"),IF('Data Source'!Y889&gt;=5,"A+",IF('Data Source'!Y889&gt;=4,"A",IF('Data Source'!Y889&gt;=3.5,"A-",IF('Data Source'!Y889&gt;=3,"B",IF('Data Source'!Y889&gt;=2,"C",IF('Data Source'!Y889&gt;=1,"D","F")))))),"")</f>
        <v/>
      </c>
      <c r="H889" s="3">
        <f>IF(AND('Data Source'!B889&lt;&gt;"",'Data Source'!S889="A+"),IF('Data Source'!Z889&gt;=5,"A+",IF('Data Source'!Z889&gt;=4,"A",IF('Data Source'!Z889&gt;=3.5,"A-",IF('Data Source'!Z889&gt;=3,"B",IF('Data Source'!Z889&gt;=2,"C",IF('Data Source'!Z889&gt;=1,"D","F")))))),"")</f>
        <v/>
      </c>
      <c r="I889" s="3">
        <f>IF(AND('Data Source'!B889&lt;&gt;"",'Data Source'!S889="A+"),IF('Data Source'!AA889&gt;=5,"A+",IF('Data Source'!AA889&gt;=4,"A",IF('Data Source'!AA889&gt;=3.5,"A-",IF('Data Source'!AA889&gt;=3,"B",IF('Data Source'!AA889&gt;=2,"C",IF('Data Source'!AA889&gt;=1,"D","F")))))),"")</f>
        <v/>
      </c>
      <c r="J889" s="3">
        <f>IF(AND('Data Source'!B889&lt;&gt;"",'Data Source'!S889="A+"),IF('Data Source'!AB889&gt;=5,"A+",IF('Data Source'!AB889&gt;=4,"A",IF('Data Source'!AB889&gt;=3.5,"A-",IF('Data Source'!AB889&gt;=3,"B",IF('Data Source'!AB889&gt;=2,"C",IF('Data Source'!AB889&gt;=1,"D","F")))))),"")</f>
        <v/>
      </c>
      <c r="K889" s="3">
        <f>IF(AND('Data Source'!B889&lt;&gt;"",'Data Source'!S889="A+"),IF('Data Source'!AC889&gt;=5,"A+",IF('Data Source'!AC889&gt;=4,"A",IF('Data Source'!AC889&gt;=3.5,"A-",IF('Data Source'!AC889&gt;=3,"B",IF('Data Source'!AC889&gt;=2,"C",IF('Data Source'!AC889&gt;=1,"D","F")))))),"")</f>
        <v/>
      </c>
      <c r="L889" s="3">
        <f>IF(AND('Data Source'!B889&lt;&gt;"",'Data Source'!S889="A+"),IF('Data Source'!AD889&gt;=5,"A+",IF('Data Source'!AD889&gt;=4,"A",IF('Data Source'!AD889&gt;=3.5,"A-",IF('Data Source'!AD889&gt;=3,"B",IF('Data Source'!AD889&gt;=2,"C",IF('Data Source'!AD889&gt;=1,"D","F")))))),"")</f>
        <v/>
      </c>
      <c r="M889" s="3">
        <f>IF(AND('Data Source'!B889&lt;&gt;"",'Data Source'!S889="A+"),IF('Data Source'!AE889&gt;=5,"A+",IF('Data Source'!AE889&gt;=4,"A",IF('Data Source'!AE889&gt;=3.5,"A-",IF('Data Source'!AE889&gt;=3,"B",IF('Data Source'!AE889&gt;=2,"C",IF('Data Source'!AE889&gt;=1,"D","F")))))),"")</f>
        <v/>
      </c>
      <c r="N889" s="3">
        <f>IF(AND('Data Source'!B889&lt;&gt;"",'Data Source'!S889="A+"),IF('Data Source'!AF889&gt;=5,"A+",IF('Data Source'!AF889&gt;=4,"A",IF('Data Source'!AF889&gt;=3.5,"A-",IF('Data Source'!AF889&gt;=3,"B",IF('Data Source'!AF889&gt;=2,"C",IF('Data Source'!AF889&gt;=1,"D","F")))))),"")</f>
        <v/>
      </c>
      <c r="O889" s="3">
        <f>IF(AND('Data Source'!B889&lt;&gt;"",'Data Source'!S889="A+"),IF('Data Source'!AG889&gt;=5,"A+",IF('Data Source'!AG889&gt;=4,"A",IF('Data Source'!AG889&gt;=3.5,"A-",IF('Data Source'!AG889&gt;=3,"B",IF('Data Source'!AG889&gt;=2,"C",IF('Data Source'!AG889&gt;=1,"D","F")))))),"")</f>
        <v/>
      </c>
      <c r="P889" s="5">
        <f>IF(AND('Data Source'!B889&lt;&gt;"",'Data Source'!S889="A+"),'Data Source'!R889,"")</f>
        <v/>
      </c>
      <c r="Q889" s="3">
        <f>IF(AND('Data Source'!B889&lt;&gt;"",'Data Source'!S889="A+"),'Data Source'!S889,"")</f>
        <v/>
      </c>
    </row>
    <row r="890">
      <c r="A890" s="3">
        <f>IF(AND('Data Source'!B890&lt;&gt;"",'Data Source'!S890="A+"),COUNTIF('Data Source'!$S$3:S890,"A+"),"")</f>
        <v/>
      </c>
      <c r="B890">
        <f>IF(AND('Data Source'!B890&lt;&gt;"",'Data Source'!S890="A+"),'Data Source'!B890,"")</f>
        <v/>
      </c>
      <c r="C890" s="3">
        <f>IF(AND('Data Source'!B890&lt;&gt;"",'Data Source'!S890="A+"),IF('Data Source'!U890&gt;=5,"A+",IF('Data Source'!U890&gt;=4,"A",IF('Data Source'!U890&gt;=3.5,"A-",IF('Data Source'!U890&gt;=3,"B",IF('Data Source'!U890&gt;=2,"C",IF('Data Source'!U890&gt;=1,"D","F")))))),"")</f>
        <v/>
      </c>
      <c r="D890" s="3">
        <f>IF(AND('Data Source'!B890&lt;&gt;"",'Data Source'!S890="A+"),IF('Data Source'!V890&gt;=5,"A+",IF('Data Source'!V890&gt;=4,"A",IF('Data Source'!V890&gt;=3.5,"A-",IF('Data Source'!V890&gt;=3,"B",IF('Data Source'!V890&gt;=2,"C",IF('Data Source'!V890&gt;=1,"D","F")))))),"")</f>
        <v/>
      </c>
      <c r="E890" s="3">
        <f>IF(AND('Data Source'!B890&lt;&gt;"",'Data Source'!S890="A+"),IF('Data Source'!W890&gt;=5,"A+",IF('Data Source'!W890&gt;=4,"A",IF('Data Source'!W890&gt;=3.5,"A-",IF('Data Source'!W890&gt;=3,"B",IF('Data Source'!W890&gt;=2,"C",IF('Data Source'!W890&gt;=1,"D","F")))))),"")</f>
        <v/>
      </c>
      <c r="F890" s="3">
        <f>IF(AND('Data Source'!B890&lt;&gt;"",'Data Source'!S890="A+"),IF('Data Source'!X890&gt;=5,"A+",IF('Data Source'!X890&gt;=4,"A",IF('Data Source'!X890&gt;=3.5,"A-",IF('Data Source'!X890&gt;=3,"B",IF('Data Source'!X890&gt;=2,"C",IF('Data Source'!X890&gt;=1,"D","F")))))),"")</f>
        <v/>
      </c>
      <c r="G890" s="3">
        <f>IF(AND('Data Source'!B890&lt;&gt;"",'Data Source'!S890="A+"),IF('Data Source'!Y890&gt;=5,"A+",IF('Data Source'!Y890&gt;=4,"A",IF('Data Source'!Y890&gt;=3.5,"A-",IF('Data Source'!Y890&gt;=3,"B",IF('Data Source'!Y890&gt;=2,"C",IF('Data Source'!Y890&gt;=1,"D","F")))))),"")</f>
        <v/>
      </c>
      <c r="H890" s="3">
        <f>IF(AND('Data Source'!B890&lt;&gt;"",'Data Source'!S890="A+"),IF('Data Source'!Z890&gt;=5,"A+",IF('Data Source'!Z890&gt;=4,"A",IF('Data Source'!Z890&gt;=3.5,"A-",IF('Data Source'!Z890&gt;=3,"B",IF('Data Source'!Z890&gt;=2,"C",IF('Data Source'!Z890&gt;=1,"D","F")))))),"")</f>
        <v/>
      </c>
      <c r="I890" s="3">
        <f>IF(AND('Data Source'!B890&lt;&gt;"",'Data Source'!S890="A+"),IF('Data Source'!AA890&gt;=5,"A+",IF('Data Source'!AA890&gt;=4,"A",IF('Data Source'!AA890&gt;=3.5,"A-",IF('Data Source'!AA890&gt;=3,"B",IF('Data Source'!AA890&gt;=2,"C",IF('Data Source'!AA890&gt;=1,"D","F")))))),"")</f>
        <v/>
      </c>
      <c r="J890" s="3">
        <f>IF(AND('Data Source'!B890&lt;&gt;"",'Data Source'!S890="A+"),IF('Data Source'!AB890&gt;=5,"A+",IF('Data Source'!AB890&gt;=4,"A",IF('Data Source'!AB890&gt;=3.5,"A-",IF('Data Source'!AB890&gt;=3,"B",IF('Data Source'!AB890&gt;=2,"C",IF('Data Source'!AB890&gt;=1,"D","F")))))),"")</f>
        <v/>
      </c>
      <c r="K890" s="3">
        <f>IF(AND('Data Source'!B890&lt;&gt;"",'Data Source'!S890="A+"),IF('Data Source'!AC890&gt;=5,"A+",IF('Data Source'!AC890&gt;=4,"A",IF('Data Source'!AC890&gt;=3.5,"A-",IF('Data Source'!AC890&gt;=3,"B",IF('Data Source'!AC890&gt;=2,"C",IF('Data Source'!AC890&gt;=1,"D","F")))))),"")</f>
        <v/>
      </c>
      <c r="L890" s="3">
        <f>IF(AND('Data Source'!B890&lt;&gt;"",'Data Source'!S890="A+"),IF('Data Source'!AD890&gt;=5,"A+",IF('Data Source'!AD890&gt;=4,"A",IF('Data Source'!AD890&gt;=3.5,"A-",IF('Data Source'!AD890&gt;=3,"B",IF('Data Source'!AD890&gt;=2,"C",IF('Data Source'!AD890&gt;=1,"D","F")))))),"")</f>
        <v/>
      </c>
      <c r="M890" s="3">
        <f>IF(AND('Data Source'!B890&lt;&gt;"",'Data Source'!S890="A+"),IF('Data Source'!AE890&gt;=5,"A+",IF('Data Source'!AE890&gt;=4,"A",IF('Data Source'!AE890&gt;=3.5,"A-",IF('Data Source'!AE890&gt;=3,"B",IF('Data Source'!AE890&gt;=2,"C",IF('Data Source'!AE890&gt;=1,"D","F")))))),"")</f>
        <v/>
      </c>
      <c r="N890" s="3">
        <f>IF(AND('Data Source'!B890&lt;&gt;"",'Data Source'!S890="A+"),IF('Data Source'!AF890&gt;=5,"A+",IF('Data Source'!AF890&gt;=4,"A",IF('Data Source'!AF890&gt;=3.5,"A-",IF('Data Source'!AF890&gt;=3,"B",IF('Data Source'!AF890&gt;=2,"C",IF('Data Source'!AF890&gt;=1,"D","F")))))),"")</f>
        <v/>
      </c>
      <c r="O890" s="3">
        <f>IF(AND('Data Source'!B890&lt;&gt;"",'Data Source'!S890="A+"),IF('Data Source'!AG890&gt;=5,"A+",IF('Data Source'!AG890&gt;=4,"A",IF('Data Source'!AG890&gt;=3.5,"A-",IF('Data Source'!AG890&gt;=3,"B",IF('Data Source'!AG890&gt;=2,"C",IF('Data Source'!AG890&gt;=1,"D","F")))))),"")</f>
        <v/>
      </c>
      <c r="P890" s="5">
        <f>IF(AND('Data Source'!B890&lt;&gt;"",'Data Source'!S890="A+"),'Data Source'!R890,"")</f>
        <v/>
      </c>
      <c r="Q890" s="3">
        <f>IF(AND('Data Source'!B890&lt;&gt;"",'Data Source'!S890="A+"),'Data Source'!S890,"")</f>
        <v/>
      </c>
    </row>
    <row r="891">
      <c r="A891" s="3">
        <f>IF(AND('Data Source'!B891&lt;&gt;"",'Data Source'!S891="A+"),COUNTIF('Data Source'!$S$3:S891,"A+"),"")</f>
        <v/>
      </c>
      <c r="B891">
        <f>IF(AND('Data Source'!B891&lt;&gt;"",'Data Source'!S891="A+"),'Data Source'!B891,"")</f>
        <v/>
      </c>
      <c r="C891" s="3">
        <f>IF(AND('Data Source'!B891&lt;&gt;"",'Data Source'!S891="A+"),IF('Data Source'!U891&gt;=5,"A+",IF('Data Source'!U891&gt;=4,"A",IF('Data Source'!U891&gt;=3.5,"A-",IF('Data Source'!U891&gt;=3,"B",IF('Data Source'!U891&gt;=2,"C",IF('Data Source'!U891&gt;=1,"D","F")))))),"")</f>
        <v/>
      </c>
      <c r="D891" s="3">
        <f>IF(AND('Data Source'!B891&lt;&gt;"",'Data Source'!S891="A+"),IF('Data Source'!V891&gt;=5,"A+",IF('Data Source'!V891&gt;=4,"A",IF('Data Source'!V891&gt;=3.5,"A-",IF('Data Source'!V891&gt;=3,"B",IF('Data Source'!V891&gt;=2,"C",IF('Data Source'!V891&gt;=1,"D","F")))))),"")</f>
        <v/>
      </c>
      <c r="E891" s="3">
        <f>IF(AND('Data Source'!B891&lt;&gt;"",'Data Source'!S891="A+"),IF('Data Source'!W891&gt;=5,"A+",IF('Data Source'!W891&gt;=4,"A",IF('Data Source'!W891&gt;=3.5,"A-",IF('Data Source'!W891&gt;=3,"B",IF('Data Source'!W891&gt;=2,"C",IF('Data Source'!W891&gt;=1,"D","F")))))),"")</f>
        <v/>
      </c>
      <c r="F891" s="3">
        <f>IF(AND('Data Source'!B891&lt;&gt;"",'Data Source'!S891="A+"),IF('Data Source'!X891&gt;=5,"A+",IF('Data Source'!X891&gt;=4,"A",IF('Data Source'!X891&gt;=3.5,"A-",IF('Data Source'!X891&gt;=3,"B",IF('Data Source'!X891&gt;=2,"C",IF('Data Source'!X891&gt;=1,"D","F")))))),"")</f>
        <v/>
      </c>
      <c r="G891" s="3">
        <f>IF(AND('Data Source'!B891&lt;&gt;"",'Data Source'!S891="A+"),IF('Data Source'!Y891&gt;=5,"A+",IF('Data Source'!Y891&gt;=4,"A",IF('Data Source'!Y891&gt;=3.5,"A-",IF('Data Source'!Y891&gt;=3,"B",IF('Data Source'!Y891&gt;=2,"C",IF('Data Source'!Y891&gt;=1,"D","F")))))),"")</f>
        <v/>
      </c>
      <c r="H891" s="3">
        <f>IF(AND('Data Source'!B891&lt;&gt;"",'Data Source'!S891="A+"),IF('Data Source'!Z891&gt;=5,"A+",IF('Data Source'!Z891&gt;=4,"A",IF('Data Source'!Z891&gt;=3.5,"A-",IF('Data Source'!Z891&gt;=3,"B",IF('Data Source'!Z891&gt;=2,"C",IF('Data Source'!Z891&gt;=1,"D","F")))))),"")</f>
        <v/>
      </c>
      <c r="I891" s="3">
        <f>IF(AND('Data Source'!B891&lt;&gt;"",'Data Source'!S891="A+"),IF('Data Source'!AA891&gt;=5,"A+",IF('Data Source'!AA891&gt;=4,"A",IF('Data Source'!AA891&gt;=3.5,"A-",IF('Data Source'!AA891&gt;=3,"B",IF('Data Source'!AA891&gt;=2,"C",IF('Data Source'!AA891&gt;=1,"D","F")))))),"")</f>
        <v/>
      </c>
      <c r="J891" s="3">
        <f>IF(AND('Data Source'!B891&lt;&gt;"",'Data Source'!S891="A+"),IF('Data Source'!AB891&gt;=5,"A+",IF('Data Source'!AB891&gt;=4,"A",IF('Data Source'!AB891&gt;=3.5,"A-",IF('Data Source'!AB891&gt;=3,"B",IF('Data Source'!AB891&gt;=2,"C",IF('Data Source'!AB891&gt;=1,"D","F")))))),"")</f>
        <v/>
      </c>
      <c r="K891" s="3">
        <f>IF(AND('Data Source'!B891&lt;&gt;"",'Data Source'!S891="A+"),IF('Data Source'!AC891&gt;=5,"A+",IF('Data Source'!AC891&gt;=4,"A",IF('Data Source'!AC891&gt;=3.5,"A-",IF('Data Source'!AC891&gt;=3,"B",IF('Data Source'!AC891&gt;=2,"C",IF('Data Source'!AC891&gt;=1,"D","F")))))),"")</f>
        <v/>
      </c>
      <c r="L891" s="3">
        <f>IF(AND('Data Source'!B891&lt;&gt;"",'Data Source'!S891="A+"),IF('Data Source'!AD891&gt;=5,"A+",IF('Data Source'!AD891&gt;=4,"A",IF('Data Source'!AD891&gt;=3.5,"A-",IF('Data Source'!AD891&gt;=3,"B",IF('Data Source'!AD891&gt;=2,"C",IF('Data Source'!AD891&gt;=1,"D","F")))))),"")</f>
        <v/>
      </c>
      <c r="M891" s="3">
        <f>IF(AND('Data Source'!B891&lt;&gt;"",'Data Source'!S891="A+"),IF('Data Source'!AE891&gt;=5,"A+",IF('Data Source'!AE891&gt;=4,"A",IF('Data Source'!AE891&gt;=3.5,"A-",IF('Data Source'!AE891&gt;=3,"B",IF('Data Source'!AE891&gt;=2,"C",IF('Data Source'!AE891&gt;=1,"D","F")))))),"")</f>
        <v/>
      </c>
      <c r="N891" s="3">
        <f>IF(AND('Data Source'!B891&lt;&gt;"",'Data Source'!S891="A+"),IF('Data Source'!AF891&gt;=5,"A+",IF('Data Source'!AF891&gt;=4,"A",IF('Data Source'!AF891&gt;=3.5,"A-",IF('Data Source'!AF891&gt;=3,"B",IF('Data Source'!AF891&gt;=2,"C",IF('Data Source'!AF891&gt;=1,"D","F")))))),"")</f>
        <v/>
      </c>
      <c r="O891" s="3">
        <f>IF(AND('Data Source'!B891&lt;&gt;"",'Data Source'!S891="A+"),IF('Data Source'!AG891&gt;=5,"A+",IF('Data Source'!AG891&gt;=4,"A",IF('Data Source'!AG891&gt;=3.5,"A-",IF('Data Source'!AG891&gt;=3,"B",IF('Data Source'!AG891&gt;=2,"C",IF('Data Source'!AG891&gt;=1,"D","F")))))),"")</f>
        <v/>
      </c>
      <c r="P891" s="5">
        <f>IF(AND('Data Source'!B891&lt;&gt;"",'Data Source'!S891="A+"),'Data Source'!R891,"")</f>
        <v/>
      </c>
      <c r="Q891" s="3">
        <f>IF(AND('Data Source'!B891&lt;&gt;"",'Data Source'!S891="A+"),'Data Source'!S891,"")</f>
        <v/>
      </c>
    </row>
    <row r="892">
      <c r="A892" s="3">
        <f>IF(AND('Data Source'!B892&lt;&gt;"",'Data Source'!S892="A+"),COUNTIF('Data Source'!$S$3:S892,"A+"),"")</f>
        <v/>
      </c>
      <c r="B892">
        <f>IF(AND('Data Source'!B892&lt;&gt;"",'Data Source'!S892="A+"),'Data Source'!B892,"")</f>
        <v/>
      </c>
      <c r="C892" s="3">
        <f>IF(AND('Data Source'!B892&lt;&gt;"",'Data Source'!S892="A+"),IF('Data Source'!U892&gt;=5,"A+",IF('Data Source'!U892&gt;=4,"A",IF('Data Source'!U892&gt;=3.5,"A-",IF('Data Source'!U892&gt;=3,"B",IF('Data Source'!U892&gt;=2,"C",IF('Data Source'!U892&gt;=1,"D","F")))))),"")</f>
        <v/>
      </c>
      <c r="D892" s="3">
        <f>IF(AND('Data Source'!B892&lt;&gt;"",'Data Source'!S892="A+"),IF('Data Source'!V892&gt;=5,"A+",IF('Data Source'!V892&gt;=4,"A",IF('Data Source'!V892&gt;=3.5,"A-",IF('Data Source'!V892&gt;=3,"B",IF('Data Source'!V892&gt;=2,"C",IF('Data Source'!V892&gt;=1,"D","F")))))),"")</f>
        <v/>
      </c>
      <c r="E892" s="3">
        <f>IF(AND('Data Source'!B892&lt;&gt;"",'Data Source'!S892="A+"),IF('Data Source'!W892&gt;=5,"A+",IF('Data Source'!W892&gt;=4,"A",IF('Data Source'!W892&gt;=3.5,"A-",IF('Data Source'!W892&gt;=3,"B",IF('Data Source'!W892&gt;=2,"C",IF('Data Source'!W892&gt;=1,"D","F")))))),"")</f>
        <v/>
      </c>
      <c r="F892" s="3">
        <f>IF(AND('Data Source'!B892&lt;&gt;"",'Data Source'!S892="A+"),IF('Data Source'!X892&gt;=5,"A+",IF('Data Source'!X892&gt;=4,"A",IF('Data Source'!X892&gt;=3.5,"A-",IF('Data Source'!X892&gt;=3,"B",IF('Data Source'!X892&gt;=2,"C",IF('Data Source'!X892&gt;=1,"D","F")))))),"")</f>
        <v/>
      </c>
      <c r="G892" s="3">
        <f>IF(AND('Data Source'!B892&lt;&gt;"",'Data Source'!S892="A+"),IF('Data Source'!Y892&gt;=5,"A+",IF('Data Source'!Y892&gt;=4,"A",IF('Data Source'!Y892&gt;=3.5,"A-",IF('Data Source'!Y892&gt;=3,"B",IF('Data Source'!Y892&gt;=2,"C",IF('Data Source'!Y892&gt;=1,"D","F")))))),"")</f>
        <v/>
      </c>
      <c r="H892" s="3">
        <f>IF(AND('Data Source'!B892&lt;&gt;"",'Data Source'!S892="A+"),IF('Data Source'!Z892&gt;=5,"A+",IF('Data Source'!Z892&gt;=4,"A",IF('Data Source'!Z892&gt;=3.5,"A-",IF('Data Source'!Z892&gt;=3,"B",IF('Data Source'!Z892&gt;=2,"C",IF('Data Source'!Z892&gt;=1,"D","F")))))),"")</f>
        <v/>
      </c>
      <c r="I892" s="3">
        <f>IF(AND('Data Source'!B892&lt;&gt;"",'Data Source'!S892="A+"),IF('Data Source'!AA892&gt;=5,"A+",IF('Data Source'!AA892&gt;=4,"A",IF('Data Source'!AA892&gt;=3.5,"A-",IF('Data Source'!AA892&gt;=3,"B",IF('Data Source'!AA892&gt;=2,"C",IF('Data Source'!AA892&gt;=1,"D","F")))))),"")</f>
        <v/>
      </c>
      <c r="J892" s="3">
        <f>IF(AND('Data Source'!B892&lt;&gt;"",'Data Source'!S892="A+"),IF('Data Source'!AB892&gt;=5,"A+",IF('Data Source'!AB892&gt;=4,"A",IF('Data Source'!AB892&gt;=3.5,"A-",IF('Data Source'!AB892&gt;=3,"B",IF('Data Source'!AB892&gt;=2,"C",IF('Data Source'!AB892&gt;=1,"D","F")))))),"")</f>
        <v/>
      </c>
      <c r="K892" s="3">
        <f>IF(AND('Data Source'!B892&lt;&gt;"",'Data Source'!S892="A+"),IF('Data Source'!AC892&gt;=5,"A+",IF('Data Source'!AC892&gt;=4,"A",IF('Data Source'!AC892&gt;=3.5,"A-",IF('Data Source'!AC892&gt;=3,"B",IF('Data Source'!AC892&gt;=2,"C",IF('Data Source'!AC892&gt;=1,"D","F")))))),"")</f>
        <v/>
      </c>
      <c r="L892" s="3">
        <f>IF(AND('Data Source'!B892&lt;&gt;"",'Data Source'!S892="A+"),IF('Data Source'!AD892&gt;=5,"A+",IF('Data Source'!AD892&gt;=4,"A",IF('Data Source'!AD892&gt;=3.5,"A-",IF('Data Source'!AD892&gt;=3,"B",IF('Data Source'!AD892&gt;=2,"C",IF('Data Source'!AD892&gt;=1,"D","F")))))),"")</f>
        <v/>
      </c>
      <c r="M892" s="3">
        <f>IF(AND('Data Source'!B892&lt;&gt;"",'Data Source'!S892="A+"),IF('Data Source'!AE892&gt;=5,"A+",IF('Data Source'!AE892&gt;=4,"A",IF('Data Source'!AE892&gt;=3.5,"A-",IF('Data Source'!AE892&gt;=3,"B",IF('Data Source'!AE892&gt;=2,"C",IF('Data Source'!AE892&gt;=1,"D","F")))))),"")</f>
        <v/>
      </c>
      <c r="N892" s="3">
        <f>IF(AND('Data Source'!B892&lt;&gt;"",'Data Source'!S892="A+"),IF('Data Source'!AF892&gt;=5,"A+",IF('Data Source'!AF892&gt;=4,"A",IF('Data Source'!AF892&gt;=3.5,"A-",IF('Data Source'!AF892&gt;=3,"B",IF('Data Source'!AF892&gt;=2,"C",IF('Data Source'!AF892&gt;=1,"D","F")))))),"")</f>
        <v/>
      </c>
      <c r="O892" s="3">
        <f>IF(AND('Data Source'!B892&lt;&gt;"",'Data Source'!S892="A+"),IF('Data Source'!AG892&gt;=5,"A+",IF('Data Source'!AG892&gt;=4,"A",IF('Data Source'!AG892&gt;=3.5,"A-",IF('Data Source'!AG892&gt;=3,"B",IF('Data Source'!AG892&gt;=2,"C",IF('Data Source'!AG892&gt;=1,"D","F")))))),"")</f>
        <v/>
      </c>
      <c r="P892" s="5">
        <f>IF(AND('Data Source'!B892&lt;&gt;"",'Data Source'!S892="A+"),'Data Source'!R892,"")</f>
        <v/>
      </c>
      <c r="Q892" s="3">
        <f>IF(AND('Data Source'!B892&lt;&gt;"",'Data Source'!S892="A+"),'Data Source'!S892,"")</f>
        <v/>
      </c>
    </row>
    <row r="893">
      <c r="A893" s="3">
        <f>IF(AND('Data Source'!B893&lt;&gt;"",'Data Source'!S893="A+"),COUNTIF('Data Source'!$S$3:S893,"A+"),"")</f>
        <v/>
      </c>
      <c r="B893">
        <f>IF(AND('Data Source'!B893&lt;&gt;"",'Data Source'!S893="A+"),'Data Source'!B893,"")</f>
        <v/>
      </c>
      <c r="C893" s="3">
        <f>IF(AND('Data Source'!B893&lt;&gt;"",'Data Source'!S893="A+"),IF('Data Source'!U893&gt;=5,"A+",IF('Data Source'!U893&gt;=4,"A",IF('Data Source'!U893&gt;=3.5,"A-",IF('Data Source'!U893&gt;=3,"B",IF('Data Source'!U893&gt;=2,"C",IF('Data Source'!U893&gt;=1,"D","F")))))),"")</f>
        <v/>
      </c>
      <c r="D893" s="3">
        <f>IF(AND('Data Source'!B893&lt;&gt;"",'Data Source'!S893="A+"),IF('Data Source'!V893&gt;=5,"A+",IF('Data Source'!V893&gt;=4,"A",IF('Data Source'!V893&gt;=3.5,"A-",IF('Data Source'!V893&gt;=3,"B",IF('Data Source'!V893&gt;=2,"C",IF('Data Source'!V893&gt;=1,"D","F")))))),"")</f>
        <v/>
      </c>
      <c r="E893" s="3">
        <f>IF(AND('Data Source'!B893&lt;&gt;"",'Data Source'!S893="A+"),IF('Data Source'!W893&gt;=5,"A+",IF('Data Source'!W893&gt;=4,"A",IF('Data Source'!W893&gt;=3.5,"A-",IF('Data Source'!W893&gt;=3,"B",IF('Data Source'!W893&gt;=2,"C",IF('Data Source'!W893&gt;=1,"D","F")))))),"")</f>
        <v/>
      </c>
      <c r="F893" s="3">
        <f>IF(AND('Data Source'!B893&lt;&gt;"",'Data Source'!S893="A+"),IF('Data Source'!X893&gt;=5,"A+",IF('Data Source'!X893&gt;=4,"A",IF('Data Source'!X893&gt;=3.5,"A-",IF('Data Source'!X893&gt;=3,"B",IF('Data Source'!X893&gt;=2,"C",IF('Data Source'!X893&gt;=1,"D","F")))))),"")</f>
        <v/>
      </c>
      <c r="G893" s="3">
        <f>IF(AND('Data Source'!B893&lt;&gt;"",'Data Source'!S893="A+"),IF('Data Source'!Y893&gt;=5,"A+",IF('Data Source'!Y893&gt;=4,"A",IF('Data Source'!Y893&gt;=3.5,"A-",IF('Data Source'!Y893&gt;=3,"B",IF('Data Source'!Y893&gt;=2,"C",IF('Data Source'!Y893&gt;=1,"D","F")))))),"")</f>
        <v/>
      </c>
      <c r="H893" s="3">
        <f>IF(AND('Data Source'!B893&lt;&gt;"",'Data Source'!S893="A+"),IF('Data Source'!Z893&gt;=5,"A+",IF('Data Source'!Z893&gt;=4,"A",IF('Data Source'!Z893&gt;=3.5,"A-",IF('Data Source'!Z893&gt;=3,"B",IF('Data Source'!Z893&gt;=2,"C",IF('Data Source'!Z893&gt;=1,"D","F")))))),"")</f>
        <v/>
      </c>
      <c r="I893" s="3">
        <f>IF(AND('Data Source'!B893&lt;&gt;"",'Data Source'!S893="A+"),IF('Data Source'!AA893&gt;=5,"A+",IF('Data Source'!AA893&gt;=4,"A",IF('Data Source'!AA893&gt;=3.5,"A-",IF('Data Source'!AA893&gt;=3,"B",IF('Data Source'!AA893&gt;=2,"C",IF('Data Source'!AA893&gt;=1,"D","F")))))),"")</f>
        <v/>
      </c>
      <c r="J893" s="3">
        <f>IF(AND('Data Source'!B893&lt;&gt;"",'Data Source'!S893="A+"),IF('Data Source'!AB893&gt;=5,"A+",IF('Data Source'!AB893&gt;=4,"A",IF('Data Source'!AB893&gt;=3.5,"A-",IF('Data Source'!AB893&gt;=3,"B",IF('Data Source'!AB893&gt;=2,"C",IF('Data Source'!AB893&gt;=1,"D","F")))))),"")</f>
        <v/>
      </c>
      <c r="K893" s="3">
        <f>IF(AND('Data Source'!B893&lt;&gt;"",'Data Source'!S893="A+"),IF('Data Source'!AC893&gt;=5,"A+",IF('Data Source'!AC893&gt;=4,"A",IF('Data Source'!AC893&gt;=3.5,"A-",IF('Data Source'!AC893&gt;=3,"B",IF('Data Source'!AC893&gt;=2,"C",IF('Data Source'!AC893&gt;=1,"D","F")))))),"")</f>
        <v/>
      </c>
      <c r="L893" s="3">
        <f>IF(AND('Data Source'!B893&lt;&gt;"",'Data Source'!S893="A+"),IF('Data Source'!AD893&gt;=5,"A+",IF('Data Source'!AD893&gt;=4,"A",IF('Data Source'!AD893&gt;=3.5,"A-",IF('Data Source'!AD893&gt;=3,"B",IF('Data Source'!AD893&gt;=2,"C",IF('Data Source'!AD893&gt;=1,"D","F")))))),"")</f>
        <v/>
      </c>
      <c r="M893" s="3">
        <f>IF(AND('Data Source'!B893&lt;&gt;"",'Data Source'!S893="A+"),IF('Data Source'!AE893&gt;=5,"A+",IF('Data Source'!AE893&gt;=4,"A",IF('Data Source'!AE893&gt;=3.5,"A-",IF('Data Source'!AE893&gt;=3,"B",IF('Data Source'!AE893&gt;=2,"C",IF('Data Source'!AE893&gt;=1,"D","F")))))),"")</f>
        <v/>
      </c>
      <c r="N893" s="3">
        <f>IF(AND('Data Source'!B893&lt;&gt;"",'Data Source'!S893="A+"),IF('Data Source'!AF893&gt;=5,"A+",IF('Data Source'!AF893&gt;=4,"A",IF('Data Source'!AF893&gt;=3.5,"A-",IF('Data Source'!AF893&gt;=3,"B",IF('Data Source'!AF893&gt;=2,"C",IF('Data Source'!AF893&gt;=1,"D","F")))))),"")</f>
        <v/>
      </c>
      <c r="O893" s="3">
        <f>IF(AND('Data Source'!B893&lt;&gt;"",'Data Source'!S893="A+"),IF('Data Source'!AG893&gt;=5,"A+",IF('Data Source'!AG893&gt;=4,"A",IF('Data Source'!AG893&gt;=3.5,"A-",IF('Data Source'!AG893&gt;=3,"B",IF('Data Source'!AG893&gt;=2,"C",IF('Data Source'!AG893&gt;=1,"D","F")))))),"")</f>
        <v/>
      </c>
      <c r="P893" s="5">
        <f>IF(AND('Data Source'!B893&lt;&gt;"",'Data Source'!S893="A+"),'Data Source'!R893,"")</f>
        <v/>
      </c>
      <c r="Q893" s="3">
        <f>IF(AND('Data Source'!B893&lt;&gt;"",'Data Source'!S893="A+"),'Data Source'!S893,"")</f>
        <v/>
      </c>
    </row>
    <row r="894">
      <c r="A894" s="3">
        <f>IF(AND('Data Source'!B894&lt;&gt;"",'Data Source'!S894="A+"),COUNTIF('Data Source'!$S$3:S894,"A+"),"")</f>
        <v/>
      </c>
      <c r="B894">
        <f>IF(AND('Data Source'!B894&lt;&gt;"",'Data Source'!S894="A+"),'Data Source'!B894,"")</f>
        <v/>
      </c>
      <c r="C894" s="3">
        <f>IF(AND('Data Source'!B894&lt;&gt;"",'Data Source'!S894="A+"),IF('Data Source'!U894&gt;=5,"A+",IF('Data Source'!U894&gt;=4,"A",IF('Data Source'!U894&gt;=3.5,"A-",IF('Data Source'!U894&gt;=3,"B",IF('Data Source'!U894&gt;=2,"C",IF('Data Source'!U894&gt;=1,"D","F")))))),"")</f>
        <v/>
      </c>
      <c r="D894" s="3">
        <f>IF(AND('Data Source'!B894&lt;&gt;"",'Data Source'!S894="A+"),IF('Data Source'!V894&gt;=5,"A+",IF('Data Source'!V894&gt;=4,"A",IF('Data Source'!V894&gt;=3.5,"A-",IF('Data Source'!V894&gt;=3,"B",IF('Data Source'!V894&gt;=2,"C",IF('Data Source'!V894&gt;=1,"D","F")))))),"")</f>
        <v/>
      </c>
      <c r="E894" s="3">
        <f>IF(AND('Data Source'!B894&lt;&gt;"",'Data Source'!S894="A+"),IF('Data Source'!W894&gt;=5,"A+",IF('Data Source'!W894&gt;=4,"A",IF('Data Source'!W894&gt;=3.5,"A-",IF('Data Source'!W894&gt;=3,"B",IF('Data Source'!W894&gt;=2,"C",IF('Data Source'!W894&gt;=1,"D","F")))))),"")</f>
        <v/>
      </c>
      <c r="F894" s="3">
        <f>IF(AND('Data Source'!B894&lt;&gt;"",'Data Source'!S894="A+"),IF('Data Source'!X894&gt;=5,"A+",IF('Data Source'!X894&gt;=4,"A",IF('Data Source'!X894&gt;=3.5,"A-",IF('Data Source'!X894&gt;=3,"B",IF('Data Source'!X894&gt;=2,"C",IF('Data Source'!X894&gt;=1,"D","F")))))),"")</f>
        <v/>
      </c>
      <c r="G894" s="3">
        <f>IF(AND('Data Source'!B894&lt;&gt;"",'Data Source'!S894="A+"),IF('Data Source'!Y894&gt;=5,"A+",IF('Data Source'!Y894&gt;=4,"A",IF('Data Source'!Y894&gt;=3.5,"A-",IF('Data Source'!Y894&gt;=3,"B",IF('Data Source'!Y894&gt;=2,"C",IF('Data Source'!Y894&gt;=1,"D","F")))))),"")</f>
        <v/>
      </c>
      <c r="H894" s="3">
        <f>IF(AND('Data Source'!B894&lt;&gt;"",'Data Source'!S894="A+"),IF('Data Source'!Z894&gt;=5,"A+",IF('Data Source'!Z894&gt;=4,"A",IF('Data Source'!Z894&gt;=3.5,"A-",IF('Data Source'!Z894&gt;=3,"B",IF('Data Source'!Z894&gt;=2,"C",IF('Data Source'!Z894&gt;=1,"D","F")))))),"")</f>
        <v/>
      </c>
      <c r="I894" s="3">
        <f>IF(AND('Data Source'!B894&lt;&gt;"",'Data Source'!S894="A+"),IF('Data Source'!AA894&gt;=5,"A+",IF('Data Source'!AA894&gt;=4,"A",IF('Data Source'!AA894&gt;=3.5,"A-",IF('Data Source'!AA894&gt;=3,"B",IF('Data Source'!AA894&gt;=2,"C",IF('Data Source'!AA894&gt;=1,"D","F")))))),"")</f>
        <v/>
      </c>
      <c r="J894" s="3">
        <f>IF(AND('Data Source'!B894&lt;&gt;"",'Data Source'!S894="A+"),IF('Data Source'!AB894&gt;=5,"A+",IF('Data Source'!AB894&gt;=4,"A",IF('Data Source'!AB894&gt;=3.5,"A-",IF('Data Source'!AB894&gt;=3,"B",IF('Data Source'!AB894&gt;=2,"C",IF('Data Source'!AB894&gt;=1,"D","F")))))),"")</f>
        <v/>
      </c>
      <c r="K894" s="3">
        <f>IF(AND('Data Source'!B894&lt;&gt;"",'Data Source'!S894="A+"),IF('Data Source'!AC894&gt;=5,"A+",IF('Data Source'!AC894&gt;=4,"A",IF('Data Source'!AC894&gt;=3.5,"A-",IF('Data Source'!AC894&gt;=3,"B",IF('Data Source'!AC894&gt;=2,"C",IF('Data Source'!AC894&gt;=1,"D","F")))))),"")</f>
        <v/>
      </c>
      <c r="L894" s="3">
        <f>IF(AND('Data Source'!B894&lt;&gt;"",'Data Source'!S894="A+"),IF('Data Source'!AD894&gt;=5,"A+",IF('Data Source'!AD894&gt;=4,"A",IF('Data Source'!AD894&gt;=3.5,"A-",IF('Data Source'!AD894&gt;=3,"B",IF('Data Source'!AD894&gt;=2,"C",IF('Data Source'!AD894&gt;=1,"D","F")))))),"")</f>
        <v/>
      </c>
      <c r="M894" s="3">
        <f>IF(AND('Data Source'!B894&lt;&gt;"",'Data Source'!S894="A+"),IF('Data Source'!AE894&gt;=5,"A+",IF('Data Source'!AE894&gt;=4,"A",IF('Data Source'!AE894&gt;=3.5,"A-",IF('Data Source'!AE894&gt;=3,"B",IF('Data Source'!AE894&gt;=2,"C",IF('Data Source'!AE894&gt;=1,"D","F")))))),"")</f>
        <v/>
      </c>
      <c r="N894" s="3">
        <f>IF(AND('Data Source'!B894&lt;&gt;"",'Data Source'!S894="A+"),IF('Data Source'!AF894&gt;=5,"A+",IF('Data Source'!AF894&gt;=4,"A",IF('Data Source'!AF894&gt;=3.5,"A-",IF('Data Source'!AF894&gt;=3,"B",IF('Data Source'!AF894&gt;=2,"C",IF('Data Source'!AF894&gt;=1,"D","F")))))),"")</f>
        <v/>
      </c>
      <c r="O894" s="3">
        <f>IF(AND('Data Source'!B894&lt;&gt;"",'Data Source'!S894="A+"),IF('Data Source'!AG894&gt;=5,"A+",IF('Data Source'!AG894&gt;=4,"A",IF('Data Source'!AG894&gt;=3.5,"A-",IF('Data Source'!AG894&gt;=3,"B",IF('Data Source'!AG894&gt;=2,"C",IF('Data Source'!AG894&gt;=1,"D","F")))))),"")</f>
        <v/>
      </c>
      <c r="P894" s="5">
        <f>IF(AND('Data Source'!B894&lt;&gt;"",'Data Source'!S894="A+"),'Data Source'!R894,"")</f>
        <v/>
      </c>
      <c r="Q894" s="3">
        <f>IF(AND('Data Source'!B894&lt;&gt;"",'Data Source'!S894="A+"),'Data Source'!S894,"")</f>
        <v/>
      </c>
    </row>
    <row r="895">
      <c r="A895" s="3">
        <f>IF(AND('Data Source'!B895&lt;&gt;"",'Data Source'!S895="A+"),COUNTIF('Data Source'!$S$3:S895,"A+"),"")</f>
        <v/>
      </c>
      <c r="B895">
        <f>IF(AND('Data Source'!B895&lt;&gt;"",'Data Source'!S895="A+"),'Data Source'!B895,"")</f>
        <v/>
      </c>
      <c r="C895" s="3">
        <f>IF(AND('Data Source'!B895&lt;&gt;"",'Data Source'!S895="A+"),IF('Data Source'!U895&gt;=5,"A+",IF('Data Source'!U895&gt;=4,"A",IF('Data Source'!U895&gt;=3.5,"A-",IF('Data Source'!U895&gt;=3,"B",IF('Data Source'!U895&gt;=2,"C",IF('Data Source'!U895&gt;=1,"D","F")))))),"")</f>
        <v/>
      </c>
      <c r="D895" s="3">
        <f>IF(AND('Data Source'!B895&lt;&gt;"",'Data Source'!S895="A+"),IF('Data Source'!V895&gt;=5,"A+",IF('Data Source'!V895&gt;=4,"A",IF('Data Source'!V895&gt;=3.5,"A-",IF('Data Source'!V895&gt;=3,"B",IF('Data Source'!V895&gt;=2,"C",IF('Data Source'!V895&gt;=1,"D","F")))))),"")</f>
        <v/>
      </c>
      <c r="E895" s="3">
        <f>IF(AND('Data Source'!B895&lt;&gt;"",'Data Source'!S895="A+"),IF('Data Source'!W895&gt;=5,"A+",IF('Data Source'!W895&gt;=4,"A",IF('Data Source'!W895&gt;=3.5,"A-",IF('Data Source'!W895&gt;=3,"B",IF('Data Source'!W895&gt;=2,"C",IF('Data Source'!W895&gt;=1,"D","F")))))),"")</f>
        <v/>
      </c>
      <c r="F895" s="3">
        <f>IF(AND('Data Source'!B895&lt;&gt;"",'Data Source'!S895="A+"),IF('Data Source'!X895&gt;=5,"A+",IF('Data Source'!X895&gt;=4,"A",IF('Data Source'!X895&gt;=3.5,"A-",IF('Data Source'!X895&gt;=3,"B",IF('Data Source'!X895&gt;=2,"C",IF('Data Source'!X895&gt;=1,"D","F")))))),"")</f>
        <v/>
      </c>
      <c r="G895" s="3">
        <f>IF(AND('Data Source'!B895&lt;&gt;"",'Data Source'!S895="A+"),IF('Data Source'!Y895&gt;=5,"A+",IF('Data Source'!Y895&gt;=4,"A",IF('Data Source'!Y895&gt;=3.5,"A-",IF('Data Source'!Y895&gt;=3,"B",IF('Data Source'!Y895&gt;=2,"C",IF('Data Source'!Y895&gt;=1,"D","F")))))),"")</f>
        <v/>
      </c>
      <c r="H895" s="3">
        <f>IF(AND('Data Source'!B895&lt;&gt;"",'Data Source'!S895="A+"),IF('Data Source'!Z895&gt;=5,"A+",IF('Data Source'!Z895&gt;=4,"A",IF('Data Source'!Z895&gt;=3.5,"A-",IF('Data Source'!Z895&gt;=3,"B",IF('Data Source'!Z895&gt;=2,"C",IF('Data Source'!Z895&gt;=1,"D","F")))))),"")</f>
        <v/>
      </c>
      <c r="I895" s="3">
        <f>IF(AND('Data Source'!B895&lt;&gt;"",'Data Source'!S895="A+"),IF('Data Source'!AA895&gt;=5,"A+",IF('Data Source'!AA895&gt;=4,"A",IF('Data Source'!AA895&gt;=3.5,"A-",IF('Data Source'!AA895&gt;=3,"B",IF('Data Source'!AA895&gt;=2,"C",IF('Data Source'!AA895&gt;=1,"D","F")))))),"")</f>
        <v/>
      </c>
      <c r="J895" s="3">
        <f>IF(AND('Data Source'!B895&lt;&gt;"",'Data Source'!S895="A+"),IF('Data Source'!AB895&gt;=5,"A+",IF('Data Source'!AB895&gt;=4,"A",IF('Data Source'!AB895&gt;=3.5,"A-",IF('Data Source'!AB895&gt;=3,"B",IF('Data Source'!AB895&gt;=2,"C",IF('Data Source'!AB895&gt;=1,"D","F")))))),"")</f>
        <v/>
      </c>
      <c r="K895" s="3">
        <f>IF(AND('Data Source'!B895&lt;&gt;"",'Data Source'!S895="A+"),IF('Data Source'!AC895&gt;=5,"A+",IF('Data Source'!AC895&gt;=4,"A",IF('Data Source'!AC895&gt;=3.5,"A-",IF('Data Source'!AC895&gt;=3,"B",IF('Data Source'!AC895&gt;=2,"C",IF('Data Source'!AC895&gt;=1,"D","F")))))),"")</f>
        <v/>
      </c>
      <c r="L895" s="3">
        <f>IF(AND('Data Source'!B895&lt;&gt;"",'Data Source'!S895="A+"),IF('Data Source'!AD895&gt;=5,"A+",IF('Data Source'!AD895&gt;=4,"A",IF('Data Source'!AD895&gt;=3.5,"A-",IF('Data Source'!AD895&gt;=3,"B",IF('Data Source'!AD895&gt;=2,"C",IF('Data Source'!AD895&gt;=1,"D","F")))))),"")</f>
        <v/>
      </c>
      <c r="M895" s="3">
        <f>IF(AND('Data Source'!B895&lt;&gt;"",'Data Source'!S895="A+"),IF('Data Source'!AE895&gt;=5,"A+",IF('Data Source'!AE895&gt;=4,"A",IF('Data Source'!AE895&gt;=3.5,"A-",IF('Data Source'!AE895&gt;=3,"B",IF('Data Source'!AE895&gt;=2,"C",IF('Data Source'!AE895&gt;=1,"D","F")))))),"")</f>
        <v/>
      </c>
      <c r="N895" s="3">
        <f>IF(AND('Data Source'!B895&lt;&gt;"",'Data Source'!S895="A+"),IF('Data Source'!AF895&gt;=5,"A+",IF('Data Source'!AF895&gt;=4,"A",IF('Data Source'!AF895&gt;=3.5,"A-",IF('Data Source'!AF895&gt;=3,"B",IF('Data Source'!AF895&gt;=2,"C",IF('Data Source'!AF895&gt;=1,"D","F")))))),"")</f>
        <v/>
      </c>
      <c r="O895" s="3">
        <f>IF(AND('Data Source'!B895&lt;&gt;"",'Data Source'!S895="A+"),IF('Data Source'!AG895&gt;=5,"A+",IF('Data Source'!AG895&gt;=4,"A",IF('Data Source'!AG895&gt;=3.5,"A-",IF('Data Source'!AG895&gt;=3,"B",IF('Data Source'!AG895&gt;=2,"C",IF('Data Source'!AG895&gt;=1,"D","F")))))),"")</f>
        <v/>
      </c>
      <c r="P895" s="5">
        <f>IF(AND('Data Source'!B895&lt;&gt;"",'Data Source'!S895="A+"),'Data Source'!R895,"")</f>
        <v/>
      </c>
      <c r="Q895" s="3">
        <f>IF(AND('Data Source'!B895&lt;&gt;"",'Data Source'!S895="A+"),'Data Source'!S895,"")</f>
        <v/>
      </c>
    </row>
    <row r="896">
      <c r="A896" s="3">
        <f>IF(AND('Data Source'!B896&lt;&gt;"",'Data Source'!S896="A+"),COUNTIF('Data Source'!$S$3:S896,"A+"),"")</f>
        <v/>
      </c>
      <c r="B896">
        <f>IF(AND('Data Source'!B896&lt;&gt;"",'Data Source'!S896="A+"),'Data Source'!B896,"")</f>
        <v/>
      </c>
      <c r="C896" s="3">
        <f>IF(AND('Data Source'!B896&lt;&gt;"",'Data Source'!S896="A+"),IF('Data Source'!U896&gt;=5,"A+",IF('Data Source'!U896&gt;=4,"A",IF('Data Source'!U896&gt;=3.5,"A-",IF('Data Source'!U896&gt;=3,"B",IF('Data Source'!U896&gt;=2,"C",IF('Data Source'!U896&gt;=1,"D","F")))))),"")</f>
        <v/>
      </c>
      <c r="D896" s="3">
        <f>IF(AND('Data Source'!B896&lt;&gt;"",'Data Source'!S896="A+"),IF('Data Source'!V896&gt;=5,"A+",IF('Data Source'!V896&gt;=4,"A",IF('Data Source'!V896&gt;=3.5,"A-",IF('Data Source'!V896&gt;=3,"B",IF('Data Source'!V896&gt;=2,"C",IF('Data Source'!V896&gt;=1,"D","F")))))),"")</f>
        <v/>
      </c>
      <c r="E896" s="3">
        <f>IF(AND('Data Source'!B896&lt;&gt;"",'Data Source'!S896="A+"),IF('Data Source'!W896&gt;=5,"A+",IF('Data Source'!W896&gt;=4,"A",IF('Data Source'!W896&gt;=3.5,"A-",IF('Data Source'!W896&gt;=3,"B",IF('Data Source'!W896&gt;=2,"C",IF('Data Source'!W896&gt;=1,"D","F")))))),"")</f>
        <v/>
      </c>
      <c r="F896" s="3">
        <f>IF(AND('Data Source'!B896&lt;&gt;"",'Data Source'!S896="A+"),IF('Data Source'!X896&gt;=5,"A+",IF('Data Source'!X896&gt;=4,"A",IF('Data Source'!X896&gt;=3.5,"A-",IF('Data Source'!X896&gt;=3,"B",IF('Data Source'!X896&gt;=2,"C",IF('Data Source'!X896&gt;=1,"D","F")))))),"")</f>
        <v/>
      </c>
      <c r="G896" s="3">
        <f>IF(AND('Data Source'!B896&lt;&gt;"",'Data Source'!S896="A+"),IF('Data Source'!Y896&gt;=5,"A+",IF('Data Source'!Y896&gt;=4,"A",IF('Data Source'!Y896&gt;=3.5,"A-",IF('Data Source'!Y896&gt;=3,"B",IF('Data Source'!Y896&gt;=2,"C",IF('Data Source'!Y896&gt;=1,"D","F")))))),"")</f>
        <v/>
      </c>
      <c r="H896" s="3">
        <f>IF(AND('Data Source'!B896&lt;&gt;"",'Data Source'!S896="A+"),IF('Data Source'!Z896&gt;=5,"A+",IF('Data Source'!Z896&gt;=4,"A",IF('Data Source'!Z896&gt;=3.5,"A-",IF('Data Source'!Z896&gt;=3,"B",IF('Data Source'!Z896&gt;=2,"C",IF('Data Source'!Z896&gt;=1,"D","F")))))),"")</f>
        <v/>
      </c>
      <c r="I896" s="3">
        <f>IF(AND('Data Source'!B896&lt;&gt;"",'Data Source'!S896="A+"),IF('Data Source'!AA896&gt;=5,"A+",IF('Data Source'!AA896&gt;=4,"A",IF('Data Source'!AA896&gt;=3.5,"A-",IF('Data Source'!AA896&gt;=3,"B",IF('Data Source'!AA896&gt;=2,"C",IF('Data Source'!AA896&gt;=1,"D","F")))))),"")</f>
        <v/>
      </c>
      <c r="J896" s="3">
        <f>IF(AND('Data Source'!B896&lt;&gt;"",'Data Source'!S896="A+"),IF('Data Source'!AB896&gt;=5,"A+",IF('Data Source'!AB896&gt;=4,"A",IF('Data Source'!AB896&gt;=3.5,"A-",IF('Data Source'!AB896&gt;=3,"B",IF('Data Source'!AB896&gt;=2,"C",IF('Data Source'!AB896&gt;=1,"D","F")))))),"")</f>
        <v/>
      </c>
      <c r="K896" s="3">
        <f>IF(AND('Data Source'!B896&lt;&gt;"",'Data Source'!S896="A+"),IF('Data Source'!AC896&gt;=5,"A+",IF('Data Source'!AC896&gt;=4,"A",IF('Data Source'!AC896&gt;=3.5,"A-",IF('Data Source'!AC896&gt;=3,"B",IF('Data Source'!AC896&gt;=2,"C",IF('Data Source'!AC896&gt;=1,"D","F")))))),"")</f>
        <v/>
      </c>
      <c r="L896" s="3">
        <f>IF(AND('Data Source'!B896&lt;&gt;"",'Data Source'!S896="A+"),IF('Data Source'!AD896&gt;=5,"A+",IF('Data Source'!AD896&gt;=4,"A",IF('Data Source'!AD896&gt;=3.5,"A-",IF('Data Source'!AD896&gt;=3,"B",IF('Data Source'!AD896&gt;=2,"C",IF('Data Source'!AD896&gt;=1,"D","F")))))),"")</f>
        <v/>
      </c>
      <c r="M896" s="3">
        <f>IF(AND('Data Source'!B896&lt;&gt;"",'Data Source'!S896="A+"),IF('Data Source'!AE896&gt;=5,"A+",IF('Data Source'!AE896&gt;=4,"A",IF('Data Source'!AE896&gt;=3.5,"A-",IF('Data Source'!AE896&gt;=3,"B",IF('Data Source'!AE896&gt;=2,"C",IF('Data Source'!AE896&gt;=1,"D","F")))))),"")</f>
        <v/>
      </c>
      <c r="N896" s="3">
        <f>IF(AND('Data Source'!B896&lt;&gt;"",'Data Source'!S896="A+"),IF('Data Source'!AF896&gt;=5,"A+",IF('Data Source'!AF896&gt;=4,"A",IF('Data Source'!AF896&gt;=3.5,"A-",IF('Data Source'!AF896&gt;=3,"B",IF('Data Source'!AF896&gt;=2,"C",IF('Data Source'!AF896&gt;=1,"D","F")))))),"")</f>
        <v/>
      </c>
      <c r="O896" s="3">
        <f>IF(AND('Data Source'!B896&lt;&gt;"",'Data Source'!S896="A+"),IF('Data Source'!AG896&gt;=5,"A+",IF('Data Source'!AG896&gt;=4,"A",IF('Data Source'!AG896&gt;=3.5,"A-",IF('Data Source'!AG896&gt;=3,"B",IF('Data Source'!AG896&gt;=2,"C",IF('Data Source'!AG896&gt;=1,"D","F")))))),"")</f>
        <v/>
      </c>
      <c r="P896" s="5">
        <f>IF(AND('Data Source'!B896&lt;&gt;"",'Data Source'!S896="A+"),'Data Source'!R896,"")</f>
        <v/>
      </c>
      <c r="Q896" s="3">
        <f>IF(AND('Data Source'!B896&lt;&gt;"",'Data Source'!S896="A+"),'Data Source'!S896,"")</f>
        <v/>
      </c>
    </row>
    <row r="897">
      <c r="A897" s="3">
        <f>IF(AND('Data Source'!B897&lt;&gt;"",'Data Source'!S897="A+"),COUNTIF('Data Source'!$S$3:S897,"A+"),"")</f>
        <v/>
      </c>
      <c r="B897">
        <f>IF(AND('Data Source'!B897&lt;&gt;"",'Data Source'!S897="A+"),'Data Source'!B897,"")</f>
        <v/>
      </c>
      <c r="C897" s="3">
        <f>IF(AND('Data Source'!B897&lt;&gt;"",'Data Source'!S897="A+"),IF('Data Source'!U897&gt;=5,"A+",IF('Data Source'!U897&gt;=4,"A",IF('Data Source'!U897&gt;=3.5,"A-",IF('Data Source'!U897&gt;=3,"B",IF('Data Source'!U897&gt;=2,"C",IF('Data Source'!U897&gt;=1,"D","F")))))),"")</f>
        <v/>
      </c>
      <c r="D897" s="3">
        <f>IF(AND('Data Source'!B897&lt;&gt;"",'Data Source'!S897="A+"),IF('Data Source'!V897&gt;=5,"A+",IF('Data Source'!V897&gt;=4,"A",IF('Data Source'!V897&gt;=3.5,"A-",IF('Data Source'!V897&gt;=3,"B",IF('Data Source'!V897&gt;=2,"C",IF('Data Source'!V897&gt;=1,"D","F")))))),"")</f>
        <v/>
      </c>
      <c r="E897" s="3">
        <f>IF(AND('Data Source'!B897&lt;&gt;"",'Data Source'!S897="A+"),IF('Data Source'!W897&gt;=5,"A+",IF('Data Source'!W897&gt;=4,"A",IF('Data Source'!W897&gt;=3.5,"A-",IF('Data Source'!W897&gt;=3,"B",IF('Data Source'!W897&gt;=2,"C",IF('Data Source'!W897&gt;=1,"D","F")))))),"")</f>
        <v/>
      </c>
      <c r="F897" s="3">
        <f>IF(AND('Data Source'!B897&lt;&gt;"",'Data Source'!S897="A+"),IF('Data Source'!X897&gt;=5,"A+",IF('Data Source'!X897&gt;=4,"A",IF('Data Source'!X897&gt;=3.5,"A-",IF('Data Source'!X897&gt;=3,"B",IF('Data Source'!X897&gt;=2,"C",IF('Data Source'!X897&gt;=1,"D","F")))))),"")</f>
        <v/>
      </c>
      <c r="G897" s="3">
        <f>IF(AND('Data Source'!B897&lt;&gt;"",'Data Source'!S897="A+"),IF('Data Source'!Y897&gt;=5,"A+",IF('Data Source'!Y897&gt;=4,"A",IF('Data Source'!Y897&gt;=3.5,"A-",IF('Data Source'!Y897&gt;=3,"B",IF('Data Source'!Y897&gt;=2,"C",IF('Data Source'!Y897&gt;=1,"D","F")))))),"")</f>
        <v/>
      </c>
      <c r="H897" s="3">
        <f>IF(AND('Data Source'!B897&lt;&gt;"",'Data Source'!S897="A+"),IF('Data Source'!Z897&gt;=5,"A+",IF('Data Source'!Z897&gt;=4,"A",IF('Data Source'!Z897&gt;=3.5,"A-",IF('Data Source'!Z897&gt;=3,"B",IF('Data Source'!Z897&gt;=2,"C",IF('Data Source'!Z897&gt;=1,"D","F")))))),"")</f>
        <v/>
      </c>
      <c r="I897" s="3">
        <f>IF(AND('Data Source'!B897&lt;&gt;"",'Data Source'!S897="A+"),IF('Data Source'!AA897&gt;=5,"A+",IF('Data Source'!AA897&gt;=4,"A",IF('Data Source'!AA897&gt;=3.5,"A-",IF('Data Source'!AA897&gt;=3,"B",IF('Data Source'!AA897&gt;=2,"C",IF('Data Source'!AA897&gt;=1,"D","F")))))),"")</f>
        <v/>
      </c>
      <c r="J897" s="3">
        <f>IF(AND('Data Source'!B897&lt;&gt;"",'Data Source'!S897="A+"),IF('Data Source'!AB897&gt;=5,"A+",IF('Data Source'!AB897&gt;=4,"A",IF('Data Source'!AB897&gt;=3.5,"A-",IF('Data Source'!AB897&gt;=3,"B",IF('Data Source'!AB897&gt;=2,"C",IF('Data Source'!AB897&gt;=1,"D","F")))))),"")</f>
        <v/>
      </c>
      <c r="K897" s="3">
        <f>IF(AND('Data Source'!B897&lt;&gt;"",'Data Source'!S897="A+"),IF('Data Source'!AC897&gt;=5,"A+",IF('Data Source'!AC897&gt;=4,"A",IF('Data Source'!AC897&gt;=3.5,"A-",IF('Data Source'!AC897&gt;=3,"B",IF('Data Source'!AC897&gt;=2,"C",IF('Data Source'!AC897&gt;=1,"D","F")))))),"")</f>
        <v/>
      </c>
      <c r="L897" s="3">
        <f>IF(AND('Data Source'!B897&lt;&gt;"",'Data Source'!S897="A+"),IF('Data Source'!AD897&gt;=5,"A+",IF('Data Source'!AD897&gt;=4,"A",IF('Data Source'!AD897&gt;=3.5,"A-",IF('Data Source'!AD897&gt;=3,"B",IF('Data Source'!AD897&gt;=2,"C",IF('Data Source'!AD897&gt;=1,"D","F")))))),"")</f>
        <v/>
      </c>
      <c r="M897" s="3">
        <f>IF(AND('Data Source'!B897&lt;&gt;"",'Data Source'!S897="A+"),IF('Data Source'!AE897&gt;=5,"A+",IF('Data Source'!AE897&gt;=4,"A",IF('Data Source'!AE897&gt;=3.5,"A-",IF('Data Source'!AE897&gt;=3,"B",IF('Data Source'!AE897&gt;=2,"C",IF('Data Source'!AE897&gt;=1,"D","F")))))),"")</f>
        <v/>
      </c>
      <c r="N897" s="3">
        <f>IF(AND('Data Source'!B897&lt;&gt;"",'Data Source'!S897="A+"),IF('Data Source'!AF897&gt;=5,"A+",IF('Data Source'!AF897&gt;=4,"A",IF('Data Source'!AF897&gt;=3.5,"A-",IF('Data Source'!AF897&gt;=3,"B",IF('Data Source'!AF897&gt;=2,"C",IF('Data Source'!AF897&gt;=1,"D","F")))))),"")</f>
        <v/>
      </c>
      <c r="O897" s="3">
        <f>IF(AND('Data Source'!B897&lt;&gt;"",'Data Source'!S897="A+"),IF('Data Source'!AG897&gt;=5,"A+",IF('Data Source'!AG897&gt;=4,"A",IF('Data Source'!AG897&gt;=3.5,"A-",IF('Data Source'!AG897&gt;=3,"B",IF('Data Source'!AG897&gt;=2,"C",IF('Data Source'!AG897&gt;=1,"D","F")))))),"")</f>
        <v/>
      </c>
      <c r="P897" s="5">
        <f>IF(AND('Data Source'!B897&lt;&gt;"",'Data Source'!S897="A+"),'Data Source'!R897,"")</f>
        <v/>
      </c>
      <c r="Q897" s="3">
        <f>IF(AND('Data Source'!B897&lt;&gt;"",'Data Source'!S897="A+"),'Data Source'!S897,"")</f>
        <v/>
      </c>
    </row>
    <row r="898">
      <c r="A898" s="3">
        <f>IF(AND('Data Source'!B898&lt;&gt;"",'Data Source'!S898="A+"),COUNTIF('Data Source'!$S$3:S898,"A+"),"")</f>
        <v/>
      </c>
      <c r="B898">
        <f>IF(AND('Data Source'!B898&lt;&gt;"",'Data Source'!S898="A+"),'Data Source'!B898,"")</f>
        <v/>
      </c>
      <c r="C898" s="3">
        <f>IF(AND('Data Source'!B898&lt;&gt;"",'Data Source'!S898="A+"),IF('Data Source'!U898&gt;=5,"A+",IF('Data Source'!U898&gt;=4,"A",IF('Data Source'!U898&gt;=3.5,"A-",IF('Data Source'!U898&gt;=3,"B",IF('Data Source'!U898&gt;=2,"C",IF('Data Source'!U898&gt;=1,"D","F")))))),"")</f>
        <v/>
      </c>
      <c r="D898" s="3">
        <f>IF(AND('Data Source'!B898&lt;&gt;"",'Data Source'!S898="A+"),IF('Data Source'!V898&gt;=5,"A+",IF('Data Source'!V898&gt;=4,"A",IF('Data Source'!V898&gt;=3.5,"A-",IF('Data Source'!V898&gt;=3,"B",IF('Data Source'!V898&gt;=2,"C",IF('Data Source'!V898&gt;=1,"D","F")))))),"")</f>
        <v/>
      </c>
      <c r="E898" s="3">
        <f>IF(AND('Data Source'!B898&lt;&gt;"",'Data Source'!S898="A+"),IF('Data Source'!W898&gt;=5,"A+",IF('Data Source'!W898&gt;=4,"A",IF('Data Source'!W898&gt;=3.5,"A-",IF('Data Source'!W898&gt;=3,"B",IF('Data Source'!W898&gt;=2,"C",IF('Data Source'!W898&gt;=1,"D","F")))))),"")</f>
        <v/>
      </c>
      <c r="F898" s="3">
        <f>IF(AND('Data Source'!B898&lt;&gt;"",'Data Source'!S898="A+"),IF('Data Source'!X898&gt;=5,"A+",IF('Data Source'!X898&gt;=4,"A",IF('Data Source'!X898&gt;=3.5,"A-",IF('Data Source'!X898&gt;=3,"B",IF('Data Source'!X898&gt;=2,"C",IF('Data Source'!X898&gt;=1,"D","F")))))),"")</f>
        <v/>
      </c>
      <c r="G898" s="3">
        <f>IF(AND('Data Source'!B898&lt;&gt;"",'Data Source'!S898="A+"),IF('Data Source'!Y898&gt;=5,"A+",IF('Data Source'!Y898&gt;=4,"A",IF('Data Source'!Y898&gt;=3.5,"A-",IF('Data Source'!Y898&gt;=3,"B",IF('Data Source'!Y898&gt;=2,"C",IF('Data Source'!Y898&gt;=1,"D","F")))))),"")</f>
        <v/>
      </c>
      <c r="H898" s="3">
        <f>IF(AND('Data Source'!B898&lt;&gt;"",'Data Source'!S898="A+"),IF('Data Source'!Z898&gt;=5,"A+",IF('Data Source'!Z898&gt;=4,"A",IF('Data Source'!Z898&gt;=3.5,"A-",IF('Data Source'!Z898&gt;=3,"B",IF('Data Source'!Z898&gt;=2,"C",IF('Data Source'!Z898&gt;=1,"D","F")))))),"")</f>
        <v/>
      </c>
      <c r="I898" s="3">
        <f>IF(AND('Data Source'!B898&lt;&gt;"",'Data Source'!S898="A+"),IF('Data Source'!AA898&gt;=5,"A+",IF('Data Source'!AA898&gt;=4,"A",IF('Data Source'!AA898&gt;=3.5,"A-",IF('Data Source'!AA898&gt;=3,"B",IF('Data Source'!AA898&gt;=2,"C",IF('Data Source'!AA898&gt;=1,"D","F")))))),"")</f>
        <v/>
      </c>
      <c r="J898" s="3">
        <f>IF(AND('Data Source'!B898&lt;&gt;"",'Data Source'!S898="A+"),IF('Data Source'!AB898&gt;=5,"A+",IF('Data Source'!AB898&gt;=4,"A",IF('Data Source'!AB898&gt;=3.5,"A-",IF('Data Source'!AB898&gt;=3,"B",IF('Data Source'!AB898&gt;=2,"C",IF('Data Source'!AB898&gt;=1,"D","F")))))),"")</f>
        <v/>
      </c>
      <c r="K898" s="3">
        <f>IF(AND('Data Source'!B898&lt;&gt;"",'Data Source'!S898="A+"),IF('Data Source'!AC898&gt;=5,"A+",IF('Data Source'!AC898&gt;=4,"A",IF('Data Source'!AC898&gt;=3.5,"A-",IF('Data Source'!AC898&gt;=3,"B",IF('Data Source'!AC898&gt;=2,"C",IF('Data Source'!AC898&gt;=1,"D","F")))))),"")</f>
        <v/>
      </c>
      <c r="L898" s="3">
        <f>IF(AND('Data Source'!B898&lt;&gt;"",'Data Source'!S898="A+"),IF('Data Source'!AD898&gt;=5,"A+",IF('Data Source'!AD898&gt;=4,"A",IF('Data Source'!AD898&gt;=3.5,"A-",IF('Data Source'!AD898&gt;=3,"B",IF('Data Source'!AD898&gt;=2,"C",IF('Data Source'!AD898&gt;=1,"D","F")))))),"")</f>
        <v/>
      </c>
      <c r="M898" s="3">
        <f>IF(AND('Data Source'!B898&lt;&gt;"",'Data Source'!S898="A+"),IF('Data Source'!AE898&gt;=5,"A+",IF('Data Source'!AE898&gt;=4,"A",IF('Data Source'!AE898&gt;=3.5,"A-",IF('Data Source'!AE898&gt;=3,"B",IF('Data Source'!AE898&gt;=2,"C",IF('Data Source'!AE898&gt;=1,"D","F")))))),"")</f>
        <v/>
      </c>
      <c r="N898" s="3">
        <f>IF(AND('Data Source'!B898&lt;&gt;"",'Data Source'!S898="A+"),IF('Data Source'!AF898&gt;=5,"A+",IF('Data Source'!AF898&gt;=4,"A",IF('Data Source'!AF898&gt;=3.5,"A-",IF('Data Source'!AF898&gt;=3,"B",IF('Data Source'!AF898&gt;=2,"C",IF('Data Source'!AF898&gt;=1,"D","F")))))),"")</f>
        <v/>
      </c>
      <c r="O898" s="3">
        <f>IF(AND('Data Source'!B898&lt;&gt;"",'Data Source'!S898="A+"),IF('Data Source'!AG898&gt;=5,"A+",IF('Data Source'!AG898&gt;=4,"A",IF('Data Source'!AG898&gt;=3.5,"A-",IF('Data Source'!AG898&gt;=3,"B",IF('Data Source'!AG898&gt;=2,"C",IF('Data Source'!AG898&gt;=1,"D","F")))))),"")</f>
        <v/>
      </c>
      <c r="P898" s="5">
        <f>IF(AND('Data Source'!B898&lt;&gt;"",'Data Source'!S898="A+"),'Data Source'!R898,"")</f>
        <v/>
      </c>
      <c r="Q898" s="3">
        <f>IF(AND('Data Source'!B898&lt;&gt;"",'Data Source'!S898="A+"),'Data Source'!S898,"")</f>
        <v/>
      </c>
    </row>
    <row r="899">
      <c r="A899" s="3">
        <f>IF(AND('Data Source'!B899&lt;&gt;"",'Data Source'!S899="A+"),COUNTIF('Data Source'!$S$3:S899,"A+"),"")</f>
        <v/>
      </c>
      <c r="B899">
        <f>IF(AND('Data Source'!B899&lt;&gt;"",'Data Source'!S899="A+"),'Data Source'!B899,"")</f>
        <v/>
      </c>
      <c r="C899" s="3">
        <f>IF(AND('Data Source'!B899&lt;&gt;"",'Data Source'!S899="A+"),IF('Data Source'!U899&gt;=5,"A+",IF('Data Source'!U899&gt;=4,"A",IF('Data Source'!U899&gt;=3.5,"A-",IF('Data Source'!U899&gt;=3,"B",IF('Data Source'!U899&gt;=2,"C",IF('Data Source'!U899&gt;=1,"D","F")))))),"")</f>
        <v/>
      </c>
      <c r="D899" s="3">
        <f>IF(AND('Data Source'!B899&lt;&gt;"",'Data Source'!S899="A+"),IF('Data Source'!V899&gt;=5,"A+",IF('Data Source'!V899&gt;=4,"A",IF('Data Source'!V899&gt;=3.5,"A-",IF('Data Source'!V899&gt;=3,"B",IF('Data Source'!V899&gt;=2,"C",IF('Data Source'!V899&gt;=1,"D","F")))))),"")</f>
        <v/>
      </c>
      <c r="E899" s="3">
        <f>IF(AND('Data Source'!B899&lt;&gt;"",'Data Source'!S899="A+"),IF('Data Source'!W899&gt;=5,"A+",IF('Data Source'!W899&gt;=4,"A",IF('Data Source'!W899&gt;=3.5,"A-",IF('Data Source'!W899&gt;=3,"B",IF('Data Source'!W899&gt;=2,"C",IF('Data Source'!W899&gt;=1,"D","F")))))),"")</f>
        <v/>
      </c>
      <c r="F899" s="3">
        <f>IF(AND('Data Source'!B899&lt;&gt;"",'Data Source'!S899="A+"),IF('Data Source'!X899&gt;=5,"A+",IF('Data Source'!X899&gt;=4,"A",IF('Data Source'!X899&gt;=3.5,"A-",IF('Data Source'!X899&gt;=3,"B",IF('Data Source'!X899&gt;=2,"C",IF('Data Source'!X899&gt;=1,"D","F")))))),"")</f>
        <v/>
      </c>
      <c r="G899" s="3">
        <f>IF(AND('Data Source'!B899&lt;&gt;"",'Data Source'!S899="A+"),IF('Data Source'!Y899&gt;=5,"A+",IF('Data Source'!Y899&gt;=4,"A",IF('Data Source'!Y899&gt;=3.5,"A-",IF('Data Source'!Y899&gt;=3,"B",IF('Data Source'!Y899&gt;=2,"C",IF('Data Source'!Y899&gt;=1,"D","F")))))),"")</f>
        <v/>
      </c>
      <c r="H899" s="3">
        <f>IF(AND('Data Source'!B899&lt;&gt;"",'Data Source'!S899="A+"),IF('Data Source'!Z899&gt;=5,"A+",IF('Data Source'!Z899&gt;=4,"A",IF('Data Source'!Z899&gt;=3.5,"A-",IF('Data Source'!Z899&gt;=3,"B",IF('Data Source'!Z899&gt;=2,"C",IF('Data Source'!Z899&gt;=1,"D","F")))))),"")</f>
        <v/>
      </c>
      <c r="I899" s="3">
        <f>IF(AND('Data Source'!B899&lt;&gt;"",'Data Source'!S899="A+"),IF('Data Source'!AA899&gt;=5,"A+",IF('Data Source'!AA899&gt;=4,"A",IF('Data Source'!AA899&gt;=3.5,"A-",IF('Data Source'!AA899&gt;=3,"B",IF('Data Source'!AA899&gt;=2,"C",IF('Data Source'!AA899&gt;=1,"D","F")))))),"")</f>
        <v/>
      </c>
      <c r="J899" s="3">
        <f>IF(AND('Data Source'!B899&lt;&gt;"",'Data Source'!S899="A+"),IF('Data Source'!AB899&gt;=5,"A+",IF('Data Source'!AB899&gt;=4,"A",IF('Data Source'!AB899&gt;=3.5,"A-",IF('Data Source'!AB899&gt;=3,"B",IF('Data Source'!AB899&gt;=2,"C",IF('Data Source'!AB899&gt;=1,"D","F")))))),"")</f>
        <v/>
      </c>
      <c r="K899" s="3">
        <f>IF(AND('Data Source'!B899&lt;&gt;"",'Data Source'!S899="A+"),IF('Data Source'!AC899&gt;=5,"A+",IF('Data Source'!AC899&gt;=4,"A",IF('Data Source'!AC899&gt;=3.5,"A-",IF('Data Source'!AC899&gt;=3,"B",IF('Data Source'!AC899&gt;=2,"C",IF('Data Source'!AC899&gt;=1,"D","F")))))),"")</f>
        <v/>
      </c>
      <c r="L899" s="3">
        <f>IF(AND('Data Source'!B899&lt;&gt;"",'Data Source'!S899="A+"),IF('Data Source'!AD899&gt;=5,"A+",IF('Data Source'!AD899&gt;=4,"A",IF('Data Source'!AD899&gt;=3.5,"A-",IF('Data Source'!AD899&gt;=3,"B",IF('Data Source'!AD899&gt;=2,"C",IF('Data Source'!AD899&gt;=1,"D","F")))))),"")</f>
        <v/>
      </c>
      <c r="M899" s="3">
        <f>IF(AND('Data Source'!B899&lt;&gt;"",'Data Source'!S899="A+"),IF('Data Source'!AE899&gt;=5,"A+",IF('Data Source'!AE899&gt;=4,"A",IF('Data Source'!AE899&gt;=3.5,"A-",IF('Data Source'!AE899&gt;=3,"B",IF('Data Source'!AE899&gt;=2,"C",IF('Data Source'!AE899&gt;=1,"D","F")))))),"")</f>
        <v/>
      </c>
      <c r="N899" s="3">
        <f>IF(AND('Data Source'!B899&lt;&gt;"",'Data Source'!S899="A+"),IF('Data Source'!AF899&gt;=5,"A+",IF('Data Source'!AF899&gt;=4,"A",IF('Data Source'!AF899&gt;=3.5,"A-",IF('Data Source'!AF899&gt;=3,"B",IF('Data Source'!AF899&gt;=2,"C",IF('Data Source'!AF899&gt;=1,"D","F")))))),"")</f>
        <v/>
      </c>
      <c r="O899" s="3">
        <f>IF(AND('Data Source'!B899&lt;&gt;"",'Data Source'!S899="A+"),IF('Data Source'!AG899&gt;=5,"A+",IF('Data Source'!AG899&gt;=4,"A",IF('Data Source'!AG899&gt;=3.5,"A-",IF('Data Source'!AG899&gt;=3,"B",IF('Data Source'!AG899&gt;=2,"C",IF('Data Source'!AG899&gt;=1,"D","F")))))),"")</f>
        <v/>
      </c>
      <c r="P899" s="5">
        <f>IF(AND('Data Source'!B899&lt;&gt;"",'Data Source'!S899="A+"),'Data Source'!R899,"")</f>
        <v/>
      </c>
      <c r="Q899" s="3">
        <f>IF(AND('Data Source'!B899&lt;&gt;"",'Data Source'!S899="A+"),'Data Source'!S899,"")</f>
        <v/>
      </c>
    </row>
    <row r="900">
      <c r="A900" s="3">
        <f>IF(AND('Data Source'!B900&lt;&gt;"",'Data Source'!S900="A+"),COUNTIF('Data Source'!$S$3:S900,"A+"),"")</f>
        <v/>
      </c>
      <c r="B900">
        <f>IF(AND('Data Source'!B900&lt;&gt;"",'Data Source'!S900="A+"),'Data Source'!B900,"")</f>
        <v/>
      </c>
      <c r="C900" s="3">
        <f>IF(AND('Data Source'!B900&lt;&gt;"",'Data Source'!S900="A+"),IF('Data Source'!U900&gt;=5,"A+",IF('Data Source'!U900&gt;=4,"A",IF('Data Source'!U900&gt;=3.5,"A-",IF('Data Source'!U900&gt;=3,"B",IF('Data Source'!U900&gt;=2,"C",IF('Data Source'!U900&gt;=1,"D","F")))))),"")</f>
        <v/>
      </c>
      <c r="D900" s="3">
        <f>IF(AND('Data Source'!B900&lt;&gt;"",'Data Source'!S900="A+"),IF('Data Source'!V900&gt;=5,"A+",IF('Data Source'!V900&gt;=4,"A",IF('Data Source'!V900&gt;=3.5,"A-",IF('Data Source'!V900&gt;=3,"B",IF('Data Source'!V900&gt;=2,"C",IF('Data Source'!V900&gt;=1,"D","F")))))),"")</f>
        <v/>
      </c>
      <c r="E900" s="3">
        <f>IF(AND('Data Source'!B900&lt;&gt;"",'Data Source'!S900="A+"),IF('Data Source'!W900&gt;=5,"A+",IF('Data Source'!W900&gt;=4,"A",IF('Data Source'!W900&gt;=3.5,"A-",IF('Data Source'!W900&gt;=3,"B",IF('Data Source'!W900&gt;=2,"C",IF('Data Source'!W900&gt;=1,"D","F")))))),"")</f>
        <v/>
      </c>
      <c r="F900" s="3">
        <f>IF(AND('Data Source'!B900&lt;&gt;"",'Data Source'!S900="A+"),IF('Data Source'!X900&gt;=5,"A+",IF('Data Source'!X900&gt;=4,"A",IF('Data Source'!X900&gt;=3.5,"A-",IF('Data Source'!X900&gt;=3,"B",IF('Data Source'!X900&gt;=2,"C",IF('Data Source'!X900&gt;=1,"D","F")))))),"")</f>
        <v/>
      </c>
      <c r="G900" s="3">
        <f>IF(AND('Data Source'!B900&lt;&gt;"",'Data Source'!S900="A+"),IF('Data Source'!Y900&gt;=5,"A+",IF('Data Source'!Y900&gt;=4,"A",IF('Data Source'!Y900&gt;=3.5,"A-",IF('Data Source'!Y900&gt;=3,"B",IF('Data Source'!Y900&gt;=2,"C",IF('Data Source'!Y900&gt;=1,"D","F")))))),"")</f>
        <v/>
      </c>
      <c r="H900" s="3">
        <f>IF(AND('Data Source'!B900&lt;&gt;"",'Data Source'!S900="A+"),IF('Data Source'!Z900&gt;=5,"A+",IF('Data Source'!Z900&gt;=4,"A",IF('Data Source'!Z900&gt;=3.5,"A-",IF('Data Source'!Z900&gt;=3,"B",IF('Data Source'!Z900&gt;=2,"C",IF('Data Source'!Z900&gt;=1,"D","F")))))),"")</f>
        <v/>
      </c>
      <c r="I900" s="3">
        <f>IF(AND('Data Source'!B900&lt;&gt;"",'Data Source'!S900="A+"),IF('Data Source'!AA900&gt;=5,"A+",IF('Data Source'!AA900&gt;=4,"A",IF('Data Source'!AA900&gt;=3.5,"A-",IF('Data Source'!AA900&gt;=3,"B",IF('Data Source'!AA900&gt;=2,"C",IF('Data Source'!AA900&gt;=1,"D","F")))))),"")</f>
        <v/>
      </c>
      <c r="J900" s="3">
        <f>IF(AND('Data Source'!B900&lt;&gt;"",'Data Source'!S900="A+"),IF('Data Source'!AB900&gt;=5,"A+",IF('Data Source'!AB900&gt;=4,"A",IF('Data Source'!AB900&gt;=3.5,"A-",IF('Data Source'!AB900&gt;=3,"B",IF('Data Source'!AB900&gt;=2,"C",IF('Data Source'!AB900&gt;=1,"D","F")))))),"")</f>
        <v/>
      </c>
      <c r="K900" s="3">
        <f>IF(AND('Data Source'!B900&lt;&gt;"",'Data Source'!S900="A+"),IF('Data Source'!AC900&gt;=5,"A+",IF('Data Source'!AC900&gt;=4,"A",IF('Data Source'!AC900&gt;=3.5,"A-",IF('Data Source'!AC900&gt;=3,"B",IF('Data Source'!AC900&gt;=2,"C",IF('Data Source'!AC900&gt;=1,"D","F")))))),"")</f>
        <v/>
      </c>
      <c r="L900" s="3">
        <f>IF(AND('Data Source'!B900&lt;&gt;"",'Data Source'!S900="A+"),IF('Data Source'!AD900&gt;=5,"A+",IF('Data Source'!AD900&gt;=4,"A",IF('Data Source'!AD900&gt;=3.5,"A-",IF('Data Source'!AD900&gt;=3,"B",IF('Data Source'!AD900&gt;=2,"C",IF('Data Source'!AD900&gt;=1,"D","F")))))),"")</f>
        <v/>
      </c>
      <c r="M900" s="3">
        <f>IF(AND('Data Source'!B900&lt;&gt;"",'Data Source'!S900="A+"),IF('Data Source'!AE900&gt;=5,"A+",IF('Data Source'!AE900&gt;=4,"A",IF('Data Source'!AE900&gt;=3.5,"A-",IF('Data Source'!AE900&gt;=3,"B",IF('Data Source'!AE900&gt;=2,"C",IF('Data Source'!AE900&gt;=1,"D","F")))))),"")</f>
        <v/>
      </c>
      <c r="N900" s="3">
        <f>IF(AND('Data Source'!B900&lt;&gt;"",'Data Source'!S900="A+"),IF('Data Source'!AF900&gt;=5,"A+",IF('Data Source'!AF900&gt;=4,"A",IF('Data Source'!AF900&gt;=3.5,"A-",IF('Data Source'!AF900&gt;=3,"B",IF('Data Source'!AF900&gt;=2,"C",IF('Data Source'!AF900&gt;=1,"D","F")))))),"")</f>
        <v/>
      </c>
      <c r="O900" s="3">
        <f>IF(AND('Data Source'!B900&lt;&gt;"",'Data Source'!S900="A+"),IF('Data Source'!AG900&gt;=5,"A+",IF('Data Source'!AG900&gt;=4,"A",IF('Data Source'!AG900&gt;=3.5,"A-",IF('Data Source'!AG900&gt;=3,"B",IF('Data Source'!AG900&gt;=2,"C",IF('Data Source'!AG900&gt;=1,"D","F")))))),"")</f>
        <v/>
      </c>
      <c r="P900" s="5">
        <f>IF(AND('Data Source'!B900&lt;&gt;"",'Data Source'!S900="A+"),'Data Source'!R900,"")</f>
        <v/>
      </c>
      <c r="Q900" s="3">
        <f>IF(AND('Data Source'!B900&lt;&gt;"",'Data Source'!S900="A+"),'Data Source'!S900,"")</f>
        <v/>
      </c>
    </row>
    <row r="901">
      <c r="A901" s="3">
        <f>IF(AND('Data Source'!B901&lt;&gt;"",'Data Source'!S901="A+"),COUNTIF('Data Source'!$S$3:S901,"A+"),"")</f>
        <v/>
      </c>
      <c r="B901">
        <f>IF(AND('Data Source'!B901&lt;&gt;"",'Data Source'!S901="A+"),'Data Source'!B901,"")</f>
        <v/>
      </c>
      <c r="C901" s="3">
        <f>IF(AND('Data Source'!B901&lt;&gt;"",'Data Source'!S901="A+"),IF('Data Source'!U901&gt;=5,"A+",IF('Data Source'!U901&gt;=4,"A",IF('Data Source'!U901&gt;=3.5,"A-",IF('Data Source'!U901&gt;=3,"B",IF('Data Source'!U901&gt;=2,"C",IF('Data Source'!U901&gt;=1,"D","F")))))),"")</f>
        <v/>
      </c>
      <c r="D901" s="3">
        <f>IF(AND('Data Source'!B901&lt;&gt;"",'Data Source'!S901="A+"),IF('Data Source'!V901&gt;=5,"A+",IF('Data Source'!V901&gt;=4,"A",IF('Data Source'!V901&gt;=3.5,"A-",IF('Data Source'!V901&gt;=3,"B",IF('Data Source'!V901&gt;=2,"C",IF('Data Source'!V901&gt;=1,"D","F")))))),"")</f>
        <v/>
      </c>
      <c r="E901" s="3">
        <f>IF(AND('Data Source'!B901&lt;&gt;"",'Data Source'!S901="A+"),IF('Data Source'!W901&gt;=5,"A+",IF('Data Source'!W901&gt;=4,"A",IF('Data Source'!W901&gt;=3.5,"A-",IF('Data Source'!W901&gt;=3,"B",IF('Data Source'!W901&gt;=2,"C",IF('Data Source'!W901&gt;=1,"D","F")))))),"")</f>
        <v/>
      </c>
      <c r="F901" s="3">
        <f>IF(AND('Data Source'!B901&lt;&gt;"",'Data Source'!S901="A+"),IF('Data Source'!X901&gt;=5,"A+",IF('Data Source'!X901&gt;=4,"A",IF('Data Source'!X901&gt;=3.5,"A-",IF('Data Source'!X901&gt;=3,"B",IF('Data Source'!X901&gt;=2,"C",IF('Data Source'!X901&gt;=1,"D","F")))))),"")</f>
        <v/>
      </c>
      <c r="G901" s="3">
        <f>IF(AND('Data Source'!B901&lt;&gt;"",'Data Source'!S901="A+"),IF('Data Source'!Y901&gt;=5,"A+",IF('Data Source'!Y901&gt;=4,"A",IF('Data Source'!Y901&gt;=3.5,"A-",IF('Data Source'!Y901&gt;=3,"B",IF('Data Source'!Y901&gt;=2,"C",IF('Data Source'!Y901&gt;=1,"D","F")))))),"")</f>
        <v/>
      </c>
      <c r="H901" s="3">
        <f>IF(AND('Data Source'!B901&lt;&gt;"",'Data Source'!S901="A+"),IF('Data Source'!Z901&gt;=5,"A+",IF('Data Source'!Z901&gt;=4,"A",IF('Data Source'!Z901&gt;=3.5,"A-",IF('Data Source'!Z901&gt;=3,"B",IF('Data Source'!Z901&gt;=2,"C",IF('Data Source'!Z901&gt;=1,"D","F")))))),"")</f>
        <v/>
      </c>
      <c r="I901" s="3">
        <f>IF(AND('Data Source'!B901&lt;&gt;"",'Data Source'!S901="A+"),IF('Data Source'!AA901&gt;=5,"A+",IF('Data Source'!AA901&gt;=4,"A",IF('Data Source'!AA901&gt;=3.5,"A-",IF('Data Source'!AA901&gt;=3,"B",IF('Data Source'!AA901&gt;=2,"C",IF('Data Source'!AA901&gt;=1,"D","F")))))),"")</f>
        <v/>
      </c>
      <c r="J901" s="3">
        <f>IF(AND('Data Source'!B901&lt;&gt;"",'Data Source'!S901="A+"),IF('Data Source'!AB901&gt;=5,"A+",IF('Data Source'!AB901&gt;=4,"A",IF('Data Source'!AB901&gt;=3.5,"A-",IF('Data Source'!AB901&gt;=3,"B",IF('Data Source'!AB901&gt;=2,"C",IF('Data Source'!AB901&gt;=1,"D","F")))))),"")</f>
        <v/>
      </c>
      <c r="K901" s="3">
        <f>IF(AND('Data Source'!B901&lt;&gt;"",'Data Source'!S901="A+"),IF('Data Source'!AC901&gt;=5,"A+",IF('Data Source'!AC901&gt;=4,"A",IF('Data Source'!AC901&gt;=3.5,"A-",IF('Data Source'!AC901&gt;=3,"B",IF('Data Source'!AC901&gt;=2,"C",IF('Data Source'!AC901&gt;=1,"D","F")))))),"")</f>
        <v/>
      </c>
      <c r="L901" s="3">
        <f>IF(AND('Data Source'!B901&lt;&gt;"",'Data Source'!S901="A+"),IF('Data Source'!AD901&gt;=5,"A+",IF('Data Source'!AD901&gt;=4,"A",IF('Data Source'!AD901&gt;=3.5,"A-",IF('Data Source'!AD901&gt;=3,"B",IF('Data Source'!AD901&gt;=2,"C",IF('Data Source'!AD901&gt;=1,"D","F")))))),"")</f>
        <v/>
      </c>
      <c r="M901" s="3">
        <f>IF(AND('Data Source'!B901&lt;&gt;"",'Data Source'!S901="A+"),IF('Data Source'!AE901&gt;=5,"A+",IF('Data Source'!AE901&gt;=4,"A",IF('Data Source'!AE901&gt;=3.5,"A-",IF('Data Source'!AE901&gt;=3,"B",IF('Data Source'!AE901&gt;=2,"C",IF('Data Source'!AE901&gt;=1,"D","F")))))),"")</f>
        <v/>
      </c>
      <c r="N901" s="3">
        <f>IF(AND('Data Source'!B901&lt;&gt;"",'Data Source'!S901="A+"),IF('Data Source'!AF901&gt;=5,"A+",IF('Data Source'!AF901&gt;=4,"A",IF('Data Source'!AF901&gt;=3.5,"A-",IF('Data Source'!AF901&gt;=3,"B",IF('Data Source'!AF901&gt;=2,"C",IF('Data Source'!AF901&gt;=1,"D","F")))))),"")</f>
        <v/>
      </c>
      <c r="O901" s="3">
        <f>IF(AND('Data Source'!B901&lt;&gt;"",'Data Source'!S901="A+"),IF('Data Source'!AG901&gt;=5,"A+",IF('Data Source'!AG901&gt;=4,"A",IF('Data Source'!AG901&gt;=3.5,"A-",IF('Data Source'!AG901&gt;=3,"B",IF('Data Source'!AG901&gt;=2,"C",IF('Data Source'!AG901&gt;=1,"D","F")))))),"")</f>
        <v/>
      </c>
      <c r="P901" s="5">
        <f>IF(AND('Data Source'!B901&lt;&gt;"",'Data Source'!S901="A+"),'Data Source'!R901,"")</f>
        <v/>
      </c>
      <c r="Q901" s="3">
        <f>IF(AND('Data Source'!B901&lt;&gt;"",'Data Source'!S901="A+"),'Data Source'!S901,"")</f>
        <v/>
      </c>
    </row>
    <row r="902">
      <c r="A902" s="3">
        <f>IF(AND('Data Source'!B902&lt;&gt;"",'Data Source'!S902="A+"),COUNTIF('Data Source'!$S$3:S902,"A+"),"")</f>
        <v/>
      </c>
      <c r="B902">
        <f>IF(AND('Data Source'!B902&lt;&gt;"",'Data Source'!S902="A+"),'Data Source'!B902,"")</f>
        <v/>
      </c>
      <c r="C902" s="3">
        <f>IF(AND('Data Source'!B902&lt;&gt;"",'Data Source'!S902="A+"),IF('Data Source'!U902&gt;=5,"A+",IF('Data Source'!U902&gt;=4,"A",IF('Data Source'!U902&gt;=3.5,"A-",IF('Data Source'!U902&gt;=3,"B",IF('Data Source'!U902&gt;=2,"C",IF('Data Source'!U902&gt;=1,"D","F")))))),"")</f>
        <v/>
      </c>
      <c r="D902" s="3">
        <f>IF(AND('Data Source'!B902&lt;&gt;"",'Data Source'!S902="A+"),IF('Data Source'!V902&gt;=5,"A+",IF('Data Source'!V902&gt;=4,"A",IF('Data Source'!V902&gt;=3.5,"A-",IF('Data Source'!V902&gt;=3,"B",IF('Data Source'!V902&gt;=2,"C",IF('Data Source'!V902&gt;=1,"D","F")))))),"")</f>
        <v/>
      </c>
      <c r="E902" s="3">
        <f>IF(AND('Data Source'!B902&lt;&gt;"",'Data Source'!S902="A+"),IF('Data Source'!W902&gt;=5,"A+",IF('Data Source'!W902&gt;=4,"A",IF('Data Source'!W902&gt;=3.5,"A-",IF('Data Source'!W902&gt;=3,"B",IF('Data Source'!W902&gt;=2,"C",IF('Data Source'!W902&gt;=1,"D","F")))))),"")</f>
        <v/>
      </c>
      <c r="F902" s="3">
        <f>IF(AND('Data Source'!B902&lt;&gt;"",'Data Source'!S902="A+"),IF('Data Source'!X902&gt;=5,"A+",IF('Data Source'!X902&gt;=4,"A",IF('Data Source'!X902&gt;=3.5,"A-",IF('Data Source'!X902&gt;=3,"B",IF('Data Source'!X902&gt;=2,"C",IF('Data Source'!X902&gt;=1,"D","F")))))),"")</f>
        <v/>
      </c>
      <c r="G902" s="3">
        <f>IF(AND('Data Source'!B902&lt;&gt;"",'Data Source'!S902="A+"),IF('Data Source'!Y902&gt;=5,"A+",IF('Data Source'!Y902&gt;=4,"A",IF('Data Source'!Y902&gt;=3.5,"A-",IF('Data Source'!Y902&gt;=3,"B",IF('Data Source'!Y902&gt;=2,"C",IF('Data Source'!Y902&gt;=1,"D","F")))))),"")</f>
        <v/>
      </c>
      <c r="H902" s="3">
        <f>IF(AND('Data Source'!B902&lt;&gt;"",'Data Source'!S902="A+"),IF('Data Source'!Z902&gt;=5,"A+",IF('Data Source'!Z902&gt;=4,"A",IF('Data Source'!Z902&gt;=3.5,"A-",IF('Data Source'!Z902&gt;=3,"B",IF('Data Source'!Z902&gt;=2,"C",IF('Data Source'!Z902&gt;=1,"D","F")))))),"")</f>
        <v/>
      </c>
      <c r="I902" s="3">
        <f>IF(AND('Data Source'!B902&lt;&gt;"",'Data Source'!S902="A+"),IF('Data Source'!AA902&gt;=5,"A+",IF('Data Source'!AA902&gt;=4,"A",IF('Data Source'!AA902&gt;=3.5,"A-",IF('Data Source'!AA902&gt;=3,"B",IF('Data Source'!AA902&gt;=2,"C",IF('Data Source'!AA902&gt;=1,"D","F")))))),"")</f>
        <v/>
      </c>
      <c r="J902" s="3">
        <f>IF(AND('Data Source'!B902&lt;&gt;"",'Data Source'!S902="A+"),IF('Data Source'!AB902&gt;=5,"A+",IF('Data Source'!AB902&gt;=4,"A",IF('Data Source'!AB902&gt;=3.5,"A-",IF('Data Source'!AB902&gt;=3,"B",IF('Data Source'!AB902&gt;=2,"C",IF('Data Source'!AB902&gt;=1,"D","F")))))),"")</f>
        <v/>
      </c>
      <c r="K902" s="3">
        <f>IF(AND('Data Source'!B902&lt;&gt;"",'Data Source'!S902="A+"),IF('Data Source'!AC902&gt;=5,"A+",IF('Data Source'!AC902&gt;=4,"A",IF('Data Source'!AC902&gt;=3.5,"A-",IF('Data Source'!AC902&gt;=3,"B",IF('Data Source'!AC902&gt;=2,"C",IF('Data Source'!AC902&gt;=1,"D","F")))))),"")</f>
        <v/>
      </c>
      <c r="L902" s="3">
        <f>IF(AND('Data Source'!B902&lt;&gt;"",'Data Source'!S902="A+"),IF('Data Source'!AD902&gt;=5,"A+",IF('Data Source'!AD902&gt;=4,"A",IF('Data Source'!AD902&gt;=3.5,"A-",IF('Data Source'!AD902&gt;=3,"B",IF('Data Source'!AD902&gt;=2,"C",IF('Data Source'!AD902&gt;=1,"D","F")))))),"")</f>
        <v/>
      </c>
      <c r="M902" s="3">
        <f>IF(AND('Data Source'!B902&lt;&gt;"",'Data Source'!S902="A+"),IF('Data Source'!AE902&gt;=5,"A+",IF('Data Source'!AE902&gt;=4,"A",IF('Data Source'!AE902&gt;=3.5,"A-",IF('Data Source'!AE902&gt;=3,"B",IF('Data Source'!AE902&gt;=2,"C",IF('Data Source'!AE902&gt;=1,"D","F")))))),"")</f>
        <v/>
      </c>
      <c r="N902" s="3">
        <f>IF(AND('Data Source'!B902&lt;&gt;"",'Data Source'!S902="A+"),IF('Data Source'!AF902&gt;=5,"A+",IF('Data Source'!AF902&gt;=4,"A",IF('Data Source'!AF902&gt;=3.5,"A-",IF('Data Source'!AF902&gt;=3,"B",IF('Data Source'!AF902&gt;=2,"C",IF('Data Source'!AF902&gt;=1,"D","F")))))),"")</f>
        <v/>
      </c>
      <c r="O902" s="3">
        <f>IF(AND('Data Source'!B902&lt;&gt;"",'Data Source'!S902="A+"),IF('Data Source'!AG902&gt;=5,"A+",IF('Data Source'!AG902&gt;=4,"A",IF('Data Source'!AG902&gt;=3.5,"A-",IF('Data Source'!AG902&gt;=3,"B",IF('Data Source'!AG902&gt;=2,"C",IF('Data Source'!AG902&gt;=1,"D","F")))))),"")</f>
        <v/>
      </c>
      <c r="P902" s="5">
        <f>IF(AND('Data Source'!B902&lt;&gt;"",'Data Source'!S902="A+"),'Data Source'!R902,"")</f>
        <v/>
      </c>
      <c r="Q902" s="3">
        <f>IF(AND('Data Source'!B902&lt;&gt;"",'Data Source'!S902="A+"),'Data Source'!S902,"")</f>
        <v/>
      </c>
    </row>
    <row r="903">
      <c r="A903" s="3">
        <f>IF(AND('Data Source'!B903&lt;&gt;"",'Data Source'!S903="A+"),COUNTIF('Data Source'!$S$3:S903,"A+"),"")</f>
        <v/>
      </c>
      <c r="B903">
        <f>IF(AND('Data Source'!B903&lt;&gt;"",'Data Source'!S903="A+"),'Data Source'!B903,"")</f>
        <v/>
      </c>
      <c r="C903" s="3">
        <f>IF(AND('Data Source'!B903&lt;&gt;"",'Data Source'!S903="A+"),IF('Data Source'!U903&gt;=5,"A+",IF('Data Source'!U903&gt;=4,"A",IF('Data Source'!U903&gt;=3.5,"A-",IF('Data Source'!U903&gt;=3,"B",IF('Data Source'!U903&gt;=2,"C",IF('Data Source'!U903&gt;=1,"D","F")))))),"")</f>
        <v/>
      </c>
      <c r="D903" s="3">
        <f>IF(AND('Data Source'!B903&lt;&gt;"",'Data Source'!S903="A+"),IF('Data Source'!V903&gt;=5,"A+",IF('Data Source'!V903&gt;=4,"A",IF('Data Source'!V903&gt;=3.5,"A-",IF('Data Source'!V903&gt;=3,"B",IF('Data Source'!V903&gt;=2,"C",IF('Data Source'!V903&gt;=1,"D","F")))))),"")</f>
        <v/>
      </c>
      <c r="E903" s="3">
        <f>IF(AND('Data Source'!B903&lt;&gt;"",'Data Source'!S903="A+"),IF('Data Source'!W903&gt;=5,"A+",IF('Data Source'!W903&gt;=4,"A",IF('Data Source'!W903&gt;=3.5,"A-",IF('Data Source'!W903&gt;=3,"B",IF('Data Source'!W903&gt;=2,"C",IF('Data Source'!W903&gt;=1,"D","F")))))),"")</f>
        <v/>
      </c>
      <c r="F903" s="3">
        <f>IF(AND('Data Source'!B903&lt;&gt;"",'Data Source'!S903="A+"),IF('Data Source'!X903&gt;=5,"A+",IF('Data Source'!X903&gt;=4,"A",IF('Data Source'!X903&gt;=3.5,"A-",IF('Data Source'!X903&gt;=3,"B",IF('Data Source'!X903&gt;=2,"C",IF('Data Source'!X903&gt;=1,"D","F")))))),"")</f>
        <v/>
      </c>
      <c r="G903" s="3">
        <f>IF(AND('Data Source'!B903&lt;&gt;"",'Data Source'!S903="A+"),IF('Data Source'!Y903&gt;=5,"A+",IF('Data Source'!Y903&gt;=4,"A",IF('Data Source'!Y903&gt;=3.5,"A-",IF('Data Source'!Y903&gt;=3,"B",IF('Data Source'!Y903&gt;=2,"C",IF('Data Source'!Y903&gt;=1,"D","F")))))),"")</f>
        <v/>
      </c>
      <c r="H903" s="3">
        <f>IF(AND('Data Source'!B903&lt;&gt;"",'Data Source'!S903="A+"),IF('Data Source'!Z903&gt;=5,"A+",IF('Data Source'!Z903&gt;=4,"A",IF('Data Source'!Z903&gt;=3.5,"A-",IF('Data Source'!Z903&gt;=3,"B",IF('Data Source'!Z903&gt;=2,"C",IF('Data Source'!Z903&gt;=1,"D","F")))))),"")</f>
        <v/>
      </c>
      <c r="I903" s="3">
        <f>IF(AND('Data Source'!B903&lt;&gt;"",'Data Source'!S903="A+"),IF('Data Source'!AA903&gt;=5,"A+",IF('Data Source'!AA903&gt;=4,"A",IF('Data Source'!AA903&gt;=3.5,"A-",IF('Data Source'!AA903&gt;=3,"B",IF('Data Source'!AA903&gt;=2,"C",IF('Data Source'!AA903&gt;=1,"D","F")))))),"")</f>
        <v/>
      </c>
      <c r="J903" s="3">
        <f>IF(AND('Data Source'!B903&lt;&gt;"",'Data Source'!S903="A+"),IF('Data Source'!AB903&gt;=5,"A+",IF('Data Source'!AB903&gt;=4,"A",IF('Data Source'!AB903&gt;=3.5,"A-",IF('Data Source'!AB903&gt;=3,"B",IF('Data Source'!AB903&gt;=2,"C",IF('Data Source'!AB903&gt;=1,"D","F")))))),"")</f>
        <v/>
      </c>
      <c r="K903" s="3">
        <f>IF(AND('Data Source'!B903&lt;&gt;"",'Data Source'!S903="A+"),IF('Data Source'!AC903&gt;=5,"A+",IF('Data Source'!AC903&gt;=4,"A",IF('Data Source'!AC903&gt;=3.5,"A-",IF('Data Source'!AC903&gt;=3,"B",IF('Data Source'!AC903&gt;=2,"C",IF('Data Source'!AC903&gt;=1,"D","F")))))),"")</f>
        <v/>
      </c>
      <c r="L903" s="3">
        <f>IF(AND('Data Source'!B903&lt;&gt;"",'Data Source'!S903="A+"),IF('Data Source'!AD903&gt;=5,"A+",IF('Data Source'!AD903&gt;=4,"A",IF('Data Source'!AD903&gt;=3.5,"A-",IF('Data Source'!AD903&gt;=3,"B",IF('Data Source'!AD903&gt;=2,"C",IF('Data Source'!AD903&gt;=1,"D","F")))))),"")</f>
        <v/>
      </c>
      <c r="M903" s="3">
        <f>IF(AND('Data Source'!B903&lt;&gt;"",'Data Source'!S903="A+"),IF('Data Source'!AE903&gt;=5,"A+",IF('Data Source'!AE903&gt;=4,"A",IF('Data Source'!AE903&gt;=3.5,"A-",IF('Data Source'!AE903&gt;=3,"B",IF('Data Source'!AE903&gt;=2,"C",IF('Data Source'!AE903&gt;=1,"D","F")))))),"")</f>
        <v/>
      </c>
      <c r="N903" s="3">
        <f>IF(AND('Data Source'!B903&lt;&gt;"",'Data Source'!S903="A+"),IF('Data Source'!AF903&gt;=5,"A+",IF('Data Source'!AF903&gt;=4,"A",IF('Data Source'!AF903&gt;=3.5,"A-",IF('Data Source'!AF903&gt;=3,"B",IF('Data Source'!AF903&gt;=2,"C",IF('Data Source'!AF903&gt;=1,"D","F")))))),"")</f>
        <v/>
      </c>
      <c r="O903" s="3">
        <f>IF(AND('Data Source'!B903&lt;&gt;"",'Data Source'!S903="A+"),IF('Data Source'!AG903&gt;=5,"A+",IF('Data Source'!AG903&gt;=4,"A",IF('Data Source'!AG903&gt;=3.5,"A-",IF('Data Source'!AG903&gt;=3,"B",IF('Data Source'!AG903&gt;=2,"C",IF('Data Source'!AG903&gt;=1,"D","F")))))),"")</f>
        <v/>
      </c>
      <c r="P903" s="5">
        <f>IF(AND('Data Source'!B903&lt;&gt;"",'Data Source'!S903="A+"),'Data Source'!R903,"")</f>
        <v/>
      </c>
      <c r="Q903" s="3">
        <f>IF(AND('Data Source'!B903&lt;&gt;"",'Data Source'!S903="A+"),'Data Source'!S903,"")</f>
        <v/>
      </c>
    </row>
    <row r="904">
      <c r="A904" s="3">
        <f>IF(AND('Data Source'!B904&lt;&gt;"",'Data Source'!S904="A+"),COUNTIF('Data Source'!$S$3:S904,"A+"),"")</f>
        <v/>
      </c>
      <c r="B904">
        <f>IF(AND('Data Source'!B904&lt;&gt;"",'Data Source'!S904="A+"),'Data Source'!B904,"")</f>
        <v/>
      </c>
      <c r="C904" s="3">
        <f>IF(AND('Data Source'!B904&lt;&gt;"",'Data Source'!S904="A+"),IF('Data Source'!U904&gt;=5,"A+",IF('Data Source'!U904&gt;=4,"A",IF('Data Source'!U904&gt;=3.5,"A-",IF('Data Source'!U904&gt;=3,"B",IF('Data Source'!U904&gt;=2,"C",IF('Data Source'!U904&gt;=1,"D","F")))))),"")</f>
        <v/>
      </c>
      <c r="D904" s="3">
        <f>IF(AND('Data Source'!B904&lt;&gt;"",'Data Source'!S904="A+"),IF('Data Source'!V904&gt;=5,"A+",IF('Data Source'!V904&gt;=4,"A",IF('Data Source'!V904&gt;=3.5,"A-",IF('Data Source'!V904&gt;=3,"B",IF('Data Source'!V904&gt;=2,"C",IF('Data Source'!V904&gt;=1,"D","F")))))),"")</f>
        <v/>
      </c>
      <c r="E904" s="3">
        <f>IF(AND('Data Source'!B904&lt;&gt;"",'Data Source'!S904="A+"),IF('Data Source'!W904&gt;=5,"A+",IF('Data Source'!W904&gt;=4,"A",IF('Data Source'!W904&gt;=3.5,"A-",IF('Data Source'!W904&gt;=3,"B",IF('Data Source'!W904&gt;=2,"C",IF('Data Source'!W904&gt;=1,"D","F")))))),"")</f>
        <v/>
      </c>
      <c r="F904" s="3">
        <f>IF(AND('Data Source'!B904&lt;&gt;"",'Data Source'!S904="A+"),IF('Data Source'!X904&gt;=5,"A+",IF('Data Source'!X904&gt;=4,"A",IF('Data Source'!X904&gt;=3.5,"A-",IF('Data Source'!X904&gt;=3,"B",IF('Data Source'!X904&gt;=2,"C",IF('Data Source'!X904&gt;=1,"D","F")))))),"")</f>
        <v/>
      </c>
      <c r="G904" s="3">
        <f>IF(AND('Data Source'!B904&lt;&gt;"",'Data Source'!S904="A+"),IF('Data Source'!Y904&gt;=5,"A+",IF('Data Source'!Y904&gt;=4,"A",IF('Data Source'!Y904&gt;=3.5,"A-",IF('Data Source'!Y904&gt;=3,"B",IF('Data Source'!Y904&gt;=2,"C",IF('Data Source'!Y904&gt;=1,"D","F")))))),"")</f>
        <v/>
      </c>
      <c r="H904" s="3">
        <f>IF(AND('Data Source'!B904&lt;&gt;"",'Data Source'!S904="A+"),IF('Data Source'!Z904&gt;=5,"A+",IF('Data Source'!Z904&gt;=4,"A",IF('Data Source'!Z904&gt;=3.5,"A-",IF('Data Source'!Z904&gt;=3,"B",IF('Data Source'!Z904&gt;=2,"C",IF('Data Source'!Z904&gt;=1,"D","F")))))),"")</f>
        <v/>
      </c>
      <c r="I904" s="3">
        <f>IF(AND('Data Source'!B904&lt;&gt;"",'Data Source'!S904="A+"),IF('Data Source'!AA904&gt;=5,"A+",IF('Data Source'!AA904&gt;=4,"A",IF('Data Source'!AA904&gt;=3.5,"A-",IF('Data Source'!AA904&gt;=3,"B",IF('Data Source'!AA904&gt;=2,"C",IF('Data Source'!AA904&gt;=1,"D","F")))))),"")</f>
        <v/>
      </c>
      <c r="J904" s="3">
        <f>IF(AND('Data Source'!B904&lt;&gt;"",'Data Source'!S904="A+"),IF('Data Source'!AB904&gt;=5,"A+",IF('Data Source'!AB904&gt;=4,"A",IF('Data Source'!AB904&gt;=3.5,"A-",IF('Data Source'!AB904&gt;=3,"B",IF('Data Source'!AB904&gt;=2,"C",IF('Data Source'!AB904&gt;=1,"D","F")))))),"")</f>
        <v/>
      </c>
      <c r="K904" s="3">
        <f>IF(AND('Data Source'!B904&lt;&gt;"",'Data Source'!S904="A+"),IF('Data Source'!AC904&gt;=5,"A+",IF('Data Source'!AC904&gt;=4,"A",IF('Data Source'!AC904&gt;=3.5,"A-",IF('Data Source'!AC904&gt;=3,"B",IF('Data Source'!AC904&gt;=2,"C",IF('Data Source'!AC904&gt;=1,"D","F")))))),"")</f>
        <v/>
      </c>
      <c r="L904" s="3">
        <f>IF(AND('Data Source'!B904&lt;&gt;"",'Data Source'!S904="A+"),IF('Data Source'!AD904&gt;=5,"A+",IF('Data Source'!AD904&gt;=4,"A",IF('Data Source'!AD904&gt;=3.5,"A-",IF('Data Source'!AD904&gt;=3,"B",IF('Data Source'!AD904&gt;=2,"C",IF('Data Source'!AD904&gt;=1,"D","F")))))),"")</f>
        <v/>
      </c>
      <c r="M904" s="3">
        <f>IF(AND('Data Source'!B904&lt;&gt;"",'Data Source'!S904="A+"),IF('Data Source'!AE904&gt;=5,"A+",IF('Data Source'!AE904&gt;=4,"A",IF('Data Source'!AE904&gt;=3.5,"A-",IF('Data Source'!AE904&gt;=3,"B",IF('Data Source'!AE904&gt;=2,"C",IF('Data Source'!AE904&gt;=1,"D","F")))))),"")</f>
        <v/>
      </c>
      <c r="N904" s="3">
        <f>IF(AND('Data Source'!B904&lt;&gt;"",'Data Source'!S904="A+"),IF('Data Source'!AF904&gt;=5,"A+",IF('Data Source'!AF904&gt;=4,"A",IF('Data Source'!AF904&gt;=3.5,"A-",IF('Data Source'!AF904&gt;=3,"B",IF('Data Source'!AF904&gt;=2,"C",IF('Data Source'!AF904&gt;=1,"D","F")))))),"")</f>
        <v/>
      </c>
      <c r="O904" s="3">
        <f>IF(AND('Data Source'!B904&lt;&gt;"",'Data Source'!S904="A+"),IF('Data Source'!AG904&gt;=5,"A+",IF('Data Source'!AG904&gt;=4,"A",IF('Data Source'!AG904&gt;=3.5,"A-",IF('Data Source'!AG904&gt;=3,"B",IF('Data Source'!AG904&gt;=2,"C",IF('Data Source'!AG904&gt;=1,"D","F")))))),"")</f>
        <v/>
      </c>
      <c r="P904" s="5">
        <f>IF(AND('Data Source'!B904&lt;&gt;"",'Data Source'!S904="A+"),'Data Source'!R904,"")</f>
        <v/>
      </c>
      <c r="Q904" s="3">
        <f>IF(AND('Data Source'!B904&lt;&gt;"",'Data Source'!S904="A+"),'Data Source'!S904,"")</f>
        <v/>
      </c>
    </row>
    <row r="905">
      <c r="A905" s="3">
        <f>IF(AND('Data Source'!B905&lt;&gt;"",'Data Source'!S905="A+"),COUNTIF('Data Source'!$S$3:S905,"A+"),"")</f>
        <v/>
      </c>
      <c r="B905">
        <f>IF(AND('Data Source'!B905&lt;&gt;"",'Data Source'!S905="A+"),'Data Source'!B905,"")</f>
        <v/>
      </c>
      <c r="C905" s="3">
        <f>IF(AND('Data Source'!B905&lt;&gt;"",'Data Source'!S905="A+"),IF('Data Source'!U905&gt;=5,"A+",IF('Data Source'!U905&gt;=4,"A",IF('Data Source'!U905&gt;=3.5,"A-",IF('Data Source'!U905&gt;=3,"B",IF('Data Source'!U905&gt;=2,"C",IF('Data Source'!U905&gt;=1,"D","F")))))),"")</f>
        <v/>
      </c>
      <c r="D905" s="3">
        <f>IF(AND('Data Source'!B905&lt;&gt;"",'Data Source'!S905="A+"),IF('Data Source'!V905&gt;=5,"A+",IF('Data Source'!V905&gt;=4,"A",IF('Data Source'!V905&gt;=3.5,"A-",IF('Data Source'!V905&gt;=3,"B",IF('Data Source'!V905&gt;=2,"C",IF('Data Source'!V905&gt;=1,"D","F")))))),"")</f>
        <v/>
      </c>
      <c r="E905" s="3">
        <f>IF(AND('Data Source'!B905&lt;&gt;"",'Data Source'!S905="A+"),IF('Data Source'!W905&gt;=5,"A+",IF('Data Source'!W905&gt;=4,"A",IF('Data Source'!W905&gt;=3.5,"A-",IF('Data Source'!W905&gt;=3,"B",IF('Data Source'!W905&gt;=2,"C",IF('Data Source'!W905&gt;=1,"D","F")))))),"")</f>
        <v/>
      </c>
      <c r="F905" s="3">
        <f>IF(AND('Data Source'!B905&lt;&gt;"",'Data Source'!S905="A+"),IF('Data Source'!X905&gt;=5,"A+",IF('Data Source'!X905&gt;=4,"A",IF('Data Source'!X905&gt;=3.5,"A-",IF('Data Source'!X905&gt;=3,"B",IF('Data Source'!X905&gt;=2,"C",IF('Data Source'!X905&gt;=1,"D","F")))))),"")</f>
        <v/>
      </c>
      <c r="G905" s="3">
        <f>IF(AND('Data Source'!B905&lt;&gt;"",'Data Source'!S905="A+"),IF('Data Source'!Y905&gt;=5,"A+",IF('Data Source'!Y905&gt;=4,"A",IF('Data Source'!Y905&gt;=3.5,"A-",IF('Data Source'!Y905&gt;=3,"B",IF('Data Source'!Y905&gt;=2,"C",IF('Data Source'!Y905&gt;=1,"D","F")))))),"")</f>
        <v/>
      </c>
      <c r="H905" s="3">
        <f>IF(AND('Data Source'!B905&lt;&gt;"",'Data Source'!S905="A+"),IF('Data Source'!Z905&gt;=5,"A+",IF('Data Source'!Z905&gt;=4,"A",IF('Data Source'!Z905&gt;=3.5,"A-",IF('Data Source'!Z905&gt;=3,"B",IF('Data Source'!Z905&gt;=2,"C",IF('Data Source'!Z905&gt;=1,"D","F")))))),"")</f>
        <v/>
      </c>
      <c r="I905" s="3">
        <f>IF(AND('Data Source'!B905&lt;&gt;"",'Data Source'!S905="A+"),IF('Data Source'!AA905&gt;=5,"A+",IF('Data Source'!AA905&gt;=4,"A",IF('Data Source'!AA905&gt;=3.5,"A-",IF('Data Source'!AA905&gt;=3,"B",IF('Data Source'!AA905&gt;=2,"C",IF('Data Source'!AA905&gt;=1,"D","F")))))),"")</f>
        <v/>
      </c>
      <c r="J905" s="3">
        <f>IF(AND('Data Source'!B905&lt;&gt;"",'Data Source'!S905="A+"),IF('Data Source'!AB905&gt;=5,"A+",IF('Data Source'!AB905&gt;=4,"A",IF('Data Source'!AB905&gt;=3.5,"A-",IF('Data Source'!AB905&gt;=3,"B",IF('Data Source'!AB905&gt;=2,"C",IF('Data Source'!AB905&gt;=1,"D","F")))))),"")</f>
        <v/>
      </c>
      <c r="K905" s="3">
        <f>IF(AND('Data Source'!B905&lt;&gt;"",'Data Source'!S905="A+"),IF('Data Source'!AC905&gt;=5,"A+",IF('Data Source'!AC905&gt;=4,"A",IF('Data Source'!AC905&gt;=3.5,"A-",IF('Data Source'!AC905&gt;=3,"B",IF('Data Source'!AC905&gt;=2,"C",IF('Data Source'!AC905&gt;=1,"D","F")))))),"")</f>
        <v/>
      </c>
      <c r="L905" s="3">
        <f>IF(AND('Data Source'!B905&lt;&gt;"",'Data Source'!S905="A+"),IF('Data Source'!AD905&gt;=5,"A+",IF('Data Source'!AD905&gt;=4,"A",IF('Data Source'!AD905&gt;=3.5,"A-",IF('Data Source'!AD905&gt;=3,"B",IF('Data Source'!AD905&gt;=2,"C",IF('Data Source'!AD905&gt;=1,"D","F")))))),"")</f>
        <v/>
      </c>
      <c r="M905" s="3">
        <f>IF(AND('Data Source'!B905&lt;&gt;"",'Data Source'!S905="A+"),IF('Data Source'!AE905&gt;=5,"A+",IF('Data Source'!AE905&gt;=4,"A",IF('Data Source'!AE905&gt;=3.5,"A-",IF('Data Source'!AE905&gt;=3,"B",IF('Data Source'!AE905&gt;=2,"C",IF('Data Source'!AE905&gt;=1,"D","F")))))),"")</f>
        <v/>
      </c>
      <c r="N905" s="3">
        <f>IF(AND('Data Source'!B905&lt;&gt;"",'Data Source'!S905="A+"),IF('Data Source'!AF905&gt;=5,"A+",IF('Data Source'!AF905&gt;=4,"A",IF('Data Source'!AF905&gt;=3.5,"A-",IF('Data Source'!AF905&gt;=3,"B",IF('Data Source'!AF905&gt;=2,"C",IF('Data Source'!AF905&gt;=1,"D","F")))))),"")</f>
        <v/>
      </c>
      <c r="O905" s="3">
        <f>IF(AND('Data Source'!B905&lt;&gt;"",'Data Source'!S905="A+"),IF('Data Source'!AG905&gt;=5,"A+",IF('Data Source'!AG905&gt;=4,"A",IF('Data Source'!AG905&gt;=3.5,"A-",IF('Data Source'!AG905&gt;=3,"B",IF('Data Source'!AG905&gt;=2,"C",IF('Data Source'!AG905&gt;=1,"D","F")))))),"")</f>
        <v/>
      </c>
      <c r="P905" s="5">
        <f>IF(AND('Data Source'!B905&lt;&gt;"",'Data Source'!S905="A+"),'Data Source'!R905,"")</f>
        <v/>
      </c>
      <c r="Q905" s="3">
        <f>IF(AND('Data Source'!B905&lt;&gt;"",'Data Source'!S905="A+"),'Data Source'!S905,"")</f>
        <v/>
      </c>
    </row>
    <row r="906">
      <c r="A906" s="3">
        <f>IF(AND('Data Source'!B906&lt;&gt;"",'Data Source'!S906="A+"),COUNTIF('Data Source'!$S$3:S906,"A+"),"")</f>
        <v/>
      </c>
      <c r="B906">
        <f>IF(AND('Data Source'!B906&lt;&gt;"",'Data Source'!S906="A+"),'Data Source'!B906,"")</f>
        <v/>
      </c>
      <c r="C906" s="3">
        <f>IF(AND('Data Source'!B906&lt;&gt;"",'Data Source'!S906="A+"),IF('Data Source'!U906&gt;=5,"A+",IF('Data Source'!U906&gt;=4,"A",IF('Data Source'!U906&gt;=3.5,"A-",IF('Data Source'!U906&gt;=3,"B",IF('Data Source'!U906&gt;=2,"C",IF('Data Source'!U906&gt;=1,"D","F")))))),"")</f>
        <v/>
      </c>
      <c r="D906" s="3">
        <f>IF(AND('Data Source'!B906&lt;&gt;"",'Data Source'!S906="A+"),IF('Data Source'!V906&gt;=5,"A+",IF('Data Source'!V906&gt;=4,"A",IF('Data Source'!V906&gt;=3.5,"A-",IF('Data Source'!V906&gt;=3,"B",IF('Data Source'!V906&gt;=2,"C",IF('Data Source'!V906&gt;=1,"D","F")))))),"")</f>
        <v/>
      </c>
      <c r="E906" s="3">
        <f>IF(AND('Data Source'!B906&lt;&gt;"",'Data Source'!S906="A+"),IF('Data Source'!W906&gt;=5,"A+",IF('Data Source'!W906&gt;=4,"A",IF('Data Source'!W906&gt;=3.5,"A-",IF('Data Source'!W906&gt;=3,"B",IF('Data Source'!W906&gt;=2,"C",IF('Data Source'!W906&gt;=1,"D","F")))))),"")</f>
        <v/>
      </c>
      <c r="F906" s="3">
        <f>IF(AND('Data Source'!B906&lt;&gt;"",'Data Source'!S906="A+"),IF('Data Source'!X906&gt;=5,"A+",IF('Data Source'!X906&gt;=4,"A",IF('Data Source'!X906&gt;=3.5,"A-",IF('Data Source'!X906&gt;=3,"B",IF('Data Source'!X906&gt;=2,"C",IF('Data Source'!X906&gt;=1,"D","F")))))),"")</f>
        <v/>
      </c>
      <c r="G906" s="3">
        <f>IF(AND('Data Source'!B906&lt;&gt;"",'Data Source'!S906="A+"),IF('Data Source'!Y906&gt;=5,"A+",IF('Data Source'!Y906&gt;=4,"A",IF('Data Source'!Y906&gt;=3.5,"A-",IF('Data Source'!Y906&gt;=3,"B",IF('Data Source'!Y906&gt;=2,"C",IF('Data Source'!Y906&gt;=1,"D","F")))))),"")</f>
        <v/>
      </c>
      <c r="H906" s="3">
        <f>IF(AND('Data Source'!B906&lt;&gt;"",'Data Source'!S906="A+"),IF('Data Source'!Z906&gt;=5,"A+",IF('Data Source'!Z906&gt;=4,"A",IF('Data Source'!Z906&gt;=3.5,"A-",IF('Data Source'!Z906&gt;=3,"B",IF('Data Source'!Z906&gt;=2,"C",IF('Data Source'!Z906&gt;=1,"D","F")))))),"")</f>
        <v/>
      </c>
      <c r="I906" s="3">
        <f>IF(AND('Data Source'!B906&lt;&gt;"",'Data Source'!S906="A+"),IF('Data Source'!AA906&gt;=5,"A+",IF('Data Source'!AA906&gt;=4,"A",IF('Data Source'!AA906&gt;=3.5,"A-",IF('Data Source'!AA906&gt;=3,"B",IF('Data Source'!AA906&gt;=2,"C",IF('Data Source'!AA906&gt;=1,"D","F")))))),"")</f>
        <v/>
      </c>
      <c r="J906" s="3">
        <f>IF(AND('Data Source'!B906&lt;&gt;"",'Data Source'!S906="A+"),IF('Data Source'!AB906&gt;=5,"A+",IF('Data Source'!AB906&gt;=4,"A",IF('Data Source'!AB906&gt;=3.5,"A-",IF('Data Source'!AB906&gt;=3,"B",IF('Data Source'!AB906&gt;=2,"C",IF('Data Source'!AB906&gt;=1,"D","F")))))),"")</f>
        <v/>
      </c>
      <c r="K906" s="3">
        <f>IF(AND('Data Source'!B906&lt;&gt;"",'Data Source'!S906="A+"),IF('Data Source'!AC906&gt;=5,"A+",IF('Data Source'!AC906&gt;=4,"A",IF('Data Source'!AC906&gt;=3.5,"A-",IF('Data Source'!AC906&gt;=3,"B",IF('Data Source'!AC906&gt;=2,"C",IF('Data Source'!AC906&gt;=1,"D","F")))))),"")</f>
        <v/>
      </c>
      <c r="L906" s="3">
        <f>IF(AND('Data Source'!B906&lt;&gt;"",'Data Source'!S906="A+"),IF('Data Source'!AD906&gt;=5,"A+",IF('Data Source'!AD906&gt;=4,"A",IF('Data Source'!AD906&gt;=3.5,"A-",IF('Data Source'!AD906&gt;=3,"B",IF('Data Source'!AD906&gt;=2,"C",IF('Data Source'!AD906&gt;=1,"D","F")))))),"")</f>
        <v/>
      </c>
      <c r="M906" s="3">
        <f>IF(AND('Data Source'!B906&lt;&gt;"",'Data Source'!S906="A+"),IF('Data Source'!AE906&gt;=5,"A+",IF('Data Source'!AE906&gt;=4,"A",IF('Data Source'!AE906&gt;=3.5,"A-",IF('Data Source'!AE906&gt;=3,"B",IF('Data Source'!AE906&gt;=2,"C",IF('Data Source'!AE906&gt;=1,"D","F")))))),"")</f>
        <v/>
      </c>
      <c r="N906" s="3">
        <f>IF(AND('Data Source'!B906&lt;&gt;"",'Data Source'!S906="A+"),IF('Data Source'!AF906&gt;=5,"A+",IF('Data Source'!AF906&gt;=4,"A",IF('Data Source'!AF906&gt;=3.5,"A-",IF('Data Source'!AF906&gt;=3,"B",IF('Data Source'!AF906&gt;=2,"C",IF('Data Source'!AF906&gt;=1,"D","F")))))),"")</f>
        <v/>
      </c>
      <c r="O906" s="3">
        <f>IF(AND('Data Source'!B906&lt;&gt;"",'Data Source'!S906="A+"),IF('Data Source'!AG906&gt;=5,"A+",IF('Data Source'!AG906&gt;=4,"A",IF('Data Source'!AG906&gt;=3.5,"A-",IF('Data Source'!AG906&gt;=3,"B",IF('Data Source'!AG906&gt;=2,"C",IF('Data Source'!AG906&gt;=1,"D","F")))))),"")</f>
        <v/>
      </c>
      <c r="P906" s="5">
        <f>IF(AND('Data Source'!B906&lt;&gt;"",'Data Source'!S906="A+"),'Data Source'!R906,"")</f>
        <v/>
      </c>
      <c r="Q906" s="3">
        <f>IF(AND('Data Source'!B906&lt;&gt;"",'Data Source'!S906="A+"),'Data Source'!S906,"")</f>
        <v/>
      </c>
    </row>
    <row r="907">
      <c r="A907" s="3">
        <f>IF(AND('Data Source'!B907&lt;&gt;"",'Data Source'!S907="A+"),COUNTIF('Data Source'!$S$3:S907,"A+"),"")</f>
        <v/>
      </c>
      <c r="B907">
        <f>IF(AND('Data Source'!B907&lt;&gt;"",'Data Source'!S907="A+"),'Data Source'!B907,"")</f>
        <v/>
      </c>
      <c r="C907" s="3">
        <f>IF(AND('Data Source'!B907&lt;&gt;"",'Data Source'!S907="A+"),IF('Data Source'!U907&gt;=5,"A+",IF('Data Source'!U907&gt;=4,"A",IF('Data Source'!U907&gt;=3.5,"A-",IF('Data Source'!U907&gt;=3,"B",IF('Data Source'!U907&gt;=2,"C",IF('Data Source'!U907&gt;=1,"D","F")))))),"")</f>
        <v/>
      </c>
      <c r="D907" s="3">
        <f>IF(AND('Data Source'!B907&lt;&gt;"",'Data Source'!S907="A+"),IF('Data Source'!V907&gt;=5,"A+",IF('Data Source'!V907&gt;=4,"A",IF('Data Source'!V907&gt;=3.5,"A-",IF('Data Source'!V907&gt;=3,"B",IF('Data Source'!V907&gt;=2,"C",IF('Data Source'!V907&gt;=1,"D","F")))))),"")</f>
        <v/>
      </c>
      <c r="E907" s="3">
        <f>IF(AND('Data Source'!B907&lt;&gt;"",'Data Source'!S907="A+"),IF('Data Source'!W907&gt;=5,"A+",IF('Data Source'!W907&gt;=4,"A",IF('Data Source'!W907&gt;=3.5,"A-",IF('Data Source'!W907&gt;=3,"B",IF('Data Source'!W907&gt;=2,"C",IF('Data Source'!W907&gt;=1,"D","F")))))),"")</f>
        <v/>
      </c>
      <c r="F907" s="3">
        <f>IF(AND('Data Source'!B907&lt;&gt;"",'Data Source'!S907="A+"),IF('Data Source'!X907&gt;=5,"A+",IF('Data Source'!X907&gt;=4,"A",IF('Data Source'!X907&gt;=3.5,"A-",IF('Data Source'!X907&gt;=3,"B",IF('Data Source'!X907&gt;=2,"C",IF('Data Source'!X907&gt;=1,"D","F")))))),"")</f>
        <v/>
      </c>
      <c r="G907" s="3">
        <f>IF(AND('Data Source'!B907&lt;&gt;"",'Data Source'!S907="A+"),IF('Data Source'!Y907&gt;=5,"A+",IF('Data Source'!Y907&gt;=4,"A",IF('Data Source'!Y907&gt;=3.5,"A-",IF('Data Source'!Y907&gt;=3,"B",IF('Data Source'!Y907&gt;=2,"C",IF('Data Source'!Y907&gt;=1,"D","F")))))),"")</f>
        <v/>
      </c>
      <c r="H907" s="3">
        <f>IF(AND('Data Source'!B907&lt;&gt;"",'Data Source'!S907="A+"),IF('Data Source'!Z907&gt;=5,"A+",IF('Data Source'!Z907&gt;=4,"A",IF('Data Source'!Z907&gt;=3.5,"A-",IF('Data Source'!Z907&gt;=3,"B",IF('Data Source'!Z907&gt;=2,"C",IF('Data Source'!Z907&gt;=1,"D","F")))))),"")</f>
        <v/>
      </c>
      <c r="I907" s="3">
        <f>IF(AND('Data Source'!B907&lt;&gt;"",'Data Source'!S907="A+"),IF('Data Source'!AA907&gt;=5,"A+",IF('Data Source'!AA907&gt;=4,"A",IF('Data Source'!AA907&gt;=3.5,"A-",IF('Data Source'!AA907&gt;=3,"B",IF('Data Source'!AA907&gt;=2,"C",IF('Data Source'!AA907&gt;=1,"D","F")))))),"")</f>
        <v/>
      </c>
      <c r="J907" s="3">
        <f>IF(AND('Data Source'!B907&lt;&gt;"",'Data Source'!S907="A+"),IF('Data Source'!AB907&gt;=5,"A+",IF('Data Source'!AB907&gt;=4,"A",IF('Data Source'!AB907&gt;=3.5,"A-",IF('Data Source'!AB907&gt;=3,"B",IF('Data Source'!AB907&gt;=2,"C",IF('Data Source'!AB907&gt;=1,"D","F")))))),"")</f>
        <v/>
      </c>
      <c r="K907" s="3">
        <f>IF(AND('Data Source'!B907&lt;&gt;"",'Data Source'!S907="A+"),IF('Data Source'!AC907&gt;=5,"A+",IF('Data Source'!AC907&gt;=4,"A",IF('Data Source'!AC907&gt;=3.5,"A-",IF('Data Source'!AC907&gt;=3,"B",IF('Data Source'!AC907&gt;=2,"C",IF('Data Source'!AC907&gt;=1,"D","F")))))),"")</f>
        <v/>
      </c>
      <c r="L907" s="3">
        <f>IF(AND('Data Source'!B907&lt;&gt;"",'Data Source'!S907="A+"),IF('Data Source'!AD907&gt;=5,"A+",IF('Data Source'!AD907&gt;=4,"A",IF('Data Source'!AD907&gt;=3.5,"A-",IF('Data Source'!AD907&gt;=3,"B",IF('Data Source'!AD907&gt;=2,"C",IF('Data Source'!AD907&gt;=1,"D","F")))))),"")</f>
        <v/>
      </c>
      <c r="M907" s="3">
        <f>IF(AND('Data Source'!B907&lt;&gt;"",'Data Source'!S907="A+"),IF('Data Source'!AE907&gt;=5,"A+",IF('Data Source'!AE907&gt;=4,"A",IF('Data Source'!AE907&gt;=3.5,"A-",IF('Data Source'!AE907&gt;=3,"B",IF('Data Source'!AE907&gt;=2,"C",IF('Data Source'!AE907&gt;=1,"D","F")))))),"")</f>
        <v/>
      </c>
      <c r="N907" s="3">
        <f>IF(AND('Data Source'!B907&lt;&gt;"",'Data Source'!S907="A+"),IF('Data Source'!AF907&gt;=5,"A+",IF('Data Source'!AF907&gt;=4,"A",IF('Data Source'!AF907&gt;=3.5,"A-",IF('Data Source'!AF907&gt;=3,"B",IF('Data Source'!AF907&gt;=2,"C",IF('Data Source'!AF907&gt;=1,"D","F")))))),"")</f>
        <v/>
      </c>
      <c r="O907" s="3">
        <f>IF(AND('Data Source'!B907&lt;&gt;"",'Data Source'!S907="A+"),IF('Data Source'!AG907&gt;=5,"A+",IF('Data Source'!AG907&gt;=4,"A",IF('Data Source'!AG907&gt;=3.5,"A-",IF('Data Source'!AG907&gt;=3,"B",IF('Data Source'!AG907&gt;=2,"C",IF('Data Source'!AG907&gt;=1,"D","F")))))),"")</f>
        <v/>
      </c>
      <c r="P907" s="5">
        <f>IF(AND('Data Source'!B907&lt;&gt;"",'Data Source'!S907="A+"),'Data Source'!R907,"")</f>
        <v/>
      </c>
      <c r="Q907" s="3">
        <f>IF(AND('Data Source'!B907&lt;&gt;"",'Data Source'!S907="A+"),'Data Source'!S907,"")</f>
        <v/>
      </c>
    </row>
    <row r="908">
      <c r="A908" s="3">
        <f>IF(AND('Data Source'!B908&lt;&gt;"",'Data Source'!S908="A+"),COUNTIF('Data Source'!$S$3:S908,"A+"),"")</f>
        <v/>
      </c>
      <c r="B908">
        <f>IF(AND('Data Source'!B908&lt;&gt;"",'Data Source'!S908="A+"),'Data Source'!B908,"")</f>
        <v/>
      </c>
      <c r="C908" s="3">
        <f>IF(AND('Data Source'!B908&lt;&gt;"",'Data Source'!S908="A+"),IF('Data Source'!U908&gt;=5,"A+",IF('Data Source'!U908&gt;=4,"A",IF('Data Source'!U908&gt;=3.5,"A-",IF('Data Source'!U908&gt;=3,"B",IF('Data Source'!U908&gt;=2,"C",IF('Data Source'!U908&gt;=1,"D","F")))))),"")</f>
        <v/>
      </c>
      <c r="D908" s="3">
        <f>IF(AND('Data Source'!B908&lt;&gt;"",'Data Source'!S908="A+"),IF('Data Source'!V908&gt;=5,"A+",IF('Data Source'!V908&gt;=4,"A",IF('Data Source'!V908&gt;=3.5,"A-",IF('Data Source'!V908&gt;=3,"B",IF('Data Source'!V908&gt;=2,"C",IF('Data Source'!V908&gt;=1,"D","F")))))),"")</f>
        <v/>
      </c>
      <c r="E908" s="3">
        <f>IF(AND('Data Source'!B908&lt;&gt;"",'Data Source'!S908="A+"),IF('Data Source'!W908&gt;=5,"A+",IF('Data Source'!W908&gt;=4,"A",IF('Data Source'!W908&gt;=3.5,"A-",IF('Data Source'!W908&gt;=3,"B",IF('Data Source'!W908&gt;=2,"C",IF('Data Source'!W908&gt;=1,"D","F")))))),"")</f>
        <v/>
      </c>
      <c r="F908" s="3">
        <f>IF(AND('Data Source'!B908&lt;&gt;"",'Data Source'!S908="A+"),IF('Data Source'!X908&gt;=5,"A+",IF('Data Source'!X908&gt;=4,"A",IF('Data Source'!X908&gt;=3.5,"A-",IF('Data Source'!X908&gt;=3,"B",IF('Data Source'!X908&gt;=2,"C",IF('Data Source'!X908&gt;=1,"D","F")))))),"")</f>
        <v/>
      </c>
      <c r="G908" s="3">
        <f>IF(AND('Data Source'!B908&lt;&gt;"",'Data Source'!S908="A+"),IF('Data Source'!Y908&gt;=5,"A+",IF('Data Source'!Y908&gt;=4,"A",IF('Data Source'!Y908&gt;=3.5,"A-",IF('Data Source'!Y908&gt;=3,"B",IF('Data Source'!Y908&gt;=2,"C",IF('Data Source'!Y908&gt;=1,"D","F")))))),"")</f>
        <v/>
      </c>
      <c r="H908" s="3">
        <f>IF(AND('Data Source'!B908&lt;&gt;"",'Data Source'!S908="A+"),IF('Data Source'!Z908&gt;=5,"A+",IF('Data Source'!Z908&gt;=4,"A",IF('Data Source'!Z908&gt;=3.5,"A-",IF('Data Source'!Z908&gt;=3,"B",IF('Data Source'!Z908&gt;=2,"C",IF('Data Source'!Z908&gt;=1,"D","F")))))),"")</f>
        <v/>
      </c>
      <c r="I908" s="3">
        <f>IF(AND('Data Source'!B908&lt;&gt;"",'Data Source'!S908="A+"),IF('Data Source'!AA908&gt;=5,"A+",IF('Data Source'!AA908&gt;=4,"A",IF('Data Source'!AA908&gt;=3.5,"A-",IF('Data Source'!AA908&gt;=3,"B",IF('Data Source'!AA908&gt;=2,"C",IF('Data Source'!AA908&gt;=1,"D","F")))))),"")</f>
        <v/>
      </c>
      <c r="J908" s="3">
        <f>IF(AND('Data Source'!B908&lt;&gt;"",'Data Source'!S908="A+"),IF('Data Source'!AB908&gt;=5,"A+",IF('Data Source'!AB908&gt;=4,"A",IF('Data Source'!AB908&gt;=3.5,"A-",IF('Data Source'!AB908&gt;=3,"B",IF('Data Source'!AB908&gt;=2,"C",IF('Data Source'!AB908&gt;=1,"D","F")))))),"")</f>
        <v/>
      </c>
      <c r="K908" s="3">
        <f>IF(AND('Data Source'!B908&lt;&gt;"",'Data Source'!S908="A+"),IF('Data Source'!AC908&gt;=5,"A+",IF('Data Source'!AC908&gt;=4,"A",IF('Data Source'!AC908&gt;=3.5,"A-",IF('Data Source'!AC908&gt;=3,"B",IF('Data Source'!AC908&gt;=2,"C",IF('Data Source'!AC908&gt;=1,"D","F")))))),"")</f>
        <v/>
      </c>
      <c r="L908" s="3">
        <f>IF(AND('Data Source'!B908&lt;&gt;"",'Data Source'!S908="A+"),IF('Data Source'!AD908&gt;=5,"A+",IF('Data Source'!AD908&gt;=4,"A",IF('Data Source'!AD908&gt;=3.5,"A-",IF('Data Source'!AD908&gt;=3,"B",IF('Data Source'!AD908&gt;=2,"C",IF('Data Source'!AD908&gt;=1,"D","F")))))),"")</f>
        <v/>
      </c>
      <c r="M908" s="3">
        <f>IF(AND('Data Source'!B908&lt;&gt;"",'Data Source'!S908="A+"),IF('Data Source'!AE908&gt;=5,"A+",IF('Data Source'!AE908&gt;=4,"A",IF('Data Source'!AE908&gt;=3.5,"A-",IF('Data Source'!AE908&gt;=3,"B",IF('Data Source'!AE908&gt;=2,"C",IF('Data Source'!AE908&gt;=1,"D","F")))))),"")</f>
        <v/>
      </c>
      <c r="N908" s="3">
        <f>IF(AND('Data Source'!B908&lt;&gt;"",'Data Source'!S908="A+"),IF('Data Source'!AF908&gt;=5,"A+",IF('Data Source'!AF908&gt;=4,"A",IF('Data Source'!AF908&gt;=3.5,"A-",IF('Data Source'!AF908&gt;=3,"B",IF('Data Source'!AF908&gt;=2,"C",IF('Data Source'!AF908&gt;=1,"D","F")))))),"")</f>
        <v/>
      </c>
      <c r="O908" s="3">
        <f>IF(AND('Data Source'!B908&lt;&gt;"",'Data Source'!S908="A+"),IF('Data Source'!AG908&gt;=5,"A+",IF('Data Source'!AG908&gt;=4,"A",IF('Data Source'!AG908&gt;=3.5,"A-",IF('Data Source'!AG908&gt;=3,"B",IF('Data Source'!AG908&gt;=2,"C",IF('Data Source'!AG908&gt;=1,"D","F")))))),"")</f>
        <v/>
      </c>
      <c r="P908" s="5">
        <f>IF(AND('Data Source'!B908&lt;&gt;"",'Data Source'!S908="A+"),'Data Source'!R908,"")</f>
        <v/>
      </c>
      <c r="Q908" s="3">
        <f>IF(AND('Data Source'!B908&lt;&gt;"",'Data Source'!S908="A+"),'Data Source'!S908,"")</f>
        <v/>
      </c>
    </row>
    <row r="909">
      <c r="A909" s="3">
        <f>IF(AND('Data Source'!B909&lt;&gt;"",'Data Source'!S909="A+"),COUNTIF('Data Source'!$S$3:S909,"A+"),"")</f>
        <v/>
      </c>
      <c r="B909">
        <f>IF(AND('Data Source'!B909&lt;&gt;"",'Data Source'!S909="A+"),'Data Source'!B909,"")</f>
        <v/>
      </c>
      <c r="C909" s="3">
        <f>IF(AND('Data Source'!B909&lt;&gt;"",'Data Source'!S909="A+"),IF('Data Source'!U909&gt;=5,"A+",IF('Data Source'!U909&gt;=4,"A",IF('Data Source'!U909&gt;=3.5,"A-",IF('Data Source'!U909&gt;=3,"B",IF('Data Source'!U909&gt;=2,"C",IF('Data Source'!U909&gt;=1,"D","F")))))),"")</f>
        <v/>
      </c>
      <c r="D909" s="3">
        <f>IF(AND('Data Source'!B909&lt;&gt;"",'Data Source'!S909="A+"),IF('Data Source'!V909&gt;=5,"A+",IF('Data Source'!V909&gt;=4,"A",IF('Data Source'!V909&gt;=3.5,"A-",IF('Data Source'!V909&gt;=3,"B",IF('Data Source'!V909&gt;=2,"C",IF('Data Source'!V909&gt;=1,"D","F")))))),"")</f>
        <v/>
      </c>
      <c r="E909" s="3">
        <f>IF(AND('Data Source'!B909&lt;&gt;"",'Data Source'!S909="A+"),IF('Data Source'!W909&gt;=5,"A+",IF('Data Source'!W909&gt;=4,"A",IF('Data Source'!W909&gt;=3.5,"A-",IF('Data Source'!W909&gt;=3,"B",IF('Data Source'!W909&gt;=2,"C",IF('Data Source'!W909&gt;=1,"D","F")))))),"")</f>
        <v/>
      </c>
      <c r="F909" s="3">
        <f>IF(AND('Data Source'!B909&lt;&gt;"",'Data Source'!S909="A+"),IF('Data Source'!X909&gt;=5,"A+",IF('Data Source'!X909&gt;=4,"A",IF('Data Source'!X909&gt;=3.5,"A-",IF('Data Source'!X909&gt;=3,"B",IF('Data Source'!X909&gt;=2,"C",IF('Data Source'!X909&gt;=1,"D","F")))))),"")</f>
        <v/>
      </c>
      <c r="G909" s="3">
        <f>IF(AND('Data Source'!B909&lt;&gt;"",'Data Source'!S909="A+"),IF('Data Source'!Y909&gt;=5,"A+",IF('Data Source'!Y909&gt;=4,"A",IF('Data Source'!Y909&gt;=3.5,"A-",IF('Data Source'!Y909&gt;=3,"B",IF('Data Source'!Y909&gt;=2,"C",IF('Data Source'!Y909&gt;=1,"D","F")))))),"")</f>
        <v/>
      </c>
      <c r="H909" s="3">
        <f>IF(AND('Data Source'!B909&lt;&gt;"",'Data Source'!S909="A+"),IF('Data Source'!Z909&gt;=5,"A+",IF('Data Source'!Z909&gt;=4,"A",IF('Data Source'!Z909&gt;=3.5,"A-",IF('Data Source'!Z909&gt;=3,"B",IF('Data Source'!Z909&gt;=2,"C",IF('Data Source'!Z909&gt;=1,"D","F")))))),"")</f>
        <v/>
      </c>
      <c r="I909" s="3">
        <f>IF(AND('Data Source'!B909&lt;&gt;"",'Data Source'!S909="A+"),IF('Data Source'!AA909&gt;=5,"A+",IF('Data Source'!AA909&gt;=4,"A",IF('Data Source'!AA909&gt;=3.5,"A-",IF('Data Source'!AA909&gt;=3,"B",IF('Data Source'!AA909&gt;=2,"C",IF('Data Source'!AA909&gt;=1,"D","F")))))),"")</f>
        <v/>
      </c>
      <c r="J909" s="3">
        <f>IF(AND('Data Source'!B909&lt;&gt;"",'Data Source'!S909="A+"),IF('Data Source'!AB909&gt;=5,"A+",IF('Data Source'!AB909&gt;=4,"A",IF('Data Source'!AB909&gt;=3.5,"A-",IF('Data Source'!AB909&gt;=3,"B",IF('Data Source'!AB909&gt;=2,"C",IF('Data Source'!AB909&gt;=1,"D","F")))))),"")</f>
        <v/>
      </c>
      <c r="K909" s="3">
        <f>IF(AND('Data Source'!B909&lt;&gt;"",'Data Source'!S909="A+"),IF('Data Source'!AC909&gt;=5,"A+",IF('Data Source'!AC909&gt;=4,"A",IF('Data Source'!AC909&gt;=3.5,"A-",IF('Data Source'!AC909&gt;=3,"B",IF('Data Source'!AC909&gt;=2,"C",IF('Data Source'!AC909&gt;=1,"D","F")))))),"")</f>
        <v/>
      </c>
      <c r="L909" s="3">
        <f>IF(AND('Data Source'!B909&lt;&gt;"",'Data Source'!S909="A+"),IF('Data Source'!AD909&gt;=5,"A+",IF('Data Source'!AD909&gt;=4,"A",IF('Data Source'!AD909&gt;=3.5,"A-",IF('Data Source'!AD909&gt;=3,"B",IF('Data Source'!AD909&gt;=2,"C",IF('Data Source'!AD909&gt;=1,"D","F")))))),"")</f>
        <v/>
      </c>
      <c r="M909" s="3">
        <f>IF(AND('Data Source'!B909&lt;&gt;"",'Data Source'!S909="A+"),IF('Data Source'!AE909&gt;=5,"A+",IF('Data Source'!AE909&gt;=4,"A",IF('Data Source'!AE909&gt;=3.5,"A-",IF('Data Source'!AE909&gt;=3,"B",IF('Data Source'!AE909&gt;=2,"C",IF('Data Source'!AE909&gt;=1,"D","F")))))),"")</f>
        <v/>
      </c>
      <c r="N909" s="3">
        <f>IF(AND('Data Source'!B909&lt;&gt;"",'Data Source'!S909="A+"),IF('Data Source'!AF909&gt;=5,"A+",IF('Data Source'!AF909&gt;=4,"A",IF('Data Source'!AF909&gt;=3.5,"A-",IF('Data Source'!AF909&gt;=3,"B",IF('Data Source'!AF909&gt;=2,"C",IF('Data Source'!AF909&gt;=1,"D","F")))))),"")</f>
        <v/>
      </c>
      <c r="O909" s="3">
        <f>IF(AND('Data Source'!B909&lt;&gt;"",'Data Source'!S909="A+"),IF('Data Source'!AG909&gt;=5,"A+",IF('Data Source'!AG909&gt;=4,"A",IF('Data Source'!AG909&gt;=3.5,"A-",IF('Data Source'!AG909&gt;=3,"B",IF('Data Source'!AG909&gt;=2,"C",IF('Data Source'!AG909&gt;=1,"D","F")))))),"")</f>
        <v/>
      </c>
      <c r="P909" s="5">
        <f>IF(AND('Data Source'!B909&lt;&gt;"",'Data Source'!S909="A+"),'Data Source'!R909,"")</f>
        <v/>
      </c>
      <c r="Q909" s="3">
        <f>IF(AND('Data Source'!B909&lt;&gt;"",'Data Source'!S909="A+"),'Data Source'!S909,"")</f>
        <v/>
      </c>
    </row>
    <row r="910">
      <c r="A910" s="3">
        <f>IF(AND('Data Source'!B910&lt;&gt;"",'Data Source'!S910="A+"),COUNTIF('Data Source'!$S$3:S910,"A+"),"")</f>
        <v/>
      </c>
      <c r="B910">
        <f>IF(AND('Data Source'!B910&lt;&gt;"",'Data Source'!S910="A+"),'Data Source'!B910,"")</f>
        <v/>
      </c>
      <c r="C910" s="3">
        <f>IF(AND('Data Source'!B910&lt;&gt;"",'Data Source'!S910="A+"),IF('Data Source'!U910&gt;=5,"A+",IF('Data Source'!U910&gt;=4,"A",IF('Data Source'!U910&gt;=3.5,"A-",IF('Data Source'!U910&gt;=3,"B",IF('Data Source'!U910&gt;=2,"C",IF('Data Source'!U910&gt;=1,"D","F")))))),"")</f>
        <v/>
      </c>
      <c r="D910" s="3">
        <f>IF(AND('Data Source'!B910&lt;&gt;"",'Data Source'!S910="A+"),IF('Data Source'!V910&gt;=5,"A+",IF('Data Source'!V910&gt;=4,"A",IF('Data Source'!V910&gt;=3.5,"A-",IF('Data Source'!V910&gt;=3,"B",IF('Data Source'!V910&gt;=2,"C",IF('Data Source'!V910&gt;=1,"D","F")))))),"")</f>
        <v/>
      </c>
      <c r="E910" s="3">
        <f>IF(AND('Data Source'!B910&lt;&gt;"",'Data Source'!S910="A+"),IF('Data Source'!W910&gt;=5,"A+",IF('Data Source'!W910&gt;=4,"A",IF('Data Source'!W910&gt;=3.5,"A-",IF('Data Source'!W910&gt;=3,"B",IF('Data Source'!W910&gt;=2,"C",IF('Data Source'!W910&gt;=1,"D","F")))))),"")</f>
        <v/>
      </c>
      <c r="F910" s="3">
        <f>IF(AND('Data Source'!B910&lt;&gt;"",'Data Source'!S910="A+"),IF('Data Source'!X910&gt;=5,"A+",IF('Data Source'!X910&gt;=4,"A",IF('Data Source'!X910&gt;=3.5,"A-",IF('Data Source'!X910&gt;=3,"B",IF('Data Source'!X910&gt;=2,"C",IF('Data Source'!X910&gt;=1,"D","F")))))),"")</f>
        <v/>
      </c>
      <c r="G910" s="3">
        <f>IF(AND('Data Source'!B910&lt;&gt;"",'Data Source'!S910="A+"),IF('Data Source'!Y910&gt;=5,"A+",IF('Data Source'!Y910&gt;=4,"A",IF('Data Source'!Y910&gt;=3.5,"A-",IF('Data Source'!Y910&gt;=3,"B",IF('Data Source'!Y910&gt;=2,"C",IF('Data Source'!Y910&gt;=1,"D","F")))))),"")</f>
        <v/>
      </c>
      <c r="H910" s="3">
        <f>IF(AND('Data Source'!B910&lt;&gt;"",'Data Source'!S910="A+"),IF('Data Source'!Z910&gt;=5,"A+",IF('Data Source'!Z910&gt;=4,"A",IF('Data Source'!Z910&gt;=3.5,"A-",IF('Data Source'!Z910&gt;=3,"B",IF('Data Source'!Z910&gt;=2,"C",IF('Data Source'!Z910&gt;=1,"D","F")))))),"")</f>
        <v/>
      </c>
      <c r="I910" s="3">
        <f>IF(AND('Data Source'!B910&lt;&gt;"",'Data Source'!S910="A+"),IF('Data Source'!AA910&gt;=5,"A+",IF('Data Source'!AA910&gt;=4,"A",IF('Data Source'!AA910&gt;=3.5,"A-",IF('Data Source'!AA910&gt;=3,"B",IF('Data Source'!AA910&gt;=2,"C",IF('Data Source'!AA910&gt;=1,"D","F")))))),"")</f>
        <v/>
      </c>
      <c r="J910" s="3">
        <f>IF(AND('Data Source'!B910&lt;&gt;"",'Data Source'!S910="A+"),IF('Data Source'!AB910&gt;=5,"A+",IF('Data Source'!AB910&gt;=4,"A",IF('Data Source'!AB910&gt;=3.5,"A-",IF('Data Source'!AB910&gt;=3,"B",IF('Data Source'!AB910&gt;=2,"C",IF('Data Source'!AB910&gt;=1,"D","F")))))),"")</f>
        <v/>
      </c>
      <c r="K910" s="3">
        <f>IF(AND('Data Source'!B910&lt;&gt;"",'Data Source'!S910="A+"),IF('Data Source'!AC910&gt;=5,"A+",IF('Data Source'!AC910&gt;=4,"A",IF('Data Source'!AC910&gt;=3.5,"A-",IF('Data Source'!AC910&gt;=3,"B",IF('Data Source'!AC910&gt;=2,"C",IF('Data Source'!AC910&gt;=1,"D","F")))))),"")</f>
        <v/>
      </c>
      <c r="L910" s="3">
        <f>IF(AND('Data Source'!B910&lt;&gt;"",'Data Source'!S910="A+"),IF('Data Source'!AD910&gt;=5,"A+",IF('Data Source'!AD910&gt;=4,"A",IF('Data Source'!AD910&gt;=3.5,"A-",IF('Data Source'!AD910&gt;=3,"B",IF('Data Source'!AD910&gt;=2,"C",IF('Data Source'!AD910&gt;=1,"D","F")))))),"")</f>
        <v/>
      </c>
      <c r="M910" s="3">
        <f>IF(AND('Data Source'!B910&lt;&gt;"",'Data Source'!S910="A+"),IF('Data Source'!AE910&gt;=5,"A+",IF('Data Source'!AE910&gt;=4,"A",IF('Data Source'!AE910&gt;=3.5,"A-",IF('Data Source'!AE910&gt;=3,"B",IF('Data Source'!AE910&gt;=2,"C",IF('Data Source'!AE910&gt;=1,"D","F")))))),"")</f>
        <v/>
      </c>
      <c r="N910" s="3">
        <f>IF(AND('Data Source'!B910&lt;&gt;"",'Data Source'!S910="A+"),IF('Data Source'!AF910&gt;=5,"A+",IF('Data Source'!AF910&gt;=4,"A",IF('Data Source'!AF910&gt;=3.5,"A-",IF('Data Source'!AF910&gt;=3,"B",IF('Data Source'!AF910&gt;=2,"C",IF('Data Source'!AF910&gt;=1,"D","F")))))),"")</f>
        <v/>
      </c>
      <c r="O910" s="3">
        <f>IF(AND('Data Source'!B910&lt;&gt;"",'Data Source'!S910="A+"),IF('Data Source'!AG910&gt;=5,"A+",IF('Data Source'!AG910&gt;=4,"A",IF('Data Source'!AG910&gt;=3.5,"A-",IF('Data Source'!AG910&gt;=3,"B",IF('Data Source'!AG910&gt;=2,"C",IF('Data Source'!AG910&gt;=1,"D","F")))))),"")</f>
        <v/>
      </c>
      <c r="P910" s="5">
        <f>IF(AND('Data Source'!B910&lt;&gt;"",'Data Source'!S910="A+"),'Data Source'!R910,"")</f>
        <v/>
      </c>
      <c r="Q910" s="3">
        <f>IF(AND('Data Source'!B910&lt;&gt;"",'Data Source'!S910="A+"),'Data Source'!S910,"")</f>
        <v/>
      </c>
    </row>
    <row r="911">
      <c r="A911" s="3">
        <f>IF(AND('Data Source'!B911&lt;&gt;"",'Data Source'!S911="A+"),COUNTIF('Data Source'!$S$3:S911,"A+"),"")</f>
        <v/>
      </c>
      <c r="B911">
        <f>IF(AND('Data Source'!B911&lt;&gt;"",'Data Source'!S911="A+"),'Data Source'!B911,"")</f>
        <v/>
      </c>
      <c r="C911" s="3">
        <f>IF(AND('Data Source'!B911&lt;&gt;"",'Data Source'!S911="A+"),IF('Data Source'!U911&gt;=5,"A+",IF('Data Source'!U911&gt;=4,"A",IF('Data Source'!U911&gt;=3.5,"A-",IF('Data Source'!U911&gt;=3,"B",IF('Data Source'!U911&gt;=2,"C",IF('Data Source'!U911&gt;=1,"D","F")))))),"")</f>
        <v/>
      </c>
      <c r="D911" s="3">
        <f>IF(AND('Data Source'!B911&lt;&gt;"",'Data Source'!S911="A+"),IF('Data Source'!V911&gt;=5,"A+",IF('Data Source'!V911&gt;=4,"A",IF('Data Source'!V911&gt;=3.5,"A-",IF('Data Source'!V911&gt;=3,"B",IF('Data Source'!V911&gt;=2,"C",IF('Data Source'!V911&gt;=1,"D","F")))))),"")</f>
        <v/>
      </c>
      <c r="E911" s="3">
        <f>IF(AND('Data Source'!B911&lt;&gt;"",'Data Source'!S911="A+"),IF('Data Source'!W911&gt;=5,"A+",IF('Data Source'!W911&gt;=4,"A",IF('Data Source'!W911&gt;=3.5,"A-",IF('Data Source'!W911&gt;=3,"B",IF('Data Source'!W911&gt;=2,"C",IF('Data Source'!W911&gt;=1,"D","F")))))),"")</f>
        <v/>
      </c>
      <c r="F911" s="3">
        <f>IF(AND('Data Source'!B911&lt;&gt;"",'Data Source'!S911="A+"),IF('Data Source'!X911&gt;=5,"A+",IF('Data Source'!X911&gt;=4,"A",IF('Data Source'!X911&gt;=3.5,"A-",IF('Data Source'!X911&gt;=3,"B",IF('Data Source'!X911&gt;=2,"C",IF('Data Source'!X911&gt;=1,"D","F")))))),"")</f>
        <v/>
      </c>
      <c r="G911" s="3">
        <f>IF(AND('Data Source'!B911&lt;&gt;"",'Data Source'!S911="A+"),IF('Data Source'!Y911&gt;=5,"A+",IF('Data Source'!Y911&gt;=4,"A",IF('Data Source'!Y911&gt;=3.5,"A-",IF('Data Source'!Y911&gt;=3,"B",IF('Data Source'!Y911&gt;=2,"C",IF('Data Source'!Y911&gt;=1,"D","F")))))),"")</f>
        <v/>
      </c>
      <c r="H911" s="3">
        <f>IF(AND('Data Source'!B911&lt;&gt;"",'Data Source'!S911="A+"),IF('Data Source'!Z911&gt;=5,"A+",IF('Data Source'!Z911&gt;=4,"A",IF('Data Source'!Z911&gt;=3.5,"A-",IF('Data Source'!Z911&gt;=3,"B",IF('Data Source'!Z911&gt;=2,"C",IF('Data Source'!Z911&gt;=1,"D","F")))))),"")</f>
        <v/>
      </c>
      <c r="I911" s="3">
        <f>IF(AND('Data Source'!B911&lt;&gt;"",'Data Source'!S911="A+"),IF('Data Source'!AA911&gt;=5,"A+",IF('Data Source'!AA911&gt;=4,"A",IF('Data Source'!AA911&gt;=3.5,"A-",IF('Data Source'!AA911&gt;=3,"B",IF('Data Source'!AA911&gt;=2,"C",IF('Data Source'!AA911&gt;=1,"D","F")))))),"")</f>
        <v/>
      </c>
      <c r="J911" s="3">
        <f>IF(AND('Data Source'!B911&lt;&gt;"",'Data Source'!S911="A+"),IF('Data Source'!AB911&gt;=5,"A+",IF('Data Source'!AB911&gt;=4,"A",IF('Data Source'!AB911&gt;=3.5,"A-",IF('Data Source'!AB911&gt;=3,"B",IF('Data Source'!AB911&gt;=2,"C",IF('Data Source'!AB911&gt;=1,"D","F")))))),"")</f>
        <v/>
      </c>
      <c r="K911" s="3">
        <f>IF(AND('Data Source'!B911&lt;&gt;"",'Data Source'!S911="A+"),IF('Data Source'!AC911&gt;=5,"A+",IF('Data Source'!AC911&gt;=4,"A",IF('Data Source'!AC911&gt;=3.5,"A-",IF('Data Source'!AC911&gt;=3,"B",IF('Data Source'!AC911&gt;=2,"C",IF('Data Source'!AC911&gt;=1,"D","F")))))),"")</f>
        <v/>
      </c>
      <c r="L911" s="3">
        <f>IF(AND('Data Source'!B911&lt;&gt;"",'Data Source'!S911="A+"),IF('Data Source'!AD911&gt;=5,"A+",IF('Data Source'!AD911&gt;=4,"A",IF('Data Source'!AD911&gt;=3.5,"A-",IF('Data Source'!AD911&gt;=3,"B",IF('Data Source'!AD911&gt;=2,"C",IF('Data Source'!AD911&gt;=1,"D","F")))))),"")</f>
        <v/>
      </c>
      <c r="M911" s="3">
        <f>IF(AND('Data Source'!B911&lt;&gt;"",'Data Source'!S911="A+"),IF('Data Source'!AE911&gt;=5,"A+",IF('Data Source'!AE911&gt;=4,"A",IF('Data Source'!AE911&gt;=3.5,"A-",IF('Data Source'!AE911&gt;=3,"B",IF('Data Source'!AE911&gt;=2,"C",IF('Data Source'!AE911&gt;=1,"D","F")))))),"")</f>
        <v/>
      </c>
      <c r="N911" s="3">
        <f>IF(AND('Data Source'!B911&lt;&gt;"",'Data Source'!S911="A+"),IF('Data Source'!AF911&gt;=5,"A+",IF('Data Source'!AF911&gt;=4,"A",IF('Data Source'!AF911&gt;=3.5,"A-",IF('Data Source'!AF911&gt;=3,"B",IF('Data Source'!AF911&gt;=2,"C",IF('Data Source'!AF911&gt;=1,"D","F")))))),"")</f>
        <v/>
      </c>
      <c r="O911" s="3">
        <f>IF(AND('Data Source'!B911&lt;&gt;"",'Data Source'!S911="A+"),IF('Data Source'!AG911&gt;=5,"A+",IF('Data Source'!AG911&gt;=4,"A",IF('Data Source'!AG911&gt;=3.5,"A-",IF('Data Source'!AG911&gt;=3,"B",IF('Data Source'!AG911&gt;=2,"C",IF('Data Source'!AG911&gt;=1,"D","F")))))),"")</f>
        <v/>
      </c>
      <c r="P911" s="5">
        <f>IF(AND('Data Source'!B911&lt;&gt;"",'Data Source'!S911="A+"),'Data Source'!R911,"")</f>
        <v/>
      </c>
      <c r="Q911" s="3">
        <f>IF(AND('Data Source'!B911&lt;&gt;"",'Data Source'!S911="A+"),'Data Source'!S911,"")</f>
        <v/>
      </c>
    </row>
    <row r="912">
      <c r="A912" s="3">
        <f>IF(AND('Data Source'!B912&lt;&gt;"",'Data Source'!S912="A+"),COUNTIF('Data Source'!$S$3:S912,"A+"),"")</f>
        <v/>
      </c>
      <c r="B912">
        <f>IF(AND('Data Source'!B912&lt;&gt;"",'Data Source'!S912="A+"),'Data Source'!B912,"")</f>
        <v/>
      </c>
      <c r="C912" s="3">
        <f>IF(AND('Data Source'!B912&lt;&gt;"",'Data Source'!S912="A+"),IF('Data Source'!U912&gt;=5,"A+",IF('Data Source'!U912&gt;=4,"A",IF('Data Source'!U912&gt;=3.5,"A-",IF('Data Source'!U912&gt;=3,"B",IF('Data Source'!U912&gt;=2,"C",IF('Data Source'!U912&gt;=1,"D","F")))))),"")</f>
        <v/>
      </c>
      <c r="D912" s="3">
        <f>IF(AND('Data Source'!B912&lt;&gt;"",'Data Source'!S912="A+"),IF('Data Source'!V912&gt;=5,"A+",IF('Data Source'!V912&gt;=4,"A",IF('Data Source'!V912&gt;=3.5,"A-",IF('Data Source'!V912&gt;=3,"B",IF('Data Source'!V912&gt;=2,"C",IF('Data Source'!V912&gt;=1,"D","F")))))),"")</f>
        <v/>
      </c>
      <c r="E912" s="3">
        <f>IF(AND('Data Source'!B912&lt;&gt;"",'Data Source'!S912="A+"),IF('Data Source'!W912&gt;=5,"A+",IF('Data Source'!W912&gt;=4,"A",IF('Data Source'!W912&gt;=3.5,"A-",IF('Data Source'!W912&gt;=3,"B",IF('Data Source'!W912&gt;=2,"C",IF('Data Source'!W912&gt;=1,"D","F")))))),"")</f>
        <v/>
      </c>
      <c r="F912" s="3">
        <f>IF(AND('Data Source'!B912&lt;&gt;"",'Data Source'!S912="A+"),IF('Data Source'!X912&gt;=5,"A+",IF('Data Source'!X912&gt;=4,"A",IF('Data Source'!X912&gt;=3.5,"A-",IF('Data Source'!X912&gt;=3,"B",IF('Data Source'!X912&gt;=2,"C",IF('Data Source'!X912&gt;=1,"D","F")))))),"")</f>
        <v/>
      </c>
      <c r="G912" s="3">
        <f>IF(AND('Data Source'!B912&lt;&gt;"",'Data Source'!S912="A+"),IF('Data Source'!Y912&gt;=5,"A+",IF('Data Source'!Y912&gt;=4,"A",IF('Data Source'!Y912&gt;=3.5,"A-",IF('Data Source'!Y912&gt;=3,"B",IF('Data Source'!Y912&gt;=2,"C",IF('Data Source'!Y912&gt;=1,"D","F")))))),"")</f>
        <v/>
      </c>
      <c r="H912" s="3">
        <f>IF(AND('Data Source'!B912&lt;&gt;"",'Data Source'!S912="A+"),IF('Data Source'!Z912&gt;=5,"A+",IF('Data Source'!Z912&gt;=4,"A",IF('Data Source'!Z912&gt;=3.5,"A-",IF('Data Source'!Z912&gt;=3,"B",IF('Data Source'!Z912&gt;=2,"C",IF('Data Source'!Z912&gt;=1,"D","F")))))),"")</f>
        <v/>
      </c>
      <c r="I912" s="3">
        <f>IF(AND('Data Source'!B912&lt;&gt;"",'Data Source'!S912="A+"),IF('Data Source'!AA912&gt;=5,"A+",IF('Data Source'!AA912&gt;=4,"A",IF('Data Source'!AA912&gt;=3.5,"A-",IF('Data Source'!AA912&gt;=3,"B",IF('Data Source'!AA912&gt;=2,"C",IF('Data Source'!AA912&gt;=1,"D","F")))))),"")</f>
        <v/>
      </c>
      <c r="J912" s="3">
        <f>IF(AND('Data Source'!B912&lt;&gt;"",'Data Source'!S912="A+"),IF('Data Source'!AB912&gt;=5,"A+",IF('Data Source'!AB912&gt;=4,"A",IF('Data Source'!AB912&gt;=3.5,"A-",IF('Data Source'!AB912&gt;=3,"B",IF('Data Source'!AB912&gt;=2,"C",IF('Data Source'!AB912&gt;=1,"D","F")))))),"")</f>
        <v/>
      </c>
      <c r="K912" s="3">
        <f>IF(AND('Data Source'!B912&lt;&gt;"",'Data Source'!S912="A+"),IF('Data Source'!AC912&gt;=5,"A+",IF('Data Source'!AC912&gt;=4,"A",IF('Data Source'!AC912&gt;=3.5,"A-",IF('Data Source'!AC912&gt;=3,"B",IF('Data Source'!AC912&gt;=2,"C",IF('Data Source'!AC912&gt;=1,"D","F")))))),"")</f>
        <v/>
      </c>
      <c r="L912" s="3">
        <f>IF(AND('Data Source'!B912&lt;&gt;"",'Data Source'!S912="A+"),IF('Data Source'!AD912&gt;=5,"A+",IF('Data Source'!AD912&gt;=4,"A",IF('Data Source'!AD912&gt;=3.5,"A-",IF('Data Source'!AD912&gt;=3,"B",IF('Data Source'!AD912&gt;=2,"C",IF('Data Source'!AD912&gt;=1,"D","F")))))),"")</f>
        <v/>
      </c>
      <c r="M912" s="3">
        <f>IF(AND('Data Source'!B912&lt;&gt;"",'Data Source'!S912="A+"),IF('Data Source'!AE912&gt;=5,"A+",IF('Data Source'!AE912&gt;=4,"A",IF('Data Source'!AE912&gt;=3.5,"A-",IF('Data Source'!AE912&gt;=3,"B",IF('Data Source'!AE912&gt;=2,"C",IF('Data Source'!AE912&gt;=1,"D","F")))))),"")</f>
        <v/>
      </c>
      <c r="N912" s="3">
        <f>IF(AND('Data Source'!B912&lt;&gt;"",'Data Source'!S912="A+"),IF('Data Source'!AF912&gt;=5,"A+",IF('Data Source'!AF912&gt;=4,"A",IF('Data Source'!AF912&gt;=3.5,"A-",IF('Data Source'!AF912&gt;=3,"B",IF('Data Source'!AF912&gt;=2,"C",IF('Data Source'!AF912&gt;=1,"D","F")))))),"")</f>
        <v/>
      </c>
      <c r="O912" s="3">
        <f>IF(AND('Data Source'!B912&lt;&gt;"",'Data Source'!S912="A+"),IF('Data Source'!AG912&gt;=5,"A+",IF('Data Source'!AG912&gt;=4,"A",IF('Data Source'!AG912&gt;=3.5,"A-",IF('Data Source'!AG912&gt;=3,"B",IF('Data Source'!AG912&gt;=2,"C",IF('Data Source'!AG912&gt;=1,"D","F")))))),"")</f>
        <v/>
      </c>
      <c r="P912" s="5">
        <f>IF(AND('Data Source'!B912&lt;&gt;"",'Data Source'!S912="A+"),'Data Source'!R912,"")</f>
        <v/>
      </c>
      <c r="Q912" s="3">
        <f>IF(AND('Data Source'!B912&lt;&gt;"",'Data Source'!S912="A+"),'Data Source'!S912,"")</f>
        <v/>
      </c>
    </row>
    <row r="913">
      <c r="A913" s="3">
        <f>IF(AND('Data Source'!B913&lt;&gt;"",'Data Source'!S913="A+"),COUNTIF('Data Source'!$S$3:S913,"A+"),"")</f>
        <v/>
      </c>
      <c r="B913">
        <f>IF(AND('Data Source'!B913&lt;&gt;"",'Data Source'!S913="A+"),'Data Source'!B913,"")</f>
        <v/>
      </c>
      <c r="C913" s="3">
        <f>IF(AND('Data Source'!B913&lt;&gt;"",'Data Source'!S913="A+"),IF('Data Source'!U913&gt;=5,"A+",IF('Data Source'!U913&gt;=4,"A",IF('Data Source'!U913&gt;=3.5,"A-",IF('Data Source'!U913&gt;=3,"B",IF('Data Source'!U913&gt;=2,"C",IF('Data Source'!U913&gt;=1,"D","F")))))),"")</f>
        <v/>
      </c>
      <c r="D913" s="3">
        <f>IF(AND('Data Source'!B913&lt;&gt;"",'Data Source'!S913="A+"),IF('Data Source'!V913&gt;=5,"A+",IF('Data Source'!V913&gt;=4,"A",IF('Data Source'!V913&gt;=3.5,"A-",IF('Data Source'!V913&gt;=3,"B",IF('Data Source'!V913&gt;=2,"C",IF('Data Source'!V913&gt;=1,"D","F")))))),"")</f>
        <v/>
      </c>
      <c r="E913" s="3">
        <f>IF(AND('Data Source'!B913&lt;&gt;"",'Data Source'!S913="A+"),IF('Data Source'!W913&gt;=5,"A+",IF('Data Source'!W913&gt;=4,"A",IF('Data Source'!W913&gt;=3.5,"A-",IF('Data Source'!W913&gt;=3,"B",IF('Data Source'!W913&gt;=2,"C",IF('Data Source'!W913&gt;=1,"D","F")))))),"")</f>
        <v/>
      </c>
      <c r="F913" s="3">
        <f>IF(AND('Data Source'!B913&lt;&gt;"",'Data Source'!S913="A+"),IF('Data Source'!X913&gt;=5,"A+",IF('Data Source'!X913&gt;=4,"A",IF('Data Source'!X913&gt;=3.5,"A-",IF('Data Source'!X913&gt;=3,"B",IF('Data Source'!X913&gt;=2,"C",IF('Data Source'!X913&gt;=1,"D","F")))))),"")</f>
        <v/>
      </c>
      <c r="G913" s="3">
        <f>IF(AND('Data Source'!B913&lt;&gt;"",'Data Source'!S913="A+"),IF('Data Source'!Y913&gt;=5,"A+",IF('Data Source'!Y913&gt;=4,"A",IF('Data Source'!Y913&gt;=3.5,"A-",IF('Data Source'!Y913&gt;=3,"B",IF('Data Source'!Y913&gt;=2,"C",IF('Data Source'!Y913&gt;=1,"D","F")))))),"")</f>
        <v/>
      </c>
      <c r="H913" s="3">
        <f>IF(AND('Data Source'!B913&lt;&gt;"",'Data Source'!S913="A+"),IF('Data Source'!Z913&gt;=5,"A+",IF('Data Source'!Z913&gt;=4,"A",IF('Data Source'!Z913&gt;=3.5,"A-",IF('Data Source'!Z913&gt;=3,"B",IF('Data Source'!Z913&gt;=2,"C",IF('Data Source'!Z913&gt;=1,"D","F")))))),"")</f>
        <v/>
      </c>
      <c r="I913" s="3">
        <f>IF(AND('Data Source'!B913&lt;&gt;"",'Data Source'!S913="A+"),IF('Data Source'!AA913&gt;=5,"A+",IF('Data Source'!AA913&gt;=4,"A",IF('Data Source'!AA913&gt;=3.5,"A-",IF('Data Source'!AA913&gt;=3,"B",IF('Data Source'!AA913&gt;=2,"C",IF('Data Source'!AA913&gt;=1,"D","F")))))),"")</f>
        <v/>
      </c>
      <c r="J913" s="3">
        <f>IF(AND('Data Source'!B913&lt;&gt;"",'Data Source'!S913="A+"),IF('Data Source'!AB913&gt;=5,"A+",IF('Data Source'!AB913&gt;=4,"A",IF('Data Source'!AB913&gt;=3.5,"A-",IF('Data Source'!AB913&gt;=3,"B",IF('Data Source'!AB913&gt;=2,"C",IF('Data Source'!AB913&gt;=1,"D","F")))))),"")</f>
        <v/>
      </c>
      <c r="K913" s="3">
        <f>IF(AND('Data Source'!B913&lt;&gt;"",'Data Source'!S913="A+"),IF('Data Source'!AC913&gt;=5,"A+",IF('Data Source'!AC913&gt;=4,"A",IF('Data Source'!AC913&gt;=3.5,"A-",IF('Data Source'!AC913&gt;=3,"B",IF('Data Source'!AC913&gt;=2,"C",IF('Data Source'!AC913&gt;=1,"D","F")))))),"")</f>
        <v/>
      </c>
      <c r="L913" s="3">
        <f>IF(AND('Data Source'!B913&lt;&gt;"",'Data Source'!S913="A+"),IF('Data Source'!AD913&gt;=5,"A+",IF('Data Source'!AD913&gt;=4,"A",IF('Data Source'!AD913&gt;=3.5,"A-",IF('Data Source'!AD913&gt;=3,"B",IF('Data Source'!AD913&gt;=2,"C",IF('Data Source'!AD913&gt;=1,"D","F")))))),"")</f>
        <v/>
      </c>
      <c r="M913" s="3">
        <f>IF(AND('Data Source'!B913&lt;&gt;"",'Data Source'!S913="A+"),IF('Data Source'!AE913&gt;=5,"A+",IF('Data Source'!AE913&gt;=4,"A",IF('Data Source'!AE913&gt;=3.5,"A-",IF('Data Source'!AE913&gt;=3,"B",IF('Data Source'!AE913&gt;=2,"C",IF('Data Source'!AE913&gt;=1,"D","F")))))),"")</f>
        <v/>
      </c>
      <c r="N913" s="3">
        <f>IF(AND('Data Source'!B913&lt;&gt;"",'Data Source'!S913="A+"),IF('Data Source'!AF913&gt;=5,"A+",IF('Data Source'!AF913&gt;=4,"A",IF('Data Source'!AF913&gt;=3.5,"A-",IF('Data Source'!AF913&gt;=3,"B",IF('Data Source'!AF913&gt;=2,"C",IF('Data Source'!AF913&gt;=1,"D","F")))))),"")</f>
        <v/>
      </c>
      <c r="O913" s="3">
        <f>IF(AND('Data Source'!B913&lt;&gt;"",'Data Source'!S913="A+"),IF('Data Source'!AG913&gt;=5,"A+",IF('Data Source'!AG913&gt;=4,"A",IF('Data Source'!AG913&gt;=3.5,"A-",IF('Data Source'!AG913&gt;=3,"B",IF('Data Source'!AG913&gt;=2,"C",IF('Data Source'!AG913&gt;=1,"D","F")))))),"")</f>
        <v/>
      </c>
      <c r="P913" s="5">
        <f>IF(AND('Data Source'!B913&lt;&gt;"",'Data Source'!S913="A+"),'Data Source'!R913,"")</f>
        <v/>
      </c>
      <c r="Q913" s="3">
        <f>IF(AND('Data Source'!B913&lt;&gt;"",'Data Source'!S913="A+"),'Data Source'!S913,"")</f>
        <v/>
      </c>
    </row>
    <row r="914">
      <c r="A914" s="3">
        <f>IF(AND('Data Source'!B914&lt;&gt;"",'Data Source'!S914="A+"),COUNTIF('Data Source'!$S$3:S914,"A+"),"")</f>
        <v/>
      </c>
      <c r="B914">
        <f>IF(AND('Data Source'!B914&lt;&gt;"",'Data Source'!S914="A+"),'Data Source'!B914,"")</f>
        <v/>
      </c>
      <c r="C914" s="3">
        <f>IF(AND('Data Source'!B914&lt;&gt;"",'Data Source'!S914="A+"),IF('Data Source'!U914&gt;=5,"A+",IF('Data Source'!U914&gt;=4,"A",IF('Data Source'!U914&gt;=3.5,"A-",IF('Data Source'!U914&gt;=3,"B",IF('Data Source'!U914&gt;=2,"C",IF('Data Source'!U914&gt;=1,"D","F")))))),"")</f>
        <v/>
      </c>
      <c r="D914" s="3">
        <f>IF(AND('Data Source'!B914&lt;&gt;"",'Data Source'!S914="A+"),IF('Data Source'!V914&gt;=5,"A+",IF('Data Source'!V914&gt;=4,"A",IF('Data Source'!V914&gt;=3.5,"A-",IF('Data Source'!V914&gt;=3,"B",IF('Data Source'!V914&gt;=2,"C",IF('Data Source'!V914&gt;=1,"D","F")))))),"")</f>
        <v/>
      </c>
      <c r="E914" s="3">
        <f>IF(AND('Data Source'!B914&lt;&gt;"",'Data Source'!S914="A+"),IF('Data Source'!W914&gt;=5,"A+",IF('Data Source'!W914&gt;=4,"A",IF('Data Source'!W914&gt;=3.5,"A-",IF('Data Source'!W914&gt;=3,"B",IF('Data Source'!W914&gt;=2,"C",IF('Data Source'!W914&gt;=1,"D","F")))))),"")</f>
        <v/>
      </c>
      <c r="F914" s="3">
        <f>IF(AND('Data Source'!B914&lt;&gt;"",'Data Source'!S914="A+"),IF('Data Source'!X914&gt;=5,"A+",IF('Data Source'!X914&gt;=4,"A",IF('Data Source'!X914&gt;=3.5,"A-",IF('Data Source'!X914&gt;=3,"B",IF('Data Source'!X914&gt;=2,"C",IF('Data Source'!X914&gt;=1,"D","F")))))),"")</f>
        <v/>
      </c>
      <c r="G914" s="3">
        <f>IF(AND('Data Source'!B914&lt;&gt;"",'Data Source'!S914="A+"),IF('Data Source'!Y914&gt;=5,"A+",IF('Data Source'!Y914&gt;=4,"A",IF('Data Source'!Y914&gt;=3.5,"A-",IF('Data Source'!Y914&gt;=3,"B",IF('Data Source'!Y914&gt;=2,"C",IF('Data Source'!Y914&gt;=1,"D","F")))))),"")</f>
        <v/>
      </c>
      <c r="H914" s="3">
        <f>IF(AND('Data Source'!B914&lt;&gt;"",'Data Source'!S914="A+"),IF('Data Source'!Z914&gt;=5,"A+",IF('Data Source'!Z914&gt;=4,"A",IF('Data Source'!Z914&gt;=3.5,"A-",IF('Data Source'!Z914&gt;=3,"B",IF('Data Source'!Z914&gt;=2,"C",IF('Data Source'!Z914&gt;=1,"D","F")))))),"")</f>
        <v/>
      </c>
      <c r="I914" s="3">
        <f>IF(AND('Data Source'!B914&lt;&gt;"",'Data Source'!S914="A+"),IF('Data Source'!AA914&gt;=5,"A+",IF('Data Source'!AA914&gt;=4,"A",IF('Data Source'!AA914&gt;=3.5,"A-",IF('Data Source'!AA914&gt;=3,"B",IF('Data Source'!AA914&gt;=2,"C",IF('Data Source'!AA914&gt;=1,"D","F")))))),"")</f>
        <v/>
      </c>
      <c r="J914" s="3">
        <f>IF(AND('Data Source'!B914&lt;&gt;"",'Data Source'!S914="A+"),IF('Data Source'!AB914&gt;=5,"A+",IF('Data Source'!AB914&gt;=4,"A",IF('Data Source'!AB914&gt;=3.5,"A-",IF('Data Source'!AB914&gt;=3,"B",IF('Data Source'!AB914&gt;=2,"C",IF('Data Source'!AB914&gt;=1,"D","F")))))),"")</f>
        <v/>
      </c>
      <c r="K914" s="3">
        <f>IF(AND('Data Source'!B914&lt;&gt;"",'Data Source'!S914="A+"),IF('Data Source'!AC914&gt;=5,"A+",IF('Data Source'!AC914&gt;=4,"A",IF('Data Source'!AC914&gt;=3.5,"A-",IF('Data Source'!AC914&gt;=3,"B",IF('Data Source'!AC914&gt;=2,"C",IF('Data Source'!AC914&gt;=1,"D","F")))))),"")</f>
        <v/>
      </c>
      <c r="L914" s="3">
        <f>IF(AND('Data Source'!B914&lt;&gt;"",'Data Source'!S914="A+"),IF('Data Source'!AD914&gt;=5,"A+",IF('Data Source'!AD914&gt;=4,"A",IF('Data Source'!AD914&gt;=3.5,"A-",IF('Data Source'!AD914&gt;=3,"B",IF('Data Source'!AD914&gt;=2,"C",IF('Data Source'!AD914&gt;=1,"D","F")))))),"")</f>
        <v/>
      </c>
      <c r="M914" s="3">
        <f>IF(AND('Data Source'!B914&lt;&gt;"",'Data Source'!S914="A+"),IF('Data Source'!AE914&gt;=5,"A+",IF('Data Source'!AE914&gt;=4,"A",IF('Data Source'!AE914&gt;=3.5,"A-",IF('Data Source'!AE914&gt;=3,"B",IF('Data Source'!AE914&gt;=2,"C",IF('Data Source'!AE914&gt;=1,"D","F")))))),"")</f>
        <v/>
      </c>
      <c r="N914" s="3">
        <f>IF(AND('Data Source'!B914&lt;&gt;"",'Data Source'!S914="A+"),IF('Data Source'!AF914&gt;=5,"A+",IF('Data Source'!AF914&gt;=4,"A",IF('Data Source'!AF914&gt;=3.5,"A-",IF('Data Source'!AF914&gt;=3,"B",IF('Data Source'!AF914&gt;=2,"C",IF('Data Source'!AF914&gt;=1,"D","F")))))),"")</f>
        <v/>
      </c>
      <c r="O914" s="3">
        <f>IF(AND('Data Source'!B914&lt;&gt;"",'Data Source'!S914="A+"),IF('Data Source'!AG914&gt;=5,"A+",IF('Data Source'!AG914&gt;=4,"A",IF('Data Source'!AG914&gt;=3.5,"A-",IF('Data Source'!AG914&gt;=3,"B",IF('Data Source'!AG914&gt;=2,"C",IF('Data Source'!AG914&gt;=1,"D","F")))))),"")</f>
        <v/>
      </c>
      <c r="P914" s="5">
        <f>IF(AND('Data Source'!B914&lt;&gt;"",'Data Source'!S914="A+"),'Data Source'!R914,"")</f>
        <v/>
      </c>
      <c r="Q914" s="3">
        <f>IF(AND('Data Source'!B914&lt;&gt;"",'Data Source'!S914="A+"),'Data Source'!S914,"")</f>
        <v/>
      </c>
    </row>
    <row r="915">
      <c r="A915" s="3">
        <f>IF(AND('Data Source'!B915&lt;&gt;"",'Data Source'!S915="A+"),COUNTIF('Data Source'!$S$3:S915,"A+"),"")</f>
        <v/>
      </c>
      <c r="B915">
        <f>IF(AND('Data Source'!B915&lt;&gt;"",'Data Source'!S915="A+"),'Data Source'!B915,"")</f>
        <v/>
      </c>
      <c r="C915" s="3">
        <f>IF(AND('Data Source'!B915&lt;&gt;"",'Data Source'!S915="A+"),IF('Data Source'!U915&gt;=5,"A+",IF('Data Source'!U915&gt;=4,"A",IF('Data Source'!U915&gt;=3.5,"A-",IF('Data Source'!U915&gt;=3,"B",IF('Data Source'!U915&gt;=2,"C",IF('Data Source'!U915&gt;=1,"D","F")))))),"")</f>
        <v/>
      </c>
      <c r="D915" s="3">
        <f>IF(AND('Data Source'!B915&lt;&gt;"",'Data Source'!S915="A+"),IF('Data Source'!V915&gt;=5,"A+",IF('Data Source'!V915&gt;=4,"A",IF('Data Source'!V915&gt;=3.5,"A-",IF('Data Source'!V915&gt;=3,"B",IF('Data Source'!V915&gt;=2,"C",IF('Data Source'!V915&gt;=1,"D","F")))))),"")</f>
        <v/>
      </c>
      <c r="E915" s="3">
        <f>IF(AND('Data Source'!B915&lt;&gt;"",'Data Source'!S915="A+"),IF('Data Source'!W915&gt;=5,"A+",IF('Data Source'!W915&gt;=4,"A",IF('Data Source'!W915&gt;=3.5,"A-",IF('Data Source'!W915&gt;=3,"B",IF('Data Source'!W915&gt;=2,"C",IF('Data Source'!W915&gt;=1,"D","F")))))),"")</f>
        <v/>
      </c>
      <c r="F915" s="3">
        <f>IF(AND('Data Source'!B915&lt;&gt;"",'Data Source'!S915="A+"),IF('Data Source'!X915&gt;=5,"A+",IF('Data Source'!X915&gt;=4,"A",IF('Data Source'!X915&gt;=3.5,"A-",IF('Data Source'!X915&gt;=3,"B",IF('Data Source'!X915&gt;=2,"C",IF('Data Source'!X915&gt;=1,"D","F")))))),"")</f>
        <v/>
      </c>
      <c r="G915" s="3">
        <f>IF(AND('Data Source'!B915&lt;&gt;"",'Data Source'!S915="A+"),IF('Data Source'!Y915&gt;=5,"A+",IF('Data Source'!Y915&gt;=4,"A",IF('Data Source'!Y915&gt;=3.5,"A-",IF('Data Source'!Y915&gt;=3,"B",IF('Data Source'!Y915&gt;=2,"C",IF('Data Source'!Y915&gt;=1,"D","F")))))),"")</f>
        <v/>
      </c>
      <c r="H915" s="3">
        <f>IF(AND('Data Source'!B915&lt;&gt;"",'Data Source'!S915="A+"),IF('Data Source'!Z915&gt;=5,"A+",IF('Data Source'!Z915&gt;=4,"A",IF('Data Source'!Z915&gt;=3.5,"A-",IF('Data Source'!Z915&gt;=3,"B",IF('Data Source'!Z915&gt;=2,"C",IF('Data Source'!Z915&gt;=1,"D","F")))))),"")</f>
        <v/>
      </c>
      <c r="I915" s="3">
        <f>IF(AND('Data Source'!B915&lt;&gt;"",'Data Source'!S915="A+"),IF('Data Source'!AA915&gt;=5,"A+",IF('Data Source'!AA915&gt;=4,"A",IF('Data Source'!AA915&gt;=3.5,"A-",IF('Data Source'!AA915&gt;=3,"B",IF('Data Source'!AA915&gt;=2,"C",IF('Data Source'!AA915&gt;=1,"D","F")))))),"")</f>
        <v/>
      </c>
      <c r="J915" s="3">
        <f>IF(AND('Data Source'!B915&lt;&gt;"",'Data Source'!S915="A+"),IF('Data Source'!AB915&gt;=5,"A+",IF('Data Source'!AB915&gt;=4,"A",IF('Data Source'!AB915&gt;=3.5,"A-",IF('Data Source'!AB915&gt;=3,"B",IF('Data Source'!AB915&gt;=2,"C",IF('Data Source'!AB915&gt;=1,"D","F")))))),"")</f>
        <v/>
      </c>
      <c r="K915" s="3">
        <f>IF(AND('Data Source'!B915&lt;&gt;"",'Data Source'!S915="A+"),IF('Data Source'!AC915&gt;=5,"A+",IF('Data Source'!AC915&gt;=4,"A",IF('Data Source'!AC915&gt;=3.5,"A-",IF('Data Source'!AC915&gt;=3,"B",IF('Data Source'!AC915&gt;=2,"C",IF('Data Source'!AC915&gt;=1,"D","F")))))),"")</f>
        <v/>
      </c>
      <c r="L915" s="3">
        <f>IF(AND('Data Source'!B915&lt;&gt;"",'Data Source'!S915="A+"),IF('Data Source'!AD915&gt;=5,"A+",IF('Data Source'!AD915&gt;=4,"A",IF('Data Source'!AD915&gt;=3.5,"A-",IF('Data Source'!AD915&gt;=3,"B",IF('Data Source'!AD915&gt;=2,"C",IF('Data Source'!AD915&gt;=1,"D","F")))))),"")</f>
        <v/>
      </c>
      <c r="M915" s="3">
        <f>IF(AND('Data Source'!B915&lt;&gt;"",'Data Source'!S915="A+"),IF('Data Source'!AE915&gt;=5,"A+",IF('Data Source'!AE915&gt;=4,"A",IF('Data Source'!AE915&gt;=3.5,"A-",IF('Data Source'!AE915&gt;=3,"B",IF('Data Source'!AE915&gt;=2,"C",IF('Data Source'!AE915&gt;=1,"D","F")))))),"")</f>
        <v/>
      </c>
      <c r="N915" s="3">
        <f>IF(AND('Data Source'!B915&lt;&gt;"",'Data Source'!S915="A+"),IF('Data Source'!AF915&gt;=5,"A+",IF('Data Source'!AF915&gt;=4,"A",IF('Data Source'!AF915&gt;=3.5,"A-",IF('Data Source'!AF915&gt;=3,"B",IF('Data Source'!AF915&gt;=2,"C",IF('Data Source'!AF915&gt;=1,"D","F")))))),"")</f>
        <v/>
      </c>
      <c r="O915" s="3">
        <f>IF(AND('Data Source'!B915&lt;&gt;"",'Data Source'!S915="A+"),IF('Data Source'!AG915&gt;=5,"A+",IF('Data Source'!AG915&gt;=4,"A",IF('Data Source'!AG915&gt;=3.5,"A-",IF('Data Source'!AG915&gt;=3,"B",IF('Data Source'!AG915&gt;=2,"C",IF('Data Source'!AG915&gt;=1,"D","F")))))),"")</f>
        <v/>
      </c>
      <c r="P915" s="5">
        <f>IF(AND('Data Source'!B915&lt;&gt;"",'Data Source'!S915="A+"),'Data Source'!R915,"")</f>
        <v/>
      </c>
      <c r="Q915" s="3">
        <f>IF(AND('Data Source'!B915&lt;&gt;"",'Data Source'!S915="A+"),'Data Source'!S915,"")</f>
        <v/>
      </c>
    </row>
    <row r="916">
      <c r="A916" s="3">
        <f>IF(AND('Data Source'!B916&lt;&gt;"",'Data Source'!S916="A+"),COUNTIF('Data Source'!$S$3:S916,"A+"),"")</f>
        <v/>
      </c>
      <c r="B916">
        <f>IF(AND('Data Source'!B916&lt;&gt;"",'Data Source'!S916="A+"),'Data Source'!B916,"")</f>
        <v/>
      </c>
      <c r="C916" s="3">
        <f>IF(AND('Data Source'!B916&lt;&gt;"",'Data Source'!S916="A+"),IF('Data Source'!U916&gt;=5,"A+",IF('Data Source'!U916&gt;=4,"A",IF('Data Source'!U916&gt;=3.5,"A-",IF('Data Source'!U916&gt;=3,"B",IF('Data Source'!U916&gt;=2,"C",IF('Data Source'!U916&gt;=1,"D","F")))))),"")</f>
        <v/>
      </c>
      <c r="D916" s="3">
        <f>IF(AND('Data Source'!B916&lt;&gt;"",'Data Source'!S916="A+"),IF('Data Source'!V916&gt;=5,"A+",IF('Data Source'!V916&gt;=4,"A",IF('Data Source'!V916&gt;=3.5,"A-",IF('Data Source'!V916&gt;=3,"B",IF('Data Source'!V916&gt;=2,"C",IF('Data Source'!V916&gt;=1,"D","F")))))),"")</f>
        <v/>
      </c>
      <c r="E916" s="3">
        <f>IF(AND('Data Source'!B916&lt;&gt;"",'Data Source'!S916="A+"),IF('Data Source'!W916&gt;=5,"A+",IF('Data Source'!W916&gt;=4,"A",IF('Data Source'!W916&gt;=3.5,"A-",IF('Data Source'!W916&gt;=3,"B",IF('Data Source'!W916&gt;=2,"C",IF('Data Source'!W916&gt;=1,"D","F")))))),"")</f>
        <v/>
      </c>
      <c r="F916" s="3">
        <f>IF(AND('Data Source'!B916&lt;&gt;"",'Data Source'!S916="A+"),IF('Data Source'!X916&gt;=5,"A+",IF('Data Source'!X916&gt;=4,"A",IF('Data Source'!X916&gt;=3.5,"A-",IF('Data Source'!X916&gt;=3,"B",IF('Data Source'!X916&gt;=2,"C",IF('Data Source'!X916&gt;=1,"D","F")))))),"")</f>
        <v/>
      </c>
      <c r="G916" s="3">
        <f>IF(AND('Data Source'!B916&lt;&gt;"",'Data Source'!S916="A+"),IF('Data Source'!Y916&gt;=5,"A+",IF('Data Source'!Y916&gt;=4,"A",IF('Data Source'!Y916&gt;=3.5,"A-",IF('Data Source'!Y916&gt;=3,"B",IF('Data Source'!Y916&gt;=2,"C",IF('Data Source'!Y916&gt;=1,"D","F")))))),"")</f>
        <v/>
      </c>
      <c r="H916" s="3">
        <f>IF(AND('Data Source'!B916&lt;&gt;"",'Data Source'!S916="A+"),IF('Data Source'!Z916&gt;=5,"A+",IF('Data Source'!Z916&gt;=4,"A",IF('Data Source'!Z916&gt;=3.5,"A-",IF('Data Source'!Z916&gt;=3,"B",IF('Data Source'!Z916&gt;=2,"C",IF('Data Source'!Z916&gt;=1,"D","F")))))),"")</f>
        <v/>
      </c>
      <c r="I916" s="3">
        <f>IF(AND('Data Source'!B916&lt;&gt;"",'Data Source'!S916="A+"),IF('Data Source'!AA916&gt;=5,"A+",IF('Data Source'!AA916&gt;=4,"A",IF('Data Source'!AA916&gt;=3.5,"A-",IF('Data Source'!AA916&gt;=3,"B",IF('Data Source'!AA916&gt;=2,"C",IF('Data Source'!AA916&gt;=1,"D","F")))))),"")</f>
        <v/>
      </c>
      <c r="J916" s="3">
        <f>IF(AND('Data Source'!B916&lt;&gt;"",'Data Source'!S916="A+"),IF('Data Source'!AB916&gt;=5,"A+",IF('Data Source'!AB916&gt;=4,"A",IF('Data Source'!AB916&gt;=3.5,"A-",IF('Data Source'!AB916&gt;=3,"B",IF('Data Source'!AB916&gt;=2,"C",IF('Data Source'!AB916&gt;=1,"D","F")))))),"")</f>
        <v/>
      </c>
      <c r="K916" s="3">
        <f>IF(AND('Data Source'!B916&lt;&gt;"",'Data Source'!S916="A+"),IF('Data Source'!AC916&gt;=5,"A+",IF('Data Source'!AC916&gt;=4,"A",IF('Data Source'!AC916&gt;=3.5,"A-",IF('Data Source'!AC916&gt;=3,"B",IF('Data Source'!AC916&gt;=2,"C",IF('Data Source'!AC916&gt;=1,"D","F")))))),"")</f>
        <v/>
      </c>
      <c r="L916" s="3">
        <f>IF(AND('Data Source'!B916&lt;&gt;"",'Data Source'!S916="A+"),IF('Data Source'!AD916&gt;=5,"A+",IF('Data Source'!AD916&gt;=4,"A",IF('Data Source'!AD916&gt;=3.5,"A-",IF('Data Source'!AD916&gt;=3,"B",IF('Data Source'!AD916&gt;=2,"C",IF('Data Source'!AD916&gt;=1,"D","F")))))),"")</f>
        <v/>
      </c>
      <c r="M916" s="3">
        <f>IF(AND('Data Source'!B916&lt;&gt;"",'Data Source'!S916="A+"),IF('Data Source'!AE916&gt;=5,"A+",IF('Data Source'!AE916&gt;=4,"A",IF('Data Source'!AE916&gt;=3.5,"A-",IF('Data Source'!AE916&gt;=3,"B",IF('Data Source'!AE916&gt;=2,"C",IF('Data Source'!AE916&gt;=1,"D","F")))))),"")</f>
        <v/>
      </c>
      <c r="N916" s="3">
        <f>IF(AND('Data Source'!B916&lt;&gt;"",'Data Source'!S916="A+"),IF('Data Source'!AF916&gt;=5,"A+",IF('Data Source'!AF916&gt;=4,"A",IF('Data Source'!AF916&gt;=3.5,"A-",IF('Data Source'!AF916&gt;=3,"B",IF('Data Source'!AF916&gt;=2,"C",IF('Data Source'!AF916&gt;=1,"D","F")))))),"")</f>
        <v/>
      </c>
      <c r="O916" s="3">
        <f>IF(AND('Data Source'!B916&lt;&gt;"",'Data Source'!S916="A+"),IF('Data Source'!AG916&gt;=5,"A+",IF('Data Source'!AG916&gt;=4,"A",IF('Data Source'!AG916&gt;=3.5,"A-",IF('Data Source'!AG916&gt;=3,"B",IF('Data Source'!AG916&gt;=2,"C",IF('Data Source'!AG916&gt;=1,"D","F")))))),"")</f>
        <v/>
      </c>
      <c r="P916" s="5">
        <f>IF(AND('Data Source'!B916&lt;&gt;"",'Data Source'!S916="A+"),'Data Source'!R916,"")</f>
        <v/>
      </c>
      <c r="Q916" s="3">
        <f>IF(AND('Data Source'!B916&lt;&gt;"",'Data Source'!S916="A+"),'Data Source'!S916,"")</f>
        <v/>
      </c>
    </row>
    <row r="917">
      <c r="A917" s="3">
        <f>IF(AND('Data Source'!B917&lt;&gt;"",'Data Source'!S917="A+"),COUNTIF('Data Source'!$S$3:S917,"A+"),"")</f>
        <v/>
      </c>
      <c r="B917">
        <f>IF(AND('Data Source'!B917&lt;&gt;"",'Data Source'!S917="A+"),'Data Source'!B917,"")</f>
        <v/>
      </c>
      <c r="C917" s="3">
        <f>IF(AND('Data Source'!B917&lt;&gt;"",'Data Source'!S917="A+"),IF('Data Source'!U917&gt;=5,"A+",IF('Data Source'!U917&gt;=4,"A",IF('Data Source'!U917&gt;=3.5,"A-",IF('Data Source'!U917&gt;=3,"B",IF('Data Source'!U917&gt;=2,"C",IF('Data Source'!U917&gt;=1,"D","F")))))),"")</f>
        <v/>
      </c>
      <c r="D917" s="3">
        <f>IF(AND('Data Source'!B917&lt;&gt;"",'Data Source'!S917="A+"),IF('Data Source'!V917&gt;=5,"A+",IF('Data Source'!V917&gt;=4,"A",IF('Data Source'!V917&gt;=3.5,"A-",IF('Data Source'!V917&gt;=3,"B",IF('Data Source'!V917&gt;=2,"C",IF('Data Source'!V917&gt;=1,"D","F")))))),"")</f>
        <v/>
      </c>
      <c r="E917" s="3">
        <f>IF(AND('Data Source'!B917&lt;&gt;"",'Data Source'!S917="A+"),IF('Data Source'!W917&gt;=5,"A+",IF('Data Source'!W917&gt;=4,"A",IF('Data Source'!W917&gt;=3.5,"A-",IF('Data Source'!W917&gt;=3,"B",IF('Data Source'!W917&gt;=2,"C",IF('Data Source'!W917&gt;=1,"D","F")))))),"")</f>
        <v/>
      </c>
      <c r="F917" s="3">
        <f>IF(AND('Data Source'!B917&lt;&gt;"",'Data Source'!S917="A+"),IF('Data Source'!X917&gt;=5,"A+",IF('Data Source'!X917&gt;=4,"A",IF('Data Source'!X917&gt;=3.5,"A-",IF('Data Source'!X917&gt;=3,"B",IF('Data Source'!X917&gt;=2,"C",IF('Data Source'!X917&gt;=1,"D","F")))))),"")</f>
        <v/>
      </c>
      <c r="G917" s="3">
        <f>IF(AND('Data Source'!B917&lt;&gt;"",'Data Source'!S917="A+"),IF('Data Source'!Y917&gt;=5,"A+",IF('Data Source'!Y917&gt;=4,"A",IF('Data Source'!Y917&gt;=3.5,"A-",IF('Data Source'!Y917&gt;=3,"B",IF('Data Source'!Y917&gt;=2,"C",IF('Data Source'!Y917&gt;=1,"D","F")))))),"")</f>
        <v/>
      </c>
      <c r="H917" s="3">
        <f>IF(AND('Data Source'!B917&lt;&gt;"",'Data Source'!S917="A+"),IF('Data Source'!Z917&gt;=5,"A+",IF('Data Source'!Z917&gt;=4,"A",IF('Data Source'!Z917&gt;=3.5,"A-",IF('Data Source'!Z917&gt;=3,"B",IF('Data Source'!Z917&gt;=2,"C",IF('Data Source'!Z917&gt;=1,"D","F")))))),"")</f>
        <v/>
      </c>
      <c r="I917" s="3">
        <f>IF(AND('Data Source'!B917&lt;&gt;"",'Data Source'!S917="A+"),IF('Data Source'!AA917&gt;=5,"A+",IF('Data Source'!AA917&gt;=4,"A",IF('Data Source'!AA917&gt;=3.5,"A-",IF('Data Source'!AA917&gt;=3,"B",IF('Data Source'!AA917&gt;=2,"C",IF('Data Source'!AA917&gt;=1,"D","F")))))),"")</f>
        <v/>
      </c>
      <c r="J917" s="3">
        <f>IF(AND('Data Source'!B917&lt;&gt;"",'Data Source'!S917="A+"),IF('Data Source'!AB917&gt;=5,"A+",IF('Data Source'!AB917&gt;=4,"A",IF('Data Source'!AB917&gt;=3.5,"A-",IF('Data Source'!AB917&gt;=3,"B",IF('Data Source'!AB917&gt;=2,"C",IF('Data Source'!AB917&gt;=1,"D","F")))))),"")</f>
        <v/>
      </c>
      <c r="K917" s="3">
        <f>IF(AND('Data Source'!B917&lt;&gt;"",'Data Source'!S917="A+"),IF('Data Source'!AC917&gt;=5,"A+",IF('Data Source'!AC917&gt;=4,"A",IF('Data Source'!AC917&gt;=3.5,"A-",IF('Data Source'!AC917&gt;=3,"B",IF('Data Source'!AC917&gt;=2,"C",IF('Data Source'!AC917&gt;=1,"D","F")))))),"")</f>
        <v/>
      </c>
      <c r="L917" s="3">
        <f>IF(AND('Data Source'!B917&lt;&gt;"",'Data Source'!S917="A+"),IF('Data Source'!AD917&gt;=5,"A+",IF('Data Source'!AD917&gt;=4,"A",IF('Data Source'!AD917&gt;=3.5,"A-",IF('Data Source'!AD917&gt;=3,"B",IF('Data Source'!AD917&gt;=2,"C",IF('Data Source'!AD917&gt;=1,"D","F")))))),"")</f>
        <v/>
      </c>
      <c r="M917" s="3">
        <f>IF(AND('Data Source'!B917&lt;&gt;"",'Data Source'!S917="A+"),IF('Data Source'!AE917&gt;=5,"A+",IF('Data Source'!AE917&gt;=4,"A",IF('Data Source'!AE917&gt;=3.5,"A-",IF('Data Source'!AE917&gt;=3,"B",IF('Data Source'!AE917&gt;=2,"C",IF('Data Source'!AE917&gt;=1,"D","F")))))),"")</f>
        <v/>
      </c>
      <c r="N917" s="3">
        <f>IF(AND('Data Source'!B917&lt;&gt;"",'Data Source'!S917="A+"),IF('Data Source'!AF917&gt;=5,"A+",IF('Data Source'!AF917&gt;=4,"A",IF('Data Source'!AF917&gt;=3.5,"A-",IF('Data Source'!AF917&gt;=3,"B",IF('Data Source'!AF917&gt;=2,"C",IF('Data Source'!AF917&gt;=1,"D","F")))))),"")</f>
        <v/>
      </c>
      <c r="O917" s="3">
        <f>IF(AND('Data Source'!B917&lt;&gt;"",'Data Source'!S917="A+"),IF('Data Source'!AG917&gt;=5,"A+",IF('Data Source'!AG917&gt;=4,"A",IF('Data Source'!AG917&gt;=3.5,"A-",IF('Data Source'!AG917&gt;=3,"B",IF('Data Source'!AG917&gt;=2,"C",IF('Data Source'!AG917&gt;=1,"D","F")))))),"")</f>
        <v/>
      </c>
      <c r="P917" s="5">
        <f>IF(AND('Data Source'!B917&lt;&gt;"",'Data Source'!S917="A+"),'Data Source'!R917,"")</f>
        <v/>
      </c>
      <c r="Q917" s="3">
        <f>IF(AND('Data Source'!B917&lt;&gt;"",'Data Source'!S917="A+"),'Data Source'!S917,"")</f>
        <v/>
      </c>
    </row>
    <row r="918">
      <c r="A918" s="3">
        <f>IF(AND('Data Source'!B918&lt;&gt;"",'Data Source'!S918="A+"),COUNTIF('Data Source'!$S$3:S918,"A+"),"")</f>
        <v/>
      </c>
      <c r="B918">
        <f>IF(AND('Data Source'!B918&lt;&gt;"",'Data Source'!S918="A+"),'Data Source'!B918,"")</f>
        <v/>
      </c>
      <c r="C918" s="3">
        <f>IF(AND('Data Source'!B918&lt;&gt;"",'Data Source'!S918="A+"),IF('Data Source'!U918&gt;=5,"A+",IF('Data Source'!U918&gt;=4,"A",IF('Data Source'!U918&gt;=3.5,"A-",IF('Data Source'!U918&gt;=3,"B",IF('Data Source'!U918&gt;=2,"C",IF('Data Source'!U918&gt;=1,"D","F")))))),"")</f>
        <v/>
      </c>
      <c r="D918" s="3">
        <f>IF(AND('Data Source'!B918&lt;&gt;"",'Data Source'!S918="A+"),IF('Data Source'!V918&gt;=5,"A+",IF('Data Source'!V918&gt;=4,"A",IF('Data Source'!V918&gt;=3.5,"A-",IF('Data Source'!V918&gt;=3,"B",IF('Data Source'!V918&gt;=2,"C",IF('Data Source'!V918&gt;=1,"D","F")))))),"")</f>
        <v/>
      </c>
      <c r="E918" s="3">
        <f>IF(AND('Data Source'!B918&lt;&gt;"",'Data Source'!S918="A+"),IF('Data Source'!W918&gt;=5,"A+",IF('Data Source'!W918&gt;=4,"A",IF('Data Source'!W918&gt;=3.5,"A-",IF('Data Source'!W918&gt;=3,"B",IF('Data Source'!W918&gt;=2,"C",IF('Data Source'!W918&gt;=1,"D","F")))))),"")</f>
        <v/>
      </c>
      <c r="F918" s="3">
        <f>IF(AND('Data Source'!B918&lt;&gt;"",'Data Source'!S918="A+"),IF('Data Source'!X918&gt;=5,"A+",IF('Data Source'!X918&gt;=4,"A",IF('Data Source'!X918&gt;=3.5,"A-",IF('Data Source'!X918&gt;=3,"B",IF('Data Source'!X918&gt;=2,"C",IF('Data Source'!X918&gt;=1,"D","F")))))),"")</f>
        <v/>
      </c>
      <c r="G918" s="3">
        <f>IF(AND('Data Source'!B918&lt;&gt;"",'Data Source'!S918="A+"),IF('Data Source'!Y918&gt;=5,"A+",IF('Data Source'!Y918&gt;=4,"A",IF('Data Source'!Y918&gt;=3.5,"A-",IF('Data Source'!Y918&gt;=3,"B",IF('Data Source'!Y918&gt;=2,"C",IF('Data Source'!Y918&gt;=1,"D","F")))))),"")</f>
        <v/>
      </c>
      <c r="H918" s="3">
        <f>IF(AND('Data Source'!B918&lt;&gt;"",'Data Source'!S918="A+"),IF('Data Source'!Z918&gt;=5,"A+",IF('Data Source'!Z918&gt;=4,"A",IF('Data Source'!Z918&gt;=3.5,"A-",IF('Data Source'!Z918&gt;=3,"B",IF('Data Source'!Z918&gt;=2,"C",IF('Data Source'!Z918&gt;=1,"D","F")))))),"")</f>
        <v/>
      </c>
      <c r="I918" s="3">
        <f>IF(AND('Data Source'!B918&lt;&gt;"",'Data Source'!S918="A+"),IF('Data Source'!AA918&gt;=5,"A+",IF('Data Source'!AA918&gt;=4,"A",IF('Data Source'!AA918&gt;=3.5,"A-",IF('Data Source'!AA918&gt;=3,"B",IF('Data Source'!AA918&gt;=2,"C",IF('Data Source'!AA918&gt;=1,"D","F")))))),"")</f>
        <v/>
      </c>
      <c r="J918" s="3">
        <f>IF(AND('Data Source'!B918&lt;&gt;"",'Data Source'!S918="A+"),IF('Data Source'!AB918&gt;=5,"A+",IF('Data Source'!AB918&gt;=4,"A",IF('Data Source'!AB918&gt;=3.5,"A-",IF('Data Source'!AB918&gt;=3,"B",IF('Data Source'!AB918&gt;=2,"C",IF('Data Source'!AB918&gt;=1,"D","F")))))),"")</f>
        <v/>
      </c>
      <c r="K918" s="3">
        <f>IF(AND('Data Source'!B918&lt;&gt;"",'Data Source'!S918="A+"),IF('Data Source'!AC918&gt;=5,"A+",IF('Data Source'!AC918&gt;=4,"A",IF('Data Source'!AC918&gt;=3.5,"A-",IF('Data Source'!AC918&gt;=3,"B",IF('Data Source'!AC918&gt;=2,"C",IF('Data Source'!AC918&gt;=1,"D","F")))))),"")</f>
        <v/>
      </c>
      <c r="L918" s="3">
        <f>IF(AND('Data Source'!B918&lt;&gt;"",'Data Source'!S918="A+"),IF('Data Source'!AD918&gt;=5,"A+",IF('Data Source'!AD918&gt;=4,"A",IF('Data Source'!AD918&gt;=3.5,"A-",IF('Data Source'!AD918&gt;=3,"B",IF('Data Source'!AD918&gt;=2,"C",IF('Data Source'!AD918&gt;=1,"D","F")))))),"")</f>
        <v/>
      </c>
      <c r="M918" s="3">
        <f>IF(AND('Data Source'!B918&lt;&gt;"",'Data Source'!S918="A+"),IF('Data Source'!AE918&gt;=5,"A+",IF('Data Source'!AE918&gt;=4,"A",IF('Data Source'!AE918&gt;=3.5,"A-",IF('Data Source'!AE918&gt;=3,"B",IF('Data Source'!AE918&gt;=2,"C",IF('Data Source'!AE918&gt;=1,"D","F")))))),"")</f>
        <v/>
      </c>
      <c r="N918" s="3">
        <f>IF(AND('Data Source'!B918&lt;&gt;"",'Data Source'!S918="A+"),IF('Data Source'!AF918&gt;=5,"A+",IF('Data Source'!AF918&gt;=4,"A",IF('Data Source'!AF918&gt;=3.5,"A-",IF('Data Source'!AF918&gt;=3,"B",IF('Data Source'!AF918&gt;=2,"C",IF('Data Source'!AF918&gt;=1,"D","F")))))),"")</f>
        <v/>
      </c>
      <c r="O918" s="3">
        <f>IF(AND('Data Source'!B918&lt;&gt;"",'Data Source'!S918="A+"),IF('Data Source'!AG918&gt;=5,"A+",IF('Data Source'!AG918&gt;=4,"A",IF('Data Source'!AG918&gt;=3.5,"A-",IF('Data Source'!AG918&gt;=3,"B",IF('Data Source'!AG918&gt;=2,"C",IF('Data Source'!AG918&gt;=1,"D","F")))))),"")</f>
        <v/>
      </c>
      <c r="P918" s="5">
        <f>IF(AND('Data Source'!B918&lt;&gt;"",'Data Source'!S918="A+"),'Data Source'!R918,"")</f>
        <v/>
      </c>
      <c r="Q918" s="3">
        <f>IF(AND('Data Source'!B918&lt;&gt;"",'Data Source'!S918="A+"),'Data Source'!S918,"")</f>
        <v/>
      </c>
    </row>
    <row r="919">
      <c r="A919" s="3">
        <f>IF(AND('Data Source'!B919&lt;&gt;"",'Data Source'!S919="A+"),COUNTIF('Data Source'!$S$3:S919,"A+"),"")</f>
        <v/>
      </c>
      <c r="B919">
        <f>IF(AND('Data Source'!B919&lt;&gt;"",'Data Source'!S919="A+"),'Data Source'!B919,"")</f>
        <v/>
      </c>
      <c r="C919" s="3">
        <f>IF(AND('Data Source'!B919&lt;&gt;"",'Data Source'!S919="A+"),IF('Data Source'!U919&gt;=5,"A+",IF('Data Source'!U919&gt;=4,"A",IF('Data Source'!U919&gt;=3.5,"A-",IF('Data Source'!U919&gt;=3,"B",IF('Data Source'!U919&gt;=2,"C",IF('Data Source'!U919&gt;=1,"D","F")))))),"")</f>
        <v/>
      </c>
      <c r="D919" s="3">
        <f>IF(AND('Data Source'!B919&lt;&gt;"",'Data Source'!S919="A+"),IF('Data Source'!V919&gt;=5,"A+",IF('Data Source'!V919&gt;=4,"A",IF('Data Source'!V919&gt;=3.5,"A-",IF('Data Source'!V919&gt;=3,"B",IF('Data Source'!V919&gt;=2,"C",IF('Data Source'!V919&gt;=1,"D","F")))))),"")</f>
        <v/>
      </c>
      <c r="E919" s="3">
        <f>IF(AND('Data Source'!B919&lt;&gt;"",'Data Source'!S919="A+"),IF('Data Source'!W919&gt;=5,"A+",IF('Data Source'!W919&gt;=4,"A",IF('Data Source'!W919&gt;=3.5,"A-",IF('Data Source'!W919&gt;=3,"B",IF('Data Source'!W919&gt;=2,"C",IF('Data Source'!W919&gt;=1,"D","F")))))),"")</f>
        <v/>
      </c>
      <c r="F919" s="3">
        <f>IF(AND('Data Source'!B919&lt;&gt;"",'Data Source'!S919="A+"),IF('Data Source'!X919&gt;=5,"A+",IF('Data Source'!X919&gt;=4,"A",IF('Data Source'!X919&gt;=3.5,"A-",IF('Data Source'!X919&gt;=3,"B",IF('Data Source'!X919&gt;=2,"C",IF('Data Source'!X919&gt;=1,"D","F")))))),"")</f>
        <v/>
      </c>
      <c r="G919" s="3">
        <f>IF(AND('Data Source'!B919&lt;&gt;"",'Data Source'!S919="A+"),IF('Data Source'!Y919&gt;=5,"A+",IF('Data Source'!Y919&gt;=4,"A",IF('Data Source'!Y919&gt;=3.5,"A-",IF('Data Source'!Y919&gt;=3,"B",IF('Data Source'!Y919&gt;=2,"C",IF('Data Source'!Y919&gt;=1,"D","F")))))),"")</f>
        <v/>
      </c>
      <c r="H919" s="3">
        <f>IF(AND('Data Source'!B919&lt;&gt;"",'Data Source'!S919="A+"),IF('Data Source'!Z919&gt;=5,"A+",IF('Data Source'!Z919&gt;=4,"A",IF('Data Source'!Z919&gt;=3.5,"A-",IF('Data Source'!Z919&gt;=3,"B",IF('Data Source'!Z919&gt;=2,"C",IF('Data Source'!Z919&gt;=1,"D","F")))))),"")</f>
        <v/>
      </c>
      <c r="I919" s="3">
        <f>IF(AND('Data Source'!B919&lt;&gt;"",'Data Source'!S919="A+"),IF('Data Source'!AA919&gt;=5,"A+",IF('Data Source'!AA919&gt;=4,"A",IF('Data Source'!AA919&gt;=3.5,"A-",IF('Data Source'!AA919&gt;=3,"B",IF('Data Source'!AA919&gt;=2,"C",IF('Data Source'!AA919&gt;=1,"D","F")))))),"")</f>
        <v/>
      </c>
      <c r="J919" s="3">
        <f>IF(AND('Data Source'!B919&lt;&gt;"",'Data Source'!S919="A+"),IF('Data Source'!AB919&gt;=5,"A+",IF('Data Source'!AB919&gt;=4,"A",IF('Data Source'!AB919&gt;=3.5,"A-",IF('Data Source'!AB919&gt;=3,"B",IF('Data Source'!AB919&gt;=2,"C",IF('Data Source'!AB919&gt;=1,"D","F")))))),"")</f>
        <v/>
      </c>
      <c r="K919" s="3">
        <f>IF(AND('Data Source'!B919&lt;&gt;"",'Data Source'!S919="A+"),IF('Data Source'!AC919&gt;=5,"A+",IF('Data Source'!AC919&gt;=4,"A",IF('Data Source'!AC919&gt;=3.5,"A-",IF('Data Source'!AC919&gt;=3,"B",IF('Data Source'!AC919&gt;=2,"C",IF('Data Source'!AC919&gt;=1,"D","F")))))),"")</f>
        <v/>
      </c>
      <c r="L919" s="3">
        <f>IF(AND('Data Source'!B919&lt;&gt;"",'Data Source'!S919="A+"),IF('Data Source'!AD919&gt;=5,"A+",IF('Data Source'!AD919&gt;=4,"A",IF('Data Source'!AD919&gt;=3.5,"A-",IF('Data Source'!AD919&gt;=3,"B",IF('Data Source'!AD919&gt;=2,"C",IF('Data Source'!AD919&gt;=1,"D","F")))))),"")</f>
        <v/>
      </c>
      <c r="M919" s="3">
        <f>IF(AND('Data Source'!B919&lt;&gt;"",'Data Source'!S919="A+"),IF('Data Source'!AE919&gt;=5,"A+",IF('Data Source'!AE919&gt;=4,"A",IF('Data Source'!AE919&gt;=3.5,"A-",IF('Data Source'!AE919&gt;=3,"B",IF('Data Source'!AE919&gt;=2,"C",IF('Data Source'!AE919&gt;=1,"D","F")))))),"")</f>
        <v/>
      </c>
      <c r="N919" s="3">
        <f>IF(AND('Data Source'!B919&lt;&gt;"",'Data Source'!S919="A+"),IF('Data Source'!AF919&gt;=5,"A+",IF('Data Source'!AF919&gt;=4,"A",IF('Data Source'!AF919&gt;=3.5,"A-",IF('Data Source'!AF919&gt;=3,"B",IF('Data Source'!AF919&gt;=2,"C",IF('Data Source'!AF919&gt;=1,"D","F")))))),"")</f>
        <v/>
      </c>
      <c r="O919" s="3">
        <f>IF(AND('Data Source'!B919&lt;&gt;"",'Data Source'!S919="A+"),IF('Data Source'!AG919&gt;=5,"A+",IF('Data Source'!AG919&gt;=4,"A",IF('Data Source'!AG919&gt;=3.5,"A-",IF('Data Source'!AG919&gt;=3,"B",IF('Data Source'!AG919&gt;=2,"C",IF('Data Source'!AG919&gt;=1,"D","F")))))),"")</f>
        <v/>
      </c>
      <c r="P919" s="5">
        <f>IF(AND('Data Source'!B919&lt;&gt;"",'Data Source'!S919="A+"),'Data Source'!R919,"")</f>
        <v/>
      </c>
      <c r="Q919" s="3">
        <f>IF(AND('Data Source'!B919&lt;&gt;"",'Data Source'!S919="A+"),'Data Source'!S919,"")</f>
        <v/>
      </c>
    </row>
    <row r="920">
      <c r="A920" s="3">
        <f>IF(AND('Data Source'!B920&lt;&gt;"",'Data Source'!S920="A+"),COUNTIF('Data Source'!$S$3:S920,"A+"),"")</f>
        <v/>
      </c>
      <c r="B920">
        <f>IF(AND('Data Source'!B920&lt;&gt;"",'Data Source'!S920="A+"),'Data Source'!B920,"")</f>
        <v/>
      </c>
      <c r="C920" s="3">
        <f>IF(AND('Data Source'!B920&lt;&gt;"",'Data Source'!S920="A+"),IF('Data Source'!U920&gt;=5,"A+",IF('Data Source'!U920&gt;=4,"A",IF('Data Source'!U920&gt;=3.5,"A-",IF('Data Source'!U920&gt;=3,"B",IF('Data Source'!U920&gt;=2,"C",IF('Data Source'!U920&gt;=1,"D","F")))))),"")</f>
        <v/>
      </c>
      <c r="D920" s="3">
        <f>IF(AND('Data Source'!B920&lt;&gt;"",'Data Source'!S920="A+"),IF('Data Source'!V920&gt;=5,"A+",IF('Data Source'!V920&gt;=4,"A",IF('Data Source'!V920&gt;=3.5,"A-",IF('Data Source'!V920&gt;=3,"B",IF('Data Source'!V920&gt;=2,"C",IF('Data Source'!V920&gt;=1,"D","F")))))),"")</f>
        <v/>
      </c>
      <c r="E920" s="3">
        <f>IF(AND('Data Source'!B920&lt;&gt;"",'Data Source'!S920="A+"),IF('Data Source'!W920&gt;=5,"A+",IF('Data Source'!W920&gt;=4,"A",IF('Data Source'!W920&gt;=3.5,"A-",IF('Data Source'!W920&gt;=3,"B",IF('Data Source'!W920&gt;=2,"C",IF('Data Source'!W920&gt;=1,"D","F")))))),"")</f>
        <v/>
      </c>
      <c r="F920" s="3">
        <f>IF(AND('Data Source'!B920&lt;&gt;"",'Data Source'!S920="A+"),IF('Data Source'!X920&gt;=5,"A+",IF('Data Source'!X920&gt;=4,"A",IF('Data Source'!X920&gt;=3.5,"A-",IF('Data Source'!X920&gt;=3,"B",IF('Data Source'!X920&gt;=2,"C",IF('Data Source'!X920&gt;=1,"D","F")))))),"")</f>
        <v/>
      </c>
      <c r="G920" s="3">
        <f>IF(AND('Data Source'!B920&lt;&gt;"",'Data Source'!S920="A+"),IF('Data Source'!Y920&gt;=5,"A+",IF('Data Source'!Y920&gt;=4,"A",IF('Data Source'!Y920&gt;=3.5,"A-",IF('Data Source'!Y920&gt;=3,"B",IF('Data Source'!Y920&gt;=2,"C",IF('Data Source'!Y920&gt;=1,"D","F")))))),"")</f>
        <v/>
      </c>
      <c r="H920" s="3">
        <f>IF(AND('Data Source'!B920&lt;&gt;"",'Data Source'!S920="A+"),IF('Data Source'!Z920&gt;=5,"A+",IF('Data Source'!Z920&gt;=4,"A",IF('Data Source'!Z920&gt;=3.5,"A-",IF('Data Source'!Z920&gt;=3,"B",IF('Data Source'!Z920&gt;=2,"C",IF('Data Source'!Z920&gt;=1,"D","F")))))),"")</f>
        <v/>
      </c>
      <c r="I920" s="3">
        <f>IF(AND('Data Source'!B920&lt;&gt;"",'Data Source'!S920="A+"),IF('Data Source'!AA920&gt;=5,"A+",IF('Data Source'!AA920&gt;=4,"A",IF('Data Source'!AA920&gt;=3.5,"A-",IF('Data Source'!AA920&gt;=3,"B",IF('Data Source'!AA920&gt;=2,"C",IF('Data Source'!AA920&gt;=1,"D","F")))))),"")</f>
        <v/>
      </c>
      <c r="J920" s="3">
        <f>IF(AND('Data Source'!B920&lt;&gt;"",'Data Source'!S920="A+"),IF('Data Source'!AB920&gt;=5,"A+",IF('Data Source'!AB920&gt;=4,"A",IF('Data Source'!AB920&gt;=3.5,"A-",IF('Data Source'!AB920&gt;=3,"B",IF('Data Source'!AB920&gt;=2,"C",IF('Data Source'!AB920&gt;=1,"D","F")))))),"")</f>
        <v/>
      </c>
      <c r="K920" s="3">
        <f>IF(AND('Data Source'!B920&lt;&gt;"",'Data Source'!S920="A+"),IF('Data Source'!AC920&gt;=5,"A+",IF('Data Source'!AC920&gt;=4,"A",IF('Data Source'!AC920&gt;=3.5,"A-",IF('Data Source'!AC920&gt;=3,"B",IF('Data Source'!AC920&gt;=2,"C",IF('Data Source'!AC920&gt;=1,"D","F")))))),"")</f>
        <v/>
      </c>
      <c r="L920" s="3">
        <f>IF(AND('Data Source'!B920&lt;&gt;"",'Data Source'!S920="A+"),IF('Data Source'!AD920&gt;=5,"A+",IF('Data Source'!AD920&gt;=4,"A",IF('Data Source'!AD920&gt;=3.5,"A-",IF('Data Source'!AD920&gt;=3,"B",IF('Data Source'!AD920&gt;=2,"C",IF('Data Source'!AD920&gt;=1,"D","F")))))),"")</f>
        <v/>
      </c>
      <c r="M920" s="3">
        <f>IF(AND('Data Source'!B920&lt;&gt;"",'Data Source'!S920="A+"),IF('Data Source'!AE920&gt;=5,"A+",IF('Data Source'!AE920&gt;=4,"A",IF('Data Source'!AE920&gt;=3.5,"A-",IF('Data Source'!AE920&gt;=3,"B",IF('Data Source'!AE920&gt;=2,"C",IF('Data Source'!AE920&gt;=1,"D","F")))))),"")</f>
        <v/>
      </c>
      <c r="N920" s="3">
        <f>IF(AND('Data Source'!B920&lt;&gt;"",'Data Source'!S920="A+"),IF('Data Source'!AF920&gt;=5,"A+",IF('Data Source'!AF920&gt;=4,"A",IF('Data Source'!AF920&gt;=3.5,"A-",IF('Data Source'!AF920&gt;=3,"B",IF('Data Source'!AF920&gt;=2,"C",IF('Data Source'!AF920&gt;=1,"D","F")))))),"")</f>
        <v/>
      </c>
      <c r="O920" s="3">
        <f>IF(AND('Data Source'!B920&lt;&gt;"",'Data Source'!S920="A+"),IF('Data Source'!AG920&gt;=5,"A+",IF('Data Source'!AG920&gt;=4,"A",IF('Data Source'!AG920&gt;=3.5,"A-",IF('Data Source'!AG920&gt;=3,"B",IF('Data Source'!AG920&gt;=2,"C",IF('Data Source'!AG920&gt;=1,"D","F")))))),"")</f>
        <v/>
      </c>
      <c r="P920" s="5">
        <f>IF(AND('Data Source'!B920&lt;&gt;"",'Data Source'!S920="A+"),'Data Source'!R920,"")</f>
        <v/>
      </c>
      <c r="Q920" s="3">
        <f>IF(AND('Data Source'!B920&lt;&gt;"",'Data Source'!S920="A+"),'Data Source'!S920,"")</f>
        <v/>
      </c>
    </row>
    <row r="921">
      <c r="A921" s="3">
        <f>IF(AND('Data Source'!B921&lt;&gt;"",'Data Source'!S921="A+"),COUNTIF('Data Source'!$S$3:S921,"A+"),"")</f>
        <v/>
      </c>
      <c r="B921">
        <f>IF(AND('Data Source'!B921&lt;&gt;"",'Data Source'!S921="A+"),'Data Source'!B921,"")</f>
        <v/>
      </c>
      <c r="C921" s="3">
        <f>IF(AND('Data Source'!B921&lt;&gt;"",'Data Source'!S921="A+"),IF('Data Source'!U921&gt;=5,"A+",IF('Data Source'!U921&gt;=4,"A",IF('Data Source'!U921&gt;=3.5,"A-",IF('Data Source'!U921&gt;=3,"B",IF('Data Source'!U921&gt;=2,"C",IF('Data Source'!U921&gt;=1,"D","F")))))),"")</f>
        <v/>
      </c>
      <c r="D921" s="3">
        <f>IF(AND('Data Source'!B921&lt;&gt;"",'Data Source'!S921="A+"),IF('Data Source'!V921&gt;=5,"A+",IF('Data Source'!V921&gt;=4,"A",IF('Data Source'!V921&gt;=3.5,"A-",IF('Data Source'!V921&gt;=3,"B",IF('Data Source'!V921&gt;=2,"C",IF('Data Source'!V921&gt;=1,"D","F")))))),"")</f>
        <v/>
      </c>
      <c r="E921" s="3">
        <f>IF(AND('Data Source'!B921&lt;&gt;"",'Data Source'!S921="A+"),IF('Data Source'!W921&gt;=5,"A+",IF('Data Source'!W921&gt;=4,"A",IF('Data Source'!W921&gt;=3.5,"A-",IF('Data Source'!W921&gt;=3,"B",IF('Data Source'!W921&gt;=2,"C",IF('Data Source'!W921&gt;=1,"D","F")))))),"")</f>
        <v/>
      </c>
      <c r="F921" s="3">
        <f>IF(AND('Data Source'!B921&lt;&gt;"",'Data Source'!S921="A+"),IF('Data Source'!X921&gt;=5,"A+",IF('Data Source'!X921&gt;=4,"A",IF('Data Source'!X921&gt;=3.5,"A-",IF('Data Source'!X921&gt;=3,"B",IF('Data Source'!X921&gt;=2,"C",IF('Data Source'!X921&gt;=1,"D","F")))))),"")</f>
        <v/>
      </c>
      <c r="G921" s="3">
        <f>IF(AND('Data Source'!B921&lt;&gt;"",'Data Source'!S921="A+"),IF('Data Source'!Y921&gt;=5,"A+",IF('Data Source'!Y921&gt;=4,"A",IF('Data Source'!Y921&gt;=3.5,"A-",IF('Data Source'!Y921&gt;=3,"B",IF('Data Source'!Y921&gt;=2,"C",IF('Data Source'!Y921&gt;=1,"D","F")))))),"")</f>
        <v/>
      </c>
      <c r="H921" s="3">
        <f>IF(AND('Data Source'!B921&lt;&gt;"",'Data Source'!S921="A+"),IF('Data Source'!Z921&gt;=5,"A+",IF('Data Source'!Z921&gt;=4,"A",IF('Data Source'!Z921&gt;=3.5,"A-",IF('Data Source'!Z921&gt;=3,"B",IF('Data Source'!Z921&gt;=2,"C",IF('Data Source'!Z921&gt;=1,"D","F")))))),"")</f>
        <v/>
      </c>
      <c r="I921" s="3">
        <f>IF(AND('Data Source'!B921&lt;&gt;"",'Data Source'!S921="A+"),IF('Data Source'!AA921&gt;=5,"A+",IF('Data Source'!AA921&gt;=4,"A",IF('Data Source'!AA921&gt;=3.5,"A-",IF('Data Source'!AA921&gt;=3,"B",IF('Data Source'!AA921&gt;=2,"C",IF('Data Source'!AA921&gt;=1,"D","F")))))),"")</f>
        <v/>
      </c>
      <c r="J921" s="3">
        <f>IF(AND('Data Source'!B921&lt;&gt;"",'Data Source'!S921="A+"),IF('Data Source'!AB921&gt;=5,"A+",IF('Data Source'!AB921&gt;=4,"A",IF('Data Source'!AB921&gt;=3.5,"A-",IF('Data Source'!AB921&gt;=3,"B",IF('Data Source'!AB921&gt;=2,"C",IF('Data Source'!AB921&gt;=1,"D","F")))))),"")</f>
        <v/>
      </c>
      <c r="K921" s="3">
        <f>IF(AND('Data Source'!B921&lt;&gt;"",'Data Source'!S921="A+"),IF('Data Source'!AC921&gt;=5,"A+",IF('Data Source'!AC921&gt;=4,"A",IF('Data Source'!AC921&gt;=3.5,"A-",IF('Data Source'!AC921&gt;=3,"B",IF('Data Source'!AC921&gt;=2,"C",IF('Data Source'!AC921&gt;=1,"D","F")))))),"")</f>
        <v/>
      </c>
      <c r="L921" s="3">
        <f>IF(AND('Data Source'!B921&lt;&gt;"",'Data Source'!S921="A+"),IF('Data Source'!AD921&gt;=5,"A+",IF('Data Source'!AD921&gt;=4,"A",IF('Data Source'!AD921&gt;=3.5,"A-",IF('Data Source'!AD921&gt;=3,"B",IF('Data Source'!AD921&gt;=2,"C",IF('Data Source'!AD921&gt;=1,"D","F")))))),"")</f>
        <v/>
      </c>
      <c r="M921" s="3">
        <f>IF(AND('Data Source'!B921&lt;&gt;"",'Data Source'!S921="A+"),IF('Data Source'!AE921&gt;=5,"A+",IF('Data Source'!AE921&gt;=4,"A",IF('Data Source'!AE921&gt;=3.5,"A-",IF('Data Source'!AE921&gt;=3,"B",IF('Data Source'!AE921&gt;=2,"C",IF('Data Source'!AE921&gt;=1,"D","F")))))),"")</f>
        <v/>
      </c>
      <c r="N921" s="3">
        <f>IF(AND('Data Source'!B921&lt;&gt;"",'Data Source'!S921="A+"),IF('Data Source'!AF921&gt;=5,"A+",IF('Data Source'!AF921&gt;=4,"A",IF('Data Source'!AF921&gt;=3.5,"A-",IF('Data Source'!AF921&gt;=3,"B",IF('Data Source'!AF921&gt;=2,"C",IF('Data Source'!AF921&gt;=1,"D","F")))))),"")</f>
        <v/>
      </c>
      <c r="O921" s="3">
        <f>IF(AND('Data Source'!B921&lt;&gt;"",'Data Source'!S921="A+"),IF('Data Source'!AG921&gt;=5,"A+",IF('Data Source'!AG921&gt;=4,"A",IF('Data Source'!AG921&gt;=3.5,"A-",IF('Data Source'!AG921&gt;=3,"B",IF('Data Source'!AG921&gt;=2,"C",IF('Data Source'!AG921&gt;=1,"D","F")))))),"")</f>
        <v/>
      </c>
      <c r="P921" s="5">
        <f>IF(AND('Data Source'!B921&lt;&gt;"",'Data Source'!S921="A+"),'Data Source'!R921,"")</f>
        <v/>
      </c>
      <c r="Q921" s="3">
        <f>IF(AND('Data Source'!B921&lt;&gt;"",'Data Source'!S921="A+"),'Data Source'!S921,"")</f>
        <v/>
      </c>
    </row>
    <row r="922">
      <c r="A922" s="3">
        <f>IF(AND('Data Source'!B922&lt;&gt;"",'Data Source'!S922="A+"),COUNTIF('Data Source'!$S$3:S922,"A+"),"")</f>
        <v/>
      </c>
      <c r="B922">
        <f>IF(AND('Data Source'!B922&lt;&gt;"",'Data Source'!S922="A+"),'Data Source'!B922,"")</f>
        <v/>
      </c>
      <c r="C922" s="3">
        <f>IF(AND('Data Source'!B922&lt;&gt;"",'Data Source'!S922="A+"),IF('Data Source'!U922&gt;=5,"A+",IF('Data Source'!U922&gt;=4,"A",IF('Data Source'!U922&gt;=3.5,"A-",IF('Data Source'!U922&gt;=3,"B",IF('Data Source'!U922&gt;=2,"C",IF('Data Source'!U922&gt;=1,"D","F")))))),"")</f>
        <v/>
      </c>
      <c r="D922" s="3">
        <f>IF(AND('Data Source'!B922&lt;&gt;"",'Data Source'!S922="A+"),IF('Data Source'!V922&gt;=5,"A+",IF('Data Source'!V922&gt;=4,"A",IF('Data Source'!V922&gt;=3.5,"A-",IF('Data Source'!V922&gt;=3,"B",IF('Data Source'!V922&gt;=2,"C",IF('Data Source'!V922&gt;=1,"D","F")))))),"")</f>
        <v/>
      </c>
      <c r="E922" s="3">
        <f>IF(AND('Data Source'!B922&lt;&gt;"",'Data Source'!S922="A+"),IF('Data Source'!W922&gt;=5,"A+",IF('Data Source'!W922&gt;=4,"A",IF('Data Source'!W922&gt;=3.5,"A-",IF('Data Source'!W922&gt;=3,"B",IF('Data Source'!W922&gt;=2,"C",IF('Data Source'!W922&gt;=1,"D","F")))))),"")</f>
        <v/>
      </c>
      <c r="F922" s="3">
        <f>IF(AND('Data Source'!B922&lt;&gt;"",'Data Source'!S922="A+"),IF('Data Source'!X922&gt;=5,"A+",IF('Data Source'!X922&gt;=4,"A",IF('Data Source'!X922&gt;=3.5,"A-",IF('Data Source'!X922&gt;=3,"B",IF('Data Source'!X922&gt;=2,"C",IF('Data Source'!X922&gt;=1,"D","F")))))),"")</f>
        <v/>
      </c>
      <c r="G922" s="3">
        <f>IF(AND('Data Source'!B922&lt;&gt;"",'Data Source'!S922="A+"),IF('Data Source'!Y922&gt;=5,"A+",IF('Data Source'!Y922&gt;=4,"A",IF('Data Source'!Y922&gt;=3.5,"A-",IF('Data Source'!Y922&gt;=3,"B",IF('Data Source'!Y922&gt;=2,"C",IF('Data Source'!Y922&gt;=1,"D","F")))))),"")</f>
        <v/>
      </c>
      <c r="H922" s="3">
        <f>IF(AND('Data Source'!B922&lt;&gt;"",'Data Source'!S922="A+"),IF('Data Source'!Z922&gt;=5,"A+",IF('Data Source'!Z922&gt;=4,"A",IF('Data Source'!Z922&gt;=3.5,"A-",IF('Data Source'!Z922&gt;=3,"B",IF('Data Source'!Z922&gt;=2,"C",IF('Data Source'!Z922&gt;=1,"D","F")))))),"")</f>
        <v/>
      </c>
      <c r="I922" s="3">
        <f>IF(AND('Data Source'!B922&lt;&gt;"",'Data Source'!S922="A+"),IF('Data Source'!AA922&gt;=5,"A+",IF('Data Source'!AA922&gt;=4,"A",IF('Data Source'!AA922&gt;=3.5,"A-",IF('Data Source'!AA922&gt;=3,"B",IF('Data Source'!AA922&gt;=2,"C",IF('Data Source'!AA922&gt;=1,"D","F")))))),"")</f>
        <v/>
      </c>
      <c r="J922" s="3">
        <f>IF(AND('Data Source'!B922&lt;&gt;"",'Data Source'!S922="A+"),IF('Data Source'!AB922&gt;=5,"A+",IF('Data Source'!AB922&gt;=4,"A",IF('Data Source'!AB922&gt;=3.5,"A-",IF('Data Source'!AB922&gt;=3,"B",IF('Data Source'!AB922&gt;=2,"C",IF('Data Source'!AB922&gt;=1,"D","F")))))),"")</f>
        <v/>
      </c>
      <c r="K922" s="3">
        <f>IF(AND('Data Source'!B922&lt;&gt;"",'Data Source'!S922="A+"),IF('Data Source'!AC922&gt;=5,"A+",IF('Data Source'!AC922&gt;=4,"A",IF('Data Source'!AC922&gt;=3.5,"A-",IF('Data Source'!AC922&gt;=3,"B",IF('Data Source'!AC922&gt;=2,"C",IF('Data Source'!AC922&gt;=1,"D","F")))))),"")</f>
        <v/>
      </c>
      <c r="L922" s="3">
        <f>IF(AND('Data Source'!B922&lt;&gt;"",'Data Source'!S922="A+"),IF('Data Source'!AD922&gt;=5,"A+",IF('Data Source'!AD922&gt;=4,"A",IF('Data Source'!AD922&gt;=3.5,"A-",IF('Data Source'!AD922&gt;=3,"B",IF('Data Source'!AD922&gt;=2,"C",IF('Data Source'!AD922&gt;=1,"D","F")))))),"")</f>
        <v/>
      </c>
      <c r="M922" s="3">
        <f>IF(AND('Data Source'!B922&lt;&gt;"",'Data Source'!S922="A+"),IF('Data Source'!AE922&gt;=5,"A+",IF('Data Source'!AE922&gt;=4,"A",IF('Data Source'!AE922&gt;=3.5,"A-",IF('Data Source'!AE922&gt;=3,"B",IF('Data Source'!AE922&gt;=2,"C",IF('Data Source'!AE922&gt;=1,"D","F")))))),"")</f>
        <v/>
      </c>
      <c r="N922" s="3">
        <f>IF(AND('Data Source'!B922&lt;&gt;"",'Data Source'!S922="A+"),IF('Data Source'!AF922&gt;=5,"A+",IF('Data Source'!AF922&gt;=4,"A",IF('Data Source'!AF922&gt;=3.5,"A-",IF('Data Source'!AF922&gt;=3,"B",IF('Data Source'!AF922&gt;=2,"C",IF('Data Source'!AF922&gt;=1,"D","F")))))),"")</f>
        <v/>
      </c>
      <c r="O922" s="3">
        <f>IF(AND('Data Source'!B922&lt;&gt;"",'Data Source'!S922="A+"),IF('Data Source'!AG922&gt;=5,"A+",IF('Data Source'!AG922&gt;=4,"A",IF('Data Source'!AG922&gt;=3.5,"A-",IF('Data Source'!AG922&gt;=3,"B",IF('Data Source'!AG922&gt;=2,"C",IF('Data Source'!AG922&gt;=1,"D","F")))))),"")</f>
        <v/>
      </c>
      <c r="P922" s="5">
        <f>IF(AND('Data Source'!B922&lt;&gt;"",'Data Source'!S922="A+"),'Data Source'!R922,"")</f>
        <v/>
      </c>
      <c r="Q922" s="3">
        <f>IF(AND('Data Source'!B922&lt;&gt;"",'Data Source'!S922="A+"),'Data Source'!S922,"")</f>
        <v/>
      </c>
    </row>
    <row r="923">
      <c r="A923" s="3">
        <f>IF(AND('Data Source'!B923&lt;&gt;"",'Data Source'!S923="A+"),COUNTIF('Data Source'!$S$3:S923,"A+"),"")</f>
        <v/>
      </c>
      <c r="B923">
        <f>IF(AND('Data Source'!B923&lt;&gt;"",'Data Source'!S923="A+"),'Data Source'!B923,"")</f>
        <v/>
      </c>
      <c r="C923" s="3">
        <f>IF(AND('Data Source'!B923&lt;&gt;"",'Data Source'!S923="A+"),IF('Data Source'!U923&gt;=5,"A+",IF('Data Source'!U923&gt;=4,"A",IF('Data Source'!U923&gt;=3.5,"A-",IF('Data Source'!U923&gt;=3,"B",IF('Data Source'!U923&gt;=2,"C",IF('Data Source'!U923&gt;=1,"D","F")))))),"")</f>
        <v/>
      </c>
      <c r="D923" s="3">
        <f>IF(AND('Data Source'!B923&lt;&gt;"",'Data Source'!S923="A+"),IF('Data Source'!V923&gt;=5,"A+",IF('Data Source'!V923&gt;=4,"A",IF('Data Source'!V923&gt;=3.5,"A-",IF('Data Source'!V923&gt;=3,"B",IF('Data Source'!V923&gt;=2,"C",IF('Data Source'!V923&gt;=1,"D","F")))))),"")</f>
        <v/>
      </c>
      <c r="E923" s="3">
        <f>IF(AND('Data Source'!B923&lt;&gt;"",'Data Source'!S923="A+"),IF('Data Source'!W923&gt;=5,"A+",IF('Data Source'!W923&gt;=4,"A",IF('Data Source'!W923&gt;=3.5,"A-",IF('Data Source'!W923&gt;=3,"B",IF('Data Source'!W923&gt;=2,"C",IF('Data Source'!W923&gt;=1,"D","F")))))),"")</f>
        <v/>
      </c>
      <c r="F923" s="3">
        <f>IF(AND('Data Source'!B923&lt;&gt;"",'Data Source'!S923="A+"),IF('Data Source'!X923&gt;=5,"A+",IF('Data Source'!X923&gt;=4,"A",IF('Data Source'!X923&gt;=3.5,"A-",IF('Data Source'!X923&gt;=3,"B",IF('Data Source'!X923&gt;=2,"C",IF('Data Source'!X923&gt;=1,"D","F")))))),"")</f>
        <v/>
      </c>
      <c r="G923" s="3">
        <f>IF(AND('Data Source'!B923&lt;&gt;"",'Data Source'!S923="A+"),IF('Data Source'!Y923&gt;=5,"A+",IF('Data Source'!Y923&gt;=4,"A",IF('Data Source'!Y923&gt;=3.5,"A-",IF('Data Source'!Y923&gt;=3,"B",IF('Data Source'!Y923&gt;=2,"C",IF('Data Source'!Y923&gt;=1,"D","F")))))),"")</f>
        <v/>
      </c>
      <c r="H923" s="3">
        <f>IF(AND('Data Source'!B923&lt;&gt;"",'Data Source'!S923="A+"),IF('Data Source'!Z923&gt;=5,"A+",IF('Data Source'!Z923&gt;=4,"A",IF('Data Source'!Z923&gt;=3.5,"A-",IF('Data Source'!Z923&gt;=3,"B",IF('Data Source'!Z923&gt;=2,"C",IF('Data Source'!Z923&gt;=1,"D","F")))))),"")</f>
        <v/>
      </c>
      <c r="I923" s="3">
        <f>IF(AND('Data Source'!B923&lt;&gt;"",'Data Source'!S923="A+"),IF('Data Source'!AA923&gt;=5,"A+",IF('Data Source'!AA923&gt;=4,"A",IF('Data Source'!AA923&gt;=3.5,"A-",IF('Data Source'!AA923&gt;=3,"B",IF('Data Source'!AA923&gt;=2,"C",IF('Data Source'!AA923&gt;=1,"D","F")))))),"")</f>
        <v/>
      </c>
      <c r="J923" s="3">
        <f>IF(AND('Data Source'!B923&lt;&gt;"",'Data Source'!S923="A+"),IF('Data Source'!AB923&gt;=5,"A+",IF('Data Source'!AB923&gt;=4,"A",IF('Data Source'!AB923&gt;=3.5,"A-",IF('Data Source'!AB923&gt;=3,"B",IF('Data Source'!AB923&gt;=2,"C",IF('Data Source'!AB923&gt;=1,"D","F")))))),"")</f>
        <v/>
      </c>
      <c r="K923" s="3">
        <f>IF(AND('Data Source'!B923&lt;&gt;"",'Data Source'!S923="A+"),IF('Data Source'!AC923&gt;=5,"A+",IF('Data Source'!AC923&gt;=4,"A",IF('Data Source'!AC923&gt;=3.5,"A-",IF('Data Source'!AC923&gt;=3,"B",IF('Data Source'!AC923&gt;=2,"C",IF('Data Source'!AC923&gt;=1,"D","F")))))),"")</f>
        <v/>
      </c>
      <c r="L923" s="3">
        <f>IF(AND('Data Source'!B923&lt;&gt;"",'Data Source'!S923="A+"),IF('Data Source'!AD923&gt;=5,"A+",IF('Data Source'!AD923&gt;=4,"A",IF('Data Source'!AD923&gt;=3.5,"A-",IF('Data Source'!AD923&gt;=3,"B",IF('Data Source'!AD923&gt;=2,"C",IF('Data Source'!AD923&gt;=1,"D","F")))))),"")</f>
        <v/>
      </c>
      <c r="M923" s="3">
        <f>IF(AND('Data Source'!B923&lt;&gt;"",'Data Source'!S923="A+"),IF('Data Source'!AE923&gt;=5,"A+",IF('Data Source'!AE923&gt;=4,"A",IF('Data Source'!AE923&gt;=3.5,"A-",IF('Data Source'!AE923&gt;=3,"B",IF('Data Source'!AE923&gt;=2,"C",IF('Data Source'!AE923&gt;=1,"D","F")))))),"")</f>
        <v/>
      </c>
      <c r="N923" s="3">
        <f>IF(AND('Data Source'!B923&lt;&gt;"",'Data Source'!S923="A+"),IF('Data Source'!AF923&gt;=5,"A+",IF('Data Source'!AF923&gt;=4,"A",IF('Data Source'!AF923&gt;=3.5,"A-",IF('Data Source'!AF923&gt;=3,"B",IF('Data Source'!AF923&gt;=2,"C",IF('Data Source'!AF923&gt;=1,"D","F")))))),"")</f>
        <v/>
      </c>
      <c r="O923" s="3">
        <f>IF(AND('Data Source'!B923&lt;&gt;"",'Data Source'!S923="A+"),IF('Data Source'!AG923&gt;=5,"A+",IF('Data Source'!AG923&gt;=4,"A",IF('Data Source'!AG923&gt;=3.5,"A-",IF('Data Source'!AG923&gt;=3,"B",IF('Data Source'!AG923&gt;=2,"C",IF('Data Source'!AG923&gt;=1,"D","F")))))),"")</f>
        <v/>
      </c>
      <c r="P923" s="5">
        <f>IF(AND('Data Source'!B923&lt;&gt;"",'Data Source'!S923="A+"),'Data Source'!R923,"")</f>
        <v/>
      </c>
      <c r="Q923" s="3">
        <f>IF(AND('Data Source'!B923&lt;&gt;"",'Data Source'!S923="A+"),'Data Source'!S923,"")</f>
        <v/>
      </c>
    </row>
    <row r="924">
      <c r="A924" s="3">
        <f>IF(AND('Data Source'!B924&lt;&gt;"",'Data Source'!S924="A+"),COUNTIF('Data Source'!$S$3:S924,"A+"),"")</f>
        <v/>
      </c>
      <c r="B924">
        <f>IF(AND('Data Source'!B924&lt;&gt;"",'Data Source'!S924="A+"),'Data Source'!B924,"")</f>
        <v/>
      </c>
      <c r="C924" s="3">
        <f>IF(AND('Data Source'!B924&lt;&gt;"",'Data Source'!S924="A+"),IF('Data Source'!U924&gt;=5,"A+",IF('Data Source'!U924&gt;=4,"A",IF('Data Source'!U924&gt;=3.5,"A-",IF('Data Source'!U924&gt;=3,"B",IF('Data Source'!U924&gt;=2,"C",IF('Data Source'!U924&gt;=1,"D","F")))))),"")</f>
        <v/>
      </c>
      <c r="D924" s="3">
        <f>IF(AND('Data Source'!B924&lt;&gt;"",'Data Source'!S924="A+"),IF('Data Source'!V924&gt;=5,"A+",IF('Data Source'!V924&gt;=4,"A",IF('Data Source'!V924&gt;=3.5,"A-",IF('Data Source'!V924&gt;=3,"B",IF('Data Source'!V924&gt;=2,"C",IF('Data Source'!V924&gt;=1,"D","F")))))),"")</f>
        <v/>
      </c>
      <c r="E924" s="3">
        <f>IF(AND('Data Source'!B924&lt;&gt;"",'Data Source'!S924="A+"),IF('Data Source'!W924&gt;=5,"A+",IF('Data Source'!W924&gt;=4,"A",IF('Data Source'!W924&gt;=3.5,"A-",IF('Data Source'!W924&gt;=3,"B",IF('Data Source'!W924&gt;=2,"C",IF('Data Source'!W924&gt;=1,"D","F")))))),"")</f>
        <v/>
      </c>
      <c r="F924" s="3">
        <f>IF(AND('Data Source'!B924&lt;&gt;"",'Data Source'!S924="A+"),IF('Data Source'!X924&gt;=5,"A+",IF('Data Source'!X924&gt;=4,"A",IF('Data Source'!X924&gt;=3.5,"A-",IF('Data Source'!X924&gt;=3,"B",IF('Data Source'!X924&gt;=2,"C",IF('Data Source'!X924&gt;=1,"D","F")))))),"")</f>
        <v/>
      </c>
      <c r="G924" s="3">
        <f>IF(AND('Data Source'!B924&lt;&gt;"",'Data Source'!S924="A+"),IF('Data Source'!Y924&gt;=5,"A+",IF('Data Source'!Y924&gt;=4,"A",IF('Data Source'!Y924&gt;=3.5,"A-",IF('Data Source'!Y924&gt;=3,"B",IF('Data Source'!Y924&gt;=2,"C",IF('Data Source'!Y924&gt;=1,"D","F")))))),"")</f>
        <v/>
      </c>
      <c r="H924" s="3">
        <f>IF(AND('Data Source'!B924&lt;&gt;"",'Data Source'!S924="A+"),IF('Data Source'!Z924&gt;=5,"A+",IF('Data Source'!Z924&gt;=4,"A",IF('Data Source'!Z924&gt;=3.5,"A-",IF('Data Source'!Z924&gt;=3,"B",IF('Data Source'!Z924&gt;=2,"C",IF('Data Source'!Z924&gt;=1,"D","F")))))),"")</f>
        <v/>
      </c>
      <c r="I924" s="3">
        <f>IF(AND('Data Source'!B924&lt;&gt;"",'Data Source'!S924="A+"),IF('Data Source'!AA924&gt;=5,"A+",IF('Data Source'!AA924&gt;=4,"A",IF('Data Source'!AA924&gt;=3.5,"A-",IF('Data Source'!AA924&gt;=3,"B",IF('Data Source'!AA924&gt;=2,"C",IF('Data Source'!AA924&gt;=1,"D","F")))))),"")</f>
        <v/>
      </c>
      <c r="J924" s="3">
        <f>IF(AND('Data Source'!B924&lt;&gt;"",'Data Source'!S924="A+"),IF('Data Source'!AB924&gt;=5,"A+",IF('Data Source'!AB924&gt;=4,"A",IF('Data Source'!AB924&gt;=3.5,"A-",IF('Data Source'!AB924&gt;=3,"B",IF('Data Source'!AB924&gt;=2,"C",IF('Data Source'!AB924&gt;=1,"D","F")))))),"")</f>
        <v/>
      </c>
      <c r="K924" s="3">
        <f>IF(AND('Data Source'!B924&lt;&gt;"",'Data Source'!S924="A+"),IF('Data Source'!AC924&gt;=5,"A+",IF('Data Source'!AC924&gt;=4,"A",IF('Data Source'!AC924&gt;=3.5,"A-",IF('Data Source'!AC924&gt;=3,"B",IF('Data Source'!AC924&gt;=2,"C",IF('Data Source'!AC924&gt;=1,"D","F")))))),"")</f>
        <v/>
      </c>
      <c r="L924" s="3">
        <f>IF(AND('Data Source'!B924&lt;&gt;"",'Data Source'!S924="A+"),IF('Data Source'!AD924&gt;=5,"A+",IF('Data Source'!AD924&gt;=4,"A",IF('Data Source'!AD924&gt;=3.5,"A-",IF('Data Source'!AD924&gt;=3,"B",IF('Data Source'!AD924&gt;=2,"C",IF('Data Source'!AD924&gt;=1,"D","F")))))),"")</f>
        <v/>
      </c>
      <c r="M924" s="3">
        <f>IF(AND('Data Source'!B924&lt;&gt;"",'Data Source'!S924="A+"),IF('Data Source'!AE924&gt;=5,"A+",IF('Data Source'!AE924&gt;=4,"A",IF('Data Source'!AE924&gt;=3.5,"A-",IF('Data Source'!AE924&gt;=3,"B",IF('Data Source'!AE924&gt;=2,"C",IF('Data Source'!AE924&gt;=1,"D","F")))))),"")</f>
        <v/>
      </c>
      <c r="N924" s="3">
        <f>IF(AND('Data Source'!B924&lt;&gt;"",'Data Source'!S924="A+"),IF('Data Source'!AF924&gt;=5,"A+",IF('Data Source'!AF924&gt;=4,"A",IF('Data Source'!AF924&gt;=3.5,"A-",IF('Data Source'!AF924&gt;=3,"B",IF('Data Source'!AF924&gt;=2,"C",IF('Data Source'!AF924&gt;=1,"D","F")))))),"")</f>
        <v/>
      </c>
      <c r="O924" s="3">
        <f>IF(AND('Data Source'!B924&lt;&gt;"",'Data Source'!S924="A+"),IF('Data Source'!AG924&gt;=5,"A+",IF('Data Source'!AG924&gt;=4,"A",IF('Data Source'!AG924&gt;=3.5,"A-",IF('Data Source'!AG924&gt;=3,"B",IF('Data Source'!AG924&gt;=2,"C",IF('Data Source'!AG924&gt;=1,"D","F")))))),"")</f>
        <v/>
      </c>
      <c r="P924" s="5">
        <f>IF(AND('Data Source'!B924&lt;&gt;"",'Data Source'!S924="A+"),'Data Source'!R924,"")</f>
        <v/>
      </c>
      <c r="Q924" s="3">
        <f>IF(AND('Data Source'!B924&lt;&gt;"",'Data Source'!S924="A+"),'Data Source'!S924,"")</f>
        <v/>
      </c>
    </row>
    <row r="925">
      <c r="A925" s="3">
        <f>IF(AND('Data Source'!B925&lt;&gt;"",'Data Source'!S925="A+"),COUNTIF('Data Source'!$S$3:S925,"A+"),"")</f>
        <v/>
      </c>
      <c r="B925">
        <f>IF(AND('Data Source'!B925&lt;&gt;"",'Data Source'!S925="A+"),'Data Source'!B925,"")</f>
        <v/>
      </c>
      <c r="C925" s="3">
        <f>IF(AND('Data Source'!B925&lt;&gt;"",'Data Source'!S925="A+"),IF('Data Source'!U925&gt;=5,"A+",IF('Data Source'!U925&gt;=4,"A",IF('Data Source'!U925&gt;=3.5,"A-",IF('Data Source'!U925&gt;=3,"B",IF('Data Source'!U925&gt;=2,"C",IF('Data Source'!U925&gt;=1,"D","F")))))),"")</f>
        <v/>
      </c>
      <c r="D925" s="3">
        <f>IF(AND('Data Source'!B925&lt;&gt;"",'Data Source'!S925="A+"),IF('Data Source'!V925&gt;=5,"A+",IF('Data Source'!V925&gt;=4,"A",IF('Data Source'!V925&gt;=3.5,"A-",IF('Data Source'!V925&gt;=3,"B",IF('Data Source'!V925&gt;=2,"C",IF('Data Source'!V925&gt;=1,"D","F")))))),"")</f>
        <v/>
      </c>
      <c r="E925" s="3">
        <f>IF(AND('Data Source'!B925&lt;&gt;"",'Data Source'!S925="A+"),IF('Data Source'!W925&gt;=5,"A+",IF('Data Source'!W925&gt;=4,"A",IF('Data Source'!W925&gt;=3.5,"A-",IF('Data Source'!W925&gt;=3,"B",IF('Data Source'!W925&gt;=2,"C",IF('Data Source'!W925&gt;=1,"D","F")))))),"")</f>
        <v/>
      </c>
      <c r="F925" s="3">
        <f>IF(AND('Data Source'!B925&lt;&gt;"",'Data Source'!S925="A+"),IF('Data Source'!X925&gt;=5,"A+",IF('Data Source'!X925&gt;=4,"A",IF('Data Source'!X925&gt;=3.5,"A-",IF('Data Source'!X925&gt;=3,"B",IF('Data Source'!X925&gt;=2,"C",IF('Data Source'!X925&gt;=1,"D","F")))))),"")</f>
        <v/>
      </c>
      <c r="G925" s="3">
        <f>IF(AND('Data Source'!B925&lt;&gt;"",'Data Source'!S925="A+"),IF('Data Source'!Y925&gt;=5,"A+",IF('Data Source'!Y925&gt;=4,"A",IF('Data Source'!Y925&gt;=3.5,"A-",IF('Data Source'!Y925&gt;=3,"B",IF('Data Source'!Y925&gt;=2,"C",IF('Data Source'!Y925&gt;=1,"D","F")))))),"")</f>
        <v/>
      </c>
      <c r="H925" s="3">
        <f>IF(AND('Data Source'!B925&lt;&gt;"",'Data Source'!S925="A+"),IF('Data Source'!Z925&gt;=5,"A+",IF('Data Source'!Z925&gt;=4,"A",IF('Data Source'!Z925&gt;=3.5,"A-",IF('Data Source'!Z925&gt;=3,"B",IF('Data Source'!Z925&gt;=2,"C",IF('Data Source'!Z925&gt;=1,"D","F")))))),"")</f>
        <v/>
      </c>
      <c r="I925" s="3">
        <f>IF(AND('Data Source'!B925&lt;&gt;"",'Data Source'!S925="A+"),IF('Data Source'!AA925&gt;=5,"A+",IF('Data Source'!AA925&gt;=4,"A",IF('Data Source'!AA925&gt;=3.5,"A-",IF('Data Source'!AA925&gt;=3,"B",IF('Data Source'!AA925&gt;=2,"C",IF('Data Source'!AA925&gt;=1,"D","F")))))),"")</f>
        <v/>
      </c>
      <c r="J925" s="3">
        <f>IF(AND('Data Source'!B925&lt;&gt;"",'Data Source'!S925="A+"),IF('Data Source'!AB925&gt;=5,"A+",IF('Data Source'!AB925&gt;=4,"A",IF('Data Source'!AB925&gt;=3.5,"A-",IF('Data Source'!AB925&gt;=3,"B",IF('Data Source'!AB925&gt;=2,"C",IF('Data Source'!AB925&gt;=1,"D","F")))))),"")</f>
        <v/>
      </c>
      <c r="K925" s="3">
        <f>IF(AND('Data Source'!B925&lt;&gt;"",'Data Source'!S925="A+"),IF('Data Source'!AC925&gt;=5,"A+",IF('Data Source'!AC925&gt;=4,"A",IF('Data Source'!AC925&gt;=3.5,"A-",IF('Data Source'!AC925&gt;=3,"B",IF('Data Source'!AC925&gt;=2,"C",IF('Data Source'!AC925&gt;=1,"D","F")))))),"")</f>
        <v/>
      </c>
      <c r="L925" s="3">
        <f>IF(AND('Data Source'!B925&lt;&gt;"",'Data Source'!S925="A+"),IF('Data Source'!AD925&gt;=5,"A+",IF('Data Source'!AD925&gt;=4,"A",IF('Data Source'!AD925&gt;=3.5,"A-",IF('Data Source'!AD925&gt;=3,"B",IF('Data Source'!AD925&gt;=2,"C",IF('Data Source'!AD925&gt;=1,"D","F")))))),"")</f>
        <v/>
      </c>
      <c r="M925" s="3">
        <f>IF(AND('Data Source'!B925&lt;&gt;"",'Data Source'!S925="A+"),IF('Data Source'!AE925&gt;=5,"A+",IF('Data Source'!AE925&gt;=4,"A",IF('Data Source'!AE925&gt;=3.5,"A-",IF('Data Source'!AE925&gt;=3,"B",IF('Data Source'!AE925&gt;=2,"C",IF('Data Source'!AE925&gt;=1,"D","F")))))),"")</f>
        <v/>
      </c>
      <c r="N925" s="3">
        <f>IF(AND('Data Source'!B925&lt;&gt;"",'Data Source'!S925="A+"),IF('Data Source'!AF925&gt;=5,"A+",IF('Data Source'!AF925&gt;=4,"A",IF('Data Source'!AF925&gt;=3.5,"A-",IF('Data Source'!AF925&gt;=3,"B",IF('Data Source'!AF925&gt;=2,"C",IF('Data Source'!AF925&gt;=1,"D","F")))))),"")</f>
        <v/>
      </c>
      <c r="O925" s="3">
        <f>IF(AND('Data Source'!B925&lt;&gt;"",'Data Source'!S925="A+"),IF('Data Source'!AG925&gt;=5,"A+",IF('Data Source'!AG925&gt;=4,"A",IF('Data Source'!AG925&gt;=3.5,"A-",IF('Data Source'!AG925&gt;=3,"B",IF('Data Source'!AG925&gt;=2,"C",IF('Data Source'!AG925&gt;=1,"D","F")))))),"")</f>
        <v/>
      </c>
      <c r="P925" s="5">
        <f>IF(AND('Data Source'!B925&lt;&gt;"",'Data Source'!S925="A+"),'Data Source'!R925,"")</f>
        <v/>
      </c>
      <c r="Q925" s="3">
        <f>IF(AND('Data Source'!B925&lt;&gt;"",'Data Source'!S925="A+"),'Data Source'!S925,"")</f>
        <v/>
      </c>
    </row>
    <row r="926">
      <c r="A926" s="3">
        <f>IF(AND('Data Source'!B926&lt;&gt;"",'Data Source'!S926="A+"),COUNTIF('Data Source'!$S$3:S926,"A+"),"")</f>
        <v/>
      </c>
      <c r="B926">
        <f>IF(AND('Data Source'!B926&lt;&gt;"",'Data Source'!S926="A+"),'Data Source'!B926,"")</f>
        <v/>
      </c>
      <c r="C926" s="3">
        <f>IF(AND('Data Source'!B926&lt;&gt;"",'Data Source'!S926="A+"),IF('Data Source'!U926&gt;=5,"A+",IF('Data Source'!U926&gt;=4,"A",IF('Data Source'!U926&gt;=3.5,"A-",IF('Data Source'!U926&gt;=3,"B",IF('Data Source'!U926&gt;=2,"C",IF('Data Source'!U926&gt;=1,"D","F")))))),"")</f>
        <v/>
      </c>
      <c r="D926" s="3">
        <f>IF(AND('Data Source'!B926&lt;&gt;"",'Data Source'!S926="A+"),IF('Data Source'!V926&gt;=5,"A+",IF('Data Source'!V926&gt;=4,"A",IF('Data Source'!V926&gt;=3.5,"A-",IF('Data Source'!V926&gt;=3,"B",IF('Data Source'!V926&gt;=2,"C",IF('Data Source'!V926&gt;=1,"D","F")))))),"")</f>
        <v/>
      </c>
      <c r="E926" s="3">
        <f>IF(AND('Data Source'!B926&lt;&gt;"",'Data Source'!S926="A+"),IF('Data Source'!W926&gt;=5,"A+",IF('Data Source'!W926&gt;=4,"A",IF('Data Source'!W926&gt;=3.5,"A-",IF('Data Source'!W926&gt;=3,"B",IF('Data Source'!W926&gt;=2,"C",IF('Data Source'!W926&gt;=1,"D","F")))))),"")</f>
        <v/>
      </c>
      <c r="F926" s="3">
        <f>IF(AND('Data Source'!B926&lt;&gt;"",'Data Source'!S926="A+"),IF('Data Source'!X926&gt;=5,"A+",IF('Data Source'!X926&gt;=4,"A",IF('Data Source'!X926&gt;=3.5,"A-",IF('Data Source'!X926&gt;=3,"B",IF('Data Source'!X926&gt;=2,"C",IF('Data Source'!X926&gt;=1,"D","F")))))),"")</f>
        <v/>
      </c>
      <c r="G926" s="3">
        <f>IF(AND('Data Source'!B926&lt;&gt;"",'Data Source'!S926="A+"),IF('Data Source'!Y926&gt;=5,"A+",IF('Data Source'!Y926&gt;=4,"A",IF('Data Source'!Y926&gt;=3.5,"A-",IF('Data Source'!Y926&gt;=3,"B",IF('Data Source'!Y926&gt;=2,"C",IF('Data Source'!Y926&gt;=1,"D","F")))))),"")</f>
        <v/>
      </c>
      <c r="H926" s="3">
        <f>IF(AND('Data Source'!B926&lt;&gt;"",'Data Source'!S926="A+"),IF('Data Source'!Z926&gt;=5,"A+",IF('Data Source'!Z926&gt;=4,"A",IF('Data Source'!Z926&gt;=3.5,"A-",IF('Data Source'!Z926&gt;=3,"B",IF('Data Source'!Z926&gt;=2,"C",IF('Data Source'!Z926&gt;=1,"D","F")))))),"")</f>
        <v/>
      </c>
      <c r="I926" s="3">
        <f>IF(AND('Data Source'!B926&lt;&gt;"",'Data Source'!S926="A+"),IF('Data Source'!AA926&gt;=5,"A+",IF('Data Source'!AA926&gt;=4,"A",IF('Data Source'!AA926&gt;=3.5,"A-",IF('Data Source'!AA926&gt;=3,"B",IF('Data Source'!AA926&gt;=2,"C",IF('Data Source'!AA926&gt;=1,"D","F")))))),"")</f>
        <v/>
      </c>
      <c r="J926" s="3">
        <f>IF(AND('Data Source'!B926&lt;&gt;"",'Data Source'!S926="A+"),IF('Data Source'!AB926&gt;=5,"A+",IF('Data Source'!AB926&gt;=4,"A",IF('Data Source'!AB926&gt;=3.5,"A-",IF('Data Source'!AB926&gt;=3,"B",IF('Data Source'!AB926&gt;=2,"C",IF('Data Source'!AB926&gt;=1,"D","F")))))),"")</f>
        <v/>
      </c>
      <c r="K926" s="3">
        <f>IF(AND('Data Source'!B926&lt;&gt;"",'Data Source'!S926="A+"),IF('Data Source'!AC926&gt;=5,"A+",IF('Data Source'!AC926&gt;=4,"A",IF('Data Source'!AC926&gt;=3.5,"A-",IF('Data Source'!AC926&gt;=3,"B",IF('Data Source'!AC926&gt;=2,"C",IF('Data Source'!AC926&gt;=1,"D","F")))))),"")</f>
        <v/>
      </c>
      <c r="L926" s="3">
        <f>IF(AND('Data Source'!B926&lt;&gt;"",'Data Source'!S926="A+"),IF('Data Source'!AD926&gt;=5,"A+",IF('Data Source'!AD926&gt;=4,"A",IF('Data Source'!AD926&gt;=3.5,"A-",IF('Data Source'!AD926&gt;=3,"B",IF('Data Source'!AD926&gt;=2,"C",IF('Data Source'!AD926&gt;=1,"D","F")))))),"")</f>
        <v/>
      </c>
      <c r="M926" s="3">
        <f>IF(AND('Data Source'!B926&lt;&gt;"",'Data Source'!S926="A+"),IF('Data Source'!AE926&gt;=5,"A+",IF('Data Source'!AE926&gt;=4,"A",IF('Data Source'!AE926&gt;=3.5,"A-",IF('Data Source'!AE926&gt;=3,"B",IF('Data Source'!AE926&gt;=2,"C",IF('Data Source'!AE926&gt;=1,"D","F")))))),"")</f>
        <v/>
      </c>
      <c r="N926" s="3">
        <f>IF(AND('Data Source'!B926&lt;&gt;"",'Data Source'!S926="A+"),IF('Data Source'!AF926&gt;=5,"A+",IF('Data Source'!AF926&gt;=4,"A",IF('Data Source'!AF926&gt;=3.5,"A-",IF('Data Source'!AF926&gt;=3,"B",IF('Data Source'!AF926&gt;=2,"C",IF('Data Source'!AF926&gt;=1,"D","F")))))),"")</f>
        <v/>
      </c>
      <c r="O926" s="3">
        <f>IF(AND('Data Source'!B926&lt;&gt;"",'Data Source'!S926="A+"),IF('Data Source'!AG926&gt;=5,"A+",IF('Data Source'!AG926&gt;=4,"A",IF('Data Source'!AG926&gt;=3.5,"A-",IF('Data Source'!AG926&gt;=3,"B",IF('Data Source'!AG926&gt;=2,"C",IF('Data Source'!AG926&gt;=1,"D","F")))))),"")</f>
        <v/>
      </c>
      <c r="P926" s="5">
        <f>IF(AND('Data Source'!B926&lt;&gt;"",'Data Source'!S926="A+"),'Data Source'!R926,"")</f>
        <v/>
      </c>
      <c r="Q926" s="3">
        <f>IF(AND('Data Source'!B926&lt;&gt;"",'Data Source'!S926="A+"),'Data Source'!S926,"")</f>
        <v/>
      </c>
    </row>
    <row r="927">
      <c r="A927" s="3">
        <f>IF(AND('Data Source'!B927&lt;&gt;"",'Data Source'!S927="A+"),COUNTIF('Data Source'!$S$3:S927,"A+"),"")</f>
        <v/>
      </c>
      <c r="B927">
        <f>IF(AND('Data Source'!B927&lt;&gt;"",'Data Source'!S927="A+"),'Data Source'!B927,"")</f>
        <v/>
      </c>
      <c r="C927" s="3">
        <f>IF(AND('Data Source'!B927&lt;&gt;"",'Data Source'!S927="A+"),IF('Data Source'!U927&gt;=5,"A+",IF('Data Source'!U927&gt;=4,"A",IF('Data Source'!U927&gt;=3.5,"A-",IF('Data Source'!U927&gt;=3,"B",IF('Data Source'!U927&gt;=2,"C",IF('Data Source'!U927&gt;=1,"D","F")))))),"")</f>
        <v/>
      </c>
      <c r="D927" s="3">
        <f>IF(AND('Data Source'!B927&lt;&gt;"",'Data Source'!S927="A+"),IF('Data Source'!V927&gt;=5,"A+",IF('Data Source'!V927&gt;=4,"A",IF('Data Source'!V927&gt;=3.5,"A-",IF('Data Source'!V927&gt;=3,"B",IF('Data Source'!V927&gt;=2,"C",IF('Data Source'!V927&gt;=1,"D","F")))))),"")</f>
        <v/>
      </c>
      <c r="E927" s="3">
        <f>IF(AND('Data Source'!B927&lt;&gt;"",'Data Source'!S927="A+"),IF('Data Source'!W927&gt;=5,"A+",IF('Data Source'!W927&gt;=4,"A",IF('Data Source'!W927&gt;=3.5,"A-",IF('Data Source'!W927&gt;=3,"B",IF('Data Source'!W927&gt;=2,"C",IF('Data Source'!W927&gt;=1,"D","F")))))),"")</f>
        <v/>
      </c>
      <c r="F927" s="3">
        <f>IF(AND('Data Source'!B927&lt;&gt;"",'Data Source'!S927="A+"),IF('Data Source'!X927&gt;=5,"A+",IF('Data Source'!X927&gt;=4,"A",IF('Data Source'!X927&gt;=3.5,"A-",IF('Data Source'!X927&gt;=3,"B",IF('Data Source'!X927&gt;=2,"C",IF('Data Source'!X927&gt;=1,"D","F")))))),"")</f>
        <v/>
      </c>
      <c r="G927" s="3">
        <f>IF(AND('Data Source'!B927&lt;&gt;"",'Data Source'!S927="A+"),IF('Data Source'!Y927&gt;=5,"A+",IF('Data Source'!Y927&gt;=4,"A",IF('Data Source'!Y927&gt;=3.5,"A-",IF('Data Source'!Y927&gt;=3,"B",IF('Data Source'!Y927&gt;=2,"C",IF('Data Source'!Y927&gt;=1,"D","F")))))),"")</f>
        <v/>
      </c>
      <c r="H927" s="3">
        <f>IF(AND('Data Source'!B927&lt;&gt;"",'Data Source'!S927="A+"),IF('Data Source'!Z927&gt;=5,"A+",IF('Data Source'!Z927&gt;=4,"A",IF('Data Source'!Z927&gt;=3.5,"A-",IF('Data Source'!Z927&gt;=3,"B",IF('Data Source'!Z927&gt;=2,"C",IF('Data Source'!Z927&gt;=1,"D","F")))))),"")</f>
        <v/>
      </c>
      <c r="I927" s="3">
        <f>IF(AND('Data Source'!B927&lt;&gt;"",'Data Source'!S927="A+"),IF('Data Source'!AA927&gt;=5,"A+",IF('Data Source'!AA927&gt;=4,"A",IF('Data Source'!AA927&gt;=3.5,"A-",IF('Data Source'!AA927&gt;=3,"B",IF('Data Source'!AA927&gt;=2,"C",IF('Data Source'!AA927&gt;=1,"D","F")))))),"")</f>
        <v/>
      </c>
      <c r="J927" s="3">
        <f>IF(AND('Data Source'!B927&lt;&gt;"",'Data Source'!S927="A+"),IF('Data Source'!AB927&gt;=5,"A+",IF('Data Source'!AB927&gt;=4,"A",IF('Data Source'!AB927&gt;=3.5,"A-",IF('Data Source'!AB927&gt;=3,"B",IF('Data Source'!AB927&gt;=2,"C",IF('Data Source'!AB927&gt;=1,"D","F")))))),"")</f>
        <v/>
      </c>
      <c r="K927" s="3">
        <f>IF(AND('Data Source'!B927&lt;&gt;"",'Data Source'!S927="A+"),IF('Data Source'!AC927&gt;=5,"A+",IF('Data Source'!AC927&gt;=4,"A",IF('Data Source'!AC927&gt;=3.5,"A-",IF('Data Source'!AC927&gt;=3,"B",IF('Data Source'!AC927&gt;=2,"C",IF('Data Source'!AC927&gt;=1,"D","F")))))),"")</f>
        <v/>
      </c>
      <c r="L927" s="3">
        <f>IF(AND('Data Source'!B927&lt;&gt;"",'Data Source'!S927="A+"),IF('Data Source'!AD927&gt;=5,"A+",IF('Data Source'!AD927&gt;=4,"A",IF('Data Source'!AD927&gt;=3.5,"A-",IF('Data Source'!AD927&gt;=3,"B",IF('Data Source'!AD927&gt;=2,"C",IF('Data Source'!AD927&gt;=1,"D","F")))))),"")</f>
        <v/>
      </c>
      <c r="M927" s="3">
        <f>IF(AND('Data Source'!B927&lt;&gt;"",'Data Source'!S927="A+"),IF('Data Source'!AE927&gt;=5,"A+",IF('Data Source'!AE927&gt;=4,"A",IF('Data Source'!AE927&gt;=3.5,"A-",IF('Data Source'!AE927&gt;=3,"B",IF('Data Source'!AE927&gt;=2,"C",IF('Data Source'!AE927&gt;=1,"D","F")))))),"")</f>
        <v/>
      </c>
      <c r="N927" s="3">
        <f>IF(AND('Data Source'!B927&lt;&gt;"",'Data Source'!S927="A+"),IF('Data Source'!AF927&gt;=5,"A+",IF('Data Source'!AF927&gt;=4,"A",IF('Data Source'!AF927&gt;=3.5,"A-",IF('Data Source'!AF927&gt;=3,"B",IF('Data Source'!AF927&gt;=2,"C",IF('Data Source'!AF927&gt;=1,"D","F")))))),"")</f>
        <v/>
      </c>
      <c r="O927" s="3">
        <f>IF(AND('Data Source'!B927&lt;&gt;"",'Data Source'!S927="A+"),IF('Data Source'!AG927&gt;=5,"A+",IF('Data Source'!AG927&gt;=4,"A",IF('Data Source'!AG927&gt;=3.5,"A-",IF('Data Source'!AG927&gt;=3,"B",IF('Data Source'!AG927&gt;=2,"C",IF('Data Source'!AG927&gt;=1,"D","F")))))),"")</f>
        <v/>
      </c>
      <c r="P927" s="5">
        <f>IF(AND('Data Source'!B927&lt;&gt;"",'Data Source'!S927="A+"),'Data Source'!R927,"")</f>
        <v/>
      </c>
      <c r="Q927" s="3">
        <f>IF(AND('Data Source'!B927&lt;&gt;"",'Data Source'!S927="A+"),'Data Source'!S927,"")</f>
        <v/>
      </c>
    </row>
    <row r="928">
      <c r="A928" s="3">
        <f>IF(AND('Data Source'!B928&lt;&gt;"",'Data Source'!S928="A+"),COUNTIF('Data Source'!$S$3:S928,"A+"),"")</f>
        <v/>
      </c>
      <c r="B928">
        <f>IF(AND('Data Source'!B928&lt;&gt;"",'Data Source'!S928="A+"),'Data Source'!B928,"")</f>
        <v/>
      </c>
      <c r="C928" s="3">
        <f>IF(AND('Data Source'!B928&lt;&gt;"",'Data Source'!S928="A+"),IF('Data Source'!U928&gt;=5,"A+",IF('Data Source'!U928&gt;=4,"A",IF('Data Source'!U928&gt;=3.5,"A-",IF('Data Source'!U928&gt;=3,"B",IF('Data Source'!U928&gt;=2,"C",IF('Data Source'!U928&gt;=1,"D","F")))))),"")</f>
        <v/>
      </c>
      <c r="D928" s="3">
        <f>IF(AND('Data Source'!B928&lt;&gt;"",'Data Source'!S928="A+"),IF('Data Source'!V928&gt;=5,"A+",IF('Data Source'!V928&gt;=4,"A",IF('Data Source'!V928&gt;=3.5,"A-",IF('Data Source'!V928&gt;=3,"B",IF('Data Source'!V928&gt;=2,"C",IF('Data Source'!V928&gt;=1,"D","F")))))),"")</f>
        <v/>
      </c>
      <c r="E928" s="3">
        <f>IF(AND('Data Source'!B928&lt;&gt;"",'Data Source'!S928="A+"),IF('Data Source'!W928&gt;=5,"A+",IF('Data Source'!W928&gt;=4,"A",IF('Data Source'!W928&gt;=3.5,"A-",IF('Data Source'!W928&gt;=3,"B",IF('Data Source'!W928&gt;=2,"C",IF('Data Source'!W928&gt;=1,"D","F")))))),"")</f>
        <v/>
      </c>
      <c r="F928" s="3">
        <f>IF(AND('Data Source'!B928&lt;&gt;"",'Data Source'!S928="A+"),IF('Data Source'!X928&gt;=5,"A+",IF('Data Source'!X928&gt;=4,"A",IF('Data Source'!X928&gt;=3.5,"A-",IF('Data Source'!X928&gt;=3,"B",IF('Data Source'!X928&gt;=2,"C",IF('Data Source'!X928&gt;=1,"D","F")))))),"")</f>
        <v/>
      </c>
      <c r="G928" s="3">
        <f>IF(AND('Data Source'!B928&lt;&gt;"",'Data Source'!S928="A+"),IF('Data Source'!Y928&gt;=5,"A+",IF('Data Source'!Y928&gt;=4,"A",IF('Data Source'!Y928&gt;=3.5,"A-",IF('Data Source'!Y928&gt;=3,"B",IF('Data Source'!Y928&gt;=2,"C",IF('Data Source'!Y928&gt;=1,"D","F")))))),"")</f>
        <v/>
      </c>
      <c r="H928" s="3">
        <f>IF(AND('Data Source'!B928&lt;&gt;"",'Data Source'!S928="A+"),IF('Data Source'!Z928&gt;=5,"A+",IF('Data Source'!Z928&gt;=4,"A",IF('Data Source'!Z928&gt;=3.5,"A-",IF('Data Source'!Z928&gt;=3,"B",IF('Data Source'!Z928&gt;=2,"C",IF('Data Source'!Z928&gt;=1,"D","F")))))),"")</f>
        <v/>
      </c>
      <c r="I928" s="3">
        <f>IF(AND('Data Source'!B928&lt;&gt;"",'Data Source'!S928="A+"),IF('Data Source'!AA928&gt;=5,"A+",IF('Data Source'!AA928&gt;=4,"A",IF('Data Source'!AA928&gt;=3.5,"A-",IF('Data Source'!AA928&gt;=3,"B",IF('Data Source'!AA928&gt;=2,"C",IF('Data Source'!AA928&gt;=1,"D","F")))))),"")</f>
        <v/>
      </c>
      <c r="J928" s="3">
        <f>IF(AND('Data Source'!B928&lt;&gt;"",'Data Source'!S928="A+"),IF('Data Source'!AB928&gt;=5,"A+",IF('Data Source'!AB928&gt;=4,"A",IF('Data Source'!AB928&gt;=3.5,"A-",IF('Data Source'!AB928&gt;=3,"B",IF('Data Source'!AB928&gt;=2,"C",IF('Data Source'!AB928&gt;=1,"D","F")))))),"")</f>
        <v/>
      </c>
      <c r="K928" s="3">
        <f>IF(AND('Data Source'!B928&lt;&gt;"",'Data Source'!S928="A+"),IF('Data Source'!AC928&gt;=5,"A+",IF('Data Source'!AC928&gt;=4,"A",IF('Data Source'!AC928&gt;=3.5,"A-",IF('Data Source'!AC928&gt;=3,"B",IF('Data Source'!AC928&gt;=2,"C",IF('Data Source'!AC928&gt;=1,"D","F")))))),"")</f>
        <v/>
      </c>
      <c r="L928" s="3">
        <f>IF(AND('Data Source'!B928&lt;&gt;"",'Data Source'!S928="A+"),IF('Data Source'!AD928&gt;=5,"A+",IF('Data Source'!AD928&gt;=4,"A",IF('Data Source'!AD928&gt;=3.5,"A-",IF('Data Source'!AD928&gt;=3,"B",IF('Data Source'!AD928&gt;=2,"C",IF('Data Source'!AD928&gt;=1,"D","F")))))),"")</f>
        <v/>
      </c>
      <c r="M928" s="3">
        <f>IF(AND('Data Source'!B928&lt;&gt;"",'Data Source'!S928="A+"),IF('Data Source'!AE928&gt;=5,"A+",IF('Data Source'!AE928&gt;=4,"A",IF('Data Source'!AE928&gt;=3.5,"A-",IF('Data Source'!AE928&gt;=3,"B",IF('Data Source'!AE928&gt;=2,"C",IF('Data Source'!AE928&gt;=1,"D","F")))))),"")</f>
        <v/>
      </c>
      <c r="N928" s="3">
        <f>IF(AND('Data Source'!B928&lt;&gt;"",'Data Source'!S928="A+"),IF('Data Source'!AF928&gt;=5,"A+",IF('Data Source'!AF928&gt;=4,"A",IF('Data Source'!AF928&gt;=3.5,"A-",IF('Data Source'!AF928&gt;=3,"B",IF('Data Source'!AF928&gt;=2,"C",IF('Data Source'!AF928&gt;=1,"D","F")))))),"")</f>
        <v/>
      </c>
      <c r="O928" s="3">
        <f>IF(AND('Data Source'!B928&lt;&gt;"",'Data Source'!S928="A+"),IF('Data Source'!AG928&gt;=5,"A+",IF('Data Source'!AG928&gt;=4,"A",IF('Data Source'!AG928&gt;=3.5,"A-",IF('Data Source'!AG928&gt;=3,"B",IF('Data Source'!AG928&gt;=2,"C",IF('Data Source'!AG928&gt;=1,"D","F")))))),"")</f>
        <v/>
      </c>
      <c r="P928" s="5">
        <f>IF(AND('Data Source'!B928&lt;&gt;"",'Data Source'!S928="A+"),'Data Source'!R928,"")</f>
        <v/>
      </c>
      <c r="Q928" s="3">
        <f>IF(AND('Data Source'!B928&lt;&gt;"",'Data Source'!S928="A+"),'Data Source'!S928,"")</f>
        <v/>
      </c>
    </row>
    <row r="929">
      <c r="A929" s="3">
        <f>IF(AND('Data Source'!B929&lt;&gt;"",'Data Source'!S929="A+"),COUNTIF('Data Source'!$S$3:S929,"A+"),"")</f>
        <v/>
      </c>
      <c r="B929">
        <f>IF(AND('Data Source'!B929&lt;&gt;"",'Data Source'!S929="A+"),'Data Source'!B929,"")</f>
        <v/>
      </c>
      <c r="C929" s="3">
        <f>IF(AND('Data Source'!B929&lt;&gt;"",'Data Source'!S929="A+"),IF('Data Source'!U929&gt;=5,"A+",IF('Data Source'!U929&gt;=4,"A",IF('Data Source'!U929&gt;=3.5,"A-",IF('Data Source'!U929&gt;=3,"B",IF('Data Source'!U929&gt;=2,"C",IF('Data Source'!U929&gt;=1,"D","F")))))),"")</f>
        <v/>
      </c>
      <c r="D929" s="3">
        <f>IF(AND('Data Source'!B929&lt;&gt;"",'Data Source'!S929="A+"),IF('Data Source'!V929&gt;=5,"A+",IF('Data Source'!V929&gt;=4,"A",IF('Data Source'!V929&gt;=3.5,"A-",IF('Data Source'!V929&gt;=3,"B",IF('Data Source'!V929&gt;=2,"C",IF('Data Source'!V929&gt;=1,"D","F")))))),"")</f>
        <v/>
      </c>
      <c r="E929" s="3">
        <f>IF(AND('Data Source'!B929&lt;&gt;"",'Data Source'!S929="A+"),IF('Data Source'!W929&gt;=5,"A+",IF('Data Source'!W929&gt;=4,"A",IF('Data Source'!W929&gt;=3.5,"A-",IF('Data Source'!W929&gt;=3,"B",IF('Data Source'!W929&gt;=2,"C",IF('Data Source'!W929&gt;=1,"D","F")))))),"")</f>
        <v/>
      </c>
      <c r="F929" s="3">
        <f>IF(AND('Data Source'!B929&lt;&gt;"",'Data Source'!S929="A+"),IF('Data Source'!X929&gt;=5,"A+",IF('Data Source'!X929&gt;=4,"A",IF('Data Source'!X929&gt;=3.5,"A-",IF('Data Source'!X929&gt;=3,"B",IF('Data Source'!X929&gt;=2,"C",IF('Data Source'!X929&gt;=1,"D","F")))))),"")</f>
        <v/>
      </c>
      <c r="G929" s="3">
        <f>IF(AND('Data Source'!B929&lt;&gt;"",'Data Source'!S929="A+"),IF('Data Source'!Y929&gt;=5,"A+",IF('Data Source'!Y929&gt;=4,"A",IF('Data Source'!Y929&gt;=3.5,"A-",IF('Data Source'!Y929&gt;=3,"B",IF('Data Source'!Y929&gt;=2,"C",IF('Data Source'!Y929&gt;=1,"D","F")))))),"")</f>
        <v/>
      </c>
      <c r="H929" s="3">
        <f>IF(AND('Data Source'!B929&lt;&gt;"",'Data Source'!S929="A+"),IF('Data Source'!Z929&gt;=5,"A+",IF('Data Source'!Z929&gt;=4,"A",IF('Data Source'!Z929&gt;=3.5,"A-",IF('Data Source'!Z929&gt;=3,"B",IF('Data Source'!Z929&gt;=2,"C",IF('Data Source'!Z929&gt;=1,"D","F")))))),"")</f>
        <v/>
      </c>
      <c r="I929" s="3">
        <f>IF(AND('Data Source'!B929&lt;&gt;"",'Data Source'!S929="A+"),IF('Data Source'!AA929&gt;=5,"A+",IF('Data Source'!AA929&gt;=4,"A",IF('Data Source'!AA929&gt;=3.5,"A-",IF('Data Source'!AA929&gt;=3,"B",IF('Data Source'!AA929&gt;=2,"C",IF('Data Source'!AA929&gt;=1,"D","F")))))),"")</f>
        <v/>
      </c>
      <c r="J929" s="3">
        <f>IF(AND('Data Source'!B929&lt;&gt;"",'Data Source'!S929="A+"),IF('Data Source'!AB929&gt;=5,"A+",IF('Data Source'!AB929&gt;=4,"A",IF('Data Source'!AB929&gt;=3.5,"A-",IF('Data Source'!AB929&gt;=3,"B",IF('Data Source'!AB929&gt;=2,"C",IF('Data Source'!AB929&gt;=1,"D","F")))))),"")</f>
        <v/>
      </c>
      <c r="K929" s="3">
        <f>IF(AND('Data Source'!B929&lt;&gt;"",'Data Source'!S929="A+"),IF('Data Source'!AC929&gt;=5,"A+",IF('Data Source'!AC929&gt;=4,"A",IF('Data Source'!AC929&gt;=3.5,"A-",IF('Data Source'!AC929&gt;=3,"B",IF('Data Source'!AC929&gt;=2,"C",IF('Data Source'!AC929&gt;=1,"D","F")))))),"")</f>
        <v/>
      </c>
      <c r="L929" s="3">
        <f>IF(AND('Data Source'!B929&lt;&gt;"",'Data Source'!S929="A+"),IF('Data Source'!AD929&gt;=5,"A+",IF('Data Source'!AD929&gt;=4,"A",IF('Data Source'!AD929&gt;=3.5,"A-",IF('Data Source'!AD929&gt;=3,"B",IF('Data Source'!AD929&gt;=2,"C",IF('Data Source'!AD929&gt;=1,"D","F")))))),"")</f>
        <v/>
      </c>
      <c r="M929" s="3">
        <f>IF(AND('Data Source'!B929&lt;&gt;"",'Data Source'!S929="A+"),IF('Data Source'!AE929&gt;=5,"A+",IF('Data Source'!AE929&gt;=4,"A",IF('Data Source'!AE929&gt;=3.5,"A-",IF('Data Source'!AE929&gt;=3,"B",IF('Data Source'!AE929&gt;=2,"C",IF('Data Source'!AE929&gt;=1,"D","F")))))),"")</f>
        <v/>
      </c>
      <c r="N929" s="3">
        <f>IF(AND('Data Source'!B929&lt;&gt;"",'Data Source'!S929="A+"),IF('Data Source'!AF929&gt;=5,"A+",IF('Data Source'!AF929&gt;=4,"A",IF('Data Source'!AF929&gt;=3.5,"A-",IF('Data Source'!AF929&gt;=3,"B",IF('Data Source'!AF929&gt;=2,"C",IF('Data Source'!AF929&gt;=1,"D","F")))))),"")</f>
        <v/>
      </c>
      <c r="O929" s="3">
        <f>IF(AND('Data Source'!B929&lt;&gt;"",'Data Source'!S929="A+"),IF('Data Source'!AG929&gt;=5,"A+",IF('Data Source'!AG929&gt;=4,"A",IF('Data Source'!AG929&gt;=3.5,"A-",IF('Data Source'!AG929&gt;=3,"B",IF('Data Source'!AG929&gt;=2,"C",IF('Data Source'!AG929&gt;=1,"D","F")))))),"")</f>
        <v/>
      </c>
      <c r="P929" s="5">
        <f>IF(AND('Data Source'!B929&lt;&gt;"",'Data Source'!S929="A+"),'Data Source'!R929,"")</f>
        <v/>
      </c>
      <c r="Q929" s="3">
        <f>IF(AND('Data Source'!B929&lt;&gt;"",'Data Source'!S929="A+"),'Data Source'!S929,"")</f>
        <v/>
      </c>
    </row>
    <row r="930">
      <c r="A930" s="3">
        <f>IF(AND('Data Source'!B930&lt;&gt;"",'Data Source'!S930="A+"),COUNTIF('Data Source'!$S$3:S930,"A+"),"")</f>
        <v/>
      </c>
      <c r="B930">
        <f>IF(AND('Data Source'!B930&lt;&gt;"",'Data Source'!S930="A+"),'Data Source'!B930,"")</f>
        <v/>
      </c>
      <c r="C930" s="3">
        <f>IF(AND('Data Source'!B930&lt;&gt;"",'Data Source'!S930="A+"),IF('Data Source'!U930&gt;=5,"A+",IF('Data Source'!U930&gt;=4,"A",IF('Data Source'!U930&gt;=3.5,"A-",IF('Data Source'!U930&gt;=3,"B",IF('Data Source'!U930&gt;=2,"C",IF('Data Source'!U930&gt;=1,"D","F")))))),"")</f>
        <v/>
      </c>
      <c r="D930" s="3">
        <f>IF(AND('Data Source'!B930&lt;&gt;"",'Data Source'!S930="A+"),IF('Data Source'!V930&gt;=5,"A+",IF('Data Source'!V930&gt;=4,"A",IF('Data Source'!V930&gt;=3.5,"A-",IF('Data Source'!V930&gt;=3,"B",IF('Data Source'!V930&gt;=2,"C",IF('Data Source'!V930&gt;=1,"D","F")))))),"")</f>
        <v/>
      </c>
      <c r="E930" s="3">
        <f>IF(AND('Data Source'!B930&lt;&gt;"",'Data Source'!S930="A+"),IF('Data Source'!W930&gt;=5,"A+",IF('Data Source'!W930&gt;=4,"A",IF('Data Source'!W930&gt;=3.5,"A-",IF('Data Source'!W930&gt;=3,"B",IF('Data Source'!W930&gt;=2,"C",IF('Data Source'!W930&gt;=1,"D","F")))))),"")</f>
        <v/>
      </c>
      <c r="F930" s="3">
        <f>IF(AND('Data Source'!B930&lt;&gt;"",'Data Source'!S930="A+"),IF('Data Source'!X930&gt;=5,"A+",IF('Data Source'!X930&gt;=4,"A",IF('Data Source'!X930&gt;=3.5,"A-",IF('Data Source'!X930&gt;=3,"B",IF('Data Source'!X930&gt;=2,"C",IF('Data Source'!X930&gt;=1,"D","F")))))),"")</f>
        <v/>
      </c>
      <c r="G930" s="3">
        <f>IF(AND('Data Source'!B930&lt;&gt;"",'Data Source'!S930="A+"),IF('Data Source'!Y930&gt;=5,"A+",IF('Data Source'!Y930&gt;=4,"A",IF('Data Source'!Y930&gt;=3.5,"A-",IF('Data Source'!Y930&gt;=3,"B",IF('Data Source'!Y930&gt;=2,"C",IF('Data Source'!Y930&gt;=1,"D","F")))))),"")</f>
        <v/>
      </c>
      <c r="H930" s="3">
        <f>IF(AND('Data Source'!B930&lt;&gt;"",'Data Source'!S930="A+"),IF('Data Source'!Z930&gt;=5,"A+",IF('Data Source'!Z930&gt;=4,"A",IF('Data Source'!Z930&gt;=3.5,"A-",IF('Data Source'!Z930&gt;=3,"B",IF('Data Source'!Z930&gt;=2,"C",IF('Data Source'!Z930&gt;=1,"D","F")))))),"")</f>
        <v/>
      </c>
      <c r="I930" s="3">
        <f>IF(AND('Data Source'!B930&lt;&gt;"",'Data Source'!S930="A+"),IF('Data Source'!AA930&gt;=5,"A+",IF('Data Source'!AA930&gt;=4,"A",IF('Data Source'!AA930&gt;=3.5,"A-",IF('Data Source'!AA930&gt;=3,"B",IF('Data Source'!AA930&gt;=2,"C",IF('Data Source'!AA930&gt;=1,"D","F")))))),"")</f>
        <v/>
      </c>
      <c r="J930" s="3">
        <f>IF(AND('Data Source'!B930&lt;&gt;"",'Data Source'!S930="A+"),IF('Data Source'!AB930&gt;=5,"A+",IF('Data Source'!AB930&gt;=4,"A",IF('Data Source'!AB930&gt;=3.5,"A-",IF('Data Source'!AB930&gt;=3,"B",IF('Data Source'!AB930&gt;=2,"C",IF('Data Source'!AB930&gt;=1,"D","F")))))),"")</f>
        <v/>
      </c>
      <c r="K930" s="3">
        <f>IF(AND('Data Source'!B930&lt;&gt;"",'Data Source'!S930="A+"),IF('Data Source'!AC930&gt;=5,"A+",IF('Data Source'!AC930&gt;=4,"A",IF('Data Source'!AC930&gt;=3.5,"A-",IF('Data Source'!AC930&gt;=3,"B",IF('Data Source'!AC930&gt;=2,"C",IF('Data Source'!AC930&gt;=1,"D","F")))))),"")</f>
        <v/>
      </c>
      <c r="L930" s="3">
        <f>IF(AND('Data Source'!B930&lt;&gt;"",'Data Source'!S930="A+"),IF('Data Source'!AD930&gt;=5,"A+",IF('Data Source'!AD930&gt;=4,"A",IF('Data Source'!AD930&gt;=3.5,"A-",IF('Data Source'!AD930&gt;=3,"B",IF('Data Source'!AD930&gt;=2,"C",IF('Data Source'!AD930&gt;=1,"D","F")))))),"")</f>
        <v/>
      </c>
      <c r="M930" s="3">
        <f>IF(AND('Data Source'!B930&lt;&gt;"",'Data Source'!S930="A+"),IF('Data Source'!AE930&gt;=5,"A+",IF('Data Source'!AE930&gt;=4,"A",IF('Data Source'!AE930&gt;=3.5,"A-",IF('Data Source'!AE930&gt;=3,"B",IF('Data Source'!AE930&gt;=2,"C",IF('Data Source'!AE930&gt;=1,"D","F")))))),"")</f>
        <v/>
      </c>
      <c r="N930" s="3">
        <f>IF(AND('Data Source'!B930&lt;&gt;"",'Data Source'!S930="A+"),IF('Data Source'!AF930&gt;=5,"A+",IF('Data Source'!AF930&gt;=4,"A",IF('Data Source'!AF930&gt;=3.5,"A-",IF('Data Source'!AF930&gt;=3,"B",IF('Data Source'!AF930&gt;=2,"C",IF('Data Source'!AF930&gt;=1,"D","F")))))),"")</f>
        <v/>
      </c>
      <c r="O930" s="3">
        <f>IF(AND('Data Source'!B930&lt;&gt;"",'Data Source'!S930="A+"),IF('Data Source'!AG930&gt;=5,"A+",IF('Data Source'!AG930&gt;=4,"A",IF('Data Source'!AG930&gt;=3.5,"A-",IF('Data Source'!AG930&gt;=3,"B",IF('Data Source'!AG930&gt;=2,"C",IF('Data Source'!AG930&gt;=1,"D","F")))))),"")</f>
        <v/>
      </c>
      <c r="P930" s="5">
        <f>IF(AND('Data Source'!B930&lt;&gt;"",'Data Source'!S930="A+"),'Data Source'!R930,"")</f>
        <v/>
      </c>
      <c r="Q930" s="3">
        <f>IF(AND('Data Source'!B930&lt;&gt;"",'Data Source'!S930="A+"),'Data Source'!S930,"")</f>
        <v/>
      </c>
    </row>
    <row r="931">
      <c r="A931" s="3">
        <f>IF(AND('Data Source'!B931&lt;&gt;"",'Data Source'!S931="A+"),COUNTIF('Data Source'!$S$3:S931,"A+"),"")</f>
        <v/>
      </c>
      <c r="B931">
        <f>IF(AND('Data Source'!B931&lt;&gt;"",'Data Source'!S931="A+"),'Data Source'!B931,"")</f>
        <v/>
      </c>
      <c r="C931" s="3">
        <f>IF(AND('Data Source'!B931&lt;&gt;"",'Data Source'!S931="A+"),IF('Data Source'!U931&gt;=5,"A+",IF('Data Source'!U931&gt;=4,"A",IF('Data Source'!U931&gt;=3.5,"A-",IF('Data Source'!U931&gt;=3,"B",IF('Data Source'!U931&gt;=2,"C",IF('Data Source'!U931&gt;=1,"D","F")))))),"")</f>
        <v/>
      </c>
      <c r="D931" s="3">
        <f>IF(AND('Data Source'!B931&lt;&gt;"",'Data Source'!S931="A+"),IF('Data Source'!V931&gt;=5,"A+",IF('Data Source'!V931&gt;=4,"A",IF('Data Source'!V931&gt;=3.5,"A-",IF('Data Source'!V931&gt;=3,"B",IF('Data Source'!V931&gt;=2,"C",IF('Data Source'!V931&gt;=1,"D","F")))))),"")</f>
        <v/>
      </c>
      <c r="E931" s="3">
        <f>IF(AND('Data Source'!B931&lt;&gt;"",'Data Source'!S931="A+"),IF('Data Source'!W931&gt;=5,"A+",IF('Data Source'!W931&gt;=4,"A",IF('Data Source'!W931&gt;=3.5,"A-",IF('Data Source'!W931&gt;=3,"B",IF('Data Source'!W931&gt;=2,"C",IF('Data Source'!W931&gt;=1,"D","F")))))),"")</f>
        <v/>
      </c>
      <c r="F931" s="3">
        <f>IF(AND('Data Source'!B931&lt;&gt;"",'Data Source'!S931="A+"),IF('Data Source'!X931&gt;=5,"A+",IF('Data Source'!X931&gt;=4,"A",IF('Data Source'!X931&gt;=3.5,"A-",IF('Data Source'!X931&gt;=3,"B",IF('Data Source'!X931&gt;=2,"C",IF('Data Source'!X931&gt;=1,"D","F")))))),"")</f>
        <v/>
      </c>
      <c r="G931" s="3">
        <f>IF(AND('Data Source'!B931&lt;&gt;"",'Data Source'!S931="A+"),IF('Data Source'!Y931&gt;=5,"A+",IF('Data Source'!Y931&gt;=4,"A",IF('Data Source'!Y931&gt;=3.5,"A-",IF('Data Source'!Y931&gt;=3,"B",IF('Data Source'!Y931&gt;=2,"C",IF('Data Source'!Y931&gt;=1,"D","F")))))),"")</f>
        <v/>
      </c>
      <c r="H931" s="3">
        <f>IF(AND('Data Source'!B931&lt;&gt;"",'Data Source'!S931="A+"),IF('Data Source'!Z931&gt;=5,"A+",IF('Data Source'!Z931&gt;=4,"A",IF('Data Source'!Z931&gt;=3.5,"A-",IF('Data Source'!Z931&gt;=3,"B",IF('Data Source'!Z931&gt;=2,"C",IF('Data Source'!Z931&gt;=1,"D","F")))))),"")</f>
        <v/>
      </c>
      <c r="I931" s="3">
        <f>IF(AND('Data Source'!B931&lt;&gt;"",'Data Source'!S931="A+"),IF('Data Source'!AA931&gt;=5,"A+",IF('Data Source'!AA931&gt;=4,"A",IF('Data Source'!AA931&gt;=3.5,"A-",IF('Data Source'!AA931&gt;=3,"B",IF('Data Source'!AA931&gt;=2,"C",IF('Data Source'!AA931&gt;=1,"D","F")))))),"")</f>
        <v/>
      </c>
      <c r="J931" s="3">
        <f>IF(AND('Data Source'!B931&lt;&gt;"",'Data Source'!S931="A+"),IF('Data Source'!AB931&gt;=5,"A+",IF('Data Source'!AB931&gt;=4,"A",IF('Data Source'!AB931&gt;=3.5,"A-",IF('Data Source'!AB931&gt;=3,"B",IF('Data Source'!AB931&gt;=2,"C",IF('Data Source'!AB931&gt;=1,"D","F")))))),"")</f>
        <v/>
      </c>
      <c r="K931" s="3">
        <f>IF(AND('Data Source'!B931&lt;&gt;"",'Data Source'!S931="A+"),IF('Data Source'!AC931&gt;=5,"A+",IF('Data Source'!AC931&gt;=4,"A",IF('Data Source'!AC931&gt;=3.5,"A-",IF('Data Source'!AC931&gt;=3,"B",IF('Data Source'!AC931&gt;=2,"C",IF('Data Source'!AC931&gt;=1,"D","F")))))),"")</f>
        <v/>
      </c>
      <c r="L931" s="3">
        <f>IF(AND('Data Source'!B931&lt;&gt;"",'Data Source'!S931="A+"),IF('Data Source'!AD931&gt;=5,"A+",IF('Data Source'!AD931&gt;=4,"A",IF('Data Source'!AD931&gt;=3.5,"A-",IF('Data Source'!AD931&gt;=3,"B",IF('Data Source'!AD931&gt;=2,"C",IF('Data Source'!AD931&gt;=1,"D","F")))))),"")</f>
        <v/>
      </c>
      <c r="M931" s="3">
        <f>IF(AND('Data Source'!B931&lt;&gt;"",'Data Source'!S931="A+"),IF('Data Source'!AE931&gt;=5,"A+",IF('Data Source'!AE931&gt;=4,"A",IF('Data Source'!AE931&gt;=3.5,"A-",IF('Data Source'!AE931&gt;=3,"B",IF('Data Source'!AE931&gt;=2,"C",IF('Data Source'!AE931&gt;=1,"D","F")))))),"")</f>
        <v/>
      </c>
      <c r="N931" s="3">
        <f>IF(AND('Data Source'!B931&lt;&gt;"",'Data Source'!S931="A+"),IF('Data Source'!AF931&gt;=5,"A+",IF('Data Source'!AF931&gt;=4,"A",IF('Data Source'!AF931&gt;=3.5,"A-",IF('Data Source'!AF931&gt;=3,"B",IF('Data Source'!AF931&gt;=2,"C",IF('Data Source'!AF931&gt;=1,"D","F")))))),"")</f>
        <v/>
      </c>
      <c r="O931" s="3">
        <f>IF(AND('Data Source'!B931&lt;&gt;"",'Data Source'!S931="A+"),IF('Data Source'!AG931&gt;=5,"A+",IF('Data Source'!AG931&gt;=4,"A",IF('Data Source'!AG931&gt;=3.5,"A-",IF('Data Source'!AG931&gt;=3,"B",IF('Data Source'!AG931&gt;=2,"C",IF('Data Source'!AG931&gt;=1,"D","F")))))),"")</f>
        <v/>
      </c>
      <c r="P931" s="5">
        <f>IF(AND('Data Source'!B931&lt;&gt;"",'Data Source'!S931="A+"),'Data Source'!R931,"")</f>
        <v/>
      </c>
      <c r="Q931" s="3">
        <f>IF(AND('Data Source'!B931&lt;&gt;"",'Data Source'!S931="A+"),'Data Source'!S931,"")</f>
        <v/>
      </c>
    </row>
    <row r="932">
      <c r="A932" s="3">
        <f>IF(AND('Data Source'!B932&lt;&gt;"",'Data Source'!S932="A+"),COUNTIF('Data Source'!$S$3:S932,"A+"),"")</f>
        <v/>
      </c>
      <c r="B932">
        <f>IF(AND('Data Source'!B932&lt;&gt;"",'Data Source'!S932="A+"),'Data Source'!B932,"")</f>
        <v/>
      </c>
      <c r="C932" s="3">
        <f>IF(AND('Data Source'!B932&lt;&gt;"",'Data Source'!S932="A+"),IF('Data Source'!U932&gt;=5,"A+",IF('Data Source'!U932&gt;=4,"A",IF('Data Source'!U932&gt;=3.5,"A-",IF('Data Source'!U932&gt;=3,"B",IF('Data Source'!U932&gt;=2,"C",IF('Data Source'!U932&gt;=1,"D","F")))))),"")</f>
        <v/>
      </c>
      <c r="D932" s="3">
        <f>IF(AND('Data Source'!B932&lt;&gt;"",'Data Source'!S932="A+"),IF('Data Source'!V932&gt;=5,"A+",IF('Data Source'!V932&gt;=4,"A",IF('Data Source'!V932&gt;=3.5,"A-",IF('Data Source'!V932&gt;=3,"B",IF('Data Source'!V932&gt;=2,"C",IF('Data Source'!V932&gt;=1,"D","F")))))),"")</f>
        <v/>
      </c>
      <c r="E932" s="3">
        <f>IF(AND('Data Source'!B932&lt;&gt;"",'Data Source'!S932="A+"),IF('Data Source'!W932&gt;=5,"A+",IF('Data Source'!W932&gt;=4,"A",IF('Data Source'!W932&gt;=3.5,"A-",IF('Data Source'!W932&gt;=3,"B",IF('Data Source'!W932&gt;=2,"C",IF('Data Source'!W932&gt;=1,"D","F")))))),"")</f>
        <v/>
      </c>
      <c r="F932" s="3">
        <f>IF(AND('Data Source'!B932&lt;&gt;"",'Data Source'!S932="A+"),IF('Data Source'!X932&gt;=5,"A+",IF('Data Source'!X932&gt;=4,"A",IF('Data Source'!X932&gt;=3.5,"A-",IF('Data Source'!X932&gt;=3,"B",IF('Data Source'!X932&gt;=2,"C",IF('Data Source'!X932&gt;=1,"D","F")))))),"")</f>
        <v/>
      </c>
      <c r="G932" s="3">
        <f>IF(AND('Data Source'!B932&lt;&gt;"",'Data Source'!S932="A+"),IF('Data Source'!Y932&gt;=5,"A+",IF('Data Source'!Y932&gt;=4,"A",IF('Data Source'!Y932&gt;=3.5,"A-",IF('Data Source'!Y932&gt;=3,"B",IF('Data Source'!Y932&gt;=2,"C",IF('Data Source'!Y932&gt;=1,"D","F")))))),"")</f>
        <v/>
      </c>
      <c r="H932" s="3">
        <f>IF(AND('Data Source'!B932&lt;&gt;"",'Data Source'!S932="A+"),IF('Data Source'!Z932&gt;=5,"A+",IF('Data Source'!Z932&gt;=4,"A",IF('Data Source'!Z932&gt;=3.5,"A-",IF('Data Source'!Z932&gt;=3,"B",IF('Data Source'!Z932&gt;=2,"C",IF('Data Source'!Z932&gt;=1,"D","F")))))),"")</f>
        <v/>
      </c>
      <c r="I932" s="3">
        <f>IF(AND('Data Source'!B932&lt;&gt;"",'Data Source'!S932="A+"),IF('Data Source'!AA932&gt;=5,"A+",IF('Data Source'!AA932&gt;=4,"A",IF('Data Source'!AA932&gt;=3.5,"A-",IF('Data Source'!AA932&gt;=3,"B",IF('Data Source'!AA932&gt;=2,"C",IF('Data Source'!AA932&gt;=1,"D","F")))))),"")</f>
        <v/>
      </c>
      <c r="J932" s="3">
        <f>IF(AND('Data Source'!B932&lt;&gt;"",'Data Source'!S932="A+"),IF('Data Source'!AB932&gt;=5,"A+",IF('Data Source'!AB932&gt;=4,"A",IF('Data Source'!AB932&gt;=3.5,"A-",IF('Data Source'!AB932&gt;=3,"B",IF('Data Source'!AB932&gt;=2,"C",IF('Data Source'!AB932&gt;=1,"D","F")))))),"")</f>
        <v/>
      </c>
      <c r="K932" s="3">
        <f>IF(AND('Data Source'!B932&lt;&gt;"",'Data Source'!S932="A+"),IF('Data Source'!AC932&gt;=5,"A+",IF('Data Source'!AC932&gt;=4,"A",IF('Data Source'!AC932&gt;=3.5,"A-",IF('Data Source'!AC932&gt;=3,"B",IF('Data Source'!AC932&gt;=2,"C",IF('Data Source'!AC932&gt;=1,"D","F")))))),"")</f>
        <v/>
      </c>
      <c r="L932" s="3">
        <f>IF(AND('Data Source'!B932&lt;&gt;"",'Data Source'!S932="A+"),IF('Data Source'!AD932&gt;=5,"A+",IF('Data Source'!AD932&gt;=4,"A",IF('Data Source'!AD932&gt;=3.5,"A-",IF('Data Source'!AD932&gt;=3,"B",IF('Data Source'!AD932&gt;=2,"C",IF('Data Source'!AD932&gt;=1,"D","F")))))),"")</f>
        <v/>
      </c>
      <c r="M932" s="3">
        <f>IF(AND('Data Source'!B932&lt;&gt;"",'Data Source'!S932="A+"),IF('Data Source'!AE932&gt;=5,"A+",IF('Data Source'!AE932&gt;=4,"A",IF('Data Source'!AE932&gt;=3.5,"A-",IF('Data Source'!AE932&gt;=3,"B",IF('Data Source'!AE932&gt;=2,"C",IF('Data Source'!AE932&gt;=1,"D","F")))))),"")</f>
        <v/>
      </c>
      <c r="N932" s="3">
        <f>IF(AND('Data Source'!B932&lt;&gt;"",'Data Source'!S932="A+"),IF('Data Source'!AF932&gt;=5,"A+",IF('Data Source'!AF932&gt;=4,"A",IF('Data Source'!AF932&gt;=3.5,"A-",IF('Data Source'!AF932&gt;=3,"B",IF('Data Source'!AF932&gt;=2,"C",IF('Data Source'!AF932&gt;=1,"D","F")))))),"")</f>
        <v/>
      </c>
      <c r="O932" s="3">
        <f>IF(AND('Data Source'!B932&lt;&gt;"",'Data Source'!S932="A+"),IF('Data Source'!AG932&gt;=5,"A+",IF('Data Source'!AG932&gt;=4,"A",IF('Data Source'!AG932&gt;=3.5,"A-",IF('Data Source'!AG932&gt;=3,"B",IF('Data Source'!AG932&gt;=2,"C",IF('Data Source'!AG932&gt;=1,"D","F")))))),"")</f>
        <v/>
      </c>
      <c r="P932" s="5">
        <f>IF(AND('Data Source'!B932&lt;&gt;"",'Data Source'!S932="A+"),'Data Source'!R932,"")</f>
        <v/>
      </c>
      <c r="Q932" s="3">
        <f>IF(AND('Data Source'!B932&lt;&gt;"",'Data Source'!S932="A+"),'Data Source'!S932,"")</f>
        <v/>
      </c>
    </row>
    <row r="933">
      <c r="A933" s="3">
        <f>IF(AND('Data Source'!B933&lt;&gt;"",'Data Source'!S933="A+"),COUNTIF('Data Source'!$S$3:S933,"A+"),"")</f>
        <v/>
      </c>
      <c r="B933">
        <f>IF(AND('Data Source'!B933&lt;&gt;"",'Data Source'!S933="A+"),'Data Source'!B933,"")</f>
        <v/>
      </c>
      <c r="C933" s="3">
        <f>IF(AND('Data Source'!B933&lt;&gt;"",'Data Source'!S933="A+"),IF('Data Source'!U933&gt;=5,"A+",IF('Data Source'!U933&gt;=4,"A",IF('Data Source'!U933&gt;=3.5,"A-",IF('Data Source'!U933&gt;=3,"B",IF('Data Source'!U933&gt;=2,"C",IF('Data Source'!U933&gt;=1,"D","F")))))),"")</f>
        <v/>
      </c>
      <c r="D933" s="3">
        <f>IF(AND('Data Source'!B933&lt;&gt;"",'Data Source'!S933="A+"),IF('Data Source'!V933&gt;=5,"A+",IF('Data Source'!V933&gt;=4,"A",IF('Data Source'!V933&gt;=3.5,"A-",IF('Data Source'!V933&gt;=3,"B",IF('Data Source'!V933&gt;=2,"C",IF('Data Source'!V933&gt;=1,"D","F")))))),"")</f>
        <v/>
      </c>
      <c r="E933" s="3">
        <f>IF(AND('Data Source'!B933&lt;&gt;"",'Data Source'!S933="A+"),IF('Data Source'!W933&gt;=5,"A+",IF('Data Source'!W933&gt;=4,"A",IF('Data Source'!W933&gt;=3.5,"A-",IF('Data Source'!W933&gt;=3,"B",IF('Data Source'!W933&gt;=2,"C",IF('Data Source'!W933&gt;=1,"D","F")))))),"")</f>
        <v/>
      </c>
      <c r="F933" s="3">
        <f>IF(AND('Data Source'!B933&lt;&gt;"",'Data Source'!S933="A+"),IF('Data Source'!X933&gt;=5,"A+",IF('Data Source'!X933&gt;=4,"A",IF('Data Source'!X933&gt;=3.5,"A-",IF('Data Source'!X933&gt;=3,"B",IF('Data Source'!X933&gt;=2,"C",IF('Data Source'!X933&gt;=1,"D","F")))))),"")</f>
        <v/>
      </c>
      <c r="G933" s="3">
        <f>IF(AND('Data Source'!B933&lt;&gt;"",'Data Source'!S933="A+"),IF('Data Source'!Y933&gt;=5,"A+",IF('Data Source'!Y933&gt;=4,"A",IF('Data Source'!Y933&gt;=3.5,"A-",IF('Data Source'!Y933&gt;=3,"B",IF('Data Source'!Y933&gt;=2,"C",IF('Data Source'!Y933&gt;=1,"D","F")))))),"")</f>
        <v/>
      </c>
      <c r="H933" s="3">
        <f>IF(AND('Data Source'!B933&lt;&gt;"",'Data Source'!S933="A+"),IF('Data Source'!Z933&gt;=5,"A+",IF('Data Source'!Z933&gt;=4,"A",IF('Data Source'!Z933&gt;=3.5,"A-",IF('Data Source'!Z933&gt;=3,"B",IF('Data Source'!Z933&gt;=2,"C",IF('Data Source'!Z933&gt;=1,"D","F")))))),"")</f>
        <v/>
      </c>
      <c r="I933" s="3">
        <f>IF(AND('Data Source'!B933&lt;&gt;"",'Data Source'!S933="A+"),IF('Data Source'!AA933&gt;=5,"A+",IF('Data Source'!AA933&gt;=4,"A",IF('Data Source'!AA933&gt;=3.5,"A-",IF('Data Source'!AA933&gt;=3,"B",IF('Data Source'!AA933&gt;=2,"C",IF('Data Source'!AA933&gt;=1,"D","F")))))),"")</f>
        <v/>
      </c>
      <c r="J933" s="3">
        <f>IF(AND('Data Source'!B933&lt;&gt;"",'Data Source'!S933="A+"),IF('Data Source'!AB933&gt;=5,"A+",IF('Data Source'!AB933&gt;=4,"A",IF('Data Source'!AB933&gt;=3.5,"A-",IF('Data Source'!AB933&gt;=3,"B",IF('Data Source'!AB933&gt;=2,"C",IF('Data Source'!AB933&gt;=1,"D","F")))))),"")</f>
        <v/>
      </c>
      <c r="K933" s="3">
        <f>IF(AND('Data Source'!B933&lt;&gt;"",'Data Source'!S933="A+"),IF('Data Source'!AC933&gt;=5,"A+",IF('Data Source'!AC933&gt;=4,"A",IF('Data Source'!AC933&gt;=3.5,"A-",IF('Data Source'!AC933&gt;=3,"B",IF('Data Source'!AC933&gt;=2,"C",IF('Data Source'!AC933&gt;=1,"D","F")))))),"")</f>
        <v/>
      </c>
      <c r="L933" s="3">
        <f>IF(AND('Data Source'!B933&lt;&gt;"",'Data Source'!S933="A+"),IF('Data Source'!AD933&gt;=5,"A+",IF('Data Source'!AD933&gt;=4,"A",IF('Data Source'!AD933&gt;=3.5,"A-",IF('Data Source'!AD933&gt;=3,"B",IF('Data Source'!AD933&gt;=2,"C",IF('Data Source'!AD933&gt;=1,"D","F")))))),"")</f>
        <v/>
      </c>
      <c r="M933" s="3">
        <f>IF(AND('Data Source'!B933&lt;&gt;"",'Data Source'!S933="A+"),IF('Data Source'!AE933&gt;=5,"A+",IF('Data Source'!AE933&gt;=4,"A",IF('Data Source'!AE933&gt;=3.5,"A-",IF('Data Source'!AE933&gt;=3,"B",IF('Data Source'!AE933&gt;=2,"C",IF('Data Source'!AE933&gt;=1,"D","F")))))),"")</f>
        <v/>
      </c>
      <c r="N933" s="3">
        <f>IF(AND('Data Source'!B933&lt;&gt;"",'Data Source'!S933="A+"),IF('Data Source'!AF933&gt;=5,"A+",IF('Data Source'!AF933&gt;=4,"A",IF('Data Source'!AF933&gt;=3.5,"A-",IF('Data Source'!AF933&gt;=3,"B",IF('Data Source'!AF933&gt;=2,"C",IF('Data Source'!AF933&gt;=1,"D","F")))))),"")</f>
        <v/>
      </c>
      <c r="O933" s="3">
        <f>IF(AND('Data Source'!B933&lt;&gt;"",'Data Source'!S933="A+"),IF('Data Source'!AG933&gt;=5,"A+",IF('Data Source'!AG933&gt;=4,"A",IF('Data Source'!AG933&gt;=3.5,"A-",IF('Data Source'!AG933&gt;=3,"B",IF('Data Source'!AG933&gt;=2,"C",IF('Data Source'!AG933&gt;=1,"D","F")))))),"")</f>
        <v/>
      </c>
      <c r="P933" s="5">
        <f>IF(AND('Data Source'!B933&lt;&gt;"",'Data Source'!S933="A+"),'Data Source'!R933,"")</f>
        <v/>
      </c>
      <c r="Q933" s="3">
        <f>IF(AND('Data Source'!B933&lt;&gt;"",'Data Source'!S933="A+"),'Data Source'!S933,"")</f>
        <v/>
      </c>
    </row>
    <row r="934">
      <c r="A934" s="3">
        <f>IF(AND('Data Source'!B934&lt;&gt;"",'Data Source'!S934="A+"),COUNTIF('Data Source'!$S$3:S934,"A+"),"")</f>
        <v/>
      </c>
      <c r="B934">
        <f>IF(AND('Data Source'!B934&lt;&gt;"",'Data Source'!S934="A+"),'Data Source'!B934,"")</f>
        <v/>
      </c>
      <c r="C934" s="3">
        <f>IF(AND('Data Source'!B934&lt;&gt;"",'Data Source'!S934="A+"),IF('Data Source'!U934&gt;=5,"A+",IF('Data Source'!U934&gt;=4,"A",IF('Data Source'!U934&gt;=3.5,"A-",IF('Data Source'!U934&gt;=3,"B",IF('Data Source'!U934&gt;=2,"C",IF('Data Source'!U934&gt;=1,"D","F")))))),"")</f>
        <v/>
      </c>
      <c r="D934" s="3">
        <f>IF(AND('Data Source'!B934&lt;&gt;"",'Data Source'!S934="A+"),IF('Data Source'!V934&gt;=5,"A+",IF('Data Source'!V934&gt;=4,"A",IF('Data Source'!V934&gt;=3.5,"A-",IF('Data Source'!V934&gt;=3,"B",IF('Data Source'!V934&gt;=2,"C",IF('Data Source'!V934&gt;=1,"D","F")))))),"")</f>
        <v/>
      </c>
      <c r="E934" s="3">
        <f>IF(AND('Data Source'!B934&lt;&gt;"",'Data Source'!S934="A+"),IF('Data Source'!W934&gt;=5,"A+",IF('Data Source'!W934&gt;=4,"A",IF('Data Source'!W934&gt;=3.5,"A-",IF('Data Source'!W934&gt;=3,"B",IF('Data Source'!W934&gt;=2,"C",IF('Data Source'!W934&gt;=1,"D","F")))))),"")</f>
        <v/>
      </c>
      <c r="F934" s="3">
        <f>IF(AND('Data Source'!B934&lt;&gt;"",'Data Source'!S934="A+"),IF('Data Source'!X934&gt;=5,"A+",IF('Data Source'!X934&gt;=4,"A",IF('Data Source'!X934&gt;=3.5,"A-",IF('Data Source'!X934&gt;=3,"B",IF('Data Source'!X934&gt;=2,"C",IF('Data Source'!X934&gt;=1,"D","F")))))),"")</f>
        <v/>
      </c>
      <c r="G934" s="3">
        <f>IF(AND('Data Source'!B934&lt;&gt;"",'Data Source'!S934="A+"),IF('Data Source'!Y934&gt;=5,"A+",IF('Data Source'!Y934&gt;=4,"A",IF('Data Source'!Y934&gt;=3.5,"A-",IF('Data Source'!Y934&gt;=3,"B",IF('Data Source'!Y934&gt;=2,"C",IF('Data Source'!Y934&gt;=1,"D","F")))))),"")</f>
        <v/>
      </c>
      <c r="H934" s="3">
        <f>IF(AND('Data Source'!B934&lt;&gt;"",'Data Source'!S934="A+"),IF('Data Source'!Z934&gt;=5,"A+",IF('Data Source'!Z934&gt;=4,"A",IF('Data Source'!Z934&gt;=3.5,"A-",IF('Data Source'!Z934&gt;=3,"B",IF('Data Source'!Z934&gt;=2,"C",IF('Data Source'!Z934&gt;=1,"D","F")))))),"")</f>
        <v/>
      </c>
      <c r="I934" s="3">
        <f>IF(AND('Data Source'!B934&lt;&gt;"",'Data Source'!S934="A+"),IF('Data Source'!AA934&gt;=5,"A+",IF('Data Source'!AA934&gt;=4,"A",IF('Data Source'!AA934&gt;=3.5,"A-",IF('Data Source'!AA934&gt;=3,"B",IF('Data Source'!AA934&gt;=2,"C",IF('Data Source'!AA934&gt;=1,"D","F")))))),"")</f>
        <v/>
      </c>
      <c r="J934" s="3">
        <f>IF(AND('Data Source'!B934&lt;&gt;"",'Data Source'!S934="A+"),IF('Data Source'!AB934&gt;=5,"A+",IF('Data Source'!AB934&gt;=4,"A",IF('Data Source'!AB934&gt;=3.5,"A-",IF('Data Source'!AB934&gt;=3,"B",IF('Data Source'!AB934&gt;=2,"C",IF('Data Source'!AB934&gt;=1,"D","F")))))),"")</f>
        <v/>
      </c>
      <c r="K934" s="3">
        <f>IF(AND('Data Source'!B934&lt;&gt;"",'Data Source'!S934="A+"),IF('Data Source'!AC934&gt;=5,"A+",IF('Data Source'!AC934&gt;=4,"A",IF('Data Source'!AC934&gt;=3.5,"A-",IF('Data Source'!AC934&gt;=3,"B",IF('Data Source'!AC934&gt;=2,"C",IF('Data Source'!AC934&gt;=1,"D","F")))))),"")</f>
        <v/>
      </c>
      <c r="L934" s="3">
        <f>IF(AND('Data Source'!B934&lt;&gt;"",'Data Source'!S934="A+"),IF('Data Source'!AD934&gt;=5,"A+",IF('Data Source'!AD934&gt;=4,"A",IF('Data Source'!AD934&gt;=3.5,"A-",IF('Data Source'!AD934&gt;=3,"B",IF('Data Source'!AD934&gt;=2,"C",IF('Data Source'!AD934&gt;=1,"D","F")))))),"")</f>
        <v/>
      </c>
      <c r="M934" s="3">
        <f>IF(AND('Data Source'!B934&lt;&gt;"",'Data Source'!S934="A+"),IF('Data Source'!AE934&gt;=5,"A+",IF('Data Source'!AE934&gt;=4,"A",IF('Data Source'!AE934&gt;=3.5,"A-",IF('Data Source'!AE934&gt;=3,"B",IF('Data Source'!AE934&gt;=2,"C",IF('Data Source'!AE934&gt;=1,"D","F")))))),"")</f>
        <v/>
      </c>
      <c r="N934" s="3">
        <f>IF(AND('Data Source'!B934&lt;&gt;"",'Data Source'!S934="A+"),IF('Data Source'!AF934&gt;=5,"A+",IF('Data Source'!AF934&gt;=4,"A",IF('Data Source'!AF934&gt;=3.5,"A-",IF('Data Source'!AF934&gt;=3,"B",IF('Data Source'!AF934&gt;=2,"C",IF('Data Source'!AF934&gt;=1,"D","F")))))),"")</f>
        <v/>
      </c>
      <c r="O934" s="3">
        <f>IF(AND('Data Source'!B934&lt;&gt;"",'Data Source'!S934="A+"),IF('Data Source'!AG934&gt;=5,"A+",IF('Data Source'!AG934&gt;=4,"A",IF('Data Source'!AG934&gt;=3.5,"A-",IF('Data Source'!AG934&gt;=3,"B",IF('Data Source'!AG934&gt;=2,"C",IF('Data Source'!AG934&gt;=1,"D","F")))))),"")</f>
        <v/>
      </c>
      <c r="P934" s="5">
        <f>IF(AND('Data Source'!B934&lt;&gt;"",'Data Source'!S934="A+"),'Data Source'!R934,"")</f>
        <v/>
      </c>
      <c r="Q934" s="3">
        <f>IF(AND('Data Source'!B934&lt;&gt;"",'Data Source'!S934="A+"),'Data Source'!S934,"")</f>
        <v/>
      </c>
    </row>
    <row r="935">
      <c r="A935" s="3">
        <f>IF(AND('Data Source'!B935&lt;&gt;"",'Data Source'!S935="A+"),COUNTIF('Data Source'!$S$3:S935,"A+"),"")</f>
        <v/>
      </c>
      <c r="B935">
        <f>IF(AND('Data Source'!B935&lt;&gt;"",'Data Source'!S935="A+"),'Data Source'!B935,"")</f>
        <v/>
      </c>
      <c r="C935" s="3">
        <f>IF(AND('Data Source'!B935&lt;&gt;"",'Data Source'!S935="A+"),IF('Data Source'!U935&gt;=5,"A+",IF('Data Source'!U935&gt;=4,"A",IF('Data Source'!U935&gt;=3.5,"A-",IF('Data Source'!U935&gt;=3,"B",IF('Data Source'!U935&gt;=2,"C",IF('Data Source'!U935&gt;=1,"D","F")))))),"")</f>
        <v/>
      </c>
      <c r="D935" s="3">
        <f>IF(AND('Data Source'!B935&lt;&gt;"",'Data Source'!S935="A+"),IF('Data Source'!V935&gt;=5,"A+",IF('Data Source'!V935&gt;=4,"A",IF('Data Source'!V935&gt;=3.5,"A-",IF('Data Source'!V935&gt;=3,"B",IF('Data Source'!V935&gt;=2,"C",IF('Data Source'!V935&gt;=1,"D","F")))))),"")</f>
        <v/>
      </c>
      <c r="E935" s="3">
        <f>IF(AND('Data Source'!B935&lt;&gt;"",'Data Source'!S935="A+"),IF('Data Source'!W935&gt;=5,"A+",IF('Data Source'!W935&gt;=4,"A",IF('Data Source'!W935&gt;=3.5,"A-",IF('Data Source'!W935&gt;=3,"B",IF('Data Source'!W935&gt;=2,"C",IF('Data Source'!W935&gt;=1,"D","F")))))),"")</f>
        <v/>
      </c>
      <c r="F935" s="3">
        <f>IF(AND('Data Source'!B935&lt;&gt;"",'Data Source'!S935="A+"),IF('Data Source'!X935&gt;=5,"A+",IF('Data Source'!X935&gt;=4,"A",IF('Data Source'!X935&gt;=3.5,"A-",IF('Data Source'!X935&gt;=3,"B",IF('Data Source'!X935&gt;=2,"C",IF('Data Source'!X935&gt;=1,"D","F")))))),"")</f>
        <v/>
      </c>
      <c r="G935" s="3">
        <f>IF(AND('Data Source'!B935&lt;&gt;"",'Data Source'!S935="A+"),IF('Data Source'!Y935&gt;=5,"A+",IF('Data Source'!Y935&gt;=4,"A",IF('Data Source'!Y935&gt;=3.5,"A-",IF('Data Source'!Y935&gt;=3,"B",IF('Data Source'!Y935&gt;=2,"C",IF('Data Source'!Y935&gt;=1,"D","F")))))),"")</f>
        <v/>
      </c>
      <c r="H935" s="3">
        <f>IF(AND('Data Source'!B935&lt;&gt;"",'Data Source'!S935="A+"),IF('Data Source'!Z935&gt;=5,"A+",IF('Data Source'!Z935&gt;=4,"A",IF('Data Source'!Z935&gt;=3.5,"A-",IF('Data Source'!Z935&gt;=3,"B",IF('Data Source'!Z935&gt;=2,"C",IF('Data Source'!Z935&gt;=1,"D","F")))))),"")</f>
        <v/>
      </c>
      <c r="I935" s="3">
        <f>IF(AND('Data Source'!B935&lt;&gt;"",'Data Source'!S935="A+"),IF('Data Source'!AA935&gt;=5,"A+",IF('Data Source'!AA935&gt;=4,"A",IF('Data Source'!AA935&gt;=3.5,"A-",IF('Data Source'!AA935&gt;=3,"B",IF('Data Source'!AA935&gt;=2,"C",IF('Data Source'!AA935&gt;=1,"D","F")))))),"")</f>
        <v/>
      </c>
      <c r="J935" s="3">
        <f>IF(AND('Data Source'!B935&lt;&gt;"",'Data Source'!S935="A+"),IF('Data Source'!AB935&gt;=5,"A+",IF('Data Source'!AB935&gt;=4,"A",IF('Data Source'!AB935&gt;=3.5,"A-",IF('Data Source'!AB935&gt;=3,"B",IF('Data Source'!AB935&gt;=2,"C",IF('Data Source'!AB935&gt;=1,"D","F")))))),"")</f>
        <v/>
      </c>
      <c r="K935" s="3">
        <f>IF(AND('Data Source'!B935&lt;&gt;"",'Data Source'!S935="A+"),IF('Data Source'!AC935&gt;=5,"A+",IF('Data Source'!AC935&gt;=4,"A",IF('Data Source'!AC935&gt;=3.5,"A-",IF('Data Source'!AC935&gt;=3,"B",IF('Data Source'!AC935&gt;=2,"C",IF('Data Source'!AC935&gt;=1,"D","F")))))),"")</f>
        <v/>
      </c>
      <c r="L935" s="3">
        <f>IF(AND('Data Source'!B935&lt;&gt;"",'Data Source'!S935="A+"),IF('Data Source'!AD935&gt;=5,"A+",IF('Data Source'!AD935&gt;=4,"A",IF('Data Source'!AD935&gt;=3.5,"A-",IF('Data Source'!AD935&gt;=3,"B",IF('Data Source'!AD935&gt;=2,"C",IF('Data Source'!AD935&gt;=1,"D","F")))))),"")</f>
        <v/>
      </c>
      <c r="M935" s="3">
        <f>IF(AND('Data Source'!B935&lt;&gt;"",'Data Source'!S935="A+"),IF('Data Source'!AE935&gt;=5,"A+",IF('Data Source'!AE935&gt;=4,"A",IF('Data Source'!AE935&gt;=3.5,"A-",IF('Data Source'!AE935&gt;=3,"B",IF('Data Source'!AE935&gt;=2,"C",IF('Data Source'!AE935&gt;=1,"D","F")))))),"")</f>
        <v/>
      </c>
      <c r="N935" s="3">
        <f>IF(AND('Data Source'!B935&lt;&gt;"",'Data Source'!S935="A+"),IF('Data Source'!AF935&gt;=5,"A+",IF('Data Source'!AF935&gt;=4,"A",IF('Data Source'!AF935&gt;=3.5,"A-",IF('Data Source'!AF935&gt;=3,"B",IF('Data Source'!AF935&gt;=2,"C",IF('Data Source'!AF935&gt;=1,"D","F")))))),"")</f>
        <v/>
      </c>
      <c r="O935" s="3">
        <f>IF(AND('Data Source'!B935&lt;&gt;"",'Data Source'!S935="A+"),IF('Data Source'!AG935&gt;=5,"A+",IF('Data Source'!AG935&gt;=4,"A",IF('Data Source'!AG935&gt;=3.5,"A-",IF('Data Source'!AG935&gt;=3,"B",IF('Data Source'!AG935&gt;=2,"C",IF('Data Source'!AG935&gt;=1,"D","F")))))),"")</f>
        <v/>
      </c>
      <c r="P935" s="5">
        <f>IF(AND('Data Source'!B935&lt;&gt;"",'Data Source'!S935="A+"),'Data Source'!R935,"")</f>
        <v/>
      </c>
      <c r="Q935" s="3">
        <f>IF(AND('Data Source'!B935&lt;&gt;"",'Data Source'!S935="A+"),'Data Source'!S935,"")</f>
        <v/>
      </c>
    </row>
    <row r="936">
      <c r="A936" s="3">
        <f>IF(AND('Data Source'!B936&lt;&gt;"",'Data Source'!S936="A+"),COUNTIF('Data Source'!$S$3:S936,"A+"),"")</f>
        <v/>
      </c>
      <c r="B936">
        <f>IF(AND('Data Source'!B936&lt;&gt;"",'Data Source'!S936="A+"),'Data Source'!B936,"")</f>
        <v/>
      </c>
      <c r="C936" s="3">
        <f>IF(AND('Data Source'!B936&lt;&gt;"",'Data Source'!S936="A+"),IF('Data Source'!U936&gt;=5,"A+",IF('Data Source'!U936&gt;=4,"A",IF('Data Source'!U936&gt;=3.5,"A-",IF('Data Source'!U936&gt;=3,"B",IF('Data Source'!U936&gt;=2,"C",IF('Data Source'!U936&gt;=1,"D","F")))))),"")</f>
        <v/>
      </c>
      <c r="D936" s="3">
        <f>IF(AND('Data Source'!B936&lt;&gt;"",'Data Source'!S936="A+"),IF('Data Source'!V936&gt;=5,"A+",IF('Data Source'!V936&gt;=4,"A",IF('Data Source'!V936&gt;=3.5,"A-",IF('Data Source'!V936&gt;=3,"B",IF('Data Source'!V936&gt;=2,"C",IF('Data Source'!V936&gt;=1,"D","F")))))),"")</f>
        <v/>
      </c>
      <c r="E936" s="3">
        <f>IF(AND('Data Source'!B936&lt;&gt;"",'Data Source'!S936="A+"),IF('Data Source'!W936&gt;=5,"A+",IF('Data Source'!W936&gt;=4,"A",IF('Data Source'!W936&gt;=3.5,"A-",IF('Data Source'!W936&gt;=3,"B",IF('Data Source'!W936&gt;=2,"C",IF('Data Source'!W936&gt;=1,"D","F")))))),"")</f>
        <v/>
      </c>
      <c r="F936" s="3">
        <f>IF(AND('Data Source'!B936&lt;&gt;"",'Data Source'!S936="A+"),IF('Data Source'!X936&gt;=5,"A+",IF('Data Source'!X936&gt;=4,"A",IF('Data Source'!X936&gt;=3.5,"A-",IF('Data Source'!X936&gt;=3,"B",IF('Data Source'!X936&gt;=2,"C",IF('Data Source'!X936&gt;=1,"D","F")))))),"")</f>
        <v/>
      </c>
      <c r="G936" s="3">
        <f>IF(AND('Data Source'!B936&lt;&gt;"",'Data Source'!S936="A+"),IF('Data Source'!Y936&gt;=5,"A+",IF('Data Source'!Y936&gt;=4,"A",IF('Data Source'!Y936&gt;=3.5,"A-",IF('Data Source'!Y936&gt;=3,"B",IF('Data Source'!Y936&gt;=2,"C",IF('Data Source'!Y936&gt;=1,"D","F")))))),"")</f>
        <v/>
      </c>
      <c r="H936" s="3">
        <f>IF(AND('Data Source'!B936&lt;&gt;"",'Data Source'!S936="A+"),IF('Data Source'!Z936&gt;=5,"A+",IF('Data Source'!Z936&gt;=4,"A",IF('Data Source'!Z936&gt;=3.5,"A-",IF('Data Source'!Z936&gt;=3,"B",IF('Data Source'!Z936&gt;=2,"C",IF('Data Source'!Z936&gt;=1,"D","F")))))),"")</f>
        <v/>
      </c>
      <c r="I936" s="3">
        <f>IF(AND('Data Source'!B936&lt;&gt;"",'Data Source'!S936="A+"),IF('Data Source'!AA936&gt;=5,"A+",IF('Data Source'!AA936&gt;=4,"A",IF('Data Source'!AA936&gt;=3.5,"A-",IF('Data Source'!AA936&gt;=3,"B",IF('Data Source'!AA936&gt;=2,"C",IF('Data Source'!AA936&gt;=1,"D","F")))))),"")</f>
        <v/>
      </c>
      <c r="J936" s="3">
        <f>IF(AND('Data Source'!B936&lt;&gt;"",'Data Source'!S936="A+"),IF('Data Source'!AB936&gt;=5,"A+",IF('Data Source'!AB936&gt;=4,"A",IF('Data Source'!AB936&gt;=3.5,"A-",IF('Data Source'!AB936&gt;=3,"B",IF('Data Source'!AB936&gt;=2,"C",IF('Data Source'!AB936&gt;=1,"D","F")))))),"")</f>
        <v/>
      </c>
      <c r="K936" s="3">
        <f>IF(AND('Data Source'!B936&lt;&gt;"",'Data Source'!S936="A+"),IF('Data Source'!AC936&gt;=5,"A+",IF('Data Source'!AC936&gt;=4,"A",IF('Data Source'!AC936&gt;=3.5,"A-",IF('Data Source'!AC936&gt;=3,"B",IF('Data Source'!AC936&gt;=2,"C",IF('Data Source'!AC936&gt;=1,"D","F")))))),"")</f>
        <v/>
      </c>
      <c r="L936" s="3">
        <f>IF(AND('Data Source'!B936&lt;&gt;"",'Data Source'!S936="A+"),IF('Data Source'!AD936&gt;=5,"A+",IF('Data Source'!AD936&gt;=4,"A",IF('Data Source'!AD936&gt;=3.5,"A-",IF('Data Source'!AD936&gt;=3,"B",IF('Data Source'!AD936&gt;=2,"C",IF('Data Source'!AD936&gt;=1,"D","F")))))),"")</f>
        <v/>
      </c>
      <c r="M936" s="3">
        <f>IF(AND('Data Source'!B936&lt;&gt;"",'Data Source'!S936="A+"),IF('Data Source'!AE936&gt;=5,"A+",IF('Data Source'!AE936&gt;=4,"A",IF('Data Source'!AE936&gt;=3.5,"A-",IF('Data Source'!AE936&gt;=3,"B",IF('Data Source'!AE936&gt;=2,"C",IF('Data Source'!AE936&gt;=1,"D","F")))))),"")</f>
        <v/>
      </c>
      <c r="N936" s="3">
        <f>IF(AND('Data Source'!B936&lt;&gt;"",'Data Source'!S936="A+"),IF('Data Source'!AF936&gt;=5,"A+",IF('Data Source'!AF936&gt;=4,"A",IF('Data Source'!AF936&gt;=3.5,"A-",IF('Data Source'!AF936&gt;=3,"B",IF('Data Source'!AF936&gt;=2,"C",IF('Data Source'!AF936&gt;=1,"D","F")))))),"")</f>
        <v/>
      </c>
      <c r="O936" s="3">
        <f>IF(AND('Data Source'!B936&lt;&gt;"",'Data Source'!S936="A+"),IF('Data Source'!AG936&gt;=5,"A+",IF('Data Source'!AG936&gt;=4,"A",IF('Data Source'!AG936&gt;=3.5,"A-",IF('Data Source'!AG936&gt;=3,"B",IF('Data Source'!AG936&gt;=2,"C",IF('Data Source'!AG936&gt;=1,"D","F")))))),"")</f>
        <v/>
      </c>
      <c r="P936" s="5">
        <f>IF(AND('Data Source'!B936&lt;&gt;"",'Data Source'!S936="A+"),'Data Source'!R936,"")</f>
        <v/>
      </c>
      <c r="Q936" s="3">
        <f>IF(AND('Data Source'!B936&lt;&gt;"",'Data Source'!S936="A+"),'Data Source'!S936,"")</f>
        <v/>
      </c>
    </row>
    <row r="937">
      <c r="A937" s="3">
        <f>IF(AND('Data Source'!B937&lt;&gt;"",'Data Source'!S937="A+"),COUNTIF('Data Source'!$S$3:S937,"A+"),"")</f>
        <v/>
      </c>
      <c r="B937">
        <f>IF(AND('Data Source'!B937&lt;&gt;"",'Data Source'!S937="A+"),'Data Source'!B937,"")</f>
        <v/>
      </c>
      <c r="C937" s="3">
        <f>IF(AND('Data Source'!B937&lt;&gt;"",'Data Source'!S937="A+"),IF('Data Source'!U937&gt;=5,"A+",IF('Data Source'!U937&gt;=4,"A",IF('Data Source'!U937&gt;=3.5,"A-",IF('Data Source'!U937&gt;=3,"B",IF('Data Source'!U937&gt;=2,"C",IF('Data Source'!U937&gt;=1,"D","F")))))),"")</f>
        <v/>
      </c>
      <c r="D937" s="3">
        <f>IF(AND('Data Source'!B937&lt;&gt;"",'Data Source'!S937="A+"),IF('Data Source'!V937&gt;=5,"A+",IF('Data Source'!V937&gt;=4,"A",IF('Data Source'!V937&gt;=3.5,"A-",IF('Data Source'!V937&gt;=3,"B",IF('Data Source'!V937&gt;=2,"C",IF('Data Source'!V937&gt;=1,"D","F")))))),"")</f>
        <v/>
      </c>
      <c r="E937" s="3">
        <f>IF(AND('Data Source'!B937&lt;&gt;"",'Data Source'!S937="A+"),IF('Data Source'!W937&gt;=5,"A+",IF('Data Source'!W937&gt;=4,"A",IF('Data Source'!W937&gt;=3.5,"A-",IF('Data Source'!W937&gt;=3,"B",IF('Data Source'!W937&gt;=2,"C",IF('Data Source'!W937&gt;=1,"D","F")))))),"")</f>
        <v/>
      </c>
      <c r="F937" s="3">
        <f>IF(AND('Data Source'!B937&lt;&gt;"",'Data Source'!S937="A+"),IF('Data Source'!X937&gt;=5,"A+",IF('Data Source'!X937&gt;=4,"A",IF('Data Source'!X937&gt;=3.5,"A-",IF('Data Source'!X937&gt;=3,"B",IF('Data Source'!X937&gt;=2,"C",IF('Data Source'!X937&gt;=1,"D","F")))))),"")</f>
        <v/>
      </c>
      <c r="G937" s="3">
        <f>IF(AND('Data Source'!B937&lt;&gt;"",'Data Source'!S937="A+"),IF('Data Source'!Y937&gt;=5,"A+",IF('Data Source'!Y937&gt;=4,"A",IF('Data Source'!Y937&gt;=3.5,"A-",IF('Data Source'!Y937&gt;=3,"B",IF('Data Source'!Y937&gt;=2,"C",IF('Data Source'!Y937&gt;=1,"D","F")))))),"")</f>
        <v/>
      </c>
      <c r="H937" s="3">
        <f>IF(AND('Data Source'!B937&lt;&gt;"",'Data Source'!S937="A+"),IF('Data Source'!Z937&gt;=5,"A+",IF('Data Source'!Z937&gt;=4,"A",IF('Data Source'!Z937&gt;=3.5,"A-",IF('Data Source'!Z937&gt;=3,"B",IF('Data Source'!Z937&gt;=2,"C",IF('Data Source'!Z937&gt;=1,"D","F")))))),"")</f>
        <v/>
      </c>
      <c r="I937" s="3">
        <f>IF(AND('Data Source'!B937&lt;&gt;"",'Data Source'!S937="A+"),IF('Data Source'!AA937&gt;=5,"A+",IF('Data Source'!AA937&gt;=4,"A",IF('Data Source'!AA937&gt;=3.5,"A-",IF('Data Source'!AA937&gt;=3,"B",IF('Data Source'!AA937&gt;=2,"C",IF('Data Source'!AA937&gt;=1,"D","F")))))),"")</f>
        <v/>
      </c>
      <c r="J937" s="3">
        <f>IF(AND('Data Source'!B937&lt;&gt;"",'Data Source'!S937="A+"),IF('Data Source'!AB937&gt;=5,"A+",IF('Data Source'!AB937&gt;=4,"A",IF('Data Source'!AB937&gt;=3.5,"A-",IF('Data Source'!AB937&gt;=3,"B",IF('Data Source'!AB937&gt;=2,"C",IF('Data Source'!AB937&gt;=1,"D","F")))))),"")</f>
        <v/>
      </c>
      <c r="K937" s="3">
        <f>IF(AND('Data Source'!B937&lt;&gt;"",'Data Source'!S937="A+"),IF('Data Source'!AC937&gt;=5,"A+",IF('Data Source'!AC937&gt;=4,"A",IF('Data Source'!AC937&gt;=3.5,"A-",IF('Data Source'!AC937&gt;=3,"B",IF('Data Source'!AC937&gt;=2,"C",IF('Data Source'!AC937&gt;=1,"D","F")))))),"")</f>
        <v/>
      </c>
      <c r="L937" s="3">
        <f>IF(AND('Data Source'!B937&lt;&gt;"",'Data Source'!S937="A+"),IF('Data Source'!AD937&gt;=5,"A+",IF('Data Source'!AD937&gt;=4,"A",IF('Data Source'!AD937&gt;=3.5,"A-",IF('Data Source'!AD937&gt;=3,"B",IF('Data Source'!AD937&gt;=2,"C",IF('Data Source'!AD937&gt;=1,"D","F")))))),"")</f>
        <v/>
      </c>
      <c r="M937" s="3">
        <f>IF(AND('Data Source'!B937&lt;&gt;"",'Data Source'!S937="A+"),IF('Data Source'!AE937&gt;=5,"A+",IF('Data Source'!AE937&gt;=4,"A",IF('Data Source'!AE937&gt;=3.5,"A-",IF('Data Source'!AE937&gt;=3,"B",IF('Data Source'!AE937&gt;=2,"C",IF('Data Source'!AE937&gt;=1,"D","F")))))),"")</f>
        <v/>
      </c>
      <c r="N937" s="3">
        <f>IF(AND('Data Source'!B937&lt;&gt;"",'Data Source'!S937="A+"),IF('Data Source'!AF937&gt;=5,"A+",IF('Data Source'!AF937&gt;=4,"A",IF('Data Source'!AF937&gt;=3.5,"A-",IF('Data Source'!AF937&gt;=3,"B",IF('Data Source'!AF937&gt;=2,"C",IF('Data Source'!AF937&gt;=1,"D","F")))))),"")</f>
        <v/>
      </c>
      <c r="O937" s="3">
        <f>IF(AND('Data Source'!B937&lt;&gt;"",'Data Source'!S937="A+"),IF('Data Source'!AG937&gt;=5,"A+",IF('Data Source'!AG937&gt;=4,"A",IF('Data Source'!AG937&gt;=3.5,"A-",IF('Data Source'!AG937&gt;=3,"B",IF('Data Source'!AG937&gt;=2,"C",IF('Data Source'!AG937&gt;=1,"D","F")))))),"")</f>
        <v/>
      </c>
      <c r="P937" s="5">
        <f>IF(AND('Data Source'!B937&lt;&gt;"",'Data Source'!S937="A+"),'Data Source'!R937,"")</f>
        <v/>
      </c>
      <c r="Q937" s="3">
        <f>IF(AND('Data Source'!B937&lt;&gt;"",'Data Source'!S937="A+"),'Data Source'!S937,"")</f>
        <v/>
      </c>
    </row>
    <row r="938">
      <c r="A938" s="3">
        <f>IF(AND('Data Source'!B938&lt;&gt;"",'Data Source'!S938="A+"),COUNTIF('Data Source'!$S$3:S938,"A+"),"")</f>
        <v/>
      </c>
      <c r="B938">
        <f>IF(AND('Data Source'!B938&lt;&gt;"",'Data Source'!S938="A+"),'Data Source'!B938,"")</f>
        <v/>
      </c>
      <c r="C938" s="3">
        <f>IF(AND('Data Source'!B938&lt;&gt;"",'Data Source'!S938="A+"),IF('Data Source'!U938&gt;=5,"A+",IF('Data Source'!U938&gt;=4,"A",IF('Data Source'!U938&gt;=3.5,"A-",IF('Data Source'!U938&gt;=3,"B",IF('Data Source'!U938&gt;=2,"C",IF('Data Source'!U938&gt;=1,"D","F")))))),"")</f>
        <v/>
      </c>
      <c r="D938" s="3">
        <f>IF(AND('Data Source'!B938&lt;&gt;"",'Data Source'!S938="A+"),IF('Data Source'!V938&gt;=5,"A+",IF('Data Source'!V938&gt;=4,"A",IF('Data Source'!V938&gt;=3.5,"A-",IF('Data Source'!V938&gt;=3,"B",IF('Data Source'!V938&gt;=2,"C",IF('Data Source'!V938&gt;=1,"D","F")))))),"")</f>
        <v/>
      </c>
      <c r="E938" s="3">
        <f>IF(AND('Data Source'!B938&lt;&gt;"",'Data Source'!S938="A+"),IF('Data Source'!W938&gt;=5,"A+",IF('Data Source'!W938&gt;=4,"A",IF('Data Source'!W938&gt;=3.5,"A-",IF('Data Source'!W938&gt;=3,"B",IF('Data Source'!W938&gt;=2,"C",IF('Data Source'!W938&gt;=1,"D","F")))))),"")</f>
        <v/>
      </c>
      <c r="F938" s="3">
        <f>IF(AND('Data Source'!B938&lt;&gt;"",'Data Source'!S938="A+"),IF('Data Source'!X938&gt;=5,"A+",IF('Data Source'!X938&gt;=4,"A",IF('Data Source'!X938&gt;=3.5,"A-",IF('Data Source'!X938&gt;=3,"B",IF('Data Source'!X938&gt;=2,"C",IF('Data Source'!X938&gt;=1,"D","F")))))),"")</f>
        <v/>
      </c>
      <c r="G938" s="3">
        <f>IF(AND('Data Source'!B938&lt;&gt;"",'Data Source'!S938="A+"),IF('Data Source'!Y938&gt;=5,"A+",IF('Data Source'!Y938&gt;=4,"A",IF('Data Source'!Y938&gt;=3.5,"A-",IF('Data Source'!Y938&gt;=3,"B",IF('Data Source'!Y938&gt;=2,"C",IF('Data Source'!Y938&gt;=1,"D","F")))))),"")</f>
        <v/>
      </c>
      <c r="H938" s="3">
        <f>IF(AND('Data Source'!B938&lt;&gt;"",'Data Source'!S938="A+"),IF('Data Source'!Z938&gt;=5,"A+",IF('Data Source'!Z938&gt;=4,"A",IF('Data Source'!Z938&gt;=3.5,"A-",IF('Data Source'!Z938&gt;=3,"B",IF('Data Source'!Z938&gt;=2,"C",IF('Data Source'!Z938&gt;=1,"D","F")))))),"")</f>
        <v/>
      </c>
      <c r="I938" s="3">
        <f>IF(AND('Data Source'!B938&lt;&gt;"",'Data Source'!S938="A+"),IF('Data Source'!AA938&gt;=5,"A+",IF('Data Source'!AA938&gt;=4,"A",IF('Data Source'!AA938&gt;=3.5,"A-",IF('Data Source'!AA938&gt;=3,"B",IF('Data Source'!AA938&gt;=2,"C",IF('Data Source'!AA938&gt;=1,"D","F")))))),"")</f>
        <v/>
      </c>
      <c r="J938" s="3">
        <f>IF(AND('Data Source'!B938&lt;&gt;"",'Data Source'!S938="A+"),IF('Data Source'!AB938&gt;=5,"A+",IF('Data Source'!AB938&gt;=4,"A",IF('Data Source'!AB938&gt;=3.5,"A-",IF('Data Source'!AB938&gt;=3,"B",IF('Data Source'!AB938&gt;=2,"C",IF('Data Source'!AB938&gt;=1,"D","F")))))),"")</f>
        <v/>
      </c>
      <c r="K938" s="3">
        <f>IF(AND('Data Source'!B938&lt;&gt;"",'Data Source'!S938="A+"),IF('Data Source'!AC938&gt;=5,"A+",IF('Data Source'!AC938&gt;=4,"A",IF('Data Source'!AC938&gt;=3.5,"A-",IF('Data Source'!AC938&gt;=3,"B",IF('Data Source'!AC938&gt;=2,"C",IF('Data Source'!AC938&gt;=1,"D","F")))))),"")</f>
        <v/>
      </c>
      <c r="L938" s="3">
        <f>IF(AND('Data Source'!B938&lt;&gt;"",'Data Source'!S938="A+"),IF('Data Source'!AD938&gt;=5,"A+",IF('Data Source'!AD938&gt;=4,"A",IF('Data Source'!AD938&gt;=3.5,"A-",IF('Data Source'!AD938&gt;=3,"B",IF('Data Source'!AD938&gt;=2,"C",IF('Data Source'!AD938&gt;=1,"D","F")))))),"")</f>
        <v/>
      </c>
      <c r="M938" s="3">
        <f>IF(AND('Data Source'!B938&lt;&gt;"",'Data Source'!S938="A+"),IF('Data Source'!AE938&gt;=5,"A+",IF('Data Source'!AE938&gt;=4,"A",IF('Data Source'!AE938&gt;=3.5,"A-",IF('Data Source'!AE938&gt;=3,"B",IF('Data Source'!AE938&gt;=2,"C",IF('Data Source'!AE938&gt;=1,"D","F")))))),"")</f>
        <v/>
      </c>
      <c r="N938" s="3">
        <f>IF(AND('Data Source'!B938&lt;&gt;"",'Data Source'!S938="A+"),IF('Data Source'!AF938&gt;=5,"A+",IF('Data Source'!AF938&gt;=4,"A",IF('Data Source'!AF938&gt;=3.5,"A-",IF('Data Source'!AF938&gt;=3,"B",IF('Data Source'!AF938&gt;=2,"C",IF('Data Source'!AF938&gt;=1,"D","F")))))),"")</f>
        <v/>
      </c>
      <c r="O938" s="3">
        <f>IF(AND('Data Source'!B938&lt;&gt;"",'Data Source'!S938="A+"),IF('Data Source'!AG938&gt;=5,"A+",IF('Data Source'!AG938&gt;=4,"A",IF('Data Source'!AG938&gt;=3.5,"A-",IF('Data Source'!AG938&gt;=3,"B",IF('Data Source'!AG938&gt;=2,"C",IF('Data Source'!AG938&gt;=1,"D","F")))))),"")</f>
        <v/>
      </c>
      <c r="P938" s="5">
        <f>IF(AND('Data Source'!B938&lt;&gt;"",'Data Source'!S938="A+"),'Data Source'!R938,"")</f>
        <v/>
      </c>
      <c r="Q938" s="3">
        <f>IF(AND('Data Source'!B938&lt;&gt;"",'Data Source'!S938="A+"),'Data Source'!S938,"")</f>
        <v/>
      </c>
    </row>
    <row r="939">
      <c r="A939" s="3">
        <f>IF(AND('Data Source'!B939&lt;&gt;"",'Data Source'!S939="A+"),COUNTIF('Data Source'!$S$3:S939,"A+"),"")</f>
        <v/>
      </c>
      <c r="B939">
        <f>IF(AND('Data Source'!B939&lt;&gt;"",'Data Source'!S939="A+"),'Data Source'!B939,"")</f>
        <v/>
      </c>
      <c r="C939" s="3">
        <f>IF(AND('Data Source'!B939&lt;&gt;"",'Data Source'!S939="A+"),IF('Data Source'!U939&gt;=5,"A+",IF('Data Source'!U939&gt;=4,"A",IF('Data Source'!U939&gt;=3.5,"A-",IF('Data Source'!U939&gt;=3,"B",IF('Data Source'!U939&gt;=2,"C",IF('Data Source'!U939&gt;=1,"D","F")))))),"")</f>
        <v/>
      </c>
      <c r="D939" s="3">
        <f>IF(AND('Data Source'!B939&lt;&gt;"",'Data Source'!S939="A+"),IF('Data Source'!V939&gt;=5,"A+",IF('Data Source'!V939&gt;=4,"A",IF('Data Source'!V939&gt;=3.5,"A-",IF('Data Source'!V939&gt;=3,"B",IF('Data Source'!V939&gt;=2,"C",IF('Data Source'!V939&gt;=1,"D","F")))))),"")</f>
        <v/>
      </c>
      <c r="E939" s="3">
        <f>IF(AND('Data Source'!B939&lt;&gt;"",'Data Source'!S939="A+"),IF('Data Source'!W939&gt;=5,"A+",IF('Data Source'!W939&gt;=4,"A",IF('Data Source'!W939&gt;=3.5,"A-",IF('Data Source'!W939&gt;=3,"B",IF('Data Source'!W939&gt;=2,"C",IF('Data Source'!W939&gt;=1,"D","F")))))),"")</f>
        <v/>
      </c>
      <c r="F939" s="3">
        <f>IF(AND('Data Source'!B939&lt;&gt;"",'Data Source'!S939="A+"),IF('Data Source'!X939&gt;=5,"A+",IF('Data Source'!X939&gt;=4,"A",IF('Data Source'!X939&gt;=3.5,"A-",IF('Data Source'!X939&gt;=3,"B",IF('Data Source'!X939&gt;=2,"C",IF('Data Source'!X939&gt;=1,"D","F")))))),"")</f>
        <v/>
      </c>
      <c r="G939" s="3">
        <f>IF(AND('Data Source'!B939&lt;&gt;"",'Data Source'!S939="A+"),IF('Data Source'!Y939&gt;=5,"A+",IF('Data Source'!Y939&gt;=4,"A",IF('Data Source'!Y939&gt;=3.5,"A-",IF('Data Source'!Y939&gt;=3,"B",IF('Data Source'!Y939&gt;=2,"C",IF('Data Source'!Y939&gt;=1,"D","F")))))),"")</f>
        <v/>
      </c>
      <c r="H939" s="3">
        <f>IF(AND('Data Source'!B939&lt;&gt;"",'Data Source'!S939="A+"),IF('Data Source'!Z939&gt;=5,"A+",IF('Data Source'!Z939&gt;=4,"A",IF('Data Source'!Z939&gt;=3.5,"A-",IF('Data Source'!Z939&gt;=3,"B",IF('Data Source'!Z939&gt;=2,"C",IF('Data Source'!Z939&gt;=1,"D","F")))))),"")</f>
        <v/>
      </c>
      <c r="I939" s="3">
        <f>IF(AND('Data Source'!B939&lt;&gt;"",'Data Source'!S939="A+"),IF('Data Source'!AA939&gt;=5,"A+",IF('Data Source'!AA939&gt;=4,"A",IF('Data Source'!AA939&gt;=3.5,"A-",IF('Data Source'!AA939&gt;=3,"B",IF('Data Source'!AA939&gt;=2,"C",IF('Data Source'!AA939&gt;=1,"D","F")))))),"")</f>
        <v/>
      </c>
      <c r="J939" s="3">
        <f>IF(AND('Data Source'!B939&lt;&gt;"",'Data Source'!S939="A+"),IF('Data Source'!AB939&gt;=5,"A+",IF('Data Source'!AB939&gt;=4,"A",IF('Data Source'!AB939&gt;=3.5,"A-",IF('Data Source'!AB939&gt;=3,"B",IF('Data Source'!AB939&gt;=2,"C",IF('Data Source'!AB939&gt;=1,"D","F")))))),"")</f>
        <v/>
      </c>
      <c r="K939" s="3">
        <f>IF(AND('Data Source'!B939&lt;&gt;"",'Data Source'!S939="A+"),IF('Data Source'!AC939&gt;=5,"A+",IF('Data Source'!AC939&gt;=4,"A",IF('Data Source'!AC939&gt;=3.5,"A-",IF('Data Source'!AC939&gt;=3,"B",IF('Data Source'!AC939&gt;=2,"C",IF('Data Source'!AC939&gt;=1,"D","F")))))),"")</f>
        <v/>
      </c>
      <c r="L939" s="3">
        <f>IF(AND('Data Source'!B939&lt;&gt;"",'Data Source'!S939="A+"),IF('Data Source'!AD939&gt;=5,"A+",IF('Data Source'!AD939&gt;=4,"A",IF('Data Source'!AD939&gt;=3.5,"A-",IF('Data Source'!AD939&gt;=3,"B",IF('Data Source'!AD939&gt;=2,"C",IF('Data Source'!AD939&gt;=1,"D","F")))))),"")</f>
        <v/>
      </c>
      <c r="M939" s="3">
        <f>IF(AND('Data Source'!B939&lt;&gt;"",'Data Source'!S939="A+"),IF('Data Source'!AE939&gt;=5,"A+",IF('Data Source'!AE939&gt;=4,"A",IF('Data Source'!AE939&gt;=3.5,"A-",IF('Data Source'!AE939&gt;=3,"B",IF('Data Source'!AE939&gt;=2,"C",IF('Data Source'!AE939&gt;=1,"D","F")))))),"")</f>
        <v/>
      </c>
      <c r="N939" s="3">
        <f>IF(AND('Data Source'!B939&lt;&gt;"",'Data Source'!S939="A+"),IF('Data Source'!AF939&gt;=5,"A+",IF('Data Source'!AF939&gt;=4,"A",IF('Data Source'!AF939&gt;=3.5,"A-",IF('Data Source'!AF939&gt;=3,"B",IF('Data Source'!AF939&gt;=2,"C",IF('Data Source'!AF939&gt;=1,"D","F")))))),"")</f>
        <v/>
      </c>
      <c r="O939" s="3">
        <f>IF(AND('Data Source'!B939&lt;&gt;"",'Data Source'!S939="A+"),IF('Data Source'!AG939&gt;=5,"A+",IF('Data Source'!AG939&gt;=4,"A",IF('Data Source'!AG939&gt;=3.5,"A-",IF('Data Source'!AG939&gt;=3,"B",IF('Data Source'!AG939&gt;=2,"C",IF('Data Source'!AG939&gt;=1,"D","F")))))),"")</f>
        <v/>
      </c>
      <c r="P939" s="5">
        <f>IF(AND('Data Source'!B939&lt;&gt;"",'Data Source'!S939="A+"),'Data Source'!R939,"")</f>
        <v/>
      </c>
      <c r="Q939" s="3">
        <f>IF(AND('Data Source'!B939&lt;&gt;"",'Data Source'!S939="A+"),'Data Source'!S939,"")</f>
        <v/>
      </c>
    </row>
    <row r="940">
      <c r="A940" s="3">
        <f>IF(AND('Data Source'!B940&lt;&gt;"",'Data Source'!S940="A+"),COUNTIF('Data Source'!$S$3:S940,"A+"),"")</f>
        <v/>
      </c>
      <c r="B940">
        <f>IF(AND('Data Source'!B940&lt;&gt;"",'Data Source'!S940="A+"),'Data Source'!B940,"")</f>
        <v/>
      </c>
      <c r="C940" s="3">
        <f>IF(AND('Data Source'!B940&lt;&gt;"",'Data Source'!S940="A+"),IF('Data Source'!U940&gt;=5,"A+",IF('Data Source'!U940&gt;=4,"A",IF('Data Source'!U940&gt;=3.5,"A-",IF('Data Source'!U940&gt;=3,"B",IF('Data Source'!U940&gt;=2,"C",IF('Data Source'!U940&gt;=1,"D","F")))))),"")</f>
        <v/>
      </c>
      <c r="D940" s="3">
        <f>IF(AND('Data Source'!B940&lt;&gt;"",'Data Source'!S940="A+"),IF('Data Source'!V940&gt;=5,"A+",IF('Data Source'!V940&gt;=4,"A",IF('Data Source'!V940&gt;=3.5,"A-",IF('Data Source'!V940&gt;=3,"B",IF('Data Source'!V940&gt;=2,"C",IF('Data Source'!V940&gt;=1,"D","F")))))),"")</f>
        <v/>
      </c>
      <c r="E940" s="3">
        <f>IF(AND('Data Source'!B940&lt;&gt;"",'Data Source'!S940="A+"),IF('Data Source'!W940&gt;=5,"A+",IF('Data Source'!W940&gt;=4,"A",IF('Data Source'!W940&gt;=3.5,"A-",IF('Data Source'!W940&gt;=3,"B",IF('Data Source'!W940&gt;=2,"C",IF('Data Source'!W940&gt;=1,"D","F")))))),"")</f>
        <v/>
      </c>
      <c r="F940" s="3">
        <f>IF(AND('Data Source'!B940&lt;&gt;"",'Data Source'!S940="A+"),IF('Data Source'!X940&gt;=5,"A+",IF('Data Source'!X940&gt;=4,"A",IF('Data Source'!X940&gt;=3.5,"A-",IF('Data Source'!X940&gt;=3,"B",IF('Data Source'!X940&gt;=2,"C",IF('Data Source'!X940&gt;=1,"D","F")))))),"")</f>
        <v/>
      </c>
      <c r="G940" s="3">
        <f>IF(AND('Data Source'!B940&lt;&gt;"",'Data Source'!S940="A+"),IF('Data Source'!Y940&gt;=5,"A+",IF('Data Source'!Y940&gt;=4,"A",IF('Data Source'!Y940&gt;=3.5,"A-",IF('Data Source'!Y940&gt;=3,"B",IF('Data Source'!Y940&gt;=2,"C",IF('Data Source'!Y940&gt;=1,"D","F")))))),"")</f>
        <v/>
      </c>
      <c r="H940" s="3">
        <f>IF(AND('Data Source'!B940&lt;&gt;"",'Data Source'!S940="A+"),IF('Data Source'!Z940&gt;=5,"A+",IF('Data Source'!Z940&gt;=4,"A",IF('Data Source'!Z940&gt;=3.5,"A-",IF('Data Source'!Z940&gt;=3,"B",IF('Data Source'!Z940&gt;=2,"C",IF('Data Source'!Z940&gt;=1,"D","F")))))),"")</f>
        <v/>
      </c>
      <c r="I940" s="3">
        <f>IF(AND('Data Source'!B940&lt;&gt;"",'Data Source'!S940="A+"),IF('Data Source'!AA940&gt;=5,"A+",IF('Data Source'!AA940&gt;=4,"A",IF('Data Source'!AA940&gt;=3.5,"A-",IF('Data Source'!AA940&gt;=3,"B",IF('Data Source'!AA940&gt;=2,"C",IF('Data Source'!AA940&gt;=1,"D","F")))))),"")</f>
        <v/>
      </c>
      <c r="J940" s="3">
        <f>IF(AND('Data Source'!B940&lt;&gt;"",'Data Source'!S940="A+"),IF('Data Source'!AB940&gt;=5,"A+",IF('Data Source'!AB940&gt;=4,"A",IF('Data Source'!AB940&gt;=3.5,"A-",IF('Data Source'!AB940&gt;=3,"B",IF('Data Source'!AB940&gt;=2,"C",IF('Data Source'!AB940&gt;=1,"D","F")))))),"")</f>
        <v/>
      </c>
      <c r="K940" s="3">
        <f>IF(AND('Data Source'!B940&lt;&gt;"",'Data Source'!S940="A+"),IF('Data Source'!AC940&gt;=5,"A+",IF('Data Source'!AC940&gt;=4,"A",IF('Data Source'!AC940&gt;=3.5,"A-",IF('Data Source'!AC940&gt;=3,"B",IF('Data Source'!AC940&gt;=2,"C",IF('Data Source'!AC940&gt;=1,"D","F")))))),"")</f>
        <v/>
      </c>
      <c r="L940" s="3">
        <f>IF(AND('Data Source'!B940&lt;&gt;"",'Data Source'!S940="A+"),IF('Data Source'!AD940&gt;=5,"A+",IF('Data Source'!AD940&gt;=4,"A",IF('Data Source'!AD940&gt;=3.5,"A-",IF('Data Source'!AD940&gt;=3,"B",IF('Data Source'!AD940&gt;=2,"C",IF('Data Source'!AD940&gt;=1,"D","F")))))),"")</f>
        <v/>
      </c>
      <c r="M940" s="3">
        <f>IF(AND('Data Source'!B940&lt;&gt;"",'Data Source'!S940="A+"),IF('Data Source'!AE940&gt;=5,"A+",IF('Data Source'!AE940&gt;=4,"A",IF('Data Source'!AE940&gt;=3.5,"A-",IF('Data Source'!AE940&gt;=3,"B",IF('Data Source'!AE940&gt;=2,"C",IF('Data Source'!AE940&gt;=1,"D","F")))))),"")</f>
        <v/>
      </c>
      <c r="N940" s="3">
        <f>IF(AND('Data Source'!B940&lt;&gt;"",'Data Source'!S940="A+"),IF('Data Source'!AF940&gt;=5,"A+",IF('Data Source'!AF940&gt;=4,"A",IF('Data Source'!AF940&gt;=3.5,"A-",IF('Data Source'!AF940&gt;=3,"B",IF('Data Source'!AF940&gt;=2,"C",IF('Data Source'!AF940&gt;=1,"D","F")))))),"")</f>
        <v/>
      </c>
      <c r="O940" s="3">
        <f>IF(AND('Data Source'!B940&lt;&gt;"",'Data Source'!S940="A+"),IF('Data Source'!AG940&gt;=5,"A+",IF('Data Source'!AG940&gt;=4,"A",IF('Data Source'!AG940&gt;=3.5,"A-",IF('Data Source'!AG940&gt;=3,"B",IF('Data Source'!AG940&gt;=2,"C",IF('Data Source'!AG940&gt;=1,"D","F")))))),"")</f>
        <v/>
      </c>
      <c r="P940" s="5">
        <f>IF(AND('Data Source'!B940&lt;&gt;"",'Data Source'!S940="A+"),'Data Source'!R940,"")</f>
        <v/>
      </c>
      <c r="Q940" s="3">
        <f>IF(AND('Data Source'!B940&lt;&gt;"",'Data Source'!S940="A+"),'Data Source'!S940,"")</f>
        <v/>
      </c>
    </row>
    <row r="941">
      <c r="A941" s="3">
        <f>IF(AND('Data Source'!B941&lt;&gt;"",'Data Source'!S941="A+"),COUNTIF('Data Source'!$S$3:S941,"A+"),"")</f>
        <v/>
      </c>
      <c r="B941">
        <f>IF(AND('Data Source'!B941&lt;&gt;"",'Data Source'!S941="A+"),'Data Source'!B941,"")</f>
        <v/>
      </c>
      <c r="C941" s="3">
        <f>IF(AND('Data Source'!B941&lt;&gt;"",'Data Source'!S941="A+"),IF('Data Source'!U941&gt;=5,"A+",IF('Data Source'!U941&gt;=4,"A",IF('Data Source'!U941&gt;=3.5,"A-",IF('Data Source'!U941&gt;=3,"B",IF('Data Source'!U941&gt;=2,"C",IF('Data Source'!U941&gt;=1,"D","F")))))),"")</f>
        <v/>
      </c>
      <c r="D941" s="3">
        <f>IF(AND('Data Source'!B941&lt;&gt;"",'Data Source'!S941="A+"),IF('Data Source'!V941&gt;=5,"A+",IF('Data Source'!V941&gt;=4,"A",IF('Data Source'!V941&gt;=3.5,"A-",IF('Data Source'!V941&gt;=3,"B",IF('Data Source'!V941&gt;=2,"C",IF('Data Source'!V941&gt;=1,"D","F")))))),"")</f>
        <v/>
      </c>
      <c r="E941" s="3">
        <f>IF(AND('Data Source'!B941&lt;&gt;"",'Data Source'!S941="A+"),IF('Data Source'!W941&gt;=5,"A+",IF('Data Source'!W941&gt;=4,"A",IF('Data Source'!W941&gt;=3.5,"A-",IF('Data Source'!W941&gt;=3,"B",IF('Data Source'!W941&gt;=2,"C",IF('Data Source'!W941&gt;=1,"D","F")))))),"")</f>
        <v/>
      </c>
      <c r="F941" s="3">
        <f>IF(AND('Data Source'!B941&lt;&gt;"",'Data Source'!S941="A+"),IF('Data Source'!X941&gt;=5,"A+",IF('Data Source'!X941&gt;=4,"A",IF('Data Source'!X941&gt;=3.5,"A-",IF('Data Source'!X941&gt;=3,"B",IF('Data Source'!X941&gt;=2,"C",IF('Data Source'!X941&gt;=1,"D","F")))))),"")</f>
        <v/>
      </c>
      <c r="G941" s="3">
        <f>IF(AND('Data Source'!B941&lt;&gt;"",'Data Source'!S941="A+"),IF('Data Source'!Y941&gt;=5,"A+",IF('Data Source'!Y941&gt;=4,"A",IF('Data Source'!Y941&gt;=3.5,"A-",IF('Data Source'!Y941&gt;=3,"B",IF('Data Source'!Y941&gt;=2,"C",IF('Data Source'!Y941&gt;=1,"D","F")))))),"")</f>
        <v/>
      </c>
      <c r="H941" s="3">
        <f>IF(AND('Data Source'!B941&lt;&gt;"",'Data Source'!S941="A+"),IF('Data Source'!Z941&gt;=5,"A+",IF('Data Source'!Z941&gt;=4,"A",IF('Data Source'!Z941&gt;=3.5,"A-",IF('Data Source'!Z941&gt;=3,"B",IF('Data Source'!Z941&gt;=2,"C",IF('Data Source'!Z941&gt;=1,"D","F")))))),"")</f>
        <v/>
      </c>
      <c r="I941" s="3">
        <f>IF(AND('Data Source'!B941&lt;&gt;"",'Data Source'!S941="A+"),IF('Data Source'!AA941&gt;=5,"A+",IF('Data Source'!AA941&gt;=4,"A",IF('Data Source'!AA941&gt;=3.5,"A-",IF('Data Source'!AA941&gt;=3,"B",IF('Data Source'!AA941&gt;=2,"C",IF('Data Source'!AA941&gt;=1,"D","F")))))),"")</f>
        <v/>
      </c>
      <c r="J941" s="3">
        <f>IF(AND('Data Source'!B941&lt;&gt;"",'Data Source'!S941="A+"),IF('Data Source'!AB941&gt;=5,"A+",IF('Data Source'!AB941&gt;=4,"A",IF('Data Source'!AB941&gt;=3.5,"A-",IF('Data Source'!AB941&gt;=3,"B",IF('Data Source'!AB941&gt;=2,"C",IF('Data Source'!AB941&gt;=1,"D","F")))))),"")</f>
        <v/>
      </c>
      <c r="K941" s="3">
        <f>IF(AND('Data Source'!B941&lt;&gt;"",'Data Source'!S941="A+"),IF('Data Source'!AC941&gt;=5,"A+",IF('Data Source'!AC941&gt;=4,"A",IF('Data Source'!AC941&gt;=3.5,"A-",IF('Data Source'!AC941&gt;=3,"B",IF('Data Source'!AC941&gt;=2,"C",IF('Data Source'!AC941&gt;=1,"D","F")))))),"")</f>
        <v/>
      </c>
      <c r="L941" s="3">
        <f>IF(AND('Data Source'!B941&lt;&gt;"",'Data Source'!S941="A+"),IF('Data Source'!AD941&gt;=5,"A+",IF('Data Source'!AD941&gt;=4,"A",IF('Data Source'!AD941&gt;=3.5,"A-",IF('Data Source'!AD941&gt;=3,"B",IF('Data Source'!AD941&gt;=2,"C",IF('Data Source'!AD941&gt;=1,"D","F")))))),"")</f>
        <v/>
      </c>
      <c r="M941" s="3">
        <f>IF(AND('Data Source'!B941&lt;&gt;"",'Data Source'!S941="A+"),IF('Data Source'!AE941&gt;=5,"A+",IF('Data Source'!AE941&gt;=4,"A",IF('Data Source'!AE941&gt;=3.5,"A-",IF('Data Source'!AE941&gt;=3,"B",IF('Data Source'!AE941&gt;=2,"C",IF('Data Source'!AE941&gt;=1,"D","F")))))),"")</f>
        <v/>
      </c>
      <c r="N941" s="3">
        <f>IF(AND('Data Source'!B941&lt;&gt;"",'Data Source'!S941="A+"),IF('Data Source'!AF941&gt;=5,"A+",IF('Data Source'!AF941&gt;=4,"A",IF('Data Source'!AF941&gt;=3.5,"A-",IF('Data Source'!AF941&gt;=3,"B",IF('Data Source'!AF941&gt;=2,"C",IF('Data Source'!AF941&gt;=1,"D","F")))))),"")</f>
        <v/>
      </c>
      <c r="O941" s="3">
        <f>IF(AND('Data Source'!B941&lt;&gt;"",'Data Source'!S941="A+"),IF('Data Source'!AG941&gt;=5,"A+",IF('Data Source'!AG941&gt;=4,"A",IF('Data Source'!AG941&gt;=3.5,"A-",IF('Data Source'!AG941&gt;=3,"B",IF('Data Source'!AG941&gt;=2,"C",IF('Data Source'!AG941&gt;=1,"D","F")))))),"")</f>
        <v/>
      </c>
      <c r="P941" s="5">
        <f>IF(AND('Data Source'!B941&lt;&gt;"",'Data Source'!S941="A+"),'Data Source'!R941,"")</f>
        <v/>
      </c>
      <c r="Q941" s="3">
        <f>IF(AND('Data Source'!B941&lt;&gt;"",'Data Source'!S941="A+"),'Data Source'!S941,"")</f>
        <v/>
      </c>
    </row>
    <row r="942">
      <c r="A942" s="3">
        <f>IF(AND('Data Source'!B942&lt;&gt;"",'Data Source'!S942="A+"),COUNTIF('Data Source'!$S$3:S942,"A+"),"")</f>
        <v/>
      </c>
      <c r="B942">
        <f>IF(AND('Data Source'!B942&lt;&gt;"",'Data Source'!S942="A+"),'Data Source'!B942,"")</f>
        <v/>
      </c>
      <c r="C942" s="3">
        <f>IF(AND('Data Source'!B942&lt;&gt;"",'Data Source'!S942="A+"),IF('Data Source'!U942&gt;=5,"A+",IF('Data Source'!U942&gt;=4,"A",IF('Data Source'!U942&gt;=3.5,"A-",IF('Data Source'!U942&gt;=3,"B",IF('Data Source'!U942&gt;=2,"C",IF('Data Source'!U942&gt;=1,"D","F")))))),"")</f>
        <v/>
      </c>
      <c r="D942" s="3">
        <f>IF(AND('Data Source'!B942&lt;&gt;"",'Data Source'!S942="A+"),IF('Data Source'!V942&gt;=5,"A+",IF('Data Source'!V942&gt;=4,"A",IF('Data Source'!V942&gt;=3.5,"A-",IF('Data Source'!V942&gt;=3,"B",IF('Data Source'!V942&gt;=2,"C",IF('Data Source'!V942&gt;=1,"D","F")))))),"")</f>
        <v/>
      </c>
      <c r="E942" s="3">
        <f>IF(AND('Data Source'!B942&lt;&gt;"",'Data Source'!S942="A+"),IF('Data Source'!W942&gt;=5,"A+",IF('Data Source'!W942&gt;=4,"A",IF('Data Source'!W942&gt;=3.5,"A-",IF('Data Source'!W942&gt;=3,"B",IF('Data Source'!W942&gt;=2,"C",IF('Data Source'!W942&gt;=1,"D","F")))))),"")</f>
        <v/>
      </c>
      <c r="F942" s="3">
        <f>IF(AND('Data Source'!B942&lt;&gt;"",'Data Source'!S942="A+"),IF('Data Source'!X942&gt;=5,"A+",IF('Data Source'!X942&gt;=4,"A",IF('Data Source'!X942&gt;=3.5,"A-",IF('Data Source'!X942&gt;=3,"B",IF('Data Source'!X942&gt;=2,"C",IF('Data Source'!X942&gt;=1,"D","F")))))),"")</f>
        <v/>
      </c>
      <c r="G942" s="3">
        <f>IF(AND('Data Source'!B942&lt;&gt;"",'Data Source'!S942="A+"),IF('Data Source'!Y942&gt;=5,"A+",IF('Data Source'!Y942&gt;=4,"A",IF('Data Source'!Y942&gt;=3.5,"A-",IF('Data Source'!Y942&gt;=3,"B",IF('Data Source'!Y942&gt;=2,"C",IF('Data Source'!Y942&gt;=1,"D","F")))))),"")</f>
        <v/>
      </c>
      <c r="H942" s="3">
        <f>IF(AND('Data Source'!B942&lt;&gt;"",'Data Source'!S942="A+"),IF('Data Source'!Z942&gt;=5,"A+",IF('Data Source'!Z942&gt;=4,"A",IF('Data Source'!Z942&gt;=3.5,"A-",IF('Data Source'!Z942&gt;=3,"B",IF('Data Source'!Z942&gt;=2,"C",IF('Data Source'!Z942&gt;=1,"D","F")))))),"")</f>
        <v/>
      </c>
      <c r="I942" s="3">
        <f>IF(AND('Data Source'!B942&lt;&gt;"",'Data Source'!S942="A+"),IF('Data Source'!AA942&gt;=5,"A+",IF('Data Source'!AA942&gt;=4,"A",IF('Data Source'!AA942&gt;=3.5,"A-",IF('Data Source'!AA942&gt;=3,"B",IF('Data Source'!AA942&gt;=2,"C",IF('Data Source'!AA942&gt;=1,"D","F")))))),"")</f>
        <v/>
      </c>
      <c r="J942" s="3">
        <f>IF(AND('Data Source'!B942&lt;&gt;"",'Data Source'!S942="A+"),IF('Data Source'!AB942&gt;=5,"A+",IF('Data Source'!AB942&gt;=4,"A",IF('Data Source'!AB942&gt;=3.5,"A-",IF('Data Source'!AB942&gt;=3,"B",IF('Data Source'!AB942&gt;=2,"C",IF('Data Source'!AB942&gt;=1,"D","F")))))),"")</f>
        <v/>
      </c>
      <c r="K942" s="3">
        <f>IF(AND('Data Source'!B942&lt;&gt;"",'Data Source'!S942="A+"),IF('Data Source'!AC942&gt;=5,"A+",IF('Data Source'!AC942&gt;=4,"A",IF('Data Source'!AC942&gt;=3.5,"A-",IF('Data Source'!AC942&gt;=3,"B",IF('Data Source'!AC942&gt;=2,"C",IF('Data Source'!AC942&gt;=1,"D","F")))))),"")</f>
        <v/>
      </c>
      <c r="L942" s="3">
        <f>IF(AND('Data Source'!B942&lt;&gt;"",'Data Source'!S942="A+"),IF('Data Source'!AD942&gt;=5,"A+",IF('Data Source'!AD942&gt;=4,"A",IF('Data Source'!AD942&gt;=3.5,"A-",IF('Data Source'!AD942&gt;=3,"B",IF('Data Source'!AD942&gt;=2,"C",IF('Data Source'!AD942&gt;=1,"D","F")))))),"")</f>
        <v/>
      </c>
      <c r="M942" s="3">
        <f>IF(AND('Data Source'!B942&lt;&gt;"",'Data Source'!S942="A+"),IF('Data Source'!AE942&gt;=5,"A+",IF('Data Source'!AE942&gt;=4,"A",IF('Data Source'!AE942&gt;=3.5,"A-",IF('Data Source'!AE942&gt;=3,"B",IF('Data Source'!AE942&gt;=2,"C",IF('Data Source'!AE942&gt;=1,"D","F")))))),"")</f>
        <v/>
      </c>
      <c r="N942" s="3">
        <f>IF(AND('Data Source'!B942&lt;&gt;"",'Data Source'!S942="A+"),IF('Data Source'!AF942&gt;=5,"A+",IF('Data Source'!AF942&gt;=4,"A",IF('Data Source'!AF942&gt;=3.5,"A-",IF('Data Source'!AF942&gt;=3,"B",IF('Data Source'!AF942&gt;=2,"C",IF('Data Source'!AF942&gt;=1,"D","F")))))),"")</f>
        <v/>
      </c>
      <c r="O942" s="3">
        <f>IF(AND('Data Source'!B942&lt;&gt;"",'Data Source'!S942="A+"),IF('Data Source'!AG942&gt;=5,"A+",IF('Data Source'!AG942&gt;=4,"A",IF('Data Source'!AG942&gt;=3.5,"A-",IF('Data Source'!AG942&gt;=3,"B",IF('Data Source'!AG942&gt;=2,"C",IF('Data Source'!AG942&gt;=1,"D","F")))))),"")</f>
        <v/>
      </c>
      <c r="P942" s="5">
        <f>IF(AND('Data Source'!B942&lt;&gt;"",'Data Source'!S942="A+"),'Data Source'!R942,"")</f>
        <v/>
      </c>
      <c r="Q942" s="3">
        <f>IF(AND('Data Source'!B942&lt;&gt;"",'Data Source'!S942="A+"),'Data Source'!S942,"")</f>
        <v/>
      </c>
    </row>
    <row r="943">
      <c r="A943" s="3">
        <f>IF(AND('Data Source'!B943&lt;&gt;"",'Data Source'!S943="A+"),COUNTIF('Data Source'!$S$3:S943,"A+"),"")</f>
        <v/>
      </c>
      <c r="B943">
        <f>IF(AND('Data Source'!B943&lt;&gt;"",'Data Source'!S943="A+"),'Data Source'!B943,"")</f>
        <v/>
      </c>
      <c r="C943" s="3">
        <f>IF(AND('Data Source'!B943&lt;&gt;"",'Data Source'!S943="A+"),IF('Data Source'!U943&gt;=5,"A+",IF('Data Source'!U943&gt;=4,"A",IF('Data Source'!U943&gt;=3.5,"A-",IF('Data Source'!U943&gt;=3,"B",IF('Data Source'!U943&gt;=2,"C",IF('Data Source'!U943&gt;=1,"D","F")))))),"")</f>
        <v/>
      </c>
      <c r="D943" s="3">
        <f>IF(AND('Data Source'!B943&lt;&gt;"",'Data Source'!S943="A+"),IF('Data Source'!V943&gt;=5,"A+",IF('Data Source'!V943&gt;=4,"A",IF('Data Source'!V943&gt;=3.5,"A-",IF('Data Source'!V943&gt;=3,"B",IF('Data Source'!V943&gt;=2,"C",IF('Data Source'!V943&gt;=1,"D","F")))))),"")</f>
        <v/>
      </c>
      <c r="E943" s="3">
        <f>IF(AND('Data Source'!B943&lt;&gt;"",'Data Source'!S943="A+"),IF('Data Source'!W943&gt;=5,"A+",IF('Data Source'!W943&gt;=4,"A",IF('Data Source'!W943&gt;=3.5,"A-",IF('Data Source'!W943&gt;=3,"B",IF('Data Source'!W943&gt;=2,"C",IF('Data Source'!W943&gt;=1,"D","F")))))),"")</f>
        <v/>
      </c>
      <c r="F943" s="3">
        <f>IF(AND('Data Source'!B943&lt;&gt;"",'Data Source'!S943="A+"),IF('Data Source'!X943&gt;=5,"A+",IF('Data Source'!X943&gt;=4,"A",IF('Data Source'!X943&gt;=3.5,"A-",IF('Data Source'!X943&gt;=3,"B",IF('Data Source'!X943&gt;=2,"C",IF('Data Source'!X943&gt;=1,"D","F")))))),"")</f>
        <v/>
      </c>
      <c r="G943" s="3">
        <f>IF(AND('Data Source'!B943&lt;&gt;"",'Data Source'!S943="A+"),IF('Data Source'!Y943&gt;=5,"A+",IF('Data Source'!Y943&gt;=4,"A",IF('Data Source'!Y943&gt;=3.5,"A-",IF('Data Source'!Y943&gt;=3,"B",IF('Data Source'!Y943&gt;=2,"C",IF('Data Source'!Y943&gt;=1,"D","F")))))),"")</f>
        <v/>
      </c>
      <c r="H943" s="3">
        <f>IF(AND('Data Source'!B943&lt;&gt;"",'Data Source'!S943="A+"),IF('Data Source'!Z943&gt;=5,"A+",IF('Data Source'!Z943&gt;=4,"A",IF('Data Source'!Z943&gt;=3.5,"A-",IF('Data Source'!Z943&gt;=3,"B",IF('Data Source'!Z943&gt;=2,"C",IF('Data Source'!Z943&gt;=1,"D","F")))))),"")</f>
        <v/>
      </c>
      <c r="I943" s="3">
        <f>IF(AND('Data Source'!B943&lt;&gt;"",'Data Source'!S943="A+"),IF('Data Source'!AA943&gt;=5,"A+",IF('Data Source'!AA943&gt;=4,"A",IF('Data Source'!AA943&gt;=3.5,"A-",IF('Data Source'!AA943&gt;=3,"B",IF('Data Source'!AA943&gt;=2,"C",IF('Data Source'!AA943&gt;=1,"D","F")))))),"")</f>
        <v/>
      </c>
      <c r="J943" s="3">
        <f>IF(AND('Data Source'!B943&lt;&gt;"",'Data Source'!S943="A+"),IF('Data Source'!AB943&gt;=5,"A+",IF('Data Source'!AB943&gt;=4,"A",IF('Data Source'!AB943&gt;=3.5,"A-",IF('Data Source'!AB943&gt;=3,"B",IF('Data Source'!AB943&gt;=2,"C",IF('Data Source'!AB943&gt;=1,"D","F")))))),"")</f>
        <v/>
      </c>
      <c r="K943" s="3">
        <f>IF(AND('Data Source'!B943&lt;&gt;"",'Data Source'!S943="A+"),IF('Data Source'!AC943&gt;=5,"A+",IF('Data Source'!AC943&gt;=4,"A",IF('Data Source'!AC943&gt;=3.5,"A-",IF('Data Source'!AC943&gt;=3,"B",IF('Data Source'!AC943&gt;=2,"C",IF('Data Source'!AC943&gt;=1,"D","F")))))),"")</f>
        <v/>
      </c>
      <c r="L943" s="3">
        <f>IF(AND('Data Source'!B943&lt;&gt;"",'Data Source'!S943="A+"),IF('Data Source'!AD943&gt;=5,"A+",IF('Data Source'!AD943&gt;=4,"A",IF('Data Source'!AD943&gt;=3.5,"A-",IF('Data Source'!AD943&gt;=3,"B",IF('Data Source'!AD943&gt;=2,"C",IF('Data Source'!AD943&gt;=1,"D","F")))))),"")</f>
        <v/>
      </c>
      <c r="M943" s="3">
        <f>IF(AND('Data Source'!B943&lt;&gt;"",'Data Source'!S943="A+"),IF('Data Source'!AE943&gt;=5,"A+",IF('Data Source'!AE943&gt;=4,"A",IF('Data Source'!AE943&gt;=3.5,"A-",IF('Data Source'!AE943&gt;=3,"B",IF('Data Source'!AE943&gt;=2,"C",IF('Data Source'!AE943&gt;=1,"D","F")))))),"")</f>
        <v/>
      </c>
      <c r="N943" s="3">
        <f>IF(AND('Data Source'!B943&lt;&gt;"",'Data Source'!S943="A+"),IF('Data Source'!AF943&gt;=5,"A+",IF('Data Source'!AF943&gt;=4,"A",IF('Data Source'!AF943&gt;=3.5,"A-",IF('Data Source'!AF943&gt;=3,"B",IF('Data Source'!AF943&gt;=2,"C",IF('Data Source'!AF943&gt;=1,"D","F")))))),"")</f>
        <v/>
      </c>
      <c r="O943" s="3">
        <f>IF(AND('Data Source'!B943&lt;&gt;"",'Data Source'!S943="A+"),IF('Data Source'!AG943&gt;=5,"A+",IF('Data Source'!AG943&gt;=4,"A",IF('Data Source'!AG943&gt;=3.5,"A-",IF('Data Source'!AG943&gt;=3,"B",IF('Data Source'!AG943&gt;=2,"C",IF('Data Source'!AG943&gt;=1,"D","F")))))),"")</f>
        <v/>
      </c>
      <c r="P943" s="5">
        <f>IF(AND('Data Source'!B943&lt;&gt;"",'Data Source'!S943="A+"),'Data Source'!R943,"")</f>
        <v/>
      </c>
      <c r="Q943" s="3">
        <f>IF(AND('Data Source'!B943&lt;&gt;"",'Data Source'!S943="A+"),'Data Source'!S943,"")</f>
        <v/>
      </c>
    </row>
    <row r="944">
      <c r="A944" s="3">
        <f>IF(AND('Data Source'!B944&lt;&gt;"",'Data Source'!S944="A+"),COUNTIF('Data Source'!$S$3:S944,"A+"),"")</f>
        <v/>
      </c>
      <c r="B944">
        <f>IF(AND('Data Source'!B944&lt;&gt;"",'Data Source'!S944="A+"),'Data Source'!B944,"")</f>
        <v/>
      </c>
      <c r="C944" s="3">
        <f>IF(AND('Data Source'!B944&lt;&gt;"",'Data Source'!S944="A+"),IF('Data Source'!U944&gt;=5,"A+",IF('Data Source'!U944&gt;=4,"A",IF('Data Source'!U944&gt;=3.5,"A-",IF('Data Source'!U944&gt;=3,"B",IF('Data Source'!U944&gt;=2,"C",IF('Data Source'!U944&gt;=1,"D","F")))))),"")</f>
        <v/>
      </c>
      <c r="D944" s="3">
        <f>IF(AND('Data Source'!B944&lt;&gt;"",'Data Source'!S944="A+"),IF('Data Source'!V944&gt;=5,"A+",IF('Data Source'!V944&gt;=4,"A",IF('Data Source'!V944&gt;=3.5,"A-",IF('Data Source'!V944&gt;=3,"B",IF('Data Source'!V944&gt;=2,"C",IF('Data Source'!V944&gt;=1,"D","F")))))),"")</f>
        <v/>
      </c>
      <c r="E944" s="3">
        <f>IF(AND('Data Source'!B944&lt;&gt;"",'Data Source'!S944="A+"),IF('Data Source'!W944&gt;=5,"A+",IF('Data Source'!W944&gt;=4,"A",IF('Data Source'!W944&gt;=3.5,"A-",IF('Data Source'!W944&gt;=3,"B",IF('Data Source'!W944&gt;=2,"C",IF('Data Source'!W944&gt;=1,"D","F")))))),"")</f>
        <v/>
      </c>
      <c r="F944" s="3">
        <f>IF(AND('Data Source'!B944&lt;&gt;"",'Data Source'!S944="A+"),IF('Data Source'!X944&gt;=5,"A+",IF('Data Source'!X944&gt;=4,"A",IF('Data Source'!X944&gt;=3.5,"A-",IF('Data Source'!X944&gt;=3,"B",IF('Data Source'!X944&gt;=2,"C",IF('Data Source'!X944&gt;=1,"D","F")))))),"")</f>
        <v/>
      </c>
      <c r="G944" s="3">
        <f>IF(AND('Data Source'!B944&lt;&gt;"",'Data Source'!S944="A+"),IF('Data Source'!Y944&gt;=5,"A+",IF('Data Source'!Y944&gt;=4,"A",IF('Data Source'!Y944&gt;=3.5,"A-",IF('Data Source'!Y944&gt;=3,"B",IF('Data Source'!Y944&gt;=2,"C",IF('Data Source'!Y944&gt;=1,"D","F")))))),"")</f>
        <v/>
      </c>
      <c r="H944" s="3">
        <f>IF(AND('Data Source'!B944&lt;&gt;"",'Data Source'!S944="A+"),IF('Data Source'!Z944&gt;=5,"A+",IF('Data Source'!Z944&gt;=4,"A",IF('Data Source'!Z944&gt;=3.5,"A-",IF('Data Source'!Z944&gt;=3,"B",IF('Data Source'!Z944&gt;=2,"C",IF('Data Source'!Z944&gt;=1,"D","F")))))),"")</f>
        <v/>
      </c>
      <c r="I944" s="3">
        <f>IF(AND('Data Source'!B944&lt;&gt;"",'Data Source'!S944="A+"),IF('Data Source'!AA944&gt;=5,"A+",IF('Data Source'!AA944&gt;=4,"A",IF('Data Source'!AA944&gt;=3.5,"A-",IF('Data Source'!AA944&gt;=3,"B",IF('Data Source'!AA944&gt;=2,"C",IF('Data Source'!AA944&gt;=1,"D","F")))))),"")</f>
        <v/>
      </c>
      <c r="J944" s="3">
        <f>IF(AND('Data Source'!B944&lt;&gt;"",'Data Source'!S944="A+"),IF('Data Source'!AB944&gt;=5,"A+",IF('Data Source'!AB944&gt;=4,"A",IF('Data Source'!AB944&gt;=3.5,"A-",IF('Data Source'!AB944&gt;=3,"B",IF('Data Source'!AB944&gt;=2,"C",IF('Data Source'!AB944&gt;=1,"D","F")))))),"")</f>
        <v/>
      </c>
      <c r="K944" s="3">
        <f>IF(AND('Data Source'!B944&lt;&gt;"",'Data Source'!S944="A+"),IF('Data Source'!AC944&gt;=5,"A+",IF('Data Source'!AC944&gt;=4,"A",IF('Data Source'!AC944&gt;=3.5,"A-",IF('Data Source'!AC944&gt;=3,"B",IF('Data Source'!AC944&gt;=2,"C",IF('Data Source'!AC944&gt;=1,"D","F")))))),"")</f>
        <v/>
      </c>
      <c r="L944" s="3">
        <f>IF(AND('Data Source'!B944&lt;&gt;"",'Data Source'!S944="A+"),IF('Data Source'!AD944&gt;=5,"A+",IF('Data Source'!AD944&gt;=4,"A",IF('Data Source'!AD944&gt;=3.5,"A-",IF('Data Source'!AD944&gt;=3,"B",IF('Data Source'!AD944&gt;=2,"C",IF('Data Source'!AD944&gt;=1,"D","F")))))),"")</f>
        <v/>
      </c>
      <c r="M944" s="3">
        <f>IF(AND('Data Source'!B944&lt;&gt;"",'Data Source'!S944="A+"),IF('Data Source'!AE944&gt;=5,"A+",IF('Data Source'!AE944&gt;=4,"A",IF('Data Source'!AE944&gt;=3.5,"A-",IF('Data Source'!AE944&gt;=3,"B",IF('Data Source'!AE944&gt;=2,"C",IF('Data Source'!AE944&gt;=1,"D","F")))))),"")</f>
        <v/>
      </c>
      <c r="N944" s="3">
        <f>IF(AND('Data Source'!B944&lt;&gt;"",'Data Source'!S944="A+"),IF('Data Source'!AF944&gt;=5,"A+",IF('Data Source'!AF944&gt;=4,"A",IF('Data Source'!AF944&gt;=3.5,"A-",IF('Data Source'!AF944&gt;=3,"B",IF('Data Source'!AF944&gt;=2,"C",IF('Data Source'!AF944&gt;=1,"D","F")))))),"")</f>
        <v/>
      </c>
      <c r="O944" s="3">
        <f>IF(AND('Data Source'!B944&lt;&gt;"",'Data Source'!S944="A+"),IF('Data Source'!AG944&gt;=5,"A+",IF('Data Source'!AG944&gt;=4,"A",IF('Data Source'!AG944&gt;=3.5,"A-",IF('Data Source'!AG944&gt;=3,"B",IF('Data Source'!AG944&gt;=2,"C",IF('Data Source'!AG944&gt;=1,"D","F")))))),"")</f>
        <v/>
      </c>
      <c r="P944" s="5">
        <f>IF(AND('Data Source'!B944&lt;&gt;"",'Data Source'!S944="A+"),'Data Source'!R944,"")</f>
        <v/>
      </c>
      <c r="Q944" s="3">
        <f>IF(AND('Data Source'!B944&lt;&gt;"",'Data Source'!S944="A+"),'Data Source'!S944,"")</f>
        <v/>
      </c>
    </row>
    <row r="945">
      <c r="A945" s="3">
        <f>IF(AND('Data Source'!B945&lt;&gt;"",'Data Source'!S945="A+"),COUNTIF('Data Source'!$S$3:S945,"A+"),"")</f>
        <v/>
      </c>
      <c r="B945">
        <f>IF(AND('Data Source'!B945&lt;&gt;"",'Data Source'!S945="A+"),'Data Source'!B945,"")</f>
        <v/>
      </c>
      <c r="C945" s="3">
        <f>IF(AND('Data Source'!B945&lt;&gt;"",'Data Source'!S945="A+"),IF('Data Source'!U945&gt;=5,"A+",IF('Data Source'!U945&gt;=4,"A",IF('Data Source'!U945&gt;=3.5,"A-",IF('Data Source'!U945&gt;=3,"B",IF('Data Source'!U945&gt;=2,"C",IF('Data Source'!U945&gt;=1,"D","F")))))),"")</f>
        <v/>
      </c>
      <c r="D945" s="3">
        <f>IF(AND('Data Source'!B945&lt;&gt;"",'Data Source'!S945="A+"),IF('Data Source'!V945&gt;=5,"A+",IF('Data Source'!V945&gt;=4,"A",IF('Data Source'!V945&gt;=3.5,"A-",IF('Data Source'!V945&gt;=3,"B",IF('Data Source'!V945&gt;=2,"C",IF('Data Source'!V945&gt;=1,"D","F")))))),"")</f>
        <v/>
      </c>
      <c r="E945" s="3">
        <f>IF(AND('Data Source'!B945&lt;&gt;"",'Data Source'!S945="A+"),IF('Data Source'!W945&gt;=5,"A+",IF('Data Source'!W945&gt;=4,"A",IF('Data Source'!W945&gt;=3.5,"A-",IF('Data Source'!W945&gt;=3,"B",IF('Data Source'!W945&gt;=2,"C",IF('Data Source'!W945&gt;=1,"D","F")))))),"")</f>
        <v/>
      </c>
      <c r="F945" s="3">
        <f>IF(AND('Data Source'!B945&lt;&gt;"",'Data Source'!S945="A+"),IF('Data Source'!X945&gt;=5,"A+",IF('Data Source'!X945&gt;=4,"A",IF('Data Source'!X945&gt;=3.5,"A-",IF('Data Source'!X945&gt;=3,"B",IF('Data Source'!X945&gt;=2,"C",IF('Data Source'!X945&gt;=1,"D","F")))))),"")</f>
        <v/>
      </c>
      <c r="G945" s="3">
        <f>IF(AND('Data Source'!B945&lt;&gt;"",'Data Source'!S945="A+"),IF('Data Source'!Y945&gt;=5,"A+",IF('Data Source'!Y945&gt;=4,"A",IF('Data Source'!Y945&gt;=3.5,"A-",IF('Data Source'!Y945&gt;=3,"B",IF('Data Source'!Y945&gt;=2,"C",IF('Data Source'!Y945&gt;=1,"D","F")))))),"")</f>
        <v/>
      </c>
      <c r="H945" s="3">
        <f>IF(AND('Data Source'!B945&lt;&gt;"",'Data Source'!S945="A+"),IF('Data Source'!Z945&gt;=5,"A+",IF('Data Source'!Z945&gt;=4,"A",IF('Data Source'!Z945&gt;=3.5,"A-",IF('Data Source'!Z945&gt;=3,"B",IF('Data Source'!Z945&gt;=2,"C",IF('Data Source'!Z945&gt;=1,"D","F")))))),"")</f>
        <v/>
      </c>
      <c r="I945" s="3">
        <f>IF(AND('Data Source'!B945&lt;&gt;"",'Data Source'!S945="A+"),IF('Data Source'!AA945&gt;=5,"A+",IF('Data Source'!AA945&gt;=4,"A",IF('Data Source'!AA945&gt;=3.5,"A-",IF('Data Source'!AA945&gt;=3,"B",IF('Data Source'!AA945&gt;=2,"C",IF('Data Source'!AA945&gt;=1,"D","F")))))),"")</f>
        <v/>
      </c>
      <c r="J945" s="3">
        <f>IF(AND('Data Source'!B945&lt;&gt;"",'Data Source'!S945="A+"),IF('Data Source'!AB945&gt;=5,"A+",IF('Data Source'!AB945&gt;=4,"A",IF('Data Source'!AB945&gt;=3.5,"A-",IF('Data Source'!AB945&gt;=3,"B",IF('Data Source'!AB945&gt;=2,"C",IF('Data Source'!AB945&gt;=1,"D","F")))))),"")</f>
        <v/>
      </c>
      <c r="K945" s="3">
        <f>IF(AND('Data Source'!B945&lt;&gt;"",'Data Source'!S945="A+"),IF('Data Source'!AC945&gt;=5,"A+",IF('Data Source'!AC945&gt;=4,"A",IF('Data Source'!AC945&gt;=3.5,"A-",IF('Data Source'!AC945&gt;=3,"B",IF('Data Source'!AC945&gt;=2,"C",IF('Data Source'!AC945&gt;=1,"D","F")))))),"")</f>
        <v/>
      </c>
      <c r="L945" s="3">
        <f>IF(AND('Data Source'!B945&lt;&gt;"",'Data Source'!S945="A+"),IF('Data Source'!AD945&gt;=5,"A+",IF('Data Source'!AD945&gt;=4,"A",IF('Data Source'!AD945&gt;=3.5,"A-",IF('Data Source'!AD945&gt;=3,"B",IF('Data Source'!AD945&gt;=2,"C",IF('Data Source'!AD945&gt;=1,"D","F")))))),"")</f>
        <v/>
      </c>
      <c r="M945" s="3">
        <f>IF(AND('Data Source'!B945&lt;&gt;"",'Data Source'!S945="A+"),IF('Data Source'!AE945&gt;=5,"A+",IF('Data Source'!AE945&gt;=4,"A",IF('Data Source'!AE945&gt;=3.5,"A-",IF('Data Source'!AE945&gt;=3,"B",IF('Data Source'!AE945&gt;=2,"C",IF('Data Source'!AE945&gt;=1,"D","F")))))),"")</f>
        <v/>
      </c>
      <c r="N945" s="3">
        <f>IF(AND('Data Source'!B945&lt;&gt;"",'Data Source'!S945="A+"),IF('Data Source'!AF945&gt;=5,"A+",IF('Data Source'!AF945&gt;=4,"A",IF('Data Source'!AF945&gt;=3.5,"A-",IF('Data Source'!AF945&gt;=3,"B",IF('Data Source'!AF945&gt;=2,"C",IF('Data Source'!AF945&gt;=1,"D","F")))))),"")</f>
        <v/>
      </c>
      <c r="O945" s="3">
        <f>IF(AND('Data Source'!B945&lt;&gt;"",'Data Source'!S945="A+"),IF('Data Source'!AG945&gt;=5,"A+",IF('Data Source'!AG945&gt;=4,"A",IF('Data Source'!AG945&gt;=3.5,"A-",IF('Data Source'!AG945&gt;=3,"B",IF('Data Source'!AG945&gt;=2,"C",IF('Data Source'!AG945&gt;=1,"D","F")))))),"")</f>
        <v/>
      </c>
      <c r="P945" s="5">
        <f>IF(AND('Data Source'!B945&lt;&gt;"",'Data Source'!S945="A+"),'Data Source'!R945,"")</f>
        <v/>
      </c>
      <c r="Q945" s="3">
        <f>IF(AND('Data Source'!B945&lt;&gt;"",'Data Source'!S945="A+"),'Data Source'!S945,"")</f>
        <v/>
      </c>
    </row>
    <row r="946">
      <c r="A946" s="3">
        <f>IF(AND('Data Source'!B946&lt;&gt;"",'Data Source'!S946="A+"),COUNTIF('Data Source'!$S$3:S946,"A+"),"")</f>
        <v/>
      </c>
      <c r="B946">
        <f>IF(AND('Data Source'!B946&lt;&gt;"",'Data Source'!S946="A+"),'Data Source'!B946,"")</f>
        <v/>
      </c>
      <c r="C946" s="3">
        <f>IF(AND('Data Source'!B946&lt;&gt;"",'Data Source'!S946="A+"),IF('Data Source'!U946&gt;=5,"A+",IF('Data Source'!U946&gt;=4,"A",IF('Data Source'!U946&gt;=3.5,"A-",IF('Data Source'!U946&gt;=3,"B",IF('Data Source'!U946&gt;=2,"C",IF('Data Source'!U946&gt;=1,"D","F")))))),"")</f>
        <v/>
      </c>
      <c r="D946" s="3">
        <f>IF(AND('Data Source'!B946&lt;&gt;"",'Data Source'!S946="A+"),IF('Data Source'!V946&gt;=5,"A+",IF('Data Source'!V946&gt;=4,"A",IF('Data Source'!V946&gt;=3.5,"A-",IF('Data Source'!V946&gt;=3,"B",IF('Data Source'!V946&gt;=2,"C",IF('Data Source'!V946&gt;=1,"D","F")))))),"")</f>
        <v/>
      </c>
      <c r="E946" s="3">
        <f>IF(AND('Data Source'!B946&lt;&gt;"",'Data Source'!S946="A+"),IF('Data Source'!W946&gt;=5,"A+",IF('Data Source'!W946&gt;=4,"A",IF('Data Source'!W946&gt;=3.5,"A-",IF('Data Source'!W946&gt;=3,"B",IF('Data Source'!W946&gt;=2,"C",IF('Data Source'!W946&gt;=1,"D","F")))))),"")</f>
        <v/>
      </c>
      <c r="F946" s="3">
        <f>IF(AND('Data Source'!B946&lt;&gt;"",'Data Source'!S946="A+"),IF('Data Source'!X946&gt;=5,"A+",IF('Data Source'!X946&gt;=4,"A",IF('Data Source'!X946&gt;=3.5,"A-",IF('Data Source'!X946&gt;=3,"B",IF('Data Source'!X946&gt;=2,"C",IF('Data Source'!X946&gt;=1,"D","F")))))),"")</f>
        <v/>
      </c>
      <c r="G946" s="3">
        <f>IF(AND('Data Source'!B946&lt;&gt;"",'Data Source'!S946="A+"),IF('Data Source'!Y946&gt;=5,"A+",IF('Data Source'!Y946&gt;=4,"A",IF('Data Source'!Y946&gt;=3.5,"A-",IF('Data Source'!Y946&gt;=3,"B",IF('Data Source'!Y946&gt;=2,"C",IF('Data Source'!Y946&gt;=1,"D","F")))))),"")</f>
        <v/>
      </c>
      <c r="H946" s="3">
        <f>IF(AND('Data Source'!B946&lt;&gt;"",'Data Source'!S946="A+"),IF('Data Source'!Z946&gt;=5,"A+",IF('Data Source'!Z946&gt;=4,"A",IF('Data Source'!Z946&gt;=3.5,"A-",IF('Data Source'!Z946&gt;=3,"B",IF('Data Source'!Z946&gt;=2,"C",IF('Data Source'!Z946&gt;=1,"D","F")))))),"")</f>
        <v/>
      </c>
      <c r="I946" s="3">
        <f>IF(AND('Data Source'!B946&lt;&gt;"",'Data Source'!S946="A+"),IF('Data Source'!AA946&gt;=5,"A+",IF('Data Source'!AA946&gt;=4,"A",IF('Data Source'!AA946&gt;=3.5,"A-",IF('Data Source'!AA946&gt;=3,"B",IF('Data Source'!AA946&gt;=2,"C",IF('Data Source'!AA946&gt;=1,"D","F")))))),"")</f>
        <v/>
      </c>
      <c r="J946" s="3">
        <f>IF(AND('Data Source'!B946&lt;&gt;"",'Data Source'!S946="A+"),IF('Data Source'!AB946&gt;=5,"A+",IF('Data Source'!AB946&gt;=4,"A",IF('Data Source'!AB946&gt;=3.5,"A-",IF('Data Source'!AB946&gt;=3,"B",IF('Data Source'!AB946&gt;=2,"C",IF('Data Source'!AB946&gt;=1,"D","F")))))),"")</f>
        <v/>
      </c>
      <c r="K946" s="3">
        <f>IF(AND('Data Source'!B946&lt;&gt;"",'Data Source'!S946="A+"),IF('Data Source'!AC946&gt;=5,"A+",IF('Data Source'!AC946&gt;=4,"A",IF('Data Source'!AC946&gt;=3.5,"A-",IF('Data Source'!AC946&gt;=3,"B",IF('Data Source'!AC946&gt;=2,"C",IF('Data Source'!AC946&gt;=1,"D","F")))))),"")</f>
        <v/>
      </c>
      <c r="L946" s="3">
        <f>IF(AND('Data Source'!B946&lt;&gt;"",'Data Source'!S946="A+"),IF('Data Source'!AD946&gt;=5,"A+",IF('Data Source'!AD946&gt;=4,"A",IF('Data Source'!AD946&gt;=3.5,"A-",IF('Data Source'!AD946&gt;=3,"B",IF('Data Source'!AD946&gt;=2,"C",IF('Data Source'!AD946&gt;=1,"D","F")))))),"")</f>
        <v/>
      </c>
      <c r="M946" s="3">
        <f>IF(AND('Data Source'!B946&lt;&gt;"",'Data Source'!S946="A+"),IF('Data Source'!AE946&gt;=5,"A+",IF('Data Source'!AE946&gt;=4,"A",IF('Data Source'!AE946&gt;=3.5,"A-",IF('Data Source'!AE946&gt;=3,"B",IF('Data Source'!AE946&gt;=2,"C",IF('Data Source'!AE946&gt;=1,"D","F")))))),"")</f>
        <v/>
      </c>
      <c r="N946" s="3">
        <f>IF(AND('Data Source'!B946&lt;&gt;"",'Data Source'!S946="A+"),IF('Data Source'!AF946&gt;=5,"A+",IF('Data Source'!AF946&gt;=4,"A",IF('Data Source'!AF946&gt;=3.5,"A-",IF('Data Source'!AF946&gt;=3,"B",IF('Data Source'!AF946&gt;=2,"C",IF('Data Source'!AF946&gt;=1,"D","F")))))),"")</f>
        <v/>
      </c>
      <c r="O946" s="3">
        <f>IF(AND('Data Source'!B946&lt;&gt;"",'Data Source'!S946="A+"),IF('Data Source'!AG946&gt;=5,"A+",IF('Data Source'!AG946&gt;=4,"A",IF('Data Source'!AG946&gt;=3.5,"A-",IF('Data Source'!AG946&gt;=3,"B",IF('Data Source'!AG946&gt;=2,"C",IF('Data Source'!AG946&gt;=1,"D","F")))))),"")</f>
        <v/>
      </c>
      <c r="P946" s="5">
        <f>IF(AND('Data Source'!B946&lt;&gt;"",'Data Source'!S946="A+"),'Data Source'!R946,"")</f>
        <v/>
      </c>
      <c r="Q946" s="3">
        <f>IF(AND('Data Source'!B946&lt;&gt;"",'Data Source'!S946="A+"),'Data Source'!S946,"")</f>
        <v/>
      </c>
    </row>
    <row r="947">
      <c r="A947" s="3">
        <f>IF(AND('Data Source'!B947&lt;&gt;"",'Data Source'!S947="A+"),COUNTIF('Data Source'!$S$3:S947,"A+"),"")</f>
        <v/>
      </c>
      <c r="B947">
        <f>IF(AND('Data Source'!B947&lt;&gt;"",'Data Source'!S947="A+"),'Data Source'!B947,"")</f>
        <v/>
      </c>
      <c r="C947" s="3">
        <f>IF(AND('Data Source'!B947&lt;&gt;"",'Data Source'!S947="A+"),IF('Data Source'!U947&gt;=5,"A+",IF('Data Source'!U947&gt;=4,"A",IF('Data Source'!U947&gt;=3.5,"A-",IF('Data Source'!U947&gt;=3,"B",IF('Data Source'!U947&gt;=2,"C",IF('Data Source'!U947&gt;=1,"D","F")))))),"")</f>
        <v/>
      </c>
      <c r="D947" s="3">
        <f>IF(AND('Data Source'!B947&lt;&gt;"",'Data Source'!S947="A+"),IF('Data Source'!V947&gt;=5,"A+",IF('Data Source'!V947&gt;=4,"A",IF('Data Source'!V947&gt;=3.5,"A-",IF('Data Source'!V947&gt;=3,"B",IF('Data Source'!V947&gt;=2,"C",IF('Data Source'!V947&gt;=1,"D","F")))))),"")</f>
        <v/>
      </c>
      <c r="E947" s="3">
        <f>IF(AND('Data Source'!B947&lt;&gt;"",'Data Source'!S947="A+"),IF('Data Source'!W947&gt;=5,"A+",IF('Data Source'!W947&gt;=4,"A",IF('Data Source'!W947&gt;=3.5,"A-",IF('Data Source'!W947&gt;=3,"B",IF('Data Source'!W947&gt;=2,"C",IF('Data Source'!W947&gt;=1,"D","F")))))),"")</f>
        <v/>
      </c>
      <c r="F947" s="3">
        <f>IF(AND('Data Source'!B947&lt;&gt;"",'Data Source'!S947="A+"),IF('Data Source'!X947&gt;=5,"A+",IF('Data Source'!X947&gt;=4,"A",IF('Data Source'!X947&gt;=3.5,"A-",IF('Data Source'!X947&gt;=3,"B",IF('Data Source'!X947&gt;=2,"C",IF('Data Source'!X947&gt;=1,"D","F")))))),"")</f>
        <v/>
      </c>
      <c r="G947" s="3">
        <f>IF(AND('Data Source'!B947&lt;&gt;"",'Data Source'!S947="A+"),IF('Data Source'!Y947&gt;=5,"A+",IF('Data Source'!Y947&gt;=4,"A",IF('Data Source'!Y947&gt;=3.5,"A-",IF('Data Source'!Y947&gt;=3,"B",IF('Data Source'!Y947&gt;=2,"C",IF('Data Source'!Y947&gt;=1,"D","F")))))),"")</f>
        <v/>
      </c>
      <c r="H947" s="3">
        <f>IF(AND('Data Source'!B947&lt;&gt;"",'Data Source'!S947="A+"),IF('Data Source'!Z947&gt;=5,"A+",IF('Data Source'!Z947&gt;=4,"A",IF('Data Source'!Z947&gt;=3.5,"A-",IF('Data Source'!Z947&gt;=3,"B",IF('Data Source'!Z947&gt;=2,"C",IF('Data Source'!Z947&gt;=1,"D","F")))))),"")</f>
        <v/>
      </c>
      <c r="I947" s="3">
        <f>IF(AND('Data Source'!B947&lt;&gt;"",'Data Source'!S947="A+"),IF('Data Source'!AA947&gt;=5,"A+",IF('Data Source'!AA947&gt;=4,"A",IF('Data Source'!AA947&gt;=3.5,"A-",IF('Data Source'!AA947&gt;=3,"B",IF('Data Source'!AA947&gt;=2,"C",IF('Data Source'!AA947&gt;=1,"D","F")))))),"")</f>
        <v/>
      </c>
      <c r="J947" s="3">
        <f>IF(AND('Data Source'!B947&lt;&gt;"",'Data Source'!S947="A+"),IF('Data Source'!AB947&gt;=5,"A+",IF('Data Source'!AB947&gt;=4,"A",IF('Data Source'!AB947&gt;=3.5,"A-",IF('Data Source'!AB947&gt;=3,"B",IF('Data Source'!AB947&gt;=2,"C",IF('Data Source'!AB947&gt;=1,"D","F")))))),"")</f>
        <v/>
      </c>
      <c r="K947" s="3">
        <f>IF(AND('Data Source'!B947&lt;&gt;"",'Data Source'!S947="A+"),IF('Data Source'!AC947&gt;=5,"A+",IF('Data Source'!AC947&gt;=4,"A",IF('Data Source'!AC947&gt;=3.5,"A-",IF('Data Source'!AC947&gt;=3,"B",IF('Data Source'!AC947&gt;=2,"C",IF('Data Source'!AC947&gt;=1,"D","F")))))),"")</f>
        <v/>
      </c>
      <c r="L947" s="3">
        <f>IF(AND('Data Source'!B947&lt;&gt;"",'Data Source'!S947="A+"),IF('Data Source'!AD947&gt;=5,"A+",IF('Data Source'!AD947&gt;=4,"A",IF('Data Source'!AD947&gt;=3.5,"A-",IF('Data Source'!AD947&gt;=3,"B",IF('Data Source'!AD947&gt;=2,"C",IF('Data Source'!AD947&gt;=1,"D","F")))))),"")</f>
        <v/>
      </c>
      <c r="M947" s="3">
        <f>IF(AND('Data Source'!B947&lt;&gt;"",'Data Source'!S947="A+"),IF('Data Source'!AE947&gt;=5,"A+",IF('Data Source'!AE947&gt;=4,"A",IF('Data Source'!AE947&gt;=3.5,"A-",IF('Data Source'!AE947&gt;=3,"B",IF('Data Source'!AE947&gt;=2,"C",IF('Data Source'!AE947&gt;=1,"D","F")))))),"")</f>
        <v/>
      </c>
      <c r="N947" s="3">
        <f>IF(AND('Data Source'!B947&lt;&gt;"",'Data Source'!S947="A+"),IF('Data Source'!AF947&gt;=5,"A+",IF('Data Source'!AF947&gt;=4,"A",IF('Data Source'!AF947&gt;=3.5,"A-",IF('Data Source'!AF947&gt;=3,"B",IF('Data Source'!AF947&gt;=2,"C",IF('Data Source'!AF947&gt;=1,"D","F")))))),"")</f>
        <v/>
      </c>
      <c r="O947" s="3">
        <f>IF(AND('Data Source'!B947&lt;&gt;"",'Data Source'!S947="A+"),IF('Data Source'!AG947&gt;=5,"A+",IF('Data Source'!AG947&gt;=4,"A",IF('Data Source'!AG947&gt;=3.5,"A-",IF('Data Source'!AG947&gt;=3,"B",IF('Data Source'!AG947&gt;=2,"C",IF('Data Source'!AG947&gt;=1,"D","F")))))),"")</f>
        <v/>
      </c>
      <c r="P947" s="5">
        <f>IF(AND('Data Source'!B947&lt;&gt;"",'Data Source'!S947="A+"),'Data Source'!R947,"")</f>
        <v/>
      </c>
      <c r="Q947" s="3">
        <f>IF(AND('Data Source'!B947&lt;&gt;"",'Data Source'!S947="A+"),'Data Source'!S947,"")</f>
        <v/>
      </c>
    </row>
    <row r="948">
      <c r="A948" s="3">
        <f>IF(AND('Data Source'!B948&lt;&gt;"",'Data Source'!S948="A+"),COUNTIF('Data Source'!$S$3:S948,"A+"),"")</f>
        <v/>
      </c>
      <c r="B948">
        <f>IF(AND('Data Source'!B948&lt;&gt;"",'Data Source'!S948="A+"),'Data Source'!B948,"")</f>
        <v/>
      </c>
      <c r="C948" s="3">
        <f>IF(AND('Data Source'!B948&lt;&gt;"",'Data Source'!S948="A+"),IF('Data Source'!U948&gt;=5,"A+",IF('Data Source'!U948&gt;=4,"A",IF('Data Source'!U948&gt;=3.5,"A-",IF('Data Source'!U948&gt;=3,"B",IF('Data Source'!U948&gt;=2,"C",IF('Data Source'!U948&gt;=1,"D","F")))))),"")</f>
        <v/>
      </c>
      <c r="D948" s="3">
        <f>IF(AND('Data Source'!B948&lt;&gt;"",'Data Source'!S948="A+"),IF('Data Source'!V948&gt;=5,"A+",IF('Data Source'!V948&gt;=4,"A",IF('Data Source'!V948&gt;=3.5,"A-",IF('Data Source'!V948&gt;=3,"B",IF('Data Source'!V948&gt;=2,"C",IF('Data Source'!V948&gt;=1,"D","F")))))),"")</f>
        <v/>
      </c>
      <c r="E948" s="3">
        <f>IF(AND('Data Source'!B948&lt;&gt;"",'Data Source'!S948="A+"),IF('Data Source'!W948&gt;=5,"A+",IF('Data Source'!W948&gt;=4,"A",IF('Data Source'!W948&gt;=3.5,"A-",IF('Data Source'!W948&gt;=3,"B",IF('Data Source'!W948&gt;=2,"C",IF('Data Source'!W948&gt;=1,"D","F")))))),"")</f>
        <v/>
      </c>
      <c r="F948" s="3">
        <f>IF(AND('Data Source'!B948&lt;&gt;"",'Data Source'!S948="A+"),IF('Data Source'!X948&gt;=5,"A+",IF('Data Source'!X948&gt;=4,"A",IF('Data Source'!X948&gt;=3.5,"A-",IF('Data Source'!X948&gt;=3,"B",IF('Data Source'!X948&gt;=2,"C",IF('Data Source'!X948&gt;=1,"D","F")))))),"")</f>
        <v/>
      </c>
      <c r="G948" s="3">
        <f>IF(AND('Data Source'!B948&lt;&gt;"",'Data Source'!S948="A+"),IF('Data Source'!Y948&gt;=5,"A+",IF('Data Source'!Y948&gt;=4,"A",IF('Data Source'!Y948&gt;=3.5,"A-",IF('Data Source'!Y948&gt;=3,"B",IF('Data Source'!Y948&gt;=2,"C",IF('Data Source'!Y948&gt;=1,"D","F")))))),"")</f>
        <v/>
      </c>
      <c r="H948" s="3">
        <f>IF(AND('Data Source'!B948&lt;&gt;"",'Data Source'!S948="A+"),IF('Data Source'!Z948&gt;=5,"A+",IF('Data Source'!Z948&gt;=4,"A",IF('Data Source'!Z948&gt;=3.5,"A-",IF('Data Source'!Z948&gt;=3,"B",IF('Data Source'!Z948&gt;=2,"C",IF('Data Source'!Z948&gt;=1,"D","F")))))),"")</f>
        <v/>
      </c>
      <c r="I948" s="3">
        <f>IF(AND('Data Source'!B948&lt;&gt;"",'Data Source'!S948="A+"),IF('Data Source'!AA948&gt;=5,"A+",IF('Data Source'!AA948&gt;=4,"A",IF('Data Source'!AA948&gt;=3.5,"A-",IF('Data Source'!AA948&gt;=3,"B",IF('Data Source'!AA948&gt;=2,"C",IF('Data Source'!AA948&gt;=1,"D","F")))))),"")</f>
        <v/>
      </c>
      <c r="J948" s="3">
        <f>IF(AND('Data Source'!B948&lt;&gt;"",'Data Source'!S948="A+"),IF('Data Source'!AB948&gt;=5,"A+",IF('Data Source'!AB948&gt;=4,"A",IF('Data Source'!AB948&gt;=3.5,"A-",IF('Data Source'!AB948&gt;=3,"B",IF('Data Source'!AB948&gt;=2,"C",IF('Data Source'!AB948&gt;=1,"D","F")))))),"")</f>
        <v/>
      </c>
      <c r="K948" s="3">
        <f>IF(AND('Data Source'!B948&lt;&gt;"",'Data Source'!S948="A+"),IF('Data Source'!AC948&gt;=5,"A+",IF('Data Source'!AC948&gt;=4,"A",IF('Data Source'!AC948&gt;=3.5,"A-",IF('Data Source'!AC948&gt;=3,"B",IF('Data Source'!AC948&gt;=2,"C",IF('Data Source'!AC948&gt;=1,"D","F")))))),"")</f>
        <v/>
      </c>
      <c r="L948" s="3">
        <f>IF(AND('Data Source'!B948&lt;&gt;"",'Data Source'!S948="A+"),IF('Data Source'!AD948&gt;=5,"A+",IF('Data Source'!AD948&gt;=4,"A",IF('Data Source'!AD948&gt;=3.5,"A-",IF('Data Source'!AD948&gt;=3,"B",IF('Data Source'!AD948&gt;=2,"C",IF('Data Source'!AD948&gt;=1,"D","F")))))),"")</f>
        <v/>
      </c>
      <c r="M948" s="3">
        <f>IF(AND('Data Source'!B948&lt;&gt;"",'Data Source'!S948="A+"),IF('Data Source'!AE948&gt;=5,"A+",IF('Data Source'!AE948&gt;=4,"A",IF('Data Source'!AE948&gt;=3.5,"A-",IF('Data Source'!AE948&gt;=3,"B",IF('Data Source'!AE948&gt;=2,"C",IF('Data Source'!AE948&gt;=1,"D","F")))))),"")</f>
        <v/>
      </c>
      <c r="N948" s="3">
        <f>IF(AND('Data Source'!B948&lt;&gt;"",'Data Source'!S948="A+"),IF('Data Source'!AF948&gt;=5,"A+",IF('Data Source'!AF948&gt;=4,"A",IF('Data Source'!AF948&gt;=3.5,"A-",IF('Data Source'!AF948&gt;=3,"B",IF('Data Source'!AF948&gt;=2,"C",IF('Data Source'!AF948&gt;=1,"D","F")))))),"")</f>
        <v/>
      </c>
      <c r="O948" s="3">
        <f>IF(AND('Data Source'!B948&lt;&gt;"",'Data Source'!S948="A+"),IF('Data Source'!AG948&gt;=5,"A+",IF('Data Source'!AG948&gt;=4,"A",IF('Data Source'!AG948&gt;=3.5,"A-",IF('Data Source'!AG948&gt;=3,"B",IF('Data Source'!AG948&gt;=2,"C",IF('Data Source'!AG948&gt;=1,"D","F")))))),"")</f>
        <v/>
      </c>
      <c r="P948" s="5">
        <f>IF(AND('Data Source'!B948&lt;&gt;"",'Data Source'!S948="A+"),'Data Source'!R948,"")</f>
        <v/>
      </c>
      <c r="Q948" s="3">
        <f>IF(AND('Data Source'!B948&lt;&gt;"",'Data Source'!S948="A+"),'Data Source'!S948,"")</f>
        <v/>
      </c>
    </row>
    <row r="949">
      <c r="A949" s="3">
        <f>IF(AND('Data Source'!B949&lt;&gt;"",'Data Source'!S949="A+"),COUNTIF('Data Source'!$S$3:S949,"A+"),"")</f>
        <v/>
      </c>
      <c r="B949">
        <f>IF(AND('Data Source'!B949&lt;&gt;"",'Data Source'!S949="A+"),'Data Source'!B949,"")</f>
        <v/>
      </c>
      <c r="C949" s="3">
        <f>IF(AND('Data Source'!B949&lt;&gt;"",'Data Source'!S949="A+"),IF('Data Source'!U949&gt;=5,"A+",IF('Data Source'!U949&gt;=4,"A",IF('Data Source'!U949&gt;=3.5,"A-",IF('Data Source'!U949&gt;=3,"B",IF('Data Source'!U949&gt;=2,"C",IF('Data Source'!U949&gt;=1,"D","F")))))),"")</f>
        <v/>
      </c>
      <c r="D949" s="3">
        <f>IF(AND('Data Source'!B949&lt;&gt;"",'Data Source'!S949="A+"),IF('Data Source'!V949&gt;=5,"A+",IF('Data Source'!V949&gt;=4,"A",IF('Data Source'!V949&gt;=3.5,"A-",IF('Data Source'!V949&gt;=3,"B",IF('Data Source'!V949&gt;=2,"C",IF('Data Source'!V949&gt;=1,"D","F")))))),"")</f>
        <v/>
      </c>
      <c r="E949" s="3">
        <f>IF(AND('Data Source'!B949&lt;&gt;"",'Data Source'!S949="A+"),IF('Data Source'!W949&gt;=5,"A+",IF('Data Source'!W949&gt;=4,"A",IF('Data Source'!W949&gt;=3.5,"A-",IF('Data Source'!W949&gt;=3,"B",IF('Data Source'!W949&gt;=2,"C",IF('Data Source'!W949&gt;=1,"D","F")))))),"")</f>
        <v/>
      </c>
      <c r="F949" s="3">
        <f>IF(AND('Data Source'!B949&lt;&gt;"",'Data Source'!S949="A+"),IF('Data Source'!X949&gt;=5,"A+",IF('Data Source'!X949&gt;=4,"A",IF('Data Source'!X949&gt;=3.5,"A-",IF('Data Source'!X949&gt;=3,"B",IF('Data Source'!X949&gt;=2,"C",IF('Data Source'!X949&gt;=1,"D","F")))))),"")</f>
        <v/>
      </c>
      <c r="G949" s="3">
        <f>IF(AND('Data Source'!B949&lt;&gt;"",'Data Source'!S949="A+"),IF('Data Source'!Y949&gt;=5,"A+",IF('Data Source'!Y949&gt;=4,"A",IF('Data Source'!Y949&gt;=3.5,"A-",IF('Data Source'!Y949&gt;=3,"B",IF('Data Source'!Y949&gt;=2,"C",IF('Data Source'!Y949&gt;=1,"D","F")))))),"")</f>
        <v/>
      </c>
      <c r="H949" s="3">
        <f>IF(AND('Data Source'!B949&lt;&gt;"",'Data Source'!S949="A+"),IF('Data Source'!Z949&gt;=5,"A+",IF('Data Source'!Z949&gt;=4,"A",IF('Data Source'!Z949&gt;=3.5,"A-",IF('Data Source'!Z949&gt;=3,"B",IF('Data Source'!Z949&gt;=2,"C",IF('Data Source'!Z949&gt;=1,"D","F")))))),"")</f>
        <v/>
      </c>
      <c r="I949" s="3">
        <f>IF(AND('Data Source'!B949&lt;&gt;"",'Data Source'!S949="A+"),IF('Data Source'!AA949&gt;=5,"A+",IF('Data Source'!AA949&gt;=4,"A",IF('Data Source'!AA949&gt;=3.5,"A-",IF('Data Source'!AA949&gt;=3,"B",IF('Data Source'!AA949&gt;=2,"C",IF('Data Source'!AA949&gt;=1,"D","F")))))),"")</f>
        <v/>
      </c>
      <c r="J949" s="3">
        <f>IF(AND('Data Source'!B949&lt;&gt;"",'Data Source'!S949="A+"),IF('Data Source'!AB949&gt;=5,"A+",IF('Data Source'!AB949&gt;=4,"A",IF('Data Source'!AB949&gt;=3.5,"A-",IF('Data Source'!AB949&gt;=3,"B",IF('Data Source'!AB949&gt;=2,"C",IF('Data Source'!AB949&gt;=1,"D","F")))))),"")</f>
        <v/>
      </c>
      <c r="K949" s="3">
        <f>IF(AND('Data Source'!B949&lt;&gt;"",'Data Source'!S949="A+"),IF('Data Source'!AC949&gt;=5,"A+",IF('Data Source'!AC949&gt;=4,"A",IF('Data Source'!AC949&gt;=3.5,"A-",IF('Data Source'!AC949&gt;=3,"B",IF('Data Source'!AC949&gt;=2,"C",IF('Data Source'!AC949&gt;=1,"D","F")))))),"")</f>
        <v/>
      </c>
      <c r="L949" s="3">
        <f>IF(AND('Data Source'!B949&lt;&gt;"",'Data Source'!S949="A+"),IF('Data Source'!AD949&gt;=5,"A+",IF('Data Source'!AD949&gt;=4,"A",IF('Data Source'!AD949&gt;=3.5,"A-",IF('Data Source'!AD949&gt;=3,"B",IF('Data Source'!AD949&gt;=2,"C",IF('Data Source'!AD949&gt;=1,"D","F")))))),"")</f>
        <v/>
      </c>
      <c r="M949" s="3">
        <f>IF(AND('Data Source'!B949&lt;&gt;"",'Data Source'!S949="A+"),IF('Data Source'!AE949&gt;=5,"A+",IF('Data Source'!AE949&gt;=4,"A",IF('Data Source'!AE949&gt;=3.5,"A-",IF('Data Source'!AE949&gt;=3,"B",IF('Data Source'!AE949&gt;=2,"C",IF('Data Source'!AE949&gt;=1,"D","F")))))),"")</f>
        <v/>
      </c>
      <c r="N949" s="3">
        <f>IF(AND('Data Source'!B949&lt;&gt;"",'Data Source'!S949="A+"),IF('Data Source'!AF949&gt;=5,"A+",IF('Data Source'!AF949&gt;=4,"A",IF('Data Source'!AF949&gt;=3.5,"A-",IF('Data Source'!AF949&gt;=3,"B",IF('Data Source'!AF949&gt;=2,"C",IF('Data Source'!AF949&gt;=1,"D","F")))))),"")</f>
        <v/>
      </c>
      <c r="O949" s="3">
        <f>IF(AND('Data Source'!B949&lt;&gt;"",'Data Source'!S949="A+"),IF('Data Source'!AG949&gt;=5,"A+",IF('Data Source'!AG949&gt;=4,"A",IF('Data Source'!AG949&gt;=3.5,"A-",IF('Data Source'!AG949&gt;=3,"B",IF('Data Source'!AG949&gt;=2,"C",IF('Data Source'!AG949&gt;=1,"D","F")))))),"")</f>
        <v/>
      </c>
      <c r="P949" s="5">
        <f>IF(AND('Data Source'!B949&lt;&gt;"",'Data Source'!S949="A+"),'Data Source'!R949,"")</f>
        <v/>
      </c>
      <c r="Q949" s="3">
        <f>IF(AND('Data Source'!B949&lt;&gt;"",'Data Source'!S949="A+"),'Data Source'!S949,"")</f>
        <v/>
      </c>
    </row>
    <row r="950">
      <c r="A950" s="3">
        <f>IF(AND('Data Source'!B950&lt;&gt;"",'Data Source'!S950="A+"),COUNTIF('Data Source'!$S$3:S950,"A+"),"")</f>
        <v/>
      </c>
      <c r="B950">
        <f>IF(AND('Data Source'!B950&lt;&gt;"",'Data Source'!S950="A+"),'Data Source'!B950,"")</f>
        <v/>
      </c>
      <c r="C950" s="3">
        <f>IF(AND('Data Source'!B950&lt;&gt;"",'Data Source'!S950="A+"),IF('Data Source'!U950&gt;=5,"A+",IF('Data Source'!U950&gt;=4,"A",IF('Data Source'!U950&gt;=3.5,"A-",IF('Data Source'!U950&gt;=3,"B",IF('Data Source'!U950&gt;=2,"C",IF('Data Source'!U950&gt;=1,"D","F")))))),"")</f>
        <v/>
      </c>
      <c r="D950" s="3">
        <f>IF(AND('Data Source'!B950&lt;&gt;"",'Data Source'!S950="A+"),IF('Data Source'!V950&gt;=5,"A+",IF('Data Source'!V950&gt;=4,"A",IF('Data Source'!V950&gt;=3.5,"A-",IF('Data Source'!V950&gt;=3,"B",IF('Data Source'!V950&gt;=2,"C",IF('Data Source'!V950&gt;=1,"D","F")))))),"")</f>
        <v/>
      </c>
      <c r="E950" s="3">
        <f>IF(AND('Data Source'!B950&lt;&gt;"",'Data Source'!S950="A+"),IF('Data Source'!W950&gt;=5,"A+",IF('Data Source'!W950&gt;=4,"A",IF('Data Source'!W950&gt;=3.5,"A-",IF('Data Source'!W950&gt;=3,"B",IF('Data Source'!W950&gt;=2,"C",IF('Data Source'!W950&gt;=1,"D","F")))))),"")</f>
        <v/>
      </c>
      <c r="F950" s="3">
        <f>IF(AND('Data Source'!B950&lt;&gt;"",'Data Source'!S950="A+"),IF('Data Source'!X950&gt;=5,"A+",IF('Data Source'!X950&gt;=4,"A",IF('Data Source'!X950&gt;=3.5,"A-",IF('Data Source'!X950&gt;=3,"B",IF('Data Source'!X950&gt;=2,"C",IF('Data Source'!X950&gt;=1,"D","F")))))),"")</f>
        <v/>
      </c>
      <c r="G950" s="3">
        <f>IF(AND('Data Source'!B950&lt;&gt;"",'Data Source'!S950="A+"),IF('Data Source'!Y950&gt;=5,"A+",IF('Data Source'!Y950&gt;=4,"A",IF('Data Source'!Y950&gt;=3.5,"A-",IF('Data Source'!Y950&gt;=3,"B",IF('Data Source'!Y950&gt;=2,"C",IF('Data Source'!Y950&gt;=1,"D","F")))))),"")</f>
        <v/>
      </c>
      <c r="H950" s="3">
        <f>IF(AND('Data Source'!B950&lt;&gt;"",'Data Source'!S950="A+"),IF('Data Source'!Z950&gt;=5,"A+",IF('Data Source'!Z950&gt;=4,"A",IF('Data Source'!Z950&gt;=3.5,"A-",IF('Data Source'!Z950&gt;=3,"B",IF('Data Source'!Z950&gt;=2,"C",IF('Data Source'!Z950&gt;=1,"D","F")))))),"")</f>
        <v/>
      </c>
      <c r="I950" s="3">
        <f>IF(AND('Data Source'!B950&lt;&gt;"",'Data Source'!S950="A+"),IF('Data Source'!AA950&gt;=5,"A+",IF('Data Source'!AA950&gt;=4,"A",IF('Data Source'!AA950&gt;=3.5,"A-",IF('Data Source'!AA950&gt;=3,"B",IF('Data Source'!AA950&gt;=2,"C",IF('Data Source'!AA950&gt;=1,"D","F")))))),"")</f>
        <v/>
      </c>
      <c r="J950" s="3">
        <f>IF(AND('Data Source'!B950&lt;&gt;"",'Data Source'!S950="A+"),IF('Data Source'!AB950&gt;=5,"A+",IF('Data Source'!AB950&gt;=4,"A",IF('Data Source'!AB950&gt;=3.5,"A-",IF('Data Source'!AB950&gt;=3,"B",IF('Data Source'!AB950&gt;=2,"C",IF('Data Source'!AB950&gt;=1,"D","F")))))),"")</f>
        <v/>
      </c>
      <c r="K950" s="3">
        <f>IF(AND('Data Source'!B950&lt;&gt;"",'Data Source'!S950="A+"),IF('Data Source'!AC950&gt;=5,"A+",IF('Data Source'!AC950&gt;=4,"A",IF('Data Source'!AC950&gt;=3.5,"A-",IF('Data Source'!AC950&gt;=3,"B",IF('Data Source'!AC950&gt;=2,"C",IF('Data Source'!AC950&gt;=1,"D","F")))))),"")</f>
        <v/>
      </c>
      <c r="L950" s="3">
        <f>IF(AND('Data Source'!B950&lt;&gt;"",'Data Source'!S950="A+"),IF('Data Source'!AD950&gt;=5,"A+",IF('Data Source'!AD950&gt;=4,"A",IF('Data Source'!AD950&gt;=3.5,"A-",IF('Data Source'!AD950&gt;=3,"B",IF('Data Source'!AD950&gt;=2,"C",IF('Data Source'!AD950&gt;=1,"D","F")))))),"")</f>
        <v/>
      </c>
      <c r="M950" s="3">
        <f>IF(AND('Data Source'!B950&lt;&gt;"",'Data Source'!S950="A+"),IF('Data Source'!AE950&gt;=5,"A+",IF('Data Source'!AE950&gt;=4,"A",IF('Data Source'!AE950&gt;=3.5,"A-",IF('Data Source'!AE950&gt;=3,"B",IF('Data Source'!AE950&gt;=2,"C",IF('Data Source'!AE950&gt;=1,"D","F")))))),"")</f>
        <v/>
      </c>
      <c r="N950" s="3">
        <f>IF(AND('Data Source'!B950&lt;&gt;"",'Data Source'!S950="A+"),IF('Data Source'!AF950&gt;=5,"A+",IF('Data Source'!AF950&gt;=4,"A",IF('Data Source'!AF950&gt;=3.5,"A-",IF('Data Source'!AF950&gt;=3,"B",IF('Data Source'!AF950&gt;=2,"C",IF('Data Source'!AF950&gt;=1,"D","F")))))),"")</f>
        <v/>
      </c>
      <c r="O950" s="3">
        <f>IF(AND('Data Source'!B950&lt;&gt;"",'Data Source'!S950="A+"),IF('Data Source'!AG950&gt;=5,"A+",IF('Data Source'!AG950&gt;=4,"A",IF('Data Source'!AG950&gt;=3.5,"A-",IF('Data Source'!AG950&gt;=3,"B",IF('Data Source'!AG950&gt;=2,"C",IF('Data Source'!AG950&gt;=1,"D","F")))))),"")</f>
        <v/>
      </c>
      <c r="P950" s="5">
        <f>IF(AND('Data Source'!B950&lt;&gt;"",'Data Source'!S950="A+"),'Data Source'!R950,"")</f>
        <v/>
      </c>
      <c r="Q950" s="3">
        <f>IF(AND('Data Source'!B950&lt;&gt;"",'Data Source'!S950="A+"),'Data Source'!S950,"")</f>
        <v/>
      </c>
    </row>
    <row r="951">
      <c r="A951" s="3">
        <f>IF(AND('Data Source'!B951&lt;&gt;"",'Data Source'!S951="A+"),COUNTIF('Data Source'!$S$3:S951,"A+"),"")</f>
        <v/>
      </c>
      <c r="B951">
        <f>IF(AND('Data Source'!B951&lt;&gt;"",'Data Source'!S951="A+"),'Data Source'!B951,"")</f>
        <v/>
      </c>
      <c r="C951" s="3">
        <f>IF(AND('Data Source'!B951&lt;&gt;"",'Data Source'!S951="A+"),IF('Data Source'!U951&gt;=5,"A+",IF('Data Source'!U951&gt;=4,"A",IF('Data Source'!U951&gt;=3.5,"A-",IF('Data Source'!U951&gt;=3,"B",IF('Data Source'!U951&gt;=2,"C",IF('Data Source'!U951&gt;=1,"D","F")))))),"")</f>
        <v/>
      </c>
      <c r="D951" s="3">
        <f>IF(AND('Data Source'!B951&lt;&gt;"",'Data Source'!S951="A+"),IF('Data Source'!V951&gt;=5,"A+",IF('Data Source'!V951&gt;=4,"A",IF('Data Source'!V951&gt;=3.5,"A-",IF('Data Source'!V951&gt;=3,"B",IF('Data Source'!V951&gt;=2,"C",IF('Data Source'!V951&gt;=1,"D","F")))))),"")</f>
        <v/>
      </c>
      <c r="E951" s="3">
        <f>IF(AND('Data Source'!B951&lt;&gt;"",'Data Source'!S951="A+"),IF('Data Source'!W951&gt;=5,"A+",IF('Data Source'!W951&gt;=4,"A",IF('Data Source'!W951&gt;=3.5,"A-",IF('Data Source'!W951&gt;=3,"B",IF('Data Source'!W951&gt;=2,"C",IF('Data Source'!W951&gt;=1,"D","F")))))),"")</f>
        <v/>
      </c>
      <c r="F951" s="3">
        <f>IF(AND('Data Source'!B951&lt;&gt;"",'Data Source'!S951="A+"),IF('Data Source'!X951&gt;=5,"A+",IF('Data Source'!X951&gt;=4,"A",IF('Data Source'!X951&gt;=3.5,"A-",IF('Data Source'!X951&gt;=3,"B",IF('Data Source'!X951&gt;=2,"C",IF('Data Source'!X951&gt;=1,"D","F")))))),"")</f>
        <v/>
      </c>
      <c r="G951" s="3">
        <f>IF(AND('Data Source'!B951&lt;&gt;"",'Data Source'!S951="A+"),IF('Data Source'!Y951&gt;=5,"A+",IF('Data Source'!Y951&gt;=4,"A",IF('Data Source'!Y951&gt;=3.5,"A-",IF('Data Source'!Y951&gt;=3,"B",IF('Data Source'!Y951&gt;=2,"C",IF('Data Source'!Y951&gt;=1,"D","F")))))),"")</f>
        <v/>
      </c>
      <c r="H951" s="3">
        <f>IF(AND('Data Source'!B951&lt;&gt;"",'Data Source'!S951="A+"),IF('Data Source'!Z951&gt;=5,"A+",IF('Data Source'!Z951&gt;=4,"A",IF('Data Source'!Z951&gt;=3.5,"A-",IF('Data Source'!Z951&gt;=3,"B",IF('Data Source'!Z951&gt;=2,"C",IF('Data Source'!Z951&gt;=1,"D","F")))))),"")</f>
        <v/>
      </c>
      <c r="I951" s="3">
        <f>IF(AND('Data Source'!B951&lt;&gt;"",'Data Source'!S951="A+"),IF('Data Source'!AA951&gt;=5,"A+",IF('Data Source'!AA951&gt;=4,"A",IF('Data Source'!AA951&gt;=3.5,"A-",IF('Data Source'!AA951&gt;=3,"B",IF('Data Source'!AA951&gt;=2,"C",IF('Data Source'!AA951&gt;=1,"D","F")))))),"")</f>
        <v/>
      </c>
      <c r="J951" s="3">
        <f>IF(AND('Data Source'!B951&lt;&gt;"",'Data Source'!S951="A+"),IF('Data Source'!AB951&gt;=5,"A+",IF('Data Source'!AB951&gt;=4,"A",IF('Data Source'!AB951&gt;=3.5,"A-",IF('Data Source'!AB951&gt;=3,"B",IF('Data Source'!AB951&gt;=2,"C",IF('Data Source'!AB951&gt;=1,"D","F")))))),"")</f>
        <v/>
      </c>
      <c r="K951" s="3">
        <f>IF(AND('Data Source'!B951&lt;&gt;"",'Data Source'!S951="A+"),IF('Data Source'!AC951&gt;=5,"A+",IF('Data Source'!AC951&gt;=4,"A",IF('Data Source'!AC951&gt;=3.5,"A-",IF('Data Source'!AC951&gt;=3,"B",IF('Data Source'!AC951&gt;=2,"C",IF('Data Source'!AC951&gt;=1,"D","F")))))),"")</f>
        <v/>
      </c>
      <c r="L951" s="3">
        <f>IF(AND('Data Source'!B951&lt;&gt;"",'Data Source'!S951="A+"),IF('Data Source'!AD951&gt;=5,"A+",IF('Data Source'!AD951&gt;=4,"A",IF('Data Source'!AD951&gt;=3.5,"A-",IF('Data Source'!AD951&gt;=3,"B",IF('Data Source'!AD951&gt;=2,"C",IF('Data Source'!AD951&gt;=1,"D","F")))))),"")</f>
        <v/>
      </c>
      <c r="M951" s="3">
        <f>IF(AND('Data Source'!B951&lt;&gt;"",'Data Source'!S951="A+"),IF('Data Source'!AE951&gt;=5,"A+",IF('Data Source'!AE951&gt;=4,"A",IF('Data Source'!AE951&gt;=3.5,"A-",IF('Data Source'!AE951&gt;=3,"B",IF('Data Source'!AE951&gt;=2,"C",IF('Data Source'!AE951&gt;=1,"D","F")))))),"")</f>
        <v/>
      </c>
      <c r="N951" s="3">
        <f>IF(AND('Data Source'!B951&lt;&gt;"",'Data Source'!S951="A+"),IF('Data Source'!AF951&gt;=5,"A+",IF('Data Source'!AF951&gt;=4,"A",IF('Data Source'!AF951&gt;=3.5,"A-",IF('Data Source'!AF951&gt;=3,"B",IF('Data Source'!AF951&gt;=2,"C",IF('Data Source'!AF951&gt;=1,"D","F")))))),"")</f>
        <v/>
      </c>
      <c r="O951" s="3">
        <f>IF(AND('Data Source'!B951&lt;&gt;"",'Data Source'!S951="A+"),IF('Data Source'!AG951&gt;=5,"A+",IF('Data Source'!AG951&gt;=4,"A",IF('Data Source'!AG951&gt;=3.5,"A-",IF('Data Source'!AG951&gt;=3,"B",IF('Data Source'!AG951&gt;=2,"C",IF('Data Source'!AG951&gt;=1,"D","F")))))),"")</f>
        <v/>
      </c>
      <c r="P951" s="5">
        <f>IF(AND('Data Source'!B951&lt;&gt;"",'Data Source'!S951="A+"),'Data Source'!R951,"")</f>
        <v/>
      </c>
      <c r="Q951" s="3">
        <f>IF(AND('Data Source'!B951&lt;&gt;"",'Data Source'!S951="A+"),'Data Source'!S951,"")</f>
        <v/>
      </c>
    </row>
    <row r="952">
      <c r="A952" s="3">
        <f>IF(AND('Data Source'!B952&lt;&gt;"",'Data Source'!S952="A+"),COUNTIF('Data Source'!$S$3:S952,"A+"),"")</f>
        <v/>
      </c>
      <c r="B952">
        <f>IF(AND('Data Source'!B952&lt;&gt;"",'Data Source'!S952="A+"),'Data Source'!B952,"")</f>
        <v/>
      </c>
      <c r="C952" s="3">
        <f>IF(AND('Data Source'!B952&lt;&gt;"",'Data Source'!S952="A+"),IF('Data Source'!U952&gt;=5,"A+",IF('Data Source'!U952&gt;=4,"A",IF('Data Source'!U952&gt;=3.5,"A-",IF('Data Source'!U952&gt;=3,"B",IF('Data Source'!U952&gt;=2,"C",IF('Data Source'!U952&gt;=1,"D","F")))))),"")</f>
        <v/>
      </c>
      <c r="D952" s="3">
        <f>IF(AND('Data Source'!B952&lt;&gt;"",'Data Source'!S952="A+"),IF('Data Source'!V952&gt;=5,"A+",IF('Data Source'!V952&gt;=4,"A",IF('Data Source'!V952&gt;=3.5,"A-",IF('Data Source'!V952&gt;=3,"B",IF('Data Source'!V952&gt;=2,"C",IF('Data Source'!V952&gt;=1,"D","F")))))),"")</f>
        <v/>
      </c>
      <c r="E952" s="3">
        <f>IF(AND('Data Source'!B952&lt;&gt;"",'Data Source'!S952="A+"),IF('Data Source'!W952&gt;=5,"A+",IF('Data Source'!W952&gt;=4,"A",IF('Data Source'!W952&gt;=3.5,"A-",IF('Data Source'!W952&gt;=3,"B",IF('Data Source'!W952&gt;=2,"C",IF('Data Source'!W952&gt;=1,"D","F")))))),"")</f>
        <v/>
      </c>
      <c r="F952" s="3">
        <f>IF(AND('Data Source'!B952&lt;&gt;"",'Data Source'!S952="A+"),IF('Data Source'!X952&gt;=5,"A+",IF('Data Source'!X952&gt;=4,"A",IF('Data Source'!X952&gt;=3.5,"A-",IF('Data Source'!X952&gt;=3,"B",IF('Data Source'!X952&gt;=2,"C",IF('Data Source'!X952&gt;=1,"D","F")))))),"")</f>
        <v/>
      </c>
      <c r="G952" s="3">
        <f>IF(AND('Data Source'!B952&lt;&gt;"",'Data Source'!S952="A+"),IF('Data Source'!Y952&gt;=5,"A+",IF('Data Source'!Y952&gt;=4,"A",IF('Data Source'!Y952&gt;=3.5,"A-",IF('Data Source'!Y952&gt;=3,"B",IF('Data Source'!Y952&gt;=2,"C",IF('Data Source'!Y952&gt;=1,"D","F")))))),"")</f>
        <v/>
      </c>
      <c r="H952" s="3">
        <f>IF(AND('Data Source'!B952&lt;&gt;"",'Data Source'!S952="A+"),IF('Data Source'!Z952&gt;=5,"A+",IF('Data Source'!Z952&gt;=4,"A",IF('Data Source'!Z952&gt;=3.5,"A-",IF('Data Source'!Z952&gt;=3,"B",IF('Data Source'!Z952&gt;=2,"C",IF('Data Source'!Z952&gt;=1,"D","F")))))),"")</f>
        <v/>
      </c>
      <c r="I952" s="3">
        <f>IF(AND('Data Source'!B952&lt;&gt;"",'Data Source'!S952="A+"),IF('Data Source'!AA952&gt;=5,"A+",IF('Data Source'!AA952&gt;=4,"A",IF('Data Source'!AA952&gt;=3.5,"A-",IF('Data Source'!AA952&gt;=3,"B",IF('Data Source'!AA952&gt;=2,"C",IF('Data Source'!AA952&gt;=1,"D","F")))))),"")</f>
        <v/>
      </c>
      <c r="J952" s="3">
        <f>IF(AND('Data Source'!B952&lt;&gt;"",'Data Source'!S952="A+"),IF('Data Source'!AB952&gt;=5,"A+",IF('Data Source'!AB952&gt;=4,"A",IF('Data Source'!AB952&gt;=3.5,"A-",IF('Data Source'!AB952&gt;=3,"B",IF('Data Source'!AB952&gt;=2,"C",IF('Data Source'!AB952&gt;=1,"D","F")))))),"")</f>
        <v/>
      </c>
      <c r="K952" s="3">
        <f>IF(AND('Data Source'!B952&lt;&gt;"",'Data Source'!S952="A+"),IF('Data Source'!AC952&gt;=5,"A+",IF('Data Source'!AC952&gt;=4,"A",IF('Data Source'!AC952&gt;=3.5,"A-",IF('Data Source'!AC952&gt;=3,"B",IF('Data Source'!AC952&gt;=2,"C",IF('Data Source'!AC952&gt;=1,"D","F")))))),"")</f>
        <v/>
      </c>
      <c r="L952" s="3">
        <f>IF(AND('Data Source'!B952&lt;&gt;"",'Data Source'!S952="A+"),IF('Data Source'!AD952&gt;=5,"A+",IF('Data Source'!AD952&gt;=4,"A",IF('Data Source'!AD952&gt;=3.5,"A-",IF('Data Source'!AD952&gt;=3,"B",IF('Data Source'!AD952&gt;=2,"C",IF('Data Source'!AD952&gt;=1,"D","F")))))),"")</f>
        <v/>
      </c>
      <c r="M952" s="3">
        <f>IF(AND('Data Source'!B952&lt;&gt;"",'Data Source'!S952="A+"),IF('Data Source'!AE952&gt;=5,"A+",IF('Data Source'!AE952&gt;=4,"A",IF('Data Source'!AE952&gt;=3.5,"A-",IF('Data Source'!AE952&gt;=3,"B",IF('Data Source'!AE952&gt;=2,"C",IF('Data Source'!AE952&gt;=1,"D","F")))))),"")</f>
        <v/>
      </c>
      <c r="N952" s="3">
        <f>IF(AND('Data Source'!B952&lt;&gt;"",'Data Source'!S952="A+"),IF('Data Source'!AF952&gt;=5,"A+",IF('Data Source'!AF952&gt;=4,"A",IF('Data Source'!AF952&gt;=3.5,"A-",IF('Data Source'!AF952&gt;=3,"B",IF('Data Source'!AF952&gt;=2,"C",IF('Data Source'!AF952&gt;=1,"D","F")))))),"")</f>
        <v/>
      </c>
      <c r="O952" s="3">
        <f>IF(AND('Data Source'!B952&lt;&gt;"",'Data Source'!S952="A+"),IF('Data Source'!AG952&gt;=5,"A+",IF('Data Source'!AG952&gt;=4,"A",IF('Data Source'!AG952&gt;=3.5,"A-",IF('Data Source'!AG952&gt;=3,"B",IF('Data Source'!AG952&gt;=2,"C",IF('Data Source'!AG952&gt;=1,"D","F")))))),"")</f>
        <v/>
      </c>
      <c r="P952" s="5">
        <f>IF(AND('Data Source'!B952&lt;&gt;"",'Data Source'!S952="A+"),'Data Source'!R952,"")</f>
        <v/>
      </c>
      <c r="Q952" s="3">
        <f>IF(AND('Data Source'!B952&lt;&gt;"",'Data Source'!S952="A+"),'Data Source'!S952,"")</f>
        <v/>
      </c>
    </row>
    <row r="953">
      <c r="A953" s="3">
        <f>IF(AND('Data Source'!B953&lt;&gt;"",'Data Source'!S953="A+"),COUNTIF('Data Source'!$S$3:S953,"A+"),"")</f>
        <v/>
      </c>
      <c r="B953">
        <f>IF(AND('Data Source'!B953&lt;&gt;"",'Data Source'!S953="A+"),'Data Source'!B953,"")</f>
        <v/>
      </c>
      <c r="C953" s="3">
        <f>IF(AND('Data Source'!B953&lt;&gt;"",'Data Source'!S953="A+"),IF('Data Source'!U953&gt;=5,"A+",IF('Data Source'!U953&gt;=4,"A",IF('Data Source'!U953&gt;=3.5,"A-",IF('Data Source'!U953&gt;=3,"B",IF('Data Source'!U953&gt;=2,"C",IF('Data Source'!U953&gt;=1,"D","F")))))),"")</f>
        <v/>
      </c>
      <c r="D953" s="3">
        <f>IF(AND('Data Source'!B953&lt;&gt;"",'Data Source'!S953="A+"),IF('Data Source'!V953&gt;=5,"A+",IF('Data Source'!V953&gt;=4,"A",IF('Data Source'!V953&gt;=3.5,"A-",IF('Data Source'!V953&gt;=3,"B",IF('Data Source'!V953&gt;=2,"C",IF('Data Source'!V953&gt;=1,"D","F")))))),"")</f>
        <v/>
      </c>
      <c r="E953" s="3">
        <f>IF(AND('Data Source'!B953&lt;&gt;"",'Data Source'!S953="A+"),IF('Data Source'!W953&gt;=5,"A+",IF('Data Source'!W953&gt;=4,"A",IF('Data Source'!W953&gt;=3.5,"A-",IF('Data Source'!W953&gt;=3,"B",IF('Data Source'!W953&gt;=2,"C",IF('Data Source'!W953&gt;=1,"D","F")))))),"")</f>
        <v/>
      </c>
      <c r="F953" s="3">
        <f>IF(AND('Data Source'!B953&lt;&gt;"",'Data Source'!S953="A+"),IF('Data Source'!X953&gt;=5,"A+",IF('Data Source'!X953&gt;=4,"A",IF('Data Source'!X953&gt;=3.5,"A-",IF('Data Source'!X953&gt;=3,"B",IF('Data Source'!X953&gt;=2,"C",IF('Data Source'!X953&gt;=1,"D","F")))))),"")</f>
        <v/>
      </c>
      <c r="G953" s="3">
        <f>IF(AND('Data Source'!B953&lt;&gt;"",'Data Source'!S953="A+"),IF('Data Source'!Y953&gt;=5,"A+",IF('Data Source'!Y953&gt;=4,"A",IF('Data Source'!Y953&gt;=3.5,"A-",IF('Data Source'!Y953&gt;=3,"B",IF('Data Source'!Y953&gt;=2,"C",IF('Data Source'!Y953&gt;=1,"D","F")))))),"")</f>
        <v/>
      </c>
      <c r="H953" s="3">
        <f>IF(AND('Data Source'!B953&lt;&gt;"",'Data Source'!S953="A+"),IF('Data Source'!Z953&gt;=5,"A+",IF('Data Source'!Z953&gt;=4,"A",IF('Data Source'!Z953&gt;=3.5,"A-",IF('Data Source'!Z953&gt;=3,"B",IF('Data Source'!Z953&gt;=2,"C",IF('Data Source'!Z953&gt;=1,"D","F")))))),"")</f>
        <v/>
      </c>
      <c r="I953" s="3">
        <f>IF(AND('Data Source'!B953&lt;&gt;"",'Data Source'!S953="A+"),IF('Data Source'!AA953&gt;=5,"A+",IF('Data Source'!AA953&gt;=4,"A",IF('Data Source'!AA953&gt;=3.5,"A-",IF('Data Source'!AA953&gt;=3,"B",IF('Data Source'!AA953&gt;=2,"C",IF('Data Source'!AA953&gt;=1,"D","F")))))),"")</f>
        <v/>
      </c>
      <c r="J953" s="3">
        <f>IF(AND('Data Source'!B953&lt;&gt;"",'Data Source'!S953="A+"),IF('Data Source'!AB953&gt;=5,"A+",IF('Data Source'!AB953&gt;=4,"A",IF('Data Source'!AB953&gt;=3.5,"A-",IF('Data Source'!AB953&gt;=3,"B",IF('Data Source'!AB953&gt;=2,"C",IF('Data Source'!AB953&gt;=1,"D","F")))))),"")</f>
        <v/>
      </c>
      <c r="K953" s="3">
        <f>IF(AND('Data Source'!B953&lt;&gt;"",'Data Source'!S953="A+"),IF('Data Source'!AC953&gt;=5,"A+",IF('Data Source'!AC953&gt;=4,"A",IF('Data Source'!AC953&gt;=3.5,"A-",IF('Data Source'!AC953&gt;=3,"B",IF('Data Source'!AC953&gt;=2,"C",IF('Data Source'!AC953&gt;=1,"D","F")))))),"")</f>
        <v/>
      </c>
      <c r="L953" s="3">
        <f>IF(AND('Data Source'!B953&lt;&gt;"",'Data Source'!S953="A+"),IF('Data Source'!AD953&gt;=5,"A+",IF('Data Source'!AD953&gt;=4,"A",IF('Data Source'!AD953&gt;=3.5,"A-",IF('Data Source'!AD953&gt;=3,"B",IF('Data Source'!AD953&gt;=2,"C",IF('Data Source'!AD953&gt;=1,"D","F")))))),"")</f>
        <v/>
      </c>
      <c r="M953" s="3">
        <f>IF(AND('Data Source'!B953&lt;&gt;"",'Data Source'!S953="A+"),IF('Data Source'!AE953&gt;=5,"A+",IF('Data Source'!AE953&gt;=4,"A",IF('Data Source'!AE953&gt;=3.5,"A-",IF('Data Source'!AE953&gt;=3,"B",IF('Data Source'!AE953&gt;=2,"C",IF('Data Source'!AE953&gt;=1,"D","F")))))),"")</f>
        <v/>
      </c>
      <c r="N953" s="3">
        <f>IF(AND('Data Source'!B953&lt;&gt;"",'Data Source'!S953="A+"),IF('Data Source'!AF953&gt;=5,"A+",IF('Data Source'!AF953&gt;=4,"A",IF('Data Source'!AF953&gt;=3.5,"A-",IF('Data Source'!AF953&gt;=3,"B",IF('Data Source'!AF953&gt;=2,"C",IF('Data Source'!AF953&gt;=1,"D","F")))))),"")</f>
        <v/>
      </c>
      <c r="O953" s="3">
        <f>IF(AND('Data Source'!B953&lt;&gt;"",'Data Source'!S953="A+"),IF('Data Source'!AG953&gt;=5,"A+",IF('Data Source'!AG953&gt;=4,"A",IF('Data Source'!AG953&gt;=3.5,"A-",IF('Data Source'!AG953&gt;=3,"B",IF('Data Source'!AG953&gt;=2,"C",IF('Data Source'!AG953&gt;=1,"D","F")))))),"")</f>
        <v/>
      </c>
      <c r="P953" s="5">
        <f>IF(AND('Data Source'!B953&lt;&gt;"",'Data Source'!S953="A+"),'Data Source'!R953,"")</f>
        <v/>
      </c>
      <c r="Q953" s="3">
        <f>IF(AND('Data Source'!B953&lt;&gt;"",'Data Source'!S953="A+"),'Data Source'!S953,"")</f>
        <v/>
      </c>
    </row>
    <row r="954">
      <c r="A954" s="3">
        <f>IF(AND('Data Source'!B954&lt;&gt;"",'Data Source'!S954="A+"),COUNTIF('Data Source'!$S$3:S954,"A+"),"")</f>
        <v/>
      </c>
      <c r="B954">
        <f>IF(AND('Data Source'!B954&lt;&gt;"",'Data Source'!S954="A+"),'Data Source'!B954,"")</f>
        <v/>
      </c>
      <c r="C954" s="3">
        <f>IF(AND('Data Source'!B954&lt;&gt;"",'Data Source'!S954="A+"),IF('Data Source'!U954&gt;=5,"A+",IF('Data Source'!U954&gt;=4,"A",IF('Data Source'!U954&gt;=3.5,"A-",IF('Data Source'!U954&gt;=3,"B",IF('Data Source'!U954&gt;=2,"C",IF('Data Source'!U954&gt;=1,"D","F")))))),"")</f>
        <v/>
      </c>
      <c r="D954" s="3">
        <f>IF(AND('Data Source'!B954&lt;&gt;"",'Data Source'!S954="A+"),IF('Data Source'!V954&gt;=5,"A+",IF('Data Source'!V954&gt;=4,"A",IF('Data Source'!V954&gt;=3.5,"A-",IF('Data Source'!V954&gt;=3,"B",IF('Data Source'!V954&gt;=2,"C",IF('Data Source'!V954&gt;=1,"D","F")))))),"")</f>
        <v/>
      </c>
      <c r="E954" s="3">
        <f>IF(AND('Data Source'!B954&lt;&gt;"",'Data Source'!S954="A+"),IF('Data Source'!W954&gt;=5,"A+",IF('Data Source'!W954&gt;=4,"A",IF('Data Source'!W954&gt;=3.5,"A-",IF('Data Source'!W954&gt;=3,"B",IF('Data Source'!W954&gt;=2,"C",IF('Data Source'!W954&gt;=1,"D","F")))))),"")</f>
        <v/>
      </c>
      <c r="F954" s="3">
        <f>IF(AND('Data Source'!B954&lt;&gt;"",'Data Source'!S954="A+"),IF('Data Source'!X954&gt;=5,"A+",IF('Data Source'!X954&gt;=4,"A",IF('Data Source'!X954&gt;=3.5,"A-",IF('Data Source'!X954&gt;=3,"B",IF('Data Source'!X954&gt;=2,"C",IF('Data Source'!X954&gt;=1,"D","F")))))),"")</f>
        <v/>
      </c>
      <c r="G954" s="3">
        <f>IF(AND('Data Source'!B954&lt;&gt;"",'Data Source'!S954="A+"),IF('Data Source'!Y954&gt;=5,"A+",IF('Data Source'!Y954&gt;=4,"A",IF('Data Source'!Y954&gt;=3.5,"A-",IF('Data Source'!Y954&gt;=3,"B",IF('Data Source'!Y954&gt;=2,"C",IF('Data Source'!Y954&gt;=1,"D","F")))))),"")</f>
        <v/>
      </c>
      <c r="H954" s="3">
        <f>IF(AND('Data Source'!B954&lt;&gt;"",'Data Source'!S954="A+"),IF('Data Source'!Z954&gt;=5,"A+",IF('Data Source'!Z954&gt;=4,"A",IF('Data Source'!Z954&gt;=3.5,"A-",IF('Data Source'!Z954&gt;=3,"B",IF('Data Source'!Z954&gt;=2,"C",IF('Data Source'!Z954&gt;=1,"D","F")))))),"")</f>
        <v/>
      </c>
      <c r="I954" s="3">
        <f>IF(AND('Data Source'!B954&lt;&gt;"",'Data Source'!S954="A+"),IF('Data Source'!AA954&gt;=5,"A+",IF('Data Source'!AA954&gt;=4,"A",IF('Data Source'!AA954&gt;=3.5,"A-",IF('Data Source'!AA954&gt;=3,"B",IF('Data Source'!AA954&gt;=2,"C",IF('Data Source'!AA954&gt;=1,"D","F")))))),"")</f>
        <v/>
      </c>
      <c r="J954" s="3">
        <f>IF(AND('Data Source'!B954&lt;&gt;"",'Data Source'!S954="A+"),IF('Data Source'!AB954&gt;=5,"A+",IF('Data Source'!AB954&gt;=4,"A",IF('Data Source'!AB954&gt;=3.5,"A-",IF('Data Source'!AB954&gt;=3,"B",IF('Data Source'!AB954&gt;=2,"C",IF('Data Source'!AB954&gt;=1,"D","F")))))),"")</f>
        <v/>
      </c>
      <c r="K954" s="3">
        <f>IF(AND('Data Source'!B954&lt;&gt;"",'Data Source'!S954="A+"),IF('Data Source'!AC954&gt;=5,"A+",IF('Data Source'!AC954&gt;=4,"A",IF('Data Source'!AC954&gt;=3.5,"A-",IF('Data Source'!AC954&gt;=3,"B",IF('Data Source'!AC954&gt;=2,"C",IF('Data Source'!AC954&gt;=1,"D","F")))))),"")</f>
        <v/>
      </c>
      <c r="L954" s="3">
        <f>IF(AND('Data Source'!B954&lt;&gt;"",'Data Source'!S954="A+"),IF('Data Source'!AD954&gt;=5,"A+",IF('Data Source'!AD954&gt;=4,"A",IF('Data Source'!AD954&gt;=3.5,"A-",IF('Data Source'!AD954&gt;=3,"B",IF('Data Source'!AD954&gt;=2,"C",IF('Data Source'!AD954&gt;=1,"D","F")))))),"")</f>
        <v/>
      </c>
      <c r="M954" s="3">
        <f>IF(AND('Data Source'!B954&lt;&gt;"",'Data Source'!S954="A+"),IF('Data Source'!AE954&gt;=5,"A+",IF('Data Source'!AE954&gt;=4,"A",IF('Data Source'!AE954&gt;=3.5,"A-",IF('Data Source'!AE954&gt;=3,"B",IF('Data Source'!AE954&gt;=2,"C",IF('Data Source'!AE954&gt;=1,"D","F")))))),"")</f>
        <v/>
      </c>
      <c r="N954" s="3">
        <f>IF(AND('Data Source'!B954&lt;&gt;"",'Data Source'!S954="A+"),IF('Data Source'!AF954&gt;=5,"A+",IF('Data Source'!AF954&gt;=4,"A",IF('Data Source'!AF954&gt;=3.5,"A-",IF('Data Source'!AF954&gt;=3,"B",IF('Data Source'!AF954&gt;=2,"C",IF('Data Source'!AF954&gt;=1,"D","F")))))),"")</f>
        <v/>
      </c>
      <c r="O954" s="3">
        <f>IF(AND('Data Source'!B954&lt;&gt;"",'Data Source'!S954="A+"),IF('Data Source'!AG954&gt;=5,"A+",IF('Data Source'!AG954&gt;=4,"A",IF('Data Source'!AG954&gt;=3.5,"A-",IF('Data Source'!AG954&gt;=3,"B",IF('Data Source'!AG954&gt;=2,"C",IF('Data Source'!AG954&gt;=1,"D","F")))))),"")</f>
        <v/>
      </c>
      <c r="P954" s="5">
        <f>IF(AND('Data Source'!B954&lt;&gt;"",'Data Source'!S954="A+"),'Data Source'!R954,"")</f>
        <v/>
      </c>
      <c r="Q954" s="3">
        <f>IF(AND('Data Source'!B954&lt;&gt;"",'Data Source'!S954="A+"),'Data Source'!S954,"")</f>
        <v/>
      </c>
    </row>
    <row r="955">
      <c r="A955" s="3">
        <f>IF(AND('Data Source'!B955&lt;&gt;"",'Data Source'!S955="A+"),COUNTIF('Data Source'!$S$3:S955,"A+"),"")</f>
        <v/>
      </c>
      <c r="B955">
        <f>IF(AND('Data Source'!B955&lt;&gt;"",'Data Source'!S955="A+"),'Data Source'!B955,"")</f>
        <v/>
      </c>
      <c r="C955" s="3">
        <f>IF(AND('Data Source'!B955&lt;&gt;"",'Data Source'!S955="A+"),IF('Data Source'!U955&gt;=5,"A+",IF('Data Source'!U955&gt;=4,"A",IF('Data Source'!U955&gt;=3.5,"A-",IF('Data Source'!U955&gt;=3,"B",IF('Data Source'!U955&gt;=2,"C",IF('Data Source'!U955&gt;=1,"D","F")))))),"")</f>
        <v/>
      </c>
      <c r="D955" s="3">
        <f>IF(AND('Data Source'!B955&lt;&gt;"",'Data Source'!S955="A+"),IF('Data Source'!V955&gt;=5,"A+",IF('Data Source'!V955&gt;=4,"A",IF('Data Source'!V955&gt;=3.5,"A-",IF('Data Source'!V955&gt;=3,"B",IF('Data Source'!V955&gt;=2,"C",IF('Data Source'!V955&gt;=1,"D","F")))))),"")</f>
        <v/>
      </c>
      <c r="E955" s="3">
        <f>IF(AND('Data Source'!B955&lt;&gt;"",'Data Source'!S955="A+"),IF('Data Source'!W955&gt;=5,"A+",IF('Data Source'!W955&gt;=4,"A",IF('Data Source'!W955&gt;=3.5,"A-",IF('Data Source'!W955&gt;=3,"B",IF('Data Source'!W955&gt;=2,"C",IF('Data Source'!W955&gt;=1,"D","F")))))),"")</f>
        <v/>
      </c>
      <c r="F955" s="3">
        <f>IF(AND('Data Source'!B955&lt;&gt;"",'Data Source'!S955="A+"),IF('Data Source'!X955&gt;=5,"A+",IF('Data Source'!X955&gt;=4,"A",IF('Data Source'!X955&gt;=3.5,"A-",IF('Data Source'!X955&gt;=3,"B",IF('Data Source'!X955&gt;=2,"C",IF('Data Source'!X955&gt;=1,"D","F")))))),"")</f>
        <v/>
      </c>
      <c r="G955" s="3">
        <f>IF(AND('Data Source'!B955&lt;&gt;"",'Data Source'!S955="A+"),IF('Data Source'!Y955&gt;=5,"A+",IF('Data Source'!Y955&gt;=4,"A",IF('Data Source'!Y955&gt;=3.5,"A-",IF('Data Source'!Y955&gt;=3,"B",IF('Data Source'!Y955&gt;=2,"C",IF('Data Source'!Y955&gt;=1,"D","F")))))),"")</f>
        <v/>
      </c>
      <c r="H955" s="3">
        <f>IF(AND('Data Source'!B955&lt;&gt;"",'Data Source'!S955="A+"),IF('Data Source'!Z955&gt;=5,"A+",IF('Data Source'!Z955&gt;=4,"A",IF('Data Source'!Z955&gt;=3.5,"A-",IF('Data Source'!Z955&gt;=3,"B",IF('Data Source'!Z955&gt;=2,"C",IF('Data Source'!Z955&gt;=1,"D","F")))))),"")</f>
        <v/>
      </c>
      <c r="I955" s="3">
        <f>IF(AND('Data Source'!B955&lt;&gt;"",'Data Source'!S955="A+"),IF('Data Source'!AA955&gt;=5,"A+",IF('Data Source'!AA955&gt;=4,"A",IF('Data Source'!AA955&gt;=3.5,"A-",IF('Data Source'!AA955&gt;=3,"B",IF('Data Source'!AA955&gt;=2,"C",IF('Data Source'!AA955&gt;=1,"D","F")))))),"")</f>
        <v/>
      </c>
      <c r="J955" s="3">
        <f>IF(AND('Data Source'!B955&lt;&gt;"",'Data Source'!S955="A+"),IF('Data Source'!AB955&gt;=5,"A+",IF('Data Source'!AB955&gt;=4,"A",IF('Data Source'!AB955&gt;=3.5,"A-",IF('Data Source'!AB955&gt;=3,"B",IF('Data Source'!AB955&gt;=2,"C",IF('Data Source'!AB955&gt;=1,"D","F")))))),"")</f>
        <v/>
      </c>
      <c r="K955" s="3">
        <f>IF(AND('Data Source'!B955&lt;&gt;"",'Data Source'!S955="A+"),IF('Data Source'!AC955&gt;=5,"A+",IF('Data Source'!AC955&gt;=4,"A",IF('Data Source'!AC955&gt;=3.5,"A-",IF('Data Source'!AC955&gt;=3,"B",IF('Data Source'!AC955&gt;=2,"C",IF('Data Source'!AC955&gt;=1,"D","F")))))),"")</f>
        <v/>
      </c>
      <c r="L955" s="3">
        <f>IF(AND('Data Source'!B955&lt;&gt;"",'Data Source'!S955="A+"),IF('Data Source'!AD955&gt;=5,"A+",IF('Data Source'!AD955&gt;=4,"A",IF('Data Source'!AD955&gt;=3.5,"A-",IF('Data Source'!AD955&gt;=3,"B",IF('Data Source'!AD955&gt;=2,"C",IF('Data Source'!AD955&gt;=1,"D","F")))))),"")</f>
        <v/>
      </c>
      <c r="M955" s="3">
        <f>IF(AND('Data Source'!B955&lt;&gt;"",'Data Source'!S955="A+"),IF('Data Source'!AE955&gt;=5,"A+",IF('Data Source'!AE955&gt;=4,"A",IF('Data Source'!AE955&gt;=3.5,"A-",IF('Data Source'!AE955&gt;=3,"B",IF('Data Source'!AE955&gt;=2,"C",IF('Data Source'!AE955&gt;=1,"D","F")))))),"")</f>
        <v/>
      </c>
      <c r="N955" s="3">
        <f>IF(AND('Data Source'!B955&lt;&gt;"",'Data Source'!S955="A+"),IF('Data Source'!AF955&gt;=5,"A+",IF('Data Source'!AF955&gt;=4,"A",IF('Data Source'!AF955&gt;=3.5,"A-",IF('Data Source'!AF955&gt;=3,"B",IF('Data Source'!AF955&gt;=2,"C",IF('Data Source'!AF955&gt;=1,"D","F")))))),"")</f>
        <v/>
      </c>
      <c r="O955" s="3">
        <f>IF(AND('Data Source'!B955&lt;&gt;"",'Data Source'!S955="A+"),IF('Data Source'!AG955&gt;=5,"A+",IF('Data Source'!AG955&gt;=4,"A",IF('Data Source'!AG955&gt;=3.5,"A-",IF('Data Source'!AG955&gt;=3,"B",IF('Data Source'!AG955&gt;=2,"C",IF('Data Source'!AG955&gt;=1,"D","F")))))),"")</f>
        <v/>
      </c>
      <c r="P955" s="5">
        <f>IF(AND('Data Source'!B955&lt;&gt;"",'Data Source'!S955="A+"),'Data Source'!R955,"")</f>
        <v/>
      </c>
      <c r="Q955" s="3">
        <f>IF(AND('Data Source'!B955&lt;&gt;"",'Data Source'!S955="A+"),'Data Source'!S955,"")</f>
        <v/>
      </c>
    </row>
    <row r="956">
      <c r="A956" s="3">
        <f>IF(AND('Data Source'!B956&lt;&gt;"",'Data Source'!S956="A+"),COUNTIF('Data Source'!$S$3:S956,"A+"),"")</f>
        <v/>
      </c>
      <c r="B956">
        <f>IF(AND('Data Source'!B956&lt;&gt;"",'Data Source'!S956="A+"),'Data Source'!B956,"")</f>
        <v/>
      </c>
      <c r="C956" s="3">
        <f>IF(AND('Data Source'!B956&lt;&gt;"",'Data Source'!S956="A+"),IF('Data Source'!U956&gt;=5,"A+",IF('Data Source'!U956&gt;=4,"A",IF('Data Source'!U956&gt;=3.5,"A-",IF('Data Source'!U956&gt;=3,"B",IF('Data Source'!U956&gt;=2,"C",IF('Data Source'!U956&gt;=1,"D","F")))))),"")</f>
        <v/>
      </c>
      <c r="D956" s="3">
        <f>IF(AND('Data Source'!B956&lt;&gt;"",'Data Source'!S956="A+"),IF('Data Source'!V956&gt;=5,"A+",IF('Data Source'!V956&gt;=4,"A",IF('Data Source'!V956&gt;=3.5,"A-",IF('Data Source'!V956&gt;=3,"B",IF('Data Source'!V956&gt;=2,"C",IF('Data Source'!V956&gt;=1,"D","F")))))),"")</f>
        <v/>
      </c>
      <c r="E956" s="3">
        <f>IF(AND('Data Source'!B956&lt;&gt;"",'Data Source'!S956="A+"),IF('Data Source'!W956&gt;=5,"A+",IF('Data Source'!W956&gt;=4,"A",IF('Data Source'!W956&gt;=3.5,"A-",IF('Data Source'!W956&gt;=3,"B",IF('Data Source'!W956&gt;=2,"C",IF('Data Source'!W956&gt;=1,"D","F")))))),"")</f>
        <v/>
      </c>
      <c r="F956" s="3">
        <f>IF(AND('Data Source'!B956&lt;&gt;"",'Data Source'!S956="A+"),IF('Data Source'!X956&gt;=5,"A+",IF('Data Source'!X956&gt;=4,"A",IF('Data Source'!X956&gt;=3.5,"A-",IF('Data Source'!X956&gt;=3,"B",IF('Data Source'!X956&gt;=2,"C",IF('Data Source'!X956&gt;=1,"D","F")))))),"")</f>
        <v/>
      </c>
      <c r="G956" s="3">
        <f>IF(AND('Data Source'!B956&lt;&gt;"",'Data Source'!S956="A+"),IF('Data Source'!Y956&gt;=5,"A+",IF('Data Source'!Y956&gt;=4,"A",IF('Data Source'!Y956&gt;=3.5,"A-",IF('Data Source'!Y956&gt;=3,"B",IF('Data Source'!Y956&gt;=2,"C",IF('Data Source'!Y956&gt;=1,"D","F")))))),"")</f>
        <v/>
      </c>
      <c r="H956" s="3">
        <f>IF(AND('Data Source'!B956&lt;&gt;"",'Data Source'!S956="A+"),IF('Data Source'!Z956&gt;=5,"A+",IF('Data Source'!Z956&gt;=4,"A",IF('Data Source'!Z956&gt;=3.5,"A-",IF('Data Source'!Z956&gt;=3,"B",IF('Data Source'!Z956&gt;=2,"C",IF('Data Source'!Z956&gt;=1,"D","F")))))),"")</f>
        <v/>
      </c>
      <c r="I956" s="3">
        <f>IF(AND('Data Source'!B956&lt;&gt;"",'Data Source'!S956="A+"),IF('Data Source'!AA956&gt;=5,"A+",IF('Data Source'!AA956&gt;=4,"A",IF('Data Source'!AA956&gt;=3.5,"A-",IF('Data Source'!AA956&gt;=3,"B",IF('Data Source'!AA956&gt;=2,"C",IF('Data Source'!AA956&gt;=1,"D","F")))))),"")</f>
        <v/>
      </c>
      <c r="J956" s="3">
        <f>IF(AND('Data Source'!B956&lt;&gt;"",'Data Source'!S956="A+"),IF('Data Source'!AB956&gt;=5,"A+",IF('Data Source'!AB956&gt;=4,"A",IF('Data Source'!AB956&gt;=3.5,"A-",IF('Data Source'!AB956&gt;=3,"B",IF('Data Source'!AB956&gt;=2,"C",IF('Data Source'!AB956&gt;=1,"D","F")))))),"")</f>
        <v/>
      </c>
      <c r="K956" s="3">
        <f>IF(AND('Data Source'!B956&lt;&gt;"",'Data Source'!S956="A+"),IF('Data Source'!AC956&gt;=5,"A+",IF('Data Source'!AC956&gt;=4,"A",IF('Data Source'!AC956&gt;=3.5,"A-",IF('Data Source'!AC956&gt;=3,"B",IF('Data Source'!AC956&gt;=2,"C",IF('Data Source'!AC956&gt;=1,"D","F")))))),"")</f>
        <v/>
      </c>
      <c r="L956" s="3">
        <f>IF(AND('Data Source'!B956&lt;&gt;"",'Data Source'!S956="A+"),IF('Data Source'!AD956&gt;=5,"A+",IF('Data Source'!AD956&gt;=4,"A",IF('Data Source'!AD956&gt;=3.5,"A-",IF('Data Source'!AD956&gt;=3,"B",IF('Data Source'!AD956&gt;=2,"C",IF('Data Source'!AD956&gt;=1,"D","F")))))),"")</f>
        <v/>
      </c>
      <c r="M956" s="3">
        <f>IF(AND('Data Source'!B956&lt;&gt;"",'Data Source'!S956="A+"),IF('Data Source'!AE956&gt;=5,"A+",IF('Data Source'!AE956&gt;=4,"A",IF('Data Source'!AE956&gt;=3.5,"A-",IF('Data Source'!AE956&gt;=3,"B",IF('Data Source'!AE956&gt;=2,"C",IF('Data Source'!AE956&gt;=1,"D","F")))))),"")</f>
        <v/>
      </c>
      <c r="N956" s="3">
        <f>IF(AND('Data Source'!B956&lt;&gt;"",'Data Source'!S956="A+"),IF('Data Source'!AF956&gt;=5,"A+",IF('Data Source'!AF956&gt;=4,"A",IF('Data Source'!AF956&gt;=3.5,"A-",IF('Data Source'!AF956&gt;=3,"B",IF('Data Source'!AF956&gt;=2,"C",IF('Data Source'!AF956&gt;=1,"D","F")))))),"")</f>
        <v/>
      </c>
      <c r="O956" s="3">
        <f>IF(AND('Data Source'!B956&lt;&gt;"",'Data Source'!S956="A+"),IF('Data Source'!AG956&gt;=5,"A+",IF('Data Source'!AG956&gt;=4,"A",IF('Data Source'!AG956&gt;=3.5,"A-",IF('Data Source'!AG956&gt;=3,"B",IF('Data Source'!AG956&gt;=2,"C",IF('Data Source'!AG956&gt;=1,"D","F")))))),"")</f>
        <v/>
      </c>
      <c r="P956" s="5">
        <f>IF(AND('Data Source'!B956&lt;&gt;"",'Data Source'!S956="A+"),'Data Source'!R956,"")</f>
        <v/>
      </c>
      <c r="Q956" s="3">
        <f>IF(AND('Data Source'!B956&lt;&gt;"",'Data Source'!S956="A+"),'Data Source'!S956,"")</f>
        <v/>
      </c>
    </row>
    <row r="957">
      <c r="A957" s="3">
        <f>IF(AND('Data Source'!B957&lt;&gt;"",'Data Source'!S957="A+"),COUNTIF('Data Source'!$S$3:S957,"A+"),"")</f>
        <v/>
      </c>
      <c r="B957">
        <f>IF(AND('Data Source'!B957&lt;&gt;"",'Data Source'!S957="A+"),'Data Source'!B957,"")</f>
        <v/>
      </c>
      <c r="C957" s="3">
        <f>IF(AND('Data Source'!B957&lt;&gt;"",'Data Source'!S957="A+"),IF('Data Source'!U957&gt;=5,"A+",IF('Data Source'!U957&gt;=4,"A",IF('Data Source'!U957&gt;=3.5,"A-",IF('Data Source'!U957&gt;=3,"B",IF('Data Source'!U957&gt;=2,"C",IF('Data Source'!U957&gt;=1,"D","F")))))),"")</f>
        <v/>
      </c>
      <c r="D957" s="3">
        <f>IF(AND('Data Source'!B957&lt;&gt;"",'Data Source'!S957="A+"),IF('Data Source'!V957&gt;=5,"A+",IF('Data Source'!V957&gt;=4,"A",IF('Data Source'!V957&gt;=3.5,"A-",IF('Data Source'!V957&gt;=3,"B",IF('Data Source'!V957&gt;=2,"C",IF('Data Source'!V957&gt;=1,"D","F")))))),"")</f>
        <v/>
      </c>
      <c r="E957" s="3">
        <f>IF(AND('Data Source'!B957&lt;&gt;"",'Data Source'!S957="A+"),IF('Data Source'!W957&gt;=5,"A+",IF('Data Source'!W957&gt;=4,"A",IF('Data Source'!W957&gt;=3.5,"A-",IF('Data Source'!W957&gt;=3,"B",IF('Data Source'!W957&gt;=2,"C",IF('Data Source'!W957&gt;=1,"D","F")))))),"")</f>
        <v/>
      </c>
      <c r="F957" s="3">
        <f>IF(AND('Data Source'!B957&lt;&gt;"",'Data Source'!S957="A+"),IF('Data Source'!X957&gt;=5,"A+",IF('Data Source'!X957&gt;=4,"A",IF('Data Source'!X957&gt;=3.5,"A-",IF('Data Source'!X957&gt;=3,"B",IF('Data Source'!X957&gt;=2,"C",IF('Data Source'!X957&gt;=1,"D","F")))))),"")</f>
        <v/>
      </c>
      <c r="G957" s="3">
        <f>IF(AND('Data Source'!B957&lt;&gt;"",'Data Source'!S957="A+"),IF('Data Source'!Y957&gt;=5,"A+",IF('Data Source'!Y957&gt;=4,"A",IF('Data Source'!Y957&gt;=3.5,"A-",IF('Data Source'!Y957&gt;=3,"B",IF('Data Source'!Y957&gt;=2,"C",IF('Data Source'!Y957&gt;=1,"D","F")))))),"")</f>
        <v/>
      </c>
      <c r="H957" s="3">
        <f>IF(AND('Data Source'!B957&lt;&gt;"",'Data Source'!S957="A+"),IF('Data Source'!Z957&gt;=5,"A+",IF('Data Source'!Z957&gt;=4,"A",IF('Data Source'!Z957&gt;=3.5,"A-",IF('Data Source'!Z957&gt;=3,"B",IF('Data Source'!Z957&gt;=2,"C",IF('Data Source'!Z957&gt;=1,"D","F")))))),"")</f>
        <v/>
      </c>
      <c r="I957" s="3">
        <f>IF(AND('Data Source'!B957&lt;&gt;"",'Data Source'!S957="A+"),IF('Data Source'!AA957&gt;=5,"A+",IF('Data Source'!AA957&gt;=4,"A",IF('Data Source'!AA957&gt;=3.5,"A-",IF('Data Source'!AA957&gt;=3,"B",IF('Data Source'!AA957&gt;=2,"C",IF('Data Source'!AA957&gt;=1,"D","F")))))),"")</f>
        <v/>
      </c>
      <c r="J957" s="3">
        <f>IF(AND('Data Source'!B957&lt;&gt;"",'Data Source'!S957="A+"),IF('Data Source'!AB957&gt;=5,"A+",IF('Data Source'!AB957&gt;=4,"A",IF('Data Source'!AB957&gt;=3.5,"A-",IF('Data Source'!AB957&gt;=3,"B",IF('Data Source'!AB957&gt;=2,"C",IF('Data Source'!AB957&gt;=1,"D","F")))))),"")</f>
        <v/>
      </c>
      <c r="K957" s="3">
        <f>IF(AND('Data Source'!B957&lt;&gt;"",'Data Source'!S957="A+"),IF('Data Source'!AC957&gt;=5,"A+",IF('Data Source'!AC957&gt;=4,"A",IF('Data Source'!AC957&gt;=3.5,"A-",IF('Data Source'!AC957&gt;=3,"B",IF('Data Source'!AC957&gt;=2,"C",IF('Data Source'!AC957&gt;=1,"D","F")))))),"")</f>
        <v/>
      </c>
      <c r="L957" s="3">
        <f>IF(AND('Data Source'!B957&lt;&gt;"",'Data Source'!S957="A+"),IF('Data Source'!AD957&gt;=5,"A+",IF('Data Source'!AD957&gt;=4,"A",IF('Data Source'!AD957&gt;=3.5,"A-",IF('Data Source'!AD957&gt;=3,"B",IF('Data Source'!AD957&gt;=2,"C",IF('Data Source'!AD957&gt;=1,"D","F")))))),"")</f>
        <v/>
      </c>
      <c r="M957" s="3">
        <f>IF(AND('Data Source'!B957&lt;&gt;"",'Data Source'!S957="A+"),IF('Data Source'!AE957&gt;=5,"A+",IF('Data Source'!AE957&gt;=4,"A",IF('Data Source'!AE957&gt;=3.5,"A-",IF('Data Source'!AE957&gt;=3,"B",IF('Data Source'!AE957&gt;=2,"C",IF('Data Source'!AE957&gt;=1,"D","F")))))),"")</f>
        <v/>
      </c>
      <c r="N957" s="3">
        <f>IF(AND('Data Source'!B957&lt;&gt;"",'Data Source'!S957="A+"),IF('Data Source'!AF957&gt;=5,"A+",IF('Data Source'!AF957&gt;=4,"A",IF('Data Source'!AF957&gt;=3.5,"A-",IF('Data Source'!AF957&gt;=3,"B",IF('Data Source'!AF957&gt;=2,"C",IF('Data Source'!AF957&gt;=1,"D","F")))))),"")</f>
        <v/>
      </c>
      <c r="O957" s="3">
        <f>IF(AND('Data Source'!B957&lt;&gt;"",'Data Source'!S957="A+"),IF('Data Source'!AG957&gt;=5,"A+",IF('Data Source'!AG957&gt;=4,"A",IF('Data Source'!AG957&gt;=3.5,"A-",IF('Data Source'!AG957&gt;=3,"B",IF('Data Source'!AG957&gt;=2,"C",IF('Data Source'!AG957&gt;=1,"D","F")))))),"")</f>
        <v/>
      </c>
      <c r="P957" s="5">
        <f>IF(AND('Data Source'!B957&lt;&gt;"",'Data Source'!S957="A+"),'Data Source'!R957,"")</f>
        <v/>
      </c>
      <c r="Q957" s="3">
        <f>IF(AND('Data Source'!B957&lt;&gt;"",'Data Source'!S957="A+"),'Data Source'!S957,"")</f>
        <v/>
      </c>
    </row>
    <row r="958">
      <c r="A958" s="3">
        <f>IF(AND('Data Source'!B958&lt;&gt;"",'Data Source'!S958="A+"),COUNTIF('Data Source'!$S$3:S958,"A+"),"")</f>
        <v/>
      </c>
      <c r="B958">
        <f>IF(AND('Data Source'!B958&lt;&gt;"",'Data Source'!S958="A+"),'Data Source'!B958,"")</f>
        <v/>
      </c>
      <c r="C958" s="3">
        <f>IF(AND('Data Source'!B958&lt;&gt;"",'Data Source'!S958="A+"),IF('Data Source'!U958&gt;=5,"A+",IF('Data Source'!U958&gt;=4,"A",IF('Data Source'!U958&gt;=3.5,"A-",IF('Data Source'!U958&gt;=3,"B",IF('Data Source'!U958&gt;=2,"C",IF('Data Source'!U958&gt;=1,"D","F")))))),"")</f>
        <v/>
      </c>
      <c r="D958" s="3">
        <f>IF(AND('Data Source'!B958&lt;&gt;"",'Data Source'!S958="A+"),IF('Data Source'!V958&gt;=5,"A+",IF('Data Source'!V958&gt;=4,"A",IF('Data Source'!V958&gt;=3.5,"A-",IF('Data Source'!V958&gt;=3,"B",IF('Data Source'!V958&gt;=2,"C",IF('Data Source'!V958&gt;=1,"D","F")))))),"")</f>
        <v/>
      </c>
      <c r="E958" s="3">
        <f>IF(AND('Data Source'!B958&lt;&gt;"",'Data Source'!S958="A+"),IF('Data Source'!W958&gt;=5,"A+",IF('Data Source'!W958&gt;=4,"A",IF('Data Source'!W958&gt;=3.5,"A-",IF('Data Source'!W958&gt;=3,"B",IF('Data Source'!W958&gt;=2,"C",IF('Data Source'!W958&gt;=1,"D","F")))))),"")</f>
        <v/>
      </c>
      <c r="F958" s="3">
        <f>IF(AND('Data Source'!B958&lt;&gt;"",'Data Source'!S958="A+"),IF('Data Source'!X958&gt;=5,"A+",IF('Data Source'!X958&gt;=4,"A",IF('Data Source'!X958&gt;=3.5,"A-",IF('Data Source'!X958&gt;=3,"B",IF('Data Source'!X958&gt;=2,"C",IF('Data Source'!X958&gt;=1,"D","F")))))),"")</f>
        <v/>
      </c>
      <c r="G958" s="3">
        <f>IF(AND('Data Source'!B958&lt;&gt;"",'Data Source'!S958="A+"),IF('Data Source'!Y958&gt;=5,"A+",IF('Data Source'!Y958&gt;=4,"A",IF('Data Source'!Y958&gt;=3.5,"A-",IF('Data Source'!Y958&gt;=3,"B",IF('Data Source'!Y958&gt;=2,"C",IF('Data Source'!Y958&gt;=1,"D","F")))))),"")</f>
        <v/>
      </c>
      <c r="H958" s="3">
        <f>IF(AND('Data Source'!B958&lt;&gt;"",'Data Source'!S958="A+"),IF('Data Source'!Z958&gt;=5,"A+",IF('Data Source'!Z958&gt;=4,"A",IF('Data Source'!Z958&gt;=3.5,"A-",IF('Data Source'!Z958&gt;=3,"B",IF('Data Source'!Z958&gt;=2,"C",IF('Data Source'!Z958&gt;=1,"D","F")))))),"")</f>
        <v/>
      </c>
      <c r="I958" s="3">
        <f>IF(AND('Data Source'!B958&lt;&gt;"",'Data Source'!S958="A+"),IF('Data Source'!AA958&gt;=5,"A+",IF('Data Source'!AA958&gt;=4,"A",IF('Data Source'!AA958&gt;=3.5,"A-",IF('Data Source'!AA958&gt;=3,"B",IF('Data Source'!AA958&gt;=2,"C",IF('Data Source'!AA958&gt;=1,"D","F")))))),"")</f>
        <v/>
      </c>
      <c r="J958" s="3">
        <f>IF(AND('Data Source'!B958&lt;&gt;"",'Data Source'!S958="A+"),IF('Data Source'!AB958&gt;=5,"A+",IF('Data Source'!AB958&gt;=4,"A",IF('Data Source'!AB958&gt;=3.5,"A-",IF('Data Source'!AB958&gt;=3,"B",IF('Data Source'!AB958&gt;=2,"C",IF('Data Source'!AB958&gt;=1,"D","F")))))),"")</f>
        <v/>
      </c>
      <c r="K958" s="3">
        <f>IF(AND('Data Source'!B958&lt;&gt;"",'Data Source'!S958="A+"),IF('Data Source'!AC958&gt;=5,"A+",IF('Data Source'!AC958&gt;=4,"A",IF('Data Source'!AC958&gt;=3.5,"A-",IF('Data Source'!AC958&gt;=3,"B",IF('Data Source'!AC958&gt;=2,"C",IF('Data Source'!AC958&gt;=1,"D","F")))))),"")</f>
        <v/>
      </c>
      <c r="L958" s="3">
        <f>IF(AND('Data Source'!B958&lt;&gt;"",'Data Source'!S958="A+"),IF('Data Source'!AD958&gt;=5,"A+",IF('Data Source'!AD958&gt;=4,"A",IF('Data Source'!AD958&gt;=3.5,"A-",IF('Data Source'!AD958&gt;=3,"B",IF('Data Source'!AD958&gt;=2,"C",IF('Data Source'!AD958&gt;=1,"D","F")))))),"")</f>
        <v/>
      </c>
      <c r="M958" s="3">
        <f>IF(AND('Data Source'!B958&lt;&gt;"",'Data Source'!S958="A+"),IF('Data Source'!AE958&gt;=5,"A+",IF('Data Source'!AE958&gt;=4,"A",IF('Data Source'!AE958&gt;=3.5,"A-",IF('Data Source'!AE958&gt;=3,"B",IF('Data Source'!AE958&gt;=2,"C",IF('Data Source'!AE958&gt;=1,"D","F")))))),"")</f>
        <v/>
      </c>
      <c r="N958" s="3">
        <f>IF(AND('Data Source'!B958&lt;&gt;"",'Data Source'!S958="A+"),IF('Data Source'!AF958&gt;=5,"A+",IF('Data Source'!AF958&gt;=4,"A",IF('Data Source'!AF958&gt;=3.5,"A-",IF('Data Source'!AF958&gt;=3,"B",IF('Data Source'!AF958&gt;=2,"C",IF('Data Source'!AF958&gt;=1,"D","F")))))),"")</f>
        <v/>
      </c>
      <c r="O958" s="3">
        <f>IF(AND('Data Source'!B958&lt;&gt;"",'Data Source'!S958="A+"),IF('Data Source'!AG958&gt;=5,"A+",IF('Data Source'!AG958&gt;=4,"A",IF('Data Source'!AG958&gt;=3.5,"A-",IF('Data Source'!AG958&gt;=3,"B",IF('Data Source'!AG958&gt;=2,"C",IF('Data Source'!AG958&gt;=1,"D","F")))))),"")</f>
        <v/>
      </c>
      <c r="P958" s="5">
        <f>IF(AND('Data Source'!B958&lt;&gt;"",'Data Source'!S958="A+"),'Data Source'!R958,"")</f>
        <v/>
      </c>
      <c r="Q958" s="3">
        <f>IF(AND('Data Source'!B958&lt;&gt;"",'Data Source'!S958="A+"),'Data Source'!S958,"")</f>
        <v/>
      </c>
    </row>
    <row r="959">
      <c r="A959" s="3">
        <f>IF(AND('Data Source'!B959&lt;&gt;"",'Data Source'!S959="A+"),COUNTIF('Data Source'!$S$3:S959,"A+"),"")</f>
        <v/>
      </c>
      <c r="B959">
        <f>IF(AND('Data Source'!B959&lt;&gt;"",'Data Source'!S959="A+"),'Data Source'!B959,"")</f>
        <v/>
      </c>
      <c r="C959" s="3">
        <f>IF(AND('Data Source'!B959&lt;&gt;"",'Data Source'!S959="A+"),IF('Data Source'!U959&gt;=5,"A+",IF('Data Source'!U959&gt;=4,"A",IF('Data Source'!U959&gt;=3.5,"A-",IF('Data Source'!U959&gt;=3,"B",IF('Data Source'!U959&gt;=2,"C",IF('Data Source'!U959&gt;=1,"D","F")))))),"")</f>
        <v/>
      </c>
      <c r="D959" s="3">
        <f>IF(AND('Data Source'!B959&lt;&gt;"",'Data Source'!S959="A+"),IF('Data Source'!V959&gt;=5,"A+",IF('Data Source'!V959&gt;=4,"A",IF('Data Source'!V959&gt;=3.5,"A-",IF('Data Source'!V959&gt;=3,"B",IF('Data Source'!V959&gt;=2,"C",IF('Data Source'!V959&gt;=1,"D","F")))))),"")</f>
        <v/>
      </c>
      <c r="E959" s="3">
        <f>IF(AND('Data Source'!B959&lt;&gt;"",'Data Source'!S959="A+"),IF('Data Source'!W959&gt;=5,"A+",IF('Data Source'!W959&gt;=4,"A",IF('Data Source'!W959&gt;=3.5,"A-",IF('Data Source'!W959&gt;=3,"B",IF('Data Source'!W959&gt;=2,"C",IF('Data Source'!W959&gt;=1,"D","F")))))),"")</f>
        <v/>
      </c>
      <c r="F959" s="3">
        <f>IF(AND('Data Source'!B959&lt;&gt;"",'Data Source'!S959="A+"),IF('Data Source'!X959&gt;=5,"A+",IF('Data Source'!X959&gt;=4,"A",IF('Data Source'!X959&gt;=3.5,"A-",IF('Data Source'!X959&gt;=3,"B",IF('Data Source'!X959&gt;=2,"C",IF('Data Source'!X959&gt;=1,"D","F")))))),"")</f>
        <v/>
      </c>
      <c r="G959" s="3">
        <f>IF(AND('Data Source'!B959&lt;&gt;"",'Data Source'!S959="A+"),IF('Data Source'!Y959&gt;=5,"A+",IF('Data Source'!Y959&gt;=4,"A",IF('Data Source'!Y959&gt;=3.5,"A-",IF('Data Source'!Y959&gt;=3,"B",IF('Data Source'!Y959&gt;=2,"C",IF('Data Source'!Y959&gt;=1,"D","F")))))),"")</f>
        <v/>
      </c>
      <c r="H959" s="3">
        <f>IF(AND('Data Source'!B959&lt;&gt;"",'Data Source'!S959="A+"),IF('Data Source'!Z959&gt;=5,"A+",IF('Data Source'!Z959&gt;=4,"A",IF('Data Source'!Z959&gt;=3.5,"A-",IF('Data Source'!Z959&gt;=3,"B",IF('Data Source'!Z959&gt;=2,"C",IF('Data Source'!Z959&gt;=1,"D","F")))))),"")</f>
        <v/>
      </c>
      <c r="I959" s="3">
        <f>IF(AND('Data Source'!B959&lt;&gt;"",'Data Source'!S959="A+"),IF('Data Source'!AA959&gt;=5,"A+",IF('Data Source'!AA959&gt;=4,"A",IF('Data Source'!AA959&gt;=3.5,"A-",IF('Data Source'!AA959&gt;=3,"B",IF('Data Source'!AA959&gt;=2,"C",IF('Data Source'!AA959&gt;=1,"D","F")))))),"")</f>
        <v/>
      </c>
      <c r="J959" s="3">
        <f>IF(AND('Data Source'!B959&lt;&gt;"",'Data Source'!S959="A+"),IF('Data Source'!AB959&gt;=5,"A+",IF('Data Source'!AB959&gt;=4,"A",IF('Data Source'!AB959&gt;=3.5,"A-",IF('Data Source'!AB959&gt;=3,"B",IF('Data Source'!AB959&gt;=2,"C",IF('Data Source'!AB959&gt;=1,"D","F")))))),"")</f>
        <v/>
      </c>
      <c r="K959" s="3">
        <f>IF(AND('Data Source'!B959&lt;&gt;"",'Data Source'!S959="A+"),IF('Data Source'!AC959&gt;=5,"A+",IF('Data Source'!AC959&gt;=4,"A",IF('Data Source'!AC959&gt;=3.5,"A-",IF('Data Source'!AC959&gt;=3,"B",IF('Data Source'!AC959&gt;=2,"C",IF('Data Source'!AC959&gt;=1,"D","F")))))),"")</f>
        <v/>
      </c>
      <c r="L959" s="3">
        <f>IF(AND('Data Source'!B959&lt;&gt;"",'Data Source'!S959="A+"),IF('Data Source'!AD959&gt;=5,"A+",IF('Data Source'!AD959&gt;=4,"A",IF('Data Source'!AD959&gt;=3.5,"A-",IF('Data Source'!AD959&gt;=3,"B",IF('Data Source'!AD959&gt;=2,"C",IF('Data Source'!AD959&gt;=1,"D","F")))))),"")</f>
        <v/>
      </c>
      <c r="M959" s="3">
        <f>IF(AND('Data Source'!B959&lt;&gt;"",'Data Source'!S959="A+"),IF('Data Source'!AE959&gt;=5,"A+",IF('Data Source'!AE959&gt;=4,"A",IF('Data Source'!AE959&gt;=3.5,"A-",IF('Data Source'!AE959&gt;=3,"B",IF('Data Source'!AE959&gt;=2,"C",IF('Data Source'!AE959&gt;=1,"D","F")))))),"")</f>
        <v/>
      </c>
      <c r="N959" s="3">
        <f>IF(AND('Data Source'!B959&lt;&gt;"",'Data Source'!S959="A+"),IF('Data Source'!AF959&gt;=5,"A+",IF('Data Source'!AF959&gt;=4,"A",IF('Data Source'!AF959&gt;=3.5,"A-",IF('Data Source'!AF959&gt;=3,"B",IF('Data Source'!AF959&gt;=2,"C",IF('Data Source'!AF959&gt;=1,"D","F")))))),"")</f>
        <v/>
      </c>
      <c r="O959" s="3">
        <f>IF(AND('Data Source'!B959&lt;&gt;"",'Data Source'!S959="A+"),IF('Data Source'!AG959&gt;=5,"A+",IF('Data Source'!AG959&gt;=4,"A",IF('Data Source'!AG959&gt;=3.5,"A-",IF('Data Source'!AG959&gt;=3,"B",IF('Data Source'!AG959&gt;=2,"C",IF('Data Source'!AG959&gt;=1,"D","F")))))),"")</f>
        <v/>
      </c>
      <c r="P959" s="5">
        <f>IF(AND('Data Source'!B959&lt;&gt;"",'Data Source'!S959="A+"),'Data Source'!R959,"")</f>
        <v/>
      </c>
      <c r="Q959" s="3">
        <f>IF(AND('Data Source'!B959&lt;&gt;"",'Data Source'!S959="A+"),'Data Source'!S959,"")</f>
        <v/>
      </c>
    </row>
    <row r="960">
      <c r="A960" s="3">
        <f>IF(AND('Data Source'!B960&lt;&gt;"",'Data Source'!S960="A+"),COUNTIF('Data Source'!$S$3:S960,"A+"),"")</f>
        <v/>
      </c>
      <c r="B960">
        <f>IF(AND('Data Source'!B960&lt;&gt;"",'Data Source'!S960="A+"),'Data Source'!B960,"")</f>
        <v/>
      </c>
      <c r="C960" s="3">
        <f>IF(AND('Data Source'!B960&lt;&gt;"",'Data Source'!S960="A+"),IF('Data Source'!U960&gt;=5,"A+",IF('Data Source'!U960&gt;=4,"A",IF('Data Source'!U960&gt;=3.5,"A-",IF('Data Source'!U960&gt;=3,"B",IF('Data Source'!U960&gt;=2,"C",IF('Data Source'!U960&gt;=1,"D","F")))))),"")</f>
        <v/>
      </c>
      <c r="D960" s="3">
        <f>IF(AND('Data Source'!B960&lt;&gt;"",'Data Source'!S960="A+"),IF('Data Source'!V960&gt;=5,"A+",IF('Data Source'!V960&gt;=4,"A",IF('Data Source'!V960&gt;=3.5,"A-",IF('Data Source'!V960&gt;=3,"B",IF('Data Source'!V960&gt;=2,"C",IF('Data Source'!V960&gt;=1,"D","F")))))),"")</f>
        <v/>
      </c>
      <c r="E960" s="3">
        <f>IF(AND('Data Source'!B960&lt;&gt;"",'Data Source'!S960="A+"),IF('Data Source'!W960&gt;=5,"A+",IF('Data Source'!W960&gt;=4,"A",IF('Data Source'!W960&gt;=3.5,"A-",IF('Data Source'!W960&gt;=3,"B",IF('Data Source'!W960&gt;=2,"C",IF('Data Source'!W960&gt;=1,"D","F")))))),"")</f>
        <v/>
      </c>
      <c r="F960" s="3">
        <f>IF(AND('Data Source'!B960&lt;&gt;"",'Data Source'!S960="A+"),IF('Data Source'!X960&gt;=5,"A+",IF('Data Source'!X960&gt;=4,"A",IF('Data Source'!X960&gt;=3.5,"A-",IF('Data Source'!X960&gt;=3,"B",IF('Data Source'!X960&gt;=2,"C",IF('Data Source'!X960&gt;=1,"D","F")))))),"")</f>
        <v/>
      </c>
      <c r="G960" s="3">
        <f>IF(AND('Data Source'!B960&lt;&gt;"",'Data Source'!S960="A+"),IF('Data Source'!Y960&gt;=5,"A+",IF('Data Source'!Y960&gt;=4,"A",IF('Data Source'!Y960&gt;=3.5,"A-",IF('Data Source'!Y960&gt;=3,"B",IF('Data Source'!Y960&gt;=2,"C",IF('Data Source'!Y960&gt;=1,"D","F")))))),"")</f>
        <v/>
      </c>
      <c r="H960" s="3">
        <f>IF(AND('Data Source'!B960&lt;&gt;"",'Data Source'!S960="A+"),IF('Data Source'!Z960&gt;=5,"A+",IF('Data Source'!Z960&gt;=4,"A",IF('Data Source'!Z960&gt;=3.5,"A-",IF('Data Source'!Z960&gt;=3,"B",IF('Data Source'!Z960&gt;=2,"C",IF('Data Source'!Z960&gt;=1,"D","F")))))),"")</f>
        <v/>
      </c>
      <c r="I960" s="3">
        <f>IF(AND('Data Source'!B960&lt;&gt;"",'Data Source'!S960="A+"),IF('Data Source'!AA960&gt;=5,"A+",IF('Data Source'!AA960&gt;=4,"A",IF('Data Source'!AA960&gt;=3.5,"A-",IF('Data Source'!AA960&gt;=3,"B",IF('Data Source'!AA960&gt;=2,"C",IF('Data Source'!AA960&gt;=1,"D","F")))))),"")</f>
        <v/>
      </c>
      <c r="J960" s="3">
        <f>IF(AND('Data Source'!B960&lt;&gt;"",'Data Source'!S960="A+"),IF('Data Source'!AB960&gt;=5,"A+",IF('Data Source'!AB960&gt;=4,"A",IF('Data Source'!AB960&gt;=3.5,"A-",IF('Data Source'!AB960&gt;=3,"B",IF('Data Source'!AB960&gt;=2,"C",IF('Data Source'!AB960&gt;=1,"D","F")))))),"")</f>
        <v/>
      </c>
      <c r="K960" s="3">
        <f>IF(AND('Data Source'!B960&lt;&gt;"",'Data Source'!S960="A+"),IF('Data Source'!AC960&gt;=5,"A+",IF('Data Source'!AC960&gt;=4,"A",IF('Data Source'!AC960&gt;=3.5,"A-",IF('Data Source'!AC960&gt;=3,"B",IF('Data Source'!AC960&gt;=2,"C",IF('Data Source'!AC960&gt;=1,"D","F")))))),"")</f>
        <v/>
      </c>
      <c r="L960" s="3">
        <f>IF(AND('Data Source'!B960&lt;&gt;"",'Data Source'!S960="A+"),IF('Data Source'!AD960&gt;=5,"A+",IF('Data Source'!AD960&gt;=4,"A",IF('Data Source'!AD960&gt;=3.5,"A-",IF('Data Source'!AD960&gt;=3,"B",IF('Data Source'!AD960&gt;=2,"C",IF('Data Source'!AD960&gt;=1,"D","F")))))),"")</f>
        <v/>
      </c>
      <c r="M960" s="3">
        <f>IF(AND('Data Source'!B960&lt;&gt;"",'Data Source'!S960="A+"),IF('Data Source'!AE960&gt;=5,"A+",IF('Data Source'!AE960&gt;=4,"A",IF('Data Source'!AE960&gt;=3.5,"A-",IF('Data Source'!AE960&gt;=3,"B",IF('Data Source'!AE960&gt;=2,"C",IF('Data Source'!AE960&gt;=1,"D","F")))))),"")</f>
        <v/>
      </c>
      <c r="N960" s="3">
        <f>IF(AND('Data Source'!B960&lt;&gt;"",'Data Source'!S960="A+"),IF('Data Source'!AF960&gt;=5,"A+",IF('Data Source'!AF960&gt;=4,"A",IF('Data Source'!AF960&gt;=3.5,"A-",IF('Data Source'!AF960&gt;=3,"B",IF('Data Source'!AF960&gt;=2,"C",IF('Data Source'!AF960&gt;=1,"D","F")))))),"")</f>
        <v/>
      </c>
      <c r="O960" s="3">
        <f>IF(AND('Data Source'!B960&lt;&gt;"",'Data Source'!S960="A+"),IF('Data Source'!AG960&gt;=5,"A+",IF('Data Source'!AG960&gt;=4,"A",IF('Data Source'!AG960&gt;=3.5,"A-",IF('Data Source'!AG960&gt;=3,"B",IF('Data Source'!AG960&gt;=2,"C",IF('Data Source'!AG960&gt;=1,"D","F")))))),"")</f>
        <v/>
      </c>
      <c r="P960" s="5">
        <f>IF(AND('Data Source'!B960&lt;&gt;"",'Data Source'!S960="A+"),'Data Source'!R960,"")</f>
        <v/>
      </c>
      <c r="Q960" s="3">
        <f>IF(AND('Data Source'!B960&lt;&gt;"",'Data Source'!S960="A+"),'Data Source'!S960,"")</f>
        <v/>
      </c>
    </row>
    <row r="961">
      <c r="A961" s="3">
        <f>IF(AND('Data Source'!B961&lt;&gt;"",'Data Source'!S961="A+"),COUNTIF('Data Source'!$S$3:S961,"A+"),"")</f>
        <v/>
      </c>
      <c r="B961">
        <f>IF(AND('Data Source'!B961&lt;&gt;"",'Data Source'!S961="A+"),'Data Source'!B961,"")</f>
        <v/>
      </c>
      <c r="C961" s="3">
        <f>IF(AND('Data Source'!B961&lt;&gt;"",'Data Source'!S961="A+"),IF('Data Source'!U961&gt;=5,"A+",IF('Data Source'!U961&gt;=4,"A",IF('Data Source'!U961&gt;=3.5,"A-",IF('Data Source'!U961&gt;=3,"B",IF('Data Source'!U961&gt;=2,"C",IF('Data Source'!U961&gt;=1,"D","F")))))),"")</f>
        <v/>
      </c>
      <c r="D961" s="3">
        <f>IF(AND('Data Source'!B961&lt;&gt;"",'Data Source'!S961="A+"),IF('Data Source'!V961&gt;=5,"A+",IF('Data Source'!V961&gt;=4,"A",IF('Data Source'!V961&gt;=3.5,"A-",IF('Data Source'!V961&gt;=3,"B",IF('Data Source'!V961&gt;=2,"C",IF('Data Source'!V961&gt;=1,"D","F")))))),"")</f>
        <v/>
      </c>
      <c r="E961" s="3">
        <f>IF(AND('Data Source'!B961&lt;&gt;"",'Data Source'!S961="A+"),IF('Data Source'!W961&gt;=5,"A+",IF('Data Source'!W961&gt;=4,"A",IF('Data Source'!W961&gt;=3.5,"A-",IF('Data Source'!W961&gt;=3,"B",IF('Data Source'!W961&gt;=2,"C",IF('Data Source'!W961&gt;=1,"D","F")))))),"")</f>
        <v/>
      </c>
      <c r="F961" s="3">
        <f>IF(AND('Data Source'!B961&lt;&gt;"",'Data Source'!S961="A+"),IF('Data Source'!X961&gt;=5,"A+",IF('Data Source'!X961&gt;=4,"A",IF('Data Source'!X961&gt;=3.5,"A-",IF('Data Source'!X961&gt;=3,"B",IF('Data Source'!X961&gt;=2,"C",IF('Data Source'!X961&gt;=1,"D","F")))))),"")</f>
        <v/>
      </c>
      <c r="G961" s="3">
        <f>IF(AND('Data Source'!B961&lt;&gt;"",'Data Source'!S961="A+"),IF('Data Source'!Y961&gt;=5,"A+",IF('Data Source'!Y961&gt;=4,"A",IF('Data Source'!Y961&gt;=3.5,"A-",IF('Data Source'!Y961&gt;=3,"B",IF('Data Source'!Y961&gt;=2,"C",IF('Data Source'!Y961&gt;=1,"D","F")))))),"")</f>
        <v/>
      </c>
      <c r="H961" s="3">
        <f>IF(AND('Data Source'!B961&lt;&gt;"",'Data Source'!S961="A+"),IF('Data Source'!Z961&gt;=5,"A+",IF('Data Source'!Z961&gt;=4,"A",IF('Data Source'!Z961&gt;=3.5,"A-",IF('Data Source'!Z961&gt;=3,"B",IF('Data Source'!Z961&gt;=2,"C",IF('Data Source'!Z961&gt;=1,"D","F")))))),"")</f>
        <v/>
      </c>
      <c r="I961" s="3">
        <f>IF(AND('Data Source'!B961&lt;&gt;"",'Data Source'!S961="A+"),IF('Data Source'!AA961&gt;=5,"A+",IF('Data Source'!AA961&gt;=4,"A",IF('Data Source'!AA961&gt;=3.5,"A-",IF('Data Source'!AA961&gt;=3,"B",IF('Data Source'!AA961&gt;=2,"C",IF('Data Source'!AA961&gt;=1,"D","F")))))),"")</f>
        <v/>
      </c>
      <c r="J961" s="3">
        <f>IF(AND('Data Source'!B961&lt;&gt;"",'Data Source'!S961="A+"),IF('Data Source'!AB961&gt;=5,"A+",IF('Data Source'!AB961&gt;=4,"A",IF('Data Source'!AB961&gt;=3.5,"A-",IF('Data Source'!AB961&gt;=3,"B",IF('Data Source'!AB961&gt;=2,"C",IF('Data Source'!AB961&gt;=1,"D","F")))))),"")</f>
        <v/>
      </c>
      <c r="K961" s="3">
        <f>IF(AND('Data Source'!B961&lt;&gt;"",'Data Source'!S961="A+"),IF('Data Source'!AC961&gt;=5,"A+",IF('Data Source'!AC961&gt;=4,"A",IF('Data Source'!AC961&gt;=3.5,"A-",IF('Data Source'!AC961&gt;=3,"B",IF('Data Source'!AC961&gt;=2,"C",IF('Data Source'!AC961&gt;=1,"D","F")))))),"")</f>
        <v/>
      </c>
      <c r="L961" s="3">
        <f>IF(AND('Data Source'!B961&lt;&gt;"",'Data Source'!S961="A+"),IF('Data Source'!AD961&gt;=5,"A+",IF('Data Source'!AD961&gt;=4,"A",IF('Data Source'!AD961&gt;=3.5,"A-",IF('Data Source'!AD961&gt;=3,"B",IF('Data Source'!AD961&gt;=2,"C",IF('Data Source'!AD961&gt;=1,"D","F")))))),"")</f>
        <v/>
      </c>
      <c r="M961" s="3">
        <f>IF(AND('Data Source'!B961&lt;&gt;"",'Data Source'!S961="A+"),IF('Data Source'!AE961&gt;=5,"A+",IF('Data Source'!AE961&gt;=4,"A",IF('Data Source'!AE961&gt;=3.5,"A-",IF('Data Source'!AE961&gt;=3,"B",IF('Data Source'!AE961&gt;=2,"C",IF('Data Source'!AE961&gt;=1,"D","F")))))),"")</f>
        <v/>
      </c>
      <c r="N961" s="3">
        <f>IF(AND('Data Source'!B961&lt;&gt;"",'Data Source'!S961="A+"),IF('Data Source'!AF961&gt;=5,"A+",IF('Data Source'!AF961&gt;=4,"A",IF('Data Source'!AF961&gt;=3.5,"A-",IF('Data Source'!AF961&gt;=3,"B",IF('Data Source'!AF961&gt;=2,"C",IF('Data Source'!AF961&gt;=1,"D","F")))))),"")</f>
        <v/>
      </c>
      <c r="O961" s="3">
        <f>IF(AND('Data Source'!B961&lt;&gt;"",'Data Source'!S961="A+"),IF('Data Source'!AG961&gt;=5,"A+",IF('Data Source'!AG961&gt;=4,"A",IF('Data Source'!AG961&gt;=3.5,"A-",IF('Data Source'!AG961&gt;=3,"B",IF('Data Source'!AG961&gt;=2,"C",IF('Data Source'!AG961&gt;=1,"D","F")))))),"")</f>
        <v/>
      </c>
      <c r="P961" s="5">
        <f>IF(AND('Data Source'!B961&lt;&gt;"",'Data Source'!S961="A+"),'Data Source'!R961,"")</f>
        <v/>
      </c>
      <c r="Q961" s="3">
        <f>IF(AND('Data Source'!B961&lt;&gt;"",'Data Source'!S961="A+"),'Data Source'!S961,"")</f>
        <v/>
      </c>
    </row>
    <row r="962">
      <c r="A962" s="3">
        <f>IF(AND('Data Source'!B962&lt;&gt;"",'Data Source'!S962="A+"),COUNTIF('Data Source'!$S$3:S962,"A+"),"")</f>
        <v/>
      </c>
      <c r="B962">
        <f>IF(AND('Data Source'!B962&lt;&gt;"",'Data Source'!S962="A+"),'Data Source'!B962,"")</f>
        <v/>
      </c>
      <c r="C962" s="3">
        <f>IF(AND('Data Source'!B962&lt;&gt;"",'Data Source'!S962="A+"),IF('Data Source'!U962&gt;=5,"A+",IF('Data Source'!U962&gt;=4,"A",IF('Data Source'!U962&gt;=3.5,"A-",IF('Data Source'!U962&gt;=3,"B",IF('Data Source'!U962&gt;=2,"C",IF('Data Source'!U962&gt;=1,"D","F")))))),"")</f>
        <v/>
      </c>
      <c r="D962" s="3">
        <f>IF(AND('Data Source'!B962&lt;&gt;"",'Data Source'!S962="A+"),IF('Data Source'!V962&gt;=5,"A+",IF('Data Source'!V962&gt;=4,"A",IF('Data Source'!V962&gt;=3.5,"A-",IF('Data Source'!V962&gt;=3,"B",IF('Data Source'!V962&gt;=2,"C",IF('Data Source'!V962&gt;=1,"D","F")))))),"")</f>
        <v/>
      </c>
      <c r="E962" s="3">
        <f>IF(AND('Data Source'!B962&lt;&gt;"",'Data Source'!S962="A+"),IF('Data Source'!W962&gt;=5,"A+",IF('Data Source'!W962&gt;=4,"A",IF('Data Source'!W962&gt;=3.5,"A-",IF('Data Source'!W962&gt;=3,"B",IF('Data Source'!W962&gt;=2,"C",IF('Data Source'!W962&gt;=1,"D","F")))))),"")</f>
        <v/>
      </c>
      <c r="F962" s="3">
        <f>IF(AND('Data Source'!B962&lt;&gt;"",'Data Source'!S962="A+"),IF('Data Source'!X962&gt;=5,"A+",IF('Data Source'!X962&gt;=4,"A",IF('Data Source'!X962&gt;=3.5,"A-",IF('Data Source'!X962&gt;=3,"B",IF('Data Source'!X962&gt;=2,"C",IF('Data Source'!X962&gt;=1,"D","F")))))),"")</f>
        <v/>
      </c>
      <c r="G962" s="3">
        <f>IF(AND('Data Source'!B962&lt;&gt;"",'Data Source'!S962="A+"),IF('Data Source'!Y962&gt;=5,"A+",IF('Data Source'!Y962&gt;=4,"A",IF('Data Source'!Y962&gt;=3.5,"A-",IF('Data Source'!Y962&gt;=3,"B",IF('Data Source'!Y962&gt;=2,"C",IF('Data Source'!Y962&gt;=1,"D","F")))))),"")</f>
        <v/>
      </c>
      <c r="H962" s="3">
        <f>IF(AND('Data Source'!B962&lt;&gt;"",'Data Source'!S962="A+"),IF('Data Source'!Z962&gt;=5,"A+",IF('Data Source'!Z962&gt;=4,"A",IF('Data Source'!Z962&gt;=3.5,"A-",IF('Data Source'!Z962&gt;=3,"B",IF('Data Source'!Z962&gt;=2,"C",IF('Data Source'!Z962&gt;=1,"D","F")))))),"")</f>
        <v/>
      </c>
      <c r="I962" s="3">
        <f>IF(AND('Data Source'!B962&lt;&gt;"",'Data Source'!S962="A+"),IF('Data Source'!AA962&gt;=5,"A+",IF('Data Source'!AA962&gt;=4,"A",IF('Data Source'!AA962&gt;=3.5,"A-",IF('Data Source'!AA962&gt;=3,"B",IF('Data Source'!AA962&gt;=2,"C",IF('Data Source'!AA962&gt;=1,"D","F")))))),"")</f>
        <v/>
      </c>
      <c r="J962" s="3">
        <f>IF(AND('Data Source'!B962&lt;&gt;"",'Data Source'!S962="A+"),IF('Data Source'!AB962&gt;=5,"A+",IF('Data Source'!AB962&gt;=4,"A",IF('Data Source'!AB962&gt;=3.5,"A-",IF('Data Source'!AB962&gt;=3,"B",IF('Data Source'!AB962&gt;=2,"C",IF('Data Source'!AB962&gt;=1,"D","F")))))),"")</f>
        <v/>
      </c>
      <c r="K962" s="3">
        <f>IF(AND('Data Source'!B962&lt;&gt;"",'Data Source'!S962="A+"),IF('Data Source'!AC962&gt;=5,"A+",IF('Data Source'!AC962&gt;=4,"A",IF('Data Source'!AC962&gt;=3.5,"A-",IF('Data Source'!AC962&gt;=3,"B",IF('Data Source'!AC962&gt;=2,"C",IF('Data Source'!AC962&gt;=1,"D","F")))))),"")</f>
        <v/>
      </c>
      <c r="L962" s="3">
        <f>IF(AND('Data Source'!B962&lt;&gt;"",'Data Source'!S962="A+"),IF('Data Source'!AD962&gt;=5,"A+",IF('Data Source'!AD962&gt;=4,"A",IF('Data Source'!AD962&gt;=3.5,"A-",IF('Data Source'!AD962&gt;=3,"B",IF('Data Source'!AD962&gt;=2,"C",IF('Data Source'!AD962&gt;=1,"D","F")))))),"")</f>
        <v/>
      </c>
      <c r="M962" s="3">
        <f>IF(AND('Data Source'!B962&lt;&gt;"",'Data Source'!S962="A+"),IF('Data Source'!AE962&gt;=5,"A+",IF('Data Source'!AE962&gt;=4,"A",IF('Data Source'!AE962&gt;=3.5,"A-",IF('Data Source'!AE962&gt;=3,"B",IF('Data Source'!AE962&gt;=2,"C",IF('Data Source'!AE962&gt;=1,"D","F")))))),"")</f>
        <v/>
      </c>
      <c r="N962" s="3">
        <f>IF(AND('Data Source'!B962&lt;&gt;"",'Data Source'!S962="A+"),IF('Data Source'!AF962&gt;=5,"A+",IF('Data Source'!AF962&gt;=4,"A",IF('Data Source'!AF962&gt;=3.5,"A-",IF('Data Source'!AF962&gt;=3,"B",IF('Data Source'!AF962&gt;=2,"C",IF('Data Source'!AF962&gt;=1,"D","F")))))),"")</f>
        <v/>
      </c>
      <c r="O962" s="3">
        <f>IF(AND('Data Source'!B962&lt;&gt;"",'Data Source'!S962="A+"),IF('Data Source'!AG962&gt;=5,"A+",IF('Data Source'!AG962&gt;=4,"A",IF('Data Source'!AG962&gt;=3.5,"A-",IF('Data Source'!AG962&gt;=3,"B",IF('Data Source'!AG962&gt;=2,"C",IF('Data Source'!AG962&gt;=1,"D","F")))))),"")</f>
        <v/>
      </c>
      <c r="P962" s="5">
        <f>IF(AND('Data Source'!B962&lt;&gt;"",'Data Source'!S962="A+"),'Data Source'!R962,"")</f>
        <v/>
      </c>
      <c r="Q962" s="3">
        <f>IF(AND('Data Source'!B962&lt;&gt;"",'Data Source'!S962="A+"),'Data Source'!S962,"")</f>
        <v/>
      </c>
    </row>
    <row r="963">
      <c r="A963" s="3">
        <f>IF(AND('Data Source'!B963&lt;&gt;"",'Data Source'!S963="A+"),COUNTIF('Data Source'!$S$3:S963,"A+"),"")</f>
        <v/>
      </c>
      <c r="B963">
        <f>IF(AND('Data Source'!B963&lt;&gt;"",'Data Source'!S963="A+"),'Data Source'!B963,"")</f>
        <v/>
      </c>
      <c r="C963" s="3">
        <f>IF(AND('Data Source'!B963&lt;&gt;"",'Data Source'!S963="A+"),IF('Data Source'!U963&gt;=5,"A+",IF('Data Source'!U963&gt;=4,"A",IF('Data Source'!U963&gt;=3.5,"A-",IF('Data Source'!U963&gt;=3,"B",IF('Data Source'!U963&gt;=2,"C",IF('Data Source'!U963&gt;=1,"D","F")))))),"")</f>
        <v/>
      </c>
      <c r="D963" s="3">
        <f>IF(AND('Data Source'!B963&lt;&gt;"",'Data Source'!S963="A+"),IF('Data Source'!V963&gt;=5,"A+",IF('Data Source'!V963&gt;=4,"A",IF('Data Source'!V963&gt;=3.5,"A-",IF('Data Source'!V963&gt;=3,"B",IF('Data Source'!V963&gt;=2,"C",IF('Data Source'!V963&gt;=1,"D","F")))))),"")</f>
        <v/>
      </c>
      <c r="E963" s="3">
        <f>IF(AND('Data Source'!B963&lt;&gt;"",'Data Source'!S963="A+"),IF('Data Source'!W963&gt;=5,"A+",IF('Data Source'!W963&gt;=4,"A",IF('Data Source'!W963&gt;=3.5,"A-",IF('Data Source'!W963&gt;=3,"B",IF('Data Source'!W963&gt;=2,"C",IF('Data Source'!W963&gt;=1,"D","F")))))),"")</f>
        <v/>
      </c>
      <c r="F963" s="3">
        <f>IF(AND('Data Source'!B963&lt;&gt;"",'Data Source'!S963="A+"),IF('Data Source'!X963&gt;=5,"A+",IF('Data Source'!X963&gt;=4,"A",IF('Data Source'!X963&gt;=3.5,"A-",IF('Data Source'!X963&gt;=3,"B",IF('Data Source'!X963&gt;=2,"C",IF('Data Source'!X963&gt;=1,"D","F")))))),"")</f>
        <v/>
      </c>
      <c r="G963" s="3">
        <f>IF(AND('Data Source'!B963&lt;&gt;"",'Data Source'!S963="A+"),IF('Data Source'!Y963&gt;=5,"A+",IF('Data Source'!Y963&gt;=4,"A",IF('Data Source'!Y963&gt;=3.5,"A-",IF('Data Source'!Y963&gt;=3,"B",IF('Data Source'!Y963&gt;=2,"C",IF('Data Source'!Y963&gt;=1,"D","F")))))),"")</f>
        <v/>
      </c>
      <c r="H963" s="3">
        <f>IF(AND('Data Source'!B963&lt;&gt;"",'Data Source'!S963="A+"),IF('Data Source'!Z963&gt;=5,"A+",IF('Data Source'!Z963&gt;=4,"A",IF('Data Source'!Z963&gt;=3.5,"A-",IF('Data Source'!Z963&gt;=3,"B",IF('Data Source'!Z963&gt;=2,"C",IF('Data Source'!Z963&gt;=1,"D","F")))))),"")</f>
        <v/>
      </c>
      <c r="I963" s="3">
        <f>IF(AND('Data Source'!B963&lt;&gt;"",'Data Source'!S963="A+"),IF('Data Source'!AA963&gt;=5,"A+",IF('Data Source'!AA963&gt;=4,"A",IF('Data Source'!AA963&gt;=3.5,"A-",IF('Data Source'!AA963&gt;=3,"B",IF('Data Source'!AA963&gt;=2,"C",IF('Data Source'!AA963&gt;=1,"D","F")))))),"")</f>
        <v/>
      </c>
      <c r="J963" s="3">
        <f>IF(AND('Data Source'!B963&lt;&gt;"",'Data Source'!S963="A+"),IF('Data Source'!AB963&gt;=5,"A+",IF('Data Source'!AB963&gt;=4,"A",IF('Data Source'!AB963&gt;=3.5,"A-",IF('Data Source'!AB963&gt;=3,"B",IF('Data Source'!AB963&gt;=2,"C",IF('Data Source'!AB963&gt;=1,"D","F")))))),"")</f>
        <v/>
      </c>
      <c r="K963" s="3">
        <f>IF(AND('Data Source'!B963&lt;&gt;"",'Data Source'!S963="A+"),IF('Data Source'!AC963&gt;=5,"A+",IF('Data Source'!AC963&gt;=4,"A",IF('Data Source'!AC963&gt;=3.5,"A-",IF('Data Source'!AC963&gt;=3,"B",IF('Data Source'!AC963&gt;=2,"C",IF('Data Source'!AC963&gt;=1,"D","F")))))),"")</f>
        <v/>
      </c>
      <c r="L963" s="3">
        <f>IF(AND('Data Source'!B963&lt;&gt;"",'Data Source'!S963="A+"),IF('Data Source'!AD963&gt;=5,"A+",IF('Data Source'!AD963&gt;=4,"A",IF('Data Source'!AD963&gt;=3.5,"A-",IF('Data Source'!AD963&gt;=3,"B",IF('Data Source'!AD963&gt;=2,"C",IF('Data Source'!AD963&gt;=1,"D","F")))))),"")</f>
        <v/>
      </c>
      <c r="M963" s="3">
        <f>IF(AND('Data Source'!B963&lt;&gt;"",'Data Source'!S963="A+"),IF('Data Source'!AE963&gt;=5,"A+",IF('Data Source'!AE963&gt;=4,"A",IF('Data Source'!AE963&gt;=3.5,"A-",IF('Data Source'!AE963&gt;=3,"B",IF('Data Source'!AE963&gt;=2,"C",IF('Data Source'!AE963&gt;=1,"D","F")))))),"")</f>
        <v/>
      </c>
      <c r="N963" s="3">
        <f>IF(AND('Data Source'!B963&lt;&gt;"",'Data Source'!S963="A+"),IF('Data Source'!AF963&gt;=5,"A+",IF('Data Source'!AF963&gt;=4,"A",IF('Data Source'!AF963&gt;=3.5,"A-",IF('Data Source'!AF963&gt;=3,"B",IF('Data Source'!AF963&gt;=2,"C",IF('Data Source'!AF963&gt;=1,"D","F")))))),"")</f>
        <v/>
      </c>
      <c r="O963" s="3">
        <f>IF(AND('Data Source'!B963&lt;&gt;"",'Data Source'!S963="A+"),IF('Data Source'!AG963&gt;=5,"A+",IF('Data Source'!AG963&gt;=4,"A",IF('Data Source'!AG963&gt;=3.5,"A-",IF('Data Source'!AG963&gt;=3,"B",IF('Data Source'!AG963&gt;=2,"C",IF('Data Source'!AG963&gt;=1,"D","F")))))),"")</f>
        <v/>
      </c>
      <c r="P963" s="5">
        <f>IF(AND('Data Source'!B963&lt;&gt;"",'Data Source'!S963="A+"),'Data Source'!R963,"")</f>
        <v/>
      </c>
      <c r="Q963" s="3">
        <f>IF(AND('Data Source'!B963&lt;&gt;"",'Data Source'!S963="A+"),'Data Source'!S963,"")</f>
        <v/>
      </c>
    </row>
    <row r="964">
      <c r="A964" s="3">
        <f>IF(AND('Data Source'!B964&lt;&gt;"",'Data Source'!S964="A+"),COUNTIF('Data Source'!$S$3:S964,"A+"),"")</f>
        <v/>
      </c>
      <c r="B964">
        <f>IF(AND('Data Source'!B964&lt;&gt;"",'Data Source'!S964="A+"),'Data Source'!B964,"")</f>
        <v/>
      </c>
      <c r="C964" s="3">
        <f>IF(AND('Data Source'!B964&lt;&gt;"",'Data Source'!S964="A+"),IF('Data Source'!U964&gt;=5,"A+",IF('Data Source'!U964&gt;=4,"A",IF('Data Source'!U964&gt;=3.5,"A-",IF('Data Source'!U964&gt;=3,"B",IF('Data Source'!U964&gt;=2,"C",IF('Data Source'!U964&gt;=1,"D","F")))))),"")</f>
        <v/>
      </c>
      <c r="D964" s="3">
        <f>IF(AND('Data Source'!B964&lt;&gt;"",'Data Source'!S964="A+"),IF('Data Source'!V964&gt;=5,"A+",IF('Data Source'!V964&gt;=4,"A",IF('Data Source'!V964&gt;=3.5,"A-",IF('Data Source'!V964&gt;=3,"B",IF('Data Source'!V964&gt;=2,"C",IF('Data Source'!V964&gt;=1,"D","F")))))),"")</f>
        <v/>
      </c>
      <c r="E964" s="3">
        <f>IF(AND('Data Source'!B964&lt;&gt;"",'Data Source'!S964="A+"),IF('Data Source'!W964&gt;=5,"A+",IF('Data Source'!W964&gt;=4,"A",IF('Data Source'!W964&gt;=3.5,"A-",IF('Data Source'!W964&gt;=3,"B",IF('Data Source'!W964&gt;=2,"C",IF('Data Source'!W964&gt;=1,"D","F")))))),"")</f>
        <v/>
      </c>
      <c r="F964" s="3">
        <f>IF(AND('Data Source'!B964&lt;&gt;"",'Data Source'!S964="A+"),IF('Data Source'!X964&gt;=5,"A+",IF('Data Source'!X964&gt;=4,"A",IF('Data Source'!X964&gt;=3.5,"A-",IF('Data Source'!X964&gt;=3,"B",IF('Data Source'!X964&gt;=2,"C",IF('Data Source'!X964&gt;=1,"D","F")))))),"")</f>
        <v/>
      </c>
      <c r="G964" s="3">
        <f>IF(AND('Data Source'!B964&lt;&gt;"",'Data Source'!S964="A+"),IF('Data Source'!Y964&gt;=5,"A+",IF('Data Source'!Y964&gt;=4,"A",IF('Data Source'!Y964&gt;=3.5,"A-",IF('Data Source'!Y964&gt;=3,"B",IF('Data Source'!Y964&gt;=2,"C",IF('Data Source'!Y964&gt;=1,"D","F")))))),"")</f>
        <v/>
      </c>
      <c r="H964" s="3">
        <f>IF(AND('Data Source'!B964&lt;&gt;"",'Data Source'!S964="A+"),IF('Data Source'!Z964&gt;=5,"A+",IF('Data Source'!Z964&gt;=4,"A",IF('Data Source'!Z964&gt;=3.5,"A-",IF('Data Source'!Z964&gt;=3,"B",IF('Data Source'!Z964&gt;=2,"C",IF('Data Source'!Z964&gt;=1,"D","F")))))),"")</f>
        <v/>
      </c>
      <c r="I964" s="3">
        <f>IF(AND('Data Source'!B964&lt;&gt;"",'Data Source'!S964="A+"),IF('Data Source'!AA964&gt;=5,"A+",IF('Data Source'!AA964&gt;=4,"A",IF('Data Source'!AA964&gt;=3.5,"A-",IF('Data Source'!AA964&gt;=3,"B",IF('Data Source'!AA964&gt;=2,"C",IF('Data Source'!AA964&gt;=1,"D","F")))))),"")</f>
        <v/>
      </c>
      <c r="J964" s="3">
        <f>IF(AND('Data Source'!B964&lt;&gt;"",'Data Source'!S964="A+"),IF('Data Source'!AB964&gt;=5,"A+",IF('Data Source'!AB964&gt;=4,"A",IF('Data Source'!AB964&gt;=3.5,"A-",IF('Data Source'!AB964&gt;=3,"B",IF('Data Source'!AB964&gt;=2,"C",IF('Data Source'!AB964&gt;=1,"D","F")))))),"")</f>
        <v/>
      </c>
      <c r="K964" s="3">
        <f>IF(AND('Data Source'!B964&lt;&gt;"",'Data Source'!S964="A+"),IF('Data Source'!AC964&gt;=5,"A+",IF('Data Source'!AC964&gt;=4,"A",IF('Data Source'!AC964&gt;=3.5,"A-",IF('Data Source'!AC964&gt;=3,"B",IF('Data Source'!AC964&gt;=2,"C",IF('Data Source'!AC964&gt;=1,"D","F")))))),"")</f>
        <v/>
      </c>
      <c r="L964" s="3">
        <f>IF(AND('Data Source'!B964&lt;&gt;"",'Data Source'!S964="A+"),IF('Data Source'!AD964&gt;=5,"A+",IF('Data Source'!AD964&gt;=4,"A",IF('Data Source'!AD964&gt;=3.5,"A-",IF('Data Source'!AD964&gt;=3,"B",IF('Data Source'!AD964&gt;=2,"C",IF('Data Source'!AD964&gt;=1,"D","F")))))),"")</f>
        <v/>
      </c>
      <c r="M964" s="3">
        <f>IF(AND('Data Source'!B964&lt;&gt;"",'Data Source'!S964="A+"),IF('Data Source'!AE964&gt;=5,"A+",IF('Data Source'!AE964&gt;=4,"A",IF('Data Source'!AE964&gt;=3.5,"A-",IF('Data Source'!AE964&gt;=3,"B",IF('Data Source'!AE964&gt;=2,"C",IF('Data Source'!AE964&gt;=1,"D","F")))))),"")</f>
        <v/>
      </c>
      <c r="N964" s="3">
        <f>IF(AND('Data Source'!B964&lt;&gt;"",'Data Source'!S964="A+"),IF('Data Source'!AF964&gt;=5,"A+",IF('Data Source'!AF964&gt;=4,"A",IF('Data Source'!AF964&gt;=3.5,"A-",IF('Data Source'!AF964&gt;=3,"B",IF('Data Source'!AF964&gt;=2,"C",IF('Data Source'!AF964&gt;=1,"D","F")))))),"")</f>
        <v/>
      </c>
      <c r="O964" s="3">
        <f>IF(AND('Data Source'!B964&lt;&gt;"",'Data Source'!S964="A+"),IF('Data Source'!AG964&gt;=5,"A+",IF('Data Source'!AG964&gt;=4,"A",IF('Data Source'!AG964&gt;=3.5,"A-",IF('Data Source'!AG964&gt;=3,"B",IF('Data Source'!AG964&gt;=2,"C",IF('Data Source'!AG964&gt;=1,"D","F")))))),"")</f>
        <v/>
      </c>
      <c r="P964" s="5">
        <f>IF(AND('Data Source'!B964&lt;&gt;"",'Data Source'!S964="A+"),'Data Source'!R964,"")</f>
        <v/>
      </c>
      <c r="Q964" s="3">
        <f>IF(AND('Data Source'!B964&lt;&gt;"",'Data Source'!S964="A+"),'Data Source'!S964,"")</f>
        <v/>
      </c>
    </row>
    <row r="965">
      <c r="A965" s="3">
        <f>IF(AND('Data Source'!B965&lt;&gt;"",'Data Source'!S965="A+"),COUNTIF('Data Source'!$S$3:S965,"A+"),"")</f>
        <v/>
      </c>
      <c r="B965">
        <f>IF(AND('Data Source'!B965&lt;&gt;"",'Data Source'!S965="A+"),'Data Source'!B965,"")</f>
        <v/>
      </c>
      <c r="C965" s="3">
        <f>IF(AND('Data Source'!B965&lt;&gt;"",'Data Source'!S965="A+"),IF('Data Source'!U965&gt;=5,"A+",IF('Data Source'!U965&gt;=4,"A",IF('Data Source'!U965&gt;=3.5,"A-",IF('Data Source'!U965&gt;=3,"B",IF('Data Source'!U965&gt;=2,"C",IF('Data Source'!U965&gt;=1,"D","F")))))),"")</f>
        <v/>
      </c>
      <c r="D965" s="3">
        <f>IF(AND('Data Source'!B965&lt;&gt;"",'Data Source'!S965="A+"),IF('Data Source'!V965&gt;=5,"A+",IF('Data Source'!V965&gt;=4,"A",IF('Data Source'!V965&gt;=3.5,"A-",IF('Data Source'!V965&gt;=3,"B",IF('Data Source'!V965&gt;=2,"C",IF('Data Source'!V965&gt;=1,"D","F")))))),"")</f>
        <v/>
      </c>
      <c r="E965" s="3">
        <f>IF(AND('Data Source'!B965&lt;&gt;"",'Data Source'!S965="A+"),IF('Data Source'!W965&gt;=5,"A+",IF('Data Source'!W965&gt;=4,"A",IF('Data Source'!W965&gt;=3.5,"A-",IF('Data Source'!W965&gt;=3,"B",IF('Data Source'!W965&gt;=2,"C",IF('Data Source'!W965&gt;=1,"D","F")))))),"")</f>
        <v/>
      </c>
      <c r="F965" s="3">
        <f>IF(AND('Data Source'!B965&lt;&gt;"",'Data Source'!S965="A+"),IF('Data Source'!X965&gt;=5,"A+",IF('Data Source'!X965&gt;=4,"A",IF('Data Source'!X965&gt;=3.5,"A-",IF('Data Source'!X965&gt;=3,"B",IF('Data Source'!X965&gt;=2,"C",IF('Data Source'!X965&gt;=1,"D","F")))))),"")</f>
        <v/>
      </c>
      <c r="G965" s="3">
        <f>IF(AND('Data Source'!B965&lt;&gt;"",'Data Source'!S965="A+"),IF('Data Source'!Y965&gt;=5,"A+",IF('Data Source'!Y965&gt;=4,"A",IF('Data Source'!Y965&gt;=3.5,"A-",IF('Data Source'!Y965&gt;=3,"B",IF('Data Source'!Y965&gt;=2,"C",IF('Data Source'!Y965&gt;=1,"D","F")))))),"")</f>
        <v/>
      </c>
      <c r="H965" s="3">
        <f>IF(AND('Data Source'!B965&lt;&gt;"",'Data Source'!S965="A+"),IF('Data Source'!Z965&gt;=5,"A+",IF('Data Source'!Z965&gt;=4,"A",IF('Data Source'!Z965&gt;=3.5,"A-",IF('Data Source'!Z965&gt;=3,"B",IF('Data Source'!Z965&gt;=2,"C",IF('Data Source'!Z965&gt;=1,"D","F")))))),"")</f>
        <v/>
      </c>
      <c r="I965" s="3">
        <f>IF(AND('Data Source'!B965&lt;&gt;"",'Data Source'!S965="A+"),IF('Data Source'!AA965&gt;=5,"A+",IF('Data Source'!AA965&gt;=4,"A",IF('Data Source'!AA965&gt;=3.5,"A-",IF('Data Source'!AA965&gt;=3,"B",IF('Data Source'!AA965&gt;=2,"C",IF('Data Source'!AA965&gt;=1,"D","F")))))),"")</f>
        <v/>
      </c>
      <c r="J965" s="3">
        <f>IF(AND('Data Source'!B965&lt;&gt;"",'Data Source'!S965="A+"),IF('Data Source'!AB965&gt;=5,"A+",IF('Data Source'!AB965&gt;=4,"A",IF('Data Source'!AB965&gt;=3.5,"A-",IF('Data Source'!AB965&gt;=3,"B",IF('Data Source'!AB965&gt;=2,"C",IF('Data Source'!AB965&gt;=1,"D","F")))))),"")</f>
        <v/>
      </c>
      <c r="K965" s="3">
        <f>IF(AND('Data Source'!B965&lt;&gt;"",'Data Source'!S965="A+"),IF('Data Source'!AC965&gt;=5,"A+",IF('Data Source'!AC965&gt;=4,"A",IF('Data Source'!AC965&gt;=3.5,"A-",IF('Data Source'!AC965&gt;=3,"B",IF('Data Source'!AC965&gt;=2,"C",IF('Data Source'!AC965&gt;=1,"D","F")))))),"")</f>
        <v/>
      </c>
      <c r="L965" s="3">
        <f>IF(AND('Data Source'!B965&lt;&gt;"",'Data Source'!S965="A+"),IF('Data Source'!AD965&gt;=5,"A+",IF('Data Source'!AD965&gt;=4,"A",IF('Data Source'!AD965&gt;=3.5,"A-",IF('Data Source'!AD965&gt;=3,"B",IF('Data Source'!AD965&gt;=2,"C",IF('Data Source'!AD965&gt;=1,"D","F")))))),"")</f>
        <v/>
      </c>
      <c r="M965" s="3">
        <f>IF(AND('Data Source'!B965&lt;&gt;"",'Data Source'!S965="A+"),IF('Data Source'!AE965&gt;=5,"A+",IF('Data Source'!AE965&gt;=4,"A",IF('Data Source'!AE965&gt;=3.5,"A-",IF('Data Source'!AE965&gt;=3,"B",IF('Data Source'!AE965&gt;=2,"C",IF('Data Source'!AE965&gt;=1,"D","F")))))),"")</f>
        <v/>
      </c>
      <c r="N965" s="3">
        <f>IF(AND('Data Source'!B965&lt;&gt;"",'Data Source'!S965="A+"),IF('Data Source'!AF965&gt;=5,"A+",IF('Data Source'!AF965&gt;=4,"A",IF('Data Source'!AF965&gt;=3.5,"A-",IF('Data Source'!AF965&gt;=3,"B",IF('Data Source'!AF965&gt;=2,"C",IF('Data Source'!AF965&gt;=1,"D","F")))))),"")</f>
        <v/>
      </c>
      <c r="O965" s="3">
        <f>IF(AND('Data Source'!B965&lt;&gt;"",'Data Source'!S965="A+"),IF('Data Source'!AG965&gt;=5,"A+",IF('Data Source'!AG965&gt;=4,"A",IF('Data Source'!AG965&gt;=3.5,"A-",IF('Data Source'!AG965&gt;=3,"B",IF('Data Source'!AG965&gt;=2,"C",IF('Data Source'!AG965&gt;=1,"D","F")))))),"")</f>
        <v/>
      </c>
      <c r="P965" s="5">
        <f>IF(AND('Data Source'!B965&lt;&gt;"",'Data Source'!S965="A+"),'Data Source'!R965,"")</f>
        <v/>
      </c>
      <c r="Q965" s="3">
        <f>IF(AND('Data Source'!B965&lt;&gt;"",'Data Source'!S965="A+"),'Data Source'!S965,"")</f>
        <v/>
      </c>
    </row>
    <row r="966">
      <c r="A966" s="3">
        <f>IF(AND('Data Source'!B966&lt;&gt;"",'Data Source'!S966="A+"),COUNTIF('Data Source'!$S$3:S966,"A+"),"")</f>
        <v/>
      </c>
      <c r="B966">
        <f>IF(AND('Data Source'!B966&lt;&gt;"",'Data Source'!S966="A+"),'Data Source'!B966,"")</f>
        <v/>
      </c>
      <c r="C966" s="3">
        <f>IF(AND('Data Source'!B966&lt;&gt;"",'Data Source'!S966="A+"),IF('Data Source'!U966&gt;=5,"A+",IF('Data Source'!U966&gt;=4,"A",IF('Data Source'!U966&gt;=3.5,"A-",IF('Data Source'!U966&gt;=3,"B",IF('Data Source'!U966&gt;=2,"C",IF('Data Source'!U966&gt;=1,"D","F")))))),"")</f>
        <v/>
      </c>
      <c r="D966" s="3">
        <f>IF(AND('Data Source'!B966&lt;&gt;"",'Data Source'!S966="A+"),IF('Data Source'!V966&gt;=5,"A+",IF('Data Source'!V966&gt;=4,"A",IF('Data Source'!V966&gt;=3.5,"A-",IF('Data Source'!V966&gt;=3,"B",IF('Data Source'!V966&gt;=2,"C",IF('Data Source'!V966&gt;=1,"D","F")))))),"")</f>
        <v/>
      </c>
      <c r="E966" s="3">
        <f>IF(AND('Data Source'!B966&lt;&gt;"",'Data Source'!S966="A+"),IF('Data Source'!W966&gt;=5,"A+",IF('Data Source'!W966&gt;=4,"A",IF('Data Source'!W966&gt;=3.5,"A-",IF('Data Source'!W966&gt;=3,"B",IF('Data Source'!W966&gt;=2,"C",IF('Data Source'!W966&gt;=1,"D","F")))))),"")</f>
        <v/>
      </c>
      <c r="F966" s="3">
        <f>IF(AND('Data Source'!B966&lt;&gt;"",'Data Source'!S966="A+"),IF('Data Source'!X966&gt;=5,"A+",IF('Data Source'!X966&gt;=4,"A",IF('Data Source'!X966&gt;=3.5,"A-",IF('Data Source'!X966&gt;=3,"B",IF('Data Source'!X966&gt;=2,"C",IF('Data Source'!X966&gt;=1,"D","F")))))),"")</f>
        <v/>
      </c>
      <c r="G966" s="3">
        <f>IF(AND('Data Source'!B966&lt;&gt;"",'Data Source'!S966="A+"),IF('Data Source'!Y966&gt;=5,"A+",IF('Data Source'!Y966&gt;=4,"A",IF('Data Source'!Y966&gt;=3.5,"A-",IF('Data Source'!Y966&gt;=3,"B",IF('Data Source'!Y966&gt;=2,"C",IF('Data Source'!Y966&gt;=1,"D","F")))))),"")</f>
        <v/>
      </c>
      <c r="H966" s="3">
        <f>IF(AND('Data Source'!B966&lt;&gt;"",'Data Source'!S966="A+"),IF('Data Source'!Z966&gt;=5,"A+",IF('Data Source'!Z966&gt;=4,"A",IF('Data Source'!Z966&gt;=3.5,"A-",IF('Data Source'!Z966&gt;=3,"B",IF('Data Source'!Z966&gt;=2,"C",IF('Data Source'!Z966&gt;=1,"D","F")))))),"")</f>
        <v/>
      </c>
      <c r="I966" s="3">
        <f>IF(AND('Data Source'!B966&lt;&gt;"",'Data Source'!S966="A+"),IF('Data Source'!AA966&gt;=5,"A+",IF('Data Source'!AA966&gt;=4,"A",IF('Data Source'!AA966&gt;=3.5,"A-",IF('Data Source'!AA966&gt;=3,"B",IF('Data Source'!AA966&gt;=2,"C",IF('Data Source'!AA966&gt;=1,"D","F")))))),"")</f>
        <v/>
      </c>
      <c r="J966" s="3">
        <f>IF(AND('Data Source'!B966&lt;&gt;"",'Data Source'!S966="A+"),IF('Data Source'!AB966&gt;=5,"A+",IF('Data Source'!AB966&gt;=4,"A",IF('Data Source'!AB966&gt;=3.5,"A-",IF('Data Source'!AB966&gt;=3,"B",IF('Data Source'!AB966&gt;=2,"C",IF('Data Source'!AB966&gt;=1,"D","F")))))),"")</f>
        <v/>
      </c>
      <c r="K966" s="3">
        <f>IF(AND('Data Source'!B966&lt;&gt;"",'Data Source'!S966="A+"),IF('Data Source'!AC966&gt;=5,"A+",IF('Data Source'!AC966&gt;=4,"A",IF('Data Source'!AC966&gt;=3.5,"A-",IF('Data Source'!AC966&gt;=3,"B",IF('Data Source'!AC966&gt;=2,"C",IF('Data Source'!AC966&gt;=1,"D","F")))))),"")</f>
        <v/>
      </c>
      <c r="L966" s="3">
        <f>IF(AND('Data Source'!B966&lt;&gt;"",'Data Source'!S966="A+"),IF('Data Source'!AD966&gt;=5,"A+",IF('Data Source'!AD966&gt;=4,"A",IF('Data Source'!AD966&gt;=3.5,"A-",IF('Data Source'!AD966&gt;=3,"B",IF('Data Source'!AD966&gt;=2,"C",IF('Data Source'!AD966&gt;=1,"D","F")))))),"")</f>
        <v/>
      </c>
      <c r="M966" s="3">
        <f>IF(AND('Data Source'!B966&lt;&gt;"",'Data Source'!S966="A+"),IF('Data Source'!AE966&gt;=5,"A+",IF('Data Source'!AE966&gt;=4,"A",IF('Data Source'!AE966&gt;=3.5,"A-",IF('Data Source'!AE966&gt;=3,"B",IF('Data Source'!AE966&gt;=2,"C",IF('Data Source'!AE966&gt;=1,"D","F")))))),"")</f>
        <v/>
      </c>
      <c r="N966" s="3">
        <f>IF(AND('Data Source'!B966&lt;&gt;"",'Data Source'!S966="A+"),IF('Data Source'!AF966&gt;=5,"A+",IF('Data Source'!AF966&gt;=4,"A",IF('Data Source'!AF966&gt;=3.5,"A-",IF('Data Source'!AF966&gt;=3,"B",IF('Data Source'!AF966&gt;=2,"C",IF('Data Source'!AF966&gt;=1,"D","F")))))),"")</f>
        <v/>
      </c>
      <c r="O966" s="3">
        <f>IF(AND('Data Source'!B966&lt;&gt;"",'Data Source'!S966="A+"),IF('Data Source'!AG966&gt;=5,"A+",IF('Data Source'!AG966&gt;=4,"A",IF('Data Source'!AG966&gt;=3.5,"A-",IF('Data Source'!AG966&gt;=3,"B",IF('Data Source'!AG966&gt;=2,"C",IF('Data Source'!AG966&gt;=1,"D","F")))))),"")</f>
        <v/>
      </c>
      <c r="P966" s="5">
        <f>IF(AND('Data Source'!B966&lt;&gt;"",'Data Source'!S966="A+"),'Data Source'!R966,"")</f>
        <v/>
      </c>
      <c r="Q966" s="3">
        <f>IF(AND('Data Source'!B966&lt;&gt;"",'Data Source'!S966="A+"),'Data Source'!S966,"")</f>
        <v/>
      </c>
    </row>
    <row r="967">
      <c r="A967" s="3">
        <f>IF(AND('Data Source'!B967&lt;&gt;"",'Data Source'!S967="A+"),COUNTIF('Data Source'!$S$3:S967,"A+"),"")</f>
        <v/>
      </c>
      <c r="B967">
        <f>IF(AND('Data Source'!B967&lt;&gt;"",'Data Source'!S967="A+"),'Data Source'!B967,"")</f>
        <v/>
      </c>
      <c r="C967" s="3">
        <f>IF(AND('Data Source'!B967&lt;&gt;"",'Data Source'!S967="A+"),IF('Data Source'!U967&gt;=5,"A+",IF('Data Source'!U967&gt;=4,"A",IF('Data Source'!U967&gt;=3.5,"A-",IF('Data Source'!U967&gt;=3,"B",IF('Data Source'!U967&gt;=2,"C",IF('Data Source'!U967&gt;=1,"D","F")))))),"")</f>
        <v/>
      </c>
      <c r="D967" s="3">
        <f>IF(AND('Data Source'!B967&lt;&gt;"",'Data Source'!S967="A+"),IF('Data Source'!V967&gt;=5,"A+",IF('Data Source'!V967&gt;=4,"A",IF('Data Source'!V967&gt;=3.5,"A-",IF('Data Source'!V967&gt;=3,"B",IF('Data Source'!V967&gt;=2,"C",IF('Data Source'!V967&gt;=1,"D","F")))))),"")</f>
        <v/>
      </c>
      <c r="E967" s="3">
        <f>IF(AND('Data Source'!B967&lt;&gt;"",'Data Source'!S967="A+"),IF('Data Source'!W967&gt;=5,"A+",IF('Data Source'!W967&gt;=4,"A",IF('Data Source'!W967&gt;=3.5,"A-",IF('Data Source'!W967&gt;=3,"B",IF('Data Source'!W967&gt;=2,"C",IF('Data Source'!W967&gt;=1,"D","F")))))),"")</f>
        <v/>
      </c>
      <c r="F967" s="3">
        <f>IF(AND('Data Source'!B967&lt;&gt;"",'Data Source'!S967="A+"),IF('Data Source'!X967&gt;=5,"A+",IF('Data Source'!X967&gt;=4,"A",IF('Data Source'!X967&gt;=3.5,"A-",IF('Data Source'!X967&gt;=3,"B",IF('Data Source'!X967&gt;=2,"C",IF('Data Source'!X967&gt;=1,"D","F")))))),"")</f>
        <v/>
      </c>
      <c r="G967" s="3">
        <f>IF(AND('Data Source'!B967&lt;&gt;"",'Data Source'!S967="A+"),IF('Data Source'!Y967&gt;=5,"A+",IF('Data Source'!Y967&gt;=4,"A",IF('Data Source'!Y967&gt;=3.5,"A-",IF('Data Source'!Y967&gt;=3,"B",IF('Data Source'!Y967&gt;=2,"C",IF('Data Source'!Y967&gt;=1,"D","F")))))),"")</f>
        <v/>
      </c>
      <c r="H967" s="3">
        <f>IF(AND('Data Source'!B967&lt;&gt;"",'Data Source'!S967="A+"),IF('Data Source'!Z967&gt;=5,"A+",IF('Data Source'!Z967&gt;=4,"A",IF('Data Source'!Z967&gt;=3.5,"A-",IF('Data Source'!Z967&gt;=3,"B",IF('Data Source'!Z967&gt;=2,"C",IF('Data Source'!Z967&gt;=1,"D","F")))))),"")</f>
        <v/>
      </c>
      <c r="I967" s="3">
        <f>IF(AND('Data Source'!B967&lt;&gt;"",'Data Source'!S967="A+"),IF('Data Source'!AA967&gt;=5,"A+",IF('Data Source'!AA967&gt;=4,"A",IF('Data Source'!AA967&gt;=3.5,"A-",IF('Data Source'!AA967&gt;=3,"B",IF('Data Source'!AA967&gt;=2,"C",IF('Data Source'!AA967&gt;=1,"D","F")))))),"")</f>
        <v/>
      </c>
      <c r="J967" s="3">
        <f>IF(AND('Data Source'!B967&lt;&gt;"",'Data Source'!S967="A+"),IF('Data Source'!AB967&gt;=5,"A+",IF('Data Source'!AB967&gt;=4,"A",IF('Data Source'!AB967&gt;=3.5,"A-",IF('Data Source'!AB967&gt;=3,"B",IF('Data Source'!AB967&gt;=2,"C",IF('Data Source'!AB967&gt;=1,"D","F")))))),"")</f>
        <v/>
      </c>
      <c r="K967" s="3">
        <f>IF(AND('Data Source'!B967&lt;&gt;"",'Data Source'!S967="A+"),IF('Data Source'!AC967&gt;=5,"A+",IF('Data Source'!AC967&gt;=4,"A",IF('Data Source'!AC967&gt;=3.5,"A-",IF('Data Source'!AC967&gt;=3,"B",IF('Data Source'!AC967&gt;=2,"C",IF('Data Source'!AC967&gt;=1,"D","F")))))),"")</f>
        <v/>
      </c>
      <c r="L967" s="3">
        <f>IF(AND('Data Source'!B967&lt;&gt;"",'Data Source'!S967="A+"),IF('Data Source'!AD967&gt;=5,"A+",IF('Data Source'!AD967&gt;=4,"A",IF('Data Source'!AD967&gt;=3.5,"A-",IF('Data Source'!AD967&gt;=3,"B",IF('Data Source'!AD967&gt;=2,"C",IF('Data Source'!AD967&gt;=1,"D","F")))))),"")</f>
        <v/>
      </c>
      <c r="M967" s="3">
        <f>IF(AND('Data Source'!B967&lt;&gt;"",'Data Source'!S967="A+"),IF('Data Source'!AE967&gt;=5,"A+",IF('Data Source'!AE967&gt;=4,"A",IF('Data Source'!AE967&gt;=3.5,"A-",IF('Data Source'!AE967&gt;=3,"B",IF('Data Source'!AE967&gt;=2,"C",IF('Data Source'!AE967&gt;=1,"D","F")))))),"")</f>
        <v/>
      </c>
      <c r="N967" s="3">
        <f>IF(AND('Data Source'!B967&lt;&gt;"",'Data Source'!S967="A+"),IF('Data Source'!AF967&gt;=5,"A+",IF('Data Source'!AF967&gt;=4,"A",IF('Data Source'!AF967&gt;=3.5,"A-",IF('Data Source'!AF967&gt;=3,"B",IF('Data Source'!AF967&gt;=2,"C",IF('Data Source'!AF967&gt;=1,"D","F")))))),"")</f>
        <v/>
      </c>
      <c r="O967" s="3">
        <f>IF(AND('Data Source'!B967&lt;&gt;"",'Data Source'!S967="A+"),IF('Data Source'!AG967&gt;=5,"A+",IF('Data Source'!AG967&gt;=4,"A",IF('Data Source'!AG967&gt;=3.5,"A-",IF('Data Source'!AG967&gt;=3,"B",IF('Data Source'!AG967&gt;=2,"C",IF('Data Source'!AG967&gt;=1,"D","F")))))),"")</f>
        <v/>
      </c>
      <c r="P967" s="5">
        <f>IF(AND('Data Source'!B967&lt;&gt;"",'Data Source'!S967="A+"),'Data Source'!R967,"")</f>
        <v/>
      </c>
      <c r="Q967" s="3">
        <f>IF(AND('Data Source'!B967&lt;&gt;"",'Data Source'!S967="A+"),'Data Source'!S967,"")</f>
        <v/>
      </c>
    </row>
    <row r="968">
      <c r="A968" s="3">
        <f>IF(AND('Data Source'!B968&lt;&gt;"",'Data Source'!S968="A+"),COUNTIF('Data Source'!$S$3:S968,"A+"),"")</f>
        <v/>
      </c>
      <c r="B968">
        <f>IF(AND('Data Source'!B968&lt;&gt;"",'Data Source'!S968="A+"),'Data Source'!B968,"")</f>
        <v/>
      </c>
      <c r="C968" s="3">
        <f>IF(AND('Data Source'!B968&lt;&gt;"",'Data Source'!S968="A+"),IF('Data Source'!U968&gt;=5,"A+",IF('Data Source'!U968&gt;=4,"A",IF('Data Source'!U968&gt;=3.5,"A-",IF('Data Source'!U968&gt;=3,"B",IF('Data Source'!U968&gt;=2,"C",IF('Data Source'!U968&gt;=1,"D","F")))))),"")</f>
        <v/>
      </c>
      <c r="D968" s="3">
        <f>IF(AND('Data Source'!B968&lt;&gt;"",'Data Source'!S968="A+"),IF('Data Source'!V968&gt;=5,"A+",IF('Data Source'!V968&gt;=4,"A",IF('Data Source'!V968&gt;=3.5,"A-",IF('Data Source'!V968&gt;=3,"B",IF('Data Source'!V968&gt;=2,"C",IF('Data Source'!V968&gt;=1,"D","F")))))),"")</f>
        <v/>
      </c>
      <c r="E968" s="3">
        <f>IF(AND('Data Source'!B968&lt;&gt;"",'Data Source'!S968="A+"),IF('Data Source'!W968&gt;=5,"A+",IF('Data Source'!W968&gt;=4,"A",IF('Data Source'!W968&gt;=3.5,"A-",IF('Data Source'!W968&gt;=3,"B",IF('Data Source'!W968&gt;=2,"C",IF('Data Source'!W968&gt;=1,"D","F")))))),"")</f>
        <v/>
      </c>
      <c r="F968" s="3">
        <f>IF(AND('Data Source'!B968&lt;&gt;"",'Data Source'!S968="A+"),IF('Data Source'!X968&gt;=5,"A+",IF('Data Source'!X968&gt;=4,"A",IF('Data Source'!X968&gt;=3.5,"A-",IF('Data Source'!X968&gt;=3,"B",IF('Data Source'!X968&gt;=2,"C",IF('Data Source'!X968&gt;=1,"D","F")))))),"")</f>
        <v/>
      </c>
      <c r="G968" s="3">
        <f>IF(AND('Data Source'!B968&lt;&gt;"",'Data Source'!S968="A+"),IF('Data Source'!Y968&gt;=5,"A+",IF('Data Source'!Y968&gt;=4,"A",IF('Data Source'!Y968&gt;=3.5,"A-",IF('Data Source'!Y968&gt;=3,"B",IF('Data Source'!Y968&gt;=2,"C",IF('Data Source'!Y968&gt;=1,"D","F")))))),"")</f>
        <v/>
      </c>
      <c r="H968" s="3">
        <f>IF(AND('Data Source'!B968&lt;&gt;"",'Data Source'!S968="A+"),IF('Data Source'!Z968&gt;=5,"A+",IF('Data Source'!Z968&gt;=4,"A",IF('Data Source'!Z968&gt;=3.5,"A-",IF('Data Source'!Z968&gt;=3,"B",IF('Data Source'!Z968&gt;=2,"C",IF('Data Source'!Z968&gt;=1,"D","F")))))),"")</f>
        <v/>
      </c>
      <c r="I968" s="3">
        <f>IF(AND('Data Source'!B968&lt;&gt;"",'Data Source'!S968="A+"),IF('Data Source'!AA968&gt;=5,"A+",IF('Data Source'!AA968&gt;=4,"A",IF('Data Source'!AA968&gt;=3.5,"A-",IF('Data Source'!AA968&gt;=3,"B",IF('Data Source'!AA968&gt;=2,"C",IF('Data Source'!AA968&gt;=1,"D","F")))))),"")</f>
        <v/>
      </c>
      <c r="J968" s="3">
        <f>IF(AND('Data Source'!B968&lt;&gt;"",'Data Source'!S968="A+"),IF('Data Source'!AB968&gt;=5,"A+",IF('Data Source'!AB968&gt;=4,"A",IF('Data Source'!AB968&gt;=3.5,"A-",IF('Data Source'!AB968&gt;=3,"B",IF('Data Source'!AB968&gt;=2,"C",IF('Data Source'!AB968&gt;=1,"D","F")))))),"")</f>
        <v/>
      </c>
      <c r="K968" s="3">
        <f>IF(AND('Data Source'!B968&lt;&gt;"",'Data Source'!S968="A+"),IF('Data Source'!AC968&gt;=5,"A+",IF('Data Source'!AC968&gt;=4,"A",IF('Data Source'!AC968&gt;=3.5,"A-",IF('Data Source'!AC968&gt;=3,"B",IF('Data Source'!AC968&gt;=2,"C",IF('Data Source'!AC968&gt;=1,"D","F")))))),"")</f>
        <v/>
      </c>
      <c r="L968" s="3">
        <f>IF(AND('Data Source'!B968&lt;&gt;"",'Data Source'!S968="A+"),IF('Data Source'!AD968&gt;=5,"A+",IF('Data Source'!AD968&gt;=4,"A",IF('Data Source'!AD968&gt;=3.5,"A-",IF('Data Source'!AD968&gt;=3,"B",IF('Data Source'!AD968&gt;=2,"C",IF('Data Source'!AD968&gt;=1,"D","F")))))),"")</f>
        <v/>
      </c>
      <c r="M968" s="3">
        <f>IF(AND('Data Source'!B968&lt;&gt;"",'Data Source'!S968="A+"),IF('Data Source'!AE968&gt;=5,"A+",IF('Data Source'!AE968&gt;=4,"A",IF('Data Source'!AE968&gt;=3.5,"A-",IF('Data Source'!AE968&gt;=3,"B",IF('Data Source'!AE968&gt;=2,"C",IF('Data Source'!AE968&gt;=1,"D","F")))))),"")</f>
        <v/>
      </c>
      <c r="N968" s="3">
        <f>IF(AND('Data Source'!B968&lt;&gt;"",'Data Source'!S968="A+"),IF('Data Source'!AF968&gt;=5,"A+",IF('Data Source'!AF968&gt;=4,"A",IF('Data Source'!AF968&gt;=3.5,"A-",IF('Data Source'!AF968&gt;=3,"B",IF('Data Source'!AF968&gt;=2,"C",IF('Data Source'!AF968&gt;=1,"D","F")))))),"")</f>
        <v/>
      </c>
      <c r="O968" s="3">
        <f>IF(AND('Data Source'!B968&lt;&gt;"",'Data Source'!S968="A+"),IF('Data Source'!AG968&gt;=5,"A+",IF('Data Source'!AG968&gt;=4,"A",IF('Data Source'!AG968&gt;=3.5,"A-",IF('Data Source'!AG968&gt;=3,"B",IF('Data Source'!AG968&gt;=2,"C",IF('Data Source'!AG968&gt;=1,"D","F")))))),"")</f>
        <v/>
      </c>
      <c r="P968" s="5">
        <f>IF(AND('Data Source'!B968&lt;&gt;"",'Data Source'!S968="A+"),'Data Source'!R968,"")</f>
        <v/>
      </c>
      <c r="Q968" s="3">
        <f>IF(AND('Data Source'!B968&lt;&gt;"",'Data Source'!S968="A+"),'Data Source'!S968,"")</f>
        <v/>
      </c>
    </row>
    <row r="969">
      <c r="A969" s="3">
        <f>IF(AND('Data Source'!B969&lt;&gt;"",'Data Source'!S969="A+"),COUNTIF('Data Source'!$S$3:S969,"A+"),"")</f>
        <v/>
      </c>
      <c r="B969">
        <f>IF(AND('Data Source'!B969&lt;&gt;"",'Data Source'!S969="A+"),'Data Source'!B969,"")</f>
        <v/>
      </c>
      <c r="C969" s="3">
        <f>IF(AND('Data Source'!B969&lt;&gt;"",'Data Source'!S969="A+"),IF('Data Source'!U969&gt;=5,"A+",IF('Data Source'!U969&gt;=4,"A",IF('Data Source'!U969&gt;=3.5,"A-",IF('Data Source'!U969&gt;=3,"B",IF('Data Source'!U969&gt;=2,"C",IF('Data Source'!U969&gt;=1,"D","F")))))),"")</f>
        <v/>
      </c>
      <c r="D969" s="3">
        <f>IF(AND('Data Source'!B969&lt;&gt;"",'Data Source'!S969="A+"),IF('Data Source'!V969&gt;=5,"A+",IF('Data Source'!V969&gt;=4,"A",IF('Data Source'!V969&gt;=3.5,"A-",IF('Data Source'!V969&gt;=3,"B",IF('Data Source'!V969&gt;=2,"C",IF('Data Source'!V969&gt;=1,"D","F")))))),"")</f>
        <v/>
      </c>
      <c r="E969" s="3">
        <f>IF(AND('Data Source'!B969&lt;&gt;"",'Data Source'!S969="A+"),IF('Data Source'!W969&gt;=5,"A+",IF('Data Source'!W969&gt;=4,"A",IF('Data Source'!W969&gt;=3.5,"A-",IF('Data Source'!W969&gt;=3,"B",IF('Data Source'!W969&gt;=2,"C",IF('Data Source'!W969&gt;=1,"D","F")))))),"")</f>
        <v/>
      </c>
      <c r="F969" s="3">
        <f>IF(AND('Data Source'!B969&lt;&gt;"",'Data Source'!S969="A+"),IF('Data Source'!X969&gt;=5,"A+",IF('Data Source'!X969&gt;=4,"A",IF('Data Source'!X969&gt;=3.5,"A-",IF('Data Source'!X969&gt;=3,"B",IF('Data Source'!X969&gt;=2,"C",IF('Data Source'!X969&gt;=1,"D","F")))))),"")</f>
        <v/>
      </c>
      <c r="G969" s="3">
        <f>IF(AND('Data Source'!B969&lt;&gt;"",'Data Source'!S969="A+"),IF('Data Source'!Y969&gt;=5,"A+",IF('Data Source'!Y969&gt;=4,"A",IF('Data Source'!Y969&gt;=3.5,"A-",IF('Data Source'!Y969&gt;=3,"B",IF('Data Source'!Y969&gt;=2,"C",IF('Data Source'!Y969&gt;=1,"D","F")))))),"")</f>
        <v/>
      </c>
      <c r="H969" s="3">
        <f>IF(AND('Data Source'!B969&lt;&gt;"",'Data Source'!S969="A+"),IF('Data Source'!Z969&gt;=5,"A+",IF('Data Source'!Z969&gt;=4,"A",IF('Data Source'!Z969&gt;=3.5,"A-",IF('Data Source'!Z969&gt;=3,"B",IF('Data Source'!Z969&gt;=2,"C",IF('Data Source'!Z969&gt;=1,"D","F")))))),"")</f>
        <v/>
      </c>
      <c r="I969" s="3">
        <f>IF(AND('Data Source'!B969&lt;&gt;"",'Data Source'!S969="A+"),IF('Data Source'!AA969&gt;=5,"A+",IF('Data Source'!AA969&gt;=4,"A",IF('Data Source'!AA969&gt;=3.5,"A-",IF('Data Source'!AA969&gt;=3,"B",IF('Data Source'!AA969&gt;=2,"C",IF('Data Source'!AA969&gt;=1,"D","F")))))),"")</f>
        <v/>
      </c>
      <c r="J969" s="3">
        <f>IF(AND('Data Source'!B969&lt;&gt;"",'Data Source'!S969="A+"),IF('Data Source'!AB969&gt;=5,"A+",IF('Data Source'!AB969&gt;=4,"A",IF('Data Source'!AB969&gt;=3.5,"A-",IF('Data Source'!AB969&gt;=3,"B",IF('Data Source'!AB969&gt;=2,"C",IF('Data Source'!AB969&gt;=1,"D","F")))))),"")</f>
        <v/>
      </c>
      <c r="K969" s="3">
        <f>IF(AND('Data Source'!B969&lt;&gt;"",'Data Source'!S969="A+"),IF('Data Source'!AC969&gt;=5,"A+",IF('Data Source'!AC969&gt;=4,"A",IF('Data Source'!AC969&gt;=3.5,"A-",IF('Data Source'!AC969&gt;=3,"B",IF('Data Source'!AC969&gt;=2,"C",IF('Data Source'!AC969&gt;=1,"D","F")))))),"")</f>
        <v/>
      </c>
      <c r="L969" s="3">
        <f>IF(AND('Data Source'!B969&lt;&gt;"",'Data Source'!S969="A+"),IF('Data Source'!AD969&gt;=5,"A+",IF('Data Source'!AD969&gt;=4,"A",IF('Data Source'!AD969&gt;=3.5,"A-",IF('Data Source'!AD969&gt;=3,"B",IF('Data Source'!AD969&gt;=2,"C",IF('Data Source'!AD969&gt;=1,"D","F")))))),"")</f>
        <v/>
      </c>
      <c r="M969" s="3">
        <f>IF(AND('Data Source'!B969&lt;&gt;"",'Data Source'!S969="A+"),IF('Data Source'!AE969&gt;=5,"A+",IF('Data Source'!AE969&gt;=4,"A",IF('Data Source'!AE969&gt;=3.5,"A-",IF('Data Source'!AE969&gt;=3,"B",IF('Data Source'!AE969&gt;=2,"C",IF('Data Source'!AE969&gt;=1,"D","F")))))),"")</f>
        <v/>
      </c>
      <c r="N969" s="3">
        <f>IF(AND('Data Source'!B969&lt;&gt;"",'Data Source'!S969="A+"),IF('Data Source'!AF969&gt;=5,"A+",IF('Data Source'!AF969&gt;=4,"A",IF('Data Source'!AF969&gt;=3.5,"A-",IF('Data Source'!AF969&gt;=3,"B",IF('Data Source'!AF969&gt;=2,"C",IF('Data Source'!AF969&gt;=1,"D","F")))))),"")</f>
        <v/>
      </c>
      <c r="O969" s="3">
        <f>IF(AND('Data Source'!B969&lt;&gt;"",'Data Source'!S969="A+"),IF('Data Source'!AG969&gt;=5,"A+",IF('Data Source'!AG969&gt;=4,"A",IF('Data Source'!AG969&gt;=3.5,"A-",IF('Data Source'!AG969&gt;=3,"B",IF('Data Source'!AG969&gt;=2,"C",IF('Data Source'!AG969&gt;=1,"D","F")))))),"")</f>
        <v/>
      </c>
      <c r="P969" s="5">
        <f>IF(AND('Data Source'!B969&lt;&gt;"",'Data Source'!S969="A+"),'Data Source'!R969,"")</f>
        <v/>
      </c>
      <c r="Q969" s="3">
        <f>IF(AND('Data Source'!B969&lt;&gt;"",'Data Source'!S969="A+"),'Data Source'!S969,"")</f>
        <v/>
      </c>
    </row>
    <row r="970">
      <c r="A970" s="3">
        <f>IF(AND('Data Source'!B970&lt;&gt;"",'Data Source'!S970="A+"),COUNTIF('Data Source'!$S$3:S970,"A+"),"")</f>
        <v/>
      </c>
      <c r="B970">
        <f>IF(AND('Data Source'!B970&lt;&gt;"",'Data Source'!S970="A+"),'Data Source'!B970,"")</f>
        <v/>
      </c>
      <c r="C970" s="3">
        <f>IF(AND('Data Source'!B970&lt;&gt;"",'Data Source'!S970="A+"),IF('Data Source'!U970&gt;=5,"A+",IF('Data Source'!U970&gt;=4,"A",IF('Data Source'!U970&gt;=3.5,"A-",IF('Data Source'!U970&gt;=3,"B",IF('Data Source'!U970&gt;=2,"C",IF('Data Source'!U970&gt;=1,"D","F")))))),"")</f>
        <v/>
      </c>
      <c r="D970" s="3">
        <f>IF(AND('Data Source'!B970&lt;&gt;"",'Data Source'!S970="A+"),IF('Data Source'!V970&gt;=5,"A+",IF('Data Source'!V970&gt;=4,"A",IF('Data Source'!V970&gt;=3.5,"A-",IF('Data Source'!V970&gt;=3,"B",IF('Data Source'!V970&gt;=2,"C",IF('Data Source'!V970&gt;=1,"D","F")))))),"")</f>
        <v/>
      </c>
      <c r="E970" s="3">
        <f>IF(AND('Data Source'!B970&lt;&gt;"",'Data Source'!S970="A+"),IF('Data Source'!W970&gt;=5,"A+",IF('Data Source'!W970&gt;=4,"A",IF('Data Source'!W970&gt;=3.5,"A-",IF('Data Source'!W970&gt;=3,"B",IF('Data Source'!W970&gt;=2,"C",IF('Data Source'!W970&gt;=1,"D","F")))))),"")</f>
        <v/>
      </c>
      <c r="F970" s="3">
        <f>IF(AND('Data Source'!B970&lt;&gt;"",'Data Source'!S970="A+"),IF('Data Source'!X970&gt;=5,"A+",IF('Data Source'!X970&gt;=4,"A",IF('Data Source'!X970&gt;=3.5,"A-",IF('Data Source'!X970&gt;=3,"B",IF('Data Source'!X970&gt;=2,"C",IF('Data Source'!X970&gt;=1,"D","F")))))),"")</f>
        <v/>
      </c>
      <c r="G970" s="3">
        <f>IF(AND('Data Source'!B970&lt;&gt;"",'Data Source'!S970="A+"),IF('Data Source'!Y970&gt;=5,"A+",IF('Data Source'!Y970&gt;=4,"A",IF('Data Source'!Y970&gt;=3.5,"A-",IF('Data Source'!Y970&gt;=3,"B",IF('Data Source'!Y970&gt;=2,"C",IF('Data Source'!Y970&gt;=1,"D","F")))))),"")</f>
        <v/>
      </c>
      <c r="H970" s="3">
        <f>IF(AND('Data Source'!B970&lt;&gt;"",'Data Source'!S970="A+"),IF('Data Source'!Z970&gt;=5,"A+",IF('Data Source'!Z970&gt;=4,"A",IF('Data Source'!Z970&gt;=3.5,"A-",IF('Data Source'!Z970&gt;=3,"B",IF('Data Source'!Z970&gt;=2,"C",IF('Data Source'!Z970&gt;=1,"D","F")))))),"")</f>
        <v/>
      </c>
      <c r="I970" s="3">
        <f>IF(AND('Data Source'!B970&lt;&gt;"",'Data Source'!S970="A+"),IF('Data Source'!AA970&gt;=5,"A+",IF('Data Source'!AA970&gt;=4,"A",IF('Data Source'!AA970&gt;=3.5,"A-",IF('Data Source'!AA970&gt;=3,"B",IF('Data Source'!AA970&gt;=2,"C",IF('Data Source'!AA970&gt;=1,"D","F")))))),"")</f>
        <v/>
      </c>
      <c r="J970" s="3">
        <f>IF(AND('Data Source'!B970&lt;&gt;"",'Data Source'!S970="A+"),IF('Data Source'!AB970&gt;=5,"A+",IF('Data Source'!AB970&gt;=4,"A",IF('Data Source'!AB970&gt;=3.5,"A-",IF('Data Source'!AB970&gt;=3,"B",IF('Data Source'!AB970&gt;=2,"C",IF('Data Source'!AB970&gt;=1,"D","F")))))),"")</f>
        <v/>
      </c>
      <c r="K970" s="3">
        <f>IF(AND('Data Source'!B970&lt;&gt;"",'Data Source'!S970="A+"),IF('Data Source'!AC970&gt;=5,"A+",IF('Data Source'!AC970&gt;=4,"A",IF('Data Source'!AC970&gt;=3.5,"A-",IF('Data Source'!AC970&gt;=3,"B",IF('Data Source'!AC970&gt;=2,"C",IF('Data Source'!AC970&gt;=1,"D","F")))))),"")</f>
        <v/>
      </c>
      <c r="L970" s="3">
        <f>IF(AND('Data Source'!B970&lt;&gt;"",'Data Source'!S970="A+"),IF('Data Source'!AD970&gt;=5,"A+",IF('Data Source'!AD970&gt;=4,"A",IF('Data Source'!AD970&gt;=3.5,"A-",IF('Data Source'!AD970&gt;=3,"B",IF('Data Source'!AD970&gt;=2,"C",IF('Data Source'!AD970&gt;=1,"D","F")))))),"")</f>
        <v/>
      </c>
      <c r="M970" s="3">
        <f>IF(AND('Data Source'!B970&lt;&gt;"",'Data Source'!S970="A+"),IF('Data Source'!AE970&gt;=5,"A+",IF('Data Source'!AE970&gt;=4,"A",IF('Data Source'!AE970&gt;=3.5,"A-",IF('Data Source'!AE970&gt;=3,"B",IF('Data Source'!AE970&gt;=2,"C",IF('Data Source'!AE970&gt;=1,"D","F")))))),"")</f>
        <v/>
      </c>
      <c r="N970" s="3">
        <f>IF(AND('Data Source'!B970&lt;&gt;"",'Data Source'!S970="A+"),IF('Data Source'!AF970&gt;=5,"A+",IF('Data Source'!AF970&gt;=4,"A",IF('Data Source'!AF970&gt;=3.5,"A-",IF('Data Source'!AF970&gt;=3,"B",IF('Data Source'!AF970&gt;=2,"C",IF('Data Source'!AF970&gt;=1,"D","F")))))),"")</f>
        <v/>
      </c>
      <c r="O970" s="3">
        <f>IF(AND('Data Source'!B970&lt;&gt;"",'Data Source'!S970="A+"),IF('Data Source'!AG970&gt;=5,"A+",IF('Data Source'!AG970&gt;=4,"A",IF('Data Source'!AG970&gt;=3.5,"A-",IF('Data Source'!AG970&gt;=3,"B",IF('Data Source'!AG970&gt;=2,"C",IF('Data Source'!AG970&gt;=1,"D","F")))))),"")</f>
        <v/>
      </c>
      <c r="P970" s="5">
        <f>IF(AND('Data Source'!B970&lt;&gt;"",'Data Source'!S970="A+"),'Data Source'!R970,"")</f>
        <v/>
      </c>
      <c r="Q970" s="3">
        <f>IF(AND('Data Source'!B970&lt;&gt;"",'Data Source'!S970="A+"),'Data Source'!S970,"")</f>
        <v/>
      </c>
    </row>
    <row r="971">
      <c r="A971" s="3">
        <f>IF(AND('Data Source'!B971&lt;&gt;"",'Data Source'!S971="A+"),COUNTIF('Data Source'!$S$3:S971,"A+"),"")</f>
        <v/>
      </c>
      <c r="B971">
        <f>IF(AND('Data Source'!B971&lt;&gt;"",'Data Source'!S971="A+"),'Data Source'!B971,"")</f>
        <v/>
      </c>
      <c r="C971" s="3">
        <f>IF(AND('Data Source'!B971&lt;&gt;"",'Data Source'!S971="A+"),IF('Data Source'!U971&gt;=5,"A+",IF('Data Source'!U971&gt;=4,"A",IF('Data Source'!U971&gt;=3.5,"A-",IF('Data Source'!U971&gt;=3,"B",IF('Data Source'!U971&gt;=2,"C",IF('Data Source'!U971&gt;=1,"D","F")))))),"")</f>
        <v/>
      </c>
      <c r="D971" s="3">
        <f>IF(AND('Data Source'!B971&lt;&gt;"",'Data Source'!S971="A+"),IF('Data Source'!V971&gt;=5,"A+",IF('Data Source'!V971&gt;=4,"A",IF('Data Source'!V971&gt;=3.5,"A-",IF('Data Source'!V971&gt;=3,"B",IF('Data Source'!V971&gt;=2,"C",IF('Data Source'!V971&gt;=1,"D","F")))))),"")</f>
        <v/>
      </c>
      <c r="E971" s="3">
        <f>IF(AND('Data Source'!B971&lt;&gt;"",'Data Source'!S971="A+"),IF('Data Source'!W971&gt;=5,"A+",IF('Data Source'!W971&gt;=4,"A",IF('Data Source'!W971&gt;=3.5,"A-",IF('Data Source'!W971&gt;=3,"B",IF('Data Source'!W971&gt;=2,"C",IF('Data Source'!W971&gt;=1,"D","F")))))),"")</f>
        <v/>
      </c>
      <c r="F971" s="3">
        <f>IF(AND('Data Source'!B971&lt;&gt;"",'Data Source'!S971="A+"),IF('Data Source'!X971&gt;=5,"A+",IF('Data Source'!X971&gt;=4,"A",IF('Data Source'!X971&gt;=3.5,"A-",IF('Data Source'!X971&gt;=3,"B",IF('Data Source'!X971&gt;=2,"C",IF('Data Source'!X971&gt;=1,"D","F")))))),"")</f>
        <v/>
      </c>
      <c r="G971" s="3">
        <f>IF(AND('Data Source'!B971&lt;&gt;"",'Data Source'!S971="A+"),IF('Data Source'!Y971&gt;=5,"A+",IF('Data Source'!Y971&gt;=4,"A",IF('Data Source'!Y971&gt;=3.5,"A-",IF('Data Source'!Y971&gt;=3,"B",IF('Data Source'!Y971&gt;=2,"C",IF('Data Source'!Y971&gt;=1,"D","F")))))),"")</f>
        <v/>
      </c>
      <c r="H971" s="3">
        <f>IF(AND('Data Source'!B971&lt;&gt;"",'Data Source'!S971="A+"),IF('Data Source'!Z971&gt;=5,"A+",IF('Data Source'!Z971&gt;=4,"A",IF('Data Source'!Z971&gt;=3.5,"A-",IF('Data Source'!Z971&gt;=3,"B",IF('Data Source'!Z971&gt;=2,"C",IF('Data Source'!Z971&gt;=1,"D","F")))))),"")</f>
        <v/>
      </c>
      <c r="I971" s="3">
        <f>IF(AND('Data Source'!B971&lt;&gt;"",'Data Source'!S971="A+"),IF('Data Source'!AA971&gt;=5,"A+",IF('Data Source'!AA971&gt;=4,"A",IF('Data Source'!AA971&gt;=3.5,"A-",IF('Data Source'!AA971&gt;=3,"B",IF('Data Source'!AA971&gt;=2,"C",IF('Data Source'!AA971&gt;=1,"D","F")))))),"")</f>
        <v/>
      </c>
      <c r="J971" s="3">
        <f>IF(AND('Data Source'!B971&lt;&gt;"",'Data Source'!S971="A+"),IF('Data Source'!AB971&gt;=5,"A+",IF('Data Source'!AB971&gt;=4,"A",IF('Data Source'!AB971&gt;=3.5,"A-",IF('Data Source'!AB971&gt;=3,"B",IF('Data Source'!AB971&gt;=2,"C",IF('Data Source'!AB971&gt;=1,"D","F")))))),"")</f>
        <v/>
      </c>
      <c r="K971" s="3">
        <f>IF(AND('Data Source'!B971&lt;&gt;"",'Data Source'!S971="A+"),IF('Data Source'!AC971&gt;=5,"A+",IF('Data Source'!AC971&gt;=4,"A",IF('Data Source'!AC971&gt;=3.5,"A-",IF('Data Source'!AC971&gt;=3,"B",IF('Data Source'!AC971&gt;=2,"C",IF('Data Source'!AC971&gt;=1,"D","F")))))),"")</f>
        <v/>
      </c>
      <c r="L971" s="3">
        <f>IF(AND('Data Source'!B971&lt;&gt;"",'Data Source'!S971="A+"),IF('Data Source'!AD971&gt;=5,"A+",IF('Data Source'!AD971&gt;=4,"A",IF('Data Source'!AD971&gt;=3.5,"A-",IF('Data Source'!AD971&gt;=3,"B",IF('Data Source'!AD971&gt;=2,"C",IF('Data Source'!AD971&gt;=1,"D","F")))))),"")</f>
        <v/>
      </c>
      <c r="M971" s="3">
        <f>IF(AND('Data Source'!B971&lt;&gt;"",'Data Source'!S971="A+"),IF('Data Source'!AE971&gt;=5,"A+",IF('Data Source'!AE971&gt;=4,"A",IF('Data Source'!AE971&gt;=3.5,"A-",IF('Data Source'!AE971&gt;=3,"B",IF('Data Source'!AE971&gt;=2,"C",IF('Data Source'!AE971&gt;=1,"D","F")))))),"")</f>
        <v/>
      </c>
      <c r="N971" s="3">
        <f>IF(AND('Data Source'!B971&lt;&gt;"",'Data Source'!S971="A+"),IF('Data Source'!AF971&gt;=5,"A+",IF('Data Source'!AF971&gt;=4,"A",IF('Data Source'!AF971&gt;=3.5,"A-",IF('Data Source'!AF971&gt;=3,"B",IF('Data Source'!AF971&gt;=2,"C",IF('Data Source'!AF971&gt;=1,"D","F")))))),"")</f>
        <v/>
      </c>
      <c r="O971" s="3">
        <f>IF(AND('Data Source'!B971&lt;&gt;"",'Data Source'!S971="A+"),IF('Data Source'!AG971&gt;=5,"A+",IF('Data Source'!AG971&gt;=4,"A",IF('Data Source'!AG971&gt;=3.5,"A-",IF('Data Source'!AG971&gt;=3,"B",IF('Data Source'!AG971&gt;=2,"C",IF('Data Source'!AG971&gt;=1,"D","F")))))),"")</f>
        <v/>
      </c>
      <c r="P971" s="5">
        <f>IF(AND('Data Source'!B971&lt;&gt;"",'Data Source'!S971="A+"),'Data Source'!R971,"")</f>
        <v/>
      </c>
      <c r="Q971" s="3">
        <f>IF(AND('Data Source'!B971&lt;&gt;"",'Data Source'!S971="A+"),'Data Source'!S971,"")</f>
        <v/>
      </c>
    </row>
    <row r="972">
      <c r="A972" s="3">
        <f>IF(AND('Data Source'!B972&lt;&gt;"",'Data Source'!S972="A+"),COUNTIF('Data Source'!$S$3:S972,"A+"),"")</f>
        <v/>
      </c>
      <c r="B972">
        <f>IF(AND('Data Source'!B972&lt;&gt;"",'Data Source'!S972="A+"),'Data Source'!B972,"")</f>
        <v/>
      </c>
      <c r="C972" s="3">
        <f>IF(AND('Data Source'!B972&lt;&gt;"",'Data Source'!S972="A+"),IF('Data Source'!U972&gt;=5,"A+",IF('Data Source'!U972&gt;=4,"A",IF('Data Source'!U972&gt;=3.5,"A-",IF('Data Source'!U972&gt;=3,"B",IF('Data Source'!U972&gt;=2,"C",IF('Data Source'!U972&gt;=1,"D","F")))))),"")</f>
        <v/>
      </c>
      <c r="D972" s="3">
        <f>IF(AND('Data Source'!B972&lt;&gt;"",'Data Source'!S972="A+"),IF('Data Source'!V972&gt;=5,"A+",IF('Data Source'!V972&gt;=4,"A",IF('Data Source'!V972&gt;=3.5,"A-",IF('Data Source'!V972&gt;=3,"B",IF('Data Source'!V972&gt;=2,"C",IF('Data Source'!V972&gt;=1,"D","F")))))),"")</f>
        <v/>
      </c>
      <c r="E972" s="3">
        <f>IF(AND('Data Source'!B972&lt;&gt;"",'Data Source'!S972="A+"),IF('Data Source'!W972&gt;=5,"A+",IF('Data Source'!W972&gt;=4,"A",IF('Data Source'!W972&gt;=3.5,"A-",IF('Data Source'!W972&gt;=3,"B",IF('Data Source'!W972&gt;=2,"C",IF('Data Source'!W972&gt;=1,"D","F")))))),"")</f>
        <v/>
      </c>
      <c r="F972" s="3">
        <f>IF(AND('Data Source'!B972&lt;&gt;"",'Data Source'!S972="A+"),IF('Data Source'!X972&gt;=5,"A+",IF('Data Source'!X972&gt;=4,"A",IF('Data Source'!X972&gt;=3.5,"A-",IF('Data Source'!X972&gt;=3,"B",IF('Data Source'!X972&gt;=2,"C",IF('Data Source'!X972&gt;=1,"D","F")))))),"")</f>
        <v/>
      </c>
      <c r="G972" s="3">
        <f>IF(AND('Data Source'!B972&lt;&gt;"",'Data Source'!S972="A+"),IF('Data Source'!Y972&gt;=5,"A+",IF('Data Source'!Y972&gt;=4,"A",IF('Data Source'!Y972&gt;=3.5,"A-",IF('Data Source'!Y972&gt;=3,"B",IF('Data Source'!Y972&gt;=2,"C",IF('Data Source'!Y972&gt;=1,"D","F")))))),"")</f>
        <v/>
      </c>
      <c r="H972" s="3">
        <f>IF(AND('Data Source'!B972&lt;&gt;"",'Data Source'!S972="A+"),IF('Data Source'!Z972&gt;=5,"A+",IF('Data Source'!Z972&gt;=4,"A",IF('Data Source'!Z972&gt;=3.5,"A-",IF('Data Source'!Z972&gt;=3,"B",IF('Data Source'!Z972&gt;=2,"C",IF('Data Source'!Z972&gt;=1,"D","F")))))),"")</f>
        <v/>
      </c>
      <c r="I972" s="3">
        <f>IF(AND('Data Source'!B972&lt;&gt;"",'Data Source'!S972="A+"),IF('Data Source'!AA972&gt;=5,"A+",IF('Data Source'!AA972&gt;=4,"A",IF('Data Source'!AA972&gt;=3.5,"A-",IF('Data Source'!AA972&gt;=3,"B",IF('Data Source'!AA972&gt;=2,"C",IF('Data Source'!AA972&gt;=1,"D","F")))))),"")</f>
        <v/>
      </c>
      <c r="J972" s="3">
        <f>IF(AND('Data Source'!B972&lt;&gt;"",'Data Source'!S972="A+"),IF('Data Source'!AB972&gt;=5,"A+",IF('Data Source'!AB972&gt;=4,"A",IF('Data Source'!AB972&gt;=3.5,"A-",IF('Data Source'!AB972&gt;=3,"B",IF('Data Source'!AB972&gt;=2,"C",IF('Data Source'!AB972&gt;=1,"D","F")))))),"")</f>
        <v/>
      </c>
      <c r="K972" s="3">
        <f>IF(AND('Data Source'!B972&lt;&gt;"",'Data Source'!S972="A+"),IF('Data Source'!AC972&gt;=5,"A+",IF('Data Source'!AC972&gt;=4,"A",IF('Data Source'!AC972&gt;=3.5,"A-",IF('Data Source'!AC972&gt;=3,"B",IF('Data Source'!AC972&gt;=2,"C",IF('Data Source'!AC972&gt;=1,"D","F")))))),"")</f>
        <v/>
      </c>
      <c r="L972" s="3">
        <f>IF(AND('Data Source'!B972&lt;&gt;"",'Data Source'!S972="A+"),IF('Data Source'!AD972&gt;=5,"A+",IF('Data Source'!AD972&gt;=4,"A",IF('Data Source'!AD972&gt;=3.5,"A-",IF('Data Source'!AD972&gt;=3,"B",IF('Data Source'!AD972&gt;=2,"C",IF('Data Source'!AD972&gt;=1,"D","F")))))),"")</f>
        <v/>
      </c>
      <c r="M972" s="3">
        <f>IF(AND('Data Source'!B972&lt;&gt;"",'Data Source'!S972="A+"),IF('Data Source'!AE972&gt;=5,"A+",IF('Data Source'!AE972&gt;=4,"A",IF('Data Source'!AE972&gt;=3.5,"A-",IF('Data Source'!AE972&gt;=3,"B",IF('Data Source'!AE972&gt;=2,"C",IF('Data Source'!AE972&gt;=1,"D","F")))))),"")</f>
        <v/>
      </c>
      <c r="N972" s="3">
        <f>IF(AND('Data Source'!B972&lt;&gt;"",'Data Source'!S972="A+"),IF('Data Source'!AF972&gt;=5,"A+",IF('Data Source'!AF972&gt;=4,"A",IF('Data Source'!AF972&gt;=3.5,"A-",IF('Data Source'!AF972&gt;=3,"B",IF('Data Source'!AF972&gt;=2,"C",IF('Data Source'!AF972&gt;=1,"D","F")))))),"")</f>
        <v/>
      </c>
      <c r="O972" s="3">
        <f>IF(AND('Data Source'!B972&lt;&gt;"",'Data Source'!S972="A+"),IF('Data Source'!AG972&gt;=5,"A+",IF('Data Source'!AG972&gt;=4,"A",IF('Data Source'!AG972&gt;=3.5,"A-",IF('Data Source'!AG972&gt;=3,"B",IF('Data Source'!AG972&gt;=2,"C",IF('Data Source'!AG972&gt;=1,"D","F")))))),"")</f>
        <v/>
      </c>
      <c r="P972" s="5">
        <f>IF(AND('Data Source'!B972&lt;&gt;"",'Data Source'!S972="A+"),'Data Source'!R972,"")</f>
        <v/>
      </c>
      <c r="Q972" s="3">
        <f>IF(AND('Data Source'!B972&lt;&gt;"",'Data Source'!S972="A+"),'Data Source'!S972,"")</f>
        <v/>
      </c>
    </row>
    <row r="973">
      <c r="A973" s="3">
        <f>IF(AND('Data Source'!B973&lt;&gt;"",'Data Source'!S973="A+"),COUNTIF('Data Source'!$S$3:S973,"A+"),"")</f>
        <v/>
      </c>
      <c r="B973">
        <f>IF(AND('Data Source'!B973&lt;&gt;"",'Data Source'!S973="A+"),'Data Source'!B973,"")</f>
        <v/>
      </c>
      <c r="C973" s="3">
        <f>IF(AND('Data Source'!B973&lt;&gt;"",'Data Source'!S973="A+"),IF('Data Source'!U973&gt;=5,"A+",IF('Data Source'!U973&gt;=4,"A",IF('Data Source'!U973&gt;=3.5,"A-",IF('Data Source'!U973&gt;=3,"B",IF('Data Source'!U973&gt;=2,"C",IF('Data Source'!U973&gt;=1,"D","F")))))),"")</f>
        <v/>
      </c>
      <c r="D973" s="3">
        <f>IF(AND('Data Source'!B973&lt;&gt;"",'Data Source'!S973="A+"),IF('Data Source'!V973&gt;=5,"A+",IF('Data Source'!V973&gt;=4,"A",IF('Data Source'!V973&gt;=3.5,"A-",IF('Data Source'!V973&gt;=3,"B",IF('Data Source'!V973&gt;=2,"C",IF('Data Source'!V973&gt;=1,"D","F")))))),"")</f>
        <v/>
      </c>
      <c r="E973" s="3">
        <f>IF(AND('Data Source'!B973&lt;&gt;"",'Data Source'!S973="A+"),IF('Data Source'!W973&gt;=5,"A+",IF('Data Source'!W973&gt;=4,"A",IF('Data Source'!W973&gt;=3.5,"A-",IF('Data Source'!W973&gt;=3,"B",IF('Data Source'!W973&gt;=2,"C",IF('Data Source'!W973&gt;=1,"D","F")))))),"")</f>
        <v/>
      </c>
      <c r="F973" s="3">
        <f>IF(AND('Data Source'!B973&lt;&gt;"",'Data Source'!S973="A+"),IF('Data Source'!X973&gt;=5,"A+",IF('Data Source'!X973&gt;=4,"A",IF('Data Source'!X973&gt;=3.5,"A-",IF('Data Source'!X973&gt;=3,"B",IF('Data Source'!X973&gt;=2,"C",IF('Data Source'!X973&gt;=1,"D","F")))))),"")</f>
        <v/>
      </c>
      <c r="G973" s="3">
        <f>IF(AND('Data Source'!B973&lt;&gt;"",'Data Source'!S973="A+"),IF('Data Source'!Y973&gt;=5,"A+",IF('Data Source'!Y973&gt;=4,"A",IF('Data Source'!Y973&gt;=3.5,"A-",IF('Data Source'!Y973&gt;=3,"B",IF('Data Source'!Y973&gt;=2,"C",IF('Data Source'!Y973&gt;=1,"D","F")))))),"")</f>
        <v/>
      </c>
      <c r="H973" s="3">
        <f>IF(AND('Data Source'!B973&lt;&gt;"",'Data Source'!S973="A+"),IF('Data Source'!Z973&gt;=5,"A+",IF('Data Source'!Z973&gt;=4,"A",IF('Data Source'!Z973&gt;=3.5,"A-",IF('Data Source'!Z973&gt;=3,"B",IF('Data Source'!Z973&gt;=2,"C",IF('Data Source'!Z973&gt;=1,"D","F")))))),"")</f>
        <v/>
      </c>
      <c r="I973" s="3">
        <f>IF(AND('Data Source'!B973&lt;&gt;"",'Data Source'!S973="A+"),IF('Data Source'!AA973&gt;=5,"A+",IF('Data Source'!AA973&gt;=4,"A",IF('Data Source'!AA973&gt;=3.5,"A-",IF('Data Source'!AA973&gt;=3,"B",IF('Data Source'!AA973&gt;=2,"C",IF('Data Source'!AA973&gt;=1,"D","F")))))),"")</f>
        <v/>
      </c>
      <c r="J973" s="3">
        <f>IF(AND('Data Source'!B973&lt;&gt;"",'Data Source'!S973="A+"),IF('Data Source'!AB973&gt;=5,"A+",IF('Data Source'!AB973&gt;=4,"A",IF('Data Source'!AB973&gt;=3.5,"A-",IF('Data Source'!AB973&gt;=3,"B",IF('Data Source'!AB973&gt;=2,"C",IF('Data Source'!AB973&gt;=1,"D","F")))))),"")</f>
        <v/>
      </c>
      <c r="K973" s="3">
        <f>IF(AND('Data Source'!B973&lt;&gt;"",'Data Source'!S973="A+"),IF('Data Source'!AC973&gt;=5,"A+",IF('Data Source'!AC973&gt;=4,"A",IF('Data Source'!AC973&gt;=3.5,"A-",IF('Data Source'!AC973&gt;=3,"B",IF('Data Source'!AC973&gt;=2,"C",IF('Data Source'!AC973&gt;=1,"D","F")))))),"")</f>
        <v/>
      </c>
      <c r="L973" s="3">
        <f>IF(AND('Data Source'!B973&lt;&gt;"",'Data Source'!S973="A+"),IF('Data Source'!AD973&gt;=5,"A+",IF('Data Source'!AD973&gt;=4,"A",IF('Data Source'!AD973&gt;=3.5,"A-",IF('Data Source'!AD973&gt;=3,"B",IF('Data Source'!AD973&gt;=2,"C",IF('Data Source'!AD973&gt;=1,"D","F")))))),"")</f>
        <v/>
      </c>
      <c r="M973" s="3">
        <f>IF(AND('Data Source'!B973&lt;&gt;"",'Data Source'!S973="A+"),IF('Data Source'!AE973&gt;=5,"A+",IF('Data Source'!AE973&gt;=4,"A",IF('Data Source'!AE973&gt;=3.5,"A-",IF('Data Source'!AE973&gt;=3,"B",IF('Data Source'!AE973&gt;=2,"C",IF('Data Source'!AE973&gt;=1,"D","F")))))),"")</f>
        <v/>
      </c>
      <c r="N973" s="3">
        <f>IF(AND('Data Source'!B973&lt;&gt;"",'Data Source'!S973="A+"),IF('Data Source'!AF973&gt;=5,"A+",IF('Data Source'!AF973&gt;=4,"A",IF('Data Source'!AF973&gt;=3.5,"A-",IF('Data Source'!AF973&gt;=3,"B",IF('Data Source'!AF973&gt;=2,"C",IF('Data Source'!AF973&gt;=1,"D","F")))))),"")</f>
        <v/>
      </c>
      <c r="O973" s="3">
        <f>IF(AND('Data Source'!B973&lt;&gt;"",'Data Source'!S973="A+"),IF('Data Source'!AG973&gt;=5,"A+",IF('Data Source'!AG973&gt;=4,"A",IF('Data Source'!AG973&gt;=3.5,"A-",IF('Data Source'!AG973&gt;=3,"B",IF('Data Source'!AG973&gt;=2,"C",IF('Data Source'!AG973&gt;=1,"D","F")))))),"")</f>
        <v/>
      </c>
      <c r="P973" s="5">
        <f>IF(AND('Data Source'!B973&lt;&gt;"",'Data Source'!S973="A+"),'Data Source'!R973,"")</f>
        <v/>
      </c>
      <c r="Q973" s="3">
        <f>IF(AND('Data Source'!B973&lt;&gt;"",'Data Source'!S973="A+"),'Data Source'!S973,"")</f>
        <v/>
      </c>
    </row>
    <row r="974">
      <c r="A974" s="3">
        <f>IF(AND('Data Source'!B974&lt;&gt;"",'Data Source'!S974="A+"),COUNTIF('Data Source'!$S$3:S974,"A+"),"")</f>
        <v/>
      </c>
      <c r="B974">
        <f>IF(AND('Data Source'!B974&lt;&gt;"",'Data Source'!S974="A+"),'Data Source'!B974,"")</f>
        <v/>
      </c>
      <c r="C974" s="3">
        <f>IF(AND('Data Source'!B974&lt;&gt;"",'Data Source'!S974="A+"),IF('Data Source'!U974&gt;=5,"A+",IF('Data Source'!U974&gt;=4,"A",IF('Data Source'!U974&gt;=3.5,"A-",IF('Data Source'!U974&gt;=3,"B",IF('Data Source'!U974&gt;=2,"C",IF('Data Source'!U974&gt;=1,"D","F")))))),"")</f>
        <v/>
      </c>
      <c r="D974" s="3">
        <f>IF(AND('Data Source'!B974&lt;&gt;"",'Data Source'!S974="A+"),IF('Data Source'!V974&gt;=5,"A+",IF('Data Source'!V974&gt;=4,"A",IF('Data Source'!V974&gt;=3.5,"A-",IF('Data Source'!V974&gt;=3,"B",IF('Data Source'!V974&gt;=2,"C",IF('Data Source'!V974&gt;=1,"D","F")))))),"")</f>
        <v/>
      </c>
      <c r="E974" s="3">
        <f>IF(AND('Data Source'!B974&lt;&gt;"",'Data Source'!S974="A+"),IF('Data Source'!W974&gt;=5,"A+",IF('Data Source'!W974&gt;=4,"A",IF('Data Source'!W974&gt;=3.5,"A-",IF('Data Source'!W974&gt;=3,"B",IF('Data Source'!W974&gt;=2,"C",IF('Data Source'!W974&gt;=1,"D","F")))))),"")</f>
        <v/>
      </c>
      <c r="F974" s="3">
        <f>IF(AND('Data Source'!B974&lt;&gt;"",'Data Source'!S974="A+"),IF('Data Source'!X974&gt;=5,"A+",IF('Data Source'!X974&gt;=4,"A",IF('Data Source'!X974&gt;=3.5,"A-",IF('Data Source'!X974&gt;=3,"B",IF('Data Source'!X974&gt;=2,"C",IF('Data Source'!X974&gt;=1,"D","F")))))),"")</f>
        <v/>
      </c>
      <c r="G974" s="3">
        <f>IF(AND('Data Source'!B974&lt;&gt;"",'Data Source'!S974="A+"),IF('Data Source'!Y974&gt;=5,"A+",IF('Data Source'!Y974&gt;=4,"A",IF('Data Source'!Y974&gt;=3.5,"A-",IF('Data Source'!Y974&gt;=3,"B",IF('Data Source'!Y974&gt;=2,"C",IF('Data Source'!Y974&gt;=1,"D","F")))))),"")</f>
        <v/>
      </c>
      <c r="H974" s="3">
        <f>IF(AND('Data Source'!B974&lt;&gt;"",'Data Source'!S974="A+"),IF('Data Source'!Z974&gt;=5,"A+",IF('Data Source'!Z974&gt;=4,"A",IF('Data Source'!Z974&gt;=3.5,"A-",IF('Data Source'!Z974&gt;=3,"B",IF('Data Source'!Z974&gt;=2,"C",IF('Data Source'!Z974&gt;=1,"D","F")))))),"")</f>
        <v/>
      </c>
      <c r="I974" s="3">
        <f>IF(AND('Data Source'!B974&lt;&gt;"",'Data Source'!S974="A+"),IF('Data Source'!AA974&gt;=5,"A+",IF('Data Source'!AA974&gt;=4,"A",IF('Data Source'!AA974&gt;=3.5,"A-",IF('Data Source'!AA974&gt;=3,"B",IF('Data Source'!AA974&gt;=2,"C",IF('Data Source'!AA974&gt;=1,"D","F")))))),"")</f>
        <v/>
      </c>
      <c r="J974" s="3">
        <f>IF(AND('Data Source'!B974&lt;&gt;"",'Data Source'!S974="A+"),IF('Data Source'!AB974&gt;=5,"A+",IF('Data Source'!AB974&gt;=4,"A",IF('Data Source'!AB974&gt;=3.5,"A-",IF('Data Source'!AB974&gt;=3,"B",IF('Data Source'!AB974&gt;=2,"C",IF('Data Source'!AB974&gt;=1,"D","F")))))),"")</f>
        <v/>
      </c>
      <c r="K974" s="3">
        <f>IF(AND('Data Source'!B974&lt;&gt;"",'Data Source'!S974="A+"),IF('Data Source'!AC974&gt;=5,"A+",IF('Data Source'!AC974&gt;=4,"A",IF('Data Source'!AC974&gt;=3.5,"A-",IF('Data Source'!AC974&gt;=3,"B",IF('Data Source'!AC974&gt;=2,"C",IF('Data Source'!AC974&gt;=1,"D","F")))))),"")</f>
        <v/>
      </c>
      <c r="L974" s="3">
        <f>IF(AND('Data Source'!B974&lt;&gt;"",'Data Source'!S974="A+"),IF('Data Source'!AD974&gt;=5,"A+",IF('Data Source'!AD974&gt;=4,"A",IF('Data Source'!AD974&gt;=3.5,"A-",IF('Data Source'!AD974&gt;=3,"B",IF('Data Source'!AD974&gt;=2,"C",IF('Data Source'!AD974&gt;=1,"D","F")))))),"")</f>
        <v/>
      </c>
      <c r="M974" s="3">
        <f>IF(AND('Data Source'!B974&lt;&gt;"",'Data Source'!S974="A+"),IF('Data Source'!AE974&gt;=5,"A+",IF('Data Source'!AE974&gt;=4,"A",IF('Data Source'!AE974&gt;=3.5,"A-",IF('Data Source'!AE974&gt;=3,"B",IF('Data Source'!AE974&gt;=2,"C",IF('Data Source'!AE974&gt;=1,"D","F")))))),"")</f>
        <v/>
      </c>
      <c r="N974" s="3">
        <f>IF(AND('Data Source'!B974&lt;&gt;"",'Data Source'!S974="A+"),IF('Data Source'!AF974&gt;=5,"A+",IF('Data Source'!AF974&gt;=4,"A",IF('Data Source'!AF974&gt;=3.5,"A-",IF('Data Source'!AF974&gt;=3,"B",IF('Data Source'!AF974&gt;=2,"C",IF('Data Source'!AF974&gt;=1,"D","F")))))),"")</f>
        <v/>
      </c>
      <c r="O974" s="3">
        <f>IF(AND('Data Source'!B974&lt;&gt;"",'Data Source'!S974="A+"),IF('Data Source'!AG974&gt;=5,"A+",IF('Data Source'!AG974&gt;=4,"A",IF('Data Source'!AG974&gt;=3.5,"A-",IF('Data Source'!AG974&gt;=3,"B",IF('Data Source'!AG974&gt;=2,"C",IF('Data Source'!AG974&gt;=1,"D","F")))))),"")</f>
        <v/>
      </c>
      <c r="P974" s="5">
        <f>IF(AND('Data Source'!B974&lt;&gt;"",'Data Source'!S974="A+"),'Data Source'!R974,"")</f>
        <v/>
      </c>
      <c r="Q974" s="3">
        <f>IF(AND('Data Source'!B974&lt;&gt;"",'Data Source'!S974="A+"),'Data Source'!S974,"")</f>
        <v/>
      </c>
    </row>
    <row r="975">
      <c r="A975" s="3">
        <f>IF(AND('Data Source'!B975&lt;&gt;"",'Data Source'!S975="A+"),COUNTIF('Data Source'!$S$3:S975,"A+"),"")</f>
        <v/>
      </c>
      <c r="B975">
        <f>IF(AND('Data Source'!B975&lt;&gt;"",'Data Source'!S975="A+"),'Data Source'!B975,"")</f>
        <v/>
      </c>
      <c r="C975" s="3">
        <f>IF(AND('Data Source'!B975&lt;&gt;"",'Data Source'!S975="A+"),IF('Data Source'!U975&gt;=5,"A+",IF('Data Source'!U975&gt;=4,"A",IF('Data Source'!U975&gt;=3.5,"A-",IF('Data Source'!U975&gt;=3,"B",IF('Data Source'!U975&gt;=2,"C",IF('Data Source'!U975&gt;=1,"D","F")))))),"")</f>
        <v/>
      </c>
      <c r="D975" s="3">
        <f>IF(AND('Data Source'!B975&lt;&gt;"",'Data Source'!S975="A+"),IF('Data Source'!V975&gt;=5,"A+",IF('Data Source'!V975&gt;=4,"A",IF('Data Source'!V975&gt;=3.5,"A-",IF('Data Source'!V975&gt;=3,"B",IF('Data Source'!V975&gt;=2,"C",IF('Data Source'!V975&gt;=1,"D","F")))))),"")</f>
        <v/>
      </c>
      <c r="E975" s="3">
        <f>IF(AND('Data Source'!B975&lt;&gt;"",'Data Source'!S975="A+"),IF('Data Source'!W975&gt;=5,"A+",IF('Data Source'!W975&gt;=4,"A",IF('Data Source'!W975&gt;=3.5,"A-",IF('Data Source'!W975&gt;=3,"B",IF('Data Source'!W975&gt;=2,"C",IF('Data Source'!W975&gt;=1,"D","F")))))),"")</f>
        <v/>
      </c>
      <c r="F975" s="3">
        <f>IF(AND('Data Source'!B975&lt;&gt;"",'Data Source'!S975="A+"),IF('Data Source'!X975&gt;=5,"A+",IF('Data Source'!X975&gt;=4,"A",IF('Data Source'!X975&gt;=3.5,"A-",IF('Data Source'!X975&gt;=3,"B",IF('Data Source'!X975&gt;=2,"C",IF('Data Source'!X975&gt;=1,"D","F")))))),"")</f>
        <v/>
      </c>
      <c r="G975" s="3">
        <f>IF(AND('Data Source'!B975&lt;&gt;"",'Data Source'!S975="A+"),IF('Data Source'!Y975&gt;=5,"A+",IF('Data Source'!Y975&gt;=4,"A",IF('Data Source'!Y975&gt;=3.5,"A-",IF('Data Source'!Y975&gt;=3,"B",IF('Data Source'!Y975&gt;=2,"C",IF('Data Source'!Y975&gt;=1,"D","F")))))),"")</f>
        <v/>
      </c>
      <c r="H975" s="3">
        <f>IF(AND('Data Source'!B975&lt;&gt;"",'Data Source'!S975="A+"),IF('Data Source'!Z975&gt;=5,"A+",IF('Data Source'!Z975&gt;=4,"A",IF('Data Source'!Z975&gt;=3.5,"A-",IF('Data Source'!Z975&gt;=3,"B",IF('Data Source'!Z975&gt;=2,"C",IF('Data Source'!Z975&gt;=1,"D","F")))))),"")</f>
        <v/>
      </c>
      <c r="I975" s="3">
        <f>IF(AND('Data Source'!B975&lt;&gt;"",'Data Source'!S975="A+"),IF('Data Source'!AA975&gt;=5,"A+",IF('Data Source'!AA975&gt;=4,"A",IF('Data Source'!AA975&gt;=3.5,"A-",IF('Data Source'!AA975&gt;=3,"B",IF('Data Source'!AA975&gt;=2,"C",IF('Data Source'!AA975&gt;=1,"D","F")))))),"")</f>
        <v/>
      </c>
      <c r="J975" s="3">
        <f>IF(AND('Data Source'!B975&lt;&gt;"",'Data Source'!S975="A+"),IF('Data Source'!AB975&gt;=5,"A+",IF('Data Source'!AB975&gt;=4,"A",IF('Data Source'!AB975&gt;=3.5,"A-",IF('Data Source'!AB975&gt;=3,"B",IF('Data Source'!AB975&gt;=2,"C",IF('Data Source'!AB975&gt;=1,"D","F")))))),"")</f>
        <v/>
      </c>
      <c r="K975" s="3">
        <f>IF(AND('Data Source'!B975&lt;&gt;"",'Data Source'!S975="A+"),IF('Data Source'!AC975&gt;=5,"A+",IF('Data Source'!AC975&gt;=4,"A",IF('Data Source'!AC975&gt;=3.5,"A-",IF('Data Source'!AC975&gt;=3,"B",IF('Data Source'!AC975&gt;=2,"C",IF('Data Source'!AC975&gt;=1,"D","F")))))),"")</f>
        <v/>
      </c>
      <c r="L975" s="3">
        <f>IF(AND('Data Source'!B975&lt;&gt;"",'Data Source'!S975="A+"),IF('Data Source'!AD975&gt;=5,"A+",IF('Data Source'!AD975&gt;=4,"A",IF('Data Source'!AD975&gt;=3.5,"A-",IF('Data Source'!AD975&gt;=3,"B",IF('Data Source'!AD975&gt;=2,"C",IF('Data Source'!AD975&gt;=1,"D","F")))))),"")</f>
        <v/>
      </c>
      <c r="M975" s="3">
        <f>IF(AND('Data Source'!B975&lt;&gt;"",'Data Source'!S975="A+"),IF('Data Source'!AE975&gt;=5,"A+",IF('Data Source'!AE975&gt;=4,"A",IF('Data Source'!AE975&gt;=3.5,"A-",IF('Data Source'!AE975&gt;=3,"B",IF('Data Source'!AE975&gt;=2,"C",IF('Data Source'!AE975&gt;=1,"D","F")))))),"")</f>
        <v/>
      </c>
      <c r="N975" s="3">
        <f>IF(AND('Data Source'!B975&lt;&gt;"",'Data Source'!S975="A+"),IF('Data Source'!AF975&gt;=5,"A+",IF('Data Source'!AF975&gt;=4,"A",IF('Data Source'!AF975&gt;=3.5,"A-",IF('Data Source'!AF975&gt;=3,"B",IF('Data Source'!AF975&gt;=2,"C",IF('Data Source'!AF975&gt;=1,"D","F")))))),"")</f>
        <v/>
      </c>
      <c r="O975" s="3">
        <f>IF(AND('Data Source'!B975&lt;&gt;"",'Data Source'!S975="A+"),IF('Data Source'!AG975&gt;=5,"A+",IF('Data Source'!AG975&gt;=4,"A",IF('Data Source'!AG975&gt;=3.5,"A-",IF('Data Source'!AG975&gt;=3,"B",IF('Data Source'!AG975&gt;=2,"C",IF('Data Source'!AG975&gt;=1,"D","F")))))),"")</f>
        <v/>
      </c>
      <c r="P975" s="5">
        <f>IF(AND('Data Source'!B975&lt;&gt;"",'Data Source'!S975="A+"),'Data Source'!R975,"")</f>
        <v/>
      </c>
      <c r="Q975" s="3">
        <f>IF(AND('Data Source'!B975&lt;&gt;"",'Data Source'!S975="A+"),'Data Source'!S975,"")</f>
        <v/>
      </c>
    </row>
    <row r="976">
      <c r="A976" s="3">
        <f>IF(AND('Data Source'!B976&lt;&gt;"",'Data Source'!S976="A+"),COUNTIF('Data Source'!$S$3:S976,"A+"),"")</f>
        <v/>
      </c>
      <c r="B976">
        <f>IF(AND('Data Source'!B976&lt;&gt;"",'Data Source'!S976="A+"),'Data Source'!B976,"")</f>
        <v/>
      </c>
      <c r="C976" s="3">
        <f>IF(AND('Data Source'!B976&lt;&gt;"",'Data Source'!S976="A+"),IF('Data Source'!U976&gt;=5,"A+",IF('Data Source'!U976&gt;=4,"A",IF('Data Source'!U976&gt;=3.5,"A-",IF('Data Source'!U976&gt;=3,"B",IF('Data Source'!U976&gt;=2,"C",IF('Data Source'!U976&gt;=1,"D","F")))))),"")</f>
        <v/>
      </c>
      <c r="D976" s="3">
        <f>IF(AND('Data Source'!B976&lt;&gt;"",'Data Source'!S976="A+"),IF('Data Source'!V976&gt;=5,"A+",IF('Data Source'!V976&gt;=4,"A",IF('Data Source'!V976&gt;=3.5,"A-",IF('Data Source'!V976&gt;=3,"B",IF('Data Source'!V976&gt;=2,"C",IF('Data Source'!V976&gt;=1,"D","F")))))),"")</f>
        <v/>
      </c>
      <c r="E976" s="3">
        <f>IF(AND('Data Source'!B976&lt;&gt;"",'Data Source'!S976="A+"),IF('Data Source'!W976&gt;=5,"A+",IF('Data Source'!W976&gt;=4,"A",IF('Data Source'!W976&gt;=3.5,"A-",IF('Data Source'!W976&gt;=3,"B",IF('Data Source'!W976&gt;=2,"C",IF('Data Source'!W976&gt;=1,"D","F")))))),"")</f>
        <v/>
      </c>
      <c r="F976" s="3">
        <f>IF(AND('Data Source'!B976&lt;&gt;"",'Data Source'!S976="A+"),IF('Data Source'!X976&gt;=5,"A+",IF('Data Source'!X976&gt;=4,"A",IF('Data Source'!X976&gt;=3.5,"A-",IF('Data Source'!X976&gt;=3,"B",IF('Data Source'!X976&gt;=2,"C",IF('Data Source'!X976&gt;=1,"D","F")))))),"")</f>
        <v/>
      </c>
      <c r="G976" s="3">
        <f>IF(AND('Data Source'!B976&lt;&gt;"",'Data Source'!S976="A+"),IF('Data Source'!Y976&gt;=5,"A+",IF('Data Source'!Y976&gt;=4,"A",IF('Data Source'!Y976&gt;=3.5,"A-",IF('Data Source'!Y976&gt;=3,"B",IF('Data Source'!Y976&gt;=2,"C",IF('Data Source'!Y976&gt;=1,"D","F")))))),"")</f>
        <v/>
      </c>
      <c r="H976" s="3">
        <f>IF(AND('Data Source'!B976&lt;&gt;"",'Data Source'!S976="A+"),IF('Data Source'!Z976&gt;=5,"A+",IF('Data Source'!Z976&gt;=4,"A",IF('Data Source'!Z976&gt;=3.5,"A-",IF('Data Source'!Z976&gt;=3,"B",IF('Data Source'!Z976&gt;=2,"C",IF('Data Source'!Z976&gt;=1,"D","F")))))),"")</f>
        <v/>
      </c>
      <c r="I976" s="3">
        <f>IF(AND('Data Source'!B976&lt;&gt;"",'Data Source'!S976="A+"),IF('Data Source'!AA976&gt;=5,"A+",IF('Data Source'!AA976&gt;=4,"A",IF('Data Source'!AA976&gt;=3.5,"A-",IF('Data Source'!AA976&gt;=3,"B",IF('Data Source'!AA976&gt;=2,"C",IF('Data Source'!AA976&gt;=1,"D","F")))))),"")</f>
        <v/>
      </c>
      <c r="J976" s="3">
        <f>IF(AND('Data Source'!B976&lt;&gt;"",'Data Source'!S976="A+"),IF('Data Source'!AB976&gt;=5,"A+",IF('Data Source'!AB976&gt;=4,"A",IF('Data Source'!AB976&gt;=3.5,"A-",IF('Data Source'!AB976&gt;=3,"B",IF('Data Source'!AB976&gt;=2,"C",IF('Data Source'!AB976&gt;=1,"D","F")))))),"")</f>
        <v/>
      </c>
      <c r="K976" s="3">
        <f>IF(AND('Data Source'!B976&lt;&gt;"",'Data Source'!S976="A+"),IF('Data Source'!AC976&gt;=5,"A+",IF('Data Source'!AC976&gt;=4,"A",IF('Data Source'!AC976&gt;=3.5,"A-",IF('Data Source'!AC976&gt;=3,"B",IF('Data Source'!AC976&gt;=2,"C",IF('Data Source'!AC976&gt;=1,"D","F")))))),"")</f>
        <v/>
      </c>
      <c r="L976" s="3">
        <f>IF(AND('Data Source'!B976&lt;&gt;"",'Data Source'!S976="A+"),IF('Data Source'!AD976&gt;=5,"A+",IF('Data Source'!AD976&gt;=4,"A",IF('Data Source'!AD976&gt;=3.5,"A-",IF('Data Source'!AD976&gt;=3,"B",IF('Data Source'!AD976&gt;=2,"C",IF('Data Source'!AD976&gt;=1,"D","F")))))),"")</f>
        <v/>
      </c>
      <c r="M976" s="3">
        <f>IF(AND('Data Source'!B976&lt;&gt;"",'Data Source'!S976="A+"),IF('Data Source'!AE976&gt;=5,"A+",IF('Data Source'!AE976&gt;=4,"A",IF('Data Source'!AE976&gt;=3.5,"A-",IF('Data Source'!AE976&gt;=3,"B",IF('Data Source'!AE976&gt;=2,"C",IF('Data Source'!AE976&gt;=1,"D","F")))))),"")</f>
        <v/>
      </c>
      <c r="N976" s="3">
        <f>IF(AND('Data Source'!B976&lt;&gt;"",'Data Source'!S976="A+"),IF('Data Source'!AF976&gt;=5,"A+",IF('Data Source'!AF976&gt;=4,"A",IF('Data Source'!AF976&gt;=3.5,"A-",IF('Data Source'!AF976&gt;=3,"B",IF('Data Source'!AF976&gt;=2,"C",IF('Data Source'!AF976&gt;=1,"D","F")))))),"")</f>
        <v/>
      </c>
      <c r="O976" s="3">
        <f>IF(AND('Data Source'!B976&lt;&gt;"",'Data Source'!S976="A+"),IF('Data Source'!AG976&gt;=5,"A+",IF('Data Source'!AG976&gt;=4,"A",IF('Data Source'!AG976&gt;=3.5,"A-",IF('Data Source'!AG976&gt;=3,"B",IF('Data Source'!AG976&gt;=2,"C",IF('Data Source'!AG976&gt;=1,"D","F")))))),"")</f>
        <v/>
      </c>
      <c r="P976" s="5">
        <f>IF(AND('Data Source'!B976&lt;&gt;"",'Data Source'!S976="A+"),'Data Source'!R976,"")</f>
        <v/>
      </c>
      <c r="Q976" s="3">
        <f>IF(AND('Data Source'!B976&lt;&gt;"",'Data Source'!S976="A+"),'Data Source'!S976,"")</f>
        <v/>
      </c>
    </row>
    <row r="977">
      <c r="A977" s="3">
        <f>IF(AND('Data Source'!B977&lt;&gt;"",'Data Source'!S977="A+"),COUNTIF('Data Source'!$S$3:S977,"A+"),"")</f>
        <v/>
      </c>
      <c r="B977">
        <f>IF(AND('Data Source'!B977&lt;&gt;"",'Data Source'!S977="A+"),'Data Source'!B977,"")</f>
        <v/>
      </c>
      <c r="C977" s="3">
        <f>IF(AND('Data Source'!B977&lt;&gt;"",'Data Source'!S977="A+"),IF('Data Source'!U977&gt;=5,"A+",IF('Data Source'!U977&gt;=4,"A",IF('Data Source'!U977&gt;=3.5,"A-",IF('Data Source'!U977&gt;=3,"B",IF('Data Source'!U977&gt;=2,"C",IF('Data Source'!U977&gt;=1,"D","F")))))),"")</f>
        <v/>
      </c>
      <c r="D977" s="3">
        <f>IF(AND('Data Source'!B977&lt;&gt;"",'Data Source'!S977="A+"),IF('Data Source'!V977&gt;=5,"A+",IF('Data Source'!V977&gt;=4,"A",IF('Data Source'!V977&gt;=3.5,"A-",IF('Data Source'!V977&gt;=3,"B",IF('Data Source'!V977&gt;=2,"C",IF('Data Source'!V977&gt;=1,"D","F")))))),"")</f>
        <v/>
      </c>
      <c r="E977" s="3">
        <f>IF(AND('Data Source'!B977&lt;&gt;"",'Data Source'!S977="A+"),IF('Data Source'!W977&gt;=5,"A+",IF('Data Source'!W977&gt;=4,"A",IF('Data Source'!W977&gt;=3.5,"A-",IF('Data Source'!W977&gt;=3,"B",IF('Data Source'!W977&gt;=2,"C",IF('Data Source'!W977&gt;=1,"D","F")))))),"")</f>
        <v/>
      </c>
      <c r="F977" s="3">
        <f>IF(AND('Data Source'!B977&lt;&gt;"",'Data Source'!S977="A+"),IF('Data Source'!X977&gt;=5,"A+",IF('Data Source'!X977&gt;=4,"A",IF('Data Source'!X977&gt;=3.5,"A-",IF('Data Source'!X977&gt;=3,"B",IF('Data Source'!X977&gt;=2,"C",IF('Data Source'!X977&gt;=1,"D","F")))))),"")</f>
        <v/>
      </c>
      <c r="G977" s="3">
        <f>IF(AND('Data Source'!B977&lt;&gt;"",'Data Source'!S977="A+"),IF('Data Source'!Y977&gt;=5,"A+",IF('Data Source'!Y977&gt;=4,"A",IF('Data Source'!Y977&gt;=3.5,"A-",IF('Data Source'!Y977&gt;=3,"B",IF('Data Source'!Y977&gt;=2,"C",IF('Data Source'!Y977&gt;=1,"D","F")))))),"")</f>
        <v/>
      </c>
      <c r="H977" s="3">
        <f>IF(AND('Data Source'!B977&lt;&gt;"",'Data Source'!S977="A+"),IF('Data Source'!Z977&gt;=5,"A+",IF('Data Source'!Z977&gt;=4,"A",IF('Data Source'!Z977&gt;=3.5,"A-",IF('Data Source'!Z977&gt;=3,"B",IF('Data Source'!Z977&gt;=2,"C",IF('Data Source'!Z977&gt;=1,"D","F")))))),"")</f>
        <v/>
      </c>
      <c r="I977" s="3">
        <f>IF(AND('Data Source'!B977&lt;&gt;"",'Data Source'!S977="A+"),IF('Data Source'!AA977&gt;=5,"A+",IF('Data Source'!AA977&gt;=4,"A",IF('Data Source'!AA977&gt;=3.5,"A-",IF('Data Source'!AA977&gt;=3,"B",IF('Data Source'!AA977&gt;=2,"C",IF('Data Source'!AA977&gt;=1,"D","F")))))),"")</f>
        <v/>
      </c>
      <c r="J977" s="3">
        <f>IF(AND('Data Source'!B977&lt;&gt;"",'Data Source'!S977="A+"),IF('Data Source'!AB977&gt;=5,"A+",IF('Data Source'!AB977&gt;=4,"A",IF('Data Source'!AB977&gt;=3.5,"A-",IF('Data Source'!AB977&gt;=3,"B",IF('Data Source'!AB977&gt;=2,"C",IF('Data Source'!AB977&gt;=1,"D","F")))))),"")</f>
        <v/>
      </c>
      <c r="K977" s="3">
        <f>IF(AND('Data Source'!B977&lt;&gt;"",'Data Source'!S977="A+"),IF('Data Source'!AC977&gt;=5,"A+",IF('Data Source'!AC977&gt;=4,"A",IF('Data Source'!AC977&gt;=3.5,"A-",IF('Data Source'!AC977&gt;=3,"B",IF('Data Source'!AC977&gt;=2,"C",IF('Data Source'!AC977&gt;=1,"D","F")))))),"")</f>
        <v/>
      </c>
      <c r="L977" s="3">
        <f>IF(AND('Data Source'!B977&lt;&gt;"",'Data Source'!S977="A+"),IF('Data Source'!AD977&gt;=5,"A+",IF('Data Source'!AD977&gt;=4,"A",IF('Data Source'!AD977&gt;=3.5,"A-",IF('Data Source'!AD977&gt;=3,"B",IF('Data Source'!AD977&gt;=2,"C",IF('Data Source'!AD977&gt;=1,"D","F")))))),"")</f>
        <v/>
      </c>
      <c r="M977" s="3">
        <f>IF(AND('Data Source'!B977&lt;&gt;"",'Data Source'!S977="A+"),IF('Data Source'!AE977&gt;=5,"A+",IF('Data Source'!AE977&gt;=4,"A",IF('Data Source'!AE977&gt;=3.5,"A-",IF('Data Source'!AE977&gt;=3,"B",IF('Data Source'!AE977&gt;=2,"C",IF('Data Source'!AE977&gt;=1,"D","F")))))),"")</f>
        <v/>
      </c>
      <c r="N977" s="3">
        <f>IF(AND('Data Source'!B977&lt;&gt;"",'Data Source'!S977="A+"),IF('Data Source'!AF977&gt;=5,"A+",IF('Data Source'!AF977&gt;=4,"A",IF('Data Source'!AF977&gt;=3.5,"A-",IF('Data Source'!AF977&gt;=3,"B",IF('Data Source'!AF977&gt;=2,"C",IF('Data Source'!AF977&gt;=1,"D","F")))))),"")</f>
        <v/>
      </c>
      <c r="O977" s="3">
        <f>IF(AND('Data Source'!B977&lt;&gt;"",'Data Source'!S977="A+"),IF('Data Source'!AG977&gt;=5,"A+",IF('Data Source'!AG977&gt;=4,"A",IF('Data Source'!AG977&gt;=3.5,"A-",IF('Data Source'!AG977&gt;=3,"B",IF('Data Source'!AG977&gt;=2,"C",IF('Data Source'!AG977&gt;=1,"D","F")))))),"")</f>
        <v/>
      </c>
      <c r="P977" s="5">
        <f>IF(AND('Data Source'!B977&lt;&gt;"",'Data Source'!S977="A+"),'Data Source'!R977,"")</f>
        <v/>
      </c>
      <c r="Q977" s="3">
        <f>IF(AND('Data Source'!B977&lt;&gt;"",'Data Source'!S977="A+"),'Data Source'!S977,"")</f>
        <v/>
      </c>
    </row>
    <row r="978">
      <c r="A978" s="3">
        <f>IF(AND('Data Source'!B978&lt;&gt;"",'Data Source'!S978="A+"),COUNTIF('Data Source'!$S$3:S978,"A+"),"")</f>
        <v/>
      </c>
      <c r="B978">
        <f>IF(AND('Data Source'!B978&lt;&gt;"",'Data Source'!S978="A+"),'Data Source'!B978,"")</f>
        <v/>
      </c>
      <c r="C978" s="3">
        <f>IF(AND('Data Source'!B978&lt;&gt;"",'Data Source'!S978="A+"),IF('Data Source'!U978&gt;=5,"A+",IF('Data Source'!U978&gt;=4,"A",IF('Data Source'!U978&gt;=3.5,"A-",IF('Data Source'!U978&gt;=3,"B",IF('Data Source'!U978&gt;=2,"C",IF('Data Source'!U978&gt;=1,"D","F")))))),"")</f>
        <v/>
      </c>
      <c r="D978" s="3">
        <f>IF(AND('Data Source'!B978&lt;&gt;"",'Data Source'!S978="A+"),IF('Data Source'!V978&gt;=5,"A+",IF('Data Source'!V978&gt;=4,"A",IF('Data Source'!V978&gt;=3.5,"A-",IF('Data Source'!V978&gt;=3,"B",IF('Data Source'!V978&gt;=2,"C",IF('Data Source'!V978&gt;=1,"D","F")))))),"")</f>
        <v/>
      </c>
      <c r="E978" s="3">
        <f>IF(AND('Data Source'!B978&lt;&gt;"",'Data Source'!S978="A+"),IF('Data Source'!W978&gt;=5,"A+",IF('Data Source'!W978&gt;=4,"A",IF('Data Source'!W978&gt;=3.5,"A-",IF('Data Source'!W978&gt;=3,"B",IF('Data Source'!W978&gt;=2,"C",IF('Data Source'!W978&gt;=1,"D","F")))))),"")</f>
        <v/>
      </c>
      <c r="F978" s="3">
        <f>IF(AND('Data Source'!B978&lt;&gt;"",'Data Source'!S978="A+"),IF('Data Source'!X978&gt;=5,"A+",IF('Data Source'!X978&gt;=4,"A",IF('Data Source'!X978&gt;=3.5,"A-",IF('Data Source'!X978&gt;=3,"B",IF('Data Source'!X978&gt;=2,"C",IF('Data Source'!X978&gt;=1,"D","F")))))),"")</f>
        <v/>
      </c>
      <c r="G978" s="3">
        <f>IF(AND('Data Source'!B978&lt;&gt;"",'Data Source'!S978="A+"),IF('Data Source'!Y978&gt;=5,"A+",IF('Data Source'!Y978&gt;=4,"A",IF('Data Source'!Y978&gt;=3.5,"A-",IF('Data Source'!Y978&gt;=3,"B",IF('Data Source'!Y978&gt;=2,"C",IF('Data Source'!Y978&gt;=1,"D","F")))))),"")</f>
        <v/>
      </c>
      <c r="H978" s="3">
        <f>IF(AND('Data Source'!B978&lt;&gt;"",'Data Source'!S978="A+"),IF('Data Source'!Z978&gt;=5,"A+",IF('Data Source'!Z978&gt;=4,"A",IF('Data Source'!Z978&gt;=3.5,"A-",IF('Data Source'!Z978&gt;=3,"B",IF('Data Source'!Z978&gt;=2,"C",IF('Data Source'!Z978&gt;=1,"D","F")))))),"")</f>
        <v/>
      </c>
      <c r="I978" s="3">
        <f>IF(AND('Data Source'!B978&lt;&gt;"",'Data Source'!S978="A+"),IF('Data Source'!AA978&gt;=5,"A+",IF('Data Source'!AA978&gt;=4,"A",IF('Data Source'!AA978&gt;=3.5,"A-",IF('Data Source'!AA978&gt;=3,"B",IF('Data Source'!AA978&gt;=2,"C",IF('Data Source'!AA978&gt;=1,"D","F")))))),"")</f>
        <v/>
      </c>
      <c r="J978" s="3">
        <f>IF(AND('Data Source'!B978&lt;&gt;"",'Data Source'!S978="A+"),IF('Data Source'!AB978&gt;=5,"A+",IF('Data Source'!AB978&gt;=4,"A",IF('Data Source'!AB978&gt;=3.5,"A-",IF('Data Source'!AB978&gt;=3,"B",IF('Data Source'!AB978&gt;=2,"C",IF('Data Source'!AB978&gt;=1,"D","F")))))),"")</f>
        <v/>
      </c>
      <c r="K978" s="3">
        <f>IF(AND('Data Source'!B978&lt;&gt;"",'Data Source'!S978="A+"),IF('Data Source'!AC978&gt;=5,"A+",IF('Data Source'!AC978&gt;=4,"A",IF('Data Source'!AC978&gt;=3.5,"A-",IF('Data Source'!AC978&gt;=3,"B",IF('Data Source'!AC978&gt;=2,"C",IF('Data Source'!AC978&gt;=1,"D","F")))))),"")</f>
        <v/>
      </c>
      <c r="L978" s="3">
        <f>IF(AND('Data Source'!B978&lt;&gt;"",'Data Source'!S978="A+"),IF('Data Source'!AD978&gt;=5,"A+",IF('Data Source'!AD978&gt;=4,"A",IF('Data Source'!AD978&gt;=3.5,"A-",IF('Data Source'!AD978&gt;=3,"B",IF('Data Source'!AD978&gt;=2,"C",IF('Data Source'!AD978&gt;=1,"D","F")))))),"")</f>
        <v/>
      </c>
      <c r="M978" s="3">
        <f>IF(AND('Data Source'!B978&lt;&gt;"",'Data Source'!S978="A+"),IF('Data Source'!AE978&gt;=5,"A+",IF('Data Source'!AE978&gt;=4,"A",IF('Data Source'!AE978&gt;=3.5,"A-",IF('Data Source'!AE978&gt;=3,"B",IF('Data Source'!AE978&gt;=2,"C",IF('Data Source'!AE978&gt;=1,"D","F")))))),"")</f>
        <v/>
      </c>
      <c r="N978" s="3">
        <f>IF(AND('Data Source'!B978&lt;&gt;"",'Data Source'!S978="A+"),IF('Data Source'!AF978&gt;=5,"A+",IF('Data Source'!AF978&gt;=4,"A",IF('Data Source'!AF978&gt;=3.5,"A-",IF('Data Source'!AF978&gt;=3,"B",IF('Data Source'!AF978&gt;=2,"C",IF('Data Source'!AF978&gt;=1,"D","F")))))),"")</f>
        <v/>
      </c>
      <c r="O978" s="3">
        <f>IF(AND('Data Source'!B978&lt;&gt;"",'Data Source'!S978="A+"),IF('Data Source'!AG978&gt;=5,"A+",IF('Data Source'!AG978&gt;=4,"A",IF('Data Source'!AG978&gt;=3.5,"A-",IF('Data Source'!AG978&gt;=3,"B",IF('Data Source'!AG978&gt;=2,"C",IF('Data Source'!AG978&gt;=1,"D","F")))))),"")</f>
        <v/>
      </c>
      <c r="P978" s="5">
        <f>IF(AND('Data Source'!B978&lt;&gt;"",'Data Source'!S978="A+"),'Data Source'!R978,"")</f>
        <v/>
      </c>
      <c r="Q978" s="3">
        <f>IF(AND('Data Source'!B978&lt;&gt;"",'Data Source'!S978="A+"),'Data Source'!S978,"")</f>
        <v/>
      </c>
    </row>
    <row r="979">
      <c r="A979" s="3">
        <f>IF(AND('Data Source'!B979&lt;&gt;"",'Data Source'!S979="A+"),COUNTIF('Data Source'!$S$3:S979,"A+"),"")</f>
        <v/>
      </c>
      <c r="B979">
        <f>IF(AND('Data Source'!B979&lt;&gt;"",'Data Source'!S979="A+"),'Data Source'!B979,"")</f>
        <v/>
      </c>
      <c r="C979" s="3">
        <f>IF(AND('Data Source'!B979&lt;&gt;"",'Data Source'!S979="A+"),IF('Data Source'!U979&gt;=5,"A+",IF('Data Source'!U979&gt;=4,"A",IF('Data Source'!U979&gt;=3.5,"A-",IF('Data Source'!U979&gt;=3,"B",IF('Data Source'!U979&gt;=2,"C",IF('Data Source'!U979&gt;=1,"D","F")))))),"")</f>
        <v/>
      </c>
      <c r="D979" s="3">
        <f>IF(AND('Data Source'!B979&lt;&gt;"",'Data Source'!S979="A+"),IF('Data Source'!V979&gt;=5,"A+",IF('Data Source'!V979&gt;=4,"A",IF('Data Source'!V979&gt;=3.5,"A-",IF('Data Source'!V979&gt;=3,"B",IF('Data Source'!V979&gt;=2,"C",IF('Data Source'!V979&gt;=1,"D","F")))))),"")</f>
        <v/>
      </c>
      <c r="E979" s="3">
        <f>IF(AND('Data Source'!B979&lt;&gt;"",'Data Source'!S979="A+"),IF('Data Source'!W979&gt;=5,"A+",IF('Data Source'!W979&gt;=4,"A",IF('Data Source'!W979&gt;=3.5,"A-",IF('Data Source'!W979&gt;=3,"B",IF('Data Source'!W979&gt;=2,"C",IF('Data Source'!W979&gt;=1,"D","F")))))),"")</f>
        <v/>
      </c>
      <c r="F979" s="3">
        <f>IF(AND('Data Source'!B979&lt;&gt;"",'Data Source'!S979="A+"),IF('Data Source'!X979&gt;=5,"A+",IF('Data Source'!X979&gt;=4,"A",IF('Data Source'!X979&gt;=3.5,"A-",IF('Data Source'!X979&gt;=3,"B",IF('Data Source'!X979&gt;=2,"C",IF('Data Source'!X979&gt;=1,"D","F")))))),"")</f>
        <v/>
      </c>
      <c r="G979" s="3">
        <f>IF(AND('Data Source'!B979&lt;&gt;"",'Data Source'!S979="A+"),IF('Data Source'!Y979&gt;=5,"A+",IF('Data Source'!Y979&gt;=4,"A",IF('Data Source'!Y979&gt;=3.5,"A-",IF('Data Source'!Y979&gt;=3,"B",IF('Data Source'!Y979&gt;=2,"C",IF('Data Source'!Y979&gt;=1,"D","F")))))),"")</f>
        <v/>
      </c>
      <c r="H979" s="3">
        <f>IF(AND('Data Source'!B979&lt;&gt;"",'Data Source'!S979="A+"),IF('Data Source'!Z979&gt;=5,"A+",IF('Data Source'!Z979&gt;=4,"A",IF('Data Source'!Z979&gt;=3.5,"A-",IF('Data Source'!Z979&gt;=3,"B",IF('Data Source'!Z979&gt;=2,"C",IF('Data Source'!Z979&gt;=1,"D","F")))))),"")</f>
        <v/>
      </c>
      <c r="I979" s="3">
        <f>IF(AND('Data Source'!B979&lt;&gt;"",'Data Source'!S979="A+"),IF('Data Source'!AA979&gt;=5,"A+",IF('Data Source'!AA979&gt;=4,"A",IF('Data Source'!AA979&gt;=3.5,"A-",IF('Data Source'!AA979&gt;=3,"B",IF('Data Source'!AA979&gt;=2,"C",IF('Data Source'!AA979&gt;=1,"D","F")))))),"")</f>
        <v/>
      </c>
      <c r="J979" s="3">
        <f>IF(AND('Data Source'!B979&lt;&gt;"",'Data Source'!S979="A+"),IF('Data Source'!AB979&gt;=5,"A+",IF('Data Source'!AB979&gt;=4,"A",IF('Data Source'!AB979&gt;=3.5,"A-",IF('Data Source'!AB979&gt;=3,"B",IF('Data Source'!AB979&gt;=2,"C",IF('Data Source'!AB979&gt;=1,"D","F")))))),"")</f>
        <v/>
      </c>
      <c r="K979" s="3">
        <f>IF(AND('Data Source'!B979&lt;&gt;"",'Data Source'!S979="A+"),IF('Data Source'!AC979&gt;=5,"A+",IF('Data Source'!AC979&gt;=4,"A",IF('Data Source'!AC979&gt;=3.5,"A-",IF('Data Source'!AC979&gt;=3,"B",IF('Data Source'!AC979&gt;=2,"C",IF('Data Source'!AC979&gt;=1,"D","F")))))),"")</f>
        <v/>
      </c>
      <c r="L979" s="3">
        <f>IF(AND('Data Source'!B979&lt;&gt;"",'Data Source'!S979="A+"),IF('Data Source'!AD979&gt;=5,"A+",IF('Data Source'!AD979&gt;=4,"A",IF('Data Source'!AD979&gt;=3.5,"A-",IF('Data Source'!AD979&gt;=3,"B",IF('Data Source'!AD979&gt;=2,"C",IF('Data Source'!AD979&gt;=1,"D","F")))))),"")</f>
        <v/>
      </c>
      <c r="M979" s="3">
        <f>IF(AND('Data Source'!B979&lt;&gt;"",'Data Source'!S979="A+"),IF('Data Source'!AE979&gt;=5,"A+",IF('Data Source'!AE979&gt;=4,"A",IF('Data Source'!AE979&gt;=3.5,"A-",IF('Data Source'!AE979&gt;=3,"B",IF('Data Source'!AE979&gt;=2,"C",IF('Data Source'!AE979&gt;=1,"D","F")))))),"")</f>
        <v/>
      </c>
      <c r="N979" s="3">
        <f>IF(AND('Data Source'!B979&lt;&gt;"",'Data Source'!S979="A+"),IF('Data Source'!AF979&gt;=5,"A+",IF('Data Source'!AF979&gt;=4,"A",IF('Data Source'!AF979&gt;=3.5,"A-",IF('Data Source'!AF979&gt;=3,"B",IF('Data Source'!AF979&gt;=2,"C",IF('Data Source'!AF979&gt;=1,"D","F")))))),"")</f>
        <v/>
      </c>
      <c r="O979" s="3">
        <f>IF(AND('Data Source'!B979&lt;&gt;"",'Data Source'!S979="A+"),IF('Data Source'!AG979&gt;=5,"A+",IF('Data Source'!AG979&gt;=4,"A",IF('Data Source'!AG979&gt;=3.5,"A-",IF('Data Source'!AG979&gt;=3,"B",IF('Data Source'!AG979&gt;=2,"C",IF('Data Source'!AG979&gt;=1,"D","F")))))),"")</f>
        <v/>
      </c>
      <c r="P979" s="5">
        <f>IF(AND('Data Source'!B979&lt;&gt;"",'Data Source'!S979="A+"),'Data Source'!R979,"")</f>
        <v/>
      </c>
      <c r="Q979" s="3">
        <f>IF(AND('Data Source'!B979&lt;&gt;"",'Data Source'!S979="A+"),'Data Source'!S979,"")</f>
        <v/>
      </c>
    </row>
    <row r="980">
      <c r="A980" s="3">
        <f>IF(AND('Data Source'!B980&lt;&gt;"",'Data Source'!S980="A+"),COUNTIF('Data Source'!$S$3:S980,"A+"),"")</f>
        <v/>
      </c>
      <c r="B980">
        <f>IF(AND('Data Source'!B980&lt;&gt;"",'Data Source'!S980="A+"),'Data Source'!B980,"")</f>
        <v/>
      </c>
      <c r="C980" s="3">
        <f>IF(AND('Data Source'!B980&lt;&gt;"",'Data Source'!S980="A+"),IF('Data Source'!U980&gt;=5,"A+",IF('Data Source'!U980&gt;=4,"A",IF('Data Source'!U980&gt;=3.5,"A-",IF('Data Source'!U980&gt;=3,"B",IF('Data Source'!U980&gt;=2,"C",IF('Data Source'!U980&gt;=1,"D","F")))))),"")</f>
        <v/>
      </c>
      <c r="D980" s="3">
        <f>IF(AND('Data Source'!B980&lt;&gt;"",'Data Source'!S980="A+"),IF('Data Source'!V980&gt;=5,"A+",IF('Data Source'!V980&gt;=4,"A",IF('Data Source'!V980&gt;=3.5,"A-",IF('Data Source'!V980&gt;=3,"B",IF('Data Source'!V980&gt;=2,"C",IF('Data Source'!V980&gt;=1,"D","F")))))),"")</f>
        <v/>
      </c>
      <c r="E980" s="3">
        <f>IF(AND('Data Source'!B980&lt;&gt;"",'Data Source'!S980="A+"),IF('Data Source'!W980&gt;=5,"A+",IF('Data Source'!W980&gt;=4,"A",IF('Data Source'!W980&gt;=3.5,"A-",IF('Data Source'!W980&gt;=3,"B",IF('Data Source'!W980&gt;=2,"C",IF('Data Source'!W980&gt;=1,"D","F")))))),"")</f>
        <v/>
      </c>
      <c r="F980" s="3">
        <f>IF(AND('Data Source'!B980&lt;&gt;"",'Data Source'!S980="A+"),IF('Data Source'!X980&gt;=5,"A+",IF('Data Source'!X980&gt;=4,"A",IF('Data Source'!X980&gt;=3.5,"A-",IF('Data Source'!X980&gt;=3,"B",IF('Data Source'!X980&gt;=2,"C",IF('Data Source'!X980&gt;=1,"D","F")))))),"")</f>
        <v/>
      </c>
      <c r="G980" s="3">
        <f>IF(AND('Data Source'!B980&lt;&gt;"",'Data Source'!S980="A+"),IF('Data Source'!Y980&gt;=5,"A+",IF('Data Source'!Y980&gt;=4,"A",IF('Data Source'!Y980&gt;=3.5,"A-",IF('Data Source'!Y980&gt;=3,"B",IF('Data Source'!Y980&gt;=2,"C",IF('Data Source'!Y980&gt;=1,"D","F")))))),"")</f>
        <v/>
      </c>
      <c r="H980" s="3">
        <f>IF(AND('Data Source'!B980&lt;&gt;"",'Data Source'!S980="A+"),IF('Data Source'!Z980&gt;=5,"A+",IF('Data Source'!Z980&gt;=4,"A",IF('Data Source'!Z980&gt;=3.5,"A-",IF('Data Source'!Z980&gt;=3,"B",IF('Data Source'!Z980&gt;=2,"C",IF('Data Source'!Z980&gt;=1,"D","F")))))),"")</f>
        <v/>
      </c>
      <c r="I980" s="3">
        <f>IF(AND('Data Source'!B980&lt;&gt;"",'Data Source'!S980="A+"),IF('Data Source'!AA980&gt;=5,"A+",IF('Data Source'!AA980&gt;=4,"A",IF('Data Source'!AA980&gt;=3.5,"A-",IF('Data Source'!AA980&gt;=3,"B",IF('Data Source'!AA980&gt;=2,"C",IF('Data Source'!AA980&gt;=1,"D","F")))))),"")</f>
        <v/>
      </c>
      <c r="J980" s="3">
        <f>IF(AND('Data Source'!B980&lt;&gt;"",'Data Source'!S980="A+"),IF('Data Source'!AB980&gt;=5,"A+",IF('Data Source'!AB980&gt;=4,"A",IF('Data Source'!AB980&gt;=3.5,"A-",IF('Data Source'!AB980&gt;=3,"B",IF('Data Source'!AB980&gt;=2,"C",IF('Data Source'!AB980&gt;=1,"D","F")))))),"")</f>
        <v/>
      </c>
      <c r="K980" s="3">
        <f>IF(AND('Data Source'!B980&lt;&gt;"",'Data Source'!S980="A+"),IF('Data Source'!AC980&gt;=5,"A+",IF('Data Source'!AC980&gt;=4,"A",IF('Data Source'!AC980&gt;=3.5,"A-",IF('Data Source'!AC980&gt;=3,"B",IF('Data Source'!AC980&gt;=2,"C",IF('Data Source'!AC980&gt;=1,"D","F")))))),"")</f>
        <v/>
      </c>
      <c r="L980" s="3">
        <f>IF(AND('Data Source'!B980&lt;&gt;"",'Data Source'!S980="A+"),IF('Data Source'!AD980&gt;=5,"A+",IF('Data Source'!AD980&gt;=4,"A",IF('Data Source'!AD980&gt;=3.5,"A-",IF('Data Source'!AD980&gt;=3,"B",IF('Data Source'!AD980&gt;=2,"C",IF('Data Source'!AD980&gt;=1,"D","F")))))),"")</f>
        <v/>
      </c>
      <c r="M980" s="3">
        <f>IF(AND('Data Source'!B980&lt;&gt;"",'Data Source'!S980="A+"),IF('Data Source'!AE980&gt;=5,"A+",IF('Data Source'!AE980&gt;=4,"A",IF('Data Source'!AE980&gt;=3.5,"A-",IF('Data Source'!AE980&gt;=3,"B",IF('Data Source'!AE980&gt;=2,"C",IF('Data Source'!AE980&gt;=1,"D","F")))))),"")</f>
        <v/>
      </c>
      <c r="N980" s="3">
        <f>IF(AND('Data Source'!B980&lt;&gt;"",'Data Source'!S980="A+"),IF('Data Source'!AF980&gt;=5,"A+",IF('Data Source'!AF980&gt;=4,"A",IF('Data Source'!AF980&gt;=3.5,"A-",IF('Data Source'!AF980&gt;=3,"B",IF('Data Source'!AF980&gt;=2,"C",IF('Data Source'!AF980&gt;=1,"D","F")))))),"")</f>
        <v/>
      </c>
      <c r="O980" s="3">
        <f>IF(AND('Data Source'!B980&lt;&gt;"",'Data Source'!S980="A+"),IF('Data Source'!AG980&gt;=5,"A+",IF('Data Source'!AG980&gt;=4,"A",IF('Data Source'!AG980&gt;=3.5,"A-",IF('Data Source'!AG980&gt;=3,"B",IF('Data Source'!AG980&gt;=2,"C",IF('Data Source'!AG980&gt;=1,"D","F")))))),"")</f>
        <v/>
      </c>
      <c r="P980" s="5">
        <f>IF(AND('Data Source'!B980&lt;&gt;"",'Data Source'!S980="A+"),'Data Source'!R980,"")</f>
        <v/>
      </c>
      <c r="Q980" s="3">
        <f>IF(AND('Data Source'!B980&lt;&gt;"",'Data Source'!S980="A+"),'Data Source'!S980,"")</f>
        <v/>
      </c>
    </row>
    <row r="981">
      <c r="A981" s="3">
        <f>IF(AND('Data Source'!B981&lt;&gt;"",'Data Source'!S981="A+"),COUNTIF('Data Source'!$S$3:S981,"A+"),"")</f>
        <v/>
      </c>
      <c r="B981">
        <f>IF(AND('Data Source'!B981&lt;&gt;"",'Data Source'!S981="A+"),'Data Source'!B981,"")</f>
        <v/>
      </c>
      <c r="C981" s="3">
        <f>IF(AND('Data Source'!B981&lt;&gt;"",'Data Source'!S981="A+"),IF('Data Source'!U981&gt;=5,"A+",IF('Data Source'!U981&gt;=4,"A",IF('Data Source'!U981&gt;=3.5,"A-",IF('Data Source'!U981&gt;=3,"B",IF('Data Source'!U981&gt;=2,"C",IF('Data Source'!U981&gt;=1,"D","F")))))),"")</f>
        <v/>
      </c>
      <c r="D981" s="3">
        <f>IF(AND('Data Source'!B981&lt;&gt;"",'Data Source'!S981="A+"),IF('Data Source'!V981&gt;=5,"A+",IF('Data Source'!V981&gt;=4,"A",IF('Data Source'!V981&gt;=3.5,"A-",IF('Data Source'!V981&gt;=3,"B",IF('Data Source'!V981&gt;=2,"C",IF('Data Source'!V981&gt;=1,"D","F")))))),"")</f>
        <v/>
      </c>
      <c r="E981" s="3">
        <f>IF(AND('Data Source'!B981&lt;&gt;"",'Data Source'!S981="A+"),IF('Data Source'!W981&gt;=5,"A+",IF('Data Source'!W981&gt;=4,"A",IF('Data Source'!W981&gt;=3.5,"A-",IF('Data Source'!W981&gt;=3,"B",IF('Data Source'!W981&gt;=2,"C",IF('Data Source'!W981&gt;=1,"D","F")))))),"")</f>
        <v/>
      </c>
      <c r="F981" s="3">
        <f>IF(AND('Data Source'!B981&lt;&gt;"",'Data Source'!S981="A+"),IF('Data Source'!X981&gt;=5,"A+",IF('Data Source'!X981&gt;=4,"A",IF('Data Source'!X981&gt;=3.5,"A-",IF('Data Source'!X981&gt;=3,"B",IF('Data Source'!X981&gt;=2,"C",IF('Data Source'!X981&gt;=1,"D","F")))))),"")</f>
        <v/>
      </c>
      <c r="G981" s="3">
        <f>IF(AND('Data Source'!B981&lt;&gt;"",'Data Source'!S981="A+"),IF('Data Source'!Y981&gt;=5,"A+",IF('Data Source'!Y981&gt;=4,"A",IF('Data Source'!Y981&gt;=3.5,"A-",IF('Data Source'!Y981&gt;=3,"B",IF('Data Source'!Y981&gt;=2,"C",IF('Data Source'!Y981&gt;=1,"D","F")))))),"")</f>
        <v/>
      </c>
      <c r="H981" s="3">
        <f>IF(AND('Data Source'!B981&lt;&gt;"",'Data Source'!S981="A+"),IF('Data Source'!Z981&gt;=5,"A+",IF('Data Source'!Z981&gt;=4,"A",IF('Data Source'!Z981&gt;=3.5,"A-",IF('Data Source'!Z981&gt;=3,"B",IF('Data Source'!Z981&gt;=2,"C",IF('Data Source'!Z981&gt;=1,"D","F")))))),"")</f>
        <v/>
      </c>
      <c r="I981" s="3">
        <f>IF(AND('Data Source'!B981&lt;&gt;"",'Data Source'!S981="A+"),IF('Data Source'!AA981&gt;=5,"A+",IF('Data Source'!AA981&gt;=4,"A",IF('Data Source'!AA981&gt;=3.5,"A-",IF('Data Source'!AA981&gt;=3,"B",IF('Data Source'!AA981&gt;=2,"C",IF('Data Source'!AA981&gt;=1,"D","F")))))),"")</f>
        <v/>
      </c>
      <c r="J981" s="3">
        <f>IF(AND('Data Source'!B981&lt;&gt;"",'Data Source'!S981="A+"),IF('Data Source'!AB981&gt;=5,"A+",IF('Data Source'!AB981&gt;=4,"A",IF('Data Source'!AB981&gt;=3.5,"A-",IF('Data Source'!AB981&gt;=3,"B",IF('Data Source'!AB981&gt;=2,"C",IF('Data Source'!AB981&gt;=1,"D","F")))))),"")</f>
        <v/>
      </c>
      <c r="K981" s="3">
        <f>IF(AND('Data Source'!B981&lt;&gt;"",'Data Source'!S981="A+"),IF('Data Source'!AC981&gt;=5,"A+",IF('Data Source'!AC981&gt;=4,"A",IF('Data Source'!AC981&gt;=3.5,"A-",IF('Data Source'!AC981&gt;=3,"B",IF('Data Source'!AC981&gt;=2,"C",IF('Data Source'!AC981&gt;=1,"D","F")))))),"")</f>
        <v/>
      </c>
      <c r="L981" s="3">
        <f>IF(AND('Data Source'!B981&lt;&gt;"",'Data Source'!S981="A+"),IF('Data Source'!AD981&gt;=5,"A+",IF('Data Source'!AD981&gt;=4,"A",IF('Data Source'!AD981&gt;=3.5,"A-",IF('Data Source'!AD981&gt;=3,"B",IF('Data Source'!AD981&gt;=2,"C",IF('Data Source'!AD981&gt;=1,"D","F")))))),"")</f>
        <v/>
      </c>
      <c r="M981" s="3">
        <f>IF(AND('Data Source'!B981&lt;&gt;"",'Data Source'!S981="A+"),IF('Data Source'!AE981&gt;=5,"A+",IF('Data Source'!AE981&gt;=4,"A",IF('Data Source'!AE981&gt;=3.5,"A-",IF('Data Source'!AE981&gt;=3,"B",IF('Data Source'!AE981&gt;=2,"C",IF('Data Source'!AE981&gt;=1,"D","F")))))),"")</f>
        <v/>
      </c>
      <c r="N981" s="3">
        <f>IF(AND('Data Source'!B981&lt;&gt;"",'Data Source'!S981="A+"),IF('Data Source'!AF981&gt;=5,"A+",IF('Data Source'!AF981&gt;=4,"A",IF('Data Source'!AF981&gt;=3.5,"A-",IF('Data Source'!AF981&gt;=3,"B",IF('Data Source'!AF981&gt;=2,"C",IF('Data Source'!AF981&gt;=1,"D","F")))))),"")</f>
        <v/>
      </c>
      <c r="O981" s="3">
        <f>IF(AND('Data Source'!B981&lt;&gt;"",'Data Source'!S981="A+"),IF('Data Source'!AG981&gt;=5,"A+",IF('Data Source'!AG981&gt;=4,"A",IF('Data Source'!AG981&gt;=3.5,"A-",IF('Data Source'!AG981&gt;=3,"B",IF('Data Source'!AG981&gt;=2,"C",IF('Data Source'!AG981&gt;=1,"D","F")))))),"")</f>
        <v/>
      </c>
      <c r="P981" s="5">
        <f>IF(AND('Data Source'!B981&lt;&gt;"",'Data Source'!S981="A+"),'Data Source'!R981,"")</f>
        <v/>
      </c>
      <c r="Q981" s="3">
        <f>IF(AND('Data Source'!B981&lt;&gt;"",'Data Source'!S981="A+"),'Data Source'!S981,"")</f>
        <v/>
      </c>
    </row>
    <row r="982">
      <c r="A982" s="3">
        <f>IF(AND('Data Source'!B982&lt;&gt;"",'Data Source'!S982="A+"),COUNTIF('Data Source'!$S$3:S982,"A+"),"")</f>
        <v/>
      </c>
      <c r="B982">
        <f>IF(AND('Data Source'!B982&lt;&gt;"",'Data Source'!S982="A+"),'Data Source'!B982,"")</f>
        <v/>
      </c>
      <c r="C982" s="3">
        <f>IF(AND('Data Source'!B982&lt;&gt;"",'Data Source'!S982="A+"),IF('Data Source'!U982&gt;=5,"A+",IF('Data Source'!U982&gt;=4,"A",IF('Data Source'!U982&gt;=3.5,"A-",IF('Data Source'!U982&gt;=3,"B",IF('Data Source'!U982&gt;=2,"C",IF('Data Source'!U982&gt;=1,"D","F")))))),"")</f>
        <v/>
      </c>
      <c r="D982" s="3">
        <f>IF(AND('Data Source'!B982&lt;&gt;"",'Data Source'!S982="A+"),IF('Data Source'!V982&gt;=5,"A+",IF('Data Source'!V982&gt;=4,"A",IF('Data Source'!V982&gt;=3.5,"A-",IF('Data Source'!V982&gt;=3,"B",IF('Data Source'!V982&gt;=2,"C",IF('Data Source'!V982&gt;=1,"D","F")))))),"")</f>
        <v/>
      </c>
      <c r="E982" s="3">
        <f>IF(AND('Data Source'!B982&lt;&gt;"",'Data Source'!S982="A+"),IF('Data Source'!W982&gt;=5,"A+",IF('Data Source'!W982&gt;=4,"A",IF('Data Source'!W982&gt;=3.5,"A-",IF('Data Source'!W982&gt;=3,"B",IF('Data Source'!W982&gt;=2,"C",IF('Data Source'!W982&gt;=1,"D","F")))))),"")</f>
        <v/>
      </c>
      <c r="F982" s="3">
        <f>IF(AND('Data Source'!B982&lt;&gt;"",'Data Source'!S982="A+"),IF('Data Source'!X982&gt;=5,"A+",IF('Data Source'!X982&gt;=4,"A",IF('Data Source'!X982&gt;=3.5,"A-",IF('Data Source'!X982&gt;=3,"B",IF('Data Source'!X982&gt;=2,"C",IF('Data Source'!X982&gt;=1,"D","F")))))),"")</f>
        <v/>
      </c>
      <c r="G982" s="3">
        <f>IF(AND('Data Source'!B982&lt;&gt;"",'Data Source'!S982="A+"),IF('Data Source'!Y982&gt;=5,"A+",IF('Data Source'!Y982&gt;=4,"A",IF('Data Source'!Y982&gt;=3.5,"A-",IF('Data Source'!Y982&gt;=3,"B",IF('Data Source'!Y982&gt;=2,"C",IF('Data Source'!Y982&gt;=1,"D","F")))))),"")</f>
        <v/>
      </c>
      <c r="H982" s="3">
        <f>IF(AND('Data Source'!B982&lt;&gt;"",'Data Source'!S982="A+"),IF('Data Source'!Z982&gt;=5,"A+",IF('Data Source'!Z982&gt;=4,"A",IF('Data Source'!Z982&gt;=3.5,"A-",IF('Data Source'!Z982&gt;=3,"B",IF('Data Source'!Z982&gt;=2,"C",IF('Data Source'!Z982&gt;=1,"D","F")))))),"")</f>
        <v/>
      </c>
      <c r="I982" s="3">
        <f>IF(AND('Data Source'!B982&lt;&gt;"",'Data Source'!S982="A+"),IF('Data Source'!AA982&gt;=5,"A+",IF('Data Source'!AA982&gt;=4,"A",IF('Data Source'!AA982&gt;=3.5,"A-",IF('Data Source'!AA982&gt;=3,"B",IF('Data Source'!AA982&gt;=2,"C",IF('Data Source'!AA982&gt;=1,"D","F")))))),"")</f>
        <v/>
      </c>
      <c r="J982" s="3">
        <f>IF(AND('Data Source'!B982&lt;&gt;"",'Data Source'!S982="A+"),IF('Data Source'!AB982&gt;=5,"A+",IF('Data Source'!AB982&gt;=4,"A",IF('Data Source'!AB982&gt;=3.5,"A-",IF('Data Source'!AB982&gt;=3,"B",IF('Data Source'!AB982&gt;=2,"C",IF('Data Source'!AB982&gt;=1,"D","F")))))),"")</f>
        <v/>
      </c>
      <c r="K982" s="3">
        <f>IF(AND('Data Source'!B982&lt;&gt;"",'Data Source'!S982="A+"),IF('Data Source'!AC982&gt;=5,"A+",IF('Data Source'!AC982&gt;=4,"A",IF('Data Source'!AC982&gt;=3.5,"A-",IF('Data Source'!AC982&gt;=3,"B",IF('Data Source'!AC982&gt;=2,"C",IF('Data Source'!AC982&gt;=1,"D","F")))))),"")</f>
        <v/>
      </c>
      <c r="L982" s="3">
        <f>IF(AND('Data Source'!B982&lt;&gt;"",'Data Source'!S982="A+"),IF('Data Source'!AD982&gt;=5,"A+",IF('Data Source'!AD982&gt;=4,"A",IF('Data Source'!AD982&gt;=3.5,"A-",IF('Data Source'!AD982&gt;=3,"B",IF('Data Source'!AD982&gt;=2,"C",IF('Data Source'!AD982&gt;=1,"D","F")))))),"")</f>
        <v/>
      </c>
      <c r="M982" s="3">
        <f>IF(AND('Data Source'!B982&lt;&gt;"",'Data Source'!S982="A+"),IF('Data Source'!AE982&gt;=5,"A+",IF('Data Source'!AE982&gt;=4,"A",IF('Data Source'!AE982&gt;=3.5,"A-",IF('Data Source'!AE982&gt;=3,"B",IF('Data Source'!AE982&gt;=2,"C",IF('Data Source'!AE982&gt;=1,"D","F")))))),"")</f>
        <v/>
      </c>
      <c r="N982" s="3">
        <f>IF(AND('Data Source'!B982&lt;&gt;"",'Data Source'!S982="A+"),IF('Data Source'!AF982&gt;=5,"A+",IF('Data Source'!AF982&gt;=4,"A",IF('Data Source'!AF982&gt;=3.5,"A-",IF('Data Source'!AF982&gt;=3,"B",IF('Data Source'!AF982&gt;=2,"C",IF('Data Source'!AF982&gt;=1,"D","F")))))),"")</f>
        <v/>
      </c>
      <c r="O982" s="3">
        <f>IF(AND('Data Source'!B982&lt;&gt;"",'Data Source'!S982="A+"),IF('Data Source'!AG982&gt;=5,"A+",IF('Data Source'!AG982&gt;=4,"A",IF('Data Source'!AG982&gt;=3.5,"A-",IF('Data Source'!AG982&gt;=3,"B",IF('Data Source'!AG982&gt;=2,"C",IF('Data Source'!AG982&gt;=1,"D","F")))))),"")</f>
        <v/>
      </c>
      <c r="P982" s="5">
        <f>IF(AND('Data Source'!B982&lt;&gt;"",'Data Source'!S982="A+"),'Data Source'!R982,"")</f>
        <v/>
      </c>
      <c r="Q982" s="3">
        <f>IF(AND('Data Source'!B982&lt;&gt;"",'Data Source'!S982="A+"),'Data Source'!S982,"")</f>
        <v/>
      </c>
    </row>
    <row r="983">
      <c r="A983" s="3">
        <f>IF(AND('Data Source'!B983&lt;&gt;"",'Data Source'!S983="A+"),COUNTIF('Data Source'!$S$3:S983,"A+"),"")</f>
        <v/>
      </c>
      <c r="B983">
        <f>IF(AND('Data Source'!B983&lt;&gt;"",'Data Source'!S983="A+"),'Data Source'!B983,"")</f>
        <v/>
      </c>
      <c r="C983" s="3">
        <f>IF(AND('Data Source'!B983&lt;&gt;"",'Data Source'!S983="A+"),IF('Data Source'!U983&gt;=5,"A+",IF('Data Source'!U983&gt;=4,"A",IF('Data Source'!U983&gt;=3.5,"A-",IF('Data Source'!U983&gt;=3,"B",IF('Data Source'!U983&gt;=2,"C",IF('Data Source'!U983&gt;=1,"D","F")))))),"")</f>
        <v/>
      </c>
      <c r="D983" s="3">
        <f>IF(AND('Data Source'!B983&lt;&gt;"",'Data Source'!S983="A+"),IF('Data Source'!V983&gt;=5,"A+",IF('Data Source'!V983&gt;=4,"A",IF('Data Source'!V983&gt;=3.5,"A-",IF('Data Source'!V983&gt;=3,"B",IF('Data Source'!V983&gt;=2,"C",IF('Data Source'!V983&gt;=1,"D","F")))))),"")</f>
        <v/>
      </c>
      <c r="E983" s="3">
        <f>IF(AND('Data Source'!B983&lt;&gt;"",'Data Source'!S983="A+"),IF('Data Source'!W983&gt;=5,"A+",IF('Data Source'!W983&gt;=4,"A",IF('Data Source'!W983&gt;=3.5,"A-",IF('Data Source'!W983&gt;=3,"B",IF('Data Source'!W983&gt;=2,"C",IF('Data Source'!W983&gt;=1,"D","F")))))),"")</f>
        <v/>
      </c>
      <c r="F983" s="3">
        <f>IF(AND('Data Source'!B983&lt;&gt;"",'Data Source'!S983="A+"),IF('Data Source'!X983&gt;=5,"A+",IF('Data Source'!X983&gt;=4,"A",IF('Data Source'!X983&gt;=3.5,"A-",IF('Data Source'!X983&gt;=3,"B",IF('Data Source'!X983&gt;=2,"C",IF('Data Source'!X983&gt;=1,"D","F")))))),"")</f>
        <v/>
      </c>
      <c r="G983" s="3">
        <f>IF(AND('Data Source'!B983&lt;&gt;"",'Data Source'!S983="A+"),IF('Data Source'!Y983&gt;=5,"A+",IF('Data Source'!Y983&gt;=4,"A",IF('Data Source'!Y983&gt;=3.5,"A-",IF('Data Source'!Y983&gt;=3,"B",IF('Data Source'!Y983&gt;=2,"C",IF('Data Source'!Y983&gt;=1,"D","F")))))),"")</f>
        <v/>
      </c>
      <c r="H983" s="3">
        <f>IF(AND('Data Source'!B983&lt;&gt;"",'Data Source'!S983="A+"),IF('Data Source'!Z983&gt;=5,"A+",IF('Data Source'!Z983&gt;=4,"A",IF('Data Source'!Z983&gt;=3.5,"A-",IF('Data Source'!Z983&gt;=3,"B",IF('Data Source'!Z983&gt;=2,"C",IF('Data Source'!Z983&gt;=1,"D","F")))))),"")</f>
        <v/>
      </c>
      <c r="I983" s="3">
        <f>IF(AND('Data Source'!B983&lt;&gt;"",'Data Source'!S983="A+"),IF('Data Source'!AA983&gt;=5,"A+",IF('Data Source'!AA983&gt;=4,"A",IF('Data Source'!AA983&gt;=3.5,"A-",IF('Data Source'!AA983&gt;=3,"B",IF('Data Source'!AA983&gt;=2,"C",IF('Data Source'!AA983&gt;=1,"D","F")))))),"")</f>
        <v/>
      </c>
      <c r="J983" s="3">
        <f>IF(AND('Data Source'!B983&lt;&gt;"",'Data Source'!S983="A+"),IF('Data Source'!AB983&gt;=5,"A+",IF('Data Source'!AB983&gt;=4,"A",IF('Data Source'!AB983&gt;=3.5,"A-",IF('Data Source'!AB983&gt;=3,"B",IF('Data Source'!AB983&gt;=2,"C",IF('Data Source'!AB983&gt;=1,"D","F")))))),"")</f>
        <v/>
      </c>
      <c r="K983" s="3">
        <f>IF(AND('Data Source'!B983&lt;&gt;"",'Data Source'!S983="A+"),IF('Data Source'!AC983&gt;=5,"A+",IF('Data Source'!AC983&gt;=4,"A",IF('Data Source'!AC983&gt;=3.5,"A-",IF('Data Source'!AC983&gt;=3,"B",IF('Data Source'!AC983&gt;=2,"C",IF('Data Source'!AC983&gt;=1,"D","F")))))),"")</f>
        <v/>
      </c>
      <c r="L983" s="3">
        <f>IF(AND('Data Source'!B983&lt;&gt;"",'Data Source'!S983="A+"),IF('Data Source'!AD983&gt;=5,"A+",IF('Data Source'!AD983&gt;=4,"A",IF('Data Source'!AD983&gt;=3.5,"A-",IF('Data Source'!AD983&gt;=3,"B",IF('Data Source'!AD983&gt;=2,"C",IF('Data Source'!AD983&gt;=1,"D","F")))))),"")</f>
        <v/>
      </c>
      <c r="M983" s="3">
        <f>IF(AND('Data Source'!B983&lt;&gt;"",'Data Source'!S983="A+"),IF('Data Source'!AE983&gt;=5,"A+",IF('Data Source'!AE983&gt;=4,"A",IF('Data Source'!AE983&gt;=3.5,"A-",IF('Data Source'!AE983&gt;=3,"B",IF('Data Source'!AE983&gt;=2,"C",IF('Data Source'!AE983&gt;=1,"D","F")))))),"")</f>
        <v/>
      </c>
      <c r="N983" s="3">
        <f>IF(AND('Data Source'!B983&lt;&gt;"",'Data Source'!S983="A+"),IF('Data Source'!AF983&gt;=5,"A+",IF('Data Source'!AF983&gt;=4,"A",IF('Data Source'!AF983&gt;=3.5,"A-",IF('Data Source'!AF983&gt;=3,"B",IF('Data Source'!AF983&gt;=2,"C",IF('Data Source'!AF983&gt;=1,"D","F")))))),"")</f>
        <v/>
      </c>
      <c r="O983" s="3">
        <f>IF(AND('Data Source'!B983&lt;&gt;"",'Data Source'!S983="A+"),IF('Data Source'!AG983&gt;=5,"A+",IF('Data Source'!AG983&gt;=4,"A",IF('Data Source'!AG983&gt;=3.5,"A-",IF('Data Source'!AG983&gt;=3,"B",IF('Data Source'!AG983&gt;=2,"C",IF('Data Source'!AG983&gt;=1,"D","F")))))),"")</f>
        <v/>
      </c>
      <c r="P983" s="5">
        <f>IF(AND('Data Source'!B983&lt;&gt;"",'Data Source'!S983="A+"),'Data Source'!R983,"")</f>
        <v/>
      </c>
      <c r="Q983" s="3">
        <f>IF(AND('Data Source'!B983&lt;&gt;"",'Data Source'!S983="A+"),'Data Source'!S983,"")</f>
        <v/>
      </c>
    </row>
    <row r="984">
      <c r="A984" s="3">
        <f>IF(AND('Data Source'!B984&lt;&gt;"",'Data Source'!S984="A+"),COUNTIF('Data Source'!$S$3:S984,"A+"),"")</f>
        <v/>
      </c>
      <c r="B984">
        <f>IF(AND('Data Source'!B984&lt;&gt;"",'Data Source'!S984="A+"),'Data Source'!B984,"")</f>
        <v/>
      </c>
      <c r="C984" s="3">
        <f>IF(AND('Data Source'!B984&lt;&gt;"",'Data Source'!S984="A+"),IF('Data Source'!U984&gt;=5,"A+",IF('Data Source'!U984&gt;=4,"A",IF('Data Source'!U984&gt;=3.5,"A-",IF('Data Source'!U984&gt;=3,"B",IF('Data Source'!U984&gt;=2,"C",IF('Data Source'!U984&gt;=1,"D","F")))))),"")</f>
        <v/>
      </c>
      <c r="D984" s="3">
        <f>IF(AND('Data Source'!B984&lt;&gt;"",'Data Source'!S984="A+"),IF('Data Source'!V984&gt;=5,"A+",IF('Data Source'!V984&gt;=4,"A",IF('Data Source'!V984&gt;=3.5,"A-",IF('Data Source'!V984&gt;=3,"B",IF('Data Source'!V984&gt;=2,"C",IF('Data Source'!V984&gt;=1,"D","F")))))),"")</f>
        <v/>
      </c>
      <c r="E984" s="3">
        <f>IF(AND('Data Source'!B984&lt;&gt;"",'Data Source'!S984="A+"),IF('Data Source'!W984&gt;=5,"A+",IF('Data Source'!W984&gt;=4,"A",IF('Data Source'!W984&gt;=3.5,"A-",IF('Data Source'!W984&gt;=3,"B",IF('Data Source'!W984&gt;=2,"C",IF('Data Source'!W984&gt;=1,"D","F")))))),"")</f>
        <v/>
      </c>
      <c r="F984" s="3">
        <f>IF(AND('Data Source'!B984&lt;&gt;"",'Data Source'!S984="A+"),IF('Data Source'!X984&gt;=5,"A+",IF('Data Source'!X984&gt;=4,"A",IF('Data Source'!X984&gt;=3.5,"A-",IF('Data Source'!X984&gt;=3,"B",IF('Data Source'!X984&gt;=2,"C",IF('Data Source'!X984&gt;=1,"D","F")))))),"")</f>
        <v/>
      </c>
      <c r="G984" s="3">
        <f>IF(AND('Data Source'!B984&lt;&gt;"",'Data Source'!S984="A+"),IF('Data Source'!Y984&gt;=5,"A+",IF('Data Source'!Y984&gt;=4,"A",IF('Data Source'!Y984&gt;=3.5,"A-",IF('Data Source'!Y984&gt;=3,"B",IF('Data Source'!Y984&gt;=2,"C",IF('Data Source'!Y984&gt;=1,"D","F")))))),"")</f>
        <v/>
      </c>
      <c r="H984" s="3">
        <f>IF(AND('Data Source'!B984&lt;&gt;"",'Data Source'!S984="A+"),IF('Data Source'!Z984&gt;=5,"A+",IF('Data Source'!Z984&gt;=4,"A",IF('Data Source'!Z984&gt;=3.5,"A-",IF('Data Source'!Z984&gt;=3,"B",IF('Data Source'!Z984&gt;=2,"C",IF('Data Source'!Z984&gt;=1,"D","F")))))),"")</f>
        <v/>
      </c>
      <c r="I984" s="3">
        <f>IF(AND('Data Source'!B984&lt;&gt;"",'Data Source'!S984="A+"),IF('Data Source'!AA984&gt;=5,"A+",IF('Data Source'!AA984&gt;=4,"A",IF('Data Source'!AA984&gt;=3.5,"A-",IF('Data Source'!AA984&gt;=3,"B",IF('Data Source'!AA984&gt;=2,"C",IF('Data Source'!AA984&gt;=1,"D","F")))))),"")</f>
        <v/>
      </c>
      <c r="J984" s="3">
        <f>IF(AND('Data Source'!B984&lt;&gt;"",'Data Source'!S984="A+"),IF('Data Source'!AB984&gt;=5,"A+",IF('Data Source'!AB984&gt;=4,"A",IF('Data Source'!AB984&gt;=3.5,"A-",IF('Data Source'!AB984&gt;=3,"B",IF('Data Source'!AB984&gt;=2,"C",IF('Data Source'!AB984&gt;=1,"D","F")))))),"")</f>
        <v/>
      </c>
      <c r="K984" s="3">
        <f>IF(AND('Data Source'!B984&lt;&gt;"",'Data Source'!S984="A+"),IF('Data Source'!AC984&gt;=5,"A+",IF('Data Source'!AC984&gt;=4,"A",IF('Data Source'!AC984&gt;=3.5,"A-",IF('Data Source'!AC984&gt;=3,"B",IF('Data Source'!AC984&gt;=2,"C",IF('Data Source'!AC984&gt;=1,"D","F")))))),"")</f>
        <v/>
      </c>
      <c r="L984" s="3">
        <f>IF(AND('Data Source'!B984&lt;&gt;"",'Data Source'!S984="A+"),IF('Data Source'!AD984&gt;=5,"A+",IF('Data Source'!AD984&gt;=4,"A",IF('Data Source'!AD984&gt;=3.5,"A-",IF('Data Source'!AD984&gt;=3,"B",IF('Data Source'!AD984&gt;=2,"C",IF('Data Source'!AD984&gt;=1,"D","F")))))),"")</f>
        <v/>
      </c>
      <c r="M984" s="3">
        <f>IF(AND('Data Source'!B984&lt;&gt;"",'Data Source'!S984="A+"),IF('Data Source'!AE984&gt;=5,"A+",IF('Data Source'!AE984&gt;=4,"A",IF('Data Source'!AE984&gt;=3.5,"A-",IF('Data Source'!AE984&gt;=3,"B",IF('Data Source'!AE984&gt;=2,"C",IF('Data Source'!AE984&gt;=1,"D","F")))))),"")</f>
        <v/>
      </c>
      <c r="N984" s="3">
        <f>IF(AND('Data Source'!B984&lt;&gt;"",'Data Source'!S984="A+"),IF('Data Source'!AF984&gt;=5,"A+",IF('Data Source'!AF984&gt;=4,"A",IF('Data Source'!AF984&gt;=3.5,"A-",IF('Data Source'!AF984&gt;=3,"B",IF('Data Source'!AF984&gt;=2,"C",IF('Data Source'!AF984&gt;=1,"D","F")))))),"")</f>
        <v/>
      </c>
      <c r="O984" s="3">
        <f>IF(AND('Data Source'!B984&lt;&gt;"",'Data Source'!S984="A+"),IF('Data Source'!AG984&gt;=5,"A+",IF('Data Source'!AG984&gt;=4,"A",IF('Data Source'!AG984&gt;=3.5,"A-",IF('Data Source'!AG984&gt;=3,"B",IF('Data Source'!AG984&gt;=2,"C",IF('Data Source'!AG984&gt;=1,"D","F")))))),"")</f>
        <v/>
      </c>
      <c r="P984" s="5">
        <f>IF(AND('Data Source'!B984&lt;&gt;"",'Data Source'!S984="A+"),'Data Source'!R984,"")</f>
        <v/>
      </c>
      <c r="Q984" s="3">
        <f>IF(AND('Data Source'!B984&lt;&gt;"",'Data Source'!S984="A+"),'Data Source'!S984,"")</f>
        <v/>
      </c>
    </row>
    <row r="985">
      <c r="A985" s="3">
        <f>IF(AND('Data Source'!B985&lt;&gt;"",'Data Source'!S985="A+"),COUNTIF('Data Source'!$S$3:S985,"A+"),"")</f>
        <v/>
      </c>
      <c r="B985">
        <f>IF(AND('Data Source'!B985&lt;&gt;"",'Data Source'!S985="A+"),'Data Source'!B985,"")</f>
        <v/>
      </c>
      <c r="C985" s="3">
        <f>IF(AND('Data Source'!B985&lt;&gt;"",'Data Source'!S985="A+"),IF('Data Source'!U985&gt;=5,"A+",IF('Data Source'!U985&gt;=4,"A",IF('Data Source'!U985&gt;=3.5,"A-",IF('Data Source'!U985&gt;=3,"B",IF('Data Source'!U985&gt;=2,"C",IF('Data Source'!U985&gt;=1,"D","F")))))),"")</f>
        <v/>
      </c>
      <c r="D985" s="3">
        <f>IF(AND('Data Source'!B985&lt;&gt;"",'Data Source'!S985="A+"),IF('Data Source'!V985&gt;=5,"A+",IF('Data Source'!V985&gt;=4,"A",IF('Data Source'!V985&gt;=3.5,"A-",IF('Data Source'!V985&gt;=3,"B",IF('Data Source'!V985&gt;=2,"C",IF('Data Source'!V985&gt;=1,"D","F")))))),"")</f>
        <v/>
      </c>
      <c r="E985" s="3">
        <f>IF(AND('Data Source'!B985&lt;&gt;"",'Data Source'!S985="A+"),IF('Data Source'!W985&gt;=5,"A+",IF('Data Source'!W985&gt;=4,"A",IF('Data Source'!W985&gt;=3.5,"A-",IF('Data Source'!W985&gt;=3,"B",IF('Data Source'!W985&gt;=2,"C",IF('Data Source'!W985&gt;=1,"D","F")))))),"")</f>
        <v/>
      </c>
      <c r="F985" s="3">
        <f>IF(AND('Data Source'!B985&lt;&gt;"",'Data Source'!S985="A+"),IF('Data Source'!X985&gt;=5,"A+",IF('Data Source'!X985&gt;=4,"A",IF('Data Source'!X985&gt;=3.5,"A-",IF('Data Source'!X985&gt;=3,"B",IF('Data Source'!X985&gt;=2,"C",IF('Data Source'!X985&gt;=1,"D","F")))))),"")</f>
        <v/>
      </c>
      <c r="G985" s="3">
        <f>IF(AND('Data Source'!B985&lt;&gt;"",'Data Source'!S985="A+"),IF('Data Source'!Y985&gt;=5,"A+",IF('Data Source'!Y985&gt;=4,"A",IF('Data Source'!Y985&gt;=3.5,"A-",IF('Data Source'!Y985&gt;=3,"B",IF('Data Source'!Y985&gt;=2,"C",IF('Data Source'!Y985&gt;=1,"D","F")))))),"")</f>
        <v/>
      </c>
      <c r="H985" s="3">
        <f>IF(AND('Data Source'!B985&lt;&gt;"",'Data Source'!S985="A+"),IF('Data Source'!Z985&gt;=5,"A+",IF('Data Source'!Z985&gt;=4,"A",IF('Data Source'!Z985&gt;=3.5,"A-",IF('Data Source'!Z985&gt;=3,"B",IF('Data Source'!Z985&gt;=2,"C",IF('Data Source'!Z985&gt;=1,"D","F")))))),"")</f>
        <v/>
      </c>
      <c r="I985" s="3">
        <f>IF(AND('Data Source'!B985&lt;&gt;"",'Data Source'!S985="A+"),IF('Data Source'!AA985&gt;=5,"A+",IF('Data Source'!AA985&gt;=4,"A",IF('Data Source'!AA985&gt;=3.5,"A-",IF('Data Source'!AA985&gt;=3,"B",IF('Data Source'!AA985&gt;=2,"C",IF('Data Source'!AA985&gt;=1,"D","F")))))),"")</f>
        <v/>
      </c>
      <c r="J985" s="3">
        <f>IF(AND('Data Source'!B985&lt;&gt;"",'Data Source'!S985="A+"),IF('Data Source'!AB985&gt;=5,"A+",IF('Data Source'!AB985&gt;=4,"A",IF('Data Source'!AB985&gt;=3.5,"A-",IF('Data Source'!AB985&gt;=3,"B",IF('Data Source'!AB985&gt;=2,"C",IF('Data Source'!AB985&gt;=1,"D","F")))))),"")</f>
        <v/>
      </c>
      <c r="K985" s="3">
        <f>IF(AND('Data Source'!B985&lt;&gt;"",'Data Source'!S985="A+"),IF('Data Source'!AC985&gt;=5,"A+",IF('Data Source'!AC985&gt;=4,"A",IF('Data Source'!AC985&gt;=3.5,"A-",IF('Data Source'!AC985&gt;=3,"B",IF('Data Source'!AC985&gt;=2,"C",IF('Data Source'!AC985&gt;=1,"D","F")))))),"")</f>
        <v/>
      </c>
      <c r="L985" s="3">
        <f>IF(AND('Data Source'!B985&lt;&gt;"",'Data Source'!S985="A+"),IF('Data Source'!AD985&gt;=5,"A+",IF('Data Source'!AD985&gt;=4,"A",IF('Data Source'!AD985&gt;=3.5,"A-",IF('Data Source'!AD985&gt;=3,"B",IF('Data Source'!AD985&gt;=2,"C",IF('Data Source'!AD985&gt;=1,"D","F")))))),"")</f>
        <v/>
      </c>
      <c r="M985" s="3">
        <f>IF(AND('Data Source'!B985&lt;&gt;"",'Data Source'!S985="A+"),IF('Data Source'!AE985&gt;=5,"A+",IF('Data Source'!AE985&gt;=4,"A",IF('Data Source'!AE985&gt;=3.5,"A-",IF('Data Source'!AE985&gt;=3,"B",IF('Data Source'!AE985&gt;=2,"C",IF('Data Source'!AE985&gt;=1,"D","F")))))),"")</f>
        <v/>
      </c>
      <c r="N985" s="3">
        <f>IF(AND('Data Source'!B985&lt;&gt;"",'Data Source'!S985="A+"),IF('Data Source'!AF985&gt;=5,"A+",IF('Data Source'!AF985&gt;=4,"A",IF('Data Source'!AF985&gt;=3.5,"A-",IF('Data Source'!AF985&gt;=3,"B",IF('Data Source'!AF985&gt;=2,"C",IF('Data Source'!AF985&gt;=1,"D","F")))))),"")</f>
        <v/>
      </c>
      <c r="O985" s="3">
        <f>IF(AND('Data Source'!B985&lt;&gt;"",'Data Source'!S985="A+"),IF('Data Source'!AG985&gt;=5,"A+",IF('Data Source'!AG985&gt;=4,"A",IF('Data Source'!AG985&gt;=3.5,"A-",IF('Data Source'!AG985&gt;=3,"B",IF('Data Source'!AG985&gt;=2,"C",IF('Data Source'!AG985&gt;=1,"D","F")))))),"")</f>
        <v/>
      </c>
      <c r="P985" s="5">
        <f>IF(AND('Data Source'!B985&lt;&gt;"",'Data Source'!S985="A+"),'Data Source'!R985,"")</f>
        <v/>
      </c>
      <c r="Q985" s="3">
        <f>IF(AND('Data Source'!B985&lt;&gt;"",'Data Source'!S985="A+"),'Data Source'!S985,"")</f>
        <v/>
      </c>
    </row>
    <row r="986">
      <c r="A986" s="3">
        <f>IF(AND('Data Source'!B986&lt;&gt;"",'Data Source'!S986="A+"),COUNTIF('Data Source'!$S$3:S986,"A+"),"")</f>
        <v/>
      </c>
      <c r="B986">
        <f>IF(AND('Data Source'!B986&lt;&gt;"",'Data Source'!S986="A+"),'Data Source'!B986,"")</f>
        <v/>
      </c>
      <c r="C986" s="3">
        <f>IF(AND('Data Source'!B986&lt;&gt;"",'Data Source'!S986="A+"),IF('Data Source'!U986&gt;=5,"A+",IF('Data Source'!U986&gt;=4,"A",IF('Data Source'!U986&gt;=3.5,"A-",IF('Data Source'!U986&gt;=3,"B",IF('Data Source'!U986&gt;=2,"C",IF('Data Source'!U986&gt;=1,"D","F")))))),"")</f>
        <v/>
      </c>
      <c r="D986" s="3">
        <f>IF(AND('Data Source'!B986&lt;&gt;"",'Data Source'!S986="A+"),IF('Data Source'!V986&gt;=5,"A+",IF('Data Source'!V986&gt;=4,"A",IF('Data Source'!V986&gt;=3.5,"A-",IF('Data Source'!V986&gt;=3,"B",IF('Data Source'!V986&gt;=2,"C",IF('Data Source'!V986&gt;=1,"D","F")))))),"")</f>
        <v/>
      </c>
      <c r="E986" s="3">
        <f>IF(AND('Data Source'!B986&lt;&gt;"",'Data Source'!S986="A+"),IF('Data Source'!W986&gt;=5,"A+",IF('Data Source'!W986&gt;=4,"A",IF('Data Source'!W986&gt;=3.5,"A-",IF('Data Source'!W986&gt;=3,"B",IF('Data Source'!W986&gt;=2,"C",IF('Data Source'!W986&gt;=1,"D","F")))))),"")</f>
        <v/>
      </c>
      <c r="F986" s="3">
        <f>IF(AND('Data Source'!B986&lt;&gt;"",'Data Source'!S986="A+"),IF('Data Source'!X986&gt;=5,"A+",IF('Data Source'!X986&gt;=4,"A",IF('Data Source'!X986&gt;=3.5,"A-",IF('Data Source'!X986&gt;=3,"B",IF('Data Source'!X986&gt;=2,"C",IF('Data Source'!X986&gt;=1,"D","F")))))),"")</f>
        <v/>
      </c>
      <c r="G986" s="3">
        <f>IF(AND('Data Source'!B986&lt;&gt;"",'Data Source'!S986="A+"),IF('Data Source'!Y986&gt;=5,"A+",IF('Data Source'!Y986&gt;=4,"A",IF('Data Source'!Y986&gt;=3.5,"A-",IF('Data Source'!Y986&gt;=3,"B",IF('Data Source'!Y986&gt;=2,"C",IF('Data Source'!Y986&gt;=1,"D","F")))))),"")</f>
        <v/>
      </c>
      <c r="H986" s="3">
        <f>IF(AND('Data Source'!B986&lt;&gt;"",'Data Source'!S986="A+"),IF('Data Source'!Z986&gt;=5,"A+",IF('Data Source'!Z986&gt;=4,"A",IF('Data Source'!Z986&gt;=3.5,"A-",IF('Data Source'!Z986&gt;=3,"B",IF('Data Source'!Z986&gt;=2,"C",IF('Data Source'!Z986&gt;=1,"D","F")))))),"")</f>
        <v/>
      </c>
      <c r="I986" s="3">
        <f>IF(AND('Data Source'!B986&lt;&gt;"",'Data Source'!S986="A+"),IF('Data Source'!AA986&gt;=5,"A+",IF('Data Source'!AA986&gt;=4,"A",IF('Data Source'!AA986&gt;=3.5,"A-",IF('Data Source'!AA986&gt;=3,"B",IF('Data Source'!AA986&gt;=2,"C",IF('Data Source'!AA986&gt;=1,"D","F")))))),"")</f>
        <v/>
      </c>
      <c r="J986" s="3">
        <f>IF(AND('Data Source'!B986&lt;&gt;"",'Data Source'!S986="A+"),IF('Data Source'!AB986&gt;=5,"A+",IF('Data Source'!AB986&gt;=4,"A",IF('Data Source'!AB986&gt;=3.5,"A-",IF('Data Source'!AB986&gt;=3,"B",IF('Data Source'!AB986&gt;=2,"C",IF('Data Source'!AB986&gt;=1,"D","F")))))),"")</f>
        <v/>
      </c>
      <c r="K986" s="3">
        <f>IF(AND('Data Source'!B986&lt;&gt;"",'Data Source'!S986="A+"),IF('Data Source'!AC986&gt;=5,"A+",IF('Data Source'!AC986&gt;=4,"A",IF('Data Source'!AC986&gt;=3.5,"A-",IF('Data Source'!AC986&gt;=3,"B",IF('Data Source'!AC986&gt;=2,"C",IF('Data Source'!AC986&gt;=1,"D","F")))))),"")</f>
        <v/>
      </c>
      <c r="L986" s="3">
        <f>IF(AND('Data Source'!B986&lt;&gt;"",'Data Source'!S986="A+"),IF('Data Source'!AD986&gt;=5,"A+",IF('Data Source'!AD986&gt;=4,"A",IF('Data Source'!AD986&gt;=3.5,"A-",IF('Data Source'!AD986&gt;=3,"B",IF('Data Source'!AD986&gt;=2,"C",IF('Data Source'!AD986&gt;=1,"D","F")))))),"")</f>
        <v/>
      </c>
      <c r="M986" s="3">
        <f>IF(AND('Data Source'!B986&lt;&gt;"",'Data Source'!S986="A+"),IF('Data Source'!AE986&gt;=5,"A+",IF('Data Source'!AE986&gt;=4,"A",IF('Data Source'!AE986&gt;=3.5,"A-",IF('Data Source'!AE986&gt;=3,"B",IF('Data Source'!AE986&gt;=2,"C",IF('Data Source'!AE986&gt;=1,"D","F")))))),"")</f>
        <v/>
      </c>
      <c r="N986" s="3">
        <f>IF(AND('Data Source'!B986&lt;&gt;"",'Data Source'!S986="A+"),IF('Data Source'!AF986&gt;=5,"A+",IF('Data Source'!AF986&gt;=4,"A",IF('Data Source'!AF986&gt;=3.5,"A-",IF('Data Source'!AF986&gt;=3,"B",IF('Data Source'!AF986&gt;=2,"C",IF('Data Source'!AF986&gt;=1,"D","F")))))),"")</f>
        <v/>
      </c>
      <c r="O986" s="3">
        <f>IF(AND('Data Source'!B986&lt;&gt;"",'Data Source'!S986="A+"),IF('Data Source'!AG986&gt;=5,"A+",IF('Data Source'!AG986&gt;=4,"A",IF('Data Source'!AG986&gt;=3.5,"A-",IF('Data Source'!AG986&gt;=3,"B",IF('Data Source'!AG986&gt;=2,"C",IF('Data Source'!AG986&gt;=1,"D","F")))))),"")</f>
        <v/>
      </c>
      <c r="P986" s="5">
        <f>IF(AND('Data Source'!B986&lt;&gt;"",'Data Source'!S986="A+"),'Data Source'!R986,"")</f>
        <v/>
      </c>
      <c r="Q986" s="3">
        <f>IF(AND('Data Source'!B986&lt;&gt;"",'Data Source'!S986="A+"),'Data Source'!S986,"")</f>
        <v/>
      </c>
    </row>
    <row r="987">
      <c r="A987" s="3">
        <f>IF(AND('Data Source'!B987&lt;&gt;"",'Data Source'!S987="A+"),COUNTIF('Data Source'!$S$3:S987,"A+"),"")</f>
        <v/>
      </c>
      <c r="B987">
        <f>IF(AND('Data Source'!B987&lt;&gt;"",'Data Source'!S987="A+"),'Data Source'!B987,"")</f>
        <v/>
      </c>
      <c r="C987" s="3">
        <f>IF(AND('Data Source'!B987&lt;&gt;"",'Data Source'!S987="A+"),IF('Data Source'!U987&gt;=5,"A+",IF('Data Source'!U987&gt;=4,"A",IF('Data Source'!U987&gt;=3.5,"A-",IF('Data Source'!U987&gt;=3,"B",IF('Data Source'!U987&gt;=2,"C",IF('Data Source'!U987&gt;=1,"D","F")))))),"")</f>
        <v/>
      </c>
      <c r="D987" s="3">
        <f>IF(AND('Data Source'!B987&lt;&gt;"",'Data Source'!S987="A+"),IF('Data Source'!V987&gt;=5,"A+",IF('Data Source'!V987&gt;=4,"A",IF('Data Source'!V987&gt;=3.5,"A-",IF('Data Source'!V987&gt;=3,"B",IF('Data Source'!V987&gt;=2,"C",IF('Data Source'!V987&gt;=1,"D","F")))))),"")</f>
        <v/>
      </c>
      <c r="E987" s="3">
        <f>IF(AND('Data Source'!B987&lt;&gt;"",'Data Source'!S987="A+"),IF('Data Source'!W987&gt;=5,"A+",IF('Data Source'!W987&gt;=4,"A",IF('Data Source'!W987&gt;=3.5,"A-",IF('Data Source'!W987&gt;=3,"B",IF('Data Source'!W987&gt;=2,"C",IF('Data Source'!W987&gt;=1,"D","F")))))),"")</f>
        <v/>
      </c>
      <c r="F987" s="3">
        <f>IF(AND('Data Source'!B987&lt;&gt;"",'Data Source'!S987="A+"),IF('Data Source'!X987&gt;=5,"A+",IF('Data Source'!X987&gt;=4,"A",IF('Data Source'!X987&gt;=3.5,"A-",IF('Data Source'!X987&gt;=3,"B",IF('Data Source'!X987&gt;=2,"C",IF('Data Source'!X987&gt;=1,"D","F")))))),"")</f>
        <v/>
      </c>
      <c r="G987" s="3">
        <f>IF(AND('Data Source'!B987&lt;&gt;"",'Data Source'!S987="A+"),IF('Data Source'!Y987&gt;=5,"A+",IF('Data Source'!Y987&gt;=4,"A",IF('Data Source'!Y987&gt;=3.5,"A-",IF('Data Source'!Y987&gt;=3,"B",IF('Data Source'!Y987&gt;=2,"C",IF('Data Source'!Y987&gt;=1,"D","F")))))),"")</f>
        <v/>
      </c>
      <c r="H987" s="3">
        <f>IF(AND('Data Source'!B987&lt;&gt;"",'Data Source'!S987="A+"),IF('Data Source'!Z987&gt;=5,"A+",IF('Data Source'!Z987&gt;=4,"A",IF('Data Source'!Z987&gt;=3.5,"A-",IF('Data Source'!Z987&gt;=3,"B",IF('Data Source'!Z987&gt;=2,"C",IF('Data Source'!Z987&gt;=1,"D","F")))))),"")</f>
        <v/>
      </c>
      <c r="I987" s="3">
        <f>IF(AND('Data Source'!B987&lt;&gt;"",'Data Source'!S987="A+"),IF('Data Source'!AA987&gt;=5,"A+",IF('Data Source'!AA987&gt;=4,"A",IF('Data Source'!AA987&gt;=3.5,"A-",IF('Data Source'!AA987&gt;=3,"B",IF('Data Source'!AA987&gt;=2,"C",IF('Data Source'!AA987&gt;=1,"D","F")))))),"")</f>
        <v/>
      </c>
      <c r="J987" s="3">
        <f>IF(AND('Data Source'!B987&lt;&gt;"",'Data Source'!S987="A+"),IF('Data Source'!AB987&gt;=5,"A+",IF('Data Source'!AB987&gt;=4,"A",IF('Data Source'!AB987&gt;=3.5,"A-",IF('Data Source'!AB987&gt;=3,"B",IF('Data Source'!AB987&gt;=2,"C",IF('Data Source'!AB987&gt;=1,"D","F")))))),"")</f>
        <v/>
      </c>
      <c r="K987" s="3">
        <f>IF(AND('Data Source'!B987&lt;&gt;"",'Data Source'!S987="A+"),IF('Data Source'!AC987&gt;=5,"A+",IF('Data Source'!AC987&gt;=4,"A",IF('Data Source'!AC987&gt;=3.5,"A-",IF('Data Source'!AC987&gt;=3,"B",IF('Data Source'!AC987&gt;=2,"C",IF('Data Source'!AC987&gt;=1,"D","F")))))),"")</f>
        <v/>
      </c>
      <c r="L987" s="3">
        <f>IF(AND('Data Source'!B987&lt;&gt;"",'Data Source'!S987="A+"),IF('Data Source'!AD987&gt;=5,"A+",IF('Data Source'!AD987&gt;=4,"A",IF('Data Source'!AD987&gt;=3.5,"A-",IF('Data Source'!AD987&gt;=3,"B",IF('Data Source'!AD987&gt;=2,"C",IF('Data Source'!AD987&gt;=1,"D","F")))))),"")</f>
        <v/>
      </c>
      <c r="M987" s="3">
        <f>IF(AND('Data Source'!B987&lt;&gt;"",'Data Source'!S987="A+"),IF('Data Source'!AE987&gt;=5,"A+",IF('Data Source'!AE987&gt;=4,"A",IF('Data Source'!AE987&gt;=3.5,"A-",IF('Data Source'!AE987&gt;=3,"B",IF('Data Source'!AE987&gt;=2,"C",IF('Data Source'!AE987&gt;=1,"D","F")))))),"")</f>
        <v/>
      </c>
      <c r="N987" s="3">
        <f>IF(AND('Data Source'!B987&lt;&gt;"",'Data Source'!S987="A+"),IF('Data Source'!AF987&gt;=5,"A+",IF('Data Source'!AF987&gt;=4,"A",IF('Data Source'!AF987&gt;=3.5,"A-",IF('Data Source'!AF987&gt;=3,"B",IF('Data Source'!AF987&gt;=2,"C",IF('Data Source'!AF987&gt;=1,"D","F")))))),"")</f>
        <v/>
      </c>
      <c r="O987" s="3">
        <f>IF(AND('Data Source'!B987&lt;&gt;"",'Data Source'!S987="A+"),IF('Data Source'!AG987&gt;=5,"A+",IF('Data Source'!AG987&gt;=4,"A",IF('Data Source'!AG987&gt;=3.5,"A-",IF('Data Source'!AG987&gt;=3,"B",IF('Data Source'!AG987&gt;=2,"C",IF('Data Source'!AG987&gt;=1,"D","F")))))),"")</f>
        <v/>
      </c>
      <c r="P987" s="5">
        <f>IF(AND('Data Source'!B987&lt;&gt;"",'Data Source'!S987="A+"),'Data Source'!R987,"")</f>
        <v/>
      </c>
      <c r="Q987" s="3">
        <f>IF(AND('Data Source'!B987&lt;&gt;"",'Data Source'!S987="A+"),'Data Source'!S987,"")</f>
        <v/>
      </c>
    </row>
    <row r="988">
      <c r="A988" s="3">
        <f>IF(AND('Data Source'!B988&lt;&gt;"",'Data Source'!S988="A+"),COUNTIF('Data Source'!$S$3:S988,"A+"),"")</f>
        <v/>
      </c>
      <c r="B988">
        <f>IF(AND('Data Source'!B988&lt;&gt;"",'Data Source'!S988="A+"),'Data Source'!B988,"")</f>
        <v/>
      </c>
      <c r="C988" s="3">
        <f>IF(AND('Data Source'!B988&lt;&gt;"",'Data Source'!S988="A+"),IF('Data Source'!U988&gt;=5,"A+",IF('Data Source'!U988&gt;=4,"A",IF('Data Source'!U988&gt;=3.5,"A-",IF('Data Source'!U988&gt;=3,"B",IF('Data Source'!U988&gt;=2,"C",IF('Data Source'!U988&gt;=1,"D","F")))))),"")</f>
        <v/>
      </c>
      <c r="D988" s="3">
        <f>IF(AND('Data Source'!B988&lt;&gt;"",'Data Source'!S988="A+"),IF('Data Source'!V988&gt;=5,"A+",IF('Data Source'!V988&gt;=4,"A",IF('Data Source'!V988&gt;=3.5,"A-",IF('Data Source'!V988&gt;=3,"B",IF('Data Source'!V988&gt;=2,"C",IF('Data Source'!V988&gt;=1,"D","F")))))),"")</f>
        <v/>
      </c>
      <c r="E988" s="3">
        <f>IF(AND('Data Source'!B988&lt;&gt;"",'Data Source'!S988="A+"),IF('Data Source'!W988&gt;=5,"A+",IF('Data Source'!W988&gt;=4,"A",IF('Data Source'!W988&gt;=3.5,"A-",IF('Data Source'!W988&gt;=3,"B",IF('Data Source'!W988&gt;=2,"C",IF('Data Source'!W988&gt;=1,"D","F")))))),"")</f>
        <v/>
      </c>
      <c r="F988" s="3">
        <f>IF(AND('Data Source'!B988&lt;&gt;"",'Data Source'!S988="A+"),IF('Data Source'!X988&gt;=5,"A+",IF('Data Source'!X988&gt;=4,"A",IF('Data Source'!X988&gt;=3.5,"A-",IF('Data Source'!X988&gt;=3,"B",IF('Data Source'!X988&gt;=2,"C",IF('Data Source'!X988&gt;=1,"D","F")))))),"")</f>
        <v/>
      </c>
      <c r="G988" s="3">
        <f>IF(AND('Data Source'!B988&lt;&gt;"",'Data Source'!S988="A+"),IF('Data Source'!Y988&gt;=5,"A+",IF('Data Source'!Y988&gt;=4,"A",IF('Data Source'!Y988&gt;=3.5,"A-",IF('Data Source'!Y988&gt;=3,"B",IF('Data Source'!Y988&gt;=2,"C",IF('Data Source'!Y988&gt;=1,"D","F")))))),"")</f>
        <v/>
      </c>
      <c r="H988" s="3">
        <f>IF(AND('Data Source'!B988&lt;&gt;"",'Data Source'!S988="A+"),IF('Data Source'!Z988&gt;=5,"A+",IF('Data Source'!Z988&gt;=4,"A",IF('Data Source'!Z988&gt;=3.5,"A-",IF('Data Source'!Z988&gt;=3,"B",IF('Data Source'!Z988&gt;=2,"C",IF('Data Source'!Z988&gt;=1,"D","F")))))),"")</f>
        <v/>
      </c>
      <c r="I988" s="3">
        <f>IF(AND('Data Source'!B988&lt;&gt;"",'Data Source'!S988="A+"),IF('Data Source'!AA988&gt;=5,"A+",IF('Data Source'!AA988&gt;=4,"A",IF('Data Source'!AA988&gt;=3.5,"A-",IF('Data Source'!AA988&gt;=3,"B",IF('Data Source'!AA988&gt;=2,"C",IF('Data Source'!AA988&gt;=1,"D","F")))))),"")</f>
        <v/>
      </c>
      <c r="J988" s="3">
        <f>IF(AND('Data Source'!B988&lt;&gt;"",'Data Source'!S988="A+"),IF('Data Source'!AB988&gt;=5,"A+",IF('Data Source'!AB988&gt;=4,"A",IF('Data Source'!AB988&gt;=3.5,"A-",IF('Data Source'!AB988&gt;=3,"B",IF('Data Source'!AB988&gt;=2,"C",IF('Data Source'!AB988&gt;=1,"D","F")))))),"")</f>
        <v/>
      </c>
      <c r="K988" s="3">
        <f>IF(AND('Data Source'!B988&lt;&gt;"",'Data Source'!S988="A+"),IF('Data Source'!AC988&gt;=5,"A+",IF('Data Source'!AC988&gt;=4,"A",IF('Data Source'!AC988&gt;=3.5,"A-",IF('Data Source'!AC988&gt;=3,"B",IF('Data Source'!AC988&gt;=2,"C",IF('Data Source'!AC988&gt;=1,"D","F")))))),"")</f>
        <v/>
      </c>
      <c r="L988" s="3">
        <f>IF(AND('Data Source'!B988&lt;&gt;"",'Data Source'!S988="A+"),IF('Data Source'!AD988&gt;=5,"A+",IF('Data Source'!AD988&gt;=4,"A",IF('Data Source'!AD988&gt;=3.5,"A-",IF('Data Source'!AD988&gt;=3,"B",IF('Data Source'!AD988&gt;=2,"C",IF('Data Source'!AD988&gt;=1,"D","F")))))),"")</f>
        <v/>
      </c>
      <c r="M988" s="3">
        <f>IF(AND('Data Source'!B988&lt;&gt;"",'Data Source'!S988="A+"),IF('Data Source'!AE988&gt;=5,"A+",IF('Data Source'!AE988&gt;=4,"A",IF('Data Source'!AE988&gt;=3.5,"A-",IF('Data Source'!AE988&gt;=3,"B",IF('Data Source'!AE988&gt;=2,"C",IF('Data Source'!AE988&gt;=1,"D","F")))))),"")</f>
        <v/>
      </c>
      <c r="N988" s="3">
        <f>IF(AND('Data Source'!B988&lt;&gt;"",'Data Source'!S988="A+"),IF('Data Source'!AF988&gt;=5,"A+",IF('Data Source'!AF988&gt;=4,"A",IF('Data Source'!AF988&gt;=3.5,"A-",IF('Data Source'!AF988&gt;=3,"B",IF('Data Source'!AF988&gt;=2,"C",IF('Data Source'!AF988&gt;=1,"D","F")))))),"")</f>
        <v/>
      </c>
      <c r="O988" s="3">
        <f>IF(AND('Data Source'!B988&lt;&gt;"",'Data Source'!S988="A+"),IF('Data Source'!AG988&gt;=5,"A+",IF('Data Source'!AG988&gt;=4,"A",IF('Data Source'!AG988&gt;=3.5,"A-",IF('Data Source'!AG988&gt;=3,"B",IF('Data Source'!AG988&gt;=2,"C",IF('Data Source'!AG988&gt;=1,"D","F")))))),"")</f>
        <v/>
      </c>
      <c r="P988" s="5">
        <f>IF(AND('Data Source'!B988&lt;&gt;"",'Data Source'!S988="A+"),'Data Source'!R988,"")</f>
        <v/>
      </c>
      <c r="Q988" s="3">
        <f>IF(AND('Data Source'!B988&lt;&gt;"",'Data Source'!S988="A+"),'Data Source'!S988,"")</f>
        <v/>
      </c>
    </row>
    <row r="989">
      <c r="A989" s="3">
        <f>IF(AND('Data Source'!B989&lt;&gt;"",'Data Source'!S989="A+"),COUNTIF('Data Source'!$S$3:S989,"A+"),"")</f>
        <v/>
      </c>
      <c r="B989">
        <f>IF(AND('Data Source'!B989&lt;&gt;"",'Data Source'!S989="A+"),'Data Source'!B989,"")</f>
        <v/>
      </c>
      <c r="C989" s="3">
        <f>IF(AND('Data Source'!B989&lt;&gt;"",'Data Source'!S989="A+"),IF('Data Source'!U989&gt;=5,"A+",IF('Data Source'!U989&gt;=4,"A",IF('Data Source'!U989&gt;=3.5,"A-",IF('Data Source'!U989&gt;=3,"B",IF('Data Source'!U989&gt;=2,"C",IF('Data Source'!U989&gt;=1,"D","F")))))),"")</f>
        <v/>
      </c>
      <c r="D989" s="3">
        <f>IF(AND('Data Source'!B989&lt;&gt;"",'Data Source'!S989="A+"),IF('Data Source'!V989&gt;=5,"A+",IF('Data Source'!V989&gt;=4,"A",IF('Data Source'!V989&gt;=3.5,"A-",IF('Data Source'!V989&gt;=3,"B",IF('Data Source'!V989&gt;=2,"C",IF('Data Source'!V989&gt;=1,"D","F")))))),"")</f>
        <v/>
      </c>
      <c r="E989" s="3">
        <f>IF(AND('Data Source'!B989&lt;&gt;"",'Data Source'!S989="A+"),IF('Data Source'!W989&gt;=5,"A+",IF('Data Source'!W989&gt;=4,"A",IF('Data Source'!W989&gt;=3.5,"A-",IF('Data Source'!W989&gt;=3,"B",IF('Data Source'!W989&gt;=2,"C",IF('Data Source'!W989&gt;=1,"D","F")))))),"")</f>
        <v/>
      </c>
      <c r="F989" s="3">
        <f>IF(AND('Data Source'!B989&lt;&gt;"",'Data Source'!S989="A+"),IF('Data Source'!X989&gt;=5,"A+",IF('Data Source'!X989&gt;=4,"A",IF('Data Source'!X989&gt;=3.5,"A-",IF('Data Source'!X989&gt;=3,"B",IF('Data Source'!X989&gt;=2,"C",IF('Data Source'!X989&gt;=1,"D","F")))))),"")</f>
        <v/>
      </c>
      <c r="G989" s="3">
        <f>IF(AND('Data Source'!B989&lt;&gt;"",'Data Source'!S989="A+"),IF('Data Source'!Y989&gt;=5,"A+",IF('Data Source'!Y989&gt;=4,"A",IF('Data Source'!Y989&gt;=3.5,"A-",IF('Data Source'!Y989&gt;=3,"B",IF('Data Source'!Y989&gt;=2,"C",IF('Data Source'!Y989&gt;=1,"D","F")))))),"")</f>
        <v/>
      </c>
      <c r="H989" s="3">
        <f>IF(AND('Data Source'!B989&lt;&gt;"",'Data Source'!S989="A+"),IF('Data Source'!Z989&gt;=5,"A+",IF('Data Source'!Z989&gt;=4,"A",IF('Data Source'!Z989&gt;=3.5,"A-",IF('Data Source'!Z989&gt;=3,"B",IF('Data Source'!Z989&gt;=2,"C",IF('Data Source'!Z989&gt;=1,"D","F")))))),"")</f>
        <v/>
      </c>
      <c r="I989" s="3">
        <f>IF(AND('Data Source'!B989&lt;&gt;"",'Data Source'!S989="A+"),IF('Data Source'!AA989&gt;=5,"A+",IF('Data Source'!AA989&gt;=4,"A",IF('Data Source'!AA989&gt;=3.5,"A-",IF('Data Source'!AA989&gt;=3,"B",IF('Data Source'!AA989&gt;=2,"C",IF('Data Source'!AA989&gt;=1,"D","F")))))),"")</f>
        <v/>
      </c>
      <c r="J989" s="3">
        <f>IF(AND('Data Source'!B989&lt;&gt;"",'Data Source'!S989="A+"),IF('Data Source'!AB989&gt;=5,"A+",IF('Data Source'!AB989&gt;=4,"A",IF('Data Source'!AB989&gt;=3.5,"A-",IF('Data Source'!AB989&gt;=3,"B",IF('Data Source'!AB989&gt;=2,"C",IF('Data Source'!AB989&gt;=1,"D","F")))))),"")</f>
        <v/>
      </c>
      <c r="K989" s="3">
        <f>IF(AND('Data Source'!B989&lt;&gt;"",'Data Source'!S989="A+"),IF('Data Source'!AC989&gt;=5,"A+",IF('Data Source'!AC989&gt;=4,"A",IF('Data Source'!AC989&gt;=3.5,"A-",IF('Data Source'!AC989&gt;=3,"B",IF('Data Source'!AC989&gt;=2,"C",IF('Data Source'!AC989&gt;=1,"D","F")))))),"")</f>
        <v/>
      </c>
      <c r="L989" s="3">
        <f>IF(AND('Data Source'!B989&lt;&gt;"",'Data Source'!S989="A+"),IF('Data Source'!AD989&gt;=5,"A+",IF('Data Source'!AD989&gt;=4,"A",IF('Data Source'!AD989&gt;=3.5,"A-",IF('Data Source'!AD989&gt;=3,"B",IF('Data Source'!AD989&gt;=2,"C",IF('Data Source'!AD989&gt;=1,"D","F")))))),"")</f>
        <v/>
      </c>
      <c r="M989" s="3">
        <f>IF(AND('Data Source'!B989&lt;&gt;"",'Data Source'!S989="A+"),IF('Data Source'!AE989&gt;=5,"A+",IF('Data Source'!AE989&gt;=4,"A",IF('Data Source'!AE989&gt;=3.5,"A-",IF('Data Source'!AE989&gt;=3,"B",IF('Data Source'!AE989&gt;=2,"C",IF('Data Source'!AE989&gt;=1,"D","F")))))),"")</f>
        <v/>
      </c>
      <c r="N989" s="3">
        <f>IF(AND('Data Source'!B989&lt;&gt;"",'Data Source'!S989="A+"),IF('Data Source'!AF989&gt;=5,"A+",IF('Data Source'!AF989&gt;=4,"A",IF('Data Source'!AF989&gt;=3.5,"A-",IF('Data Source'!AF989&gt;=3,"B",IF('Data Source'!AF989&gt;=2,"C",IF('Data Source'!AF989&gt;=1,"D","F")))))),"")</f>
        <v/>
      </c>
      <c r="O989" s="3">
        <f>IF(AND('Data Source'!B989&lt;&gt;"",'Data Source'!S989="A+"),IF('Data Source'!AG989&gt;=5,"A+",IF('Data Source'!AG989&gt;=4,"A",IF('Data Source'!AG989&gt;=3.5,"A-",IF('Data Source'!AG989&gt;=3,"B",IF('Data Source'!AG989&gt;=2,"C",IF('Data Source'!AG989&gt;=1,"D","F")))))),"")</f>
        <v/>
      </c>
      <c r="P989" s="5">
        <f>IF(AND('Data Source'!B989&lt;&gt;"",'Data Source'!S989="A+"),'Data Source'!R989,"")</f>
        <v/>
      </c>
      <c r="Q989" s="3">
        <f>IF(AND('Data Source'!B989&lt;&gt;"",'Data Source'!S989="A+"),'Data Source'!S989,"")</f>
        <v/>
      </c>
    </row>
    <row r="990">
      <c r="A990" s="3">
        <f>IF(AND('Data Source'!B990&lt;&gt;"",'Data Source'!S990="A+"),COUNTIF('Data Source'!$S$3:S990,"A+"),"")</f>
        <v/>
      </c>
      <c r="B990">
        <f>IF(AND('Data Source'!B990&lt;&gt;"",'Data Source'!S990="A+"),'Data Source'!B990,"")</f>
        <v/>
      </c>
      <c r="C990" s="3">
        <f>IF(AND('Data Source'!B990&lt;&gt;"",'Data Source'!S990="A+"),IF('Data Source'!U990&gt;=5,"A+",IF('Data Source'!U990&gt;=4,"A",IF('Data Source'!U990&gt;=3.5,"A-",IF('Data Source'!U990&gt;=3,"B",IF('Data Source'!U990&gt;=2,"C",IF('Data Source'!U990&gt;=1,"D","F")))))),"")</f>
        <v/>
      </c>
      <c r="D990" s="3">
        <f>IF(AND('Data Source'!B990&lt;&gt;"",'Data Source'!S990="A+"),IF('Data Source'!V990&gt;=5,"A+",IF('Data Source'!V990&gt;=4,"A",IF('Data Source'!V990&gt;=3.5,"A-",IF('Data Source'!V990&gt;=3,"B",IF('Data Source'!V990&gt;=2,"C",IF('Data Source'!V990&gt;=1,"D","F")))))),"")</f>
        <v/>
      </c>
      <c r="E990" s="3">
        <f>IF(AND('Data Source'!B990&lt;&gt;"",'Data Source'!S990="A+"),IF('Data Source'!W990&gt;=5,"A+",IF('Data Source'!W990&gt;=4,"A",IF('Data Source'!W990&gt;=3.5,"A-",IF('Data Source'!W990&gt;=3,"B",IF('Data Source'!W990&gt;=2,"C",IF('Data Source'!W990&gt;=1,"D","F")))))),"")</f>
        <v/>
      </c>
      <c r="F990" s="3">
        <f>IF(AND('Data Source'!B990&lt;&gt;"",'Data Source'!S990="A+"),IF('Data Source'!X990&gt;=5,"A+",IF('Data Source'!X990&gt;=4,"A",IF('Data Source'!X990&gt;=3.5,"A-",IF('Data Source'!X990&gt;=3,"B",IF('Data Source'!X990&gt;=2,"C",IF('Data Source'!X990&gt;=1,"D","F")))))),"")</f>
        <v/>
      </c>
      <c r="G990" s="3">
        <f>IF(AND('Data Source'!B990&lt;&gt;"",'Data Source'!S990="A+"),IF('Data Source'!Y990&gt;=5,"A+",IF('Data Source'!Y990&gt;=4,"A",IF('Data Source'!Y990&gt;=3.5,"A-",IF('Data Source'!Y990&gt;=3,"B",IF('Data Source'!Y990&gt;=2,"C",IF('Data Source'!Y990&gt;=1,"D","F")))))),"")</f>
        <v/>
      </c>
      <c r="H990" s="3">
        <f>IF(AND('Data Source'!B990&lt;&gt;"",'Data Source'!S990="A+"),IF('Data Source'!Z990&gt;=5,"A+",IF('Data Source'!Z990&gt;=4,"A",IF('Data Source'!Z990&gt;=3.5,"A-",IF('Data Source'!Z990&gt;=3,"B",IF('Data Source'!Z990&gt;=2,"C",IF('Data Source'!Z990&gt;=1,"D","F")))))),"")</f>
        <v/>
      </c>
      <c r="I990" s="3">
        <f>IF(AND('Data Source'!B990&lt;&gt;"",'Data Source'!S990="A+"),IF('Data Source'!AA990&gt;=5,"A+",IF('Data Source'!AA990&gt;=4,"A",IF('Data Source'!AA990&gt;=3.5,"A-",IF('Data Source'!AA990&gt;=3,"B",IF('Data Source'!AA990&gt;=2,"C",IF('Data Source'!AA990&gt;=1,"D","F")))))),"")</f>
        <v/>
      </c>
      <c r="J990" s="3">
        <f>IF(AND('Data Source'!B990&lt;&gt;"",'Data Source'!S990="A+"),IF('Data Source'!AB990&gt;=5,"A+",IF('Data Source'!AB990&gt;=4,"A",IF('Data Source'!AB990&gt;=3.5,"A-",IF('Data Source'!AB990&gt;=3,"B",IF('Data Source'!AB990&gt;=2,"C",IF('Data Source'!AB990&gt;=1,"D","F")))))),"")</f>
        <v/>
      </c>
      <c r="K990" s="3">
        <f>IF(AND('Data Source'!B990&lt;&gt;"",'Data Source'!S990="A+"),IF('Data Source'!AC990&gt;=5,"A+",IF('Data Source'!AC990&gt;=4,"A",IF('Data Source'!AC990&gt;=3.5,"A-",IF('Data Source'!AC990&gt;=3,"B",IF('Data Source'!AC990&gt;=2,"C",IF('Data Source'!AC990&gt;=1,"D","F")))))),"")</f>
        <v/>
      </c>
      <c r="L990" s="3">
        <f>IF(AND('Data Source'!B990&lt;&gt;"",'Data Source'!S990="A+"),IF('Data Source'!AD990&gt;=5,"A+",IF('Data Source'!AD990&gt;=4,"A",IF('Data Source'!AD990&gt;=3.5,"A-",IF('Data Source'!AD990&gt;=3,"B",IF('Data Source'!AD990&gt;=2,"C",IF('Data Source'!AD990&gt;=1,"D","F")))))),"")</f>
        <v/>
      </c>
      <c r="M990" s="3">
        <f>IF(AND('Data Source'!B990&lt;&gt;"",'Data Source'!S990="A+"),IF('Data Source'!AE990&gt;=5,"A+",IF('Data Source'!AE990&gt;=4,"A",IF('Data Source'!AE990&gt;=3.5,"A-",IF('Data Source'!AE990&gt;=3,"B",IF('Data Source'!AE990&gt;=2,"C",IF('Data Source'!AE990&gt;=1,"D","F")))))),"")</f>
        <v/>
      </c>
      <c r="N990" s="3">
        <f>IF(AND('Data Source'!B990&lt;&gt;"",'Data Source'!S990="A+"),IF('Data Source'!AF990&gt;=5,"A+",IF('Data Source'!AF990&gt;=4,"A",IF('Data Source'!AF990&gt;=3.5,"A-",IF('Data Source'!AF990&gt;=3,"B",IF('Data Source'!AF990&gt;=2,"C",IF('Data Source'!AF990&gt;=1,"D","F")))))),"")</f>
        <v/>
      </c>
      <c r="O990" s="3">
        <f>IF(AND('Data Source'!B990&lt;&gt;"",'Data Source'!S990="A+"),IF('Data Source'!AG990&gt;=5,"A+",IF('Data Source'!AG990&gt;=4,"A",IF('Data Source'!AG990&gt;=3.5,"A-",IF('Data Source'!AG990&gt;=3,"B",IF('Data Source'!AG990&gt;=2,"C",IF('Data Source'!AG990&gt;=1,"D","F")))))),"")</f>
        <v/>
      </c>
      <c r="P990" s="5">
        <f>IF(AND('Data Source'!B990&lt;&gt;"",'Data Source'!S990="A+"),'Data Source'!R990,"")</f>
        <v/>
      </c>
      <c r="Q990" s="3">
        <f>IF(AND('Data Source'!B990&lt;&gt;"",'Data Source'!S990="A+"),'Data Source'!S990,"")</f>
        <v/>
      </c>
    </row>
    <row r="991">
      <c r="A991" s="3">
        <f>IF(AND('Data Source'!B991&lt;&gt;"",'Data Source'!S991="A+"),COUNTIF('Data Source'!$S$3:S991,"A+"),"")</f>
        <v/>
      </c>
      <c r="B991">
        <f>IF(AND('Data Source'!B991&lt;&gt;"",'Data Source'!S991="A+"),'Data Source'!B991,"")</f>
        <v/>
      </c>
      <c r="C991" s="3">
        <f>IF(AND('Data Source'!B991&lt;&gt;"",'Data Source'!S991="A+"),IF('Data Source'!U991&gt;=5,"A+",IF('Data Source'!U991&gt;=4,"A",IF('Data Source'!U991&gt;=3.5,"A-",IF('Data Source'!U991&gt;=3,"B",IF('Data Source'!U991&gt;=2,"C",IF('Data Source'!U991&gt;=1,"D","F")))))),"")</f>
        <v/>
      </c>
      <c r="D991" s="3">
        <f>IF(AND('Data Source'!B991&lt;&gt;"",'Data Source'!S991="A+"),IF('Data Source'!V991&gt;=5,"A+",IF('Data Source'!V991&gt;=4,"A",IF('Data Source'!V991&gt;=3.5,"A-",IF('Data Source'!V991&gt;=3,"B",IF('Data Source'!V991&gt;=2,"C",IF('Data Source'!V991&gt;=1,"D","F")))))),"")</f>
        <v/>
      </c>
      <c r="E991" s="3">
        <f>IF(AND('Data Source'!B991&lt;&gt;"",'Data Source'!S991="A+"),IF('Data Source'!W991&gt;=5,"A+",IF('Data Source'!W991&gt;=4,"A",IF('Data Source'!W991&gt;=3.5,"A-",IF('Data Source'!W991&gt;=3,"B",IF('Data Source'!W991&gt;=2,"C",IF('Data Source'!W991&gt;=1,"D","F")))))),"")</f>
        <v/>
      </c>
      <c r="F991" s="3">
        <f>IF(AND('Data Source'!B991&lt;&gt;"",'Data Source'!S991="A+"),IF('Data Source'!X991&gt;=5,"A+",IF('Data Source'!X991&gt;=4,"A",IF('Data Source'!X991&gt;=3.5,"A-",IF('Data Source'!X991&gt;=3,"B",IF('Data Source'!X991&gt;=2,"C",IF('Data Source'!X991&gt;=1,"D","F")))))),"")</f>
        <v/>
      </c>
      <c r="G991" s="3">
        <f>IF(AND('Data Source'!B991&lt;&gt;"",'Data Source'!S991="A+"),IF('Data Source'!Y991&gt;=5,"A+",IF('Data Source'!Y991&gt;=4,"A",IF('Data Source'!Y991&gt;=3.5,"A-",IF('Data Source'!Y991&gt;=3,"B",IF('Data Source'!Y991&gt;=2,"C",IF('Data Source'!Y991&gt;=1,"D","F")))))),"")</f>
        <v/>
      </c>
      <c r="H991" s="3">
        <f>IF(AND('Data Source'!B991&lt;&gt;"",'Data Source'!S991="A+"),IF('Data Source'!Z991&gt;=5,"A+",IF('Data Source'!Z991&gt;=4,"A",IF('Data Source'!Z991&gt;=3.5,"A-",IF('Data Source'!Z991&gt;=3,"B",IF('Data Source'!Z991&gt;=2,"C",IF('Data Source'!Z991&gt;=1,"D","F")))))),"")</f>
        <v/>
      </c>
      <c r="I991" s="3">
        <f>IF(AND('Data Source'!B991&lt;&gt;"",'Data Source'!S991="A+"),IF('Data Source'!AA991&gt;=5,"A+",IF('Data Source'!AA991&gt;=4,"A",IF('Data Source'!AA991&gt;=3.5,"A-",IF('Data Source'!AA991&gt;=3,"B",IF('Data Source'!AA991&gt;=2,"C",IF('Data Source'!AA991&gt;=1,"D","F")))))),"")</f>
        <v/>
      </c>
      <c r="J991" s="3">
        <f>IF(AND('Data Source'!B991&lt;&gt;"",'Data Source'!S991="A+"),IF('Data Source'!AB991&gt;=5,"A+",IF('Data Source'!AB991&gt;=4,"A",IF('Data Source'!AB991&gt;=3.5,"A-",IF('Data Source'!AB991&gt;=3,"B",IF('Data Source'!AB991&gt;=2,"C",IF('Data Source'!AB991&gt;=1,"D","F")))))),"")</f>
        <v/>
      </c>
      <c r="K991" s="3">
        <f>IF(AND('Data Source'!B991&lt;&gt;"",'Data Source'!S991="A+"),IF('Data Source'!AC991&gt;=5,"A+",IF('Data Source'!AC991&gt;=4,"A",IF('Data Source'!AC991&gt;=3.5,"A-",IF('Data Source'!AC991&gt;=3,"B",IF('Data Source'!AC991&gt;=2,"C",IF('Data Source'!AC991&gt;=1,"D","F")))))),"")</f>
        <v/>
      </c>
      <c r="L991" s="3">
        <f>IF(AND('Data Source'!B991&lt;&gt;"",'Data Source'!S991="A+"),IF('Data Source'!AD991&gt;=5,"A+",IF('Data Source'!AD991&gt;=4,"A",IF('Data Source'!AD991&gt;=3.5,"A-",IF('Data Source'!AD991&gt;=3,"B",IF('Data Source'!AD991&gt;=2,"C",IF('Data Source'!AD991&gt;=1,"D","F")))))),"")</f>
        <v/>
      </c>
      <c r="M991" s="3">
        <f>IF(AND('Data Source'!B991&lt;&gt;"",'Data Source'!S991="A+"),IF('Data Source'!AE991&gt;=5,"A+",IF('Data Source'!AE991&gt;=4,"A",IF('Data Source'!AE991&gt;=3.5,"A-",IF('Data Source'!AE991&gt;=3,"B",IF('Data Source'!AE991&gt;=2,"C",IF('Data Source'!AE991&gt;=1,"D","F")))))),"")</f>
        <v/>
      </c>
      <c r="N991" s="3">
        <f>IF(AND('Data Source'!B991&lt;&gt;"",'Data Source'!S991="A+"),IF('Data Source'!AF991&gt;=5,"A+",IF('Data Source'!AF991&gt;=4,"A",IF('Data Source'!AF991&gt;=3.5,"A-",IF('Data Source'!AF991&gt;=3,"B",IF('Data Source'!AF991&gt;=2,"C",IF('Data Source'!AF991&gt;=1,"D","F")))))),"")</f>
        <v/>
      </c>
      <c r="O991" s="3">
        <f>IF(AND('Data Source'!B991&lt;&gt;"",'Data Source'!S991="A+"),IF('Data Source'!AG991&gt;=5,"A+",IF('Data Source'!AG991&gt;=4,"A",IF('Data Source'!AG991&gt;=3.5,"A-",IF('Data Source'!AG991&gt;=3,"B",IF('Data Source'!AG991&gt;=2,"C",IF('Data Source'!AG991&gt;=1,"D","F")))))),"")</f>
        <v/>
      </c>
      <c r="P991" s="5">
        <f>IF(AND('Data Source'!B991&lt;&gt;"",'Data Source'!S991="A+"),'Data Source'!R991,"")</f>
        <v/>
      </c>
      <c r="Q991" s="3">
        <f>IF(AND('Data Source'!B991&lt;&gt;"",'Data Source'!S991="A+"),'Data Source'!S991,"")</f>
        <v/>
      </c>
    </row>
    <row r="992">
      <c r="A992" s="3">
        <f>IF(AND('Data Source'!B992&lt;&gt;"",'Data Source'!S992="A+"),COUNTIF('Data Source'!$S$3:S992,"A+"),"")</f>
        <v/>
      </c>
      <c r="B992">
        <f>IF(AND('Data Source'!B992&lt;&gt;"",'Data Source'!S992="A+"),'Data Source'!B992,"")</f>
        <v/>
      </c>
      <c r="C992" s="3">
        <f>IF(AND('Data Source'!B992&lt;&gt;"",'Data Source'!S992="A+"),IF('Data Source'!U992&gt;=5,"A+",IF('Data Source'!U992&gt;=4,"A",IF('Data Source'!U992&gt;=3.5,"A-",IF('Data Source'!U992&gt;=3,"B",IF('Data Source'!U992&gt;=2,"C",IF('Data Source'!U992&gt;=1,"D","F")))))),"")</f>
        <v/>
      </c>
      <c r="D992" s="3">
        <f>IF(AND('Data Source'!B992&lt;&gt;"",'Data Source'!S992="A+"),IF('Data Source'!V992&gt;=5,"A+",IF('Data Source'!V992&gt;=4,"A",IF('Data Source'!V992&gt;=3.5,"A-",IF('Data Source'!V992&gt;=3,"B",IF('Data Source'!V992&gt;=2,"C",IF('Data Source'!V992&gt;=1,"D","F")))))),"")</f>
        <v/>
      </c>
      <c r="E992" s="3">
        <f>IF(AND('Data Source'!B992&lt;&gt;"",'Data Source'!S992="A+"),IF('Data Source'!W992&gt;=5,"A+",IF('Data Source'!W992&gt;=4,"A",IF('Data Source'!W992&gt;=3.5,"A-",IF('Data Source'!W992&gt;=3,"B",IF('Data Source'!W992&gt;=2,"C",IF('Data Source'!W992&gt;=1,"D","F")))))),"")</f>
        <v/>
      </c>
      <c r="F992" s="3">
        <f>IF(AND('Data Source'!B992&lt;&gt;"",'Data Source'!S992="A+"),IF('Data Source'!X992&gt;=5,"A+",IF('Data Source'!X992&gt;=4,"A",IF('Data Source'!X992&gt;=3.5,"A-",IF('Data Source'!X992&gt;=3,"B",IF('Data Source'!X992&gt;=2,"C",IF('Data Source'!X992&gt;=1,"D","F")))))),"")</f>
        <v/>
      </c>
      <c r="G992" s="3">
        <f>IF(AND('Data Source'!B992&lt;&gt;"",'Data Source'!S992="A+"),IF('Data Source'!Y992&gt;=5,"A+",IF('Data Source'!Y992&gt;=4,"A",IF('Data Source'!Y992&gt;=3.5,"A-",IF('Data Source'!Y992&gt;=3,"B",IF('Data Source'!Y992&gt;=2,"C",IF('Data Source'!Y992&gt;=1,"D","F")))))),"")</f>
        <v/>
      </c>
      <c r="H992" s="3">
        <f>IF(AND('Data Source'!B992&lt;&gt;"",'Data Source'!S992="A+"),IF('Data Source'!Z992&gt;=5,"A+",IF('Data Source'!Z992&gt;=4,"A",IF('Data Source'!Z992&gt;=3.5,"A-",IF('Data Source'!Z992&gt;=3,"B",IF('Data Source'!Z992&gt;=2,"C",IF('Data Source'!Z992&gt;=1,"D","F")))))),"")</f>
        <v/>
      </c>
      <c r="I992" s="3">
        <f>IF(AND('Data Source'!B992&lt;&gt;"",'Data Source'!S992="A+"),IF('Data Source'!AA992&gt;=5,"A+",IF('Data Source'!AA992&gt;=4,"A",IF('Data Source'!AA992&gt;=3.5,"A-",IF('Data Source'!AA992&gt;=3,"B",IF('Data Source'!AA992&gt;=2,"C",IF('Data Source'!AA992&gt;=1,"D","F")))))),"")</f>
        <v/>
      </c>
      <c r="J992" s="3">
        <f>IF(AND('Data Source'!B992&lt;&gt;"",'Data Source'!S992="A+"),IF('Data Source'!AB992&gt;=5,"A+",IF('Data Source'!AB992&gt;=4,"A",IF('Data Source'!AB992&gt;=3.5,"A-",IF('Data Source'!AB992&gt;=3,"B",IF('Data Source'!AB992&gt;=2,"C",IF('Data Source'!AB992&gt;=1,"D","F")))))),"")</f>
        <v/>
      </c>
      <c r="K992" s="3">
        <f>IF(AND('Data Source'!B992&lt;&gt;"",'Data Source'!S992="A+"),IF('Data Source'!AC992&gt;=5,"A+",IF('Data Source'!AC992&gt;=4,"A",IF('Data Source'!AC992&gt;=3.5,"A-",IF('Data Source'!AC992&gt;=3,"B",IF('Data Source'!AC992&gt;=2,"C",IF('Data Source'!AC992&gt;=1,"D","F")))))),"")</f>
        <v/>
      </c>
      <c r="L992" s="3">
        <f>IF(AND('Data Source'!B992&lt;&gt;"",'Data Source'!S992="A+"),IF('Data Source'!AD992&gt;=5,"A+",IF('Data Source'!AD992&gt;=4,"A",IF('Data Source'!AD992&gt;=3.5,"A-",IF('Data Source'!AD992&gt;=3,"B",IF('Data Source'!AD992&gt;=2,"C",IF('Data Source'!AD992&gt;=1,"D","F")))))),"")</f>
        <v/>
      </c>
      <c r="M992" s="3">
        <f>IF(AND('Data Source'!B992&lt;&gt;"",'Data Source'!S992="A+"),IF('Data Source'!AE992&gt;=5,"A+",IF('Data Source'!AE992&gt;=4,"A",IF('Data Source'!AE992&gt;=3.5,"A-",IF('Data Source'!AE992&gt;=3,"B",IF('Data Source'!AE992&gt;=2,"C",IF('Data Source'!AE992&gt;=1,"D","F")))))),"")</f>
        <v/>
      </c>
      <c r="N992" s="3">
        <f>IF(AND('Data Source'!B992&lt;&gt;"",'Data Source'!S992="A+"),IF('Data Source'!AF992&gt;=5,"A+",IF('Data Source'!AF992&gt;=4,"A",IF('Data Source'!AF992&gt;=3.5,"A-",IF('Data Source'!AF992&gt;=3,"B",IF('Data Source'!AF992&gt;=2,"C",IF('Data Source'!AF992&gt;=1,"D","F")))))),"")</f>
        <v/>
      </c>
      <c r="O992" s="3">
        <f>IF(AND('Data Source'!B992&lt;&gt;"",'Data Source'!S992="A+"),IF('Data Source'!AG992&gt;=5,"A+",IF('Data Source'!AG992&gt;=4,"A",IF('Data Source'!AG992&gt;=3.5,"A-",IF('Data Source'!AG992&gt;=3,"B",IF('Data Source'!AG992&gt;=2,"C",IF('Data Source'!AG992&gt;=1,"D","F")))))),"")</f>
        <v/>
      </c>
      <c r="P992" s="5">
        <f>IF(AND('Data Source'!B992&lt;&gt;"",'Data Source'!S992="A+"),'Data Source'!R992,"")</f>
        <v/>
      </c>
      <c r="Q992" s="3">
        <f>IF(AND('Data Source'!B992&lt;&gt;"",'Data Source'!S992="A+"),'Data Source'!S992,"")</f>
        <v/>
      </c>
    </row>
    <row r="993">
      <c r="A993" s="3">
        <f>IF(AND('Data Source'!B993&lt;&gt;"",'Data Source'!S993="A+"),COUNTIF('Data Source'!$S$3:S993,"A+"),"")</f>
        <v/>
      </c>
      <c r="B993">
        <f>IF(AND('Data Source'!B993&lt;&gt;"",'Data Source'!S993="A+"),'Data Source'!B993,"")</f>
        <v/>
      </c>
      <c r="C993" s="3">
        <f>IF(AND('Data Source'!B993&lt;&gt;"",'Data Source'!S993="A+"),IF('Data Source'!U993&gt;=5,"A+",IF('Data Source'!U993&gt;=4,"A",IF('Data Source'!U993&gt;=3.5,"A-",IF('Data Source'!U993&gt;=3,"B",IF('Data Source'!U993&gt;=2,"C",IF('Data Source'!U993&gt;=1,"D","F")))))),"")</f>
        <v/>
      </c>
      <c r="D993" s="3">
        <f>IF(AND('Data Source'!B993&lt;&gt;"",'Data Source'!S993="A+"),IF('Data Source'!V993&gt;=5,"A+",IF('Data Source'!V993&gt;=4,"A",IF('Data Source'!V993&gt;=3.5,"A-",IF('Data Source'!V993&gt;=3,"B",IF('Data Source'!V993&gt;=2,"C",IF('Data Source'!V993&gt;=1,"D","F")))))),"")</f>
        <v/>
      </c>
      <c r="E993" s="3">
        <f>IF(AND('Data Source'!B993&lt;&gt;"",'Data Source'!S993="A+"),IF('Data Source'!W993&gt;=5,"A+",IF('Data Source'!W993&gt;=4,"A",IF('Data Source'!W993&gt;=3.5,"A-",IF('Data Source'!W993&gt;=3,"B",IF('Data Source'!W993&gt;=2,"C",IF('Data Source'!W993&gt;=1,"D","F")))))),"")</f>
        <v/>
      </c>
      <c r="F993" s="3">
        <f>IF(AND('Data Source'!B993&lt;&gt;"",'Data Source'!S993="A+"),IF('Data Source'!X993&gt;=5,"A+",IF('Data Source'!X993&gt;=4,"A",IF('Data Source'!X993&gt;=3.5,"A-",IF('Data Source'!X993&gt;=3,"B",IF('Data Source'!X993&gt;=2,"C",IF('Data Source'!X993&gt;=1,"D","F")))))),"")</f>
        <v/>
      </c>
      <c r="G993" s="3">
        <f>IF(AND('Data Source'!B993&lt;&gt;"",'Data Source'!S993="A+"),IF('Data Source'!Y993&gt;=5,"A+",IF('Data Source'!Y993&gt;=4,"A",IF('Data Source'!Y993&gt;=3.5,"A-",IF('Data Source'!Y993&gt;=3,"B",IF('Data Source'!Y993&gt;=2,"C",IF('Data Source'!Y993&gt;=1,"D","F")))))),"")</f>
        <v/>
      </c>
      <c r="H993" s="3">
        <f>IF(AND('Data Source'!B993&lt;&gt;"",'Data Source'!S993="A+"),IF('Data Source'!Z993&gt;=5,"A+",IF('Data Source'!Z993&gt;=4,"A",IF('Data Source'!Z993&gt;=3.5,"A-",IF('Data Source'!Z993&gt;=3,"B",IF('Data Source'!Z993&gt;=2,"C",IF('Data Source'!Z993&gt;=1,"D","F")))))),"")</f>
        <v/>
      </c>
      <c r="I993" s="3">
        <f>IF(AND('Data Source'!B993&lt;&gt;"",'Data Source'!S993="A+"),IF('Data Source'!AA993&gt;=5,"A+",IF('Data Source'!AA993&gt;=4,"A",IF('Data Source'!AA993&gt;=3.5,"A-",IF('Data Source'!AA993&gt;=3,"B",IF('Data Source'!AA993&gt;=2,"C",IF('Data Source'!AA993&gt;=1,"D","F")))))),"")</f>
        <v/>
      </c>
      <c r="J993" s="3">
        <f>IF(AND('Data Source'!B993&lt;&gt;"",'Data Source'!S993="A+"),IF('Data Source'!AB993&gt;=5,"A+",IF('Data Source'!AB993&gt;=4,"A",IF('Data Source'!AB993&gt;=3.5,"A-",IF('Data Source'!AB993&gt;=3,"B",IF('Data Source'!AB993&gt;=2,"C",IF('Data Source'!AB993&gt;=1,"D","F")))))),"")</f>
        <v/>
      </c>
      <c r="K993" s="3">
        <f>IF(AND('Data Source'!B993&lt;&gt;"",'Data Source'!S993="A+"),IF('Data Source'!AC993&gt;=5,"A+",IF('Data Source'!AC993&gt;=4,"A",IF('Data Source'!AC993&gt;=3.5,"A-",IF('Data Source'!AC993&gt;=3,"B",IF('Data Source'!AC993&gt;=2,"C",IF('Data Source'!AC993&gt;=1,"D","F")))))),"")</f>
        <v/>
      </c>
      <c r="L993" s="3">
        <f>IF(AND('Data Source'!B993&lt;&gt;"",'Data Source'!S993="A+"),IF('Data Source'!AD993&gt;=5,"A+",IF('Data Source'!AD993&gt;=4,"A",IF('Data Source'!AD993&gt;=3.5,"A-",IF('Data Source'!AD993&gt;=3,"B",IF('Data Source'!AD993&gt;=2,"C",IF('Data Source'!AD993&gt;=1,"D","F")))))),"")</f>
        <v/>
      </c>
      <c r="M993" s="3">
        <f>IF(AND('Data Source'!B993&lt;&gt;"",'Data Source'!S993="A+"),IF('Data Source'!AE993&gt;=5,"A+",IF('Data Source'!AE993&gt;=4,"A",IF('Data Source'!AE993&gt;=3.5,"A-",IF('Data Source'!AE993&gt;=3,"B",IF('Data Source'!AE993&gt;=2,"C",IF('Data Source'!AE993&gt;=1,"D","F")))))),"")</f>
        <v/>
      </c>
      <c r="N993" s="3">
        <f>IF(AND('Data Source'!B993&lt;&gt;"",'Data Source'!S993="A+"),IF('Data Source'!AF993&gt;=5,"A+",IF('Data Source'!AF993&gt;=4,"A",IF('Data Source'!AF993&gt;=3.5,"A-",IF('Data Source'!AF993&gt;=3,"B",IF('Data Source'!AF993&gt;=2,"C",IF('Data Source'!AF993&gt;=1,"D","F")))))),"")</f>
        <v/>
      </c>
      <c r="O993" s="3">
        <f>IF(AND('Data Source'!B993&lt;&gt;"",'Data Source'!S993="A+"),IF('Data Source'!AG993&gt;=5,"A+",IF('Data Source'!AG993&gt;=4,"A",IF('Data Source'!AG993&gt;=3.5,"A-",IF('Data Source'!AG993&gt;=3,"B",IF('Data Source'!AG993&gt;=2,"C",IF('Data Source'!AG993&gt;=1,"D","F")))))),"")</f>
        <v/>
      </c>
      <c r="P993" s="5">
        <f>IF(AND('Data Source'!B993&lt;&gt;"",'Data Source'!S993="A+"),'Data Source'!R993,"")</f>
        <v/>
      </c>
      <c r="Q993" s="3">
        <f>IF(AND('Data Source'!B993&lt;&gt;"",'Data Source'!S993="A+"),'Data Source'!S993,"")</f>
        <v/>
      </c>
    </row>
    <row r="994">
      <c r="A994" s="3">
        <f>IF(AND('Data Source'!B994&lt;&gt;"",'Data Source'!S994="A+"),COUNTIF('Data Source'!$S$3:S994,"A+"),"")</f>
        <v/>
      </c>
      <c r="B994">
        <f>IF(AND('Data Source'!B994&lt;&gt;"",'Data Source'!S994="A+"),'Data Source'!B994,"")</f>
        <v/>
      </c>
      <c r="C994" s="3">
        <f>IF(AND('Data Source'!B994&lt;&gt;"",'Data Source'!S994="A+"),IF('Data Source'!U994&gt;=5,"A+",IF('Data Source'!U994&gt;=4,"A",IF('Data Source'!U994&gt;=3.5,"A-",IF('Data Source'!U994&gt;=3,"B",IF('Data Source'!U994&gt;=2,"C",IF('Data Source'!U994&gt;=1,"D","F")))))),"")</f>
        <v/>
      </c>
      <c r="D994" s="3">
        <f>IF(AND('Data Source'!B994&lt;&gt;"",'Data Source'!S994="A+"),IF('Data Source'!V994&gt;=5,"A+",IF('Data Source'!V994&gt;=4,"A",IF('Data Source'!V994&gt;=3.5,"A-",IF('Data Source'!V994&gt;=3,"B",IF('Data Source'!V994&gt;=2,"C",IF('Data Source'!V994&gt;=1,"D","F")))))),"")</f>
        <v/>
      </c>
      <c r="E994" s="3">
        <f>IF(AND('Data Source'!B994&lt;&gt;"",'Data Source'!S994="A+"),IF('Data Source'!W994&gt;=5,"A+",IF('Data Source'!W994&gt;=4,"A",IF('Data Source'!W994&gt;=3.5,"A-",IF('Data Source'!W994&gt;=3,"B",IF('Data Source'!W994&gt;=2,"C",IF('Data Source'!W994&gt;=1,"D","F")))))),"")</f>
        <v/>
      </c>
      <c r="F994" s="3">
        <f>IF(AND('Data Source'!B994&lt;&gt;"",'Data Source'!S994="A+"),IF('Data Source'!X994&gt;=5,"A+",IF('Data Source'!X994&gt;=4,"A",IF('Data Source'!X994&gt;=3.5,"A-",IF('Data Source'!X994&gt;=3,"B",IF('Data Source'!X994&gt;=2,"C",IF('Data Source'!X994&gt;=1,"D","F")))))),"")</f>
        <v/>
      </c>
      <c r="G994" s="3">
        <f>IF(AND('Data Source'!B994&lt;&gt;"",'Data Source'!S994="A+"),IF('Data Source'!Y994&gt;=5,"A+",IF('Data Source'!Y994&gt;=4,"A",IF('Data Source'!Y994&gt;=3.5,"A-",IF('Data Source'!Y994&gt;=3,"B",IF('Data Source'!Y994&gt;=2,"C",IF('Data Source'!Y994&gt;=1,"D","F")))))),"")</f>
        <v/>
      </c>
      <c r="H994" s="3">
        <f>IF(AND('Data Source'!B994&lt;&gt;"",'Data Source'!S994="A+"),IF('Data Source'!Z994&gt;=5,"A+",IF('Data Source'!Z994&gt;=4,"A",IF('Data Source'!Z994&gt;=3.5,"A-",IF('Data Source'!Z994&gt;=3,"B",IF('Data Source'!Z994&gt;=2,"C",IF('Data Source'!Z994&gt;=1,"D","F")))))),"")</f>
        <v/>
      </c>
      <c r="I994" s="3">
        <f>IF(AND('Data Source'!B994&lt;&gt;"",'Data Source'!S994="A+"),IF('Data Source'!AA994&gt;=5,"A+",IF('Data Source'!AA994&gt;=4,"A",IF('Data Source'!AA994&gt;=3.5,"A-",IF('Data Source'!AA994&gt;=3,"B",IF('Data Source'!AA994&gt;=2,"C",IF('Data Source'!AA994&gt;=1,"D","F")))))),"")</f>
        <v/>
      </c>
      <c r="J994" s="3">
        <f>IF(AND('Data Source'!B994&lt;&gt;"",'Data Source'!S994="A+"),IF('Data Source'!AB994&gt;=5,"A+",IF('Data Source'!AB994&gt;=4,"A",IF('Data Source'!AB994&gt;=3.5,"A-",IF('Data Source'!AB994&gt;=3,"B",IF('Data Source'!AB994&gt;=2,"C",IF('Data Source'!AB994&gt;=1,"D","F")))))),"")</f>
        <v/>
      </c>
      <c r="K994" s="3">
        <f>IF(AND('Data Source'!B994&lt;&gt;"",'Data Source'!S994="A+"),IF('Data Source'!AC994&gt;=5,"A+",IF('Data Source'!AC994&gt;=4,"A",IF('Data Source'!AC994&gt;=3.5,"A-",IF('Data Source'!AC994&gt;=3,"B",IF('Data Source'!AC994&gt;=2,"C",IF('Data Source'!AC994&gt;=1,"D","F")))))),"")</f>
        <v/>
      </c>
      <c r="L994" s="3">
        <f>IF(AND('Data Source'!B994&lt;&gt;"",'Data Source'!S994="A+"),IF('Data Source'!AD994&gt;=5,"A+",IF('Data Source'!AD994&gt;=4,"A",IF('Data Source'!AD994&gt;=3.5,"A-",IF('Data Source'!AD994&gt;=3,"B",IF('Data Source'!AD994&gt;=2,"C",IF('Data Source'!AD994&gt;=1,"D","F")))))),"")</f>
        <v/>
      </c>
      <c r="M994" s="3">
        <f>IF(AND('Data Source'!B994&lt;&gt;"",'Data Source'!S994="A+"),IF('Data Source'!AE994&gt;=5,"A+",IF('Data Source'!AE994&gt;=4,"A",IF('Data Source'!AE994&gt;=3.5,"A-",IF('Data Source'!AE994&gt;=3,"B",IF('Data Source'!AE994&gt;=2,"C",IF('Data Source'!AE994&gt;=1,"D","F")))))),"")</f>
        <v/>
      </c>
      <c r="N994" s="3">
        <f>IF(AND('Data Source'!B994&lt;&gt;"",'Data Source'!S994="A+"),IF('Data Source'!AF994&gt;=5,"A+",IF('Data Source'!AF994&gt;=4,"A",IF('Data Source'!AF994&gt;=3.5,"A-",IF('Data Source'!AF994&gt;=3,"B",IF('Data Source'!AF994&gt;=2,"C",IF('Data Source'!AF994&gt;=1,"D","F")))))),"")</f>
        <v/>
      </c>
      <c r="O994" s="3">
        <f>IF(AND('Data Source'!B994&lt;&gt;"",'Data Source'!S994="A+"),IF('Data Source'!AG994&gt;=5,"A+",IF('Data Source'!AG994&gt;=4,"A",IF('Data Source'!AG994&gt;=3.5,"A-",IF('Data Source'!AG994&gt;=3,"B",IF('Data Source'!AG994&gt;=2,"C",IF('Data Source'!AG994&gt;=1,"D","F")))))),"")</f>
        <v/>
      </c>
      <c r="P994" s="5">
        <f>IF(AND('Data Source'!B994&lt;&gt;"",'Data Source'!S994="A+"),'Data Source'!R994,"")</f>
        <v/>
      </c>
      <c r="Q994" s="3">
        <f>IF(AND('Data Source'!B994&lt;&gt;"",'Data Source'!S994="A+"),'Data Source'!S994,"")</f>
        <v/>
      </c>
    </row>
    <row r="995">
      <c r="A995" s="3">
        <f>IF(AND('Data Source'!B995&lt;&gt;"",'Data Source'!S995="A+"),COUNTIF('Data Source'!$S$3:S995,"A+"),"")</f>
        <v/>
      </c>
      <c r="B995">
        <f>IF(AND('Data Source'!B995&lt;&gt;"",'Data Source'!S995="A+"),'Data Source'!B995,"")</f>
        <v/>
      </c>
      <c r="C995" s="3">
        <f>IF(AND('Data Source'!B995&lt;&gt;"",'Data Source'!S995="A+"),IF('Data Source'!U995&gt;=5,"A+",IF('Data Source'!U995&gt;=4,"A",IF('Data Source'!U995&gt;=3.5,"A-",IF('Data Source'!U995&gt;=3,"B",IF('Data Source'!U995&gt;=2,"C",IF('Data Source'!U995&gt;=1,"D","F")))))),"")</f>
        <v/>
      </c>
      <c r="D995" s="3">
        <f>IF(AND('Data Source'!B995&lt;&gt;"",'Data Source'!S995="A+"),IF('Data Source'!V995&gt;=5,"A+",IF('Data Source'!V995&gt;=4,"A",IF('Data Source'!V995&gt;=3.5,"A-",IF('Data Source'!V995&gt;=3,"B",IF('Data Source'!V995&gt;=2,"C",IF('Data Source'!V995&gt;=1,"D","F")))))),"")</f>
        <v/>
      </c>
      <c r="E995" s="3">
        <f>IF(AND('Data Source'!B995&lt;&gt;"",'Data Source'!S995="A+"),IF('Data Source'!W995&gt;=5,"A+",IF('Data Source'!W995&gt;=4,"A",IF('Data Source'!W995&gt;=3.5,"A-",IF('Data Source'!W995&gt;=3,"B",IF('Data Source'!W995&gt;=2,"C",IF('Data Source'!W995&gt;=1,"D","F")))))),"")</f>
        <v/>
      </c>
      <c r="F995" s="3">
        <f>IF(AND('Data Source'!B995&lt;&gt;"",'Data Source'!S995="A+"),IF('Data Source'!X995&gt;=5,"A+",IF('Data Source'!X995&gt;=4,"A",IF('Data Source'!X995&gt;=3.5,"A-",IF('Data Source'!X995&gt;=3,"B",IF('Data Source'!X995&gt;=2,"C",IF('Data Source'!X995&gt;=1,"D","F")))))),"")</f>
        <v/>
      </c>
      <c r="G995" s="3">
        <f>IF(AND('Data Source'!B995&lt;&gt;"",'Data Source'!S995="A+"),IF('Data Source'!Y995&gt;=5,"A+",IF('Data Source'!Y995&gt;=4,"A",IF('Data Source'!Y995&gt;=3.5,"A-",IF('Data Source'!Y995&gt;=3,"B",IF('Data Source'!Y995&gt;=2,"C",IF('Data Source'!Y995&gt;=1,"D","F")))))),"")</f>
        <v/>
      </c>
      <c r="H995" s="3">
        <f>IF(AND('Data Source'!B995&lt;&gt;"",'Data Source'!S995="A+"),IF('Data Source'!Z995&gt;=5,"A+",IF('Data Source'!Z995&gt;=4,"A",IF('Data Source'!Z995&gt;=3.5,"A-",IF('Data Source'!Z995&gt;=3,"B",IF('Data Source'!Z995&gt;=2,"C",IF('Data Source'!Z995&gt;=1,"D","F")))))),"")</f>
        <v/>
      </c>
      <c r="I995" s="3">
        <f>IF(AND('Data Source'!B995&lt;&gt;"",'Data Source'!S995="A+"),IF('Data Source'!AA995&gt;=5,"A+",IF('Data Source'!AA995&gt;=4,"A",IF('Data Source'!AA995&gt;=3.5,"A-",IF('Data Source'!AA995&gt;=3,"B",IF('Data Source'!AA995&gt;=2,"C",IF('Data Source'!AA995&gt;=1,"D","F")))))),"")</f>
        <v/>
      </c>
      <c r="J995" s="3">
        <f>IF(AND('Data Source'!B995&lt;&gt;"",'Data Source'!S995="A+"),IF('Data Source'!AB995&gt;=5,"A+",IF('Data Source'!AB995&gt;=4,"A",IF('Data Source'!AB995&gt;=3.5,"A-",IF('Data Source'!AB995&gt;=3,"B",IF('Data Source'!AB995&gt;=2,"C",IF('Data Source'!AB995&gt;=1,"D","F")))))),"")</f>
        <v/>
      </c>
      <c r="K995" s="3">
        <f>IF(AND('Data Source'!B995&lt;&gt;"",'Data Source'!S995="A+"),IF('Data Source'!AC995&gt;=5,"A+",IF('Data Source'!AC995&gt;=4,"A",IF('Data Source'!AC995&gt;=3.5,"A-",IF('Data Source'!AC995&gt;=3,"B",IF('Data Source'!AC995&gt;=2,"C",IF('Data Source'!AC995&gt;=1,"D","F")))))),"")</f>
        <v/>
      </c>
      <c r="L995" s="3">
        <f>IF(AND('Data Source'!B995&lt;&gt;"",'Data Source'!S995="A+"),IF('Data Source'!AD995&gt;=5,"A+",IF('Data Source'!AD995&gt;=4,"A",IF('Data Source'!AD995&gt;=3.5,"A-",IF('Data Source'!AD995&gt;=3,"B",IF('Data Source'!AD995&gt;=2,"C",IF('Data Source'!AD995&gt;=1,"D","F")))))),"")</f>
        <v/>
      </c>
      <c r="M995" s="3">
        <f>IF(AND('Data Source'!B995&lt;&gt;"",'Data Source'!S995="A+"),IF('Data Source'!AE995&gt;=5,"A+",IF('Data Source'!AE995&gt;=4,"A",IF('Data Source'!AE995&gt;=3.5,"A-",IF('Data Source'!AE995&gt;=3,"B",IF('Data Source'!AE995&gt;=2,"C",IF('Data Source'!AE995&gt;=1,"D","F")))))),"")</f>
        <v/>
      </c>
      <c r="N995" s="3">
        <f>IF(AND('Data Source'!B995&lt;&gt;"",'Data Source'!S995="A+"),IF('Data Source'!AF995&gt;=5,"A+",IF('Data Source'!AF995&gt;=4,"A",IF('Data Source'!AF995&gt;=3.5,"A-",IF('Data Source'!AF995&gt;=3,"B",IF('Data Source'!AF995&gt;=2,"C",IF('Data Source'!AF995&gt;=1,"D","F")))))),"")</f>
        <v/>
      </c>
      <c r="O995" s="3">
        <f>IF(AND('Data Source'!B995&lt;&gt;"",'Data Source'!S995="A+"),IF('Data Source'!AG995&gt;=5,"A+",IF('Data Source'!AG995&gt;=4,"A",IF('Data Source'!AG995&gt;=3.5,"A-",IF('Data Source'!AG995&gt;=3,"B",IF('Data Source'!AG995&gt;=2,"C",IF('Data Source'!AG995&gt;=1,"D","F")))))),"")</f>
        <v/>
      </c>
      <c r="P995" s="5">
        <f>IF(AND('Data Source'!B995&lt;&gt;"",'Data Source'!S995="A+"),'Data Source'!R995,"")</f>
        <v/>
      </c>
      <c r="Q995" s="3">
        <f>IF(AND('Data Source'!B995&lt;&gt;"",'Data Source'!S995="A+"),'Data Source'!S995,"")</f>
        <v/>
      </c>
    </row>
    <row r="996">
      <c r="A996" s="3">
        <f>IF(AND('Data Source'!B996&lt;&gt;"",'Data Source'!S996="A+"),COUNTIF('Data Source'!$S$3:S996,"A+"),"")</f>
        <v/>
      </c>
      <c r="B996">
        <f>IF(AND('Data Source'!B996&lt;&gt;"",'Data Source'!S996="A+"),'Data Source'!B996,"")</f>
        <v/>
      </c>
      <c r="C996" s="3">
        <f>IF(AND('Data Source'!B996&lt;&gt;"",'Data Source'!S996="A+"),IF('Data Source'!U996&gt;=5,"A+",IF('Data Source'!U996&gt;=4,"A",IF('Data Source'!U996&gt;=3.5,"A-",IF('Data Source'!U996&gt;=3,"B",IF('Data Source'!U996&gt;=2,"C",IF('Data Source'!U996&gt;=1,"D","F")))))),"")</f>
        <v/>
      </c>
      <c r="D996" s="3">
        <f>IF(AND('Data Source'!B996&lt;&gt;"",'Data Source'!S996="A+"),IF('Data Source'!V996&gt;=5,"A+",IF('Data Source'!V996&gt;=4,"A",IF('Data Source'!V996&gt;=3.5,"A-",IF('Data Source'!V996&gt;=3,"B",IF('Data Source'!V996&gt;=2,"C",IF('Data Source'!V996&gt;=1,"D","F")))))),"")</f>
        <v/>
      </c>
      <c r="E996" s="3">
        <f>IF(AND('Data Source'!B996&lt;&gt;"",'Data Source'!S996="A+"),IF('Data Source'!W996&gt;=5,"A+",IF('Data Source'!W996&gt;=4,"A",IF('Data Source'!W996&gt;=3.5,"A-",IF('Data Source'!W996&gt;=3,"B",IF('Data Source'!W996&gt;=2,"C",IF('Data Source'!W996&gt;=1,"D","F")))))),"")</f>
        <v/>
      </c>
      <c r="F996" s="3">
        <f>IF(AND('Data Source'!B996&lt;&gt;"",'Data Source'!S996="A+"),IF('Data Source'!X996&gt;=5,"A+",IF('Data Source'!X996&gt;=4,"A",IF('Data Source'!X996&gt;=3.5,"A-",IF('Data Source'!X996&gt;=3,"B",IF('Data Source'!X996&gt;=2,"C",IF('Data Source'!X996&gt;=1,"D","F")))))),"")</f>
        <v/>
      </c>
      <c r="G996" s="3">
        <f>IF(AND('Data Source'!B996&lt;&gt;"",'Data Source'!S996="A+"),IF('Data Source'!Y996&gt;=5,"A+",IF('Data Source'!Y996&gt;=4,"A",IF('Data Source'!Y996&gt;=3.5,"A-",IF('Data Source'!Y996&gt;=3,"B",IF('Data Source'!Y996&gt;=2,"C",IF('Data Source'!Y996&gt;=1,"D","F")))))),"")</f>
        <v/>
      </c>
      <c r="H996" s="3">
        <f>IF(AND('Data Source'!B996&lt;&gt;"",'Data Source'!S996="A+"),IF('Data Source'!Z996&gt;=5,"A+",IF('Data Source'!Z996&gt;=4,"A",IF('Data Source'!Z996&gt;=3.5,"A-",IF('Data Source'!Z996&gt;=3,"B",IF('Data Source'!Z996&gt;=2,"C",IF('Data Source'!Z996&gt;=1,"D","F")))))),"")</f>
        <v/>
      </c>
      <c r="I996" s="3">
        <f>IF(AND('Data Source'!B996&lt;&gt;"",'Data Source'!S996="A+"),IF('Data Source'!AA996&gt;=5,"A+",IF('Data Source'!AA996&gt;=4,"A",IF('Data Source'!AA996&gt;=3.5,"A-",IF('Data Source'!AA996&gt;=3,"B",IF('Data Source'!AA996&gt;=2,"C",IF('Data Source'!AA996&gt;=1,"D","F")))))),"")</f>
        <v/>
      </c>
      <c r="J996" s="3">
        <f>IF(AND('Data Source'!B996&lt;&gt;"",'Data Source'!S996="A+"),IF('Data Source'!AB996&gt;=5,"A+",IF('Data Source'!AB996&gt;=4,"A",IF('Data Source'!AB996&gt;=3.5,"A-",IF('Data Source'!AB996&gt;=3,"B",IF('Data Source'!AB996&gt;=2,"C",IF('Data Source'!AB996&gt;=1,"D","F")))))),"")</f>
        <v/>
      </c>
      <c r="K996" s="3">
        <f>IF(AND('Data Source'!B996&lt;&gt;"",'Data Source'!S996="A+"),IF('Data Source'!AC996&gt;=5,"A+",IF('Data Source'!AC996&gt;=4,"A",IF('Data Source'!AC996&gt;=3.5,"A-",IF('Data Source'!AC996&gt;=3,"B",IF('Data Source'!AC996&gt;=2,"C",IF('Data Source'!AC996&gt;=1,"D","F")))))),"")</f>
        <v/>
      </c>
      <c r="L996" s="3">
        <f>IF(AND('Data Source'!B996&lt;&gt;"",'Data Source'!S996="A+"),IF('Data Source'!AD996&gt;=5,"A+",IF('Data Source'!AD996&gt;=4,"A",IF('Data Source'!AD996&gt;=3.5,"A-",IF('Data Source'!AD996&gt;=3,"B",IF('Data Source'!AD996&gt;=2,"C",IF('Data Source'!AD996&gt;=1,"D","F")))))),"")</f>
        <v/>
      </c>
      <c r="M996" s="3">
        <f>IF(AND('Data Source'!B996&lt;&gt;"",'Data Source'!S996="A+"),IF('Data Source'!AE996&gt;=5,"A+",IF('Data Source'!AE996&gt;=4,"A",IF('Data Source'!AE996&gt;=3.5,"A-",IF('Data Source'!AE996&gt;=3,"B",IF('Data Source'!AE996&gt;=2,"C",IF('Data Source'!AE996&gt;=1,"D","F")))))),"")</f>
        <v/>
      </c>
      <c r="N996" s="3">
        <f>IF(AND('Data Source'!B996&lt;&gt;"",'Data Source'!S996="A+"),IF('Data Source'!AF996&gt;=5,"A+",IF('Data Source'!AF996&gt;=4,"A",IF('Data Source'!AF996&gt;=3.5,"A-",IF('Data Source'!AF996&gt;=3,"B",IF('Data Source'!AF996&gt;=2,"C",IF('Data Source'!AF996&gt;=1,"D","F")))))),"")</f>
        <v/>
      </c>
      <c r="O996" s="3">
        <f>IF(AND('Data Source'!B996&lt;&gt;"",'Data Source'!S996="A+"),IF('Data Source'!AG996&gt;=5,"A+",IF('Data Source'!AG996&gt;=4,"A",IF('Data Source'!AG996&gt;=3.5,"A-",IF('Data Source'!AG996&gt;=3,"B",IF('Data Source'!AG996&gt;=2,"C",IF('Data Source'!AG996&gt;=1,"D","F")))))),"")</f>
        <v/>
      </c>
      <c r="P996" s="5">
        <f>IF(AND('Data Source'!B996&lt;&gt;"",'Data Source'!S996="A+"),'Data Source'!R996,"")</f>
        <v/>
      </c>
      <c r="Q996" s="3">
        <f>IF(AND('Data Source'!B996&lt;&gt;"",'Data Source'!S996="A+"),'Data Source'!S996,"")</f>
        <v/>
      </c>
    </row>
    <row r="997">
      <c r="A997" s="3">
        <f>IF(AND('Data Source'!B997&lt;&gt;"",'Data Source'!S997="A+"),COUNTIF('Data Source'!$S$3:S997,"A+"),"")</f>
        <v/>
      </c>
      <c r="B997">
        <f>IF(AND('Data Source'!B997&lt;&gt;"",'Data Source'!S997="A+"),'Data Source'!B997,"")</f>
        <v/>
      </c>
      <c r="C997" s="3">
        <f>IF(AND('Data Source'!B997&lt;&gt;"",'Data Source'!S997="A+"),IF('Data Source'!U997&gt;=5,"A+",IF('Data Source'!U997&gt;=4,"A",IF('Data Source'!U997&gt;=3.5,"A-",IF('Data Source'!U997&gt;=3,"B",IF('Data Source'!U997&gt;=2,"C",IF('Data Source'!U997&gt;=1,"D","F")))))),"")</f>
        <v/>
      </c>
      <c r="D997" s="3">
        <f>IF(AND('Data Source'!B997&lt;&gt;"",'Data Source'!S997="A+"),IF('Data Source'!V997&gt;=5,"A+",IF('Data Source'!V997&gt;=4,"A",IF('Data Source'!V997&gt;=3.5,"A-",IF('Data Source'!V997&gt;=3,"B",IF('Data Source'!V997&gt;=2,"C",IF('Data Source'!V997&gt;=1,"D","F")))))),"")</f>
        <v/>
      </c>
      <c r="E997" s="3">
        <f>IF(AND('Data Source'!B997&lt;&gt;"",'Data Source'!S997="A+"),IF('Data Source'!W997&gt;=5,"A+",IF('Data Source'!W997&gt;=4,"A",IF('Data Source'!W997&gt;=3.5,"A-",IF('Data Source'!W997&gt;=3,"B",IF('Data Source'!W997&gt;=2,"C",IF('Data Source'!W997&gt;=1,"D","F")))))),"")</f>
        <v/>
      </c>
      <c r="F997" s="3">
        <f>IF(AND('Data Source'!B997&lt;&gt;"",'Data Source'!S997="A+"),IF('Data Source'!X997&gt;=5,"A+",IF('Data Source'!X997&gt;=4,"A",IF('Data Source'!X997&gt;=3.5,"A-",IF('Data Source'!X997&gt;=3,"B",IF('Data Source'!X997&gt;=2,"C",IF('Data Source'!X997&gt;=1,"D","F")))))),"")</f>
        <v/>
      </c>
      <c r="G997" s="3">
        <f>IF(AND('Data Source'!B997&lt;&gt;"",'Data Source'!S997="A+"),IF('Data Source'!Y997&gt;=5,"A+",IF('Data Source'!Y997&gt;=4,"A",IF('Data Source'!Y997&gt;=3.5,"A-",IF('Data Source'!Y997&gt;=3,"B",IF('Data Source'!Y997&gt;=2,"C",IF('Data Source'!Y997&gt;=1,"D","F")))))),"")</f>
        <v/>
      </c>
      <c r="H997" s="3">
        <f>IF(AND('Data Source'!B997&lt;&gt;"",'Data Source'!S997="A+"),IF('Data Source'!Z997&gt;=5,"A+",IF('Data Source'!Z997&gt;=4,"A",IF('Data Source'!Z997&gt;=3.5,"A-",IF('Data Source'!Z997&gt;=3,"B",IF('Data Source'!Z997&gt;=2,"C",IF('Data Source'!Z997&gt;=1,"D","F")))))),"")</f>
        <v/>
      </c>
      <c r="I997" s="3">
        <f>IF(AND('Data Source'!B997&lt;&gt;"",'Data Source'!S997="A+"),IF('Data Source'!AA997&gt;=5,"A+",IF('Data Source'!AA997&gt;=4,"A",IF('Data Source'!AA997&gt;=3.5,"A-",IF('Data Source'!AA997&gt;=3,"B",IF('Data Source'!AA997&gt;=2,"C",IF('Data Source'!AA997&gt;=1,"D","F")))))),"")</f>
        <v/>
      </c>
      <c r="J997" s="3">
        <f>IF(AND('Data Source'!B997&lt;&gt;"",'Data Source'!S997="A+"),IF('Data Source'!AB997&gt;=5,"A+",IF('Data Source'!AB997&gt;=4,"A",IF('Data Source'!AB997&gt;=3.5,"A-",IF('Data Source'!AB997&gt;=3,"B",IF('Data Source'!AB997&gt;=2,"C",IF('Data Source'!AB997&gt;=1,"D","F")))))),"")</f>
        <v/>
      </c>
      <c r="K997" s="3">
        <f>IF(AND('Data Source'!B997&lt;&gt;"",'Data Source'!S997="A+"),IF('Data Source'!AC997&gt;=5,"A+",IF('Data Source'!AC997&gt;=4,"A",IF('Data Source'!AC997&gt;=3.5,"A-",IF('Data Source'!AC997&gt;=3,"B",IF('Data Source'!AC997&gt;=2,"C",IF('Data Source'!AC997&gt;=1,"D","F")))))),"")</f>
        <v/>
      </c>
      <c r="L997" s="3">
        <f>IF(AND('Data Source'!B997&lt;&gt;"",'Data Source'!S997="A+"),IF('Data Source'!AD997&gt;=5,"A+",IF('Data Source'!AD997&gt;=4,"A",IF('Data Source'!AD997&gt;=3.5,"A-",IF('Data Source'!AD997&gt;=3,"B",IF('Data Source'!AD997&gt;=2,"C",IF('Data Source'!AD997&gt;=1,"D","F")))))),"")</f>
        <v/>
      </c>
      <c r="M997" s="3">
        <f>IF(AND('Data Source'!B997&lt;&gt;"",'Data Source'!S997="A+"),IF('Data Source'!AE997&gt;=5,"A+",IF('Data Source'!AE997&gt;=4,"A",IF('Data Source'!AE997&gt;=3.5,"A-",IF('Data Source'!AE997&gt;=3,"B",IF('Data Source'!AE997&gt;=2,"C",IF('Data Source'!AE997&gt;=1,"D","F")))))),"")</f>
        <v/>
      </c>
      <c r="N997" s="3">
        <f>IF(AND('Data Source'!B997&lt;&gt;"",'Data Source'!S997="A+"),IF('Data Source'!AF997&gt;=5,"A+",IF('Data Source'!AF997&gt;=4,"A",IF('Data Source'!AF997&gt;=3.5,"A-",IF('Data Source'!AF997&gt;=3,"B",IF('Data Source'!AF997&gt;=2,"C",IF('Data Source'!AF997&gt;=1,"D","F")))))),"")</f>
        <v/>
      </c>
      <c r="O997" s="3">
        <f>IF(AND('Data Source'!B997&lt;&gt;"",'Data Source'!S997="A+"),IF('Data Source'!AG997&gt;=5,"A+",IF('Data Source'!AG997&gt;=4,"A",IF('Data Source'!AG997&gt;=3.5,"A-",IF('Data Source'!AG997&gt;=3,"B",IF('Data Source'!AG997&gt;=2,"C",IF('Data Source'!AG997&gt;=1,"D","F")))))),"")</f>
        <v/>
      </c>
      <c r="P997" s="5">
        <f>IF(AND('Data Source'!B997&lt;&gt;"",'Data Source'!S997="A+"),'Data Source'!R997,"")</f>
        <v/>
      </c>
      <c r="Q997" s="3">
        <f>IF(AND('Data Source'!B997&lt;&gt;"",'Data Source'!S997="A+"),'Data Source'!S997,"")</f>
        <v/>
      </c>
    </row>
    <row r="998">
      <c r="A998" s="3">
        <f>IF(AND('Data Source'!B998&lt;&gt;"",'Data Source'!S998="A+"),COUNTIF('Data Source'!$S$3:S998,"A+"),"")</f>
        <v/>
      </c>
      <c r="B998">
        <f>IF(AND('Data Source'!B998&lt;&gt;"",'Data Source'!S998="A+"),'Data Source'!B998,"")</f>
        <v/>
      </c>
      <c r="C998" s="3">
        <f>IF(AND('Data Source'!B998&lt;&gt;"",'Data Source'!S998="A+"),IF('Data Source'!U998&gt;=5,"A+",IF('Data Source'!U998&gt;=4,"A",IF('Data Source'!U998&gt;=3.5,"A-",IF('Data Source'!U998&gt;=3,"B",IF('Data Source'!U998&gt;=2,"C",IF('Data Source'!U998&gt;=1,"D","F")))))),"")</f>
        <v/>
      </c>
      <c r="D998" s="3">
        <f>IF(AND('Data Source'!B998&lt;&gt;"",'Data Source'!S998="A+"),IF('Data Source'!V998&gt;=5,"A+",IF('Data Source'!V998&gt;=4,"A",IF('Data Source'!V998&gt;=3.5,"A-",IF('Data Source'!V998&gt;=3,"B",IF('Data Source'!V998&gt;=2,"C",IF('Data Source'!V998&gt;=1,"D","F")))))),"")</f>
        <v/>
      </c>
      <c r="E998" s="3">
        <f>IF(AND('Data Source'!B998&lt;&gt;"",'Data Source'!S998="A+"),IF('Data Source'!W998&gt;=5,"A+",IF('Data Source'!W998&gt;=4,"A",IF('Data Source'!W998&gt;=3.5,"A-",IF('Data Source'!W998&gt;=3,"B",IF('Data Source'!W998&gt;=2,"C",IF('Data Source'!W998&gt;=1,"D","F")))))),"")</f>
        <v/>
      </c>
      <c r="F998" s="3">
        <f>IF(AND('Data Source'!B998&lt;&gt;"",'Data Source'!S998="A+"),IF('Data Source'!X998&gt;=5,"A+",IF('Data Source'!X998&gt;=4,"A",IF('Data Source'!X998&gt;=3.5,"A-",IF('Data Source'!X998&gt;=3,"B",IF('Data Source'!X998&gt;=2,"C",IF('Data Source'!X998&gt;=1,"D","F")))))),"")</f>
        <v/>
      </c>
      <c r="G998" s="3">
        <f>IF(AND('Data Source'!B998&lt;&gt;"",'Data Source'!S998="A+"),IF('Data Source'!Y998&gt;=5,"A+",IF('Data Source'!Y998&gt;=4,"A",IF('Data Source'!Y998&gt;=3.5,"A-",IF('Data Source'!Y998&gt;=3,"B",IF('Data Source'!Y998&gt;=2,"C",IF('Data Source'!Y998&gt;=1,"D","F")))))),"")</f>
        <v/>
      </c>
      <c r="H998" s="3">
        <f>IF(AND('Data Source'!B998&lt;&gt;"",'Data Source'!S998="A+"),IF('Data Source'!Z998&gt;=5,"A+",IF('Data Source'!Z998&gt;=4,"A",IF('Data Source'!Z998&gt;=3.5,"A-",IF('Data Source'!Z998&gt;=3,"B",IF('Data Source'!Z998&gt;=2,"C",IF('Data Source'!Z998&gt;=1,"D","F")))))),"")</f>
        <v/>
      </c>
      <c r="I998" s="3">
        <f>IF(AND('Data Source'!B998&lt;&gt;"",'Data Source'!S998="A+"),IF('Data Source'!AA998&gt;=5,"A+",IF('Data Source'!AA998&gt;=4,"A",IF('Data Source'!AA998&gt;=3.5,"A-",IF('Data Source'!AA998&gt;=3,"B",IF('Data Source'!AA998&gt;=2,"C",IF('Data Source'!AA998&gt;=1,"D","F")))))),"")</f>
        <v/>
      </c>
      <c r="J998" s="3">
        <f>IF(AND('Data Source'!B998&lt;&gt;"",'Data Source'!S998="A+"),IF('Data Source'!AB998&gt;=5,"A+",IF('Data Source'!AB998&gt;=4,"A",IF('Data Source'!AB998&gt;=3.5,"A-",IF('Data Source'!AB998&gt;=3,"B",IF('Data Source'!AB998&gt;=2,"C",IF('Data Source'!AB998&gt;=1,"D","F")))))),"")</f>
        <v/>
      </c>
      <c r="K998" s="3">
        <f>IF(AND('Data Source'!B998&lt;&gt;"",'Data Source'!S998="A+"),IF('Data Source'!AC998&gt;=5,"A+",IF('Data Source'!AC998&gt;=4,"A",IF('Data Source'!AC998&gt;=3.5,"A-",IF('Data Source'!AC998&gt;=3,"B",IF('Data Source'!AC998&gt;=2,"C",IF('Data Source'!AC998&gt;=1,"D","F")))))),"")</f>
        <v/>
      </c>
      <c r="L998" s="3">
        <f>IF(AND('Data Source'!B998&lt;&gt;"",'Data Source'!S998="A+"),IF('Data Source'!AD998&gt;=5,"A+",IF('Data Source'!AD998&gt;=4,"A",IF('Data Source'!AD998&gt;=3.5,"A-",IF('Data Source'!AD998&gt;=3,"B",IF('Data Source'!AD998&gt;=2,"C",IF('Data Source'!AD998&gt;=1,"D","F")))))),"")</f>
        <v/>
      </c>
      <c r="M998" s="3">
        <f>IF(AND('Data Source'!B998&lt;&gt;"",'Data Source'!S998="A+"),IF('Data Source'!AE998&gt;=5,"A+",IF('Data Source'!AE998&gt;=4,"A",IF('Data Source'!AE998&gt;=3.5,"A-",IF('Data Source'!AE998&gt;=3,"B",IF('Data Source'!AE998&gt;=2,"C",IF('Data Source'!AE998&gt;=1,"D","F")))))),"")</f>
        <v/>
      </c>
      <c r="N998" s="3">
        <f>IF(AND('Data Source'!B998&lt;&gt;"",'Data Source'!S998="A+"),IF('Data Source'!AF998&gt;=5,"A+",IF('Data Source'!AF998&gt;=4,"A",IF('Data Source'!AF998&gt;=3.5,"A-",IF('Data Source'!AF998&gt;=3,"B",IF('Data Source'!AF998&gt;=2,"C",IF('Data Source'!AF998&gt;=1,"D","F")))))),"")</f>
        <v/>
      </c>
      <c r="O998" s="3">
        <f>IF(AND('Data Source'!B998&lt;&gt;"",'Data Source'!S998="A+"),IF('Data Source'!AG998&gt;=5,"A+",IF('Data Source'!AG998&gt;=4,"A",IF('Data Source'!AG998&gt;=3.5,"A-",IF('Data Source'!AG998&gt;=3,"B",IF('Data Source'!AG998&gt;=2,"C",IF('Data Source'!AG998&gt;=1,"D","F")))))),"")</f>
        <v/>
      </c>
      <c r="P998" s="5">
        <f>IF(AND('Data Source'!B998&lt;&gt;"",'Data Source'!S998="A+"),'Data Source'!R998,"")</f>
        <v/>
      </c>
      <c r="Q998" s="3">
        <f>IF(AND('Data Source'!B998&lt;&gt;"",'Data Source'!S998="A+"),'Data Source'!S998,"")</f>
        <v/>
      </c>
    </row>
    <row r="999">
      <c r="A999" s="3">
        <f>IF(AND('Data Source'!B999&lt;&gt;"",'Data Source'!S999="A+"),COUNTIF('Data Source'!$S$3:S999,"A+"),"")</f>
        <v/>
      </c>
      <c r="B999">
        <f>IF(AND('Data Source'!B999&lt;&gt;"",'Data Source'!S999="A+"),'Data Source'!B999,"")</f>
        <v/>
      </c>
      <c r="C999" s="3">
        <f>IF(AND('Data Source'!B999&lt;&gt;"",'Data Source'!S999="A+"),IF('Data Source'!U999&gt;=5,"A+",IF('Data Source'!U999&gt;=4,"A",IF('Data Source'!U999&gt;=3.5,"A-",IF('Data Source'!U999&gt;=3,"B",IF('Data Source'!U999&gt;=2,"C",IF('Data Source'!U999&gt;=1,"D","F")))))),"")</f>
        <v/>
      </c>
      <c r="D999" s="3">
        <f>IF(AND('Data Source'!B999&lt;&gt;"",'Data Source'!S999="A+"),IF('Data Source'!V999&gt;=5,"A+",IF('Data Source'!V999&gt;=4,"A",IF('Data Source'!V999&gt;=3.5,"A-",IF('Data Source'!V999&gt;=3,"B",IF('Data Source'!V999&gt;=2,"C",IF('Data Source'!V999&gt;=1,"D","F")))))),"")</f>
        <v/>
      </c>
      <c r="E999" s="3">
        <f>IF(AND('Data Source'!B999&lt;&gt;"",'Data Source'!S999="A+"),IF('Data Source'!W999&gt;=5,"A+",IF('Data Source'!W999&gt;=4,"A",IF('Data Source'!W999&gt;=3.5,"A-",IF('Data Source'!W999&gt;=3,"B",IF('Data Source'!W999&gt;=2,"C",IF('Data Source'!W999&gt;=1,"D","F")))))),"")</f>
        <v/>
      </c>
      <c r="F999" s="3">
        <f>IF(AND('Data Source'!B999&lt;&gt;"",'Data Source'!S999="A+"),IF('Data Source'!X999&gt;=5,"A+",IF('Data Source'!X999&gt;=4,"A",IF('Data Source'!X999&gt;=3.5,"A-",IF('Data Source'!X999&gt;=3,"B",IF('Data Source'!X999&gt;=2,"C",IF('Data Source'!X999&gt;=1,"D","F")))))),"")</f>
        <v/>
      </c>
      <c r="G999" s="3">
        <f>IF(AND('Data Source'!B999&lt;&gt;"",'Data Source'!S999="A+"),IF('Data Source'!Y999&gt;=5,"A+",IF('Data Source'!Y999&gt;=4,"A",IF('Data Source'!Y999&gt;=3.5,"A-",IF('Data Source'!Y999&gt;=3,"B",IF('Data Source'!Y999&gt;=2,"C",IF('Data Source'!Y999&gt;=1,"D","F")))))),"")</f>
        <v/>
      </c>
      <c r="H999" s="3">
        <f>IF(AND('Data Source'!B999&lt;&gt;"",'Data Source'!S999="A+"),IF('Data Source'!Z999&gt;=5,"A+",IF('Data Source'!Z999&gt;=4,"A",IF('Data Source'!Z999&gt;=3.5,"A-",IF('Data Source'!Z999&gt;=3,"B",IF('Data Source'!Z999&gt;=2,"C",IF('Data Source'!Z999&gt;=1,"D","F")))))),"")</f>
        <v/>
      </c>
      <c r="I999" s="3">
        <f>IF(AND('Data Source'!B999&lt;&gt;"",'Data Source'!S999="A+"),IF('Data Source'!AA999&gt;=5,"A+",IF('Data Source'!AA999&gt;=4,"A",IF('Data Source'!AA999&gt;=3.5,"A-",IF('Data Source'!AA999&gt;=3,"B",IF('Data Source'!AA999&gt;=2,"C",IF('Data Source'!AA999&gt;=1,"D","F")))))),"")</f>
        <v/>
      </c>
      <c r="J999" s="3">
        <f>IF(AND('Data Source'!B999&lt;&gt;"",'Data Source'!S999="A+"),IF('Data Source'!AB999&gt;=5,"A+",IF('Data Source'!AB999&gt;=4,"A",IF('Data Source'!AB999&gt;=3.5,"A-",IF('Data Source'!AB999&gt;=3,"B",IF('Data Source'!AB999&gt;=2,"C",IF('Data Source'!AB999&gt;=1,"D","F")))))),"")</f>
        <v/>
      </c>
      <c r="K999" s="3">
        <f>IF(AND('Data Source'!B999&lt;&gt;"",'Data Source'!S999="A+"),IF('Data Source'!AC999&gt;=5,"A+",IF('Data Source'!AC999&gt;=4,"A",IF('Data Source'!AC999&gt;=3.5,"A-",IF('Data Source'!AC999&gt;=3,"B",IF('Data Source'!AC999&gt;=2,"C",IF('Data Source'!AC999&gt;=1,"D","F")))))),"")</f>
        <v/>
      </c>
      <c r="L999" s="3">
        <f>IF(AND('Data Source'!B999&lt;&gt;"",'Data Source'!S999="A+"),IF('Data Source'!AD999&gt;=5,"A+",IF('Data Source'!AD999&gt;=4,"A",IF('Data Source'!AD999&gt;=3.5,"A-",IF('Data Source'!AD999&gt;=3,"B",IF('Data Source'!AD999&gt;=2,"C",IF('Data Source'!AD999&gt;=1,"D","F")))))),"")</f>
        <v/>
      </c>
      <c r="M999" s="3">
        <f>IF(AND('Data Source'!B999&lt;&gt;"",'Data Source'!S999="A+"),IF('Data Source'!AE999&gt;=5,"A+",IF('Data Source'!AE999&gt;=4,"A",IF('Data Source'!AE999&gt;=3.5,"A-",IF('Data Source'!AE999&gt;=3,"B",IF('Data Source'!AE999&gt;=2,"C",IF('Data Source'!AE999&gt;=1,"D","F")))))),"")</f>
        <v/>
      </c>
      <c r="N999" s="3">
        <f>IF(AND('Data Source'!B999&lt;&gt;"",'Data Source'!S999="A+"),IF('Data Source'!AF999&gt;=5,"A+",IF('Data Source'!AF999&gt;=4,"A",IF('Data Source'!AF999&gt;=3.5,"A-",IF('Data Source'!AF999&gt;=3,"B",IF('Data Source'!AF999&gt;=2,"C",IF('Data Source'!AF999&gt;=1,"D","F")))))),"")</f>
        <v/>
      </c>
      <c r="O999" s="3">
        <f>IF(AND('Data Source'!B999&lt;&gt;"",'Data Source'!S999="A+"),IF('Data Source'!AG999&gt;=5,"A+",IF('Data Source'!AG999&gt;=4,"A",IF('Data Source'!AG999&gt;=3.5,"A-",IF('Data Source'!AG999&gt;=3,"B",IF('Data Source'!AG999&gt;=2,"C",IF('Data Source'!AG999&gt;=1,"D","F")))))),"")</f>
        <v/>
      </c>
      <c r="P999" s="5">
        <f>IF(AND('Data Source'!B999&lt;&gt;"",'Data Source'!S999="A+"),'Data Source'!R999,"")</f>
        <v/>
      </c>
      <c r="Q999" s="3">
        <f>IF(AND('Data Source'!B999&lt;&gt;"",'Data Source'!S999="A+"),'Data Source'!S999,"")</f>
        <v/>
      </c>
    </row>
    <row r="1000">
      <c r="A1000" s="3">
        <f>IF(AND('Data Source'!B1000&lt;&gt;"",'Data Source'!S1000="A+"),COUNTIF('Data Source'!$S$3:S1000,"A+"),"")</f>
        <v/>
      </c>
      <c r="B1000">
        <f>IF(AND('Data Source'!B1000&lt;&gt;"",'Data Source'!S1000="A+"),'Data Source'!B1000,"")</f>
        <v/>
      </c>
      <c r="C1000" s="3">
        <f>IF(AND('Data Source'!B1000&lt;&gt;"",'Data Source'!S1000="A+"),IF('Data Source'!U1000&gt;=5,"A+",IF('Data Source'!U1000&gt;=4,"A",IF('Data Source'!U1000&gt;=3.5,"A-",IF('Data Source'!U1000&gt;=3,"B",IF('Data Source'!U1000&gt;=2,"C",IF('Data Source'!U1000&gt;=1,"D","F")))))),"")</f>
        <v/>
      </c>
      <c r="D1000" s="3">
        <f>IF(AND('Data Source'!B1000&lt;&gt;"",'Data Source'!S1000="A+"),IF('Data Source'!V1000&gt;=5,"A+",IF('Data Source'!V1000&gt;=4,"A",IF('Data Source'!V1000&gt;=3.5,"A-",IF('Data Source'!V1000&gt;=3,"B",IF('Data Source'!V1000&gt;=2,"C",IF('Data Source'!V1000&gt;=1,"D","F")))))),"")</f>
        <v/>
      </c>
      <c r="E1000" s="3">
        <f>IF(AND('Data Source'!B1000&lt;&gt;"",'Data Source'!S1000="A+"),IF('Data Source'!W1000&gt;=5,"A+",IF('Data Source'!W1000&gt;=4,"A",IF('Data Source'!W1000&gt;=3.5,"A-",IF('Data Source'!W1000&gt;=3,"B",IF('Data Source'!W1000&gt;=2,"C",IF('Data Source'!W1000&gt;=1,"D","F")))))),"")</f>
        <v/>
      </c>
      <c r="F1000" s="3">
        <f>IF(AND('Data Source'!B1000&lt;&gt;"",'Data Source'!S1000="A+"),IF('Data Source'!X1000&gt;=5,"A+",IF('Data Source'!X1000&gt;=4,"A",IF('Data Source'!X1000&gt;=3.5,"A-",IF('Data Source'!X1000&gt;=3,"B",IF('Data Source'!X1000&gt;=2,"C",IF('Data Source'!X1000&gt;=1,"D","F")))))),"")</f>
        <v/>
      </c>
      <c r="G1000" s="3">
        <f>IF(AND('Data Source'!B1000&lt;&gt;"",'Data Source'!S1000="A+"),IF('Data Source'!Y1000&gt;=5,"A+",IF('Data Source'!Y1000&gt;=4,"A",IF('Data Source'!Y1000&gt;=3.5,"A-",IF('Data Source'!Y1000&gt;=3,"B",IF('Data Source'!Y1000&gt;=2,"C",IF('Data Source'!Y1000&gt;=1,"D","F")))))),"")</f>
        <v/>
      </c>
      <c r="H1000" s="3">
        <f>IF(AND('Data Source'!B1000&lt;&gt;"",'Data Source'!S1000="A+"),IF('Data Source'!Z1000&gt;=5,"A+",IF('Data Source'!Z1000&gt;=4,"A",IF('Data Source'!Z1000&gt;=3.5,"A-",IF('Data Source'!Z1000&gt;=3,"B",IF('Data Source'!Z1000&gt;=2,"C",IF('Data Source'!Z1000&gt;=1,"D","F")))))),"")</f>
        <v/>
      </c>
      <c r="I1000" s="3">
        <f>IF(AND('Data Source'!B1000&lt;&gt;"",'Data Source'!S1000="A+"),IF('Data Source'!AA1000&gt;=5,"A+",IF('Data Source'!AA1000&gt;=4,"A",IF('Data Source'!AA1000&gt;=3.5,"A-",IF('Data Source'!AA1000&gt;=3,"B",IF('Data Source'!AA1000&gt;=2,"C",IF('Data Source'!AA1000&gt;=1,"D","F")))))),"")</f>
        <v/>
      </c>
      <c r="J1000" s="3">
        <f>IF(AND('Data Source'!B1000&lt;&gt;"",'Data Source'!S1000="A+"),IF('Data Source'!AB1000&gt;=5,"A+",IF('Data Source'!AB1000&gt;=4,"A",IF('Data Source'!AB1000&gt;=3.5,"A-",IF('Data Source'!AB1000&gt;=3,"B",IF('Data Source'!AB1000&gt;=2,"C",IF('Data Source'!AB1000&gt;=1,"D","F")))))),"")</f>
        <v/>
      </c>
      <c r="K1000" s="3">
        <f>IF(AND('Data Source'!B1000&lt;&gt;"",'Data Source'!S1000="A+"),IF('Data Source'!AC1000&gt;=5,"A+",IF('Data Source'!AC1000&gt;=4,"A",IF('Data Source'!AC1000&gt;=3.5,"A-",IF('Data Source'!AC1000&gt;=3,"B",IF('Data Source'!AC1000&gt;=2,"C",IF('Data Source'!AC1000&gt;=1,"D","F")))))),"")</f>
        <v/>
      </c>
      <c r="L1000" s="3">
        <f>IF(AND('Data Source'!B1000&lt;&gt;"",'Data Source'!S1000="A+"),IF('Data Source'!AD1000&gt;=5,"A+",IF('Data Source'!AD1000&gt;=4,"A",IF('Data Source'!AD1000&gt;=3.5,"A-",IF('Data Source'!AD1000&gt;=3,"B",IF('Data Source'!AD1000&gt;=2,"C",IF('Data Source'!AD1000&gt;=1,"D","F")))))),"")</f>
        <v/>
      </c>
      <c r="M1000" s="3">
        <f>IF(AND('Data Source'!B1000&lt;&gt;"",'Data Source'!S1000="A+"),IF('Data Source'!AE1000&gt;=5,"A+",IF('Data Source'!AE1000&gt;=4,"A",IF('Data Source'!AE1000&gt;=3.5,"A-",IF('Data Source'!AE1000&gt;=3,"B",IF('Data Source'!AE1000&gt;=2,"C",IF('Data Source'!AE1000&gt;=1,"D","F")))))),"")</f>
        <v/>
      </c>
      <c r="N1000" s="3">
        <f>IF(AND('Data Source'!B1000&lt;&gt;"",'Data Source'!S1000="A+"),IF('Data Source'!AF1000&gt;=5,"A+",IF('Data Source'!AF1000&gt;=4,"A",IF('Data Source'!AF1000&gt;=3.5,"A-",IF('Data Source'!AF1000&gt;=3,"B",IF('Data Source'!AF1000&gt;=2,"C",IF('Data Source'!AF1000&gt;=1,"D","F")))))),"")</f>
        <v/>
      </c>
      <c r="O1000" s="3">
        <f>IF(AND('Data Source'!B1000&lt;&gt;"",'Data Source'!S1000="A+"),IF('Data Source'!AG1000&gt;=5,"A+",IF('Data Source'!AG1000&gt;=4,"A",IF('Data Source'!AG1000&gt;=3.5,"A-",IF('Data Source'!AG1000&gt;=3,"B",IF('Data Source'!AG1000&gt;=2,"C",IF('Data Source'!AG1000&gt;=1,"D","F")))))),"")</f>
        <v/>
      </c>
      <c r="P1000" s="5">
        <f>IF(AND('Data Source'!B1000&lt;&gt;"",'Data Source'!S1000="A+"),'Data Source'!R1000,"")</f>
        <v/>
      </c>
      <c r="Q1000" s="3">
        <f>IF(AND('Data Source'!B1000&lt;&gt;"",'Data Source'!S1000="A+"),'Data Source'!S1000,"")</f>
        <v/>
      </c>
    </row>
    <row r="1001">
      <c r="A1001" s="3">
        <f>IF(AND('Data Source'!B1001&lt;&gt;"",'Data Source'!S1001="A+"),COUNTIF('Data Source'!$S$3:S1001,"A+"),"")</f>
        <v/>
      </c>
      <c r="B1001">
        <f>IF(AND('Data Source'!B1001&lt;&gt;"",'Data Source'!S1001="A+"),'Data Source'!B1001,"")</f>
        <v/>
      </c>
      <c r="C1001" s="3">
        <f>IF(AND('Data Source'!B1001&lt;&gt;"",'Data Source'!S1001="A+"),IF('Data Source'!U1001&gt;=5,"A+",IF('Data Source'!U1001&gt;=4,"A",IF('Data Source'!U1001&gt;=3.5,"A-",IF('Data Source'!U1001&gt;=3,"B",IF('Data Source'!U1001&gt;=2,"C",IF('Data Source'!U1001&gt;=1,"D","F")))))),"")</f>
        <v/>
      </c>
      <c r="D1001" s="3">
        <f>IF(AND('Data Source'!B1001&lt;&gt;"",'Data Source'!S1001="A+"),IF('Data Source'!V1001&gt;=5,"A+",IF('Data Source'!V1001&gt;=4,"A",IF('Data Source'!V1001&gt;=3.5,"A-",IF('Data Source'!V1001&gt;=3,"B",IF('Data Source'!V1001&gt;=2,"C",IF('Data Source'!V1001&gt;=1,"D","F")))))),"")</f>
        <v/>
      </c>
      <c r="E1001" s="3">
        <f>IF(AND('Data Source'!B1001&lt;&gt;"",'Data Source'!S1001="A+"),IF('Data Source'!W1001&gt;=5,"A+",IF('Data Source'!W1001&gt;=4,"A",IF('Data Source'!W1001&gt;=3.5,"A-",IF('Data Source'!W1001&gt;=3,"B",IF('Data Source'!W1001&gt;=2,"C",IF('Data Source'!W1001&gt;=1,"D","F")))))),"")</f>
        <v/>
      </c>
      <c r="F1001" s="3">
        <f>IF(AND('Data Source'!B1001&lt;&gt;"",'Data Source'!S1001="A+"),IF('Data Source'!X1001&gt;=5,"A+",IF('Data Source'!X1001&gt;=4,"A",IF('Data Source'!X1001&gt;=3.5,"A-",IF('Data Source'!X1001&gt;=3,"B",IF('Data Source'!X1001&gt;=2,"C",IF('Data Source'!X1001&gt;=1,"D","F")))))),"")</f>
        <v/>
      </c>
      <c r="G1001" s="3">
        <f>IF(AND('Data Source'!B1001&lt;&gt;"",'Data Source'!S1001="A+"),IF('Data Source'!Y1001&gt;=5,"A+",IF('Data Source'!Y1001&gt;=4,"A",IF('Data Source'!Y1001&gt;=3.5,"A-",IF('Data Source'!Y1001&gt;=3,"B",IF('Data Source'!Y1001&gt;=2,"C",IF('Data Source'!Y1001&gt;=1,"D","F")))))),"")</f>
        <v/>
      </c>
      <c r="H1001" s="3">
        <f>IF(AND('Data Source'!B1001&lt;&gt;"",'Data Source'!S1001="A+"),IF('Data Source'!Z1001&gt;=5,"A+",IF('Data Source'!Z1001&gt;=4,"A",IF('Data Source'!Z1001&gt;=3.5,"A-",IF('Data Source'!Z1001&gt;=3,"B",IF('Data Source'!Z1001&gt;=2,"C",IF('Data Source'!Z1001&gt;=1,"D","F")))))),"")</f>
        <v/>
      </c>
      <c r="I1001" s="3">
        <f>IF(AND('Data Source'!B1001&lt;&gt;"",'Data Source'!S1001="A+"),IF('Data Source'!AA1001&gt;=5,"A+",IF('Data Source'!AA1001&gt;=4,"A",IF('Data Source'!AA1001&gt;=3.5,"A-",IF('Data Source'!AA1001&gt;=3,"B",IF('Data Source'!AA1001&gt;=2,"C",IF('Data Source'!AA1001&gt;=1,"D","F")))))),"")</f>
        <v/>
      </c>
      <c r="J1001" s="3">
        <f>IF(AND('Data Source'!B1001&lt;&gt;"",'Data Source'!S1001="A+"),IF('Data Source'!AB1001&gt;=5,"A+",IF('Data Source'!AB1001&gt;=4,"A",IF('Data Source'!AB1001&gt;=3.5,"A-",IF('Data Source'!AB1001&gt;=3,"B",IF('Data Source'!AB1001&gt;=2,"C",IF('Data Source'!AB1001&gt;=1,"D","F")))))),"")</f>
        <v/>
      </c>
      <c r="K1001" s="3">
        <f>IF(AND('Data Source'!B1001&lt;&gt;"",'Data Source'!S1001="A+"),IF('Data Source'!AC1001&gt;=5,"A+",IF('Data Source'!AC1001&gt;=4,"A",IF('Data Source'!AC1001&gt;=3.5,"A-",IF('Data Source'!AC1001&gt;=3,"B",IF('Data Source'!AC1001&gt;=2,"C",IF('Data Source'!AC1001&gt;=1,"D","F")))))),"")</f>
        <v/>
      </c>
      <c r="L1001" s="3">
        <f>IF(AND('Data Source'!B1001&lt;&gt;"",'Data Source'!S1001="A+"),IF('Data Source'!AD1001&gt;=5,"A+",IF('Data Source'!AD1001&gt;=4,"A",IF('Data Source'!AD1001&gt;=3.5,"A-",IF('Data Source'!AD1001&gt;=3,"B",IF('Data Source'!AD1001&gt;=2,"C",IF('Data Source'!AD1001&gt;=1,"D","F")))))),"")</f>
        <v/>
      </c>
      <c r="M1001" s="3">
        <f>IF(AND('Data Source'!B1001&lt;&gt;"",'Data Source'!S1001="A+"),IF('Data Source'!AE1001&gt;=5,"A+",IF('Data Source'!AE1001&gt;=4,"A",IF('Data Source'!AE1001&gt;=3.5,"A-",IF('Data Source'!AE1001&gt;=3,"B",IF('Data Source'!AE1001&gt;=2,"C",IF('Data Source'!AE1001&gt;=1,"D","F")))))),"")</f>
        <v/>
      </c>
      <c r="N1001" s="3">
        <f>IF(AND('Data Source'!B1001&lt;&gt;"",'Data Source'!S1001="A+"),IF('Data Source'!AF1001&gt;=5,"A+",IF('Data Source'!AF1001&gt;=4,"A",IF('Data Source'!AF1001&gt;=3.5,"A-",IF('Data Source'!AF1001&gt;=3,"B",IF('Data Source'!AF1001&gt;=2,"C",IF('Data Source'!AF1001&gt;=1,"D","F")))))),"")</f>
        <v/>
      </c>
      <c r="O1001" s="3">
        <f>IF(AND('Data Source'!B1001&lt;&gt;"",'Data Source'!S1001="A+"),IF('Data Source'!AG1001&gt;=5,"A+",IF('Data Source'!AG1001&gt;=4,"A",IF('Data Source'!AG1001&gt;=3.5,"A-",IF('Data Source'!AG1001&gt;=3,"B",IF('Data Source'!AG1001&gt;=2,"C",IF('Data Source'!AG1001&gt;=1,"D","F")))))),"")</f>
        <v/>
      </c>
      <c r="P1001" s="5">
        <f>IF(AND('Data Source'!B1001&lt;&gt;"",'Data Source'!S1001="A+"),'Data Source'!R1001,"")</f>
        <v/>
      </c>
      <c r="Q1001" s="3">
        <f>IF(AND('Data Source'!B1001&lt;&gt;"",'Data Source'!S1001="A+"),'Data Source'!S1001,"")</f>
        <v/>
      </c>
    </row>
    <row r="1002">
      <c r="A1002" s="3">
        <f>IF(AND('Data Source'!B1002&lt;&gt;"",'Data Source'!S1002="A+"),COUNTIF('Data Source'!$S$3:S1002,"A+"),"")</f>
        <v/>
      </c>
      <c r="B1002">
        <f>IF(AND('Data Source'!B1002&lt;&gt;"",'Data Source'!S1002="A+"),'Data Source'!B1002,"")</f>
        <v/>
      </c>
      <c r="C1002" s="3">
        <f>IF(AND('Data Source'!B1002&lt;&gt;"",'Data Source'!S1002="A+"),IF('Data Source'!U1002&gt;=5,"A+",IF('Data Source'!U1002&gt;=4,"A",IF('Data Source'!U1002&gt;=3.5,"A-",IF('Data Source'!U1002&gt;=3,"B",IF('Data Source'!U1002&gt;=2,"C",IF('Data Source'!U1002&gt;=1,"D","F")))))),"")</f>
        <v/>
      </c>
      <c r="D1002" s="3">
        <f>IF(AND('Data Source'!B1002&lt;&gt;"",'Data Source'!S1002="A+"),IF('Data Source'!V1002&gt;=5,"A+",IF('Data Source'!V1002&gt;=4,"A",IF('Data Source'!V1002&gt;=3.5,"A-",IF('Data Source'!V1002&gt;=3,"B",IF('Data Source'!V1002&gt;=2,"C",IF('Data Source'!V1002&gt;=1,"D","F")))))),"")</f>
        <v/>
      </c>
      <c r="E1002" s="3">
        <f>IF(AND('Data Source'!B1002&lt;&gt;"",'Data Source'!S1002="A+"),IF('Data Source'!W1002&gt;=5,"A+",IF('Data Source'!W1002&gt;=4,"A",IF('Data Source'!W1002&gt;=3.5,"A-",IF('Data Source'!W1002&gt;=3,"B",IF('Data Source'!W1002&gt;=2,"C",IF('Data Source'!W1002&gt;=1,"D","F")))))),"")</f>
        <v/>
      </c>
      <c r="F1002" s="3">
        <f>IF(AND('Data Source'!B1002&lt;&gt;"",'Data Source'!S1002="A+"),IF('Data Source'!X1002&gt;=5,"A+",IF('Data Source'!X1002&gt;=4,"A",IF('Data Source'!X1002&gt;=3.5,"A-",IF('Data Source'!X1002&gt;=3,"B",IF('Data Source'!X1002&gt;=2,"C",IF('Data Source'!X1002&gt;=1,"D","F")))))),"")</f>
        <v/>
      </c>
      <c r="G1002" s="3">
        <f>IF(AND('Data Source'!B1002&lt;&gt;"",'Data Source'!S1002="A+"),IF('Data Source'!Y1002&gt;=5,"A+",IF('Data Source'!Y1002&gt;=4,"A",IF('Data Source'!Y1002&gt;=3.5,"A-",IF('Data Source'!Y1002&gt;=3,"B",IF('Data Source'!Y1002&gt;=2,"C",IF('Data Source'!Y1002&gt;=1,"D","F")))))),"")</f>
        <v/>
      </c>
      <c r="H1002" s="3">
        <f>IF(AND('Data Source'!B1002&lt;&gt;"",'Data Source'!S1002="A+"),IF('Data Source'!Z1002&gt;=5,"A+",IF('Data Source'!Z1002&gt;=4,"A",IF('Data Source'!Z1002&gt;=3.5,"A-",IF('Data Source'!Z1002&gt;=3,"B",IF('Data Source'!Z1002&gt;=2,"C",IF('Data Source'!Z1002&gt;=1,"D","F")))))),"")</f>
        <v/>
      </c>
      <c r="I1002" s="3">
        <f>IF(AND('Data Source'!B1002&lt;&gt;"",'Data Source'!S1002="A+"),IF('Data Source'!AA1002&gt;=5,"A+",IF('Data Source'!AA1002&gt;=4,"A",IF('Data Source'!AA1002&gt;=3.5,"A-",IF('Data Source'!AA1002&gt;=3,"B",IF('Data Source'!AA1002&gt;=2,"C",IF('Data Source'!AA1002&gt;=1,"D","F")))))),"")</f>
        <v/>
      </c>
      <c r="J1002" s="3">
        <f>IF(AND('Data Source'!B1002&lt;&gt;"",'Data Source'!S1002="A+"),IF('Data Source'!AB1002&gt;=5,"A+",IF('Data Source'!AB1002&gt;=4,"A",IF('Data Source'!AB1002&gt;=3.5,"A-",IF('Data Source'!AB1002&gt;=3,"B",IF('Data Source'!AB1002&gt;=2,"C",IF('Data Source'!AB1002&gt;=1,"D","F")))))),"")</f>
        <v/>
      </c>
      <c r="K1002" s="3">
        <f>IF(AND('Data Source'!B1002&lt;&gt;"",'Data Source'!S1002="A+"),IF('Data Source'!AC1002&gt;=5,"A+",IF('Data Source'!AC1002&gt;=4,"A",IF('Data Source'!AC1002&gt;=3.5,"A-",IF('Data Source'!AC1002&gt;=3,"B",IF('Data Source'!AC1002&gt;=2,"C",IF('Data Source'!AC1002&gt;=1,"D","F")))))),"")</f>
        <v/>
      </c>
      <c r="L1002" s="3">
        <f>IF(AND('Data Source'!B1002&lt;&gt;"",'Data Source'!S1002="A+"),IF('Data Source'!AD1002&gt;=5,"A+",IF('Data Source'!AD1002&gt;=4,"A",IF('Data Source'!AD1002&gt;=3.5,"A-",IF('Data Source'!AD1002&gt;=3,"B",IF('Data Source'!AD1002&gt;=2,"C",IF('Data Source'!AD1002&gt;=1,"D","F")))))),"")</f>
        <v/>
      </c>
      <c r="M1002" s="3">
        <f>IF(AND('Data Source'!B1002&lt;&gt;"",'Data Source'!S1002="A+"),IF('Data Source'!AE1002&gt;=5,"A+",IF('Data Source'!AE1002&gt;=4,"A",IF('Data Source'!AE1002&gt;=3.5,"A-",IF('Data Source'!AE1002&gt;=3,"B",IF('Data Source'!AE1002&gt;=2,"C",IF('Data Source'!AE1002&gt;=1,"D","F")))))),"")</f>
        <v/>
      </c>
      <c r="N1002" s="3">
        <f>IF(AND('Data Source'!B1002&lt;&gt;"",'Data Source'!S1002="A+"),IF('Data Source'!AF1002&gt;=5,"A+",IF('Data Source'!AF1002&gt;=4,"A",IF('Data Source'!AF1002&gt;=3.5,"A-",IF('Data Source'!AF1002&gt;=3,"B",IF('Data Source'!AF1002&gt;=2,"C",IF('Data Source'!AF1002&gt;=1,"D","F")))))),"")</f>
        <v/>
      </c>
      <c r="O1002" s="3">
        <f>IF(AND('Data Source'!B1002&lt;&gt;"",'Data Source'!S1002="A+"),IF('Data Source'!AG1002&gt;=5,"A+",IF('Data Source'!AG1002&gt;=4,"A",IF('Data Source'!AG1002&gt;=3.5,"A-",IF('Data Source'!AG1002&gt;=3,"B",IF('Data Source'!AG1002&gt;=2,"C",IF('Data Source'!AG1002&gt;=1,"D","F")))))),"")</f>
        <v/>
      </c>
      <c r="P1002" s="5">
        <f>IF(AND('Data Source'!B1002&lt;&gt;"",'Data Source'!S1002="A+"),'Data Source'!R1002,"")</f>
        <v/>
      </c>
      <c r="Q1002" s="3">
        <f>IF(AND('Data Source'!B1002&lt;&gt;"",'Data Source'!S1002="A+"),'Data Source'!S1002,"")</f>
        <v/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8" customWidth="1" min="5" max="5"/>
    <col width="10" customWidth="1" min="6" max="6"/>
  </cols>
  <sheetData>
    <row r="1" ht="30" customHeight="1">
      <c r="A1" s="1" t="inlineStr">
        <is>
          <t>STUDENT RANK &amp; POSITION (BY TOTAL MARKS)</t>
        </is>
      </c>
    </row>
    <row r="2">
      <c r="A2" s="12" t="inlineStr">
        <is>
          <t>Position</t>
        </is>
      </c>
      <c r="B2" s="12" t="inlineStr">
        <is>
          <t>Name</t>
        </is>
      </c>
      <c r="C2" s="12" t="inlineStr">
        <is>
          <t>Total Marks</t>
        </is>
      </c>
      <c r="D2" s="12" t="inlineStr">
        <is>
          <t>Average</t>
        </is>
      </c>
      <c r="E2" s="12" t="inlineStr">
        <is>
          <t>GPA</t>
        </is>
      </c>
      <c r="F2" s="12" t="inlineStr">
        <is>
          <t>Grade</t>
        </is>
      </c>
    </row>
    <row r="3">
      <c r="A3" s="3">
        <f>IFERROR(IF(COUNTIF('Data Source'!$T:$T,1)&gt;0,1,""),"")</f>
        <v/>
      </c>
      <c r="B3">
        <f>IFERROR(INDEX('Data Source'!$B:$B,MATCH(1,'Data Source'!$T:$T,0)),"")</f>
        <v/>
      </c>
      <c r="C3" s="3">
        <f>IFERROR(INDEX('Data Source'!$P:$P,MATCH(1,'Data Source'!$T:$T,0)),"")</f>
        <v/>
      </c>
      <c r="D3" s="5">
        <f>IFERROR(INDEX('Data Source'!$Q:$Q,MATCH(1,'Data Source'!$T:$T,0)),"")</f>
        <v/>
      </c>
      <c r="E3" s="5">
        <f>IFERROR(INDEX('Data Source'!$R:$R,MATCH(1,'Data Source'!$T:$T,0)),"")</f>
        <v/>
      </c>
      <c r="F3" s="3">
        <f>IFERROR(INDEX('Data Source'!$S:$S,MATCH(1,'Data Source'!$T:$T,0)),"")</f>
        <v/>
      </c>
    </row>
    <row r="4">
      <c r="A4" s="3">
        <f>IFERROR(IF(COUNTIF('Data Source'!$T:$T,2)&gt;0,2,""),"")</f>
        <v/>
      </c>
      <c r="B4">
        <f>IFERROR(INDEX('Data Source'!$B:$B,MATCH(2,'Data Source'!$T:$T,0)),"")</f>
        <v/>
      </c>
      <c r="C4" s="3">
        <f>IFERROR(INDEX('Data Source'!$P:$P,MATCH(2,'Data Source'!$T:$T,0)),"")</f>
        <v/>
      </c>
      <c r="D4" s="5">
        <f>IFERROR(INDEX('Data Source'!$Q:$Q,MATCH(2,'Data Source'!$T:$T,0)),"")</f>
        <v/>
      </c>
      <c r="E4" s="5">
        <f>IFERROR(INDEX('Data Source'!$R:$R,MATCH(2,'Data Source'!$T:$T,0)),"")</f>
        <v/>
      </c>
      <c r="F4" s="3">
        <f>IFERROR(INDEX('Data Source'!$S:$S,MATCH(2,'Data Source'!$T:$T,0)),"")</f>
        <v/>
      </c>
    </row>
    <row r="5">
      <c r="A5" s="3">
        <f>IFERROR(IF(COUNTIF('Data Source'!$T:$T,3)&gt;0,3,""),"")</f>
        <v/>
      </c>
      <c r="B5">
        <f>IFERROR(INDEX('Data Source'!$B:$B,MATCH(3,'Data Source'!$T:$T,0)),"")</f>
        <v/>
      </c>
      <c r="C5" s="3">
        <f>IFERROR(INDEX('Data Source'!$P:$P,MATCH(3,'Data Source'!$T:$T,0)),"")</f>
        <v/>
      </c>
      <c r="D5" s="5">
        <f>IFERROR(INDEX('Data Source'!$Q:$Q,MATCH(3,'Data Source'!$T:$T,0)),"")</f>
        <v/>
      </c>
      <c r="E5" s="5">
        <f>IFERROR(INDEX('Data Source'!$R:$R,MATCH(3,'Data Source'!$T:$T,0)),"")</f>
        <v/>
      </c>
      <c r="F5" s="3">
        <f>IFERROR(INDEX('Data Source'!$S:$S,MATCH(3,'Data Source'!$T:$T,0)),"")</f>
        <v/>
      </c>
    </row>
    <row r="6">
      <c r="A6" s="3">
        <f>IFERROR(IF(COUNTIF('Data Source'!$T:$T,4)&gt;0,4,""),"")</f>
        <v/>
      </c>
      <c r="B6">
        <f>IFERROR(INDEX('Data Source'!$B:$B,MATCH(4,'Data Source'!$T:$T,0)),"")</f>
        <v/>
      </c>
      <c r="C6" s="3">
        <f>IFERROR(INDEX('Data Source'!$P:$P,MATCH(4,'Data Source'!$T:$T,0)),"")</f>
        <v/>
      </c>
      <c r="D6" s="5">
        <f>IFERROR(INDEX('Data Source'!$Q:$Q,MATCH(4,'Data Source'!$T:$T,0)),"")</f>
        <v/>
      </c>
      <c r="E6" s="5">
        <f>IFERROR(INDEX('Data Source'!$R:$R,MATCH(4,'Data Source'!$T:$T,0)),"")</f>
        <v/>
      </c>
      <c r="F6" s="3">
        <f>IFERROR(INDEX('Data Source'!$S:$S,MATCH(4,'Data Source'!$T:$T,0)),"")</f>
        <v/>
      </c>
    </row>
    <row r="7">
      <c r="A7" s="3">
        <f>IFERROR(IF(COUNTIF('Data Source'!$T:$T,5)&gt;0,5,""),"")</f>
        <v/>
      </c>
      <c r="B7">
        <f>IFERROR(INDEX('Data Source'!$B:$B,MATCH(5,'Data Source'!$T:$T,0)),"")</f>
        <v/>
      </c>
      <c r="C7" s="3">
        <f>IFERROR(INDEX('Data Source'!$P:$P,MATCH(5,'Data Source'!$T:$T,0)),"")</f>
        <v/>
      </c>
      <c r="D7" s="5">
        <f>IFERROR(INDEX('Data Source'!$Q:$Q,MATCH(5,'Data Source'!$T:$T,0)),"")</f>
        <v/>
      </c>
      <c r="E7" s="5">
        <f>IFERROR(INDEX('Data Source'!$R:$R,MATCH(5,'Data Source'!$T:$T,0)),"")</f>
        <v/>
      </c>
      <c r="F7" s="3">
        <f>IFERROR(INDEX('Data Source'!$S:$S,MATCH(5,'Data Source'!$T:$T,0)),"")</f>
        <v/>
      </c>
    </row>
    <row r="8">
      <c r="A8" s="3">
        <f>IFERROR(IF(COUNTIF('Data Source'!$T:$T,6)&gt;0,6,""),"")</f>
        <v/>
      </c>
      <c r="B8">
        <f>IFERROR(INDEX('Data Source'!$B:$B,MATCH(6,'Data Source'!$T:$T,0)),"")</f>
        <v/>
      </c>
      <c r="C8" s="3">
        <f>IFERROR(INDEX('Data Source'!$P:$P,MATCH(6,'Data Source'!$T:$T,0)),"")</f>
        <v/>
      </c>
      <c r="D8" s="5">
        <f>IFERROR(INDEX('Data Source'!$Q:$Q,MATCH(6,'Data Source'!$T:$T,0)),"")</f>
        <v/>
      </c>
      <c r="E8" s="5">
        <f>IFERROR(INDEX('Data Source'!$R:$R,MATCH(6,'Data Source'!$T:$T,0)),"")</f>
        <v/>
      </c>
      <c r="F8" s="3">
        <f>IFERROR(INDEX('Data Source'!$S:$S,MATCH(6,'Data Source'!$T:$T,0)),"")</f>
        <v/>
      </c>
    </row>
    <row r="9">
      <c r="A9" s="3">
        <f>IFERROR(IF(COUNTIF('Data Source'!$T:$T,7)&gt;0,7,""),"")</f>
        <v/>
      </c>
      <c r="B9">
        <f>IFERROR(INDEX('Data Source'!$B:$B,MATCH(7,'Data Source'!$T:$T,0)),"")</f>
        <v/>
      </c>
      <c r="C9" s="3">
        <f>IFERROR(INDEX('Data Source'!$P:$P,MATCH(7,'Data Source'!$T:$T,0)),"")</f>
        <v/>
      </c>
      <c r="D9" s="5">
        <f>IFERROR(INDEX('Data Source'!$Q:$Q,MATCH(7,'Data Source'!$T:$T,0)),"")</f>
        <v/>
      </c>
      <c r="E9" s="5">
        <f>IFERROR(INDEX('Data Source'!$R:$R,MATCH(7,'Data Source'!$T:$T,0)),"")</f>
        <v/>
      </c>
      <c r="F9" s="3">
        <f>IFERROR(INDEX('Data Source'!$S:$S,MATCH(7,'Data Source'!$T:$T,0)),"")</f>
        <v/>
      </c>
    </row>
    <row r="10">
      <c r="A10" s="3">
        <f>IFERROR(IF(COUNTIF('Data Source'!$T:$T,8)&gt;0,8,""),"")</f>
        <v/>
      </c>
      <c r="B10">
        <f>IFERROR(INDEX('Data Source'!$B:$B,MATCH(8,'Data Source'!$T:$T,0)),"")</f>
        <v/>
      </c>
      <c r="C10" s="3">
        <f>IFERROR(INDEX('Data Source'!$P:$P,MATCH(8,'Data Source'!$T:$T,0)),"")</f>
        <v/>
      </c>
      <c r="D10" s="5">
        <f>IFERROR(INDEX('Data Source'!$Q:$Q,MATCH(8,'Data Source'!$T:$T,0)),"")</f>
        <v/>
      </c>
      <c r="E10" s="5">
        <f>IFERROR(INDEX('Data Source'!$R:$R,MATCH(8,'Data Source'!$T:$T,0)),"")</f>
        <v/>
      </c>
      <c r="F10" s="3">
        <f>IFERROR(INDEX('Data Source'!$S:$S,MATCH(8,'Data Source'!$T:$T,0)),"")</f>
        <v/>
      </c>
    </row>
    <row r="11">
      <c r="A11" s="3">
        <f>IFERROR(IF(COUNTIF('Data Source'!$T:$T,9)&gt;0,9,""),"")</f>
        <v/>
      </c>
      <c r="B11">
        <f>IFERROR(INDEX('Data Source'!$B:$B,MATCH(9,'Data Source'!$T:$T,0)),"")</f>
        <v/>
      </c>
      <c r="C11" s="3">
        <f>IFERROR(INDEX('Data Source'!$P:$P,MATCH(9,'Data Source'!$T:$T,0)),"")</f>
        <v/>
      </c>
      <c r="D11" s="5">
        <f>IFERROR(INDEX('Data Source'!$Q:$Q,MATCH(9,'Data Source'!$T:$T,0)),"")</f>
        <v/>
      </c>
      <c r="E11" s="5">
        <f>IFERROR(INDEX('Data Source'!$R:$R,MATCH(9,'Data Source'!$T:$T,0)),"")</f>
        <v/>
      </c>
      <c r="F11" s="3">
        <f>IFERROR(INDEX('Data Source'!$S:$S,MATCH(9,'Data Source'!$T:$T,0)),"")</f>
        <v/>
      </c>
    </row>
    <row r="12">
      <c r="A12" s="3">
        <f>IFERROR(IF(COUNTIF('Data Source'!$T:$T,10)&gt;0,10,""),"")</f>
        <v/>
      </c>
      <c r="B12">
        <f>IFERROR(INDEX('Data Source'!$B:$B,MATCH(10,'Data Source'!$T:$T,0)),"")</f>
        <v/>
      </c>
      <c r="C12" s="3">
        <f>IFERROR(INDEX('Data Source'!$P:$P,MATCH(10,'Data Source'!$T:$T,0)),"")</f>
        <v/>
      </c>
      <c r="D12" s="5">
        <f>IFERROR(INDEX('Data Source'!$Q:$Q,MATCH(10,'Data Source'!$T:$T,0)),"")</f>
        <v/>
      </c>
      <c r="E12" s="5">
        <f>IFERROR(INDEX('Data Source'!$R:$R,MATCH(10,'Data Source'!$T:$T,0)),"")</f>
        <v/>
      </c>
      <c r="F12" s="3">
        <f>IFERROR(INDEX('Data Source'!$S:$S,MATCH(10,'Data Source'!$T:$T,0)),"")</f>
        <v/>
      </c>
    </row>
    <row r="13">
      <c r="A13" s="3">
        <f>IFERROR(IF(COUNTIF('Data Source'!$T:$T,11)&gt;0,11,""),"")</f>
        <v/>
      </c>
      <c r="B13">
        <f>IFERROR(INDEX('Data Source'!$B:$B,MATCH(11,'Data Source'!$T:$T,0)),"")</f>
        <v/>
      </c>
      <c r="C13" s="3">
        <f>IFERROR(INDEX('Data Source'!$P:$P,MATCH(11,'Data Source'!$T:$T,0)),"")</f>
        <v/>
      </c>
      <c r="D13" s="5">
        <f>IFERROR(INDEX('Data Source'!$Q:$Q,MATCH(11,'Data Source'!$T:$T,0)),"")</f>
        <v/>
      </c>
      <c r="E13" s="5">
        <f>IFERROR(INDEX('Data Source'!$R:$R,MATCH(11,'Data Source'!$T:$T,0)),"")</f>
        <v/>
      </c>
      <c r="F13" s="3">
        <f>IFERROR(INDEX('Data Source'!$S:$S,MATCH(11,'Data Source'!$T:$T,0)),"")</f>
        <v/>
      </c>
    </row>
    <row r="14">
      <c r="A14" s="3">
        <f>IFERROR(IF(COUNTIF('Data Source'!$T:$T,12)&gt;0,12,""),"")</f>
        <v/>
      </c>
      <c r="B14">
        <f>IFERROR(INDEX('Data Source'!$B:$B,MATCH(12,'Data Source'!$T:$T,0)),"")</f>
        <v/>
      </c>
      <c r="C14" s="3">
        <f>IFERROR(INDEX('Data Source'!$P:$P,MATCH(12,'Data Source'!$T:$T,0)),"")</f>
        <v/>
      </c>
      <c r="D14" s="5">
        <f>IFERROR(INDEX('Data Source'!$Q:$Q,MATCH(12,'Data Source'!$T:$T,0)),"")</f>
        <v/>
      </c>
      <c r="E14" s="5">
        <f>IFERROR(INDEX('Data Source'!$R:$R,MATCH(12,'Data Source'!$T:$T,0)),"")</f>
        <v/>
      </c>
      <c r="F14" s="3">
        <f>IFERROR(INDEX('Data Source'!$S:$S,MATCH(12,'Data Source'!$T:$T,0)),"")</f>
        <v/>
      </c>
    </row>
    <row r="15">
      <c r="A15" s="3">
        <f>IFERROR(IF(COUNTIF('Data Source'!$T:$T,13)&gt;0,13,""),"")</f>
        <v/>
      </c>
      <c r="B15">
        <f>IFERROR(INDEX('Data Source'!$B:$B,MATCH(13,'Data Source'!$T:$T,0)),"")</f>
        <v/>
      </c>
      <c r="C15" s="3">
        <f>IFERROR(INDEX('Data Source'!$P:$P,MATCH(13,'Data Source'!$T:$T,0)),"")</f>
        <v/>
      </c>
      <c r="D15" s="5">
        <f>IFERROR(INDEX('Data Source'!$Q:$Q,MATCH(13,'Data Source'!$T:$T,0)),"")</f>
        <v/>
      </c>
      <c r="E15" s="5">
        <f>IFERROR(INDEX('Data Source'!$R:$R,MATCH(13,'Data Source'!$T:$T,0)),"")</f>
        <v/>
      </c>
      <c r="F15" s="3">
        <f>IFERROR(INDEX('Data Source'!$S:$S,MATCH(13,'Data Source'!$T:$T,0)),"")</f>
        <v/>
      </c>
    </row>
    <row r="16">
      <c r="A16" s="3">
        <f>IFERROR(IF(COUNTIF('Data Source'!$T:$T,14)&gt;0,14,""),"")</f>
        <v/>
      </c>
      <c r="B16">
        <f>IFERROR(INDEX('Data Source'!$B:$B,MATCH(14,'Data Source'!$T:$T,0)),"")</f>
        <v/>
      </c>
      <c r="C16" s="3">
        <f>IFERROR(INDEX('Data Source'!$P:$P,MATCH(14,'Data Source'!$T:$T,0)),"")</f>
        <v/>
      </c>
      <c r="D16" s="5">
        <f>IFERROR(INDEX('Data Source'!$Q:$Q,MATCH(14,'Data Source'!$T:$T,0)),"")</f>
        <v/>
      </c>
      <c r="E16" s="5">
        <f>IFERROR(INDEX('Data Source'!$R:$R,MATCH(14,'Data Source'!$T:$T,0)),"")</f>
        <v/>
      </c>
      <c r="F16" s="3">
        <f>IFERROR(INDEX('Data Source'!$S:$S,MATCH(14,'Data Source'!$T:$T,0)),"")</f>
        <v/>
      </c>
    </row>
    <row r="17">
      <c r="A17" s="3">
        <f>IFERROR(IF(COUNTIF('Data Source'!$T:$T,15)&gt;0,15,""),"")</f>
        <v/>
      </c>
      <c r="B17">
        <f>IFERROR(INDEX('Data Source'!$B:$B,MATCH(15,'Data Source'!$T:$T,0)),"")</f>
        <v/>
      </c>
      <c r="C17" s="3">
        <f>IFERROR(INDEX('Data Source'!$P:$P,MATCH(15,'Data Source'!$T:$T,0)),"")</f>
        <v/>
      </c>
      <c r="D17" s="5">
        <f>IFERROR(INDEX('Data Source'!$Q:$Q,MATCH(15,'Data Source'!$T:$T,0)),"")</f>
        <v/>
      </c>
      <c r="E17" s="5">
        <f>IFERROR(INDEX('Data Source'!$R:$R,MATCH(15,'Data Source'!$T:$T,0)),"")</f>
        <v/>
      </c>
      <c r="F17" s="3">
        <f>IFERROR(INDEX('Data Source'!$S:$S,MATCH(15,'Data Source'!$T:$T,0)),"")</f>
        <v/>
      </c>
    </row>
    <row r="18">
      <c r="A18" s="3">
        <f>IFERROR(IF(COUNTIF('Data Source'!$T:$T,16)&gt;0,16,""),"")</f>
        <v/>
      </c>
      <c r="B18">
        <f>IFERROR(INDEX('Data Source'!$B:$B,MATCH(16,'Data Source'!$T:$T,0)),"")</f>
        <v/>
      </c>
      <c r="C18" s="3">
        <f>IFERROR(INDEX('Data Source'!$P:$P,MATCH(16,'Data Source'!$T:$T,0)),"")</f>
        <v/>
      </c>
      <c r="D18" s="5">
        <f>IFERROR(INDEX('Data Source'!$Q:$Q,MATCH(16,'Data Source'!$T:$T,0)),"")</f>
        <v/>
      </c>
      <c r="E18" s="5">
        <f>IFERROR(INDEX('Data Source'!$R:$R,MATCH(16,'Data Source'!$T:$T,0)),"")</f>
        <v/>
      </c>
      <c r="F18" s="3">
        <f>IFERROR(INDEX('Data Source'!$S:$S,MATCH(16,'Data Source'!$T:$T,0)),"")</f>
        <v/>
      </c>
    </row>
    <row r="19">
      <c r="A19" s="3">
        <f>IFERROR(IF(COUNTIF('Data Source'!$T:$T,17)&gt;0,17,""),"")</f>
        <v/>
      </c>
      <c r="B19">
        <f>IFERROR(INDEX('Data Source'!$B:$B,MATCH(17,'Data Source'!$T:$T,0)),"")</f>
        <v/>
      </c>
      <c r="C19" s="3">
        <f>IFERROR(INDEX('Data Source'!$P:$P,MATCH(17,'Data Source'!$T:$T,0)),"")</f>
        <v/>
      </c>
      <c r="D19" s="5">
        <f>IFERROR(INDEX('Data Source'!$Q:$Q,MATCH(17,'Data Source'!$T:$T,0)),"")</f>
        <v/>
      </c>
      <c r="E19" s="5">
        <f>IFERROR(INDEX('Data Source'!$R:$R,MATCH(17,'Data Source'!$T:$T,0)),"")</f>
        <v/>
      </c>
      <c r="F19" s="3">
        <f>IFERROR(INDEX('Data Source'!$S:$S,MATCH(17,'Data Source'!$T:$T,0)),"")</f>
        <v/>
      </c>
    </row>
    <row r="20">
      <c r="A20" s="3">
        <f>IFERROR(IF(COUNTIF('Data Source'!$T:$T,18)&gt;0,18,""),"")</f>
        <v/>
      </c>
      <c r="B20">
        <f>IFERROR(INDEX('Data Source'!$B:$B,MATCH(18,'Data Source'!$T:$T,0)),"")</f>
        <v/>
      </c>
      <c r="C20" s="3">
        <f>IFERROR(INDEX('Data Source'!$P:$P,MATCH(18,'Data Source'!$T:$T,0)),"")</f>
        <v/>
      </c>
      <c r="D20" s="5">
        <f>IFERROR(INDEX('Data Source'!$Q:$Q,MATCH(18,'Data Source'!$T:$T,0)),"")</f>
        <v/>
      </c>
      <c r="E20" s="5">
        <f>IFERROR(INDEX('Data Source'!$R:$R,MATCH(18,'Data Source'!$T:$T,0)),"")</f>
        <v/>
      </c>
      <c r="F20" s="3">
        <f>IFERROR(INDEX('Data Source'!$S:$S,MATCH(18,'Data Source'!$T:$T,0)),"")</f>
        <v/>
      </c>
    </row>
    <row r="21">
      <c r="A21" s="3">
        <f>IFERROR(IF(COUNTIF('Data Source'!$T:$T,19)&gt;0,19,""),"")</f>
        <v/>
      </c>
      <c r="B21">
        <f>IFERROR(INDEX('Data Source'!$B:$B,MATCH(19,'Data Source'!$T:$T,0)),"")</f>
        <v/>
      </c>
      <c r="C21" s="3">
        <f>IFERROR(INDEX('Data Source'!$P:$P,MATCH(19,'Data Source'!$T:$T,0)),"")</f>
        <v/>
      </c>
      <c r="D21" s="5">
        <f>IFERROR(INDEX('Data Source'!$Q:$Q,MATCH(19,'Data Source'!$T:$T,0)),"")</f>
        <v/>
      </c>
      <c r="E21" s="5">
        <f>IFERROR(INDEX('Data Source'!$R:$R,MATCH(19,'Data Source'!$T:$T,0)),"")</f>
        <v/>
      </c>
      <c r="F21" s="3">
        <f>IFERROR(INDEX('Data Source'!$S:$S,MATCH(19,'Data Source'!$T:$T,0)),"")</f>
        <v/>
      </c>
    </row>
    <row r="22">
      <c r="A22" s="3">
        <f>IFERROR(IF(COUNTIF('Data Source'!$T:$T,20)&gt;0,20,""),"")</f>
        <v/>
      </c>
      <c r="B22">
        <f>IFERROR(INDEX('Data Source'!$B:$B,MATCH(20,'Data Source'!$T:$T,0)),"")</f>
        <v/>
      </c>
      <c r="C22" s="3">
        <f>IFERROR(INDEX('Data Source'!$P:$P,MATCH(20,'Data Source'!$T:$T,0)),"")</f>
        <v/>
      </c>
      <c r="D22" s="5">
        <f>IFERROR(INDEX('Data Source'!$Q:$Q,MATCH(20,'Data Source'!$T:$T,0)),"")</f>
        <v/>
      </c>
      <c r="E22" s="5">
        <f>IFERROR(INDEX('Data Source'!$R:$R,MATCH(20,'Data Source'!$T:$T,0)),"")</f>
        <v/>
      </c>
      <c r="F22" s="3">
        <f>IFERROR(INDEX('Data Source'!$S:$S,MATCH(20,'Data Source'!$T:$T,0)),"")</f>
        <v/>
      </c>
    </row>
    <row r="23">
      <c r="A23" s="3">
        <f>IFERROR(IF(COUNTIF('Data Source'!$T:$T,21)&gt;0,21,""),"")</f>
        <v/>
      </c>
      <c r="B23">
        <f>IFERROR(INDEX('Data Source'!$B:$B,MATCH(21,'Data Source'!$T:$T,0)),"")</f>
        <v/>
      </c>
      <c r="C23" s="3">
        <f>IFERROR(INDEX('Data Source'!$P:$P,MATCH(21,'Data Source'!$T:$T,0)),"")</f>
        <v/>
      </c>
      <c r="D23" s="5">
        <f>IFERROR(INDEX('Data Source'!$Q:$Q,MATCH(21,'Data Source'!$T:$T,0)),"")</f>
        <v/>
      </c>
      <c r="E23" s="5">
        <f>IFERROR(INDEX('Data Source'!$R:$R,MATCH(21,'Data Source'!$T:$T,0)),"")</f>
        <v/>
      </c>
      <c r="F23" s="3">
        <f>IFERROR(INDEX('Data Source'!$S:$S,MATCH(21,'Data Source'!$T:$T,0)),"")</f>
        <v/>
      </c>
    </row>
    <row r="24">
      <c r="A24" s="3">
        <f>IFERROR(IF(COUNTIF('Data Source'!$T:$T,22)&gt;0,22,""),"")</f>
        <v/>
      </c>
      <c r="B24">
        <f>IFERROR(INDEX('Data Source'!$B:$B,MATCH(22,'Data Source'!$T:$T,0)),"")</f>
        <v/>
      </c>
      <c r="C24" s="3">
        <f>IFERROR(INDEX('Data Source'!$P:$P,MATCH(22,'Data Source'!$T:$T,0)),"")</f>
        <v/>
      </c>
      <c r="D24" s="5">
        <f>IFERROR(INDEX('Data Source'!$Q:$Q,MATCH(22,'Data Source'!$T:$T,0)),"")</f>
        <v/>
      </c>
      <c r="E24" s="5">
        <f>IFERROR(INDEX('Data Source'!$R:$R,MATCH(22,'Data Source'!$T:$T,0)),"")</f>
        <v/>
      </c>
      <c r="F24" s="3">
        <f>IFERROR(INDEX('Data Source'!$S:$S,MATCH(22,'Data Source'!$T:$T,0)),"")</f>
        <v/>
      </c>
    </row>
    <row r="25">
      <c r="A25" s="3">
        <f>IFERROR(IF(COUNTIF('Data Source'!$T:$T,23)&gt;0,23,""),"")</f>
        <v/>
      </c>
      <c r="B25">
        <f>IFERROR(INDEX('Data Source'!$B:$B,MATCH(23,'Data Source'!$T:$T,0)),"")</f>
        <v/>
      </c>
      <c r="C25" s="3">
        <f>IFERROR(INDEX('Data Source'!$P:$P,MATCH(23,'Data Source'!$T:$T,0)),"")</f>
        <v/>
      </c>
      <c r="D25" s="5">
        <f>IFERROR(INDEX('Data Source'!$Q:$Q,MATCH(23,'Data Source'!$T:$T,0)),"")</f>
        <v/>
      </c>
      <c r="E25" s="5">
        <f>IFERROR(INDEX('Data Source'!$R:$R,MATCH(23,'Data Source'!$T:$T,0)),"")</f>
        <v/>
      </c>
      <c r="F25" s="3">
        <f>IFERROR(INDEX('Data Source'!$S:$S,MATCH(23,'Data Source'!$T:$T,0)),"")</f>
        <v/>
      </c>
    </row>
    <row r="26">
      <c r="A26" s="3">
        <f>IFERROR(IF(COUNTIF('Data Source'!$T:$T,24)&gt;0,24,""),"")</f>
        <v/>
      </c>
      <c r="B26">
        <f>IFERROR(INDEX('Data Source'!$B:$B,MATCH(24,'Data Source'!$T:$T,0)),"")</f>
        <v/>
      </c>
      <c r="C26" s="3">
        <f>IFERROR(INDEX('Data Source'!$P:$P,MATCH(24,'Data Source'!$T:$T,0)),"")</f>
        <v/>
      </c>
      <c r="D26" s="5">
        <f>IFERROR(INDEX('Data Source'!$Q:$Q,MATCH(24,'Data Source'!$T:$T,0)),"")</f>
        <v/>
      </c>
      <c r="E26" s="5">
        <f>IFERROR(INDEX('Data Source'!$R:$R,MATCH(24,'Data Source'!$T:$T,0)),"")</f>
        <v/>
      </c>
      <c r="F26" s="3">
        <f>IFERROR(INDEX('Data Source'!$S:$S,MATCH(24,'Data Source'!$T:$T,0)),"")</f>
        <v/>
      </c>
    </row>
    <row r="27">
      <c r="A27" s="3">
        <f>IFERROR(IF(COUNTIF('Data Source'!$T:$T,25)&gt;0,25,""),"")</f>
        <v/>
      </c>
      <c r="B27">
        <f>IFERROR(INDEX('Data Source'!$B:$B,MATCH(25,'Data Source'!$T:$T,0)),"")</f>
        <v/>
      </c>
      <c r="C27" s="3">
        <f>IFERROR(INDEX('Data Source'!$P:$P,MATCH(25,'Data Source'!$T:$T,0)),"")</f>
        <v/>
      </c>
      <c r="D27" s="5">
        <f>IFERROR(INDEX('Data Source'!$Q:$Q,MATCH(25,'Data Source'!$T:$T,0)),"")</f>
        <v/>
      </c>
      <c r="E27" s="5">
        <f>IFERROR(INDEX('Data Source'!$R:$R,MATCH(25,'Data Source'!$T:$T,0)),"")</f>
        <v/>
      </c>
      <c r="F27" s="3">
        <f>IFERROR(INDEX('Data Source'!$S:$S,MATCH(25,'Data Source'!$T:$T,0)),"")</f>
        <v/>
      </c>
    </row>
    <row r="28">
      <c r="A28" s="3">
        <f>IFERROR(IF(COUNTIF('Data Source'!$T:$T,26)&gt;0,26,""),"")</f>
        <v/>
      </c>
      <c r="B28">
        <f>IFERROR(INDEX('Data Source'!$B:$B,MATCH(26,'Data Source'!$T:$T,0)),"")</f>
        <v/>
      </c>
      <c r="C28" s="3">
        <f>IFERROR(INDEX('Data Source'!$P:$P,MATCH(26,'Data Source'!$T:$T,0)),"")</f>
        <v/>
      </c>
      <c r="D28" s="5">
        <f>IFERROR(INDEX('Data Source'!$Q:$Q,MATCH(26,'Data Source'!$T:$T,0)),"")</f>
        <v/>
      </c>
      <c r="E28" s="5">
        <f>IFERROR(INDEX('Data Source'!$R:$R,MATCH(26,'Data Source'!$T:$T,0)),"")</f>
        <v/>
      </c>
      <c r="F28" s="3">
        <f>IFERROR(INDEX('Data Source'!$S:$S,MATCH(26,'Data Source'!$T:$T,0)),"")</f>
        <v/>
      </c>
    </row>
    <row r="29">
      <c r="A29" s="3">
        <f>IFERROR(IF(COUNTIF('Data Source'!$T:$T,27)&gt;0,27,""),"")</f>
        <v/>
      </c>
      <c r="B29">
        <f>IFERROR(INDEX('Data Source'!$B:$B,MATCH(27,'Data Source'!$T:$T,0)),"")</f>
        <v/>
      </c>
      <c r="C29" s="3">
        <f>IFERROR(INDEX('Data Source'!$P:$P,MATCH(27,'Data Source'!$T:$T,0)),"")</f>
        <v/>
      </c>
      <c r="D29" s="5">
        <f>IFERROR(INDEX('Data Source'!$Q:$Q,MATCH(27,'Data Source'!$T:$T,0)),"")</f>
        <v/>
      </c>
      <c r="E29" s="5">
        <f>IFERROR(INDEX('Data Source'!$R:$R,MATCH(27,'Data Source'!$T:$T,0)),"")</f>
        <v/>
      </c>
      <c r="F29" s="3">
        <f>IFERROR(INDEX('Data Source'!$S:$S,MATCH(27,'Data Source'!$T:$T,0)),"")</f>
        <v/>
      </c>
    </row>
    <row r="30">
      <c r="A30" s="3">
        <f>IFERROR(IF(COUNTIF('Data Source'!$T:$T,28)&gt;0,28,""),"")</f>
        <v/>
      </c>
      <c r="B30">
        <f>IFERROR(INDEX('Data Source'!$B:$B,MATCH(28,'Data Source'!$T:$T,0)),"")</f>
        <v/>
      </c>
      <c r="C30" s="3">
        <f>IFERROR(INDEX('Data Source'!$P:$P,MATCH(28,'Data Source'!$T:$T,0)),"")</f>
        <v/>
      </c>
      <c r="D30" s="5">
        <f>IFERROR(INDEX('Data Source'!$Q:$Q,MATCH(28,'Data Source'!$T:$T,0)),"")</f>
        <v/>
      </c>
      <c r="E30" s="5">
        <f>IFERROR(INDEX('Data Source'!$R:$R,MATCH(28,'Data Source'!$T:$T,0)),"")</f>
        <v/>
      </c>
      <c r="F30" s="3">
        <f>IFERROR(INDEX('Data Source'!$S:$S,MATCH(28,'Data Source'!$T:$T,0)),"")</f>
        <v/>
      </c>
    </row>
    <row r="31">
      <c r="A31" s="3">
        <f>IFERROR(IF(COUNTIF('Data Source'!$T:$T,29)&gt;0,29,""),"")</f>
        <v/>
      </c>
      <c r="B31">
        <f>IFERROR(INDEX('Data Source'!$B:$B,MATCH(29,'Data Source'!$T:$T,0)),"")</f>
        <v/>
      </c>
      <c r="C31" s="3">
        <f>IFERROR(INDEX('Data Source'!$P:$P,MATCH(29,'Data Source'!$T:$T,0)),"")</f>
        <v/>
      </c>
      <c r="D31" s="5">
        <f>IFERROR(INDEX('Data Source'!$Q:$Q,MATCH(29,'Data Source'!$T:$T,0)),"")</f>
        <v/>
      </c>
      <c r="E31" s="5">
        <f>IFERROR(INDEX('Data Source'!$R:$R,MATCH(29,'Data Source'!$T:$T,0)),"")</f>
        <v/>
      </c>
      <c r="F31" s="3">
        <f>IFERROR(INDEX('Data Source'!$S:$S,MATCH(29,'Data Source'!$T:$T,0)),"")</f>
        <v/>
      </c>
    </row>
    <row r="32">
      <c r="A32" s="3">
        <f>IFERROR(IF(COUNTIF('Data Source'!$T:$T,30)&gt;0,30,""),"")</f>
        <v/>
      </c>
      <c r="B32">
        <f>IFERROR(INDEX('Data Source'!$B:$B,MATCH(30,'Data Source'!$T:$T,0)),"")</f>
        <v/>
      </c>
      <c r="C32" s="3">
        <f>IFERROR(INDEX('Data Source'!$P:$P,MATCH(30,'Data Source'!$T:$T,0)),"")</f>
        <v/>
      </c>
      <c r="D32" s="5">
        <f>IFERROR(INDEX('Data Source'!$Q:$Q,MATCH(30,'Data Source'!$T:$T,0)),"")</f>
        <v/>
      </c>
      <c r="E32" s="5">
        <f>IFERROR(INDEX('Data Source'!$R:$R,MATCH(30,'Data Source'!$T:$T,0)),"")</f>
        <v/>
      </c>
      <c r="F32" s="3">
        <f>IFERROR(INDEX('Data Source'!$S:$S,MATCH(30,'Data Source'!$T:$T,0)),"")</f>
        <v/>
      </c>
    </row>
    <row r="33">
      <c r="A33" s="3">
        <f>IFERROR(IF(COUNTIF('Data Source'!$T:$T,31)&gt;0,31,""),"")</f>
        <v/>
      </c>
      <c r="B33">
        <f>IFERROR(INDEX('Data Source'!$B:$B,MATCH(31,'Data Source'!$T:$T,0)),"")</f>
        <v/>
      </c>
      <c r="C33" s="3">
        <f>IFERROR(INDEX('Data Source'!$P:$P,MATCH(31,'Data Source'!$T:$T,0)),"")</f>
        <v/>
      </c>
      <c r="D33" s="5">
        <f>IFERROR(INDEX('Data Source'!$Q:$Q,MATCH(31,'Data Source'!$T:$T,0)),"")</f>
        <v/>
      </c>
      <c r="E33" s="5">
        <f>IFERROR(INDEX('Data Source'!$R:$R,MATCH(31,'Data Source'!$T:$T,0)),"")</f>
        <v/>
      </c>
      <c r="F33" s="3">
        <f>IFERROR(INDEX('Data Source'!$S:$S,MATCH(31,'Data Source'!$T:$T,0)),"")</f>
        <v/>
      </c>
    </row>
    <row r="34">
      <c r="A34" s="3">
        <f>IFERROR(IF(COUNTIF('Data Source'!$T:$T,32)&gt;0,32,""),"")</f>
        <v/>
      </c>
      <c r="B34">
        <f>IFERROR(INDEX('Data Source'!$B:$B,MATCH(32,'Data Source'!$T:$T,0)),"")</f>
        <v/>
      </c>
      <c r="C34" s="3">
        <f>IFERROR(INDEX('Data Source'!$P:$P,MATCH(32,'Data Source'!$T:$T,0)),"")</f>
        <v/>
      </c>
      <c r="D34" s="5">
        <f>IFERROR(INDEX('Data Source'!$Q:$Q,MATCH(32,'Data Source'!$T:$T,0)),"")</f>
        <v/>
      </c>
      <c r="E34" s="5">
        <f>IFERROR(INDEX('Data Source'!$R:$R,MATCH(32,'Data Source'!$T:$T,0)),"")</f>
        <v/>
      </c>
      <c r="F34" s="3">
        <f>IFERROR(INDEX('Data Source'!$S:$S,MATCH(32,'Data Source'!$T:$T,0)),"")</f>
        <v/>
      </c>
    </row>
    <row r="35">
      <c r="A35" s="3">
        <f>IFERROR(IF(COUNTIF('Data Source'!$T:$T,33)&gt;0,33,""),"")</f>
        <v/>
      </c>
      <c r="B35">
        <f>IFERROR(INDEX('Data Source'!$B:$B,MATCH(33,'Data Source'!$T:$T,0)),"")</f>
        <v/>
      </c>
      <c r="C35" s="3">
        <f>IFERROR(INDEX('Data Source'!$P:$P,MATCH(33,'Data Source'!$T:$T,0)),"")</f>
        <v/>
      </c>
      <c r="D35" s="5">
        <f>IFERROR(INDEX('Data Source'!$Q:$Q,MATCH(33,'Data Source'!$T:$T,0)),"")</f>
        <v/>
      </c>
      <c r="E35" s="5">
        <f>IFERROR(INDEX('Data Source'!$R:$R,MATCH(33,'Data Source'!$T:$T,0)),"")</f>
        <v/>
      </c>
      <c r="F35" s="3">
        <f>IFERROR(INDEX('Data Source'!$S:$S,MATCH(33,'Data Source'!$T:$T,0)),"")</f>
        <v/>
      </c>
    </row>
    <row r="36">
      <c r="A36" s="3">
        <f>IFERROR(IF(COUNTIF('Data Source'!$T:$T,34)&gt;0,34,""),"")</f>
        <v/>
      </c>
      <c r="B36">
        <f>IFERROR(INDEX('Data Source'!$B:$B,MATCH(34,'Data Source'!$T:$T,0)),"")</f>
        <v/>
      </c>
      <c r="C36" s="3">
        <f>IFERROR(INDEX('Data Source'!$P:$P,MATCH(34,'Data Source'!$T:$T,0)),"")</f>
        <v/>
      </c>
      <c r="D36" s="5">
        <f>IFERROR(INDEX('Data Source'!$Q:$Q,MATCH(34,'Data Source'!$T:$T,0)),"")</f>
        <v/>
      </c>
      <c r="E36" s="5">
        <f>IFERROR(INDEX('Data Source'!$R:$R,MATCH(34,'Data Source'!$T:$T,0)),"")</f>
        <v/>
      </c>
      <c r="F36" s="3">
        <f>IFERROR(INDEX('Data Source'!$S:$S,MATCH(34,'Data Source'!$T:$T,0)),"")</f>
        <v/>
      </c>
    </row>
    <row r="37">
      <c r="A37" s="3">
        <f>IFERROR(IF(COUNTIF('Data Source'!$T:$T,35)&gt;0,35,""),"")</f>
        <v/>
      </c>
      <c r="B37">
        <f>IFERROR(INDEX('Data Source'!$B:$B,MATCH(35,'Data Source'!$T:$T,0)),"")</f>
        <v/>
      </c>
      <c r="C37" s="3">
        <f>IFERROR(INDEX('Data Source'!$P:$P,MATCH(35,'Data Source'!$T:$T,0)),"")</f>
        <v/>
      </c>
      <c r="D37" s="5">
        <f>IFERROR(INDEX('Data Source'!$Q:$Q,MATCH(35,'Data Source'!$T:$T,0)),"")</f>
        <v/>
      </c>
      <c r="E37" s="5">
        <f>IFERROR(INDEX('Data Source'!$R:$R,MATCH(35,'Data Source'!$T:$T,0)),"")</f>
        <v/>
      </c>
      <c r="F37" s="3">
        <f>IFERROR(INDEX('Data Source'!$S:$S,MATCH(35,'Data Source'!$T:$T,0)),"")</f>
        <v/>
      </c>
    </row>
    <row r="38">
      <c r="A38" s="3">
        <f>IFERROR(IF(COUNTIF('Data Source'!$T:$T,36)&gt;0,36,""),"")</f>
        <v/>
      </c>
      <c r="B38">
        <f>IFERROR(INDEX('Data Source'!$B:$B,MATCH(36,'Data Source'!$T:$T,0)),"")</f>
        <v/>
      </c>
      <c r="C38" s="3">
        <f>IFERROR(INDEX('Data Source'!$P:$P,MATCH(36,'Data Source'!$T:$T,0)),"")</f>
        <v/>
      </c>
      <c r="D38" s="5">
        <f>IFERROR(INDEX('Data Source'!$Q:$Q,MATCH(36,'Data Source'!$T:$T,0)),"")</f>
        <v/>
      </c>
      <c r="E38" s="5">
        <f>IFERROR(INDEX('Data Source'!$R:$R,MATCH(36,'Data Source'!$T:$T,0)),"")</f>
        <v/>
      </c>
      <c r="F38" s="3">
        <f>IFERROR(INDEX('Data Source'!$S:$S,MATCH(36,'Data Source'!$T:$T,0)),"")</f>
        <v/>
      </c>
    </row>
    <row r="39">
      <c r="A39" s="3">
        <f>IFERROR(IF(COUNTIF('Data Source'!$T:$T,37)&gt;0,37,""),"")</f>
        <v/>
      </c>
      <c r="B39">
        <f>IFERROR(INDEX('Data Source'!$B:$B,MATCH(37,'Data Source'!$T:$T,0)),"")</f>
        <v/>
      </c>
      <c r="C39" s="3">
        <f>IFERROR(INDEX('Data Source'!$P:$P,MATCH(37,'Data Source'!$T:$T,0)),"")</f>
        <v/>
      </c>
      <c r="D39" s="5">
        <f>IFERROR(INDEX('Data Source'!$Q:$Q,MATCH(37,'Data Source'!$T:$T,0)),"")</f>
        <v/>
      </c>
      <c r="E39" s="5">
        <f>IFERROR(INDEX('Data Source'!$R:$R,MATCH(37,'Data Source'!$T:$T,0)),"")</f>
        <v/>
      </c>
      <c r="F39" s="3">
        <f>IFERROR(INDEX('Data Source'!$S:$S,MATCH(37,'Data Source'!$T:$T,0)),"")</f>
        <v/>
      </c>
    </row>
    <row r="40">
      <c r="A40" s="3">
        <f>IFERROR(IF(COUNTIF('Data Source'!$T:$T,38)&gt;0,38,""),"")</f>
        <v/>
      </c>
      <c r="B40">
        <f>IFERROR(INDEX('Data Source'!$B:$B,MATCH(38,'Data Source'!$T:$T,0)),"")</f>
        <v/>
      </c>
      <c r="C40" s="3">
        <f>IFERROR(INDEX('Data Source'!$P:$P,MATCH(38,'Data Source'!$T:$T,0)),"")</f>
        <v/>
      </c>
      <c r="D40" s="5">
        <f>IFERROR(INDEX('Data Source'!$Q:$Q,MATCH(38,'Data Source'!$T:$T,0)),"")</f>
        <v/>
      </c>
      <c r="E40" s="5">
        <f>IFERROR(INDEX('Data Source'!$R:$R,MATCH(38,'Data Source'!$T:$T,0)),"")</f>
        <v/>
      </c>
      <c r="F40" s="3">
        <f>IFERROR(INDEX('Data Source'!$S:$S,MATCH(38,'Data Source'!$T:$T,0)),"")</f>
        <v/>
      </c>
    </row>
    <row r="41">
      <c r="A41" s="3">
        <f>IFERROR(IF(COUNTIF('Data Source'!$T:$T,39)&gt;0,39,""),"")</f>
        <v/>
      </c>
      <c r="B41">
        <f>IFERROR(INDEX('Data Source'!$B:$B,MATCH(39,'Data Source'!$T:$T,0)),"")</f>
        <v/>
      </c>
      <c r="C41" s="3">
        <f>IFERROR(INDEX('Data Source'!$P:$P,MATCH(39,'Data Source'!$T:$T,0)),"")</f>
        <v/>
      </c>
      <c r="D41" s="5">
        <f>IFERROR(INDEX('Data Source'!$Q:$Q,MATCH(39,'Data Source'!$T:$T,0)),"")</f>
        <v/>
      </c>
      <c r="E41" s="5">
        <f>IFERROR(INDEX('Data Source'!$R:$R,MATCH(39,'Data Source'!$T:$T,0)),"")</f>
        <v/>
      </c>
      <c r="F41" s="3">
        <f>IFERROR(INDEX('Data Source'!$S:$S,MATCH(39,'Data Source'!$T:$T,0)),"")</f>
        <v/>
      </c>
    </row>
    <row r="42">
      <c r="A42" s="3">
        <f>IFERROR(IF(COUNTIF('Data Source'!$T:$T,40)&gt;0,40,""),"")</f>
        <v/>
      </c>
      <c r="B42">
        <f>IFERROR(INDEX('Data Source'!$B:$B,MATCH(40,'Data Source'!$T:$T,0)),"")</f>
        <v/>
      </c>
      <c r="C42" s="3">
        <f>IFERROR(INDEX('Data Source'!$P:$P,MATCH(40,'Data Source'!$T:$T,0)),"")</f>
        <v/>
      </c>
      <c r="D42" s="5">
        <f>IFERROR(INDEX('Data Source'!$Q:$Q,MATCH(40,'Data Source'!$T:$T,0)),"")</f>
        <v/>
      </c>
      <c r="E42" s="5">
        <f>IFERROR(INDEX('Data Source'!$R:$R,MATCH(40,'Data Source'!$T:$T,0)),"")</f>
        <v/>
      </c>
      <c r="F42" s="3">
        <f>IFERROR(INDEX('Data Source'!$S:$S,MATCH(40,'Data Source'!$T:$T,0)),"")</f>
        <v/>
      </c>
    </row>
    <row r="43">
      <c r="A43" s="3">
        <f>IFERROR(IF(COUNTIF('Data Source'!$T:$T,41)&gt;0,41,""),"")</f>
        <v/>
      </c>
      <c r="B43">
        <f>IFERROR(INDEX('Data Source'!$B:$B,MATCH(41,'Data Source'!$T:$T,0)),"")</f>
        <v/>
      </c>
      <c r="C43" s="3">
        <f>IFERROR(INDEX('Data Source'!$P:$P,MATCH(41,'Data Source'!$T:$T,0)),"")</f>
        <v/>
      </c>
      <c r="D43" s="5">
        <f>IFERROR(INDEX('Data Source'!$Q:$Q,MATCH(41,'Data Source'!$T:$T,0)),"")</f>
        <v/>
      </c>
      <c r="E43" s="5">
        <f>IFERROR(INDEX('Data Source'!$R:$R,MATCH(41,'Data Source'!$T:$T,0)),"")</f>
        <v/>
      </c>
      <c r="F43" s="3">
        <f>IFERROR(INDEX('Data Source'!$S:$S,MATCH(41,'Data Source'!$T:$T,0)),"")</f>
        <v/>
      </c>
    </row>
    <row r="44">
      <c r="A44" s="3">
        <f>IFERROR(IF(COUNTIF('Data Source'!$T:$T,42)&gt;0,42,""),"")</f>
        <v/>
      </c>
      <c r="B44">
        <f>IFERROR(INDEX('Data Source'!$B:$B,MATCH(42,'Data Source'!$T:$T,0)),"")</f>
        <v/>
      </c>
      <c r="C44" s="3">
        <f>IFERROR(INDEX('Data Source'!$P:$P,MATCH(42,'Data Source'!$T:$T,0)),"")</f>
        <v/>
      </c>
      <c r="D44" s="5">
        <f>IFERROR(INDEX('Data Source'!$Q:$Q,MATCH(42,'Data Source'!$T:$T,0)),"")</f>
        <v/>
      </c>
      <c r="E44" s="5">
        <f>IFERROR(INDEX('Data Source'!$R:$R,MATCH(42,'Data Source'!$T:$T,0)),"")</f>
        <v/>
      </c>
      <c r="F44" s="3">
        <f>IFERROR(INDEX('Data Source'!$S:$S,MATCH(42,'Data Source'!$T:$T,0)),"")</f>
        <v/>
      </c>
    </row>
    <row r="45">
      <c r="A45" s="3">
        <f>IFERROR(IF(COUNTIF('Data Source'!$T:$T,43)&gt;0,43,""),"")</f>
        <v/>
      </c>
      <c r="B45">
        <f>IFERROR(INDEX('Data Source'!$B:$B,MATCH(43,'Data Source'!$T:$T,0)),"")</f>
        <v/>
      </c>
      <c r="C45" s="3">
        <f>IFERROR(INDEX('Data Source'!$P:$P,MATCH(43,'Data Source'!$T:$T,0)),"")</f>
        <v/>
      </c>
      <c r="D45" s="5">
        <f>IFERROR(INDEX('Data Source'!$Q:$Q,MATCH(43,'Data Source'!$T:$T,0)),"")</f>
        <v/>
      </c>
      <c r="E45" s="5">
        <f>IFERROR(INDEX('Data Source'!$R:$R,MATCH(43,'Data Source'!$T:$T,0)),"")</f>
        <v/>
      </c>
      <c r="F45" s="3">
        <f>IFERROR(INDEX('Data Source'!$S:$S,MATCH(43,'Data Source'!$T:$T,0)),"")</f>
        <v/>
      </c>
    </row>
    <row r="46">
      <c r="A46" s="3">
        <f>IFERROR(IF(COUNTIF('Data Source'!$T:$T,44)&gt;0,44,""),"")</f>
        <v/>
      </c>
      <c r="B46">
        <f>IFERROR(INDEX('Data Source'!$B:$B,MATCH(44,'Data Source'!$T:$T,0)),"")</f>
        <v/>
      </c>
      <c r="C46" s="3">
        <f>IFERROR(INDEX('Data Source'!$P:$P,MATCH(44,'Data Source'!$T:$T,0)),"")</f>
        <v/>
      </c>
      <c r="D46" s="5">
        <f>IFERROR(INDEX('Data Source'!$Q:$Q,MATCH(44,'Data Source'!$T:$T,0)),"")</f>
        <v/>
      </c>
      <c r="E46" s="5">
        <f>IFERROR(INDEX('Data Source'!$R:$R,MATCH(44,'Data Source'!$T:$T,0)),"")</f>
        <v/>
      </c>
      <c r="F46" s="3">
        <f>IFERROR(INDEX('Data Source'!$S:$S,MATCH(44,'Data Source'!$T:$T,0)),"")</f>
        <v/>
      </c>
    </row>
    <row r="47">
      <c r="A47" s="3">
        <f>IFERROR(IF(COUNTIF('Data Source'!$T:$T,45)&gt;0,45,""),"")</f>
        <v/>
      </c>
      <c r="B47">
        <f>IFERROR(INDEX('Data Source'!$B:$B,MATCH(45,'Data Source'!$T:$T,0)),"")</f>
        <v/>
      </c>
      <c r="C47" s="3">
        <f>IFERROR(INDEX('Data Source'!$P:$P,MATCH(45,'Data Source'!$T:$T,0)),"")</f>
        <v/>
      </c>
      <c r="D47" s="5">
        <f>IFERROR(INDEX('Data Source'!$Q:$Q,MATCH(45,'Data Source'!$T:$T,0)),"")</f>
        <v/>
      </c>
      <c r="E47" s="5">
        <f>IFERROR(INDEX('Data Source'!$R:$R,MATCH(45,'Data Source'!$T:$T,0)),"")</f>
        <v/>
      </c>
      <c r="F47" s="3">
        <f>IFERROR(INDEX('Data Source'!$S:$S,MATCH(45,'Data Source'!$T:$T,0)),"")</f>
        <v/>
      </c>
    </row>
    <row r="48">
      <c r="A48" s="3">
        <f>IFERROR(IF(COUNTIF('Data Source'!$T:$T,46)&gt;0,46,""),"")</f>
        <v/>
      </c>
      <c r="B48">
        <f>IFERROR(INDEX('Data Source'!$B:$B,MATCH(46,'Data Source'!$T:$T,0)),"")</f>
        <v/>
      </c>
      <c r="C48" s="3">
        <f>IFERROR(INDEX('Data Source'!$P:$P,MATCH(46,'Data Source'!$T:$T,0)),"")</f>
        <v/>
      </c>
      <c r="D48" s="5">
        <f>IFERROR(INDEX('Data Source'!$Q:$Q,MATCH(46,'Data Source'!$T:$T,0)),"")</f>
        <v/>
      </c>
      <c r="E48" s="5">
        <f>IFERROR(INDEX('Data Source'!$R:$R,MATCH(46,'Data Source'!$T:$T,0)),"")</f>
        <v/>
      </c>
      <c r="F48" s="3">
        <f>IFERROR(INDEX('Data Source'!$S:$S,MATCH(46,'Data Source'!$T:$T,0)),"")</f>
        <v/>
      </c>
    </row>
    <row r="49">
      <c r="A49" s="3">
        <f>IFERROR(IF(COUNTIF('Data Source'!$T:$T,47)&gt;0,47,""),"")</f>
        <v/>
      </c>
      <c r="B49">
        <f>IFERROR(INDEX('Data Source'!$B:$B,MATCH(47,'Data Source'!$T:$T,0)),"")</f>
        <v/>
      </c>
      <c r="C49" s="3">
        <f>IFERROR(INDEX('Data Source'!$P:$P,MATCH(47,'Data Source'!$T:$T,0)),"")</f>
        <v/>
      </c>
      <c r="D49" s="5">
        <f>IFERROR(INDEX('Data Source'!$Q:$Q,MATCH(47,'Data Source'!$T:$T,0)),"")</f>
        <v/>
      </c>
      <c r="E49" s="5">
        <f>IFERROR(INDEX('Data Source'!$R:$R,MATCH(47,'Data Source'!$T:$T,0)),"")</f>
        <v/>
      </c>
      <c r="F49" s="3">
        <f>IFERROR(INDEX('Data Source'!$S:$S,MATCH(47,'Data Source'!$T:$T,0)),"")</f>
        <v/>
      </c>
    </row>
    <row r="50">
      <c r="A50" s="3">
        <f>IFERROR(IF(COUNTIF('Data Source'!$T:$T,48)&gt;0,48,""),"")</f>
        <v/>
      </c>
      <c r="B50">
        <f>IFERROR(INDEX('Data Source'!$B:$B,MATCH(48,'Data Source'!$T:$T,0)),"")</f>
        <v/>
      </c>
      <c r="C50" s="3">
        <f>IFERROR(INDEX('Data Source'!$P:$P,MATCH(48,'Data Source'!$T:$T,0)),"")</f>
        <v/>
      </c>
      <c r="D50" s="5">
        <f>IFERROR(INDEX('Data Source'!$Q:$Q,MATCH(48,'Data Source'!$T:$T,0)),"")</f>
        <v/>
      </c>
      <c r="E50" s="5">
        <f>IFERROR(INDEX('Data Source'!$R:$R,MATCH(48,'Data Source'!$T:$T,0)),"")</f>
        <v/>
      </c>
      <c r="F50" s="3">
        <f>IFERROR(INDEX('Data Source'!$S:$S,MATCH(48,'Data Source'!$T:$T,0)),"")</f>
        <v/>
      </c>
    </row>
    <row r="51">
      <c r="A51" s="3">
        <f>IFERROR(IF(COUNTIF('Data Source'!$T:$T,49)&gt;0,49,""),"")</f>
        <v/>
      </c>
      <c r="B51">
        <f>IFERROR(INDEX('Data Source'!$B:$B,MATCH(49,'Data Source'!$T:$T,0)),"")</f>
        <v/>
      </c>
      <c r="C51" s="3">
        <f>IFERROR(INDEX('Data Source'!$P:$P,MATCH(49,'Data Source'!$T:$T,0)),"")</f>
        <v/>
      </c>
      <c r="D51" s="5">
        <f>IFERROR(INDEX('Data Source'!$Q:$Q,MATCH(49,'Data Source'!$T:$T,0)),"")</f>
        <v/>
      </c>
      <c r="E51" s="5">
        <f>IFERROR(INDEX('Data Source'!$R:$R,MATCH(49,'Data Source'!$T:$T,0)),"")</f>
        <v/>
      </c>
      <c r="F51" s="3">
        <f>IFERROR(INDEX('Data Source'!$S:$S,MATCH(49,'Data Source'!$T:$T,0)),"")</f>
        <v/>
      </c>
    </row>
    <row r="52">
      <c r="A52" s="3">
        <f>IFERROR(IF(COUNTIF('Data Source'!$T:$T,50)&gt;0,50,""),"")</f>
        <v/>
      </c>
      <c r="B52">
        <f>IFERROR(INDEX('Data Source'!$B:$B,MATCH(50,'Data Source'!$T:$T,0)),"")</f>
        <v/>
      </c>
      <c r="C52" s="3">
        <f>IFERROR(INDEX('Data Source'!$P:$P,MATCH(50,'Data Source'!$T:$T,0)),"")</f>
        <v/>
      </c>
      <c r="D52" s="5">
        <f>IFERROR(INDEX('Data Source'!$Q:$Q,MATCH(50,'Data Source'!$T:$T,0)),"")</f>
        <v/>
      </c>
      <c r="E52" s="5">
        <f>IFERROR(INDEX('Data Source'!$R:$R,MATCH(50,'Data Source'!$T:$T,0)),"")</f>
        <v/>
      </c>
      <c r="F52" s="3">
        <f>IFERROR(INDEX('Data Source'!$S:$S,MATCH(50,'Data Source'!$T:$T,0)),"")</f>
        <v/>
      </c>
    </row>
    <row r="53">
      <c r="A53" s="3">
        <f>IFERROR(IF(COUNTIF('Data Source'!$T:$T,51)&gt;0,51,""),"")</f>
        <v/>
      </c>
      <c r="B53">
        <f>IFERROR(INDEX('Data Source'!$B:$B,MATCH(51,'Data Source'!$T:$T,0)),"")</f>
        <v/>
      </c>
      <c r="C53" s="3">
        <f>IFERROR(INDEX('Data Source'!$P:$P,MATCH(51,'Data Source'!$T:$T,0)),"")</f>
        <v/>
      </c>
      <c r="D53" s="5">
        <f>IFERROR(INDEX('Data Source'!$Q:$Q,MATCH(51,'Data Source'!$T:$T,0)),"")</f>
        <v/>
      </c>
      <c r="E53" s="5">
        <f>IFERROR(INDEX('Data Source'!$R:$R,MATCH(51,'Data Source'!$T:$T,0)),"")</f>
        <v/>
      </c>
      <c r="F53" s="3">
        <f>IFERROR(INDEX('Data Source'!$S:$S,MATCH(51,'Data Source'!$T:$T,0)),"")</f>
        <v/>
      </c>
    </row>
    <row r="54">
      <c r="A54" s="3">
        <f>IFERROR(IF(COUNTIF('Data Source'!$T:$T,52)&gt;0,52,""),"")</f>
        <v/>
      </c>
      <c r="B54">
        <f>IFERROR(INDEX('Data Source'!$B:$B,MATCH(52,'Data Source'!$T:$T,0)),"")</f>
        <v/>
      </c>
      <c r="C54" s="3">
        <f>IFERROR(INDEX('Data Source'!$P:$P,MATCH(52,'Data Source'!$T:$T,0)),"")</f>
        <v/>
      </c>
      <c r="D54" s="5">
        <f>IFERROR(INDEX('Data Source'!$Q:$Q,MATCH(52,'Data Source'!$T:$T,0)),"")</f>
        <v/>
      </c>
      <c r="E54" s="5">
        <f>IFERROR(INDEX('Data Source'!$R:$R,MATCH(52,'Data Source'!$T:$T,0)),"")</f>
        <v/>
      </c>
      <c r="F54" s="3">
        <f>IFERROR(INDEX('Data Source'!$S:$S,MATCH(52,'Data Source'!$T:$T,0)),"")</f>
        <v/>
      </c>
    </row>
    <row r="55">
      <c r="A55" s="3">
        <f>IFERROR(IF(COUNTIF('Data Source'!$T:$T,53)&gt;0,53,""),"")</f>
        <v/>
      </c>
      <c r="B55">
        <f>IFERROR(INDEX('Data Source'!$B:$B,MATCH(53,'Data Source'!$T:$T,0)),"")</f>
        <v/>
      </c>
      <c r="C55" s="3">
        <f>IFERROR(INDEX('Data Source'!$P:$P,MATCH(53,'Data Source'!$T:$T,0)),"")</f>
        <v/>
      </c>
      <c r="D55" s="5">
        <f>IFERROR(INDEX('Data Source'!$Q:$Q,MATCH(53,'Data Source'!$T:$T,0)),"")</f>
        <v/>
      </c>
      <c r="E55" s="5">
        <f>IFERROR(INDEX('Data Source'!$R:$R,MATCH(53,'Data Source'!$T:$T,0)),"")</f>
        <v/>
      </c>
      <c r="F55" s="3">
        <f>IFERROR(INDEX('Data Source'!$S:$S,MATCH(53,'Data Source'!$T:$T,0)),"")</f>
        <v/>
      </c>
    </row>
    <row r="56">
      <c r="A56" s="3">
        <f>IFERROR(IF(COUNTIF('Data Source'!$T:$T,54)&gt;0,54,""),"")</f>
        <v/>
      </c>
      <c r="B56">
        <f>IFERROR(INDEX('Data Source'!$B:$B,MATCH(54,'Data Source'!$T:$T,0)),"")</f>
        <v/>
      </c>
      <c r="C56" s="3">
        <f>IFERROR(INDEX('Data Source'!$P:$P,MATCH(54,'Data Source'!$T:$T,0)),"")</f>
        <v/>
      </c>
      <c r="D56" s="5">
        <f>IFERROR(INDEX('Data Source'!$Q:$Q,MATCH(54,'Data Source'!$T:$T,0)),"")</f>
        <v/>
      </c>
      <c r="E56" s="5">
        <f>IFERROR(INDEX('Data Source'!$R:$R,MATCH(54,'Data Source'!$T:$T,0)),"")</f>
        <v/>
      </c>
      <c r="F56" s="3">
        <f>IFERROR(INDEX('Data Source'!$S:$S,MATCH(54,'Data Source'!$T:$T,0)),"")</f>
        <v/>
      </c>
    </row>
    <row r="57">
      <c r="A57" s="3">
        <f>IFERROR(IF(COUNTIF('Data Source'!$T:$T,55)&gt;0,55,""),"")</f>
        <v/>
      </c>
      <c r="B57">
        <f>IFERROR(INDEX('Data Source'!$B:$B,MATCH(55,'Data Source'!$T:$T,0)),"")</f>
        <v/>
      </c>
      <c r="C57" s="3">
        <f>IFERROR(INDEX('Data Source'!$P:$P,MATCH(55,'Data Source'!$T:$T,0)),"")</f>
        <v/>
      </c>
      <c r="D57" s="5">
        <f>IFERROR(INDEX('Data Source'!$Q:$Q,MATCH(55,'Data Source'!$T:$T,0)),"")</f>
        <v/>
      </c>
      <c r="E57" s="5">
        <f>IFERROR(INDEX('Data Source'!$R:$R,MATCH(55,'Data Source'!$T:$T,0)),"")</f>
        <v/>
      </c>
      <c r="F57" s="3">
        <f>IFERROR(INDEX('Data Source'!$S:$S,MATCH(55,'Data Source'!$T:$T,0)),"")</f>
        <v/>
      </c>
    </row>
    <row r="58">
      <c r="A58" s="3">
        <f>IFERROR(IF(COUNTIF('Data Source'!$T:$T,56)&gt;0,56,""),"")</f>
        <v/>
      </c>
      <c r="B58">
        <f>IFERROR(INDEX('Data Source'!$B:$B,MATCH(56,'Data Source'!$T:$T,0)),"")</f>
        <v/>
      </c>
      <c r="C58" s="3">
        <f>IFERROR(INDEX('Data Source'!$P:$P,MATCH(56,'Data Source'!$T:$T,0)),"")</f>
        <v/>
      </c>
      <c r="D58" s="5">
        <f>IFERROR(INDEX('Data Source'!$Q:$Q,MATCH(56,'Data Source'!$T:$T,0)),"")</f>
        <v/>
      </c>
      <c r="E58" s="5">
        <f>IFERROR(INDEX('Data Source'!$R:$R,MATCH(56,'Data Source'!$T:$T,0)),"")</f>
        <v/>
      </c>
      <c r="F58" s="3">
        <f>IFERROR(INDEX('Data Source'!$S:$S,MATCH(56,'Data Source'!$T:$T,0)),"")</f>
        <v/>
      </c>
    </row>
    <row r="59">
      <c r="A59" s="3">
        <f>IFERROR(IF(COUNTIF('Data Source'!$T:$T,57)&gt;0,57,""),"")</f>
        <v/>
      </c>
      <c r="B59">
        <f>IFERROR(INDEX('Data Source'!$B:$B,MATCH(57,'Data Source'!$T:$T,0)),"")</f>
        <v/>
      </c>
      <c r="C59" s="3">
        <f>IFERROR(INDEX('Data Source'!$P:$P,MATCH(57,'Data Source'!$T:$T,0)),"")</f>
        <v/>
      </c>
      <c r="D59" s="5">
        <f>IFERROR(INDEX('Data Source'!$Q:$Q,MATCH(57,'Data Source'!$T:$T,0)),"")</f>
        <v/>
      </c>
      <c r="E59" s="5">
        <f>IFERROR(INDEX('Data Source'!$R:$R,MATCH(57,'Data Source'!$T:$T,0)),"")</f>
        <v/>
      </c>
      <c r="F59" s="3">
        <f>IFERROR(INDEX('Data Source'!$S:$S,MATCH(57,'Data Source'!$T:$T,0)),"")</f>
        <v/>
      </c>
    </row>
    <row r="60">
      <c r="A60" s="3">
        <f>IFERROR(IF(COUNTIF('Data Source'!$T:$T,58)&gt;0,58,""),"")</f>
        <v/>
      </c>
      <c r="B60">
        <f>IFERROR(INDEX('Data Source'!$B:$B,MATCH(58,'Data Source'!$T:$T,0)),"")</f>
        <v/>
      </c>
      <c r="C60" s="3">
        <f>IFERROR(INDEX('Data Source'!$P:$P,MATCH(58,'Data Source'!$T:$T,0)),"")</f>
        <v/>
      </c>
      <c r="D60" s="5">
        <f>IFERROR(INDEX('Data Source'!$Q:$Q,MATCH(58,'Data Source'!$T:$T,0)),"")</f>
        <v/>
      </c>
      <c r="E60" s="5">
        <f>IFERROR(INDEX('Data Source'!$R:$R,MATCH(58,'Data Source'!$T:$T,0)),"")</f>
        <v/>
      </c>
      <c r="F60" s="3">
        <f>IFERROR(INDEX('Data Source'!$S:$S,MATCH(58,'Data Source'!$T:$T,0)),"")</f>
        <v/>
      </c>
    </row>
    <row r="61">
      <c r="A61" s="3">
        <f>IFERROR(IF(COUNTIF('Data Source'!$T:$T,59)&gt;0,59,""),"")</f>
        <v/>
      </c>
      <c r="B61">
        <f>IFERROR(INDEX('Data Source'!$B:$B,MATCH(59,'Data Source'!$T:$T,0)),"")</f>
        <v/>
      </c>
      <c r="C61" s="3">
        <f>IFERROR(INDEX('Data Source'!$P:$P,MATCH(59,'Data Source'!$T:$T,0)),"")</f>
        <v/>
      </c>
      <c r="D61" s="5">
        <f>IFERROR(INDEX('Data Source'!$Q:$Q,MATCH(59,'Data Source'!$T:$T,0)),"")</f>
        <v/>
      </c>
      <c r="E61" s="5">
        <f>IFERROR(INDEX('Data Source'!$R:$R,MATCH(59,'Data Source'!$T:$T,0)),"")</f>
        <v/>
      </c>
      <c r="F61" s="3">
        <f>IFERROR(INDEX('Data Source'!$S:$S,MATCH(59,'Data Source'!$T:$T,0)),"")</f>
        <v/>
      </c>
    </row>
    <row r="62">
      <c r="A62" s="3">
        <f>IFERROR(IF(COUNTIF('Data Source'!$T:$T,60)&gt;0,60,""),"")</f>
        <v/>
      </c>
      <c r="B62">
        <f>IFERROR(INDEX('Data Source'!$B:$B,MATCH(60,'Data Source'!$T:$T,0)),"")</f>
        <v/>
      </c>
      <c r="C62" s="3">
        <f>IFERROR(INDEX('Data Source'!$P:$P,MATCH(60,'Data Source'!$T:$T,0)),"")</f>
        <v/>
      </c>
      <c r="D62" s="5">
        <f>IFERROR(INDEX('Data Source'!$Q:$Q,MATCH(60,'Data Source'!$T:$T,0)),"")</f>
        <v/>
      </c>
      <c r="E62" s="5">
        <f>IFERROR(INDEX('Data Source'!$R:$R,MATCH(60,'Data Source'!$T:$T,0)),"")</f>
        <v/>
      </c>
      <c r="F62" s="3">
        <f>IFERROR(INDEX('Data Source'!$S:$S,MATCH(60,'Data Source'!$T:$T,0)),"")</f>
        <v/>
      </c>
    </row>
    <row r="63">
      <c r="A63" s="3">
        <f>IFERROR(IF(COUNTIF('Data Source'!$T:$T,61)&gt;0,61,""),"")</f>
        <v/>
      </c>
      <c r="B63">
        <f>IFERROR(INDEX('Data Source'!$B:$B,MATCH(61,'Data Source'!$T:$T,0)),"")</f>
        <v/>
      </c>
      <c r="C63" s="3">
        <f>IFERROR(INDEX('Data Source'!$P:$P,MATCH(61,'Data Source'!$T:$T,0)),"")</f>
        <v/>
      </c>
      <c r="D63" s="5">
        <f>IFERROR(INDEX('Data Source'!$Q:$Q,MATCH(61,'Data Source'!$T:$T,0)),"")</f>
        <v/>
      </c>
      <c r="E63" s="5">
        <f>IFERROR(INDEX('Data Source'!$R:$R,MATCH(61,'Data Source'!$T:$T,0)),"")</f>
        <v/>
      </c>
      <c r="F63" s="3">
        <f>IFERROR(INDEX('Data Source'!$S:$S,MATCH(61,'Data Source'!$T:$T,0)),"")</f>
        <v/>
      </c>
    </row>
    <row r="64">
      <c r="A64" s="3">
        <f>IFERROR(IF(COUNTIF('Data Source'!$T:$T,62)&gt;0,62,""),"")</f>
        <v/>
      </c>
      <c r="B64">
        <f>IFERROR(INDEX('Data Source'!$B:$B,MATCH(62,'Data Source'!$T:$T,0)),"")</f>
        <v/>
      </c>
      <c r="C64" s="3">
        <f>IFERROR(INDEX('Data Source'!$P:$P,MATCH(62,'Data Source'!$T:$T,0)),"")</f>
        <v/>
      </c>
      <c r="D64" s="5">
        <f>IFERROR(INDEX('Data Source'!$Q:$Q,MATCH(62,'Data Source'!$T:$T,0)),"")</f>
        <v/>
      </c>
      <c r="E64" s="5">
        <f>IFERROR(INDEX('Data Source'!$R:$R,MATCH(62,'Data Source'!$T:$T,0)),"")</f>
        <v/>
      </c>
      <c r="F64" s="3">
        <f>IFERROR(INDEX('Data Source'!$S:$S,MATCH(62,'Data Source'!$T:$T,0)),"")</f>
        <v/>
      </c>
    </row>
    <row r="65">
      <c r="A65" s="3">
        <f>IFERROR(IF(COUNTIF('Data Source'!$T:$T,63)&gt;0,63,""),"")</f>
        <v/>
      </c>
      <c r="B65">
        <f>IFERROR(INDEX('Data Source'!$B:$B,MATCH(63,'Data Source'!$T:$T,0)),"")</f>
        <v/>
      </c>
      <c r="C65" s="3">
        <f>IFERROR(INDEX('Data Source'!$P:$P,MATCH(63,'Data Source'!$T:$T,0)),"")</f>
        <v/>
      </c>
      <c r="D65" s="5">
        <f>IFERROR(INDEX('Data Source'!$Q:$Q,MATCH(63,'Data Source'!$T:$T,0)),"")</f>
        <v/>
      </c>
      <c r="E65" s="5">
        <f>IFERROR(INDEX('Data Source'!$R:$R,MATCH(63,'Data Source'!$T:$T,0)),"")</f>
        <v/>
      </c>
      <c r="F65" s="3">
        <f>IFERROR(INDEX('Data Source'!$S:$S,MATCH(63,'Data Source'!$T:$T,0)),"")</f>
        <v/>
      </c>
    </row>
    <row r="66">
      <c r="A66" s="3">
        <f>IFERROR(IF(COUNTIF('Data Source'!$T:$T,64)&gt;0,64,""),"")</f>
        <v/>
      </c>
      <c r="B66">
        <f>IFERROR(INDEX('Data Source'!$B:$B,MATCH(64,'Data Source'!$T:$T,0)),"")</f>
        <v/>
      </c>
      <c r="C66" s="3">
        <f>IFERROR(INDEX('Data Source'!$P:$P,MATCH(64,'Data Source'!$T:$T,0)),"")</f>
        <v/>
      </c>
      <c r="D66" s="5">
        <f>IFERROR(INDEX('Data Source'!$Q:$Q,MATCH(64,'Data Source'!$T:$T,0)),"")</f>
        <v/>
      </c>
      <c r="E66" s="5">
        <f>IFERROR(INDEX('Data Source'!$R:$R,MATCH(64,'Data Source'!$T:$T,0)),"")</f>
        <v/>
      </c>
      <c r="F66" s="3">
        <f>IFERROR(INDEX('Data Source'!$S:$S,MATCH(64,'Data Source'!$T:$T,0)),"")</f>
        <v/>
      </c>
    </row>
    <row r="67">
      <c r="A67" s="3">
        <f>IFERROR(IF(COUNTIF('Data Source'!$T:$T,65)&gt;0,65,""),"")</f>
        <v/>
      </c>
      <c r="B67">
        <f>IFERROR(INDEX('Data Source'!$B:$B,MATCH(65,'Data Source'!$T:$T,0)),"")</f>
        <v/>
      </c>
      <c r="C67" s="3">
        <f>IFERROR(INDEX('Data Source'!$P:$P,MATCH(65,'Data Source'!$T:$T,0)),"")</f>
        <v/>
      </c>
      <c r="D67" s="5">
        <f>IFERROR(INDEX('Data Source'!$Q:$Q,MATCH(65,'Data Source'!$T:$T,0)),"")</f>
        <v/>
      </c>
      <c r="E67" s="5">
        <f>IFERROR(INDEX('Data Source'!$R:$R,MATCH(65,'Data Source'!$T:$T,0)),"")</f>
        <v/>
      </c>
      <c r="F67" s="3">
        <f>IFERROR(INDEX('Data Source'!$S:$S,MATCH(65,'Data Source'!$T:$T,0)),"")</f>
        <v/>
      </c>
    </row>
    <row r="68">
      <c r="A68" s="3">
        <f>IFERROR(IF(COUNTIF('Data Source'!$T:$T,66)&gt;0,66,""),"")</f>
        <v/>
      </c>
      <c r="B68">
        <f>IFERROR(INDEX('Data Source'!$B:$B,MATCH(66,'Data Source'!$T:$T,0)),"")</f>
        <v/>
      </c>
      <c r="C68" s="3">
        <f>IFERROR(INDEX('Data Source'!$P:$P,MATCH(66,'Data Source'!$T:$T,0)),"")</f>
        <v/>
      </c>
      <c r="D68" s="5">
        <f>IFERROR(INDEX('Data Source'!$Q:$Q,MATCH(66,'Data Source'!$T:$T,0)),"")</f>
        <v/>
      </c>
      <c r="E68" s="5">
        <f>IFERROR(INDEX('Data Source'!$R:$R,MATCH(66,'Data Source'!$T:$T,0)),"")</f>
        <v/>
      </c>
      <c r="F68" s="3">
        <f>IFERROR(INDEX('Data Source'!$S:$S,MATCH(66,'Data Source'!$T:$T,0)),"")</f>
        <v/>
      </c>
    </row>
    <row r="69">
      <c r="A69" s="3">
        <f>IFERROR(IF(COUNTIF('Data Source'!$T:$T,67)&gt;0,67,""),"")</f>
        <v/>
      </c>
      <c r="B69">
        <f>IFERROR(INDEX('Data Source'!$B:$B,MATCH(67,'Data Source'!$T:$T,0)),"")</f>
        <v/>
      </c>
      <c r="C69" s="3">
        <f>IFERROR(INDEX('Data Source'!$P:$P,MATCH(67,'Data Source'!$T:$T,0)),"")</f>
        <v/>
      </c>
      <c r="D69" s="5">
        <f>IFERROR(INDEX('Data Source'!$Q:$Q,MATCH(67,'Data Source'!$T:$T,0)),"")</f>
        <v/>
      </c>
      <c r="E69" s="5">
        <f>IFERROR(INDEX('Data Source'!$R:$R,MATCH(67,'Data Source'!$T:$T,0)),"")</f>
        <v/>
      </c>
      <c r="F69" s="3">
        <f>IFERROR(INDEX('Data Source'!$S:$S,MATCH(67,'Data Source'!$T:$T,0)),"")</f>
        <v/>
      </c>
    </row>
    <row r="70">
      <c r="A70" s="3">
        <f>IFERROR(IF(COUNTIF('Data Source'!$T:$T,68)&gt;0,68,""),"")</f>
        <v/>
      </c>
      <c r="B70">
        <f>IFERROR(INDEX('Data Source'!$B:$B,MATCH(68,'Data Source'!$T:$T,0)),"")</f>
        <v/>
      </c>
      <c r="C70" s="3">
        <f>IFERROR(INDEX('Data Source'!$P:$P,MATCH(68,'Data Source'!$T:$T,0)),"")</f>
        <v/>
      </c>
      <c r="D70" s="5">
        <f>IFERROR(INDEX('Data Source'!$Q:$Q,MATCH(68,'Data Source'!$T:$T,0)),"")</f>
        <v/>
      </c>
      <c r="E70" s="5">
        <f>IFERROR(INDEX('Data Source'!$R:$R,MATCH(68,'Data Source'!$T:$T,0)),"")</f>
        <v/>
      </c>
      <c r="F70" s="3">
        <f>IFERROR(INDEX('Data Source'!$S:$S,MATCH(68,'Data Source'!$T:$T,0)),"")</f>
        <v/>
      </c>
    </row>
    <row r="71">
      <c r="A71" s="3">
        <f>IFERROR(IF(COUNTIF('Data Source'!$T:$T,69)&gt;0,69,""),"")</f>
        <v/>
      </c>
      <c r="B71">
        <f>IFERROR(INDEX('Data Source'!$B:$B,MATCH(69,'Data Source'!$T:$T,0)),"")</f>
        <v/>
      </c>
      <c r="C71" s="3">
        <f>IFERROR(INDEX('Data Source'!$P:$P,MATCH(69,'Data Source'!$T:$T,0)),"")</f>
        <v/>
      </c>
      <c r="D71" s="5">
        <f>IFERROR(INDEX('Data Source'!$Q:$Q,MATCH(69,'Data Source'!$T:$T,0)),"")</f>
        <v/>
      </c>
      <c r="E71" s="5">
        <f>IFERROR(INDEX('Data Source'!$R:$R,MATCH(69,'Data Source'!$T:$T,0)),"")</f>
        <v/>
      </c>
      <c r="F71" s="3">
        <f>IFERROR(INDEX('Data Source'!$S:$S,MATCH(69,'Data Source'!$T:$T,0)),"")</f>
        <v/>
      </c>
    </row>
    <row r="72">
      <c r="A72" s="3">
        <f>IFERROR(IF(COUNTIF('Data Source'!$T:$T,70)&gt;0,70,""),"")</f>
        <v/>
      </c>
      <c r="B72">
        <f>IFERROR(INDEX('Data Source'!$B:$B,MATCH(70,'Data Source'!$T:$T,0)),"")</f>
        <v/>
      </c>
      <c r="C72" s="3">
        <f>IFERROR(INDEX('Data Source'!$P:$P,MATCH(70,'Data Source'!$T:$T,0)),"")</f>
        <v/>
      </c>
      <c r="D72" s="5">
        <f>IFERROR(INDEX('Data Source'!$Q:$Q,MATCH(70,'Data Source'!$T:$T,0)),"")</f>
        <v/>
      </c>
      <c r="E72" s="5">
        <f>IFERROR(INDEX('Data Source'!$R:$R,MATCH(70,'Data Source'!$T:$T,0)),"")</f>
        <v/>
      </c>
      <c r="F72" s="3">
        <f>IFERROR(INDEX('Data Source'!$S:$S,MATCH(70,'Data Source'!$T:$T,0)),"")</f>
        <v/>
      </c>
    </row>
    <row r="73">
      <c r="A73" s="3">
        <f>IFERROR(IF(COUNTIF('Data Source'!$T:$T,71)&gt;0,71,""),"")</f>
        <v/>
      </c>
      <c r="B73">
        <f>IFERROR(INDEX('Data Source'!$B:$B,MATCH(71,'Data Source'!$T:$T,0)),"")</f>
        <v/>
      </c>
      <c r="C73" s="3">
        <f>IFERROR(INDEX('Data Source'!$P:$P,MATCH(71,'Data Source'!$T:$T,0)),"")</f>
        <v/>
      </c>
      <c r="D73" s="5">
        <f>IFERROR(INDEX('Data Source'!$Q:$Q,MATCH(71,'Data Source'!$T:$T,0)),"")</f>
        <v/>
      </c>
      <c r="E73" s="5">
        <f>IFERROR(INDEX('Data Source'!$R:$R,MATCH(71,'Data Source'!$T:$T,0)),"")</f>
        <v/>
      </c>
      <c r="F73" s="3">
        <f>IFERROR(INDEX('Data Source'!$S:$S,MATCH(71,'Data Source'!$T:$T,0)),"")</f>
        <v/>
      </c>
    </row>
    <row r="74">
      <c r="A74" s="3">
        <f>IFERROR(IF(COUNTIF('Data Source'!$T:$T,72)&gt;0,72,""),"")</f>
        <v/>
      </c>
      <c r="B74">
        <f>IFERROR(INDEX('Data Source'!$B:$B,MATCH(72,'Data Source'!$T:$T,0)),"")</f>
        <v/>
      </c>
      <c r="C74" s="3">
        <f>IFERROR(INDEX('Data Source'!$P:$P,MATCH(72,'Data Source'!$T:$T,0)),"")</f>
        <v/>
      </c>
      <c r="D74" s="5">
        <f>IFERROR(INDEX('Data Source'!$Q:$Q,MATCH(72,'Data Source'!$T:$T,0)),"")</f>
        <v/>
      </c>
      <c r="E74" s="5">
        <f>IFERROR(INDEX('Data Source'!$R:$R,MATCH(72,'Data Source'!$T:$T,0)),"")</f>
        <v/>
      </c>
      <c r="F74" s="3">
        <f>IFERROR(INDEX('Data Source'!$S:$S,MATCH(72,'Data Source'!$T:$T,0)),"")</f>
        <v/>
      </c>
    </row>
    <row r="75">
      <c r="A75" s="3">
        <f>IFERROR(IF(COUNTIF('Data Source'!$T:$T,73)&gt;0,73,""),"")</f>
        <v/>
      </c>
      <c r="B75">
        <f>IFERROR(INDEX('Data Source'!$B:$B,MATCH(73,'Data Source'!$T:$T,0)),"")</f>
        <v/>
      </c>
      <c r="C75" s="3">
        <f>IFERROR(INDEX('Data Source'!$P:$P,MATCH(73,'Data Source'!$T:$T,0)),"")</f>
        <v/>
      </c>
      <c r="D75" s="5">
        <f>IFERROR(INDEX('Data Source'!$Q:$Q,MATCH(73,'Data Source'!$T:$T,0)),"")</f>
        <v/>
      </c>
      <c r="E75" s="5">
        <f>IFERROR(INDEX('Data Source'!$R:$R,MATCH(73,'Data Source'!$T:$T,0)),"")</f>
        <v/>
      </c>
      <c r="F75" s="3">
        <f>IFERROR(INDEX('Data Source'!$S:$S,MATCH(73,'Data Source'!$T:$T,0)),"")</f>
        <v/>
      </c>
    </row>
    <row r="76">
      <c r="A76" s="3">
        <f>IFERROR(IF(COUNTIF('Data Source'!$T:$T,74)&gt;0,74,""),"")</f>
        <v/>
      </c>
      <c r="B76">
        <f>IFERROR(INDEX('Data Source'!$B:$B,MATCH(74,'Data Source'!$T:$T,0)),"")</f>
        <v/>
      </c>
      <c r="C76" s="3">
        <f>IFERROR(INDEX('Data Source'!$P:$P,MATCH(74,'Data Source'!$T:$T,0)),"")</f>
        <v/>
      </c>
      <c r="D76" s="5">
        <f>IFERROR(INDEX('Data Source'!$Q:$Q,MATCH(74,'Data Source'!$T:$T,0)),"")</f>
        <v/>
      </c>
      <c r="E76" s="5">
        <f>IFERROR(INDEX('Data Source'!$R:$R,MATCH(74,'Data Source'!$T:$T,0)),"")</f>
        <v/>
      </c>
      <c r="F76" s="3">
        <f>IFERROR(INDEX('Data Source'!$S:$S,MATCH(74,'Data Source'!$T:$T,0)),"")</f>
        <v/>
      </c>
    </row>
    <row r="77">
      <c r="A77" s="3">
        <f>IFERROR(IF(COUNTIF('Data Source'!$T:$T,75)&gt;0,75,""),"")</f>
        <v/>
      </c>
      <c r="B77">
        <f>IFERROR(INDEX('Data Source'!$B:$B,MATCH(75,'Data Source'!$T:$T,0)),"")</f>
        <v/>
      </c>
      <c r="C77" s="3">
        <f>IFERROR(INDEX('Data Source'!$P:$P,MATCH(75,'Data Source'!$T:$T,0)),"")</f>
        <v/>
      </c>
      <c r="D77" s="5">
        <f>IFERROR(INDEX('Data Source'!$Q:$Q,MATCH(75,'Data Source'!$T:$T,0)),"")</f>
        <v/>
      </c>
      <c r="E77" s="5">
        <f>IFERROR(INDEX('Data Source'!$R:$R,MATCH(75,'Data Source'!$T:$T,0)),"")</f>
        <v/>
      </c>
      <c r="F77" s="3">
        <f>IFERROR(INDEX('Data Source'!$S:$S,MATCH(75,'Data Source'!$T:$T,0)),"")</f>
        <v/>
      </c>
    </row>
    <row r="78">
      <c r="A78" s="3">
        <f>IFERROR(IF(COUNTIF('Data Source'!$T:$T,76)&gt;0,76,""),"")</f>
        <v/>
      </c>
      <c r="B78">
        <f>IFERROR(INDEX('Data Source'!$B:$B,MATCH(76,'Data Source'!$T:$T,0)),"")</f>
        <v/>
      </c>
      <c r="C78" s="3">
        <f>IFERROR(INDEX('Data Source'!$P:$P,MATCH(76,'Data Source'!$T:$T,0)),"")</f>
        <v/>
      </c>
      <c r="D78" s="5">
        <f>IFERROR(INDEX('Data Source'!$Q:$Q,MATCH(76,'Data Source'!$T:$T,0)),"")</f>
        <v/>
      </c>
      <c r="E78" s="5">
        <f>IFERROR(INDEX('Data Source'!$R:$R,MATCH(76,'Data Source'!$T:$T,0)),"")</f>
        <v/>
      </c>
      <c r="F78" s="3">
        <f>IFERROR(INDEX('Data Source'!$S:$S,MATCH(76,'Data Source'!$T:$T,0)),"")</f>
        <v/>
      </c>
    </row>
    <row r="79">
      <c r="A79" s="3">
        <f>IFERROR(IF(COUNTIF('Data Source'!$T:$T,77)&gt;0,77,""),"")</f>
        <v/>
      </c>
      <c r="B79">
        <f>IFERROR(INDEX('Data Source'!$B:$B,MATCH(77,'Data Source'!$T:$T,0)),"")</f>
        <v/>
      </c>
      <c r="C79" s="3">
        <f>IFERROR(INDEX('Data Source'!$P:$P,MATCH(77,'Data Source'!$T:$T,0)),"")</f>
        <v/>
      </c>
      <c r="D79" s="5">
        <f>IFERROR(INDEX('Data Source'!$Q:$Q,MATCH(77,'Data Source'!$T:$T,0)),"")</f>
        <v/>
      </c>
      <c r="E79" s="5">
        <f>IFERROR(INDEX('Data Source'!$R:$R,MATCH(77,'Data Source'!$T:$T,0)),"")</f>
        <v/>
      </c>
      <c r="F79" s="3">
        <f>IFERROR(INDEX('Data Source'!$S:$S,MATCH(77,'Data Source'!$T:$T,0)),"")</f>
        <v/>
      </c>
    </row>
    <row r="80">
      <c r="A80" s="3">
        <f>IFERROR(IF(COUNTIF('Data Source'!$T:$T,78)&gt;0,78,""),"")</f>
        <v/>
      </c>
      <c r="B80">
        <f>IFERROR(INDEX('Data Source'!$B:$B,MATCH(78,'Data Source'!$T:$T,0)),"")</f>
        <v/>
      </c>
      <c r="C80" s="3">
        <f>IFERROR(INDEX('Data Source'!$P:$P,MATCH(78,'Data Source'!$T:$T,0)),"")</f>
        <v/>
      </c>
      <c r="D80" s="5">
        <f>IFERROR(INDEX('Data Source'!$Q:$Q,MATCH(78,'Data Source'!$T:$T,0)),"")</f>
        <v/>
      </c>
      <c r="E80" s="5">
        <f>IFERROR(INDEX('Data Source'!$R:$R,MATCH(78,'Data Source'!$T:$T,0)),"")</f>
        <v/>
      </c>
      <c r="F80" s="3">
        <f>IFERROR(INDEX('Data Source'!$S:$S,MATCH(78,'Data Source'!$T:$T,0)),"")</f>
        <v/>
      </c>
    </row>
    <row r="81">
      <c r="A81" s="3">
        <f>IFERROR(IF(COUNTIF('Data Source'!$T:$T,79)&gt;0,79,""),"")</f>
        <v/>
      </c>
      <c r="B81">
        <f>IFERROR(INDEX('Data Source'!$B:$B,MATCH(79,'Data Source'!$T:$T,0)),"")</f>
        <v/>
      </c>
      <c r="C81" s="3">
        <f>IFERROR(INDEX('Data Source'!$P:$P,MATCH(79,'Data Source'!$T:$T,0)),"")</f>
        <v/>
      </c>
      <c r="D81" s="5">
        <f>IFERROR(INDEX('Data Source'!$Q:$Q,MATCH(79,'Data Source'!$T:$T,0)),"")</f>
        <v/>
      </c>
      <c r="E81" s="5">
        <f>IFERROR(INDEX('Data Source'!$R:$R,MATCH(79,'Data Source'!$T:$T,0)),"")</f>
        <v/>
      </c>
      <c r="F81" s="3">
        <f>IFERROR(INDEX('Data Source'!$S:$S,MATCH(79,'Data Source'!$T:$T,0)),"")</f>
        <v/>
      </c>
    </row>
    <row r="82">
      <c r="A82" s="3">
        <f>IFERROR(IF(COUNTIF('Data Source'!$T:$T,80)&gt;0,80,""),"")</f>
        <v/>
      </c>
      <c r="B82">
        <f>IFERROR(INDEX('Data Source'!$B:$B,MATCH(80,'Data Source'!$T:$T,0)),"")</f>
        <v/>
      </c>
      <c r="C82" s="3">
        <f>IFERROR(INDEX('Data Source'!$P:$P,MATCH(80,'Data Source'!$T:$T,0)),"")</f>
        <v/>
      </c>
      <c r="D82" s="5">
        <f>IFERROR(INDEX('Data Source'!$Q:$Q,MATCH(80,'Data Source'!$T:$T,0)),"")</f>
        <v/>
      </c>
      <c r="E82" s="5">
        <f>IFERROR(INDEX('Data Source'!$R:$R,MATCH(80,'Data Source'!$T:$T,0)),"")</f>
        <v/>
      </c>
      <c r="F82" s="3">
        <f>IFERROR(INDEX('Data Source'!$S:$S,MATCH(80,'Data Source'!$T:$T,0)),"")</f>
        <v/>
      </c>
    </row>
    <row r="83">
      <c r="A83" s="3">
        <f>IFERROR(IF(COUNTIF('Data Source'!$T:$T,81)&gt;0,81,""),"")</f>
        <v/>
      </c>
      <c r="B83">
        <f>IFERROR(INDEX('Data Source'!$B:$B,MATCH(81,'Data Source'!$T:$T,0)),"")</f>
        <v/>
      </c>
      <c r="C83" s="3">
        <f>IFERROR(INDEX('Data Source'!$P:$P,MATCH(81,'Data Source'!$T:$T,0)),"")</f>
        <v/>
      </c>
      <c r="D83" s="5">
        <f>IFERROR(INDEX('Data Source'!$Q:$Q,MATCH(81,'Data Source'!$T:$T,0)),"")</f>
        <v/>
      </c>
      <c r="E83" s="5">
        <f>IFERROR(INDEX('Data Source'!$R:$R,MATCH(81,'Data Source'!$T:$T,0)),"")</f>
        <v/>
      </c>
      <c r="F83" s="3">
        <f>IFERROR(INDEX('Data Source'!$S:$S,MATCH(81,'Data Source'!$T:$T,0)),"")</f>
        <v/>
      </c>
    </row>
    <row r="84">
      <c r="A84" s="3">
        <f>IFERROR(IF(COUNTIF('Data Source'!$T:$T,82)&gt;0,82,""),"")</f>
        <v/>
      </c>
      <c r="B84">
        <f>IFERROR(INDEX('Data Source'!$B:$B,MATCH(82,'Data Source'!$T:$T,0)),"")</f>
        <v/>
      </c>
      <c r="C84" s="3">
        <f>IFERROR(INDEX('Data Source'!$P:$P,MATCH(82,'Data Source'!$T:$T,0)),"")</f>
        <v/>
      </c>
      <c r="D84" s="5">
        <f>IFERROR(INDEX('Data Source'!$Q:$Q,MATCH(82,'Data Source'!$T:$T,0)),"")</f>
        <v/>
      </c>
      <c r="E84" s="5">
        <f>IFERROR(INDEX('Data Source'!$R:$R,MATCH(82,'Data Source'!$T:$T,0)),"")</f>
        <v/>
      </c>
      <c r="F84" s="3">
        <f>IFERROR(INDEX('Data Source'!$S:$S,MATCH(82,'Data Source'!$T:$T,0)),"")</f>
        <v/>
      </c>
    </row>
    <row r="85">
      <c r="A85" s="3">
        <f>IFERROR(IF(COUNTIF('Data Source'!$T:$T,83)&gt;0,83,""),"")</f>
        <v/>
      </c>
      <c r="B85">
        <f>IFERROR(INDEX('Data Source'!$B:$B,MATCH(83,'Data Source'!$T:$T,0)),"")</f>
        <v/>
      </c>
      <c r="C85" s="3">
        <f>IFERROR(INDEX('Data Source'!$P:$P,MATCH(83,'Data Source'!$T:$T,0)),"")</f>
        <v/>
      </c>
      <c r="D85" s="5">
        <f>IFERROR(INDEX('Data Source'!$Q:$Q,MATCH(83,'Data Source'!$T:$T,0)),"")</f>
        <v/>
      </c>
      <c r="E85" s="5">
        <f>IFERROR(INDEX('Data Source'!$R:$R,MATCH(83,'Data Source'!$T:$T,0)),"")</f>
        <v/>
      </c>
      <c r="F85" s="3">
        <f>IFERROR(INDEX('Data Source'!$S:$S,MATCH(83,'Data Source'!$T:$T,0)),"")</f>
        <v/>
      </c>
    </row>
    <row r="86">
      <c r="A86" s="3">
        <f>IFERROR(IF(COUNTIF('Data Source'!$T:$T,84)&gt;0,84,""),"")</f>
        <v/>
      </c>
      <c r="B86">
        <f>IFERROR(INDEX('Data Source'!$B:$B,MATCH(84,'Data Source'!$T:$T,0)),"")</f>
        <v/>
      </c>
      <c r="C86" s="3">
        <f>IFERROR(INDEX('Data Source'!$P:$P,MATCH(84,'Data Source'!$T:$T,0)),"")</f>
        <v/>
      </c>
      <c r="D86" s="5">
        <f>IFERROR(INDEX('Data Source'!$Q:$Q,MATCH(84,'Data Source'!$T:$T,0)),"")</f>
        <v/>
      </c>
      <c r="E86" s="5">
        <f>IFERROR(INDEX('Data Source'!$R:$R,MATCH(84,'Data Source'!$T:$T,0)),"")</f>
        <v/>
      </c>
      <c r="F86" s="3">
        <f>IFERROR(INDEX('Data Source'!$S:$S,MATCH(84,'Data Source'!$T:$T,0)),"")</f>
        <v/>
      </c>
    </row>
    <row r="87">
      <c r="A87" s="3">
        <f>IFERROR(IF(COUNTIF('Data Source'!$T:$T,85)&gt;0,85,""),"")</f>
        <v/>
      </c>
      <c r="B87">
        <f>IFERROR(INDEX('Data Source'!$B:$B,MATCH(85,'Data Source'!$T:$T,0)),"")</f>
        <v/>
      </c>
      <c r="C87" s="3">
        <f>IFERROR(INDEX('Data Source'!$P:$P,MATCH(85,'Data Source'!$T:$T,0)),"")</f>
        <v/>
      </c>
      <c r="D87" s="5">
        <f>IFERROR(INDEX('Data Source'!$Q:$Q,MATCH(85,'Data Source'!$T:$T,0)),"")</f>
        <v/>
      </c>
      <c r="E87" s="5">
        <f>IFERROR(INDEX('Data Source'!$R:$R,MATCH(85,'Data Source'!$T:$T,0)),"")</f>
        <v/>
      </c>
      <c r="F87" s="3">
        <f>IFERROR(INDEX('Data Source'!$S:$S,MATCH(85,'Data Source'!$T:$T,0)),"")</f>
        <v/>
      </c>
    </row>
    <row r="88">
      <c r="A88" s="3">
        <f>IFERROR(IF(COUNTIF('Data Source'!$T:$T,86)&gt;0,86,""),"")</f>
        <v/>
      </c>
      <c r="B88">
        <f>IFERROR(INDEX('Data Source'!$B:$B,MATCH(86,'Data Source'!$T:$T,0)),"")</f>
        <v/>
      </c>
      <c r="C88" s="3">
        <f>IFERROR(INDEX('Data Source'!$P:$P,MATCH(86,'Data Source'!$T:$T,0)),"")</f>
        <v/>
      </c>
      <c r="D88" s="5">
        <f>IFERROR(INDEX('Data Source'!$Q:$Q,MATCH(86,'Data Source'!$T:$T,0)),"")</f>
        <v/>
      </c>
      <c r="E88" s="5">
        <f>IFERROR(INDEX('Data Source'!$R:$R,MATCH(86,'Data Source'!$T:$T,0)),"")</f>
        <v/>
      </c>
      <c r="F88" s="3">
        <f>IFERROR(INDEX('Data Source'!$S:$S,MATCH(86,'Data Source'!$T:$T,0)),"")</f>
        <v/>
      </c>
    </row>
    <row r="89">
      <c r="A89" s="3">
        <f>IFERROR(IF(COUNTIF('Data Source'!$T:$T,87)&gt;0,87,""),"")</f>
        <v/>
      </c>
      <c r="B89">
        <f>IFERROR(INDEX('Data Source'!$B:$B,MATCH(87,'Data Source'!$T:$T,0)),"")</f>
        <v/>
      </c>
      <c r="C89" s="3">
        <f>IFERROR(INDEX('Data Source'!$P:$P,MATCH(87,'Data Source'!$T:$T,0)),"")</f>
        <v/>
      </c>
      <c r="D89" s="5">
        <f>IFERROR(INDEX('Data Source'!$Q:$Q,MATCH(87,'Data Source'!$T:$T,0)),"")</f>
        <v/>
      </c>
      <c r="E89" s="5">
        <f>IFERROR(INDEX('Data Source'!$R:$R,MATCH(87,'Data Source'!$T:$T,0)),"")</f>
        <v/>
      </c>
      <c r="F89" s="3">
        <f>IFERROR(INDEX('Data Source'!$S:$S,MATCH(87,'Data Source'!$T:$T,0)),"")</f>
        <v/>
      </c>
    </row>
    <row r="90">
      <c r="A90" s="3">
        <f>IFERROR(IF(COUNTIF('Data Source'!$T:$T,88)&gt;0,88,""),"")</f>
        <v/>
      </c>
      <c r="B90">
        <f>IFERROR(INDEX('Data Source'!$B:$B,MATCH(88,'Data Source'!$T:$T,0)),"")</f>
        <v/>
      </c>
      <c r="C90" s="3">
        <f>IFERROR(INDEX('Data Source'!$P:$P,MATCH(88,'Data Source'!$T:$T,0)),"")</f>
        <v/>
      </c>
      <c r="D90" s="5">
        <f>IFERROR(INDEX('Data Source'!$Q:$Q,MATCH(88,'Data Source'!$T:$T,0)),"")</f>
        <v/>
      </c>
      <c r="E90" s="5">
        <f>IFERROR(INDEX('Data Source'!$R:$R,MATCH(88,'Data Source'!$T:$T,0)),"")</f>
        <v/>
      </c>
      <c r="F90" s="3">
        <f>IFERROR(INDEX('Data Source'!$S:$S,MATCH(88,'Data Source'!$T:$T,0)),"")</f>
        <v/>
      </c>
    </row>
    <row r="91">
      <c r="A91" s="3">
        <f>IFERROR(IF(COUNTIF('Data Source'!$T:$T,89)&gt;0,89,""),"")</f>
        <v/>
      </c>
      <c r="B91">
        <f>IFERROR(INDEX('Data Source'!$B:$B,MATCH(89,'Data Source'!$T:$T,0)),"")</f>
        <v/>
      </c>
      <c r="C91" s="3">
        <f>IFERROR(INDEX('Data Source'!$P:$P,MATCH(89,'Data Source'!$T:$T,0)),"")</f>
        <v/>
      </c>
      <c r="D91" s="5">
        <f>IFERROR(INDEX('Data Source'!$Q:$Q,MATCH(89,'Data Source'!$T:$T,0)),"")</f>
        <v/>
      </c>
      <c r="E91" s="5">
        <f>IFERROR(INDEX('Data Source'!$R:$R,MATCH(89,'Data Source'!$T:$T,0)),"")</f>
        <v/>
      </c>
      <c r="F91" s="3">
        <f>IFERROR(INDEX('Data Source'!$S:$S,MATCH(89,'Data Source'!$T:$T,0)),"")</f>
        <v/>
      </c>
    </row>
    <row r="92">
      <c r="A92" s="3">
        <f>IFERROR(IF(COUNTIF('Data Source'!$T:$T,90)&gt;0,90,""),"")</f>
        <v/>
      </c>
      <c r="B92">
        <f>IFERROR(INDEX('Data Source'!$B:$B,MATCH(90,'Data Source'!$T:$T,0)),"")</f>
        <v/>
      </c>
      <c r="C92" s="3">
        <f>IFERROR(INDEX('Data Source'!$P:$P,MATCH(90,'Data Source'!$T:$T,0)),"")</f>
        <v/>
      </c>
      <c r="D92" s="5">
        <f>IFERROR(INDEX('Data Source'!$Q:$Q,MATCH(90,'Data Source'!$T:$T,0)),"")</f>
        <v/>
      </c>
      <c r="E92" s="5">
        <f>IFERROR(INDEX('Data Source'!$R:$R,MATCH(90,'Data Source'!$T:$T,0)),"")</f>
        <v/>
      </c>
      <c r="F92" s="3">
        <f>IFERROR(INDEX('Data Source'!$S:$S,MATCH(90,'Data Source'!$T:$T,0)),"")</f>
        <v/>
      </c>
    </row>
    <row r="93">
      <c r="A93" s="3">
        <f>IFERROR(IF(COUNTIF('Data Source'!$T:$T,91)&gt;0,91,""),"")</f>
        <v/>
      </c>
      <c r="B93">
        <f>IFERROR(INDEX('Data Source'!$B:$B,MATCH(91,'Data Source'!$T:$T,0)),"")</f>
        <v/>
      </c>
      <c r="C93" s="3">
        <f>IFERROR(INDEX('Data Source'!$P:$P,MATCH(91,'Data Source'!$T:$T,0)),"")</f>
        <v/>
      </c>
      <c r="D93" s="5">
        <f>IFERROR(INDEX('Data Source'!$Q:$Q,MATCH(91,'Data Source'!$T:$T,0)),"")</f>
        <v/>
      </c>
      <c r="E93" s="5">
        <f>IFERROR(INDEX('Data Source'!$R:$R,MATCH(91,'Data Source'!$T:$T,0)),"")</f>
        <v/>
      </c>
      <c r="F93" s="3">
        <f>IFERROR(INDEX('Data Source'!$S:$S,MATCH(91,'Data Source'!$T:$T,0)),"")</f>
        <v/>
      </c>
    </row>
    <row r="94">
      <c r="A94" s="3">
        <f>IFERROR(IF(COUNTIF('Data Source'!$T:$T,92)&gt;0,92,""),"")</f>
        <v/>
      </c>
      <c r="B94">
        <f>IFERROR(INDEX('Data Source'!$B:$B,MATCH(92,'Data Source'!$T:$T,0)),"")</f>
        <v/>
      </c>
      <c r="C94" s="3">
        <f>IFERROR(INDEX('Data Source'!$P:$P,MATCH(92,'Data Source'!$T:$T,0)),"")</f>
        <v/>
      </c>
      <c r="D94" s="5">
        <f>IFERROR(INDEX('Data Source'!$Q:$Q,MATCH(92,'Data Source'!$T:$T,0)),"")</f>
        <v/>
      </c>
      <c r="E94" s="5">
        <f>IFERROR(INDEX('Data Source'!$R:$R,MATCH(92,'Data Source'!$T:$T,0)),"")</f>
        <v/>
      </c>
      <c r="F94" s="3">
        <f>IFERROR(INDEX('Data Source'!$S:$S,MATCH(92,'Data Source'!$T:$T,0)),"")</f>
        <v/>
      </c>
    </row>
    <row r="95">
      <c r="A95" s="3">
        <f>IFERROR(IF(COUNTIF('Data Source'!$T:$T,93)&gt;0,93,""),"")</f>
        <v/>
      </c>
      <c r="B95">
        <f>IFERROR(INDEX('Data Source'!$B:$B,MATCH(93,'Data Source'!$T:$T,0)),"")</f>
        <v/>
      </c>
      <c r="C95" s="3">
        <f>IFERROR(INDEX('Data Source'!$P:$P,MATCH(93,'Data Source'!$T:$T,0)),"")</f>
        <v/>
      </c>
      <c r="D95" s="5">
        <f>IFERROR(INDEX('Data Source'!$Q:$Q,MATCH(93,'Data Source'!$T:$T,0)),"")</f>
        <v/>
      </c>
      <c r="E95" s="5">
        <f>IFERROR(INDEX('Data Source'!$R:$R,MATCH(93,'Data Source'!$T:$T,0)),"")</f>
        <v/>
      </c>
      <c r="F95" s="3">
        <f>IFERROR(INDEX('Data Source'!$S:$S,MATCH(93,'Data Source'!$T:$T,0)),"")</f>
        <v/>
      </c>
    </row>
    <row r="96">
      <c r="A96" s="3">
        <f>IFERROR(IF(COUNTIF('Data Source'!$T:$T,94)&gt;0,94,""),"")</f>
        <v/>
      </c>
      <c r="B96">
        <f>IFERROR(INDEX('Data Source'!$B:$B,MATCH(94,'Data Source'!$T:$T,0)),"")</f>
        <v/>
      </c>
      <c r="C96" s="3">
        <f>IFERROR(INDEX('Data Source'!$P:$P,MATCH(94,'Data Source'!$T:$T,0)),"")</f>
        <v/>
      </c>
      <c r="D96" s="5">
        <f>IFERROR(INDEX('Data Source'!$Q:$Q,MATCH(94,'Data Source'!$T:$T,0)),"")</f>
        <v/>
      </c>
      <c r="E96" s="5">
        <f>IFERROR(INDEX('Data Source'!$R:$R,MATCH(94,'Data Source'!$T:$T,0)),"")</f>
        <v/>
      </c>
      <c r="F96" s="3">
        <f>IFERROR(INDEX('Data Source'!$S:$S,MATCH(94,'Data Source'!$T:$T,0)),"")</f>
        <v/>
      </c>
    </row>
    <row r="97">
      <c r="A97" s="3">
        <f>IFERROR(IF(COUNTIF('Data Source'!$T:$T,95)&gt;0,95,""),"")</f>
        <v/>
      </c>
      <c r="B97">
        <f>IFERROR(INDEX('Data Source'!$B:$B,MATCH(95,'Data Source'!$T:$T,0)),"")</f>
        <v/>
      </c>
      <c r="C97" s="3">
        <f>IFERROR(INDEX('Data Source'!$P:$P,MATCH(95,'Data Source'!$T:$T,0)),"")</f>
        <v/>
      </c>
      <c r="D97" s="5">
        <f>IFERROR(INDEX('Data Source'!$Q:$Q,MATCH(95,'Data Source'!$T:$T,0)),"")</f>
        <v/>
      </c>
      <c r="E97" s="5">
        <f>IFERROR(INDEX('Data Source'!$R:$R,MATCH(95,'Data Source'!$T:$T,0)),"")</f>
        <v/>
      </c>
      <c r="F97" s="3">
        <f>IFERROR(INDEX('Data Source'!$S:$S,MATCH(95,'Data Source'!$T:$T,0)),"")</f>
        <v/>
      </c>
    </row>
    <row r="98">
      <c r="A98" s="3">
        <f>IFERROR(IF(COUNTIF('Data Source'!$T:$T,96)&gt;0,96,""),"")</f>
        <v/>
      </c>
      <c r="B98">
        <f>IFERROR(INDEX('Data Source'!$B:$B,MATCH(96,'Data Source'!$T:$T,0)),"")</f>
        <v/>
      </c>
      <c r="C98" s="3">
        <f>IFERROR(INDEX('Data Source'!$P:$P,MATCH(96,'Data Source'!$T:$T,0)),"")</f>
        <v/>
      </c>
      <c r="D98" s="5">
        <f>IFERROR(INDEX('Data Source'!$Q:$Q,MATCH(96,'Data Source'!$T:$T,0)),"")</f>
        <v/>
      </c>
      <c r="E98" s="5">
        <f>IFERROR(INDEX('Data Source'!$R:$R,MATCH(96,'Data Source'!$T:$T,0)),"")</f>
        <v/>
      </c>
      <c r="F98" s="3">
        <f>IFERROR(INDEX('Data Source'!$S:$S,MATCH(96,'Data Source'!$T:$T,0)),"")</f>
        <v/>
      </c>
    </row>
    <row r="99">
      <c r="A99" s="3">
        <f>IFERROR(IF(COUNTIF('Data Source'!$T:$T,97)&gt;0,97,""),"")</f>
        <v/>
      </c>
      <c r="B99">
        <f>IFERROR(INDEX('Data Source'!$B:$B,MATCH(97,'Data Source'!$T:$T,0)),"")</f>
        <v/>
      </c>
      <c r="C99" s="3">
        <f>IFERROR(INDEX('Data Source'!$P:$P,MATCH(97,'Data Source'!$T:$T,0)),"")</f>
        <v/>
      </c>
      <c r="D99" s="5">
        <f>IFERROR(INDEX('Data Source'!$Q:$Q,MATCH(97,'Data Source'!$T:$T,0)),"")</f>
        <v/>
      </c>
      <c r="E99" s="5">
        <f>IFERROR(INDEX('Data Source'!$R:$R,MATCH(97,'Data Source'!$T:$T,0)),"")</f>
        <v/>
      </c>
      <c r="F99" s="3">
        <f>IFERROR(INDEX('Data Source'!$S:$S,MATCH(97,'Data Source'!$T:$T,0)),"")</f>
        <v/>
      </c>
    </row>
    <row r="100">
      <c r="A100" s="3">
        <f>IFERROR(IF(COUNTIF('Data Source'!$T:$T,98)&gt;0,98,""),"")</f>
        <v/>
      </c>
      <c r="B100">
        <f>IFERROR(INDEX('Data Source'!$B:$B,MATCH(98,'Data Source'!$T:$T,0)),"")</f>
        <v/>
      </c>
      <c r="C100" s="3">
        <f>IFERROR(INDEX('Data Source'!$P:$P,MATCH(98,'Data Source'!$T:$T,0)),"")</f>
        <v/>
      </c>
      <c r="D100" s="5">
        <f>IFERROR(INDEX('Data Source'!$Q:$Q,MATCH(98,'Data Source'!$T:$T,0)),"")</f>
        <v/>
      </c>
      <c r="E100" s="5">
        <f>IFERROR(INDEX('Data Source'!$R:$R,MATCH(98,'Data Source'!$T:$T,0)),"")</f>
        <v/>
      </c>
      <c r="F100" s="3">
        <f>IFERROR(INDEX('Data Source'!$S:$S,MATCH(98,'Data Source'!$T:$T,0)),"")</f>
        <v/>
      </c>
    </row>
    <row r="101">
      <c r="A101" s="3">
        <f>IFERROR(IF(COUNTIF('Data Source'!$T:$T,99)&gt;0,99,""),"")</f>
        <v/>
      </c>
      <c r="B101">
        <f>IFERROR(INDEX('Data Source'!$B:$B,MATCH(99,'Data Source'!$T:$T,0)),"")</f>
        <v/>
      </c>
      <c r="C101" s="3">
        <f>IFERROR(INDEX('Data Source'!$P:$P,MATCH(99,'Data Source'!$T:$T,0)),"")</f>
        <v/>
      </c>
      <c r="D101" s="5">
        <f>IFERROR(INDEX('Data Source'!$Q:$Q,MATCH(99,'Data Source'!$T:$T,0)),"")</f>
        <v/>
      </c>
      <c r="E101" s="5">
        <f>IFERROR(INDEX('Data Source'!$R:$R,MATCH(99,'Data Source'!$T:$T,0)),"")</f>
        <v/>
      </c>
      <c r="F101" s="3">
        <f>IFERROR(INDEX('Data Source'!$S:$S,MATCH(99,'Data Source'!$T:$T,0)),"")</f>
        <v/>
      </c>
    </row>
    <row r="102">
      <c r="A102" s="3">
        <f>IFERROR(IF(COUNTIF('Data Source'!$T:$T,100)&gt;0,100,""),"")</f>
        <v/>
      </c>
      <c r="B102">
        <f>IFERROR(INDEX('Data Source'!$B:$B,MATCH(100,'Data Source'!$T:$T,0)),"")</f>
        <v/>
      </c>
      <c r="C102" s="3">
        <f>IFERROR(INDEX('Data Source'!$P:$P,MATCH(100,'Data Source'!$T:$T,0)),"")</f>
        <v/>
      </c>
      <c r="D102" s="5">
        <f>IFERROR(INDEX('Data Source'!$Q:$Q,MATCH(100,'Data Source'!$T:$T,0)),"")</f>
        <v/>
      </c>
      <c r="E102" s="5">
        <f>IFERROR(INDEX('Data Source'!$R:$R,MATCH(100,'Data Source'!$T:$T,0)),"")</f>
        <v/>
      </c>
      <c r="F102" s="3">
        <f>IFERROR(INDEX('Data Source'!$S:$S,MATCH(100,'Data Source'!$T:$T,0)),"")</f>
        <v/>
      </c>
    </row>
    <row r="103">
      <c r="A103" s="3">
        <f>IFERROR(IF(COUNTIF('Data Source'!$T:$T,101)&gt;0,101,""),"")</f>
        <v/>
      </c>
      <c r="B103">
        <f>IFERROR(INDEX('Data Source'!$B:$B,MATCH(101,'Data Source'!$T:$T,0)),"")</f>
        <v/>
      </c>
      <c r="C103" s="3">
        <f>IFERROR(INDEX('Data Source'!$P:$P,MATCH(101,'Data Source'!$T:$T,0)),"")</f>
        <v/>
      </c>
      <c r="D103" s="5">
        <f>IFERROR(INDEX('Data Source'!$Q:$Q,MATCH(101,'Data Source'!$T:$T,0)),"")</f>
        <v/>
      </c>
      <c r="E103" s="5">
        <f>IFERROR(INDEX('Data Source'!$R:$R,MATCH(101,'Data Source'!$T:$T,0)),"")</f>
        <v/>
      </c>
      <c r="F103" s="3">
        <f>IFERROR(INDEX('Data Source'!$S:$S,MATCH(101,'Data Source'!$T:$T,0)),"")</f>
        <v/>
      </c>
    </row>
    <row r="104">
      <c r="A104" s="3">
        <f>IFERROR(IF(COUNTIF('Data Source'!$T:$T,102)&gt;0,102,""),"")</f>
        <v/>
      </c>
      <c r="B104">
        <f>IFERROR(INDEX('Data Source'!$B:$B,MATCH(102,'Data Source'!$T:$T,0)),"")</f>
        <v/>
      </c>
      <c r="C104" s="3">
        <f>IFERROR(INDEX('Data Source'!$P:$P,MATCH(102,'Data Source'!$T:$T,0)),"")</f>
        <v/>
      </c>
      <c r="D104" s="5">
        <f>IFERROR(INDEX('Data Source'!$Q:$Q,MATCH(102,'Data Source'!$T:$T,0)),"")</f>
        <v/>
      </c>
      <c r="E104" s="5">
        <f>IFERROR(INDEX('Data Source'!$R:$R,MATCH(102,'Data Source'!$T:$T,0)),"")</f>
        <v/>
      </c>
      <c r="F104" s="3">
        <f>IFERROR(INDEX('Data Source'!$S:$S,MATCH(102,'Data Source'!$T:$T,0)),"")</f>
        <v/>
      </c>
    </row>
    <row r="105">
      <c r="A105" s="3">
        <f>IFERROR(IF(COUNTIF('Data Source'!$T:$T,103)&gt;0,103,""),"")</f>
        <v/>
      </c>
      <c r="B105">
        <f>IFERROR(INDEX('Data Source'!$B:$B,MATCH(103,'Data Source'!$T:$T,0)),"")</f>
        <v/>
      </c>
      <c r="C105" s="3">
        <f>IFERROR(INDEX('Data Source'!$P:$P,MATCH(103,'Data Source'!$T:$T,0)),"")</f>
        <v/>
      </c>
      <c r="D105" s="5">
        <f>IFERROR(INDEX('Data Source'!$Q:$Q,MATCH(103,'Data Source'!$T:$T,0)),"")</f>
        <v/>
      </c>
      <c r="E105" s="5">
        <f>IFERROR(INDEX('Data Source'!$R:$R,MATCH(103,'Data Source'!$T:$T,0)),"")</f>
        <v/>
      </c>
      <c r="F105" s="3">
        <f>IFERROR(INDEX('Data Source'!$S:$S,MATCH(103,'Data Source'!$T:$T,0)),"")</f>
        <v/>
      </c>
    </row>
    <row r="106">
      <c r="A106" s="3">
        <f>IFERROR(IF(COUNTIF('Data Source'!$T:$T,104)&gt;0,104,""),"")</f>
        <v/>
      </c>
      <c r="B106">
        <f>IFERROR(INDEX('Data Source'!$B:$B,MATCH(104,'Data Source'!$T:$T,0)),"")</f>
        <v/>
      </c>
      <c r="C106" s="3">
        <f>IFERROR(INDEX('Data Source'!$P:$P,MATCH(104,'Data Source'!$T:$T,0)),"")</f>
        <v/>
      </c>
      <c r="D106" s="5">
        <f>IFERROR(INDEX('Data Source'!$Q:$Q,MATCH(104,'Data Source'!$T:$T,0)),"")</f>
        <v/>
      </c>
      <c r="E106" s="5">
        <f>IFERROR(INDEX('Data Source'!$R:$R,MATCH(104,'Data Source'!$T:$T,0)),"")</f>
        <v/>
      </c>
      <c r="F106" s="3">
        <f>IFERROR(INDEX('Data Source'!$S:$S,MATCH(104,'Data Source'!$T:$T,0)),"")</f>
        <v/>
      </c>
    </row>
    <row r="107">
      <c r="A107" s="3">
        <f>IFERROR(IF(COUNTIF('Data Source'!$T:$T,105)&gt;0,105,""),"")</f>
        <v/>
      </c>
      <c r="B107">
        <f>IFERROR(INDEX('Data Source'!$B:$B,MATCH(105,'Data Source'!$T:$T,0)),"")</f>
        <v/>
      </c>
      <c r="C107" s="3">
        <f>IFERROR(INDEX('Data Source'!$P:$P,MATCH(105,'Data Source'!$T:$T,0)),"")</f>
        <v/>
      </c>
      <c r="D107" s="5">
        <f>IFERROR(INDEX('Data Source'!$Q:$Q,MATCH(105,'Data Source'!$T:$T,0)),"")</f>
        <v/>
      </c>
      <c r="E107" s="5">
        <f>IFERROR(INDEX('Data Source'!$R:$R,MATCH(105,'Data Source'!$T:$T,0)),"")</f>
        <v/>
      </c>
      <c r="F107" s="3">
        <f>IFERROR(INDEX('Data Source'!$S:$S,MATCH(105,'Data Source'!$T:$T,0)),"")</f>
        <v/>
      </c>
    </row>
    <row r="108">
      <c r="A108" s="3">
        <f>IFERROR(IF(COUNTIF('Data Source'!$T:$T,106)&gt;0,106,""),"")</f>
        <v/>
      </c>
      <c r="B108">
        <f>IFERROR(INDEX('Data Source'!$B:$B,MATCH(106,'Data Source'!$T:$T,0)),"")</f>
        <v/>
      </c>
      <c r="C108" s="3">
        <f>IFERROR(INDEX('Data Source'!$P:$P,MATCH(106,'Data Source'!$T:$T,0)),"")</f>
        <v/>
      </c>
      <c r="D108" s="5">
        <f>IFERROR(INDEX('Data Source'!$Q:$Q,MATCH(106,'Data Source'!$T:$T,0)),"")</f>
        <v/>
      </c>
      <c r="E108" s="5">
        <f>IFERROR(INDEX('Data Source'!$R:$R,MATCH(106,'Data Source'!$T:$T,0)),"")</f>
        <v/>
      </c>
      <c r="F108" s="3">
        <f>IFERROR(INDEX('Data Source'!$S:$S,MATCH(106,'Data Source'!$T:$T,0)),"")</f>
        <v/>
      </c>
    </row>
    <row r="109">
      <c r="A109" s="3">
        <f>IFERROR(IF(COUNTIF('Data Source'!$T:$T,107)&gt;0,107,""),"")</f>
        <v/>
      </c>
      <c r="B109">
        <f>IFERROR(INDEX('Data Source'!$B:$B,MATCH(107,'Data Source'!$T:$T,0)),"")</f>
        <v/>
      </c>
      <c r="C109" s="3">
        <f>IFERROR(INDEX('Data Source'!$P:$P,MATCH(107,'Data Source'!$T:$T,0)),"")</f>
        <v/>
      </c>
      <c r="D109" s="5">
        <f>IFERROR(INDEX('Data Source'!$Q:$Q,MATCH(107,'Data Source'!$T:$T,0)),"")</f>
        <v/>
      </c>
      <c r="E109" s="5">
        <f>IFERROR(INDEX('Data Source'!$R:$R,MATCH(107,'Data Source'!$T:$T,0)),"")</f>
        <v/>
      </c>
      <c r="F109" s="3">
        <f>IFERROR(INDEX('Data Source'!$S:$S,MATCH(107,'Data Source'!$T:$T,0)),"")</f>
        <v/>
      </c>
    </row>
    <row r="110">
      <c r="A110" s="3">
        <f>IFERROR(IF(COUNTIF('Data Source'!$T:$T,108)&gt;0,108,""),"")</f>
        <v/>
      </c>
      <c r="B110">
        <f>IFERROR(INDEX('Data Source'!$B:$B,MATCH(108,'Data Source'!$T:$T,0)),"")</f>
        <v/>
      </c>
      <c r="C110" s="3">
        <f>IFERROR(INDEX('Data Source'!$P:$P,MATCH(108,'Data Source'!$T:$T,0)),"")</f>
        <v/>
      </c>
      <c r="D110" s="5">
        <f>IFERROR(INDEX('Data Source'!$Q:$Q,MATCH(108,'Data Source'!$T:$T,0)),"")</f>
        <v/>
      </c>
      <c r="E110" s="5">
        <f>IFERROR(INDEX('Data Source'!$R:$R,MATCH(108,'Data Source'!$T:$T,0)),"")</f>
        <v/>
      </c>
      <c r="F110" s="3">
        <f>IFERROR(INDEX('Data Source'!$S:$S,MATCH(108,'Data Source'!$T:$T,0)),"")</f>
        <v/>
      </c>
    </row>
    <row r="111">
      <c r="A111" s="3">
        <f>IFERROR(IF(COUNTIF('Data Source'!$T:$T,109)&gt;0,109,""),"")</f>
        <v/>
      </c>
      <c r="B111">
        <f>IFERROR(INDEX('Data Source'!$B:$B,MATCH(109,'Data Source'!$T:$T,0)),"")</f>
        <v/>
      </c>
      <c r="C111" s="3">
        <f>IFERROR(INDEX('Data Source'!$P:$P,MATCH(109,'Data Source'!$T:$T,0)),"")</f>
        <v/>
      </c>
      <c r="D111" s="5">
        <f>IFERROR(INDEX('Data Source'!$Q:$Q,MATCH(109,'Data Source'!$T:$T,0)),"")</f>
        <v/>
      </c>
      <c r="E111" s="5">
        <f>IFERROR(INDEX('Data Source'!$R:$R,MATCH(109,'Data Source'!$T:$T,0)),"")</f>
        <v/>
      </c>
      <c r="F111" s="3">
        <f>IFERROR(INDEX('Data Source'!$S:$S,MATCH(109,'Data Source'!$T:$T,0)),"")</f>
        <v/>
      </c>
    </row>
    <row r="112">
      <c r="A112" s="3">
        <f>IFERROR(IF(COUNTIF('Data Source'!$T:$T,110)&gt;0,110,""),"")</f>
        <v/>
      </c>
      <c r="B112">
        <f>IFERROR(INDEX('Data Source'!$B:$B,MATCH(110,'Data Source'!$T:$T,0)),"")</f>
        <v/>
      </c>
      <c r="C112" s="3">
        <f>IFERROR(INDEX('Data Source'!$P:$P,MATCH(110,'Data Source'!$T:$T,0)),"")</f>
        <v/>
      </c>
      <c r="D112" s="5">
        <f>IFERROR(INDEX('Data Source'!$Q:$Q,MATCH(110,'Data Source'!$T:$T,0)),"")</f>
        <v/>
      </c>
      <c r="E112" s="5">
        <f>IFERROR(INDEX('Data Source'!$R:$R,MATCH(110,'Data Source'!$T:$T,0)),"")</f>
        <v/>
      </c>
      <c r="F112" s="3">
        <f>IFERROR(INDEX('Data Source'!$S:$S,MATCH(110,'Data Source'!$T:$T,0)),"")</f>
        <v/>
      </c>
    </row>
    <row r="113">
      <c r="A113" s="3">
        <f>IFERROR(IF(COUNTIF('Data Source'!$T:$T,111)&gt;0,111,""),"")</f>
        <v/>
      </c>
      <c r="B113">
        <f>IFERROR(INDEX('Data Source'!$B:$B,MATCH(111,'Data Source'!$T:$T,0)),"")</f>
        <v/>
      </c>
      <c r="C113" s="3">
        <f>IFERROR(INDEX('Data Source'!$P:$P,MATCH(111,'Data Source'!$T:$T,0)),"")</f>
        <v/>
      </c>
      <c r="D113" s="5">
        <f>IFERROR(INDEX('Data Source'!$Q:$Q,MATCH(111,'Data Source'!$T:$T,0)),"")</f>
        <v/>
      </c>
      <c r="E113" s="5">
        <f>IFERROR(INDEX('Data Source'!$R:$R,MATCH(111,'Data Source'!$T:$T,0)),"")</f>
        <v/>
      </c>
      <c r="F113" s="3">
        <f>IFERROR(INDEX('Data Source'!$S:$S,MATCH(111,'Data Source'!$T:$T,0)),"")</f>
        <v/>
      </c>
    </row>
    <row r="114">
      <c r="A114" s="3">
        <f>IFERROR(IF(COUNTIF('Data Source'!$T:$T,112)&gt;0,112,""),"")</f>
        <v/>
      </c>
      <c r="B114">
        <f>IFERROR(INDEX('Data Source'!$B:$B,MATCH(112,'Data Source'!$T:$T,0)),"")</f>
        <v/>
      </c>
      <c r="C114" s="3">
        <f>IFERROR(INDEX('Data Source'!$P:$P,MATCH(112,'Data Source'!$T:$T,0)),"")</f>
        <v/>
      </c>
      <c r="D114" s="5">
        <f>IFERROR(INDEX('Data Source'!$Q:$Q,MATCH(112,'Data Source'!$T:$T,0)),"")</f>
        <v/>
      </c>
      <c r="E114" s="5">
        <f>IFERROR(INDEX('Data Source'!$R:$R,MATCH(112,'Data Source'!$T:$T,0)),"")</f>
        <v/>
      </c>
      <c r="F114" s="3">
        <f>IFERROR(INDEX('Data Source'!$S:$S,MATCH(112,'Data Source'!$T:$T,0)),"")</f>
        <v/>
      </c>
    </row>
    <row r="115">
      <c r="A115" s="3">
        <f>IFERROR(IF(COUNTIF('Data Source'!$T:$T,113)&gt;0,113,""),"")</f>
        <v/>
      </c>
      <c r="B115">
        <f>IFERROR(INDEX('Data Source'!$B:$B,MATCH(113,'Data Source'!$T:$T,0)),"")</f>
        <v/>
      </c>
      <c r="C115" s="3">
        <f>IFERROR(INDEX('Data Source'!$P:$P,MATCH(113,'Data Source'!$T:$T,0)),"")</f>
        <v/>
      </c>
      <c r="D115" s="5">
        <f>IFERROR(INDEX('Data Source'!$Q:$Q,MATCH(113,'Data Source'!$T:$T,0)),"")</f>
        <v/>
      </c>
      <c r="E115" s="5">
        <f>IFERROR(INDEX('Data Source'!$R:$R,MATCH(113,'Data Source'!$T:$T,0)),"")</f>
        <v/>
      </c>
      <c r="F115" s="3">
        <f>IFERROR(INDEX('Data Source'!$S:$S,MATCH(113,'Data Source'!$T:$T,0)),"")</f>
        <v/>
      </c>
    </row>
    <row r="116">
      <c r="A116" s="3">
        <f>IFERROR(IF(COUNTIF('Data Source'!$T:$T,114)&gt;0,114,""),"")</f>
        <v/>
      </c>
      <c r="B116">
        <f>IFERROR(INDEX('Data Source'!$B:$B,MATCH(114,'Data Source'!$T:$T,0)),"")</f>
        <v/>
      </c>
      <c r="C116" s="3">
        <f>IFERROR(INDEX('Data Source'!$P:$P,MATCH(114,'Data Source'!$T:$T,0)),"")</f>
        <v/>
      </c>
      <c r="D116" s="5">
        <f>IFERROR(INDEX('Data Source'!$Q:$Q,MATCH(114,'Data Source'!$T:$T,0)),"")</f>
        <v/>
      </c>
      <c r="E116" s="5">
        <f>IFERROR(INDEX('Data Source'!$R:$R,MATCH(114,'Data Source'!$T:$T,0)),"")</f>
        <v/>
      </c>
      <c r="F116" s="3">
        <f>IFERROR(INDEX('Data Source'!$S:$S,MATCH(114,'Data Source'!$T:$T,0)),"")</f>
        <v/>
      </c>
    </row>
    <row r="117">
      <c r="A117" s="3">
        <f>IFERROR(IF(COUNTIF('Data Source'!$T:$T,115)&gt;0,115,""),"")</f>
        <v/>
      </c>
      <c r="B117">
        <f>IFERROR(INDEX('Data Source'!$B:$B,MATCH(115,'Data Source'!$T:$T,0)),"")</f>
        <v/>
      </c>
      <c r="C117" s="3">
        <f>IFERROR(INDEX('Data Source'!$P:$P,MATCH(115,'Data Source'!$T:$T,0)),"")</f>
        <v/>
      </c>
      <c r="D117" s="5">
        <f>IFERROR(INDEX('Data Source'!$Q:$Q,MATCH(115,'Data Source'!$T:$T,0)),"")</f>
        <v/>
      </c>
      <c r="E117" s="5">
        <f>IFERROR(INDEX('Data Source'!$R:$R,MATCH(115,'Data Source'!$T:$T,0)),"")</f>
        <v/>
      </c>
      <c r="F117" s="3">
        <f>IFERROR(INDEX('Data Source'!$S:$S,MATCH(115,'Data Source'!$T:$T,0)),"")</f>
        <v/>
      </c>
    </row>
    <row r="118">
      <c r="A118" s="3">
        <f>IFERROR(IF(COUNTIF('Data Source'!$T:$T,116)&gt;0,116,""),"")</f>
        <v/>
      </c>
      <c r="B118">
        <f>IFERROR(INDEX('Data Source'!$B:$B,MATCH(116,'Data Source'!$T:$T,0)),"")</f>
        <v/>
      </c>
      <c r="C118" s="3">
        <f>IFERROR(INDEX('Data Source'!$P:$P,MATCH(116,'Data Source'!$T:$T,0)),"")</f>
        <v/>
      </c>
      <c r="D118" s="5">
        <f>IFERROR(INDEX('Data Source'!$Q:$Q,MATCH(116,'Data Source'!$T:$T,0)),"")</f>
        <v/>
      </c>
      <c r="E118" s="5">
        <f>IFERROR(INDEX('Data Source'!$R:$R,MATCH(116,'Data Source'!$T:$T,0)),"")</f>
        <v/>
      </c>
      <c r="F118" s="3">
        <f>IFERROR(INDEX('Data Source'!$S:$S,MATCH(116,'Data Source'!$T:$T,0)),"")</f>
        <v/>
      </c>
    </row>
    <row r="119">
      <c r="A119" s="3">
        <f>IFERROR(IF(COUNTIF('Data Source'!$T:$T,117)&gt;0,117,""),"")</f>
        <v/>
      </c>
      <c r="B119">
        <f>IFERROR(INDEX('Data Source'!$B:$B,MATCH(117,'Data Source'!$T:$T,0)),"")</f>
        <v/>
      </c>
      <c r="C119" s="3">
        <f>IFERROR(INDEX('Data Source'!$P:$P,MATCH(117,'Data Source'!$T:$T,0)),"")</f>
        <v/>
      </c>
      <c r="D119" s="5">
        <f>IFERROR(INDEX('Data Source'!$Q:$Q,MATCH(117,'Data Source'!$T:$T,0)),"")</f>
        <v/>
      </c>
      <c r="E119" s="5">
        <f>IFERROR(INDEX('Data Source'!$R:$R,MATCH(117,'Data Source'!$T:$T,0)),"")</f>
        <v/>
      </c>
      <c r="F119" s="3">
        <f>IFERROR(INDEX('Data Source'!$S:$S,MATCH(117,'Data Source'!$T:$T,0)),"")</f>
        <v/>
      </c>
    </row>
    <row r="120">
      <c r="A120" s="3">
        <f>IFERROR(IF(COUNTIF('Data Source'!$T:$T,118)&gt;0,118,""),"")</f>
        <v/>
      </c>
      <c r="B120">
        <f>IFERROR(INDEX('Data Source'!$B:$B,MATCH(118,'Data Source'!$T:$T,0)),"")</f>
        <v/>
      </c>
      <c r="C120" s="3">
        <f>IFERROR(INDEX('Data Source'!$P:$P,MATCH(118,'Data Source'!$T:$T,0)),"")</f>
        <v/>
      </c>
      <c r="D120" s="5">
        <f>IFERROR(INDEX('Data Source'!$Q:$Q,MATCH(118,'Data Source'!$T:$T,0)),"")</f>
        <v/>
      </c>
      <c r="E120" s="5">
        <f>IFERROR(INDEX('Data Source'!$R:$R,MATCH(118,'Data Source'!$T:$T,0)),"")</f>
        <v/>
      </c>
      <c r="F120" s="3">
        <f>IFERROR(INDEX('Data Source'!$S:$S,MATCH(118,'Data Source'!$T:$T,0)),"")</f>
        <v/>
      </c>
    </row>
    <row r="121">
      <c r="A121" s="3">
        <f>IFERROR(IF(COUNTIF('Data Source'!$T:$T,119)&gt;0,119,""),"")</f>
        <v/>
      </c>
      <c r="B121">
        <f>IFERROR(INDEX('Data Source'!$B:$B,MATCH(119,'Data Source'!$T:$T,0)),"")</f>
        <v/>
      </c>
      <c r="C121" s="3">
        <f>IFERROR(INDEX('Data Source'!$P:$P,MATCH(119,'Data Source'!$T:$T,0)),"")</f>
        <v/>
      </c>
      <c r="D121" s="5">
        <f>IFERROR(INDEX('Data Source'!$Q:$Q,MATCH(119,'Data Source'!$T:$T,0)),"")</f>
        <v/>
      </c>
      <c r="E121" s="5">
        <f>IFERROR(INDEX('Data Source'!$R:$R,MATCH(119,'Data Source'!$T:$T,0)),"")</f>
        <v/>
      </c>
      <c r="F121" s="3">
        <f>IFERROR(INDEX('Data Source'!$S:$S,MATCH(119,'Data Source'!$T:$T,0)),"")</f>
        <v/>
      </c>
    </row>
    <row r="122">
      <c r="A122" s="3">
        <f>IFERROR(IF(COUNTIF('Data Source'!$T:$T,120)&gt;0,120,""),"")</f>
        <v/>
      </c>
      <c r="B122">
        <f>IFERROR(INDEX('Data Source'!$B:$B,MATCH(120,'Data Source'!$T:$T,0)),"")</f>
        <v/>
      </c>
      <c r="C122" s="3">
        <f>IFERROR(INDEX('Data Source'!$P:$P,MATCH(120,'Data Source'!$T:$T,0)),"")</f>
        <v/>
      </c>
      <c r="D122" s="5">
        <f>IFERROR(INDEX('Data Source'!$Q:$Q,MATCH(120,'Data Source'!$T:$T,0)),"")</f>
        <v/>
      </c>
      <c r="E122" s="5">
        <f>IFERROR(INDEX('Data Source'!$R:$R,MATCH(120,'Data Source'!$T:$T,0)),"")</f>
        <v/>
      </c>
      <c r="F122" s="3">
        <f>IFERROR(INDEX('Data Source'!$S:$S,MATCH(120,'Data Source'!$T:$T,0)),"")</f>
        <v/>
      </c>
    </row>
    <row r="123">
      <c r="A123" s="3">
        <f>IFERROR(IF(COUNTIF('Data Source'!$T:$T,121)&gt;0,121,""),"")</f>
        <v/>
      </c>
      <c r="B123">
        <f>IFERROR(INDEX('Data Source'!$B:$B,MATCH(121,'Data Source'!$T:$T,0)),"")</f>
        <v/>
      </c>
      <c r="C123" s="3">
        <f>IFERROR(INDEX('Data Source'!$P:$P,MATCH(121,'Data Source'!$T:$T,0)),"")</f>
        <v/>
      </c>
      <c r="D123" s="5">
        <f>IFERROR(INDEX('Data Source'!$Q:$Q,MATCH(121,'Data Source'!$T:$T,0)),"")</f>
        <v/>
      </c>
      <c r="E123" s="5">
        <f>IFERROR(INDEX('Data Source'!$R:$R,MATCH(121,'Data Source'!$T:$T,0)),"")</f>
        <v/>
      </c>
      <c r="F123" s="3">
        <f>IFERROR(INDEX('Data Source'!$S:$S,MATCH(121,'Data Source'!$T:$T,0)),"")</f>
        <v/>
      </c>
    </row>
    <row r="124">
      <c r="A124" s="3">
        <f>IFERROR(IF(COUNTIF('Data Source'!$T:$T,122)&gt;0,122,""),"")</f>
        <v/>
      </c>
      <c r="B124">
        <f>IFERROR(INDEX('Data Source'!$B:$B,MATCH(122,'Data Source'!$T:$T,0)),"")</f>
        <v/>
      </c>
      <c r="C124" s="3">
        <f>IFERROR(INDEX('Data Source'!$P:$P,MATCH(122,'Data Source'!$T:$T,0)),"")</f>
        <v/>
      </c>
      <c r="D124" s="5">
        <f>IFERROR(INDEX('Data Source'!$Q:$Q,MATCH(122,'Data Source'!$T:$T,0)),"")</f>
        <v/>
      </c>
      <c r="E124" s="5">
        <f>IFERROR(INDEX('Data Source'!$R:$R,MATCH(122,'Data Source'!$T:$T,0)),"")</f>
        <v/>
      </c>
      <c r="F124" s="3">
        <f>IFERROR(INDEX('Data Source'!$S:$S,MATCH(122,'Data Source'!$T:$T,0)),"")</f>
        <v/>
      </c>
    </row>
    <row r="125">
      <c r="A125" s="3">
        <f>IFERROR(IF(COUNTIF('Data Source'!$T:$T,123)&gt;0,123,""),"")</f>
        <v/>
      </c>
      <c r="B125">
        <f>IFERROR(INDEX('Data Source'!$B:$B,MATCH(123,'Data Source'!$T:$T,0)),"")</f>
        <v/>
      </c>
      <c r="C125" s="3">
        <f>IFERROR(INDEX('Data Source'!$P:$P,MATCH(123,'Data Source'!$T:$T,0)),"")</f>
        <v/>
      </c>
      <c r="D125" s="5">
        <f>IFERROR(INDEX('Data Source'!$Q:$Q,MATCH(123,'Data Source'!$T:$T,0)),"")</f>
        <v/>
      </c>
      <c r="E125" s="5">
        <f>IFERROR(INDEX('Data Source'!$R:$R,MATCH(123,'Data Source'!$T:$T,0)),"")</f>
        <v/>
      </c>
      <c r="F125" s="3">
        <f>IFERROR(INDEX('Data Source'!$S:$S,MATCH(123,'Data Source'!$T:$T,0)),"")</f>
        <v/>
      </c>
    </row>
    <row r="126">
      <c r="A126" s="3">
        <f>IFERROR(IF(COUNTIF('Data Source'!$T:$T,124)&gt;0,124,""),"")</f>
        <v/>
      </c>
      <c r="B126">
        <f>IFERROR(INDEX('Data Source'!$B:$B,MATCH(124,'Data Source'!$T:$T,0)),"")</f>
        <v/>
      </c>
      <c r="C126" s="3">
        <f>IFERROR(INDEX('Data Source'!$P:$P,MATCH(124,'Data Source'!$T:$T,0)),"")</f>
        <v/>
      </c>
      <c r="D126" s="5">
        <f>IFERROR(INDEX('Data Source'!$Q:$Q,MATCH(124,'Data Source'!$T:$T,0)),"")</f>
        <v/>
      </c>
      <c r="E126" s="5">
        <f>IFERROR(INDEX('Data Source'!$R:$R,MATCH(124,'Data Source'!$T:$T,0)),"")</f>
        <v/>
      </c>
      <c r="F126" s="3">
        <f>IFERROR(INDEX('Data Source'!$S:$S,MATCH(124,'Data Source'!$T:$T,0)),"")</f>
        <v/>
      </c>
    </row>
    <row r="127">
      <c r="A127" s="3">
        <f>IFERROR(IF(COUNTIF('Data Source'!$T:$T,125)&gt;0,125,""),"")</f>
        <v/>
      </c>
      <c r="B127">
        <f>IFERROR(INDEX('Data Source'!$B:$B,MATCH(125,'Data Source'!$T:$T,0)),"")</f>
        <v/>
      </c>
      <c r="C127" s="3">
        <f>IFERROR(INDEX('Data Source'!$P:$P,MATCH(125,'Data Source'!$T:$T,0)),"")</f>
        <v/>
      </c>
      <c r="D127" s="5">
        <f>IFERROR(INDEX('Data Source'!$Q:$Q,MATCH(125,'Data Source'!$T:$T,0)),"")</f>
        <v/>
      </c>
      <c r="E127" s="5">
        <f>IFERROR(INDEX('Data Source'!$R:$R,MATCH(125,'Data Source'!$T:$T,0)),"")</f>
        <v/>
      </c>
      <c r="F127" s="3">
        <f>IFERROR(INDEX('Data Source'!$S:$S,MATCH(125,'Data Source'!$T:$T,0)),"")</f>
        <v/>
      </c>
    </row>
    <row r="128">
      <c r="A128" s="3">
        <f>IFERROR(IF(COUNTIF('Data Source'!$T:$T,126)&gt;0,126,""),"")</f>
        <v/>
      </c>
      <c r="B128">
        <f>IFERROR(INDEX('Data Source'!$B:$B,MATCH(126,'Data Source'!$T:$T,0)),"")</f>
        <v/>
      </c>
      <c r="C128" s="3">
        <f>IFERROR(INDEX('Data Source'!$P:$P,MATCH(126,'Data Source'!$T:$T,0)),"")</f>
        <v/>
      </c>
      <c r="D128" s="5">
        <f>IFERROR(INDEX('Data Source'!$Q:$Q,MATCH(126,'Data Source'!$T:$T,0)),"")</f>
        <v/>
      </c>
      <c r="E128" s="5">
        <f>IFERROR(INDEX('Data Source'!$R:$R,MATCH(126,'Data Source'!$T:$T,0)),"")</f>
        <v/>
      </c>
      <c r="F128" s="3">
        <f>IFERROR(INDEX('Data Source'!$S:$S,MATCH(126,'Data Source'!$T:$T,0)),"")</f>
        <v/>
      </c>
    </row>
    <row r="129">
      <c r="A129" s="3">
        <f>IFERROR(IF(COUNTIF('Data Source'!$T:$T,127)&gt;0,127,""),"")</f>
        <v/>
      </c>
      <c r="B129">
        <f>IFERROR(INDEX('Data Source'!$B:$B,MATCH(127,'Data Source'!$T:$T,0)),"")</f>
        <v/>
      </c>
      <c r="C129" s="3">
        <f>IFERROR(INDEX('Data Source'!$P:$P,MATCH(127,'Data Source'!$T:$T,0)),"")</f>
        <v/>
      </c>
      <c r="D129" s="5">
        <f>IFERROR(INDEX('Data Source'!$Q:$Q,MATCH(127,'Data Source'!$T:$T,0)),"")</f>
        <v/>
      </c>
      <c r="E129" s="5">
        <f>IFERROR(INDEX('Data Source'!$R:$R,MATCH(127,'Data Source'!$T:$T,0)),"")</f>
        <v/>
      </c>
      <c r="F129" s="3">
        <f>IFERROR(INDEX('Data Source'!$S:$S,MATCH(127,'Data Source'!$T:$T,0)),"")</f>
        <v/>
      </c>
    </row>
    <row r="130">
      <c r="A130" s="3">
        <f>IFERROR(IF(COUNTIF('Data Source'!$T:$T,128)&gt;0,128,""),"")</f>
        <v/>
      </c>
      <c r="B130">
        <f>IFERROR(INDEX('Data Source'!$B:$B,MATCH(128,'Data Source'!$T:$T,0)),"")</f>
        <v/>
      </c>
      <c r="C130" s="3">
        <f>IFERROR(INDEX('Data Source'!$P:$P,MATCH(128,'Data Source'!$T:$T,0)),"")</f>
        <v/>
      </c>
      <c r="D130" s="5">
        <f>IFERROR(INDEX('Data Source'!$Q:$Q,MATCH(128,'Data Source'!$T:$T,0)),"")</f>
        <v/>
      </c>
      <c r="E130" s="5">
        <f>IFERROR(INDEX('Data Source'!$R:$R,MATCH(128,'Data Source'!$T:$T,0)),"")</f>
        <v/>
      </c>
      <c r="F130" s="3">
        <f>IFERROR(INDEX('Data Source'!$S:$S,MATCH(128,'Data Source'!$T:$T,0)),"")</f>
        <v/>
      </c>
    </row>
    <row r="131">
      <c r="A131" s="3">
        <f>IFERROR(IF(COUNTIF('Data Source'!$T:$T,129)&gt;0,129,""),"")</f>
        <v/>
      </c>
      <c r="B131">
        <f>IFERROR(INDEX('Data Source'!$B:$B,MATCH(129,'Data Source'!$T:$T,0)),"")</f>
        <v/>
      </c>
      <c r="C131" s="3">
        <f>IFERROR(INDEX('Data Source'!$P:$P,MATCH(129,'Data Source'!$T:$T,0)),"")</f>
        <v/>
      </c>
      <c r="D131" s="5">
        <f>IFERROR(INDEX('Data Source'!$Q:$Q,MATCH(129,'Data Source'!$T:$T,0)),"")</f>
        <v/>
      </c>
      <c r="E131" s="5">
        <f>IFERROR(INDEX('Data Source'!$R:$R,MATCH(129,'Data Source'!$T:$T,0)),"")</f>
        <v/>
      </c>
      <c r="F131" s="3">
        <f>IFERROR(INDEX('Data Source'!$S:$S,MATCH(129,'Data Source'!$T:$T,0)),"")</f>
        <v/>
      </c>
    </row>
    <row r="132">
      <c r="A132" s="3">
        <f>IFERROR(IF(COUNTIF('Data Source'!$T:$T,130)&gt;0,130,""),"")</f>
        <v/>
      </c>
      <c r="B132">
        <f>IFERROR(INDEX('Data Source'!$B:$B,MATCH(130,'Data Source'!$T:$T,0)),"")</f>
        <v/>
      </c>
      <c r="C132" s="3">
        <f>IFERROR(INDEX('Data Source'!$P:$P,MATCH(130,'Data Source'!$T:$T,0)),"")</f>
        <v/>
      </c>
      <c r="D132" s="5">
        <f>IFERROR(INDEX('Data Source'!$Q:$Q,MATCH(130,'Data Source'!$T:$T,0)),"")</f>
        <v/>
      </c>
      <c r="E132" s="5">
        <f>IFERROR(INDEX('Data Source'!$R:$R,MATCH(130,'Data Source'!$T:$T,0)),"")</f>
        <v/>
      </c>
      <c r="F132" s="3">
        <f>IFERROR(INDEX('Data Source'!$S:$S,MATCH(130,'Data Source'!$T:$T,0)),"")</f>
        <v/>
      </c>
    </row>
    <row r="133">
      <c r="A133" s="3">
        <f>IFERROR(IF(COUNTIF('Data Source'!$T:$T,131)&gt;0,131,""),"")</f>
        <v/>
      </c>
      <c r="B133">
        <f>IFERROR(INDEX('Data Source'!$B:$B,MATCH(131,'Data Source'!$T:$T,0)),"")</f>
        <v/>
      </c>
      <c r="C133" s="3">
        <f>IFERROR(INDEX('Data Source'!$P:$P,MATCH(131,'Data Source'!$T:$T,0)),"")</f>
        <v/>
      </c>
      <c r="D133" s="5">
        <f>IFERROR(INDEX('Data Source'!$Q:$Q,MATCH(131,'Data Source'!$T:$T,0)),"")</f>
        <v/>
      </c>
      <c r="E133" s="5">
        <f>IFERROR(INDEX('Data Source'!$R:$R,MATCH(131,'Data Source'!$T:$T,0)),"")</f>
        <v/>
      </c>
      <c r="F133" s="3">
        <f>IFERROR(INDEX('Data Source'!$S:$S,MATCH(131,'Data Source'!$T:$T,0)),"")</f>
        <v/>
      </c>
    </row>
    <row r="134">
      <c r="A134" s="3">
        <f>IFERROR(IF(COUNTIF('Data Source'!$T:$T,132)&gt;0,132,""),"")</f>
        <v/>
      </c>
      <c r="B134">
        <f>IFERROR(INDEX('Data Source'!$B:$B,MATCH(132,'Data Source'!$T:$T,0)),"")</f>
        <v/>
      </c>
      <c r="C134" s="3">
        <f>IFERROR(INDEX('Data Source'!$P:$P,MATCH(132,'Data Source'!$T:$T,0)),"")</f>
        <v/>
      </c>
      <c r="D134" s="5">
        <f>IFERROR(INDEX('Data Source'!$Q:$Q,MATCH(132,'Data Source'!$T:$T,0)),"")</f>
        <v/>
      </c>
      <c r="E134" s="5">
        <f>IFERROR(INDEX('Data Source'!$R:$R,MATCH(132,'Data Source'!$T:$T,0)),"")</f>
        <v/>
      </c>
      <c r="F134" s="3">
        <f>IFERROR(INDEX('Data Source'!$S:$S,MATCH(132,'Data Source'!$T:$T,0)),"")</f>
        <v/>
      </c>
    </row>
    <row r="135">
      <c r="A135" s="3">
        <f>IFERROR(IF(COUNTIF('Data Source'!$T:$T,133)&gt;0,133,""),"")</f>
        <v/>
      </c>
      <c r="B135">
        <f>IFERROR(INDEX('Data Source'!$B:$B,MATCH(133,'Data Source'!$T:$T,0)),"")</f>
        <v/>
      </c>
      <c r="C135" s="3">
        <f>IFERROR(INDEX('Data Source'!$P:$P,MATCH(133,'Data Source'!$T:$T,0)),"")</f>
        <v/>
      </c>
      <c r="D135" s="5">
        <f>IFERROR(INDEX('Data Source'!$Q:$Q,MATCH(133,'Data Source'!$T:$T,0)),"")</f>
        <v/>
      </c>
      <c r="E135" s="5">
        <f>IFERROR(INDEX('Data Source'!$R:$R,MATCH(133,'Data Source'!$T:$T,0)),"")</f>
        <v/>
      </c>
      <c r="F135" s="3">
        <f>IFERROR(INDEX('Data Source'!$S:$S,MATCH(133,'Data Source'!$T:$T,0)),"")</f>
        <v/>
      </c>
    </row>
    <row r="136">
      <c r="A136" s="3">
        <f>IFERROR(IF(COUNTIF('Data Source'!$T:$T,134)&gt;0,134,""),"")</f>
        <v/>
      </c>
      <c r="B136">
        <f>IFERROR(INDEX('Data Source'!$B:$B,MATCH(134,'Data Source'!$T:$T,0)),"")</f>
        <v/>
      </c>
      <c r="C136" s="3">
        <f>IFERROR(INDEX('Data Source'!$P:$P,MATCH(134,'Data Source'!$T:$T,0)),"")</f>
        <v/>
      </c>
      <c r="D136" s="5">
        <f>IFERROR(INDEX('Data Source'!$Q:$Q,MATCH(134,'Data Source'!$T:$T,0)),"")</f>
        <v/>
      </c>
      <c r="E136" s="5">
        <f>IFERROR(INDEX('Data Source'!$R:$R,MATCH(134,'Data Source'!$T:$T,0)),"")</f>
        <v/>
      </c>
      <c r="F136" s="3">
        <f>IFERROR(INDEX('Data Source'!$S:$S,MATCH(134,'Data Source'!$T:$T,0)),"")</f>
        <v/>
      </c>
    </row>
    <row r="137">
      <c r="A137" s="3">
        <f>IFERROR(IF(COUNTIF('Data Source'!$T:$T,135)&gt;0,135,""),"")</f>
        <v/>
      </c>
      <c r="B137">
        <f>IFERROR(INDEX('Data Source'!$B:$B,MATCH(135,'Data Source'!$T:$T,0)),"")</f>
        <v/>
      </c>
      <c r="C137" s="3">
        <f>IFERROR(INDEX('Data Source'!$P:$P,MATCH(135,'Data Source'!$T:$T,0)),"")</f>
        <v/>
      </c>
      <c r="D137" s="5">
        <f>IFERROR(INDEX('Data Source'!$Q:$Q,MATCH(135,'Data Source'!$T:$T,0)),"")</f>
        <v/>
      </c>
      <c r="E137" s="5">
        <f>IFERROR(INDEX('Data Source'!$R:$R,MATCH(135,'Data Source'!$T:$T,0)),"")</f>
        <v/>
      </c>
      <c r="F137" s="3">
        <f>IFERROR(INDEX('Data Source'!$S:$S,MATCH(135,'Data Source'!$T:$T,0)),"")</f>
        <v/>
      </c>
    </row>
    <row r="138">
      <c r="A138" s="3">
        <f>IFERROR(IF(COUNTIF('Data Source'!$T:$T,136)&gt;0,136,""),"")</f>
        <v/>
      </c>
      <c r="B138">
        <f>IFERROR(INDEX('Data Source'!$B:$B,MATCH(136,'Data Source'!$T:$T,0)),"")</f>
        <v/>
      </c>
      <c r="C138" s="3">
        <f>IFERROR(INDEX('Data Source'!$P:$P,MATCH(136,'Data Source'!$T:$T,0)),"")</f>
        <v/>
      </c>
      <c r="D138" s="5">
        <f>IFERROR(INDEX('Data Source'!$Q:$Q,MATCH(136,'Data Source'!$T:$T,0)),"")</f>
        <v/>
      </c>
      <c r="E138" s="5">
        <f>IFERROR(INDEX('Data Source'!$R:$R,MATCH(136,'Data Source'!$T:$T,0)),"")</f>
        <v/>
      </c>
      <c r="F138" s="3">
        <f>IFERROR(INDEX('Data Source'!$S:$S,MATCH(136,'Data Source'!$T:$T,0)),"")</f>
        <v/>
      </c>
    </row>
    <row r="139">
      <c r="A139" s="3">
        <f>IFERROR(IF(COUNTIF('Data Source'!$T:$T,137)&gt;0,137,""),"")</f>
        <v/>
      </c>
      <c r="B139">
        <f>IFERROR(INDEX('Data Source'!$B:$B,MATCH(137,'Data Source'!$T:$T,0)),"")</f>
        <v/>
      </c>
      <c r="C139" s="3">
        <f>IFERROR(INDEX('Data Source'!$P:$P,MATCH(137,'Data Source'!$T:$T,0)),"")</f>
        <v/>
      </c>
      <c r="D139" s="5">
        <f>IFERROR(INDEX('Data Source'!$Q:$Q,MATCH(137,'Data Source'!$T:$T,0)),"")</f>
        <v/>
      </c>
      <c r="E139" s="5">
        <f>IFERROR(INDEX('Data Source'!$R:$R,MATCH(137,'Data Source'!$T:$T,0)),"")</f>
        <v/>
      </c>
      <c r="F139" s="3">
        <f>IFERROR(INDEX('Data Source'!$S:$S,MATCH(137,'Data Source'!$T:$T,0)),"")</f>
        <v/>
      </c>
    </row>
    <row r="140">
      <c r="A140" s="3">
        <f>IFERROR(IF(COUNTIF('Data Source'!$T:$T,138)&gt;0,138,""),"")</f>
        <v/>
      </c>
      <c r="B140">
        <f>IFERROR(INDEX('Data Source'!$B:$B,MATCH(138,'Data Source'!$T:$T,0)),"")</f>
        <v/>
      </c>
      <c r="C140" s="3">
        <f>IFERROR(INDEX('Data Source'!$P:$P,MATCH(138,'Data Source'!$T:$T,0)),"")</f>
        <v/>
      </c>
      <c r="D140" s="5">
        <f>IFERROR(INDEX('Data Source'!$Q:$Q,MATCH(138,'Data Source'!$T:$T,0)),"")</f>
        <v/>
      </c>
      <c r="E140" s="5">
        <f>IFERROR(INDEX('Data Source'!$R:$R,MATCH(138,'Data Source'!$T:$T,0)),"")</f>
        <v/>
      </c>
      <c r="F140" s="3">
        <f>IFERROR(INDEX('Data Source'!$S:$S,MATCH(138,'Data Source'!$T:$T,0)),"")</f>
        <v/>
      </c>
    </row>
    <row r="141">
      <c r="A141" s="3">
        <f>IFERROR(IF(COUNTIF('Data Source'!$T:$T,139)&gt;0,139,""),"")</f>
        <v/>
      </c>
      <c r="B141">
        <f>IFERROR(INDEX('Data Source'!$B:$B,MATCH(139,'Data Source'!$T:$T,0)),"")</f>
        <v/>
      </c>
      <c r="C141" s="3">
        <f>IFERROR(INDEX('Data Source'!$P:$P,MATCH(139,'Data Source'!$T:$T,0)),"")</f>
        <v/>
      </c>
      <c r="D141" s="5">
        <f>IFERROR(INDEX('Data Source'!$Q:$Q,MATCH(139,'Data Source'!$T:$T,0)),"")</f>
        <v/>
      </c>
      <c r="E141" s="5">
        <f>IFERROR(INDEX('Data Source'!$R:$R,MATCH(139,'Data Source'!$T:$T,0)),"")</f>
        <v/>
      </c>
      <c r="F141" s="3">
        <f>IFERROR(INDEX('Data Source'!$S:$S,MATCH(139,'Data Source'!$T:$T,0)),"")</f>
        <v/>
      </c>
    </row>
    <row r="142">
      <c r="A142" s="3">
        <f>IFERROR(IF(COUNTIF('Data Source'!$T:$T,140)&gt;0,140,""),"")</f>
        <v/>
      </c>
      <c r="B142">
        <f>IFERROR(INDEX('Data Source'!$B:$B,MATCH(140,'Data Source'!$T:$T,0)),"")</f>
        <v/>
      </c>
      <c r="C142" s="3">
        <f>IFERROR(INDEX('Data Source'!$P:$P,MATCH(140,'Data Source'!$T:$T,0)),"")</f>
        <v/>
      </c>
      <c r="D142" s="5">
        <f>IFERROR(INDEX('Data Source'!$Q:$Q,MATCH(140,'Data Source'!$T:$T,0)),"")</f>
        <v/>
      </c>
      <c r="E142" s="5">
        <f>IFERROR(INDEX('Data Source'!$R:$R,MATCH(140,'Data Source'!$T:$T,0)),"")</f>
        <v/>
      </c>
      <c r="F142" s="3">
        <f>IFERROR(INDEX('Data Source'!$S:$S,MATCH(140,'Data Source'!$T:$T,0)),"")</f>
        <v/>
      </c>
    </row>
    <row r="143">
      <c r="A143" s="3">
        <f>IFERROR(IF(COUNTIF('Data Source'!$T:$T,141)&gt;0,141,""),"")</f>
        <v/>
      </c>
      <c r="B143">
        <f>IFERROR(INDEX('Data Source'!$B:$B,MATCH(141,'Data Source'!$T:$T,0)),"")</f>
        <v/>
      </c>
      <c r="C143" s="3">
        <f>IFERROR(INDEX('Data Source'!$P:$P,MATCH(141,'Data Source'!$T:$T,0)),"")</f>
        <v/>
      </c>
      <c r="D143" s="5">
        <f>IFERROR(INDEX('Data Source'!$Q:$Q,MATCH(141,'Data Source'!$T:$T,0)),"")</f>
        <v/>
      </c>
      <c r="E143" s="5">
        <f>IFERROR(INDEX('Data Source'!$R:$R,MATCH(141,'Data Source'!$T:$T,0)),"")</f>
        <v/>
      </c>
      <c r="F143" s="3">
        <f>IFERROR(INDEX('Data Source'!$S:$S,MATCH(141,'Data Source'!$T:$T,0)),"")</f>
        <v/>
      </c>
    </row>
    <row r="144">
      <c r="A144" s="3">
        <f>IFERROR(IF(COUNTIF('Data Source'!$T:$T,142)&gt;0,142,""),"")</f>
        <v/>
      </c>
      <c r="B144">
        <f>IFERROR(INDEX('Data Source'!$B:$B,MATCH(142,'Data Source'!$T:$T,0)),"")</f>
        <v/>
      </c>
      <c r="C144" s="3">
        <f>IFERROR(INDEX('Data Source'!$P:$P,MATCH(142,'Data Source'!$T:$T,0)),"")</f>
        <v/>
      </c>
      <c r="D144" s="5">
        <f>IFERROR(INDEX('Data Source'!$Q:$Q,MATCH(142,'Data Source'!$T:$T,0)),"")</f>
        <v/>
      </c>
      <c r="E144" s="5">
        <f>IFERROR(INDEX('Data Source'!$R:$R,MATCH(142,'Data Source'!$T:$T,0)),"")</f>
        <v/>
      </c>
      <c r="F144" s="3">
        <f>IFERROR(INDEX('Data Source'!$S:$S,MATCH(142,'Data Source'!$T:$T,0)),"")</f>
        <v/>
      </c>
    </row>
    <row r="145">
      <c r="A145" s="3">
        <f>IFERROR(IF(COUNTIF('Data Source'!$T:$T,143)&gt;0,143,""),"")</f>
        <v/>
      </c>
      <c r="B145">
        <f>IFERROR(INDEX('Data Source'!$B:$B,MATCH(143,'Data Source'!$T:$T,0)),"")</f>
        <v/>
      </c>
      <c r="C145" s="3">
        <f>IFERROR(INDEX('Data Source'!$P:$P,MATCH(143,'Data Source'!$T:$T,0)),"")</f>
        <v/>
      </c>
      <c r="D145" s="5">
        <f>IFERROR(INDEX('Data Source'!$Q:$Q,MATCH(143,'Data Source'!$T:$T,0)),"")</f>
        <v/>
      </c>
      <c r="E145" s="5">
        <f>IFERROR(INDEX('Data Source'!$R:$R,MATCH(143,'Data Source'!$T:$T,0)),"")</f>
        <v/>
      </c>
      <c r="F145" s="3">
        <f>IFERROR(INDEX('Data Source'!$S:$S,MATCH(143,'Data Source'!$T:$T,0)),"")</f>
        <v/>
      </c>
    </row>
    <row r="146">
      <c r="A146" s="3">
        <f>IFERROR(IF(COUNTIF('Data Source'!$T:$T,144)&gt;0,144,""),"")</f>
        <v/>
      </c>
      <c r="B146">
        <f>IFERROR(INDEX('Data Source'!$B:$B,MATCH(144,'Data Source'!$T:$T,0)),"")</f>
        <v/>
      </c>
      <c r="C146" s="3">
        <f>IFERROR(INDEX('Data Source'!$P:$P,MATCH(144,'Data Source'!$T:$T,0)),"")</f>
        <v/>
      </c>
      <c r="D146" s="5">
        <f>IFERROR(INDEX('Data Source'!$Q:$Q,MATCH(144,'Data Source'!$T:$T,0)),"")</f>
        <v/>
      </c>
      <c r="E146" s="5">
        <f>IFERROR(INDEX('Data Source'!$R:$R,MATCH(144,'Data Source'!$T:$T,0)),"")</f>
        <v/>
      </c>
      <c r="F146" s="3">
        <f>IFERROR(INDEX('Data Source'!$S:$S,MATCH(144,'Data Source'!$T:$T,0)),"")</f>
        <v/>
      </c>
    </row>
    <row r="147">
      <c r="A147" s="3">
        <f>IFERROR(IF(COUNTIF('Data Source'!$T:$T,145)&gt;0,145,""),"")</f>
        <v/>
      </c>
      <c r="B147">
        <f>IFERROR(INDEX('Data Source'!$B:$B,MATCH(145,'Data Source'!$T:$T,0)),"")</f>
        <v/>
      </c>
      <c r="C147" s="3">
        <f>IFERROR(INDEX('Data Source'!$P:$P,MATCH(145,'Data Source'!$T:$T,0)),"")</f>
        <v/>
      </c>
      <c r="D147" s="5">
        <f>IFERROR(INDEX('Data Source'!$Q:$Q,MATCH(145,'Data Source'!$T:$T,0)),"")</f>
        <v/>
      </c>
      <c r="E147" s="5">
        <f>IFERROR(INDEX('Data Source'!$R:$R,MATCH(145,'Data Source'!$T:$T,0)),"")</f>
        <v/>
      </c>
      <c r="F147" s="3">
        <f>IFERROR(INDEX('Data Source'!$S:$S,MATCH(145,'Data Source'!$T:$T,0)),"")</f>
        <v/>
      </c>
    </row>
    <row r="148">
      <c r="A148" s="3">
        <f>IFERROR(IF(COUNTIF('Data Source'!$T:$T,146)&gt;0,146,""),"")</f>
        <v/>
      </c>
      <c r="B148">
        <f>IFERROR(INDEX('Data Source'!$B:$B,MATCH(146,'Data Source'!$T:$T,0)),"")</f>
        <v/>
      </c>
      <c r="C148" s="3">
        <f>IFERROR(INDEX('Data Source'!$P:$P,MATCH(146,'Data Source'!$T:$T,0)),"")</f>
        <v/>
      </c>
      <c r="D148" s="5">
        <f>IFERROR(INDEX('Data Source'!$Q:$Q,MATCH(146,'Data Source'!$T:$T,0)),"")</f>
        <v/>
      </c>
      <c r="E148" s="5">
        <f>IFERROR(INDEX('Data Source'!$R:$R,MATCH(146,'Data Source'!$T:$T,0)),"")</f>
        <v/>
      </c>
      <c r="F148" s="3">
        <f>IFERROR(INDEX('Data Source'!$S:$S,MATCH(146,'Data Source'!$T:$T,0)),"")</f>
        <v/>
      </c>
    </row>
    <row r="149">
      <c r="A149" s="3">
        <f>IFERROR(IF(COUNTIF('Data Source'!$T:$T,147)&gt;0,147,""),"")</f>
        <v/>
      </c>
      <c r="B149">
        <f>IFERROR(INDEX('Data Source'!$B:$B,MATCH(147,'Data Source'!$T:$T,0)),"")</f>
        <v/>
      </c>
      <c r="C149" s="3">
        <f>IFERROR(INDEX('Data Source'!$P:$P,MATCH(147,'Data Source'!$T:$T,0)),"")</f>
        <v/>
      </c>
      <c r="D149" s="5">
        <f>IFERROR(INDEX('Data Source'!$Q:$Q,MATCH(147,'Data Source'!$T:$T,0)),"")</f>
        <v/>
      </c>
      <c r="E149" s="5">
        <f>IFERROR(INDEX('Data Source'!$R:$R,MATCH(147,'Data Source'!$T:$T,0)),"")</f>
        <v/>
      </c>
      <c r="F149" s="3">
        <f>IFERROR(INDEX('Data Source'!$S:$S,MATCH(147,'Data Source'!$T:$T,0)),"")</f>
        <v/>
      </c>
    </row>
    <row r="150">
      <c r="A150" s="3">
        <f>IFERROR(IF(COUNTIF('Data Source'!$T:$T,148)&gt;0,148,""),"")</f>
        <v/>
      </c>
      <c r="B150">
        <f>IFERROR(INDEX('Data Source'!$B:$B,MATCH(148,'Data Source'!$T:$T,0)),"")</f>
        <v/>
      </c>
      <c r="C150" s="3">
        <f>IFERROR(INDEX('Data Source'!$P:$P,MATCH(148,'Data Source'!$T:$T,0)),"")</f>
        <v/>
      </c>
      <c r="D150" s="5">
        <f>IFERROR(INDEX('Data Source'!$Q:$Q,MATCH(148,'Data Source'!$T:$T,0)),"")</f>
        <v/>
      </c>
      <c r="E150" s="5">
        <f>IFERROR(INDEX('Data Source'!$R:$R,MATCH(148,'Data Source'!$T:$T,0)),"")</f>
        <v/>
      </c>
      <c r="F150" s="3">
        <f>IFERROR(INDEX('Data Source'!$S:$S,MATCH(148,'Data Source'!$T:$T,0)),"")</f>
        <v/>
      </c>
    </row>
    <row r="151">
      <c r="A151" s="3">
        <f>IFERROR(IF(COUNTIF('Data Source'!$T:$T,149)&gt;0,149,""),"")</f>
        <v/>
      </c>
      <c r="B151">
        <f>IFERROR(INDEX('Data Source'!$B:$B,MATCH(149,'Data Source'!$T:$T,0)),"")</f>
        <v/>
      </c>
      <c r="C151" s="3">
        <f>IFERROR(INDEX('Data Source'!$P:$P,MATCH(149,'Data Source'!$T:$T,0)),"")</f>
        <v/>
      </c>
      <c r="D151" s="5">
        <f>IFERROR(INDEX('Data Source'!$Q:$Q,MATCH(149,'Data Source'!$T:$T,0)),"")</f>
        <v/>
      </c>
      <c r="E151" s="5">
        <f>IFERROR(INDEX('Data Source'!$R:$R,MATCH(149,'Data Source'!$T:$T,0)),"")</f>
        <v/>
      </c>
      <c r="F151" s="3">
        <f>IFERROR(INDEX('Data Source'!$S:$S,MATCH(149,'Data Source'!$T:$T,0)),"")</f>
        <v/>
      </c>
    </row>
    <row r="152">
      <c r="A152" s="3">
        <f>IFERROR(IF(COUNTIF('Data Source'!$T:$T,150)&gt;0,150,""),"")</f>
        <v/>
      </c>
      <c r="B152">
        <f>IFERROR(INDEX('Data Source'!$B:$B,MATCH(150,'Data Source'!$T:$T,0)),"")</f>
        <v/>
      </c>
      <c r="C152" s="3">
        <f>IFERROR(INDEX('Data Source'!$P:$P,MATCH(150,'Data Source'!$T:$T,0)),"")</f>
        <v/>
      </c>
      <c r="D152" s="5">
        <f>IFERROR(INDEX('Data Source'!$Q:$Q,MATCH(150,'Data Source'!$T:$T,0)),"")</f>
        <v/>
      </c>
      <c r="E152" s="5">
        <f>IFERROR(INDEX('Data Source'!$R:$R,MATCH(150,'Data Source'!$T:$T,0)),"")</f>
        <v/>
      </c>
      <c r="F152" s="3">
        <f>IFERROR(INDEX('Data Source'!$S:$S,MATCH(150,'Data Source'!$T:$T,0)),"")</f>
        <v/>
      </c>
    </row>
    <row r="153">
      <c r="A153" s="3">
        <f>IFERROR(IF(COUNTIF('Data Source'!$T:$T,151)&gt;0,151,""),"")</f>
        <v/>
      </c>
      <c r="B153">
        <f>IFERROR(INDEX('Data Source'!$B:$B,MATCH(151,'Data Source'!$T:$T,0)),"")</f>
        <v/>
      </c>
      <c r="C153" s="3">
        <f>IFERROR(INDEX('Data Source'!$P:$P,MATCH(151,'Data Source'!$T:$T,0)),"")</f>
        <v/>
      </c>
      <c r="D153" s="5">
        <f>IFERROR(INDEX('Data Source'!$Q:$Q,MATCH(151,'Data Source'!$T:$T,0)),"")</f>
        <v/>
      </c>
      <c r="E153" s="5">
        <f>IFERROR(INDEX('Data Source'!$R:$R,MATCH(151,'Data Source'!$T:$T,0)),"")</f>
        <v/>
      </c>
      <c r="F153" s="3">
        <f>IFERROR(INDEX('Data Source'!$S:$S,MATCH(151,'Data Source'!$T:$T,0)),"")</f>
        <v/>
      </c>
    </row>
    <row r="154">
      <c r="A154" s="3">
        <f>IFERROR(IF(COUNTIF('Data Source'!$T:$T,152)&gt;0,152,""),"")</f>
        <v/>
      </c>
      <c r="B154">
        <f>IFERROR(INDEX('Data Source'!$B:$B,MATCH(152,'Data Source'!$T:$T,0)),"")</f>
        <v/>
      </c>
      <c r="C154" s="3">
        <f>IFERROR(INDEX('Data Source'!$P:$P,MATCH(152,'Data Source'!$T:$T,0)),"")</f>
        <v/>
      </c>
      <c r="D154" s="5">
        <f>IFERROR(INDEX('Data Source'!$Q:$Q,MATCH(152,'Data Source'!$T:$T,0)),"")</f>
        <v/>
      </c>
      <c r="E154" s="5">
        <f>IFERROR(INDEX('Data Source'!$R:$R,MATCH(152,'Data Source'!$T:$T,0)),"")</f>
        <v/>
      </c>
      <c r="F154" s="3">
        <f>IFERROR(INDEX('Data Source'!$S:$S,MATCH(152,'Data Source'!$T:$T,0)),"")</f>
        <v/>
      </c>
    </row>
    <row r="155">
      <c r="A155" s="3">
        <f>IFERROR(IF(COUNTIF('Data Source'!$T:$T,153)&gt;0,153,""),"")</f>
        <v/>
      </c>
      <c r="B155">
        <f>IFERROR(INDEX('Data Source'!$B:$B,MATCH(153,'Data Source'!$T:$T,0)),"")</f>
        <v/>
      </c>
      <c r="C155" s="3">
        <f>IFERROR(INDEX('Data Source'!$P:$P,MATCH(153,'Data Source'!$T:$T,0)),"")</f>
        <v/>
      </c>
      <c r="D155" s="5">
        <f>IFERROR(INDEX('Data Source'!$Q:$Q,MATCH(153,'Data Source'!$T:$T,0)),"")</f>
        <v/>
      </c>
      <c r="E155" s="5">
        <f>IFERROR(INDEX('Data Source'!$R:$R,MATCH(153,'Data Source'!$T:$T,0)),"")</f>
        <v/>
      </c>
      <c r="F155" s="3">
        <f>IFERROR(INDEX('Data Source'!$S:$S,MATCH(153,'Data Source'!$T:$T,0)),"")</f>
        <v/>
      </c>
    </row>
    <row r="156">
      <c r="A156" s="3">
        <f>IFERROR(IF(COUNTIF('Data Source'!$T:$T,154)&gt;0,154,""),"")</f>
        <v/>
      </c>
      <c r="B156">
        <f>IFERROR(INDEX('Data Source'!$B:$B,MATCH(154,'Data Source'!$T:$T,0)),"")</f>
        <v/>
      </c>
      <c r="C156" s="3">
        <f>IFERROR(INDEX('Data Source'!$P:$P,MATCH(154,'Data Source'!$T:$T,0)),"")</f>
        <v/>
      </c>
      <c r="D156" s="5">
        <f>IFERROR(INDEX('Data Source'!$Q:$Q,MATCH(154,'Data Source'!$T:$T,0)),"")</f>
        <v/>
      </c>
      <c r="E156" s="5">
        <f>IFERROR(INDEX('Data Source'!$R:$R,MATCH(154,'Data Source'!$T:$T,0)),"")</f>
        <v/>
      </c>
      <c r="F156" s="3">
        <f>IFERROR(INDEX('Data Source'!$S:$S,MATCH(154,'Data Source'!$T:$T,0)),"")</f>
        <v/>
      </c>
    </row>
    <row r="157">
      <c r="A157" s="3">
        <f>IFERROR(IF(COUNTIF('Data Source'!$T:$T,155)&gt;0,155,""),"")</f>
        <v/>
      </c>
      <c r="B157">
        <f>IFERROR(INDEX('Data Source'!$B:$B,MATCH(155,'Data Source'!$T:$T,0)),"")</f>
        <v/>
      </c>
      <c r="C157" s="3">
        <f>IFERROR(INDEX('Data Source'!$P:$P,MATCH(155,'Data Source'!$T:$T,0)),"")</f>
        <v/>
      </c>
      <c r="D157" s="5">
        <f>IFERROR(INDEX('Data Source'!$Q:$Q,MATCH(155,'Data Source'!$T:$T,0)),"")</f>
        <v/>
      </c>
      <c r="E157" s="5">
        <f>IFERROR(INDEX('Data Source'!$R:$R,MATCH(155,'Data Source'!$T:$T,0)),"")</f>
        <v/>
      </c>
      <c r="F157" s="3">
        <f>IFERROR(INDEX('Data Source'!$S:$S,MATCH(155,'Data Source'!$T:$T,0)),"")</f>
        <v/>
      </c>
    </row>
    <row r="158">
      <c r="A158" s="3">
        <f>IFERROR(IF(COUNTIF('Data Source'!$T:$T,156)&gt;0,156,""),"")</f>
        <v/>
      </c>
      <c r="B158">
        <f>IFERROR(INDEX('Data Source'!$B:$B,MATCH(156,'Data Source'!$T:$T,0)),"")</f>
        <v/>
      </c>
      <c r="C158" s="3">
        <f>IFERROR(INDEX('Data Source'!$P:$P,MATCH(156,'Data Source'!$T:$T,0)),"")</f>
        <v/>
      </c>
      <c r="D158" s="5">
        <f>IFERROR(INDEX('Data Source'!$Q:$Q,MATCH(156,'Data Source'!$T:$T,0)),"")</f>
        <v/>
      </c>
      <c r="E158" s="5">
        <f>IFERROR(INDEX('Data Source'!$R:$R,MATCH(156,'Data Source'!$T:$T,0)),"")</f>
        <v/>
      </c>
      <c r="F158" s="3">
        <f>IFERROR(INDEX('Data Source'!$S:$S,MATCH(156,'Data Source'!$T:$T,0)),"")</f>
        <v/>
      </c>
    </row>
    <row r="159">
      <c r="A159" s="3">
        <f>IFERROR(IF(COUNTIF('Data Source'!$T:$T,157)&gt;0,157,""),"")</f>
        <v/>
      </c>
      <c r="B159">
        <f>IFERROR(INDEX('Data Source'!$B:$B,MATCH(157,'Data Source'!$T:$T,0)),"")</f>
        <v/>
      </c>
      <c r="C159" s="3">
        <f>IFERROR(INDEX('Data Source'!$P:$P,MATCH(157,'Data Source'!$T:$T,0)),"")</f>
        <v/>
      </c>
      <c r="D159" s="5">
        <f>IFERROR(INDEX('Data Source'!$Q:$Q,MATCH(157,'Data Source'!$T:$T,0)),"")</f>
        <v/>
      </c>
      <c r="E159" s="5">
        <f>IFERROR(INDEX('Data Source'!$R:$R,MATCH(157,'Data Source'!$T:$T,0)),"")</f>
        <v/>
      </c>
      <c r="F159" s="3">
        <f>IFERROR(INDEX('Data Source'!$S:$S,MATCH(157,'Data Source'!$T:$T,0)),"")</f>
        <v/>
      </c>
    </row>
    <row r="160">
      <c r="A160" s="3">
        <f>IFERROR(IF(COUNTIF('Data Source'!$T:$T,158)&gt;0,158,""),"")</f>
        <v/>
      </c>
      <c r="B160">
        <f>IFERROR(INDEX('Data Source'!$B:$B,MATCH(158,'Data Source'!$T:$T,0)),"")</f>
        <v/>
      </c>
      <c r="C160" s="3">
        <f>IFERROR(INDEX('Data Source'!$P:$P,MATCH(158,'Data Source'!$T:$T,0)),"")</f>
        <v/>
      </c>
      <c r="D160" s="5">
        <f>IFERROR(INDEX('Data Source'!$Q:$Q,MATCH(158,'Data Source'!$T:$T,0)),"")</f>
        <v/>
      </c>
      <c r="E160" s="5">
        <f>IFERROR(INDEX('Data Source'!$R:$R,MATCH(158,'Data Source'!$T:$T,0)),"")</f>
        <v/>
      </c>
      <c r="F160" s="3">
        <f>IFERROR(INDEX('Data Source'!$S:$S,MATCH(158,'Data Source'!$T:$T,0)),"")</f>
        <v/>
      </c>
    </row>
    <row r="161">
      <c r="A161" s="3">
        <f>IFERROR(IF(COUNTIF('Data Source'!$T:$T,159)&gt;0,159,""),"")</f>
        <v/>
      </c>
      <c r="B161">
        <f>IFERROR(INDEX('Data Source'!$B:$B,MATCH(159,'Data Source'!$T:$T,0)),"")</f>
        <v/>
      </c>
      <c r="C161" s="3">
        <f>IFERROR(INDEX('Data Source'!$P:$P,MATCH(159,'Data Source'!$T:$T,0)),"")</f>
        <v/>
      </c>
      <c r="D161" s="5">
        <f>IFERROR(INDEX('Data Source'!$Q:$Q,MATCH(159,'Data Source'!$T:$T,0)),"")</f>
        <v/>
      </c>
      <c r="E161" s="5">
        <f>IFERROR(INDEX('Data Source'!$R:$R,MATCH(159,'Data Source'!$T:$T,0)),"")</f>
        <v/>
      </c>
      <c r="F161" s="3">
        <f>IFERROR(INDEX('Data Source'!$S:$S,MATCH(159,'Data Source'!$T:$T,0)),"")</f>
        <v/>
      </c>
    </row>
    <row r="162">
      <c r="A162" s="3">
        <f>IFERROR(IF(COUNTIF('Data Source'!$T:$T,160)&gt;0,160,""),"")</f>
        <v/>
      </c>
      <c r="B162">
        <f>IFERROR(INDEX('Data Source'!$B:$B,MATCH(160,'Data Source'!$T:$T,0)),"")</f>
        <v/>
      </c>
      <c r="C162" s="3">
        <f>IFERROR(INDEX('Data Source'!$P:$P,MATCH(160,'Data Source'!$T:$T,0)),"")</f>
        <v/>
      </c>
      <c r="D162" s="5">
        <f>IFERROR(INDEX('Data Source'!$Q:$Q,MATCH(160,'Data Source'!$T:$T,0)),"")</f>
        <v/>
      </c>
      <c r="E162" s="5">
        <f>IFERROR(INDEX('Data Source'!$R:$R,MATCH(160,'Data Source'!$T:$T,0)),"")</f>
        <v/>
      </c>
      <c r="F162" s="3">
        <f>IFERROR(INDEX('Data Source'!$S:$S,MATCH(160,'Data Source'!$T:$T,0)),"")</f>
        <v/>
      </c>
    </row>
    <row r="163">
      <c r="A163" s="3">
        <f>IFERROR(IF(COUNTIF('Data Source'!$T:$T,161)&gt;0,161,""),"")</f>
        <v/>
      </c>
      <c r="B163">
        <f>IFERROR(INDEX('Data Source'!$B:$B,MATCH(161,'Data Source'!$T:$T,0)),"")</f>
        <v/>
      </c>
      <c r="C163" s="3">
        <f>IFERROR(INDEX('Data Source'!$P:$P,MATCH(161,'Data Source'!$T:$T,0)),"")</f>
        <v/>
      </c>
      <c r="D163" s="5">
        <f>IFERROR(INDEX('Data Source'!$Q:$Q,MATCH(161,'Data Source'!$T:$T,0)),"")</f>
        <v/>
      </c>
      <c r="E163" s="5">
        <f>IFERROR(INDEX('Data Source'!$R:$R,MATCH(161,'Data Source'!$T:$T,0)),"")</f>
        <v/>
      </c>
      <c r="F163" s="3">
        <f>IFERROR(INDEX('Data Source'!$S:$S,MATCH(161,'Data Source'!$T:$T,0)),"")</f>
        <v/>
      </c>
    </row>
    <row r="164">
      <c r="A164" s="3">
        <f>IFERROR(IF(COUNTIF('Data Source'!$T:$T,162)&gt;0,162,""),"")</f>
        <v/>
      </c>
      <c r="B164">
        <f>IFERROR(INDEX('Data Source'!$B:$B,MATCH(162,'Data Source'!$T:$T,0)),"")</f>
        <v/>
      </c>
      <c r="C164" s="3">
        <f>IFERROR(INDEX('Data Source'!$P:$P,MATCH(162,'Data Source'!$T:$T,0)),"")</f>
        <v/>
      </c>
      <c r="D164" s="5">
        <f>IFERROR(INDEX('Data Source'!$Q:$Q,MATCH(162,'Data Source'!$T:$T,0)),"")</f>
        <v/>
      </c>
      <c r="E164" s="5">
        <f>IFERROR(INDEX('Data Source'!$R:$R,MATCH(162,'Data Source'!$T:$T,0)),"")</f>
        <v/>
      </c>
      <c r="F164" s="3">
        <f>IFERROR(INDEX('Data Source'!$S:$S,MATCH(162,'Data Source'!$T:$T,0)),"")</f>
        <v/>
      </c>
    </row>
    <row r="165">
      <c r="A165" s="3">
        <f>IFERROR(IF(COUNTIF('Data Source'!$T:$T,163)&gt;0,163,""),"")</f>
        <v/>
      </c>
      <c r="B165">
        <f>IFERROR(INDEX('Data Source'!$B:$B,MATCH(163,'Data Source'!$T:$T,0)),"")</f>
        <v/>
      </c>
      <c r="C165" s="3">
        <f>IFERROR(INDEX('Data Source'!$P:$P,MATCH(163,'Data Source'!$T:$T,0)),"")</f>
        <v/>
      </c>
      <c r="D165" s="5">
        <f>IFERROR(INDEX('Data Source'!$Q:$Q,MATCH(163,'Data Source'!$T:$T,0)),"")</f>
        <v/>
      </c>
      <c r="E165" s="5">
        <f>IFERROR(INDEX('Data Source'!$R:$R,MATCH(163,'Data Source'!$T:$T,0)),"")</f>
        <v/>
      </c>
      <c r="F165" s="3">
        <f>IFERROR(INDEX('Data Source'!$S:$S,MATCH(163,'Data Source'!$T:$T,0)),"")</f>
        <v/>
      </c>
    </row>
    <row r="166">
      <c r="A166" s="3">
        <f>IFERROR(IF(COUNTIF('Data Source'!$T:$T,164)&gt;0,164,""),"")</f>
        <v/>
      </c>
      <c r="B166">
        <f>IFERROR(INDEX('Data Source'!$B:$B,MATCH(164,'Data Source'!$T:$T,0)),"")</f>
        <v/>
      </c>
      <c r="C166" s="3">
        <f>IFERROR(INDEX('Data Source'!$P:$P,MATCH(164,'Data Source'!$T:$T,0)),"")</f>
        <v/>
      </c>
      <c r="D166" s="5">
        <f>IFERROR(INDEX('Data Source'!$Q:$Q,MATCH(164,'Data Source'!$T:$T,0)),"")</f>
        <v/>
      </c>
      <c r="E166" s="5">
        <f>IFERROR(INDEX('Data Source'!$R:$R,MATCH(164,'Data Source'!$T:$T,0)),"")</f>
        <v/>
      </c>
      <c r="F166" s="3">
        <f>IFERROR(INDEX('Data Source'!$S:$S,MATCH(164,'Data Source'!$T:$T,0)),"")</f>
        <v/>
      </c>
    </row>
    <row r="167">
      <c r="A167" s="3">
        <f>IFERROR(IF(COUNTIF('Data Source'!$T:$T,165)&gt;0,165,""),"")</f>
        <v/>
      </c>
      <c r="B167">
        <f>IFERROR(INDEX('Data Source'!$B:$B,MATCH(165,'Data Source'!$T:$T,0)),"")</f>
        <v/>
      </c>
      <c r="C167" s="3">
        <f>IFERROR(INDEX('Data Source'!$P:$P,MATCH(165,'Data Source'!$T:$T,0)),"")</f>
        <v/>
      </c>
      <c r="D167" s="5">
        <f>IFERROR(INDEX('Data Source'!$Q:$Q,MATCH(165,'Data Source'!$T:$T,0)),"")</f>
        <v/>
      </c>
      <c r="E167" s="5">
        <f>IFERROR(INDEX('Data Source'!$R:$R,MATCH(165,'Data Source'!$T:$T,0)),"")</f>
        <v/>
      </c>
      <c r="F167" s="3">
        <f>IFERROR(INDEX('Data Source'!$S:$S,MATCH(165,'Data Source'!$T:$T,0)),"")</f>
        <v/>
      </c>
    </row>
    <row r="168">
      <c r="A168" s="3">
        <f>IFERROR(IF(COUNTIF('Data Source'!$T:$T,166)&gt;0,166,""),"")</f>
        <v/>
      </c>
      <c r="B168">
        <f>IFERROR(INDEX('Data Source'!$B:$B,MATCH(166,'Data Source'!$T:$T,0)),"")</f>
        <v/>
      </c>
      <c r="C168" s="3">
        <f>IFERROR(INDEX('Data Source'!$P:$P,MATCH(166,'Data Source'!$T:$T,0)),"")</f>
        <v/>
      </c>
      <c r="D168" s="5">
        <f>IFERROR(INDEX('Data Source'!$Q:$Q,MATCH(166,'Data Source'!$T:$T,0)),"")</f>
        <v/>
      </c>
      <c r="E168" s="5">
        <f>IFERROR(INDEX('Data Source'!$R:$R,MATCH(166,'Data Source'!$T:$T,0)),"")</f>
        <v/>
      </c>
      <c r="F168" s="3">
        <f>IFERROR(INDEX('Data Source'!$S:$S,MATCH(166,'Data Source'!$T:$T,0)),"")</f>
        <v/>
      </c>
    </row>
    <row r="169">
      <c r="A169" s="3">
        <f>IFERROR(IF(COUNTIF('Data Source'!$T:$T,167)&gt;0,167,""),"")</f>
        <v/>
      </c>
      <c r="B169">
        <f>IFERROR(INDEX('Data Source'!$B:$B,MATCH(167,'Data Source'!$T:$T,0)),"")</f>
        <v/>
      </c>
      <c r="C169" s="3">
        <f>IFERROR(INDEX('Data Source'!$P:$P,MATCH(167,'Data Source'!$T:$T,0)),"")</f>
        <v/>
      </c>
      <c r="D169" s="5">
        <f>IFERROR(INDEX('Data Source'!$Q:$Q,MATCH(167,'Data Source'!$T:$T,0)),"")</f>
        <v/>
      </c>
      <c r="E169" s="5">
        <f>IFERROR(INDEX('Data Source'!$R:$R,MATCH(167,'Data Source'!$T:$T,0)),"")</f>
        <v/>
      </c>
      <c r="F169" s="3">
        <f>IFERROR(INDEX('Data Source'!$S:$S,MATCH(167,'Data Source'!$T:$T,0)),"")</f>
        <v/>
      </c>
    </row>
    <row r="170">
      <c r="A170" s="3">
        <f>IFERROR(IF(COUNTIF('Data Source'!$T:$T,168)&gt;0,168,""),"")</f>
        <v/>
      </c>
      <c r="B170">
        <f>IFERROR(INDEX('Data Source'!$B:$B,MATCH(168,'Data Source'!$T:$T,0)),"")</f>
        <v/>
      </c>
      <c r="C170" s="3">
        <f>IFERROR(INDEX('Data Source'!$P:$P,MATCH(168,'Data Source'!$T:$T,0)),"")</f>
        <v/>
      </c>
      <c r="D170" s="5">
        <f>IFERROR(INDEX('Data Source'!$Q:$Q,MATCH(168,'Data Source'!$T:$T,0)),"")</f>
        <v/>
      </c>
      <c r="E170" s="5">
        <f>IFERROR(INDEX('Data Source'!$R:$R,MATCH(168,'Data Source'!$T:$T,0)),"")</f>
        <v/>
      </c>
      <c r="F170" s="3">
        <f>IFERROR(INDEX('Data Source'!$S:$S,MATCH(168,'Data Source'!$T:$T,0)),"")</f>
        <v/>
      </c>
    </row>
    <row r="171">
      <c r="A171" s="3">
        <f>IFERROR(IF(COUNTIF('Data Source'!$T:$T,169)&gt;0,169,""),"")</f>
        <v/>
      </c>
      <c r="B171">
        <f>IFERROR(INDEX('Data Source'!$B:$B,MATCH(169,'Data Source'!$T:$T,0)),"")</f>
        <v/>
      </c>
      <c r="C171" s="3">
        <f>IFERROR(INDEX('Data Source'!$P:$P,MATCH(169,'Data Source'!$T:$T,0)),"")</f>
        <v/>
      </c>
      <c r="D171" s="5">
        <f>IFERROR(INDEX('Data Source'!$Q:$Q,MATCH(169,'Data Source'!$T:$T,0)),"")</f>
        <v/>
      </c>
      <c r="E171" s="5">
        <f>IFERROR(INDEX('Data Source'!$R:$R,MATCH(169,'Data Source'!$T:$T,0)),"")</f>
        <v/>
      </c>
      <c r="F171" s="3">
        <f>IFERROR(INDEX('Data Source'!$S:$S,MATCH(169,'Data Source'!$T:$T,0)),"")</f>
        <v/>
      </c>
    </row>
    <row r="172">
      <c r="A172" s="3">
        <f>IFERROR(IF(COUNTIF('Data Source'!$T:$T,170)&gt;0,170,""),"")</f>
        <v/>
      </c>
      <c r="B172">
        <f>IFERROR(INDEX('Data Source'!$B:$B,MATCH(170,'Data Source'!$T:$T,0)),"")</f>
        <v/>
      </c>
      <c r="C172" s="3">
        <f>IFERROR(INDEX('Data Source'!$P:$P,MATCH(170,'Data Source'!$T:$T,0)),"")</f>
        <v/>
      </c>
      <c r="D172" s="5">
        <f>IFERROR(INDEX('Data Source'!$Q:$Q,MATCH(170,'Data Source'!$T:$T,0)),"")</f>
        <v/>
      </c>
      <c r="E172" s="5">
        <f>IFERROR(INDEX('Data Source'!$R:$R,MATCH(170,'Data Source'!$T:$T,0)),"")</f>
        <v/>
      </c>
      <c r="F172" s="3">
        <f>IFERROR(INDEX('Data Source'!$S:$S,MATCH(170,'Data Source'!$T:$T,0)),"")</f>
        <v/>
      </c>
    </row>
    <row r="173">
      <c r="A173" s="3">
        <f>IFERROR(IF(COUNTIF('Data Source'!$T:$T,171)&gt;0,171,""),"")</f>
        <v/>
      </c>
      <c r="B173">
        <f>IFERROR(INDEX('Data Source'!$B:$B,MATCH(171,'Data Source'!$T:$T,0)),"")</f>
        <v/>
      </c>
      <c r="C173" s="3">
        <f>IFERROR(INDEX('Data Source'!$P:$P,MATCH(171,'Data Source'!$T:$T,0)),"")</f>
        <v/>
      </c>
      <c r="D173" s="5">
        <f>IFERROR(INDEX('Data Source'!$Q:$Q,MATCH(171,'Data Source'!$T:$T,0)),"")</f>
        <v/>
      </c>
      <c r="E173" s="5">
        <f>IFERROR(INDEX('Data Source'!$R:$R,MATCH(171,'Data Source'!$T:$T,0)),"")</f>
        <v/>
      </c>
      <c r="F173" s="3">
        <f>IFERROR(INDEX('Data Source'!$S:$S,MATCH(171,'Data Source'!$T:$T,0)),"")</f>
        <v/>
      </c>
    </row>
    <row r="174">
      <c r="A174" s="3">
        <f>IFERROR(IF(COUNTIF('Data Source'!$T:$T,172)&gt;0,172,""),"")</f>
        <v/>
      </c>
      <c r="B174">
        <f>IFERROR(INDEX('Data Source'!$B:$B,MATCH(172,'Data Source'!$T:$T,0)),"")</f>
        <v/>
      </c>
      <c r="C174" s="3">
        <f>IFERROR(INDEX('Data Source'!$P:$P,MATCH(172,'Data Source'!$T:$T,0)),"")</f>
        <v/>
      </c>
      <c r="D174" s="5">
        <f>IFERROR(INDEX('Data Source'!$Q:$Q,MATCH(172,'Data Source'!$T:$T,0)),"")</f>
        <v/>
      </c>
      <c r="E174" s="5">
        <f>IFERROR(INDEX('Data Source'!$R:$R,MATCH(172,'Data Source'!$T:$T,0)),"")</f>
        <v/>
      </c>
      <c r="F174" s="3">
        <f>IFERROR(INDEX('Data Source'!$S:$S,MATCH(172,'Data Source'!$T:$T,0)),"")</f>
        <v/>
      </c>
    </row>
    <row r="175">
      <c r="A175" s="3">
        <f>IFERROR(IF(COUNTIF('Data Source'!$T:$T,173)&gt;0,173,""),"")</f>
        <v/>
      </c>
      <c r="B175">
        <f>IFERROR(INDEX('Data Source'!$B:$B,MATCH(173,'Data Source'!$T:$T,0)),"")</f>
        <v/>
      </c>
      <c r="C175" s="3">
        <f>IFERROR(INDEX('Data Source'!$P:$P,MATCH(173,'Data Source'!$T:$T,0)),"")</f>
        <v/>
      </c>
      <c r="D175" s="5">
        <f>IFERROR(INDEX('Data Source'!$Q:$Q,MATCH(173,'Data Source'!$T:$T,0)),"")</f>
        <v/>
      </c>
      <c r="E175" s="5">
        <f>IFERROR(INDEX('Data Source'!$R:$R,MATCH(173,'Data Source'!$T:$T,0)),"")</f>
        <v/>
      </c>
      <c r="F175" s="3">
        <f>IFERROR(INDEX('Data Source'!$S:$S,MATCH(173,'Data Source'!$T:$T,0)),"")</f>
        <v/>
      </c>
    </row>
    <row r="176">
      <c r="A176" s="3">
        <f>IFERROR(IF(COUNTIF('Data Source'!$T:$T,174)&gt;0,174,""),"")</f>
        <v/>
      </c>
      <c r="B176">
        <f>IFERROR(INDEX('Data Source'!$B:$B,MATCH(174,'Data Source'!$T:$T,0)),"")</f>
        <v/>
      </c>
      <c r="C176" s="3">
        <f>IFERROR(INDEX('Data Source'!$P:$P,MATCH(174,'Data Source'!$T:$T,0)),"")</f>
        <v/>
      </c>
      <c r="D176" s="5">
        <f>IFERROR(INDEX('Data Source'!$Q:$Q,MATCH(174,'Data Source'!$T:$T,0)),"")</f>
        <v/>
      </c>
      <c r="E176" s="5">
        <f>IFERROR(INDEX('Data Source'!$R:$R,MATCH(174,'Data Source'!$T:$T,0)),"")</f>
        <v/>
      </c>
      <c r="F176" s="3">
        <f>IFERROR(INDEX('Data Source'!$S:$S,MATCH(174,'Data Source'!$T:$T,0)),"")</f>
        <v/>
      </c>
    </row>
    <row r="177">
      <c r="A177" s="3">
        <f>IFERROR(IF(COUNTIF('Data Source'!$T:$T,175)&gt;0,175,""),"")</f>
        <v/>
      </c>
      <c r="B177">
        <f>IFERROR(INDEX('Data Source'!$B:$B,MATCH(175,'Data Source'!$T:$T,0)),"")</f>
        <v/>
      </c>
      <c r="C177" s="3">
        <f>IFERROR(INDEX('Data Source'!$P:$P,MATCH(175,'Data Source'!$T:$T,0)),"")</f>
        <v/>
      </c>
      <c r="D177" s="5">
        <f>IFERROR(INDEX('Data Source'!$Q:$Q,MATCH(175,'Data Source'!$T:$T,0)),"")</f>
        <v/>
      </c>
      <c r="E177" s="5">
        <f>IFERROR(INDEX('Data Source'!$R:$R,MATCH(175,'Data Source'!$T:$T,0)),"")</f>
        <v/>
      </c>
      <c r="F177" s="3">
        <f>IFERROR(INDEX('Data Source'!$S:$S,MATCH(175,'Data Source'!$T:$T,0)),"")</f>
        <v/>
      </c>
    </row>
    <row r="178">
      <c r="A178" s="3">
        <f>IFERROR(IF(COUNTIF('Data Source'!$T:$T,176)&gt;0,176,""),"")</f>
        <v/>
      </c>
      <c r="B178">
        <f>IFERROR(INDEX('Data Source'!$B:$B,MATCH(176,'Data Source'!$T:$T,0)),"")</f>
        <v/>
      </c>
      <c r="C178" s="3">
        <f>IFERROR(INDEX('Data Source'!$P:$P,MATCH(176,'Data Source'!$T:$T,0)),"")</f>
        <v/>
      </c>
      <c r="D178" s="5">
        <f>IFERROR(INDEX('Data Source'!$Q:$Q,MATCH(176,'Data Source'!$T:$T,0)),"")</f>
        <v/>
      </c>
      <c r="E178" s="5">
        <f>IFERROR(INDEX('Data Source'!$R:$R,MATCH(176,'Data Source'!$T:$T,0)),"")</f>
        <v/>
      </c>
      <c r="F178" s="3">
        <f>IFERROR(INDEX('Data Source'!$S:$S,MATCH(176,'Data Source'!$T:$T,0)),"")</f>
        <v/>
      </c>
    </row>
    <row r="179">
      <c r="A179" s="3">
        <f>IFERROR(IF(COUNTIF('Data Source'!$T:$T,177)&gt;0,177,""),"")</f>
        <v/>
      </c>
      <c r="B179">
        <f>IFERROR(INDEX('Data Source'!$B:$B,MATCH(177,'Data Source'!$T:$T,0)),"")</f>
        <v/>
      </c>
      <c r="C179" s="3">
        <f>IFERROR(INDEX('Data Source'!$P:$P,MATCH(177,'Data Source'!$T:$T,0)),"")</f>
        <v/>
      </c>
      <c r="D179" s="5">
        <f>IFERROR(INDEX('Data Source'!$Q:$Q,MATCH(177,'Data Source'!$T:$T,0)),"")</f>
        <v/>
      </c>
      <c r="E179" s="5">
        <f>IFERROR(INDEX('Data Source'!$R:$R,MATCH(177,'Data Source'!$T:$T,0)),"")</f>
        <v/>
      </c>
      <c r="F179" s="3">
        <f>IFERROR(INDEX('Data Source'!$S:$S,MATCH(177,'Data Source'!$T:$T,0)),"")</f>
        <v/>
      </c>
    </row>
    <row r="180">
      <c r="A180" s="3">
        <f>IFERROR(IF(COUNTIF('Data Source'!$T:$T,178)&gt;0,178,""),"")</f>
        <v/>
      </c>
      <c r="B180">
        <f>IFERROR(INDEX('Data Source'!$B:$B,MATCH(178,'Data Source'!$T:$T,0)),"")</f>
        <v/>
      </c>
      <c r="C180" s="3">
        <f>IFERROR(INDEX('Data Source'!$P:$P,MATCH(178,'Data Source'!$T:$T,0)),"")</f>
        <v/>
      </c>
      <c r="D180" s="5">
        <f>IFERROR(INDEX('Data Source'!$Q:$Q,MATCH(178,'Data Source'!$T:$T,0)),"")</f>
        <v/>
      </c>
      <c r="E180" s="5">
        <f>IFERROR(INDEX('Data Source'!$R:$R,MATCH(178,'Data Source'!$T:$T,0)),"")</f>
        <v/>
      </c>
      <c r="F180" s="3">
        <f>IFERROR(INDEX('Data Source'!$S:$S,MATCH(178,'Data Source'!$T:$T,0)),"")</f>
        <v/>
      </c>
    </row>
    <row r="181">
      <c r="A181" s="3">
        <f>IFERROR(IF(COUNTIF('Data Source'!$T:$T,179)&gt;0,179,""),"")</f>
        <v/>
      </c>
      <c r="B181">
        <f>IFERROR(INDEX('Data Source'!$B:$B,MATCH(179,'Data Source'!$T:$T,0)),"")</f>
        <v/>
      </c>
      <c r="C181" s="3">
        <f>IFERROR(INDEX('Data Source'!$P:$P,MATCH(179,'Data Source'!$T:$T,0)),"")</f>
        <v/>
      </c>
      <c r="D181" s="5">
        <f>IFERROR(INDEX('Data Source'!$Q:$Q,MATCH(179,'Data Source'!$T:$T,0)),"")</f>
        <v/>
      </c>
      <c r="E181" s="5">
        <f>IFERROR(INDEX('Data Source'!$R:$R,MATCH(179,'Data Source'!$T:$T,0)),"")</f>
        <v/>
      </c>
      <c r="F181" s="3">
        <f>IFERROR(INDEX('Data Source'!$S:$S,MATCH(179,'Data Source'!$T:$T,0)),"")</f>
        <v/>
      </c>
    </row>
    <row r="182">
      <c r="A182" s="3">
        <f>IFERROR(IF(COUNTIF('Data Source'!$T:$T,180)&gt;0,180,""),"")</f>
        <v/>
      </c>
      <c r="B182">
        <f>IFERROR(INDEX('Data Source'!$B:$B,MATCH(180,'Data Source'!$T:$T,0)),"")</f>
        <v/>
      </c>
      <c r="C182" s="3">
        <f>IFERROR(INDEX('Data Source'!$P:$P,MATCH(180,'Data Source'!$T:$T,0)),"")</f>
        <v/>
      </c>
      <c r="D182" s="5">
        <f>IFERROR(INDEX('Data Source'!$Q:$Q,MATCH(180,'Data Source'!$T:$T,0)),"")</f>
        <v/>
      </c>
      <c r="E182" s="5">
        <f>IFERROR(INDEX('Data Source'!$R:$R,MATCH(180,'Data Source'!$T:$T,0)),"")</f>
        <v/>
      </c>
      <c r="F182" s="3">
        <f>IFERROR(INDEX('Data Source'!$S:$S,MATCH(180,'Data Source'!$T:$T,0)),"")</f>
        <v/>
      </c>
    </row>
    <row r="183">
      <c r="A183" s="3">
        <f>IFERROR(IF(COUNTIF('Data Source'!$T:$T,181)&gt;0,181,""),"")</f>
        <v/>
      </c>
      <c r="B183">
        <f>IFERROR(INDEX('Data Source'!$B:$B,MATCH(181,'Data Source'!$T:$T,0)),"")</f>
        <v/>
      </c>
      <c r="C183" s="3">
        <f>IFERROR(INDEX('Data Source'!$P:$P,MATCH(181,'Data Source'!$T:$T,0)),"")</f>
        <v/>
      </c>
      <c r="D183" s="5">
        <f>IFERROR(INDEX('Data Source'!$Q:$Q,MATCH(181,'Data Source'!$T:$T,0)),"")</f>
        <v/>
      </c>
      <c r="E183" s="5">
        <f>IFERROR(INDEX('Data Source'!$R:$R,MATCH(181,'Data Source'!$T:$T,0)),"")</f>
        <v/>
      </c>
      <c r="F183" s="3">
        <f>IFERROR(INDEX('Data Source'!$S:$S,MATCH(181,'Data Source'!$T:$T,0)),"")</f>
        <v/>
      </c>
    </row>
    <row r="184">
      <c r="A184" s="3">
        <f>IFERROR(IF(COUNTIF('Data Source'!$T:$T,182)&gt;0,182,""),"")</f>
        <v/>
      </c>
      <c r="B184">
        <f>IFERROR(INDEX('Data Source'!$B:$B,MATCH(182,'Data Source'!$T:$T,0)),"")</f>
        <v/>
      </c>
      <c r="C184" s="3">
        <f>IFERROR(INDEX('Data Source'!$P:$P,MATCH(182,'Data Source'!$T:$T,0)),"")</f>
        <v/>
      </c>
      <c r="D184" s="5">
        <f>IFERROR(INDEX('Data Source'!$Q:$Q,MATCH(182,'Data Source'!$T:$T,0)),"")</f>
        <v/>
      </c>
      <c r="E184" s="5">
        <f>IFERROR(INDEX('Data Source'!$R:$R,MATCH(182,'Data Source'!$T:$T,0)),"")</f>
        <v/>
      </c>
      <c r="F184" s="3">
        <f>IFERROR(INDEX('Data Source'!$S:$S,MATCH(182,'Data Source'!$T:$T,0)),"")</f>
        <v/>
      </c>
    </row>
    <row r="185">
      <c r="A185" s="3">
        <f>IFERROR(IF(COUNTIF('Data Source'!$T:$T,183)&gt;0,183,""),"")</f>
        <v/>
      </c>
      <c r="B185">
        <f>IFERROR(INDEX('Data Source'!$B:$B,MATCH(183,'Data Source'!$T:$T,0)),"")</f>
        <v/>
      </c>
      <c r="C185" s="3">
        <f>IFERROR(INDEX('Data Source'!$P:$P,MATCH(183,'Data Source'!$T:$T,0)),"")</f>
        <v/>
      </c>
      <c r="D185" s="5">
        <f>IFERROR(INDEX('Data Source'!$Q:$Q,MATCH(183,'Data Source'!$T:$T,0)),"")</f>
        <v/>
      </c>
      <c r="E185" s="5">
        <f>IFERROR(INDEX('Data Source'!$R:$R,MATCH(183,'Data Source'!$T:$T,0)),"")</f>
        <v/>
      </c>
      <c r="F185" s="3">
        <f>IFERROR(INDEX('Data Source'!$S:$S,MATCH(183,'Data Source'!$T:$T,0)),"")</f>
        <v/>
      </c>
    </row>
    <row r="186">
      <c r="A186" s="3">
        <f>IFERROR(IF(COUNTIF('Data Source'!$T:$T,184)&gt;0,184,""),"")</f>
        <v/>
      </c>
      <c r="B186">
        <f>IFERROR(INDEX('Data Source'!$B:$B,MATCH(184,'Data Source'!$T:$T,0)),"")</f>
        <v/>
      </c>
      <c r="C186" s="3">
        <f>IFERROR(INDEX('Data Source'!$P:$P,MATCH(184,'Data Source'!$T:$T,0)),"")</f>
        <v/>
      </c>
      <c r="D186" s="5">
        <f>IFERROR(INDEX('Data Source'!$Q:$Q,MATCH(184,'Data Source'!$T:$T,0)),"")</f>
        <v/>
      </c>
      <c r="E186" s="5">
        <f>IFERROR(INDEX('Data Source'!$R:$R,MATCH(184,'Data Source'!$T:$T,0)),"")</f>
        <v/>
      </c>
      <c r="F186" s="3">
        <f>IFERROR(INDEX('Data Source'!$S:$S,MATCH(184,'Data Source'!$T:$T,0)),"")</f>
        <v/>
      </c>
    </row>
    <row r="187">
      <c r="A187" s="3">
        <f>IFERROR(IF(COUNTIF('Data Source'!$T:$T,185)&gt;0,185,""),"")</f>
        <v/>
      </c>
      <c r="B187">
        <f>IFERROR(INDEX('Data Source'!$B:$B,MATCH(185,'Data Source'!$T:$T,0)),"")</f>
        <v/>
      </c>
      <c r="C187" s="3">
        <f>IFERROR(INDEX('Data Source'!$P:$P,MATCH(185,'Data Source'!$T:$T,0)),"")</f>
        <v/>
      </c>
      <c r="D187" s="5">
        <f>IFERROR(INDEX('Data Source'!$Q:$Q,MATCH(185,'Data Source'!$T:$T,0)),"")</f>
        <v/>
      </c>
      <c r="E187" s="5">
        <f>IFERROR(INDEX('Data Source'!$R:$R,MATCH(185,'Data Source'!$T:$T,0)),"")</f>
        <v/>
      </c>
      <c r="F187" s="3">
        <f>IFERROR(INDEX('Data Source'!$S:$S,MATCH(185,'Data Source'!$T:$T,0)),"")</f>
        <v/>
      </c>
    </row>
    <row r="188">
      <c r="A188" s="3">
        <f>IFERROR(IF(COUNTIF('Data Source'!$T:$T,186)&gt;0,186,""),"")</f>
        <v/>
      </c>
      <c r="B188">
        <f>IFERROR(INDEX('Data Source'!$B:$B,MATCH(186,'Data Source'!$T:$T,0)),"")</f>
        <v/>
      </c>
      <c r="C188" s="3">
        <f>IFERROR(INDEX('Data Source'!$P:$P,MATCH(186,'Data Source'!$T:$T,0)),"")</f>
        <v/>
      </c>
      <c r="D188" s="5">
        <f>IFERROR(INDEX('Data Source'!$Q:$Q,MATCH(186,'Data Source'!$T:$T,0)),"")</f>
        <v/>
      </c>
      <c r="E188" s="5">
        <f>IFERROR(INDEX('Data Source'!$R:$R,MATCH(186,'Data Source'!$T:$T,0)),"")</f>
        <v/>
      </c>
      <c r="F188" s="3">
        <f>IFERROR(INDEX('Data Source'!$S:$S,MATCH(186,'Data Source'!$T:$T,0)),"")</f>
        <v/>
      </c>
    </row>
    <row r="189">
      <c r="A189" s="3">
        <f>IFERROR(IF(COUNTIF('Data Source'!$T:$T,187)&gt;0,187,""),"")</f>
        <v/>
      </c>
      <c r="B189">
        <f>IFERROR(INDEX('Data Source'!$B:$B,MATCH(187,'Data Source'!$T:$T,0)),"")</f>
        <v/>
      </c>
      <c r="C189" s="3">
        <f>IFERROR(INDEX('Data Source'!$P:$P,MATCH(187,'Data Source'!$T:$T,0)),"")</f>
        <v/>
      </c>
      <c r="D189" s="5">
        <f>IFERROR(INDEX('Data Source'!$Q:$Q,MATCH(187,'Data Source'!$T:$T,0)),"")</f>
        <v/>
      </c>
      <c r="E189" s="5">
        <f>IFERROR(INDEX('Data Source'!$R:$R,MATCH(187,'Data Source'!$T:$T,0)),"")</f>
        <v/>
      </c>
      <c r="F189" s="3">
        <f>IFERROR(INDEX('Data Source'!$S:$S,MATCH(187,'Data Source'!$T:$T,0)),"")</f>
        <v/>
      </c>
    </row>
    <row r="190">
      <c r="A190" s="3">
        <f>IFERROR(IF(COUNTIF('Data Source'!$T:$T,188)&gt;0,188,""),"")</f>
        <v/>
      </c>
      <c r="B190">
        <f>IFERROR(INDEX('Data Source'!$B:$B,MATCH(188,'Data Source'!$T:$T,0)),"")</f>
        <v/>
      </c>
      <c r="C190" s="3">
        <f>IFERROR(INDEX('Data Source'!$P:$P,MATCH(188,'Data Source'!$T:$T,0)),"")</f>
        <v/>
      </c>
      <c r="D190" s="5">
        <f>IFERROR(INDEX('Data Source'!$Q:$Q,MATCH(188,'Data Source'!$T:$T,0)),"")</f>
        <v/>
      </c>
      <c r="E190" s="5">
        <f>IFERROR(INDEX('Data Source'!$R:$R,MATCH(188,'Data Source'!$T:$T,0)),"")</f>
        <v/>
      </c>
      <c r="F190" s="3">
        <f>IFERROR(INDEX('Data Source'!$S:$S,MATCH(188,'Data Source'!$T:$T,0)),"")</f>
        <v/>
      </c>
    </row>
    <row r="191">
      <c r="A191" s="3">
        <f>IFERROR(IF(COUNTIF('Data Source'!$T:$T,189)&gt;0,189,""),"")</f>
        <v/>
      </c>
      <c r="B191">
        <f>IFERROR(INDEX('Data Source'!$B:$B,MATCH(189,'Data Source'!$T:$T,0)),"")</f>
        <v/>
      </c>
      <c r="C191" s="3">
        <f>IFERROR(INDEX('Data Source'!$P:$P,MATCH(189,'Data Source'!$T:$T,0)),"")</f>
        <v/>
      </c>
      <c r="D191" s="5">
        <f>IFERROR(INDEX('Data Source'!$Q:$Q,MATCH(189,'Data Source'!$T:$T,0)),"")</f>
        <v/>
      </c>
      <c r="E191" s="5">
        <f>IFERROR(INDEX('Data Source'!$R:$R,MATCH(189,'Data Source'!$T:$T,0)),"")</f>
        <v/>
      </c>
      <c r="F191" s="3">
        <f>IFERROR(INDEX('Data Source'!$S:$S,MATCH(189,'Data Source'!$T:$T,0)),"")</f>
        <v/>
      </c>
    </row>
    <row r="192">
      <c r="A192" s="3">
        <f>IFERROR(IF(COUNTIF('Data Source'!$T:$T,190)&gt;0,190,""),"")</f>
        <v/>
      </c>
      <c r="B192">
        <f>IFERROR(INDEX('Data Source'!$B:$B,MATCH(190,'Data Source'!$T:$T,0)),"")</f>
        <v/>
      </c>
      <c r="C192" s="3">
        <f>IFERROR(INDEX('Data Source'!$P:$P,MATCH(190,'Data Source'!$T:$T,0)),"")</f>
        <v/>
      </c>
      <c r="D192" s="5">
        <f>IFERROR(INDEX('Data Source'!$Q:$Q,MATCH(190,'Data Source'!$T:$T,0)),"")</f>
        <v/>
      </c>
      <c r="E192" s="5">
        <f>IFERROR(INDEX('Data Source'!$R:$R,MATCH(190,'Data Source'!$T:$T,0)),"")</f>
        <v/>
      </c>
      <c r="F192" s="3">
        <f>IFERROR(INDEX('Data Source'!$S:$S,MATCH(190,'Data Source'!$T:$T,0)),"")</f>
        <v/>
      </c>
    </row>
    <row r="193">
      <c r="A193" s="3">
        <f>IFERROR(IF(COUNTIF('Data Source'!$T:$T,191)&gt;0,191,""),"")</f>
        <v/>
      </c>
      <c r="B193">
        <f>IFERROR(INDEX('Data Source'!$B:$B,MATCH(191,'Data Source'!$T:$T,0)),"")</f>
        <v/>
      </c>
      <c r="C193" s="3">
        <f>IFERROR(INDEX('Data Source'!$P:$P,MATCH(191,'Data Source'!$T:$T,0)),"")</f>
        <v/>
      </c>
      <c r="D193" s="5">
        <f>IFERROR(INDEX('Data Source'!$Q:$Q,MATCH(191,'Data Source'!$T:$T,0)),"")</f>
        <v/>
      </c>
      <c r="E193" s="5">
        <f>IFERROR(INDEX('Data Source'!$R:$R,MATCH(191,'Data Source'!$T:$T,0)),"")</f>
        <v/>
      </c>
      <c r="F193" s="3">
        <f>IFERROR(INDEX('Data Source'!$S:$S,MATCH(191,'Data Source'!$T:$T,0)),"")</f>
        <v/>
      </c>
    </row>
    <row r="194">
      <c r="A194" s="3">
        <f>IFERROR(IF(COUNTIF('Data Source'!$T:$T,192)&gt;0,192,""),"")</f>
        <v/>
      </c>
      <c r="B194">
        <f>IFERROR(INDEX('Data Source'!$B:$B,MATCH(192,'Data Source'!$T:$T,0)),"")</f>
        <v/>
      </c>
      <c r="C194" s="3">
        <f>IFERROR(INDEX('Data Source'!$P:$P,MATCH(192,'Data Source'!$T:$T,0)),"")</f>
        <v/>
      </c>
      <c r="D194" s="5">
        <f>IFERROR(INDEX('Data Source'!$Q:$Q,MATCH(192,'Data Source'!$T:$T,0)),"")</f>
        <v/>
      </c>
      <c r="E194" s="5">
        <f>IFERROR(INDEX('Data Source'!$R:$R,MATCH(192,'Data Source'!$T:$T,0)),"")</f>
        <v/>
      </c>
      <c r="F194" s="3">
        <f>IFERROR(INDEX('Data Source'!$S:$S,MATCH(192,'Data Source'!$T:$T,0)),"")</f>
        <v/>
      </c>
    </row>
    <row r="195">
      <c r="A195" s="3">
        <f>IFERROR(IF(COUNTIF('Data Source'!$T:$T,193)&gt;0,193,""),"")</f>
        <v/>
      </c>
      <c r="B195">
        <f>IFERROR(INDEX('Data Source'!$B:$B,MATCH(193,'Data Source'!$T:$T,0)),"")</f>
        <v/>
      </c>
      <c r="C195" s="3">
        <f>IFERROR(INDEX('Data Source'!$P:$P,MATCH(193,'Data Source'!$T:$T,0)),"")</f>
        <v/>
      </c>
      <c r="D195" s="5">
        <f>IFERROR(INDEX('Data Source'!$Q:$Q,MATCH(193,'Data Source'!$T:$T,0)),"")</f>
        <v/>
      </c>
      <c r="E195" s="5">
        <f>IFERROR(INDEX('Data Source'!$R:$R,MATCH(193,'Data Source'!$T:$T,0)),"")</f>
        <v/>
      </c>
      <c r="F195" s="3">
        <f>IFERROR(INDEX('Data Source'!$S:$S,MATCH(193,'Data Source'!$T:$T,0)),"")</f>
        <v/>
      </c>
    </row>
    <row r="196">
      <c r="A196" s="3">
        <f>IFERROR(IF(COUNTIF('Data Source'!$T:$T,194)&gt;0,194,""),"")</f>
        <v/>
      </c>
      <c r="B196">
        <f>IFERROR(INDEX('Data Source'!$B:$B,MATCH(194,'Data Source'!$T:$T,0)),"")</f>
        <v/>
      </c>
      <c r="C196" s="3">
        <f>IFERROR(INDEX('Data Source'!$P:$P,MATCH(194,'Data Source'!$T:$T,0)),"")</f>
        <v/>
      </c>
      <c r="D196" s="5">
        <f>IFERROR(INDEX('Data Source'!$Q:$Q,MATCH(194,'Data Source'!$T:$T,0)),"")</f>
        <v/>
      </c>
      <c r="E196" s="5">
        <f>IFERROR(INDEX('Data Source'!$R:$R,MATCH(194,'Data Source'!$T:$T,0)),"")</f>
        <v/>
      </c>
      <c r="F196" s="3">
        <f>IFERROR(INDEX('Data Source'!$S:$S,MATCH(194,'Data Source'!$T:$T,0)),"")</f>
        <v/>
      </c>
    </row>
    <row r="197">
      <c r="A197" s="3">
        <f>IFERROR(IF(COUNTIF('Data Source'!$T:$T,195)&gt;0,195,""),"")</f>
        <v/>
      </c>
      <c r="B197">
        <f>IFERROR(INDEX('Data Source'!$B:$B,MATCH(195,'Data Source'!$T:$T,0)),"")</f>
        <v/>
      </c>
      <c r="C197" s="3">
        <f>IFERROR(INDEX('Data Source'!$P:$P,MATCH(195,'Data Source'!$T:$T,0)),"")</f>
        <v/>
      </c>
      <c r="D197" s="5">
        <f>IFERROR(INDEX('Data Source'!$Q:$Q,MATCH(195,'Data Source'!$T:$T,0)),"")</f>
        <v/>
      </c>
      <c r="E197" s="5">
        <f>IFERROR(INDEX('Data Source'!$R:$R,MATCH(195,'Data Source'!$T:$T,0)),"")</f>
        <v/>
      </c>
      <c r="F197" s="3">
        <f>IFERROR(INDEX('Data Source'!$S:$S,MATCH(195,'Data Source'!$T:$T,0)),"")</f>
        <v/>
      </c>
    </row>
    <row r="198">
      <c r="A198" s="3">
        <f>IFERROR(IF(COUNTIF('Data Source'!$T:$T,196)&gt;0,196,""),"")</f>
        <v/>
      </c>
      <c r="B198">
        <f>IFERROR(INDEX('Data Source'!$B:$B,MATCH(196,'Data Source'!$T:$T,0)),"")</f>
        <v/>
      </c>
      <c r="C198" s="3">
        <f>IFERROR(INDEX('Data Source'!$P:$P,MATCH(196,'Data Source'!$T:$T,0)),"")</f>
        <v/>
      </c>
      <c r="D198" s="5">
        <f>IFERROR(INDEX('Data Source'!$Q:$Q,MATCH(196,'Data Source'!$T:$T,0)),"")</f>
        <v/>
      </c>
      <c r="E198" s="5">
        <f>IFERROR(INDEX('Data Source'!$R:$R,MATCH(196,'Data Source'!$T:$T,0)),"")</f>
        <v/>
      </c>
      <c r="F198" s="3">
        <f>IFERROR(INDEX('Data Source'!$S:$S,MATCH(196,'Data Source'!$T:$T,0)),"")</f>
        <v/>
      </c>
    </row>
    <row r="199">
      <c r="A199" s="3">
        <f>IFERROR(IF(COUNTIF('Data Source'!$T:$T,197)&gt;0,197,""),"")</f>
        <v/>
      </c>
      <c r="B199">
        <f>IFERROR(INDEX('Data Source'!$B:$B,MATCH(197,'Data Source'!$T:$T,0)),"")</f>
        <v/>
      </c>
      <c r="C199" s="3">
        <f>IFERROR(INDEX('Data Source'!$P:$P,MATCH(197,'Data Source'!$T:$T,0)),"")</f>
        <v/>
      </c>
      <c r="D199" s="5">
        <f>IFERROR(INDEX('Data Source'!$Q:$Q,MATCH(197,'Data Source'!$T:$T,0)),"")</f>
        <v/>
      </c>
      <c r="E199" s="5">
        <f>IFERROR(INDEX('Data Source'!$R:$R,MATCH(197,'Data Source'!$T:$T,0)),"")</f>
        <v/>
      </c>
      <c r="F199" s="3">
        <f>IFERROR(INDEX('Data Source'!$S:$S,MATCH(197,'Data Source'!$T:$T,0)),"")</f>
        <v/>
      </c>
    </row>
    <row r="200">
      <c r="A200" s="3">
        <f>IFERROR(IF(COUNTIF('Data Source'!$T:$T,198)&gt;0,198,""),"")</f>
        <v/>
      </c>
      <c r="B200">
        <f>IFERROR(INDEX('Data Source'!$B:$B,MATCH(198,'Data Source'!$T:$T,0)),"")</f>
        <v/>
      </c>
      <c r="C200" s="3">
        <f>IFERROR(INDEX('Data Source'!$P:$P,MATCH(198,'Data Source'!$T:$T,0)),"")</f>
        <v/>
      </c>
      <c r="D200" s="5">
        <f>IFERROR(INDEX('Data Source'!$Q:$Q,MATCH(198,'Data Source'!$T:$T,0)),"")</f>
        <v/>
      </c>
      <c r="E200" s="5">
        <f>IFERROR(INDEX('Data Source'!$R:$R,MATCH(198,'Data Source'!$T:$T,0)),"")</f>
        <v/>
      </c>
      <c r="F200" s="3">
        <f>IFERROR(INDEX('Data Source'!$S:$S,MATCH(198,'Data Source'!$T:$T,0)),"")</f>
        <v/>
      </c>
    </row>
    <row r="201">
      <c r="A201" s="3">
        <f>IFERROR(IF(COUNTIF('Data Source'!$T:$T,199)&gt;0,199,""),"")</f>
        <v/>
      </c>
      <c r="B201">
        <f>IFERROR(INDEX('Data Source'!$B:$B,MATCH(199,'Data Source'!$T:$T,0)),"")</f>
        <v/>
      </c>
      <c r="C201" s="3">
        <f>IFERROR(INDEX('Data Source'!$P:$P,MATCH(199,'Data Source'!$T:$T,0)),"")</f>
        <v/>
      </c>
      <c r="D201" s="5">
        <f>IFERROR(INDEX('Data Source'!$Q:$Q,MATCH(199,'Data Source'!$T:$T,0)),"")</f>
        <v/>
      </c>
      <c r="E201" s="5">
        <f>IFERROR(INDEX('Data Source'!$R:$R,MATCH(199,'Data Source'!$T:$T,0)),"")</f>
        <v/>
      </c>
      <c r="F201" s="3">
        <f>IFERROR(INDEX('Data Source'!$S:$S,MATCH(199,'Data Source'!$T:$T,0)),"")</f>
        <v/>
      </c>
    </row>
    <row r="202">
      <c r="A202" s="3">
        <f>IFERROR(IF(COUNTIF('Data Source'!$T:$T,200)&gt;0,200,""),"")</f>
        <v/>
      </c>
      <c r="B202">
        <f>IFERROR(INDEX('Data Source'!$B:$B,MATCH(200,'Data Source'!$T:$T,0)),"")</f>
        <v/>
      </c>
      <c r="C202" s="3">
        <f>IFERROR(INDEX('Data Source'!$P:$P,MATCH(200,'Data Source'!$T:$T,0)),"")</f>
        <v/>
      </c>
      <c r="D202" s="5">
        <f>IFERROR(INDEX('Data Source'!$Q:$Q,MATCH(200,'Data Source'!$T:$T,0)),"")</f>
        <v/>
      </c>
      <c r="E202" s="5">
        <f>IFERROR(INDEX('Data Source'!$R:$R,MATCH(200,'Data Source'!$T:$T,0)),"")</f>
        <v/>
      </c>
      <c r="F202" s="3">
        <f>IFERROR(INDEX('Data Source'!$S:$S,MATCH(200,'Data Source'!$T:$T,0)),"")</f>
        <v/>
      </c>
    </row>
    <row r="203">
      <c r="A203" s="3">
        <f>IFERROR(IF(COUNTIF('Data Source'!$T:$T,201)&gt;0,201,""),"")</f>
        <v/>
      </c>
      <c r="B203">
        <f>IFERROR(INDEX('Data Source'!$B:$B,MATCH(201,'Data Source'!$T:$T,0)),"")</f>
        <v/>
      </c>
      <c r="C203" s="3">
        <f>IFERROR(INDEX('Data Source'!$P:$P,MATCH(201,'Data Source'!$T:$T,0)),"")</f>
        <v/>
      </c>
      <c r="D203" s="5">
        <f>IFERROR(INDEX('Data Source'!$Q:$Q,MATCH(201,'Data Source'!$T:$T,0)),"")</f>
        <v/>
      </c>
      <c r="E203" s="5">
        <f>IFERROR(INDEX('Data Source'!$R:$R,MATCH(201,'Data Source'!$T:$T,0)),"")</f>
        <v/>
      </c>
      <c r="F203" s="3">
        <f>IFERROR(INDEX('Data Source'!$S:$S,MATCH(201,'Data Source'!$T:$T,0)),"")</f>
        <v/>
      </c>
    </row>
    <row r="204">
      <c r="A204" s="3">
        <f>IFERROR(IF(COUNTIF('Data Source'!$T:$T,202)&gt;0,202,""),"")</f>
        <v/>
      </c>
      <c r="B204">
        <f>IFERROR(INDEX('Data Source'!$B:$B,MATCH(202,'Data Source'!$T:$T,0)),"")</f>
        <v/>
      </c>
      <c r="C204" s="3">
        <f>IFERROR(INDEX('Data Source'!$P:$P,MATCH(202,'Data Source'!$T:$T,0)),"")</f>
        <v/>
      </c>
      <c r="D204" s="5">
        <f>IFERROR(INDEX('Data Source'!$Q:$Q,MATCH(202,'Data Source'!$T:$T,0)),"")</f>
        <v/>
      </c>
      <c r="E204" s="5">
        <f>IFERROR(INDEX('Data Source'!$R:$R,MATCH(202,'Data Source'!$T:$T,0)),"")</f>
        <v/>
      </c>
      <c r="F204" s="3">
        <f>IFERROR(INDEX('Data Source'!$S:$S,MATCH(202,'Data Source'!$T:$T,0)),"")</f>
        <v/>
      </c>
    </row>
    <row r="205">
      <c r="A205" s="3">
        <f>IFERROR(IF(COUNTIF('Data Source'!$T:$T,203)&gt;0,203,""),"")</f>
        <v/>
      </c>
      <c r="B205">
        <f>IFERROR(INDEX('Data Source'!$B:$B,MATCH(203,'Data Source'!$T:$T,0)),"")</f>
        <v/>
      </c>
      <c r="C205" s="3">
        <f>IFERROR(INDEX('Data Source'!$P:$P,MATCH(203,'Data Source'!$T:$T,0)),"")</f>
        <v/>
      </c>
      <c r="D205" s="5">
        <f>IFERROR(INDEX('Data Source'!$Q:$Q,MATCH(203,'Data Source'!$T:$T,0)),"")</f>
        <v/>
      </c>
      <c r="E205" s="5">
        <f>IFERROR(INDEX('Data Source'!$R:$R,MATCH(203,'Data Source'!$T:$T,0)),"")</f>
        <v/>
      </c>
      <c r="F205" s="3">
        <f>IFERROR(INDEX('Data Source'!$S:$S,MATCH(203,'Data Source'!$T:$T,0)),"")</f>
        <v/>
      </c>
    </row>
    <row r="206">
      <c r="A206" s="3">
        <f>IFERROR(IF(COUNTIF('Data Source'!$T:$T,204)&gt;0,204,""),"")</f>
        <v/>
      </c>
      <c r="B206">
        <f>IFERROR(INDEX('Data Source'!$B:$B,MATCH(204,'Data Source'!$T:$T,0)),"")</f>
        <v/>
      </c>
      <c r="C206" s="3">
        <f>IFERROR(INDEX('Data Source'!$P:$P,MATCH(204,'Data Source'!$T:$T,0)),"")</f>
        <v/>
      </c>
      <c r="D206" s="5">
        <f>IFERROR(INDEX('Data Source'!$Q:$Q,MATCH(204,'Data Source'!$T:$T,0)),"")</f>
        <v/>
      </c>
      <c r="E206" s="5">
        <f>IFERROR(INDEX('Data Source'!$R:$R,MATCH(204,'Data Source'!$T:$T,0)),"")</f>
        <v/>
      </c>
      <c r="F206" s="3">
        <f>IFERROR(INDEX('Data Source'!$S:$S,MATCH(204,'Data Source'!$T:$T,0)),"")</f>
        <v/>
      </c>
    </row>
    <row r="207">
      <c r="A207" s="3">
        <f>IFERROR(IF(COUNTIF('Data Source'!$T:$T,205)&gt;0,205,""),"")</f>
        <v/>
      </c>
      <c r="B207">
        <f>IFERROR(INDEX('Data Source'!$B:$B,MATCH(205,'Data Source'!$T:$T,0)),"")</f>
        <v/>
      </c>
      <c r="C207" s="3">
        <f>IFERROR(INDEX('Data Source'!$P:$P,MATCH(205,'Data Source'!$T:$T,0)),"")</f>
        <v/>
      </c>
      <c r="D207" s="5">
        <f>IFERROR(INDEX('Data Source'!$Q:$Q,MATCH(205,'Data Source'!$T:$T,0)),"")</f>
        <v/>
      </c>
      <c r="E207" s="5">
        <f>IFERROR(INDEX('Data Source'!$R:$R,MATCH(205,'Data Source'!$T:$T,0)),"")</f>
        <v/>
      </c>
      <c r="F207" s="3">
        <f>IFERROR(INDEX('Data Source'!$S:$S,MATCH(205,'Data Source'!$T:$T,0)),"")</f>
        <v/>
      </c>
    </row>
    <row r="208">
      <c r="A208" s="3">
        <f>IFERROR(IF(COUNTIF('Data Source'!$T:$T,206)&gt;0,206,""),"")</f>
        <v/>
      </c>
      <c r="B208">
        <f>IFERROR(INDEX('Data Source'!$B:$B,MATCH(206,'Data Source'!$T:$T,0)),"")</f>
        <v/>
      </c>
      <c r="C208" s="3">
        <f>IFERROR(INDEX('Data Source'!$P:$P,MATCH(206,'Data Source'!$T:$T,0)),"")</f>
        <v/>
      </c>
      <c r="D208" s="5">
        <f>IFERROR(INDEX('Data Source'!$Q:$Q,MATCH(206,'Data Source'!$T:$T,0)),"")</f>
        <v/>
      </c>
      <c r="E208" s="5">
        <f>IFERROR(INDEX('Data Source'!$R:$R,MATCH(206,'Data Source'!$T:$T,0)),"")</f>
        <v/>
      </c>
      <c r="F208" s="3">
        <f>IFERROR(INDEX('Data Source'!$S:$S,MATCH(206,'Data Source'!$T:$T,0)),"")</f>
        <v/>
      </c>
    </row>
    <row r="209">
      <c r="A209" s="3">
        <f>IFERROR(IF(COUNTIF('Data Source'!$T:$T,207)&gt;0,207,""),"")</f>
        <v/>
      </c>
      <c r="B209">
        <f>IFERROR(INDEX('Data Source'!$B:$B,MATCH(207,'Data Source'!$T:$T,0)),"")</f>
        <v/>
      </c>
      <c r="C209" s="3">
        <f>IFERROR(INDEX('Data Source'!$P:$P,MATCH(207,'Data Source'!$T:$T,0)),"")</f>
        <v/>
      </c>
      <c r="D209" s="5">
        <f>IFERROR(INDEX('Data Source'!$Q:$Q,MATCH(207,'Data Source'!$T:$T,0)),"")</f>
        <v/>
      </c>
      <c r="E209" s="5">
        <f>IFERROR(INDEX('Data Source'!$R:$R,MATCH(207,'Data Source'!$T:$T,0)),"")</f>
        <v/>
      </c>
      <c r="F209" s="3">
        <f>IFERROR(INDEX('Data Source'!$S:$S,MATCH(207,'Data Source'!$T:$T,0)),"")</f>
        <v/>
      </c>
    </row>
    <row r="210">
      <c r="A210" s="3">
        <f>IFERROR(IF(COUNTIF('Data Source'!$T:$T,208)&gt;0,208,""),"")</f>
        <v/>
      </c>
      <c r="B210">
        <f>IFERROR(INDEX('Data Source'!$B:$B,MATCH(208,'Data Source'!$T:$T,0)),"")</f>
        <v/>
      </c>
      <c r="C210" s="3">
        <f>IFERROR(INDEX('Data Source'!$P:$P,MATCH(208,'Data Source'!$T:$T,0)),"")</f>
        <v/>
      </c>
      <c r="D210" s="5">
        <f>IFERROR(INDEX('Data Source'!$Q:$Q,MATCH(208,'Data Source'!$T:$T,0)),"")</f>
        <v/>
      </c>
      <c r="E210" s="5">
        <f>IFERROR(INDEX('Data Source'!$R:$R,MATCH(208,'Data Source'!$T:$T,0)),"")</f>
        <v/>
      </c>
      <c r="F210" s="3">
        <f>IFERROR(INDEX('Data Source'!$S:$S,MATCH(208,'Data Source'!$T:$T,0)),"")</f>
        <v/>
      </c>
    </row>
    <row r="211">
      <c r="A211" s="3">
        <f>IFERROR(IF(COUNTIF('Data Source'!$T:$T,209)&gt;0,209,""),"")</f>
        <v/>
      </c>
      <c r="B211">
        <f>IFERROR(INDEX('Data Source'!$B:$B,MATCH(209,'Data Source'!$T:$T,0)),"")</f>
        <v/>
      </c>
      <c r="C211" s="3">
        <f>IFERROR(INDEX('Data Source'!$P:$P,MATCH(209,'Data Source'!$T:$T,0)),"")</f>
        <v/>
      </c>
      <c r="D211" s="5">
        <f>IFERROR(INDEX('Data Source'!$Q:$Q,MATCH(209,'Data Source'!$T:$T,0)),"")</f>
        <v/>
      </c>
      <c r="E211" s="5">
        <f>IFERROR(INDEX('Data Source'!$R:$R,MATCH(209,'Data Source'!$T:$T,0)),"")</f>
        <v/>
      </c>
      <c r="F211" s="3">
        <f>IFERROR(INDEX('Data Source'!$S:$S,MATCH(209,'Data Source'!$T:$T,0)),"")</f>
        <v/>
      </c>
    </row>
    <row r="212">
      <c r="A212" s="3">
        <f>IFERROR(IF(COUNTIF('Data Source'!$T:$T,210)&gt;0,210,""),"")</f>
        <v/>
      </c>
      <c r="B212">
        <f>IFERROR(INDEX('Data Source'!$B:$B,MATCH(210,'Data Source'!$T:$T,0)),"")</f>
        <v/>
      </c>
      <c r="C212" s="3">
        <f>IFERROR(INDEX('Data Source'!$P:$P,MATCH(210,'Data Source'!$T:$T,0)),"")</f>
        <v/>
      </c>
      <c r="D212" s="5">
        <f>IFERROR(INDEX('Data Source'!$Q:$Q,MATCH(210,'Data Source'!$T:$T,0)),"")</f>
        <v/>
      </c>
      <c r="E212" s="5">
        <f>IFERROR(INDEX('Data Source'!$R:$R,MATCH(210,'Data Source'!$T:$T,0)),"")</f>
        <v/>
      </c>
      <c r="F212" s="3">
        <f>IFERROR(INDEX('Data Source'!$S:$S,MATCH(210,'Data Source'!$T:$T,0)),"")</f>
        <v/>
      </c>
    </row>
    <row r="213">
      <c r="A213" s="3">
        <f>IFERROR(IF(COUNTIF('Data Source'!$T:$T,211)&gt;0,211,""),"")</f>
        <v/>
      </c>
      <c r="B213">
        <f>IFERROR(INDEX('Data Source'!$B:$B,MATCH(211,'Data Source'!$T:$T,0)),"")</f>
        <v/>
      </c>
      <c r="C213" s="3">
        <f>IFERROR(INDEX('Data Source'!$P:$P,MATCH(211,'Data Source'!$T:$T,0)),"")</f>
        <v/>
      </c>
      <c r="D213" s="5">
        <f>IFERROR(INDEX('Data Source'!$Q:$Q,MATCH(211,'Data Source'!$T:$T,0)),"")</f>
        <v/>
      </c>
      <c r="E213" s="5">
        <f>IFERROR(INDEX('Data Source'!$R:$R,MATCH(211,'Data Source'!$T:$T,0)),"")</f>
        <v/>
      </c>
      <c r="F213" s="3">
        <f>IFERROR(INDEX('Data Source'!$S:$S,MATCH(211,'Data Source'!$T:$T,0)),"")</f>
        <v/>
      </c>
    </row>
    <row r="214">
      <c r="A214" s="3">
        <f>IFERROR(IF(COUNTIF('Data Source'!$T:$T,212)&gt;0,212,""),"")</f>
        <v/>
      </c>
      <c r="B214">
        <f>IFERROR(INDEX('Data Source'!$B:$B,MATCH(212,'Data Source'!$T:$T,0)),"")</f>
        <v/>
      </c>
      <c r="C214" s="3">
        <f>IFERROR(INDEX('Data Source'!$P:$P,MATCH(212,'Data Source'!$T:$T,0)),"")</f>
        <v/>
      </c>
      <c r="D214" s="5">
        <f>IFERROR(INDEX('Data Source'!$Q:$Q,MATCH(212,'Data Source'!$T:$T,0)),"")</f>
        <v/>
      </c>
      <c r="E214" s="5">
        <f>IFERROR(INDEX('Data Source'!$R:$R,MATCH(212,'Data Source'!$T:$T,0)),"")</f>
        <v/>
      </c>
      <c r="F214" s="3">
        <f>IFERROR(INDEX('Data Source'!$S:$S,MATCH(212,'Data Source'!$T:$T,0)),"")</f>
        <v/>
      </c>
    </row>
    <row r="215">
      <c r="A215" s="3">
        <f>IFERROR(IF(COUNTIF('Data Source'!$T:$T,213)&gt;0,213,""),"")</f>
        <v/>
      </c>
      <c r="B215">
        <f>IFERROR(INDEX('Data Source'!$B:$B,MATCH(213,'Data Source'!$T:$T,0)),"")</f>
        <v/>
      </c>
      <c r="C215" s="3">
        <f>IFERROR(INDEX('Data Source'!$P:$P,MATCH(213,'Data Source'!$T:$T,0)),"")</f>
        <v/>
      </c>
      <c r="D215" s="5">
        <f>IFERROR(INDEX('Data Source'!$Q:$Q,MATCH(213,'Data Source'!$T:$T,0)),"")</f>
        <v/>
      </c>
      <c r="E215" s="5">
        <f>IFERROR(INDEX('Data Source'!$R:$R,MATCH(213,'Data Source'!$T:$T,0)),"")</f>
        <v/>
      </c>
      <c r="F215" s="3">
        <f>IFERROR(INDEX('Data Source'!$S:$S,MATCH(213,'Data Source'!$T:$T,0)),"")</f>
        <v/>
      </c>
    </row>
    <row r="216">
      <c r="A216" s="3">
        <f>IFERROR(IF(COUNTIF('Data Source'!$T:$T,214)&gt;0,214,""),"")</f>
        <v/>
      </c>
      <c r="B216">
        <f>IFERROR(INDEX('Data Source'!$B:$B,MATCH(214,'Data Source'!$T:$T,0)),"")</f>
        <v/>
      </c>
      <c r="C216" s="3">
        <f>IFERROR(INDEX('Data Source'!$P:$P,MATCH(214,'Data Source'!$T:$T,0)),"")</f>
        <v/>
      </c>
      <c r="D216" s="5">
        <f>IFERROR(INDEX('Data Source'!$Q:$Q,MATCH(214,'Data Source'!$T:$T,0)),"")</f>
        <v/>
      </c>
      <c r="E216" s="5">
        <f>IFERROR(INDEX('Data Source'!$R:$R,MATCH(214,'Data Source'!$T:$T,0)),"")</f>
        <v/>
      </c>
      <c r="F216" s="3">
        <f>IFERROR(INDEX('Data Source'!$S:$S,MATCH(214,'Data Source'!$T:$T,0)),"")</f>
        <v/>
      </c>
    </row>
    <row r="217">
      <c r="A217" s="3">
        <f>IFERROR(IF(COUNTIF('Data Source'!$T:$T,215)&gt;0,215,""),"")</f>
        <v/>
      </c>
      <c r="B217">
        <f>IFERROR(INDEX('Data Source'!$B:$B,MATCH(215,'Data Source'!$T:$T,0)),"")</f>
        <v/>
      </c>
      <c r="C217" s="3">
        <f>IFERROR(INDEX('Data Source'!$P:$P,MATCH(215,'Data Source'!$T:$T,0)),"")</f>
        <v/>
      </c>
      <c r="D217" s="5">
        <f>IFERROR(INDEX('Data Source'!$Q:$Q,MATCH(215,'Data Source'!$T:$T,0)),"")</f>
        <v/>
      </c>
      <c r="E217" s="5">
        <f>IFERROR(INDEX('Data Source'!$R:$R,MATCH(215,'Data Source'!$T:$T,0)),"")</f>
        <v/>
      </c>
      <c r="F217" s="3">
        <f>IFERROR(INDEX('Data Source'!$S:$S,MATCH(215,'Data Source'!$T:$T,0)),"")</f>
        <v/>
      </c>
    </row>
    <row r="218">
      <c r="A218" s="3">
        <f>IFERROR(IF(COUNTIF('Data Source'!$T:$T,216)&gt;0,216,""),"")</f>
        <v/>
      </c>
      <c r="B218">
        <f>IFERROR(INDEX('Data Source'!$B:$B,MATCH(216,'Data Source'!$T:$T,0)),"")</f>
        <v/>
      </c>
      <c r="C218" s="3">
        <f>IFERROR(INDEX('Data Source'!$P:$P,MATCH(216,'Data Source'!$T:$T,0)),"")</f>
        <v/>
      </c>
      <c r="D218" s="5">
        <f>IFERROR(INDEX('Data Source'!$Q:$Q,MATCH(216,'Data Source'!$T:$T,0)),"")</f>
        <v/>
      </c>
      <c r="E218" s="5">
        <f>IFERROR(INDEX('Data Source'!$R:$R,MATCH(216,'Data Source'!$T:$T,0)),"")</f>
        <v/>
      </c>
      <c r="F218" s="3">
        <f>IFERROR(INDEX('Data Source'!$S:$S,MATCH(216,'Data Source'!$T:$T,0)),"")</f>
        <v/>
      </c>
    </row>
    <row r="219">
      <c r="A219" s="3">
        <f>IFERROR(IF(COUNTIF('Data Source'!$T:$T,217)&gt;0,217,""),"")</f>
        <v/>
      </c>
      <c r="B219">
        <f>IFERROR(INDEX('Data Source'!$B:$B,MATCH(217,'Data Source'!$T:$T,0)),"")</f>
        <v/>
      </c>
      <c r="C219" s="3">
        <f>IFERROR(INDEX('Data Source'!$P:$P,MATCH(217,'Data Source'!$T:$T,0)),"")</f>
        <v/>
      </c>
      <c r="D219" s="5">
        <f>IFERROR(INDEX('Data Source'!$Q:$Q,MATCH(217,'Data Source'!$T:$T,0)),"")</f>
        <v/>
      </c>
      <c r="E219" s="5">
        <f>IFERROR(INDEX('Data Source'!$R:$R,MATCH(217,'Data Source'!$T:$T,0)),"")</f>
        <v/>
      </c>
      <c r="F219" s="3">
        <f>IFERROR(INDEX('Data Source'!$S:$S,MATCH(217,'Data Source'!$T:$T,0)),"")</f>
        <v/>
      </c>
    </row>
    <row r="220">
      <c r="A220" s="3">
        <f>IFERROR(IF(COUNTIF('Data Source'!$T:$T,218)&gt;0,218,""),"")</f>
        <v/>
      </c>
      <c r="B220">
        <f>IFERROR(INDEX('Data Source'!$B:$B,MATCH(218,'Data Source'!$T:$T,0)),"")</f>
        <v/>
      </c>
      <c r="C220" s="3">
        <f>IFERROR(INDEX('Data Source'!$P:$P,MATCH(218,'Data Source'!$T:$T,0)),"")</f>
        <v/>
      </c>
      <c r="D220" s="5">
        <f>IFERROR(INDEX('Data Source'!$Q:$Q,MATCH(218,'Data Source'!$T:$T,0)),"")</f>
        <v/>
      </c>
      <c r="E220" s="5">
        <f>IFERROR(INDEX('Data Source'!$R:$R,MATCH(218,'Data Source'!$T:$T,0)),"")</f>
        <v/>
      </c>
      <c r="F220" s="3">
        <f>IFERROR(INDEX('Data Source'!$S:$S,MATCH(218,'Data Source'!$T:$T,0)),"")</f>
        <v/>
      </c>
    </row>
    <row r="221">
      <c r="A221" s="3">
        <f>IFERROR(IF(COUNTIF('Data Source'!$T:$T,219)&gt;0,219,""),"")</f>
        <v/>
      </c>
      <c r="B221">
        <f>IFERROR(INDEX('Data Source'!$B:$B,MATCH(219,'Data Source'!$T:$T,0)),"")</f>
        <v/>
      </c>
      <c r="C221" s="3">
        <f>IFERROR(INDEX('Data Source'!$P:$P,MATCH(219,'Data Source'!$T:$T,0)),"")</f>
        <v/>
      </c>
      <c r="D221" s="5">
        <f>IFERROR(INDEX('Data Source'!$Q:$Q,MATCH(219,'Data Source'!$T:$T,0)),"")</f>
        <v/>
      </c>
      <c r="E221" s="5">
        <f>IFERROR(INDEX('Data Source'!$R:$R,MATCH(219,'Data Source'!$T:$T,0)),"")</f>
        <v/>
      </c>
      <c r="F221" s="3">
        <f>IFERROR(INDEX('Data Source'!$S:$S,MATCH(219,'Data Source'!$T:$T,0)),"")</f>
        <v/>
      </c>
    </row>
    <row r="222">
      <c r="A222" s="3">
        <f>IFERROR(IF(COUNTIF('Data Source'!$T:$T,220)&gt;0,220,""),"")</f>
        <v/>
      </c>
      <c r="B222">
        <f>IFERROR(INDEX('Data Source'!$B:$B,MATCH(220,'Data Source'!$T:$T,0)),"")</f>
        <v/>
      </c>
      <c r="C222" s="3">
        <f>IFERROR(INDEX('Data Source'!$P:$P,MATCH(220,'Data Source'!$T:$T,0)),"")</f>
        <v/>
      </c>
      <c r="D222" s="5">
        <f>IFERROR(INDEX('Data Source'!$Q:$Q,MATCH(220,'Data Source'!$T:$T,0)),"")</f>
        <v/>
      </c>
      <c r="E222" s="5">
        <f>IFERROR(INDEX('Data Source'!$R:$R,MATCH(220,'Data Source'!$T:$T,0)),"")</f>
        <v/>
      </c>
      <c r="F222" s="3">
        <f>IFERROR(INDEX('Data Source'!$S:$S,MATCH(220,'Data Source'!$T:$T,0)),"")</f>
        <v/>
      </c>
    </row>
    <row r="223">
      <c r="A223" s="3">
        <f>IFERROR(IF(COUNTIF('Data Source'!$T:$T,221)&gt;0,221,""),"")</f>
        <v/>
      </c>
      <c r="B223">
        <f>IFERROR(INDEX('Data Source'!$B:$B,MATCH(221,'Data Source'!$T:$T,0)),"")</f>
        <v/>
      </c>
      <c r="C223" s="3">
        <f>IFERROR(INDEX('Data Source'!$P:$P,MATCH(221,'Data Source'!$T:$T,0)),"")</f>
        <v/>
      </c>
      <c r="D223" s="5">
        <f>IFERROR(INDEX('Data Source'!$Q:$Q,MATCH(221,'Data Source'!$T:$T,0)),"")</f>
        <v/>
      </c>
      <c r="E223" s="5">
        <f>IFERROR(INDEX('Data Source'!$R:$R,MATCH(221,'Data Source'!$T:$T,0)),"")</f>
        <v/>
      </c>
      <c r="F223" s="3">
        <f>IFERROR(INDEX('Data Source'!$S:$S,MATCH(221,'Data Source'!$T:$T,0)),"")</f>
        <v/>
      </c>
    </row>
    <row r="224">
      <c r="A224" s="3">
        <f>IFERROR(IF(COUNTIF('Data Source'!$T:$T,222)&gt;0,222,""),"")</f>
        <v/>
      </c>
      <c r="B224">
        <f>IFERROR(INDEX('Data Source'!$B:$B,MATCH(222,'Data Source'!$T:$T,0)),"")</f>
        <v/>
      </c>
      <c r="C224" s="3">
        <f>IFERROR(INDEX('Data Source'!$P:$P,MATCH(222,'Data Source'!$T:$T,0)),"")</f>
        <v/>
      </c>
      <c r="D224" s="5">
        <f>IFERROR(INDEX('Data Source'!$Q:$Q,MATCH(222,'Data Source'!$T:$T,0)),"")</f>
        <v/>
      </c>
      <c r="E224" s="5">
        <f>IFERROR(INDEX('Data Source'!$R:$R,MATCH(222,'Data Source'!$T:$T,0)),"")</f>
        <v/>
      </c>
      <c r="F224" s="3">
        <f>IFERROR(INDEX('Data Source'!$S:$S,MATCH(222,'Data Source'!$T:$T,0)),"")</f>
        <v/>
      </c>
    </row>
    <row r="225">
      <c r="A225" s="3">
        <f>IFERROR(IF(COUNTIF('Data Source'!$T:$T,223)&gt;0,223,""),"")</f>
        <v/>
      </c>
      <c r="B225">
        <f>IFERROR(INDEX('Data Source'!$B:$B,MATCH(223,'Data Source'!$T:$T,0)),"")</f>
        <v/>
      </c>
      <c r="C225" s="3">
        <f>IFERROR(INDEX('Data Source'!$P:$P,MATCH(223,'Data Source'!$T:$T,0)),"")</f>
        <v/>
      </c>
      <c r="D225" s="5">
        <f>IFERROR(INDEX('Data Source'!$Q:$Q,MATCH(223,'Data Source'!$T:$T,0)),"")</f>
        <v/>
      </c>
      <c r="E225" s="5">
        <f>IFERROR(INDEX('Data Source'!$R:$R,MATCH(223,'Data Source'!$T:$T,0)),"")</f>
        <v/>
      </c>
      <c r="F225" s="3">
        <f>IFERROR(INDEX('Data Source'!$S:$S,MATCH(223,'Data Source'!$T:$T,0)),"")</f>
        <v/>
      </c>
    </row>
    <row r="226">
      <c r="A226" s="3">
        <f>IFERROR(IF(COUNTIF('Data Source'!$T:$T,224)&gt;0,224,""),"")</f>
        <v/>
      </c>
      <c r="B226">
        <f>IFERROR(INDEX('Data Source'!$B:$B,MATCH(224,'Data Source'!$T:$T,0)),"")</f>
        <v/>
      </c>
      <c r="C226" s="3">
        <f>IFERROR(INDEX('Data Source'!$P:$P,MATCH(224,'Data Source'!$T:$T,0)),"")</f>
        <v/>
      </c>
      <c r="D226" s="5">
        <f>IFERROR(INDEX('Data Source'!$Q:$Q,MATCH(224,'Data Source'!$T:$T,0)),"")</f>
        <v/>
      </c>
      <c r="E226" s="5">
        <f>IFERROR(INDEX('Data Source'!$R:$R,MATCH(224,'Data Source'!$T:$T,0)),"")</f>
        <v/>
      </c>
      <c r="F226" s="3">
        <f>IFERROR(INDEX('Data Source'!$S:$S,MATCH(224,'Data Source'!$T:$T,0)),"")</f>
        <v/>
      </c>
    </row>
    <row r="227">
      <c r="A227" s="3">
        <f>IFERROR(IF(COUNTIF('Data Source'!$T:$T,225)&gt;0,225,""),"")</f>
        <v/>
      </c>
      <c r="B227">
        <f>IFERROR(INDEX('Data Source'!$B:$B,MATCH(225,'Data Source'!$T:$T,0)),"")</f>
        <v/>
      </c>
      <c r="C227" s="3">
        <f>IFERROR(INDEX('Data Source'!$P:$P,MATCH(225,'Data Source'!$T:$T,0)),"")</f>
        <v/>
      </c>
      <c r="D227" s="5">
        <f>IFERROR(INDEX('Data Source'!$Q:$Q,MATCH(225,'Data Source'!$T:$T,0)),"")</f>
        <v/>
      </c>
      <c r="E227" s="5">
        <f>IFERROR(INDEX('Data Source'!$R:$R,MATCH(225,'Data Source'!$T:$T,0)),"")</f>
        <v/>
      </c>
      <c r="F227" s="3">
        <f>IFERROR(INDEX('Data Source'!$S:$S,MATCH(225,'Data Source'!$T:$T,0)),"")</f>
        <v/>
      </c>
    </row>
    <row r="228">
      <c r="A228" s="3">
        <f>IFERROR(IF(COUNTIF('Data Source'!$T:$T,226)&gt;0,226,""),"")</f>
        <v/>
      </c>
      <c r="B228">
        <f>IFERROR(INDEX('Data Source'!$B:$B,MATCH(226,'Data Source'!$T:$T,0)),"")</f>
        <v/>
      </c>
      <c r="C228" s="3">
        <f>IFERROR(INDEX('Data Source'!$P:$P,MATCH(226,'Data Source'!$T:$T,0)),"")</f>
        <v/>
      </c>
      <c r="D228" s="5">
        <f>IFERROR(INDEX('Data Source'!$Q:$Q,MATCH(226,'Data Source'!$T:$T,0)),"")</f>
        <v/>
      </c>
      <c r="E228" s="5">
        <f>IFERROR(INDEX('Data Source'!$R:$R,MATCH(226,'Data Source'!$T:$T,0)),"")</f>
        <v/>
      </c>
      <c r="F228" s="3">
        <f>IFERROR(INDEX('Data Source'!$S:$S,MATCH(226,'Data Source'!$T:$T,0)),"")</f>
        <v/>
      </c>
    </row>
    <row r="229">
      <c r="A229" s="3">
        <f>IFERROR(IF(COUNTIF('Data Source'!$T:$T,227)&gt;0,227,""),"")</f>
        <v/>
      </c>
      <c r="B229">
        <f>IFERROR(INDEX('Data Source'!$B:$B,MATCH(227,'Data Source'!$T:$T,0)),"")</f>
        <v/>
      </c>
      <c r="C229" s="3">
        <f>IFERROR(INDEX('Data Source'!$P:$P,MATCH(227,'Data Source'!$T:$T,0)),"")</f>
        <v/>
      </c>
      <c r="D229" s="5">
        <f>IFERROR(INDEX('Data Source'!$Q:$Q,MATCH(227,'Data Source'!$T:$T,0)),"")</f>
        <v/>
      </c>
      <c r="E229" s="5">
        <f>IFERROR(INDEX('Data Source'!$R:$R,MATCH(227,'Data Source'!$T:$T,0)),"")</f>
        <v/>
      </c>
      <c r="F229" s="3">
        <f>IFERROR(INDEX('Data Source'!$S:$S,MATCH(227,'Data Source'!$T:$T,0)),"")</f>
        <v/>
      </c>
    </row>
    <row r="230">
      <c r="A230" s="3">
        <f>IFERROR(IF(COUNTIF('Data Source'!$T:$T,228)&gt;0,228,""),"")</f>
        <v/>
      </c>
      <c r="B230">
        <f>IFERROR(INDEX('Data Source'!$B:$B,MATCH(228,'Data Source'!$T:$T,0)),"")</f>
        <v/>
      </c>
      <c r="C230" s="3">
        <f>IFERROR(INDEX('Data Source'!$P:$P,MATCH(228,'Data Source'!$T:$T,0)),"")</f>
        <v/>
      </c>
      <c r="D230" s="5">
        <f>IFERROR(INDEX('Data Source'!$Q:$Q,MATCH(228,'Data Source'!$T:$T,0)),"")</f>
        <v/>
      </c>
      <c r="E230" s="5">
        <f>IFERROR(INDEX('Data Source'!$R:$R,MATCH(228,'Data Source'!$T:$T,0)),"")</f>
        <v/>
      </c>
      <c r="F230" s="3">
        <f>IFERROR(INDEX('Data Source'!$S:$S,MATCH(228,'Data Source'!$T:$T,0)),"")</f>
        <v/>
      </c>
    </row>
    <row r="231">
      <c r="A231" s="3">
        <f>IFERROR(IF(COUNTIF('Data Source'!$T:$T,229)&gt;0,229,""),"")</f>
        <v/>
      </c>
      <c r="B231">
        <f>IFERROR(INDEX('Data Source'!$B:$B,MATCH(229,'Data Source'!$T:$T,0)),"")</f>
        <v/>
      </c>
      <c r="C231" s="3">
        <f>IFERROR(INDEX('Data Source'!$P:$P,MATCH(229,'Data Source'!$T:$T,0)),"")</f>
        <v/>
      </c>
      <c r="D231" s="5">
        <f>IFERROR(INDEX('Data Source'!$Q:$Q,MATCH(229,'Data Source'!$T:$T,0)),"")</f>
        <v/>
      </c>
      <c r="E231" s="5">
        <f>IFERROR(INDEX('Data Source'!$R:$R,MATCH(229,'Data Source'!$T:$T,0)),"")</f>
        <v/>
      </c>
      <c r="F231" s="3">
        <f>IFERROR(INDEX('Data Source'!$S:$S,MATCH(229,'Data Source'!$T:$T,0)),"")</f>
        <v/>
      </c>
    </row>
    <row r="232">
      <c r="A232" s="3">
        <f>IFERROR(IF(COUNTIF('Data Source'!$T:$T,230)&gt;0,230,""),"")</f>
        <v/>
      </c>
      <c r="B232">
        <f>IFERROR(INDEX('Data Source'!$B:$B,MATCH(230,'Data Source'!$T:$T,0)),"")</f>
        <v/>
      </c>
      <c r="C232" s="3">
        <f>IFERROR(INDEX('Data Source'!$P:$P,MATCH(230,'Data Source'!$T:$T,0)),"")</f>
        <v/>
      </c>
      <c r="D232" s="5">
        <f>IFERROR(INDEX('Data Source'!$Q:$Q,MATCH(230,'Data Source'!$T:$T,0)),"")</f>
        <v/>
      </c>
      <c r="E232" s="5">
        <f>IFERROR(INDEX('Data Source'!$R:$R,MATCH(230,'Data Source'!$T:$T,0)),"")</f>
        <v/>
      </c>
      <c r="F232" s="3">
        <f>IFERROR(INDEX('Data Source'!$S:$S,MATCH(230,'Data Source'!$T:$T,0)),"")</f>
        <v/>
      </c>
    </row>
    <row r="233">
      <c r="A233" s="3">
        <f>IFERROR(IF(COUNTIF('Data Source'!$T:$T,231)&gt;0,231,""),"")</f>
        <v/>
      </c>
      <c r="B233">
        <f>IFERROR(INDEX('Data Source'!$B:$B,MATCH(231,'Data Source'!$T:$T,0)),"")</f>
        <v/>
      </c>
      <c r="C233" s="3">
        <f>IFERROR(INDEX('Data Source'!$P:$P,MATCH(231,'Data Source'!$T:$T,0)),"")</f>
        <v/>
      </c>
      <c r="D233" s="5">
        <f>IFERROR(INDEX('Data Source'!$Q:$Q,MATCH(231,'Data Source'!$T:$T,0)),"")</f>
        <v/>
      </c>
      <c r="E233" s="5">
        <f>IFERROR(INDEX('Data Source'!$R:$R,MATCH(231,'Data Source'!$T:$T,0)),"")</f>
        <v/>
      </c>
      <c r="F233" s="3">
        <f>IFERROR(INDEX('Data Source'!$S:$S,MATCH(231,'Data Source'!$T:$T,0)),"")</f>
        <v/>
      </c>
    </row>
    <row r="234">
      <c r="A234" s="3">
        <f>IFERROR(IF(COUNTIF('Data Source'!$T:$T,232)&gt;0,232,""),"")</f>
        <v/>
      </c>
      <c r="B234">
        <f>IFERROR(INDEX('Data Source'!$B:$B,MATCH(232,'Data Source'!$T:$T,0)),"")</f>
        <v/>
      </c>
      <c r="C234" s="3">
        <f>IFERROR(INDEX('Data Source'!$P:$P,MATCH(232,'Data Source'!$T:$T,0)),"")</f>
        <v/>
      </c>
      <c r="D234" s="5">
        <f>IFERROR(INDEX('Data Source'!$Q:$Q,MATCH(232,'Data Source'!$T:$T,0)),"")</f>
        <v/>
      </c>
      <c r="E234" s="5">
        <f>IFERROR(INDEX('Data Source'!$R:$R,MATCH(232,'Data Source'!$T:$T,0)),"")</f>
        <v/>
      </c>
      <c r="F234" s="3">
        <f>IFERROR(INDEX('Data Source'!$S:$S,MATCH(232,'Data Source'!$T:$T,0)),"")</f>
        <v/>
      </c>
    </row>
    <row r="235">
      <c r="A235" s="3">
        <f>IFERROR(IF(COUNTIF('Data Source'!$T:$T,233)&gt;0,233,""),"")</f>
        <v/>
      </c>
      <c r="B235">
        <f>IFERROR(INDEX('Data Source'!$B:$B,MATCH(233,'Data Source'!$T:$T,0)),"")</f>
        <v/>
      </c>
      <c r="C235" s="3">
        <f>IFERROR(INDEX('Data Source'!$P:$P,MATCH(233,'Data Source'!$T:$T,0)),"")</f>
        <v/>
      </c>
      <c r="D235" s="5">
        <f>IFERROR(INDEX('Data Source'!$Q:$Q,MATCH(233,'Data Source'!$T:$T,0)),"")</f>
        <v/>
      </c>
      <c r="E235" s="5">
        <f>IFERROR(INDEX('Data Source'!$R:$R,MATCH(233,'Data Source'!$T:$T,0)),"")</f>
        <v/>
      </c>
      <c r="F235" s="3">
        <f>IFERROR(INDEX('Data Source'!$S:$S,MATCH(233,'Data Source'!$T:$T,0)),"")</f>
        <v/>
      </c>
    </row>
    <row r="236">
      <c r="A236" s="3">
        <f>IFERROR(IF(COUNTIF('Data Source'!$T:$T,234)&gt;0,234,""),"")</f>
        <v/>
      </c>
      <c r="B236">
        <f>IFERROR(INDEX('Data Source'!$B:$B,MATCH(234,'Data Source'!$T:$T,0)),"")</f>
        <v/>
      </c>
      <c r="C236" s="3">
        <f>IFERROR(INDEX('Data Source'!$P:$P,MATCH(234,'Data Source'!$T:$T,0)),"")</f>
        <v/>
      </c>
      <c r="D236" s="5">
        <f>IFERROR(INDEX('Data Source'!$Q:$Q,MATCH(234,'Data Source'!$T:$T,0)),"")</f>
        <v/>
      </c>
      <c r="E236" s="5">
        <f>IFERROR(INDEX('Data Source'!$R:$R,MATCH(234,'Data Source'!$T:$T,0)),"")</f>
        <v/>
      </c>
      <c r="F236" s="3">
        <f>IFERROR(INDEX('Data Source'!$S:$S,MATCH(234,'Data Source'!$T:$T,0)),"")</f>
        <v/>
      </c>
    </row>
    <row r="237">
      <c r="A237" s="3">
        <f>IFERROR(IF(COUNTIF('Data Source'!$T:$T,235)&gt;0,235,""),"")</f>
        <v/>
      </c>
      <c r="B237">
        <f>IFERROR(INDEX('Data Source'!$B:$B,MATCH(235,'Data Source'!$T:$T,0)),"")</f>
        <v/>
      </c>
      <c r="C237" s="3">
        <f>IFERROR(INDEX('Data Source'!$P:$P,MATCH(235,'Data Source'!$T:$T,0)),"")</f>
        <v/>
      </c>
      <c r="D237" s="5">
        <f>IFERROR(INDEX('Data Source'!$Q:$Q,MATCH(235,'Data Source'!$T:$T,0)),"")</f>
        <v/>
      </c>
      <c r="E237" s="5">
        <f>IFERROR(INDEX('Data Source'!$R:$R,MATCH(235,'Data Source'!$T:$T,0)),"")</f>
        <v/>
      </c>
      <c r="F237" s="3">
        <f>IFERROR(INDEX('Data Source'!$S:$S,MATCH(235,'Data Source'!$T:$T,0)),"")</f>
        <v/>
      </c>
    </row>
    <row r="238">
      <c r="A238" s="3">
        <f>IFERROR(IF(COUNTIF('Data Source'!$T:$T,236)&gt;0,236,""),"")</f>
        <v/>
      </c>
      <c r="B238">
        <f>IFERROR(INDEX('Data Source'!$B:$B,MATCH(236,'Data Source'!$T:$T,0)),"")</f>
        <v/>
      </c>
      <c r="C238" s="3">
        <f>IFERROR(INDEX('Data Source'!$P:$P,MATCH(236,'Data Source'!$T:$T,0)),"")</f>
        <v/>
      </c>
      <c r="D238" s="5">
        <f>IFERROR(INDEX('Data Source'!$Q:$Q,MATCH(236,'Data Source'!$T:$T,0)),"")</f>
        <v/>
      </c>
      <c r="E238" s="5">
        <f>IFERROR(INDEX('Data Source'!$R:$R,MATCH(236,'Data Source'!$T:$T,0)),"")</f>
        <v/>
      </c>
      <c r="F238" s="3">
        <f>IFERROR(INDEX('Data Source'!$S:$S,MATCH(236,'Data Source'!$T:$T,0)),"")</f>
        <v/>
      </c>
    </row>
    <row r="239">
      <c r="A239" s="3">
        <f>IFERROR(IF(COUNTIF('Data Source'!$T:$T,237)&gt;0,237,""),"")</f>
        <v/>
      </c>
      <c r="B239">
        <f>IFERROR(INDEX('Data Source'!$B:$B,MATCH(237,'Data Source'!$T:$T,0)),"")</f>
        <v/>
      </c>
      <c r="C239" s="3">
        <f>IFERROR(INDEX('Data Source'!$P:$P,MATCH(237,'Data Source'!$T:$T,0)),"")</f>
        <v/>
      </c>
      <c r="D239" s="5">
        <f>IFERROR(INDEX('Data Source'!$Q:$Q,MATCH(237,'Data Source'!$T:$T,0)),"")</f>
        <v/>
      </c>
      <c r="E239" s="5">
        <f>IFERROR(INDEX('Data Source'!$R:$R,MATCH(237,'Data Source'!$T:$T,0)),"")</f>
        <v/>
      </c>
      <c r="F239" s="3">
        <f>IFERROR(INDEX('Data Source'!$S:$S,MATCH(237,'Data Source'!$T:$T,0)),"")</f>
        <v/>
      </c>
    </row>
    <row r="240">
      <c r="A240" s="3">
        <f>IFERROR(IF(COUNTIF('Data Source'!$T:$T,238)&gt;0,238,""),"")</f>
        <v/>
      </c>
      <c r="B240">
        <f>IFERROR(INDEX('Data Source'!$B:$B,MATCH(238,'Data Source'!$T:$T,0)),"")</f>
        <v/>
      </c>
      <c r="C240" s="3">
        <f>IFERROR(INDEX('Data Source'!$P:$P,MATCH(238,'Data Source'!$T:$T,0)),"")</f>
        <v/>
      </c>
      <c r="D240" s="5">
        <f>IFERROR(INDEX('Data Source'!$Q:$Q,MATCH(238,'Data Source'!$T:$T,0)),"")</f>
        <v/>
      </c>
      <c r="E240" s="5">
        <f>IFERROR(INDEX('Data Source'!$R:$R,MATCH(238,'Data Source'!$T:$T,0)),"")</f>
        <v/>
      </c>
      <c r="F240" s="3">
        <f>IFERROR(INDEX('Data Source'!$S:$S,MATCH(238,'Data Source'!$T:$T,0)),"")</f>
        <v/>
      </c>
    </row>
    <row r="241">
      <c r="A241" s="3">
        <f>IFERROR(IF(COUNTIF('Data Source'!$T:$T,239)&gt;0,239,""),"")</f>
        <v/>
      </c>
      <c r="B241">
        <f>IFERROR(INDEX('Data Source'!$B:$B,MATCH(239,'Data Source'!$T:$T,0)),"")</f>
        <v/>
      </c>
      <c r="C241" s="3">
        <f>IFERROR(INDEX('Data Source'!$P:$P,MATCH(239,'Data Source'!$T:$T,0)),"")</f>
        <v/>
      </c>
      <c r="D241" s="5">
        <f>IFERROR(INDEX('Data Source'!$Q:$Q,MATCH(239,'Data Source'!$T:$T,0)),"")</f>
        <v/>
      </c>
      <c r="E241" s="5">
        <f>IFERROR(INDEX('Data Source'!$R:$R,MATCH(239,'Data Source'!$T:$T,0)),"")</f>
        <v/>
      </c>
      <c r="F241" s="3">
        <f>IFERROR(INDEX('Data Source'!$S:$S,MATCH(239,'Data Source'!$T:$T,0)),"")</f>
        <v/>
      </c>
    </row>
    <row r="242">
      <c r="A242" s="3">
        <f>IFERROR(IF(COUNTIF('Data Source'!$T:$T,240)&gt;0,240,""),"")</f>
        <v/>
      </c>
      <c r="B242">
        <f>IFERROR(INDEX('Data Source'!$B:$B,MATCH(240,'Data Source'!$T:$T,0)),"")</f>
        <v/>
      </c>
      <c r="C242" s="3">
        <f>IFERROR(INDEX('Data Source'!$P:$P,MATCH(240,'Data Source'!$T:$T,0)),"")</f>
        <v/>
      </c>
      <c r="D242" s="5">
        <f>IFERROR(INDEX('Data Source'!$Q:$Q,MATCH(240,'Data Source'!$T:$T,0)),"")</f>
        <v/>
      </c>
      <c r="E242" s="5">
        <f>IFERROR(INDEX('Data Source'!$R:$R,MATCH(240,'Data Source'!$T:$T,0)),"")</f>
        <v/>
      </c>
      <c r="F242" s="3">
        <f>IFERROR(INDEX('Data Source'!$S:$S,MATCH(240,'Data Source'!$T:$T,0)),"")</f>
        <v/>
      </c>
    </row>
    <row r="243">
      <c r="A243" s="3">
        <f>IFERROR(IF(COUNTIF('Data Source'!$T:$T,241)&gt;0,241,""),"")</f>
        <v/>
      </c>
      <c r="B243">
        <f>IFERROR(INDEX('Data Source'!$B:$B,MATCH(241,'Data Source'!$T:$T,0)),"")</f>
        <v/>
      </c>
      <c r="C243" s="3">
        <f>IFERROR(INDEX('Data Source'!$P:$P,MATCH(241,'Data Source'!$T:$T,0)),"")</f>
        <v/>
      </c>
      <c r="D243" s="5">
        <f>IFERROR(INDEX('Data Source'!$Q:$Q,MATCH(241,'Data Source'!$T:$T,0)),"")</f>
        <v/>
      </c>
      <c r="E243" s="5">
        <f>IFERROR(INDEX('Data Source'!$R:$R,MATCH(241,'Data Source'!$T:$T,0)),"")</f>
        <v/>
      </c>
      <c r="F243" s="3">
        <f>IFERROR(INDEX('Data Source'!$S:$S,MATCH(241,'Data Source'!$T:$T,0)),"")</f>
        <v/>
      </c>
    </row>
    <row r="244">
      <c r="A244" s="3">
        <f>IFERROR(IF(COUNTIF('Data Source'!$T:$T,242)&gt;0,242,""),"")</f>
        <v/>
      </c>
      <c r="B244">
        <f>IFERROR(INDEX('Data Source'!$B:$B,MATCH(242,'Data Source'!$T:$T,0)),"")</f>
        <v/>
      </c>
      <c r="C244" s="3">
        <f>IFERROR(INDEX('Data Source'!$P:$P,MATCH(242,'Data Source'!$T:$T,0)),"")</f>
        <v/>
      </c>
      <c r="D244" s="5">
        <f>IFERROR(INDEX('Data Source'!$Q:$Q,MATCH(242,'Data Source'!$T:$T,0)),"")</f>
        <v/>
      </c>
      <c r="E244" s="5">
        <f>IFERROR(INDEX('Data Source'!$R:$R,MATCH(242,'Data Source'!$T:$T,0)),"")</f>
        <v/>
      </c>
      <c r="F244" s="3">
        <f>IFERROR(INDEX('Data Source'!$S:$S,MATCH(242,'Data Source'!$T:$T,0)),"")</f>
        <v/>
      </c>
    </row>
    <row r="245">
      <c r="A245" s="3">
        <f>IFERROR(IF(COUNTIF('Data Source'!$T:$T,243)&gt;0,243,""),"")</f>
        <v/>
      </c>
      <c r="B245">
        <f>IFERROR(INDEX('Data Source'!$B:$B,MATCH(243,'Data Source'!$T:$T,0)),"")</f>
        <v/>
      </c>
      <c r="C245" s="3">
        <f>IFERROR(INDEX('Data Source'!$P:$P,MATCH(243,'Data Source'!$T:$T,0)),"")</f>
        <v/>
      </c>
      <c r="D245" s="5">
        <f>IFERROR(INDEX('Data Source'!$Q:$Q,MATCH(243,'Data Source'!$T:$T,0)),"")</f>
        <v/>
      </c>
      <c r="E245" s="5">
        <f>IFERROR(INDEX('Data Source'!$R:$R,MATCH(243,'Data Source'!$T:$T,0)),"")</f>
        <v/>
      </c>
      <c r="F245" s="3">
        <f>IFERROR(INDEX('Data Source'!$S:$S,MATCH(243,'Data Source'!$T:$T,0)),"")</f>
        <v/>
      </c>
    </row>
    <row r="246">
      <c r="A246" s="3">
        <f>IFERROR(IF(COUNTIF('Data Source'!$T:$T,244)&gt;0,244,""),"")</f>
        <v/>
      </c>
      <c r="B246">
        <f>IFERROR(INDEX('Data Source'!$B:$B,MATCH(244,'Data Source'!$T:$T,0)),"")</f>
        <v/>
      </c>
      <c r="C246" s="3">
        <f>IFERROR(INDEX('Data Source'!$P:$P,MATCH(244,'Data Source'!$T:$T,0)),"")</f>
        <v/>
      </c>
      <c r="D246" s="5">
        <f>IFERROR(INDEX('Data Source'!$Q:$Q,MATCH(244,'Data Source'!$T:$T,0)),"")</f>
        <v/>
      </c>
      <c r="E246" s="5">
        <f>IFERROR(INDEX('Data Source'!$R:$R,MATCH(244,'Data Source'!$T:$T,0)),"")</f>
        <v/>
      </c>
      <c r="F246" s="3">
        <f>IFERROR(INDEX('Data Source'!$S:$S,MATCH(244,'Data Source'!$T:$T,0)),"")</f>
        <v/>
      </c>
    </row>
    <row r="247">
      <c r="A247" s="3">
        <f>IFERROR(IF(COUNTIF('Data Source'!$T:$T,245)&gt;0,245,""),"")</f>
        <v/>
      </c>
      <c r="B247">
        <f>IFERROR(INDEX('Data Source'!$B:$B,MATCH(245,'Data Source'!$T:$T,0)),"")</f>
        <v/>
      </c>
      <c r="C247" s="3">
        <f>IFERROR(INDEX('Data Source'!$P:$P,MATCH(245,'Data Source'!$T:$T,0)),"")</f>
        <v/>
      </c>
      <c r="D247" s="5">
        <f>IFERROR(INDEX('Data Source'!$Q:$Q,MATCH(245,'Data Source'!$T:$T,0)),"")</f>
        <v/>
      </c>
      <c r="E247" s="5">
        <f>IFERROR(INDEX('Data Source'!$R:$R,MATCH(245,'Data Source'!$T:$T,0)),"")</f>
        <v/>
      </c>
      <c r="F247" s="3">
        <f>IFERROR(INDEX('Data Source'!$S:$S,MATCH(245,'Data Source'!$T:$T,0)),"")</f>
        <v/>
      </c>
    </row>
    <row r="248">
      <c r="A248" s="3">
        <f>IFERROR(IF(COUNTIF('Data Source'!$T:$T,246)&gt;0,246,""),"")</f>
        <v/>
      </c>
      <c r="B248">
        <f>IFERROR(INDEX('Data Source'!$B:$B,MATCH(246,'Data Source'!$T:$T,0)),"")</f>
        <v/>
      </c>
      <c r="C248" s="3">
        <f>IFERROR(INDEX('Data Source'!$P:$P,MATCH(246,'Data Source'!$T:$T,0)),"")</f>
        <v/>
      </c>
      <c r="D248" s="5">
        <f>IFERROR(INDEX('Data Source'!$Q:$Q,MATCH(246,'Data Source'!$T:$T,0)),"")</f>
        <v/>
      </c>
      <c r="E248" s="5">
        <f>IFERROR(INDEX('Data Source'!$R:$R,MATCH(246,'Data Source'!$T:$T,0)),"")</f>
        <v/>
      </c>
      <c r="F248" s="3">
        <f>IFERROR(INDEX('Data Source'!$S:$S,MATCH(246,'Data Source'!$T:$T,0)),"")</f>
        <v/>
      </c>
    </row>
    <row r="249">
      <c r="A249" s="3">
        <f>IFERROR(IF(COUNTIF('Data Source'!$T:$T,247)&gt;0,247,""),"")</f>
        <v/>
      </c>
      <c r="B249">
        <f>IFERROR(INDEX('Data Source'!$B:$B,MATCH(247,'Data Source'!$T:$T,0)),"")</f>
        <v/>
      </c>
      <c r="C249" s="3">
        <f>IFERROR(INDEX('Data Source'!$P:$P,MATCH(247,'Data Source'!$T:$T,0)),"")</f>
        <v/>
      </c>
      <c r="D249" s="5">
        <f>IFERROR(INDEX('Data Source'!$Q:$Q,MATCH(247,'Data Source'!$T:$T,0)),"")</f>
        <v/>
      </c>
      <c r="E249" s="5">
        <f>IFERROR(INDEX('Data Source'!$R:$R,MATCH(247,'Data Source'!$T:$T,0)),"")</f>
        <v/>
      </c>
      <c r="F249" s="3">
        <f>IFERROR(INDEX('Data Source'!$S:$S,MATCH(247,'Data Source'!$T:$T,0)),"")</f>
        <v/>
      </c>
    </row>
    <row r="250">
      <c r="A250" s="3">
        <f>IFERROR(IF(COUNTIF('Data Source'!$T:$T,248)&gt;0,248,""),"")</f>
        <v/>
      </c>
      <c r="B250">
        <f>IFERROR(INDEX('Data Source'!$B:$B,MATCH(248,'Data Source'!$T:$T,0)),"")</f>
        <v/>
      </c>
      <c r="C250" s="3">
        <f>IFERROR(INDEX('Data Source'!$P:$P,MATCH(248,'Data Source'!$T:$T,0)),"")</f>
        <v/>
      </c>
      <c r="D250" s="5">
        <f>IFERROR(INDEX('Data Source'!$Q:$Q,MATCH(248,'Data Source'!$T:$T,0)),"")</f>
        <v/>
      </c>
      <c r="E250" s="5">
        <f>IFERROR(INDEX('Data Source'!$R:$R,MATCH(248,'Data Source'!$T:$T,0)),"")</f>
        <v/>
      </c>
      <c r="F250" s="3">
        <f>IFERROR(INDEX('Data Source'!$S:$S,MATCH(248,'Data Source'!$T:$T,0)),"")</f>
        <v/>
      </c>
    </row>
    <row r="251">
      <c r="A251" s="3">
        <f>IFERROR(IF(COUNTIF('Data Source'!$T:$T,249)&gt;0,249,""),"")</f>
        <v/>
      </c>
      <c r="B251">
        <f>IFERROR(INDEX('Data Source'!$B:$B,MATCH(249,'Data Source'!$T:$T,0)),"")</f>
        <v/>
      </c>
      <c r="C251" s="3">
        <f>IFERROR(INDEX('Data Source'!$P:$P,MATCH(249,'Data Source'!$T:$T,0)),"")</f>
        <v/>
      </c>
      <c r="D251" s="5">
        <f>IFERROR(INDEX('Data Source'!$Q:$Q,MATCH(249,'Data Source'!$T:$T,0)),"")</f>
        <v/>
      </c>
      <c r="E251" s="5">
        <f>IFERROR(INDEX('Data Source'!$R:$R,MATCH(249,'Data Source'!$T:$T,0)),"")</f>
        <v/>
      </c>
      <c r="F251" s="3">
        <f>IFERROR(INDEX('Data Source'!$S:$S,MATCH(249,'Data Source'!$T:$T,0)),"")</f>
        <v/>
      </c>
    </row>
    <row r="252">
      <c r="A252" s="3">
        <f>IFERROR(IF(COUNTIF('Data Source'!$T:$T,250)&gt;0,250,""),"")</f>
        <v/>
      </c>
      <c r="B252">
        <f>IFERROR(INDEX('Data Source'!$B:$B,MATCH(250,'Data Source'!$T:$T,0)),"")</f>
        <v/>
      </c>
      <c r="C252" s="3">
        <f>IFERROR(INDEX('Data Source'!$P:$P,MATCH(250,'Data Source'!$T:$T,0)),"")</f>
        <v/>
      </c>
      <c r="D252" s="5">
        <f>IFERROR(INDEX('Data Source'!$Q:$Q,MATCH(250,'Data Source'!$T:$T,0)),"")</f>
        <v/>
      </c>
      <c r="E252" s="5">
        <f>IFERROR(INDEX('Data Source'!$R:$R,MATCH(250,'Data Source'!$T:$T,0)),"")</f>
        <v/>
      </c>
      <c r="F252" s="3">
        <f>IFERROR(INDEX('Data Source'!$S:$S,MATCH(250,'Data Source'!$T:$T,0)),"")</f>
        <v/>
      </c>
    </row>
    <row r="253">
      <c r="A253" s="3">
        <f>IFERROR(IF(COUNTIF('Data Source'!$T:$T,251)&gt;0,251,""),"")</f>
        <v/>
      </c>
      <c r="B253">
        <f>IFERROR(INDEX('Data Source'!$B:$B,MATCH(251,'Data Source'!$T:$T,0)),"")</f>
        <v/>
      </c>
      <c r="C253" s="3">
        <f>IFERROR(INDEX('Data Source'!$P:$P,MATCH(251,'Data Source'!$T:$T,0)),"")</f>
        <v/>
      </c>
      <c r="D253" s="5">
        <f>IFERROR(INDEX('Data Source'!$Q:$Q,MATCH(251,'Data Source'!$T:$T,0)),"")</f>
        <v/>
      </c>
      <c r="E253" s="5">
        <f>IFERROR(INDEX('Data Source'!$R:$R,MATCH(251,'Data Source'!$T:$T,0)),"")</f>
        <v/>
      </c>
      <c r="F253" s="3">
        <f>IFERROR(INDEX('Data Source'!$S:$S,MATCH(251,'Data Source'!$T:$T,0)),"")</f>
        <v/>
      </c>
    </row>
    <row r="254">
      <c r="A254" s="3">
        <f>IFERROR(IF(COUNTIF('Data Source'!$T:$T,252)&gt;0,252,""),"")</f>
        <v/>
      </c>
      <c r="B254">
        <f>IFERROR(INDEX('Data Source'!$B:$B,MATCH(252,'Data Source'!$T:$T,0)),"")</f>
        <v/>
      </c>
      <c r="C254" s="3">
        <f>IFERROR(INDEX('Data Source'!$P:$P,MATCH(252,'Data Source'!$T:$T,0)),"")</f>
        <v/>
      </c>
      <c r="D254" s="5">
        <f>IFERROR(INDEX('Data Source'!$Q:$Q,MATCH(252,'Data Source'!$T:$T,0)),"")</f>
        <v/>
      </c>
      <c r="E254" s="5">
        <f>IFERROR(INDEX('Data Source'!$R:$R,MATCH(252,'Data Source'!$T:$T,0)),"")</f>
        <v/>
      </c>
      <c r="F254" s="3">
        <f>IFERROR(INDEX('Data Source'!$S:$S,MATCH(252,'Data Source'!$T:$T,0)),"")</f>
        <v/>
      </c>
    </row>
    <row r="255">
      <c r="A255" s="3">
        <f>IFERROR(IF(COUNTIF('Data Source'!$T:$T,253)&gt;0,253,""),"")</f>
        <v/>
      </c>
      <c r="B255">
        <f>IFERROR(INDEX('Data Source'!$B:$B,MATCH(253,'Data Source'!$T:$T,0)),"")</f>
        <v/>
      </c>
      <c r="C255" s="3">
        <f>IFERROR(INDEX('Data Source'!$P:$P,MATCH(253,'Data Source'!$T:$T,0)),"")</f>
        <v/>
      </c>
      <c r="D255" s="5">
        <f>IFERROR(INDEX('Data Source'!$Q:$Q,MATCH(253,'Data Source'!$T:$T,0)),"")</f>
        <v/>
      </c>
      <c r="E255" s="5">
        <f>IFERROR(INDEX('Data Source'!$R:$R,MATCH(253,'Data Source'!$T:$T,0)),"")</f>
        <v/>
      </c>
      <c r="F255" s="3">
        <f>IFERROR(INDEX('Data Source'!$S:$S,MATCH(253,'Data Source'!$T:$T,0)),"")</f>
        <v/>
      </c>
    </row>
    <row r="256">
      <c r="A256" s="3">
        <f>IFERROR(IF(COUNTIF('Data Source'!$T:$T,254)&gt;0,254,""),"")</f>
        <v/>
      </c>
      <c r="B256">
        <f>IFERROR(INDEX('Data Source'!$B:$B,MATCH(254,'Data Source'!$T:$T,0)),"")</f>
        <v/>
      </c>
      <c r="C256" s="3">
        <f>IFERROR(INDEX('Data Source'!$P:$P,MATCH(254,'Data Source'!$T:$T,0)),"")</f>
        <v/>
      </c>
      <c r="D256" s="5">
        <f>IFERROR(INDEX('Data Source'!$Q:$Q,MATCH(254,'Data Source'!$T:$T,0)),"")</f>
        <v/>
      </c>
      <c r="E256" s="5">
        <f>IFERROR(INDEX('Data Source'!$R:$R,MATCH(254,'Data Source'!$T:$T,0)),"")</f>
        <v/>
      </c>
      <c r="F256" s="3">
        <f>IFERROR(INDEX('Data Source'!$S:$S,MATCH(254,'Data Source'!$T:$T,0)),"")</f>
        <v/>
      </c>
    </row>
    <row r="257">
      <c r="A257" s="3">
        <f>IFERROR(IF(COUNTIF('Data Source'!$T:$T,255)&gt;0,255,""),"")</f>
        <v/>
      </c>
      <c r="B257">
        <f>IFERROR(INDEX('Data Source'!$B:$B,MATCH(255,'Data Source'!$T:$T,0)),"")</f>
        <v/>
      </c>
      <c r="C257" s="3">
        <f>IFERROR(INDEX('Data Source'!$P:$P,MATCH(255,'Data Source'!$T:$T,0)),"")</f>
        <v/>
      </c>
      <c r="D257" s="5">
        <f>IFERROR(INDEX('Data Source'!$Q:$Q,MATCH(255,'Data Source'!$T:$T,0)),"")</f>
        <v/>
      </c>
      <c r="E257" s="5">
        <f>IFERROR(INDEX('Data Source'!$R:$R,MATCH(255,'Data Source'!$T:$T,0)),"")</f>
        <v/>
      </c>
      <c r="F257" s="3">
        <f>IFERROR(INDEX('Data Source'!$S:$S,MATCH(255,'Data Source'!$T:$T,0)),"")</f>
        <v/>
      </c>
    </row>
    <row r="258">
      <c r="A258" s="3">
        <f>IFERROR(IF(COUNTIF('Data Source'!$T:$T,256)&gt;0,256,""),"")</f>
        <v/>
      </c>
      <c r="B258">
        <f>IFERROR(INDEX('Data Source'!$B:$B,MATCH(256,'Data Source'!$T:$T,0)),"")</f>
        <v/>
      </c>
      <c r="C258" s="3">
        <f>IFERROR(INDEX('Data Source'!$P:$P,MATCH(256,'Data Source'!$T:$T,0)),"")</f>
        <v/>
      </c>
      <c r="D258" s="5">
        <f>IFERROR(INDEX('Data Source'!$Q:$Q,MATCH(256,'Data Source'!$T:$T,0)),"")</f>
        <v/>
      </c>
      <c r="E258" s="5">
        <f>IFERROR(INDEX('Data Source'!$R:$R,MATCH(256,'Data Source'!$T:$T,0)),"")</f>
        <v/>
      </c>
      <c r="F258" s="3">
        <f>IFERROR(INDEX('Data Source'!$S:$S,MATCH(256,'Data Source'!$T:$T,0)),"")</f>
        <v/>
      </c>
    </row>
    <row r="259">
      <c r="A259" s="3">
        <f>IFERROR(IF(COUNTIF('Data Source'!$T:$T,257)&gt;0,257,""),"")</f>
        <v/>
      </c>
      <c r="B259">
        <f>IFERROR(INDEX('Data Source'!$B:$B,MATCH(257,'Data Source'!$T:$T,0)),"")</f>
        <v/>
      </c>
      <c r="C259" s="3">
        <f>IFERROR(INDEX('Data Source'!$P:$P,MATCH(257,'Data Source'!$T:$T,0)),"")</f>
        <v/>
      </c>
      <c r="D259" s="5">
        <f>IFERROR(INDEX('Data Source'!$Q:$Q,MATCH(257,'Data Source'!$T:$T,0)),"")</f>
        <v/>
      </c>
      <c r="E259" s="5">
        <f>IFERROR(INDEX('Data Source'!$R:$R,MATCH(257,'Data Source'!$T:$T,0)),"")</f>
        <v/>
      </c>
      <c r="F259" s="3">
        <f>IFERROR(INDEX('Data Source'!$S:$S,MATCH(257,'Data Source'!$T:$T,0)),"")</f>
        <v/>
      </c>
    </row>
    <row r="260">
      <c r="A260" s="3">
        <f>IFERROR(IF(COUNTIF('Data Source'!$T:$T,258)&gt;0,258,""),"")</f>
        <v/>
      </c>
      <c r="B260">
        <f>IFERROR(INDEX('Data Source'!$B:$B,MATCH(258,'Data Source'!$T:$T,0)),"")</f>
        <v/>
      </c>
      <c r="C260" s="3">
        <f>IFERROR(INDEX('Data Source'!$P:$P,MATCH(258,'Data Source'!$T:$T,0)),"")</f>
        <v/>
      </c>
      <c r="D260" s="5">
        <f>IFERROR(INDEX('Data Source'!$Q:$Q,MATCH(258,'Data Source'!$T:$T,0)),"")</f>
        <v/>
      </c>
      <c r="E260" s="5">
        <f>IFERROR(INDEX('Data Source'!$R:$R,MATCH(258,'Data Source'!$T:$T,0)),"")</f>
        <v/>
      </c>
      <c r="F260" s="3">
        <f>IFERROR(INDEX('Data Source'!$S:$S,MATCH(258,'Data Source'!$T:$T,0)),"")</f>
        <v/>
      </c>
    </row>
    <row r="261">
      <c r="A261" s="3">
        <f>IFERROR(IF(COUNTIF('Data Source'!$T:$T,259)&gt;0,259,""),"")</f>
        <v/>
      </c>
      <c r="B261">
        <f>IFERROR(INDEX('Data Source'!$B:$B,MATCH(259,'Data Source'!$T:$T,0)),"")</f>
        <v/>
      </c>
      <c r="C261" s="3">
        <f>IFERROR(INDEX('Data Source'!$P:$P,MATCH(259,'Data Source'!$T:$T,0)),"")</f>
        <v/>
      </c>
      <c r="D261" s="5">
        <f>IFERROR(INDEX('Data Source'!$Q:$Q,MATCH(259,'Data Source'!$T:$T,0)),"")</f>
        <v/>
      </c>
      <c r="E261" s="5">
        <f>IFERROR(INDEX('Data Source'!$R:$R,MATCH(259,'Data Source'!$T:$T,0)),"")</f>
        <v/>
      </c>
      <c r="F261" s="3">
        <f>IFERROR(INDEX('Data Source'!$S:$S,MATCH(259,'Data Source'!$T:$T,0)),"")</f>
        <v/>
      </c>
    </row>
    <row r="262">
      <c r="A262" s="3">
        <f>IFERROR(IF(COUNTIF('Data Source'!$T:$T,260)&gt;0,260,""),"")</f>
        <v/>
      </c>
      <c r="B262">
        <f>IFERROR(INDEX('Data Source'!$B:$B,MATCH(260,'Data Source'!$T:$T,0)),"")</f>
        <v/>
      </c>
      <c r="C262" s="3">
        <f>IFERROR(INDEX('Data Source'!$P:$P,MATCH(260,'Data Source'!$T:$T,0)),"")</f>
        <v/>
      </c>
      <c r="D262" s="5">
        <f>IFERROR(INDEX('Data Source'!$Q:$Q,MATCH(260,'Data Source'!$T:$T,0)),"")</f>
        <v/>
      </c>
      <c r="E262" s="5">
        <f>IFERROR(INDEX('Data Source'!$R:$R,MATCH(260,'Data Source'!$T:$T,0)),"")</f>
        <v/>
      </c>
      <c r="F262" s="3">
        <f>IFERROR(INDEX('Data Source'!$S:$S,MATCH(260,'Data Source'!$T:$T,0)),"")</f>
        <v/>
      </c>
    </row>
    <row r="263">
      <c r="A263" s="3">
        <f>IFERROR(IF(COUNTIF('Data Source'!$T:$T,261)&gt;0,261,""),"")</f>
        <v/>
      </c>
      <c r="B263">
        <f>IFERROR(INDEX('Data Source'!$B:$B,MATCH(261,'Data Source'!$T:$T,0)),"")</f>
        <v/>
      </c>
      <c r="C263" s="3">
        <f>IFERROR(INDEX('Data Source'!$P:$P,MATCH(261,'Data Source'!$T:$T,0)),"")</f>
        <v/>
      </c>
      <c r="D263" s="5">
        <f>IFERROR(INDEX('Data Source'!$Q:$Q,MATCH(261,'Data Source'!$T:$T,0)),"")</f>
        <v/>
      </c>
      <c r="E263" s="5">
        <f>IFERROR(INDEX('Data Source'!$R:$R,MATCH(261,'Data Source'!$T:$T,0)),"")</f>
        <v/>
      </c>
      <c r="F263" s="3">
        <f>IFERROR(INDEX('Data Source'!$S:$S,MATCH(261,'Data Source'!$T:$T,0)),"")</f>
        <v/>
      </c>
    </row>
    <row r="264">
      <c r="A264" s="3">
        <f>IFERROR(IF(COUNTIF('Data Source'!$T:$T,262)&gt;0,262,""),"")</f>
        <v/>
      </c>
      <c r="B264">
        <f>IFERROR(INDEX('Data Source'!$B:$B,MATCH(262,'Data Source'!$T:$T,0)),"")</f>
        <v/>
      </c>
      <c r="C264" s="3">
        <f>IFERROR(INDEX('Data Source'!$P:$P,MATCH(262,'Data Source'!$T:$T,0)),"")</f>
        <v/>
      </c>
      <c r="D264" s="5">
        <f>IFERROR(INDEX('Data Source'!$Q:$Q,MATCH(262,'Data Source'!$T:$T,0)),"")</f>
        <v/>
      </c>
      <c r="E264" s="5">
        <f>IFERROR(INDEX('Data Source'!$R:$R,MATCH(262,'Data Source'!$T:$T,0)),"")</f>
        <v/>
      </c>
      <c r="F264" s="3">
        <f>IFERROR(INDEX('Data Source'!$S:$S,MATCH(262,'Data Source'!$T:$T,0)),"")</f>
        <v/>
      </c>
    </row>
    <row r="265">
      <c r="A265" s="3">
        <f>IFERROR(IF(COUNTIF('Data Source'!$T:$T,263)&gt;0,263,""),"")</f>
        <v/>
      </c>
      <c r="B265">
        <f>IFERROR(INDEX('Data Source'!$B:$B,MATCH(263,'Data Source'!$T:$T,0)),"")</f>
        <v/>
      </c>
      <c r="C265" s="3">
        <f>IFERROR(INDEX('Data Source'!$P:$P,MATCH(263,'Data Source'!$T:$T,0)),"")</f>
        <v/>
      </c>
      <c r="D265" s="5">
        <f>IFERROR(INDEX('Data Source'!$Q:$Q,MATCH(263,'Data Source'!$T:$T,0)),"")</f>
        <v/>
      </c>
      <c r="E265" s="5">
        <f>IFERROR(INDEX('Data Source'!$R:$R,MATCH(263,'Data Source'!$T:$T,0)),"")</f>
        <v/>
      </c>
      <c r="F265" s="3">
        <f>IFERROR(INDEX('Data Source'!$S:$S,MATCH(263,'Data Source'!$T:$T,0)),"")</f>
        <v/>
      </c>
    </row>
    <row r="266">
      <c r="A266" s="3">
        <f>IFERROR(IF(COUNTIF('Data Source'!$T:$T,264)&gt;0,264,""),"")</f>
        <v/>
      </c>
      <c r="B266">
        <f>IFERROR(INDEX('Data Source'!$B:$B,MATCH(264,'Data Source'!$T:$T,0)),"")</f>
        <v/>
      </c>
      <c r="C266" s="3">
        <f>IFERROR(INDEX('Data Source'!$P:$P,MATCH(264,'Data Source'!$T:$T,0)),"")</f>
        <v/>
      </c>
      <c r="D266" s="5">
        <f>IFERROR(INDEX('Data Source'!$Q:$Q,MATCH(264,'Data Source'!$T:$T,0)),"")</f>
        <v/>
      </c>
      <c r="E266" s="5">
        <f>IFERROR(INDEX('Data Source'!$R:$R,MATCH(264,'Data Source'!$T:$T,0)),"")</f>
        <v/>
      </c>
      <c r="F266" s="3">
        <f>IFERROR(INDEX('Data Source'!$S:$S,MATCH(264,'Data Source'!$T:$T,0)),"")</f>
        <v/>
      </c>
    </row>
    <row r="267">
      <c r="A267" s="3">
        <f>IFERROR(IF(COUNTIF('Data Source'!$T:$T,265)&gt;0,265,""),"")</f>
        <v/>
      </c>
      <c r="B267">
        <f>IFERROR(INDEX('Data Source'!$B:$B,MATCH(265,'Data Source'!$T:$T,0)),"")</f>
        <v/>
      </c>
      <c r="C267" s="3">
        <f>IFERROR(INDEX('Data Source'!$P:$P,MATCH(265,'Data Source'!$T:$T,0)),"")</f>
        <v/>
      </c>
      <c r="D267" s="5">
        <f>IFERROR(INDEX('Data Source'!$Q:$Q,MATCH(265,'Data Source'!$T:$T,0)),"")</f>
        <v/>
      </c>
      <c r="E267" s="5">
        <f>IFERROR(INDEX('Data Source'!$R:$R,MATCH(265,'Data Source'!$T:$T,0)),"")</f>
        <v/>
      </c>
      <c r="F267" s="3">
        <f>IFERROR(INDEX('Data Source'!$S:$S,MATCH(265,'Data Source'!$T:$T,0)),"")</f>
        <v/>
      </c>
    </row>
    <row r="268">
      <c r="A268" s="3">
        <f>IFERROR(IF(COUNTIF('Data Source'!$T:$T,266)&gt;0,266,""),"")</f>
        <v/>
      </c>
      <c r="B268">
        <f>IFERROR(INDEX('Data Source'!$B:$B,MATCH(266,'Data Source'!$T:$T,0)),"")</f>
        <v/>
      </c>
      <c r="C268" s="3">
        <f>IFERROR(INDEX('Data Source'!$P:$P,MATCH(266,'Data Source'!$T:$T,0)),"")</f>
        <v/>
      </c>
      <c r="D268" s="5">
        <f>IFERROR(INDEX('Data Source'!$Q:$Q,MATCH(266,'Data Source'!$T:$T,0)),"")</f>
        <v/>
      </c>
      <c r="E268" s="5">
        <f>IFERROR(INDEX('Data Source'!$R:$R,MATCH(266,'Data Source'!$T:$T,0)),"")</f>
        <v/>
      </c>
      <c r="F268" s="3">
        <f>IFERROR(INDEX('Data Source'!$S:$S,MATCH(266,'Data Source'!$T:$T,0)),"")</f>
        <v/>
      </c>
    </row>
    <row r="269">
      <c r="A269" s="3">
        <f>IFERROR(IF(COUNTIF('Data Source'!$T:$T,267)&gt;0,267,""),"")</f>
        <v/>
      </c>
      <c r="B269">
        <f>IFERROR(INDEX('Data Source'!$B:$B,MATCH(267,'Data Source'!$T:$T,0)),"")</f>
        <v/>
      </c>
      <c r="C269" s="3">
        <f>IFERROR(INDEX('Data Source'!$P:$P,MATCH(267,'Data Source'!$T:$T,0)),"")</f>
        <v/>
      </c>
      <c r="D269" s="5">
        <f>IFERROR(INDEX('Data Source'!$Q:$Q,MATCH(267,'Data Source'!$T:$T,0)),"")</f>
        <v/>
      </c>
      <c r="E269" s="5">
        <f>IFERROR(INDEX('Data Source'!$R:$R,MATCH(267,'Data Source'!$T:$T,0)),"")</f>
        <v/>
      </c>
      <c r="F269" s="3">
        <f>IFERROR(INDEX('Data Source'!$S:$S,MATCH(267,'Data Source'!$T:$T,0)),"")</f>
        <v/>
      </c>
    </row>
    <row r="270">
      <c r="A270" s="3">
        <f>IFERROR(IF(COUNTIF('Data Source'!$T:$T,268)&gt;0,268,""),"")</f>
        <v/>
      </c>
      <c r="B270">
        <f>IFERROR(INDEX('Data Source'!$B:$B,MATCH(268,'Data Source'!$T:$T,0)),"")</f>
        <v/>
      </c>
      <c r="C270" s="3">
        <f>IFERROR(INDEX('Data Source'!$P:$P,MATCH(268,'Data Source'!$T:$T,0)),"")</f>
        <v/>
      </c>
      <c r="D270" s="5">
        <f>IFERROR(INDEX('Data Source'!$Q:$Q,MATCH(268,'Data Source'!$T:$T,0)),"")</f>
        <v/>
      </c>
      <c r="E270" s="5">
        <f>IFERROR(INDEX('Data Source'!$R:$R,MATCH(268,'Data Source'!$T:$T,0)),"")</f>
        <v/>
      </c>
      <c r="F270" s="3">
        <f>IFERROR(INDEX('Data Source'!$S:$S,MATCH(268,'Data Source'!$T:$T,0)),"")</f>
        <v/>
      </c>
    </row>
    <row r="271">
      <c r="A271" s="3">
        <f>IFERROR(IF(COUNTIF('Data Source'!$T:$T,269)&gt;0,269,""),"")</f>
        <v/>
      </c>
      <c r="B271">
        <f>IFERROR(INDEX('Data Source'!$B:$B,MATCH(269,'Data Source'!$T:$T,0)),"")</f>
        <v/>
      </c>
      <c r="C271" s="3">
        <f>IFERROR(INDEX('Data Source'!$P:$P,MATCH(269,'Data Source'!$T:$T,0)),"")</f>
        <v/>
      </c>
      <c r="D271" s="5">
        <f>IFERROR(INDEX('Data Source'!$Q:$Q,MATCH(269,'Data Source'!$T:$T,0)),"")</f>
        <v/>
      </c>
      <c r="E271" s="5">
        <f>IFERROR(INDEX('Data Source'!$R:$R,MATCH(269,'Data Source'!$T:$T,0)),"")</f>
        <v/>
      </c>
      <c r="F271" s="3">
        <f>IFERROR(INDEX('Data Source'!$S:$S,MATCH(269,'Data Source'!$T:$T,0)),"")</f>
        <v/>
      </c>
    </row>
    <row r="272">
      <c r="A272" s="3">
        <f>IFERROR(IF(COUNTIF('Data Source'!$T:$T,270)&gt;0,270,""),"")</f>
        <v/>
      </c>
      <c r="B272">
        <f>IFERROR(INDEX('Data Source'!$B:$B,MATCH(270,'Data Source'!$T:$T,0)),"")</f>
        <v/>
      </c>
      <c r="C272" s="3">
        <f>IFERROR(INDEX('Data Source'!$P:$P,MATCH(270,'Data Source'!$T:$T,0)),"")</f>
        <v/>
      </c>
      <c r="D272" s="5">
        <f>IFERROR(INDEX('Data Source'!$Q:$Q,MATCH(270,'Data Source'!$T:$T,0)),"")</f>
        <v/>
      </c>
      <c r="E272" s="5">
        <f>IFERROR(INDEX('Data Source'!$R:$R,MATCH(270,'Data Source'!$T:$T,0)),"")</f>
        <v/>
      </c>
      <c r="F272" s="3">
        <f>IFERROR(INDEX('Data Source'!$S:$S,MATCH(270,'Data Source'!$T:$T,0)),"")</f>
        <v/>
      </c>
    </row>
    <row r="273">
      <c r="A273" s="3">
        <f>IFERROR(IF(COUNTIF('Data Source'!$T:$T,271)&gt;0,271,""),"")</f>
        <v/>
      </c>
      <c r="B273">
        <f>IFERROR(INDEX('Data Source'!$B:$B,MATCH(271,'Data Source'!$T:$T,0)),"")</f>
        <v/>
      </c>
      <c r="C273" s="3">
        <f>IFERROR(INDEX('Data Source'!$P:$P,MATCH(271,'Data Source'!$T:$T,0)),"")</f>
        <v/>
      </c>
      <c r="D273" s="5">
        <f>IFERROR(INDEX('Data Source'!$Q:$Q,MATCH(271,'Data Source'!$T:$T,0)),"")</f>
        <v/>
      </c>
      <c r="E273" s="5">
        <f>IFERROR(INDEX('Data Source'!$R:$R,MATCH(271,'Data Source'!$T:$T,0)),"")</f>
        <v/>
      </c>
      <c r="F273" s="3">
        <f>IFERROR(INDEX('Data Source'!$S:$S,MATCH(271,'Data Source'!$T:$T,0)),"")</f>
        <v/>
      </c>
    </row>
    <row r="274">
      <c r="A274" s="3">
        <f>IFERROR(IF(COUNTIF('Data Source'!$T:$T,272)&gt;0,272,""),"")</f>
        <v/>
      </c>
      <c r="B274">
        <f>IFERROR(INDEX('Data Source'!$B:$B,MATCH(272,'Data Source'!$T:$T,0)),"")</f>
        <v/>
      </c>
      <c r="C274" s="3">
        <f>IFERROR(INDEX('Data Source'!$P:$P,MATCH(272,'Data Source'!$T:$T,0)),"")</f>
        <v/>
      </c>
      <c r="D274" s="5">
        <f>IFERROR(INDEX('Data Source'!$Q:$Q,MATCH(272,'Data Source'!$T:$T,0)),"")</f>
        <v/>
      </c>
      <c r="E274" s="5">
        <f>IFERROR(INDEX('Data Source'!$R:$R,MATCH(272,'Data Source'!$T:$T,0)),"")</f>
        <v/>
      </c>
      <c r="F274" s="3">
        <f>IFERROR(INDEX('Data Source'!$S:$S,MATCH(272,'Data Source'!$T:$T,0)),"")</f>
        <v/>
      </c>
    </row>
    <row r="275">
      <c r="A275" s="3">
        <f>IFERROR(IF(COUNTIF('Data Source'!$T:$T,273)&gt;0,273,""),"")</f>
        <v/>
      </c>
      <c r="B275">
        <f>IFERROR(INDEX('Data Source'!$B:$B,MATCH(273,'Data Source'!$T:$T,0)),"")</f>
        <v/>
      </c>
      <c r="C275" s="3">
        <f>IFERROR(INDEX('Data Source'!$P:$P,MATCH(273,'Data Source'!$T:$T,0)),"")</f>
        <v/>
      </c>
      <c r="D275" s="5">
        <f>IFERROR(INDEX('Data Source'!$Q:$Q,MATCH(273,'Data Source'!$T:$T,0)),"")</f>
        <v/>
      </c>
      <c r="E275" s="5">
        <f>IFERROR(INDEX('Data Source'!$R:$R,MATCH(273,'Data Source'!$T:$T,0)),"")</f>
        <v/>
      </c>
      <c r="F275" s="3">
        <f>IFERROR(INDEX('Data Source'!$S:$S,MATCH(273,'Data Source'!$T:$T,0)),"")</f>
        <v/>
      </c>
    </row>
    <row r="276">
      <c r="A276" s="3">
        <f>IFERROR(IF(COUNTIF('Data Source'!$T:$T,274)&gt;0,274,""),"")</f>
        <v/>
      </c>
      <c r="B276">
        <f>IFERROR(INDEX('Data Source'!$B:$B,MATCH(274,'Data Source'!$T:$T,0)),"")</f>
        <v/>
      </c>
      <c r="C276" s="3">
        <f>IFERROR(INDEX('Data Source'!$P:$P,MATCH(274,'Data Source'!$T:$T,0)),"")</f>
        <v/>
      </c>
      <c r="D276" s="5">
        <f>IFERROR(INDEX('Data Source'!$Q:$Q,MATCH(274,'Data Source'!$T:$T,0)),"")</f>
        <v/>
      </c>
      <c r="E276" s="5">
        <f>IFERROR(INDEX('Data Source'!$R:$R,MATCH(274,'Data Source'!$T:$T,0)),"")</f>
        <v/>
      </c>
      <c r="F276" s="3">
        <f>IFERROR(INDEX('Data Source'!$S:$S,MATCH(274,'Data Source'!$T:$T,0)),"")</f>
        <v/>
      </c>
    </row>
    <row r="277">
      <c r="A277" s="3">
        <f>IFERROR(IF(COUNTIF('Data Source'!$T:$T,275)&gt;0,275,""),"")</f>
        <v/>
      </c>
      <c r="B277">
        <f>IFERROR(INDEX('Data Source'!$B:$B,MATCH(275,'Data Source'!$T:$T,0)),"")</f>
        <v/>
      </c>
      <c r="C277" s="3">
        <f>IFERROR(INDEX('Data Source'!$P:$P,MATCH(275,'Data Source'!$T:$T,0)),"")</f>
        <v/>
      </c>
      <c r="D277" s="5">
        <f>IFERROR(INDEX('Data Source'!$Q:$Q,MATCH(275,'Data Source'!$T:$T,0)),"")</f>
        <v/>
      </c>
      <c r="E277" s="5">
        <f>IFERROR(INDEX('Data Source'!$R:$R,MATCH(275,'Data Source'!$T:$T,0)),"")</f>
        <v/>
      </c>
      <c r="F277" s="3">
        <f>IFERROR(INDEX('Data Source'!$S:$S,MATCH(275,'Data Source'!$T:$T,0)),"")</f>
        <v/>
      </c>
    </row>
    <row r="278">
      <c r="A278" s="3">
        <f>IFERROR(IF(COUNTIF('Data Source'!$T:$T,276)&gt;0,276,""),"")</f>
        <v/>
      </c>
      <c r="B278">
        <f>IFERROR(INDEX('Data Source'!$B:$B,MATCH(276,'Data Source'!$T:$T,0)),"")</f>
        <v/>
      </c>
      <c r="C278" s="3">
        <f>IFERROR(INDEX('Data Source'!$P:$P,MATCH(276,'Data Source'!$T:$T,0)),"")</f>
        <v/>
      </c>
      <c r="D278" s="5">
        <f>IFERROR(INDEX('Data Source'!$Q:$Q,MATCH(276,'Data Source'!$T:$T,0)),"")</f>
        <v/>
      </c>
      <c r="E278" s="5">
        <f>IFERROR(INDEX('Data Source'!$R:$R,MATCH(276,'Data Source'!$T:$T,0)),"")</f>
        <v/>
      </c>
      <c r="F278" s="3">
        <f>IFERROR(INDEX('Data Source'!$S:$S,MATCH(276,'Data Source'!$T:$T,0)),"")</f>
        <v/>
      </c>
    </row>
    <row r="279">
      <c r="A279" s="3">
        <f>IFERROR(IF(COUNTIF('Data Source'!$T:$T,277)&gt;0,277,""),"")</f>
        <v/>
      </c>
      <c r="B279">
        <f>IFERROR(INDEX('Data Source'!$B:$B,MATCH(277,'Data Source'!$T:$T,0)),"")</f>
        <v/>
      </c>
      <c r="C279" s="3">
        <f>IFERROR(INDEX('Data Source'!$P:$P,MATCH(277,'Data Source'!$T:$T,0)),"")</f>
        <v/>
      </c>
      <c r="D279" s="5">
        <f>IFERROR(INDEX('Data Source'!$Q:$Q,MATCH(277,'Data Source'!$T:$T,0)),"")</f>
        <v/>
      </c>
      <c r="E279" s="5">
        <f>IFERROR(INDEX('Data Source'!$R:$R,MATCH(277,'Data Source'!$T:$T,0)),"")</f>
        <v/>
      </c>
      <c r="F279" s="3">
        <f>IFERROR(INDEX('Data Source'!$S:$S,MATCH(277,'Data Source'!$T:$T,0)),"")</f>
        <v/>
      </c>
    </row>
    <row r="280">
      <c r="A280" s="3">
        <f>IFERROR(IF(COUNTIF('Data Source'!$T:$T,278)&gt;0,278,""),"")</f>
        <v/>
      </c>
      <c r="B280">
        <f>IFERROR(INDEX('Data Source'!$B:$B,MATCH(278,'Data Source'!$T:$T,0)),"")</f>
        <v/>
      </c>
      <c r="C280" s="3">
        <f>IFERROR(INDEX('Data Source'!$P:$P,MATCH(278,'Data Source'!$T:$T,0)),"")</f>
        <v/>
      </c>
      <c r="D280" s="5">
        <f>IFERROR(INDEX('Data Source'!$Q:$Q,MATCH(278,'Data Source'!$T:$T,0)),"")</f>
        <v/>
      </c>
      <c r="E280" s="5">
        <f>IFERROR(INDEX('Data Source'!$R:$R,MATCH(278,'Data Source'!$T:$T,0)),"")</f>
        <v/>
      </c>
      <c r="F280" s="3">
        <f>IFERROR(INDEX('Data Source'!$S:$S,MATCH(278,'Data Source'!$T:$T,0)),"")</f>
        <v/>
      </c>
    </row>
    <row r="281">
      <c r="A281" s="3">
        <f>IFERROR(IF(COUNTIF('Data Source'!$T:$T,279)&gt;0,279,""),"")</f>
        <v/>
      </c>
      <c r="B281">
        <f>IFERROR(INDEX('Data Source'!$B:$B,MATCH(279,'Data Source'!$T:$T,0)),"")</f>
        <v/>
      </c>
      <c r="C281" s="3">
        <f>IFERROR(INDEX('Data Source'!$P:$P,MATCH(279,'Data Source'!$T:$T,0)),"")</f>
        <v/>
      </c>
      <c r="D281" s="5">
        <f>IFERROR(INDEX('Data Source'!$Q:$Q,MATCH(279,'Data Source'!$T:$T,0)),"")</f>
        <v/>
      </c>
      <c r="E281" s="5">
        <f>IFERROR(INDEX('Data Source'!$R:$R,MATCH(279,'Data Source'!$T:$T,0)),"")</f>
        <v/>
      </c>
      <c r="F281" s="3">
        <f>IFERROR(INDEX('Data Source'!$S:$S,MATCH(279,'Data Source'!$T:$T,0)),"")</f>
        <v/>
      </c>
    </row>
    <row r="282">
      <c r="A282" s="3">
        <f>IFERROR(IF(COUNTIF('Data Source'!$T:$T,280)&gt;0,280,""),"")</f>
        <v/>
      </c>
      <c r="B282">
        <f>IFERROR(INDEX('Data Source'!$B:$B,MATCH(280,'Data Source'!$T:$T,0)),"")</f>
        <v/>
      </c>
      <c r="C282" s="3">
        <f>IFERROR(INDEX('Data Source'!$P:$P,MATCH(280,'Data Source'!$T:$T,0)),"")</f>
        <v/>
      </c>
      <c r="D282" s="5">
        <f>IFERROR(INDEX('Data Source'!$Q:$Q,MATCH(280,'Data Source'!$T:$T,0)),"")</f>
        <v/>
      </c>
      <c r="E282" s="5">
        <f>IFERROR(INDEX('Data Source'!$R:$R,MATCH(280,'Data Source'!$T:$T,0)),"")</f>
        <v/>
      </c>
      <c r="F282" s="3">
        <f>IFERROR(INDEX('Data Source'!$S:$S,MATCH(280,'Data Source'!$T:$T,0)),"")</f>
        <v/>
      </c>
    </row>
    <row r="283">
      <c r="A283" s="3">
        <f>IFERROR(IF(COUNTIF('Data Source'!$T:$T,281)&gt;0,281,""),"")</f>
        <v/>
      </c>
      <c r="B283">
        <f>IFERROR(INDEX('Data Source'!$B:$B,MATCH(281,'Data Source'!$T:$T,0)),"")</f>
        <v/>
      </c>
      <c r="C283" s="3">
        <f>IFERROR(INDEX('Data Source'!$P:$P,MATCH(281,'Data Source'!$T:$T,0)),"")</f>
        <v/>
      </c>
      <c r="D283" s="5">
        <f>IFERROR(INDEX('Data Source'!$Q:$Q,MATCH(281,'Data Source'!$T:$T,0)),"")</f>
        <v/>
      </c>
      <c r="E283" s="5">
        <f>IFERROR(INDEX('Data Source'!$R:$R,MATCH(281,'Data Source'!$T:$T,0)),"")</f>
        <v/>
      </c>
      <c r="F283" s="3">
        <f>IFERROR(INDEX('Data Source'!$S:$S,MATCH(281,'Data Source'!$T:$T,0)),"")</f>
        <v/>
      </c>
    </row>
    <row r="284">
      <c r="A284" s="3">
        <f>IFERROR(IF(COUNTIF('Data Source'!$T:$T,282)&gt;0,282,""),"")</f>
        <v/>
      </c>
      <c r="B284">
        <f>IFERROR(INDEX('Data Source'!$B:$B,MATCH(282,'Data Source'!$T:$T,0)),"")</f>
        <v/>
      </c>
      <c r="C284" s="3">
        <f>IFERROR(INDEX('Data Source'!$P:$P,MATCH(282,'Data Source'!$T:$T,0)),"")</f>
        <v/>
      </c>
      <c r="D284" s="5">
        <f>IFERROR(INDEX('Data Source'!$Q:$Q,MATCH(282,'Data Source'!$T:$T,0)),"")</f>
        <v/>
      </c>
      <c r="E284" s="5">
        <f>IFERROR(INDEX('Data Source'!$R:$R,MATCH(282,'Data Source'!$T:$T,0)),"")</f>
        <v/>
      </c>
      <c r="F284" s="3">
        <f>IFERROR(INDEX('Data Source'!$S:$S,MATCH(282,'Data Source'!$T:$T,0)),"")</f>
        <v/>
      </c>
    </row>
    <row r="285">
      <c r="A285" s="3">
        <f>IFERROR(IF(COUNTIF('Data Source'!$T:$T,283)&gt;0,283,""),"")</f>
        <v/>
      </c>
      <c r="B285">
        <f>IFERROR(INDEX('Data Source'!$B:$B,MATCH(283,'Data Source'!$T:$T,0)),"")</f>
        <v/>
      </c>
      <c r="C285" s="3">
        <f>IFERROR(INDEX('Data Source'!$P:$P,MATCH(283,'Data Source'!$T:$T,0)),"")</f>
        <v/>
      </c>
      <c r="D285" s="5">
        <f>IFERROR(INDEX('Data Source'!$Q:$Q,MATCH(283,'Data Source'!$T:$T,0)),"")</f>
        <v/>
      </c>
      <c r="E285" s="5">
        <f>IFERROR(INDEX('Data Source'!$R:$R,MATCH(283,'Data Source'!$T:$T,0)),"")</f>
        <v/>
      </c>
      <c r="F285" s="3">
        <f>IFERROR(INDEX('Data Source'!$S:$S,MATCH(283,'Data Source'!$T:$T,0)),"")</f>
        <v/>
      </c>
    </row>
    <row r="286">
      <c r="A286" s="3">
        <f>IFERROR(IF(COUNTIF('Data Source'!$T:$T,284)&gt;0,284,""),"")</f>
        <v/>
      </c>
      <c r="B286">
        <f>IFERROR(INDEX('Data Source'!$B:$B,MATCH(284,'Data Source'!$T:$T,0)),"")</f>
        <v/>
      </c>
      <c r="C286" s="3">
        <f>IFERROR(INDEX('Data Source'!$P:$P,MATCH(284,'Data Source'!$T:$T,0)),"")</f>
        <v/>
      </c>
      <c r="D286" s="5">
        <f>IFERROR(INDEX('Data Source'!$Q:$Q,MATCH(284,'Data Source'!$T:$T,0)),"")</f>
        <v/>
      </c>
      <c r="E286" s="5">
        <f>IFERROR(INDEX('Data Source'!$R:$R,MATCH(284,'Data Source'!$T:$T,0)),"")</f>
        <v/>
      </c>
      <c r="F286" s="3">
        <f>IFERROR(INDEX('Data Source'!$S:$S,MATCH(284,'Data Source'!$T:$T,0)),"")</f>
        <v/>
      </c>
    </row>
    <row r="287">
      <c r="A287" s="3">
        <f>IFERROR(IF(COUNTIF('Data Source'!$T:$T,285)&gt;0,285,""),"")</f>
        <v/>
      </c>
      <c r="B287">
        <f>IFERROR(INDEX('Data Source'!$B:$B,MATCH(285,'Data Source'!$T:$T,0)),"")</f>
        <v/>
      </c>
      <c r="C287" s="3">
        <f>IFERROR(INDEX('Data Source'!$P:$P,MATCH(285,'Data Source'!$T:$T,0)),"")</f>
        <v/>
      </c>
      <c r="D287" s="5">
        <f>IFERROR(INDEX('Data Source'!$Q:$Q,MATCH(285,'Data Source'!$T:$T,0)),"")</f>
        <v/>
      </c>
      <c r="E287" s="5">
        <f>IFERROR(INDEX('Data Source'!$R:$R,MATCH(285,'Data Source'!$T:$T,0)),"")</f>
        <v/>
      </c>
      <c r="F287" s="3">
        <f>IFERROR(INDEX('Data Source'!$S:$S,MATCH(285,'Data Source'!$T:$T,0)),"")</f>
        <v/>
      </c>
    </row>
    <row r="288">
      <c r="A288" s="3">
        <f>IFERROR(IF(COUNTIF('Data Source'!$T:$T,286)&gt;0,286,""),"")</f>
        <v/>
      </c>
      <c r="B288">
        <f>IFERROR(INDEX('Data Source'!$B:$B,MATCH(286,'Data Source'!$T:$T,0)),"")</f>
        <v/>
      </c>
      <c r="C288" s="3">
        <f>IFERROR(INDEX('Data Source'!$P:$P,MATCH(286,'Data Source'!$T:$T,0)),"")</f>
        <v/>
      </c>
      <c r="D288" s="5">
        <f>IFERROR(INDEX('Data Source'!$Q:$Q,MATCH(286,'Data Source'!$T:$T,0)),"")</f>
        <v/>
      </c>
      <c r="E288" s="5">
        <f>IFERROR(INDEX('Data Source'!$R:$R,MATCH(286,'Data Source'!$T:$T,0)),"")</f>
        <v/>
      </c>
      <c r="F288" s="3">
        <f>IFERROR(INDEX('Data Source'!$S:$S,MATCH(286,'Data Source'!$T:$T,0)),"")</f>
        <v/>
      </c>
    </row>
    <row r="289">
      <c r="A289" s="3">
        <f>IFERROR(IF(COUNTIF('Data Source'!$T:$T,287)&gt;0,287,""),"")</f>
        <v/>
      </c>
      <c r="B289">
        <f>IFERROR(INDEX('Data Source'!$B:$B,MATCH(287,'Data Source'!$T:$T,0)),"")</f>
        <v/>
      </c>
      <c r="C289" s="3">
        <f>IFERROR(INDEX('Data Source'!$P:$P,MATCH(287,'Data Source'!$T:$T,0)),"")</f>
        <v/>
      </c>
      <c r="D289" s="5">
        <f>IFERROR(INDEX('Data Source'!$Q:$Q,MATCH(287,'Data Source'!$T:$T,0)),"")</f>
        <v/>
      </c>
      <c r="E289" s="5">
        <f>IFERROR(INDEX('Data Source'!$R:$R,MATCH(287,'Data Source'!$T:$T,0)),"")</f>
        <v/>
      </c>
      <c r="F289" s="3">
        <f>IFERROR(INDEX('Data Source'!$S:$S,MATCH(287,'Data Source'!$T:$T,0)),"")</f>
        <v/>
      </c>
    </row>
    <row r="290">
      <c r="A290" s="3">
        <f>IFERROR(IF(COUNTIF('Data Source'!$T:$T,288)&gt;0,288,""),"")</f>
        <v/>
      </c>
      <c r="B290">
        <f>IFERROR(INDEX('Data Source'!$B:$B,MATCH(288,'Data Source'!$T:$T,0)),"")</f>
        <v/>
      </c>
      <c r="C290" s="3">
        <f>IFERROR(INDEX('Data Source'!$P:$P,MATCH(288,'Data Source'!$T:$T,0)),"")</f>
        <v/>
      </c>
      <c r="D290" s="5">
        <f>IFERROR(INDEX('Data Source'!$Q:$Q,MATCH(288,'Data Source'!$T:$T,0)),"")</f>
        <v/>
      </c>
      <c r="E290" s="5">
        <f>IFERROR(INDEX('Data Source'!$R:$R,MATCH(288,'Data Source'!$T:$T,0)),"")</f>
        <v/>
      </c>
      <c r="F290" s="3">
        <f>IFERROR(INDEX('Data Source'!$S:$S,MATCH(288,'Data Source'!$T:$T,0)),"")</f>
        <v/>
      </c>
    </row>
    <row r="291">
      <c r="A291" s="3">
        <f>IFERROR(IF(COUNTIF('Data Source'!$T:$T,289)&gt;0,289,""),"")</f>
        <v/>
      </c>
      <c r="B291">
        <f>IFERROR(INDEX('Data Source'!$B:$B,MATCH(289,'Data Source'!$T:$T,0)),"")</f>
        <v/>
      </c>
      <c r="C291" s="3">
        <f>IFERROR(INDEX('Data Source'!$P:$P,MATCH(289,'Data Source'!$T:$T,0)),"")</f>
        <v/>
      </c>
      <c r="D291" s="5">
        <f>IFERROR(INDEX('Data Source'!$Q:$Q,MATCH(289,'Data Source'!$T:$T,0)),"")</f>
        <v/>
      </c>
      <c r="E291" s="5">
        <f>IFERROR(INDEX('Data Source'!$R:$R,MATCH(289,'Data Source'!$T:$T,0)),"")</f>
        <v/>
      </c>
      <c r="F291" s="3">
        <f>IFERROR(INDEX('Data Source'!$S:$S,MATCH(289,'Data Source'!$T:$T,0)),"")</f>
        <v/>
      </c>
    </row>
    <row r="292">
      <c r="A292" s="3">
        <f>IFERROR(IF(COUNTIF('Data Source'!$T:$T,290)&gt;0,290,""),"")</f>
        <v/>
      </c>
      <c r="B292">
        <f>IFERROR(INDEX('Data Source'!$B:$B,MATCH(290,'Data Source'!$T:$T,0)),"")</f>
        <v/>
      </c>
      <c r="C292" s="3">
        <f>IFERROR(INDEX('Data Source'!$P:$P,MATCH(290,'Data Source'!$T:$T,0)),"")</f>
        <v/>
      </c>
      <c r="D292" s="5">
        <f>IFERROR(INDEX('Data Source'!$Q:$Q,MATCH(290,'Data Source'!$T:$T,0)),"")</f>
        <v/>
      </c>
      <c r="E292" s="5">
        <f>IFERROR(INDEX('Data Source'!$R:$R,MATCH(290,'Data Source'!$T:$T,0)),"")</f>
        <v/>
      </c>
      <c r="F292" s="3">
        <f>IFERROR(INDEX('Data Source'!$S:$S,MATCH(290,'Data Source'!$T:$T,0)),"")</f>
        <v/>
      </c>
    </row>
    <row r="293">
      <c r="A293" s="3">
        <f>IFERROR(IF(COUNTIF('Data Source'!$T:$T,291)&gt;0,291,""),"")</f>
        <v/>
      </c>
      <c r="B293">
        <f>IFERROR(INDEX('Data Source'!$B:$B,MATCH(291,'Data Source'!$T:$T,0)),"")</f>
        <v/>
      </c>
      <c r="C293" s="3">
        <f>IFERROR(INDEX('Data Source'!$P:$P,MATCH(291,'Data Source'!$T:$T,0)),"")</f>
        <v/>
      </c>
      <c r="D293" s="5">
        <f>IFERROR(INDEX('Data Source'!$Q:$Q,MATCH(291,'Data Source'!$T:$T,0)),"")</f>
        <v/>
      </c>
      <c r="E293" s="5">
        <f>IFERROR(INDEX('Data Source'!$R:$R,MATCH(291,'Data Source'!$T:$T,0)),"")</f>
        <v/>
      </c>
      <c r="F293" s="3">
        <f>IFERROR(INDEX('Data Source'!$S:$S,MATCH(291,'Data Source'!$T:$T,0)),"")</f>
        <v/>
      </c>
    </row>
    <row r="294">
      <c r="A294" s="3">
        <f>IFERROR(IF(COUNTIF('Data Source'!$T:$T,292)&gt;0,292,""),"")</f>
        <v/>
      </c>
      <c r="B294">
        <f>IFERROR(INDEX('Data Source'!$B:$B,MATCH(292,'Data Source'!$T:$T,0)),"")</f>
        <v/>
      </c>
      <c r="C294" s="3">
        <f>IFERROR(INDEX('Data Source'!$P:$P,MATCH(292,'Data Source'!$T:$T,0)),"")</f>
        <v/>
      </c>
      <c r="D294" s="5">
        <f>IFERROR(INDEX('Data Source'!$Q:$Q,MATCH(292,'Data Source'!$T:$T,0)),"")</f>
        <v/>
      </c>
      <c r="E294" s="5">
        <f>IFERROR(INDEX('Data Source'!$R:$R,MATCH(292,'Data Source'!$T:$T,0)),"")</f>
        <v/>
      </c>
      <c r="F294" s="3">
        <f>IFERROR(INDEX('Data Source'!$S:$S,MATCH(292,'Data Source'!$T:$T,0)),"")</f>
        <v/>
      </c>
    </row>
    <row r="295">
      <c r="A295" s="3">
        <f>IFERROR(IF(COUNTIF('Data Source'!$T:$T,293)&gt;0,293,""),"")</f>
        <v/>
      </c>
      <c r="B295">
        <f>IFERROR(INDEX('Data Source'!$B:$B,MATCH(293,'Data Source'!$T:$T,0)),"")</f>
        <v/>
      </c>
      <c r="C295" s="3">
        <f>IFERROR(INDEX('Data Source'!$P:$P,MATCH(293,'Data Source'!$T:$T,0)),"")</f>
        <v/>
      </c>
      <c r="D295" s="5">
        <f>IFERROR(INDEX('Data Source'!$Q:$Q,MATCH(293,'Data Source'!$T:$T,0)),"")</f>
        <v/>
      </c>
      <c r="E295" s="5">
        <f>IFERROR(INDEX('Data Source'!$R:$R,MATCH(293,'Data Source'!$T:$T,0)),"")</f>
        <v/>
      </c>
      <c r="F295" s="3">
        <f>IFERROR(INDEX('Data Source'!$S:$S,MATCH(293,'Data Source'!$T:$T,0)),"")</f>
        <v/>
      </c>
    </row>
    <row r="296">
      <c r="A296" s="3">
        <f>IFERROR(IF(COUNTIF('Data Source'!$T:$T,294)&gt;0,294,""),"")</f>
        <v/>
      </c>
      <c r="B296">
        <f>IFERROR(INDEX('Data Source'!$B:$B,MATCH(294,'Data Source'!$T:$T,0)),"")</f>
        <v/>
      </c>
      <c r="C296" s="3">
        <f>IFERROR(INDEX('Data Source'!$P:$P,MATCH(294,'Data Source'!$T:$T,0)),"")</f>
        <v/>
      </c>
      <c r="D296" s="5">
        <f>IFERROR(INDEX('Data Source'!$Q:$Q,MATCH(294,'Data Source'!$T:$T,0)),"")</f>
        <v/>
      </c>
      <c r="E296" s="5">
        <f>IFERROR(INDEX('Data Source'!$R:$R,MATCH(294,'Data Source'!$T:$T,0)),"")</f>
        <v/>
      </c>
      <c r="F296" s="3">
        <f>IFERROR(INDEX('Data Source'!$S:$S,MATCH(294,'Data Source'!$T:$T,0)),"")</f>
        <v/>
      </c>
    </row>
    <row r="297">
      <c r="A297" s="3">
        <f>IFERROR(IF(COUNTIF('Data Source'!$T:$T,295)&gt;0,295,""),"")</f>
        <v/>
      </c>
      <c r="B297">
        <f>IFERROR(INDEX('Data Source'!$B:$B,MATCH(295,'Data Source'!$T:$T,0)),"")</f>
        <v/>
      </c>
      <c r="C297" s="3">
        <f>IFERROR(INDEX('Data Source'!$P:$P,MATCH(295,'Data Source'!$T:$T,0)),"")</f>
        <v/>
      </c>
      <c r="D297" s="5">
        <f>IFERROR(INDEX('Data Source'!$Q:$Q,MATCH(295,'Data Source'!$T:$T,0)),"")</f>
        <v/>
      </c>
      <c r="E297" s="5">
        <f>IFERROR(INDEX('Data Source'!$R:$R,MATCH(295,'Data Source'!$T:$T,0)),"")</f>
        <v/>
      </c>
      <c r="F297" s="3">
        <f>IFERROR(INDEX('Data Source'!$S:$S,MATCH(295,'Data Source'!$T:$T,0)),"")</f>
        <v/>
      </c>
    </row>
    <row r="298">
      <c r="A298" s="3">
        <f>IFERROR(IF(COUNTIF('Data Source'!$T:$T,296)&gt;0,296,""),"")</f>
        <v/>
      </c>
      <c r="B298">
        <f>IFERROR(INDEX('Data Source'!$B:$B,MATCH(296,'Data Source'!$T:$T,0)),"")</f>
        <v/>
      </c>
      <c r="C298" s="3">
        <f>IFERROR(INDEX('Data Source'!$P:$P,MATCH(296,'Data Source'!$T:$T,0)),"")</f>
        <v/>
      </c>
      <c r="D298" s="5">
        <f>IFERROR(INDEX('Data Source'!$Q:$Q,MATCH(296,'Data Source'!$T:$T,0)),"")</f>
        <v/>
      </c>
      <c r="E298" s="5">
        <f>IFERROR(INDEX('Data Source'!$R:$R,MATCH(296,'Data Source'!$T:$T,0)),"")</f>
        <v/>
      </c>
      <c r="F298" s="3">
        <f>IFERROR(INDEX('Data Source'!$S:$S,MATCH(296,'Data Source'!$T:$T,0)),"")</f>
        <v/>
      </c>
    </row>
    <row r="299">
      <c r="A299" s="3">
        <f>IFERROR(IF(COUNTIF('Data Source'!$T:$T,297)&gt;0,297,""),"")</f>
        <v/>
      </c>
      <c r="B299">
        <f>IFERROR(INDEX('Data Source'!$B:$B,MATCH(297,'Data Source'!$T:$T,0)),"")</f>
        <v/>
      </c>
      <c r="C299" s="3">
        <f>IFERROR(INDEX('Data Source'!$P:$P,MATCH(297,'Data Source'!$T:$T,0)),"")</f>
        <v/>
      </c>
      <c r="D299" s="5">
        <f>IFERROR(INDEX('Data Source'!$Q:$Q,MATCH(297,'Data Source'!$T:$T,0)),"")</f>
        <v/>
      </c>
      <c r="E299" s="5">
        <f>IFERROR(INDEX('Data Source'!$R:$R,MATCH(297,'Data Source'!$T:$T,0)),"")</f>
        <v/>
      </c>
      <c r="F299" s="3">
        <f>IFERROR(INDEX('Data Source'!$S:$S,MATCH(297,'Data Source'!$T:$T,0)),"")</f>
        <v/>
      </c>
    </row>
    <row r="300">
      <c r="A300" s="3">
        <f>IFERROR(IF(COUNTIF('Data Source'!$T:$T,298)&gt;0,298,""),"")</f>
        <v/>
      </c>
      <c r="B300">
        <f>IFERROR(INDEX('Data Source'!$B:$B,MATCH(298,'Data Source'!$T:$T,0)),"")</f>
        <v/>
      </c>
      <c r="C300" s="3">
        <f>IFERROR(INDEX('Data Source'!$P:$P,MATCH(298,'Data Source'!$T:$T,0)),"")</f>
        <v/>
      </c>
      <c r="D300" s="5">
        <f>IFERROR(INDEX('Data Source'!$Q:$Q,MATCH(298,'Data Source'!$T:$T,0)),"")</f>
        <v/>
      </c>
      <c r="E300" s="5">
        <f>IFERROR(INDEX('Data Source'!$R:$R,MATCH(298,'Data Source'!$T:$T,0)),"")</f>
        <v/>
      </c>
      <c r="F300" s="3">
        <f>IFERROR(INDEX('Data Source'!$S:$S,MATCH(298,'Data Source'!$T:$T,0)),"")</f>
        <v/>
      </c>
    </row>
    <row r="301">
      <c r="A301" s="3">
        <f>IFERROR(IF(COUNTIF('Data Source'!$T:$T,299)&gt;0,299,""),"")</f>
        <v/>
      </c>
      <c r="B301">
        <f>IFERROR(INDEX('Data Source'!$B:$B,MATCH(299,'Data Source'!$T:$T,0)),"")</f>
        <v/>
      </c>
      <c r="C301" s="3">
        <f>IFERROR(INDEX('Data Source'!$P:$P,MATCH(299,'Data Source'!$T:$T,0)),"")</f>
        <v/>
      </c>
      <c r="D301" s="5">
        <f>IFERROR(INDEX('Data Source'!$Q:$Q,MATCH(299,'Data Source'!$T:$T,0)),"")</f>
        <v/>
      </c>
      <c r="E301" s="5">
        <f>IFERROR(INDEX('Data Source'!$R:$R,MATCH(299,'Data Source'!$T:$T,0)),"")</f>
        <v/>
      </c>
      <c r="F301" s="3">
        <f>IFERROR(INDEX('Data Source'!$S:$S,MATCH(299,'Data Source'!$T:$T,0)),"")</f>
        <v/>
      </c>
    </row>
    <row r="302">
      <c r="A302" s="3">
        <f>IFERROR(IF(COUNTIF('Data Source'!$T:$T,300)&gt;0,300,""),"")</f>
        <v/>
      </c>
      <c r="B302">
        <f>IFERROR(INDEX('Data Source'!$B:$B,MATCH(300,'Data Source'!$T:$T,0)),"")</f>
        <v/>
      </c>
      <c r="C302" s="3">
        <f>IFERROR(INDEX('Data Source'!$P:$P,MATCH(300,'Data Source'!$T:$T,0)),"")</f>
        <v/>
      </c>
      <c r="D302" s="5">
        <f>IFERROR(INDEX('Data Source'!$Q:$Q,MATCH(300,'Data Source'!$T:$T,0)),"")</f>
        <v/>
      </c>
      <c r="E302" s="5">
        <f>IFERROR(INDEX('Data Source'!$R:$R,MATCH(300,'Data Source'!$T:$T,0)),"")</f>
        <v/>
      </c>
      <c r="F302" s="3">
        <f>IFERROR(INDEX('Data Source'!$S:$S,MATCH(300,'Data Source'!$T:$T,0)),"")</f>
        <v/>
      </c>
    </row>
    <row r="303">
      <c r="A303" s="3">
        <f>IFERROR(IF(COUNTIF('Data Source'!$T:$T,301)&gt;0,301,""),"")</f>
        <v/>
      </c>
      <c r="B303">
        <f>IFERROR(INDEX('Data Source'!$B:$B,MATCH(301,'Data Source'!$T:$T,0)),"")</f>
        <v/>
      </c>
      <c r="C303" s="3">
        <f>IFERROR(INDEX('Data Source'!$P:$P,MATCH(301,'Data Source'!$T:$T,0)),"")</f>
        <v/>
      </c>
      <c r="D303" s="5">
        <f>IFERROR(INDEX('Data Source'!$Q:$Q,MATCH(301,'Data Source'!$T:$T,0)),"")</f>
        <v/>
      </c>
      <c r="E303" s="5">
        <f>IFERROR(INDEX('Data Source'!$R:$R,MATCH(301,'Data Source'!$T:$T,0)),"")</f>
        <v/>
      </c>
      <c r="F303" s="3">
        <f>IFERROR(INDEX('Data Source'!$S:$S,MATCH(301,'Data Source'!$T:$T,0)),"")</f>
        <v/>
      </c>
    </row>
    <row r="304">
      <c r="A304" s="3">
        <f>IFERROR(IF(COUNTIF('Data Source'!$T:$T,302)&gt;0,302,""),"")</f>
        <v/>
      </c>
      <c r="B304">
        <f>IFERROR(INDEX('Data Source'!$B:$B,MATCH(302,'Data Source'!$T:$T,0)),"")</f>
        <v/>
      </c>
      <c r="C304" s="3">
        <f>IFERROR(INDEX('Data Source'!$P:$P,MATCH(302,'Data Source'!$T:$T,0)),"")</f>
        <v/>
      </c>
      <c r="D304" s="5">
        <f>IFERROR(INDEX('Data Source'!$Q:$Q,MATCH(302,'Data Source'!$T:$T,0)),"")</f>
        <v/>
      </c>
      <c r="E304" s="5">
        <f>IFERROR(INDEX('Data Source'!$R:$R,MATCH(302,'Data Source'!$T:$T,0)),"")</f>
        <v/>
      </c>
      <c r="F304" s="3">
        <f>IFERROR(INDEX('Data Source'!$S:$S,MATCH(302,'Data Source'!$T:$T,0)),"")</f>
        <v/>
      </c>
    </row>
    <row r="305">
      <c r="A305" s="3">
        <f>IFERROR(IF(COUNTIF('Data Source'!$T:$T,303)&gt;0,303,""),"")</f>
        <v/>
      </c>
      <c r="B305">
        <f>IFERROR(INDEX('Data Source'!$B:$B,MATCH(303,'Data Source'!$T:$T,0)),"")</f>
        <v/>
      </c>
      <c r="C305" s="3">
        <f>IFERROR(INDEX('Data Source'!$P:$P,MATCH(303,'Data Source'!$T:$T,0)),"")</f>
        <v/>
      </c>
      <c r="D305" s="5">
        <f>IFERROR(INDEX('Data Source'!$Q:$Q,MATCH(303,'Data Source'!$T:$T,0)),"")</f>
        <v/>
      </c>
      <c r="E305" s="5">
        <f>IFERROR(INDEX('Data Source'!$R:$R,MATCH(303,'Data Source'!$T:$T,0)),"")</f>
        <v/>
      </c>
      <c r="F305" s="3">
        <f>IFERROR(INDEX('Data Source'!$S:$S,MATCH(303,'Data Source'!$T:$T,0)),"")</f>
        <v/>
      </c>
    </row>
    <row r="306">
      <c r="A306" s="3">
        <f>IFERROR(IF(COUNTIF('Data Source'!$T:$T,304)&gt;0,304,""),"")</f>
        <v/>
      </c>
      <c r="B306">
        <f>IFERROR(INDEX('Data Source'!$B:$B,MATCH(304,'Data Source'!$T:$T,0)),"")</f>
        <v/>
      </c>
      <c r="C306" s="3">
        <f>IFERROR(INDEX('Data Source'!$P:$P,MATCH(304,'Data Source'!$T:$T,0)),"")</f>
        <v/>
      </c>
      <c r="D306" s="5">
        <f>IFERROR(INDEX('Data Source'!$Q:$Q,MATCH(304,'Data Source'!$T:$T,0)),"")</f>
        <v/>
      </c>
      <c r="E306" s="5">
        <f>IFERROR(INDEX('Data Source'!$R:$R,MATCH(304,'Data Source'!$T:$T,0)),"")</f>
        <v/>
      </c>
      <c r="F306" s="3">
        <f>IFERROR(INDEX('Data Source'!$S:$S,MATCH(304,'Data Source'!$T:$T,0)),"")</f>
        <v/>
      </c>
    </row>
    <row r="307">
      <c r="A307" s="3">
        <f>IFERROR(IF(COUNTIF('Data Source'!$T:$T,305)&gt;0,305,""),"")</f>
        <v/>
      </c>
      <c r="B307">
        <f>IFERROR(INDEX('Data Source'!$B:$B,MATCH(305,'Data Source'!$T:$T,0)),"")</f>
        <v/>
      </c>
      <c r="C307" s="3">
        <f>IFERROR(INDEX('Data Source'!$P:$P,MATCH(305,'Data Source'!$T:$T,0)),"")</f>
        <v/>
      </c>
      <c r="D307" s="5">
        <f>IFERROR(INDEX('Data Source'!$Q:$Q,MATCH(305,'Data Source'!$T:$T,0)),"")</f>
        <v/>
      </c>
      <c r="E307" s="5">
        <f>IFERROR(INDEX('Data Source'!$R:$R,MATCH(305,'Data Source'!$T:$T,0)),"")</f>
        <v/>
      </c>
      <c r="F307" s="3">
        <f>IFERROR(INDEX('Data Source'!$S:$S,MATCH(305,'Data Source'!$T:$T,0)),"")</f>
        <v/>
      </c>
    </row>
    <row r="308">
      <c r="A308" s="3">
        <f>IFERROR(IF(COUNTIF('Data Source'!$T:$T,306)&gt;0,306,""),"")</f>
        <v/>
      </c>
      <c r="B308">
        <f>IFERROR(INDEX('Data Source'!$B:$B,MATCH(306,'Data Source'!$T:$T,0)),"")</f>
        <v/>
      </c>
      <c r="C308" s="3">
        <f>IFERROR(INDEX('Data Source'!$P:$P,MATCH(306,'Data Source'!$T:$T,0)),"")</f>
        <v/>
      </c>
      <c r="D308" s="5">
        <f>IFERROR(INDEX('Data Source'!$Q:$Q,MATCH(306,'Data Source'!$T:$T,0)),"")</f>
        <v/>
      </c>
      <c r="E308" s="5">
        <f>IFERROR(INDEX('Data Source'!$R:$R,MATCH(306,'Data Source'!$T:$T,0)),"")</f>
        <v/>
      </c>
      <c r="F308" s="3">
        <f>IFERROR(INDEX('Data Source'!$S:$S,MATCH(306,'Data Source'!$T:$T,0)),"")</f>
        <v/>
      </c>
    </row>
    <row r="309">
      <c r="A309" s="3">
        <f>IFERROR(IF(COUNTIF('Data Source'!$T:$T,307)&gt;0,307,""),"")</f>
        <v/>
      </c>
      <c r="B309">
        <f>IFERROR(INDEX('Data Source'!$B:$B,MATCH(307,'Data Source'!$T:$T,0)),"")</f>
        <v/>
      </c>
      <c r="C309" s="3">
        <f>IFERROR(INDEX('Data Source'!$P:$P,MATCH(307,'Data Source'!$T:$T,0)),"")</f>
        <v/>
      </c>
      <c r="D309" s="5">
        <f>IFERROR(INDEX('Data Source'!$Q:$Q,MATCH(307,'Data Source'!$T:$T,0)),"")</f>
        <v/>
      </c>
      <c r="E309" s="5">
        <f>IFERROR(INDEX('Data Source'!$R:$R,MATCH(307,'Data Source'!$T:$T,0)),"")</f>
        <v/>
      </c>
      <c r="F309" s="3">
        <f>IFERROR(INDEX('Data Source'!$S:$S,MATCH(307,'Data Source'!$T:$T,0)),"")</f>
        <v/>
      </c>
    </row>
    <row r="310">
      <c r="A310" s="3">
        <f>IFERROR(IF(COUNTIF('Data Source'!$T:$T,308)&gt;0,308,""),"")</f>
        <v/>
      </c>
      <c r="B310">
        <f>IFERROR(INDEX('Data Source'!$B:$B,MATCH(308,'Data Source'!$T:$T,0)),"")</f>
        <v/>
      </c>
      <c r="C310" s="3">
        <f>IFERROR(INDEX('Data Source'!$P:$P,MATCH(308,'Data Source'!$T:$T,0)),"")</f>
        <v/>
      </c>
      <c r="D310" s="5">
        <f>IFERROR(INDEX('Data Source'!$Q:$Q,MATCH(308,'Data Source'!$T:$T,0)),"")</f>
        <v/>
      </c>
      <c r="E310" s="5">
        <f>IFERROR(INDEX('Data Source'!$R:$R,MATCH(308,'Data Source'!$T:$T,0)),"")</f>
        <v/>
      </c>
      <c r="F310" s="3">
        <f>IFERROR(INDEX('Data Source'!$S:$S,MATCH(308,'Data Source'!$T:$T,0)),"")</f>
        <v/>
      </c>
    </row>
    <row r="311">
      <c r="A311" s="3">
        <f>IFERROR(IF(COUNTIF('Data Source'!$T:$T,309)&gt;0,309,""),"")</f>
        <v/>
      </c>
      <c r="B311">
        <f>IFERROR(INDEX('Data Source'!$B:$B,MATCH(309,'Data Source'!$T:$T,0)),"")</f>
        <v/>
      </c>
      <c r="C311" s="3">
        <f>IFERROR(INDEX('Data Source'!$P:$P,MATCH(309,'Data Source'!$T:$T,0)),"")</f>
        <v/>
      </c>
      <c r="D311" s="5">
        <f>IFERROR(INDEX('Data Source'!$Q:$Q,MATCH(309,'Data Source'!$T:$T,0)),"")</f>
        <v/>
      </c>
      <c r="E311" s="5">
        <f>IFERROR(INDEX('Data Source'!$R:$R,MATCH(309,'Data Source'!$T:$T,0)),"")</f>
        <v/>
      </c>
      <c r="F311" s="3">
        <f>IFERROR(INDEX('Data Source'!$S:$S,MATCH(309,'Data Source'!$T:$T,0)),"")</f>
        <v/>
      </c>
    </row>
    <row r="312">
      <c r="A312" s="3">
        <f>IFERROR(IF(COUNTIF('Data Source'!$T:$T,310)&gt;0,310,""),"")</f>
        <v/>
      </c>
      <c r="B312">
        <f>IFERROR(INDEX('Data Source'!$B:$B,MATCH(310,'Data Source'!$T:$T,0)),"")</f>
        <v/>
      </c>
      <c r="C312" s="3">
        <f>IFERROR(INDEX('Data Source'!$P:$P,MATCH(310,'Data Source'!$T:$T,0)),"")</f>
        <v/>
      </c>
      <c r="D312" s="5">
        <f>IFERROR(INDEX('Data Source'!$Q:$Q,MATCH(310,'Data Source'!$T:$T,0)),"")</f>
        <v/>
      </c>
      <c r="E312" s="5">
        <f>IFERROR(INDEX('Data Source'!$R:$R,MATCH(310,'Data Source'!$T:$T,0)),"")</f>
        <v/>
      </c>
      <c r="F312" s="3">
        <f>IFERROR(INDEX('Data Source'!$S:$S,MATCH(310,'Data Source'!$T:$T,0)),"")</f>
        <v/>
      </c>
    </row>
    <row r="313">
      <c r="A313" s="3">
        <f>IFERROR(IF(COUNTIF('Data Source'!$T:$T,311)&gt;0,311,""),"")</f>
        <v/>
      </c>
      <c r="B313">
        <f>IFERROR(INDEX('Data Source'!$B:$B,MATCH(311,'Data Source'!$T:$T,0)),"")</f>
        <v/>
      </c>
      <c r="C313" s="3">
        <f>IFERROR(INDEX('Data Source'!$P:$P,MATCH(311,'Data Source'!$T:$T,0)),"")</f>
        <v/>
      </c>
      <c r="D313" s="5">
        <f>IFERROR(INDEX('Data Source'!$Q:$Q,MATCH(311,'Data Source'!$T:$T,0)),"")</f>
        <v/>
      </c>
      <c r="E313" s="5">
        <f>IFERROR(INDEX('Data Source'!$R:$R,MATCH(311,'Data Source'!$T:$T,0)),"")</f>
        <v/>
      </c>
      <c r="F313" s="3">
        <f>IFERROR(INDEX('Data Source'!$S:$S,MATCH(311,'Data Source'!$T:$T,0)),"")</f>
        <v/>
      </c>
    </row>
    <row r="314">
      <c r="A314" s="3">
        <f>IFERROR(IF(COUNTIF('Data Source'!$T:$T,312)&gt;0,312,""),"")</f>
        <v/>
      </c>
      <c r="B314">
        <f>IFERROR(INDEX('Data Source'!$B:$B,MATCH(312,'Data Source'!$T:$T,0)),"")</f>
        <v/>
      </c>
      <c r="C314" s="3">
        <f>IFERROR(INDEX('Data Source'!$P:$P,MATCH(312,'Data Source'!$T:$T,0)),"")</f>
        <v/>
      </c>
      <c r="D314" s="5">
        <f>IFERROR(INDEX('Data Source'!$Q:$Q,MATCH(312,'Data Source'!$T:$T,0)),"")</f>
        <v/>
      </c>
      <c r="E314" s="5">
        <f>IFERROR(INDEX('Data Source'!$R:$R,MATCH(312,'Data Source'!$T:$T,0)),"")</f>
        <v/>
      </c>
      <c r="F314" s="3">
        <f>IFERROR(INDEX('Data Source'!$S:$S,MATCH(312,'Data Source'!$T:$T,0)),"")</f>
        <v/>
      </c>
    </row>
    <row r="315">
      <c r="A315" s="3">
        <f>IFERROR(IF(COUNTIF('Data Source'!$T:$T,313)&gt;0,313,""),"")</f>
        <v/>
      </c>
      <c r="B315">
        <f>IFERROR(INDEX('Data Source'!$B:$B,MATCH(313,'Data Source'!$T:$T,0)),"")</f>
        <v/>
      </c>
      <c r="C315" s="3">
        <f>IFERROR(INDEX('Data Source'!$P:$P,MATCH(313,'Data Source'!$T:$T,0)),"")</f>
        <v/>
      </c>
      <c r="D315" s="5">
        <f>IFERROR(INDEX('Data Source'!$Q:$Q,MATCH(313,'Data Source'!$T:$T,0)),"")</f>
        <v/>
      </c>
      <c r="E315" s="5">
        <f>IFERROR(INDEX('Data Source'!$R:$R,MATCH(313,'Data Source'!$T:$T,0)),"")</f>
        <v/>
      </c>
      <c r="F315" s="3">
        <f>IFERROR(INDEX('Data Source'!$S:$S,MATCH(313,'Data Source'!$T:$T,0)),"")</f>
        <v/>
      </c>
    </row>
    <row r="316">
      <c r="A316" s="3">
        <f>IFERROR(IF(COUNTIF('Data Source'!$T:$T,314)&gt;0,314,""),"")</f>
        <v/>
      </c>
      <c r="B316">
        <f>IFERROR(INDEX('Data Source'!$B:$B,MATCH(314,'Data Source'!$T:$T,0)),"")</f>
        <v/>
      </c>
      <c r="C316" s="3">
        <f>IFERROR(INDEX('Data Source'!$P:$P,MATCH(314,'Data Source'!$T:$T,0)),"")</f>
        <v/>
      </c>
      <c r="D316" s="5">
        <f>IFERROR(INDEX('Data Source'!$Q:$Q,MATCH(314,'Data Source'!$T:$T,0)),"")</f>
        <v/>
      </c>
      <c r="E316" s="5">
        <f>IFERROR(INDEX('Data Source'!$R:$R,MATCH(314,'Data Source'!$T:$T,0)),"")</f>
        <v/>
      </c>
      <c r="F316" s="3">
        <f>IFERROR(INDEX('Data Source'!$S:$S,MATCH(314,'Data Source'!$T:$T,0)),"")</f>
        <v/>
      </c>
    </row>
    <row r="317">
      <c r="A317" s="3">
        <f>IFERROR(IF(COUNTIF('Data Source'!$T:$T,315)&gt;0,315,""),"")</f>
        <v/>
      </c>
      <c r="B317">
        <f>IFERROR(INDEX('Data Source'!$B:$B,MATCH(315,'Data Source'!$T:$T,0)),"")</f>
        <v/>
      </c>
      <c r="C317" s="3">
        <f>IFERROR(INDEX('Data Source'!$P:$P,MATCH(315,'Data Source'!$T:$T,0)),"")</f>
        <v/>
      </c>
      <c r="D317" s="5">
        <f>IFERROR(INDEX('Data Source'!$Q:$Q,MATCH(315,'Data Source'!$T:$T,0)),"")</f>
        <v/>
      </c>
      <c r="E317" s="5">
        <f>IFERROR(INDEX('Data Source'!$R:$R,MATCH(315,'Data Source'!$T:$T,0)),"")</f>
        <v/>
      </c>
      <c r="F317" s="3">
        <f>IFERROR(INDEX('Data Source'!$S:$S,MATCH(315,'Data Source'!$T:$T,0)),"")</f>
        <v/>
      </c>
    </row>
    <row r="318">
      <c r="A318" s="3">
        <f>IFERROR(IF(COUNTIF('Data Source'!$T:$T,316)&gt;0,316,""),"")</f>
        <v/>
      </c>
      <c r="B318">
        <f>IFERROR(INDEX('Data Source'!$B:$B,MATCH(316,'Data Source'!$T:$T,0)),"")</f>
        <v/>
      </c>
      <c r="C318" s="3">
        <f>IFERROR(INDEX('Data Source'!$P:$P,MATCH(316,'Data Source'!$T:$T,0)),"")</f>
        <v/>
      </c>
      <c r="D318" s="5">
        <f>IFERROR(INDEX('Data Source'!$Q:$Q,MATCH(316,'Data Source'!$T:$T,0)),"")</f>
        <v/>
      </c>
      <c r="E318" s="5">
        <f>IFERROR(INDEX('Data Source'!$R:$R,MATCH(316,'Data Source'!$T:$T,0)),"")</f>
        <v/>
      </c>
      <c r="F318" s="3">
        <f>IFERROR(INDEX('Data Source'!$S:$S,MATCH(316,'Data Source'!$T:$T,0)),"")</f>
        <v/>
      </c>
    </row>
    <row r="319">
      <c r="A319" s="3">
        <f>IFERROR(IF(COUNTIF('Data Source'!$T:$T,317)&gt;0,317,""),"")</f>
        <v/>
      </c>
      <c r="B319">
        <f>IFERROR(INDEX('Data Source'!$B:$B,MATCH(317,'Data Source'!$T:$T,0)),"")</f>
        <v/>
      </c>
      <c r="C319" s="3">
        <f>IFERROR(INDEX('Data Source'!$P:$P,MATCH(317,'Data Source'!$T:$T,0)),"")</f>
        <v/>
      </c>
      <c r="D319" s="5">
        <f>IFERROR(INDEX('Data Source'!$Q:$Q,MATCH(317,'Data Source'!$T:$T,0)),"")</f>
        <v/>
      </c>
      <c r="E319" s="5">
        <f>IFERROR(INDEX('Data Source'!$R:$R,MATCH(317,'Data Source'!$T:$T,0)),"")</f>
        <v/>
      </c>
      <c r="F319" s="3">
        <f>IFERROR(INDEX('Data Source'!$S:$S,MATCH(317,'Data Source'!$T:$T,0)),"")</f>
        <v/>
      </c>
    </row>
    <row r="320">
      <c r="A320" s="3">
        <f>IFERROR(IF(COUNTIF('Data Source'!$T:$T,318)&gt;0,318,""),"")</f>
        <v/>
      </c>
      <c r="B320">
        <f>IFERROR(INDEX('Data Source'!$B:$B,MATCH(318,'Data Source'!$T:$T,0)),"")</f>
        <v/>
      </c>
      <c r="C320" s="3">
        <f>IFERROR(INDEX('Data Source'!$P:$P,MATCH(318,'Data Source'!$T:$T,0)),"")</f>
        <v/>
      </c>
      <c r="D320" s="5">
        <f>IFERROR(INDEX('Data Source'!$Q:$Q,MATCH(318,'Data Source'!$T:$T,0)),"")</f>
        <v/>
      </c>
      <c r="E320" s="5">
        <f>IFERROR(INDEX('Data Source'!$R:$R,MATCH(318,'Data Source'!$T:$T,0)),"")</f>
        <v/>
      </c>
      <c r="F320" s="3">
        <f>IFERROR(INDEX('Data Source'!$S:$S,MATCH(318,'Data Source'!$T:$T,0)),"")</f>
        <v/>
      </c>
    </row>
    <row r="321">
      <c r="A321" s="3">
        <f>IFERROR(IF(COUNTIF('Data Source'!$T:$T,319)&gt;0,319,""),"")</f>
        <v/>
      </c>
      <c r="B321">
        <f>IFERROR(INDEX('Data Source'!$B:$B,MATCH(319,'Data Source'!$T:$T,0)),"")</f>
        <v/>
      </c>
      <c r="C321" s="3">
        <f>IFERROR(INDEX('Data Source'!$P:$P,MATCH(319,'Data Source'!$T:$T,0)),"")</f>
        <v/>
      </c>
      <c r="D321" s="5">
        <f>IFERROR(INDEX('Data Source'!$Q:$Q,MATCH(319,'Data Source'!$T:$T,0)),"")</f>
        <v/>
      </c>
      <c r="E321" s="5">
        <f>IFERROR(INDEX('Data Source'!$R:$R,MATCH(319,'Data Source'!$T:$T,0)),"")</f>
        <v/>
      </c>
      <c r="F321" s="3">
        <f>IFERROR(INDEX('Data Source'!$S:$S,MATCH(319,'Data Source'!$T:$T,0)),"")</f>
        <v/>
      </c>
    </row>
    <row r="322">
      <c r="A322" s="3">
        <f>IFERROR(IF(COUNTIF('Data Source'!$T:$T,320)&gt;0,320,""),"")</f>
        <v/>
      </c>
      <c r="B322">
        <f>IFERROR(INDEX('Data Source'!$B:$B,MATCH(320,'Data Source'!$T:$T,0)),"")</f>
        <v/>
      </c>
      <c r="C322" s="3">
        <f>IFERROR(INDEX('Data Source'!$P:$P,MATCH(320,'Data Source'!$T:$T,0)),"")</f>
        <v/>
      </c>
      <c r="D322" s="5">
        <f>IFERROR(INDEX('Data Source'!$Q:$Q,MATCH(320,'Data Source'!$T:$T,0)),"")</f>
        <v/>
      </c>
      <c r="E322" s="5">
        <f>IFERROR(INDEX('Data Source'!$R:$R,MATCH(320,'Data Source'!$T:$T,0)),"")</f>
        <v/>
      </c>
      <c r="F322" s="3">
        <f>IFERROR(INDEX('Data Source'!$S:$S,MATCH(320,'Data Source'!$T:$T,0)),"")</f>
        <v/>
      </c>
    </row>
    <row r="323">
      <c r="A323" s="3">
        <f>IFERROR(IF(COUNTIF('Data Source'!$T:$T,321)&gt;0,321,""),"")</f>
        <v/>
      </c>
      <c r="B323">
        <f>IFERROR(INDEX('Data Source'!$B:$B,MATCH(321,'Data Source'!$T:$T,0)),"")</f>
        <v/>
      </c>
      <c r="C323" s="3">
        <f>IFERROR(INDEX('Data Source'!$P:$P,MATCH(321,'Data Source'!$T:$T,0)),"")</f>
        <v/>
      </c>
      <c r="D323" s="5">
        <f>IFERROR(INDEX('Data Source'!$Q:$Q,MATCH(321,'Data Source'!$T:$T,0)),"")</f>
        <v/>
      </c>
      <c r="E323" s="5">
        <f>IFERROR(INDEX('Data Source'!$R:$R,MATCH(321,'Data Source'!$T:$T,0)),"")</f>
        <v/>
      </c>
      <c r="F323" s="3">
        <f>IFERROR(INDEX('Data Source'!$S:$S,MATCH(321,'Data Source'!$T:$T,0)),"")</f>
        <v/>
      </c>
    </row>
    <row r="324">
      <c r="A324" s="3">
        <f>IFERROR(IF(COUNTIF('Data Source'!$T:$T,322)&gt;0,322,""),"")</f>
        <v/>
      </c>
      <c r="B324">
        <f>IFERROR(INDEX('Data Source'!$B:$B,MATCH(322,'Data Source'!$T:$T,0)),"")</f>
        <v/>
      </c>
      <c r="C324" s="3">
        <f>IFERROR(INDEX('Data Source'!$P:$P,MATCH(322,'Data Source'!$T:$T,0)),"")</f>
        <v/>
      </c>
      <c r="D324" s="5">
        <f>IFERROR(INDEX('Data Source'!$Q:$Q,MATCH(322,'Data Source'!$T:$T,0)),"")</f>
        <v/>
      </c>
      <c r="E324" s="5">
        <f>IFERROR(INDEX('Data Source'!$R:$R,MATCH(322,'Data Source'!$T:$T,0)),"")</f>
        <v/>
      </c>
      <c r="F324" s="3">
        <f>IFERROR(INDEX('Data Source'!$S:$S,MATCH(322,'Data Source'!$T:$T,0)),"")</f>
        <v/>
      </c>
    </row>
    <row r="325">
      <c r="A325" s="3">
        <f>IFERROR(IF(COUNTIF('Data Source'!$T:$T,323)&gt;0,323,""),"")</f>
        <v/>
      </c>
      <c r="B325">
        <f>IFERROR(INDEX('Data Source'!$B:$B,MATCH(323,'Data Source'!$T:$T,0)),"")</f>
        <v/>
      </c>
      <c r="C325" s="3">
        <f>IFERROR(INDEX('Data Source'!$P:$P,MATCH(323,'Data Source'!$T:$T,0)),"")</f>
        <v/>
      </c>
      <c r="D325" s="5">
        <f>IFERROR(INDEX('Data Source'!$Q:$Q,MATCH(323,'Data Source'!$T:$T,0)),"")</f>
        <v/>
      </c>
      <c r="E325" s="5">
        <f>IFERROR(INDEX('Data Source'!$R:$R,MATCH(323,'Data Source'!$T:$T,0)),"")</f>
        <v/>
      </c>
      <c r="F325" s="3">
        <f>IFERROR(INDEX('Data Source'!$S:$S,MATCH(323,'Data Source'!$T:$T,0)),"")</f>
        <v/>
      </c>
    </row>
    <row r="326">
      <c r="A326" s="3">
        <f>IFERROR(IF(COUNTIF('Data Source'!$T:$T,324)&gt;0,324,""),"")</f>
        <v/>
      </c>
      <c r="B326">
        <f>IFERROR(INDEX('Data Source'!$B:$B,MATCH(324,'Data Source'!$T:$T,0)),"")</f>
        <v/>
      </c>
      <c r="C326" s="3">
        <f>IFERROR(INDEX('Data Source'!$P:$P,MATCH(324,'Data Source'!$T:$T,0)),"")</f>
        <v/>
      </c>
      <c r="D326" s="5">
        <f>IFERROR(INDEX('Data Source'!$Q:$Q,MATCH(324,'Data Source'!$T:$T,0)),"")</f>
        <v/>
      </c>
      <c r="E326" s="5">
        <f>IFERROR(INDEX('Data Source'!$R:$R,MATCH(324,'Data Source'!$T:$T,0)),"")</f>
        <v/>
      </c>
      <c r="F326" s="3">
        <f>IFERROR(INDEX('Data Source'!$S:$S,MATCH(324,'Data Source'!$T:$T,0)),"")</f>
        <v/>
      </c>
    </row>
    <row r="327">
      <c r="A327" s="3">
        <f>IFERROR(IF(COUNTIF('Data Source'!$T:$T,325)&gt;0,325,""),"")</f>
        <v/>
      </c>
      <c r="B327">
        <f>IFERROR(INDEX('Data Source'!$B:$B,MATCH(325,'Data Source'!$T:$T,0)),"")</f>
        <v/>
      </c>
      <c r="C327" s="3">
        <f>IFERROR(INDEX('Data Source'!$P:$P,MATCH(325,'Data Source'!$T:$T,0)),"")</f>
        <v/>
      </c>
      <c r="D327" s="5">
        <f>IFERROR(INDEX('Data Source'!$Q:$Q,MATCH(325,'Data Source'!$T:$T,0)),"")</f>
        <v/>
      </c>
      <c r="E327" s="5">
        <f>IFERROR(INDEX('Data Source'!$R:$R,MATCH(325,'Data Source'!$T:$T,0)),"")</f>
        <v/>
      </c>
      <c r="F327" s="3">
        <f>IFERROR(INDEX('Data Source'!$S:$S,MATCH(325,'Data Source'!$T:$T,0)),"")</f>
        <v/>
      </c>
    </row>
    <row r="328">
      <c r="A328" s="3">
        <f>IFERROR(IF(COUNTIF('Data Source'!$T:$T,326)&gt;0,326,""),"")</f>
        <v/>
      </c>
      <c r="B328">
        <f>IFERROR(INDEX('Data Source'!$B:$B,MATCH(326,'Data Source'!$T:$T,0)),"")</f>
        <v/>
      </c>
      <c r="C328" s="3">
        <f>IFERROR(INDEX('Data Source'!$P:$P,MATCH(326,'Data Source'!$T:$T,0)),"")</f>
        <v/>
      </c>
      <c r="D328" s="5">
        <f>IFERROR(INDEX('Data Source'!$Q:$Q,MATCH(326,'Data Source'!$T:$T,0)),"")</f>
        <v/>
      </c>
      <c r="E328" s="5">
        <f>IFERROR(INDEX('Data Source'!$R:$R,MATCH(326,'Data Source'!$T:$T,0)),"")</f>
        <v/>
      </c>
      <c r="F328" s="3">
        <f>IFERROR(INDEX('Data Source'!$S:$S,MATCH(326,'Data Source'!$T:$T,0)),"")</f>
        <v/>
      </c>
    </row>
    <row r="329">
      <c r="A329" s="3">
        <f>IFERROR(IF(COUNTIF('Data Source'!$T:$T,327)&gt;0,327,""),"")</f>
        <v/>
      </c>
      <c r="B329">
        <f>IFERROR(INDEX('Data Source'!$B:$B,MATCH(327,'Data Source'!$T:$T,0)),"")</f>
        <v/>
      </c>
      <c r="C329" s="3">
        <f>IFERROR(INDEX('Data Source'!$P:$P,MATCH(327,'Data Source'!$T:$T,0)),"")</f>
        <v/>
      </c>
      <c r="D329" s="5">
        <f>IFERROR(INDEX('Data Source'!$Q:$Q,MATCH(327,'Data Source'!$T:$T,0)),"")</f>
        <v/>
      </c>
      <c r="E329" s="5">
        <f>IFERROR(INDEX('Data Source'!$R:$R,MATCH(327,'Data Source'!$T:$T,0)),"")</f>
        <v/>
      </c>
      <c r="F329" s="3">
        <f>IFERROR(INDEX('Data Source'!$S:$S,MATCH(327,'Data Source'!$T:$T,0)),"")</f>
        <v/>
      </c>
    </row>
    <row r="330">
      <c r="A330" s="3">
        <f>IFERROR(IF(COUNTIF('Data Source'!$T:$T,328)&gt;0,328,""),"")</f>
        <v/>
      </c>
      <c r="B330">
        <f>IFERROR(INDEX('Data Source'!$B:$B,MATCH(328,'Data Source'!$T:$T,0)),"")</f>
        <v/>
      </c>
      <c r="C330" s="3">
        <f>IFERROR(INDEX('Data Source'!$P:$P,MATCH(328,'Data Source'!$T:$T,0)),"")</f>
        <v/>
      </c>
      <c r="D330" s="5">
        <f>IFERROR(INDEX('Data Source'!$Q:$Q,MATCH(328,'Data Source'!$T:$T,0)),"")</f>
        <v/>
      </c>
      <c r="E330" s="5">
        <f>IFERROR(INDEX('Data Source'!$R:$R,MATCH(328,'Data Source'!$T:$T,0)),"")</f>
        <v/>
      </c>
      <c r="F330" s="3">
        <f>IFERROR(INDEX('Data Source'!$S:$S,MATCH(328,'Data Source'!$T:$T,0)),"")</f>
        <v/>
      </c>
    </row>
    <row r="331">
      <c r="A331" s="3">
        <f>IFERROR(IF(COUNTIF('Data Source'!$T:$T,329)&gt;0,329,""),"")</f>
        <v/>
      </c>
      <c r="B331">
        <f>IFERROR(INDEX('Data Source'!$B:$B,MATCH(329,'Data Source'!$T:$T,0)),"")</f>
        <v/>
      </c>
      <c r="C331" s="3">
        <f>IFERROR(INDEX('Data Source'!$P:$P,MATCH(329,'Data Source'!$T:$T,0)),"")</f>
        <v/>
      </c>
      <c r="D331" s="5">
        <f>IFERROR(INDEX('Data Source'!$Q:$Q,MATCH(329,'Data Source'!$T:$T,0)),"")</f>
        <v/>
      </c>
      <c r="E331" s="5">
        <f>IFERROR(INDEX('Data Source'!$R:$R,MATCH(329,'Data Source'!$T:$T,0)),"")</f>
        <v/>
      </c>
      <c r="F331" s="3">
        <f>IFERROR(INDEX('Data Source'!$S:$S,MATCH(329,'Data Source'!$T:$T,0)),"")</f>
        <v/>
      </c>
    </row>
    <row r="332">
      <c r="A332" s="3">
        <f>IFERROR(IF(COUNTIF('Data Source'!$T:$T,330)&gt;0,330,""),"")</f>
        <v/>
      </c>
      <c r="B332">
        <f>IFERROR(INDEX('Data Source'!$B:$B,MATCH(330,'Data Source'!$T:$T,0)),"")</f>
        <v/>
      </c>
      <c r="C332" s="3">
        <f>IFERROR(INDEX('Data Source'!$P:$P,MATCH(330,'Data Source'!$T:$T,0)),"")</f>
        <v/>
      </c>
      <c r="D332" s="5">
        <f>IFERROR(INDEX('Data Source'!$Q:$Q,MATCH(330,'Data Source'!$T:$T,0)),"")</f>
        <v/>
      </c>
      <c r="E332" s="5">
        <f>IFERROR(INDEX('Data Source'!$R:$R,MATCH(330,'Data Source'!$T:$T,0)),"")</f>
        <v/>
      </c>
      <c r="F332" s="3">
        <f>IFERROR(INDEX('Data Source'!$S:$S,MATCH(330,'Data Source'!$T:$T,0)),"")</f>
        <v/>
      </c>
    </row>
    <row r="333">
      <c r="A333" s="3">
        <f>IFERROR(IF(COUNTIF('Data Source'!$T:$T,331)&gt;0,331,""),"")</f>
        <v/>
      </c>
      <c r="B333">
        <f>IFERROR(INDEX('Data Source'!$B:$B,MATCH(331,'Data Source'!$T:$T,0)),"")</f>
        <v/>
      </c>
      <c r="C333" s="3">
        <f>IFERROR(INDEX('Data Source'!$P:$P,MATCH(331,'Data Source'!$T:$T,0)),"")</f>
        <v/>
      </c>
      <c r="D333" s="5">
        <f>IFERROR(INDEX('Data Source'!$Q:$Q,MATCH(331,'Data Source'!$T:$T,0)),"")</f>
        <v/>
      </c>
      <c r="E333" s="5">
        <f>IFERROR(INDEX('Data Source'!$R:$R,MATCH(331,'Data Source'!$T:$T,0)),"")</f>
        <v/>
      </c>
      <c r="F333" s="3">
        <f>IFERROR(INDEX('Data Source'!$S:$S,MATCH(331,'Data Source'!$T:$T,0)),"")</f>
        <v/>
      </c>
    </row>
    <row r="334">
      <c r="A334" s="3">
        <f>IFERROR(IF(COUNTIF('Data Source'!$T:$T,332)&gt;0,332,""),"")</f>
        <v/>
      </c>
      <c r="B334">
        <f>IFERROR(INDEX('Data Source'!$B:$B,MATCH(332,'Data Source'!$T:$T,0)),"")</f>
        <v/>
      </c>
      <c r="C334" s="3">
        <f>IFERROR(INDEX('Data Source'!$P:$P,MATCH(332,'Data Source'!$T:$T,0)),"")</f>
        <v/>
      </c>
      <c r="D334" s="5">
        <f>IFERROR(INDEX('Data Source'!$Q:$Q,MATCH(332,'Data Source'!$T:$T,0)),"")</f>
        <v/>
      </c>
      <c r="E334" s="5">
        <f>IFERROR(INDEX('Data Source'!$R:$R,MATCH(332,'Data Source'!$T:$T,0)),"")</f>
        <v/>
      </c>
      <c r="F334" s="3">
        <f>IFERROR(INDEX('Data Source'!$S:$S,MATCH(332,'Data Source'!$T:$T,0)),"")</f>
        <v/>
      </c>
    </row>
    <row r="335">
      <c r="A335" s="3">
        <f>IFERROR(IF(COUNTIF('Data Source'!$T:$T,333)&gt;0,333,""),"")</f>
        <v/>
      </c>
      <c r="B335">
        <f>IFERROR(INDEX('Data Source'!$B:$B,MATCH(333,'Data Source'!$T:$T,0)),"")</f>
        <v/>
      </c>
      <c r="C335" s="3">
        <f>IFERROR(INDEX('Data Source'!$P:$P,MATCH(333,'Data Source'!$T:$T,0)),"")</f>
        <v/>
      </c>
      <c r="D335" s="5">
        <f>IFERROR(INDEX('Data Source'!$Q:$Q,MATCH(333,'Data Source'!$T:$T,0)),"")</f>
        <v/>
      </c>
      <c r="E335" s="5">
        <f>IFERROR(INDEX('Data Source'!$R:$R,MATCH(333,'Data Source'!$T:$T,0)),"")</f>
        <v/>
      </c>
      <c r="F335" s="3">
        <f>IFERROR(INDEX('Data Source'!$S:$S,MATCH(333,'Data Source'!$T:$T,0)),"")</f>
        <v/>
      </c>
    </row>
    <row r="336">
      <c r="A336" s="3">
        <f>IFERROR(IF(COUNTIF('Data Source'!$T:$T,334)&gt;0,334,""),"")</f>
        <v/>
      </c>
      <c r="B336">
        <f>IFERROR(INDEX('Data Source'!$B:$B,MATCH(334,'Data Source'!$T:$T,0)),"")</f>
        <v/>
      </c>
      <c r="C336" s="3">
        <f>IFERROR(INDEX('Data Source'!$P:$P,MATCH(334,'Data Source'!$T:$T,0)),"")</f>
        <v/>
      </c>
      <c r="D336" s="5">
        <f>IFERROR(INDEX('Data Source'!$Q:$Q,MATCH(334,'Data Source'!$T:$T,0)),"")</f>
        <v/>
      </c>
      <c r="E336" s="5">
        <f>IFERROR(INDEX('Data Source'!$R:$R,MATCH(334,'Data Source'!$T:$T,0)),"")</f>
        <v/>
      </c>
      <c r="F336" s="3">
        <f>IFERROR(INDEX('Data Source'!$S:$S,MATCH(334,'Data Source'!$T:$T,0)),"")</f>
        <v/>
      </c>
    </row>
    <row r="337">
      <c r="A337" s="3">
        <f>IFERROR(IF(COUNTIF('Data Source'!$T:$T,335)&gt;0,335,""),"")</f>
        <v/>
      </c>
      <c r="B337">
        <f>IFERROR(INDEX('Data Source'!$B:$B,MATCH(335,'Data Source'!$T:$T,0)),"")</f>
        <v/>
      </c>
      <c r="C337" s="3">
        <f>IFERROR(INDEX('Data Source'!$P:$P,MATCH(335,'Data Source'!$T:$T,0)),"")</f>
        <v/>
      </c>
      <c r="D337" s="5">
        <f>IFERROR(INDEX('Data Source'!$Q:$Q,MATCH(335,'Data Source'!$T:$T,0)),"")</f>
        <v/>
      </c>
      <c r="E337" s="5">
        <f>IFERROR(INDEX('Data Source'!$R:$R,MATCH(335,'Data Source'!$T:$T,0)),"")</f>
        <v/>
      </c>
      <c r="F337" s="3">
        <f>IFERROR(INDEX('Data Source'!$S:$S,MATCH(335,'Data Source'!$T:$T,0)),"")</f>
        <v/>
      </c>
    </row>
    <row r="338">
      <c r="A338" s="3">
        <f>IFERROR(IF(COUNTIF('Data Source'!$T:$T,336)&gt;0,336,""),"")</f>
        <v/>
      </c>
      <c r="B338">
        <f>IFERROR(INDEX('Data Source'!$B:$B,MATCH(336,'Data Source'!$T:$T,0)),"")</f>
        <v/>
      </c>
      <c r="C338" s="3">
        <f>IFERROR(INDEX('Data Source'!$P:$P,MATCH(336,'Data Source'!$T:$T,0)),"")</f>
        <v/>
      </c>
      <c r="D338" s="5">
        <f>IFERROR(INDEX('Data Source'!$Q:$Q,MATCH(336,'Data Source'!$T:$T,0)),"")</f>
        <v/>
      </c>
      <c r="E338" s="5">
        <f>IFERROR(INDEX('Data Source'!$R:$R,MATCH(336,'Data Source'!$T:$T,0)),"")</f>
        <v/>
      </c>
      <c r="F338" s="3">
        <f>IFERROR(INDEX('Data Source'!$S:$S,MATCH(336,'Data Source'!$T:$T,0)),"")</f>
        <v/>
      </c>
    </row>
    <row r="339">
      <c r="A339" s="3">
        <f>IFERROR(IF(COUNTIF('Data Source'!$T:$T,337)&gt;0,337,""),"")</f>
        <v/>
      </c>
      <c r="B339">
        <f>IFERROR(INDEX('Data Source'!$B:$B,MATCH(337,'Data Source'!$T:$T,0)),"")</f>
        <v/>
      </c>
      <c r="C339" s="3">
        <f>IFERROR(INDEX('Data Source'!$P:$P,MATCH(337,'Data Source'!$T:$T,0)),"")</f>
        <v/>
      </c>
      <c r="D339" s="5">
        <f>IFERROR(INDEX('Data Source'!$Q:$Q,MATCH(337,'Data Source'!$T:$T,0)),"")</f>
        <v/>
      </c>
      <c r="E339" s="5">
        <f>IFERROR(INDEX('Data Source'!$R:$R,MATCH(337,'Data Source'!$T:$T,0)),"")</f>
        <v/>
      </c>
      <c r="F339" s="3">
        <f>IFERROR(INDEX('Data Source'!$S:$S,MATCH(337,'Data Source'!$T:$T,0)),"")</f>
        <v/>
      </c>
    </row>
    <row r="340">
      <c r="A340" s="3">
        <f>IFERROR(IF(COUNTIF('Data Source'!$T:$T,338)&gt;0,338,""),"")</f>
        <v/>
      </c>
      <c r="B340">
        <f>IFERROR(INDEX('Data Source'!$B:$B,MATCH(338,'Data Source'!$T:$T,0)),"")</f>
        <v/>
      </c>
      <c r="C340" s="3">
        <f>IFERROR(INDEX('Data Source'!$P:$P,MATCH(338,'Data Source'!$T:$T,0)),"")</f>
        <v/>
      </c>
      <c r="D340" s="5">
        <f>IFERROR(INDEX('Data Source'!$Q:$Q,MATCH(338,'Data Source'!$T:$T,0)),"")</f>
        <v/>
      </c>
      <c r="E340" s="5">
        <f>IFERROR(INDEX('Data Source'!$R:$R,MATCH(338,'Data Source'!$T:$T,0)),"")</f>
        <v/>
      </c>
      <c r="F340" s="3">
        <f>IFERROR(INDEX('Data Source'!$S:$S,MATCH(338,'Data Source'!$T:$T,0)),"")</f>
        <v/>
      </c>
    </row>
    <row r="341">
      <c r="A341" s="3">
        <f>IFERROR(IF(COUNTIF('Data Source'!$T:$T,339)&gt;0,339,""),"")</f>
        <v/>
      </c>
      <c r="B341">
        <f>IFERROR(INDEX('Data Source'!$B:$B,MATCH(339,'Data Source'!$T:$T,0)),"")</f>
        <v/>
      </c>
      <c r="C341" s="3">
        <f>IFERROR(INDEX('Data Source'!$P:$P,MATCH(339,'Data Source'!$T:$T,0)),"")</f>
        <v/>
      </c>
      <c r="D341" s="5">
        <f>IFERROR(INDEX('Data Source'!$Q:$Q,MATCH(339,'Data Source'!$T:$T,0)),"")</f>
        <v/>
      </c>
      <c r="E341" s="5">
        <f>IFERROR(INDEX('Data Source'!$R:$R,MATCH(339,'Data Source'!$T:$T,0)),"")</f>
        <v/>
      </c>
      <c r="F341" s="3">
        <f>IFERROR(INDEX('Data Source'!$S:$S,MATCH(339,'Data Source'!$T:$T,0)),"")</f>
        <v/>
      </c>
    </row>
    <row r="342">
      <c r="A342" s="3">
        <f>IFERROR(IF(COUNTIF('Data Source'!$T:$T,340)&gt;0,340,""),"")</f>
        <v/>
      </c>
      <c r="B342">
        <f>IFERROR(INDEX('Data Source'!$B:$B,MATCH(340,'Data Source'!$T:$T,0)),"")</f>
        <v/>
      </c>
      <c r="C342" s="3">
        <f>IFERROR(INDEX('Data Source'!$P:$P,MATCH(340,'Data Source'!$T:$T,0)),"")</f>
        <v/>
      </c>
      <c r="D342" s="5">
        <f>IFERROR(INDEX('Data Source'!$Q:$Q,MATCH(340,'Data Source'!$T:$T,0)),"")</f>
        <v/>
      </c>
      <c r="E342" s="5">
        <f>IFERROR(INDEX('Data Source'!$R:$R,MATCH(340,'Data Source'!$T:$T,0)),"")</f>
        <v/>
      </c>
      <c r="F342" s="3">
        <f>IFERROR(INDEX('Data Source'!$S:$S,MATCH(340,'Data Source'!$T:$T,0)),"")</f>
        <v/>
      </c>
    </row>
    <row r="343">
      <c r="A343" s="3">
        <f>IFERROR(IF(COUNTIF('Data Source'!$T:$T,341)&gt;0,341,""),"")</f>
        <v/>
      </c>
      <c r="B343">
        <f>IFERROR(INDEX('Data Source'!$B:$B,MATCH(341,'Data Source'!$T:$T,0)),"")</f>
        <v/>
      </c>
      <c r="C343" s="3">
        <f>IFERROR(INDEX('Data Source'!$P:$P,MATCH(341,'Data Source'!$T:$T,0)),"")</f>
        <v/>
      </c>
      <c r="D343" s="5">
        <f>IFERROR(INDEX('Data Source'!$Q:$Q,MATCH(341,'Data Source'!$T:$T,0)),"")</f>
        <v/>
      </c>
      <c r="E343" s="5">
        <f>IFERROR(INDEX('Data Source'!$R:$R,MATCH(341,'Data Source'!$T:$T,0)),"")</f>
        <v/>
      </c>
      <c r="F343" s="3">
        <f>IFERROR(INDEX('Data Source'!$S:$S,MATCH(341,'Data Source'!$T:$T,0)),"")</f>
        <v/>
      </c>
    </row>
    <row r="344">
      <c r="A344" s="3">
        <f>IFERROR(IF(COUNTIF('Data Source'!$T:$T,342)&gt;0,342,""),"")</f>
        <v/>
      </c>
      <c r="B344">
        <f>IFERROR(INDEX('Data Source'!$B:$B,MATCH(342,'Data Source'!$T:$T,0)),"")</f>
        <v/>
      </c>
      <c r="C344" s="3">
        <f>IFERROR(INDEX('Data Source'!$P:$P,MATCH(342,'Data Source'!$T:$T,0)),"")</f>
        <v/>
      </c>
      <c r="D344" s="5">
        <f>IFERROR(INDEX('Data Source'!$Q:$Q,MATCH(342,'Data Source'!$T:$T,0)),"")</f>
        <v/>
      </c>
      <c r="E344" s="5">
        <f>IFERROR(INDEX('Data Source'!$R:$R,MATCH(342,'Data Source'!$T:$T,0)),"")</f>
        <v/>
      </c>
      <c r="F344" s="3">
        <f>IFERROR(INDEX('Data Source'!$S:$S,MATCH(342,'Data Source'!$T:$T,0)),"")</f>
        <v/>
      </c>
    </row>
    <row r="345">
      <c r="A345" s="3">
        <f>IFERROR(IF(COUNTIF('Data Source'!$T:$T,343)&gt;0,343,""),"")</f>
        <v/>
      </c>
      <c r="B345">
        <f>IFERROR(INDEX('Data Source'!$B:$B,MATCH(343,'Data Source'!$T:$T,0)),"")</f>
        <v/>
      </c>
      <c r="C345" s="3">
        <f>IFERROR(INDEX('Data Source'!$P:$P,MATCH(343,'Data Source'!$T:$T,0)),"")</f>
        <v/>
      </c>
      <c r="D345" s="5">
        <f>IFERROR(INDEX('Data Source'!$Q:$Q,MATCH(343,'Data Source'!$T:$T,0)),"")</f>
        <v/>
      </c>
      <c r="E345" s="5">
        <f>IFERROR(INDEX('Data Source'!$R:$R,MATCH(343,'Data Source'!$T:$T,0)),"")</f>
        <v/>
      </c>
      <c r="F345" s="3">
        <f>IFERROR(INDEX('Data Source'!$S:$S,MATCH(343,'Data Source'!$T:$T,0)),"")</f>
        <v/>
      </c>
    </row>
    <row r="346">
      <c r="A346" s="3">
        <f>IFERROR(IF(COUNTIF('Data Source'!$T:$T,344)&gt;0,344,""),"")</f>
        <v/>
      </c>
      <c r="B346">
        <f>IFERROR(INDEX('Data Source'!$B:$B,MATCH(344,'Data Source'!$T:$T,0)),"")</f>
        <v/>
      </c>
      <c r="C346" s="3">
        <f>IFERROR(INDEX('Data Source'!$P:$P,MATCH(344,'Data Source'!$T:$T,0)),"")</f>
        <v/>
      </c>
      <c r="D346" s="5">
        <f>IFERROR(INDEX('Data Source'!$Q:$Q,MATCH(344,'Data Source'!$T:$T,0)),"")</f>
        <v/>
      </c>
      <c r="E346" s="5">
        <f>IFERROR(INDEX('Data Source'!$R:$R,MATCH(344,'Data Source'!$T:$T,0)),"")</f>
        <v/>
      </c>
      <c r="F346" s="3">
        <f>IFERROR(INDEX('Data Source'!$S:$S,MATCH(344,'Data Source'!$T:$T,0)),"")</f>
        <v/>
      </c>
    </row>
    <row r="347">
      <c r="A347" s="3">
        <f>IFERROR(IF(COUNTIF('Data Source'!$T:$T,345)&gt;0,345,""),"")</f>
        <v/>
      </c>
      <c r="B347">
        <f>IFERROR(INDEX('Data Source'!$B:$B,MATCH(345,'Data Source'!$T:$T,0)),"")</f>
        <v/>
      </c>
      <c r="C347" s="3">
        <f>IFERROR(INDEX('Data Source'!$P:$P,MATCH(345,'Data Source'!$T:$T,0)),"")</f>
        <v/>
      </c>
      <c r="D347" s="5">
        <f>IFERROR(INDEX('Data Source'!$Q:$Q,MATCH(345,'Data Source'!$T:$T,0)),"")</f>
        <v/>
      </c>
      <c r="E347" s="5">
        <f>IFERROR(INDEX('Data Source'!$R:$R,MATCH(345,'Data Source'!$T:$T,0)),"")</f>
        <v/>
      </c>
      <c r="F347" s="3">
        <f>IFERROR(INDEX('Data Source'!$S:$S,MATCH(345,'Data Source'!$T:$T,0)),"")</f>
        <v/>
      </c>
    </row>
    <row r="348">
      <c r="A348" s="3">
        <f>IFERROR(IF(COUNTIF('Data Source'!$T:$T,346)&gt;0,346,""),"")</f>
        <v/>
      </c>
      <c r="B348">
        <f>IFERROR(INDEX('Data Source'!$B:$B,MATCH(346,'Data Source'!$T:$T,0)),"")</f>
        <v/>
      </c>
      <c r="C348" s="3">
        <f>IFERROR(INDEX('Data Source'!$P:$P,MATCH(346,'Data Source'!$T:$T,0)),"")</f>
        <v/>
      </c>
      <c r="D348" s="5">
        <f>IFERROR(INDEX('Data Source'!$Q:$Q,MATCH(346,'Data Source'!$T:$T,0)),"")</f>
        <v/>
      </c>
      <c r="E348" s="5">
        <f>IFERROR(INDEX('Data Source'!$R:$R,MATCH(346,'Data Source'!$T:$T,0)),"")</f>
        <v/>
      </c>
      <c r="F348" s="3">
        <f>IFERROR(INDEX('Data Source'!$S:$S,MATCH(346,'Data Source'!$T:$T,0)),"")</f>
        <v/>
      </c>
    </row>
    <row r="349">
      <c r="A349" s="3">
        <f>IFERROR(IF(COUNTIF('Data Source'!$T:$T,347)&gt;0,347,""),"")</f>
        <v/>
      </c>
      <c r="B349">
        <f>IFERROR(INDEX('Data Source'!$B:$B,MATCH(347,'Data Source'!$T:$T,0)),"")</f>
        <v/>
      </c>
      <c r="C349" s="3">
        <f>IFERROR(INDEX('Data Source'!$P:$P,MATCH(347,'Data Source'!$T:$T,0)),"")</f>
        <v/>
      </c>
      <c r="D349" s="5">
        <f>IFERROR(INDEX('Data Source'!$Q:$Q,MATCH(347,'Data Source'!$T:$T,0)),"")</f>
        <v/>
      </c>
      <c r="E349" s="5">
        <f>IFERROR(INDEX('Data Source'!$R:$R,MATCH(347,'Data Source'!$T:$T,0)),"")</f>
        <v/>
      </c>
      <c r="F349" s="3">
        <f>IFERROR(INDEX('Data Source'!$S:$S,MATCH(347,'Data Source'!$T:$T,0)),"")</f>
        <v/>
      </c>
    </row>
    <row r="350">
      <c r="A350" s="3">
        <f>IFERROR(IF(COUNTIF('Data Source'!$T:$T,348)&gt;0,348,""),"")</f>
        <v/>
      </c>
      <c r="B350">
        <f>IFERROR(INDEX('Data Source'!$B:$B,MATCH(348,'Data Source'!$T:$T,0)),"")</f>
        <v/>
      </c>
      <c r="C350" s="3">
        <f>IFERROR(INDEX('Data Source'!$P:$P,MATCH(348,'Data Source'!$T:$T,0)),"")</f>
        <v/>
      </c>
      <c r="D350" s="5">
        <f>IFERROR(INDEX('Data Source'!$Q:$Q,MATCH(348,'Data Source'!$T:$T,0)),"")</f>
        <v/>
      </c>
      <c r="E350" s="5">
        <f>IFERROR(INDEX('Data Source'!$R:$R,MATCH(348,'Data Source'!$T:$T,0)),"")</f>
        <v/>
      </c>
      <c r="F350" s="3">
        <f>IFERROR(INDEX('Data Source'!$S:$S,MATCH(348,'Data Source'!$T:$T,0)),"")</f>
        <v/>
      </c>
    </row>
    <row r="351">
      <c r="A351" s="3">
        <f>IFERROR(IF(COUNTIF('Data Source'!$T:$T,349)&gt;0,349,""),"")</f>
        <v/>
      </c>
      <c r="B351">
        <f>IFERROR(INDEX('Data Source'!$B:$B,MATCH(349,'Data Source'!$T:$T,0)),"")</f>
        <v/>
      </c>
      <c r="C351" s="3">
        <f>IFERROR(INDEX('Data Source'!$P:$P,MATCH(349,'Data Source'!$T:$T,0)),"")</f>
        <v/>
      </c>
      <c r="D351" s="5">
        <f>IFERROR(INDEX('Data Source'!$Q:$Q,MATCH(349,'Data Source'!$T:$T,0)),"")</f>
        <v/>
      </c>
      <c r="E351" s="5">
        <f>IFERROR(INDEX('Data Source'!$R:$R,MATCH(349,'Data Source'!$T:$T,0)),"")</f>
        <v/>
      </c>
      <c r="F351" s="3">
        <f>IFERROR(INDEX('Data Source'!$S:$S,MATCH(349,'Data Source'!$T:$T,0)),"")</f>
        <v/>
      </c>
    </row>
    <row r="352">
      <c r="A352" s="3">
        <f>IFERROR(IF(COUNTIF('Data Source'!$T:$T,350)&gt;0,350,""),"")</f>
        <v/>
      </c>
      <c r="B352">
        <f>IFERROR(INDEX('Data Source'!$B:$B,MATCH(350,'Data Source'!$T:$T,0)),"")</f>
        <v/>
      </c>
      <c r="C352" s="3">
        <f>IFERROR(INDEX('Data Source'!$P:$P,MATCH(350,'Data Source'!$T:$T,0)),"")</f>
        <v/>
      </c>
      <c r="D352" s="5">
        <f>IFERROR(INDEX('Data Source'!$Q:$Q,MATCH(350,'Data Source'!$T:$T,0)),"")</f>
        <v/>
      </c>
      <c r="E352" s="5">
        <f>IFERROR(INDEX('Data Source'!$R:$R,MATCH(350,'Data Source'!$T:$T,0)),"")</f>
        <v/>
      </c>
      <c r="F352" s="3">
        <f>IFERROR(INDEX('Data Source'!$S:$S,MATCH(350,'Data Source'!$T:$T,0)),"")</f>
        <v/>
      </c>
    </row>
    <row r="353">
      <c r="A353" s="3">
        <f>IFERROR(IF(COUNTIF('Data Source'!$T:$T,351)&gt;0,351,""),"")</f>
        <v/>
      </c>
      <c r="B353">
        <f>IFERROR(INDEX('Data Source'!$B:$B,MATCH(351,'Data Source'!$T:$T,0)),"")</f>
        <v/>
      </c>
      <c r="C353" s="3">
        <f>IFERROR(INDEX('Data Source'!$P:$P,MATCH(351,'Data Source'!$T:$T,0)),"")</f>
        <v/>
      </c>
      <c r="D353" s="5">
        <f>IFERROR(INDEX('Data Source'!$Q:$Q,MATCH(351,'Data Source'!$T:$T,0)),"")</f>
        <v/>
      </c>
      <c r="E353" s="5">
        <f>IFERROR(INDEX('Data Source'!$R:$R,MATCH(351,'Data Source'!$T:$T,0)),"")</f>
        <v/>
      </c>
      <c r="F353" s="3">
        <f>IFERROR(INDEX('Data Source'!$S:$S,MATCH(351,'Data Source'!$T:$T,0)),"")</f>
        <v/>
      </c>
    </row>
    <row r="354">
      <c r="A354" s="3">
        <f>IFERROR(IF(COUNTIF('Data Source'!$T:$T,352)&gt;0,352,""),"")</f>
        <v/>
      </c>
      <c r="B354">
        <f>IFERROR(INDEX('Data Source'!$B:$B,MATCH(352,'Data Source'!$T:$T,0)),"")</f>
        <v/>
      </c>
      <c r="C354" s="3">
        <f>IFERROR(INDEX('Data Source'!$P:$P,MATCH(352,'Data Source'!$T:$T,0)),"")</f>
        <v/>
      </c>
      <c r="D354" s="5">
        <f>IFERROR(INDEX('Data Source'!$Q:$Q,MATCH(352,'Data Source'!$T:$T,0)),"")</f>
        <v/>
      </c>
      <c r="E354" s="5">
        <f>IFERROR(INDEX('Data Source'!$R:$R,MATCH(352,'Data Source'!$T:$T,0)),"")</f>
        <v/>
      </c>
      <c r="F354" s="3">
        <f>IFERROR(INDEX('Data Source'!$S:$S,MATCH(352,'Data Source'!$T:$T,0)),"")</f>
        <v/>
      </c>
    </row>
    <row r="355">
      <c r="A355" s="3">
        <f>IFERROR(IF(COUNTIF('Data Source'!$T:$T,353)&gt;0,353,""),"")</f>
        <v/>
      </c>
      <c r="B355">
        <f>IFERROR(INDEX('Data Source'!$B:$B,MATCH(353,'Data Source'!$T:$T,0)),"")</f>
        <v/>
      </c>
      <c r="C355" s="3">
        <f>IFERROR(INDEX('Data Source'!$P:$P,MATCH(353,'Data Source'!$T:$T,0)),"")</f>
        <v/>
      </c>
      <c r="D355" s="5">
        <f>IFERROR(INDEX('Data Source'!$Q:$Q,MATCH(353,'Data Source'!$T:$T,0)),"")</f>
        <v/>
      </c>
      <c r="E355" s="5">
        <f>IFERROR(INDEX('Data Source'!$R:$R,MATCH(353,'Data Source'!$T:$T,0)),"")</f>
        <v/>
      </c>
      <c r="F355" s="3">
        <f>IFERROR(INDEX('Data Source'!$S:$S,MATCH(353,'Data Source'!$T:$T,0)),"")</f>
        <v/>
      </c>
    </row>
    <row r="356">
      <c r="A356" s="3">
        <f>IFERROR(IF(COUNTIF('Data Source'!$T:$T,354)&gt;0,354,""),"")</f>
        <v/>
      </c>
      <c r="B356">
        <f>IFERROR(INDEX('Data Source'!$B:$B,MATCH(354,'Data Source'!$T:$T,0)),"")</f>
        <v/>
      </c>
      <c r="C356" s="3">
        <f>IFERROR(INDEX('Data Source'!$P:$P,MATCH(354,'Data Source'!$T:$T,0)),"")</f>
        <v/>
      </c>
      <c r="D356" s="5">
        <f>IFERROR(INDEX('Data Source'!$Q:$Q,MATCH(354,'Data Source'!$T:$T,0)),"")</f>
        <v/>
      </c>
      <c r="E356" s="5">
        <f>IFERROR(INDEX('Data Source'!$R:$R,MATCH(354,'Data Source'!$T:$T,0)),"")</f>
        <v/>
      </c>
      <c r="F356" s="3">
        <f>IFERROR(INDEX('Data Source'!$S:$S,MATCH(354,'Data Source'!$T:$T,0)),"")</f>
        <v/>
      </c>
    </row>
    <row r="357">
      <c r="A357" s="3">
        <f>IFERROR(IF(COUNTIF('Data Source'!$T:$T,355)&gt;0,355,""),"")</f>
        <v/>
      </c>
      <c r="B357">
        <f>IFERROR(INDEX('Data Source'!$B:$B,MATCH(355,'Data Source'!$T:$T,0)),"")</f>
        <v/>
      </c>
      <c r="C357" s="3">
        <f>IFERROR(INDEX('Data Source'!$P:$P,MATCH(355,'Data Source'!$T:$T,0)),"")</f>
        <v/>
      </c>
      <c r="D357" s="5">
        <f>IFERROR(INDEX('Data Source'!$Q:$Q,MATCH(355,'Data Source'!$T:$T,0)),"")</f>
        <v/>
      </c>
      <c r="E357" s="5">
        <f>IFERROR(INDEX('Data Source'!$R:$R,MATCH(355,'Data Source'!$T:$T,0)),"")</f>
        <v/>
      </c>
      <c r="F357" s="3">
        <f>IFERROR(INDEX('Data Source'!$S:$S,MATCH(355,'Data Source'!$T:$T,0)),"")</f>
        <v/>
      </c>
    </row>
    <row r="358">
      <c r="A358" s="3">
        <f>IFERROR(IF(COUNTIF('Data Source'!$T:$T,356)&gt;0,356,""),"")</f>
        <v/>
      </c>
      <c r="B358">
        <f>IFERROR(INDEX('Data Source'!$B:$B,MATCH(356,'Data Source'!$T:$T,0)),"")</f>
        <v/>
      </c>
      <c r="C358" s="3">
        <f>IFERROR(INDEX('Data Source'!$P:$P,MATCH(356,'Data Source'!$T:$T,0)),"")</f>
        <v/>
      </c>
      <c r="D358" s="5">
        <f>IFERROR(INDEX('Data Source'!$Q:$Q,MATCH(356,'Data Source'!$T:$T,0)),"")</f>
        <v/>
      </c>
      <c r="E358" s="5">
        <f>IFERROR(INDEX('Data Source'!$R:$R,MATCH(356,'Data Source'!$T:$T,0)),"")</f>
        <v/>
      </c>
      <c r="F358" s="3">
        <f>IFERROR(INDEX('Data Source'!$S:$S,MATCH(356,'Data Source'!$T:$T,0)),"")</f>
        <v/>
      </c>
    </row>
    <row r="359">
      <c r="A359" s="3">
        <f>IFERROR(IF(COUNTIF('Data Source'!$T:$T,357)&gt;0,357,""),"")</f>
        <v/>
      </c>
      <c r="B359">
        <f>IFERROR(INDEX('Data Source'!$B:$B,MATCH(357,'Data Source'!$T:$T,0)),"")</f>
        <v/>
      </c>
      <c r="C359" s="3">
        <f>IFERROR(INDEX('Data Source'!$P:$P,MATCH(357,'Data Source'!$T:$T,0)),"")</f>
        <v/>
      </c>
      <c r="D359" s="5">
        <f>IFERROR(INDEX('Data Source'!$Q:$Q,MATCH(357,'Data Source'!$T:$T,0)),"")</f>
        <v/>
      </c>
      <c r="E359" s="5">
        <f>IFERROR(INDEX('Data Source'!$R:$R,MATCH(357,'Data Source'!$T:$T,0)),"")</f>
        <v/>
      </c>
      <c r="F359" s="3">
        <f>IFERROR(INDEX('Data Source'!$S:$S,MATCH(357,'Data Source'!$T:$T,0)),"")</f>
        <v/>
      </c>
    </row>
    <row r="360">
      <c r="A360" s="3">
        <f>IFERROR(IF(COUNTIF('Data Source'!$T:$T,358)&gt;0,358,""),"")</f>
        <v/>
      </c>
      <c r="B360">
        <f>IFERROR(INDEX('Data Source'!$B:$B,MATCH(358,'Data Source'!$T:$T,0)),"")</f>
        <v/>
      </c>
      <c r="C360" s="3">
        <f>IFERROR(INDEX('Data Source'!$P:$P,MATCH(358,'Data Source'!$T:$T,0)),"")</f>
        <v/>
      </c>
      <c r="D360" s="5">
        <f>IFERROR(INDEX('Data Source'!$Q:$Q,MATCH(358,'Data Source'!$T:$T,0)),"")</f>
        <v/>
      </c>
      <c r="E360" s="5">
        <f>IFERROR(INDEX('Data Source'!$R:$R,MATCH(358,'Data Source'!$T:$T,0)),"")</f>
        <v/>
      </c>
      <c r="F360" s="3">
        <f>IFERROR(INDEX('Data Source'!$S:$S,MATCH(358,'Data Source'!$T:$T,0)),"")</f>
        <v/>
      </c>
    </row>
    <row r="361">
      <c r="A361" s="3">
        <f>IFERROR(IF(COUNTIF('Data Source'!$T:$T,359)&gt;0,359,""),"")</f>
        <v/>
      </c>
      <c r="B361">
        <f>IFERROR(INDEX('Data Source'!$B:$B,MATCH(359,'Data Source'!$T:$T,0)),"")</f>
        <v/>
      </c>
      <c r="C361" s="3">
        <f>IFERROR(INDEX('Data Source'!$P:$P,MATCH(359,'Data Source'!$T:$T,0)),"")</f>
        <v/>
      </c>
      <c r="D361" s="5">
        <f>IFERROR(INDEX('Data Source'!$Q:$Q,MATCH(359,'Data Source'!$T:$T,0)),"")</f>
        <v/>
      </c>
      <c r="E361" s="5">
        <f>IFERROR(INDEX('Data Source'!$R:$R,MATCH(359,'Data Source'!$T:$T,0)),"")</f>
        <v/>
      </c>
      <c r="F361" s="3">
        <f>IFERROR(INDEX('Data Source'!$S:$S,MATCH(359,'Data Source'!$T:$T,0)),"")</f>
        <v/>
      </c>
    </row>
    <row r="362">
      <c r="A362" s="3">
        <f>IFERROR(IF(COUNTIF('Data Source'!$T:$T,360)&gt;0,360,""),"")</f>
        <v/>
      </c>
      <c r="B362">
        <f>IFERROR(INDEX('Data Source'!$B:$B,MATCH(360,'Data Source'!$T:$T,0)),"")</f>
        <v/>
      </c>
      <c r="C362" s="3">
        <f>IFERROR(INDEX('Data Source'!$P:$P,MATCH(360,'Data Source'!$T:$T,0)),"")</f>
        <v/>
      </c>
      <c r="D362" s="5">
        <f>IFERROR(INDEX('Data Source'!$Q:$Q,MATCH(360,'Data Source'!$T:$T,0)),"")</f>
        <v/>
      </c>
      <c r="E362" s="5">
        <f>IFERROR(INDEX('Data Source'!$R:$R,MATCH(360,'Data Source'!$T:$T,0)),"")</f>
        <v/>
      </c>
      <c r="F362" s="3">
        <f>IFERROR(INDEX('Data Source'!$S:$S,MATCH(360,'Data Source'!$T:$T,0)),"")</f>
        <v/>
      </c>
    </row>
    <row r="363">
      <c r="A363" s="3">
        <f>IFERROR(IF(COUNTIF('Data Source'!$T:$T,361)&gt;0,361,""),"")</f>
        <v/>
      </c>
      <c r="B363">
        <f>IFERROR(INDEX('Data Source'!$B:$B,MATCH(361,'Data Source'!$T:$T,0)),"")</f>
        <v/>
      </c>
      <c r="C363" s="3">
        <f>IFERROR(INDEX('Data Source'!$P:$P,MATCH(361,'Data Source'!$T:$T,0)),"")</f>
        <v/>
      </c>
      <c r="D363" s="5">
        <f>IFERROR(INDEX('Data Source'!$Q:$Q,MATCH(361,'Data Source'!$T:$T,0)),"")</f>
        <v/>
      </c>
      <c r="E363" s="5">
        <f>IFERROR(INDEX('Data Source'!$R:$R,MATCH(361,'Data Source'!$T:$T,0)),"")</f>
        <v/>
      </c>
      <c r="F363" s="3">
        <f>IFERROR(INDEX('Data Source'!$S:$S,MATCH(361,'Data Source'!$T:$T,0)),"")</f>
        <v/>
      </c>
    </row>
    <row r="364">
      <c r="A364" s="3">
        <f>IFERROR(IF(COUNTIF('Data Source'!$T:$T,362)&gt;0,362,""),"")</f>
        <v/>
      </c>
      <c r="B364">
        <f>IFERROR(INDEX('Data Source'!$B:$B,MATCH(362,'Data Source'!$T:$T,0)),"")</f>
        <v/>
      </c>
      <c r="C364" s="3">
        <f>IFERROR(INDEX('Data Source'!$P:$P,MATCH(362,'Data Source'!$T:$T,0)),"")</f>
        <v/>
      </c>
      <c r="D364" s="5">
        <f>IFERROR(INDEX('Data Source'!$Q:$Q,MATCH(362,'Data Source'!$T:$T,0)),"")</f>
        <v/>
      </c>
      <c r="E364" s="5">
        <f>IFERROR(INDEX('Data Source'!$R:$R,MATCH(362,'Data Source'!$T:$T,0)),"")</f>
        <v/>
      </c>
      <c r="F364" s="3">
        <f>IFERROR(INDEX('Data Source'!$S:$S,MATCH(362,'Data Source'!$T:$T,0)),"")</f>
        <v/>
      </c>
    </row>
    <row r="365">
      <c r="A365" s="3">
        <f>IFERROR(IF(COUNTIF('Data Source'!$T:$T,363)&gt;0,363,""),"")</f>
        <v/>
      </c>
      <c r="B365">
        <f>IFERROR(INDEX('Data Source'!$B:$B,MATCH(363,'Data Source'!$T:$T,0)),"")</f>
        <v/>
      </c>
      <c r="C365" s="3">
        <f>IFERROR(INDEX('Data Source'!$P:$P,MATCH(363,'Data Source'!$T:$T,0)),"")</f>
        <v/>
      </c>
      <c r="D365" s="5">
        <f>IFERROR(INDEX('Data Source'!$Q:$Q,MATCH(363,'Data Source'!$T:$T,0)),"")</f>
        <v/>
      </c>
      <c r="E365" s="5">
        <f>IFERROR(INDEX('Data Source'!$R:$R,MATCH(363,'Data Source'!$T:$T,0)),"")</f>
        <v/>
      </c>
      <c r="F365" s="3">
        <f>IFERROR(INDEX('Data Source'!$S:$S,MATCH(363,'Data Source'!$T:$T,0)),"")</f>
        <v/>
      </c>
    </row>
    <row r="366">
      <c r="A366" s="3">
        <f>IFERROR(IF(COUNTIF('Data Source'!$T:$T,364)&gt;0,364,""),"")</f>
        <v/>
      </c>
      <c r="B366">
        <f>IFERROR(INDEX('Data Source'!$B:$B,MATCH(364,'Data Source'!$T:$T,0)),"")</f>
        <v/>
      </c>
      <c r="C366" s="3">
        <f>IFERROR(INDEX('Data Source'!$P:$P,MATCH(364,'Data Source'!$T:$T,0)),"")</f>
        <v/>
      </c>
      <c r="D366" s="5">
        <f>IFERROR(INDEX('Data Source'!$Q:$Q,MATCH(364,'Data Source'!$T:$T,0)),"")</f>
        <v/>
      </c>
      <c r="E366" s="5">
        <f>IFERROR(INDEX('Data Source'!$R:$R,MATCH(364,'Data Source'!$T:$T,0)),"")</f>
        <v/>
      </c>
      <c r="F366" s="3">
        <f>IFERROR(INDEX('Data Source'!$S:$S,MATCH(364,'Data Source'!$T:$T,0)),"")</f>
        <v/>
      </c>
    </row>
    <row r="367">
      <c r="A367" s="3">
        <f>IFERROR(IF(COUNTIF('Data Source'!$T:$T,365)&gt;0,365,""),"")</f>
        <v/>
      </c>
      <c r="B367">
        <f>IFERROR(INDEX('Data Source'!$B:$B,MATCH(365,'Data Source'!$T:$T,0)),"")</f>
        <v/>
      </c>
      <c r="C367" s="3">
        <f>IFERROR(INDEX('Data Source'!$P:$P,MATCH(365,'Data Source'!$T:$T,0)),"")</f>
        <v/>
      </c>
      <c r="D367" s="5">
        <f>IFERROR(INDEX('Data Source'!$Q:$Q,MATCH(365,'Data Source'!$T:$T,0)),"")</f>
        <v/>
      </c>
      <c r="E367" s="5">
        <f>IFERROR(INDEX('Data Source'!$R:$R,MATCH(365,'Data Source'!$T:$T,0)),"")</f>
        <v/>
      </c>
      <c r="F367" s="3">
        <f>IFERROR(INDEX('Data Source'!$S:$S,MATCH(365,'Data Source'!$T:$T,0)),"")</f>
        <v/>
      </c>
    </row>
    <row r="368">
      <c r="A368" s="3">
        <f>IFERROR(IF(COUNTIF('Data Source'!$T:$T,366)&gt;0,366,""),"")</f>
        <v/>
      </c>
      <c r="B368">
        <f>IFERROR(INDEX('Data Source'!$B:$B,MATCH(366,'Data Source'!$T:$T,0)),"")</f>
        <v/>
      </c>
      <c r="C368" s="3">
        <f>IFERROR(INDEX('Data Source'!$P:$P,MATCH(366,'Data Source'!$T:$T,0)),"")</f>
        <v/>
      </c>
      <c r="D368" s="5">
        <f>IFERROR(INDEX('Data Source'!$Q:$Q,MATCH(366,'Data Source'!$T:$T,0)),"")</f>
        <v/>
      </c>
      <c r="E368" s="5">
        <f>IFERROR(INDEX('Data Source'!$R:$R,MATCH(366,'Data Source'!$T:$T,0)),"")</f>
        <v/>
      </c>
      <c r="F368" s="3">
        <f>IFERROR(INDEX('Data Source'!$S:$S,MATCH(366,'Data Source'!$T:$T,0)),"")</f>
        <v/>
      </c>
    </row>
    <row r="369">
      <c r="A369" s="3">
        <f>IFERROR(IF(COUNTIF('Data Source'!$T:$T,367)&gt;0,367,""),"")</f>
        <v/>
      </c>
      <c r="B369">
        <f>IFERROR(INDEX('Data Source'!$B:$B,MATCH(367,'Data Source'!$T:$T,0)),"")</f>
        <v/>
      </c>
      <c r="C369" s="3">
        <f>IFERROR(INDEX('Data Source'!$P:$P,MATCH(367,'Data Source'!$T:$T,0)),"")</f>
        <v/>
      </c>
      <c r="D369" s="5">
        <f>IFERROR(INDEX('Data Source'!$Q:$Q,MATCH(367,'Data Source'!$T:$T,0)),"")</f>
        <v/>
      </c>
      <c r="E369" s="5">
        <f>IFERROR(INDEX('Data Source'!$R:$R,MATCH(367,'Data Source'!$T:$T,0)),"")</f>
        <v/>
      </c>
      <c r="F369" s="3">
        <f>IFERROR(INDEX('Data Source'!$S:$S,MATCH(367,'Data Source'!$T:$T,0)),"")</f>
        <v/>
      </c>
    </row>
    <row r="370">
      <c r="A370" s="3">
        <f>IFERROR(IF(COUNTIF('Data Source'!$T:$T,368)&gt;0,368,""),"")</f>
        <v/>
      </c>
      <c r="B370">
        <f>IFERROR(INDEX('Data Source'!$B:$B,MATCH(368,'Data Source'!$T:$T,0)),"")</f>
        <v/>
      </c>
      <c r="C370" s="3">
        <f>IFERROR(INDEX('Data Source'!$P:$P,MATCH(368,'Data Source'!$T:$T,0)),"")</f>
        <v/>
      </c>
      <c r="D370" s="5">
        <f>IFERROR(INDEX('Data Source'!$Q:$Q,MATCH(368,'Data Source'!$T:$T,0)),"")</f>
        <v/>
      </c>
      <c r="E370" s="5">
        <f>IFERROR(INDEX('Data Source'!$R:$R,MATCH(368,'Data Source'!$T:$T,0)),"")</f>
        <v/>
      </c>
      <c r="F370" s="3">
        <f>IFERROR(INDEX('Data Source'!$S:$S,MATCH(368,'Data Source'!$T:$T,0)),"")</f>
        <v/>
      </c>
    </row>
    <row r="371">
      <c r="A371" s="3">
        <f>IFERROR(IF(COUNTIF('Data Source'!$T:$T,369)&gt;0,369,""),"")</f>
        <v/>
      </c>
      <c r="B371">
        <f>IFERROR(INDEX('Data Source'!$B:$B,MATCH(369,'Data Source'!$T:$T,0)),"")</f>
        <v/>
      </c>
      <c r="C371" s="3">
        <f>IFERROR(INDEX('Data Source'!$P:$P,MATCH(369,'Data Source'!$T:$T,0)),"")</f>
        <v/>
      </c>
      <c r="D371" s="5">
        <f>IFERROR(INDEX('Data Source'!$Q:$Q,MATCH(369,'Data Source'!$T:$T,0)),"")</f>
        <v/>
      </c>
      <c r="E371" s="5">
        <f>IFERROR(INDEX('Data Source'!$R:$R,MATCH(369,'Data Source'!$T:$T,0)),"")</f>
        <v/>
      </c>
      <c r="F371" s="3">
        <f>IFERROR(INDEX('Data Source'!$S:$S,MATCH(369,'Data Source'!$T:$T,0)),"")</f>
        <v/>
      </c>
    </row>
    <row r="372">
      <c r="A372" s="3">
        <f>IFERROR(IF(COUNTIF('Data Source'!$T:$T,370)&gt;0,370,""),"")</f>
        <v/>
      </c>
      <c r="B372">
        <f>IFERROR(INDEX('Data Source'!$B:$B,MATCH(370,'Data Source'!$T:$T,0)),"")</f>
        <v/>
      </c>
      <c r="C372" s="3">
        <f>IFERROR(INDEX('Data Source'!$P:$P,MATCH(370,'Data Source'!$T:$T,0)),"")</f>
        <v/>
      </c>
      <c r="D372" s="5">
        <f>IFERROR(INDEX('Data Source'!$Q:$Q,MATCH(370,'Data Source'!$T:$T,0)),"")</f>
        <v/>
      </c>
      <c r="E372" s="5">
        <f>IFERROR(INDEX('Data Source'!$R:$R,MATCH(370,'Data Source'!$T:$T,0)),"")</f>
        <v/>
      </c>
      <c r="F372" s="3">
        <f>IFERROR(INDEX('Data Source'!$S:$S,MATCH(370,'Data Source'!$T:$T,0)),"")</f>
        <v/>
      </c>
    </row>
    <row r="373">
      <c r="A373" s="3">
        <f>IFERROR(IF(COUNTIF('Data Source'!$T:$T,371)&gt;0,371,""),"")</f>
        <v/>
      </c>
      <c r="B373">
        <f>IFERROR(INDEX('Data Source'!$B:$B,MATCH(371,'Data Source'!$T:$T,0)),"")</f>
        <v/>
      </c>
      <c r="C373" s="3">
        <f>IFERROR(INDEX('Data Source'!$P:$P,MATCH(371,'Data Source'!$T:$T,0)),"")</f>
        <v/>
      </c>
      <c r="D373" s="5">
        <f>IFERROR(INDEX('Data Source'!$Q:$Q,MATCH(371,'Data Source'!$T:$T,0)),"")</f>
        <v/>
      </c>
      <c r="E373" s="5">
        <f>IFERROR(INDEX('Data Source'!$R:$R,MATCH(371,'Data Source'!$T:$T,0)),"")</f>
        <v/>
      </c>
      <c r="F373" s="3">
        <f>IFERROR(INDEX('Data Source'!$S:$S,MATCH(371,'Data Source'!$T:$T,0)),"")</f>
        <v/>
      </c>
    </row>
    <row r="374">
      <c r="A374" s="3">
        <f>IFERROR(IF(COUNTIF('Data Source'!$T:$T,372)&gt;0,372,""),"")</f>
        <v/>
      </c>
      <c r="B374">
        <f>IFERROR(INDEX('Data Source'!$B:$B,MATCH(372,'Data Source'!$T:$T,0)),"")</f>
        <v/>
      </c>
      <c r="C374" s="3">
        <f>IFERROR(INDEX('Data Source'!$P:$P,MATCH(372,'Data Source'!$T:$T,0)),"")</f>
        <v/>
      </c>
      <c r="D374" s="5">
        <f>IFERROR(INDEX('Data Source'!$Q:$Q,MATCH(372,'Data Source'!$T:$T,0)),"")</f>
        <v/>
      </c>
      <c r="E374" s="5">
        <f>IFERROR(INDEX('Data Source'!$R:$R,MATCH(372,'Data Source'!$T:$T,0)),"")</f>
        <v/>
      </c>
      <c r="F374" s="3">
        <f>IFERROR(INDEX('Data Source'!$S:$S,MATCH(372,'Data Source'!$T:$T,0)),"")</f>
        <v/>
      </c>
    </row>
    <row r="375">
      <c r="A375" s="3">
        <f>IFERROR(IF(COUNTIF('Data Source'!$T:$T,373)&gt;0,373,""),"")</f>
        <v/>
      </c>
      <c r="B375">
        <f>IFERROR(INDEX('Data Source'!$B:$B,MATCH(373,'Data Source'!$T:$T,0)),"")</f>
        <v/>
      </c>
      <c r="C375" s="3">
        <f>IFERROR(INDEX('Data Source'!$P:$P,MATCH(373,'Data Source'!$T:$T,0)),"")</f>
        <v/>
      </c>
      <c r="D375" s="5">
        <f>IFERROR(INDEX('Data Source'!$Q:$Q,MATCH(373,'Data Source'!$T:$T,0)),"")</f>
        <v/>
      </c>
      <c r="E375" s="5">
        <f>IFERROR(INDEX('Data Source'!$R:$R,MATCH(373,'Data Source'!$T:$T,0)),"")</f>
        <v/>
      </c>
      <c r="F375" s="3">
        <f>IFERROR(INDEX('Data Source'!$S:$S,MATCH(373,'Data Source'!$T:$T,0)),"")</f>
        <v/>
      </c>
    </row>
    <row r="376">
      <c r="A376" s="3">
        <f>IFERROR(IF(COUNTIF('Data Source'!$T:$T,374)&gt;0,374,""),"")</f>
        <v/>
      </c>
      <c r="B376">
        <f>IFERROR(INDEX('Data Source'!$B:$B,MATCH(374,'Data Source'!$T:$T,0)),"")</f>
        <v/>
      </c>
      <c r="C376" s="3">
        <f>IFERROR(INDEX('Data Source'!$P:$P,MATCH(374,'Data Source'!$T:$T,0)),"")</f>
        <v/>
      </c>
      <c r="D376" s="5">
        <f>IFERROR(INDEX('Data Source'!$Q:$Q,MATCH(374,'Data Source'!$T:$T,0)),"")</f>
        <v/>
      </c>
      <c r="E376" s="5">
        <f>IFERROR(INDEX('Data Source'!$R:$R,MATCH(374,'Data Source'!$T:$T,0)),"")</f>
        <v/>
      </c>
      <c r="F376" s="3">
        <f>IFERROR(INDEX('Data Source'!$S:$S,MATCH(374,'Data Source'!$T:$T,0)),"")</f>
        <v/>
      </c>
    </row>
    <row r="377">
      <c r="A377" s="3">
        <f>IFERROR(IF(COUNTIF('Data Source'!$T:$T,375)&gt;0,375,""),"")</f>
        <v/>
      </c>
      <c r="B377">
        <f>IFERROR(INDEX('Data Source'!$B:$B,MATCH(375,'Data Source'!$T:$T,0)),"")</f>
        <v/>
      </c>
      <c r="C377" s="3">
        <f>IFERROR(INDEX('Data Source'!$P:$P,MATCH(375,'Data Source'!$T:$T,0)),"")</f>
        <v/>
      </c>
      <c r="D377" s="5">
        <f>IFERROR(INDEX('Data Source'!$Q:$Q,MATCH(375,'Data Source'!$T:$T,0)),"")</f>
        <v/>
      </c>
      <c r="E377" s="5">
        <f>IFERROR(INDEX('Data Source'!$R:$R,MATCH(375,'Data Source'!$T:$T,0)),"")</f>
        <v/>
      </c>
      <c r="F377" s="3">
        <f>IFERROR(INDEX('Data Source'!$S:$S,MATCH(375,'Data Source'!$T:$T,0)),"")</f>
        <v/>
      </c>
    </row>
    <row r="378">
      <c r="A378" s="3">
        <f>IFERROR(IF(COUNTIF('Data Source'!$T:$T,376)&gt;0,376,""),"")</f>
        <v/>
      </c>
      <c r="B378">
        <f>IFERROR(INDEX('Data Source'!$B:$B,MATCH(376,'Data Source'!$T:$T,0)),"")</f>
        <v/>
      </c>
      <c r="C378" s="3">
        <f>IFERROR(INDEX('Data Source'!$P:$P,MATCH(376,'Data Source'!$T:$T,0)),"")</f>
        <v/>
      </c>
      <c r="D378" s="5">
        <f>IFERROR(INDEX('Data Source'!$Q:$Q,MATCH(376,'Data Source'!$T:$T,0)),"")</f>
        <v/>
      </c>
      <c r="E378" s="5">
        <f>IFERROR(INDEX('Data Source'!$R:$R,MATCH(376,'Data Source'!$T:$T,0)),"")</f>
        <v/>
      </c>
      <c r="F378" s="3">
        <f>IFERROR(INDEX('Data Source'!$S:$S,MATCH(376,'Data Source'!$T:$T,0)),"")</f>
        <v/>
      </c>
    </row>
    <row r="379">
      <c r="A379" s="3">
        <f>IFERROR(IF(COUNTIF('Data Source'!$T:$T,377)&gt;0,377,""),"")</f>
        <v/>
      </c>
      <c r="B379">
        <f>IFERROR(INDEX('Data Source'!$B:$B,MATCH(377,'Data Source'!$T:$T,0)),"")</f>
        <v/>
      </c>
      <c r="C379" s="3">
        <f>IFERROR(INDEX('Data Source'!$P:$P,MATCH(377,'Data Source'!$T:$T,0)),"")</f>
        <v/>
      </c>
      <c r="D379" s="5">
        <f>IFERROR(INDEX('Data Source'!$Q:$Q,MATCH(377,'Data Source'!$T:$T,0)),"")</f>
        <v/>
      </c>
      <c r="E379" s="5">
        <f>IFERROR(INDEX('Data Source'!$R:$R,MATCH(377,'Data Source'!$T:$T,0)),"")</f>
        <v/>
      </c>
      <c r="F379" s="3">
        <f>IFERROR(INDEX('Data Source'!$S:$S,MATCH(377,'Data Source'!$T:$T,0)),"")</f>
        <v/>
      </c>
    </row>
    <row r="380">
      <c r="A380" s="3">
        <f>IFERROR(IF(COUNTIF('Data Source'!$T:$T,378)&gt;0,378,""),"")</f>
        <v/>
      </c>
      <c r="B380">
        <f>IFERROR(INDEX('Data Source'!$B:$B,MATCH(378,'Data Source'!$T:$T,0)),"")</f>
        <v/>
      </c>
      <c r="C380" s="3">
        <f>IFERROR(INDEX('Data Source'!$P:$P,MATCH(378,'Data Source'!$T:$T,0)),"")</f>
        <v/>
      </c>
      <c r="D380" s="5">
        <f>IFERROR(INDEX('Data Source'!$Q:$Q,MATCH(378,'Data Source'!$T:$T,0)),"")</f>
        <v/>
      </c>
      <c r="E380" s="5">
        <f>IFERROR(INDEX('Data Source'!$R:$R,MATCH(378,'Data Source'!$T:$T,0)),"")</f>
        <v/>
      </c>
      <c r="F380" s="3">
        <f>IFERROR(INDEX('Data Source'!$S:$S,MATCH(378,'Data Source'!$T:$T,0)),"")</f>
        <v/>
      </c>
    </row>
    <row r="381">
      <c r="A381" s="3">
        <f>IFERROR(IF(COUNTIF('Data Source'!$T:$T,379)&gt;0,379,""),"")</f>
        <v/>
      </c>
      <c r="B381">
        <f>IFERROR(INDEX('Data Source'!$B:$B,MATCH(379,'Data Source'!$T:$T,0)),"")</f>
        <v/>
      </c>
      <c r="C381" s="3">
        <f>IFERROR(INDEX('Data Source'!$P:$P,MATCH(379,'Data Source'!$T:$T,0)),"")</f>
        <v/>
      </c>
      <c r="D381" s="5">
        <f>IFERROR(INDEX('Data Source'!$Q:$Q,MATCH(379,'Data Source'!$T:$T,0)),"")</f>
        <v/>
      </c>
      <c r="E381" s="5">
        <f>IFERROR(INDEX('Data Source'!$R:$R,MATCH(379,'Data Source'!$T:$T,0)),"")</f>
        <v/>
      </c>
      <c r="F381" s="3">
        <f>IFERROR(INDEX('Data Source'!$S:$S,MATCH(379,'Data Source'!$T:$T,0)),"")</f>
        <v/>
      </c>
    </row>
    <row r="382">
      <c r="A382" s="3">
        <f>IFERROR(IF(COUNTIF('Data Source'!$T:$T,380)&gt;0,380,""),"")</f>
        <v/>
      </c>
      <c r="B382">
        <f>IFERROR(INDEX('Data Source'!$B:$B,MATCH(380,'Data Source'!$T:$T,0)),"")</f>
        <v/>
      </c>
      <c r="C382" s="3">
        <f>IFERROR(INDEX('Data Source'!$P:$P,MATCH(380,'Data Source'!$T:$T,0)),"")</f>
        <v/>
      </c>
      <c r="D382" s="5">
        <f>IFERROR(INDEX('Data Source'!$Q:$Q,MATCH(380,'Data Source'!$T:$T,0)),"")</f>
        <v/>
      </c>
      <c r="E382" s="5">
        <f>IFERROR(INDEX('Data Source'!$R:$R,MATCH(380,'Data Source'!$T:$T,0)),"")</f>
        <v/>
      </c>
      <c r="F382" s="3">
        <f>IFERROR(INDEX('Data Source'!$S:$S,MATCH(380,'Data Source'!$T:$T,0)),"")</f>
        <v/>
      </c>
    </row>
    <row r="383">
      <c r="A383" s="3">
        <f>IFERROR(IF(COUNTIF('Data Source'!$T:$T,381)&gt;0,381,""),"")</f>
        <v/>
      </c>
      <c r="B383">
        <f>IFERROR(INDEX('Data Source'!$B:$B,MATCH(381,'Data Source'!$T:$T,0)),"")</f>
        <v/>
      </c>
      <c r="C383" s="3">
        <f>IFERROR(INDEX('Data Source'!$P:$P,MATCH(381,'Data Source'!$T:$T,0)),"")</f>
        <v/>
      </c>
      <c r="D383" s="5">
        <f>IFERROR(INDEX('Data Source'!$Q:$Q,MATCH(381,'Data Source'!$T:$T,0)),"")</f>
        <v/>
      </c>
      <c r="E383" s="5">
        <f>IFERROR(INDEX('Data Source'!$R:$R,MATCH(381,'Data Source'!$T:$T,0)),"")</f>
        <v/>
      </c>
      <c r="F383" s="3">
        <f>IFERROR(INDEX('Data Source'!$S:$S,MATCH(381,'Data Source'!$T:$T,0)),"")</f>
        <v/>
      </c>
    </row>
    <row r="384">
      <c r="A384" s="3">
        <f>IFERROR(IF(COUNTIF('Data Source'!$T:$T,382)&gt;0,382,""),"")</f>
        <v/>
      </c>
      <c r="B384">
        <f>IFERROR(INDEX('Data Source'!$B:$B,MATCH(382,'Data Source'!$T:$T,0)),"")</f>
        <v/>
      </c>
      <c r="C384" s="3">
        <f>IFERROR(INDEX('Data Source'!$P:$P,MATCH(382,'Data Source'!$T:$T,0)),"")</f>
        <v/>
      </c>
      <c r="D384" s="5">
        <f>IFERROR(INDEX('Data Source'!$Q:$Q,MATCH(382,'Data Source'!$T:$T,0)),"")</f>
        <v/>
      </c>
      <c r="E384" s="5">
        <f>IFERROR(INDEX('Data Source'!$R:$R,MATCH(382,'Data Source'!$T:$T,0)),"")</f>
        <v/>
      </c>
      <c r="F384" s="3">
        <f>IFERROR(INDEX('Data Source'!$S:$S,MATCH(382,'Data Source'!$T:$T,0)),"")</f>
        <v/>
      </c>
    </row>
    <row r="385">
      <c r="A385" s="3">
        <f>IFERROR(IF(COUNTIF('Data Source'!$T:$T,383)&gt;0,383,""),"")</f>
        <v/>
      </c>
      <c r="B385">
        <f>IFERROR(INDEX('Data Source'!$B:$B,MATCH(383,'Data Source'!$T:$T,0)),"")</f>
        <v/>
      </c>
      <c r="C385" s="3">
        <f>IFERROR(INDEX('Data Source'!$P:$P,MATCH(383,'Data Source'!$T:$T,0)),"")</f>
        <v/>
      </c>
      <c r="D385" s="5">
        <f>IFERROR(INDEX('Data Source'!$Q:$Q,MATCH(383,'Data Source'!$T:$T,0)),"")</f>
        <v/>
      </c>
      <c r="E385" s="5">
        <f>IFERROR(INDEX('Data Source'!$R:$R,MATCH(383,'Data Source'!$T:$T,0)),"")</f>
        <v/>
      </c>
      <c r="F385" s="3">
        <f>IFERROR(INDEX('Data Source'!$S:$S,MATCH(383,'Data Source'!$T:$T,0)),"")</f>
        <v/>
      </c>
    </row>
    <row r="386">
      <c r="A386" s="3">
        <f>IFERROR(IF(COUNTIF('Data Source'!$T:$T,384)&gt;0,384,""),"")</f>
        <v/>
      </c>
      <c r="B386">
        <f>IFERROR(INDEX('Data Source'!$B:$B,MATCH(384,'Data Source'!$T:$T,0)),"")</f>
        <v/>
      </c>
      <c r="C386" s="3">
        <f>IFERROR(INDEX('Data Source'!$P:$P,MATCH(384,'Data Source'!$T:$T,0)),"")</f>
        <v/>
      </c>
      <c r="D386" s="5">
        <f>IFERROR(INDEX('Data Source'!$Q:$Q,MATCH(384,'Data Source'!$T:$T,0)),"")</f>
        <v/>
      </c>
      <c r="E386" s="5">
        <f>IFERROR(INDEX('Data Source'!$R:$R,MATCH(384,'Data Source'!$T:$T,0)),"")</f>
        <v/>
      </c>
      <c r="F386" s="3">
        <f>IFERROR(INDEX('Data Source'!$S:$S,MATCH(384,'Data Source'!$T:$T,0)),"")</f>
        <v/>
      </c>
    </row>
    <row r="387">
      <c r="A387" s="3">
        <f>IFERROR(IF(COUNTIF('Data Source'!$T:$T,385)&gt;0,385,""),"")</f>
        <v/>
      </c>
      <c r="B387">
        <f>IFERROR(INDEX('Data Source'!$B:$B,MATCH(385,'Data Source'!$T:$T,0)),"")</f>
        <v/>
      </c>
      <c r="C387" s="3">
        <f>IFERROR(INDEX('Data Source'!$P:$P,MATCH(385,'Data Source'!$T:$T,0)),"")</f>
        <v/>
      </c>
      <c r="D387" s="5">
        <f>IFERROR(INDEX('Data Source'!$Q:$Q,MATCH(385,'Data Source'!$T:$T,0)),"")</f>
        <v/>
      </c>
      <c r="E387" s="5">
        <f>IFERROR(INDEX('Data Source'!$R:$R,MATCH(385,'Data Source'!$T:$T,0)),"")</f>
        <v/>
      </c>
      <c r="F387" s="3">
        <f>IFERROR(INDEX('Data Source'!$S:$S,MATCH(385,'Data Source'!$T:$T,0)),"")</f>
        <v/>
      </c>
    </row>
    <row r="388">
      <c r="A388" s="3">
        <f>IFERROR(IF(COUNTIF('Data Source'!$T:$T,386)&gt;0,386,""),"")</f>
        <v/>
      </c>
      <c r="B388">
        <f>IFERROR(INDEX('Data Source'!$B:$B,MATCH(386,'Data Source'!$T:$T,0)),"")</f>
        <v/>
      </c>
      <c r="C388" s="3">
        <f>IFERROR(INDEX('Data Source'!$P:$P,MATCH(386,'Data Source'!$T:$T,0)),"")</f>
        <v/>
      </c>
      <c r="D388" s="5">
        <f>IFERROR(INDEX('Data Source'!$Q:$Q,MATCH(386,'Data Source'!$T:$T,0)),"")</f>
        <v/>
      </c>
      <c r="E388" s="5">
        <f>IFERROR(INDEX('Data Source'!$R:$R,MATCH(386,'Data Source'!$T:$T,0)),"")</f>
        <v/>
      </c>
      <c r="F388" s="3">
        <f>IFERROR(INDEX('Data Source'!$S:$S,MATCH(386,'Data Source'!$T:$T,0)),"")</f>
        <v/>
      </c>
    </row>
    <row r="389">
      <c r="A389" s="3">
        <f>IFERROR(IF(COUNTIF('Data Source'!$T:$T,387)&gt;0,387,""),"")</f>
        <v/>
      </c>
      <c r="B389">
        <f>IFERROR(INDEX('Data Source'!$B:$B,MATCH(387,'Data Source'!$T:$T,0)),"")</f>
        <v/>
      </c>
      <c r="C389" s="3">
        <f>IFERROR(INDEX('Data Source'!$P:$P,MATCH(387,'Data Source'!$T:$T,0)),"")</f>
        <v/>
      </c>
      <c r="D389" s="5">
        <f>IFERROR(INDEX('Data Source'!$Q:$Q,MATCH(387,'Data Source'!$T:$T,0)),"")</f>
        <v/>
      </c>
      <c r="E389" s="5">
        <f>IFERROR(INDEX('Data Source'!$R:$R,MATCH(387,'Data Source'!$T:$T,0)),"")</f>
        <v/>
      </c>
      <c r="F389" s="3">
        <f>IFERROR(INDEX('Data Source'!$S:$S,MATCH(387,'Data Source'!$T:$T,0)),"")</f>
        <v/>
      </c>
    </row>
    <row r="390">
      <c r="A390" s="3">
        <f>IFERROR(IF(COUNTIF('Data Source'!$T:$T,388)&gt;0,388,""),"")</f>
        <v/>
      </c>
      <c r="B390">
        <f>IFERROR(INDEX('Data Source'!$B:$B,MATCH(388,'Data Source'!$T:$T,0)),"")</f>
        <v/>
      </c>
      <c r="C390" s="3">
        <f>IFERROR(INDEX('Data Source'!$P:$P,MATCH(388,'Data Source'!$T:$T,0)),"")</f>
        <v/>
      </c>
      <c r="D390" s="5">
        <f>IFERROR(INDEX('Data Source'!$Q:$Q,MATCH(388,'Data Source'!$T:$T,0)),"")</f>
        <v/>
      </c>
      <c r="E390" s="5">
        <f>IFERROR(INDEX('Data Source'!$R:$R,MATCH(388,'Data Source'!$T:$T,0)),"")</f>
        <v/>
      </c>
      <c r="F390" s="3">
        <f>IFERROR(INDEX('Data Source'!$S:$S,MATCH(388,'Data Source'!$T:$T,0)),"")</f>
        <v/>
      </c>
    </row>
    <row r="391">
      <c r="A391" s="3">
        <f>IFERROR(IF(COUNTIF('Data Source'!$T:$T,389)&gt;0,389,""),"")</f>
        <v/>
      </c>
      <c r="B391">
        <f>IFERROR(INDEX('Data Source'!$B:$B,MATCH(389,'Data Source'!$T:$T,0)),"")</f>
        <v/>
      </c>
      <c r="C391" s="3">
        <f>IFERROR(INDEX('Data Source'!$P:$P,MATCH(389,'Data Source'!$T:$T,0)),"")</f>
        <v/>
      </c>
      <c r="D391" s="5">
        <f>IFERROR(INDEX('Data Source'!$Q:$Q,MATCH(389,'Data Source'!$T:$T,0)),"")</f>
        <v/>
      </c>
      <c r="E391" s="5">
        <f>IFERROR(INDEX('Data Source'!$R:$R,MATCH(389,'Data Source'!$T:$T,0)),"")</f>
        <v/>
      </c>
      <c r="F391" s="3">
        <f>IFERROR(INDEX('Data Source'!$S:$S,MATCH(389,'Data Source'!$T:$T,0)),"")</f>
        <v/>
      </c>
    </row>
    <row r="392">
      <c r="A392" s="3">
        <f>IFERROR(IF(COUNTIF('Data Source'!$T:$T,390)&gt;0,390,""),"")</f>
        <v/>
      </c>
      <c r="B392">
        <f>IFERROR(INDEX('Data Source'!$B:$B,MATCH(390,'Data Source'!$T:$T,0)),"")</f>
        <v/>
      </c>
      <c r="C392" s="3">
        <f>IFERROR(INDEX('Data Source'!$P:$P,MATCH(390,'Data Source'!$T:$T,0)),"")</f>
        <v/>
      </c>
      <c r="D392" s="5">
        <f>IFERROR(INDEX('Data Source'!$Q:$Q,MATCH(390,'Data Source'!$T:$T,0)),"")</f>
        <v/>
      </c>
      <c r="E392" s="5">
        <f>IFERROR(INDEX('Data Source'!$R:$R,MATCH(390,'Data Source'!$T:$T,0)),"")</f>
        <v/>
      </c>
      <c r="F392" s="3">
        <f>IFERROR(INDEX('Data Source'!$S:$S,MATCH(390,'Data Source'!$T:$T,0)),"")</f>
        <v/>
      </c>
    </row>
    <row r="393">
      <c r="A393" s="3">
        <f>IFERROR(IF(COUNTIF('Data Source'!$T:$T,391)&gt;0,391,""),"")</f>
        <v/>
      </c>
      <c r="B393">
        <f>IFERROR(INDEX('Data Source'!$B:$B,MATCH(391,'Data Source'!$T:$T,0)),"")</f>
        <v/>
      </c>
      <c r="C393" s="3">
        <f>IFERROR(INDEX('Data Source'!$P:$P,MATCH(391,'Data Source'!$T:$T,0)),"")</f>
        <v/>
      </c>
      <c r="D393" s="5">
        <f>IFERROR(INDEX('Data Source'!$Q:$Q,MATCH(391,'Data Source'!$T:$T,0)),"")</f>
        <v/>
      </c>
      <c r="E393" s="5">
        <f>IFERROR(INDEX('Data Source'!$R:$R,MATCH(391,'Data Source'!$T:$T,0)),"")</f>
        <v/>
      </c>
      <c r="F393" s="3">
        <f>IFERROR(INDEX('Data Source'!$S:$S,MATCH(391,'Data Source'!$T:$T,0)),"")</f>
        <v/>
      </c>
    </row>
    <row r="394">
      <c r="A394" s="3">
        <f>IFERROR(IF(COUNTIF('Data Source'!$T:$T,392)&gt;0,392,""),"")</f>
        <v/>
      </c>
      <c r="B394">
        <f>IFERROR(INDEX('Data Source'!$B:$B,MATCH(392,'Data Source'!$T:$T,0)),"")</f>
        <v/>
      </c>
      <c r="C394" s="3">
        <f>IFERROR(INDEX('Data Source'!$P:$P,MATCH(392,'Data Source'!$T:$T,0)),"")</f>
        <v/>
      </c>
      <c r="D394" s="5">
        <f>IFERROR(INDEX('Data Source'!$Q:$Q,MATCH(392,'Data Source'!$T:$T,0)),"")</f>
        <v/>
      </c>
      <c r="E394" s="5">
        <f>IFERROR(INDEX('Data Source'!$R:$R,MATCH(392,'Data Source'!$T:$T,0)),"")</f>
        <v/>
      </c>
      <c r="F394" s="3">
        <f>IFERROR(INDEX('Data Source'!$S:$S,MATCH(392,'Data Source'!$T:$T,0)),"")</f>
        <v/>
      </c>
    </row>
    <row r="395">
      <c r="A395" s="3">
        <f>IFERROR(IF(COUNTIF('Data Source'!$T:$T,393)&gt;0,393,""),"")</f>
        <v/>
      </c>
      <c r="B395">
        <f>IFERROR(INDEX('Data Source'!$B:$B,MATCH(393,'Data Source'!$T:$T,0)),"")</f>
        <v/>
      </c>
      <c r="C395" s="3">
        <f>IFERROR(INDEX('Data Source'!$P:$P,MATCH(393,'Data Source'!$T:$T,0)),"")</f>
        <v/>
      </c>
      <c r="D395" s="5">
        <f>IFERROR(INDEX('Data Source'!$Q:$Q,MATCH(393,'Data Source'!$T:$T,0)),"")</f>
        <v/>
      </c>
      <c r="E395" s="5">
        <f>IFERROR(INDEX('Data Source'!$R:$R,MATCH(393,'Data Source'!$T:$T,0)),"")</f>
        <v/>
      </c>
      <c r="F395" s="3">
        <f>IFERROR(INDEX('Data Source'!$S:$S,MATCH(393,'Data Source'!$T:$T,0)),"")</f>
        <v/>
      </c>
    </row>
    <row r="396">
      <c r="A396" s="3">
        <f>IFERROR(IF(COUNTIF('Data Source'!$T:$T,394)&gt;0,394,""),"")</f>
        <v/>
      </c>
      <c r="B396">
        <f>IFERROR(INDEX('Data Source'!$B:$B,MATCH(394,'Data Source'!$T:$T,0)),"")</f>
        <v/>
      </c>
      <c r="C396" s="3">
        <f>IFERROR(INDEX('Data Source'!$P:$P,MATCH(394,'Data Source'!$T:$T,0)),"")</f>
        <v/>
      </c>
      <c r="D396" s="5">
        <f>IFERROR(INDEX('Data Source'!$Q:$Q,MATCH(394,'Data Source'!$T:$T,0)),"")</f>
        <v/>
      </c>
      <c r="E396" s="5">
        <f>IFERROR(INDEX('Data Source'!$R:$R,MATCH(394,'Data Source'!$T:$T,0)),"")</f>
        <v/>
      </c>
      <c r="F396" s="3">
        <f>IFERROR(INDEX('Data Source'!$S:$S,MATCH(394,'Data Source'!$T:$T,0)),"")</f>
        <v/>
      </c>
    </row>
    <row r="397">
      <c r="A397" s="3">
        <f>IFERROR(IF(COUNTIF('Data Source'!$T:$T,395)&gt;0,395,""),"")</f>
        <v/>
      </c>
      <c r="B397">
        <f>IFERROR(INDEX('Data Source'!$B:$B,MATCH(395,'Data Source'!$T:$T,0)),"")</f>
        <v/>
      </c>
      <c r="C397" s="3">
        <f>IFERROR(INDEX('Data Source'!$P:$P,MATCH(395,'Data Source'!$T:$T,0)),"")</f>
        <v/>
      </c>
      <c r="D397" s="5">
        <f>IFERROR(INDEX('Data Source'!$Q:$Q,MATCH(395,'Data Source'!$T:$T,0)),"")</f>
        <v/>
      </c>
      <c r="E397" s="5">
        <f>IFERROR(INDEX('Data Source'!$R:$R,MATCH(395,'Data Source'!$T:$T,0)),"")</f>
        <v/>
      </c>
      <c r="F397" s="3">
        <f>IFERROR(INDEX('Data Source'!$S:$S,MATCH(395,'Data Source'!$T:$T,0)),"")</f>
        <v/>
      </c>
    </row>
    <row r="398">
      <c r="A398" s="3">
        <f>IFERROR(IF(COUNTIF('Data Source'!$T:$T,396)&gt;0,396,""),"")</f>
        <v/>
      </c>
      <c r="B398">
        <f>IFERROR(INDEX('Data Source'!$B:$B,MATCH(396,'Data Source'!$T:$T,0)),"")</f>
        <v/>
      </c>
      <c r="C398" s="3">
        <f>IFERROR(INDEX('Data Source'!$P:$P,MATCH(396,'Data Source'!$T:$T,0)),"")</f>
        <v/>
      </c>
      <c r="D398" s="5">
        <f>IFERROR(INDEX('Data Source'!$Q:$Q,MATCH(396,'Data Source'!$T:$T,0)),"")</f>
        <v/>
      </c>
      <c r="E398" s="5">
        <f>IFERROR(INDEX('Data Source'!$R:$R,MATCH(396,'Data Source'!$T:$T,0)),"")</f>
        <v/>
      </c>
      <c r="F398" s="3">
        <f>IFERROR(INDEX('Data Source'!$S:$S,MATCH(396,'Data Source'!$T:$T,0)),"")</f>
        <v/>
      </c>
    </row>
    <row r="399">
      <c r="A399" s="3">
        <f>IFERROR(IF(COUNTIF('Data Source'!$T:$T,397)&gt;0,397,""),"")</f>
        <v/>
      </c>
      <c r="B399">
        <f>IFERROR(INDEX('Data Source'!$B:$B,MATCH(397,'Data Source'!$T:$T,0)),"")</f>
        <v/>
      </c>
      <c r="C399" s="3">
        <f>IFERROR(INDEX('Data Source'!$P:$P,MATCH(397,'Data Source'!$T:$T,0)),"")</f>
        <v/>
      </c>
      <c r="D399" s="5">
        <f>IFERROR(INDEX('Data Source'!$Q:$Q,MATCH(397,'Data Source'!$T:$T,0)),"")</f>
        <v/>
      </c>
      <c r="E399" s="5">
        <f>IFERROR(INDEX('Data Source'!$R:$R,MATCH(397,'Data Source'!$T:$T,0)),"")</f>
        <v/>
      </c>
      <c r="F399" s="3">
        <f>IFERROR(INDEX('Data Source'!$S:$S,MATCH(397,'Data Source'!$T:$T,0)),"")</f>
        <v/>
      </c>
    </row>
    <row r="400">
      <c r="A400" s="3">
        <f>IFERROR(IF(COUNTIF('Data Source'!$T:$T,398)&gt;0,398,""),"")</f>
        <v/>
      </c>
      <c r="B400">
        <f>IFERROR(INDEX('Data Source'!$B:$B,MATCH(398,'Data Source'!$T:$T,0)),"")</f>
        <v/>
      </c>
      <c r="C400" s="3">
        <f>IFERROR(INDEX('Data Source'!$P:$P,MATCH(398,'Data Source'!$T:$T,0)),"")</f>
        <v/>
      </c>
      <c r="D400" s="5">
        <f>IFERROR(INDEX('Data Source'!$Q:$Q,MATCH(398,'Data Source'!$T:$T,0)),"")</f>
        <v/>
      </c>
      <c r="E400" s="5">
        <f>IFERROR(INDEX('Data Source'!$R:$R,MATCH(398,'Data Source'!$T:$T,0)),"")</f>
        <v/>
      </c>
      <c r="F400" s="3">
        <f>IFERROR(INDEX('Data Source'!$S:$S,MATCH(398,'Data Source'!$T:$T,0)),"")</f>
        <v/>
      </c>
    </row>
    <row r="401">
      <c r="A401" s="3">
        <f>IFERROR(IF(COUNTIF('Data Source'!$T:$T,399)&gt;0,399,""),"")</f>
        <v/>
      </c>
      <c r="B401">
        <f>IFERROR(INDEX('Data Source'!$B:$B,MATCH(399,'Data Source'!$T:$T,0)),"")</f>
        <v/>
      </c>
      <c r="C401" s="3">
        <f>IFERROR(INDEX('Data Source'!$P:$P,MATCH(399,'Data Source'!$T:$T,0)),"")</f>
        <v/>
      </c>
      <c r="D401" s="5">
        <f>IFERROR(INDEX('Data Source'!$Q:$Q,MATCH(399,'Data Source'!$T:$T,0)),"")</f>
        <v/>
      </c>
      <c r="E401" s="5">
        <f>IFERROR(INDEX('Data Source'!$R:$R,MATCH(399,'Data Source'!$T:$T,0)),"")</f>
        <v/>
      </c>
      <c r="F401" s="3">
        <f>IFERROR(INDEX('Data Source'!$S:$S,MATCH(399,'Data Source'!$T:$T,0)),"")</f>
        <v/>
      </c>
    </row>
    <row r="402">
      <c r="A402" s="3">
        <f>IFERROR(IF(COUNTIF('Data Source'!$T:$T,400)&gt;0,400,""),"")</f>
        <v/>
      </c>
      <c r="B402">
        <f>IFERROR(INDEX('Data Source'!$B:$B,MATCH(400,'Data Source'!$T:$T,0)),"")</f>
        <v/>
      </c>
      <c r="C402" s="3">
        <f>IFERROR(INDEX('Data Source'!$P:$P,MATCH(400,'Data Source'!$T:$T,0)),"")</f>
        <v/>
      </c>
      <c r="D402" s="5">
        <f>IFERROR(INDEX('Data Source'!$Q:$Q,MATCH(400,'Data Source'!$T:$T,0)),"")</f>
        <v/>
      </c>
      <c r="E402" s="5">
        <f>IFERROR(INDEX('Data Source'!$R:$R,MATCH(400,'Data Source'!$T:$T,0)),"")</f>
        <v/>
      </c>
      <c r="F402" s="3">
        <f>IFERROR(INDEX('Data Source'!$S:$S,MATCH(400,'Data Source'!$T:$T,0)),"")</f>
        <v/>
      </c>
    </row>
    <row r="403">
      <c r="A403" s="3">
        <f>IFERROR(IF(COUNTIF('Data Source'!$T:$T,401)&gt;0,401,""),"")</f>
        <v/>
      </c>
      <c r="B403">
        <f>IFERROR(INDEX('Data Source'!$B:$B,MATCH(401,'Data Source'!$T:$T,0)),"")</f>
        <v/>
      </c>
      <c r="C403" s="3">
        <f>IFERROR(INDEX('Data Source'!$P:$P,MATCH(401,'Data Source'!$T:$T,0)),"")</f>
        <v/>
      </c>
      <c r="D403" s="5">
        <f>IFERROR(INDEX('Data Source'!$Q:$Q,MATCH(401,'Data Source'!$T:$T,0)),"")</f>
        <v/>
      </c>
      <c r="E403" s="5">
        <f>IFERROR(INDEX('Data Source'!$R:$R,MATCH(401,'Data Source'!$T:$T,0)),"")</f>
        <v/>
      </c>
      <c r="F403" s="3">
        <f>IFERROR(INDEX('Data Source'!$S:$S,MATCH(401,'Data Source'!$T:$T,0)),"")</f>
        <v/>
      </c>
    </row>
    <row r="404">
      <c r="A404" s="3">
        <f>IFERROR(IF(COUNTIF('Data Source'!$T:$T,402)&gt;0,402,""),"")</f>
        <v/>
      </c>
      <c r="B404">
        <f>IFERROR(INDEX('Data Source'!$B:$B,MATCH(402,'Data Source'!$T:$T,0)),"")</f>
        <v/>
      </c>
      <c r="C404" s="3">
        <f>IFERROR(INDEX('Data Source'!$P:$P,MATCH(402,'Data Source'!$T:$T,0)),"")</f>
        <v/>
      </c>
      <c r="D404" s="5">
        <f>IFERROR(INDEX('Data Source'!$Q:$Q,MATCH(402,'Data Source'!$T:$T,0)),"")</f>
        <v/>
      </c>
      <c r="E404" s="5">
        <f>IFERROR(INDEX('Data Source'!$R:$R,MATCH(402,'Data Source'!$T:$T,0)),"")</f>
        <v/>
      </c>
      <c r="F404" s="3">
        <f>IFERROR(INDEX('Data Source'!$S:$S,MATCH(402,'Data Source'!$T:$T,0)),"")</f>
        <v/>
      </c>
    </row>
    <row r="405">
      <c r="A405" s="3">
        <f>IFERROR(IF(COUNTIF('Data Source'!$T:$T,403)&gt;0,403,""),"")</f>
        <v/>
      </c>
      <c r="B405">
        <f>IFERROR(INDEX('Data Source'!$B:$B,MATCH(403,'Data Source'!$T:$T,0)),"")</f>
        <v/>
      </c>
      <c r="C405" s="3">
        <f>IFERROR(INDEX('Data Source'!$P:$P,MATCH(403,'Data Source'!$T:$T,0)),"")</f>
        <v/>
      </c>
      <c r="D405" s="5">
        <f>IFERROR(INDEX('Data Source'!$Q:$Q,MATCH(403,'Data Source'!$T:$T,0)),"")</f>
        <v/>
      </c>
      <c r="E405" s="5">
        <f>IFERROR(INDEX('Data Source'!$R:$R,MATCH(403,'Data Source'!$T:$T,0)),"")</f>
        <v/>
      </c>
      <c r="F405" s="3">
        <f>IFERROR(INDEX('Data Source'!$S:$S,MATCH(403,'Data Source'!$T:$T,0)),"")</f>
        <v/>
      </c>
    </row>
    <row r="406">
      <c r="A406" s="3">
        <f>IFERROR(IF(COUNTIF('Data Source'!$T:$T,404)&gt;0,404,""),"")</f>
        <v/>
      </c>
      <c r="B406">
        <f>IFERROR(INDEX('Data Source'!$B:$B,MATCH(404,'Data Source'!$T:$T,0)),"")</f>
        <v/>
      </c>
      <c r="C406" s="3">
        <f>IFERROR(INDEX('Data Source'!$P:$P,MATCH(404,'Data Source'!$T:$T,0)),"")</f>
        <v/>
      </c>
      <c r="D406" s="5">
        <f>IFERROR(INDEX('Data Source'!$Q:$Q,MATCH(404,'Data Source'!$T:$T,0)),"")</f>
        <v/>
      </c>
      <c r="E406" s="5">
        <f>IFERROR(INDEX('Data Source'!$R:$R,MATCH(404,'Data Source'!$T:$T,0)),"")</f>
        <v/>
      </c>
      <c r="F406" s="3">
        <f>IFERROR(INDEX('Data Source'!$S:$S,MATCH(404,'Data Source'!$T:$T,0)),"")</f>
        <v/>
      </c>
    </row>
    <row r="407">
      <c r="A407" s="3">
        <f>IFERROR(IF(COUNTIF('Data Source'!$T:$T,405)&gt;0,405,""),"")</f>
        <v/>
      </c>
      <c r="B407">
        <f>IFERROR(INDEX('Data Source'!$B:$B,MATCH(405,'Data Source'!$T:$T,0)),"")</f>
        <v/>
      </c>
      <c r="C407" s="3">
        <f>IFERROR(INDEX('Data Source'!$P:$P,MATCH(405,'Data Source'!$T:$T,0)),"")</f>
        <v/>
      </c>
      <c r="D407" s="5">
        <f>IFERROR(INDEX('Data Source'!$Q:$Q,MATCH(405,'Data Source'!$T:$T,0)),"")</f>
        <v/>
      </c>
      <c r="E407" s="5">
        <f>IFERROR(INDEX('Data Source'!$R:$R,MATCH(405,'Data Source'!$T:$T,0)),"")</f>
        <v/>
      </c>
      <c r="F407" s="3">
        <f>IFERROR(INDEX('Data Source'!$S:$S,MATCH(405,'Data Source'!$T:$T,0)),"")</f>
        <v/>
      </c>
    </row>
    <row r="408">
      <c r="A408" s="3">
        <f>IFERROR(IF(COUNTIF('Data Source'!$T:$T,406)&gt;0,406,""),"")</f>
        <v/>
      </c>
      <c r="B408">
        <f>IFERROR(INDEX('Data Source'!$B:$B,MATCH(406,'Data Source'!$T:$T,0)),"")</f>
        <v/>
      </c>
      <c r="C408" s="3">
        <f>IFERROR(INDEX('Data Source'!$P:$P,MATCH(406,'Data Source'!$T:$T,0)),"")</f>
        <v/>
      </c>
      <c r="D408" s="5">
        <f>IFERROR(INDEX('Data Source'!$Q:$Q,MATCH(406,'Data Source'!$T:$T,0)),"")</f>
        <v/>
      </c>
      <c r="E408" s="5">
        <f>IFERROR(INDEX('Data Source'!$R:$R,MATCH(406,'Data Source'!$T:$T,0)),"")</f>
        <v/>
      </c>
      <c r="F408" s="3">
        <f>IFERROR(INDEX('Data Source'!$S:$S,MATCH(406,'Data Source'!$T:$T,0)),"")</f>
        <v/>
      </c>
    </row>
    <row r="409">
      <c r="A409" s="3">
        <f>IFERROR(IF(COUNTIF('Data Source'!$T:$T,407)&gt;0,407,""),"")</f>
        <v/>
      </c>
      <c r="B409">
        <f>IFERROR(INDEX('Data Source'!$B:$B,MATCH(407,'Data Source'!$T:$T,0)),"")</f>
        <v/>
      </c>
      <c r="C409" s="3">
        <f>IFERROR(INDEX('Data Source'!$P:$P,MATCH(407,'Data Source'!$T:$T,0)),"")</f>
        <v/>
      </c>
      <c r="D409" s="5">
        <f>IFERROR(INDEX('Data Source'!$Q:$Q,MATCH(407,'Data Source'!$T:$T,0)),"")</f>
        <v/>
      </c>
      <c r="E409" s="5">
        <f>IFERROR(INDEX('Data Source'!$R:$R,MATCH(407,'Data Source'!$T:$T,0)),"")</f>
        <v/>
      </c>
      <c r="F409" s="3">
        <f>IFERROR(INDEX('Data Source'!$S:$S,MATCH(407,'Data Source'!$T:$T,0)),"")</f>
        <v/>
      </c>
    </row>
    <row r="410">
      <c r="A410" s="3">
        <f>IFERROR(IF(COUNTIF('Data Source'!$T:$T,408)&gt;0,408,""),"")</f>
        <v/>
      </c>
      <c r="B410">
        <f>IFERROR(INDEX('Data Source'!$B:$B,MATCH(408,'Data Source'!$T:$T,0)),"")</f>
        <v/>
      </c>
      <c r="C410" s="3">
        <f>IFERROR(INDEX('Data Source'!$P:$P,MATCH(408,'Data Source'!$T:$T,0)),"")</f>
        <v/>
      </c>
      <c r="D410" s="5">
        <f>IFERROR(INDEX('Data Source'!$Q:$Q,MATCH(408,'Data Source'!$T:$T,0)),"")</f>
        <v/>
      </c>
      <c r="E410" s="5">
        <f>IFERROR(INDEX('Data Source'!$R:$R,MATCH(408,'Data Source'!$T:$T,0)),"")</f>
        <v/>
      </c>
      <c r="F410" s="3">
        <f>IFERROR(INDEX('Data Source'!$S:$S,MATCH(408,'Data Source'!$T:$T,0)),"")</f>
        <v/>
      </c>
    </row>
    <row r="411">
      <c r="A411" s="3">
        <f>IFERROR(IF(COUNTIF('Data Source'!$T:$T,409)&gt;0,409,""),"")</f>
        <v/>
      </c>
      <c r="B411">
        <f>IFERROR(INDEX('Data Source'!$B:$B,MATCH(409,'Data Source'!$T:$T,0)),"")</f>
        <v/>
      </c>
      <c r="C411" s="3">
        <f>IFERROR(INDEX('Data Source'!$P:$P,MATCH(409,'Data Source'!$T:$T,0)),"")</f>
        <v/>
      </c>
      <c r="D411" s="5">
        <f>IFERROR(INDEX('Data Source'!$Q:$Q,MATCH(409,'Data Source'!$T:$T,0)),"")</f>
        <v/>
      </c>
      <c r="E411" s="5">
        <f>IFERROR(INDEX('Data Source'!$R:$R,MATCH(409,'Data Source'!$T:$T,0)),"")</f>
        <v/>
      </c>
      <c r="F411" s="3">
        <f>IFERROR(INDEX('Data Source'!$S:$S,MATCH(409,'Data Source'!$T:$T,0)),"")</f>
        <v/>
      </c>
    </row>
    <row r="412">
      <c r="A412" s="3">
        <f>IFERROR(IF(COUNTIF('Data Source'!$T:$T,410)&gt;0,410,""),"")</f>
        <v/>
      </c>
      <c r="B412">
        <f>IFERROR(INDEX('Data Source'!$B:$B,MATCH(410,'Data Source'!$T:$T,0)),"")</f>
        <v/>
      </c>
      <c r="C412" s="3">
        <f>IFERROR(INDEX('Data Source'!$P:$P,MATCH(410,'Data Source'!$T:$T,0)),"")</f>
        <v/>
      </c>
      <c r="D412" s="5">
        <f>IFERROR(INDEX('Data Source'!$Q:$Q,MATCH(410,'Data Source'!$T:$T,0)),"")</f>
        <v/>
      </c>
      <c r="E412" s="5">
        <f>IFERROR(INDEX('Data Source'!$R:$R,MATCH(410,'Data Source'!$T:$T,0)),"")</f>
        <v/>
      </c>
      <c r="F412" s="3">
        <f>IFERROR(INDEX('Data Source'!$S:$S,MATCH(410,'Data Source'!$T:$T,0)),"")</f>
        <v/>
      </c>
    </row>
    <row r="413">
      <c r="A413" s="3">
        <f>IFERROR(IF(COUNTIF('Data Source'!$T:$T,411)&gt;0,411,""),"")</f>
        <v/>
      </c>
      <c r="B413">
        <f>IFERROR(INDEX('Data Source'!$B:$B,MATCH(411,'Data Source'!$T:$T,0)),"")</f>
        <v/>
      </c>
      <c r="C413" s="3">
        <f>IFERROR(INDEX('Data Source'!$P:$P,MATCH(411,'Data Source'!$T:$T,0)),"")</f>
        <v/>
      </c>
      <c r="D413" s="5">
        <f>IFERROR(INDEX('Data Source'!$Q:$Q,MATCH(411,'Data Source'!$T:$T,0)),"")</f>
        <v/>
      </c>
      <c r="E413" s="5">
        <f>IFERROR(INDEX('Data Source'!$R:$R,MATCH(411,'Data Source'!$T:$T,0)),"")</f>
        <v/>
      </c>
      <c r="F413" s="3">
        <f>IFERROR(INDEX('Data Source'!$S:$S,MATCH(411,'Data Source'!$T:$T,0)),"")</f>
        <v/>
      </c>
    </row>
    <row r="414">
      <c r="A414" s="3">
        <f>IFERROR(IF(COUNTIF('Data Source'!$T:$T,412)&gt;0,412,""),"")</f>
        <v/>
      </c>
      <c r="B414">
        <f>IFERROR(INDEX('Data Source'!$B:$B,MATCH(412,'Data Source'!$T:$T,0)),"")</f>
        <v/>
      </c>
      <c r="C414" s="3">
        <f>IFERROR(INDEX('Data Source'!$P:$P,MATCH(412,'Data Source'!$T:$T,0)),"")</f>
        <v/>
      </c>
      <c r="D414" s="5">
        <f>IFERROR(INDEX('Data Source'!$Q:$Q,MATCH(412,'Data Source'!$T:$T,0)),"")</f>
        <v/>
      </c>
      <c r="E414" s="5">
        <f>IFERROR(INDEX('Data Source'!$R:$R,MATCH(412,'Data Source'!$T:$T,0)),"")</f>
        <v/>
      </c>
      <c r="F414" s="3">
        <f>IFERROR(INDEX('Data Source'!$S:$S,MATCH(412,'Data Source'!$T:$T,0)),"")</f>
        <v/>
      </c>
    </row>
    <row r="415">
      <c r="A415" s="3">
        <f>IFERROR(IF(COUNTIF('Data Source'!$T:$T,413)&gt;0,413,""),"")</f>
        <v/>
      </c>
      <c r="B415">
        <f>IFERROR(INDEX('Data Source'!$B:$B,MATCH(413,'Data Source'!$T:$T,0)),"")</f>
        <v/>
      </c>
      <c r="C415" s="3">
        <f>IFERROR(INDEX('Data Source'!$P:$P,MATCH(413,'Data Source'!$T:$T,0)),"")</f>
        <v/>
      </c>
      <c r="D415" s="5">
        <f>IFERROR(INDEX('Data Source'!$Q:$Q,MATCH(413,'Data Source'!$T:$T,0)),"")</f>
        <v/>
      </c>
      <c r="E415" s="5">
        <f>IFERROR(INDEX('Data Source'!$R:$R,MATCH(413,'Data Source'!$T:$T,0)),"")</f>
        <v/>
      </c>
      <c r="F415" s="3">
        <f>IFERROR(INDEX('Data Source'!$S:$S,MATCH(413,'Data Source'!$T:$T,0)),"")</f>
        <v/>
      </c>
    </row>
    <row r="416">
      <c r="A416" s="3">
        <f>IFERROR(IF(COUNTIF('Data Source'!$T:$T,414)&gt;0,414,""),"")</f>
        <v/>
      </c>
      <c r="B416">
        <f>IFERROR(INDEX('Data Source'!$B:$B,MATCH(414,'Data Source'!$T:$T,0)),"")</f>
        <v/>
      </c>
      <c r="C416" s="3">
        <f>IFERROR(INDEX('Data Source'!$P:$P,MATCH(414,'Data Source'!$T:$T,0)),"")</f>
        <v/>
      </c>
      <c r="D416" s="5">
        <f>IFERROR(INDEX('Data Source'!$Q:$Q,MATCH(414,'Data Source'!$T:$T,0)),"")</f>
        <v/>
      </c>
      <c r="E416" s="5">
        <f>IFERROR(INDEX('Data Source'!$R:$R,MATCH(414,'Data Source'!$T:$T,0)),"")</f>
        <v/>
      </c>
      <c r="F416" s="3">
        <f>IFERROR(INDEX('Data Source'!$S:$S,MATCH(414,'Data Source'!$T:$T,0)),"")</f>
        <v/>
      </c>
    </row>
    <row r="417">
      <c r="A417" s="3">
        <f>IFERROR(IF(COUNTIF('Data Source'!$T:$T,415)&gt;0,415,""),"")</f>
        <v/>
      </c>
      <c r="B417">
        <f>IFERROR(INDEX('Data Source'!$B:$B,MATCH(415,'Data Source'!$T:$T,0)),"")</f>
        <v/>
      </c>
      <c r="C417" s="3">
        <f>IFERROR(INDEX('Data Source'!$P:$P,MATCH(415,'Data Source'!$T:$T,0)),"")</f>
        <v/>
      </c>
      <c r="D417" s="5">
        <f>IFERROR(INDEX('Data Source'!$Q:$Q,MATCH(415,'Data Source'!$T:$T,0)),"")</f>
        <v/>
      </c>
      <c r="E417" s="5">
        <f>IFERROR(INDEX('Data Source'!$R:$R,MATCH(415,'Data Source'!$T:$T,0)),"")</f>
        <v/>
      </c>
      <c r="F417" s="3">
        <f>IFERROR(INDEX('Data Source'!$S:$S,MATCH(415,'Data Source'!$T:$T,0)),"")</f>
        <v/>
      </c>
    </row>
    <row r="418">
      <c r="A418" s="3">
        <f>IFERROR(IF(COUNTIF('Data Source'!$T:$T,416)&gt;0,416,""),"")</f>
        <v/>
      </c>
      <c r="B418">
        <f>IFERROR(INDEX('Data Source'!$B:$B,MATCH(416,'Data Source'!$T:$T,0)),"")</f>
        <v/>
      </c>
      <c r="C418" s="3">
        <f>IFERROR(INDEX('Data Source'!$P:$P,MATCH(416,'Data Source'!$T:$T,0)),"")</f>
        <v/>
      </c>
      <c r="D418" s="5">
        <f>IFERROR(INDEX('Data Source'!$Q:$Q,MATCH(416,'Data Source'!$T:$T,0)),"")</f>
        <v/>
      </c>
      <c r="E418" s="5">
        <f>IFERROR(INDEX('Data Source'!$R:$R,MATCH(416,'Data Source'!$T:$T,0)),"")</f>
        <v/>
      </c>
      <c r="F418" s="3">
        <f>IFERROR(INDEX('Data Source'!$S:$S,MATCH(416,'Data Source'!$T:$T,0)),"")</f>
        <v/>
      </c>
    </row>
    <row r="419">
      <c r="A419" s="3">
        <f>IFERROR(IF(COUNTIF('Data Source'!$T:$T,417)&gt;0,417,""),"")</f>
        <v/>
      </c>
      <c r="B419">
        <f>IFERROR(INDEX('Data Source'!$B:$B,MATCH(417,'Data Source'!$T:$T,0)),"")</f>
        <v/>
      </c>
      <c r="C419" s="3">
        <f>IFERROR(INDEX('Data Source'!$P:$P,MATCH(417,'Data Source'!$T:$T,0)),"")</f>
        <v/>
      </c>
      <c r="D419" s="5">
        <f>IFERROR(INDEX('Data Source'!$Q:$Q,MATCH(417,'Data Source'!$T:$T,0)),"")</f>
        <v/>
      </c>
      <c r="E419" s="5">
        <f>IFERROR(INDEX('Data Source'!$R:$R,MATCH(417,'Data Source'!$T:$T,0)),"")</f>
        <v/>
      </c>
      <c r="F419" s="3">
        <f>IFERROR(INDEX('Data Source'!$S:$S,MATCH(417,'Data Source'!$T:$T,0)),"")</f>
        <v/>
      </c>
    </row>
    <row r="420">
      <c r="A420" s="3">
        <f>IFERROR(IF(COUNTIF('Data Source'!$T:$T,418)&gt;0,418,""),"")</f>
        <v/>
      </c>
      <c r="B420">
        <f>IFERROR(INDEX('Data Source'!$B:$B,MATCH(418,'Data Source'!$T:$T,0)),"")</f>
        <v/>
      </c>
      <c r="C420" s="3">
        <f>IFERROR(INDEX('Data Source'!$P:$P,MATCH(418,'Data Source'!$T:$T,0)),"")</f>
        <v/>
      </c>
      <c r="D420" s="5">
        <f>IFERROR(INDEX('Data Source'!$Q:$Q,MATCH(418,'Data Source'!$T:$T,0)),"")</f>
        <v/>
      </c>
      <c r="E420" s="5">
        <f>IFERROR(INDEX('Data Source'!$R:$R,MATCH(418,'Data Source'!$T:$T,0)),"")</f>
        <v/>
      </c>
      <c r="F420" s="3">
        <f>IFERROR(INDEX('Data Source'!$S:$S,MATCH(418,'Data Source'!$T:$T,0)),"")</f>
        <v/>
      </c>
    </row>
    <row r="421">
      <c r="A421" s="3">
        <f>IFERROR(IF(COUNTIF('Data Source'!$T:$T,419)&gt;0,419,""),"")</f>
        <v/>
      </c>
      <c r="B421">
        <f>IFERROR(INDEX('Data Source'!$B:$B,MATCH(419,'Data Source'!$T:$T,0)),"")</f>
        <v/>
      </c>
      <c r="C421" s="3">
        <f>IFERROR(INDEX('Data Source'!$P:$P,MATCH(419,'Data Source'!$T:$T,0)),"")</f>
        <v/>
      </c>
      <c r="D421" s="5">
        <f>IFERROR(INDEX('Data Source'!$Q:$Q,MATCH(419,'Data Source'!$T:$T,0)),"")</f>
        <v/>
      </c>
      <c r="E421" s="5">
        <f>IFERROR(INDEX('Data Source'!$R:$R,MATCH(419,'Data Source'!$T:$T,0)),"")</f>
        <v/>
      </c>
      <c r="F421" s="3">
        <f>IFERROR(INDEX('Data Source'!$S:$S,MATCH(419,'Data Source'!$T:$T,0)),"")</f>
        <v/>
      </c>
    </row>
    <row r="422">
      <c r="A422" s="3">
        <f>IFERROR(IF(COUNTIF('Data Source'!$T:$T,420)&gt;0,420,""),"")</f>
        <v/>
      </c>
      <c r="B422">
        <f>IFERROR(INDEX('Data Source'!$B:$B,MATCH(420,'Data Source'!$T:$T,0)),"")</f>
        <v/>
      </c>
      <c r="C422" s="3">
        <f>IFERROR(INDEX('Data Source'!$P:$P,MATCH(420,'Data Source'!$T:$T,0)),"")</f>
        <v/>
      </c>
      <c r="D422" s="5">
        <f>IFERROR(INDEX('Data Source'!$Q:$Q,MATCH(420,'Data Source'!$T:$T,0)),"")</f>
        <v/>
      </c>
      <c r="E422" s="5">
        <f>IFERROR(INDEX('Data Source'!$R:$R,MATCH(420,'Data Source'!$T:$T,0)),"")</f>
        <v/>
      </c>
      <c r="F422" s="3">
        <f>IFERROR(INDEX('Data Source'!$S:$S,MATCH(420,'Data Source'!$T:$T,0)),"")</f>
        <v/>
      </c>
    </row>
    <row r="423">
      <c r="A423" s="3">
        <f>IFERROR(IF(COUNTIF('Data Source'!$T:$T,421)&gt;0,421,""),"")</f>
        <v/>
      </c>
      <c r="B423">
        <f>IFERROR(INDEX('Data Source'!$B:$B,MATCH(421,'Data Source'!$T:$T,0)),"")</f>
        <v/>
      </c>
      <c r="C423" s="3">
        <f>IFERROR(INDEX('Data Source'!$P:$P,MATCH(421,'Data Source'!$T:$T,0)),"")</f>
        <v/>
      </c>
      <c r="D423" s="5">
        <f>IFERROR(INDEX('Data Source'!$Q:$Q,MATCH(421,'Data Source'!$T:$T,0)),"")</f>
        <v/>
      </c>
      <c r="E423" s="5">
        <f>IFERROR(INDEX('Data Source'!$R:$R,MATCH(421,'Data Source'!$T:$T,0)),"")</f>
        <v/>
      </c>
      <c r="F423" s="3">
        <f>IFERROR(INDEX('Data Source'!$S:$S,MATCH(421,'Data Source'!$T:$T,0)),"")</f>
        <v/>
      </c>
    </row>
    <row r="424">
      <c r="A424" s="3">
        <f>IFERROR(IF(COUNTIF('Data Source'!$T:$T,422)&gt;0,422,""),"")</f>
        <v/>
      </c>
      <c r="B424">
        <f>IFERROR(INDEX('Data Source'!$B:$B,MATCH(422,'Data Source'!$T:$T,0)),"")</f>
        <v/>
      </c>
      <c r="C424" s="3">
        <f>IFERROR(INDEX('Data Source'!$P:$P,MATCH(422,'Data Source'!$T:$T,0)),"")</f>
        <v/>
      </c>
      <c r="D424" s="5">
        <f>IFERROR(INDEX('Data Source'!$Q:$Q,MATCH(422,'Data Source'!$T:$T,0)),"")</f>
        <v/>
      </c>
      <c r="E424" s="5">
        <f>IFERROR(INDEX('Data Source'!$R:$R,MATCH(422,'Data Source'!$T:$T,0)),"")</f>
        <v/>
      </c>
      <c r="F424" s="3">
        <f>IFERROR(INDEX('Data Source'!$S:$S,MATCH(422,'Data Source'!$T:$T,0)),"")</f>
        <v/>
      </c>
    </row>
    <row r="425">
      <c r="A425" s="3">
        <f>IFERROR(IF(COUNTIF('Data Source'!$T:$T,423)&gt;0,423,""),"")</f>
        <v/>
      </c>
      <c r="B425">
        <f>IFERROR(INDEX('Data Source'!$B:$B,MATCH(423,'Data Source'!$T:$T,0)),"")</f>
        <v/>
      </c>
      <c r="C425" s="3">
        <f>IFERROR(INDEX('Data Source'!$P:$P,MATCH(423,'Data Source'!$T:$T,0)),"")</f>
        <v/>
      </c>
      <c r="D425" s="5">
        <f>IFERROR(INDEX('Data Source'!$Q:$Q,MATCH(423,'Data Source'!$T:$T,0)),"")</f>
        <v/>
      </c>
      <c r="E425" s="5">
        <f>IFERROR(INDEX('Data Source'!$R:$R,MATCH(423,'Data Source'!$T:$T,0)),"")</f>
        <v/>
      </c>
      <c r="F425" s="3">
        <f>IFERROR(INDEX('Data Source'!$S:$S,MATCH(423,'Data Source'!$T:$T,0)),"")</f>
        <v/>
      </c>
    </row>
    <row r="426">
      <c r="A426" s="3">
        <f>IFERROR(IF(COUNTIF('Data Source'!$T:$T,424)&gt;0,424,""),"")</f>
        <v/>
      </c>
      <c r="B426">
        <f>IFERROR(INDEX('Data Source'!$B:$B,MATCH(424,'Data Source'!$T:$T,0)),"")</f>
        <v/>
      </c>
      <c r="C426" s="3">
        <f>IFERROR(INDEX('Data Source'!$P:$P,MATCH(424,'Data Source'!$T:$T,0)),"")</f>
        <v/>
      </c>
      <c r="D426" s="5">
        <f>IFERROR(INDEX('Data Source'!$Q:$Q,MATCH(424,'Data Source'!$T:$T,0)),"")</f>
        <v/>
      </c>
      <c r="E426" s="5">
        <f>IFERROR(INDEX('Data Source'!$R:$R,MATCH(424,'Data Source'!$T:$T,0)),"")</f>
        <v/>
      </c>
      <c r="F426" s="3">
        <f>IFERROR(INDEX('Data Source'!$S:$S,MATCH(424,'Data Source'!$T:$T,0)),"")</f>
        <v/>
      </c>
    </row>
    <row r="427">
      <c r="A427" s="3">
        <f>IFERROR(IF(COUNTIF('Data Source'!$T:$T,425)&gt;0,425,""),"")</f>
        <v/>
      </c>
      <c r="B427">
        <f>IFERROR(INDEX('Data Source'!$B:$B,MATCH(425,'Data Source'!$T:$T,0)),"")</f>
        <v/>
      </c>
      <c r="C427" s="3">
        <f>IFERROR(INDEX('Data Source'!$P:$P,MATCH(425,'Data Source'!$T:$T,0)),"")</f>
        <v/>
      </c>
      <c r="D427" s="5">
        <f>IFERROR(INDEX('Data Source'!$Q:$Q,MATCH(425,'Data Source'!$T:$T,0)),"")</f>
        <v/>
      </c>
      <c r="E427" s="5">
        <f>IFERROR(INDEX('Data Source'!$R:$R,MATCH(425,'Data Source'!$T:$T,0)),"")</f>
        <v/>
      </c>
      <c r="F427" s="3">
        <f>IFERROR(INDEX('Data Source'!$S:$S,MATCH(425,'Data Source'!$T:$T,0)),"")</f>
        <v/>
      </c>
    </row>
    <row r="428">
      <c r="A428" s="3">
        <f>IFERROR(IF(COUNTIF('Data Source'!$T:$T,426)&gt;0,426,""),"")</f>
        <v/>
      </c>
      <c r="B428">
        <f>IFERROR(INDEX('Data Source'!$B:$B,MATCH(426,'Data Source'!$T:$T,0)),"")</f>
        <v/>
      </c>
      <c r="C428" s="3">
        <f>IFERROR(INDEX('Data Source'!$P:$P,MATCH(426,'Data Source'!$T:$T,0)),"")</f>
        <v/>
      </c>
      <c r="D428" s="5">
        <f>IFERROR(INDEX('Data Source'!$Q:$Q,MATCH(426,'Data Source'!$T:$T,0)),"")</f>
        <v/>
      </c>
      <c r="E428" s="5">
        <f>IFERROR(INDEX('Data Source'!$R:$R,MATCH(426,'Data Source'!$T:$T,0)),"")</f>
        <v/>
      </c>
      <c r="F428" s="3">
        <f>IFERROR(INDEX('Data Source'!$S:$S,MATCH(426,'Data Source'!$T:$T,0)),"")</f>
        <v/>
      </c>
    </row>
    <row r="429">
      <c r="A429" s="3">
        <f>IFERROR(IF(COUNTIF('Data Source'!$T:$T,427)&gt;0,427,""),"")</f>
        <v/>
      </c>
      <c r="B429">
        <f>IFERROR(INDEX('Data Source'!$B:$B,MATCH(427,'Data Source'!$T:$T,0)),"")</f>
        <v/>
      </c>
      <c r="C429" s="3">
        <f>IFERROR(INDEX('Data Source'!$P:$P,MATCH(427,'Data Source'!$T:$T,0)),"")</f>
        <v/>
      </c>
      <c r="D429" s="5">
        <f>IFERROR(INDEX('Data Source'!$Q:$Q,MATCH(427,'Data Source'!$T:$T,0)),"")</f>
        <v/>
      </c>
      <c r="E429" s="5">
        <f>IFERROR(INDEX('Data Source'!$R:$R,MATCH(427,'Data Source'!$T:$T,0)),"")</f>
        <v/>
      </c>
      <c r="F429" s="3">
        <f>IFERROR(INDEX('Data Source'!$S:$S,MATCH(427,'Data Source'!$T:$T,0)),"")</f>
        <v/>
      </c>
    </row>
    <row r="430">
      <c r="A430" s="3">
        <f>IFERROR(IF(COUNTIF('Data Source'!$T:$T,428)&gt;0,428,""),"")</f>
        <v/>
      </c>
      <c r="B430">
        <f>IFERROR(INDEX('Data Source'!$B:$B,MATCH(428,'Data Source'!$T:$T,0)),"")</f>
        <v/>
      </c>
      <c r="C430" s="3">
        <f>IFERROR(INDEX('Data Source'!$P:$P,MATCH(428,'Data Source'!$T:$T,0)),"")</f>
        <v/>
      </c>
      <c r="D430" s="5">
        <f>IFERROR(INDEX('Data Source'!$Q:$Q,MATCH(428,'Data Source'!$T:$T,0)),"")</f>
        <v/>
      </c>
      <c r="E430" s="5">
        <f>IFERROR(INDEX('Data Source'!$R:$R,MATCH(428,'Data Source'!$T:$T,0)),"")</f>
        <v/>
      </c>
      <c r="F430" s="3">
        <f>IFERROR(INDEX('Data Source'!$S:$S,MATCH(428,'Data Source'!$T:$T,0)),"")</f>
        <v/>
      </c>
    </row>
    <row r="431">
      <c r="A431" s="3">
        <f>IFERROR(IF(COUNTIF('Data Source'!$T:$T,429)&gt;0,429,""),"")</f>
        <v/>
      </c>
      <c r="B431">
        <f>IFERROR(INDEX('Data Source'!$B:$B,MATCH(429,'Data Source'!$T:$T,0)),"")</f>
        <v/>
      </c>
      <c r="C431" s="3">
        <f>IFERROR(INDEX('Data Source'!$P:$P,MATCH(429,'Data Source'!$T:$T,0)),"")</f>
        <v/>
      </c>
      <c r="D431" s="5">
        <f>IFERROR(INDEX('Data Source'!$Q:$Q,MATCH(429,'Data Source'!$T:$T,0)),"")</f>
        <v/>
      </c>
      <c r="E431" s="5">
        <f>IFERROR(INDEX('Data Source'!$R:$R,MATCH(429,'Data Source'!$T:$T,0)),"")</f>
        <v/>
      </c>
      <c r="F431" s="3">
        <f>IFERROR(INDEX('Data Source'!$S:$S,MATCH(429,'Data Source'!$T:$T,0)),"")</f>
        <v/>
      </c>
    </row>
    <row r="432">
      <c r="A432" s="3">
        <f>IFERROR(IF(COUNTIF('Data Source'!$T:$T,430)&gt;0,430,""),"")</f>
        <v/>
      </c>
      <c r="B432">
        <f>IFERROR(INDEX('Data Source'!$B:$B,MATCH(430,'Data Source'!$T:$T,0)),"")</f>
        <v/>
      </c>
      <c r="C432" s="3">
        <f>IFERROR(INDEX('Data Source'!$P:$P,MATCH(430,'Data Source'!$T:$T,0)),"")</f>
        <v/>
      </c>
      <c r="D432" s="5">
        <f>IFERROR(INDEX('Data Source'!$Q:$Q,MATCH(430,'Data Source'!$T:$T,0)),"")</f>
        <v/>
      </c>
      <c r="E432" s="5">
        <f>IFERROR(INDEX('Data Source'!$R:$R,MATCH(430,'Data Source'!$T:$T,0)),"")</f>
        <v/>
      </c>
      <c r="F432" s="3">
        <f>IFERROR(INDEX('Data Source'!$S:$S,MATCH(430,'Data Source'!$T:$T,0)),"")</f>
        <v/>
      </c>
    </row>
    <row r="433">
      <c r="A433" s="3">
        <f>IFERROR(IF(COUNTIF('Data Source'!$T:$T,431)&gt;0,431,""),"")</f>
        <v/>
      </c>
      <c r="B433">
        <f>IFERROR(INDEX('Data Source'!$B:$B,MATCH(431,'Data Source'!$T:$T,0)),"")</f>
        <v/>
      </c>
      <c r="C433" s="3">
        <f>IFERROR(INDEX('Data Source'!$P:$P,MATCH(431,'Data Source'!$T:$T,0)),"")</f>
        <v/>
      </c>
      <c r="D433" s="5">
        <f>IFERROR(INDEX('Data Source'!$Q:$Q,MATCH(431,'Data Source'!$T:$T,0)),"")</f>
        <v/>
      </c>
      <c r="E433" s="5">
        <f>IFERROR(INDEX('Data Source'!$R:$R,MATCH(431,'Data Source'!$T:$T,0)),"")</f>
        <v/>
      </c>
      <c r="F433" s="3">
        <f>IFERROR(INDEX('Data Source'!$S:$S,MATCH(431,'Data Source'!$T:$T,0)),"")</f>
        <v/>
      </c>
    </row>
    <row r="434">
      <c r="A434" s="3">
        <f>IFERROR(IF(COUNTIF('Data Source'!$T:$T,432)&gt;0,432,""),"")</f>
        <v/>
      </c>
      <c r="B434">
        <f>IFERROR(INDEX('Data Source'!$B:$B,MATCH(432,'Data Source'!$T:$T,0)),"")</f>
        <v/>
      </c>
      <c r="C434" s="3">
        <f>IFERROR(INDEX('Data Source'!$P:$P,MATCH(432,'Data Source'!$T:$T,0)),"")</f>
        <v/>
      </c>
      <c r="D434" s="5">
        <f>IFERROR(INDEX('Data Source'!$Q:$Q,MATCH(432,'Data Source'!$T:$T,0)),"")</f>
        <v/>
      </c>
      <c r="E434" s="5">
        <f>IFERROR(INDEX('Data Source'!$R:$R,MATCH(432,'Data Source'!$T:$T,0)),"")</f>
        <v/>
      </c>
      <c r="F434" s="3">
        <f>IFERROR(INDEX('Data Source'!$S:$S,MATCH(432,'Data Source'!$T:$T,0)),"")</f>
        <v/>
      </c>
    </row>
    <row r="435">
      <c r="A435" s="3">
        <f>IFERROR(IF(COUNTIF('Data Source'!$T:$T,433)&gt;0,433,""),"")</f>
        <v/>
      </c>
      <c r="B435">
        <f>IFERROR(INDEX('Data Source'!$B:$B,MATCH(433,'Data Source'!$T:$T,0)),"")</f>
        <v/>
      </c>
      <c r="C435" s="3">
        <f>IFERROR(INDEX('Data Source'!$P:$P,MATCH(433,'Data Source'!$T:$T,0)),"")</f>
        <v/>
      </c>
      <c r="D435" s="5">
        <f>IFERROR(INDEX('Data Source'!$Q:$Q,MATCH(433,'Data Source'!$T:$T,0)),"")</f>
        <v/>
      </c>
      <c r="E435" s="5">
        <f>IFERROR(INDEX('Data Source'!$R:$R,MATCH(433,'Data Source'!$T:$T,0)),"")</f>
        <v/>
      </c>
      <c r="F435" s="3">
        <f>IFERROR(INDEX('Data Source'!$S:$S,MATCH(433,'Data Source'!$T:$T,0)),"")</f>
        <v/>
      </c>
    </row>
    <row r="436">
      <c r="A436" s="3">
        <f>IFERROR(IF(COUNTIF('Data Source'!$T:$T,434)&gt;0,434,""),"")</f>
        <v/>
      </c>
      <c r="B436">
        <f>IFERROR(INDEX('Data Source'!$B:$B,MATCH(434,'Data Source'!$T:$T,0)),"")</f>
        <v/>
      </c>
      <c r="C436" s="3">
        <f>IFERROR(INDEX('Data Source'!$P:$P,MATCH(434,'Data Source'!$T:$T,0)),"")</f>
        <v/>
      </c>
      <c r="D436" s="5">
        <f>IFERROR(INDEX('Data Source'!$Q:$Q,MATCH(434,'Data Source'!$T:$T,0)),"")</f>
        <v/>
      </c>
      <c r="E436" s="5">
        <f>IFERROR(INDEX('Data Source'!$R:$R,MATCH(434,'Data Source'!$T:$T,0)),"")</f>
        <v/>
      </c>
      <c r="F436" s="3">
        <f>IFERROR(INDEX('Data Source'!$S:$S,MATCH(434,'Data Source'!$T:$T,0)),"")</f>
        <v/>
      </c>
    </row>
    <row r="437">
      <c r="A437" s="3">
        <f>IFERROR(IF(COUNTIF('Data Source'!$T:$T,435)&gt;0,435,""),"")</f>
        <v/>
      </c>
      <c r="B437">
        <f>IFERROR(INDEX('Data Source'!$B:$B,MATCH(435,'Data Source'!$T:$T,0)),"")</f>
        <v/>
      </c>
      <c r="C437" s="3">
        <f>IFERROR(INDEX('Data Source'!$P:$P,MATCH(435,'Data Source'!$T:$T,0)),"")</f>
        <v/>
      </c>
      <c r="D437" s="5">
        <f>IFERROR(INDEX('Data Source'!$Q:$Q,MATCH(435,'Data Source'!$T:$T,0)),"")</f>
        <v/>
      </c>
      <c r="E437" s="5">
        <f>IFERROR(INDEX('Data Source'!$R:$R,MATCH(435,'Data Source'!$T:$T,0)),"")</f>
        <v/>
      </c>
      <c r="F437" s="3">
        <f>IFERROR(INDEX('Data Source'!$S:$S,MATCH(435,'Data Source'!$T:$T,0)),"")</f>
        <v/>
      </c>
    </row>
    <row r="438">
      <c r="A438" s="3">
        <f>IFERROR(IF(COUNTIF('Data Source'!$T:$T,436)&gt;0,436,""),"")</f>
        <v/>
      </c>
      <c r="B438">
        <f>IFERROR(INDEX('Data Source'!$B:$B,MATCH(436,'Data Source'!$T:$T,0)),"")</f>
        <v/>
      </c>
      <c r="C438" s="3">
        <f>IFERROR(INDEX('Data Source'!$P:$P,MATCH(436,'Data Source'!$T:$T,0)),"")</f>
        <v/>
      </c>
      <c r="D438" s="5">
        <f>IFERROR(INDEX('Data Source'!$Q:$Q,MATCH(436,'Data Source'!$T:$T,0)),"")</f>
        <v/>
      </c>
      <c r="E438" s="5">
        <f>IFERROR(INDEX('Data Source'!$R:$R,MATCH(436,'Data Source'!$T:$T,0)),"")</f>
        <v/>
      </c>
      <c r="F438" s="3">
        <f>IFERROR(INDEX('Data Source'!$S:$S,MATCH(436,'Data Source'!$T:$T,0)),"")</f>
        <v/>
      </c>
    </row>
    <row r="439">
      <c r="A439" s="3">
        <f>IFERROR(IF(COUNTIF('Data Source'!$T:$T,437)&gt;0,437,""),"")</f>
        <v/>
      </c>
      <c r="B439">
        <f>IFERROR(INDEX('Data Source'!$B:$B,MATCH(437,'Data Source'!$T:$T,0)),"")</f>
        <v/>
      </c>
      <c r="C439" s="3">
        <f>IFERROR(INDEX('Data Source'!$P:$P,MATCH(437,'Data Source'!$T:$T,0)),"")</f>
        <v/>
      </c>
      <c r="D439" s="5">
        <f>IFERROR(INDEX('Data Source'!$Q:$Q,MATCH(437,'Data Source'!$T:$T,0)),"")</f>
        <v/>
      </c>
      <c r="E439" s="5">
        <f>IFERROR(INDEX('Data Source'!$R:$R,MATCH(437,'Data Source'!$T:$T,0)),"")</f>
        <v/>
      </c>
      <c r="F439" s="3">
        <f>IFERROR(INDEX('Data Source'!$S:$S,MATCH(437,'Data Source'!$T:$T,0)),"")</f>
        <v/>
      </c>
    </row>
    <row r="440">
      <c r="A440" s="3">
        <f>IFERROR(IF(COUNTIF('Data Source'!$T:$T,438)&gt;0,438,""),"")</f>
        <v/>
      </c>
      <c r="B440">
        <f>IFERROR(INDEX('Data Source'!$B:$B,MATCH(438,'Data Source'!$T:$T,0)),"")</f>
        <v/>
      </c>
      <c r="C440" s="3">
        <f>IFERROR(INDEX('Data Source'!$P:$P,MATCH(438,'Data Source'!$T:$T,0)),"")</f>
        <v/>
      </c>
      <c r="D440" s="5">
        <f>IFERROR(INDEX('Data Source'!$Q:$Q,MATCH(438,'Data Source'!$T:$T,0)),"")</f>
        <v/>
      </c>
      <c r="E440" s="5">
        <f>IFERROR(INDEX('Data Source'!$R:$R,MATCH(438,'Data Source'!$T:$T,0)),"")</f>
        <v/>
      </c>
      <c r="F440" s="3">
        <f>IFERROR(INDEX('Data Source'!$S:$S,MATCH(438,'Data Source'!$T:$T,0)),"")</f>
        <v/>
      </c>
    </row>
    <row r="441">
      <c r="A441" s="3">
        <f>IFERROR(IF(COUNTIF('Data Source'!$T:$T,439)&gt;0,439,""),"")</f>
        <v/>
      </c>
      <c r="B441">
        <f>IFERROR(INDEX('Data Source'!$B:$B,MATCH(439,'Data Source'!$T:$T,0)),"")</f>
        <v/>
      </c>
      <c r="C441" s="3">
        <f>IFERROR(INDEX('Data Source'!$P:$P,MATCH(439,'Data Source'!$T:$T,0)),"")</f>
        <v/>
      </c>
      <c r="D441" s="5">
        <f>IFERROR(INDEX('Data Source'!$Q:$Q,MATCH(439,'Data Source'!$T:$T,0)),"")</f>
        <v/>
      </c>
      <c r="E441" s="5">
        <f>IFERROR(INDEX('Data Source'!$R:$R,MATCH(439,'Data Source'!$T:$T,0)),"")</f>
        <v/>
      </c>
      <c r="F441" s="3">
        <f>IFERROR(INDEX('Data Source'!$S:$S,MATCH(439,'Data Source'!$T:$T,0)),"")</f>
        <v/>
      </c>
    </row>
    <row r="442">
      <c r="A442" s="3">
        <f>IFERROR(IF(COUNTIF('Data Source'!$T:$T,440)&gt;0,440,""),"")</f>
        <v/>
      </c>
      <c r="B442">
        <f>IFERROR(INDEX('Data Source'!$B:$B,MATCH(440,'Data Source'!$T:$T,0)),"")</f>
        <v/>
      </c>
      <c r="C442" s="3">
        <f>IFERROR(INDEX('Data Source'!$P:$P,MATCH(440,'Data Source'!$T:$T,0)),"")</f>
        <v/>
      </c>
      <c r="D442" s="5">
        <f>IFERROR(INDEX('Data Source'!$Q:$Q,MATCH(440,'Data Source'!$T:$T,0)),"")</f>
        <v/>
      </c>
      <c r="E442" s="5">
        <f>IFERROR(INDEX('Data Source'!$R:$R,MATCH(440,'Data Source'!$T:$T,0)),"")</f>
        <v/>
      </c>
      <c r="F442" s="3">
        <f>IFERROR(INDEX('Data Source'!$S:$S,MATCH(440,'Data Source'!$T:$T,0)),"")</f>
        <v/>
      </c>
    </row>
    <row r="443">
      <c r="A443" s="3">
        <f>IFERROR(IF(COUNTIF('Data Source'!$T:$T,441)&gt;0,441,""),"")</f>
        <v/>
      </c>
      <c r="B443">
        <f>IFERROR(INDEX('Data Source'!$B:$B,MATCH(441,'Data Source'!$T:$T,0)),"")</f>
        <v/>
      </c>
      <c r="C443" s="3">
        <f>IFERROR(INDEX('Data Source'!$P:$P,MATCH(441,'Data Source'!$T:$T,0)),"")</f>
        <v/>
      </c>
      <c r="D443" s="5">
        <f>IFERROR(INDEX('Data Source'!$Q:$Q,MATCH(441,'Data Source'!$T:$T,0)),"")</f>
        <v/>
      </c>
      <c r="E443" s="5">
        <f>IFERROR(INDEX('Data Source'!$R:$R,MATCH(441,'Data Source'!$T:$T,0)),"")</f>
        <v/>
      </c>
      <c r="F443" s="3">
        <f>IFERROR(INDEX('Data Source'!$S:$S,MATCH(441,'Data Source'!$T:$T,0)),"")</f>
        <v/>
      </c>
    </row>
    <row r="444">
      <c r="A444" s="3">
        <f>IFERROR(IF(COUNTIF('Data Source'!$T:$T,442)&gt;0,442,""),"")</f>
        <v/>
      </c>
      <c r="B444">
        <f>IFERROR(INDEX('Data Source'!$B:$B,MATCH(442,'Data Source'!$T:$T,0)),"")</f>
        <v/>
      </c>
      <c r="C444" s="3">
        <f>IFERROR(INDEX('Data Source'!$P:$P,MATCH(442,'Data Source'!$T:$T,0)),"")</f>
        <v/>
      </c>
      <c r="D444" s="5">
        <f>IFERROR(INDEX('Data Source'!$Q:$Q,MATCH(442,'Data Source'!$T:$T,0)),"")</f>
        <v/>
      </c>
      <c r="E444" s="5">
        <f>IFERROR(INDEX('Data Source'!$R:$R,MATCH(442,'Data Source'!$T:$T,0)),"")</f>
        <v/>
      </c>
      <c r="F444" s="3">
        <f>IFERROR(INDEX('Data Source'!$S:$S,MATCH(442,'Data Source'!$T:$T,0)),"")</f>
        <v/>
      </c>
    </row>
    <row r="445">
      <c r="A445" s="3">
        <f>IFERROR(IF(COUNTIF('Data Source'!$T:$T,443)&gt;0,443,""),"")</f>
        <v/>
      </c>
      <c r="B445">
        <f>IFERROR(INDEX('Data Source'!$B:$B,MATCH(443,'Data Source'!$T:$T,0)),"")</f>
        <v/>
      </c>
      <c r="C445" s="3">
        <f>IFERROR(INDEX('Data Source'!$P:$P,MATCH(443,'Data Source'!$T:$T,0)),"")</f>
        <v/>
      </c>
      <c r="D445" s="5">
        <f>IFERROR(INDEX('Data Source'!$Q:$Q,MATCH(443,'Data Source'!$T:$T,0)),"")</f>
        <v/>
      </c>
      <c r="E445" s="5">
        <f>IFERROR(INDEX('Data Source'!$R:$R,MATCH(443,'Data Source'!$T:$T,0)),"")</f>
        <v/>
      </c>
      <c r="F445" s="3">
        <f>IFERROR(INDEX('Data Source'!$S:$S,MATCH(443,'Data Source'!$T:$T,0)),"")</f>
        <v/>
      </c>
    </row>
    <row r="446">
      <c r="A446" s="3">
        <f>IFERROR(IF(COUNTIF('Data Source'!$T:$T,444)&gt;0,444,""),"")</f>
        <v/>
      </c>
      <c r="B446">
        <f>IFERROR(INDEX('Data Source'!$B:$B,MATCH(444,'Data Source'!$T:$T,0)),"")</f>
        <v/>
      </c>
      <c r="C446" s="3">
        <f>IFERROR(INDEX('Data Source'!$P:$P,MATCH(444,'Data Source'!$T:$T,0)),"")</f>
        <v/>
      </c>
      <c r="D446" s="5">
        <f>IFERROR(INDEX('Data Source'!$Q:$Q,MATCH(444,'Data Source'!$T:$T,0)),"")</f>
        <v/>
      </c>
      <c r="E446" s="5">
        <f>IFERROR(INDEX('Data Source'!$R:$R,MATCH(444,'Data Source'!$T:$T,0)),"")</f>
        <v/>
      </c>
      <c r="F446" s="3">
        <f>IFERROR(INDEX('Data Source'!$S:$S,MATCH(444,'Data Source'!$T:$T,0)),"")</f>
        <v/>
      </c>
    </row>
    <row r="447">
      <c r="A447" s="3">
        <f>IFERROR(IF(COUNTIF('Data Source'!$T:$T,445)&gt;0,445,""),"")</f>
        <v/>
      </c>
      <c r="B447">
        <f>IFERROR(INDEX('Data Source'!$B:$B,MATCH(445,'Data Source'!$T:$T,0)),"")</f>
        <v/>
      </c>
      <c r="C447" s="3">
        <f>IFERROR(INDEX('Data Source'!$P:$P,MATCH(445,'Data Source'!$T:$T,0)),"")</f>
        <v/>
      </c>
      <c r="D447" s="5">
        <f>IFERROR(INDEX('Data Source'!$Q:$Q,MATCH(445,'Data Source'!$T:$T,0)),"")</f>
        <v/>
      </c>
      <c r="E447" s="5">
        <f>IFERROR(INDEX('Data Source'!$R:$R,MATCH(445,'Data Source'!$T:$T,0)),"")</f>
        <v/>
      </c>
      <c r="F447" s="3">
        <f>IFERROR(INDEX('Data Source'!$S:$S,MATCH(445,'Data Source'!$T:$T,0)),"")</f>
        <v/>
      </c>
    </row>
    <row r="448">
      <c r="A448" s="3">
        <f>IFERROR(IF(COUNTIF('Data Source'!$T:$T,446)&gt;0,446,""),"")</f>
        <v/>
      </c>
      <c r="B448">
        <f>IFERROR(INDEX('Data Source'!$B:$B,MATCH(446,'Data Source'!$T:$T,0)),"")</f>
        <v/>
      </c>
      <c r="C448" s="3">
        <f>IFERROR(INDEX('Data Source'!$P:$P,MATCH(446,'Data Source'!$T:$T,0)),"")</f>
        <v/>
      </c>
      <c r="D448" s="5">
        <f>IFERROR(INDEX('Data Source'!$Q:$Q,MATCH(446,'Data Source'!$T:$T,0)),"")</f>
        <v/>
      </c>
      <c r="E448" s="5">
        <f>IFERROR(INDEX('Data Source'!$R:$R,MATCH(446,'Data Source'!$T:$T,0)),"")</f>
        <v/>
      </c>
      <c r="F448" s="3">
        <f>IFERROR(INDEX('Data Source'!$S:$S,MATCH(446,'Data Source'!$T:$T,0)),"")</f>
        <v/>
      </c>
    </row>
    <row r="449">
      <c r="A449" s="3">
        <f>IFERROR(IF(COUNTIF('Data Source'!$T:$T,447)&gt;0,447,""),"")</f>
        <v/>
      </c>
      <c r="B449">
        <f>IFERROR(INDEX('Data Source'!$B:$B,MATCH(447,'Data Source'!$T:$T,0)),"")</f>
        <v/>
      </c>
      <c r="C449" s="3">
        <f>IFERROR(INDEX('Data Source'!$P:$P,MATCH(447,'Data Source'!$T:$T,0)),"")</f>
        <v/>
      </c>
      <c r="D449" s="5">
        <f>IFERROR(INDEX('Data Source'!$Q:$Q,MATCH(447,'Data Source'!$T:$T,0)),"")</f>
        <v/>
      </c>
      <c r="E449" s="5">
        <f>IFERROR(INDEX('Data Source'!$R:$R,MATCH(447,'Data Source'!$T:$T,0)),"")</f>
        <v/>
      </c>
      <c r="F449" s="3">
        <f>IFERROR(INDEX('Data Source'!$S:$S,MATCH(447,'Data Source'!$T:$T,0)),"")</f>
        <v/>
      </c>
    </row>
    <row r="450">
      <c r="A450" s="3">
        <f>IFERROR(IF(COUNTIF('Data Source'!$T:$T,448)&gt;0,448,""),"")</f>
        <v/>
      </c>
      <c r="B450">
        <f>IFERROR(INDEX('Data Source'!$B:$B,MATCH(448,'Data Source'!$T:$T,0)),"")</f>
        <v/>
      </c>
      <c r="C450" s="3">
        <f>IFERROR(INDEX('Data Source'!$P:$P,MATCH(448,'Data Source'!$T:$T,0)),"")</f>
        <v/>
      </c>
      <c r="D450" s="5">
        <f>IFERROR(INDEX('Data Source'!$Q:$Q,MATCH(448,'Data Source'!$T:$T,0)),"")</f>
        <v/>
      </c>
      <c r="E450" s="5">
        <f>IFERROR(INDEX('Data Source'!$R:$R,MATCH(448,'Data Source'!$T:$T,0)),"")</f>
        <v/>
      </c>
      <c r="F450" s="3">
        <f>IFERROR(INDEX('Data Source'!$S:$S,MATCH(448,'Data Source'!$T:$T,0)),"")</f>
        <v/>
      </c>
    </row>
    <row r="451">
      <c r="A451" s="3">
        <f>IFERROR(IF(COUNTIF('Data Source'!$T:$T,449)&gt;0,449,""),"")</f>
        <v/>
      </c>
      <c r="B451">
        <f>IFERROR(INDEX('Data Source'!$B:$B,MATCH(449,'Data Source'!$T:$T,0)),"")</f>
        <v/>
      </c>
      <c r="C451" s="3">
        <f>IFERROR(INDEX('Data Source'!$P:$P,MATCH(449,'Data Source'!$T:$T,0)),"")</f>
        <v/>
      </c>
      <c r="D451" s="5">
        <f>IFERROR(INDEX('Data Source'!$Q:$Q,MATCH(449,'Data Source'!$T:$T,0)),"")</f>
        <v/>
      </c>
      <c r="E451" s="5">
        <f>IFERROR(INDEX('Data Source'!$R:$R,MATCH(449,'Data Source'!$T:$T,0)),"")</f>
        <v/>
      </c>
      <c r="F451" s="3">
        <f>IFERROR(INDEX('Data Source'!$S:$S,MATCH(449,'Data Source'!$T:$T,0)),"")</f>
        <v/>
      </c>
    </row>
    <row r="452">
      <c r="A452" s="3">
        <f>IFERROR(IF(COUNTIF('Data Source'!$T:$T,450)&gt;0,450,""),"")</f>
        <v/>
      </c>
      <c r="B452">
        <f>IFERROR(INDEX('Data Source'!$B:$B,MATCH(450,'Data Source'!$T:$T,0)),"")</f>
        <v/>
      </c>
      <c r="C452" s="3">
        <f>IFERROR(INDEX('Data Source'!$P:$P,MATCH(450,'Data Source'!$T:$T,0)),"")</f>
        <v/>
      </c>
      <c r="D452" s="5">
        <f>IFERROR(INDEX('Data Source'!$Q:$Q,MATCH(450,'Data Source'!$T:$T,0)),"")</f>
        <v/>
      </c>
      <c r="E452" s="5">
        <f>IFERROR(INDEX('Data Source'!$R:$R,MATCH(450,'Data Source'!$T:$T,0)),"")</f>
        <v/>
      </c>
      <c r="F452" s="3">
        <f>IFERROR(INDEX('Data Source'!$S:$S,MATCH(450,'Data Source'!$T:$T,0)),"")</f>
        <v/>
      </c>
    </row>
    <row r="453">
      <c r="A453" s="3">
        <f>IFERROR(IF(COUNTIF('Data Source'!$T:$T,451)&gt;0,451,""),"")</f>
        <v/>
      </c>
      <c r="B453">
        <f>IFERROR(INDEX('Data Source'!$B:$B,MATCH(451,'Data Source'!$T:$T,0)),"")</f>
        <v/>
      </c>
      <c r="C453" s="3">
        <f>IFERROR(INDEX('Data Source'!$P:$P,MATCH(451,'Data Source'!$T:$T,0)),"")</f>
        <v/>
      </c>
      <c r="D453" s="5">
        <f>IFERROR(INDEX('Data Source'!$Q:$Q,MATCH(451,'Data Source'!$T:$T,0)),"")</f>
        <v/>
      </c>
      <c r="E453" s="5">
        <f>IFERROR(INDEX('Data Source'!$R:$R,MATCH(451,'Data Source'!$T:$T,0)),"")</f>
        <v/>
      </c>
      <c r="F453" s="3">
        <f>IFERROR(INDEX('Data Source'!$S:$S,MATCH(451,'Data Source'!$T:$T,0)),"")</f>
        <v/>
      </c>
    </row>
    <row r="454">
      <c r="A454" s="3">
        <f>IFERROR(IF(COUNTIF('Data Source'!$T:$T,452)&gt;0,452,""),"")</f>
        <v/>
      </c>
      <c r="B454">
        <f>IFERROR(INDEX('Data Source'!$B:$B,MATCH(452,'Data Source'!$T:$T,0)),"")</f>
        <v/>
      </c>
      <c r="C454" s="3">
        <f>IFERROR(INDEX('Data Source'!$P:$P,MATCH(452,'Data Source'!$T:$T,0)),"")</f>
        <v/>
      </c>
      <c r="D454" s="5">
        <f>IFERROR(INDEX('Data Source'!$Q:$Q,MATCH(452,'Data Source'!$T:$T,0)),"")</f>
        <v/>
      </c>
      <c r="E454" s="5">
        <f>IFERROR(INDEX('Data Source'!$R:$R,MATCH(452,'Data Source'!$T:$T,0)),"")</f>
        <v/>
      </c>
      <c r="F454" s="3">
        <f>IFERROR(INDEX('Data Source'!$S:$S,MATCH(452,'Data Source'!$T:$T,0)),"")</f>
        <v/>
      </c>
    </row>
    <row r="455">
      <c r="A455" s="3">
        <f>IFERROR(IF(COUNTIF('Data Source'!$T:$T,453)&gt;0,453,""),"")</f>
        <v/>
      </c>
      <c r="B455">
        <f>IFERROR(INDEX('Data Source'!$B:$B,MATCH(453,'Data Source'!$T:$T,0)),"")</f>
        <v/>
      </c>
      <c r="C455" s="3">
        <f>IFERROR(INDEX('Data Source'!$P:$P,MATCH(453,'Data Source'!$T:$T,0)),"")</f>
        <v/>
      </c>
      <c r="D455" s="5">
        <f>IFERROR(INDEX('Data Source'!$Q:$Q,MATCH(453,'Data Source'!$T:$T,0)),"")</f>
        <v/>
      </c>
      <c r="E455" s="5">
        <f>IFERROR(INDEX('Data Source'!$R:$R,MATCH(453,'Data Source'!$T:$T,0)),"")</f>
        <v/>
      </c>
      <c r="F455" s="3">
        <f>IFERROR(INDEX('Data Source'!$S:$S,MATCH(453,'Data Source'!$T:$T,0)),"")</f>
        <v/>
      </c>
    </row>
    <row r="456">
      <c r="A456" s="3">
        <f>IFERROR(IF(COUNTIF('Data Source'!$T:$T,454)&gt;0,454,""),"")</f>
        <v/>
      </c>
      <c r="B456">
        <f>IFERROR(INDEX('Data Source'!$B:$B,MATCH(454,'Data Source'!$T:$T,0)),"")</f>
        <v/>
      </c>
      <c r="C456" s="3">
        <f>IFERROR(INDEX('Data Source'!$P:$P,MATCH(454,'Data Source'!$T:$T,0)),"")</f>
        <v/>
      </c>
      <c r="D456" s="5">
        <f>IFERROR(INDEX('Data Source'!$Q:$Q,MATCH(454,'Data Source'!$T:$T,0)),"")</f>
        <v/>
      </c>
      <c r="E456" s="5">
        <f>IFERROR(INDEX('Data Source'!$R:$R,MATCH(454,'Data Source'!$T:$T,0)),"")</f>
        <v/>
      </c>
      <c r="F456" s="3">
        <f>IFERROR(INDEX('Data Source'!$S:$S,MATCH(454,'Data Source'!$T:$T,0)),"")</f>
        <v/>
      </c>
    </row>
    <row r="457">
      <c r="A457" s="3">
        <f>IFERROR(IF(COUNTIF('Data Source'!$T:$T,455)&gt;0,455,""),"")</f>
        <v/>
      </c>
      <c r="B457">
        <f>IFERROR(INDEX('Data Source'!$B:$B,MATCH(455,'Data Source'!$T:$T,0)),"")</f>
        <v/>
      </c>
      <c r="C457" s="3">
        <f>IFERROR(INDEX('Data Source'!$P:$P,MATCH(455,'Data Source'!$T:$T,0)),"")</f>
        <v/>
      </c>
      <c r="D457" s="5">
        <f>IFERROR(INDEX('Data Source'!$Q:$Q,MATCH(455,'Data Source'!$T:$T,0)),"")</f>
        <v/>
      </c>
      <c r="E457" s="5">
        <f>IFERROR(INDEX('Data Source'!$R:$R,MATCH(455,'Data Source'!$T:$T,0)),"")</f>
        <v/>
      </c>
      <c r="F457" s="3">
        <f>IFERROR(INDEX('Data Source'!$S:$S,MATCH(455,'Data Source'!$T:$T,0)),"")</f>
        <v/>
      </c>
    </row>
    <row r="458">
      <c r="A458" s="3">
        <f>IFERROR(IF(COUNTIF('Data Source'!$T:$T,456)&gt;0,456,""),"")</f>
        <v/>
      </c>
      <c r="B458">
        <f>IFERROR(INDEX('Data Source'!$B:$B,MATCH(456,'Data Source'!$T:$T,0)),"")</f>
        <v/>
      </c>
      <c r="C458" s="3">
        <f>IFERROR(INDEX('Data Source'!$P:$P,MATCH(456,'Data Source'!$T:$T,0)),"")</f>
        <v/>
      </c>
      <c r="D458" s="5">
        <f>IFERROR(INDEX('Data Source'!$Q:$Q,MATCH(456,'Data Source'!$T:$T,0)),"")</f>
        <v/>
      </c>
      <c r="E458" s="5">
        <f>IFERROR(INDEX('Data Source'!$R:$R,MATCH(456,'Data Source'!$T:$T,0)),"")</f>
        <v/>
      </c>
      <c r="F458" s="3">
        <f>IFERROR(INDEX('Data Source'!$S:$S,MATCH(456,'Data Source'!$T:$T,0)),"")</f>
        <v/>
      </c>
    </row>
    <row r="459">
      <c r="A459" s="3">
        <f>IFERROR(IF(COUNTIF('Data Source'!$T:$T,457)&gt;0,457,""),"")</f>
        <v/>
      </c>
      <c r="B459">
        <f>IFERROR(INDEX('Data Source'!$B:$B,MATCH(457,'Data Source'!$T:$T,0)),"")</f>
        <v/>
      </c>
      <c r="C459" s="3">
        <f>IFERROR(INDEX('Data Source'!$P:$P,MATCH(457,'Data Source'!$T:$T,0)),"")</f>
        <v/>
      </c>
      <c r="D459" s="5">
        <f>IFERROR(INDEX('Data Source'!$Q:$Q,MATCH(457,'Data Source'!$T:$T,0)),"")</f>
        <v/>
      </c>
      <c r="E459" s="5">
        <f>IFERROR(INDEX('Data Source'!$R:$R,MATCH(457,'Data Source'!$T:$T,0)),"")</f>
        <v/>
      </c>
      <c r="F459" s="3">
        <f>IFERROR(INDEX('Data Source'!$S:$S,MATCH(457,'Data Source'!$T:$T,0)),"")</f>
        <v/>
      </c>
    </row>
    <row r="460">
      <c r="A460" s="3">
        <f>IFERROR(IF(COUNTIF('Data Source'!$T:$T,458)&gt;0,458,""),"")</f>
        <v/>
      </c>
      <c r="B460">
        <f>IFERROR(INDEX('Data Source'!$B:$B,MATCH(458,'Data Source'!$T:$T,0)),"")</f>
        <v/>
      </c>
      <c r="C460" s="3">
        <f>IFERROR(INDEX('Data Source'!$P:$P,MATCH(458,'Data Source'!$T:$T,0)),"")</f>
        <v/>
      </c>
      <c r="D460" s="5">
        <f>IFERROR(INDEX('Data Source'!$Q:$Q,MATCH(458,'Data Source'!$T:$T,0)),"")</f>
        <v/>
      </c>
      <c r="E460" s="5">
        <f>IFERROR(INDEX('Data Source'!$R:$R,MATCH(458,'Data Source'!$T:$T,0)),"")</f>
        <v/>
      </c>
      <c r="F460" s="3">
        <f>IFERROR(INDEX('Data Source'!$S:$S,MATCH(458,'Data Source'!$T:$T,0)),"")</f>
        <v/>
      </c>
    </row>
    <row r="461">
      <c r="A461" s="3">
        <f>IFERROR(IF(COUNTIF('Data Source'!$T:$T,459)&gt;0,459,""),"")</f>
        <v/>
      </c>
      <c r="B461">
        <f>IFERROR(INDEX('Data Source'!$B:$B,MATCH(459,'Data Source'!$T:$T,0)),"")</f>
        <v/>
      </c>
      <c r="C461" s="3">
        <f>IFERROR(INDEX('Data Source'!$P:$P,MATCH(459,'Data Source'!$T:$T,0)),"")</f>
        <v/>
      </c>
      <c r="D461" s="5">
        <f>IFERROR(INDEX('Data Source'!$Q:$Q,MATCH(459,'Data Source'!$T:$T,0)),"")</f>
        <v/>
      </c>
      <c r="E461" s="5">
        <f>IFERROR(INDEX('Data Source'!$R:$R,MATCH(459,'Data Source'!$T:$T,0)),"")</f>
        <v/>
      </c>
      <c r="F461" s="3">
        <f>IFERROR(INDEX('Data Source'!$S:$S,MATCH(459,'Data Source'!$T:$T,0)),"")</f>
        <v/>
      </c>
    </row>
    <row r="462">
      <c r="A462" s="3">
        <f>IFERROR(IF(COUNTIF('Data Source'!$T:$T,460)&gt;0,460,""),"")</f>
        <v/>
      </c>
      <c r="B462">
        <f>IFERROR(INDEX('Data Source'!$B:$B,MATCH(460,'Data Source'!$T:$T,0)),"")</f>
        <v/>
      </c>
      <c r="C462" s="3">
        <f>IFERROR(INDEX('Data Source'!$P:$P,MATCH(460,'Data Source'!$T:$T,0)),"")</f>
        <v/>
      </c>
      <c r="D462" s="5">
        <f>IFERROR(INDEX('Data Source'!$Q:$Q,MATCH(460,'Data Source'!$T:$T,0)),"")</f>
        <v/>
      </c>
      <c r="E462" s="5">
        <f>IFERROR(INDEX('Data Source'!$R:$R,MATCH(460,'Data Source'!$T:$T,0)),"")</f>
        <v/>
      </c>
      <c r="F462" s="3">
        <f>IFERROR(INDEX('Data Source'!$S:$S,MATCH(460,'Data Source'!$T:$T,0)),"")</f>
        <v/>
      </c>
    </row>
    <row r="463">
      <c r="A463" s="3">
        <f>IFERROR(IF(COUNTIF('Data Source'!$T:$T,461)&gt;0,461,""),"")</f>
        <v/>
      </c>
      <c r="B463">
        <f>IFERROR(INDEX('Data Source'!$B:$B,MATCH(461,'Data Source'!$T:$T,0)),"")</f>
        <v/>
      </c>
      <c r="C463" s="3">
        <f>IFERROR(INDEX('Data Source'!$P:$P,MATCH(461,'Data Source'!$T:$T,0)),"")</f>
        <v/>
      </c>
      <c r="D463" s="5">
        <f>IFERROR(INDEX('Data Source'!$Q:$Q,MATCH(461,'Data Source'!$T:$T,0)),"")</f>
        <v/>
      </c>
      <c r="E463" s="5">
        <f>IFERROR(INDEX('Data Source'!$R:$R,MATCH(461,'Data Source'!$T:$T,0)),"")</f>
        <v/>
      </c>
      <c r="F463" s="3">
        <f>IFERROR(INDEX('Data Source'!$S:$S,MATCH(461,'Data Source'!$T:$T,0)),"")</f>
        <v/>
      </c>
    </row>
    <row r="464">
      <c r="A464" s="3">
        <f>IFERROR(IF(COUNTIF('Data Source'!$T:$T,462)&gt;0,462,""),"")</f>
        <v/>
      </c>
      <c r="B464">
        <f>IFERROR(INDEX('Data Source'!$B:$B,MATCH(462,'Data Source'!$T:$T,0)),"")</f>
        <v/>
      </c>
      <c r="C464" s="3">
        <f>IFERROR(INDEX('Data Source'!$P:$P,MATCH(462,'Data Source'!$T:$T,0)),"")</f>
        <v/>
      </c>
      <c r="D464" s="5">
        <f>IFERROR(INDEX('Data Source'!$Q:$Q,MATCH(462,'Data Source'!$T:$T,0)),"")</f>
        <v/>
      </c>
      <c r="E464" s="5">
        <f>IFERROR(INDEX('Data Source'!$R:$R,MATCH(462,'Data Source'!$T:$T,0)),"")</f>
        <v/>
      </c>
      <c r="F464" s="3">
        <f>IFERROR(INDEX('Data Source'!$S:$S,MATCH(462,'Data Source'!$T:$T,0)),"")</f>
        <v/>
      </c>
    </row>
    <row r="465">
      <c r="A465" s="3">
        <f>IFERROR(IF(COUNTIF('Data Source'!$T:$T,463)&gt;0,463,""),"")</f>
        <v/>
      </c>
      <c r="B465">
        <f>IFERROR(INDEX('Data Source'!$B:$B,MATCH(463,'Data Source'!$T:$T,0)),"")</f>
        <v/>
      </c>
      <c r="C465" s="3">
        <f>IFERROR(INDEX('Data Source'!$P:$P,MATCH(463,'Data Source'!$T:$T,0)),"")</f>
        <v/>
      </c>
      <c r="D465" s="5">
        <f>IFERROR(INDEX('Data Source'!$Q:$Q,MATCH(463,'Data Source'!$T:$T,0)),"")</f>
        <v/>
      </c>
      <c r="E465" s="5">
        <f>IFERROR(INDEX('Data Source'!$R:$R,MATCH(463,'Data Source'!$T:$T,0)),"")</f>
        <v/>
      </c>
      <c r="F465" s="3">
        <f>IFERROR(INDEX('Data Source'!$S:$S,MATCH(463,'Data Source'!$T:$T,0)),"")</f>
        <v/>
      </c>
    </row>
    <row r="466">
      <c r="A466" s="3">
        <f>IFERROR(IF(COUNTIF('Data Source'!$T:$T,464)&gt;0,464,""),"")</f>
        <v/>
      </c>
      <c r="B466">
        <f>IFERROR(INDEX('Data Source'!$B:$B,MATCH(464,'Data Source'!$T:$T,0)),"")</f>
        <v/>
      </c>
      <c r="C466" s="3">
        <f>IFERROR(INDEX('Data Source'!$P:$P,MATCH(464,'Data Source'!$T:$T,0)),"")</f>
        <v/>
      </c>
      <c r="D466" s="5">
        <f>IFERROR(INDEX('Data Source'!$Q:$Q,MATCH(464,'Data Source'!$T:$T,0)),"")</f>
        <v/>
      </c>
      <c r="E466" s="5">
        <f>IFERROR(INDEX('Data Source'!$R:$R,MATCH(464,'Data Source'!$T:$T,0)),"")</f>
        <v/>
      </c>
      <c r="F466" s="3">
        <f>IFERROR(INDEX('Data Source'!$S:$S,MATCH(464,'Data Source'!$T:$T,0)),"")</f>
        <v/>
      </c>
    </row>
    <row r="467">
      <c r="A467" s="3">
        <f>IFERROR(IF(COUNTIF('Data Source'!$T:$T,465)&gt;0,465,""),"")</f>
        <v/>
      </c>
      <c r="B467">
        <f>IFERROR(INDEX('Data Source'!$B:$B,MATCH(465,'Data Source'!$T:$T,0)),"")</f>
        <v/>
      </c>
      <c r="C467" s="3">
        <f>IFERROR(INDEX('Data Source'!$P:$P,MATCH(465,'Data Source'!$T:$T,0)),"")</f>
        <v/>
      </c>
      <c r="D467" s="5">
        <f>IFERROR(INDEX('Data Source'!$Q:$Q,MATCH(465,'Data Source'!$T:$T,0)),"")</f>
        <v/>
      </c>
      <c r="E467" s="5">
        <f>IFERROR(INDEX('Data Source'!$R:$R,MATCH(465,'Data Source'!$T:$T,0)),"")</f>
        <v/>
      </c>
      <c r="F467" s="3">
        <f>IFERROR(INDEX('Data Source'!$S:$S,MATCH(465,'Data Source'!$T:$T,0)),"")</f>
        <v/>
      </c>
    </row>
    <row r="468">
      <c r="A468" s="3">
        <f>IFERROR(IF(COUNTIF('Data Source'!$T:$T,466)&gt;0,466,""),"")</f>
        <v/>
      </c>
      <c r="B468">
        <f>IFERROR(INDEX('Data Source'!$B:$B,MATCH(466,'Data Source'!$T:$T,0)),"")</f>
        <v/>
      </c>
      <c r="C468" s="3">
        <f>IFERROR(INDEX('Data Source'!$P:$P,MATCH(466,'Data Source'!$T:$T,0)),"")</f>
        <v/>
      </c>
      <c r="D468" s="5">
        <f>IFERROR(INDEX('Data Source'!$Q:$Q,MATCH(466,'Data Source'!$T:$T,0)),"")</f>
        <v/>
      </c>
      <c r="E468" s="5">
        <f>IFERROR(INDEX('Data Source'!$R:$R,MATCH(466,'Data Source'!$T:$T,0)),"")</f>
        <v/>
      </c>
      <c r="F468" s="3">
        <f>IFERROR(INDEX('Data Source'!$S:$S,MATCH(466,'Data Source'!$T:$T,0)),"")</f>
        <v/>
      </c>
    </row>
    <row r="469">
      <c r="A469" s="3">
        <f>IFERROR(IF(COUNTIF('Data Source'!$T:$T,467)&gt;0,467,""),"")</f>
        <v/>
      </c>
      <c r="B469">
        <f>IFERROR(INDEX('Data Source'!$B:$B,MATCH(467,'Data Source'!$T:$T,0)),"")</f>
        <v/>
      </c>
      <c r="C469" s="3">
        <f>IFERROR(INDEX('Data Source'!$P:$P,MATCH(467,'Data Source'!$T:$T,0)),"")</f>
        <v/>
      </c>
      <c r="D469" s="5">
        <f>IFERROR(INDEX('Data Source'!$Q:$Q,MATCH(467,'Data Source'!$T:$T,0)),"")</f>
        <v/>
      </c>
      <c r="E469" s="5">
        <f>IFERROR(INDEX('Data Source'!$R:$R,MATCH(467,'Data Source'!$T:$T,0)),"")</f>
        <v/>
      </c>
      <c r="F469" s="3">
        <f>IFERROR(INDEX('Data Source'!$S:$S,MATCH(467,'Data Source'!$T:$T,0)),"")</f>
        <v/>
      </c>
    </row>
    <row r="470">
      <c r="A470" s="3">
        <f>IFERROR(IF(COUNTIF('Data Source'!$T:$T,468)&gt;0,468,""),"")</f>
        <v/>
      </c>
      <c r="B470">
        <f>IFERROR(INDEX('Data Source'!$B:$B,MATCH(468,'Data Source'!$T:$T,0)),"")</f>
        <v/>
      </c>
      <c r="C470" s="3">
        <f>IFERROR(INDEX('Data Source'!$P:$P,MATCH(468,'Data Source'!$T:$T,0)),"")</f>
        <v/>
      </c>
      <c r="D470" s="5">
        <f>IFERROR(INDEX('Data Source'!$Q:$Q,MATCH(468,'Data Source'!$T:$T,0)),"")</f>
        <v/>
      </c>
      <c r="E470" s="5">
        <f>IFERROR(INDEX('Data Source'!$R:$R,MATCH(468,'Data Source'!$T:$T,0)),"")</f>
        <v/>
      </c>
      <c r="F470" s="3">
        <f>IFERROR(INDEX('Data Source'!$S:$S,MATCH(468,'Data Source'!$T:$T,0)),"")</f>
        <v/>
      </c>
    </row>
    <row r="471">
      <c r="A471" s="3">
        <f>IFERROR(IF(COUNTIF('Data Source'!$T:$T,469)&gt;0,469,""),"")</f>
        <v/>
      </c>
      <c r="B471">
        <f>IFERROR(INDEX('Data Source'!$B:$B,MATCH(469,'Data Source'!$T:$T,0)),"")</f>
        <v/>
      </c>
      <c r="C471" s="3">
        <f>IFERROR(INDEX('Data Source'!$P:$P,MATCH(469,'Data Source'!$T:$T,0)),"")</f>
        <v/>
      </c>
      <c r="D471" s="5">
        <f>IFERROR(INDEX('Data Source'!$Q:$Q,MATCH(469,'Data Source'!$T:$T,0)),"")</f>
        <v/>
      </c>
      <c r="E471" s="5">
        <f>IFERROR(INDEX('Data Source'!$R:$R,MATCH(469,'Data Source'!$T:$T,0)),"")</f>
        <v/>
      </c>
      <c r="F471" s="3">
        <f>IFERROR(INDEX('Data Source'!$S:$S,MATCH(469,'Data Source'!$T:$T,0)),"")</f>
        <v/>
      </c>
    </row>
    <row r="472">
      <c r="A472" s="3">
        <f>IFERROR(IF(COUNTIF('Data Source'!$T:$T,470)&gt;0,470,""),"")</f>
        <v/>
      </c>
      <c r="B472">
        <f>IFERROR(INDEX('Data Source'!$B:$B,MATCH(470,'Data Source'!$T:$T,0)),"")</f>
        <v/>
      </c>
      <c r="C472" s="3">
        <f>IFERROR(INDEX('Data Source'!$P:$P,MATCH(470,'Data Source'!$T:$T,0)),"")</f>
        <v/>
      </c>
      <c r="D472" s="5">
        <f>IFERROR(INDEX('Data Source'!$Q:$Q,MATCH(470,'Data Source'!$T:$T,0)),"")</f>
        <v/>
      </c>
      <c r="E472" s="5">
        <f>IFERROR(INDEX('Data Source'!$R:$R,MATCH(470,'Data Source'!$T:$T,0)),"")</f>
        <v/>
      </c>
      <c r="F472" s="3">
        <f>IFERROR(INDEX('Data Source'!$S:$S,MATCH(470,'Data Source'!$T:$T,0)),"")</f>
        <v/>
      </c>
    </row>
    <row r="473">
      <c r="A473" s="3">
        <f>IFERROR(IF(COUNTIF('Data Source'!$T:$T,471)&gt;0,471,""),"")</f>
        <v/>
      </c>
      <c r="B473">
        <f>IFERROR(INDEX('Data Source'!$B:$B,MATCH(471,'Data Source'!$T:$T,0)),"")</f>
        <v/>
      </c>
      <c r="C473" s="3">
        <f>IFERROR(INDEX('Data Source'!$P:$P,MATCH(471,'Data Source'!$T:$T,0)),"")</f>
        <v/>
      </c>
      <c r="D473" s="5">
        <f>IFERROR(INDEX('Data Source'!$Q:$Q,MATCH(471,'Data Source'!$T:$T,0)),"")</f>
        <v/>
      </c>
      <c r="E473" s="5">
        <f>IFERROR(INDEX('Data Source'!$R:$R,MATCH(471,'Data Source'!$T:$T,0)),"")</f>
        <v/>
      </c>
      <c r="F473" s="3">
        <f>IFERROR(INDEX('Data Source'!$S:$S,MATCH(471,'Data Source'!$T:$T,0)),"")</f>
        <v/>
      </c>
    </row>
    <row r="474">
      <c r="A474" s="3">
        <f>IFERROR(IF(COUNTIF('Data Source'!$T:$T,472)&gt;0,472,""),"")</f>
        <v/>
      </c>
      <c r="B474">
        <f>IFERROR(INDEX('Data Source'!$B:$B,MATCH(472,'Data Source'!$T:$T,0)),"")</f>
        <v/>
      </c>
      <c r="C474" s="3">
        <f>IFERROR(INDEX('Data Source'!$P:$P,MATCH(472,'Data Source'!$T:$T,0)),"")</f>
        <v/>
      </c>
      <c r="D474" s="5">
        <f>IFERROR(INDEX('Data Source'!$Q:$Q,MATCH(472,'Data Source'!$T:$T,0)),"")</f>
        <v/>
      </c>
      <c r="E474" s="5">
        <f>IFERROR(INDEX('Data Source'!$R:$R,MATCH(472,'Data Source'!$T:$T,0)),"")</f>
        <v/>
      </c>
      <c r="F474" s="3">
        <f>IFERROR(INDEX('Data Source'!$S:$S,MATCH(472,'Data Source'!$T:$T,0)),"")</f>
        <v/>
      </c>
    </row>
    <row r="475">
      <c r="A475" s="3">
        <f>IFERROR(IF(COUNTIF('Data Source'!$T:$T,473)&gt;0,473,""),"")</f>
        <v/>
      </c>
      <c r="B475">
        <f>IFERROR(INDEX('Data Source'!$B:$B,MATCH(473,'Data Source'!$T:$T,0)),"")</f>
        <v/>
      </c>
      <c r="C475" s="3">
        <f>IFERROR(INDEX('Data Source'!$P:$P,MATCH(473,'Data Source'!$T:$T,0)),"")</f>
        <v/>
      </c>
      <c r="D475" s="5">
        <f>IFERROR(INDEX('Data Source'!$Q:$Q,MATCH(473,'Data Source'!$T:$T,0)),"")</f>
        <v/>
      </c>
      <c r="E475" s="5">
        <f>IFERROR(INDEX('Data Source'!$R:$R,MATCH(473,'Data Source'!$T:$T,0)),"")</f>
        <v/>
      </c>
      <c r="F475" s="3">
        <f>IFERROR(INDEX('Data Source'!$S:$S,MATCH(473,'Data Source'!$T:$T,0)),"")</f>
        <v/>
      </c>
    </row>
    <row r="476">
      <c r="A476" s="3">
        <f>IFERROR(IF(COUNTIF('Data Source'!$T:$T,474)&gt;0,474,""),"")</f>
        <v/>
      </c>
      <c r="B476">
        <f>IFERROR(INDEX('Data Source'!$B:$B,MATCH(474,'Data Source'!$T:$T,0)),"")</f>
        <v/>
      </c>
      <c r="C476" s="3">
        <f>IFERROR(INDEX('Data Source'!$P:$P,MATCH(474,'Data Source'!$T:$T,0)),"")</f>
        <v/>
      </c>
      <c r="D476" s="5">
        <f>IFERROR(INDEX('Data Source'!$Q:$Q,MATCH(474,'Data Source'!$T:$T,0)),"")</f>
        <v/>
      </c>
      <c r="E476" s="5">
        <f>IFERROR(INDEX('Data Source'!$R:$R,MATCH(474,'Data Source'!$T:$T,0)),"")</f>
        <v/>
      </c>
      <c r="F476" s="3">
        <f>IFERROR(INDEX('Data Source'!$S:$S,MATCH(474,'Data Source'!$T:$T,0)),"")</f>
        <v/>
      </c>
    </row>
    <row r="477">
      <c r="A477" s="3">
        <f>IFERROR(IF(COUNTIF('Data Source'!$T:$T,475)&gt;0,475,""),"")</f>
        <v/>
      </c>
      <c r="B477">
        <f>IFERROR(INDEX('Data Source'!$B:$B,MATCH(475,'Data Source'!$T:$T,0)),"")</f>
        <v/>
      </c>
      <c r="C477" s="3">
        <f>IFERROR(INDEX('Data Source'!$P:$P,MATCH(475,'Data Source'!$T:$T,0)),"")</f>
        <v/>
      </c>
      <c r="D477" s="5">
        <f>IFERROR(INDEX('Data Source'!$Q:$Q,MATCH(475,'Data Source'!$T:$T,0)),"")</f>
        <v/>
      </c>
      <c r="E477" s="5">
        <f>IFERROR(INDEX('Data Source'!$R:$R,MATCH(475,'Data Source'!$T:$T,0)),"")</f>
        <v/>
      </c>
      <c r="F477" s="3">
        <f>IFERROR(INDEX('Data Source'!$S:$S,MATCH(475,'Data Source'!$T:$T,0)),"")</f>
        <v/>
      </c>
    </row>
    <row r="478">
      <c r="A478" s="3">
        <f>IFERROR(IF(COUNTIF('Data Source'!$T:$T,476)&gt;0,476,""),"")</f>
        <v/>
      </c>
      <c r="B478">
        <f>IFERROR(INDEX('Data Source'!$B:$B,MATCH(476,'Data Source'!$T:$T,0)),"")</f>
        <v/>
      </c>
      <c r="C478" s="3">
        <f>IFERROR(INDEX('Data Source'!$P:$P,MATCH(476,'Data Source'!$T:$T,0)),"")</f>
        <v/>
      </c>
      <c r="D478" s="5">
        <f>IFERROR(INDEX('Data Source'!$Q:$Q,MATCH(476,'Data Source'!$T:$T,0)),"")</f>
        <v/>
      </c>
      <c r="E478" s="5">
        <f>IFERROR(INDEX('Data Source'!$R:$R,MATCH(476,'Data Source'!$T:$T,0)),"")</f>
        <v/>
      </c>
      <c r="F478" s="3">
        <f>IFERROR(INDEX('Data Source'!$S:$S,MATCH(476,'Data Source'!$T:$T,0)),"")</f>
        <v/>
      </c>
    </row>
    <row r="479">
      <c r="A479" s="3">
        <f>IFERROR(IF(COUNTIF('Data Source'!$T:$T,477)&gt;0,477,""),"")</f>
        <v/>
      </c>
      <c r="B479">
        <f>IFERROR(INDEX('Data Source'!$B:$B,MATCH(477,'Data Source'!$T:$T,0)),"")</f>
        <v/>
      </c>
      <c r="C479" s="3">
        <f>IFERROR(INDEX('Data Source'!$P:$P,MATCH(477,'Data Source'!$T:$T,0)),"")</f>
        <v/>
      </c>
      <c r="D479" s="5">
        <f>IFERROR(INDEX('Data Source'!$Q:$Q,MATCH(477,'Data Source'!$T:$T,0)),"")</f>
        <v/>
      </c>
      <c r="E479" s="5">
        <f>IFERROR(INDEX('Data Source'!$R:$R,MATCH(477,'Data Source'!$T:$T,0)),"")</f>
        <v/>
      </c>
      <c r="F479" s="3">
        <f>IFERROR(INDEX('Data Source'!$S:$S,MATCH(477,'Data Source'!$T:$T,0)),"")</f>
        <v/>
      </c>
    </row>
    <row r="480">
      <c r="A480" s="3">
        <f>IFERROR(IF(COUNTIF('Data Source'!$T:$T,478)&gt;0,478,""),"")</f>
        <v/>
      </c>
      <c r="B480">
        <f>IFERROR(INDEX('Data Source'!$B:$B,MATCH(478,'Data Source'!$T:$T,0)),"")</f>
        <v/>
      </c>
      <c r="C480" s="3">
        <f>IFERROR(INDEX('Data Source'!$P:$P,MATCH(478,'Data Source'!$T:$T,0)),"")</f>
        <v/>
      </c>
      <c r="D480" s="5">
        <f>IFERROR(INDEX('Data Source'!$Q:$Q,MATCH(478,'Data Source'!$T:$T,0)),"")</f>
        <v/>
      </c>
      <c r="E480" s="5">
        <f>IFERROR(INDEX('Data Source'!$R:$R,MATCH(478,'Data Source'!$T:$T,0)),"")</f>
        <v/>
      </c>
      <c r="F480" s="3">
        <f>IFERROR(INDEX('Data Source'!$S:$S,MATCH(478,'Data Source'!$T:$T,0)),"")</f>
        <v/>
      </c>
    </row>
    <row r="481">
      <c r="A481" s="3">
        <f>IFERROR(IF(COUNTIF('Data Source'!$T:$T,479)&gt;0,479,""),"")</f>
        <v/>
      </c>
      <c r="B481">
        <f>IFERROR(INDEX('Data Source'!$B:$B,MATCH(479,'Data Source'!$T:$T,0)),"")</f>
        <v/>
      </c>
      <c r="C481" s="3">
        <f>IFERROR(INDEX('Data Source'!$P:$P,MATCH(479,'Data Source'!$T:$T,0)),"")</f>
        <v/>
      </c>
      <c r="D481" s="5">
        <f>IFERROR(INDEX('Data Source'!$Q:$Q,MATCH(479,'Data Source'!$T:$T,0)),"")</f>
        <v/>
      </c>
      <c r="E481" s="5">
        <f>IFERROR(INDEX('Data Source'!$R:$R,MATCH(479,'Data Source'!$T:$T,0)),"")</f>
        <v/>
      </c>
      <c r="F481" s="3">
        <f>IFERROR(INDEX('Data Source'!$S:$S,MATCH(479,'Data Source'!$T:$T,0)),"")</f>
        <v/>
      </c>
    </row>
    <row r="482">
      <c r="A482" s="3">
        <f>IFERROR(IF(COUNTIF('Data Source'!$T:$T,480)&gt;0,480,""),"")</f>
        <v/>
      </c>
      <c r="B482">
        <f>IFERROR(INDEX('Data Source'!$B:$B,MATCH(480,'Data Source'!$T:$T,0)),"")</f>
        <v/>
      </c>
      <c r="C482" s="3">
        <f>IFERROR(INDEX('Data Source'!$P:$P,MATCH(480,'Data Source'!$T:$T,0)),"")</f>
        <v/>
      </c>
      <c r="D482" s="5">
        <f>IFERROR(INDEX('Data Source'!$Q:$Q,MATCH(480,'Data Source'!$T:$T,0)),"")</f>
        <v/>
      </c>
      <c r="E482" s="5">
        <f>IFERROR(INDEX('Data Source'!$R:$R,MATCH(480,'Data Source'!$T:$T,0)),"")</f>
        <v/>
      </c>
      <c r="F482" s="3">
        <f>IFERROR(INDEX('Data Source'!$S:$S,MATCH(480,'Data Source'!$T:$T,0)),"")</f>
        <v/>
      </c>
    </row>
    <row r="483">
      <c r="A483" s="3">
        <f>IFERROR(IF(COUNTIF('Data Source'!$T:$T,481)&gt;0,481,""),"")</f>
        <v/>
      </c>
      <c r="B483">
        <f>IFERROR(INDEX('Data Source'!$B:$B,MATCH(481,'Data Source'!$T:$T,0)),"")</f>
        <v/>
      </c>
      <c r="C483" s="3">
        <f>IFERROR(INDEX('Data Source'!$P:$P,MATCH(481,'Data Source'!$T:$T,0)),"")</f>
        <v/>
      </c>
      <c r="D483" s="5">
        <f>IFERROR(INDEX('Data Source'!$Q:$Q,MATCH(481,'Data Source'!$T:$T,0)),"")</f>
        <v/>
      </c>
      <c r="E483" s="5">
        <f>IFERROR(INDEX('Data Source'!$R:$R,MATCH(481,'Data Source'!$T:$T,0)),"")</f>
        <v/>
      </c>
      <c r="F483" s="3">
        <f>IFERROR(INDEX('Data Source'!$S:$S,MATCH(481,'Data Source'!$T:$T,0)),"")</f>
        <v/>
      </c>
    </row>
    <row r="484">
      <c r="A484" s="3">
        <f>IFERROR(IF(COUNTIF('Data Source'!$T:$T,482)&gt;0,482,""),"")</f>
        <v/>
      </c>
      <c r="B484">
        <f>IFERROR(INDEX('Data Source'!$B:$B,MATCH(482,'Data Source'!$T:$T,0)),"")</f>
        <v/>
      </c>
      <c r="C484" s="3">
        <f>IFERROR(INDEX('Data Source'!$P:$P,MATCH(482,'Data Source'!$T:$T,0)),"")</f>
        <v/>
      </c>
      <c r="D484" s="5">
        <f>IFERROR(INDEX('Data Source'!$Q:$Q,MATCH(482,'Data Source'!$T:$T,0)),"")</f>
        <v/>
      </c>
      <c r="E484" s="5">
        <f>IFERROR(INDEX('Data Source'!$R:$R,MATCH(482,'Data Source'!$T:$T,0)),"")</f>
        <v/>
      </c>
      <c r="F484" s="3">
        <f>IFERROR(INDEX('Data Source'!$S:$S,MATCH(482,'Data Source'!$T:$T,0)),"")</f>
        <v/>
      </c>
    </row>
    <row r="485">
      <c r="A485" s="3">
        <f>IFERROR(IF(COUNTIF('Data Source'!$T:$T,483)&gt;0,483,""),"")</f>
        <v/>
      </c>
      <c r="B485">
        <f>IFERROR(INDEX('Data Source'!$B:$B,MATCH(483,'Data Source'!$T:$T,0)),"")</f>
        <v/>
      </c>
      <c r="C485" s="3">
        <f>IFERROR(INDEX('Data Source'!$P:$P,MATCH(483,'Data Source'!$T:$T,0)),"")</f>
        <v/>
      </c>
      <c r="D485" s="5">
        <f>IFERROR(INDEX('Data Source'!$Q:$Q,MATCH(483,'Data Source'!$T:$T,0)),"")</f>
        <v/>
      </c>
      <c r="E485" s="5">
        <f>IFERROR(INDEX('Data Source'!$R:$R,MATCH(483,'Data Source'!$T:$T,0)),"")</f>
        <v/>
      </c>
      <c r="F485" s="3">
        <f>IFERROR(INDEX('Data Source'!$S:$S,MATCH(483,'Data Source'!$T:$T,0)),"")</f>
        <v/>
      </c>
    </row>
    <row r="486">
      <c r="A486" s="3">
        <f>IFERROR(IF(COUNTIF('Data Source'!$T:$T,484)&gt;0,484,""),"")</f>
        <v/>
      </c>
      <c r="B486">
        <f>IFERROR(INDEX('Data Source'!$B:$B,MATCH(484,'Data Source'!$T:$T,0)),"")</f>
        <v/>
      </c>
      <c r="C486" s="3">
        <f>IFERROR(INDEX('Data Source'!$P:$P,MATCH(484,'Data Source'!$T:$T,0)),"")</f>
        <v/>
      </c>
      <c r="D486" s="5">
        <f>IFERROR(INDEX('Data Source'!$Q:$Q,MATCH(484,'Data Source'!$T:$T,0)),"")</f>
        <v/>
      </c>
      <c r="E486" s="5">
        <f>IFERROR(INDEX('Data Source'!$R:$R,MATCH(484,'Data Source'!$T:$T,0)),"")</f>
        <v/>
      </c>
      <c r="F486" s="3">
        <f>IFERROR(INDEX('Data Source'!$S:$S,MATCH(484,'Data Source'!$T:$T,0)),"")</f>
        <v/>
      </c>
    </row>
    <row r="487">
      <c r="A487" s="3">
        <f>IFERROR(IF(COUNTIF('Data Source'!$T:$T,485)&gt;0,485,""),"")</f>
        <v/>
      </c>
      <c r="B487">
        <f>IFERROR(INDEX('Data Source'!$B:$B,MATCH(485,'Data Source'!$T:$T,0)),"")</f>
        <v/>
      </c>
      <c r="C487" s="3">
        <f>IFERROR(INDEX('Data Source'!$P:$P,MATCH(485,'Data Source'!$T:$T,0)),"")</f>
        <v/>
      </c>
      <c r="D487" s="5">
        <f>IFERROR(INDEX('Data Source'!$Q:$Q,MATCH(485,'Data Source'!$T:$T,0)),"")</f>
        <v/>
      </c>
      <c r="E487" s="5">
        <f>IFERROR(INDEX('Data Source'!$R:$R,MATCH(485,'Data Source'!$T:$T,0)),"")</f>
        <v/>
      </c>
      <c r="F487" s="3">
        <f>IFERROR(INDEX('Data Source'!$S:$S,MATCH(485,'Data Source'!$T:$T,0)),"")</f>
        <v/>
      </c>
    </row>
    <row r="488">
      <c r="A488" s="3">
        <f>IFERROR(IF(COUNTIF('Data Source'!$T:$T,486)&gt;0,486,""),"")</f>
        <v/>
      </c>
      <c r="B488">
        <f>IFERROR(INDEX('Data Source'!$B:$B,MATCH(486,'Data Source'!$T:$T,0)),"")</f>
        <v/>
      </c>
      <c r="C488" s="3">
        <f>IFERROR(INDEX('Data Source'!$P:$P,MATCH(486,'Data Source'!$T:$T,0)),"")</f>
        <v/>
      </c>
      <c r="D488" s="5">
        <f>IFERROR(INDEX('Data Source'!$Q:$Q,MATCH(486,'Data Source'!$T:$T,0)),"")</f>
        <v/>
      </c>
      <c r="E488" s="5">
        <f>IFERROR(INDEX('Data Source'!$R:$R,MATCH(486,'Data Source'!$T:$T,0)),"")</f>
        <v/>
      </c>
      <c r="F488" s="3">
        <f>IFERROR(INDEX('Data Source'!$S:$S,MATCH(486,'Data Source'!$T:$T,0)),"")</f>
        <v/>
      </c>
    </row>
    <row r="489">
      <c r="A489" s="3">
        <f>IFERROR(IF(COUNTIF('Data Source'!$T:$T,487)&gt;0,487,""),"")</f>
        <v/>
      </c>
      <c r="B489">
        <f>IFERROR(INDEX('Data Source'!$B:$B,MATCH(487,'Data Source'!$T:$T,0)),"")</f>
        <v/>
      </c>
      <c r="C489" s="3">
        <f>IFERROR(INDEX('Data Source'!$P:$P,MATCH(487,'Data Source'!$T:$T,0)),"")</f>
        <v/>
      </c>
      <c r="D489" s="5">
        <f>IFERROR(INDEX('Data Source'!$Q:$Q,MATCH(487,'Data Source'!$T:$T,0)),"")</f>
        <v/>
      </c>
      <c r="E489" s="5">
        <f>IFERROR(INDEX('Data Source'!$R:$R,MATCH(487,'Data Source'!$T:$T,0)),"")</f>
        <v/>
      </c>
      <c r="F489" s="3">
        <f>IFERROR(INDEX('Data Source'!$S:$S,MATCH(487,'Data Source'!$T:$T,0)),"")</f>
        <v/>
      </c>
    </row>
    <row r="490">
      <c r="A490" s="3">
        <f>IFERROR(IF(COUNTIF('Data Source'!$T:$T,488)&gt;0,488,""),"")</f>
        <v/>
      </c>
      <c r="B490">
        <f>IFERROR(INDEX('Data Source'!$B:$B,MATCH(488,'Data Source'!$T:$T,0)),"")</f>
        <v/>
      </c>
      <c r="C490" s="3">
        <f>IFERROR(INDEX('Data Source'!$P:$P,MATCH(488,'Data Source'!$T:$T,0)),"")</f>
        <v/>
      </c>
      <c r="D490" s="5">
        <f>IFERROR(INDEX('Data Source'!$Q:$Q,MATCH(488,'Data Source'!$T:$T,0)),"")</f>
        <v/>
      </c>
      <c r="E490" s="5">
        <f>IFERROR(INDEX('Data Source'!$R:$R,MATCH(488,'Data Source'!$T:$T,0)),"")</f>
        <v/>
      </c>
      <c r="F490" s="3">
        <f>IFERROR(INDEX('Data Source'!$S:$S,MATCH(488,'Data Source'!$T:$T,0)),"")</f>
        <v/>
      </c>
    </row>
    <row r="491">
      <c r="A491" s="3">
        <f>IFERROR(IF(COUNTIF('Data Source'!$T:$T,489)&gt;0,489,""),"")</f>
        <v/>
      </c>
      <c r="B491">
        <f>IFERROR(INDEX('Data Source'!$B:$B,MATCH(489,'Data Source'!$T:$T,0)),"")</f>
        <v/>
      </c>
      <c r="C491" s="3">
        <f>IFERROR(INDEX('Data Source'!$P:$P,MATCH(489,'Data Source'!$T:$T,0)),"")</f>
        <v/>
      </c>
      <c r="D491" s="5">
        <f>IFERROR(INDEX('Data Source'!$Q:$Q,MATCH(489,'Data Source'!$T:$T,0)),"")</f>
        <v/>
      </c>
      <c r="E491" s="5">
        <f>IFERROR(INDEX('Data Source'!$R:$R,MATCH(489,'Data Source'!$T:$T,0)),"")</f>
        <v/>
      </c>
      <c r="F491" s="3">
        <f>IFERROR(INDEX('Data Source'!$S:$S,MATCH(489,'Data Source'!$T:$T,0)),"")</f>
        <v/>
      </c>
    </row>
    <row r="492">
      <c r="A492" s="3">
        <f>IFERROR(IF(COUNTIF('Data Source'!$T:$T,490)&gt;0,490,""),"")</f>
        <v/>
      </c>
      <c r="B492">
        <f>IFERROR(INDEX('Data Source'!$B:$B,MATCH(490,'Data Source'!$T:$T,0)),"")</f>
        <v/>
      </c>
      <c r="C492" s="3">
        <f>IFERROR(INDEX('Data Source'!$P:$P,MATCH(490,'Data Source'!$T:$T,0)),"")</f>
        <v/>
      </c>
      <c r="D492" s="5">
        <f>IFERROR(INDEX('Data Source'!$Q:$Q,MATCH(490,'Data Source'!$T:$T,0)),"")</f>
        <v/>
      </c>
      <c r="E492" s="5">
        <f>IFERROR(INDEX('Data Source'!$R:$R,MATCH(490,'Data Source'!$T:$T,0)),"")</f>
        <v/>
      </c>
      <c r="F492" s="3">
        <f>IFERROR(INDEX('Data Source'!$S:$S,MATCH(490,'Data Source'!$T:$T,0)),"")</f>
        <v/>
      </c>
    </row>
    <row r="493">
      <c r="A493" s="3">
        <f>IFERROR(IF(COUNTIF('Data Source'!$T:$T,491)&gt;0,491,""),"")</f>
        <v/>
      </c>
      <c r="B493">
        <f>IFERROR(INDEX('Data Source'!$B:$B,MATCH(491,'Data Source'!$T:$T,0)),"")</f>
        <v/>
      </c>
      <c r="C493" s="3">
        <f>IFERROR(INDEX('Data Source'!$P:$P,MATCH(491,'Data Source'!$T:$T,0)),"")</f>
        <v/>
      </c>
      <c r="D493" s="5">
        <f>IFERROR(INDEX('Data Source'!$Q:$Q,MATCH(491,'Data Source'!$T:$T,0)),"")</f>
        <v/>
      </c>
      <c r="E493" s="5">
        <f>IFERROR(INDEX('Data Source'!$R:$R,MATCH(491,'Data Source'!$T:$T,0)),"")</f>
        <v/>
      </c>
      <c r="F493" s="3">
        <f>IFERROR(INDEX('Data Source'!$S:$S,MATCH(491,'Data Source'!$T:$T,0)),"")</f>
        <v/>
      </c>
    </row>
    <row r="494">
      <c r="A494" s="3">
        <f>IFERROR(IF(COUNTIF('Data Source'!$T:$T,492)&gt;0,492,""),"")</f>
        <v/>
      </c>
      <c r="B494">
        <f>IFERROR(INDEX('Data Source'!$B:$B,MATCH(492,'Data Source'!$T:$T,0)),"")</f>
        <v/>
      </c>
      <c r="C494" s="3">
        <f>IFERROR(INDEX('Data Source'!$P:$P,MATCH(492,'Data Source'!$T:$T,0)),"")</f>
        <v/>
      </c>
      <c r="D494" s="5">
        <f>IFERROR(INDEX('Data Source'!$Q:$Q,MATCH(492,'Data Source'!$T:$T,0)),"")</f>
        <v/>
      </c>
      <c r="E494" s="5">
        <f>IFERROR(INDEX('Data Source'!$R:$R,MATCH(492,'Data Source'!$T:$T,0)),"")</f>
        <v/>
      </c>
      <c r="F494" s="3">
        <f>IFERROR(INDEX('Data Source'!$S:$S,MATCH(492,'Data Source'!$T:$T,0)),"")</f>
        <v/>
      </c>
    </row>
    <row r="495">
      <c r="A495" s="3">
        <f>IFERROR(IF(COUNTIF('Data Source'!$T:$T,493)&gt;0,493,""),"")</f>
        <v/>
      </c>
      <c r="B495">
        <f>IFERROR(INDEX('Data Source'!$B:$B,MATCH(493,'Data Source'!$T:$T,0)),"")</f>
        <v/>
      </c>
      <c r="C495" s="3">
        <f>IFERROR(INDEX('Data Source'!$P:$P,MATCH(493,'Data Source'!$T:$T,0)),"")</f>
        <v/>
      </c>
      <c r="D495" s="5">
        <f>IFERROR(INDEX('Data Source'!$Q:$Q,MATCH(493,'Data Source'!$T:$T,0)),"")</f>
        <v/>
      </c>
      <c r="E495" s="5">
        <f>IFERROR(INDEX('Data Source'!$R:$R,MATCH(493,'Data Source'!$T:$T,0)),"")</f>
        <v/>
      </c>
      <c r="F495" s="3">
        <f>IFERROR(INDEX('Data Source'!$S:$S,MATCH(493,'Data Source'!$T:$T,0)),"")</f>
        <v/>
      </c>
    </row>
    <row r="496">
      <c r="A496" s="3">
        <f>IFERROR(IF(COUNTIF('Data Source'!$T:$T,494)&gt;0,494,""),"")</f>
        <v/>
      </c>
      <c r="B496">
        <f>IFERROR(INDEX('Data Source'!$B:$B,MATCH(494,'Data Source'!$T:$T,0)),"")</f>
        <v/>
      </c>
      <c r="C496" s="3">
        <f>IFERROR(INDEX('Data Source'!$P:$P,MATCH(494,'Data Source'!$T:$T,0)),"")</f>
        <v/>
      </c>
      <c r="D496" s="5">
        <f>IFERROR(INDEX('Data Source'!$Q:$Q,MATCH(494,'Data Source'!$T:$T,0)),"")</f>
        <v/>
      </c>
      <c r="E496" s="5">
        <f>IFERROR(INDEX('Data Source'!$R:$R,MATCH(494,'Data Source'!$T:$T,0)),"")</f>
        <v/>
      </c>
      <c r="F496" s="3">
        <f>IFERROR(INDEX('Data Source'!$S:$S,MATCH(494,'Data Source'!$T:$T,0)),"")</f>
        <v/>
      </c>
    </row>
    <row r="497">
      <c r="A497" s="3">
        <f>IFERROR(IF(COUNTIF('Data Source'!$T:$T,495)&gt;0,495,""),"")</f>
        <v/>
      </c>
      <c r="B497">
        <f>IFERROR(INDEX('Data Source'!$B:$B,MATCH(495,'Data Source'!$T:$T,0)),"")</f>
        <v/>
      </c>
      <c r="C497" s="3">
        <f>IFERROR(INDEX('Data Source'!$P:$P,MATCH(495,'Data Source'!$T:$T,0)),"")</f>
        <v/>
      </c>
      <c r="D497" s="5">
        <f>IFERROR(INDEX('Data Source'!$Q:$Q,MATCH(495,'Data Source'!$T:$T,0)),"")</f>
        <v/>
      </c>
      <c r="E497" s="5">
        <f>IFERROR(INDEX('Data Source'!$R:$R,MATCH(495,'Data Source'!$T:$T,0)),"")</f>
        <v/>
      </c>
      <c r="F497" s="3">
        <f>IFERROR(INDEX('Data Source'!$S:$S,MATCH(495,'Data Source'!$T:$T,0)),"")</f>
        <v/>
      </c>
    </row>
    <row r="498">
      <c r="A498" s="3">
        <f>IFERROR(IF(COUNTIF('Data Source'!$T:$T,496)&gt;0,496,""),"")</f>
        <v/>
      </c>
      <c r="B498">
        <f>IFERROR(INDEX('Data Source'!$B:$B,MATCH(496,'Data Source'!$T:$T,0)),"")</f>
        <v/>
      </c>
      <c r="C498" s="3">
        <f>IFERROR(INDEX('Data Source'!$P:$P,MATCH(496,'Data Source'!$T:$T,0)),"")</f>
        <v/>
      </c>
      <c r="D498" s="5">
        <f>IFERROR(INDEX('Data Source'!$Q:$Q,MATCH(496,'Data Source'!$T:$T,0)),"")</f>
        <v/>
      </c>
      <c r="E498" s="5">
        <f>IFERROR(INDEX('Data Source'!$R:$R,MATCH(496,'Data Source'!$T:$T,0)),"")</f>
        <v/>
      </c>
      <c r="F498" s="3">
        <f>IFERROR(INDEX('Data Source'!$S:$S,MATCH(496,'Data Source'!$T:$T,0)),"")</f>
        <v/>
      </c>
    </row>
    <row r="499">
      <c r="A499" s="3">
        <f>IFERROR(IF(COUNTIF('Data Source'!$T:$T,497)&gt;0,497,""),"")</f>
        <v/>
      </c>
      <c r="B499">
        <f>IFERROR(INDEX('Data Source'!$B:$B,MATCH(497,'Data Source'!$T:$T,0)),"")</f>
        <v/>
      </c>
      <c r="C499" s="3">
        <f>IFERROR(INDEX('Data Source'!$P:$P,MATCH(497,'Data Source'!$T:$T,0)),"")</f>
        <v/>
      </c>
      <c r="D499" s="5">
        <f>IFERROR(INDEX('Data Source'!$Q:$Q,MATCH(497,'Data Source'!$T:$T,0)),"")</f>
        <v/>
      </c>
      <c r="E499" s="5">
        <f>IFERROR(INDEX('Data Source'!$R:$R,MATCH(497,'Data Source'!$T:$T,0)),"")</f>
        <v/>
      </c>
      <c r="F499" s="3">
        <f>IFERROR(INDEX('Data Source'!$S:$S,MATCH(497,'Data Source'!$T:$T,0)),"")</f>
        <v/>
      </c>
    </row>
    <row r="500">
      <c r="A500" s="3">
        <f>IFERROR(IF(COUNTIF('Data Source'!$T:$T,498)&gt;0,498,""),"")</f>
        <v/>
      </c>
      <c r="B500">
        <f>IFERROR(INDEX('Data Source'!$B:$B,MATCH(498,'Data Source'!$T:$T,0)),"")</f>
        <v/>
      </c>
      <c r="C500" s="3">
        <f>IFERROR(INDEX('Data Source'!$P:$P,MATCH(498,'Data Source'!$T:$T,0)),"")</f>
        <v/>
      </c>
      <c r="D500" s="5">
        <f>IFERROR(INDEX('Data Source'!$Q:$Q,MATCH(498,'Data Source'!$T:$T,0)),"")</f>
        <v/>
      </c>
      <c r="E500" s="5">
        <f>IFERROR(INDEX('Data Source'!$R:$R,MATCH(498,'Data Source'!$T:$T,0)),"")</f>
        <v/>
      </c>
      <c r="F500" s="3">
        <f>IFERROR(INDEX('Data Source'!$S:$S,MATCH(498,'Data Source'!$T:$T,0)),"")</f>
        <v/>
      </c>
    </row>
    <row r="501">
      <c r="A501" s="3">
        <f>IFERROR(IF(COUNTIF('Data Source'!$T:$T,499)&gt;0,499,""),"")</f>
        <v/>
      </c>
      <c r="B501">
        <f>IFERROR(INDEX('Data Source'!$B:$B,MATCH(499,'Data Source'!$T:$T,0)),"")</f>
        <v/>
      </c>
      <c r="C501" s="3">
        <f>IFERROR(INDEX('Data Source'!$P:$P,MATCH(499,'Data Source'!$T:$T,0)),"")</f>
        <v/>
      </c>
      <c r="D501" s="5">
        <f>IFERROR(INDEX('Data Source'!$Q:$Q,MATCH(499,'Data Source'!$T:$T,0)),"")</f>
        <v/>
      </c>
      <c r="E501" s="5">
        <f>IFERROR(INDEX('Data Source'!$R:$R,MATCH(499,'Data Source'!$T:$T,0)),"")</f>
        <v/>
      </c>
      <c r="F501" s="3">
        <f>IFERROR(INDEX('Data Source'!$S:$S,MATCH(499,'Data Source'!$T:$T,0)),"")</f>
        <v/>
      </c>
    </row>
    <row r="502">
      <c r="A502" s="3">
        <f>IFERROR(IF(COUNTIF('Data Source'!$T:$T,500)&gt;0,500,""),"")</f>
        <v/>
      </c>
      <c r="B502">
        <f>IFERROR(INDEX('Data Source'!$B:$B,MATCH(500,'Data Source'!$T:$T,0)),"")</f>
        <v/>
      </c>
      <c r="C502" s="3">
        <f>IFERROR(INDEX('Data Source'!$P:$P,MATCH(500,'Data Source'!$T:$T,0)),"")</f>
        <v/>
      </c>
      <c r="D502" s="5">
        <f>IFERROR(INDEX('Data Source'!$Q:$Q,MATCH(500,'Data Source'!$T:$T,0)),"")</f>
        <v/>
      </c>
      <c r="E502" s="5">
        <f>IFERROR(INDEX('Data Source'!$R:$R,MATCH(500,'Data Source'!$T:$T,0)),"")</f>
        <v/>
      </c>
      <c r="F502" s="3">
        <f>IFERROR(INDEX('Data Source'!$S:$S,MATCH(500,'Data Source'!$T:$T,0)),"")</f>
        <v/>
      </c>
    </row>
    <row r="503">
      <c r="A503" s="3">
        <f>IFERROR(IF(COUNTIF('Data Source'!$T:$T,501)&gt;0,501,""),"")</f>
        <v/>
      </c>
      <c r="B503">
        <f>IFERROR(INDEX('Data Source'!$B:$B,MATCH(501,'Data Source'!$T:$T,0)),"")</f>
        <v/>
      </c>
      <c r="C503" s="3">
        <f>IFERROR(INDEX('Data Source'!$P:$P,MATCH(501,'Data Source'!$T:$T,0)),"")</f>
        <v/>
      </c>
      <c r="D503" s="5">
        <f>IFERROR(INDEX('Data Source'!$Q:$Q,MATCH(501,'Data Source'!$T:$T,0)),"")</f>
        <v/>
      </c>
      <c r="E503" s="5">
        <f>IFERROR(INDEX('Data Source'!$R:$R,MATCH(501,'Data Source'!$T:$T,0)),"")</f>
        <v/>
      </c>
      <c r="F503" s="3">
        <f>IFERROR(INDEX('Data Source'!$S:$S,MATCH(501,'Data Source'!$T:$T,0)),"")</f>
        <v/>
      </c>
    </row>
    <row r="504">
      <c r="A504" s="3">
        <f>IFERROR(IF(COUNTIF('Data Source'!$T:$T,502)&gt;0,502,""),"")</f>
        <v/>
      </c>
      <c r="B504">
        <f>IFERROR(INDEX('Data Source'!$B:$B,MATCH(502,'Data Source'!$T:$T,0)),"")</f>
        <v/>
      </c>
      <c r="C504" s="3">
        <f>IFERROR(INDEX('Data Source'!$P:$P,MATCH(502,'Data Source'!$T:$T,0)),"")</f>
        <v/>
      </c>
      <c r="D504" s="5">
        <f>IFERROR(INDEX('Data Source'!$Q:$Q,MATCH(502,'Data Source'!$T:$T,0)),"")</f>
        <v/>
      </c>
      <c r="E504" s="5">
        <f>IFERROR(INDEX('Data Source'!$R:$R,MATCH(502,'Data Source'!$T:$T,0)),"")</f>
        <v/>
      </c>
      <c r="F504" s="3">
        <f>IFERROR(INDEX('Data Source'!$S:$S,MATCH(502,'Data Source'!$T:$T,0)),"")</f>
        <v/>
      </c>
    </row>
    <row r="505">
      <c r="A505" s="3">
        <f>IFERROR(IF(COUNTIF('Data Source'!$T:$T,503)&gt;0,503,""),"")</f>
        <v/>
      </c>
      <c r="B505">
        <f>IFERROR(INDEX('Data Source'!$B:$B,MATCH(503,'Data Source'!$T:$T,0)),"")</f>
        <v/>
      </c>
      <c r="C505" s="3">
        <f>IFERROR(INDEX('Data Source'!$P:$P,MATCH(503,'Data Source'!$T:$T,0)),"")</f>
        <v/>
      </c>
      <c r="D505" s="5">
        <f>IFERROR(INDEX('Data Source'!$Q:$Q,MATCH(503,'Data Source'!$T:$T,0)),"")</f>
        <v/>
      </c>
      <c r="E505" s="5">
        <f>IFERROR(INDEX('Data Source'!$R:$R,MATCH(503,'Data Source'!$T:$T,0)),"")</f>
        <v/>
      </c>
      <c r="F505" s="3">
        <f>IFERROR(INDEX('Data Source'!$S:$S,MATCH(503,'Data Source'!$T:$T,0)),"")</f>
        <v/>
      </c>
    </row>
    <row r="506">
      <c r="A506" s="3">
        <f>IFERROR(IF(COUNTIF('Data Source'!$T:$T,504)&gt;0,504,""),"")</f>
        <v/>
      </c>
      <c r="B506">
        <f>IFERROR(INDEX('Data Source'!$B:$B,MATCH(504,'Data Source'!$T:$T,0)),"")</f>
        <v/>
      </c>
      <c r="C506" s="3">
        <f>IFERROR(INDEX('Data Source'!$P:$P,MATCH(504,'Data Source'!$T:$T,0)),"")</f>
        <v/>
      </c>
      <c r="D506" s="5">
        <f>IFERROR(INDEX('Data Source'!$Q:$Q,MATCH(504,'Data Source'!$T:$T,0)),"")</f>
        <v/>
      </c>
      <c r="E506" s="5">
        <f>IFERROR(INDEX('Data Source'!$R:$R,MATCH(504,'Data Source'!$T:$T,0)),"")</f>
        <v/>
      </c>
      <c r="F506" s="3">
        <f>IFERROR(INDEX('Data Source'!$S:$S,MATCH(504,'Data Source'!$T:$T,0)),"")</f>
        <v/>
      </c>
    </row>
    <row r="507">
      <c r="A507" s="3">
        <f>IFERROR(IF(COUNTIF('Data Source'!$T:$T,505)&gt;0,505,""),"")</f>
        <v/>
      </c>
      <c r="B507">
        <f>IFERROR(INDEX('Data Source'!$B:$B,MATCH(505,'Data Source'!$T:$T,0)),"")</f>
        <v/>
      </c>
      <c r="C507" s="3">
        <f>IFERROR(INDEX('Data Source'!$P:$P,MATCH(505,'Data Source'!$T:$T,0)),"")</f>
        <v/>
      </c>
      <c r="D507" s="5">
        <f>IFERROR(INDEX('Data Source'!$Q:$Q,MATCH(505,'Data Source'!$T:$T,0)),"")</f>
        <v/>
      </c>
      <c r="E507" s="5">
        <f>IFERROR(INDEX('Data Source'!$R:$R,MATCH(505,'Data Source'!$T:$T,0)),"")</f>
        <v/>
      </c>
      <c r="F507" s="3">
        <f>IFERROR(INDEX('Data Source'!$S:$S,MATCH(505,'Data Source'!$T:$T,0)),"")</f>
        <v/>
      </c>
    </row>
    <row r="508">
      <c r="A508" s="3">
        <f>IFERROR(IF(COUNTIF('Data Source'!$T:$T,506)&gt;0,506,""),"")</f>
        <v/>
      </c>
      <c r="B508">
        <f>IFERROR(INDEX('Data Source'!$B:$B,MATCH(506,'Data Source'!$T:$T,0)),"")</f>
        <v/>
      </c>
      <c r="C508" s="3">
        <f>IFERROR(INDEX('Data Source'!$P:$P,MATCH(506,'Data Source'!$T:$T,0)),"")</f>
        <v/>
      </c>
      <c r="D508" s="5">
        <f>IFERROR(INDEX('Data Source'!$Q:$Q,MATCH(506,'Data Source'!$T:$T,0)),"")</f>
        <v/>
      </c>
      <c r="E508" s="5">
        <f>IFERROR(INDEX('Data Source'!$R:$R,MATCH(506,'Data Source'!$T:$T,0)),"")</f>
        <v/>
      </c>
      <c r="F508" s="3">
        <f>IFERROR(INDEX('Data Source'!$S:$S,MATCH(506,'Data Source'!$T:$T,0)),"")</f>
        <v/>
      </c>
    </row>
    <row r="509">
      <c r="A509" s="3">
        <f>IFERROR(IF(COUNTIF('Data Source'!$T:$T,507)&gt;0,507,""),"")</f>
        <v/>
      </c>
      <c r="B509">
        <f>IFERROR(INDEX('Data Source'!$B:$B,MATCH(507,'Data Source'!$T:$T,0)),"")</f>
        <v/>
      </c>
      <c r="C509" s="3">
        <f>IFERROR(INDEX('Data Source'!$P:$P,MATCH(507,'Data Source'!$T:$T,0)),"")</f>
        <v/>
      </c>
      <c r="D509" s="5">
        <f>IFERROR(INDEX('Data Source'!$Q:$Q,MATCH(507,'Data Source'!$T:$T,0)),"")</f>
        <v/>
      </c>
      <c r="E509" s="5">
        <f>IFERROR(INDEX('Data Source'!$R:$R,MATCH(507,'Data Source'!$T:$T,0)),"")</f>
        <v/>
      </c>
      <c r="F509" s="3">
        <f>IFERROR(INDEX('Data Source'!$S:$S,MATCH(507,'Data Source'!$T:$T,0)),"")</f>
        <v/>
      </c>
    </row>
    <row r="510">
      <c r="A510" s="3">
        <f>IFERROR(IF(COUNTIF('Data Source'!$T:$T,508)&gt;0,508,""),"")</f>
        <v/>
      </c>
      <c r="B510">
        <f>IFERROR(INDEX('Data Source'!$B:$B,MATCH(508,'Data Source'!$T:$T,0)),"")</f>
        <v/>
      </c>
      <c r="C510" s="3">
        <f>IFERROR(INDEX('Data Source'!$P:$P,MATCH(508,'Data Source'!$T:$T,0)),"")</f>
        <v/>
      </c>
      <c r="D510" s="5">
        <f>IFERROR(INDEX('Data Source'!$Q:$Q,MATCH(508,'Data Source'!$T:$T,0)),"")</f>
        <v/>
      </c>
      <c r="E510" s="5">
        <f>IFERROR(INDEX('Data Source'!$R:$R,MATCH(508,'Data Source'!$T:$T,0)),"")</f>
        <v/>
      </c>
      <c r="F510" s="3">
        <f>IFERROR(INDEX('Data Source'!$S:$S,MATCH(508,'Data Source'!$T:$T,0)),"")</f>
        <v/>
      </c>
    </row>
    <row r="511">
      <c r="A511" s="3">
        <f>IFERROR(IF(COUNTIF('Data Source'!$T:$T,509)&gt;0,509,""),"")</f>
        <v/>
      </c>
      <c r="B511">
        <f>IFERROR(INDEX('Data Source'!$B:$B,MATCH(509,'Data Source'!$T:$T,0)),"")</f>
        <v/>
      </c>
      <c r="C511" s="3">
        <f>IFERROR(INDEX('Data Source'!$P:$P,MATCH(509,'Data Source'!$T:$T,0)),"")</f>
        <v/>
      </c>
      <c r="D511" s="5">
        <f>IFERROR(INDEX('Data Source'!$Q:$Q,MATCH(509,'Data Source'!$T:$T,0)),"")</f>
        <v/>
      </c>
      <c r="E511" s="5">
        <f>IFERROR(INDEX('Data Source'!$R:$R,MATCH(509,'Data Source'!$T:$T,0)),"")</f>
        <v/>
      </c>
      <c r="F511" s="3">
        <f>IFERROR(INDEX('Data Source'!$S:$S,MATCH(509,'Data Source'!$T:$T,0)),"")</f>
        <v/>
      </c>
    </row>
    <row r="512">
      <c r="A512" s="3">
        <f>IFERROR(IF(COUNTIF('Data Source'!$T:$T,510)&gt;0,510,""),"")</f>
        <v/>
      </c>
      <c r="B512">
        <f>IFERROR(INDEX('Data Source'!$B:$B,MATCH(510,'Data Source'!$T:$T,0)),"")</f>
        <v/>
      </c>
      <c r="C512" s="3">
        <f>IFERROR(INDEX('Data Source'!$P:$P,MATCH(510,'Data Source'!$T:$T,0)),"")</f>
        <v/>
      </c>
      <c r="D512" s="5">
        <f>IFERROR(INDEX('Data Source'!$Q:$Q,MATCH(510,'Data Source'!$T:$T,0)),"")</f>
        <v/>
      </c>
      <c r="E512" s="5">
        <f>IFERROR(INDEX('Data Source'!$R:$R,MATCH(510,'Data Source'!$T:$T,0)),"")</f>
        <v/>
      </c>
      <c r="F512" s="3">
        <f>IFERROR(INDEX('Data Source'!$S:$S,MATCH(510,'Data Source'!$T:$T,0)),"")</f>
        <v/>
      </c>
    </row>
    <row r="513">
      <c r="A513" s="3">
        <f>IFERROR(IF(COUNTIF('Data Source'!$T:$T,511)&gt;0,511,""),"")</f>
        <v/>
      </c>
      <c r="B513">
        <f>IFERROR(INDEX('Data Source'!$B:$B,MATCH(511,'Data Source'!$T:$T,0)),"")</f>
        <v/>
      </c>
      <c r="C513" s="3">
        <f>IFERROR(INDEX('Data Source'!$P:$P,MATCH(511,'Data Source'!$T:$T,0)),"")</f>
        <v/>
      </c>
      <c r="D513" s="5">
        <f>IFERROR(INDEX('Data Source'!$Q:$Q,MATCH(511,'Data Source'!$T:$T,0)),"")</f>
        <v/>
      </c>
      <c r="E513" s="5">
        <f>IFERROR(INDEX('Data Source'!$R:$R,MATCH(511,'Data Source'!$T:$T,0)),"")</f>
        <v/>
      </c>
      <c r="F513" s="3">
        <f>IFERROR(INDEX('Data Source'!$S:$S,MATCH(511,'Data Source'!$T:$T,0)),"")</f>
        <v/>
      </c>
    </row>
    <row r="514">
      <c r="A514" s="3">
        <f>IFERROR(IF(COUNTIF('Data Source'!$T:$T,512)&gt;0,512,""),"")</f>
        <v/>
      </c>
      <c r="B514">
        <f>IFERROR(INDEX('Data Source'!$B:$B,MATCH(512,'Data Source'!$T:$T,0)),"")</f>
        <v/>
      </c>
      <c r="C514" s="3">
        <f>IFERROR(INDEX('Data Source'!$P:$P,MATCH(512,'Data Source'!$T:$T,0)),"")</f>
        <v/>
      </c>
      <c r="D514" s="5">
        <f>IFERROR(INDEX('Data Source'!$Q:$Q,MATCH(512,'Data Source'!$T:$T,0)),"")</f>
        <v/>
      </c>
      <c r="E514" s="5">
        <f>IFERROR(INDEX('Data Source'!$R:$R,MATCH(512,'Data Source'!$T:$T,0)),"")</f>
        <v/>
      </c>
      <c r="F514" s="3">
        <f>IFERROR(INDEX('Data Source'!$S:$S,MATCH(512,'Data Source'!$T:$T,0)),"")</f>
        <v/>
      </c>
    </row>
    <row r="515">
      <c r="A515" s="3">
        <f>IFERROR(IF(COUNTIF('Data Source'!$T:$T,513)&gt;0,513,""),"")</f>
        <v/>
      </c>
      <c r="B515">
        <f>IFERROR(INDEX('Data Source'!$B:$B,MATCH(513,'Data Source'!$T:$T,0)),"")</f>
        <v/>
      </c>
      <c r="C515" s="3">
        <f>IFERROR(INDEX('Data Source'!$P:$P,MATCH(513,'Data Source'!$T:$T,0)),"")</f>
        <v/>
      </c>
      <c r="D515" s="5">
        <f>IFERROR(INDEX('Data Source'!$Q:$Q,MATCH(513,'Data Source'!$T:$T,0)),"")</f>
        <v/>
      </c>
      <c r="E515" s="5">
        <f>IFERROR(INDEX('Data Source'!$R:$R,MATCH(513,'Data Source'!$T:$T,0)),"")</f>
        <v/>
      </c>
      <c r="F515" s="3">
        <f>IFERROR(INDEX('Data Source'!$S:$S,MATCH(513,'Data Source'!$T:$T,0)),"")</f>
        <v/>
      </c>
    </row>
    <row r="516">
      <c r="A516" s="3">
        <f>IFERROR(IF(COUNTIF('Data Source'!$T:$T,514)&gt;0,514,""),"")</f>
        <v/>
      </c>
      <c r="B516">
        <f>IFERROR(INDEX('Data Source'!$B:$B,MATCH(514,'Data Source'!$T:$T,0)),"")</f>
        <v/>
      </c>
      <c r="C516" s="3">
        <f>IFERROR(INDEX('Data Source'!$P:$P,MATCH(514,'Data Source'!$T:$T,0)),"")</f>
        <v/>
      </c>
      <c r="D516" s="5">
        <f>IFERROR(INDEX('Data Source'!$Q:$Q,MATCH(514,'Data Source'!$T:$T,0)),"")</f>
        <v/>
      </c>
      <c r="E516" s="5">
        <f>IFERROR(INDEX('Data Source'!$R:$R,MATCH(514,'Data Source'!$T:$T,0)),"")</f>
        <v/>
      </c>
      <c r="F516" s="3">
        <f>IFERROR(INDEX('Data Source'!$S:$S,MATCH(514,'Data Source'!$T:$T,0)),"")</f>
        <v/>
      </c>
    </row>
    <row r="517">
      <c r="A517" s="3">
        <f>IFERROR(IF(COUNTIF('Data Source'!$T:$T,515)&gt;0,515,""),"")</f>
        <v/>
      </c>
      <c r="B517">
        <f>IFERROR(INDEX('Data Source'!$B:$B,MATCH(515,'Data Source'!$T:$T,0)),"")</f>
        <v/>
      </c>
      <c r="C517" s="3">
        <f>IFERROR(INDEX('Data Source'!$P:$P,MATCH(515,'Data Source'!$T:$T,0)),"")</f>
        <v/>
      </c>
      <c r="D517" s="5">
        <f>IFERROR(INDEX('Data Source'!$Q:$Q,MATCH(515,'Data Source'!$T:$T,0)),"")</f>
        <v/>
      </c>
      <c r="E517" s="5">
        <f>IFERROR(INDEX('Data Source'!$R:$R,MATCH(515,'Data Source'!$T:$T,0)),"")</f>
        <v/>
      </c>
      <c r="F517" s="3">
        <f>IFERROR(INDEX('Data Source'!$S:$S,MATCH(515,'Data Source'!$T:$T,0)),"")</f>
        <v/>
      </c>
    </row>
    <row r="518">
      <c r="A518" s="3">
        <f>IFERROR(IF(COUNTIF('Data Source'!$T:$T,516)&gt;0,516,""),"")</f>
        <v/>
      </c>
      <c r="B518">
        <f>IFERROR(INDEX('Data Source'!$B:$B,MATCH(516,'Data Source'!$T:$T,0)),"")</f>
        <v/>
      </c>
      <c r="C518" s="3">
        <f>IFERROR(INDEX('Data Source'!$P:$P,MATCH(516,'Data Source'!$T:$T,0)),"")</f>
        <v/>
      </c>
      <c r="D518" s="5">
        <f>IFERROR(INDEX('Data Source'!$Q:$Q,MATCH(516,'Data Source'!$T:$T,0)),"")</f>
        <v/>
      </c>
      <c r="E518" s="5">
        <f>IFERROR(INDEX('Data Source'!$R:$R,MATCH(516,'Data Source'!$T:$T,0)),"")</f>
        <v/>
      </c>
      <c r="F518" s="3">
        <f>IFERROR(INDEX('Data Source'!$S:$S,MATCH(516,'Data Source'!$T:$T,0)),"")</f>
        <v/>
      </c>
    </row>
    <row r="519">
      <c r="A519" s="3">
        <f>IFERROR(IF(COUNTIF('Data Source'!$T:$T,517)&gt;0,517,""),"")</f>
        <v/>
      </c>
      <c r="B519">
        <f>IFERROR(INDEX('Data Source'!$B:$B,MATCH(517,'Data Source'!$T:$T,0)),"")</f>
        <v/>
      </c>
      <c r="C519" s="3">
        <f>IFERROR(INDEX('Data Source'!$P:$P,MATCH(517,'Data Source'!$T:$T,0)),"")</f>
        <v/>
      </c>
      <c r="D519" s="5">
        <f>IFERROR(INDEX('Data Source'!$Q:$Q,MATCH(517,'Data Source'!$T:$T,0)),"")</f>
        <v/>
      </c>
      <c r="E519" s="5">
        <f>IFERROR(INDEX('Data Source'!$R:$R,MATCH(517,'Data Source'!$T:$T,0)),"")</f>
        <v/>
      </c>
      <c r="F519" s="3">
        <f>IFERROR(INDEX('Data Source'!$S:$S,MATCH(517,'Data Source'!$T:$T,0)),"")</f>
        <v/>
      </c>
    </row>
    <row r="520">
      <c r="A520" s="3">
        <f>IFERROR(IF(COUNTIF('Data Source'!$T:$T,518)&gt;0,518,""),"")</f>
        <v/>
      </c>
      <c r="B520">
        <f>IFERROR(INDEX('Data Source'!$B:$B,MATCH(518,'Data Source'!$T:$T,0)),"")</f>
        <v/>
      </c>
      <c r="C520" s="3">
        <f>IFERROR(INDEX('Data Source'!$P:$P,MATCH(518,'Data Source'!$T:$T,0)),"")</f>
        <v/>
      </c>
      <c r="D520" s="5">
        <f>IFERROR(INDEX('Data Source'!$Q:$Q,MATCH(518,'Data Source'!$T:$T,0)),"")</f>
        <v/>
      </c>
      <c r="E520" s="5">
        <f>IFERROR(INDEX('Data Source'!$R:$R,MATCH(518,'Data Source'!$T:$T,0)),"")</f>
        <v/>
      </c>
      <c r="F520" s="3">
        <f>IFERROR(INDEX('Data Source'!$S:$S,MATCH(518,'Data Source'!$T:$T,0)),"")</f>
        <v/>
      </c>
    </row>
    <row r="521">
      <c r="A521" s="3">
        <f>IFERROR(IF(COUNTIF('Data Source'!$T:$T,519)&gt;0,519,""),"")</f>
        <v/>
      </c>
      <c r="B521">
        <f>IFERROR(INDEX('Data Source'!$B:$B,MATCH(519,'Data Source'!$T:$T,0)),"")</f>
        <v/>
      </c>
      <c r="C521" s="3">
        <f>IFERROR(INDEX('Data Source'!$P:$P,MATCH(519,'Data Source'!$T:$T,0)),"")</f>
        <v/>
      </c>
      <c r="D521" s="5">
        <f>IFERROR(INDEX('Data Source'!$Q:$Q,MATCH(519,'Data Source'!$T:$T,0)),"")</f>
        <v/>
      </c>
      <c r="E521" s="5">
        <f>IFERROR(INDEX('Data Source'!$R:$R,MATCH(519,'Data Source'!$T:$T,0)),"")</f>
        <v/>
      </c>
      <c r="F521" s="3">
        <f>IFERROR(INDEX('Data Source'!$S:$S,MATCH(519,'Data Source'!$T:$T,0)),"")</f>
        <v/>
      </c>
    </row>
    <row r="522">
      <c r="A522" s="3">
        <f>IFERROR(IF(COUNTIF('Data Source'!$T:$T,520)&gt;0,520,""),"")</f>
        <v/>
      </c>
      <c r="B522">
        <f>IFERROR(INDEX('Data Source'!$B:$B,MATCH(520,'Data Source'!$T:$T,0)),"")</f>
        <v/>
      </c>
      <c r="C522" s="3">
        <f>IFERROR(INDEX('Data Source'!$P:$P,MATCH(520,'Data Source'!$T:$T,0)),"")</f>
        <v/>
      </c>
      <c r="D522" s="5">
        <f>IFERROR(INDEX('Data Source'!$Q:$Q,MATCH(520,'Data Source'!$T:$T,0)),"")</f>
        <v/>
      </c>
      <c r="E522" s="5">
        <f>IFERROR(INDEX('Data Source'!$R:$R,MATCH(520,'Data Source'!$T:$T,0)),"")</f>
        <v/>
      </c>
      <c r="F522" s="3">
        <f>IFERROR(INDEX('Data Source'!$S:$S,MATCH(520,'Data Source'!$T:$T,0)),"")</f>
        <v/>
      </c>
    </row>
    <row r="523">
      <c r="A523" s="3">
        <f>IFERROR(IF(COUNTIF('Data Source'!$T:$T,521)&gt;0,521,""),"")</f>
        <v/>
      </c>
      <c r="B523">
        <f>IFERROR(INDEX('Data Source'!$B:$B,MATCH(521,'Data Source'!$T:$T,0)),"")</f>
        <v/>
      </c>
      <c r="C523" s="3">
        <f>IFERROR(INDEX('Data Source'!$P:$P,MATCH(521,'Data Source'!$T:$T,0)),"")</f>
        <v/>
      </c>
      <c r="D523" s="5">
        <f>IFERROR(INDEX('Data Source'!$Q:$Q,MATCH(521,'Data Source'!$T:$T,0)),"")</f>
        <v/>
      </c>
      <c r="E523" s="5">
        <f>IFERROR(INDEX('Data Source'!$R:$R,MATCH(521,'Data Source'!$T:$T,0)),"")</f>
        <v/>
      </c>
      <c r="F523" s="3">
        <f>IFERROR(INDEX('Data Source'!$S:$S,MATCH(521,'Data Source'!$T:$T,0)),"")</f>
        <v/>
      </c>
    </row>
    <row r="524">
      <c r="A524" s="3">
        <f>IFERROR(IF(COUNTIF('Data Source'!$T:$T,522)&gt;0,522,""),"")</f>
        <v/>
      </c>
      <c r="B524">
        <f>IFERROR(INDEX('Data Source'!$B:$B,MATCH(522,'Data Source'!$T:$T,0)),"")</f>
        <v/>
      </c>
      <c r="C524" s="3">
        <f>IFERROR(INDEX('Data Source'!$P:$P,MATCH(522,'Data Source'!$T:$T,0)),"")</f>
        <v/>
      </c>
      <c r="D524" s="5">
        <f>IFERROR(INDEX('Data Source'!$Q:$Q,MATCH(522,'Data Source'!$T:$T,0)),"")</f>
        <v/>
      </c>
      <c r="E524" s="5">
        <f>IFERROR(INDEX('Data Source'!$R:$R,MATCH(522,'Data Source'!$T:$T,0)),"")</f>
        <v/>
      </c>
      <c r="F524" s="3">
        <f>IFERROR(INDEX('Data Source'!$S:$S,MATCH(522,'Data Source'!$T:$T,0)),"")</f>
        <v/>
      </c>
    </row>
    <row r="525">
      <c r="A525" s="3">
        <f>IFERROR(IF(COUNTIF('Data Source'!$T:$T,523)&gt;0,523,""),"")</f>
        <v/>
      </c>
      <c r="B525">
        <f>IFERROR(INDEX('Data Source'!$B:$B,MATCH(523,'Data Source'!$T:$T,0)),"")</f>
        <v/>
      </c>
      <c r="C525" s="3">
        <f>IFERROR(INDEX('Data Source'!$P:$P,MATCH(523,'Data Source'!$T:$T,0)),"")</f>
        <v/>
      </c>
      <c r="D525" s="5">
        <f>IFERROR(INDEX('Data Source'!$Q:$Q,MATCH(523,'Data Source'!$T:$T,0)),"")</f>
        <v/>
      </c>
      <c r="E525" s="5">
        <f>IFERROR(INDEX('Data Source'!$R:$R,MATCH(523,'Data Source'!$T:$T,0)),"")</f>
        <v/>
      </c>
      <c r="F525" s="3">
        <f>IFERROR(INDEX('Data Source'!$S:$S,MATCH(523,'Data Source'!$T:$T,0)),"")</f>
        <v/>
      </c>
    </row>
    <row r="526">
      <c r="A526" s="3">
        <f>IFERROR(IF(COUNTIF('Data Source'!$T:$T,524)&gt;0,524,""),"")</f>
        <v/>
      </c>
      <c r="B526">
        <f>IFERROR(INDEX('Data Source'!$B:$B,MATCH(524,'Data Source'!$T:$T,0)),"")</f>
        <v/>
      </c>
      <c r="C526" s="3">
        <f>IFERROR(INDEX('Data Source'!$P:$P,MATCH(524,'Data Source'!$T:$T,0)),"")</f>
        <v/>
      </c>
      <c r="D526" s="5">
        <f>IFERROR(INDEX('Data Source'!$Q:$Q,MATCH(524,'Data Source'!$T:$T,0)),"")</f>
        <v/>
      </c>
      <c r="E526" s="5">
        <f>IFERROR(INDEX('Data Source'!$R:$R,MATCH(524,'Data Source'!$T:$T,0)),"")</f>
        <v/>
      </c>
      <c r="F526" s="3">
        <f>IFERROR(INDEX('Data Source'!$S:$S,MATCH(524,'Data Source'!$T:$T,0)),"")</f>
        <v/>
      </c>
    </row>
    <row r="527">
      <c r="A527" s="3">
        <f>IFERROR(IF(COUNTIF('Data Source'!$T:$T,525)&gt;0,525,""),"")</f>
        <v/>
      </c>
      <c r="B527">
        <f>IFERROR(INDEX('Data Source'!$B:$B,MATCH(525,'Data Source'!$T:$T,0)),"")</f>
        <v/>
      </c>
      <c r="C527" s="3">
        <f>IFERROR(INDEX('Data Source'!$P:$P,MATCH(525,'Data Source'!$T:$T,0)),"")</f>
        <v/>
      </c>
      <c r="D527" s="5">
        <f>IFERROR(INDEX('Data Source'!$Q:$Q,MATCH(525,'Data Source'!$T:$T,0)),"")</f>
        <v/>
      </c>
      <c r="E527" s="5">
        <f>IFERROR(INDEX('Data Source'!$R:$R,MATCH(525,'Data Source'!$T:$T,0)),"")</f>
        <v/>
      </c>
      <c r="F527" s="3">
        <f>IFERROR(INDEX('Data Source'!$S:$S,MATCH(525,'Data Source'!$T:$T,0)),"")</f>
        <v/>
      </c>
    </row>
    <row r="528">
      <c r="A528" s="3">
        <f>IFERROR(IF(COUNTIF('Data Source'!$T:$T,526)&gt;0,526,""),"")</f>
        <v/>
      </c>
      <c r="B528">
        <f>IFERROR(INDEX('Data Source'!$B:$B,MATCH(526,'Data Source'!$T:$T,0)),"")</f>
        <v/>
      </c>
      <c r="C528" s="3">
        <f>IFERROR(INDEX('Data Source'!$P:$P,MATCH(526,'Data Source'!$T:$T,0)),"")</f>
        <v/>
      </c>
      <c r="D528" s="5">
        <f>IFERROR(INDEX('Data Source'!$Q:$Q,MATCH(526,'Data Source'!$T:$T,0)),"")</f>
        <v/>
      </c>
      <c r="E528" s="5">
        <f>IFERROR(INDEX('Data Source'!$R:$R,MATCH(526,'Data Source'!$T:$T,0)),"")</f>
        <v/>
      </c>
      <c r="F528" s="3">
        <f>IFERROR(INDEX('Data Source'!$S:$S,MATCH(526,'Data Source'!$T:$T,0)),"")</f>
        <v/>
      </c>
    </row>
    <row r="529">
      <c r="A529" s="3">
        <f>IFERROR(IF(COUNTIF('Data Source'!$T:$T,527)&gt;0,527,""),"")</f>
        <v/>
      </c>
      <c r="B529">
        <f>IFERROR(INDEX('Data Source'!$B:$B,MATCH(527,'Data Source'!$T:$T,0)),"")</f>
        <v/>
      </c>
      <c r="C529" s="3">
        <f>IFERROR(INDEX('Data Source'!$P:$P,MATCH(527,'Data Source'!$T:$T,0)),"")</f>
        <v/>
      </c>
      <c r="D529" s="5">
        <f>IFERROR(INDEX('Data Source'!$Q:$Q,MATCH(527,'Data Source'!$T:$T,0)),"")</f>
        <v/>
      </c>
      <c r="E529" s="5">
        <f>IFERROR(INDEX('Data Source'!$R:$R,MATCH(527,'Data Source'!$T:$T,0)),"")</f>
        <v/>
      </c>
      <c r="F529" s="3">
        <f>IFERROR(INDEX('Data Source'!$S:$S,MATCH(527,'Data Source'!$T:$T,0)),"")</f>
        <v/>
      </c>
    </row>
    <row r="530">
      <c r="A530" s="3">
        <f>IFERROR(IF(COUNTIF('Data Source'!$T:$T,528)&gt;0,528,""),"")</f>
        <v/>
      </c>
      <c r="B530">
        <f>IFERROR(INDEX('Data Source'!$B:$B,MATCH(528,'Data Source'!$T:$T,0)),"")</f>
        <v/>
      </c>
      <c r="C530" s="3">
        <f>IFERROR(INDEX('Data Source'!$P:$P,MATCH(528,'Data Source'!$T:$T,0)),"")</f>
        <v/>
      </c>
      <c r="D530" s="5">
        <f>IFERROR(INDEX('Data Source'!$Q:$Q,MATCH(528,'Data Source'!$T:$T,0)),"")</f>
        <v/>
      </c>
      <c r="E530" s="5">
        <f>IFERROR(INDEX('Data Source'!$R:$R,MATCH(528,'Data Source'!$T:$T,0)),"")</f>
        <v/>
      </c>
      <c r="F530" s="3">
        <f>IFERROR(INDEX('Data Source'!$S:$S,MATCH(528,'Data Source'!$T:$T,0)),"")</f>
        <v/>
      </c>
    </row>
    <row r="531">
      <c r="A531" s="3">
        <f>IFERROR(IF(COUNTIF('Data Source'!$T:$T,529)&gt;0,529,""),"")</f>
        <v/>
      </c>
      <c r="B531">
        <f>IFERROR(INDEX('Data Source'!$B:$B,MATCH(529,'Data Source'!$T:$T,0)),"")</f>
        <v/>
      </c>
      <c r="C531" s="3">
        <f>IFERROR(INDEX('Data Source'!$P:$P,MATCH(529,'Data Source'!$T:$T,0)),"")</f>
        <v/>
      </c>
      <c r="D531" s="5">
        <f>IFERROR(INDEX('Data Source'!$Q:$Q,MATCH(529,'Data Source'!$T:$T,0)),"")</f>
        <v/>
      </c>
      <c r="E531" s="5">
        <f>IFERROR(INDEX('Data Source'!$R:$R,MATCH(529,'Data Source'!$T:$T,0)),"")</f>
        <v/>
      </c>
      <c r="F531" s="3">
        <f>IFERROR(INDEX('Data Source'!$S:$S,MATCH(529,'Data Source'!$T:$T,0)),"")</f>
        <v/>
      </c>
    </row>
    <row r="532">
      <c r="A532" s="3">
        <f>IFERROR(IF(COUNTIF('Data Source'!$T:$T,530)&gt;0,530,""),"")</f>
        <v/>
      </c>
      <c r="B532">
        <f>IFERROR(INDEX('Data Source'!$B:$B,MATCH(530,'Data Source'!$T:$T,0)),"")</f>
        <v/>
      </c>
      <c r="C532" s="3">
        <f>IFERROR(INDEX('Data Source'!$P:$P,MATCH(530,'Data Source'!$T:$T,0)),"")</f>
        <v/>
      </c>
      <c r="D532" s="5">
        <f>IFERROR(INDEX('Data Source'!$Q:$Q,MATCH(530,'Data Source'!$T:$T,0)),"")</f>
        <v/>
      </c>
      <c r="E532" s="5">
        <f>IFERROR(INDEX('Data Source'!$R:$R,MATCH(530,'Data Source'!$T:$T,0)),"")</f>
        <v/>
      </c>
      <c r="F532" s="3">
        <f>IFERROR(INDEX('Data Source'!$S:$S,MATCH(530,'Data Source'!$T:$T,0)),"")</f>
        <v/>
      </c>
    </row>
    <row r="533">
      <c r="A533" s="3">
        <f>IFERROR(IF(COUNTIF('Data Source'!$T:$T,531)&gt;0,531,""),"")</f>
        <v/>
      </c>
      <c r="B533">
        <f>IFERROR(INDEX('Data Source'!$B:$B,MATCH(531,'Data Source'!$T:$T,0)),"")</f>
        <v/>
      </c>
      <c r="C533" s="3">
        <f>IFERROR(INDEX('Data Source'!$P:$P,MATCH(531,'Data Source'!$T:$T,0)),"")</f>
        <v/>
      </c>
      <c r="D533" s="5">
        <f>IFERROR(INDEX('Data Source'!$Q:$Q,MATCH(531,'Data Source'!$T:$T,0)),"")</f>
        <v/>
      </c>
      <c r="E533" s="5">
        <f>IFERROR(INDEX('Data Source'!$R:$R,MATCH(531,'Data Source'!$T:$T,0)),"")</f>
        <v/>
      </c>
      <c r="F533" s="3">
        <f>IFERROR(INDEX('Data Source'!$S:$S,MATCH(531,'Data Source'!$T:$T,0)),"")</f>
        <v/>
      </c>
    </row>
    <row r="534">
      <c r="A534" s="3">
        <f>IFERROR(IF(COUNTIF('Data Source'!$T:$T,532)&gt;0,532,""),"")</f>
        <v/>
      </c>
      <c r="B534">
        <f>IFERROR(INDEX('Data Source'!$B:$B,MATCH(532,'Data Source'!$T:$T,0)),"")</f>
        <v/>
      </c>
      <c r="C534" s="3">
        <f>IFERROR(INDEX('Data Source'!$P:$P,MATCH(532,'Data Source'!$T:$T,0)),"")</f>
        <v/>
      </c>
      <c r="D534" s="5">
        <f>IFERROR(INDEX('Data Source'!$Q:$Q,MATCH(532,'Data Source'!$T:$T,0)),"")</f>
        <v/>
      </c>
      <c r="E534" s="5">
        <f>IFERROR(INDEX('Data Source'!$R:$R,MATCH(532,'Data Source'!$T:$T,0)),"")</f>
        <v/>
      </c>
      <c r="F534" s="3">
        <f>IFERROR(INDEX('Data Source'!$S:$S,MATCH(532,'Data Source'!$T:$T,0)),"")</f>
        <v/>
      </c>
    </row>
    <row r="535">
      <c r="A535" s="3">
        <f>IFERROR(IF(COUNTIF('Data Source'!$T:$T,533)&gt;0,533,""),"")</f>
        <v/>
      </c>
      <c r="B535">
        <f>IFERROR(INDEX('Data Source'!$B:$B,MATCH(533,'Data Source'!$T:$T,0)),"")</f>
        <v/>
      </c>
      <c r="C535" s="3">
        <f>IFERROR(INDEX('Data Source'!$P:$P,MATCH(533,'Data Source'!$T:$T,0)),"")</f>
        <v/>
      </c>
      <c r="D535" s="5">
        <f>IFERROR(INDEX('Data Source'!$Q:$Q,MATCH(533,'Data Source'!$T:$T,0)),"")</f>
        <v/>
      </c>
      <c r="E535" s="5">
        <f>IFERROR(INDEX('Data Source'!$R:$R,MATCH(533,'Data Source'!$T:$T,0)),"")</f>
        <v/>
      </c>
      <c r="F535" s="3">
        <f>IFERROR(INDEX('Data Source'!$S:$S,MATCH(533,'Data Source'!$T:$T,0)),"")</f>
        <v/>
      </c>
    </row>
    <row r="536">
      <c r="A536" s="3">
        <f>IFERROR(IF(COUNTIF('Data Source'!$T:$T,534)&gt;0,534,""),"")</f>
        <v/>
      </c>
      <c r="B536">
        <f>IFERROR(INDEX('Data Source'!$B:$B,MATCH(534,'Data Source'!$T:$T,0)),"")</f>
        <v/>
      </c>
      <c r="C536" s="3">
        <f>IFERROR(INDEX('Data Source'!$P:$P,MATCH(534,'Data Source'!$T:$T,0)),"")</f>
        <v/>
      </c>
      <c r="D536" s="5">
        <f>IFERROR(INDEX('Data Source'!$Q:$Q,MATCH(534,'Data Source'!$T:$T,0)),"")</f>
        <v/>
      </c>
      <c r="E536" s="5">
        <f>IFERROR(INDEX('Data Source'!$R:$R,MATCH(534,'Data Source'!$T:$T,0)),"")</f>
        <v/>
      </c>
      <c r="F536" s="3">
        <f>IFERROR(INDEX('Data Source'!$S:$S,MATCH(534,'Data Source'!$T:$T,0)),"")</f>
        <v/>
      </c>
    </row>
    <row r="537">
      <c r="A537" s="3">
        <f>IFERROR(IF(COUNTIF('Data Source'!$T:$T,535)&gt;0,535,""),"")</f>
        <v/>
      </c>
      <c r="B537">
        <f>IFERROR(INDEX('Data Source'!$B:$B,MATCH(535,'Data Source'!$T:$T,0)),"")</f>
        <v/>
      </c>
      <c r="C537" s="3">
        <f>IFERROR(INDEX('Data Source'!$P:$P,MATCH(535,'Data Source'!$T:$T,0)),"")</f>
        <v/>
      </c>
      <c r="D537" s="5">
        <f>IFERROR(INDEX('Data Source'!$Q:$Q,MATCH(535,'Data Source'!$T:$T,0)),"")</f>
        <v/>
      </c>
      <c r="E537" s="5">
        <f>IFERROR(INDEX('Data Source'!$R:$R,MATCH(535,'Data Source'!$T:$T,0)),"")</f>
        <v/>
      </c>
      <c r="F537" s="3">
        <f>IFERROR(INDEX('Data Source'!$S:$S,MATCH(535,'Data Source'!$T:$T,0)),"")</f>
        <v/>
      </c>
    </row>
    <row r="538">
      <c r="A538" s="3">
        <f>IFERROR(IF(COUNTIF('Data Source'!$T:$T,536)&gt;0,536,""),"")</f>
        <v/>
      </c>
      <c r="B538">
        <f>IFERROR(INDEX('Data Source'!$B:$B,MATCH(536,'Data Source'!$T:$T,0)),"")</f>
        <v/>
      </c>
      <c r="C538" s="3">
        <f>IFERROR(INDEX('Data Source'!$P:$P,MATCH(536,'Data Source'!$T:$T,0)),"")</f>
        <v/>
      </c>
      <c r="D538" s="5">
        <f>IFERROR(INDEX('Data Source'!$Q:$Q,MATCH(536,'Data Source'!$T:$T,0)),"")</f>
        <v/>
      </c>
      <c r="E538" s="5">
        <f>IFERROR(INDEX('Data Source'!$R:$R,MATCH(536,'Data Source'!$T:$T,0)),"")</f>
        <v/>
      </c>
      <c r="F538" s="3">
        <f>IFERROR(INDEX('Data Source'!$S:$S,MATCH(536,'Data Source'!$T:$T,0)),"")</f>
        <v/>
      </c>
    </row>
    <row r="539">
      <c r="A539" s="3">
        <f>IFERROR(IF(COUNTIF('Data Source'!$T:$T,537)&gt;0,537,""),"")</f>
        <v/>
      </c>
      <c r="B539">
        <f>IFERROR(INDEX('Data Source'!$B:$B,MATCH(537,'Data Source'!$T:$T,0)),"")</f>
        <v/>
      </c>
      <c r="C539" s="3">
        <f>IFERROR(INDEX('Data Source'!$P:$P,MATCH(537,'Data Source'!$T:$T,0)),"")</f>
        <v/>
      </c>
      <c r="D539" s="5">
        <f>IFERROR(INDEX('Data Source'!$Q:$Q,MATCH(537,'Data Source'!$T:$T,0)),"")</f>
        <v/>
      </c>
      <c r="E539" s="5">
        <f>IFERROR(INDEX('Data Source'!$R:$R,MATCH(537,'Data Source'!$T:$T,0)),"")</f>
        <v/>
      </c>
      <c r="F539" s="3">
        <f>IFERROR(INDEX('Data Source'!$S:$S,MATCH(537,'Data Source'!$T:$T,0)),"")</f>
        <v/>
      </c>
    </row>
    <row r="540">
      <c r="A540" s="3">
        <f>IFERROR(IF(COUNTIF('Data Source'!$T:$T,538)&gt;0,538,""),"")</f>
        <v/>
      </c>
      <c r="B540">
        <f>IFERROR(INDEX('Data Source'!$B:$B,MATCH(538,'Data Source'!$T:$T,0)),"")</f>
        <v/>
      </c>
      <c r="C540" s="3">
        <f>IFERROR(INDEX('Data Source'!$P:$P,MATCH(538,'Data Source'!$T:$T,0)),"")</f>
        <v/>
      </c>
      <c r="D540" s="5">
        <f>IFERROR(INDEX('Data Source'!$Q:$Q,MATCH(538,'Data Source'!$T:$T,0)),"")</f>
        <v/>
      </c>
      <c r="E540" s="5">
        <f>IFERROR(INDEX('Data Source'!$R:$R,MATCH(538,'Data Source'!$T:$T,0)),"")</f>
        <v/>
      </c>
      <c r="F540" s="3">
        <f>IFERROR(INDEX('Data Source'!$S:$S,MATCH(538,'Data Source'!$T:$T,0)),"")</f>
        <v/>
      </c>
    </row>
    <row r="541">
      <c r="A541" s="3">
        <f>IFERROR(IF(COUNTIF('Data Source'!$T:$T,539)&gt;0,539,""),"")</f>
        <v/>
      </c>
      <c r="B541">
        <f>IFERROR(INDEX('Data Source'!$B:$B,MATCH(539,'Data Source'!$T:$T,0)),"")</f>
        <v/>
      </c>
      <c r="C541" s="3">
        <f>IFERROR(INDEX('Data Source'!$P:$P,MATCH(539,'Data Source'!$T:$T,0)),"")</f>
        <v/>
      </c>
      <c r="D541" s="5">
        <f>IFERROR(INDEX('Data Source'!$Q:$Q,MATCH(539,'Data Source'!$T:$T,0)),"")</f>
        <v/>
      </c>
      <c r="E541" s="5">
        <f>IFERROR(INDEX('Data Source'!$R:$R,MATCH(539,'Data Source'!$T:$T,0)),"")</f>
        <v/>
      </c>
      <c r="F541" s="3">
        <f>IFERROR(INDEX('Data Source'!$S:$S,MATCH(539,'Data Source'!$T:$T,0)),"")</f>
        <v/>
      </c>
    </row>
    <row r="542">
      <c r="A542" s="3">
        <f>IFERROR(IF(COUNTIF('Data Source'!$T:$T,540)&gt;0,540,""),"")</f>
        <v/>
      </c>
      <c r="B542">
        <f>IFERROR(INDEX('Data Source'!$B:$B,MATCH(540,'Data Source'!$T:$T,0)),"")</f>
        <v/>
      </c>
      <c r="C542" s="3">
        <f>IFERROR(INDEX('Data Source'!$P:$P,MATCH(540,'Data Source'!$T:$T,0)),"")</f>
        <v/>
      </c>
      <c r="D542" s="5">
        <f>IFERROR(INDEX('Data Source'!$Q:$Q,MATCH(540,'Data Source'!$T:$T,0)),"")</f>
        <v/>
      </c>
      <c r="E542" s="5">
        <f>IFERROR(INDEX('Data Source'!$R:$R,MATCH(540,'Data Source'!$T:$T,0)),"")</f>
        <v/>
      </c>
      <c r="F542" s="3">
        <f>IFERROR(INDEX('Data Source'!$S:$S,MATCH(540,'Data Source'!$T:$T,0)),"")</f>
        <v/>
      </c>
    </row>
    <row r="543">
      <c r="A543" s="3">
        <f>IFERROR(IF(COUNTIF('Data Source'!$T:$T,541)&gt;0,541,""),"")</f>
        <v/>
      </c>
      <c r="B543">
        <f>IFERROR(INDEX('Data Source'!$B:$B,MATCH(541,'Data Source'!$T:$T,0)),"")</f>
        <v/>
      </c>
      <c r="C543" s="3">
        <f>IFERROR(INDEX('Data Source'!$P:$P,MATCH(541,'Data Source'!$T:$T,0)),"")</f>
        <v/>
      </c>
      <c r="D543" s="5">
        <f>IFERROR(INDEX('Data Source'!$Q:$Q,MATCH(541,'Data Source'!$T:$T,0)),"")</f>
        <v/>
      </c>
      <c r="E543" s="5">
        <f>IFERROR(INDEX('Data Source'!$R:$R,MATCH(541,'Data Source'!$T:$T,0)),"")</f>
        <v/>
      </c>
      <c r="F543" s="3">
        <f>IFERROR(INDEX('Data Source'!$S:$S,MATCH(541,'Data Source'!$T:$T,0)),"")</f>
        <v/>
      </c>
    </row>
    <row r="544">
      <c r="A544" s="3">
        <f>IFERROR(IF(COUNTIF('Data Source'!$T:$T,542)&gt;0,542,""),"")</f>
        <v/>
      </c>
      <c r="B544">
        <f>IFERROR(INDEX('Data Source'!$B:$B,MATCH(542,'Data Source'!$T:$T,0)),"")</f>
        <v/>
      </c>
      <c r="C544" s="3">
        <f>IFERROR(INDEX('Data Source'!$P:$P,MATCH(542,'Data Source'!$T:$T,0)),"")</f>
        <v/>
      </c>
      <c r="D544" s="5">
        <f>IFERROR(INDEX('Data Source'!$Q:$Q,MATCH(542,'Data Source'!$T:$T,0)),"")</f>
        <v/>
      </c>
      <c r="E544" s="5">
        <f>IFERROR(INDEX('Data Source'!$R:$R,MATCH(542,'Data Source'!$T:$T,0)),"")</f>
        <v/>
      </c>
      <c r="F544" s="3">
        <f>IFERROR(INDEX('Data Source'!$S:$S,MATCH(542,'Data Source'!$T:$T,0)),"")</f>
        <v/>
      </c>
    </row>
    <row r="545">
      <c r="A545" s="3">
        <f>IFERROR(IF(COUNTIF('Data Source'!$T:$T,543)&gt;0,543,""),"")</f>
        <v/>
      </c>
      <c r="B545">
        <f>IFERROR(INDEX('Data Source'!$B:$B,MATCH(543,'Data Source'!$T:$T,0)),"")</f>
        <v/>
      </c>
      <c r="C545" s="3">
        <f>IFERROR(INDEX('Data Source'!$P:$P,MATCH(543,'Data Source'!$T:$T,0)),"")</f>
        <v/>
      </c>
      <c r="D545" s="5">
        <f>IFERROR(INDEX('Data Source'!$Q:$Q,MATCH(543,'Data Source'!$T:$T,0)),"")</f>
        <v/>
      </c>
      <c r="E545" s="5">
        <f>IFERROR(INDEX('Data Source'!$R:$R,MATCH(543,'Data Source'!$T:$T,0)),"")</f>
        <v/>
      </c>
      <c r="F545" s="3">
        <f>IFERROR(INDEX('Data Source'!$S:$S,MATCH(543,'Data Source'!$T:$T,0)),"")</f>
        <v/>
      </c>
    </row>
    <row r="546">
      <c r="A546" s="3">
        <f>IFERROR(IF(COUNTIF('Data Source'!$T:$T,544)&gt;0,544,""),"")</f>
        <v/>
      </c>
      <c r="B546">
        <f>IFERROR(INDEX('Data Source'!$B:$B,MATCH(544,'Data Source'!$T:$T,0)),"")</f>
        <v/>
      </c>
      <c r="C546" s="3">
        <f>IFERROR(INDEX('Data Source'!$P:$P,MATCH(544,'Data Source'!$T:$T,0)),"")</f>
        <v/>
      </c>
      <c r="D546" s="5">
        <f>IFERROR(INDEX('Data Source'!$Q:$Q,MATCH(544,'Data Source'!$T:$T,0)),"")</f>
        <v/>
      </c>
      <c r="E546" s="5">
        <f>IFERROR(INDEX('Data Source'!$R:$R,MATCH(544,'Data Source'!$T:$T,0)),"")</f>
        <v/>
      </c>
      <c r="F546" s="3">
        <f>IFERROR(INDEX('Data Source'!$S:$S,MATCH(544,'Data Source'!$T:$T,0)),"")</f>
        <v/>
      </c>
    </row>
    <row r="547">
      <c r="A547" s="3">
        <f>IFERROR(IF(COUNTIF('Data Source'!$T:$T,545)&gt;0,545,""),"")</f>
        <v/>
      </c>
      <c r="B547">
        <f>IFERROR(INDEX('Data Source'!$B:$B,MATCH(545,'Data Source'!$T:$T,0)),"")</f>
        <v/>
      </c>
      <c r="C547" s="3">
        <f>IFERROR(INDEX('Data Source'!$P:$P,MATCH(545,'Data Source'!$T:$T,0)),"")</f>
        <v/>
      </c>
      <c r="D547" s="5">
        <f>IFERROR(INDEX('Data Source'!$Q:$Q,MATCH(545,'Data Source'!$T:$T,0)),"")</f>
        <v/>
      </c>
      <c r="E547" s="5">
        <f>IFERROR(INDEX('Data Source'!$R:$R,MATCH(545,'Data Source'!$T:$T,0)),"")</f>
        <v/>
      </c>
      <c r="F547" s="3">
        <f>IFERROR(INDEX('Data Source'!$S:$S,MATCH(545,'Data Source'!$T:$T,0)),"")</f>
        <v/>
      </c>
    </row>
    <row r="548">
      <c r="A548" s="3">
        <f>IFERROR(IF(COUNTIF('Data Source'!$T:$T,546)&gt;0,546,""),"")</f>
        <v/>
      </c>
      <c r="B548">
        <f>IFERROR(INDEX('Data Source'!$B:$B,MATCH(546,'Data Source'!$T:$T,0)),"")</f>
        <v/>
      </c>
      <c r="C548" s="3">
        <f>IFERROR(INDEX('Data Source'!$P:$P,MATCH(546,'Data Source'!$T:$T,0)),"")</f>
        <v/>
      </c>
      <c r="D548" s="5">
        <f>IFERROR(INDEX('Data Source'!$Q:$Q,MATCH(546,'Data Source'!$T:$T,0)),"")</f>
        <v/>
      </c>
      <c r="E548" s="5">
        <f>IFERROR(INDEX('Data Source'!$R:$R,MATCH(546,'Data Source'!$T:$T,0)),"")</f>
        <v/>
      </c>
      <c r="F548" s="3">
        <f>IFERROR(INDEX('Data Source'!$S:$S,MATCH(546,'Data Source'!$T:$T,0)),"")</f>
        <v/>
      </c>
    </row>
    <row r="549">
      <c r="A549" s="3">
        <f>IFERROR(IF(COUNTIF('Data Source'!$T:$T,547)&gt;0,547,""),"")</f>
        <v/>
      </c>
      <c r="B549">
        <f>IFERROR(INDEX('Data Source'!$B:$B,MATCH(547,'Data Source'!$T:$T,0)),"")</f>
        <v/>
      </c>
      <c r="C549" s="3">
        <f>IFERROR(INDEX('Data Source'!$P:$P,MATCH(547,'Data Source'!$T:$T,0)),"")</f>
        <v/>
      </c>
      <c r="D549" s="5">
        <f>IFERROR(INDEX('Data Source'!$Q:$Q,MATCH(547,'Data Source'!$T:$T,0)),"")</f>
        <v/>
      </c>
      <c r="E549" s="5">
        <f>IFERROR(INDEX('Data Source'!$R:$R,MATCH(547,'Data Source'!$T:$T,0)),"")</f>
        <v/>
      </c>
      <c r="F549" s="3">
        <f>IFERROR(INDEX('Data Source'!$S:$S,MATCH(547,'Data Source'!$T:$T,0)),"")</f>
        <v/>
      </c>
    </row>
    <row r="550">
      <c r="A550" s="3">
        <f>IFERROR(IF(COUNTIF('Data Source'!$T:$T,548)&gt;0,548,""),"")</f>
        <v/>
      </c>
      <c r="B550">
        <f>IFERROR(INDEX('Data Source'!$B:$B,MATCH(548,'Data Source'!$T:$T,0)),"")</f>
        <v/>
      </c>
      <c r="C550" s="3">
        <f>IFERROR(INDEX('Data Source'!$P:$P,MATCH(548,'Data Source'!$T:$T,0)),"")</f>
        <v/>
      </c>
      <c r="D550" s="5">
        <f>IFERROR(INDEX('Data Source'!$Q:$Q,MATCH(548,'Data Source'!$T:$T,0)),"")</f>
        <v/>
      </c>
      <c r="E550" s="5">
        <f>IFERROR(INDEX('Data Source'!$R:$R,MATCH(548,'Data Source'!$T:$T,0)),"")</f>
        <v/>
      </c>
      <c r="F550" s="3">
        <f>IFERROR(INDEX('Data Source'!$S:$S,MATCH(548,'Data Source'!$T:$T,0)),"")</f>
        <v/>
      </c>
    </row>
    <row r="551">
      <c r="A551" s="3">
        <f>IFERROR(IF(COUNTIF('Data Source'!$T:$T,549)&gt;0,549,""),"")</f>
        <v/>
      </c>
      <c r="B551">
        <f>IFERROR(INDEX('Data Source'!$B:$B,MATCH(549,'Data Source'!$T:$T,0)),"")</f>
        <v/>
      </c>
      <c r="C551" s="3">
        <f>IFERROR(INDEX('Data Source'!$P:$P,MATCH(549,'Data Source'!$T:$T,0)),"")</f>
        <v/>
      </c>
      <c r="D551" s="5">
        <f>IFERROR(INDEX('Data Source'!$Q:$Q,MATCH(549,'Data Source'!$T:$T,0)),"")</f>
        <v/>
      </c>
      <c r="E551" s="5">
        <f>IFERROR(INDEX('Data Source'!$R:$R,MATCH(549,'Data Source'!$T:$T,0)),"")</f>
        <v/>
      </c>
      <c r="F551" s="3">
        <f>IFERROR(INDEX('Data Source'!$S:$S,MATCH(549,'Data Source'!$T:$T,0)),"")</f>
        <v/>
      </c>
    </row>
    <row r="552">
      <c r="A552" s="3">
        <f>IFERROR(IF(COUNTIF('Data Source'!$T:$T,550)&gt;0,550,""),"")</f>
        <v/>
      </c>
      <c r="B552">
        <f>IFERROR(INDEX('Data Source'!$B:$B,MATCH(550,'Data Source'!$T:$T,0)),"")</f>
        <v/>
      </c>
      <c r="C552" s="3">
        <f>IFERROR(INDEX('Data Source'!$P:$P,MATCH(550,'Data Source'!$T:$T,0)),"")</f>
        <v/>
      </c>
      <c r="D552" s="5">
        <f>IFERROR(INDEX('Data Source'!$Q:$Q,MATCH(550,'Data Source'!$T:$T,0)),"")</f>
        <v/>
      </c>
      <c r="E552" s="5">
        <f>IFERROR(INDEX('Data Source'!$R:$R,MATCH(550,'Data Source'!$T:$T,0)),"")</f>
        <v/>
      </c>
      <c r="F552" s="3">
        <f>IFERROR(INDEX('Data Source'!$S:$S,MATCH(550,'Data Source'!$T:$T,0)),"")</f>
        <v/>
      </c>
    </row>
    <row r="553">
      <c r="A553" s="3">
        <f>IFERROR(IF(COUNTIF('Data Source'!$T:$T,551)&gt;0,551,""),"")</f>
        <v/>
      </c>
      <c r="B553">
        <f>IFERROR(INDEX('Data Source'!$B:$B,MATCH(551,'Data Source'!$T:$T,0)),"")</f>
        <v/>
      </c>
      <c r="C553" s="3">
        <f>IFERROR(INDEX('Data Source'!$P:$P,MATCH(551,'Data Source'!$T:$T,0)),"")</f>
        <v/>
      </c>
      <c r="D553" s="5">
        <f>IFERROR(INDEX('Data Source'!$Q:$Q,MATCH(551,'Data Source'!$T:$T,0)),"")</f>
        <v/>
      </c>
      <c r="E553" s="5">
        <f>IFERROR(INDEX('Data Source'!$R:$R,MATCH(551,'Data Source'!$T:$T,0)),"")</f>
        <v/>
      </c>
      <c r="F553" s="3">
        <f>IFERROR(INDEX('Data Source'!$S:$S,MATCH(551,'Data Source'!$T:$T,0)),"")</f>
        <v/>
      </c>
    </row>
    <row r="554">
      <c r="A554" s="3">
        <f>IFERROR(IF(COUNTIF('Data Source'!$T:$T,552)&gt;0,552,""),"")</f>
        <v/>
      </c>
      <c r="B554">
        <f>IFERROR(INDEX('Data Source'!$B:$B,MATCH(552,'Data Source'!$T:$T,0)),"")</f>
        <v/>
      </c>
      <c r="C554" s="3">
        <f>IFERROR(INDEX('Data Source'!$P:$P,MATCH(552,'Data Source'!$T:$T,0)),"")</f>
        <v/>
      </c>
      <c r="D554" s="5">
        <f>IFERROR(INDEX('Data Source'!$Q:$Q,MATCH(552,'Data Source'!$T:$T,0)),"")</f>
        <v/>
      </c>
      <c r="E554" s="5">
        <f>IFERROR(INDEX('Data Source'!$R:$R,MATCH(552,'Data Source'!$T:$T,0)),"")</f>
        <v/>
      </c>
      <c r="F554" s="3">
        <f>IFERROR(INDEX('Data Source'!$S:$S,MATCH(552,'Data Source'!$T:$T,0)),"")</f>
        <v/>
      </c>
    </row>
    <row r="555">
      <c r="A555" s="3">
        <f>IFERROR(IF(COUNTIF('Data Source'!$T:$T,553)&gt;0,553,""),"")</f>
        <v/>
      </c>
      <c r="B555">
        <f>IFERROR(INDEX('Data Source'!$B:$B,MATCH(553,'Data Source'!$T:$T,0)),"")</f>
        <v/>
      </c>
      <c r="C555" s="3">
        <f>IFERROR(INDEX('Data Source'!$P:$P,MATCH(553,'Data Source'!$T:$T,0)),"")</f>
        <v/>
      </c>
      <c r="D555" s="5">
        <f>IFERROR(INDEX('Data Source'!$Q:$Q,MATCH(553,'Data Source'!$T:$T,0)),"")</f>
        <v/>
      </c>
      <c r="E555" s="5">
        <f>IFERROR(INDEX('Data Source'!$R:$R,MATCH(553,'Data Source'!$T:$T,0)),"")</f>
        <v/>
      </c>
      <c r="F555" s="3">
        <f>IFERROR(INDEX('Data Source'!$S:$S,MATCH(553,'Data Source'!$T:$T,0)),"")</f>
        <v/>
      </c>
    </row>
    <row r="556">
      <c r="A556" s="3">
        <f>IFERROR(IF(COUNTIF('Data Source'!$T:$T,554)&gt;0,554,""),"")</f>
        <v/>
      </c>
      <c r="B556">
        <f>IFERROR(INDEX('Data Source'!$B:$B,MATCH(554,'Data Source'!$T:$T,0)),"")</f>
        <v/>
      </c>
      <c r="C556" s="3">
        <f>IFERROR(INDEX('Data Source'!$P:$P,MATCH(554,'Data Source'!$T:$T,0)),"")</f>
        <v/>
      </c>
      <c r="D556" s="5">
        <f>IFERROR(INDEX('Data Source'!$Q:$Q,MATCH(554,'Data Source'!$T:$T,0)),"")</f>
        <v/>
      </c>
      <c r="E556" s="5">
        <f>IFERROR(INDEX('Data Source'!$R:$R,MATCH(554,'Data Source'!$T:$T,0)),"")</f>
        <v/>
      </c>
      <c r="F556" s="3">
        <f>IFERROR(INDEX('Data Source'!$S:$S,MATCH(554,'Data Source'!$T:$T,0)),"")</f>
        <v/>
      </c>
    </row>
    <row r="557">
      <c r="A557" s="3">
        <f>IFERROR(IF(COUNTIF('Data Source'!$T:$T,555)&gt;0,555,""),"")</f>
        <v/>
      </c>
      <c r="B557">
        <f>IFERROR(INDEX('Data Source'!$B:$B,MATCH(555,'Data Source'!$T:$T,0)),"")</f>
        <v/>
      </c>
      <c r="C557" s="3">
        <f>IFERROR(INDEX('Data Source'!$P:$P,MATCH(555,'Data Source'!$T:$T,0)),"")</f>
        <v/>
      </c>
      <c r="D557" s="5">
        <f>IFERROR(INDEX('Data Source'!$Q:$Q,MATCH(555,'Data Source'!$T:$T,0)),"")</f>
        <v/>
      </c>
      <c r="E557" s="5">
        <f>IFERROR(INDEX('Data Source'!$R:$R,MATCH(555,'Data Source'!$T:$T,0)),"")</f>
        <v/>
      </c>
      <c r="F557" s="3">
        <f>IFERROR(INDEX('Data Source'!$S:$S,MATCH(555,'Data Source'!$T:$T,0)),"")</f>
        <v/>
      </c>
    </row>
    <row r="558">
      <c r="A558" s="3">
        <f>IFERROR(IF(COUNTIF('Data Source'!$T:$T,556)&gt;0,556,""),"")</f>
        <v/>
      </c>
      <c r="B558">
        <f>IFERROR(INDEX('Data Source'!$B:$B,MATCH(556,'Data Source'!$T:$T,0)),"")</f>
        <v/>
      </c>
      <c r="C558" s="3">
        <f>IFERROR(INDEX('Data Source'!$P:$P,MATCH(556,'Data Source'!$T:$T,0)),"")</f>
        <v/>
      </c>
      <c r="D558" s="5">
        <f>IFERROR(INDEX('Data Source'!$Q:$Q,MATCH(556,'Data Source'!$T:$T,0)),"")</f>
        <v/>
      </c>
      <c r="E558" s="5">
        <f>IFERROR(INDEX('Data Source'!$R:$R,MATCH(556,'Data Source'!$T:$T,0)),"")</f>
        <v/>
      </c>
      <c r="F558" s="3">
        <f>IFERROR(INDEX('Data Source'!$S:$S,MATCH(556,'Data Source'!$T:$T,0)),"")</f>
        <v/>
      </c>
    </row>
    <row r="559">
      <c r="A559" s="3">
        <f>IFERROR(IF(COUNTIF('Data Source'!$T:$T,557)&gt;0,557,""),"")</f>
        <v/>
      </c>
      <c r="B559">
        <f>IFERROR(INDEX('Data Source'!$B:$B,MATCH(557,'Data Source'!$T:$T,0)),"")</f>
        <v/>
      </c>
      <c r="C559" s="3">
        <f>IFERROR(INDEX('Data Source'!$P:$P,MATCH(557,'Data Source'!$T:$T,0)),"")</f>
        <v/>
      </c>
      <c r="D559" s="5">
        <f>IFERROR(INDEX('Data Source'!$Q:$Q,MATCH(557,'Data Source'!$T:$T,0)),"")</f>
        <v/>
      </c>
      <c r="E559" s="5">
        <f>IFERROR(INDEX('Data Source'!$R:$R,MATCH(557,'Data Source'!$T:$T,0)),"")</f>
        <v/>
      </c>
      <c r="F559" s="3">
        <f>IFERROR(INDEX('Data Source'!$S:$S,MATCH(557,'Data Source'!$T:$T,0)),"")</f>
        <v/>
      </c>
    </row>
    <row r="560">
      <c r="A560" s="3">
        <f>IFERROR(IF(COUNTIF('Data Source'!$T:$T,558)&gt;0,558,""),"")</f>
        <v/>
      </c>
      <c r="B560">
        <f>IFERROR(INDEX('Data Source'!$B:$B,MATCH(558,'Data Source'!$T:$T,0)),"")</f>
        <v/>
      </c>
      <c r="C560" s="3">
        <f>IFERROR(INDEX('Data Source'!$P:$P,MATCH(558,'Data Source'!$T:$T,0)),"")</f>
        <v/>
      </c>
      <c r="D560" s="5">
        <f>IFERROR(INDEX('Data Source'!$Q:$Q,MATCH(558,'Data Source'!$T:$T,0)),"")</f>
        <v/>
      </c>
      <c r="E560" s="5">
        <f>IFERROR(INDEX('Data Source'!$R:$R,MATCH(558,'Data Source'!$T:$T,0)),"")</f>
        <v/>
      </c>
      <c r="F560" s="3">
        <f>IFERROR(INDEX('Data Source'!$S:$S,MATCH(558,'Data Source'!$T:$T,0)),"")</f>
        <v/>
      </c>
    </row>
    <row r="561">
      <c r="A561" s="3">
        <f>IFERROR(IF(COUNTIF('Data Source'!$T:$T,559)&gt;0,559,""),"")</f>
        <v/>
      </c>
      <c r="B561">
        <f>IFERROR(INDEX('Data Source'!$B:$B,MATCH(559,'Data Source'!$T:$T,0)),"")</f>
        <v/>
      </c>
      <c r="C561" s="3">
        <f>IFERROR(INDEX('Data Source'!$P:$P,MATCH(559,'Data Source'!$T:$T,0)),"")</f>
        <v/>
      </c>
      <c r="D561" s="5">
        <f>IFERROR(INDEX('Data Source'!$Q:$Q,MATCH(559,'Data Source'!$T:$T,0)),"")</f>
        <v/>
      </c>
      <c r="E561" s="5">
        <f>IFERROR(INDEX('Data Source'!$R:$R,MATCH(559,'Data Source'!$T:$T,0)),"")</f>
        <v/>
      </c>
      <c r="F561" s="3">
        <f>IFERROR(INDEX('Data Source'!$S:$S,MATCH(559,'Data Source'!$T:$T,0)),"")</f>
        <v/>
      </c>
    </row>
    <row r="562">
      <c r="A562" s="3">
        <f>IFERROR(IF(COUNTIF('Data Source'!$T:$T,560)&gt;0,560,""),"")</f>
        <v/>
      </c>
      <c r="B562">
        <f>IFERROR(INDEX('Data Source'!$B:$B,MATCH(560,'Data Source'!$T:$T,0)),"")</f>
        <v/>
      </c>
      <c r="C562" s="3">
        <f>IFERROR(INDEX('Data Source'!$P:$P,MATCH(560,'Data Source'!$T:$T,0)),"")</f>
        <v/>
      </c>
      <c r="D562" s="5">
        <f>IFERROR(INDEX('Data Source'!$Q:$Q,MATCH(560,'Data Source'!$T:$T,0)),"")</f>
        <v/>
      </c>
      <c r="E562" s="5">
        <f>IFERROR(INDEX('Data Source'!$R:$R,MATCH(560,'Data Source'!$T:$T,0)),"")</f>
        <v/>
      </c>
      <c r="F562" s="3">
        <f>IFERROR(INDEX('Data Source'!$S:$S,MATCH(560,'Data Source'!$T:$T,0)),"")</f>
        <v/>
      </c>
    </row>
    <row r="563">
      <c r="A563" s="3">
        <f>IFERROR(IF(COUNTIF('Data Source'!$T:$T,561)&gt;0,561,""),"")</f>
        <v/>
      </c>
      <c r="B563">
        <f>IFERROR(INDEX('Data Source'!$B:$B,MATCH(561,'Data Source'!$T:$T,0)),"")</f>
        <v/>
      </c>
      <c r="C563" s="3">
        <f>IFERROR(INDEX('Data Source'!$P:$P,MATCH(561,'Data Source'!$T:$T,0)),"")</f>
        <v/>
      </c>
      <c r="D563" s="5">
        <f>IFERROR(INDEX('Data Source'!$Q:$Q,MATCH(561,'Data Source'!$T:$T,0)),"")</f>
        <v/>
      </c>
      <c r="E563" s="5">
        <f>IFERROR(INDEX('Data Source'!$R:$R,MATCH(561,'Data Source'!$T:$T,0)),"")</f>
        <v/>
      </c>
      <c r="F563" s="3">
        <f>IFERROR(INDEX('Data Source'!$S:$S,MATCH(561,'Data Source'!$T:$T,0)),"")</f>
        <v/>
      </c>
    </row>
    <row r="564">
      <c r="A564" s="3">
        <f>IFERROR(IF(COUNTIF('Data Source'!$T:$T,562)&gt;0,562,""),"")</f>
        <v/>
      </c>
      <c r="B564">
        <f>IFERROR(INDEX('Data Source'!$B:$B,MATCH(562,'Data Source'!$T:$T,0)),"")</f>
        <v/>
      </c>
      <c r="C564" s="3">
        <f>IFERROR(INDEX('Data Source'!$P:$P,MATCH(562,'Data Source'!$T:$T,0)),"")</f>
        <v/>
      </c>
      <c r="D564" s="5">
        <f>IFERROR(INDEX('Data Source'!$Q:$Q,MATCH(562,'Data Source'!$T:$T,0)),"")</f>
        <v/>
      </c>
      <c r="E564" s="5">
        <f>IFERROR(INDEX('Data Source'!$R:$R,MATCH(562,'Data Source'!$T:$T,0)),"")</f>
        <v/>
      </c>
      <c r="F564" s="3">
        <f>IFERROR(INDEX('Data Source'!$S:$S,MATCH(562,'Data Source'!$T:$T,0)),"")</f>
        <v/>
      </c>
    </row>
    <row r="565">
      <c r="A565" s="3">
        <f>IFERROR(IF(COUNTIF('Data Source'!$T:$T,563)&gt;0,563,""),"")</f>
        <v/>
      </c>
      <c r="B565">
        <f>IFERROR(INDEX('Data Source'!$B:$B,MATCH(563,'Data Source'!$T:$T,0)),"")</f>
        <v/>
      </c>
      <c r="C565" s="3">
        <f>IFERROR(INDEX('Data Source'!$P:$P,MATCH(563,'Data Source'!$T:$T,0)),"")</f>
        <v/>
      </c>
      <c r="D565" s="5">
        <f>IFERROR(INDEX('Data Source'!$Q:$Q,MATCH(563,'Data Source'!$T:$T,0)),"")</f>
        <v/>
      </c>
      <c r="E565" s="5">
        <f>IFERROR(INDEX('Data Source'!$R:$R,MATCH(563,'Data Source'!$T:$T,0)),"")</f>
        <v/>
      </c>
      <c r="F565" s="3">
        <f>IFERROR(INDEX('Data Source'!$S:$S,MATCH(563,'Data Source'!$T:$T,0)),"")</f>
        <v/>
      </c>
    </row>
    <row r="566">
      <c r="A566" s="3">
        <f>IFERROR(IF(COUNTIF('Data Source'!$T:$T,564)&gt;0,564,""),"")</f>
        <v/>
      </c>
      <c r="B566">
        <f>IFERROR(INDEX('Data Source'!$B:$B,MATCH(564,'Data Source'!$T:$T,0)),"")</f>
        <v/>
      </c>
      <c r="C566" s="3">
        <f>IFERROR(INDEX('Data Source'!$P:$P,MATCH(564,'Data Source'!$T:$T,0)),"")</f>
        <v/>
      </c>
      <c r="D566" s="5">
        <f>IFERROR(INDEX('Data Source'!$Q:$Q,MATCH(564,'Data Source'!$T:$T,0)),"")</f>
        <v/>
      </c>
      <c r="E566" s="5">
        <f>IFERROR(INDEX('Data Source'!$R:$R,MATCH(564,'Data Source'!$T:$T,0)),"")</f>
        <v/>
      </c>
      <c r="F566" s="3">
        <f>IFERROR(INDEX('Data Source'!$S:$S,MATCH(564,'Data Source'!$T:$T,0)),"")</f>
        <v/>
      </c>
    </row>
    <row r="567">
      <c r="A567" s="3">
        <f>IFERROR(IF(COUNTIF('Data Source'!$T:$T,565)&gt;0,565,""),"")</f>
        <v/>
      </c>
      <c r="B567">
        <f>IFERROR(INDEX('Data Source'!$B:$B,MATCH(565,'Data Source'!$T:$T,0)),"")</f>
        <v/>
      </c>
      <c r="C567" s="3">
        <f>IFERROR(INDEX('Data Source'!$P:$P,MATCH(565,'Data Source'!$T:$T,0)),"")</f>
        <v/>
      </c>
      <c r="D567" s="5">
        <f>IFERROR(INDEX('Data Source'!$Q:$Q,MATCH(565,'Data Source'!$T:$T,0)),"")</f>
        <v/>
      </c>
      <c r="E567" s="5">
        <f>IFERROR(INDEX('Data Source'!$R:$R,MATCH(565,'Data Source'!$T:$T,0)),"")</f>
        <v/>
      </c>
      <c r="F567" s="3">
        <f>IFERROR(INDEX('Data Source'!$S:$S,MATCH(565,'Data Source'!$T:$T,0)),"")</f>
        <v/>
      </c>
    </row>
    <row r="568">
      <c r="A568" s="3">
        <f>IFERROR(IF(COUNTIF('Data Source'!$T:$T,566)&gt;0,566,""),"")</f>
        <v/>
      </c>
      <c r="B568">
        <f>IFERROR(INDEX('Data Source'!$B:$B,MATCH(566,'Data Source'!$T:$T,0)),"")</f>
        <v/>
      </c>
      <c r="C568" s="3">
        <f>IFERROR(INDEX('Data Source'!$P:$P,MATCH(566,'Data Source'!$T:$T,0)),"")</f>
        <v/>
      </c>
      <c r="D568" s="5">
        <f>IFERROR(INDEX('Data Source'!$Q:$Q,MATCH(566,'Data Source'!$T:$T,0)),"")</f>
        <v/>
      </c>
      <c r="E568" s="5">
        <f>IFERROR(INDEX('Data Source'!$R:$R,MATCH(566,'Data Source'!$T:$T,0)),"")</f>
        <v/>
      </c>
      <c r="F568" s="3">
        <f>IFERROR(INDEX('Data Source'!$S:$S,MATCH(566,'Data Source'!$T:$T,0)),"")</f>
        <v/>
      </c>
    </row>
    <row r="569">
      <c r="A569" s="3">
        <f>IFERROR(IF(COUNTIF('Data Source'!$T:$T,567)&gt;0,567,""),"")</f>
        <v/>
      </c>
      <c r="B569">
        <f>IFERROR(INDEX('Data Source'!$B:$B,MATCH(567,'Data Source'!$T:$T,0)),"")</f>
        <v/>
      </c>
      <c r="C569" s="3">
        <f>IFERROR(INDEX('Data Source'!$P:$P,MATCH(567,'Data Source'!$T:$T,0)),"")</f>
        <v/>
      </c>
      <c r="D569" s="5">
        <f>IFERROR(INDEX('Data Source'!$Q:$Q,MATCH(567,'Data Source'!$T:$T,0)),"")</f>
        <v/>
      </c>
      <c r="E569" s="5">
        <f>IFERROR(INDEX('Data Source'!$R:$R,MATCH(567,'Data Source'!$T:$T,0)),"")</f>
        <v/>
      </c>
      <c r="F569" s="3">
        <f>IFERROR(INDEX('Data Source'!$S:$S,MATCH(567,'Data Source'!$T:$T,0)),"")</f>
        <v/>
      </c>
    </row>
    <row r="570">
      <c r="A570" s="3">
        <f>IFERROR(IF(COUNTIF('Data Source'!$T:$T,568)&gt;0,568,""),"")</f>
        <v/>
      </c>
      <c r="B570">
        <f>IFERROR(INDEX('Data Source'!$B:$B,MATCH(568,'Data Source'!$T:$T,0)),"")</f>
        <v/>
      </c>
      <c r="C570" s="3">
        <f>IFERROR(INDEX('Data Source'!$P:$P,MATCH(568,'Data Source'!$T:$T,0)),"")</f>
        <v/>
      </c>
      <c r="D570" s="5">
        <f>IFERROR(INDEX('Data Source'!$Q:$Q,MATCH(568,'Data Source'!$T:$T,0)),"")</f>
        <v/>
      </c>
      <c r="E570" s="5">
        <f>IFERROR(INDEX('Data Source'!$R:$R,MATCH(568,'Data Source'!$T:$T,0)),"")</f>
        <v/>
      </c>
      <c r="F570" s="3">
        <f>IFERROR(INDEX('Data Source'!$S:$S,MATCH(568,'Data Source'!$T:$T,0)),"")</f>
        <v/>
      </c>
    </row>
    <row r="571">
      <c r="A571" s="3">
        <f>IFERROR(IF(COUNTIF('Data Source'!$T:$T,569)&gt;0,569,""),"")</f>
        <v/>
      </c>
      <c r="B571">
        <f>IFERROR(INDEX('Data Source'!$B:$B,MATCH(569,'Data Source'!$T:$T,0)),"")</f>
        <v/>
      </c>
      <c r="C571" s="3">
        <f>IFERROR(INDEX('Data Source'!$P:$P,MATCH(569,'Data Source'!$T:$T,0)),"")</f>
        <v/>
      </c>
      <c r="D571" s="5">
        <f>IFERROR(INDEX('Data Source'!$Q:$Q,MATCH(569,'Data Source'!$T:$T,0)),"")</f>
        <v/>
      </c>
      <c r="E571" s="5">
        <f>IFERROR(INDEX('Data Source'!$R:$R,MATCH(569,'Data Source'!$T:$T,0)),"")</f>
        <v/>
      </c>
      <c r="F571" s="3">
        <f>IFERROR(INDEX('Data Source'!$S:$S,MATCH(569,'Data Source'!$T:$T,0)),"")</f>
        <v/>
      </c>
    </row>
    <row r="572">
      <c r="A572" s="3">
        <f>IFERROR(IF(COUNTIF('Data Source'!$T:$T,570)&gt;0,570,""),"")</f>
        <v/>
      </c>
      <c r="B572">
        <f>IFERROR(INDEX('Data Source'!$B:$B,MATCH(570,'Data Source'!$T:$T,0)),"")</f>
        <v/>
      </c>
      <c r="C572" s="3">
        <f>IFERROR(INDEX('Data Source'!$P:$P,MATCH(570,'Data Source'!$T:$T,0)),"")</f>
        <v/>
      </c>
      <c r="D572" s="5">
        <f>IFERROR(INDEX('Data Source'!$Q:$Q,MATCH(570,'Data Source'!$T:$T,0)),"")</f>
        <v/>
      </c>
      <c r="E572" s="5">
        <f>IFERROR(INDEX('Data Source'!$R:$R,MATCH(570,'Data Source'!$T:$T,0)),"")</f>
        <v/>
      </c>
      <c r="F572" s="3">
        <f>IFERROR(INDEX('Data Source'!$S:$S,MATCH(570,'Data Source'!$T:$T,0)),"")</f>
        <v/>
      </c>
    </row>
    <row r="573">
      <c r="A573" s="3">
        <f>IFERROR(IF(COUNTIF('Data Source'!$T:$T,571)&gt;0,571,""),"")</f>
        <v/>
      </c>
      <c r="B573">
        <f>IFERROR(INDEX('Data Source'!$B:$B,MATCH(571,'Data Source'!$T:$T,0)),"")</f>
        <v/>
      </c>
      <c r="C573" s="3">
        <f>IFERROR(INDEX('Data Source'!$P:$P,MATCH(571,'Data Source'!$T:$T,0)),"")</f>
        <v/>
      </c>
      <c r="D573" s="5">
        <f>IFERROR(INDEX('Data Source'!$Q:$Q,MATCH(571,'Data Source'!$T:$T,0)),"")</f>
        <v/>
      </c>
      <c r="E573" s="5">
        <f>IFERROR(INDEX('Data Source'!$R:$R,MATCH(571,'Data Source'!$T:$T,0)),"")</f>
        <v/>
      </c>
      <c r="F573" s="3">
        <f>IFERROR(INDEX('Data Source'!$S:$S,MATCH(571,'Data Source'!$T:$T,0)),"")</f>
        <v/>
      </c>
    </row>
    <row r="574">
      <c r="A574" s="3">
        <f>IFERROR(IF(COUNTIF('Data Source'!$T:$T,572)&gt;0,572,""),"")</f>
        <v/>
      </c>
      <c r="B574">
        <f>IFERROR(INDEX('Data Source'!$B:$B,MATCH(572,'Data Source'!$T:$T,0)),"")</f>
        <v/>
      </c>
      <c r="C574" s="3">
        <f>IFERROR(INDEX('Data Source'!$P:$P,MATCH(572,'Data Source'!$T:$T,0)),"")</f>
        <v/>
      </c>
      <c r="D574" s="5">
        <f>IFERROR(INDEX('Data Source'!$Q:$Q,MATCH(572,'Data Source'!$T:$T,0)),"")</f>
        <v/>
      </c>
      <c r="E574" s="5">
        <f>IFERROR(INDEX('Data Source'!$R:$R,MATCH(572,'Data Source'!$T:$T,0)),"")</f>
        <v/>
      </c>
      <c r="F574" s="3">
        <f>IFERROR(INDEX('Data Source'!$S:$S,MATCH(572,'Data Source'!$T:$T,0)),"")</f>
        <v/>
      </c>
    </row>
    <row r="575">
      <c r="A575" s="3">
        <f>IFERROR(IF(COUNTIF('Data Source'!$T:$T,573)&gt;0,573,""),"")</f>
        <v/>
      </c>
      <c r="B575">
        <f>IFERROR(INDEX('Data Source'!$B:$B,MATCH(573,'Data Source'!$T:$T,0)),"")</f>
        <v/>
      </c>
      <c r="C575" s="3">
        <f>IFERROR(INDEX('Data Source'!$P:$P,MATCH(573,'Data Source'!$T:$T,0)),"")</f>
        <v/>
      </c>
      <c r="D575" s="5">
        <f>IFERROR(INDEX('Data Source'!$Q:$Q,MATCH(573,'Data Source'!$T:$T,0)),"")</f>
        <v/>
      </c>
      <c r="E575" s="5">
        <f>IFERROR(INDEX('Data Source'!$R:$R,MATCH(573,'Data Source'!$T:$T,0)),"")</f>
        <v/>
      </c>
      <c r="F575" s="3">
        <f>IFERROR(INDEX('Data Source'!$S:$S,MATCH(573,'Data Source'!$T:$T,0)),"")</f>
        <v/>
      </c>
    </row>
    <row r="576">
      <c r="A576" s="3">
        <f>IFERROR(IF(COUNTIF('Data Source'!$T:$T,574)&gt;0,574,""),"")</f>
        <v/>
      </c>
      <c r="B576">
        <f>IFERROR(INDEX('Data Source'!$B:$B,MATCH(574,'Data Source'!$T:$T,0)),"")</f>
        <v/>
      </c>
      <c r="C576" s="3">
        <f>IFERROR(INDEX('Data Source'!$P:$P,MATCH(574,'Data Source'!$T:$T,0)),"")</f>
        <v/>
      </c>
      <c r="D576" s="5">
        <f>IFERROR(INDEX('Data Source'!$Q:$Q,MATCH(574,'Data Source'!$T:$T,0)),"")</f>
        <v/>
      </c>
      <c r="E576" s="5">
        <f>IFERROR(INDEX('Data Source'!$R:$R,MATCH(574,'Data Source'!$T:$T,0)),"")</f>
        <v/>
      </c>
      <c r="F576" s="3">
        <f>IFERROR(INDEX('Data Source'!$S:$S,MATCH(574,'Data Source'!$T:$T,0)),"")</f>
        <v/>
      </c>
    </row>
    <row r="577">
      <c r="A577" s="3">
        <f>IFERROR(IF(COUNTIF('Data Source'!$T:$T,575)&gt;0,575,""),"")</f>
        <v/>
      </c>
      <c r="B577">
        <f>IFERROR(INDEX('Data Source'!$B:$B,MATCH(575,'Data Source'!$T:$T,0)),"")</f>
        <v/>
      </c>
      <c r="C577" s="3">
        <f>IFERROR(INDEX('Data Source'!$P:$P,MATCH(575,'Data Source'!$T:$T,0)),"")</f>
        <v/>
      </c>
      <c r="D577" s="5">
        <f>IFERROR(INDEX('Data Source'!$Q:$Q,MATCH(575,'Data Source'!$T:$T,0)),"")</f>
        <v/>
      </c>
      <c r="E577" s="5">
        <f>IFERROR(INDEX('Data Source'!$R:$R,MATCH(575,'Data Source'!$T:$T,0)),"")</f>
        <v/>
      </c>
      <c r="F577" s="3">
        <f>IFERROR(INDEX('Data Source'!$S:$S,MATCH(575,'Data Source'!$T:$T,0)),"")</f>
        <v/>
      </c>
    </row>
    <row r="578">
      <c r="A578" s="3">
        <f>IFERROR(IF(COUNTIF('Data Source'!$T:$T,576)&gt;0,576,""),"")</f>
        <v/>
      </c>
      <c r="B578">
        <f>IFERROR(INDEX('Data Source'!$B:$B,MATCH(576,'Data Source'!$T:$T,0)),"")</f>
        <v/>
      </c>
      <c r="C578" s="3">
        <f>IFERROR(INDEX('Data Source'!$P:$P,MATCH(576,'Data Source'!$T:$T,0)),"")</f>
        <v/>
      </c>
      <c r="D578" s="5">
        <f>IFERROR(INDEX('Data Source'!$Q:$Q,MATCH(576,'Data Source'!$T:$T,0)),"")</f>
        <v/>
      </c>
      <c r="E578" s="5">
        <f>IFERROR(INDEX('Data Source'!$R:$R,MATCH(576,'Data Source'!$T:$T,0)),"")</f>
        <v/>
      </c>
      <c r="F578" s="3">
        <f>IFERROR(INDEX('Data Source'!$S:$S,MATCH(576,'Data Source'!$T:$T,0)),"")</f>
        <v/>
      </c>
    </row>
    <row r="579">
      <c r="A579" s="3">
        <f>IFERROR(IF(COUNTIF('Data Source'!$T:$T,577)&gt;0,577,""),"")</f>
        <v/>
      </c>
      <c r="B579">
        <f>IFERROR(INDEX('Data Source'!$B:$B,MATCH(577,'Data Source'!$T:$T,0)),"")</f>
        <v/>
      </c>
      <c r="C579" s="3">
        <f>IFERROR(INDEX('Data Source'!$P:$P,MATCH(577,'Data Source'!$T:$T,0)),"")</f>
        <v/>
      </c>
      <c r="D579" s="5">
        <f>IFERROR(INDEX('Data Source'!$Q:$Q,MATCH(577,'Data Source'!$T:$T,0)),"")</f>
        <v/>
      </c>
      <c r="E579" s="5">
        <f>IFERROR(INDEX('Data Source'!$R:$R,MATCH(577,'Data Source'!$T:$T,0)),"")</f>
        <v/>
      </c>
      <c r="F579" s="3">
        <f>IFERROR(INDEX('Data Source'!$S:$S,MATCH(577,'Data Source'!$T:$T,0)),"")</f>
        <v/>
      </c>
    </row>
    <row r="580">
      <c r="A580" s="3">
        <f>IFERROR(IF(COUNTIF('Data Source'!$T:$T,578)&gt;0,578,""),"")</f>
        <v/>
      </c>
      <c r="B580">
        <f>IFERROR(INDEX('Data Source'!$B:$B,MATCH(578,'Data Source'!$T:$T,0)),"")</f>
        <v/>
      </c>
      <c r="C580" s="3">
        <f>IFERROR(INDEX('Data Source'!$P:$P,MATCH(578,'Data Source'!$T:$T,0)),"")</f>
        <v/>
      </c>
      <c r="D580" s="5">
        <f>IFERROR(INDEX('Data Source'!$Q:$Q,MATCH(578,'Data Source'!$T:$T,0)),"")</f>
        <v/>
      </c>
      <c r="E580" s="5">
        <f>IFERROR(INDEX('Data Source'!$R:$R,MATCH(578,'Data Source'!$T:$T,0)),"")</f>
        <v/>
      </c>
      <c r="F580" s="3">
        <f>IFERROR(INDEX('Data Source'!$S:$S,MATCH(578,'Data Source'!$T:$T,0)),"")</f>
        <v/>
      </c>
    </row>
    <row r="581">
      <c r="A581" s="3">
        <f>IFERROR(IF(COUNTIF('Data Source'!$T:$T,579)&gt;0,579,""),"")</f>
        <v/>
      </c>
      <c r="B581">
        <f>IFERROR(INDEX('Data Source'!$B:$B,MATCH(579,'Data Source'!$T:$T,0)),"")</f>
        <v/>
      </c>
      <c r="C581" s="3">
        <f>IFERROR(INDEX('Data Source'!$P:$P,MATCH(579,'Data Source'!$T:$T,0)),"")</f>
        <v/>
      </c>
      <c r="D581" s="5">
        <f>IFERROR(INDEX('Data Source'!$Q:$Q,MATCH(579,'Data Source'!$T:$T,0)),"")</f>
        <v/>
      </c>
      <c r="E581" s="5">
        <f>IFERROR(INDEX('Data Source'!$R:$R,MATCH(579,'Data Source'!$T:$T,0)),"")</f>
        <v/>
      </c>
      <c r="F581" s="3">
        <f>IFERROR(INDEX('Data Source'!$S:$S,MATCH(579,'Data Source'!$T:$T,0)),"")</f>
        <v/>
      </c>
    </row>
    <row r="582">
      <c r="A582" s="3">
        <f>IFERROR(IF(COUNTIF('Data Source'!$T:$T,580)&gt;0,580,""),"")</f>
        <v/>
      </c>
      <c r="B582">
        <f>IFERROR(INDEX('Data Source'!$B:$B,MATCH(580,'Data Source'!$T:$T,0)),"")</f>
        <v/>
      </c>
      <c r="C582" s="3">
        <f>IFERROR(INDEX('Data Source'!$P:$P,MATCH(580,'Data Source'!$T:$T,0)),"")</f>
        <v/>
      </c>
      <c r="D582" s="5">
        <f>IFERROR(INDEX('Data Source'!$Q:$Q,MATCH(580,'Data Source'!$T:$T,0)),"")</f>
        <v/>
      </c>
      <c r="E582" s="5">
        <f>IFERROR(INDEX('Data Source'!$R:$R,MATCH(580,'Data Source'!$T:$T,0)),"")</f>
        <v/>
      </c>
      <c r="F582" s="3">
        <f>IFERROR(INDEX('Data Source'!$S:$S,MATCH(580,'Data Source'!$T:$T,0)),"")</f>
        <v/>
      </c>
    </row>
    <row r="583">
      <c r="A583" s="3">
        <f>IFERROR(IF(COUNTIF('Data Source'!$T:$T,581)&gt;0,581,""),"")</f>
        <v/>
      </c>
      <c r="B583">
        <f>IFERROR(INDEX('Data Source'!$B:$B,MATCH(581,'Data Source'!$T:$T,0)),"")</f>
        <v/>
      </c>
      <c r="C583" s="3">
        <f>IFERROR(INDEX('Data Source'!$P:$P,MATCH(581,'Data Source'!$T:$T,0)),"")</f>
        <v/>
      </c>
      <c r="D583" s="5">
        <f>IFERROR(INDEX('Data Source'!$Q:$Q,MATCH(581,'Data Source'!$T:$T,0)),"")</f>
        <v/>
      </c>
      <c r="E583" s="5">
        <f>IFERROR(INDEX('Data Source'!$R:$R,MATCH(581,'Data Source'!$T:$T,0)),"")</f>
        <v/>
      </c>
      <c r="F583" s="3">
        <f>IFERROR(INDEX('Data Source'!$S:$S,MATCH(581,'Data Source'!$T:$T,0)),"")</f>
        <v/>
      </c>
    </row>
    <row r="584">
      <c r="A584" s="3">
        <f>IFERROR(IF(COUNTIF('Data Source'!$T:$T,582)&gt;0,582,""),"")</f>
        <v/>
      </c>
      <c r="B584">
        <f>IFERROR(INDEX('Data Source'!$B:$B,MATCH(582,'Data Source'!$T:$T,0)),"")</f>
        <v/>
      </c>
      <c r="C584" s="3">
        <f>IFERROR(INDEX('Data Source'!$P:$P,MATCH(582,'Data Source'!$T:$T,0)),"")</f>
        <v/>
      </c>
      <c r="D584" s="5">
        <f>IFERROR(INDEX('Data Source'!$Q:$Q,MATCH(582,'Data Source'!$T:$T,0)),"")</f>
        <v/>
      </c>
      <c r="E584" s="5">
        <f>IFERROR(INDEX('Data Source'!$R:$R,MATCH(582,'Data Source'!$T:$T,0)),"")</f>
        <v/>
      </c>
      <c r="F584" s="3">
        <f>IFERROR(INDEX('Data Source'!$S:$S,MATCH(582,'Data Source'!$T:$T,0)),"")</f>
        <v/>
      </c>
    </row>
    <row r="585">
      <c r="A585" s="3">
        <f>IFERROR(IF(COUNTIF('Data Source'!$T:$T,583)&gt;0,583,""),"")</f>
        <v/>
      </c>
      <c r="B585">
        <f>IFERROR(INDEX('Data Source'!$B:$B,MATCH(583,'Data Source'!$T:$T,0)),"")</f>
        <v/>
      </c>
      <c r="C585" s="3">
        <f>IFERROR(INDEX('Data Source'!$P:$P,MATCH(583,'Data Source'!$T:$T,0)),"")</f>
        <v/>
      </c>
      <c r="D585" s="5">
        <f>IFERROR(INDEX('Data Source'!$Q:$Q,MATCH(583,'Data Source'!$T:$T,0)),"")</f>
        <v/>
      </c>
      <c r="E585" s="5">
        <f>IFERROR(INDEX('Data Source'!$R:$R,MATCH(583,'Data Source'!$T:$T,0)),"")</f>
        <v/>
      </c>
      <c r="F585" s="3">
        <f>IFERROR(INDEX('Data Source'!$S:$S,MATCH(583,'Data Source'!$T:$T,0)),"")</f>
        <v/>
      </c>
    </row>
    <row r="586">
      <c r="A586" s="3">
        <f>IFERROR(IF(COUNTIF('Data Source'!$T:$T,584)&gt;0,584,""),"")</f>
        <v/>
      </c>
      <c r="B586">
        <f>IFERROR(INDEX('Data Source'!$B:$B,MATCH(584,'Data Source'!$T:$T,0)),"")</f>
        <v/>
      </c>
      <c r="C586" s="3">
        <f>IFERROR(INDEX('Data Source'!$P:$P,MATCH(584,'Data Source'!$T:$T,0)),"")</f>
        <v/>
      </c>
      <c r="D586" s="5">
        <f>IFERROR(INDEX('Data Source'!$Q:$Q,MATCH(584,'Data Source'!$T:$T,0)),"")</f>
        <v/>
      </c>
      <c r="E586" s="5">
        <f>IFERROR(INDEX('Data Source'!$R:$R,MATCH(584,'Data Source'!$T:$T,0)),"")</f>
        <v/>
      </c>
      <c r="F586" s="3">
        <f>IFERROR(INDEX('Data Source'!$S:$S,MATCH(584,'Data Source'!$T:$T,0)),"")</f>
        <v/>
      </c>
    </row>
    <row r="587">
      <c r="A587" s="3">
        <f>IFERROR(IF(COUNTIF('Data Source'!$T:$T,585)&gt;0,585,""),"")</f>
        <v/>
      </c>
      <c r="B587">
        <f>IFERROR(INDEX('Data Source'!$B:$B,MATCH(585,'Data Source'!$T:$T,0)),"")</f>
        <v/>
      </c>
      <c r="C587" s="3">
        <f>IFERROR(INDEX('Data Source'!$P:$P,MATCH(585,'Data Source'!$T:$T,0)),"")</f>
        <v/>
      </c>
      <c r="D587" s="5">
        <f>IFERROR(INDEX('Data Source'!$Q:$Q,MATCH(585,'Data Source'!$T:$T,0)),"")</f>
        <v/>
      </c>
      <c r="E587" s="5">
        <f>IFERROR(INDEX('Data Source'!$R:$R,MATCH(585,'Data Source'!$T:$T,0)),"")</f>
        <v/>
      </c>
      <c r="F587" s="3">
        <f>IFERROR(INDEX('Data Source'!$S:$S,MATCH(585,'Data Source'!$T:$T,0)),"")</f>
        <v/>
      </c>
    </row>
    <row r="588">
      <c r="A588" s="3">
        <f>IFERROR(IF(COUNTIF('Data Source'!$T:$T,586)&gt;0,586,""),"")</f>
        <v/>
      </c>
      <c r="B588">
        <f>IFERROR(INDEX('Data Source'!$B:$B,MATCH(586,'Data Source'!$T:$T,0)),"")</f>
        <v/>
      </c>
      <c r="C588" s="3">
        <f>IFERROR(INDEX('Data Source'!$P:$P,MATCH(586,'Data Source'!$T:$T,0)),"")</f>
        <v/>
      </c>
      <c r="D588" s="5">
        <f>IFERROR(INDEX('Data Source'!$Q:$Q,MATCH(586,'Data Source'!$T:$T,0)),"")</f>
        <v/>
      </c>
      <c r="E588" s="5">
        <f>IFERROR(INDEX('Data Source'!$R:$R,MATCH(586,'Data Source'!$T:$T,0)),"")</f>
        <v/>
      </c>
      <c r="F588" s="3">
        <f>IFERROR(INDEX('Data Source'!$S:$S,MATCH(586,'Data Source'!$T:$T,0)),"")</f>
        <v/>
      </c>
    </row>
    <row r="589">
      <c r="A589" s="3">
        <f>IFERROR(IF(COUNTIF('Data Source'!$T:$T,587)&gt;0,587,""),"")</f>
        <v/>
      </c>
      <c r="B589">
        <f>IFERROR(INDEX('Data Source'!$B:$B,MATCH(587,'Data Source'!$T:$T,0)),"")</f>
        <v/>
      </c>
      <c r="C589" s="3">
        <f>IFERROR(INDEX('Data Source'!$P:$P,MATCH(587,'Data Source'!$T:$T,0)),"")</f>
        <v/>
      </c>
      <c r="D589" s="5">
        <f>IFERROR(INDEX('Data Source'!$Q:$Q,MATCH(587,'Data Source'!$T:$T,0)),"")</f>
        <v/>
      </c>
      <c r="E589" s="5">
        <f>IFERROR(INDEX('Data Source'!$R:$R,MATCH(587,'Data Source'!$T:$T,0)),"")</f>
        <v/>
      </c>
      <c r="F589" s="3">
        <f>IFERROR(INDEX('Data Source'!$S:$S,MATCH(587,'Data Source'!$T:$T,0)),"")</f>
        <v/>
      </c>
    </row>
    <row r="590">
      <c r="A590" s="3">
        <f>IFERROR(IF(COUNTIF('Data Source'!$T:$T,588)&gt;0,588,""),"")</f>
        <v/>
      </c>
      <c r="B590">
        <f>IFERROR(INDEX('Data Source'!$B:$B,MATCH(588,'Data Source'!$T:$T,0)),"")</f>
        <v/>
      </c>
      <c r="C590" s="3">
        <f>IFERROR(INDEX('Data Source'!$P:$P,MATCH(588,'Data Source'!$T:$T,0)),"")</f>
        <v/>
      </c>
      <c r="D590" s="5">
        <f>IFERROR(INDEX('Data Source'!$Q:$Q,MATCH(588,'Data Source'!$T:$T,0)),"")</f>
        <v/>
      </c>
      <c r="E590" s="5">
        <f>IFERROR(INDEX('Data Source'!$R:$R,MATCH(588,'Data Source'!$T:$T,0)),"")</f>
        <v/>
      </c>
      <c r="F590" s="3">
        <f>IFERROR(INDEX('Data Source'!$S:$S,MATCH(588,'Data Source'!$T:$T,0)),"")</f>
        <v/>
      </c>
    </row>
    <row r="591">
      <c r="A591" s="3">
        <f>IFERROR(IF(COUNTIF('Data Source'!$T:$T,589)&gt;0,589,""),"")</f>
        <v/>
      </c>
      <c r="B591">
        <f>IFERROR(INDEX('Data Source'!$B:$B,MATCH(589,'Data Source'!$T:$T,0)),"")</f>
        <v/>
      </c>
      <c r="C591" s="3">
        <f>IFERROR(INDEX('Data Source'!$P:$P,MATCH(589,'Data Source'!$T:$T,0)),"")</f>
        <v/>
      </c>
      <c r="D591" s="5">
        <f>IFERROR(INDEX('Data Source'!$Q:$Q,MATCH(589,'Data Source'!$T:$T,0)),"")</f>
        <v/>
      </c>
      <c r="E591" s="5">
        <f>IFERROR(INDEX('Data Source'!$R:$R,MATCH(589,'Data Source'!$T:$T,0)),"")</f>
        <v/>
      </c>
      <c r="F591" s="3">
        <f>IFERROR(INDEX('Data Source'!$S:$S,MATCH(589,'Data Source'!$T:$T,0)),"")</f>
        <v/>
      </c>
    </row>
    <row r="592">
      <c r="A592" s="3">
        <f>IFERROR(IF(COUNTIF('Data Source'!$T:$T,590)&gt;0,590,""),"")</f>
        <v/>
      </c>
      <c r="B592">
        <f>IFERROR(INDEX('Data Source'!$B:$B,MATCH(590,'Data Source'!$T:$T,0)),"")</f>
        <v/>
      </c>
      <c r="C592" s="3">
        <f>IFERROR(INDEX('Data Source'!$P:$P,MATCH(590,'Data Source'!$T:$T,0)),"")</f>
        <v/>
      </c>
      <c r="D592" s="5">
        <f>IFERROR(INDEX('Data Source'!$Q:$Q,MATCH(590,'Data Source'!$T:$T,0)),"")</f>
        <v/>
      </c>
      <c r="E592" s="5">
        <f>IFERROR(INDEX('Data Source'!$R:$R,MATCH(590,'Data Source'!$T:$T,0)),"")</f>
        <v/>
      </c>
      <c r="F592" s="3">
        <f>IFERROR(INDEX('Data Source'!$S:$S,MATCH(590,'Data Source'!$T:$T,0)),"")</f>
        <v/>
      </c>
    </row>
    <row r="593">
      <c r="A593" s="3">
        <f>IFERROR(IF(COUNTIF('Data Source'!$T:$T,591)&gt;0,591,""),"")</f>
        <v/>
      </c>
      <c r="B593">
        <f>IFERROR(INDEX('Data Source'!$B:$B,MATCH(591,'Data Source'!$T:$T,0)),"")</f>
        <v/>
      </c>
      <c r="C593" s="3">
        <f>IFERROR(INDEX('Data Source'!$P:$P,MATCH(591,'Data Source'!$T:$T,0)),"")</f>
        <v/>
      </c>
      <c r="D593" s="5">
        <f>IFERROR(INDEX('Data Source'!$Q:$Q,MATCH(591,'Data Source'!$T:$T,0)),"")</f>
        <v/>
      </c>
      <c r="E593" s="5">
        <f>IFERROR(INDEX('Data Source'!$R:$R,MATCH(591,'Data Source'!$T:$T,0)),"")</f>
        <v/>
      </c>
      <c r="F593" s="3">
        <f>IFERROR(INDEX('Data Source'!$S:$S,MATCH(591,'Data Source'!$T:$T,0)),"")</f>
        <v/>
      </c>
    </row>
    <row r="594">
      <c r="A594" s="3">
        <f>IFERROR(IF(COUNTIF('Data Source'!$T:$T,592)&gt;0,592,""),"")</f>
        <v/>
      </c>
      <c r="B594">
        <f>IFERROR(INDEX('Data Source'!$B:$B,MATCH(592,'Data Source'!$T:$T,0)),"")</f>
        <v/>
      </c>
      <c r="C594" s="3">
        <f>IFERROR(INDEX('Data Source'!$P:$P,MATCH(592,'Data Source'!$T:$T,0)),"")</f>
        <v/>
      </c>
      <c r="D594" s="5">
        <f>IFERROR(INDEX('Data Source'!$Q:$Q,MATCH(592,'Data Source'!$T:$T,0)),"")</f>
        <v/>
      </c>
      <c r="E594" s="5">
        <f>IFERROR(INDEX('Data Source'!$R:$R,MATCH(592,'Data Source'!$T:$T,0)),"")</f>
        <v/>
      </c>
      <c r="F594" s="3">
        <f>IFERROR(INDEX('Data Source'!$S:$S,MATCH(592,'Data Source'!$T:$T,0)),"")</f>
        <v/>
      </c>
    </row>
    <row r="595">
      <c r="A595" s="3">
        <f>IFERROR(IF(COUNTIF('Data Source'!$T:$T,593)&gt;0,593,""),"")</f>
        <v/>
      </c>
      <c r="B595">
        <f>IFERROR(INDEX('Data Source'!$B:$B,MATCH(593,'Data Source'!$T:$T,0)),"")</f>
        <v/>
      </c>
      <c r="C595" s="3">
        <f>IFERROR(INDEX('Data Source'!$P:$P,MATCH(593,'Data Source'!$T:$T,0)),"")</f>
        <v/>
      </c>
      <c r="D595" s="5">
        <f>IFERROR(INDEX('Data Source'!$Q:$Q,MATCH(593,'Data Source'!$T:$T,0)),"")</f>
        <v/>
      </c>
      <c r="E595" s="5">
        <f>IFERROR(INDEX('Data Source'!$R:$R,MATCH(593,'Data Source'!$T:$T,0)),"")</f>
        <v/>
      </c>
      <c r="F595" s="3">
        <f>IFERROR(INDEX('Data Source'!$S:$S,MATCH(593,'Data Source'!$T:$T,0)),"")</f>
        <v/>
      </c>
    </row>
    <row r="596">
      <c r="A596" s="3">
        <f>IFERROR(IF(COUNTIF('Data Source'!$T:$T,594)&gt;0,594,""),"")</f>
        <v/>
      </c>
      <c r="B596">
        <f>IFERROR(INDEX('Data Source'!$B:$B,MATCH(594,'Data Source'!$T:$T,0)),"")</f>
        <v/>
      </c>
      <c r="C596" s="3">
        <f>IFERROR(INDEX('Data Source'!$P:$P,MATCH(594,'Data Source'!$T:$T,0)),"")</f>
        <v/>
      </c>
      <c r="D596" s="5">
        <f>IFERROR(INDEX('Data Source'!$Q:$Q,MATCH(594,'Data Source'!$T:$T,0)),"")</f>
        <v/>
      </c>
      <c r="E596" s="5">
        <f>IFERROR(INDEX('Data Source'!$R:$R,MATCH(594,'Data Source'!$T:$T,0)),"")</f>
        <v/>
      </c>
      <c r="F596" s="3">
        <f>IFERROR(INDEX('Data Source'!$S:$S,MATCH(594,'Data Source'!$T:$T,0)),"")</f>
        <v/>
      </c>
    </row>
    <row r="597">
      <c r="A597" s="3">
        <f>IFERROR(IF(COUNTIF('Data Source'!$T:$T,595)&gt;0,595,""),"")</f>
        <v/>
      </c>
      <c r="B597">
        <f>IFERROR(INDEX('Data Source'!$B:$B,MATCH(595,'Data Source'!$T:$T,0)),"")</f>
        <v/>
      </c>
      <c r="C597" s="3">
        <f>IFERROR(INDEX('Data Source'!$P:$P,MATCH(595,'Data Source'!$T:$T,0)),"")</f>
        <v/>
      </c>
      <c r="D597" s="5">
        <f>IFERROR(INDEX('Data Source'!$Q:$Q,MATCH(595,'Data Source'!$T:$T,0)),"")</f>
        <v/>
      </c>
      <c r="E597" s="5">
        <f>IFERROR(INDEX('Data Source'!$R:$R,MATCH(595,'Data Source'!$T:$T,0)),"")</f>
        <v/>
      </c>
      <c r="F597" s="3">
        <f>IFERROR(INDEX('Data Source'!$S:$S,MATCH(595,'Data Source'!$T:$T,0)),"")</f>
        <v/>
      </c>
    </row>
    <row r="598">
      <c r="A598" s="3">
        <f>IFERROR(IF(COUNTIF('Data Source'!$T:$T,596)&gt;0,596,""),"")</f>
        <v/>
      </c>
      <c r="B598">
        <f>IFERROR(INDEX('Data Source'!$B:$B,MATCH(596,'Data Source'!$T:$T,0)),"")</f>
        <v/>
      </c>
      <c r="C598" s="3">
        <f>IFERROR(INDEX('Data Source'!$P:$P,MATCH(596,'Data Source'!$T:$T,0)),"")</f>
        <v/>
      </c>
      <c r="D598" s="5">
        <f>IFERROR(INDEX('Data Source'!$Q:$Q,MATCH(596,'Data Source'!$T:$T,0)),"")</f>
        <v/>
      </c>
      <c r="E598" s="5">
        <f>IFERROR(INDEX('Data Source'!$R:$R,MATCH(596,'Data Source'!$T:$T,0)),"")</f>
        <v/>
      </c>
      <c r="F598" s="3">
        <f>IFERROR(INDEX('Data Source'!$S:$S,MATCH(596,'Data Source'!$T:$T,0)),"")</f>
        <v/>
      </c>
    </row>
    <row r="599">
      <c r="A599" s="3">
        <f>IFERROR(IF(COUNTIF('Data Source'!$T:$T,597)&gt;0,597,""),"")</f>
        <v/>
      </c>
      <c r="B599">
        <f>IFERROR(INDEX('Data Source'!$B:$B,MATCH(597,'Data Source'!$T:$T,0)),"")</f>
        <v/>
      </c>
      <c r="C599" s="3">
        <f>IFERROR(INDEX('Data Source'!$P:$P,MATCH(597,'Data Source'!$T:$T,0)),"")</f>
        <v/>
      </c>
      <c r="D599" s="5">
        <f>IFERROR(INDEX('Data Source'!$Q:$Q,MATCH(597,'Data Source'!$T:$T,0)),"")</f>
        <v/>
      </c>
      <c r="E599" s="5">
        <f>IFERROR(INDEX('Data Source'!$R:$R,MATCH(597,'Data Source'!$T:$T,0)),"")</f>
        <v/>
      </c>
      <c r="F599" s="3">
        <f>IFERROR(INDEX('Data Source'!$S:$S,MATCH(597,'Data Source'!$T:$T,0)),"")</f>
        <v/>
      </c>
    </row>
    <row r="600">
      <c r="A600" s="3">
        <f>IFERROR(IF(COUNTIF('Data Source'!$T:$T,598)&gt;0,598,""),"")</f>
        <v/>
      </c>
      <c r="B600">
        <f>IFERROR(INDEX('Data Source'!$B:$B,MATCH(598,'Data Source'!$T:$T,0)),"")</f>
        <v/>
      </c>
      <c r="C600" s="3">
        <f>IFERROR(INDEX('Data Source'!$P:$P,MATCH(598,'Data Source'!$T:$T,0)),"")</f>
        <v/>
      </c>
      <c r="D600" s="5">
        <f>IFERROR(INDEX('Data Source'!$Q:$Q,MATCH(598,'Data Source'!$T:$T,0)),"")</f>
        <v/>
      </c>
      <c r="E600" s="5">
        <f>IFERROR(INDEX('Data Source'!$R:$R,MATCH(598,'Data Source'!$T:$T,0)),"")</f>
        <v/>
      </c>
      <c r="F600" s="3">
        <f>IFERROR(INDEX('Data Source'!$S:$S,MATCH(598,'Data Source'!$T:$T,0)),"")</f>
        <v/>
      </c>
    </row>
    <row r="601">
      <c r="A601" s="3">
        <f>IFERROR(IF(COUNTIF('Data Source'!$T:$T,599)&gt;0,599,""),"")</f>
        <v/>
      </c>
      <c r="B601">
        <f>IFERROR(INDEX('Data Source'!$B:$B,MATCH(599,'Data Source'!$T:$T,0)),"")</f>
        <v/>
      </c>
      <c r="C601" s="3">
        <f>IFERROR(INDEX('Data Source'!$P:$P,MATCH(599,'Data Source'!$T:$T,0)),"")</f>
        <v/>
      </c>
      <c r="D601" s="5">
        <f>IFERROR(INDEX('Data Source'!$Q:$Q,MATCH(599,'Data Source'!$T:$T,0)),"")</f>
        <v/>
      </c>
      <c r="E601" s="5">
        <f>IFERROR(INDEX('Data Source'!$R:$R,MATCH(599,'Data Source'!$T:$T,0)),"")</f>
        <v/>
      </c>
      <c r="F601" s="3">
        <f>IFERROR(INDEX('Data Source'!$S:$S,MATCH(599,'Data Source'!$T:$T,0)),"")</f>
        <v/>
      </c>
    </row>
    <row r="602">
      <c r="A602" s="3">
        <f>IFERROR(IF(COUNTIF('Data Source'!$T:$T,600)&gt;0,600,""),"")</f>
        <v/>
      </c>
      <c r="B602">
        <f>IFERROR(INDEX('Data Source'!$B:$B,MATCH(600,'Data Source'!$T:$T,0)),"")</f>
        <v/>
      </c>
      <c r="C602" s="3">
        <f>IFERROR(INDEX('Data Source'!$P:$P,MATCH(600,'Data Source'!$T:$T,0)),"")</f>
        <v/>
      </c>
      <c r="D602" s="5">
        <f>IFERROR(INDEX('Data Source'!$Q:$Q,MATCH(600,'Data Source'!$T:$T,0)),"")</f>
        <v/>
      </c>
      <c r="E602" s="5">
        <f>IFERROR(INDEX('Data Source'!$R:$R,MATCH(600,'Data Source'!$T:$T,0)),"")</f>
        <v/>
      </c>
      <c r="F602" s="3">
        <f>IFERROR(INDEX('Data Source'!$S:$S,MATCH(600,'Data Source'!$T:$T,0)),"")</f>
        <v/>
      </c>
    </row>
    <row r="603">
      <c r="A603" s="3">
        <f>IFERROR(IF(COUNTIF('Data Source'!$T:$T,601)&gt;0,601,""),"")</f>
        <v/>
      </c>
      <c r="B603">
        <f>IFERROR(INDEX('Data Source'!$B:$B,MATCH(601,'Data Source'!$T:$T,0)),"")</f>
        <v/>
      </c>
      <c r="C603" s="3">
        <f>IFERROR(INDEX('Data Source'!$P:$P,MATCH(601,'Data Source'!$T:$T,0)),"")</f>
        <v/>
      </c>
      <c r="D603" s="5">
        <f>IFERROR(INDEX('Data Source'!$Q:$Q,MATCH(601,'Data Source'!$T:$T,0)),"")</f>
        <v/>
      </c>
      <c r="E603" s="5">
        <f>IFERROR(INDEX('Data Source'!$R:$R,MATCH(601,'Data Source'!$T:$T,0)),"")</f>
        <v/>
      </c>
      <c r="F603" s="3">
        <f>IFERROR(INDEX('Data Source'!$S:$S,MATCH(601,'Data Source'!$T:$T,0)),"")</f>
        <v/>
      </c>
    </row>
    <row r="604">
      <c r="A604" s="3">
        <f>IFERROR(IF(COUNTIF('Data Source'!$T:$T,602)&gt;0,602,""),"")</f>
        <v/>
      </c>
      <c r="B604">
        <f>IFERROR(INDEX('Data Source'!$B:$B,MATCH(602,'Data Source'!$T:$T,0)),"")</f>
        <v/>
      </c>
      <c r="C604" s="3">
        <f>IFERROR(INDEX('Data Source'!$P:$P,MATCH(602,'Data Source'!$T:$T,0)),"")</f>
        <v/>
      </c>
      <c r="D604" s="5">
        <f>IFERROR(INDEX('Data Source'!$Q:$Q,MATCH(602,'Data Source'!$T:$T,0)),"")</f>
        <v/>
      </c>
      <c r="E604" s="5">
        <f>IFERROR(INDEX('Data Source'!$R:$R,MATCH(602,'Data Source'!$T:$T,0)),"")</f>
        <v/>
      </c>
      <c r="F604" s="3">
        <f>IFERROR(INDEX('Data Source'!$S:$S,MATCH(602,'Data Source'!$T:$T,0)),"")</f>
        <v/>
      </c>
    </row>
    <row r="605">
      <c r="A605" s="3">
        <f>IFERROR(IF(COUNTIF('Data Source'!$T:$T,603)&gt;0,603,""),"")</f>
        <v/>
      </c>
      <c r="B605">
        <f>IFERROR(INDEX('Data Source'!$B:$B,MATCH(603,'Data Source'!$T:$T,0)),"")</f>
        <v/>
      </c>
      <c r="C605" s="3">
        <f>IFERROR(INDEX('Data Source'!$P:$P,MATCH(603,'Data Source'!$T:$T,0)),"")</f>
        <v/>
      </c>
      <c r="D605" s="5">
        <f>IFERROR(INDEX('Data Source'!$Q:$Q,MATCH(603,'Data Source'!$T:$T,0)),"")</f>
        <v/>
      </c>
      <c r="E605" s="5">
        <f>IFERROR(INDEX('Data Source'!$R:$R,MATCH(603,'Data Source'!$T:$T,0)),"")</f>
        <v/>
      </c>
      <c r="F605" s="3">
        <f>IFERROR(INDEX('Data Source'!$S:$S,MATCH(603,'Data Source'!$T:$T,0)),"")</f>
        <v/>
      </c>
    </row>
    <row r="606">
      <c r="A606" s="3">
        <f>IFERROR(IF(COUNTIF('Data Source'!$T:$T,604)&gt;0,604,""),"")</f>
        <v/>
      </c>
      <c r="B606">
        <f>IFERROR(INDEX('Data Source'!$B:$B,MATCH(604,'Data Source'!$T:$T,0)),"")</f>
        <v/>
      </c>
      <c r="C606" s="3">
        <f>IFERROR(INDEX('Data Source'!$P:$P,MATCH(604,'Data Source'!$T:$T,0)),"")</f>
        <v/>
      </c>
      <c r="D606" s="5">
        <f>IFERROR(INDEX('Data Source'!$Q:$Q,MATCH(604,'Data Source'!$T:$T,0)),"")</f>
        <v/>
      </c>
      <c r="E606" s="5">
        <f>IFERROR(INDEX('Data Source'!$R:$R,MATCH(604,'Data Source'!$T:$T,0)),"")</f>
        <v/>
      </c>
      <c r="F606" s="3">
        <f>IFERROR(INDEX('Data Source'!$S:$S,MATCH(604,'Data Source'!$T:$T,0)),"")</f>
        <v/>
      </c>
    </row>
    <row r="607">
      <c r="A607" s="3">
        <f>IFERROR(IF(COUNTIF('Data Source'!$T:$T,605)&gt;0,605,""),"")</f>
        <v/>
      </c>
      <c r="B607">
        <f>IFERROR(INDEX('Data Source'!$B:$B,MATCH(605,'Data Source'!$T:$T,0)),"")</f>
        <v/>
      </c>
      <c r="C607" s="3">
        <f>IFERROR(INDEX('Data Source'!$P:$P,MATCH(605,'Data Source'!$T:$T,0)),"")</f>
        <v/>
      </c>
      <c r="D607" s="5">
        <f>IFERROR(INDEX('Data Source'!$Q:$Q,MATCH(605,'Data Source'!$T:$T,0)),"")</f>
        <v/>
      </c>
      <c r="E607" s="5">
        <f>IFERROR(INDEX('Data Source'!$R:$R,MATCH(605,'Data Source'!$T:$T,0)),"")</f>
        <v/>
      </c>
      <c r="F607" s="3">
        <f>IFERROR(INDEX('Data Source'!$S:$S,MATCH(605,'Data Source'!$T:$T,0)),"")</f>
        <v/>
      </c>
    </row>
    <row r="608">
      <c r="A608" s="3">
        <f>IFERROR(IF(COUNTIF('Data Source'!$T:$T,606)&gt;0,606,""),"")</f>
        <v/>
      </c>
      <c r="B608">
        <f>IFERROR(INDEX('Data Source'!$B:$B,MATCH(606,'Data Source'!$T:$T,0)),"")</f>
        <v/>
      </c>
      <c r="C608" s="3">
        <f>IFERROR(INDEX('Data Source'!$P:$P,MATCH(606,'Data Source'!$T:$T,0)),"")</f>
        <v/>
      </c>
      <c r="D608" s="5">
        <f>IFERROR(INDEX('Data Source'!$Q:$Q,MATCH(606,'Data Source'!$T:$T,0)),"")</f>
        <v/>
      </c>
      <c r="E608" s="5">
        <f>IFERROR(INDEX('Data Source'!$R:$R,MATCH(606,'Data Source'!$T:$T,0)),"")</f>
        <v/>
      </c>
      <c r="F608" s="3">
        <f>IFERROR(INDEX('Data Source'!$S:$S,MATCH(606,'Data Source'!$T:$T,0)),"")</f>
        <v/>
      </c>
    </row>
    <row r="609">
      <c r="A609" s="3">
        <f>IFERROR(IF(COUNTIF('Data Source'!$T:$T,607)&gt;0,607,""),"")</f>
        <v/>
      </c>
      <c r="B609">
        <f>IFERROR(INDEX('Data Source'!$B:$B,MATCH(607,'Data Source'!$T:$T,0)),"")</f>
        <v/>
      </c>
      <c r="C609" s="3">
        <f>IFERROR(INDEX('Data Source'!$P:$P,MATCH(607,'Data Source'!$T:$T,0)),"")</f>
        <v/>
      </c>
      <c r="D609" s="5">
        <f>IFERROR(INDEX('Data Source'!$Q:$Q,MATCH(607,'Data Source'!$T:$T,0)),"")</f>
        <v/>
      </c>
      <c r="E609" s="5">
        <f>IFERROR(INDEX('Data Source'!$R:$R,MATCH(607,'Data Source'!$T:$T,0)),"")</f>
        <v/>
      </c>
      <c r="F609" s="3">
        <f>IFERROR(INDEX('Data Source'!$S:$S,MATCH(607,'Data Source'!$T:$T,0)),"")</f>
        <v/>
      </c>
    </row>
    <row r="610">
      <c r="A610" s="3">
        <f>IFERROR(IF(COUNTIF('Data Source'!$T:$T,608)&gt;0,608,""),"")</f>
        <v/>
      </c>
      <c r="B610">
        <f>IFERROR(INDEX('Data Source'!$B:$B,MATCH(608,'Data Source'!$T:$T,0)),"")</f>
        <v/>
      </c>
      <c r="C610" s="3">
        <f>IFERROR(INDEX('Data Source'!$P:$P,MATCH(608,'Data Source'!$T:$T,0)),"")</f>
        <v/>
      </c>
      <c r="D610" s="5">
        <f>IFERROR(INDEX('Data Source'!$Q:$Q,MATCH(608,'Data Source'!$T:$T,0)),"")</f>
        <v/>
      </c>
      <c r="E610" s="5">
        <f>IFERROR(INDEX('Data Source'!$R:$R,MATCH(608,'Data Source'!$T:$T,0)),"")</f>
        <v/>
      </c>
      <c r="F610" s="3">
        <f>IFERROR(INDEX('Data Source'!$S:$S,MATCH(608,'Data Source'!$T:$T,0)),"")</f>
        <v/>
      </c>
    </row>
    <row r="611">
      <c r="A611" s="3">
        <f>IFERROR(IF(COUNTIF('Data Source'!$T:$T,609)&gt;0,609,""),"")</f>
        <v/>
      </c>
      <c r="B611">
        <f>IFERROR(INDEX('Data Source'!$B:$B,MATCH(609,'Data Source'!$T:$T,0)),"")</f>
        <v/>
      </c>
      <c r="C611" s="3">
        <f>IFERROR(INDEX('Data Source'!$P:$P,MATCH(609,'Data Source'!$T:$T,0)),"")</f>
        <v/>
      </c>
      <c r="D611" s="5">
        <f>IFERROR(INDEX('Data Source'!$Q:$Q,MATCH(609,'Data Source'!$T:$T,0)),"")</f>
        <v/>
      </c>
      <c r="E611" s="5">
        <f>IFERROR(INDEX('Data Source'!$R:$R,MATCH(609,'Data Source'!$T:$T,0)),"")</f>
        <v/>
      </c>
      <c r="F611" s="3">
        <f>IFERROR(INDEX('Data Source'!$S:$S,MATCH(609,'Data Source'!$T:$T,0)),"")</f>
        <v/>
      </c>
    </row>
    <row r="612">
      <c r="A612" s="3">
        <f>IFERROR(IF(COUNTIF('Data Source'!$T:$T,610)&gt;0,610,""),"")</f>
        <v/>
      </c>
      <c r="B612">
        <f>IFERROR(INDEX('Data Source'!$B:$B,MATCH(610,'Data Source'!$T:$T,0)),"")</f>
        <v/>
      </c>
      <c r="C612" s="3">
        <f>IFERROR(INDEX('Data Source'!$P:$P,MATCH(610,'Data Source'!$T:$T,0)),"")</f>
        <v/>
      </c>
      <c r="D612" s="5">
        <f>IFERROR(INDEX('Data Source'!$Q:$Q,MATCH(610,'Data Source'!$T:$T,0)),"")</f>
        <v/>
      </c>
      <c r="E612" s="5">
        <f>IFERROR(INDEX('Data Source'!$R:$R,MATCH(610,'Data Source'!$T:$T,0)),"")</f>
        <v/>
      </c>
      <c r="F612" s="3">
        <f>IFERROR(INDEX('Data Source'!$S:$S,MATCH(610,'Data Source'!$T:$T,0)),"")</f>
        <v/>
      </c>
    </row>
    <row r="613">
      <c r="A613" s="3">
        <f>IFERROR(IF(COUNTIF('Data Source'!$T:$T,611)&gt;0,611,""),"")</f>
        <v/>
      </c>
      <c r="B613">
        <f>IFERROR(INDEX('Data Source'!$B:$B,MATCH(611,'Data Source'!$T:$T,0)),"")</f>
        <v/>
      </c>
      <c r="C613" s="3">
        <f>IFERROR(INDEX('Data Source'!$P:$P,MATCH(611,'Data Source'!$T:$T,0)),"")</f>
        <v/>
      </c>
      <c r="D613" s="5">
        <f>IFERROR(INDEX('Data Source'!$Q:$Q,MATCH(611,'Data Source'!$T:$T,0)),"")</f>
        <v/>
      </c>
      <c r="E613" s="5">
        <f>IFERROR(INDEX('Data Source'!$R:$R,MATCH(611,'Data Source'!$T:$T,0)),"")</f>
        <v/>
      </c>
      <c r="F613" s="3">
        <f>IFERROR(INDEX('Data Source'!$S:$S,MATCH(611,'Data Source'!$T:$T,0)),"")</f>
        <v/>
      </c>
    </row>
    <row r="614">
      <c r="A614" s="3">
        <f>IFERROR(IF(COUNTIF('Data Source'!$T:$T,612)&gt;0,612,""),"")</f>
        <v/>
      </c>
      <c r="B614">
        <f>IFERROR(INDEX('Data Source'!$B:$B,MATCH(612,'Data Source'!$T:$T,0)),"")</f>
        <v/>
      </c>
      <c r="C614" s="3">
        <f>IFERROR(INDEX('Data Source'!$P:$P,MATCH(612,'Data Source'!$T:$T,0)),"")</f>
        <v/>
      </c>
      <c r="D614" s="5">
        <f>IFERROR(INDEX('Data Source'!$Q:$Q,MATCH(612,'Data Source'!$T:$T,0)),"")</f>
        <v/>
      </c>
      <c r="E614" s="5">
        <f>IFERROR(INDEX('Data Source'!$R:$R,MATCH(612,'Data Source'!$T:$T,0)),"")</f>
        <v/>
      </c>
      <c r="F614" s="3">
        <f>IFERROR(INDEX('Data Source'!$S:$S,MATCH(612,'Data Source'!$T:$T,0)),"")</f>
        <v/>
      </c>
    </row>
    <row r="615">
      <c r="A615" s="3">
        <f>IFERROR(IF(COUNTIF('Data Source'!$T:$T,613)&gt;0,613,""),"")</f>
        <v/>
      </c>
      <c r="B615">
        <f>IFERROR(INDEX('Data Source'!$B:$B,MATCH(613,'Data Source'!$T:$T,0)),"")</f>
        <v/>
      </c>
      <c r="C615" s="3">
        <f>IFERROR(INDEX('Data Source'!$P:$P,MATCH(613,'Data Source'!$T:$T,0)),"")</f>
        <v/>
      </c>
      <c r="D615" s="5">
        <f>IFERROR(INDEX('Data Source'!$Q:$Q,MATCH(613,'Data Source'!$T:$T,0)),"")</f>
        <v/>
      </c>
      <c r="E615" s="5">
        <f>IFERROR(INDEX('Data Source'!$R:$R,MATCH(613,'Data Source'!$T:$T,0)),"")</f>
        <v/>
      </c>
      <c r="F615" s="3">
        <f>IFERROR(INDEX('Data Source'!$S:$S,MATCH(613,'Data Source'!$T:$T,0)),"")</f>
        <v/>
      </c>
    </row>
    <row r="616">
      <c r="A616" s="3">
        <f>IFERROR(IF(COUNTIF('Data Source'!$T:$T,614)&gt;0,614,""),"")</f>
        <v/>
      </c>
      <c r="B616">
        <f>IFERROR(INDEX('Data Source'!$B:$B,MATCH(614,'Data Source'!$T:$T,0)),"")</f>
        <v/>
      </c>
      <c r="C616" s="3">
        <f>IFERROR(INDEX('Data Source'!$P:$P,MATCH(614,'Data Source'!$T:$T,0)),"")</f>
        <v/>
      </c>
      <c r="D616" s="5">
        <f>IFERROR(INDEX('Data Source'!$Q:$Q,MATCH(614,'Data Source'!$T:$T,0)),"")</f>
        <v/>
      </c>
      <c r="E616" s="5">
        <f>IFERROR(INDEX('Data Source'!$R:$R,MATCH(614,'Data Source'!$T:$T,0)),"")</f>
        <v/>
      </c>
      <c r="F616" s="3">
        <f>IFERROR(INDEX('Data Source'!$S:$S,MATCH(614,'Data Source'!$T:$T,0)),"")</f>
        <v/>
      </c>
    </row>
    <row r="617">
      <c r="A617" s="3">
        <f>IFERROR(IF(COUNTIF('Data Source'!$T:$T,615)&gt;0,615,""),"")</f>
        <v/>
      </c>
      <c r="B617">
        <f>IFERROR(INDEX('Data Source'!$B:$B,MATCH(615,'Data Source'!$T:$T,0)),"")</f>
        <v/>
      </c>
      <c r="C617" s="3">
        <f>IFERROR(INDEX('Data Source'!$P:$P,MATCH(615,'Data Source'!$T:$T,0)),"")</f>
        <v/>
      </c>
      <c r="D617" s="5">
        <f>IFERROR(INDEX('Data Source'!$Q:$Q,MATCH(615,'Data Source'!$T:$T,0)),"")</f>
        <v/>
      </c>
      <c r="E617" s="5">
        <f>IFERROR(INDEX('Data Source'!$R:$R,MATCH(615,'Data Source'!$T:$T,0)),"")</f>
        <v/>
      </c>
      <c r="F617" s="3">
        <f>IFERROR(INDEX('Data Source'!$S:$S,MATCH(615,'Data Source'!$T:$T,0)),"")</f>
        <v/>
      </c>
    </row>
    <row r="618">
      <c r="A618" s="3">
        <f>IFERROR(IF(COUNTIF('Data Source'!$T:$T,616)&gt;0,616,""),"")</f>
        <v/>
      </c>
      <c r="B618">
        <f>IFERROR(INDEX('Data Source'!$B:$B,MATCH(616,'Data Source'!$T:$T,0)),"")</f>
        <v/>
      </c>
      <c r="C618" s="3">
        <f>IFERROR(INDEX('Data Source'!$P:$P,MATCH(616,'Data Source'!$T:$T,0)),"")</f>
        <v/>
      </c>
      <c r="D618" s="5">
        <f>IFERROR(INDEX('Data Source'!$Q:$Q,MATCH(616,'Data Source'!$T:$T,0)),"")</f>
        <v/>
      </c>
      <c r="E618" s="5">
        <f>IFERROR(INDEX('Data Source'!$R:$R,MATCH(616,'Data Source'!$T:$T,0)),"")</f>
        <v/>
      </c>
      <c r="F618" s="3">
        <f>IFERROR(INDEX('Data Source'!$S:$S,MATCH(616,'Data Source'!$T:$T,0)),"")</f>
        <v/>
      </c>
    </row>
    <row r="619">
      <c r="A619" s="3">
        <f>IFERROR(IF(COUNTIF('Data Source'!$T:$T,617)&gt;0,617,""),"")</f>
        <v/>
      </c>
      <c r="B619">
        <f>IFERROR(INDEX('Data Source'!$B:$B,MATCH(617,'Data Source'!$T:$T,0)),"")</f>
        <v/>
      </c>
      <c r="C619" s="3">
        <f>IFERROR(INDEX('Data Source'!$P:$P,MATCH(617,'Data Source'!$T:$T,0)),"")</f>
        <v/>
      </c>
      <c r="D619" s="5">
        <f>IFERROR(INDEX('Data Source'!$Q:$Q,MATCH(617,'Data Source'!$T:$T,0)),"")</f>
        <v/>
      </c>
      <c r="E619" s="5">
        <f>IFERROR(INDEX('Data Source'!$R:$R,MATCH(617,'Data Source'!$T:$T,0)),"")</f>
        <v/>
      </c>
      <c r="F619" s="3">
        <f>IFERROR(INDEX('Data Source'!$S:$S,MATCH(617,'Data Source'!$T:$T,0)),"")</f>
        <v/>
      </c>
    </row>
    <row r="620">
      <c r="A620" s="3">
        <f>IFERROR(IF(COUNTIF('Data Source'!$T:$T,618)&gt;0,618,""),"")</f>
        <v/>
      </c>
      <c r="B620">
        <f>IFERROR(INDEX('Data Source'!$B:$B,MATCH(618,'Data Source'!$T:$T,0)),"")</f>
        <v/>
      </c>
      <c r="C620" s="3">
        <f>IFERROR(INDEX('Data Source'!$P:$P,MATCH(618,'Data Source'!$T:$T,0)),"")</f>
        <v/>
      </c>
      <c r="D620" s="5">
        <f>IFERROR(INDEX('Data Source'!$Q:$Q,MATCH(618,'Data Source'!$T:$T,0)),"")</f>
        <v/>
      </c>
      <c r="E620" s="5">
        <f>IFERROR(INDEX('Data Source'!$R:$R,MATCH(618,'Data Source'!$T:$T,0)),"")</f>
        <v/>
      </c>
      <c r="F620" s="3">
        <f>IFERROR(INDEX('Data Source'!$S:$S,MATCH(618,'Data Source'!$T:$T,0)),"")</f>
        <v/>
      </c>
    </row>
    <row r="621">
      <c r="A621" s="3">
        <f>IFERROR(IF(COUNTIF('Data Source'!$T:$T,619)&gt;0,619,""),"")</f>
        <v/>
      </c>
      <c r="B621">
        <f>IFERROR(INDEX('Data Source'!$B:$B,MATCH(619,'Data Source'!$T:$T,0)),"")</f>
        <v/>
      </c>
      <c r="C621" s="3">
        <f>IFERROR(INDEX('Data Source'!$P:$P,MATCH(619,'Data Source'!$T:$T,0)),"")</f>
        <v/>
      </c>
      <c r="D621" s="5">
        <f>IFERROR(INDEX('Data Source'!$Q:$Q,MATCH(619,'Data Source'!$T:$T,0)),"")</f>
        <v/>
      </c>
      <c r="E621" s="5">
        <f>IFERROR(INDEX('Data Source'!$R:$R,MATCH(619,'Data Source'!$T:$T,0)),"")</f>
        <v/>
      </c>
      <c r="F621" s="3">
        <f>IFERROR(INDEX('Data Source'!$S:$S,MATCH(619,'Data Source'!$T:$T,0)),"")</f>
        <v/>
      </c>
    </row>
    <row r="622">
      <c r="A622" s="3">
        <f>IFERROR(IF(COUNTIF('Data Source'!$T:$T,620)&gt;0,620,""),"")</f>
        <v/>
      </c>
      <c r="B622">
        <f>IFERROR(INDEX('Data Source'!$B:$B,MATCH(620,'Data Source'!$T:$T,0)),"")</f>
        <v/>
      </c>
      <c r="C622" s="3">
        <f>IFERROR(INDEX('Data Source'!$P:$P,MATCH(620,'Data Source'!$T:$T,0)),"")</f>
        <v/>
      </c>
      <c r="D622" s="5">
        <f>IFERROR(INDEX('Data Source'!$Q:$Q,MATCH(620,'Data Source'!$T:$T,0)),"")</f>
        <v/>
      </c>
      <c r="E622" s="5">
        <f>IFERROR(INDEX('Data Source'!$R:$R,MATCH(620,'Data Source'!$T:$T,0)),"")</f>
        <v/>
      </c>
      <c r="F622" s="3">
        <f>IFERROR(INDEX('Data Source'!$S:$S,MATCH(620,'Data Source'!$T:$T,0)),"")</f>
        <v/>
      </c>
    </row>
    <row r="623">
      <c r="A623" s="3">
        <f>IFERROR(IF(COUNTIF('Data Source'!$T:$T,621)&gt;0,621,""),"")</f>
        <v/>
      </c>
      <c r="B623">
        <f>IFERROR(INDEX('Data Source'!$B:$B,MATCH(621,'Data Source'!$T:$T,0)),"")</f>
        <v/>
      </c>
      <c r="C623" s="3">
        <f>IFERROR(INDEX('Data Source'!$P:$P,MATCH(621,'Data Source'!$T:$T,0)),"")</f>
        <v/>
      </c>
      <c r="D623" s="5">
        <f>IFERROR(INDEX('Data Source'!$Q:$Q,MATCH(621,'Data Source'!$T:$T,0)),"")</f>
        <v/>
      </c>
      <c r="E623" s="5">
        <f>IFERROR(INDEX('Data Source'!$R:$R,MATCH(621,'Data Source'!$T:$T,0)),"")</f>
        <v/>
      </c>
      <c r="F623" s="3">
        <f>IFERROR(INDEX('Data Source'!$S:$S,MATCH(621,'Data Source'!$T:$T,0)),"")</f>
        <v/>
      </c>
    </row>
    <row r="624">
      <c r="A624" s="3">
        <f>IFERROR(IF(COUNTIF('Data Source'!$T:$T,622)&gt;0,622,""),"")</f>
        <v/>
      </c>
      <c r="B624">
        <f>IFERROR(INDEX('Data Source'!$B:$B,MATCH(622,'Data Source'!$T:$T,0)),"")</f>
        <v/>
      </c>
      <c r="C624" s="3">
        <f>IFERROR(INDEX('Data Source'!$P:$P,MATCH(622,'Data Source'!$T:$T,0)),"")</f>
        <v/>
      </c>
      <c r="D624" s="5">
        <f>IFERROR(INDEX('Data Source'!$Q:$Q,MATCH(622,'Data Source'!$T:$T,0)),"")</f>
        <v/>
      </c>
      <c r="E624" s="5">
        <f>IFERROR(INDEX('Data Source'!$R:$R,MATCH(622,'Data Source'!$T:$T,0)),"")</f>
        <v/>
      </c>
      <c r="F624" s="3">
        <f>IFERROR(INDEX('Data Source'!$S:$S,MATCH(622,'Data Source'!$T:$T,0)),"")</f>
        <v/>
      </c>
    </row>
    <row r="625">
      <c r="A625" s="3">
        <f>IFERROR(IF(COUNTIF('Data Source'!$T:$T,623)&gt;0,623,""),"")</f>
        <v/>
      </c>
      <c r="B625">
        <f>IFERROR(INDEX('Data Source'!$B:$B,MATCH(623,'Data Source'!$T:$T,0)),"")</f>
        <v/>
      </c>
      <c r="C625" s="3">
        <f>IFERROR(INDEX('Data Source'!$P:$P,MATCH(623,'Data Source'!$T:$T,0)),"")</f>
        <v/>
      </c>
      <c r="D625" s="5">
        <f>IFERROR(INDEX('Data Source'!$Q:$Q,MATCH(623,'Data Source'!$T:$T,0)),"")</f>
        <v/>
      </c>
      <c r="E625" s="5">
        <f>IFERROR(INDEX('Data Source'!$R:$R,MATCH(623,'Data Source'!$T:$T,0)),"")</f>
        <v/>
      </c>
      <c r="F625" s="3">
        <f>IFERROR(INDEX('Data Source'!$S:$S,MATCH(623,'Data Source'!$T:$T,0)),"")</f>
        <v/>
      </c>
    </row>
    <row r="626">
      <c r="A626" s="3">
        <f>IFERROR(IF(COUNTIF('Data Source'!$T:$T,624)&gt;0,624,""),"")</f>
        <v/>
      </c>
      <c r="B626">
        <f>IFERROR(INDEX('Data Source'!$B:$B,MATCH(624,'Data Source'!$T:$T,0)),"")</f>
        <v/>
      </c>
      <c r="C626" s="3">
        <f>IFERROR(INDEX('Data Source'!$P:$P,MATCH(624,'Data Source'!$T:$T,0)),"")</f>
        <v/>
      </c>
      <c r="D626" s="5">
        <f>IFERROR(INDEX('Data Source'!$Q:$Q,MATCH(624,'Data Source'!$T:$T,0)),"")</f>
        <v/>
      </c>
      <c r="E626" s="5">
        <f>IFERROR(INDEX('Data Source'!$R:$R,MATCH(624,'Data Source'!$T:$T,0)),"")</f>
        <v/>
      </c>
      <c r="F626" s="3">
        <f>IFERROR(INDEX('Data Source'!$S:$S,MATCH(624,'Data Source'!$T:$T,0)),"")</f>
        <v/>
      </c>
    </row>
    <row r="627">
      <c r="A627" s="3">
        <f>IFERROR(IF(COUNTIF('Data Source'!$T:$T,625)&gt;0,625,""),"")</f>
        <v/>
      </c>
      <c r="B627">
        <f>IFERROR(INDEX('Data Source'!$B:$B,MATCH(625,'Data Source'!$T:$T,0)),"")</f>
        <v/>
      </c>
      <c r="C627" s="3">
        <f>IFERROR(INDEX('Data Source'!$P:$P,MATCH(625,'Data Source'!$T:$T,0)),"")</f>
        <v/>
      </c>
      <c r="D627" s="5">
        <f>IFERROR(INDEX('Data Source'!$Q:$Q,MATCH(625,'Data Source'!$T:$T,0)),"")</f>
        <v/>
      </c>
      <c r="E627" s="5">
        <f>IFERROR(INDEX('Data Source'!$R:$R,MATCH(625,'Data Source'!$T:$T,0)),"")</f>
        <v/>
      </c>
      <c r="F627" s="3">
        <f>IFERROR(INDEX('Data Source'!$S:$S,MATCH(625,'Data Source'!$T:$T,0)),"")</f>
        <v/>
      </c>
    </row>
    <row r="628">
      <c r="A628" s="3">
        <f>IFERROR(IF(COUNTIF('Data Source'!$T:$T,626)&gt;0,626,""),"")</f>
        <v/>
      </c>
      <c r="B628">
        <f>IFERROR(INDEX('Data Source'!$B:$B,MATCH(626,'Data Source'!$T:$T,0)),"")</f>
        <v/>
      </c>
      <c r="C628" s="3">
        <f>IFERROR(INDEX('Data Source'!$P:$P,MATCH(626,'Data Source'!$T:$T,0)),"")</f>
        <v/>
      </c>
      <c r="D628" s="5">
        <f>IFERROR(INDEX('Data Source'!$Q:$Q,MATCH(626,'Data Source'!$T:$T,0)),"")</f>
        <v/>
      </c>
      <c r="E628" s="5">
        <f>IFERROR(INDEX('Data Source'!$R:$R,MATCH(626,'Data Source'!$T:$T,0)),"")</f>
        <v/>
      </c>
      <c r="F628" s="3">
        <f>IFERROR(INDEX('Data Source'!$S:$S,MATCH(626,'Data Source'!$T:$T,0)),"")</f>
        <v/>
      </c>
    </row>
    <row r="629">
      <c r="A629" s="3">
        <f>IFERROR(IF(COUNTIF('Data Source'!$T:$T,627)&gt;0,627,""),"")</f>
        <v/>
      </c>
      <c r="B629">
        <f>IFERROR(INDEX('Data Source'!$B:$B,MATCH(627,'Data Source'!$T:$T,0)),"")</f>
        <v/>
      </c>
      <c r="C629" s="3">
        <f>IFERROR(INDEX('Data Source'!$P:$P,MATCH(627,'Data Source'!$T:$T,0)),"")</f>
        <v/>
      </c>
      <c r="D629" s="5">
        <f>IFERROR(INDEX('Data Source'!$Q:$Q,MATCH(627,'Data Source'!$T:$T,0)),"")</f>
        <v/>
      </c>
      <c r="E629" s="5">
        <f>IFERROR(INDEX('Data Source'!$R:$R,MATCH(627,'Data Source'!$T:$T,0)),"")</f>
        <v/>
      </c>
      <c r="F629" s="3">
        <f>IFERROR(INDEX('Data Source'!$S:$S,MATCH(627,'Data Source'!$T:$T,0)),"")</f>
        <v/>
      </c>
    </row>
    <row r="630">
      <c r="A630" s="3">
        <f>IFERROR(IF(COUNTIF('Data Source'!$T:$T,628)&gt;0,628,""),"")</f>
        <v/>
      </c>
      <c r="B630">
        <f>IFERROR(INDEX('Data Source'!$B:$B,MATCH(628,'Data Source'!$T:$T,0)),"")</f>
        <v/>
      </c>
      <c r="C630" s="3">
        <f>IFERROR(INDEX('Data Source'!$P:$P,MATCH(628,'Data Source'!$T:$T,0)),"")</f>
        <v/>
      </c>
      <c r="D630" s="5">
        <f>IFERROR(INDEX('Data Source'!$Q:$Q,MATCH(628,'Data Source'!$T:$T,0)),"")</f>
        <v/>
      </c>
      <c r="E630" s="5">
        <f>IFERROR(INDEX('Data Source'!$R:$R,MATCH(628,'Data Source'!$T:$T,0)),"")</f>
        <v/>
      </c>
      <c r="F630" s="3">
        <f>IFERROR(INDEX('Data Source'!$S:$S,MATCH(628,'Data Source'!$T:$T,0)),"")</f>
        <v/>
      </c>
    </row>
    <row r="631">
      <c r="A631" s="3">
        <f>IFERROR(IF(COUNTIF('Data Source'!$T:$T,629)&gt;0,629,""),"")</f>
        <v/>
      </c>
      <c r="B631">
        <f>IFERROR(INDEX('Data Source'!$B:$B,MATCH(629,'Data Source'!$T:$T,0)),"")</f>
        <v/>
      </c>
      <c r="C631" s="3">
        <f>IFERROR(INDEX('Data Source'!$P:$P,MATCH(629,'Data Source'!$T:$T,0)),"")</f>
        <v/>
      </c>
      <c r="D631" s="5">
        <f>IFERROR(INDEX('Data Source'!$Q:$Q,MATCH(629,'Data Source'!$T:$T,0)),"")</f>
        <v/>
      </c>
      <c r="E631" s="5">
        <f>IFERROR(INDEX('Data Source'!$R:$R,MATCH(629,'Data Source'!$T:$T,0)),"")</f>
        <v/>
      </c>
      <c r="F631" s="3">
        <f>IFERROR(INDEX('Data Source'!$S:$S,MATCH(629,'Data Source'!$T:$T,0)),"")</f>
        <v/>
      </c>
    </row>
    <row r="632">
      <c r="A632" s="3">
        <f>IFERROR(IF(COUNTIF('Data Source'!$T:$T,630)&gt;0,630,""),"")</f>
        <v/>
      </c>
      <c r="B632">
        <f>IFERROR(INDEX('Data Source'!$B:$B,MATCH(630,'Data Source'!$T:$T,0)),"")</f>
        <v/>
      </c>
      <c r="C632" s="3">
        <f>IFERROR(INDEX('Data Source'!$P:$P,MATCH(630,'Data Source'!$T:$T,0)),"")</f>
        <v/>
      </c>
      <c r="D632" s="5">
        <f>IFERROR(INDEX('Data Source'!$Q:$Q,MATCH(630,'Data Source'!$T:$T,0)),"")</f>
        <v/>
      </c>
      <c r="E632" s="5">
        <f>IFERROR(INDEX('Data Source'!$R:$R,MATCH(630,'Data Source'!$T:$T,0)),"")</f>
        <v/>
      </c>
      <c r="F632" s="3">
        <f>IFERROR(INDEX('Data Source'!$S:$S,MATCH(630,'Data Source'!$T:$T,0)),"")</f>
        <v/>
      </c>
    </row>
    <row r="633">
      <c r="A633" s="3">
        <f>IFERROR(IF(COUNTIF('Data Source'!$T:$T,631)&gt;0,631,""),"")</f>
        <v/>
      </c>
      <c r="B633">
        <f>IFERROR(INDEX('Data Source'!$B:$B,MATCH(631,'Data Source'!$T:$T,0)),"")</f>
        <v/>
      </c>
      <c r="C633" s="3">
        <f>IFERROR(INDEX('Data Source'!$P:$P,MATCH(631,'Data Source'!$T:$T,0)),"")</f>
        <v/>
      </c>
      <c r="D633" s="5">
        <f>IFERROR(INDEX('Data Source'!$Q:$Q,MATCH(631,'Data Source'!$T:$T,0)),"")</f>
        <v/>
      </c>
      <c r="E633" s="5">
        <f>IFERROR(INDEX('Data Source'!$R:$R,MATCH(631,'Data Source'!$T:$T,0)),"")</f>
        <v/>
      </c>
      <c r="F633" s="3">
        <f>IFERROR(INDEX('Data Source'!$S:$S,MATCH(631,'Data Source'!$T:$T,0)),"")</f>
        <v/>
      </c>
    </row>
    <row r="634">
      <c r="A634" s="3">
        <f>IFERROR(IF(COUNTIF('Data Source'!$T:$T,632)&gt;0,632,""),"")</f>
        <v/>
      </c>
      <c r="B634">
        <f>IFERROR(INDEX('Data Source'!$B:$B,MATCH(632,'Data Source'!$T:$T,0)),"")</f>
        <v/>
      </c>
      <c r="C634" s="3">
        <f>IFERROR(INDEX('Data Source'!$P:$P,MATCH(632,'Data Source'!$T:$T,0)),"")</f>
        <v/>
      </c>
      <c r="D634" s="5">
        <f>IFERROR(INDEX('Data Source'!$Q:$Q,MATCH(632,'Data Source'!$T:$T,0)),"")</f>
        <v/>
      </c>
      <c r="E634" s="5">
        <f>IFERROR(INDEX('Data Source'!$R:$R,MATCH(632,'Data Source'!$T:$T,0)),"")</f>
        <v/>
      </c>
      <c r="F634" s="3">
        <f>IFERROR(INDEX('Data Source'!$S:$S,MATCH(632,'Data Source'!$T:$T,0)),"")</f>
        <v/>
      </c>
    </row>
    <row r="635">
      <c r="A635" s="3">
        <f>IFERROR(IF(COUNTIF('Data Source'!$T:$T,633)&gt;0,633,""),"")</f>
        <v/>
      </c>
      <c r="B635">
        <f>IFERROR(INDEX('Data Source'!$B:$B,MATCH(633,'Data Source'!$T:$T,0)),"")</f>
        <v/>
      </c>
      <c r="C635" s="3">
        <f>IFERROR(INDEX('Data Source'!$P:$P,MATCH(633,'Data Source'!$T:$T,0)),"")</f>
        <v/>
      </c>
      <c r="D635" s="5">
        <f>IFERROR(INDEX('Data Source'!$Q:$Q,MATCH(633,'Data Source'!$T:$T,0)),"")</f>
        <v/>
      </c>
      <c r="E635" s="5">
        <f>IFERROR(INDEX('Data Source'!$R:$R,MATCH(633,'Data Source'!$T:$T,0)),"")</f>
        <v/>
      </c>
      <c r="F635" s="3">
        <f>IFERROR(INDEX('Data Source'!$S:$S,MATCH(633,'Data Source'!$T:$T,0)),"")</f>
        <v/>
      </c>
    </row>
    <row r="636">
      <c r="A636" s="3">
        <f>IFERROR(IF(COUNTIF('Data Source'!$T:$T,634)&gt;0,634,""),"")</f>
        <v/>
      </c>
      <c r="B636">
        <f>IFERROR(INDEX('Data Source'!$B:$B,MATCH(634,'Data Source'!$T:$T,0)),"")</f>
        <v/>
      </c>
      <c r="C636" s="3">
        <f>IFERROR(INDEX('Data Source'!$P:$P,MATCH(634,'Data Source'!$T:$T,0)),"")</f>
        <v/>
      </c>
      <c r="D636" s="5">
        <f>IFERROR(INDEX('Data Source'!$Q:$Q,MATCH(634,'Data Source'!$T:$T,0)),"")</f>
        <v/>
      </c>
      <c r="E636" s="5">
        <f>IFERROR(INDEX('Data Source'!$R:$R,MATCH(634,'Data Source'!$T:$T,0)),"")</f>
        <v/>
      </c>
      <c r="F636" s="3">
        <f>IFERROR(INDEX('Data Source'!$S:$S,MATCH(634,'Data Source'!$T:$T,0)),"")</f>
        <v/>
      </c>
    </row>
    <row r="637">
      <c r="A637" s="3">
        <f>IFERROR(IF(COUNTIF('Data Source'!$T:$T,635)&gt;0,635,""),"")</f>
        <v/>
      </c>
      <c r="B637">
        <f>IFERROR(INDEX('Data Source'!$B:$B,MATCH(635,'Data Source'!$T:$T,0)),"")</f>
        <v/>
      </c>
      <c r="C637" s="3">
        <f>IFERROR(INDEX('Data Source'!$P:$P,MATCH(635,'Data Source'!$T:$T,0)),"")</f>
        <v/>
      </c>
      <c r="D637" s="5">
        <f>IFERROR(INDEX('Data Source'!$Q:$Q,MATCH(635,'Data Source'!$T:$T,0)),"")</f>
        <v/>
      </c>
      <c r="E637" s="5">
        <f>IFERROR(INDEX('Data Source'!$R:$R,MATCH(635,'Data Source'!$T:$T,0)),"")</f>
        <v/>
      </c>
      <c r="F637" s="3">
        <f>IFERROR(INDEX('Data Source'!$S:$S,MATCH(635,'Data Source'!$T:$T,0)),"")</f>
        <v/>
      </c>
    </row>
    <row r="638">
      <c r="A638" s="3">
        <f>IFERROR(IF(COUNTIF('Data Source'!$T:$T,636)&gt;0,636,""),"")</f>
        <v/>
      </c>
      <c r="B638">
        <f>IFERROR(INDEX('Data Source'!$B:$B,MATCH(636,'Data Source'!$T:$T,0)),"")</f>
        <v/>
      </c>
      <c r="C638" s="3">
        <f>IFERROR(INDEX('Data Source'!$P:$P,MATCH(636,'Data Source'!$T:$T,0)),"")</f>
        <v/>
      </c>
      <c r="D638" s="5">
        <f>IFERROR(INDEX('Data Source'!$Q:$Q,MATCH(636,'Data Source'!$T:$T,0)),"")</f>
        <v/>
      </c>
      <c r="E638" s="5">
        <f>IFERROR(INDEX('Data Source'!$R:$R,MATCH(636,'Data Source'!$T:$T,0)),"")</f>
        <v/>
      </c>
      <c r="F638" s="3">
        <f>IFERROR(INDEX('Data Source'!$S:$S,MATCH(636,'Data Source'!$T:$T,0)),"")</f>
        <v/>
      </c>
    </row>
    <row r="639">
      <c r="A639" s="3">
        <f>IFERROR(IF(COUNTIF('Data Source'!$T:$T,637)&gt;0,637,""),"")</f>
        <v/>
      </c>
      <c r="B639">
        <f>IFERROR(INDEX('Data Source'!$B:$B,MATCH(637,'Data Source'!$T:$T,0)),"")</f>
        <v/>
      </c>
      <c r="C639" s="3">
        <f>IFERROR(INDEX('Data Source'!$P:$P,MATCH(637,'Data Source'!$T:$T,0)),"")</f>
        <v/>
      </c>
      <c r="D639" s="5">
        <f>IFERROR(INDEX('Data Source'!$Q:$Q,MATCH(637,'Data Source'!$T:$T,0)),"")</f>
        <v/>
      </c>
      <c r="E639" s="5">
        <f>IFERROR(INDEX('Data Source'!$R:$R,MATCH(637,'Data Source'!$T:$T,0)),"")</f>
        <v/>
      </c>
      <c r="F639" s="3">
        <f>IFERROR(INDEX('Data Source'!$S:$S,MATCH(637,'Data Source'!$T:$T,0)),"")</f>
        <v/>
      </c>
    </row>
    <row r="640">
      <c r="A640" s="3">
        <f>IFERROR(IF(COUNTIF('Data Source'!$T:$T,638)&gt;0,638,""),"")</f>
        <v/>
      </c>
      <c r="B640">
        <f>IFERROR(INDEX('Data Source'!$B:$B,MATCH(638,'Data Source'!$T:$T,0)),"")</f>
        <v/>
      </c>
      <c r="C640" s="3">
        <f>IFERROR(INDEX('Data Source'!$P:$P,MATCH(638,'Data Source'!$T:$T,0)),"")</f>
        <v/>
      </c>
      <c r="D640" s="5">
        <f>IFERROR(INDEX('Data Source'!$Q:$Q,MATCH(638,'Data Source'!$T:$T,0)),"")</f>
        <v/>
      </c>
      <c r="E640" s="5">
        <f>IFERROR(INDEX('Data Source'!$R:$R,MATCH(638,'Data Source'!$T:$T,0)),"")</f>
        <v/>
      </c>
      <c r="F640" s="3">
        <f>IFERROR(INDEX('Data Source'!$S:$S,MATCH(638,'Data Source'!$T:$T,0)),"")</f>
        <v/>
      </c>
    </row>
    <row r="641">
      <c r="A641" s="3">
        <f>IFERROR(IF(COUNTIF('Data Source'!$T:$T,639)&gt;0,639,""),"")</f>
        <v/>
      </c>
      <c r="B641">
        <f>IFERROR(INDEX('Data Source'!$B:$B,MATCH(639,'Data Source'!$T:$T,0)),"")</f>
        <v/>
      </c>
      <c r="C641" s="3">
        <f>IFERROR(INDEX('Data Source'!$P:$P,MATCH(639,'Data Source'!$T:$T,0)),"")</f>
        <v/>
      </c>
      <c r="D641" s="5">
        <f>IFERROR(INDEX('Data Source'!$Q:$Q,MATCH(639,'Data Source'!$T:$T,0)),"")</f>
        <v/>
      </c>
      <c r="E641" s="5">
        <f>IFERROR(INDEX('Data Source'!$R:$R,MATCH(639,'Data Source'!$T:$T,0)),"")</f>
        <v/>
      </c>
      <c r="F641" s="3">
        <f>IFERROR(INDEX('Data Source'!$S:$S,MATCH(639,'Data Source'!$T:$T,0)),"")</f>
        <v/>
      </c>
    </row>
    <row r="642">
      <c r="A642" s="3">
        <f>IFERROR(IF(COUNTIF('Data Source'!$T:$T,640)&gt;0,640,""),"")</f>
        <v/>
      </c>
      <c r="B642">
        <f>IFERROR(INDEX('Data Source'!$B:$B,MATCH(640,'Data Source'!$T:$T,0)),"")</f>
        <v/>
      </c>
      <c r="C642" s="3">
        <f>IFERROR(INDEX('Data Source'!$P:$P,MATCH(640,'Data Source'!$T:$T,0)),"")</f>
        <v/>
      </c>
      <c r="D642" s="5">
        <f>IFERROR(INDEX('Data Source'!$Q:$Q,MATCH(640,'Data Source'!$T:$T,0)),"")</f>
        <v/>
      </c>
      <c r="E642" s="5">
        <f>IFERROR(INDEX('Data Source'!$R:$R,MATCH(640,'Data Source'!$T:$T,0)),"")</f>
        <v/>
      </c>
      <c r="F642" s="3">
        <f>IFERROR(INDEX('Data Source'!$S:$S,MATCH(640,'Data Source'!$T:$T,0)),"")</f>
        <v/>
      </c>
    </row>
    <row r="643">
      <c r="A643" s="3">
        <f>IFERROR(IF(COUNTIF('Data Source'!$T:$T,641)&gt;0,641,""),"")</f>
        <v/>
      </c>
      <c r="B643">
        <f>IFERROR(INDEX('Data Source'!$B:$B,MATCH(641,'Data Source'!$T:$T,0)),"")</f>
        <v/>
      </c>
      <c r="C643" s="3">
        <f>IFERROR(INDEX('Data Source'!$P:$P,MATCH(641,'Data Source'!$T:$T,0)),"")</f>
        <v/>
      </c>
      <c r="D643" s="5">
        <f>IFERROR(INDEX('Data Source'!$Q:$Q,MATCH(641,'Data Source'!$T:$T,0)),"")</f>
        <v/>
      </c>
      <c r="E643" s="5">
        <f>IFERROR(INDEX('Data Source'!$R:$R,MATCH(641,'Data Source'!$T:$T,0)),"")</f>
        <v/>
      </c>
      <c r="F643" s="3">
        <f>IFERROR(INDEX('Data Source'!$S:$S,MATCH(641,'Data Source'!$T:$T,0)),"")</f>
        <v/>
      </c>
    </row>
    <row r="644">
      <c r="A644" s="3">
        <f>IFERROR(IF(COUNTIF('Data Source'!$T:$T,642)&gt;0,642,""),"")</f>
        <v/>
      </c>
      <c r="B644">
        <f>IFERROR(INDEX('Data Source'!$B:$B,MATCH(642,'Data Source'!$T:$T,0)),"")</f>
        <v/>
      </c>
      <c r="C644" s="3">
        <f>IFERROR(INDEX('Data Source'!$P:$P,MATCH(642,'Data Source'!$T:$T,0)),"")</f>
        <v/>
      </c>
      <c r="D644" s="5">
        <f>IFERROR(INDEX('Data Source'!$Q:$Q,MATCH(642,'Data Source'!$T:$T,0)),"")</f>
        <v/>
      </c>
      <c r="E644" s="5">
        <f>IFERROR(INDEX('Data Source'!$R:$R,MATCH(642,'Data Source'!$T:$T,0)),"")</f>
        <v/>
      </c>
      <c r="F644" s="3">
        <f>IFERROR(INDEX('Data Source'!$S:$S,MATCH(642,'Data Source'!$T:$T,0)),"")</f>
        <v/>
      </c>
    </row>
    <row r="645">
      <c r="A645" s="3">
        <f>IFERROR(IF(COUNTIF('Data Source'!$T:$T,643)&gt;0,643,""),"")</f>
        <v/>
      </c>
      <c r="B645">
        <f>IFERROR(INDEX('Data Source'!$B:$B,MATCH(643,'Data Source'!$T:$T,0)),"")</f>
        <v/>
      </c>
      <c r="C645" s="3">
        <f>IFERROR(INDEX('Data Source'!$P:$P,MATCH(643,'Data Source'!$T:$T,0)),"")</f>
        <v/>
      </c>
      <c r="D645" s="5">
        <f>IFERROR(INDEX('Data Source'!$Q:$Q,MATCH(643,'Data Source'!$T:$T,0)),"")</f>
        <v/>
      </c>
      <c r="E645" s="5">
        <f>IFERROR(INDEX('Data Source'!$R:$R,MATCH(643,'Data Source'!$T:$T,0)),"")</f>
        <v/>
      </c>
      <c r="F645" s="3">
        <f>IFERROR(INDEX('Data Source'!$S:$S,MATCH(643,'Data Source'!$T:$T,0)),"")</f>
        <v/>
      </c>
    </row>
    <row r="646">
      <c r="A646" s="3">
        <f>IFERROR(IF(COUNTIF('Data Source'!$T:$T,644)&gt;0,644,""),"")</f>
        <v/>
      </c>
      <c r="B646">
        <f>IFERROR(INDEX('Data Source'!$B:$B,MATCH(644,'Data Source'!$T:$T,0)),"")</f>
        <v/>
      </c>
      <c r="C646" s="3">
        <f>IFERROR(INDEX('Data Source'!$P:$P,MATCH(644,'Data Source'!$T:$T,0)),"")</f>
        <v/>
      </c>
      <c r="D646" s="5">
        <f>IFERROR(INDEX('Data Source'!$Q:$Q,MATCH(644,'Data Source'!$T:$T,0)),"")</f>
        <v/>
      </c>
      <c r="E646" s="5">
        <f>IFERROR(INDEX('Data Source'!$R:$R,MATCH(644,'Data Source'!$T:$T,0)),"")</f>
        <v/>
      </c>
      <c r="F646" s="3">
        <f>IFERROR(INDEX('Data Source'!$S:$S,MATCH(644,'Data Source'!$T:$T,0)),"")</f>
        <v/>
      </c>
    </row>
    <row r="647">
      <c r="A647" s="3">
        <f>IFERROR(IF(COUNTIF('Data Source'!$T:$T,645)&gt;0,645,""),"")</f>
        <v/>
      </c>
      <c r="B647">
        <f>IFERROR(INDEX('Data Source'!$B:$B,MATCH(645,'Data Source'!$T:$T,0)),"")</f>
        <v/>
      </c>
      <c r="C647" s="3">
        <f>IFERROR(INDEX('Data Source'!$P:$P,MATCH(645,'Data Source'!$T:$T,0)),"")</f>
        <v/>
      </c>
      <c r="D647" s="5">
        <f>IFERROR(INDEX('Data Source'!$Q:$Q,MATCH(645,'Data Source'!$T:$T,0)),"")</f>
        <v/>
      </c>
      <c r="E647" s="5">
        <f>IFERROR(INDEX('Data Source'!$R:$R,MATCH(645,'Data Source'!$T:$T,0)),"")</f>
        <v/>
      </c>
      <c r="F647" s="3">
        <f>IFERROR(INDEX('Data Source'!$S:$S,MATCH(645,'Data Source'!$T:$T,0)),"")</f>
        <v/>
      </c>
    </row>
    <row r="648">
      <c r="A648" s="3">
        <f>IFERROR(IF(COUNTIF('Data Source'!$T:$T,646)&gt;0,646,""),"")</f>
        <v/>
      </c>
      <c r="B648">
        <f>IFERROR(INDEX('Data Source'!$B:$B,MATCH(646,'Data Source'!$T:$T,0)),"")</f>
        <v/>
      </c>
      <c r="C648" s="3">
        <f>IFERROR(INDEX('Data Source'!$P:$P,MATCH(646,'Data Source'!$T:$T,0)),"")</f>
        <v/>
      </c>
      <c r="D648" s="5">
        <f>IFERROR(INDEX('Data Source'!$Q:$Q,MATCH(646,'Data Source'!$T:$T,0)),"")</f>
        <v/>
      </c>
      <c r="E648" s="5">
        <f>IFERROR(INDEX('Data Source'!$R:$R,MATCH(646,'Data Source'!$T:$T,0)),"")</f>
        <v/>
      </c>
      <c r="F648" s="3">
        <f>IFERROR(INDEX('Data Source'!$S:$S,MATCH(646,'Data Source'!$T:$T,0)),"")</f>
        <v/>
      </c>
    </row>
    <row r="649">
      <c r="A649" s="3">
        <f>IFERROR(IF(COUNTIF('Data Source'!$T:$T,647)&gt;0,647,""),"")</f>
        <v/>
      </c>
      <c r="B649">
        <f>IFERROR(INDEX('Data Source'!$B:$B,MATCH(647,'Data Source'!$T:$T,0)),"")</f>
        <v/>
      </c>
      <c r="C649" s="3">
        <f>IFERROR(INDEX('Data Source'!$P:$P,MATCH(647,'Data Source'!$T:$T,0)),"")</f>
        <v/>
      </c>
      <c r="D649" s="5">
        <f>IFERROR(INDEX('Data Source'!$Q:$Q,MATCH(647,'Data Source'!$T:$T,0)),"")</f>
        <v/>
      </c>
      <c r="E649" s="5">
        <f>IFERROR(INDEX('Data Source'!$R:$R,MATCH(647,'Data Source'!$T:$T,0)),"")</f>
        <v/>
      </c>
      <c r="F649" s="3">
        <f>IFERROR(INDEX('Data Source'!$S:$S,MATCH(647,'Data Source'!$T:$T,0)),"")</f>
        <v/>
      </c>
    </row>
    <row r="650">
      <c r="A650" s="3">
        <f>IFERROR(IF(COUNTIF('Data Source'!$T:$T,648)&gt;0,648,""),"")</f>
        <v/>
      </c>
      <c r="B650">
        <f>IFERROR(INDEX('Data Source'!$B:$B,MATCH(648,'Data Source'!$T:$T,0)),"")</f>
        <v/>
      </c>
      <c r="C650" s="3">
        <f>IFERROR(INDEX('Data Source'!$P:$P,MATCH(648,'Data Source'!$T:$T,0)),"")</f>
        <v/>
      </c>
      <c r="D650" s="5">
        <f>IFERROR(INDEX('Data Source'!$Q:$Q,MATCH(648,'Data Source'!$T:$T,0)),"")</f>
        <v/>
      </c>
      <c r="E650" s="5">
        <f>IFERROR(INDEX('Data Source'!$R:$R,MATCH(648,'Data Source'!$T:$T,0)),"")</f>
        <v/>
      </c>
      <c r="F650" s="3">
        <f>IFERROR(INDEX('Data Source'!$S:$S,MATCH(648,'Data Source'!$T:$T,0)),"")</f>
        <v/>
      </c>
    </row>
    <row r="651">
      <c r="A651" s="3">
        <f>IFERROR(IF(COUNTIF('Data Source'!$T:$T,649)&gt;0,649,""),"")</f>
        <v/>
      </c>
      <c r="B651">
        <f>IFERROR(INDEX('Data Source'!$B:$B,MATCH(649,'Data Source'!$T:$T,0)),"")</f>
        <v/>
      </c>
      <c r="C651" s="3">
        <f>IFERROR(INDEX('Data Source'!$P:$P,MATCH(649,'Data Source'!$T:$T,0)),"")</f>
        <v/>
      </c>
      <c r="D651" s="5">
        <f>IFERROR(INDEX('Data Source'!$Q:$Q,MATCH(649,'Data Source'!$T:$T,0)),"")</f>
        <v/>
      </c>
      <c r="E651" s="5">
        <f>IFERROR(INDEX('Data Source'!$R:$R,MATCH(649,'Data Source'!$T:$T,0)),"")</f>
        <v/>
      </c>
      <c r="F651" s="3">
        <f>IFERROR(INDEX('Data Source'!$S:$S,MATCH(649,'Data Source'!$T:$T,0)),"")</f>
        <v/>
      </c>
    </row>
    <row r="652">
      <c r="A652" s="3">
        <f>IFERROR(IF(COUNTIF('Data Source'!$T:$T,650)&gt;0,650,""),"")</f>
        <v/>
      </c>
      <c r="B652">
        <f>IFERROR(INDEX('Data Source'!$B:$B,MATCH(650,'Data Source'!$T:$T,0)),"")</f>
        <v/>
      </c>
      <c r="C652" s="3">
        <f>IFERROR(INDEX('Data Source'!$P:$P,MATCH(650,'Data Source'!$T:$T,0)),"")</f>
        <v/>
      </c>
      <c r="D652" s="5">
        <f>IFERROR(INDEX('Data Source'!$Q:$Q,MATCH(650,'Data Source'!$T:$T,0)),"")</f>
        <v/>
      </c>
      <c r="E652" s="5">
        <f>IFERROR(INDEX('Data Source'!$R:$R,MATCH(650,'Data Source'!$T:$T,0)),"")</f>
        <v/>
      </c>
      <c r="F652" s="3">
        <f>IFERROR(INDEX('Data Source'!$S:$S,MATCH(650,'Data Source'!$T:$T,0)),"")</f>
        <v/>
      </c>
    </row>
    <row r="653">
      <c r="A653" s="3">
        <f>IFERROR(IF(COUNTIF('Data Source'!$T:$T,651)&gt;0,651,""),"")</f>
        <v/>
      </c>
      <c r="B653">
        <f>IFERROR(INDEX('Data Source'!$B:$B,MATCH(651,'Data Source'!$T:$T,0)),"")</f>
        <v/>
      </c>
      <c r="C653" s="3">
        <f>IFERROR(INDEX('Data Source'!$P:$P,MATCH(651,'Data Source'!$T:$T,0)),"")</f>
        <v/>
      </c>
      <c r="D653" s="5">
        <f>IFERROR(INDEX('Data Source'!$Q:$Q,MATCH(651,'Data Source'!$T:$T,0)),"")</f>
        <v/>
      </c>
      <c r="E653" s="5">
        <f>IFERROR(INDEX('Data Source'!$R:$R,MATCH(651,'Data Source'!$T:$T,0)),"")</f>
        <v/>
      </c>
      <c r="F653" s="3">
        <f>IFERROR(INDEX('Data Source'!$S:$S,MATCH(651,'Data Source'!$T:$T,0)),"")</f>
        <v/>
      </c>
    </row>
    <row r="654">
      <c r="A654" s="3">
        <f>IFERROR(IF(COUNTIF('Data Source'!$T:$T,652)&gt;0,652,""),"")</f>
        <v/>
      </c>
      <c r="B654">
        <f>IFERROR(INDEX('Data Source'!$B:$B,MATCH(652,'Data Source'!$T:$T,0)),"")</f>
        <v/>
      </c>
      <c r="C654" s="3">
        <f>IFERROR(INDEX('Data Source'!$P:$P,MATCH(652,'Data Source'!$T:$T,0)),"")</f>
        <v/>
      </c>
      <c r="D654" s="5">
        <f>IFERROR(INDEX('Data Source'!$Q:$Q,MATCH(652,'Data Source'!$T:$T,0)),"")</f>
        <v/>
      </c>
      <c r="E654" s="5">
        <f>IFERROR(INDEX('Data Source'!$R:$R,MATCH(652,'Data Source'!$T:$T,0)),"")</f>
        <v/>
      </c>
      <c r="F654" s="3">
        <f>IFERROR(INDEX('Data Source'!$S:$S,MATCH(652,'Data Source'!$T:$T,0)),"")</f>
        <v/>
      </c>
    </row>
    <row r="655">
      <c r="A655" s="3">
        <f>IFERROR(IF(COUNTIF('Data Source'!$T:$T,653)&gt;0,653,""),"")</f>
        <v/>
      </c>
      <c r="B655">
        <f>IFERROR(INDEX('Data Source'!$B:$B,MATCH(653,'Data Source'!$T:$T,0)),"")</f>
        <v/>
      </c>
      <c r="C655" s="3">
        <f>IFERROR(INDEX('Data Source'!$P:$P,MATCH(653,'Data Source'!$T:$T,0)),"")</f>
        <v/>
      </c>
      <c r="D655" s="5">
        <f>IFERROR(INDEX('Data Source'!$Q:$Q,MATCH(653,'Data Source'!$T:$T,0)),"")</f>
        <v/>
      </c>
      <c r="E655" s="5">
        <f>IFERROR(INDEX('Data Source'!$R:$R,MATCH(653,'Data Source'!$T:$T,0)),"")</f>
        <v/>
      </c>
      <c r="F655" s="3">
        <f>IFERROR(INDEX('Data Source'!$S:$S,MATCH(653,'Data Source'!$T:$T,0)),"")</f>
        <v/>
      </c>
    </row>
    <row r="656">
      <c r="A656" s="3">
        <f>IFERROR(IF(COUNTIF('Data Source'!$T:$T,654)&gt;0,654,""),"")</f>
        <v/>
      </c>
      <c r="B656">
        <f>IFERROR(INDEX('Data Source'!$B:$B,MATCH(654,'Data Source'!$T:$T,0)),"")</f>
        <v/>
      </c>
      <c r="C656" s="3">
        <f>IFERROR(INDEX('Data Source'!$P:$P,MATCH(654,'Data Source'!$T:$T,0)),"")</f>
        <v/>
      </c>
      <c r="D656" s="5">
        <f>IFERROR(INDEX('Data Source'!$Q:$Q,MATCH(654,'Data Source'!$T:$T,0)),"")</f>
        <v/>
      </c>
      <c r="E656" s="5">
        <f>IFERROR(INDEX('Data Source'!$R:$R,MATCH(654,'Data Source'!$T:$T,0)),"")</f>
        <v/>
      </c>
      <c r="F656" s="3">
        <f>IFERROR(INDEX('Data Source'!$S:$S,MATCH(654,'Data Source'!$T:$T,0)),"")</f>
        <v/>
      </c>
    </row>
    <row r="657">
      <c r="A657" s="3">
        <f>IFERROR(IF(COUNTIF('Data Source'!$T:$T,655)&gt;0,655,""),"")</f>
        <v/>
      </c>
      <c r="B657">
        <f>IFERROR(INDEX('Data Source'!$B:$B,MATCH(655,'Data Source'!$T:$T,0)),"")</f>
        <v/>
      </c>
      <c r="C657" s="3">
        <f>IFERROR(INDEX('Data Source'!$P:$P,MATCH(655,'Data Source'!$T:$T,0)),"")</f>
        <v/>
      </c>
      <c r="D657" s="5">
        <f>IFERROR(INDEX('Data Source'!$Q:$Q,MATCH(655,'Data Source'!$T:$T,0)),"")</f>
        <v/>
      </c>
      <c r="E657" s="5">
        <f>IFERROR(INDEX('Data Source'!$R:$R,MATCH(655,'Data Source'!$T:$T,0)),"")</f>
        <v/>
      </c>
      <c r="F657" s="3">
        <f>IFERROR(INDEX('Data Source'!$S:$S,MATCH(655,'Data Source'!$T:$T,0)),"")</f>
        <v/>
      </c>
    </row>
    <row r="658">
      <c r="A658" s="3">
        <f>IFERROR(IF(COUNTIF('Data Source'!$T:$T,656)&gt;0,656,""),"")</f>
        <v/>
      </c>
      <c r="B658">
        <f>IFERROR(INDEX('Data Source'!$B:$B,MATCH(656,'Data Source'!$T:$T,0)),"")</f>
        <v/>
      </c>
      <c r="C658" s="3">
        <f>IFERROR(INDEX('Data Source'!$P:$P,MATCH(656,'Data Source'!$T:$T,0)),"")</f>
        <v/>
      </c>
      <c r="D658" s="5">
        <f>IFERROR(INDEX('Data Source'!$Q:$Q,MATCH(656,'Data Source'!$T:$T,0)),"")</f>
        <v/>
      </c>
      <c r="E658" s="5">
        <f>IFERROR(INDEX('Data Source'!$R:$R,MATCH(656,'Data Source'!$T:$T,0)),"")</f>
        <v/>
      </c>
      <c r="F658" s="3">
        <f>IFERROR(INDEX('Data Source'!$S:$S,MATCH(656,'Data Source'!$T:$T,0)),"")</f>
        <v/>
      </c>
    </row>
    <row r="659">
      <c r="A659" s="3">
        <f>IFERROR(IF(COUNTIF('Data Source'!$T:$T,657)&gt;0,657,""),"")</f>
        <v/>
      </c>
      <c r="B659">
        <f>IFERROR(INDEX('Data Source'!$B:$B,MATCH(657,'Data Source'!$T:$T,0)),"")</f>
        <v/>
      </c>
      <c r="C659" s="3">
        <f>IFERROR(INDEX('Data Source'!$P:$P,MATCH(657,'Data Source'!$T:$T,0)),"")</f>
        <v/>
      </c>
      <c r="D659" s="5">
        <f>IFERROR(INDEX('Data Source'!$Q:$Q,MATCH(657,'Data Source'!$T:$T,0)),"")</f>
        <v/>
      </c>
      <c r="E659" s="5">
        <f>IFERROR(INDEX('Data Source'!$R:$R,MATCH(657,'Data Source'!$T:$T,0)),"")</f>
        <v/>
      </c>
      <c r="F659" s="3">
        <f>IFERROR(INDEX('Data Source'!$S:$S,MATCH(657,'Data Source'!$T:$T,0)),"")</f>
        <v/>
      </c>
    </row>
    <row r="660">
      <c r="A660" s="3">
        <f>IFERROR(IF(COUNTIF('Data Source'!$T:$T,658)&gt;0,658,""),"")</f>
        <v/>
      </c>
      <c r="B660">
        <f>IFERROR(INDEX('Data Source'!$B:$B,MATCH(658,'Data Source'!$T:$T,0)),"")</f>
        <v/>
      </c>
      <c r="C660" s="3">
        <f>IFERROR(INDEX('Data Source'!$P:$P,MATCH(658,'Data Source'!$T:$T,0)),"")</f>
        <v/>
      </c>
      <c r="D660" s="5">
        <f>IFERROR(INDEX('Data Source'!$Q:$Q,MATCH(658,'Data Source'!$T:$T,0)),"")</f>
        <v/>
      </c>
      <c r="E660" s="5">
        <f>IFERROR(INDEX('Data Source'!$R:$R,MATCH(658,'Data Source'!$T:$T,0)),"")</f>
        <v/>
      </c>
      <c r="F660" s="3">
        <f>IFERROR(INDEX('Data Source'!$S:$S,MATCH(658,'Data Source'!$T:$T,0)),"")</f>
        <v/>
      </c>
    </row>
    <row r="661">
      <c r="A661" s="3">
        <f>IFERROR(IF(COUNTIF('Data Source'!$T:$T,659)&gt;0,659,""),"")</f>
        <v/>
      </c>
      <c r="B661">
        <f>IFERROR(INDEX('Data Source'!$B:$B,MATCH(659,'Data Source'!$T:$T,0)),"")</f>
        <v/>
      </c>
      <c r="C661" s="3">
        <f>IFERROR(INDEX('Data Source'!$P:$P,MATCH(659,'Data Source'!$T:$T,0)),"")</f>
        <v/>
      </c>
      <c r="D661" s="5">
        <f>IFERROR(INDEX('Data Source'!$Q:$Q,MATCH(659,'Data Source'!$T:$T,0)),"")</f>
        <v/>
      </c>
      <c r="E661" s="5">
        <f>IFERROR(INDEX('Data Source'!$R:$R,MATCH(659,'Data Source'!$T:$T,0)),"")</f>
        <v/>
      </c>
      <c r="F661" s="3">
        <f>IFERROR(INDEX('Data Source'!$S:$S,MATCH(659,'Data Source'!$T:$T,0)),"")</f>
        <v/>
      </c>
    </row>
    <row r="662">
      <c r="A662" s="3">
        <f>IFERROR(IF(COUNTIF('Data Source'!$T:$T,660)&gt;0,660,""),"")</f>
        <v/>
      </c>
      <c r="B662">
        <f>IFERROR(INDEX('Data Source'!$B:$B,MATCH(660,'Data Source'!$T:$T,0)),"")</f>
        <v/>
      </c>
      <c r="C662" s="3">
        <f>IFERROR(INDEX('Data Source'!$P:$P,MATCH(660,'Data Source'!$T:$T,0)),"")</f>
        <v/>
      </c>
      <c r="D662" s="5">
        <f>IFERROR(INDEX('Data Source'!$Q:$Q,MATCH(660,'Data Source'!$T:$T,0)),"")</f>
        <v/>
      </c>
      <c r="E662" s="5">
        <f>IFERROR(INDEX('Data Source'!$R:$R,MATCH(660,'Data Source'!$T:$T,0)),"")</f>
        <v/>
      </c>
      <c r="F662" s="3">
        <f>IFERROR(INDEX('Data Source'!$S:$S,MATCH(660,'Data Source'!$T:$T,0)),"")</f>
        <v/>
      </c>
    </row>
    <row r="663">
      <c r="A663" s="3">
        <f>IFERROR(IF(COUNTIF('Data Source'!$T:$T,661)&gt;0,661,""),"")</f>
        <v/>
      </c>
      <c r="B663">
        <f>IFERROR(INDEX('Data Source'!$B:$B,MATCH(661,'Data Source'!$T:$T,0)),"")</f>
        <v/>
      </c>
      <c r="C663" s="3">
        <f>IFERROR(INDEX('Data Source'!$P:$P,MATCH(661,'Data Source'!$T:$T,0)),"")</f>
        <v/>
      </c>
      <c r="D663" s="5">
        <f>IFERROR(INDEX('Data Source'!$Q:$Q,MATCH(661,'Data Source'!$T:$T,0)),"")</f>
        <v/>
      </c>
      <c r="E663" s="5">
        <f>IFERROR(INDEX('Data Source'!$R:$R,MATCH(661,'Data Source'!$T:$T,0)),"")</f>
        <v/>
      </c>
      <c r="F663" s="3">
        <f>IFERROR(INDEX('Data Source'!$S:$S,MATCH(661,'Data Source'!$T:$T,0)),"")</f>
        <v/>
      </c>
    </row>
    <row r="664">
      <c r="A664" s="3">
        <f>IFERROR(IF(COUNTIF('Data Source'!$T:$T,662)&gt;0,662,""),"")</f>
        <v/>
      </c>
      <c r="B664">
        <f>IFERROR(INDEX('Data Source'!$B:$B,MATCH(662,'Data Source'!$T:$T,0)),"")</f>
        <v/>
      </c>
      <c r="C664" s="3">
        <f>IFERROR(INDEX('Data Source'!$P:$P,MATCH(662,'Data Source'!$T:$T,0)),"")</f>
        <v/>
      </c>
      <c r="D664" s="5">
        <f>IFERROR(INDEX('Data Source'!$Q:$Q,MATCH(662,'Data Source'!$T:$T,0)),"")</f>
        <v/>
      </c>
      <c r="E664" s="5">
        <f>IFERROR(INDEX('Data Source'!$R:$R,MATCH(662,'Data Source'!$T:$T,0)),"")</f>
        <v/>
      </c>
      <c r="F664" s="3">
        <f>IFERROR(INDEX('Data Source'!$S:$S,MATCH(662,'Data Source'!$T:$T,0)),"")</f>
        <v/>
      </c>
    </row>
    <row r="665">
      <c r="A665" s="3">
        <f>IFERROR(IF(COUNTIF('Data Source'!$T:$T,663)&gt;0,663,""),"")</f>
        <v/>
      </c>
      <c r="B665">
        <f>IFERROR(INDEX('Data Source'!$B:$B,MATCH(663,'Data Source'!$T:$T,0)),"")</f>
        <v/>
      </c>
      <c r="C665" s="3">
        <f>IFERROR(INDEX('Data Source'!$P:$P,MATCH(663,'Data Source'!$T:$T,0)),"")</f>
        <v/>
      </c>
      <c r="D665" s="5">
        <f>IFERROR(INDEX('Data Source'!$Q:$Q,MATCH(663,'Data Source'!$T:$T,0)),"")</f>
        <v/>
      </c>
      <c r="E665" s="5">
        <f>IFERROR(INDEX('Data Source'!$R:$R,MATCH(663,'Data Source'!$T:$T,0)),"")</f>
        <v/>
      </c>
      <c r="F665" s="3">
        <f>IFERROR(INDEX('Data Source'!$S:$S,MATCH(663,'Data Source'!$T:$T,0)),"")</f>
        <v/>
      </c>
    </row>
    <row r="666">
      <c r="A666" s="3">
        <f>IFERROR(IF(COUNTIF('Data Source'!$T:$T,664)&gt;0,664,""),"")</f>
        <v/>
      </c>
      <c r="B666">
        <f>IFERROR(INDEX('Data Source'!$B:$B,MATCH(664,'Data Source'!$T:$T,0)),"")</f>
        <v/>
      </c>
      <c r="C666" s="3">
        <f>IFERROR(INDEX('Data Source'!$P:$P,MATCH(664,'Data Source'!$T:$T,0)),"")</f>
        <v/>
      </c>
      <c r="D666" s="5">
        <f>IFERROR(INDEX('Data Source'!$Q:$Q,MATCH(664,'Data Source'!$T:$T,0)),"")</f>
        <v/>
      </c>
      <c r="E666" s="5">
        <f>IFERROR(INDEX('Data Source'!$R:$R,MATCH(664,'Data Source'!$T:$T,0)),"")</f>
        <v/>
      </c>
      <c r="F666" s="3">
        <f>IFERROR(INDEX('Data Source'!$S:$S,MATCH(664,'Data Source'!$T:$T,0)),"")</f>
        <v/>
      </c>
    </row>
    <row r="667">
      <c r="A667" s="3">
        <f>IFERROR(IF(COUNTIF('Data Source'!$T:$T,665)&gt;0,665,""),"")</f>
        <v/>
      </c>
      <c r="B667">
        <f>IFERROR(INDEX('Data Source'!$B:$B,MATCH(665,'Data Source'!$T:$T,0)),"")</f>
        <v/>
      </c>
      <c r="C667" s="3">
        <f>IFERROR(INDEX('Data Source'!$P:$P,MATCH(665,'Data Source'!$T:$T,0)),"")</f>
        <v/>
      </c>
      <c r="D667" s="5">
        <f>IFERROR(INDEX('Data Source'!$Q:$Q,MATCH(665,'Data Source'!$T:$T,0)),"")</f>
        <v/>
      </c>
      <c r="E667" s="5">
        <f>IFERROR(INDEX('Data Source'!$R:$R,MATCH(665,'Data Source'!$T:$T,0)),"")</f>
        <v/>
      </c>
      <c r="F667" s="3">
        <f>IFERROR(INDEX('Data Source'!$S:$S,MATCH(665,'Data Source'!$T:$T,0)),"")</f>
        <v/>
      </c>
    </row>
    <row r="668">
      <c r="A668" s="3">
        <f>IFERROR(IF(COUNTIF('Data Source'!$T:$T,666)&gt;0,666,""),"")</f>
        <v/>
      </c>
      <c r="B668">
        <f>IFERROR(INDEX('Data Source'!$B:$B,MATCH(666,'Data Source'!$T:$T,0)),"")</f>
        <v/>
      </c>
      <c r="C668" s="3">
        <f>IFERROR(INDEX('Data Source'!$P:$P,MATCH(666,'Data Source'!$T:$T,0)),"")</f>
        <v/>
      </c>
      <c r="D668" s="5">
        <f>IFERROR(INDEX('Data Source'!$Q:$Q,MATCH(666,'Data Source'!$T:$T,0)),"")</f>
        <v/>
      </c>
      <c r="E668" s="5">
        <f>IFERROR(INDEX('Data Source'!$R:$R,MATCH(666,'Data Source'!$T:$T,0)),"")</f>
        <v/>
      </c>
      <c r="F668" s="3">
        <f>IFERROR(INDEX('Data Source'!$S:$S,MATCH(666,'Data Source'!$T:$T,0)),"")</f>
        <v/>
      </c>
    </row>
    <row r="669">
      <c r="A669" s="3">
        <f>IFERROR(IF(COUNTIF('Data Source'!$T:$T,667)&gt;0,667,""),"")</f>
        <v/>
      </c>
      <c r="B669">
        <f>IFERROR(INDEX('Data Source'!$B:$B,MATCH(667,'Data Source'!$T:$T,0)),"")</f>
        <v/>
      </c>
      <c r="C669" s="3">
        <f>IFERROR(INDEX('Data Source'!$P:$P,MATCH(667,'Data Source'!$T:$T,0)),"")</f>
        <v/>
      </c>
      <c r="D669" s="5">
        <f>IFERROR(INDEX('Data Source'!$Q:$Q,MATCH(667,'Data Source'!$T:$T,0)),"")</f>
        <v/>
      </c>
      <c r="E669" s="5">
        <f>IFERROR(INDEX('Data Source'!$R:$R,MATCH(667,'Data Source'!$T:$T,0)),"")</f>
        <v/>
      </c>
      <c r="F669" s="3">
        <f>IFERROR(INDEX('Data Source'!$S:$S,MATCH(667,'Data Source'!$T:$T,0)),"")</f>
        <v/>
      </c>
    </row>
    <row r="670">
      <c r="A670" s="3">
        <f>IFERROR(IF(COUNTIF('Data Source'!$T:$T,668)&gt;0,668,""),"")</f>
        <v/>
      </c>
      <c r="B670">
        <f>IFERROR(INDEX('Data Source'!$B:$B,MATCH(668,'Data Source'!$T:$T,0)),"")</f>
        <v/>
      </c>
      <c r="C670" s="3">
        <f>IFERROR(INDEX('Data Source'!$P:$P,MATCH(668,'Data Source'!$T:$T,0)),"")</f>
        <v/>
      </c>
      <c r="D670" s="5">
        <f>IFERROR(INDEX('Data Source'!$Q:$Q,MATCH(668,'Data Source'!$T:$T,0)),"")</f>
        <v/>
      </c>
      <c r="E670" s="5">
        <f>IFERROR(INDEX('Data Source'!$R:$R,MATCH(668,'Data Source'!$T:$T,0)),"")</f>
        <v/>
      </c>
      <c r="F670" s="3">
        <f>IFERROR(INDEX('Data Source'!$S:$S,MATCH(668,'Data Source'!$T:$T,0)),"")</f>
        <v/>
      </c>
    </row>
    <row r="671">
      <c r="A671" s="3">
        <f>IFERROR(IF(COUNTIF('Data Source'!$T:$T,669)&gt;0,669,""),"")</f>
        <v/>
      </c>
      <c r="B671">
        <f>IFERROR(INDEX('Data Source'!$B:$B,MATCH(669,'Data Source'!$T:$T,0)),"")</f>
        <v/>
      </c>
      <c r="C671" s="3">
        <f>IFERROR(INDEX('Data Source'!$P:$P,MATCH(669,'Data Source'!$T:$T,0)),"")</f>
        <v/>
      </c>
      <c r="D671" s="5">
        <f>IFERROR(INDEX('Data Source'!$Q:$Q,MATCH(669,'Data Source'!$T:$T,0)),"")</f>
        <v/>
      </c>
      <c r="E671" s="5">
        <f>IFERROR(INDEX('Data Source'!$R:$R,MATCH(669,'Data Source'!$T:$T,0)),"")</f>
        <v/>
      </c>
      <c r="F671" s="3">
        <f>IFERROR(INDEX('Data Source'!$S:$S,MATCH(669,'Data Source'!$T:$T,0)),"")</f>
        <v/>
      </c>
    </row>
    <row r="672">
      <c r="A672" s="3">
        <f>IFERROR(IF(COUNTIF('Data Source'!$T:$T,670)&gt;0,670,""),"")</f>
        <v/>
      </c>
      <c r="B672">
        <f>IFERROR(INDEX('Data Source'!$B:$B,MATCH(670,'Data Source'!$T:$T,0)),"")</f>
        <v/>
      </c>
      <c r="C672" s="3">
        <f>IFERROR(INDEX('Data Source'!$P:$P,MATCH(670,'Data Source'!$T:$T,0)),"")</f>
        <v/>
      </c>
      <c r="D672" s="5">
        <f>IFERROR(INDEX('Data Source'!$Q:$Q,MATCH(670,'Data Source'!$T:$T,0)),"")</f>
        <v/>
      </c>
      <c r="E672" s="5">
        <f>IFERROR(INDEX('Data Source'!$R:$R,MATCH(670,'Data Source'!$T:$T,0)),"")</f>
        <v/>
      </c>
      <c r="F672" s="3">
        <f>IFERROR(INDEX('Data Source'!$S:$S,MATCH(670,'Data Source'!$T:$T,0)),"")</f>
        <v/>
      </c>
    </row>
    <row r="673">
      <c r="A673" s="3">
        <f>IFERROR(IF(COUNTIF('Data Source'!$T:$T,671)&gt;0,671,""),"")</f>
        <v/>
      </c>
      <c r="B673">
        <f>IFERROR(INDEX('Data Source'!$B:$B,MATCH(671,'Data Source'!$T:$T,0)),"")</f>
        <v/>
      </c>
      <c r="C673" s="3">
        <f>IFERROR(INDEX('Data Source'!$P:$P,MATCH(671,'Data Source'!$T:$T,0)),"")</f>
        <v/>
      </c>
      <c r="D673" s="5">
        <f>IFERROR(INDEX('Data Source'!$Q:$Q,MATCH(671,'Data Source'!$T:$T,0)),"")</f>
        <v/>
      </c>
      <c r="E673" s="5">
        <f>IFERROR(INDEX('Data Source'!$R:$R,MATCH(671,'Data Source'!$T:$T,0)),"")</f>
        <v/>
      </c>
      <c r="F673" s="3">
        <f>IFERROR(INDEX('Data Source'!$S:$S,MATCH(671,'Data Source'!$T:$T,0)),"")</f>
        <v/>
      </c>
    </row>
    <row r="674">
      <c r="A674" s="3">
        <f>IFERROR(IF(COUNTIF('Data Source'!$T:$T,672)&gt;0,672,""),"")</f>
        <v/>
      </c>
      <c r="B674">
        <f>IFERROR(INDEX('Data Source'!$B:$B,MATCH(672,'Data Source'!$T:$T,0)),"")</f>
        <v/>
      </c>
      <c r="C674" s="3">
        <f>IFERROR(INDEX('Data Source'!$P:$P,MATCH(672,'Data Source'!$T:$T,0)),"")</f>
        <v/>
      </c>
      <c r="D674" s="5">
        <f>IFERROR(INDEX('Data Source'!$Q:$Q,MATCH(672,'Data Source'!$T:$T,0)),"")</f>
        <v/>
      </c>
      <c r="E674" s="5">
        <f>IFERROR(INDEX('Data Source'!$R:$R,MATCH(672,'Data Source'!$T:$T,0)),"")</f>
        <v/>
      </c>
      <c r="F674" s="3">
        <f>IFERROR(INDEX('Data Source'!$S:$S,MATCH(672,'Data Source'!$T:$T,0)),"")</f>
        <v/>
      </c>
    </row>
    <row r="675">
      <c r="A675" s="3">
        <f>IFERROR(IF(COUNTIF('Data Source'!$T:$T,673)&gt;0,673,""),"")</f>
        <v/>
      </c>
      <c r="B675">
        <f>IFERROR(INDEX('Data Source'!$B:$B,MATCH(673,'Data Source'!$T:$T,0)),"")</f>
        <v/>
      </c>
      <c r="C675" s="3">
        <f>IFERROR(INDEX('Data Source'!$P:$P,MATCH(673,'Data Source'!$T:$T,0)),"")</f>
        <v/>
      </c>
      <c r="D675" s="5">
        <f>IFERROR(INDEX('Data Source'!$Q:$Q,MATCH(673,'Data Source'!$T:$T,0)),"")</f>
        <v/>
      </c>
      <c r="E675" s="5">
        <f>IFERROR(INDEX('Data Source'!$R:$R,MATCH(673,'Data Source'!$T:$T,0)),"")</f>
        <v/>
      </c>
      <c r="F675" s="3">
        <f>IFERROR(INDEX('Data Source'!$S:$S,MATCH(673,'Data Source'!$T:$T,0)),"")</f>
        <v/>
      </c>
    </row>
    <row r="676">
      <c r="A676" s="3">
        <f>IFERROR(IF(COUNTIF('Data Source'!$T:$T,674)&gt;0,674,""),"")</f>
        <v/>
      </c>
      <c r="B676">
        <f>IFERROR(INDEX('Data Source'!$B:$B,MATCH(674,'Data Source'!$T:$T,0)),"")</f>
        <v/>
      </c>
      <c r="C676" s="3">
        <f>IFERROR(INDEX('Data Source'!$P:$P,MATCH(674,'Data Source'!$T:$T,0)),"")</f>
        <v/>
      </c>
      <c r="D676" s="5">
        <f>IFERROR(INDEX('Data Source'!$Q:$Q,MATCH(674,'Data Source'!$T:$T,0)),"")</f>
        <v/>
      </c>
      <c r="E676" s="5">
        <f>IFERROR(INDEX('Data Source'!$R:$R,MATCH(674,'Data Source'!$T:$T,0)),"")</f>
        <v/>
      </c>
      <c r="F676" s="3">
        <f>IFERROR(INDEX('Data Source'!$S:$S,MATCH(674,'Data Source'!$T:$T,0)),"")</f>
        <v/>
      </c>
    </row>
    <row r="677">
      <c r="A677" s="3">
        <f>IFERROR(IF(COUNTIF('Data Source'!$T:$T,675)&gt;0,675,""),"")</f>
        <v/>
      </c>
      <c r="B677">
        <f>IFERROR(INDEX('Data Source'!$B:$B,MATCH(675,'Data Source'!$T:$T,0)),"")</f>
        <v/>
      </c>
      <c r="C677" s="3">
        <f>IFERROR(INDEX('Data Source'!$P:$P,MATCH(675,'Data Source'!$T:$T,0)),"")</f>
        <v/>
      </c>
      <c r="D677" s="5">
        <f>IFERROR(INDEX('Data Source'!$Q:$Q,MATCH(675,'Data Source'!$T:$T,0)),"")</f>
        <v/>
      </c>
      <c r="E677" s="5">
        <f>IFERROR(INDEX('Data Source'!$R:$R,MATCH(675,'Data Source'!$T:$T,0)),"")</f>
        <v/>
      </c>
      <c r="F677" s="3">
        <f>IFERROR(INDEX('Data Source'!$S:$S,MATCH(675,'Data Source'!$T:$T,0)),"")</f>
        <v/>
      </c>
    </row>
    <row r="678">
      <c r="A678" s="3">
        <f>IFERROR(IF(COUNTIF('Data Source'!$T:$T,676)&gt;0,676,""),"")</f>
        <v/>
      </c>
      <c r="B678">
        <f>IFERROR(INDEX('Data Source'!$B:$B,MATCH(676,'Data Source'!$T:$T,0)),"")</f>
        <v/>
      </c>
      <c r="C678" s="3">
        <f>IFERROR(INDEX('Data Source'!$P:$P,MATCH(676,'Data Source'!$T:$T,0)),"")</f>
        <v/>
      </c>
      <c r="D678" s="5">
        <f>IFERROR(INDEX('Data Source'!$Q:$Q,MATCH(676,'Data Source'!$T:$T,0)),"")</f>
        <v/>
      </c>
      <c r="E678" s="5">
        <f>IFERROR(INDEX('Data Source'!$R:$R,MATCH(676,'Data Source'!$T:$T,0)),"")</f>
        <v/>
      </c>
      <c r="F678" s="3">
        <f>IFERROR(INDEX('Data Source'!$S:$S,MATCH(676,'Data Source'!$T:$T,0)),"")</f>
        <v/>
      </c>
    </row>
    <row r="679">
      <c r="A679" s="3">
        <f>IFERROR(IF(COUNTIF('Data Source'!$T:$T,677)&gt;0,677,""),"")</f>
        <v/>
      </c>
      <c r="B679">
        <f>IFERROR(INDEX('Data Source'!$B:$B,MATCH(677,'Data Source'!$T:$T,0)),"")</f>
        <v/>
      </c>
      <c r="C679" s="3">
        <f>IFERROR(INDEX('Data Source'!$P:$P,MATCH(677,'Data Source'!$T:$T,0)),"")</f>
        <v/>
      </c>
      <c r="D679" s="5">
        <f>IFERROR(INDEX('Data Source'!$Q:$Q,MATCH(677,'Data Source'!$T:$T,0)),"")</f>
        <v/>
      </c>
      <c r="E679" s="5">
        <f>IFERROR(INDEX('Data Source'!$R:$R,MATCH(677,'Data Source'!$T:$T,0)),"")</f>
        <v/>
      </c>
      <c r="F679" s="3">
        <f>IFERROR(INDEX('Data Source'!$S:$S,MATCH(677,'Data Source'!$T:$T,0)),"")</f>
        <v/>
      </c>
    </row>
    <row r="680">
      <c r="A680" s="3">
        <f>IFERROR(IF(COUNTIF('Data Source'!$T:$T,678)&gt;0,678,""),"")</f>
        <v/>
      </c>
      <c r="B680">
        <f>IFERROR(INDEX('Data Source'!$B:$B,MATCH(678,'Data Source'!$T:$T,0)),"")</f>
        <v/>
      </c>
      <c r="C680" s="3">
        <f>IFERROR(INDEX('Data Source'!$P:$P,MATCH(678,'Data Source'!$T:$T,0)),"")</f>
        <v/>
      </c>
      <c r="D680" s="5">
        <f>IFERROR(INDEX('Data Source'!$Q:$Q,MATCH(678,'Data Source'!$T:$T,0)),"")</f>
        <v/>
      </c>
      <c r="E680" s="5">
        <f>IFERROR(INDEX('Data Source'!$R:$R,MATCH(678,'Data Source'!$T:$T,0)),"")</f>
        <v/>
      </c>
      <c r="F680" s="3">
        <f>IFERROR(INDEX('Data Source'!$S:$S,MATCH(678,'Data Source'!$T:$T,0)),"")</f>
        <v/>
      </c>
    </row>
    <row r="681">
      <c r="A681" s="3">
        <f>IFERROR(IF(COUNTIF('Data Source'!$T:$T,679)&gt;0,679,""),"")</f>
        <v/>
      </c>
      <c r="B681">
        <f>IFERROR(INDEX('Data Source'!$B:$B,MATCH(679,'Data Source'!$T:$T,0)),"")</f>
        <v/>
      </c>
      <c r="C681" s="3">
        <f>IFERROR(INDEX('Data Source'!$P:$P,MATCH(679,'Data Source'!$T:$T,0)),"")</f>
        <v/>
      </c>
      <c r="D681" s="5">
        <f>IFERROR(INDEX('Data Source'!$Q:$Q,MATCH(679,'Data Source'!$T:$T,0)),"")</f>
        <v/>
      </c>
      <c r="E681" s="5">
        <f>IFERROR(INDEX('Data Source'!$R:$R,MATCH(679,'Data Source'!$T:$T,0)),"")</f>
        <v/>
      </c>
      <c r="F681" s="3">
        <f>IFERROR(INDEX('Data Source'!$S:$S,MATCH(679,'Data Source'!$T:$T,0)),"")</f>
        <v/>
      </c>
    </row>
    <row r="682">
      <c r="A682" s="3">
        <f>IFERROR(IF(COUNTIF('Data Source'!$T:$T,680)&gt;0,680,""),"")</f>
        <v/>
      </c>
      <c r="B682">
        <f>IFERROR(INDEX('Data Source'!$B:$B,MATCH(680,'Data Source'!$T:$T,0)),"")</f>
        <v/>
      </c>
      <c r="C682" s="3">
        <f>IFERROR(INDEX('Data Source'!$P:$P,MATCH(680,'Data Source'!$T:$T,0)),"")</f>
        <v/>
      </c>
      <c r="D682" s="5">
        <f>IFERROR(INDEX('Data Source'!$Q:$Q,MATCH(680,'Data Source'!$T:$T,0)),"")</f>
        <v/>
      </c>
      <c r="E682" s="5">
        <f>IFERROR(INDEX('Data Source'!$R:$R,MATCH(680,'Data Source'!$T:$T,0)),"")</f>
        <v/>
      </c>
      <c r="F682" s="3">
        <f>IFERROR(INDEX('Data Source'!$S:$S,MATCH(680,'Data Source'!$T:$T,0)),"")</f>
        <v/>
      </c>
    </row>
    <row r="683">
      <c r="A683" s="3">
        <f>IFERROR(IF(COUNTIF('Data Source'!$T:$T,681)&gt;0,681,""),"")</f>
        <v/>
      </c>
      <c r="B683">
        <f>IFERROR(INDEX('Data Source'!$B:$B,MATCH(681,'Data Source'!$T:$T,0)),"")</f>
        <v/>
      </c>
      <c r="C683" s="3">
        <f>IFERROR(INDEX('Data Source'!$P:$P,MATCH(681,'Data Source'!$T:$T,0)),"")</f>
        <v/>
      </c>
      <c r="D683" s="5">
        <f>IFERROR(INDEX('Data Source'!$Q:$Q,MATCH(681,'Data Source'!$T:$T,0)),"")</f>
        <v/>
      </c>
      <c r="E683" s="5">
        <f>IFERROR(INDEX('Data Source'!$R:$R,MATCH(681,'Data Source'!$T:$T,0)),"")</f>
        <v/>
      </c>
      <c r="F683" s="3">
        <f>IFERROR(INDEX('Data Source'!$S:$S,MATCH(681,'Data Source'!$T:$T,0)),"")</f>
        <v/>
      </c>
    </row>
    <row r="684">
      <c r="A684" s="3">
        <f>IFERROR(IF(COUNTIF('Data Source'!$T:$T,682)&gt;0,682,""),"")</f>
        <v/>
      </c>
      <c r="B684">
        <f>IFERROR(INDEX('Data Source'!$B:$B,MATCH(682,'Data Source'!$T:$T,0)),"")</f>
        <v/>
      </c>
      <c r="C684" s="3">
        <f>IFERROR(INDEX('Data Source'!$P:$P,MATCH(682,'Data Source'!$T:$T,0)),"")</f>
        <v/>
      </c>
      <c r="D684" s="5">
        <f>IFERROR(INDEX('Data Source'!$Q:$Q,MATCH(682,'Data Source'!$T:$T,0)),"")</f>
        <v/>
      </c>
      <c r="E684" s="5">
        <f>IFERROR(INDEX('Data Source'!$R:$R,MATCH(682,'Data Source'!$T:$T,0)),"")</f>
        <v/>
      </c>
      <c r="F684" s="3">
        <f>IFERROR(INDEX('Data Source'!$S:$S,MATCH(682,'Data Source'!$T:$T,0)),"")</f>
        <v/>
      </c>
    </row>
    <row r="685">
      <c r="A685" s="3">
        <f>IFERROR(IF(COUNTIF('Data Source'!$T:$T,683)&gt;0,683,""),"")</f>
        <v/>
      </c>
      <c r="B685">
        <f>IFERROR(INDEX('Data Source'!$B:$B,MATCH(683,'Data Source'!$T:$T,0)),"")</f>
        <v/>
      </c>
      <c r="C685" s="3">
        <f>IFERROR(INDEX('Data Source'!$P:$P,MATCH(683,'Data Source'!$T:$T,0)),"")</f>
        <v/>
      </c>
      <c r="D685" s="5">
        <f>IFERROR(INDEX('Data Source'!$Q:$Q,MATCH(683,'Data Source'!$T:$T,0)),"")</f>
        <v/>
      </c>
      <c r="E685" s="5">
        <f>IFERROR(INDEX('Data Source'!$R:$R,MATCH(683,'Data Source'!$T:$T,0)),"")</f>
        <v/>
      </c>
      <c r="F685" s="3">
        <f>IFERROR(INDEX('Data Source'!$S:$S,MATCH(683,'Data Source'!$T:$T,0)),"")</f>
        <v/>
      </c>
    </row>
    <row r="686">
      <c r="A686" s="3">
        <f>IFERROR(IF(COUNTIF('Data Source'!$T:$T,684)&gt;0,684,""),"")</f>
        <v/>
      </c>
      <c r="B686">
        <f>IFERROR(INDEX('Data Source'!$B:$B,MATCH(684,'Data Source'!$T:$T,0)),"")</f>
        <v/>
      </c>
      <c r="C686" s="3">
        <f>IFERROR(INDEX('Data Source'!$P:$P,MATCH(684,'Data Source'!$T:$T,0)),"")</f>
        <v/>
      </c>
      <c r="D686" s="5">
        <f>IFERROR(INDEX('Data Source'!$Q:$Q,MATCH(684,'Data Source'!$T:$T,0)),"")</f>
        <v/>
      </c>
      <c r="E686" s="5">
        <f>IFERROR(INDEX('Data Source'!$R:$R,MATCH(684,'Data Source'!$T:$T,0)),"")</f>
        <v/>
      </c>
      <c r="F686" s="3">
        <f>IFERROR(INDEX('Data Source'!$S:$S,MATCH(684,'Data Source'!$T:$T,0)),"")</f>
        <v/>
      </c>
    </row>
    <row r="687">
      <c r="A687" s="3">
        <f>IFERROR(IF(COUNTIF('Data Source'!$T:$T,685)&gt;0,685,""),"")</f>
        <v/>
      </c>
      <c r="B687">
        <f>IFERROR(INDEX('Data Source'!$B:$B,MATCH(685,'Data Source'!$T:$T,0)),"")</f>
        <v/>
      </c>
      <c r="C687" s="3">
        <f>IFERROR(INDEX('Data Source'!$P:$P,MATCH(685,'Data Source'!$T:$T,0)),"")</f>
        <v/>
      </c>
      <c r="D687" s="5">
        <f>IFERROR(INDEX('Data Source'!$Q:$Q,MATCH(685,'Data Source'!$T:$T,0)),"")</f>
        <v/>
      </c>
      <c r="E687" s="5">
        <f>IFERROR(INDEX('Data Source'!$R:$R,MATCH(685,'Data Source'!$T:$T,0)),"")</f>
        <v/>
      </c>
      <c r="F687" s="3">
        <f>IFERROR(INDEX('Data Source'!$S:$S,MATCH(685,'Data Source'!$T:$T,0)),"")</f>
        <v/>
      </c>
    </row>
    <row r="688">
      <c r="A688" s="3">
        <f>IFERROR(IF(COUNTIF('Data Source'!$T:$T,686)&gt;0,686,""),"")</f>
        <v/>
      </c>
      <c r="B688">
        <f>IFERROR(INDEX('Data Source'!$B:$B,MATCH(686,'Data Source'!$T:$T,0)),"")</f>
        <v/>
      </c>
      <c r="C688" s="3">
        <f>IFERROR(INDEX('Data Source'!$P:$P,MATCH(686,'Data Source'!$T:$T,0)),"")</f>
        <v/>
      </c>
      <c r="D688" s="5">
        <f>IFERROR(INDEX('Data Source'!$Q:$Q,MATCH(686,'Data Source'!$T:$T,0)),"")</f>
        <v/>
      </c>
      <c r="E688" s="5">
        <f>IFERROR(INDEX('Data Source'!$R:$R,MATCH(686,'Data Source'!$T:$T,0)),"")</f>
        <v/>
      </c>
      <c r="F688" s="3">
        <f>IFERROR(INDEX('Data Source'!$S:$S,MATCH(686,'Data Source'!$T:$T,0)),"")</f>
        <v/>
      </c>
    </row>
    <row r="689">
      <c r="A689" s="3">
        <f>IFERROR(IF(COUNTIF('Data Source'!$T:$T,687)&gt;0,687,""),"")</f>
        <v/>
      </c>
      <c r="B689">
        <f>IFERROR(INDEX('Data Source'!$B:$B,MATCH(687,'Data Source'!$T:$T,0)),"")</f>
        <v/>
      </c>
      <c r="C689" s="3">
        <f>IFERROR(INDEX('Data Source'!$P:$P,MATCH(687,'Data Source'!$T:$T,0)),"")</f>
        <v/>
      </c>
      <c r="D689" s="5">
        <f>IFERROR(INDEX('Data Source'!$Q:$Q,MATCH(687,'Data Source'!$T:$T,0)),"")</f>
        <v/>
      </c>
      <c r="E689" s="5">
        <f>IFERROR(INDEX('Data Source'!$R:$R,MATCH(687,'Data Source'!$T:$T,0)),"")</f>
        <v/>
      </c>
      <c r="F689" s="3">
        <f>IFERROR(INDEX('Data Source'!$S:$S,MATCH(687,'Data Source'!$T:$T,0)),"")</f>
        <v/>
      </c>
    </row>
    <row r="690">
      <c r="A690" s="3">
        <f>IFERROR(IF(COUNTIF('Data Source'!$T:$T,688)&gt;0,688,""),"")</f>
        <v/>
      </c>
      <c r="B690">
        <f>IFERROR(INDEX('Data Source'!$B:$B,MATCH(688,'Data Source'!$T:$T,0)),"")</f>
        <v/>
      </c>
      <c r="C690" s="3">
        <f>IFERROR(INDEX('Data Source'!$P:$P,MATCH(688,'Data Source'!$T:$T,0)),"")</f>
        <v/>
      </c>
      <c r="D690" s="5">
        <f>IFERROR(INDEX('Data Source'!$Q:$Q,MATCH(688,'Data Source'!$T:$T,0)),"")</f>
        <v/>
      </c>
      <c r="E690" s="5">
        <f>IFERROR(INDEX('Data Source'!$R:$R,MATCH(688,'Data Source'!$T:$T,0)),"")</f>
        <v/>
      </c>
      <c r="F690" s="3">
        <f>IFERROR(INDEX('Data Source'!$S:$S,MATCH(688,'Data Source'!$T:$T,0)),"")</f>
        <v/>
      </c>
    </row>
    <row r="691">
      <c r="A691" s="3">
        <f>IFERROR(IF(COUNTIF('Data Source'!$T:$T,689)&gt;0,689,""),"")</f>
        <v/>
      </c>
      <c r="B691">
        <f>IFERROR(INDEX('Data Source'!$B:$B,MATCH(689,'Data Source'!$T:$T,0)),"")</f>
        <v/>
      </c>
      <c r="C691" s="3">
        <f>IFERROR(INDEX('Data Source'!$P:$P,MATCH(689,'Data Source'!$T:$T,0)),"")</f>
        <v/>
      </c>
      <c r="D691" s="5">
        <f>IFERROR(INDEX('Data Source'!$Q:$Q,MATCH(689,'Data Source'!$T:$T,0)),"")</f>
        <v/>
      </c>
      <c r="E691" s="5">
        <f>IFERROR(INDEX('Data Source'!$R:$R,MATCH(689,'Data Source'!$T:$T,0)),"")</f>
        <v/>
      </c>
      <c r="F691" s="3">
        <f>IFERROR(INDEX('Data Source'!$S:$S,MATCH(689,'Data Source'!$T:$T,0)),"")</f>
        <v/>
      </c>
    </row>
    <row r="692">
      <c r="A692" s="3">
        <f>IFERROR(IF(COUNTIF('Data Source'!$T:$T,690)&gt;0,690,""),"")</f>
        <v/>
      </c>
      <c r="B692">
        <f>IFERROR(INDEX('Data Source'!$B:$B,MATCH(690,'Data Source'!$T:$T,0)),"")</f>
        <v/>
      </c>
      <c r="C692" s="3">
        <f>IFERROR(INDEX('Data Source'!$P:$P,MATCH(690,'Data Source'!$T:$T,0)),"")</f>
        <v/>
      </c>
      <c r="D692" s="5">
        <f>IFERROR(INDEX('Data Source'!$Q:$Q,MATCH(690,'Data Source'!$T:$T,0)),"")</f>
        <v/>
      </c>
      <c r="E692" s="5">
        <f>IFERROR(INDEX('Data Source'!$R:$R,MATCH(690,'Data Source'!$T:$T,0)),"")</f>
        <v/>
      </c>
      <c r="F692" s="3">
        <f>IFERROR(INDEX('Data Source'!$S:$S,MATCH(690,'Data Source'!$T:$T,0)),"")</f>
        <v/>
      </c>
    </row>
    <row r="693">
      <c r="A693" s="3">
        <f>IFERROR(IF(COUNTIF('Data Source'!$T:$T,691)&gt;0,691,""),"")</f>
        <v/>
      </c>
      <c r="B693">
        <f>IFERROR(INDEX('Data Source'!$B:$B,MATCH(691,'Data Source'!$T:$T,0)),"")</f>
        <v/>
      </c>
      <c r="C693" s="3">
        <f>IFERROR(INDEX('Data Source'!$P:$P,MATCH(691,'Data Source'!$T:$T,0)),"")</f>
        <v/>
      </c>
      <c r="D693" s="5">
        <f>IFERROR(INDEX('Data Source'!$Q:$Q,MATCH(691,'Data Source'!$T:$T,0)),"")</f>
        <v/>
      </c>
      <c r="E693" s="5">
        <f>IFERROR(INDEX('Data Source'!$R:$R,MATCH(691,'Data Source'!$T:$T,0)),"")</f>
        <v/>
      </c>
      <c r="F693" s="3">
        <f>IFERROR(INDEX('Data Source'!$S:$S,MATCH(691,'Data Source'!$T:$T,0)),"")</f>
        <v/>
      </c>
    </row>
    <row r="694">
      <c r="A694" s="3">
        <f>IFERROR(IF(COUNTIF('Data Source'!$T:$T,692)&gt;0,692,""),"")</f>
        <v/>
      </c>
      <c r="B694">
        <f>IFERROR(INDEX('Data Source'!$B:$B,MATCH(692,'Data Source'!$T:$T,0)),"")</f>
        <v/>
      </c>
      <c r="C694" s="3">
        <f>IFERROR(INDEX('Data Source'!$P:$P,MATCH(692,'Data Source'!$T:$T,0)),"")</f>
        <v/>
      </c>
      <c r="D694" s="5">
        <f>IFERROR(INDEX('Data Source'!$Q:$Q,MATCH(692,'Data Source'!$T:$T,0)),"")</f>
        <v/>
      </c>
      <c r="E694" s="5">
        <f>IFERROR(INDEX('Data Source'!$R:$R,MATCH(692,'Data Source'!$T:$T,0)),"")</f>
        <v/>
      </c>
      <c r="F694" s="3">
        <f>IFERROR(INDEX('Data Source'!$S:$S,MATCH(692,'Data Source'!$T:$T,0)),"")</f>
        <v/>
      </c>
    </row>
    <row r="695">
      <c r="A695" s="3">
        <f>IFERROR(IF(COUNTIF('Data Source'!$T:$T,693)&gt;0,693,""),"")</f>
        <v/>
      </c>
      <c r="B695">
        <f>IFERROR(INDEX('Data Source'!$B:$B,MATCH(693,'Data Source'!$T:$T,0)),"")</f>
        <v/>
      </c>
      <c r="C695" s="3">
        <f>IFERROR(INDEX('Data Source'!$P:$P,MATCH(693,'Data Source'!$T:$T,0)),"")</f>
        <v/>
      </c>
      <c r="D695" s="5">
        <f>IFERROR(INDEX('Data Source'!$Q:$Q,MATCH(693,'Data Source'!$T:$T,0)),"")</f>
        <v/>
      </c>
      <c r="E695" s="5">
        <f>IFERROR(INDEX('Data Source'!$R:$R,MATCH(693,'Data Source'!$T:$T,0)),"")</f>
        <v/>
      </c>
      <c r="F695" s="3">
        <f>IFERROR(INDEX('Data Source'!$S:$S,MATCH(693,'Data Source'!$T:$T,0)),"")</f>
        <v/>
      </c>
    </row>
    <row r="696">
      <c r="A696" s="3">
        <f>IFERROR(IF(COUNTIF('Data Source'!$T:$T,694)&gt;0,694,""),"")</f>
        <v/>
      </c>
      <c r="B696">
        <f>IFERROR(INDEX('Data Source'!$B:$B,MATCH(694,'Data Source'!$T:$T,0)),"")</f>
        <v/>
      </c>
      <c r="C696" s="3">
        <f>IFERROR(INDEX('Data Source'!$P:$P,MATCH(694,'Data Source'!$T:$T,0)),"")</f>
        <v/>
      </c>
      <c r="D696" s="5">
        <f>IFERROR(INDEX('Data Source'!$Q:$Q,MATCH(694,'Data Source'!$T:$T,0)),"")</f>
        <v/>
      </c>
      <c r="E696" s="5">
        <f>IFERROR(INDEX('Data Source'!$R:$R,MATCH(694,'Data Source'!$T:$T,0)),"")</f>
        <v/>
      </c>
      <c r="F696" s="3">
        <f>IFERROR(INDEX('Data Source'!$S:$S,MATCH(694,'Data Source'!$T:$T,0)),"")</f>
        <v/>
      </c>
    </row>
    <row r="697">
      <c r="A697" s="3">
        <f>IFERROR(IF(COUNTIF('Data Source'!$T:$T,695)&gt;0,695,""),"")</f>
        <v/>
      </c>
      <c r="B697">
        <f>IFERROR(INDEX('Data Source'!$B:$B,MATCH(695,'Data Source'!$T:$T,0)),"")</f>
        <v/>
      </c>
      <c r="C697" s="3">
        <f>IFERROR(INDEX('Data Source'!$P:$P,MATCH(695,'Data Source'!$T:$T,0)),"")</f>
        <v/>
      </c>
      <c r="D697" s="5">
        <f>IFERROR(INDEX('Data Source'!$Q:$Q,MATCH(695,'Data Source'!$T:$T,0)),"")</f>
        <v/>
      </c>
      <c r="E697" s="5">
        <f>IFERROR(INDEX('Data Source'!$R:$R,MATCH(695,'Data Source'!$T:$T,0)),"")</f>
        <v/>
      </c>
      <c r="F697" s="3">
        <f>IFERROR(INDEX('Data Source'!$S:$S,MATCH(695,'Data Source'!$T:$T,0)),"")</f>
        <v/>
      </c>
    </row>
    <row r="698">
      <c r="A698" s="3">
        <f>IFERROR(IF(COUNTIF('Data Source'!$T:$T,696)&gt;0,696,""),"")</f>
        <v/>
      </c>
      <c r="B698">
        <f>IFERROR(INDEX('Data Source'!$B:$B,MATCH(696,'Data Source'!$T:$T,0)),"")</f>
        <v/>
      </c>
      <c r="C698" s="3">
        <f>IFERROR(INDEX('Data Source'!$P:$P,MATCH(696,'Data Source'!$T:$T,0)),"")</f>
        <v/>
      </c>
      <c r="D698" s="5">
        <f>IFERROR(INDEX('Data Source'!$Q:$Q,MATCH(696,'Data Source'!$T:$T,0)),"")</f>
        <v/>
      </c>
      <c r="E698" s="5">
        <f>IFERROR(INDEX('Data Source'!$R:$R,MATCH(696,'Data Source'!$T:$T,0)),"")</f>
        <v/>
      </c>
      <c r="F698" s="3">
        <f>IFERROR(INDEX('Data Source'!$S:$S,MATCH(696,'Data Source'!$T:$T,0)),"")</f>
        <v/>
      </c>
    </row>
    <row r="699">
      <c r="A699" s="3">
        <f>IFERROR(IF(COUNTIF('Data Source'!$T:$T,697)&gt;0,697,""),"")</f>
        <v/>
      </c>
      <c r="B699">
        <f>IFERROR(INDEX('Data Source'!$B:$B,MATCH(697,'Data Source'!$T:$T,0)),"")</f>
        <v/>
      </c>
      <c r="C699" s="3">
        <f>IFERROR(INDEX('Data Source'!$P:$P,MATCH(697,'Data Source'!$T:$T,0)),"")</f>
        <v/>
      </c>
      <c r="D699" s="5">
        <f>IFERROR(INDEX('Data Source'!$Q:$Q,MATCH(697,'Data Source'!$T:$T,0)),"")</f>
        <v/>
      </c>
      <c r="E699" s="5">
        <f>IFERROR(INDEX('Data Source'!$R:$R,MATCH(697,'Data Source'!$T:$T,0)),"")</f>
        <v/>
      </c>
      <c r="F699" s="3">
        <f>IFERROR(INDEX('Data Source'!$S:$S,MATCH(697,'Data Source'!$T:$T,0)),"")</f>
        <v/>
      </c>
    </row>
    <row r="700">
      <c r="A700" s="3">
        <f>IFERROR(IF(COUNTIF('Data Source'!$T:$T,698)&gt;0,698,""),"")</f>
        <v/>
      </c>
      <c r="B700">
        <f>IFERROR(INDEX('Data Source'!$B:$B,MATCH(698,'Data Source'!$T:$T,0)),"")</f>
        <v/>
      </c>
      <c r="C700" s="3">
        <f>IFERROR(INDEX('Data Source'!$P:$P,MATCH(698,'Data Source'!$T:$T,0)),"")</f>
        <v/>
      </c>
      <c r="D700" s="5">
        <f>IFERROR(INDEX('Data Source'!$Q:$Q,MATCH(698,'Data Source'!$T:$T,0)),"")</f>
        <v/>
      </c>
      <c r="E700" s="5">
        <f>IFERROR(INDEX('Data Source'!$R:$R,MATCH(698,'Data Source'!$T:$T,0)),"")</f>
        <v/>
      </c>
      <c r="F700" s="3">
        <f>IFERROR(INDEX('Data Source'!$S:$S,MATCH(698,'Data Source'!$T:$T,0)),"")</f>
        <v/>
      </c>
    </row>
    <row r="701">
      <c r="A701" s="3">
        <f>IFERROR(IF(COUNTIF('Data Source'!$T:$T,699)&gt;0,699,""),"")</f>
        <v/>
      </c>
      <c r="B701">
        <f>IFERROR(INDEX('Data Source'!$B:$B,MATCH(699,'Data Source'!$T:$T,0)),"")</f>
        <v/>
      </c>
      <c r="C701" s="3">
        <f>IFERROR(INDEX('Data Source'!$P:$P,MATCH(699,'Data Source'!$T:$T,0)),"")</f>
        <v/>
      </c>
      <c r="D701" s="5">
        <f>IFERROR(INDEX('Data Source'!$Q:$Q,MATCH(699,'Data Source'!$T:$T,0)),"")</f>
        <v/>
      </c>
      <c r="E701" s="5">
        <f>IFERROR(INDEX('Data Source'!$R:$R,MATCH(699,'Data Source'!$T:$T,0)),"")</f>
        <v/>
      </c>
      <c r="F701" s="3">
        <f>IFERROR(INDEX('Data Source'!$S:$S,MATCH(699,'Data Source'!$T:$T,0)),"")</f>
        <v/>
      </c>
    </row>
    <row r="702">
      <c r="A702" s="3">
        <f>IFERROR(IF(COUNTIF('Data Source'!$T:$T,700)&gt;0,700,""),"")</f>
        <v/>
      </c>
      <c r="B702">
        <f>IFERROR(INDEX('Data Source'!$B:$B,MATCH(700,'Data Source'!$T:$T,0)),"")</f>
        <v/>
      </c>
      <c r="C702" s="3">
        <f>IFERROR(INDEX('Data Source'!$P:$P,MATCH(700,'Data Source'!$T:$T,0)),"")</f>
        <v/>
      </c>
      <c r="D702" s="5">
        <f>IFERROR(INDEX('Data Source'!$Q:$Q,MATCH(700,'Data Source'!$T:$T,0)),"")</f>
        <v/>
      </c>
      <c r="E702" s="5">
        <f>IFERROR(INDEX('Data Source'!$R:$R,MATCH(700,'Data Source'!$T:$T,0)),"")</f>
        <v/>
      </c>
      <c r="F702" s="3">
        <f>IFERROR(INDEX('Data Source'!$S:$S,MATCH(700,'Data Source'!$T:$T,0)),"")</f>
        <v/>
      </c>
    </row>
    <row r="703">
      <c r="A703" s="3">
        <f>IFERROR(IF(COUNTIF('Data Source'!$T:$T,701)&gt;0,701,""),"")</f>
        <v/>
      </c>
      <c r="B703">
        <f>IFERROR(INDEX('Data Source'!$B:$B,MATCH(701,'Data Source'!$T:$T,0)),"")</f>
        <v/>
      </c>
      <c r="C703" s="3">
        <f>IFERROR(INDEX('Data Source'!$P:$P,MATCH(701,'Data Source'!$T:$T,0)),"")</f>
        <v/>
      </c>
      <c r="D703" s="5">
        <f>IFERROR(INDEX('Data Source'!$Q:$Q,MATCH(701,'Data Source'!$T:$T,0)),"")</f>
        <v/>
      </c>
      <c r="E703" s="5">
        <f>IFERROR(INDEX('Data Source'!$R:$R,MATCH(701,'Data Source'!$T:$T,0)),"")</f>
        <v/>
      </c>
      <c r="F703" s="3">
        <f>IFERROR(INDEX('Data Source'!$S:$S,MATCH(701,'Data Source'!$T:$T,0)),"")</f>
        <v/>
      </c>
    </row>
    <row r="704">
      <c r="A704" s="3">
        <f>IFERROR(IF(COUNTIF('Data Source'!$T:$T,702)&gt;0,702,""),"")</f>
        <v/>
      </c>
      <c r="B704">
        <f>IFERROR(INDEX('Data Source'!$B:$B,MATCH(702,'Data Source'!$T:$T,0)),"")</f>
        <v/>
      </c>
      <c r="C704" s="3">
        <f>IFERROR(INDEX('Data Source'!$P:$P,MATCH(702,'Data Source'!$T:$T,0)),"")</f>
        <v/>
      </c>
      <c r="D704" s="5">
        <f>IFERROR(INDEX('Data Source'!$Q:$Q,MATCH(702,'Data Source'!$T:$T,0)),"")</f>
        <v/>
      </c>
      <c r="E704" s="5">
        <f>IFERROR(INDEX('Data Source'!$R:$R,MATCH(702,'Data Source'!$T:$T,0)),"")</f>
        <v/>
      </c>
      <c r="F704" s="3">
        <f>IFERROR(INDEX('Data Source'!$S:$S,MATCH(702,'Data Source'!$T:$T,0)),"")</f>
        <v/>
      </c>
    </row>
    <row r="705">
      <c r="A705" s="3">
        <f>IFERROR(IF(COUNTIF('Data Source'!$T:$T,703)&gt;0,703,""),"")</f>
        <v/>
      </c>
      <c r="B705">
        <f>IFERROR(INDEX('Data Source'!$B:$B,MATCH(703,'Data Source'!$T:$T,0)),"")</f>
        <v/>
      </c>
      <c r="C705" s="3">
        <f>IFERROR(INDEX('Data Source'!$P:$P,MATCH(703,'Data Source'!$T:$T,0)),"")</f>
        <v/>
      </c>
      <c r="D705" s="5">
        <f>IFERROR(INDEX('Data Source'!$Q:$Q,MATCH(703,'Data Source'!$T:$T,0)),"")</f>
        <v/>
      </c>
      <c r="E705" s="5">
        <f>IFERROR(INDEX('Data Source'!$R:$R,MATCH(703,'Data Source'!$T:$T,0)),"")</f>
        <v/>
      </c>
      <c r="F705" s="3">
        <f>IFERROR(INDEX('Data Source'!$S:$S,MATCH(703,'Data Source'!$T:$T,0)),"")</f>
        <v/>
      </c>
    </row>
    <row r="706">
      <c r="A706" s="3">
        <f>IFERROR(IF(COUNTIF('Data Source'!$T:$T,704)&gt;0,704,""),"")</f>
        <v/>
      </c>
      <c r="B706">
        <f>IFERROR(INDEX('Data Source'!$B:$B,MATCH(704,'Data Source'!$T:$T,0)),"")</f>
        <v/>
      </c>
      <c r="C706" s="3">
        <f>IFERROR(INDEX('Data Source'!$P:$P,MATCH(704,'Data Source'!$T:$T,0)),"")</f>
        <v/>
      </c>
      <c r="D706" s="5">
        <f>IFERROR(INDEX('Data Source'!$Q:$Q,MATCH(704,'Data Source'!$T:$T,0)),"")</f>
        <v/>
      </c>
      <c r="E706" s="5">
        <f>IFERROR(INDEX('Data Source'!$R:$R,MATCH(704,'Data Source'!$T:$T,0)),"")</f>
        <v/>
      </c>
      <c r="F706" s="3">
        <f>IFERROR(INDEX('Data Source'!$S:$S,MATCH(704,'Data Source'!$T:$T,0)),"")</f>
        <v/>
      </c>
    </row>
    <row r="707">
      <c r="A707" s="3">
        <f>IFERROR(IF(COUNTIF('Data Source'!$T:$T,705)&gt;0,705,""),"")</f>
        <v/>
      </c>
      <c r="B707">
        <f>IFERROR(INDEX('Data Source'!$B:$B,MATCH(705,'Data Source'!$T:$T,0)),"")</f>
        <v/>
      </c>
      <c r="C707" s="3">
        <f>IFERROR(INDEX('Data Source'!$P:$P,MATCH(705,'Data Source'!$T:$T,0)),"")</f>
        <v/>
      </c>
      <c r="D707" s="5">
        <f>IFERROR(INDEX('Data Source'!$Q:$Q,MATCH(705,'Data Source'!$T:$T,0)),"")</f>
        <v/>
      </c>
      <c r="E707" s="5">
        <f>IFERROR(INDEX('Data Source'!$R:$R,MATCH(705,'Data Source'!$T:$T,0)),"")</f>
        <v/>
      </c>
      <c r="F707" s="3">
        <f>IFERROR(INDEX('Data Source'!$S:$S,MATCH(705,'Data Source'!$T:$T,0)),"")</f>
        <v/>
      </c>
    </row>
    <row r="708">
      <c r="A708" s="3">
        <f>IFERROR(IF(COUNTIF('Data Source'!$T:$T,706)&gt;0,706,""),"")</f>
        <v/>
      </c>
      <c r="B708">
        <f>IFERROR(INDEX('Data Source'!$B:$B,MATCH(706,'Data Source'!$T:$T,0)),"")</f>
        <v/>
      </c>
      <c r="C708" s="3">
        <f>IFERROR(INDEX('Data Source'!$P:$P,MATCH(706,'Data Source'!$T:$T,0)),"")</f>
        <v/>
      </c>
      <c r="D708" s="5">
        <f>IFERROR(INDEX('Data Source'!$Q:$Q,MATCH(706,'Data Source'!$T:$T,0)),"")</f>
        <v/>
      </c>
      <c r="E708" s="5">
        <f>IFERROR(INDEX('Data Source'!$R:$R,MATCH(706,'Data Source'!$T:$T,0)),"")</f>
        <v/>
      </c>
      <c r="F708" s="3">
        <f>IFERROR(INDEX('Data Source'!$S:$S,MATCH(706,'Data Source'!$T:$T,0)),"")</f>
        <v/>
      </c>
    </row>
    <row r="709">
      <c r="A709" s="3">
        <f>IFERROR(IF(COUNTIF('Data Source'!$T:$T,707)&gt;0,707,""),"")</f>
        <v/>
      </c>
      <c r="B709">
        <f>IFERROR(INDEX('Data Source'!$B:$B,MATCH(707,'Data Source'!$T:$T,0)),"")</f>
        <v/>
      </c>
      <c r="C709" s="3">
        <f>IFERROR(INDEX('Data Source'!$P:$P,MATCH(707,'Data Source'!$T:$T,0)),"")</f>
        <v/>
      </c>
      <c r="D709" s="5">
        <f>IFERROR(INDEX('Data Source'!$Q:$Q,MATCH(707,'Data Source'!$T:$T,0)),"")</f>
        <v/>
      </c>
      <c r="E709" s="5">
        <f>IFERROR(INDEX('Data Source'!$R:$R,MATCH(707,'Data Source'!$T:$T,0)),"")</f>
        <v/>
      </c>
      <c r="F709" s="3">
        <f>IFERROR(INDEX('Data Source'!$S:$S,MATCH(707,'Data Source'!$T:$T,0)),"")</f>
        <v/>
      </c>
    </row>
    <row r="710">
      <c r="A710" s="3">
        <f>IFERROR(IF(COUNTIF('Data Source'!$T:$T,708)&gt;0,708,""),"")</f>
        <v/>
      </c>
      <c r="B710">
        <f>IFERROR(INDEX('Data Source'!$B:$B,MATCH(708,'Data Source'!$T:$T,0)),"")</f>
        <v/>
      </c>
      <c r="C710" s="3">
        <f>IFERROR(INDEX('Data Source'!$P:$P,MATCH(708,'Data Source'!$T:$T,0)),"")</f>
        <v/>
      </c>
      <c r="D710" s="5">
        <f>IFERROR(INDEX('Data Source'!$Q:$Q,MATCH(708,'Data Source'!$T:$T,0)),"")</f>
        <v/>
      </c>
      <c r="E710" s="5">
        <f>IFERROR(INDEX('Data Source'!$R:$R,MATCH(708,'Data Source'!$T:$T,0)),"")</f>
        <v/>
      </c>
      <c r="F710" s="3">
        <f>IFERROR(INDEX('Data Source'!$S:$S,MATCH(708,'Data Source'!$T:$T,0)),"")</f>
        <v/>
      </c>
    </row>
    <row r="711">
      <c r="A711" s="3">
        <f>IFERROR(IF(COUNTIF('Data Source'!$T:$T,709)&gt;0,709,""),"")</f>
        <v/>
      </c>
      <c r="B711">
        <f>IFERROR(INDEX('Data Source'!$B:$B,MATCH(709,'Data Source'!$T:$T,0)),"")</f>
        <v/>
      </c>
      <c r="C711" s="3">
        <f>IFERROR(INDEX('Data Source'!$P:$P,MATCH(709,'Data Source'!$T:$T,0)),"")</f>
        <v/>
      </c>
      <c r="D711" s="5">
        <f>IFERROR(INDEX('Data Source'!$Q:$Q,MATCH(709,'Data Source'!$T:$T,0)),"")</f>
        <v/>
      </c>
      <c r="E711" s="5">
        <f>IFERROR(INDEX('Data Source'!$R:$R,MATCH(709,'Data Source'!$T:$T,0)),"")</f>
        <v/>
      </c>
      <c r="F711" s="3">
        <f>IFERROR(INDEX('Data Source'!$S:$S,MATCH(709,'Data Source'!$T:$T,0)),"")</f>
        <v/>
      </c>
    </row>
    <row r="712">
      <c r="A712" s="3">
        <f>IFERROR(IF(COUNTIF('Data Source'!$T:$T,710)&gt;0,710,""),"")</f>
        <v/>
      </c>
      <c r="B712">
        <f>IFERROR(INDEX('Data Source'!$B:$B,MATCH(710,'Data Source'!$T:$T,0)),"")</f>
        <v/>
      </c>
      <c r="C712" s="3">
        <f>IFERROR(INDEX('Data Source'!$P:$P,MATCH(710,'Data Source'!$T:$T,0)),"")</f>
        <v/>
      </c>
      <c r="D712" s="5">
        <f>IFERROR(INDEX('Data Source'!$Q:$Q,MATCH(710,'Data Source'!$T:$T,0)),"")</f>
        <v/>
      </c>
      <c r="E712" s="5">
        <f>IFERROR(INDEX('Data Source'!$R:$R,MATCH(710,'Data Source'!$T:$T,0)),"")</f>
        <v/>
      </c>
      <c r="F712" s="3">
        <f>IFERROR(INDEX('Data Source'!$S:$S,MATCH(710,'Data Source'!$T:$T,0)),"")</f>
        <v/>
      </c>
    </row>
    <row r="713">
      <c r="A713" s="3">
        <f>IFERROR(IF(COUNTIF('Data Source'!$T:$T,711)&gt;0,711,""),"")</f>
        <v/>
      </c>
      <c r="B713">
        <f>IFERROR(INDEX('Data Source'!$B:$B,MATCH(711,'Data Source'!$T:$T,0)),"")</f>
        <v/>
      </c>
      <c r="C713" s="3">
        <f>IFERROR(INDEX('Data Source'!$P:$P,MATCH(711,'Data Source'!$T:$T,0)),"")</f>
        <v/>
      </c>
      <c r="D713" s="5">
        <f>IFERROR(INDEX('Data Source'!$Q:$Q,MATCH(711,'Data Source'!$T:$T,0)),"")</f>
        <v/>
      </c>
      <c r="E713" s="5">
        <f>IFERROR(INDEX('Data Source'!$R:$R,MATCH(711,'Data Source'!$T:$T,0)),"")</f>
        <v/>
      </c>
      <c r="F713" s="3">
        <f>IFERROR(INDEX('Data Source'!$S:$S,MATCH(711,'Data Source'!$T:$T,0)),"")</f>
        <v/>
      </c>
    </row>
    <row r="714">
      <c r="A714" s="3">
        <f>IFERROR(IF(COUNTIF('Data Source'!$T:$T,712)&gt;0,712,""),"")</f>
        <v/>
      </c>
      <c r="B714">
        <f>IFERROR(INDEX('Data Source'!$B:$B,MATCH(712,'Data Source'!$T:$T,0)),"")</f>
        <v/>
      </c>
      <c r="C714" s="3">
        <f>IFERROR(INDEX('Data Source'!$P:$P,MATCH(712,'Data Source'!$T:$T,0)),"")</f>
        <v/>
      </c>
      <c r="D714" s="5">
        <f>IFERROR(INDEX('Data Source'!$Q:$Q,MATCH(712,'Data Source'!$T:$T,0)),"")</f>
        <v/>
      </c>
      <c r="E714" s="5">
        <f>IFERROR(INDEX('Data Source'!$R:$R,MATCH(712,'Data Source'!$T:$T,0)),"")</f>
        <v/>
      </c>
      <c r="F714" s="3">
        <f>IFERROR(INDEX('Data Source'!$S:$S,MATCH(712,'Data Source'!$T:$T,0)),"")</f>
        <v/>
      </c>
    </row>
    <row r="715">
      <c r="A715" s="3">
        <f>IFERROR(IF(COUNTIF('Data Source'!$T:$T,713)&gt;0,713,""),"")</f>
        <v/>
      </c>
      <c r="B715">
        <f>IFERROR(INDEX('Data Source'!$B:$B,MATCH(713,'Data Source'!$T:$T,0)),"")</f>
        <v/>
      </c>
      <c r="C715" s="3">
        <f>IFERROR(INDEX('Data Source'!$P:$P,MATCH(713,'Data Source'!$T:$T,0)),"")</f>
        <v/>
      </c>
      <c r="D715" s="5">
        <f>IFERROR(INDEX('Data Source'!$Q:$Q,MATCH(713,'Data Source'!$T:$T,0)),"")</f>
        <v/>
      </c>
      <c r="E715" s="5">
        <f>IFERROR(INDEX('Data Source'!$R:$R,MATCH(713,'Data Source'!$T:$T,0)),"")</f>
        <v/>
      </c>
      <c r="F715" s="3">
        <f>IFERROR(INDEX('Data Source'!$S:$S,MATCH(713,'Data Source'!$T:$T,0)),"")</f>
        <v/>
      </c>
    </row>
    <row r="716">
      <c r="A716" s="3">
        <f>IFERROR(IF(COUNTIF('Data Source'!$T:$T,714)&gt;0,714,""),"")</f>
        <v/>
      </c>
      <c r="B716">
        <f>IFERROR(INDEX('Data Source'!$B:$B,MATCH(714,'Data Source'!$T:$T,0)),"")</f>
        <v/>
      </c>
      <c r="C716" s="3">
        <f>IFERROR(INDEX('Data Source'!$P:$P,MATCH(714,'Data Source'!$T:$T,0)),"")</f>
        <v/>
      </c>
      <c r="D716" s="5">
        <f>IFERROR(INDEX('Data Source'!$Q:$Q,MATCH(714,'Data Source'!$T:$T,0)),"")</f>
        <v/>
      </c>
      <c r="E716" s="5">
        <f>IFERROR(INDEX('Data Source'!$R:$R,MATCH(714,'Data Source'!$T:$T,0)),"")</f>
        <v/>
      </c>
      <c r="F716" s="3">
        <f>IFERROR(INDEX('Data Source'!$S:$S,MATCH(714,'Data Source'!$T:$T,0)),"")</f>
        <v/>
      </c>
    </row>
    <row r="717">
      <c r="A717" s="3">
        <f>IFERROR(IF(COUNTIF('Data Source'!$T:$T,715)&gt;0,715,""),"")</f>
        <v/>
      </c>
      <c r="B717">
        <f>IFERROR(INDEX('Data Source'!$B:$B,MATCH(715,'Data Source'!$T:$T,0)),"")</f>
        <v/>
      </c>
      <c r="C717" s="3">
        <f>IFERROR(INDEX('Data Source'!$P:$P,MATCH(715,'Data Source'!$T:$T,0)),"")</f>
        <v/>
      </c>
      <c r="D717" s="5">
        <f>IFERROR(INDEX('Data Source'!$Q:$Q,MATCH(715,'Data Source'!$T:$T,0)),"")</f>
        <v/>
      </c>
      <c r="E717" s="5">
        <f>IFERROR(INDEX('Data Source'!$R:$R,MATCH(715,'Data Source'!$T:$T,0)),"")</f>
        <v/>
      </c>
      <c r="F717" s="3">
        <f>IFERROR(INDEX('Data Source'!$S:$S,MATCH(715,'Data Source'!$T:$T,0)),"")</f>
        <v/>
      </c>
    </row>
    <row r="718">
      <c r="A718" s="3">
        <f>IFERROR(IF(COUNTIF('Data Source'!$T:$T,716)&gt;0,716,""),"")</f>
        <v/>
      </c>
      <c r="B718">
        <f>IFERROR(INDEX('Data Source'!$B:$B,MATCH(716,'Data Source'!$T:$T,0)),"")</f>
        <v/>
      </c>
      <c r="C718" s="3">
        <f>IFERROR(INDEX('Data Source'!$P:$P,MATCH(716,'Data Source'!$T:$T,0)),"")</f>
        <v/>
      </c>
      <c r="D718" s="5">
        <f>IFERROR(INDEX('Data Source'!$Q:$Q,MATCH(716,'Data Source'!$T:$T,0)),"")</f>
        <v/>
      </c>
      <c r="E718" s="5">
        <f>IFERROR(INDEX('Data Source'!$R:$R,MATCH(716,'Data Source'!$T:$T,0)),"")</f>
        <v/>
      </c>
      <c r="F718" s="3">
        <f>IFERROR(INDEX('Data Source'!$S:$S,MATCH(716,'Data Source'!$T:$T,0)),"")</f>
        <v/>
      </c>
    </row>
    <row r="719">
      <c r="A719" s="3">
        <f>IFERROR(IF(COUNTIF('Data Source'!$T:$T,717)&gt;0,717,""),"")</f>
        <v/>
      </c>
      <c r="B719">
        <f>IFERROR(INDEX('Data Source'!$B:$B,MATCH(717,'Data Source'!$T:$T,0)),"")</f>
        <v/>
      </c>
      <c r="C719" s="3">
        <f>IFERROR(INDEX('Data Source'!$P:$P,MATCH(717,'Data Source'!$T:$T,0)),"")</f>
        <v/>
      </c>
      <c r="D719" s="5">
        <f>IFERROR(INDEX('Data Source'!$Q:$Q,MATCH(717,'Data Source'!$T:$T,0)),"")</f>
        <v/>
      </c>
      <c r="E719" s="5">
        <f>IFERROR(INDEX('Data Source'!$R:$R,MATCH(717,'Data Source'!$T:$T,0)),"")</f>
        <v/>
      </c>
      <c r="F719" s="3">
        <f>IFERROR(INDEX('Data Source'!$S:$S,MATCH(717,'Data Source'!$T:$T,0)),"")</f>
        <v/>
      </c>
    </row>
    <row r="720">
      <c r="A720" s="3">
        <f>IFERROR(IF(COUNTIF('Data Source'!$T:$T,718)&gt;0,718,""),"")</f>
        <v/>
      </c>
      <c r="B720">
        <f>IFERROR(INDEX('Data Source'!$B:$B,MATCH(718,'Data Source'!$T:$T,0)),"")</f>
        <v/>
      </c>
      <c r="C720" s="3">
        <f>IFERROR(INDEX('Data Source'!$P:$P,MATCH(718,'Data Source'!$T:$T,0)),"")</f>
        <v/>
      </c>
      <c r="D720" s="5">
        <f>IFERROR(INDEX('Data Source'!$Q:$Q,MATCH(718,'Data Source'!$T:$T,0)),"")</f>
        <v/>
      </c>
      <c r="E720" s="5">
        <f>IFERROR(INDEX('Data Source'!$R:$R,MATCH(718,'Data Source'!$T:$T,0)),"")</f>
        <v/>
      </c>
      <c r="F720" s="3">
        <f>IFERROR(INDEX('Data Source'!$S:$S,MATCH(718,'Data Source'!$T:$T,0)),"")</f>
        <v/>
      </c>
    </row>
    <row r="721">
      <c r="A721" s="3">
        <f>IFERROR(IF(COUNTIF('Data Source'!$T:$T,719)&gt;0,719,""),"")</f>
        <v/>
      </c>
      <c r="B721">
        <f>IFERROR(INDEX('Data Source'!$B:$B,MATCH(719,'Data Source'!$T:$T,0)),"")</f>
        <v/>
      </c>
      <c r="C721" s="3">
        <f>IFERROR(INDEX('Data Source'!$P:$P,MATCH(719,'Data Source'!$T:$T,0)),"")</f>
        <v/>
      </c>
      <c r="D721" s="5">
        <f>IFERROR(INDEX('Data Source'!$Q:$Q,MATCH(719,'Data Source'!$T:$T,0)),"")</f>
        <v/>
      </c>
      <c r="E721" s="5">
        <f>IFERROR(INDEX('Data Source'!$R:$R,MATCH(719,'Data Source'!$T:$T,0)),"")</f>
        <v/>
      </c>
      <c r="F721" s="3">
        <f>IFERROR(INDEX('Data Source'!$S:$S,MATCH(719,'Data Source'!$T:$T,0)),"")</f>
        <v/>
      </c>
    </row>
    <row r="722">
      <c r="A722" s="3">
        <f>IFERROR(IF(COUNTIF('Data Source'!$T:$T,720)&gt;0,720,""),"")</f>
        <v/>
      </c>
      <c r="B722">
        <f>IFERROR(INDEX('Data Source'!$B:$B,MATCH(720,'Data Source'!$T:$T,0)),"")</f>
        <v/>
      </c>
      <c r="C722" s="3">
        <f>IFERROR(INDEX('Data Source'!$P:$P,MATCH(720,'Data Source'!$T:$T,0)),"")</f>
        <v/>
      </c>
      <c r="D722" s="5">
        <f>IFERROR(INDEX('Data Source'!$Q:$Q,MATCH(720,'Data Source'!$T:$T,0)),"")</f>
        <v/>
      </c>
      <c r="E722" s="5">
        <f>IFERROR(INDEX('Data Source'!$R:$R,MATCH(720,'Data Source'!$T:$T,0)),"")</f>
        <v/>
      </c>
      <c r="F722" s="3">
        <f>IFERROR(INDEX('Data Source'!$S:$S,MATCH(720,'Data Source'!$T:$T,0)),"")</f>
        <v/>
      </c>
    </row>
    <row r="723">
      <c r="A723" s="3">
        <f>IFERROR(IF(COUNTIF('Data Source'!$T:$T,721)&gt;0,721,""),"")</f>
        <v/>
      </c>
      <c r="B723">
        <f>IFERROR(INDEX('Data Source'!$B:$B,MATCH(721,'Data Source'!$T:$T,0)),"")</f>
        <v/>
      </c>
      <c r="C723" s="3">
        <f>IFERROR(INDEX('Data Source'!$P:$P,MATCH(721,'Data Source'!$T:$T,0)),"")</f>
        <v/>
      </c>
      <c r="D723" s="5">
        <f>IFERROR(INDEX('Data Source'!$Q:$Q,MATCH(721,'Data Source'!$T:$T,0)),"")</f>
        <v/>
      </c>
      <c r="E723" s="5">
        <f>IFERROR(INDEX('Data Source'!$R:$R,MATCH(721,'Data Source'!$T:$T,0)),"")</f>
        <v/>
      </c>
      <c r="F723" s="3">
        <f>IFERROR(INDEX('Data Source'!$S:$S,MATCH(721,'Data Source'!$T:$T,0)),"")</f>
        <v/>
      </c>
    </row>
    <row r="724">
      <c r="A724" s="3">
        <f>IFERROR(IF(COUNTIF('Data Source'!$T:$T,722)&gt;0,722,""),"")</f>
        <v/>
      </c>
      <c r="B724">
        <f>IFERROR(INDEX('Data Source'!$B:$B,MATCH(722,'Data Source'!$T:$T,0)),"")</f>
        <v/>
      </c>
      <c r="C724" s="3">
        <f>IFERROR(INDEX('Data Source'!$P:$P,MATCH(722,'Data Source'!$T:$T,0)),"")</f>
        <v/>
      </c>
      <c r="D724" s="5">
        <f>IFERROR(INDEX('Data Source'!$Q:$Q,MATCH(722,'Data Source'!$T:$T,0)),"")</f>
        <v/>
      </c>
      <c r="E724" s="5">
        <f>IFERROR(INDEX('Data Source'!$R:$R,MATCH(722,'Data Source'!$T:$T,0)),"")</f>
        <v/>
      </c>
      <c r="F724" s="3">
        <f>IFERROR(INDEX('Data Source'!$S:$S,MATCH(722,'Data Source'!$T:$T,0)),"")</f>
        <v/>
      </c>
    </row>
    <row r="725">
      <c r="A725" s="3">
        <f>IFERROR(IF(COUNTIF('Data Source'!$T:$T,723)&gt;0,723,""),"")</f>
        <v/>
      </c>
      <c r="B725">
        <f>IFERROR(INDEX('Data Source'!$B:$B,MATCH(723,'Data Source'!$T:$T,0)),"")</f>
        <v/>
      </c>
      <c r="C725" s="3">
        <f>IFERROR(INDEX('Data Source'!$P:$P,MATCH(723,'Data Source'!$T:$T,0)),"")</f>
        <v/>
      </c>
      <c r="D725" s="5">
        <f>IFERROR(INDEX('Data Source'!$Q:$Q,MATCH(723,'Data Source'!$T:$T,0)),"")</f>
        <v/>
      </c>
      <c r="E725" s="5">
        <f>IFERROR(INDEX('Data Source'!$R:$R,MATCH(723,'Data Source'!$T:$T,0)),"")</f>
        <v/>
      </c>
      <c r="F725" s="3">
        <f>IFERROR(INDEX('Data Source'!$S:$S,MATCH(723,'Data Source'!$T:$T,0)),"")</f>
        <v/>
      </c>
    </row>
    <row r="726">
      <c r="A726" s="3">
        <f>IFERROR(IF(COUNTIF('Data Source'!$T:$T,724)&gt;0,724,""),"")</f>
        <v/>
      </c>
      <c r="B726">
        <f>IFERROR(INDEX('Data Source'!$B:$B,MATCH(724,'Data Source'!$T:$T,0)),"")</f>
        <v/>
      </c>
      <c r="C726" s="3">
        <f>IFERROR(INDEX('Data Source'!$P:$P,MATCH(724,'Data Source'!$T:$T,0)),"")</f>
        <v/>
      </c>
      <c r="D726" s="5">
        <f>IFERROR(INDEX('Data Source'!$Q:$Q,MATCH(724,'Data Source'!$T:$T,0)),"")</f>
        <v/>
      </c>
      <c r="E726" s="5">
        <f>IFERROR(INDEX('Data Source'!$R:$R,MATCH(724,'Data Source'!$T:$T,0)),"")</f>
        <v/>
      </c>
      <c r="F726" s="3">
        <f>IFERROR(INDEX('Data Source'!$S:$S,MATCH(724,'Data Source'!$T:$T,0)),"")</f>
        <v/>
      </c>
    </row>
    <row r="727">
      <c r="A727" s="3">
        <f>IFERROR(IF(COUNTIF('Data Source'!$T:$T,725)&gt;0,725,""),"")</f>
        <v/>
      </c>
      <c r="B727">
        <f>IFERROR(INDEX('Data Source'!$B:$B,MATCH(725,'Data Source'!$T:$T,0)),"")</f>
        <v/>
      </c>
      <c r="C727" s="3">
        <f>IFERROR(INDEX('Data Source'!$P:$P,MATCH(725,'Data Source'!$T:$T,0)),"")</f>
        <v/>
      </c>
      <c r="D727" s="5">
        <f>IFERROR(INDEX('Data Source'!$Q:$Q,MATCH(725,'Data Source'!$T:$T,0)),"")</f>
        <v/>
      </c>
      <c r="E727" s="5">
        <f>IFERROR(INDEX('Data Source'!$R:$R,MATCH(725,'Data Source'!$T:$T,0)),"")</f>
        <v/>
      </c>
      <c r="F727" s="3">
        <f>IFERROR(INDEX('Data Source'!$S:$S,MATCH(725,'Data Source'!$T:$T,0)),"")</f>
        <v/>
      </c>
    </row>
    <row r="728">
      <c r="A728" s="3">
        <f>IFERROR(IF(COUNTIF('Data Source'!$T:$T,726)&gt;0,726,""),"")</f>
        <v/>
      </c>
      <c r="B728">
        <f>IFERROR(INDEX('Data Source'!$B:$B,MATCH(726,'Data Source'!$T:$T,0)),"")</f>
        <v/>
      </c>
      <c r="C728" s="3">
        <f>IFERROR(INDEX('Data Source'!$P:$P,MATCH(726,'Data Source'!$T:$T,0)),"")</f>
        <v/>
      </c>
      <c r="D728" s="5">
        <f>IFERROR(INDEX('Data Source'!$Q:$Q,MATCH(726,'Data Source'!$T:$T,0)),"")</f>
        <v/>
      </c>
      <c r="E728" s="5">
        <f>IFERROR(INDEX('Data Source'!$R:$R,MATCH(726,'Data Source'!$T:$T,0)),"")</f>
        <v/>
      </c>
      <c r="F728" s="3">
        <f>IFERROR(INDEX('Data Source'!$S:$S,MATCH(726,'Data Source'!$T:$T,0)),"")</f>
        <v/>
      </c>
    </row>
    <row r="729">
      <c r="A729" s="3">
        <f>IFERROR(IF(COUNTIF('Data Source'!$T:$T,727)&gt;0,727,""),"")</f>
        <v/>
      </c>
      <c r="B729">
        <f>IFERROR(INDEX('Data Source'!$B:$B,MATCH(727,'Data Source'!$T:$T,0)),"")</f>
        <v/>
      </c>
      <c r="C729" s="3">
        <f>IFERROR(INDEX('Data Source'!$P:$P,MATCH(727,'Data Source'!$T:$T,0)),"")</f>
        <v/>
      </c>
      <c r="D729" s="5">
        <f>IFERROR(INDEX('Data Source'!$Q:$Q,MATCH(727,'Data Source'!$T:$T,0)),"")</f>
        <v/>
      </c>
      <c r="E729" s="5">
        <f>IFERROR(INDEX('Data Source'!$R:$R,MATCH(727,'Data Source'!$T:$T,0)),"")</f>
        <v/>
      </c>
      <c r="F729" s="3">
        <f>IFERROR(INDEX('Data Source'!$S:$S,MATCH(727,'Data Source'!$T:$T,0)),"")</f>
        <v/>
      </c>
    </row>
    <row r="730">
      <c r="A730" s="3">
        <f>IFERROR(IF(COUNTIF('Data Source'!$T:$T,728)&gt;0,728,""),"")</f>
        <v/>
      </c>
      <c r="B730">
        <f>IFERROR(INDEX('Data Source'!$B:$B,MATCH(728,'Data Source'!$T:$T,0)),"")</f>
        <v/>
      </c>
      <c r="C730" s="3">
        <f>IFERROR(INDEX('Data Source'!$P:$P,MATCH(728,'Data Source'!$T:$T,0)),"")</f>
        <v/>
      </c>
      <c r="D730" s="5">
        <f>IFERROR(INDEX('Data Source'!$Q:$Q,MATCH(728,'Data Source'!$T:$T,0)),"")</f>
        <v/>
      </c>
      <c r="E730" s="5">
        <f>IFERROR(INDEX('Data Source'!$R:$R,MATCH(728,'Data Source'!$T:$T,0)),"")</f>
        <v/>
      </c>
      <c r="F730" s="3">
        <f>IFERROR(INDEX('Data Source'!$S:$S,MATCH(728,'Data Source'!$T:$T,0)),"")</f>
        <v/>
      </c>
    </row>
    <row r="731">
      <c r="A731" s="3">
        <f>IFERROR(IF(COUNTIF('Data Source'!$T:$T,729)&gt;0,729,""),"")</f>
        <v/>
      </c>
      <c r="B731">
        <f>IFERROR(INDEX('Data Source'!$B:$B,MATCH(729,'Data Source'!$T:$T,0)),"")</f>
        <v/>
      </c>
      <c r="C731" s="3">
        <f>IFERROR(INDEX('Data Source'!$P:$P,MATCH(729,'Data Source'!$T:$T,0)),"")</f>
        <v/>
      </c>
      <c r="D731" s="5">
        <f>IFERROR(INDEX('Data Source'!$Q:$Q,MATCH(729,'Data Source'!$T:$T,0)),"")</f>
        <v/>
      </c>
      <c r="E731" s="5">
        <f>IFERROR(INDEX('Data Source'!$R:$R,MATCH(729,'Data Source'!$T:$T,0)),"")</f>
        <v/>
      </c>
      <c r="F731" s="3">
        <f>IFERROR(INDEX('Data Source'!$S:$S,MATCH(729,'Data Source'!$T:$T,0)),"")</f>
        <v/>
      </c>
    </row>
    <row r="732">
      <c r="A732" s="3">
        <f>IFERROR(IF(COUNTIF('Data Source'!$T:$T,730)&gt;0,730,""),"")</f>
        <v/>
      </c>
      <c r="B732">
        <f>IFERROR(INDEX('Data Source'!$B:$B,MATCH(730,'Data Source'!$T:$T,0)),"")</f>
        <v/>
      </c>
      <c r="C732" s="3">
        <f>IFERROR(INDEX('Data Source'!$P:$P,MATCH(730,'Data Source'!$T:$T,0)),"")</f>
        <v/>
      </c>
      <c r="D732" s="5">
        <f>IFERROR(INDEX('Data Source'!$Q:$Q,MATCH(730,'Data Source'!$T:$T,0)),"")</f>
        <v/>
      </c>
      <c r="E732" s="5">
        <f>IFERROR(INDEX('Data Source'!$R:$R,MATCH(730,'Data Source'!$T:$T,0)),"")</f>
        <v/>
      </c>
      <c r="F732" s="3">
        <f>IFERROR(INDEX('Data Source'!$S:$S,MATCH(730,'Data Source'!$T:$T,0)),"")</f>
        <v/>
      </c>
    </row>
    <row r="733">
      <c r="A733" s="3">
        <f>IFERROR(IF(COUNTIF('Data Source'!$T:$T,731)&gt;0,731,""),"")</f>
        <v/>
      </c>
      <c r="B733">
        <f>IFERROR(INDEX('Data Source'!$B:$B,MATCH(731,'Data Source'!$T:$T,0)),"")</f>
        <v/>
      </c>
      <c r="C733" s="3">
        <f>IFERROR(INDEX('Data Source'!$P:$P,MATCH(731,'Data Source'!$T:$T,0)),"")</f>
        <v/>
      </c>
      <c r="D733" s="5">
        <f>IFERROR(INDEX('Data Source'!$Q:$Q,MATCH(731,'Data Source'!$T:$T,0)),"")</f>
        <v/>
      </c>
      <c r="E733" s="5">
        <f>IFERROR(INDEX('Data Source'!$R:$R,MATCH(731,'Data Source'!$T:$T,0)),"")</f>
        <v/>
      </c>
      <c r="F733" s="3">
        <f>IFERROR(INDEX('Data Source'!$S:$S,MATCH(731,'Data Source'!$T:$T,0)),"")</f>
        <v/>
      </c>
    </row>
    <row r="734">
      <c r="A734" s="3">
        <f>IFERROR(IF(COUNTIF('Data Source'!$T:$T,732)&gt;0,732,""),"")</f>
        <v/>
      </c>
      <c r="B734">
        <f>IFERROR(INDEX('Data Source'!$B:$B,MATCH(732,'Data Source'!$T:$T,0)),"")</f>
        <v/>
      </c>
      <c r="C734" s="3">
        <f>IFERROR(INDEX('Data Source'!$P:$P,MATCH(732,'Data Source'!$T:$T,0)),"")</f>
        <v/>
      </c>
      <c r="D734" s="5">
        <f>IFERROR(INDEX('Data Source'!$Q:$Q,MATCH(732,'Data Source'!$T:$T,0)),"")</f>
        <v/>
      </c>
      <c r="E734" s="5">
        <f>IFERROR(INDEX('Data Source'!$R:$R,MATCH(732,'Data Source'!$T:$T,0)),"")</f>
        <v/>
      </c>
      <c r="F734" s="3">
        <f>IFERROR(INDEX('Data Source'!$S:$S,MATCH(732,'Data Source'!$T:$T,0)),"")</f>
        <v/>
      </c>
    </row>
    <row r="735">
      <c r="A735" s="3">
        <f>IFERROR(IF(COUNTIF('Data Source'!$T:$T,733)&gt;0,733,""),"")</f>
        <v/>
      </c>
      <c r="B735">
        <f>IFERROR(INDEX('Data Source'!$B:$B,MATCH(733,'Data Source'!$T:$T,0)),"")</f>
        <v/>
      </c>
      <c r="C735" s="3">
        <f>IFERROR(INDEX('Data Source'!$P:$P,MATCH(733,'Data Source'!$T:$T,0)),"")</f>
        <v/>
      </c>
      <c r="D735" s="5">
        <f>IFERROR(INDEX('Data Source'!$Q:$Q,MATCH(733,'Data Source'!$T:$T,0)),"")</f>
        <v/>
      </c>
      <c r="E735" s="5">
        <f>IFERROR(INDEX('Data Source'!$R:$R,MATCH(733,'Data Source'!$T:$T,0)),"")</f>
        <v/>
      </c>
      <c r="F735" s="3">
        <f>IFERROR(INDEX('Data Source'!$S:$S,MATCH(733,'Data Source'!$T:$T,0)),"")</f>
        <v/>
      </c>
    </row>
    <row r="736">
      <c r="A736" s="3">
        <f>IFERROR(IF(COUNTIF('Data Source'!$T:$T,734)&gt;0,734,""),"")</f>
        <v/>
      </c>
      <c r="B736">
        <f>IFERROR(INDEX('Data Source'!$B:$B,MATCH(734,'Data Source'!$T:$T,0)),"")</f>
        <v/>
      </c>
      <c r="C736" s="3">
        <f>IFERROR(INDEX('Data Source'!$P:$P,MATCH(734,'Data Source'!$T:$T,0)),"")</f>
        <v/>
      </c>
      <c r="D736" s="5">
        <f>IFERROR(INDEX('Data Source'!$Q:$Q,MATCH(734,'Data Source'!$T:$T,0)),"")</f>
        <v/>
      </c>
      <c r="E736" s="5">
        <f>IFERROR(INDEX('Data Source'!$R:$R,MATCH(734,'Data Source'!$T:$T,0)),"")</f>
        <v/>
      </c>
      <c r="F736" s="3">
        <f>IFERROR(INDEX('Data Source'!$S:$S,MATCH(734,'Data Source'!$T:$T,0)),"")</f>
        <v/>
      </c>
    </row>
    <row r="737">
      <c r="A737" s="3">
        <f>IFERROR(IF(COUNTIF('Data Source'!$T:$T,735)&gt;0,735,""),"")</f>
        <v/>
      </c>
      <c r="B737">
        <f>IFERROR(INDEX('Data Source'!$B:$B,MATCH(735,'Data Source'!$T:$T,0)),"")</f>
        <v/>
      </c>
      <c r="C737" s="3">
        <f>IFERROR(INDEX('Data Source'!$P:$P,MATCH(735,'Data Source'!$T:$T,0)),"")</f>
        <v/>
      </c>
      <c r="D737" s="5">
        <f>IFERROR(INDEX('Data Source'!$Q:$Q,MATCH(735,'Data Source'!$T:$T,0)),"")</f>
        <v/>
      </c>
      <c r="E737" s="5">
        <f>IFERROR(INDEX('Data Source'!$R:$R,MATCH(735,'Data Source'!$T:$T,0)),"")</f>
        <v/>
      </c>
      <c r="F737" s="3">
        <f>IFERROR(INDEX('Data Source'!$S:$S,MATCH(735,'Data Source'!$T:$T,0)),"")</f>
        <v/>
      </c>
    </row>
    <row r="738">
      <c r="A738" s="3">
        <f>IFERROR(IF(COUNTIF('Data Source'!$T:$T,736)&gt;0,736,""),"")</f>
        <v/>
      </c>
      <c r="B738">
        <f>IFERROR(INDEX('Data Source'!$B:$B,MATCH(736,'Data Source'!$T:$T,0)),"")</f>
        <v/>
      </c>
      <c r="C738" s="3">
        <f>IFERROR(INDEX('Data Source'!$P:$P,MATCH(736,'Data Source'!$T:$T,0)),"")</f>
        <v/>
      </c>
      <c r="D738" s="5">
        <f>IFERROR(INDEX('Data Source'!$Q:$Q,MATCH(736,'Data Source'!$T:$T,0)),"")</f>
        <v/>
      </c>
      <c r="E738" s="5">
        <f>IFERROR(INDEX('Data Source'!$R:$R,MATCH(736,'Data Source'!$T:$T,0)),"")</f>
        <v/>
      </c>
      <c r="F738" s="3">
        <f>IFERROR(INDEX('Data Source'!$S:$S,MATCH(736,'Data Source'!$T:$T,0)),"")</f>
        <v/>
      </c>
    </row>
    <row r="739">
      <c r="A739" s="3">
        <f>IFERROR(IF(COUNTIF('Data Source'!$T:$T,737)&gt;0,737,""),"")</f>
        <v/>
      </c>
      <c r="B739">
        <f>IFERROR(INDEX('Data Source'!$B:$B,MATCH(737,'Data Source'!$T:$T,0)),"")</f>
        <v/>
      </c>
      <c r="C739" s="3">
        <f>IFERROR(INDEX('Data Source'!$P:$P,MATCH(737,'Data Source'!$T:$T,0)),"")</f>
        <v/>
      </c>
      <c r="D739" s="5">
        <f>IFERROR(INDEX('Data Source'!$Q:$Q,MATCH(737,'Data Source'!$T:$T,0)),"")</f>
        <v/>
      </c>
      <c r="E739" s="5">
        <f>IFERROR(INDEX('Data Source'!$R:$R,MATCH(737,'Data Source'!$T:$T,0)),"")</f>
        <v/>
      </c>
      <c r="F739" s="3">
        <f>IFERROR(INDEX('Data Source'!$S:$S,MATCH(737,'Data Source'!$T:$T,0)),"")</f>
        <v/>
      </c>
    </row>
    <row r="740">
      <c r="A740" s="3">
        <f>IFERROR(IF(COUNTIF('Data Source'!$T:$T,738)&gt;0,738,""),"")</f>
        <v/>
      </c>
      <c r="B740">
        <f>IFERROR(INDEX('Data Source'!$B:$B,MATCH(738,'Data Source'!$T:$T,0)),"")</f>
        <v/>
      </c>
      <c r="C740" s="3">
        <f>IFERROR(INDEX('Data Source'!$P:$P,MATCH(738,'Data Source'!$T:$T,0)),"")</f>
        <v/>
      </c>
      <c r="D740" s="5">
        <f>IFERROR(INDEX('Data Source'!$Q:$Q,MATCH(738,'Data Source'!$T:$T,0)),"")</f>
        <v/>
      </c>
      <c r="E740" s="5">
        <f>IFERROR(INDEX('Data Source'!$R:$R,MATCH(738,'Data Source'!$T:$T,0)),"")</f>
        <v/>
      </c>
      <c r="F740" s="3">
        <f>IFERROR(INDEX('Data Source'!$S:$S,MATCH(738,'Data Source'!$T:$T,0)),"")</f>
        <v/>
      </c>
    </row>
    <row r="741">
      <c r="A741" s="3">
        <f>IFERROR(IF(COUNTIF('Data Source'!$T:$T,739)&gt;0,739,""),"")</f>
        <v/>
      </c>
      <c r="B741">
        <f>IFERROR(INDEX('Data Source'!$B:$B,MATCH(739,'Data Source'!$T:$T,0)),"")</f>
        <v/>
      </c>
      <c r="C741" s="3">
        <f>IFERROR(INDEX('Data Source'!$P:$P,MATCH(739,'Data Source'!$T:$T,0)),"")</f>
        <v/>
      </c>
      <c r="D741" s="5">
        <f>IFERROR(INDEX('Data Source'!$Q:$Q,MATCH(739,'Data Source'!$T:$T,0)),"")</f>
        <v/>
      </c>
      <c r="E741" s="5">
        <f>IFERROR(INDEX('Data Source'!$R:$R,MATCH(739,'Data Source'!$T:$T,0)),"")</f>
        <v/>
      </c>
      <c r="F741" s="3">
        <f>IFERROR(INDEX('Data Source'!$S:$S,MATCH(739,'Data Source'!$T:$T,0)),"")</f>
        <v/>
      </c>
    </row>
    <row r="742">
      <c r="A742" s="3">
        <f>IFERROR(IF(COUNTIF('Data Source'!$T:$T,740)&gt;0,740,""),"")</f>
        <v/>
      </c>
      <c r="B742">
        <f>IFERROR(INDEX('Data Source'!$B:$B,MATCH(740,'Data Source'!$T:$T,0)),"")</f>
        <v/>
      </c>
      <c r="C742" s="3">
        <f>IFERROR(INDEX('Data Source'!$P:$P,MATCH(740,'Data Source'!$T:$T,0)),"")</f>
        <v/>
      </c>
      <c r="D742" s="5">
        <f>IFERROR(INDEX('Data Source'!$Q:$Q,MATCH(740,'Data Source'!$T:$T,0)),"")</f>
        <v/>
      </c>
      <c r="E742" s="5">
        <f>IFERROR(INDEX('Data Source'!$R:$R,MATCH(740,'Data Source'!$T:$T,0)),"")</f>
        <v/>
      </c>
      <c r="F742" s="3">
        <f>IFERROR(INDEX('Data Source'!$S:$S,MATCH(740,'Data Source'!$T:$T,0)),"")</f>
        <v/>
      </c>
    </row>
    <row r="743">
      <c r="A743" s="3">
        <f>IFERROR(IF(COUNTIF('Data Source'!$T:$T,741)&gt;0,741,""),"")</f>
        <v/>
      </c>
      <c r="B743">
        <f>IFERROR(INDEX('Data Source'!$B:$B,MATCH(741,'Data Source'!$T:$T,0)),"")</f>
        <v/>
      </c>
      <c r="C743" s="3">
        <f>IFERROR(INDEX('Data Source'!$P:$P,MATCH(741,'Data Source'!$T:$T,0)),"")</f>
        <v/>
      </c>
      <c r="D743" s="5">
        <f>IFERROR(INDEX('Data Source'!$Q:$Q,MATCH(741,'Data Source'!$T:$T,0)),"")</f>
        <v/>
      </c>
      <c r="E743" s="5">
        <f>IFERROR(INDEX('Data Source'!$R:$R,MATCH(741,'Data Source'!$T:$T,0)),"")</f>
        <v/>
      </c>
      <c r="F743" s="3">
        <f>IFERROR(INDEX('Data Source'!$S:$S,MATCH(741,'Data Source'!$T:$T,0)),"")</f>
        <v/>
      </c>
    </row>
    <row r="744">
      <c r="A744" s="3">
        <f>IFERROR(IF(COUNTIF('Data Source'!$T:$T,742)&gt;0,742,""),"")</f>
        <v/>
      </c>
      <c r="B744">
        <f>IFERROR(INDEX('Data Source'!$B:$B,MATCH(742,'Data Source'!$T:$T,0)),"")</f>
        <v/>
      </c>
      <c r="C744" s="3">
        <f>IFERROR(INDEX('Data Source'!$P:$P,MATCH(742,'Data Source'!$T:$T,0)),"")</f>
        <v/>
      </c>
      <c r="D744" s="5">
        <f>IFERROR(INDEX('Data Source'!$Q:$Q,MATCH(742,'Data Source'!$T:$T,0)),"")</f>
        <v/>
      </c>
      <c r="E744" s="5">
        <f>IFERROR(INDEX('Data Source'!$R:$R,MATCH(742,'Data Source'!$T:$T,0)),"")</f>
        <v/>
      </c>
      <c r="F744" s="3">
        <f>IFERROR(INDEX('Data Source'!$S:$S,MATCH(742,'Data Source'!$T:$T,0)),"")</f>
        <v/>
      </c>
    </row>
    <row r="745">
      <c r="A745" s="3">
        <f>IFERROR(IF(COUNTIF('Data Source'!$T:$T,743)&gt;0,743,""),"")</f>
        <v/>
      </c>
      <c r="B745">
        <f>IFERROR(INDEX('Data Source'!$B:$B,MATCH(743,'Data Source'!$T:$T,0)),"")</f>
        <v/>
      </c>
      <c r="C745" s="3">
        <f>IFERROR(INDEX('Data Source'!$P:$P,MATCH(743,'Data Source'!$T:$T,0)),"")</f>
        <v/>
      </c>
      <c r="D745" s="5">
        <f>IFERROR(INDEX('Data Source'!$Q:$Q,MATCH(743,'Data Source'!$T:$T,0)),"")</f>
        <v/>
      </c>
      <c r="E745" s="5">
        <f>IFERROR(INDEX('Data Source'!$R:$R,MATCH(743,'Data Source'!$T:$T,0)),"")</f>
        <v/>
      </c>
      <c r="F745" s="3">
        <f>IFERROR(INDEX('Data Source'!$S:$S,MATCH(743,'Data Source'!$T:$T,0)),"")</f>
        <v/>
      </c>
    </row>
    <row r="746">
      <c r="A746" s="3">
        <f>IFERROR(IF(COUNTIF('Data Source'!$T:$T,744)&gt;0,744,""),"")</f>
        <v/>
      </c>
      <c r="B746">
        <f>IFERROR(INDEX('Data Source'!$B:$B,MATCH(744,'Data Source'!$T:$T,0)),"")</f>
        <v/>
      </c>
      <c r="C746" s="3">
        <f>IFERROR(INDEX('Data Source'!$P:$P,MATCH(744,'Data Source'!$T:$T,0)),"")</f>
        <v/>
      </c>
      <c r="D746" s="5">
        <f>IFERROR(INDEX('Data Source'!$Q:$Q,MATCH(744,'Data Source'!$T:$T,0)),"")</f>
        <v/>
      </c>
      <c r="E746" s="5">
        <f>IFERROR(INDEX('Data Source'!$R:$R,MATCH(744,'Data Source'!$T:$T,0)),"")</f>
        <v/>
      </c>
      <c r="F746" s="3">
        <f>IFERROR(INDEX('Data Source'!$S:$S,MATCH(744,'Data Source'!$T:$T,0)),"")</f>
        <v/>
      </c>
    </row>
    <row r="747">
      <c r="A747" s="3">
        <f>IFERROR(IF(COUNTIF('Data Source'!$T:$T,745)&gt;0,745,""),"")</f>
        <v/>
      </c>
      <c r="B747">
        <f>IFERROR(INDEX('Data Source'!$B:$B,MATCH(745,'Data Source'!$T:$T,0)),"")</f>
        <v/>
      </c>
      <c r="C747" s="3">
        <f>IFERROR(INDEX('Data Source'!$P:$P,MATCH(745,'Data Source'!$T:$T,0)),"")</f>
        <v/>
      </c>
      <c r="D747" s="5">
        <f>IFERROR(INDEX('Data Source'!$Q:$Q,MATCH(745,'Data Source'!$T:$T,0)),"")</f>
        <v/>
      </c>
      <c r="E747" s="5">
        <f>IFERROR(INDEX('Data Source'!$R:$R,MATCH(745,'Data Source'!$T:$T,0)),"")</f>
        <v/>
      </c>
      <c r="F747" s="3">
        <f>IFERROR(INDEX('Data Source'!$S:$S,MATCH(745,'Data Source'!$T:$T,0)),"")</f>
        <v/>
      </c>
    </row>
    <row r="748">
      <c r="A748" s="3">
        <f>IFERROR(IF(COUNTIF('Data Source'!$T:$T,746)&gt;0,746,""),"")</f>
        <v/>
      </c>
      <c r="B748">
        <f>IFERROR(INDEX('Data Source'!$B:$B,MATCH(746,'Data Source'!$T:$T,0)),"")</f>
        <v/>
      </c>
      <c r="C748" s="3">
        <f>IFERROR(INDEX('Data Source'!$P:$P,MATCH(746,'Data Source'!$T:$T,0)),"")</f>
        <v/>
      </c>
      <c r="D748" s="5">
        <f>IFERROR(INDEX('Data Source'!$Q:$Q,MATCH(746,'Data Source'!$T:$T,0)),"")</f>
        <v/>
      </c>
      <c r="E748" s="5">
        <f>IFERROR(INDEX('Data Source'!$R:$R,MATCH(746,'Data Source'!$T:$T,0)),"")</f>
        <v/>
      </c>
      <c r="F748" s="3">
        <f>IFERROR(INDEX('Data Source'!$S:$S,MATCH(746,'Data Source'!$T:$T,0)),"")</f>
        <v/>
      </c>
    </row>
    <row r="749">
      <c r="A749" s="3">
        <f>IFERROR(IF(COUNTIF('Data Source'!$T:$T,747)&gt;0,747,""),"")</f>
        <v/>
      </c>
      <c r="B749">
        <f>IFERROR(INDEX('Data Source'!$B:$B,MATCH(747,'Data Source'!$T:$T,0)),"")</f>
        <v/>
      </c>
      <c r="C749" s="3">
        <f>IFERROR(INDEX('Data Source'!$P:$P,MATCH(747,'Data Source'!$T:$T,0)),"")</f>
        <v/>
      </c>
      <c r="D749" s="5">
        <f>IFERROR(INDEX('Data Source'!$Q:$Q,MATCH(747,'Data Source'!$T:$T,0)),"")</f>
        <v/>
      </c>
      <c r="E749" s="5">
        <f>IFERROR(INDEX('Data Source'!$R:$R,MATCH(747,'Data Source'!$T:$T,0)),"")</f>
        <v/>
      </c>
      <c r="F749" s="3">
        <f>IFERROR(INDEX('Data Source'!$S:$S,MATCH(747,'Data Source'!$T:$T,0)),"")</f>
        <v/>
      </c>
    </row>
    <row r="750">
      <c r="A750" s="3">
        <f>IFERROR(IF(COUNTIF('Data Source'!$T:$T,748)&gt;0,748,""),"")</f>
        <v/>
      </c>
      <c r="B750">
        <f>IFERROR(INDEX('Data Source'!$B:$B,MATCH(748,'Data Source'!$T:$T,0)),"")</f>
        <v/>
      </c>
      <c r="C750" s="3">
        <f>IFERROR(INDEX('Data Source'!$P:$P,MATCH(748,'Data Source'!$T:$T,0)),"")</f>
        <v/>
      </c>
      <c r="D750" s="5">
        <f>IFERROR(INDEX('Data Source'!$Q:$Q,MATCH(748,'Data Source'!$T:$T,0)),"")</f>
        <v/>
      </c>
      <c r="E750" s="5">
        <f>IFERROR(INDEX('Data Source'!$R:$R,MATCH(748,'Data Source'!$T:$T,0)),"")</f>
        <v/>
      </c>
      <c r="F750" s="3">
        <f>IFERROR(INDEX('Data Source'!$S:$S,MATCH(748,'Data Source'!$T:$T,0)),"")</f>
        <v/>
      </c>
    </row>
    <row r="751">
      <c r="A751" s="3">
        <f>IFERROR(IF(COUNTIF('Data Source'!$T:$T,749)&gt;0,749,""),"")</f>
        <v/>
      </c>
      <c r="B751">
        <f>IFERROR(INDEX('Data Source'!$B:$B,MATCH(749,'Data Source'!$T:$T,0)),"")</f>
        <v/>
      </c>
      <c r="C751" s="3">
        <f>IFERROR(INDEX('Data Source'!$P:$P,MATCH(749,'Data Source'!$T:$T,0)),"")</f>
        <v/>
      </c>
      <c r="D751" s="5">
        <f>IFERROR(INDEX('Data Source'!$Q:$Q,MATCH(749,'Data Source'!$T:$T,0)),"")</f>
        <v/>
      </c>
      <c r="E751" s="5">
        <f>IFERROR(INDEX('Data Source'!$R:$R,MATCH(749,'Data Source'!$T:$T,0)),"")</f>
        <v/>
      </c>
      <c r="F751" s="3">
        <f>IFERROR(INDEX('Data Source'!$S:$S,MATCH(749,'Data Source'!$T:$T,0)),"")</f>
        <v/>
      </c>
    </row>
    <row r="752">
      <c r="A752" s="3">
        <f>IFERROR(IF(COUNTIF('Data Source'!$T:$T,750)&gt;0,750,""),"")</f>
        <v/>
      </c>
      <c r="B752">
        <f>IFERROR(INDEX('Data Source'!$B:$B,MATCH(750,'Data Source'!$T:$T,0)),"")</f>
        <v/>
      </c>
      <c r="C752" s="3">
        <f>IFERROR(INDEX('Data Source'!$P:$P,MATCH(750,'Data Source'!$T:$T,0)),"")</f>
        <v/>
      </c>
      <c r="D752" s="5">
        <f>IFERROR(INDEX('Data Source'!$Q:$Q,MATCH(750,'Data Source'!$T:$T,0)),"")</f>
        <v/>
      </c>
      <c r="E752" s="5">
        <f>IFERROR(INDEX('Data Source'!$R:$R,MATCH(750,'Data Source'!$T:$T,0)),"")</f>
        <v/>
      </c>
      <c r="F752" s="3">
        <f>IFERROR(INDEX('Data Source'!$S:$S,MATCH(750,'Data Source'!$T:$T,0)),"")</f>
        <v/>
      </c>
    </row>
    <row r="753">
      <c r="A753" s="3">
        <f>IFERROR(IF(COUNTIF('Data Source'!$T:$T,751)&gt;0,751,""),"")</f>
        <v/>
      </c>
      <c r="B753">
        <f>IFERROR(INDEX('Data Source'!$B:$B,MATCH(751,'Data Source'!$T:$T,0)),"")</f>
        <v/>
      </c>
      <c r="C753" s="3">
        <f>IFERROR(INDEX('Data Source'!$P:$P,MATCH(751,'Data Source'!$T:$T,0)),"")</f>
        <v/>
      </c>
      <c r="D753" s="5">
        <f>IFERROR(INDEX('Data Source'!$Q:$Q,MATCH(751,'Data Source'!$T:$T,0)),"")</f>
        <v/>
      </c>
      <c r="E753" s="5">
        <f>IFERROR(INDEX('Data Source'!$R:$R,MATCH(751,'Data Source'!$T:$T,0)),"")</f>
        <v/>
      </c>
      <c r="F753" s="3">
        <f>IFERROR(INDEX('Data Source'!$S:$S,MATCH(751,'Data Source'!$T:$T,0)),"")</f>
        <v/>
      </c>
    </row>
    <row r="754">
      <c r="A754" s="3">
        <f>IFERROR(IF(COUNTIF('Data Source'!$T:$T,752)&gt;0,752,""),"")</f>
        <v/>
      </c>
      <c r="B754">
        <f>IFERROR(INDEX('Data Source'!$B:$B,MATCH(752,'Data Source'!$T:$T,0)),"")</f>
        <v/>
      </c>
      <c r="C754" s="3">
        <f>IFERROR(INDEX('Data Source'!$P:$P,MATCH(752,'Data Source'!$T:$T,0)),"")</f>
        <v/>
      </c>
      <c r="D754" s="5">
        <f>IFERROR(INDEX('Data Source'!$Q:$Q,MATCH(752,'Data Source'!$T:$T,0)),"")</f>
        <v/>
      </c>
      <c r="E754" s="5">
        <f>IFERROR(INDEX('Data Source'!$R:$R,MATCH(752,'Data Source'!$T:$T,0)),"")</f>
        <v/>
      </c>
      <c r="F754" s="3">
        <f>IFERROR(INDEX('Data Source'!$S:$S,MATCH(752,'Data Source'!$T:$T,0)),"")</f>
        <v/>
      </c>
    </row>
    <row r="755">
      <c r="A755" s="3">
        <f>IFERROR(IF(COUNTIF('Data Source'!$T:$T,753)&gt;0,753,""),"")</f>
        <v/>
      </c>
      <c r="B755">
        <f>IFERROR(INDEX('Data Source'!$B:$B,MATCH(753,'Data Source'!$T:$T,0)),"")</f>
        <v/>
      </c>
      <c r="C755" s="3">
        <f>IFERROR(INDEX('Data Source'!$P:$P,MATCH(753,'Data Source'!$T:$T,0)),"")</f>
        <v/>
      </c>
      <c r="D755" s="5">
        <f>IFERROR(INDEX('Data Source'!$Q:$Q,MATCH(753,'Data Source'!$T:$T,0)),"")</f>
        <v/>
      </c>
      <c r="E755" s="5">
        <f>IFERROR(INDEX('Data Source'!$R:$R,MATCH(753,'Data Source'!$T:$T,0)),"")</f>
        <v/>
      </c>
      <c r="F755" s="3">
        <f>IFERROR(INDEX('Data Source'!$S:$S,MATCH(753,'Data Source'!$T:$T,0)),"")</f>
        <v/>
      </c>
    </row>
    <row r="756">
      <c r="A756" s="3">
        <f>IFERROR(IF(COUNTIF('Data Source'!$T:$T,754)&gt;0,754,""),"")</f>
        <v/>
      </c>
      <c r="B756">
        <f>IFERROR(INDEX('Data Source'!$B:$B,MATCH(754,'Data Source'!$T:$T,0)),"")</f>
        <v/>
      </c>
      <c r="C756" s="3">
        <f>IFERROR(INDEX('Data Source'!$P:$P,MATCH(754,'Data Source'!$T:$T,0)),"")</f>
        <v/>
      </c>
      <c r="D756" s="5">
        <f>IFERROR(INDEX('Data Source'!$Q:$Q,MATCH(754,'Data Source'!$T:$T,0)),"")</f>
        <v/>
      </c>
      <c r="E756" s="5">
        <f>IFERROR(INDEX('Data Source'!$R:$R,MATCH(754,'Data Source'!$T:$T,0)),"")</f>
        <v/>
      </c>
      <c r="F756" s="3">
        <f>IFERROR(INDEX('Data Source'!$S:$S,MATCH(754,'Data Source'!$T:$T,0)),"")</f>
        <v/>
      </c>
    </row>
    <row r="757">
      <c r="A757" s="3">
        <f>IFERROR(IF(COUNTIF('Data Source'!$T:$T,755)&gt;0,755,""),"")</f>
        <v/>
      </c>
      <c r="B757">
        <f>IFERROR(INDEX('Data Source'!$B:$B,MATCH(755,'Data Source'!$T:$T,0)),"")</f>
        <v/>
      </c>
      <c r="C757" s="3">
        <f>IFERROR(INDEX('Data Source'!$P:$P,MATCH(755,'Data Source'!$T:$T,0)),"")</f>
        <v/>
      </c>
      <c r="D757" s="5">
        <f>IFERROR(INDEX('Data Source'!$Q:$Q,MATCH(755,'Data Source'!$T:$T,0)),"")</f>
        <v/>
      </c>
      <c r="E757" s="5">
        <f>IFERROR(INDEX('Data Source'!$R:$R,MATCH(755,'Data Source'!$T:$T,0)),"")</f>
        <v/>
      </c>
      <c r="F757" s="3">
        <f>IFERROR(INDEX('Data Source'!$S:$S,MATCH(755,'Data Source'!$T:$T,0)),"")</f>
        <v/>
      </c>
    </row>
    <row r="758">
      <c r="A758" s="3">
        <f>IFERROR(IF(COUNTIF('Data Source'!$T:$T,756)&gt;0,756,""),"")</f>
        <v/>
      </c>
      <c r="B758">
        <f>IFERROR(INDEX('Data Source'!$B:$B,MATCH(756,'Data Source'!$T:$T,0)),"")</f>
        <v/>
      </c>
      <c r="C758" s="3">
        <f>IFERROR(INDEX('Data Source'!$P:$P,MATCH(756,'Data Source'!$T:$T,0)),"")</f>
        <v/>
      </c>
      <c r="D758" s="5">
        <f>IFERROR(INDEX('Data Source'!$Q:$Q,MATCH(756,'Data Source'!$T:$T,0)),"")</f>
        <v/>
      </c>
      <c r="E758" s="5">
        <f>IFERROR(INDEX('Data Source'!$R:$R,MATCH(756,'Data Source'!$T:$T,0)),"")</f>
        <v/>
      </c>
      <c r="F758" s="3">
        <f>IFERROR(INDEX('Data Source'!$S:$S,MATCH(756,'Data Source'!$T:$T,0)),"")</f>
        <v/>
      </c>
    </row>
    <row r="759">
      <c r="A759" s="3">
        <f>IFERROR(IF(COUNTIF('Data Source'!$T:$T,757)&gt;0,757,""),"")</f>
        <v/>
      </c>
      <c r="B759">
        <f>IFERROR(INDEX('Data Source'!$B:$B,MATCH(757,'Data Source'!$T:$T,0)),"")</f>
        <v/>
      </c>
      <c r="C759" s="3">
        <f>IFERROR(INDEX('Data Source'!$P:$P,MATCH(757,'Data Source'!$T:$T,0)),"")</f>
        <v/>
      </c>
      <c r="D759" s="5">
        <f>IFERROR(INDEX('Data Source'!$Q:$Q,MATCH(757,'Data Source'!$T:$T,0)),"")</f>
        <v/>
      </c>
      <c r="E759" s="5">
        <f>IFERROR(INDEX('Data Source'!$R:$R,MATCH(757,'Data Source'!$T:$T,0)),"")</f>
        <v/>
      </c>
      <c r="F759" s="3">
        <f>IFERROR(INDEX('Data Source'!$S:$S,MATCH(757,'Data Source'!$T:$T,0)),"")</f>
        <v/>
      </c>
    </row>
    <row r="760">
      <c r="A760" s="3">
        <f>IFERROR(IF(COUNTIF('Data Source'!$T:$T,758)&gt;0,758,""),"")</f>
        <v/>
      </c>
      <c r="B760">
        <f>IFERROR(INDEX('Data Source'!$B:$B,MATCH(758,'Data Source'!$T:$T,0)),"")</f>
        <v/>
      </c>
      <c r="C760" s="3">
        <f>IFERROR(INDEX('Data Source'!$P:$P,MATCH(758,'Data Source'!$T:$T,0)),"")</f>
        <v/>
      </c>
      <c r="D760" s="5">
        <f>IFERROR(INDEX('Data Source'!$Q:$Q,MATCH(758,'Data Source'!$T:$T,0)),"")</f>
        <v/>
      </c>
      <c r="E760" s="5">
        <f>IFERROR(INDEX('Data Source'!$R:$R,MATCH(758,'Data Source'!$T:$T,0)),"")</f>
        <v/>
      </c>
      <c r="F760" s="3">
        <f>IFERROR(INDEX('Data Source'!$S:$S,MATCH(758,'Data Source'!$T:$T,0)),"")</f>
        <v/>
      </c>
    </row>
    <row r="761">
      <c r="A761" s="3">
        <f>IFERROR(IF(COUNTIF('Data Source'!$T:$T,759)&gt;0,759,""),"")</f>
        <v/>
      </c>
      <c r="B761">
        <f>IFERROR(INDEX('Data Source'!$B:$B,MATCH(759,'Data Source'!$T:$T,0)),"")</f>
        <v/>
      </c>
      <c r="C761" s="3">
        <f>IFERROR(INDEX('Data Source'!$P:$P,MATCH(759,'Data Source'!$T:$T,0)),"")</f>
        <v/>
      </c>
      <c r="D761" s="5">
        <f>IFERROR(INDEX('Data Source'!$Q:$Q,MATCH(759,'Data Source'!$T:$T,0)),"")</f>
        <v/>
      </c>
      <c r="E761" s="5">
        <f>IFERROR(INDEX('Data Source'!$R:$R,MATCH(759,'Data Source'!$T:$T,0)),"")</f>
        <v/>
      </c>
      <c r="F761" s="3">
        <f>IFERROR(INDEX('Data Source'!$S:$S,MATCH(759,'Data Source'!$T:$T,0)),"")</f>
        <v/>
      </c>
    </row>
    <row r="762">
      <c r="A762" s="3">
        <f>IFERROR(IF(COUNTIF('Data Source'!$T:$T,760)&gt;0,760,""),"")</f>
        <v/>
      </c>
      <c r="B762">
        <f>IFERROR(INDEX('Data Source'!$B:$B,MATCH(760,'Data Source'!$T:$T,0)),"")</f>
        <v/>
      </c>
      <c r="C762" s="3">
        <f>IFERROR(INDEX('Data Source'!$P:$P,MATCH(760,'Data Source'!$T:$T,0)),"")</f>
        <v/>
      </c>
      <c r="D762" s="5">
        <f>IFERROR(INDEX('Data Source'!$Q:$Q,MATCH(760,'Data Source'!$T:$T,0)),"")</f>
        <v/>
      </c>
      <c r="E762" s="5">
        <f>IFERROR(INDEX('Data Source'!$R:$R,MATCH(760,'Data Source'!$T:$T,0)),"")</f>
        <v/>
      </c>
      <c r="F762" s="3">
        <f>IFERROR(INDEX('Data Source'!$S:$S,MATCH(760,'Data Source'!$T:$T,0)),"")</f>
        <v/>
      </c>
    </row>
    <row r="763">
      <c r="A763" s="3">
        <f>IFERROR(IF(COUNTIF('Data Source'!$T:$T,761)&gt;0,761,""),"")</f>
        <v/>
      </c>
      <c r="B763">
        <f>IFERROR(INDEX('Data Source'!$B:$B,MATCH(761,'Data Source'!$T:$T,0)),"")</f>
        <v/>
      </c>
      <c r="C763" s="3">
        <f>IFERROR(INDEX('Data Source'!$P:$P,MATCH(761,'Data Source'!$T:$T,0)),"")</f>
        <v/>
      </c>
      <c r="D763" s="5">
        <f>IFERROR(INDEX('Data Source'!$Q:$Q,MATCH(761,'Data Source'!$T:$T,0)),"")</f>
        <v/>
      </c>
      <c r="E763" s="5">
        <f>IFERROR(INDEX('Data Source'!$R:$R,MATCH(761,'Data Source'!$T:$T,0)),"")</f>
        <v/>
      </c>
      <c r="F763" s="3">
        <f>IFERROR(INDEX('Data Source'!$S:$S,MATCH(761,'Data Source'!$T:$T,0)),"")</f>
        <v/>
      </c>
    </row>
    <row r="764">
      <c r="A764" s="3">
        <f>IFERROR(IF(COUNTIF('Data Source'!$T:$T,762)&gt;0,762,""),"")</f>
        <v/>
      </c>
      <c r="B764">
        <f>IFERROR(INDEX('Data Source'!$B:$B,MATCH(762,'Data Source'!$T:$T,0)),"")</f>
        <v/>
      </c>
      <c r="C764" s="3">
        <f>IFERROR(INDEX('Data Source'!$P:$P,MATCH(762,'Data Source'!$T:$T,0)),"")</f>
        <v/>
      </c>
      <c r="D764" s="5">
        <f>IFERROR(INDEX('Data Source'!$Q:$Q,MATCH(762,'Data Source'!$T:$T,0)),"")</f>
        <v/>
      </c>
      <c r="E764" s="5">
        <f>IFERROR(INDEX('Data Source'!$R:$R,MATCH(762,'Data Source'!$T:$T,0)),"")</f>
        <v/>
      </c>
      <c r="F764" s="3">
        <f>IFERROR(INDEX('Data Source'!$S:$S,MATCH(762,'Data Source'!$T:$T,0)),"")</f>
        <v/>
      </c>
    </row>
    <row r="765">
      <c r="A765" s="3">
        <f>IFERROR(IF(COUNTIF('Data Source'!$T:$T,763)&gt;0,763,""),"")</f>
        <v/>
      </c>
      <c r="B765">
        <f>IFERROR(INDEX('Data Source'!$B:$B,MATCH(763,'Data Source'!$T:$T,0)),"")</f>
        <v/>
      </c>
      <c r="C765" s="3">
        <f>IFERROR(INDEX('Data Source'!$P:$P,MATCH(763,'Data Source'!$T:$T,0)),"")</f>
        <v/>
      </c>
      <c r="D765" s="5">
        <f>IFERROR(INDEX('Data Source'!$Q:$Q,MATCH(763,'Data Source'!$T:$T,0)),"")</f>
        <v/>
      </c>
      <c r="E765" s="5">
        <f>IFERROR(INDEX('Data Source'!$R:$R,MATCH(763,'Data Source'!$T:$T,0)),"")</f>
        <v/>
      </c>
      <c r="F765" s="3">
        <f>IFERROR(INDEX('Data Source'!$S:$S,MATCH(763,'Data Source'!$T:$T,0)),"")</f>
        <v/>
      </c>
    </row>
    <row r="766">
      <c r="A766" s="3">
        <f>IFERROR(IF(COUNTIF('Data Source'!$T:$T,764)&gt;0,764,""),"")</f>
        <v/>
      </c>
      <c r="B766">
        <f>IFERROR(INDEX('Data Source'!$B:$B,MATCH(764,'Data Source'!$T:$T,0)),"")</f>
        <v/>
      </c>
      <c r="C766" s="3">
        <f>IFERROR(INDEX('Data Source'!$P:$P,MATCH(764,'Data Source'!$T:$T,0)),"")</f>
        <v/>
      </c>
      <c r="D766" s="5">
        <f>IFERROR(INDEX('Data Source'!$Q:$Q,MATCH(764,'Data Source'!$T:$T,0)),"")</f>
        <v/>
      </c>
      <c r="E766" s="5">
        <f>IFERROR(INDEX('Data Source'!$R:$R,MATCH(764,'Data Source'!$T:$T,0)),"")</f>
        <v/>
      </c>
      <c r="F766" s="3">
        <f>IFERROR(INDEX('Data Source'!$S:$S,MATCH(764,'Data Source'!$T:$T,0)),"")</f>
        <v/>
      </c>
    </row>
    <row r="767">
      <c r="A767" s="3">
        <f>IFERROR(IF(COUNTIF('Data Source'!$T:$T,765)&gt;0,765,""),"")</f>
        <v/>
      </c>
      <c r="B767">
        <f>IFERROR(INDEX('Data Source'!$B:$B,MATCH(765,'Data Source'!$T:$T,0)),"")</f>
        <v/>
      </c>
      <c r="C767" s="3">
        <f>IFERROR(INDEX('Data Source'!$P:$P,MATCH(765,'Data Source'!$T:$T,0)),"")</f>
        <v/>
      </c>
      <c r="D767" s="5">
        <f>IFERROR(INDEX('Data Source'!$Q:$Q,MATCH(765,'Data Source'!$T:$T,0)),"")</f>
        <v/>
      </c>
      <c r="E767" s="5">
        <f>IFERROR(INDEX('Data Source'!$R:$R,MATCH(765,'Data Source'!$T:$T,0)),"")</f>
        <v/>
      </c>
      <c r="F767" s="3">
        <f>IFERROR(INDEX('Data Source'!$S:$S,MATCH(765,'Data Source'!$T:$T,0)),"")</f>
        <v/>
      </c>
    </row>
    <row r="768">
      <c r="A768" s="3">
        <f>IFERROR(IF(COUNTIF('Data Source'!$T:$T,766)&gt;0,766,""),"")</f>
        <v/>
      </c>
      <c r="B768">
        <f>IFERROR(INDEX('Data Source'!$B:$B,MATCH(766,'Data Source'!$T:$T,0)),"")</f>
        <v/>
      </c>
      <c r="C768" s="3">
        <f>IFERROR(INDEX('Data Source'!$P:$P,MATCH(766,'Data Source'!$T:$T,0)),"")</f>
        <v/>
      </c>
      <c r="D768" s="5">
        <f>IFERROR(INDEX('Data Source'!$Q:$Q,MATCH(766,'Data Source'!$T:$T,0)),"")</f>
        <v/>
      </c>
      <c r="E768" s="5">
        <f>IFERROR(INDEX('Data Source'!$R:$R,MATCH(766,'Data Source'!$T:$T,0)),"")</f>
        <v/>
      </c>
      <c r="F768" s="3">
        <f>IFERROR(INDEX('Data Source'!$S:$S,MATCH(766,'Data Source'!$T:$T,0)),"")</f>
        <v/>
      </c>
    </row>
    <row r="769">
      <c r="A769" s="3">
        <f>IFERROR(IF(COUNTIF('Data Source'!$T:$T,767)&gt;0,767,""),"")</f>
        <v/>
      </c>
      <c r="B769">
        <f>IFERROR(INDEX('Data Source'!$B:$B,MATCH(767,'Data Source'!$T:$T,0)),"")</f>
        <v/>
      </c>
      <c r="C769" s="3">
        <f>IFERROR(INDEX('Data Source'!$P:$P,MATCH(767,'Data Source'!$T:$T,0)),"")</f>
        <v/>
      </c>
      <c r="D769" s="5">
        <f>IFERROR(INDEX('Data Source'!$Q:$Q,MATCH(767,'Data Source'!$T:$T,0)),"")</f>
        <v/>
      </c>
      <c r="E769" s="5">
        <f>IFERROR(INDEX('Data Source'!$R:$R,MATCH(767,'Data Source'!$T:$T,0)),"")</f>
        <v/>
      </c>
      <c r="F769" s="3">
        <f>IFERROR(INDEX('Data Source'!$S:$S,MATCH(767,'Data Source'!$T:$T,0)),"")</f>
        <v/>
      </c>
    </row>
    <row r="770">
      <c r="A770" s="3">
        <f>IFERROR(IF(COUNTIF('Data Source'!$T:$T,768)&gt;0,768,""),"")</f>
        <v/>
      </c>
      <c r="B770">
        <f>IFERROR(INDEX('Data Source'!$B:$B,MATCH(768,'Data Source'!$T:$T,0)),"")</f>
        <v/>
      </c>
      <c r="C770" s="3">
        <f>IFERROR(INDEX('Data Source'!$P:$P,MATCH(768,'Data Source'!$T:$T,0)),"")</f>
        <v/>
      </c>
      <c r="D770" s="5">
        <f>IFERROR(INDEX('Data Source'!$Q:$Q,MATCH(768,'Data Source'!$T:$T,0)),"")</f>
        <v/>
      </c>
      <c r="E770" s="5">
        <f>IFERROR(INDEX('Data Source'!$R:$R,MATCH(768,'Data Source'!$T:$T,0)),"")</f>
        <v/>
      </c>
      <c r="F770" s="3">
        <f>IFERROR(INDEX('Data Source'!$S:$S,MATCH(768,'Data Source'!$T:$T,0)),"")</f>
        <v/>
      </c>
    </row>
    <row r="771">
      <c r="A771" s="3">
        <f>IFERROR(IF(COUNTIF('Data Source'!$T:$T,769)&gt;0,769,""),"")</f>
        <v/>
      </c>
      <c r="B771">
        <f>IFERROR(INDEX('Data Source'!$B:$B,MATCH(769,'Data Source'!$T:$T,0)),"")</f>
        <v/>
      </c>
      <c r="C771" s="3">
        <f>IFERROR(INDEX('Data Source'!$P:$P,MATCH(769,'Data Source'!$T:$T,0)),"")</f>
        <v/>
      </c>
      <c r="D771" s="5">
        <f>IFERROR(INDEX('Data Source'!$Q:$Q,MATCH(769,'Data Source'!$T:$T,0)),"")</f>
        <v/>
      </c>
      <c r="E771" s="5">
        <f>IFERROR(INDEX('Data Source'!$R:$R,MATCH(769,'Data Source'!$T:$T,0)),"")</f>
        <v/>
      </c>
      <c r="F771" s="3">
        <f>IFERROR(INDEX('Data Source'!$S:$S,MATCH(769,'Data Source'!$T:$T,0)),"")</f>
        <v/>
      </c>
    </row>
    <row r="772">
      <c r="A772" s="3">
        <f>IFERROR(IF(COUNTIF('Data Source'!$T:$T,770)&gt;0,770,""),"")</f>
        <v/>
      </c>
      <c r="B772">
        <f>IFERROR(INDEX('Data Source'!$B:$B,MATCH(770,'Data Source'!$T:$T,0)),"")</f>
        <v/>
      </c>
      <c r="C772" s="3">
        <f>IFERROR(INDEX('Data Source'!$P:$P,MATCH(770,'Data Source'!$T:$T,0)),"")</f>
        <v/>
      </c>
      <c r="D772" s="5">
        <f>IFERROR(INDEX('Data Source'!$Q:$Q,MATCH(770,'Data Source'!$T:$T,0)),"")</f>
        <v/>
      </c>
      <c r="E772" s="5">
        <f>IFERROR(INDEX('Data Source'!$R:$R,MATCH(770,'Data Source'!$T:$T,0)),"")</f>
        <v/>
      </c>
      <c r="F772" s="3">
        <f>IFERROR(INDEX('Data Source'!$S:$S,MATCH(770,'Data Source'!$T:$T,0)),"")</f>
        <v/>
      </c>
    </row>
    <row r="773">
      <c r="A773" s="3">
        <f>IFERROR(IF(COUNTIF('Data Source'!$T:$T,771)&gt;0,771,""),"")</f>
        <v/>
      </c>
      <c r="B773">
        <f>IFERROR(INDEX('Data Source'!$B:$B,MATCH(771,'Data Source'!$T:$T,0)),"")</f>
        <v/>
      </c>
      <c r="C773" s="3">
        <f>IFERROR(INDEX('Data Source'!$P:$P,MATCH(771,'Data Source'!$T:$T,0)),"")</f>
        <v/>
      </c>
      <c r="D773" s="5">
        <f>IFERROR(INDEX('Data Source'!$Q:$Q,MATCH(771,'Data Source'!$T:$T,0)),"")</f>
        <v/>
      </c>
      <c r="E773" s="5">
        <f>IFERROR(INDEX('Data Source'!$R:$R,MATCH(771,'Data Source'!$T:$T,0)),"")</f>
        <v/>
      </c>
      <c r="F773" s="3">
        <f>IFERROR(INDEX('Data Source'!$S:$S,MATCH(771,'Data Source'!$T:$T,0)),"")</f>
        <v/>
      </c>
    </row>
    <row r="774">
      <c r="A774" s="3">
        <f>IFERROR(IF(COUNTIF('Data Source'!$T:$T,772)&gt;0,772,""),"")</f>
        <v/>
      </c>
      <c r="B774">
        <f>IFERROR(INDEX('Data Source'!$B:$B,MATCH(772,'Data Source'!$T:$T,0)),"")</f>
        <v/>
      </c>
      <c r="C774" s="3">
        <f>IFERROR(INDEX('Data Source'!$P:$P,MATCH(772,'Data Source'!$T:$T,0)),"")</f>
        <v/>
      </c>
      <c r="D774" s="5">
        <f>IFERROR(INDEX('Data Source'!$Q:$Q,MATCH(772,'Data Source'!$T:$T,0)),"")</f>
        <v/>
      </c>
      <c r="E774" s="5">
        <f>IFERROR(INDEX('Data Source'!$R:$R,MATCH(772,'Data Source'!$T:$T,0)),"")</f>
        <v/>
      </c>
      <c r="F774" s="3">
        <f>IFERROR(INDEX('Data Source'!$S:$S,MATCH(772,'Data Source'!$T:$T,0)),"")</f>
        <v/>
      </c>
    </row>
    <row r="775">
      <c r="A775" s="3">
        <f>IFERROR(IF(COUNTIF('Data Source'!$T:$T,773)&gt;0,773,""),"")</f>
        <v/>
      </c>
      <c r="B775">
        <f>IFERROR(INDEX('Data Source'!$B:$B,MATCH(773,'Data Source'!$T:$T,0)),"")</f>
        <v/>
      </c>
      <c r="C775" s="3">
        <f>IFERROR(INDEX('Data Source'!$P:$P,MATCH(773,'Data Source'!$T:$T,0)),"")</f>
        <v/>
      </c>
      <c r="D775" s="5">
        <f>IFERROR(INDEX('Data Source'!$Q:$Q,MATCH(773,'Data Source'!$T:$T,0)),"")</f>
        <v/>
      </c>
      <c r="E775" s="5">
        <f>IFERROR(INDEX('Data Source'!$R:$R,MATCH(773,'Data Source'!$T:$T,0)),"")</f>
        <v/>
      </c>
      <c r="F775" s="3">
        <f>IFERROR(INDEX('Data Source'!$S:$S,MATCH(773,'Data Source'!$T:$T,0)),"")</f>
        <v/>
      </c>
    </row>
    <row r="776">
      <c r="A776" s="3">
        <f>IFERROR(IF(COUNTIF('Data Source'!$T:$T,774)&gt;0,774,""),"")</f>
        <v/>
      </c>
      <c r="B776">
        <f>IFERROR(INDEX('Data Source'!$B:$B,MATCH(774,'Data Source'!$T:$T,0)),"")</f>
        <v/>
      </c>
      <c r="C776" s="3">
        <f>IFERROR(INDEX('Data Source'!$P:$P,MATCH(774,'Data Source'!$T:$T,0)),"")</f>
        <v/>
      </c>
      <c r="D776" s="5">
        <f>IFERROR(INDEX('Data Source'!$Q:$Q,MATCH(774,'Data Source'!$T:$T,0)),"")</f>
        <v/>
      </c>
      <c r="E776" s="5">
        <f>IFERROR(INDEX('Data Source'!$R:$R,MATCH(774,'Data Source'!$T:$T,0)),"")</f>
        <v/>
      </c>
      <c r="F776" s="3">
        <f>IFERROR(INDEX('Data Source'!$S:$S,MATCH(774,'Data Source'!$T:$T,0)),"")</f>
        <v/>
      </c>
    </row>
    <row r="777">
      <c r="A777" s="3">
        <f>IFERROR(IF(COUNTIF('Data Source'!$T:$T,775)&gt;0,775,""),"")</f>
        <v/>
      </c>
      <c r="B777">
        <f>IFERROR(INDEX('Data Source'!$B:$B,MATCH(775,'Data Source'!$T:$T,0)),"")</f>
        <v/>
      </c>
      <c r="C777" s="3">
        <f>IFERROR(INDEX('Data Source'!$P:$P,MATCH(775,'Data Source'!$T:$T,0)),"")</f>
        <v/>
      </c>
      <c r="D777" s="5">
        <f>IFERROR(INDEX('Data Source'!$Q:$Q,MATCH(775,'Data Source'!$T:$T,0)),"")</f>
        <v/>
      </c>
      <c r="E777" s="5">
        <f>IFERROR(INDEX('Data Source'!$R:$R,MATCH(775,'Data Source'!$T:$T,0)),"")</f>
        <v/>
      </c>
      <c r="F777" s="3">
        <f>IFERROR(INDEX('Data Source'!$S:$S,MATCH(775,'Data Source'!$T:$T,0)),"")</f>
        <v/>
      </c>
    </row>
    <row r="778">
      <c r="A778" s="3">
        <f>IFERROR(IF(COUNTIF('Data Source'!$T:$T,776)&gt;0,776,""),"")</f>
        <v/>
      </c>
      <c r="B778">
        <f>IFERROR(INDEX('Data Source'!$B:$B,MATCH(776,'Data Source'!$T:$T,0)),"")</f>
        <v/>
      </c>
      <c r="C778" s="3">
        <f>IFERROR(INDEX('Data Source'!$P:$P,MATCH(776,'Data Source'!$T:$T,0)),"")</f>
        <v/>
      </c>
      <c r="D778" s="5">
        <f>IFERROR(INDEX('Data Source'!$Q:$Q,MATCH(776,'Data Source'!$T:$T,0)),"")</f>
        <v/>
      </c>
      <c r="E778" s="5">
        <f>IFERROR(INDEX('Data Source'!$R:$R,MATCH(776,'Data Source'!$T:$T,0)),"")</f>
        <v/>
      </c>
      <c r="F778" s="3">
        <f>IFERROR(INDEX('Data Source'!$S:$S,MATCH(776,'Data Source'!$T:$T,0)),"")</f>
        <v/>
      </c>
    </row>
    <row r="779">
      <c r="A779" s="3">
        <f>IFERROR(IF(COUNTIF('Data Source'!$T:$T,777)&gt;0,777,""),"")</f>
        <v/>
      </c>
      <c r="B779">
        <f>IFERROR(INDEX('Data Source'!$B:$B,MATCH(777,'Data Source'!$T:$T,0)),"")</f>
        <v/>
      </c>
      <c r="C779" s="3">
        <f>IFERROR(INDEX('Data Source'!$P:$P,MATCH(777,'Data Source'!$T:$T,0)),"")</f>
        <v/>
      </c>
      <c r="D779" s="5">
        <f>IFERROR(INDEX('Data Source'!$Q:$Q,MATCH(777,'Data Source'!$T:$T,0)),"")</f>
        <v/>
      </c>
      <c r="E779" s="5">
        <f>IFERROR(INDEX('Data Source'!$R:$R,MATCH(777,'Data Source'!$T:$T,0)),"")</f>
        <v/>
      </c>
      <c r="F779" s="3">
        <f>IFERROR(INDEX('Data Source'!$S:$S,MATCH(777,'Data Source'!$T:$T,0)),"")</f>
        <v/>
      </c>
    </row>
    <row r="780">
      <c r="A780" s="3">
        <f>IFERROR(IF(COUNTIF('Data Source'!$T:$T,778)&gt;0,778,""),"")</f>
        <v/>
      </c>
      <c r="B780">
        <f>IFERROR(INDEX('Data Source'!$B:$B,MATCH(778,'Data Source'!$T:$T,0)),"")</f>
        <v/>
      </c>
      <c r="C780" s="3">
        <f>IFERROR(INDEX('Data Source'!$P:$P,MATCH(778,'Data Source'!$T:$T,0)),"")</f>
        <v/>
      </c>
      <c r="D780" s="5">
        <f>IFERROR(INDEX('Data Source'!$Q:$Q,MATCH(778,'Data Source'!$T:$T,0)),"")</f>
        <v/>
      </c>
      <c r="E780" s="5">
        <f>IFERROR(INDEX('Data Source'!$R:$R,MATCH(778,'Data Source'!$T:$T,0)),"")</f>
        <v/>
      </c>
      <c r="F780" s="3">
        <f>IFERROR(INDEX('Data Source'!$S:$S,MATCH(778,'Data Source'!$T:$T,0)),"")</f>
        <v/>
      </c>
    </row>
    <row r="781">
      <c r="A781" s="3">
        <f>IFERROR(IF(COUNTIF('Data Source'!$T:$T,779)&gt;0,779,""),"")</f>
        <v/>
      </c>
      <c r="B781">
        <f>IFERROR(INDEX('Data Source'!$B:$B,MATCH(779,'Data Source'!$T:$T,0)),"")</f>
        <v/>
      </c>
      <c r="C781" s="3">
        <f>IFERROR(INDEX('Data Source'!$P:$P,MATCH(779,'Data Source'!$T:$T,0)),"")</f>
        <v/>
      </c>
      <c r="D781" s="5">
        <f>IFERROR(INDEX('Data Source'!$Q:$Q,MATCH(779,'Data Source'!$T:$T,0)),"")</f>
        <v/>
      </c>
      <c r="E781" s="5">
        <f>IFERROR(INDEX('Data Source'!$R:$R,MATCH(779,'Data Source'!$T:$T,0)),"")</f>
        <v/>
      </c>
      <c r="F781" s="3">
        <f>IFERROR(INDEX('Data Source'!$S:$S,MATCH(779,'Data Source'!$T:$T,0)),"")</f>
        <v/>
      </c>
    </row>
    <row r="782">
      <c r="A782" s="3">
        <f>IFERROR(IF(COUNTIF('Data Source'!$T:$T,780)&gt;0,780,""),"")</f>
        <v/>
      </c>
      <c r="B782">
        <f>IFERROR(INDEX('Data Source'!$B:$B,MATCH(780,'Data Source'!$T:$T,0)),"")</f>
        <v/>
      </c>
      <c r="C782" s="3">
        <f>IFERROR(INDEX('Data Source'!$P:$P,MATCH(780,'Data Source'!$T:$T,0)),"")</f>
        <v/>
      </c>
      <c r="D782" s="5">
        <f>IFERROR(INDEX('Data Source'!$Q:$Q,MATCH(780,'Data Source'!$T:$T,0)),"")</f>
        <v/>
      </c>
      <c r="E782" s="5">
        <f>IFERROR(INDEX('Data Source'!$R:$R,MATCH(780,'Data Source'!$T:$T,0)),"")</f>
        <v/>
      </c>
      <c r="F782" s="3">
        <f>IFERROR(INDEX('Data Source'!$S:$S,MATCH(780,'Data Source'!$T:$T,0)),"")</f>
        <v/>
      </c>
    </row>
    <row r="783">
      <c r="A783" s="3">
        <f>IFERROR(IF(COUNTIF('Data Source'!$T:$T,781)&gt;0,781,""),"")</f>
        <v/>
      </c>
      <c r="B783">
        <f>IFERROR(INDEX('Data Source'!$B:$B,MATCH(781,'Data Source'!$T:$T,0)),"")</f>
        <v/>
      </c>
      <c r="C783" s="3">
        <f>IFERROR(INDEX('Data Source'!$P:$P,MATCH(781,'Data Source'!$T:$T,0)),"")</f>
        <v/>
      </c>
      <c r="D783" s="5">
        <f>IFERROR(INDEX('Data Source'!$Q:$Q,MATCH(781,'Data Source'!$T:$T,0)),"")</f>
        <v/>
      </c>
      <c r="E783" s="5">
        <f>IFERROR(INDEX('Data Source'!$R:$R,MATCH(781,'Data Source'!$T:$T,0)),"")</f>
        <v/>
      </c>
      <c r="F783" s="3">
        <f>IFERROR(INDEX('Data Source'!$S:$S,MATCH(781,'Data Source'!$T:$T,0)),"")</f>
        <v/>
      </c>
    </row>
    <row r="784">
      <c r="A784" s="3">
        <f>IFERROR(IF(COUNTIF('Data Source'!$T:$T,782)&gt;0,782,""),"")</f>
        <v/>
      </c>
      <c r="B784">
        <f>IFERROR(INDEX('Data Source'!$B:$B,MATCH(782,'Data Source'!$T:$T,0)),"")</f>
        <v/>
      </c>
      <c r="C784" s="3">
        <f>IFERROR(INDEX('Data Source'!$P:$P,MATCH(782,'Data Source'!$T:$T,0)),"")</f>
        <v/>
      </c>
      <c r="D784" s="5">
        <f>IFERROR(INDEX('Data Source'!$Q:$Q,MATCH(782,'Data Source'!$T:$T,0)),"")</f>
        <v/>
      </c>
      <c r="E784" s="5">
        <f>IFERROR(INDEX('Data Source'!$R:$R,MATCH(782,'Data Source'!$T:$T,0)),"")</f>
        <v/>
      </c>
      <c r="F784" s="3">
        <f>IFERROR(INDEX('Data Source'!$S:$S,MATCH(782,'Data Source'!$T:$T,0)),"")</f>
        <v/>
      </c>
    </row>
    <row r="785">
      <c r="A785" s="3">
        <f>IFERROR(IF(COUNTIF('Data Source'!$T:$T,783)&gt;0,783,""),"")</f>
        <v/>
      </c>
      <c r="B785">
        <f>IFERROR(INDEX('Data Source'!$B:$B,MATCH(783,'Data Source'!$T:$T,0)),"")</f>
        <v/>
      </c>
      <c r="C785" s="3">
        <f>IFERROR(INDEX('Data Source'!$P:$P,MATCH(783,'Data Source'!$T:$T,0)),"")</f>
        <v/>
      </c>
      <c r="D785" s="5">
        <f>IFERROR(INDEX('Data Source'!$Q:$Q,MATCH(783,'Data Source'!$T:$T,0)),"")</f>
        <v/>
      </c>
      <c r="E785" s="5">
        <f>IFERROR(INDEX('Data Source'!$R:$R,MATCH(783,'Data Source'!$T:$T,0)),"")</f>
        <v/>
      </c>
      <c r="F785" s="3">
        <f>IFERROR(INDEX('Data Source'!$S:$S,MATCH(783,'Data Source'!$T:$T,0)),"")</f>
        <v/>
      </c>
    </row>
    <row r="786">
      <c r="A786" s="3">
        <f>IFERROR(IF(COUNTIF('Data Source'!$T:$T,784)&gt;0,784,""),"")</f>
        <v/>
      </c>
      <c r="B786">
        <f>IFERROR(INDEX('Data Source'!$B:$B,MATCH(784,'Data Source'!$T:$T,0)),"")</f>
        <v/>
      </c>
      <c r="C786" s="3">
        <f>IFERROR(INDEX('Data Source'!$P:$P,MATCH(784,'Data Source'!$T:$T,0)),"")</f>
        <v/>
      </c>
      <c r="D786" s="5">
        <f>IFERROR(INDEX('Data Source'!$Q:$Q,MATCH(784,'Data Source'!$T:$T,0)),"")</f>
        <v/>
      </c>
      <c r="E786" s="5">
        <f>IFERROR(INDEX('Data Source'!$R:$R,MATCH(784,'Data Source'!$T:$T,0)),"")</f>
        <v/>
      </c>
      <c r="F786" s="3">
        <f>IFERROR(INDEX('Data Source'!$S:$S,MATCH(784,'Data Source'!$T:$T,0)),"")</f>
        <v/>
      </c>
    </row>
    <row r="787">
      <c r="A787" s="3">
        <f>IFERROR(IF(COUNTIF('Data Source'!$T:$T,785)&gt;0,785,""),"")</f>
        <v/>
      </c>
      <c r="B787">
        <f>IFERROR(INDEX('Data Source'!$B:$B,MATCH(785,'Data Source'!$T:$T,0)),"")</f>
        <v/>
      </c>
      <c r="C787" s="3">
        <f>IFERROR(INDEX('Data Source'!$P:$P,MATCH(785,'Data Source'!$T:$T,0)),"")</f>
        <v/>
      </c>
      <c r="D787" s="5">
        <f>IFERROR(INDEX('Data Source'!$Q:$Q,MATCH(785,'Data Source'!$T:$T,0)),"")</f>
        <v/>
      </c>
      <c r="E787" s="5">
        <f>IFERROR(INDEX('Data Source'!$R:$R,MATCH(785,'Data Source'!$T:$T,0)),"")</f>
        <v/>
      </c>
      <c r="F787" s="3">
        <f>IFERROR(INDEX('Data Source'!$S:$S,MATCH(785,'Data Source'!$T:$T,0)),"")</f>
        <v/>
      </c>
    </row>
    <row r="788">
      <c r="A788" s="3">
        <f>IFERROR(IF(COUNTIF('Data Source'!$T:$T,786)&gt;0,786,""),"")</f>
        <v/>
      </c>
      <c r="B788">
        <f>IFERROR(INDEX('Data Source'!$B:$B,MATCH(786,'Data Source'!$T:$T,0)),"")</f>
        <v/>
      </c>
      <c r="C788" s="3">
        <f>IFERROR(INDEX('Data Source'!$P:$P,MATCH(786,'Data Source'!$T:$T,0)),"")</f>
        <v/>
      </c>
      <c r="D788" s="5">
        <f>IFERROR(INDEX('Data Source'!$Q:$Q,MATCH(786,'Data Source'!$T:$T,0)),"")</f>
        <v/>
      </c>
      <c r="E788" s="5">
        <f>IFERROR(INDEX('Data Source'!$R:$R,MATCH(786,'Data Source'!$T:$T,0)),"")</f>
        <v/>
      </c>
      <c r="F788" s="3">
        <f>IFERROR(INDEX('Data Source'!$S:$S,MATCH(786,'Data Source'!$T:$T,0)),"")</f>
        <v/>
      </c>
    </row>
    <row r="789">
      <c r="A789" s="3">
        <f>IFERROR(IF(COUNTIF('Data Source'!$T:$T,787)&gt;0,787,""),"")</f>
        <v/>
      </c>
      <c r="B789">
        <f>IFERROR(INDEX('Data Source'!$B:$B,MATCH(787,'Data Source'!$T:$T,0)),"")</f>
        <v/>
      </c>
      <c r="C789" s="3">
        <f>IFERROR(INDEX('Data Source'!$P:$P,MATCH(787,'Data Source'!$T:$T,0)),"")</f>
        <v/>
      </c>
      <c r="D789" s="5">
        <f>IFERROR(INDEX('Data Source'!$Q:$Q,MATCH(787,'Data Source'!$T:$T,0)),"")</f>
        <v/>
      </c>
      <c r="E789" s="5">
        <f>IFERROR(INDEX('Data Source'!$R:$R,MATCH(787,'Data Source'!$T:$T,0)),"")</f>
        <v/>
      </c>
      <c r="F789" s="3">
        <f>IFERROR(INDEX('Data Source'!$S:$S,MATCH(787,'Data Source'!$T:$T,0)),"")</f>
        <v/>
      </c>
    </row>
    <row r="790">
      <c r="A790" s="3">
        <f>IFERROR(IF(COUNTIF('Data Source'!$T:$T,788)&gt;0,788,""),"")</f>
        <v/>
      </c>
      <c r="B790">
        <f>IFERROR(INDEX('Data Source'!$B:$B,MATCH(788,'Data Source'!$T:$T,0)),"")</f>
        <v/>
      </c>
      <c r="C790" s="3">
        <f>IFERROR(INDEX('Data Source'!$P:$P,MATCH(788,'Data Source'!$T:$T,0)),"")</f>
        <v/>
      </c>
      <c r="D790" s="5">
        <f>IFERROR(INDEX('Data Source'!$Q:$Q,MATCH(788,'Data Source'!$T:$T,0)),"")</f>
        <v/>
      </c>
      <c r="E790" s="5">
        <f>IFERROR(INDEX('Data Source'!$R:$R,MATCH(788,'Data Source'!$T:$T,0)),"")</f>
        <v/>
      </c>
      <c r="F790" s="3">
        <f>IFERROR(INDEX('Data Source'!$S:$S,MATCH(788,'Data Source'!$T:$T,0)),"")</f>
        <v/>
      </c>
    </row>
    <row r="791">
      <c r="A791" s="3">
        <f>IFERROR(IF(COUNTIF('Data Source'!$T:$T,789)&gt;0,789,""),"")</f>
        <v/>
      </c>
      <c r="B791">
        <f>IFERROR(INDEX('Data Source'!$B:$B,MATCH(789,'Data Source'!$T:$T,0)),"")</f>
        <v/>
      </c>
      <c r="C791" s="3">
        <f>IFERROR(INDEX('Data Source'!$P:$P,MATCH(789,'Data Source'!$T:$T,0)),"")</f>
        <v/>
      </c>
      <c r="D791" s="5">
        <f>IFERROR(INDEX('Data Source'!$Q:$Q,MATCH(789,'Data Source'!$T:$T,0)),"")</f>
        <v/>
      </c>
      <c r="E791" s="5">
        <f>IFERROR(INDEX('Data Source'!$R:$R,MATCH(789,'Data Source'!$T:$T,0)),"")</f>
        <v/>
      </c>
      <c r="F791" s="3">
        <f>IFERROR(INDEX('Data Source'!$S:$S,MATCH(789,'Data Source'!$T:$T,0)),"")</f>
        <v/>
      </c>
    </row>
    <row r="792">
      <c r="A792" s="3">
        <f>IFERROR(IF(COUNTIF('Data Source'!$T:$T,790)&gt;0,790,""),"")</f>
        <v/>
      </c>
      <c r="B792">
        <f>IFERROR(INDEX('Data Source'!$B:$B,MATCH(790,'Data Source'!$T:$T,0)),"")</f>
        <v/>
      </c>
      <c r="C792" s="3">
        <f>IFERROR(INDEX('Data Source'!$P:$P,MATCH(790,'Data Source'!$T:$T,0)),"")</f>
        <v/>
      </c>
      <c r="D792" s="5">
        <f>IFERROR(INDEX('Data Source'!$Q:$Q,MATCH(790,'Data Source'!$T:$T,0)),"")</f>
        <v/>
      </c>
      <c r="E792" s="5">
        <f>IFERROR(INDEX('Data Source'!$R:$R,MATCH(790,'Data Source'!$T:$T,0)),"")</f>
        <v/>
      </c>
      <c r="F792" s="3">
        <f>IFERROR(INDEX('Data Source'!$S:$S,MATCH(790,'Data Source'!$T:$T,0)),"")</f>
        <v/>
      </c>
    </row>
    <row r="793">
      <c r="A793" s="3">
        <f>IFERROR(IF(COUNTIF('Data Source'!$T:$T,791)&gt;0,791,""),"")</f>
        <v/>
      </c>
      <c r="B793">
        <f>IFERROR(INDEX('Data Source'!$B:$B,MATCH(791,'Data Source'!$T:$T,0)),"")</f>
        <v/>
      </c>
      <c r="C793" s="3">
        <f>IFERROR(INDEX('Data Source'!$P:$P,MATCH(791,'Data Source'!$T:$T,0)),"")</f>
        <v/>
      </c>
      <c r="D793" s="5">
        <f>IFERROR(INDEX('Data Source'!$Q:$Q,MATCH(791,'Data Source'!$T:$T,0)),"")</f>
        <v/>
      </c>
      <c r="E793" s="5">
        <f>IFERROR(INDEX('Data Source'!$R:$R,MATCH(791,'Data Source'!$T:$T,0)),"")</f>
        <v/>
      </c>
      <c r="F793" s="3">
        <f>IFERROR(INDEX('Data Source'!$S:$S,MATCH(791,'Data Source'!$T:$T,0)),"")</f>
        <v/>
      </c>
    </row>
    <row r="794">
      <c r="A794" s="3">
        <f>IFERROR(IF(COUNTIF('Data Source'!$T:$T,792)&gt;0,792,""),"")</f>
        <v/>
      </c>
      <c r="B794">
        <f>IFERROR(INDEX('Data Source'!$B:$B,MATCH(792,'Data Source'!$T:$T,0)),"")</f>
        <v/>
      </c>
      <c r="C794" s="3">
        <f>IFERROR(INDEX('Data Source'!$P:$P,MATCH(792,'Data Source'!$T:$T,0)),"")</f>
        <v/>
      </c>
      <c r="D794" s="5">
        <f>IFERROR(INDEX('Data Source'!$Q:$Q,MATCH(792,'Data Source'!$T:$T,0)),"")</f>
        <v/>
      </c>
      <c r="E794" s="5">
        <f>IFERROR(INDEX('Data Source'!$R:$R,MATCH(792,'Data Source'!$T:$T,0)),"")</f>
        <v/>
      </c>
      <c r="F794" s="3">
        <f>IFERROR(INDEX('Data Source'!$S:$S,MATCH(792,'Data Source'!$T:$T,0)),"")</f>
        <v/>
      </c>
    </row>
    <row r="795">
      <c r="A795" s="3">
        <f>IFERROR(IF(COUNTIF('Data Source'!$T:$T,793)&gt;0,793,""),"")</f>
        <v/>
      </c>
      <c r="B795">
        <f>IFERROR(INDEX('Data Source'!$B:$B,MATCH(793,'Data Source'!$T:$T,0)),"")</f>
        <v/>
      </c>
      <c r="C795" s="3">
        <f>IFERROR(INDEX('Data Source'!$P:$P,MATCH(793,'Data Source'!$T:$T,0)),"")</f>
        <v/>
      </c>
      <c r="D795" s="5">
        <f>IFERROR(INDEX('Data Source'!$Q:$Q,MATCH(793,'Data Source'!$T:$T,0)),"")</f>
        <v/>
      </c>
      <c r="E795" s="5">
        <f>IFERROR(INDEX('Data Source'!$R:$R,MATCH(793,'Data Source'!$T:$T,0)),"")</f>
        <v/>
      </c>
      <c r="F795" s="3">
        <f>IFERROR(INDEX('Data Source'!$S:$S,MATCH(793,'Data Source'!$T:$T,0)),"")</f>
        <v/>
      </c>
    </row>
    <row r="796">
      <c r="A796" s="3">
        <f>IFERROR(IF(COUNTIF('Data Source'!$T:$T,794)&gt;0,794,""),"")</f>
        <v/>
      </c>
      <c r="B796">
        <f>IFERROR(INDEX('Data Source'!$B:$B,MATCH(794,'Data Source'!$T:$T,0)),"")</f>
        <v/>
      </c>
      <c r="C796" s="3">
        <f>IFERROR(INDEX('Data Source'!$P:$P,MATCH(794,'Data Source'!$T:$T,0)),"")</f>
        <v/>
      </c>
      <c r="D796" s="5">
        <f>IFERROR(INDEX('Data Source'!$Q:$Q,MATCH(794,'Data Source'!$T:$T,0)),"")</f>
        <v/>
      </c>
      <c r="E796" s="5">
        <f>IFERROR(INDEX('Data Source'!$R:$R,MATCH(794,'Data Source'!$T:$T,0)),"")</f>
        <v/>
      </c>
      <c r="F796" s="3">
        <f>IFERROR(INDEX('Data Source'!$S:$S,MATCH(794,'Data Source'!$T:$T,0)),"")</f>
        <v/>
      </c>
    </row>
    <row r="797">
      <c r="A797" s="3">
        <f>IFERROR(IF(COUNTIF('Data Source'!$T:$T,795)&gt;0,795,""),"")</f>
        <v/>
      </c>
      <c r="B797">
        <f>IFERROR(INDEX('Data Source'!$B:$B,MATCH(795,'Data Source'!$T:$T,0)),"")</f>
        <v/>
      </c>
      <c r="C797" s="3">
        <f>IFERROR(INDEX('Data Source'!$P:$P,MATCH(795,'Data Source'!$T:$T,0)),"")</f>
        <v/>
      </c>
      <c r="D797" s="5">
        <f>IFERROR(INDEX('Data Source'!$Q:$Q,MATCH(795,'Data Source'!$T:$T,0)),"")</f>
        <v/>
      </c>
      <c r="E797" s="5">
        <f>IFERROR(INDEX('Data Source'!$R:$R,MATCH(795,'Data Source'!$T:$T,0)),"")</f>
        <v/>
      </c>
      <c r="F797" s="3">
        <f>IFERROR(INDEX('Data Source'!$S:$S,MATCH(795,'Data Source'!$T:$T,0)),"")</f>
        <v/>
      </c>
    </row>
    <row r="798">
      <c r="A798" s="3">
        <f>IFERROR(IF(COUNTIF('Data Source'!$T:$T,796)&gt;0,796,""),"")</f>
        <v/>
      </c>
      <c r="B798">
        <f>IFERROR(INDEX('Data Source'!$B:$B,MATCH(796,'Data Source'!$T:$T,0)),"")</f>
        <v/>
      </c>
      <c r="C798" s="3">
        <f>IFERROR(INDEX('Data Source'!$P:$P,MATCH(796,'Data Source'!$T:$T,0)),"")</f>
        <v/>
      </c>
      <c r="D798" s="5">
        <f>IFERROR(INDEX('Data Source'!$Q:$Q,MATCH(796,'Data Source'!$T:$T,0)),"")</f>
        <v/>
      </c>
      <c r="E798" s="5">
        <f>IFERROR(INDEX('Data Source'!$R:$R,MATCH(796,'Data Source'!$T:$T,0)),"")</f>
        <v/>
      </c>
      <c r="F798" s="3">
        <f>IFERROR(INDEX('Data Source'!$S:$S,MATCH(796,'Data Source'!$T:$T,0)),"")</f>
        <v/>
      </c>
    </row>
    <row r="799">
      <c r="A799" s="3">
        <f>IFERROR(IF(COUNTIF('Data Source'!$T:$T,797)&gt;0,797,""),"")</f>
        <v/>
      </c>
      <c r="B799">
        <f>IFERROR(INDEX('Data Source'!$B:$B,MATCH(797,'Data Source'!$T:$T,0)),"")</f>
        <v/>
      </c>
      <c r="C799" s="3">
        <f>IFERROR(INDEX('Data Source'!$P:$P,MATCH(797,'Data Source'!$T:$T,0)),"")</f>
        <v/>
      </c>
      <c r="D799" s="5">
        <f>IFERROR(INDEX('Data Source'!$Q:$Q,MATCH(797,'Data Source'!$T:$T,0)),"")</f>
        <v/>
      </c>
      <c r="E799" s="5">
        <f>IFERROR(INDEX('Data Source'!$R:$R,MATCH(797,'Data Source'!$T:$T,0)),"")</f>
        <v/>
      </c>
      <c r="F799" s="3">
        <f>IFERROR(INDEX('Data Source'!$S:$S,MATCH(797,'Data Source'!$T:$T,0)),"")</f>
        <v/>
      </c>
    </row>
    <row r="800">
      <c r="A800" s="3">
        <f>IFERROR(IF(COUNTIF('Data Source'!$T:$T,798)&gt;0,798,""),"")</f>
        <v/>
      </c>
      <c r="B800">
        <f>IFERROR(INDEX('Data Source'!$B:$B,MATCH(798,'Data Source'!$T:$T,0)),"")</f>
        <v/>
      </c>
      <c r="C800" s="3">
        <f>IFERROR(INDEX('Data Source'!$P:$P,MATCH(798,'Data Source'!$T:$T,0)),"")</f>
        <v/>
      </c>
      <c r="D800" s="5">
        <f>IFERROR(INDEX('Data Source'!$Q:$Q,MATCH(798,'Data Source'!$T:$T,0)),"")</f>
        <v/>
      </c>
      <c r="E800" s="5">
        <f>IFERROR(INDEX('Data Source'!$R:$R,MATCH(798,'Data Source'!$T:$T,0)),"")</f>
        <v/>
      </c>
      <c r="F800" s="3">
        <f>IFERROR(INDEX('Data Source'!$S:$S,MATCH(798,'Data Source'!$T:$T,0)),"")</f>
        <v/>
      </c>
    </row>
    <row r="801">
      <c r="A801" s="3">
        <f>IFERROR(IF(COUNTIF('Data Source'!$T:$T,799)&gt;0,799,""),"")</f>
        <v/>
      </c>
      <c r="B801">
        <f>IFERROR(INDEX('Data Source'!$B:$B,MATCH(799,'Data Source'!$T:$T,0)),"")</f>
        <v/>
      </c>
      <c r="C801" s="3">
        <f>IFERROR(INDEX('Data Source'!$P:$P,MATCH(799,'Data Source'!$T:$T,0)),"")</f>
        <v/>
      </c>
      <c r="D801" s="5">
        <f>IFERROR(INDEX('Data Source'!$Q:$Q,MATCH(799,'Data Source'!$T:$T,0)),"")</f>
        <v/>
      </c>
      <c r="E801" s="5">
        <f>IFERROR(INDEX('Data Source'!$R:$R,MATCH(799,'Data Source'!$T:$T,0)),"")</f>
        <v/>
      </c>
      <c r="F801" s="3">
        <f>IFERROR(INDEX('Data Source'!$S:$S,MATCH(799,'Data Source'!$T:$T,0)),"")</f>
        <v/>
      </c>
    </row>
    <row r="802">
      <c r="A802" s="3">
        <f>IFERROR(IF(COUNTIF('Data Source'!$T:$T,800)&gt;0,800,""),"")</f>
        <v/>
      </c>
      <c r="B802">
        <f>IFERROR(INDEX('Data Source'!$B:$B,MATCH(800,'Data Source'!$T:$T,0)),"")</f>
        <v/>
      </c>
      <c r="C802" s="3">
        <f>IFERROR(INDEX('Data Source'!$P:$P,MATCH(800,'Data Source'!$T:$T,0)),"")</f>
        <v/>
      </c>
      <c r="D802" s="5">
        <f>IFERROR(INDEX('Data Source'!$Q:$Q,MATCH(800,'Data Source'!$T:$T,0)),"")</f>
        <v/>
      </c>
      <c r="E802" s="5">
        <f>IFERROR(INDEX('Data Source'!$R:$R,MATCH(800,'Data Source'!$T:$T,0)),"")</f>
        <v/>
      </c>
      <c r="F802" s="3">
        <f>IFERROR(INDEX('Data Source'!$S:$S,MATCH(800,'Data Source'!$T:$T,0)),"")</f>
        <v/>
      </c>
    </row>
    <row r="803">
      <c r="A803" s="3">
        <f>IFERROR(IF(COUNTIF('Data Source'!$T:$T,801)&gt;0,801,""),"")</f>
        <v/>
      </c>
      <c r="B803">
        <f>IFERROR(INDEX('Data Source'!$B:$B,MATCH(801,'Data Source'!$T:$T,0)),"")</f>
        <v/>
      </c>
      <c r="C803" s="3">
        <f>IFERROR(INDEX('Data Source'!$P:$P,MATCH(801,'Data Source'!$T:$T,0)),"")</f>
        <v/>
      </c>
      <c r="D803" s="5">
        <f>IFERROR(INDEX('Data Source'!$Q:$Q,MATCH(801,'Data Source'!$T:$T,0)),"")</f>
        <v/>
      </c>
      <c r="E803" s="5">
        <f>IFERROR(INDEX('Data Source'!$R:$R,MATCH(801,'Data Source'!$T:$T,0)),"")</f>
        <v/>
      </c>
      <c r="F803" s="3">
        <f>IFERROR(INDEX('Data Source'!$S:$S,MATCH(801,'Data Source'!$T:$T,0)),"")</f>
        <v/>
      </c>
    </row>
    <row r="804">
      <c r="A804" s="3">
        <f>IFERROR(IF(COUNTIF('Data Source'!$T:$T,802)&gt;0,802,""),"")</f>
        <v/>
      </c>
      <c r="B804">
        <f>IFERROR(INDEX('Data Source'!$B:$B,MATCH(802,'Data Source'!$T:$T,0)),"")</f>
        <v/>
      </c>
      <c r="C804" s="3">
        <f>IFERROR(INDEX('Data Source'!$P:$P,MATCH(802,'Data Source'!$T:$T,0)),"")</f>
        <v/>
      </c>
      <c r="D804" s="5">
        <f>IFERROR(INDEX('Data Source'!$Q:$Q,MATCH(802,'Data Source'!$T:$T,0)),"")</f>
        <v/>
      </c>
      <c r="E804" s="5">
        <f>IFERROR(INDEX('Data Source'!$R:$R,MATCH(802,'Data Source'!$T:$T,0)),"")</f>
        <v/>
      </c>
      <c r="F804" s="3">
        <f>IFERROR(INDEX('Data Source'!$S:$S,MATCH(802,'Data Source'!$T:$T,0)),"")</f>
        <v/>
      </c>
    </row>
    <row r="805">
      <c r="A805" s="3">
        <f>IFERROR(IF(COUNTIF('Data Source'!$T:$T,803)&gt;0,803,""),"")</f>
        <v/>
      </c>
      <c r="B805">
        <f>IFERROR(INDEX('Data Source'!$B:$B,MATCH(803,'Data Source'!$T:$T,0)),"")</f>
        <v/>
      </c>
      <c r="C805" s="3">
        <f>IFERROR(INDEX('Data Source'!$P:$P,MATCH(803,'Data Source'!$T:$T,0)),"")</f>
        <v/>
      </c>
      <c r="D805" s="5">
        <f>IFERROR(INDEX('Data Source'!$Q:$Q,MATCH(803,'Data Source'!$T:$T,0)),"")</f>
        <v/>
      </c>
      <c r="E805" s="5">
        <f>IFERROR(INDEX('Data Source'!$R:$R,MATCH(803,'Data Source'!$T:$T,0)),"")</f>
        <v/>
      </c>
      <c r="F805" s="3">
        <f>IFERROR(INDEX('Data Source'!$S:$S,MATCH(803,'Data Source'!$T:$T,0)),"")</f>
        <v/>
      </c>
    </row>
    <row r="806">
      <c r="A806" s="3">
        <f>IFERROR(IF(COUNTIF('Data Source'!$T:$T,804)&gt;0,804,""),"")</f>
        <v/>
      </c>
      <c r="B806">
        <f>IFERROR(INDEX('Data Source'!$B:$B,MATCH(804,'Data Source'!$T:$T,0)),"")</f>
        <v/>
      </c>
      <c r="C806" s="3">
        <f>IFERROR(INDEX('Data Source'!$P:$P,MATCH(804,'Data Source'!$T:$T,0)),"")</f>
        <v/>
      </c>
      <c r="D806" s="5">
        <f>IFERROR(INDEX('Data Source'!$Q:$Q,MATCH(804,'Data Source'!$T:$T,0)),"")</f>
        <v/>
      </c>
      <c r="E806" s="5">
        <f>IFERROR(INDEX('Data Source'!$R:$R,MATCH(804,'Data Source'!$T:$T,0)),"")</f>
        <v/>
      </c>
      <c r="F806" s="3">
        <f>IFERROR(INDEX('Data Source'!$S:$S,MATCH(804,'Data Source'!$T:$T,0)),"")</f>
        <v/>
      </c>
    </row>
    <row r="807">
      <c r="A807" s="3">
        <f>IFERROR(IF(COUNTIF('Data Source'!$T:$T,805)&gt;0,805,""),"")</f>
        <v/>
      </c>
      <c r="B807">
        <f>IFERROR(INDEX('Data Source'!$B:$B,MATCH(805,'Data Source'!$T:$T,0)),"")</f>
        <v/>
      </c>
      <c r="C807" s="3">
        <f>IFERROR(INDEX('Data Source'!$P:$P,MATCH(805,'Data Source'!$T:$T,0)),"")</f>
        <v/>
      </c>
      <c r="D807" s="5">
        <f>IFERROR(INDEX('Data Source'!$Q:$Q,MATCH(805,'Data Source'!$T:$T,0)),"")</f>
        <v/>
      </c>
      <c r="E807" s="5">
        <f>IFERROR(INDEX('Data Source'!$R:$R,MATCH(805,'Data Source'!$T:$T,0)),"")</f>
        <v/>
      </c>
      <c r="F807" s="3">
        <f>IFERROR(INDEX('Data Source'!$S:$S,MATCH(805,'Data Source'!$T:$T,0)),"")</f>
        <v/>
      </c>
    </row>
    <row r="808">
      <c r="A808" s="3">
        <f>IFERROR(IF(COUNTIF('Data Source'!$T:$T,806)&gt;0,806,""),"")</f>
        <v/>
      </c>
      <c r="B808">
        <f>IFERROR(INDEX('Data Source'!$B:$B,MATCH(806,'Data Source'!$T:$T,0)),"")</f>
        <v/>
      </c>
      <c r="C808" s="3">
        <f>IFERROR(INDEX('Data Source'!$P:$P,MATCH(806,'Data Source'!$T:$T,0)),"")</f>
        <v/>
      </c>
      <c r="D808" s="5">
        <f>IFERROR(INDEX('Data Source'!$Q:$Q,MATCH(806,'Data Source'!$T:$T,0)),"")</f>
        <v/>
      </c>
      <c r="E808" s="5">
        <f>IFERROR(INDEX('Data Source'!$R:$R,MATCH(806,'Data Source'!$T:$T,0)),"")</f>
        <v/>
      </c>
      <c r="F808" s="3">
        <f>IFERROR(INDEX('Data Source'!$S:$S,MATCH(806,'Data Source'!$T:$T,0)),"")</f>
        <v/>
      </c>
    </row>
    <row r="809">
      <c r="A809" s="3">
        <f>IFERROR(IF(COUNTIF('Data Source'!$T:$T,807)&gt;0,807,""),"")</f>
        <v/>
      </c>
      <c r="B809">
        <f>IFERROR(INDEX('Data Source'!$B:$B,MATCH(807,'Data Source'!$T:$T,0)),"")</f>
        <v/>
      </c>
      <c r="C809" s="3">
        <f>IFERROR(INDEX('Data Source'!$P:$P,MATCH(807,'Data Source'!$T:$T,0)),"")</f>
        <v/>
      </c>
      <c r="D809" s="5">
        <f>IFERROR(INDEX('Data Source'!$Q:$Q,MATCH(807,'Data Source'!$T:$T,0)),"")</f>
        <v/>
      </c>
      <c r="E809" s="5">
        <f>IFERROR(INDEX('Data Source'!$R:$R,MATCH(807,'Data Source'!$T:$T,0)),"")</f>
        <v/>
      </c>
      <c r="F809" s="3">
        <f>IFERROR(INDEX('Data Source'!$S:$S,MATCH(807,'Data Source'!$T:$T,0)),"")</f>
        <v/>
      </c>
    </row>
    <row r="810">
      <c r="A810" s="3">
        <f>IFERROR(IF(COUNTIF('Data Source'!$T:$T,808)&gt;0,808,""),"")</f>
        <v/>
      </c>
      <c r="B810">
        <f>IFERROR(INDEX('Data Source'!$B:$B,MATCH(808,'Data Source'!$T:$T,0)),"")</f>
        <v/>
      </c>
      <c r="C810" s="3">
        <f>IFERROR(INDEX('Data Source'!$P:$P,MATCH(808,'Data Source'!$T:$T,0)),"")</f>
        <v/>
      </c>
      <c r="D810" s="5">
        <f>IFERROR(INDEX('Data Source'!$Q:$Q,MATCH(808,'Data Source'!$T:$T,0)),"")</f>
        <v/>
      </c>
      <c r="E810" s="5">
        <f>IFERROR(INDEX('Data Source'!$R:$R,MATCH(808,'Data Source'!$T:$T,0)),"")</f>
        <v/>
      </c>
      <c r="F810" s="3">
        <f>IFERROR(INDEX('Data Source'!$S:$S,MATCH(808,'Data Source'!$T:$T,0)),"")</f>
        <v/>
      </c>
    </row>
    <row r="811">
      <c r="A811" s="3">
        <f>IFERROR(IF(COUNTIF('Data Source'!$T:$T,809)&gt;0,809,""),"")</f>
        <v/>
      </c>
      <c r="B811">
        <f>IFERROR(INDEX('Data Source'!$B:$B,MATCH(809,'Data Source'!$T:$T,0)),"")</f>
        <v/>
      </c>
      <c r="C811" s="3">
        <f>IFERROR(INDEX('Data Source'!$P:$P,MATCH(809,'Data Source'!$T:$T,0)),"")</f>
        <v/>
      </c>
      <c r="D811" s="5">
        <f>IFERROR(INDEX('Data Source'!$Q:$Q,MATCH(809,'Data Source'!$T:$T,0)),"")</f>
        <v/>
      </c>
      <c r="E811" s="5">
        <f>IFERROR(INDEX('Data Source'!$R:$R,MATCH(809,'Data Source'!$T:$T,0)),"")</f>
        <v/>
      </c>
      <c r="F811" s="3">
        <f>IFERROR(INDEX('Data Source'!$S:$S,MATCH(809,'Data Source'!$T:$T,0)),"")</f>
        <v/>
      </c>
    </row>
    <row r="812">
      <c r="A812" s="3">
        <f>IFERROR(IF(COUNTIF('Data Source'!$T:$T,810)&gt;0,810,""),"")</f>
        <v/>
      </c>
      <c r="B812">
        <f>IFERROR(INDEX('Data Source'!$B:$B,MATCH(810,'Data Source'!$T:$T,0)),"")</f>
        <v/>
      </c>
      <c r="C812" s="3">
        <f>IFERROR(INDEX('Data Source'!$P:$P,MATCH(810,'Data Source'!$T:$T,0)),"")</f>
        <v/>
      </c>
      <c r="D812" s="5">
        <f>IFERROR(INDEX('Data Source'!$Q:$Q,MATCH(810,'Data Source'!$T:$T,0)),"")</f>
        <v/>
      </c>
      <c r="E812" s="5">
        <f>IFERROR(INDEX('Data Source'!$R:$R,MATCH(810,'Data Source'!$T:$T,0)),"")</f>
        <v/>
      </c>
      <c r="F812" s="3">
        <f>IFERROR(INDEX('Data Source'!$S:$S,MATCH(810,'Data Source'!$T:$T,0)),"")</f>
        <v/>
      </c>
    </row>
    <row r="813">
      <c r="A813" s="3">
        <f>IFERROR(IF(COUNTIF('Data Source'!$T:$T,811)&gt;0,811,""),"")</f>
        <v/>
      </c>
      <c r="B813">
        <f>IFERROR(INDEX('Data Source'!$B:$B,MATCH(811,'Data Source'!$T:$T,0)),"")</f>
        <v/>
      </c>
      <c r="C813" s="3">
        <f>IFERROR(INDEX('Data Source'!$P:$P,MATCH(811,'Data Source'!$T:$T,0)),"")</f>
        <v/>
      </c>
      <c r="D813" s="5">
        <f>IFERROR(INDEX('Data Source'!$Q:$Q,MATCH(811,'Data Source'!$T:$T,0)),"")</f>
        <v/>
      </c>
      <c r="E813" s="5">
        <f>IFERROR(INDEX('Data Source'!$R:$R,MATCH(811,'Data Source'!$T:$T,0)),"")</f>
        <v/>
      </c>
      <c r="F813" s="3">
        <f>IFERROR(INDEX('Data Source'!$S:$S,MATCH(811,'Data Source'!$T:$T,0)),"")</f>
        <v/>
      </c>
    </row>
    <row r="814">
      <c r="A814" s="3">
        <f>IFERROR(IF(COUNTIF('Data Source'!$T:$T,812)&gt;0,812,""),"")</f>
        <v/>
      </c>
      <c r="B814">
        <f>IFERROR(INDEX('Data Source'!$B:$B,MATCH(812,'Data Source'!$T:$T,0)),"")</f>
        <v/>
      </c>
      <c r="C814" s="3">
        <f>IFERROR(INDEX('Data Source'!$P:$P,MATCH(812,'Data Source'!$T:$T,0)),"")</f>
        <v/>
      </c>
      <c r="D814" s="5">
        <f>IFERROR(INDEX('Data Source'!$Q:$Q,MATCH(812,'Data Source'!$T:$T,0)),"")</f>
        <v/>
      </c>
      <c r="E814" s="5">
        <f>IFERROR(INDEX('Data Source'!$R:$R,MATCH(812,'Data Source'!$T:$T,0)),"")</f>
        <v/>
      </c>
      <c r="F814" s="3">
        <f>IFERROR(INDEX('Data Source'!$S:$S,MATCH(812,'Data Source'!$T:$T,0)),"")</f>
        <v/>
      </c>
    </row>
    <row r="815">
      <c r="A815" s="3">
        <f>IFERROR(IF(COUNTIF('Data Source'!$T:$T,813)&gt;0,813,""),"")</f>
        <v/>
      </c>
      <c r="B815">
        <f>IFERROR(INDEX('Data Source'!$B:$B,MATCH(813,'Data Source'!$T:$T,0)),"")</f>
        <v/>
      </c>
      <c r="C815" s="3">
        <f>IFERROR(INDEX('Data Source'!$P:$P,MATCH(813,'Data Source'!$T:$T,0)),"")</f>
        <v/>
      </c>
      <c r="D815" s="5">
        <f>IFERROR(INDEX('Data Source'!$Q:$Q,MATCH(813,'Data Source'!$T:$T,0)),"")</f>
        <v/>
      </c>
      <c r="E815" s="5">
        <f>IFERROR(INDEX('Data Source'!$R:$R,MATCH(813,'Data Source'!$T:$T,0)),"")</f>
        <v/>
      </c>
      <c r="F815" s="3">
        <f>IFERROR(INDEX('Data Source'!$S:$S,MATCH(813,'Data Source'!$T:$T,0)),"")</f>
        <v/>
      </c>
    </row>
    <row r="816">
      <c r="A816" s="3">
        <f>IFERROR(IF(COUNTIF('Data Source'!$T:$T,814)&gt;0,814,""),"")</f>
        <v/>
      </c>
      <c r="B816">
        <f>IFERROR(INDEX('Data Source'!$B:$B,MATCH(814,'Data Source'!$T:$T,0)),"")</f>
        <v/>
      </c>
      <c r="C816" s="3">
        <f>IFERROR(INDEX('Data Source'!$P:$P,MATCH(814,'Data Source'!$T:$T,0)),"")</f>
        <v/>
      </c>
      <c r="D816" s="5">
        <f>IFERROR(INDEX('Data Source'!$Q:$Q,MATCH(814,'Data Source'!$T:$T,0)),"")</f>
        <v/>
      </c>
      <c r="E816" s="5">
        <f>IFERROR(INDEX('Data Source'!$R:$R,MATCH(814,'Data Source'!$T:$T,0)),"")</f>
        <v/>
      </c>
      <c r="F816" s="3">
        <f>IFERROR(INDEX('Data Source'!$S:$S,MATCH(814,'Data Source'!$T:$T,0)),"")</f>
        <v/>
      </c>
    </row>
    <row r="817">
      <c r="A817" s="3">
        <f>IFERROR(IF(COUNTIF('Data Source'!$T:$T,815)&gt;0,815,""),"")</f>
        <v/>
      </c>
      <c r="B817">
        <f>IFERROR(INDEX('Data Source'!$B:$B,MATCH(815,'Data Source'!$T:$T,0)),"")</f>
        <v/>
      </c>
      <c r="C817" s="3">
        <f>IFERROR(INDEX('Data Source'!$P:$P,MATCH(815,'Data Source'!$T:$T,0)),"")</f>
        <v/>
      </c>
      <c r="D817" s="5">
        <f>IFERROR(INDEX('Data Source'!$Q:$Q,MATCH(815,'Data Source'!$T:$T,0)),"")</f>
        <v/>
      </c>
      <c r="E817" s="5">
        <f>IFERROR(INDEX('Data Source'!$R:$R,MATCH(815,'Data Source'!$T:$T,0)),"")</f>
        <v/>
      </c>
      <c r="F817" s="3">
        <f>IFERROR(INDEX('Data Source'!$S:$S,MATCH(815,'Data Source'!$T:$T,0)),"")</f>
        <v/>
      </c>
    </row>
    <row r="818">
      <c r="A818" s="3">
        <f>IFERROR(IF(COUNTIF('Data Source'!$T:$T,816)&gt;0,816,""),"")</f>
        <v/>
      </c>
      <c r="B818">
        <f>IFERROR(INDEX('Data Source'!$B:$B,MATCH(816,'Data Source'!$T:$T,0)),"")</f>
        <v/>
      </c>
      <c r="C818" s="3">
        <f>IFERROR(INDEX('Data Source'!$P:$P,MATCH(816,'Data Source'!$T:$T,0)),"")</f>
        <v/>
      </c>
      <c r="D818" s="5">
        <f>IFERROR(INDEX('Data Source'!$Q:$Q,MATCH(816,'Data Source'!$T:$T,0)),"")</f>
        <v/>
      </c>
      <c r="E818" s="5">
        <f>IFERROR(INDEX('Data Source'!$R:$R,MATCH(816,'Data Source'!$T:$T,0)),"")</f>
        <v/>
      </c>
      <c r="F818" s="3">
        <f>IFERROR(INDEX('Data Source'!$S:$S,MATCH(816,'Data Source'!$T:$T,0)),"")</f>
        <v/>
      </c>
    </row>
    <row r="819">
      <c r="A819" s="3">
        <f>IFERROR(IF(COUNTIF('Data Source'!$T:$T,817)&gt;0,817,""),"")</f>
        <v/>
      </c>
      <c r="B819">
        <f>IFERROR(INDEX('Data Source'!$B:$B,MATCH(817,'Data Source'!$T:$T,0)),"")</f>
        <v/>
      </c>
      <c r="C819" s="3">
        <f>IFERROR(INDEX('Data Source'!$P:$P,MATCH(817,'Data Source'!$T:$T,0)),"")</f>
        <v/>
      </c>
      <c r="D819" s="5">
        <f>IFERROR(INDEX('Data Source'!$Q:$Q,MATCH(817,'Data Source'!$T:$T,0)),"")</f>
        <v/>
      </c>
      <c r="E819" s="5">
        <f>IFERROR(INDEX('Data Source'!$R:$R,MATCH(817,'Data Source'!$T:$T,0)),"")</f>
        <v/>
      </c>
      <c r="F819" s="3">
        <f>IFERROR(INDEX('Data Source'!$S:$S,MATCH(817,'Data Source'!$T:$T,0)),"")</f>
        <v/>
      </c>
    </row>
    <row r="820">
      <c r="A820" s="3">
        <f>IFERROR(IF(COUNTIF('Data Source'!$T:$T,818)&gt;0,818,""),"")</f>
        <v/>
      </c>
      <c r="B820">
        <f>IFERROR(INDEX('Data Source'!$B:$B,MATCH(818,'Data Source'!$T:$T,0)),"")</f>
        <v/>
      </c>
      <c r="C820" s="3">
        <f>IFERROR(INDEX('Data Source'!$P:$P,MATCH(818,'Data Source'!$T:$T,0)),"")</f>
        <v/>
      </c>
      <c r="D820" s="5">
        <f>IFERROR(INDEX('Data Source'!$Q:$Q,MATCH(818,'Data Source'!$T:$T,0)),"")</f>
        <v/>
      </c>
      <c r="E820" s="5">
        <f>IFERROR(INDEX('Data Source'!$R:$R,MATCH(818,'Data Source'!$T:$T,0)),"")</f>
        <v/>
      </c>
      <c r="F820" s="3">
        <f>IFERROR(INDEX('Data Source'!$S:$S,MATCH(818,'Data Source'!$T:$T,0)),"")</f>
        <v/>
      </c>
    </row>
    <row r="821">
      <c r="A821" s="3">
        <f>IFERROR(IF(COUNTIF('Data Source'!$T:$T,819)&gt;0,819,""),"")</f>
        <v/>
      </c>
      <c r="B821">
        <f>IFERROR(INDEX('Data Source'!$B:$B,MATCH(819,'Data Source'!$T:$T,0)),"")</f>
        <v/>
      </c>
      <c r="C821" s="3">
        <f>IFERROR(INDEX('Data Source'!$P:$P,MATCH(819,'Data Source'!$T:$T,0)),"")</f>
        <v/>
      </c>
      <c r="D821" s="5">
        <f>IFERROR(INDEX('Data Source'!$Q:$Q,MATCH(819,'Data Source'!$T:$T,0)),"")</f>
        <v/>
      </c>
      <c r="E821" s="5">
        <f>IFERROR(INDEX('Data Source'!$R:$R,MATCH(819,'Data Source'!$T:$T,0)),"")</f>
        <v/>
      </c>
      <c r="F821" s="3">
        <f>IFERROR(INDEX('Data Source'!$S:$S,MATCH(819,'Data Source'!$T:$T,0)),"")</f>
        <v/>
      </c>
    </row>
    <row r="822">
      <c r="A822" s="3">
        <f>IFERROR(IF(COUNTIF('Data Source'!$T:$T,820)&gt;0,820,""),"")</f>
        <v/>
      </c>
      <c r="B822">
        <f>IFERROR(INDEX('Data Source'!$B:$B,MATCH(820,'Data Source'!$T:$T,0)),"")</f>
        <v/>
      </c>
      <c r="C822" s="3">
        <f>IFERROR(INDEX('Data Source'!$P:$P,MATCH(820,'Data Source'!$T:$T,0)),"")</f>
        <v/>
      </c>
      <c r="D822" s="5">
        <f>IFERROR(INDEX('Data Source'!$Q:$Q,MATCH(820,'Data Source'!$T:$T,0)),"")</f>
        <v/>
      </c>
      <c r="E822" s="5">
        <f>IFERROR(INDEX('Data Source'!$R:$R,MATCH(820,'Data Source'!$T:$T,0)),"")</f>
        <v/>
      </c>
      <c r="F822" s="3">
        <f>IFERROR(INDEX('Data Source'!$S:$S,MATCH(820,'Data Source'!$T:$T,0)),"")</f>
        <v/>
      </c>
    </row>
    <row r="823">
      <c r="A823" s="3">
        <f>IFERROR(IF(COUNTIF('Data Source'!$T:$T,821)&gt;0,821,""),"")</f>
        <v/>
      </c>
      <c r="B823">
        <f>IFERROR(INDEX('Data Source'!$B:$B,MATCH(821,'Data Source'!$T:$T,0)),"")</f>
        <v/>
      </c>
      <c r="C823" s="3">
        <f>IFERROR(INDEX('Data Source'!$P:$P,MATCH(821,'Data Source'!$T:$T,0)),"")</f>
        <v/>
      </c>
      <c r="D823" s="5">
        <f>IFERROR(INDEX('Data Source'!$Q:$Q,MATCH(821,'Data Source'!$T:$T,0)),"")</f>
        <v/>
      </c>
      <c r="E823" s="5">
        <f>IFERROR(INDEX('Data Source'!$R:$R,MATCH(821,'Data Source'!$T:$T,0)),"")</f>
        <v/>
      </c>
      <c r="F823" s="3">
        <f>IFERROR(INDEX('Data Source'!$S:$S,MATCH(821,'Data Source'!$T:$T,0)),"")</f>
        <v/>
      </c>
    </row>
    <row r="824">
      <c r="A824" s="3">
        <f>IFERROR(IF(COUNTIF('Data Source'!$T:$T,822)&gt;0,822,""),"")</f>
        <v/>
      </c>
      <c r="B824">
        <f>IFERROR(INDEX('Data Source'!$B:$B,MATCH(822,'Data Source'!$T:$T,0)),"")</f>
        <v/>
      </c>
      <c r="C824" s="3">
        <f>IFERROR(INDEX('Data Source'!$P:$P,MATCH(822,'Data Source'!$T:$T,0)),"")</f>
        <v/>
      </c>
      <c r="D824" s="5">
        <f>IFERROR(INDEX('Data Source'!$Q:$Q,MATCH(822,'Data Source'!$T:$T,0)),"")</f>
        <v/>
      </c>
      <c r="E824" s="5">
        <f>IFERROR(INDEX('Data Source'!$R:$R,MATCH(822,'Data Source'!$T:$T,0)),"")</f>
        <v/>
      </c>
      <c r="F824" s="3">
        <f>IFERROR(INDEX('Data Source'!$S:$S,MATCH(822,'Data Source'!$T:$T,0)),"")</f>
        <v/>
      </c>
    </row>
    <row r="825">
      <c r="A825" s="3">
        <f>IFERROR(IF(COUNTIF('Data Source'!$T:$T,823)&gt;0,823,""),"")</f>
        <v/>
      </c>
      <c r="B825">
        <f>IFERROR(INDEX('Data Source'!$B:$B,MATCH(823,'Data Source'!$T:$T,0)),"")</f>
        <v/>
      </c>
      <c r="C825" s="3">
        <f>IFERROR(INDEX('Data Source'!$P:$P,MATCH(823,'Data Source'!$T:$T,0)),"")</f>
        <v/>
      </c>
      <c r="D825" s="5">
        <f>IFERROR(INDEX('Data Source'!$Q:$Q,MATCH(823,'Data Source'!$T:$T,0)),"")</f>
        <v/>
      </c>
      <c r="E825" s="5">
        <f>IFERROR(INDEX('Data Source'!$R:$R,MATCH(823,'Data Source'!$T:$T,0)),"")</f>
        <v/>
      </c>
      <c r="F825" s="3">
        <f>IFERROR(INDEX('Data Source'!$S:$S,MATCH(823,'Data Source'!$T:$T,0)),"")</f>
        <v/>
      </c>
    </row>
    <row r="826">
      <c r="A826" s="3">
        <f>IFERROR(IF(COUNTIF('Data Source'!$T:$T,824)&gt;0,824,""),"")</f>
        <v/>
      </c>
      <c r="B826">
        <f>IFERROR(INDEX('Data Source'!$B:$B,MATCH(824,'Data Source'!$T:$T,0)),"")</f>
        <v/>
      </c>
      <c r="C826" s="3">
        <f>IFERROR(INDEX('Data Source'!$P:$P,MATCH(824,'Data Source'!$T:$T,0)),"")</f>
        <v/>
      </c>
      <c r="D826" s="5">
        <f>IFERROR(INDEX('Data Source'!$Q:$Q,MATCH(824,'Data Source'!$T:$T,0)),"")</f>
        <v/>
      </c>
      <c r="E826" s="5">
        <f>IFERROR(INDEX('Data Source'!$R:$R,MATCH(824,'Data Source'!$T:$T,0)),"")</f>
        <v/>
      </c>
      <c r="F826" s="3">
        <f>IFERROR(INDEX('Data Source'!$S:$S,MATCH(824,'Data Source'!$T:$T,0)),"")</f>
        <v/>
      </c>
    </row>
    <row r="827">
      <c r="A827" s="3">
        <f>IFERROR(IF(COUNTIF('Data Source'!$T:$T,825)&gt;0,825,""),"")</f>
        <v/>
      </c>
      <c r="B827">
        <f>IFERROR(INDEX('Data Source'!$B:$B,MATCH(825,'Data Source'!$T:$T,0)),"")</f>
        <v/>
      </c>
      <c r="C827" s="3">
        <f>IFERROR(INDEX('Data Source'!$P:$P,MATCH(825,'Data Source'!$T:$T,0)),"")</f>
        <v/>
      </c>
      <c r="D827" s="5">
        <f>IFERROR(INDEX('Data Source'!$Q:$Q,MATCH(825,'Data Source'!$T:$T,0)),"")</f>
        <v/>
      </c>
      <c r="E827" s="5">
        <f>IFERROR(INDEX('Data Source'!$R:$R,MATCH(825,'Data Source'!$T:$T,0)),"")</f>
        <v/>
      </c>
      <c r="F827" s="3">
        <f>IFERROR(INDEX('Data Source'!$S:$S,MATCH(825,'Data Source'!$T:$T,0)),"")</f>
        <v/>
      </c>
    </row>
    <row r="828">
      <c r="A828" s="3">
        <f>IFERROR(IF(COUNTIF('Data Source'!$T:$T,826)&gt;0,826,""),"")</f>
        <v/>
      </c>
      <c r="B828">
        <f>IFERROR(INDEX('Data Source'!$B:$B,MATCH(826,'Data Source'!$T:$T,0)),"")</f>
        <v/>
      </c>
      <c r="C828" s="3">
        <f>IFERROR(INDEX('Data Source'!$P:$P,MATCH(826,'Data Source'!$T:$T,0)),"")</f>
        <v/>
      </c>
      <c r="D828" s="5">
        <f>IFERROR(INDEX('Data Source'!$Q:$Q,MATCH(826,'Data Source'!$T:$T,0)),"")</f>
        <v/>
      </c>
      <c r="E828" s="5">
        <f>IFERROR(INDEX('Data Source'!$R:$R,MATCH(826,'Data Source'!$T:$T,0)),"")</f>
        <v/>
      </c>
      <c r="F828" s="3">
        <f>IFERROR(INDEX('Data Source'!$S:$S,MATCH(826,'Data Source'!$T:$T,0)),"")</f>
        <v/>
      </c>
    </row>
    <row r="829">
      <c r="A829" s="3">
        <f>IFERROR(IF(COUNTIF('Data Source'!$T:$T,827)&gt;0,827,""),"")</f>
        <v/>
      </c>
      <c r="B829">
        <f>IFERROR(INDEX('Data Source'!$B:$B,MATCH(827,'Data Source'!$T:$T,0)),"")</f>
        <v/>
      </c>
      <c r="C829" s="3">
        <f>IFERROR(INDEX('Data Source'!$P:$P,MATCH(827,'Data Source'!$T:$T,0)),"")</f>
        <v/>
      </c>
      <c r="D829" s="5">
        <f>IFERROR(INDEX('Data Source'!$Q:$Q,MATCH(827,'Data Source'!$T:$T,0)),"")</f>
        <v/>
      </c>
      <c r="E829" s="5">
        <f>IFERROR(INDEX('Data Source'!$R:$R,MATCH(827,'Data Source'!$T:$T,0)),"")</f>
        <v/>
      </c>
      <c r="F829" s="3">
        <f>IFERROR(INDEX('Data Source'!$S:$S,MATCH(827,'Data Source'!$T:$T,0)),"")</f>
        <v/>
      </c>
    </row>
    <row r="830">
      <c r="A830" s="3">
        <f>IFERROR(IF(COUNTIF('Data Source'!$T:$T,828)&gt;0,828,""),"")</f>
        <v/>
      </c>
      <c r="B830">
        <f>IFERROR(INDEX('Data Source'!$B:$B,MATCH(828,'Data Source'!$T:$T,0)),"")</f>
        <v/>
      </c>
      <c r="C830" s="3">
        <f>IFERROR(INDEX('Data Source'!$P:$P,MATCH(828,'Data Source'!$T:$T,0)),"")</f>
        <v/>
      </c>
      <c r="D830" s="5">
        <f>IFERROR(INDEX('Data Source'!$Q:$Q,MATCH(828,'Data Source'!$T:$T,0)),"")</f>
        <v/>
      </c>
      <c r="E830" s="5">
        <f>IFERROR(INDEX('Data Source'!$R:$R,MATCH(828,'Data Source'!$T:$T,0)),"")</f>
        <v/>
      </c>
      <c r="F830" s="3">
        <f>IFERROR(INDEX('Data Source'!$S:$S,MATCH(828,'Data Source'!$T:$T,0)),"")</f>
        <v/>
      </c>
    </row>
    <row r="831">
      <c r="A831" s="3">
        <f>IFERROR(IF(COUNTIF('Data Source'!$T:$T,829)&gt;0,829,""),"")</f>
        <v/>
      </c>
      <c r="B831">
        <f>IFERROR(INDEX('Data Source'!$B:$B,MATCH(829,'Data Source'!$T:$T,0)),"")</f>
        <v/>
      </c>
      <c r="C831" s="3">
        <f>IFERROR(INDEX('Data Source'!$P:$P,MATCH(829,'Data Source'!$T:$T,0)),"")</f>
        <v/>
      </c>
      <c r="D831" s="5">
        <f>IFERROR(INDEX('Data Source'!$Q:$Q,MATCH(829,'Data Source'!$T:$T,0)),"")</f>
        <v/>
      </c>
      <c r="E831" s="5">
        <f>IFERROR(INDEX('Data Source'!$R:$R,MATCH(829,'Data Source'!$T:$T,0)),"")</f>
        <v/>
      </c>
      <c r="F831" s="3">
        <f>IFERROR(INDEX('Data Source'!$S:$S,MATCH(829,'Data Source'!$T:$T,0)),"")</f>
        <v/>
      </c>
    </row>
    <row r="832">
      <c r="A832" s="3">
        <f>IFERROR(IF(COUNTIF('Data Source'!$T:$T,830)&gt;0,830,""),"")</f>
        <v/>
      </c>
      <c r="B832">
        <f>IFERROR(INDEX('Data Source'!$B:$B,MATCH(830,'Data Source'!$T:$T,0)),"")</f>
        <v/>
      </c>
      <c r="C832" s="3">
        <f>IFERROR(INDEX('Data Source'!$P:$P,MATCH(830,'Data Source'!$T:$T,0)),"")</f>
        <v/>
      </c>
      <c r="D832" s="5">
        <f>IFERROR(INDEX('Data Source'!$Q:$Q,MATCH(830,'Data Source'!$T:$T,0)),"")</f>
        <v/>
      </c>
      <c r="E832" s="5">
        <f>IFERROR(INDEX('Data Source'!$R:$R,MATCH(830,'Data Source'!$T:$T,0)),"")</f>
        <v/>
      </c>
      <c r="F832" s="3">
        <f>IFERROR(INDEX('Data Source'!$S:$S,MATCH(830,'Data Source'!$T:$T,0)),"")</f>
        <v/>
      </c>
    </row>
    <row r="833">
      <c r="A833" s="3">
        <f>IFERROR(IF(COUNTIF('Data Source'!$T:$T,831)&gt;0,831,""),"")</f>
        <v/>
      </c>
      <c r="B833">
        <f>IFERROR(INDEX('Data Source'!$B:$B,MATCH(831,'Data Source'!$T:$T,0)),"")</f>
        <v/>
      </c>
      <c r="C833" s="3">
        <f>IFERROR(INDEX('Data Source'!$P:$P,MATCH(831,'Data Source'!$T:$T,0)),"")</f>
        <v/>
      </c>
      <c r="D833" s="5">
        <f>IFERROR(INDEX('Data Source'!$Q:$Q,MATCH(831,'Data Source'!$T:$T,0)),"")</f>
        <v/>
      </c>
      <c r="E833" s="5">
        <f>IFERROR(INDEX('Data Source'!$R:$R,MATCH(831,'Data Source'!$T:$T,0)),"")</f>
        <v/>
      </c>
      <c r="F833" s="3">
        <f>IFERROR(INDEX('Data Source'!$S:$S,MATCH(831,'Data Source'!$T:$T,0)),"")</f>
        <v/>
      </c>
    </row>
    <row r="834">
      <c r="A834" s="3">
        <f>IFERROR(IF(COUNTIF('Data Source'!$T:$T,832)&gt;0,832,""),"")</f>
        <v/>
      </c>
      <c r="B834">
        <f>IFERROR(INDEX('Data Source'!$B:$B,MATCH(832,'Data Source'!$T:$T,0)),"")</f>
        <v/>
      </c>
      <c r="C834" s="3">
        <f>IFERROR(INDEX('Data Source'!$P:$P,MATCH(832,'Data Source'!$T:$T,0)),"")</f>
        <v/>
      </c>
      <c r="D834" s="5">
        <f>IFERROR(INDEX('Data Source'!$Q:$Q,MATCH(832,'Data Source'!$T:$T,0)),"")</f>
        <v/>
      </c>
      <c r="E834" s="5">
        <f>IFERROR(INDEX('Data Source'!$R:$R,MATCH(832,'Data Source'!$T:$T,0)),"")</f>
        <v/>
      </c>
      <c r="F834" s="3">
        <f>IFERROR(INDEX('Data Source'!$S:$S,MATCH(832,'Data Source'!$T:$T,0)),"")</f>
        <v/>
      </c>
    </row>
    <row r="835">
      <c r="A835" s="3">
        <f>IFERROR(IF(COUNTIF('Data Source'!$T:$T,833)&gt;0,833,""),"")</f>
        <v/>
      </c>
      <c r="B835">
        <f>IFERROR(INDEX('Data Source'!$B:$B,MATCH(833,'Data Source'!$T:$T,0)),"")</f>
        <v/>
      </c>
      <c r="C835" s="3">
        <f>IFERROR(INDEX('Data Source'!$P:$P,MATCH(833,'Data Source'!$T:$T,0)),"")</f>
        <v/>
      </c>
      <c r="D835" s="5">
        <f>IFERROR(INDEX('Data Source'!$Q:$Q,MATCH(833,'Data Source'!$T:$T,0)),"")</f>
        <v/>
      </c>
      <c r="E835" s="5">
        <f>IFERROR(INDEX('Data Source'!$R:$R,MATCH(833,'Data Source'!$T:$T,0)),"")</f>
        <v/>
      </c>
      <c r="F835" s="3">
        <f>IFERROR(INDEX('Data Source'!$S:$S,MATCH(833,'Data Source'!$T:$T,0)),"")</f>
        <v/>
      </c>
    </row>
    <row r="836">
      <c r="A836" s="3">
        <f>IFERROR(IF(COUNTIF('Data Source'!$T:$T,834)&gt;0,834,""),"")</f>
        <v/>
      </c>
      <c r="B836">
        <f>IFERROR(INDEX('Data Source'!$B:$B,MATCH(834,'Data Source'!$T:$T,0)),"")</f>
        <v/>
      </c>
      <c r="C836" s="3">
        <f>IFERROR(INDEX('Data Source'!$P:$P,MATCH(834,'Data Source'!$T:$T,0)),"")</f>
        <v/>
      </c>
      <c r="D836" s="5">
        <f>IFERROR(INDEX('Data Source'!$Q:$Q,MATCH(834,'Data Source'!$T:$T,0)),"")</f>
        <v/>
      </c>
      <c r="E836" s="5">
        <f>IFERROR(INDEX('Data Source'!$R:$R,MATCH(834,'Data Source'!$T:$T,0)),"")</f>
        <v/>
      </c>
      <c r="F836" s="3">
        <f>IFERROR(INDEX('Data Source'!$S:$S,MATCH(834,'Data Source'!$T:$T,0)),"")</f>
        <v/>
      </c>
    </row>
    <row r="837">
      <c r="A837" s="3">
        <f>IFERROR(IF(COUNTIF('Data Source'!$T:$T,835)&gt;0,835,""),"")</f>
        <v/>
      </c>
      <c r="B837">
        <f>IFERROR(INDEX('Data Source'!$B:$B,MATCH(835,'Data Source'!$T:$T,0)),"")</f>
        <v/>
      </c>
      <c r="C837" s="3">
        <f>IFERROR(INDEX('Data Source'!$P:$P,MATCH(835,'Data Source'!$T:$T,0)),"")</f>
        <v/>
      </c>
      <c r="D837" s="5">
        <f>IFERROR(INDEX('Data Source'!$Q:$Q,MATCH(835,'Data Source'!$T:$T,0)),"")</f>
        <v/>
      </c>
      <c r="E837" s="5">
        <f>IFERROR(INDEX('Data Source'!$R:$R,MATCH(835,'Data Source'!$T:$T,0)),"")</f>
        <v/>
      </c>
      <c r="F837" s="3">
        <f>IFERROR(INDEX('Data Source'!$S:$S,MATCH(835,'Data Source'!$T:$T,0)),"")</f>
        <v/>
      </c>
    </row>
    <row r="838">
      <c r="A838" s="3">
        <f>IFERROR(IF(COUNTIF('Data Source'!$T:$T,836)&gt;0,836,""),"")</f>
        <v/>
      </c>
      <c r="B838">
        <f>IFERROR(INDEX('Data Source'!$B:$B,MATCH(836,'Data Source'!$T:$T,0)),"")</f>
        <v/>
      </c>
      <c r="C838" s="3">
        <f>IFERROR(INDEX('Data Source'!$P:$P,MATCH(836,'Data Source'!$T:$T,0)),"")</f>
        <v/>
      </c>
      <c r="D838" s="5">
        <f>IFERROR(INDEX('Data Source'!$Q:$Q,MATCH(836,'Data Source'!$T:$T,0)),"")</f>
        <v/>
      </c>
      <c r="E838" s="5">
        <f>IFERROR(INDEX('Data Source'!$R:$R,MATCH(836,'Data Source'!$T:$T,0)),"")</f>
        <v/>
      </c>
      <c r="F838" s="3">
        <f>IFERROR(INDEX('Data Source'!$S:$S,MATCH(836,'Data Source'!$T:$T,0)),"")</f>
        <v/>
      </c>
    </row>
    <row r="839">
      <c r="A839" s="3">
        <f>IFERROR(IF(COUNTIF('Data Source'!$T:$T,837)&gt;0,837,""),"")</f>
        <v/>
      </c>
      <c r="B839">
        <f>IFERROR(INDEX('Data Source'!$B:$B,MATCH(837,'Data Source'!$T:$T,0)),"")</f>
        <v/>
      </c>
      <c r="C839" s="3">
        <f>IFERROR(INDEX('Data Source'!$P:$P,MATCH(837,'Data Source'!$T:$T,0)),"")</f>
        <v/>
      </c>
      <c r="D839" s="5">
        <f>IFERROR(INDEX('Data Source'!$Q:$Q,MATCH(837,'Data Source'!$T:$T,0)),"")</f>
        <v/>
      </c>
      <c r="E839" s="5">
        <f>IFERROR(INDEX('Data Source'!$R:$R,MATCH(837,'Data Source'!$T:$T,0)),"")</f>
        <v/>
      </c>
      <c r="F839" s="3">
        <f>IFERROR(INDEX('Data Source'!$S:$S,MATCH(837,'Data Source'!$T:$T,0)),"")</f>
        <v/>
      </c>
    </row>
    <row r="840">
      <c r="A840" s="3">
        <f>IFERROR(IF(COUNTIF('Data Source'!$T:$T,838)&gt;0,838,""),"")</f>
        <v/>
      </c>
      <c r="B840">
        <f>IFERROR(INDEX('Data Source'!$B:$B,MATCH(838,'Data Source'!$T:$T,0)),"")</f>
        <v/>
      </c>
      <c r="C840" s="3">
        <f>IFERROR(INDEX('Data Source'!$P:$P,MATCH(838,'Data Source'!$T:$T,0)),"")</f>
        <v/>
      </c>
      <c r="D840" s="5">
        <f>IFERROR(INDEX('Data Source'!$Q:$Q,MATCH(838,'Data Source'!$T:$T,0)),"")</f>
        <v/>
      </c>
      <c r="E840" s="5">
        <f>IFERROR(INDEX('Data Source'!$R:$R,MATCH(838,'Data Source'!$T:$T,0)),"")</f>
        <v/>
      </c>
      <c r="F840" s="3">
        <f>IFERROR(INDEX('Data Source'!$S:$S,MATCH(838,'Data Source'!$T:$T,0)),"")</f>
        <v/>
      </c>
    </row>
    <row r="841">
      <c r="A841" s="3">
        <f>IFERROR(IF(COUNTIF('Data Source'!$T:$T,839)&gt;0,839,""),"")</f>
        <v/>
      </c>
      <c r="B841">
        <f>IFERROR(INDEX('Data Source'!$B:$B,MATCH(839,'Data Source'!$T:$T,0)),"")</f>
        <v/>
      </c>
      <c r="C841" s="3">
        <f>IFERROR(INDEX('Data Source'!$P:$P,MATCH(839,'Data Source'!$T:$T,0)),"")</f>
        <v/>
      </c>
      <c r="D841" s="5">
        <f>IFERROR(INDEX('Data Source'!$Q:$Q,MATCH(839,'Data Source'!$T:$T,0)),"")</f>
        <v/>
      </c>
      <c r="E841" s="5">
        <f>IFERROR(INDEX('Data Source'!$R:$R,MATCH(839,'Data Source'!$T:$T,0)),"")</f>
        <v/>
      </c>
      <c r="F841" s="3">
        <f>IFERROR(INDEX('Data Source'!$S:$S,MATCH(839,'Data Source'!$T:$T,0)),"")</f>
        <v/>
      </c>
    </row>
    <row r="842">
      <c r="A842" s="3">
        <f>IFERROR(IF(COUNTIF('Data Source'!$T:$T,840)&gt;0,840,""),"")</f>
        <v/>
      </c>
      <c r="B842">
        <f>IFERROR(INDEX('Data Source'!$B:$B,MATCH(840,'Data Source'!$T:$T,0)),"")</f>
        <v/>
      </c>
      <c r="C842" s="3">
        <f>IFERROR(INDEX('Data Source'!$P:$P,MATCH(840,'Data Source'!$T:$T,0)),"")</f>
        <v/>
      </c>
      <c r="D842" s="5">
        <f>IFERROR(INDEX('Data Source'!$Q:$Q,MATCH(840,'Data Source'!$T:$T,0)),"")</f>
        <v/>
      </c>
      <c r="E842" s="5">
        <f>IFERROR(INDEX('Data Source'!$R:$R,MATCH(840,'Data Source'!$T:$T,0)),"")</f>
        <v/>
      </c>
      <c r="F842" s="3">
        <f>IFERROR(INDEX('Data Source'!$S:$S,MATCH(840,'Data Source'!$T:$T,0)),"")</f>
        <v/>
      </c>
    </row>
    <row r="843">
      <c r="A843" s="3">
        <f>IFERROR(IF(COUNTIF('Data Source'!$T:$T,841)&gt;0,841,""),"")</f>
        <v/>
      </c>
      <c r="B843">
        <f>IFERROR(INDEX('Data Source'!$B:$B,MATCH(841,'Data Source'!$T:$T,0)),"")</f>
        <v/>
      </c>
      <c r="C843" s="3">
        <f>IFERROR(INDEX('Data Source'!$P:$P,MATCH(841,'Data Source'!$T:$T,0)),"")</f>
        <v/>
      </c>
      <c r="D843" s="5">
        <f>IFERROR(INDEX('Data Source'!$Q:$Q,MATCH(841,'Data Source'!$T:$T,0)),"")</f>
        <v/>
      </c>
      <c r="E843" s="5">
        <f>IFERROR(INDEX('Data Source'!$R:$R,MATCH(841,'Data Source'!$T:$T,0)),"")</f>
        <v/>
      </c>
      <c r="F843" s="3">
        <f>IFERROR(INDEX('Data Source'!$S:$S,MATCH(841,'Data Source'!$T:$T,0)),"")</f>
        <v/>
      </c>
    </row>
    <row r="844">
      <c r="A844" s="3">
        <f>IFERROR(IF(COUNTIF('Data Source'!$T:$T,842)&gt;0,842,""),"")</f>
        <v/>
      </c>
      <c r="B844">
        <f>IFERROR(INDEX('Data Source'!$B:$B,MATCH(842,'Data Source'!$T:$T,0)),"")</f>
        <v/>
      </c>
      <c r="C844" s="3">
        <f>IFERROR(INDEX('Data Source'!$P:$P,MATCH(842,'Data Source'!$T:$T,0)),"")</f>
        <v/>
      </c>
      <c r="D844" s="5">
        <f>IFERROR(INDEX('Data Source'!$Q:$Q,MATCH(842,'Data Source'!$T:$T,0)),"")</f>
        <v/>
      </c>
      <c r="E844" s="5">
        <f>IFERROR(INDEX('Data Source'!$R:$R,MATCH(842,'Data Source'!$T:$T,0)),"")</f>
        <v/>
      </c>
      <c r="F844" s="3">
        <f>IFERROR(INDEX('Data Source'!$S:$S,MATCH(842,'Data Source'!$T:$T,0)),"")</f>
        <v/>
      </c>
    </row>
    <row r="845">
      <c r="A845" s="3">
        <f>IFERROR(IF(COUNTIF('Data Source'!$T:$T,843)&gt;0,843,""),"")</f>
        <v/>
      </c>
      <c r="B845">
        <f>IFERROR(INDEX('Data Source'!$B:$B,MATCH(843,'Data Source'!$T:$T,0)),"")</f>
        <v/>
      </c>
      <c r="C845" s="3">
        <f>IFERROR(INDEX('Data Source'!$P:$P,MATCH(843,'Data Source'!$T:$T,0)),"")</f>
        <v/>
      </c>
      <c r="D845" s="5">
        <f>IFERROR(INDEX('Data Source'!$Q:$Q,MATCH(843,'Data Source'!$T:$T,0)),"")</f>
        <v/>
      </c>
      <c r="E845" s="5">
        <f>IFERROR(INDEX('Data Source'!$R:$R,MATCH(843,'Data Source'!$T:$T,0)),"")</f>
        <v/>
      </c>
      <c r="F845" s="3">
        <f>IFERROR(INDEX('Data Source'!$S:$S,MATCH(843,'Data Source'!$T:$T,0)),"")</f>
        <v/>
      </c>
    </row>
    <row r="846">
      <c r="A846" s="3">
        <f>IFERROR(IF(COUNTIF('Data Source'!$T:$T,844)&gt;0,844,""),"")</f>
        <v/>
      </c>
      <c r="B846">
        <f>IFERROR(INDEX('Data Source'!$B:$B,MATCH(844,'Data Source'!$T:$T,0)),"")</f>
        <v/>
      </c>
      <c r="C846" s="3">
        <f>IFERROR(INDEX('Data Source'!$P:$P,MATCH(844,'Data Source'!$T:$T,0)),"")</f>
        <v/>
      </c>
      <c r="D846" s="5">
        <f>IFERROR(INDEX('Data Source'!$Q:$Q,MATCH(844,'Data Source'!$T:$T,0)),"")</f>
        <v/>
      </c>
      <c r="E846" s="5">
        <f>IFERROR(INDEX('Data Source'!$R:$R,MATCH(844,'Data Source'!$T:$T,0)),"")</f>
        <v/>
      </c>
      <c r="F846" s="3">
        <f>IFERROR(INDEX('Data Source'!$S:$S,MATCH(844,'Data Source'!$T:$T,0)),"")</f>
        <v/>
      </c>
    </row>
    <row r="847">
      <c r="A847" s="3">
        <f>IFERROR(IF(COUNTIF('Data Source'!$T:$T,845)&gt;0,845,""),"")</f>
        <v/>
      </c>
      <c r="B847">
        <f>IFERROR(INDEX('Data Source'!$B:$B,MATCH(845,'Data Source'!$T:$T,0)),"")</f>
        <v/>
      </c>
      <c r="C847" s="3">
        <f>IFERROR(INDEX('Data Source'!$P:$P,MATCH(845,'Data Source'!$T:$T,0)),"")</f>
        <v/>
      </c>
      <c r="D847" s="5">
        <f>IFERROR(INDEX('Data Source'!$Q:$Q,MATCH(845,'Data Source'!$T:$T,0)),"")</f>
        <v/>
      </c>
      <c r="E847" s="5">
        <f>IFERROR(INDEX('Data Source'!$R:$R,MATCH(845,'Data Source'!$T:$T,0)),"")</f>
        <v/>
      </c>
      <c r="F847" s="3">
        <f>IFERROR(INDEX('Data Source'!$S:$S,MATCH(845,'Data Source'!$T:$T,0)),"")</f>
        <v/>
      </c>
    </row>
    <row r="848">
      <c r="A848" s="3">
        <f>IFERROR(IF(COUNTIF('Data Source'!$T:$T,846)&gt;0,846,""),"")</f>
        <v/>
      </c>
      <c r="B848">
        <f>IFERROR(INDEX('Data Source'!$B:$B,MATCH(846,'Data Source'!$T:$T,0)),"")</f>
        <v/>
      </c>
      <c r="C848" s="3">
        <f>IFERROR(INDEX('Data Source'!$P:$P,MATCH(846,'Data Source'!$T:$T,0)),"")</f>
        <v/>
      </c>
      <c r="D848" s="5">
        <f>IFERROR(INDEX('Data Source'!$Q:$Q,MATCH(846,'Data Source'!$T:$T,0)),"")</f>
        <v/>
      </c>
      <c r="E848" s="5">
        <f>IFERROR(INDEX('Data Source'!$R:$R,MATCH(846,'Data Source'!$T:$T,0)),"")</f>
        <v/>
      </c>
      <c r="F848" s="3">
        <f>IFERROR(INDEX('Data Source'!$S:$S,MATCH(846,'Data Source'!$T:$T,0)),"")</f>
        <v/>
      </c>
    </row>
    <row r="849">
      <c r="A849" s="3">
        <f>IFERROR(IF(COUNTIF('Data Source'!$T:$T,847)&gt;0,847,""),"")</f>
        <v/>
      </c>
      <c r="B849">
        <f>IFERROR(INDEX('Data Source'!$B:$B,MATCH(847,'Data Source'!$T:$T,0)),"")</f>
        <v/>
      </c>
      <c r="C849" s="3">
        <f>IFERROR(INDEX('Data Source'!$P:$P,MATCH(847,'Data Source'!$T:$T,0)),"")</f>
        <v/>
      </c>
      <c r="D849" s="5">
        <f>IFERROR(INDEX('Data Source'!$Q:$Q,MATCH(847,'Data Source'!$T:$T,0)),"")</f>
        <v/>
      </c>
      <c r="E849" s="5">
        <f>IFERROR(INDEX('Data Source'!$R:$R,MATCH(847,'Data Source'!$T:$T,0)),"")</f>
        <v/>
      </c>
      <c r="F849" s="3">
        <f>IFERROR(INDEX('Data Source'!$S:$S,MATCH(847,'Data Source'!$T:$T,0)),"")</f>
        <v/>
      </c>
    </row>
    <row r="850">
      <c r="A850" s="3">
        <f>IFERROR(IF(COUNTIF('Data Source'!$T:$T,848)&gt;0,848,""),"")</f>
        <v/>
      </c>
      <c r="B850">
        <f>IFERROR(INDEX('Data Source'!$B:$B,MATCH(848,'Data Source'!$T:$T,0)),"")</f>
        <v/>
      </c>
      <c r="C850" s="3">
        <f>IFERROR(INDEX('Data Source'!$P:$P,MATCH(848,'Data Source'!$T:$T,0)),"")</f>
        <v/>
      </c>
      <c r="D850" s="5">
        <f>IFERROR(INDEX('Data Source'!$Q:$Q,MATCH(848,'Data Source'!$T:$T,0)),"")</f>
        <v/>
      </c>
      <c r="E850" s="5">
        <f>IFERROR(INDEX('Data Source'!$R:$R,MATCH(848,'Data Source'!$T:$T,0)),"")</f>
        <v/>
      </c>
      <c r="F850" s="3">
        <f>IFERROR(INDEX('Data Source'!$S:$S,MATCH(848,'Data Source'!$T:$T,0)),"")</f>
        <v/>
      </c>
    </row>
    <row r="851">
      <c r="A851" s="3">
        <f>IFERROR(IF(COUNTIF('Data Source'!$T:$T,849)&gt;0,849,""),"")</f>
        <v/>
      </c>
      <c r="B851">
        <f>IFERROR(INDEX('Data Source'!$B:$B,MATCH(849,'Data Source'!$T:$T,0)),"")</f>
        <v/>
      </c>
      <c r="C851" s="3">
        <f>IFERROR(INDEX('Data Source'!$P:$P,MATCH(849,'Data Source'!$T:$T,0)),"")</f>
        <v/>
      </c>
      <c r="D851" s="5">
        <f>IFERROR(INDEX('Data Source'!$Q:$Q,MATCH(849,'Data Source'!$T:$T,0)),"")</f>
        <v/>
      </c>
      <c r="E851" s="5">
        <f>IFERROR(INDEX('Data Source'!$R:$R,MATCH(849,'Data Source'!$T:$T,0)),"")</f>
        <v/>
      </c>
      <c r="F851" s="3">
        <f>IFERROR(INDEX('Data Source'!$S:$S,MATCH(849,'Data Source'!$T:$T,0)),"")</f>
        <v/>
      </c>
    </row>
    <row r="852">
      <c r="A852" s="3">
        <f>IFERROR(IF(COUNTIF('Data Source'!$T:$T,850)&gt;0,850,""),"")</f>
        <v/>
      </c>
      <c r="B852">
        <f>IFERROR(INDEX('Data Source'!$B:$B,MATCH(850,'Data Source'!$T:$T,0)),"")</f>
        <v/>
      </c>
      <c r="C852" s="3">
        <f>IFERROR(INDEX('Data Source'!$P:$P,MATCH(850,'Data Source'!$T:$T,0)),"")</f>
        <v/>
      </c>
      <c r="D852" s="5">
        <f>IFERROR(INDEX('Data Source'!$Q:$Q,MATCH(850,'Data Source'!$T:$T,0)),"")</f>
        <v/>
      </c>
      <c r="E852" s="5">
        <f>IFERROR(INDEX('Data Source'!$R:$R,MATCH(850,'Data Source'!$T:$T,0)),"")</f>
        <v/>
      </c>
      <c r="F852" s="3">
        <f>IFERROR(INDEX('Data Source'!$S:$S,MATCH(850,'Data Source'!$T:$T,0)),"")</f>
        <v/>
      </c>
    </row>
    <row r="853">
      <c r="A853" s="3">
        <f>IFERROR(IF(COUNTIF('Data Source'!$T:$T,851)&gt;0,851,""),"")</f>
        <v/>
      </c>
      <c r="B853">
        <f>IFERROR(INDEX('Data Source'!$B:$B,MATCH(851,'Data Source'!$T:$T,0)),"")</f>
        <v/>
      </c>
      <c r="C853" s="3">
        <f>IFERROR(INDEX('Data Source'!$P:$P,MATCH(851,'Data Source'!$T:$T,0)),"")</f>
        <v/>
      </c>
      <c r="D853" s="5">
        <f>IFERROR(INDEX('Data Source'!$Q:$Q,MATCH(851,'Data Source'!$T:$T,0)),"")</f>
        <v/>
      </c>
      <c r="E853" s="5">
        <f>IFERROR(INDEX('Data Source'!$R:$R,MATCH(851,'Data Source'!$T:$T,0)),"")</f>
        <v/>
      </c>
      <c r="F853" s="3">
        <f>IFERROR(INDEX('Data Source'!$S:$S,MATCH(851,'Data Source'!$T:$T,0)),"")</f>
        <v/>
      </c>
    </row>
    <row r="854">
      <c r="A854" s="3">
        <f>IFERROR(IF(COUNTIF('Data Source'!$T:$T,852)&gt;0,852,""),"")</f>
        <v/>
      </c>
      <c r="B854">
        <f>IFERROR(INDEX('Data Source'!$B:$B,MATCH(852,'Data Source'!$T:$T,0)),"")</f>
        <v/>
      </c>
      <c r="C854" s="3">
        <f>IFERROR(INDEX('Data Source'!$P:$P,MATCH(852,'Data Source'!$T:$T,0)),"")</f>
        <v/>
      </c>
      <c r="D854" s="5">
        <f>IFERROR(INDEX('Data Source'!$Q:$Q,MATCH(852,'Data Source'!$T:$T,0)),"")</f>
        <v/>
      </c>
      <c r="E854" s="5">
        <f>IFERROR(INDEX('Data Source'!$R:$R,MATCH(852,'Data Source'!$T:$T,0)),"")</f>
        <v/>
      </c>
      <c r="F854" s="3">
        <f>IFERROR(INDEX('Data Source'!$S:$S,MATCH(852,'Data Source'!$T:$T,0)),"")</f>
        <v/>
      </c>
    </row>
    <row r="855">
      <c r="A855" s="3">
        <f>IFERROR(IF(COUNTIF('Data Source'!$T:$T,853)&gt;0,853,""),"")</f>
        <v/>
      </c>
      <c r="B855">
        <f>IFERROR(INDEX('Data Source'!$B:$B,MATCH(853,'Data Source'!$T:$T,0)),"")</f>
        <v/>
      </c>
      <c r="C855" s="3">
        <f>IFERROR(INDEX('Data Source'!$P:$P,MATCH(853,'Data Source'!$T:$T,0)),"")</f>
        <v/>
      </c>
      <c r="D855" s="5">
        <f>IFERROR(INDEX('Data Source'!$Q:$Q,MATCH(853,'Data Source'!$T:$T,0)),"")</f>
        <v/>
      </c>
      <c r="E855" s="5">
        <f>IFERROR(INDEX('Data Source'!$R:$R,MATCH(853,'Data Source'!$T:$T,0)),"")</f>
        <v/>
      </c>
      <c r="F855" s="3">
        <f>IFERROR(INDEX('Data Source'!$S:$S,MATCH(853,'Data Source'!$T:$T,0)),"")</f>
        <v/>
      </c>
    </row>
    <row r="856">
      <c r="A856" s="3">
        <f>IFERROR(IF(COUNTIF('Data Source'!$T:$T,854)&gt;0,854,""),"")</f>
        <v/>
      </c>
      <c r="B856">
        <f>IFERROR(INDEX('Data Source'!$B:$B,MATCH(854,'Data Source'!$T:$T,0)),"")</f>
        <v/>
      </c>
      <c r="C856" s="3">
        <f>IFERROR(INDEX('Data Source'!$P:$P,MATCH(854,'Data Source'!$T:$T,0)),"")</f>
        <v/>
      </c>
      <c r="D856" s="5">
        <f>IFERROR(INDEX('Data Source'!$Q:$Q,MATCH(854,'Data Source'!$T:$T,0)),"")</f>
        <v/>
      </c>
      <c r="E856" s="5">
        <f>IFERROR(INDEX('Data Source'!$R:$R,MATCH(854,'Data Source'!$T:$T,0)),"")</f>
        <v/>
      </c>
      <c r="F856" s="3">
        <f>IFERROR(INDEX('Data Source'!$S:$S,MATCH(854,'Data Source'!$T:$T,0)),"")</f>
        <v/>
      </c>
    </row>
    <row r="857">
      <c r="A857" s="3">
        <f>IFERROR(IF(COUNTIF('Data Source'!$T:$T,855)&gt;0,855,""),"")</f>
        <v/>
      </c>
      <c r="B857">
        <f>IFERROR(INDEX('Data Source'!$B:$B,MATCH(855,'Data Source'!$T:$T,0)),"")</f>
        <v/>
      </c>
      <c r="C857" s="3">
        <f>IFERROR(INDEX('Data Source'!$P:$P,MATCH(855,'Data Source'!$T:$T,0)),"")</f>
        <v/>
      </c>
      <c r="D857" s="5">
        <f>IFERROR(INDEX('Data Source'!$Q:$Q,MATCH(855,'Data Source'!$T:$T,0)),"")</f>
        <v/>
      </c>
      <c r="E857" s="5">
        <f>IFERROR(INDEX('Data Source'!$R:$R,MATCH(855,'Data Source'!$T:$T,0)),"")</f>
        <v/>
      </c>
      <c r="F857" s="3">
        <f>IFERROR(INDEX('Data Source'!$S:$S,MATCH(855,'Data Source'!$T:$T,0)),"")</f>
        <v/>
      </c>
    </row>
    <row r="858">
      <c r="A858" s="3">
        <f>IFERROR(IF(COUNTIF('Data Source'!$T:$T,856)&gt;0,856,""),"")</f>
        <v/>
      </c>
      <c r="B858">
        <f>IFERROR(INDEX('Data Source'!$B:$B,MATCH(856,'Data Source'!$T:$T,0)),"")</f>
        <v/>
      </c>
      <c r="C858" s="3">
        <f>IFERROR(INDEX('Data Source'!$P:$P,MATCH(856,'Data Source'!$T:$T,0)),"")</f>
        <v/>
      </c>
      <c r="D858" s="5">
        <f>IFERROR(INDEX('Data Source'!$Q:$Q,MATCH(856,'Data Source'!$T:$T,0)),"")</f>
        <v/>
      </c>
      <c r="E858" s="5">
        <f>IFERROR(INDEX('Data Source'!$R:$R,MATCH(856,'Data Source'!$T:$T,0)),"")</f>
        <v/>
      </c>
      <c r="F858" s="3">
        <f>IFERROR(INDEX('Data Source'!$S:$S,MATCH(856,'Data Source'!$T:$T,0)),"")</f>
        <v/>
      </c>
    </row>
    <row r="859">
      <c r="A859" s="3">
        <f>IFERROR(IF(COUNTIF('Data Source'!$T:$T,857)&gt;0,857,""),"")</f>
        <v/>
      </c>
      <c r="B859">
        <f>IFERROR(INDEX('Data Source'!$B:$B,MATCH(857,'Data Source'!$T:$T,0)),"")</f>
        <v/>
      </c>
      <c r="C859" s="3">
        <f>IFERROR(INDEX('Data Source'!$P:$P,MATCH(857,'Data Source'!$T:$T,0)),"")</f>
        <v/>
      </c>
      <c r="D859" s="5">
        <f>IFERROR(INDEX('Data Source'!$Q:$Q,MATCH(857,'Data Source'!$T:$T,0)),"")</f>
        <v/>
      </c>
      <c r="E859" s="5">
        <f>IFERROR(INDEX('Data Source'!$R:$R,MATCH(857,'Data Source'!$T:$T,0)),"")</f>
        <v/>
      </c>
      <c r="F859" s="3">
        <f>IFERROR(INDEX('Data Source'!$S:$S,MATCH(857,'Data Source'!$T:$T,0)),"")</f>
        <v/>
      </c>
    </row>
    <row r="860">
      <c r="A860" s="3">
        <f>IFERROR(IF(COUNTIF('Data Source'!$T:$T,858)&gt;0,858,""),"")</f>
        <v/>
      </c>
      <c r="B860">
        <f>IFERROR(INDEX('Data Source'!$B:$B,MATCH(858,'Data Source'!$T:$T,0)),"")</f>
        <v/>
      </c>
      <c r="C860" s="3">
        <f>IFERROR(INDEX('Data Source'!$P:$P,MATCH(858,'Data Source'!$T:$T,0)),"")</f>
        <v/>
      </c>
      <c r="D860" s="5">
        <f>IFERROR(INDEX('Data Source'!$Q:$Q,MATCH(858,'Data Source'!$T:$T,0)),"")</f>
        <v/>
      </c>
      <c r="E860" s="5">
        <f>IFERROR(INDEX('Data Source'!$R:$R,MATCH(858,'Data Source'!$T:$T,0)),"")</f>
        <v/>
      </c>
      <c r="F860" s="3">
        <f>IFERROR(INDEX('Data Source'!$S:$S,MATCH(858,'Data Source'!$T:$T,0)),"")</f>
        <v/>
      </c>
    </row>
    <row r="861">
      <c r="A861" s="3">
        <f>IFERROR(IF(COUNTIF('Data Source'!$T:$T,859)&gt;0,859,""),"")</f>
        <v/>
      </c>
      <c r="B861">
        <f>IFERROR(INDEX('Data Source'!$B:$B,MATCH(859,'Data Source'!$T:$T,0)),"")</f>
        <v/>
      </c>
      <c r="C861" s="3">
        <f>IFERROR(INDEX('Data Source'!$P:$P,MATCH(859,'Data Source'!$T:$T,0)),"")</f>
        <v/>
      </c>
      <c r="D861" s="5">
        <f>IFERROR(INDEX('Data Source'!$Q:$Q,MATCH(859,'Data Source'!$T:$T,0)),"")</f>
        <v/>
      </c>
      <c r="E861" s="5">
        <f>IFERROR(INDEX('Data Source'!$R:$R,MATCH(859,'Data Source'!$T:$T,0)),"")</f>
        <v/>
      </c>
      <c r="F861" s="3">
        <f>IFERROR(INDEX('Data Source'!$S:$S,MATCH(859,'Data Source'!$T:$T,0)),"")</f>
        <v/>
      </c>
    </row>
    <row r="862">
      <c r="A862" s="3">
        <f>IFERROR(IF(COUNTIF('Data Source'!$T:$T,860)&gt;0,860,""),"")</f>
        <v/>
      </c>
      <c r="B862">
        <f>IFERROR(INDEX('Data Source'!$B:$B,MATCH(860,'Data Source'!$T:$T,0)),"")</f>
        <v/>
      </c>
      <c r="C862" s="3">
        <f>IFERROR(INDEX('Data Source'!$P:$P,MATCH(860,'Data Source'!$T:$T,0)),"")</f>
        <v/>
      </c>
      <c r="D862" s="5">
        <f>IFERROR(INDEX('Data Source'!$Q:$Q,MATCH(860,'Data Source'!$T:$T,0)),"")</f>
        <v/>
      </c>
      <c r="E862" s="5">
        <f>IFERROR(INDEX('Data Source'!$R:$R,MATCH(860,'Data Source'!$T:$T,0)),"")</f>
        <v/>
      </c>
      <c r="F862" s="3">
        <f>IFERROR(INDEX('Data Source'!$S:$S,MATCH(860,'Data Source'!$T:$T,0)),"")</f>
        <v/>
      </c>
    </row>
    <row r="863">
      <c r="A863" s="3">
        <f>IFERROR(IF(COUNTIF('Data Source'!$T:$T,861)&gt;0,861,""),"")</f>
        <v/>
      </c>
      <c r="B863">
        <f>IFERROR(INDEX('Data Source'!$B:$B,MATCH(861,'Data Source'!$T:$T,0)),"")</f>
        <v/>
      </c>
      <c r="C863" s="3">
        <f>IFERROR(INDEX('Data Source'!$P:$P,MATCH(861,'Data Source'!$T:$T,0)),"")</f>
        <v/>
      </c>
      <c r="D863" s="5">
        <f>IFERROR(INDEX('Data Source'!$Q:$Q,MATCH(861,'Data Source'!$T:$T,0)),"")</f>
        <v/>
      </c>
      <c r="E863" s="5">
        <f>IFERROR(INDEX('Data Source'!$R:$R,MATCH(861,'Data Source'!$T:$T,0)),"")</f>
        <v/>
      </c>
      <c r="F863" s="3">
        <f>IFERROR(INDEX('Data Source'!$S:$S,MATCH(861,'Data Source'!$T:$T,0)),"")</f>
        <v/>
      </c>
    </row>
    <row r="864">
      <c r="A864" s="3">
        <f>IFERROR(IF(COUNTIF('Data Source'!$T:$T,862)&gt;0,862,""),"")</f>
        <v/>
      </c>
      <c r="B864">
        <f>IFERROR(INDEX('Data Source'!$B:$B,MATCH(862,'Data Source'!$T:$T,0)),"")</f>
        <v/>
      </c>
      <c r="C864" s="3">
        <f>IFERROR(INDEX('Data Source'!$P:$P,MATCH(862,'Data Source'!$T:$T,0)),"")</f>
        <v/>
      </c>
      <c r="D864" s="5">
        <f>IFERROR(INDEX('Data Source'!$Q:$Q,MATCH(862,'Data Source'!$T:$T,0)),"")</f>
        <v/>
      </c>
      <c r="E864" s="5">
        <f>IFERROR(INDEX('Data Source'!$R:$R,MATCH(862,'Data Source'!$T:$T,0)),"")</f>
        <v/>
      </c>
      <c r="F864" s="3">
        <f>IFERROR(INDEX('Data Source'!$S:$S,MATCH(862,'Data Source'!$T:$T,0)),"")</f>
        <v/>
      </c>
    </row>
    <row r="865">
      <c r="A865" s="3">
        <f>IFERROR(IF(COUNTIF('Data Source'!$T:$T,863)&gt;0,863,""),"")</f>
        <v/>
      </c>
      <c r="B865">
        <f>IFERROR(INDEX('Data Source'!$B:$B,MATCH(863,'Data Source'!$T:$T,0)),"")</f>
        <v/>
      </c>
      <c r="C865" s="3">
        <f>IFERROR(INDEX('Data Source'!$P:$P,MATCH(863,'Data Source'!$T:$T,0)),"")</f>
        <v/>
      </c>
      <c r="D865" s="5">
        <f>IFERROR(INDEX('Data Source'!$Q:$Q,MATCH(863,'Data Source'!$T:$T,0)),"")</f>
        <v/>
      </c>
      <c r="E865" s="5">
        <f>IFERROR(INDEX('Data Source'!$R:$R,MATCH(863,'Data Source'!$T:$T,0)),"")</f>
        <v/>
      </c>
      <c r="F865" s="3">
        <f>IFERROR(INDEX('Data Source'!$S:$S,MATCH(863,'Data Source'!$T:$T,0)),"")</f>
        <v/>
      </c>
    </row>
    <row r="866">
      <c r="A866" s="3">
        <f>IFERROR(IF(COUNTIF('Data Source'!$T:$T,864)&gt;0,864,""),"")</f>
        <v/>
      </c>
      <c r="B866">
        <f>IFERROR(INDEX('Data Source'!$B:$B,MATCH(864,'Data Source'!$T:$T,0)),"")</f>
        <v/>
      </c>
      <c r="C866" s="3">
        <f>IFERROR(INDEX('Data Source'!$P:$P,MATCH(864,'Data Source'!$T:$T,0)),"")</f>
        <v/>
      </c>
      <c r="D866" s="5">
        <f>IFERROR(INDEX('Data Source'!$Q:$Q,MATCH(864,'Data Source'!$T:$T,0)),"")</f>
        <v/>
      </c>
      <c r="E866" s="5">
        <f>IFERROR(INDEX('Data Source'!$R:$R,MATCH(864,'Data Source'!$T:$T,0)),"")</f>
        <v/>
      </c>
      <c r="F866" s="3">
        <f>IFERROR(INDEX('Data Source'!$S:$S,MATCH(864,'Data Source'!$T:$T,0)),"")</f>
        <v/>
      </c>
    </row>
    <row r="867">
      <c r="A867" s="3">
        <f>IFERROR(IF(COUNTIF('Data Source'!$T:$T,865)&gt;0,865,""),"")</f>
        <v/>
      </c>
      <c r="B867">
        <f>IFERROR(INDEX('Data Source'!$B:$B,MATCH(865,'Data Source'!$T:$T,0)),"")</f>
        <v/>
      </c>
      <c r="C867" s="3">
        <f>IFERROR(INDEX('Data Source'!$P:$P,MATCH(865,'Data Source'!$T:$T,0)),"")</f>
        <v/>
      </c>
      <c r="D867" s="5">
        <f>IFERROR(INDEX('Data Source'!$Q:$Q,MATCH(865,'Data Source'!$T:$T,0)),"")</f>
        <v/>
      </c>
      <c r="E867" s="5">
        <f>IFERROR(INDEX('Data Source'!$R:$R,MATCH(865,'Data Source'!$T:$T,0)),"")</f>
        <v/>
      </c>
      <c r="F867" s="3">
        <f>IFERROR(INDEX('Data Source'!$S:$S,MATCH(865,'Data Source'!$T:$T,0)),"")</f>
        <v/>
      </c>
    </row>
    <row r="868">
      <c r="A868" s="3">
        <f>IFERROR(IF(COUNTIF('Data Source'!$T:$T,866)&gt;0,866,""),"")</f>
        <v/>
      </c>
      <c r="B868">
        <f>IFERROR(INDEX('Data Source'!$B:$B,MATCH(866,'Data Source'!$T:$T,0)),"")</f>
        <v/>
      </c>
      <c r="C868" s="3">
        <f>IFERROR(INDEX('Data Source'!$P:$P,MATCH(866,'Data Source'!$T:$T,0)),"")</f>
        <v/>
      </c>
      <c r="D868" s="5">
        <f>IFERROR(INDEX('Data Source'!$Q:$Q,MATCH(866,'Data Source'!$T:$T,0)),"")</f>
        <v/>
      </c>
      <c r="E868" s="5">
        <f>IFERROR(INDEX('Data Source'!$R:$R,MATCH(866,'Data Source'!$T:$T,0)),"")</f>
        <v/>
      </c>
      <c r="F868" s="3">
        <f>IFERROR(INDEX('Data Source'!$S:$S,MATCH(866,'Data Source'!$T:$T,0)),"")</f>
        <v/>
      </c>
    </row>
    <row r="869">
      <c r="A869" s="3">
        <f>IFERROR(IF(COUNTIF('Data Source'!$T:$T,867)&gt;0,867,""),"")</f>
        <v/>
      </c>
      <c r="B869">
        <f>IFERROR(INDEX('Data Source'!$B:$B,MATCH(867,'Data Source'!$T:$T,0)),"")</f>
        <v/>
      </c>
      <c r="C869" s="3">
        <f>IFERROR(INDEX('Data Source'!$P:$P,MATCH(867,'Data Source'!$T:$T,0)),"")</f>
        <v/>
      </c>
      <c r="D869" s="5">
        <f>IFERROR(INDEX('Data Source'!$Q:$Q,MATCH(867,'Data Source'!$T:$T,0)),"")</f>
        <v/>
      </c>
      <c r="E869" s="5">
        <f>IFERROR(INDEX('Data Source'!$R:$R,MATCH(867,'Data Source'!$T:$T,0)),"")</f>
        <v/>
      </c>
      <c r="F869" s="3">
        <f>IFERROR(INDEX('Data Source'!$S:$S,MATCH(867,'Data Source'!$T:$T,0)),"")</f>
        <v/>
      </c>
    </row>
    <row r="870">
      <c r="A870" s="3">
        <f>IFERROR(IF(COUNTIF('Data Source'!$T:$T,868)&gt;0,868,""),"")</f>
        <v/>
      </c>
      <c r="B870">
        <f>IFERROR(INDEX('Data Source'!$B:$B,MATCH(868,'Data Source'!$T:$T,0)),"")</f>
        <v/>
      </c>
      <c r="C870" s="3">
        <f>IFERROR(INDEX('Data Source'!$P:$P,MATCH(868,'Data Source'!$T:$T,0)),"")</f>
        <v/>
      </c>
      <c r="D870" s="5">
        <f>IFERROR(INDEX('Data Source'!$Q:$Q,MATCH(868,'Data Source'!$T:$T,0)),"")</f>
        <v/>
      </c>
      <c r="E870" s="5">
        <f>IFERROR(INDEX('Data Source'!$R:$R,MATCH(868,'Data Source'!$T:$T,0)),"")</f>
        <v/>
      </c>
      <c r="F870" s="3">
        <f>IFERROR(INDEX('Data Source'!$S:$S,MATCH(868,'Data Source'!$T:$T,0)),"")</f>
        <v/>
      </c>
    </row>
    <row r="871">
      <c r="A871" s="3">
        <f>IFERROR(IF(COUNTIF('Data Source'!$T:$T,869)&gt;0,869,""),"")</f>
        <v/>
      </c>
      <c r="B871">
        <f>IFERROR(INDEX('Data Source'!$B:$B,MATCH(869,'Data Source'!$T:$T,0)),"")</f>
        <v/>
      </c>
      <c r="C871" s="3">
        <f>IFERROR(INDEX('Data Source'!$P:$P,MATCH(869,'Data Source'!$T:$T,0)),"")</f>
        <v/>
      </c>
      <c r="D871" s="5">
        <f>IFERROR(INDEX('Data Source'!$Q:$Q,MATCH(869,'Data Source'!$T:$T,0)),"")</f>
        <v/>
      </c>
      <c r="E871" s="5">
        <f>IFERROR(INDEX('Data Source'!$R:$R,MATCH(869,'Data Source'!$T:$T,0)),"")</f>
        <v/>
      </c>
      <c r="F871" s="3">
        <f>IFERROR(INDEX('Data Source'!$S:$S,MATCH(869,'Data Source'!$T:$T,0)),"")</f>
        <v/>
      </c>
    </row>
    <row r="872">
      <c r="A872" s="3">
        <f>IFERROR(IF(COUNTIF('Data Source'!$T:$T,870)&gt;0,870,""),"")</f>
        <v/>
      </c>
      <c r="B872">
        <f>IFERROR(INDEX('Data Source'!$B:$B,MATCH(870,'Data Source'!$T:$T,0)),"")</f>
        <v/>
      </c>
      <c r="C872" s="3">
        <f>IFERROR(INDEX('Data Source'!$P:$P,MATCH(870,'Data Source'!$T:$T,0)),"")</f>
        <v/>
      </c>
      <c r="D872" s="5">
        <f>IFERROR(INDEX('Data Source'!$Q:$Q,MATCH(870,'Data Source'!$T:$T,0)),"")</f>
        <v/>
      </c>
      <c r="E872" s="5">
        <f>IFERROR(INDEX('Data Source'!$R:$R,MATCH(870,'Data Source'!$T:$T,0)),"")</f>
        <v/>
      </c>
      <c r="F872" s="3">
        <f>IFERROR(INDEX('Data Source'!$S:$S,MATCH(870,'Data Source'!$T:$T,0)),"")</f>
        <v/>
      </c>
    </row>
    <row r="873">
      <c r="A873" s="3">
        <f>IFERROR(IF(COUNTIF('Data Source'!$T:$T,871)&gt;0,871,""),"")</f>
        <v/>
      </c>
      <c r="B873">
        <f>IFERROR(INDEX('Data Source'!$B:$B,MATCH(871,'Data Source'!$T:$T,0)),"")</f>
        <v/>
      </c>
      <c r="C873" s="3">
        <f>IFERROR(INDEX('Data Source'!$P:$P,MATCH(871,'Data Source'!$T:$T,0)),"")</f>
        <v/>
      </c>
      <c r="D873" s="5">
        <f>IFERROR(INDEX('Data Source'!$Q:$Q,MATCH(871,'Data Source'!$T:$T,0)),"")</f>
        <v/>
      </c>
      <c r="E873" s="5">
        <f>IFERROR(INDEX('Data Source'!$R:$R,MATCH(871,'Data Source'!$T:$T,0)),"")</f>
        <v/>
      </c>
      <c r="F873" s="3">
        <f>IFERROR(INDEX('Data Source'!$S:$S,MATCH(871,'Data Source'!$T:$T,0)),"")</f>
        <v/>
      </c>
    </row>
    <row r="874">
      <c r="A874" s="3">
        <f>IFERROR(IF(COUNTIF('Data Source'!$T:$T,872)&gt;0,872,""),"")</f>
        <v/>
      </c>
      <c r="B874">
        <f>IFERROR(INDEX('Data Source'!$B:$B,MATCH(872,'Data Source'!$T:$T,0)),"")</f>
        <v/>
      </c>
      <c r="C874" s="3">
        <f>IFERROR(INDEX('Data Source'!$P:$P,MATCH(872,'Data Source'!$T:$T,0)),"")</f>
        <v/>
      </c>
      <c r="D874" s="5">
        <f>IFERROR(INDEX('Data Source'!$Q:$Q,MATCH(872,'Data Source'!$T:$T,0)),"")</f>
        <v/>
      </c>
      <c r="E874" s="5">
        <f>IFERROR(INDEX('Data Source'!$R:$R,MATCH(872,'Data Source'!$T:$T,0)),"")</f>
        <v/>
      </c>
      <c r="F874" s="3">
        <f>IFERROR(INDEX('Data Source'!$S:$S,MATCH(872,'Data Source'!$T:$T,0)),"")</f>
        <v/>
      </c>
    </row>
    <row r="875">
      <c r="A875" s="3">
        <f>IFERROR(IF(COUNTIF('Data Source'!$T:$T,873)&gt;0,873,""),"")</f>
        <v/>
      </c>
      <c r="B875">
        <f>IFERROR(INDEX('Data Source'!$B:$B,MATCH(873,'Data Source'!$T:$T,0)),"")</f>
        <v/>
      </c>
      <c r="C875" s="3">
        <f>IFERROR(INDEX('Data Source'!$P:$P,MATCH(873,'Data Source'!$T:$T,0)),"")</f>
        <v/>
      </c>
      <c r="D875" s="5">
        <f>IFERROR(INDEX('Data Source'!$Q:$Q,MATCH(873,'Data Source'!$T:$T,0)),"")</f>
        <v/>
      </c>
      <c r="E875" s="5">
        <f>IFERROR(INDEX('Data Source'!$R:$R,MATCH(873,'Data Source'!$T:$T,0)),"")</f>
        <v/>
      </c>
      <c r="F875" s="3">
        <f>IFERROR(INDEX('Data Source'!$S:$S,MATCH(873,'Data Source'!$T:$T,0)),"")</f>
        <v/>
      </c>
    </row>
    <row r="876">
      <c r="A876" s="3">
        <f>IFERROR(IF(COUNTIF('Data Source'!$T:$T,874)&gt;0,874,""),"")</f>
        <v/>
      </c>
      <c r="B876">
        <f>IFERROR(INDEX('Data Source'!$B:$B,MATCH(874,'Data Source'!$T:$T,0)),"")</f>
        <v/>
      </c>
      <c r="C876" s="3">
        <f>IFERROR(INDEX('Data Source'!$P:$P,MATCH(874,'Data Source'!$T:$T,0)),"")</f>
        <v/>
      </c>
      <c r="D876" s="5">
        <f>IFERROR(INDEX('Data Source'!$Q:$Q,MATCH(874,'Data Source'!$T:$T,0)),"")</f>
        <v/>
      </c>
      <c r="E876" s="5">
        <f>IFERROR(INDEX('Data Source'!$R:$R,MATCH(874,'Data Source'!$T:$T,0)),"")</f>
        <v/>
      </c>
      <c r="F876" s="3">
        <f>IFERROR(INDEX('Data Source'!$S:$S,MATCH(874,'Data Source'!$T:$T,0)),"")</f>
        <v/>
      </c>
    </row>
    <row r="877">
      <c r="A877" s="3">
        <f>IFERROR(IF(COUNTIF('Data Source'!$T:$T,875)&gt;0,875,""),"")</f>
        <v/>
      </c>
      <c r="B877">
        <f>IFERROR(INDEX('Data Source'!$B:$B,MATCH(875,'Data Source'!$T:$T,0)),"")</f>
        <v/>
      </c>
      <c r="C877" s="3">
        <f>IFERROR(INDEX('Data Source'!$P:$P,MATCH(875,'Data Source'!$T:$T,0)),"")</f>
        <v/>
      </c>
      <c r="D877" s="5">
        <f>IFERROR(INDEX('Data Source'!$Q:$Q,MATCH(875,'Data Source'!$T:$T,0)),"")</f>
        <v/>
      </c>
      <c r="E877" s="5">
        <f>IFERROR(INDEX('Data Source'!$R:$R,MATCH(875,'Data Source'!$T:$T,0)),"")</f>
        <v/>
      </c>
      <c r="F877" s="3">
        <f>IFERROR(INDEX('Data Source'!$S:$S,MATCH(875,'Data Source'!$T:$T,0)),"")</f>
        <v/>
      </c>
    </row>
    <row r="878">
      <c r="A878" s="3">
        <f>IFERROR(IF(COUNTIF('Data Source'!$T:$T,876)&gt;0,876,""),"")</f>
        <v/>
      </c>
      <c r="B878">
        <f>IFERROR(INDEX('Data Source'!$B:$B,MATCH(876,'Data Source'!$T:$T,0)),"")</f>
        <v/>
      </c>
      <c r="C878" s="3">
        <f>IFERROR(INDEX('Data Source'!$P:$P,MATCH(876,'Data Source'!$T:$T,0)),"")</f>
        <v/>
      </c>
      <c r="D878" s="5">
        <f>IFERROR(INDEX('Data Source'!$Q:$Q,MATCH(876,'Data Source'!$T:$T,0)),"")</f>
        <v/>
      </c>
      <c r="E878" s="5">
        <f>IFERROR(INDEX('Data Source'!$R:$R,MATCH(876,'Data Source'!$T:$T,0)),"")</f>
        <v/>
      </c>
      <c r="F878" s="3">
        <f>IFERROR(INDEX('Data Source'!$S:$S,MATCH(876,'Data Source'!$T:$T,0)),"")</f>
        <v/>
      </c>
    </row>
    <row r="879">
      <c r="A879" s="3">
        <f>IFERROR(IF(COUNTIF('Data Source'!$T:$T,877)&gt;0,877,""),"")</f>
        <v/>
      </c>
      <c r="B879">
        <f>IFERROR(INDEX('Data Source'!$B:$B,MATCH(877,'Data Source'!$T:$T,0)),"")</f>
        <v/>
      </c>
      <c r="C879" s="3">
        <f>IFERROR(INDEX('Data Source'!$P:$P,MATCH(877,'Data Source'!$T:$T,0)),"")</f>
        <v/>
      </c>
      <c r="D879" s="5">
        <f>IFERROR(INDEX('Data Source'!$Q:$Q,MATCH(877,'Data Source'!$T:$T,0)),"")</f>
        <v/>
      </c>
      <c r="E879" s="5">
        <f>IFERROR(INDEX('Data Source'!$R:$R,MATCH(877,'Data Source'!$T:$T,0)),"")</f>
        <v/>
      </c>
      <c r="F879" s="3">
        <f>IFERROR(INDEX('Data Source'!$S:$S,MATCH(877,'Data Source'!$T:$T,0)),"")</f>
        <v/>
      </c>
    </row>
    <row r="880">
      <c r="A880" s="3">
        <f>IFERROR(IF(COUNTIF('Data Source'!$T:$T,878)&gt;0,878,""),"")</f>
        <v/>
      </c>
      <c r="B880">
        <f>IFERROR(INDEX('Data Source'!$B:$B,MATCH(878,'Data Source'!$T:$T,0)),"")</f>
        <v/>
      </c>
      <c r="C880" s="3">
        <f>IFERROR(INDEX('Data Source'!$P:$P,MATCH(878,'Data Source'!$T:$T,0)),"")</f>
        <v/>
      </c>
      <c r="D880" s="5">
        <f>IFERROR(INDEX('Data Source'!$Q:$Q,MATCH(878,'Data Source'!$T:$T,0)),"")</f>
        <v/>
      </c>
      <c r="E880" s="5">
        <f>IFERROR(INDEX('Data Source'!$R:$R,MATCH(878,'Data Source'!$T:$T,0)),"")</f>
        <v/>
      </c>
      <c r="F880" s="3">
        <f>IFERROR(INDEX('Data Source'!$S:$S,MATCH(878,'Data Source'!$T:$T,0)),"")</f>
        <v/>
      </c>
    </row>
    <row r="881">
      <c r="A881" s="3">
        <f>IFERROR(IF(COUNTIF('Data Source'!$T:$T,879)&gt;0,879,""),"")</f>
        <v/>
      </c>
      <c r="B881">
        <f>IFERROR(INDEX('Data Source'!$B:$B,MATCH(879,'Data Source'!$T:$T,0)),"")</f>
        <v/>
      </c>
      <c r="C881" s="3">
        <f>IFERROR(INDEX('Data Source'!$P:$P,MATCH(879,'Data Source'!$T:$T,0)),"")</f>
        <v/>
      </c>
      <c r="D881" s="5">
        <f>IFERROR(INDEX('Data Source'!$Q:$Q,MATCH(879,'Data Source'!$T:$T,0)),"")</f>
        <v/>
      </c>
      <c r="E881" s="5">
        <f>IFERROR(INDEX('Data Source'!$R:$R,MATCH(879,'Data Source'!$T:$T,0)),"")</f>
        <v/>
      </c>
      <c r="F881" s="3">
        <f>IFERROR(INDEX('Data Source'!$S:$S,MATCH(879,'Data Source'!$T:$T,0)),"")</f>
        <v/>
      </c>
    </row>
    <row r="882">
      <c r="A882" s="3">
        <f>IFERROR(IF(COUNTIF('Data Source'!$T:$T,880)&gt;0,880,""),"")</f>
        <v/>
      </c>
      <c r="B882">
        <f>IFERROR(INDEX('Data Source'!$B:$B,MATCH(880,'Data Source'!$T:$T,0)),"")</f>
        <v/>
      </c>
      <c r="C882" s="3">
        <f>IFERROR(INDEX('Data Source'!$P:$P,MATCH(880,'Data Source'!$T:$T,0)),"")</f>
        <v/>
      </c>
      <c r="D882" s="5">
        <f>IFERROR(INDEX('Data Source'!$Q:$Q,MATCH(880,'Data Source'!$T:$T,0)),"")</f>
        <v/>
      </c>
      <c r="E882" s="5">
        <f>IFERROR(INDEX('Data Source'!$R:$R,MATCH(880,'Data Source'!$T:$T,0)),"")</f>
        <v/>
      </c>
      <c r="F882" s="3">
        <f>IFERROR(INDEX('Data Source'!$S:$S,MATCH(880,'Data Source'!$T:$T,0)),"")</f>
        <v/>
      </c>
    </row>
    <row r="883">
      <c r="A883" s="3">
        <f>IFERROR(IF(COUNTIF('Data Source'!$T:$T,881)&gt;0,881,""),"")</f>
        <v/>
      </c>
      <c r="B883">
        <f>IFERROR(INDEX('Data Source'!$B:$B,MATCH(881,'Data Source'!$T:$T,0)),"")</f>
        <v/>
      </c>
      <c r="C883" s="3">
        <f>IFERROR(INDEX('Data Source'!$P:$P,MATCH(881,'Data Source'!$T:$T,0)),"")</f>
        <v/>
      </c>
      <c r="D883" s="5">
        <f>IFERROR(INDEX('Data Source'!$Q:$Q,MATCH(881,'Data Source'!$T:$T,0)),"")</f>
        <v/>
      </c>
      <c r="E883" s="5">
        <f>IFERROR(INDEX('Data Source'!$R:$R,MATCH(881,'Data Source'!$T:$T,0)),"")</f>
        <v/>
      </c>
      <c r="F883" s="3">
        <f>IFERROR(INDEX('Data Source'!$S:$S,MATCH(881,'Data Source'!$T:$T,0)),"")</f>
        <v/>
      </c>
    </row>
    <row r="884">
      <c r="A884" s="3">
        <f>IFERROR(IF(COUNTIF('Data Source'!$T:$T,882)&gt;0,882,""),"")</f>
        <v/>
      </c>
      <c r="B884">
        <f>IFERROR(INDEX('Data Source'!$B:$B,MATCH(882,'Data Source'!$T:$T,0)),"")</f>
        <v/>
      </c>
      <c r="C884" s="3">
        <f>IFERROR(INDEX('Data Source'!$P:$P,MATCH(882,'Data Source'!$T:$T,0)),"")</f>
        <v/>
      </c>
      <c r="D884" s="5">
        <f>IFERROR(INDEX('Data Source'!$Q:$Q,MATCH(882,'Data Source'!$T:$T,0)),"")</f>
        <v/>
      </c>
      <c r="E884" s="5">
        <f>IFERROR(INDEX('Data Source'!$R:$R,MATCH(882,'Data Source'!$T:$T,0)),"")</f>
        <v/>
      </c>
      <c r="F884" s="3">
        <f>IFERROR(INDEX('Data Source'!$S:$S,MATCH(882,'Data Source'!$T:$T,0)),"")</f>
        <v/>
      </c>
    </row>
    <row r="885">
      <c r="A885" s="3">
        <f>IFERROR(IF(COUNTIF('Data Source'!$T:$T,883)&gt;0,883,""),"")</f>
        <v/>
      </c>
      <c r="B885">
        <f>IFERROR(INDEX('Data Source'!$B:$B,MATCH(883,'Data Source'!$T:$T,0)),"")</f>
        <v/>
      </c>
      <c r="C885" s="3">
        <f>IFERROR(INDEX('Data Source'!$P:$P,MATCH(883,'Data Source'!$T:$T,0)),"")</f>
        <v/>
      </c>
      <c r="D885" s="5">
        <f>IFERROR(INDEX('Data Source'!$Q:$Q,MATCH(883,'Data Source'!$T:$T,0)),"")</f>
        <v/>
      </c>
      <c r="E885" s="5">
        <f>IFERROR(INDEX('Data Source'!$R:$R,MATCH(883,'Data Source'!$T:$T,0)),"")</f>
        <v/>
      </c>
      <c r="F885" s="3">
        <f>IFERROR(INDEX('Data Source'!$S:$S,MATCH(883,'Data Source'!$T:$T,0)),"")</f>
        <v/>
      </c>
    </row>
    <row r="886">
      <c r="A886" s="3">
        <f>IFERROR(IF(COUNTIF('Data Source'!$T:$T,884)&gt;0,884,""),"")</f>
        <v/>
      </c>
      <c r="B886">
        <f>IFERROR(INDEX('Data Source'!$B:$B,MATCH(884,'Data Source'!$T:$T,0)),"")</f>
        <v/>
      </c>
      <c r="C886" s="3">
        <f>IFERROR(INDEX('Data Source'!$P:$P,MATCH(884,'Data Source'!$T:$T,0)),"")</f>
        <v/>
      </c>
      <c r="D886" s="5">
        <f>IFERROR(INDEX('Data Source'!$Q:$Q,MATCH(884,'Data Source'!$T:$T,0)),"")</f>
        <v/>
      </c>
      <c r="E886" s="5">
        <f>IFERROR(INDEX('Data Source'!$R:$R,MATCH(884,'Data Source'!$T:$T,0)),"")</f>
        <v/>
      </c>
      <c r="F886" s="3">
        <f>IFERROR(INDEX('Data Source'!$S:$S,MATCH(884,'Data Source'!$T:$T,0)),"")</f>
        <v/>
      </c>
    </row>
    <row r="887">
      <c r="A887" s="3">
        <f>IFERROR(IF(COUNTIF('Data Source'!$T:$T,885)&gt;0,885,""),"")</f>
        <v/>
      </c>
      <c r="B887">
        <f>IFERROR(INDEX('Data Source'!$B:$B,MATCH(885,'Data Source'!$T:$T,0)),"")</f>
        <v/>
      </c>
      <c r="C887" s="3">
        <f>IFERROR(INDEX('Data Source'!$P:$P,MATCH(885,'Data Source'!$T:$T,0)),"")</f>
        <v/>
      </c>
      <c r="D887" s="5">
        <f>IFERROR(INDEX('Data Source'!$Q:$Q,MATCH(885,'Data Source'!$T:$T,0)),"")</f>
        <v/>
      </c>
      <c r="E887" s="5">
        <f>IFERROR(INDEX('Data Source'!$R:$R,MATCH(885,'Data Source'!$T:$T,0)),"")</f>
        <v/>
      </c>
      <c r="F887" s="3">
        <f>IFERROR(INDEX('Data Source'!$S:$S,MATCH(885,'Data Source'!$T:$T,0)),"")</f>
        <v/>
      </c>
    </row>
    <row r="888">
      <c r="A888" s="3">
        <f>IFERROR(IF(COUNTIF('Data Source'!$T:$T,886)&gt;0,886,""),"")</f>
        <v/>
      </c>
      <c r="B888">
        <f>IFERROR(INDEX('Data Source'!$B:$B,MATCH(886,'Data Source'!$T:$T,0)),"")</f>
        <v/>
      </c>
      <c r="C888" s="3">
        <f>IFERROR(INDEX('Data Source'!$P:$P,MATCH(886,'Data Source'!$T:$T,0)),"")</f>
        <v/>
      </c>
      <c r="D888" s="5">
        <f>IFERROR(INDEX('Data Source'!$Q:$Q,MATCH(886,'Data Source'!$T:$T,0)),"")</f>
        <v/>
      </c>
      <c r="E888" s="5">
        <f>IFERROR(INDEX('Data Source'!$R:$R,MATCH(886,'Data Source'!$T:$T,0)),"")</f>
        <v/>
      </c>
      <c r="F888" s="3">
        <f>IFERROR(INDEX('Data Source'!$S:$S,MATCH(886,'Data Source'!$T:$T,0)),"")</f>
        <v/>
      </c>
    </row>
    <row r="889">
      <c r="A889" s="3">
        <f>IFERROR(IF(COUNTIF('Data Source'!$T:$T,887)&gt;0,887,""),"")</f>
        <v/>
      </c>
      <c r="B889">
        <f>IFERROR(INDEX('Data Source'!$B:$B,MATCH(887,'Data Source'!$T:$T,0)),"")</f>
        <v/>
      </c>
      <c r="C889" s="3">
        <f>IFERROR(INDEX('Data Source'!$P:$P,MATCH(887,'Data Source'!$T:$T,0)),"")</f>
        <v/>
      </c>
      <c r="D889" s="5">
        <f>IFERROR(INDEX('Data Source'!$Q:$Q,MATCH(887,'Data Source'!$T:$T,0)),"")</f>
        <v/>
      </c>
      <c r="E889" s="5">
        <f>IFERROR(INDEX('Data Source'!$R:$R,MATCH(887,'Data Source'!$T:$T,0)),"")</f>
        <v/>
      </c>
      <c r="F889" s="3">
        <f>IFERROR(INDEX('Data Source'!$S:$S,MATCH(887,'Data Source'!$T:$T,0)),"")</f>
        <v/>
      </c>
    </row>
    <row r="890">
      <c r="A890" s="3">
        <f>IFERROR(IF(COUNTIF('Data Source'!$T:$T,888)&gt;0,888,""),"")</f>
        <v/>
      </c>
      <c r="B890">
        <f>IFERROR(INDEX('Data Source'!$B:$B,MATCH(888,'Data Source'!$T:$T,0)),"")</f>
        <v/>
      </c>
      <c r="C890" s="3">
        <f>IFERROR(INDEX('Data Source'!$P:$P,MATCH(888,'Data Source'!$T:$T,0)),"")</f>
        <v/>
      </c>
      <c r="D890" s="5">
        <f>IFERROR(INDEX('Data Source'!$Q:$Q,MATCH(888,'Data Source'!$T:$T,0)),"")</f>
        <v/>
      </c>
      <c r="E890" s="5">
        <f>IFERROR(INDEX('Data Source'!$R:$R,MATCH(888,'Data Source'!$T:$T,0)),"")</f>
        <v/>
      </c>
      <c r="F890" s="3">
        <f>IFERROR(INDEX('Data Source'!$S:$S,MATCH(888,'Data Source'!$T:$T,0)),"")</f>
        <v/>
      </c>
    </row>
    <row r="891">
      <c r="A891" s="3">
        <f>IFERROR(IF(COUNTIF('Data Source'!$T:$T,889)&gt;0,889,""),"")</f>
        <v/>
      </c>
      <c r="B891">
        <f>IFERROR(INDEX('Data Source'!$B:$B,MATCH(889,'Data Source'!$T:$T,0)),"")</f>
        <v/>
      </c>
      <c r="C891" s="3">
        <f>IFERROR(INDEX('Data Source'!$P:$P,MATCH(889,'Data Source'!$T:$T,0)),"")</f>
        <v/>
      </c>
      <c r="D891" s="5">
        <f>IFERROR(INDEX('Data Source'!$Q:$Q,MATCH(889,'Data Source'!$T:$T,0)),"")</f>
        <v/>
      </c>
      <c r="E891" s="5">
        <f>IFERROR(INDEX('Data Source'!$R:$R,MATCH(889,'Data Source'!$T:$T,0)),"")</f>
        <v/>
      </c>
      <c r="F891" s="3">
        <f>IFERROR(INDEX('Data Source'!$S:$S,MATCH(889,'Data Source'!$T:$T,0)),"")</f>
        <v/>
      </c>
    </row>
    <row r="892">
      <c r="A892" s="3">
        <f>IFERROR(IF(COUNTIF('Data Source'!$T:$T,890)&gt;0,890,""),"")</f>
        <v/>
      </c>
      <c r="B892">
        <f>IFERROR(INDEX('Data Source'!$B:$B,MATCH(890,'Data Source'!$T:$T,0)),"")</f>
        <v/>
      </c>
      <c r="C892" s="3">
        <f>IFERROR(INDEX('Data Source'!$P:$P,MATCH(890,'Data Source'!$T:$T,0)),"")</f>
        <v/>
      </c>
      <c r="D892" s="5">
        <f>IFERROR(INDEX('Data Source'!$Q:$Q,MATCH(890,'Data Source'!$T:$T,0)),"")</f>
        <v/>
      </c>
      <c r="E892" s="5">
        <f>IFERROR(INDEX('Data Source'!$R:$R,MATCH(890,'Data Source'!$T:$T,0)),"")</f>
        <v/>
      </c>
      <c r="F892" s="3">
        <f>IFERROR(INDEX('Data Source'!$S:$S,MATCH(890,'Data Source'!$T:$T,0)),"")</f>
        <v/>
      </c>
    </row>
    <row r="893">
      <c r="A893" s="3">
        <f>IFERROR(IF(COUNTIF('Data Source'!$T:$T,891)&gt;0,891,""),"")</f>
        <v/>
      </c>
      <c r="B893">
        <f>IFERROR(INDEX('Data Source'!$B:$B,MATCH(891,'Data Source'!$T:$T,0)),"")</f>
        <v/>
      </c>
      <c r="C893" s="3">
        <f>IFERROR(INDEX('Data Source'!$P:$P,MATCH(891,'Data Source'!$T:$T,0)),"")</f>
        <v/>
      </c>
      <c r="D893" s="5">
        <f>IFERROR(INDEX('Data Source'!$Q:$Q,MATCH(891,'Data Source'!$T:$T,0)),"")</f>
        <v/>
      </c>
      <c r="E893" s="5">
        <f>IFERROR(INDEX('Data Source'!$R:$R,MATCH(891,'Data Source'!$T:$T,0)),"")</f>
        <v/>
      </c>
      <c r="F893" s="3">
        <f>IFERROR(INDEX('Data Source'!$S:$S,MATCH(891,'Data Source'!$T:$T,0)),"")</f>
        <v/>
      </c>
    </row>
    <row r="894">
      <c r="A894" s="3">
        <f>IFERROR(IF(COUNTIF('Data Source'!$T:$T,892)&gt;0,892,""),"")</f>
        <v/>
      </c>
      <c r="B894">
        <f>IFERROR(INDEX('Data Source'!$B:$B,MATCH(892,'Data Source'!$T:$T,0)),"")</f>
        <v/>
      </c>
      <c r="C894" s="3">
        <f>IFERROR(INDEX('Data Source'!$P:$P,MATCH(892,'Data Source'!$T:$T,0)),"")</f>
        <v/>
      </c>
      <c r="D894" s="5">
        <f>IFERROR(INDEX('Data Source'!$Q:$Q,MATCH(892,'Data Source'!$T:$T,0)),"")</f>
        <v/>
      </c>
      <c r="E894" s="5">
        <f>IFERROR(INDEX('Data Source'!$R:$R,MATCH(892,'Data Source'!$T:$T,0)),"")</f>
        <v/>
      </c>
      <c r="F894" s="3">
        <f>IFERROR(INDEX('Data Source'!$S:$S,MATCH(892,'Data Source'!$T:$T,0)),"")</f>
        <v/>
      </c>
    </row>
    <row r="895">
      <c r="A895" s="3">
        <f>IFERROR(IF(COUNTIF('Data Source'!$T:$T,893)&gt;0,893,""),"")</f>
        <v/>
      </c>
      <c r="B895">
        <f>IFERROR(INDEX('Data Source'!$B:$B,MATCH(893,'Data Source'!$T:$T,0)),"")</f>
        <v/>
      </c>
      <c r="C895" s="3">
        <f>IFERROR(INDEX('Data Source'!$P:$P,MATCH(893,'Data Source'!$T:$T,0)),"")</f>
        <v/>
      </c>
      <c r="D895" s="5">
        <f>IFERROR(INDEX('Data Source'!$Q:$Q,MATCH(893,'Data Source'!$T:$T,0)),"")</f>
        <v/>
      </c>
      <c r="E895" s="5">
        <f>IFERROR(INDEX('Data Source'!$R:$R,MATCH(893,'Data Source'!$T:$T,0)),"")</f>
        <v/>
      </c>
      <c r="F895" s="3">
        <f>IFERROR(INDEX('Data Source'!$S:$S,MATCH(893,'Data Source'!$T:$T,0)),"")</f>
        <v/>
      </c>
    </row>
    <row r="896">
      <c r="A896" s="3">
        <f>IFERROR(IF(COUNTIF('Data Source'!$T:$T,894)&gt;0,894,""),"")</f>
        <v/>
      </c>
      <c r="B896">
        <f>IFERROR(INDEX('Data Source'!$B:$B,MATCH(894,'Data Source'!$T:$T,0)),"")</f>
        <v/>
      </c>
      <c r="C896" s="3">
        <f>IFERROR(INDEX('Data Source'!$P:$P,MATCH(894,'Data Source'!$T:$T,0)),"")</f>
        <v/>
      </c>
      <c r="D896" s="5">
        <f>IFERROR(INDEX('Data Source'!$Q:$Q,MATCH(894,'Data Source'!$T:$T,0)),"")</f>
        <v/>
      </c>
      <c r="E896" s="5">
        <f>IFERROR(INDEX('Data Source'!$R:$R,MATCH(894,'Data Source'!$T:$T,0)),"")</f>
        <v/>
      </c>
      <c r="F896" s="3">
        <f>IFERROR(INDEX('Data Source'!$S:$S,MATCH(894,'Data Source'!$T:$T,0)),"")</f>
        <v/>
      </c>
    </row>
    <row r="897">
      <c r="A897" s="3">
        <f>IFERROR(IF(COUNTIF('Data Source'!$T:$T,895)&gt;0,895,""),"")</f>
        <v/>
      </c>
      <c r="B897">
        <f>IFERROR(INDEX('Data Source'!$B:$B,MATCH(895,'Data Source'!$T:$T,0)),"")</f>
        <v/>
      </c>
      <c r="C897" s="3">
        <f>IFERROR(INDEX('Data Source'!$P:$P,MATCH(895,'Data Source'!$T:$T,0)),"")</f>
        <v/>
      </c>
      <c r="D897" s="5">
        <f>IFERROR(INDEX('Data Source'!$Q:$Q,MATCH(895,'Data Source'!$T:$T,0)),"")</f>
        <v/>
      </c>
      <c r="E897" s="5">
        <f>IFERROR(INDEX('Data Source'!$R:$R,MATCH(895,'Data Source'!$T:$T,0)),"")</f>
        <v/>
      </c>
      <c r="F897" s="3">
        <f>IFERROR(INDEX('Data Source'!$S:$S,MATCH(895,'Data Source'!$T:$T,0)),"")</f>
        <v/>
      </c>
    </row>
    <row r="898">
      <c r="A898" s="3">
        <f>IFERROR(IF(COUNTIF('Data Source'!$T:$T,896)&gt;0,896,""),"")</f>
        <v/>
      </c>
      <c r="B898">
        <f>IFERROR(INDEX('Data Source'!$B:$B,MATCH(896,'Data Source'!$T:$T,0)),"")</f>
        <v/>
      </c>
      <c r="C898" s="3">
        <f>IFERROR(INDEX('Data Source'!$P:$P,MATCH(896,'Data Source'!$T:$T,0)),"")</f>
        <v/>
      </c>
      <c r="D898" s="5">
        <f>IFERROR(INDEX('Data Source'!$Q:$Q,MATCH(896,'Data Source'!$T:$T,0)),"")</f>
        <v/>
      </c>
      <c r="E898" s="5">
        <f>IFERROR(INDEX('Data Source'!$R:$R,MATCH(896,'Data Source'!$T:$T,0)),"")</f>
        <v/>
      </c>
      <c r="F898" s="3">
        <f>IFERROR(INDEX('Data Source'!$S:$S,MATCH(896,'Data Source'!$T:$T,0)),"")</f>
        <v/>
      </c>
    </row>
    <row r="899">
      <c r="A899" s="3">
        <f>IFERROR(IF(COUNTIF('Data Source'!$T:$T,897)&gt;0,897,""),"")</f>
        <v/>
      </c>
      <c r="B899">
        <f>IFERROR(INDEX('Data Source'!$B:$B,MATCH(897,'Data Source'!$T:$T,0)),"")</f>
        <v/>
      </c>
      <c r="C899" s="3">
        <f>IFERROR(INDEX('Data Source'!$P:$P,MATCH(897,'Data Source'!$T:$T,0)),"")</f>
        <v/>
      </c>
      <c r="D899" s="5">
        <f>IFERROR(INDEX('Data Source'!$Q:$Q,MATCH(897,'Data Source'!$T:$T,0)),"")</f>
        <v/>
      </c>
      <c r="E899" s="5">
        <f>IFERROR(INDEX('Data Source'!$R:$R,MATCH(897,'Data Source'!$T:$T,0)),"")</f>
        <v/>
      </c>
      <c r="F899" s="3">
        <f>IFERROR(INDEX('Data Source'!$S:$S,MATCH(897,'Data Source'!$T:$T,0)),"")</f>
        <v/>
      </c>
    </row>
    <row r="900">
      <c r="A900" s="3">
        <f>IFERROR(IF(COUNTIF('Data Source'!$T:$T,898)&gt;0,898,""),"")</f>
        <v/>
      </c>
      <c r="B900">
        <f>IFERROR(INDEX('Data Source'!$B:$B,MATCH(898,'Data Source'!$T:$T,0)),"")</f>
        <v/>
      </c>
      <c r="C900" s="3">
        <f>IFERROR(INDEX('Data Source'!$P:$P,MATCH(898,'Data Source'!$T:$T,0)),"")</f>
        <v/>
      </c>
      <c r="D900" s="5">
        <f>IFERROR(INDEX('Data Source'!$Q:$Q,MATCH(898,'Data Source'!$T:$T,0)),"")</f>
        <v/>
      </c>
      <c r="E900" s="5">
        <f>IFERROR(INDEX('Data Source'!$R:$R,MATCH(898,'Data Source'!$T:$T,0)),"")</f>
        <v/>
      </c>
      <c r="F900" s="3">
        <f>IFERROR(INDEX('Data Source'!$S:$S,MATCH(898,'Data Source'!$T:$T,0)),"")</f>
        <v/>
      </c>
    </row>
    <row r="901">
      <c r="A901" s="3">
        <f>IFERROR(IF(COUNTIF('Data Source'!$T:$T,899)&gt;0,899,""),"")</f>
        <v/>
      </c>
      <c r="B901">
        <f>IFERROR(INDEX('Data Source'!$B:$B,MATCH(899,'Data Source'!$T:$T,0)),"")</f>
        <v/>
      </c>
      <c r="C901" s="3">
        <f>IFERROR(INDEX('Data Source'!$P:$P,MATCH(899,'Data Source'!$T:$T,0)),"")</f>
        <v/>
      </c>
      <c r="D901" s="5">
        <f>IFERROR(INDEX('Data Source'!$Q:$Q,MATCH(899,'Data Source'!$T:$T,0)),"")</f>
        <v/>
      </c>
      <c r="E901" s="5">
        <f>IFERROR(INDEX('Data Source'!$R:$R,MATCH(899,'Data Source'!$T:$T,0)),"")</f>
        <v/>
      </c>
      <c r="F901" s="3">
        <f>IFERROR(INDEX('Data Source'!$S:$S,MATCH(899,'Data Source'!$T:$T,0)),"")</f>
        <v/>
      </c>
    </row>
    <row r="902">
      <c r="A902" s="3">
        <f>IFERROR(IF(COUNTIF('Data Source'!$T:$T,900)&gt;0,900,""),"")</f>
        <v/>
      </c>
      <c r="B902">
        <f>IFERROR(INDEX('Data Source'!$B:$B,MATCH(900,'Data Source'!$T:$T,0)),"")</f>
        <v/>
      </c>
      <c r="C902" s="3">
        <f>IFERROR(INDEX('Data Source'!$P:$P,MATCH(900,'Data Source'!$T:$T,0)),"")</f>
        <v/>
      </c>
      <c r="D902" s="5">
        <f>IFERROR(INDEX('Data Source'!$Q:$Q,MATCH(900,'Data Source'!$T:$T,0)),"")</f>
        <v/>
      </c>
      <c r="E902" s="5">
        <f>IFERROR(INDEX('Data Source'!$R:$R,MATCH(900,'Data Source'!$T:$T,0)),"")</f>
        <v/>
      </c>
      <c r="F902" s="3">
        <f>IFERROR(INDEX('Data Source'!$S:$S,MATCH(900,'Data Source'!$T:$T,0)),"")</f>
        <v/>
      </c>
    </row>
    <row r="903">
      <c r="A903" s="3">
        <f>IFERROR(IF(COUNTIF('Data Source'!$T:$T,901)&gt;0,901,""),"")</f>
        <v/>
      </c>
      <c r="B903">
        <f>IFERROR(INDEX('Data Source'!$B:$B,MATCH(901,'Data Source'!$T:$T,0)),"")</f>
        <v/>
      </c>
      <c r="C903" s="3">
        <f>IFERROR(INDEX('Data Source'!$P:$P,MATCH(901,'Data Source'!$T:$T,0)),"")</f>
        <v/>
      </c>
      <c r="D903" s="5">
        <f>IFERROR(INDEX('Data Source'!$Q:$Q,MATCH(901,'Data Source'!$T:$T,0)),"")</f>
        <v/>
      </c>
      <c r="E903" s="5">
        <f>IFERROR(INDEX('Data Source'!$R:$R,MATCH(901,'Data Source'!$T:$T,0)),"")</f>
        <v/>
      </c>
      <c r="F903" s="3">
        <f>IFERROR(INDEX('Data Source'!$S:$S,MATCH(901,'Data Source'!$T:$T,0)),"")</f>
        <v/>
      </c>
    </row>
    <row r="904">
      <c r="A904" s="3">
        <f>IFERROR(IF(COUNTIF('Data Source'!$T:$T,902)&gt;0,902,""),"")</f>
        <v/>
      </c>
      <c r="B904">
        <f>IFERROR(INDEX('Data Source'!$B:$B,MATCH(902,'Data Source'!$T:$T,0)),"")</f>
        <v/>
      </c>
      <c r="C904" s="3">
        <f>IFERROR(INDEX('Data Source'!$P:$P,MATCH(902,'Data Source'!$T:$T,0)),"")</f>
        <v/>
      </c>
      <c r="D904" s="5">
        <f>IFERROR(INDEX('Data Source'!$Q:$Q,MATCH(902,'Data Source'!$T:$T,0)),"")</f>
        <v/>
      </c>
      <c r="E904" s="5">
        <f>IFERROR(INDEX('Data Source'!$R:$R,MATCH(902,'Data Source'!$T:$T,0)),"")</f>
        <v/>
      </c>
      <c r="F904" s="3">
        <f>IFERROR(INDEX('Data Source'!$S:$S,MATCH(902,'Data Source'!$T:$T,0)),"")</f>
        <v/>
      </c>
    </row>
    <row r="905">
      <c r="A905" s="3">
        <f>IFERROR(IF(COUNTIF('Data Source'!$T:$T,903)&gt;0,903,""),"")</f>
        <v/>
      </c>
      <c r="B905">
        <f>IFERROR(INDEX('Data Source'!$B:$B,MATCH(903,'Data Source'!$T:$T,0)),"")</f>
        <v/>
      </c>
      <c r="C905" s="3">
        <f>IFERROR(INDEX('Data Source'!$P:$P,MATCH(903,'Data Source'!$T:$T,0)),"")</f>
        <v/>
      </c>
      <c r="D905" s="5">
        <f>IFERROR(INDEX('Data Source'!$Q:$Q,MATCH(903,'Data Source'!$T:$T,0)),"")</f>
        <v/>
      </c>
      <c r="E905" s="5">
        <f>IFERROR(INDEX('Data Source'!$R:$R,MATCH(903,'Data Source'!$T:$T,0)),"")</f>
        <v/>
      </c>
      <c r="F905" s="3">
        <f>IFERROR(INDEX('Data Source'!$S:$S,MATCH(903,'Data Source'!$T:$T,0)),"")</f>
        <v/>
      </c>
    </row>
    <row r="906">
      <c r="A906" s="3">
        <f>IFERROR(IF(COUNTIF('Data Source'!$T:$T,904)&gt;0,904,""),"")</f>
        <v/>
      </c>
      <c r="B906">
        <f>IFERROR(INDEX('Data Source'!$B:$B,MATCH(904,'Data Source'!$T:$T,0)),"")</f>
        <v/>
      </c>
      <c r="C906" s="3">
        <f>IFERROR(INDEX('Data Source'!$P:$P,MATCH(904,'Data Source'!$T:$T,0)),"")</f>
        <v/>
      </c>
      <c r="D906" s="5">
        <f>IFERROR(INDEX('Data Source'!$Q:$Q,MATCH(904,'Data Source'!$T:$T,0)),"")</f>
        <v/>
      </c>
      <c r="E906" s="5">
        <f>IFERROR(INDEX('Data Source'!$R:$R,MATCH(904,'Data Source'!$T:$T,0)),"")</f>
        <v/>
      </c>
      <c r="F906" s="3">
        <f>IFERROR(INDEX('Data Source'!$S:$S,MATCH(904,'Data Source'!$T:$T,0)),"")</f>
        <v/>
      </c>
    </row>
    <row r="907">
      <c r="A907" s="3">
        <f>IFERROR(IF(COUNTIF('Data Source'!$T:$T,905)&gt;0,905,""),"")</f>
        <v/>
      </c>
      <c r="B907">
        <f>IFERROR(INDEX('Data Source'!$B:$B,MATCH(905,'Data Source'!$T:$T,0)),"")</f>
        <v/>
      </c>
      <c r="C907" s="3">
        <f>IFERROR(INDEX('Data Source'!$P:$P,MATCH(905,'Data Source'!$T:$T,0)),"")</f>
        <v/>
      </c>
      <c r="D907" s="5">
        <f>IFERROR(INDEX('Data Source'!$Q:$Q,MATCH(905,'Data Source'!$T:$T,0)),"")</f>
        <v/>
      </c>
      <c r="E907" s="5">
        <f>IFERROR(INDEX('Data Source'!$R:$R,MATCH(905,'Data Source'!$T:$T,0)),"")</f>
        <v/>
      </c>
      <c r="F907" s="3">
        <f>IFERROR(INDEX('Data Source'!$S:$S,MATCH(905,'Data Source'!$T:$T,0)),"")</f>
        <v/>
      </c>
    </row>
    <row r="908">
      <c r="A908" s="3">
        <f>IFERROR(IF(COUNTIF('Data Source'!$T:$T,906)&gt;0,906,""),"")</f>
        <v/>
      </c>
      <c r="B908">
        <f>IFERROR(INDEX('Data Source'!$B:$B,MATCH(906,'Data Source'!$T:$T,0)),"")</f>
        <v/>
      </c>
      <c r="C908" s="3">
        <f>IFERROR(INDEX('Data Source'!$P:$P,MATCH(906,'Data Source'!$T:$T,0)),"")</f>
        <v/>
      </c>
      <c r="D908" s="5">
        <f>IFERROR(INDEX('Data Source'!$Q:$Q,MATCH(906,'Data Source'!$T:$T,0)),"")</f>
        <v/>
      </c>
      <c r="E908" s="5">
        <f>IFERROR(INDEX('Data Source'!$R:$R,MATCH(906,'Data Source'!$T:$T,0)),"")</f>
        <v/>
      </c>
      <c r="F908" s="3">
        <f>IFERROR(INDEX('Data Source'!$S:$S,MATCH(906,'Data Source'!$T:$T,0)),"")</f>
        <v/>
      </c>
    </row>
    <row r="909">
      <c r="A909" s="3">
        <f>IFERROR(IF(COUNTIF('Data Source'!$T:$T,907)&gt;0,907,""),"")</f>
        <v/>
      </c>
      <c r="B909">
        <f>IFERROR(INDEX('Data Source'!$B:$B,MATCH(907,'Data Source'!$T:$T,0)),"")</f>
        <v/>
      </c>
      <c r="C909" s="3">
        <f>IFERROR(INDEX('Data Source'!$P:$P,MATCH(907,'Data Source'!$T:$T,0)),"")</f>
        <v/>
      </c>
      <c r="D909" s="5">
        <f>IFERROR(INDEX('Data Source'!$Q:$Q,MATCH(907,'Data Source'!$T:$T,0)),"")</f>
        <v/>
      </c>
      <c r="E909" s="5">
        <f>IFERROR(INDEX('Data Source'!$R:$R,MATCH(907,'Data Source'!$T:$T,0)),"")</f>
        <v/>
      </c>
      <c r="F909" s="3">
        <f>IFERROR(INDEX('Data Source'!$S:$S,MATCH(907,'Data Source'!$T:$T,0)),"")</f>
        <v/>
      </c>
    </row>
    <row r="910">
      <c r="A910" s="3">
        <f>IFERROR(IF(COUNTIF('Data Source'!$T:$T,908)&gt;0,908,""),"")</f>
        <v/>
      </c>
      <c r="B910">
        <f>IFERROR(INDEX('Data Source'!$B:$B,MATCH(908,'Data Source'!$T:$T,0)),"")</f>
        <v/>
      </c>
      <c r="C910" s="3">
        <f>IFERROR(INDEX('Data Source'!$P:$P,MATCH(908,'Data Source'!$T:$T,0)),"")</f>
        <v/>
      </c>
      <c r="D910" s="5">
        <f>IFERROR(INDEX('Data Source'!$Q:$Q,MATCH(908,'Data Source'!$T:$T,0)),"")</f>
        <v/>
      </c>
      <c r="E910" s="5">
        <f>IFERROR(INDEX('Data Source'!$R:$R,MATCH(908,'Data Source'!$T:$T,0)),"")</f>
        <v/>
      </c>
      <c r="F910" s="3">
        <f>IFERROR(INDEX('Data Source'!$S:$S,MATCH(908,'Data Source'!$T:$T,0)),"")</f>
        <v/>
      </c>
    </row>
    <row r="911">
      <c r="A911" s="3">
        <f>IFERROR(IF(COUNTIF('Data Source'!$T:$T,909)&gt;0,909,""),"")</f>
        <v/>
      </c>
      <c r="B911">
        <f>IFERROR(INDEX('Data Source'!$B:$B,MATCH(909,'Data Source'!$T:$T,0)),"")</f>
        <v/>
      </c>
      <c r="C911" s="3">
        <f>IFERROR(INDEX('Data Source'!$P:$P,MATCH(909,'Data Source'!$T:$T,0)),"")</f>
        <v/>
      </c>
      <c r="D911" s="5">
        <f>IFERROR(INDEX('Data Source'!$Q:$Q,MATCH(909,'Data Source'!$T:$T,0)),"")</f>
        <v/>
      </c>
      <c r="E911" s="5">
        <f>IFERROR(INDEX('Data Source'!$R:$R,MATCH(909,'Data Source'!$T:$T,0)),"")</f>
        <v/>
      </c>
      <c r="F911" s="3">
        <f>IFERROR(INDEX('Data Source'!$S:$S,MATCH(909,'Data Source'!$T:$T,0)),"")</f>
        <v/>
      </c>
    </row>
    <row r="912">
      <c r="A912" s="3">
        <f>IFERROR(IF(COUNTIF('Data Source'!$T:$T,910)&gt;0,910,""),"")</f>
        <v/>
      </c>
      <c r="B912">
        <f>IFERROR(INDEX('Data Source'!$B:$B,MATCH(910,'Data Source'!$T:$T,0)),"")</f>
        <v/>
      </c>
      <c r="C912" s="3">
        <f>IFERROR(INDEX('Data Source'!$P:$P,MATCH(910,'Data Source'!$T:$T,0)),"")</f>
        <v/>
      </c>
      <c r="D912" s="5">
        <f>IFERROR(INDEX('Data Source'!$Q:$Q,MATCH(910,'Data Source'!$T:$T,0)),"")</f>
        <v/>
      </c>
      <c r="E912" s="5">
        <f>IFERROR(INDEX('Data Source'!$R:$R,MATCH(910,'Data Source'!$T:$T,0)),"")</f>
        <v/>
      </c>
      <c r="F912" s="3">
        <f>IFERROR(INDEX('Data Source'!$S:$S,MATCH(910,'Data Source'!$T:$T,0)),"")</f>
        <v/>
      </c>
    </row>
    <row r="913">
      <c r="A913" s="3">
        <f>IFERROR(IF(COUNTIF('Data Source'!$T:$T,911)&gt;0,911,""),"")</f>
        <v/>
      </c>
      <c r="B913">
        <f>IFERROR(INDEX('Data Source'!$B:$B,MATCH(911,'Data Source'!$T:$T,0)),"")</f>
        <v/>
      </c>
      <c r="C913" s="3">
        <f>IFERROR(INDEX('Data Source'!$P:$P,MATCH(911,'Data Source'!$T:$T,0)),"")</f>
        <v/>
      </c>
      <c r="D913" s="5">
        <f>IFERROR(INDEX('Data Source'!$Q:$Q,MATCH(911,'Data Source'!$T:$T,0)),"")</f>
        <v/>
      </c>
      <c r="E913" s="5">
        <f>IFERROR(INDEX('Data Source'!$R:$R,MATCH(911,'Data Source'!$T:$T,0)),"")</f>
        <v/>
      </c>
      <c r="F913" s="3">
        <f>IFERROR(INDEX('Data Source'!$S:$S,MATCH(911,'Data Source'!$T:$T,0)),"")</f>
        <v/>
      </c>
    </row>
    <row r="914">
      <c r="A914" s="3">
        <f>IFERROR(IF(COUNTIF('Data Source'!$T:$T,912)&gt;0,912,""),"")</f>
        <v/>
      </c>
      <c r="B914">
        <f>IFERROR(INDEX('Data Source'!$B:$B,MATCH(912,'Data Source'!$T:$T,0)),"")</f>
        <v/>
      </c>
      <c r="C914" s="3">
        <f>IFERROR(INDEX('Data Source'!$P:$P,MATCH(912,'Data Source'!$T:$T,0)),"")</f>
        <v/>
      </c>
      <c r="D914" s="5">
        <f>IFERROR(INDEX('Data Source'!$Q:$Q,MATCH(912,'Data Source'!$T:$T,0)),"")</f>
        <v/>
      </c>
      <c r="E914" s="5">
        <f>IFERROR(INDEX('Data Source'!$R:$R,MATCH(912,'Data Source'!$T:$T,0)),"")</f>
        <v/>
      </c>
      <c r="F914" s="3">
        <f>IFERROR(INDEX('Data Source'!$S:$S,MATCH(912,'Data Source'!$T:$T,0)),"")</f>
        <v/>
      </c>
    </row>
    <row r="915">
      <c r="A915" s="3">
        <f>IFERROR(IF(COUNTIF('Data Source'!$T:$T,913)&gt;0,913,""),"")</f>
        <v/>
      </c>
      <c r="B915">
        <f>IFERROR(INDEX('Data Source'!$B:$B,MATCH(913,'Data Source'!$T:$T,0)),"")</f>
        <v/>
      </c>
      <c r="C915" s="3">
        <f>IFERROR(INDEX('Data Source'!$P:$P,MATCH(913,'Data Source'!$T:$T,0)),"")</f>
        <v/>
      </c>
      <c r="D915" s="5">
        <f>IFERROR(INDEX('Data Source'!$Q:$Q,MATCH(913,'Data Source'!$T:$T,0)),"")</f>
        <v/>
      </c>
      <c r="E915" s="5">
        <f>IFERROR(INDEX('Data Source'!$R:$R,MATCH(913,'Data Source'!$T:$T,0)),"")</f>
        <v/>
      </c>
      <c r="F915" s="3">
        <f>IFERROR(INDEX('Data Source'!$S:$S,MATCH(913,'Data Source'!$T:$T,0)),"")</f>
        <v/>
      </c>
    </row>
    <row r="916">
      <c r="A916" s="3">
        <f>IFERROR(IF(COUNTIF('Data Source'!$T:$T,914)&gt;0,914,""),"")</f>
        <v/>
      </c>
      <c r="B916">
        <f>IFERROR(INDEX('Data Source'!$B:$B,MATCH(914,'Data Source'!$T:$T,0)),"")</f>
        <v/>
      </c>
      <c r="C916" s="3">
        <f>IFERROR(INDEX('Data Source'!$P:$P,MATCH(914,'Data Source'!$T:$T,0)),"")</f>
        <v/>
      </c>
      <c r="D916" s="5">
        <f>IFERROR(INDEX('Data Source'!$Q:$Q,MATCH(914,'Data Source'!$T:$T,0)),"")</f>
        <v/>
      </c>
      <c r="E916" s="5">
        <f>IFERROR(INDEX('Data Source'!$R:$R,MATCH(914,'Data Source'!$T:$T,0)),"")</f>
        <v/>
      </c>
      <c r="F916" s="3">
        <f>IFERROR(INDEX('Data Source'!$S:$S,MATCH(914,'Data Source'!$T:$T,0)),"")</f>
        <v/>
      </c>
    </row>
    <row r="917">
      <c r="A917" s="3">
        <f>IFERROR(IF(COUNTIF('Data Source'!$T:$T,915)&gt;0,915,""),"")</f>
        <v/>
      </c>
      <c r="B917">
        <f>IFERROR(INDEX('Data Source'!$B:$B,MATCH(915,'Data Source'!$T:$T,0)),"")</f>
        <v/>
      </c>
      <c r="C917" s="3">
        <f>IFERROR(INDEX('Data Source'!$P:$P,MATCH(915,'Data Source'!$T:$T,0)),"")</f>
        <v/>
      </c>
      <c r="D917" s="5">
        <f>IFERROR(INDEX('Data Source'!$Q:$Q,MATCH(915,'Data Source'!$T:$T,0)),"")</f>
        <v/>
      </c>
      <c r="E917" s="5">
        <f>IFERROR(INDEX('Data Source'!$R:$R,MATCH(915,'Data Source'!$T:$T,0)),"")</f>
        <v/>
      </c>
      <c r="F917" s="3">
        <f>IFERROR(INDEX('Data Source'!$S:$S,MATCH(915,'Data Source'!$T:$T,0)),"")</f>
        <v/>
      </c>
    </row>
    <row r="918">
      <c r="A918" s="3">
        <f>IFERROR(IF(COUNTIF('Data Source'!$T:$T,916)&gt;0,916,""),"")</f>
        <v/>
      </c>
      <c r="B918">
        <f>IFERROR(INDEX('Data Source'!$B:$B,MATCH(916,'Data Source'!$T:$T,0)),"")</f>
        <v/>
      </c>
      <c r="C918" s="3">
        <f>IFERROR(INDEX('Data Source'!$P:$P,MATCH(916,'Data Source'!$T:$T,0)),"")</f>
        <v/>
      </c>
      <c r="D918" s="5">
        <f>IFERROR(INDEX('Data Source'!$Q:$Q,MATCH(916,'Data Source'!$T:$T,0)),"")</f>
        <v/>
      </c>
      <c r="E918" s="5">
        <f>IFERROR(INDEX('Data Source'!$R:$R,MATCH(916,'Data Source'!$T:$T,0)),"")</f>
        <v/>
      </c>
      <c r="F918" s="3">
        <f>IFERROR(INDEX('Data Source'!$S:$S,MATCH(916,'Data Source'!$T:$T,0)),"")</f>
        <v/>
      </c>
    </row>
    <row r="919">
      <c r="A919" s="3">
        <f>IFERROR(IF(COUNTIF('Data Source'!$T:$T,917)&gt;0,917,""),"")</f>
        <v/>
      </c>
      <c r="B919">
        <f>IFERROR(INDEX('Data Source'!$B:$B,MATCH(917,'Data Source'!$T:$T,0)),"")</f>
        <v/>
      </c>
      <c r="C919" s="3">
        <f>IFERROR(INDEX('Data Source'!$P:$P,MATCH(917,'Data Source'!$T:$T,0)),"")</f>
        <v/>
      </c>
      <c r="D919" s="5">
        <f>IFERROR(INDEX('Data Source'!$Q:$Q,MATCH(917,'Data Source'!$T:$T,0)),"")</f>
        <v/>
      </c>
      <c r="E919" s="5">
        <f>IFERROR(INDEX('Data Source'!$R:$R,MATCH(917,'Data Source'!$T:$T,0)),"")</f>
        <v/>
      </c>
      <c r="F919" s="3">
        <f>IFERROR(INDEX('Data Source'!$S:$S,MATCH(917,'Data Source'!$T:$T,0)),"")</f>
        <v/>
      </c>
    </row>
    <row r="920">
      <c r="A920" s="3">
        <f>IFERROR(IF(COUNTIF('Data Source'!$T:$T,918)&gt;0,918,""),"")</f>
        <v/>
      </c>
      <c r="B920">
        <f>IFERROR(INDEX('Data Source'!$B:$B,MATCH(918,'Data Source'!$T:$T,0)),"")</f>
        <v/>
      </c>
      <c r="C920" s="3">
        <f>IFERROR(INDEX('Data Source'!$P:$P,MATCH(918,'Data Source'!$T:$T,0)),"")</f>
        <v/>
      </c>
      <c r="D920" s="5">
        <f>IFERROR(INDEX('Data Source'!$Q:$Q,MATCH(918,'Data Source'!$T:$T,0)),"")</f>
        <v/>
      </c>
      <c r="E920" s="5">
        <f>IFERROR(INDEX('Data Source'!$R:$R,MATCH(918,'Data Source'!$T:$T,0)),"")</f>
        <v/>
      </c>
      <c r="F920" s="3">
        <f>IFERROR(INDEX('Data Source'!$S:$S,MATCH(918,'Data Source'!$T:$T,0)),"")</f>
        <v/>
      </c>
    </row>
    <row r="921">
      <c r="A921" s="3">
        <f>IFERROR(IF(COUNTIF('Data Source'!$T:$T,919)&gt;0,919,""),"")</f>
        <v/>
      </c>
      <c r="B921">
        <f>IFERROR(INDEX('Data Source'!$B:$B,MATCH(919,'Data Source'!$T:$T,0)),"")</f>
        <v/>
      </c>
      <c r="C921" s="3">
        <f>IFERROR(INDEX('Data Source'!$P:$P,MATCH(919,'Data Source'!$T:$T,0)),"")</f>
        <v/>
      </c>
      <c r="D921" s="5">
        <f>IFERROR(INDEX('Data Source'!$Q:$Q,MATCH(919,'Data Source'!$T:$T,0)),"")</f>
        <v/>
      </c>
      <c r="E921" s="5">
        <f>IFERROR(INDEX('Data Source'!$R:$R,MATCH(919,'Data Source'!$T:$T,0)),"")</f>
        <v/>
      </c>
      <c r="F921" s="3">
        <f>IFERROR(INDEX('Data Source'!$S:$S,MATCH(919,'Data Source'!$T:$T,0)),"")</f>
        <v/>
      </c>
    </row>
    <row r="922">
      <c r="A922" s="3">
        <f>IFERROR(IF(COUNTIF('Data Source'!$T:$T,920)&gt;0,920,""),"")</f>
        <v/>
      </c>
      <c r="B922">
        <f>IFERROR(INDEX('Data Source'!$B:$B,MATCH(920,'Data Source'!$T:$T,0)),"")</f>
        <v/>
      </c>
      <c r="C922" s="3">
        <f>IFERROR(INDEX('Data Source'!$P:$P,MATCH(920,'Data Source'!$T:$T,0)),"")</f>
        <v/>
      </c>
      <c r="D922" s="5">
        <f>IFERROR(INDEX('Data Source'!$Q:$Q,MATCH(920,'Data Source'!$T:$T,0)),"")</f>
        <v/>
      </c>
      <c r="E922" s="5">
        <f>IFERROR(INDEX('Data Source'!$R:$R,MATCH(920,'Data Source'!$T:$T,0)),"")</f>
        <v/>
      </c>
      <c r="F922" s="3">
        <f>IFERROR(INDEX('Data Source'!$S:$S,MATCH(920,'Data Source'!$T:$T,0)),"")</f>
        <v/>
      </c>
    </row>
    <row r="923">
      <c r="A923" s="3">
        <f>IFERROR(IF(COUNTIF('Data Source'!$T:$T,921)&gt;0,921,""),"")</f>
        <v/>
      </c>
      <c r="B923">
        <f>IFERROR(INDEX('Data Source'!$B:$B,MATCH(921,'Data Source'!$T:$T,0)),"")</f>
        <v/>
      </c>
      <c r="C923" s="3">
        <f>IFERROR(INDEX('Data Source'!$P:$P,MATCH(921,'Data Source'!$T:$T,0)),"")</f>
        <v/>
      </c>
      <c r="D923" s="5">
        <f>IFERROR(INDEX('Data Source'!$Q:$Q,MATCH(921,'Data Source'!$T:$T,0)),"")</f>
        <v/>
      </c>
      <c r="E923" s="5">
        <f>IFERROR(INDEX('Data Source'!$R:$R,MATCH(921,'Data Source'!$T:$T,0)),"")</f>
        <v/>
      </c>
      <c r="F923" s="3">
        <f>IFERROR(INDEX('Data Source'!$S:$S,MATCH(921,'Data Source'!$T:$T,0)),"")</f>
        <v/>
      </c>
    </row>
    <row r="924">
      <c r="A924" s="3">
        <f>IFERROR(IF(COUNTIF('Data Source'!$T:$T,922)&gt;0,922,""),"")</f>
        <v/>
      </c>
      <c r="B924">
        <f>IFERROR(INDEX('Data Source'!$B:$B,MATCH(922,'Data Source'!$T:$T,0)),"")</f>
        <v/>
      </c>
      <c r="C924" s="3">
        <f>IFERROR(INDEX('Data Source'!$P:$P,MATCH(922,'Data Source'!$T:$T,0)),"")</f>
        <v/>
      </c>
      <c r="D924" s="5">
        <f>IFERROR(INDEX('Data Source'!$Q:$Q,MATCH(922,'Data Source'!$T:$T,0)),"")</f>
        <v/>
      </c>
      <c r="E924" s="5">
        <f>IFERROR(INDEX('Data Source'!$R:$R,MATCH(922,'Data Source'!$T:$T,0)),"")</f>
        <v/>
      </c>
      <c r="F924" s="3">
        <f>IFERROR(INDEX('Data Source'!$S:$S,MATCH(922,'Data Source'!$T:$T,0)),"")</f>
        <v/>
      </c>
    </row>
    <row r="925">
      <c r="A925" s="3">
        <f>IFERROR(IF(COUNTIF('Data Source'!$T:$T,923)&gt;0,923,""),"")</f>
        <v/>
      </c>
      <c r="B925">
        <f>IFERROR(INDEX('Data Source'!$B:$B,MATCH(923,'Data Source'!$T:$T,0)),"")</f>
        <v/>
      </c>
      <c r="C925" s="3">
        <f>IFERROR(INDEX('Data Source'!$P:$P,MATCH(923,'Data Source'!$T:$T,0)),"")</f>
        <v/>
      </c>
      <c r="D925" s="5">
        <f>IFERROR(INDEX('Data Source'!$Q:$Q,MATCH(923,'Data Source'!$T:$T,0)),"")</f>
        <v/>
      </c>
      <c r="E925" s="5">
        <f>IFERROR(INDEX('Data Source'!$R:$R,MATCH(923,'Data Source'!$T:$T,0)),"")</f>
        <v/>
      </c>
      <c r="F925" s="3">
        <f>IFERROR(INDEX('Data Source'!$S:$S,MATCH(923,'Data Source'!$T:$T,0)),"")</f>
        <v/>
      </c>
    </row>
    <row r="926">
      <c r="A926" s="3">
        <f>IFERROR(IF(COUNTIF('Data Source'!$T:$T,924)&gt;0,924,""),"")</f>
        <v/>
      </c>
      <c r="B926">
        <f>IFERROR(INDEX('Data Source'!$B:$B,MATCH(924,'Data Source'!$T:$T,0)),"")</f>
        <v/>
      </c>
      <c r="C926" s="3">
        <f>IFERROR(INDEX('Data Source'!$P:$P,MATCH(924,'Data Source'!$T:$T,0)),"")</f>
        <v/>
      </c>
      <c r="D926" s="5">
        <f>IFERROR(INDEX('Data Source'!$Q:$Q,MATCH(924,'Data Source'!$T:$T,0)),"")</f>
        <v/>
      </c>
      <c r="E926" s="5">
        <f>IFERROR(INDEX('Data Source'!$R:$R,MATCH(924,'Data Source'!$T:$T,0)),"")</f>
        <v/>
      </c>
      <c r="F926" s="3">
        <f>IFERROR(INDEX('Data Source'!$S:$S,MATCH(924,'Data Source'!$T:$T,0)),"")</f>
        <v/>
      </c>
    </row>
    <row r="927">
      <c r="A927" s="3">
        <f>IFERROR(IF(COUNTIF('Data Source'!$T:$T,925)&gt;0,925,""),"")</f>
        <v/>
      </c>
      <c r="B927">
        <f>IFERROR(INDEX('Data Source'!$B:$B,MATCH(925,'Data Source'!$T:$T,0)),"")</f>
        <v/>
      </c>
      <c r="C927" s="3">
        <f>IFERROR(INDEX('Data Source'!$P:$P,MATCH(925,'Data Source'!$T:$T,0)),"")</f>
        <v/>
      </c>
      <c r="D927" s="5">
        <f>IFERROR(INDEX('Data Source'!$Q:$Q,MATCH(925,'Data Source'!$T:$T,0)),"")</f>
        <v/>
      </c>
      <c r="E927" s="5">
        <f>IFERROR(INDEX('Data Source'!$R:$R,MATCH(925,'Data Source'!$T:$T,0)),"")</f>
        <v/>
      </c>
      <c r="F927" s="3">
        <f>IFERROR(INDEX('Data Source'!$S:$S,MATCH(925,'Data Source'!$T:$T,0)),"")</f>
        <v/>
      </c>
    </row>
    <row r="928">
      <c r="A928" s="3">
        <f>IFERROR(IF(COUNTIF('Data Source'!$T:$T,926)&gt;0,926,""),"")</f>
        <v/>
      </c>
      <c r="B928">
        <f>IFERROR(INDEX('Data Source'!$B:$B,MATCH(926,'Data Source'!$T:$T,0)),"")</f>
        <v/>
      </c>
      <c r="C928" s="3">
        <f>IFERROR(INDEX('Data Source'!$P:$P,MATCH(926,'Data Source'!$T:$T,0)),"")</f>
        <v/>
      </c>
      <c r="D928" s="5">
        <f>IFERROR(INDEX('Data Source'!$Q:$Q,MATCH(926,'Data Source'!$T:$T,0)),"")</f>
        <v/>
      </c>
      <c r="E928" s="5">
        <f>IFERROR(INDEX('Data Source'!$R:$R,MATCH(926,'Data Source'!$T:$T,0)),"")</f>
        <v/>
      </c>
      <c r="F928" s="3">
        <f>IFERROR(INDEX('Data Source'!$S:$S,MATCH(926,'Data Source'!$T:$T,0)),"")</f>
        <v/>
      </c>
    </row>
    <row r="929">
      <c r="A929" s="3">
        <f>IFERROR(IF(COUNTIF('Data Source'!$T:$T,927)&gt;0,927,""),"")</f>
        <v/>
      </c>
      <c r="B929">
        <f>IFERROR(INDEX('Data Source'!$B:$B,MATCH(927,'Data Source'!$T:$T,0)),"")</f>
        <v/>
      </c>
      <c r="C929" s="3">
        <f>IFERROR(INDEX('Data Source'!$P:$P,MATCH(927,'Data Source'!$T:$T,0)),"")</f>
        <v/>
      </c>
      <c r="D929" s="5">
        <f>IFERROR(INDEX('Data Source'!$Q:$Q,MATCH(927,'Data Source'!$T:$T,0)),"")</f>
        <v/>
      </c>
      <c r="E929" s="5">
        <f>IFERROR(INDEX('Data Source'!$R:$R,MATCH(927,'Data Source'!$T:$T,0)),"")</f>
        <v/>
      </c>
      <c r="F929" s="3">
        <f>IFERROR(INDEX('Data Source'!$S:$S,MATCH(927,'Data Source'!$T:$T,0)),"")</f>
        <v/>
      </c>
    </row>
    <row r="930">
      <c r="A930" s="3">
        <f>IFERROR(IF(COUNTIF('Data Source'!$T:$T,928)&gt;0,928,""),"")</f>
        <v/>
      </c>
      <c r="B930">
        <f>IFERROR(INDEX('Data Source'!$B:$B,MATCH(928,'Data Source'!$T:$T,0)),"")</f>
        <v/>
      </c>
      <c r="C930" s="3">
        <f>IFERROR(INDEX('Data Source'!$P:$P,MATCH(928,'Data Source'!$T:$T,0)),"")</f>
        <v/>
      </c>
      <c r="D930" s="5">
        <f>IFERROR(INDEX('Data Source'!$Q:$Q,MATCH(928,'Data Source'!$T:$T,0)),"")</f>
        <v/>
      </c>
      <c r="E930" s="5">
        <f>IFERROR(INDEX('Data Source'!$R:$R,MATCH(928,'Data Source'!$T:$T,0)),"")</f>
        <v/>
      </c>
      <c r="F930" s="3">
        <f>IFERROR(INDEX('Data Source'!$S:$S,MATCH(928,'Data Source'!$T:$T,0)),"")</f>
        <v/>
      </c>
    </row>
    <row r="931">
      <c r="A931" s="3">
        <f>IFERROR(IF(COUNTIF('Data Source'!$T:$T,929)&gt;0,929,""),"")</f>
        <v/>
      </c>
      <c r="B931">
        <f>IFERROR(INDEX('Data Source'!$B:$B,MATCH(929,'Data Source'!$T:$T,0)),"")</f>
        <v/>
      </c>
      <c r="C931" s="3">
        <f>IFERROR(INDEX('Data Source'!$P:$P,MATCH(929,'Data Source'!$T:$T,0)),"")</f>
        <v/>
      </c>
      <c r="D931" s="5">
        <f>IFERROR(INDEX('Data Source'!$Q:$Q,MATCH(929,'Data Source'!$T:$T,0)),"")</f>
        <v/>
      </c>
      <c r="E931" s="5">
        <f>IFERROR(INDEX('Data Source'!$R:$R,MATCH(929,'Data Source'!$T:$T,0)),"")</f>
        <v/>
      </c>
      <c r="F931" s="3">
        <f>IFERROR(INDEX('Data Source'!$S:$S,MATCH(929,'Data Source'!$T:$T,0)),"")</f>
        <v/>
      </c>
    </row>
    <row r="932">
      <c r="A932" s="3">
        <f>IFERROR(IF(COUNTIF('Data Source'!$T:$T,930)&gt;0,930,""),"")</f>
        <v/>
      </c>
      <c r="B932">
        <f>IFERROR(INDEX('Data Source'!$B:$B,MATCH(930,'Data Source'!$T:$T,0)),"")</f>
        <v/>
      </c>
      <c r="C932" s="3">
        <f>IFERROR(INDEX('Data Source'!$P:$P,MATCH(930,'Data Source'!$T:$T,0)),"")</f>
        <v/>
      </c>
      <c r="D932" s="5">
        <f>IFERROR(INDEX('Data Source'!$Q:$Q,MATCH(930,'Data Source'!$T:$T,0)),"")</f>
        <v/>
      </c>
      <c r="E932" s="5">
        <f>IFERROR(INDEX('Data Source'!$R:$R,MATCH(930,'Data Source'!$T:$T,0)),"")</f>
        <v/>
      </c>
      <c r="F932" s="3">
        <f>IFERROR(INDEX('Data Source'!$S:$S,MATCH(930,'Data Source'!$T:$T,0)),"")</f>
        <v/>
      </c>
    </row>
    <row r="933">
      <c r="A933" s="3">
        <f>IFERROR(IF(COUNTIF('Data Source'!$T:$T,931)&gt;0,931,""),"")</f>
        <v/>
      </c>
      <c r="B933">
        <f>IFERROR(INDEX('Data Source'!$B:$B,MATCH(931,'Data Source'!$T:$T,0)),"")</f>
        <v/>
      </c>
      <c r="C933" s="3">
        <f>IFERROR(INDEX('Data Source'!$P:$P,MATCH(931,'Data Source'!$T:$T,0)),"")</f>
        <v/>
      </c>
      <c r="D933" s="5">
        <f>IFERROR(INDEX('Data Source'!$Q:$Q,MATCH(931,'Data Source'!$T:$T,0)),"")</f>
        <v/>
      </c>
      <c r="E933" s="5">
        <f>IFERROR(INDEX('Data Source'!$R:$R,MATCH(931,'Data Source'!$T:$T,0)),"")</f>
        <v/>
      </c>
      <c r="F933" s="3">
        <f>IFERROR(INDEX('Data Source'!$S:$S,MATCH(931,'Data Source'!$T:$T,0)),"")</f>
        <v/>
      </c>
    </row>
    <row r="934">
      <c r="A934" s="3">
        <f>IFERROR(IF(COUNTIF('Data Source'!$T:$T,932)&gt;0,932,""),"")</f>
        <v/>
      </c>
      <c r="B934">
        <f>IFERROR(INDEX('Data Source'!$B:$B,MATCH(932,'Data Source'!$T:$T,0)),"")</f>
        <v/>
      </c>
      <c r="C934" s="3">
        <f>IFERROR(INDEX('Data Source'!$P:$P,MATCH(932,'Data Source'!$T:$T,0)),"")</f>
        <v/>
      </c>
      <c r="D934" s="5">
        <f>IFERROR(INDEX('Data Source'!$Q:$Q,MATCH(932,'Data Source'!$T:$T,0)),"")</f>
        <v/>
      </c>
      <c r="E934" s="5">
        <f>IFERROR(INDEX('Data Source'!$R:$R,MATCH(932,'Data Source'!$T:$T,0)),"")</f>
        <v/>
      </c>
      <c r="F934" s="3">
        <f>IFERROR(INDEX('Data Source'!$S:$S,MATCH(932,'Data Source'!$T:$T,0)),"")</f>
        <v/>
      </c>
    </row>
    <row r="935">
      <c r="A935" s="3">
        <f>IFERROR(IF(COUNTIF('Data Source'!$T:$T,933)&gt;0,933,""),"")</f>
        <v/>
      </c>
      <c r="B935">
        <f>IFERROR(INDEX('Data Source'!$B:$B,MATCH(933,'Data Source'!$T:$T,0)),"")</f>
        <v/>
      </c>
      <c r="C935" s="3">
        <f>IFERROR(INDEX('Data Source'!$P:$P,MATCH(933,'Data Source'!$T:$T,0)),"")</f>
        <v/>
      </c>
      <c r="D935" s="5">
        <f>IFERROR(INDEX('Data Source'!$Q:$Q,MATCH(933,'Data Source'!$T:$T,0)),"")</f>
        <v/>
      </c>
      <c r="E935" s="5">
        <f>IFERROR(INDEX('Data Source'!$R:$R,MATCH(933,'Data Source'!$T:$T,0)),"")</f>
        <v/>
      </c>
      <c r="F935" s="3">
        <f>IFERROR(INDEX('Data Source'!$S:$S,MATCH(933,'Data Source'!$T:$T,0)),"")</f>
        <v/>
      </c>
    </row>
    <row r="936">
      <c r="A936" s="3">
        <f>IFERROR(IF(COUNTIF('Data Source'!$T:$T,934)&gt;0,934,""),"")</f>
        <v/>
      </c>
      <c r="B936">
        <f>IFERROR(INDEX('Data Source'!$B:$B,MATCH(934,'Data Source'!$T:$T,0)),"")</f>
        <v/>
      </c>
      <c r="C936" s="3">
        <f>IFERROR(INDEX('Data Source'!$P:$P,MATCH(934,'Data Source'!$T:$T,0)),"")</f>
        <v/>
      </c>
      <c r="D936" s="5">
        <f>IFERROR(INDEX('Data Source'!$Q:$Q,MATCH(934,'Data Source'!$T:$T,0)),"")</f>
        <v/>
      </c>
      <c r="E936" s="5">
        <f>IFERROR(INDEX('Data Source'!$R:$R,MATCH(934,'Data Source'!$T:$T,0)),"")</f>
        <v/>
      </c>
      <c r="F936" s="3">
        <f>IFERROR(INDEX('Data Source'!$S:$S,MATCH(934,'Data Source'!$T:$T,0)),"")</f>
        <v/>
      </c>
    </row>
    <row r="937">
      <c r="A937" s="3">
        <f>IFERROR(IF(COUNTIF('Data Source'!$T:$T,935)&gt;0,935,""),"")</f>
        <v/>
      </c>
      <c r="B937">
        <f>IFERROR(INDEX('Data Source'!$B:$B,MATCH(935,'Data Source'!$T:$T,0)),"")</f>
        <v/>
      </c>
      <c r="C937" s="3">
        <f>IFERROR(INDEX('Data Source'!$P:$P,MATCH(935,'Data Source'!$T:$T,0)),"")</f>
        <v/>
      </c>
      <c r="D937" s="5">
        <f>IFERROR(INDEX('Data Source'!$Q:$Q,MATCH(935,'Data Source'!$T:$T,0)),"")</f>
        <v/>
      </c>
      <c r="E937" s="5">
        <f>IFERROR(INDEX('Data Source'!$R:$R,MATCH(935,'Data Source'!$T:$T,0)),"")</f>
        <v/>
      </c>
      <c r="F937" s="3">
        <f>IFERROR(INDEX('Data Source'!$S:$S,MATCH(935,'Data Source'!$T:$T,0)),"")</f>
        <v/>
      </c>
    </row>
    <row r="938">
      <c r="A938" s="3">
        <f>IFERROR(IF(COUNTIF('Data Source'!$T:$T,936)&gt;0,936,""),"")</f>
        <v/>
      </c>
      <c r="B938">
        <f>IFERROR(INDEX('Data Source'!$B:$B,MATCH(936,'Data Source'!$T:$T,0)),"")</f>
        <v/>
      </c>
      <c r="C938" s="3">
        <f>IFERROR(INDEX('Data Source'!$P:$P,MATCH(936,'Data Source'!$T:$T,0)),"")</f>
        <v/>
      </c>
      <c r="D938" s="5">
        <f>IFERROR(INDEX('Data Source'!$Q:$Q,MATCH(936,'Data Source'!$T:$T,0)),"")</f>
        <v/>
      </c>
      <c r="E938" s="5">
        <f>IFERROR(INDEX('Data Source'!$R:$R,MATCH(936,'Data Source'!$T:$T,0)),"")</f>
        <v/>
      </c>
      <c r="F938" s="3">
        <f>IFERROR(INDEX('Data Source'!$S:$S,MATCH(936,'Data Source'!$T:$T,0)),"")</f>
        <v/>
      </c>
    </row>
    <row r="939">
      <c r="A939" s="3">
        <f>IFERROR(IF(COUNTIF('Data Source'!$T:$T,937)&gt;0,937,""),"")</f>
        <v/>
      </c>
      <c r="B939">
        <f>IFERROR(INDEX('Data Source'!$B:$B,MATCH(937,'Data Source'!$T:$T,0)),"")</f>
        <v/>
      </c>
      <c r="C939" s="3">
        <f>IFERROR(INDEX('Data Source'!$P:$P,MATCH(937,'Data Source'!$T:$T,0)),"")</f>
        <v/>
      </c>
      <c r="D939" s="5">
        <f>IFERROR(INDEX('Data Source'!$Q:$Q,MATCH(937,'Data Source'!$T:$T,0)),"")</f>
        <v/>
      </c>
      <c r="E939" s="5">
        <f>IFERROR(INDEX('Data Source'!$R:$R,MATCH(937,'Data Source'!$T:$T,0)),"")</f>
        <v/>
      </c>
      <c r="F939" s="3">
        <f>IFERROR(INDEX('Data Source'!$S:$S,MATCH(937,'Data Source'!$T:$T,0)),"")</f>
        <v/>
      </c>
    </row>
    <row r="940">
      <c r="A940" s="3">
        <f>IFERROR(IF(COUNTIF('Data Source'!$T:$T,938)&gt;0,938,""),"")</f>
        <v/>
      </c>
      <c r="B940">
        <f>IFERROR(INDEX('Data Source'!$B:$B,MATCH(938,'Data Source'!$T:$T,0)),"")</f>
        <v/>
      </c>
      <c r="C940" s="3">
        <f>IFERROR(INDEX('Data Source'!$P:$P,MATCH(938,'Data Source'!$T:$T,0)),"")</f>
        <v/>
      </c>
      <c r="D940" s="5">
        <f>IFERROR(INDEX('Data Source'!$Q:$Q,MATCH(938,'Data Source'!$T:$T,0)),"")</f>
        <v/>
      </c>
      <c r="E940" s="5">
        <f>IFERROR(INDEX('Data Source'!$R:$R,MATCH(938,'Data Source'!$T:$T,0)),"")</f>
        <v/>
      </c>
      <c r="F940" s="3">
        <f>IFERROR(INDEX('Data Source'!$S:$S,MATCH(938,'Data Source'!$T:$T,0)),"")</f>
        <v/>
      </c>
    </row>
    <row r="941">
      <c r="A941" s="3">
        <f>IFERROR(IF(COUNTIF('Data Source'!$T:$T,939)&gt;0,939,""),"")</f>
        <v/>
      </c>
      <c r="B941">
        <f>IFERROR(INDEX('Data Source'!$B:$B,MATCH(939,'Data Source'!$T:$T,0)),"")</f>
        <v/>
      </c>
      <c r="C941" s="3">
        <f>IFERROR(INDEX('Data Source'!$P:$P,MATCH(939,'Data Source'!$T:$T,0)),"")</f>
        <v/>
      </c>
      <c r="D941" s="5">
        <f>IFERROR(INDEX('Data Source'!$Q:$Q,MATCH(939,'Data Source'!$T:$T,0)),"")</f>
        <v/>
      </c>
      <c r="E941" s="5">
        <f>IFERROR(INDEX('Data Source'!$R:$R,MATCH(939,'Data Source'!$T:$T,0)),"")</f>
        <v/>
      </c>
      <c r="F941" s="3">
        <f>IFERROR(INDEX('Data Source'!$S:$S,MATCH(939,'Data Source'!$T:$T,0)),"")</f>
        <v/>
      </c>
    </row>
    <row r="942">
      <c r="A942" s="3">
        <f>IFERROR(IF(COUNTIF('Data Source'!$T:$T,940)&gt;0,940,""),"")</f>
        <v/>
      </c>
      <c r="B942">
        <f>IFERROR(INDEX('Data Source'!$B:$B,MATCH(940,'Data Source'!$T:$T,0)),"")</f>
        <v/>
      </c>
      <c r="C942" s="3">
        <f>IFERROR(INDEX('Data Source'!$P:$P,MATCH(940,'Data Source'!$T:$T,0)),"")</f>
        <v/>
      </c>
      <c r="D942" s="5">
        <f>IFERROR(INDEX('Data Source'!$Q:$Q,MATCH(940,'Data Source'!$T:$T,0)),"")</f>
        <v/>
      </c>
      <c r="E942" s="5">
        <f>IFERROR(INDEX('Data Source'!$R:$R,MATCH(940,'Data Source'!$T:$T,0)),"")</f>
        <v/>
      </c>
      <c r="F942" s="3">
        <f>IFERROR(INDEX('Data Source'!$S:$S,MATCH(940,'Data Source'!$T:$T,0)),"")</f>
        <v/>
      </c>
    </row>
    <row r="943">
      <c r="A943" s="3">
        <f>IFERROR(IF(COUNTIF('Data Source'!$T:$T,941)&gt;0,941,""),"")</f>
        <v/>
      </c>
      <c r="B943">
        <f>IFERROR(INDEX('Data Source'!$B:$B,MATCH(941,'Data Source'!$T:$T,0)),"")</f>
        <v/>
      </c>
      <c r="C943" s="3">
        <f>IFERROR(INDEX('Data Source'!$P:$P,MATCH(941,'Data Source'!$T:$T,0)),"")</f>
        <v/>
      </c>
      <c r="D943" s="5">
        <f>IFERROR(INDEX('Data Source'!$Q:$Q,MATCH(941,'Data Source'!$T:$T,0)),"")</f>
        <v/>
      </c>
      <c r="E943" s="5">
        <f>IFERROR(INDEX('Data Source'!$R:$R,MATCH(941,'Data Source'!$T:$T,0)),"")</f>
        <v/>
      </c>
      <c r="F943" s="3">
        <f>IFERROR(INDEX('Data Source'!$S:$S,MATCH(941,'Data Source'!$T:$T,0)),"")</f>
        <v/>
      </c>
    </row>
    <row r="944">
      <c r="A944" s="3">
        <f>IFERROR(IF(COUNTIF('Data Source'!$T:$T,942)&gt;0,942,""),"")</f>
        <v/>
      </c>
      <c r="B944">
        <f>IFERROR(INDEX('Data Source'!$B:$B,MATCH(942,'Data Source'!$T:$T,0)),"")</f>
        <v/>
      </c>
      <c r="C944" s="3">
        <f>IFERROR(INDEX('Data Source'!$P:$P,MATCH(942,'Data Source'!$T:$T,0)),"")</f>
        <v/>
      </c>
      <c r="D944" s="5">
        <f>IFERROR(INDEX('Data Source'!$Q:$Q,MATCH(942,'Data Source'!$T:$T,0)),"")</f>
        <v/>
      </c>
      <c r="E944" s="5">
        <f>IFERROR(INDEX('Data Source'!$R:$R,MATCH(942,'Data Source'!$T:$T,0)),"")</f>
        <v/>
      </c>
      <c r="F944" s="3">
        <f>IFERROR(INDEX('Data Source'!$S:$S,MATCH(942,'Data Source'!$T:$T,0)),"")</f>
        <v/>
      </c>
    </row>
    <row r="945">
      <c r="A945" s="3">
        <f>IFERROR(IF(COUNTIF('Data Source'!$T:$T,943)&gt;0,943,""),"")</f>
        <v/>
      </c>
      <c r="B945">
        <f>IFERROR(INDEX('Data Source'!$B:$B,MATCH(943,'Data Source'!$T:$T,0)),"")</f>
        <v/>
      </c>
      <c r="C945" s="3">
        <f>IFERROR(INDEX('Data Source'!$P:$P,MATCH(943,'Data Source'!$T:$T,0)),"")</f>
        <v/>
      </c>
      <c r="D945" s="5">
        <f>IFERROR(INDEX('Data Source'!$Q:$Q,MATCH(943,'Data Source'!$T:$T,0)),"")</f>
        <v/>
      </c>
      <c r="E945" s="5">
        <f>IFERROR(INDEX('Data Source'!$R:$R,MATCH(943,'Data Source'!$T:$T,0)),"")</f>
        <v/>
      </c>
      <c r="F945" s="3">
        <f>IFERROR(INDEX('Data Source'!$S:$S,MATCH(943,'Data Source'!$T:$T,0)),"")</f>
        <v/>
      </c>
    </row>
    <row r="946">
      <c r="A946" s="3">
        <f>IFERROR(IF(COUNTIF('Data Source'!$T:$T,944)&gt;0,944,""),"")</f>
        <v/>
      </c>
      <c r="B946">
        <f>IFERROR(INDEX('Data Source'!$B:$B,MATCH(944,'Data Source'!$T:$T,0)),"")</f>
        <v/>
      </c>
      <c r="C946" s="3">
        <f>IFERROR(INDEX('Data Source'!$P:$P,MATCH(944,'Data Source'!$T:$T,0)),"")</f>
        <v/>
      </c>
      <c r="D946" s="5">
        <f>IFERROR(INDEX('Data Source'!$Q:$Q,MATCH(944,'Data Source'!$T:$T,0)),"")</f>
        <v/>
      </c>
      <c r="E946" s="5">
        <f>IFERROR(INDEX('Data Source'!$R:$R,MATCH(944,'Data Source'!$T:$T,0)),"")</f>
        <v/>
      </c>
      <c r="F946" s="3">
        <f>IFERROR(INDEX('Data Source'!$S:$S,MATCH(944,'Data Source'!$T:$T,0)),"")</f>
        <v/>
      </c>
    </row>
    <row r="947">
      <c r="A947" s="3">
        <f>IFERROR(IF(COUNTIF('Data Source'!$T:$T,945)&gt;0,945,""),"")</f>
        <v/>
      </c>
      <c r="B947">
        <f>IFERROR(INDEX('Data Source'!$B:$B,MATCH(945,'Data Source'!$T:$T,0)),"")</f>
        <v/>
      </c>
      <c r="C947" s="3">
        <f>IFERROR(INDEX('Data Source'!$P:$P,MATCH(945,'Data Source'!$T:$T,0)),"")</f>
        <v/>
      </c>
      <c r="D947" s="5">
        <f>IFERROR(INDEX('Data Source'!$Q:$Q,MATCH(945,'Data Source'!$T:$T,0)),"")</f>
        <v/>
      </c>
      <c r="E947" s="5">
        <f>IFERROR(INDEX('Data Source'!$R:$R,MATCH(945,'Data Source'!$T:$T,0)),"")</f>
        <v/>
      </c>
      <c r="F947" s="3">
        <f>IFERROR(INDEX('Data Source'!$S:$S,MATCH(945,'Data Source'!$T:$T,0)),"")</f>
        <v/>
      </c>
    </row>
    <row r="948">
      <c r="A948" s="3">
        <f>IFERROR(IF(COUNTIF('Data Source'!$T:$T,946)&gt;0,946,""),"")</f>
        <v/>
      </c>
      <c r="B948">
        <f>IFERROR(INDEX('Data Source'!$B:$B,MATCH(946,'Data Source'!$T:$T,0)),"")</f>
        <v/>
      </c>
      <c r="C948" s="3">
        <f>IFERROR(INDEX('Data Source'!$P:$P,MATCH(946,'Data Source'!$T:$T,0)),"")</f>
        <v/>
      </c>
      <c r="D948" s="5">
        <f>IFERROR(INDEX('Data Source'!$Q:$Q,MATCH(946,'Data Source'!$T:$T,0)),"")</f>
        <v/>
      </c>
      <c r="E948" s="5">
        <f>IFERROR(INDEX('Data Source'!$R:$R,MATCH(946,'Data Source'!$T:$T,0)),"")</f>
        <v/>
      </c>
      <c r="F948" s="3">
        <f>IFERROR(INDEX('Data Source'!$S:$S,MATCH(946,'Data Source'!$T:$T,0)),"")</f>
        <v/>
      </c>
    </row>
    <row r="949">
      <c r="A949" s="3">
        <f>IFERROR(IF(COUNTIF('Data Source'!$T:$T,947)&gt;0,947,""),"")</f>
        <v/>
      </c>
      <c r="B949">
        <f>IFERROR(INDEX('Data Source'!$B:$B,MATCH(947,'Data Source'!$T:$T,0)),"")</f>
        <v/>
      </c>
      <c r="C949" s="3">
        <f>IFERROR(INDEX('Data Source'!$P:$P,MATCH(947,'Data Source'!$T:$T,0)),"")</f>
        <v/>
      </c>
      <c r="D949" s="5">
        <f>IFERROR(INDEX('Data Source'!$Q:$Q,MATCH(947,'Data Source'!$T:$T,0)),"")</f>
        <v/>
      </c>
      <c r="E949" s="5">
        <f>IFERROR(INDEX('Data Source'!$R:$R,MATCH(947,'Data Source'!$T:$T,0)),"")</f>
        <v/>
      </c>
      <c r="F949" s="3">
        <f>IFERROR(INDEX('Data Source'!$S:$S,MATCH(947,'Data Source'!$T:$T,0)),"")</f>
        <v/>
      </c>
    </row>
    <row r="950">
      <c r="A950" s="3">
        <f>IFERROR(IF(COUNTIF('Data Source'!$T:$T,948)&gt;0,948,""),"")</f>
        <v/>
      </c>
      <c r="B950">
        <f>IFERROR(INDEX('Data Source'!$B:$B,MATCH(948,'Data Source'!$T:$T,0)),"")</f>
        <v/>
      </c>
      <c r="C950" s="3">
        <f>IFERROR(INDEX('Data Source'!$P:$P,MATCH(948,'Data Source'!$T:$T,0)),"")</f>
        <v/>
      </c>
      <c r="D950" s="5">
        <f>IFERROR(INDEX('Data Source'!$Q:$Q,MATCH(948,'Data Source'!$T:$T,0)),"")</f>
        <v/>
      </c>
      <c r="E950" s="5">
        <f>IFERROR(INDEX('Data Source'!$R:$R,MATCH(948,'Data Source'!$T:$T,0)),"")</f>
        <v/>
      </c>
      <c r="F950" s="3">
        <f>IFERROR(INDEX('Data Source'!$S:$S,MATCH(948,'Data Source'!$T:$T,0)),"")</f>
        <v/>
      </c>
    </row>
    <row r="951">
      <c r="A951" s="3">
        <f>IFERROR(IF(COUNTIF('Data Source'!$T:$T,949)&gt;0,949,""),"")</f>
        <v/>
      </c>
      <c r="B951">
        <f>IFERROR(INDEX('Data Source'!$B:$B,MATCH(949,'Data Source'!$T:$T,0)),"")</f>
        <v/>
      </c>
      <c r="C951" s="3">
        <f>IFERROR(INDEX('Data Source'!$P:$P,MATCH(949,'Data Source'!$T:$T,0)),"")</f>
        <v/>
      </c>
      <c r="D951" s="5">
        <f>IFERROR(INDEX('Data Source'!$Q:$Q,MATCH(949,'Data Source'!$T:$T,0)),"")</f>
        <v/>
      </c>
      <c r="E951" s="5">
        <f>IFERROR(INDEX('Data Source'!$R:$R,MATCH(949,'Data Source'!$T:$T,0)),"")</f>
        <v/>
      </c>
      <c r="F951" s="3">
        <f>IFERROR(INDEX('Data Source'!$S:$S,MATCH(949,'Data Source'!$T:$T,0)),"")</f>
        <v/>
      </c>
    </row>
    <row r="952">
      <c r="A952" s="3">
        <f>IFERROR(IF(COUNTIF('Data Source'!$T:$T,950)&gt;0,950,""),"")</f>
        <v/>
      </c>
      <c r="B952">
        <f>IFERROR(INDEX('Data Source'!$B:$B,MATCH(950,'Data Source'!$T:$T,0)),"")</f>
        <v/>
      </c>
      <c r="C952" s="3">
        <f>IFERROR(INDEX('Data Source'!$P:$P,MATCH(950,'Data Source'!$T:$T,0)),"")</f>
        <v/>
      </c>
      <c r="D952" s="5">
        <f>IFERROR(INDEX('Data Source'!$Q:$Q,MATCH(950,'Data Source'!$T:$T,0)),"")</f>
        <v/>
      </c>
      <c r="E952" s="5">
        <f>IFERROR(INDEX('Data Source'!$R:$R,MATCH(950,'Data Source'!$T:$T,0)),"")</f>
        <v/>
      </c>
      <c r="F952" s="3">
        <f>IFERROR(INDEX('Data Source'!$S:$S,MATCH(950,'Data Source'!$T:$T,0)),"")</f>
        <v/>
      </c>
    </row>
    <row r="953">
      <c r="A953" s="3">
        <f>IFERROR(IF(COUNTIF('Data Source'!$T:$T,951)&gt;0,951,""),"")</f>
        <v/>
      </c>
      <c r="B953">
        <f>IFERROR(INDEX('Data Source'!$B:$B,MATCH(951,'Data Source'!$T:$T,0)),"")</f>
        <v/>
      </c>
      <c r="C953" s="3">
        <f>IFERROR(INDEX('Data Source'!$P:$P,MATCH(951,'Data Source'!$T:$T,0)),"")</f>
        <v/>
      </c>
      <c r="D953" s="5">
        <f>IFERROR(INDEX('Data Source'!$Q:$Q,MATCH(951,'Data Source'!$T:$T,0)),"")</f>
        <v/>
      </c>
      <c r="E953" s="5">
        <f>IFERROR(INDEX('Data Source'!$R:$R,MATCH(951,'Data Source'!$T:$T,0)),"")</f>
        <v/>
      </c>
      <c r="F953" s="3">
        <f>IFERROR(INDEX('Data Source'!$S:$S,MATCH(951,'Data Source'!$T:$T,0)),"")</f>
        <v/>
      </c>
    </row>
    <row r="954">
      <c r="A954" s="3">
        <f>IFERROR(IF(COUNTIF('Data Source'!$T:$T,952)&gt;0,952,""),"")</f>
        <v/>
      </c>
      <c r="B954">
        <f>IFERROR(INDEX('Data Source'!$B:$B,MATCH(952,'Data Source'!$T:$T,0)),"")</f>
        <v/>
      </c>
      <c r="C954" s="3">
        <f>IFERROR(INDEX('Data Source'!$P:$P,MATCH(952,'Data Source'!$T:$T,0)),"")</f>
        <v/>
      </c>
      <c r="D954" s="5">
        <f>IFERROR(INDEX('Data Source'!$Q:$Q,MATCH(952,'Data Source'!$T:$T,0)),"")</f>
        <v/>
      </c>
      <c r="E954" s="5">
        <f>IFERROR(INDEX('Data Source'!$R:$R,MATCH(952,'Data Source'!$T:$T,0)),"")</f>
        <v/>
      </c>
      <c r="F954" s="3">
        <f>IFERROR(INDEX('Data Source'!$S:$S,MATCH(952,'Data Source'!$T:$T,0)),"")</f>
        <v/>
      </c>
    </row>
    <row r="955">
      <c r="A955" s="3">
        <f>IFERROR(IF(COUNTIF('Data Source'!$T:$T,953)&gt;0,953,""),"")</f>
        <v/>
      </c>
      <c r="B955">
        <f>IFERROR(INDEX('Data Source'!$B:$B,MATCH(953,'Data Source'!$T:$T,0)),"")</f>
        <v/>
      </c>
      <c r="C955" s="3">
        <f>IFERROR(INDEX('Data Source'!$P:$P,MATCH(953,'Data Source'!$T:$T,0)),"")</f>
        <v/>
      </c>
      <c r="D955" s="5">
        <f>IFERROR(INDEX('Data Source'!$Q:$Q,MATCH(953,'Data Source'!$T:$T,0)),"")</f>
        <v/>
      </c>
      <c r="E955" s="5">
        <f>IFERROR(INDEX('Data Source'!$R:$R,MATCH(953,'Data Source'!$T:$T,0)),"")</f>
        <v/>
      </c>
      <c r="F955" s="3">
        <f>IFERROR(INDEX('Data Source'!$S:$S,MATCH(953,'Data Source'!$T:$T,0)),"")</f>
        <v/>
      </c>
    </row>
    <row r="956">
      <c r="A956" s="3">
        <f>IFERROR(IF(COUNTIF('Data Source'!$T:$T,954)&gt;0,954,""),"")</f>
        <v/>
      </c>
      <c r="B956">
        <f>IFERROR(INDEX('Data Source'!$B:$B,MATCH(954,'Data Source'!$T:$T,0)),"")</f>
        <v/>
      </c>
      <c r="C956" s="3">
        <f>IFERROR(INDEX('Data Source'!$P:$P,MATCH(954,'Data Source'!$T:$T,0)),"")</f>
        <v/>
      </c>
      <c r="D956" s="5">
        <f>IFERROR(INDEX('Data Source'!$Q:$Q,MATCH(954,'Data Source'!$T:$T,0)),"")</f>
        <v/>
      </c>
      <c r="E956" s="5">
        <f>IFERROR(INDEX('Data Source'!$R:$R,MATCH(954,'Data Source'!$T:$T,0)),"")</f>
        <v/>
      </c>
      <c r="F956" s="3">
        <f>IFERROR(INDEX('Data Source'!$S:$S,MATCH(954,'Data Source'!$T:$T,0)),"")</f>
        <v/>
      </c>
    </row>
    <row r="957">
      <c r="A957" s="3">
        <f>IFERROR(IF(COUNTIF('Data Source'!$T:$T,955)&gt;0,955,""),"")</f>
        <v/>
      </c>
      <c r="B957">
        <f>IFERROR(INDEX('Data Source'!$B:$B,MATCH(955,'Data Source'!$T:$T,0)),"")</f>
        <v/>
      </c>
      <c r="C957" s="3">
        <f>IFERROR(INDEX('Data Source'!$P:$P,MATCH(955,'Data Source'!$T:$T,0)),"")</f>
        <v/>
      </c>
      <c r="D957" s="5">
        <f>IFERROR(INDEX('Data Source'!$Q:$Q,MATCH(955,'Data Source'!$T:$T,0)),"")</f>
        <v/>
      </c>
      <c r="E957" s="5">
        <f>IFERROR(INDEX('Data Source'!$R:$R,MATCH(955,'Data Source'!$T:$T,0)),"")</f>
        <v/>
      </c>
      <c r="F957" s="3">
        <f>IFERROR(INDEX('Data Source'!$S:$S,MATCH(955,'Data Source'!$T:$T,0)),"")</f>
        <v/>
      </c>
    </row>
    <row r="958">
      <c r="A958" s="3">
        <f>IFERROR(IF(COUNTIF('Data Source'!$T:$T,956)&gt;0,956,""),"")</f>
        <v/>
      </c>
      <c r="B958">
        <f>IFERROR(INDEX('Data Source'!$B:$B,MATCH(956,'Data Source'!$T:$T,0)),"")</f>
        <v/>
      </c>
      <c r="C958" s="3">
        <f>IFERROR(INDEX('Data Source'!$P:$P,MATCH(956,'Data Source'!$T:$T,0)),"")</f>
        <v/>
      </c>
      <c r="D958" s="5">
        <f>IFERROR(INDEX('Data Source'!$Q:$Q,MATCH(956,'Data Source'!$T:$T,0)),"")</f>
        <v/>
      </c>
      <c r="E958" s="5">
        <f>IFERROR(INDEX('Data Source'!$R:$R,MATCH(956,'Data Source'!$T:$T,0)),"")</f>
        <v/>
      </c>
      <c r="F958" s="3">
        <f>IFERROR(INDEX('Data Source'!$S:$S,MATCH(956,'Data Source'!$T:$T,0)),"")</f>
        <v/>
      </c>
    </row>
    <row r="959">
      <c r="A959" s="3">
        <f>IFERROR(IF(COUNTIF('Data Source'!$T:$T,957)&gt;0,957,""),"")</f>
        <v/>
      </c>
      <c r="B959">
        <f>IFERROR(INDEX('Data Source'!$B:$B,MATCH(957,'Data Source'!$T:$T,0)),"")</f>
        <v/>
      </c>
      <c r="C959" s="3">
        <f>IFERROR(INDEX('Data Source'!$P:$P,MATCH(957,'Data Source'!$T:$T,0)),"")</f>
        <v/>
      </c>
      <c r="D959" s="5">
        <f>IFERROR(INDEX('Data Source'!$Q:$Q,MATCH(957,'Data Source'!$T:$T,0)),"")</f>
        <v/>
      </c>
      <c r="E959" s="5">
        <f>IFERROR(INDEX('Data Source'!$R:$R,MATCH(957,'Data Source'!$T:$T,0)),"")</f>
        <v/>
      </c>
      <c r="F959" s="3">
        <f>IFERROR(INDEX('Data Source'!$S:$S,MATCH(957,'Data Source'!$T:$T,0)),"")</f>
        <v/>
      </c>
    </row>
    <row r="960">
      <c r="A960" s="3">
        <f>IFERROR(IF(COUNTIF('Data Source'!$T:$T,958)&gt;0,958,""),"")</f>
        <v/>
      </c>
      <c r="B960">
        <f>IFERROR(INDEX('Data Source'!$B:$B,MATCH(958,'Data Source'!$T:$T,0)),"")</f>
        <v/>
      </c>
      <c r="C960" s="3">
        <f>IFERROR(INDEX('Data Source'!$P:$P,MATCH(958,'Data Source'!$T:$T,0)),"")</f>
        <v/>
      </c>
      <c r="D960" s="5">
        <f>IFERROR(INDEX('Data Source'!$Q:$Q,MATCH(958,'Data Source'!$T:$T,0)),"")</f>
        <v/>
      </c>
      <c r="E960" s="5">
        <f>IFERROR(INDEX('Data Source'!$R:$R,MATCH(958,'Data Source'!$T:$T,0)),"")</f>
        <v/>
      </c>
      <c r="F960" s="3">
        <f>IFERROR(INDEX('Data Source'!$S:$S,MATCH(958,'Data Source'!$T:$T,0)),"")</f>
        <v/>
      </c>
    </row>
    <row r="961">
      <c r="A961" s="3">
        <f>IFERROR(IF(COUNTIF('Data Source'!$T:$T,959)&gt;0,959,""),"")</f>
        <v/>
      </c>
      <c r="B961">
        <f>IFERROR(INDEX('Data Source'!$B:$B,MATCH(959,'Data Source'!$T:$T,0)),"")</f>
        <v/>
      </c>
      <c r="C961" s="3">
        <f>IFERROR(INDEX('Data Source'!$P:$P,MATCH(959,'Data Source'!$T:$T,0)),"")</f>
        <v/>
      </c>
      <c r="D961" s="5">
        <f>IFERROR(INDEX('Data Source'!$Q:$Q,MATCH(959,'Data Source'!$T:$T,0)),"")</f>
        <v/>
      </c>
      <c r="E961" s="5">
        <f>IFERROR(INDEX('Data Source'!$R:$R,MATCH(959,'Data Source'!$T:$T,0)),"")</f>
        <v/>
      </c>
      <c r="F961" s="3">
        <f>IFERROR(INDEX('Data Source'!$S:$S,MATCH(959,'Data Source'!$T:$T,0)),"")</f>
        <v/>
      </c>
    </row>
    <row r="962">
      <c r="A962" s="3">
        <f>IFERROR(IF(COUNTIF('Data Source'!$T:$T,960)&gt;0,960,""),"")</f>
        <v/>
      </c>
      <c r="B962">
        <f>IFERROR(INDEX('Data Source'!$B:$B,MATCH(960,'Data Source'!$T:$T,0)),"")</f>
        <v/>
      </c>
      <c r="C962" s="3">
        <f>IFERROR(INDEX('Data Source'!$P:$P,MATCH(960,'Data Source'!$T:$T,0)),"")</f>
        <v/>
      </c>
      <c r="D962" s="5">
        <f>IFERROR(INDEX('Data Source'!$Q:$Q,MATCH(960,'Data Source'!$T:$T,0)),"")</f>
        <v/>
      </c>
      <c r="E962" s="5">
        <f>IFERROR(INDEX('Data Source'!$R:$R,MATCH(960,'Data Source'!$T:$T,0)),"")</f>
        <v/>
      </c>
      <c r="F962" s="3">
        <f>IFERROR(INDEX('Data Source'!$S:$S,MATCH(960,'Data Source'!$T:$T,0)),"")</f>
        <v/>
      </c>
    </row>
    <row r="963">
      <c r="A963" s="3">
        <f>IFERROR(IF(COUNTIF('Data Source'!$T:$T,961)&gt;0,961,""),"")</f>
        <v/>
      </c>
      <c r="B963">
        <f>IFERROR(INDEX('Data Source'!$B:$B,MATCH(961,'Data Source'!$T:$T,0)),"")</f>
        <v/>
      </c>
      <c r="C963" s="3">
        <f>IFERROR(INDEX('Data Source'!$P:$P,MATCH(961,'Data Source'!$T:$T,0)),"")</f>
        <v/>
      </c>
      <c r="D963" s="5">
        <f>IFERROR(INDEX('Data Source'!$Q:$Q,MATCH(961,'Data Source'!$T:$T,0)),"")</f>
        <v/>
      </c>
      <c r="E963" s="5">
        <f>IFERROR(INDEX('Data Source'!$R:$R,MATCH(961,'Data Source'!$T:$T,0)),"")</f>
        <v/>
      </c>
      <c r="F963" s="3">
        <f>IFERROR(INDEX('Data Source'!$S:$S,MATCH(961,'Data Source'!$T:$T,0)),"")</f>
        <v/>
      </c>
    </row>
    <row r="964">
      <c r="A964" s="3">
        <f>IFERROR(IF(COUNTIF('Data Source'!$T:$T,962)&gt;0,962,""),"")</f>
        <v/>
      </c>
      <c r="B964">
        <f>IFERROR(INDEX('Data Source'!$B:$B,MATCH(962,'Data Source'!$T:$T,0)),"")</f>
        <v/>
      </c>
      <c r="C964" s="3">
        <f>IFERROR(INDEX('Data Source'!$P:$P,MATCH(962,'Data Source'!$T:$T,0)),"")</f>
        <v/>
      </c>
      <c r="D964" s="5">
        <f>IFERROR(INDEX('Data Source'!$Q:$Q,MATCH(962,'Data Source'!$T:$T,0)),"")</f>
        <v/>
      </c>
      <c r="E964" s="5">
        <f>IFERROR(INDEX('Data Source'!$R:$R,MATCH(962,'Data Source'!$T:$T,0)),"")</f>
        <v/>
      </c>
      <c r="F964" s="3">
        <f>IFERROR(INDEX('Data Source'!$S:$S,MATCH(962,'Data Source'!$T:$T,0)),"")</f>
        <v/>
      </c>
    </row>
    <row r="965">
      <c r="A965" s="3">
        <f>IFERROR(IF(COUNTIF('Data Source'!$T:$T,963)&gt;0,963,""),"")</f>
        <v/>
      </c>
      <c r="B965">
        <f>IFERROR(INDEX('Data Source'!$B:$B,MATCH(963,'Data Source'!$T:$T,0)),"")</f>
        <v/>
      </c>
      <c r="C965" s="3">
        <f>IFERROR(INDEX('Data Source'!$P:$P,MATCH(963,'Data Source'!$T:$T,0)),"")</f>
        <v/>
      </c>
      <c r="D965" s="5">
        <f>IFERROR(INDEX('Data Source'!$Q:$Q,MATCH(963,'Data Source'!$T:$T,0)),"")</f>
        <v/>
      </c>
      <c r="E965" s="5">
        <f>IFERROR(INDEX('Data Source'!$R:$R,MATCH(963,'Data Source'!$T:$T,0)),"")</f>
        <v/>
      </c>
      <c r="F965" s="3">
        <f>IFERROR(INDEX('Data Source'!$S:$S,MATCH(963,'Data Source'!$T:$T,0)),"")</f>
        <v/>
      </c>
    </row>
    <row r="966">
      <c r="A966" s="3">
        <f>IFERROR(IF(COUNTIF('Data Source'!$T:$T,964)&gt;0,964,""),"")</f>
        <v/>
      </c>
      <c r="B966">
        <f>IFERROR(INDEX('Data Source'!$B:$B,MATCH(964,'Data Source'!$T:$T,0)),"")</f>
        <v/>
      </c>
      <c r="C966" s="3">
        <f>IFERROR(INDEX('Data Source'!$P:$P,MATCH(964,'Data Source'!$T:$T,0)),"")</f>
        <v/>
      </c>
      <c r="D966" s="5">
        <f>IFERROR(INDEX('Data Source'!$Q:$Q,MATCH(964,'Data Source'!$T:$T,0)),"")</f>
        <v/>
      </c>
      <c r="E966" s="5">
        <f>IFERROR(INDEX('Data Source'!$R:$R,MATCH(964,'Data Source'!$T:$T,0)),"")</f>
        <v/>
      </c>
      <c r="F966" s="3">
        <f>IFERROR(INDEX('Data Source'!$S:$S,MATCH(964,'Data Source'!$T:$T,0)),"")</f>
        <v/>
      </c>
    </row>
    <row r="967">
      <c r="A967" s="3">
        <f>IFERROR(IF(COUNTIF('Data Source'!$T:$T,965)&gt;0,965,""),"")</f>
        <v/>
      </c>
      <c r="B967">
        <f>IFERROR(INDEX('Data Source'!$B:$B,MATCH(965,'Data Source'!$T:$T,0)),"")</f>
        <v/>
      </c>
      <c r="C967" s="3">
        <f>IFERROR(INDEX('Data Source'!$P:$P,MATCH(965,'Data Source'!$T:$T,0)),"")</f>
        <v/>
      </c>
      <c r="D967" s="5">
        <f>IFERROR(INDEX('Data Source'!$Q:$Q,MATCH(965,'Data Source'!$T:$T,0)),"")</f>
        <v/>
      </c>
      <c r="E967" s="5">
        <f>IFERROR(INDEX('Data Source'!$R:$R,MATCH(965,'Data Source'!$T:$T,0)),"")</f>
        <v/>
      </c>
      <c r="F967" s="3">
        <f>IFERROR(INDEX('Data Source'!$S:$S,MATCH(965,'Data Source'!$T:$T,0)),"")</f>
        <v/>
      </c>
    </row>
    <row r="968">
      <c r="A968" s="3">
        <f>IFERROR(IF(COUNTIF('Data Source'!$T:$T,966)&gt;0,966,""),"")</f>
        <v/>
      </c>
      <c r="B968">
        <f>IFERROR(INDEX('Data Source'!$B:$B,MATCH(966,'Data Source'!$T:$T,0)),"")</f>
        <v/>
      </c>
      <c r="C968" s="3">
        <f>IFERROR(INDEX('Data Source'!$P:$P,MATCH(966,'Data Source'!$T:$T,0)),"")</f>
        <v/>
      </c>
      <c r="D968" s="5">
        <f>IFERROR(INDEX('Data Source'!$Q:$Q,MATCH(966,'Data Source'!$T:$T,0)),"")</f>
        <v/>
      </c>
      <c r="E968" s="5">
        <f>IFERROR(INDEX('Data Source'!$R:$R,MATCH(966,'Data Source'!$T:$T,0)),"")</f>
        <v/>
      </c>
      <c r="F968" s="3">
        <f>IFERROR(INDEX('Data Source'!$S:$S,MATCH(966,'Data Source'!$T:$T,0)),"")</f>
        <v/>
      </c>
    </row>
    <row r="969">
      <c r="A969" s="3">
        <f>IFERROR(IF(COUNTIF('Data Source'!$T:$T,967)&gt;0,967,""),"")</f>
        <v/>
      </c>
      <c r="B969">
        <f>IFERROR(INDEX('Data Source'!$B:$B,MATCH(967,'Data Source'!$T:$T,0)),"")</f>
        <v/>
      </c>
      <c r="C969" s="3">
        <f>IFERROR(INDEX('Data Source'!$P:$P,MATCH(967,'Data Source'!$T:$T,0)),"")</f>
        <v/>
      </c>
      <c r="D969" s="5">
        <f>IFERROR(INDEX('Data Source'!$Q:$Q,MATCH(967,'Data Source'!$T:$T,0)),"")</f>
        <v/>
      </c>
      <c r="E969" s="5">
        <f>IFERROR(INDEX('Data Source'!$R:$R,MATCH(967,'Data Source'!$T:$T,0)),"")</f>
        <v/>
      </c>
      <c r="F969" s="3">
        <f>IFERROR(INDEX('Data Source'!$S:$S,MATCH(967,'Data Source'!$T:$T,0)),"")</f>
        <v/>
      </c>
    </row>
    <row r="970">
      <c r="A970" s="3">
        <f>IFERROR(IF(COUNTIF('Data Source'!$T:$T,968)&gt;0,968,""),"")</f>
        <v/>
      </c>
      <c r="B970">
        <f>IFERROR(INDEX('Data Source'!$B:$B,MATCH(968,'Data Source'!$T:$T,0)),"")</f>
        <v/>
      </c>
      <c r="C970" s="3">
        <f>IFERROR(INDEX('Data Source'!$P:$P,MATCH(968,'Data Source'!$T:$T,0)),"")</f>
        <v/>
      </c>
      <c r="D970" s="5">
        <f>IFERROR(INDEX('Data Source'!$Q:$Q,MATCH(968,'Data Source'!$T:$T,0)),"")</f>
        <v/>
      </c>
      <c r="E970" s="5">
        <f>IFERROR(INDEX('Data Source'!$R:$R,MATCH(968,'Data Source'!$T:$T,0)),"")</f>
        <v/>
      </c>
      <c r="F970" s="3">
        <f>IFERROR(INDEX('Data Source'!$S:$S,MATCH(968,'Data Source'!$T:$T,0)),"")</f>
        <v/>
      </c>
    </row>
    <row r="971">
      <c r="A971" s="3">
        <f>IFERROR(IF(COUNTIF('Data Source'!$T:$T,969)&gt;0,969,""),"")</f>
        <v/>
      </c>
      <c r="B971">
        <f>IFERROR(INDEX('Data Source'!$B:$B,MATCH(969,'Data Source'!$T:$T,0)),"")</f>
        <v/>
      </c>
      <c r="C971" s="3">
        <f>IFERROR(INDEX('Data Source'!$P:$P,MATCH(969,'Data Source'!$T:$T,0)),"")</f>
        <v/>
      </c>
      <c r="D971" s="5">
        <f>IFERROR(INDEX('Data Source'!$Q:$Q,MATCH(969,'Data Source'!$T:$T,0)),"")</f>
        <v/>
      </c>
      <c r="E971" s="5">
        <f>IFERROR(INDEX('Data Source'!$R:$R,MATCH(969,'Data Source'!$T:$T,0)),"")</f>
        <v/>
      </c>
      <c r="F971" s="3">
        <f>IFERROR(INDEX('Data Source'!$S:$S,MATCH(969,'Data Source'!$T:$T,0)),"")</f>
        <v/>
      </c>
    </row>
    <row r="972">
      <c r="A972" s="3">
        <f>IFERROR(IF(COUNTIF('Data Source'!$T:$T,970)&gt;0,970,""),"")</f>
        <v/>
      </c>
      <c r="B972">
        <f>IFERROR(INDEX('Data Source'!$B:$B,MATCH(970,'Data Source'!$T:$T,0)),"")</f>
        <v/>
      </c>
      <c r="C972" s="3">
        <f>IFERROR(INDEX('Data Source'!$P:$P,MATCH(970,'Data Source'!$T:$T,0)),"")</f>
        <v/>
      </c>
      <c r="D972" s="5">
        <f>IFERROR(INDEX('Data Source'!$Q:$Q,MATCH(970,'Data Source'!$T:$T,0)),"")</f>
        <v/>
      </c>
      <c r="E972" s="5">
        <f>IFERROR(INDEX('Data Source'!$R:$R,MATCH(970,'Data Source'!$T:$T,0)),"")</f>
        <v/>
      </c>
      <c r="F972" s="3">
        <f>IFERROR(INDEX('Data Source'!$S:$S,MATCH(970,'Data Source'!$T:$T,0)),"")</f>
        <v/>
      </c>
    </row>
    <row r="973">
      <c r="A973" s="3">
        <f>IFERROR(IF(COUNTIF('Data Source'!$T:$T,971)&gt;0,971,""),"")</f>
        <v/>
      </c>
      <c r="B973">
        <f>IFERROR(INDEX('Data Source'!$B:$B,MATCH(971,'Data Source'!$T:$T,0)),"")</f>
        <v/>
      </c>
      <c r="C973" s="3">
        <f>IFERROR(INDEX('Data Source'!$P:$P,MATCH(971,'Data Source'!$T:$T,0)),"")</f>
        <v/>
      </c>
      <c r="D973" s="5">
        <f>IFERROR(INDEX('Data Source'!$Q:$Q,MATCH(971,'Data Source'!$T:$T,0)),"")</f>
        <v/>
      </c>
      <c r="E973" s="5">
        <f>IFERROR(INDEX('Data Source'!$R:$R,MATCH(971,'Data Source'!$T:$T,0)),"")</f>
        <v/>
      </c>
      <c r="F973" s="3">
        <f>IFERROR(INDEX('Data Source'!$S:$S,MATCH(971,'Data Source'!$T:$T,0)),"")</f>
        <v/>
      </c>
    </row>
    <row r="974">
      <c r="A974" s="3">
        <f>IFERROR(IF(COUNTIF('Data Source'!$T:$T,972)&gt;0,972,""),"")</f>
        <v/>
      </c>
      <c r="B974">
        <f>IFERROR(INDEX('Data Source'!$B:$B,MATCH(972,'Data Source'!$T:$T,0)),"")</f>
        <v/>
      </c>
      <c r="C974" s="3">
        <f>IFERROR(INDEX('Data Source'!$P:$P,MATCH(972,'Data Source'!$T:$T,0)),"")</f>
        <v/>
      </c>
      <c r="D974" s="5">
        <f>IFERROR(INDEX('Data Source'!$Q:$Q,MATCH(972,'Data Source'!$T:$T,0)),"")</f>
        <v/>
      </c>
      <c r="E974" s="5">
        <f>IFERROR(INDEX('Data Source'!$R:$R,MATCH(972,'Data Source'!$T:$T,0)),"")</f>
        <v/>
      </c>
      <c r="F974" s="3">
        <f>IFERROR(INDEX('Data Source'!$S:$S,MATCH(972,'Data Source'!$T:$T,0)),"")</f>
        <v/>
      </c>
    </row>
    <row r="975">
      <c r="A975" s="3">
        <f>IFERROR(IF(COUNTIF('Data Source'!$T:$T,973)&gt;0,973,""),"")</f>
        <v/>
      </c>
      <c r="B975">
        <f>IFERROR(INDEX('Data Source'!$B:$B,MATCH(973,'Data Source'!$T:$T,0)),"")</f>
        <v/>
      </c>
      <c r="C975" s="3">
        <f>IFERROR(INDEX('Data Source'!$P:$P,MATCH(973,'Data Source'!$T:$T,0)),"")</f>
        <v/>
      </c>
      <c r="D975" s="5">
        <f>IFERROR(INDEX('Data Source'!$Q:$Q,MATCH(973,'Data Source'!$T:$T,0)),"")</f>
        <v/>
      </c>
      <c r="E975" s="5">
        <f>IFERROR(INDEX('Data Source'!$R:$R,MATCH(973,'Data Source'!$T:$T,0)),"")</f>
        <v/>
      </c>
      <c r="F975" s="3">
        <f>IFERROR(INDEX('Data Source'!$S:$S,MATCH(973,'Data Source'!$T:$T,0)),"")</f>
        <v/>
      </c>
    </row>
    <row r="976">
      <c r="A976" s="3">
        <f>IFERROR(IF(COUNTIF('Data Source'!$T:$T,974)&gt;0,974,""),"")</f>
        <v/>
      </c>
      <c r="B976">
        <f>IFERROR(INDEX('Data Source'!$B:$B,MATCH(974,'Data Source'!$T:$T,0)),"")</f>
        <v/>
      </c>
      <c r="C976" s="3">
        <f>IFERROR(INDEX('Data Source'!$P:$P,MATCH(974,'Data Source'!$T:$T,0)),"")</f>
        <v/>
      </c>
      <c r="D976" s="5">
        <f>IFERROR(INDEX('Data Source'!$Q:$Q,MATCH(974,'Data Source'!$T:$T,0)),"")</f>
        <v/>
      </c>
      <c r="E976" s="5">
        <f>IFERROR(INDEX('Data Source'!$R:$R,MATCH(974,'Data Source'!$T:$T,0)),"")</f>
        <v/>
      </c>
      <c r="F976" s="3">
        <f>IFERROR(INDEX('Data Source'!$S:$S,MATCH(974,'Data Source'!$T:$T,0)),"")</f>
        <v/>
      </c>
    </row>
    <row r="977">
      <c r="A977" s="3">
        <f>IFERROR(IF(COUNTIF('Data Source'!$T:$T,975)&gt;0,975,""),"")</f>
        <v/>
      </c>
      <c r="B977">
        <f>IFERROR(INDEX('Data Source'!$B:$B,MATCH(975,'Data Source'!$T:$T,0)),"")</f>
        <v/>
      </c>
      <c r="C977" s="3">
        <f>IFERROR(INDEX('Data Source'!$P:$P,MATCH(975,'Data Source'!$T:$T,0)),"")</f>
        <v/>
      </c>
      <c r="D977" s="5">
        <f>IFERROR(INDEX('Data Source'!$Q:$Q,MATCH(975,'Data Source'!$T:$T,0)),"")</f>
        <v/>
      </c>
      <c r="E977" s="5">
        <f>IFERROR(INDEX('Data Source'!$R:$R,MATCH(975,'Data Source'!$T:$T,0)),"")</f>
        <v/>
      </c>
      <c r="F977" s="3">
        <f>IFERROR(INDEX('Data Source'!$S:$S,MATCH(975,'Data Source'!$T:$T,0)),"")</f>
        <v/>
      </c>
    </row>
    <row r="978">
      <c r="A978" s="3">
        <f>IFERROR(IF(COUNTIF('Data Source'!$T:$T,976)&gt;0,976,""),"")</f>
        <v/>
      </c>
      <c r="B978">
        <f>IFERROR(INDEX('Data Source'!$B:$B,MATCH(976,'Data Source'!$T:$T,0)),"")</f>
        <v/>
      </c>
      <c r="C978" s="3">
        <f>IFERROR(INDEX('Data Source'!$P:$P,MATCH(976,'Data Source'!$T:$T,0)),"")</f>
        <v/>
      </c>
      <c r="D978" s="5">
        <f>IFERROR(INDEX('Data Source'!$Q:$Q,MATCH(976,'Data Source'!$T:$T,0)),"")</f>
        <v/>
      </c>
      <c r="E978" s="5">
        <f>IFERROR(INDEX('Data Source'!$R:$R,MATCH(976,'Data Source'!$T:$T,0)),"")</f>
        <v/>
      </c>
      <c r="F978" s="3">
        <f>IFERROR(INDEX('Data Source'!$S:$S,MATCH(976,'Data Source'!$T:$T,0)),"")</f>
        <v/>
      </c>
    </row>
    <row r="979">
      <c r="A979" s="3">
        <f>IFERROR(IF(COUNTIF('Data Source'!$T:$T,977)&gt;0,977,""),"")</f>
        <v/>
      </c>
      <c r="B979">
        <f>IFERROR(INDEX('Data Source'!$B:$B,MATCH(977,'Data Source'!$T:$T,0)),"")</f>
        <v/>
      </c>
      <c r="C979" s="3">
        <f>IFERROR(INDEX('Data Source'!$P:$P,MATCH(977,'Data Source'!$T:$T,0)),"")</f>
        <v/>
      </c>
      <c r="D979" s="5">
        <f>IFERROR(INDEX('Data Source'!$Q:$Q,MATCH(977,'Data Source'!$T:$T,0)),"")</f>
        <v/>
      </c>
      <c r="E979" s="5">
        <f>IFERROR(INDEX('Data Source'!$R:$R,MATCH(977,'Data Source'!$T:$T,0)),"")</f>
        <v/>
      </c>
      <c r="F979" s="3">
        <f>IFERROR(INDEX('Data Source'!$S:$S,MATCH(977,'Data Source'!$T:$T,0)),"")</f>
        <v/>
      </c>
    </row>
    <row r="980">
      <c r="A980" s="3">
        <f>IFERROR(IF(COUNTIF('Data Source'!$T:$T,978)&gt;0,978,""),"")</f>
        <v/>
      </c>
      <c r="B980">
        <f>IFERROR(INDEX('Data Source'!$B:$B,MATCH(978,'Data Source'!$T:$T,0)),"")</f>
        <v/>
      </c>
      <c r="C980" s="3">
        <f>IFERROR(INDEX('Data Source'!$P:$P,MATCH(978,'Data Source'!$T:$T,0)),"")</f>
        <v/>
      </c>
      <c r="D980" s="5">
        <f>IFERROR(INDEX('Data Source'!$Q:$Q,MATCH(978,'Data Source'!$T:$T,0)),"")</f>
        <v/>
      </c>
      <c r="E980" s="5">
        <f>IFERROR(INDEX('Data Source'!$R:$R,MATCH(978,'Data Source'!$T:$T,0)),"")</f>
        <v/>
      </c>
      <c r="F980" s="3">
        <f>IFERROR(INDEX('Data Source'!$S:$S,MATCH(978,'Data Source'!$T:$T,0)),"")</f>
        <v/>
      </c>
    </row>
    <row r="981">
      <c r="A981" s="3">
        <f>IFERROR(IF(COUNTIF('Data Source'!$T:$T,979)&gt;0,979,""),"")</f>
        <v/>
      </c>
      <c r="B981">
        <f>IFERROR(INDEX('Data Source'!$B:$B,MATCH(979,'Data Source'!$T:$T,0)),"")</f>
        <v/>
      </c>
      <c r="C981" s="3">
        <f>IFERROR(INDEX('Data Source'!$P:$P,MATCH(979,'Data Source'!$T:$T,0)),"")</f>
        <v/>
      </c>
      <c r="D981" s="5">
        <f>IFERROR(INDEX('Data Source'!$Q:$Q,MATCH(979,'Data Source'!$T:$T,0)),"")</f>
        <v/>
      </c>
      <c r="E981" s="5">
        <f>IFERROR(INDEX('Data Source'!$R:$R,MATCH(979,'Data Source'!$T:$T,0)),"")</f>
        <v/>
      </c>
      <c r="F981" s="3">
        <f>IFERROR(INDEX('Data Source'!$S:$S,MATCH(979,'Data Source'!$T:$T,0)),"")</f>
        <v/>
      </c>
    </row>
    <row r="982">
      <c r="A982" s="3">
        <f>IFERROR(IF(COUNTIF('Data Source'!$T:$T,980)&gt;0,980,""),"")</f>
        <v/>
      </c>
      <c r="B982">
        <f>IFERROR(INDEX('Data Source'!$B:$B,MATCH(980,'Data Source'!$T:$T,0)),"")</f>
        <v/>
      </c>
      <c r="C982" s="3">
        <f>IFERROR(INDEX('Data Source'!$P:$P,MATCH(980,'Data Source'!$T:$T,0)),"")</f>
        <v/>
      </c>
      <c r="D982" s="5">
        <f>IFERROR(INDEX('Data Source'!$Q:$Q,MATCH(980,'Data Source'!$T:$T,0)),"")</f>
        <v/>
      </c>
      <c r="E982" s="5">
        <f>IFERROR(INDEX('Data Source'!$R:$R,MATCH(980,'Data Source'!$T:$T,0)),"")</f>
        <v/>
      </c>
      <c r="F982" s="3">
        <f>IFERROR(INDEX('Data Source'!$S:$S,MATCH(980,'Data Source'!$T:$T,0)),"")</f>
        <v/>
      </c>
    </row>
    <row r="983">
      <c r="A983" s="3">
        <f>IFERROR(IF(COUNTIF('Data Source'!$T:$T,981)&gt;0,981,""),"")</f>
        <v/>
      </c>
      <c r="B983">
        <f>IFERROR(INDEX('Data Source'!$B:$B,MATCH(981,'Data Source'!$T:$T,0)),"")</f>
        <v/>
      </c>
      <c r="C983" s="3">
        <f>IFERROR(INDEX('Data Source'!$P:$P,MATCH(981,'Data Source'!$T:$T,0)),"")</f>
        <v/>
      </c>
      <c r="D983" s="5">
        <f>IFERROR(INDEX('Data Source'!$Q:$Q,MATCH(981,'Data Source'!$T:$T,0)),"")</f>
        <v/>
      </c>
      <c r="E983" s="5">
        <f>IFERROR(INDEX('Data Source'!$R:$R,MATCH(981,'Data Source'!$T:$T,0)),"")</f>
        <v/>
      </c>
      <c r="F983" s="3">
        <f>IFERROR(INDEX('Data Source'!$S:$S,MATCH(981,'Data Source'!$T:$T,0)),"")</f>
        <v/>
      </c>
    </row>
    <row r="984">
      <c r="A984" s="3">
        <f>IFERROR(IF(COUNTIF('Data Source'!$T:$T,982)&gt;0,982,""),"")</f>
        <v/>
      </c>
      <c r="B984">
        <f>IFERROR(INDEX('Data Source'!$B:$B,MATCH(982,'Data Source'!$T:$T,0)),"")</f>
        <v/>
      </c>
      <c r="C984" s="3">
        <f>IFERROR(INDEX('Data Source'!$P:$P,MATCH(982,'Data Source'!$T:$T,0)),"")</f>
        <v/>
      </c>
      <c r="D984" s="5">
        <f>IFERROR(INDEX('Data Source'!$Q:$Q,MATCH(982,'Data Source'!$T:$T,0)),"")</f>
        <v/>
      </c>
      <c r="E984" s="5">
        <f>IFERROR(INDEX('Data Source'!$R:$R,MATCH(982,'Data Source'!$T:$T,0)),"")</f>
        <v/>
      </c>
      <c r="F984" s="3">
        <f>IFERROR(INDEX('Data Source'!$S:$S,MATCH(982,'Data Source'!$T:$T,0)),"")</f>
        <v/>
      </c>
    </row>
    <row r="985">
      <c r="A985" s="3">
        <f>IFERROR(IF(COUNTIF('Data Source'!$T:$T,983)&gt;0,983,""),"")</f>
        <v/>
      </c>
      <c r="B985">
        <f>IFERROR(INDEX('Data Source'!$B:$B,MATCH(983,'Data Source'!$T:$T,0)),"")</f>
        <v/>
      </c>
      <c r="C985" s="3">
        <f>IFERROR(INDEX('Data Source'!$P:$P,MATCH(983,'Data Source'!$T:$T,0)),"")</f>
        <v/>
      </c>
      <c r="D985" s="5">
        <f>IFERROR(INDEX('Data Source'!$Q:$Q,MATCH(983,'Data Source'!$T:$T,0)),"")</f>
        <v/>
      </c>
      <c r="E985" s="5">
        <f>IFERROR(INDEX('Data Source'!$R:$R,MATCH(983,'Data Source'!$T:$T,0)),"")</f>
        <v/>
      </c>
      <c r="F985" s="3">
        <f>IFERROR(INDEX('Data Source'!$S:$S,MATCH(983,'Data Source'!$T:$T,0)),"")</f>
        <v/>
      </c>
    </row>
    <row r="986">
      <c r="A986" s="3">
        <f>IFERROR(IF(COUNTIF('Data Source'!$T:$T,984)&gt;0,984,""),"")</f>
        <v/>
      </c>
      <c r="B986">
        <f>IFERROR(INDEX('Data Source'!$B:$B,MATCH(984,'Data Source'!$T:$T,0)),"")</f>
        <v/>
      </c>
      <c r="C986" s="3">
        <f>IFERROR(INDEX('Data Source'!$P:$P,MATCH(984,'Data Source'!$T:$T,0)),"")</f>
        <v/>
      </c>
      <c r="D986" s="5">
        <f>IFERROR(INDEX('Data Source'!$Q:$Q,MATCH(984,'Data Source'!$T:$T,0)),"")</f>
        <v/>
      </c>
      <c r="E986" s="5">
        <f>IFERROR(INDEX('Data Source'!$R:$R,MATCH(984,'Data Source'!$T:$T,0)),"")</f>
        <v/>
      </c>
      <c r="F986" s="3">
        <f>IFERROR(INDEX('Data Source'!$S:$S,MATCH(984,'Data Source'!$T:$T,0)),"")</f>
        <v/>
      </c>
    </row>
    <row r="987">
      <c r="A987" s="3">
        <f>IFERROR(IF(COUNTIF('Data Source'!$T:$T,985)&gt;0,985,""),"")</f>
        <v/>
      </c>
      <c r="B987">
        <f>IFERROR(INDEX('Data Source'!$B:$B,MATCH(985,'Data Source'!$T:$T,0)),"")</f>
        <v/>
      </c>
      <c r="C987" s="3">
        <f>IFERROR(INDEX('Data Source'!$P:$P,MATCH(985,'Data Source'!$T:$T,0)),"")</f>
        <v/>
      </c>
      <c r="D987" s="5">
        <f>IFERROR(INDEX('Data Source'!$Q:$Q,MATCH(985,'Data Source'!$T:$T,0)),"")</f>
        <v/>
      </c>
      <c r="E987" s="5">
        <f>IFERROR(INDEX('Data Source'!$R:$R,MATCH(985,'Data Source'!$T:$T,0)),"")</f>
        <v/>
      </c>
      <c r="F987" s="3">
        <f>IFERROR(INDEX('Data Source'!$S:$S,MATCH(985,'Data Source'!$T:$T,0)),"")</f>
        <v/>
      </c>
    </row>
    <row r="988">
      <c r="A988" s="3">
        <f>IFERROR(IF(COUNTIF('Data Source'!$T:$T,986)&gt;0,986,""),"")</f>
        <v/>
      </c>
      <c r="B988">
        <f>IFERROR(INDEX('Data Source'!$B:$B,MATCH(986,'Data Source'!$T:$T,0)),"")</f>
        <v/>
      </c>
      <c r="C988" s="3">
        <f>IFERROR(INDEX('Data Source'!$P:$P,MATCH(986,'Data Source'!$T:$T,0)),"")</f>
        <v/>
      </c>
      <c r="D988" s="5">
        <f>IFERROR(INDEX('Data Source'!$Q:$Q,MATCH(986,'Data Source'!$T:$T,0)),"")</f>
        <v/>
      </c>
      <c r="E988" s="5">
        <f>IFERROR(INDEX('Data Source'!$R:$R,MATCH(986,'Data Source'!$T:$T,0)),"")</f>
        <v/>
      </c>
      <c r="F988" s="3">
        <f>IFERROR(INDEX('Data Source'!$S:$S,MATCH(986,'Data Source'!$T:$T,0)),"")</f>
        <v/>
      </c>
    </row>
    <row r="989">
      <c r="A989" s="3">
        <f>IFERROR(IF(COUNTIF('Data Source'!$T:$T,987)&gt;0,987,""),"")</f>
        <v/>
      </c>
      <c r="B989">
        <f>IFERROR(INDEX('Data Source'!$B:$B,MATCH(987,'Data Source'!$T:$T,0)),"")</f>
        <v/>
      </c>
      <c r="C989" s="3">
        <f>IFERROR(INDEX('Data Source'!$P:$P,MATCH(987,'Data Source'!$T:$T,0)),"")</f>
        <v/>
      </c>
      <c r="D989" s="5">
        <f>IFERROR(INDEX('Data Source'!$Q:$Q,MATCH(987,'Data Source'!$T:$T,0)),"")</f>
        <v/>
      </c>
      <c r="E989" s="5">
        <f>IFERROR(INDEX('Data Source'!$R:$R,MATCH(987,'Data Source'!$T:$T,0)),"")</f>
        <v/>
      </c>
      <c r="F989" s="3">
        <f>IFERROR(INDEX('Data Source'!$S:$S,MATCH(987,'Data Source'!$T:$T,0)),"")</f>
        <v/>
      </c>
    </row>
    <row r="990">
      <c r="A990" s="3">
        <f>IFERROR(IF(COUNTIF('Data Source'!$T:$T,988)&gt;0,988,""),"")</f>
        <v/>
      </c>
      <c r="B990">
        <f>IFERROR(INDEX('Data Source'!$B:$B,MATCH(988,'Data Source'!$T:$T,0)),"")</f>
        <v/>
      </c>
      <c r="C990" s="3">
        <f>IFERROR(INDEX('Data Source'!$P:$P,MATCH(988,'Data Source'!$T:$T,0)),"")</f>
        <v/>
      </c>
      <c r="D990" s="5">
        <f>IFERROR(INDEX('Data Source'!$Q:$Q,MATCH(988,'Data Source'!$T:$T,0)),"")</f>
        <v/>
      </c>
      <c r="E990" s="5">
        <f>IFERROR(INDEX('Data Source'!$R:$R,MATCH(988,'Data Source'!$T:$T,0)),"")</f>
        <v/>
      </c>
      <c r="F990" s="3">
        <f>IFERROR(INDEX('Data Source'!$S:$S,MATCH(988,'Data Source'!$T:$T,0)),"")</f>
        <v/>
      </c>
    </row>
    <row r="991">
      <c r="A991" s="3">
        <f>IFERROR(IF(COUNTIF('Data Source'!$T:$T,989)&gt;0,989,""),"")</f>
        <v/>
      </c>
      <c r="B991">
        <f>IFERROR(INDEX('Data Source'!$B:$B,MATCH(989,'Data Source'!$T:$T,0)),"")</f>
        <v/>
      </c>
      <c r="C991" s="3">
        <f>IFERROR(INDEX('Data Source'!$P:$P,MATCH(989,'Data Source'!$T:$T,0)),"")</f>
        <v/>
      </c>
      <c r="D991" s="5">
        <f>IFERROR(INDEX('Data Source'!$Q:$Q,MATCH(989,'Data Source'!$T:$T,0)),"")</f>
        <v/>
      </c>
      <c r="E991" s="5">
        <f>IFERROR(INDEX('Data Source'!$R:$R,MATCH(989,'Data Source'!$T:$T,0)),"")</f>
        <v/>
      </c>
      <c r="F991" s="3">
        <f>IFERROR(INDEX('Data Source'!$S:$S,MATCH(989,'Data Source'!$T:$T,0)),"")</f>
        <v/>
      </c>
    </row>
    <row r="992">
      <c r="A992" s="3">
        <f>IFERROR(IF(COUNTIF('Data Source'!$T:$T,990)&gt;0,990,""),"")</f>
        <v/>
      </c>
      <c r="B992">
        <f>IFERROR(INDEX('Data Source'!$B:$B,MATCH(990,'Data Source'!$T:$T,0)),"")</f>
        <v/>
      </c>
      <c r="C992" s="3">
        <f>IFERROR(INDEX('Data Source'!$P:$P,MATCH(990,'Data Source'!$T:$T,0)),"")</f>
        <v/>
      </c>
      <c r="D992" s="5">
        <f>IFERROR(INDEX('Data Source'!$Q:$Q,MATCH(990,'Data Source'!$T:$T,0)),"")</f>
        <v/>
      </c>
      <c r="E992" s="5">
        <f>IFERROR(INDEX('Data Source'!$R:$R,MATCH(990,'Data Source'!$T:$T,0)),"")</f>
        <v/>
      </c>
      <c r="F992" s="3">
        <f>IFERROR(INDEX('Data Source'!$S:$S,MATCH(990,'Data Source'!$T:$T,0)),"")</f>
        <v/>
      </c>
    </row>
    <row r="993">
      <c r="A993" s="3">
        <f>IFERROR(IF(COUNTIF('Data Source'!$T:$T,991)&gt;0,991,""),"")</f>
        <v/>
      </c>
      <c r="B993">
        <f>IFERROR(INDEX('Data Source'!$B:$B,MATCH(991,'Data Source'!$T:$T,0)),"")</f>
        <v/>
      </c>
      <c r="C993" s="3">
        <f>IFERROR(INDEX('Data Source'!$P:$P,MATCH(991,'Data Source'!$T:$T,0)),"")</f>
        <v/>
      </c>
      <c r="D993" s="5">
        <f>IFERROR(INDEX('Data Source'!$Q:$Q,MATCH(991,'Data Source'!$T:$T,0)),"")</f>
        <v/>
      </c>
      <c r="E993" s="5">
        <f>IFERROR(INDEX('Data Source'!$R:$R,MATCH(991,'Data Source'!$T:$T,0)),"")</f>
        <v/>
      </c>
      <c r="F993" s="3">
        <f>IFERROR(INDEX('Data Source'!$S:$S,MATCH(991,'Data Source'!$T:$T,0)),"")</f>
        <v/>
      </c>
    </row>
    <row r="994">
      <c r="A994" s="3">
        <f>IFERROR(IF(COUNTIF('Data Source'!$T:$T,992)&gt;0,992,""),"")</f>
        <v/>
      </c>
      <c r="B994">
        <f>IFERROR(INDEX('Data Source'!$B:$B,MATCH(992,'Data Source'!$T:$T,0)),"")</f>
        <v/>
      </c>
      <c r="C994" s="3">
        <f>IFERROR(INDEX('Data Source'!$P:$P,MATCH(992,'Data Source'!$T:$T,0)),"")</f>
        <v/>
      </c>
      <c r="D994" s="5">
        <f>IFERROR(INDEX('Data Source'!$Q:$Q,MATCH(992,'Data Source'!$T:$T,0)),"")</f>
        <v/>
      </c>
      <c r="E994" s="5">
        <f>IFERROR(INDEX('Data Source'!$R:$R,MATCH(992,'Data Source'!$T:$T,0)),"")</f>
        <v/>
      </c>
      <c r="F994" s="3">
        <f>IFERROR(INDEX('Data Source'!$S:$S,MATCH(992,'Data Source'!$T:$T,0)),"")</f>
        <v/>
      </c>
    </row>
    <row r="995">
      <c r="A995" s="3">
        <f>IFERROR(IF(COUNTIF('Data Source'!$T:$T,993)&gt;0,993,""),"")</f>
        <v/>
      </c>
      <c r="B995">
        <f>IFERROR(INDEX('Data Source'!$B:$B,MATCH(993,'Data Source'!$T:$T,0)),"")</f>
        <v/>
      </c>
      <c r="C995" s="3">
        <f>IFERROR(INDEX('Data Source'!$P:$P,MATCH(993,'Data Source'!$T:$T,0)),"")</f>
        <v/>
      </c>
      <c r="D995" s="5">
        <f>IFERROR(INDEX('Data Source'!$Q:$Q,MATCH(993,'Data Source'!$T:$T,0)),"")</f>
        <v/>
      </c>
      <c r="E995" s="5">
        <f>IFERROR(INDEX('Data Source'!$R:$R,MATCH(993,'Data Source'!$T:$T,0)),"")</f>
        <v/>
      </c>
      <c r="F995" s="3">
        <f>IFERROR(INDEX('Data Source'!$S:$S,MATCH(993,'Data Source'!$T:$T,0)),"")</f>
        <v/>
      </c>
    </row>
    <row r="996">
      <c r="A996" s="3">
        <f>IFERROR(IF(COUNTIF('Data Source'!$T:$T,994)&gt;0,994,""),"")</f>
        <v/>
      </c>
      <c r="B996">
        <f>IFERROR(INDEX('Data Source'!$B:$B,MATCH(994,'Data Source'!$T:$T,0)),"")</f>
        <v/>
      </c>
      <c r="C996" s="3">
        <f>IFERROR(INDEX('Data Source'!$P:$P,MATCH(994,'Data Source'!$T:$T,0)),"")</f>
        <v/>
      </c>
      <c r="D996" s="5">
        <f>IFERROR(INDEX('Data Source'!$Q:$Q,MATCH(994,'Data Source'!$T:$T,0)),"")</f>
        <v/>
      </c>
      <c r="E996" s="5">
        <f>IFERROR(INDEX('Data Source'!$R:$R,MATCH(994,'Data Source'!$T:$T,0)),"")</f>
        <v/>
      </c>
      <c r="F996" s="3">
        <f>IFERROR(INDEX('Data Source'!$S:$S,MATCH(994,'Data Source'!$T:$T,0)),"")</f>
        <v/>
      </c>
    </row>
    <row r="997">
      <c r="A997" s="3">
        <f>IFERROR(IF(COUNTIF('Data Source'!$T:$T,995)&gt;0,995,""),"")</f>
        <v/>
      </c>
      <c r="B997">
        <f>IFERROR(INDEX('Data Source'!$B:$B,MATCH(995,'Data Source'!$T:$T,0)),"")</f>
        <v/>
      </c>
      <c r="C997" s="3">
        <f>IFERROR(INDEX('Data Source'!$P:$P,MATCH(995,'Data Source'!$T:$T,0)),"")</f>
        <v/>
      </c>
      <c r="D997" s="5">
        <f>IFERROR(INDEX('Data Source'!$Q:$Q,MATCH(995,'Data Source'!$T:$T,0)),"")</f>
        <v/>
      </c>
      <c r="E997" s="5">
        <f>IFERROR(INDEX('Data Source'!$R:$R,MATCH(995,'Data Source'!$T:$T,0)),"")</f>
        <v/>
      </c>
      <c r="F997" s="3">
        <f>IFERROR(INDEX('Data Source'!$S:$S,MATCH(995,'Data Source'!$T:$T,0)),"")</f>
        <v/>
      </c>
    </row>
    <row r="998">
      <c r="A998" s="3">
        <f>IFERROR(IF(COUNTIF('Data Source'!$T:$T,996)&gt;0,996,""),"")</f>
        <v/>
      </c>
      <c r="B998">
        <f>IFERROR(INDEX('Data Source'!$B:$B,MATCH(996,'Data Source'!$T:$T,0)),"")</f>
        <v/>
      </c>
      <c r="C998" s="3">
        <f>IFERROR(INDEX('Data Source'!$P:$P,MATCH(996,'Data Source'!$T:$T,0)),"")</f>
        <v/>
      </c>
      <c r="D998" s="5">
        <f>IFERROR(INDEX('Data Source'!$Q:$Q,MATCH(996,'Data Source'!$T:$T,0)),"")</f>
        <v/>
      </c>
      <c r="E998" s="5">
        <f>IFERROR(INDEX('Data Source'!$R:$R,MATCH(996,'Data Source'!$T:$T,0)),"")</f>
        <v/>
      </c>
      <c r="F998" s="3">
        <f>IFERROR(INDEX('Data Source'!$S:$S,MATCH(996,'Data Source'!$T:$T,0)),"")</f>
        <v/>
      </c>
    </row>
    <row r="999">
      <c r="A999" s="3">
        <f>IFERROR(IF(COUNTIF('Data Source'!$T:$T,997)&gt;0,997,""),"")</f>
        <v/>
      </c>
      <c r="B999">
        <f>IFERROR(INDEX('Data Source'!$B:$B,MATCH(997,'Data Source'!$T:$T,0)),"")</f>
        <v/>
      </c>
      <c r="C999" s="3">
        <f>IFERROR(INDEX('Data Source'!$P:$P,MATCH(997,'Data Source'!$T:$T,0)),"")</f>
        <v/>
      </c>
      <c r="D999" s="5">
        <f>IFERROR(INDEX('Data Source'!$Q:$Q,MATCH(997,'Data Source'!$T:$T,0)),"")</f>
        <v/>
      </c>
      <c r="E999" s="5">
        <f>IFERROR(INDEX('Data Source'!$R:$R,MATCH(997,'Data Source'!$T:$T,0)),"")</f>
        <v/>
      </c>
      <c r="F999" s="3">
        <f>IFERROR(INDEX('Data Source'!$S:$S,MATCH(997,'Data Source'!$T:$T,0)),"")</f>
        <v/>
      </c>
    </row>
    <row r="1000">
      <c r="A1000" s="3">
        <f>IFERROR(IF(COUNTIF('Data Source'!$T:$T,998)&gt;0,998,""),"")</f>
        <v/>
      </c>
      <c r="B1000">
        <f>IFERROR(INDEX('Data Source'!$B:$B,MATCH(998,'Data Source'!$T:$T,0)),"")</f>
        <v/>
      </c>
      <c r="C1000" s="3">
        <f>IFERROR(INDEX('Data Source'!$P:$P,MATCH(998,'Data Source'!$T:$T,0)),"")</f>
        <v/>
      </c>
      <c r="D1000" s="5">
        <f>IFERROR(INDEX('Data Source'!$Q:$Q,MATCH(998,'Data Source'!$T:$T,0)),"")</f>
        <v/>
      </c>
      <c r="E1000" s="5">
        <f>IFERROR(INDEX('Data Source'!$R:$R,MATCH(998,'Data Source'!$T:$T,0)),"")</f>
        <v/>
      </c>
      <c r="F1000" s="3">
        <f>IFERROR(INDEX('Data Source'!$S:$S,MATCH(998,'Data Source'!$T:$T,0)),"")</f>
        <v/>
      </c>
    </row>
    <row r="1001">
      <c r="A1001" s="3">
        <f>IFERROR(IF(COUNTIF('Data Source'!$T:$T,999)&gt;0,999,""),"")</f>
        <v/>
      </c>
      <c r="B1001">
        <f>IFERROR(INDEX('Data Source'!$B:$B,MATCH(999,'Data Source'!$T:$T,0)),"")</f>
        <v/>
      </c>
      <c r="C1001" s="3">
        <f>IFERROR(INDEX('Data Source'!$P:$P,MATCH(999,'Data Source'!$T:$T,0)),"")</f>
        <v/>
      </c>
      <c r="D1001" s="5">
        <f>IFERROR(INDEX('Data Source'!$Q:$Q,MATCH(999,'Data Source'!$T:$T,0)),"")</f>
        <v/>
      </c>
      <c r="E1001" s="5">
        <f>IFERROR(INDEX('Data Source'!$R:$R,MATCH(999,'Data Source'!$T:$T,0)),"")</f>
        <v/>
      </c>
      <c r="F1001" s="3">
        <f>IFERROR(INDEX('Data Source'!$S:$S,MATCH(999,'Data Source'!$T:$T,0)),"")</f>
        <v/>
      </c>
    </row>
    <row r="1002">
      <c r="A1002" s="3">
        <f>IFERROR(IF(COUNTIF('Data Source'!$T:$T,1000)&gt;0,1000,""),"")</f>
        <v/>
      </c>
      <c r="B1002">
        <f>IFERROR(INDEX('Data Source'!$B:$B,MATCH(1000,'Data Source'!$T:$T,0)),"")</f>
        <v/>
      </c>
      <c r="C1002" s="3">
        <f>IFERROR(INDEX('Data Source'!$P:$P,MATCH(1000,'Data Source'!$T:$T,0)),"")</f>
        <v/>
      </c>
      <c r="D1002" s="5">
        <f>IFERROR(INDEX('Data Source'!$Q:$Q,MATCH(1000,'Data Source'!$T:$T,0)),"")</f>
        <v/>
      </c>
      <c r="E1002" s="5">
        <f>IFERROR(INDEX('Data Source'!$R:$R,MATCH(1000,'Data Source'!$T:$T,0)),"")</f>
        <v/>
      </c>
      <c r="F1002" s="3">
        <f>IFERROR(INDEX('Data Source'!$S:$S,MATCH(1000,'Data Source'!$T:$T,0)),"")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2025-12-01T13:28:11Z</dcterms:created>
  <dcterms:modified xsi:type="dcterms:W3CDTF">2025-12-01T13:28:13Z</dcterms:modified>
</cp:coreProperties>
</file>